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<sst xmlns="http://schemas.openxmlformats.org/spreadsheetml/2006/main" count="307292" uniqueCount="46899">
  <si>
    <t>Hyperlinked Case #</t>
  </si>
  <si>
    <t>Primary Advocate</t>
  </si>
  <si>
    <t>Case Disposition</t>
  </si>
  <si>
    <t>Date Opened</t>
  </si>
  <si>
    <t>Date Closed</t>
  </si>
  <si>
    <t>Client First Name</t>
  </si>
  <si>
    <t>Client Last Name</t>
  </si>
  <si>
    <t>Street Address</t>
  </si>
  <si>
    <t>Apt#/Suite#</t>
  </si>
  <si>
    <t>City</t>
  </si>
  <si>
    <t>Zip Code</t>
  </si>
  <si>
    <t>HRA Release?</t>
  </si>
  <si>
    <t>Housing Signed DHCI Form</t>
  </si>
  <si>
    <t>Gen Case Index Number</t>
  </si>
  <si>
    <t>Housing Type Of Case</t>
  </si>
  <si>
    <t>Housing Level of Service</t>
  </si>
  <si>
    <t>Close Reason</t>
  </si>
  <si>
    <t>Primary Funding Code</t>
  </si>
  <si>
    <t>Housing Building Case?</t>
  </si>
  <si>
    <t>Secondary Funding Codes</t>
  </si>
  <si>
    <t>Legal Problem Code</t>
  </si>
  <si>
    <t>Housing Posture of Case on Eligibility Date</t>
  </si>
  <si>
    <t>HAL Eligibility Date</t>
  </si>
  <si>
    <t>Housing Total Monthly Rent</t>
  </si>
  <si>
    <t>Assigned Branch/CC</t>
  </si>
  <si>
    <t>Referral Source</t>
  </si>
  <si>
    <t>IOLA Outcome</t>
  </si>
  <si>
    <t>Date of Birth</t>
  </si>
  <si>
    <t>Gen Pub Assist Case Number</t>
  </si>
  <si>
    <t>Social Security #</t>
  </si>
  <si>
    <t>Housing Number Of Units In Building</t>
  </si>
  <si>
    <t>Housing Form Of Regulation</t>
  </si>
  <si>
    <t>Housing Subsidy Type</t>
  </si>
  <si>
    <t>Housing Years Living In Apartment</t>
  </si>
  <si>
    <t>Number of People 18 and Over</t>
  </si>
  <si>
    <t>Number of People under 18</t>
  </si>
  <si>
    <t>Percentage of Poverty</t>
  </si>
  <si>
    <t>Housing Date Of Waiver Approval</t>
  </si>
  <si>
    <t>Housing TRC HRA Waiver Categories</t>
  </si>
  <si>
    <t>Language</t>
  </si>
  <si>
    <t xml:space="preserve">Total Annual Income </t>
  </si>
  <si>
    <t>Housing Funding Note</t>
  </si>
  <si>
    <t>Housing Activity Indicators</t>
  </si>
  <si>
    <t>Housing Services Rendered to Client</t>
  </si>
  <si>
    <t>Housing Outcome</t>
  </si>
  <si>
    <t>Housing Outcome Date</t>
  </si>
  <si>
    <t>Total Time For Case</t>
  </si>
  <si>
    <t>Service Date</t>
  </si>
  <si>
    <t>Caseworker Name</t>
  </si>
  <si>
    <t>Housing Income Verification</t>
  </si>
  <si>
    <t>McDonald, John</t>
  </si>
  <si>
    <t>Solivan, Jackeline</t>
  </si>
  <si>
    <t>Succop, Steven</t>
  </si>
  <si>
    <t>DeVolld, Angela</t>
  </si>
  <si>
    <t>Smith, Sara</t>
  </si>
  <si>
    <t>Feliz, Oswald</t>
  </si>
  <si>
    <t>Herrmann, Neil</t>
  </si>
  <si>
    <t>Cruz-Perez, Javier</t>
  </si>
  <si>
    <t>Contreras, Gatsby</t>
  </si>
  <si>
    <t>Spencer, Eleanor</t>
  </si>
  <si>
    <t>Fischman, Jean</t>
  </si>
  <si>
    <t>Briggs, John</t>
  </si>
  <si>
    <t>Treadwell, Nathan</t>
  </si>
  <si>
    <t>Taylor, Mark</t>
  </si>
  <si>
    <t>Massey, Randi</t>
  </si>
  <si>
    <t>Navarro, Norey</t>
  </si>
  <si>
    <t>Englard, Rubin</t>
  </si>
  <si>
    <t>Gonzalez, Atenedoro</t>
  </si>
  <si>
    <t>Kalum, Nicole</t>
  </si>
  <si>
    <t>Silliman, Stacey</t>
  </si>
  <si>
    <t>Caldwell-Kuru, Hazel</t>
  </si>
  <si>
    <t>Kellogg, Martha</t>
  </si>
  <si>
    <t>Honan, Thomas</t>
  </si>
  <si>
    <t>Marchena, Ivan</t>
  </si>
  <si>
    <t>James, Lelia</t>
  </si>
  <si>
    <t>Lowery, Liam</t>
  </si>
  <si>
    <t>Patel, Roopal</t>
  </si>
  <si>
    <t>Freeman, Daniel</t>
  </si>
  <si>
    <t>Roman, Melissa</t>
  </si>
  <si>
    <t>Kelly, Kitanya</t>
  </si>
  <si>
    <t>Torres, Jasmin</t>
  </si>
  <si>
    <t>Greene, Janelle</t>
  </si>
  <si>
    <t>Mancias, Fernando</t>
  </si>
  <si>
    <t>Katnani, Samar</t>
  </si>
  <si>
    <t>Guillaume, Naura</t>
  </si>
  <si>
    <t>Flores, Irene</t>
  </si>
  <si>
    <t>Shah, Ami</t>
  </si>
  <si>
    <t>Scott, Samuel</t>
  </si>
  <si>
    <t>Goncharov-Cruickshnk, Natalie</t>
  </si>
  <si>
    <t>Carlier, Milton</t>
  </si>
  <si>
    <t>Heller, Steven</t>
  </si>
  <si>
    <t>Santos, Marisol</t>
  </si>
  <si>
    <t>Hernandez, Elizabeth</t>
  </si>
  <si>
    <t>Lin, Evelyn</t>
  </si>
  <si>
    <t>Evers, Erin</t>
  </si>
  <si>
    <t>Patel, Mona</t>
  </si>
  <si>
    <t>Breakstone, Chelsea</t>
  </si>
  <si>
    <t>Catuira, Rochelle</t>
  </si>
  <si>
    <t>Betances, Gabriella</t>
  </si>
  <si>
    <t>Cepeda, Jeanette</t>
  </si>
  <si>
    <t>Chen, Eugene</t>
  </si>
  <si>
    <t>Miller, Thomas</t>
  </si>
  <si>
    <t>Montoute, John</t>
  </si>
  <si>
    <t>Puleo Jr, Michael</t>
  </si>
  <si>
    <t>Rave, Helen</t>
  </si>
  <si>
    <t>Ascher, Ann</t>
  </si>
  <si>
    <t>Stevens, Jean</t>
  </si>
  <si>
    <t>Atuegbu, Chidera</t>
  </si>
  <si>
    <t>Diaz, Lino</t>
  </si>
  <si>
    <t>Golden, Tashanna</t>
  </si>
  <si>
    <t>Maltezos, Alexander</t>
  </si>
  <si>
    <t>Rhee, Bohee</t>
  </si>
  <si>
    <t>Salas, Emma</t>
  </si>
  <si>
    <t>De Silva, Natasia</t>
  </si>
  <si>
    <t>Saywack, Priam</t>
  </si>
  <si>
    <t>Ocana, Johanna</t>
  </si>
  <si>
    <t>Hecht-Felella, Laura</t>
  </si>
  <si>
    <t>Crisona, Kathryn</t>
  </si>
  <si>
    <t>Restrepo-Serrano, Francois</t>
  </si>
  <si>
    <t>Latterner, Matt</t>
  </si>
  <si>
    <t>Mulles, Carlos</t>
  </si>
  <si>
    <t>Nimis, Roland</t>
  </si>
  <si>
    <t>Pozo, Caridad</t>
  </si>
  <si>
    <t>Samuel, Somalia</t>
  </si>
  <si>
    <t>MacRae, John</t>
  </si>
  <si>
    <t>Wong, Humbert</t>
  </si>
  <si>
    <t>Rubin, Jenn</t>
  </si>
  <si>
    <t>Kelly, Dawn</t>
  </si>
  <si>
    <t>Armentrout, Lynn</t>
  </si>
  <si>
    <t>Reed, Jessica</t>
  </si>
  <si>
    <t>Chan, Vincce</t>
  </si>
  <si>
    <t>Granfield, Rachel</t>
  </si>
  <si>
    <t>Lopez, Jessica</t>
  </si>
  <si>
    <t>Brutus, Jean-Pierre</t>
  </si>
  <si>
    <t>Farrell, Emily</t>
  </si>
  <si>
    <t>Ma, Chiansan</t>
  </si>
  <si>
    <t>Alvarez, Adriana</t>
  </si>
  <si>
    <t>Chew, Thomas</t>
  </si>
  <si>
    <t>Delgadillo, Omar</t>
  </si>
  <si>
    <t>Caban-Gandhi, Celina</t>
  </si>
  <si>
    <t>Johnson, Chantal</t>
  </si>
  <si>
    <t>Lam, Kevin</t>
  </si>
  <si>
    <t>Mui, Ernie</t>
  </si>
  <si>
    <t>Faliks, Sarah</t>
  </si>
  <si>
    <t>Abbas, Sayeda</t>
  </si>
  <si>
    <t>Barney, Darryl</t>
  </si>
  <si>
    <t>Horth, Aaron</t>
  </si>
  <si>
    <t>Corsaro, Veronica</t>
  </si>
  <si>
    <t>Drumm, Kristen</t>
  </si>
  <si>
    <t>Castro, Cristina</t>
  </si>
  <si>
    <t>Cattani, Brett</t>
  </si>
  <si>
    <t>Frierson, Jerome</t>
  </si>
  <si>
    <t>Ijaz, Kulsoom</t>
  </si>
  <si>
    <t>Hong, Connie</t>
  </si>
  <si>
    <t>Telson, Sarah</t>
  </si>
  <si>
    <t>Shearer, Diane</t>
  </si>
  <si>
    <t>Bromberg, Iris</t>
  </si>
  <si>
    <t>Vega, Rita</t>
  </si>
  <si>
    <t>Ginsberg, Irene</t>
  </si>
  <si>
    <t>Lin, Tina</t>
  </si>
  <si>
    <t>Tan, Andrea</t>
  </si>
  <si>
    <t>Namuche, Raquel</t>
  </si>
  <si>
    <t>Isaias, Bianca</t>
  </si>
  <si>
    <t>Banks, Melissa</t>
  </si>
  <si>
    <t>Barrett, Samantha</t>
  </si>
  <si>
    <t>Braudy, Erica</t>
  </si>
  <si>
    <t>Copeland, Christopher</t>
  </si>
  <si>
    <t>Gardner III, George</t>
  </si>
  <si>
    <t>Yamasaki, Emily Woo</t>
  </si>
  <si>
    <t>Cappellini, Bianca</t>
  </si>
  <si>
    <t>Pangonis, Dustin</t>
  </si>
  <si>
    <t>Luo, Amy</t>
  </si>
  <si>
    <t>Vujica, Visnja</t>
  </si>
  <si>
    <t>Wilkes, Nicole</t>
  </si>
  <si>
    <t>DeLong, Sarah</t>
  </si>
  <si>
    <t>Zabizhin, Albert</t>
  </si>
  <si>
    <t>Hardy, Le`Shera</t>
  </si>
  <si>
    <t>Ukegbu, Ezi</t>
  </si>
  <si>
    <t>Gurung, Rina</t>
  </si>
  <si>
    <t>Gennari, Regina</t>
  </si>
  <si>
    <t>Dolin, Brett</t>
  </si>
  <si>
    <t>DeStefano, Jessica</t>
  </si>
  <si>
    <t>Mbame, Etondi</t>
  </si>
  <si>
    <t>Anunkor, Ifeoma</t>
  </si>
  <si>
    <t>Perez-Pedemonti, Martha</t>
  </si>
  <si>
    <t>Hoffman, Julienne</t>
  </si>
  <si>
    <t>Elmore, Josh</t>
  </si>
  <si>
    <t>Osei, Dionne</t>
  </si>
  <si>
    <t>Schafler, Eliza</t>
  </si>
  <si>
    <t>Viets, Whitney</t>
  </si>
  <si>
    <t>Nadeau-Rifkind, Al</t>
  </si>
  <si>
    <t>Hao, Lindsay</t>
  </si>
  <si>
    <t>Galai, Sagiv</t>
  </si>
  <si>
    <t>Sandoval, Sandra</t>
  </si>
  <si>
    <t>Sharma, Sagar</t>
  </si>
  <si>
    <t>Basu, Shantonu</t>
  </si>
  <si>
    <t>Atkinson, Johnson</t>
  </si>
  <si>
    <t>Bailey, Michael</t>
  </si>
  <si>
    <t>Ross, Jasmine</t>
  </si>
  <si>
    <t>Pepe, Lailah</t>
  </si>
  <si>
    <t>McCormick, James</t>
  </si>
  <si>
    <t>Ortiz, Andrew</t>
  </si>
  <si>
    <t>Carter, Corinthia</t>
  </si>
  <si>
    <t>Jackson, Chavette</t>
  </si>
  <si>
    <t>Kramer, Kramer</t>
  </si>
  <si>
    <t>Xie, Vivian</t>
  </si>
  <si>
    <t>Tello, Victor</t>
  </si>
  <si>
    <t>Odoemene, Udoka</t>
  </si>
  <si>
    <t>Bernardez, Florencita</t>
  </si>
  <si>
    <t>Kook, Heejung</t>
  </si>
  <si>
    <t>Fuentes, Maria</t>
  </si>
  <si>
    <t>Costa, Stephanie</t>
  </si>
  <si>
    <t>Jacobs, Alex</t>
  </si>
  <si>
    <t>Lynch, Megan</t>
  </si>
  <si>
    <t>Lee, Thomas</t>
  </si>
  <si>
    <t>Weaver, Cynthia</t>
  </si>
  <si>
    <t>Haynes, Tralane</t>
  </si>
  <si>
    <t>Echeverry, Jessica</t>
  </si>
  <si>
    <t>Mottley, Darlene</t>
  </si>
  <si>
    <t>Belhomme, Wilesca</t>
  </si>
  <si>
    <t>Sanderman, Robert</t>
  </si>
  <si>
    <t>Umoke, Jacob</t>
  </si>
  <si>
    <t>Barrow, Jennifer</t>
  </si>
  <si>
    <t>Robinson, Sally</t>
  </si>
  <si>
    <t>Henriquez, Luis</t>
  </si>
  <si>
    <t>Labossiere, Samantha</t>
  </si>
  <si>
    <t>Rookwood, Shardae</t>
  </si>
  <si>
    <t>Joly, Coco</t>
  </si>
  <si>
    <t>Pongnon, Miouly</t>
  </si>
  <si>
    <t>Vendzules, Jason</t>
  </si>
  <si>
    <t>Castronovo, Julian</t>
  </si>
  <si>
    <t>Hernandez, Karen</t>
  </si>
  <si>
    <t>James, Natalie</t>
  </si>
  <si>
    <t>Price, Adriana</t>
  </si>
  <si>
    <t>He, Ricky</t>
  </si>
  <si>
    <t>Tadepalli, Ashwin</t>
  </si>
  <si>
    <t>Norton, Carolyn</t>
  </si>
  <si>
    <t>Hernandez, Marisol</t>
  </si>
  <si>
    <t>McHugh Mills, Maura</t>
  </si>
  <si>
    <t>Twersky, Jonathan</t>
  </si>
  <si>
    <t>Watson, Michael</t>
  </si>
  <si>
    <t>Anvid, Taylor</t>
  </si>
  <si>
    <t>Fuller-Bennett, Reuben</t>
  </si>
  <si>
    <t>Frizell, Catherine</t>
  </si>
  <si>
    <t>Giles, Debra</t>
  </si>
  <si>
    <t>Ansari, Saif</t>
  </si>
  <si>
    <t>Edwards, Patrice</t>
  </si>
  <si>
    <t>Casey, Jonnelle</t>
  </si>
  <si>
    <t>Ricart, Janet</t>
  </si>
  <si>
    <t>McCowen, Tamella</t>
  </si>
  <si>
    <t>Sun, Dao</t>
  </si>
  <si>
    <t>Goyzueta, Anna</t>
  </si>
  <si>
    <t>Nachman, Fraidy</t>
  </si>
  <si>
    <t>Licharson, Tom</t>
  </si>
  <si>
    <t>Neilson, Kathryn</t>
  </si>
  <si>
    <t>Allen, Sharette</t>
  </si>
  <si>
    <t>Schiff, Logan</t>
  </si>
  <si>
    <t>Gathing, Vance</t>
  </si>
  <si>
    <t>Hoque, Shatti</t>
  </si>
  <si>
    <t>Krishnaswamy, Pavita</t>
  </si>
  <si>
    <t>Almanzar, Milagros</t>
  </si>
  <si>
    <t>Vale, Yvonne</t>
  </si>
  <si>
    <t>Fukuda, Noriko</t>
  </si>
  <si>
    <t>Pettit, Stephanie</t>
  </si>
  <si>
    <t>McDonald, Susan</t>
  </si>
  <si>
    <t>Bash, Rachel</t>
  </si>
  <si>
    <t>Olagoke, Khadijat</t>
  </si>
  <si>
    <t>Guzman, Michael</t>
  </si>
  <si>
    <t>Mendia-Yadaicela, Michelle</t>
  </si>
  <si>
    <t>Rosen, David</t>
  </si>
  <si>
    <t>Morgan, Zuri</t>
  </si>
  <si>
    <t>Deolarte, Stephanie</t>
  </si>
  <si>
    <t>Lee, Alicia</t>
  </si>
  <si>
    <t>Porcelli, Ronald</t>
  </si>
  <si>
    <t>Gonzalez, Gabriela</t>
  </si>
  <si>
    <t>Tongo, Salima</t>
  </si>
  <si>
    <t>Cowen, Lindsay</t>
  </si>
  <si>
    <t>Clifford, Mun</t>
  </si>
  <si>
    <t>Burns, Erin</t>
  </si>
  <si>
    <t>St. Louis, Bianca</t>
  </si>
  <si>
    <t>Barreda, Catherine</t>
  </si>
  <si>
    <t>Frias De Sosa, Yajaira</t>
  </si>
  <si>
    <t>Goldberg, Heather</t>
  </si>
  <si>
    <t>Geha, Nada</t>
  </si>
  <si>
    <t>Lebro-Lopez, Wanda</t>
  </si>
  <si>
    <t>Falco, Fara</t>
  </si>
  <si>
    <t>Cisneros, Marisol</t>
  </si>
  <si>
    <t>Figueroa, Vianca</t>
  </si>
  <si>
    <t>Lee, Jooyeon</t>
  </si>
  <si>
    <t>Baptiste, Sharon</t>
  </si>
  <si>
    <t>Landry-Reyes, Jane</t>
  </si>
  <si>
    <t>Laureano, Luz</t>
  </si>
  <si>
    <t>Carrasco, Yazmin</t>
  </si>
  <si>
    <t>Rahman, Urooj</t>
  </si>
  <si>
    <t>Hammond, Robert</t>
  </si>
  <si>
    <t>Reardon, Elizabeth</t>
  </si>
  <si>
    <t>Haarmann, Landry</t>
  </si>
  <si>
    <t>Roberts, Jonathan</t>
  </si>
  <si>
    <t>Josephson, Edward</t>
  </si>
  <si>
    <t>Laffer, Tara</t>
  </si>
  <si>
    <t>Black, Rosalind</t>
  </si>
  <si>
    <t>Eisom, Stanley</t>
  </si>
  <si>
    <t>Figueroa, Sylvia</t>
  </si>
  <si>
    <t>Bowman, Cathy</t>
  </si>
  <si>
    <t>Huang, Amanda</t>
  </si>
  <si>
    <t>Baltimore, Beth</t>
  </si>
  <si>
    <t>Zentner, Camille</t>
  </si>
  <si>
    <t>Alexis, Jennifer</t>
  </si>
  <si>
    <t>Welbeck, Sophia</t>
  </si>
  <si>
    <t>Goldman, Caitlin</t>
  </si>
  <si>
    <t>Abrigo, Jose</t>
  </si>
  <si>
    <t>Libbey, Mackenzie</t>
  </si>
  <si>
    <t>Novasky, Aisha</t>
  </si>
  <si>
    <t>Sanchez, Richard</t>
  </si>
  <si>
    <t>Velasquez, Diana</t>
  </si>
  <si>
    <t>Gonzalez, Migdalia</t>
  </si>
  <si>
    <t>Savinon, Clara</t>
  </si>
  <si>
    <t>Garcia, Alexandra</t>
  </si>
  <si>
    <t>Siegel, Jill</t>
  </si>
  <si>
    <t>Brownback, Liz</t>
  </si>
  <si>
    <t>Villalobos, Tanya</t>
  </si>
  <si>
    <t>Singh, Ermela</t>
  </si>
  <si>
    <t>Douglas, Tanya</t>
  </si>
  <si>
    <t>St. Marie, Monique</t>
  </si>
  <si>
    <t>Dunlop-German, Allison</t>
  </si>
  <si>
    <t>Alba, Sarah</t>
  </si>
  <si>
    <t>Tyler, Johnson</t>
  </si>
  <si>
    <t>Rosner, Julia</t>
  </si>
  <si>
    <t>Morgan, Rose</t>
  </si>
  <si>
    <t>Castillo, Angel</t>
  </si>
  <si>
    <t>Amjad, Robia</t>
  </si>
  <si>
    <t>Porcelli, Matthew</t>
  </si>
  <si>
    <t>Cook, Veronica</t>
  </si>
  <si>
    <t>Lorenzo, Alexis</t>
  </si>
  <si>
    <t>Bateman, Steven</t>
  </si>
  <si>
    <t>Encarnacion-Badru, Bea</t>
  </si>
  <si>
    <t>Santana, Bridgette</t>
  </si>
  <si>
    <t>Katz, Cindy</t>
  </si>
  <si>
    <t>Vu, Michelle</t>
  </si>
  <si>
    <t>McCune, Mary</t>
  </si>
  <si>
    <t>Open</t>
  </si>
  <si>
    <t>Closed</t>
  </si>
  <si>
    <t>12/16/2015</t>
  </si>
  <si>
    <t>01/15/2016</t>
  </si>
  <si>
    <t>02/17/2016</t>
  </si>
  <si>
    <t>02/18/2016</t>
  </si>
  <si>
    <t>03/31/2016</t>
  </si>
  <si>
    <t>04/13/2016</t>
  </si>
  <si>
    <t>04/27/2016</t>
  </si>
  <si>
    <t>05/26/2016</t>
  </si>
  <si>
    <t>06/10/2016</t>
  </si>
  <si>
    <t>06/14/2016</t>
  </si>
  <si>
    <t>06/27/2016</t>
  </si>
  <si>
    <t>11/09/2016</t>
  </si>
  <si>
    <t>11/17/2016</t>
  </si>
  <si>
    <t>04/12/2017</t>
  </si>
  <si>
    <t>04/18/2017</t>
  </si>
  <si>
    <t>05/02/2017</t>
  </si>
  <si>
    <t>05/17/2017</t>
  </si>
  <si>
    <t>05/18/2017</t>
  </si>
  <si>
    <t>05/23/2017</t>
  </si>
  <si>
    <t>06/01/2017</t>
  </si>
  <si>
    <t>06/02/2017</t>
  </si>
  <si>
    <t>06/13/2017</t>
  </si>
  <si>
    <t>06/20/2017</t>
  </si>
  <si>
    <t>06/22/2017</t>
  </si>
  <si>
    <t>06/27/2017</t>
  </si>
  <si>
    <t>06/29/2017</t>
  </si>
  <si>
    <t>06/30/2017</t>
  </si>
  <si>
    <t>07/11/2017</t>
  </si>
  <si>
    <t>09/21/2017</t>
  </si>
  <si>
    <t>10/26/2017</t>
  </si>
  <si>
    <t>12/18/2017</t>
  </si>
  <si>
    <t>01/10/2018</t>
  </si>
  <si>
    <t>01/24/2018</t>
  </si>
  <si>
    <t>01/29/2018</t>
  </si>
  <si>
    <t>02/02/2018</t>
  </si>
  <si>
    <t>02/15/2018</t>
  </si>
  <si>
    <t>02/20/2018</t>
  </si>
  <si>
    <t>03/05/2018</t>
  </si>
  <si>
    <t>03/12/2018</t>
  </si>
  <si>
    <t>03/27/2018</t>
  </si>
  <si>
    <t>03/29/2018</t>
  </si>
  <si>
    <t>04/25/2018</t>
  </si>
  <si>
    <t>04/26/2018</t>
  </si>
  <si>
    <t>05/02/2018</t>
  </si>
  <si>
    <t>05/07/2018</t>
  </si>
  <si>
    <t>05/09/2018</t>
  </si>
  <si>
    <t>05/15/2018</t>
  </si>
  <si>
    <t>05/16/2018</t>
  </si>
  <si>
    <t>05/18/2018</t>
  </si>
  <si>
    <t>05/21/2018</t>
  </si>
  <si>
    <t>05/23/2018</t>
  </si>
  <si>
    <t>05/24/2018</t>
  </si>
  <si>
    <t>05/30/2018</t>
  </si>
  <si>
    <t>06/04/2018</t>
  </si>
  <si>
    <t>06/06/2018</t>
  </si>
  <si>
    <t>06/08/2018</t>
  </si>
  <si>
    <t>06/12/2018</t>
  </si>
  <si>
    <t>06/13/2018</t>
  </si>
  <si>
    <t>06/15/2018</t>
  </si>
  <si>
    <t>06/20/2018</t>
  </si>
  <si>
    <t>06/22/2018</t>
  </si>
  <si>
    <t>06/25/2018</t>
  </si>
  <si>
    <t>06/26/2018</t>
  </si>
  <si>
    <t>06/27/2018</t>
  </si>
  <si>
    <t>06/28/2018</t>
  </si>
  <si>
    <t>06/29/2018</t>
  </si>
  <si>
    <t>07/17/2018</t>
  </si>
  <si>
    <t>07/18/2018</t>
  </si>
  <si>
    <t>07/24/2018</t>
  </si>
  <si>
    <t>10/04/2018</t>
  </si>
  <si>
    <t>10/09/2018</t>
  </si>
  <si>
    <t>10/10/2018</t>
  </si>
  <si>
    <t>01/09/2019</t>
  </si>
  <si>
    <t>01/10/2019</t>
  </si>
  <si>
    <t>03/01/2019</t>
  </si>
  <si>
    <t>04/08/2015</t>
  </si>
  <si>
    <t>06/05/2018</t>
  </si>
  <si>
    <t>07/02/2018</t>
  </si>
  <si>
    <t>07/03/2018</t>
  </si>
  <si>
    <t>07/03/2017</t>
  </si>
  <si>
    <t>09/05/2018</t>
  </si>
  <si>
    <t>03/01/2018</t>
  </si>
  <si>
    <t>07/05/2017</t>
  </si>
  <si>
    <t>07/05/2018</t>
  </si>
  <si>
    <t>07/06/2018</t>
  </si>
  <si>
    <t>11/02/2018</t>
  </si>
  <si>
    <t>11/05/2018</t>
  </si>
  <si>
    <t>06/15/2017</t>
  </si>
  <si>
    <t>03/28/2018</t>
  </si>
  <si>
    <t>07/09/2018</t>
  </si>
  <si>
    <t>06/14/2018</t>
  </si>
  <si>
    <t>06/21/2018</t>
  </si>
  <si>
    <t>07/10/2018</t>
  </si>
  <si>
    <t>07/12/2018</t>
  </si>
  <si>
    <t>07/20/2018</t>
  </si>
  <si>
    <t>04/16/2018</t>
  </si>
  <si>
    <t>07/11/2018</t>
  </si>
  <si>
    <t>07/13/2018</t>
  </si>
  <si>
    <t>07/23/2018</t>
  </si>
  <si>
    <t>08/23/2018</t>
  </si>
  <si>
    <t>04/12/2018</t>
  </si>
  <si>
    <t>06/18/2018</t>
  </si>
  <si>
    <t>06/26/2017</t>
  </si>
  <si>
    <t>07/13/2017</t>
  </si>
  <si>
    <t>07/16/2018</t>
  </si>
  <si>
    <t>07/27/2018</t>
  </si>
  <si>
    <t>07/17/2017</t>
  </si>
  <si>
    <t>07/19/2018</t>
  </si>
  <si>
    <t>07/18/2017</t>
  </si>
  <si>
    <t>09/25/2018</t>
  </si>
  <si>
    <t>12/11/2018</t>
  </si>
  <si>
    <t>07/19/2017</t>
  </si>
  <si>
    <t>06/19/2018</t>
  </si>
  <si>
    <t>04/09/2018</t>
  </si>
  <si>
    <t>01/17/2018</t>
  </si>
  <si>
    <t>09/27/2018</t>
  </si>
  <si>
    <t>01/11/2019</t>
  </si>
  <si>
    <t>06/21/2017</t>
  </si>
  <si>
    <t>04/02/2018</t>
  </si>
  <si>
    <t>08/08/2018</t>
  </si>
  <si>
    <t>01/18/2018</t>
  </si>
  <si>
    <t>06/07/2018</t>
  </si>
  <si>
    <t>07/25/2018</t>
  </si>
  <si>
    <t>07/26/2018</t>
  </si>
  <si>
    <t>07/31/2018</t>
  </si>
  <si>
    <t>05/08/2018</t>
  </si>
  <si>
    <t>05/14/2018</t>
  </si>
  <si>
    <t>08/01/2018</t>
  </si>
  <si>
    <t>07/27/2017</t>
  </si>
  <si>
    <t>11/29/2017</t>
  </si>
  <si>
    <t>03/09/2018</t>
  </si>
  <si>
    <t>03/13/2018</t>
  </si>
  <si>
    <t>03/23/2018</t>
  </si>
  <si>
    <t>05/29/2018</t>
  </si>
  <si>
    <t>07/30/2018</t>
  </si>
  <si>
    <t>08/13/2018</t>
  </si>
  <si>
    <t>12/14/2016</t>
  </si>
  <si>
    <t>06/19/2017</t>
  </si>
  <si>
    <t>08/11/2017</t>
  </si>
  <si>
    <t>09/11/2017</t>
  </si>
  <si>
    <t>01/12/2018</t>
  </si>
  <si>
    <t>01/19/2018</t>
  </si>
  <si>
    <t>02/27/2018</t>
  </si>
  <si>
    <t>03/14/2018</t>
  </si>
  <si>
    <t>03/21/2018</t>
  </si>
  <si>
    <t>04/03/2018</t>
  </si>
  <si>
    <t>04/05/2018</t>
  </si>
  <si>
    <t>04/18/2018</t>
  </si>
  <si>
    <t>04/19/2018</t>
  </si>
  <si>
    <t>05/04/2018</t>
  </si>
  <si>
    <t>08/02/2018</t>
  </si>
  <si>
    <t>08/29/2018</t>
  </si>
  <si>
    <t>12/31/2018</t>
  </si>
  <si>
    <t>07/25/2016</t>
  </si>
  <si>
    <t>07/01/2017</t>
  </si>
  <si>
    <t>08/03/2018</t>
  </si>
  <si>
    <t>08/07/2018</t>
  </si>
  <si>
    <t>07/29/2016</t>
  </si>
  <si>
    <t>08/06/2018</t>
  </si>
  <si>
    <t>08/07/2017</t>
  </si>
  <si>
    <t>03/19/2018</t>
  </si>
  <si>
    <t>01/08/2018</t>
  </si>
  <si>
    <t>08/09/2018</t>
  </si>
  <si>
    <t>08/14/2018</t>
  </si>
  <si>
    <t>05/31/2018</t>
  </si>
  <si>
    <t>02/16/2019</t>
  </si>
  <si>
    <t>02/17/2019</t>
  </si>
  <si>
    <t>08/08/2016</t>
  </si>
  <si>
    <t>08/10/2018</t>
  </si>
  <si>
    <t>08/24/2018</t>
  </si>
  <si>
    <t>08/27/2018</t>
  </si>
  <si>
    <t>10/27/2017</t>
  </si>
  <si>
    <t>06/11/2018</t>
  </si>
  <si>
    <t>08/15/2018</t>
  </si>
  <si>
    <t>08/20/2018</t>
  </si>
  <si>
    <t>11/15/2018</t>
  </si>
  <si>
    <t>12/06/2018</t>
  </si>
  <si>
    <t>12/07/2018</t>
  </si>
  <si>
    <t>07/21/2017</t>
  </si>
  <si>
    <t>08/21/2018</t>
  </si>
  <si>
    <t>08/28/2018</t>
  </si>
  <si>
    <t>08/30/2018</t>
  </si>
  <si>
    <t>09/06/2018</t>
  </si>
  <si>
    <t>11/14/2018</t>
  </si>
  <si>
    <t>08/16/2018</t>
  </si>
  <si>
    <t>08/18/2017</t>
  </si>
  <si>
    <t>08/17/2018</t>
  </si>
  <si>
    <t>10/03/2018</t>
  </si>
  <si>
    <t>08/31/2018</t>
  </si>
  <si>
    <t>09/04/2018</t>
  </si>
  <si>
    <t>03/26/2018</t>
  </si>
  <si>
    <t>08/22/2018</t>
  </si>
  <si>
    <t>09/19/2018</t>
  </si>
  <si>
    <t>12/14/2017</t>
  </si>
  <si>
    <t>04/04/2018</t>
  </si>
  <si>
    <t>08/23/2017</t>
  </si>
  <si>
    <t>03/30/2018</t>
  </si>
  <si>
    <t>04/20/2018</t>
  </si>
  <si>
    <t>09/28/2018</t>
  </si>
  <si>
    <t>03/20/2018</t>
  </si>
  <si>
    <t>04/11/2018</t>
  </si>
  <si>
    <t>10/30/2017</t>
  </si>
  <si>
    <t>08/26/2016</t>
  </si>
  <si>
    <t>09/12/2018</t>
  </si>
  <si>
    <t>08/28/2017</t>
  </si>
  <si>
    <t>01/09/2018</t>
  </si>
  <si>
    <t>06/23/2018</t>
  </si>
  <si>
    <t>08/30/2017</t>
  </si>
  <si>
    <t>08/16/2017</t>
  </si>
  <si>
    <t>09/01/2017</t>
  </si>
  <si>
    <t>09/05/2017</t>
  </si>
  <si>
    <t>11/06/2017</t>
  </si>
  <si>
    <t>12/15/2017</t>
  </si>
  <si>
    <t>12/27/2017</t>
  </si>
  <si>
    <t>12/28/2017</t>
  </si>
  <si>
    <t>01/23/2018</t>
  </si>
  <si>
    <t>02/09/2018</t>
  </si>
  <si>
    <t>03/08/2018</t>
  </si>
  <si>
    <t>04/06/2018</t>
  </si>
  <si>
    <t>04/10/2018</t>
  </si>
  <si>
    <t>04/17/2018</t>
  </si>
  <si>
    <t>04/27/2018</t>
  </si>
  <si>
    <t>05/01/2018</t>
  </si>
  <si>
    <t>05/03/2018</t>
  </si>
  <si>
    <t>05/17/2018</t>
  </si>
  <si>
    <t>05/22/2018</t>
  </si>
  <si>
    <t>05/25/2018</t>
  </si>
  <si>
    <t>06/01/2018</t>
  </si>
  <si>
    <t>09/03/2018</t>
  </si>
  <si>
    <t>09/14/2018</t>
  </si>
  <si>
    <t>09/18/2018</t>
  </si>
  <si>
    <t>01/14/2019</t>
  </si>
  <si>
    <t>02/26/2019</t>
  </si>
  <si>
    <t>10/02/2018</t>
  </si>
  <si>
    <t>09/10/2018</t>
  </si>
  <si>
    <t>11/09/2018</t>
  </si>
  <si>
    <t>09/11/2018</t>
  </si>
  <si>
    <t>09/07/2018</t>
  </si>
  <si>
    <t>12/22/2015</t>
  </si>
  <si>
    <t>06/06/2017</t>
  </si>
  <si>
    <t>09/21/2018</t>
  </si>
  <si>
    <t>10/01/2018</t>
  </si>
  <si>
    <t>10/18/2016</t>
  </si>
  <si>
    <t>09/12/2017</t>
  </si>
  <si>
    <t>09/13/2018</t>
  </si>
  <si>
    <t>09/08/2017</t>
  </si>
  <si>
    <t>09/17/2018</t>
  </si>
  <si>
    <t>09/24/2018</t>
  </si>
  <si>
    <t>12/02/2015</t>
  </si>
  <si>
    <t>05/11/2016</t>
  </si>
  <si>
    <t>11/14/2016</t>
  </si>
  <si>
    <t>09/01/2018</t>
  </si>
  <si>
    <t>10/11/2018</t>
  </si>
  <si>
    <t>01/16/2018</t>
  </si>
  <si>
    <t>09/20/2018</t>
  </si>
  <si>
    <t>09/19/2017</t>
  </si>
  <si>
    <t>09/19/2016</t>
  </si>
  <si>
    <t>09/26/2018</t>
  </si>
  <si>
    <t>10/15/2018</t>
  </si>
  <si>
    <t>09/21/2016</t>
  </si>
  <si>
    <t>09/25/2017</t>
  </si>
  <si>
    <t>11/20/2018</t>
  </si>
  <si>
    <t>09/26/2017</t>
  </si>
  <si>
    <t>10/19/2018</t>
  </si>
  <si>
    <t>10/05/2018</t>
  </si>
  <si>
    <t>09/28/2017</t>
  </si>
  <si>
    <t>09/29/2017</t>
  </si>
  <si>
    <t>05/18/2016</t>
  </si>
  <si>
    <t>08/04/2017</t>
  </si>
  <si>
    <t>02/14/2018</t>
  </si>
  <si>
    <t>03/06/2018</t>
  </si>
  <si>
    <t>03/07/2018</t>
  </si>
  <si>
    <t>10/12/2018</t>
  </si>
  <si>
    <t>01/06/2017</t>
  </si>
  <si>
    <t>10/02/2017</t>
  </si>
  <si>
    <t>10/03/2017</t>
  </si>
  <si>
    <t>10/26/2018</t>
  </si>
  <si>
    <t>10/05/2017</t>
  </si>
  <si>
    <t>10/06/2017</t>
  </si>
  <si>
    <t>10/10/2017</t>
  </si>
  <si>
    <t>09/29/2018</t>
  </si>
  <si>
    <t>10/16/2018</t>
  </si>
  <si>
    <t>10/25/2018</t>
  </si>
  <si>
    <t>10/11/2016</t>
  </si>
  <si>
    <t>10/12/2017</t>
  </si>
  <si>
    <t>10/16/2017</t>
  </si>
  <si>
    <t>09/18/2017</t>
  </si>
  <si>
    <t>10/17/2017</t>
  </si>
  <si>
    <t>10/17/2018</t>
  </si>
  <si>
    <t>10/23/2018</t>
  </si>
  <si>
    <t>10/24/2018</t>
  </si>
  <si>
    <t>04/02/2015</t>
  </si>
  <si>
    <t>10/18/2017</t>
  </si>
  <si>
    <t>10/18/2018</t>
  </si>
  <si>
    <t>03/10/2015</t>
  </si>
  <si>
    <t>11/08/2018</t>
  </si>
  <si>
    <t>02/26/2018</t>
  </si>
  <si>
    <t>10/22/2018</t>
  </si>
  <si>
    <t>10/23/2017</t>
  </si>
  <si>
    <t>10/31/2018</t>
  </si>
  <si>
    <t>10/25/2017</t>
  </si>
  <si>
    <t>10/29/2018</t>
  </si>
  <si>
    <t>11/01/2018</t>
  </si>
  <si>
    <t>10/30/2018</t>
  </si>
  <si>
    <t>11/07/2018</t>
  </si>
  <si>
    <t>04/14/2017</t>
  </si>
  <si>
    <t>09/30/2016</t>
  </si>
  <si>
    <t>07/06/2017</t>
  </si>
  <si>
    <t>10/04/2017</t>
  </si>
  <si>
    <t>11/13/2018</t>
  </si>
  <si>
    <t>11/28/2018</t>
  </si>
  <si>
    <t>08/19/2016</t>
  </si>
  <si>
    <t>09/13/2016</t>
  </si>
  <si>
    <t>11/03/2017</t>
  </si>
  <si>
    <t>04/24/2018</t>
  </si>
  <si>
    <t>03/11/2019</t>
  </si>
  <si>
    <t>11/06/2018</t>
  </si>
  <si>
    <t>02/28/2019</t>
  </si>
  <si>
    <t>03/14/2019</t>
  </si>
  <si>
    <t>11/16/2017</t>
  </si>
  <si>
    <t>11/16/2018</t>
  </si>
  <si>
    <t>11/17/2017</t>
  </si>
  <si>
    <t>11/19/2018</t>
  </si>
  <si>
    <t>11/21/2018</t>
  </si>
  <si>
    <t>11/27/2018</t>
  </si>
  <si>
    <t>11/30/2018</t>
  </si>
  <si>
    <t>01/04/2019</t>
  </si>
  <si>
    <t>11/26/2018</t>
  </si>
  <si>
    <t>12/18/2018</t>
  </si>
  <si>
    <t>04/11/2019</t>
  </si>
  <si>
    <t>04/12/2019</t>
  </si>
  <si>
    <t>11/22/2017</t>
  </si>
  <si>
    <t>01/26/2018</t>
  </si>
  <si>
    <t>11/29/2018</t>
  </si>
  <si>
    <t>11/28/2017</t>
  </si>
  <si>
    <t>01/30/2019</t>
  </si>
  <si>
    <t>12/03/2018</t>
  </si>
  <si>
    <t>04/07/2017</t>
  </si>
  <si>
    <t>12/01/2017</t>
  </si>
  <si>
    <t>08/19/2018</t>
  </si>
  <si>
    <t>12/05/2018</t>
  </si>
  <si>
    <t>12/10/2018</t>
  </si>
  <si>
    <t>12/20/2018</t>
  </si>
  <si>
    <t>01/15/2019</t>
  </si>
  <si>
    <t>12/04/2017</t>
  </si>
  <si>
    <t>12/04/2018</t>
  </si>
  <si>
    <t>12/17/2018</t>
  </si>
  <si>
    <t>12/12/2018</t>
  </si>
  <si>
    <t>02/08/2019</t>
  </si>
  <si>
    <t>12/13/2018</t>
  </si>
  <si>
    <t>12/19/2018</t>
  </si>
  <si>
    <t>01/28/2019</t>
  </si>
  <si>
    <t>01/29/2019</t>
  </si>
  <si>
    <t>03/27/2019</t>
  </si>
  <si>
    <t>12/12/2017</t>
  </si>
  <si>
    <t>12/14/2018</t>
  </si>
  <si>
    <t>01/23/2019</t>
  </si>
  <si>
    <t>12/27/2018</t>
  </si>
  <si>
    <t>01/05/2018</t>
  </si>
  <si>
    <t>03/16/2018</t>
  </si>
  <si>
    <t>02/07/2019</t>
  </si>
  <si>
    <t>12/21/2018</t>
  </si>
  <si>
    <t>01/08/2019</t>
  </si>
  <si>
    <t>12/24/2018</t>
  </si>
  <si>
    <t>12/26/2018</t>
  </si>
  <si>
    <t>01/22/2019</t>
  </si>
  <si>
    <t>12/22/2017</t>
  </si>
  <si>
    <t>01/25/2019</t>
  </si>
  <si>
    <t>02/06/2019</t>
  </si>
  <si>
    <t>12/26/2017</t>
  </si>
  <si>
    <t>12/28/2018</t>
  </si>
  <si>
    <t>01/02/2019</t>
  </si>
  <si>
    <t>02/04/2019</t>
  </si>
  <si>
    <t>04/30/2018</t>
  </si>
  <si>
    <t>01/07/2019</t>
  </si>
  <si>
    <t>09/26/2016</t>
  </si>
  <si>
    <t>01/03/2019</t>
  </si>
  <si>
    <t>01/18/2019</t>
  </si>
  <si>
    <t>06/10/2019</t>
  </si>
  <si>
    <t>01/04/2018</t>
  </si>
  <si>
    <t>01/05/2019</t>
  </si>
  <si>
    <t>02/22/2019</t>
  </si>
  <si>
    <t>04/09/2019</t>
  </si>
  <si>
    <t>01/10/2017</t>
  </si>
  <si>
    <t>01/16/2019</t>
  </si>
  <si>
    <t>01/17/2019</t>
  </si>
  <si>
    <t>02/25/2019</t>
  </si>
  <si>
    <t>06/04/2019</t>
  </si>
  <si>
    <t>01/19/2019</t>
  </si>
  <si>
    <t>02/14/2019</t>
  </si>
  <si>
    <t>01/24/2019</t>
  </si>
  <si>
    <t>01/22/2018</t>
  </si>
  <si>
    <t>01/26/2019</t>
  </si>
  <si>
    <t>01/31/2019</t>
  </si>
  <si>
    <t>01/17/2017</t>
  </si>
  <si>
    <t>02/13/2019</t>
  </si>
  <si>
    <t>01/02/2018</t>
  </si>
  <si>
    <t>02/01/2019</t>
  </si>
  <si>
    <t>02/15/2019</t>
  </si>
  <si>
    <t>03/20/2019</t>
  </si>
  <si>
    <t>06/16/2017</t>
  </si>
  <si>
    <t>01/27/2019</t>
  </si>
  <si>
    <t>02/05/2019</t>
  </si>
  <si>
    <t>02/11/2019</t>
  </si>
  <si>
    <t>02/12/2019</t>
  </si>
  <si>
    <t>02/20/2019</t>
  </si>
  <si>
    <t>12/09/2016</t>
  </si>
  <si>
    <t>02/05/2018</t>
  </si>
  <si>
    <t>02/06/2018</t>
  </si>
  <si>
    <t>03/04/2019</t>
  </si>
  <si>
    <t>03/05/2019</t>
  </si>
  <si>
    <t>03/06/2019</t>
  </si>
  <si>
    <t>03/07/2019</t>
  </si>
  <si>
    <t>03/15/2019</t>
  </si>
  <si>
    <t>02/19/2019</t>
  </si>
  <si>
    <t>02/21/2019</t>
  </si>
  <si>
    <t>02/27/2019</t>
  </si>
  <si>
    <t>03/08/2019</t>
  </si>
  <si>
    <t>04/17/2019</t>
  </si>
  <si>
    <t>04/18/2019</t>
  </si>
  <si>
    <t>04/19/2019</t>
  </si>
  <si>
    <t>04/22/2019</t>
  </si>
  <si>
    <t>04/23/2019</t>
  </si>
  <si>
    <t>04/24/2019</t>
  </si>
  <si>
    <t>04/25/2019</t>
  </si>
  <si>
    <t>04/29/2019</t>
  </si>
  <si>
    <t>04/30/2019</t>
  </si>
  <si>
    <t>05/02/2019</t>
  </si>
  <si>
    <t>05/03/2019</t>
  </si>
  <si>
    <t>05/06/2019</t>
  </si>
  <si>
    <t>06/12/2019</t>
  </si>
  <si>
    <t>06/19/2019</t>
  </si>
  <si>
    <t>12/21/2017</t>
  </si>
  <si>
    <t>03/19/2019</t>
  </si>
  <si>
    <t>02/16/2018</t>
  </si>
  <si>
    <t>03/21/2019</t>
  </si>
  <si>
    <t>11/21/2017</t>
  </si>
  <si>
    <t>03/29/2019</t>
  </si>
  <si>
    <t>04/16/2019</t>
  </si>
  <si>
    <t>04/01/2019</t>
  </si>
  <si>
    <t>01/01/2019</t>
  </si>
  <si>
    <t>03/02/2019</t>
  </si>
  <si>
    <t>03/12/2019</t>
  </si>
  <si>
    <t>03/13/2019</t>
  </si>
  <si>
    <t>03/18/2019</t>
  </si>
  <si>
    <t>03/22/2019</t>
  </si>
  <si>
    <t>03/25/2019</t>
  </si>
  <si>
    <t>03/26/2019</t>
  </si>
  <si>
    <t>11/12/2018</t>
  </si>
  <si>
    <t>04/04/2019</t>
  </si>
  <si>
    <t>04/08/2019</t>
  </si>
  <si>
    <t>03/28/2019</t>
  </si>
  <si>
    <t>04/02/2019</t>
  </si>
  <si>
    <t>04/03/2019</t>
  </si>
  <si>
    <t>04/14/2019</t>
  </si>
  <si>
    <t>05/30/2019</t>
  </si>
  <si>
    <t>11/04/2018</t>
  </si>
  <si>
    <t>11/17/2018</t>
  </si>
  <si>
    <t>04/05/2019</t>
  </si>
  <si>
    <t>04/26/2019</t>
  </si>
  <si>
    <t>04/10/2019</t>
  </si>
  <si>
    <t>04/15/2019</t>
  </si>
  <si>
    <t>05/22/2019</t>
  </si>
  <si>
    <t>05/15/2019</t>
  </si>
  <si>
    <t>05/23/2019</t>
  </si>
  <si>
    <t>06/03/2019</t>
  </si>
  <si>
    <t>05/24/2019</t>
  </si>
  <si>
    <t>05/28/2019</t>
  </si>
  <si>
    <t>05/01/2019</t>
  </si>
  <si>
    <t>05/07/2019</t>
  </si>
  <si>
    <t>05/25/2017</t>
  </si>
  <si>
    <t>05/13/2019</t>
  </si>
  <si>
    <t>06/06/2019</t>
  </si>
  <si>
    <t>05/08/2019</t>
  </si>
  <si>
    <t>05/09/2019</t>
  </si>
  <si>
    <t>05/10/2019</t>
  </si>
  <si>
    <t>05/14/2019</t>
  </si>
  <si>
    <t>05/16/2019</t>
  </si>
  <si>
    <t>05/17/2019</t>
  </si>
  <si>
    <t>06/25/2019</t>
  </si>
  <si>
    <t>05/21/2019</t>
  </si>
  <si>
    <t>05/20/2019</t>
  </si>
  <si>
    <t>05/27/2019</t>
  </si>
  <si>
    <t>05/29/2019</t>
  </si>
  <si>
    <t>06/13/2019</t>
  </si>
  <si>
    <t>05/31/2019</t>
  </si>
  <si>
    <t>06/05/2019</t>
  </si>
  <si>
    <t>06/07/2019</t>
  </si>
  <si>
    <t>06/14/2019</t>
  </si>
  <si>
    <t>06/17/2019</t>
  </si>
  <si>
    <t>06/18/2019</t>
  </si>
  <si>
    <t>06/21/2019</t>
  </si>
  <si>
    <t>06/20/2019</t>
  </si>
  <si>
    <t>06/24/2019</t>
  </si>
  <si>
    <t>06/28/2019</t>
  </si>
  <si>
    <t>02/11/2018</t>
  </si>
  <si>
    <t>06/26/2019</t>
  </si>
  <si>
    <t>06/27/2019</t>
  </si>
  <si>
    <t>11/03/2018</t>
  </si>
  <si>
    <t>11/18/2018</t>
  </si>
  <si>
    <t>06/09/2019</t>
  </si>
  <si>
    <t>06/11/2019</t>
  </si>
  <si>
    <t>12/29/2018</t>
  </si>
  <si>
    <t>09/09/2018</t>
  </si>
  <si>
    <t>02/24/2019</t>
  </si>
  <si>
    <t>12/09/2018</t>
  </si>
  <si>
    <t>10/20/2018</t>
  </si>
  <si>
    <t>02/09/2019</t>
  </si>
  <si>
    <t>12/16/2018</t>
  </si>
  <si>
    <t>07/28/2018</t>
  </si>
  <si>
    <t>12/22/2018</t>
  </si>
  <si>
    <t>12/25/2018</t>
  </si>
  <si>
    <t>10/08/2018</t>
  </si>
  <si>
    <t>12/01/2018</t>
  </si>
  <si>
    <t>12/08/2018</t>
  </si>
  <si>
    <t>04/20/2019</t>
  </si>
  <si>
    <t>05/12/2019</t>
  </si>
  <si>
    <t>12/15/2018</t>
  </si>
  <si>
    <t>07/01/2019</t>
  </si>
  <si>
    <t>04/13/2019</t>
  </si>
  <si>
    <t>06/29/2019</t>
  </si>
  <si>
    <t>02/02/2019</t>
  </si>
  <si>
    <t>02/18/2019</t>
  </si>
  <si>
    <t>05/18/2019</t>
  </si>
  <si>
    <t>02/10/2019</t>
  </si>
  <si>
    <t>10/28/2018</t>
  </si>
  <si>
    <t>Richard</t>
  </si>
  <si>
    <t>Kimahite</t>
  </si>
  <si>
    <t>Charlene</t>
  </si>
  <si>
    <t>Ana</t>
  </si>
  <si>
    <t>Bienvenida</t>
  </si>
  <si>
    <t>Phyllis</t>
  </si>
  <si>
    <t>Jason</t>
  </si>
  <si>
    <t>Rosa</t>
  </si>
  <si>
    <t>Marisol</t>
  </si>
  <si>
    <t>Lesly</t>
  </si>
  <si>
    <t>Sharlene</t>
  </si>
  <si>
    <t>James</t>
  </si>
  <si>
    <t>Mohammed</t>
  </si>
  <si>
    <t>Juan</t>
  </si>
  <si>
    <t>Teofilo</t>
  </si>
  <si>
    <t>Nathaniel</t>
  </si>
  <si>
    <t>Amina</t>
  </si>
  <si>
    <t>EVELYN</t>
  </si>
  <si>
    <t>Denise</t>
  </si>
  <si>
    <t>Maria</t>
  </si>
  <si>
    <t>Kheava</t>
  </si>
  <si>
    <t>Keion</t>
  </si>
  <si>
    <t>Larry</t>
  </si>
  <si>
    <t>Kimberly</t>
  </si>
  <si>
    <t>Sherell</t>
  </si>
  <si>
    <t>Anthony</t>
  </si>
  <si>
    <t>Mariano</t>
  </si>
  <si>
    <t>Katherine</t>
  </si>
  <si>
    <t>Mildred</t>
  </si>
  <si>
    <t>Modesto</t>
  </si>
  <si>
    <t>Migdalia</t>
  </si>
  <si>
    <t>Tiffany</t>
  </si>
  <si>
    <t>Luis</t>
  </si>
  <si>
    <t>Rafael</t>
  </si>
  <si>
    <t>Ahmed</t>
  </si>
  <si>
    <t>Christina</t>
  </si>
  <si>
    <t>Adel</t>
  </si>
  <si>
    <t>Michell</t>
  </si>
  <si>
    <t>Valentina</t>
  </si>
  <si>
    <t>Aimee</t>
  </si>
  <si>
    <t>Otis</t>
  </si>
  <si>
    <t>Rochell</t>
  </si>
  <si>
    <t>Shamiyah</t>
  </si>
  <si>
    <t>Nataly</t>
  </si>
  <si>
    <t>Anyolina</t>
  </si>
  <si>
    <t>Danielle</t>
  </si>
  <si>
    <t>Rebekah</t>
  </si>
  <si>
    <t>Sofia</t>
  </si>
  <si>
    <t>Carmen</t>
  </si>
  <si>
    <t>Koroma</t>
  </si>
  <si>
    <t>Emma</t>
  </si>
  <si>
    <t>Willie</t>
  </si>
  <si>
    <t>Arthur</t>
  </si>
  <si>
    <t>Chanda</t>
  </si>
  <si>
    <t>Chantae</t>
  </si>
  <si>
    <t>Keith</t>
  </si>
  <si>
    <t>Emeline</t>
  </si>
  <si>
    <t>Liz</t>
  </si>
  <si>
    <t>Gregoria</t>
  </si>
  <si>
    <t>Tamara</t>
  </si>
  <si>
    <t>Robert</t>
  </si>
  <si>
    <t>Wahiba</t>
  </si>
  <si>
    <t>Kariny</t>
  </si>
  <si>
    <t>Dilenia</t>
  </si>
  <si>
    <t>Iraida</t>
  </si>
  <si>
    <t>Yolanda</t>
  </si>
  <si>
    <t>Terrell</t>
  </si>
  <si>
    <t>Nattalie</t>
  </si>
  <si>
    <t>Norma</t>
  </si>
  <si>
    <t>Hector</t>
  </si>
  <si>
    <t>Veronica</t>
  </si>
  <si>
    <t>Patricia</t>
  </si>
  <si>
    <t>Mercedes</t>
  </si>
  <si>
    <t>Teodoro</t>
  </si>
  <si>
    <t>Marnie</t>
  </si>
  <si>
    <t>Soon</t>
  </si>
  <si>
    <t>Kathryn</t>
  </si>
  <si>
    <t>Alexander</t>
  </si>
  <si>
    <t>Starsheema</t>
  </si>
  <si>
    <t>Stephanie</t>
  </si>
  <si>
    <t>John</t>
  </si>
  <si>
    <t>Vashiti</t>
  </si>
  <si>
    <t>Wahlia</t>
  </si>
  <si>
    <t>Rhotochia</t>
  </si>
  <si>
    <t>Cynthia</t>
  </si>
  <si>
    <t>Lisa</t>
  </si>
  <si>
    <t>Ashley</t>
  </si>
  <si>
    <t>Shaifah</t>
  </si>
  <si>
    <t>Tusha</t>
  </si>
  <si>
    <t>Yanelys</t>
  </si>
  <si>
    <t>Nelly</t>
  </si>
  <si>
    <t>Noemi</t>
  </si>
  <si>
    <t>Cleather</t>
  </si>
  <si>
    <t>Lisandra</t>
  </si>
  <si>
    <t>Victoria</t>
  </si>
  <si>
    <t>Dannielle</t>
  </si>
  <si>
    <t>Marie</t>
  </si>
  <si>
    <t>Margia</t>
  </si>
  <si>
    <t>Joalsi</t>
  </si>
  <si>
    <t>Loida</t>
  </si>
  <si>
    <t>Joseph</t>
  </si>
  <si>
    <t>Bernadette</t>
  </si>
  <si>
    <t>Donald</t>
  </si>
  <si>
    <t>Dayansky</t>
  </si>
  <si>
    <t>Manuel</t>
  </si>
  <si>
    <t>Terry</t>
  </si>
  <si>
    <t>Mary</t>
  </si>
  <si>
    <t>Colin</t>
  </si>
  <si>
    <t>Leisy</t>
  </si>
  <si>
    <t>Antonia</t>
  </si>
  <si>
    <t>Chiquana</t>
  </si>
  <si>
    <t>Jacqueline</t>
  </si>
  <si>
    <t>Tara</t>
  </si>
  <si>
    <t>Bladimir</t>
  </si>
  <si>
    <t>Cesar</t>
  </si>
  <si>
    <t>Mohammad</t>
  </si>
  <si>
    <t>Kabir</t>
  </si>
  <si>
    <t>Maximiliano</t>
  </si>
  <si>
    <t>Marilyn</t>
  </si>
  <si>
    <t>Agueda</t>
  </si>
  <si>
    <t>Mireille</t>
  </si>
  <si>
    <t>Henry</t>
  </si>
  <si>
    <t>Sharon</t>
  </si>
  <si>
    <t>Troy</t>
  </si>
  <si>
    <t>Benjamin</t>
  </si>
  <si>
    <t>Patrick</t>
  </si>
  <si>
    <t>Thomas</t>
  </si>
  <si>
    <t>Daniel</t>
  </si>
  <si>
    <t>Steven</t>
  </si>
  <si>
    <t>Jarrett</t>
  </si>
  <si>
    <t>Jonathan</t>
  </si>
  <si>
    <t>Sonia</t>
  </si>
  <si>
    <t>Lawrence</t>
  </si>
  <si>
    <t>Hendrick</t>
  </si>
  <si>
    <t>Brenda</t>
  </si>
  <si>
    <t>Kinny</t>
  </si>
  <si>
    <t>Alice</t>
  </si>
  <si>
    <t>Wanda</t>
  </si>
  <si>
    <t>Zorlayka</t>
  </si>
  <si>
    <t>Meily</t>
  </si>
  <si>
    <t>Frances</t>
  </si>
  <si>
    <t>Jenny</t>
  </si>
  <si>
    <t>Dorothy</t>
  </si>
  <si>
    <t>Seon</t>
  </si>
  <si>
    <t>Chauncey</t>
  </si>
  <si>
    <t>Donna</t>
  </si>
  <si>
    <t>Glen</t>
  </si>
  <si>
    <t>Alix</t>
  </si>
  <si>
    <t>Annette</t>
  </si>
  <si>
    <t>Clifford</t>
  </si>
  <si>
    <t>Darlene</t>
  </si>
  <si>
    <t>Tamikqua</t>
  </si>
  <si>
    <t>Desiree</t>
  </si>
  <si>
    <t>Michael</t>
  </si>
  <si>
    <t>Judith</t>
  </si>
  <si>
    <t>Alethea</t>
  </si>
  <si>
    <t>Natasha</t>
  </si>
  <si>
    <t>Joyce</t>
  </si>
  <si>
    <t>Ramona</t>
  </si>
  <si>
    <t>Lester</t>
  </si>
  <si>
    <t>Beverly</t>
  </si>
  <si>
    <t>Theresa</t>
  </si>
  <si>
    <t>Lale</t>
  </si>
  <si>
    <t>Charles</t>
  </si>
  <si>
    <t>Milagros</t>
  </si>
  <si>
    <t>Regina</t>
  </si>
  <si>
    <t>Flor</t>
  </si>
  <si>
    <t>Ermalinda</t>
  </si>
  <si>
    <t>Luz</t>
  </si>
  <si>
    <t>Carmelo</t>
  </si>
  <si>
    <t>Elvera</t>
  </si>
  <si>
    <t>Katrina</t>
  </si>
  <si>
    <t>Claribell</t>
  </si>
  <si>
    <t>Bhoodan</t>
  </si>
  <si>
    <t>Shannon</t>
  </si>
  <si>
    <t>Justin</t>
  </si>
  <si>
    <t>Madeline</t>
  </si>
  <si>
    <t>Anita</t>
  </si>
  <si>
    <t>Joel</t>
  </si>
  <si>
    <t>Tania</t>
  </si>
  <si>
    <t>Wendy</t>
  </si>
  <si>
    <t>Alexis</t>
  </si>
  <si>
    <t>Nouncia</t>
  </si>
  <si>
    <t>Natalie</t>
  </si>
  <si>
    <t>Hussein</t>
  </si>
  <si>
    <t>Maha</t>
  </si>
  <si>
    <t>Marious</t>
  </si>
  <si>
    <t>Taze</t>
  </si>
  <si>
    <t>Rose</t>
  </si>
  <si>
    <t>Marieline</t>
  </si>
  <si>
    <t>Leon</t>
  </si>
  <si>
    <t>Lesa</t>
  </si>
  <si>
    <t>Taneisha</t>
  </si>
  <si>
    <t>Delfina</t>
  </si>
  <si>
    <t>Nicole</t>
  </si>
  <si>
    <t>Melvin</t>
  </si>
  <si>
    <t>Kristal</t>
  </si>
  <si>
    <t>Sudarshan</t>
  </si>
  <si>
    <t>Olga</t>
  </si>
  <si>
    <t>YOLANDA</t>
  </si>
  <si>
    <t>Jeffrey</t>
  </si>
  <si>
    <t>JOSEPH</t>
  </si>
  <si>
    <t>Epifania</t>
  </si>
  <si>
    <t>Joselia</t>
  </si>
  <si>
    <t>Deborah</t>
  </si>
  <si>
    <t>Qadriyyah</t>
  </si>
  <si>
    <t>Tracy</t>
  </si>
  <si>
    <t>Glenda</t>
  </si>
  <si>
    <t>Laura</t>
  </si>
  <si>
    <t>Yerica</t>
  </si>
  <si>
    <t>Justo</t>
  </si>
  <si>
    <t>Christine</t>
  </si>
  <si>
    <t>Antonio</t>
  </si>
  <si>
    <t>David</t>
  </si>
  <si>
    <t>Yesenia</t>
  </si>
  <si>
    <t>Iris</t>
  </si>
  <si>
    <t>Violet</t>
  </si>
  <si>
    <t>Rosemarie</t>
  </si>
  <si>
    <t>Belkiss</t>
  </si>
  <si>
    <t>Pamela</t>
  </si>
  <si>
    <t>Winona</t>
  </si>
  <si>
    <t>Jamell</t>
  </si>
  <si>
    <t>Dionne</t>
  </si>
  <si>
    <t>Yvonne</t>
  </si>
  <si>
    <t>Paul</t>
  </si>
  <si>
    <t>Felix</t>
  </si>
  <si>
    <t>Jeannie</t>
  </si>
  <si>
    <t>Tina</t>
  </si>
  <si>
    <t>Monica</t>
  </si>
  <si>
    <t>Theda</t>
  </si>
  <si>
    <t>Minoru</t>
  </si>
  <si>
    <t>Athena</t>
  </si>
  <si>
    <t>Roberta</t>
  </si>
  <si>
    <t>Leandra</t>
  </si>
  <si>
    <t>Amada</t>
  </si>
  <si>
    <t>Jalil</t>
  </si>
  <si>
    <t>Eileen</t>
  </si>
  <si>
    <t>Elvida</t>
  </si>
  <si>
    <t>Barbara</t>
  </si>
  <si>
    <t>Edward</t>
  </si>
  <si>
    <t>Tamika</t>
  </si>
  <si>
    <t>Tekera</t>
  </si>
  <si>
    <t>Sherin</t>
  </si>
  <si>
    <t>Susan</t>
  </si>
  <si>
    <t>Saby</t>
  </si>
  <si>
    <t>Mark</t>
  </si>
  <si>
    <t>Paula</t>
  </si>
  <si>
    <t>Jaidah</t>
  </si>
  <si>
    <t>Renee</t>
  </si>
  <si>
    <t>Anarosa</t>
  </si>
  <si>
    <t>Marion</t>
  </si>
  <si>
    <t>Carlos</t>
  </si>
  <si>
    <t>Gerald</t>
  </si>
  <si>
    <t>Kathy</t>
  </si>
  <si>
    <t>Keesha</t>
  </si>
  <si>
    <t>Ariana</t>
  </si>
  <si>
    <t>Ariell</t>
  </si>
  <si>
    <t>Julia</t>
  </si>
  <si>
    <t>Amparo</t>
  </si>
  <si>
    <t>Deetris</t>
  </si>
  <si>
    <t>George</t>
  </si>
  <si>
    <t>Kasha</t>
  </si>
  <si>
    <t>Charlie</t>
  </si>
  <si>
    <t>Vicente</t>
  </si>
  <si>
    <t>Kathleen</t>
  </si>
  <si>
    <t>Isabel</t>
  </si>
  <si>
    <t>Latoya</t>
  </si>
  <si>
    <t>Monise</t>
  </si>
  <si>
    <t>Jennifer</t>
  </si>
  <si>
    <t>Seelochnie</t>
  </si>
  <si>
    <t>THERESA</t>
  </si>
  <si>
    <t>Luisa</t>
  </si>
  <si>
    <t>Tammy</t>
  </si>
  <si>
    <t>Philbert</t>
  </si>
  <si>
    <t>Glynis</t>
  </si>
  <si>
    <t>Toni</t>
  </si>
  <si>
    <t>Alberto</t>
  </si>
  <si>
    <t>Vincent</t>
  </si>
  <si>
    <t>Wilson</t>
  </si>
  <si>
    <t>Tijah</t>
  </si>
  <si>
    <t>Marina</t>
  </si>
  <si>
    <t>Balvinder</t>
  </si>
  <si>
    <t>Beatriz</t>
  </si>
  <si>
    <t>La Brienda</t>
  </si>
  <si>
    <t>Atosha</t>
  </si>
  <si>
    <t>Miriam</t>
  </si>
  <si>
    <t>Lourdes</t>
  </si>
  <si>
    <t>Arlene</t>
  </si>
  <si>
    <t>Danette</t>
  </si>
  <si>
    <t>Coreen</t>
  </si>
  <si>
    <t>KEISHA</t>
  </si>
  <si>
    <t>ZACARIA</t>
  </si>
  <si>
    <t>Elka</t>
  </si>
  <si>
    <t>Xiomara</t>
  </si>
  <si>
    <t>Gladys</t>
  </si>
  <si>
    <t>Lauren</t>
  </si>
  <si>
    <t>Leidy</t>
  </si>
  <si>
    <t>Samuel</t>
  </si>
  <si>
    <t>Fred</t>
  </si>
  <si>
    <t>Edith</t>
  </si>
  <si>
    <t>Daysi</t>
  </si>
  <si>
    <t>GIOVANNA</t>
  </si>
  <si>
    <t>Tatyana</t>
  </si>
  <si>
    <t>Devin</t>
  </si>
  <si>
    <t>Emely</t>
  </si>
  <si>
    <t>Ayodele</t>
  </si>
  <si>
    <t>Hattie</t>
  </si>
  <si>
    <t>Gustavo</t>
  </si>
  <si>
    <t>Takesha</t>
  </si>
  <si>
    <t>Jovaneska</t>
  </si>
  <si>
    <t>Cheryl</t>
  </si>
  <si>
    <t>Alison</t>
  </si>
  <si>
    <t>Adolfo</t>
  </si>
  <si>
    <t>Francine</t>
  </si>
  <si>
    <t>Catherine</t>
  </si>
  <si>
    <t>Aidalina</t>
  </si>
  <si>
    <t>Dasean</t>
  </si>
  <si>
    <t>Todd</t>
  </si>
  <si>
    <t>DELAYNA</t>
  </si>
  <si>
    <t>ANA</t>
  </si>
  <si>
    <t>Minerva</t>
  </si>
  <si>
    <t>Leslie</t>
  </si>
  <si>
    <t>Lydia</t>
  </si>
  <si>
    <t>Michelle</t>
  </si>
  <si>
    <t>Emmanuel</t>
  </si>
  <si>
    <t>Shaina</t>
  </si>
  <si>
    <t>Magda</t>
  </si>
  <si>
    <t>Lori</t>
  </si>
  <si>
    <t>Wayne</t>
  </si>
  <si>
    <t>Sandra</t>
  </si>
  <si>
    <t>Saintiane</t>
  </si>
  <si>
    <t>Olorundamilola</t>
  </si>
  <si>
    <t>Carla</t>
  </si>
  <si>
    <t>Flora</t>
  </si>
  <si>
    <t>Yaneri</t>
  </si>
  <si>
    <t>Allen</t>
  </si>
  <si>
    <t>Makeda</t>
  </si>
  <si>
    <t>Bradford</t>
  </si>
  <si>
    <t>Ramon</t>
  </si>
  <si>
    <t>Aneeka</t>
  </si>
  <si>
    <t>Kenneth</t>
  </si>
  <si>
    <t>Nikolay</t>
  </si>
  <si>
    <t>Ofelia</t>
  </si>
  <si>
    <t>Shirley</t>
  </si>
  <si>
    <t>Makuna</t>
  </si>
  <si>
    <t>Joyette</t>
  </si>
  <si>
    <t>Tomasa</t>
  </si>
  <si>
    <t>Adam</t>
  </si>
  <si>
    <t>Delia</t>
  </si>
  <si>
    <t>Trudy</t>
  </si>
  <si>
    <t>Shaquana</t>
  </si>
  <si>
    <t>Maritza</t>
  </si>
  <si>
    <t>Marlyn</t>
  </si>
  <si>
    <t>Valerie</t>
  </si>
  <si>
    <t>Alejandro</t>
  </si>
  <si>
    <t>Emilio</t>
  </si>
  <si>
    <t>Justice</t>
  </si>
  <si>
    <t>April</t>
  </si>
  <si>
    <t>Mireya</t>
  </si>
  <si>
    <t>Jarvis</t>
  </si>
  <si>
    <t>Jose</t>
  </si>
  <si>
    <t>Kavita</t>
  </si>
  <si>
    <t>Tuvyah</t>
  </si>
  <si>
    <t>Dorys</t>
  </si>
  <si>
    <t>Tasha</t>
  </si>
  <si>
    <t>Evelyn</t>
  </si>
  <si>
    <t>Cindy</t>
  </si>
  <si>
    <t>Nancy</t>
  </si>
  <si>
    <t>Eduviges</t>
  </si>
  <si>
    <t>Joanne</t>
  </si>
  <si>
    <t>Wilmer</t>
  </si>
  <si>
    <t>Roger</t>
  </si>
  <si>
    <t>Holger</t>
  </si>
  <si>
    <t>Margarita</t>
  </si>
  <si>
    <t>Alana</t>
  </si>
  <si>
    <t>Nidia</t>
  </si>
  <si>
    <t>Martha</t>
  </si>
  <si>
    <t>Segundo</t>
  </si>
  <si>
    <t>Raymond</t>
  </si>
  <si>
    <t>Carissa</t>
  </si>
  <si>
    <t>Claudette</t>
  </si>
  <si>
    <t>Lalder</t>
  </si>
  <si>
    <t>Teresa</t>
  </si>
  <si>
    <t>Linda</t>
  </si>
  <si>
    <t>Karla</t>
  </si>
  <si>
    <t>Christopher</t>
  </si>
  <si>
    <t>Racquel</t>
  </si>
  <si>
    <t>Cha</t>
  </si>
  <si>
    <t>Jasmine</t>
  </si>
  <si>
    <t>Joselyn</t>
  </si>
  <si>
    <t>Darryl</t>
  </si>
  <si>
    <t>Jalyl</t>
  </si>
  <si>
    <t>Jairis</t>
  </si>
  <si>
    <t>Naheem</t>
  </si>
  <si>
    <t>Ella</t>
  </si>
  <si>
    <t>Stewart</t>
  </si>
  <si>
    <t>Xiaoyu</t>
  </si>
  <si>
    <t>Geraldine</t>
  </si>
  <si>
    <t>Daisy</t>
  </si>
  <si>
    <t>Shondell</t>
  </si>
  <si>
    <t>Shanikqua</t>
  </si>
  <si>
    <t>Aissatou</t>
  </si>
  <si>
    <t>Mei Ying</t>
  </si>
  <si>
    <t>Shameka</t>
  </si>
  <si>
    <t>Gissell</t>
  </si>
  <si>
    <t>Ester</t>
  </si>
  <si>
    <t>Emboya</t>
  </si>
  <si>
    <t>Latonya</t>
  </si>
  <si>
    <t>Ernesto</t>
  </si>
  <si>
    <t>Gumiba</t>
  </si>
  <si>
    <t>Johanny</t>
  </si>
  <si>
    <t>Pierre</t>
  </si>
  <si>
    <t>Shantelle</t>
  </si>
  <si>
    <t>Gwendolyn</t>
  </si>
  <si>
    <t>Melissa</t>
  </si>
  <si>
    <t>Elizabeth</t>
  </si>
  <si>
    <t>Shaniyia</t>
  </si>
  <si>
    <t>Issaly</t>
  </si>
  <si>
    <t>Yingxi</t>
  </si>
  <si>
    <t>Craig</t>
  </si>
  <si>
    <t>Felicia</t>
  </si>
  <si>
    <t>Giovanna</t>
  </si>
  <si>
    <t>Roshay</t>
  </si>
  <si>
    <t>Almecca</t>
  </si>
  <si>
    <t>Betty</t>
  </si>
  <si>
    <t>Myran</t>
  </si>
  <si>
    <t>Abeba</t>
  </si>
  <si>
    <t>Vladimir</t>
  </si>
  <si>
    <t>Adalgisa</t>
  </si>
  <si>
    <t>Ruben</t>
  </si>
  <si>
    <t>Shekara</t>
  </si>
  <si>
    <t>Samantha</t>
  </si>
  <si>
    <t>Andrea</t>
  </si>
  <si>
    <t>Chrismery</t>
  </si>
  <si>
    <t>Isamar</t>
  </si>
  <si>
    <t>Mariel</t>
  </si>
  <si>
    <t>Donaji</t>
  </si>
  <si>
    <t>Miguel Angel</t>
  </si>
  <si>
    <t>Taisha</t>
  </si>
  <si>
    <t>Sha Jahan</t>
  </si>
  <si>
    <t>Lindita</t>
  </si>
  <si>
    <t>Edwin</t>
  </si>
  <si>
    <t>Romando</t>
  </si>
  <si>
    <t>Somayra</t>
  </si>
  <si>
    <t>Nadisuka</t>
  </si>
  <si>
    <t>Kaylan</t>
  </si>
  <si>
    <t>Elsa</t>
  </si>
  <si>
    <t>Ruby</t>
  </si>
  <si>
    <t>Hasime</t>
  </si>
  <si>
    <t>Xiaozhen</t>
  </si>
  <si>
    <t>Tenisha</t>
  </si>
  <si>
    <t>Matilde</t>
  </si>
  <si>
    <t>Emily</t>
  </si>
  <si>
    <t>Jazmin</t>
  </si>
  <si>
    <t>Tishawna</t>
  </si>
  <si>
    <t>Miguel</t>
  </si>
  <si>
    <t>Xiao</t>
  </si>
  <si>
    <t>Olha</t>
  </si>
  <si>
    <t>Mohamed</t>
  </si>
  <si>
    <t>Rupnarine</t>
  </si>
  <si>
    <t>Karen</t>
  </si>
  <si>
    <t>Colleen</t>
  </si>
  <si>
    <t>Nicholas</t>
  </si>
  <si>
    <t>Ramdai</t>
  </si>
  <si>
    <t>CARMEN</t>
  </si>
  <si>
    <t>Johanna</t>
  </si>
  <si>
    <t>Rudy</t>
  </si>
  <si>
    <t>Sherrylyn</t>
  </si>
  <si>
    <t>Altagracia</t>
  </si>
  <si>
    <t>Pura</t>
  </si>
  <si>
    <t>Mirella</t>
  </si>
  <si>
    <t>Nelson</t>
  </si>
  <si>
    <t>Ediltrudis</t>
  </si>
  <si>
    <t>Anny</t>
  </si>
  <si>
    <t>Fatima</t>
  </si>
  <si>
    <t>Marja</t>
  </si>
  <si>
    <t>Helena</t>
  </si>
  <si>
    <t>Francisco</t>
  </si>
  <si>
    <t>Laurel</t>
  </si>
  <si>
    <t>Madiaw</t>
  </si>
  <si>
    <t>Omar</t>
  </si>
  <si>
    <t>Torrence</t>
  </si>
  <si>
    <t>Robertina</t>
  </si>
  <si>
    <t>Ida</t>
  </si>
  <si>
    <t>Kevin</t>
  </si>
  <si>
    <t>Lynette</t>
  </si>
  <si>
    <t>Kyara</t>
  </si>
  <si>
    <t>Jamie</t>
  </si>
  <si>
    <t>Heidi</t>
  </si>
  <si>
    <t>Hafidh</t>
  </si>
  <si>
    <t>Janessa</t>
  </si>
  <si>
    <t>Lawfibiah</t>
  </si>
  <si>
    <t>Ambrose</t>
  </si>
  <si>
    <t>Jamica</t>
  </si>
  <si>
    <t>Guoping</t>
  </si>
  <si>
    <t>Arelis</t>
  </si>
  <si>
    <t>Zoraida</t>
  </si>
  <si>
    <t>Elhadji</t>
  </si>
  <si>
    <t>Eric</t>
  </si>
  <si>
    <t>Paulette</t>
  </si>
  <si>
    <t>Gina</t>
  </si>
  <si>
    <t>Esther</t>
  </si>
  <si>
    <t>Rhea</t>
  </si>
  <si>
    <t>Raquel</t>
  </si>
  <si>
    <t>Shanell</t>
  </si>
  <si>
    <t>Celia</t>
  </si>
  <si>
    <t>Tony</t>
  </si>
  <si>
    <t>Chantal</t>
  </si>
  <si>
    <t>Brian</t>
  </si>
  <si>
    <t>Jean</t>
  </si>
  <si>
    <t>Lionest</t>
  </si>
  <si>
    <t>Curtis</t>
  </si>
  <si>
    <t>Jimmie</t>
  </si>
  <si>
    <t>Shashanda</t>
  </si>
  <si>
    <t>Ubeka</t>
  </si>
  <si>
    <t>Leonora</t>
  </si>
  <si>
    <t>Francis</t>
  </si>
  <si>
    <t>Mosiah</t>
  </si>
  <si>
    <t>Kyia</t>
  </si>
  <si>
    <t>Renne</t>
  </si>
  <si>
    <t>Aldiry</t>
  </si>
  <si>
    <t>Ishida</t>
  </si>
  <si>
    <t>Lonnie</t>
  </si>
  <si>
    <t>Mabel</t>
  </si>
  <si>
    <t>Kamal</t>
  </si>
  <si>
    <t>Thembeni</t>
  </si>
  <si>
    <t>Raphel</t>
  </si>
  <si>
    <t>Pastora</t>
  </si>
  <si>
    <t>Israel</t>
  </si>
  <si>
    <t>Gregory</t>
  </si>
  <si>
    <t>Shlomo</t>
  </si>
  <si>
    <t>Rafaelina</t>
  </si>
  <si>
    <t>Bouchra</t>
  </si>
  <si>
    <t>Angel</t>
  </si>
  <si>
    <t>Dawn</t>
  </si>
  <si>
    <t>Noah</t>
  </si>
  <si>
    <t>Nakia</t>
  </si>
  <si>
    <t>Kenna</t>
  </si>
  <si>
    <t>Cristina</t>
  </si>
  <si>
    <t>Shaunice</t>
  </si>
  <si>
    <t>Rochelle</t>
  </si>
  <si>
    <t>Chaitali</t>
  </si>
  <si>
    <t>Osvaldo</t>
  </si>
  <si>
    <t>Shakena</t>
  </si>
  <si>
    <t>Jane</t>
  </si>
  <si>
    <t>Kawana</t>
  </si>
  <si>
    <t>Sacha</t>
  </si>
  <si>
    <t>Wajana</t>
  </si>
  <si>
    <t>Rebecca</t>
  </si>
  <si>
    <t>William</t>
  </si>
  <si>
    <t>Rosemar</t>
  </si>
  <si>
    <t>Pearleece</t>
  </si>
  <si>
    <t>Arturo</t>
  </si>
  <si>
    <t>Efrain</t>
  </si>
  <si>
    <t>A'Lelia</t>
  </si>
  <si>
    <t>Ysabel</t>
  </si>
  <si>
    <t>Amadou</t>
  </si>
  <si>
    <t>O'Neal</t>
  </si>
  <si>
    <t>Jesus</t>
  </si>
  <si>
    <t>Ghazala</t>
  </si>
  <si>
    <t>Oscar</t>
  </si>
  <si>
    <t>Eva</t>
  </si>
  <si>
    <t>Melaanie</t>
  </si>
  <si>
    <t>Carlene</t>
  </si>
  <si>
    <t>Neshmayra</t>
  </si>
  <si>
    <t>Percy</t>
  </si>
  <si>
    <t>Afusatu</t>
  </si>
  <si>
    <t>Heather</t>
  </si>
  <si>
    <t>Cleophuss</t>
  </si>
  <si>
    <t>Davene</t>
  </si>
  <si>
    <t>Yeremia</t>
  </si>
  <si>
    <t>Nicolas</t>
  </si>
  <si>
    <t>Gerad</t>
  </si>
  <si>
    <t>Consuelo</t>
  </si>
  <si>
    <t>Cecilia</t>
  </si>
  <si>
    <t>Naim</t>
  </si>
  <si>
    <t>Lookman</t>
  </si>
  <si>
    <t>Quanda</t>
  </si>
  <si>
    <t>Katy</t>
  </si>
  <si>
    <t>Lillian</t>
  </si>
  <si>
    <t>Nikima</t>
  </si>
  <si>
    <t>Lizmary</t>
  </si>
  <si>
    <t>Eddie</t>
  </si>
  <si>
    <t>Shannel</t>
  </si>
  <si>
    <t>Aurea</t>
  </si>
  <si>
    <t>Jonnathan</t>
  </si>
  <si>
    <t>Nathan</t>
  </si>
  <si>
    <t>Jahvid</t>
  </si>
  <si>
    <t>Diamela</t>
  </si>
  <si>
    <t>Gloria</t>
  </si>
  <si>
    <t>Sharnay</t>
  </si>
  <si>
    <t>Cornelius</t>
  </si>
  <si>
    <t>Nanette</t>
  </si>
  <si>
    <t>Rolando</t>
  </si>
  <si>
    <t>Alfida</t>
  </si>
  <si>
    <t>Estela</t>
  </si>
  <si>
    <t>Deline</t>
  </si>
  <si>
    <t>Widlyne</t>
  </si>
  <si>
    <t>Aura</t>
  </si>
  <si>
    <t>Sheila</t>
  </si>
  <si>
    <t>Deysi</t>
  </si>
  <si>
    <t>Corinne</t>
  </si>
  <si>
    <t>Melanie</t>
  </si>
  <si>
    <t>Ebony</t>
  </si>
  <si>
    <t>Tajae</t>
  </si>
  <si>
    <t>Ralph</t>
  </si>
  <si>
    <t>Leopoldo</t>
  </si>
  <si>
    <t>Yadira</t>
  </si>
  <si>
    <t>Kingsley</t>
  </si>
  <si>
    <t>Kashoo</t>
  </si>
  <si>
    <t>Hema</t>
  </si>
  <si>
    <t>BLAS</t>
  </si>
  <si>
    <t>Janice</t>
  </si>
  <si>
    <t>Acacios</t>
  </si>
  <si>
    <t>Liesa</t>
  </si>
  <si>
    <t>Angelo</t>
  </si>
  <si>
    <t>Riolesty</t>
  </si>
  <si>
    <t>Evelina</t>
  </si>
  <si>
    <t>Angelica</t>
  </si>
  <si>
    <t>Idaly</t>
  </si>
  <si>
    <t>Dennis</t>
  </si>
  <si>
    <t>Josephine</t>
  </si>
  <si>
    <t>Stefani</t>
  </si>
  <si>
    <t>Juson</t>
  </si>
  <si>
    <t>Pablo</t>
  </si>
  <si>
    <t>Annie</t>
  </si>
  <si>
    <t>Frank</t>
  </si>
  <si>
    <t>Gary</t>
  </si>
  <si>
    <t>Tieasha</t>
  </si>
  <si>
    <t>Jamilah</t>
  </si>
  <si>
    <t>Rajue</t>
  </si>
  <si>
    <t>Priea</t>
  </si>
  <si>
    <t>Mohomad</t>
  </si>
  <si>
    <t>Shakira</t>
  </si>
  <si>
    <t>Ruth</t>
  </si>
  <si>
    <t>Dipsy</t>
  </si>
  <si>
    <t>Uriel</t>
  </si>
  <si>
    <t>Aminata</t>
  </si>
  <si>
    <t>Andre</t>
  </si>
  <si>
    <t>Wai Yue</t>
  </si>
  <si>
    <t>Marley</t>
  </si>
  <si>
    <t>Ellice</t>
  </si>
  <si>
    <t>Robin</t>
  </si>
  <si>
    <t>Yasmin</t>
  </si>
  <si>
    <t>Bernarda</t>
  </si>
  <si>
    <t>Vadlyn</t>
  </si>
  <si>
    <t>Edna</t>
  </si>
  <si>
    <t>Felipa</t>
  </si>
  <si>
    <t>Yovanni</t>
  </si>
  <si>
    <t>Beverley</t>
  </si>
  <si>
    <t>Antonnette</t>
  </si>
  <si>
    <t>Donata</t>
  </si>
  <si>
    <t>SEPTIMUS</t>
  </si>
  <si>
    <t>Tyesha</t>
  </si>
  <si>
    <t>Moronta-El</t>
  </si>
  <si>
    <t>Andrew</t>
  </si>
  <si>
    <t>CECILIA</t>
  </si>
  <si>
    <t>Saul</t>
  </si>
  <si>
    <t>Nefertiti</t>
  </si>
  <si>
    <t>Carol</t>
  </si>
  <si>
    <t>Zolange</t>
  </si>
  <si>
    <t>Cedric</t>
  </si>
  <si>
    <t>Nestor</t>
  </si>
  <si>
    <t>Julian</t>
  </si>
  <si>
    <t>Loretta</t>
  </si>
  <si>
    <t>Dwight</t>
  </si>
  <si>
    <t>Dana</t>
  </si>
  <si>
    <t>Thilbert</t>
  </si>
  <si>
    <t>Pansie</t>
  </si>
  <si>
    <t>Suzanne</t>
  </si>
  <si>
    <t>Irina</t>
  </si>
  <si>
    <t>Lenise</t>
  </si>
  <si>
    <t>Maribel</t>
  </si>
  <si>
    <t>Vena</t>
  </si>
  <si>
    <t>Jill</t>
  </si>
  <si>
    <t>Joshua</t>
  </si>
  <si>
    <t>Tasheena</t>
  </si>
  <si>
    <t>Ivette</t>
  </si>
  <si>
    <t>Santos Arely</t>
  </si>
  <si>
    <t>Neil</t>
  </si>
  <si>
    <t>Crystal</t>
  </si>
  <si>
    <t>Sharif</t>
  </si>
  <si>
    <t>Nick</t>
  </si>
  <si>
    <t>Margaret</t>
  </si>
  <si>
    <t>Alva</t>
  </si>
  <si>
    <t>Jephtah</t>
  </si>
  <si>
    <t>Samba</t>
  </si>
  <si>
    <t>Gail</t>
  </si>
  <si>
    <t>Erin</t>
  </si>
  <si>
    <t>Shreick</t>
  </si>
  <si>
    <t>Dino</t>
  </si>
  <si>
    <t>Luxin</t>
  </si>
  <si>
    <t>Lisselot</t>
  </si>
  <si>
    <t>Shameeka</t>
  </si>
  <si>
    <t>Jessica</t>
  </si>
  <si>
    <t>Mayerlin</t>
  </si>
  <si>
    <t>Mahim</t>
  </si>
  <si>
    <t>Chenille</t>
  </si>
  <si>
    <t>Patryce</t>
  </si>
  <si>
    <t>Basma</t>
  </si>
  <si>
    <t>Keygee</t>
  </si>
  <si>
    <t>Delores</t>
  </si>
  <si>
    <t>Qwhenchoanna</t>
  </si>
  <si>
    <t>Treschia</t>
  </si>
  <si>
    <t>Marcia</t>
  </si>
  <si>
    <t>Darrell</t>
  </si>
  <si>
    <t>Dianna</t>
  </si>
  <si>
    <t>Khadijah</t>
  </si>
  <si>
    <t>Brooke</t>
  </si>
  <si>
    <t>Ada</t>
  </si>
  <si>
    <t>Reginald</t>
  </si>
  <si>
    <t>Diane</t>
  </si>
  <si>
    <t>Mor</t>
  </si>
  <si>
    <t>Dimaris</t>
  </si>
  <si>
    <t>Stephany</t>
  </si>
  <si>
    <t>Stanley</t>
  </si>
  <si>
    <t>Adina</t>
  </si>
  <si>
    <t>Valesia</t>
  </si>
  <si>
    <t>Junell</t>
  </si>
  <si>
    <t>Monique</t>
  </si>
  <si>
    <t>Othniel</t>
  </si>
  <si>
    <t>Shoshana</t>
  </si>
  <si>
    <t>Lakresha</t>
  </si>
  <si>
    <t>Crossley</t>
  </si>
  <si>
    <t>Victor</t>
  </si>
  <si>
    <t>Doressa</t>
  </si>
  <si>
    <t>Anna</t>
  </si>
  <si>
    <t>Susanna</t>
  </si>
  <si>
    <t>Jemma</t>
  </si>
  <si>
    <t>Vivian</t>
  </si>
  <si>
    <t>Shahnaz</t>
  </si>
  <si>
    <t>Lorenzo</t>
  </si>
  <si>
    <t>Nolvia</t>
  </si>
  <si>
    <t>Shanie</t>
  </si>
  <si>
    <t>Jeanette</t>
  </si>
  <si>
    <t>Vanessa</t>
  </si>
  <si>
    <t>Sherry</t>
  </si>
  <si>
    <t>Ring</t>
  </si>
  <si>
    <t>Rashader</t>
  </si>
  <si>
    <t>Eduardo</t>
  </si>
  <si>
    <t>Warrita</t>
  </si>
  <si>
    <t>Nacresia</t>
  </si>
  <si>
    <t>Sebastian</t>
  </si>
  <si>
    <t>Ines</t>
  </si>
  <si>
    <t>Tannecia</t>
  </si>
  <si>
    <t>June</t>
  </si>
  <si>
    <t>Debra</t>
  </si>
  <si>
    <t>Yudelka</t>
  </si>
  <si>
    <t>Brandon</t>
  </si>
  <si>
    <t>Eliyahu</t>
  </si>
  <si>
    <t>Kaitlin</t>
  </si>
  <si>
    <t>Tanis</t>
  </si>
  <si>
    <t>Jocelyn</t>
  </si>
  <si>
    <t>Iho</t>
  </si>
  <si>
    <t>Suzanna</t>
  </si>
  <si>
    <t>Xonana</t>
  </si>
  <si>
    <t>Karlene</t>
  </si>
  <si>
    <t>Nichelle</t>
  </si>
  <si>
    <t>Juliana</t>
  </si>
  <si>
    <t>Rosario</t>
  </si>
  <si>
    <t>Eve</t>
  </si>
  <si>
    <t>Ivelisse</t>
  </si>
  <si>
    <t>Ingrid</t>
  </si>
  <si>
    <t>Jeremy</t>
  </si>
  <si>
    <t>Ravel</t>
  </si>
  <si>
    <t>Deneen</t>
  </si>
  <si>
    <t>YULISA</t>
  </si>
  <si>
    <t>CHARLES</t>
  </si>
  <si>
    <t>Latisha</t>
  </si>
  <si>
    <t>Alicia</t>
  </si>
  <si>
    <t>Doreen</t>
  </si>
  <si>
    <t>Odalis</t>
  </si>
  <si>
    <t>Belgica</t>
  </si>
  <si>
    <t>Lorna</t>
  </si>
  <si>
    <t>Wilbert</t>
  </si>
  <si>
    <t>Gladymir</t>
  </si>
  <si>
    <t>Pucci</t>
  </si>
  <si>
    <t>Thalia</t>
  </si>
  <si>
    <t>Amanda</t>
  </si>
  <si>
    <t>Aurelia</t>
  </si>
  <si>
    <t>Myriam</t>
  </si>
  <si>
    <t>Carolin</t>
  </si>
  <si>
    <t>Erika</t>
  </si>
  <si>
    <t>Rasheeda</t>
  </si>
  <si>
    <t>Michele</t>
  </si>
  <si>
    <t>Liza</t>
  </si>
  <si>
    <t>MARGARITA</t>
  </si>
  <si>
    <t>Teofila</t>
  </si>
  <si>
    <t>Ibrahim</t>
  </si>
  <si>
    <t>CELINA</t>
  </si>
  <si>
    <t>Shanaye</t>
  </si>
  <si>
    <t>Yan</t>
  </si>
  <si>
    <t>Grace</t>
  </si>
  <si>
    <t>Sterlin</t>
  </si>
  <si>
    <t>Tamesha</t>
  </si>
  <si>
    <t>Ronald</t>
  </si>
  <si>
    <t>Lea</t>
  </si>
  <si>
    <t>Jose Manuel</t>
  </si>
  <si>
    <t>Dinora</t>
  </si>
  <si>
    <t>Cherish</t>
  </si>
  <si>
    <t>Tawana</t>
  </si>
  <si>
    <t>Elfego</t>
  </si>
  <si>
    <t>Gabriela</t>
  </si>
  <si>
    <t>Deibi</t>
  </si>
  <si>
    <t>Elson</t>
  </si>
  <si>
    <t>Myra</t>
  </si>
  <si>
    <t>Jessenia</t>
  </si>
  <si>
    <t>Sultane</t>
  </si>
  <si>
    <t>Sergio</t>
  </si>
  <si>
    <t>Howard</t>
  </si>
  <si>
    <t>Doodnaught</t>
  </si>
  <si>
    <t>Shuan</t>
  </si>
  <si>
    <t>Kelly</t>
  </si>
  <si>
    <t>Rasmata</t>
  </si>
  <si>
    <t>Yanet</t>
  </si>
  <si>
    <t>Shonnetta</t>
  </si>
  <si>
    <t>Tear</t>
  </si>
  <si>
    <t>Sanchez</t>
  </si>
  <si>
    <t>Shamim</t>
  </si>
  <si>
    <t>Miguelina</t>
  </si>
  <si>
    <t>Naomi</t>
  </si>
  <si>
    <t>Bhanmattie</t>
  </si>
  <si>
    <t>Zelda</t>
  </si>
  <si>
    <t>Jaime</t>
  </si>
  <si>
    <t>Magdalena</t>
  </si>
  <si>
    <t>Dashiel</t>
  </si>
  <si>
    <t>Quint</t>
  </si>
  <si>
    <t>Diego</t>
  </si>
  <si>
    <t>Donnell</t>
  </si>
  <si>
    <t>Shamika</t>
  </si>
  <si>
    <t>Kirsys</t>
  </si>
  <si>
    <t>Roza</t>
  </si>
  <si>
    <t>Charlotte</t>
  </si>
  <si>
    <t>Mervin</t>
  </si>
  <si>
    <t>Nixson</t>
  </si>
  <si>
    <t>Cassandra</t>
  </si>
  <si>
    <t>Suzette</t>
  </si>
  <si>
    <t>Bianca</t>
  </si>
  <si>
    <t>Doris</t>
  </si>
  <si>
    <t>Shanin</t>
  </si>
  <si>
    <t>Elisa</t>
  </si>
  <si>
    <t>Lurilla</t>
  </si>
  <si>
    <t>Marjorie</t>
  </si>
  <si>
    <t>Zondra</t>
  </si>
  <si>
    <t>Viola</t>
  </si>
  <si>
    <t>LUDOVINA</t>
  </si>
  <si>
    <t>VANESSA</t>
  </si>
  <si>
    <t>Nardia</t>
  </si>
  <si>
    <t>Dexter</t>
  </si>
  <si>
    <t>Eulah</t>
  </si>
  <si>
    <t>Taywanna</t>
  </si>
  <si>
    <t>Sunilda</t>
  </si>
  <si>
    <t>Catia</t>
  </si>
  <si>
    <t>Dianelvi</t>
  </si>
  <si>
    <t>Maor</t>
  </si>
  <si>
    <t>Sanora</t>
  </si>
  <si>
    <t>Eulogia</t>
  </si>
  <si>
    <t>Garcia</t>
  </si>
  <si>
    <t>Zozo</t>
  </si>
  <si>
    <t>Essam</t>
  </si>
  <si>
    <t>Yuri</t>
  </si>
  <si>
    <t>Gisela</t>
  </si>
  <si>
    <t>Tanisha</t>
  </si>
  <si>
    <t>Okiko</t>
  </si>
  <si>
    <t>Ian</t>
  </si>
  <si>
    <t>Stacey</t>
  </si>
  <si>
    <t>JOSE</t>
  </si>
  <si>
    <t>Lashawn</t>
  </si>
  <si>
    <t>ANGEL</t>
  </si>
  <si>
    <t>Rosanne</t>
  </si>
  <si>
    <t>Julio</t>
  </si>
  <si>
    <t>Haja</t>
  </si>
  <si>
    <t>Shirleen</t>
  </si>
  <si>
    <t>Tausha</t>
  </si>
  <si>
    <t>Johnnie</t>
  </si>
  <si>
    <t>Laban</t>
  </si>
  <si>
    <t>Damalie</t>
  </si>
  <si>
    <t>Stephen</t>
  </si>
  <si>
    <t>Alpha</t>
  </si>
  <si>
    <t>Antrice</t>
  </si>
  <si>
    <t>Miranda</t>
  </si>
  <si>
    <t>Shabana</t>
  </si>
  <si>
    <t>Da White</t>
  </si>
  <si>
    <t>Shaniqua</t>
  </si>
  <si>
    <t>Ora Lee</t>
  </si>
  <si>
    <t>Damian</t>
  </si>
  <si>
    <t>Dominique</t>
  </si>
  <si>
    <t>Genevieve</t>
  </si>
  <si>
    <t>Lorraine</t>
  </si>
  <si>
    <t>Rosalie</t>
  </si>
  <si>
    <t>Olivia</t>
  </si>
  <si>
    <t>Albert</t>
  </si>
  <si>
    <t>Nikaury</t>
  </si>
  <si>
    <t>Herlinda</t>
  </si>
  <si>
    <t>Mardoqueo</t>
  </si>
  <si>
    <t>Celeste</t>
  </si>
  <si>
    <t>Rita</t>
  </si>
  <si>
    <t>Kerine</t>
  </si>
  <si>
    <t>Keshia</t>
  </si>
  <si>
    <t>Erica</t>
  </si>
  <si>
    <t>Marlon</t>
  </si>
  <si>
    <t>Lucy</t>
  </si>
  <si>
    <t>Kelin</t>
  </si>
  <si>
    <t>Juanita</t>
  </si>
  <si>
    <t>Josefa</t>
  </si>
  <si>
    <t>Tyrone</t>
  </si>
  <si>
    <t>Lisbel</t>
  </si>
  <si>
    <t>Orlando</t>
  </si>
  <si>
    <t>Cristobalina</t>
  </si>
  <si>
    <t>Dena</t>
  </si>
  <si>
    <t>Franklyn</t>
  </si>
  <si>
    <t>Gracelin</t>
  </si>
  <si>
    <t>Aaron</t>
  </si>
  <si>
    <t>Zilla</t>
  </si>
  <si>
    <t>Jasper</t>
  </si>
  <si>
    <t>Jay</t>
  </si>
  <si>
    <t>Waidi</t>
  </si>
  <si>
    <t>Francisca</t>
  </si>
  <si>
    <t>Alton</t>
  </si>
  <si>
    <t>Cyre</t>
  </si>
  <si>
    <t>Iliana</t>
  </si>
  <si>
    <t>Pedro</t>
  </si>
  <si>
    <t>Johnny</t>
  </si>
  <si>
    <t>Nashawana</t>
  </si>
  <si>
    <t>Elsie</t>
  </si>
  <si>
    <t>Kristos</t>
  </si>
  <si>
    <t>Hirmircy</t>
  </si>
  <si>
    <t>Kay</t>
  </si>
  <si>
    <t>Jon</t>
  </si>
  <si>
    <t>Griselda</t>
  </si>
  <si>
    <t>Yahaira</t>
  </si>
  <si>
    <t>Nolde</t>
  </si>
  <si>
    <t>Alexandria</t>
  </si>
  <si>
    <t>Pearl</t>
  </si>
  <si>
    <t>Corinda</t>
  </si>
  <si>
    <t>Dinah</t>
  </si>
  <si>
    <t>Khayyan</t>
  </si>
  <si>
    <t>Jakub</t>
  </si>
  <si>
    <t>Joan</t>
  </si>
  <si>
    <t>STEPHANIE</t>
  </si>
  <si>
    <t>Kwanisha</t>
  </si>
  <si>
    <t>Carlton</t>
  </si>
  <si>
    <t>Nadine</t>
  </si>
  <si>
    <t>Ethel</t>
  </si>
  <si>
    <t>India</t>
  </si>
  <si>
    <t>Dorren</t>
  </si>
  <si>
    <t>Jeana</t>
  </si>
  <si>
    <t>Rosana</t>
  </si>
  <si>
    <t>Zaila</t>
  </si>
  <si>
    <t>Wilfredo</t>
  </si>
  <si>
    <t>Mayri</t>
  </si>
  <si>
    <t>Marcelino</t>
  </si>
  <si>
    <t>Norman</t>
  </si>
  <si>
    <t>Avrah</t>
  </si>
  <si>
    <t>Jacquelin</t>
  </si>
  <si>
    <t>Dellayris</t>
  </si>
  <si>
    <t>Alroy</t>
  </si>
  <si>
    <t>Wilky</t>
  </si>
  <si>
    <t>Blanca</t>
  </si>
  <si>
    <t>Jorge</t>
  </si>
  <si>
    <t>Basiliza</t>
  </si>
  <si>
    <t>Natia</t>
  </si>
  <si>
    <t>Sarah</t>
  </si>
  <si>
    <t>Celina</t>
  </si>
  <si>
    <t>Evetta</t>
  </si>
  <si>
    <t>Yorjana</t>
  </si>
  <si>
    <t>Lucia</t>
  </si>
  <si>
    <t>Evelin</t>
  </si>
  <si>
    <t>Georgette</t>
  </si>
  <si>
    <t>Andrei</t>
  </si>
  <si>
    <t>Rhonda</t>
  </si>
  <si>
    <t>Wakina</t>
  </si>
  <si>
    <t>Antron</t>
  </si>
  <si>
    <t>Cassie</t>
  </si>
  <si>
    <t>Rosalee</t>
  </si>
  <si>
    <t>Lorie</t>
  </si>
  <si>
    <t>Bertha</t>
  </si>
  <si>
    <t>Antolin</t>
  </si>
  <si>
    <t>Xin</t>
  </si>
  <si>
    <t>Mariam</t>
  </si>
  <si>
    <t>Eunice</t>
  </si>
  <si>
    <t>Kasime</t>
  </si>
  <si>
    <t>Inez</t>
  </si>
  <si>
    <t>Dudley</t>
  </si>
  <si>
    <t>Roslyn</t>
  </si>
  <si>
    <t>Fatimetou</t>
  </si>
  <si>
    <t>Melva</t>
  </si>
  <si>
    <t>Masudur</t>
  </si>
  <si>
    <t>Jhon</t>
  </si>
  <si>
    <t>Irving</t>
  </si>
  <si>
    <t>Ann</t>
  </si>
  <si>
    <t>Merlyn</t>
  </si>
  <si>
    <t>Gloribel</t>
  </si>
  <si>
    <t>Madelyn</t>
  </si>
  <si>
    <t>Jazmel</t>
  </si>
  <si>
    <t>Taneeka</t>
  </si>
  <si>
    <t>Mattie</t>
  </si>
  <si>
    <t>Monserrate</t>
  </si>
  <si>
    <t>Eugenie</t>
  </si>
  <si>
    <t>Noelsine</t>
  </si>
  <si>
    <t>Sooragnarine</t>
  </si>
  <si>
    <t>Denzel</t>
  </si>
  <si>
    <t>Janet</t>
  </si>
  <si>
    <t>Folabi</t>
  </si>
  <si>
    <t>Bettima</t>
  </si>
  <si>
    <t>Steve</t>
  </si>
  <si>
    <t>Lisette</t>
  </si>
  <si>
    <t>Zaida</t>
  </si>
  <si>
    <t>Kim</t>
  </si>
  <si>
    <t>Tia</t>
  </si>
  <si>
    <t>Rosanna</t>
  </si>
  <si>
    <t>Zelene</t>
  </si>
  <si>
    <t>Infiniti</t>
  </si>
  <si>
    <t>Katricia</t>
  </si>
  <si>
    <t>Boston</t>
  </si>
  <si>
    <t>Yonathan</t>
  </si>
  <si>
    <t>Martina</t>
  </si>
  <si>
    <t>Yanery</t>
  </si>
  <si>
    <t>Roquelia</t>
  </si>
  <si>
    <t>Annetta</t>
  </si>
  <si>
    <t>Antionette</t>
  </si>
  <si>
    <t>Amauri</t>
  </si>
  <si>
    <t>Ely</t>
  </si>
  <si>
    <t>Martires</t>
  </si>
  <si>
    <t>Rahim</t>
  </si>
  <si>
    <t>Elaine</t>
  </si>
  <si>
    <t>Tricia</t>
  </si>
  <si>
    <t>Delly</t>
  </si>
  <si>
    <t>Cresenciano</t>
  </si>
  <si>
    <t>Katheleen</t>
  </si>
  <si>
    <t>Cacia</t>
  </si>
  <si>
    <t>Adonisah</t>
  </si>
  <si>
    <t>Yaritza</t>
  </si>
  <si>
    <t>Lee</t>
  </si>
  <si>
    <t>Noelia</t>
  </si>
  <si>
    <t>Vernestine</t>
  </si>
  <si>
    <t>Shanequa</t>
  </si>
  <si>
    <t>Marsha</t>
  </si>
  <si>
    <t>Alisha</t>
  </si>
  <si>
    <t>Tamia</t>
  </si>
  <si>
    <t>Estelle</t>
  </si>
  <si>
    <t>Lourine</t>
  </si>
  <si>
    <t>Regine</t>
  </si>
  <si>
    <t>XiaoXia</t>
  </si>
  <si>
    <t>Sun</t>
  </si>
  <si>
    <t>Gamal</t>
  </si>
  <si>
    <t>Guillermo</t>
  </si>
  <si>
    <t>Jeanne</t>
  </si>
  <si>
    <t>Xinglian</t>
  </si>
  <si>
    <t>Djava</t>
  </si>
  <si>
    <t>Fantasia</t>
  </si>
  <si>
    <t>Ronnie</t>
  </si>
  <si>
    <t>Nadya</t>
  </si>
  <si>
    <t>Dina</t>
  </si>
  <si>
    <t>Selene</t>
  </si>
  <si>
    <t>Carolyn</t>
  </si>
  <si>
    <t>Aaishah</t>
  </si>
  <si>
    <t>Enrique</t>
  </si>
  <si>
    <t>Fatoumata</t>
  </si>
  <si>
    <t>Suzan</t>
  </si>
  <si>
    <t>Cherry-Ann</t>
  </si>
  <si>
    <t>Winifred</t>
  </si>
  <si>
    <t>Maurice</t>
  </si>
  <si>
    <t>Fida</t>
  </si>
  <si>
    <t>Rosemary</t>
  </si>
  <si>
    <t>Roxanna</t>
  </si>
  <si>
    <t>Jerry</t>
  </si>
  <si>
    <t>Enid</t>
  </si>
  <si>
    <t>Shathifa</t>
  </si>
  <si>
    <t>Esmeralda</t>
  </si>
  <si>
    <t>Roman</t>
  </si>
  <si>
    <t>Yovani</t>
  </si>
  <si>
    <t>Qtara</t>
  </si>
  <si>
    <t>Kenyetta</t>
  </si>
  <si>
    <t>Alissa</t>
  </si>
  <si>
    <t>Laurie</t>
  </si>
  <si>
    <t>Juana</t>
  </si>
  <si>
    <t>Yrma</t>
  </si>
  <si>
    <t>Maxine</t>
  </si>
  <si>
    <t>Genova</t>
  </si>
  <si>
    <t>Ernie</t>
  </si>
  <si>
    <t>Zakarya</t>
  </si>
  <si>
    <t>Andreniki</t>
  </si>
  <si>
    <t>Zonelle</t>
  </si>
  <si>
    <t>Abbey</t>
  </si>
  <si>
    <t>Mustapha</t>
  </si>
  <si>
    <t>Jian Xiong</t>
  </si>
  <si>
    <t>Leticia</t>
  </si>
  <si>
    <t>JANET</t>
  </si>
  <si>
    <t>Shaunell</t>
  </si>
  <si>
    <t>Shovanna</t>
  </si>
  <si>
    <t>Doretha</t>
  </si>
  <si>
    <t>Miree</t>
  </si>
  <si>
    <t>Md</t>
  </si>
  <si>
    <t>Shahana</t>
  </si>
  <si>
    <t>Chellisa</t>
  </si>
  <si>
    <t>Virginia</t>
  </si>
  <si>
    <t>Glaidy</t>
  </si>
  <si>
    <t>Tywana</t>
  </si>
  <si>
    <t>Farconerys</t>
  </si>
  <si>
    <t>Yassin</t>
  </si>
  <si>
    <t>Mulachi</t>
  </si>
  <si>
    <t>Nansy</t>
  </si>
  <si>
    <t>Chloe</t>
  </si>
  <si>
    <t>Helen</t>
  </si>
  <si>
    <t>Marleny</t>
  </si>
  <si>
    <t>Marco</t>
  </si>
  <si>
    <t>Matthew</t>
  </si>
  <si>
    <t>Charisma</t>
  </si>
  <si>
    <t>LATONYA</t>
  </si>
  <si>
    <t>Renier</t>
  </si>
  <si>
    <t>Karl</t>
  </si>
  <si>
    <t>MD</t>
  </si>
  <si>
    <t>Lashon</t>
  </si>
  <si>
    <t>Alyssa</t>
  </si>
  <si>
    <t>Susana</t>
  </si>
  <si>
    <t>Deanna</t>
  </si>
  <si>
    <t>Sara</t>
  </si>
  <si>
    <t>Erinson</t>
  </si>
  <si>
    <t>Krystal</t>
  </si>
  <si>
    <t>Jewel</t>
  </si>
  <si>
    <t>Louvenia</t>
  </si>
  <si>
    <t>Danamarie</t>
  </si>
  <si>
    <t>Kiesha</t>
  </si>
  <si>
    <t>Audrey</t>
  </si>
  <si>
    <t>Ali</t>
  </si>
  <si>
    <t>Rigoberto</t>
  </si>
  <si>
    <t>Bryant</t>
  </si>
  <si>
    <t>Blanch</t>
  </si>
  <si>
    <t>Davonae</t>
  </si>
  <si>
    <t>Ouattara</t>
  </si>
  <si>
    <t>Orian</t>
  </si>
  <si>
    <t>Isamel</t>
  </si>
  <si>
    <t>Lance</t>
  </si>
  <si>
    <t>Diana</t>
  </si>
  <si>
    <t>Maybelline</t>
  </si>
  <si>
    <t>Salina</t>
  </si>
  <si>
    <t>Abigail</t>
  </si>
  <si>
    <t>Candy</t>
  </si>
  <si>
    <t>Tyeaste</t>
  </si>
  <si>
    <t>Reina</t>
  </si>
  <si>
    <t>Takenya</t>
  </si>
  <si>
    <t>Samsun</t>
  </si>
  <si>
    <t>Almaida</t>
  </si>
  <si>
    <t>Galina</t>
  </si>
  <si>
    <t>Tonya</t>
  </si>
  <si>
    <t>Bleuberthol</t>
  </si>
  <si>
    <t>MICHELLE</t>
  </si>
  <si>
    <t>Abraham</t>
  </si>
  <si>
    <t>Hilary</t>
  </si>
  <si>
    <t>Darren</t>
  </si>
  <si>
    <t>Lashundra</t>
  </si>
  <si>
    <t>Walter</t>
  </si>
  <si>
    <t>T-shai</t>
  </si>
  <si>
    <t>Metognisse</t>
  </si>
  <si>
    <t>Joann</t>
  </si>
  <si>
    <t>Kettelie</t>
  </si>
  <si>
    <t>Indiana</t>
  </si>
  <si>
    <t>Ciara</t>
  </si>
  <si>
    <t>Julialine</t>
  </si>
  <si>
    <t>Packysha</t>
  </si>
  <si>
    <t>Audley</t>
  </si>
  <si>
    <t>Dorreen</t>
  </si>
  <si>
    <t>St. Clair</t>
  </si>
  <si>
    <t>Ramedeo</t>
  </si>
  <si>
    <t>Margie</t>
  </si>
  <si>
    <t>Louette</t>
  </si>
  <si>
    <t>Lita</t>
  </si>
  <si>
    <t>DORIS</t>
  </si>
  <si>
    <t>Shazzia</t>
  </si>
  <si>
    <t>Marian</t>
  </si>
  <si>
    <t>Gerleen</t>
  </si>
  <si>
    <t>Lakisha</t>
  </si>
  <si>
    <t>Jalisa</t>
  </si>
  <si>
    <t>Javette</t>
  </si>
  <si>
    <t>Darcey</t>
  </si>
  <si>
    <t>Freddie</t>
  </si>
  <si>
    <t>Argentina</t>
  </si>
  <si>
    <t>Marvin</t>
  </si>
  <si>
    <t>Pilayne</t>
  </si>
  <si>
    <t>Petrona</t>
  </si>
  <si>
    <t>Mac Davis</t>
  </si>
  <si>
    <t>Hocasta</t>
  </si>
  <si>
    <t>Tashae</t>
  </si>
  <si>
    <t>Italo</t>
  </si>
  <si>
    <t>Ellis</t>
  </si>
  <si>
    <t>Celestina</t>
  </si>
  <si>
    <t>Noris</t>
  </si>
  <si>
    <t>Darlyne</t>
  </si>
  <si>
    <t>Merdan</t>
  </si>
  <si>
    <t>Lloyd</t>
  </si>
  <si>
    <t>Atcharaphon</t>
  </si>
  <si>
    <t>Normalin</t>
  </si>
  <si>
    <t>Sherril</t>
  </si>
  <si>
    <t>Osbourne</t>
  </si>
  <si>
    <t>Priscilla</t>
  </si>
  <si>
    <t>Sharmila</t>
  </si>
  <si>
    <t>Glenn</t>
  </si>
  <si>
    <t>Catalina</t>
  </si>
  <si>
    <t>Eulogio</t>
  </si>
  <si>
    <t>Digna</t>
  </si>
  <si>
    <t>Jelecia</t>
  </si>
  <si>
    <t>Wing</t>
  </si>
  <si>
    <t>Allison</t>
  </si>
  <si>
    <t>Shani</t>
  </si>
  <si>
    <t>Djibril</t>
  </si>
  <si>
    <t>Ligia</t>
  </si>
  <si>
    <t>MARIA</t>
  </si>
  <si>
    <t>Haydee</t>
  </si>
  <si>
    <t>Abu</t>
  </si>
  <si>
    <t>Candice</t>
  </si>
  <si>
    <t>Yosui</t>
  </si>
  <si>
    <t>Anatolie</t>
  </si>
  <si>
    <t>Brent</t>
  </si>
  <si>
    <t>Belinda</t>
  </si>
  <si>
    <t>Ernestina</t>
  </si>
  <si>
    <t>ELsa</t>
  </si>
  <si>
    <t>Ilza</t>
  </si>
  <si>
    <t>Domingo</t>
  </si>
  <si>
    <t>Rachel</t>
  </si>
  <si>
    <t>Sontashia</t>
  </si>
  <si>
    <t>Geena</t>
  </si>
  <si>
    <t>Leila</t>
  </si>
  <si>
    <t>Ardina</t>
  </si>
  <si>
    <t>Diogenes</t>
  </si>
  <si>
    <t>Kayaswonna</t>
  </si>
  <si>
    <t>Louise</t>
  </si>
  <si>
    <t>Fidelis</t>
  </si>
  <si>
    <t>Cheikh</t>
  </si>
  <si>
    <t>Camilo</t>
  </si>
  <si>
    <t>Clinton</t>
  </si>
  <si>
    <t>Pei Yan</t>
  </si>
  <si>
    <t>Roma</t>
  </si>
  <si>
    <t>Deealisa</t>
  </si>
  <si>
    <t>Fatemia</t>
  </si>
  <si>
    <t>Precious</t>
  </si>
  <si>
    <t>Clarence</t>
  </si>
  <si>
    <t>Brette</t>
  </si>
  <si>
    <t>Shawn</t>
  </si>
  <si>
    <t>Powe</t>
  </si>
  <si>
    <t>Courtnei</t>
  </si>
  <si>
    <t>Damon</t>
  </si>
  <si>
    <t>Alida</t>
  </si>
  <si>
    <t>Angela</t>
  </si>
  <si>
    <t>Roberto</t>
  </si>
  <si>
    <t>Efren</t>
  </si>
  <si>
    <t>Chaterlee</t>
  </si>
  <si>
    <t>Trelane</t>
  </si>
  <si>
    <t>Madaline</t>
  </si>
  <si>
    <t>Tomas</t>
  </si>
  <si>
    <t>Melida</t>
  </si>
  <si>
    <t>Wen Ke</t>
  </si>
  <si>
    <t>Yvette</t>
  </si>
  <si>
    <t>Raul</t>
  </si>
  <si>
    <t>Avery</t>
  </si>
  <si>
    <t>Angelina</t>
  </si>
  <si>
    <t>Antoinette</t>
  </si>
  <si>
    <t>Carrie</t>
  </si>
  <si>
    <t>Abdelkrim</t>
  </si>
  <si>
    <t>Yahisa Sugeily</t>
  </si>
  <si>
    <t>Milton</t>
  </si>
  <si>
    <t>Zinaida</t>
  </si>
  <si>
    <t>Milady</t>
  </si>
  <si>
    <t>Teodoso</t>
  </si>
  <si>
    <t>Lucille</t>
  </si>
  <si>
    <t>Kui</t>
  </si>
  <si>
    <t>Adela</t>
  </si>
  <si>
    <t>Rafelina</t>
  </si>
  <si>
    <t>Gissel</t>
  </si>
  <si>
    <t>Santa</t>
  </si>
  <si>
    <t>Chelsea</t>
  </si>
  <si>
    <t>Jannette</t>
  </si>
  <si>
    <t>Giselle</t>
  </si>
  <si>
    <t>Siu Lan</t>
  </si>
  <si>
    <t>Merle</t>
  </si>
  <si>
    <t>Azizi</t>
  </si>
  <si>
    <t>Camille</t>
  </si>
  <si>
    <t>Ibelka</t>
  </si>
  <si>
    <t>Wandiria</t>
  </si>
  <si>
    <t>Momodou</t>
  </si>
  <si>
    <t>Natisha</t>
  </si>
  <si>
    <t>NETALINA</t>
  </si>
  <si>
    <t>Brunilda</t>
  </si>
  <si>
    <t>Jimmy</t>
  </si>
  <si>
    <t>Dorothea</t>
  </si>
  <si>
    <t>Nyasia</t>
  </si>
  <si>
    <t>Don Yuan</t>
  </si>
  <si>
    <t>Bhesham</t>
  </si>
  <si>
    <t>Armando</t>
  </si>
  <si>
    <t>Judelyne</t>
  </si>
  <si>
    <t>Julieta</t>
  </si>
  <si>
    <t>Autumn</t>
  </si>
  <si>
    <t>Willeesha</t>
  </si>
  <si>
    <t>Aziza</t>
  </si>
  <si>
    <t>Uma</t>
  </si>
  <si>
    <t>Nadeen</t>
  </si>
  <si>
    <t>Alleanna</t>
  </si>
  <si>
    <t>Turna</t>
  </si>
  <si>
    <t>Leah</t>
  </si>
  <si>
    <t>Jeannette</t>
  </si>
  <si>
    <t>Adrian</t>
  </si>
  <si>
    <t>Melinda</t>
  </si>
  <si>
    <t>Florinda</t>
  </si>
  <si>
    <t>Siwana</t>
  </si>
  <si>
    <t>Jecenia</t>
  </si>
  <si>
    <t>Louis</t>
  </si>
  <si>
    <t>Fraylin</t>
  </si>
  <si>
    <t>Dominiqua</t>
  </si>
  <si>
    <t>Antonai</t>
  </si>
  <si>
    <t>Deisy</t>
  </si>
  <si>
    <t>Bienah</t>
  </si>
  <si>
    <t>Sanjoy</t>
  </si>
  <si>
    <t>Jewell</t>
  </si>
  <si>
    <t>Brigida</t>
  </si>
  <si>
    <t>Josmely</t>
  </si>
  <si>
    <t>Zipporah</t>
  </si>
  <si>
    <t>Fannye</t>
  </si>
  <si>
    <t>Alfredo</t>
  </si>
  <si>
    <t>Lucretia</t>
  </si>
  <si>
    <t>Hena</t>
  </si>
  <si>
    <t>Patrice</t>
  </si>
  <si>
    <t>Jonelle</t>
  </si>
  <si>
    <t>Deloris</t>
  </si>
  <si>
    <t>Darden</t>
  </si>
  <si>
    <t>Taqiyya</t>
  </si>
  <si>
    <t>Jamal</t>
  </si>
  <si>
    <t>Carmine</t>
  </si>
  <si>
    <t>Dusan</t>
  </si>
  <si>
    <t>Phillip</t>
  </si>
  <si>
    <t>Louie</t>
  </si>
  <si>
    <t>Natalia</t>
  </si>
  <si>
    <t>Delcia</t>
  </si>
  <si>
    <t>Faizullah</t>
  </si>
  <si>
    <t>Geovanny</t>
  </si>
  <si>
    <t>Abril</t>
  </si>
  <si>
    <t>Odessa</t>
  </si>
  <si>
    <t>Nagina</t>
  </si>
  <si>
    <t>Jully</t>
  </si>
  <si>
    <t>Arcangel</t>
  </si>
  <si>
    <t>Damaris</t>
  </si>
  <si>
    <t>Tyenne</t>
  </si>
  <si>
    <t>Lev</t>
  </si>
  <si>
    <t>Federick</t>
  </si>
  <si>
    <t>Melba</t>
  </si>
  <si>
    <t>Barakate</t>
  </si>
  <si>
    <t>Sherley</t>
  </si>
  <si>
    <t>Sirrhan</t>
  </si>
  <si>
    <t>Emerson</t>
  </si>
  <si>
    <t>Ebenezer</t>
  </si>
  <si>
    <t>Aidee</t>
  </si>
  <si>
    <t>Seerajie</t>
  </si>
  <si>
    <t>Elvire</t>
  </si>
  <si>
    <t>Nelida</t>
  </si>
  <si>
    <t>Darell</t>
  </si>
  <si>
    <t>Joy</t>
  </si>
  <si>
    <t>Flossie</t>
  </si>
  <si>
    <t>Lela</t>
  </si>
  <si>
    <t>Cherri</t>
  </si>
  <si>
    <t>Meite</t>
  </si>
  <si>
    <t>Makia</t>
  </si>
  <si>
    <t>Germaine</t>
  </si>
  <si>
    <t>Annabel</t>
  </si>
  <si>
    <t>Beheejah</t>
  </si>
  <si>
    <t>Benabeliz</t>
  </si>
  <si>
    <t>Komal</t>
  </si>
  <si>
    <t>Adalberto</t>
  </si>
  <si>
    <t>Elvis</t>
  </si>
  <si>
    <t>Junador</t>
  </si>
  <si>
    <t>Rosanys</t>
  </si>
  <si>
    <t>Didgeral</t>
  </si>
  <si>
    <t>Awilda</t>
  </si>
  <si>
    <t>Aisha</t>
  </si>
  <si>
    <t>Tanya</t>
  </si>
  <si>
    <t>Atira</t>
  </si>
  <si>
    <t>Tamar</t>
  </si>
  <si>
    <t>Shermaine</t>
  </si>
  <si>
    <t>Zinzi</t>
  </si>
  <si>
    <t>Amery</t>
  </si>
  <si>
    <t>Afia</t>
  </si>
  <si>
    <t>Belkis</t>
  </si>
  <si>
    <t>German</t>
  </si>
  <si>
    <t>Sulette</t>
  </si>
  <si>
    <t>Zuleika</t>
  </si>
  <si>
    <t>Silvia</t>
  </si>
  <si>
    <t>Noelle</t>
  </si>
  <si>
    <t>Mirulqui</t>
  </si>
  <si>
    <t>Elma</t>
  </si>
  <si>
    <t>Connie</t>
  </si>
  <si>
    <t>Erick</t>
  </si>
  <si>
    <t>Enllely</t>
  </si>
  <si>
    <t>Lillie</t>
  </si>
  <si>
    <t>Conroy</t>
  </si>
  <si>
    <t>Joenelly</t>
  </si>
  <si>
    <t>Sita</t>
  </si>
  <si>
    <t>Simone</t>
  </si>
  <si>
    <t>FRANCISCA</t>
  </si>
  <si>
    <t>Linneth</t>
  </si>
  <si>
    <t>Nuha</t>
  </si>
  <si>
    <t>Karrisma</t>
  </si>
  <si>
    <t>Logan</t>
  </si>
  <si>
    <t>Yenyffer</t>
  </si>
  <si>
    <t>Allana</t>
  </si>
  <si>
    <t>Alisa</t>
  </si>
  <si>
    <t>Rufino</t>
  </si>
  <si>
    <t>Judy</t>
  </si>
  <si>
    <t>Alma</t>
  </si>
  <si>
    <t>Rosio</t>
  </si>
  <si>
    <t>Jesenia</t>
  </si>
  <si>
    <t>Courtney</t>
  </si>
  <si>
    <t>Fresi</t>
  </si>
  <si>
    <t>Dania</t>
  </si>
  <si>
    <t>Iqbal</t>
  </si>
  <si>
    <t>Jamar</t>
  </si>
  <si>
    <t>Eduard</t>
  </si>
  <si>
    <t>Mario</t>
  </si>
  <si>
    <t>Thuan</t>
  </si>
  <si>
    <t>Selvyn</t>
  </si>
  <si>
    <t>Andreen</t>
  </si>
  <si>
    <t>Shonique</t>
  </si>
  <si>
    <t>Daryl</t>
  </si>
  <si>
    <t>Laneda</t>
  </si>
  <si>
    <t>Carlene Caretta</t>
  </si>
  <si>
    <t>Hajar</t>
  </si>
  <si>
    <t>Olamide</t>
  </si>
  <si>
    <t>Ericka</t>
  </si>
  <si>
    <t>Linc</t>
  </si>
  <si>
    <t>Trina</t>
  </si>
  <si>
    <t>Ellen</t>
  </si>
  <si>
    <t>Joquasha</t>
  </si>
  <si>
    <t>Larae</t>
  </si>
  <si>
    <t>Lanette</t>
  </si>
  <si>
    <t>Girleene</t>
  </si>
  <si>
    <t>Timonthy</t>
  </si>
  <si>
    <t>Waanibe</t>
  </si>
  <si>
    <t>Byron</t>
  </si>
  <si>
    <t>Roxanne</t>
  </si>
  <si>
    <t>Bridgette</t>
  </si>
  <si>
    <t>Fredrena</t>
  </si>
  <si>
    <t>Debbie</t>
  </si>
  <si>
    <t>McLean</t>
  </si>
  <si>
    <t>Yusef</t>
  </si>
  <si>
    <t>Omari</t>
  </si>
  <si>
    <t>Nii</t>
  </si>
  <si>
    <t>Nya Nya</t>
  </si>
  <si>
    <t>Damitra</t>
  </si>
  <si>
    <t>Rastko</t>
  </si>
  <si>
    <t>Rosalind</t>
  </si>
  <si>
    <t>Juceyna</t>
  </si>
  <si>
    <t>Sybil</t>
  </si>
  <si>
    <t>Dwayne</t>
  </si>
  <si>
    <t>Charley</t>
  </si>
  <si>
    <t>JASON</t>
  </si>
  <si>
    <t>ALAIRA</t>
  </si>
  <si>
    <t>Hylene</t>
  </si>
  <si>
    <t>Yaw</t>
  </si>
  <si>
    <t>Melody</t>
  </si>
  <si>
    <t>DOMINGO</t>
  </si>
  <si>
    <t>Saeed</t>
  </si>
  <si>
    <t>Teonila</t>
  </si>
  <si>
    <t>Vianny</t>
  </si>
  <si>
    <t>Rhina</t>
  </si>
  <si>
    <t>Amy</t>
  </si>
  <si>
    <t>Latasha</t>
  </si>
  <si>
    <t>Felito</t>
  </si>
  <si>
    <t>Zulema</t>
  </si>
  <si>
    <t>Chikenya</t>
  </si>
  <si>
    <t>Sherete</t>
  </si>
  <si>
    <t>Raschid</t>
  </si>
  <si>
    <t>Lopsang</t>
  </si>
  <si>
    <t>Lobsang</t>
  </si>
  <si>
    <t>Tsering</t>
  </si>
  <si>
    <t>Otilia</t>
  </si>
  <si>
    <t>Aixa</t>
  </si>
  <si>
    <t>Pretty</t>
  </si>
  <si>
    <t>Rafaela</t>
  </si>
  <si>
    <t>Zhi</t>
  </si>
  <si>
    <t>Raphael</t>
  </si>
  <si>
    <t>Ashok</t>
  </si>
  <si>
    <t>Esmery</t>
  </si>
  <si>
    <t>Prudencio</t>
  </si>
  <si>
    <t>Hunter</t>
  </si>
  <si>
    <t>Alexandra</t>
  </si>
  <si>
    <t>Masiel</t>
  </si>
  <si>
    <t>Najat</t>
  </si>
  <si>
    <t>Bruce</t>
  </si>
  <si>
    <t>Albin</t>
  </si>
  <si>
    <t>Biorkis</t>
  </si>
  <si>
    <t>Hansy</t>
  </si>
  <si>
    <t>Mariame</t>
  </si>
  <si>
    <t>Lutful</t>
  </si>
  <si>
    <t>Dora</t>
  </si>
  <si>
    <t>Sanoussy</t>
  </si>
  <si>
    <t>Allan</t>
  </si>
  <si>
    <t>Dianne</t>
  </si>
  <si>
    <t>Abdul</t>
  </si>
  <si>
    <t>Kerryann</t>
  </si>
  <si>
    <t>Shenika</t>
  </si>
  <si>
    <t>Fredy</t>
  </si>
  <si>
    <t>Davon</t>
  </si>
  <si>
    <t>Elsy</t>
  </si>
  <si>
    <t>Prince</t>
  </si>
  <si>
    <t>Nichola</t>
  </si>
  <si>
    <t>Golie</t>
  </si>
  <si>
    <t>Nathalia</t>
  </si>
  <si>
    <t>Alfred</t>
  </si>
  <si>
    <t>Walesca</t>
  </si>
  <si>
    <t>Muzafar</t>
  </si>
  <si>
    <t>JORGE</t>
  </si>
  <si>
    <t>Yesynia</t>
  </si>
  <si>
    <t>Renick</t>
  </si>
  <si>
    <t>INES</t>
  </si>
  <si>
    <t>Tahina</t>
  </si>
  <si>
    <t>Suimara</t>
  </si>
  <si>
    <t>Johanne</t>
  </si>
  <si>
    <t>Willis</t>
  </si>
  <si>
    <t>Stacy</t>
  </si>
  <si>
    <t>Indra</t>
  </si>
  <si>
    <t>Viviana</t>
  </si>
  <si>
    <t>Holly</t>
  </si>
  <si>
    <t>KEREECKA</t>
  </si>
  <si>
    <t>Jermel</t>
  </si>
  <si>
    <t>Jai</t>
  </si>
  <si>
    <t>Darriana</t>
  </si>
  <si>
    <t>Renay</t>
  </si>
  <si>
    <t>Shelly</t>
  </si>
  <si>
    <t>Cecily</t>
  </si>
  <si>
    <t>Gemma</t>
  </si>
  <si>
    <t>Marva</t>
  </si>
  <si>
    <t>Sherry-Ann</t>
  </si>
  <si>
    <t>Atania</t>
  </si>
  <si>
    <t>Hesham</t>
  </si>
  <si>
    <t>Lakeshia</t>
  </si>
  <si>
    <t>VALERIE</t>
  </si>
  <si>
    <t>Carina</t>
  </si>
  <si>
    <t>DAVID</t>
  </si>
  <si>
    <t>Mayra</t>
  </si>
  <si>
    <t>Marizol</t>
  </si>
  <si>
    <t>Ray</t>
  </si>
  <si>
    <t>Rafiel</t>
  </si>
  <si>
    <t>Sheldon</t>
  </si>
  <si>
    <t>Dawne</t>
  </si>
  <si>
    <t>KELLY</t>
  </si>
  <si>
    <t>Assial</t>
  </si>
  <si>
    <t>Darliana</t>
  </si>
  <si>
    <t>Lina</t>
  </si>
  <si>
    <t>Susanne</t>
  </si>
  <si>
    <t>Padmini</t>
  </si>
  <si>
    <t>Starneisha</t>
  </si>
  <si>
    <t>Moulay</t>
  </si>
  <si>
    <t>Shaka</t>
  </si>
  <si>
    <t>Yarisa</t>
  </si>
  <si>
    <t>Manisha</t>
  </si>
  <si>
    <t>Timothy</t>
  </si>
  <si>
    <t>Burgess</t>
  </si>
  <si>
    <t>Desery</t>
  </si>
  <si>
    <t>Faith</t>
  </si>
  <si>
    <t>Derick</t>
  </si>
  <si>
    <t>Ritza</t>
  </si>
  <si>
    <t>Jacqalin</t>
  </si>
  <si>
    <t>Emmett</t>
  </si>
  <si>
    <t>Jacynth</t>
  </si>
  <si>
    <t>Yocelyn</t>
  </si>
  <si>
    <t>Fiona</t>
  </si>
  <si>
    <t>Tonisha</t>
  </si>
  <si>
    <t>Lyudmila</t>
  </si>
  <si>
    <t>Maira</t>
  </si>
  <si>
    <t>Waldemir</t>
  </si>
  <si>
    <t>Giovanni</t>
  </si>
  <si>
    <t>Calverton</t>
  </si>
  <si>
    <t>Kammiel</t>
  </si>
  <si>
    <t>C. Kelly</t>
  </si>
  <si>
    <t>Modesty</t>
  </si>
  <si>
    <t>Latanya</t>
  </si>
  <si>
    <t>Vernice</t>
  </si>
  <si>
    <t>Eman</t>
  </si>
  <si>
    <t>Thashana</t>
  </si>
  <si>
    <t>Sophina</t>
  </si>
  <si>
    <t>Hyacinth</t>
  </si>
  <si>
    <t>Song-Sook</t>
  </si>
  <si>
    <t>Lashema</t>
  </si>
  <si>
    <t>Aurora</t>
  </si>
  <si>
    <t>Kareem</t>
  </si>
  <si>
    <t>Shouhui</t>
  </si>
  <si>
    <t>Gisell</t>
  </si>
  <si>
    <t>Dalia</t>
  </si>
  <si>
    <t>Djana</t>
  </si>
  <si>
    <t>Quemly</t>
  </si>
  <si>
    <t>Dontee</t>
  </si>
  <si>
    <t>Sylvia</t>
  </si>
  <si>
    <t>Leoncio</t>
  </si>
  <si>
    <t>KRISTER</t>
  </si>
  <si>
    <t>Sopheab</t>
  </si>
  <si>
    <t>Zarnigor</t>
  </si>
  <si>
    <t>Rashid</t>
  </si>
  <si>
    <t>Tracey</t>
  </si>
  <si>
    <t>OWUSU</t>
  </si>
  <si>
    <t>Neila</t>
  </si>
  <si>
    <t>MARJORIE</t>
  </si>
  <si>
    <t>Meliza</t>
  </si>
  <si>
    <t>Linette</t>
  </si>
  <si>
    <t>Charmaine</t>
  </si>
  <si>
    <t>Escarlet</t>
  </si>
  <si>
    <t>Demarie</t>
  </si>
  <si>
    <t>Arisleyda</t>
  </si>
  <si>
    <t>Jaquclin</t>
  </si>
  <si>
    <t>Vandella</t>
  </si>
  <si>
    <t>Eliezer</t>
  </si>
  <si>
    <t>Zima</t>
  </si>
  <si>
    <t>Ramonita</t>
  </si>
  <si>
    <t>NATHALIE</t>
  </si>
  <si>
    <t>TAMMY</t>
  </si>
  <si>
    <t>Eleidy</t>
  </si>
  <si>
    <t>Mustafa</t>
  </si>
  <si>
    <t>Rumana</t>
  </si>
  <si>
    <t>Vicenta</t>
  </si>
  <si>
    <t>Sheri</t>
  </si>
  <si>
    <t>Kabal</t>
  </si>
  <si>
    <t>Sakeena</t>
  </si>
  <si>
    <t>ADA</t>
  </si>
  <si>
    <t>Satara</t>
  </si>
  <si>
    <t>Jade</t>
  </si>
  <si>
    <t>Emanuel</t>
  </si>
  <si>
    <t>Crystle</t>
  </si>
  <si>
    <t>Miledy</t>
  </si>
  <si>
    <t>Shakiera</t>
  </si>
  <si>
    <t>Lazara</t>
  </si>
  <si>
    <t>Ashiya</t>
  </si>
  <si>
    <t>Janelle</t>
  </si>
  <si>
    <t>Zarmina</t>
  </si>
  <si>
    <t>Thelma</t>
  </si>
  <si>
    <t>Taneesha</t>
  </si>
  <si>
    <t>Briani</t>
  </si>
  <si>
    <t>Elbia</t>
  </si>
  <si>
    <t>Isaiah</t>
  </si>
  <si>
    <t>Joaquin</t>
  </si>
  <si>
    <t>Inocencia</t>
  </si>
  <si>
    <t>Luna</t>
  </si>
  <si>
    <t>Aneka</t>
  </si>
  <si>
    <t>Mera</t>
  </si>
  <si>
    <t>Sangita</t>
  </si>
  <si>
    <t>Hopton</t>
  </si>
  <si>
    <t>Delfi</t>
  </si>
  <si>
    <t>Isbeli</t>
  </si>
  <si>
    <t>Chimain</t>
  </si>
  <si>
    <t>Elza</t>
  </si>
  <si>
    <t>Salwa</t>
  </si>
  <si>
    <t>Theodore</t>
  </si>
  <si>
    <t>Kesha</t>
  </si>
  <si>
    <t>Gloria Maria</t>
  </si>
  <si>
    <t>Laverne</t>
  </si>
  <si>
    <t>Nora</t>
  </si>
  <si>
    <t>Claritza</t>
  </si>
  <si>
    <t>Dameris</t>
  </si>
  <si>
    <t>Danya</t>
  </si>
  <si>
    <t>Ana Maria</t>
  </si>
  <si>
    <t>Leonardo</t>
  </si>
  <si>
    <t>Siegfried</t>
  </si>
  <si>
    <t>Yittel</t>
  </si>
  <si>
    <t>Marilenis</t>
  </si>
  <si>
    <t>Luis Angel</t>
  </si>
  <si>
    <t>Huang You</t>
  </si>
  <si>
    <t>Alan</t>
  </si>
  <si>
    <t>Kostas</t>
  </si>
  <si>
    <t>Glennis</t>
  </si>
  <si>
    <t>Jasmin</t>
  </si>
  <si>
    <t>Marlene</t>
  </si>
  <si>
    <t>Khadiza</t>
  </si>
  <si>
    <t>Ina</t>
  </si>
  <si>
    <t>Hope</t>
  </si>
  <si>
    <t>Orel</t>
  </si>
  <si>
    <t>Esmail</t>
  </si>
  <si>
    <t>Nersida</t>
  </si>
  <si>
    <t>Tak</t>
  </si>
  <si>
    <t>Virgilio</t>
  </si>
  <si>
    <t>Anne</t>
  </si>
  <si>
    <t>Shareen</t>
  </si>
  <si>
    <t>Quantavia</t>
  </si>
  <si>
    <t>Sadatu</t>
  </si>
  <si>
    <t>Taharah</t>
  </si>
  <si>
    <t>Kerrick</t>
  </si>
  <si>
    <t>Leeann</t>
  </si>
  <si>
    <t>Hiram</t>
  </si>
  <si>
    <t>Lizabeth</t>
  </si>
  <si>
    <t>Micheal</t>
  </si>
  <si>
    <t>Lorena</t>
  </si>
  <si>
    <t>Shiniqua</t>
  </si>
  <si>
    <t>Champa</t>
  </si>
  <si>
    <t>Tonji</t>
  </si>
  <si>
    <t>Rocio</t>
  </si>
  <si>
    <t>Melona</t>
  </si>
  <si>
    <t>Gul</t>
  </si>
  <si>
    <t>Vinessa</t>
  </si>
  <si>
    <t>EDDY</t>
  </si>
  <si>
    <t>Zulma</t>
  </si>
  <si>
    <t>Shakima</t>
  </si>
  <si>
    <t>Myrielle</t>
  </si>
  <si>
    <t>Santos</t>
  </si>
  <si>
    <t>Marquette</t>
  </si>
  <si>
    <t>Shaunina</t>
  </si>
  <si>
    <t>Myrna</t>
  </si>
  <si>
    <t>Anyelina</t>
  </si>
  <si>
    <t>Nakani</t>
  </si>
  <si>
    <t>Eusebia</t>
  </si>
  <si>
    <t>Soma</t>
  </si>
  <si>
    <t>Jhenedier</t>
  </si>
  <si>
    <t>Katiya</t>
  </si>
  <si>
    <t>Kaliesha</t>
  </si>
  <si>
    <t>Seorie</t>
  </si>
  <si>
    <t>Sugar</t>
  </si>
  <si>
    <t>Cherlene</t>
  </si>
  <si>
    <t>Drupattie</t>
  </si>
  <si>
    <t>Sharma</t>
  </si>
  <si>
    <t>Omayra</t>
  </si>
  <si>
    <t>Rudolph</t>
  </si>
  <si>
    <t>Meggy</t>
  </si>
  <si>
    <t>Arsenia</t>
  </si>
  <si>
    <t>Rosita</t>
  </si>
  <si>
    <t>Fernando</t>
  </si>
  <si>
    <t>Solange</t>
  </si>
  <si>
    <t>Marcos</t>
  </si>
  <si>
    <t>Rowshine</t>
  </si>
  <si>
    <t>somayra</t>
  </si>
  <si>
    <t>Edilsa</t>
  </si>
  <si>
    <t>Saturnina</t>
  </si>
  <si>
    <t>Adolfina</t>
  </si>
  <si>
    <t>Nakita</t>
  </si>
  <si>
    <t>Rossana</t>
  </si>
  <si>
    <t>Shandora</t>
  </si>
  <si>
    <t>Quinette</t>
  </si>
  <si>
    <t>Roxana</t>
  </si>
  <si>
    <t>Mbayang</t>
  </si>
  <si>
    <t>Wolied</t>
  </si>
  <si>
    <t>Letha</t>
  </si>
  <si>
    <t>Danesha</t>
  </si>
  <si>
    <t>Maximo</t>
  </si>
  <si>
    <t>Kelmi</t>
  </si>
  <si>
    <t>Melania</t>
  </si>
  <si>
    <t>Narisha</t>
  </si>
  <si>
    <t>Pandora</t>
  </si>
  <si>
    <t>Jamange</t>
  </si>
  <si>
    <t>Kai Ming</t>
  </si>
  <si>
    <t>Nurun</t>
  </si>
  <si>
    <t>Fabiola</t>
  </si>
  <si>
    <t>Aleida</t>
  </si>
  <si>
    <t>Tachona</t>
  </si>
  <si>
    <t>Aldry</t>
  </si>
  <si>
    <t>Junior</t>
  </si>
  <si>
    <t>Deandra</t>
  </si>
  <si>
    <t>Basdai</t>
  </si>
  <si>
    <t>Asuray</t>
  </si>
  <si>
    <t>Lynne</t>
  </si>
  <si>
    <t>Unis</t>
  </si>
  <si>
    <t>Noel</t>
  </si>
  <si>
    <t>Yisroel</t>
  </si>
  <si>
    <t>Yolene</t>
  </si>
  <si>
    <t>Subhi</t>
  </si>
  <si>
    <t>Eni</t>
  </si>
  <si>
    <t>Ivan</t>
  </si>
  <si>
    <t>Abiud</t>
  </si>
  <si>
    <t>Kiana</t>
  </si>
  <si>
    <t>Genesis</t>
  </si>
  <si>
    <t>Monirul</t>
  </si>
  <si>
    <t>Jere</t>
  </si>
  <si>
    <t>Kenya</t>
  </si>
  <si>
    <t>Banfaly</t>
  </si>
  <si>
    <t>Carolina</t>
  </si>
  <si>
    <t>Shequanna</t>
  </si>
  <si>
    <t>Lateena</t>
  </si>
  <si>
    <t>Yahel</t>
  </si>
  <si>
    <t>Kissi</t>
  </si>
  <si>
    <t>Melitza</t>
  </si>
  <si>
    <t>Toria</t>
  </si>
  <si>
    <t>Sachen</t>
  </si>
  <si>
    <t>WILLIAM</t>
  </si>
  <si>
    <t>Tangerina</t>
  </si>
  <si>
    <t>Babacar</t>
  </si>
  <si>
    <t>Jack</t>
  </si>
  <si>
    <t>Natoya</t>
  </si>
  <si>
    <t>Francia</t>
  </si>
  <si>
    <t>Grissell</t>
  </si>
  <si>
    <t>MILAGROS</t>
  </si>
  <si>
    <t>Morgen</t>
  </si>
  <si>
    <t>Yubelkis</t>
  </si>
  <si>
    <t>Liliana</t>
  </si>
  <si>
    <t>MARTHA</t>
  </si>
  <si>
    <t>Dildre</t>
  </si>
  <si>
    <t>Wildor</t>
  </si>
  <si>
    <t>Hilda</t>
  </si>
  <si>
    <t>Maime</t>
  </si>
  <si>
    <t>Elba</t>
  </si>
  <si>
    <t>Moyosore</t>
  </si>
  <si>
    <t>Ortencia</t>
  </si>
  <si>
    <t>Leanna</t>
  </si>
  <si>
    <t>Rahule</t>
  </si>
  <si>
    <t>Bauget</t>
  </si>
  <si>
    <t>Nafreen</t>
  </si>
  <si>
    <t>Graciela</t>
  </si>
  <si>
    <t>Dewyane</t>
  </si>
  <si>
    <t>Amador</t>
  </si>
  <si>
    <t>Donnette</t>
  </si>
  <si>
    <t>Reidus</t>
  </si>
  <si>
    <t>Shorann</t>
  </si>
  <si>
    <t>Elston</t>
  </si>
  <si>
    <t>King Pin</t>
  </si>
  <si>
    <t>Gleny</t>
  </si>
  <si>
    <t>Ieasha</t>
  </si>
  <si>
    <t>Aretha</t>
  </si>
  <si>
    <t>Elvena</t>
  </si>
  <si>
    <t>Jermaine</t>
  </si>
  <si>
    <t>Anahthany</t>
  </si>
  <si>
    <t>Ronda</t>
  </si>
  <si>
    <t>Desha</t>
  </si>
  <si>
    <t>Frantz</t>
  </si>
  <si>
    <t>Stanfield</t>
  </si>
  <si>
    <t>Inga</t>
  </si>
  <si>
    <t>Charisse</t>
  </si>
  <si>
    <t>Shellyann</t>
  </si>
  <si>
    <t>Sherefa</t>
  </si>
  <si>
    <t>Sherneil</t>
  </si>
  <si>
    <t>Katiana</t>
  </si>
  <si>
    <t>Trevor</t>
  </si>
  <si>
    <t>Durven</t>
  </si>
  <si>
    <t>Mira</t>
  </si>
  <si>
    <t>Latrice</t>
  </si>
  <si>
    <t>Jeselle</t>
  </si>
  <si>
    <t>Khary</t>
  </si>
  <si>
    <t>Earline</t>
  </si>
  <si>
    <t>Shatema</t>
  </si>
  <si>
    <t>Eddy</t>
  </si>
  <si>
    <t>Gratiana</t>
  </si>
  <si>
    <t>Mamadou</t>
  </si>
  <si>
    <t>Aldwyn</t>
  </si>
  <si>
    <t>Julie Ann</t>
  </si>
  <si>
    <t>Raylene</t>
  </si>
  <si>
    <t>Sterling</t>
  </si>
  <si>
    <t>Sakinah</t>
  </si>
  <si>
    <t>Lionel</t>
  </si>
  <si>
    <t>Bertin</t>
  </si>
  <si>
    <t>Shawntel</t>
  </si>
  <si>
    <t>Tarnita</t>
  </si>
  <si>
    <t>Glendalee</t>
  </si>
  <si>
    <t>lenore</t>
  </si>
  <si>
    <t>Sumon</t>
  </si>
  <si>
    <t>Borngod</t>
  </si>
  <si>
    <t>Aizhanae</t>
  </si>
  <si>
    <t>Mobolaji</t>
  </si>
  <si>
    <t>Donza</t>
  </si>
  <si>
    <t>Livio</t>
  </si>
  <si>
    <t>Cyncerae</t>
  </si>
  <si>
    <t>Zalmen</t>
  </si>
  <si>
    <t>Bimael</t>
  </si>
  <si>
    <t>Djakaria</t>
  </si>
  <si>
    <t>Nimma</t>
  </si>
  <si>
    <t>Awa</t>
  </si>
  <si>
    <t>Clara</t>
  </si>
  <si>
    <t>Ayleen</t>
  </si>
  <si>
    <t>Devon</t>
  </si>
  <si>
    <t>Daphne</t>
  </si>
  <si>
    <t>Becky</t>
  </si>
  <si>
    <t>Gillian</t>
  </si>
  <si>
    <t>Leita</t>
  </si>
  <si>
    <t>Tahera</t>
  </si>
  <si>
    <t>Elianny</t>
  </si>
  <si>
    <t>Adelfa</t>
  </si>
  <si>
    <t>Shauntay</t>
  </si>
  <si>
    <t>Chaddean</t>
  </si>
  <si>
    <t>Whitney</t>
  </si>
  <si>
    <t>Irene</t>
  </si>
  <si>
    <t>Eli</t>
  </si>
  <si>
    <t>Shaniya</t>
  </si>
  <si>
    <t>Losseni</t>
  </si>
  <si>
    <t>Zuwair</t>
  </si>
  <si>
    <t>Nwaburdo</t>
  </si>
  <si>
    <t>Lequida</t>
  </si>
  <si>
    <t>Yafreisy</t>
  </si>
  <si>
    <t>Deliah</t>
  </si>
  <si>
    <t>Suehaydee</t>
  </si>
  <si>
    <t>Rodney</t>
  </si>
  <si>
    <t>Jerelyn</t>
  </si>
  <si>
    <t>Mowata</t>
  </si>
  <si>
    <t>Desean</t>
  </si>
  <si>
    <t>Gonzalez</t>
  </si>
  <si>
    <t>Panagiotis</t>
  </si>
  <si>
    <t>Shernette</t>
  </si>
  <si>
    <t>Mayelin</t>
  </si>
  <si>
    <t>Fermina</t>
  </si>
  <si>
    <t>Belva</t>
  </si>
  <si>
    <t>Guerlyne</t>
  </si>
  <si>
    <t>Eliseo</t>
  </si>
  <si>
    <t>Leroy</t>
  </si>
  <si>
    <t>Bienvenido</t>
  </si>
  <si>
    <t>Myrtle</t>
  </si>
  <si>
    <t>Soon Ja</t>
  </si>
  <si>
    <t>Ahmet</t>
  </si>
  <si>
    <t>Lenward</t>
  </si>
  <si>
    <t>Cherino</t>
  </si>
  <si>
    <t>Latroya</t>
  </si>
  <si>
    <t>Paola Lorena</t>
  </si>
  <si>
    <t>Ernest</t>
  </si>
  <si>
    <t>Momy</t>
  </si>
  <si>
    <t>Shauna</t>
  </si>
  <si>
    <t>Vera</t>
  </si>
  <si>
    <t>Herminio</t>
  </si>
  <si>
    <t>Tremaine</t>
  </si>
  <si>
    <t>Beryl</t>
  </si>
  <si>
    <t>Erik</t>
  </si>
  <si>
    <t>Linell</t>
  </si>
  <si>
    <t>Jerilee</t>
  </si>
  <si>
    <t>Alvine</t>
  </si>
  <si>
    <t>Shalanda</t>
  </si>
  <si>
    <t>Venetta</t>
  </si>
  <si>
    <t>Djikible</t>
  </si>
  <si>
    <t>Patelle</t>
  </si>
  <si>
    <t>Paulina</t>
  </si>
  <si>
    <t>Deryl</t>
  </si>
  <si>
    <t>Gema</t>
  </si>
  <si>
    <t>Teasha</t>
  </si>
  <si>
    <t>Dakeisha</t>
  </si>
  <si>
    <t>Susie</t>
  </si>
  <si>
    <t>Bonnie</t>
  </si>
  <si>
    <t>Magno</t>
  </si>
  <si>
    <t>Merrick</t>
  </si>
  <si>
    <t>Norberto</t>
  </si>
  <si>
    <t>Eugenio</t>
  </si>
  <si>
    <t>Sasha</t>
  </si>
  <si>
    <t>Michel'le</t>
  </si>
  <si>
    <t>Mincalene</t>
  </si>
  <si>
    <t>Marcus</t>
  </si>
  <si>
    <t>Rayshawnda</t>
  </si>
  <si>
    <t>Guadalupe</t>
  </si>
  <si>
    <t>Berlin</t>
  </si>
  <si>
    <t>Hasan</t>
  </si>
  <si>
    <t>Delilah</t>
  </si>
  <si>
    <t>Sergey</t>
  </si>
  <si>
    <t>Cecelia</t>
  </si>
  <si>
    <t>Della</t>
  </si>
  <si>
    <t>Fabian</t>
  </si>
  <si>
    <t>Kezia</t>
  </si>
  <si>
    <t>Rashaan</t>
  </si>
  <si>
    <t>Federica</t>
  </si>
  <si>
    <t>Margareth</t>
  </si>
  <si>
    <t>Damien</t>
  </si>
  <si>
    <t>Gaudys</t>
  </si>
  <si>
    <t>Alondrea</t>
  </si>
  <si>
    <t>Sabrina</t>
  </si>
  <si>
    <t>Vashti</t>
  </si>
  <si>
    <t>Maxima</t>
  </si>
  <si>
    <t>Karina</t>
  </si>
  <si>
    <t>Lucinda</t>
  </si>
  <si>
    <t>NORMA</t>
  </si>
  <si>
    <t>Sultan</t>
  </si>
  <si>
    <t>Terrance</t>
  </si>
  <si>
    <t>Ryanna</t>
  </si>
  <si>
    <t>Celestine</t>
  </si>
  <si>
    <t>Henrietta</t>
  </si>
  <si>
    <t>Kisha</t>
  </si>
  <si>
    <t>Jarine</t>
  </si>
  <si>
    <t>Rene</t>
  </si>
  <si>
    <t>Loveena</t>
  </si>
  <si>
    <t>Susanny</t>
  </si>
  <si>
    <t>Georgina</t>
  </si>
  <si>
    <t>Mary Ellen</t>
  </si>
  <si>
    <t>Renska</t>
  </si>
  <si>
    <t>Evett</t>
  </si>
  <si>
    <t>Ibrahima</t>
  </si>
  <si>
    <t>Itzhra</t>
  </si>
  <si>
    <t>Wiiliam</t>
  </si>
  <si>
    <t>Abla</t>
  </si>
  <si>
    <t>Sandreana</t>
  </si>
  <si>
    <t>Sheena</t>
  </si>
  <si>
    <t>Chervon</t>
  </si>
  <si>
    <t>Terri</t>
  </si>
  <si>
    <t>Peter</t>
  </si>
  <si>
    <t>Nellie</t>
  </si>
  <si>
    <t>Donyele</t>
  </si>
  <si>
    <t>Cathy Ann</t>
  </si>
  <si>
    <t>Donnelle</t>
  </si>
  <si>
    <t>Hassan</t>
  </si>
  <si>
    <t>Nicola</t>
  </si>
  <si>
    <t>Ama</t>
  </si>
  <si>
    <t>Radasha</t>
  </si>
  <si>
    <t>Danique</t>
  </si>
  <si>
    <t>Keisha</t>
  </si>
  <si>
    <t>Ioulia</t>
  </si>
  <si>
    <t>Joseline</t>
  </si>
  <si>
    <t>ROSA</t>
  </si>
  <si>
    <t>Claudia</t>
  </si>
  <si>
    <t>Kemberlin</t>
  </si>
  <si>
    <t>Abdoul</t>
  </si>
  <si>
    <t>Toya</t>
  </si>
  <si>
    <t>Jose Antonio</t>
  </si>
  <si>
    <t>Leonel</t>
  </si>
  <si>
    <t>Tashana</t>
  </si>
  <si>
    <t>Dashanta</t>
  </si>
  <si>
    <t>Robert Felix</t>
  </si>
  <si>
    <t>Yohanna</t>
  </si>
  <si>
    <t>Ayeisha</t>
  </si>
  <si>
    <t>Katuhra</t>
  </si>
  <si>
    <t>Baldev</t>
  </si>
  <si>
    <t>Fracely</t>
  </si>
  <si>
    <t>Clarise</t>
  </si>
  <si>
    <t>Shena</t>
  </si>
  <si>
    <t>Lesliebell</t>
  </si>
  <si>
    <t>Socorro</t>
  </si>
  <si>
    <t>Anabel</t>
  </si>
  <si>
    <t>Schquasia</t>
  </si>
  <si>
    <t>Rodolfo</t>
  </si>
  <si>
    <t>Yvonnia</t>
  </si>
  <si>
    <t>Rolanda</t>
  </si>
  <si>
    <t>Maebell</t>
  </si>
  <si>
    <t>Martyn</t>
  </si>
  <si>
    <t>Claire</t>
  </si>
  <si>
    <t>Amber</t>
  </si>
  <si>
    <t>Guillermina</t>
  </si>
  <si>
    <t>Ekaterina</t>
  </si>
  <si>
    <t>Argeli</t>
  </si>
  <si>
    <t>Traci</t>
  </si>
  <si>
    <t>Lidenise</t>
  </si>
  <si>
    <t>Jennefer</t>
  </si>
  <si>
    <t>Chaunte</t>
  </si>
  <si>
    <t>Ramesh</t>
  </si>
  <si>
    <t>America</t>
  </si>
  <si>
    <t>Nayrobi</t>
  </si>
  <si>
    <t>Catrina</t>
  </si>
  <si>
    <t>Lyn</t>
  </si>
  <si>
    <t>Marys</t>
  </si>
  <si>
    <t>Moraima</t>
  </si>
  <si>
    <t>Edison</t>
  </si>
  <si>
    <t>Shaquasia</t>
  </si>
  <si>
    <t>Elvira</t>
  </si>
  <si>
    <t>Ventesa</t>
  </si>
  <si>
    <t>Daphannie</t>
  </si>
  <si>
    <t>Tessa</t>
  </si>
  <si>
    <t>Basiru</t>
  </si>
  <si>
    <t>Ronica</t>
  </si>
  <si>
    <t>Mikhial</t>
  </si>
  <si>
    <t>Avraham</t>
  </si>
  <si>
    <t>Adolph</t>
  </si>
  <si>
    <t>Fintan</t>
  </si>
  <si>
    <t>Sung</t>
  </si>
  <si>
    <t>Jeannine</t>
  </si>
  <si>
    <t>Nasima</t>
  </si>
  <si>
    <t>Taniah</t>
  </si>
  <si>
    <t>Nadir</t>
  </si>
  <si>
    <t>Genelle</t>
  </si>
  <si>
    <t>Earl</t>
  </si>
  <si>
    <t>Shania</t>
  </si>
  <si>
    <t>Dante</t>
  </si>
  <si>
    <t>Mary Ann</t>
  </si>
  <si>
    <t>Nurettin</t>
  </si>
  <si>
    <t>Fausto</t>
  </si>
  <si>
    <t>Jaleel</t>
  </si>
  <si>
    <t>Genoveva</t>
  </si>
  <si>
    <t>Naika</t>
  </si>
  <si>
    <t>Bobby</t>
  </si>
  <si>
    <t>NATALI</t>
  </si>
  <si>
    <t>Davinah</t>
  </si>
  <si>
    <t>Javier</t>
  </si>
  <si>
    <t>Tyree</t>
  </si>
  <si>
    <t>Dorian</t>
  </si>
  <si>
    <t>Benson</t>
  </si>
  <si>
    <t>Anat</t>
  </si>
  <si>
    <t>Krzysztof</t>
  </si>
  <si>
    <t>Yris</t>
  </si>
  <si>
    <t>Arismendi</t>
  </si>
  <si>
    <t>Shanelle</t>
  </si>
  <si>
    <t>Schuancia</t>
  </si>
  <si>
    <t>Rafaima</t>
  </si>
  <si>
    <t>Lavern</t>
  </si>
  <si>
    <t>Florentina</t>
  </si>
  <si>
    <t>Alonzo</t>
  </si>
  <si>
    <t>Tachana</t>
  </si>
  <si>
    <t>Andrelle</t>
  </si>
  <si>
    <t>Rosabel</t>
  </si>
  <si>
    <t>Adele</t>
  </si>
  <si>
    <t>Basilia</t>
  </si>
  <si>
    <t>Joanna</t>
  </si>
  <si>
    <t>Carolynn</t>
  </si>
  <si>
    <t>Destiny</t>
  </si>
  <si>
    <t>Dave</t>
  </si>
  <si>
    <t>Abdoulaye</t>
  </si>
  <si>
    <t>Brittany</t>
  </si>
  <si>
    <t>Niema</t>
  </si>
  <si>
    <t>Sergei</t>
  </si>
  <si>
    <t>Mirjana</t>
  </si>
  <si>
    <t>Yermi</t>
  </si>
  <si>
    <t>Yrenes</t>
  </si>
  <si>
    <t>Yolande</t>
  </si>
  <si>
    <t>Naida</t>
  </si>
  <si>
    <t>Naheed</t>
  </si>
  <si>
    <t>Duanny</t>
  </si>
  <si>
    <t>Irma</t>
  </si>
  <si>
    <t>Mecca</t>
  </si>
  <si>
    <t>Lennie</t>
  </si>
  <si>
    <t>Cappucine</t>
  </si>
  <si>
    <t>Basilio</t>
  </si>
  <si>
    <t>Zunilda</t>
  </si>
  <si>
    <t>Modesta</t>
  </si>
  <si>
    <t>Elinor</t>
  </si>
  <si>
    <t>Agustin</t>
  </si>
  <si>
    <t>Anizamara</t>
  </si>
  <si>
    <t>Sirilo</t>
  </si>
  <si>
    <t>Frederico</t>
  </si>
  <si>
    <t>Quacy</t>
  </si>
  <si>
    <t>Serrafin</t>
  </si>
  <si>
    <t>Lortesha</t>
  </si>
  <si>
    <t>Chivaugh</t>
  </si>
  <si>
    <t>Santiago</t>
  </si>
  <si>
    <t>Flavia</t>
  </si>
  <si>
    <t>Jennette</t>
  </si>
  <si>
    <t>Ednice</t>
  </si>
  <si>
    <t>Nadia</t>
  </si>
  <si>
    <t>Llyaseni</t>
  </si>
  <si>
    <t>Delphine</t>
  </si>
  <si>
    <t>Yovanny</t>
  </si>
  <si>
    <t>Jervine</t>
  </si>
  <si>
    <t>Arcides</t>
  </si>
  <si>
    <t>Winell</t>
  </si>
  <si>
    <t>Kiley</t>
  </si>
  <si>
    <t>Edie</t>
  </si>
  <si>
    <t>Iyakka</t>
  </si>
  <si>
    <t>Ervin</t>
  </si>
  <si>
    <t>Oluseguin</t>
  </si>
  <si>
    <t>Nell</t>
  </si>
  <si>
    <t>Chavela</t>
  </si>
  <si>
    <t>Jodi</t>
  </si>
  <si>
    <t>Clyde</t>
  </si>
  <si>
    <t>Jody</t>
  </si>
  <si>
    <t>Tiwana</t>
  </si>
  <si>
    <t>Brenton</t>
  </si>
  <si>
    <t>Genesi</t>
  </si>
  <si>
    <t>Javia</t>
  </si>
  <si>
    <t>Javed</t>
  </si>
  <si>
    <t>Jude</t>
  </si>
  <si>
    <t>Josh</t>
  </si>
  <si>
    <t>Kerry</t>
  </si>
  <si>
    <t>Terrence</t>
  </si>
  <si>
    <t>Rony</t>
  </si>
  <si>
    <t>Coleen</t>
  </si>
  <si>
    <t>Derrick</t>
  </si>
  <si>
    <t>Maureen</t>
  </si>
  <si>
    <t>Inshallah</t>
  </si>
  <si>
    <t>Chanette</t>
  </si>
  <si>
    <t>Claribel</t>
  </si>
  <si>
    <t>Charrise</t>
  </si>
  <si>
    <t>Idaling</t>
  </si>
  <si>
    <t>Ludine</t>
  </si>
  <si>
    <t>Althea</t>
  </si>
  <si>
    <t>Clifton</t>
  </si>
  <si>
    <t>Dyquan</t>
  </si>
  <si>
    <t>Taneequa</t>
  </si>
  <si>
    <t>Winston</t>
  </si>
  <si>
    <t>Nakea</t>
  </si>
  <si>
    <t>Laron</t>
  </si>
  <si>
    <t>Delano</t>
  </si>
  <si>
    <t>Shaquonna</t>
  </si>
  <si>
    <t>Nigeria</t>
  </si>
  <si>
    <t>Evanston</t>
  </si>
  <si>
    <t>Zinnat</t>
  </si>
  <si>
    <t>Leorn</t>
  </si>
  <si>
    <t>Maiya</t>
  </si>
  <si>
    <t>Tashaneak</t>
  </si>
  <si>
    <t>Romel</t>
  </si>
  <si>
    <t>Lanna</t>
  </si>
  <si>
    <t>Wariesi</t>
  </si>
  <si>
    <t>Frizine</t>
  </si>
  <si>
    <t>Gaynor</t>
  </si>
  <si>
    <t>Zaquanee</t>
  </si>
  <si>
    <t>Jackson</t>
  </si>
  <si>
    <t>Tressia</t>
  </si>
  <si>
    <t>Queenaisha</t>
  </si>
  <si>
    <t>Fritz</t>
  </si>
  <si>
    <t>Margery</t>
  </si>
  <si>
    <t>Alfatah</t>
  </si>
  <si>
    <t>Miamona</t>
  </si>
  <si>
    <t>Mahagony</t>
  </si>
  <si>
    <t>Zilbey</t>
  </si>
  <si>
    <t>Maygan</t>
  </si>
  <si>
    <t>Engracia</t>
  </si>
  <si>
    <t>Que</t>
  </si>
  <si>
    <t>Kassany</t>
  </si>
  <si>
    <t>Mamuna</t>
  </si>
  <si>
    <t>Huijun</t>
  </si>
  <si>
    <t>Cemile</t>
  </si>
  <si>
    <t>Declanne</t>
  </si>
  <si>
    <t>Altynai</t>
  </si>
  <si>
    <t>Yulianna</t>
  </si>
  <si>
    <t>Twan</t>
  </si>
  <si>
    <t>Malik</t>
  </si>
  <si>
    <t>Sharina</t>
  </si>
  <si>
    <t>Benito</t>
  </si>
  <si>
    <t>candy</t>
  </si>
  <si>
    <t>Valentyn</t>
  </si>
  <si>
    <t>Josefina</t>
  </si>
  <si>
    <t>Gamadiel</t>
  </si>
  <si>
    <t>Lilliana</t>
  </si>
  <si>
    <t>Ashanta</t>
  </si>
  <si>
    <t>Reggie</t>
  </si>
  <si>
    <t>Damariy</t>
  </si>
  <si>
    <t>Andres</t>
  </si>
  <si>
    <t>Shu</t>
  </si>
  <si>
    <t>Sobeyda</t>
  </si>
  <si>
    <t>Velvet</t>
  </si>
  <si>
    <t>Bella</t>
  </si>
  <si>
    <t>Modupe</t>
  </si>
  <si>
    <t>Marla</t>
  </si>
  <si>
    <t>Felicitas</t>
  </si>
  <si>
    <t>Jannatul</t>
  </si>
  <si>
    <t>KIM</t>
  </si>
  <si>
    <t>Tinlay</t>
  </si>
  <si>
    <t>Tameka</t>
  </si>
  <si>
    <t>Pramilla</t>
  </si>
  <si>
    <t>Maimuna</t>
  </si>
  <si>
    <t>Lakeeshia</t>
  </si>
  <si>
    <t>Ying</t>
  </si>
  <si>
    <t>Timmy</t>
  </si>
  <si>
    <t>Marisa</t>
  </si>
  <si>
    <t>Baryse</t>
  </si>
  <si>
    <t>Adelina</t>
  </si>
  <si>
    <t>Nina</t>
  </si>
  <si>
    <t>Karamoko</t>
  </si>
  <si>
    <t>Jacinta</t>
  </si>
  <si>
    <t>Shavonia</t>
  </si>
  <si>
    <t>Wilease</t>
  </si>
  <si>
    <t>Eroline</t>
  </si>
  <si>
    <t>Angie</t>
  </si>
  <si>
    <t>Maximina</t>
  </si>
  <si>
    <t>Alora</t>
  </si>
  <si>
    <t>Alexus</t>
  </si>
  <si>
    <t>Shawana</t>
  </si>
  <si>
    <t>Robyn</t>
  </si>
  <si>
    <t>Vernetta</t>
  </si>
  <si>
    <t>Julius</t>
  </si>
  <si>
    <t>Annmarie</t>
  </si>
  <si>
    <t>Eula</t>
  </si>
  <si>
    <t>Michel</t>
  </si>
  <si>
    <t>Vance</t>
  </si>
  <si>
    <t>Maximino</t>
  </si>
  <si>
    <t>Ambar</t>
  </si>
  <si>
    <t>Iriana</t>
  </si>
  <si>
    <t>Jamika</t>
  </si>
  <si>
    <t>Alwin</t>
  </si>
  <si>
    <t>Livingston</t>
  </si>
  <si>
    <t>Lakeresha</t>
  </si>
  <si>
    <t>Demba</t>
  </si>
  <si>
    <t>Alexa</t>
  </si>
  <si>
    <t>Farrah</t>
  </si>
  <si>
    <t>Aichatou</t>
  </si>
  <si>
    <t>Dinorah</t>
  </si>
  <si>
    <t>Frederick</t>
  </si>
  <si>
    <t>Leonid</t>
  </si>
  <si>
    <t>Corine</t>
  </si>
  <si>
    <t>JESSICA</t>
  </si>
  <si>
    <t>Shaala</t>
  </si>
  <si>
    <t>Eleanor</t>
  </si>
  <si>
    <t>Milford</t>
  </si>
  <si>
    <t>Tymel</t>
  </si>
  <si>
    <t>Epifanio</t>
  </si>
  <si>
    <t>Hugo</t>
  </si>
  <si>
    <t>Sarai</t>
  </si>
  <si>
    <t>Luciano</t>
  </si>
  <si>
    <t>Lioubov</t>
  </si>
  <si>
    <t>Mamadou-Aliou</t>
  </si>
  <si>
    <t>Maurisa</t>
  </si>
  <si>
    <t>Bolivia</t>
  </si>
  <si>
    <t>Idalia</t>
  </si>
  <si>
    <t>Maricela</t>
  </si>
  <si>
    <t>Hernan</t>
  </si>
  <si>
    <t>Dagoberto</t>
  </si>
  <si>
    <t>Aida</t>
  </si>
  <si>
    <t>Santana</t>
  </si>
  <si>
    <t>Gerardo</t>
  </si>
  <si>
    <t>Hadiyatoulaye</t>
  </si>
  <si>
    <t>Rosalia</t>
  </si>
  <si>
    <t>Jannis</t>
  </si>
  <si>
    <t>Basil</t>
  </si>
  <si>
    <t>Mama</t>
  </si>
  <si>
    <t>Leonides</t>
  </si>
  <si>
    <t>Dolores</t>
  </si>
  <si>
    <t>Eduvigis</t>
  </si>
  <si>
    <t>Kechia</t>
  </si>
  <si>
    <t>Claudina</t>
  </si>
  <si>
    <t>Myron</t>
  </si>
  <si>
    <t>Phindile</t>
  </si>
  <si>
    <t>Remedios</t>
  </si>
  <si>
    <t>Laila</t>
  </si>
  <si>
    <t>Tennille</t>
  </si>
  <si>
    <t>Shanoya</t>
  </si>
  <si>
    <t>IDALIA</t>
  </si>
  <si>
    <t>Pearlina</t>
  </si>
  <si>
    <t>Giovanny</t>
  </si>
  <si>
    <t>Shonniece</t>
  </si>
  <si>
    <t>Priscilia</t>
  </si>
  <si>
    <t>Penelope</t>
  </si>
  <si>
    <t>Cierra</t>
  </si>
  <si>
    <t>Lorene</t>
  </si>
  <si>
    <t>Guang Yi</t>
  </si>
  <si>
    <t>Nigel</t>
  </si>
  <si>
    <t>Joselina</t>
  </si>
  <si>
    <t>Yekiva</t>
  </si>
  <si>
    <t>Ricarda</t>
  </si>
  <si>
    <t>Shakal</t>
  </si>
  <si>
    <t>Melyssandre</t>
  </si>
  <si>
    <t>Eneida</t>
  </si>
  <si>
    <t>Linwood</t>
  </si>
  <si>
    <t>May</t>
  </si>
  <si>
    <t>Adrianne</t>
  </si>
  <si>
    <t>Dean</t>
  </si>
  <si>
    <t>Keyona</t>
  </si>
  <si>
    <t>Vercie</t>
  </si>
  <si>
    <t>Expedito</t>
  </si>
  <si>
    <t>Tzetomil</t>
  </si>
  <si>
    <t>Mike</t>
  </si>
  <si>
    <t>Glenys</t>
  </si>
  <si>
    <t>Reynaldo</t>
  </si>
  <si>
    <t>Adassa</t>
  </si>
  <si>
    <t>Serrina</t>
  </si>
  <si>
    <t>Yeika</t>
  </si>
  <si>
    <t>Cecilree</t>
  </si>
  <si>
    <t>Gaynel</t>
  </si>
  <si>
    <t>Hannan</t>
  </si>
  <si>
    <t>Qamar</t>
  </si>
  <si>
    <t>Harvey</t>
  </si>
  <si>
    <t>Ninoska</t>
  </si>
  <si>
    <t>Margoth</t>
  </si>
  <si>
    <t>Iesha</t>
  </si>
  <si>
    <t>Christylee</t>
  </si>
  <si>
    <t>Ivory</t>
  </si>
  <si>
    <t>Marhta</t>
  </si>
  <si>
    <t>Angelia</t>
  </si>
  <si>
    <t>Jennybel</t>
  </si>
  <si>
    <t>Nya</t>
  </si>
  <si>
    <t>Johnie</t>
  </si>
  <si>
    <t>Davonne</t>
  </si>
  <si>
    <t>Davina</t>
  </si>
  <si>
    <t>Octavia</t>
  </si>
  <si>
    <t>Kellee</t>
  </si>
  <si>
    <t>Bernardo</t>
  </si>
  <si>
    <t>Alcidis</t>
  </si>
  <si>
    <t>Gayeal</t>
  </si>
  <si>
    <t>Sunae</t>
  </si>
  <si>
    <t>Shavien</t>
  </si>
  <si>
    <t>Setaya</t>
  </si>
  <si>
    <t>Juliane</t>
  </si>
  <si>
    <t>Lire</t>
  </si>
  <si>
    <t>Thaddea</t>
  </si>
  <si>
    <t>Marlenny</t>
  </si>
  <si>
    <t>Sikhumbuzo</t>
  </si>
  <si>
    <t>Prakash</t>
  </si>
  <si>
    <t>Dorcas</t>
  </si>
  <si>
    <t>Leola</t>
  </si>
  <si>
    <t>Adila</t>
  </si>
  <si>
    <t>Lena</t>
  </si>
  <si>
    <t>Thyra</t>
  </si>
  <si>
    <t>Dominga</t>
  </si>
  <si>
    <t>Joey</t>
  </si>
  <si>
    <t>ELKA</t>
  </si>
  <si>
    <t>MARICELI</t>
  </si>
  <si>
    <t>KENNETH</t>
  </si>
  <si>
    <t>Sheib</t>
  </si>
  <si>
    <t>Amjad</t>
  </si>
  <si>
    <t>Angelita</t>
  </si>
  <si>
    <t>Takisha</t>
  </si>
  <si>
    <t>Youssoupha</t>
  </si>
  <si>
    <t>Luciann</t>
  </si>
  <si>
    <t>Jacqulyn</t>
  </si>
  <si>
    <t>Denice</t>
  </si>
  <si>
    <t>Lola</t>
  </si>
  <si>
    <t>Kenia</t>
  </si>
  <si>
    <t>Ashakie</t>
  </si>
  <si>
    <t>Shavon</t>
  </si>
  <si>
    <t>Ameer</t>
  </si>
  <si>
    <t>Joselin</t>
  </si>
  <si>
    <t>Gretchen</t>
  </si>
  <si>
    <t>Khalilah</t>
  </si>
  <si>
    <t>Nargiza</t>
  </si>
  <si>
    <t>Jackeline</t>
  </si>
  <si>
    <t>Shawnie</t>
  </si>
  <si>
    <t>Jamia</t>
  </si>
  <si>
    <t>Tinisha</t>
  </si>
  <si>
    <t>Eugene</t>
  </si>
  <si>
    <t>Yelena</t>
  </si>
  <si>
    <t>Shoumei</t>
  </si>
  <si>
    <t>Olivier</t>
  </si>
  <si>
    <t>Herbert</t>
  </si>
  <si>
    <t>Edwina</t>
  </si>
  <si>
    <t>Ousmane</t>
  </si>
  <si>
    <t>Zakaria</t>
  </si>
  <si>
    <t>Nija</t>
  </si>
  <si>
    <t>Raysa</t>
  </si>
  <si>
    <t>Brittney</t>
  </si>
  <si>
    <t>Kecia</t>
  </si>
  <si>
    <t>Kert</t>
  </si>
  <si>
    <t>Abelardo</t>
  </si>
  <si>
    <t>Shahzad</t>
  </si>
  <si>
    <t>Tamishia</t>
  </si>
  <si>
    <t>Britney</t>
  </si>
  <si>
    <t>Villona</t>
  </si>
  <si>
    <t>Leocadio</t>
  </si>
  <si>
    <t>Ariminta</t>
  </si>
  <si>
    <t>Saturina</t>
  </si>
  <si>
    <t>Guo Ping</t>
  </si>
  <si>
    <t>Westly</t>
  </si>
  <si>
    <t>Sherrie</t>
  </si>
  <si>
    <t>Miossoty</t>
  </si>
  <si>
    <t>Leonard</t>
  </si>
  <si>
    <t>Merena</t>
  </si>
  <si>
    <t>Jian Huang</t>
  </si>
  <si>
    <t>Yue Chang</t>
  </si>
  <si>
    <t>Elias</t>
  </si>
  <si>
    <t>Isatou</t>
  </si>
  <si>
    <t>Corey</t>
  </si>
  <si>
    <t>Kadeidra</t>
  </si>
  <si>
    <t>Norrean</t>
  </si>
  <si>
    <t>Nokomis</t>
  </si>
  <si>
    <t>Lewis</t>
  </si>
  <si>
    <t>Lucita</t>
  </si>
  <si>
    <t>Laticha</t>
  </si>
  <si>
    <t>Anifat</t>
  </si>
  <si>
    <t>Esperanza</t>
  </si>
  <si>
    <t>Stephan</t>
  </si>
  <si>
    <t>Tenine</t>
  </si>
  <si>
    <t>Taleah</t>
  </si>
  <si>
    <t>Jan</t>
  </si>
  <si>
    <t>Carline</t>
  </si>
  <si>
    <t>Lashell</t>
  </si>
  <si>
    <t>Megan</t>
  </si>
  <si>
    <t>Thea</t>
  </si>
  <si>
    <t>Stacy-Ann</t>
  </si>
  <si>
    <t>Ilana</t>
  </si>
  <si>
    <t>Colette</t>
  </si>
  <si>
    <t>Shermika</t>
  </si>
  <si>
    <t>Imane</t>
  </si>
  <si>
    <t>Gilliann</t>
  </si>
  <si>
    <t>Martine</t>
  </si>
  <si>
    <t>Letaya</t>
  </si>
  <si>
    <t>Shauni</t>
  </si>
  <si>
    <t>Lara</t>
  </si>
  <si>
    <t>XueYun</t>
  </si>
  <si>
    <t>Jamiyla</t>
  </si>
  <si>
    <t>Nadja</t>
  </si>
  <si>
    <t>Shyrone</t>
  </si>
  <si>
    <t>Price</t>
  </si>
  <si>
    <t>Dulce</t>
  </si>
  <si>
    <t>Betzy</t>
  </si>
  <si>
    <t>Yuliya</t>
  </si>
  <si>
    <t>Daniella</t>
  </si>
  <si>
    <t>Ronyetta</t>
  </si>
  <si>
    <t>Volney</t>
  </si>
  <si>
    <t>Deschaunta</t>
  </si>
  <si>
    <t>Fayma</t>
  </si>
  <si>
    <t>Madonna</t>
  </si>
  <si>
    <t>Kizzy</t>
  </si>
  <si>
    <t>Athalia</t>
  </si>
  <si>
    <t>Terence</t>
  </si>
  <si>
    <t>Rayshawn</t>
  </si>
  <si>
    <t>Mimi</t>
  </si>
  <si>
    <t>Koren</t>
  </si>
  <si>
    <t>Serge</t>
  </si>
  <si>
    <t>Melius</t>
  </si>
  <si>
    <t>Zoraida E.</t>
  </si>
  <si>
    <t>Leonidas</t>
  </si>
  <si>
    <t>Lissette</t>
  </si>
  <si>
    <t>Vinette</t>
  </si>
  <si>
    <t>Delcin</t>
  </si>
  <si>
    <t>Shantaquira</t>
  </si>
  <si>
    <t>Kareema</t>
  </si>
  <si>
    <t>Ayla</t>
  </si>
  <si>
    <t>Lauraine</t>
  </si>
  <si>
    <t>Gretelle</t>
  </si>
  <si>
    <t>Lulumae</t>
  </si>
  <si>
    <t>Dawonda</t>
  </si>
  <si>
    <t>Charen</t>
  </si>
  <si>
    <t>Alais</t>
  </si>
  <si>
    <t>Carice</t>
  </si>
  <si>
    <t>Sandaran</t>
  </si>
  <si>
    <t>Sophia</t>
  </si>
  <si>
    <t>Natevea</t>
  </si>
  <si>
    <t>Syeda</t>
  </si>
  <si>
    <t>Florence</t>
  </si>
  <si>
    <t>Dwana</t>
  </si>
  <si>
    <t>Narciso</t>
  </si>
  <si>
    <t>Heidy</t>
  </si>
  <si>
    <t>Casiri</t>
  </si>
  <si>
    <t>Neprice</t>
  </si>
  <si>
    <t>Marshall</t>
  </si>
  <si>
    <t>Yomaris</t>
  </si>
  <si>
    <t>Sabita</t>
  </si>
  <si>
    <t>Jennie</t>
  </si>
  <si>
    <t>Paola</t>
  </si>
  <si>
    <t>Tariq</t>
  </si>
  <si>
    <t>Tene</t>
  </si>
  <si>
    <t>Ryan</t>
  </si>
  <si>
    <t>Asia</t>
  </si>
  <si>
    <t>Naglah</t>
  </si>
  <si>
    <t>Thiara</t>
  </si>
  <si>
    <t>Amnon</t>
  </si>
  <si>
    <t>Caroline</t>
  </si>
  <si>
    <t>Federico</t>
  </si>
  <si>
    <t>Nykoli</t>
  </si>
  <si>
    <t>Roland</t>
  </si>
  <si>
    <t>Sandy</t>
  </si>
  <si>
    <t>Tyisha</t>
  </si>
  <si>
    <t>Traciy</t>
  </si>
  <si>
    <t>Love</t>
  </si>
  <si>
    <t>Takeyia</t>
  </si>
  <si>
    <t>Kofi</t>
  </si>
  <si>
    <t>Muriel</t>
  </si>
  <si>
    <t>Faustina</t>
  </si>
  <si>
    <t>Eleno</t>
  </si>
  <si>
    <t>Tatiana</t>
  </si>
  <si>
    <t>Melido</t>
  </si>
  <si>
    <t>ANGELA</t>
  </si>
  <si>
    <t>REGINA</t>
  </si>
  <si>
    <t>Lelar</t>
  </si>
  <si>
    <t>Aricia</t>
  </si>
  <si>
    <t>Williemae</t>
  </si>
  <si>
    <t>Amoo</t>
  </si>
  <si>
    <t>Rufus</t>
  </si>
  <si>
    <t>Johnnymae</t>
  </si>
  <si>
    <t>Bryan</t>
  </si>
  <si>
    <t>Renet</t>
  </si>
  <si>
    <t>Katie</t>
  </si>
  <si>
    <t>Margo</t>
  </si>
  <si>
    <t>Joi</t>
  </si>
  <si>
    <t>Maretta</t>
  </si>
  <si>
    <t>Icemae</t>
  </si>
  <si>
    <t>Sydnee</t>
  </si>
  <si>
    <t>Rahman</t>
  </si>
  <si>
    <t>Rukiya</t>
  </si>
  <si>
    <t>Kimiko</t>
  </si>
  <si>
    <t>Roc</t>
  </si>
  <si>
    <t>Mazie</t>
  </si>
  <si>
    <t>Gwenda</t>
  </si>
  <si>
    <t>Everett</t>
  </si>
  <si>
    <t>Candyce</t>
  </si>
  <si>
    <t>Abibatu</t>
  </si>
  <si>
    <t>Kearra</t>
  </si>
  <si>
    <t>Tasliym</t>
  </si>
  <si>
    <t>Sherifat</t>
  </si>
  <si>
    <t>Idayat</t>
  </si>
  <si>
    <t>Raliat</t>
  </si>
  <si>
    <t>Shaun</t>
  </si>
  <si>
    <t>Lucienne</t>
  </si>
  <si>
    <t>Chinequa</t>
  </si>
  <si>
    <t>Harold</t>
  </si>
  <si>
    <t>Shelley</t>
  </si>
  <si>
    <t>Sernomia</t>
  </si>
  <si>
    <t>Star</t>
  </si>
  <si>
    <t>Oleen</t>
  </si>
  <si>
    <t>Shahera</t>
  </si>
  <si>
    <t>Cameyo</t>
  </si>
  <si>
    <t>Almetia</t>
  </si>
  <si>
    <t>Olayemi</t>
  </si>
  <si>
    <t>Deshaun</t>
  </si>
  <si>
    <t>Sahbi</t>
  </si>
  <si>
    <t>Solymar</t>
  </si>
  <si>
    <t>Shereen</t>
  </si>
  <si>
    <t>Marylin</t>
  </si>
  <si>
    <t>Jnea</t>
  </si>
  <si>
    <t>Adonijah</t>
  </si>
  <si>
    <t>Mitchel</t>
  </si>
  <si>
    <t>Konah</t>
  </si>
  <si>
    <t>Winelkis</t>
  </si>
  <si>
    <t>Maisie</t>
  </si>
  <si>
    <t>Fania</t>
  </si>
  <si>
    <t>Altagrace</t>
  </si>
  <si>
    <t>Donnika</t>
  </si>
  <si>
    <t>Harry</t>
  </si>
  <si>
    <t>MELVINA</t>
  </si>
  <si>
    <t>Karon</t>
  </si>
  <si>
    <t>Chauvon</t>
  </si>
  <si>
    <t>Monika</t>
  </si>
  <si>
    <t>Mycolle</t>
  </si>
  <si>
    <t>Gigi</t>
  </si>
  <si>
    <t>Morenike</t>
  </si>
  <si>
    <t>Yania</t>
  </si>
  <si>
    <t>Sayedreza</t>
  </si>
  <si>
    <t>Tivisay</t>
  </si>
  <si>
    <t>Reuven</t>
  </si>
  <si>
    <t>Tahir</t>
  </si>
  <si>
    <t>Jacylin</t>
  </si>
  <si>
    <t>Meleina</t>
  </si>
  <si>
    <t>Jean-Baptiste</t>
  </si>
  <si>
    <t>Nila</t>
  </si>
  <si>
    <t>Candie</t>
  </si>
  <si>
    <t>Jeimy</t>
  </si>
  <si>
    <t>Codou</t>
  </si>
  <si>
    <t>Draydelisse</t>
  </si>
  <si>
    <t>Solveida</t>
  </si>
  <si>
    <t>Saddiyah</t>
  </si>
  <si>
    <t>Shawna</t>
  </si>
  <si>
    <t>Vidoutie</t>
  </si>
  <si>
    <t>Isabelle</t>
  </si>
  <si>
    <t>Karyn</t>
  </si>
  <si>
    <t>Loreini</t>
  </si>
  <si>
    <t>Hasna</t>
  </si>
  <si>
    <t>JUANA</t>
  </si>
  <si>
    <t>Bilawal</t>
  </si>
  <si>
    <t>Yokasty</t>
  </si>
  <si>
    <t>Letisha</t>
  </si>
  <si>
    <t>Jashira</t>
  </si>
  <si>
    <t>Jeavon</t>
  </si>
  <si>
    <t>Zora</t>
  </si>
  <si>
    <t>Marcie</t>
  </si>
  <si>
    <t>Brad</t>
  </si>
  <si>
    <t>Donte</t>
  </si>
  <si>
    <t>Deovion</t>
  </si>
  <si>
    <t>Rrahman</t>
  </si>
  <si>
    <t>Quita</t>
  </si>
  <si>
    <t>Rena</t>
  </si>
  <si>
    <t>Wilton</t>
  </si>
  <si>
    <t>Rosina</t>
  </si>
  <si>
    <t>Derek</t>
  </si>
  <si>
    <t>Kennia</t>
  </si>
  <si>
    <t>Tranae</t>
  </si>
  <si>
    <t>Chekesha</t>
  </si>
  <si>
    <t>Guilermina</t>
  </si>
  <si>
    <t>Alesandra</t>
  </si>
  <si>
    <t>Jasnery</t>
  </si>
  <si>
    <t>Glomari</t>
  </si>
  <si>
    <t>Madeleine</t>
  </si>
  <si>
    <t>Reette</t>
  </si>
  <si>
    <t>Estheury</t>
  </si>
  <si>
    <t>Saleh</t>
  </si>
  <si>
    <t>Wonetta</t>
  </si>
  <si>
    <t>SHARAY</t>
  </si>
  <si>
    <t>Jeansy</t>
  </si>
  <si>
    <t>Ebins</t>
  </si>
  <si>
    <t>Moren</t>
  </si>
  <si>
    <t>Nilo</t>
  </si>
  <si>
    <t>Ron</t>
  </si>
  <si>
    <t>Christian</t>
  </si>
  <si>
    <t>LUCRETIA</t>
  </si>
  <si>
    <t>Caridad</t>
  </si>
  <si>
    <t>Clement</t>
  </si>
  <si>
    <t>Jianna</t>
  </si>
  <si>
    <t>Mercedita</t>
  </si>
  <si>
    <t>Meena</t>
  </si>
  <si>
    <t>Yamileth</t>
  </si>
  <si>
    <t>Jeon</t>
  </si>
  <si>
    <t>ITHALYN</t>
  </si>
  <si>
    <t>Chris</t>
  </si>
  <si>
    <t>Mariceth</t>
  </si>
  <si>
    <t>Geuris</t>
  </si>
  <si>
    <t>Rachael</t>
  </si>
  <si>
    <t>Aneshya</t>
  </si>
  <si>
    <t>Charo</t>
  </si>
  <si>
    <t>Rhondy</t>
  </si>
  <si>
    <t>Luz Marlene</t>
  </si>
  <si>
    <t>Tulip</t>
  </si>
  <si>
    <t>Alfonso</t>
  </si>
  <si>
    <t>Betsy</t>
  </si>
  <si>
    <t>Raoul</t>
  </si>
  <si>
    <t>Tarshema</t>
  </si>
  <si>
    <t>Behar</t>
  </si>
  <si>
    <t>Gricell Stephanie</t>
  </si>
  <si>
    <t>Tarik</t>
  </si>
  <si>
    <t>Fei</t>
  </si>
  <si>
    <t>Elio</t>
  </si>
  <si>
    <t>Oluwatoyin</t>
  </si>
  <si>
    <t>Adiba</t>
  </si>
  <si>
    <t>Lavone</t>
  </si>
  <si>
    <t>Aide</t>
  </si>
  <si>
    <t>Manuel Collazo</t>
  </si>
  <si>
    <t>Paxton</t>
  </si>
  <si>
    <t>Diamond</t>
  </si>
  <si>
    <t>Nive</t>
  </si>
  <si>
    <t>Billie Jo</t>
  </si>
  <si>
    <t>Yelitza</t>
  </si>
  <si>
    <t>Elana</t>
  </si>
  <si>
    <t>Layla</t>
  </si>
  <si>
    <t>Ross</t>
  </si>
  <si>
    <t>Muf</t>
  </si>
  <si>
    <t>Marta</t>
  </si>
  <si>
    <t>Cherese</t>
  </si>
  <si>
    <t>Melissia</t>
  </si>
  <si>
    <t>Corrine</t>
  </si>
  <si>
    <t>Varnae</t>
  </si>
  <si>
    <t>Shalysha</t>
  </si>
  <si>
    <t>Mawale</t>
  </si>
  <si>
    <t>Dazil</t>
  </si>
  <si>
    <t>Yoely</t>
  </si>
  <si>
    <t>Fode</t>
  </si>
  <si>
    <t>Leanne</t>
  </si>
  <si>
    <t>Melonie</t>
  </si>
  <si>
    <t>Kerlyne</t>
  </si>
  <si>
    <t>Margalie</t>
  </si>
  <si>
    <t>Rama</t>
  </si>
  <si>
    <t>Adjei</t>
  </si>
  <si>
    <t>Apolinar</t>
  </si>
  <si>
    <t>Lakeisha</t>
  </si>
  <si>
    <t>Aishah</t>
  </si>
  <si>
    <t>Shontae</t>
  </si>
  <si>
    <t>Rosetta</t>
  </si>
  <si>
    <t>Idowy</t>
  </si>
  <si>
    <t>Nkrumah</t>
  </si>
  <si>
    <t>Bryanna</t>
  </si>
  <si>
    <t>Sekou</t>
  </si>
  <si>
    <t>Marcellus</t>
  </si>
  <si>
    <t>Tylen</t>
  </si>
  <si>
    <t>Taniesha</t>
  </si>
  <si>
    <t>Anies</t>
  </si>
  <si>
    <t>Mavis</t>
  </si>
  <si>
    <t>Bilal</t>
  </si>
  <si>
    <t>Laudane</t>
  </si>
  <si>
    <t>Zafar</t>
  </si>
  <si>
    <t>Yahnzy</t>
  </si>
  <si>
    <t>Ronasha</t>
  </si>
  <si>
    <t>Itha</t>
  </si>
  <si>
    <t>Carmella</t>
  </si>
  <si>
    <t>Marianne</t>
  </si>
  <si>
    <t>Shalevia</t>
  </si>
  <si>
    <t>Venessa</t>
  </si>
  <si>
    <t>Elijah</t>
  </si>
  <si>
    <t>Jomaul</t>
  </si>
  <si>
    <t>Lukisha</t>
  </si>
  <si>
    <t>Selvin</t>
  </si>
  <si>
    <t>Fabienne</t>
  </si>
  <si>
    <t>Calvin</t>
  </si>
  <si>
    <t>Alric</t>
  </si>
  <si>
    <t>Marthe</t>
  </si>
  <si>
    <t>Oredolapo</t>
  </si>
  <si>
    <t>Samonia</t>
  </si>
  <si>
    <t>Luanna</t>
  </si>
  <si>
    <t>Kadidia</t>
  </si>
  <si>
    <t>Trevlyn</t>
  </si>
  <si>
    <t>Dimitry</t>
  </si>
  <si>
    <t>Cheroc</t>
  </si>
  <si>
    <t>Antasha</t>
  </si>
  <si>
    <t>Dale</t>
  </si>
  <si>
    <t>Scott</t>
  </si>
  <si>
    <t>Benny</t>
  </si>
  <si>
    <t>Kaili</t>
  </si>
  <si>
    <t>Mileika</t>
  </si>
  <si>
    <t>Milan</t>
  </si>
  <si>
    <t>Franklin</t>
  </si>
  <si>
    <t>Tala</t>
  </si>
  <si>
    <t>Janea</t>
  </si>
  <si>
    <t>Glendalys</t>
  </si>
  <si>
    <t>Yazaira</t>
  </si>
  <si>
    <t>Breina</t>
  </si>
  <si>
    <t>Tomeka</t>
  </si>
  <si>
    <t>Lucildamia</t>
  </si>
  <si>
    <t>Chaiti</t>
  </si>
  <si>
    <t>Huberto</t>
  </si>
  <si>
    <t>Kyndal</t>
  </si>
  <si>
    <t>SHerry</t>
  </si>
  <si>
    <t>Meean</t>
  </si>
  <si>
    <t>Channel</t>
  </si>
  <si>
    <t>Anang</t>
  </si>
  <si>
    <t>Nettie</t>
  </si>
  <si>
    <t>Vicky</t>
  </si>
  <si>
    <t>Caitlin</t>
  </si>
  <si>
    <t>Aissa</t>
  </si>
  <si>
    <t>Edgar</t>
  </si>
  <si>
    <t>Rosis</t>
  </si>
  <si>
    <t>Maura</t>
  </si>
  <si>
    <t>Sonny</t>
  </si>
  <si>
    <t>Wendherllyn</t>
  </si>
  <si>
    <t>Eliana</t>
  </si>
  <si>
    <t>DORALEE</t>
  </si>
  <si>
    <t>Alberta</t>
  </si>
  <si>
    <t>Osifo</t>
  </si>
  <si>
    <t>Natalya</t>
  </si>
  <si>
    <t>Bernardino</t>
  </si>
  <si>
    <t>Dzhulyeta</t>
  </si>
  <si>
    <t>Nasary</t>
  </si>
  <si>
    <t>YESSICA</t>
  </si>
  <si>
    <t>Kameika</t>
  </si>
  <si>
    <t>DeCarlos</t>
  </si>
  <si>
    <t>Rasaan</t>
  </si>
  <si>
    <t>Nilsa</t>
  </si>
  <si>
    <t>Missurielle</t>
  </si>
  <si>
    <t>Ruth Ann</t>
  </si>
  <si>
    <t>Jose Martin</t>
  </si>
  <si>
    <t>Malia</t>
  </si>
  <si>
    <t>Tchaikvosky</t>
  </si>
  <si>
    <t>Daniela</t>
  </si>
  <si>
    <t>Lissett</t>
  </si>
  <si>
    <t>EDUARDA</t>
  </si>
  <si>
    <t>Vernon</t>
  </si>
  <si>
    <t>Blondy</t>
  </si>
  <si>
    <t>Kurischa</t>
  </si>
  <si>
    <t>Zarita</t>
  </si>
  <si>
    <t>Lawson</t>
  </si>
  <si>
    <t>Solanny</t>
  </si>
  <si>
    <t>Elton</t>
  </si>
  <si>
    <t>Mir</t>
  </si>
  <si>
    <t>Georgia</t>
  </si>
  <si>
    <t>Marelvy</t>
  </si>
  <si>
    <t>Mariah</t>
  </si>
  <si>
    <t>Lilith</t>
  </si>
  <si>
    <t>Edgardo</t>
  </si>
  <si>
    <t>Evans</t>
  </si>
  <si>
    <t>Antisha</t>
  </si>
  <si>
    <t>Petronilla</t>
  </si>
  <si>
    <t>Nyquina</t>
  </si>
  <si>
    <t>Percida</t>
  </si>
  <si>
    <t>Philip</t>
  </si>
  <si>
    <t>Theron</t>
  </si>
  <si>
    <t>Jonas</t>
  </si>
  <si>
    <t>Omanthis</t>
  </si>
  <si>
    <t>Belkys</t>
  </si>
  <si>
    <t>Ayesha</t>
  </si>
  <si>
    <t>Jahyayra</t>
  </si>
  <si>
    <t>Renata</t>
  </si>
  <si>
    <t>Yoko</t>
  </si>
  <si>
    <t>Selienya</t>
  </si>
  <si>
    <t>Marieme</t>
  </si>
  <si>
    <t>Gregorio</t>
  </si>
  <si>
    <t>JENAL</t>
  </si>
  <si>
    <t>Leonardi</t>
  </si>
  <si>
    <t>Dilan</t>
  </si>
  <si>
    <t>Jenesse</t>
  </si>
  <si>
    <t>Valencia</t>
  </si>
  <si>
    <t>Karinthia</t>
  </si>
  <si>
    <t>Gulzar</t>
  </si>
  <si>
    <t>Shantal</t>
  </si>
  <si>
    <t>Ursula</t>
  </si>
  <si>
    <t>Gerard</t>
  </si>
  <si>
    <t>Tenika</t>
  </si>
  <si>
    <t>Akina</t>
  </si>
  <si>
    <t>Martie</t>
  </si>
  <si>
    <t>Nikia</t>
  </si>
  <si>
    <t>Gabby</t>
  </si>
  <si>
    <t>Mars</t>
  </si>
  <si>
    <t>Karima</t>
  </si>
  <si>
    <t>Wail</t>
  </si>
  <si>
    <t>Leston</t>
  </si>
  <si>
    <t>Vaide</t>
  </si>
  <si>
    <t>Isabelita</t>
  </si>
  <si>
    <t>Shateek</t>
  </si>
  <si>
    <t>Amandla</t>
  </si>
  <si>
    <t>Shekinah</t>
  </si>
  <si>
    <t>Latricia</t>
  </si>
  <si>
    <t>Mariama</t>
  </si>
  <si>
    <t>Moussa</t>
  </si>
  <si>
    <t>Francesco</t>
  </si>
  <si>
    <t>Quincy</t>
  </si>
  <si>
    <t>Letty</t>
  </si>
  <si>
    <t>Catalano</t>
  </si>
  <si>
    <t>Danny</t>
  </si>
  <si>
    <t>Avion</t>
  </si>
  <si>
    <t>Edwige</t>
  </si>
  <si>
    <t>Aleydi</t>
  </si>
  <si>
    <t>Vidya</t>
  </si>
  <si>
    <t>Tawanna</t>
  </si>
  <si>
    <t>Mi Ran</t>
  </si>
  <si>
    <t>Melanee</t>
  </si>
  <si>
    <t>Gordon</t>
  </si>
  <si>
    <t>Kerima</t>
  </si>
  <si>
    <t>Karizma</t>
  </si>
  <si>
    <t>Kneysha</t>
  </si>
  <si>
    <t>Dallas</t>
  </si>
  <si>
    <t>Chinyere</t>
  </si>
  <si>
    <t>Shahara</t>
  </si>
  <si>
    <t>Lesha</t>
  </si>
  <si>
    <t>Hermeregildo</t>
  </si>
  <si>
    <t>Shari</t>
  </si>
  <si>
    <t>Nicolette</t>
  </si>
  <si>
    <t>Sharline</t>
  </si>
  <si>
    <t>Laquilla</t>
  </si>
  <si>
    <t>Eugenia</t>
  </si>
  <si>
    <t>Axnety</t>
  </si>
  <si>
    <t>Kenji</t>
  </si>
  <si>
    <t>Gisell Antonia</t>
  </si>
  <si>
    <t>Hailu</t>
  </si>
  <si>
    <t>Maleka</t>
  </si>
  <si>
    <t>Christianne</t>
  </si>
  <si>
    <t>Fares</t>
  </si>
  <si>
    <t>Randy</t>
  </si>
  <si>
    <t>Kaium-Shah</t>
  </si>
  <si>
    <t>Hong</t>
  </si>
  <si>
    <t>Deydamia</t>
  </si>
  <si>
    <t>Anastacia</t>
  </si>
  <si>
    <t>Xiu Hua</t>
  </si>
  <si>
    <t>Tangerine</t>
  </si>
  <si>
    <t>Claredon</t>
  </si>
  <si>
    <t>Faiza</t>
  </si>
  <si>
    <t>CYNTHIA</t>
  </si>
  <si>
    <t>Imtiaz</t>
  </si>
  <si>
    <t>Mariela</t>
  </si>
  <si>
    <t>Felesha</t>
  </si>
  <si>
    <t>Bernetta</t>
  </si>
  <si>
    <t>Anneish</t>
  </si>
  <si>
    <t>AMANDA</t>
  </si>
  <si>
    <t>Kenyatta</t>
  </si>
  <si>
    <t>Shorok</t>
  </si>
  <si>
    <t>Rebeca</t>
  </si>
  <si>
    <t>Ayanna</t>
  </si>
  <si>
    <t>DEAN</t>
  </si>
  <si>
    <t>Rosalba</t>
  </si>
  <si>
    <t>Eleyon</t>
  </si>
  <si>
    <t>Djily</t>
  </si>
  <si>
    <t>Shimon</t>
  </si>
  <si>
    <t>Andre Carl</t>
  </si>
  <si>
    <t>Lateef</t>
  </si>
  <si>
    <t>Jerome</t>
  </si>
  <si>
    <t>Fabiana</t>
  </si>
  <si>
    <t>Mirbahar</t>
  </si>
  <si>
    <t>Yunilda</t>
  </si>
  <si>
    <t>Korwin</t>
  </si>
  <si>
    <t>Magdalen</t>
  </si>
  <si>
    <t>Jillian</t>
  </si>
  <si>
    <t>Tomorrow</t>
  </si>
  <si>
    <t>Rosaura</t>
  </si>
  <si>
    <t>Jeneli</t>
  </si>
  <si>
    <t>Karmishi</t>
  </si>
  <si>
    <t>Norine</t>
  </si>
  <si>
    <t>Yenny</t>
  </si>
  <si>
    <t>Jamsin</t>
  </si>
  <si>
    <t>Jefferson</t>
  </si>
  <si>
    <t>Mame</t>
  </si>
  <si>
    <t>Shiaisha</t>
  </si>
  <si>
    <t>Zenaida</t>
  </si>
  <si>
    <t>JODI</t>
  </si>
  <si>
    <t>Leesa</t>
  </si>
  <si>
    <t>Eliane</t>
  </si>
  <si>
    <t>Yeimy</t>
  </si>
  <si>
    <t>Javon</t>
  </si>
  <si>
    <t>Wilma</t>
  </si>
  <si>
    <t>Concepcion</t>
  </si>
  <si>
    <t>Mamou</t>
  </si>
  <si>
    <t>Deonna</t>
  </si>
  <si>
    <t>Yanuaria</t>
  </si>
  <si>
    <t>Iluminada</t>
  </si>
  <si>
    <t>Dedra</t>
  </si>
  <si>
    <t>Jesusa</t>
  </si>
  <si>
    <t>Everton</t>
  </si>
  <si>
    <t>Warren</t>
  </si>
  <si>
    <t>Adriana</t>
  </si>
  <si>
    <t>Starquaisa</t>
  </si>
  <si>
    <t>Afrikah</t>
  </si>
  <si>
    <t>Alvita</t>
  </si>
  <si>
    <t>Camella</t>
  </si>
  <si>
    <t>Vanderlyn</t>
  </si>
  <si>
    <t>Izaida</t>
  </si>
  <si>
    <t>Adrienne</t>
  </si>
  <si>
    <t>Fidel</t>
  </si>
  <si>
    <t>Jennifer Cruz</t>
  </si>
  <si>
    <t>Sanabe</t>
  </si>
  <si>
    <t>Mudasiru</t>
  </si>
  <si>
    <t>Cora</t>
  </si>
  <si>
    <t>Louisia</t>
  </si>
  <si>
    <t>Delsy</t>
  </si>
  <si>
    <t>Hildania</t>
  </si>
  <si>
    <t>Yines</t>
  </si>
  <si>
    <t>Meris</t>
  </si>
  <si>
    <t>Benecia</t>
  </si>
  <si>
    <t>Hanirka</t>
  </si>
  <si>
    <t>Bonaerge</t>
  </si>
  <si>
    <t>Darrylin</t>
  </si>
  <si>
    <t>Seifeldin</t>
  </si>
  <si>
    <t>Leanice</t>
  </si>
  <si>
    <t>Verine</t>
  </si>
  <si>
    <t>Dilcia</t>
  </si>
  <si>
    <t>Asseth</t>
  </si>
  <si>
    <t>Jackie</t>
  </si>
  <si>
    <t>Nakkisha</t>
  </si>
  <si>
    <t>Sherina</t>
  </si>
  <si>
    <t>Junie</t>
  </si>
  <si>
    <t>Jada</t>
  </si>
  <si>
    <t>Kassandra</t>
  </si>
  <si>
    <t>Venida</t>
  </si>
  <si>
    <t>Erenia</t>
  </si>
  <si>
    <t>Bertico</t>
  </si>
  <si>
    <t>Ignatius</t>
  </si>
  <si>
    <t>Briana</t>
  </si>
  <si>
    <t>Janeth</t>
  </si>
  <si>
    <t>Travis</t>
  </si>
  <si>
    <t>Nichole</t>
  </si>
  <si>
    <t>Sinead</t>
  </si>
  <si>
    <t>Rosmeri</t>
  </si>
  <si>
    <t>Kiera</t>
  </si>
  <si>
    <t>MARIO</t>
  </si>
  <si>
    <t>Beatrice</t>
  </si>
  <si>
    <t>Janean</t>
  </si>
  <si>
    <t>Russell</t>
  </si>
  <si>
    <t>Euclides</t>
  </si>
  <si>
    <t>Stacie</t>
  </si>
  <si>
    <t>Ignacio</t>
  </si>
  <si>
    <t>Salvacion</t>
  </si>
  <si>
    <t>Ebrunilda</t>
  </si>
  <si>
    <t>Julissa</t>
  </si>
  <si>
    <t>Lashanna</t>
  </si>
  <si>
    <t>Sagrario</t>
  </si>
  <si>
    <t>Rheta</t>
  </si>
  <si>
    <t>Ariel</t>
  </si>
  <si>
    <t>Roy</t>
  </si>
  <si>
    <t>Sugeidy</t>
  </si>
  <si>
    <t>Fazeea</t>
  </si>
  <si>
    <t>Kasara</t>
  </si>
  <si>
    <t>Dashee</t>
  </si>
  <si>
    <t>Antonette</t>
  </si>
  <si>
    <t>Katerina</t>
  </si>
  <si>
    <t>Nalini</t>
  </si>
  <si>
    <t>Yosmery</t>
  </si>
  <si>
    <t>Alphonso</t>
  </si>
  <si>
    <t>Mahnaz</t>
  </si>
  <si>
    <t>Hao Ran</t>
  </si>
  <si>
    <t>Kieyana</t>
  </si>
  <si>
    <t>Alasia</t>
  </si>
  <si>
    <t>Ghislaine</t>
  </si>
  <si>
    <t>Jocelyne</t>
  </si>
  <si>
    <t>Shazzadi</t>
  </si>
  <si>
    <t>Eudora</t>
  </si>
  <si>
    <t>Amiyna</t>
  </si>
  <si>
    <t>Nizam</t>
  </si>
  <si>
    <t>Felipe</t>
  </si>
  <si>
    <t>Venus</t>
  </si>
  <si>
    <t>Antoine</t>
  </si>
  <si>
    <t>Issiaka</t>
  </si>
  <si>
    <t>Paree</t>
  </si>
  <si>
    <t>Wyman</t>
  </si>
  <si>
    <t>Koffi</t>
  </si>
  <si>
    <t>Loriane</t>
  </si>
  <si>
    <t>Guy</t>
  </si>
  <si>
    <t>Misael</t>
  </si>
  <si>
    <t>General</t>
  </si>
  <si>
    <t>Djenabow</t>
  </si>
  <si>
    <t>Felicita</t>
  </si>
  <si>
    <t>Pearlene</t>
  </si>
  <si>
    <t>Konrad</t>
  </si>
  <si>
    <t>Janith</t>
  </si>
  <si>
    <t>Kalifa</t>
  </si>
  <si>
    <t>Elena</t>
  </si>
  <si>
    <t>Julie</t>
  </si>
  <si>
    <t>Yinette</t>
  </si>
  <si>
    <t>Souher</t>
  </si>
  <si>
    <t>Eladia</t>
  </si>
  <si>
    <t>Masue</t>
  </si>
  <si>
    <t>Un Chu</t>
  </si>
  <si>
    <t>Ramziddin</t>
  </si>
  <si>
    <t>Oumar</t>
  </si>
  <si>
    <t>Chastity</t>
  </si>
  <si>
    <t>Alba</t>
  </si>
  <si>
    <t>Natashia</t>
  </si>
  <si>
    <t>Ceside</t>
  </si>
  <si>
    <t>Novell</t>
  </si>
  <si>
    <t>Shellice</t>
  </si>
  <si>
    <t>Rosa Marie</t>
  </si>
  <si>
    <t>LaQuana</t>
  </si>
  <si>
    <t>JoAnn</t>
  </si>
  <si>
    <t>LeShawn</t>
  </si>
  <si>
    <t>Joya</t>
  </si>
  <si>
    <t>Abdou</t>
  </si>
  <si>
    <t>Tyron</t>
  </si>
  <si>
    <t>Honori</t>
  </si>
  <si>
    <t>Nekia</t>
  </si>
  <si>
    <t>Valarie</t>
  </si>
  <si>
    <t>Shaqueena</t>
  </si>
  <si>
    <t>Sally</t>
  </si>
  <si>
    <t>Rokhaya</t>
  </si>
  <si>
    <t>Alec</t>
  </si>
  <si>
    <t>Ximena</t>
  </si>
  <si>
    <t>Norlyn</t>
  </si>
  <si>
    <t>Loraine</t>
  </si>
  <si>
    <t>Sharmance</t>
  </si>
  <si>
    <t>Devrin</t>
  </si>
  <si>
    <t>Stephoni</t>
  </si>
  <si>
    <t>Serigne</t>
  </si>
  <si>
    <t>Sashagaye</t>
  </si>
  <si>
    <t>Alex</t>
  </si>
  <si>
    <t>Saluda</t>
  </si>
  <si>
    <t>Eucarina</t>
  </si>
  <si>
    <t>Angelique</t>
  </si>
  <si>
    <t>Khristen</t>
  </si>
  <si>
    <t>Zinelle</t>
  </si>
  <si>
    <t>Julien</t>
  </si>
  <si>
    <t>Rainee</t>
  </si>
  <si>
    <t>Nikita</t>
  </si>
  <si>
    <t>Saleem</t>
  </si>
  <si>
    <t>Endy</t>
  </si>
  <si>
    <t>Miasia</t>
  </si>
  <si>
    <t>Sharynn</t>
  </si>
  <si>
    <t>Taj</t>
  </si>
  <si>
    <t>Paralee</t>
  </si>
  <si>
    <t>Latania</t>
  </si>
  <si>
    <t>Rickisha</t>
  </si>
  <si>
    <t>Mahranie</t>
  </si>
  <si>
    <t>Rushane</t>
  </si>
  <si>
    <t>Chasity</t>
  </si>
  <si>
    <t>JOSHUA</t>
  </si>
  <si>
    <t>Mauree</t>
  </si>
  <si>
    <t>Villtress</t>
  </si>
  <si>
    <t>Dinoska</t>
  </si>
  <si>
    <t>Veola</t>
  </si>
  <si>
    <t>ANYERIS</t>
  </si>
  <si>
    <t>DANILDA</t>
  </si>
  <si>
    <t>LATIFAH</t>
  </si>
  <si>
    <t>Roselyn</t>
  </si>
  <si>
    <t>Fuad</t>
  </si>
  <si>
    <t>Sugey</t>
  </si>
  <si>
    <t>Hazel</t>
  </si>
  <si>
    <t>Ena</t>
  </si>
  <si>
    <t>Mirely</t>
  </si>
  <si>
    <t>Ilma</t>
  </si>
  <si>
    <t>Zinorah</t>
  </si>
  <si>
    <t>Angella</t>
  </si>
  <si>
    <t>Wennebis</t>
  </si>
  <si>
    <t>Salvador</t>
  </si>
  <si>
    <t>Cardel</t>
  </si>
  <si>
    <t>Yanira</t>
  </si>
  <si>
    <t>Arbia</t>
  </si>
  <si>
    <t>Emilia</t>
  </si>
  <si>
    <t>Ali Amr Akhmned</t>
  </si>
  <si>
    <t>Demere</t>
  </si>
  <si>
    <t>Diandrea</t>
  </si>
  <si>
    <t>Jomar</t>
  </si>
  <si>
    <t>MD Jahur</t>
  </si>
  <si>
    <t>Aja</t>
  </si>
  <si>
    <t>Wendpagnangde</t>
  </si>
  <si>
    <t>Shakia</t>
  </si>
  <si>
    <t>Stacytime</t>
  </si>
  <si>
    <t>Moinuddin</t>
  </si>
  <si>
    <t>Zoila</t>
  </si>
  <si>
    <t>Sharonda</t>
  </si>
  <si>
    <t>Wardell</t>
  </si>
  <si>
    <t>DAMION</t>
  </si>
  <si>
    <t>Iman</t>
  </si>
  <si>
    <t>Fredis</t>
  </si>
  <si>
    <t>Leonela</t>
  </si>
  <si>
    <t>AYDA</t>
  </si>
  <si>
    <t>Teshawna</t>
  </si>
  <si>
    <t>Wasim</t>
  </si>
  <si>
    <t>Jake</t>
  </si>
  <si>
    <t>Amarilis</t>
  </si>
  <si>
    <t>Adil</t>
  </si>
  <si>
    <t>Kyterrua</t>
  </si>
  <si>
    <t>Kafaba</t>
  </si>
  <si>
    <t>Farid</t>
  </si>
  <si>
    <t>Shavonne</t>
  </si>
  <si>
    <t>Shelia</t>
  </si>
  <si>
    <t>Kristina</t>
  </si>
  <si>
    <t>Yaasmiyn</t>
  </si>
  <si>
    <t>MaryAnn</t>
  </si>
  <si>
    <t>Angeles</t>
  </si>
  <si>
    <t>Azizah</t>
  </si>
  <si>
    <t>Waleska</t>
  </si>
  <si>
    <t>Avril</t>
  </si>
  <si>
    <t>Janarys</t>
  </si>
  <si>
    <t>Jairo</t>
  </si>
  <si>
    <t>Alita</t>
  </si>
  <si>
    <t>Laureen</t>
  </si>
  <si>
    <t>JoAna</t>
  </si>
  <si>
    <t>Hosnahara</t>
  </si>
  <si>
    <t>Jamshid</t>
  </si>
  <si>
    <t>Elina</t>
  </si>
  <si>
    <t>Gardenia</t>
  </si>
  <si>
    <t>Yollanda</t>
  </si>
  <si>
    <t>Letitia</t>
  </si>
  <si>
    <t>Nogah</t>
  </si>
  <si>
    <t>Ecaterina</t>
  </si>
  <si>
    <t>Etherlena</t>
  </si>
  <si>
    <t>Louisa</t>
  </si>
  <si>
    <t>Rahiem</t>
  </si>
  <si>
    <t>Larissa</t>
  </si>
  <si>
    <t>Keys</t>
  </si>
  <si>
    <t>Fanny</t>
  </si>
  <si>
    <t>Fatau</t>
  </si>
  <si>
    <t>Kassim</t>
  </si>
  <si>
    <t>Starr</t>
  </si>
  <si>
    <t>Mayfield</t>
  </si>
  <si>
    <t>Jonah</t>
  </si>
  <si>
    <t>Ashiru</t>
  </si>
  <si>
    <t>Lystra</t>
  </si>
  <si>
    <t>Auciantie</t>
  </si>
  <si>
    <t>Iverson</t>
  </si>
  <si>
    <t>Daminique</t>
  </si>
  <si>
    <t>Ganna</t>
  </si>
  <si>
    <t>Nube</t>
  </si>
  <si>
    <t>Reean</t>
  </si>
  <si>
    <t>Rona</t>
  </si>
  <si>
    <t>Sharnisha</t>
  </si>
  <si>
    <t>Mahinda</t>
  </si>
  <si>
    <t>Ira</t>
  </si>
  <si>
    <t>Ritabeth</t>
  </si>
  <si>
    <t>Andy</t>
  </si>
  <si>
    <t>Shantel</t>
  </si>
  <si>
    <t>Simmone</t>
  </si>
  <si>
    <t>Osbaldo</t>
  </si>
  <si>
    <t>Joclyn</t>
  </si>
  <si>
    <t>Rugiatu</t>
  </si>
  <si>
    <t>Youba</t>
  </si>
  <si>
    <t>Marine</t>
  </si>
  <si>
    <t>Svetlana</t>
  </si>
  <si>
    <t>Yoel</t>
  </si>
  <si>
    <t>Nubia</t>
  </si>
  <si>
    <t>Etta</t>
  </si>
  <si>
    <t>Lettitia</t>
  </si>
  <si>
    <t>Wendeen</t>
  </si>
  <si>
    <t>Freida</t>
  </si>
  <si>
    <t>Constance</t>
  </si>
  <si>
    <t>Daryan</t>
  </si>
  <si>
    <t>Serita</t>
  </si>
  <si>
    <t>Shameca</t>
  </si>
  <si>
    <t>Siriphan</t>
  </si>
  <si>
    <t>Barrington</t>
  </si>
  <si>
    <t>Cecil</t>
  </si>
  <si>
    <t>Edmund</t>
  </si>
  <si>
    <t>Lakia</t>
  </si>
  <si>
    <t>Petra</t>
  </si>
  <si>
    <t>Miladi</t>
  </si>
  <si>
    <t>Ranardo</t>
  </si>
  <si>
    <t>Ramira</t>
  </si>
  <si>
    <t>Kysharce</t>
  </si>
  <si>
    <t>Bolanle</t>
  </si>
  <si>
    <t>Destinie</t>
  </si>
  <si>
    <t>Bert</t>
  </si>
  <si>
    <t>Manuela</t>
  </si>
  <si>
    <t>Selina</t>
  </si>
  <si>
    <t>Sharice</t>
  </si>
  <si>
    <t>Zorina</t>
  </si>
  <si>
    <t>Janiene</t>
  </si>
  <si>
    <t>Justina</t>
  </si>
  <si>
    <t>Bertilio</t>
  </si>
  <si>
    <t>Dixon</t>
  </si>
  <si>
    <t>Natena</t>
  </si>
  <si>
    <t>Asli</t>
  </si>
  <si>
    <t>Cherly</t>
  </si>
  <si>
    <t>Lenny</t>
  </si>
  <si>
    <t>Dian</t>
  </si>
  <si>
    <t>Nichol</t>
  </si>
  <si>
    <t>Lora</t>
  </si>
  <si>
    <t>Michaela</t>
  </si>
  <si>
    <t>Geydee</t>
  </si>
  <si>
    <t>MELISSA</t>
  </si>
  <si>
    <t>Joe</t>
  </si>
  <si>
    <t>Hedilberto</t>
  </si>
  <si>
    <t>Hepzie</t>
  </si>
  <si>
    <t>Tavika</t>
  </si>
  <si>
    <t>Cinthia</t>
  </si>
  <si>
    <t>Ronnel</t>
  </si>
  <si>
    <t>Jasso</t>
  </si>
  <si>
    <t>Elise</t>
  </si>
  <si>
    <t>Shunelle</t>
  </si>
  <si>
    <t>Lozada</t>
  </si>
  <si>
    <t>Evette</t>
  </si>
  <si>
    <t>Francy</t>
  </si>
  <si>
    <t>Nequia</t>
  </si>
  <si>
    <t>Markus</t>
  </si>
  <si>
    <t>Saralyn</t>
  </si>
  <si>
    <t>Dominque</t>
  </si>
  <si>
    <t>Faisal</t>
  </si>
  <si>
    <t>Amira</t>
  </si>
  <si>
    <t>Jaidi</t>
  </si>
  <si>
    <t>Claude</t>
  </si>
  <si>
    <t>Kamille</t>
  </si>
  <si>
    <t>Morena</t>
  </si>
  <si>
    <t>Belina</t>
  </si>
  <si>
    <t>Jared</t>
  </si>
  <si>
    <t>Kazimierz</t>
  </si>
  <si>
    <t>Ricardo</t>
  </si>
  <si>
    <t>Moses</t>
  </si>
  <si>
    <t>Nathalye</t>
  </si>
  <si>
    <t>Abby</t>
  </si>
  <si>
    <t>Asiatic</t>
  </si>
  <si>
    <t>Tiffannie</t>
  </si>
  <si>
    <t>Tieara</t>
  </si>
  <si>
    <t>Aionga</t>
  </si>
  <si>
    <t>FAITH</t>
  </si>
  <si>
    <t>CISSE</t>
  </si>
  <si>
    <t>Chaka</t>
  </si>
  <si>
    <t>Sieudath</t>
  </si>
  <si>
    <t>Imen</t>
  </si>
  <si>
    <t>Latchmin</t>
  </si>
  <si>
    <t>Jhonny</t>
  </si>
  <si>
    <t>Fitzroy</t>
  </si>
  <si>
    <t>Teaira</t>
  </si>
  <si>
    <t>Zenon</t>
  </si>
  <si>
    <t>JUAN</t>
  </si>
  <si>
    <t>Zurisadai</t>
  </si>
  <si>
    <t>Decaris</t>
  </si>
  <si>
    <t>MARILYN</t>
  </si>
  <si>
    <t>Olimpia</t>
  </si>
  <si>
    <t>Maisah</t>
  </si>
  <si>
    <t>GETULIO</t>
  </si>
  <si>
    <t>Chesevah</t>
  </si>
  <si>
    <t>Paris</t>
  </si>
  <si>
    <t>Sade</t>
  </si>
  <si>
    <t>Nikeya</t>
  </si>
  <si>
    <t>Yoonduk</t>
  </si>
  <si>
    <t>Ryann</t>
  </si>
  <si>
    <t>Mialynn</t>
  </si>
  <si>
    <t>Mirza</t>
  </si>
  <si>
    <t>Lidia</t>
  </si>
  <si>
    <t>Yemani</t>
  </si>
  <si>
    <t>Sasha Ann</t>
  </si>
  <si>
    <t>Loana</t>
  </si>
  <si>
    <t>YouMin</t>
  </si>
  <si>
    <t>Shawntiqua</t>
  </si>
  <si>
    <t>Grant</t>
  </si>
  <si>
    <t>Verbien</t>
  </si>
  <si>
    <t>Marek</t>
  </si>
  <si>
    <t>Trudi</t>
  </si>
  <si>
    <t>Lupe</t>
  </si>
  <si>
    <t>Allysa</t>
  </si>
  <si>
    <t>Sirajul</t>
  </si>
  <si>
    <t>Gerdy</t>
  </si>
  <si>
    <t>Antane</t>
  </si>
  <si>
    <t>Janette</t>
  </si>
  <si>
    <t>Charis</t>
  </si>
  <si>
    <t>SINNAMON</t>
  </si>
  <si>
    <t>Kiara</t>
  </si>
  <si>
    <t>Meritza</t>
  </si>
  <si>
    <t>Theo</t>
  </si>
  <si>
    <t>Jeanean</t>
  </si>
  <si>
    <t>Anastasia</t>
  </si>
  <si>
    <t>Tyran</t>
  </si>
  <si>
    <t>Shanikwa</t>
  </si>
  <si>
    <t>Candacie</t>
  </si>
  <si>
    <t>Moises</t>
  </si>
  <si>
    <t>Blaise</t>
  </si>
  <si>
    <t>Jazmine</t>
  </si>
  <si>
    <t>Shalina</t>
  </si>
  <si>
    <t>Guito</t>
  </si>
  <si>
    <t>Rahtisha</t>
  </si>
  <si>
    <t>VICTOR</t>
  </si>
  <si>
    <t>Vernecya</t>
  </si>
  <si>
    <t>Johny</t>
  </si>
  <si>
    <t>Evita</t>
  </si>
  <si>
    <t>Liautaud</t>
  </si>
  <si>
    <t>Sharleen</t>
  </si>
  <si>
    <t>Murielle</t>
  </si>
  <si>
    <t>Queyen</t>
  </si>
  <si>
    <t>Musammet</t>
  </si>
  <si>
    <t>Solomon</t>
  </si>
  <si>
    <t>Ara</t>
  </si>
  <si>
    <t>Richard Manuel</t>
  </si>
  <si>
    <t>Adriano</t>
  </si>
  <si>
    <t>Kameila</t>
  </si>
  <si>
    <t>Servio</t>
  </si>
  <si>
    <t>Hemwattee</t>
  </si>
  <si>
    <t>Loi Sao</t>
  </si>
  <si>
    <t>HIRAM</t>
  </si>
  <si>
    <t>Boung</t>
  </si>
  <si>
    <t>Geisel</t>
  </si>
  <si>
    <t>Charline</t>
  </si>
  <si>
    <t>Julaina</t>
  </si>
  <si>
    <t>Quiriri</t>
  </si>
  <si>
    <t>Carl</t>
  </si>
  <si>
    <t>Charmell</t>
  </si>
  <si>
    <t>Berris</t>
  </si>
  <si>
    <t>Daneil</t>
  </si>
  <si>
    <t>Anuschja</t>
  </si>
  <si>
    <t>Dorrell</t>
  </si>
  <si>
    <t>Rosiny</t>
  </si>
  <si>
    <t>Nakya</t>
  </si>
  <si>
    <t>Larisa</t>
  </si>
  <si>
    <t>Baudilia</t>
  </si>
  <si>
    <t>Kassia</t>
  </si>
  <si>
    <t>Eudacia</t>
  </si>
  <si>
    <t>Yoke Mei</t>
  </si>
  <si>
    <t>Rukhma</t>
  </si>
  <si>
    <t>Natori</t>
  </si>
  <si>
    <t>Asmahan</t>
  </si>
  <si>
    <t>Moresia</t>
  </si>
  <si>
    <t>Nicolina</t>
  </si>
  <si>
    <t>Tori</t>
  </si>
  <si>
    <t>Lynn Marie</t>
  </si>
  <si>
    <t>Isheen</t>
  </si>
  <si>
    <t>Krystle</t>
  </si>
  <si>
    <t>Tonia</t>
  </si>
  <si>
    <t>Ezequiel</t>
  </si>
  <si>
    <t>Kisheana</t>
  </si>
  <si>
    <t>Shashanah</t>
  </si>
  <si>
    <t>Heshima</t>
  </si>
  <si>
    <t>Isela</t>
  </si>
  <si>
    <t>Kattya</t>
  </si>
  <si>
    <t>Thierno</t>
  </si>
  <si>
    <t>Arnold</t>
  </si>
  <si>
    <t>Jaytee</t>
  </si>
  <si>
    <t>Mary-Beth</t>
  </si>
  <si>
    <t>Erdal</t>
  </si>
  <si>
    <t>Bukunmi</t>
  </si>
  <si>
    <t>Doug</t>
  </si>
  <si>
    <t>Hai</t>
  </si>
  <si>
    <t>Naila</t>
  </si>
  <si>
    <t>Alhagie</t>
  </si>
  <si>
    <t>Babsie</t>
  </si>
  <si>
    <t>Olufunmilayo</t>
  </si>
  <si>
    <t>Orville</t>
  </si>
  <si>
    <t>Bilizie</t>
  </si>
  <si>
    <t>Pedine</t>
  </si>
  <si>
    <t>Pascual</t>
  </si>
  <si>
    <t>Corinthia</t>
  </si>
  <si>
    <t>Laclesha</t>
  </si>
  <si>
    <t>Roosevelt</t>
  </si>
  <si>
    <t>Shahram</t>
  </si>
  <si>
    <t>Joannie</t>
  </si>
  <si>
    <t>Ulysses</t>
  </si>
  <si>
    <t>Alvin</t>
  </si>
  <si>
    <t>Laasia</t>
  </si>
  <si>
    <t>Parish</t>
  </si>
  <si>
    <t>Rajib</t>
  </si>
  <si>
    <t>Chotarde</t>
  </si>
  <si>
    <t>Amelia</t>
  </si>
  <si>
    <t>Nnamdi</t>
  </si>
  <si>
    <t>Clair</t>
  </si>
  <si>
    <t>Seniqua</t>
  </si>
  <si>
    <t>Mable</t>
  </si>
  <si>
    <t>Knaisah</t>
  </si>
  <si>
    <t>Takia</t>
  </si>
  <si>
    <t>Rolinda</t>
  </si>
  <si>
    <t>Darold</t>
  </si>
  <si>
    <t>Arlette</t>
  </si>
  <si>
    <t>Augustine</t>
  </si>
  <si>
    <t>Kettely</t>
  </si>
  <si>
    <t>Sharnet</t>
  </si>
  <si>
    <t>Monette</t>
  </si>
  <si>
    <t>Fany</t>
  </si>
  <si>
    <t>Syed</t>
  </si>
  <si>
    <t>Ali M.</t>
  </si>
  <si>
    <t>Mst. Farida</t>
  </si>
  <si>
    <t>Adison</t>
  </si>
  <si>
    <t>Dimas</t>
  </si>
  <si>
    <t>Shu Ling</t>
  </si>
  <si>
    <t>Chrysanthius</t>
  </si>
  <si>
    <t>Izabella</t>
  </si>
  <si>
    <t>Shawntain</t>
  </si>
  <si>
    <t>Noria</t>
  </si>
  <si>
    <t>Rahimina</t>
  </si>
  <si>
    <t>Coretta</t>
  </si>
  <si>
    <t>Oneida</t>
  </si>
  <si>
    <t>Antiellia</t>
  </si>
  <si>
    <t>Dorka</t>
  </si>
  <si>
    <t>Shenelle</t>
  </si>
  <si>
    <t>Hamid</t>
  </si>
  <si>
    <t>Peng</t>
  </si>
  <si>
    <t>Niesha</t>
  </si>
  <si>
    <t>Esteffani</t>
  </si>
  <si>
    <t>Bashira</t>
  </si>
  <si>
    <t>Ann Marie</t>
  </si>
  <si>
    <t>Rosa Lee</t>
  </si>
  <si>
    <t>Zhanna</t>
  </si>
  <si>
    <t>Eladio</t>
  </si>
  <si>
    <t>Ramon Tomas</t>
  </si>
  <si>
    <t>ALTAGRACIA</t>
  </si>
  <si>
    <t>Ivon</t>
  </si>
  <si>
    <t>Joven</t>
  </si>
  <si>
    <t>Graham</t>
  </si>
  <si>
    <t>Presca</t>
  </si>
  <si>
    <t>Collins</t>
  </si>
  <si>
    <t>Mamadou S</t>
  </si>
  <si>
    <t>RICHMOND</t>
  </si>
  <si>
    <t>Eberechukwu</t>
  </si>
  <si>
    <t>Syquana</t>
  </si>
  <si>
    <t>Jolimene</t>
  </si>
  <si>
    <t>Mikkia</t>
  </si>
  <si>
    <t>Mariana</t>
  </si>
  <si>
    <t>Antoneta</t>
  </si>
  <si>
    <t>Nazia</t>
  </si>
  <si>
    <t>Muhamed</t>
  </si>
  <si>
    <t>Madina</t>
  </si>
  <si>
    <t>Perla</t>
  </si>
  <si>
    <t>Admir</t>
  </si>
  <si>
    <t>Maryann</t>
  </si>
  <si>
    <t>Mirian</t>
  </si>
  <si>
    <t>Tashara</t>
  </si>
  <si>
    <t>Aracelis</t>
  </si>
  <si>
    <t>Aiden</t>
  </si>
  <si>
    <t>Maruja</t>
  </si>
  <si>
    <t>Lenore</t>
  </si>
  <si>
    <t>Nelia</t>
  </si>
  <si>
    <t>Abdel</t>
  </si>
  <si>
    <t>Khalil</t>
  </si>
  <si>
    <t>Mariatou</t>
  </si>
  <si>
    <t>Fermin</t>
  </si>
  <si>
    <t>Lea Ann</t>
  </si>
  <si>
    <t>Vandana</t>
  </si>
  <si>
    <t>Arellys</t>
  </si>
  <si>
    <t>Eufemia</t>
  </si>
  <si>
    <t>Soraya</t>
  </si>
  <si>
    <t>Rainford</t>
  </si>
  <si>
    <t>Violeta</t>
  </si>
  <si>
    <t>Loletta</t>
  </si>
  <si>
    <t>Ava</t>
  </si>
  <si>
    <t>Valicia</t>
  </si>
  <si>
    <t>Gabriel</t>
  </si>
  <si>
    <t>Lord</t>
  </si>
  <si>
    <t>Temistocles</t>
  </si>
  <si>
    <t>Cyristina</t>
  </si>
  <si>
    <t>Amoy</t>
  </si>
  <si>
    <t>Sidnie</t>
  </si>
  <si>
    <t>Tikisha</t>
  </si>
  <si>
    <t>Seerat</t>
  </si>
  <si>
    <t>Carlena</t>
  </si>
  <si>
    <t>Robeela</t>
  </si>
  <si>
    <t>Oz</t>
  </si>
  <si>
    <t>Kasia</t>
  </si>
  <si>
    <t>Heeadai</t>
  </si>
  <si>
    <t>Sharaya</t>
  </si>
  <si>
    <t>Floralba</t>
  </si>
  <si>
    <t>Fannie</t>
  </si>
  <si>
    <t>Sian</t>
  </si>
  <si>
    <t>Genesia</t>
  </si>
  <si>
    <t>Owen</t>
  </si>
  <si>
    <t>Quentin</t>
  </si>
  <si>
    <t>Nucleo</t>
  </si>
  <si>
    <t>Bibi</t>
  </si>
  <si>
    <t>Kumal</t>
  </si>
  <si>
    <t>Roderick</t>
  </si>
  <si>
    <t>Hasin</t>
  </si>
  <si>
    <t>Simona</t>
  </si>
  <si>
    <t>Brandi</t>
  </si>
  <si>
    <t>Markeek</t>
  </si>
  <si>
    <t>Cristian</t>
  </si>
  <si>
    <t>Rosangeles</t>
  </si>
  <si>
    <t>Ramsey</t>
  </si>
  <si>
    <t>Humberto</t>
  </si>
  <si>
    <t>Carmel</t>
  </si>
  <si>
    <t>Vilma</t>
  </si>
  <si>
    <t>Martin</t>
  </si>
  <si>
    <t>Sawneerae</t>
  </si>
  <si>
    <t>Salvatore</t>
  </si>
  <si>
    <t>Dario</t>
  </si>
  <si>
    <t>Bola</t>
  </si>
  <si>
    <t>Cameal</t>
  </si>
  <si>
    <t>Christy</t>
  </si>
  <si>
    <t>Veda</t>
  </si>
  <si>
    <t>Suraya</t>
  </si>
  <si>
    <t>Richardo</t>
  </si>
  <si>
    <t>Mincey</t>
  </si>
  <si>
    <t>Al</t>
  </si>
  <si>
    <t>Nikki</t>
  </si>
  <si>
    <t>Mina</t>
  </si>
  <si>
    <t>Shakare</t>
  </si>
  <si>
    <t>Stella</t>
  </si>
  <si>
    <t>Cocavyah</t>
  </si>
  <si>
    <t>Mamoudou</t>
  </si>
  <si>
    <t>Choi</t>
  </si>
  <si>
    <t>Madge</t>
  </si>
  <si>
    <t>Sondra</t>
  </si>
  <si>
    <t>Sharrise</t>
  </si>
  <si>
    <t>Nikisha</t>
  </si>
  <si>
    <t>Joslyn</t>
  </si>
  <si>
    <t>Shauntice</t>
  </si>
  <si>
    <t>Chang</t>
  </si>
  <si>
    <t>Delkaris</t>
  </si>
  <si>
    <t>Meg</t>
  </si>
  <si>
    <t>Devor</t>
  </si>
  <si>
    <t>Cristobal</t>
  </si>
  <si>
    <t>Mitenka</t>
  </si>
  <si>
    <t>Yun Hui</t>
  </si>
  <si>
    <t>julya</t>
  </si>
  <si>
    <t>Dayana</t>
  </si>
  <si>
    <t>Lipe</t>
  </si>
  <si>
    <t>Taearia</t>
  </si>
  <si>
    <t>Goug</t>
  </si>
  <si>
    <t>Estanislao</t>
  </si>
  <si>
    <t>Christol</t>
  </si>
  <si>
    <t>Maggie</t>
  </si>
  <si>
    <t>Nashaka</t>
  </si>
  <si>
    <t>Anniqua</t>
  </si>
  <si>
    <t>Fidelina</t>
  </si>
  <si>
    <t>Carson</t>
  </si>
  <si>
    <t>Aboubacar</t>
  </si>
  <si>
    <t>Claudio</t>
  </si>
  <si>
    <t>Tyla</t>
  </si>
  <si>
    <t>Donnie</t>
  </si>
  <si>
    <t>Kouyate</t>
  </si>
  <si>
    <t>Rakiyah</t>
  </si>
  <si>
    <t>Tyrell</t>
  </si>
  <si>
    <t>Zari</t>
  </si>
  <si>
    <t>Patsy</t>
  </si>
  <si>
    <t>Waseem</t>
  </si>
  <si>
    <t>Frantonya</t>
  </si>
  <si>
    <t>Lilian</t>
  </si>
  <si>
    <t>LaKeisha</t>
  </si>
  <si>
    <t>Naseeba</t>
  </si>
  <si>
    <t>Brianna</t>
  </si>
  <si>
    <t>Jenine</t>
  </si>
  <si>
    <t>Cecilio</t>
  </si>
  <si>
    <t>Marita</t>
  </si>
  <si>
    <t>Ziaul</t>
  </si>
  <si>
    <t>Sherma</t>
  </si>
  <si>
    <t>Jovanna</t>
  </si>
  <si>
    <t>Aline</t>
  </si>
  <si>
    <t>Zorro</t>
  </si>
  <si>
    <t>Cherie</t>
  </si>
  <si>
    <t>Marjeth</t>
  </si>
  <si>
    <t>Osei</t>
  </si>
  <si>
    <t>Adia</t>
  </si>
  <si>
    <t>Tyquanna</t>
  </si>
  <si>
    <t>Banetta</t>
  </si>
  <si>
    <t>Ewan</t>
  </si>
  <si>
    <t>Angelines</t>
  </si>
  <si>
    <t>Kristen</t>
  </si>
  <si>
    <t>Lawanda</t>
  </si>
  <si>
    <t>Lenora</t>
  </si>
  <si>
    <t>Zhiming</t>
  </si>
  <si>
    <t>Yajuan</t>
  </si>
  <si>
    <t>Lanet</t>
  </si>
  <si>
    <t>Sangeeta</t>
  </si>
  <si>
    <t>Shelarys</t>
  </si>
  <si>
    <t>Zakkiyah</t>
  </si>
  <si>
    <t>Elvita</t>
  </si>
  <si>
    <t>Janine</t>
  </si>
  <si>
    <t>Marc</t>
  </si>
  <si>
    <t>Donisha</t>
  </si>
  <si>
    <t>Shafi</t>
  </si>
  <si>
    <t>Juliet</t>
  </si>
  <si>
    <t>Abou</t>
  </si>
  <si>
    <t>Eartha</t>
  </si>
  <si>
    <t>Evarist</t>
  </si>
  <si>
    <t>Roselaine</t>
  </si>
  <si>
    <t>Sheba</t>
  </si>
  <si>
    <t>Aliah</t>
  </si>
  <si>
    <t>Monesha</t>
  </si>
  <si>
    <t>Trisha</t>
  </si>
  <si>
    <t>Benita</t>
  </si>
  <si>
    <t>Yelisa</t>
  </si>
  <si>
    <t>Cormac</t>
  </si>
  <si>
    <t>Mariangely</t>
  </si>
  <si>
    <t>Anacelia</t>
  </si>
  <si>
    <t>Teka</t>
  </si>
  <si>
    <t>Egypt</t>
  </si>
  <si>
    <t>Yoselys</t>
  </si>
  <si>
    <t>Anila</t>
  </si>
  <si>
    <t>Javanah</t>
  </si>
  <si>
    <t>Erlene</t>
  </si>
  <si>
    <t>Raju</t>
  </si>
  <si>
    <t>Conchita</t>
  </si>
  <si>
    <t>Sabina</t>
  </si>
  <si>
    <t>Vavrasad</t>
  </si>
  <si>
    <t>Rufelle</t>
  </si>
  <si>
    <t>Mirtha</t>
  </si>
  <si>
    <t>Cavita</t>
  </si>
  <si>
    <t>Brandy</t>
  </si>
  <si>
    <t>Yanina</t>
  </si>
  <si>
    <t>Thoraia</t>
  </si>
  <si>
    <t>Yudy</t>
  </si>
  <si>
    <t>Oumou</t>
  </si>
  <si>
    <t>Gennaro</t>
  </si>
  <si>
    <t>Atiya</t>
  </si>
  <si>
    <t>Tiney</t>
  </si>
  <si>
    <t>Tunesia</t>
  </si>
  <si>
    <t>Fol</t>
  </si>
  <si>
    <t>Monalisa</t>
  </si>
  <si>
    <t>Gildania</t>
  </si>
  <si>
    <t>Diedra</t>
  </si>
  <si>
    <t>Derrell</t>
  </si>
  <si>
    <t>Chanavia</t>
  </si>
  <si>
    <t>Corrie</t>
  </si>
  <si>
    <t>Latifa</t>
  </si>
  <si>
    <t>Saroya</t>
  </si>
  <si>
    <t>Diedre</t>
  </si>
  <si>
    <t>Daquan</t>
  </si>
  <si>
    <t>Mareme</t>
  </si>
  <si>
    <t>Ayman</t>
  </si>
  <si>
    <t>Axel</t>
  </si>
  <si>
    <t>Xiaomeng</t>
  </si>
  <si>
    <t>Jamiylah</t>
  </si>
  <si>
    <t>Latishia</t>
  </si>
  <si>
    <t>Clancy</t>
  </si>
  <si>
    <t>Austin</t>
  </si>
  <si>
    <t>Malana</t>
  </si>
  <si>
    <t>Cleveland</t>
  </si>
  <si>
    <t>Chaya</t>
  </si>
  <si>
    <t>Muhammad</t>
  </si>
  <si>
    <t>Beenu</t>
  </si>
  <si>
    <t>Iquo</t>
  </si>
  <si>
    <t>Jamel</t>
  </si>
  <si>
    <t>Soledad</t>
  </si>
  <si>
    <t>Mitra</t>
  </si>
  <si>
    <t>Vetora</t>
  </si>
  <si>
    <t>Mbosowo</t>
  </si>
  <si>
    <t>Romeyra</t>
  </si>
  <si>
    <t>Kyle</t>
  </si>
  <si>
    <t>Branden</t>
  </si>
  <si>
    <t>Quiante</t>
  </si>
  <si>
    <t>Marceau</t>
  </si>
  <si>
    <t>Maxim</t>
  </si>
  <si>
    <t>Yanehysi</t>
  </si>
  <si>
    <t>Yanett</t>
  </si>
  <si>
    <t>Lois</t>
  </si>
  <si>
    <t>Patria</t>
  </si>
  <si>
    <t>Adara</t>
  </si>
  <si>
    <t>Meaghan</t>
  </si>
  <si>
    <t>Maryeling</t>
  </si>
  <si>
    <t>Bernard</t>
  </si>
  <si>
    <t>Conrad</t>
  </si>
  <si>
    <t>Odetta</t>
  </si>
  <si>
    <t>Rowland</t>
  </si>
  <si>
    <t>Zuelnoun</t>
  </si>
  <si>
    <t>Shouket</t>
  </si>
  <si>
    <t>Johnlery</t>
  </si>
  <si>
    <t>Shivvon</t>
  </si>
  <si>
    <t>Jourdan</t>
  </si>
  <si>
    <t>Ziad</t>
  </si>
  <si>
    <t>Hermilyn</t>
  </si>
  <si>
    <t>Stefano</t>
  </si>
  <si>
    <t>Metania</t>
  </si>
  <si>
    <t>Pursotham</t>
  </si>
  <si>
    <t>Suzie</t>
  </si>
  <si>
    <t>Mikhail</t>
  </si>
  <si>
    <t>Mona</t>
  </si>
  <si>
    <t>Taleek</t>
  </si>
  <si>
    <t>Ephemie</t>
  </si>
  <si>
    <t>Belkise</t>
  </si>
  <si>
    <t>Rose Marie</t>
  </si>
  <si>
    <t>Khader</t>
  </si>
  <si>
    <t>Redoneva</t>
  </si>
  <si>
    <t>Lan</t>
  </si>
  <si>
    <t>Renison</t>
  </si>
  <si>
    <t>Otasowie</t>
  </si>
  <si>
    <t>Melchezedek</t>
  </si>
  <si>
    <t>Amenata</t>
  </si>
  <si>
    <t>Selena</t>
  </si>
  <si>
    <t>Nenita</t>
  </si>
  <si>
    <t>Salenta</t>
  </si>
  <si>
    <t>Yuriy</t>
  </si>
  <si>
    <t>Oswaldo</t>
  </si>
  <si>
    <t>Keneeda</t>
  </si>
  <si>
    <t>Nedra</t>
  </si>
  <si>
    <t>Henriette</t>
  </si>
  <si>
    <t>Xavier</t>
  </si>
  <si>
    <t>Atisha</t>
  </si>
  <si>
    <t>Lucero</t>
  </si>
  <si>
    <t>Cruz</t>
  </si>
  <si>
    <t>Marie Rose</t>
  </si>
  <si>
    <t>Iftikhar</t>
  </si>
  <si>
    <t>Villanzaca</t>
  </si>
  <si>
    <t>Kaydian</t>
  </si>
  <si>
    <t>Yu</t>
  </si>
  <si>
    <t>Compton</t>
  </si>
  <si>
    <t>Herminia</t>
  </si>
  <si>
    <t>Maxamil</t>
  </si>
  <si>
    <t>Edante</t>
  </si>
  <si>
    <t>Franscisco</t>
  </si>
  <si>
    <t>Cathleen</t>
  </si>
  <si>
    <t>Ayodel</t>
  </si>
  <si>
    <t>Beth</t>
  </si>
  <si>
    <t>Shema</t>
  </si>
  <si>
    <t>Yi</t>
  </si>
  <si>
    <t>Juleen</t>
  </si>
  <si>
    <t>Hazel-Ann</t>
  </si>
  <si>
    <t>Terra</t>
  </si>
  <si>
    <t>Makuan</t>
  </si>
  <si>
    <t>Calab</t>
  </si>
  <si>
    <t>Francella</t>
  </si>
  <si>
    <t>Devona</t>
  </si>
  <si>
    <t>Riva</t>
  </si>
  <si>
    <t>Young</t>
  </si>
  <si>
    <t>Lalla</t>
  </si>
  <si>
    <t>Edilma</t>
  </si>
  <si>
    <t>Charimar</t>
  </si>
  <si>
    <t>Dareen</t>
  </si>
  <si>
    <t>Anais</t>
  </si>
  <si>
    <t>Adjante</t>
  </si>
  <si>
    <t>Heeja</t>
  </si>
  <si>
    <t>Dijon</t>
  </si>
  <si>
    <t>Grisel</t>
  </si>
  <si>
    <t>Levaughn</t>
  </si>
  <si>
    <t>Ellexcion</t>
  </si>
  <si>
    <t>Semantha</t>
  </si>
  <si>
    <t>Nilda</t>
  </si>
  <si>
    <t>Monir</t>
  </si>
  <si>
    <t>Argenis</t>
  </si>
  <si>
    <t>Loriana</t>
  </si>
  <si>
    <t>Katebea</t>
  </si>
  <si>
    <t>Petal</t>
  </si>
  <si>
    <t>Helga</t>
  </si>
  <si>
    <t>Ash</t>
  </si>
  <si>
    <t>Semone</t>
  </si>
  <si>
    <t>Bridges</t>
  </si>
  <si>
    <t>Danraj</t>
  </si>
  <si>
    <t>Geri</t>
  </si>
  <si>
    <t>Abisola</t>
  </si>
  <si>
    <t>Keshawna</t>
  </si>
  <si>
    <t>Fatumata</t>
  </si>
  <si>
    <t>Danuzia</t>
  </si>
  <si>
    <t>Yonette</t>
  </si>
  <si>
    <t>Deana</t>
  </si>
  <si>
    <t>Dallan</t>
  </si>
  <si>
    <t>Yudalka</t>
  </si>
  <si>
    <t>Khadiga</t>
  </si>
  <si>
    <t>Natacha</t>
  </si>
  <si>
    <t>Cory</t>
  </si>
  <si>
    <t>Sarojanie</t>
  </si>
  <si>
    <t>Zeraniah</t>
  </si>
  <si>
    <t>Mikea</t>
  </si>
  <si>
    <t>Mazalo</t>
  </si>
  <si>
    <t>Nando</t>
  </si>
  <si>
    <t>Yoalia</t>
  </si>
  <si>
    <t>Gueye</t>
  </si>
  <si>
    <t>Charity</t>
  </si>
  <si>
    <t>Rosalyn</t>
  </si>
  <si>
    <t>Jaycee</t>
  </si>
  <si>
    <t>Jessie</t>
  </si>
  <si>
    <t>Yessenia</t>
  </si>
  <si>
    <t>Kashif</t>
  </si>
  <si>
    <t>Zsuzsanna</t>
  </si>
  <si>
    <t>Marisela</t>
  </si>
  <si>
    <t>Zhijian</t>
  </si>
  <si>
    <t>Dalia Jaqueline</t>
  </si>
  <si>
    <t>Aizars</t>
  </si>
  <si>
    <t>Ashlee</t>
  </si>
  <si>
    <t>Winfield</t>
  </si>
  <si>
    <t>Denis</t>
  </si>
  <si>
    <t>Jackelin</t>
  </si>
  <si>
    <t>Maritsa</t>
  </si>
  <si>
    <t>Nelsy</t>
  </si>
  <si>
    <t>Darneice</t>
  </si>
  <si>
    <t>Kadidiatou</t>
  </si>
  <si>
    <t>Candace</t>
  </si>
  <si>
    <t>Mari</t>
  </si>
  <si>
    <t>Dee</t>
  </si>
  <si>
    <t>Lotus</t>
  </si>
  <si>
    <t>Brunella</t>
  </si>
  <si>
    <t>Toby</t>
  </si>
  <si>
    <t>Khaloud</t>
  </si>
  <si>
    <t>Ladora</t>
  </si>
  <si>
    <t>Thelshea</t>
  </si>
  <si>
    <t>Luciana</t>
  </si>
  <si>
    <t>Lanee</t>
  </si>
  <si>
    <t>Darya</t>
  </si>
  <si>
    <t>Melvina</t>
  </si>
  <si>
    <t>Esha</t>
  </si>
  <si>
    <t>Daijuan</t>
  </si>
  <si>
    <t>Halidou</t>
  </si>
  <si>
    <t>Patricia Ann</t>
  </si>
  <si>
    <t>Elizet</t>
  </si>
  <si>
    <t>Alisalda</t>
  </si>
  <si>
    <t>Douglas</t>
  </si>
  <si>
    <t>Sankar</t>
  </si>
  <si>
    <t>Leevora</t>
  </si>
  <si>
    <t>Farhan</t>
  </si>
  <si>
    <t>Dongqing</t>
  </si>
  <si>
    <t>Nadisha</t>
  </si>
  <si>
    <t>Goldie</t>
  </si>
  <si>
    <t>Massa</t>
  </si>
  <si>
    <t>Penny</t>
  </si>
  <si>
    <t>Clarice</t>
  </si>
  <si>
    <t>Philimina</t>
  </si>
  <si>
    <t>Ayaka</t>
  </si>
  <si>
    <t>Cali</t>
  </si>
  <si>
    <t>Gezim</t>
  </si>
  <si>
    <t>Ajulet</t>
  </si>
  <si>
    <t>Kuabes</t>
  </si>
  <si>
    <t>Afua</t>
  </si>
  <si>
    <t>Nandanie</t>
  </si>
  <si>
    <t>Sachet</t>
  </si>
  <si>
    <t>Dulcelina</t>
  </si>
  <si>
    <t>Dahlia</t>
  </si>
  <si>
    <t>Cherell</t>
  </si>
  <si>
    <t>Kinshasa</t>
  </si>
  <si>
    <t>Garth</t>
  </si>
  <si>
    <t>Jesse</t>
  </si>
  <si>
    <t>Anyel</t>
  </si>
  <si>
    <t>Kenza</t>
  </si>
  <si>
    <t>Ysmenia</t>
  </si>
  <si>
    <t>Atashia</t>
  </si>
  <si>
    <t>NFL</t>
  </si>
  <si>
    <t>Sonya</t>
  </si>
  <si>
    <t>Waldemar</t>
  </si>
  <si>
    <t>Dioris</t>
  </si>
  <si>
    <t>Tajia</t>
  </si>
  <si>
    <t>Maya</t>
  </si>
  <si>
    <t>WHITNEY</t>
  </si>
  <si>
    <t>Marissa</t>
  </si>
  <si>
    <t>Ramiro</t>
  </si>
  <si>
    <t>Tai</t>
  </si>
  <si>
    <t>Giovani</t>
  </si>
  <si>
    <t>Arquimidies</t>
  </si>
  <si>
    <t>Damaras</t>
  </si>
  <si>
    <t>Katia</t>
  </si>
  <si>
    <t>Yamie</t>
  </si>
  <si>
    <t>Kwabwo</t>
  </si>
  <si>
    <t>Aurelio</t>
  </si>
  <si>
    <t>Lucindia</t>
  </si>
  <si>
    <t>Milly</t>
  </si>
  <si>
    <t>Hasha</t>
  </si>
  <si>
    <t>Tomische</t>
  </si>
  <si>
    <t>Nadira</t>
  </si>
  <si>
    <t>Dain</t>
  </si>
  <si>
    <t>Reinaliz</t>
  </si>
  <si>
    <t>Cathy</t>
  </si>
  <si>
    <t>Ofidia</t>
  </si>
  <si>
    <t>Xiao Hui</t>
  </si>
  <si>
    <t>Uguis</t>
  </si>
  <si>
    <t>Shu Tim</t>
  </si>
  <si>
    <t>Angelika</t>
  </si>
  <si>
    <t>Clive</t>
  </si>
  <si>
    <t>Elliott</t>
  </si>
  <si>
    <t>Evangeline</t>
  </si>
  <si>
    <t>​Robert</t>
  </si>
  <si>
    <t>Yolmarys</t>
  </si>
  <si>
    <t>Kenute</t>
  </si>
  <si>
    <t>Hemmer</t>
  </si>
  <si>
    <t>Jacquelynn</t>
  </si>
  <si>
    <t>Romina</t>
  </si>
  <si>
    <t>Bernice</t>
  </si>
  <si>
    <t>Abir</t>
  </si>
  <si>
    <t>Urayoan</t>
  </si>
  <si>
    <t>Dilara</t>
  </si>
  <si>
    <t>Valeria</t>
  </si>
  <si>
    <t>Millicent</t>
  </si>
  <si>
    <t>Khaiz</t>
  </si>
  <si>
    <t>Surujdai</t>
  </si>
  <si>
    <t>Awelda</t>
  </si>
  <si>
    <t>Fernanda</t>
  </si>
  <si>
    <t>Laroi</t>
  </si>
  <si>
    <t>Sabrena</t>
  </si>
  <si>
    <t>Nickcole</t>
  </si>
  <si>
    <t>Jarelle</t>
  </si>
  <si>
    <t>Simone T.</t>
  </si>
  <si>
    <t>Geneva</t>
  </si>
  <si>
    <t>Randolph</t>
  </si>
  <si>
    <t>Diojones</t>
  </si>
  <si>
    <t>Horacio</t>
  </si>
  <si>
    <t>Emvie</t>
  </si>
  <si>
    <t>Efua</t>
  </si>
  <si>
    <t>Tafazzul</t>
  </si>
  <si>
    <t>Esofina</t>
  </si>
  <si>
    <t>Tammi</t>
  </si>
  <si>
    <t>Sylvester</t>
  </si>
  <si>
    <t>Moutakilou</t>
  </si>
  <si>
    <t>Cecila</t>
  </si>
  <si>
    <t>Shanic</t>
  </si>
  <si>
    <t>Braulia</t>
  </si>
  <si>
    <t>Zira</t>
  </si>
  <si>
    <t>Early</t>
  </si>
  <si>
    <t>Aaliyah</t>
  </si>
  <si>
    <t>Ruddy</t>
  </si>
  <si>
    <t>Lila</t>
  </si>
  <si>
    <t>Heba</t>
  </si>
  <si>
    <t>Orma</t>
  </si>
  <si>
    <t>Jehiah</t>
  </si>
  <si>
    <t>Nataliya</t>
  </si>
  <si>
    <t>Nasgina</t>
  </si>
  <si>
    <t>Ivonne</t>
  </si>
  <si>
    <t>Gelean</t>
  </si>
  <si>
    <t>Edwardo</t>
  </si>
  <si>
    <t>Indhira</t>
  </si>
  <si>
    <t>Lassani</t>
  </si>
  <si>
    <t>Felia</t>
  </si>
  <si>
    <t>Lovelle</t>
  </si>
  <si>
    <t>Shasha</t>
  </si>
  <si>
    <t>LOURDES</t>
  </si>
  <si>
    <t>Sherine</t>
  </si>
  <si>
    <t>Wilson Ramon</t>
  </si>
  <si>
    <t>Faye</t>
  </si>
  <si>
    <t>Taffi</t>
  </si>
  <si>
    <t>Ayana</t>
  </si>
  <si>
    <t>Shakeena</t>
  </si>
  <si>
    <t>Tandie</t>
  </si>
  <si>
    <t>Adelaida</t>
  </si>
  <si>
    <t>Coanne</t>
  </si>
  <si>
    <t>MaryMar</t>
  </si>
  <si>
    <t>Lamont</t>
  </si>
  <si>
    <t>Matou</t>
  </si>
  <si>
    <t>Pernell</t>
  </si>
  <si>
    <t>Shpendi</t>
  </si>
  <si>
    <t>Cestelia</t>
  </si>
  <si>
    <t>TEWOGBOLA</t>
  </si>
  <si>
    <t>Trilbie</t>
  </si>
  <si>
    <t>Vertell</t>
  </si>
  <si>
    <t>Bridget</t>
  </si>
  <si>
    <t>Aleksandra</t>
  </si>
  <si>
    <t>Towpee</t>
  </si>
  <si>
    <t>Jazzmine</t>
  </si>
  <si>
    <t>Nezlyn</t>
  </si>
  <si>
    <t>Mirna</t>
  </si>
  <si>
    <t>Lilybeth</t>
  </si>
  <si>
    <t>SHANELL</t>
  </si>
  <si>
    <t>Kyemia</t>
  </si>
  <si>
    <t>Cherilyn</t>
  </si>
  <si>
    <t>Ruthann</t>
  </si>
  <si>
    <t>Dawna</t>
  </si>
  <si>
    <t>You Min</t>
  </si>
  <si>
    <t>Lizzane</t>
  </si>
  <si>
    <t>Hasanah</t>
  </si>
  <si>
    <t>Arline</t>
  </si>
  <si>
    <t>Cadeem</t>
  </si>
  <si>
    <t>Ermilo</t>
  </si>
  <si>
    <t>Dhaiana</t>
  </si>
  <si>
    <t>Kaileah</t>
  </si>
  <si>
    <t>Nouel</t>
  </si>
  <si>
    <t>Nemesio</t>
  </si>
  <si>
    <t>Diantha</t>
  </si>
  <si>
    <t>Valerine</t>
  </si>
  <si>
    <t>Blu</t>
  </si>
  <si>
    <t>Kamila</t>
  </si>
  <si>
    <t>Ondina</t>
  </si>
  <si>
    <t>Ilmi</t>
  </si>
  <si>
    <t>Keshaun</t>
  </si>
  <si>
    <t>Mireveline</t>
  </si>
  <si>
    <t>Varerie</t>
  </si>
  <si>
    <t>Lavinia</t>
  </si>
  <si>
    <t>Haleem</t>
  </si>
  <si>
    <t>Geoffrey</t>
  </si>
  <si>
    <t>Akil</t>
  </si>
  <si>
    <t>JENNIFER</t>
  </si>
  <si>
    <t>Monte</t>
  </si>
  <si>
    <t>Tashawna</t>
  </si>
  <si>
    <t>Loaiza</t>
  </si>
  <si>
    <t>Sheniqua</t>
  </si>
  <si>
    <t>Adera</t>
  </si>
  <si>
    <t>Daouda</t>
  </si>
  <si>
    <t>GENITA</t>
  </si>
  <si>
    <t>Tiyana</t>
  </si>
  <si>
    <t>Enaya</t>
  </si>
  <si>
    <t>Lori-Ann</t>
  </si>
  <si>
    <t>Darrin</t>
  </si>
  <si>
    <t>Latiefa</t>
  </si>
  <si>
    <t>Tomika</t>
  </si>
  <si>
    <t>Frankie</t>
  </si>
  <si>
    <t>Karisma</t>
  </si>
  <si>
    <t>Charise</t>
  </si>
  <si>
    <t>Keriesa</t>
  </si>
  <si>
    <t>Shamima</t>
  </si>
  <si>
    <t>Amos</t>
  </si>
  <si>
    <t>Virner</t>
  </si>
  <si>
    <t>Collette</t>
  </si>
  <si>
    <t>Arcadia</t>
  </si>
  <si>
    <t>Freddy</t>
  </si>
  <si>
    <t>La-Dawn</t>
  </si>
  <si>
    <t>Tandeka</t>
  </si>
  <si>
    <t>Chungsoo</t>
  </si>
  <si>
    <t>Hannah</t>
  </si>
  <si>
    <t>Nikcole</t>
  </si>
  <si>
    <t>Kyianna</t>
  </si>
  <si>
    <t>Carine</t>
  </si>
  <si>
    <t>Lateema</t>
  </si>
  <si>
    <t>Jezena</t>
  </si>
  <si>
    <t>You Ying</t>
  </si>
  <si>
    <t>Zachary</t>
  </si>
  <si>
    <t>Kailey</t>
  </si>
  <si>
    <t>Sherika</t>
  </si>
  <si>
    <t>Derrickar</t>
  </si>
  <si>
    <t>Nga</t>
  </si>
  <si>
    <t>Scears</t>
  </si>
  <si>
    <t>Test</t>
  </si>
  <si>
    <t>Assel</t>
  </si>
  <si>
    <t>Sheryl</t>
  </si>
  <si>
    <t>Viela</t>
  </si>
  <si>
    <t>Marlette</t>
  </si>
  <si>
    <t>Rosalina</t>
  </si>
  <si>
    <t>Tyrice</t>
  </si>
  <si>
    <t>Earnest</t>
  </si>
  <si>
    <t>Charaya</t>
  </si>
  <si>
    <t>Kwame</t>
  </si>
  <si>
    <t>Choi Haug</t>
  </si>
  <si>
    <t>Carlotta</t>
  </si>
  <si>
    <t>Ytalia</t>
  </si>
  <si>
    <t>Nolma</t>
  </si>
  <si>
    <t>Peace</t>
  </si>
  <si>
    <t>Inocencio</t>
  </si>
  <si>
    <t>Haidy</t>
  </si>
  <si>
    <t>elizabeth</t>
  </si>
  <si>
    <t>Brigit</t>
  </si>
  <si>
    <t>DEBRA</t>
  </si>
  <si>
    <t>Havelet</t>
  </si>
  <si>
    <t>Woodiana</t>
  </si>
  <si>
    <t>Stalyce</t>
  </si>
  <si>
    <t>Kia</t>
  </si>
  <si>
    <t>Yafrigi</t>
  </si>
  <si>
    <t>Evan</t>
  </si>
  <si>
    <t>Eleodora</t>
  </si>
  <si>
    <t>Shamena</t>
  </si>
  <si>
    <t>Young Tae</t>
  </si>
  <si>
    <t>Tye</t>
  </si>
  <si>
    <t>Tulip Lamone</t>
  </si>
  <si>
    <t>Henny</t>
  </si>
  <si>
    <t>JENNY</t>
  </si>
  <si>
    <t>Ona</t>
  </si>
  <si>
    <t>Krystine</t>
  </si>
  <si>
    <t>Chimene</t>
  </si>
  <si>
    <t>Oliva</t>
  </si>
  <si>
    <t>TAWANNA</t>
  </si>
  <si>
    <t>Grey</t>
  </si>
  <si>
    <t>Avi</t>
  </si>
  <si>
    <t>Carneal</t>
  </si>
  <si>
    <t>Curline</t>
  </si>
  <si>
    <t>Akheem</t>
  </si>
  <si>
    <t>Sabur</t>
  </si>
  <si>
    <t>LaToya</t>
  </si>
  <si>
    <t>Alvaro</t>
  </si>
  <si>
    <t>Josue</t>
  </si>
  <si>
    <t>Cairong</t>
  </si>
  <si>
    <t>Moshe</t>
  </si>
  <si>
    <t>LaShey</t>
  </si>
  <si>
    <t>Candida</t>
  </si>
  <si>
    <t>Ingrit</t>
  </si>
  <si>
    <t>Cynteera</t>
  </si>
  <si>
    <t>Marien</t>
  </si>
  <si>
    <t>Pauline</t>
  </si>
  <si>
    <t>Malasia</t>
  </si>
  <si>
    <t>Malvia</t>
  </si>
  <si>
    <t>Moath</t>
  </si>
  <si>
    <t>Debora</t>
  </si>
  <si>
    <t>Ricki</t>
  </si>
  <si>
    <t>Warleidys</t>
  </si>
  <si>
    <t>Manuelita</t>
  </si>
  <si>
    <t>Jacob</t>
  </si>
  <si>
    <t>Auralina</t>
  </si>
  <si>
    <t>Barry</t>
  </si>
  <si>
    <t>Fariha</t>
  </si>
  <si>
    <t>Anthia</t>
  </si>
  <si>
    <t>Angellica</t>
  </si>
  <si>
    <t>Shaida</t>
  </si>
  <si>
    <t>Donicia</t>
  </si>
  <si>
    <t>Gabrielle</t>
  </si>
  <si>
    <t>Gayla</t>
  </si>
  <si>
    <t>Marea</t>
  </si>
  <si>
    <t>Akemi</t>
  </si>
  <si>
    <t>Krystyna</t>
  </si>
  <si>
    <t>Latice</t>
  </si>
  <si>
    <t>Souleymane</t>
  </si>
  <si>
    <t>Mandy</t>
  </si>
  <si>
    <t>Fitzbevan</t>
  </si>
  <si>
    <t>Sarit</t>
  </si>
  <si>
    <t>Yukie</t>
  </si>
  <si>
    <t>Dane</t>
  </si>
  <si>
    <t>Freeman</t>
  </si>
  <si>
    <t>Fredman</t>
  </si>
  <si>
    <t>Ashish</t>
  </si>
  <si>
    <t>Pearlie</t>
  </si>
  <si>
    <t>Efrat</t>
  </si>
  <si>
    <t>Armida</t>
  </si>
  <si>
    <t>Akhtar</t>
  </si>
  <si>
    <t>Adabelba</t>
  </si>
  <si>
    <t>Kamani</t>
  </si>
  <si>
    <t>Romualda</t>
  </si>
  <si>
    <t>Corina</t>
  </si>
  <si>
    <t>Hilkia</t>
  </si>
  <si>
    <t>Atla</t>
  </si>
  <si>
    <t>Estarlin</t>
  </si>
  <si>
    <t>Hipolito</t>
  </si>
  <si>
    <t>Clarissa</t>
  </si>
  <si>
    <t>Arminda</t>
  </si>
  <si>
    <t>DAISY</t>
  </si>
  <si>
    <t>Jorel</t>
  </si>
  <si>
    <t>Lakysha</t>
  </si>
  <si>
    <t>Wildlyne</t>
  </si>
  <si>
    <t>Janicia</t>
  </si>
  <si>
    <t>Pechla</t>
  </si>
  <si>
    <t>Marquise</t>
  </si>
  <si>
    <t>Johnson</t>
  </si>
  <si>
    <t>Bernise</t>
  </si>
  <si>
    <t>Linessa</t>
  </si>
  <si>
    <t>Bukola</t>
  </si>
  <si>
    <t>virgen</t>
  </si>
  <si>
    <t>Dionicio</t>
  </si>
  <si>
    <t>Adiel</t>
  </si>
  <si>
    <t>Preye</t>
  </si>
  <si>
    <t>Halima</t>
  </si>
  <si>
    <t>Pamella</t>
  </si>
  <si>
    <t>Bernadale</t>
  </si>
  <si>
    <t>Fela</t>
  </si>
  <si>
    <t>Fior</t>
  </si>
  <si>
    <t>Kuntie</t>
  </si>
  <si>
    <t>Shannarra</t>
  </si>
  <si>
    <t>Stefanie</t>
  </si>
  <si>
    <t>Miklos</t>
  </si>
  <si>
    <t>Stevenson</t>
  </si>
  <si>
    <t>Anderson</t>
  </si>
  <si>
    <t>Shaniquewa</t>
  </si>
  <si>
    <t>Natividad</t>
  </si>
  <si>
    <t>Adaliz</t>
  </si>
  <si>
    <t>Meliton</t>
  </si>
  <si>
    <t>Yiselt</t>
  </si>
  <si>
    <t>Puters</t>
  </si>
  <si>
    <t>Aileen</t>
  </si>
  <si>
    <t>Charmine</t>
  </si>
  <si>
    <t>Kulsuma</t>
  </si>
  <si>
    <t>Elonis</t>
  </si>
  <si>
    <t>Olavia</t>
  </si>
  <si>
    <t>Ytalina</t>
  </si>
  <si>
    <t>Jenaire</t>
  </si>
  <si>
    <t>Jaimie</t>
  </si>
  <si>
    <t>Lily</t>
  </si>
  <si>
    <t>Gilbert</t>
  </si>
  <si>
    <t>Zishe</t>
  </si>
  <si>
    <t>Maurenee</t>
  </si>
  <si>
    <t>Luther</t>
  </si>
  <si>
    <t>Walid</t>
  </si>
  <si>
    <t>Blake</t>
  </si>
  <si>
    <t>Cortez</t>
  </si>
  <si>
    <t>Elder</t>
  </si>
  <si>
    <t>Hugh</t>
  </si>
  <si>
    <t>Lissa</t>
  </si>
  <si>
    <t>Erwin</t>
  </si>
  <si>
    <t>Shameika</t>
  </si>
  <si>
    <t>Scarlett</t>
  </si>
  <si>
    <t>Tesha</t>
  </si>
  <si>
    <t>Kelvin</t>
  </si>
  <si>
    <t>Makale</t>
  </si>
  <si>
    <t>Quinchi</t>
  </si>
  <si>
    <t>Linett</t>
  </si>
  <si>
    <t>Terrall</t>
  </si>
  <si>
    <t>Karah</t>
  </si>
  <si>
    <t>Kalven</t>
  </si>
  <si>
    <t>Magino</t>
  </si>
  <si>
    <t>Bart</t>
  </si>
  <si>
    <t>Marcel</t>
  </si>
  <si>
    <t>Darlie</t>
  </si>
  <si>
    <t>Saquoya</t>
  </si>
  <si>
    <t>Latesha</t>
  </si>
  <si>
    <t>Kenton</t>
  </si>
  <si>
    <t>Myahdellese</t>
  </si>
  <si>
    <t>Giacinta</t>
  </si>
  <si>
    <t>Jameson</t>
  </si>
  <si>
    <t>Harrison</t>
  </si>
  <si>
    <t>Hibbert</t>
  </si>
  <si>
    <t>De Jesus</t>
  </si>
  <si>
    <t>Horne</t>
  </si>
  <si>
    <t>Retamar</t>
  </si>
  <si>
    <t>Hernandez</t>
  </si>
  <si>
    <t>Robinson</t>
  </si>
  <si>
    <t>Hydara</t>
  </si>
  <si>
    <t>Minaya</t>
  </si>
  <si>
    <t>Almonte</t>
  </si>
  <si>
    <t>Pope</t>
  </si>
  <si>
    <t>Gladden</t>
  </si>
  <si>
    <t>SOSA</t>
  </si>
  <si>
    <t>Smith</t>
  </si>
  <si>
    <t>Nieves</t>
  </si>
  <si>
    <t>Hines</t>
  </si>
  <si>
    <t>Simmons</t>
  </si>
  <si>
    <t>Dwyer</t>
  </si>
  <si>
    <t>Steele</t>
  </si>
  <si>
    <t>Ginel</t>
  </si>
  <si>
    <t>Sequeira</t>
  </si>
  <si>
    <t>Vargas</t>
  </si>
  <si>
    <t>Quinones</t>
  </si>
  <si>
    <t>Barksdale</t>
  </si>
  <si>
    <t>Delgado</t>
  </si>
  <si>
    <t>Millan</t>
  </si>
  <si>
    <t>Gado</t>
  </si>
  <si>
    <t>Lopez</t>
  </si>
  <si>
    <t>Abdo</t>
  </si>
  <si>
    <t>Caquias Ramos</t>
  </si>
  <si>
    <t>Torres</t>
  </si>
  <si>
    <t>Stanovova</t>
  </si>
  <si>
    <t>Hubbard</t>
  </si>
  <si>
    <t>DeLeon Batista</t>
  </si>
  <si>
    <t>Heredia</t>
  </si>
  <si>
    <t>Reynoso Garcia</t>
  </si>
  <si>
    <t>Mercado</t>
  </si>
  <si>
    <t>Best</t>
  </si>
  <si>
    <t>Boyer</t>
  </si>
  <si>
    <t>Valentin</t>
  </si>
  <si>
    <t>Estevez</t>
  </si>
  <si>
    <t>Mawa</t>
  </si>
  <si>
    <t>Ward</t>
  </si>
  <si>
    <t>Espino</t>
  </si>
  <si>
    <t>Sulton</t>
  </si>
  <si>
    <t>Reynolds</t>
  </si>
  <si>
    <t>Barrow</t>
  </si>
  <si>
    <t>Grogan</t>
  </si>
  <si>
    <t>Rivera</t>
  </si>
  <si>
    <t>Carmona</t>
  </si>
  <si>
    <t>Frere</t>
  </si>
  <si>
    <t>Fakir</t>
  </si>
  <si>
    <t>Morales</t>
  </si>
  <si>
    <t>Salazar</t>
  </si>
  <si>
    <t>Vassell</t>
  </si>
  <si>
    <t>Dejesus</t>
  </si>
  <si>
    <t>Carmichael</t>
  </si>
  <si>
    <t>Floyd</t>
  </si>
  <si>
    <t>Tillery</t>
  </si>
  <si>
    <t>Bain</t>
  </si>
  <si>
    <t>Alvira</t>
  </si>
  <si>
    <t>Villas</t>
  </si>
  <si>
    <t>Giannelli</t>
  </si>
  <si>
    <t>Phillips</t>
  </si>
  <si>
    <t>Roseboro</t>
  </si>
  <si>
    <t>Diaz</t>
  </si>
  <si>
    <t>Jean-Simon</t>
  </si>
  <si>
    <t>Sanguinetti</t>
  </si>
  <si>
    <t>Walker</t>
  </si>
  <si>
    <t>Atkins-Jones</t>
  </si>
  <si>
    <t>Figueroa</t>
  </si>
  <si>
    <t>Salahuddin</t>
  </si>
  <si>
    <t>Bermeo</t>
  </si>
  <si>
    <t>Wilkins</t>
  </si>
  <si>
    <t>Rodriguez</t>
  </si>
  <si>
    <t>Sinishtaj</t>
  </si>
  <si>
    <t>Mortimer</t>
  </si>
  <si>
    <t>Taluy</t>
  </si>
  <si>
    <t>Morla de Agosto</t>
  </si>
  <si>
    <t>Siri</t>
  </si>
  <si>
    <t>Saladin</t>
  </si>
  <si>
    <t>Li</t>
  </si>
  <si>
    <t>Varrone</t>
  </si>
  <si>
    <t>Imeh</t>
  </si>
  <si>
    <t>Hart</t>
  </si>
  <si>
    <t>Anez</t>
  </si>
  <si>
    <t>Espinoza</t>
  </si>
  <si>
    <t>Orse</t>
  </si>
  <si>
    <t>Baron</t>
  </si>
  <si>
    <t>Stranahan</t>
  </si>
  <si>
    <t>Ham</t>
  </si>
  <si>
    <t>Murray</t>
  </si>
  <si>
    <t>Gibbs</t>
  </si>
  <si>
    <t>Mayard</t>
  </si>
  <si>
    <t>Porter</t>
  </si>
  <si>
    <t>Castillo Abreu</t>
  </si>
  <si>
    <t>Guzman</t>
  </si>
  <si>
    <t>Islam</t>
  </si>
  <si>
    <t>Hussain</t>
  </si>
  <si>
    <t>Klimtsova</t>
  </si>
  <si>
    <t>Soto</t>
  </si>
  <si>
    <t>Arias</t>
  </si>
  <si>
    <t>Desroches</t>
  </si>
  <si>
    <t>Cullen</t>
  </si>
  <si>
    <t>Davis</t>
  </si>
  <si>
    <t>Cook</t>
  </si>
  <si>
    <t>Cramer</t>
  </si>
  <si>
    <t>McDonald</t>
  </si>
  <si>
    <t>Biddle</t>
  </si>
  <si>
    <t>Zeidenberg</t>
  </si>
  <si>
    <t>Lucas</t>
  </si>
  <si>
    <t>Yuan</t>
  </si>
  <si>
    <t>Maldonado</t>
  </si>
  <si>
    <t>Long</t>
  </si>
  <si>
    <t>Marte</t>
  </si>
  <si>
    <t>Crisci</t>
  </si>
  <si>
    <t>Green</t>
  </si>
  <si>
    <t>Herrera</t>
  </si>
  <si>
    <t>Ramirez</t>
  </si>
  <si>
    <t>Bastone</t>
  </si>
  <si>
    <t>Almaguer</t>
  </si>
  <si>
    <t>Balton</t>
  </si>
  <si>
    <t>Threets</t>
  </si>
  <si>
    <t>Warnick</t>
  </si>
  <si>
    <t>Watkins</t>
  </si>
  <si>
    <t>Ystad</t>
  </si>
  <si>
    <t>Martinez</t>
  </si>
  <si>
    <t>Francois</t>
  </si>
  <si>
    <t>Sadler</t>
  </si>
  <si>
    <t>Dunlock</t>
  </si>
  <si>
    <t>Gilliam</t>
  </si>
  <si>
    <t>Naccarato</t>
  </si>
  <si>
    <t>Barnes</t>
  </si>
  <si>
    <t>Valentine</t>
  </si>
  <si>
    <t>Coles</t>
  </si>
  <si>
    <t>Perez</t>
  </si>
  <si>
    <t>Ludd</t>
  </si>
  <si>
    <t>Choy</t>
  </si>
  <si>
    <t>Whitfield</t>
  </si>
  <si>
    <t>Robertson</t>
  </si>
  <si>
    <t>Ohayon</t>
  </si>
  <si>
    <t>Greenwood</t>
  </si>
  <si>
    <t>Corrales</t>
  </si>
  <si>
    <t>Kennard</t>
  </si>
  <si>
    <t>Minena</t>
  </si>
  <si>
    <t>Ferrer</t>
  </si>
  <si>
    <t>Agosto</t>
  </si>
  <si>
    <t>Hall</t>
  </si>
  <si>
    <t>Butler</t>
  </si>
  <si>
    <t>Read</t>
  </si>
  <si>
    <t>Sukhdeo</t>
  </si>
  <si>
    <t>Richardson</t>
  </si>
  <si>
    <t>Pinckney</t>
  </si>
  <si>
    <t>Lozano Soto</t>
  </si>
  <si>
    <t>Koryor</t>
  </si>
  <si>
    <t>Seidman</t>
  </si>
  <si>
    <t>Guerrero</t>
  </si>
  <si>
    <t>Padilla</t>
  </si>
  <si>
    <t>Riodore</t>
  </si>
  <si>
    <t>Andrades</t>
  </si>
  <si>
    <t>Abdel- Khalek</t>
  </si>
  <si>
    <t>Mekki</t>
  </si>
  <si>
    <t>Apostolescu</t>
  </si>
  <si>
    <t>Pellumbaj</t>
  </si>
  <si>
    <t>Costello</t>
  </si>
  <si>
    <t>Simmon</t>
  </si>
  <si>
    <t>Fangnigbe</t>
  </si>
  <si>
    <t>Orozco</t>
  </si>
  <si>
    <t>Miller</t>
  </si>
  <si>
    <t>Hossain</t>
  </si>
  <si>
    <t>Richards</t>
  </si>
  <si>
    <t>Romero</t>
  </si>
  <si>
    <t>Orta</t>
  </si>
  <si>
    <t>Mantilla</t>
  </si>
  <si>
    <t>Cires</t>
  </si>
  <si>
    <t>Palanivel</t>
  </si>
  <si>
    <t>Pina</t>
  </si>
  <si>
    <t>LOVELACE</t>
  </si>
  <si>
    <t>Hare</t>
  </si>
  <si>
    <t>MCKEON</t>
  </si>
  <si>
    <t>Difo</t>
  </si>
  <si>
    <t>Tavarez</t>
  </si>
  <si>
    <t>Burnham</t>
  </si>
  <si>
    <t>Altgibers</t>
  </si>
  <si>
    <t>Wazeerud-Din</t>
  </si>
  <si>
    <t>Adams</t>
  </si>
  <si>
    <t>Solares</t>
  </si>
  <si>
    <t>Hillstrom</t>
  </si>
  <si>
    <t>Laukam</t>
  </si>
  <si>
    <t>DeLeon</t>
  </si>
  <si>
    <t>Wint</t>
  </si>
  <si>
    <t>Castillo-Valencia</t>
  </si>
  <si>
    <t>Vasquez</t>
  </si>
  <si>
    <t>Jones</t>
  </si>
  <si>
    <t>Truick</t>
  </si>
  <si>
    <t>Townes</t>
  </si>
  <si>
    <t>Williams</t>
  </si>
  <si>
    <t>Badillo</t>
  </si>
  <si>
    <t>Payne</t>
  </si>
  <si>
    <t>Matzke</t>
  </si>
  <si>
    <t>Washington</t>
  </si>
  <si>
    <t>Cosover</t>
  </si>
  <si>
    <t>Sosa</t>
  </si>
  <si>
    <t>Salacks</t>
  </si>
  <si>
    <t>Vizcaino</t>
  </si>
  <si>
    <t>Farrell</t>
  </si>
  <si>
    <t>Uman</t>
  </si>
  <si>
    <t>Tanabu</t>
  </si>
  <si>
    <t>Kurry</t>
  </si>
  <si>
    <t>Leed</t>
  </si>
  <si>
    <t>Riley</t>
  </si>
  <si>
    <t>Frias</t>
  </si>
  <si>
    <t>Castro</t>
  </si>
  <si>
    <t>Buie</t>
  </si>
  <si>
    <t>Recinos</t>
  </si>
  <si>
    <t>Lowe</t>
  </si>
  <si>
    <t>Radcliff</t>
  </si>
  <si>
    <t>De la Rosa</t>
  </si>
  <si>
    <t>Romano</t>
  </si>
  <si>
    <t>Estrella</t>
  </si>
  <si>
    <t>Fredericks</t>
  </si>
  <si>
    <t>Abdelgawad</t>
  </si>
  <si>
    <t>Edwards</t>
  </si>
  <si>
    <t>Walton</t>
  </si>
  <si>
    <t>Sow</t>
  </si>
  <si>
    <t>Stukes</t>
  </si>
  <si>
    <t>Schello</t>
  </si>
  <si>
    <t>Thompson</t>
  </si>
  <si>
    <t>Cartagena</t>
  </si>
  <si>
    <t>Mcneil</t>
  </si>
  <si>
    <t>Edmonds</t>
  </si>
  <si>
    <t>Matubis</t>
  </si>
  <si>
    <t>Calderon</t>
  </si>
  <si>
    <t>Christie</t>
  </si>
  <si>
    <t>Boyd</t>
  </si>
  <si>
    <t>Clarke</t>
  </si>
  <si>
    <t>Valles</t>
  </si>
  <si>
    <t>Hassell</t>
  </si>
  <si>
    <t>Castillo</t>
  </si>
  <si>
    <t>Duarte</t>
  </si>
  <si>
    <t>Fernandez</t>
  </si>
  <si>
    <t>Morrison</t>
  </si>
  <si>
    <t>Manrique</t>
  </si>
  <si>
    <t>Peña</t>
  </si>
  <si>
    <t>Anzalota</t>
  </si>
  <si>
    <t>Chandra</t>
  </si>
  <si>
    <t>Quevedo</t>
  </si>
  <si>
    <t>Timpa</t>
  </si>
  <si>
    <t>Crean</t>
  </si>
  <si>
    <t>Acosta</t>
  </si>
  <si>
    <t>Hermann</t>
  </si>
  <si>
    <t>Jules</t>
  </si>
  <si>
    <t>San Juan</t>
  </si>
  <si>
    <t>Quintero</t>
  </si>
  <si>
    <t>Chanderpaul</t>
  </si>
  <si>
    <t>McRae</t>
  </si>
  <si>
    <t>WARRICK</t>
  </si>
  <si>
    <t>Reyes</t>
  </si>
  <si>
    <t>Wheeler</t>
  </si>
  <si>
    <t>Ombrellino</t>
  </si>
  <si>
    <t>Alston</t>
  </si>
  <si>
    <t>Aguasvivas</t>
  </si>
  <si>
    <t>Suarez</t>
  </si>
  <si>
    <t>Singh</t>
  </si>
  <si>
    <t>Bennett</t>
  </si>
  <si>
    <t>Carter-Butler</t>
  </si>
  <si>
    <t>Humbert</t>
  </si>
  <si>
    <t>Rojas</t>
  </si>
  <si>
    <t>Alvarez</t>
  </si>
  <si>
    <t>Foster</t>
  </si>
  <si>
    <t>MOORE</t>
  </si>
  <si>
    <t>PARIS</t>
  </si>
  <si>
    <t>Veras</t>
  </si>
  <si>
    <t>Lopez-Pinajote</t>
  </si>
  <si>
    <t>Owens</t>
  </si>
  <si>
    <t>Glatt</t>
  </si>
  <si>
    <t>Baez</t>
  </si>
  <si>
    <t>Collington</t>
  </si>
  <si>
    <t>Slade</t>
  </si>
  <si>
    <t>Bautista</t>
  </si>
  <si>
    <t>GONZALEZ</t>
  </si>
  <si>
    <t>Zelaya</t>
  </si>
  <si>
    <t>Gossett</t>
  </si>
  <si>
    <t>Arocho</t>
  </si>
  <si>
    <t>Cedeno</t>
  </si>
  <si>
    <t>Kagan</t>
  </si>
  <si>
    <t>Crosby</t>
  </si>
  <si>
    <t>Negron</t>
  </si>
  <si>
    <t>Dove</t>
  </si>
  <si>
    <t>Garcia-Pichardo</t>
  </si>
  <si>
    <t>Hill</t>
  </si>
  <si>
    <t>San Filippo</t>
  </si>
  <si>
    <t>Lupez</t>
  </si>
  <si>
    <t>Malone</t>
  </si>
  <si>
    <t>Bullock</t>
  </si>
  <si>
    <t>GARRETT</t>
  </si>
  <si>
    <t>AGOSTO</t>
  </si>
  <si>
    <t>Casimir</t>
  </si>
  <si>
    <t>Gebert</t>
  </si>
  <si>
    <t>Borkowski</t>
  </si>
  <si>
    <t>Corchado</t>
  </si>
  <si>
    <t>Shields</t>
  </si>
  <si>
    <t>Parker</t>
  </si>
  <si>
    <t>Hicks</t>
  </si>
  <si>
    <t>Charles-Perrin</t>
  </si>
  <si>
    <t>Kazeem</t>
  </si>
  <si>
    <t>Fleet</t>
  </si>
  <si>
    <t>Kimbo</t>
  </si>
  <si>
    <t>Hilario</t>
  </si>
  <si>
    <t>Wright-Harper</t>
  </si>
  <si>
    <t>Beckford</t>
  </si>
  <si>
    <t>Ivey</t>
  </si>
  <si>
    <t>Nunez</t>
  </si>
  <si>
    <t>Aubert</t>
  </si>
  <si>
    <t>Curmon</t>
  </si>
  <si>
    <t>Shevtsov</t>
  </si>
  <si>
    <t>Hazelton</t>
  </si>
  <si>
    <t>Mtambuzi</t>
  </si>
  <si>
    <t>Bougouneau</t>
  </si>
  <si>
    <t>Cordero</t>
  </si>
  <si>
    <t>Simpson</t>
  </si>
  <si>
    <t>De La Cruz</t>
  </si>
  <si>
    <t>Loten</t>
  </si>
  <si>
    <t>Josey</t>
  </si>
  <si>
    <t>Ellion</t>
  </si>
  <si>
    <t>Siciliano</t>
  </si>
  <si>
    <t>Cordoba</t>
  </si>
  <si>
    <t>Soacha</t>
  </si>
  <si>
    <t>Abreu</t>
  </si>
  <si>
    <t>Flores</t>
  </si>
  <si>
    <t>Tineo</t>
  </si>
  <si>
    <t>Dinorcia</t>
  </si>
  <si>
    <t>Joyner</t>
  </si>
  <si>
    <t>Praileau</t>
  </si>
  <si>
    <t>Klutsey</t>
  </si>
  <si>
    <t>Malendes</t>
  </si>
  <si>
    <t>Marquez</t>
  </si>
  <si>
    <t>McCarthy</t>
  </si>
  <si>
    <t>Kistamma</t>
  </si>
  <si>
    <t>Mikeska</t>
  </si>
  <si>
    <t>Connolly</t>
  </si>
  <si>
    <t>Milligan</t>
  </si>
  <si>
    <t>Torres-Munoz</t>
  </si>
  <si>
    <t>Polanco</t>
  </si>
  <si>
    <t>Baginski</t>
  </si>
  <si>
    <t>Barreto</t>
  </si>
  <si>
    <t>Brown</t>
  </si>
  <si>
    <t>Pazmino</t>
  </si>
  <si>
    <t>Jackson Bloom</t>
  </si>
  <si>
    <t>Corniel</t>
  </si>
  <si>
    <t>Cueto</t>
  </si>
  <si>
    <t>Arenas</t>
  </si>
  <si>
    <t>Freire</t>
  </si>
  <si>
    <t>Paguay</t>
  </si>
  <si>
    <t>Sanabria</t>
  </si>
  <si>
    <t>Purvis</t>
  </si>
  <si>
    <t>Shelley-Sindoni</t>
  </si>
  <si>
    <t>Wynter</t>
  </si>
  <si>
    <t>Miah</t>
  </si>
  <si>
    <t>Walthour</t>
  </si>
  <si>
    <t>Riera</t>
  </si>
  <si>
    <t>Ortega</t>
  </si>
  <si>
    <t>Vega</t>
  </si>
  <si>
    <t>Manning</t>
  </si>
  <si>
    <t>Alarcon</t>
  </si>
  <si>
    <t>Holmes</t>
  </si>
  <si>
    <t>Sena</t>
  </si>
  <si>
    <t>Gonzalez Clark</t>
  </si>
  <si>
    <t>Moran</t>
  </si>
  <si>
    <t>Farrar</t>
  </si>
  <si>
    <t>Brown-Whaley</t>
  </si>
  <si>
    <t>Rhett</t>
  </si>
  <si>
    <t>Bonifacio</t>
  </si>
  <si>
    <t>Kujenya</t>
  </si>
  <si>
    <t>Ortiz</t>
  </si>
  <si>
    <t>Cottrell</t>
  </si>
  <si>
    <t>Du</t>
  </si>
  <si>
    <t>Henao</t>
  </si>
  <si>
    <t>Kidd</t>
  </si>
  <si>
    <t>Ramroop</t>
  </si>
  <si>
    <t>Wu</t>
  </si>
  <si>
    <t>Kennedy</t>
  </si>
  <si>
    <t>Erazo</t>
  </si>
  <si>
    <t>Buchnik</t>
  </si>
  <si>
    <t>Ifill</t>
  </si>
  <si>
    <t>McNeill</t>
  </si>
  <si>
    <t>Delmoral</t>
  </si>
  <si>
    <t>Valdez</t>
  </si>
  <si>
    <t>Diallo</t>
  </si>
  <si>
    <t>Concet</t>
  </si>
  <si>
    <t>Kennerly</t>
  </si>
  <si>
    <t>Carrillo</t>
  </si>
  <si>
    <t>McMillan</t>
  </si>
  <si>
    <t>Marrero</t>
  </si>
  <si>
    <t>Clavijo</t>
  </si>
  <si>
    <t>Wang</t>
  </si>
  <si>
    <t>Artadi</t>
  </si>
  <si>
    <t>Coromilas</t>
  </si>
  <si>
    <t>Bonner</t>
  </si>
  <si>
    <t>Persaud</t>
  </si>
  <si>
    <t>White</t>
  </si>
  <si>
    <t>Salnikova</t>
  </si>
  <si>
    <t>Gibson</t>
  </si>
  <si>
    <t>Pizarro</t>
  </si>
  <si>
    <t>Sellassie</t>
  </si>
  <si>
    <t>Peralta</t>
  </si>
  <si>
    <t>Holloway</t>
  </si>
  <si>
    <t>Ouedraogo</t>
  </si>
  <si>
    <t>Paulino</t>
  </si>
  <si>
    <t>Sarabia</t>
  </si>
  <si>
    <t>Burns</t>
  </si>
  <si>
    <t>Hough</t>
  </si>
  <si>
    <t>Colaj</t>
  </si>
  <si>
    <t>Exposito</t>
  </si>
  <si>
    <t>Sastre</t>
  </si>
  <si>
    <t>Esteras</t>
  </si>
  <si>
    <t>Mata</t>
  </si>
  <si>
    <t>Bernandez</t>
  </si>
  <si>
    <t>Sturgis</t>
  </si>
  <si>
    <t>Garciia</t>
  </si>
  <si>
    <t>DiSalvo</t>
  </si>
  <si>
    <t>Kastrati</t>
  </si>
  <si>
    <t>Lin</t>
  </si>
  <si>
    <t>Capers</t>
  </si>
  <si>
    <t>Pimentel</t>
  </si>
  <si>
    <t>West</t>
  </si>
  <si>
    <t>Torres Merced</t>
  </si>
  <si>
    <t>Streety</t>
  </si>
  <si>
    <t>Johns</t>
  </si>
  <si>
    <t>Franco</t>
  </si>
  <si>
    <t>Qiang Jiang</t>
  </si>
  <si>
    <t>Popova</t>
  </si>
  <si>
    <t>Yacoob</t>
  </si>
  <si>
    <t>Prescott</t>
  </si>
  <si>
    <t>Pabarroo</t>
  </si>
  <si>
    <t>Lockward</t>
  </si>
  <si>
    <t>Klohe</t>
  </si>
  <si>
    <t>Ciapetta</t>
  </si>
  <si>
    <t>Nepal</t>
  </si>
  <si>
    <t>HERNANDEZ</t>
  </si>
  <si>
    <t>Taveras</t>
  </si>
  <si>
    <t>Patterson</t>
  </si>
  <si>
    <t>Jimenez</t>
  </si>
  <si>
    <t>Placid</t>
  </si>
  <si>
    <t>Forde</t>
  </si>
  <si>
    <t>Liriano</t>
  </si>
  <si>
    <t>Suero</t>
  </si>
  <si>
    <t>Mendoza-Matthews</t>
  </si>
  <si>
    <t>Diaw</t>
  </si>
  <si>
    <t>Gamboa</t>
  </si>
  <si>
    <t>Roque</t>
  </si>
  <si>
    <t>Daly</t>
  </si>
  <si>
    <t>Licea</t>
  </si>
  <si>
    <t>Mead</t>
  </si>
  <si>
    <t>Spear</t>
  </si>
  <si>
    <t>Luxenberg</t>
  </si>
  <si>
    <t>Fouathia</t>
  </si>
  <si>
    <t>McPeak</t>
  </si>
  <si>
    <t>Coggins</t>
  </si>
  <si>
    <t>Snyder</t>
  </si>
  <si>
    <t>Siegel</t>
  </si>
  <si>
    <t>Mcahee</t>
  </si>
  <si>
    <t>Jiggetts</t>
  </si>
  <si>
    <t>Lansky</t>
  </si>
  <si>
    <t>Jang</t>
  </si>
  <si>
    <t>Robaina</t>
  </si>
  <si>
    <t>Seck</t>
  </si>
  <si>
    <t>Champagne</t>
  </si>
  <si>
    <t>Lofton</t>
  </si>
  <si>
    <t>Tuttle</t>
  </si>
  <si>
    <t>Albaladejo</t>
  </si>
  <si>
    <t>Goch</t>
  </si>
  <si>
    <t>Aragones</t>
  </si>
  <si>
    <t>Jerzewski</t>
  </si>
  <si>
    <t>Bermudez</t>
  </si>
  <si>
    <t>Sonson</t>
  </si>
  <si>
    <t>Yarbrough</t>
  </si>
  <si>
    <t>Palmer</t>
  </si>
  <si>
    <t>Emond-Bourhis</t>
  </si>
  <si>
    <t>Sanders</t>
  </si>
  <si>
    <t>Bartley</t>
  </si>
  <si>
    <t>Bastien</t>
  </si>
  <si>
    <t>Mathurin</t>
  </si>
  <si>
    <t>Remsey</t>
  </si>
  <si>
    <t>Banks</t>
  </si>
  <si>
    <t>Husbands</t>
  </si>
  <si>
    <t>Cristani</t>
  </si>
  <si>
    <t>Sunday</t>
  </si>
  <si>
    <t>Daniels</t>
  </si>
  <si>
    <t>Morgan</t>
  </si>
  <si>
    <t>Mitchell</t>
  </si>
  <si>
    <t>Williams Smith</t>
  </si>
  <si>
    <t>Davila</t>
  </si>
  <si>
    <t>Miles</t>
  </si>
  <si>
    <t>Ware</t>
  </si>
  <si>
    <t>Agramonte</t>
  </si>
  <si>
    <t>Ford</t>
  </si>
  <si>
    <t>Hinton</t>
  </si>
  <si>
    <t>Villalba</t>
  </si>
  <si>
    <t>Uddin</t>
  </si>
  <si>
    <t>Buthelezi</t>
  </si>
  <si>
    <t>Faison</t>
  </si>
  <si>
    <t>Baptiste</t>
  </si>
  <si>
    <t>Hendricks</t>
  </si>
  <si>
    <t>Bracy</t>
  </si>
  <si>
    <t>Bock</t>
  </si>
  <si>
    <t>Kenner</t>
  </si>
  <si>
    <t>Raposo</t>
  </si>
  <si>
    <t>El Foulki</t>
  </si>
  <si>
    <t>Huertas</t>
  </si>
  <si>
    <t>Testa</t>
  </si>
  <si>
    <t>Plummer</t>
  </si>
  <si>
    <t>Sheroff</t>
  </si>
  <si>
    <t>Kolaitos</t>
  </si>
  <si>
    <t>Lui</t>
  </si>
  <si>
    <t>Hagerty</t>
  </si>
  <si>
    <t>Carey</t>
  </si>
  <si>
    <t>Reid</t>
  </si>
  <si>
    <t>Arnaud</t>
  </si>
  <si>
    <t>Tucker</t>
  </si>
  <si>
    <t>Cosme</t>
  </si>
  <si>
    <t>Murillo</t>
  </si>
  <si>
    <t>Vallecillo</t>
  </si>
  <si>
    <t>Heritage</t>
  </si>
  <si>
    <t>Georges</t>
  </si>
  <si>
    <t>Czapla</t>
  </si>
  <si>
    <t>Baker</t>
  </si>
  <si>
    <t>Wessels</t>
  </si>
  <si>
    <t>Nashen</t>
  </si>
  <si>
    <t>Almanzar</t>
  </si>
  <si>
    <t>Wyche</t>
  </si>
  <si>
    <t>Malave</t>
  </si>
  <si>
    <t>Alvi</t>
  </si>
  <si>
    <t>Rowe</t>
  </si>
  <si>
    <t>Acevedo</t>
  </si>
  <si>
    <t>Clark</t>
  </si>
  <si>
    <t>Ritchens</t>
  </si>
  <si>
    <t>Issarah</t>
  </si>
  <si>
    <t>Bates</t>
  </si>
  <si>
    <t>Mulcare</t>
  </si>
  <si>
    <t>Maroutian</t>
  </si>
  <si>
    <t>DeVoll</t>
  </si>
  <si>
    <t>Audige</t>
  </si>
  <si>
    <t>Perlmutter</t>
  </si>
  <si>
    <t>Lovera</t>
  </si>
  <si>
    <t>Haughton</t>
  </si>
  <si>
    <t>Gashi</t>
  </si>
  <si>
    <t>Sulaimon</t>
  </si>
  <si>
    <t>Dublin</t>
  </si>
  <si>
    <t>Chery</t>
  </si>
  <si>
    <t>Fleming</t>
  </si>
  <si>
    <t>Mayi</t>
  </si>
  <si>
    <t>Vazquez</t>
  </si>
  <si>
    <t>Knox</t>
  </si>
  <si>
    <t>Davidson</t>
  </si>
  <si>
    <t>Polanco De Los Santos</t>
  </si>
  <si>
    <t>Payamps</t>
  </si>
  <si>
    <t>Hampton</t>
  </si>
  <si>
    <t>Walters</t>
  </si>
  <si>
    <t>Molina</t>
  </si>
  <si>
    <t>Correa</t>
  </si>
  <si>
    <t>Mejia</t>
  </si>
  <si>
    <t>Pichardo</t>
  </si>
  <si>
    <t>Oliver</t>
  </si>
  <si>
    <t>Brignole</t>
  </si>
  <si>
    <t>Reichman</t>
  </si>
  <si>
    <t>Taylor</t>
  </si>
  <si>
    <t>Iskenderov</t>
  </si>
  <si>
    <t>McTiernan</t>
  </si>
  <si>
    <t>Montealegre</t>
  </si>
  <si>
    <t>Filion</t>
  </si>
  <si>
    <t>Caban</t>
  </si>
  <si>
    <t>Abuchi</t>
  </si>
  <si>
    <t>Chabra</t>
  </si>
  <si>
    <t>Chauhan</t>
  </si>
  <si>
    <t>SUANDY-SOLANO</t>
  </si>
  <si>
    <t>Chambliss</t>
  </si>
  <si>
    <t>Salado</t>
  </si>
  <si>
    <t>Cepeda</t>
  </si>
  <si>
    <t>Calcano</t>
  </si>
  <si>
    <t>Goring</t>
  </si>
  <si>
    <t>Caraballo</t>
  </si>
  <si>
    <t>Cooper</t>
  </si>
  <si>
    <t>Crespo</t>
  </si>
  <si>
    <t>Medina</t>
  </si>
  <si>
    <t>Marston</t>
  </si>
  <si>
    <t>Paez</t>
  </si>
  <si>
    <t>Alcober-Araujo</t>
  </si>
  <si>
    <t>Caranza</t>
  </si>
  <si>
    <t>McKellar</t>
  </si>
  <si>
    <t>McKines</t>
  </si>
  <si>
    <t>Wright</t>
  </si>
  <si>
    <t>Moussaid</t>
  </si>
  <si>
    <t>Asseng</t>
  </si>
  <si>
    <t>Bissessar</t>
  </si>
  <si>
    <t>Soueidan</t>
  </si>
  <si>
    <t>Lettman</t>
  </si>
  <si>
    <t>Millerick</t>
  </si>
  <si>
    <t>Doboshinski</t>
  </si>
  <si>
    <t>Watson</t>
  </si>
  <si>
    <t>Velez</t>
  </si>
  <si>
    <t>Delgado-Rolon</t>
  </si>
  <si>
    <t>Monzon</t>
  </si>
  <si>
    <t>Cisse</t>
  </si>
  <si>
    <t>Jenkins</t>
  </si>
  <si>
    <t>Ruiz</t>
  </si>
  <si>
    <t>Zeno</t>
  </si>
  <si>
    <t>Khalifa</t>
  </si>
  <si>
    <t>Bailey</t>
  </si>
  <si>
    <t>Cayer</t>
  </si>
  <si>
    <t>Sheftel-Brown</t>
  </si>
  <si>
    <t>Pinkston</t>
  </si>
  <si>
    <t>Duran</t>
  </si>
  <si>
    <t>Valerio</t>
  </si>
  <si>
    <t>Berrios</t>
  </si>
  <si>
    <t>Aybar</t>
  </si>
  <si>
    <t>Gil</t>
  </si>
  <si>
    <t>Bores</t>
  </si>
  <si>
    <t>Colon</t>
  </si>
  <si>
    <t>Alcantara</t>
  </si>
  <si>
    <t>Jacobs</t>
  </si>
  <si>
    <t>Caesar</t>
  </si>
  <si>
    <t>Betancourt</t>
  </si>
  <si>
    <t>Tirado</t>
  </si>
  <si>
    <t>Manzueta</t>
  </si>
  <si>
    <t>Kahir</t>
  </si>
  <si>
    <t>Lombardi</t>
  </si>
  <si>
    <t>Nolan</t>
  </si>
  <si>
    <t>OLMEDA</t>
  </si>
  <si>
    <t>Mariscal</t>
  </si>
  <si>
    <t>Fernanders</t>
  </si>
  <si>
    <t>Stevens</t>
  </si>
  <si>
    <t>Macaulay</t>
  </si>
  <si>
    <t>Gomez</t>
  </si>
  <si>
    <t>Carpio</t>
  </si>
  <si>
    <t>Gustinvil</t>
  </si>
  <si>
    <t>Nappa</t>
  </si>
  <si>
    <t>Talavera</t>
  </si>
  <si>
    <t>Chavez</t>
  </si>
  <si>
    <t>Boothe</t>
  </si>
  <si>
    <t>Bynes</t>
  </si>
  <si>
    <t>Laws</t>
  </si>
  <si>
    <t>Brewster</t>
  </si>
  <si>
    <t>Nelson Jr.</t>
  </si>
  <si>
    <t>Page</t>
  </si>
  <si>
    <t>Scantlebury</t>
  </si>
  <si>
    <t>Guida</t>
  </si>
  <si>
    <t>Campbell</t>
  </si>
  <si>
    <t>Beaton</t>
  </si>
  <si>
    <t>Ilyayeva</t>
  </si>
  <si>
    <t>Fulford</t>
  </si>
  <si>
    <t>Pounds</t>
  </si>
  <si>
    <t>Borchers</t>
  </si>
  <si>
    <t>Amerman</t>
  </si>
  <si>
    <t>Hughes</t>
  </si>
  <si>
    <t>Adorno</t>
  </si>
  <si>
    <t>Villalobos</t>
  </si>
  <si>
    <t>Wagner</t>
  </si>
  <si>
    <t>Caceres</t>
  </si>
  <si>
    <t>Fordham</t>
  </si>
  <si>
    <t>Mohamey</t>
  </si>
  <si>
    <t>Zapata</t>
  </si>
  <si>
    <t>Haywood</t>
  </si>
  <si>
    <t>Jourdain</t>
  </si>
  <si>
    <t>Theme</t>
  </si>
  <si>
    <t>Chambers</t>
  </si>
  <si>
    <t>Huggins</t>
  </si>
  <si>
    <t>Velazquez</t>
  </si>
  <si>
    <t>Mulhall</t>
  </si>
  <si>
    <t>Heerah</t>
  </si>
  <si>
    <t>Hoffman</t>
  </si>
  <si>
    <t>Crowe</t>
  </si>
  <si>
    <t>Vigo</t>
  </si>
  <si>
    <t>Gutenberg</t>
  </si>
  <si>
    <t>Shi</t>
  </si>
  <si>
    <t>Pena</t>
  </si>
  <si>
    <t>Loria</t>
  </si>
  <si>
    <t>Woodruff</t>
  </si>
  <si>
    <t>Urena</t>
  </si>
  <si>
    <t>Roldan</t>
  </si>
  <si>
    <t>Akhi</t>
  </si>
  <si>
    <t>Blue</t>
  </si>
  <si>
    <t>Kahn</t>
  </si>
  <si>
    <t>Gatti</t>
  </si>
  <si>
    <t>Downer</t>
  </si>
  <si>
    <t>Sneed</t>
  </si>
  <si>
    <t>Nickelson</t>
  </si>
  <si>
    <t>Mendez</t>
  </si>
  <si>
    <t>King</t>
  </si>
  <si>
    <t>Shaw</t>
  </si>
  <si>
    <t>Shaffner</t>
  </si>
  <si>
    <t>Desmond</t>
  </si>
  <si>
    <t>Amurrio</t>
  </si>
  <si>
    <t>Leyva</t>
  </si>
  <si>
    <t>Felton</t>
  </si>
  <si>
    <t>Diao</t>
  </si>
  <si>
    <t>Villavicencio</t>
  </si>
  <si>
    <t>Hayardeny</t>
  </si>
  <si>
    <t>Stokes</t>
  </si>
  <si>
    <t>Marmelstein</t>
  </si>
  <si>
    <t>Bland</t>
  </si>
  <si>
    <t>Brazier</t>
  </si>
  <si>
    <t>Schlotthauer</t>
  </si>
  <si>
    <t>Bridgeforth</t>
  </si>
  <si>
    <t>Bauminger</t>
  </si>
  <si>
    <t>McGee</t>
  </si>
  <si>
    <t>Gaudioso</t>
  </si>
  <si>
    <t>Lindsay</t>
  </si>
  <si>
    <t>Capellan</t>
  </si>
  <si>
    <t>Thornton</t>
  </si>
  <si>
    <t>Amezquita</t>
  </si>
  <si>
    <t>Carbonell</t>
  </si>
  <si>
    <t>Ramos</t>
  </si>
  <si>
    <t>Newbold</t>
  </si>
  <si>
    <t>Carattini</t>
  </si>
  <si>
    <t>Jordan</t>
  </si>
  <si>
    <t>Sierra</t>
  </si>
  <si>
    <t>Declercq</t>
  </si>
  <si>
    <t>Choudhury</t>
  </si>
  <si>
    <t>Thaggard</t>
  </si>
  <si>
    <t>Castellanos</t>
  </si>
  <si>
    <t>Smalls</t>
  </si>
  <si>
    <t>Nicosia</t>
  </si>
  <si>
    <t>Sasaki</t>
  </si>
  <si>
    <t>Miley</t>
  </si>
  <si>
    <t>Tatun</t>
  </si>
  <si>
    <t>Nason</t>
  </si>
  <si>
    <t>Coaker</t>
  </si>
  <si>
    <t>Casaigne</t>
  </si>
  <si>
    <t>Cervantes</t>
  </si>
  <si>
    <t>Dasney</t>
  </si>
  <si>
    <t>Pounding</t>
  </si>
  <si>
    <t>Hays</t>
  </si>
  <si>
    <t>Perry</t>
  </si>
  <si>
    <t>Qi</t>
  </si>
  <si>
    <t>Winkler</t>
  </si>
  <si>
    <t>Robillard</t>
  </si>
  <si>
    <t>Flotteron</t>
  </si>
  <si>
    <t>Taguchi</t>
  </si>
  <si>
    <t>Yates</t>
  </si>
  <si>
    <t>Cole</t>
  </si>
  <si>
    <t>Scrubb</t>
  </si>
  <si>
    <t>Abdullah</t>
  </si>
  <si>
    <t>Bostic</t>
  </si>
  <si>
    <t>Gill</t>
  </si>
  <si>
    <t>Wong</t>
  </si>
  <si>
    <t>Petretti</t>
  </si>
  <si>
    <t>Eason</t>
  </si>
  <si>
    <t>Dechert</t>
  </si>
  <si>
    <t>Agyekum</t>
  </si>
  <si>
    <t>Regalado</t>
  </si>
  <si>
    <t>Blackwell</t>
  </si>
  <si>
    <t>Arevalo Martinez</t>
  </si>
  <si>
    <t>Harden</t>
  </si>
  <si>
    <t>Mendoza</t>
  </si>
  <si>
    <t>De Leon</t>
  </si>
  <si>
    <t>Balbi</t>
  </si>
  <si>
    <t>GIL</t>
  </si>
  <si>
    <t>WILBORN</t>
  </si>
  <si>
    <t>Tanner</t>
  </si>
  <si>
    <t>Maisonet</t>
  </si>
  <si>
    <t>Killet</t>
  </si>
  <si>
    <t>Surpris</t>
  </si>
  <si>
    <t>Carrasquillo</t>
  </si>
  <si>
    <t>Jhones</t>
  </si>
  <si>
    <t>Peeples</t>
  </si>
  <si>
    <t>Ulloa</t>
  </si>
  <si>
    <t>Carvalho</t>
  </si>
  <si>
    <t>Conway</t>
  </si>
  <si>
    <t>Dalman</t>
  </si>
  <si>
    <t>Zayas</t>
  </si>
  <si>
    <t>DeJesus</t>
  </si>
  <si>
    <t>Fink</t>
  </si>
  <si>
    <t>Farrelly</t>
  </si>
  <si>
    <t>Rocco</t>
  </si>
  <si>
    <t>Engesser</t>
  </si>
  <si>
    <t>Moore</t>
  </si>
  <si>
    <t>DIAZ</t>
  </si>
  <si>
    <t>Payero</t>
  </si>
  <si>
    <t>Colon Disla</t>
  </si>
  <si>
    <t>SANTANA</t>
  </si>
  <si>
    <t>Headley</t>
  </si>
  <si>
    <t>Kolker</t>
  </si>
  <si>
    <t>Guity</t>
  </si>
  <si>
    <t>Downes</t>
  </si>
  <si>
    <t>Longmore</t>
  </si>
  <si>
    <t>Diaz Guadalupe</t>
  </si>
  <si>
    <t>Sealey-Powdar</t>
  </si>
  <si>
    <t>Jex</t>
  </si>
  <si>
    <t>Villorente</t>
  </si>
  <si>
    <t>Lantigua</t>
  </si>
  <si>
    <t>Dominguez</t>
  </si>
  <si>
    <t>Fobbs</t>
  </si>
  <si>
    <t>Cheng</t>
  </si>
  <si>
    <t>Toombs</t>
  </si>
  <si>
    <t>Solis</t>
  </si>
  <si>
    <t>Narcisse</t>
  </si>
  <si>
    <t>Suazo</t>
  </si>
  <si>
    <t>Cohen</t>
  </si>
  <si>
    <t>Shivgobin</t>
  </si>
  <si>
    <t>Lugo</t>
  </si>
  <si>
    <t>Woodson</t>
  </si>
  <si>
    <t>Brame</t>
  </si>
  <si>
    <t>Forbes</t>
  </si>
  <si>
    <t>Ahmad</t>
  </si>
  <si>
    <t>Sarango</t>
  </si>
  <si>
    <t>Puello</t>
  </si>
  <si>
    <t>Scaduto</t>
  </si>
  <si>
    <t>Burnett</t>
  </si>
  <si>
    <t>Higgins</t>
  </si>
  <si>
    <t>Secomer</t>
  </si>
  <si>
    <t>Marino</t>
  </si>
  <si>
    <t>Moronta</t>
  </si>
  <si>
    <t>Gables</t>
  </si>
  <si>
    <t>Bobb</t>
  </si>
  <si>
    <t>Torres Adorno</t>
  </si>
  <si>
    <t>McNair</t>
  </si>
  <si>
    <t>Zeas</t>
  </si>
  <si>
    <t>Greaves</t>
  </si>
  <si>
    <t>Broach</t>
  </si>
  <si>
    <t>Quinteros</t>
  </si>
  <si>
    <t>Fazilova</t>
  </si>
  <si>
    <t>Treitedmy</t>
  </si>
  <si>
    <t>McCray</t>
  </si>
  <si>
    <t>Lasanta</t>
  </si>
  <si>
    <t>Lawlor</t>
  </si>
  <si>
    <t>Mahmud</t>
  </si>
  <si>
    <t>Martir</t>
  </si>
  <si>
    <t>Brooks</t>
  </si>
  <si>
    <t>Chandler Coard</t>
  </si>
  <si>
    <t>Mahone</t>
  </si>
  <si>
    <t>Eleby</t>
  </si>
  <si>
    <t>Foxe</t>
  </si>
  <si>
    <t>Herrington</t>
  </si>
  <si>
    <t>Bibins</t>
  </si>
  <si>
    <t>Peguero</t>
  </si>
  <si>
    <t>MARTINEZ</t>
  </si>
  <si>
    <t>PARKER</t>
  </si>
  <si>
    <t>Simms</t>
  </si>
  <si>
    <t>Poveda</t>
  </si>
  <si>
    <t>Fuertes</t>
  </si>
  <si>
    <t>Aran</t>
  </si>
  <si>
    <t>Rossano</t>
  </si>
  <si>
    <t>Turner</t>
  </si>
  <si>
    <t>Anjou</t>
  </si>
  <si>
    <t>Cordones</t>
  </si>
  <si>
    <t>Tross</t>
  </si>
  <si>
    <t>Reyass</t>
  </si>
  <si>
    <t>Mansour</t>
  </si>
  <si>
    <t>Kavalerchik</t>
  </si>
  <si>
    <t>Achiaa</t>
  </si>
  <si>
    <t>Soundiata</t>
  </si>
  <si>
    <t>Singleton</t>
  </si>
  <si>
    <t>Ferrito</t>
  </si>
  <si>
    <t>MICHEL</t>
  </si>
  <si>
    <t>Summer</t>
  </si>
  <si>
    <t>Escobar</t>
  </si>
  <si>
    <t>QUINTANA</t>
  </si>
  <si>
    <t>Holt</t>
  </si>
  <si>
    <t>McQueen</t>
  </si>
  <si>
    <t>Sillah</t>
  </si>
  <si>
    <t>Rolon</t>
  </si>
  <si>
    <t>Haynes</t>
  </si>
  <si>
    <t>Whint</t>
  </si>
  <si>
    <t>Meeks</t>
  </si>
  <si>
    <t>Nebellet</t>
  </si>
  <si>
    <t>Velasquez</t>
  </si>
  <si>
    <t>Baloch</t>
  </si>
  <si>
    <t>Cross</t>
  </si>
  <si>
    <t>Staley</t>
  </si>
  <si>
    <t>Saint-Pierre</t>
  </si>
  <si>
    <t>Rembert-Brown</t>
  </si>
  <si>
    <t>Ashton</t>
  </si>
  <si>
    <t>Almodovar</t>
  </si>
  <si>
    <t>Rumph</t>
  </si>
  <si>
    <t>Cannon</t>
  </si>
  <si>
    <t>Aquino</t>
  </si>
  <si>
    <t>Vital</t>
  </si>
  <si>
    <t>Bethea</t>
  </si>
  <si>
    <t>Zahra</t>
  </si>
  <si>
    <t>Henriquez</t>
  </si>
  <si>
    <t>Sykes</t>
  </si>
  <si>
    <t>Daley</t>
  </si>
  <si>
    <t>Espinal</t>
  </si>
  <si>
    <t>Saldarriaga</t>
  </si>
  <si>
    <t>Simukenaite</t>
  </si>
  <si>
    <t>Bradley</t>
  </si>
  <si>
    <t>Van Rassan</t>
  </si>
  <si>
    <t>Cuatlacuatl</t>
  </si>
  <si>
    <t>Boynes</t>
  </si>
  <si>
    <t>Prescod</t>
  </si>
  <si>
    <t>Lindo</t>
  </si>
  <si>
    <t>Griffin</t>
  </si>
  <si>
    <t>Arroyo</t>
  </si>
  <si>
    <t>Key</t>
  </si>
  <si>
    <t>Savinon</t>
  </si>
  <si>
    <t>Munoz</t>
  </si>
  <si>
    <t>Charneco</t>
  </si>
  <si>
    <t>Scott-Daity</t>
  </si>
  <si>
    <t>Hilliman</t>
  </si>
  <si>
    <t>Rosado</t>
  </si>
  <si>
    <t>Petersohn</t>
  </si>
  <si>
    <t>Montoute</t>
  </si>
  <si>
    <t>Falilatou</t>
  </si>
  <si>
    <t>Audain</t>
  </si>
  <si>
    <t>Tejada</t>
  </si>
  <si>
    <t>Sowa</t>
  </si>
  <si>
    <t>St. Aude</t>
  </si>
  <si>
    <t>Thoksakis</t>
  </si>
  <si>
    <t>Melendez</t>
  </si>
  <si>
    <t>Senatus</t>
  </si>
  <si>
    <t>Huarneck</t>
  </si>
  <si>
    <t>Infante</t>
  </si>
  <si>
    <t>Curry</t>
  </si>
  <si>
    <t>Hawkins</t>
  </si>
  <si>
    <t>Ruff</t>
  </si>
  <si>
    <t>Debrah</t>
  </si>
  <si>
    <t>Holland</t>
  </si>
  <si>
    <t>Cerami</t>
  </si>
  <si>
    <t>Mejlich</t>
  </si>
  <si>
    <t>Panos</t>
  </si>
  <si>
    <t>Napoleoni</t>
  </si>
  <si>
    <t>SANDERS</t>
  </si>
  <si>
    <t>Stein</t>
  </si>
  <si>
    <t>Jagrup</t>
  </si>
  <si>
    <t>Ordenana</t>
  </si>
  <si>
    <t>Aroya</t>
  </si>
  <si>
    <t>Creightney</t>
  </si>
  <si>
    <t>Carrasco</t>
  </si>
  <si>
    <t>Cummings-Jordon</t>
  </si>
  <si>
    <t>Hetmeyer</t>
  </si>
  <si>
    <t>Finn</t>
  </si>
  <si>
    <t>Scotland</t>
  </si>
  <si>
    <t>Furman</t>
  </si>
  <si>
    <t>McFowler</t>
  </si>
  <si>
    <t>Cabrera</t>
  </si>
  <si>
    <t>Nuesi</t>
  </si>
  <si>
    <t>Bello</t>
  </si>
  <si>
    <t>Maher</t>
  </si>
  <si>
    <t>Dubuisson</t>
  </si>
  <si>
    <t>Coleman</t>
  </si>
  <si>
    <t>Napoleon</t>
  </si>
  <si>
    <t>Severino</t>
  </si>
  <si>
    <t>Cochran</t>
  </si>
  <si>
    <t>Rosell</t>
  </si>
  <si>
    <t>Jaquez</t>
  </si>
  <si>
    <t>Rvalov</t>
  </si>
  <si>
    <t>Lewter</t>
  </si>
  <si>
    <t>Buenrostro</t>
  </si>
  <si>
    <t>Sutton</t>
  </si>
  <si>
    <t>Vanhorne</t>
  </si>
  <si>
    <t>Brito</t>
  </si>
  <si>
    <t>Christiani</t>
  </si>
  <si>
    <t>Wiener</t>
  </si>
  <si>
    <t>Klass</t>
  </si>
  <si>
    <t>Disla</t>
  </si>
  <si>
    <t>Fletcher</t>
  </si>
  <si>
    <t>Genao</t>
  </si>
  <si>
    <t>Josten</t>
  </si>
  <si>
    <t>Salmon</t>
  </si>
  <si>
    <t>Stroud</t>
  </si>
  <si>
    <t>Dye</t>
  </si>
  <si>
    <t>Ly</t>
  </si>
  <si>
    <t>Rawlings</t>
  </si>
  <si>
    <t>Galarza</t>
  </si>
  <si>
    <t>Durango</t>
  </si>
  <si>
    <t>Manzueta Hernandez</t>
  </si>
  <si>
    <t>Marchena</t>
  </si>
  <si>
    <t>Brache</t>
  </si>
  <si>
    <t>Chaparro</t>
  </si>
  <si>
    <t>Hankerson</t>
  </si>
  <si>
    <t>Maquilion</t>
  </si>
  <si>
    <t>Baskerville</t>
  </si>
  <si>
    <t>Cherisma</t>
  </si>
  <si>
    <t>Soorujbally</t>
  </si>
  <si>
    <t>Gittens</t>
  </si>
  <si>
    <t>Beepat</t>
  </si>
  <si>
    <t>Pfeifer</t>
  </si>
  <si>
    <t>Shadare</t>
  </si>
  <si>
    <t>Browne Lopez</t>
  </si>
  <si>
    <t>Smolen</t>
  </si>
  <si>
    <t>Mensah</t>
  </si>
  <si>
    <t>Booker</t>
  </si>
  <si>
    <t>Salcedo</t>
  </si>
  <si>
    <t>Shepherd</t>
  </si>
  <si>
    <t>Archibald</t>
  </si>
  <si>
    <t>Prandy</t>
  </si>
  <si>
    <t>Yisrael</t>
  </si>
  <si>
    <t>Macaldo</t>
  </si>
  <si>
    <t>Holley</t>
  </si>
  <si>
    <t>Grace-Phillips</t>
  </si>
  <si>
    <t>Avalo</t>
  </si>
  <si>
    <t>Burgos</t>
  </si>
  <si>
    <t>Ayala</t>
  </si>
  <si>
    <t>Badall</t>
  </si>
  <si>
    <t>Jeter</t>
  </si>
  <si>
    <t>Crisantos</t>
  </si>
  <si>
    <t>Banovich</t>
  </si>
  <si>
    <t>Fields</t>
  </si>
  <si>
    <t>Parra</t>
  </si>
  <si>
    <t>Crofford</t>
  </si>
  <si>
    <t>Jesup</t>
  </si>
  <si>
    <t>Wallace</t>
  </si>
  <si>
    <t>Pujols</t>
  </si>
  <si>
    <t>Klipp</t>
  </si>
  <si>
    <t>Fu</t>
  </si>
  <si>
    <t>Park</t>
  </si>
  <si>
    <t>Ferguson</t>
  </si>
  <si>
    <t>Rainey</t>
  </si>
  <si>
    <t>Pappas</t>
  </si>
  <si>
    <t>Liau</t>
  </si>
  <si>
    <t>Ma</t>
  </si>
  <si>
    <t>Conwell</t>
  </si>
  <si>
    <t>Foote</t>
  </si>
  <si>
    <t>Albakooli</t>
  </si>
  <si>
    <t>Depirro</t>
  </si>
  <si>
    <t>Wellington</t>
  </si>
  <si>
    <t>Latimer</t>
  </si>
  <si>
    <t>McIver</t>
  </si>
  <si>
    <t>Garay</t>
  </si>
  <si>
    <t>Alicea</t>
  </si>
  <si>
    <t>Vivar</t>
  </si>
  <si>
    <t>Rosario Abreu</t>
  </si>
  <si>
    <t>Cruz Aponte</t>
  </si>
  <si>
    <t>Blondet</t>
  </si>
  <si>
    <t>Roach</t>
  </si>
  <si>
    <t>Mayers</t>
  </si>
  <si>
    <t>Bacchus</t>
  </si>
  <si>
    <t>Moncada</t>
  </si>
  <si>
    <t>Feliciano</t>
  </si>
  <si>
    <t>Contreras</t>
  </si>
  <si>
    <t>Escoto</t>
  </si>
  <si>
    <t>Cusaac</t>
  </si>
  <si>
    <t>Barrett</t>
  </si>
  <si>
    <t>Savastano</t>
  </si>
  <si>
    <t>Giddings</t>
  </si>
  <si>
    <t>Glaspie</t>
  </si>
  <si>
    <t>Duran de Gonzalez</t>
  </si>
  <si>
    <t>Monterrey Garcia</t>
  </si>
  <si>
    <t>Larman</t>
  </si>
  <si>
    <t>Camurati</t>
  </si>
  <si>
    <t>Serrano Ravelo</t>
  </si>
  <si>
    <t>De los Santos</t>
  </si>
  <si>
    <t>Albarati</t>
  </si>
  <si>
    <t>Philp</t>
  </si>
  <si>
    <t>Chiardmonte</t>
  </si>
  <si>
    <t>Hayes</t>
  </si>
  <si>
    <t>Sadouki</t>
  </si>
  <si>
    <t>Tan</t>
  </si>
  <si>
    <t>Outler</t>
  </si>
  <si>
    <t>ALEJENDRO</t>
  </si>
  <si>
    <t>Beckles</t>
  </si>
  <si>
    <t>Numan</t>
  </si>
  <si>
    <t>Harrell</t>
  </si>
  <si>
    <t>Weinstein</t>
  </si>
  <si>
    <t>Brava</t>
  </si>
  <si>
    <t>Madden</t>
  </si>
  <si>
    <t>Filpo</t>
  </si>
  <si>
    <t>Jammeh</t>
  </si>
  <si>
    <t>Ogando</t>
  </si>
  <si>
    <t>Mackay</t>
  </si>
  <si>
    <t>Berger</t>
  </si>
  <si>
    <t>Starvage</t>
  </si>
  <si>
    <t>Espinel</t>
  </si>
  <si>
    <t>Hannibal</t>
  </si>
  <si>
    <t>Adu</t>
  </si>
  <si>
    <t>Holden</t>
  </si>
  <si>
    <t>Miles Henry</t>
  </si>
  <si>
    <t>Reiss</t>
  </si>
  <si>
    <t>Aultman</t>
  </si>
  <si>
    <t>Guillen</t>
  </si>
  <si>
    <t>REID</t>
  </si>
  <si>
    <t>Del Rosario</t>
  </si>
  <si>
    <t>Surgeon</t>
  </si>
  <si>
    <t>Pellot</t>
  </si>
  <si>
    <t>Pierre-Louis</t>
  </si>
  <si>
    <t>Wakefield</t>
  </si>
  <si>
    <t>Gonda</t>
  </si>
  <si>
    <t>Morris</t>
  </si>
  <si>
    <t>Adzemovic</t>
  </si>
  <si>
    <t>Toyer</t>
  </si>
  <si>
    <t>Germain</t>
  </si>
  <si>
    <t>Salce</t>
  </si>
  <si>
    <t>Veleva</t>
  </si>
  <si>
    <t>Fonseca</t>
  </si>
  <si>
    <t>Leach</t>
  </si>
  <si>
    <t>Waddell</t>
  </si>
  <si>
    <t>Fofanah</t>
  </si>
  <si>
    <t>Liriano Pena</t>
  </si>
  <si>
    <t>Batten</t>
  </si>
  <si>
    <t>Curotto</t>
  </si>
  <si>
    <t>Borenstein</t>
  </si>
  <si>
    <t>Highsmith</t>
  </si>
  <si>
    <t>Richbourgh</t>
  </si>
  <si>
    <t>Nearpass</t>
  </si>
  <si>
    <t>Galleguillos</t>
  </si>
  <si>
    <t>Chen</t>
  </si>
  <si>
    <t>orozco</t>
  </si>
  <si>
    <t>Batista</t>
  </si>
  <si>
    <t>Lynch</t>
  </si>
  <si>
    <t>Miller Moore</t>
  </si>
  <si>
    <t>Otero</t>
  </si>
  <si>
    <t>Cardoba</t>
  </si>
  <si>
    <t>Ceron</t>
  </si>
  <si>
    <t>Olivares</t>
  </si>
  <si>
    <t>Chance</t>
  </si>
  <si>
    <t>Rembert</t>
  </si>
  <si>
    <t>Onofre</t>
  </si>
  <si>
    <t>Bartolo</t>
  </si>
  <si>
    <t>Crawford</t>
  </si>
  <si>
    <t>Marmolejos</t>
  </si>
  <si>
    <t>Friedman</t>
  </si>
  <si>
    <t>Hopson</t>
  </si>
  <si>
    <t>Oyebade</t>
  </si>
  <si>
    <t>Njoku</t>
  </si>
  <si>
    <t>Braun</t>
  </si>
  <si>
    <t>SANTIAGO</t>
  </si>
  <si>
    <t>Harrow</t>
  </si>
  <si>
    <t>Smoker</t>
  </si>
  <si>
    <t>Garabito</t>
  </si>
  <si>
    <t>Zolnoski</t>
  </si>
  <si>
    <t>Cox</t>
  </si>
  <si>
    <t>Singletary</t>
  </si>
  <si>
    <t>Niles</t>
  </si>
  <si>
    <t>Thigpen</t>
  </si>
  <si>
    <t>Folly</t>
  </si>
  <si>
    <t>Telford</t>
  </si>
  <si>
    <t>Britton</t>
  </si>
  <si>
    <t>Pierre-Canel</t>
  </si>
  <si>
    <t>Monegro</t>
  </si>
  <si>
    <t>Detres</t>
  </si>
  <si>
    <t>Avila</t>
  </si>
  <si>
    <t>Noyan</t>
  </si>
  <si>
    <t>Brathwaite</t>
  </si>
  <si>
    <t>Samaroo</t>
  </si>
  <si>
    <t>Trisbend</t>
  </si>
  <si>
    <t>Newsome</t>
  </si>
  <si>
    <t>Rich</t>
  </si>
  <si>
    <t>ESTRADA</t>
  </si>
  <si>
    <t>Keeby</t>
  </si>
  <si>
    <t>Waldman</t>
  </si>
  <si>
    <t>Harsch</t>
  </si>
  <si>
    <t>Pacheco</t>
  </si>
  <si>
    <t>Kerr</t>
  </si>
  <si>
    <t>Thierens</t>
  </si>
  <si>
    <t>Greene</t>
  </si>
  <si>
    <t>Vanderstoop-Mayo</t>
  </si>
  <si>
    <t>Spurill</t>
  </si>
  <si>
    <t>Goris</t>
  </si>
  <si>
    <t>Natoli</t>
  </si>
  <si>
    <t>Luke</t>
  </si>
  <si>
    <t>De La Rosa</t>
  </si>
  <si>
    <t>Stapleton</t>
  </si>
  <si>
    <t>Daguerre</t>
  </si>
  <si>
    <t>Barron</t>
  </si>
  <si>
    <t>Silverio</t>
  </si>
  <si>
    <t>Bernardez</t>
  </si>
  <si>
    <t>Tyler</t>
  </si>
  <si>
    <t>Bravo</t>
  </si>
  <si>
    <t>Aguilar</t>
  </si>
  <si>
    <t>Addison</t>
  </si>
  <si>
    <t>Chrisme</t>
  </si>
  <si>
    <t>Iusmen</t>
  </si>
  <si>
    <t>McMullen</t>
  </si>
  <si>
    <t>Kompeemay</t>
  </si>
  <si>
    <t>Ridley</t>
  </si>
  <si>
    <t>Nealous</t>
  </si>
  <si>
    <t>Khoshtaria</t>
  </si>
  <si>
    <t>Collazo</t>
  </si>
  <si>
    <t>Andino</t>
  </si>
  <si>
    <t>Mcintosh</t>
  </si>
  <si>
    <t>Burrell</t>
  </si>
  <si>
    <t>Seabrooks</t>
  </si>
  <si>
    <t>Czeh</t>
  </si>
  <si>
    <t>Boateng</t>
  </si>
  <si>
    <t>Ascione</t>
  </si>
  <si>
    <t>Villar</t>
  </si>
  <si>
    <t>Dirubba</t>
  </si>
  <si>
    <t>Shivers</t>
  </si>
  <si>
    <t>Kong</t>
  </si>
  <si>
    <t>Tagliaferro</t>
  </si>
  <si>
    <t>Kossman</t>
  </si>
  <si>
    <t>Sambe</t>
  </si>
  <si>
    <t>DUBON</t>
  </si>
  <si>
    <t>Venn</t>
  </si>
  <si>
    <t>Soleyman</t>
  </si>
  <si>
    <t>Essa</t>
  </si>
  <si>
    <t>Benton</t>
  </si>
  <si>
    <t>Mckenna</t>
  </si>
  <si>
    <t>Lettley</t>
  </si>
  <si>
    <t>Gerena</t>
  </si>
  <si>
    <t>Zgherea</t>
  </si>
  <si>
    <t>Hammond</t>
  </si>
  <si>
    <t>Del Escobar</t>
  </si>
  <si>
    <t>Echevarria</t>
  </si>
  <si>
    <t>Rosavilela</t>
  </si>
  <si>
    <t>Pratt</t>
  </si>
  <si>
    <t>Vidal</t>
  </si>
  <si>
    <t>Siguencia</t>
  </si>
  <si>
    <t>Dumonte</t>
  </si>
  <si>
    <t>Abel</t>
  </si>
  <si>
    <t>Gotay</t>
  </si>
  <si>
    <t>Hirschmann</t>
  </si>
  <si>
    <t>McCoy</t>
  </si>
  <si>
    <t>Bertrand</t>
  </si>
  <si>
    <t>Terris</t>
  </si>
  <si>
    <t>Stout</t>
  </si>
  <si>
    <t>Thiam</t>
  </si>
  <si>
    <t>Despinosse</t>
  </si>
  <si>
    <t>Liu</t>
  </si>
  <si>
    <t>Exantus</t>
  </si>
  <si>
    <t>Fell</t>
  </si>
  <si>
    <t>Perkins</t>
  </si>
  <si>
    <t>Harley</t>
  </si>
  <si>
    <t>Morningstar</t>
  </si>
  <si>
    <t>Dorso</t>
  </si>
  <si>
    <t>Rodgers</t>
  </si>
  <si>
    <t>Beste</t>
  </si>
  <si>
    <t>Streeter</t>
  </si>
  <si>
    <t>Seliger</t>
  </si>
  <si>
    <t>Terranova</t>
  </si>
  <si>
    <t>Banwareesingh</t>
  </si>
  <si>
    <t>Figueroa-Irizarry</t>
  </si>
  <si>
    <t>Polk</t>
  </si>
  <si>
    <t>McKay</t>
  </si>
  <si>
    <t>Yisra-El</t>
  </si>
  <si>
    <t>Lujano</t>
  </si>
  <si>
    <t>McClean</t>
  </si>
  <si>
    <t>Ardila</t>
  </si>
  <si>
    <t>Tyson</t>
  </si>
  <si>
    <t>Tatis</t>
  </si>
  <si>
    <t>Chancy</t>
  </si>
  <si>
    <t>Woychowski</t>
  </si>
  <si>
    <t>Tate</t>
  </si>
  <si>
    <t>Mzirda</t>
  </si>
  <si>
    <t>Arias Feliz</t>
  </si>
  <si>
    <t>Ferrera</t>
  </si>
  <si>
    <t>Govia</t>
  </si>
  <si>
    <t>Harris</t>
  </si>
  <si>
    <t>Dubinitskaya</t>
  </si>
  <si>
    <t>Climes</t>
  </si>
  <si>
    <t>Bolden</t>
  </si>
  <si>
    <t>Duff</t>
  </si>
  <si>
    <t>De Los Angeles</t>
  </si>
  <si>
    <t>Araujo</t>
  </si>
  <si>
    <t>Lighty</t>
  </si>
  <si>
    <t>Catedral</t>
  </si>
  <si>
    <t>Vives</t>
  </si>
  <si>
    <t>Yung</t>
  </si>
  <si>
    <t>Rivas</t>
  </si>
  <si>
    <t>Maisonette</t>
  </si>
  <si>
    <t>Townsend</t>
  </si>
  <si>
    <t>Dyer</t>
  </si>
  <si>
    <t>Gassama</t>
  </si>
  <si>
    <t>Zhen Lin</t>
  </si>
  <si>
    <t>Bahadoorsingh</t>
  </si>
  <si>
    <t>Veira</t>
  </si>
  <si>
    <t>HOMBLA</t>
  </si>
  <si>
    <t>Sisti</t>
  </si>
  <si>
    <t>Cholmondeley</t>
  </si>
  <si>
    <t>Woods</t>
  </si>
  <si>
    <t>Lall</t>
  </si>
  <si>
    <t>Bringas</t>
  </si>
  <si>
    <t>Isaac</t>
  </si>
  <si>
    <t>Smoot</t>
  </si>
  <si>
    <t>Serrano</t>
  </si>
  <si>
    <t>Brooker</t>
  </si>
  <si>
    <t>Rasheed</t>
  </si>
  <si>
    <t>O'Sullivan</t>
  </si>
  <si>
    <t>Maffetone</t>
  </si>
  <si>
    <t>Almond</t>
  </si>
  <si>
    <t>Fortes</t>
  </si>
  <si>
    <t>Belisle</t>
  </si>
  <si>
    <t>Henderson</t>
  </si>
  <si>
    <t>Estremera</t>
  </si>
  <si>
    <t>Baity</t>
  </si>
  <si>
    <t>Parrish</t>
  </si>
  <si>
    <t>Jennings</t>
  </si>
  <si>
    <t>Fare</t>
  </si>
  <si>
    <t>Sailema</t>
  </si>
  <si>
    <t>Alam</t>
  </si>
  <si>
    <t>Feliz</t>
  </si>
  <si>
    <t>Royer</t>
  </si>
  <si>
    <t>Harrrison</t>
  </si>
  <si>
    <t>SAlt</t>
  </si>
  <si>
    <t>Hallen</t>
  </si>
  <si>
    <t>Bhattacharya</t>
  </si>
  <si>
    <t>Mercer</t>
  </si>
  <si>
    <t>Nerys</t>
  </si>
  <si>
    <t>Cabral</t>
  </si>
  <si>
    <t>Figaro</t>
  </si>
  <si>
    <t>Carloss</t>
  </si>
  <si>
    <t>Corwin</t>
  </si>
  <si>
    <t>Ricks</t>
  </si>
  <si>
    <t>Begum</t>
  </si>
  <si>
    <t>Quiles</t>
  </si>
  <si>
    <t>Hernandez de Peguero</t>
  </si>
  <si>
    <t>Genco</t>
  </si>
  <si>
    <t>Secka</t>
  </si>
  <si>
    <t>Rivers</t>
  </si>
  <si>
    <t>Orta Melendez</t>
  </si>
  <si>
    <t>Haxhaj</t>
  </si>
  <si>
    <t>Goines</t>
  </si>
  <si>
    <t>Alali</t>
  </si>
  <si>
    <t>Annunziato</t>
  </si>
  <si>
    <t>Corrado</t>
  </si>
  <si>
    <t>Rula</t>
  </si>
  <si>
    <t>Minkins</t>
  </si>
  <si>
    <t>Berry</t>
  </si>
  <si>
    <t>Arauz</t>
  </si>
  <si>
    <t>Pego Martinez</t>
  </si>
  <si>
    <t>Leavitt</t>
  </si>
  <si>
    <t>Noorata</t>
  </si>
  <si>
    <t>Gangi</t>
  </si>
  <si>
    <t>Laurent</t>
  </si>
  <si>
    <t>Ynfante</t>
  </si>
  <si>
    <t>Frith</t>
  </si>
  <si>
    <t>Mashriqi</t>
  </si>
  <si>
    <t>Toribio</t>
  </si>
  <si>
    <t>Calloway</t>
  </si>
  <si>
    <t>Sillekens</t>
  </si>
  <si>
    <t>Montalvo</t>
  </si>
  <si>
    <t>Brudnoy</t>
  </si>
  <si>
    <t>Bondoc</t>
  </si>
  <si>
    <t>Isler</t>
  </si>
  <si>
    <t>Callahan</t>
  </si>
  <si>
    <t>Matos</t>
  </si>
  <si>
    <t>Hoogvliets</t>
  </si>
  <si>
    <t>Collado</t>
  </si>
  <si>
    <t>Alneaimet</t>
  </si>
  <si>
    <t>Drakes</t>
  </si>
  <si>
    <t>Frangell</t>
  </si>
  <si>
    <t>Griffrin</t>
  </si>
  <si>
    <t>Lora-Serrano</t>
  </si>
  <si>
    <t>Navarro</t>
  </si>
  <si>
    <t>Sopade</t>
  </si>
  <si>
    <t>Tartt</t>
  </si>
  <si>
    <t>Prasaud</t>
  </si>
  <si>
    <t>Blot</t>
  </si>
  <si>
    <t>McHoney</t>
  </si>
  <si>
    <t>Komalafe</t>
  </si>
  <si>
    <t>Crowder</t>
  </si>
  <si>
    <t>Magee</t>
  </si>
  <si>
    <t>Hugee</t>
  </si>
  <si>
    <t>Nogotaly</t>
  </si>
  <si>
    <t>Dollisme</t>
  </si>
  <si>
    <t>Keve Lier</t>
  </si>
  <si>
    <t>Lane</t>
  </si>
  <si>
    <t>Sultana</t>
  </si>
  <si>
    <t>Laureano</t>
  </si>
  <si>
    <t>Saylor</t>
  </si>
  <si>
    <t>Moya</t>
  </si>
  <si>
    <t>Rondon Nunez</t>
  </si>
  <si>
    <t>McNeil</t>
  </si>
  <si>
    <t>Siddiq</t>
  </si>
  <si>
    <t>Fulton</t>
  </si>
  <si>
    <t>Montero</t>
  </si>
  <si>
    <t>Lightstone</t>
  </si>
  <si>
    <t>Shanahan</t>
  </si>
  <si>
    <t>Augustin</t>
  </si>
  <si>
    <t>Isaie</t>
  </si>
  <si>
    <t>Carney</t>
  </si>
  <si>
    <t>Owusuah</t>
  </si>
  <si>
    <t>Adames</t>
  </si>
  <si>
    <t>Linares</t>
  </si>
  <si>
    <t>Zavala</t>
  </si>
  <si>
    <t>LaFortune</t>
  </si>
  <si>
    <t>Roberson</t>
  </si>
  <si>
    <t>Ortiz Stevens</t>
  </si>
  <si>
    <t>Hanley</t>
  </si>
  <si>
    <t>Cobb</t>
  </si>
  <si>
    <t>Portalatin</t>
  </si>
  <si>
    <t>Polanski</t>
  </si>
  <si>
    <t>Richetti</t>
  </si>
  <si>
    <t>Mancion</t>
  </si>
  <si>
    <t>Marroquin</t>
  </si>
  <si>
    <t>Fantauzzi</t>
  </si>
  <si>
    <t>Glover</t>
  </si>
  <si>
    <t>Biggs</t>
  </si>
  <si>
    <t>Bamba</t>
  </si>
  <si>
    <t>Brumskin</t>
  </si>
  <si>
    <t>Fitch</t>
  </si>
  <si>
    <t>BELTRAN</t>
  </si>
  <si>
    <t>Rookwood</t>
  </si>
  <si>
    <t>Farraj</t>
  </si>
  <si>
    <t>Oquendo</t>
  </si>
  <si>
    <t>Boyko</t>
  </si>
  <si>
    <t>Espinal Rivas</t>
  </si>
  <si>
    <t>Cotto</t>
  </si>
  <si>
    <t>Cockerl</t>
  </si>
  <si>
    <t>Balfour</t>
  </si>
  <si>
    <t>Udo-Okon</t>
  </si>
  <si>
    <t>Persip</t>
  </si>
  <si>
    <t>Atkinson</t>
  </si>
  <si>
    <t>Cardona</t>
  </si>
  <si>
    <t>Cayasso</t>
  </si>
  <si>
    <t>Encarnacion</t>
  </si>
  <si>
    <t>Aldridge</t>
  </si>
  <si>
    <t>Bethune</t>
  </si>
  <si>
    <t>Levine</t>
  </si>
  <si>
    <t>McKinney</t>
  </si>
  <si>
    <t>Silvestre</t>
  </si>
  <si>
    <t>Aslam</t>
  </si>
  <si>
    <t>Emam</t>
  </si>
  <si>
    <t>Brunson</t>
  </si>
  <si>
    <t>Jurado</t>
  </si>
  <si>
    <t>Ho</t>
  </si>
  <si>
    <t>Laster</t>
  </si>
  <si>
    <t>Mims</t>
  </si>
  <si>
    <t>Kirkland</t>
  </si>
  <si>
    <t>Kilgore</t>
  </si>
  <si>
    <t>Hyman</t>
  </si>
  <si>
    <t>Aleman</t>
  </si>
  <si>
    <t>Chamorro</t>
  </si>
  <si>
    <t>Sandiford</t>
  </si>
  <si>
    <t>Mondesir</t>
  </si>
  <si>
    <t>Constable</t>
  </si>
  <si>
    <t>Chakrani</t>
  </si>
  <si>
    <t>Posey</t>
  </si>
  <si>
    <t>Odaranile</t>
  </si>
  <si>
    <t>Omaro</t>
  </si>
  <si>
    <t>Gray</t>
  </si>
  <si>
    <t>Gorham</t>
  </si>
  <si>
    <t>Narvaez</t>
  </si>
  <si>
    <t>McWhorter</t>
  </si>
  <si>
    <t>Corporan</t>
  </si>
  <si>
    <t>Rocha-Silva</t>
  </si>
  <si>
    <t>Casiano</t>
  </si>
  <si>
    <t>Croom</t>
  </si>
  <si>
    <t>Kelsey</t>
  </si>
  <si>
    <t>Dubreuil</t>
  </si>
  <si>
    <t>Moody</t>
  </si>
  <si>
    <t>Shuler</t>
  </si>
  <si>
    <t>Nimmons</t>
  </si>
  <si>
    <t>Danzell</t>
  </si>
  <si>
    <t>Buchanan</t>
  </si>
  <si>
    <t>Landau</t>
  </si>
  <si>
    <t>Assaan</t>
  </si>
  <si>
    <t>Lungange</t>
  </si>
  <si>
    <t>Simeon</t>
  </si>
  <si>
    <t>Okai</t>
  </si>
  <si>
    <t>Njie</t>
  </si>
  <si>
    <t>Mclain</t>
  </si>
  <si>
    <t>Cruceta</t>
  </si>
  <si>
    <t>Butts</t>
  </si>
  <si>
    <t>Bruckstein</t>
  </si>
  <si>
    <t>Anetor</t>
  </si>
  <si>
    <t>OWENS</t>
  </si>
  <si>
    <t>ASHFORD</t>
  </si>
  <si>
    <t>Gallagher</t>
  </si>
  <si>
    <t>Obeng-Adusare</t>
  </si>
  <si>
    <t>Frost</t>
  </si>
  <si>
    <t>RODRIGUEZ</t>
  </si>
  <si>
    <t>Woodwards</t>
  </si>
  <si>
    <t>Willson</t>
  </si>
  <si>
    <t>Rondon</t>
  </si>
  <si>
    <t>De la Cruz</t>
  </si>
  <si>
    <t>Ifield</t>
  </si>
  <si>
    <t>McCallum</t>
  </si>
  <si>
    <t>Westbrook</t>
  </si>
  <si>
    <t>Wilkie</t>
  </si>
  <si>
    <t>Omara</t>
  </si>
  <si>
    <t>Kusiak Carey</t>
  </si>
  <si>
    <t>Dickerson</t>
  </si>
  <si>
    <t>Collier</t>
  </si>
  <si>
    <t>Hamer</t>
  </si>
  <si>
    <t>Spicer</t>
  </si>
  <si>
    <t>Gadson</t>
  </si>
  <si>
    <t>Thacher</t>
  </si>
  <si>
    <t>Greenberg</t>
  </si>
  <si>
    <t>Oser</t>
  </si>
  <si>
    <t>Dodack</t>
  </si>
  <si>
    <t>Chonzom</t>
  </si>
  <si>
    <t>Dorjee</t>
  </si>
  <si>
    <t>Vega-Garcia</t>
  </si>
  <si>
    <t>Wooden</t>
  </si>
  <si>
    <t>Cruickshank</t>
  </si>
  <si>
    <t>Femia</t>
  </si>
  <si>
    <t>Diabate</t>
  </si>
  <si>
    <t>Vegas</t>
  </si>
  <si>
    <t>Desse</t>
  </si>
  <si>
    <t>Saha</t>
  </si>
  <si>
    <t>Neequaye</t>
  </si>
  <si>
    <t>Staten</t>
  </si>
  <si>
    <t>Osorio</t>
  </si>
  <si>
    <t>Tauil De Perez</t>
  </si>
  <si>
    <t>O'Brien</t>
  </si>
  <si>
    <t>Beckett</t>
  </si>
  <si>
    <t>Aguiar</t>
  </si>
  <si>
    <t>Rovira</t>
  </si>
  <si>
    <t>Bouchereau</t>
  </si>
  <si>
    <t>Durham</t>
  </si>
  <si>
    <t>Forrester</t>
  </si>
  <si>
    <t>Haduch</t>
  </si>
  <si>
    <t>Ahad</t>
  </si>
  <si>
    <t>Ruano</t>
  </si>
  <si>
    <t>Cherif</t>
  </si>
  <si>
    <t>Bridgewater</t>
  </si>
  <si>
    <t>Dillard</t>
  </si>
  <si>
    <t>Gadsden</t>
  </si>
  <si>
    <t>Napolitano</t>
  </si>
  <si>
    <t>Boucaud</t>
  </si>
  <si>
    <t>Bhuiyan</t>
  </si>
  <si>
    <t>Burgin</t>
  </si>
  <si>
    <t>Gonzalez De Leon</t>
  </si>
  <si>
    <t>Applewhite</t>
  </si>
  <si>
    <t>Kwarteng</t>
  </si>
  <si>
    <t>Pandydiego</t>
  </si>
  <si>
    <t>Gaulman</t>
  </si>
  <si>
    <t>Tapia</t>
  </si>
  <si>
    <t>Mcfarlane</t>
  </si>
  <si>
    <t>Sinclair</t>
  </si>
  <si>
    <t>Fajardo</t>
  </si>
  <si>
    <t>Villalona</t>
  </si>
  <si>
    <t>Ikhmaies</t>
  </si>
  <si>
    <t>ISALES</t>
  </si>
  <si>
    <t>Vitola</t>
  </si>
  <si>
    <t>Avis</t>
  </si>
  <si>
    <t>Oliveres-Apostol</t>
  </si>
  <si>
    <t>Dunnell</t>
  </si>
  <si>
    <t>Quagliarello</t>
  </si>
  <si>
    <t>Montanez</t>
  </si>
  <si>
    <t>BERTI</t>
  </si>
  <si>
    <t>Made</t>
  </si>
  <si>
    <t>Desir</t>
  </si>
  <si>
    <t>Rampersad</t>
  </si>
  <si>
    <t>Girard-Vinzant</t>
  </si>
  <si>
    <t>Molyneaux</t>
  </si>
  <si>
    <t>DUNKLEY</t>
  </si>
  <si>
    <t>Gause</t>
  </si>
  <si>
    <t>Newton</t>
  </si>
  <si>
    <t>Littles</t>
  </si>
  <si>
    <t>Tolento</t>
  </si>
  <si>
    <t>Eustate</t>
  </si>
  <si>
    <t>Landsman</t>
  </si>
  <si>
    <t>Rosemond</t>
  </si>
  <si>
    <t>Christmas</t>
  </si>
  <si>
    <t>Cumberbatch</t>
  </si>
  <si>
    <t>Tovar</t>
  </si>
  <si>
    <t>Elharras</t>
  </si>
  <si>
    <t>Amaro</t>
  </si>
  <si>
    <t>BAGLEY</t>
  </si>
  <si>
    <t>ALVARADO</t>
  </si>
  <si>
    <t>Bancroft</t>
  </si>
  <si>
    <t>Wiggins</t>
  </si>
  <si>
    <t>Hilliard</t>
  </si>
  <si>
    <t>Sidibe</t>
  </si>
  <si>
    <t>Coleman Raybe</t>
  </si>
  <si>
    <t>Diele</t>
  </si>
  <si>
    <t>Lanham</t>
  </si>
  <si>
    <t>Blamenthal</t>
  </si>
  <si>
    <t>Wolfe</t>
  </si>
  <si>
    <t>CASTILLO</t>
  </si>
  <si>
    <t>Raskazof</t>
  </si>
  <si>
    <t>Alladoumngue</t>
  </si>
  <si>
    <t>Laffey</t>
  </si>
  <si>
    <t>Ambro</t>
  </si>
  <si>
    <t>Osorio-Ocampo</t>
  </si>
  <si>
    <t>Harris Hudson</t>
  </si>
  <si>
    <t>ORTIZ</t>
  </si>
  <si>
    <t>Mayo</t>
  </si>
  <si>
    <t>Bell</t>
  </si>
  <si>
    <t>Idrissi</t>
  </si>
  <si>
    <t>Bello Cedeno</t>
  </si>
  <si>
    <t>Martinez Guzman</t>
  </si>
  <si>
    <t>Babsogundeji</t>
  </si>
  <si>
    <t>Mungin</t>
  </si>
  <si>
    <t>Vanderhorst</t>
  </si>
  <si>
    <t>Cain</t>
  </si>
  <si>
    <t>Nuralan</t>
  </si>
  <si>
    <t>Lanzot</t>
  </si>
  <si>
    <t>Dupre</t>
  </si>
  <si>
    <t>O'Neill</t>
  </si>
  <si>
    <t>Ponce</t>
  </si>
  <si>
    <t>Keeling</t>
  </si>
  <si>
    <t>Gardner</t>
  </si>
  <si>
    <t>Svendsen</t>
  </si>
  <si>
    <t>Aromi</t>
  </si>
  <si>
    <t>St. Jean</t>
  </si>
  <si>
    <t>Hendrickson</t>
  </si>
  <si>
    <t>Ortiz Rivera</t>
  </si>
  <si>
    <t>Alleyne</t>
  </si>
  <si>
    <t>Loginova</t>
  </si>
  <si>
    <t>Mcbride</t>
  </si>
  <si>
    <t>Oviedo</t>
  </si>
  <si>
    <t>Cintron</t>
  </si>
  <si>
    <t>Winter</t>
  </si>
  <si>
    <t>Boccara</t>
  </si>
  <si>
    <t>Travieso</t>
  </si>
  <si>
    <t>Newland</t>
  </si>
  <si>
    <t>Sayed</t>
  </si>
  <si>
    <t>Herra</t>
  </si>
  <si>
    <t>Mestizo</t>
  </si>
  <si>
    <t>Aryvz</t>
  </si>
  <si>
    <t>Perera</t>
  </si>
  <si>
    <t>Cochran-Nixon</t>
  </si>
  <si>
    <t>Shands</t>
  </si>
  <si>
    <t>Fan</t>
  </si>
  <si>
    <t>Pippins</t>
  </si>
  <si>
    <t>Romain</t>
  </si>
  <si>
    <t>Pena De La Cruz</t>
  </si>
  <si>
    <t>Tates</t>
  </si>
  <si>
    <t>Carpenter</t>
  </si>
  <si>
    <t>Lind</t>
  </si>
  <si>
    <t>BELFON</t>
  </si>
  <si>
    <t>Ngeth</t>
  </si>
  <si>
    <t>Naimova</t>
  </si>
  <si>
    <t>Manigualt</t>
  </si>
  <si>
    <t>Mounter</t>
  </si>
  <si>
    <t>KISSI</t>
  </si>
  <si>
    <t>Lozado</t>
  </si>
  <si>
    <t>Ferreira</t>
  </si>
  <si>
    <t>Ababio</t>
  </si>
  <si>
    <t>ROGERS</t>
  </si>
  <si>
    <t>Paredes</t>
  </si>
  <si>
    <t>Saunders</t>
  </si>
  <si>
    <t>Elvy</t>
  </si>
  <si>
    <t>Cuevas</t>
  </si>
  <si>
    <t>Aponte</t>
  </si>
  <si>
    <t>BRYSON</t>
  </si>
  <si>
    <t>Candelaria</t>
  </si>
  <si>
    <t>HOFFMAN</t>
  </si>
  <si>
    <t>Madeiras</t>
  </si>
  <si>
    <t>Growich</t>
  </si>
  <si>
    <t>Breton</t>
  </si>
  <si>
    <t>Qumbargi</t>
  </si>
  <si>
    <t>islam</t>
  </si>
  <si>
    <t>Marcial</t>
  </si>
  <si>
    <t>Trice</t>
  </si>
  <si>
    <t>Semanek</t>
  </si>
  <si>
    <t>Sims</t>
  </si>
  <si>
    <t>DELAROSA</t>
  </si>
  <si>
    <t>Ashford</t>
  </si>
  <si>
    <t>Ungar</t>
  </si>
  <si>
    <t>Jusino</t>
  </si>
  <si>
    <t>Marin</t>
  </si>
  <si>
    <t>Marrasquin</t>
  </si>
  <si>
    <t>Arango</t>
  </si>
  <si>
    <t>Checo</t>
  </si>
  <si>
    <t>Valle</t>
  </si>
  <si>
    <t>Petters</t>
  </si>
  <si>
    <t>Gillani</t>
  </si>
  <si>
    <t>Segura</t>
  </si>
  <si>
    <t>Hamner</t>
  </si>
  <si>
    <t>Doesserie-Mitchell</t>
  </si>
  <si>
    <t>Hamilton</t>
  </si>
  <si>
    <t>Toussaint</t>
  </si>
  <si>
    <t>Colon Campusano</t>
  </si>
  <si>
    <t>Musik-Ayala</t>
  </si>
  <si>
    <t>Megginson</t>
  </si>
  <si>
    <t>Muñoz</t>
  </si>
  <si>
    <t>Jatieh</t>
  </si>
  <si>
    <t>Reece</t>
  </si>
  <si>
    <t>Luengas</t>
  </si>
  <si>
    <t>Bowen</t>
  </si>
  <si>
    <t>Adderley</t>
  </si>
  <si>
    <t>Jagnarain</t>
  </si>
  <si>
    <t>Mohan</t>
  </si>
  <si>
    <t>Assibu</t>
  </si>
  <si>
    <t>Beck</t>
  </si>
  <si>
    <t>Galvan Escano</t>
  </si>
  <si>
    <t>Estrada</t>
  </si>
  <si>
    <t>Metellus</t>
  </si>
  <si>
    <t>Abdelmalak</t>
  </si>
  <si>
    <t>Rosenbaum</t>
  </si>
  <si>
    <t>Mateo Mejia</t>
  </si>
  <si>
    <t>Matias</t>
  </si>
  <si>
    <t>Odum</t>
  </si>
  <si>
    <t>Vinson</t>
  </si>
  <si>
    <t>Gyles</t>
  </si>
  <si>
    <t>Phipps</t>
  </si>
  <si>
    <t>Cauldwell</t>
  </si>
  <si>
    <t>Middleton</t>
  </si>
  <si>
    <t>Groenwood</t>
  </si>
  <si>
    <t>Santacruz</t>
  </si>
  <si>
    <t>Lichtenstein</t>
  </si>
  <si>
    <t>Schneller</t>
  </si>
  <si>
    <t>Becerra</t>
  </si>
  <si>
    <t>Kubik</t>
  </si>
  <si>
    <t>Kinalis</t>
  </si>
  <si>
    <t>Licona</t>
  </si>
  <si>
    <t>Otchere</t>
  </si>
  <si>
    <t>Lasley</t>
  </si>
  <si>
    <t>Thorn Taber</t>
  </si>
  <si>
    <t>Pryce</t>
  </si>
  <si>
    <t>Halim</t>
  </si>
  <si>
    <t>Cupidore</t>
  </si>
  <si>
    <t>O'Kane</t>
  </si>
  <si>
    <t>Jemima</t>
  </si>
  <si>
    <t>Chin</t>
  </si>
  <si>
    <t>Pierson</t>
  </si>
  <si>
    <t>Dragon</t>
  </si>
  <si>
    <t>Carela</t>
  </si>
  <si>
    <t>Poe</t>
  </si>
  <si>
    <t>Defreitas</t>
  </si>
  <si>
    <t>Chadwick-Daley</t>
  </si>
  <si>
    <t>Nagy</t>
  </si>
  <si>
    <t>Monrose</t>
  </si>
  <si>
    <t>Boichenko-Ann</t>
  </si>
  <si>
    <t>Dorsey</t>
  </si>
  <si>
    <t>Usman</t>
  </si>
  <si>
    <t>Carona</t>
  </si>
  <si>
    <t>Nazario</t>
  </si>
  <si>
    <t>De Los Santos</t>
  </si>
  <si>
    <t>Spence</t>
  </si>
  <si>
    <t>DURAN</t>
  </si>
  <si>
    <t>Arache</t>
  </si>
  <si>
    <t>Grymes</t>
  </si>
  <si>
    <t>Bailey-Barnes</t>
  </si>
  <si>
    <t>Webster</t>
  </si>
  <si>
    <t>Muller</t>
  </si>
  <si>
    <t>Findley</t>
  </si>
  <si>
    <t>Manners</t>
  </si>
  <si>
    <t>Orea</t>
  </si>
  <si>
    <t>Hostos</t>
  </si>
  <si>
    <t>Fong</t>
  </si>
  <si>
    <t>Tejeda</t>
  </si>
  <si>
    <t>Mateo</t>
  </si>
  <si>
    <t>Speed</t>
  </si>
  <si>
    <t>Gangaram</t>
  </si>
  <si>
    <t>Kornegay</t>
  </si>
  <si>
    <t>Baustista</t>
  </si>
  <si>
    <t>Cambio</t>
  </si>
  <si>
    <t>Moona</t>
  </si>
  <si>
    <t>Reeves</t>
  </si>
  <si>
    <t>Casado</t>
  </si>
  <si>
    <t>Diaz Colon</t>
  </si>
  <si>
    <t>REYES</t>
  </si>
  <si>
    <t>Gillen</t>
  </si>
  <si>
    <t>Giraud</t>
  </si>
  <si>
    <t>Aloisio</t>
  </si>
  <si>
    <t>Mubaraz</t>
  </si>
  <si>
    <t>Mingo</t>
  </si>
  <si>
    <t>Bascom</t>
  </si>
  <si>
    <t>Grier</t>
  </si>
  <si>
    <t>Fenelon</t>
  </si>
  <si>
    <t>Saldana Morales</t>
  </si>
  <si>
    <t>Diabankie</t>
  </si>
  <si>
    <t>Lyons</t>
  </si>
  <si>
    <t>Andrews</t>
  </si>
  <si>
    <t>Paupaw</t>
  </si>
  <si>
    <t>Umroa</t>
  </si>
  <si>
    <t>Nuredin</t>
  </si>
  <si>
    <t>Reynoso</t>
  </si>
  <si>
    <t>Lamontagne</t>
  </si>
  <si>
    <t>Goode</t>
  </si>
  <si>
    <t>Sime</t>
  </si>
  <si>
    <t>Araka</t>
  </si>
  <si>
    <t>Dominico</t>
  </si>
  <si>
    <t>Berroa</t>
  </si>
  <si>
    <t>Dowdy</t>
  </si>
  <si>
    <t>Harmon</t>
  </si>
  <si>
    <t>florencio</t>
  </si>
  <si>
    <t>Bisono</t>
  </si>
  <si>
    <t>St.Marthe</t>
  </si>
  <si>
    <t>Mena</t>
  </si>
  <si>
    <t>Ita</t>
  </si>
  <si>
    <t>Springer</t>
  </si>
  <si>
    <t>Catellanos</t>
  </si>
  <si>
    <t>Hendrix</t>
  </si>
  <si>
    <t>Browning</t>
  </si>
  <si>
    <t>Mbengue</t>
  </si>
  <si>
    <t>Hanes</t>
  </si>
  <si>
    <t>Sheen</t>
  </si>
  <si>
    <t>Janovics</t>
  </si>
  <si>
    <t>Sealy</t>
  </si>
  <si>
    <t>Bookman</t>
  </si>
  <si>
    <t>Buchfuhrer</t>
  </si>
  <si>
    <t>Mei</t>
  </si>
  <si>
    <t>Alamgir</t>
  </si>
  <si>
    <t>Flete</t>
  </si>
  <si>
    <t>Gurley</t>
  </si>
  <si>
    <t>Housel</t>
  </si>
  <si>
    <t>Mannan</t>
  </si>
  <si>
    <t>Farias</t>
  </si>
  <si>
    <t>Mangra</t>
  </si>
  <si>
    <t>Burke</t>
  </si>
  <si>
    <t>Oliveros</t>
  </si>
  <si>
    <t>Tanksley</t>
  </si>
  <si>
    <t>Edeltuch</t>
  </si>
  <si>
    <t>Petit-Phare</t>
  </si>
  <si>
    <t>Shehebar</t>
  </si>
  <si>
    <t>Rios</t>
  </si>
  <si>
    <t>Calix</t>
  </si>
  <si>
    <t>Durden</t>
  </si>
  <si>
    <t>Wade</t>
  </si>
  <si>
    <t>Keita</t>
  </si>
  <si>
    <t>Powell</t>
  </si>
  <si>
    <t>Ducret</t>
  </si>
  <si>
    <t>JONES</t>
  </si>
  <si>
    <t>Wright-Johnson</t>
  </si>
  <si>
    <t>Perdomo</t>
  </si>
  <si>
    <t>Maxwell</t>
  </si>
  <si>
    <t>Ciancimino</t>
  </si>
  <si>
    <t>Ciabattari</t>
  </si>
  <si>
    <t>Tarulli</t>
  </si>
  <si>
    <t>Geronimo</t>
  </si>
  <si>
    <t>Chan</t>
  </si>
  <si>
    <t>VASQUEZ</t>
  </si>
  <si>
    <t>Bromell</t>
  </si>
  <si>
    <t>Camejo</t>
  </si>
  <si>
    <t>Abrams</t>
  </si>
  <si>
    <t>DeFillippi</t>
  </si>
  <si>
    <t>COLON</t>
  </si>
  <si>
    <t>Nixon</t>
  </si>
  <si>
    <t>Stanford</t>
  </si>
  <si>
    <t>Yarde</t>
  </si>
  <si>
    <t>Smith Booker</t>
  </si>
  <si>
    <t>Baum</t>
  </si>
  <si>
    <t>Daza</t>
  </si>
  <si>
    <t>McGriff</t>
  </si>
  <si>
    <t>Copeland</t>
  </si>
  <si>
    <t>Wood</t>
  </si>
  <si>
    <t>Galindo</t>
  </si>
  <si>
    <t>Machacha</t>
  </si>
  <si>
    <t>Hollington</t>
  </si>
  <si>
    <t>Omolayo</t>
  </si>
  <si>
    <t>Darby</t>
  </si>
  <si>
    <t>Heras</t>
  </si>
  <si>
    <t>Beltrain</t>
  </si>
  <si>
    <t>Duncan</t>
  </si>
  <si>
    <t>Vanderpool</t>
  </si>
  <si>
    <t>Lapointe</t>
  </si>
  <si>
    <t>Briggs</t>
  </si>
  <si>
    <t>Sharpe</t>
  </si>
  <si>
    <t>Sabb</t>
  </si>
  <si>
    <t>Locario</t>
  </si>
  <si>
    <t>Eberhart</t>
  </si>
  <si>
    <t>Hills</t>
  </si>
  <si>
    <t>Coke</t>
  </si>
  <si>
    <t>Shapiro</t>
  </si>
  <si>
    <t>Petty</t>
  </si>
  <si>
    <t>Gilmore-Lane</t>
  </si>
  <si>
    <t>Momplaisir</t>
  </si>
  <si>
    <t>Pinder</t>
  </si>
  <si>
    <t>Roberts</t>
  </si>
  <si>
    <t>Telesford</t>
  </si>
  <si>
    <t>Tisdale</t>
  </si>
  <si>
    <t>Ballard</t>
  </si>
  <si>
    <t>Cokley</t>
  </si>
  <si>
    <t>Segar</t>
  </si>
  <si>
    <t>Mcnichols</t>
  </si>
  <si>
    <t>Holligan</t>
  </si>
  <si>
    <t>McFarlane</t>
  </si>
  <si>
    <t>Olivera</t>
  </si>
  <si>
    <t>Saint Hill</t>
  </si>
  <si>
    <t>Turenne</t>
  </si>
  <si>
    <t>Donovan</t>
  </si>
  <si>
    <t>Dawes</t>
  </si>
  <si>
    <t>Lamberty</t>
  </si>
  <si>
    <t>Gobin</t>
  </si>
  <si>
    <t>Breitstein</t>
  </si>
  <si>
    <t>Fils</t>
  </si>
  <si>
    <t>Haigler Brown</t>
  </si>
  <si>
    <t>Mabry</t>
  </si>
  <si>
    <t>Deacon</t>
  </si>
  <si>
    <t>Baldi</t>
  </si>
  <si>
    <t>Mancebo</t>
  </si>
  <si>
    <t>Clemons</t>
  </si>
  <si>
    <t>Stuckey</t>
  </si>
  <si>
    <t>Selby</t>
  </si>
  <si>
    <t>Lynn</t>
  </si>
  <si>
    <t>Jussome</t>
  </si>
  <si>
    <t>Weigand</t>
  </si>
  <si>
    <t>Fall</t>
  </si>
  <si>
    <t>Rambaran</t>
  </si>
  <si>
    <t>Hippolyte</t>
  </si>
  <si>
    <t>Cobos</t>
  </si>
  <si>
    <t>Seacor</t>
  </si>
  <si>
    <t>Zito</t>
  </si>
  <si>
    <t>Canfield</t>
  </si>
  <si>
    <t>Bogain</t>
  </si>
  <si>
    <t>Garduno</t>
  </si>
  <si>
    <t>Yacolino</t>
  </si>
  <si>
    <t>Bochkarev</t>
  </si>
  <si>
    <t>Bourg</t>
  </si>
  <si>
    <t>Chapman</t>
  </si>
  <si>
    <t>Olea</t>
  </si>
  <si>
    <t>Crandle</t>
  </si>
  <si>
    <t>Eleam</t>
  </si>
  <si>
    <t>Allah</t>
  </si>
  <si>
    <t>Hackshaw</t>
  </si>
  <si>
    <t>Omolade</t>
  </si>
  <si>
    <t>Mosley</t>
  </si>
  <si>
    <t>Pough</t>
  </si>
  <si>
    <t>Carter</t>
  </si>
  <si>
    <t>Wurzberger</t>
  </si>
  <si>
    <t>Lafontaine</t>
  </si>
  <si>
    <t>Pearson</t>
  </si>
  <si>
    <t>Westerband</t>
  </si>
  <si>
    <t>DURAN PIMENTAL</t>
  </si>
  <si>
    <t>Mayaki</t>
  </si>
  <si>
    <t>Sore</t>
  </si>
  <si>
    <t>Coronel</t>
  </si>
  <si>
    <t>Whidbee</t>
  </si>
  <si>
    <t>Jean-Francois</t>
  </si>
  <si>
    <t>Diaz Quiles</t>
  </si>
  <si>
    <t>Kendall</t>
  </si>
  <si>
    <t>Chisholm</t>
  </si>
  <si>
    <t>Monayed</t>
  </si>
  <si>
    <t>Groves</t>
  </si>
  <si>
    <t>Montas</t>
  </si>
  <si>
    <t>Belton</t>
  </si>
  <si>
    <t>Coaxum</t>
  </si>
  <si>
    <t>Hoover</t>
  </si>
  <si>
    <t>Deadwiley</t>
  </si>
  <si>
    <t>Hunt</t>
  </si>
  <si>
    <t>Dosso</t>
  </si>
  <si>
    <t>Atusiubah</t>
  </si>
  <si>
    <t>Cox Lawson</t>
  </si>
  <si>
    <t>POLANCO</t>
  </si>
  <si>
    <t>Rodriquez</t>
  </si>
  <si>
    <t>Robles</t>
  </si>
  <si>
    <t>Dawkins</t>
  </si>
  <si>
    <t>Webb</t>
  </si>
  <si>
    <t>Barriteau</t>
  </si>
  <si>
    <t>Gaviola</t>
  </si>
  <si>
    <t>Sherrill</t>
  </si>
  <si>
    <t>Rivas Soto</t>
  </si>
  <si>
    <t>Komara</t>
  </si>
  <si>
    <t>Childs</t>
  </si>
  <si>
    <t>McAdams</t>
  </si>
  <si>
    <t>Anastasiou</t>
  </si>
  <si>
    <t>Munroe</t>
  </si>
  <si>
    <t>Tatum</t>
  </si>
  <si>
    <t>Oller</t>
  </si>
  <si>
    <t>Gravesande</t>
  </si>
  <si>
    <t>Shahoah</t>
  </si>
  <si>
    <t>Welch</t>
  </si>
  <si>
    <t>Breeland</t>
  </si>
  <si>
    <t>Primiani</t>
  </si>
  <si>
    <t>Durant</t>
  </si>
  <si>
    <t>Donmez</t>
  </si>
  <si>
    <t>Castrejon</t>
  </si>
  <si>
    <t>Jalloh</t>
  </si>
  <si>
    <t>Aya</t>
  </si>
  <si>
    <t>Blair</t>
  </si>
  <si>
    <t>Quniones</t>
  </si>
  <si>
    <t>Permiceo</t>
  </si>
  <si>
    <t>paez</t>
  </si>
  <si>
    <t>Heard</t>
  </si>
  <si>
    <t>Mcgeachy</t>
  </si>
  <si>
    <t>Camara</t>
  </si>
  <si>
    <t>Ramirez Taveras</t>
  </si>
  <si>
    <t>Irvin</t>
  </si>
  <si>
    <t>Piro</t>
  </si>
  <si>
    <t>Delacruz</t>
  </si>
  <si>
    <t>Ndiaye</t>
  </si>
  <si>
    <t>Adonis</t>
  </si>
  <si>
    <t>Strickland</t>
  </si>
  <si>
    <t>Cotte</t>
  </si>
  <si>
    <t>Coates</t>
  </si>
  <si>
    <t>Boone</t>
  </si>
  <si>
    <t>Corona</t>
  </si>
  <si>
    <t>Ngo Ndom</t>
  </si>
  <si>
    <t>Ashfaq</t>
  </si>
  <si>
    <t>Tolbert</t>
  </si>
  <si>
    <t>Gouraige</t>
  </si>
  <si>
    <t>Rollgier-Marshall</t>
  </si>
  <si>
    <t>Troare</t>
  </si>
  <si>
    <t>Merritt</t>
  </si>
  <si>
    <t>Fearon</t>
  </si>
  <si>
    <t>Naula</t>
  </si>
  <si>
    <t>Asiedu</t>
  </si>
  <si>
    <t>Abad</t>
  </si>
  <si>
    <t>Harvin</t>
  </si>
  <si>
    <t>Niellolson</t>
  </si>
  <si>
    <t>Romero Castro</t>
  </si>
  <si>
    <t>Rucker</t>
  </si>
  <si>
    <t>Fowler</t>
  </si>
  <si>
    <t>Alvarado</t>
  </si>
  <si>
    <t>Solano</t>
  </si>
  <si>
    <t>Boutrin-Jones</t>
  </si>
  <si>
    <t>Wardlaw</t>
  </si>
  <si>
    <t>Boncoeur</t>
  </si>
  <si>
    <t>Perez Wolf</t>
  </si>
  <si>
    <t>Rugerio</t>
  </si>
  <si>
    <t>Bernabe</t>
  </si>
  <si>
    <t>Kenchen</t>
  </si>
  <si>
    <t>Esquea</t>
  </si>
  <si>
    <t>Mieses</t>
  </si>
  <si>
    <t>Maylor</t>
  </si>
  <si>
    <t>Tart</t>
  </si>
  <si>
    <t>Logvinov</t>
  </si>
  <si>
    <t>Flomo</t>
  </si>
  <si>
    <t>Bolivar</t>
  </si>
  <si>
    <t>Cheeks</t>
  </si>
  <si>
    <t>Nwaoha</t>
  </si>
  <si>
    <t>Simon</t>
  </si>
  <si>
    <t>Rogers</t>
  </si>
  <si>
    <t>Hoque</t>
  </si>
  <si>
    <t>Bracero</t>
  </si>
  <si>
    <t>Matthews</t>
  </si>
  <si>
    <t>Leake</t>
  </si>
  <si>
    <t>Rigaud</t>
  </si>
  <si>
    <t>Tupete</t>
  </si>
  <si>
    <t>Martinez Pichardo</t>
  </si>
  <si>
    <t>Milden</t>
  </si>
  <si>
    <t>Gregg</t>
  </si>
  <si>
    <t>Beltre</t>
  </si>
  <si>
    <t>Tavarez Jimenez</t>
  </si>
  <si>
    <t>Lennon</t>
  </si>
  <si>
    <t>DeBride</t>
  </si>
  <si>
    <t>Alarape</t>
  </si>
  <si>
    <t>Atell</t>
  </si>
  <si>
    <t>BARRIOS</t>
  </si>
  <si>
    <t>Livingstone</t>
  </si>
  <si>
    <t>Croft</t>
  </si>
  <si>
    <t>McDowell-Butts</t>
  </si>
  <si>
    <t>Day</t>
  </si>
  <si>
    <t>Campoverde</t>
  </si>
  <si>
    <t>Mota</t>
  </si>
  <si>
    <t>Cambian</t>
  </si>
  <si>
    <t>Macauley</t>
  </si>
  <si>
    <t>Taveras S</t>
  </si>
  <si>
    <t>Nicasio</t>
  </si>
  <si>
    <t>Gutierrez</t>
  </si>
  <si>
    <t>Quildon</t>
  </si>
  <si>
    <t>London</t>
  </si>
  <si>
    <t>Granger</t>
  </si>
  <si>
    <t>Crucey</t>
  </si>
  <si>
    <t>sanchez</t>
  </si>
  <si>
    <t>Feldman</t>
  </si>
  <si>
    <t>Fortune</t>
  </si>
  <si>
    <t>Wooten</t>
  </si>
  <si>
    <t>Webber</t>
  </si>
  <si>
    <t>Adodo-Addeh</t>
  </si>
  <si>
    <t>Humala</t>
  </si>
  <si>
    <t>McCurdy</t>
  </si>
  <si>
    <t>Golds</t>
  </si>
  <si>
    <t>Lanza</t>
  </si>
  <si>
    <t>Cadiz</t>
  </si>
  <si>
    <t>Hewitt</t>
  </si>
  <si>
    <t>Gapar</t>
  </si>
  <si>
    <t>Lynton</t>
  </si>
  <si>
    <t>Werkmeister</t>
  </si>
  <si>
    <t>Sey</t>
  </si>
  <si>
    <t>Bazan</t>
  </si>
  <si>
    <t>Canty</t>
  </si>
  <si>
    <t>MOJICA</t>
  </si>
  <si>
    <t>FERNANDEZ</t>
  </si>
  <si>
    <t>Goubatova</t>
  </si>
  <si>
    <t>PEREZ</t>
  </si>
  <si>
    <t>Rozon</t>
  </si>
  <si>
    <t>Diaby</t>
  </si>
  <si>
    <t>Cleto</t>
  </si>
  <si>
    <t>Frimpong Agyeman</t>
  </si>
  <si>
    <t>Nesmith</t>
  </si>
  <si>
    <t>Servones</t>
  </si>
  <si>
    <t>Sweat</t>
  </si>
  <si>
    <t>Craig-Hernandez</t>
  </si>
  <si>
    <t>Raj</t>
  </si>
  <si>
    <t>Liguori</t>
  </si>
  <si>
    <t>Oliveras</t>
  </si>
  <si>
    <t>Sarco</t>
  </si>
  <si>
    <t>Battle</t>
  </si>
  <si>
    <t>Espinosa Rodriguez</t>
  </si>
  <si>
    <t>Sacks</t>
  </si>
  <si>
    <t>Boomer</t>
  </si>
  <si>
    <t>Marunde</t>
  </si>
  <si>
    <t>Armstrong</t>
  </si>
  <si>
    <t>Orenkleim</t>
  </si>
  <si>
    <t>Easton</t>
  </si>
  <si>
    <t>Adler</t>
  </si>
  <si>
    <t>Maquilon</t>
  </si>
  <si>
    <t>Taylor Toulson</t>
  </si>
  <si>
    <t>Devonish</t>
  </si>
  <si>
    <t>Zabala</t>
  </si>
  <si>
    <t>Putinskaya</t>
  </si>
  <si>
    <t>Omatyar</t>
  </si>
  <si>
    <t>Askew-Thomas</t>
  </si>
  <si>
    <t>Ventura- Marte</t>
  </si>
  <si>
    <t>Castro- Escarraman</t>
  </si>
  <si>
    <t>Lebron</t>
  </si>
  <si>
    <t>Blackman</t>
  </si>
  <si>
    <t>Kargbo</t>
  </si>
  <si>
    <t>Cazley</t>
  </si>
  <si>
    <t>Puentes</t>
  </si>
  <si>
    <t>Seabrook</t>
  </si>
  <si>
    <t>Raffi</t>
  </si>
  <si>
    <t>de Aza</t>
  </si>
  <si>
    <t>Ascencion</t>
  </si>
  <si>
    <t>Goodridge</t>
  </si>
  <si>
    <t>Schwartz</t>
  </si>
  <si>
    <t>Lima</t>
  </si>
  <si>
    <t>Iddrisu</t>
  </si>
  <si>
    <t>Gimenez</t>
  </si>
  <si>
    <t>Dumas</t>
  </si>
  <si>
    <t>Alstock</t>
  </si>
  <si>
    <t>Daymond</t>
  </si>
  <si>
    <t>Loverde</t>
  </si>
  <si>
    <t>Lamar</t>
  </si>
  <si>
    <t>Debnam</t>
  </si>
  <si>
    <t>Blango</t>
  </si>
  <si>
    <t>Newman</t>
  </si>
  <si>
    <t>Simmonds</t>
  </si>
  <si>
    <t>Williamson</t>
  </si>
  <si>
    <t>Ozorio</t>
  </si>
  <si>
    <t>Carr</t>
  </si>
  <si>
    <t>Dolan</t>
  </si>
  <si>
    <t>Kaya</t>
  </si>
  <si>
    <t>Glanville</t>
  </si>
  <si>
    <t>Vielot</t>
  </si>
  <si>
    <t>Custodio</t>
  </si>
  <si>
    <t>Ruple</t>
  </si>
  <si>
    <t>NOBOA</t>
  </si>
  <si>
    <t>Callender</t>
  </si>
  <si>
    <t>Eji</t>
  </si>
  <si>
    <t>Febrillet</t>
  </si>
  <si>
    <t>Meerbaum</t>
  </si>
  <si>
    <t>Nowacki</t>
  </si>
  <si>
    <t>Fothergill</t>
  </si>
  <si>
    <t>Massey</t>
  </si>
  <si>
    <t>Byfield</t>
  </si>
  <si>
    <t>Sucasaca</t>
  </si>
  <si>
    <t>Viespe</t>
  </si>
  <si>
    <t>Hodge</t>
  </si>
  <si>
    <t>Grullon</t>
  </si>
  <si>
    <t>Moultry</t>
  </si>
  <si>
    <t>Norales</t>
  </si>
  <si>
    <t>Bess</t>
  </si>
  <si>
    <t>Igartua</t>
  </si>
  <si>
    <t>Sheftall</t>
  </si>
  <si>
    <t>Kendrick</t>
  </si>
  <si>
    <t>McKenna</t>
  </si>
  <si>
    <t>Renkas</t>
  </si>
  <si>
    <t>Dierro</t>
  </si>
  <si>
    <t>Quiroz</t>
  </si>
  <si>
    <t>Serebriakov</t>
  </si>
  <si>
    <t>Gaspar</t>
  </si>
  <si>
    <t>Hershberg</t>
  </si>
  <si>
    <t>Deodat</t>
  </si>
  <si>
    <t>Camacho</t>
  </si>
  <si>
    <t>Lawtone-Bowles</t>
  </si>
  <si>
    <t>Makha</t>
  </si>
  <si>
    <t>Gaston</t>
  </si>
  <si>
    <t>Tavares</t>
  </si>
  <si>
    <t>Escalante</t>
  </si>
  <si>
    <t>Guthridge</t>
  </si>
  <si>
    <t>Puente</t>
  </si>
  <si>
    <t>Lazu</t>
  </si>
  <si>
    <t>Ocasio</t>
  </si>
  <si>
    <t>Jamison</t>
  </si>
  <si>
    <t>Blalock</t>
  </si>
  <si>
    <t>Quero</t>
  </si>
  <si>
    <t>Okonji</t>
  </si>
  <si>
    <t>Reinoso</t>
  </si>
  <si>
    <t>Preyor</t>
  </si>
  <si>
    <t>Statuto</t>
  </si>
  <si>
    <t>Blumenberg</t>
  </si>
  <si>
    <t>Ventura</t>
  </si>
  <si>
    <t>Providence</t>
  </si>
  <si>
    <t>Rossi</t>
  </si>
  <si>
    <t>Belen</t>
  </si>
  <si>
    <t>Zraick</t>
  </si>
  <si>
    <t>Cintron Cosme</t>
  </si>
  <si>
    <t>Irizarry</t>
  </si>
  <si>
    <t>Metayer</t>
  </si>
  <si>
    <t>Carvajal</t>
  </si>
  <si>
    <t>Serrata</t>
  </si>
  <si>
    <t>Keitt</t>
  </si>
  <si>
    <t>Lopez De Hernandez</t>
  </si>
  <si>
    <t>Guilaouogui</t>
  </si>
  <si>
    <t>Hidalgo</t>
  </si>
  <si>
    <t>Mesa</t>
  </si>
  <si>
    <t>Rijo</t>
  </si>
  <si>
    <t>Nugent</t>
  </si>
  <si>
    <t>Saavedra</t>
  </si>
  <si>
    <t>Medrano</t>
  </si>
  <si>
    <t>Oriola</t>
  </si>
  <si>
    <t>Baliban</t>
  </si>
  <si>
    <t>Rice</t>
  </si>
  <si>
    <t>Donis</t>
  </si>
  <si>
    <t>Mellah</t>
  </si>
  <si>
    <t>Gillespie</t>
  </si>
  <si>
    <t>Hester</t>
  </si>
  <si>
    <t>Rand</t>
  </si>
  <si>
    <t>Stridiron</t>
  </si>
  <si>
    <t>Makonnen</t>
  </si>
  <si>
    <t>Cromwell</t>
  </si>
  <si>
    <t>Holder</t>
  </si>
  <si>
    <t>Edrei</t>
  </si>
  <si>
    <t>Orellana</t>
  </si>
  <si>
    <t>Meachum</t>
  </si>
  <si>
    <t>Da Silva</t>
  </si>
  <si>
    <t>Magnus</t>
  </si>
  <si>
    <t>Hercules</t>
  </si>
  <si>
    <t>Mcknight</t>
  </si>
  <si>
    <t>Des Vignes</t>
  </si>
  <si>
    <t>Quinn</t>
  </si>
  <si>
    <t>Ottomanelli</t>
  </si>
  <si>
    <t>Cromarty</t>
  </si>
  <si>
    <t>Giles</t>
  </si>
  <si>
    <t>Young-Mark</t>
  </si>
  <si>
    <t>Tempro</t>
  </si>
  <si>
    <t>Flewellen</t>
  </si>
  <si>
    <t>Delosantos</t>
  </si>
  <si>
    <t>Manzanillo</t>
  </si>
  <si>
    <t>Logrande</t>
  </si>
  <si>
    <t>Jackman</t>
  </si>
  <si>
    <t>Encalada</t>
  </si>
  <si>
    <t>Aviles</t>
  </si>
  <si>
    <t>Bolt</t>
  </si>
  <si>
    <t>Reed</t>
  </si>
  <si>
    <t>Carrington</t>
  </si>
  <si>
    <t>Goldstein</t>
  </si>
  <si>
    <t>Samuels</t>
  </si>
  <si>
    <t>Murph</t>
  </si>
  <si>
    <t>Moye</t>
  </si>
  <si>
    <t>Worsley</t>
  </si>
  <si>
    <t>Fuller</t>
  </si>
  <si>
    <t>Browne</t>
  </si>
  <si>
    <t>Marksman</t>
  </si>
  <si>
    <t>Wilby</t>
  </si>
  <si>
    <t>Resto</t>
  </si>
  <si>
    <t>Carranza</t>
  </si>
  <si>
    <t>Edwards-Stoute</t>
  </si>
  <si>
    <t>Ebanks</t>
  </si>
  <si>
    <t>Wannamaker</t>
  </si>
  <si>
    <t>Blunt</t>
  </si>
  <si>
    <t>Merlo</t>
  </si>
  <si>
    <t>Kader</t>
  </si>
  <si>
    <t>Punnette-Grandison</t>
  </si>
  <si>
    <t>Izaguirre</t>
  </si>
  <si>
    <t>Davids</t>
  </si>
  <si>
    <t>Castro Rivera</t>
  </si>
  <si>
    <t>Royal</t>
  </si>
  <si>
    <t>Mathis</t>
  </si>
  <si>
    <t>Carrero</t>
  </si>
  <si>
    <t>Sanoe</t>
  </si>
  <si>
    <t>Ye</t>
  </si>
  <si>
    <t>Paterson</t>
  </si>
  <si>
    <t>Deluoglu</t>
  </si>
  <si>
    <t>Aigle</t>
  </si>
  <si>
    <t>Lee-Daniel</t>
  </si>
  <si>
    <t>Scott-James</t>
  </si>
  <si>
    <t>Jolibois</t>
  </si>
  <si>
    <t>Krylova</t>
  </si>
  <si>
    <t>Akbar</t>
  </si>
  <si>
    <t>Lovario</t>
  </si>
  <si>
    <t>Hodgson</t>
  </si>
  <si>
    <t>Harrington</t>
  </si>
  <si>
    <t>Grayson</t>
  </si>
  <si>
    <t>Cocks</t>
  </si>
  <si>
    <t>Alfieri</t>
  </si>
  <si>
    <t>Wray</t>
  </si>
  <si>
    <t>Minot</t>
  </si>
  <si>
    <t>Sawyer</t>
  </si>
  <si>
    <t>Placido Sarita</t>
  </si>
  <si>
    <t>Labunsky</t>
  </si>
  <si>
    <t>Risbrook</t>
  </si>
  <si>
    <t>Ortigoza</t>
  </si>
  <si>
    <t>Lamour</t>
  </si>
  <si>
    <t>Barbosa</t>
  </si>
  <si>
    <t>Gross</t>
  </si>
  <si>
    <t>Hovey</t>
  </si>
  <si>
    <t>Bonilla</t>
  </si>
  <si>
    <t>Tijani</t>
  </si>
  <si>
    <t>Dupiche</t>
  </si>
  <si>
    <t>Ferdous</t>
  </si>
  <si>
    <t>FERREIRA</t>
  </si>
  <si>
    <t>Chozom</t>
  </si>
  <si>
    <t>Elmore</t>
  </si>
  <si>
    <t>Malick</t>
  </si>
  <si>
    <t>Goodman</t>
  </si>
  <si>
    <t>Bevilacqua</t>
  </si>
  <si>
    <t>Gainer</t>
  </si>
  <si>
    <t>Tambriz Guarchaj</t>
  </si>
  <si>
    <t>Sylla</t>
  </si>
  <si>
    <t>Cheathem</t>
  </si>
  <si>
    <t>McCall</t>
  </si>
  <si>
    <t>Polgar</t>
  </si>
  <si>
    <t>Aria</t>
  </si>
  <si>
    <t>Tempey</t>
  </si>
  <si>
    <t>Stewart-Billingy</t>
  </si>
  <si>
    <t>Soto-Cruz</t>
  </si>
  <si>
    <t>Kane</t>
  </si>
  <si>
    <t>Hull</t>
  </si>
  <si>
    <t>Nyarko</t>
  </si>
  <si>
    <t>Adamson</t>
  </si>
  <si>
    <t>Harris-Little</t>
  </si>
  <si>
    <t>Payton</t>
  </si>
  <si>
    <t>Drakeford</t>
  </si>
  <si>
    <t>Carbajal</t>
  </si>
  <si>
    <t>Bowman</t>
  </si>
  <si>
    <t>Mickens</t>
  </si>
  <si>
    <t>Cioffi</t>
  </si>
  <si>
    <t>Feagin</t>
  </si>
  <si>
    <t>Riveras</t>
  </si>
  <si>
    <t>Wiley</t>
  </si>
  <si>
    <t>Lieber</t>
  </si>
  <si>
    <t>hightower</t>
  </si>
  <si>
    <t>Kingston</t>
  </si>
  <si>
    <t>Mombeleur</t>
  </si>
  <si>
    <t>Salcedo Gonzalez</t>
  </si>
  <si>
    <t>Adjaratou</t>
  </si>
  <si>
    <t>Ilarraza</t>
  </si>
  <si>
    <t>Taborda</t>
  </si>
  <si>
    <t>Renesca</t>
  </si>
  <si>
    <t>McBride</t>
  </si>
  <si>
    <t>Medina-Restrepo</t>
  </si>
  <si>
    <t>Barahona</t>
  </si>
  <si>
    <t>Woodard</t>
  </si>
  <si>
    <t>Seymour</t>
  </si>
  <si>
    <t>Yavich</t>
  </si>
  <si>
    <t>Ombongo-Golden</t>
  </si>
  <si>
    <t>Canavatchel</t>
  </si>
  <si>
    <t>Branch</t>
  </si>
  <si>
    <t>Sepulveda</t>
  </si>
  <si>
    <t>Bynum</t>
  </si>
  <si>
    <t>Soriano</t>
  </si>
  <si>
    <t>Guerriero</t>
  </si>
  <si>
    <t>Kozyr</t>
  </si>
  <si>
    <t>Fuentes</t>
  </si>
  <si>
    <t>D'Antonio</t>
  </si>
  <si>
    <t>Brujan</t>
  </si>
  <si>
    <t>Rivera Olavarria</t>
  </si>
  <si>
    <t>Barriffe</t>
  </si>
  <si>
    <t>Branford</t>
  </si>
  <si>
    <t>Nelson-Campbell</t>
  </si>
  <si>
    <t>Rodriguez-Fouzi</t>
  </si>
  <si>
    <t>Parada</t>
  </si>
  <si>
    <t>Hurbides</t>
  </si>
  <si>
    <t>Dilone</t>
  </si>
  <si>
    <t>Dminguez</t>
  </si>
  <si>
    <t>Reyes Fernandez</t>
  </si>
  <si>
    <t>Marajh</t>
  </si>
  <si>
    <t>Nolasco</t>
  </si>
  <si>
    <t>Swarna</t>
  </si>
  <si>
    <t>Curiel</t>
  </si>
  <si>
    <t>Creswell</t>
  </si>
  <si>
    <t>Shange</t>
  </si>
  <si>
    <t>Bitar</t>
  </si>
  <si>
    <t>Tomanelli</t>
  </si>
  <si>
    <t>Swinton</t>
  </si>
  <si>
    <t>VALCARCEL</t>
  </si>
  <si>
    <t>Campos</t>
  </si>
  <si>
    <t>Peals</t>
  </si>
  <si>
    <t>Tejada Guzman</t>
  </si>
  <si>
    <t>Bonheur</t>
  </si>
  <si>
    <t>Deen</t>
  </si>
  <si>
    <t>Jaggernauth</t>
  </si>
  <si>
    <t>Guillame</t>
  </si>
  <si>
    <t>Fortuna</t>
  </si>
  <si>
    <t>Villegas</t>
  </si>
  <si>
    <t>Basith</t>
  </si>
  <si>
    <t>Zhou</t>
  </si>
  <si>
    <t>Pitts</t>
  </si>
  <si>
    <t>Zuniga</t>
  </si>
  <si>
    <t>Kreiss</t>
  </si>
  <si>
    <t>Warmack</t>
  </si>
  <si>
    <t>Spencer</t>
  </si>
  <si>
    <t>Kevenides</t>
  </si>
  <si>
    <t>Bourov</t>
  </si>
  <si>
    <t>Palacios</t>
  </si>
  <si>
    <t>Kahan</t>
  </si>
  <si>
    <t>Almeida</t>
  </si>
  <si>
    <t>Marcano</t>
  </si>
  <si>
    <t>Senior</t>
  </si>
  <si>
    <t>Cancel</t>
  </si>
  <si>
    <t>Ferretti</t>
  </si>
  <si>
    <t>Durrant</t>
  </si>
  <si>
    <t>Amadeo</t>
  </si>
  <si>
    <t>Salguero</t>
  </si>
  <si>
    <t>Clermont</t>
  </si>
  <si>
    <t>Cividanes</t>
  </si>
  <si>
    <t>English</t>
  </si>
  <si>
    <t>Bazemore</t>
  </si>
  <si>
    <t>Bubb</t>
  </si>
  <si>
    <t>Guerrer</t>
  </si>
  <si>
    <t>Bowden</t>
  </si>
  <si>
    <t>Harris Gomez</t>
  </si>
  <si>
    <t>Lewars</t>
  </si>
  <si>
    <t>Liberos</t>
  </si>
  <si>
    <t>Sharpley</t>
  </si>
  <si>
    <t>Gonzales</t>
  </si>
  <si>
    <t>Granado</t>
  </si>
  <si>
    <t>Garrett</t>
  </si>
  <si>
    <t>Sampson</t>
  </si>
  <si>
    <t>Zion</t>
  </si>
  <si>
    <t>Mcfaddin</t>
  </si>
  <si>
    <t>DuSauzay</t>
  </si>
  <si>
    <t>Wolf-Creutzfeldt</t>
  </si>
  <si>
    <t>Mccolley</t>
  </si>
  <si>
    <t>Gallimore</t>
  </si>
  <si>
    <t>Hodges</t>
  </si>
  <si>
    <t>Hillard</t>
  </si>
  <si>
    <t>Likovic</t>
  </si>
  <si>
    <t>Halpin</t>
  </si>
  <si>
    <t>Engles</t>
  </si>
  <si>
    <t>St. Hill</t>
  </si>
  <si>
    <t>Kunene</t>
  </si>
  <si>
    <t>Holman</t>
  </si>
  <si>
    <t>Consoro</t>
  </si>
  <si>
    <t>Paz</t>
  </si>
  <si>
    <t>Sample</t>
  </si>
  <si>
    <t>McColley</t>
  </si>
  <si>
    <t>Brannigan</t>
  </si>
  <si>
    <t>Als</t>
  </si>
  <si>
    <t>Thily</t>
  </si>
  <si>
    <t>Peake</t>
  </si>
  <si>
    <t>LOPEZ</t>
  </si>
  <si>
    <t>BURDIER</t>
  </si>
  <si>
    <t>BENEDITH</t>
  </si>
  <si>
    <t>Alzawqari</t>
  </si>
  <si>
    <t>Darlington</t>
  </si>
  <si>
    <t>Qayyem</t>
  </si>
  <si>
    <t>Tolentino</t>
  </si>
  <si>
    <t>Marcelle</t>
  </si>
  <si>
    <t>Monroe</t>
  </si>
  <si>
    <t>Diagne</t>
  </si>
  <si>
    <t>Reddock</t>
  </si>
  <si>
    <t>Guiion</t>
  </si>
  <si>
    <t>Deleon</t>
  </si>
  <si>
    <t>Watts</t>
  </si>
  <si>
    <t>Orosco</t>
  </si>
  <si>
    <t>Pelayo</t>
  </si>
  <si>
    <t>Forbes-Dale</t>
  </si>
  <si>
    <t>Fazal</t>
  </si>
  <si>
    <t>Lennard</t>
  </si>
  <si>
    <t>Clay</t>
  </si>
  <si>
    <t>Siany</t>
  </si>
  <si>
    <t>Campiz</t>
  </si>
  <si>
    <t>Wynder</t>
  </si>
  <si>
    <t>Mukhamadieva</t>
  </si>
  <si>
    <t>Barrientos</t>
  </si>
  <si>
    <t>Degroat</t>
  </si>
  <si>
    <t>Lassiter</t>
  </si>
  <si>
    <t>Upshaw</t>
  </si>
  <si>
    <t>Raffoul</t>
  </si>
  <si>
    <t>Kerney</t>
  </si>
  <si>
    <t>Gayle</t>
  </si>
  <si>
    <t>Rabbath</t>
  </si>
  <si>
    <t>Villa-Ruiz</t>
  </si>
  <si>
    <t>Burden</t>
  </si>
  <si>
    <t>Compaore</t>
  </si>
  <si>
    <t>Quintyne</t>
  </si>
  <si>
    <t>Toure Doudou</t>
  </si>
  <si>
    <t>Perez-Garcia</t>
  </si>
  <si>
    <t>Watt</t>
  </si>
  <si>
    <t>Somersaul</t>
  </si>
  <si>
    <t>Vick</t>
  </si>
  <si>
    <t>Silva</t>
  </si>
  <si>
    <t>Moreno</t>
  </si>
  <si>
    <t>Joseph-Allen</t>
  </si>
  <si>
    <t>Crisostomo</t>
  </si>
  <si>
    <t>Flowers</t>
  </si>
  <si>
    <t>Bostick</t>
  </si>
  <si>
    <t>Ruiz Santana</t>
  </si>
  <si>
    <t>Maxey</t>
  </si>
  <si>
    <t>Quarshie</t>
  </si>
  <si>
    <t>Maryash</t>
  </si>
  <si>
    <t>Fraser</t>
  </si>
  <si>
    <t>Pusey</t>
  </si>
  <si>
    <t>Harvey Pearsal</t>
  </si>
  <si>
    <t>Reason</t>
  </si>
  <si>
    <t>Whittaker</t>
  </si>
  <si>
    <t>Delille</t>
  </si>
  <si>
    <t>Coller-stringer</t>
  </si>
  <si>
    <t>Bowe</t>
  </si>
  <si>
    <t>Ochoa</t>
  </si>
  <si>
    <t>Deng</t>
  </si>
  <si>
    <t>Baylor</t>
  </si>
  <si>
    <t>Silvagnoli</t>
  </si>
  <si>
    <t>Drammeh</t>
  </si>
  <si>
    <t>Quick</t>
  </si>
  <si>
    <t>McLeod</t>
  </si>
  <si>
    <t>Cenatus</t>
  </si>
  <si>
    <t>De Oliveira</t>
  </si>
  <si>
    <t>Morillo</t>
  </si>
  <si>
    <t>Subervi</t>
  </si>
  <si>
    <t>Imprime</t>
  </si>
  <si>
    <t>Monde</t>
  </si>
  <si>
    <t>Griffith</t>
  </si>
  <si>
    <t>Adesanya</t>
  </si>
  <si>
    <t>Van Holt</t>
  </si>
  <si>
    <t>Frazier</t>
  </si>
  <si>
    <t>Picart-Delfin</t>
  </si>
  <si>
    <t>Samaru</t>
  </si>
  <si>
    <t>Vaughn</t>
  </si>
  <si>
    <t>Lanys</t>
  </si>
  <si>
    <t>Bulter</t>
  </si>
  <si>
    <t>Clerveaux</t>
  </si>
  <si>
    <t>Goldberg</t>
  </si>
  <si>
    <t>Mathew</t>
  </si>
  <si>
    <t>Muniz</t>
  </si>
  <si>
    <t>Maharaj</t>
  </si>
  <si>
    <t>Rawle</t>
  </si>
  <si>
    <t>Winn</t>
  </si>
  <si>
    <t>Sansbury</t>
  </si>
  <si>
    <t>McKell</t>
  </si>
  <si>
    <t>Familia</t>
  </si>
  <si>
    <t>Cornelio</t>
  </si>
  <si>
    <t>Stroud-Garrett</t>
  </si>
  <si>
    <t>Murrell-Byrd</t>
  </si>
  <si>
    <t>McDuffie</t>
  </si>
  <si>
    <t>Jean Baptiste</t>
  </si>
  <si>
    <t>Bannerman</t>
  </si>
  <si>
    <t>Broadie</t>
  </si>
  <si>
    <t>Gamory</t>
  </si>
  <si>
    <t>Drummond</t>
  </si>
  <si>
    <t>Korzun</t>
  </si>
  <si>
    <t>Nurse</t>
  </si>
  <si>
    <t>Bovian</t>
  </si>
  <si>
    <t>Sandoval</t>
  </si>
  <si>
    <t>Nevers</t>
  </si>
  <si>
    <t>Mauro</t>
  </si>
  <si>
    <t>Dewees</t>
  </si>
  <si>
    <t>Chisolm</t>
  </si>
  <si>
    <t>Elkount</t>
  </si>
  <si>
    <t>Evens</t>
  </si>
  <si>
    <t>Wortman</t>
  </si>
  <si>
    <t>Cisneros De Gonzalez</t>
  </si>
  <si>
    <t>Stokley</t>
  </si>
  <si>
    <t>Little</t>
  </si>
  <si>
    <t>Pressley</t>
  </si>
  <si>
    <t>Octave</t>
  </si>
  <si>
    <t>Lemon</t>
  </si>
  <si>
    <t>Headlan</t>
  </si>
  <si>
    <t>Spratley</t>
  </si>
  <si>
    <t>Sajous</t>
  </si>
  <si>
    <t>Kercy</t>
  </si>
  <si>
    <t>Penalo</t>
  </si>
  <si>
    <t>Garcia Lopez</t>
  </si>
  <si>
    <t>Miraki</t>
  </si>
  <si>
    <t>Delaney</t>
  </si>
  <si>
    <t>Elban</t>
  </si>
  <si>
    <t>Milla</t>
  </si>
  <si>
    <t>Small</t>
  </si>
  <si>
    <t>Pray</t>
  </si>
  <si>
    <t>Jiles</t>
  </si>
  <si>
    <t>Almarzougy</t>
  </si>
  <si>
    <t>Mason</t>
  </si>
  <si>
    <t>Pryor</t>
  </si>
  <si>
    <t>Randolf</t>
  </si>
  <si>
    <t>Yurnet</t>
  </si>
  <si>
    <t>Maqsood</t>
  </si>
  <si>
    <t>Gooding</t>
  </si>
  <si>
    <t>Smith-Beckett</t>
  </si>
  <si>
    <t>Mckenzie</t>
  </si>
  <si>
    <t>Matyas</t>
  </si>
  <si>
    <t>Chkechkov</t>
  </si>
  <si>
    <t>Mangroo</t>
  </si>
  <si>
    <t>Saavedra Moreno</t>
  </si>
  <si>
    <t>Attis</t>
  </si>
  <si>
    <t>Cuadrado</t>
  </si>
  <si>
    <t>Gyimah</t>
  </si>
  <si>
    <t>Lazaro Gonzalez</t>
  </si>
  <si>
    <t>Shin</t>
  </si>
  <si>
    <t>Davie</t>
  </si>
  <si>
    <t>Epps</t>
  </si>
  <si>
    <t>Sooknanan Singh</t>
  </si>
  <si>
    <t>Paniagua</t>
  </si>
  <si>
    <t>Mulero Diaz</t>
  </si>
  <si>
    <t>Cisco</t>
  </si>
  <si>
    <t>Bourabah</t>
  </si>
  <si>
    <t>Danquah</t>
  </si>
  <si>
    <t>Timmons</t>
  </si>
  <si>
    <t>Hiraldo</t>
  </si>
  <si>
    <t>Bobadilla</t>
  </si>
  <si>
    <t>Brito Derodriguez</t>
  </si>
  <si>
    <t>Dial</t>
  </si>
  <si>
    <t>RAMIREZ</t>
  </si>
  <si>
    <t>BELL</t>
  </si>
  <si>
    <t>Rouf</t>
  </si>
  <si>
    <t>Parham</t>
  </si>
  <si>
    <t>Kalloo</t>
  </si>
  <si>
    <t>Wells</t>
  </si>
  <si>
    <t>Akinyele</t>
  </si>
  <si>
    <t>Faulk</t>
  </si>
  <si>
    <t>Poole</t>
  </si>
  <si>
    <t>St Louis</t>
  </si>
  <si>
    <t>McLaughlin</t>
  </si>
  <si>
    <t>Mainor</t>
  </si>
  <si>
    <t>Gras</t>
  </si>
  <si>
    <t>Pettus</t>
  </si>
  <si>
    <t>McMurtry Somerville</t>
  </si>
  <si>
    <t>Wise</t>
  </si>
  <si>
    <t>Delaine</t>
  </si>
  <si>
    <t>Fadeyi</t>
  </si>
  <si>
    <t>Cockfield</t>
  </si>
  <si>
    <t>Corriders</t>
  </si>
  <si>
    <t>Stone</t>
  </si>
  <si>
    <t>St. Louis</t>
  </si>
  <si>
    <t>Dawodu</t>
  </si>
  <si>
    <t>Peterkin</t>
  </si>
  <si>
    <t>Sarvis</t>
  </si>
  <si>
    <t>Vanterpool</t>
  </si>
  <si>
    <t>Kinsey-Clark</t>
  </si>
  <si>
    <t>Magny</t>
  </si>
  <si>
    <t>Jefferey</t>
  </si>
  <si>
    <t>McIntosh</t>
  </si>
  <si>
    <t>Kellman</t>
  </si>
  <si>
    <t>Konteh</t>
  </si>
  <si>
    <t>McCartney</t>
  </si>
  <si>
    <t>Mullin</t>
  </si>
  <si>
    <t>Omisola</t>
  </si>
  <si>
    <t>Frye</t>
  </si>
  <si>
    <t>Brinson</t>
  </si>
  <si>
    <t>Saheed</t>
  </si>
  <si>
    <t>Blondell</t>
  </si>
  <si>
    <t>Wynn</t>
  </si>
  <si>
    <t>Lawal</t>
  </si>
  <si>
    <t>Belin</t>
  </si>
  <si>
    <t>Lilley</t>
  </si>
  <si>
    <t>Saunders Burks</t>
  </si>
  <si>
    <t>Adeleye</t>
  </si>
  <si>
    <t>Cotton</t>
  </si>
  <si>
    <t>Lombard</t>
  </si>
  <si>
    <t>Harewood</t>
  </si>
  <si>
    <t>Correy</t>
  </si>
  <si>
    <t>Buckle</t>
  </si>
  <si>
    <t>Mcrae</t>
  </si>
  <si>
    <t>Cardenas</t>
  </si>
  <si>
    <t>Regis</t>
  </si>
  <si>
    <t>Locklear</t>
  </si>
  <si>
    <t>Franks</t>
  </si>
  <si>
    <t>McCullovgh</t>
  </si>
  <si>
    <t>Leitch</t>
  </si>
  <si>
    <t>Bettis</t>
  </si>
  <si>
    <t>O'Conner Middleton</t>
  </si>
  <si>
    <t>Abiodun</t>
  </si>
  <si>
    <t>Weston</t>
  </si>
  <si>
    <t>Fashionne</t>
  </si>
  <si>
    <t>Dubois</t>
  </si>
  <si>
    <t>Grayaa</t>
  </si>
  <si>
    <t>Vergez</t>
  </si>
  <si>
    <t>Mas</t>
  </si>
  <si>
    <t>Delicia</t>
  </si>
  <si>
    <t>Sellers</t>
  </si>
  <si>
    <t>Hopeman</t>
  </si>
  <si>
    <t>Myree</t>
  </si>
  <si>
    <t>Gbarlea</t>
  </si>
  <si>
    <t>Pena Moreno</t>
  </si>
  <si>
    <t>Synsmir</t>
  </si>
  <si>
    <t>Laboy</t>
  </si>
  <si>
    <t>Hudson</t>
  </si>
  <si>
    <t>Pelaez</t>
  </si>
  <si>
    <t>GIVENS</t>
  </si>
  <si>
    <t>Reyes Sonhouse</t>
  </si>
  <si>
    <t>Merino Herrera</t>
  </si>
  <si>
    <t>Broddie</t>
  </si>
  <si>
    <t>Fuelto</t>
  </si>
  <si>
    <t>Traore</t>
  </si>
  <si>
    <t>Fieldings</t>
  </si>
  <si>
    <t>Depas</t>
  </si>
  <si>
    <t>Yapp</t>
  </si>
  <si>
    <t>Worthen</t>
  </si>
  <si>
    <t>Lambert</t>
  </si>
  <si>
    <t>Liggins</t>
  </si>
  <si>
    <t>Galvan</t>
  </si>
  <si>
    <t>Baez Rodriguez</t>
  </si>
  <si>
    <t>Davis-McMillian</t>
  </si>
  <si>
    <t>Shark - Barry</t>
  </si>
  <si>
    <t>Escotto</t>
  </si>
  <si>
    <t>Alaway</t>
  </si>
  <si>
    <t>Restrepo</t>
  </si>
  <si>
    <t>Vigilance</t>
  </si>
  <si>
    <t>Oramas</t>
  </si>
  <si>
    <t>Llarena</t>
  </si>
  <si>
    <t>Klappholz</t>
  </si>
  <si>
    <t>Mustafic</t>
  </si>
  <si>
    <t>Zawoiski</t>
  </si>
  <si>
    <t>Ridley Parson</t>
  </si>
  <si>
    <t>Hendry</t>
  </si>
  <si>
    <t>Bruner</t>
  </si>
  <si>
    <t>Espeut</t>
  </si>
  <si>
    <t>Braswell</t>
  </si>
  <si>
    <t>Dickenson</t>
  </si>
  <si>
    <t>Evangelista</t>
  </si>
  <si>
    <t>D. Chauca</t>
  </si>
  <si>
    <t>Djina</t>
  </si>
  <si>
    <t>Andon</t>
  </si>
  <si>
    <t>Trinidad</t>
  </si>
  <si>
    <t>Colmenanes</t>
  </si>
  <si>
    <t>Bartolomey</t>
  </si>
  <si>
    <t>Parks</t>
  </si>
  <si>
    <t>Osborne</t>
  </si>
  <si>
    <t>Foulkes</t>
  </si>
  <si>
    <t>Sullivan</t>
  </si>
  <si>
    <t>Mendenhall</t>
  </si>
  <si>
    <t>Bentley</t>
  </si>
  <si>
    <t>Dail</t>
  </si>
  <si>
    <t>Then</t>
  </si>
  <si>
    <t>Baououi</t>
  </si>
  <si>
    <t>Garcia Valdez</t>
  </si>
  <si>
    <t>Dhana</t>
  </si>
  <si>
    <t>Asgar</t>
  </si>
  <si>
    <t>Davies</t>
  </si>
  <si>
    <t>Desire</t>
  </si>
  <si>
    <t>Najera</t>
  </si>
  <si>
    <t>Giraldo</t>
  </si>
  <si>
    <t>Buckrham</t>
  </si>
  <si>
    <t>Hardamon</t>
  </si>
  <si>
    <t>Moreau</t>
  </si>
  <si>
    <t>Siler</t>
  </si>
  <si>
    <t>Rankine</t>
  </si>
  <si>
    <t>Tanico</t>
  </si>
  <si>
    <t>Sahiti</t>
  </si>
  <si>
    <t>Bajana</t>
  </si>
  <si>
    <t>Unger</t>
  </si>
  <si>
    <t>Mapp</t>
  </si>
  <si>
    <t>Winston-Orr</t>
  </si>
  <si>
    <t>Cornell</t>
  </si>
  <si>
    <t>Love Garris</t>
  </si>
  <si>
    <t>Cruz Vidal</t>
  </si>
  <si>
    <t>Bascombe</t>
  </si>
  <si>
    <t>Abbadi</t>
  </si>
  <si>
    <t>Emokpae</t>
  </si>
  <si>
    <t>Bolton</t>
  </si>
  <si>
    <t>Balayo</t>
  </si>
  <si>
    <t>Chavis</t>
  </si>
  <si>
    <t>Mamolar</t>
  </si>
  <si>
    <t>Uztariz</t>
  </si>
  <si>
    <t>Marroche</t>
  </si>
  <si>
    <t>Cordova</t>
  </si>
  <si>
    <t>Curillo</t>
  </si>
  <si>
    <t>Gleaves</t>
  </si>
  <si>
    <t>Seaborn</t>
  </si>
  <si>
    <t>Imbert</t>
  </si>
  <si>
    <t>Belliard</t>
  </si>
  <si>
    <t>DE ROSARIO</t>
  </si>
  <si>
    <t>Wertz</t>
  </si>
  <si>
    <t>Loadholt</t>
  </si>
  <si>
    <t>Llopis</t>
  </si>
  <si>
    <t>Martelli</t>
  </si>
  <si>
    <t>Iturralde</t>
  </si>
  <si>
    <t>Rojan</t>
  </si>
  <si>
    <t>Coker</t>
  </si>
  <si>
    <t>Costoso</t>
  </si>
  <si>
    <t>BROWN</t>
  </si>
  <si>
    <t>Diaz-Migoyo</t>
  </si>
  <si>
    <t>Balbosa</t>
  </si>
  <si>
    <t>Rankin</t>
  </si>
  <si>
    <t>Rosarios</t>
  </si>
  <si>
    <t>Galindez</t>
  </si>
  <si>
    <t>Overton</t>
  </si>
  <si>
    <t>Stamps</t>
  </si>
  <si>
    <t>Smith- Hewitt</t>
  </si>
  <si>
    <t>Dematos</t>
  </si>
  <si>
    <t>Smith-Roach</t>
  </si>
  <si>
    <t>Deterville</t>
  </si>
  <si>
    <t>Genaro</t>
  </si>
  <si>
    <t>Newkirk</t>
  </si>
  <si>
    <t>Hxurreta</t>
  </si>
  <si>
    <t>Mejia-Jimenez</t>
  </si>
  <si>
    <t>Nicholson</t>
  </si>
  <si>
    <t>Vega-Rivera</t>
  </si>
  <si>
    <t>UZZAMAN</t>
  </si>
  <si>
    <t>Khamraj</t>
  </si>
  <si>
    <t>Xu</t>
  </si>
  <si>
    <t>Varela M</t>
  </si>
  <si>
    <t>Virgil</t>
  </si>
  <si>
    <t>Rochez</t>
  </si>
  <si>
    <t>Noe</t>
  </si>
  <si>
    <t>Mandeng</t>
  </si>
  <si>
    <t>Kosoko</t>
  </si>
  <si>
    <t>Qodirova</t>
  </si>
  <si>
    <t>Kalmann</t>
  </si>
  <si>
    <t>Martinez Ledesma</t>
  </si>
  <si>
    <t>Minnis</t>
  </si>
  <si>
    <t>Crenshaw</t>
  </si>
  <si>
    <t>Dones</t>
  </si>
  <si>
    <t>Cannonier</t>
  </si>
  <si>
    <t>Alexandre</t>
  </si>
  <si>
    <t>Svet</t>
  </si>
  <si>
    <t>Stroh</t>
  </si>
  <si>
    <t>Respes</t>
  </si>
  <si>
    <t>Ivanova</t>
  </si>
  <si>
    <t>Seda</t>
  </si>
  <si>
    <t>Chahine</t>
  </si>
  <si>
    <t>Rawl</t>
  </si>
  <si>
    <t>Mujall</t>
  </si>
  <si>
    <t>Ramsay</t>
  </si>
  <si>
    <t>Rees</t>
  </si>
  <si>
    <t>Tanco</t>
  </si>
  <si>
    <t>Jouvert</t>
  </si>
  <si>
    <t>Waller</t>
  </si>
  <si>
    <t>Haley</t>
  </si>
  <si>
    <t>Grimes</t>
  </si>
  <si>
    <t>Jeffries</t>
  </si>
  <si>
    <t>Hauser</t>
  </si>
  <si>
    <t>Paige</t>
  </si>
  <si>
    <t>Sancya</t>
  </si>
  <si>
    <t>Council</t>
  </si>
  <si>
    <t>Purcell</t>
  </si>
  <si>
    <t>Feaster</t>
  </si>
  <si>
    <t>Reyes Abreu</t>
  </si>
  <si>
    <t>Woodley</t>
  </si>
  <si>
    <t>Bonet</t>
  </si>
  <si>
    <t>Petillo</t>
  </si>
  <si>
    <t>Coicou</t>
  </si>
  <si>
    <t>Hickson</t>
  </si>
  <si>
    <t>Sumter</t>
  </si>
  <si>
    <t>Blain</t>
  </si>
  <si>
    <t>Glenton</t>
  </si>
  <si>
    <t>Opoku</t>
  </si>
  <si>
    <t>Rawls</t>
  </si>
  <si>
    <t>Cunningham</t>
  </si>
  <si>
    <t>Butt</t>
  </si>
  <si>
    <t>Yaroshevskiy</t>
  </si>
  <si>
    <t>Dorfman</t>
  </si>
  <si>
    <t>Castineiras</t>
  </si>
  <si>
    <t>Savage</t>
  </si>
  <si>
    <t>Brown-Little</t>
  </si>
  <si>
    <t>Harford</t>
  </si>
  <si>
    <t>Asmal</t>
  </si>
  <si>
    <t>Dostis</t>
  </si>
  <si>
    <t>Utsey</t>
  </si>
  <si>
    <t>Ojebe</t>
  </si>
  <si>
    <t>Faulknor</t>
  </si>
  <si>
    <t>Doukoure</t>
  </si>
  <si>
    <t>Stovall</t>
  </si>
  <si>
    <t>Madison</t>
  </si>
  <si>
    <t>Jiminian</t>
  </si>
  <si>
    <t>Kraus</t>
  </si>
  <si>
    <t>Issa</t>
  </si>
  <si>
    <t>Thornhill- Kinch</t>
  </si>
  <si>
    <t>Alsamee</t>
  </si>
  <si>
    <t>Cuenca</t>
  </si>
  <si>
    <t>Herb</t>
  </si>
  <si>
    <t>Alleyne-Dasneves</t>
  </si>
  <si>
    <t>Volcy</t>
  </si>
  <si>
    <t>Bishop Stewart</t>
  </si>
  <si>
    <t>Brinkley</t>
  </si>
  <si>
    <t>McGinnis</t>
  </si>
  <si>
    <t>Holliday</t>
  </si>
  <si>
    <t>Engervil</t>
  </si>
  <si>
    <t>McCullough</t>
  </si>
  <si>
    <t>Thomas-Dy</t>
  </si>
  <si>
    <t>Meglio</t>
  </si>
  <si>
    <t>Nickie</t>
  </si>
  <si>
    <t>Baxter</t>
  </si>
  <si>
    <t>Banahene</t>
  </si>
  <si>
    <t>Leyba</t>
  </si>
  <si>
    <t>Prude</t>
  </si>
  <si>
    <t>Barker</t>
  </si>
  <si>
    <t>Minott</t>
  </si>
  <si>
    <t>Cofield</t>
  </si>
  <si>
    <t>Meneses Ayala</t>
  </si>
  <si>
    <t>Bushay</t>
  </si>
  <si>
    <t>Autry</t>
  </si>
  <si>
    <t>Kemp</t>
  </si>
  <si>
    <t>McKenzie</t>
  </si>
  <si>
    <t>Nord</t>
  </si>
  <si>
    <t>Asante</t>
  </si>
  <si>
    <t>Dryden</t>
  </si>
  <si>
    <t>Colbert</t>
  </si>
  <si>
    <t>Malloy</t>
  </si>
  <si>
    <t>Dare</t>
  </si>
  <si>
    <t>Knight</t>
  </si>
  <si>
    <t>Nickens</t>
  </si>
  <si>
    <t>Ginyard</t>
  </si>
  <si>
    <t>Chester</t>
  </si>
  <si>
    <t>Goldfarb</t>
  </si>
  <si>
    <t>Sebti</t>
  </si>
  <si>
    <t>Mclean</t>
  </si>
  <si>
    <t>LaGatta</t>
  </si>
  <si>
    <t>Pino</t>
  </si>
  <si>
    <t>Amanilla</t>
  </si>
  <si>
    <t>Zorilla-Ratcliff</t>
  </si>
  <si>
    <t>Moina</t>
  </si>
  <si>
    <t>Haliburton</t>
  </si>
  <si>
    <t>Figuero</t>
  </si>
  <si>
    <t>Argentin</t>
  </si>
  <si>
    <t>Tamasi</t>
  </si>
  <si>
    <t>Estevez Gonzalez</t>
  </si>
  <si>
    <t>McKoy</t>
  </si>
  <si>
    <t>Barua</t>
  </si>
  <si>
    <t>Murrillo</t>
  </si>
  <si>
    <t>Urcia</t>
  </si>
  <si>
    <t>Seetaram</t>
  </si>
  <si>
    <t>Lapaz</t>
  </si>
  <si>
    <t>Calhoun</t>
  </si>
  <si>
    <t>Roman Torres</t>
  </si>
  <si>
    <t>Landor</t>
  </si>
  <si>
    <t>Ramkhelawan</t>
  </si>
  <si>
    <t>Tawiah</t>
  </si>
  <si>
    <t>Mcgowan</t>
  </si>
  <si>
    <t>Beers</t>
  </si>
  <si>
    <t>Desmarias</t>
  </si>
  <si>
    <t>Cifuentes</t>
  </si>
  <si>
    <t>Ragsdale</t>
  </si>
  <si>
    <t>Pan</t>
  </si>
  <si>
    <t>Martell</t>
  </si>
  <si>
    <t>Cortright</t>
  </si>
  <si>
    <t>Guerra</t>
  </si>
  <si>
    <t>McLain</t>
  </si>
  <si>
    <t>Moreta</t>
  </si>
  <si>
    <t>Forrest</t>
  </si>
  <si>
    <t>Orekunrin</t>
  </si>
  <si>
    <t>Engelson</t>
  </si>
  <si>
    <t>THEN</t>
  </si>
  <si>
    <t>Castaneda</t>
  </si>
  <si>
    <t>Donplay</t>
  </si>
  <si>
    <t>France</t>
  </si>
  <si>
    <t>Kushnick</t>
  </si>
  <si>
    <t>Kotlyarenko</t>
  </si>
  <si>
    <t>Quezada</t>
  </si>
  <si>
    <t>Khaitova</t>
  </si>
  <si>
    <t>ROSSO</t>
  </si>
  <si>
    <t>Jara</t>
  </si>
  <si>
    <t>Toledo</t>
  </si>
  <si>
    <t>Kellam</t>
  </si>
  <si>
    <t>Hamm</t>
  </si>
  <si>
    <t>Shakir</t>
  </si>
  <si>
    <t>Nanton</t>
  </si>
  <si>
    <t>Billingsley</t>
  </si>
  <si>
    <t>Dalton</t>
  </si>
  <si>
    <t>Egipciaco</t>
  </si>
  <si>
    <t>Storms</t>
  </si>
  <si>
    <t>DUARTE</t>
  </si>
  <si>
    <t>Antonelli</t>
  </si>
  <si>
    <t>Bacon</t>
  </si>
  <si>
    <t>Wicks</t>
  </si>
  <si>
    <t>Crumpler</t>
  </si>
  <si>
    <t>Sanchez-Vargas</t>
  </si>
  <si>
    <t>Khan</t>
  </si>
  <si>
    <t>Sam-Odoi</t>
  </si>
  <si>
    <t>Ostalaza</t>
  </si>
  <si>
    <t>LittleJohn</t>
  </si>
  <si>
    <t>Lorenzana</t>
  </si>
  <si>
    <t>Holguin</t>
  </si>
  <si>
    <t>Quarto</t>
  </si>
  <si>
    <t>Esquerdo</t>
  </si>
  <si>
    <t>Segerman</t>
  </si>
  <si>
    <t>Osei-Oferi</t>
  </si>
  <si>
    <t>Cupid</t>
  </si>
  <si>
    <t>Uka</t>
  </si>
  <si>
    <t>Musleh</t>
  </si>
  <si>
    <t>Olsen</t>
  </si>
  <si>
    <t>Ebron</t>
  </si>
  <si>
    <t>Grasso</t>
  </si>
  <si>
    <t>Holmes-Clarke</t>
  </si>
  <si>
    <t>Pugh</t>
  </si>
  <si>
    <t>Dankwa</t>
  </si>
  <si>
    <t>Whitmore</t>
  </si>
  <si>
    <t>Schnerider</t>
  </si>
  <si>
    <t>Tenebaum</t>
  </si>
  <si>
    <t>Cambi</t>
  </si>
  <si>
    <t>Nishiyori</t>
  </si>
  <si>
    <t>Yearwood</t>
  </si>
  <si>
    <t>Bockman</t>
  </si>
  <si>
    <t>Donawa</t>
  </si>
  <si>
    <t>EVANS</t>
  </si>
  <si>
    <t>Martey</t>
  </si>
  <si>
    <t>Coconi Potrero</t>
  </si>
  <si>
    <t>Jiminez</t>
  </si>
  <si>
    <t>Herold</t>
  </si>
  <si>
    <t>Kaymaz</t>
  </si>
  <si>
    <t>Dotts</t>
  </si>
  <si>
    <t>Houston</t>
  </si>
  <si>
    <t>Sajid</t>
  </si>
  <si>
    <t>Farb</t>
  </si>
  <si>
    <t>Buckley</t>
  </si>
  <si>
    <t>Thurlow</t>
  </si>
  <si>
    <t>Sitjar</t>
  </si>
  <si>
    <t>Kirton</t>
  </si>
  <si>
    <t>Stalling</t>
  </si>
  <si>
    <t>Villamizar</t>
  </si>
  <si>
    <t>Dockery</t>
  </si>
  <si>
    <t>Hosten</t>
  </si>
  <si>
    <t>Benoit</t>
  </si>
  <si>
    <t>BOWEN</t>
  </si>
  <si>
    <t>Betances</t>
  </si>
  <si>
    <t>Amrani</t>
  </si>
  <si>
    <t>McMillian</t>
  </si>
  <si>
    <t>Gilling</t>
  </si>
  <si>
    <t>Al Gumai</t>
  </si>
  <si>
    <t>Bezman</t>
  </si>
  <si>
    <t>Husenovski</t>
  </si>
  <si>
    <t>Vlado</t>
  </si>
  <si>
    <t>Bardai</t>
  </si>
  <si>
    <t>Lancaster</t>
  </si>
  <si>
    <t>Malin</t>
  </si>
  <si>
    <t>Sanogo</t>
  </si>
  <si>
    <t>Cascarano</t>
  </si>
  <si>
    <t>Ratley</t>
  </si>
  <si>
    <t>Uriel Gomez</t>
  </si>
  <si>
    <t>Hobson</t>
  </si>
  <si>
    <t>Kamate</t>
  </si>
  <si>
    <t>Malpica</t>
  </si>
  <si>
    <t>Carmiachael</t>
  </si>
  <si>
    <t>Brewer</t>
  </si>
  <si>
    <t>Myers</t>
  </si>
  <si>
    <t>Siva</t>
  </si>
  <si>
    <t>Goddard</t>
  </si>
  <si>
    <t>McDermoth</t>
  </si>
  <si>
    <t>Painchault</t>
  </si>
  <si>
    <t>SANCHEZ</t>
  </si>
  <si>
    <t>Galvin</t>
  </si>
  <si>
    <t>Memeh</t>
  </si>
  <si>
    <t>Fenton</t>
  </si>
  <si>
    <t>McCatty</t>
  </si>
  <si>
    <t>Candelo</t>
  </si>
  <si>
    <t>Kimber</t>
  </si>
  <si>
    <t>Araman</t>
  </si>
  <si>
    <t>Kitchen</t>
  </si>
  <si>
    <t>Paduani</t>
  </si>
  <si>
    <t>Zientara</t>
  </si>
  <si>
    <t>Broecker</t>
  </si>
  <si>
    <t>Conveniencia</t>
  </si>
  <si>
    <t>Noesi</t>
  </si>
  <si>
    <t>Arcos</t>
  </si>
  <si>
    <t>Gebeyehu</t>
  </si>
  <si>
    <t>El Briemi</t>
  </si>
  <si>
    <t>Doulani</t>
  </si>
  <si>
    <t>Fischer</t>
  </si>
  <si>
    <t>Huang</t>
  </si>
  <si>
    <t>Beliard</t>
  </si>
  <si>
    <t>Dingle</t>
  </si>
  <si>
    <t>Alfonso-Mercado</t>
  </si>
  <si>
    <t>Hamptonie</t>
  </si>
  <si>
    <t>Naqvi</t>
  </si>
  <si>
    <t>Muniram</t>
  </si>
  <si>
    <t>Urias</t>
  </si>
  <si>
    <t>Service</t>
  </si>
  <si>
    <t>McCune</t>
  </si>
  <si>
    <t>Ramales</t>
  </si>
  <si>
    <t>Blagman</t>
  </si>
  <si>
    <t>AUSTIN</t>
  </si>
  <si>
    <t>Paschall</t>
  </si>
  <si>
    <t>Akther</t>
  </si>
  <si>
    <t>Marte Burgos</t>
  </si>
  <si>
    <t>Cummings</t>
  </si>
  <si>
    <t>Chung</t>
  </si>
  <si>
    <t>CIRINIO</t>
  </si>
  <si>
    <t>Pardo</t>
  </si>
  <si>
    <t>Colley</t>
  </si>
  <si>
    <t>Crispin Duval</t>
  </si>
  <si>
    <t>Mbacke</t>
  </si>
  <si>
    <t>Hammer</t>
  </si>
  <si>
    <t>Lawler</t>
  </si>
  <si>
    <t>Betances Gil</t>
  </si>
  <si>
    <t>Bramble</t>
  </si>
  <si>
    <t>Richie</t>
  </si>
  <si>
    <t>Pou</t>
  </si>
  <si>
    <t>Orsino</t>
  </si>
  <si>
    <t>Minier</t>
  </si>
  <si>
    <t>Fountain</t>
  </si>
  <si>
    <t>St. Onge</t>
  </si>
  <si>
    <t>Jahangir Hossain</t>
  </si>
  <si>
    <t>Husband</t>
  </si>
  <si>
    <t>Mejia Valentin</t>
  </si>
  <si>
    <t>Dasher</t>
  </si>
  <si>
    <t>Minunni</t>
  </si>
  <si>
    <t>Cespedes</t>
  </si>
  <si>
    <t>Frieson</t>
  </si>
  <si>
    <t>Juman</t>
  </si>
  <si>
    <t>Buto</t>
  </si>
  <si>
    <t>Mott</t>
  </si>
  <si>
    <t>Alonzo Reyes</t>
  </si>
  <si>
    <t>Cerda</t>
  </si>
  <si>
    <t>Ramkisson</t>
  </si>
  <si>
    <t>Daffus</t>
  </si>
  <si>
    <t>Charlot</t>
  </si>
  <si>
    <t>York</t>
  </si>
  <si>
    <t>Tweel</t>
  </si>
  <si>
    <t>Diop</t>
  </si>
  <si>
    <t>Peppaceno</t>
  </si>
  <si>
    <t>Esadero</t>
  </si>
  <si>
    <t>BERGER</t>
  </si>
  <si>
    <t>Munera</t>
  </si>
  <si>
    <t>Morton</t>
  </si>
  <si>
    <t>Hamdown</t>
  </si>
  <si>
    <t>Meyer</t>
  </si>
  <si>
    <t>Moreno Vega</t>
  </si>
  <si>
    <t>loadholt</t>
  </si>
  <si>
    <t>Gakou</t>
  </si>
  <si>
    <t>Aime</t>
  </si>
  <si>
    <t>Drumgoole</t>
  </si>
  <si>
    <t>Eraham</t>
  </si>
  <si>
    <t>Robinison</t>
  </si>
  <si>
    <t>Moultrie</t>
  </si>
  <si>
    <t>McClarin</t>
  </si>
  <si>
    <t>Estavez</t>
  </si>
  <si>
    <t>Addico</t>
  </si>
  <si>
    <t>Kee</t>
  </si>
  <si>
    <t>French</t>
  </si>
  <si>
    <t>Paula de Garcia</t>
  </si>
  <si>
    <t>Scullark</t>
  </si>
  <si>
    <t>Carrion</t>
  </si>
  <si>
    <t>Bonneau</t>
  </si>
  <si>
    <t>Lockett</t>
  </si>
  <si>
    <t>Huston</t>
  </si>
  <si>
    <t>Prater</t>
  </si>
  <si>
    <t>Sumpter</t>
  </si>
  <si>
    <t>Ferreria</t>
  </si>
  <si>
    <t>Casilla</t>
  </si>
  <si>
    <t>Mirla</t>
  </si>
  <si>
    <t>Sotomayor</t>
  </si>
  <si>
    <t>Carroll</t>
  </si>
  <si>
    <t>Mials</t>
  </si>
  <si>
    <t>Sidney</t>
  </si>
  <si>
    <t>McCain</t>
  </si>
  <si>
    <t>Mojica</t>
  </si>
  <si>
    <t>Germoso</t>
  </si>
  <si>
    <t>Aurich</t>
  </si>
  <si>
    <t>Gregoire</t>
  </si>
  <si>
    <t>Oguamanam</t>
  </si>
  <si>
    <t>McHenry</t>
  </si>
  <si>
    <t>Seward</t>
  </si>
  <si>
    <t>La Salle</t>
  </si>
  <si>
    <t>Langley</t>
  </si>
  <si>
    <t>Hamza</t>
  </si>
  <si>
    <t>Svendsen Jr.</t>
  </si>
  <si>
    <t>Blanco</t>
  </si>
  <si>
    <t>Bowes</t>
  </si>
  <si>
    <t>Baksh</t>
  </si>
  <si>
    <t>Jubinsky</t>
  </si>
  <si>
    <t>Peters</t>
  </si>
  <si>
    <t>Downs</t>
  </si>
  <si>
    <t>Francisquini</t>
  </si>
  <si>
    <t>Payano</t>
  </si>
  <si>
    <t>Barrera</t>
  </si>
  <si>
    <t>Moloud</t>
  </si>
  <si>
    <t>Fermin-Pena</t>
  </si>
  <si>
    <t>Hernandez Reyes</t>
  </si>
  <si>
    <t>Covington</t>
  </si>
  <si>
    <t>Barreiro</t>
  </si>
  <si>
    <t>ALVELO</t>
  </si>
  <si>
    <t>Malanik</t>
  </si>
  <si>
    <t>McCants</t>
  </si>
  <si>
    <t>Cappetti</t>
  </si>
  <si>
    <t>Paulus</t>
  </si>
  <si>
    <t>Woody</t>
  </si>
  <si>
    <t>McLarin</t>
  </si>
  <si>
    <t>Colina</t>
  </si>
  <si>
    <t>Wever</t>
  </si>
  <si>
    <t>Violani</t>
  </si>
  <si>
    <t>Enriquez</t>
  </si>
  <si>
    <t>Calixto</t>
  </si>
  <si>
    <t>Adlam</t>
  </si>
  <si>
    <t>Canton</t>
  </si>
  <si>
    <t>Apessos</t>
  </si>
  <si>
    <t>Caballero</t>
  </si>
  <si>
    <t>Goodwin</t>
  </si>
  <si>
    <t>Scales</t>
  </si>
  <si>
    <t>Dacres-Jacke</t>
  </si>
  <si>
    <t>Boyuk</t>
  </si>
  <si>
    <t>Telusma</t>
  </si>
  <si>
    <t>Goff</t>
  </si>
  <si>
    <t>Mollette</t>
  </si>
  <si>
    <t>Medovaia</t>
  </si>
  <si>
    <t>Paltoo</t>
  </si>
  <si>
    <t>Sander de Bueno</t>
  </si>
  <si>
    <t>Azerbarzin</t>
  </si>
  <si>
    <t>Eady</t>
  </si>
  <si>
    <t>Magloire</t>
  </si>
  <si>
    <t>O'Connor</t>
  </si>
  <si>
    <t>Calvente</t>
  </si>
  <si>
    <t>Halsey</t>
  </si>
  <si>
    <t>Jospitre</t>
  </si>
  <si>
    <t>Mejeh</t>
  </si>
  <si>
    <t>Moral</t>
  </si>
  <si>
    <t>Mcgary</t>
  </si>
  <si>
    <t>Rock</t>
  </si>
  <si>
    <t>Udin</t>
  </si>
  <si>
    <t>Corley</t>
  </si>
  <si>
    <t>Palaguachi</t>
  </si>
  <si>
    <t>James Rice</t>
  </si>
  <si>
    <t>Tutt</t>
  </si>
  <si>
    <t>McRay</t>
  </si>
  <si>
    <t>Konate</t>
  </si>
  <si>
    <t>Kitt</t>
  </si>
  <si>
    <t>Pamazi Leloua</t>
  </si>
  <si>
    <t>Abreu Negron</t>
  </si>
  <si>
    <t>Marks</t>
  </si>
  <si>
    <t>Shepard</t>
  </si>
  <si>
    <t>Gordian</t>
  </si>
  <si>
    <t>Weddington</t>
  </si>
  <si>
    <t>Blyden</t>
  </si>
  <si>
    <t>Mangal</t>
  </si>
  <si>
    <t>Brewster-Simmons</t>
  </si>
  <si>
    <t>Keyes</t>
  </si>
  <si>
    <t>Menelik</t>
  </si>
  <si>
    <t>Golson</t>
  </si>
  <si>
    <t>Ziegler</t>
  </si>
  <si>
    <t>Soliman</t>
  </si>
  <si>
    <t>Hargrove Cooper</t>
  </si>
  <si>
    <t>Kromah</t>
  </si>
  <si>
    <t>Trowell</t>
  </si>
  <si>
    <t>Niang</t>
  </si>
  <si>
    <t>Cisneros</t>
  </si>
  <si>
    <t>Kin</t>
  </si>
  <si>
    <t>Flenyol</t>
  </si>
  <si>
    <t>Hogan</t>
  </si>
  <si>
    <t>Lecour</t>
  </si>
  <si>
    <t>Chilan</t>
  </si>
  <si>
    <t>Bernas</t>
  </si>
  <si>
    <t>Duque</t>
  </si>
  <si>
    <t>Doucet</t>
  </si>
  <si>
    <t>Dolly</t>
  </si>
  <si>
    <t>Ramsden</t>
  </si>
  <si>
    <t>Pilgrim</t>
  </si>
  <si>
    <t>Clotter</t>
  </si>
  <si>
    <t>Cameron</t>
  </si>
  <si>
    <t>Walberg</t>
  </si>
  <si>
    <t>Bruna</t>
  </si>
  <si>
    <t>Gubler</t>
  </si>
  <si>
    <t>Fagan</t>
  </si>
  <si>
    <t>Jallow</t>
  </si>
  <si>
    <t>Harper</t>
  </si>
  <si>
    <t>Arriaga</t>
  </si>
  <si>
    <t>Belgrave</t>
  </si>
  <si>
    <t>Denehan</t>
  </si>
  <si>
    <t>Wilkins-Laurent</t>
  </si>
  <si>
    <t>Francis-George</t>
  </si>
  <si>
    <t>Deitz</t>
  </si>
  <si>
    <t>Waide</t>
  </si>
  <si>
    <t>Mora</t>
  </si>
  <si>
    <t>Reyes Garcia</t>
  </si>
  <si>
    <t>Mejia De Espejo</t>
  </si>
  <si>
    <t>Outon</t>
  </si>
  <si>
    <t>Duro</t>
  </si>
  <si>
    <t>Virgo</t>
  </si>
  <si>
    <t>Praylow</t>
  </si>
  <si>
    <t>Antigua</t>
  </si>
  <si>
    <t>Spriggs</t>
  </si>
  <si>
    <t>Mbaye</t>
  </si>
  <si>
    <t>Lie</t>
  </si>
  <si>
    <t>Lam</t>
  </si>
  <si>
    <t>Sewell</t>
  </si>
  <si>
    <t>Igantovich</t>
  </si>
  <si>
    <t>Anderton</t>
  </si>
  <si>
    <t>Gonell</t>
  </si>
  <si>
    <t>Diatta</t>
  </si>
  <si>
    <t>Garcia Cruz</t>
  </si>
  <si>
    <t>Darcy</t>
  </si>
  <si>
    <t>Kinoo</t>
  </si>
  <si>
    <t>Lein</t>
  </si>
  <si>
    <t>McKenny</t>
  </si>
  <si>
    <t>Elsayed</t>
  </si>
  <si>
    <t>Goffe</t>
  </si>
  <si>
    <t>Basile</t>
  </si>
  <si>
    <t>Shiloh</t>
  </si>
  <si>
    <t>Rocha</t>
  </si>
  <si>
    <t>Pineda</t>
  </si>
  <si>
    <t>Varela</t>
  </si>
  <si>
    <t>Kabba</t>
  </si>
  <si>
    <t>Cruz Cabrera</t>
  </si>
  <si>
    <t>Savain</t>
  </si>
  <si>
    <t>Nardone</t>
  </si>
  <si>
    <t>Osbourne Garlington</t>
  </si>
  <si>
    <t>Horton</t>
  </si>
  <si>
    <t>Casillas</t>
  </si>
  <si>
    <t>Fox</t>
  </si>
  <si>
    <t>Aslamzada</t>
  </si>
  <si>
    <t>Sawh</t>
  </si>
  <si>
    <t>CRUZ</t>
  </si>
  <si>
    <t>Plunkett</t>
  </si>
  <si>
    <t>Woolridge</t>
  </si>
  <si>
    <t>Quirico</t>
  </si>
  <si>
    <t>Waldon</t>
  </si>
  <si>
    <t>Maniscalco</t>
  </si>
  <si>
    <t>Cuesta</t>
  </si>
  <si>
    <t>Fantuazzi</t>
  </si>
  <si>
    <t>Fisher</t>
  </si>
  <si>
    <t>GUZMAN</t>
  </si>
  <si>
    <t>BRACERO</t>
  </si>
  <si>
    <t>WILLIAMS</t>
  </si>
  <si>
    <t>Basora</t>
  </si>
  <si>
    <t>Dargan</t>
  </si>
  <si>
    <t>Hazell</t>
  </si>
  <si>
    <t>Boria</t>
  </si>
  <si>
    <t>Mullings</t>
  </si>
  <si>
    <t>Pichardo Gutierrez</t>
  </si>
  <si>
    <t>Eluke</t>
  </si>
  <si>
    <t>Edoo</t>
  </si>
  <si>
    <t>Apolinario</t>
  </si>
  <si>
    <t>Novas Pena</t>
  </si>
  <si>
    <t>Heggs</t>
  </si>
  <si>
    <t>Apararicio</t>
  </si>
  <si>
    <t>Galdamez</t>
  </si>
  <si>
    <t>Cortorreal</t>
  </si>
  <si>
    <t>Pantages</t>
  </si>
  <si>
    <t>Vilsaint</t>
  </si>
  <si>
    <t>Clarkson</t>
  </si>
  <si>
    <t>Yazid</t>
  </si>
  <si>
    <t>El Amir</t>
  </si>
  <si>
    <t>Lloyd-Cann</t>
  </si>
  <si>
    <t>Ketema</t>
  </si>
  <si>
    <t>Washington Jones</t>
  </si>
  <si>
    <t>Brockenbury Baker</t>
  </si>
  <si>
    <t>Difuilo</t>
  </si>
  <si>
    <t>Savadogo</t>
  </si>
  <si>
    <t>Belal</t>
  </si>
  <si>
    <t>Nichols</t>
  </si>
  <si>
    <t>Conzuega Recio</t>
  </si>
  <si>
    <t>Spector</t>
  </si>
  <si>
    <t>STEWART</t>
  </si>
  <si>
    <t>Berbick</t>
  </si>
  <si>
    <t>Easley</t>
  </si>
  <si>
    <t>Elashkar</t>
  </si>
  <si>
    <t>Nance</t>
  </si>
  <si>
    <t>MAYANCELA</t>
  </si>
  <si>
    <t>Rothenberg</t>
  </si>
  <si>
    <t>Vadala</t>
  </si>
  <si>
    <t>Tout Puissant</t>
  </si>
  <si>
    <t>Baldwin</t>
  </si>
  <si>
    <t>Gadaou</t>
  </si>
  <si>
    <t>Ghulam</t>
  </si>
  <si>
    <t>Mays</t>
  </si>
  <si>
    <t>Milliner</t>
  </si>
  <si>
    <t>Nygaard</t>
  </si>
  <si>
    <t>McLendon</t>
  </si>
  <si>
    <t>Ayoub</t>
  </si>
  <si>
    <t>Justinano</t>
  </si>
  <si>
    <t>Heyward</t>
  </si>
  <si>
    <t>Shabazz</t>
  </si>
  <si>
    <t>Obregon</t>
  </si>
  <si>
    <t>Sudia</t>
  </si>
  <si>
    <t>Navarrete Cabanas</t>
  </si>
  <si>
    <t>Algozy</t>
  </si>
  <si>
    <t>Irizzary</t>
  </si>
  <si>
    <t>Edmundson</t>
  </si>
  <si>
    <t>Crespo-Ramos</t>
  </si>
  <si>
    <t>Mulligan</t>
  </si>
  <si>
    <t>De Paula</t>
  </si>
  <si>
    <t>Vos</t>
  </si>
  <si>
    <t>Nobles</t>
  </si>
  <si>
    <t>Ray-Hart</t>
  </si>
  <si>
    <t>Akter</t>
  </si>
  <si>
    <t>Mejia Portillo</t>
  </si>
  <si>
    <t>Noory</t>
  </si>
  <si>
    <t>Ikoli</t>
  </si>
  <si>
    <t>Gerber</t>
  </si>
  <si>
    <t>Cuadra</t>
  </si>
  <si>
    <t>Stephens</t>
  </si>
  <si>
    <t>Black</t>
  </si>
  <si>
    <t>Saint Louis</t>
  </si>
  <si>
    <t>Danila</t>
  </si>
  <si>
    <t>Charles-Davis</t>
  </si>
  <si>
    <t>Josama</t>
  </si>
  <si>
    <t>Saint Ellien</t>
  </si>
  <si>
    <t>Patel</t>
  </si>
  <si>
    <t>Piron Tevar</t>
  </si>
  <si>
    <t>Cardile</t>
  </si>
  <si>
    <t>Daffeh</t>
  </si>
  <si>
    <t>Almawari</t>
  </si>
  <si>
    <t>Calimee</t>
  </si>
  <si>
    <t>Brazley</t>
  </si>
  <si>
    <t>Bayack</t>
  </si>
  <si>
    <t>Bazile</t>
  </si>
  <si>
    <t>Thadal</t>
  </si>
  <si>
    <t>Kozlowski</t>
  </si>
  <si>
    <t>Reaves</t>
  </si>
  <si>
    <t>DeLuCa</t>
  </si>
  <si>
    <t>Michel Alexandre</t>
  </si>
  <si>
    <t>Bryan-Lee</t>
  </si>
  <si>
    <t>Tito</t>
  </si>
  <si>
    <t>Steed</t>
  </si>
  <si>
    <t>Leary</t>
  </si>
  <si>
    <t>Weinstock</t>
  </si>
  <si>
    <t>Lopreto</t>
  </si>
  <si>
    <t>Ravelo</t>
  </si>
  <si>
    <t>Guadagno</t>
  </si>
  <si>
    <t>McCallop</t>
  </si>
  <si>
    <t>Iglesias</t>
  </si>
  <si>
    <t>Jabbie</t>
  </si>
  <si>
    <t>Haidara</t>
  </si>
  <si>
    <t>Murdaugh</t>
  </si>
  <si>
    <t>Gorina</t>
  </si>
  <si>
    <t>Weiss</t>
  </si>
  <si>
    <t>Santamaria</t>
  </si>
  <si>
    <t>Banguela</t>
  </si>
  <si>
    <t>Lamb</t>
  </si>
  <si>
    <t>Menton</t>
  </si>
  <si>
    <t>Wiltshire</t>
  </si>
  <si>
    <t>McTootle</t>
  </si>
  <si>
    <t>Reade</t>
  </si>
  <si>
    <t>Pettaford</t>
  </si>
  <si>
    <t>SuBryan</t>
  </si>
  <si>
    <t>Abbott</t>
  </si>
  <si>
    <t>Corea</t>
  </si>
  <si>
    <t>Kigprayoon</t>
  </si>
  <si>
    <t>Massengale</t>
  </si>
  <si>
    <t>Pieters</t>
  </si>
  <si>
    <t>Ash-Flanders</t>
  </si>
  <si>
    <t>Rubinstein</t>
  </si>
  <si>
    <t>Lewin</t>
  </si>
  <si>
    <t>Fermin de Diaz</t>
  </si>
  <si>
    <t>O'Briant</t>
  </si>
  <si>
    <t>Amores</t>
  </si>
  <si>
    <t>Grays</t>
  </si>
  <si>
    <t>Mulwa</t>
  </si>
  <si>
    <t>Desilva</t>
  </si>
  <si>
    <t>Valvo</t>
  </si>
  <si>
    <t>Luzsanyi</t>
  </si>
  <si>
    <t>Planas</t>
  </si>
  <si>
    <t>Wilfred</t>
  </si>
  <si>
    <t>Alers</t>
  </si>
  <si>
    <t>Green-Diaz</t>
  </si>
  <si>
    <t>Zollo</t>
  </si>
  <si>
    <t>Minor</t>
  </si>
  <si>
    <t>Nevarez</t>
  </si>
  <si>
    <t>Cardenales</t>
  </si>
  <si>
    <t>Ramnarine</t>
  </si>
  <si>
    <t>Poveromo Jr.</t>
  </si>
  <si>
    <t>Berkley</t>
  </si>
  <si>
    <t>Sambula</t>
  </si>
  <si>
    <t>Hamdoun</t>
  </si>
  <si>
    <t>Kollie</t>
  </si>
  <si>
    <t>Seay</t>
  </si>
  <si>
    <t>Reuben</t>
  </si>
  <si>
    <t>Clowney</t>
  </si>
  <si>
    <t>Cavlak</t>
  </si>
  <si>
    <t>Grantham</t>
  </si>
  <si>
    <t>Walsh</t>
  </si>
  <si>
    <t>Sormiento</t>
  </si>
  <si>
    <t>Schneider</t>
  </si>
  <si>
    <t>Crooks</t>
  </si>
  <si>
    <t>Alsondo</t>
  </si>
  <si>
    <t>Nivar</t>
  </si>
  <si>
    <t>Robletto</t>
  </si>
  <si>
    <t>Newby</t>
  </si>
  <si>
    <t>Macias</t>
  </si>
  <si>
    <t>Jairam Mohammed</t>
  </si>
  <si>
    <t>Ramgeet</t>
  </si>
  <si>
    <t>Slacks</t>
  </si>
  <si>
    <t>Finch</t>
  </si>
  <si>
    <t>Andrade</t>
  </si>
  <si>
    <t>Hoffmann</t>
  </si>
  <si>
    <t>Bonomo</t>
  </si>
  <si>
    <t>Tudor</t>
  </si>
  <si>
    <t>Orozco-Osorio</t>
  </si>
  <si>
    <t>Siegfrieft</t>
  </si>
  <si>
    <t>Johnston</t>
  </si>
  <si>
    <t>Fendley</t>
  </si>
  <si>
    <t>Dattaray</t>
  </si>
  <si>
    <t>Seiden</t>
  </si>
  <si>
    <t>Karim</t>
  </si>
  <si>
    <t>Abdelaziz</t>
  </si>
  <si>
    <t>Angulo</t>
  </si>
  <si>
    <t>Jamieson</t>
  </si>
  <si>
    <t>Batte</t>
  </si>
  <si>
    <t>Cuevas Cruz</t>
  </si>
  <si>
    <t>McFarlene</t>
  </si>
  <si>
    <t>Corbett</t>
  </si>
  <si>
    <t>Patti</t>
  </si>
  <si>
    <t>Burdie</t>
  </si>
  <si>
    <t>Masella</t>
  </si>
  <si>
    <t>Nowik</t>
  </si>
  <si>
    <t>Croney</t>
  </si>
  <si>
    <t>Wims</t>
  </si>
  <si>
    <t>Perales</t>
  </si>
  <si>
    <t>Allende</t>
  </si>
  <si>
    <t>Dey</t>
  </si>
  <si>
    <t>Reefer</t>
  </si>
  <si>
    <t>Pereira</t>
  </si>
  <si>
    <t>GREEN</t>
  </si>
  <si>
    <t>MOHAMED</t>
  </si>
  <si>
    <t>Harvel</t>
  </si>
  <si>
    <t>D'Agenlo</t>
  </si>
  <si>
    <t>Ramrattan</t>
  </si>
  <si>
    <t>Rahmani</t>
  </si>
  <si>
    <t>Sands</t>
  </si>
  <si>
    <t>Krojcer</t>
  </si>
  <si>
    <t>SOLANO</t>
  </si>
  <si>
    <t>REED</t>
  </si>
  <si>
    <t>Maisonave</t>
  </si>
  <si>
    <t>Tillman</t>
  </si>
  <si>
    <t>TORRES</t>
  </si>
  <si>
    <t>CORTEZ</t>
  </si>
  <si>
    <t>Marty</t>
  </si>
  <si>
    <t>McGlone</t>
  </si>
  <si>
    <t>Compres</t>
  </si>
  <si>
    <t>Howlett</t>
  </si>
  <si>
    <t>Villacencio,</t>
  </si>
  <si>
    <t>Hartridge</t>
  </si>
  <si>
    <t>Alcindor</t>
  </si>
  <si>
    <t>Dickey</t>
  </si>
  <si>
    <t>Alcantrara</t>
  </si>
  <si>
    <t>Alvarado Bobea</t>
  </si>
  <si>
    <t>Nunes</t>
  </si>
  <si>
    <t>Grandison</t>
  </si>
  <si>
    <t>Malcolm</t>
  </si>
  <si>
    <t>Wignon</t>
  </si>
  <si>
    <t>Cert</t>
  </si>
  <si>
    <t>Murphy</t>
  </si>
  <si>
    <t>Sawney-Calliste</t>
  </si>
  <si>
    <t>Jones -Wiggins</t>
  </si>
  <si>
    <t>Olivero</t>
  </si>
  <si>
    <t>Marchoff</t>
  </si>
  <si>
    <t>Josey Jr.</t>
  </si>
  <si>
    <t>Guillebeaux</t>
  </si>
  <si>
    <t>LAMPONE</t>
  </si>
  <si>
    <t>Kippins</t>
  </si>
  <si>
    <t>Dinkins</t>
  </si>
  <si>
    <t>Lavrentis</t>
  </si>
  <si>
    <t>FLOWERS</t>
  </si>
  <si>
    <t>Hay</t>
  </si>
  <si>
    <t>Hendy-Hogan</t>
  </si>
  <si>
    <t>Nwokolo</t>
  </si>
  <si>
    <t>Freer</t>
  </si>
  <si>
    <t>Montrose</t>
  </si>
  <si>
    <t>Whiten</t>
  </si>
  <si>
    <t>Ferone</t>
  </si>
  <si>
    <t>Gellein</t>
  </si>
  <si>
    <t>Lincoln</t>
  </si>
  <si>
    <t>Larrazabal</t>
  </si>
  <si>
    <t>Brisita</t>
  </si>
  <si>
    <t>Favors</t>
  </si>
  <si>
    <t>Setzer</t>
  </si>
  <si>
    <t>Guerin</t>
  </si>
  <si>
    <t>Pace</t>
  </si>
  <si>
    <t>Chestnut</t>
  </si>
  <si>
    <t>Manigat</t>
  </si>
  <si>
    <t>Raines</t>
  </si>
  <si>
    <t>Fuqua</t>
  </si>
  <si>
    <t>GARCIA</t>
  </si>
  <si>
    <t>Bestman</t>
  </si>
  <si>
    <t>Colinet</t>
  </si>
  <si>
    <t>Robateau</t>
  </si>
  <si>
    <t>Agatep</t>
  </si>
  <si>
    <t>Lubin</t>
  </si>
  <si>
    <t>Westwood</t>
  </si>
  <si>
    <t>Santana Feliz</t>
  </si>
  <si>
    <t>Seelenfreund</t>
  </si>
  <si>
    <t>Elsaleh</t>
  </si>
  <si>
    <t>Campbell-McClean</t>
  </si>
  <si>
    <t>Olivo</t>
  </si>
  <si>
    <t>Ishrie</t>
  </si>
  <si>
    <t>Cliford</t>
  </si>
  <si>
    <t>McGhee</t>
  </si>
  <si>
    <t>Saverino</t>
  </si>
  <si>
    <t>Men</t>
  </si>
  <si>
    <t>ROMAN</t>
  </si>
  <si>
    <t>Garcia Collado</t>
  </si>
  <si>
    <t>Newell</t>
  </si>
  <si>
    <t>Vidall</t>
  </si>
  <si>
    <t>Bastieu</t>
  </si>
  <si>
    <t>Batey</t>
  </si>
  <si>
    <t>Steer</t>
  </si>
  <si>
    <t>Lawrie</t>
  </si>
  <si>
    <t>Gaskin</t>
  </si>
  <si>
    <t>Rendon</t>
  </si>
  <si>
    <t>Piccone</t>
  </si>
  <si>
    <t>Glass</t>
  </si>
  <si>
    <t>Jaber</t>
  </si>
  <si>
    <t>Haney</t>
  </si>
  <si>
    <t>Klapper</t>
  </si>
  <si>
    <t>Pires</t>
  </si>
  <si>
    <t>Loza</t>
  </si>
  <si>
    <t>Spears</t>
  </si>
  <si>
    <t>Sternburg</t>
  </si>
  <si>
    <t>Calcagno</t>
  </si>
  <si>
    <t>Molano</t>
  </si>
  <si>
    <t>Villanueva</t>
  </si>
  <si>
    <t>Dolce</t>
  </si>
  <si>
    <t>Thurston</t>
  </si>
  <si>
    <t>Del Villar</t>
  </si>
  <si>
    <t>Haven</t>
  </si>
  <si>
    <t>Deronette</t>
  </si>
  <si>
    <t>Graur</t>
  </si>
  <si>
    <t>Nichtburg</t>
  </si>
  <si>
    <t>Yturbe</t>
  </si>
  <si>
    <t>Burney</t>
  </si>
  <si>
    <t>Diomande</t>
  </si>
  <si>
    <t>Dunlop</t>
  </si>
  <si>
    <t>Thai</t>
  </si>
  <si>
    <t>Mukhtar</t>
  </si>
  <si>
    <t>Breytman</t>
  </si>
  <si>
    <t>Curley</t>
  </si>
  <si>
    <t>Caple</t>
  </si>
  <si>
    <t>Browne-James</t>
  </si>
  <si>
    <t>Triliegi</t>
  </si>
  <si>
    <t>Deare</t>
  </si>
  <si>
    <t>Burrowes</t>
  </si>
  <si>
    <t>Manon</t>
  </si>
  <si>
    <t>Muller-Cowan</t>
  </si>
  <si>
    <t>Dowdell</t>
  </si>
  <si>
    <t>Sancho</t>
  </si>
  <si>
    <t>Altamirano</t>
  </si>
  <si>
    <t>Forris</t>
  </si>
  <si>
    <t>Tommy</t>
  </si>
  <si>
    <t>Benavides</t>
  </si>
  <si>
    <t>Spurgeon</t>
  </si>
  <si>
    <t>Somthers</t>
  </si>
  <si>
    <t>Mahulawde</t>
  </si>
  <si>
    <t>Sarak</t>
  </si>
  <si>
    <t>Ojumu</t>
  </si>
  <si>
    <t>Horning</t>
  </si>
  <si>
    <t>Deas</t>
  </si>
  <si>
    <t>Tao Tao</t>
  </si>
  <si>
    <t>Dacchille</t>
  </si>
  <si>
    <t>Hansen</t>
  </si>
  <si>
    <t>Fontanez Martinez</t>
  </si>
  <si>
    <t>Kene</t>
  </si>
  <si>
    <t>Mondesier</t>
  </si>
  <si>
    <t>De Peza</t>
  </si>
  <si>
    <t>Guillaume</t>
  </si>
  <si>
    <t>Redmond</t>
  </si>
  <si>
    <t>Meroe</t>
  </si>
  <si>
    <t>Okusi</t>
  </si>
  <si>
    <t>Tra</t>
  </si>
  <si>
    <t>Folks</t>
  </si>
  <si>
    <t>Floran</t>
  </si>
  <si>
    <t>Nazaire</t>
  </si>
  <si>
    <t>Noble</t>
  </si>
  <si>
    <t>Costa</t>
  </si>
  <si>
    <t>Valerus</t>
  </si>
  <si>
    <t>McQuay</t>
  </si>
  <si>
    <t>Tribble</t>
  </si>
  <si>
    <t>Stepherson</t>
  </si>
  <si>
    <t>Purifoy</t>
  </si>
  <si>
    <t>Cooley</t>
  </si>
  <si>
    <t>Das</t>
  </si>
  <si>
    <t>Draggin</t>
  </si>
  <si>
    <t>Bynoe</t>
  </si>
  <si>
    <t>Karras</t>
  </si>
  <si>
    <t>Slew</t>
  </si>
  <si>
    <t>Jafar</t>
  </si>
  <si>
    <t>Melikhov</t>
  </si>
  <si>
    <t>Laraque</t>
  </si>
  <si>
    <t>Fermenal</t>
  </si>
  <si>
    <t>Rashad</t>
  </si>
  <si>
    <t>Adger</t>
  </si>
  <si>
    <t>Donmartin</t>
  </si>
  <si>
    <t>Occident</t>
  </si>
  <si>
    <t>Norwood</t>
  </si>
  <si>
    <t>Hilton</t>
  </si>
  <si>
    <t>Goren</t>
  </si>
  <si>
    <t>Calixte</t>
  </si>
  <si>
    <t>Valcin</t>
  </si>
  <si>
    <t>Abbas</t>
  </si>
  <si>
    <t>Al Rahaimi</t>
  </si>
  <si>
    <t>Yeasmin</t>
  </si>
  <si>
    <t>Katt</t>
  </si>
  <si>
    <t>Corona Rios</t>
  </si>
  <si>
    <t>Shishkina</t>
  </si>
  <si>
    <t>Meracdo</t>
  </si>
  <si>
    <t>Spruce</t>
  </si>
  <si>
    <t>Nagaki</t>
  </si>
  <si>
    <t>Roldos</t>
  </si>
  <si>
    <t>Campfield</t>
  </si>
  <si>
    <t>Bush</t>
  </si>
  <si>
    <t>Yang</t>
  </si>
  <si>
    <t>Azaeva</t>
  </si>
  <si>
    <t>Burroughs</t>
  </si>
  <si>
    <t>dutzer</t>
  </si>
  <si>
    <t>BaBa</t>
  </si>
  <si>
    <t>Knowles</t>
  </si>
  <si>
    <t>De Castro Rodriguez</t>
  </si>
  <si>
    <t>Jaen</t>
  </si>
  <si>
    <t>Dabu</t>
  </si>
  <si>
    <t>Afzali</t>
  </si>
  <si>
    <t>Devard</t>
  </si>
  <si>
    <t>Guitian</t>
  </si>
  <si>
    <t>Villada</t>
  </si>
  <si>
    <t>McVay</t>
  </si>
  <si>
    <t>Horsham</t>
  </si>
  <si>
    <t>Lovett</t>
  </si>
  <si>
    <t>Cornielle</t>
  </si>
  <si>
    <t>Vitarelli</t>
  </si>
  <si>
    <t>Maddicks</t>
  </si>
  <si>
    <t>Faverey</t>
  </si>
  <si>
    <t>Toro</t>
  </si>
  <si>
    <t>Golubovich</t>
  </si>
  <si>
    <t>PELL</t>
  </si>
  <si>
    <t>St. Lot</t>
  </si>
  <si>
    <t>Killbrew</t>
  </si>
  <si>
    <t>Cundiff</t>
  </si>
  <si>
    <t>Raudenbush</t>
  </si>
  <si>
    <t>Zamba</t>
  </si>
  <si>
    <t>Bah</t>
  </si>
  <si>
    <t>Lomax</t>
  </si>
  <si>
    <t>Rautenberg</t>
  </si>
  <si>
    <t>AHIATAKU</t>
  </si>
  <si>
    <t>Berreta</t>
  </si>
  <si>
    <t>Schwing</t>
  </si>
  <si>
    <t>Blumenthal</t>
  </si>
  <si>
    <t>Saka</t>
  </si>
  <si>
    <t>Carimbocas</t>
  </si>
  <si>
    <t>Paternostro</t>
  </si>
  <si>
    <t>Akilov</t>
  </si>
  <si>
    <t>Bertolaso</t>
  </si>
  <si>
    <t>Amir</t>
  </si>
  <si>
    <t>Cheeseboro</t>
  </si>
  <si>
    <t>Limandri</t>
  </si>
  <si>
    <t>Gaye</t>
  </si>
  <si>
    <t>McClam</t>
  </si>
  <si>
    <t>Canciello</t>
  </si>
  <si>
    <t>Rasic</t>
  </si>
  <si>
    <t>Pakiakis</t>
  </si>
  <si>
    <t>Varaques</t>
  </si>
  <si>
    <t>Wetherall</t>
  </si>
  <si>
    <t>Lotts</t>
  </si>
  <si>
    <t>Mirambeaux</t>
  </si>
  <si>
    <t>Scalia</t>
  </si>
  <si>
    <t>Ruddock</t>
  </si>
  <si>
    <t>Teye-Okofo</t>
  </si>
  <si>
    <t>De Aza</t>
  </si>
  <si>
    <t>Cattaneo</t>
  </si>
  <si>
    <t>Fernandez Dominguez</t>
  </si>
  <si>
    <t>Guadelupe</t>
  </si>
  <si>
    <t>Whyte</t>
  </si>
  <si>
    <t>Bracalone</t>
  </si>
  <si>
    <t>Maccow</t>
  </si>
  <si>
    <t>Tull</t>
  </si>
  <si>
    <t>Roth</t>
  </si>
  <si>
    <t>Selimovic</t>
  </si>
  <si>
    <t>Boudier</t>
  </si>
  <si>
    <t>Cases</t>
  </si>
  <si>
    <t>Kaba</t>
  </si>
  <si>
    <t>Cornish</t>
  </si>
  <si>
    <t>Covert</t>
  </si>
  <si>
    <t>Mack</t>
  </si>
  <si>
    <t>Brazoban</t>
  </si>
  <si>
    <t>Wanko</t>
  </si>
  <si>
    <t>Dix</t>
  </si>
  <si>
    <t>Kumari</t>
  </si>
  <si>
    <t>Cano</t>
  </si>
  <si>
    <t>Justiniano</t>
  </si>
  <si>
    <t>Orr</t>
  </si>
  <si>
    <t>Boyd-Arena</t>
  </si>
  <si>
    <t>Polihronakis</t>
  </si>
  <si>
    <t>Valdes</t>
  </si>
  <si>
    <t>Ashwood</t>
  </si>
  <si>
    <t>Nyenkan</t>
  </si>
  <si>
    <t>Garner</t>
  </si>
  <si>
    <t>Reboredo</t>
  </si>
  <si>
    <t>Adrakor</t>
  </si>
  <si>
    <t>Gil Abreu</t>
  </si>
  <si>
    <t>Ofner</t>
  </si>
  <si>
    <t>Midgette</t>
  </si>
  <si>
    <t>Richmond</t>
  </si>
  <si>
    <t>Seecharan</t>
  </si>
  <si>
    <t>Bajwa</t>
  </si>
  <si>
    <t>Portilla</t>
  </si>
  <si>
    <t>Battiste</t>
  </si>
  <si>
    <t>Neils</t>
  </si>
  <si>
    <t>Liburd</t>
  </si>
  <si>
    <t>Olmo</t>
  </si>
  <si>
    <t>Rambudhan</t>
  </si>
  <si>
    <t>Richter</t>
  </si>
  <si>
    <t>Desousa</t>
  </si>
  <si>
    <t>Chandler</t>
  </si>
  <si>
    <t>Van Arcken</t>
  </si>
  <si>
    <t>Esquivel</t>
  </si>
  <si>
    <t>Witcher</t>
  </si>
  <si>
    <t>Johnanyaehie</t>
  </si>
  <si>
    <t>Trotman</t>
  </si>
  <si>
    <t>Dumpson</t>
  </si>
  <si>
    <t>Ashe-Gorbea</t>
  </si>
  <si>
    <t>Ferrari</t>
  </si>
  <si>
    <t>Outley</t>
  </si>
  <si>
    <t>Habib</t>
  </si>
  <si>
    <t>Beharry</t>
  </si>
  <si>
    <t>Heagney</t>
  </si>
  <si>
    <t>Wallen</t>
  </si>
  <si>
    <t>Razon</t>
  </si>
  <si>
    <t>Volquez</t>
  </si>
  <si>
    <t>Veliovic</t>
  </si>
  <si>
    <t>Foy</t>
  </si>
  <si>
    <t>Swain</t>
  </si>
  <si>
    <t>Garushyants</t>
  </si>
  <si>
    <t>Rollock</t>
  </si>
  <si>
    <t>Birchette</t>
  </si>
  <si>
    <t>Clements- Varra</t>
  </si>
  <si>
    <t>Stefanson</t>
  </si>
  <si>
    <t>Stanton</t>
  </si>
  <si>
    <t>Saglembeni</t>
  </si>
  <si>
    <t>Pizzimenti</t>
  </si>
  <si>
    <t>Alade</t>
  </si>
  <si>
    <t>Arnez</t>
  </si>
  <si>
    <t>Chou</t>
  </si>
  <si>
    <t>Aronowitz</t>
  </si>
  <si>
    <t>Robtoy</t>
  </si>
  <si>
    <t>Johnson-Freeman</t>
  </si>
  <si>
    <t>Hardy</t>
  </si>
  <si>
    <t>Sweety</t>
  </si>
  <si>
    <t>Wilson-Betesh</t>
  </si>
  <si>
    <t>Womble</t>
  </si>
  <si>
    <t>Irick</t>
  </si>
  <si>
    <t>Kheir</t>
  </si>
  <si>
    <t>Othwin</t>
  </si>
  <si>
    <t>Kravets</t>
  </si>
  <si>
    <t>Benyahmeen</t>
  </si>
  <si>
    <t>Yaroh</t>
  </si>
  <si>
    <t>Leung</t>
  </si>
  <si>
    <t>Valez</t>
  </si>
  <si>
    <t>Kadiri</t>
  </si>
  <si>
    <t>Cannady</t>
  </si>
  <si>
    <t>Carasquillo</t>
  </si>
  <si>
    <t>Braverman</t>
  </si>
  <si>
    <t>Rong</t>
  </si>
  <si>
    <t>Quinde</t>
  </si>
  <si>
    <t>Weltsek</t>
  </si>
  <si>
    <t>Vandross</t>
  </si>
  <si>
    <t>Lightle</t>
  </si>
  <si>
    <t>Orourke</t>
  </si>
  <si>
    <t>Dorlice</t>
  </si>
  <si>
    <t>Escala</t>
  </si>
  <si>
    <t>Monterroso</t>
  </si>
  <si>
    <t>Mosquera</t>
  </si>
  <si>
    <t>Pulatova</t>
  </si>
  <si>
    <t>Callirgos</t>
  </si>
  <si>
    <t>Friedrich</t>
  </si>
  <si>
    <t>Cohn</t>
  </si>
  <si>
    <t>Mattson</t>
  </si>
  <si>
    <t>KHAN</t>
  </si>
  <si>
    <t>Poulson</t>
  </si>
  <si>
    <t>Lark</t>
  </si>
  <si>
    <t>Queen</t>
  </si>
  <si>
    <t>McCadney</t>
  </si>
  <si>
    <t>Cardena</t>
  </si>
  <si>
    <t>Wilkerson</t>
  </si>
  <si>
    <t>Melendez Lozada</t>
  </si>
  <si>
    <t>Skrypec</t>
  </si>
  <si>
    <t>Marrone</t>
  </si>
  <si>
    <t>Placencio</t>
  </si>
  <si>
    <t>Dougherty</t>
  </si>
  <si>
    <t>Caro</t>
  </si>
  <si>
    <t>Decaul</t>
  </si>
  <si>
    <t>Guinier</t>
  </si>
  <si>
    <t>Archer</t>
  </si>
  <si>
    <t>Gaoussou</t>
  </si>
  <si>
    <t>Wiscovitch</t>
  </si>
  <si>
    <t>Huacon</t>
  </si>
  <si>
    <t>Smart</t>
  </si>
  <si>
    <t>Mayomi</t>
  </si>
  <si>
    <t>Savory</t>
  </si>
  <si>
    <t>Cruz Lopez</t>
  </si>
  <si>
    <t>Lum</t>
  </si>
  <si>
    <t>Ferdinand</t>
  </si>
  <si>
    <t>Padgett</t>
  </si>
  <si>
    <t>Lindsey</t>
  </si>
  <si>
    <t>Sajjad</t>
  </si>
  <si>
    <t>Agostini</t>
  </si>
  <si>
    <t>Leonza</t>
  </si>
  <si>
    <t>Branche</t>
  </si>
  <si>
    <t>Braunstein</t>
  </si>
  <si>
    <t>Skeen Grant</t>
  </si>
  <si>
    <t>Yassim</t>
  </si>
  <si>
    <t>Koujman</t>
  </si>
  <si>
    <t>Madero</t>
  </si>
  <si>
    <t>Frett</t>
  </si>
  <si>
    <t>Barnadore</t>
  </si>
  <si>
    <t>Ysaguirre</t>
  </si>
  <si>
    <t>McGinley</t>
  </si>
  <si>
    <t>Salauddin</t>
  </si>
  <si>
    <t>Haque</t>
  </si>
  <si>
    <t>Valenzuela</t>
  </si>
  <si>
    <t>Nistor</t>
  </si>
  <si>
    <t>Goncalves</t>
  </si>
  <si>
    <t>Corker</t>
  </si>
  <si>
    <t>Bacote</t>
  </si>
  <si>
    <t>Bawuah</t>
  </si>
  <si>
    <t>Spinos</t>
  </si>
  <si>
    <t>Homeyer</t>
  </si>
  <si>
    <t>Mines</t>
  </si>
  <si>
    <t>Crosse</t>
  </si>
  <si>
    <t>Yaport-Garcia</t>
  </si>
  <si>
    <t>Cortes</t>
  </si>
  <si>
    <t>Kuang</t>
  </si>
  <si>
    <t>Hua</t>
  </si>
  <si>
    <t>Murad</t>
  </si>
  <si>
    <t>Saab</t>
  </si>
  <si>
    <t>Matheson</t>
  </si>
  <si>
    <t>Castano</t>
  </si>
  <si>
    <t>Riggi</t>
  </si>
  <si>
    <t>Bruno</t>
  </si>
  <si>
    <t>Duesbury</t>
  </si>
  <si>
    <t>Langford</t>
  </si>
  <si>
    <t>Leveridge</t>
  </si>
  <si>
    <t>Iza Rosario</t>
  </si>
  <si>
    <t>Burnell</t>
  </si>
  <si>
    <t>Ramos Figueroa</t>
  </si>
  <si>
    <t>Sharp</t>
  </si>
  <si>
    <t>Papia</t>
  </si>
  <si>
    <t>Shane</t>
  </si>
  <si>
    <t>McComish</t>
  </si>
  <si>
    <t>Pitter</t>
  </si>
  <si>
    <t>Leicher</t>
  </si>
  <si>
    <t>Welsh</t>
  </si>
  <si>
    <t>Extavour</t>
  </si>
  <si>
    <t>Mascuzzio</t>
  </si>
  <si>
    <t>Pedraza</t>
  </si>
  <si>
    <t>Hairston</t>
  </si>
  <si>
    <t>Belches</t>
  </si>
  <si>
    <t>Henriques</t>
  </si>
  <si>
    <t>Lajara</t>
  </si>
  <si>
    <t>Fitzgerald</t>
  </si>
  <si>
    <t>Mutee</t>
  </si>
  <si>
    <t>Hoogland</t>
  </si>
  <si>
    <t>Pandya</t>
  </si>
  <si>
    <t>Siburn</t>
  </si>
  <si>
    <t>Cantrell</t>
  </si>
  <si>
    <t>Lambacker</t>
  </si>
  <si>
    <t>Gurung</t>
  </si>
  <si>
    <t>DelaRosa</t>
  </si>
  <si>
    <t>Sivananban</t>
  </si>
  <si>
    <t>Jemmott</t>
  </si>
  <si>
    <t>Ramdial</t>
  </si>
  <si>
    <t>Canady</t>
  </si>
  <si>
    <t>Dance</t>
  </si>
  <si>
    <t>Crayton</t>
  </si>
  <si>
    <t>Ibiyinka-Smith</t>
  </si>
  <si>
    <t>Dubose</t>
  </si>
  <si>
    <t>Easterlin</t>
  </si>
  <si>
    <t>Stilley</t>
  </si>
  <si>
    <t>Ishak</t>
  </si>
  <si>
    <t>Ba</t>
  </si>
  <si>
    <t>Tumblin</t>
  </si>
  <si>
    <t>Bassat</t>
  </si>
  <si>
    <t>Ulysse</t>
  </si>
  <si>
    <t>Moursy</t>
  </si>
  <si>
    <t>Whetstone</t>
  </si>
  <si>
    <t>Khoury</t>
  </si>
  <si>
    <t>Rangel</t>
  </si>
  <si>
    <t>Linder</t>
  </si>
  <si>
    <t>Fortis</t>
  </si>
  <si>
    <t>Migues</t>
  </si>
  <si>
    <t>Eagan</t>
  </si>
  <si>
    <t>Candelario</t>
  </si>
  <si>
    <t>Rhodes</t>
  </si>
  <si>
    <t>Gregory Jr.</t>
  </si>
  <si>
    <t>Braxton</t>
  </si>
  <si>
    <t>Napier</t>
  </si>
  <si>
    <t>Genao-Antonio</t>
  </si>
  <si>
    <t>Sheik</t>
  </si>
  <si>
    <t>Lafurno</t>
  </si>
  <si>
    <t>Marsh</t>
  </si>
  <si>
    <t>Conzaga</t>
  </si>
  <si>
    <t>Tarazona</t>
  </si>
  <si>
    <t>Ingram</t>
  </si>
  <si>
    <t>Ladson</t>
  </si>
  <si>
    <t>Splunge</t>
  </si>
  <si>
    <t>Chiluiza</t>
  </si>
  <si>
    <t>Guo</t>
  </si>
  <si>
    <t>Broiles</t>
  </si>
  <si>
    <t>Frimpong</t>
  </si>
  <si>
    <t>Brehon</t>
  </si>
  <si>
    <t>Reese</t>
  </si>
  <si>
    <t>Wasson</t>
  </si>
  <si>
    <t>Apuy</t>
  </si>
  <si>
    <t>Mughal</t>
  </si>
  <si>
    <t>Tittl</t>
  </si>
  <si>
    <t>Sheppard</t>
  </si>
  <si>
    <t>Geiger</t>
  </si>
  <si>
    <t>Vaswani</t>
  </si>
  <si>
    <t>Essien</t>
  </si>
  <si>
    <t>Petragnani</t>
  </si>
  <si>
    <t>Ziainia</t>
  </si>
  <si>
    <t>Utin</t>
  </si>
  <si>
    <t>Guerino</t>
  </si>
  <si>
    <t>Whelan</t>
  </si>
  <si>
    <t>McCowin</t>
  </si>
  <si>
    <t>Chiddick</t>
  </si>
  <si>
    <t>Dinardo</t>
  </si>
  <si>
    <t>Llin</t>
  </si>
  <si>
    <t>Nunez de Arias</t>
  </si>
  <si>
    <t>Butler Colon</t>
  </si>
  <si>
    <t>Fears</t>
  </si>
  <si>
    <t>Vaughm Mccray</t>
  </si>
  <si>
    <t>Selder</t>
  </si>
  <si>
    <t>Bourne</t>
  </si>
  <si>
    <t>Chudhury</t>
  </si>
  <si>
    <t>Itugot</t>
  </si>
  <si>
    <t>Lazazzera</t>
  </si>
  <si>
    <t>Rosal</t>
  </si>
  <si>
    <t>Kavanagh</t>
  </si>
  <si>
    <t>Lake</t>
  </si>
  <si>
    <t>Zadok</t>
  </si>
  <si>
    <t>Goodine</t>
  </si>
  <si>
    <t>Alazem</t>
  </si>
  <si>
    <t>Crawley</t>
  </si>
  <si>
    <t>McQuilkin</t>
  </si>
  <si>
    <t>Catrain</t>
  </si>
  <si>
    <t>Abramova</t>
  </si>
  <si>
    <t>Fausel</t>
  </si>
  <si>
    <t>Gopaul</t>
  </si>
  <si>
    <t>Yakovlev</t>
  </si>
  <si>
    <t>Tessier</t>
  </si>
  <si>
    <t>Holston</t>
  </si>
  <si>
    <t>Bourjonny</t>
  </si>
  <si>
    <t>Fortin</t>
  </si>
  <si>
    <t>Awawdeh</t>
  </si>
  <si>
    <t>Xelo</t>
  </si>
  <si>
    <t>Ancrum</t>
  </si>
  <si>
    <t>Jin</t>
  </si>
  <si>
    <t>Cato</t>
  </si>
  <si>
    <t>Olatidoye</t>
  </si>
  <si>
    <t>Clerveau</t>
  </si>
  <si>
    <t>Ruzzo</t>
  </si>
  <si>
    <t>Ruebenstahl</t>
  </si>
  <si>
    <t>Zuleta</t>
  </si>
  <si>
    <t>Suarrez</t>
  </si>
  <si>
    <t>Albanese</t>
  </si>
  <si>
    <t>Mance</t>
  </si>
  <si>
    <t>Cummins</t>
  </si>
  <si>
    <t>James Eldermay Mathiew</t>
  </si>
  <si>
    <t>Hitt</t>
  </si>
  <si>
    <t>Gottlieb</t>
  </si>
  <si>
    <t>Cortiella</t>
  </si>
  <si>
    <t>Kumbukani</t>
  </si>
  <si>
    <t>Cospito</t>
  </si>
  <si>
    <t>Pastrana</t>
  </si>
  <si>
    <t>Cuello</t>
  </si>
  <si>
    <t>Baisden</t>
  </si>
  <si>
    <t>Solla</t>
  </si>
  <si>
    <t>Ellanskaya</t>
  </si>
  <si>
    <t>Lyashchenko</t>
  </si>
  <si>
    <t>Tipadis</t>
  </si>
  <si>
    <t>Factora</t>
  </si>
  <si>
    <t>Perneas</t>
  </si>
  <si>
    <t>Maltese</t>
  </si>
  <si>
    <t>Steinberg</t>
  </si>
  <si>
    <t>Dent</t>
  </si>
  <si>
    <t>Govea</t>
  </si>
  <si>
    <t>Mills</t>
  </si>
  <si>
    <t>Brouineaud</t>
  </si>
  <si>
    <t>Aguilar Cruz</t>
  </si>
  <si>
    <t>Barber</t>
  </si>
  <si>
    <t>Evans Joseph</t>
  </si>
  <si>
    <t>Brown De Barber</t>
  </si>
  <si>
    <t>Alberique</t>
  </si>
  <si>
    <t>Rasool</t>
  </si>
  <si>
    <t>Naffar</t>
  </si>
  <si>
    <t>Freckleton</t>
  </si>
  <si>
    <t>Peterson</t>
  </si>
  <si>
    <t>Han</t>
  </si>
  <si>
    <t>Garland</t>
  </si>
  <si>
    <t>Fabriani</t>
  </si>
  <si>
    <t>Saint Amand</t>
  </si>
  <si>
    <t>Zaldivar</t>
  </si>
  <si>
    <t>Poggy</t>
  </si>
  <si>
    <t>Prosper</t>
  </si>
  <si>
    <t>Barbarino</t>
  </si>
  <si>
    <t>Ragins</t>
  </si>
  <si>
    <t>Lucca</t>
  </si>
  <si>
    <t>Winley</t>
  </si>
  <si>
    <t>Larregui</t>
  </si>
  <si>
    <t>Graniela</t>
  </si>
  <si>
    <t>Kelley</t>
  </si>
  <si>
    <t>Ohlerich</t>
  </si>
  <si>
    <t>Lino</t>
  </si>
  <si>
    <t>Singman</t>
  </si>
  <si>
    <t>Zetrenne</t>
  </si>
  <si>
    <t>Swift</t>
  </si>
  <si>
    <t>Wolesley</t>
  </si>
  <si>
    <t>Colucci</t>
  </si>
  <si>
    <t>Prioleau</t>
  </si>
  <si>
    <t>Parson</t>
  </si>
  <si>
    <t>Velaquez</t>
  </si>
  <si>
    <t>Freifeld</t>
  </si>
  <si>
    <t>Thera</t>
  </si>
  <si>
    <t>Leibert</t>
  </si>
  <si>
    <t>House</t>
  </si>
  <si>
    <t>Petevka-Martin</t>
  </si>
  <si>
    <t>Generoso</t>
  </si>
  <si>
    <t>Smoots</t>
  </si>
  <si>
    <t>Perez Santiago</t>
  </si>
  <si>
    <t>Di Giorno</t>
  </si>
  <si>
    <t>Waul</t>
  </si>
  <si>
    <t>Mejias</t>
  </si>
  <si>
    <t>Saltos</t>
  </si>
  <si>
    <t>Rodriguez Lewis</t>
  </si>
  <si>
    <t>Blanchard</t>
  </si>
  <si>
    <t>Mcfadden</t>
  </si>
  <si>
    <t>Sherman</t>
  </si>
  <si>
    <t>Cousin</t>
  </si>
  <si>
    <t>Jernigan</t>
  </si>
  <si>
    <t>Domingue</t>
  </si>
  <si>
    <t>Groce</t>
  </si>
  <si>
    <t>Bekele</t>
  </si>
  <si>
    <t>Atterberry</t>
  </si>
  <si>
    <t>Korbal</t>
  </si>
  <si>
    <t>Wikstrom</t>
  </si>
  <si>
    <t>Khaimova</t>
  </si>
  <si>
    <t>Appan</t>
  </si>
  <si>
    <t>Hucey</t>
  </si>
  <si>
    <t>Girgis</t>
  </si>
  <si>
    <t>Ovadia</t>
  </si>
  <si>
    <t>Adedeji</t>
  </si>
  <si>
    <t>Knightingale</t>
  </si>
  <si>
    <t>Parris</t>
  </si>
  <si>
    <t>Navia</t>
  </si>
  <si>
    <t>Alvarenga</t>
  </si>
  <si>
    <t>Strong</t>
  </si>
  <si>
    <t>Levy</t>
  </si>
  <si>
    <t>Gaffoor</t>
  </si>
  <si>
    <t>Skolnik</t>
  </si>
  <si>
    <t>Pascal</t>
  </si>
  <si>
    <t>Nollez</t>
  </si>
  <si>
    <t>Bowens</t>
  </si>
  <si>
    <t>Kartsanis</t>
  </si>
  <si>
    <t>Dehojos</t>
  </si>
  <si>
    <t>Magnikouwe</t>
  </si>
  <si>
    <t>Kopelowitz</t>
  </si>
  <si>
    <t>McNear</t>
  </si>
  <si>
    <t>Alkhassane</t>
  </si>
  <si>
    <t>Manigault</t>
  </si>
  <si>
    <t>Rojas Crisanto</t>
  </si>
  <si>
    <t>Armogan</t>
  </si>
  <si>
    <t>Servil</t>
  </si>
  <si>
    <t>Bank</t>
  </si>
  <si>
    <t>Prentice</t>
  </si>
  <si>
    <t>Coronado</t>
  </si>
  <si>
    <t>Ashanti</t>
  </si>
  <si>
    <t>Hidegfoldi</t>
  </si>
  <si>
    <t>Corcino</t>
  </si>
  <si>
    <t>Massie</t>
  </si>
  <si>
    <t>Alejo-Cepeda</t>
  </si>
  <si>
    <t>Cuevas Espinoza</t>
  </si>
  <si>
    <t>Balalaos</t>
  </si>
  <si>
    <t>Loginovs</t>
  </si>
  <si>
    <t>Demunn</t>
  </si>
  <si>
    <t>Anyachebelu</t>
  </si>
  <si>
    <t>Viskovic</t>
  </si>
  <si>
    <t>Avramenko</t>
  </si>
  <si>
    <t>Handoun</t>
  </si>
  <si>
    <t>Casillas-Figueroa</t>
  </si>
  <si>
    <t>Lazarus</t>
  </si>
  <si>
    <t>Nuñez</t>
  </si>
  <si>
    <t>Russo</t>
  </si>
  <si>
    <t>McGrane</t>
  </si>
  <si>
    <t>Khalid</t>
  </si>
  <si>
    <t>Layden</t>
  </si>
  <si>
    <t>Simbana</t>
  </si>
  <si>
    <t>Kenny</t>
  </si>
  <si>
    <t>Bohannon</t>
  </si>
  <si>
    <t>Gallina</t>
  </si>
  <si>
    <t>Herling</t>
  </si>
  <si>
    <t>Short</t>
  </si>
  <si>
    <t>St Lewis</t>
  </si>
  <si>
    <t>Lovemore</t>
  </si>
  <si>
    <t>Quince</t>
  </si>
  <si>
    <t>Whitehead</t>
  </si>
  <si>
    <t>Peek</t>
  </si>
  <si>
    <t>Derobertis</t>
  </si>
  <si>
    <t>Foy Robinson</t>
  </si>
  <si>
    <t>Chakraborty</t>
  </si>
  <si>
    <t>Deshields</t>
  </si>
  <si>
    <t>Mouscardy</t>
  </si>
  <si>
    <t>Neat</t>
  </si>
  <si>
    <t>Vaillant</t>
  </si>
  <si>
    <t>Rentas</t>
  </si>
  <si>
    <t>Swaray</t>
  </si>
  <si>
    <t>Marriott</t>
  </si>
  <si>
    <t>Duran Hernandez</t>
  </si>
  <si>
    <t>Matsushima</t>
  </si>
  <si>
    <t>de la Cruz</t>
  </si>
  <si>
    <t>Momin</t>
  </si>
  <si>
    <t>Imeraj</t>
  </si>
  <si>
    <t>Muschett</t>
  </si>
  <si>
    <t>Faust</t>
  </si>
  <si>
    <t>Cherry-Donaldson</t>
  </si>
  <si>
    <t>Pomerlee</t>
  </si>
  <si>
    <t>Knapper</t>
  </si>
  <si>
    <t>Nucci</t>
  </si>
  <si>
    <t>Collins-McClean</t>
  </si>
  <si>
    <t>Webbert</t>
  </si>
  <si>
    <t>Opare</t>
  </si>
  <si>
    <t>Mahadeo</t>
  </si>
  <si>
    <t>Aduna</t>
  </si>
  <si>
    <t>Sotobonet</t>
  </si>
  <si>
    <t>Klubek</t>
  </si>
  <si>
    <t>Woolfolk</t>
  </si>
  <si>
    <t>Dodson</t>
  </si>
  <si>
    <t>Poggi</t>
  </si>
  <si>
    <t>Hopkins</t>
  </si>
  <si>
    <t>Blackledge</t>
  </si>
  <si>
    <t>Arup</t>
  </si>
  <si>
    <t>Chamas</t>
  </si>
  <si>
    <t>Grindley</t>
  </si>
  <si>
    <t>Cajamarca</t>
  </si>
  <si>
    <t>Peguero DeRodriguez</t>
  </si>
  <si>
    <t>Taylor Ianiro</t>
  </si>
  <si>
    <t>Kingsberry</t>
  </si>
  <si>
    <t>Troche</t>
  </si>
  <si>
    <t>Whitelaw</t>
  </si>
  <si>
    <t>Bacahara</t>
  </si>
  <si>
    <t>Dell</t>
  </si>
  <si>
    <t>Bassett</t>
  </si>
  <si>
    <t>Abdallah</t>
  </si>
  <si>
    <t>Dufflart</t>
  </si>
  <si>
    <t>Ioselevich</t>
  </si>
  <si>
    <t>Dipnarine</t>
  </si>
  <si>
    <t>Rozenberg</t>
  </si>
  <si>
    <t>DAVIDSON- RHODES</t>
  </si>
  <si>
    <t>Charlton</t>
  </si>
  <si>
    <t>Reyes Ruiz</t>
  </si>
  <si>
    <t>Gervais</t>
  </si>
  <si>
    <t>Fata</t>
  </si>
  <si>
    <t>Tolliver</t>
  </si>
  <si>
    <t>Reubel</t>
  </si>
  <si>
    <t>Barrionuevo</t>
  </si>
  <si>
    <t>Zinsou</t>
  </si>
  <si>
    <t>Okomeng</t>
  </si>
  <si>
    <t>Giordano</t>
  </si>
  <si>
    <t>Shumko</t>
  </si>
  <si>
    <t>Hrapovich</t>
  </si>
  <si>
    <t>Pesantes</t>
  </si>
  <si>
    <t>Pineiro</t>
  </si>
  <si>
    <t>Rabinowitz</t>
  </si>
  <si>
    <t>Fish</t>
  </si>
  <si>
    <t>Sanyer</t>
  </si>
  <si>
    <t>Underwood</t>
  </si>
  <si>
    <t>Yee</t>
  </si>
  <si>
    <t>Pollards</t>
  </si>
  <si>
    <t>Cochrane</t>
  </si>
  <si>
    <t>Schum</t>
  </si>
  <si>
    <t>Vasser</t>
  </si>
  <si>
    <t>Donkemezuo</t>
  </si>
  <si>
    <t>Santero</t>
  </si>
  <si>
    <t>Huo</t>
  </si>
  <si>
    <t>Dessaint</t>
  </si>
  <si>
    <t>Rittenhour</t>
  </si>
  <si>
    <t>Maultsby</t>
  </si>
  <si>
    <t>Desouza</t>
  </si>
  <si>
    <t>Graff</t>
  </si>
  <si>
    <t>Ip</t>
  </si>
  <si>
    <t>Nisvis</t>
  </si>
  <si>
    <t>Dikmane</t>
  </si>
  <si>
    <t>Altman</t>
  </si>
  <si>
    <t>Aguirre</t>
  </si>
  <si>
    <t>Montolio</t>
  </si>
  <si>
    <t>Potjagailo</t>
  </si>
  <si>
    <t>FoFana</t>
  </si>
  <si>
    <t>Capriata</t>
  </si>
  <si>
    <t>Bonillo</t>
  </si>
  <si>
    <t>Parrilla</t>
  </si>
  <si>
    <t>Ogburn</t>
  </si>
  <si>
    <t>Rouse</t>
  </si>
  <si>
    <t>Pilblad</t>
  </si>
  <si>
    <t>Gonzalez Martinez</t>
  </si>
  <si>
    <t>Kilikci</t>
  </si>
  <si>
    <t>Macklin</t>
  </si>
  <si>
    <t>Scwlall</t>
  </si>
  <si>
    <t>Portela</t>
  </si>
  <si>
    <t>Upegui</t>
  </si>
  <si>
    <t>Hagins</t>
  </si>
  <si>
    <t>Christinis</t>
  </si>
  <si>
    <t>Lenkovskaya</t>
  </si>
  <si>
    <t>Beaubrauth</t>
  </si>
  <si>
    <t>Monsalve</t>
  </si>
  <si>
    <t>BELLINGER</t>
  </si>
  <si>
    <t>Bowie</t>
  </si>
  <si>
    <t>Markovskyi</t>
  </si>
  <si>
    <t>Mateen</t>
  </si>
  <si>
    <t>Beltran</t>
  </si>
  <si>
    <t>Dozier</t>
  </si>
  <si>
    <t>Gatlin-Deleon</t>
  </si>
  <si>
    <t>Reddy</t>
  </si>
  <si>
    <t>Scippio</t>
  </si>
  <si>
    <t>Galan-Batista</t>
  </si>
  <si>
    <t>Padillla</t>
  </si>
  <si>
    <t>Delvalle</t>
  </si>
  <si>
    <t>Nunoo-Brown</t>
  </si>
  <si>
    <t>Chowdhury</t>
  </si>
  <si>
    <t>Pantoja</t>
  </si>
  <si>
    <t>Quarles</t>
  </si>
  <si>
    <t>Strambeanu</t>
  </si>
  <si>
    <t>Dailey</t>
  </si>
  <si>
    <t>Mumuni</t>
  </si>
  <si>
    <t>Roche</t>
  </si>
  <si>
    <t>Cheek</t>
  </si>
  <si>
    <t>Oliveira</t>
  </si>
  <si>
    <t>Parken</t>
  </si>
  <si>
    <t>Chu</t>
  </si>
  <si>
    <t>Shehata</t>
  </si>
  <si>
    <t>Sousa</t>
  </si>
  <si>
    <t>Pattern</t>
  </si>
  <si>
    <t>Bray</t>
  </si>
  <si>
    <t>Parkhalyuk</t>
  </si>
  <si>
    <t>Mashriqui</t>
  </si>
  <si>
    <t>Tellier</t>
  </si>
  <si>
    <t>Fals</t>
  </si>
  <si>
    <t>Dortch</t>
  </si>
  <si>
    <t>O'neal</t>
  </si>
  <si>
    <t>Dormeus</t>
  </si>
  <si>
    <t>Murrary</t>
  </si>
  <si>
    <t>Suarez - Brice</t>
  </si>
  <si>
    <t>RIOS</t>
  </si>
  <si>
    <t>Kenneh</t>
  </si>
  <si>
    <t>Cropper</t>
  </si>
  <si>
    <t>Nadeau</t>
  </si>
  <si>
    <t>Blamo</t>
  </si>
  <si>
    <t>Strahan</t>
  </si>
  <si>
    <t>Corte Vasquez</t>
  </si>
  <si>
    <t>Wilshire</t>
  </si>
  <si>
    <t>Garcia perez</t>
  </si>
  <si>
    <t>Jhonson</t>
  </si>
  <si>
    <t>Dieng</t>
  </si>
  <si>
    <t>Lala</t>
  </si>
  <si>
    <t>Merchant</t>
  </si>
  <si>
    <t>JOLAOSO</t>
  </si>
  <si>
    <t>Backer</t>
  </si>
  <si>
    <t>Mahon</t>
  </si>
  <si>
    <t>Agastra</t>
  </si>
  <si>
    <t>Manneh</t>
  </si>
  <si>
    <t>Straw</t>
  </si>
  <si>
    <t>Loftin</t>
  </si>
  <si>
    <t>Kazembe</t>
  </si>
  <si>
    <t>Waters</t>
  </si>
  <si>
    <t>Arce</t>
  </si>
  <si>
    <t>WOLFE</t>
  </si>
  <si>
    <t>SIMMONS</t>
  </si>
  <si>
    <t>Osagiede</t>
  </si>
  <si>
    <t>Bing</t>
  </si>
  <si>
    <t>Asencio</t>
  </si>
  <si>
    <t>Schofield</t>
  </si>
  <si>
    <t>Buret</t>
  </si>
  <si>
    <t>Ashmid</t>
  </si>
  <si>
    <t>de Estevez</t>
  </si>
  <si>
    <t>Mackie</t>
  </si>
  <si>
    <t>Cacicio</t>
  </si>
  <si>
    <t>Valiente</t>
  </si>
  <si>
    <t>Abdul-Mani</t>
  </si>
  <si>
    <t>Pinnock</t>
  </si>
  <si>
    <t>Angus</t>
  </si>
  <si>
    <t>Klein</t>
  </si>
  <si>
    <t>Brea Infante</t>
  </si>
  <si>
    <t>Waiters</t>
  </si>
  <si>
    <t>McGreer</t>
  </si>
  <si>
    <t>Patillo</t>
  </si>
  <si>
    <t>Vasquez Rivas</t>
  </si>
  <si>
    <t>Maurino</t>
  </si>
  <si>
    <t>Baria</t>
  </si>
  <si>
    <t>Pennell</t>
  </si>
  <si>
    <t>Varbero</t>
  </si>
  <si>
    <t>Elliot</t>
  </si>
  <si>
    <t>Atencio</t>
  </si>
  <si>
    <t>Kerwick</t>
  </si>
  <si>
    <t>Lezama</t>
  </si>
  <si>
    <t>Semper</t>
  </si>
  <si>
    <t>Shokirova</t>
  </si>
  <si>
    <t>Mehmedaj</t>
  </si>
  <si>
    <t>Oppenheimer</t>
  </si>
  <si>
    <t>Venaglia</t>
  </si>
  <si>
    <t>Gore</t>
  </si>
  <si>
    <t>Plaismond</t>
  </si>
  <si>
    <t>Mahdi</t>
  </si>
  <si>
    <t>Nilsen</t>
  </si>
  <si>
    <t>Adega</t>
  </si>
  <si>
    <t>ULLOA</t>
  </si>
  <si>
    <t>Drayton</t>
  </si>
  <si>
    <t>Miner</t>
  </si>
  <si>
    <t>Kenly</t>
  </si>
  <si>
    <t>Kante</t>
  </si>
  <si>
    <t>ARMSTRONG</t>
  </si>
  <si>
    <t>Aca</t>
  </si>
  <si>
    <t>Titus</t>
  </si>
  <si>
    <t>Tesoriero</t>
  </si>
  <si>
    <t>Lorino</t>
  </si>
  <si>
    <t>Larossa</t>
  </si>
  <si>
    <t>Laing</t>
  </si>
  <si>
    <t>Pender</t>
  </si>
  <si>
    <t>Willocle</t>
  </si>
  <si>
    <t>Loumsby</t>
  </si>
  <si>
    <t>Savattere</t>
  </si>
  <si>
    <t>Dzaba</t>
  </si>
  <si>
    <t>Kotow</t>
  </si>
  <si>
    <t>Vample</t>
  </si>
  <si>
    <t>Preato</t>
  </si>
  <si>
    <t>Ubiles</t>
  </si>
  <si>
    <t>Jeenarine</t>
  </si>
  <si>
    <t>van Lohuizen</t>
  </si>
  <si>
    <t>Moleah</t>
  </si>
  <si>
    <t>Duodo</t>
  </si>
  <si>
    <t>Irizarry-Jacobs</t>
  </si>
  <si>
    <t>Etienne</t>
  </si>
  <si>
    <t>Jacklone</t>
  </si>
  <si>
    <t>Jaipaul</t>
  </si>
  <si>
    <t>Laguerre</t>
  </si>
  <si>
    <t>Luk</t>
  </si>
  <si>
    <t>Codrington</t>
  </si>
  <si>
    <t>Canada</t>
  </si>
  <si>
    <t>Duong</t>
  </si>
  <si>
    <t>Shea</t>
  </si>
  <si>
    <t>Conte</t>
  </si>
  <si>
    <t>A Test</t>
  </si>
  <si>
    <t>Asforis</t>
  </si>
  <si>
    <t>Pizicas</t>
  </si>
  <si>
    <t>Mullins</t>
  </si>
  <si>
    <t>Jackson Agee</t>
  </si>
  <si>
    <t>Goldshine</t>
  </si>
  <si>
    <t>Creech</t>
  </si>
  <si>
    <t>Moskowitz</t>
  </si>
  <si>
    <t>Tao</t>
  </si>
  <si>
    <t>Castillo Lino</t>
  </si>
  <si>
    <t>Corbin</t>
  </si>
  <si>
    <t>Arreaga</t>
  </si>
  <si>
    <t>MacPepple</t>
  </si>
  <si>
    <t>Spielmann</t>
  </si>
  <si>
    <t>DesChamps</t>
  </si>
  <si>
    <t>martinez</t>
  </si>
  <si>
    <t>Potter</t>
  </si>
  <si>
    <t>Rush</t>
  </si>
  <si>
    <t>Norris</t>
  </si>
  <si>
    <t>Myles</t>
  </si>
  <si>
    <t>VELEZ</t>
  </si>
  <si>
    <t>Awais</t>
  </si>
  <si>
    <t>Okata</t>
  </si>
  <si>
    <t>Lapice</t>
  </si>
  <si>
    <t>Lliguichuzhca</t>
  </si>
  <si>
    <t>Ledra</t>
  </si>
  <si>
    <t>Tsahirides</t>
  </si>
  <si>
    <t>Heath</t>
  </si>
  <si>
    <t>Trujilo</t>
  </si>
  <si>
    <t>Osuala</t>
  </si>
  <si>
    <t>Campillo</t>
  </si>
  <si>
    <t>Santana Ellis</t>
  </si>
  <si>
    <t>Bogle</t>
  </si>
  <si>
    <t>Watson Osborne</t>
  </si>
  <si>
    <t>DeGeorge</t>
  </si>
  <si>
    <t>Vaca</t>
  </si>
  <si>
    <t>Weider</t>
  </si>
  <si>
    <t>MITCHELL</t>
  </si>
  <si>
    <t>Rousseau</t>
  </si>
  <si>
    <t>Bejjani</t>
  </si>
  <si>
    <t>Huerta</t>
  </si>
  <si>
    <t>Infante Leocadio</t>
  </si>
  <si>
    <t>DAVIS</t>
  </si>
  <si>
    <t>Balbuena</t>
  </si>
  <si>
    <t>Lugo-Rivera</t>
  </si>
  <si>
    <t>Kohl</t>
  </si>
  <si>
    <t>Roubert</t>
  </si>
  <si>
    <t>Khalifah</t>
  </si>
  <si>
    <t>Weekes</t>
  </si>
  <si>
    <t>Quartey</t>
  </si>
  <si>
    <t>Nino</t>
  </si>
  <si>
    <t>Zeng</t>
  </si>
  <si>
    <t>Hassalevris</t>
  </si>
  <si>
    <t>Farez</t>
  </si>
  <si>
    <t>Rizzo</t>
  </si>
  <si>
    <t>MEDINA</t>
  </si>
  <si>
    <t>Uzilov</t>
  </si>
  <si>
    <t>Suber</t>
  </si>
  <si>
    <t>Apparicio</t>
  </si>
  <si>
    <t>Mueses</t>
  </si>
  <si>
    <t>Alzawm</t>
  </si>
  <si>
    <t>Deoleo</t>
  </si>
  <si>
    <t>Maggiolo</t>
  </si>
  <si>
    <t>Keppel</t>
  </si>
  <si>
    <t>Razzaqi</t>
  </si>
  <si>
    <t>Samayoa</t>
  </si>
  <si>
    <t>Pearsall</t>
  </si>
  <si>
    <t>Dunn</t>
  </si>
  <si>
    <t>Morel</t>
  </si>
  <si>
    <t>Piedrahita</t>
  </si>
  <si>
    <t>motley</t>
  </si>
  <si>
    <t>Larson</t>
  </si>
  <si>
    <t>Broder</t>
  </si>
  <si>
    <t>Lesley</t>
  </si>
  <si>
    <t>Simmons Jr.</t>
  </si>
  <si>
    <t>Hutaf</t>
  </si>
  <si>
    <t>Gavin</t>
  </si>
  <si>
    <t>Pariser</t>
  </si>
  <si>
    <t>Miyamoto</t>
  </si>
  <si>
    <t>Banach</t>
  </si>
  <si>
    <t>Varfley</t>
  </si>
  <si>
    <t>Bowens-Lamar</t>
  </si>
  <si>
    <t>Meador</t>
  </si>
  <si>
    <t>Cardoza</t>
  </si>
  <si>
    <t>Crescioni-Santoni</t>
  </si>
  <si>
    <t>Luzon</t>
  </si>
  <si>
    <t>Shmueli</t>
  </si>
  <si>
    <t>Trantham</t>
  </si>
  <si>
    <t>Cohannon</t>
  </si>
  <si>
    <t>Salgado</t>
  </si>
  <si>
    <t>Aswani</t>
  </si>
  <si>
    <t>Goosby</t>
  </si>
  <si>
    <t>Doyle</t>
  </si>
  <si>
    <t>Shoval</t>
  </si>
  <si>
    <t>Tavera</t>
  </si>
  <si>
    <t>Ceant</t>
  </si>
  <si>
    <t>Rambally</t>
  </si>
  <si>
    <t>Villa</t>
  </si>
  <si>
    <t>LEBRON</t>
  </si>
  <si>
    <t>Heffernan</t>
  </si>
  <si>
    <t>Sessoms</t>
  </si>
  <si>
    <t>Larrier</t>
  </si>
  <si>
    <t>Slowe</t>
  </si>
  <si>
    <t>Esberry</t>
  </si>
  <si>
    <t>Faulden</t>
  </si>
  <si>
    <t>Brignolle</t>
  </si>
  <si>
    <t>Harvard-Jones</t>
  </si>
  <si>
    <t>Hyde</t>
  </si>
  <si>
    <t>Moseley-Bell</t>
  </si>
  <si>
    <t>Moses-Harrison</t>
  </si>
  <si>
    <t>Carusone</t>
  </si>
  <si>
    <t>Blowe</t>
  </si>
  <si>
    <t>Apaloo</t>
  </si>
  <si>
    <t>Decarmine</t>
  </si>
  <si>
    <t>Bradshaw</t>
  </si>
  <si>
    <t>Makinde</t>
  </si>
  <si>
    <t>concepcion</t>
  </si>
  <si>
    <t>Lifton</t>
  </si>
  <si>
    <t>Ackah</t>
  </si>
  <si>
    <t>Borges</t>
  </si>
  <si>
    <t>Reardon</t>
  </si>
  <si>
    <t>Vicenty</t>
  </si>
  <si>
    <t>Eshkenazi</t>
  </si>
  <si>
    <t>Slaven</t>
  </si>
  <si>
    <t>Clyburn</t>
  </si>
  <si>
    <t>Martorella</t>
  </si>
  <si>
    <t>Gbeworo</t>
  </si>
  <si>
    <t>Bourdier</t>
  </si>
  <si>
    <t>Al Nehmi</t>
  </si>
  <si>
    <t>Falcon</t>
  </si>
  <si>
    <t>Griggs</t>
  </si>
  <si>
    <t>Powers</t>
  </si>
  <si>
    <t>Madraveren</t>
  </si>
  <si>
    <t>Watters</t>
  </si>
  <si>
    <t>Arciniegas</t>
  </si>
  <si>
    <t>Pek</t>
  </si>
  <si>
    <t>Briscoe</t>
  </si>
  <si>
    <t>Ra</t>
  </si>
  <si>
    <t>Mobley</t>
  </si>
  <si>
    <t>Elvin</t>
  </si>
  <si>
    <t>Arellano</t>
  </si>
  <si>
    <t>LeCroix</t>
  </si>
  <si>
    <t>Aktav</t>
  </si>
  <si>
    <t>Lange</t>
  </si>
  <si>
    <t>Beasley</t>
  </si>
  <si>
    <t>Awer</t>
  </si>
  <si>
    <t>Gabriele</t>
  </si>
  <si>
    <t>Toone</t>
  </si>
  <si>
    <t>Tanzil-Onne</t>
  </si>
  <si>
    <t>Gillett</t>
  </si>
  <si>
    <t>Garcia Torres</t>
  </si>
  <si>
    <t>Heiman</t>
  </si>
  <si>
    <t>Cousins</t>
  </si>
  <si>
    <t>Niyadova</t>
  </si>
  <si>
    <t>Tjasso</t>
  </si>
  <si>
    <t>Givon</t>
  </si>
  <si>
    <t>Pilato</t>
  </si>
  <si>
    <t>Neal</t>
  </si>
  <si>
    <t>Dinh</t>
  </si>
  <si>
    <t>Birney</t>
  </si>
  <si>
    <t>Sabalza</t>
  </si>
  <si>
    <t>Quian</t>
  </si>
  <si>
    <t>Sarpong</t>
  </si>
  <si>
    <t>Sano</t>
  </si>
  <si>
    <t>Ponce Deleon</t>
  </si>
  <si>
    <t>Abuqattam</t>
  </si>
  <si>
    <t>Bravo Manuel</t>
  </si>
  <si>
    <t>Woodward</t>
  </si>
  <si>
    <t>Paske</t>
  </si>
  <si>
    <t>Roopnarine</t>
  </si>
  <si>
    <t>Billah</t>
  </si>
  <si>
    <t>Acosta-De la Cruz</t>
  </si>
  <si>
    <t>Pennant</t>
  </si>
  <si>
    <t>Vecchione</t>
  </si>
  <si>
    <t>Pestano</t>
  </si>
  <si>
    <t>Eguabor</t>
  </si>
  <si>
    <t>Mcpherson</t>
  </si>
  <si>
    <t>Panora</t>
  </si>
  <si>
    <t>Pichard</t>
  </si>
  <si>
    <t>Larsen</t>
  </si>
  <si>
    <t>Jonesw</t>
  </si>
  <si>
    <t>Stubs</t>
  </si>
  <si>
    <t>Pucciano</t>
  </si>
  <si>
    <t>Pagan</t>
  </si>
  <si>
    <t>Gambino</t>
  </si>
  <si>
    <t>Vicidomini</t>
  </si>
  <si>
    <t>Coppotelli</t>
  </si>
  <si>
    <t>Polito</t>
  </si>
  <si>
    <t>Abbruscato</t>
  </si>
  <si>
    <t>Moss</t>
  </si>
  <si>
    <t>1068 Gerard Ave</t>
  </si>
  <si>
    <t>1150 Commontwealth Ave.</t>
  </si>
  <si>
    <t>2120 Randall Ave</t>
  </si>
  <si>
    <t>593 E 141st St</t>
  </si>
  <si>
    <t>645 Prospect Ave</t>
  </si>
  <si>
    <t>970 Prospect Ave</t>
  </si>
  <si>
    <t>3805 Review Pl</t>
  </si>
  <si>
    <t>1675 Southern Blvd</t>
  </si>
  <si>
    <t>905 Eagle Ave</t>
  </si>
  <si>
    <t>1520 Sheridan Ave</t>
  </si>
  <si>
    <t>1428 Morris Ave</t>
  </si>
  <si>
    <t>410 Saint Nicholas Ave</t>
  </si>
  <si>
    <t>1111 Gerard Ave</t>
  </si>
  <si>
    <t>30 Post Ave</t>
  </si>
  <si>
    <t>31 Park Ter W</t>
  </si>
  <si>
    <t>595 Trinity Ave</t>
  </si>
  <si>
    <t>56 West 180th Street</t>
  </si>
  <si>
    <t>666 E 233rd St</t>
  </si>
  <si>
    <t>2116 Crotona Pkwy</t>
  </si>
  <si>
    <t>1504 Sheridan Ave</t>
  </si>
  <si>
    <t>403 W 127th St</t>
  </si>
  <si>
    <t>1770 Walton Ave</t>
  </si>
  <si>
    <t>333 E 181st St</t>
  </si>
  <si>
    <t>600 E 181st St</t>
  </si>
  <si>
    <t>737 E 219th St</t>
  </si>
  <si>
    <t>2900 Barnes Ave</t>
  </si>
  <si>
    <t>1880 Valentine Ave</t>
  </si>
  <si>
    <t>2225 Holland Ave</t>
  </si>
  <si>
    <t>601 W 180th St</t>
  </si>
  <si>
    <t>249 Harman St</t>
  </si>
  <si>
    <t>1795 Riverside Dr</t>
  </si>
  <si>
    <t>1143 Longfellow Ave</t>
  </si>
  <si>
    <t>12 Old Broadway</t>
  </si>
  <si>
    <t>24 W 117th St</t>
  </si>
  <si>
    <t>2179 Washington Ave</t>
  </si>
  <si>
    <t>145 Elmira Loop</t>
  </si>
  <si>
    <t>14 Thayer St</t>
  </si>
  <si>
    <t>115 Hamilton Pl</t>
  </si>
  <si>
    <t>345 W 48th St</t>
  </si>
  <si>
    <t>272 Sherman Ave</t>
  </si>
  <si>
    <t>480 E 188th St</t>
  </si>
  <si>
    <t>58 Marble Hill Ave</t>
  </si>
  <si>
    <t>663 Howard Ave</t>
  </si>
  <si>
    <t>230 E 179th St</t>
  </si>
  <si>
    <t>65 E Gun Hill Rd</t>
  </si>
  <si>
    <t>2266 Andrews Ave</t>
  </si>
  <si>
    <t>2353 Pacific st</t>
  </si>
  <si>
    <t>9708 Kings Hwy</t>
  </si>
  <si>
    <t>10720 134th St</t>
  </si>
  <si>
    <t>333 3rd Ave</t>
  </si>
  <si>
    <t>3121 Villa Ave</t>
  </si>
  <si>
    <t>125 W 137th St</t>
  </si>
  <si>
    <t>414 Morris Ave</t>
  </si>
  <si>
    <t>2356 Davidson Ave</t>
  </si>
  <si>
    <t>75 Saint Nicholas Pl</t>
  </si>
  <si>
    <t>158 W 129th St</t>
  </si>
  <si>
    <t>216 Rockaway Ave</t>
  </si>
  <si>
    <t>244 E 7th St</t>
  </si>
  <si>
    <t>488 E 163rd St</t>
  </si>
  <si>
    <t>18 E 109th St</t>
  </si>
  <si>
    <t>2541 Adam Clayton Powell Jr Blvd</t>
  </si>
  <si>
    <t>2685 Creston Ave</t>
  </si>
  <si>
    <t>8355 Austin St</t>
  </si>
  <si>
    <t>685 E 225th St</t>
  </si>
  <si>
    <t>485 Herzl St</t>
  </si>
  <si>
    <t>210 Rivington St</t>
  </si>
  <si>
    <t>118 Avenue D</t>
  </si>
  <si>
    <t>271 Fort Washington Ave</t>
  </si>
  <si>
    <t>466 E 10th St</t>
  </si>
  <si>
    <t>711c Seagirt Ave</t>
  </si>
  <si>
    <t>1346 Dickens St</t>
  </si>
  <si>
    <t>1708 Summerfield</t>
  </si>
  <si>
    <t>2220 Holland Ave</t>
  </si>
  <si>
    <t>45 Jackson St</t>
  </si>
  <si>
    <t>536 E 96th St</t>
  </si>
  <si>
    <t>450 W 131st St</t>
  </si>
  <si>
    <t>454 W 164th St</t>
  </si>
  <si>
    <t>540 W 143rd St</t>
  </si>
  <si>
    <t>10448 46th Ave</t>
  </si>
  <si>
    <t>3507 147th St</t>
  </si>
  <si>
    <t>8025 Parsons Blvd</t>
  </si>
  <si>
    <t>437 Wyona St</t>
  </si>
  <si>
    <t>344 Marion St</t>
  </si>
  <si>
    <t>344 Marion st</t>
  </si>
  <si>
    <t>49 Crown St</t>
  </si>
  <si>
    <t>1455 Harrod Ave</t>
  </si>
  <si>
    <t>510 Riverdale ave</t>
  </si>
  <si>
    <t>655 Burke Ave</t>
  </si>
  <si>
    <t>135 W Kingsbridge Rd</t>
  </si>
  <si>
    <t>600 Hylan Blvd</t>
  </si>
  <si>
    <t>639 Union St</t>
  </si>
  <si>
    <t>2145 Matthews Ave</t>
  </si>
  <si>
    <t>23 Tessa Ct</t>
  </si>
  <si>
    <t>450 E 144th St</t>
  </si>
  <si>
    <t>151 Daniel Low Ter</t>
  </si>
  <si>
    <t>463 Riga St</t>
  </si>
  <si>
    <t>50 W GUN HILL RD</t>
  </si>
  <si>
    <t>8816 86th St</t>
  </si>
  <si>
    <t>1091 Gates Ave</t>
  </si>
  <si>
    <t>1075 E 179th St</t>
  </si>
  <si>
    <t>2200 Tiebout Ave</t>
  </si>
  <si>
    <t>9838 57th Ave</t>
  </si>
  <si>
    <t>2325 Cambreleng Ave</t>
  </si>
  <si>
    <t>64 Lincoln Rd</t>
  </si>
  <si>
    <t>145 W Kingsbridge Rd</t>
  </si>
  <si>
    <t>1765 Townsend Ave</t>
  </si>
  <si>
    <t>125 Beach 17th St</t>
  </si>
  <si>
    <t>5707 Shore Front Pkwy</t>
  </si>
  <si>
    <t>9720 57th Ave</t>
  </si>
  <si>
    <t>14701 Hillside Ave</t>
  </si>
  <si>
    <t>8805 Merrick Blvd</t>
  </si>
  <si>
    <t>14848 88th Ave</t>
  </si>
  <si>
    <t>26 Ebbitts St</t>
  </si>
  <si>
    <t>65 Seaman Ave</t>
  </si>
  <si>
    <t>107 Post Ave</t>
  </si>
  <si>
    <t>252 Sherman Ave</t>
  </si>
  <si>
    <t>580 W 161st St</t>
  </si>
  <si>
    <t>6446 Madison St</t>
  </si>
  <si>
    <t>4416 Macnish St</t>
  </si>
  <si>
    <t>5910 Queens Blvd</t>
  </si>
  <si>
    <t>22412 Linden Blvd</t>
  </si>
  <si>
    <t>5025 Broadway</t>
  </si>
  <si>
    <t>2103 Honeywell Ave</t>
  </si>
  <si>
    <t>249 Beach 15th St</t>
  </si>
  <si>
    <t>1555 Grand Concourse</t>
  </si>
  <si>
    <t>315 Pulaski St</t>
  </si>
  <si>
    <t>684 E 222nd St</t>
  </si>
  <si>
    <t>380 Schenck Ave</t>
  </si>
  <si>
    <t>421 E 116th St</t>
  </si>
  <si>
    <t>960 Grand Concourse</t>
  </si>
  <si>
    <t>225 Balsam Pl</t>
  </si>
  <si>
    <t>925 Union Ave</t>
  </si>
  <si>
    <t>1760 Madison Ave</t>
  </si>
  <si>
    <t>1600 Sedgwick Ave</t>
  </si>
  <si>
    <t>1265 Olmstead Ave</t>
  </si>
  <si>
    <t>466 Marcy Ave</t>
  </si>
  <si>
    <t>4111 12th St</t>
  </si>
  <si>
    <t>13955 35th Ave</t>
  </si>
  <si>
    <t>148 Marcus Garvey Blvd</t>
  </si>
  <si>
    <t>152 Marcus Garvey Blvd</t>
  </si>
  <si>
    <t>564 Evergreen Ave</t>
  </si>
  <si>
    <t>134 Monroe St</t>
  </si>
  <si>
    <t>972 Eastern Pkwy</t>
  </si>
  <si>
    <t>465 Elton St</t>
  </si>
  <si>
    <t>303 Vernon Ave</t>
  </si>
  <si>
    <t>20 Vandalia Ave</t>
  </si>
  <si>
    <t>270 Van Siclen Ave</t>
  </si>
  <si>
    <t>120 Tapscott St</t>
  </si>
  <si>
    <t>680 81st St</t>
  </si>
  <si>
    <t>423 Cary Ave</t>
  </si>
  <si>
    <t>16640 88th Ave</t>
  </si>
  <si>
    <t>93 Bush Ave</t>
  </si>
  <si>
    <t>8 Ludwig Ln</t>
  </si>
  <si>
    <t>2359 Dean St</t>
  </si>
  <si>
    <t>625 Park Ave</t>
  </si>
  <si>
    <t>125 Seaman Ave</t>
  </si>
  <si>
    <t>3530 Decatur Avenue</t>
  </si>
  <si>
    <t>13017 120th St</t>
  </si>
  <si>
    <t>9608 57th Ave</t>
  </si>
  <si>
    <t>16610 Hendrickson Pl</t>
  </si>
  <si>
    <t>10230 Queens Blvd</t>
  </si>
  <si>
    <t>87-87st St</t>
  </si>
  <si>
    <t>16327 130th Ave</t>
  </si>
  <si>
    <t>1860 Billingsley Ter</t>
  </si>
  <si>
    <t>1123 E Tremont Ave</t>
  </si>
  <si>
    <t>2600 Creston Ave</t>
  </si>
  <si>
    <t>50 Kimberly Ln</t>
  </si>
  <si>
    <t>90 Columbia St</t>
  </si>
  <si>
    <t>131 Broome St</t>
  </si>
  <si>
    <t>1211 Loring Ave</t>
  </si>
  <si>
    <t>16329 130th Ave</t>
  </si>
  <si>
    <t>10842 43rd Ave</t>
  </si>
  <si>
    <t>3407 Dekalb Ave</t>
  </si>
  <si>
    <t>291 Bainbridge St</t>
  </si>
  <si>
    <t>1211 Southern Blvd</t>
  </si>
  <si>
    <t>155a Beach 27th St</t>
  </si>
  <si>
    <t>4049 167th St</t>
  </si>
  <si>
    <t>13034 125th St</t>
  </si>
  <si>
    <t>6205 Woodhaven Blvd</t>
  </si>
  <si>
    <t>1820 Avenue V</t>
  </si>
  <si>
    <t>540 Osborn St</t>
  </si>
  <si>
    <t>2285 Andrews Ave</t>
  </si>
  <si>
    <t>2031 Ryer Ave</t>
  </si>
  <si>
    <t>2825 Webb Ave</t>
  </si>
  <si>
    <t>2551 Aqueduct Ave</t>
  </si>
  <si>
    <t>3528 48th St</t>
  </si>
  <si>
    <t>3215 34th St</t>
  </si>
  <si>
    <t>4115 50th Ave</t>
  </si>
  <si>
    <t>3235 Parkside Pl</t>
  </si>
  <si>
    <t>1215 Frisco Ave</t>
  </si>
  <si>
    <t>13502 Rockaway Blvd</t>
  </si>
  <si>
    <t>12325 82nd Ave</t>
  </si>
  <si>
    <t>3565 85th St</t>
  </si>
  <si>
    <t>8103 Hammels Blvd</t>
  </si>
  <si>
    <t>4242 80th St</t>
  </si>
  <si>
    <t>2298 Richmond Ter</t>
  </si>
  <si>
    <t>111 Piave Ave</t>
  </si>
  <si>
    <t>51 E 129th St</t>
  </si>
  <si>
    <t>11 E 125th St</t>
  </si>
  <si>
    <t>2130 1st Ave</t>
  </si>
  <si>
    <t>11543 167th St</t>
  </si>
  <si>
    <t>123 Bradley Ave</t>
  </si>
  <si>
    <t>231 E 117th St</t>
  </si>
  <si>
    <t>2850 W 24th St</t>
  </si>
  <si>
    <t>3353 82nd St</t>
  </si>
  <si>
    <t>1551 Williamsbridge Rd</t>
  </si>
  <si>
    <t>520 E 149th St</t>
  </si>
  <si>
    <t>1102 Longfellow Ave</t>
  </si>
  <si>
    <t>95 E 18th St</t>
  </si>
  <si>
    <t>1226 Flatbush Ave</t>
  </si>
  <si>
    <t>71 Thompson St</t>
  </si>
  <si>
    <t>1236 Virginia Ave</t>
  </si>
  <si>
    <t>1898 Belmont Ave</t>
  </si>
  <si>
    <t>705 Gerard Ave</t>
  </si>
  <si>
    <t>200 W 15th St</t>
  </si>
  <si>
    <t>278 Targee St</t>
  </si>
  <si>
    <t>2316 University Ave</t>
  </si>
  <si>
    <t>340 Haven Ave</t>
  </si>
  <si>
    <t>260 Audubon Ave</t>
  </si>
  <si>
    <t>45 Victory Blvd</t>
  </si>
  <si>
    <t>602 W 137th St</t>
  </si>
  <si>
    <t>2971 8th Ave</t>
  </si>
  <si>
    <t>344 E 28th St</t>
  </si>
  <si>
    <t>2035 7th Ave</t>
  </si>
  <si>
    <t>317 Lefferts Ave</t>
  </si>
  <si>
    <t>639 Eastern Pkwy</t>
  </si>
  <si>
    <t>3351 Wallace Ave</t>
  </si>
  <si>
    <t>565 W 181st St</t>
  </si>
  <si>
    <t>363 Union Ave</t>
  </si>
  <si>
    <t>122 E 104th St</t>
  </si>
  <si>
    <t>280 E Burnside Ave</t>
  </si>
  <si>
    <t>404 Screvin Ave</t>
  </si>
  <si>
    <t>22 Metropolitan Oval</t>
  </si>
  <si>
    <t>520 Concord Ave</t>
  </si>
  <si>
    <t>400 Central Park W</t>
  </si>
  <si>
    <t>78 Rome Ave</t>
  </si>
  <si>
    <t>323 Hett Ave</t>
  </si>
  <si>
    <t>630 W 172nd St</t>
  </si>
  <si>
    <t>79 W 182nd St</t>
  </si>
  <si>
    <t>61 Ellwood St</t>
  </si>
  <si>
    <t>1781 Riverside Dr</t>
  </si>
  <si>
    <t>14210 Roosevelt Ave</t>
  </si>
  <si>
    <t>25 Lafayette Ave</t>
  </si>
  <si>
    <t>1854 7th Ave</t>
  </si>
  <si>
    <t>1980 7th Ave</t>
  </si>
  <si>
    <t>2325 University Ave</t>
  </si>
  <si>
    <t>735 Mace Ave</t>
  </si>
  <si>
    <t>1833 Park Pl</t>
  </si>
  <si>
    <t>3852 10th ave</t>
  </si>
  <si>
    <t>957 Aldus St</t>
  </si>
  <si>
    <t>67 Saint Nicholas Ave</t>
  </si>
  <si>
    <t>645 W 160th St</t>
  </si>
  <si>
    <t>333 Beach 32nd St</t>
  </si>
  <si>
    <t>160 W 96th St</t>
  </si>
  <si>
    <t>415 E 102nd St</t>
  </si>
  <si>
    <t>5409 Almeda Ave</t>
  </si>
  <si>
    <t>75 Piedmont Ave</t>
  </si>
  <si>
    <t>265 Mill Rd</t>
  </si>
  <si>
    <t>2471 Grand Avenue</t>
  </si>
  <si>
    <t>1432 Pacific St</t>
  </si>
  <si>
    <t>790 Eldert Ln</t>
  </si>
  <si>
    <t>231 W 145th St</t>
  </si>
  <si>
    <t>102 W 119th St</t>
  </si>
  <si>
    <t>282 W 113th St</t>
  </si>
  <si>
    <t>2131 Clinton Ave</t>
  </si>
  <si>
    <t>165 Campbell Ave</t>
  </si>
  <si>
    <t>74 Roxbury St</t>
  </si>
  <si>
    <t>20 Laguardia Ave</t>
  </si>
  <si>
    <t>18501 Hillside Ave</t>
  </si>
  <si>
    <t>12210 14th Ave</t>
  </si>
  <si>
    <t>5159 47th St</t>
  </si>
  <si>
    <t>9525 85th St</t>
  </si>
  <si>
    <t>110 Brabant St</t>
  </si>
  <si>
    <t>40 Roxbury St</t>
  </si>
  <si>
    <t>168 Brabant St</t>
  </si>
  <si>
    <t>185 Park Hill Ave</t>
  </si>
  <si>
    <t>761 Manor Rd</t>
  </si>
  <si>
    <t>123 Vermilyea Ave</t>
  </si>
  <si>
    <t>160 Vermilyea Ave</t>
  </si>
  <si>
    <t>178 Lockman Ave</t>
  </si>
  <si>
    <t>287 Audubon Ave</t>
  </si>
  <si>
    <t>809 W 177th St</t>
  </si>
  <si>
    <t>159 Bay 34th St</t>
  </si>
  <si>
    <t>376 Madison Ave</t>
  </si>
  <si>
    <t>21810 Spencer Ave</t>
  </si>
  <si>
    <t>8105 Hammels Blvd</t>
  </si>
  <si>
    <t>8405 164th St</t>
  </si>
  <si>
    <t>2416 84th St</t>
  </si>
  <si>
    <t>23803 Craddock Ave</t>
  </si>
  <si>
    <t>615 W 186th St</t>
  </si>
  <si>
    <t>101 Cooper St</t>
  </si>
  <si>
    <t>512 W 158th St</t>
  </si>
  <si>
    <t>176 W 94th St</t>
  </si>
  <si>
    <t>20 W 129th St</t>
  </si>
  <si>
    <t>1245 Eastern Pkwy</t>
  </si>
  <si>
    <t>4305 Forley St</t>
  </si>
  <si>
    <t>67 Fenimore St</t>
  </si>
  <si>
    <t>8620 208th St</t>
  </si>
  <si>
    <t>7644 Park Ln S</t>
  </si>
  <si>
    <t>220 Beach 92nd Street</t>
  </si>
  <si>
    <t>1150 Commonwealth Ave</t>
  </si>
  <si>
    <t>37 Featherbed Ln</t>
  </si>
  <si>
    <t>2255 Creston Ave</t>
  </si>
  <si>
    <t>2230 Univ Ave</t>
  </si>
  <si>
    <t>274 E 175th St</t>
  </si>
  <si>
    <t>426 Eastern Pkwy</t>
  </si>
  <si>
    <t>915 43rd St</t>
  </si>
  <si>
    <t>17006 Baisley Blvd</t>
  </si>
  <si>
    <t>2204 Collier Ave</t>
  </si>
  <si>
    <t>9138 218th St</t>
  </si>
  <si>
    <t>172 W 127th St</t>
  </si>
  <si>
    <t>2750 Grand Concourse</t>
  </si>
  <si>
    <t>9132 117th St</t>
  </si>
  <si>
    <t>1824 Monroe Ave</t>
  </si>
  <si>
    <t>2238 Adams Pl</t>
  </si>
  <si>
    <t>2175 Cedar Ave</t>
  </si>
  <si>
    <t>740 E 178th St</t>
  </si>
  <si>
    <t>9330 Lamont Ave</t>
  </si>
  <si>
    <t>235 Jersey St</t>
  </si>
  <si>
    <t>8 Navy Pier Ct</t>
  </si>
  <si>
    <t>580 Sutter Ave</t>
  </si>
  <si>
    <t>678 E 225th St</t>
  </si>
  <si>
    <t>58 E 190th St</t>
  </si>
  <si>
    <t>3422 Knox PL</t>
  </si>
  <si>
    <t>10502 Northern Blvd</t>
  </si>
  <si>
    <t>9716 101st Ave</t>
  </si>
  <si>
    <t>10431 88th Ave</t>
  </si>
  <si>
    <t>11426 169th St</t>
  </si>
  <si>
    <t>10227 62nd Dr</t>
  </si>
  <si>
    <t>17020 90th Ave</t>
  </si>
  <si>
    <t>2255 Bronxwood Ave</t>
  </si>
  <si>
    <t>304 W 151st St</t>
  </si>
  <si>
    <t>249 W 109th Street</t>
  </si>
  <si>
    <t>870 Columbus Ave</t>
  </si>
  <si>
    <t>270 St Nicholas Ave</t>
  </si>
  <si>
    <t>2277 Andrews Ave</t>
  </si>
  <si>
    <t>2785 University AVE</t>
  </si>
  <si>
    <t>11126 169th St</t>
  </si>
  <si>
    <t>640 Beach 69th St</t>
  </si>
  <si>
    <t>16817 89th Ave</t>
  </si>
  <si>
    <t>230 W 113th St</t>
  </si>
  <si>
    <t>775 Riverside Dr</t>
  </si>
  <si>
    <t>2905 Grand Concourse</t>
  </si>
  <si>
    <t>11714 Van Wyck Expy</t>
  </si>
  <si>
    <t>20 Catherine Slip</t>
  </si>
  <si>
    <t>75 Montgomery St</t>
  </si>
  <si>
    <t>92 South Ave</t>
  </si>
  <si>
    <t>1203 Tinton Ave</t>
  </si>
  <si>
    <t>529 W 158th St</t>
  </si>
  <si>
    <t>2 E 128th St</t>
  </si>
  <si>
    <t>114 E 104th St</t>
  </si>
  <si>
    <t>225 Parkside Ave</t>
  </si>
  <si>
    <t>8645 Saint James Ave</t>
  </si>
  <si>
    <t>1120 Bryant Ave</t>
  </si>
  <si>
    <t>258 Corson Ave</t>
  </si>
  <si>
    <t>25 E Figurea Ave</t>
  </si>
  <si>
    <t>225 W 129th St</t>
  </si>
  <si>
    <t>881 E 167th St</t>
  </si>
  <si>
    <t>445 East 140th Street</t>
  </si>
  <si>
    <t>189 E 34th St</t>
  </si>
  <si>
    <t>735 Garden St</t>
  </si>
  <si>
    <t>2034 Adam Clayton Powell Jr Blvd</t>
  </si>
  <si>
    <t>28 Montgomery Ave</t>
  </si>
  <si>
    <t>59 E 3rd St</t>
  </si>
  <si>
    <t>55 La Salle St</t>
  </si>
  <si>
    <t>32 Field St</t>
  </si>
  <si>
    <t>105 Freedom Ave</t>
  </si>
  <si>
    <t>235 Hoyt St</t>
  </si>
  <si>
    <t>18 R Spring St</t>
  </si>
  <si>
    <t>468 W 140th St</t>
  </si>
  <si>
    <t>218 W 140th St</t>
  </si>
  <si>
    <t>1707 Topping Ave</t>
  </si>
  <si>
    <t>110 Highland Pl</t>
  </si>
  <si>
    <t>1069 Sterling Pl</t>
  </si>
  <si>
    <t>3510 Bainbridge Ave</t>
  </si>
  <si>
    <t>711 Macon St</t>
  </si>
  <si>
    <t>1562 Thieriot Ave</t>
  </si>
  <si>
    <t>1061 Rutland Rd</t>
  </si>
  <si>
    <t>801 Saint Nicholas Ave</t>
  </si>
  <si>
    <t>320 Saint Nicholas Ave</t>
  </si>
  <si>
    <t>2300 University Ave</t>
  </si>
  <si>
    <t>2323 Creston Ave</t>
  </si>
  <si>
    <t>2718 Marion Ave</t>
  </si>
  <si>
    <t>2504 Bronx Park E</t>
  </si>
  <si>
    <t>68 Buffalo Ave</t>
  </si>
  <si>
    <t>3395 Neptune Ave</t>
  </si>
  <si>
    <t>3410 Kingsbridge Ave</t>
  </si>
  <si>
    <t>100 Belmont Pl</t>
  </si>
  <si>
    <t>399 Kosciuszko St</t>
  </si>
  <si>
    <t>2 Elton St</t>
  </si>
  <si>
    <t>228 W Tremont Ave</t>
  </si>
  <si>
    <t>29 Warren St</t>
  </si>
  <si>
    <t>722 Van Siclen Ave</t>
  </si>
  <si>
    <t>1213 Neilson St</t>
  </si>
  <si>
    <t>25-18 Seagirt Ave</t>
  </si>
  <si>
    <t>9010 149th St</t>
  </si>
  <si>
    <t>6611 99th St</t>
  </si>
  <si>
    <t>165 Nagle Ave</t>
  </si>
  <si>
    <t>570 W 156th St</t>
  </si>
  <si>
    <t>120 Sherman Ave</t>
  </si>
  <si>
    <t>425 W 205th St</t>
  </si>
  <si>
    <t>1361 Pinson St</t>
  </si>
  <si>
    <t>382 Beach 25th St</t>
  </si>
  <si>
    <t>11555 208th St</t>
  </si>
  <si>
    <t>12640 149th St</t>
  </si>
  <si>
    <t>14009 14th Ave</t>
  </si>
  <si>
    <t>6019 62nd Ave</t>
  </si>
  <si>
    <t>9817 Horace Harding Expy</t>
  </si>
  <si>
    <t>9147 88th Rd</t>
  </si>
  <si>
    <t>113-15 Atlantic Ave</t>
  </si>
  <si>
    <t>6112 162nd St</t>
  </si>
  <si>
    <t>350 Saint Anns Ave</t>
  </si>
  <si>
    <t>465 E Tremont Ave</t>
  </si>
  <si>
    <t>13318 145th St</t>
  </si>
  <si>
    <t>9425 57th Ave</t>
  </si>
  <si>
    <t>141 Beach 56th Pl</t>
  </si>
  <si>
    <t>8750 Bay Pkwy</t>
  </si>
  <si>
    <t>459 Milford St</t>
  </si>
  <si>
    <t>82 Dwight St</t>
  </si>
  <si>
    <t>4242 Ithaca St</t>
  </si>
  <si>
    <t>2024 Benedict Ave</t>
  </si>
  <si>
    <t>9711 Horace Harding Expy</t>
  </si>
  <si>
    <t>298 E 3rd St</t>
  </si>
  <si>
    <t>561 W 186th St</t>
  </si>
  <si>
    <t>2007 LaFontaine Ave</t>
  </si>
  <si>
    <t>935 E 163rd St</t>
  </si>
  <si>
    <t>3266 80th St</t>
  </si>
  <si>
    <t>9825 Horace Harding Expy</t>
  </si>
  <si>
    <t>3734 98th St</t>
  </si>
  <si>
    <t>3313 103rd St</t>
  </si>
  <si>
    <t>622 W 114th St</t>
  </si>
  <si>
    <t>70 W 115th St</t>
  </si>
  <si>
    <t>375 E 205th St</t>
  </si>
  <si>
    <t>5733 59th St</t>
  </si>
  <si>
    <t>9420 Astoria Blvd</t>
  </si>
  <si>
    <t>3052 Bainbridge Ave</t>
  </si>
  <si>
    <t>12709 89th Ave</t>
  </si>
  <si>
    <t>1355 Grand Concourse</t>
  </si>
  <si>
    <t>9446 85th Rd</t>
  </si>
  <si>
    <t>6433 Admiral Ave</t>
  </si>
  <si>
    <t>253 E 110th St</t>
  </si>
  <si>
    <t>639 W 204th St</t>
  </si>
  <si>
    <t>2698 8th Ave</t>
  </si>
  <si>
    <t>133 Fort George Ave</t>
  </si>
  <si>
    <t>501 W 173rd St</t>
  </si>
  <si>
    <t>2326 Grand Ave</t>
  </si>
  <si>
    <t>831 Bartholdi St</t>
  </si>
  <si>
    <t>430 W 125th St</t>
  </si>
  <si>
    <t>238 W 112th St</t>
  </si>
  <si>
    <t>2830 Sedgwick Ave</t>
  </si>
  <si>
    <t>607 W 137th St</t>
  </si>
  <si>
    <t>11 Grandview Ave</t>
  </si>
  <si>
    <t>3859 3rd Ave</t>
  </si>
  <si>
    <t>14444 41st Ave</t>
  </si>
  <si>
    <t>13418 221st St</t>
  </si>
  <si>
    <t>14809 160th ave</t>
  </si>
  <si>
    <t>1253 120th St</t>
  </si>
  <si>
    <t>436 Beach 64th St</t>
  </si>
  <si>
    <t>7117 Woodside Ave</t>
  </si>
  <si>
    <t>11865 Metropolitan Ave</t>
  </si>
  <si>
    <t>11621 200th St</t>
  </si>
  <si>
    <t>36 Euclid Ave</t>
  </si>
  <si>
    <t>44 Macdonough St</t>
  </si>
  <si>
    <t>13630 Sanford Ave</t>
  </si>
  <si>
    <t>11122 160th St</t>
  </si>
  <si>
    <t>1490 Hornell Loop</t>
  </si>
  <si>
    <t>3115 Kings Hwy</t>
  </si>
  <si>
    <t>227 Thomas S Boyland St</t>
  </si>
  <si>
    <t>250 E 105th St</t>
  </si>
  <si>
    <t>2828 W 28th St</t>
  </si>
  <si>
    <t>10543 Flatlands 1st St</t>
  </si>
  <si>
    <t>60 E 196th St</t>
  </si>
  <si>
    <t>1127 Sheridan Ave</t>
  </si>
  <si>
    <t>306 E 180th St</t>
  </si>
  <si>
    <t>2180 Grand Concourse</t>
  </si>
  <si>
    <t>1243 36th St</t>
  </si>
  <si>
    <t>8929 163rd St</t>
  </si>
  <si>
    <t>309 Beach 85th St</t>
  </si>
  <si>
    <t>2350 Valentine Ave</t>
  </si>
  <si>
    <t>964 Morris Ave</t>
  </si>
  <si>
    <t>915 Kelly St</t>
  </si>
  <si>
    <t>1825 Atlantic Ave</t>
  </si>
  <si>
    <t>4040 Carpenter ave</t>
  </si>
  <si>
    <t>13338 Sanford Ave</t>
  </si>
  <si>
    <t>3640 Bronx Blvd</t>
  </si>
  <si>
    <t>217 Hamilton Ave</t>
  </si>
  <si>
    <t>10 Kimberly Ln</t>
  </si>
  <si>
    <t>201 E Mosholu Pkwy N</t>
  </si>
  <si>
    <t>480 Saint Nicholas Ave</t>
  </si>
  <si>
    <t>315 E 51st St</t>
  </si>
  <si>
    <t>20214 Hollis Ave</t>
  </si>
  <si>
    <t>6701 Colonial Rd</t>
  </si>
  <si>
    <t>1571 Sterling Pl</t>
  </si>
  <si>
    <t>1138 229 Drive South</t>
  </si>
  <si>
    <t>208 Van Buren St</t>
  </si>
  <si>
    <t>2917 Grand Concourse</t>
  </si>
  <si>
    <t>4470 Park Ave</t>
  </si>
  <si>
    <t>14 E 208th St</t>
  </si>
  <si>
    <t>1889 sedgwick ave</t>
  </si>
  <si>
    <t>1035 Anderson Ave</t>
  </si>
  <si>
    <t>99 Marble Hill Ave</t>
  </si>
  <si>
    <t>1115 Jerome ave</t>
  </si>
  <si>
    <t>1920 Washington Ave</t>
  </si>
  <si>
    <t>1447 doris st</t>
  </si>
  <si>
    <t>1920 Schieffelin Ave</t>
  </si>
  <si>
    <t>1560 Grand Concourse</t>
  </si>
  <si>
    <t>1020 Soundview Ave</t>
  </si>
  <si>
    <t>1605 Fulton Ave</t>
  </si>
  <si>
    <t>1144 Simpson St</t>
  </si>
  <si>
    <t>1937 Daly Ave</t>
  </si>
  <si>
    <t>3440 Gates Pl</t>
  </si>
  <si>
    <t>1967 Marmion Ave</t>
  </si>
  <si>
    <t>105 E 192nd St</t>
  </si>
  <si>
    <t>355 E 187th St</t>
  </si>
  <si>
    <t>829 Cauldwell Ave</t>
  </si>
  <si>
    <t>1743 Davidson Ave</t>
  </si>
  <si>
    <t>1199 Fulton Ave</t>
  </si>
  <si>
    <t>873 Intervale Ave</t>
  </si>
  <si>
    <t>1188 Grand Concourse</t>
  </si>
  <si>
    <t>1819 Williamsbridge Rd</t>
  </si>
  <si>
    <t>215 E 164th St</t>
  </si>
  <si>
    <t>2445 Walton Ave</t>
  </si>
  <si>
    <t>940 Fox St</t>
  </si>
  <si>
    <t>158 E 184th St</t>
  </si>
  <si>
    <t>163 E 178th St</t>
  </si>
  <si>
    <t>1145 Univ Ave</t>
  </si>
  <si>
    <t>725 Garden St</t>
  </si>
  <si>
    <t>2545 Grand Concourse</t>
  </si>
  <si>
    <t>1306 Chisholm St</t>
  </si>
  <si>
    <t>269 Grand Concourse</t>
  </si>
  <si>
    <t>2183 Washington ave</t>
  </si>
  <si>
    <t>2280 Olinville Ave</t>
  </si>
  <si>
    <t>288 Pelton Ave</t>
  </si>
  <si>
    <t>47b Village Ln</t>
  </si>
  <si>
    <t>2220 Grand Avenue</t>
  </si>
  <si>
    <t>27 Mersereau Ave</t>
  </si>
  <si>
    <t>789 Astor Ave</t>
  </si>
  <si>
    <t>17915 69th Ave</t>
  </si>
  <si>
    <t>127 E 107th St</t>
  </si>
  <si>
    <t>17205 109th Ave</t>
  </si>
  <si>
    <t>1036B Rev James A Polite Ave</t>
  </si>
  <si>
    <t>41 Park Ter W</t>
  </si>
  <si>
    <t>13320 Avery Ave</t>
  </si>
  <si>
    <t>1080 Wyckoff Ave</t>
  </si>
  <si>
    <t>10325 123rd St</t>
  </si>
  <si>
    <t>16230 Powells Cove Blvd</t>
  </si>
  <si>
    <t>11904 95th Ave</t>
  </si>
  <si>
    <t>509 W 212th St</t>
  </si>
  <si>
    <t>316 Beach 101st St</t>
  </si>
  <si>
    <t>11 West 10th Broad Channel</t>
  </si>
  <si>
    <t>11917 111th Ave</t>
  </si>
  <si>
    <t>3455 Knox Pl</t>
  </si>
  <si>
    <t>14102 Pershing Cres</t>
  </si>
  <si>
    <t>3760 98th St</t>
  </si>
  <si>
    <t>950 E 228th St</t>
  </si>
  <si>
    <t>4035 Hampton St</t>
  </si>
  <si>
    <t>740 53rd St</t>
  </si>
  <si>
    <t>3961 carpenter ave</t>
  </si>
  <si>
    <t>558 W 164th St</t>
  </si>
  <si>
    <t>11049 167th St</t>
  </si>
  <si>
    <t>611 W 176th St</t>
  </si>
  <si>
    <t>8049 88th Rd</t>
  </si>
  <si>
    <t>910 Riverside Dr</t>
  </si>
  <si>
    <t>644 Riverside Dr</t>
  </si>
  <si>
    <t>700 Victory Blvd</t>
  </si>
  <si>
    <t>3004 Cruger Ave</t>
  </si>
  <si>
    <t>505 W 142nd St</t>
  </si>
  <si>
    <t>122 E 103rd St</t>
  </si>
  <si>
    <t>332 W 145th St</t>
  </si>
  <si>
    <t>31-35 Crescent St</t>
  </si>
  <si>
    <t>25 Port Richmond Ave</t>
  </si>
  <si>
    <t>7805 Myrtle Ave</t>
  </si>
  <si>
    <t>95 Old Broadway</t>
  </si>
  <si>
    <t>3333 Broadway</t>
  </si>
  <si>
    <t>409 W 127th St</t>
  </si>
  <si>
    <t>731 New Jersey Ave</t>
  </si>
  <si>
    <t>1086 President St</t>
  </si>
  <si>
    <t>2430 Adam Clayton Powell Jr Blvd</t>
  </si>
  <si>
    <t>2085 Valentine Avenue</t>
  </si>
  <si>
    <t>410 St. Nicholas 6H</t>
  </si>
  <si>
    <t>792 Columbus Ave</t>
  </si>
  <si>
    <t>2301 Adam Clayton Powell Jr Blvd</t>
  </si>
  <si>
    <t>99 Battery Pl</t>
  </si>
  <si>
    <t>235 Eldridge St</t>
  </si>
  <si>
    <t>101 W 112th St</t>
  </si>
  <si>
    <t>411 Beach 54th St</t>
  </si>
  <si>
    <t>5530 Netherland Ave</t>
  </si>
  <si>
    <t>240 Madison St</t>
  </si>
  <si>
    <t>213 Nagle Ave</t>
  </si>
  <si>
    <t>628 W 151st St</t>
  </si>
  <si>
    <t>9-11 Delancey St</t>
  </si>
  <si>
    <t>547 W 142nd St</t>
  </si>
  <si>
    <t>320 Beekman Ave</t>
  </si>
  <si>
    <t>369 E 194th St</t>
  </si>
  <si>
    <t>2010 Newkirk Ave</t>
  </si>
  <si>
    <t>552 W 185th St</t>
  </si>
  <si>
    <t>5715 Shore Front Pkwy</t>
  </si>
  <si>
    <t>1 Bank St</t>
  </si>
  <si>
    <t>1750 E 172nd St</t>
  </si>
  <si>
    <t>1285 Delmar Loop</t>
  </si>
  <si>
    <t>411 E 136th St</t>
  </si>
  <si>
    <t>690 Macon St</t>
  </si>
  <si>
    <t>451 Kingston Ave</t>
  </si>
  <si>
    <t>210 Kosciuszko st</t>
  </si>
  <si>
    <t>120 benchley pl</t>
  </si>
  <si>
    <t>395 Auduban Avenue</t>
  </si>
  <si>
    <t>1001 findlay ave</t>
  </si>
  <si>
    <t>2205 Ryer Ave</t>
  </si>
  <si>
    <t>425 E 25th St</t>
  </si>
  <si>
    <t>3505 Broadway</t>
  </si>
  <si>
    <t>200 Winthrop St</t>
  </si>
  <si>
    <t>1153 President St</t>
  </si>
  <si>
    <t>1171 President St</t>
  </si>
  <si>
    <t>7 Albany Ave</t>
  </si>
  <si>
    <t>911 Lafayette Ave</t>
  </si>
  <si>
    <t>1302 Pacific St</t>
  </si>
  <si>
    <t>250 Macdougal St</t>
  </si>
  <si>
    <t>677 E 241st St</t>
  </si>
  <si>
    <t>251 W 135th St</t>
  </si>
  <si>
    <t>3170 Broadway</t>
  </si>
  <si>
    <t>3034 Grand Concourse</t>
  </si>
  <si>
    <t>390 Bushwick Ave</t>
  </si>
  <si>
    <t>1023 Broadway</t>
  </si>
  <si>
    <t>40 Monroe St</t>
  </si>
  <si>
    <t>27 Granite St</t>
  </si>
  <si>
    <t>157 W 131st St</t>
  </si>
  <si>
    <t>210 Putnam Ave</t>
  </si>
  <si>
    <t>446 E 98th St</t>
  </si>
  <si>
    <t>570 Jefferson Ave</t>
  </si>
  <si>
    <t>359 Madison St</t>
  </si>
  <si>
    <t>1950 Bryant Ave</t>
  </si>
  <si>
    <t>2324 Beach Channel Dr</t>
  </si>
  <si>
    <t>755 Gates Ave</t>
  </si>
  <si>
    <t>990 Bronx Park S</t>
  </si>
  <si>
    <t>630 Gates Ave</t>
  </si>
  <si>
    <t>499 W 158th St</t>
  </si>
  <si>
    <t>1370 Saint Nicholas Ave</t>
  </si>
  <si>
    <t>1049 Glenmore Ave</t>
  </si>
  <si>
    <t>725 Riverside Dr</t>
  </si>
  <si>
    <t>232 Stuyvesant Ave</t>
  </si>
  <si>
    <t>220 Montgomery St</t>
  </si>
  <si>
    <t>86 Fountain Ave</t>
  </si>
  <si>
    <t>135 Beach 56th Pl</t>
  </si>
  <si>
    <t>845 Gerard Ave</t>
  </si>
  <si>
    <t>1144 Welling Ct</t>
  </si>
  <si>
    <t>50 Overlook Ter</t>
  </si>
  <si>
    <t>1733 Univ Ave</t>
  </si>
  <si>
    <t>2804 44th St</t>
  </si>
  <si>
    <t>6039 69th Ave</t>
  </si>
  <si>
    <t>2569 35th St</t>
  </si>
  <si>
    <t>24316 145th Ave</t>
  </si>
  <si>
    <t>3608 192nd St</t>
  </si>
  <si>
    <t>128 Beach 26th St</t>
  </si>
  <si>
    <t>165 W 83rd St</t>
  </si>
  <si>
    <t>2104 Amsterdam Ave</t>
  </si>
  <si>
    <t>1810 Lextington Ave</t>
  </si>
  <si>
    <t>150 Ludlow St</t>
  </si>
  <si>
    <t>9 E 107th St # 11</t>
  </si>
  <si>
    <t>405 E 56th St</t>
  </si>
  <si>
    <t>1430 Seagirt Blvd</t>
  </si>
  <si>
    <t>225 Park Hill Ave</t>
  </si>
  <si>
    <t>101 New Dorp Plz N</t>
  </si>
  <si>
    <t>6260 108th St</t>
  </si>
  <si>
    <t>155 Borden Ave</t>
  </si>
  <si>
    <t>4805 46th St</t>
  </si>
  <si>
    <t>1148 Boynton Ave</t>
  </si>
  <si>
    <t>25 Henderson Ave</t>
  </si>
  <si>
    <t>2162 Valentine Ave</t>
  </si>
  <si>
    <t>4142 Elbertson St</t>
  </si>
  <si>
    <t>9514 93rd St</t>
  </si>
  <si>
    <t>4526 39th Pl</t>
  </si>
  <si>
    <t>8415 102nd Ave</t>
  </si>
  <si>
    <t>10009 Rockaway Beach Blvd</t>
  </si>
  <si>
    <t>283 Onderdonk Ave</t>
  </si>
  <si>
    <t>353 W 45th St</t>
  </si>
  <si>
    <t>10 Forrest St</t>
  </si>
  <si>
    <t>219 Audubon Ave</t>
  </si>
  <si>
    <t>106 Cabrini Blvd</t>
  </si>
  <si>
    <t>200 W 111th St</t>
  </si>
  <si>
    <t>70 New Ln</t>
  </si>
  <si>
    <t>169 Cypress Ave</t>
  </si>
  <si>
    <t>445 Linwood St</t>
  </si>
  <si>
    <t>2025 Valentine Ave</t>
  </si>
  <si>
    <t>1348 Sheridan Ave</t>
  </si>
  <si>
    <t>975 Washington Ave</t>
  </si>
  <si>
    <t>361 E 188th St</t>
  </si>
  <si>
    <t>97 Richard Ln</t>
  </si>
  <si>
    <t>310 Hemlock St</t>
  </si>
  <si>
    <t>858 E 165th St</t>
  </si>
  <si>
    <t>701 Crotona Park N</t>
  </si>
  <si>
    <t>220 Osgood Ave</t>
  </si>
  <si>
    <t>514 Richmond Ter</t>
  </si>
  <si>
    <t>1115 Walton Ave</t>
  </si>
  <si>
    <t>90 Union Ave</t>
  </si>
  <si>
    <t>645 E 228th St</t>
  </si>
  <si>
    <t>1298 Bay St</t>
  </si>
  <si>
    <t>566 E 188th St</t>
  </si>
  <si>
    <t>82 W 174th St</t>
  </si>
  <si>
    <t>2821 Barker Ave</t>
  </si>
  <si>
    <t>36 Ditmars St</t>
  </si>
  <si>
    <t>413 E 114th St</t>
  </si>
  <si>
    <t>117 E 118th St</t>
  </si>
  <si>
    <t>1319 E 98th St</t>
  </si>
  <si>
    <t>1351 Jefferson Ave</t>
  </si>
  <si>
    <t>1950 Clove Rd</t>
  </si>
  <si>
    <t>453 E 117th St</t>
  </si>
  <si>
    <t>666 W End Ave</t>
  </si>
  <si>
    <t>336 Fort Washington Ave</t>
  </si>
  <si>
    <t>19 Cooper St</t>
  </si>
  <si>
    <t>961 Washington Ave</t>
  </si>
  <si>
    <t>3841 18th Ave</t>
  </si>
  <si>
    <t>1307 Loring Ave</t>
  </si>
  <si>
    <t>772 Jefferson Ave</t>
  </si>
  <si>
    <t>2160 Clinton Ave</t>
  </si>
  <si>
    <t>177 Pelton Ave</t>
  </si>
  <si>
    <t>161 Boerum St</t>
  </si>
  <si>
    <t>17 Slaight St</t>
  </si>
  <si>
    <t>888 Grand Concourse</t>
  </si>
  <si>
    <t>2115 Honeywell Ave</t>
  </si>
  <si>
    <t>198 Crescent St</t>
  </si>
  <si>
    <t>65 E 110th St</t>
  </si>
  <si>
    <t>1964 1st Ave</t>
  </si>
  <si>
    <t>354 Cypress Ave</t>
  </si>
  <si>
    <t>144-30 Rooselvelt Ave</t>
  </si>
  <si>
    <t>8015 41st ave</t>
  </si>
  <si>
    <t>111 Bridge St</t>
  </si>
  <si>
    <t>662 Halsey St</t>
  </si>
  <si>
    <t>181 E 161st St</t>
  </si>
  <si>
    <t>490 E 189th St</t>
  </si>
  <si>
    <t>3952 3rd Ave</t>
  </si>
  <si>
    <t>10 E 198th St</t>
  </si>
  <si>
    <t>940 Simpson St</t>
  </si>
  <si>
    <t>130 Lamport Blvd</t>
  </si>
  <si>
    <t>110 Rochester Ave</t>
  </si>
  <si>
    <t>3609 Olinville Ave</t>
  </si>
  <si>
    <t>270 Nagle Ave</t>
  </si>
  <si>
    <t>34 Hillside Ave</t>
  </si>
  <si>
    <t>442 W 164th St</t>
  </si>
  <si>
    <t>121 Sherman Ave</t>
  </si>
  <si>
    <t>128 Fort Washington Ave</t>
  </si>
  <si>
    <t>1225 E 72nd St</t>
  </si>
  <si>
    <t>540 W 145th St</t>
  </si>
  <si>
    <t>635 Morris Avenue</t>
  </si>
  <si>
    <t>214 Echo Pl</t>
  </si>
  <si>
    <t>11130 Inwood St</t>
  </si>
  <si>
    <t>1674 53rd St</t>
  </si>
  <si>
    <t>18305 141st Ave</t>
  </si>
  <si>
    <t>10910 160th St</t>
  </si>
  <si>
    <t>695 Walton Ave</t>
  </si>
  <si>
    <t>900 Lydig Ave</t>
  </si>
  <si>
    <t>14745 109th Ave</t>
  </si>
  <si>
    <t>34 Laguardia Ave</t>
  </si>
  <si>
    <t>142 Brabant St</t>
  </si>
  <si>
    <t>254 Edgewater St</t>
  </si>
  <si>
    <t>95 Thayer St</t>
  </si>
  <si>
    <t>501 W 184th St</t>
  </si>
  <si>
    <t>550 Academy St</t>
  </si>
  <si>
    <t>367 Wadsworth Ave</t>
  </si>
  <si>
    <t>18805 Linden Blvd</t>
  </si>
  <si>
    <t>13849 Elder Ave</t>
  </si>
  <si>
    <t>8239 242nd St</t>
  </si>
  <si>
    <t>773 Concourse Vlg E</t>
  </si>
  <si>
    <t>16820 127th Ave</t>
  </si>
  <si>
    <t>622 Gipson St</t>
  </si>
  <si>
    <t>9034 148th St</t>
  </si>
  <si>
    <t>346 Montgomery St</t>
  </si>
  <si>
    <t>825 Boynton Ave</t>
  </si>
  <si>
    <t>665 Cauldwell Ave</t>
  </si>
  <si>
    <t>30 W 190th St</t>
  </si>
  <si>
    <t>167 Beach 60th St</t>
  </si>
  <si>
    <t>90-36 149th Street</t>
  </si>
  <si>
    <t>910 Dekalb Ave</t>
  </si>
  <si>
    <t>4730 61st St</t>
  </si>
  <si>
    <t>2400 Walton Ave</t>
  </si>
  <si>
    <t>879 Wyckoff Ave</t>
  </si>
  <si>
    <t>234 W 114th St</t>
  </si>
  <si>
    <t>16105 Baisley Blvd</t>
  </si>
  <si>
    <t>3534 Bronx Blvd</t>
  </si>
  <si>
    <t>2900 Saint Theresa Ave</t>
  </si>
  <si>
    <t>157 Halsey St</t>
  </si>
  <si>
    <t>140 W 109th St</t>
  </si>
  <si>
    <t>420 W 206th St</t>
  </si>
  <si>
    <t>135 Beach 19th St</t>
  </si>
  <si>
    <t>112 Beach 59th St</t>
  </si>
  <si>
    <t>711A Seagirt Ave</t>
  </si>
  <si>
    <t>6344 Haring St</t>
  </si>
  <si>
    <t>9610 57th Ave</t>
  </si>
  <si>
    <t>10601 142nd St</t>
  </si>
  <si>
    <t>7905 Elks Rd</t>
  </si>
  <si>
    <t>260 Clifton Ave</t>
  </si>
  <si>
    <t>1911 Anthony Ave</t>
  </si>
  <si>
    <t>272 Sherman ave</t>
  </si>
  <si>
    <t>14809 90th Ave</t>
  </si>
  <si>
    <t>5055 42nd St</t>
  </si>
  <si>
    <t>21605 Hollis Ave</t>
  </si>
  <si>
    <t>16326 110th Rd</t>
  </si>
  <si>
    <t>4040 79th St</t>
  </si>
  <si>
    <t>146 Beach 59th St</t>
  </si>
  <si>
    <t>3552 10th St</t>
  </si>
  <si>
    <t>6 W 103rd St</t>
  </si>
  <si>
    <t>434 Saint Nicholas Ave</t>
  </si>
  <si>
    <t>39 Henry St</t>
  </si>
  <si>
    <t>939 Intervale Ave</t>
  </si>
  <si>
    <t>792 Sterling Pl</t>
  </si>
  <si>
    <t>455 Ocean Pkwy</t>
  </si>
  <si>
    <t>447 E 116th St</t>
  </si>
  <si>
    <t>19 E 109th St</t>
  </si>
  <si>
    <t>401 E 115th St</t>
  </si>
  <si>
    <t>471 Hancock St</t>
  </si>
  <si>
    <t>229 W 110th St</t>
  </si>
  <si>
    <t>400 Manhattan Ave</t>
  </si>
  <si>
    <t>40 Richman Plz</t>
  </si>
  <si>
    <t>3930 3rd ave</t>
  </si>
  <si>
    <t>184 Mount Eden Pkwy</t>
  </si>
  <si>
    <t>750 E 163rd St</t>
  </si>
  <si>
    <t>266 E 211th St</t>
  </si>
  <si>
    <t>601 W 156th St</t>
  </si>
  <si>
    <t>407 Audubon Ave</t>
  </si>
  <si>
    <t>199 Sherman Ave</t>
  </si>
  <si>
    <t>3784 10th Ave</t>
  </si>
  <si>
    <t>134 Haven Ave</t>
  </si>
  <si>
    <t>2335 Walton Ave</t>
  </si>
  <si>
    <t>555 Edgecombe Ave</t>
  </si>
  <si>
    <t>154 E 106th St</t>
  </si>
  <si>
    <t>2246 Grand Concourse</t>
  </si>
  <si>
    <t>95 Linden Blvd</t>
  </si>
  <si>
    <t>5033 broadway</t>
  </si>
  <si>
    <t>844 Hunts Point Ave</t>
  </si>
  <si>
    <t>900 Fox St</t>
  </si>
  <si>
    <t>251 Mother Gaston Blvd</t>
  </si>
  <si>
    <t>2185 Bolton St</t>
  </si>
  <si>
    <t>615 W 173rd St</t>
  </si>
  <si>
    <t>3678 White Plains Rd</t>
  </si>
  <si>
    <t>1744 Clay ave</t>
  </si>
  <si>
    <t>618 W 142nd St</t>
  </si>
  <si>
    <t>3115 Victory Blvd</t>
  </si>
  <si>
    <t>1850 Lafayette Ave</t>
  </si>
  <si>
    <t>38 Langere Pl</t>
  </si>
  <si>
    <t>115 Ocean Ave</t>
  </si>
  <si>
    <t>1744 Clay Ave</t>
  </si>
  <si>
    <t>5700 Arlington Ave</t>
  </si>
  <si>
    <t>1059 Union St</t>
  </si>
  <si>
    <t>32 W 91st St</t>
  </si>
  <si>
    <t>14246 Sanford Ave</t>
  </si>
  <si>
    <t>293 Mac Dougal St</t>
  </si>
  <si>
    <t>55 Austin Pl</t>
  </si>
  <si>
    <t>244 E 196th St</t>
  </si>
  <si>
    <t>2190 Bathgate Ave</t>
  </si>
  <si>
    <t>3706 89th St</t>
  </si>
  <si>
    <t>757 Bushwick Ave</t>
  </si>
  <si>
    <t>421 E 94th St</t>
  </si>
  <si>
    <t>17505 109th Ave</t>
  </si>
  <si>
    <t>17743 105th Ave</t>
  </si>
  <si>
    <t>2078 Morris Ave</t>
  </si>
  <si>
    <t>3556 Webster Ave</t>
  </si>
  <si>
    <t>1259 Loring Ave</t>
  </si>
  <si>
    <t>8050 Baxter Ave</t>
  </si>
  <si>
    <t>1057 E 59th St</t>
  </si>
  <si>
    <t>3415 Parsons Blvd</t>
  </si>
  <si>
    <t>9410 64th Rd</t>
  </si>
  <si>
    <t>448 Beach 48th St</t>
  </si>
  <si>
    <t>11927 165th St</t>
  </si>
  <si>
    <t>15515 N Conduit Ave</t>
  </si>
  <si>
    <t>8805 171st St</t>
  </si>
  <si>
    <t>12333 83rd Ave</t>
  </si>
  <si>
    <t>9832 57th Ave</t>
  </si>
  <si>
    <t>16117 Horace Harding Expy</t>
  </si>
  <si>
    <t>48 Post Ave</t>
  </si>
  <si>
    <t>1384 Mcbride St</t>
  </si>
  <si>
    <t>12644 149th St</t>
  </si>
  <si>
    <t>6922 Caldwell Ave</t>
  </si>
  <si>
    <t>25 E 193rd St</t>
  </si>
  <si>
    <t>292 Monahan Ave</t>
  </si>
  <si>
    <t>7712 35th Ave</t>
  </si>
  <si>
    <t>9036 149th St</t>
  </si>
  <si>
    <t>631 Beach 9th St</t>
  </si>
  <si>
    <t>11640 Park Ln S</t>
  </si>
  <si>
    <t>7203 31st Ave</t>
  </si>
  <si>
    <t>396 Saratoga Ave</t>
  </si>
  <si>
    <t>14307 Lakewood Ave</t>
  </si>
  <si>
    <t>1350 Park Pl</t>
  </si>
  <si>
    <t>3733 61st St</t>
  </si>
  <si>
    <t>1035 Willmohr St</t>
  </si>
  <si>
    <t>1173 Fulton St</t>
  </si>
  <si>
    <t>107-11 159th St</t>
  </si>
  <si>
    <t>710 E 235th St</t>
  </si>
  <si>
    <t>18417 140th Ave</t>
  </si>
  <si>
    <t>2000 Valentine Ave</t>
  </si>
  <si>
    <t>14234 254th St</t>
  </si>
  <si>
    <t>14649 105th Ave</t>
  </si>
  <si>
    <t>6715 73rd Pl</t>
  </si>
  <si>
    <t>10207 Jamaica Ave</t>
  </si>
  <si>
    <t>700 columbus ave</t>
  </si>
  <si>
    <t>464 W 15th St</t>
  </si>
  <si>
    <t>2730 8th ave</t>
  </si>
  <si>
    <t>133 W 113th St</t>
  </si>
  <si>
    <t>55 W 105th St</t>
  </si>
  <si>
    <t>9133 89th St</t>
  </si>
  <si>
    <t>2111 College Point Blvd</t>
  </si>
  <si>
    <t>7821 90th Rd</t>
  </si>
  <si>
    <t>3425 Gates Pl</t>
  </si>
  <si>
    <t>22907 56th Ave</t>
  </si>
  <si>
    <t>2540 23rd St</t>
  </si>
  <si>
    <t>17210 133rd Ave</t>
  </si>
  <si>
    <t>901 Franklin Ave</t>
  </si>
  <si>
    <t>18639 140th Ave</t>
  </si>
  <si>
    <t>60 Pitt St</t>
  </si>
  <si>
    <t>4142 24th St</t>
  </si>
  <si>
    <t>113 Victory Blvd</t>
  </si>
  <si>
    <t>10954 118th St</t>
  </si>
  <si>
    <t>2420 Bronx Park E</t>
  </si>
  <si>
    <t>55 Holland Ave</t>
  </si>
  <si>
    <t>300 weest 128 st</t>
  </si>
  <si>
    <t>532 W 145th St</t>
  </si>
  <si>
    <t>844 E 216th St</t>
  </si>
  <si>
    <t>1890 Pacific St</t>
  </si>
  <si>
    <t>155-30 Inwood St</t>
  </si>
  <si>
    <t>24115 86th Ave</t>
  </si>
  <si>
    <t>2301 1st Ave</t>
  </si>
  <si>
    <t>433 Lafayette Ave</t>
  </si>
  <si>
    <t>451 E 116th St</t>
  </si>
  <si>
    <t>111 E 100th St</t>
  </si>
  <si>
    <t>1480 Washington Ave</t>
  </si>
  <si>
    <t>979 42nd St</t>
  </si>
  <si>
    <t>6 Knesel St</t>
  </si>
  <si>
    <t>1663 Garfield St</t>
  </si>
  <si>
    <t>1969 Bergen St</t>
  </si>
  <si>
    <t>1840 Anthony Ave</t>
  </si>
  <si>
    <t>320 E 109th St</t>
  </si>
  <si>
    <t>189 Sherman Ave</t>
  </si>
  <si>
    <t>19 Hill St</t>
  </si>
  <si>
    <t>490 Lincoln Ave</t>
  </si>
  <si>
    <t>1175 Findlay Ave</t>
  </si>
  <si>
    <t>820 Colgate Ave</t>
  </si>
  <si>
    <t>13336 Guy R Brewer Blvd</t>
  </si>
  <si>
    <t>360 Central Park W</t>
  </si>
  <si>
    <t>804 Cleveland St</t>
  </si>
  <si>
    <t>101-125 W 147th St</t>
  </si>
  <si>
    <t>117 E 130th St</t>
  </si>
  <si>
    <t>2029 2nd Ave</t>
  </si>
  <si>
    <t>225 W 23rd St</t>
  </si>
  <si>
    <t>145 W 127th St</t>
  </si>
  <si>
    <t>378 Throop Ave</t>
  </si>
  <si>
    <t>740 E 222nd St</t>
  </si>
  <si>
    <t>116 Riverdale Ave</t>
  </si>
  <si>
    <t>69 prince st</t>
  </si>
  <si>
    <t>870 Elsmere Pl</t>
  </si>
  <si>
    <t>500 Bristol St</t>
  </si>
  <si>
    <t>2547 aqueduct ave</t>
  </si>
  <si>
    <t>314 E 178th St</t>
  </si>
  <si>
    <t>467 Commonwealth Ave</t>
  </si>
  <si>
    <t>555 Bradford St</t>
  </si>
  <si>
    <t>2230 New Haven Ave</t>
  </si>
  <si>
    <t>2076 20th Ln</t>
  </si>
  <si>
    <t>2663 Heath Ave</t>
  </si>
  <si>
    <t>240 E 175th St</t>
  </si>
  <si>
    <t>735 Walton Ave</t>
  </si>
  <si>
    <t>11234 Rockaway Beach Blvd</t>
  </si>
  <si>
    <t>8822 Parsons Blvd</t>
  </si>
  <si>
    <t>2073 davidson ave</t>
  </si>
  <si>
    <t>1975 Davidson Ave</t>
  </si>
  <si>
    <t>2075 Creston Ave</t>
  </si>
  <si>
    <t>1711 Randall Ave</t>
  </si>
  <si>
    <t>309a Beach 73rd St</t>
  </si>
  <si>
    <t>4115 45th St</t>
  </si>
  <si>
    <t>568 Cleveland St</t>
  </si>
  <si>
    <t>1293 E New York Ave</t>
  </si>
  <si>
    <t>520 Madison St</t>
  </si>
  <si>
    <t>1015 Bay 31st St</t>
  </si>
  <si>
    <t>3920 205th St</t>
  </si>
  <si>
    <t>41 W 112th St</t>
  </si>
  <si>
    <t>333 E 92nd St</t>
  </si>
  <si>
    <t>9523 Roosevelt Ave</t>
  </si>
  <si>
    <t>13403 Cheney St</t>
  </si>
  <si>
    <t>409 Macon St</t>
  </si>
  <si>
    <t>257 Mother Gaston Blvd</t>
  </si>
  <si>
    <t>701 W 179th St</t>
  </si>
  <si>
    <t>2710 8th St</t>
  </si>
  <si>
    <t>2491 BEDFORD AVE</t>
  </si>
  <si>
    <t>545 Edgecombe Ave</t>
  </si>
  <si>
    <t>750 E 179th St</t>
  </si>
  <si>
    <t>871 East 220th Street</t>
  </si>
  <si>
    <t>9201 48th Ave</t>
  </si>
  <si>
    <t>140 E 7th St</t>
  </si>
  <si>
    <t>2183 Amsterdam Ave</t>
  </si>
  <si>
    <t>210 E 75th St</t>
  </si>
  <si>
    <t>9715 Horace Harding Expy</t>
  </si>
  <si>
    <t>4822 91st Pl</t>
  </si>
  <si>
    <t>2542 14th PL</t>
  </si>
  <si>
    <t>655 Warwick St</t>
  </si>
  <si>
    <t>4530 Broadway</t>
  </si>
  <si>
    <t>3541 94th St</t>
  </si>
  <si>
    <t>8608 Jamaica Ave</t>
  </si>
  <si>
    <t>25319 139th Ave</t>
  </si>
  <si>
    <t>2281 University Ave</t>
  </si>
  <si>
    <t>11926 237th St</t>
  </si>
  <si>
    <t>9210 175th St</t>
  </si>
  <si>
    <t>1691 Fulton Ave</t>
  </si>
  <si>
    <t>572 Warren St</t>
  </si>
  <si>
    <t>726 E 152nd St</t>
  </si>
  <si>
    <t>3764 Bronx Blvd</t>
  </si>
  <si>
    <t>2050 Anthony Ave</t>
  </si>
  <si>
    <t>721 E 219th St</t>
  </si>
  <si>
    <t>13340 Roosevelt Ave</t>
  </si>
  <si>
    <t>1011 Neilson St</t>
  </si>
  <si>
    <t>680 Saint Nicholas Ave</t>
  </si>
  <si>
    <t>500 W 140th St</t>
  </si>
  <si>
    <t>6 Lafayette St</t>
  </si>
  <si>
    <t>1687 Hoe Ave</t>
  </si>
  <si>
    <t>320 Bainbridge St</t>
  </si>
  <si>
    <t>716 Bristol St</t>
  </si>
  <si>
    <t>235 E 39th St</t>
  </si>
  <si>
    <t>381 E 160th St</t>
  </si>
  <si>
    <t>1274 5th Ave</t>
  </si>
  <si>
    <t>6715 Dartmouth St</t>
  </si>
  <si>
    <t>112 W 138th St</t>
  </si>
  <si>
    <t>1309 5TH AVE</t>
  </si>
  <si>
    <t>1575 Lexington Ave</t>
  </si>
  <si>
    <t>788 Howard Ave</t>
  </si>
  <si>
    <t>2320 Aqueduct Ave</t>
  </si>
  <si>
    <t>2470 8th Avenue</t>
  </si>
  <si>
    <t>81 Mcclean Ave</t>
  </si>
  <si>
    <t>1749 Grand Concourse</t>
  </si>
  <si>
    <t>67 E 175th St</t>
  </si>
  <si>
    <t>2170 Univ Ave</t>
  </si>
  <si>
    <t>4154 Victory Blvd</t>
  </si>
  <si>
    <t>162 Regis Dr</t>
  </si>
  <si>
    <t>2188 Richmond Ter</t>
  </si>
  <si>
    <t>269 Pulaski Ave</t>
  </si>
  <si>
    <t>7002 Parsons Blvd</t>
  </si>
  <si>
    <t>739 E 242nd St</t>
  </si>
  <si>
    <t>1047 Hoe Ave</t>
  </si>
  <si>
    <t>197 Dixon Ave</t>
  </si>
  <si>
    <t>720 W 180th St</t>
  </si>
  <si>
    <t>130 Fort Washington Ave</t>
  </si>
  <si>
    <t>111 Grand Ave</t>
  </si>
  <si>
    <t>520 Tinton Ave</t>
  </si>
  <si>
    <t>215 E Gun Hill Rd</t>
  </si>
  <si>
    <t>27 Warren St</t>
  </si>
  <si>
    <t>1997 Ocean Avenue</t>
  </si>
  <si>
    <t>403 Kosciuszko St</t>
  </si>
  <si>
    <t>13325 149th St</t>
  </si>
  <si>
    <t>14510 110th Ave</t>
  </si>
  <si>
    <t>955 EverGreen Ave</t>
  </si>
  <si>
    <t>510 Riverdale Ave</t>
  </si>
  <si>
    <t>120 Schroeders Ave</t>
  </si>
  <si>
    <t>303 Andros Ave</t>
  </si>
  <si>
    <t>2364 Crotona Ave</t>
  </si>
  <si>
    <t>2539 44th St</t>
  </si>
  <si>
    <t>5202 Avenue I</t>
  </si>
  <si>
    <t>41 Underhill Ave</t>
  </si>
  <si>
    <t>369 Milford St</t>
  </si>
  <si>
    <t>729 Eldert Ln</t>
  </si>
  <si>
    <t>6 Clinton St</t>
  </si>
  <si>
    <t>3237 105th St</t>
  </si>
  <si>
    <t>185 Saint Marks Pl</t>
  </si>
  <si>
    <t>2319 Morris Ave</t>
  </si>
  <si>
    <t>1263 Clay Ave</t>
  </si>
  <si>
    <t>4 E 107th St</t>
  </si>
  <si>
    <t>2856 Webb Ave</t>
  </si>
  <si>
    <t>553 Quincy St</t>
  </si>
  <si>
    <t>936 E 78th St</t>
  </si>
  <si>
    <t>1261 Central Ave</t>
  </si>
  <si>
    <t>9036 138th Pl</t>
  </si>
  <si>
    <t>181 Trantor Pl</t>
  </si>
  <si>
    <t>501 W 189th St</t>
  </si>
  <si>
    <t>15 Saint James Pl</t>
  </si>
  <si>
    <t>595 Van Duzer St</t>
  </si>
  <si>
    <t>361 Grandview Ave</t>
  </si>
  <si>
    <t>1347 Mcbride St</t>
  </si>
  <si>
    <t>3122 42nd St</t>
  </si>
  <si>
    <t>3573 Dekalb Ave</t>
  </si>
  <si>
    <t>4710 104th St</t>
  </si>
  <si>
    <t>4604 67th St</t>
  </si>
  <si>
    <t>2679 Decatur Ave</t>
  </si>
  <si>
    <t>3252 Tierney Pl</t>
  </si>
  <si>
    <t>1517 Plymouth Ave</t>
  </si>
  <si>
    <t>353 Fort Washington Ave</t>
  </si>
  <si>
    <t>10504 95th Ave</t>
  </si>
  <si>
    <t>11427 196th St</t>
  </si>
  <si>
    <t>3552 Webster Avenue</t>
  </si>
  <si>
    <t>3106 Lewmay Rd</t>
  </si>
  <si>
    <t>784 Prospect Pl</t>
  </si>
  <si>
    <t>309 E 110th St</t>
  </si>
  <si>
    <t>9 Rose St</t>
  </si>
  <si>
    <t>1033 Rev James A Polite Avenue</t>
  </si>
  <si>
    <t>1367 Fulton St</t>
  </si>
  <si>
    <t>4857 Broadway</t>
  </si>
  <si>
    <t>1100 W Farms Rd</t>
  </si>
  <si>
    <t>10702 Guy R Brewer Blvd</t>
  </si>
  <si>
    <t>8614 78th St</t>
  </si>
  <si>
    <t>3019 Bessemund Ave</t>
  </si>
  <si>
    <t>200 W 131st St</t>
  </si>
  <si>
    <t>4610 Crane St</t>
  </si>
  <si>
    <t>217 W 127th St</t>
  </si>
  <si>
    <t>13437 166th PL</t>
  </si>
  <si>
    <t>3405 12TH ST</t>
  </si>
  <si>
    <t>85 Holland Ave</t>
  </si>
  <si>
    <t>184 Connecticut St</t>
  </si>
  <si>
    <t>36 Bedford Park Blvd E</t>
  </si>
  <si>
    <t>9728 57th ave</t>
  </si>
  <si>
    <t>14055 Burden Cres</t>
  </si>
  <si>
    <t>14034 172nd St</t>
  </si>
  <si>
    <t>63 Hamilton Ter</t>
  </si>
  <si>
    <t>2168 Fulton St</t>
  </si>
  <si>
    <t>425 W 160th St</t>
  </si>
  <si>
    <t>435 Central Park W</t>
  </si>
  <si>
    <t>2028 Washington Ave</t>
  </si>
  <si>
    <t>2607 Jerome Ave</t>
  </si>
  <si>
    <t>2314 Holland Ave</t>
  </si>
  <si>
    <t>1515 Selwyn Ave</t>
  </si>
  <si>
    <t>2808 35th St</t>
  </si>
  <si>
    <t>8724 Midland Pkwy</t>
  </si>
  <si>
    <t>9206 173rd St</t>
  </si>
  <si>
    <t>1074 Eastern Pkwy</t>
  </si>
  <si>
    <t>1018 Eastern Pkwy</t>
  </si>
  <si>
    <t>240 Mount Hope Pl</t>
  </si>
  <si>
    <t>711 Fairmount Pl</t>
  </si>
  <si>
    <t>4278 3rd Ave</t>
  </si>
  <si>
    <t>490 E 181st St</t>
  </si>
  <si>
    <t>2008 Bathgate Avenue</t>
  </si>
  <si>
    <t>75 E 116th St</t>
  </si>
  <si>
    <t>2910 Wallace Ave</t>
  </si>
  <si>
    <t>595 E 170th St</t>
  </si>
  <si>
    <t>2448 rockaway fwy</t>
  </si>
  <si>
    <t>1466 Townsend Ave</t>
  </si>
  <si>
    <t>3560 Webster Ave</t>
  </si>
  <si>
    <t>50 E 196th St</t>
  </si>
  <si>
    <t>2563 Decatur Ave</t>
  </si>
  <si>
    <t>2510 30th Rd</t>
  </si>
  <si>
    <t>6 New Ln</t>
  </si>
  <si>
    <t>324 E 143rd St</t>
  </si>
  <si>
    <t>1398 Pitkin Ave</t>
  </si>
  <si>
    <t>1680 Clay Ave</t>
  </si>
  <si>
    <t>986 Ogden Ave</t>
  </si>
  <si>
    <t>5421 Beverley Rd</t>
  </si>
  <si>
    <t>166 W 118th St</t>
  </si>
  <si>
    <t>504 74th St</t>
  </si>
  <si>
    <t>45 Bay 19th St</t>
  </si>
  <si>
    <t>244 E 117th St</t>
  </si>
  <si>
    <t>232 E 106th St</t>
  </si>
  <si>
    <t>1070 E New York Ave</t>
  </si>
  <si>
    <t>1417 Wythe Pl</t>
  </si>
  <si>
    <t>485 E 180th St</t>
  </si>
  <si>
    <t>476 W 165th St</t>
  </si>
  <si>
    <t>185 E 92nd St</t>
  </si>
  <si>
    <t>195 Wellbrook Ave</t>
  </si>
  <si>
    <t>65 E 190th St</t>
  </si>
  <si>
    <t>630 Lenox Ave</t>
  </si>
  <si>
    <t>706 Brook Ave</t>
  </si>
  <si>
    <t>455 Fountain Ave</t>
  </si>
  <si>
    <t>3634 Olinville Ave</t>
  </si>
  <si>
    <t>3650 Bronx Blvd</t>
  </si>
  <si>
    <t>184 Monroe St</t>
  </si>
  <si>
    <t>3920 Bronx Blvd</t>
  </si>
  <si>
    <t>1451 Washington Ave</t>
  </si>
  <si>
    <t>594 Quincy St</t>
  </si>
  <si>
    <t>117 W 111th St</t>
  </si>
  <si>
    <t>653 Cauldwell Ave</t>
  </si>
  <si>
    <t>2108 Ryer Ave</t>
  </si>
  <si>
    <t>41 Kingston Ave</t>
  </si>
  <si>
    <t>676 Greene Ave</t>
  </si>
  <si>
    <t>855 E 217th St</t>
  </si>
  <si>
    <t>1827 Nostrand Ave</t>
  </si>
  <si>
    <t>1030 Carroll St</t>
  </si>
  <si>
    <t>2305 Linden Blvd</t>
  </si>
  <si>
    <t>1675 Lincoln Pl</t>
  </si>
  <si>
    <t>356 Pine Street</t>
  </si>
  <si>
    <t>121 Wilson St</t>
  </si>
  <si>
    <t>1673 Lafayette Ave</t>
  </si>
  <si>
    <t>2375 E 3rd St</t>
  </si>
  <si>
    <t>1325 Lafayette Ave</t>
  </si>
  <si>
    <t>1023 Hegeman Ave</t>
  </si>
  <si>
    <t>625 Quincy St</t>
  </si>
  <si>
    <t>1400 E New York Ave</t>
  </si>
  <si>
    <t>3574 Dekalb Ave</t>
  </si>
  <si>
    <t>150 Saint James Pl</t>
  </si>
  <si>
    <t>2356 Lorillard Pl</t>
  </si>
  <si>
    <t>1639 E 55th St</t>
  </si>
  <si>
    <t>20 Richman Plz</t>
  </si>
  <si>
    <t>1020 Trinity Ave</t>
  </si>
  <si>
    <t>563 Cauldwell Ave</t>
  </si>
  <si>
    <t>3103 Foster Ave</t>
  </si>
  <si>
    <t>599 E 84th St</t>
  </si>
  <si>
    <t>13 Webers Ct</t>
  </si>
  <si>
    <t>2327 Andrews Ave</t>
  </si>
  <si>
    <t>2820 Brighton 7th St</t>
  </si>
  <si>
    <t>63 Post Ave</t>
  </si>
  <si>
    <t>2160 Anthony Ave</t>
  </si>
  <si>
    <t>902 44th St</t>
  </si>
  <si>
    <t>888 Montgomery St</t>
  </si>
  <si>
    <t>1770 E 14th St</t>
  </si>
  <si>
    <t>292 Midwood St</t>
  </si>
  <si>
    <t>372 Kosciuszko St</t>
  </si>
  <si>
    <t>30 Avenue V</t>
  </si>
  <si>
    <t>125 Stagg St</t>
  </si>
  <si>
    <t>964 Coney Island Ave</t>
  </si>
  <si>
    <t>601 Marcy Ave</t>
  </si>
  <si>
    <t>300 Putnam Ave</t>
  </si>
  <si>
    <t>1528 Mermaid Ave</t>
  </si>
  <si>
    <t>777 Saint Marks Ave</t>
  </si>
  <si>
    <t>454 E 179th St</t>
  </si>
  <si>
    <t>480 Concord Ave</t>
  </si>
  <si>
    <t>748 E 53rd St</t>
  </si>
  <si>
    <t>3002 Surf Ave</t>
  </si>
  <si>
    <t>2802 Olinville Ave</t>
  </si>
  <si>
    <t>1175 Gerard Ave</t>
  </si>
  <si>
    <t>869 40th St</t>
  </si>
  <si>
    <t>213 Saint Anns Ave</t>
  </si>
  <si>
    <t>1307 Merriam Ave</t>
  </si>
  <si>
    <t>715 E 214th St</t>
  </si>
  <si>
    <t>255 Linden St</t>
  </si>
  <si>
    <t>2565 Grand Concourse</t>
  </si>
  <si>
    <t>2155 Morris Ave</t>
  </si>
  <si>
    <t>3910 Seton Ave</t>
  </si>
  <si>
    <t>758 Kelly St</t>
  </si>
  <si>
    <t>92 Van Cortlandt Park S</t>
  </si>
  <si>
    <t>2283 Tiebout Ave</t>
  </si>
  <si>
    <t>1139 E 99th St</t>
  </si>
  <si>
    <t>972 Dumont Ave</t>
  </si>
  <si>
    <t>2401 Newkirk Ave</t>
  </si>
  <si>
    <t>385 Prospect Ave</t>
  </si>
  <si>
    <t>250 Washington Ave</t>
  </si>
  <si>
    <t>2054 Nostrand Ave</t>
  </si>
  <si>
    <t>150 W 225th St</t>
  </si>
  <si>
    <t>2320 BRONX PARK E</t>
  </si>
  <si>
    <t>2376 Ryer Ave</t>
  </si>
  <si>
    <t>2857 Sedgwick Ave</t>
  </si>
  <si>
    <t>2103 Honeywell Ave # 5</t>
  </si>
  <si>
    <t>1615 Walton Ave</t>
  </si>
  <si>
    <t>45 Elliot Pl</t>
  </si>
  <si>
    <t>771 E 213th St</t>
  </si>
  <si>
    <t>120 Kenilworth Pl</t>
  </si>
  <si>
    <t>1415 71st St</t>
  </si>
  <si>
    <t>153 Marcus Garvey Blvd</t>
  </si>
  <si>
    <t>1580 Thieriot Ave</t>
  </si>
  <si>
    <t>818 Beck St</t>
  </si>
  <si>
    <t>633 E 186th St</t>
  </si>
  <si>
    <t>4633 Park Ave</t>
  </si>
  <si>
    <t>2165 Pitkin Ave</t>
  </si>
  <si>
    <t>1461 Commonwealth Ave</t>
  </si>
  <si>
    <t>265 E 181st St</t>
  </si>
  <si>
    <t>185 Nevins St</t>
  </si>
  <si>
    <t>10 Richman Plz</t>
  </si>
  <si>
    <t>4311 Byron Ave</t>
  </si>
  <si>
    <t>274 Stanley Ave</t>
  </si>
  <si>
    <t>54 E 176th St</t>
  </si>
  <si>
    <t>164 Linden Blvd</t>
  </si>
  <si>
    <t>128 Park Pl</t>
  </si>
  <si>
    <t>1014 Avenue J</t>
  </si>
  <si>
    <t>954 E 104th St</t>
  </si>
  <si>
    <t>2183 Washington Ave</t>
  </si>
  <si>
    <t>2980 Briggs Ave</t>
  </si>
  <si>
    <t>2507 Cruger Ave</t>
  </si>
  <si>
    <t>2845 University Avenue</t>
  </si>
  <si>
    <t>2055 Cruger Ave</t>
  </si>
  <si>
    <t>1133 Ogden Ave</t>
  </si>
  <si>
    <t>620 East 198th Street</t>
  </si>
  <si>
    <t>165 E Mosholu Pkwy N</t>
  </si>
  <si>
    <t>721 Walton Ave</t>
  </si>
  <si>
    <t>719 Saint Nicholas Ave</t>
  </si>
  <si>
    <t>1770 Davidson Ave</t>
  </si>
  <si>
    <t>115 E Mosholu Pkwy N</t>
  </si>
  <si>
    <t>2755 Creston Ave</t>
  </si>
  <si>
    <t>679 Magenta St</t>
  </si>
  <si>
    <t>1711 Morris Ave</t>
  </si>
  <si>
    <t>2015 Monterrey Av</t>
  </si>
  <si>
    <t>1570 E 102nd St</t>
  </si>
  <si>
    <t>324 Bainbridge St</t>
  </si>
  <si>
    <t>1495 Grand Concourse</t>
  </si>
  <si>
    <t>1070 Anderson Ave</t>
  </si>
  <si>
    <t>860 columbus ave</t>
  </si>
  <si>
    <t>1544 Park Pl</t>
  </si>
  <si>
    <t>2011 Ocean Ave</t>
  </si>
  <si>
    <t>25 Saint Nicholas Ter</t>
  </si>
  <si>
    <t>1769 Vyse Ave</t>
  </si>
  <si>
    <t>334 Bergen St</t>
  </si>
  <si>
    <t>772 Union St</t>
  </si>
  <si>
    <t>3677 White Plains RD</t>
  </si>
  <si>
    <t>18 Hart St</t>
  </si>
  <si>
    <t>1212 Grand Concourse</t>
  </si>
  <si>
    <t>1400 Jefferson Ave</t>
  </si>
  <si>
    <t>751 Walton Ave</t>
  </si>
  <si>
    <t>1549 Townsend Ave</t>
  </si>
  <si>
    <t>1380 Univ Ave</t>
  </si>
  <si>
    <t>903 Lenox Rd</t>
  </si>
  <si>
    <t>1011 E 38th St</t>
  </si>
  <si>
    <t>228 W 149th St</t>
  </si>
  <si>
    <t>205 E 92nd St</t>
  </si>
  <si>
    <t>2310 Morris ave</t>
  </si>
  <si>
    <t>8224 5th Ave</t>
  </si>
  <si>
    <t>1655 Undercliff Ave</t>
  </si>
  <si>
    <t>1112 E 85th St</t>
  </si>
  <si>
    <t>109 W 104th St</t>
  </si>
  <si>
    <t>840 Columbus Ave</t>
  </si>
  <si>
    <t>1730 Seddon Street</t>
  </si>
  <si>
    <t>2 W 120th St</t>
  </si>
  <si>
    <t>2043 Creston Ave</t>
  </si>
  <si>
    <t>15 B Dwight Street</t>
  </si>
  <si>
    <t>45 Rutgers Street</t>
  </si>
  <si>
    <t>346 E 65th St</t>
  </si>
  <si>
    <t>2845 University Ave</t>
  </si>
  <si>
    <t>901 Washington Ave</t>
  </si>
  <si>
    <t>1253 Brunswick Ave</t>
  </si>
  <si>
    <t>832 S Oak Dr</t>
  </si>
  <si>
    <t>48 Amador St</t>
  </si>
  <si>
    <t>100 w kingsbridge rd</t>
  </si>
  <si>
    <t>482 Beach 44th St</t>
  </si>
  <si>
    <t>14844 89th Ave</t>
  </si>
  <si>
    <t>1997 Hughes Ave</t>
  </si>
  <si>
    <t>153 east 184th streer</t>
  </si>
  <si>
    <t>14445 41st Ave</t>
  </si>
  <si>
    <t>10246 185th St</t>
  </si>
  <si>
    <t>737 East 217th Street</t>
  </si>
  <si>
    <t>10715 89th St</t>
  </si>
  <si>
    <t>846 Franklin Ave</t>
  </si>
  <si>
    <t>600 W 183rd St</t>
  </si>
  <si>
    <t>9126 78th St</t>
  </si>
  <si>
    <t>1323 Mcbride St</t>
  </si>
  <si>
    <t>1376 Jefferson Ave</t>
  </si>
  <si>
    <t>1700 Bedford Ave</t>
  </si>
  <si>
    <t>2026 Seagirt Blvd</t>
  </si>
  <si>
    <t>8865 Eldert Ln</t>
  </si>
  <si>
    <t>1974 51st St</t>
  </si>
  <si>
    <t>15005 88th Ave</t>
  </si>
  <si>
    <t>5850 Saint Felix Ave</t>
  </si>
  <si>
    <t>653 E 182nd St</t>
  </si>
  <si>
    <t>2332 Walton Avenue</t>
  </si>
  <si>
    <t>47 Mckeever Pl</t>
  </si>
  <si>
    <t>34 Monroe Ave</t>
  </si>
  <si>
    <t>1330 Intervale Ave</t>
  </si>
  <si>
    <t>1991 Arthur Ave</t>
  </si>
  <si>
    <t>1050 Carroll Pl</t>
  </si>
  <si>
    <t>193 Pulaski St</t>
  </si>
  <si>
    <t>579 Warren St</t>
  </si>
  <si>
    <t>327 Putnam Ave</t>
  </si>
  <si>
    <t>10207 101st Ave</t>
  </si>
  <si>
    <t>8526 102nd St</t>
  </si>
  <si>
    <t>20527 Hollis Ave</t>
  </si>
  <si>
    <t>30 Ebbitts St</t>
  </si>
  <si>
    <t>256 Kelly Blvd</t>
  </si>
  <si>
    <t>137 W 128th St</t>
  </si>
  <si>
    <t>37 Richard Ln</t>
  </si>
  <si>
    <t>8920 101st Ave</t>
  </si>
  <si>
    <t>1139 Hancock St</t>
  </si>
  <si>
    <t>14 Morningside Ave</t>
  </si>
  <si>
    <t>492 Manhattan Ave</t>
  </si>
  <si>
    <t>55 Evelyn Pl</t>
  </si>
  <si>
    <t>2707 Sedgwick Ave</t>
  </si>
  <si>
    <t>2939 Grand Concourse</t>
  </si>
  <si>
    <t>325 Wadsworth Ave</t>
  </si>
  <si>
    <t>2949 8th Ave</t>
  </si>
  <si>
    <t>4500 Broadway</t>
  </si>
  <si>
    <t>514 W 136th St</t>
  </si>
  <si>
    <t>2492 Devoe Ter</t>
  </si>
  <si>
    <t>21733 114th Rd</t>
  </si>
  <si>
    <t>11664 231st St</t>
  </si>
  <si>
    <t>22527 108th Ave</t>
  </si>
  <si>
    <t>453 Beach 40th St</t>
  </si>
  <si>
    <t>305 Rogers Ave</t>
  </si>
  <si>
    <t>2239 Adams Pl</t>
  </si>
  <si>
    <t>214 W 114th St</t>
  </si>
  <si>
    <t>643 Central Ave</t>
  </si>
  <si>
    <t>1750 Sedgwick Ave</t>
  </si>
  <si>
    <t>1325 Pennsylvania Ave</t>
  </si>
  <si>
    <t>1662 Grand Ave</t>
  </si>
  <si>
    <t>3515 Paulding Ave</t>
  </si>
  <si>
    <t>2267 2nd Ave</t>
  </si>
  <si>
    <t>11743 123rd St</t>
  </si>
  <si>
    <t>831 Calhoun Ave</t>
  </si>
  <si>
    <t>2176 Grand Ave</t>
  </si>
  <si>
    <t>1310 Intervale Ave</t>
  </si>
  <si>
    <t>600 Timpson Pl</t>
  </si>
  <si>
    <t>9723 76th St</t>
  </si>
  <si>
    <t>8919 171st St</t>
  </si>
  <si>
    <t>1605 Dean St</t>
  </si>
  <si>
    <t>2407 Morris Ave</t>
  </si>
  <si>
    <t>18 Irving Ave</t>
  </si>
  <si>
    <t>229 Seaman Ave</t>
  </si>
  <si>
    <t>1113 Jefferson Ave</t>
  </si>
  <si>
    <t>101 Sherman Ave</t>
  </si>
  <si>
    <t>812 E 231st St</t>
  </si>
  <si>
    <t>3212 Cruger Ave</t>
  </si>
  <si>
    <t>1628 Macombs Rd</t>
  </si>
  <si>
    <t>1459 Wythe Pl</t>
  </si>
  <si>
    <t>1525 Nelson Ave</t>
  </si>
  <si>
    <t>1512 Townsend Ave</t>
  </si>
  <si>
    <t>2276 Atlantic Ave</t>
  </si>
  <si>
    <t>930 Ogden Ave</t>
  </si>
  <si>
    <t>260 Audubon ave</t>
  </si>
  <si>
    <t>2238 Creston Ave</t>
  </si>
  <si>
    <t>1023 Rutland Rd</t>
  </si>
  <si>
    <t>15081 116th Rd</t>
  </si>
  <si>
    <t>1804 Harrison Ave</t>
  </si>
  <si>
    <t>344 E 209th St</t>
  </si>
  <si>
    <t>2678 Linden Blvd</t>
  </si>
  <si>
    <t>121 Dahlia St</t>
  </si>
  <si>
    <t>650 Lenox Ave</t>
  </si>
  <si>
    <t>20 W 64th St</t>
  </si>
  <si>
    <t>265 Rochester Ave</t>
  </si>
  <si>
    <t>14224 38th Ave</t>
  </si>
  <si>
    <t>14445 35th Ave</t>
  </si>
  <si>
    <t>131 Jersey St</t>
  </si>
  <si>
    <t>850 Amsterdam Ave</t>
  </si>
  <si>
    <t>112 W 144th St</t>
  </si>
  <si>
    <t>130 Marcy Pl</t>
  </si>
  <si>
    <t>364 W 18th St</t>
  </si>
  <si>
    <t>13234 41st Ave</t>
  </si>
  <si>
    <t>13740 45th Ave</t>
  </si>
  <si>
    <t>4115 12th St</t>
  </si>
  <si>
    <t>197 Gordon St</t>
  </si>
  <si>
    <t>1456 Jesup Ave</t>
  </si>
  <si>
    <t>500 W 30th Street</t>
  </si>
  <si>
    <t>150 Jumel St</t>
  </si>
  <si>
    <t>1953 70th St</t>
  </si>
  <si>
    <t>214 Rockaway Pkwy</t>
  </si>
  <si>
    <t>1406 New York Ave</t>
  </si>
  <si>
    <t>16403 89th Ave</t>
  </si>
  <si>
    <t>1334 Louis Nine Blvd</t>
  </si>
  <si>
    <t>95 Harrison St</t>
  </si>
  <si>
    <t>37 Giordan Ct</t>
  </si>
  <si>
    <t>4589 Park Ave</t>
  </si>
  <si>
    <t>31 W Mosholu Pkwy N</t>
  </si>
  <si>
    <t>1362 Noble Avenue</t>
  </si>
  <si>
    <t>2265 Sedgwick Avenue</t>
  </si>
  <si>
    <t>203 E 175th St</t>
  </si>
  <si>
    <t>1460 Sterling Pl</t>
  </si>
  <si>
    <t>1342 Sterling Pl</t>
  </si>
  <si>
    <t>405 E 182nd St</t>
  </si>
  <si>
    <t>4342 45th St</t>
  </si>
  <si>
    <t>3580 Webster Avenue</t>
  </si>
  <si>
    <t>14133 79th Ave</t>
  </si>
  <si>
    <t>73-83 Vermilyea Avenue</t>
  </si>
  <si>
    <t>9280 Holland Ave</t>
  </si>
  <si>
    <t>53-10 111th Street</t>
  </si>
  <si>
    <t>995 E 167th St</t>
  </si>
  <si>
    <t>126B Hendricks Ave</t>
  </si>
  <si>
    <t>765 Lincoln Ave</t>
  </si>
  <si>
    <t>11640 Guy R Brewer Blvd</t>
  </si>
  <si>
    <t>635 East 211th Street</t>
  </si>
  <si>
    <t>2485 Morris Avenue</t>
  </si>
  <si>
    <t>980 Aldus St</t>
  </si>
  <si>
    <t>3556 Rochambeau Ave</t>
  </si>
  <si>
    <t>1187 Anderson Ave</t>
  </si>
  <si>
    <t>20 Sherman Ave</t>
  </si>
  <si>
    <t>3349 Hull ave</t>
  </si>
  <si>
    <t>1650 Metropolitan Ave</t>
  </si>
  <si>
    <t>10927 155th St</t>
  </si>
  <si>
    <t>3706 104th St</t>
  </si>
  <si>
    <t>224-09 145rd</t>
  </si>
  <si>
    <t>9722 57th Ave</t>
  </si>
  <si>
    <t>12365 147th st</t>
  </si>
  <si>
    <t>4617 30th Ave</t>
  </si>
  <si>
    <t>2166 Clinton Ave</t>
  </si>
  <si>
    <t>2301 Creston Avenue</t>
  </si>
  <si>
    <t>657 Seneca Ave</t>
  </si>
  <si>
    <t>1815 Edenwald Avenue</t>
  </si>
  <si>
    <t>115 Post Ave</t>
  </si>
  <si>
    <t>7311 217th St</t>
  </si>
  <si>
    <t>3923 48th St</t>
  </si>
  <si>
    <t>11325 Sea View Ave</t>
  </si>
  <si>
    <t>1 Sickles St</t>
  </si>
  <si>
    <t>800 Victory Blvd</t>
  </si>
  <si>
    <t>8543 101st St</t>
  </si>
  <si>
    <t>769 Melrose Ave</t>
  </si>
  <si>
    <t>14454 35th Ave</t>
  </si>
  <si>
    <t>2944 Beach Channel Dr</t>
  </si>
  <si>
    <t>11111 227th St</t>
  </si>
  <si>
    <t>8624 80th St</t>
  </si>
  <si>
    <t>2538 43rd St</t>
  </si>
  <si>
    <t>121 Henry St</t>
  </si>
  <si>
    <t>686 Beck St</t>
  </si>
  <si>
    <t>1075 Kelly St</t>
  </si>
  <si>
    <t>1847 Univ Ave</t>
  </si>
  <si>
    <t>1924 2nd Ave</t>
  </si>
  <si>
    <t>15904 Sanford Ave</t>
  </si>
  <si>
    <t>3731 Crescent St</t>
  </si>
  <si>
    <t>19029 Jamaica Ave</t>
  </si>
  <si>
    <t>10414 171st St</t>
  </si>
  <si>
    <t>10420 68th Dr</t>
  </si>
  <si>
    <t>3727 86th St</t>
  </si>
  <si>
    <t>3402 153rd St</t>
  </si>
  <si>
    <t>4038 77th St</t>
  </si>
  <si>
    <t>4230 Union St</t>
  </si>
  <si>
    <t>220 Ada Dr</t>
  </si>
  <si>
    <t>31 Betty Ct</t>
  </si>
  <si>
    <t>1191 Anderson Ave</t>
  </si>
  <si>
    <t>107 E 100th St</t>
  </si>
  <si>
    <t>509 E 144th St</t>
  </si>
  <si>
    <t>1876 Belmont Ave</t>
  </si>
  <si>
    <t>1315 Sheridan Ave</t>
  </si>
  <si>
    <t>177 E 117th st</t>
  </si>
  <si>
    <t>1251 Dekalb Ave</t>
  </si>
  <si>
    <t>560 Winthrop St</t>
  </si>
  <si>
    <t>14847 Brookville Blvd</t>
  </si>
  <si>
    <t>12604 89th Ave</t>
  </si>
  <si>
    <t>8620 95th Ave</t>
  </si>
  <si>
    <t>3970 3rd Ave</t>
  </si>
  <si>
    <t>1500 Hoe Ave</t>
  </si>
  <si>
    <t>8 Rutland Rd</t>
  </si>
  <si>
    <t>3216 137th St</t>
  </si>
  <si>
    <t>190 E 206th St</t>
  </si>
  <si>
    <t>125 Mount Hope Pl</t>
  </si>
  <si>
    <t>8806 Parsons Blvd</t>
  </si>
  <si>
    <t>2037 Hughes Ave</t>
  </si>
  <si>
    <t>1016 E 174th St</t>
  </si>
  <si>
    <t>690 Bay St</t>
  </si>
  <si>
    <t>1771 Fulton Avenue</t>
  </si>
  <si>
    <t>1500 Noble ave</t>
  </si>
  <si>
    <t>119 W 72nd St</t>
  </si>
  <si>
    <t>2047 E 15th St</t>
  </si>
  <si>
    <t>151 Rockaway Ave</t>
  </si>
  <si>
    <t>28 Nunzie Ct</t>
  </si>
  <si>
    <t>494 E 167th St</t>
  </si>
  <si>
    <t>125 Mount Hope Place</t>
  </si>
  <si>
    <t>2170 Atlantic Ave</t>
  </si>
  <si>
    <t>507 W 186th St</t>
  </si>
  <si>
    <t>4401 Carpenter Ave</t>
  </si>
  <si>
    <t>193 Clinton Ave</t>
  </si>
  <si>
    <t>3097 3rd Ave</t>
  </si>
  <si>
    <t>7022 Ridge Blvd</t>
  </si>
  <si>
    <t>802 Belmont Ave</t>
  </si>
  <si>
    <t>8675 Midland Pkwy</t>
  </si>
  <si>
    <t>4020 Beach Channel Dr</t>
  </si>
  <si>
    <t>520 Isham St</t>
  </si>
  <si>
    <t>423 Baltic St</t>
  </si>
  <si>
    <t>410a Beach 25th St</t>
  </si>
  <si>
    <t>217-88 Hemstead Avenue</t>
  </si>
  <si>
    <t>3726 65th St</t>
  </si>
  <si>
    <t>2590 35th St</t>
  </si>
  <si>
    <t>2610 18th St</t>
  </si>
  <si>
    <t>119 Beach 56th Pl</t>
  </si>
  <si>
    <t>99 Heberton Ave</t>
  </si>
  <si>
    <t>15400 Rockaway Blvd</t>
  </si>
  <si>
    <t>16347 130th Ave</t>
  </si>
  <si>
    <t>2511 Newkirk Ave</t>
  </si>
  <si>
    <t>2051 Webster Ave</t>
  </si>
  <si>
    <t>17820 Selover Rd</t>
  </si>
  <si>
    <t>309 E Mosholu Pkwy N</t>
  </si>
  <si>
    <t>3312 Hull Ave</t>
  </si>
  <si>
    <t>11215 Dillon St</t>
  </si>
  <si>
    <t>2518 47th St</t>
  </si>
  <si>
    <t>514 College Pl</t>
  </si>
  <si>
    <t>8742 Elmhurst Ave</t>
  </si>
  <si>
    <t>241 E 120th St</t>
  </si>
  <si>
    <t>17 Tryon Ave</t>
  </si>
  <si>
    <t>68 W 238th St</t>
  </si>
  <si>
    <t>3521 Kings Hwy</t>
  </si>
  <si>
    <t>16928 110th Rd</t>
  </si>
  <si>
    <t>725 Miller Ave</t>
  </si>
  <si>
    <t>8821 Vanderweer Street</t>
  </si>
  <si>
    <t>1913 Linden St</t>
  </si>
  <si>
    <t>711 E 228th St</t>
  </si>
  <si>
    <t>12117 196th St</t>
  </si>
  <si>
    <t>5 Minerva Pl</t>
  </si>
  <si>
    <t>309 E 78th St</t>
  </si>
  <si>
    <t>140 E 52nd St</t>
  </si>
  <si>
    <t>930 E 4th Walk</t>
  </si>
  <si>
    <t>330 E 63rd St</t>
  </si>
  <si>
    <t>448 Riverside Dr</t>
  </si>
  <si>
    <t>225 W 123rd St</t>
  </si>
  <si>
    <t>531 W 145th St</t>
  </si>
  <si>
    <t>206 W 121st St</t>
  </si>
  <si>
    <t>1450 Gateway Blvd</t>
  </si>
  <si>
    <t>8915 102nd St</t>
  </si>
  <si>
    <t>2030 Ryer Ave</t>
  </si>
  <si>
    <t>801 Neill Ave</t>
  </si>
  <si>
    <t>2229 Dix Ave</t>
  </si>
  <si>
    <t>4171 Denman St</t>
  </si>
  <si>
    <t>2259 Dix Ave</t>
  </si>
  <si>
    <t>3405 108th St</t>
  </si>
  <si>
    <t>7 Saint James Pl</t>
  </si>
  <si>
    <t>310 W 143rd St</t>
  </si>
  <si>
    <t>19 Hamilton Ter</t>
  </si>
  <si>
    <t>2070 7th ave</t>
  </si>
  <si>
    <t>601 W 132nd St</t>
  </si>
  <si>
    <t>11830 153rd St</t>
  </si>
  <si>
    <t>10445 164th St</t>
  </si>
  <si>
    <t>4033 Aske St</t>
  </si>
  <si>
    <t>16337 130th Ave</t>
  </si>
  <si>
    <t>552 W 186th St</t>
  </si>
  <si>
    <t>11611 168th St</t>
  </si>
  <si>
    <t>3425 Kingsbridge Ave</t>
  </si>
  <si>
    <t>16752 118th Ave</t>
  </si>
  <si>
    <t>1360 Plimpton Ave</t>
  </si>
  <si>
    <t>1295 Grand Concourse</t>
  </si>
  <si>
    <t>82 Holcomb Ave</t>
  </si>
  <si>
    <t>2238 Morris Ave</t>
  </si>
  <si>
    <t>1581 Fulton Ave</t>
  </si>
  <si>
    <t>43 Sheffield Ave</t>
  </si>
  <si>
    <t>324 Powers Ave</t>
  </si>
  <si>
    <t>16349 130th Ave</t>
  </si>
  <si>
    <t>2800 Sedgwick Ave</t>
  </si>
  <si>
    <t>2858 Bronx Park E</t>
  </si>
  <si>
    <t>855 E 178th St</t>
  </si>
  <si>
    <t>1013 Broadway</t>
  </si>
  <si>
    <t>281 Quincy St</t>
  </si>
  <si>
    <t>238 E 26th St</t>
  </si>
  <si>
    <t>620 Gates Ave</t>
  </si>
  <si>
    <t>1590 Madison Ave</t>
  </si>
  <si>
    <t>738 Albany Ave</t>
  </si>
  <si>
    <t>903 Summit Ave</t>
  </si>
  <si>
    <t>2181 Utica Ave</t>
  </si>
  <si>
    <t>1442 Boston Rd</t>
  </si>
  <si>
    <t>1407 Dean St</t>
  </si>
  <si>
    <t>1215 Grand Concourse</t>
  </si>
  <si>
    <t>1898 Harrison Ave</t>
  </si>
  <si>
    <t>13731 132nd Ave</t>
  </si>
  <si>
    <t>133 Amador St</t>
  </si>
  <si>
    <t>352a Van Pelt Ave</t>
  </si>
  <si>
    <t>813 Chestnut St</t>
  </si>
  <si>
    <t>543 W 211th St</t>
  </si>
  <si>
    <t>3346 Hull Ave</t>
  </si>
  <si>
    <t>580 Van Duzer St</t>
  </si>
  <si>
    <t>2301 5th Ave</t>
  </si>
  <si>
    <t>2304 Sedgwick Ave</t>
  </si>
  <si>
    <t>155 W 81st St</t>
  </si>
  <si>
    <t>223 E 89th St</t>
  </si>
  <si>
    <t>127 e 107th St</t>
  </si>
  <si>
    <t>4459 Matilda Ave</t>
  </si>
  <si>
    <t>2980 W 28th St</t>
  </si>
  <si>
    <t>481 Eastern Pkwy</t>
  </si>
  <si>
    <t>214 E 29th St</t>
  </si>
  <si>
    <t>986 Dumont Ave</t>
  </si>
  <si>
    <t>864 Troy Ave</t>
  </si>
  <si>
    <t>8005 6th Ave</t>
  </si>
  <si>
    <t>640 Adee Ave</t>
  </si>
  <si>
    <t>1285 Washington Ave</t>
  </si>
  <si>
    <t>2321 Beaumont Ave</t>
  </si>
  <si>
    <t>2723 Barnes Ave</t>
  </si>
  <si>
    <t>3353 Fort Independence St</t>
  </si>
  <si>
    <t>495 Pine St</t>
  </si>
  <si>
    <t>104 Grove St</t>
  </si>
  <si>
    <t>2886 Briggs Ave</t>
  </si>
  <si>
    <t>410 Beach 54th St</t>
  </si>
  <si>
    <t>1023 Willoughby Ave</t>
  </si>
  <si>
    <t>215 W 127th St</t>
  </si>
  <si>
    <t>3861 Baychester Ave</t>
  </si>
  <si>
    <t>2106 Union St</t>
  </si>
  <si>
    <t>3133 90th St</t>
  </si>
  <si>
    <t>100 Asch Loop</t>
  </si>
  <si>
    <t>1086 Home St</t>
  </si>
  <si>
    <t>3514 Rochambeau Ave</t>
  </si>
  <si>
    <t>4535 Park Ave</t>
  </si>
  <si>
    <t>162 Lenox Ave</t>
  </si>
  <si>
    <t>304 W 120th St</t>
  </si>
  <si>
    <t>21005 43rd Ave</t>
  </si>
  <si>
    <t>52 Markham Ln</t>
  </si>
  <si>
    <t>1151e E 100th St</t>
  </si>
  <si>
    <t>1142 Wheeler Ave</t>
  </si>
  <si>
    <t>3065 Grand Concourse</t>
  </si>
  <si>
    <t>85 Strong St</t>
  </si>
  <si>
    <t>2042 Seagirt Blvd</t>
  </si>
  <si>
    <t>8435 Lander St</t>
  </si>
  <si>
    <t>610 Academy St</t>
  </si>
  <si>
    <t>2245 Dix Ave</t>
  </si>
  <si>
    <t>10715 Northern Blvd</t>
  </si>
  <si>
    <t>11128 158th St</t>
  </si>
  <si>
    <t>10831 36th Ave</t>
  </si>
  <si>
    <t>165 W 197th St</t>
  </si>
  <si>
    <t>1125 Madison St</t>
  </si>
  <si>
    <t>1575 E New York Ave</t>
  </si>
  <si>
    <t>16715 Northern Blvd</t>
  </si>
  <si>
    <t>6863 Fresh Pond Rd</t>
  </si>
  <si>
    <t>18501 Hilburn Ave</t>
  </si>
  <si>
    <t>544 Hemlock st</t>
  </si>
  <si>
    <t>2451 Olinville Ave</t>
  </si>
  <si>
    <t>3419 Irwin Ave</t>
  </si>
  <si>
    <t>534 E 138th St</t>
  </si>
  <si>
    <t>751 Jackson Ave</t>
  </si>
  <si>
    <t>85 Navy Walk</t>
  </si>
  <si>
    <t>1800 E 12th St</t>
  </si>
  <si>
    <t>11523 122nd St</t>
  </si>
  <si>
    <t>2049 Seagirt Blvd</t>
  </si>
  <si>
    <t>35 Holland Ave</t>
  </si>
  <si>
    <t>2340 7th Ave</t>
  </si>
  <si>
    <t>4251 Byron Ave</t>
  </si>
  <si>
    <t>21 Truxton St</t>
  </si>
  <si>
    <t>2251 Dix Ave</t>
  </si>
  <si>
    <t>236 East 165th Street</t>
  </si>
  <si>
    <t>11636 141st St</t>
  </si>
  <si>
    <t>2802 Albermarle Rd</t>
  </si>
  <si>
    <t>22129 90th Ave</t>
  </si>
  <si>
    <t>215 Granite Ave</t>
  </si>
  <si>
    <t>4475 Henry Hudson Pkwy</t>
  </si>
  <si>
    <t>153 South Ave</t>
  </si>
  <si>
    <t>3436 Eastchester Rd</t>
  </si>
  <si>
    <t>38 Post Ave</t>
  </si>
  <si>
    <t>117 Sherman Ave</t>
  </si>
  <si>
    <t>55 Sickles St</t>
  </si>
  <si>
    <t>461 Milford St</t>
  </si>
  <si>
    <t>1515 Metropolitan Ave</t>
  </si>
  <si>
    <t>16212 95th St</t>
  </si>
  <si>
    <t>7714 113th St</t>
  </si>
  <si>
    <t>222 Johnson Ave</t>
  </si>
  <si>
    <t>5530 97th Pl</t>
  </si>
  <si>
    <t>2751 University Ave</t>
  </si>
  <si>
    <t>571 58th St</t>
  </si>
  <si>
    <t>121 W 116th St</t>
  </si>
  <si>
    <t>243 E 120th St</t>
  </si>
  <si>
    <t>270 E Burnside Ave</t>
  </si>
  <si>
    <t>1262 Lafayette Ave</t>
  </si>
  <si>
    <t>8761 116th St</t>
  </si>
  <si>
    <t>3608 29th St</t>
  </si>
  <si>
    <t>3213 31st Ave</t>
  </si>
  <si>
    <t>812 E 227th St</t>
  </si>
  <si>
    <t>3822 Bailey Ave</t>
  </si>
  <si>
    <t>911 Gates Ave</t>
  </si>
  <si>
    <t>1665 Monroe Ave</t>
  </si>
  <si>
    <t>2075 2nd Ave</t>
  </si>
  <si>
    <t>11920 Union Tpke</t>
  </si>
  <si>
    <t>494 New Lots Ave</t>
  </si>
  <si>
    <t>1129 Vyse Ave</t>
  </si>
  <si>
    <t>3930 3rd Ave</t>
  </si>
  <si>
    <t>4023 Ithaca St</t>
  </si>
  <si>
    <t>666 W 188th St</t>
  </si>
  <si>
    <t>658 W 188th St</t>
  </si>
  <si>
    <t>680 Jefferson Ave</t>
  </si>
  <si>
    <t>141 York Ave</t>
  </si>
  <si>
    <t>9502 Liverpool St</t>
  </si>
  <si>
    <t>600 W 144th St</t>
  </si>
  <si>
    <t>3162 Bainbridge Ave</t>
  </si>
  <si>
    <t>336 Morningstar Rd</t>
  </si>
  <si>
    <t>487 Herzl St</t>
  </si>
  <si>
    <t>409 W 145th St</t>
  </si>
  <si>
    <t>1115 Fdr Dr</t>
  </si>
  <si>
    <t>2991 8th Ave</t>
  </si>
  <si>
    <t>2102 Newkirk Ave</t>
  </si>
  <si>
    <t>2284 Grand Ave</t>
  </si>
  <si>
    <t>300 W 106 #68</t>
  </si>
  <si>
    <t>71 W 112th St</t>
  </si>
  <si>
    <t>217 W 111th St</t>
  </si>
  <si>
    <t>284 Eastern Pkwy</t>
  </si>
  <si>
    <t>201 E 18th St</t>
  </si>
  <si>
    <t>637 Saint Marks Ave</t>
  </si>
  <si>
    <t>173 Mulberry St</t>
  </si>
  <si>
    <t>1089 Easter Pkwy</t>
  </si>
  <si>
    <t>243 13th St</t>
  </si>
  <si>
    <t>530 West 136 Street</t>
  </si>
  <si>
    <t>1548 New York Ave</t>
  </si>
  <si>
    <t>3354 83rd St</t>
  </si>
  <si>
    <t>195 Cozine Ave</t>
  </si>
  <si>
    <t>30 Macombs Pl</t>
  </si>
  <si>
    <t>2809 Frederick Douglass Blvd</t>
  </si>
  <si>
    <t>105 Avenue X</t>
  </si>
  <si>
    <t>1 W 127th St</t>
  </si>
  <si>
    <t>2156 Linden Blvd</t>
  </si>
  <si>
    <t>237 E 20th St</t>
  </si>
  <si>
    <t>255 W 43rd St</t>
  </si>
  <si>
    <t>1331 Pacific St</t>
  </si>
  <si>
    <t>93 Hamilton Pl</t>
  </si>
  <si>
    <t>1085 Walton ave</t>
  </si>
  <si>
    <t>55 Tiemann Pl</t>
  </si>
  <si>
    <t>105 Eldridge St</t>
  </si>
  <si>
    <t>1705 Zerega Ave</t>
  </si>
  <si>
    <t>810 E 152nd St</t>
  </si>
  <si>
    <t>1265 Gerard Ave</t>
  </si>
  <si>
    <t>1082 Southern Blvd</t>
  </si>
  <si>
    <t>1466 Beach Ave</t>
  </si>
  <si>
    <t>90 Downing St</t>
  </si>
  <si>
    <t>409 W 145th st</t>
  </si>
  <si>
    <t>372 E 173rd St</t>
  </si>
  <si>
    <t>135 Chrystie St</t>
  </si>
  <si>
    <t>3190 Rochambeau Ave</t>
  </si>
  <si>
    <t>1472 Beach Ave</t>
  </si>
  <si>
    <t>1521 Sheridan Ave</t>
  </si>
  <si>
    <t>3970 3rd ave</t>
  </si>
  <si>
    <t>2460 7th Ave</t>
  </si>
  <si>
    <t>708 W 171st St</t>
  </si>
  <si>
    <t>640 Riverside Dr</t>
  </si>
  <si>
    <t>75 Wadsworth Ter</t>
  </si>
  <si>
    <t>805 Fairmount Pl</t>
  </si>
  <si>
    <t>506 W 145th St</t>
  </si>
  <si>
    <t>227 E 178th St</t>
  </si>
  <si>
    <t>253 E Kingsbridge Rd</t>
  </si>
  <si>
    <t>2501 Oceancrest Blvd</t>
  </si>
  <si>
    <t>363 West 30th Street, 3A</t>
  </si>
  <si>
    <t>121 West 133rd Street 1A</t>
  </si>
  <si>
    <t>40 Amsterdam #13A</t>
  </si>
  <si>
    <t>560 West 165th Street, 912</t>
  </si>
  <si>
    <t>3536 Hull Ave</t>
  </si>
  <si>
    <t>3530 Dekalb Ave</t>
  </si>
  <si>
    <t>3342 Decatur Avenue</t>
  </si>
  <si>
    <t>1652 Popham Ave</t>
  </si>
  <si>
    <t>1132 E 229th St</t>
  </si>
  <si>
    <t>2950 W 35th St</t>
  </si>
  <si>
    <t>2285 University Ave</t>
  </si>
  <si>
    <t>611 E 178th St</t>
  </si>
  <si>
    <t>3048 Richmond Rd</t>
  </si>
  <si>
    <t>154-156 Broome St</t>
  </si>
  <si>
    <t>1505 Macombs Rd</t>
  </si>
  <si>
    <t>2707 Gifford Ave</t>
  </si>
  <si>
    <t>2265 Grand Ave</t>
  </si>
  <si>
    <t>1859 Walton Ave</t>
  </si>
  <si>
    <t>1991 Sedgwick Ave</t>
  </si>
  <si>
    <t>388 Richmond Ter</t>
  </si>
  <si>
    <t>227 Hancock St</t>
  </si>
  <si>
    <t>2769 University Ave</t>
  </si>
  <si>
    <t>665 Thwaites Pl</t>
  </si>
  <si>
    <t>845 E 218th St</t>
  </si>
  <si>
    <t>631 E 220th St</t>
  </si>
  <si>
    <t>178 E 95th St</t>
  </si>
  <si>
    <t>280 E 199th St</t>
  </si>
  <si>
    <t>579 Grand Ave</t>
  </si>
  <si>
    <t>2819 Barker Ave</t>
  </si>
  <si>
    <t>120 Alcott Pl</t>
  </si>
  <si>
    <t>30 Allen St</t>
  </si>
  <si>
    <t>1475 Sheridan Ave</t>
  </si>
  <si>
    <t>823 E 221st St</t>
  </si>
  <si>
    <t>100 Benchley Place</t>
  </si>
  <si>
    <t>80 Clifton Pl</t>
  </si>
  <si>
    <t>2434 Prospect Ave</t>
  </si>
  <si>
    <t>16 Sandra Ln</t>
  </si>
  <si>
    <t>690 Allerton Ave</t>
  </si>
  <si>
    <t>2805 grand concourse</t>
  </si>
  <si>
    <t>16611 144th Dr</t>
  </si>
  <si>
    <t>438 Beach 40th Street</t>
  </si>
  <si>
    <t>9602 57th Ave</t>
  </si>
  <si>
    <t>2237 Dix Ave</t>
  </si>
  <si>
    <t>6415 83rd Pl</t>
  </si>
  <si>
    <t>15940 Highland Ave</t>
  </si>
  <si>
    <t>3535 Dekalb Ave</t>
  </si>
  <si>
    <t>1357 Southern Boulevard</t>
  </si>
  <si>
    <t>2619 Sedgwick Ave</t>
  </si>
  <si>
    <t>333 E 176th St</t>
  </si>
  <si>
    <t>515 W 143rd St</t>
  </si>
  <si>
    <t>987 Hegeman Ave</t>
  </si>
  <si>
    <t>1212 Grant Ave</t>
  </si>
  <si>
    <t>889 Dawson St</t>
  </si>
  <si>
    <t>711 Seagirt Avenue</t>
  </si>
  <si>
    <t>255 E 207th St</t>
  </si>
  <si>
    <t>1876 Arthur Ave</t>
  </si>
  <si>
    <t>250 Beach 15th St</t>
  </si>
  <si>
    <t>306 E 171st St</t>
  </si>
  <si>
    <t>101 Daniel Low Ter</t>
  </si>
  <si>
    <t>1125 Anderson Ave</t>
  </si>
  <si>
    <t>2491 Bedford Ave</t>
  </si>
  <si>
    <t>80 Winthrop St</t>
  </si>
  <si>
    <t>10832 Flatlands 9th St</t>
  </si>
  <si>
    <t>2212 Ditmas Ave</t>
  </si>
  <si>
    <t>10443 165th St</t>
  </si>
  <si>
    <t>2349 Davidson Ave</t>
  </si>
  <si>
    <t>10603 Flatlands Ave</t>
  </si>
  <si>
    <t>23210 Hillside Ave</t>
  </si>
  <si>
    <t>25766 145th Ave</t>
  </si>
  <si>
    <t>14939 88th St</t>
  </si>
  <si>
    <t>120 Beach 19th St</t>
  </si>
  <si>
    <t>4001 10th St</t>
  </si>
  <si>
    <t>6071 67th Ave</t>
  </si>
  <si>
    <t>23110 131st Ave</t>
  </si>
  <si>
    <t>19r Fairway Ave</t>
  </si>
  <si>
    <t>651 Elton St</t>
  </si>
  <si>
    <t>6333 Haring St</t>
  </si>
  <si>
    <t>435 W 125th St</t>
  </si>
  <si>
    <t>125 E 15th St</t>
  </si>
  <si>
    <t>89 Avenue C</t>
  </si>
  <si>
    <t>3320 Kossuth Ave</t>
  </si>
  <si>
    <t>867 Saint Marks Ave</t>
  </si>
  <si>
    <t>323 E Mosholu Pkwy N</t>
  </si>
  <si>
    <t>105 Beach 56th Pl</t>
  </si>
  <si>
    <t>11640 168th St</t>
  </si>
  <si>
    <t>3251 53rd Pl</t>
  </si>
  <si>
    <t>4134 55th St</t>
  </si>
  <si>
    <t>262 W 115th St</t>
  </si>
  <si>
    <t>3873 Orloff Ave</t>
  </si>
  <si>
    <t>3202 Bainbridge Ave</t>
  </si>
  <si>
    <t>175 W 93rd St</t>
  </si>
  <si>
    <t>61-69 St Nicholas avenue</t>
  </si>
  <si>
    <t>605 W 42nd St</t>
  </si>
  <si>
    <t>2917 8th Ave</t>
  </si>
  <si>
    <t>601 W 113th St</t>
  </si>
  <si>
    <t>114 E 97th St</t>
  </si>
  <si>
    <t>164 E 104th St</t>
  </si>
  <si>
    <t>1990 Lexington Ave</t>
  </si>
  <si>
    <t>2505 Bedford Ave</t>
  </si>
  <si>
    <t>2086 2nd Ave</t>
  </si>
  <si>
    <t>160 4th Ave</t>
  </si>
  <si>
    <t>1819 Weeks Ave</t>
  </si>
  <si>
    <t>254 E 206th St</t>
  </si>
  <si>
    <t>54 Holland Ave</t>
  </si>
  <si>
    <t>1996 Gleason Ave</t>
  </si>
  <si>
    <t>267 Rogers Ave</t>
  </si>
  <si>
    <t>1290 Richmond Ave # 4</t>
  </si>
  <si>
    <t>1339 Bristow St</t>
  </si>
  <si>
    <t>723 E 219th St</t>
  </si>
  <si>
    <t>2241 Webster Ave</t>
  </si>
  <si>
    <t>136 E 208th St</t>
  </si>
  <si>
    <t>2561 Bronxwood Ave</t>
  </si>
  <si>
    <t>17 E 204th St</t>
  </si>
  <si>
    <t>300 Reservoir Pl</t>
  </si>
  <si>
    <t>910 81st St</t>
  </si>
  <si>
    <t>1300 Rockland Ave</t>
  </si>
  <si>
    <t>14159 85th Rd</t>
  </si>
  <si>
    <t>653 E 96th St</t>
  </si>
  <si>
    <t>2555 E 12th St</t>
  </si>
  <si>
    <t>1315 Eastern Pkwy</t>
  </si>
  <si>
    <t>611 Flatbush Ave</t>
  </si>
  <si>
    <t>391 Bronx River Ave</t>
  </si>
  <si>
    <t>2272 Andrews Ave</t>
  </si>
  <si>
    <t>4216 80th St</t>
  </si>
  <si>
    <t>1317 E 14th St</t>
  </si>
  <si>
    <t>2106 Regent Pl</t>
  </si>
  <si>
    <t>2707 Barnes Ave</t>
  </si>
  <si>
    <t>1806 Vyse Ave</t>
  </si>
  <si>
    <t>2425 Nostrand Ave</t>
  </si>
  <si>
    <t>4339 158th St</t>
  </si>
  <si>
    <t>4524 39th Pl</t>
  </si>
  <si>
    <t>1665 Palmetto St</t>
  </si>
  <si>
    <t>8033 90th Rd</t>
  </si>
  <si>
    <t>119 Vermilyea Ave</t>
  </si>
  <si>
    <t>8802 Little Neck Pkwy</t>
  </si>
  <si>
    <t>3677 White Plains Rd</t>
  </si>
  <si>
    <t>1455 Geneva Loop</t>
  </si>
  <si>
    <t>3070 34th St</t>
  </si>
  <si>
    <t>1775 Davidson Ave</t>
  </si>
  <si>
    <t>727 East 182nd Street</t>
  </si>
  <si>
    <t>1930 Anthony Ave</t>
  </si>
  <si>
    <t>17214 133rd Ave</t>
  </si>
  <si>
    <t>909 Kelly St</t>
  </si>
  <si>
    <t>2825 Grand Concourse</t>
  </si>
  <si>
    <t>6217 60th St</t>
  </si>
  <si>
    <t>5439 100th St</t>
  </si>
  <si>
    <t>50 Roxbury St</t>
  </si>
  <si>
    <t>538 E 21st St</t>
  </si>
  <si>
    <t>3239 107th St</t>
  </si>
  <si>
    <t>152 Beach 188th St</t>
  </si>
  <si>
    <t>3261 71st St</t>
  </si>
  <si>
    <t>11828 197th St</t>
  </si>
  <si>
    <t>340 Georgia Ave</t>
  </si>
  <si>
    <t>167 E 115th St</t>
  </si>
  <si>
    <t>666 Wyona St</t>
  </si>
  <si>
    <t>2876 Jerome Ave</t>
  </si>
  <si>
    <t>1327 Southern Blvd</t>
  </si>
  <si>
    <t>855 E 19th St</t>
  </si>
  <si>
    <t>720 Westchester Ave</t>
  </si>
  <si>
    <t>1618 Benson St</t>
  </si>
  <si>
    <t>719 Crotona Park N</t>
  </si>
  <si>
    <t>22402 64th Ave</t>
  </si>
  <si>
    <t>289 Blake Avenue</t>
  </si>
  <si>
    <t>260 W 54th St</t>
  </si>
  <si>
    <t>388 Pearl St</t>
  </si>
  <si>
    <t>44 Jackson Street</t>
  </si>
  <si>
    <t>12002 Sutphin Blvd</t>
  </si>
  <si>
    <t>195 Steuben St</t>
  </si>
  <si>
    <t>18723 Hillside Ave</t>
  </si>
  <si>
    <t>18709 Linden Blvd</t>
  </si>
  <si>
    <t>1321 Mcbride St</t>
  </si>
  <si>
    <t>11644 217th St</t>
  </si>
  <si>
    <t>2280 Jaydee Ct</t>
  </si>
  <si>
    <t>231 Sherman Ave</t>
  </si>
  <si>
    <t>79 Saint Marys Ave</t>
  </si>
  <si>
    <t>1024 Gipson St</t>
  </si>
  <si>
    <t>665 E 163rd St</t>
  </si>
  <si>
    <t>665 Allerton Ave</t>
  </si>
  <si>
    <t>211j W 151nd St</t>
  </si>
  <si>
    <t>15 West 29th Street</t>
  </si>
  <si>
    <t>40 Amsterdam Ave</t>
  </si>
  <si>
    <t>2418 Beaumont Ave</t>
  </si>
  <si>
    <t>3230 Steuben Ave</t>
  </si>
  <si>
    <t>2859 Bronx Park E</t>
  </si>
  <si>
    <t>2911 Barnes Ave</t>
  </si>
  <si>
    <t>340 E 207th St</t>
  </si>
  <si>
    <t>3604 Bronx Blvd</t>
  </si>
  <si>
    <t>4298 Park Avenue</t>
  </si>
  <si>
    <t>152 Sherman Avenue</t>
  </si>
  <si>
    <t>16844 127th Ave</t>
  </si>
  <si>
    <t>3260 Perry Ave</t>
  </si>
  <si>
    <t>2455 Cruger Ave</t>
  </si>
  <si>
    <t>22 W 128th St</t>
  </si>
  <si>
    <t>311 W 127th St</t>
  </si>
  <si>
    <t>348 Dewey Ave</t>
  </si>
  <si>
    <t>1430 Bergen St</t>
  </si>
  <si>
    <t>3310 Avenue H</t>
  </si>
  <si>
    <t>1901 Madison Ave</t>
  </si>
  <si>
    <t>1952 1st Ave</t>
  </si>
  <si>
    <t>1170 Walton Ave</t>
  </si>
  <si>
    <t>1515 Macombs Rd</t>
  </si>
  <si>
    <t>1717 Vyse Ave</t>
  </si>
  <si>
    <t>1972 Walton Ave</t>
  </si>
  <si>
    <t>445 Autumn Ave</t>
  </si>
  <si>
    <t>540 Ocean Ave</t>
  </si>
  <si>
    <t>1023 Rev James A Polite Ave</t>
  </si>
  <si>
    <t>102-23 Horace Harding Expway</t>
  </si>
  <si>
    <t>941 Rogers Pl</t>
  </si>
  <si>
    <t>3250 Perry Ave</t>
  </si>
  <si>
    <t>1 Marble Hill Ave</t>
  </si>
  <si>
    <t>1610 Univ Ave</t>
  </si>
  <si>
    <t>2343 Valentine Ave</t>
  </si>
  <si>
    <t>3548 Tryon Ave</t>
  </si>
  <si>
    <t>1165 Gerard Ave</t>
  </si>
  <si>
    <t>1132 Clay Ave</t>
  </si>
  <si>
    <t>1818 Clay Ave</t>
  </si>
  <si>
    <t>452 Columbia St</t>
  </si>
  <si>
    <t>390 Eastern Pkwy</t>
  </si>
  <si>
    <t>3774 33rd St</t>
  </si>
  <si>
    <t>95 Clinton Pl</t>
  </si>
  <si>
    <t>169 Warwick Ave</t>
  </si>
  <si>
    <t>331 Etna Street</t>
  </si>
  <si>
    <t>2444 95th St</t>
  </si>
  <si>
    <t>170 S Portland Ave</t>
  </si>
  <si>
    <t>1824 Washington Ave</t>
  </si>
  <si>
    <t>141 Edgecombe Ave</t>
  </si>
  <si>
    <t>524 Jerome St</t>
  </si>
  <si>
    <t>535 E 142nd St</t>
  </si>
  <si>
    <t>2158 Atlantic Ave</t>
  </si>
  <si>
    <t>1864 7th Ave</t>
  </si>
  <si>
    <t>115 W 137th St</t>
  </si>
  <si>
    <t>50 W 139th St</t>
  </si>
  <si>
    <t>2130 Madison Ave</t>
  </si>
  <si>
    <t>2698 Creston Ave</t>
  </si>
  <si>
    <t>2259 Tiebout Ave</t>
  </si>
  <si>
    <t>180 E 162nd St</t>
  </si>
  <si>
    <t>358 Saint Johns Pl</t>
  </si>
  <si>
    <t>135 Amador St</t>
  </si>
  <si>
    <t>668 Water Street</t>
  </si>
  <si>
    <t>3433 30th St</t>
  </si>
  <si>
    <t>2030 Walton Ave</t>
  </si>
  <si>
    <t>3035 White Plains Rd</t>
  </si>
  <si>
    <t>200 W 147th St</t>
  </si>
  <si>
    <t>12399 Flatlands Ave</t>
  </si>
  <si>
    <t>775 Fox St</t>
  </si>
  <si>
    <t>1020 Boynton Ave</t>
  </si>
  <si>
    <t>2298 Creston Ave</t>
  </si>
  <si>
    <t>4865 Broadway</t>
  </si>
  <si>
    <t>3414 KNOX PL</t>
  </si>
  <si>
    <t>2247 Walton Ave</t>
  </si>
  <si>
    <t>1141 Jerome Ave # 61</t>
  </si>
  <si>
    <t>98 Linden Blvd</t>
  </si>
  <si>
    <t>279 Van Siclen Ave</t>
  </si>
  <si>
    <t>3426 Dekalb Ave</t>
  </si>
  <si>
    <t>2701 Grand Concourse</t>
  </si>
  <si>
    <t>310 Lexington Ave</t>
  </si>
  <si>
    <t>890 Courtlandt Ave</t>
  </si>
  <si>
    <t>190 Beach 27th St</t>
  </si>
  <si>
    <t>10460 Queens Blvd</t>
  </si>
  <si>
    <t>5975 Shore Pkwy</t>
  </si>
  <si>
    <t>175-10 88th Ave</t>
  </si>
  <si>
    <t>2308 Mott Ave</t>
  </si>
  <si>
    <t>9150 121st St</t>
  </si>
  <si>
    <t>591 Logan St</t>
  </si>
  <si>
    <t>104 Vermilyea Ave</t>
  </si>
  <si>
    <t>3444 Knox PL</t>
  </si>
  <si>
    <t>3080 Voorhies Ave</t>
  </si>
  <si>
    <t>2403 41st St</t>
  </si>
  <si>
    <t>476 Richmond Ter</t>
  </si>
  <si>
    <t>10649 Princeton St</t>
  </si>
  <si>
    <t>2414 University Ave</t>
  </si>
  <si>
    <t>401 E 136th St</t>
  </si>
  <si>
    <t>462 E 115th St</t>
  </si>
  <si>
    <t>315 E 102nd St</t>
  </si>
  <si>
    <t>13727 Carson St</t>
  </si>
  <si>
    <t>16319 130th Ave</t>
  </si>
  <si>
    <t>22414 67th Ave</t>
  </si>
  <si>
    <t>8064 Cypress Ave</t>
  </si>
  <si>
    <t>8425 85th Rd</t>
  </si>
  <si>
    <t>5085 Broadway</t>
  </si>
  <si>
    <t>748 Saint Marks Ave</t>
  </si>
  <si>
    <t>437 Rogers Ave</t>
  </si>
  <si>
    <t>10049 198th St</t>
  </si>
  <si>
    <t>2506 47th St</t>
  </si>
  <si>
    <t>4036 67th St</t>
  </si>
  <si>
    <t>65 Holland Ave</t>
  </si>
  <si>
    <t>504 Thatford Ave</t>
  </si>
  <si>
    <t>2448 Rockaway Fwy</t>
  </si>
  <si>
    <t>122 Spartan Ave</t>
  </si>
  <si>
    <t>9728 76th St</t>
  </si>
  <si>
    <t>3329 108th St</t>
  </si>
  <si>
    <t>14605 120th Ave</t>
  </si>
  <si>
    <t>11110 106th St</t>
  </si>
  <si>
    <t>6015 Fresh Pond Rd</t>
  </si>
  <si>
    <t>803 E 182nd St</t>
  </si>
  <si>
    <t>1812 Palisade Pl</t>
  </si>
  <si>
    <t>1777 Madison Ave</t>
  </si>
  <si>
    <t>220 W 149th St</t>
  </si>
  <si>
    <t>712 E 27th St</t>
  </si>
  <si>
    <t>585 E 21st St</t>
  </si>
  <si>
    <t>904 Winthrop St</t>
  </si>
  <si>
    <t>70 Ross St</t>
  </si>
  <si>
    <t>1414 Brooklyn Ave</t>
  </si>
  <si>
    <t>2042 Ralph Ave</t>
  </si>
  <si>
    <t>40 W Mosholu Pkwy S</t>
  </si>
  <si>
    <t>2420 Maclay Ave</t>
  </si>
  <si>
    <t>91 E 116th St</t>
  </si>
  <si>
    <t>66 E Tremont Ave</t>
  </si>
  <si>
    <t>115 E 116th St</t>
  </si>
  <si>
    <t>918 E 226th St</t>
  </si>
  <si>
    <t>2401 Davidson Ave</t>
  </si>
  <si>
    <t>666 E 235th St</t>
  </si>
  <si>
    <t>18 Jabcobus Place</t>
  </si>
  <si>
    <t>700 Rosewood St</t>
  </si>
  <si>
    <t>1329 81st St</t>
  </si>
  <si>
    <t>635 Castle Hill Ave</t>
  </si>
  <si>
    <t>9325 Fort Hamilton Pkwy</t>
  </si>
  <si>
    <t>2289 5th Ave</t>
  </si>
  <si>
    <t>830 Fox St</t>
  </si>
  <si>
    <t>405 Westminster Rd</t>
  </si>
  <si>
    <t>2101 Creston Ave</t>
  </si>
  <si>
    <t>11629 171st St</t>
  </si>
  <si>
    <t>1212 Newkirk Ave</t>
  </si>
  <si>
    <t>572 Greene Ave # 574</t>
  </si>
  <si>
    <t>23 Fairway Ave</t>
  </si>
  <si>
    <t>2476 Webb Ave</t>
  </si>
  <si>
    <t>2670 Bainbridge Ave</t>
  </si>
  <si>
    <t>3520 Dekalb Ave</t>
  </si>
  <si>
    <t>1454 Grand Concourse</t>
  </si>
  <si>
    <t>46 Willow Rd W</t>
  </si>
  <si>
    <t>2195 Grand Concourse</t>
  </si>
  <si>
    <t>124 Fort Washington Ave</t>
  </si>
  <si>
    <t>198 Clarkson Ave</t>
  </si>
  <si>
    <t>17014 130th Ave</t>
  </si>
  <si>
    <t>1425 Wythe Pl</t>
  </si>
  <si>
    <t>1620 Caton Ave</t>
  </si>
  <si>
    <t>267 E 175th St</t>
  </si>
  <si>
    <t>2446 Yates Ave</t>
  </si>
  <si>
    <t>30 Richman Plz</t>
  </si>
  <si>
    <t>2364 Tiebout Avenue</t>
  </si>
  <si>
    <t>755 Jackson Ave</t>
  </si>
  <si>
    <t>241 E Mosholu Pkwy N</t>
  </si>
  <si>
    <t>512 E 145th St</t>
  </si>
  <si>
    <t>30 Lockman Loop</t>
  </si>
  <si>
    <t>19 Fancher Pl</t>
  </si>
  <si>
    <t>1595 Madison Ave</t>
  </si>
  <si>
    <t>91 Ann St</t>
  </si>
  <si>
    <t>6968 137th St</t>
  </si>
  <si>
    <t>832 Midwood St</t>
  </si>
  <si>
    <t>580 Flatbush Ave</t>
  </si>
  <si>
    <t>2100 Tiebout Ave</t>
  </si>
  <si>
    <t>2704 University Ave</t>
  </si>
  <si>
    <t>326 Roebling St</t>
  </si>
  <si>
    <t>297 Lenox RD</t>
  </si>
  <si>
    <t>280 Herkimer St</t>
  </si>
  <si>
    <t>805 Fairmont Place</t>
  </si>
  <si>
    <t>634 Grassmere Ter</t>
  </si>
  <si>
    <t>6701 Kissena Blvd</t>
  </si>
  <si>
    <t>26 Post Ave</t>
  </si>
  <si>
    <t>14011 Ash Ave</t>
  </si>
  <si>
    <t>12-25 118th Street</t>
  </si>
  <si>
    <t>7314 198th St</t>
  </si>
  <si>
    <t>510 E 156th St</t>
  </si>
  <si>
    <t>700 Ocean Ave</t>
  </si>
  <si>
    <t>4005 Ithaca St</t>
  </si>
  <si>
    <t>574 E 138th St</t>
  </si>
  <si>
    <t>2001 Newbold Avenue</t>
  </si>
  <si>
    <t>10820 160th St</t>
  </si>
  <si>
    <t>222 W 233rd St</t>
  </si>
  <si>
    <t>56 E Tremont Ave</t>
  </si>
  <si>
    <t>6556 Parsons Blvd</t>
  </si>
  <si>
    <t>9010 150th St</t>
  </si>
  <si>
    <t>9936 41st Ave</t>
  </si>
  <si>
    <t>990 Freeman St</t>
  </si>
  <si>
    <t>9714 Metropolitan Ave</t>
  </si>
  <si>
    <t>211 W 101st St</t>
  </si>
  <si>
    <t>435 GRAND AVE</t>
  </si>
  <si>
    <t>258 Vernon Ave</t>
  </si>
  <si>
    <t>1457 Ogden Ave</t>
  </si>
  <si>
    <t>8615 Ava Pl</t>
  </si>
  <si>
    <t>4850 41st St</t>
  </si>
  <si>
    <t>346 Lenox Ave</t>
  </si>
  <si>
    <t>233 West 115th Street 1 B</t>
  </si>
  <si>
    <t>40 West 115th Street 8F</t>
  </si>
  <si>
    <t>240 Lockman Ave</t>
  </si>
  <si>
    <t>4325 Hunter St</t>
  </si>
  <si>
    <t>208 Montauk Ave</t>
  </si>
  <si>
    <t>1231 Sheridan Ave</t>
  </si>
  <si>
    <t>16018 118th Rd</t>
  </si>
  <si>
    <t>2031 7th Ave</t>
  </si>
  <si>
    <t>535 E 182nd St</t>
  </si>
  <si>
    <t>381 Sumpter St</t>
  </si>
  <si>
    <t>526 W 146th St</t>
  </si>
  <si>
    <t>2211 New Haven Ave</t>
  </si>
  <si>
    <t>2812 Bronx Park E</t>
  </si>
  <si>
    <t>11611 157th St</t>
  </si>
  <si>
    <t>2516 Tratman Ave</t>
  </si>
  <si>
    <t>507 E 140th St</t>
  </si>
  <si>
    <t>11039 156th St</t>
  </si>
  <si>
    <t>152 8th Ave</t>
  </si>
  <si>
    <t>3225 Decatur Ave</t>
  </si>
  <si>
    <t>1314 Merriam Ave</t>
  </si>
  <si>
    <t>1705 Anthony Ave</t>
  </si>
  <si>
    <t>240 Park Hill Ave</t>
  </si>
  <si>
    <t>165 Trantor Pl</t>
  </si>
  <si>
    <t>20 Betty Ct</t>
  </si>
  <si>
    <t>198 Victory Blvd</t>
  </si>
  <si>
    <t>43 Caswell Ave</t>
  </si>
  <si>
    <t>2116 Lacombe Ave</t>
  </si>
  <si>
    <t>505 E 184th St</t>
  </si>
  <si>
    <t>301 Grant Ave</t>
  </si>
  <si>
    <t>5212 Glenwood Rd</t>
  </si>
  <si>
    <t>558 E 181st St</t>
  </si>
  <si>
    <t>70 Bruckner Blvd</t>
  </si>
  <si>
    <t>712 E Gun Hill Rd</t>
  </si>
  <si>
    <t>56 Sleepy Hollow Rd</t>
  </si>
  <si>
    <t>586 Union Ave</t>
  </si>
  <si>
    <t>2318 Loring Pl N</t>
  </si>
  <si>
    <t>14165 85th Rd</t>
  </si>
  <si>
    <t>1509 Eastern Pkwy</t>
  </si>
  <si>
    <t>1964 Nostrand Ave</t>
  </si>
  <si>
    <t>1894 Arthur Ave</t>
  </si>
  <si>
    <t>140 Bellamy Loop</t>
  </si>
  <si>
    <t>8954 199th St Bsmt</t>
  </si>
  <si>
    <t>2611 96th St</t>
  </si>
  <si>
    <t>1685 Monroe Ave</t>
  </si>
  <si>
    <t>1805 Crotona Ave</t>
  </si>
  <si>
    <t>2080 1st Ave</t>
  </si>
  <si>
    <t>174-36 136th Ave</t>
  </si>
  <si>
    <t>424 Britton Ave</t>
  </si>
  <si>
    <t>54 Bristol St</t>
  </si>
  <si>
    <t>464 Howard Ave</t>
  </si>
  <si>
    <t>40 Thayer St</t>
  </si>
  <si>
    <t>1175 E Tremont Ave</t>
  </si>
  <si>
    <t>333 E 95th St</t>
  </si>
  <si>
    <t>1694 Madison Ave</t>
  </si>
  <si>
    <t>107 E 126th St</t>
  </si>
  <si>
    <t>158 E 110th St</t>
  </si>
  <si>
    <t>1350 University Ave</t>
  </si>
  <si>
    <t>12 E 177th St</t>
  </si>
  <si>
    <t>789 E 214TH ST</t>
  </si>
  <si>
    <t>1521 Silver St</t>
  </si>
  <si>
    <t>269 E Burnside Ave</t>
  </si>
  <si>
    <t>724 E 187th St</t>
  </si>
  <si>
    <t>22 Park Hill Ave</t>
  </si>
  <si>
    <t>757 E 214th St</t>
  </si>
  <si>
    <t>1810 Lafayette Ave</t>
  </si>
  <si>
    <t>1715 Walton Ave</t>
  </si>
  <si>
    <t>1814 Phelan Pl</t>
  </si>
  <si>
    <t>1014 Gerard Ave</t>
  </si>
  <si>
    <t>1356 Walton Ave</t>
  </si>
  <si>
    <t>1635 Union St</t>
  </si>
  <si>
    <t>1315 Merriam Ave</t>
  </si>
  <si>
    <t>3110 Bainbridge Ave</t>
  </si>
  <si>
    <t>10219 186th St</t>
  </si>
  <si>
    <t>1505 Townsend Ave</t>
  </si>
  <si>
    <t>15 E Clarke Pl</t>
  </si>
  <si>
    <t>601 E 163rd St</t>
  </si>
  <si>
    <t>611 E 182nd St</t>
  </si>
  <si>
    <t>881 E 162nd St</t>
  </si>
  <si>
    <t>180 Park Hill Ave</t>
  </si>
  <si>
    <t>511 E 8th St</t>
  </si>
  <si>
    <t>9202 Avenue K</t>
  </si>
  <si>
    <t>177 Continental Pl</t>
  </si>
  <si>
    <t>2160 ANTHONY AVE</t>
  </si>
  <si>
    <t>8019 88th Ave</t>
  </si>
  <si>
    <t>3330 103rd St</t>
  </si>
  <si>
    <t>12220 Ocean Promenade</t>
  </si>
  <si>
    <t>15941 98th St</t>
  </si>
  <si>
    <t>3715 72nd St</t>
  </si>
  <si>
    <t>3734 84th St</t>
  </si>
  <si>
    <t>2542 University Ave</t>
  </si>
  <si>
    <t>2299 Andrews Ave</t>
  </si>
  <si>
    <t>377 Lincoln Rd</t>
  </si>
  <si>
    <t>965 E 31st St</t>
  </si>
  <si>
    <t>1413 FULTON AVE</t>
  </si>
  <si>
    <t>25736 148th Ave</t>
  </si>
  <si>
    <t>1320 Sheridan Ave</t>
  </si>
  <si>
    <t>547 W 160th St</t>
  </si>
  <si>
    <t>387 Shepherd Ave</t>
  </si>
  <si>
    <t>262 Saint Marks Ave</t>
  </si>
  <si>
    <t>2192 Dean St</t>
  </si>
  <si>
    <t>2085 Morris Ave</t>
  </si>
  <si>
    <t>125 W 168th St</t>
  </si>
  <si>
    <t>1480 Popham Ave</t>
  </si>
  <si>
    <t>662 Brooklyn Ave</t>
  </si>
  <si>
    <t>1740 Mulford Ave</t>
  </si>
  <si>
    <t>1115 forest ave</t>
  </si>
  <si>
    <t>414 Monroe St</t>
  </si>
  <si>
    <t>6740 Parsons Blvd</t>
  </si>
  <si>
    <t>16111 137th Ave</t>
  </si>
  <si>
    <t>8766 110th St</t>
  </si>
  <si>
    <t>817 E 225th St</t>
  </si>
  <si>
    <t>127 Corson Ave</t>
  </si>
  <si>
    <t>22404 67th Ave</t>
  </si>
  <si>
    <t>1966 First Avenue 6J</t>
  </si>
  <si>
    <t>11245 Dillon St</t>
  </si>
  <si>
    <t>375 Manhattan Ave</t>
  </si>
  <si>
    <t>105 W 128th St</t>
  </si>
  <si>
    <t>5009 Broadway</t>
  </si>
  <si>
    <t>830 Magenta St</t>
  </si>
  <si>
    <t>1870 Crotona Ave</t>
  </si>
  <si>
    <t>2007 Lafontaine ave</t>
  </si>
  <si>
    <t>10511 Farmers Blvd</t>
  </si>
  <si>
    <t>295 Clinton Ave</t>
  </si>
  <si>
    <t>263 W 153RD ST</t>
  </si>
  <si>
    <t>213 Bennett Ave</t>
  </si>
  <si>
    <t>454 Fort Washington Ave</t>
  </si>
  <si>
    <t>816 Manida St</t>
  </si>
  <si>
    <t>601 E 156th St</t>
  </si>
  <si>
    <t>225 E 95th St</t>
  </si>
  <si>
    <t>530 W 136th St</t>
  </si>
  <si>
    <t>418 W 20th St</t>
  </si>
  <si>
    <t>264 E 28th St</t>
  </si>
  <si>
    <t>361 Livonia ave</t>
  </si>
  <si>
    <t>230 Clinton St</t>
  </si>
  <si>
    <t>55 Bowen St</t>
  </si>
  <si>
    <t>600 Ocean Ave</t>
  </si>
  <si>
    <t>231 Edgecome Avenue</t>
  </si>
  <si>
    <t>670 Riverside Dr</t>
  </si>
  <si>
    <t>333 Ovington Ave</t>
  </si>
  <si>
    <t>2537 Valentine Ave</t>
  </si>
  <si>
    <t>10 Stanton St</t>
  </si>
  <si>
    <t>811 Saint Johns Pl</t>
  </si>
  <si>
    <t>2353 Davidson Ave</t>
  </si>
  <si>
    <t>290 E 3rd St</t>
  </si>
  <si>
    <t>559 W 149th St</t>
  </si>
  <si>
    <t>1030 Ocean Ave</t>
  </si>
  <si>
    <t>155 W 68th St</t>
  </si>
  <si>
    <t>422 E 161st St</t>
  </si>
  <si>
    <t>443 Wyona St</t>
  </si>
  <si>
    <t>21 Saint Pauls Ct</t>
  </si>
  <si>
    <t>8739 110th St</t>
  </si>
  <si>
    <t>2114 Bryant Ave</t>
  </si>
  <si>
    <t>2918 Grand Concourse</t>
  </si>
  <si>
    <t>1260 Croton Loop</t>
  </si>
  <si>
    <t>855 E 9th St</t>
  </si>
  <si>
    <t>951 Hoe Ave</t>
  </si>
  <si>
    <t>854 Myrtle Ave</t>
  </si>
  <si>
    <t>1370 Boston Rd</t>
  </si>
  <si>
    <t>2236 Hughes Ave</t>
  </si>
  <si>
    <t>1859 Hunt Ave</t>
  </si>
  <si>
    <t>1500 Noble Ave</t>
  </si>
  <si>
    <t>238 W 238th St</t>
  </si>
  <si>
    <t>345 Lefferts Ave</t>
  </si>
  <si>
    <t>502 W 139th St</t>
  </si>
  <si>
    <t>769 Saint Marks Ave</t>
  </si>
  <si>
    <t>300 10th St</t>
  </si>
  <si>
    <t>4746 40th St</t>
  </si>
  <si>
    <t>3525 Decatur Ave</t>
  </si>
  <si>
    <t>751 Forest Ave</t>
  </si>
  <si>
    <t>2074 Arthur Ave</t>
  </si>
  <si>
    <t>1791 Prospect Ave</t>
  </si>
  <si>
    <t>270 W 124th St</t>
  </si>
  <si>
    <t>2442 Morris Ave</t>
  </si>
  <si>
    <t>3511 Hull Ave</t>
  </si>
  <si>
    <t>3155 Rochambeau Ave</t>
  </si>
  <si>
    <t>6336 98th Pl</t>
  </si>
  <si>
    <t>8753 129th St</t>
  </si>
  <si>
    <t>9257 173rd St</t>
  </si>
  <si>
    <t>3824 BRONX BLVD</t>
  </si>
  <si>
    <t>12001 142nd St</t>
  </si>
  <si>
    <t>11880 Metropolitan Ave</t>
  </si>
  <si>
    <t>600 W 161st St</t>
  </si>
  <si>
    <t>880 Colgate Ave</t>
  </si>
  <si>
    <t>2160 CLINTON AVE</t>
  </si>
  <si>
    <t>2014 Morris Ave</t>
  </si>
  <si>
    <t>1955 1st Ave</t>
  </si>
  <si>
    <t>1415 Bristow St</t>
  </si>
  <si>
    <t>1229 Ward Ave</t>
  </si>
  <si>
    <t>2490 Davidson Ave</t>
  </si>
  <si>
    <t>8345 Lefferts Blvd</t>
  </si>
  <si>
    <t>11633 Sutphin Blvd</t>
  </si>
  <si>
    <t>2310 Walton Ave</t>
  </si>
  <si>
    <t>58 Lewis Ave</t>
  </si>
  <si>
    <t>524 Vandalia Ave</t>
  </si>
  <si>
    <t>1848 74th St</t>
  </si>
  <si>
    <t>614 W 157th St</t>
  </si>
  <si>
    <t>680 Schenck Ave</t>
  </si>
  <si>
    <t>101 W 109th st</t>
  </si>
  <si>
    <t>2353 Pacific St</t>
  </si>
  <si>
    <t>676 E 141st St</t>
  </si>
  <si>
    <t>528 Logan Ave</t>
  </si>
  <si>
    <t>193 Martense St</t>
  </si>
  <si>
    <t>2398 Tiebout Ave</t>
  </si>
  <si>
    <t>5731 Waldron St</t>
  </si>
  <si>
    <t>788 S Oak Dr</t>
  </si>
  <si>
    <t>78 Stage Ln</t>
  </si>
  <si>
    <t>1884 Arthur Ave</t>
  </si>
  <si>
    <t>84B Pond Way</t>
  </si>
  <si>
    <t>60 Alaska St</t>
  </si>
  <si>
    <t>6520 Parsons Blvd</t>
  </si>
  <si>
    <t>2300 Olinville Ave</t>
  </si>
  <si>
    <t>4410 cayuga ave</t>
  </si>
  <si>
    <t>8750 126th St</t>
  </si>
  <si>
    <t>11345 Farmers Blvd</t>
  </si>
  <si>
    <t>246 Madison St</t>
  </si>
  <si>
    <t>40 07 67th St</t>
  </si>
  <si>
    <t>1397 Stanley Ave</t>
  </si>
  <si>
    <t>2501 Davidson Ave</t>
  </si>
  <si>
    <t>1409 Fulton Ave</t>
  </si>
  <si>
    <t>1839 58th St</t>
  </si>
  <si>
    <t>2055 McGraw Ave</t>
  </si>
  <si>
    <t>1210 Croes Ave</t>
  </si>
  <si>
    <t>2026 Westchester Ave</t>
  </si>
  <si>
    <t>1870 Palmetto St</t>
  </si>
  <si>
    <t>2080 Lafontaine Ave</t>
  </si>
  <si>
    <t>1975 Walton ave</t>
  </si>
  <si>
    <t>1937 Monterey Ave</t>
  </si>
  <si>
    <t>62-60 108th street</t>
  </si>
  <si>
    <t>9576 115th St</t>
  </si>
  <si>
    <t>9714 104th St</t>
  </si>
  <si>
    <t>128 W 128th St</t>
  </si>
  <si>
    <t>136 Seaman Ave</t>
  </si>
  <si>
    <t>535 W 151st St</t>
  </si>
  <si>
    <t>14 W 127th St</t>
  </si>
  <si>
    <t>80 Bruckner Blvd</t>
  </si>
  <si>
    <t>2225 Newbold Ave</t>
  </si>
  <si>
    <t>30 Nicholas Ave</t>
  </si>
  <si>
    <t>3681 Broadway</t>
  </si>
  <si>
    <t>1975 Bathgate Ave</t>
  </si>
  <si>
    <t>1938 Bronxdale Ave</t>
  </si>
  <si>
    <t>516 W 143rd St</t>
  </si>
  <si>
    <t>260 Park Hill Ave</t>
  </si>
  <si>
    <t>160 Heberton Ave</t>
  </si>
  <si>
    <t>91 Holland Ave</t>
  </si>
  <si>
    <t>1302 Newkirk Ave</t>
  </si>
  <si>
    <t>1022 Rev James A Polite Ave</t>
  </si>
  <si>
    <t>3425 Gates Place</t>
  </si>
  <si>
    <t>2526 Bronx Park E</t>
  </si>
  <si>
    <t>517 W 212th St</t>
  </si>
  <si>
    <t>536 E 168th St</t>
  </si>
  <si>
    <t>100 W 163rd St</t>
  </si>
  <si>
    <t>7 Metropolitan Oval</t>
  </si>
  <si>
    <t>1049 Grand Concourse</t>
  </si>
  <si>
    <t>3021 Holland Ave</t>
  </si>
  <si>
    <t>13751 Hook Creek Blvd</t>
  </si>
  <si>
    <t>124 Sherman Ave</t>
  </si>
  <si>
    <t>23 Vermilyea Ave</t>
  </si>
  <si>
    <t>585 W 204th St</t>
  </si>
  <si>
    <t>103 Post Ave</t>
  </si>
  <si>
    <t>780 Garden St</t>
  </si>
  <si>
    <t>18318 144th Ave</t>
  </si>
  <si>
    <t>1355 New York Ave</t>
  </si>
  <si>
    <t>326 Grafton St</t>
  </si>
  <si>
    <t>4421 Macnish St</t>
  </si>
  <si>
    <t>11911 Guy R Brewer Blvd</t>
  </si>
  <si>
    <t>10419 125th St</t>
  </si>
  <si>
    <t>14815 Lowe Ct</t>
  </si>
  <si>
    <t>10217 97th Ave</t>
  </si>
  <si>
    <t>13523 114th St</t>
  </si>
  <si>
    <t>12020 146th St</t>
  </si>
  <si>
    <t>8555 115th St</t>
  </si>
  <si>
    <t>458 Woodward Ave</t>
  </si>
  <si>
    <t>2701 Webb Ave</t>
  </si>
  <si>
    <t>10123 90th St</t>
  </si>
  <si>
    <t>7121 65th St</t>
  </si>
  <si>
    <t>844 E 214th St</t>
  </si>
  <si>
    <t>2387 Creston Ave</t>
  </si>
  <si>
    <t>120 Astoria Blvd</t>
  </si>
  <si>
    <t>10425 195th St</t>
  </si>
  <si>
    <t>9604 57th Ave</t>
  </si>
  <si>
    <t>10433 89th Ave</t>
  </si>
  <si>
    <t>6608 102nd St</t>
  </si>
  <si>
    <t>11630 Guy R Brewer Blvd</t>
  </si>
  <si>
    <t>802 W 190th St</t>
  </si>
  <si>
    <t>31 Van Buren St</t>
  </si>
  <si>
    <t>1574 Beach Ave</t>
  </si>
  <si>
    <t>602 44th St</t>
  </si>
  <si>
    <t>2299 ANDREWS AVE</t>
  </si>
  <si>
    <t>12 Albany Ave</t>
  </si>
  <si>
    <t>1359 Chandler St</t>
  </si>
  <si>
    <t>2251 Sedgwick Ave</t>
  </si>
  <si>
    <t>2757 Claflin Ave</t>
  </si>
  <si>
    <t>3500 TRYON AVE</t>
  </si>
  <si>
    <t>660 Arnow Ave</t>
  </si>
  <si>
    <t>PO Box 661564</t>
  </si>
  <si>
    <t>3920 Broadway</t>
  </si>
  <si>
    <t>55 W 100th St</t>
  </si>
  <si>
    <t>136 33rd st</t>
  </si>
  <si>
    <t>717 Coster St # 719</t>
  </si>
  <si>
    <t>526 Dahill Rd</t>
  </si>
  <si>
    <t>1056 55th St</t>
  </si>
  <si>
    <t>14858 87th Rd</t>
  </si>
  <si>
    <t>226 E 203rd St</t>
  </si>
  <si>
    <t>985 Anderson Ave</t>
  </si>
  <si>
    <t>1729 Paulding Ave</t>
  </si>
  <si>
    <t>5525 48th Pl</t>
  </si>
  <si>
    <t>3569 Dekalb Ave</t>
  </si>
  <si>
    <t>2079 32nd St</t>
  </si>
  <si>
    <t>3121 Ditmars Blvd</t>
  </si>
  <si>
    <t>6560 Booth St</t>
  </si>
  <si>
    <t>4001 12th St</t>
  </si>
  <si>
    <t>551 Grandview Ave</t>
  </si>
  <si>
    <t>8132 Margaret Pl</t>
  </si>
  <si>
    <t>372 E 152nd ST</t>
  </si>
  <si>
    <t>140 Park Hill Ave</t>
  </si>
  <si>
    <t>25434 Craft Ave</t>
  </si>
  <si>
    <t>73 Cooper St</t>
  </si>
  <si>
    <t>2299 Andrews Avenue</t>
  </si>
  <si>
    <t>200 Garfield Pl</t>
  </si>
  <si>
    <t>704 E 214th St</t>
  </si>
  <si>
    <t>3267 48th St</t>
  </si>
  <si>
    <t>315 Lincoln Rd</t>
  </si>
  <si>
    <t>788 E 182nd ST</t>
  </si>
  <si>
    <t>18840 Dormans Rd</t>
  </si>
  <si>
    <t>7528 197th St</t>
  </si>
  <si>
    <t>4321 49th St</t>
  </si>
  <si>
    <t>10416 32nd Ave</t>
  </si>
  <si>
    <t>2377 Creston Avenue</t>
  </si>
  <si>
    <t>455 Linwood St</t>
  </si>
  <si>
    <t>2555 Linden Blvd</t>
  </si>
  <si>
    <t>4222 Ketcham St</t>
  </si>
  <si>
    <t>2508 Frisby Ave</t>
  </si>
  <si>
    <t>16422 109th Rd</t>
  </si>
  <si>
    <t>12225 Lakeview Ln</t>
  </si>
  <si>
    <t>217 Van Brunt St</t>
  </si>
  <si>
    <t>160-12 Foch Blvd</t>
  </si>
  <si>
    <t>973 Amsterdam Ave</t>
  </si>
  <si>
    <t>604 Georgia Ave</t>
  </si>
  <si>
    <t>1631 Saint Marks Ave</t>
  </si>
  <si>
    <t>601 E 178th St</t>
  </si>
  <si>
    <t>456 Schenectady Ave</t>
  </si>
  <si>
    <t>1077 Castleton Ave</t>
  </si>
  <si>
    <t>16814 127th Ave</t>
  </si>
  <si>
    <t>12560 Sutphin Blvd</t>
  </si>
  <si>
    <t>461 Wales Ave</t>
  </si>
  <si>
    <t>41 Saint Nicholas Ter</t>
  </si>
  <si>
    <t>608-610 West 139th st</t>
  </si>
  <si>
    <t>5812 Queens Blvd</t>
  </si>
  <si>
    <t>11222 Rockaway Beach Blvd</t>
  </si>
  <si>
    <t>789 Saint Marks Ave</t>
  </si>
  <si>
    <t>799 E Gun Hill Rd</t>
  </si>
  <si>
    <t>2107 East 137th Street</t>
  </si>
  <si>
    <t>16104 Jewel Ave</t>
  </si>
  <si>
    <t>18624 104th Ave</t>
  </si>
  <si>
    <t>2144 Crotona Pkwy</t>
  </si>
  <si>
    <t>2904 Ely ave</t>
  </si>
  <si>
    <t>2060 White Plains Rd</t>
  </si>
  <si>
    <t>3004 Albany Cres</t>
  </si>
  <si>
    <t>120 W 183rd St</t>
  </si>
  <si>
    <t>11 N Elliott Pl</t>
  </si>
  <si>
    <t>54 Kissel Ave</t>
  </si>
  <si>
    <t>25 Yale St</t>
  </si>
  <si>
    <t>429 E 156th St</t>
  </si>
  <si>
    <t>1065 Jerome Ave</t>
  </si>
  <si>
    <t>18 W 102nd St</t>
  </si>
  <si>
    <t>771 Herkimer St</t>
  </si>
  <si>
    <t>19 Beach 95th St</t>
  </si>
  <si>
    <t>800 Hancock St</t>
  </si>
  <si>
    <t>99 Metropolitan Oval</t>
  </si>
  <si>
    <t>551 W 125th St</t>
  </si>
  <si>
    <t>84 Lexington Ave</t>
  </si>
  <si>
    <t>3227 Bainbridge Ave</t>
  </si>
  <si>
    <t>2454 Webb Ave</t>
  </si>
  <si>
    <t>13317 Sanford Ave</t>
  </si>
  <si>
    <t>2505 Aqueduct Ave</t>
  </si>
  <si>
    <t>2001 Morris Ave</t>
  </si>
  <si>
    <t>9531 90th St</t>
  </si>
  <si>
    <t>5A Ludwig Ln</t>
  </si>
  <si>
    <t>13516 115th St</t>
  </si>
  <si>
    <t>14819 90th Ave</t>
  </si>
  <si>
    <t>15 E 199th St</t>
  </si>
  <si>
    <t>3611 12th St</t>
  </si>
  <si>
    <t>845 Schenck Ave</t>
  </si>
  <si>
    <t>3215 Holland Ave</t>
  </si>
  <si>
    <t>35 Montgomery St</t>
  </si>
  <si>
    <t>15804 Sanford Ave</t>
  </si>
  <si>
    <t>124 Beach 31st St</t>
  </si>
  <si>
    <t>13411 107th Ave</t>
  </si>
  <si>
    <t>2243 Story Ave</t>
  </si>
  <si>
    <t>2922 Barnes Ave</t>
  </si>
  <si>
    <t>1140 Woodycrest Ave</t>
  </si>
  <si>
    <t>1380 Univeristy Aveune</t>
  </si>
  <si>
    <t>3525 Bainbridge Ave</t>
  </si>
  <si>
    <t>681 Magenta St</t>
  </si>
  <si>
    <t>3203 Hull Ave</t>
  </si>
  <si>
    <t>4000 Lowerre Pl</t>
  </si>
  <si>
    <t>555 E 178th St</t>
  </si>
  <si>
    <t>395 Stratford Rd</t>
  </si>
  <si>
    <t>170 72nd St</t>
  </si>
  <si>
    <t>445 61st St</t>
  </si>
  <si>
    <t>44 Metropolitan Oval</t>
  </si>
  <si>
    <t>171 E 93rd St</t>
  </si>
  <si>
    <t>355 Marion St</t>
  </si>
  <si>
    <t>1975 Grand Ave</t>
  </si>
  <si>
    <t>600 E 178th St</t>
  </si>
  <si>
    <t>2111 Southern Blvd</t>
  </si>
  <si>
    <t>2995 Botanical Sq</t>
  </si>
  <si>
    <t>1824 Weeks Ave</t>
  </si>
  <si>
    <t>1640 Ocean Pkwy</t>
  </si>
  <si>
    <t>5205 5th ave</t>
  </si>
  <si>
    <t>1362 Prospect Ave</t>
  </si>
  <si>
    <t>1173 Grand Concourse</t>
  </si>
  <si>
    <t>143 Lincoln Ave</t>
  </si>
  <si>
    <t>2320 Creston Ave</t>
  </si>
  <si>
    <t>24 Skinner Ln</t>
  </si>
  <si>
    <t>14 Roxbury St</t>
  </si>
  <si>
    <t>10134 121st St</t>
  </si>
  <si>
    <t>6576 162nd St</t>
  </si>
  <si>
    <t>11 Wayne St</t>
  </si>
  <si>
    <t>62 Roxbury St</t>
  </si>
  <si>
    <t>8650 77th St</t>
  </si>
  <si>
    <t>3114 42nd St</t>
  </si>
  <si>
    <t>803 W 180th St</t>
  </si>
  <si>
    <t>1488 Sterling Pl</t>
  </si>
  <si>
    <t>179 Brabant St</t>
  </si>
  <si>
    <t>22116 Murdock Ave</t>
  </si>
  <si>
    <t>850 Longwood Ave</t>
  </si>
  <si>
    <t>414 Sutter Ave</t>
  </si>
  <si>
    <t>926 E 211th St</t>
  </si>
  <si>
    <t>1991 Bronxdale Ave</t>
  </si>
  <si>
    <t>206 W 92nd St</t>
  </si>
  <si>
    <t>101 W 109th St</t>
  </si>
  <si>
    <t>617 W 143rd St</t>
  </si>
  <si>
    <t>54 Evelyn Pl</t>
  </si>
  <si>
    <t>148 Bismark Ave</t>
  </si>
  <si>
    <t>2076 Frederick Douglass Blvd</t>
  </si>
  <si>
    <t>35 E 208th St</t>
  </si>
  <si>
    <t>1985 Sedgwick Avenue</t>
  </si>
  <si>
    <t>70 Post Ave</t>
  </si>
  <si>
    <t>17223 93rd Ave</t>
  </si>
  <si>
    <t>137-09 CArson St.</t>
  </si>
  <si>
    <t>1517 Park pl</t>
  </si>
  <si>
    <t>5211 6th Ave</t>
  </si>
  <si>
    <t>562 Bolton Ave</t>
  </si>
  <si>
    <t>3279 Hull Ave</t>
  </si>
  <si>
    <t>610 W 143rd St</t>
  </si>
  <si>
    <t>2015 Foster Ave</t>
  </si>
  <si>
    <t>607 Cary Ave</t>
  </si>
  <si>
    <t>518 W 136th St</t>
  </si>
  <si>
    <t>92 Crystal St</t>
  </si>
  <si>
    <t>2975 White Plains Rd</t>
  </si>
  <si>
    <t>21 W 112th St</t>
  </si>
  <si>
    <t>20 Morningside Avenue</t>
  </si>
  <si>
    <t>21 Convent Ave</t>
  </si>
  <si>
    <t>509 W 134th St</t>
  </si>
  <si>
    <t>232 Schenectady Ave</t>
  </si>
  <si>
    <t>10417 177th St</t>
  </si>
  <si>
    <t>6615 Wetherole St</t>
  </si>
  <si>
    <t>2226 Loring Pl N</t>
  </si>
  <si>
    <t>216 E 203rd St</t>
  </si>
  <si>
    <t>1974 Crotona Ave</t>
  </si>
  <si>
    <t>1075 Nelson Ave</t>
  </si>
  <si>
    <t>2825 grand concourse</t>
  </si>
  <si>
    <t>14947 124th St</t>
  </si>
  <si>
    <t>3457 72nd St</t>
  </si>
  <si>
    <t>9134 195th St</t>
  </si>
  <si>
    <t>16019 122nd Ave</t>
  </si>
  <si>
    <t>191 Orchard St</t>
  </si>
  <si>
    <t>6017 56th Rd</t>
  </si>
  <si>
    <t>47 Westchester Sq</t>
  </si>
  <si>
    <t>510 Quincy St</t>
  </si>
  <si>
    <t>3585 Dekalb Ave</t>
  </si>
  <si>
    <t>4319 39th Pl</t>
  </si>
  <si>
    <t>6311 Eliot Ave</t>
  </si>
  <si>
    <t>201 W 93rd St</t>
  </si>
  <si>
    <t>3155 Villa Ave</t>
  </si>
  <si>
    <t>875 Columbus Ave</t>
  </si>
  <si>
    <t>3530 Bainbridge Ave</t>
  </si>
  <si>
    <t>2133 Daly ave</t>
  </si>
  <si>
    <t>770 Beck St</t>
  </si>
  <si>
    <t>1500 Grand Concourse</t>
  </si>
  <si>
    <t>830 Amsterdam Ave</t>
  </si>
  <si>
    <t>175 Ardsley Loop</t>
  </si>
  <si>
    <t>8806 Pasons Blvd</t>
  </si>
  <si>
    <t>2860 Decatur Ave</t>
  </si>
  <si>
    <t>818 Bergen St</t>
  </si>
  <si>
    <t>130 E 104th St</t>
  </si>
  <si>
    <t>781 E 5th St</t>
  </si>
  <si>
    <t>9817 Flatlands Ave</t>
  </si>
  <si>
    <t>14346 110th Ave</t>
  </si>
  <si>
    <t>2132 Victory Blvd</t>
  </si>
  <si>
    <t>788 Fox St</t>
  </si>
  <si>
    <t>936 Rev J Polt Avenue</t>
  </si>
  <si>
    <t>667 W 161st St</t>
  </si>
  <si>
    <t>660 E 242nd St</t>
  </si>
  <si>
    <t>1062 Elton St</t>
  </si>
  <si>
    <t>28-30 W 127th St</t>
  </si>
  <si>
    <t>3856 10th Ave</t>
  </si>
  <si>
    <t>555 Southern Blvd</t>
  </si>
  <si>
    <t>2042 Newbold Ave</t>
  </si>
  <si>
    <t>1350 Amsterdam Ave</t>
  </si>
  <si>
    <t>385 Chestnut St</t>
  </si>
  <si>
    <t>1678 Nelson Ave</t>
  </si>
  <si>
    <t>982 Fox St</t>
  </si>
  <si>
    <t>8827 75th Ave</t>
  </si>
  <si>
    <t>1735 Fulton Ave</t>
  </si>
  <si>
    <t>1955 Grand Concourse</t>
  </si>
  <si>
    <t>2045 Rockaway Pkwy</t>
  </si>
  <si>
    <t>390 Georgia Ave</t>
  </si>
  <si>
    <t>1726 W 3rd St</t>
  </si>
  <si>
    <t>2180 Holland Ave</t>
  </si>
  <si>
    <t>2765 Atlantic Ave</t>
  </si>
  <si>
    <t>438 Atkins Ave</t>
  </si>
  <si>
    <t>1965 Lafayette Ave</t>
  </si>
  <si>
    <t>3074 33rd St</t>
  </si>
  <si>
    <t>12922 154th St</t>
  </si>
  <si>
    <t>2253 Loring Pl N</t>
  </si>
  <si>
    <t>3560 Webster Avenue</t>
  </si>
  <si>
    <t>117 Brook St</t>
  </si>
  <si>
    <t>403 Astoria Blvd</t>
  </si>
  <si>
    <t>2771 Marion Avenue</t>
  </si>
  <si>
    <t>1208 Franklin Ave</t>
  </si>
  <si>
    <t>658 Ashford St</t>
  </si>
  <si>
    <t>16401 Foch Blvd</t>
  </si>
  <si>
    <t>14070 Ash Ave</t>
  </si>
  <si>
    <t>1236 Bay St</t>
  </si>
  <si>
    <t>2950 W 24th St</t>
  </si>
  <si>
    <t>349 Rockaway Pkwy</t>
  </si>
  <si>
    <t>2018 Monterey Ave</t>
  </si>
  <si>
    <t>209 E 165th St</t>
  </si>
  <si>
    <t>1806 1st Ave</t>
  </si>
  <si>
    <t>57-59 Second Ave</t>
  </si>
  <si>
    <t>154 Vermilyea Ave</t>
  </si>
  <si>
    <t>2733 Morris Ave</t>
  </si>
  <si>
    <t>2235 Bathgate Ave</t>
  </si>
  <si>
    <t>209 Sumpter St</t>
  </si>
  <si>
    <t>73 Velmilyea Avenue</t>
  </si>
  <si>
    <t>1410 York Ave</t>
  </si>
  <si>
    <t>420 E 111th St</t>
  </si>
  <si>
    <t>215 E 117th St</t>
  </si>
  <si>
    <t>22 Post Ave</t>
  </si>
  <si>
    <t>1590 E 172nd St</t>
  </si>
  <si>
    <t>73 West End Avenue</t>
  </si>
  <si>
    <t>595 W 207th St</t>
  </si>
  <si>
    <t>569 Academy St</t>
  </si>
  <si>
    <t>614 E 179th St</t>
  </si>
  <si>
    <t>1985 Webster Ave</t>
  </si>
  <si>
    <t>507 W 139th St</t>
  </si>
  <si>
    <t>3692 Broadway</t>
  </si>
  <si>
    <t>281 Edgecombe Ave</t>
  </si>
  <si>
    <t>808 Columbus Ave</t>
  </si>
  <si>
    <t>1531 York Ave</t>
  </si>
  <si>
    <t>177 Amity St</t>
  </si>
  <si>
    <t>829 Bushwick Ave</t>
  </si>
  <si>
    <t>1084 New York Ave</t>
  </si>
  <si>
    <t>774 Driggs Ave</t>
  </si>
  <si>
    <t>740 Riverside Dr</t>
  </si>
  <si>
    <t>522 W 161st St</t>
  </si>
  <si>
    <t>2016 Regent Pl</t>
  </si>
  <si>
    <t>583 Riverside Dr</t>
  </si>
  <si>
    <t>38 Winthrop St</t>
  </si>
  <si>
    <t>69 E 176th St</t>
  </si>
  <si>
    <t>2543 Beach Channel Dr</t>
  </si>
  <si>
    <t>560 W 163rd St</t>
  </si>
  <si>
    <t>2518 Seagirt Ave</t>
  </si>
  <si>
    <t>192 Claremont Ave</t>
  </si>
  <si>
    <t>438 Madison St</t>
  </si>
  <si>
    <t>250 W 131st St</t>
  </si>
  <si>
    <t>323 Lincoln Rd</t>
  </si>
  <si>
    <t>701 Coney Island Ave</t>
  </si>
  <si>
    <t>173 Bleecker St</t>
  </si>
  <si>
    <t>1669 Grand Ave</t>
  </si>
  <si>
    <t>230 W 107th St</t>
  </si>
  <si>
    <t>685 Gates Ave</t>
  </si>
  <si>
    <t>670 Quincy St</t>
  </si>
  <si>
    <t>208 W 133rd St</t>
  </si>
  <si>
    <t>1625 Fulton St</t>
  </si>
  <si>
    <t>845 Columbus Ave</t>
  </si>
  <si>
    <t>192 Lexington Ave</t>
  </si>
  <si>
    <t>480 Montgomery St</t>
  </si>
  <si>
    <t>105 Lincoln Rd</t>
  </si>
  <si>
    <t>151 Weirfield St</t>
  </si>
  <si>
    <t>143 Sterling St</t>
  </si>
  <si>
    <t>50 Bayard Street 7D</t>
  </si>
  <si>
    <t>275 Blake Ave</t>
  </si>
  <si>
    <t>1345 Dekalb Ave</t>
  </si>
  <si>
    <t>15 Albany Ave</t>
  </si>
  <si>
    <t>728 Driggs Ave</t>
  </si>
  <si>
    <t>974 Williams Ave</t>
  </si>
  <si>
    <t>180 Brook Ave</t>
  </si>
  <si>
    <t>250 Crown St</t>
  </si>
  <si>
    <t>273 West 140th Street #3A</t>
  </si>
  <si>
    <t>1069 First Ave 2C</t>
  </si>
  <si>
    <t>206-210 W 118th St</t>
  </si>
  <si>
    <t>319 W 94th St</t>
  </si>
  <si>
    <t>337 E 26th St</t>
  </si>
  <si>
    <t>45 Rutgers St</t>
  </si>
  <si>
    <t>800 Madison St</t>
  </si>
  <si>
    <t>106 Forbell St</t>
  </si>
  <si>
    <t>590 Gates Ave</t>
  </si>
  <si>
    <t>26 Paerdegat 9th st</t>
  </si>
  <si>
    <t>117 Jefferson Ave</t>
  </si>
  <si>
    <t>99 Ocean Ave</t>
  </si>
  <si>
    <t>660 Gates Ave</t>
  </si>
  <si>
    <t>2228 7th Ave</t>
  </si>
  <si>
    <t>1038 Union St</t>
  </si>
  <si>
    <t>107 Brooklyn Ave</t>
  </si>
  <si>
    <t>1160 President St</t>
  </si>
  <si>
    <t>50 Stuyvesant Ave</t>
  </si>
  <si>
    <t>1082 President St</t>
  </si>
  <si>
    <t>121 Jefferson Ave</t>
  </si>
  <si>
    <t>969 Putnam Ave</t>
  </si>
  <si>
    <t>151 Rochester Ave</t>
  </si>
  <si>
    <t>115 Lincoln Rd</t>
  </si>
  <si>
    <t>107 Linden St</t>
  </si>
  <si>
    <t>285 Hawthorne St</t>
  </si>
  <si>
    <t>1059 67th St</t>
  </si>
  <si>
    <t>135 Ocean Ave</t>
  </si>
  <si>
    <t>131 Lincoln Rd</t>
  </si>
  <si>
    <t>947 Montgomery St</t>
  </si>
  <si>
    <t>941 Washington Ave</t>
  </si>
  <si>
    <t>72 Baruch Dr</t>
  </si>
  <si>
    <t>114 W 143rd St</t>
  </si>
  <si>
    <t>1204 Shakespeare Ave</t>
  </si>
  <si>
    <t>70-72  Decatur St</t>
  </si>
  <si>
    <t>9527 130th St</t>
  </si>
  <si>
    <t>30 Hampton Pl</t>
  </si>
  <si>
    <t>234 Ralph Ave</t>
  </si>
  <si>
    <t>60 Saint Nicholas Ave</t>
  </si>
  <si>
    <t>64 Patchen Ave</t>
  </si>
  <si>
    <t>590 Flatbush Ave</t>
  </si>
  <si>
    <t>130 Fenimore St</t>
  </si>
  <si>
    <t>655 Knickerbocker Ave</t>
  </si>
  <si>
    <t>260 Herkimer St</t>
  </si>
  <si>
    <t>2832 W23rd st</t>
  </si>
  <si>
    <t>649 Classon Ave</t>
  </si>
  <si>
    <t>560 56th St</t>
  </si>
  <si>
    <t>461 Dean St</t>
  </si>
  <si>
    <t>941 E 77th St</t>
  </si>
  <si>
    <t>945 E 163rd St</t>
  </si>
  <si>
    <t>555 Quincy St</t>
  </si>
  <si>
    <t>385 Throop Ave</t>
  </si>
  <si>
    <t>219 Monroe St</t>
  </si>
  <si>
    <t>4 W 121st St</t>
  </si>
  <si>
    <t>217 Monroe St</t>
  </si>
  <si>
    <t>152 Patchen Ave</t>
  </si>
  <si>
    <t>1145 Greene Ave</t>
  </si>
  <si>
    <t>1004 Eastern Pkwy</t>
  </si>
  <si>
    <t>112 W 129th St</t>
  </si>
  <si>
    <t>152 W 118th St</t>
  </si>
  <si>
    <t>17 Brighton 3rd Ln</t>
  </si>
  <si>
    <t>77 Sullivan Pl</t>
  </si>
  <si>
    <t>265 Hawthorne St</t>
  </si>
  <si>
    <t>1430 Bedford Ave</t>
  </si>
  <si>
    <t>376 E 8th St</t>
  </si>
  <si>
    <t>1015 Grand Concourse</t>
  </si>
  <si>
    <t>386 Autumn Ave</t>
  </si>
  <si>
    <t>489 2nd Ave</t>
  </si>
  <si>
    <t>201 E 73rd St</t>
  </si>
  <si>
    <t>1995 7th Ave</t>
  </si>
  <si>
    <t>526 E 11th St</t>
  </si>
  <si>
    <t>635 E 14th St</t>
  </si>
  <si>
    <t>175 W 95th St</t>
  </si>
  <si>
    <t>2767 W 15th St</t>
  </si>
  <si>
    <t>140 W 238th St</t>
  </si>
  <si>
    <t>3325 Neptune Ave</t>
  </si>
  <si>
    <t>686 Bushwick Ave</t>
  </si>
  <si>
    <t>252 Osborn St</t>
  </si>
  <si>
    <t>337 49th St</t>
  </si>
  <si>
    <t>28 MacDonough St</t>
  </si>
  <si>
    <t>1705 Palmetto St</t>
  </si>
  <si>
    <t>557 Knickerbocker Ave</t>
  </si>
  <si>
    <t>1757 Seward Ave</t>
  </si>
  <si>
    <t>1901 Hennessy Pl</t>
  </si>
  <si>
    <t>1370 5th Ave</t>
  </si>
  <si>
    <t>100 E 21st St</t>
  </si>
  <si>
    <t>701 Gates Ave</t>
  </si>
  <si>
    <t>441 Ocean ave</t>
  </si>
  <si>
    <t>780 E 2nd St</t>
  </si>
  <si>
    <t>95 Woodruff Ave</t>
  </si>
  <si>
    <t>355 Lefferts Ave</t>
  </si>
  <si>
    <t>58 Sterling St</t>
  </si>
  <si>
    <t>2515 Davidson Ave</t>
  </si>
  <si>
    <t>715 Gates Ave</t>
  </si>
  <si>
    <t>940 Gates Ave</t>
  </si>
  <si>
    <t>2310 Morris Ave</t>
  </si>
  <si>
    <t>85 Taylor St</t>
  </si>
  <si>
    <t>120 Kingsborough walk</t>
  </si>
  <si>
    <t>349 Saint Johns Pl</t>
  </si>
  <si>
    <t>65 Stuyvesant Ave</t>
  </si>
  <si>
    <t>1088 Anderson Ave</t>
  </si>
  <si>
    <t>27 W 129th St</t>
  </si>
  <si>
    <t>100 W 128th St</t>
  </si>
  <si>
    <t>914 Lafayette Ave</t>
  </si>
  <si>
    <t>3721 80th St</t>
  </si>
  <si>
    <t>2745 Reservoir Ave</t>
  </si>
  <si>
    <t>1815 Church Ave</t>
  </si>
  <si>
    <t>128 Lewis Ave</t>
  </si>
  <si>
    <t>2715 Webb Avenue</t>
  </si>
  <si>
    <t>501 E 161st St</t>
  </si>
  <si>
    <t>16508 116th Ave</t>
  </si>
  <si>
    <t>404 Utica Ave</t>
  </si>
  <si>
    <t>13430 156th St</t>
  </si>
  <si>
    <t>1240 E 38th St</t>
  </si>
  <si>
    <t>5302 15th Ave</t>
  </si>
  <si>
    <t>655 E 233rd St</t>
  </si>
  <si>
    <t>2260 Bronx Park East</t>
  </si>
  <si>
    <t>16311 Foch Blvd</t>
  </si>
  <si>
    <t>1385 Castle Hill Ave</t>
  </si>
  <si>
    <t>176 Veronica Pl</t>
  </si>
  <si>
    <t>740 Gates Ave</t>
  </si>
  <si>
    <t>2518 Webb Ave</t>
  </si>
  <si>
    <t>142 Bidwell Ave</t>
  </si>
  <si>
    <t>1513 Taylor Ave</t>
  </si>
  <si>
    <t>2315 Crotona Ave</t>
  </si>
  <si>
    <t>10429 171st St</t>
  </si>
  <si>
    <t>618 Academy St</t>
  </si>
  <si>
    <t>5057 Broadway</t>
  </si>
  <si>
    <t>50 Park Ter E</t>
  </si>
  <si>
    <t>2284 Grand Concourse</t>
  </si>
  <si>
    <t>315 E 209th St</t>
  </si>
  <si>
    <t>3750 76th St</t>
  </si>
  <si>
    <t>21879 98th Ave</t>
  </si>
  <si>
    <t>9405 133rd St</t>
  </si>
  <si>
    <t>2197 Cruger Ave</t>
  </si>
  <si>
    <t>13506 Liberty Ave</t>
  </si>
  <si>
    <t>2400 Webb Ave</t>
  </si>
  <si>
    <t>611 E 76th St</t>
  </si>
  <si>
    <t>60 Hamilton Ave</t>
  </si>
  <si>
    <t>2828 Valentine Ave</t>
  </si>
  <si>
    <t>2387 Creston Avenue</t>
  </si>
  <si>
    <t>124 E 176th St</t>
  </si>
  <si>
    <t>1813 Linden St</t>
  </si>
  <si>
    <t>2174 Pitkin Ave</t>
  </si>
  <si>
    <t>1505 Grand Concourse</t>
  </si>
  <si>
    <t>900 Grand Concourse</t>
  </si>
  <si>
    <t>730 Grand Concourse</t>
  </si>
  <si>
    <t>455 Carlton Ave</t>
  </si>
  <si>
    <t>2705 Morris Ave</t>
  </si>
  <si>
    <t>5127 Codwise Pl</t>
  </si>
  <si>
    <t>270 Saint Nicholas Ave</t>
  </si>
  <si>
    <t>91 Broad St</t>
  </si>
  <si>
    <t>2593 Grand Concourse</t>
  </si>
  <si>
    <t>15019 118th ave</t>
  </si>
  <si>
    <t>16732 118th Ave</t>
  </si>
  <si>
    <t>95 old Broadway</t>
  </si>
  <si>
    <t>425 W 125th St</t>
  </si>
  <si>
    <t>315 W 114th St</t>
  </si>
  <si>
    <t>2120 Tiebout Ave</t>
  </si>
  <si>
    <t>6687 Broadway</t>
  </si>
  <si>
    <t>3112 Kings Hwy</t>
  </si>
  <si>
    <t>125 Martense St</t>
  </si>
  <si>
    <t>3603 Broadway</t>
  </si>
  <si>
    <t>50 Linden Blvd</t>
  </si>
  <si>
    <t>14448 166th St</t>
  </si>
  <si>
    <t>1254 Sherman Ave</t>
  </si>
  <si>
    <t>6822 Fleet St</t>
  </si>
  <si>
    <t>15018 115th Dr</t>
  </si>
  <si>
    <t>1900 Lexington Ave</t>
  </si>
  <si>
    <t>1954 1st Ave</t>
  </si>
  <si>
    <t>1775 Weeks Ave</t>
  </si>
  <si>
    <t>2028 Morris Ave</t>
  </si>
  <si>
    <t>10317 90th St</t>
  </si>
  <si>
    <t>1729 Fulton Ave</t>
  </si>
  <si>
    <t>339 Harbor Rd</t>
  </si>
  <si>
    <t>2 Elmwood Park Dr</t>
  </si>
  <si>
    <t>4351 165th St</t>
  </si>
  <si>
    <t>5301 32nd Ave</t>
  </si>
  <si>
    <t>2060 Cicero Ave</t>
  </si>
  <si>
    <t>2007 Lafontaine Ave</t>
  </si>
  <si>
    <t>2021 Hughes Ave</t>
  </si>
  <si>
    <t>2384 Webster Ave</t>
  </si>
  <si>
    <t>54 W 174th St</t>
  </si>
  <si>
    <t>10220 217th St</t>
  </si>
  <si>
    <t>7037 65th Pl</t>
  </si>
  <si>
    <t>1157 Intervale Ave</t>
  </si>
  <si>
    <t>1892 Morris Ave</t>
  </si>
  <si>
    <t>550 E 170th St</t>
  </si>
  <si>
    <t>3204 Rochambeau Ave</t>
  </si>
  <si>
    <t>1326 Grand Concourse</t>
  </si>
  <si>
    <t>37-91 102nd</t>
  </si>
  <si>
    <t>14625 106th Avene</t>
  </si>
  <si>
    <t>2525 Church Ave</t>
  </si>
  <si>
    <t>2313 Strauss St</t>
  </si>
  <si>
    <t>1258 Loring Ave</t>
  </si>
  <si>
    <t>2430 Lyvere St</t>
  </si>
  <si>
    <t>22514 145th Ave</t>
  </si>
  <si>
    <t>8357 118th St</t>
  </si>
  <si>
    <t>3542 Holland Ave</t>
  </si>
  <si>
    <t>1920 Osbourne Pl</t>
  </si>
  <si>
    <t>2150 Bedford Ave</t>
  </si>
  <si>
    <t>137 Nagle Ave</t>
  </si>
  <si>
    <t>11 Seaman Ave</t>
  </si>
  <si>
    <t>506 W 213th St</t>
  </si>
  <si>
    <t>567 W 186th St</t>
  </si>
  <si>
    <t>449 W 206th St</t>
  </si>
  <si>
    <t>1337 Fulton St</t>
  </si>
  <si>
    <t>273 Monroe St</t>
  </si>
  <si>
    <t>38 6th Ave</t>
  </si>
  <si>
    <t>9427 Kings Hwy</t>
  </si>
  <si>
    <t>490 W 187th St</t>
  </si>
  <si>
    <t>2737 Wallace Ave</t>
  </si>
  <si>
    <t>577 Isham St</t>
  </si>
  <si>
    <t>655 W 160th St</t>
  </si>
  <si>
    <t>2660 8th Ave</t>
  </si>
  <si>
    <t>825 W 179th St</t>
  </si>
  <si>
    <t>2660 Frederick Douglass Blvd</t>
  </si>
  <si>
    <t>570 W 204th St</t>
  </si>
  <si>
    <t>898 Saint Nicholas Ave</t>
  </si>
  <si>
    <t>2602 Voorhies Ave</t>
  </si>
  <si>
    <t>436 New York Ave</t>
  </si>
  <si>
    <t>2399 Grand Concourse</t>
  </si>
  <si>
    <t>120 E 19th St</t>
  </si>
  <si>
    <t>113 W 113th St</t>
  </si>
  <si>
    <t>15007 111th Rd</t>
  </si>
  <si>
    <t>555 W 159th St</t>
  </si>
  <si>
    <t>10 W 169th St</t>
  </si>
  <si>
    <t>800 E 180th St</t>
  </si>
  <si>
    <t>2290 Andrews Ave</t>
  </si>
  <si>
    <t>530 Taylor Ave</t>
  </si>
  <si>
    <t>721 Willoughby Ave</t>
  </si>
  <si>
    <t>500 W 172nd St</t>
  </si>
  <si>
    <t>760 E 218th St</t>
  </si>
  <si>
    <t>274 E 93rd St</t>
  </si>
  <si>
    <t>131 Lorraine St</t>
  </si>
  <si>
    <t>181 Lenox Rd</t>
  </si>
  <si>
    <t>217 E Burnside Ave</t>
  </si>
  <si>
    <t>1975 Birchall Ave</t>
  </si>
  <si>
    <t>389 Herzl St</t>
  </si>
  <si>
    <t>892 Glenmore Ave</t>
  </si>
  <si>
    <t>17940 Selover Rd</t>
  </si>
  <si>
    <t>2624 3rd St</t>
  </si>
  <si>
    <t>611 Brighton Beach Ave</t>
  </si>
  <si>
    <t>241 Sherman Ave</t>
  </si>
  <si>
    <t>8285 116th St</t>
  </si>
  <si>
    <t>9037 Pitkin Ave</t>
  </si>
  <si>
    <t>28 Elizabeth Ave</t>
  </si>
  <si>
    <t>2042 Grand Ave</t>
  </si>
  <si>
    <t>509 W 176th St</t>
  </si>
  <si>
    <t>372 E 167th St</t>
  </si>
  <si>
    <t>1195 Anderson Ave</t>
  </si>
  <si>
    <t>20 Roxbury St</t>
  </si>
  <si>
    <t>820 Henderson Ave</t>
  </si>
  <si>
    <t>1075 Castleton Ave</t>
  </si>
  <si>
    <t>309 Beach 88th St</t>
  </si>
  <si>
    <t>661 Jefferson Pl</t>
  </si>
  <si>
    <t>P.O. Box 260-234</t>
  </si>
  <si>
    <t>511 Bradford St</t>
  </si>
  <si>
    <t>3145 Rochambeau Avenue</t>
  </si>
  <si>
    <t>7416 65th St</t>
  </si>
  <si>
    <t>1981 Gildersleeve Ave</t>
  </si>
  <si>
    <t>133 Crystal St</t>
  </si>
  <si>
    <t>249 Thomas S Boyland St</t>
  </si>
  <si>
    <t>10320 168th Pl</t>
  </si>
  <si>
    <t>13632 Farmers Blvd</t>
  </si>
  <si>
    <t>1512 Leland Ave</t>
  </si>
  <si>
    <t>11111 153rd St</t>
  </si>
  <si>
    <t>6554 Austin St</t>
  </si>
  <si>
    <t>17545 88th Ave</t>
  </si>
  <si>
    <t>22 Moffat St</t>
  </si>
  <si>
    <t>10111 159th Ave</t>
  </si>
  <si>
    <t>2766 Barnes Ave</t>
  </si>
  <si>
    <t>2110 Frederick Douglass Blvd</t>
  </si>
  <si>
    <t>2078 Arthur Ave</t>
  </si>
  <si>
    <t>133 Beach 56th Pl</t>
  </si>
  <si>
    <t>519 W 143rd St</t>
  </si>
  <si>
    <t>46-50 West 129 Street</t>
  </si>
  <si>
    <t>266 Hemlock St</t>
  </si>
  <si>
    <t>8 W 118th St</t>
  </si>
  <si>
    <t>1717 Walton Avenue</t>
  </si>
  <si>
    <t>1125 Findlay Avenue</t>
  </si>
  <si>
    <t>2277 Bathgate Avenue</t>
  </si>
  <si>
    <t>1933 Clinton Avenue</t>
  </si>
  <si>
    <t>600 W 133rd St</t>
  </si>
  <si>
    <t>1755 Weeks Ave</t>
  </si>
  <si>
    <t>1145 Morrison Ave</t>
  </si>
  <si>
    <t>948 E 179th St</t>
  </si>
  <si>
    <t>126 W 120th St</t>
  </si>
  <si>
    <t>2121 Matthews Ave</t>
  </si>
  <si>
    <t>849 E 214th St</t>
  </si>
  <si>
    <t>441 Convent Ave</t>
  </si>
  <si>
    <t>327 Franklin Ave</t>
  </si>
  <si>
    <t>1455 Amsterdam Ave</t>
  </si>
  <si>
    <t>15521 Jewel Ace</t>
  </si>
  <si>
    <t>1106 Boynton Ave</t>
  </si>
  <si>
    <t>1815 Grand Concourse</t>
  </si>
  <si>
    <t>30 Montrose Ave</t>
  </si>
  <si>
    <t>1220 Shakespeare Ave</t>
  </si>
  <si>
    <t>642 Park Ave</t>
  </si>
  <si>
    <t>3548 Olinville Ave</t>
  </si>
  <si>
    <t>2011 Amsterdam Ave</t>
  </si>
  <si>
    <t>25353 149th Ave</t>
  </si>
  <si>
    <t>2395 Morris Ave</t>
  </si>
  <si>
    <t>2123 Tiebout Ave</t>
  </si>
  <si>
    <t>3238 83rd St</t>
  </si>
  <si>
    <t>1114 Gerard Ave</t>
  </si>
  <si>
    <t>203 Atkins Ave</t>
  </si>
  <si>
    <t>207 Saint James Pl</t>
  </si>
  <si>
    <t>180 Nassau St</t>
  </si>
  <si>
    <t>1920 Walton Avenue</t>
  </si>
  <si>
    <t>219 East 178th Street</t>
  </si>
  <si>
    <t>4124 45th St</t>
  </si>
  <si>
    <t>7582 177th St</t>
  </si>
  <si>
    <t>324 Beach 63rd Ar</t>
  </si>
  <si>
    <t>1773 Vyse Ave</t>
  </si>
  <si>
    <t>4368 Furman Ave</t>
  </si>
  <si>
    <t>458 Ruby St</t>
  </si>
  <si>
    <t>4109 99th St</t>
  </si>
  <si>
    <t>566a Bristol St</t>
  </si>
  <si>
    <t>2239 Creston Ave</t>
  </si>
  <si>
    <t>9214 88th Ave</t>
  </si>
  <si>
    <t>10929 Sutphin Blvd</t>
  </si>
  <si>
    <t>388 E 141st St</t>
  </si>
  <si>
    <t>1790 Fulton St</t>
  </si>
  <si>
    <t>94 Fountain Ave</t>
  </si>
  <si>
    <t>395 Bainbridge St</t>
  </si>
  <si>
    <t>21710 100th Ave</t>
  </si>
  <si>
    <t>216 Newport St</t>
  </si>
  <si>
    <t>13338 132nd St</t>
  </si>
  <si>
    <t>485 Pacific St</t>
  </si>
  <si>
    <t>1746 Union St</t>
  </si>
  <si>
    <t>454 Bradford St</t>
  </si>
  <si>
    <t>127 Bainbridge St</t>
  </si>
  <si>
    <t>114 Elliot Pl</t>
  </si>
  <si>
    <t>17841 145th Rd</t>
  </si>
  <si>
    <t>3244 106th St</t>
  </si>
  <si>
    <t>60 S Oxford St</t>
  </si>
  <si>
    <t>215 W 147th St</t>
  </si>
  <si>
    <t>2008 Hughes Ave</t>
  </si>
  <si>
    <t>606 W 191st St</t>
  </si>
  <si>
    <t>961 Saint Nicholas Ave</t>
  </si>
  <si>
    <t>2245 Barker ave</t>
  </si>
  <si>
    <t>81 Bodine St</t>
  </si>
  <si>
    <t>24 Harrison Ave</t>
  </si>
  <si>
    <t>9276 Holland Ave</t>
  </si>
  <si>
    <t>1786 Topping Ave</t>
  </si>
  <si>
    <t>1774 Eastburn Ave</t>
  </si>
  <si>
    <t>1434 Jesup Ave</t>
  </si>
  <si>
    <t>1539 Castle Hill ave</t>
  </si>
  <si>
    <t>1818 Anthony Ave</t>
  </si>
  <si>
    <t>1775 Clay Ave</t>
  </si>
  <si>
    <t>909 Cranford Ave</t>
  </si>
  <si>
    <t>219 E 178th St</t>
  </si>
  <si>
    <t>2604 Grand Ave</t>
  </si>
  <si>
    <t>165 W 169th St</t>
  </si>
  <si>
    <t>691 Linden Blvd</t>
  </si>
  <si>
    <t>61 Macdougal St</t>
  </si>
  <si>
    <t>22309 65th Ave</t>
  </si>
  <si>
    <t>1217 Gilbert Pl</t>
  </si>
  <si>
    <t>950 Rutland Rd</t>
  </si>
  <si>
    <t>578 Academy St</t>
  </si>
  <si>
    <t>6929 60th Ave</t>
  </si>
  <si>
    <t>4104 12th St</t>
  </si>
  <si>
    <t>13926 182nd St</t>
  </si>
  <si>
    <t>3750 81st St</t>
  </si>
  <si>
    <t>2516 18th Steet</t>
  </si>
  <si>
    <t>939 Woodycrest Ave</t>
  </si>
  <si>
    <t>8910 Whitney Ave</t>
  </si>
  <si>
    <t>1500 Longfellow Ave</t>
  </si>
  <si>
    <t>3400 Tryon Ave</t>
  </si>
  <si>
    <t>6530 Parsons Blvd</t>
  </si>
  <si>
    <t>1731 Harrison Ave</t>
  </si>
  <si>
    <t>1410 New Haven Ave</t>
  </si>
  <si>
    <t>2234 Ryer Avenue</t>
  </si>
  <si>
    <t>11019 Francis Lewis Blvd</t>
  </si>
  <si>
    <t>860 Riverside Dr</t>
  </si>
  <si>
    <t>9801 67th Ave</t>
  </si>
  <si>
    <t>1165 Saint Johns Pl</t>
  </si>
  <si>
    <t>288 Crown St</t>
  </si>
  <si>
    <t>198 Bond St</t>
  </si>
  <si>
    <t>763 Eastern Pkwy</t>
  </si>
  <si>
    <t>720 Bergen St</t>
  </si>
  <si>
    <t>159 Eastern Pkwy</t>
  </si>
  <si>
    <t>8417 Glenwood Rd</t>
  </si>
  <si>
    <t>1775 E 13th St</t>
  </si>
  <si>
    <t>9830 57th Ave</t>
  </si>
  <si>
    <t>2255 Bedford Ave</t>
  </si>
  <si>
    <t>114 Woodbine St</t>
  </si>
  <si>
    <t>3144 Hull Ave</t>
  </si>
  <si>
    <t>312 W 112th St</t>
  </si>
  <si>
    <t>1810 Amsterdam Ave</t>
  </si>
  <si>
    <t>620 W 190th St</t>
  </si>
  <si>
    <t>1546 E 24th St</t>
  </si>
  <si>
    <t>600 W 136th St</t>
  </si>
  <si>
    <t>123 W 112th st</t>
  </si>
  <si>
    <t>3163 Broadway</t>
  </si>
  <si>
    <t>184 Simonson Ave</t>
  </si>
  <si>
    <t>12 Bangor St</t>
  </si>
  <si>
    <t>43 Paris Ct</t>
  </si>
  <si>
    <t>1475 Amsterdam Ave</t>
  </si>
  <si>
    <t>25 W 128th st</t>
  </si>
  <si>
    <t>109 W 111th St</t>
  </si>
  <si>
    <t>8015 41st Ave</t>
  </si>
  <si>
    <t>2051 Grand Ave</t>
  </si>
  <si>
    <t>2011 MORRIS AVE</t>
  </si>
  <si>
    <t>16339 130th ave</t>
  </si>
  <si>
    <t>107 Elliot Pl</t>
  </si>
  <si>
    <t>389 E 151st St</t>
  </si>
  <si>
    <t>1162 washington ave</t>
  </si>
  <si>
    <t>404 E 158th St</t>
  </si>
  <si>
    <t>11 E 107th St</t>
  </si>
  <si>
    <t>1404 Jesup Ave</t>
  </si>
  <si>
    <t>2230 Tiebout Ave</t>
  </si>
  <si>
    <t>1610 Sedgwick Ave</t>
  </si>
  <si>
    <t>220 W 167th St</t>
  </si>
  <si>
    <t>335 E 115th St # 7</t>
  </si>
  <si>
    <t>9730 57th Ave</t>
  </si>
  <si>
    <t>11128 37th Ave</t>
  </si>
  <si>
    <t>1500 Boone Ave</t>
  </si>
  <si>
    <t>74 Norwood Ave</t>
  </si>
  <si>
    <t>519 W 134th St</t>
  </si>
  <si>
    <t>237 W 74th St</t>
  </si>
  <si>
    <t>1413-15 Fulton Ave</t>
  </si>
  <si>
    <t>845 E 216th St</t>
  </si>
  <si>
    <t>10759 159th St</t>
  </si>
  <si>
    <t>2181 Barnes Ave</t>
  </si>
  <si>
    <t>36 S Oxford St</t>
  </si>
  <si>
    <t>19439 113th Rd</t>
  </si>
  <si>
    <t>1082 E 4th St</t>
  </si>
  <si>
    <t>124 Brabant St</t>
  </si>
  <si>
    <t>10780 160th St</t>
  </si>
  <si>
    <t>2029 Lafontaine Ave</t>
  </si>
  <si>
    <t>232 E 176th St</t>
  </si>
  <si>
    <t>2130 E Tremont Ave</t>
  </si>
  <si>
    <t>10702 Merrick Blvd</t>
  </si>
  <si>
    <t>480 E 23rd St</t>
  </si>
  <si>
    <t>2324 BOSTON RD</t>
  </si>
  <si>
    <t>216 Rockaway ave</t>
  </si>
  <si>
    <t>1435 Bedford Ave</t>
  </si>
  <si>
    <t>19025 Woodhull Ave</t>
  </si>
  <si>
    <t>1891 Eastern Pkwy</t>
  </si>
  <si>
    <t>241 W 101st St</t>
  </si>
  <si>
    <t>1889 Sedgwick Ave</t>
  </si>
  <si>
    <t>7218 Avenue M</t>
  </si>
  <si>
    <t>7 Hegeman ave</t>
  </si>
  <si>
    <t>2110 Arthur Ave</t>
  </si>
  <si>
    <t>2322 Grand Ave</t>
  </si>
  <si>
    <t>506 Tinton Ave</t>
  </si>
  <si>
    <t>16311 Sanford Ave</t>
  </si>
  <si>
    <t>9119 172nd St</t>
  </si>
  <si>
    <t>11018 Sutphin Blvd</t>
  </si>
  <si>
    <t>545 Bradford St</t>
  </si>
  <si>
    <t>24615 137th Ave</t>
  </si>
  <si>
    <t>13518 130th Pl</t>
  </si>
  <si>
    <t>11910 94th Ave</t>
  </si>
  <si>
    <t>3316 112th St</t>
  </si>
  <si>
    <t>288 Webster Ave</t>
  </si>
  <si>
    <t>22617 146th Ave</t>
  </si>
  <si>
    <t>739 Coster St</t>
  </si>
  <si>
    <t>8510 Elmhurst Ave</t>
  </si>
  <si>
    <t>2070 Clinton Ave</t>
  </si>
  <si>
    <t>11032 166th St</t>
  </si>
  <si>
    <t>265 E 182nd St</t>
  </si>
  <si>
    <t>1105 Teller Ave</t>
  </si>
  <si>
    <t>824 Southern Blvd</t>
  </si>
  <si>
    <t>11418 132nd St</t>
  </si>
  <si>
    <t>596 logan St</t>
  </si>
  <si>
    <t>983 E 181st St</t>
  </si>
  <si>
    <t>314 Beach 86th St</t>
  </si>
  <si>
    <t>210 27th Ave</t>
  </si>
  <si>
    <t>15315 107th Ave</t>
  </si>
  <si>
    <t>1047 47th Ave</t>
  </si>
  <si>
    <t>10525 88th St</t>
  </si>
  <si>
    <t>8380 118th St</t>
  </si>
  <si>
    <t>9912 65th Rd</t>
  </si>
  <si>
    <t>10135 Woodhaven Blvd</t>
  </si>
  <si>
    <t>184 Irving Ave</t>
  </si>
  <si>
    <t>1743 Fulton Avenue</t>
  </si>
  <si>
    <t>745 East 216th Street</t>
  </si>
  <si>
    <t>1660 Topping Ave</t>
  </si>
  <si>
    <t>9120 191st St</t>
  </si>
  <si>
    <t>3530 94th St</t>
  </si>
  <si>
    <t>7337 66th Rd</t>
  </si>
  <si>
    <t>360 Beach 88th St</t>
  </si>
  <si>
    <t>878 E 176th St</t>
  </si>
  <si>
    <t>1564 Unionport Rd</t>
  </si>
  <si>
    <t>2656 Decatur Ave</t>
  </si>
  <si>
    <t>2543 Decatur Ave</t>
  </si>
  <si>
    <t>924 Hancock St</t>
  </si>
  <si>
    <t>207 Schaefer st</t>
  </si>
  <si>
    <t>8 W 169th St</t>
  </si>
  <si>
    <t>3971 Gouverneur Ave</t>
  </si>
  <si>
    <t>685 Rockaway Pkwy</t>
  </si>
  <si>
    <t>9426 34th rd</t>
  </si>
  <si>
    <t>5119 Church Ave</t>
  </si>
  <si>
    <t>929 Bruckner Blvd</t>
  </si>
  <si>
    <t>2775 E 16th St</t>
  </si>
  <si>
    <t>8873 193rd st</t>
  </si>
  <si>
    <t>300 E 163rd St</t>
  </si>
  <si>
    <t>1475 Townsend Ave</t>
  </si>
  <si>
    <t>2241 Creston Ave</t>
  </si>
  <si>
    <t>101 W 106th St</t>
  </si>
  <si>
    <t>29 E 2nd St</t>
  </si>
  <si>
    <t>950 Evergreen Ave</t>
  </si>
  <si>
    <t>3055 Decatur Ave</t>
  </si>
  <si>
    <t>1290 Hoe Ave</t>
  </si>
  <si>
    <t>2074 Wallace Ave</t>
  </si>
  <si>
    <t>1624 Madison Ave</t>
  </si>
  <si>
    <t>279 Halsey St</t>
  </si>
  <si>
    <t>150 W 58th St</t>
  </si>
  <si>
    <t>671 W 193rd St</t>
  </si>
  <si>
    <t>1751 2nd Ave</t>
  </si>
  <si>
    <t>30 Sickles St</t>
  </si>
  <si>
    <t>1767 Davidson Ave</t>
  </si>
  <si>
    <t>3117 Kings Hwy</t>
  </si>
  <si>
    <t>2926 West 25 Street</t>
  </si>
  <si>
    <t>229 Parkville Ave</t>
  </si>
  <si>
    <t>660 E 98th St</t>
  </si>
  <si>
    <t>499 E 8th St</t>
  </si>
  <si>
    <t>1075 Nelson Ave 6B</t>
  </si>
  <si>
    <t>864 Nostrand Ave</t>
  </si>
  <si>
    <t>2265 Strauss St</t>
  </si>
  <si>
    <t>60 Carlton Ave</t>
  </si>
  <si>
    <t>1506 E 45th St</t>
  </si>
  <si>
    <t>593 Flushing Ave</t>
  </si>
  <si>
    <t>817 Park Pl</t>
  </si>
  <si>
    <t>1230 woodycrest Ave</t>
  </si>
  <si>
    <t>1230 Woodycrest Ave</t>
  </si>
  <si>
    <t>174 Prospect Park W</t>
  </si>
  <si>
    <t>300 Vernon Ave</t>
  </si>
  <si>
    <t>4585 Park Ave</t>
  </si>
  <si>
    <t>690 E 138TH ST</t>
  </si>
  <si>
    <t>2255 Haviland Ave</t>
  </si>
  <si>
    <t>206 W 140th St</t>
  </si>
  <si>
    <t>720 Lenox Ave</t>
  </si>
  <si>
    <t>10702 Farragut Rd</t>
  </si>
  <si>
    <t>7 W 126th St</t>
  </si>
  <si>
    <t>18 Spring St</t>
  </si>
  <si>
    <t>240 Nagle Ave</t>
  </si>
  <si>
    <t>616 E 16th St</t>
  </si>
  <si>
    <t>690 Broadway</t>
  </si>
  <si>
    <t>107 Morningside Ave</t>
  </si>
  <si>
    <t>65 W 96th St</t>
  </si>
  <si>
    <t>441 49th St</t>
  </si>
  <si>
    <t>150 Crown St</t>
  </si>
  <si>
    <t>1014 Avenue L</t>
  </si>
  <si>
    <t>1022 E 96th St</t>
  </si>
  <si>
    <t>511 W 147th St</t>
  </si>
  <si>
    <t>528 W 123rd St</t>
  </si>
  <si>
    <t>333 McDonald Ave</t>
  </si>
  <si>
    <t>7301 4th Ave</t>
  </si>
  <si>
    <t>436 Eastern Pkwy</t>
  </si>
  <si>
    <t>287 Clarkson Ave</t>
  </si>
  <si>
    <t>510 Atlantic Ave</t>
  </si>
  <si>
    <t>880 Nostrand Ave</t>
  </si>
  <si>
    <t>307 Sterling St</t>
  </si>
  <si>
    <t>185 S 4th St</t>
  </si>
  <si>
    <t>2052 63rd St</t>
  </si>
  <si>
    <t>335 51st St</t>
  </si>
  <si>
    <t>141 Albany Ave</t>
  </si>
  <si>
    <t>286 Eastern Pkwy</t>
  </si>
  <si>
    <t>295 Maple St</t>
  </si>
  <si>
    <t>1595 Park Pl</t>
  </si>
  <si>
    <t>9815 Avenue L</t>
  </si>
  <si>
    <t>870 E 55th St</t>
  </si>
  <si>
    <t>210 W 251st St</t>
  </si>
  <si>
    <t>181 Hawthorne St</t>
  </si>
  <si>
    <t>420 Clinton Ave</t>
  </si>
  <si>
    <t>2581 W 15th St</t>
  </si>
  <si>
    <t>1443 Pacific St</t>
  </si>
  <si>
    <t>3677 Nostrand Ave</t>
  </si>
  <si>
    <t>919 Myrtle Ave</t>
  </si>
  <si>
    <t>727 6th Ave</t>
  </si>
  <si>
    <t>559 50th St</t>
  </si>
  <si>
    <t>220 Throop Ave</t>
  </si>
  <si>
    <t>1711 Fulton St</t>
  </si>
  <si>
    <t>953 Dekalb Ave</t>
  </si>
  <si>
    <t>1522 Bergen St</t>
  </si>
  <si>
    <t>959 Saint Marks Ave</t>
  </si>
  <si>
    <t>1281 Jefferson Ave</t>
  </si>
  <si>
    <t>150 Hawthorne St</t>
  </si>
  <si>
    <t>1545 Saint Marks Ave</t>
  </si>
  <si>
    <t>593 Grand Ave</t>
  </si>
  <si>
    <t>60 Moore St</t>
  </si>
  <si>
    <t>460 Pulaski St</t>
  </si>
  <si>
    <t>1412 Brooklyn Ave</t>
  </si>
  <si>
    <t>62 Patchen Ave</t>
  </si>
  <si>
    <t>600 Gates Ave</t>
  </si>
  <si>
    <t>1506 Ocean Ave</t>
  </si>
  <si>
    <t>1550 Sterling Pl</t>
  </si>
  <si>
    <t>2069 Nostrand Ave</t>
  </si>
  <si>
    <t>922 Broadway</t>
  </si>
  <si>
    <t>918 Kent Ave</t>
  </si>
  <si>
    <t>469 Gates Ave</t>
  </si>
  <si>
    <t>1040 Park Pl</t>
  </si>
  <si>
    <t>315 Nostrand Ave</t>
  </si>
  <si>
    <t>621 E 105th St</t>
  </si>
  <si>
    <t>785 Marcy Ave</t>
  </si>
  <si>
    <t>388 Clifton Pl</t>
  </si>
  <si>
    <t>271 E 150th St</t>
  </si>
  <si>
    <t>375 Lexington Ave</t>
  </si>
  <si>
    <t>997 Dekalb Ave</t>
  </si>
  <si>
    <t>1803 Union St</t>
  </si>
  <si>
    <t>2714 Avenue D</t>
  </si>
  <si>
    <t>47 Dahill Rd</t>
  </si>
  <si>
    <t>415 Lafayette Ave</t>
  </si>
  <si>
    <t>141 E 29th St</t>
  </si>
  <si>
    <t>305 Linden Blvd</t>
  </si>
  <si>
    <t>96 Cornelia St</t>
  </si>
  <si>
    <t>1069 Lafayette Ave</t>
  </si>
  <si>
    <t>1000 President St</t>
  </si>
  <si>
    <t>106 Clarkson Ave</t>
  </si>
  <si>
    <t>575 Herkimer St</t>
  </si>
  <si>
    <t>612 Flatbush Ave</t>
  </si>
  <si>
    <t>130 E 18th St</t>
  </si>
  <si>
    <t>1353 Pinson St</t>
  </si>
  <si>
    <t>424 59th St</t>
  </si>
  <si>
    <t>2179 Matthews Ave</t>
  </si>
  <si>
    <t>990 President St</t>
  </si>
  <si>
    <t>11 Maple St</t>
  </si>
  <si>
    <t>1299 Dean St</t>
  </si>
  <si>
    <t>500 Montgomery St</t>
  </si>
  <si>
    <t>494 Jefferson Ave</t>
  </si>
  <si>
    <t>375 64th St</t>
  </si>
  <si>
    <t>29 Avenue W</t>
  </si>
  <si>
    <t>255 Albany Ave</t>
  </si>
  <si>
    <t>222 Lenox Rd</t>
  </si>
  <si>
    <t>159 Erasmus St</t>
  </si>
  <si>
    <t>180 Linden Blvd</t>
  </si>
  <si>
    <t>1920 Anthony Ave</t>
  </si>
  <si>
    <t>502 W 151st st</t>
  </si>
  <si>
    <t>2070 Adamn Clayton Powell Blvd</t>
  </si>
  <si>
    <t>55 Raritan Ave</t>
  </si>
  <si>
    <t>1080 Ovington Ave</t>
  </si>
  <si>
    <t>130 Clarkson Ave</t>
  </si>
  <si>
    <t>2512 University Ave</t>
  </si>
  <si>
    <t>1460 Parkchester Rd</t>
  </si>
  <si>
    <t>67 W 107th St</t>
  </si>
  <si>
    <t>1932 Strauss St</t>
  </si>
  <si>
    <t>144 W 124th St</t>
  </si>
  <si>
    <t>1544 Boone Ave</t>
  </si>
  <si>
    <t>624 E 222nd St</t>
  </si>
  <si>
    <t>2515 University Ave</t>
  </si>
  <si>
    <t>146 W 124th St</t>
  </si>
  <si>
    <t>2217 8th Ave</t>
  </si>
  <si>
    <t>1116 Bushwick Ave</t>
  </si>
  <si>
    <t>2000 VALENTINE Ave</t>
  </si>
  <si>
    <t>280 Park Hill Ave</t>
  </si>
  <si>
    <t>38 W 31st St</t>
  </si>
  <si>
    <t>132 W 129th St</t>
  </si>
  <si>
    <t>1315 W 7th St</t>
  </si>
  <si>
    <t>201 Linden Blvd</t>
  </si>
  <si>
    <t>150 E 19th St</t>
  </si>
  <si>
    <t>446 Ocean Ave</t>
  </si>
  <si>
    <t>263 Parkside Ave</t>
  </si>
  <si>
    <t>591 Ocean Ave</t>
  </si>
  <si>
    <t>2665 Homecrest Ave</t>
  </si>
  <si>
    <t>865 Gates Ave</t>
  </si>
  <si>
    <t>763 Ocean Ave</t>
  </si>
  <si>
    <t>506 Lanke Street</t>
  </si>
  <si>
    <t>542 Gates Ave</t>
  </si>
  <si>
    <t>826 Crown St</t>
  </si>
  <si>
    <t>17 Goodwin Pl</t>
  </si>
  <si>
    <t>330 Hinsdale St</t>
  </si>
  <si>
    <t>1474 Bushwick Ave</t>
  </si>
  <si>
    <t>830 Beck St</t>
  </si>
  <si>
    <t>1771 Monroe Ave</t>
  </si>
  <si>
    <t>202 Westervelt Ave</t>
  </si>
  <si>
    <t>12624 Old South Rd</t>
  </si>
  <si>
    <t>1271 Noble Ave</t>
  </si>
  <si>
    <t>655 E 228th St</t>
  </si>
  <si>
    <t>309 W 76th St</t>
  </si>
  <si>
    <t>990 Anderson Ave</t>
  </si>
  <si>
    <t>1005 Jerome Ave</t>
  </si>
  <si>
    <t>1598 Unionport Rd</t>
  </si>
  <si>
    <t>1460 Grand Concourse</t>
  </si>
  <si>
    <t>647 Cauldwell Ave</t>
  </si>
  <si>
    <t>2715 Webb Ave</t>
  </si>
  <si>
    <t>2091 Arthur Ave</t>
  </si>
  <si>
    <t>6415 Dieterle Cres</t>
  </si>
  <si>
    <t>11118 39th Ave</t>
  </si>
  <si>
    <t>1841 Atlantic Ave</t>
  </si>
  <si>
    <t>1006 Neilson St</t>
  </si>
  <si>
    <t>1677 Prospect PL</t>
  </si>
  <si>
    <t>60 Himrod St</t>
  </si>
  <si>
    <t>170 Hawthorne St</t>
  </si>
  <si>
    <t>1012 Putnam Ave</t>
  </si>
  <si>
    <t>647 Prospect Pl</t>
  </si>
  <si>
    <t>208 Berriman St</t>
  </si>
  <si>
    <t>661 Hemlock St</t>
  </si>
  <si>
    <t>2333 Loring Pl N</t>
  </si>
  <si>
    <t>1507 Metropolitan Ave</t>
  </si>
  <si>
    <t>4235 159th St</t>
  </si>
  <si>
    <t>195 Benziger Ave</t>
  </si>
  <si>
    <t>1901 Gleason Ave</t>
  </si>
  <si>
    <t>2409 Creston Ave</t>
  </si>
  <si>
    <t>357 E 163rd St</t>
  </si>
  <si>
    <t>354 E Mosholu Pkwy S</t>
  </si>
  <si>
    <t>3026 Wickham Ave</t>
  </si>
  <si>
    <t>51 W Mosholu Pkwy N</t>
  </si>
  <si>
    <t>1440 Crotona Park E</t>
  </si>
  <si>
    <t>2180 Bronx Park E</t>
  </si>
  <si>
    <t>16864 93rd Ave</t>
  </si>
  <si>
    <t>11275 Sea View Ave</t>
  </si>
  <si>
    <t>1470 West Ave</t>
  </si>
  <si>
    <t>1664 Davidson Ave</t>
  </si>
  <si>
    <t>304 E 8th St</t>
  </si>
  <si>
    <t>439 Castleton Ave</t>
  </si>
  <si>
    <t>219 East 196th Street</t>
  </si>
  <si>
    <t>327 Monroe St</t>
  </si>
  <si>
    <t>315 Lexington Ave</t>
  </si>
  <si>
    <t>887 Southern Blvd</t>
  </si>
  <si>
    <t>1571 Fulton Ave</t>
  </si>
  <si>
    <t>375 76th St</t>
  </si>
  <si>
    <t>3201 Glenwood Rd</t>
  </si>
  <si>
    <t>10232 45th Ave</t>
  </si>
  <si>
    <t>16414 109th Ave</t>
  </si>
  <si>
    <t>1694 Topping Ave</t>
  </si>
  <si>
    <t>2854 Bronx Park E</t>
  </si>
  <si>
    <t>1971 Marmion Ave</t>
  </si>
  <si>
    <t>440 E 182nd St</t>
  </si>
  <si>
    <t>1872 Monroe Avenue</t>
  </si>
  <si>
    <t>2228 Adams Place</t>
  </si>
  <si>
    <t>8926 129th St</t>
  </si>
  <si>
    <t>6714 41st Ave</t>
  </si>
  <si>
    <t>285 Quincy St</t>
  </si>
  <si>
    <t>290 E 53rd St</t>
  </si>
  <si>
    <t>15219 79th Ave</t>
  </si>
  <si>
    <t>325 E 206th St</t>
  </si>
  <si>
    <t>4474 21st St</t>
  </si>
  <si>
    <t>205 W 119th St</t>
  </si>
  <si>
    <t>280 W 113th St</t>
  </si>
  <si>
    <t>480 E 176th St</t>
  </si>
  <si>
    <t>2815 Grand Concourse</t>
  </si>
  <si>
    <t>1487 Teller Ave</t>
  </si>
  <si>
    <t>516 w 134th St</t>
  </si>
  <si>
    <t>504 W 126th St</t>
  </si>
  <si>
    <t>15 W 107th St</t>
  </si>
  <si>
    <t>63 President St</t>
  </si>
  <si>
    <t>200 Nagle Ave</t>
  </si>
  <si>
    <t>3210 Olinville Ave</t>
  </si>
  <si>
    <t>2178 Tiebout Ave</t>
  </si>
  <si>
    <t>165 Saint Marks Pl</t>
  </si>
  <si>
    <t>303 W 117th St</t>
  </si>
  <si>
    <t>35 Covert St</t>
  </si>
  <si>
    <t>1520 Sedgwick Avenue</t>
  </si>
  <si>
    <t>15 Mary St</t>
  </si>
  <si>
    <t>743 Empire Blvd</t>
  </si>
  <si>
    <t>285 Shepherd Ave</t>
  </si>
  <si>
    <t>1316 Plimpton Ave</t>
  </si>
  <si>
    <t>9233 170th St</t>
  </si>
  <si>
    <t>2410 Walton Ave</t>
  </si>
  <si>
    <t>9148 88th Rd</t>
  </si>
  <si>
    <t>11442 135th St</t>
  </si>
  <si>
    <t>19123 109th Rd</t>
  </si>
  <si>
    <t>281 E 143rd St</t>
  </si>
  <si>
    <t>1901 Loring Pl S</t>
  </si>
  <si>
    <t>1242 President St</t>
  </si>
  <si>
    <t>1112 Remsen Ave</t>
  </si>
  <si>
    <t>6737 Kissena Blvd</t>
  </si>
  <si>
    <t>15901 110th Ave</t>
  </si>
  <si>
    <t>2242 Webster Avenue</t>
  </si>
  <si>
    <t>835 E 155th St</t>
  </si>
  <si>
    <t>2187 Holland Ave</t>
  </si>
  <si>
    <t>808 E 170th St</t>
  </si>
  <si>
    <t>12410 9th Ave</t>
  </si>
  <si>
    <t>8665 208th St</t>
  </si>
  <si>
    <t>156 E 184th St</t>
  </si>
  <si>
    <t>1114 Morris Ave</t>
  </si>
  <si>
    <t>158 East 184th Street</t>
  </si>
  <si>
    <t>3455 12th St</t>
  </si>
  <si>
    <t>4129 53rd St</t>
  </si>
  <si>
    <t>15612 71st Ave</t>
  </si>
  <si>
    <t>97 Crooke Ave</t>
  </si>
  <si>
    <t>1370 66th St</t>
  </si>
  <si>
    <t>533 Madison St</t>
  </si>
  <si>
    <t>921 E 180th St</t>
  </si>
  <si>
    <t>6720 Parsons Blvd</t>
  </si>
  <si>
    <t>275 Linden Blvd</t>
  </si>
  <si>
    <t>441 Brooklyn Ave</t>
  </si>
  <si>
    <t>403 Crescent St</t>
  </si>
  <si>
    <t>3318 Perry Ave</t>
  </si>
  <si>
    <t>3366 Decatur Ave</t>
  </si>
  <si>
    <t>2273 7th Ave</t>
  </si>
  <si>
    <t>574 Greene Ave</t>
  </si>
  <si>
    <t>9 Adrian Ave</t>
  </si>
  <si>
    <t>133 Pitt St</t>
  </si>
  <si>
    <t>263 W 153rd St</t>
  </si>
  <si>
    <t>443 W 48th St</t>
  </si>
  <si>
    <t>1855 Monroe Ave</t>
  </si>
  <si>
    <t>331 E 5th St</t>
  </si>
  <si>
    <t>2263 Ryer Ave</t>
  </si>
  <si>
    <t>16 Elliot Pl</t>
  </si>
  <si>
    <t>673 Bement Ave</t>
  </si>
  <si>
    <t>161 Elm St</t>
  </si>
  <si>
    <t>135 Essex St</t>
  </si>
  <si>
    <t>810 Soundview Ave</t>
  </si>
  <si>
    <t>55 Cooper St</t>
  </si>
  <si>
    <t>45 Sickles St</t>
  </si>
  <si>
    <t>521 W 186th St</t>
  </si>
  <si>
    <t>117 Sherman Avenue</t>
  </si>
  <si>
    <t>117 sherman ave</t>
  </si>
  <si>
    <t>501 E 176th St</t>
  </si>
  <si>
    <t>60 Heberton Ave</t>
  </si>
  <si>
    <t>259 Martense St</t>
  </si>
  <si>
    <t>1255 Stratford Avenue</t>
  </si>
  <si>
    <t>192 Sands St</t>
  </si>
  <si>
    <t>10704 159th st</t>
  </si>
  <si>
    <t>993 Union Ave</t>
  </si>
  <si>
    <t>121-31 Farmers Blvd</t>
  </si>
  <si>
    <t>2321 Southern Blvd</t>
  </si>
  <si>
    <t>2850 Claflin Ave</t>
  </si>
  <si>
    <t>5905 Xenia St</t>
  </si>
  <si>
    <t>42 Saint Felix St</t>
  </si>
  <si>
    <t>1075 Webster Ave</t>
  </si>
  <si>
    <t>4405 Macnish St</t>
  </si>
  <si>
    <t>3216 Kossuth Ave</t>
  </si>
  <si>
    <t>563 W 184th St</t>
  </si>
  <si>
    <t>636 Water St</t>
  </si>
  <si>
    <t>115 Stuyvesant Pl</t>
  </si>
  <si>
    <t>1141 Elder ave</t>
  </si>
  <si>
    <t>17020 130th Ave</t>
  </si>
  <si>
    <t>616 W 135th St</t>
  </si>
  <si>
    <t>540 W 136th St</t>
  </si>
  <si>
    <t>47 Saint Nicholas Ave</t>
  </si>
  <si>
    <t>11950 165th St</t>
  </si>
  <si>
    <t>1039 INTERVALE AVE</t>
  </si>
  <si>
    <t>16818 Liberty Ave</t>
  </si>
  <si>
    <t>58 E 117th St</t>
  </si>
  <si>
    <t>1692 Park Ave</t>
  </si>
  <si>
    <t>2110 1st Ave</t>
  </si>
  <si>
    <t>547 W 135th St</t>
  </si>
  <si>
    <t>1392 Sterling Pl</t>
  </si>
  <si>
    <t>17220 133rd Ave</t>
  </si>
  <si>
    <t>255 E.138 Street</t>
  </si>
  <si>
    <t>104 Terrace View Ave</t>
  </si>
  <si>
    <t>1023 Southern Blvd</t>
  </si>
  <si>
    <t>1520 Leland Ave</t>
  </si>
  <si>
    <t>233 Central Ave</t>
  </si>
  <si>
    <t>12 E 116th St</t>
  </si>
  <si>
    <t>1180 Anderson Ave</t>
  </si>
  <si>
    <t>1532 Townsend Ave</t>
  </si>
  <si>
    <t>10609 Guy R Brewer Blvd</t>
  </si>
  <si>
    <t>23008 146th Ave</t>
  </si>
  <si>
    <t>9330 214th Pl</t>
  </si>
  <si>
    <t>3127 49th St</t>
  </si>
  <si>
    <t>1240 Woodycrest Ave</t>
  </si>
  <si>
    <t>10851 53rd Ave</t>
  </si>
  <si>
    <t>10230 213th St</t>
  </si>
  <si>
    <t>7215 41st Ave</t>
  </si>
  <si>
    <t>5811 155th st</t>
  </si>
  <si>
    <t>952 Aldus St</t>
  </si>
  <si>
    <t>390 E 153rd St</t>
  </si>
  <si>
    <t>456 Richmond Ter</t>
  </si>
  <si>
    <t>29 Arcadia Pl</t>
  </si>
  <si>
    <t>15 Taxter Pl</t>
  </si>
  <si>
    <t>588 Decatur St</t>
  </si>
  <si>
    <t>1 Tennis Ct</t>
  </si>
  <si>
    <t>114 E 31st St</t>
  </si>
  <si>
    <t>1543 Nostrand Ave</t>
  </si>
  <si>
    <t>1821 Nostrand Ave</t>
  </si>
  <si>
    <t>32 Lenox Rd</t>
  </si>
  <si>
    <t>97-17</t>
  </si>
  <si>
    <t>25 Dongan Pl</t>
  </si>
  <si>
    <t>484 2nd Ave</t>
  </si>
  <si>
    <t>2273 Tiebout Ave</t>
  </si>
  <si>
    <t>486 W 165th St</t>
  </si>
  <si>
    <t>3618 Bronx Blvd</t>
  </si>
  <si>
    <t>530 East 113th st</t>
  </si>
  <si>
    <t>334 E 112th St</t>
  </si>
  <si>
    <t>419 E 93rd St</t>
  </si>
  <si>
    <t>485 12th St</t>
  </si>
  <si>
    <t>693 Flatbush Ave</t>
  </si>
  <si>
    <t>9118 86th St</t>
  </si>
  <si>
    <t>1693 65th St</t>
  </si>
  <si>
    <t>212 Highland Pl</t>
  </si>
  <si>
    <t>553 E 93rd St</t>
  </si>
  <si>
    <t>3533 83rd St</t>
  </si>
  <si>
    <t>10676 97th St</t>
  </si>
  <si>
    <t>3613 Greenpoint Ave</t>
  </si>
  <si>
    <t>581 Timpson Pl</t>
  </si>
  <si>
    <t>3056 30th St</t>
  </si>
  <si>
    <t>3510 75th St</t>
  </si>
  <si>
    <t>14978 Weller Ln</t>
  </si>
  <si>
    <t>14571 157th St</t>
  </si>
  <si>
    <t>706 E 134th St</t>
  </si>
  <si>
    <t>250 E Gun Hill Rd</t>
  </si>
  <si>
    <t>107 Bement Ave</t>
  </si>
  <si>
    <t>17717 136th Ave</t>
  </si>
  <si>
    <t>1006 Seneca Ave</t>
  </si>
  <si>
    <t>7911 41st Ave</t>
  </si>
  <si>
    <t>17032 130th Ave</t>
  </si>
  <si>
    <t>2245 Webster Ave</t>
  </si>
  <si>
    <t>249 E 175th St</t>
  </si>
  <si>
    <t>247 Westwood Ave</t>
  </si>
  <si>
    <t>5904 Stephen St</t>
  </si>
  <si>
    <t>14050 Guy R Brewer Blvd</t>
  </si>
  <si>
    <t>12045 199th St</t>
  </si>
  <si>
    <t>14731 109th Ave</t>
  </si>
  <si>
    <t>62-09 84 Street</t>
  </si>
  <si>
    <t>12102 Sutphin Blvd</t>
  </si>
  <si>
    <t>13474 Franklin Ave</t>
  </si>
  <si>
    <t>2446 Lyvere St</t>
  </si>
  <si>
    <t>715 Soundview Ave</t>
  </si>
  <si>
    <t>156 Vernon Ave</t>
  </si>
  <si>
    <t>344 E 176th St</t>
  </si>
  <si>
    <t>25911 149th Ave</t>
  </si>
  <si>
    <t>781 Bartholdi St</t>
  </si>
  <si>
    <t>183 Beach 122nd St</t>
  </si>
  <si>
    <t>230-238 West 111th st</t>
  </si>
  <si>
    <t>141 Park Hill Ave</t>
  </si>
  <si>
    <t>1601 Metropolitan Ave</t>
  </si>
  <si>
    <t>230-238 W 111th St</t>
  </si>
  <si>
    <t>780 E 221st St</t>
  </si>
  <si>
    <t>1485 Morris Ave</t>
  </si>
  <si>
    <t>2033 Valentine Ave</t>
  </si>
  <si>
    <t>2734 Claflin Ave</t>
  </si>
  <si>
    <t>3915 Carpenter Ave</t>
  </si>
  <si>
    <t>791 Manor Rd</t>
  </si>
  <si>
    <t>363 Grand Ave</t>
  </si>
  <si>
    <t>746 E 182nd St</t>
  </si>
  <si>
    <t>230 Riverside Dr</t>
  </si>
  <si>
    <t>222 W 122nd St</t>
  </si>
  <si>
    <t>383 Lewis Ave</t>
  </si>
  <si>
    <t>17720 136th Ave</t>
  </si>
  <si>
    <t>712 Macon St</t>
  </si>
  <si>
    <t>670 Sheffield Ave</t>
  </si>
  <si>
    <t>1521 white plains rd</t>
  </si>
  <si>
    <t>3324 91st St</t>
  </si>
  <si>
    <t>269 Arlington Ave</t>
  </si>
  <si>
    <t>15546 84th St</t>
  </si>
  <si>
    <t>1570 Bathgate Ave</t>
  </si>
  <si>
    <t>4002 Gouverneur Ave</t>
  </si>
  <si>
    <t>3153 Seymour Ave</t>
  </si>
  <si>
    <t>161 E 96th St</t>
  </si>
  <si>
    <t>350 Vanderbilt Ave</t>
  </si>
  <si>
    <t>1035 Wahington Avenue</t>
  </si>
  <si>
    <t>11593 217th St</t>
  </si>
  <si>
    <t>3265 Bainbridge Ave</t>
  </si>
  <si>
    <t>585 E 16th St</t>
  </si>
  <si>
    <t>385 Lewis Ave</t>
  </si>
  <si>
    <t>285 Bainbridge St</t>
  </si>
  <si>
    <t>565 W 162nd St</t>
  </si>
  <si>
    <t>408 Throop Ave</t>
  </si>
  <si>
    <t>1225 Tabor Ct</t>
  </si>
  <si>
    <t>558 Riverdale Ave</t>
  </si>
  <si>
    <t>2050 Union St</t>
  </si>
  <si>
    <t>2077 Wallace Ave</t>
  </si>
  <si>
    <t>2472 Grand Ave</t>
  </si>
  <si>
    <t>2333 loring place</t>
  </si>
  <si>
    <t>2780 University Avenue</t>
  </si>
  <si>
    <t>558 50th St</t>
  </si>
  <si>
    <t>216 W 99th St</t>
  </si>
  <si>
    <t>85 A Harbor Loop</t>
  </si>
  <si>
    <t>420 E 146th St</t>
  </si>
  <si>
    <t>2719 Morris Ave</t>
  </si>
  <si>
    <t>5 Winant St</t>
  </si>
  <si>
    <t>574 W 176th St</t>
  </si>
  <si>
    <t>113 Sherman Ave</t>
  </si>
  <si>
    <t>1916 Grand Concourse</t>
  </si>
  <si>
    <t>100 Fort Washington Ave</t>
  </si>
  <si>
    <t>2 Ellwood St</t>
  </si>
  <si>
    <t>130 Lefferts Pl</t>
  </si>
  <si>
    <t>950 Jennings St</t>
  </si>
  <si>
    <t>920 Avenue Saint John</t>
  </si>
  <si>
    <t>383 E 195th St</t>
  </si>
  <si>
    <t>543 E 21st St</t>
  </si>
  <si>
    <t>1875 Atlantic Ave</t>
  </si>
  <si>
    <t>1630 2nd Ave</t>
  </si>
  <si>
    <t>507 W 142nd St</t>
  </si>
  <si>
    <t>513 W 145th St</t>
  </si>
  <si>
    <t>43 W 129th St</t>
  </si>
  <si>
    <t>14 W 102nd St</t>
  </si>
  <si>
    <t>2268 Washington Avenue</t>
  </si>
  <si>
    <t>85 East Mosholu Parkway</t>
  </si>
  <si>
    <t>2151 Bruckner Blvd</t>
  </si>
  <si>
    <t>1456 White Plains Rd</t>
  </si>
  <si>
    <t>2034 7th Ave</t>
  </si>
  <si>
    <t>405 E 116th St</t>
  </si>
  <si>
    <t>255 W 127th St</t>
  </si>
  <si>
    <t>607 W 132nd St</t>
  </si>
  <si>
    <t>2860 Ocean Ave</t>
  </si>
  <si>
    <t>612 E 180th St</t>
  </si>
  <si>
    <t>3224 Grand Concourse</t>
  </si>
  <si>
    <t>37 Arcadia Pl</t>
  </si>
  <si>
    <t>2075 Wallace Ave</t>
  </si>
  <si>
    <t>4319 Church Ave</t>
  </si>
  <si>
    <t>273 W 131st St</t>
  </si>
  <si>
    <t>8637 120th St</t>
  </si>
  <si>
    <t>9719 Lefferts Blvd</t>
  </si>
  <si>
    <t>3071 Perry Ave</t>
  </si>
  <si>
    <t>1899 Belmont Ave</t>
  </si>
  <si>
    <t>13720 45th Ave</t>
  </si>
  <si>
    <t>6505 Yellowstone Blvd</t>
  </si>
  <si>
    <t>129 E 102nd St</t>
  </si>
  <si>
    <t>282 E Gun Hill Rd</t>
  </si>
  <si>
    <t>6081 Myrtle Ave</t>
  </si>
  <si>
    <t>4229 Judge St</t>
  </si>
  <si>
    <t>7311 153rd St</t>
  </si>
  <si>
    <t>343 63rd St</t>
  </si>
  <si>
    <t>310 S 3rd St</t>
  </si>
  <si>
    <t>274 Maple Pkwy</t>
  </si>
  <si>
    <t>1011 Nameoke St</t>
  </si>
  <si>
    <t>300 W 128th St</t>
  </si>
  <si>
    <t>348 E 119th St</t>
  </si>
  <si>
    <t>546 W 147th St</t>
  </si>
  <si>
    <t>1240 Walton Ave</t>
  </si>
  <si>
    <t>285 Saint Nicholas Ave</t>
  </si>
  <si>
    <t>2160 Holland Ave</t>
  </si>
  <si>
    <t>43-45 Curtis Place</t>
  </si>
  <si>
    <t>1488 Amsterdam Ave</t>
  </si>
  <si>
    <t>310 Riverside Dr</t>
  </si>
  <si>
    <t>510 W 144th St</t>
  </si>
  <si>
    <t>200 W 113th St</t>
  </si>
  <si>
    <t>390 East 153rd Street</t>
  </si>
  <si>
    <t>70 Park Ave</t>
  </si>
  <si>
    <t>119 W 129th St</t>
  </si>
  <si>
    <t>301 W 114th St</t>
  </si>
  <si>
    <t>526 W 147th St</t>
  </si>
  <si>
    <t>520 W 151st St</t>
  </si>
  <si>
    <t>46 Linden Blvd</t>
  </si>
  <si>
    <t>13419 166th Pl</t>
  </si>
  <si>
    <t>2030 Valentine Ave</t>
  </si>
  <si>
    <t>206 E 35th St</t>
  </si>
  <si>
    <t>466 E 45th St</t>
  </si>
  <si>
    <t>445 Fountain Ave</t>
  </si>
  <si>
    <t>21303 41st Ave</t>
  </si>
  <si>
    <t>17222 133rd Ave</t>
  </si>
  <si>
    <t>11239 Dillon St</t>
  </si>
  <si>
    <t>46 Sullivan St</t>
  </si>
  <si>
    <t>22 E 112th St</t>
  </si>
  <si>
    <t>233 E 176th St</t>
  </si>
  <si>
    <t>255 Martense St</t>
  </si>
  <si>
    <t>730 Rogers Ave</t>
  </si>
  <si>
    <t>1360 Herkimer St</t>
  </si>
  <si>
    <t>3777 88th St</t>
  </si>
  <si>
    <t>2160 Matthews Ave</t>
  </si>
  <si>
    <t>35 Marcy Pl</t>
  </si>
  <si>
    <t>1991 Sedgewick Avenue</t>
  </si>
  <si>
    <t>9815 Horace Harding Expy</t>
  </si>
  <si>
    <t>1420 Freeport Loop</t>
  </si>
  <si>
    <t>6524 Parsons Blvd</t>
  </si>
  <si>
    <t>11406 167th St</t>
  </si>
  <si>
    <t>2115 Washington Ave</t>
  </si>
  <si>
    <t>2268 Washington Ave</t>
  </si>
  <si>
    <t>715 Fairmount Pl</t>
  </si>
  <si>
    <t>2175 Ryer Ave</t>
  </si>
  <si>
    <t>902 Drew St</t>
  </si>
  <si>
    <t>17212 133rd Ave</t>
  </si>
  <si>
    <t>2946 Brighton 4th St</t>
  </si>
  <si>
    <t>405 Rockaway Pkwy</t>
  </si>
  <si>
    <t>231 W 149th St</t>
  </si>
  <si>
    <t>559 W 140th St</t>
  </si>
  <si>
    <t>5001 10th Ave</t>
  </si>
  <si>
    <t>4701 Church Ave</t>
  </si>
  <si>
    <t>354 E 53rd St</t>
  </si>
  <si>
    <t>606 Sinclair Ave</t>
  </si>
  <si>
    <t>103 Barbey st</t>
  </si>
  <si>
    <t>200 E 18th St</t>
  </si>
  <si>
    <t>1507 Saint Johns Pl</t>
  </si>
  <si>
    <t>1418 Brooklyn Ave</t>
  </si>
  <si>
    <t>10 Montgomery St</t>
  </si>
  <si>
    <t>178 Riverdale Ave</t>
  </si>
  <si>
    <t>532 Bradford St</t>
  </si>
  <si>
    <t>370 Bushwick Ave</t>
  </si>
  <si>
    <t>1490 Bedford Ave</t>
  </si>
  <si>
    <t>1030 President St</t>
  </si>
  <si>
    <t>445 W 125th St</t>
  </si>
  <si>
    <t>1661 Saint Johns Pl</t>
  </si>
  <si>
    <t>515 Crescent St</t>
  </si>
  <si>
    <t>2534 Beverley Rd</t>
  </si>
  <si>
    <t>26 Henry St</t>
  </si>
  <si>
    <t>2441 Barnes Ave</t>
  </si>
  <si>
    <t>365 Ocean Ave</t>
  </si>
  <si>
    <t>556 Thomas S Boyland St</t>
  </si>
  <si>
    <t>130 Moore St</t>
  </si>
  <si>
    <t>1255 Dean St</t>
  </si>
  <si>
    <t>567 E 108th St</t>
  </si>
  <si>
    <t>1533 White Plains Rd</t>
  </si>
  <si>
    <t>445 E 22nd St</t>
  </si>
  <si>
    <t>107 Van Buren St</t>
  </si>
  <si>
    <t>301 Sutter Ave</t>
  </si>
  <si>
    <t>1147 E 98th St</t>
  </si>
  <si>
    <t>745 E 31st St</t>
  </si>
  <si>
    <t>1560 E 102nd St</t>
  </si>
  <si>
    <t>290 Empire Blvd</t>
  </si>
  <si>
    <t>331 Lexington Ave</t>
  </si>
  <si>
    <t>31 E 21st St</t>
  </si>
  <si>
    <t>1012 Ocean Ave</t>
  </si>
  <si>
    <t>255 E 18th St</t>
  </si>
  <si>
    <t>1782 Nostrand Ave</t>
  </si>
  <si>
    <t>11 Kingston Ave</t>
  </si>
  <si>
    <t>580 E 21st St</t>
  </si>
  <si>
    <t>65 Lenox Rd</t>
  </si>
  <si>
    <t>92 Underhill Ave</t>
  </si>
  <si>
    <t>154 Wilson Avenue</t>
  </si>
  <si>
    <t>346 Jefferson Ave</t>
  </si>
  <si>
    <t>711 Jerome St</t>
  </si>
  <si>
    <t>555a Putnam Ave</t>
  </si>
  <si>
    <t>720 E 32nd St</t>
  </si>
  <si>
    <t>190 E 17th St</t>
  </si>
  <si>
    <t>550 E 21st St</t>
  </si>
  <si>
    <t>1338 Bergen St</t>
  </si>
  <si>
    <t>680 Monroe St</t>
  </si>
  <si>
    <t>1745 President St</t>
  </si>
  <si>
    <t>140 Clarkson Ave</t>
  </si>
  <si>
    <t>9422 Avenue A</t>
  </si>
  <si>
    <t>2175 Lacombe Ave</t>
  </si>
  <si>
    <t>3663 Nostrand Ave</t>
  </si>
  <si>
    <t>682 Ocean Ave</t>
  </si>
  <si>
    <t>452 Madison St</t>
  </si>
  <si>
    <t>2930 W 30th St</t>
  </si>
  <si>
    <t>66 Saint Pauls Pl</t>
  </si>
  <si>
    <t>922 E 15th St</t>
  </si>
  <si>
    <t>525 Neptune Ave</t>
  </si>
  <si>
    <t>131 E 21st St</t>
  </si>
  <si>
    <t>1414 E 51st St</t>
  </si>
  <si>
    <t>244 E 55th St</t>
  </si>
  <si>
    <t>1170 Fulton St</t>
  </si>
  <si>
    <t>39 Ocean Ave</t>
  </si>
  <si>
    <t>630 Stanley Ave</t>
  </si>
  <si>
    <t>26 Butler Pl</t>
  </si>
  <si>
    <t>393 Dumont Ave</t>
  </si>
  <si>
    <t>3478 Corsa Avenue</t>
  </si>
  <si>
    <t>2315 Walton Ave</t>
  </si>
  <si>
    <t>1358 Washington Ave</t>
  </si>
  <si>
    <t>4110 Bowne St</t>
  </si>
  <si>
    <t>160 Park Hill Ave</t>
  </si>
  <si>
    <t>3039 Wallace Ave</t>
  </si>
  <si>
    <t>279 Ocean Ave</t>
  </si>
  <si>
    <t>101 Sherman Avenue</t>
  </si>
  <si>
    <t>58 Linden Blvd</t>
  </si>
  <si>
    <t>1267 Broadway</t>
  </si>
  <si>
    <t>7 Balfour Pl</t>
  </si>
  <si>
    <t>505 Ocean Ave</t>
  </si>
  <si>
    <t>570 Ocean Ave</t>
  </si>
  <si>
    <t>806 Park Pl</t>
  </si>
  <si>
    <t>1060 Hancock St</t>
  </si>
  <si>
    <t>2114 Albemarle Rd</t>
  </si>
  <si>
    <t>1051 Schenectady Ave</t>
  </si>
  <si>
    <t>9 Murdock Ct</t>
  </si>
  <si>
    <t>545 Greene Ave</t>
  </si>
  <si>
    <t>726 Ocean Ave</t>
  </si>
  <si>
    <t>420 Blake Ave</t>
  </si>
  <si>
    <t>115 Atkins Ave</t>
  </si>
  <si>
    <t>389 Jefferson Ave</t>
  </si>
  <si>
    <t>600 E 21st St</t>
  </si>
  <si>
    <t>601 E 18th St</t>
  </si>
  <si>
    <t>473B Gates Ave</t>
  </si>
  <si>
    <t>67 E 89th St</t>
  </si>
  <si>
    <t>97 Hall St</t>
  </si>
  <si>
    <t>775 Marcy Ave</t>
  </si>
  <si>
    <t>1114 New York Ave</t>
  </si>
  <si>
    <t>1501 Voorhies Ave</t>
  </si>
  <si>
    <t>1717 W 6th St</t>
  </si>
  <si>
    <t>28 Van Buren St</t>
  </si>
  <si>
    <t>2111 Beekman Pl</t>
  </si>
  <si>
    <t>2075 Bedford Ave</t>
  </si>
  <si>
    <t>49 Clarkson Ave</t>
  </si>
  <si>
    <t>17401 110th Ave</t>
  </si>
  <si>
    <t>602 New Lots Ave</t>
  </si>
  <si>
    <t>577 Isham Street</t>
  </si>
  <si>
    <t>11680 Guy R Brewer Blvd</t>
  </si>
  <si>
    <t>155 E Mosholu Pkwy N</t>
  </si>
  <si>
    <t>1 E 198th St</t>
  </si>
  <si>
    <t>211 Bradley Ave</t>
  </si>
  <si>
    <t>2270 Walton Ave</t>
  </si>
  <si>
    <t>3669 Olinville Ave</t>
  </si>
  <si>
    <t>617 Courtlandt Ave</t>
  </si>
  <si>
    <t>732 Van Nest Ave</t>
  </si>
  <si>
    <t>63 E 236th St</t>
  </si>
  <si>
    <t>730 Oakland Pl</t>
  </si>
  <si>
    <t>740 E 225th St</t>
  </si>
  <si>
    <t>178 Rockaway Pkwy</t>
  </si>
  <si>
    <t>75 W Mosholu Pkwy N</t>
  </si>
  <si>
    <t>57 Herkimer St</t>
  </si>
  <si>
    <t>1030 Winthrop St</t>
  </si>
  <si>
    <t>3213 112th St</t>
  </si>
  <si>
    <t>1345 Southern Blvd</t>
  </si>
  <si>
    <t>23 Arden St</t>
  </si>
  <si>
    <t>87 Post Ave</t>
  </si>
  <si>
    <t>638 West 160</t>
  </si>
  <si>
    <t>157 Vermilyea Ave</t>
  </si>
  <si>
    <t>9711 Alstyne Ave</t>
  </si>
  <si>
    <t>14825 88th Ave</t>
  </si>
  <si>
    <t>10733 157th St</t>
  </si>
  <si>
    <t>9002 Silver Rd</t>
  </si>
  <si>
    <t>83-43 118 St</t>
  </si>
  <si>
    <t>17356 105th Ave</t>
  </si>
  <si>
    <t>735 Magenta St</t>
  </si>
  <si>
    <t>10047 200th St</t>
  </si>
  <si>
    <t>2438 Morris Ave</t>
  </si>
  <si>
    <t>14168 85th Rd</t>
  </si>
  <si>
    <t>1944 Mcgraw Ave</t>
  </si>
  <si>
    <t>2764 Creston Avenue</t>
  </si>
  <si>
    <t>4111 Parsons Blvd</t>
  </si>
  <si>
    <t>1538 Commonwealth Ave</t>
  </si>
  <si>
    <t>2104 Hughes Ave</t>
  </si>
  <si>
    <t>2255 33rd St</t>
  </si>
  <si>
    <t>5231 39th Rd</t>
  </si>
  <si>
    <t>740 E Gun Hill Rd</t>
  </si>
  <si>
    <t>1 Saint Pauls Ct</t>
  </si>
  <si>
    <t>34 Post Ave</t>
  </si>
  <si>
    <t>3038 Bronxwood Ave</t>
  </si>
  <si>
    <t>1585 Washington Ave</t>
  </si>
  <si>
    <t>273 E 175th St</t>
  </si>
  <si>
    <t>1563 Pitkin Ave</t>
  </si>
  <si>
    <t>1512 Eastern Pkwy</t>
  </si>
  <si>
    <t>2480 W 3rd St</t>
  </si>
  <si>
    <t>115 Bay 40th St</t>
  </si>
  <si>
    <t>3015 Avenue D</t>
  </si>
  <si>
    <t>342 49th St</t>
  </si>
  <si>
    <t>1784 Bergen St</t>
  </si>
  <si>
    <t>305 W 114th St</t>
  </si>
  <si>
    <t>20 morningside Ave</t>
  </si>
  <si>
    <t>2201 Norton Ave</t>
  </si>
  <si>
    <t>103 W 104th St</t>
  </si>
  <si>
    <t>1990 7th Ave</t>
  </si>
  <si>
    <t>1769 Eastburn Ave</t>
  </si>
  <si>
    <t>3349 Webster Ave</t>
  </si>
  <si>
    <t>228 W 116th St</t>
  </si>
  <si>
    <t>157 W 123rd St</t>
  </si>
  <si>
    <t>2332 Walton Ave</t>
  </si>
  <si>
    <t>3524 Hull Ave</t>
  </si>
  <si>
    <t>2257 University Avenue</t>
  </si>
  <si>
    <t>508 W 136th St</t>
  </si>
  <si>
    <t>2108 W 7th st</t>
  </si>
  <si>
    <t>266 W 123rd St</t>
  </si>
  <si>
    <t>607 Flatbush Ave</t>
  </si>
  <si>
    <t>16609 144th Ave</t>
  </si>
  <si>
    <t>1405 5th Ave</t>
  </si>
  <si>
    <t>331 E 109th St</t>
  </si>
  <si>
    <t>1970 E Tremont Ave</t>
  </si>
  <si>
    <t>8237 Grenfell St</t>
  </si>
  <si>
    <t>1422 Nelson Ave</t>
  </si>
  <si>
    <t>1975 Birchall Avenue</t>
  </si>
  <si>
    <t>10469 88th Ave</t>
  </si>
  <si>
    <t>1223 white plains rd</t>
  </si>
  <si>
    <t>2295 Morris Ave</t>
  </si>
  <si>
    <t>1300 Richmond Ave # 9</t>
  </si>
  <si>
    <t>1894 CORNELIA ST</t>
  </si>
  <si>
    <t>901 Walton Ave</t>
  </si>
  <si>
    <t>446 E 176th St</t>
  </si>
  <si>
    <t>100 Stuyvesant Pl</t>
  </si>
  <si>
    <t>1890 Andrews Ave</t>
  </si>
  <si>
    <t>2152 Hughes Avenue</t>
  </si>
  <si>
    <t>1731 Stephen Street</t>
  </si>
  <si>
    <t>69 Vassar St</t>
  </si>
  <si>
    <t>120 37 167th st</t>
  </si>
  <si>
    <t>17411 Sayres Ave</t>
  </si>
  <si>
    <t>363 E 163rd St</t>
  </si>
  <si>
    <t>12613 101st Ave</t>
  </si>
  <si>
    <t>8615 97th Ave</t>
  </si>
  <si>
    <t>11509 Sutphin Blvd</t>
  </si>
  <si>
    <t>12602 Locust Manor Ln</t>
  </si>
  <si>
    <t>820 E 180th St</t>
  </si>
  <si>
    <t>380 East 139th Street</t>
  </si>
  <si>
    <t>456 Beach 40th St</t>
  </si>
  <si>
    <t>10739 157th St</t>
  </si>
  <si>
    <t>1372 Shakespeare Ave</t>
  </si>
  <si>
    <t>75 Thompson St</t>
  </si>
  <si>
    <t>1770 W 10th St</t>
  </si>
  <si>
    <t>12418 109th Ave</t>
  </si>
  <si>
    <t>1354 New York Ave</t>
  </si>
  <si>
    <t>2574 Bedford Ave</t>
  </si>
  <si>
    <t>1288 Washington Ave</t>
  </si>
  <si>
    <t>1340 Stratford Ave</t>
  </si>
  <si>
    <t>109 Post Ave</t>
  </si>
  <si>
    <t>700 W 175th St</t>
  </si>
  <si>
    <t>562 W 174th St</t>
  </si>
  <si>
    <t>132 Seaman Ave</t>
  </si>
  <si>
    <t>690 Gates Ave</t>
  </si>
  <si>
    <t>2999 8th Ave</t>
  </si>
  <si>
    <t>419 W 17th St</t>
  </si>
  <si>
    <t>1971 Webster Ave</t>
  </si>
  <si>
    <t>735 E 182nd St</t>
  </si>
  <si>
    <t>320 W 38th St</t>
  </si>
  <si>
    <t>700 Lenox Ave</t>
  </si>
  <si>
    <t>567 W 170th St</t>
  </si>
  <si>
    <t>930 Saint Nicholas Ave</t>
  </si>
  <si>
    <t>435 Grand Ave</t>
  </si>
  <si>
    <t>8672 208th St</t>
  </si>
  <si>
    <t>249 Thomas S Boyland st</t>
  </si>
  <si>
    <t>249 Thomas s Boyland st</t>
  </si>
  <si>
    <t>1843 Atlantic Ave</t>
  </si>
  <si>
    <t>327 Van Duzer St</t>
  </si>
  <si>
    <t>750 E 169th St</t>
  </si>
  <si>
    <t>3291 Hull Ave</t>
  </si>
  <si>
    <t>488 E 139th St</t>
  </si>
  <si>
    <t>2505 Olinville Ave</t>
  </si>
  <si>
    <t>6215 Woodhaven Blvd</t>
  </si>
  <si>
    <t>5774 Mosholu Ave</t>
  </si>
  <si>
    <t>711 Magenta St</t>
  </si>
  <si>
    <t>21606 110th Ave</t>
  </si>
  <si>
    <t>150 Beach 115th St</t>
  </si>
  <si>
    <t>3307 Bruckner Blvd</t>
  </si>
  <si>
    <t>8 Rockaway Ave</t>
  </si>
  <si>
    <t>875 Boynton Ave</t>
  </si>
  <si>
    <t>15402 119th Ave</t>
  </si>
  <si>
    <t>1805 Clinton Ave</t>
  </si>
  <si>
    <t>410 Eastern Pkwy</t>
  </si>
  <si>
    <t>617 W 141st St</t>
  </si>
  <si>
    <t>2024 Greene Ave</t>
  </si>
  <si>
    <t>250 Clarkson Ave</t>
  </si>
  <si>
    <t>3035 Wallace Ave</t>
  </si>
  <si>
    <t>299 Saint Marks Pl</t>
  </si>
  <si>
    <t>4003 Vernon Blvd</t>
  </si>
  <si>
    <t>200 E 110th St</t>
  </si>
  <si>
    <t>219 Hamilton Ave</t>
  </si>
  <si>
    <t>769 Bryant Avenue</t>
  </si>
  <si>
    <t>563 W 191st St</t>
  </si>
  <si>
    <t>204 Sherman Ave</t>
  </si>
  <si>
    <t>835 Home St</t>
  </si>
  <si>
    <t>2170 Bathgate Avenue</t>
  </si>
  <si>
    <t>1062 Rhinelander Ave</t>
  </si>
  <si>
    <t>507 E 176th St</t>
  </si>
  <si>
    <t>2079 Wallace Ave</t>
  </si>
  <si>
    <t>54 W 119th St</t>
  </si>
  <si>
    <t>554 W 181st St</t>
  </si>
  <si>
    <t>8025 159th St</t>
  </si>
  <si>
    <t>10 W 119th St</t>
  </si>
  <si>
    <t>1724 Amsterdam Ave</t>
  </si>
  <si>
    <t>1885 Eastern Pkwy</t>
  </si>
  <si>
    <t>2333 Grand Ave</t>
  </si>
  <si>
    <t>272 Targee St</t>
  </si>
  <si>
    <t>2060 Ryer Ave</t>
  </si>
  <si>
    <t>1970 Walton Ave</t>
  </si>
  <si>
    <t>143 W 116th St</t>
  </si>
  <si>
    <t>351 E 152nd St</t>
  </si>
  <si>
    <t>8932 138th St</t>
  </si>
  <si>
    <t>3047 73rd St</t>
  </si>
  <si>
    <t>3420 137th St</t>
  </si>
  <si>
    <t>1975 80th St</t>
  </si>
  <si>
    <t>21814 Spencer Ave</t>
  </si>
  <si>
    <t>4106 15th Ave</t>
  </si>
  <si>
    <t>3714 32nd St</t>
  </si>
  <si>
    <t>733 Arnow Ave</t>
  </si>
  <si>
    <t>2564 Creston Ave</t>
  </si>
  <si>
    <t>546 E 182nd St</t>
  </si>
  <si>
    <t>1761 Victory Blvd</t>
  </si>
  <si>
    <t>6901 174th St</t>
  </si>
  <si>
    <t>8725 115th St</t>
  </si>
  <si>
    <t>11926 196th St</t>
  </si>
  <si>
    <t>15840 Jewel Ave</t>
  </si>
  <si>
    <t>2274 University Ave</t>
  </si>
  <si>
    <t>914 Rhinelander Ave</t>
  </si>
  <si>
    <t>1420 Gateway Blvd</t>
  </si>
  <si>
    <t>13702 Northern Blvd</t>
  </si>
  <si>
    <t>3506 94th St</t>
  </si>
  <si>
    <t>2300 Loring Pl N</t>
  </si>
  <si>
    <t>10936 155th St</t>
  </si>
  <si>
    <t>858 Beck St</t>
  </si>
  <si>
    <t>2 Minerva Pl</t>
  </si>
  <si>
    <t>1995 Morris Ave</t>
  </si>
  <si>
    <t>393 Essex St</t>
  </si>
  <si>
    <t>33 Westminster Rd</t>
  </si>
  <si>
    <t>1366 Lyman Pl</t>
  </si>
  <si>
    <t>9742 104th St</t>
  </si>
  <si>
    <t>60-01 B 194 Street</t>
  </si>
  <si>
    <t>12929 Brookville Blvd</t>
  </si>
  <si>
    <t>1856 85th St</t>
  </si>
  <si>
    <t>45 Lockman Loop</t>
  </si>
  <si>
    <t>99 Ada Dr</t>
  </si>
  <si>
    <t>5b Ludwig Ln</t>
  </si>
  <si>
    <t>33 Port Ln</t>
  </si>
  <si>
    <t>183 E 98th St</t>
  </si>
  <si>
    <t>735 W 172nd St</t>
  </si>
  <si>
    <t>179 Mother Gaston Blvd</t>
  </si>
  <si>
    <t>2901 Matthews Ave</t>
  </si>
  <si>
    <t>1637 Saint Marks Ave</t>
  </si>
  <si>
    <t>141 W 169th St</t>
  </si>
  <si>
    <t>271 67th st</t>
  </si>
  <si>
    <t>217 E 120th St</t>
  </si>
  <si>
    <t>17930 143rd Rd</t>
  </si>
  <si>
    <t>2229 Ellis Ave</t>
  </si>
  <si>
    <t>2591 Pitkin Ave</t>
  </si>
  <si>
    <t>3420 32nd St</t>
  </si>
  <si>
    <t>165 Sherman Ave</t>
  </si>
  <si>
    <t>562 W 190th St</t>
  </si>
  <si>
    <t>89 Seaman Ave</t>
  </si>
  <si>
    <t>9425 83rd St</t>
  </si>
  <si>
    <t>327 43rd St</t>
  </si>
  <si>
    <t>1530 Sheridan Ave</t>
  </si>
  <si>
    <t>6011 Madison St</t>
  </si>
  <si>
    <t>2 Hendricks Ave</t>
  </si>
  <si>
    <t>7032 65th Pl</t>
  </si>
  <si>
    <t>9212 175th St</t>
  </si>
  <si>
    <t>5002 3rd Ave</t>
  </si>
  <si>
    <t>1685 Topping Ave</t>
  </si>
  <si>
    <t>843 E 161st St</t>
  </si>
  <si>
    <t>4135 149th St</t>
  </si>
  <si>
    <t>760 Eldert Ln</t>
  </si>
  <si>
    <t>2070 Ryer Ave</t>
  </si>
  <si>
    <t>4912 7th Ave</t>
  </si>
  <si>
    <t>580 W 215th St</t>
  </si>
  <si>
    <t>110 W 131st St</t>
  </si>
  <si>
    <t>3349 Hull Ave # 51</t>
  </si>
  <si>
    <t>764 E 213th St</t>
  </si>
  <si>
    <t>36 Walker Dr</t>
  </si>
  <si>
    <t>125 Freedom Ave</t>
  </si>
  <si>
    <t>1141 Elder Ave</t>
  </si>
  <si>
    <t>500 W 110th St</t>
  </si>
  <si>
    <t>19 Vermilyea Ave</t>
  </si>
  <si>
    <t>791 Prospect Ave</t>
  </si>
  <si>
    <t>2823 Barker Ave</t>
  </si>
  <si>
    <t>2723 Webb Avenue</t>
  </si>
  <si>
    <t>520 W 139th St</t>
  </si>
  <si>
    <t>626 Riverside Dr</t>
  </si>
  <si>
    <t>3036 Cruger Ave</t>
  </si>
  <si>
    <t>279 W 117th st</t>
  </si>
  <si>
    <t>11 Slosson Ter</t>
  </si>
  <si>
    <t>66 W 94th St</t>
  </si>
  <si>
    <t>63 Irving Pl</t>
  </si>
  <si>
    <t>2783 Hone Ave</t>
  </si>
  <si>
    <t>1777 Grand Concourse</t>
  </si>
  <si>
    <t>158 E 119th St</t>
  </si>
  <si>
    <t>5315 103rd St</t>
  </si>
  <si>
    <t>2945 Matthews Ave</t>
  </si>
  <si>
    <t>4275 Park Ave</t>
  </si>
  <si>
    <t>201 Hale Ave</t>
  </si>
  <si>
    <t>2820 W 32nd St</t>
  </si>
  <si>
    <t>2101 Cedar Ave</t>
  </si>
  <si>
    <t>1405 Townsend Ave</t>
  </si>
  <si>
    <t>815 Pelham Pkwy N</t>
  </si>
  <si>
    <t>4 Hardy St</t>
  </si>
  <si>
    <t>268 Buffalo Ave</t>
  </si>
  <si>
    <t>500 E 171st St</t>
  </si>
  <si>
    <t>10454 Springfield Blvd</t>
  </si>
  <si>
    <t>2559 Grand Concourse</t>
  </si>
  <si>
    <t>3409 Dekalb Ave</t>
  </si>
  <si>
    <t>1435 26th Ave</t>
  </si>
  <si>
    <t>75 Kimberly Ln</t>
  </si>
  <si>
    <t>1100 Franklin Ave</t>
  </si>
  <si>
    <t>1890 Walton Ave</t>
  </si>
  <si>
    <t>569 W 192nd St</t>
  </si>
  <si>
    <t>695 Saint Nicholas Ave</t>
  </si>
  <si>
    <t>100 Arden St</t>
  </si>
  <si>
    <t>3511 Linden Pl</t>
  </si>
  <si>
    <t>3519 12th St</t>
  </si>
  <si>
    <t>14907 Lefferts Blvd</t>
  </si>
  <si>
    <t>161 S Elliott Pl</t>
  </si>
  <si>
    <t>572 W 187th St</t>
  </si>
  <si>
    <t>148 W 141st St</t>
  </si>
  <si>
    <t>208 W 30th St</t>
  </si>
  <si>
    <t>119 Audubon Ave</t>
  </si>
  <si>
    <t>9229 Lamont Ave</t>
  </si>
  <si>
    <t>1945 Amsterdam Ave</t>
  </si>
  <si>
    <t>304 W 148th St</t>
  </si>
  <si>
    <t>1920 Amsterdam Ave</t>
  </si>
  <si>
    <t>788 Riverside Dr</t>
  </si>
  <si>
    <t>984 Greene Ave</t>
  </si>
  <si>
    <t>330 Rutland Rd</t>
  </si>
  <si>
    <t>1721 Grand Ave</t>
  </si>
  <si>
    <t>2282 Arthur Ave</t>
  </si>
  <si>
    <t>1496 Longfellow Avenue</t>
  </si>
  <si>
    <t>2123-25 Tiebout Avenue</t>
  </si>
  <si>
    <t>1359 Lyman Pl</t>
  </si>
  <si>
    <t>2471 Frederick Douglass Blvd</t>
  </si>
  <si>
    <t>362 Darlington Ave</t>
  </si>
  <si>
    <t>11335 Farmers Blvd</t>
  </si>
  <si>
    <t>11836 227th St</t>
  </si>
  <si>
    <t>4717 45th St</t>
  </si>
  <si>
    <t>8519 95th Ave</t>
  </si>
  <si>
    <t>975 Walton Ave</t>
  </si>
  <si>
    <t>2240 Ryer Ave</t>
  </si>
  <si>
    <t>8715 37th Ave</t>
  </si>
  <si>
    <t>22016 Hempstead Ave</t>
  </si>
  <si>
    <t>5124 Beach Channel Dr</t>
  </si>
  <si>
    <t>3928 SETON AVE</t>
  </si>
  <si>
    <t>523 W 162nd St</t>
  </si>
  <si>
    <t>546 Isham St</t>
  </si>
  <si>
    <t>260 Fort Washington Ave</t>
  </si>
  <si>
    <t>2275 Barker Ave</t>
  </si>
  <si>
    <t>1672 Davidson Ave</t>
  </si>
  <si>
    <t>270 Crown St</t>
  </si>
  <si>
    <t>3194 Bayview Ave</t>
  </si>
  <si>
    <t>363 Harold St</t>
  </si>
  <si>
    <t>11204 167th St</t>
  </si>
  <si>
    <t>65 W 192nd St</t>
  </si>
  <si>
    <t>2260 University Ave</t>
  </si>
  <si>
    <t>828 Arnow Ave</t>
  </si>
  <si>
    <t>505 Rockaway pkwy</t>
  </si>
  <si>
    <t>790 Grand Concourse</t>
  </si>
  <si>
    <t>4071 Elbertson St</t>
  </si>
  <si>
    <t>865 Noble Avenue</t>
  </si>
  <si>
    <t>18 W 102nd st</t>
  </si>
  <si>
    <t>500 West 144th st</t>
  </si>
  <si>
    <t>1853 Madison St</t>
  </si>
  <si>
    <t>3114 Villa Ave</t>
  </si>
  <si>
    <t>116 Sherman Ave</t>
  </si>
  <si>
    <t>865 Columbus ave</t>
  </si>
  <si>
    <t>3 W 103rd St</t>
  </si>
  <si>
    <t>730 E 221st St</t>
  </si>
  <si>
    <t>631 W 152nd St</t>
  </si>
  <si>
    <t>10606 160th St</t>
  </si>
  <si>
    <t>2027 Hughes Ave</t>
  </si>
  <si>
    <t>2198 Cruger Ave</t>
  </si>
  <si>
    <t>536 W 153rd St</t>
  </si>
  <si>
    <t>14 W 107th St # 16</t>
  </si>
  <si>
    <t>9305 Atari Ln</t>
  </si>
  <si>
    <t>38 Ludwig Ln</t>
  </si>
  <si>
    <t>1250 Grand Concourse</t>
  </si>
  <si>
    <t>1338 Manor Ave</t>
  </si>
  <si>
    <t>255 E 176th St</t>
  </si>
  <si>
    <t>275 Grant Ave</t>
  </si>
  <si>
    <t>1704 Saint Johns Pl</t>
  </si>
  <si>
    <t>1082 Gerard Ave</t>
  </si>
  <si>
    <t>1197 Grand Concourse</t>
  </si>
  <si>
    <t>2028 Bergen St</t>
  </si>
  <si>
    <t>1050 Soundview Ave</t>
  </si>
  <si>
    <t>1336 Herkimer St</t>
  </si>
  <si>
    <t>72 Lincoln Ave</t>
  </si>
  <si>
    <t>46 Westchester Sq</t>
  </si>
  <si>
    <t>2695 Heath Ave</t>
  </si>
  <si>
    <t>13 E 124th St</t>
  </si>
  <si>
    <t>1125 Findlay Ave</t>
  </si>
  <si>
    <t>1491 Lexington Ave</t>
  </si>
  <si>
    <t>323 Rose Ave</t>
  </si>
  <si>
    <t>48 Spartan Ave</t>
  </si>
  <si>
    <t>34 Gary Ct</t>
  </si>
  <si>
    <t>1070 Fox St</t>
  </si>
  <si>
    <t>14140 84th Dr</t>
  </si>
  <si>
    <t>1160 229th Dr S</t>
  </si>
  <si>
    <t>47 Morningstar Rd</t>
  </si>
  <si>
    <t>6006 60th Dr</t>
  </si>
  <si>
    <t>1670 E 174th St</t>
  </si>
  <si>
    <t>2000 Prospect Ave</t>
  </si>
  <si>
    <t>1368 Webster Avenue</t>
  </si>
  <si>
    <t>172 South Ave</t>
  </si>
  <si>
    <t>101 W 165th St</t>
  </si>
  <si>
    <t>830 Elton Ave</t>
  </si>
  <si>
    <t>1908 Amethyst St</t>
  </si>
  <si>
    <t>2719 Sedgwick Ave</t>
  </si>
  <si>
    <t>14937 Tahoe St</t>
  </si>
  <si>
    <t>16302 17th Ave</t>
  </si>
  <si>
    <t>2526 44th St</t>
  </si>
  <si>
    <t>7212 Dismas Blvd.</t>
  </si>
  <si>
    <t>1111 Grant Ave</t>
  </si>
  <si>
    <t>286 Corbin Pl</t>
  </si>
  <si>
    <t>325 Classon Ave</t>
  </si>
  <si>
    <t>157 A Madison St</t>
  </si>
  <si>
    <t>402 Ocean Ave</t>
  </si>
  <si>
    <t>106 8th Ave</t>
  </si>
  <si>
    <t>648 W 163rd St</t>
  </si>
  <si>
    <t>323 W 4th St</t>
  </si>
  <si>
    <t>211 W 149th St</t>
  </si>
  <si>
    <t>173 W 141st St</t>
  </si>
  <si>
    <t>723 Hancock St</t>
  </si>
  <si>
    <t>621 Walter Street</t>
  </si>
  <si>
    <t>271 Bainbridge Street</t>
  </si>
  <si>
    <t>121 Saint Nicholas Ave</t>
  </si>
  <si>
    <t>1969 Amsterdam Ave</t>
  </si>
  <si>
    <t>1 Columbus Pl</t>
  </si>
  <si>
    <t>890 Flushing Ave</t>
  </si>
  <si>
    <t>1465 Geneva Loop</t>
  </si>
  <si>
    <t>174 W 107th St</t>
  </si>
  <si>
    <t>284 Cooper St</t>
  </si>
  <si>
    <t>507 E 11th St</t>
  </si>
  <si>
    <t>595 Autumn Ave</t>
  </si>
  <si>
    <t>201 W 144th St</t>
  </si>
  <si>
    <t>516 W 156th St</t>
  </si>
  <si>
    <t>123 W 135th St</t>
  </si>
  <si>
    <t>1918 Pacific St</t>
  </si>
  <si>
    <t>32 W 111th St</t>
  </si>
  <si>
    <t>311 W 127TH ST</t>
  </si>
  <si>
    <t>502 W 149th St</t>
  </si>
  <si>
    <t>2181 Pacific St</t>
  </si>
  <si>
    <t>542 Chauncey St</t>
  </si>
  <si>
    <t>619 W 140th St</t>
  </si>
  <si>
    <t>85 E End Ave</t>
  </si>
  <si>
    <t>371 Etna St</t>
  </si>
  <si>
    <t>642 Eldert Ln</t>
  </si>
  <si>
    <t>157-10 Riverside Drive West</t>
  </si>
  <si>
    <t>707 Miller Ave</t>
  </si>
  <si>
    <t>683 Barbey ST</t>
  </si>
  <si>
    <t>482 Riverdale Ave</t>
  </si>
  <si>
    <t>734 Crescent St</t>
  </si>
  <si>
    <t>1320 Eastern Pkwy</t>
  </si>
  <si>
    <t>31 Leonard St</t>
  </si>
  <si>
    <t>153 Bleecker St</t>
  </si>
  <si>
    <t>8500 4th Ave</t>
  </si>
  <si>
    <t>836 Hancock St</t>
  </si>
  <si>
    <t>967 Putnam Ave</t>
  </si>
  <si>
    <t>356 Van Siclen Ave</t>
  </si>
  <si>
    <t>111 E 7th St</t>
  </si>
  <si>
    <t>307 E 84th St</t>
  </si>
  <si>
    <t>950 E 4th Walk</t>
  </si>
  <si>
    <t>580 E 17th St</t>
  </si>
  <si>
    <t>350 Pennsylvania Ave</t>
  </si>
  <si>
    <t>1225 Bedford Ave</t>
  </si>
  <si>
    <t>1233 Ocean Ave</t>
  </si>
  <si>
    <t>122 Thatford Ave</t>
  </si>
  <si>
    <t>65 W 104th St</t>
  </si>
  <si>
    <t>2105 Rockaway Pkwy</t>
  </si>
  <si>
    <t>459 E 52nd St</t>
  </si>
  <si>
    <t>864 Gates Ave</t>
  </si>
  <si>
    <t>131 Sterling St</t>
  </si>
  <si>
    <t>1094 Dekalb Ave</t>
  </si>
  <si>
    <t>1047 Bedford Ave</t>
  </si>
  <si>
    <t>2328 Newkirk Ave</t>
  </si>
  <si>
    <t>130 Lenox Rd</t>
  </si>
  <si>
    <t>2465 Bedford Ave</t>
  </si>
  <si>
    <t>510 Ocean Ave</t>
  </si>
  <si>
    <t>187 Lefferts Ave</t>
  </si>
  <si>
    <t>2101 Beekman Pl</t>
  </si>
  <si>
    <t>181Hawthrone Street</t>
  </si>
  <si>
    <t>427 Dean St</t>
  </si>
  <si>
    <t>3126 Coney Island Ave</t>
  </si>
  <si>
    <t>25 Convent Ave</t>
  </si>
  <si>
    <t>878 Euclid Ave</t>
  </si>
  <si>
    <t>1544 E 13th St</t>
  </si>
  <si>
    <t>1041 Bushwick Ave</t>
  </si>
  <si>
    <t>360 Marcus Garvey Blvd</t>
  </si>
  <si>
    <t>1185 Carroll St</t>
  </si>
  <si>
    <t>1558 E 19th St</t>
  </si>
  <si>
    <t>540 East 169th Street</t>
  </si>
  <si>
    <t>295 Washington Ave</t>
  </si>
  <si>
    <t>657 E 26th St</t>
  </si>
  <si>
    <t>99 Madison St</t>
  </si>
  <si>
    <t>2781 Grand Concourse</t>
  </si>
  <si>
    <t>444 Neptune Ave</t>
  </si>
  <si>
    <t>145 Seaman Ave</t>
  </si>
  <si>
    <t>360 Snediker Ave</t>
  </si>
  <si>
    <t>9507 Kings Hwy</t>
  </si>
  <si>
    <t>211 E 54th St</t>
  </si>
  <si>
    <t>282 E 35th St</t>
  </si>
  <si>
    <t>2568 Bedford Ave</t>
  </si>
  <si>
    <t>1420 Nostrand Ave</t>
  </si>
  <si>
    <t>231 Throop Ave</t>
  </si>
  <si>
    <t>2715 Webb ave</t>
  </si>
  <si>
    <t>950 E 176th St</t>
  </si>
  <si>
    <t>790 Lafayette Ave</t>
  </si>
  <si>
    <t>3044 Albany Cres</t>
  </si>
  <si>
    <t>355 E 184th St</t>
  </si>
  <si>
    <t>532 Lefferts Ave</t>
  </si>
  <si>
    <t>3605 Willett Ave</t>
  </si>
  <si>
    <t>555 W 184th St</t>
  </si>
  <si>
    <t>690 Rogers Ave</t>
  </si>
  <si>
    <t>760 Rogers Ave</t>
  </si>
  <si>
    <t>277 Rockaway Pkwy</t>
  </si>
  <si>
    <t>669 E 94th St</t>
  </si>
  <si>
    <t>618 67th St</t>
  </si>
  <si>
    <t>2955 W 29th St</t>
  </si>
  <si>
    <t>395 Troy Ave</t>
  </si>
  <si>
    <t>720 E 31st St</t>
  </si>
  <si>
    <t>521 Saint Marks Ave</t>
  </si>
  <si>
    <t>4415 Clarendon Rd</t>
  </si>
  <si>
    <t>1012 Avenue K</t>
  </si>
  <si>
    <t>1116 Avenue H</t>
  </si>
  <si>
    <t>34 Stoddard Pl</t>
  </si>
  <si>
    <t>2970 W 27th St</t>
  </si>
  <si>
    <t>763 E 108th St</t>
  </si>
  <si>
    <t>542 E 83rd St</t>
  </si>
  <si>
    <t>1760 Union St</t>
  </si>
  <si>
    <t>901 Drew St</t>
  </si>
  <si>
    <t>1004 Hegeman Ave</t>
  </si>
  <si>
    <t>55 Lenox Rd</t>
  </si>
  <si>
    <t>435 W 31st St</t>
  </si>
  <si>
    <t>287 Linden Blvd</t>
  </si>
  <si>
    <t>342 Kingsborough 3rd Walk</t>
  </si>
  <si>
    <t>1082 Bedford Ave</t>
  </si>
  <si>
    <t>510 84th St</t>
  </si>
  <si>
    <t>3405 Neptune Ave</t>
  </si>
  <si>
    <t>4211 Avenue K</t>
  </si>
  <si>
    <t>80 Schenectady Ave</t>
  </si>
  <si>
    <t>2389 Nostrand Ave</t>
  </si>
  <si>
    <t>721 Dekalb Ave</t>
  </si>
  <si>
    <t>791 Lexington Ave</t>
  </si>
  <si>
    <t>3613 Avenue D</t>
  </si>
  <si>
    <t>749 Lafayette Ave</t>
  </si>
  <si>
    <t>710 Cleveland St</t>
  </si>
  <si>
    <t>765 Stanley Ave</t>
  </si>
  <si>
    <t>324 Montgomery St</t>
  </si>
  <si>
    <t>602 Quincy St</t>
  </si>
  <si>
    <t>149 E 31st St</t>
  </si>
  <si>
    <t>161 Woodruff Ave</t>
  </si>
  <si>
    <t>9111 Church Ave</t>
  </si>
  <si>
    <t>348 Maple St</t>
  </si>
  <si>
    <t>1174 Saint Johns Pl</t>
  </si>
  <si>
    <t>101 Woodruff Ave</t>
  </si>
  <si>
    <t>217 55th St</t>
  </si>
  <si>
    <t>1715 Caton Ave</t>
  </si>
  <si>
    <t>1061 Dean St</t>
  </si>
  <si>
    <t>133a Quincy St</t>
  </si>
  <si>
    <t>549 Cleveland St</t>
  </si>
  <si>
    <t>131 Moore St</t>
  </si>
  <si>
    <t>167 Lenox Rd</t>
  </si>
  <si>
    <t>155 Linden Blvd</t>
  </si>
  <si>
    <t>3013 Newkirk Ave</t>
  </si>
  <si>
    <t>146 E 19th St</t>
  </si>
  <si>
    <t>330 E 19th St</t>
  </si>
  <si>
    <t>600 E 18th St</t>
  </si>
  <si>
    <t>79 Milford St</t>
  </si>
  <si>
    <t>1223 Fulton St</t>
  </si>
  <si>
    <t>10602 Farragut Rd</t>
  </si>
  <si>
    <t>3500 Snyder Ave</t>
  </si>
  <si>
    <t>1191 Park Pl</t>
  </si>
  <si>
    <t>439 Glenmore Ave</t>
  </si>
  <si>
    <t>1065 Liberty Ave</t>
  </si>
  <si>
    <t>141 E 21st St</t>
  </si>
  <si>
    <t>20 Saint Pauls Ct</t>
  </si>
  <si>
    <t>2281 E 26th St</t>
  </si>
  <si>
    <t>3152 Brighton 6th St</t>
  </si>
  <si>
    <t>60 Water St</t>
  </si>
  <si>
    <t>644 Ocean Pkwy</t>
  </si>
  <si>
    <t>303 99th St</t>
  </si>
  <si>
    <t>81 N Portland Ave</t>
  </si>
  <si>
    <t>609 Greene Ave</t>
  </si>
  <si>
    <t>444 Lexington Ave</t>
  </si>
  <si>
    <t>109 Marcus Garvey Blvd</t>
  </si>
  <si>
    <t>55 Ocean Ave</t>
  </si>
  <si>
    <t>471 39th St</t>
  </si>
  <si>
    <t>210 Hart St</t>
  </si>
  <si>
    <t>3970 3rd Avenue</t>
  </si>
  <si>
    <t>2320 Bronx Park E</t>
  </si>
  <si>
    <t>3128 Villa Ave</t>
  </si>
  <si>
    <t>1164 Cromwell Ave</t>
  </si>
  <si>
    <t>7414 Rockaway Blvd</t>
  </si>
  <si>
    <t>207 Park Pl</t>
  </si>
  <si>
    <t>2140 Cruger Ave</t>
  </si>
  <si>
    <t>3600 Webster Ave</t>
  </si>
  <si>
    <t>2609 Aqueduct Ave</t>
  </si>
  <si>
    <t>82 Rockaway Pkwy</t>
  </si>
  <si>
    <t>271 Hawthorne St</t>
  </si>
  <si>
    <t>2025 Regent Pl</t>
  </si>
  <si>
    <t>3403 Foster Ave</t>
  </si>
  <si>
    <t>2066 Morris Ave</t>
  </si>
  <si>
    <t>2470 University Ave</t>
  </si>
  <si>
    <t>50 Vandalia Ave</t>
  </si>
  <si>
    <t>54 Bay 29th St</t>
  </si>
  <si>
    <t>5011 New Utrecht Ave</t>
  </si>
  <si>
    <t>130 72nd St</t>
  </si>
  <si>
    <t>778 Henderson Ave</t>
  </si>
  <si>
    <t>1374 Bronx River Avenue</t>
  </si>
  <si>
    <t>1731 Cornelia St</t>
  </si>
  <si>
    <t>980 Trinity Ave</t>
  </si>
  <si>
    <t>920 Metcalf Ave</t>
  </si>
  <si>
    <t>155 W 162nd St</t>
  </si>
  <si>
    <t>1330 128th St</t>
  </si>
  <si>
    <t>218 Broad St</t>
  </si>
  <si>
    <t>780 Henderson Ave</t>
  </si>
  <si>
    <t>13428 155th St</t>
  </si>
  <si>
    <t>2 Pinehurst Ave</t>
  </si>
  <si>
    <t>45 Arden St</t>
  </si>
  <si>
    <t>11417 166th St</t>
  </si>
  <si>
    <t>2721 Wallace Ave</t>
  </si>
  <si>
    <t>245 E Mosholu Pkwy N</t>
  </si>
  <si>
    <t>11326 207th St</t>
  </si>
  <si>
    <t>10950 153rd St</t>
  </si>
  <si>
    <t>2935 Holland Ave</t>
  </si>
  <si>
    <t>11907 101st Ave</t>
  </si>
  <si>
    <t>1416 Walton Ave</t>
  </si>
  <si>
    <t>9406 34th Ave</t>
  </si>
  <si>
    <t>1234 Hoe Ave</t>
  </si>
  <si>
    <t>28 Saint Marys Ave</t>
  </si>
  <si>
    <t>810 Henderson Ave</t>
  </si>
  <si>
    <t>25965 148th Ave</t>
  </si>
  <si>
    <t>6584 Austin St</t>
  </si>
  <si>
    <t>620 Trinity Ave</t>
  </si>
  <si>
    <t>1818 Palmetto St</t>
  </si>
  <si>
    <t>1780 Pitkin Ave</t>
  </si>
  <si>
    <t>140 West  117th  Street #1A</t>
  </si>
  <si>
    <t>66 Post Ave</t>
  </si>
  <si>
    <t>62 W 124th St # 64</t>
  </si>
  <si>
    <t>381 Edgecombe Avenue 2D</t>
  </si>
  <si>
    <t>601 W 140th St</t>
  </si>
  <si>
    <t>583 E 178th St</t>
  </si>
  <si>
    <t>4094 Denman St</t>
  </si>
  <si>
    <t>470 W 141st St</t>
  </si>
  <si>
    <t>260 W 99th St</t>
  </si>
  <si>
    <t>2086 Bronx Park E</t>
  </si>
  <si>
    <t>592 Oak Ter</t>
  </si>
  <si>
    <t>225 Cross Bronx Expy</t>
  </si>
  <si>
    <t>769 Arnow Ave</t>
  </si>
  <si>
    <t>3506 Hull Ave</t>
  </si>
  <si>
    <t>312 W 93rd St</t>
  </si>
  <si>
    <t>725 Fdr Dr</t>
  </si>
  <si>
    <t>49 Saint Nicholas Ave</t>
  </si>
  <si>
    <t>408 W 150th st</t>
  </si>
  <si>
    <t>202 Lott Ave</t>
  </si>
  <si>
    <t>409 E 120th St</t>
  </si>
  <si>
    <t>489 Lincoln Ave</t>
  </si>
  <si>
    <t>12703 Jamaica Ave</t>
  </si>
  <si>
    <t>1325 5th Ave</t>
  </si>
  <si>
    <t>7141 252nd Street  Apt.181B</t>
  </si>
  <si>
    <t>14152 85th Rd</t>
  </si>
  <si>
    <t>3660 Oxford Ave</t>
  </si>
  <si>
    <t>402 E 136th St</t>
  </si>
  <si>
    <t>137 Stownsen Avenue</t>
  </si>
  <si>
    <t>1454 Walton Ave</t>
  </si>
  <si>
    <t>443 Miller Ave</t>
  </si>
  <si>
    <t>114 E 53rd St</t>
  </si>
  <si>
    <t>13775 Geranium Ave</t>
  </si>
  <si>
    <t>1632 Undercliff Ave</t>
  </si>
  <si>
    <t>226 W Tremont Ave</t>
  </si>
  <si>
    <t>6509 99th St</t>
  </si>
  <si>
    <t>215 Mount Hope Pl</t>
  </si>
  <si>
    <t>601 Albany Ave</t>
  </si>
  <si>
    <t>10204 184th St</t>
  </si>
  <si>
    <t>13245 85th St</t>
  </si>
  <si>
    <t>8750 111th St</t>
  </si>
  <si>
    <t>5611 94th St</t>
  </si>
  <si>
    <t>4140 Denman St</t>
  </si>
  <si>
    <t>8109 31st Ave</t>
  </si>
  <si>
    <t>11511 197th St</t>
  </si>
  <si>
    <t>253 Washington Ave</t>
  </si>
  <si>
    <t>620 E 137th St</t>
  </si>
  <si>
    <t>6741 Kissena Blvd</t>
  </si>
  <si>
    <t>412 Thomas S Boyland st</t>
  </si>
  <si>
    <t>522 Quincy St</t>
  </si>
  <si>
    <t>483 Pacific St</t>
  </si>
  <si>
    <t>357 Kosciuszko St</t>
  </si>
  <si>
    <t>4306 46th St</t>
  </si>
  <si>
    <t>1420 Grand Concourse</t>
  </si>
  <si>
    <t>147 E 81st St</t>
  </si>
  <si>
    <t>401 W 25th St</t>
  </si>
  <si>
    <t>2380 Hughes Ave</t>
  </si>
  <si>
    <t>610 W 180th St</t>
  </si>
  <si>
    <t>1575 E 174th St</t>
  </si>
  <si>
    <t>584 E 138th St</t>
  </si>
  <si>
    <t>109 Laurel Ave</t>
  </si>
  <si>
    <t>2505 University Ave</t>
  </si>
  <si>
    <t>2170 Ryer Ave</t>
  </si>
  <si>
    <t>1-29 Bogardus Place</t>
  </si>
  <si>
    <t>90 Laurel Hill Ter</t>
  </si>
  <si>
    <t>53 Luke Ct</t>
  </si>
  <si>
    <t>815 East 152nd Street</t>
  </si>
  <si>
    <t>2617 Halperin Ave</t>
  </si>
  <si>
    <t>2070 Grand Concourse</t>
  </si>
  <si>
    <t>100 Alcott Pl</t>
  </si>
  <si>
    <t>108 E Clarke Pl</t>
  </si>
  <si>
    <t>11619 155th St</t>
  </si>
  <si>
    <t>1663 Eastburn Ave</t>
  </si>
  <si>
    <t>3341 Decatur Ave</t>
  </si>
  <si>
    <t>410 E 173rd St</t>
  </si>
  <si>
    <t>4165 Forley St</t>
  </si>
  <si>
    <t>419 E 137th St</t>
  </si>
  <si>
    <t>217 Hull St</t>
  </si>
  <si>
    <t>3852 10th Ave</t>
  </si>
  <si>
    <t>184 Nagle Ave</t>
  </si>
  <si>
    <t>3546 65th St</t>
  </si>
  <si>
    <t>10412 105th St</t>
  </si>
  <si>
    <t>14135 85th Rd</t>
  </si>
  <si>
    <t>715 W 180th St</t>
  </si>
  <si>
    <t>31 Jackson Ave</t>
  </si>
  <si>
    <t>2724 University Ave</t>
  </si>
  <si>
    <t>248 Sherman Ave</t>
  </si>
  <si>
    <t>549 Isham St</t>
  </si>
  <si>
    <t>2111 Lafontaine Ave</t>
  </si>
  <si>
    <t>148 Corson Ave</t>
  </si>
  <si>
    <t>2814 W 8th St</t>
  </si>
  <si>
    <t>35 E 106th St</t>
  </si>
  <si>
    <t>1944 Madison Ave</t>
  </si>
  <si>
    <t>1311 Merriam Ave</t>
  </si>
  <si>
    <t>1160 Cromwell Ave</t>
  </si>
  <si>
    <t>5005 Broadway</t>
  </si>
  <si>
    <t>15910 109th Ave</t>
  </si>
  <si>
    <t>387 E Mosholu Pkwy N</t>
  </si>
  <si>
    <t>15508 110th Ave Bsmt</t>
  </si>
  <si>
    <t>12008 155th St</t>
  </si>
  <si>
    <t>281 York Ave</t>
  </si>
  <si>
    <t>1702 Amsterdam Ave</t>
  </si>
  <si>
    <t>202 Saint Nicholas Ave</t>
  </si>
  <si>
    <t>756 Pelham Pkwy S</t>
  </si>
  <si>
    <t>360 Onderdonk Ave</t>
  </si>
  <si>
    <t>148a Alaska St</t>
  </si>
  <si>
    <t>98 Morningside Ave</t>
  </si>
  <si>
    <t>2115 Ryer Ave</t>
  </si>
  <si>
    <t>2406 Eighth Ave</t>
  </si>
  <si>
    <t>160 W 116th St</t>
  </si>
  <si>
    <t>570 Fort Washington Ave</t>
  </si>
  <si>
    <t>584 W 152nd St</t>
  </si>
  <si>
    <t>150 W 197th St</t>
  </si>
  <si>
    <t>2486 Davidson Ave</t>
  </si>
  <si>
    <t>24119 132nd Rd</t>
  </si>
  <si>
    <t>208 Nagle Ave</t>
  </si>
  <si>
    <t>385 Fort Washington Avenue</t>
  </si>
  <si>
    <t>150 W Burnside Ave</t>
  </si>
  <si>
    <t>7523 113th St</t>
  </si>
  <si>
    <t>1273 Clay Ave</t>
  </si>
  <si>
    <t>1790 Clinton Ave</t>
  </si>
  <si>
    <t>254 Seaman Ave</t>
  </si>
  <si>
    <t>84 W 188th St</t>
  </si>
  <si>
    <t>1478 Walton Ave</t>
  </si>
  <si>
    <t>4259 Bowne St</t>
  </si>
  <si>
    <t>1485 Macombs Rd</t>
  </si>
  <si>
    <t>3239 White Plains Rd</t>
  </si>
  <si>
    <t>228a Jersey St</t>
  </si>
  <si>
    <t>259 E 182nd St</t>
  </si>
  <si>
    <t>2758 Cruger Ave</t>
  </si>
  <si>
    <t>2535 Matthews Ave</t>
  </si>
  <si>
    <t>2 Bay Club Dr</t>
  </si>
  <si>
    <t>16015 108th ave</t>
  </si>
  <si>
    <t>3264 44th St</t>
  </si>
  <si>
    <t>2348 130th St</t>
  </si>
  <si>
    <t>8444 98th St</t>
  </si>
  <si>
    <t>345 Herzl St</t>
  </si>
  <si>
    <t>345 86th St</t>
  </si>
  <si>
    <t>138 Union St</t>
  </si>
  <si>
    <t>654 Osborn St</t>
  </si>
  <si>
    <t>759 E 80th St</t>
  </si>
  <si>
    <t>190 Palmetto St</t>
  </si>
  <si>
    <t>604 W 135th St</t>
  </si>
  <si>
    <t>373 42nd St</t>
  </si>
  <si>
    <t>15850 76th Ave</t>
  </si>
  <si>
    <t>14518 34th Ave</t>
  </si>
  <si>
    <t>19524 Jamaica Ave</t>
  </si>
  <si>
    <t>9017 198th St</t>
  </si>
  <si>
    <t>19104 Jamaica Ave</t>
  </si>
  <si>
    <t>10216 215th St</t>
  </si>
  <si>
    <t>780 Saint Anns Ave</t>
  </si>
  <si>
    <t>1307 Edward L grant hwy</t>
  </si>
  <si>
    <t>1590 E New York Ave</t>
  </si>
  <si>
    <t>1545 Fulton Ave</t>
  </si>
  <si>
    <t>1080 Anderson Ave</t>
  </si>
  <si>
    <t>9728 57th Ave</t>
  </si>
  <si>
    <t>3059 34th St</t>
  </si>
  <si>
    <t>2314 28th St</t>
  </si>
  <si>
    <t>17111 103rd Rd</t>
  </si>
  <si>
    <t>320 Morris Ave</t>
  </si>
  <si>
    <t>2045 Shore Blvd</t>
  </si>
  <si>
    <t>9150 191st St</t>
  </si>
  <si>
    <t>5145 Almeda Ave</t>
  </si>
  <si>
    <t>1756 Park Pl</t>
  </si>
  <si>
    <t>1169 Nostrand Ave</t>
  </si>
  <si>
    <t>P.O.Box 1213</t>
  </si>
  <si>
    <t>41 Wellington Ct</t>
  </si>
  <si>
    <t>1 Edgar Ter</t>
  </si>
  <si>
    <t>698 Sterling Pl</t>
  </si>
  <si>
    <t>6 Albany Ave</t>
  </si>
  <si>
    <t>754 Park Pl</t>
  </si>
  <si>
    <t>117 Seneca St</t>
  </si>
  <si>
    <t>2536 Cruger Ave</t>
  </si>
  <si>
    <t>1075 Grand Concourse</t>
  </si>
  <si>
    <t>208 S 1st St</t>
  </si>
  <si>
    <t>440 Watkins St</t>
  </si>
  <si>
    <t>20 W 115th St</t>
  </si>
  <si>
    <t>563 West 184th Street</t>
  </si>
  <si>
    <t>132 Sherman Ave Apt 3</t>
  </si>
  <si>
    <t>172 Nagle Ave Apt 34</t>
  </si>
  <si>
    <t>11539 135th St</t>
  </si>
  <si>
    <t>67 Manhattan Ave</t>
  </si>
  <si>
    <t>2985 Botanical Sq</t>
  </si>
  <si>
    <t>2537 Grand Concourse</t>
  </si>
  <si>
    <t>8819 193rd St</t>
  </si>
  <si>
    <t>6402 Eliot Ave</t>
  </si>
  <si>
    <t>12403 149th Ave</t>
  </si>
  <si>
    <t>648 E 91st St</t>
  </si>
  <si>
    <t>4464 Park Ave</t>
  </si>
  <si>
    <t>139 Father Capodanno Blvd</t>
  </si>
  <si>
    <t>21223 Jamaica Ave</t>
  </si>
  <si>
    <t>1720 Willoughby Ave</t>
  </si>
  <si>
    <t>325 E 194th St</t>
  </si>
  <si>
    <t>529 W 133rd ST</t>
  </si>
  <si>
    <t>13526 Rockaway Blvd</t>
  </si>
  <si>
    <t>11645 148th St</t>
  </si>
  <si>
    <t>71 Pilling St</t>
  </si>
  <si>
    <t>1368 Eggert Pl</t>
  </si>
  <si>
    <t>312 Court St</t>
  </si>
  <si>
    <t>1590 Metropolitan Ave</t>
  </si>
  <si>
    <t>45 E Mosholu Pkwy N</t>
  </si>
  <si>
    <t>1821 Mohegan Ave</t>
  </si>
  <si>
    <t>7 Hegeman Ave</t>
  </si>
  <si>
    <t>2516 Claredon Road</t>
  </si>
  <si>
    <t>520 Jefferson Ave</t>
  </si>
  <si>
    <t>360 Hancock St</t>
  </si>
  <si>
    <t>195 E 2nd St</t>
  </si>
  <si>
    <t>11431 157th St</t>
  </si>
  <si>
    <t>11631 169th St</t>
  </si>
  <si>
    <t>8345 Broadway</t>
  </si>
  <si>
    <t>2070 Adam Clayton Powell Jr Blvd</t>
  </si>
  <si>
    <t>40 Sharrotts Ln</t>
  </si>
  <si>
    <t>34 Layton Ave</t>
  </si>
  <si>
    <t>4237 Hampton St</t>
  </si>
  <si>
    <t>1265 Olmstead Ave # 69</t>
  </si>
  <si>
    <t>2035 Marmion Ave</t>
  </si>
  <si>
    <t>1790 Story Ave</t>
  </si>
  <si>
    <t>1 Haven Plz</t>
  </si>
  <si>
    <t>434 W 120th St</t>
  </si>
  <si>
    <t>540 Manhattan Ave</t>
  </si>
  <si>
    <t>17810 Sayres Ave</t>
  </si>
  <si>
    <t>3444 White Plains Rd</t>
  </si>
  <si>
    <t>317 E 178th St</t>
  </si>
  <si>
    <t>745 E 152nd St</t>
  </si>
  <si>
    <t>12054 178th St</t>
  </si>
  <si>
    <t>1786 Amsterdam Ave</t>
  </si>
  <si>
    <t>237 W 105th St</t>
  </si>
  <si>
    <t>510 W 152nd St</t>
  </si>
  <si>
    <t>342 Lenox Ave</t>
  </si>
  <si>
    <t>2285 Bathgate Ave</t>
  </si>
  <si>
    <t>400 W 113th St</t>
  </si>
  <si>
    <t>17 W 118th St</t>
  </si>
  <si>
    <t>513 Fairview Ave</t>
  </si>
  <si>
    <t>2817 Barker Ave</t>
  </si>
  <si>
    <t>1561 Metropolitan Ave</t>
  </si>
  <si>
    <t>12327 Merrick Blvd</t>
  </si>
  <si>
    <t>2682 Creston Ave</t>
  </si>
  <si>
    <t>2522 University Ave</t>
  </si>
  <si>
    <t>365 Ford St</t>
  </si>
  <si>
    <t>8925 Elmhurst Ave</t>
  </si>
  <si>
    <t>9201 Lamont Ave</t>
  </si>
  <si>
    <t>668 Riverside Dr</t>
  </si>
  <si>
    <t>2070 7th Ave</t>
  </si>
  <si>
    <t>815 Gerard Ave</t>
  </si>
  <si>
    <t>135 Hamilton Pl</t>
  </si>
  <si>
    <t>122 Roe St</t>
  </si>
  <si>
    <t>1411 E 88th St</t>
  </si>
  <si>
    <t>8402 4th Ave</t>
  </si>
  <si>
    <t>2242 Tiebout Ave</t>
  </si>
  <si>
    <t>7018 34th Ave Apt. 2B</t>
  </si>
  <si>
    <t>526 Travis Ave</t>
  </si>
  <si>
    <t>11109 76th Rd</t>
  </si>
  <si>
    <t>12603 115th Ave</t>
  </si>
  <si>
    <t>25126 Northern Blvd</t>
  </si>
  <si>
    <t>14071 Ash Ave</t>
  </si>
  <si>
    <t>7108 Parsons Blvd</t>
  </si>
  <si>
    <t>3125 Tibbett Ave</t>
  </si>
  <si>
    <t>140 Henry St</t>
  </si>
  <si>
    <t>50 W Gun Hill Rd</t>
  </si>
  <si>
    <t>1019 East 215th Street</t>
  </si>
  <si>
    <t>31 South Ave</t>
  </si>
  <si>
    <t>1322 Avenue M</t>
  </si>
  <si>
    <t>17 E 198th St</t>
  </si>
  <si>
    <t>2200 85th St</t>
  </si>
  <si>
    <t>805 Pelham Parkway North</t>
  </si>
  <si>
    <t>3412 103rd St</t>
  </si>
  <si>
    <t>9043 209th St</t>
  </si>
  <si>
    <t>675 Lincoln Ave</t>
  </si>
  <si>
    <t>1255 Blake Ave</t>
  </si>
  <si>
    <t>30 Daniel Low Ter</t>
  </si>
  <si>
    <t>356 Arlington Ave</t>
  </si>
  <si>
    <t>704 Elton St</t>
  </si>
  <si>
    <t>2081 Fulton St</t>
  </si>
  <si>
    <t>540 W 157th St</t>
  </si>
  <si>
    <t>1380 Riverside Dr</t>
  </si>
  <si>
    <t>130 E 115th St</t>
  </si>
  <si>
    <t>10703 Waltham St</t>
  </si>
  <si>
    <t>3704 Willett Ave</t>
  </si>
  <si>
    <t>469 Ridgewood Ave</t>
  </si>
  <si>
    <t>1345 5th Ave</t>
  </si>
  <si>
    <t>812 Riverside Dr</t>
  </si>
  <si>
    <t>537 W 156th St</t>
  </si>
  <si>
    <t>354 E 54th St</t>
  </si>
  <si>
    <t>539 W 179th St</t>
  </si>
  <si>
    <t>1823 White Plains Rd</t>
  </si>
  <si>
    <t>2380 Grand Ave</t>
  </si>
  <si>
    <t>1049 Montgomery St</t>
  </si>
  <si>
    <t>325 E 106th St</t>
  </si>
  <si>
    <t>177-19 Troutville Road, Top Floor, 2nd Room</t>
  </si>
  <si>
    <t>145 W 142nd St</t>
  </si>
  <si>
    <t>37-49 Payson Ave</t>
  </si>
  <si>
    <t>104 W 138th St</t>
  </si>
  <si>
    <t>250 W 146th St</t>
  </si>
  <si>
    <t>3229 Griswold Ave</t>
  </si>
  <si>
    <t>1386 Nelson Ave</t>
  </si>
  <si>
    <t>25 Benton Ct</t>
  </si>
  <si>
    <t>8443 130th St</t>
  </si>
  <si>
    <t>445 E 174th St</t>
  </si>
  <si>
    <t>215 W 242nd St</t>
  </si>
  <si>
    <t>3322 Decatur Avenue</t>
  </si>
  <si>
    <t>1563 Parker St</t>
  </si>
  <si>
    <t>120 Beach 26th St</t>
  </si>
  <si>
    <t>2810 Olinville Ave</t>
  </si>
  <si>
    <t>735 Lincoln Ave</t>
  </si>
  <si>
    <t>376 Montauk Ave</t>
  </si>
  <si>
    <t>1824 Cornelia St</t>
  </si>
  <si>
    <t>90 N Railroad Ave</t>
  </si>
  <si>
    <t>60 Thayer St</t>
  </si>
  <si>
    <t>10 Post Ave</t>
  </si>
  <si>
    <t>544 Academy St</t>
  </si>
  <si>
    <t>132 Sherman Ave</t>
  </si>
  <si>
    <t>173 Brabant St</t>
  </si>
  <si>
    <t>1326 Clay Ave</t>
  </si>
  <si>
    <t>8815 168th St</t>
  </si>
  <si>
    <t>7915 Cypress Ave</t>
  </si>
  <si>
    <t>4196 Gleane St</t>
  </si>
  <si>
    <t>927 Lenox Rd</t>
  </si>
  <si>
    <t>930 W End Ave</t>
  </si>
  <si>
    <t>2351 Haviland Ave</t>
  </si>
  <si>
    <t>393 Lenox Ave</t>
  </si>
  <si>
    <t>1470 Amsterdam Ave</t>
  </si>
  <si>
    <t>3234 N Chestnut Dr</t>
  </si>
  <si>
    <t>550 W 125th St</t>
  </si>
  <si>
    <t>12701 172nd St</t>
  </si>
  <si>
    <t>595 Calhoun Ave</t>
  </si>
  <si>
    <t>1295 5th Ave</t>
  </si>
  <si>
    <t>441 E 116th St</t>
  </si>
  <si>
    <t>1425 Univ Ave</t>
  </si>
  <si>
    <t>125 Miller Ave</t>
  </si>
  <si>
    <t>12445 Flatlands Ave</t>
  </si>
  <si>
    <t>4011 60th St</t>
  </si>
  <si>
    <t>421 Astoria Blvd</t>
  </si>
  <si>
    <t>1154 Ward Ave</t>
  </si>
  <si>
    <t>294 E 162nd St</t>
  </si>
  <si>
    <t>1368 Webster Ave</t>
  </si>
  <si>
    <t>1235 Morris Ave</t>
  </si>
  <si>
    <t>2 Starboard Ct</t>
  </si>
  <si>
    <t>245 Hawthorne St</t>
  </si>
  <si>
    <t>1949 7th Ave</t>
  </si>
  <si>
    <t>152 E 84th St</t>
  </si>
  <si>
    <t>16339 130th Ave</t>
  </si>
  <si>
    <t>1142 Bryant Ave</t>
  </si>
  <si>
    <t>35 Cheryl Ave</t>
  </si>
  <si>
    <t>421 Union St</t>
  </si>
  <si>
    <t>9308 89th Ave</t>
  </si>
  <si>
    <t>9830 67th Ave</t>
  </si>
  <si>
    <t>711C Seagirt Ave</t>
  </si>
  <si>
    <t>711D Seagirt Ave</t>
  </si>
  <si>
    <t>711C Seagirt Arve</t>
  </si>
  <si>
    <t>1901 Dorchester Rd</t>
  </si>
  <si>
    <t>1401 Elm Ave</t>
  </si>
  <si>
    <t>415 E 16th St</t>
  </si>
  <si>
    <t>902 Drew st</t>
  </si>
  <si>
    <t>352 Montauk Ave</t>
  </si>
  <si>
    <t>2520 76th St</t>
  </si>
  <si>
    <t>1275 Union st</t>
  </si>
  <si>
    <t>870 Southern Blvd</t>
  </si>
  <si>
    <t>1162 Sheridan Ave</t>
  </si>
  <si>
    <t>930 Grand Concourse</t>
  </si>
  <si>
    <t>1695 Grand Concourse</t>
  </si>
  <si>
    <t>314 E 143rd St</t>
  </si>
  <si>
    <t>1264 Sheridan Ave</t>
  </si>
  <si>
    <t>10049 200th St</t>
  </si>
  <si>
    <t>7525 153rd St</t>
  </si>
  <si>
    <t>13316 Centreville St</t>
  </si>
  <si>
    <t>15 Post Ave</t>
  </si>
  <si>
    <t>312 W 116th St</t>
  </si>
  <si>
    <t>183-20 140th avene</t>
  </si>
  <si>
    <t>180 Grafton St</t>
  </si>
  <si>
    <t>1777 grand concourse</t>
  </si>
  <si>
    <t>1940 Andrews Ave</t>
  </si>
  <si>
    <t>1940 Andrews Ave S</t>
  </si>
  <si>
    <t>2001 Morris Avenue</t>
  </si>
  <si>
    <t>1926 Crotona Pkwy</t>
  </si>
  <si>
    <t>415 E 157th St</t>
  </si>
  <si>
    <t>782 E 163rd St</t>
  </si>
  <si>
    <t>9 Post Ave</t>
  </si>
  <si>
    <t>4411 Church Ave</t>
  </si>
  <si>
    <t>3139 Gunther Ave</t>
  </si>
  <si>
    <t>20 W 190th St</t>
  </si>
  <si>
    <t>1006 Rhinelander Ave</t>
  </si>
  <si>
    <t>1661 Topping Ave</t>
  </si>
  <si>
    <t>105 3rd Ave</t>
  </si>
  <si>
    <t>109 E 59th St</t>
  </si>
  <si>
    <t>1815 George St</t>
  </si>
  <si>
    <t>4135 53rd St</t>
  </si>
  <si>
    <t>826 E 16th St</t>
  </si>
  <si>
    <t>14801 Rockaway Blvd</t>
  </si>
  <si>
    <t>304 Echo Pl</t>
  </si>
  <si>
    <t>1068 Winthrop St</t>
  </si>
  <si>
    <t>45 Twin Pines Dr</t>
  </si>
  <si>
    <t>215-31B Queen Village</t>
  </si>
  <si>
    <t>903 Drew St</t>
  </si>
  <si>
    <t>476 W 141st St</t>
  </si>
  <si>
    <t>416 E 187th St</t>
  </si>
  <si>
    <t>1575 Townsend Ave</t>
  </si>
  <si>
    <t>2685 University Ave</t>
  </si>
  <si>
    <t>18 W 103rd St</t>
  </si>
  <si>
    <t>721 Tinton Ave</t>
  </si>
  <si>
    <t>2105 Cruger Avenue</t>
  </si>
  <si>
    <t>21 W 112th st</t>
  </si>
  <si>
    <t>615 W 135th St</t>
  </si>
  <si>
    <t>2211 8th Ave</t>
  </si>
  <si>
    <t>546 W 146th St</t>
  </si>
  <si>
    <t>375 E 209th St</t>
  </si>
  <si>
    <t>359 East 163rd Street</t>
  </si>
  <si>
    <t>424 W 146th St</t>
  </si>
  <si>
    <t>1415 Mott Ave</t>
  </si>
  <si>
    <t>1415 Mott Ave Apt 4</t>
  </si>
  <si>
    <t>2246 79th St</t>
  </si>
  <si>
    <t>4737 45th St</t>
  </si>
  <si>
    <t>2180 Tiebout Ave</t>
  </si>
  <si>
    <t>73 W 116th St</t>
  </si>
  <si>
    <t>9813 Northern Blvd</t>
  </si>
  <si>
    <t>13927 247th St</t>
  </si>
  <si>
    <t>10049 195th St</t>
  </si>
  <si>
    <t>17903 145th Ave</t>
  </si>
  <si>
    <t>1381 Sterling Pl</t>
  </si>
  <si>
    <t>10926 174th St</t>
  </si>
  <si>
    <t>1873 2nd Ave</t>
  </si>
  <si>
    <t>3339 Park Ave</t>
  </si>
  <si>
    <t>599 Morris Ave</t>
  </si>
  <si>
    <t>950 Woodycrest Ave</t>
  </si>
  <si>
    <t>10242 63rd Rd</t>
  </si>
  <si>
    <t>13523 82nd Ave</t>
  </si>
  <si>
    <t>8907 139th St</t>
  </si>
  <si>
    <t>2500 University Ave</t>
  </si>
  <si>
    <t>1675 Grand Concourse</t>
  </si>
  <si>
    <t>2037 Belmont Ave</t>
  </si>
  <si>
    <t>2112 Fulton St</t>
  </si>
  <si>
    <t>10204 89th St</t>
  </si>
  <si>
    <t>3519 161st St</t>
  </si>
  <si>
    <t>19215b 69th Ave</t>
  </si>
  <si>
    <t>5302 6th Ave</t>
  </si>
  <si>
    <t>100 Arden Stree</t>
  </si>
  <si>
    <t>2250 Haviland ave</t>
  </si>
  <si>
    <t>19715 91st Rd</t>
  </si>
  <si>
    <t>3216 Decatur Ave</t>
  </si>
  <si>
    <t>525 W 52nd St</t>
  </si>
  <si>
    <t>1158 Colgate Ave</t>
  </si>
  <si>
    <t>10454 164th St</t>
  </si>
  <si>
    <t>5240 Broadway</t>
  </si>
  <si>
    <t>74 Leonard St</t>
  </si>
  <si>
    <t>219 E 97th St</t>
  </si>
  <si>
    <t>247 Wadsworth Ave</t>
  </si>
  <si>
    <t>2255 5th Ave</t>
  </si>
  <si>
    <t>325 E 88th St</t>
  </si>
  <si>
    <t>125 W 228th St</t>
  </si>
  <si>
    <t>40 W 115th St</t>
  </si>
  <si>
    <t>3050 Bainbridge Ave</t>
  </si>
  <si>
    <t>2615 Jerome Ave</t>
  </si>
  <si>
    <t>431 E 102nd St</t>
  </si>
  <si>
    <t>615 W 176th St</t>
  </si>
  <si>
    <t>210 Eldridge St</t>
  </si>
  <si>
    <t>158 W 144th St</t>
  </si>
  <si>
    <t>450 W 17th St</t>
  </si>
  <si>
    <t>839 Riverside Dr</t>
  </si>
  <si>
    <t>9034 205th St</t>
  </si>
  <si>
    <t>12816 Mars Pl</t>
  </si>
  <si>
    <t>134-49 166 Place</t>
  </si>
  <si>
    <t>6946 Almeda Ave</t>
  </si>
  <si>
    <t>259 W 122nd St</t>
  </si>
  <si>
    <t>10628 Union Hall St</t>
  </si>
  <si>
    <t>4215 81st St</t>
  </si>
  <si>
    <t>1240 Westchester Ave</t>
  </si>
  <si>
    <t>1969 Hughes Ave</t>
  </si>
  <si>
    <t>10902 Sutphin Blvd</t>
  </si>
  <si>
    <t>1700 Hoe Avenue</t>
  </si>
  <si>
    <t>16856 119th Ave</t>
  </si>
  <si>
    <t>1651 Hunt Ave</t>
  </si>
  <si>
    <t>10646 Guy R Brewer Blvd</t>
  </si>
  <si>
    <t>1500 Archer Rd</t>
  </si>
  <si>
    <t>3505 Wayne Ave</t>
  </si>
  <si>
    <t>6424 Madison St</t>
  </si>
  <si>
    <t>2085 Valentine Ave</t>
  </si>
  <si>
    <t>1711 Davidson Ave</t>
  </si>
  <si>
    <t>1504 Metropolitan Ave</t>
  </si>
  <si>
    <t>2932 Beach Channel Dr</t>
  </si>
  <si>
    <t>1129 Manor Ave</t>
  </si>
  <si>
    <t>1055 Walton Ave</t>
  </si>
  <si>
    <t>1589 President St</t>
  </si>
  <si>
    <t>135 Roff St</t>
  </si>
  <si>
    <t>1331 Bay St</t>
  </si>
  <si>
    <t>871 E 220th St</t>
  </si>
  <si>
    <t>14478 177th St</t>
  </si>
  <si>
    <t>2255 Morris Ave</t>
  </si>
  <si>
    <t>760 Park Ave</t>
  </si>
  <si>
    <t>141 Hendricks Ave</t>
  </si>
  <si>
    <t>111 Beach St</t>
  </si>
  <si>
    <t>9315 Fort Hamilton Pkwy</t>
  </si>
  <si>
    <t>1444 Lincoln Pl</t>
  </si>
  <si>
    <t>1268 Pacific St</t>
  </si>
  <si>
    <t>570 Belmont Ave</t>
  </si>
  <si>
    <t>5909 11th Ave</t>
  </si>
  <si>
    <t>14074 34th Ave</t>
  </si>
  <si>
    <t>99 Pine St</t>
  </si>
  <si>
    <t>95 Lenox Ave</t>
  </si>
  <si>
    <t>10 Lewis Ave</t>
  </si>
  <si>
    <t>3620 Parsons Blvd</t>
  </si>
  <si>
    <t>153 Father Zeiser Pl</t>
  </si>
  <si>
    <t>14340 222nd St</t>
  </si>
  <si>
    <t>1721 Gleason Ave</t>
  </si>
  <si>
    <t>132 Scribner Ave</t>
  </si>
  <si>
    <t>3102 Willow Lane</t>
  </si>
  <si>
    <t>1210 Gates Ave</t>
  </si>
  <si>
    <t>2309 Belmont Ave</t>
  </si>
  <si>
    <t>1430 Amsterdam Ave</t>
  </si>
  <si>
    <t>6730 161st St</t>
  </si>
  <si>
    <t>10413 177th St</t>
  </si>
  <si>
    <t>6096 67th Ave</t>
  </si>
  <si>
    <t>1540 Unionport Rd</t>
  </si>
  <si>
    <t>1038 Woodycrest Ave</t>
  </si>
  <si>
    <t>3521 Dekalb Ave</t>
  </si>
  <si>
    <t>1534 Selwyn Ave</t>
  </si>
  <si>
    <t>18413 Jamaica Ave</t>
  </si>
  <si>
    <t>21620 113th Ave</t>
  </si>
  <si>
    <t>3340 Decatur Ave</t>
  </si>
  <si>
    <t>188 Linden Blvd</t>
  </si>
  <si>
    <t>553 58th St</t>
  </si>
  <si>
    <t>9903 212th St</t>
  </si>
  <si>
    <t>1821 Menahan St</t>
  </si>
  <si>
    <t>2647 Sedgwick Ave</t>
  </si>
  <si>
    <t>2724 Cruger Ave</t>
  </si>
  <si>
    <t>808 Adee Ave</t>
  </si>
  <si>
    <t>2645 3rd Ave</t>
  </si>
  <si>
    <t>159 Brielle Ave</t>
  </si>
  <si>
    <t>10257 184th St</t>
  </si>
  <si>
    <t>4211 Gleane St</t>
  </si>
  <si>
    <t>61 Ten Eyck St</t>
  </si>
  <si>
    <t>1855 Bogart Ave</t>
  </si>
  <si>
    <t>9213 76th St</t>
  </si>
  <si>
    <t>585 N Railroad Ave</t>
  </si>
  <si>
    <t>90 Thomas S Boyland St</t>
  </si>
  <si>
    <t>7045 66th St</t>
  </si>
  <si>
    <t>615 Barretto St</t>
  </si>
  <si>
    <t>3615 Greystone Ave</t>
  </si>
  <si>
    <t>1192 Ocean Ave</t>
  </si>
  <si>
    <t>659 Euclid Ave</t>
  </si>
  <si>
    <t>803 Fairmount Place</t>
  </si>
  <si>
    <t>1605 Walton Ave</t>
  </si>
  <si>
    <t>2031 Hughes Ave</t>
  </si>
  <si>
    <t>2710 Morris Ave</t>
  </si>
  <si>
    <t>54 Linden Blvd</t>
  </si>
  <si>
    <t>2555 Boston Rd</t>
  </si>
  <si>
    <t>140 Vermilyea Ave</t>
  </si>
  <si>
    <t>179 Linden Blvd</t>
  </si>
  <si>
    <t>249 Lockman Ave</t>
  </si>
  <si>
    <t>165 Seaman Ave</t>
  </si>
  <si>
    <t>1469 East Ave</t>
  </si>
  <si>
    <t>2735 Yates Ave</t>
  </si>
  <si>
    <t>2240 Tiebout Ave</t>
  </si>
  <si>
    <t>9805 67th Ave</t>
  </si>
  <si>
    <t>1726 Colden Ave</t>
  </si>
  <si>
    <t>749 Willow Rd W</t>
  </si>
  <si>
    <t>289 Westwood Ave</t>
  </si>
  <si>
    <t>55 E 208th St</t>
  </si>
  <si>
    <t>635 E 233rd St</t>
  </si>
  <si>
    <t>11734 134th St</t>
  </si>
  <si>
    <t>412 W 129th St</t>
  </si>
  <si>
    <t>83 Father Capodanno Blvd</t>
  </si>
  <si>
    <t>70 Lenox Ave</t>
  </si>
  <si>
    <t>1315 Amsterdam Ave</t>
  </si>
  <si>
    <t>160 W 97th St</t>
  </si>
  <si>
    <t>502 W 135th St</t>
  </si>
  <si>
    <t>12606 172nd St</t>
  </si>
  <si>
    <t>140 W 129th St</t>
  </si>
  <si>
    <t>1980 Unionport Rd</t>
  </si>
  <si>
    <t>1450 Jesup Ave</t>
  </si>
  <si>
    <t>2912 Gunther Ave</t>
  </si>
  <si>
    <t>15110 35th Ave</t>
  </si>
  <si>
    <t>252 Sherman Aveue</t>
  </si>
  <si>
    <t>110 w 111th st</t>
  </si>
  <si>
    <t>100 W 93rd St</t>
  </si>
  <si>
    <t>1652 Park Ave</t>
  </si>
  <si>
    <t>1652 Park ave</t>
  </si>
  <si>
    <t>202 Walker St</t>
  </si>
  <si>
    <t>10615 Guy R Brewer Blvd</t>
  </si>
  <si>
    <t>11 Mckeever Pl</t>
  </si>
  <si>
    <t>605 Liberty Ave</t>
  </si>
  <si>
    <t>2280 Grand Ave.</t>
  </si>
  <si>
    <t>1301 Hoe Ave</t>
  </si>
  <si>
    <t>3242 Decatur Ave</t>
  </si>
  <si>
    <t>1001 University Ave</t>
  </si>
  <si>
    <t>1 Metrotech Ctr N</t>
  </si>
  <si>
    <t>2420 Morris Ave</t>
  </si>
  <si>
    <t>10635 159th St</t>
  </si>
  <si>
    <t>992 Williams Ave</t>
  </si>
  <si>
    <t>3664 Barnes Ave</t>
  </si>
  <si>
    <t>3441 42nd St</t>
  </si>
  <si>
    <t>383 Livonia Ave</t>
  </si>
  <si>
    <t>1060 Anderson Ave</t>
  </si>
  <si>
    <t>5420 Netherland Ave</t>
  </si>
  <si>
    <t>206 Astoria Blvd</t>
  </si>
  <si>
    <t>8748 78th St</t>
  </si>
  <si>
    <t>8546 115th St</t>
  </si>
  <si>
    <t>11616  Rockaway park 2nd Fl.</t>
  </si>
  <si>
    <t>4109 10th St</t>
  </si>
  <si>
    <t>829 Halsey St</t>
  </si>
  <si>
    <t>332 Rogers Ave</t>
  </si>
  <si>
    <t>1818 Newkirk Ave</t>
  </si>
  <si>
    <t>3214 Beverley Rd</t>
  </si>
  <si>
    <t>2406 University Ave</t>
  </si>
  <si>
    <t>558 Ralph Ave</t>
  </si>
  <si>
    <t>1374 Bronx River Ave</t>
  </si>
  <si>
    <t>1755 Bruckner blvd</t>
  </si>
  <si>
    <t>124 E 117th ST</t>
  </si>
  <si>
    <t>1417 Longfellow Ave</t>
  </si>
  <si>
    <t>7221 153rd St</t>
  </si>
  <si>
    <t>3424 Gates Pl</t>
  </si>
  <si>
    <t>40 Jackson St</t>
  </si>
  <si>
    <t>200 W 136TH ST</t>
  </si>
  <si>
    <t>164 Steuben St</t>
  </si>
  <si>
    <t>22 E 108th St</t>
  </si>
  <si>
    <t>1645 Grand Ave</t>
  </si>
  <si>
    <t>72 -78 Wadsworth Terrace</t>
  </si>
  <si>
    <t>301 W 150th St</t>
  </si>
  <si>
    <t>150 E 44th st</t>
  </si>
  <si>
    <t>548 W 164th st</t>
  </si>
  <si>
    <t>16 Vanderbilt Ave</t>
  </si>
  <si>
    <t>307 W 153rd St</t>
  </si>
  <si>
    <t>180 South St</t>
  </si>
  <si>
    <t>2012 3rd Ave</t>
  </si>
  <si>
    <t>230 W 131st St</t>
  </si>
  <si>
    <t>2449 33rd St</t>
  </si>
  <si>
    <t>2326 Loring Pl N</t>
  </si>
  <si>
    <t>4298 Park Ave</t>
  </si>
  <si>
    <t>204 Arlington Pl</t>
  </si>
  <si>
    <t>154 Broome St</t>
  </si>
  <si>
    <t>286 W 147th St</t>
  </si>
  <si>
    <t>9 Thayer St</t>
  </si>
  <si>
    <t>392 Rockaway Pkwy</t>
  </si>
  <si>
    <t>1136 Elder Ave</t>
  </si>
  <si>
    <t>751 Dawson St</t>
  </si>
  <si>
    <t>16824 127th Ave</t>
  </si>
  <si>
    <t>17728 105th Ave</t>
  </si>
  <si>
    <t>248 Audubon Ave</t>
  </si>
  <si>
    <t>15010 Yates Rd</t>
  </si>
  <si>
    <t>1626 Madison St</t>
  </si>
  <si>
    <t>116 36 169th st</t>
  </si>
  <si>
    <t>25 E 21st St</t>
  </si>
  <si>
    <t>9912 37th Ave</t>
  </si>
  <si>
    <t>11231 179th St</t>
  </si>
  <si>
    <t>477 Saratoga Ave</t>
  </si>
  <si>
    <t>1750 Watson Ave</t>
  </si>
  <si>
    <t>1646 Anthony Ave</t>
  </si>
  <si>
    <t>69 W Burnside Ave</t>
  </si>
  <si>
    <t>4516 49th st</t>
  </si>
  <si>
    <t>1090 Saint Nicholas Ave</t>
  </si>
  <si>
    <t>3560 Olinville Ave</t>
  </si>
  <si>
    <t>615 W 164th St</t>
  </si>
  <si>
    <t>220 Wadsworth Ave</t>
  </si>
  <si>
    <t>4966 Broadway</t>
  </si>
  <si>
    <t>2184 S Railroad Ave</t>
  </si>
  <si>
    <t>1316 Needham Ave</t>
  </si>
  <si>
    <t>5926 48th Ave</t>
  </si>
  <si>
    <t>640 W 153rd St</t>
  </si>
  <si>
    <t>3081 Villa Ave</t>
  </si>
  <si>
    <t>2928 Jerome Ave</t>
  </si>
  <si>
    <t>679 E 223rd St</t>
  </si>
  <si>
    <t>608 Van Nest Ave</t>
  </si>
  <si>
    <t>711 E 218th St</t>
  </si>
  <si>
    <t>1110 Wyatt St</t>
  </si>
  <si>
    <t>239 E 207th St</t>
  </si>
  <si>
    <t>506 W 178th St</t>
  </si>
  <si>
    <t>121 Simonson Ave</t>
  </si>
  <si>
    <t>121 Freedom Ave</t>
  </si>
  <si>
    <t>600 W 144th st</t>
  </si>
  <si>
    <t>2612 Broadway</t>
  </si>
  <si>
    <t>97-20 57th avenue</t>
  </si>
  <si>
    <t>9405 35th Ave</t>
  </si>
  <si>
    <t>166 W 87th St</t>
  </si>
  <si>
    <t>111 W 123rd St</t>
  </si>
  <si>
    <t>507 W 147th St</t>
  </si>
  <si>
    <t>1459 Taylor Ave</t>
  </si>
  <si>
    <t>1069 Flushing Ave</t>
  </si>
  <si>
    <t>106 Gerry St</t>
  </si>
  <si>
    <t>16606 75th Ave</t>
  </si>
  <si>
    <t>1870 211th St</t>
  </si>
  <si>
    <t>6700 192nd St</t>
  </si>
  <si>
    <t>498 Halsey St</t>
  </si>
  <si>
    <t>1109 Forest Ave</t>
  </si>
  <si>
    <t>500 E 134th St</t>
  </si>
  <si>
    <t>6706 Myrtle Ave</t>
  </si>
  <si>
    <t>3115 95th St Bsmt</t>
  </si>
  <si>
    <t>16319 Phroane Ave</t>
  </si>
  <si>
    <t>2386 Walton Ave</t>
  </si>
  <si>
    <t>907 Southern Blvd</t>
  </si>
  <si>
    <t>762 Morris Park Ave</t>
  </si>
  <si>
    <t>10721 Jamaica Ave</t>
  </si>
  <si>
    <t>3415 12th St</t>
  </si>
  <si>
    <t>3312 White Plains Rd</t>
  </si>
  <si>
    <t>47 Montauk Ave</t>
  </si>
  <si>
    <t>1254 Decatur St</t>
  </si>
  <si>
    <t>902 Avenue C</t>
  </si>
  <si>
    <t>9729 134th St</t>
  </si>
  <si>
    <t>15109 34th Ave</t>
  </si>
  <si>
    <t>1125 Sheridan Ave</t>
  </si>
  <si>
    <t>14439 230th St</t>
  </si>
  <si>
    <t>251 Sherman Ave</t>
  </si>
  <si>
    <t>14725 88th Ave</t>
  </si>
  <si>
    <t>551 W 185th St</t>
  </si>
  <si>
    <t>2036 Bathgate Ave</t>
  </si>
  <si>
    <t>7 Navy Pier Ct</t>
  </si>
  <si>
    <t>1008 Summit Ave</t>
  </si>
  <si>
    <t>1541 Williamsbridge Rd</t>
  </si>
  <si>
    <t>870 courtlandt ave</t>
  </si>
  <si>
    <t>398 Crescent St</t>
  </si>
  <si>
    <t>1300 Richmond Ave</t>
  </si>
  <si>
    <t>3030 Middletown Rd</t>
  </si>
  <si>
    <t>305 W 97th St</t>
  </si>
  <si>
    <t>129 W 179th St</t>
  </si>
  <si>
    <t>783 Roffville Avenue</t>
  </si>
  <si>
    <t>1172 Union Ave</t>
  </si>
  <si>
    <t>3961 Carpenter Ave</t>
  </si>
  <si>
    <t>13449 166th pl</t>
  </si>
  <si>
    <t>1152 Elton St</t>
  </si>
  <si>
    <t>2261 Andrews Ave</t>
  </si>
  <si>
    <t>660 Thwaites Pl</t>
  </si>
  <si>
    <t>3014 Barker Ave</t>
  </si>
  <si>
    <t>509 W 140th St</t>
  </si>
  <si>
    <t>70 W 95th St</t>
  </si>
  <si>
    <t>3502 Hull Ave</t>
  </si>
  <si>
    <t>8912 183rd St</t>
  </si>
  <si>
    <t>4035 67th St</t>
  </si>
  <si>
    <t>460 E 147th St</t>
  </si>
  <si>
    <t>2427 Webster Ave</t>
  </si>
  <si>
    <t>57-63 Wadsworth Terrace</t>
  </si>
  <si>
    <t>555 W 173rd St</t>
  </si>
  <si>
    <t>502 W 151st St</t>
  </si>
  <si>
    <t>360 Cabrini Blvd</t>
  </si>
  <si>
    <t>805 Pelham Pkwy N</t>
  </si>
  <si>
    <t>67 Hanson Pl</t>
  </si>
  <si>
    <t>353 Tompkins Ave</t>
  </si>
  <si>
    <t>400 Williams Ave</t>
  </si>
  <si>
    <t>298 Covert St</t>
  </si>
  <si>
    <t>1503 Dean St</t>
  </si>
  <si>
    <t>5610 94th St</t>
  </si>
  <si>
    <t>1173 52nd St</t>
  </si>
  <si>
    <t>455 Schenectady Ave</t>
  </si>
  <si>
    <t>425 Grand Ave</t>
  </si>
  <si>
    <t>2110 Westbury Ct</t>
  </si>
  <si>
    <t>930 Mace Ave</t>
  </si>
  <si>
    <t>439A Blake ave</t>
  </si>
  <si>
    <t>1949 72nd St</t>
  </si>
  <si>
    <t>137 Albany Ave</t>
  </si>
  <si>
    <t>119 Cambridge Pl</t>
  </si>
  <si>
    <t>36 Saint Edwards St</t>
  </si>
  <si>
    <t>2728 Church Ave</t>
  </si>
  <si>
    <t>4023 Avenue T</t>
  </si>
  <si>
    <t>2695 Briggs Ave</t>
  </si>
  <si>
    <t>22 Stuyvesant Ave</t>
  </si>
  <si>
    <t>468 Gates Ave</t>
  </si>
  <si>
    <t>1520 Hornell Loop</t>
  </si>
  <si>
    <t>832 Dekalb Ave</t>
  </si>
  <si>
    <t>1705 Dorchester Rd</t>
  </si>
  <si>
    <t>11 Midwood St</t>
  </si>
  <si>
    <t>828 Midwood St</t>
  </si>
  <si>
    <t>530 Herzl St</t>
  </si>
  <si>
    <t>721 Sterling Pl</t>
  </si>
  <si>
    <t>117 N Oxford Walk</t>
  </si>
  <si>
    <t>2101 Westbury Ct</t>
  </si>
  <si>
    <t>333 Schermerhorn St</t>
  </si>
  <si>
    <t>2922 Nostrand Ave</t>
  </si>
  <si>
    <t>79 Monitor St</t>
  </si>
  <si>
    <t>607 Willoughby Ave</t>
  </si>
  <si>
    <t>1360 Ocean Ave</t>
  </si>
  <si>
    <t>903 Belmont Ave</t>
  </si>
  <si>
    <t>350 65th St</t>
  </si>
  <si>
    <t>2108 Regent Pl</t>
  </si>
  <si>
    <t>4123 9th Ave</t>
  </si>
  <si>
    <t>76 E 51st St</t>
  </si>
  <si>
    <t>223 Weirfield St</t>
  </si>
  <si>
    <t>70 Decatur St</t>
  </si>
  <si>
    <t>1169 E New York Ave</t>
  </si>
  <si>
    <t>128 Linden Blvd</t>
  </si>
  <si>
    <t>2720 Foster Ave</t>
  </si>
  <si>
    <t>209 Sullivan Pl</t>
  </si>
  <si>
    <t>1215 Dean St</t>
  </si>
  <si>
    <t>4520 12th Ave</t>
  </si>
  <si>
    <t>160 Harman St</t>
  </si>
  <si>
    <t>9054 Fort Hamilton Pkwy</t>
  </si>
  <si>
    <t>101 Clark St</t>
  </si>
  <si>
    <t>1179 Jefferson Ave</t>
  </si>
  <si>
    <t>598 Monroe St</t>
  </si>
  <si>
    <t>240 East 18th Street</t>
  </si>
  <si>
    <t>2522 Newkirk Ave</t>
  </si>
  <si>
    <t>91 E 21st St</t>
  </si>
  <si>
    <t>112 Stagg St</t>
  </si>
  <si>
    <t>995 Gates Ave</t>
  </si>
  <si>
    <t>455 Jefferson Ave</t>
  </si>
  <si>
    <t>1066 President St</t>
  </si>
  <si>
    <t>228 Stuyvesant Ave</t>
  </si>
  <si>
    <t>300 Sullivan Pl</t>
  </si>
  <si>
    <t>114 Linden St</t>
  </si>
  <si>
    <t>815 Gravesend Neck Rd</t>
  </si>
  <si>
    <t>620 E 29th St</t>
  </si>
  <si>
    <t>65 E 19th St</t>
  </si>
  <si>
    <t>2315 Creston Ave</t>
  </si>
  <si>
    <t>1534 Prospect Pl</t>
  </si>
  <si>
    <t>2502 Cortelyou Rd</t>
  </si>
  <si>
    <t>280 Parkside Ave</t>
  </si>
  <si>
    <t>110 Grove St</t>
  </si>
  <si>
    <t>371 Monroe St</t>
  </si>
  <si>
    <t>540 Kosciusko St</t>
  </si>
  <si>
    <t>13 Halsey St</t>
  </si>
  <si>
    <t>1154 President St</t>
  </si>
  <si>
    <t>189 Kosciuszko St</t>
  </si>
  <si>
    <t>1680 Bedford Ave</t>
  </si>
  <si>
    <t>351 Saint Nicholas Ave</t>
  </si>
  <si>
    <t>5404 4th Ave</t>
  </si>
  <si>
    <t>7505 113th St</t>
  </si>
  <si>
    <t>341 E 19th St</t>
  </si>
  <si>
    <t>110 Lenox Ave</t>
  </si>
  <si>
    <t>2514 Cruger Ave</t>
  </si>
  <si>
    <t>165 Himrod St</t>
  </si>
  <si>
    <t>738 Saint Marks Ave</t>
  </si>
  <si>
    <t>518 E 22nd St</t>
  </si>
  <si>
    <t>2201 Haviland Ave</t>
  </si>
  <si>
    <t>543 47th Ave</t>
  </si>
  <si>
    <t>456 Nostrand Ave</t>
  </si>
  <si>
    <t>100 Lefferts Ave</t>
  </si>
  <si>
    <t>486 Glenmore Ave</t>
  </si>
  <si>
    <t>2114 Belmont Ave</t>
  </si>
  <si>
    <t>1655 Monroe Ave</t>
  </si>
  <si>
    <t>1716 Nereid Ave</t>
  </si>
  <si>
    <t>502 W 135th st</t>
  </si>
  <si>
    <t>1260 Broadway</t>
  </si>
  <si>
    <t>366 Herkimer St</t>
  </si>
  <si>
    <t>755 Ocean Ave</t>
  </si>
  <si>
    <t>803 Beverley Rd</t>
  </si>
  <si>
    <t>1280 Ocean Ave</t>
  </si>
  <si>
    <t>320 Miller Ave</t>
  </si>
  <si>
    <t>474 Brooklyn Ave</t>
  </si>
  <si>
    <t>663 Knickerbocker Aveue</t>
  </si>
  <si>
    <t>3022 Brighton 5th St</t>
  </si>
  <si>
    <t>57 Marine Ave</t>
  </si>
  <si>
    <t>294 Nichols Ave</t>
  </si>
  <si>
    <t>94 Chauncey St</t>
  </si>
  <si>
    <t>21-62 Cresent Street</t>
  </si>
  <si>
    <t>19619 Jamaica Ave</t>
  </si>
  <si>
    <t>5409 100th St</t>
  </si>
  <si>
    <t>2137 Vyse Ave</t>
  </si>
  <si>
    <t>2662 Valentine Avenue</t>
  </si>
  <si>
    <t>4108 12th St</t>
  </si>
  <si>
    <t>9112 175th St</t>
  </si>
  <si>
    <t>15516 Cherry Ave</t>
  </si>
  <si>
    <t>3551 95th St</t>
  </si>
  <si>
    <t>7323 17th Ave</t>
  </si>
  <si>
    <t>1776 Union St</t>
  </si>
  <si>
    <t>2528 Cruger Ave</t>
  </si>
  <si>
    <t>16 Metropolitan Oval</t>
  </si>
  <si>
    <t>11819 153rd St</t>
  </si>
  <si>
    <t>762 Cauldwell Ave</t>
  </si>
  <si>
    <t>2783 Claflin Ave</t>
  </si>
  <si>
    <t>1140 President St</t>
  </si>
  <si>
    <t>9159 191st St</t>
  </si>
  <si>
    <t>10925 Merrick Blvd</t>
  </si>
  <si>
    <t>10601 79th St</t>
  </si>
  <si>
    <t>402 85th St</t>
  </si>
  <si>
    <t>245 E 124th St</t>
  </si>
  <si>
    <t>1585 White Plains Rd</t>
  </si>
  <si>
    <t>228 W 141st St</t>
  </si>
  <si>
    <t>356 W 145th St</t>
  </si>
  <si>
    <t>330 E 26th St</t>
  </si>
  <si>
    <t>5763 Wadsworth Terrace</t>
  </si>
  <si>
    <t>138 W 117th St</t>
  </si>
  <si>
    <t>1065 Jerome Ave # 81</t>
  </si>
  <si>
    <t>408 E 154th St</t>
  </si>
  <si>
    <t>300 W 46th St</t>
  </si>
  <si>
    <t>80 Arden St</t>
  </si>
  <si>
    <t>1365 Saint Nicholas Ave</t>
  </si>
  <si>
    <t>10 E 138th St</t>
  </si>
  <si>
    <t>124 E 117th St</t>
  </si>
  <si>
    <t>150 W 21st St</t>
  </si>
  <si>
    <t>225 E 39th St</t>
  </si>
  <si>
    <t>405 E 105th St</t>
  </si>
  <si>
    <t>2759 Barker Ave</t>
  </si>
  <si>
    <t>55 E 196th St</t>
  </si>
  <si>
    <t>521 W 185th St</t>
  </si>
  <si>
    <t>623 W 207th St</t>
  </si>
  <si>
    <t>815 W 180th St</t>
  </si>
  <si>
    <t>2529 Matthews Ave</t>
  </si>
  <si>
    <t>25 E Mosholu Pkwy N</t>
  </si>
  <si>
    <t>2181 Pacific st</t>
  </si>
  <si>
    <t>1245 Bronx River Avenue</t>
  </si>
  <si>
    <t>2095 Mohegan Ave</t>
  </si>
  <si>
    <t>67 Doscher st</t>
  </si>
  <si>
    <t>1253 Franklin Ave</t>
  </si>
  <si>
    <t>10571 Flatlands 2nd St</t>
  </si>
  <si>
    <t>13446 161st St</t>
  </si>
  <si>
    <t>16 E 208th St</t>
  </si>
  <si>
    <t>7617 69th Pl</t>
  </si>
  <si>
    <t>1680 Jefferson Ave</t>
  </si>
  <si>
    <t>117 16th St</t>
  </si>
  <si>
    <t>406 Lenevar Ave</t>
  </si>
  <si>
    <t>21471 Jamaica Ave</t>
  </si>
  <si>
    <t>129 Westend Ave</t>
  </si>
  <si>
    <t>4918 43rd Ave</t>
  </si>
  <si>
    <t>263 Westwood Ave</t>
  </si>
  <si>
    <t>495 Washington Ave</t>
  </si>
  <si>
    <t>46 Skinner Ln</t>
  </si>
  <si>
    <t>31 Markham Ln</t>
  </si>
  <si>
    <t>501 E 87th St</t>
  </si>
  <si>
    <t>449 51st St</t>
  </si>
  <si>
    <t>17 Holbernt Ct</t>
  </si>
  <si>
    <t>85 Seaman Ave</t>
  </si>
  <si>
    <t>2194 Barnes Ave</t>
  </si>
  <si>
    <t>516 Howard Ave</t>
  </si>
  <si>
    <t>203 Maple Pkwy</t>
  </si>
  <si>
    <t>1470 Richmond Ter</t>
  </si>
  <si>
    <t>5449 Almeda Ave</t>
  </si>
  <si>
    <t>2296 Bathgate Ave</t>
  </si>
  <si>
    <t>8001 Bay Pkwy</t>
  </si>
  <si>
    <t>429 E 72nd St</t>
  </si>
  <si>
    <t>8409 52nd Ave</t>
  </si>
  <si>
    <t>2123 Boston Rd</t>
  </si>
  <si>
    <t>4831 44th St</t>
  </si>
  <si>
    <t>825 Columbus Ave</t>
  </si>
  <si>
    <t>21002 93rd Ave</t>
  </si>
  <si>
    <t>6733 Kissena Blvd</t>
  </si>
  <si>
    <t>11619 Sutphin Blvd</t>
  </si>
  <si>
    <t>215 East Gun Hill Road</t>
  </si>
  <si>
    <t>710 E 175th St</t>
  </si>
  <si>
    <t>10718 159th St</t>
  </si>
  <si>
    <t>10718 156TH ST</t>
  </si>
  <si>
    <t>322 Convent Ave</t>
  </si>
  <si>
    <t>5 Buchanan Pl</t>
  </si>
  <si>
    <t>6142 Madison St</t>
  </si>
  <si>
    <t>506 Mosel Ave</t>
  </si>
  <si>
    <t>601 W 135th St</t>
  </si>
  <si>
    <t>2532 University Ave</t>
  </si>
  <si>
    <t>7830 81st St</t>
  </si>
  <si>
    <t>7036 65th Pl</t>
  </si>
  <si>
    <t>611 Linwood St</t>
  </si>
  <si>
    <t>871 Hegeman Ave</t>
  </si>
  <si>
    <t>650 E 182nd St</t>
  </si>
  <si>
    <t>114 Fenimore St</t>
  </si>
  <si>
    <t>14441 180th St</t>
  </si>
  <si>
    <t>14545 222nd St</t>
  </si>
  <si>
    <t>614 Flatbush Ave</t>
  </si>
  <si>
    <t>1520 SHERIDAN AVE</t>
  </si>
  <si>
    <t>14217 130th Ave</t>
  </si>
  <si>
    <t>10147 95th St</t>
  </si>
  <si>
    <t>13501 96th PL</t>
  </si>
  <si>
    <t>11318 Atlantic Ave</t>
  </si>
  <si>
    <t>13912 87th Dr</t>
  </si>
  <si>
    <t>3023 3rd Ave</t>
  </si>
  <si>
    <t>1105 College Ave</t>
  </si>
  <si>
    <t>2015 Palmetto St</t>
  </si>
  <si>
    <t>3062 DECATUR AVE</t>
  </si>
  <si>
    <t>3505 DEKALB AVE</t>
  </si>
  <si>
    <t>17044 93rd Ave</t>
  </si>
  <si>
    <t>880 BOYNTON AVE</t>
  </si>
  <si>
    <t>22 Calcagno Ct</t>
  </si>
  <si>
    <t>1590 Undercliff Ave</t>
  </si>
  <si>
    <t>53 Leigh Ave</t>
  </si>
  <si>
    <t>2620 University Ave</t>
  </si>
  <si>
    <t>16716 Linden Blvd</t>
  </si>
  <si>
    <t>107 Roe St</t>
  </si>
  <si>
    <t>8311 Doran Ave</t>
  </si>
  <si>
    <t>1087 Carroll St</t>
  </si>
  <si>
    <t>156 E 178th St</t>
  </si>
  <si>
    <t>2305 University Ave</t>
  </si>
  <si>
    <t>1776 Castle Hill Ave</t>
  </si>
  <si>
    <t>139 Beach 26th St</t>
  </si>
  <si>
    <t>336 Throop Ave</t>
  </si>
  <si>
    <t>1917 Cropsey Ave</t>
  </si>
  <si>
    <t>514 E 138th St</t>
  </si>
  <si>
    <t>908 Thomas S Boyland St</t>
  </si>
  <si>
    <t>839 E 219th St</t>
  </si>
  <si>
    <t>4907 43rd Ave</t>
  </si>
  <si>
    <t>975 Simpson St</t>
  </si>
  <si>
    <t>13415 166th Pl</t>
  </si>
  <si>
    <t>154 E 175th St</t>
  </si>
  <si>
    <t>95 Seaman Ave</t>
  </si>
  <si>
    <t>89-95 Seaman Avenue</t>
  </si>
  <si>
    <t>709 E 214th St</t>
  </si>
  <si>
    <t>235 Seaman Ave</t>
  </si>
  <si>
    <t>100 Pulaski St</t>
  </si>
  <si>
    <t>17024 130th ave</t>
  </si>
  <si>
    <t>380 E 18th St</t>
  </si>
  <si>
    <t>294 Sumpter St</t>
  </si>
  <si>
    <t>8835 162nd St</t>
  </si>
  <si>
    <t>10505 69th Ave</t>
  </si>
  <si>
    <t>8948 Lefferts Blvd</t>
  </si>
  <si>
    <t>610 W 136th St</t>
  </si>
  <si>
    <t>671 E 224th St</t>
  </si>
  <si>
    <t>215 33rd St</t>
  </si>
  <si>
    <t>21915 145th Ave</t>
  </si>
  <si>
    <t>13337 41st Rd</t>
  </si>
  <si>
    <t>795 Pelham Pkwy N</t>
  </si>
  <si>
    <t>671 Halsey St</t>
  </si>
  <si>
    <t>309 E 76th St</t>
  </si>
  <si>
    <t>419 W 129th St</t>
  </si>
  <si>
    <t>107 W 58th St</t>
  </si>
  <si>
    <t>235 E 95th St</t>
  </si>
  <si>
    <t>504 W 48th St</t>
  </si>
  <si>
    <t>221 Sherman Ave</t>
  </si>
  <si>
    <t>123 W 112th St</t>
  </si>
  <si>
    <t>8474 98th St</t>
  </si>
  <si>
    <t>245 Bedford Park Blvd</t>
  </si>
  <si>
    <t>1695 Topping Ave</t>
  </si>
  <si>
    <t>12911 Jamaica Ave</t>
  </si>
  <si>
    <t>19605 110th Ave</t>
  </si>
  <si>
    <t>4600 9th Ave</t>
  </si>
  <si>
    <t>9416 34th Rd</t>
  </si>
  <si>
    <t>311 Onderdonk Ave</t>
  </si>
  <si>
    <t>2220 Wallace Ave</t>
  </si>
  <si>
    <t>15048 75th Ave</t>
  </si>
  <si>
    <t>8858 76th St</t>
  </si>
  <si>
    <t>4308 40th St</t>
  </si>
  <si>
    <t>14430 Roosevelt Ave</t>
  </si>
  <si>
    <t>2090 Mohegan Avenue, Apt. 6D</t>
  </si>
  <si>
    <t>825 E 217th St</t>
  </si>
  <si>
    <t>8106 Avenue L</t>
  </si>
  <si>
    <t>260 Howard Ave</t>
  </si>
  <si>
    <t>201 Ten Eyck St</t>
  </si>
  <si>
    <t>211 Jackson St</t>
  </si>
  <si>
    <t>1110 E 101st St</t>
  </si>
  <si>
    <t>2181 Strauss St</t>
  </si>
  <si>
    <t>1730 Andrews Ave</t>
  </si>
  <si>
    <t>26 Perry Ave</t>
  </si>
  <si>
    <t>3045 Villa Ave</t>
  </si>
  <si>
    <t>1098 Anderson Ave</t>
  </si>
  <si>
    <t>76 Jackson Ave</t>
  </si>
  <si>
    <t>272 Pennsylvania Ave</t>
  </si>
  <si>
    <t>2833 Briggs Ave</t>
  </si>
  <si>
    <t>127-09 89th Avenue, 2nd Floor, Middle Room</t>
  </si>
  <si>
    <t>9503 Cresskill Pl</t>
  </si>
  <si>
    <t>1900 Belmont Ave</t>
  </si>
  <si>
    <t>74 South AVe</t>
  </si>
  <si>
    <t>2701 Goethals Rd N</t>
  </si>
  <si>
    <t>90 Vreeland St</t>
  </si>
  <si>
    <t>468 Chauncey St</t>
  </si>
  <si>
    <t>806 Henderson Ave</t>
  </si>
  <si>
    <t>1665 Morris Ave</t>
  </si>
  <si>
    <t>1441 Overing St</t>
  </si>
  <si>
    <t>545 W 126th St</t>
  </si>
  <si>
    <t>3200 Decatur Ave</t>
  </si>
  <si>
    <t>137 Van Pelt Ave</t>
  </si>
  <si>
    <t>244 Richmond Ter</t>
  </si>
  <si>
    <t>388 Van Duzer St</t>
  </si>
  <si>
    <t>860 Columbus Ave</t>
  </si>
  <si>
    <t>249 W 103rd St</t>
  </si>
  <si>
    <t>248 Bainbridge st</t>
  </si>
  <si>
    <t>3535 Rochambeau ave</t>
  </si>
  <si>
    <t>601 Morris Avenue</t>
  </si>
  <si>
    <t>60 W 128th St</t>
  </si>
  <si>
    <t>210 W 102nd St</t>
  </si>
  <si>
    <t>103 Vermilyea Ave</t>
  </si>
  <si>
    <t>320 Wadsworth Ave</t>
  </si>
  <si>
    <t>1970 Amsterdam Ave</t>
  </si>
  <si>
    <t>180 E 18th St</t>
  </si>
  <si>
    <t>17836 Wexford Ter</t>
  </si>
  <si>
    <t>23918 148th Rd</t>
  </si>
  <si>
    <t>14220 Franklin Ave</t>
  </si>
  <si>
    <t>10205 Jamaica Ave</t>
  </si>
  <si>
    <t>3420 78TH St</t>
  </si>
  <si>
    <t>442 E 176th St</t>
  </si>
  <si>
    <t>2719 44th Dr</t>
  </si>
  <si>
    <t>8931 Rutledge Ave</t>
  </si>
  <si>
    <t>8 Manhattan Ave</t>
  </si>
  <si>
    <t>8511 34th Ave</t>
  </si>
  <si>
    <t>2242 Nameoke Ave</t>
  </si>
  <si>
    <t>945 Eldert Ln</t>
  </si>
  <si>
    <t>1336 Saint Marks Ave</t>
  </si>
  <si>
    <t>37 Bradford st</t>
  </si>
  <si>
    <t>193 Essex St</t>
  </si>
  <si>
    <t>4309 165th St</t>
  </si>
  <si>
    <t>1526 71st St</t>
  </si>
  <si>
    <t>2701 Valentine Ave</t>
  </si>
  <si>
    <t>301 E 62nd St</t>
  </si>
  <si>
    <t>1966 70th ST</t>
  </si>
  <si>
    <t>4521 Clarendon Rd</t>
  </si>
  <si>
    <t>668 E 234th St</t>
  </si>
  <si>
    <t>12121 103rd Ave</t>
  </si>
  <si>
    <t>13415 232nd St</t>
  </si>
  <si>
    <t>625 E 141st St</t>
  </si>
  <si>
    <t>485 Ocean Ave</t>
  </si>
  <si>
    <t>20-04 31st Ave</t>
  </si>
  <si>
    <t>23418 147th Ave</t>
  </si>
  <si>
    <t>9033 Eldert Ln</t>
  </si>
  <si>
    <t>1844 Stuart St</t>
  </si>
  <si>
    <t>426 E 118th st</t>
  </si>
  <si>
    <t>719 E 233rd St</t>
  </si>
  <si>
    <t>875 Morrison Ave</t>
  </si>
  <si>
    <t>11421 208th St</t>
  </si>
  <si>
    <t>1419 Wythe Pl</t>
  </si>
  <si>
    <t>939 Putnam Ave</t>
  </si>
  <si>
    <t>1647 Summerfield St</t>
  </si>
  <si>
    <t>446 East 176th Street</t>
  </si>
  <si>
    <t>7908 147th St</t>
  </si>
  <si>
    <t>8040 88th Rd</t>
  </si>
  <si>
    <t>1920 Union St</t>
  </si>
  <si>
    <t>423 Herzl St</t>
  </si>
  <si>
    <t>4038 82nd St</t>
  </si>
  <si>
    <t>6144 Woodbine St</t>
  </si>
  <si>
    <t>10804 174th St</t>
  </si>
  <si>
    <t>567 W 149th St</t>
  </si>
  <si>
    <t>7509 61st St</t>
  </si>
  <si>
    <t>247 Audubon Ave</t>
  </si>
  <si>
    <t>12365 147th St</t>
  </si>
  <si>
    <t>3126 Hull Ave</t>
  </si>
  <si>
    <t>11105 Cypress Ave</t>
  </si>
  <si>
    <t>14439 158th St</t>
  </si>
  <si>
    <t>6636 Central Ave</t>
  </si>
  <si>
    <t>5 Paerdegat 9th St</t>
  </si>
  <si>
    <t>401 W 16th St</t>
  </si>
  <si>
    <t>139-06 34th Rd</t>
  </si>
  <si>
    <t>60 N Burgher Ave</t>
  </si>
  <si>
    <t>10714 Watson Pl</t>
  </si>
  <si>
    <t>11406 Bedell St</t>
  </si>
  <si>
    <t>6812 Yellowstone Blvd</t>
  </si>
  <si>
    <t>19440a 64th Ave</t>
  </si>
  <si>
    <t>12 E 213th St</t>
  </si>
  <si>
    <t>2290 Davidson Ave</t>
  </si>
  <si>
    <t>7430 62nd St</t>
  </si>
  <si>
    <t>164a Continental Pl</t>
  </si>
  <si>
    <t>240 Broadway</t>
  </si>
  <si>
    <t>13224 Maple Ave</t>
  </si>
  <si>
    <t>15037 115th Dr</t>
  </si>
  <si>
    <t>15034 118th Ave</t>
  </si>
  <si>
    <t>109-26 Merrick Blvd</t>
  </si>
  <si>
    <t>3455 91st St</t>
  </si>
  <si>
    <t>3477 Knox Pl</t>
  </si>
  <si>
    <t>9823 Horace Harding Expy</t>
  </si>
  <si>
    <t>14962 254th St</t>
  </si>
  <si>
    <t>1944 Unionport Rd</t>
  </si>
  <si>
    <t>1176 President St</t>
  </si>
  <si>
    <t>1305 E 18th St</t>
  </si>
  <si>
    <t>151 Holden Blvd</t>
  </si>
  <si>
    <t>47 Fort Washington Ave</t>
  </si>
  <si>
    <t>100 Haven Ave</t>
  </si>
  <si>
    <t>212 W 111th St</t>
  </si>
  <si>
    <t>2185 Adam Clayton Powell Jr Blvd</t>
  </si>
  <si>
    <t>51 Union Ave</t>
  </si>
  <si>
    <t>1511 Cooper Ave</t>
  </si>
  <si>
    <t>7035 153RD ST</t>
  </si>
  <si>
    <t>3288 Reservoir Oval E</t>
  </si>
  <si>
    <t>3024 70th St</t>
  </si>
  <si>
    <t>13261 Sanford Ave</t>
  </si>
  <si>
    <t>70 W 93rd St</t>
  </si>
  <si>
    <t>11 Fort George Hill</t>
  </si>
  <si>
    <t>50 Legion St</t>
  </si>
  <si>
    <t>615 Hendrix St</t>
  </si>
  <si>
    <t>1677 Saint Johns Pl</t>
  </si>
  <si>
    <t>1615 Saint Johns Pl</t>
  </si>
  <si>
    <t>2830 Pitkin Ave</t>
  </si>
  <si>
    <t>525 Hegeman Ave</t>
  </si>
  <si>
    <t>757 Pine St</t>
  </si>
  <si>
    <t>1919 Eastern Pkwy</t>
  </si>
  <si>
    <t>200 Cozine Ave</t>
  </si>
  <si>
    <t>171 E 96th St</t>
  </si>
  <si>
    <t>430 Saratoga Ave</t>
  </si>
  <si>
    <t>1147 Sutter Ave</t>
  </si>
  <si>
    <t>2415 Williamsbridge Rd</t>
  </si>
  <si>
    <t>1613 Eastern Pkwy</t>
  </si>
  <si>
    <t>132 Ralph Ave</t>
  </si>
  <si>
    <t>356 Sumpter St</t>
  </si>
  <si>
    <t>35 E 94th St</t>
  </si>
  <si>
    <t>1740 Prospect Pl</t>
  </si>
  <si>
    <t>350 Snediker Ave</t>
  </si>
  <si>
    <t>494 E 95th St</t>
  </si>
  <si>
    <t>1396 E 92nd St</t>
  </si>
  <si>
    <t>746 Sheffield Ave</t>
  </si>
  <si>
    <t>200 Haven Ave</t>
  </si>
  <si>
    <t>520 W 218th St</t>
  </si>
  <si>
    <t>1201 Univ Ave</t>
  </si>
  <si>
    <t>333 Beach 67th St</t>
  </si>
  <si>
    <t>7548 Parsons Blvd</t>
  </si>
  <si>
    <t>427 Fort Washington Ave</t>
  </si>
  <si>
    <t>3014 Holland Ave</t>
  </si>
  <si>
    <t>418 E 52nd St</t>
  </si>
  <si>
    <t>135 Hawthorne St</t>
  </si>
  <si>
    <t>801 W 181st St</t>
  </si>
  <si>
    <t>141 Watkins st</t>
  </si>
  <si>
    <t>990 Sackett Ave</t>
  </si>
  <si>
    <t>2440 Walton Ave</t>
  </si>
  <si>
    <t>3280 Hull Ave</t>
  </si>
  <si>
    <t>2089 Arthur Ave # 91</t>
  </si>
  <si>
    <t>1460 Washington Ave</t>
  </si>
  <si>
    <t>600 Van Siclen Ave</t>
  </si>
  <si>
    <t>20 Laurel Hill Ter</t>
  </si>
  <si>
    <t>601 W 174th St</t>
  </si>
  <si>
    <t>264 Elizabeth St</t>
  </si>
  <si>
    <t>19 W 105th St</t>
  </si>
  <si>
    <t>2102 Amsterdam Avenue</t>
  </si>
  <si>
    <t>229 Columbus Ave</t>
  </si>
  <si>
    <t>319 E 91st St</t>
  </si>
  <si>
    <t>424 W 48th St</t>
  </si>
  <si>
    <t>120 W 140th St</t>
  </si>
  <si>
    <t>123 E 112th St</t>
  </si>
  <si>
    <t>250 Fort Washington Ave</t>
  </si>
  <si>
    <t>315 E 5th St</t>
  </si>
  <si>
    <t>267 W 152nd St</t>
  </si>
  <si>
    <t>81 Ludlow St</t>
  </si>
  <si>
    <t>1481 5th Ave</t>
  </si>
  <si>
    <t>65 E 112th St</t>
  </si>
  <si>
    <t>650 W 173rd St</t>
  </si>
  <si>
    <t>486 Elverton Ave</t>
  </si>
  <si>
    <t>1314 Seneca Ave</t>
  </si>
  <si>
    <t>6816 Owls Head Ct</t>
  </si>
  <si>
    <t>9311 Foster Ave</t>
  </si>
  <si>
    <t>1041 Findlay Ave</t>
  </si>
  <si>
    <t>1563 Metropolitan Ave</t>
  </si>
  <si>
    <t>2709 Clarendon Rd</t>
  </si>
  <si>
    <t>638 E 32nd St</t>
  </si>
  <si>
    <t>175 Willoughby St</t>
  </si>
  <si>
    <t>63 Fenimore St</t>
  </si>
  <si>
    <t>461 Quincy St</t>
  </si>
  <si>
    <t>745 Lafayette Ave</t>
  </si>
  <si>
    <t>470 Kosciuszko St</t>
  </si>
  <si>
    <t>330 E 22nd St</t>
  </si>
  <si>
    <t>555 Gates Ave</t>
  </si>
  <si>
    <t>515 Gates Ave</t>
  </si>
  <si>
    <t>1402 Brookyn Ave</t>
  </si>
  <si>
    <t>2856 Bronx Park E</t>
  </si>
  <si>
    <t>99-105 Herkimer St</t>
  </si>
  <si>
    <t>233 Stuyvesant Ave</t>
  </si>
  <si>
    <t>368 E 32nd St</t>
  </si>
  <si>
    <t>21 E 21st St</t>
  </si>
  <si>
    <t>667 E 34th St</t>
  </si>
  <si>
    <t>2321 65th St</t>
  </si>
  <si>
    <t>1417 Stanley Ave</t>
  </si>
  <si>
    <t>254 Marcus Garvey Blvd</t>
  </si>
  <si>
    <t>28 Macdonough St</t>
  </si>
  <si>
    <t>1742 Union St</t>
  </si>
  <si>
    <t>2966 Brighton 5th Pl</t>
  </si>
  <si>
    <t>1440 Freeport Loop</t>
  </si>
  <si>
    <t>1403 Fulton St</t>
  </si>
  <si>
    <t>336 Marcus Garvey Blvd</t>
  </si>
  <si>
    <t>860 Nostrand Ave</t>
  </si>
  <si>
    <t>501 New York Ave</t>
  </si>
  <si>
    <t>275 Hancock St</t>
  </si>
  <si>
    <t>208 Lewis Ave</t>
  </si>
  <si>
    <t>211 Crown St</t>
  </si>
  <si>
    <t>1228-30 Pacific St</t>
  </si>
  <si>
    <t>613 E 16th St</t>
  </si>
  <si>
    <t>205 E 17th St</t>
  </si>
  <si>
    <t>111 E 21st St</t>
  </si>
  <si>
    <t>61 Martense St</t>
  </si>
  <si>
    <t>368 E 28th St</t>
  </si>
  <si>
    <t>329 Lincoln Rd</t>
  </si>
  <si>
    <t>718 Saint Marks Ave</t>
  </si>
  <si>
    <t>290 Frost St</t>
  </si>
  <si>
    <t>345 Chauncey St</t>
  </si>
  <si>
    <t>1330 Fulton St</t>
  </si>
  <si>
    <t>245 Midwood St</t>
  </si>
  <si>
    <t>140 Herkimer St</t>
  </si>
  <si>
    <t>2925 W 5th St</t>
  </si>
  <si>
    <t>2750 W 33rd St</t>
  </si>
  <si>
    <t>1247 Flatbush Ave</t>
  </si>
  <si>
    <t>15 Kossuth Pl</t>
  </si>
  <si>
    <t>2742 W 15th St</t>
  </si>
  <si>
    <t>2121 Westbury Ct</t>
  </si>
  <si>
    <t>285 Clifton Pl</t>
  </si>
  <si>
    <t>525A Quincy St</t>
  </si>
  <si>
    <t>400 Tompkins Ave</t>
  </si>
  <si>
    <t>56 Winthrop St</t>
  </si>
  <si>
    <t>1548 E New York Ave</t>
  </si>
  <si>
    <t>75 Hawthorne St</t>
  </si>
  <si>
    <t>1798 Bedford Ave</t>
  </si>
  <si>
    <t>20 Debevoise Ave</t>
  </si>
  <si>
    <t>31-39 Van Buren St</t>
  </si>
  <si>
    <t>135 Rogers Ave</t>
  </si>
  <si>
    <t>88 Grove St</t>
  </si>
  <si>
    <t>342 21st St</t>
  </si>
  <si>
    <t>316 Devoe St</t>
  </si>
  <si>
    <t>618 East 21 Street</t>
  </si>
  <si>
    <t>31 E 31st St</t>
  </si>
  <si>
    <t>104 Palmetto St</t>
  </si>
  <si>
    <t>314 E 183rd St</t>
  </si>
  <si>
    <t>1704 Morris Ave</t>
  </si>
  <si>
    <t>385 White Plains Rd</t>
  </si>
  <si>
    <t>3165 Decatur Ave</t>
  </si>
  <si>
    <t>2000 Valentine Ave.</t>
  </si>
  <si>
    <t>505 Mcdonald Ave</t>
  </si>
  <si>
    <t>2349 Jerome Ave</t>
  </si>
  <si>
    <t>812 W 181st St</t>
  </si>
  <si>
    <t>137 Bay 17th St</t>
  </si>
  <si>
    <t>105 Pinehurst Ave</t>
  </si>
  <si>
    <t>34 Bogardus Pl</t>
  </si>
  <si>
    <t>711 W 180th St</t>
  </si>
  <si>
    <t>25 Cooper St</t>
  </si>
  <si>
    <t>150 Brabant St</t>
  </si>
  <si>
    <t>736 Willoughby Ave</t>
  </si>
  <si>
    <t>540 W 146th St</t>
  </si>
  <si>
    <t>6140 146th St</t>
  </si>
  <si>
    <t>2504 E 14th St</t>
  </si>
  <si>
    <t>2352 Coney Island Ave</t>
  </si>
  <si>
    <t>207 W 110th St</t>
  </si>
  <si>
    <t>102 W 129th St</t>
  </si>
  <si>
    <t>2751 Reservoir Ave</t>
  </si>
  <si>
    <t>2177 8th Ave</t>
  </si>
  <si>
    <t>140 W 104th St</t>
  </si>
  <si>
    <t>2760 Bronx Park E</t>
  </si>
  <si>
    <t>8748 115th St</t>
  </si>
  <si>
    <t>3707 Olinville Ave</t>
  </si>
  <si>
    <t>11560 204th St</t>
  </si>
  <si>
    <t>285 Schenectady Ave</t>
  </si>
  <si>
    <t>860 Belmont Ave</t>
  </si>
  <si>
    <t>2559 Sedgwick Ave</t>
  </si>
  <si>
    <t>2176 Tiebout Ave</t>
  </si>
  <si>
    <t>3333 82nd St</t>
  </si>
  <si>
    <t>4175 Glenwood St</t>
  </si>
  <si>
    <t>245 E 180th St</t>
  </si>
  <si>
    <t>2752 Wallace Ave</t>
  </si>
  <si>
    <t>14330 Roosevelt Ave</t>
  </si>
  <si>
    <t>14737 Beech Ave</t>
  </si>
  <si>
    <t>11106 174th St</t>
  </si>
  <si>
    <t>8846 237th St</t>
  </si>
  <si>
    <t>10468 129th st</t>
  </si>
  <si>
    <t>3705 90th St</t>
  </si>
  <si>
    <t>2951 W 33rd St</t>
  </si>
  <si>
    <t>2742 Mcintosh St</t>
  </si>
  <si>
    <t>10825 Jamaica Ave</t>
  </si>
  <si>
    <t>538 Beach 68th st</t>
  </si>
  <si>
    <t>899 Westchester Ave</t>
  </si>
  <si>
    <t>1044 Revere Ave</t>
  </si>
  <si>
    <t>14643 105th Ave</t>
  </si>
  <si>
    <t>1240 Morrison Ave</t>
  </si>
  <si>
    <t>2419 Davidson Ave</t>
  </si>
  <si>
    <t>10707 157th St</t>
  </si>
  <si>
    <t>3211 85th St</t>
  </si>
  <si>
    <t>1 Seaman Ave</t>
  </si>
  <si>
    <t>1599 W 10th St</t>
  </si>
  <si>
    <t>100 Cooper St</t>
  </si>
  <si>
    <t>2422 University Ave</t>
  </si>
  <si>
    <t>117 W 197th St</t>
  </si>
  <si>
    <t>104 W 83rd St</t>
  </si>
  <si>
    <t>110 Post Ave</t>
  </si>
  <si>
    <t>210 Sherman Ave</t>
  </si>
  <si>
    <t>75 Thayer St</t>
  </si>
  <si>
    <t>100 W 162nd St</t>
  </si>
  <si>
    <t>97 taylor st</t>
  </si>
  <si>
    <t>97 Taylor St</t>
  </si>
  <si>
    <t>242 Malden Pl</t>
  </si>
  <si>
    <t>804 Macon St</t>
  </si>
  <si>
    <t>1917-19 Adam Clayton Powell Blvd</t>
  </si>
  <si>
    <t>16-22 West 111th st</t>
  </si>
  <si>
    <t>65 Fort Washington Ave</t>
  </si>
  <si>
    <t>126 W 112th St</t>
  </si>
  <si>
    <t>405 W 149th St</t>
  </si>
  <si>
    <t>610 W 145th St</t>
  </si>
  <si>
    <t>2203 36th Ave</t>
  </si>
  <si>
    <t>11150 170th St</t>
  </si>
  <si>
    <t>4105 Vernon Blvd</t>
  </si>
  <si>
    <t>7132 Fresh Pond Road</t>
  </si>
  <si>
    <t>2024 Lafontaine Ave</t>
  </si>
  <si>
    <t>395 Fort Washington Ave</t>
  </si>
  <si>
    <t>455 Fort Washington Ave</t>
  </si>
  <si>
    <t>319 Jewett Ave</t>
  </si>
  <si>
    <t>5037 Newtown Rd</t>
  </si>
  <si>
    <t>501 E 165th St</t>
  </si>
  <si>
    <t>1528 Amsterdam Ave</t>
  </si>
  <si>
    <t>9216 165th St</t>
  </si>
  <si>
    <t>454 E 148th St</t>
  </si>
  <si>
    <t>2084 Creston Ave</t>
  </si>
  <si>
    <t>28 Bangor St</t>
  </si>
  <si>
    <t>471 Hicks St</t>
  </si>
  <si>
    <t>20812 39th Ave</t>
  </si>
  <si>
    <t>8304 260th St</t>
  </si>
  <si>
    <t>1224 116th St</t>
  </si>
  <si>
    <t>3033 72nd St</t>
  </si>
  <si>
    <t>4025 Hampton St</t>
  </si>
  <si>
    <t>262 Pulaski Ave</t>
  </si>
  <si>
    <t>85 Brabant St</t>
  </si>
  <si>
    <t>130 Vandalia Ave</t>
  </si>
  <si>
    <t>305 Ocean Ave</t>
  </si>
  <si>
    <t>64 2nd St</t>
  </si>
  <si>
    <t>222 Malcolm X Blvd</t>
  </si>
  <si>
    <t>15015 Yates Rd</t>
  </si>
  <si>
    <t>13310 160th St</t>
  </si>
  <si>
    <t>516 Main St</t>
  </si>
  <si>
    <t>174 E 85th St</t>
  </si>
  <si>
    <t>161 W 140th St</t>
  </si>
  <si>
    <t>310 E 102nd St</t>
  </si>
  <si>
    <t>5008 Broadway</t>
  </si>
  <si>
    <t>307 E 101st St</t>
  </si>
  <si>
    <t>2680 8th Ave</t>
  </si>
  <si>
    <t>60 E 104th St</t>
  </si>
  <si>
    <t>11243 Dillon St</t>
  </si>
  <si>
    <t>31-33 West 124 Street   Room 2H</t>
  </si>
  <si>
    <t>560 W 160th St</t>
  </si>
  <si>
    <t>51 E Houston St</t>
  </si>
  <si>
    <t>497 W 182nd St</t>
  </si>
  <si>
    <t>1266 Olmstead Ave</t>
  </si>
  <si>
    <t>513 E 13th St</t>
  </si>
  <si>
    <t>401 W 18th St</t>
  </si>
  <si>
    <t>1275 Edward L Grant Hwy</t>
  </si>
  <si>
    <t>4170 Carpenter Ave</t>
  </si>
  <si>
    <t>1098 Gerard Ave</t>
  </si>
  <si>
    <t>656 Stanley Ave</t>
  </si>
  <si>
    <t>4243 Gunther Ave</t>
  </si>
  <si>
    <t>436 49th St</t>
  </si>
  <si>
    <t>57 Wadsworth Ter</t>
  </si>
  <si>
    <t>719 E 213th St</t>
  </si>
  <si>
    <t>56 Roxbury St</t>
  </si>
  <si>
    <t>2952 Marion Ave</t>
  </si>
  <si>
    <t>1875 Univ Ave</t>
  </si>
  <si>
    <t>9319 205th St</t>
  </si>
  <si>
    <t>4209 47th Ave</t>
  </si>
  <si>
    <t>675 Linden Blvd</t>
  </si>
  <si>
    <t>440 E 105th St</t>
  </si>
  <si>
    <t>230 W 107th st</t>
  </si>
  <si>
    <t>3258 Olinville Ave</t>
  </si>
  <si>
    <t>276 W 115th St</t>
  </si>
  <si>
    <t>565 Manhattan Ave</t>
  </si>
  <si>
    <t>1244 Grand Concourse</t>
  </si>
  <si>
    <t>1060 Sheridan Ave</t>
  </si>
  <si>
    <t>1715 Longfellow Ave</t>
  </si>
  <si>
    <t>1035 Grand Concourse</t>
  </si>
  <si>
    <t>2313 Loring Pl N</t>
  </si>
  <si>
    <t>1924 Univ Ave</t>
  </si>
  <si>
    <t>3736 10th Ave</t>
  </si>
  <si>
    <t>11245 Sea View Ave</t>
  </si>
  <si>
    <t>6910 Avenue U</t>
  </si>
  <si>
    <t>2515 Olinville Ave</t>
  </si>
  <si>
    <t>2016 Belmont Ave</t>
  </si>
  <si>
    <t>23502 Hillside Ave</t>
  </si>
  <si>
    <t>3418 91st St</t>
  </si>
  <si>
    <t>15405 71st Ave</t>
  </si>
  <si>
    <t>4123 53rd St</t>
  </si>
  <si>
    <t>15023 114th Rd</t>
  </si>
  <si>
    <t>5625 College Point Blvd</t>
  </si>
  <si>
    <t>15608 107th Ave</t>
  </si>
  <si>
    <t>10729 Union Hall St</t>
  </si>
  <si>
    <t>2561 14th St</t>
  </si>
  <si>
    <t>1646 Union St</t>
  </si>
  <si>
    <t>Po Box 230455</t>
  </si>
  <si>
    <t>823 Homes Avenue</t>
  </si>
  <si>
    <t>2200 Morris Ave</t>
  </si>
  <si>
    <t>546 E 145th St</t>
  </si>
  <si>
    <t>2141 Holland Ave</t>
  </si>
  <si>
    <t>685e E 243rd St</t>
  </si>
  <si>
    <t>1185 Grand Concourse</t>
  </si>
  <si>
    <t>2757 Barker Ave</t>
  </si>
  <si>
    <t>47 Featherbed Ln</t>
  </si>
  <si>
    <t>917 Ogden Ave</t>
  </si>
  <si>
    <t>165 E 179th St</t>
  </si>
  <si>
    <t>1001 Woodycrest Ave</t>
  </si>
  <si>
    <t>1743 Amsterdam Ave</t>
  </si>
  <si>
    <t>500 West 144th Street</t>
  </si>
  <si>
    <t>120 W 112th St</t>
  </si>
  <si>
    <t>75 La Salle St</t>
  </si>
  <si>
    <t>615 W 183rd St</t>
  </si>
  <si>
    <t>13514 Hook Creek Blvd</t>
  </si>
  <si>
    <t>5000 Broadway</t>
  </si>
  <si>
    <t>875 Amsterdam Ave</t>
  </si>
  <si>
    <t>8757 124th St</t>
  </si>
  <si>
    <t>8806 191st St</t>
  </si>
  <si>
    <t>239 Lenox Ave</t>
  </si>
  <si>
    <t>13906 34th Rd</t>
  </si>
  <si>
    <t>13918 34th Rd</t>
  </si>
  <si>
    <t>13912 34th Rd</t>
  </si>
  <si>
    <t>3403n 21st St</t>
  </si>
  <si>
    <t>117 W 116th St</t>
  </si>
  <si>
    <t>759 46th St</t>
  </si>
  <si>
    <t>11536 125th St</t>
  </si>
  <si>
    <t>14623 220th St</t>
  </si>
  <si>
    <t>6820 Burns St</t>
  </si>
  <si>
    <t>10717 Van Wyck Expy</t>
  </si>
  <si>
    <t>376 Grandview Ave</t>
  </si>
  <si>
    <t>4146 50th St</t>
  </si>
  <si>
    <t>6536 99th St</t>
  </si>
  <si>
    <t>550 W 125th st</t>
  </si>
  <si>
    <t>3457 73rd St</t>
  </si>
  <si>
    <t>14420 41st Ave</t>
  </si>
  <si>
    <t>17040 130th Ave</t>
  </si>
  <si>
    <t>252 Sherman ave</t>
  </si>
  <si>
    <t>10520 177th St</t>
  </si>
  <si>
    <t>21873 Hempstead Ave</t>
  </si>
  <si>
    <t>11543 149th St</t>
  </si>
  <si>
    <t>2260 Strauss St</t>
  </si>
  <si>
    <t>435 E 105th St</t>
  </si>
  <si>
    <t>420 E 105th St</t>
  </si>
  <si>
    <t>1839 Lexington Ave</t>
  </si>
  <si>
    <t>16427 109th Ave</t>
  </si>
  <si>
    <t>316 E 49th St</t>
  </si>
  <si>
    <t>1320 Chisholm St</t>
  </si>
  <si>
    <t>1221 Sheridan Ave</t>
  </si>
  <si>
    <t>8531 120th St</t>
  </si>
  <si>
    <t>2414 Creston Ave</t>
  </si>
  <si>
    <t>11634 Merrick Blvd</t>
  </si>
  <si>
    <t>9707 99th Ave</t>
  </si>
  <si>
    <t>211 Brighton 15th St</t>
  </si>
  <si>
    <t>2440 Tiebout Ave</t>
  </si>
  <si>
    <t>778 Macdonough St</t>
  </si>
  <si>
    <t>678 E 233rd St</t>
  </si>
  <si>
    <t>96 E 93rd St</t>
  </si>
  <si>
    <t>334 Beach 54th St</t>
  </si>
  <si>
    <t>226 Grant Ave</t>
  </si>
  <si>
    <t>765 Southern Blvd</t>
  </si>
  <si>
    <t>2970 W 24th St</t>
  </si>
  <si>
    <t>110 E 176th St</t>
  </si>
  <si>
    <t>160 Schermerhorn St</t>
  </si>
  <si>
    <t>3324 Parsons Blvd</t>
  </si>
  <si>
    <t>2504 Clarendon Rd</t>
  </si>
  <si>
    <t>2867 West 17th Street</t>
  </si>
  <si>
    <t>425 61st St</t>
  </si>
  <si>
    <t>3208 Hull Ave</t>
  </si>
  <si>
    <t>96 E 208th St</t>
  </si>
  <si>
    <t>150 Hendricks Ave</t>
  </si>
  <si>
    <t>919 Park Pl</t>
  </si>
  <si>
    <t>41 Westcott Blvd</t>
  </si>
  <si>
    <t>1140 Anderson Ave</t>
  </si>
  <si>
    <t>364 E 49th St</t>
  </si>
  <si>
    <t>303 quincy st</t>
  </si>
  <si>
    <t>233 87th St</t>
  </si>
  <si>
    <t>2038 Crescent St</t>
  </si>
  <si>
    <t>1545 Nelson Ave</t>
  </si>
  <si>
    <t>50 E 18th St</t>
  </si>
  <si>
    <t>275 Westwood Ave</t>
  </si>
  <si>
    <t>14563 157th St</t>
  </si>
  <si>
    <t>100 Elton St</t>
  </si>
  <si>
    <t>820 Ocean Pkwy</t>
  </si>
  <si>
    <t>3165 29th St</t>
  </si>
  <si>
    <t>600 W 142nd St</t>
  </si>
  <si>
    <t>201 E 89th St</t>
  </si>
  <si>
    <t>1169 E.178th Street</t>
  </si>
  <si>
    <t>10319 91st St</t>
  </si>
  <si>
    <t>1120 Glenmore Ave</t>
  </si>
  <si>
    <t>763 Lenox Rd</t>
  </si>
  <si>
    <t>14733 76th Ave</t>
  </si>
  <si>
    <t>656 Howard Ave</t>
  </si>
  <si>
    <t>1 West St</t>
  </si>
  <si>
    <t>237 E 34th Street</t>
  </si>
  <si>
    <t>482 Tompkins Ave</t>
  </si>
  <si>
    <t>2835 Ocean avenue</t>
  </si>
  <si>
    <t>651 Barbey St</t>
  </si>
  <si>
    <t>340 E 139th St</t>
  </si>
  <si>
    <t>1809 3rd Ave</t>
  </si>
  <si>
    <t>275 Broome St</t>
  </si>
  <si>
    <t>361 New Jersey Ave</t>
  </si>
  <si>
    <t>1821 Univ Ave</t>
  </si>
  <si>
    <t>7112 Fresh Pond Rd</t>
  </si>
  <si>
    <t>2075 Rockaway Pkwy</t>
  </si>
  <si>
    <t>16909 Jamaica Ave</t>
  </si>
  <si>
    <t>1640 Macombs Rd</t>
  </si>
  <si>
    <t>3910 Harper Ave</t>
  </si>
  <si>
    <t>11455 144th St</t>
  </si>
  <si>
    <t>894 Thomas S Boyland St</t>
  </si>
  <si>
    <t>1460 Leland Ave</t>
  </si>
  <si>
    <t>1484 Watson Ave</t>
  </si>
  <si>
    <t>22-20 86th Street</t>
  </si>
  <si>
    <t>131 N Mada Ave</t>
  </si>
  <si>
    <t>8110 Rockaway Beach Blvd</t>
  </si>
  <si>
    <t>1840 81st St</t>
  </si>
  <si>
    <t>102 W 134th St</t>
  </si>
  <si>
    <t>4623 6th Ave</t>
  </si>
  <si>
    <t>309 E Tremont Ave</t>
  </si>
  <si>
    <t>957 Utica Ave</t>
  </si>
  <si>
    <t>347 W 141st St</t>
  </si>
  <si>
    <t>208a Beach 32nd St</t>
  </si>
  <si>
    <t>9075 179th St</t>
  </si>
  <si>
    <t>226 Linden Blvd</t>
  </si>
  <si>
    <t>6559 Parsons Blvd</t>
  </si>
  <si>
    <t>1386 Sutter Ave</t>
  </si>
  <si>
    <t>290 Riverside Dr</t>
  </si>
  <si>
    <t>8523 Avenue J</t>
  </si>
  <si>
    <t>10111 35th Ave</t>
  </si>
  <si>
    <t>541 E 26th St</t>
  </si>
  <si>
    <t>2675 W 36th St</t>
  </si>
  <si>
    <t>5610 138th St</t>
  </si>
  <si>
    <t>14004 Quince Ave</t>
  </si>
  <si>
    <t>494 Halsey St</t>
  </si>
  <si>
    <t>39a Brighton 10th Ct</t>
  </si>
  <si>
    <t>2186 5th Ave</t>
  </si>
  <si>
    <t>505 W 162nd St</t>
  </si>
  <si>
    <t>2345 Broadway</t>
  </si>
  <si>
    <t>56 Middleton St</t>
  </si>
  <si>
    <t>30 W 90th St</t>
  </si>
  <si>
    <t>227 Dumont Ave</t>
  </si>
  <si>
    <t>336 E 96th St</t>
  </si>
  <si>
    <t>294 Ashford St</t>
  </si>
  <si>
    <t>437 E 22nd St</t>
  </si>
  <si>
    <t>502 W 213th St</t>
  </si>
  <si>
    <t>560 W 192nd St</t>
  </si>
  <si>
    <t>12405 25th Rd</t>
  </si>
  <si>
    <t>13445 166th Pl</t>
  </si>
  <si>
    <t>10312 112th St</t>
  </si>
  <si>
    <t>18704 Ridgedale St</t>
  </si>
  <si>
    <t>765 Riverside Dr</t>
  </si>
  <si>
    <t>3288 Broadway</t>
  </si>
  <si>
    <t>327 St Nicholas Ave</t>
  </si>
  <si>
    <t>1420 Amsterdam Ave</t>
  </si>
  <si>
    <t>2522 Seagrit Avenue</t>
  </si>
  <si>
    <t>1350 5th Ave</t>
  </si>
  <si>
    <t>2929 W 31st St</t>
  </si>
  <si>
    <t>1132 Halsey St</t>
  </si>
  <si>
    <t>1516 Paulding Ave</t>
  </si>
  <si>
    <t>1813 George St</t>
  </si>
  <si>
    <t>309 E 5th St</t>
  </si>
  <si>
    <t>1922 Pacific St</t>
  </si>
  <si>
    <t>2855 Grand Concourse</t>
  </si>
  <si>
    <t>2483 W 16th St</t>
  </si>
  <si>
    <t>1516 Beach Ave</t>
  </si>
  <si>
    <t>1490 Boston Rd</t>
  </si>
  <si>
    <t>1888 Arthur Ave</t>
  </si>
  <si>
    <t>16710 Crocheron Ave</t>
  </si>
  <si>
    <t>14420 38th Ave</t>
  </si>
  <si>
    <t>100 La Salle St</t>
  </si>
  <si>
    <t>270 Empire Blvd</t>
  </si>
  <si>
    <t>5909 Glenwood Rd</t>
  </si>
  <si>
    <t>120 1st Ave</t>
  </si>
  <si>
    <t>339 Saratoga Ave</t>
  </si>
  <si>
    <t>2509 7th Ave</t>
  </si>
  <si>
    <t>47 Menahan St</t>
  </si>
  <si>
    <t>124 Humboldt St</t>
  </si>
  <si>
    <t>150 Linden St</t>
  </si>
  <si>
    <t>807 E 6th St</t>
  </si>
  <si>
    <t>28 Stanley Ave</t>
  </si>
  <si>
    <t>84 Carlton Ave</t>
  </si>
  <si>
    <t>14022 184th St</t>
  </si>
  <si>
    <t>373 96th St</t>
  </si>
  <si>
    <t>205 Sumpter St</t>
  </si>
  <si>
    <t>8 Cunard Pl</t>
  </si>
  <si>
    <t>534 Bergen St</t>
  </si>
  <si>
    <t>202 W 24th St</t>
  </si>
  <si>
    <t>417 Riverside Dr</t>
  </si>
  <si>
    <t>135 Elmira Loop</t>
  </si>
  <si>
    <t>10 Manhattan Ave</t>
  </si>
  <si>
    <t>400 Argyle RD</t>
  </si>
  <si>
    <t>1338 Linden Blvd</t>
  </si>
  <si>
    <t>654 Jamaica Ave</t>
  </si>
  <si>
    <t>186 Elvin St</t>
  </si>
  <si>
    <t>731 LInden blvd</t>
  </si>
  <si>
    <t>720 Belmont Ave</t>
  </si>
  <si>
    <t>1881 Putnam Ave</t>
  </si>
  <si>
    <t>560 Lenox Ave</t>
  </si>
  <si>
    <t>620 W 182nd St</t>
  </si>
  <si>
    <t>14 Court St</t>
  </si>
  <si>
    <t>729 Adee Ave</t>
  </si>
  <si>
    <t>3310 Bayview Ave</t>
  </si>
  <si>
    <t>1347 Bergen St</t>
  </si>
  <si>
    <t>13809 82nd Dr</t>
  </si>
  <si>
    <t>408 E 65th St</t>
  </si>
  <si>
    <t>120 W 116th St</t>
  </si>
  <si>
    <t>2516 87th St</t>
  </si>
  <si>
    <t>14666 Springfield Ln</t>
  </si>
  <si>
    <t>1270 Croes Ave</t>
  </si>
  <si>
    <t>727 Euclid Ave</t>
  </si>
  <si>
    <t>5601 Avenue J</t>
  </si>
  <si>
    <t>4210 82nd St</t>
  </si>
  <si>
    <t>2417 Dean st</t>
  </si>
  <si>
    <t>201 W 145th St</t>
  </si>
  <si>
    <t>177 Chrystie St</t>
  </si>
  <si>
    <t>2055 Harrison Ave</t>
  </si>
  <si>
    <t>3929 Carpenter Ave</t>
  </si>
  <si>
    <t>230 Sunnyside Ave</t>
  </si>
  <si>
    <t>2311 southern blvd</t>
  </si>
  <si>
    <t>2400 7th Ave</t>
  </si>
  <si>
    <t>220 W 133rd St</t>
  </si>
  <si>
    <t>400 Argyle Rd</t>
  </si>
  <si>
    <t>175 E 52nd st</t>
  </si>
  <si>
    <t>3801 Avenue L</t>
  </si>
  <si>
    <t>10330 115th St</t>
  </si>
  <si>
    <t>156 Allen St</t>
  </si>
  <si>
    <t>10705 Watson Pl</t>
  </si>
  <si>
    <t>2950 Decatur Ave</t>
  </si>
  <si>
    <t>250 E 93rd St</t>
  </si>
  <si>
    <t>169 New York Ave</t>
  </si>
  <si>
    <t>1616 Grand Ave</t>
  </si>
  <si>
    <t>2226 McDonald Ave</t>
  </si>
  <si>
    <t>40 W 90th St</t>
  </si>
  <si>
    <t>14435 Roosevelt Ave</t>
  </si>
  <si>
    <t>4920 6th Ave</t>
  </si>
  <si>
    <t>25353 148th Dr</t>
  </si>
  <si>
    <t>35 covert st</t>
  </si>
  <si>
    <t>200 Highland Blvd</t>
  </si>
  <si>
    <t>383 Pulaski St</t>
  </si>
  <si>
    <t>9911 57th Ave</t>
  </si>
  <si>
    <t>1812 Menahan St</t>
  </si>
  <si>
    <t>711a Seagirt Ave</t>
  </si>
  <si>
    <t>1001 Eastern Pkwy</t>
  </si>
  <si>
    <t>2070 Steinway St</t>
  </si>
  <si>
    <t>856 Crescent St</t>
  </si>
  <si>
    <t>14856 262nd Pl</t>
  </si>
  <si>
    <t>532 West 145th Street 2A</t>
  </si>
  <si>
    <t>1632 Ocean Ave</t>
  </si>
  <si>
    <t>2849 Harrington Ave</t>
  </si>
  <si>
    <t>83 Vermilyea Ave C21</t>
  </si>
  <si>
    <t>10212 184th St</t>
  </si>
  <si>
    <t>376 Woodward ave</t>
  </si>
  <si>
    <t>1401 Teller Ave</t>
  </si>
  <si>
    <t>640 Riverside Drive 2I</t>
  </si>
  <si>
    <t>2009 Marmion Ave</t>
  </si>
  <si>
    <t>1695 Monroe Ave</t>
  </si>
  <si>
    <t>550 Cauldwell Ave</t>
  </si>
  <si>
    <t>1344 Univ Ave</t>
  </si>
  <si>
    <t>910 Grand Concourse</t>
  </si>
  <si>
    <t>1429 Carroll St</t>
  </si>
  <si>
    <t>4118 158th St</t>
  </si>
  <si>
    <t>2215 Newkirk Ave</t>
  </si>
  <si>
    <t>603 Mother Gaston Blvd</t>
  </si>
  <si>
    <t>1757 Sterling Pl</t>
  </si>
  <si>
    <t>2190 2nd Ave</t>
  </si>
  <si>
    <t>3 Albany Ave</t>
  </si>
  <si>
    <t>15716 59th Ave</t>
  </si>
  <si>
    <t>504 Marcy Ave</t>
  </si>
  <si>
    <t>16203 Laburnum Ave</t>
  </si>
  <si>
    <t>345 Thatford Ave</t>
  </si>
  <si>
    <t>359 9th St</t>
  </si>
  <si>
    <t>297 Lenox Rd</t>
  </si>
  <si>
    <t>14308 Roosevelt Ave</t>
  </si>
  <si>
    <t>8920 Park Ln S</t>
  </si>
  <si>
    <t>957 Greene Ave</t>
  </si>
  <si>
    <t>1208 E 95th St</t>
  </si>
  <si>
    <t>3060 36th St Apt 4</t>
  </si>
  <si>
    <t>2095 3rd Ave</t>
  </si>
  <si>
    <t>257 Linden St</t>
  </si>
  <si>
    <t>413 Beach 44th St</t>
  </si>
  <si>
    <t>232 Elizabeth St</t>
  </si>
  <si>
    <t>4018 24th St</t>
  </si>
  <si>
    <t>3707 147th St</t>
  </si>
  <si>
    <t>347 Bradford St</t>
  </si>
  <si>
    <t>4415 Colden St</t>
  </si>
  <si>
    <t>1847 26th Rd</t>
  </si>
  <si>
    <t>601 E 12th St</t>
  </si>
  <si>
    <t>244a Macdougal St</t>
  </si>
  <si>
    <t>753 Macon St</t>
  </si>
  <si>
    <t>861 Halsey St</t>
  </si>
  <si>
    <t>1204 shakespeare Ave</t>
  </si>
  <si>
    <t>1369 Gipson St</t>
  </si>
  <si>
    <t>156 Beach 60th St</t>
  </si>
  <si>
    <t>2078 Cropsey Ave</t>
  </si>
  <si>
    <t>7631 85th Rd</t>
  </si>
  <si>
    <t>3050 33rd ST</t>
  </si>
  <si>
    <t>2035 Belmont Ave</t>
  </si>
  <si>
    <t>635 Arnow Ave</t>
  </si>
  <si>
    <t>258 Macdougal St</t>
  </si>
  <si>
    <t>4720 48th St</t>
  </si>
  <si>
    <t>1743 Lexington Ave</t>
  </si>
  <si>
    <t>921 E 77th St</t>
  </si>
  <si>
    <t>2142 Frederick Douglass Blvd</t>
  </si>
  <si>
    <t>2441 Adam Clayton Powell Jr Blvd</t>
  </si>
  <si>
    <t>1391 Dean St</t>
  </si>
  <si>
    <t>1801 7th Ave</t>
  </si>
  <si>
    <t>300 E 78th St</t>
  </si>
  <si>
    <t>162 E 90th St</t>
  </si>
  <si>
    <t>446 E 149th St</t>
  </si>
  <si>
    <t>770 Saint Marks Ave</t>
  </si>
  <si>
    <t>38 Adams Ave</t>
  </si>
  <si>
    <t>1769 Park pl</t>
  </si>
  <si>
    <t>524 W 173rd St</t>
  </si>
  <si>
    <t>141 Haven Ave</t>
  </si>
  <si>
    <t>436 Cozine Ave</t>
  </si>
  <si>
    <t>167a Macdougal St</t>
  </si>
  <si>
    <t>811 Flushing Ave</t>
  </si>
  <si>
    <t>398 Green Valley Rd</t>
  </si>
  <si>
    <t>171 Tompkins Ave</t>
  </si>
  <si>
    <t>2159 Pacific St</t>
  </si>
  <si>
    <t>257 Marion St</t>
  </si>
  <si>
    <t>1204 E 95th St</t>
  </si>
  <si>
    <t>315 E 163rd St</t>
  </si>
  <si>
    <t>557 Bradford St</t>
  </si>
  <si>
    <t>1814 Eastern Pkwy</t>
  </si>
  <si>
    <t>87 Vermont St</t>
  </si>
  <si>
    <t>536 Isham St</t>
  </si>
  <si>
    <t>14117 181st St</t>
  </si>
  <si>
    <t>6977 75th St</t>
  </si>
  <si>
    <t>144 Wyckoff ave</t>
  </si>
  <si>
    <t>1916 Crotona Ave</t>
  </si>
  <si>
    <t>711 W 171st St</t>
  </si>
  <si>
    <t>3086 32nd St</t>
  </si>
  <si>
    <t>2120 Grand Ave</t>
  </si>
  <si>
    <t>7403 Myrtle Ave</t>
  </si>
  <si>
    <t>17132 108th Ave</t>
  </si>
  <si>
    <t>4343 91st Pl</t>
  </si>
  <si>
    <t>50 Amsterdam Ave</t>
  </si>
  <si>
    <t>523 W 112th St</t>
  </si>
  <si>
    <t>2041 Pacific St</t>
  </si>
  <si>
    <t>20 Crooke Ave</t>
  </si>
  <si>
    <t>611 Willoughby Ave</t>
  </si>
  <si>
    <t>2211 Southern blvd</t>
  </si>
  <si>
    <t>1511A Commonwealth Ave</t>
  </si>
  <si>
    <t>244 Bainbridge St</t>
  </si>
  <si>
    <t>4210 colden st</t>
  </si>
  <si>
    <t>1437 Bryant Ave</t>
  </si>
  <si>
    <t>633 Cleveland St</t>
  </si>
  <si>
    <t>9138 Lefferts Blvd</t>
  </si>
  <si>
    <t>853 President St</t>
  </si>
  <si>
    <t>7422 Woodside Ave</t>
  </si>
  <si>
    <t>629 E 3rd St</t>
  </si>
  <si>
    <t>772 Saint Nicholas Ave</t>
  </si>
  <si>
    <t>3316 74th St</t>
  </si>
  <si>
    <t>67-50 Thomton Place</t>
  </si>
  <si>
    <t>11422 Springfield Blvd</t>
  </si>
  <si>
    <t>3228 48th St</t>
  </si>
  <si>
    <t>579 Chester St</t>
  </si>
  <si>
    <t>2157 Pacific St</t>
  </si>
  <si>
    <t>20209 43rd Ave</t>
  </si>
  <si>
    <t>964 Glenmore Ave</t>
  </si>
  <si>
    <t>352 Atkins Ave</t>
  </si>
  <si>
    <t>94 rockaway pkwy</t>
  </si>
  <si>
    <t>765 lincoln ave</t>
  </si>
  <si>
    <t>2177 E 24th St</t>
  </si>
  <si>
    <t>486 Brooklyn Ave</t>
  </si>
  <si>
    <t>1737 Davidson Ave</t>
  </si>
  <si>
    <t>1420 Brooklyn Ave</t>
  </si>
  <si>
    <t>143 Hull St</t>
  </si>
  <si>
    <t>2309 Pitkin Ave</t>
  </si>
  <si>
    <t>111 15th St</t>
  </si>
  <si>
    <t>1714 Linden St</t>
  </si>
  <si>
    <t>1350 Univ Ave</t>
  </si>
  <si>
    <t>588 Wyona St</t>
  </si>
  <si>
    <t>64 W 192nd St</t>
  </si>
  <si>
    <t>1110 Neilson St</t>
  </si>
  <si>
    <t>171 New York Ave</t>
  </si>
  <si>
    <t>2180 Fulton St</t>
  </si>
  <si>
    <t>185 NEVINS ST</t>
  </si>
  <si>
    <t>721 New Jersey Ave</t>
  </si>
  <si>
    <t>2092 Dean St</t>
  </si>
  <si>
    <t>5350 66th St</t>
  </si>
  <si>
    <t>166 Simonson Ave</t>
  </si>
  <si>
    <t>921 Washington Ave</t>
  </si>
  <si>
    <t>14629 Tuskegee Airmen Way</t>
  </si>
  <si>
    <t>400 W 43rd St</t>
  </si>
  <si>
    <t>136 W 91st St</t>
  </si>
  <si>
    <t>96 Baxter St</t>
  </si>
  <si>
    <t>190 E 2nd St</t>
  </si>
  <si>
    <t>415 Lincoln Ave</t>
  </si>
  <si>
    <t>96 Wadsworth Ter</t>
  </si>
  <si>
    <t>75 Fairview Ave</t>
  </si>
  <si>
    <t>192-15A 69thAve</t>
  </si>
  <si>
    <t>558 W 184th St</t>
  </si>
  <si>
    <t>240 W 65th St</t>
  </si>
  <si>
    <t>5155 Van Kleeck St</t>
  </si>
  <si>
    <t>525 W 28th St</t>
  </si>
  <si>
    <t>8510 34th Ave</t>
  </si>
  <si>
    <t>234 Sands St</t>
  </si>
  <si>
    <t>24 Furman Ave</t>
  </si>
  <si>
    <t>375 Pulaski St</t>
  </si>
  <si>
    <t>395 Schenectady Ave</t>
  </si>
  <si>
    <t>87 Christopher St</t>
  </si>
  <si>
    <t>331 Beach 31st St</t>
  </si>
  <si>
    <t>1918 Richmond Ter</t>
  </si>
  <si>
    <t>1561 Union St</t>
  </si>
  <si>
    <t>228 Nagle AVe</t>
  </si>
  <si>
    <t>69 W Tremont Ave # 73</t>
  </si>
  <si>
    <t>63 Brook St</t>
  </si>
  <si>
    <t>2160 dean st</t>
  </si>
  <si>
    <t>652 Chauncey St</t>
  </si>
  <si>
    <t>214 Beach 32nd St</t>
  </si>
  <si>
    <t>350 Lefferts Ave</t>
  </si>
  <si>
    <t>1214 Avenue I</t>
  </si>
  <si>
    <t>15702 59th Ave</t>
  </si>
  <si>
    <t>37 New Lots Ave</t>
  </si>
  <si>
    <t>8622 Jamaica Ave</t>
  </si>
  <si>
    <t>225 Vanderbilt Avenue</t>
  </si>
  <si>
    <t>367 Lenox Avenue 2E</t>
  </si>
  <si>
    <t>133 West 104th Street 6B</t>
  </si>
  <si>
    <t>6706 64th St</t>
  </si>
  <si>
    <t>15476 71st Ave</t>
  </si>
  <si>
    <t>11021 Northern Blvd</t>
  </si>
  <si>
    <t>416A Jersey St</t>
  </si>
  <si>
    <t>416 E 83rd St</t>
  </si>
  <si>
    <t>2123 45th Ave</t>
  </si>
  <si>
    <t>23 New Lots Ave</t>
  </si>
  <si>
    <t>17404 110th Ave</t>
  </si>
  <si>
    <t>580 Bristol St</t>
  </si>
  <si>
    <t>297 W 12th St</t>
  </si>
  <si>
    <t>8 Rocaway Aveneu</t>
  </si>
  <si>
    <t>1591 Fulton Ave</t>
  </si>
  <si>
    <t>1406 Nostrand Ave</t>
  </si>
  <si>
    <t>3071 Park Ave</t>
  </si>
  <si>
    <t>624 Howard Ave</t>
  </si>
  <si>
    <t>2425 Oceancrest Blvd</t>
  </si>
  <si>
    <t>1260 Sutter Ave</t>
  </si>
  <si>
    <t>2279 Tiebout Ave</t>
  </si>
  <si>
    <t>4055 College Point Blvd</t>
  </si>
  <si>
    <t>105 Buckingham Rd</t>
  </si>
  <si>
    <t>9427 77th St</t>
  </si>
  <si>
    <t>8818 150th St</t>
  </si>
  <si>
    <t>40 Morningside Ave</t>
  </si>
  <si>
    <t>64 Dartmouth Loop</t>
  </si>
  <si>
    <t>967 Kelly St</t>
  </si>
  <si>
    <t>173 Starr St</t>
  </si>
  <si>
    <t>11604 Liberty Ave</t>
  </si>
  <si>
    <t>1365 Saint Nicholas Ave 30M</t>
  </si>
  <si>
    <t>381 Edgecombe Ave 2B</t>
  </si>
  <si>
    <t>461 West 148th Street 1C</t>
  </si>
  <si>
    <t>3520 24th St</t>
  </si>
  <si>
    <t>151 Beach 27th St</t>
  </si>
  <si>
    <t>11216 Rockaway Beach Blvd</t>
  </si>
  <si>
    <t>10201 163rd Rd</t>
  </si>
  <si>
    <t>2805 University Ave</t>
  </si>
  <si>
    <t>130 Columbia St</t>
  </si>
  <si>
    <t>115 E 21st St</t>
  </si>
  <si>
    <t>6314 Woodhaven Blvd</t>
  </si>
  <si>
    <t>2284 Strauss St</t>
  </si>
  <si>
    <t>10333 116th St</t>
  </si>
  <si>
    <t>255 Mckibben St</t>
  </si>
  <si>
    <t>3031 Brighton 14th St</t>
  </si>
  <si>
    <t>150 50th Ave</t>
  </si>
  <si>
    <t>8764 115th St</t>
  </si>
  <si>
    <t>585 Blake Ave</t>
  </si>
  <si>
    <t>104 Elliot Pl</t>
  </si>
  <si>
    <t>1077 New York Ave</t>
  </si>
  <si>
    <t>1016 50th St</t>
  </si>
  <si>
    <t>85 Tompkins AVE</t>
  </si>
  <si>
    <t>2042 Morris Ave</t>
  </si>
  <si>
    <t>2844 Frederick Douglass Blvd</t>
  </si>
  <si>
    <t>941 Hoe Ave</t>
  </si>
  <si>
    <t>224 38 Pitkin Avenue</t>
  </si>
  <si>
    <t>141 Lafayette Ave</t>
  </si>
  <si>
    <t>532 Kosciuszko St</t>
  </si>
  <si>
    <t>157 Saratoga Ave</t>
  </si>
  <si>
    <t>740 Sutter Ave</t>
  </si>
  <si>
    <t>2911 Butler St</t>
  </si>
  <si>
    <t>345 W 30th St</t>
  </si>
  <si>
    <t>511 W 177th St</t>
  </si>
  <si>
    <t>217 Thomas S Boyland St</t>
  </si>
  <si>
    <t>226 W 20th St</t>
  </si>
  <si>
    <t>2285 strauss ST</t>
  </si>
  <si>
    <t>509 W 155th St</t>
  </si>
  <si>
    <t>214 W 92nd St</t>
  </si>
  <si>
    <t>500 W 30th St</t>
  </si>
  <si>
    <t>600 W 113th St</t>
  </si>
  <si>
    <t>Homeless</t>
  </si>
  <si>
    <t>16818 Liberty ave</t>
  </si>
  <si>
    <t>3185 Crescent St</t>
  </si>
  <si>
    <t>2078 Creston Ave</t>
  </si>
  <si>
    <t>1206 Wheeler Ave</t>
  </si>
  <si>
    <t>125 Schroeders Ave</t>
  </si>
  <si>
    <t>2705 Bainbridge Ave</t>
  </si>
  <si>
    <t>202a Saratoga Ave</t>
  </si>
  <si>
    <t>13912 109th Ave</t>
  </si>
  <si>
    <t>8335 116th St</t>
  </si>
  <si>
    <t>48 Van Siclen Ave</t>
  </si>
  <si>
    <t>30 3rd Ave</t>
  </si>
  <si>
    <t>8823 184th St</t>
  </si>
  <si>
    <t>372 13th St</t>
  </si>
  <si>
    <t>1092 Close Ave</t>
  </si>
  <si>
    <t>145 Beach 27th St</t>
  </si>
  <si>
    <t>668 Brooklyn Ave</t>
  </si>
  <si>
    <t>100 Einstein Loop</t>
  </si>
  <si>
    <t>1143 E 57th St</t>
  </si>
  <si>
    <t>1801 Pitkin Ave</t>
  </si>
  <si>
    <t>1329 Saint Johns Pl</t>
  </si>
  <si>
    <t>149 Sterling St</t>
  </si>
  <si>
    <t>244 Sumpter St</t>
  </si>
  <si>
    <t>681 Ocean Ave</t>
  </si>
  <si>
    <t>1856 Matthews Ave</t>
  </si>
  <si>
    <t>9710 Northern Blvd</t>
  </si>
  <si>
    <t>1243 117th St</t>
  </si>
  <si>
    <t>16819 110th Ave</t>
  </si>
  <si>
    <t>2050 Valentine Ave</t>
  </si>
  <si>
    <t>125 Lenox Rd</t>
  </si>
  <si>
    <t>17514 68th Ave</t>
  </si>
  <si>
    <t>902 47th St</t>
  </si>
  <si>
    <t>533 Bay St</t>
  </si>
  <si>
    <t>225 Park HIll Ave</t>
  </si>
  <si>
    <t>81 Milford St</t>
  </si>
  <si>
    <t>15 W 123rd St</t>
  </si>
  <si>
    <t>11738 141st St</t>
  </si>
  <si>
    <t>16427 119th Ave</t>
  </si>
  <si>
    <t>566 Parkside Ave</t>
  </si>
  <si>
    <t>301 100th St</t>
  </si>
  <si>
    <t>1414 Walton Ave</t>
  </si>
  <si>
    <t>13425 Franklin Ave</t>
  </si>
  <si>
    <t>1295 Amsterdam Ave</t>
  </si>
  <si>
    <t>9330 Fort Hamilton Pkwy</t>
  </si>
  <si>
    <t>104 Adelphi St</t>
  </si>
  <si>
    <t>8 Saint Nicholas Ter</t>
  </si>
  <si>
    <t>2445 Frederick Douglass Blvd</t>
  </si>
  <si>
    <t>177 Sheffield Ave</t>
  </si>
  <si>
    <t>662 Riverdale ave</t>
  </si>
  <si>
    <t>230 Acho place</t>
  </si>
  <si>
    <t>1097 Walton Ave</t>
  </si>
  <si>
    <t>2156 Linden blvd</t>
  </si>
  <si>
    <t>1487 Broadway</t>
  </si>
  <si>
    <t>4532 158th St</t>
  </si>
  <si>
    <t>670 President St</t>
  </si>
  <si>
    <t>2075 E 16th St</t>
  </si>
  <si>
    <t>82 Hull St</t>
  </si>
  <si>
    <t>10630 159th St</t>
  </si>
  <si>
    <t>6550 Wetherole St</t>
  </si>
  <si>
    <t>1349 E 38th St</t>
  </si>
  <si>
    <t>560 Main St</t>
  </si>
  <si>
    <t>1084 Greene Ave</t>
  </si>
  <si>
    <t>1362 New York Ave</t>
  </si>
  <si>
    <t>333 Neptune ave</t>
  </si>
  <si>
    <t>40 N 4th St</t>
  </si>
  <si>
    <t>118 Post Ave</t>
  </si>
  <si>
    <t>14624 58th RD</t>
  </si>
  <si>
    <t>310 E 113th St</t>
  </si>
  <si>
    <t>16410 84th Ave</t>
  </si>
  <si>
    <t>955 Rutland Rd</t>
  </si>
  <si>
    <t>67 Saint Pauls Pl</t>
  </si>
  <si>
    <t>8434 60th Ave</t>
  </si>
  <si>
    <t>2454 Tiebout Ave</t>
  </si>
  <si>
    <t>254 Linwood St</t>
  </si>
  <si>
    <t>1116 Carroll St</t>
  </si>
  <si>
    <t>165 New York Ave</t>
  </si>
  <si>
    <t>481 Lincoln Ave</t>
  </si>
  <si>
    <t>1479 Grand Concourse</t>
  </si>
  <si>
    <t>3749 83rd St</t>
  </si>
  <si>
    <t>89 Thompson St</t>
  </si>
  <si>
    <t>15533 Linden Blvd</t>
  </si>
  <si>
    <t>3458 90th St</t>
  </si>
  <si>
    <t>25 Bond St</t>
  </si>
  <si>
    <t>357 W 118th St</t>
  </si>
  <si>
    <t>1916 Crotona aVe</t>
  </si>
  <si>
    <t>94 Conklin Ave</t>
  </si>
  <si>
    <t>170 W 77th St</t>
  </si>
  <si>
    <t>711 D Seagrit Ave</t>
  </si>
  <si>
    <t>101 Lenox Rd</t>
  </si>
  <si>
    <t>1189 Tinton Ave</t>
  </si>
  <si>
    <t>10850 171st Pl</t>
  </si>
  <si>
    <t>3422 105th St</t>
  </si>
  <si>
    <t>495 W End Ave</t>
  </si>
  <si>
    <t>7110 34th Ave</t>
  </si>
  <si>
    <t>63 A Lewis Ave</t>
  </si>
  <si>
    <t>588 Pine St</t>
  </si>
  <si>
    <t>558 Ridgewood Ave</t>
  </si>
  <si>
    <t>2342 Atlantic Ave</t>
  </si>
  <si>
    <t>1159 E 229th St</t>
  </si>
  <si>
    <t>1538 Clintonville St</t>
  </si>
  <si>
    <t>2823 49th St</t>
  </si>
  <si>
    <t>2826 Brigham St</t>
  </si>
  <si>
    <t>2074 Walton Ave</t>
  </si>
  <si>
    <t>552 Parkside Ave</t>
  </si>
  <si>
    <t>180 Erasmus St</t>
  </si>
  <si>
    <t>9727 117th St</t>
  </si>
  <si>
    <t>44 Euclid Ave</t>
  </si>
  <si>
    <t>1551 71st St</t>
  </si>
  <si>
    <t>331 Grandview Ave</t>
  </si>
  <si>
    <t>204 Manhattan Ave</t>
  </si>
  <si>
    <t>865 E 169th St</t>
  </si>
  <si>
    <t>418 Atkins Ave</t>
  </si>
  <si>
    <t>859 Belmont Ave</t>
  </si>
  <si>
    <t>335 Marion St</t>
  </si>
  <si>
    <t>319 E 93rd St</t>
  </si>
  <si>
    <t>3034 Kingsbridge Ave</t>
  </si>
  <si>
    <t>456 Autum Avenue</t>
  </si>
  <si>
    <t>180 Troy Ave</t>
  </si>
  <si>
    <t>557 E 80th St</t>
  </si>
  <si>
    <t>13606 58th Rd</t>
  </si>
  <si>
    <t>8501 101st St</t>
  </si>
  <si>
    <t>176 Warwick St</t>
  </si>
  <si>
    <t>567 Macon St</t>
  </si>
  <si>
    <t>108 E 6th Rd</t>
  </si>
  <si>
    <t>11627 Newburgh St</t>
  </si>
  <si>
    <t>7218 Almeda Ave</t>
  </si>
  <si>
    <t>555 Pine St</t>
  </si>
  <si>
    <t>17 W 182nd St</t>
  </si>
  <si>
    <t>2430 7th Ave</t>
  </si>
  <si>
    <t>1275 Union St</t>
  </si>
  <si>
    <t>450 Bradford St</t>
  </si>
  <si>
    <t>438 Wyona St</t>
  </si>
  <si>
    <t>108 Rockaway Ave</t>
  </si>
  <si>
    <t>1185 Fulton Ave</t>
  </si>
  <si>
    <t>10 E 116th St</t>
  </si>
  <si>
    <t>4350 Furman Ave</t>
  </si>
  <si>
    <t>2253 7th  Avenue 5N</t>
  </si>
  <si>
    <t>604 Midwood St</t>
  </si>
  <si>
    <t>241 Green Valley Rd</t>
  </si>
  <si>
    <t>114 Troutman Street</t>
  </si>
  <si>
    <t>1950 andrews ave</t>
  </si>
  <si>
    <t>24 Metropolitan Oval</t>
  </si>
  <si>
    <t>325 E 176th St</t>
  </si>
  <si>
    <t>2965 Botanical Sq</t>
  </si>
  <si>
    <t>10636 156th St</t>
  </si>
  <si>
    <t>16320 108th Ave</t>
  </si>
  <si>
    <t>11512 168th St</t>
  </si>
  <si>
    <t>110 Bennett Ave</t>
  </si>
  <si>
    <t>950 Aldus St</t>
  </si>
  <si>
    <t>182 Riverdale Ave</t>
  </si>
  <si>
    <t>984 Halsey St</t>
  </si>
  <si>
    <t>3030 Brighton 12th St</t>
  </si>
  <si>
    <t>327 Vernon Ave</t>
  </si>
  <si>
    <t>1535 Undercliff Ave</t>
  </si>
  <si>
    <t>512 W 135th St</t>
  </si>
  <si>
    <t>52 Schoharie St</t>
  </si>
  <si>
    <t>1160 Ocean Ave</t>
  </si>
  <si>
    <t>607 W 180th St</t>
  </si>
  <si>
    <t>401 Macon St</t>
  </si>
  <si>
    <t>105 E Clarke Pl</t>
  </si>
  <si>
    <t>20215 119th Ave</t>
  </si>
  <si>
    <t>100 Elgar Pl</t>
  </si>
  <si>
    <t>704 New Jersey Ave</t>
  </si>
  <si>
    <t>29 W Tremont Ave</t>
  </si>
  <si>
    <t>1995 Sedgwick Ave</t>
  </si>
  <si>
    <t>286 Lexington Ave</t>
  </si>
  <si>
    <t>1083a Prospect Pl</t>
  </si>
  <si>
    <t>243 Kingston Ave</t>
  </si>
  <si>
    <t>1940 Pacific st</t>
  </si>
  <si>
    <t>18310 144th Ave</t>
  </si>
  <si>
    <t>628 W 158th St</t>
  </si>
  <si>
    <t>9160 193rd St</t>
  </si>
  <si>
    <t>210 Clinton Ave</t>
  </si>
  <si>
    <t>56 W 127th St</t>
  </si>
  <si>
    <t>107 Somers St</t>
  </si>
  <si>
    <t>257 Jersey St</t>
  </si>
  <si>
    <t>418 2nd St</t>
  </si>
  <si>
    <t>405 E 16th St</t>
  </si>
  <si>
    <t>210 Stanton St.</t>
  </si>
  <si>
    <t>100 Pitt St</t>
  </si>
  <si>
    <t>3072 45th St</t>
  </si>
  <si>
    <t>1028 Kelly St</t>
  </si>
  <si>
    <t>292 Manhattan Ave</t>
  </si>
  <si>
    <t>135b W 168th St</t>
  </si>
  <si>
    <t>286 South St</t>
  </si>
  <si>
    <t>360 E 166th St</t>
  </si>
  <si>
    <t>40 Skinner Ln</t>
  </si>
  <si>
    <t>10645 156th St</t>
  </si>
  <si>
    <t>173 Chauncey St</t>
  </si>
  <si>
    <t>5102 67th St</t>
  </si>
  <si>
    <t>3415 74th St</t>
  </si>
  <si>
    <t>10114 134th St</t>
  </si>
  <si>
    <t>8396 118th st</t>
  </si>
  <si>
    <t>1155 Dean St</t>
  </si>
  <si>
    <t>200 Schermerhorn St</t>
  </si>
  <si>
    <t>201 Saint Nicholas Ave</t>
  </si>
  <si>
    <t>1349 E 10TH ST</t>
  </si>
  <si>
    <t>7132 66th Pl</t>
  </si>
  <si>
    <t>384 2nd St</t>
  </si>
  <si>
    <t>787 Linwood St</t>
  </si>
  <si>
    <t>645 Water St</t>
  </si>
  <si>
    <t>1908 Prospect Ave</t>
  </si>
  <si>
    <t>1512 Amsterdam Ave</t>
  </si>
  <si>
    <t>8117 Kneeland Ave</t>
  </si>
  <si>
    <t>719 Lorimer St</t>
  </si>
  <si>
    <t>913 Belmont Ave</t>
  </si>
  <si>
    <t>294 5th Ave</t>
  </si>
  <si>
    <t>9121 195th St</t>
  </si>
  <si>
    <t>4207 Elberston st</t>
  </si>
  <si>
    <t>8611 Whitney Ave</t>
  </si>
  <si>
    <t>12941 133rd St</t>
  </si>
  <si>
    <t>5812 Avenue L</t>
  </si>
  <si>
    <t>815 Eats 14th Street</t>
  </si>
  <si>
    <t>1601 Beverley Rd</t>
  </si>
  <si>
    <t>15 Bay 37th St</t>
  </si>
  <si>
    <t>7020 Parsons Blvd</t>
  </si>
  <si>
    <t>6717 Kissena Blvd</t>
  </si>
  <si>
    <t>410 E 89th St</t>
  </si>
  <si>
    <t>1170 Nameoke St</t>
  </si>
  <si>
    <t>141 Chestnut Ave</t>
  </si>
  <si>
    <t>8200 Bay Pkwy</t>
  </si>
  <si>
    <t>536 Bristol St</t>
  </si>
  <si>
    <t>6301 23rd Ave</t>
  </si>
  <si>
    <t>72 Granite St</t>
  </si>
  <si>
    <t>10824 174th St</t>
  </si>
  <si>
    <t>220 E 94th St</t>
  </si>
  <si>
    <t>1705 Andrews Ave</t>
  </si>
  <si>
    <t>710 Hendrix St</t>
  </si>
  <si>
    <t>14137 Pershing Cres</t>
  </si>
  <si>
    <t>18303 Henderson Ave</t>
  </si>
  <si>
    <t>13016 Inwood St</t>
  </si>
  <si>
    <t>975 Union Ave</t>
  </si>
  <si>
    <t>3100 Brighton 7th St</t>
  </si>
  <si>
    <t>16 Van Buren St</t>
  </si>
  <si>
    <t>3459 89th St</t>
  </si>
  <si>
    <t>225 Parkhill Avenue</t>
  </si>
  <si>
    <t>456 Autumn Ave</t>
  </si>
  <si>
    <t>68-10 Grand Avenue</t>
  </si>
  <si>
    <t>4847 47th St</t>
  </si>
  <si>
    <t>17230 133rd Ave</t>
  </si>
  <si>
    <t>18620 Jordan Ave</t>
  </si>
  <si>
    <t>431 New Lots Ave</t>
  </si>
  <si>
    <t>2727 Surf Ave</t>
  </si>
  <si>
    <t>1989 Amsterdam Ave</t>
  </si>
  <si>
    <t>1370 Eastern Pkwy</t>
  </si>
  <si>
    <t>811 E 178th St</t>
  </si>
  <si>
    <t>661 Osborn St</t>
  </si>
  <si>
    <t>14212 56th Rd</t>
  </si>
  <si>
    <t>6009 Metropolitan Ave</t>
  </si>
  <si>
    <t>335 E 27th St</t>
  </si>
  <si>
    <t>2649 96th St</t>
  </si>
  <si>
    <t>137 Glen St</t>
  </si>
  <si>
    <t>13120 41st Ave</t>
  </si>
  <si>
    <t>321 Edgecombe Ave</t>
  </si>
  <si>
    <t>8610 34th Ave</t>
  </si>
  <si>
    <t>3351 73rd St</t>
  </si>
  <si>
    <t>12360 83rd Ave</t>
  </si>
  <si>
    <t>140 W 71st St</t>
  </si>
  <si>
    <t>40 Richman Plaza</t>
  </si>
  <si>
    <t>131 Eldert St</t>
  </si>
  <si>
    <t>75 W End Ave</t>
  </si>
  <si>
    <t>2100 Wallace Ave</t>
  </si>
  <si>
    <t>173-175 East 151st Street</t>
  </si>
  <si>
    <t>355 Leland Ave</t>
  </si>
  <si>
    <t>2257 Haviland Avenue</t>
  </si>
  <si>
    <t>4425 Seton Avenue</t>
  </si>
  <si>
    <t>15034 27th Ave</t>
  </si>
  <si>
    <t>5505 103rd St</t>
  </si>
  <si>
    <t>8435 62nd Dr</t>
  </si>
  <si>
    <t>305 Slater Blvd</t>
  </si>
  <si>
    <t>171 Beach 91st St</t>
  </si>
  <si>
    <t>725 E 217th St</t>
  </si>
  <si>
    <t>49 Bokee Ct</t>
  </si>
  <si>
    <t>301 W 138TH ST</t>
  </si>
  <si>
    <t>1381 Linden Blvd</t>
  </si>
  <si>
    <t>1845 26th Rd</t>
  </si>
  <si>
    <t>PO Box 765</t>
  </si>
  <si>
    <t>9851 Queens Blvd</t>
  </si>
  <si>
    <t>591A Decatur St</t>
  </si>
  <si>
    <t>212 W Kingsbridge Rd</t>
  </si>
  <si>
    <t>1220 Simpson St</t>
  </si>
  <si>
    <t>1505 Walton Ave</t>
  </si>
  <si>
    <t>4382 Furman Ave</t>
  </si>
  <si>
    <t>4441 Purves St</t>
  </si>
  <si>
    <t>2082 Hughes Avenue</t>
  </si>
  <si>
    <t>444 49th St</t>
  </si>
  <si>
    <t>1509 Popham Ave</t>
  </si>
  <si>
    <t>269 80th St</t>
  </si>
  <si>
    <t>2161 Barnes Ave</t>
  </si>
  <si>
    <t>1221 Atlantic Ave</t>
  </si>
  <si>
    <t>1738 Univ Ave</t>
  </si>
  <si>
    <t>179 Troutman St</t>
  </si>
  <si>
    <t>1711 Himrod St</t>
  </si>
  <si>
    <t>115 Marcy Pl</t>
  </si>
  <si>
    <t>7508 Jamaica Ave</t>
  </si>
  <si>
    <t>143-147 Scribner Ave.</t>
  </si>
  <si>
    <t>8415 86th St</t>
  </si>
  <si>
    <t>3168 47th St</t>
  </si>
  <si>
    <t>1155 Gerard Ave</t>
  </si>
  <si>
    <t>3232 Shore Pkwy</t>
  </si>
  <si>
    <t>1322 Saint Marks Ave</t>
  </si>
  <si>
    <t>314 E 100th St</t>
  </si>
  <si>
    <t>541 Kingsborough 5th Walk</t>
  </si>
  <si>
    <t>420 Eastern Pkwy</t>
  </si>
  <si>
    <t>789 Macdonough St</t>
  </si>
  <si>
    <t>540 E 169th St</t>
  </si>
  <si>
    <t>166 Clove Rd</t>
  </si>
  <si>
    <t>17030 130th Ave</t>
  </si>
  <si>
    <t>737 Hunts Point Ave</t>
  </si>
  <si>
    <t>505 Gates Ave</t>
  </si>
  <si>
    <t>35 Saint Felix St</t>
  </si>
  <si>
    <t>611 W 148th St</t>
  </si>
  <si>
    <t>410 W 128th St</t>
  </si>
  <si>
    <t>533 W 112th St</t>
  </si>
  <si>
    <t>2119 Hughes Ave</t>
  </si>
  <si>
    <t>2613 Stillwell Ave</t>
  </si>
  <si>
    <t>10910 Queens Blvd</t>
  </si>
  <si>
    <t>529 W 148th St</t>
  </si>
  <si>
    <t>1499 Fulton St</t>
  </si>
  <si>
    <t>250 Riverdale Ave</t>
  </si>
  <si>
    <t>6117 68th Ave</t>
  </si>
  <si>
    <t>801 Riverside Dr</t>
  </si>
  <si>
    <t>8914 34th Ave</t>
  </si>
  <si>
    <t>10 Vermilyea Ave</t>
  </si>
  <si>
    <t>159 Tysen St</t>
  </si>
  <si>
    <t>715 60th St</t>
  </si>
  <si>
    <t>528 E 13th St</t>
  </si>
  <si>
    <t>1115 Jerome Ave</t>
  </si>
  <si>
    <t>667 E 187th St</t>
  </si>
  <si>
    <t>66 Mulberry St</t>
  </si>
  <si>
    <t>3706 107th St</t>
  </si>
  <si>
    <t>13708 Westgate St</t>
  </si>
  <si>
    <t>460 Halsey St</t>
  </si>
  <si>
    <t>780 Macdonough St</t>
  </si>
  <si>
    <t>114 Van Siclen Ave</t>
  </si>
  <si>
    <t>855 E 219TH St</t>
  </si>
  <si>
    <t>2815 Schley Ave</t>
  </si>
  <si>
    <t>2919 Lewmay Rd</t>
  </si>
  <si>
    <t>287 E 162nd St</t>
  </si>
  <si>
    <t>1796 A Pacific St</t>
  </si>
  <si>
    <t>182 Covert St</t>
  </si>
  <si>
    <t>1018 E 163rd St</t>
  </si>
  <si>
    <t>717 E 220th St</t>
  </si>
  <si>
    <t>334 Foster Ave</t>
  </si>
  <si>
    <t>3225 Olinville Ave</t>
  </si>
  <si>
    <t>142 N Burgher Ave</t>
  </si>
  <si>
    <t>1749 Linden Blvd</t>
  </si>
  <si>
    <t>143 E 149th St</t>
  </si>
  <si>
    <t>2926 W 25th St</t>
  </si>
  <si>
    <t>115 Logan St</t>
  </si>
  <si>
    <t>9914 59th Ave</t>
  </si>
  <si>
    <t>3308 84th St</t>
  </si>
  <si>
    <t>19302 99th Ave</t>
  </si>
  <si>
    <t>147 Scribner Ave</t>
  </si>
  <si>
    <t>10 W 135th St</t>
  </si>
  <si>
    <t>100 Marine Ave</t>
  </si>
  <si>
    <t>120 Dehart Ave</t>
  </si>
  <si>
    <t>4466 21st St</t>
  </si>
  <si>
    <t>15035 118th Ave</t>
  </si>
  <si>
    <t>14649 107th Ave</t>
  </si>
  <si>
    <t>10538 170th St</t>
  </si>
  <si>
    <t>3578 Dekalb Ave</t>
  </si>
  <si>
    <t>75 Somers St</t>
  </si>
  <si>
    <t>1328 CommonWealth Ave</t>
  </si>
  <si>
    <t>11630 166th St</t>
  </si>
  <si>
    <t>711d Seagirt Ave</t>
  </si>
  <si>
    <t>540 East 183rd Street</t>
  </si>
  <si>
    <t>224 E 164th St</t>
  </si>
  <si>
    <t>11949 165th St</t>
  </si>
  <si>
    <t>16337 130th ave</t>
  </si>
  <si>
    <t>8008 45th Ave</t>
  </si>
  <si>
    <t>429 E 157th St</t>
  </si>
  <si>
    <t>2444 Pitkin Ave</t>
  </si>
  <si>
    <t>2649 96th st</t>
  </si>
  <si>
    <t>2924 21st Ave</t>
  </si>
  <si>
    <t>2701 Kingsbridge Ter</t>
  </si>
  <si>
    <t>4331 Richardson Ave</t>
  </si>
  <si>
    <t>35 Grafton St</t>
  </si>
  <si>
    <t>3356 Fulton St</t>
  </si>
  <si>
    <t>1489 Remsen Ave</t>
  </si>
  <si>
    <t>125 Beach 19th St</t>
  </si>
  <si>
    <t>15712 110th Ave</t>
  </si>
  <si>
    <t>345 East 209th Street</t>
  </si>
  <si>
    <t>890 Prospect Ave</t>
  </si>
  <si>
    <t>1085 Walton Ave</t>
  </si>
  <si>
    <t>177 Columbia st</t>
  </si>
  <si>
    <t>153 Vermilyea Ave</t>
  </si>
  <si>
    <t>200 Marcy Pl</t>
  </si>
  <si>
    <t>2875 Sedgwick Avenue</t>
  </si>
  <si>
    <t>911 East 219th Street</t>
  </si>
  <si>
    <t>1373 Sterling Pl</t>
  </si>
  <si>
    <t>241 Taaffe Pl</t>
  </si>
  <si>
    <t>914 Simpson St</t>
  </si>
  <si>
    <t>1833  Amsterdam Avenue 2H</t>
  </si>
  <si>
    <t>127 Miller Ave</t>
  </si>
  <si>
    <t>31-33 West  124th Street 3D</t>
  </si>
  <si>
    <t>2414 Belmont Ave</t>
  </si>
  <si>
    <t>Po Box 524177</t>
  </si>
  <si>
    <t>2 West 120th Street 7J</t>
  </si>
  <si>
    <t>101 West 118th Street 2B</t>
  </si>
  <si>
    <t>3205 81st St</t>
  </si>
  <si>
    <t>1031 Rev James A Polite Ave</t>
  </si>
  <si>
    <t>159 W 143rd St</t>
  </si>
  <si>
    <t>800 Soundview Ave</t>
  </si>
  <si>
    <t>857 Rev James A Polite Ave</t>
  </si>
  <si>
    <t>1820 Avenue v</t>
  </si>
  <si>
    <t>955 Crescent St</t>
  </si>
  <si>
    <t>439 E 135th St</t>
  </si>
  <si>
    <t>8714 21st Ave</t>
  </si>
  <si>
    <t>86 Fort Washington Ave</t>
  </si>
  <si>
    <t>946 Rev James A Polite Ave</t>
  </si>
  <si>
    <t>69 W Tremont Ave</t>
  </si>
  <si>
    <t>1982 Walton Ave</t>
  </si>
  <si>
    <t>220 E 18th St</t>
  </si>
  <si>
    <t>1310 Pennsylvania Ave</t>
  </si>
  <si>
    <t>178 rockaway pkwy</t>
  </si>
  <si>
    <t>194 Wycoff Ave</t>
  </si>
  <si>
    <t>5149 Almeda Ave</t>
  </si>
  <si>
    <t>55 Jackson St</t>
  </si>
  <si>
    <t>625 W 57th St</t>
  </si>
  <si>
    <t>1409 Saint Johns Pl</t>
  </si>
  <si>
    <t>111 Mornigside Avenue</t>
  </si>
  <si>
    <t>298 Stanhope St</t>
  </si>
  <si>
    <t>462 Marcy Ave</t>
  </si>
  <si>
    <t>830 Ashford St</t>
  </si>
  <si>
    <t>9023 149th St</t>
  </si>
  <si>
    <t>2501 Hoffman St</t>
  </si>
  <si>
    <t>7614 17th Ave</t>
  </si>
  <si>
    <t>727 Dekalb Ave</t>
  </si>
  <si>
    <t>5 Slosson Ter</t>
  </si>
  <si>
    <t>210 Brighton 15th St</t>
  </si>
  <si>
    <t>590 W 204th St</t>
  </si>
  <si>
    <t>588 Bainbridge St</t>
  </si>
  <si>
    <t>3720 81st St</t>
  </si>
  <si>
    <t>3432 91st St</t>
  </si>
  <si>
    <t>11132 76th Ave</t>
  </si>
  <si>
    <t>6 Williams Ct</t>
  </si>
  <si>
    <t>2194 Richmond Ter</t>
  </si>
  <si>
    <t>215 Targee St</t>
  </si>
  <si>
    <t>1051 Ocean Ave</t>
  </si>
  <si>
    <t>80 Dwight St</t>
  </si>
  <si>
    <t>146-41 105th Ave</t>
  </si>
  <si>
    <t>3119 33rd St</t>
  </si>
  <si>
    <t>8246 Lefferts Blvd</t>
  </si>
  <si>
    <t>1305 Amsterdam Ave</t>
  </si>
  <si>
    <t>2136 Fulton St</t>
  </si>
  <si>
    <t>3411 Beach Channel Dr</t>
  </si>
  <si>
    <t>203 W 107th St</t>
  </si>
  <si>
    <t>241 Henry St</t>
  </si>
  <si>
    <t>4266 Hunter St</t>
  </si>
  <si>
    <t>49 Nixon Ct</t>
  </si>
  <si>
    <t>1010 East 178th Street</t>
  </si>
  <si>
    <t>1710 Popham Avenue</t>
  </si>
  <si>
    <t>2059 Mcgraw Ave</t>
  </si>
  <si>
    <t>115113 Springfield Blvd</t>
  </si>
  <si>
    <t>516 47th Rd</t>
  </si>
  <si>
    <t>476 Vanderbilt Ave</t>
  </si>
  <si>
    <t>1940 Pacific St</t>
  </si>
  <si>
    <t>3365 Perry Ave</t>
  </si>
  <si>
    <t>13245 Maple Ave</t>
  </si>
  <si>
    <t>121 E Clarke Pl</t>
  </si>
  <si>
    <t>3756 Neptune Ave</t>
  </si>
  <si>
    <t>301 Cumberland St</t>
  </si>
  <si>
    <t>42 Maujer St</t>
  </si>
  <si>
    <t>15601 N Conduit Ave</t>
  </si>
  <si>
    <t>600 W 218th St</t>
  </si>
  <si>
    <t>412 E 51st St</t>
  </si>
  <si>
    <t>10607 177th St</t>
  </si>
  <si>
    <t>35 W 33rd St</t>
  </si>
  <si>
    <t>144 Gatling Pl</t>
  </si>
  <si>
    <t>176 Borinquen Pl</t>
  </si>
  <si>
    <t>311 E 193rd St</t>
  </si>
  <si>
    <t>2155 Grand Ave</t>
  </si>
  <si>
    <t>80 Van Cortlandt Park S</t>
  </si>
  <si>
    <t>13 Columbus Pl</t>
  </si>
  <si>
    <t>14 prospect ave</t>
  </si>
  <si>
    <t>700 E 156th St</t>
  </si>
  <si>
    <t>4515 Snyder Ave. (D3)</t>
  </si>
  <si>
    <t>4608 5th Ave</t>
  </si>
  <si>
    <t>1039 Simpson St</t>
  </si>
  <si>
    <t>9010 34th Ave</t>
  </si>
  <si>
    <t>1581 Park Ave</t>
  </si>
  <si>
    <t>2641 Marion Ave</t>
  </si>
  <si>
    <t>365 E 183rd St</t>
  </si>
  <si>
    <t>340 Beekman Ave</t>
  </si>
  <si>
    <t>97 Crooke Ave (2a)</t>
  </si>
  <si>
    <t>733 Prospect Ave</t>
  </si>
  <si>
    <t>373 5th St</t>
  </si>
  <si>
    <t>750 grand concourse</t>
  </si>
  <si>
    <t>271 E 143rd St</t>
  </si>
  <si>
    <t>15 Sandra Ln</t>
  </si>
  <si>
    <t>1232 Spofford Ave</t>
  </si>
  <si>
    <t>611 E 179th St</t>
  </si>
  <si>
    <t>1115 46th Rd</t>
  </si>
  <si>
    <t>11921 180th St</t>
  </si>
  <si>
    <t>11160 Lefferts Blvd</t>
  </si>
  <si>
    <t>91 Junius St</t>
  </si>
  <si>
    <t>132 Harrison Ave</t>
  </si>
  <si>
    <t>325 Senator St</t>
  </si>
  <si>
    <t>455 E 138th St</t>
  </si>
  <si>
    <t>2511 Frisby ave</t>
  </si>
  <si>
    <t>22289 Braddock Ave</t>
  </si>
  <si>
    <t>15910 71st Ave</t>
  </si>
  <si>
    <t>2105 Wallace Ave</t>
  </si>
  <si>
    <t>111 Laurel Ave</t>
  </si>
  <si>
    <t>64 Herkimer St</t>
  </si>
  <si>
    <t>9601 Church ave</t>
  </si>
  <si>
    <t>54 Osborn St</t>
  </si>
  <si>
    <t>260 Howard Ave. (4g)</t>
  </si>
  <si>
    <t>2350 Waterbury Ave</t>
  </si>
  <si>
    <t>680 Tinton Ave</t>
  </si>
  <si>
    <t>265 LaFayette St</t>
  </si>
  <si>
    <t>1876 cedar ave</t>
  </si>
  <si>
    <t>3530 153rd St</t>
  </si>
  <si>
    <t>2170 Bathgate Ave</t>
  </si>
  <si>
    <t>34 Castleton Ave</t>
  </si>
  <si>
    <t>1712 Longfellow Ave</t>
  </si>
  <si>
    <t>40 Meadow Pl</t>
  </si>
  <si>
    <t>2770 W 33rd St</t>
  </si>
  <si>
    <t>311 Stockholm St</t>
  </si>
  <si>
    <t>484 67th St</t>
  </si>
  <si>
    <t>1831 Unionport Rd</t>
  </si>
  <si>
    <t>715 W 175th St</t>
  </si>
  <si>
    <t>2573 Atlantic Ave</t>
  </si>
  <si>
    <t>63 Hull St</t>
  </si>
  <si>
    <t>342 E 22nd St</t>
  </si>
  <si>
    <t>312 Beach 15th St</t>
  </si>
  <si>
    <t>176 Westervelt Ave</t>
  </si>
  <si>
    <t>288 10th Ave</t>
  </si>
  <si>
    <t>100 Jefferson St</t>
  </si>
  <si>
    <t>1061 Teller Ave</t>
  </si>
  <si>
    <t>110 Ten Eyck St</t>
  </si>
  <si>
    <t>90 Avenue D</t>
  </si>
  <si>
    <t>37-25 6th Street</t>
  </si>
  <si>
    <t>582 Courtlandt Ave</t>
  </si>
  <si>
    <t>408 W 129th St</t>
  </si>
  <si>
    <t>816 Belmont Ave</t>
  </si>
  <si>
    <t>4861 Broadway</t>
  </si>
  <si>
    <t>342 E 146th St</t>
  </si>
  <si>
    <t>2418 Olinville Avenue</t>
  </si>
  <si>
    <t>522 Pine St</t>
  </si>
  <si>
    <t>477 Washington Ave</t>
  </si>
  <si>
    <t>8 West 118th Srtreet</t>
  </si>
  <si>
    <t>2940 W 21st St</t>
  </si>
  <si>
    <t>233 Bainbridge St</t>
  </si>
  <si>
    <t>50 West 93rd Street, 1L</t>
  </si>
  <si>
    <t>868 Amsterdam Ave 3F</t>
  </si>
  <si>
    <t>1367 Ellison Ave</t>
  </si>
  <si>
    <t>541 W 142nd St</t>
  </si>
  <si>
    <t>720 Riverside Dr</t>
  </si>
  <si>
    <t>719 Seneca Ave</t>
  </si>
  <si>
    <t>207 W 107th St</t>
  </si>
  <si>
    <t>72 West 109th Street</t>
  </si>
  <si>
    <t>95 Lenox Avenue</t>
  </si>
  <si>
    <t>2235 Bassford Ave</t>
  </si>
  <si>
    <t>517 W 147th Street #1</t>
  </si>
  <si>
    <t>66 W 94th Street 10F</t>
  </si>
  <si>
    <t>635 Riverside Drive #8C</t>
  </si>
  <si>
    <t>439 W 126th Street 1 B</t>
  </si>
  <si>
    <t>1054 Walton Ave</t>
  </si>
  <si>
    <t>1246 E 86th St</t>
  </si>
  <si>
    <t>2189 Pitkin Ave</t>
  </si>
  <si>
    <t>712 Crown St</t>
  </si>
  <si>
    <t>546 55th St</t>
  </si>
  <si>
    <t>252 Bainbridge St</t>
  </si>
  <si>
    <t>20 Menahan St</t>
  </si>
  <si>
    <t>556 W 181st St</t>
  </si>
  <si>
    <t>73 Vermilyea Ave</t>
  </si>
  <si>
    <t>603 Isham St</t>
  </si>
  <si>
    <t>125 Sherman Ave</t>
  </si>
  <si>
    <t>851 E 163rd St</t>
  </si>
  <si>
    <t>150 Union Ave</t>
  </si>
  <si>
    <t>547 E 168th St</t>
  </si>
  <si>
    <t>180 Broad St</t>
  </si>
  <si>
    <t>33 Grandview Ave</t>
  </si>
  <si>
    <t>230 W 111th St</t>
  </si>
  <si>
    <t>1902 7th Ave</t>
  </si>
  <si>
    <t>74 W 103rd St</t>
  </si>
  <si>
    <t>9 W 129th St</t>
  </si>
  <si>
    <t>1122 Herkimer St</t>
  </si>
  <si>
    <t>2834 48th St</t>
  </si>
  <si>
    <t>618 W 136th St</t>
  </si>
  <si>
    <t>231 Eldridge St</t>
  </si>
  <si>
    <t>1512 Nostrand Ave</t>
  </si>
  <si>
    <t>119 Shotwell Ave</t>
  </si>
  <si>
    <t>1310 Sheridan Ave</t>
  </si>
  <si>
    <t>400 Stanhope St</t>
  </si>
  <si>
    <t>334 E 105th St</t>
  </si>
  <si>
    <t>2361 Coney Island Ave</t>
  </si>
  <si>
    <t>752 Glenmore Ave</t>
  </si>
  <si>
    <t>2242 Webster Ave</t>
  </si>
  <si>
    <t>1275 Lafayette Ave</t>
  </si>
  <si>
    <t>110 Terrace View Ave</t>
  </si>
  <si>
    <t>465 E 7th St</t>
  </si>
  <si>
    <t>2274 Grand Concourse</t>
  </si>
  <si>
    <t>310 E 115th St</t>
  </si>
  <si>
    <t>865 Amsterdam Ave</t>
  </si>
  <si>
    <t>120 W 91st St</t>
  </si>
  <si>
    <t>5724 4th Ave</t>
  </si>
  <si>
    <t>2224 Lyon Ave</t>
  </si>
  <si>
    <t>2143 Blackrock Ave</t>
  </si>
  <si>
    <t>80 Roxbury St</t>
  </si>
  <si>
    <t>1617 Eastern Pkwy</t>
  </si>
  <si>
    <t>1090 Croes Ave</t>
  </si>
  <si>
    <t>2950 Park Ave</t>
  </si>
  <si>
    <t>2467 Frederick Douglass Blvd</t>
  </si>
  <si>
    <t>4 E 1st St</t>
  </si>
  <si>
    <t>75 Allen St</t>
  </si>
  <si>
    <t>383 Grand St</t>
  </si>
  <si>
    <t>104 Bartlett Ave</t>
  </si>
  <si>
    <t>530 E 137th St</t>
  </si>
  <si>
    <t>1766 Gleason Ave</t>
  </si>
  <si>
    <t>524 Evergreen Ave</t>
  </si>
  <si>
    <t>2477 Belmont Ave</t>
  </si>
  <si>
    <t>1060 sheridan ave</t>
  </si>
  <si>
    <t>50 E 104th St</t>
  </si>
  <si>
    <t>2654 Marion Ave</t>
  </si>
  <si>
    <t>171-04 Baisley Blvd</t>
  </si>
  <si>
    <t>490 Williams Ave</t>
  </si>
  <si>
    <t>200 Bradhurst Ave</t>
  </si>
  <si>
    <t>903 E 6th St</t>
  </si>
  <si>
    <t>492 Lexington Ave</t>
  </si>
  <si>
    <t>125 Marcy Pl</t>
  </si>
  <si>
    <t>255 W 23rd St</t>
  </si>
  <si>
    <t>10 E 108th St</t>
  </si>
  <si>
    <t>304 W 117th St</t>
  </si>
  <si>
    <t>751 Gerard Ave</t>
  </si>
  <si>
    <t>2027 Madison Ave</t>
  </si>
  <si>
    <t>333 E 181ST St</t>
  </si>
  <si>
    <t>80 Mcclellan St</t>
  </si>
  <si>
    <t>101 Hastings St</t>
  </si>
  <si>
    <t>205 Avenue C</t>
  </si>
  <si>
    <t>650 Water St</t>
  </si>
  <si>
    <t>2260 Olinville Ave</t>
  </si>
  <si>
    <t>97-20 57th Avenue</t>
  </si>
  <si>
    <t>1793 Riverside Dr</t>
  </si>
  <si>
    <t>710 E 93rd St</t>
  </si>
  <si>
    <t>328 Beekman Ave</t>
  </si>
  <si>
    <t>3525 Perry Ave</t>
  </si>
  <si>
    <t>480 E 21st St</t>
  </si>
  <si>
    <t>1108 Findlay Ave</t>
  </si>
  <si>
    <t>7140 160th St</t>
  </si>
  <si>
    <t>1036 Winthrop St</t>
  </si>
  <si>
    <t>603 Isham st</t>
  </si>
  <si>
    <t>188 Ludlow St</t>
  </si>
  <si>
    <t>287 Hett Ave</t>
  </si>
  <si>
    <t>2245 Barker Ave</t>
  </si>
  <si>
    <t>126 W 109th St</t>
  </si>
  <si>
    <t>14 E 28th St</t>
  </si>
  <si>
    <t>3510 Decatur Ave</t>
  </si>
  <si>
    <t>2256 Walton Ave</t>
  </si>
  <si>
    <t>955 Cauldwell Ave</t>
  </si>
  <si>
    <t>856 E 214th st</t>
  </si>
  <si>
    <t>203 Macon St</t>
  </si>
  <si>
    <t>64 Austin Ave</t>
  </si>
  <si>
    <t>555 Mcclean Ave</t>
  </si>
  <si>
    <t>340 E 5th St</t>
  </si>
  <si>
    <t>19 Steuben St</t>
  </si>
  <si>
    <t>1435 Parker St</t>
  </si>
  <si>
    <t>3039 Coddington Ave</t>
  </si>
  <si>
    <t>1083 Tompkins Ave</t>
  </si>
  <si>
    <t>180 Lenox Rd</t>
  </si>
  <si>
    <t>92021 Shore Rd</t>
  </si>
  <si>
    <t>611 W 156th St</t>
  </si>
  <si>
    <t>944 Rev James A Polite Ave</t>
  </si>
  <si>
    <t>363 Sumpter St</t>
  </si>
  <si>
    <t>130 Malcolm X Blvd</t>
  </si>
  <si>
    <t>60 E 177th St</t>
  </si>
  <si>
    <t>2876 Jerome Avenue</t>
  </si>
  <si>
    <t>278 E 239th St</t>
  </si>
  <si>
    <t>9840 57th Ave</t>
  </si>
  <si>
    <t>87 E 93rd St</t>
  </si>
  <si>
    <t>161 E 106th St # 163</t>
  </si>
  <si>
    <t>3158 Perry Ave</t>
  </si>
  <si>
    <t>505 Beach 141st St</t>
  </si>
  <si>
    <t>208 W 151st St</t>
  </si>
  <si>
    <t>2269 Hampden pl</t>
  </si>
  <si>
    <t>2308 University Ave</t>
  </si>
  <si>
    <t>2140 Madison Ave</t>
  </si>
  <si>
    <t>1456 Taylor Ave</t>
  </si>
  <si>
    <t>973 Saint Marks Ave</t>
  </si>
  <si>
    <t>2342 Ryer Ave</t>
  </si>
  <si>
    <t>35 Central Park N</t>
  </si>
  <si>
    <t>2333 32nd St</t>
  </si>
  <si>
    <t>472 Medina St</t>
  </si>
  <si>
    <t>545 E 144th St</t>
  </si>
  <si>
    <t>309 Lafayette Ave</t>
  </si>
  <si>
    <t>413 Jersey St</t>
  </si>
  <si>
    <t>937 Victory Blvd</t>
  </si>
  <si>
    <t>1387 Jesup Ave</t>
  </si>
  <si>
    <t>1439 Ocean Ave</t>
  </si>
  <si>
    <t>1682 Seward Avenue</t>
  </si>
  <si>
    <t>505 Howard Ave</t>
  </si>
  <si>
    <t>10415 34th Ave</t>
  </si>
  <si>
    <t>635 Riverside Dr</t>
  </si>
  <si>
    <t>206 W 132nd St</t>
  </si>
  <si>
    <t>458 W 50th St</t>
  </si>
  <si>
    <t>1215 Wheeler Ave</t>
  </si>
  <si>
    <t>3618 Bronx blvd</t>
  </si>
  <si>
    <t>206 Newport St</t>
  </si>
  <si>
    <t>501 Hegeman Ave</t>
  </si>
  <si>
    <t>7 Bell Slip</t>
  </si>
  <si>
    <t>1290 E 19th St</t>
  </si>
  <si>
    <t>2531 Frisby Ave</t>
  </si>
  <si>
    <t>820 Astor Ave</t>
  </si>
  <si>
    <t>2076 Creston Ave</t>
  </si>
  <si>
    <t>535 E 11th St</t>
  </si>
  <si>
    <t>626 Flatbush Ave</t>
  </si>
  <si>
    <t>9565 Tuckerton St</t>
  </si>
  <si>
    <t>159 W 95th St</t>
  </si>
  <si>
    <t>1027 E 216th St</t>
  </si>
  <si>
    <t>100 E 182nd St</t>
  </si>
  <si>
    <t>2385 1st Ave</t>
  </si>
  <si>
    <t>342 Madison St</t>
  </si>
  <si>
    <t>700 Gates Ave</t>
  </si>
  <si>
    <t>862 Southern Boulevard</t>
  </si>
  <si>
    <t>2219 Morgan Avenue</t>
  </si>
  <si>
    <t>1512 Townfend Ave</t>
  </si>
  <si>
    <t>275 E Gun Hill Rd</t>
  </si>
  <si>
    <t>500 E 165th St</t>
  </si>
  <si>
    <t>567 W 191st St</t>
  </si>
  <si>
    <t>18 2nd St</t>
  </si>
  <si>
    <t>825 Gerard Ave</t>
  </si>
  <si>
    <t>1051 Anderson Ave</t>
  </si>
  <si>
    <t>2976 Marion Ave</t>
  </si>
  <si>
    <t>881 Cauldwell Ave</t>
  </si>
  <si>
    <t>219 Hull St</t>
  </si>
  <si>
    <t>202 Amboy St</t>
  </si>
  <si>
    <t>3303 Fenton Avenue</t>
  </si>
  <si>
    <t>2523 Barnes Ave</t>
  </si>
  <si>
    <t>27 W 118th St</t>
  </si>
  <si>
    <t>72 Wadsworth Ter</t>
  </si>
  <si>
    <t>11524 168th St</t>
  </si>
  <si>
    <t>1765 Seward Ave</t>
  </si>
  <si>
    <t>33 Bond St</t>
  </si>
  <si>
    <t>1895 Morris Ave</t>
  </si>
  <si>
    <t>2390 Tiebout Ave</t>
  </si>
  <si>
    <t>634 E 221st St</t>
  </si>
  <si>
    <t>539 Alabama Ave</t>
  </si>
  <si>
    <t>2112 STARLING AVE</t>
  </si>
  <si>
    <t>2832 W 36th St</t>
  </si>
  <si>
    <t>38 Virginia Ave</t>
  </si>
  <si>
    <t>64 Stagg St</t>
  </si>
  <si>
    <t>225 Macdougal St</t>
  </si>
  <si>
    <t>2860 Hylan Blvd</t>
  </si>
  <si>
    <t>2443 Olinville Ave</t>
  </si>
  <si>
    <t>555 W 43rd St</t>
  </si>
  <si>
    <t>773 Manor Rd</t>
  </si>
  <si>
    <t>392 Bartlett Ave</t>
  </si>
  <si>
    <t>1700 Hoe Ave</t>
  </si>
  <si>
    <t>788 Arnow Ave</t>
  </si>
  <si>
    <t>87 Wilcox St</t>
  </si>
  <si>
    <t>2257 BASSFORD AVE</t>
  </si>
  <si>
    <t>231 steuben st</t>
  </si>
  <si>
    <t>69 Adams Ave</t>
  </si>
  <si>
    <t>107 Harman St</t>
  </si>
  <si>
    <t>561 W 144th St</t>
  </si>
  <si>
    <t>750 Grand Concourse</t>
  </si>
  <si>
    <t>150 West 174th Street</t>
  </si>
  <si>
    <t>4769 White Plains Rd</t>
  </si>
  <si>
    <t>1384 Grand Concourse</t>
  </si>
  <si>
    <t>1305 Nelson Ave</t>
  </si>
  <si>
    <t>732 E 187th St</t>
  </si>
  <si>
    <t>478 Herzl St</t>
  </si>
  <si>
    <t>146 Marcus Garvey Blvd</t>
  </si>
  <si>
    <t>177 Columbia St</t>
  </si>
  <si>
    <t>48 Saint Marks Pl</t>
  </si>
  <si>
    <t>276 Greeley Ave</t>
  </si>
  <si>
    <t>924 Armstrong Ave</t>
  </si>
  <si>
    <t>960 Sheridan Ave</t>
  </si>
  <si>
    <t>443 Beach 67th St</t>
  </si>
  <si>
    <t>80 Bush St</t>
  </si>
  <si>
    <t>1523 Taylor Ave</t>
  </si>
  <si>
    <t>6051 68 Street</t>
  </si>
  <si>
    <t>1055 Jerome ave</t>
  </si>
  <si>
    <t>785 E Tremont Ave</t>
  </si>
  <si>
    <t>3248 Olinville Ave</t>
  </si>
  <si>
    <t>13138 132nd St</t>
  </si>
  <si>
    <t>55 Parade Pl</t>
  </si>
  <si>
    <t>227 Lott Ave</t>
  </si>
  <si>
    <t>146 W 111th St</t>
  </si>
  <si>
    <t>709 E 215th St</t>
  </si>
  <si>
    <t>519 W 121st St</t>
  </si>
  <si>
    <t>333 Thomas S Boyland St</t>
  </si>
  <si>
    <t>299 Union Ave</t>
  </si>
  <si>
    <t>63 Rockaway Pkwy</t>
  </si>
  <si>
    <t>116 E 57th St</t>
  </si>
  <si>
    <t>1414 Crotona Park East</t>
  </si>
  <si>
    <t>3030 Valentine Ave</t>
  </si>
  <si>
    <t>415 E 52nd St</t>
  </si>
  <si>
    <t>164 Henry St</t>
  </si>
  <si>
    <t>212 Broad St</t>
  </si>
  <si>
    <t>535 E 148th St</t>
  </si>
  <si>
    <t>285 E 35th St</t>
  </si>
  <si>
    <t>600 W 246th St</t>
  </si>
  <si>
    <t>1421 Grand Concourse</t>
  </si>
  <si>
    <t>13236 87th St</t>
  </si>
  <si>
    <t>2000 Anthony Ave</t>
  </si>
  <si>
    <t>751 3rd Ave</t>
  </si>
  <si>
    <t>250 CLINTON ST</t>
  </si>
  <si>
    <t>10512 177th St</t>
  </si>
  <si>
    <t>738 Bradford St</t>
  </si>
  <si>
    <t>1814 78th St</t>
  </si>
  <si>
    <t>1997 Davidson Ave</t>
  </si>
  <si>
    <t>1986 Belmont Ave</t>
  </si>
  <si>
    <t>15 Featherbed Ln</t>
  </si>
  <si>
    <t>54-64 Rutaers Street</t>
  </si>
  <si>
    <t>404 E 54th St</t>
  </si>
  <si>
    <t>2469 Bragg St</t>
  </si>
  <si>
    <t>1058 Southern Blvd</t>
  </si>
  <si>
    <t>47 Rockaway Pkwy</t>
  </si>
  <si>
    <t>67a Lewis Ave</t>
  </si>
  <si>
    <t>4173 3rd Ave</t>
  </si>
  <si>
    <t>1754 Richmond Rd</t>
  </si>
  <si>
    <t>316 Troutman St</t>
  </si>
  <si>
    <t>1990 Gleason Ave</t>
  </si>
  <si>
    <t>555 14th Street</t>
  </si>
  <si>
    <t>802 Miller ave</t>
  </si>
  <si>
    <t>81 Pilling St</t>
  </si>
  <si>
    <t>420 Saint Marks Pl</t>
  </si>
  <si>
    <t>1072 Woodycrest Ave</t>
  </si>
  <si>
    <t>1149 Elton St</t>
  </si>
  <si>
    <t>3308 Wallace Ave</t>
  </si>
  <si>
    <t>115-71 155th St.</t>
  </si>
  <si>
    <t>4706 48th Ave</t>
  </si>
  <si>
    <t>2356 Grand Concourse  Apt 23</t>
  </si>
  <si>
    <t>879 Mother Gaston Blvd</t>
  </si>
  <si>
    <t>1710 Union St</t>
  </si>
  <si>
    <t>7711 Park Dr E</t>
  </si>
  <si>
    <t>1670 Boston Rd</t>
  </si>
  <si>
    <t>3660 Waldo Ave</t>
  </si>
  <si>
    <t>601 West 149th Street 54</t>
  </si>
  <si>
    <t>424 West 146th Street 4B</t>
  </si>
  <si>
    <t>1129a E Tremont Ave</t>
  </si>
  <si>
    <t>8921 Elmhurst Ave</t>
  </si>
  <si>
    <t>125 Brighton 11th St</t>
  </si>
  <si>
    <t>487 Carlton Ave</t>
  </si>
  <si>
    <t>9501 Avenue L</t>
  </si>
  <si>
    <t>14 Verona St</t>
  </si>
  <si>
    <t>1366 Ovington Ave</t>
  </si>
  <si>
    <t>68 Cumberland Walk</t>
  </si>
  <si>
    <t>1946 Cruger Ave</t>
  </si>
  <si>
    <t>2055 Rockaway Pkwy</t>
  </si>
  <si>
    <t>1199 Flatbush Ave</t>
  </si>
  <si>
    <t>1155 Grand Concourse</t>
  </si>
  <si>
    <t>13-30-128TH STREET</t>
  </si>
  <si>
    <t>1650 Putnam Ave</t>
  </si>
  <si>
    <t>8 Norwood Ave</t>
  </si>
  <si>
    <t>2250 Crotona Ave</t>
  </si>
  <si>
    <t>1665 Bryant Ave</t>
  </si>
  <si>
    <t>15119 34th Ave</t>
  </si>
  <si>
    <t>1757 Topping Ave</t>
  </si>
  <si>
    <t>15 Crooke Ave</t>
  </si>
  <si>
    <t>91 Ocean Pkwy</t>
  </si>
  <si>
    <t>867 Crotona Park N</t>
  </si>
  <si>
    <t>1750 Grand Concourse</t>
  </si>
  <si>
    <t>358 Knickerbocker Ave</t>
  </si>
  <si>
    <t>352 Putnam Ave</t>
  </si>
  <si>
    <t>605 E 16th St</t>
  </si>
  <si>
    <t>9720 Kings Hwy</t>
  </si>
  <si>
    <t>242 W 122nd St</t>
  </si>
  <si>
    <t>250 E 144th St</t>
  </si>
  <si>
    <t>2753 Nostrand Ave</t>
  </si>
  <si>
    <t>730 Riverside Dr</t>
  </si>
  <si>
    <t>807 Arnow Ave</t>
  </si>
  <si>
    <t>10633 156th St</t>
  </si>
  <si>
    <t>1026 E 180th St</t>
  </si>
  <si>
    <t>11119 43rd Ave</t>
  </si>
  <si>
    <t>276 Tennyson Dr</t>
  </si>
  <si>
    <t>1521 Sheridan Avenue</t>
  </si>
  <si>
    <t>1728 Stephen St</t>
  </si>
  <si>
    <t>12949 157th St</t>
  </si>
  <si>
    <t>4213 28th Ave</t>
  </si>
  <si>
    <t>6147 164th St</t>
  </si>
  <si>
    <t>18708 Hillside Ave</t>
  </si>
  <si>
    <t>1690 Watson Ave</t>
  </si>
  <si>
    <t>200 E 17th St</t>
  </si>
  <si>
    <t>3464 Knox Pl</t>
  </si>
  <si>
    <t>303 W 76th St</t>
  </si>
  <si>
    <t>1829 Anthony Ave</t>
  </si>
  <si>
    <t>1700 Crotona Park E</t>
  </si>
  <si>
    <t>308 E 145th St</t>
  </si>
  <si>
    <t>270 pulaski St</t>
  </si>
  <si>
    <t>1462 Bushwick Ave</t>
  </si>
  <si>
    <t>4306 45th St</t>
  </si>
  <si>
    <t>1775 Fulton Ave</t>
  </si>
  <si>
    <t>2719 Morris Avenue</t>
  </si>
  <si>
    <t>14730 38th Ave</t>
  </si>
  <si>
    <t>721 E 212th St</t>
  </si>
  <si>
    <t>1191 Boston Rd</t>
  </si>
  <si>
    <t>14907 Hook Creek Blvd</t>
  </si>
  <si>
    <t>2044 Bergen St</t>
  </si>
  <si>
    <t>9905 63rd Dr</t>
  </si>
  <si>
    <t>13006 229th St</t>
  </si>
  <si>
    <t>662 6th Ave</t>
  </si>
  <si>
    <t>811 E 49th St</t>
  </si>
  <si>
    <t>179 Riverdale Ave</t>
  </si>
  <si>
    <t>1457 36th St</t>
  </si>
  <si>
    <t>1880 Lafayette Ave</t>
  </si>
  <si>
    <t>1802 CROTONA AVE</t>
  </si>
  <si>
    <t>215 E 68th St</t>
  </si>
  <si>
    <t>1175 Fulton Ave</t>
  </si>
  <si>
    <t>50 E 191st St</t>
  </si>
  <si>
    <t>433 W 24th St</t>
  </si>
  <si>
    <t>1780 1st Ave</t>
  </si>
  <si>
    <t>13235 Sanford Ave</t>
  </si>
  <si>
    <t>2471 Davidson Ave</t>
  </si>
  <si>
    <t>2546 Creston Ave</t>
  </si>
  <si>
    <t>2122 Starling Ave</t>
  </si>
  <si>
    <t>14 Auburn Pl</t>
  </si>
  <si>
    <t>5420 15th Ave</t>
  </si>
  <si>
    <t>823 Brooklyn Ave</t>
  </si>
  <si>
    <t>150 Malcolm X Blvd</t>
  </si>
  <si>
    <t>36 Sherman Ave</t>
  </si>
  <si>
    <t>110 Rochester ave</t>
  </si>
  <si>
    <t>2802 Grand Concourse</t>
  </si>
  <si>
    <t>750 Bryant Ave</t>
  </si>
  <si>
    <t>2277 Bathgate Ave</t>
  </si>
  <si>
    <t>3011 Parsons Blvd</t>
  </si>
  <si>
    <t>611 East 182nd Street</t>
  </si>
  <si>
    <t>20 West Mosholu Parkway</t>
  </si>
  <si>
    <t>827 Morris Park Avenue</t>
  </si>
  <si>
    <t>2280 Randall Ave</t>
  </si>
  <si>
    <t>1544 Walton Ave</t>
  </si>
  <si>
    <t>1233 White Plains Rd</t>
  </si>
  <si>
    <t>553 McDonald Ave</t>
  </si>
  <si>
    <t>729 Rogers Ave</t>
  </si>
  <si>
    <t>2471 University Ave</t>
  </si>
  <si>
    <t>1450 Avenue O</t>
  </si>
  <si>
    <t>669 Arnow Ave</t>
  </si>
  <si>
    <t>1814 Brooklyn Ave</t>
  </si>
  <si>
    <t>1011 Nelson Ave</t>
  </si>
  <si>
    <t>890 armstrong ave</t>
  </si>
  <si>
    <t>2010 Powell Ave</t>
  </si>
  <si>
    <t>26 Hudson St</t>
  </si>
  <si>
    <t>2121 E 35th St</t>
  </si>
  <si>
    <t>463 Hancock St</t>
  </si>
  <si>
    <t>494 Georgia Ave</t>
  </si>
  <si>
    <t>54 Sunnyside Ave</t>
  </si>
  <si>
    <t>1927 Univ Ave</t>
  </si>
  <si>
    <t>2310 Holland Ave</t>
  </si>
  <si>
    <t>315 E 206th St</t>
  </si>
  <si>
    <t>4365 Ely Ave</t>
  </si>
  <si>
    <t>711 Ocean Ave</t>
  </si>
  <si>
    <t>9863 Corona Ave</t>
  </si>
  <si>
    <t>67-35 Kissena Bouleevard</t>
  </si>
  <si>
    <t>150 Greenway Ter</t>
  </si>
  <si>
    <t>1926 Walton Ave</t>
  </si>
  <si>
    <t>747 Macdonough St</t>
  </si>
  <si>
    <t>2400 Richmond Rd</t>
  </si>
  <si>
    <t>84 Hecker St</t>
  </si>
  <si>
    <t>1386 Prospect Ave</t>
  </si>
  <si>
    <t>4123 76th St</t>
  </si>
  <si>
    <t>57 Lincoln Rd</t>
  </si>
  <si>
    <t>1920 Walton Ave</t>
  </si>
  <si>
    <t>2060 Grand Concourse</t>
  </si>
  <si>
    <t>2504 Olinville Ave</t>
  </si>
  <si>
    <t>3415 Neptune Ave</t>
  </si>
  <si>
    <t>1201 Ogden Ave</t>
  </si>
  <si>
    <t>1767 Weeks Ave</t>
  </si>
  <si>
    <t>2-06 Astoria Boulevard</t>
  </si>
  <si>
    <t>63 Nichols Ave</t>
  </si>
  <si>
    <t>364 Stuyvesant Ave</t>
  </si>
  <si>
    <t>1715 Nelson Ave</t>
  </si>
  <si>
    <t>25 Bond Street</t>
  </si>
  <si>
    <t>14 Macfarland Ave</t>
  </si>
  <si>
    <t>737 Southern Blvd</t>
  </si>
  <si>
    <t>2075 Boston Rd</t>
  </si>
  <si>
    <t>2350 beaumont ave</t>
  </si>
  <si>
    <t>600 E 141st St</t>
  </si>
  <si>
    <t>961 42nd St</t>
  </si>
  <si>
    <t>10 Argyle Rd</t>
  </si>
  <si>
    <t>401 Bronx River Ave</t>
  </si>
  <si>
    <t>970 E 231st St</t>
  </si>
  <si>
    <t>460n Brielle Ave</t>
  </si>
  <si>
    <t>148 Bank St</t>
  </si>
  <si>
    <t>2476 Cambreleng Ave</t>
  </si>
  <si>
    <t>2119 Colonial Ave</t>
  </si>
  <si>
    <t>1521 Unionport Rd</t>
  </si>
  <si>
    <t>3220 Perry Ave</t>
  </si>
  <si>
    <t>129 Norway Ave</t>
  </si>
  <si>
    <t>2026 Gates Ave</t>
  </si>
  <si>
    <t>1633 Sterling Pl</t>
  </si>
  <si>
    <t>1420 Crotona Park E</t>
  </si>
  <si>
    <t>40 Arden St</t>
  </si>
  <si>
    <t>2397 Grand Ave</t>
  </si>
  <si>
    <t>11717 168th St</t>
  </si>
  <si>
    <t>127 miller ave</t>
  </si>
  <si>
    <t>719 Chauncey St</t>
  </si>
  <si>
    <t>100 linden blvd</t>
  </si>
  <si>
    <t>200 E 61st St</t>
  </si>
  <si>
    <t>15817 Sanford Ave</t>
  </si>
  <si>
    <t>1003 willmohr st</t>
  </si>
  <si>
    <t>699 Pennsylvania Ave</t>
  </si>
  <si>
    <t>5706 Farragut Rd</t>
  </si>
  <si>
    <t>2147 E 35th St</t>
  </si>
  <si>
    <t>15029 Foch Blvd</t>
  </si>
  <si>
    <t>2065 Walton Ave</t>
  </si>
  <si>
    <t>10726 159th St</t>
  </si>
  <si>
    <t>817 Union Ave</t>
  </si>
  <si>
    <t>1895 Belmont Ave</t>
  </si>
  <si>
    <t>55 W Mosholu Pkwy N</t>
  </si>
  <si>
    <t>572 Prospect Pl</t>
  </si>
  <si>
    <t>1802 Crotona Avenue</t>
  </si>
  <si>
    <t>10930 160th St</t>
  </si>
  <si>
    <t>11424 172nd St</t>
  </si>
  <si>
    <t>490 E 23rd St</t>
  </si>
  <si>
    <t>1540 Walton Ave</t>
  </si>
  <si>
    <t>1953 Sedgwick Ave</t>
  </si>
  <si>
    <t>1170 Gerard Ave</t>
  </si>
  <si>
    <t>2018 Linden St</t>
  </si>
  <si>
    <t>217 E 176th St</t>
  </si>
  <si>
    <t>1248 Saint Marks Ave</t>
  </si>
  <si>
    <t>3757 Barnes Ave</t>
  </si>
  <si>
    <t>1235 Grand Concourse</t>
  </si>
  <si>
    <t>7122 Myrtle Ave</t>
  </si>
  <si>
    <t>10405 Liberty Ave</t>
  </si>
  <si>
    <t>15011 109th Rd</t>
  </si>
  <si>
    <t>74 5th ave</t>
  </si>
  <si>
    <t>1085 Belmont Ave</t>
  </si>
  <si>
    <t>855 Louisiana Ave</t>
  </si>
  <si>
    <t>78 Van Duzer St</t>
  </si>
  <si>
    <t>1611 Castleton Ave</t>
  </si>
  <si>
    <t>960 Sherman Ave</t>
  </si>
  <si>
    <t>3441 Fish ave</t>
  </si>
  <si>
    <t>8850 81st Ave</t>
  </si>
  <si>
    <t>7102 72nd Pl</t>
  </si>
  <si>
    <t>12 Gunther Pl</t>
  </si>
  <si>
    <t>547 W 147th St</t>
  </si>
  <si>
    <t>2387 Morris Ave</t>
  </si>
  <si>
    <t>27 Arion Pl</t>
  </si>
  <si>
    <t>575 5th Ave</t>
  </si>
  <si>
    <t>251 E 105th St</t>
  </si>
  <si>
    <t>1465 Madison Ave</t>
  </si>
  <si>
    <t>257 60th St</t>
  </si>
  <si>
    <t>2440 Bronx Park E</t>
  </si>
  <si>
    <t>107 Navy Walk</t>
  </si>
  <si>
    <t>820 Thieriot Ave</t>
  </si>
  <si>
    <t>1001 Avenue H</t>
  </si>
  <si>
    <t>909 E 29th St</t>
  </si>
  <si>
    <t>15 Post ave</t>
  </si>
  <si>
    <t>4809 Avenue J</t>
  </si>
  <si>
    <t>175 Father Zeiser Pl</t>
  </si>
  <si>
    <t>210 Kosciuszko St</t>
  </si>
  <si>
    <t>770 Jefferson Ave</t>
  </si>
  <si>
    <t>17619 133rd Rd</t>
  </si>
  <si>
    <t>636 Brooklyn Ave</t>
  </si>
  <si>
    <t>540 E 23rd St</t>
  </si>
  <si>
    <t>660 New Jersey Ave</t>
  </si>
  <si>
    <t>36 Gatling Pl</t>
  </si>
  <si>
    <t>953 Anderson Ave</t>
  </si>
  <si>
    <t>562 Bainbridge St</t>
  </si>
  <si>
    <t>236 Montgomery St</t>
  </si>
  <si>
    <t>1132 Loring Ave</t>
  </si>
  <si>
    <t>1206 Bergen St</t>
  </si>
  <si>
    <t>550 E 147th St</t>
  </si>
  <si>
    <t>304 E 156th St</t>
  </si>
  <si>
    <t>1295 Blake Ave</t>
  </si>
  <si>
    <t>1551 Sheridan Ave</t>
  </si>
  <si>
    <t>126 Berkeley Pl</t>
  </si>
  <si>
    <t>1220 Morris Ave</t>
  </si>
  <si>
    <t>600 Baychester Ave</t>
  </si>
  <si>
    <t>40 Willow Rd W</t>
  </si>
  <si>
    <t>1178 Sherman Ave</t>
  </si>
  <si>
    <t>1950 Andrews Ave</t>
  </si>
  <si>
    <t>90 George St</t>
  </si>
  <si>
    <t>246 E 199th St</t>
  </si>
  <si>
    <t>320A Beach 73rd St</t>
  </si>
  <si>
    <t>4410 30th Ave</t>
  </si>
  <si>
    <t>33 Lenox Rd</t>
  </si>
  <si>
    <t>9610 575h Avenue</t>
  </si>
  <si>
    <t>4033 69th St</t>
  </si>
  <si>
    <t>5433 Metropolitan Ave</t>
  </si>
  <si>
    <t>7261 150th St</t>
  </si>
  <si>
    <t>1617 Fulton St</t>
  </si>
  <si>
    <t>239 Linden St</t>
  </si>
  <si>
    <t>744 Gates Ave</t>
  </si>
  <si>
    <t>4164 53rd St</t>
  </si>
  <si>
    <t>6082 Catalpa Ave</t>
  </si>
  <si>
    <t>242 Mason Ave</t>
  </si>
  <si>
    <t>3234 95h Street</t>
  </si>
  <si>
    <t>11469 225th St</t>
  </si>
  <si>
    <t>139 Harman St</t>
  </si>
  <si>
    <t>1818 Trafalgar Pl</t>
  </si>
  <si>
    <t>10844 160th St</t>
  </si>
  <si>
    <t>11503 Bedell St</t>
  </si>
  <si>
    <t>314 Menahan St</t>
  </si>
  <si>
    <t>3240 Riverdale Ave</t>
  </si>
  <si>
    <t>592 E 141st St</t>
  </si>
  <si>
    <t>176 Mckinley Ave</t>
  </si>
  <si>
    <t>907 Avenue St. John</t>
  </si>
  <si>
    <t>11919 Inwood St</t>
  </si>
  <si>
    <t>90-16 171st Street</t>
  </si>
  <si>
    <t>711 E 215th St</t>
  </si>
  <si>
    <t>55 W 180th St</t>
  </si>
  <si>
    <t>315 E 166th St</t>
  </si>
  <si>
    <t>3315 28th St</t>
  </si>
  <si>
    <t>816 Manida Street</t>
  </si>
  <si>
    <t>10819 101st Ave</t>
  </si>
  <si>
    <t>1414 Crotona Park E</t>
  </si>
  <si>
    <t>800 Freeman St</t>
  </si>
  <si>
    <t>201 Copperfield Ln</t>
  </si>
  <si>
    <t>1257 Loring Ave</t>
  </si>
  <si>
    <t>1245 Grandview Pl</t>
  </si>
  <si>
    <t>3318 Steuben Ave</t>
  </si>
  <si>
    <t>151 Carroll St</t>
  </si>
  <si>
    <t>2787 Briggs Ave</t>
  </si>
  <si>
    <t>997 Summit Ave</t>
  </si>
  <si>
    <t>186 e 164th st</t>
  </si>
  <si>
    <t>525 A Quincy St</t>
  </si>
  <si>
    <t>194 Grandview ave</t>
  </si>
  <si>
    <t>409 E 21st St</t>
  </si>
  <si>
    <t>36 Crooke Ave</t>
  </si>
  <si>
    <t>1921 Hobart Ave</t>
  </si>
  <si>
    <t>1201 Shakespeare Ave</t>
  </si>
  <si>
    <t>417 Bradley Ave</t>
  </si>
  <si>
    <t>54 Boerum St</t>
  </si>
  <si>
    <t>550 Greene Ave</t>
  </si>
  <si>
    <t>331 Saratoga Ave</t>
  </si>
  <si>
    <t>287 E 18th St</t>
  </si>
  <si>
    <t>1035 Washington Ave</t>
  </si>
  <si>
    <t>763 Greene Ave</t>
  </si>
  <si>
    <t>620 malcolm x blvd</t>
  </si>
  <si>
    <t>1805 Pitkin Ave</t>
  </si>
  <si>
    <t>1 W 9th St</t>
  </si>
  <si>
    <t>218 Linden Blvd</t>
  </si>
  <si>
    <t>617 W 152nd St</t>
  </si>
  <si>
    <t>1760 Lexington Ave</t>
  </si>
  <si>
    <t>2487 Grand Ave</t>
  </si>
  <si>
    <t>3611 15th Ave</t>
  </si>
  <si>
    <t>68 MacDougal St</t>
  </si>
  <si>
    <t>168 E 93rd St</t>
  </si>
  <si>
    <t>82 Saint Edwards St</t>
  </si>
  <si>
    <t>215 Cozine Ave</t>
  </si>
  <si>
    <t>1801 Avenue N</t>
  </si>
  <si>
    <t>2420 Creston Ave</t>
  </si>
  <si>
    <t>5205 5th Ave</t>
  </si>
  <si>
    <t>1236 Atlantic Ave</t>
  </si>
  <si>
    <t>264 Wyckoff Ave</t>
  </si>
  <si>
    <t>400 E 54th st</t>
  </si>
  <si>
    <t>305 13th St</t>
  </si>
  <si>
    <t>1107 Nostrand Ave</t>
  </si>
  <si>
    <t>1227 Bedford Ave</t>
  </si>
  <si>
    <t>379 Eastern Pkwy</t>
  </si>
  <si>
    <t>2337 Ellis Ave</t>
  </si>
  <si>
    <t>84-07 101rst Ave</t>
  </si>
  <si>
    <t>1821 Bleecker St</t>
  </si>
  <si>
    <t>265 E 176th St</t>
  </si>
  <si>
    <t>222 Sheridan Ave</t>
  </si>
  <si>
    <t>525 W 142nd St</t>
  </si>
  <si>
    <t>139 Avenue D</t>
  </si>
  <si>
    <t>2202 Linden Blvd</t>
  </si>
  <si>
    <t>3463 3rd Ave</t>
  </si>
  <si>
    <t>159 E 102nd St</t>
  </si>
  <si>
    <t>2715 Barnes Ave</t>
  </si>
  <si>
    <t>1515 Pennsylvania Ave</t>
  </si>
  <si>
    <t>909 Belmont Ave</t>
  </si>
  <si>
    <t>1452 sterling pl</t>
  </si>
  <si>
    <t>520 E 21st St</t>
  </si>
  <si>
    <t>860 E 217th St</t>
  </si>
  <si>
    <t>3 Quincy St</t>
  </si>
  <si>
    <t>89 W Tremont Ave</t>
  </si>
  <si>
    <t>424 Cathedral Pkwy</t>
  </si>
  <si>
    <t>1995 Birchall Ave</t>
  </si>
  <si>
    <t>12330 83rd Ave</t>
  </si>
  <si>
    <t>11436 Sutphin Blvd</t>
  </si>
  <si>
    <t>229 Parkville ave</t>
  </si>
  <si>
    <t>10 Midwood St</t>
  </si>
  <si>
    <t>1752 Walton Ave</t>
  </si>
  <si>
    <t>2043 Palmetto St</t>
  </si>
  <si>
    <t>10335 177th St</t>
  </si>
  <si>
    <t>10616 156th St</t>
  </si>
  <si>
    <t>3432 43rd ST</t>
  </si>
  <si>
    <t>255 Mill Rd</t>
  </si>
  <si>
    <t>8317 133rd Ave</t>
  </si>
  <si>
    <t>39 Hegeman Ave</t>
  </si>
  <si>
    <t>1325 Eastern Pkwy</t>
  </si>
  <si>
    <t>10446 43rd Ave</t>
  </si>
  <si>
    <t>3830 Bronx Blvd</t>
  </si>
  <si>
    <t>3555 Kings College Pl</t>
  </si>
  <si>
    <t>1908 Belmont Ave</t>
  </si>
  <si>
    <t>9335 Lamont Ave</t>
  </si>
  <si>
    <t>13020 Inwood St</t>
  </si>
  <si>
    <t>2041 Palmetto St</t>
  </si>
  <si>
    <t>27 W 181st St</t>
  </si>
  <si>
    <t>3131 Grand Concourse</t>
  </si>
  <si>
    <t>1091 Longfellow Ave</t>
  </si>
  <si>
    <t>521-523 West 180th Street</t>
  </si>
  <si>
    <t>1374 York Ave</t>
  </si>
  <si>
    <t>10654 Ruscoe St</t>
  </si>
  <si>
    <t>10760 159th St</t>
  </si>
  <si>
    <t>346 E 29th St</t>
  </si>
  <si>
    <t>2020 Albermarle Road</t>
  </si>
  <si>
    <t>16840 127th Ave</t>
  </si>
  <si>
    <t>1683 Unionport Rd</t>
  </si>
  <si>
    <t>341 10th St</t>
  </si>
  <si>
    <t>1036 President St</t>
  </si>
  <si>
    <t>234 Newport St</t>
  </si>
  <si>
    <t>289 Broadway</t>
  </si>
  <si>
    <t>275 Bay 37th St</t>
  </si>
  <si>
    <t>2247 Webster Ave</t>
  </si>
  <si>
    <t>460 Brielle Ave</t>
  </si>
  <si>
    <t>460N Brielle Ave</t>
  </si>
  <si>
    <t>785 Belmont Ave</t>
  </si>
  <si>
    <t>333 E 14th St</t>
  </si>
  <si>
    <t>8D</t>
  </si>
  <si>
    <t>unit 345</t>
  </si>
  <si>
    <t>8K</t>
  </si>
  <si>
    <t>Apt 3A</t>
  </si>
  <si>
    <t>2B</t>
  </si>
  <si>
    <t>4E</t>
  </si>
  <si>
    <t>2A</t>
  </si>
  <si>
    <t>4D</t>
  </si>
  <si>
    <t>3H</t>
  </si>
  <si>
    <t>4A</t>
  </si>
  <si>
    <t>4F</t>
  </si>
  <si>
    <t>5-J</t>
  </si>
  <si>
    <t>D6</t>
  </si>
  <si>
    <t>10C</t>
  </si>
  <si>
    <t>2G</t>
  </si>
  <si>
    <t>3C</t>
  </si>
  <si>
    <t>1C</t>
  </si>
  <si>
    <t>14A</t>
  </si>
  <si>
    <t>Apt.9E</t>
  </si>
  <si>
    <t>7B</t>
  </si>
  <si>
    <t>6G</t>
  </si>
  <si>
    <t>12B</t>
  </si>
  <si>
    <t>1H</t>
  </si>
  <si>
    <t>2L</t>
  </si>
  <si>
    <t>6H</t>
  </si>
  <si>
    <t>2C</t>
  </si>
  <si>
    <t>A-19</t>
  </si>
  <si>
    <t>2-S</t>
  </si>
  <si>
    <t>6-L</t>
  </si>
  <si>
    <t>7Q</t>
  </si>
  <si>
    <t>4G</t>
  </si>
  <si>
    <t>3B</t>
  </si>
  <si>
    <t>A</t>
  </si>
  <si>
    <t>6D</t>
  </si>
  <si>
    <t>6K</t>
  </si>
  <si>
    <t>C54</t>
  </si>
  <si>
    <t>5N</t>
  </si>
  <si>
    <t>14G</t>
  </si>
  <si>
    <t>1A</t>
  </si>
  <si>
    <t>4B</t>
  </si>
  <si>
    <t>Attic</t>
  </si>
  <si>
    <t>1F</t>
  </si>
  <si>
    <t>5 D</t>
  </si>
  <si>
    <t>Top Fl</t>
  </si>
  <si>
    <t>2F</t>
  </si>
  <si>
    <t>3K</t>
  </si>
  <si>
    <t>27D</t>
  </si>
  <si>
    <t>6J</t>
  </si>
  <si>
    <t>3A</t>
  </si>
  <si>
    <t>Apt 2R</t>
  </si>
  <si>
    <t>Apt. 6</t>
  </si>
  <si>
    <t>6I</t>
  </si>
  <si>
    <t>8H</t>
  </si>
  <si>
    <t>7H</t>
  </si>
  <si>
    <t>1B</t>
  </si>
  <si>
    <t>8B</t>
  </si>
  <si>
    <t>1st Fl</t>
  </si>
  <si>
    <t>6B</t>
  </si>
  <si>
    <t>B5</t>
  </si>
  <si>
    <t>2E</t>
  </si>
  <si>
    <t>Bsmnt</t>
  </si>
  <si>
    <t>A14</t>
  </si>
  <si>
    <t>1L</t>
  </si>
  <si>
    <t>1R</t>
  </si>
  <si>
    <t>3L</t>
  </si>
  <si>
    <t>3R</t>
  </si>
  <si>
    <t>2R</t>
  </si>
  <si>
    <t>28L</t>
  </si>
  <si>
    <t>4-F</t>
  </si>
  <si>
    <t>5 G</t>
  </si>
  <si>
    <t>5J</t>
  </si>
  <si>
    <t>1K</t>
  </si>
  <si>
    <t>B-6L</t>
  </si>
  <si>
    <t>1-L</t>
  </si>
  <si>
    <t>4L</t>
  </si>
  <si>
    <t>5F</t>
  </si>
  <si>
    <t>1E</t>
  </si>
  <si>
    <t>#1G</t>
  </si>
  <si>
    <t>2I</t>
  </si>
  <si>
    <t>5A</t>
  </si>
  <si>
    <t>5D</t>
  </si>
  <si>
    <t>3E</t>
  </si>
  <si>
    <t>14F</t>
  </si>
  <si>
    <t>7D</t>
  </si>
  <si>
    <t>6A</t>
  </si>
  <si>
    <t>6L</t>
  </si>
  <si>
    <t>B</t>
  </si>
  <si>
    <t>4C</t>
  </si>
  <si>
    <t>5B</t>
  </si>
  <si>
    <t>R411</t>
  </si>
  <si>
    <t>4K</t>
  </si>
  <si>
    <t>B-1 Basement</t>
  </si>
  <si>
    <t>1D</t>
  </si>
  <si>
    <t>4H</t>
  </si>
  <si>
    <t>5E</t>
  </si>
  <si>
    <t>3M</t>
  </si>
  <si>
    <t>5-B</t>
  </si>
  <si>
    <t>05C</t>
  </si>
  <si>
    <t>6C</t>
  </si>
  <si>
    <t>1i</t>
  </si>
  <si>
    <t>#1-B</t>
  </si>
  <si>
    <t>9E</t>
  </si>
  <si>
    <t>12F</t>
  </si>
  <si>
    <t>#2F</t>
  </si>
  <si>
    <t>#4G</t>
  </si>
  <si>
    <t>2nd flo</t>
  </si>
  <si>
    <t>Basement</t>
  </si>
  <si>
    <t>2nd fl</t>
  </si>
  <si>
    <t>14B</t>
  </si>
  <si>
    <t>4S</t>
  </si>
  <si>
    <t>6F</t>
  </si>
  <si>
    <t>11B</t>
  </si>
  <si>
    <t>5H</t>
  </si>
  <si>
    <t>39B</t>
  </si>
  <si>
    <t>24H</t>
  </si>
  <si>
    <t>8-F</t>
  </si>
  <si>
    <t>03-C</t>
  </si>
  <si>
    <t>Apt 3C</t>
  </si>
  <si>
    <t>3-R</t>
  </si>
  <si>
    <t>2nd FL</t>
  </si>
  <si>
    <t>2D</t>
  </si>
  <si>
    <t>1G</t>
  </si>
  <si>
    <t>5C</t>
  </si>
  <si>
    <t>APT. 5G</t>
  </si>
  <si>
    <t>C31</t>
  </si>
  <si>
    <t>#2</t>
  </si>
  <si>
    <t>21D</t>
  </si>
  <si>
    <t>14E</t>
  </si>
  <si>
    <t>29A</t>
  </si>
  <si>
    <t>5K</t>
  </si>
  <si>
    <t>22G</t>
  </si>
  <si>
    <t>#2C</t>
  </si>
  <si>
    <t>2RE</t>
  </si>
  <si>
    <t>1 floor</t>
  </si>
  <si>
    <t>1st</t>
  </si>
  <si>
    <t>MB</t>
  </si>
  <si>
    <t>20G</t>
  </si>
  <si>
    <t>22B</t>
  </si>
  <si>
    <t>5G</t>
  </si>
  <si>
    <t>A5</t>
  </si>
  <si>
    <t>1st Flr.</t>
  </si>
  <si>
    <t>A-4</t>
  </si>
  <si>
    <t>3F</t>
  </si>
  <si>
    <t>7F</t>
  </si>
  <si>
    <t>apt. 41</t>
  </si>
  <si>
    <t>C11</t>
  </si>
  <si>
    <t>D1</t>
  </si>
  <si>
    <t>2nd floor</t>
  </si>
  <si>
    <t>2nd Floor</t>
  </si>
  <si>
    <t>B3</t>
  </si>
  <si>
    <t>#2G</t>
  </si>
  <si>
    <t>1 Fl &amp; BSMNT</t>
  </si>
  <si>
    <t>9A</t>
  </si>
  <si>
    <t>2K</t>
  </si>
  <si>
    <t>10F</t>
  </si>
  <si>
    <t>2nd Fl</t>
  </si>
  <si>
    <t>2H</t>
  </si>
  <si>
    <t>3J</t>
  </si>
  <si>
    <t>2 Fl.</t>
  </si>
  <si>
    <t>1 Floor</t>
  </si>
  <si>
    <t>12H</t>
  </si>
  <si>
    <t>Apt. 1</t>
  </si>
  <si>
    <t>1st Floor</t>
  </si>
  <si>
    <t>2 FL</t>
  </si>
  <si>
    <t>1J</t>
  </si>
  <si>
    <t>6-K</t>
  </si>
  <si>
    <t>5R</t>
  </si>
  <si>
    <t>1st floor</t>
  </si>
  <si>
    <t>3D</t>
  </si>
  <si>
    <t>16-A</t>
  </si>
  <si>
    <t>Private House</t>
  </si>
  <si>
    <t>B4</t>
  </si>
  <si>
    <t>3G</t>
  </si>
  <si>
    <t>43C</t>
  </si>
  <si>
    <t>11H</t>
  </si>
  <si>
    <t>C51</t>
  </si>
  <si>
    <t>6P</t>
  </si>
  <si>
    <t>4J</t>
  </si>
  <si>
    <t>Bsmt</t>
  </si>
  <si>
    <t>3rd FL.</t>
  </si>
  <si>
    <t>11M</t>
  </si>
  <si>
    <t>3P</t>
  </si>
  <si>
    <t>D809</t>
  </si>
  <si>
    <t>E4</t>
  </si>
  <si>
    <t>Apt 9G</t>
  </si>
  <si>
    <t>G2</t>
  </si>
  <si>
    <t>5Q</t>
  </si>
  <si>
    <t>14J</t>
  </si>
  <si>
    <t>C6</t>
  </si>
  <si>
    <t>17A</t>
  </si>
  <si>
    <t>5W</t>
  </si>
  <si>
    <t>J1</t>
  </si>
  <si>
    <t>3 R</t>
  </si>
  <si>
    <t>13B</t>
  </si>
  <si>
    <t>Apt 5A</t>
  </si>
  <si>
    <t>15-E</t>
  </si>
  <si>
    <t>4I</t>
  </si>
  <si>
    <t>7A</t>
  </si>
  <si>
    <t>#3D</t>
  </si>
  <si>
    <t>11F</t>
  </si>
  <si>
    <t>C4</t>
  </si>
  <si>
    <t>3rd Floor</t>
  </si>
  <si>
    <t>S1A</t>
  </si>
  <si>
    <t>7E</t>
  </si>
  <si>
    <t>B55</t>
  </si>
  <si>
    <t>A52</t>
  </si>
  <si>
    <t>22A</t>
  </si>
  <si>
    <t>2-C</t>
  </si>
  <si>
    <t>1-A</t>
  </si>
  <si>
    <t>16A</t>
  </si>
  <si>
    <t>19G</t>
  </si>
  <si>
    <t>6-D</t>
  </si>
  <si>
    <t>9B</t>
  </si>
  <si>
    <t>B37</t>
  </si>
  <si>
    <t>Apt. 2H</t>
  </si>
  <si>
    <t>20F</t>
  </si>
  <si>
    <t>20C</t>
  </si>
  <si>
    <t>27F</t>
  </si>
  <si>
    <t>27B</t>
  </si>
  <si>
    <t>13D</t>
  </si>
  <si>
    <t>11G1</t>
  </si>
  <si>
    <t>15D</t>
  </si>
  <si>
    <t>2J</t>
  </si>
  <si>
    <t>1st fl</t>
  </si>
  <si>
    <t>Apt 17C</t>
  </si>
  <si>
    <t>D25F</t>
  </si>
  <si>
    <t>3-L</t>
  </si>
  <si>
    <t>16l</t>
  </si>
  <si>
    <t>6E</t>
  </si>
  <si>
    <t>31A</t>
  </si>
  <si>
    <t>1-B</t>
  </si>
  <si>
    <t>11-B</t>
  </si>
  <si>
    <t>4th Fl</t>
  </si>
  <si>
    <t>#C4</t>
  </si>
  <si>
    <t>#B4</t>
  </si>
  <si>
    <t>@2B</t>
  </si>
  <si>
    <t>19E</t>
  </si>
  <si>
    <t>A35</t>
  </si>
  <si>
    <t>FC4</t>
  </si>
  <si>
    <t>3-B</t>
  </si>
  <si>
    <t>A-3</t>
  </si>
  <si>
    <t>4R</t>
  </si>
  <si>
    <t>32P</t>
  </si>
  <si>
    <t>25C</t>
  </si>
  <si>
    <t>4 K</t>
  </si>
  <si>
    <t>3b</t>
  </si>
  <si>
    <t>private</t>
  </si>
  <si>
    <t>05B</t>
  </si>
  <si>
    <t>9C</t>
  </si>
  <si>
    <t>2-B</t>
  </si>
  <si>
    <t>3FW</t>
  </si>
  <si>
    <t>Room 3</t>
  </si>
  <si>
    <t>B1</t>
  </si>
  <si>
    <t>Apt. 5E</t>
  </si>
  <si>
    <t>6M</t>
  </si>
  <si>
    <t>Fl 2</t>
  </si>
  <si>
    <t>G51</t>
  </si>
  <si>
    <t>#1R</t>
  </si>
  <si>
    <t>Apt 409</t>
  </si>
  <si>
    <t>7C</t>
  </si>
  <si>
    <t>2P</t>
  </si>
  <si>
    <t>26G</t>
  </si>
  <si>
    <t>5Y</t>
  </si>
  <si>
    <t>Apt 209</t>
  </si>
  <si>
    <t>A350</t>
  </si>
  <si>
    <t>2FL</t>
  </si>
  <si>
    <t>1-F</t>
  </si>
  <si>
    <t>18J</t>
  </si>
  <si>
    <t>BSMT</t>
  </si>
  <si>
    <t>2 Room 2A</t>
  </si>
  <si>
    <t>2N</t>
  </si>
  <si>
    <t>Apt. 4E</t>
  </si>
  <si>
    <t>8C</t>
  </si>
  <si>
    <t>D3</t>
  </si>
  <si>
    <t>13J</t>
  </si>
  <si>
    <t>15B</t>
  </si>
  <si>
    <t>18L</t>
  </si>
  <si>
    <t>12E</t>
  </si>
  <si>
    <t>7O</t>
  </si>
  <si>
    <t>2nd Floor, Attic</t>
  </si>
  <si>
    <t>1FL</t>
  </si>
  <si>
    <t>17-J</t>
  </si>
  <si>
    <t>1S</t>
  </si>
  <si>
    <t>1l</t>
  </si>
  <si>
    <t>B2</t>
  </si>
  <si>
    <t>14C</t>
  </si>
  <si>
    <t>24B</t>
  </si>
  <si>
    <t>53B</t>
  </si>
  <si>
    <t>#3 Rm 6</t>
  </si>
  <si>
    <t>Second Floor, room 1</t>
  </si>
  <si>
    <t>2nd Flr</t>
  </si>
  <si>
    <t>S-3</t>
  </si>
  <si>
    <t>C15</t>
  </si>
  <si>
    <t>B-3</t>
  </si>
  <si>
    <t>F3</t>
  </si>
  <si>
    <t>4o</t>
  </si>
  <si>
    <t>1st FL</t>
  </si>
  <si>
    <t>B-3K</t>
  </si>
  <si>
    <t>8E</t>
  </si>
  <si>
    <t>03G</t>
  </si>
  <si>
    <t>4T</t>
  </si>
  <si>
    <t>4M</t>
  </si>
  <si>
    <t>11C</t>
  </si>
  <si>
    <t>3FL</t>
  </si>
  <si>
    <t>C-32</t>
  </si>
  <si>
    <t>A32</t>
  </si>
  <si>
    <t>C3</t>
  </si>
  <si>
    <t>H1</t>
  </si>
  <si>
    <t>#1</t>
  </si>
  <si>
    <t>D7</t>
  </si>
  <si>
    <t>3rd FL</t>
  </si>
  <si>
    <t>12A</t>
  </si>
  <si>
    <t>2 Floor</t>
  </si>
  <si>
    <t>First Floor - Apt 2</t>
  </si>
  <si>
    <t>basement</t>
  </si>
  <si>
    <t>#20F</t>
  </si>
  <si>
    <t>3I</t>
  </si>
  <si>
    <t>11A</t>
  </si>
  <si>
    <t>7J</t>
  </si>
  <si>
    <t>16K</t>
  </si>
  <si>
    <t>14D</t>
  </si>
  <si>
    <t>8S</t>
  </si>
  <si>
    <t>2U</t>
  </si>
  <si>
    <t>C2C</t>
  </si>
  <si>
    <t>St1</t>
  </si>
  <si>
    <t>Ground Floor</t>
  </si>
  <si>
    <t>B-6</t>
  </si>
  <si>
    <t>1 Fl</t>
  </si>
  <si>
    <t>1-E</t>
  </si>
  <si>
    <t>A4</t>
  </si>
  <si>
    <t>D1B</t>
  </si>
  <si>
    <t>PHD</t>
  </si>
  <si>
    <t>2M</t>
  </si>
  <si>
    <t>5P</t>
  </si>
  <si>
    <t>3-I</t>
  </si>
  <si>
    <t>5I</t>
  </si>
  <si>
    <t>17M</t>
  </si>
  <si>
    <t>Room 2/1st Floor</t>
  </si>
  <si>
    <t>renting house</t>
  </si>
  <si>
    <t>16S</t>
  </si>
  <si>
    <t>Apt.6G</t>
  </si>
  <si>
    <t>Rear entrance</t>
  </si>
  <si>
    <t>4-E</t>
  </si>
  <si>
    <t>15G</t>
  </si>
  <si>
    <t>43B</t>
  </si>
  <si>
    <t>1st Flr</t>
  </si>
  <si>
    <t>b2</t>
  </si>
  <si>
    <t>18S</t>
  </si>
  <si>
    <t>1 C</t>
  </si>
  <si>
    <t>Apt. 9</t>
  </si>
  <si>
    <t>9K</t>
  </si>
  <si>
    <t>Apt. D</t>
  </si>
  <si>
    <t>422C</t>
  </si>
  <si>
    <t>Room 2</t>
  </si>
  <si>
    <t>1Y</t>
  </si>
  <si>
    <t>PH</t>
  </si>
  <si>
    <t>Apt 1</t>
  </si>
  <si>
    <t>Backroom</t>
  </si>
  <si>
    <t>10B</t>
  </si>
  <si>
    <t>13G</t>
  </si>
  <si>
    <t>10A</t>
  </si>
  <si>
    <t>1c</t>
  </si>
  <si>
    <t>11G</t>
  </si>
  <si>
    <t>LD</t>
  </si>
  <si>
    <t>9H</t>
  </si>
  <si>
    <t>24D</t>
  </si>
  <si>
    <t>26B</t>
  </si>
  <si>
    <t>2nd Fl - Rm 2</t>
  </si>
  <si>
    <t>19L</t>
  </si>
  <si>
    <t>1N</t>
  </si>
  <si>
    <t>6-B</t>
  </si>
  <si>
    <t>10D</t>
  </si>
  <si>
    <t>W3N</t>
  </si>
  <si>
    <t>3N</t>
  </si>
  <si>
    <t>Apt.2B</t>
  </si>
  <si>
    <t>4 B</t>
  </si>
  <si>
    <t>3-U</t>
  </si>
  <si>
    <t>6-G</t>
  </si>
  <si>
    <t>A1</t>
  </si>
  <si>
    <t>42J</t>
  </si>
  <si>
    <t>1-R</t>
  </si>
  <si>
    <t>1-G</t>
  </si>
  <si>
    <t>2-K</t>
  </si>
  <si>
    <t>2-A</t>
  </si>
  <si>
    <t>6-A</t>
  </si>
  <si>
    <t>Top floor</t>
  </si>
  <si>
    <t>4-C</t>
  </si>
  <si>
    <t>B-14</t>
  </si>
  <si>
    <t>LL1</t>
  </si>
  <si>
    <t>D8</t>
  </si>
  <si>
    <t>#4B</t>
  </si>
  <si>
    <t>2d</t>
  </si>
  <si>
    <t>S51</t>
  </si>
  <si>
    <t>3S</t>
  </si>
  <si>
    <t>E1</t>
  </si>
  <si>
    <t>2f</t>
  </si>
  <si>
    <t>Apt. 1E</t>
  </si>
  <si>
    <t>Apt.1C</t>
  </si>
  <si>
    <t>20D</t>
  </si>
  <si>
    <t>1-H</t>
  </si>
  <si>
    <t>1 E</t>
  </si>
  <si>
    <t>1I</t>
  </si>
  <si>
    <t>37c</t>
  </si>
  <si>
    <t>Apt 8C</t>
  </si>
  <si>
    <t>A-1</t>
  </si>
  <si>
    <t>2 R4</t>
  </si>
  <si>
    <t>Apt.16V</t>
  </si>
  <si>
    <t>Apt.5F</t>
  </si>
  <si>
    <t>B14</t>
  </si>
  <si>
    <t>Apt 2C</t>
  </si>
  <si>
    <t>C41</t>
  </si>
  <si>
    <t>01B</t>
  </si>
  <si>
    <t>Apt 1F</t>
  </si>
  <si>
    <t>38J</t>
  </si>
  <si>
    <t>37A</t>
  </si>
  <si>
    <t>17D</t>
  </si>
  <si>
    <t>D5B</t>
  </si>
  <si>
    <t>2nd Floor, #2</t>
  </si>
  <si>
    <t>A5C</t>
  </si>
  <si>
    <t>Plaza E 515A</t>
  </si>
  <si>
    <t>2nd Floor - Front Room</t>
  </si>
  <si>
    <t>2nd Floor - Rear</t>
  </si>
  <si>
    <t>4-O</t>
  </si>
  <si>
    <t>1T</t>
  </si>
  <si>
    <t>20E</t>
  </si>
  <si>
    <t>6S</t>
  </si>
  <si>
    <t>04E</t>
  </si>
  <si>
    <t>28F</t>
  </si>
  <si>
    <t>6N</t>
  </si>
  <si>
    <t>17H</t>
  </si>
  <si>
    <t>apt 3</t>
  </si>
  <si>
    <t>apt 1</t>
  </si>
  <si>
    <t>13A</t>
  </si>
  <si>
    <t>15H</t>
  </si>
  <si>
    <t>8F</t>
  </si>
  <si>
    <t>side door</t>
  </si>
  <si>
    <t>33B</t>
  </si>
  <si>
    <t>18B</t>
  </si>
  <si>
    <t>C3E</t>
  </si>
  <si>
    <t>1 B</t>
  </si>
  <si>
    <t>A2</t>
  </si>
  <si>
    <t>3-F</t>
  </si>
  <si>
    <t>Apt.5T</t>
  </si>
  <si>
    <t>Apt 2</t>
  </si>
  <si>
    <t>7G</t>
  </si>
  <si>
    <t>D6A</t>
  </si>
  <si>
    <t>13-G</t>
  </si>
  <si>
    <t>A53</t>
  </si>
  <si>
    <t>10--O</t>
  </si>
  <si>
    <t>A317</t>
  </si>
  <si>
    <t>3B12</t>
  </si>
  <si>
    <t>attic</t>
  </si>
  <si>
    <t>6n</t>
  </si>
  <si>
    <t>Entire House</t>
  </si>
  <si>
    <t>A28</t>
  </si>
  <si>
    <t>36B</t>
  </si>
  <si>
    <t>04D</t>
  </si>
  <si>
    <t>5L</t>
  </si>
  <si>
    <t>second floor</t>
  </si>
  <si>
    <t>1 Flr</t>
  </si>
  <si>
    <t>A6</t>
  </si>
  <si>
    <t>18A</t>
  </si>
  <si>
    <t>C2</t>
  </si>
  <si>
    <t>Apt.410</t>
  </si>
  <si>
    <t>F-12</t>
  </si>
  <si>
    <t>3rd Fl</t>
  </si>
  <si>
    <t>L32</t>
  </si>
  <si>
    <t>B7</t>
  </si>
  <si>
    <t>1DS</t>
  </si>
  <si>
    <t>1st door</t>
  </si>
  <si>
    <t>F</t>
  </si>
  <si>
    <t>3r</t>
  </si>
  <si>
    <t>Apt. P/H</t>
  </si>
  <si>
    <t>08B</t>
  </si>
  <si>
    <t>B10</t>
  </si>
  <si>
    <t>8A</t>
  </si>
  <si>
    <t>B409</t>
  </si>
  <si>
    <t>APt.2H</t>
  </si>
  <si>
    <t>36C</t>
  </si>
  <si>
    <t>AA1</t>
  </si>
  <si>
    <t>16D</t>
  </si>
  <si>
    <t>2 Flr.</t>
  </si>
  <si>
    <t>Apt.2F</t>
  </si>
  <si>
    <t>54 B</t>
  </si>
  <si>
    <t>5DD</t>
  </si>
  <si>
    <t>Apt. B1</t>
  </si>
  <si>
    <t>3O</t>
  </si>
  <si>
    <t>9D</t>
  </si>
  <si>
    <t>21F</t>
  </si>
  <si>
    <t>4N</t>
  </si>
  <si>
    <t>9a</t>
  </si>
  <si>
    <t>C7</t>
  </si>
  <si>
    <t>rent house</t>
  </si>
  <si>
    <t>Rear</t>
  </si>
  <si>
    <t>MC</t>
  </si>
  <si>
    <t>2 floor</t>
  </si>
  <si>
    <t>5-4K</t>
  </si>
  <si>
    <t>Apt. 3-B</t>
  </si>
  <si>
    <t>Apt.45</t>
  </si>
  <si>
    <t>E2-B2</t>
  </si>
  <si>
    <t>Apt. S609</t>
  </si>
  <si>
    <t>6RW</t>
  </si>
  <si>
    <t>1AA</t>
  </si>
  <si>
    <t>12-A</t>
  </si>
  <si>
    <t>G21</t>
  </si>
  <si>
    <t>#3</t>
  </si>
  <si>
    <t>15S</t>
  </si>
  <si>
    <t>C22</t>
  </si>
  <si>
    <t>N201</t>
  </si>
  <si>
    <t>A44</t>
  </si>
  <si>
    <t>3AE</t>
  </si>
  <si>
    <t>4-L</t>
  </si>
  <si>
    <t>Apt.4C</t>
  </si>
  <si>
    <t>C</t>
  </si>
  <si>
    <t>J4</t>
  </si>
  <si>
    <t>26C</t>
  </si>
  <si>
    <t>25H</t>
  </si>
  <si>
    <t>13N</t>
  </si>
  <si>
    <t>28A</t>
  </si>
  <si>
    <t>DW</t>
  </si>
  <si>
    <t>Apt 54</t>
  </si>
  <si>
    <t>2 Rear</t>
  </si>
  <si>
    <t>19B</t>
  </si>
  <si>
    <t>D312</t>
  </si>
  <si>
    <t>F6</t>
  </si>
  <si>
    <t>8I</t>
  </si>
  <si>
    <t>26k</t>
  </si>
  <si>
    <t>Apt A-15</t>
  </si>
  <si>
    <t>03A</t>
  </si>
  <si>
    <t>SE</t>
  </si>
  <si>
    <t>8G</t>
  </si>
  <si>
    <t>23P</t>
  </si>
  <si>
    <t>15 J</t>
  </si>
  <si>
    <t>16F</t>
  </si>
  <si>
    <t>52 N</t>
  </si>
  <si>
    <t>E2</t>
  </si>
  <si>
    <t>2S</t>
  </si>
  <si>
    <t>1W</t>
  </si>
  <si>
    <t>4-0</t>
  </si>
  <si>
    <t>C1</t>
  </si>
  <si>
    <t>First Floor</t>
  </si>
  <si>
    <t>4-M</t>
  </si>
  <si>
    <t>2-M</t>
  </si>
  <si>
    <t>N-53</t>
  </si>
  <si>
    <t>Front apartment</t>
  </si>
  <si>
    <t>4AA</t>
  </si>
  <si>
    <t>11E</t>
  </si>
  <si>
    <t>22 E</t>
  </si>
  <si>
    <t>22I</t>
  </si>
  <si>
    <t>9J</t>
  </si>
  <si>
    <t>D117</t>
  </si>
  <si>
    <t>1DW</t>
  </si>
  <si>
    <t>09B</t>
  </si>
  <si>
    <t>V31</t>
  </si>
  <si>
    <t>04-G</t>
  </si>
  <si>
    <t>6CS</t>
  </si>
  <si>
    <t>13-I</t>
  </si>
  <si>
    <t>16B</t>
  </si>
  <si>
    <t>Apt 605</t>
  </si>
  <si>
    <t>B31</t>
  </si>
  <si>
    <t>BSMT 1</t>
  </si>
  <si>
    <t>5AA</t>
  </si>
  <si>
    <t>Studio</t>
  </si>
  <si>
    <t>2Y</t>
  </si>
  <si>
    <t>D24</t>
  </si>
  <si>
    <t>1M</t>
  </si>
  <si>
    <t>4p</t>
  </si>
  <si>
    <t>60C</t>
  </si>
  <si>
    <t>42C</t>
  </si>
  <si>
    <t>W/B</t>
  </si>
  <si>
    <t>6a</t>
  </si>
  <si>
    <t>15V</t>
  </si>
  <si>
    <t>3Z</t>
  </si>
  <si>
    <t>LB</t>
  </si>
  <si>
    <t>2-F</t>
  </si>
  <si>
    <t>12C</t>
  </si>
  <si>
    <t>bsmnt</t>
  </si>
  <si>
    <t>11L</t>
  </si>
  <si>
    <t>#1C</t>
  </si>
  <si>
    <t>4-B</t>
  </si>
  <si>
    <t>1-C</t>
  </si>
  <si>
    <t>1-D</t>
  </si>
  <si>
    <t>6i</t>
  </si>
  <si>
    <t>4-J</t>
  </si>
  <si>
    <t>5-g</t>
  </si>
  <si>
    <t>D4</t>
  </si>
  <si>
    <t>35J</t>
  </si>
  <si>
    <t>2-H</t>
  </si>
  <si>
    <t>D-5C</t>
  </si>
  <si>
    <t>6AA</t>
  </si>
  <si>
    <t>LG3</t>
  </si>
  <si>
    <t>13C</t>
  </si>
  <si>
    <t>DV Shelter</t>
  </si>
  <si>
    <t>36K</t>
  </si>
  <si>
    <t>BA</t>
  </si>
  <si>
    <t>Apt 3B</t>
  </si>
  <si>
    <t>3-A</t>
  </si>
  <si>
    <t>Apt. A</t>
  </si>
  <si>
    <t>Apt.2</t>
  </si>
  <si>
    <t>10G</t>
  </si>
  <si>
    <t>Unit 1</t>
  </si>
  <si>
    <t>#2-D</t>
  </si>
  <si>
    <t>5-A</t>
  </si>
  <si>
    <t>A-2</t>
  </si>
  <si>
    <t>2416W</t>
  </si>
  <si>
    <t>5C-6</t>
  </si>
  <si>
    <t>10I</t>
  </si>
  <si>
    <t>4U</t>
  </si>
  <si>
    <t>A42</t>
  </si>
  <si>
    <t>A-23</t>
  </si>
  <si>
    <t>A5 First Floor</t>
  </si>
  <si>
    <t>Apt. 2N</t>
  </si>
  <si>
    <t>6e</t>
  </si>
  <si>
    <t>Apt. 4ES</t>
  </si>
  <si>
    <t>family house</t>
  </si>
  <si>
    <t>10R</t>
  </si>
  <si>
    <t>45A</t>
  </si>
  <si>
    <t>D2</t>
  </si>
  <si>
    <t>2nd</t>
  </si>
  <si>
    <t>Apt. 3C</t>
  </si>
  <si>
    <t>14H</t>
  </si>
  <si>
    <t>Apt 4D</t>
  </si>
  <si>
    <t>D15</t>
  </si>
  <si>
    <t>2-D</t>
  </si>
  <si>
    <t>11-G</t>
  </si>
  <si>
    <t>495A</t>
  </si>
  <si>
    <t>6W</t>
  </si>
  <si>
    <t>F-7</t>
  </si>
  <si>
    <t>20A</t>
  </si>
  <si>
    <t>3-D</t>
  </si>
  <si>
    <t>A-34</t>
  </si>
  <si>
    <t>Apt 6G</t>
  </si>
  <si>
    <t>2ES</t>
  </si>
  <si>
    <t>Apt. 6F</t>
  </si>
  <si>
    <t>4CS</t>
  </si>
  <si>
    <t>4-2k</t>
  </si>
  <si>
    <t>9C1</t>
  </si>
  <si>
    <t>12 I</t>
  </si>
  <si>
    <t>B6</t>
  </si>
  <si>
    <t>17K</t>
  </si>
  <si>
    <t>3 floor</t>
  </si>
  <si>
    <t>H66</t>
  </si>
  <si>
    <t>5T</t>
  </si>
  <si>
    <t>Apt. 24H</t>
  </si>
  <si>
    <t>8L</t>
  </si>
  <si>
    <t>2nd Fl.</t>
  </si>
  <si>
    <t>#5C</t>
  </si>
  <si>
    <t>LO</t>
  </si>
  <si>
    <t>TH</t>
  </si>
  <si>
    <t>4c</t>
  </si>
  <si>
    <t>C6E</t>
  </si>
  <si>
    <t>3c</t>
  </si>
  <si>
    <t>56N</t>
  </si>
  <si>
    <t>Apt. 4F</t>
  </si>
  <si>
    <t>2nd Floor - middle room</t>
  </si>
  <si>
    <t>1Q</t>
  </si>
  <si>
    <t>G</t>
  </si>
  <si>
    <t>4e</t>
  </si>
  <si>
    <t>1P</t>
  </si>
  <si>
    <t>Apt. 1 2nd floor</t>
  </si>
  <si>
    <t>E</t>
  </si>
  <si>
    <t>1rst floor</t>
  </si>
  <si>
    <t>4UU</t>
  </si>
  <si>
    <t>2Q</t>
  </si>
  <si>
    <t>c106</t>
  </si>
  <si>
    <t>8k</t>
  </si>
  <si>
    <t>#17A</t>
  </si>
  <si>
    <t>305A</t>
  </si>
  <si>
    <t>TA</t>
  </si>
  <si>
    <t>26 D</t>
  </si>
  <si>
    <t>2 H</t>
  </si>
  <si>
    <t>10H</t>
  </si>
  <si>
    <t>21 G</t>
  </si>
  <si>
    <t>c05</t>
  </si>
  <si>
    <t>4P</t>
  </si>
  <si>
    <t>Apt 4</t>
  </si>
  <si>
    <t>C10</t>
  </si>
  <si>
    <t>3g</t>
  </si>
  <si>
    <t>3rd floor</t>
  </si>
  <si>
    <t>5/3L</t>
  </si>
  <si>
    <t>D 18</t>
  </si>
  <si>
    <t>6-J</t>
  </si>
  <si>
    <t># 1</t>
  </si>
  <si>
    <t>16G</t>
  </si>
  <si>
    <t>41B</t>
  </si>
  <si>
    <t>13-H</t>
  </si>
  <si>
    <t>18E</t>
  </si>
  <si>
    <t>B53</t>
  </si>
  <si>
    <t>6h</t>
  </si>
  <si>
    <t>20K</t>
  </si>
  <si>
    <t>2cs</t>
  </si>
  <si>
    <t>1RR</t>
  </si>
  <si>
    <t>North 10</t>
  </si>
  <si>
    <t>Flr.2</t>
  </si>
  <si>
    <t>7U</t>
  </si>
  <si>
    <t>Apt 2L</t>
  </si>
  <si>
    <t>P7C</t>
  </si>
  <si>
    <t>5M</t>
  </si>
  <si>
    <t>H2</t>
  </si>
  <si>
    <t>BB</t>
  </si>
  <si>
    <t>apt #2</t>
  </si>
  <si>
    <t>2 room 2</t>
  </si>
  <si>
    <t>C410</t>
  </si>
  <si>
    <t>12e</t>
  </si>
  <si>
    <t>9G</t>
  </si>
  <si>
    <t>LL</t>
  </si>
  <si>
    <t>A703</t>
  </si>
  <si>
    <t>C4H</t>
  </si>
  <si>
    <t>A3</t>
  </si>
  <si>
    <t>17P</t>
  </si>
  <si>
    <t>4h</t>
  </si>
  <si>
    <t>5RS</t>
  </si>
  <si>
    <t>8e</t>
  </si>
  <si>
    <t>28G</t>
  </si>
  <si>
    <t>a21</t>
  </si>
  <si>
    <t>2nd Fl Rm C</t>
  </si>
  <si>
    <t>3-G</t>
  </si>
  <si>
    <t>Apt 2F</t>
  </si>
  <si>
    <t>07C</t>
  </si>
  <si>
    <t>1-AS</t>
  </si>
  <si>
    <t>4AN</t>
  </si>
  <si>
    <t>2nd flr</t>
  </si>
  <si>
    <t>#2B</t>
  </si>
  <si>
    <t>A12</t>
  </si>
  <si>
    <t>first floor</t>
  </si>
  <si>
    <t>2 C</t>
  </si>
  <si>
    <t>B-9</t>
  </si>
  <si>
    <t>ST1</t>
  </si>
  <si>
    <t>9DN</t>
  </si>
  <si>
    <t>6-O</t>
  </si>
  <si>
    <t>4 M</t>
  </si>
  <si>
    <t>13P</t>
  </si>
  <si>
    <t>Apt. 105</t>
  </si>
  <si>
    <t>Apt. 4C</t>
  </si>
  <si>
    <t>D</t>
  </si>
  <si>
    <t>C8</t>
  </si>
  <si>
    <t>#3B</t>
  </si>
  <si>
    <t>46B</t>
  </si>
  <si>
    <t>Basement, Front Room on Right</t>
  </si>
  <si>
    <t>A2N</t>
  </si>
  <si>
    <t>14L</t>
  </si>
  <si>
    <t>Apt 5K</t>
  </si>
  <si>
    <t>8M</t>
  </si>
  <si>
    <t>3T</t>
  </si>
  <si>
    <t>Apt. 4G</t>
  </si>
  <si>
    <t>2Fl</t>
  </si>
  <si>
    <t>J</t>
  </si>
  <si>
    <t>#7-D</t>
  </si>
  <si>
    <t>12-0</t>
  </si>
  <si>
    <t>17C</t>
  </si>
  <si>
    <t>Apt. 1B</t>
  </si>
  <si>
    <t>2 A</t>
  </si>
  <si>
    <t>1AB</t>
  </si>
  <si>
    <t>D10E</t>
  </si>
  <si>
    <t>Apt.2L</t>
  </si>
  <si>
    <t>14Q</t>
  </si>
  <si>
    <t>Apt 6BN</t>
  </si>
  <si>
    <t>c3</t>
  </si>
  <si>
    <t>#2FL</t>
  </si>
  <si>
    <t>13F</t>
  </si>
  <si>
    <t>6d</t>
  </si>
  <si>
    <t>Apt. 2</t>
  </si>
  <si>
    <t>Apt 5G</t>
  </si>
  <si>
    <t>25 A</t>
  </si>
  <si>
    <t>237A</t>
  </si>
  <si>
    <t>01E</t>
  </si>
  <si>
    <t>Apt 316</t>
  </si>
  <si>
    <t>L501</t>
  </si>
  <si>
    <t>23E</t>
  </si>
  <si>
    <t>B18</t>
  </si>
  <si>
    <t>1 LR</t>
  </si>
  <si>
    <t>1h</t>
  </si>
  <si>
    <t>Apt.4B</t>
  </si>
  <si>
    <t>17G</t>
  </si>
  <si>
    <t>5-5</t>
  </si>
  <si>
    <t>02D</t>
  </si>
  <si>
    <t>17 A</t>
  </si>
  <si>
    <t>#1A</t>
  </si>
  <si>
    <t>22L</t>
  </si>
  <si>
    <t>3Fl</t>
  </si>
  <si>
    <t>06F</t>
  </si>
  <si>
    <t>12D</t>
  </si>
  <si>
    <t>b1</t>
  </si>
  <si>
    <t>3rd fl</t>
  </si>
  <si>
    <t>8R</t>
  </si>
  <si>
    <t>11D</t>
  </si>
  <si>
    <t>1J (back bedroom)</t>
  </si>
  <si>
    <t>4f</t>
  </si>
  <si>
    <t>c6</t>
  </si>
  <si>
    <t>Room #10</t>
  </si>
  <si>
    <t>2-I</t>
  </si>
  <si>
    <t>10-D</t>
  </si>
  <si>
    <t>3l</t>
  </si>
  <si>
    <t>0D</t>
  </si>
  <si>
    <t>E5</t>
  </si>
  <si>
    <t>420-D</t>
  </si>
  <si>
    <t>6Z</t>
  </si>
  <si>
    <t>B21</t>
  </si>
  <si>
    <t>A21</t>
  </si>
  <si>
    <t>B-55</t>
  </si>
  <si>
    <t>23B</t>
  </si>
  <si>
    <t>63A</t>
  </si>
  <si>
    <t>B66</t>
  </si>
  <si>
    <t>39-A</t>
  </si>
  <si>
    <t>52A</t>
  </si>
  <si>
    <t>53A</t>
  </si>
  <si>
    <t>38B</t>
  </si>
  <si>
    <t>B-36</t>
  </si>
  <si>
    <t>47A</t>
  </si>
  <si>
    <t>A49</t>
  </si>
  <si>
    <t>A41</t>
  </si>
  <si>
    <t>37 A</t>
  </si>
  <si>
    <t>59A</t>
  </si>
  <si>
    <t>A46</t>
  </si>
  <si>
    <t>GG</t>
  </si>
  <si>
    <t>A-58</t>
  </si>
  <si>
    <t>63-B</t>
  </si>
  <si>
    <t>AA</t>
  </si>
  <si>
    <t>FF</t>
  </si>
  <si>
    <t>65A</t>
  </si>
  <si>
    <t>A43</t>
  </si>
  <si>
    <t>A-32</t>
  </si>
  <si>
    <t>2-G</t>
  </si>
  <si>
    <t>CC</t>
  </si>
  <si>
    <t>7T</t>
  </si>
  <si>
    <t>6R</t>
  </si>
  <si>
    <t>#D</t>
  </si>
  <si>
    <t>12K</t>
  </si>
  <si>
    <t>Flr 2</t>
  </si>
  <si>
    <t>18D</t>
  </si>
  <si>
    <t>3U</t>
  </si>
  <si>
    <t>B15</t>
  </si>
  <si>
    <t>1-Room 1</t>
  </si>
  <si>
    <t>9M</t>
  </si>
  <si>
    <t>F11</t>
  </si>
  <si>
    <t>16R</t>
  </si>
  <si>
    <t>Apt. 6-C</t>
  </si>
  <si>
    <t>7N</t>
  </si>
  <si>
    <t>2X</t>
  </si>
  <si>
    <t>4-D</t>
  </si>
  <si>
    <t>2-J</t>
  </si>
  <si>
    <t>A16</t>
  </si>
  <si>
    <t># 3B</t>
  </si>
  <si>
    <t>5O</t>
  </si>
  <si>
    <t>E3</t>
  </si>
  <si>
    <t>LS</t>
  </si>
  <si>
    <t>B306</t>
  </si>
  <si>
    <t>Apt 1N</t>
  </si>
  <si>
    <t>Floor 2</t>
  </si>
  <si>
    <t>4RE</t>
  </si>
  <si>
    <t>A81</t>
  </si>
  <si>
    <t>APt.3G</t>
  </si>
  <si>
    <t>R607</t>
  </si>
  <si>
    <t>1-0</t>
  </si>
  <si>
    <t>10M</t>
  </si>
  <si>
    <t>#B2</t>
  </si>
  <si>
    <t>1X</t>
  </si>
  <si>
    <t>Apt 3</t>
  </si>
  <si>
    <t>1d</t>
  </si>
  <si>
    <t>a43</t>
  </si>
  <si>
    <t>08A</t>
  </si>
  <si>
    <t>1stfl</t>
  </si>
  <si>
    <t>#A-6</t>
  </si>
  <si>
    <t>25-S</t>
  </si>
  <si>
    <t>#6G</t>
  </si>
  <si>
    <t>OMC-45</t>
  </si>
  <si>
    <t>Apt.1</t>
  </si>
  <si>
    <t>19R</t>
  </si>
  <si>
    <t>c1101</t>
  </si>
  <si>
    <t>04C</t>
  </si>
  <si>
    <t>Pvt</t>
  </si>
  <si>
    <t>1O</t>
  </si>
  <si>
    <t>#5Y</t>
  </si>
  <si>
    <t>C-11</t>
  </si>
  <si>
    <t>13E</t>
  </si>
  <si>
    <t>2106W</t>
  </si>
  <si>
    <t>Apt 7A1</t>
  </si>
  <si>
    <t>D9</t>
  </si>
  <si>
    <t>2nd Floor--Front Room</t>
  </si>
  <si>
    <t>D32</t>
  </si>
  <si>
    <t>4DS</t>
  </si>
  <si>
    <t>apt 4G</t>
  </si>
  <si>
    <t>B9</t>
  </si>
  <si>
    <t>24A</t>
  </si>
  <si>
    <t>15f</t>
  </si>
  <si>
    <t>SR</t>
  </si>
  <si>
    <t>Apt 5C</t>
  </si>
  <si>
    <t>Apt 2K</t>
  </si>
  <si>
    <t>A610</t>
  </si>
  <si>
    <t>F46</t>
  </si>
  <si>
    <t>E316</t>
  </si>
  <si>
    <t>4b</t>
  </si>
  <si>
    <t>55B</t>
  </si>
  <si>
    <t>32A</t>
  </si>
  <si>
    <t>dg</t>
  </si>
  <si>
    <t>Garden Floor</t>
  </si>
  <si>
    <t>GR3</t>
  </si>
  <si>
    <t>3AN</t>
  </si>
  <si>
    <t>B24</t>
  </si>
  <si>
    <t>5-G</t>
  </si>
  <si>
    <t>C-107</t>
  </si>
  <si>
    <t>unit 23</t>
  </si>
  <si>
    <t>Apt 416</t>
  </si>
  <si>
    <t>3Q</t>
  </si>
  <si>
    <t>2FS</t>
  </si>
  <si>
    <t>Apt 4C</t>
  </si>
  <si>
    <t>5n</t>
  </si>
  <si>
    <t>6k</t>
  </si>
  <si>
    <t>#4</t>
  </si>
  <si>
    <t>2dr</t>
  </si>
  <si>
    <t>D02</t>
  </si>
  <si>
    <t>#3T</t>
  </si>
  <si>
    <t>a12</t>
  </si>
  <si>
    <t>01A</t>
  </si>
  <si>
    <t>Rear Cellar</t>
  </si>
  <si>
    <t>7-B</t>
  </si>
  <si>
    <t>4-A</t>
  </si>
  <si>
    <t>J2</t>
  </si>
  <si>
    <t>1F2</t>
  </si>
  <si>
    <t>5-D</t>
  </si>
  <si>
    <t>Second Floor</t>
  </si>
  <si>
    <t>#3C</t>
  </si>
  <si>
    <t>Apt 8A</t>
  </si>
  <si>
    <t>20B</t>
  </si>
  <si>
    <t>Apt 5E</t>
  </si>
  <si>
    <t>#11</t>
  </si>
  <si>
    <t>D10</t>
  </si>
  <si>
    <t>22C</t>
  </si>
  <si>
    <t>25E</t>
  </si>
  <si>
    <t>#2A</t>
  </si>
  <si>
    <t>GL</t>
  </si>
  <si>
    <t>1Fl</t>
  </si>
  <si>
    <t>25W</t>
  </si>
  <si>
    <t>Apt.4K</t>
  </si>
  <si>
    <t>1st Fl.</t>
  </si>
  <si>
    <t>4CN</t>
  </si>
  <si>
    <t>R5</t>
  </si>
  <si>
    <t>Suite 1</t>
  </si>
  <si>
    <t>Middle Floor</t>
  </si>
  <si>
    <t>21J</t>
  </si>
  <si>
    <t>23G</t>
  </si>
  <si>
    <t>23L</t>
  </si>
  <si>
    <t>12G</t>
  </si>
  <si>
    <t>10E</t>
  </si>
  <si>
    <t>14 K</t>
  </si>
  <si>
    <t>19A</t>
  </si>
  <si>
    <t>21M</t>
  </si>
  <si>
    <t>18N</t>
  </si>
  <si>
    <t>12P</t>
  </si>
  <si>
    <t>21B</t>
  </si>
  <si>
    <t>14N</t>
  </si>
  <si>
    <t>18C</t>
  </si>
  <si>
    <t>17N</t>
  </si>
  <si>
    <t>19N</t>
  </si>
  <si>
    <t>21K</t>
  </si>
  <si>
    <t>23M</t>
  </si>
  <si>
    <t>17R</t>
  </si>
  <si>
    <t>3-0</t>
  </si>
  <si>
    <t>18H</t>
  </si>
  <si>
    <t>22P</t>
  </si>
  <si>
    <t>17B</t>
  </si>
  <si>
    <t>11P</t>
  </si>
  <si>
    <t>18G</t>
  </si>
  <si>
    <t>7K</t>
  </si>
  <si>
    <t>24C</t>
  </si>
  <si>
    <t>16N</t>
  </si>
  <si>
    <t>16-0</t>
  </si>
  <si>
    <t>24-D</t>
  </si>
  <si>
    <t>19M</t>
  </si>
  <si>
    <t>18M</t>
  </si>
  <si>
    <t>8P</t>
  </si>
  <si>
    <t>22F</t>
  </si>
  <si>
    <t>24P</t>
  </si>
  <si>
    <t>8-O</t>
  </si>
  <si>
    <t>21C</t>
  </si>
  <si>
    <t>9L</t>
  </si>
  <si>
    <t>12L</t>
  </si>
  <si>
    <t>7M</t>
  </si>
  <si>
    <t>9O</t>
  </si>
  <si>
    <t>10-O</t>
  </si>
  <si>
    <t>16L</t>
  </si>
  <si>
    <t>16E</t>
  </si>
  <si>
    <t>19F</t>
  </si>
  <si>
    <t>20H</t>
  </si>
  <si>
    <t>17E</t>
  </si>
  <si>
    <t>Apt. B</t>
  </si>
  <si>
    <t>Apt.2E</t>
  </si>
  <si>
    <t>17I</t>
  </si>
  <si>
    <t>62B</t>
  </si>
  <si>
    <t>Apt. 611</t>
  </si>
  <si>
    <t>BD</t>
  </si>
  <si>
    <t>E17K</t>
  </si>
  <si>
    <t>C7C</t>
  </si>
  <si>
    <t>2RS</t>
  </si>
  <si>
    <t>E-12</t>
  </si>
  <si>
    <t>E30</t>
  </si>
  <si>
    <t>#1H</t>
  </si>
  <si>
    <t>45B</t>
  </si>
  <si>
    <t>Basement, B1</t>
  </si>
  <si>
    <t>Apt. 10-H</t>
  </si>
  <si>
    <t>#4-R</t>
  </si>
  <si>
    <t>d1</t>
  </si>
  <si>
    <t>11N</t>
  </si>
  <si>
    <t>Basement 2</t>
  </si>
  <si>
    <t>12M</t>
  </si>
  <si>
    <t>Top Floor</t>
  </si>
  <si>
    <t>1RL</t>
  </si>
  <si>
    <t>B10D</t>
  </si>
  <si>
    <t>Room # 1</t>
  </si>
  <si>
    <t>19D</t>
  </si>
  <si>
    <t>20-0</t>
  </si>
  <si>
    <t>7R</t>
  </si>
  <si>
    <t>1y</t>
  </si>
  <si>
    <t>08C</t>
  </si>
  <si>
    <t>51-B</t>
  </si>
  <si>
    <t>apt 6G</t>
  </si>
  <si>
    <t>Apt. 3B</t>
  </si>
  <si>
    <t>18K</t>
  </si>
  <si>
    <t>F8</t>
  </si>
  <si>
    <t>2GS</t>
  </si>
  <si>
    <t>C16</t>
  </si>
  <si>
    <t>1-O</t>
  </si>
  <si>
    <t>C9</t>
  </si>
  <si>
    <t>#4D</t>
  </si>
  <si>
    <t>2RW</t>
  </si>
  <si>
    <t>16H</t>
  </si>
  <si>
    <t>D3J</t>
  </si>
  <si>
    <t>BASEMENT</t>
  </si>
  <si>
    <t>33K</t>
  </si>
  <si>
    <t>3W</t>
  </si>
  <si>
    <t>09A</t>
  </si>
  <si>
    <t>5-157</t>
  </si>
  <si>
    <t>S27H</t>
  </si>
  <si>
    <t>A17</t>
  </si>
  <si>
    <t>#22</t>
  </si>
  <si>
    <t>03N</t>
  </si>
  <si>
    <t>9-P</t>
  </si>
  <si>
    <t>F2</t>
  </si>
  <si>
    <t>06H</t>
  </si>
  <si>
    <t>#G7</t>
  </si>
  <si>
    <t>#2D</t>
  </si>
  <si>
    <t>#2U</t>
  </si>
  <si>
    <t>c8</t>
  </si>
  <si>
    <t>3rd</t>
  </si>
  <si>
    <t>7V</t>
  </si>
  <si>
    <t>#7E</t>
  </si>
  <si>
    <t>#2H</t>
  </si>
  <si>
    <t>#1D</t>
  </si>
  <si>
    <t>#4P</t>
  </si>
  <si>
    <t>#1F</t>
  </si>
  <si>
    <t>#14J</t>
  </si>
  <si>
    <t>A7</t>
  </si>
  <si>
    <t>A31</t>
  </si>
  <si>
    <t>#3F</t>
  </si>
  <si>
    <t>APT. 537</t>
  </si>
  <si>
    <t>Apt. 1A</t>
  </si>
  <si>
    <t>16 D</t>
  </si>
  <si>
    <t>#E6</t>
  </si>
  <si>
    <t>2V</t>
  </si>
  <si>
    <t>1 Rm 2</t>
  </si>
  <si>
    <t>15-A</t>
  </si>
  <si>
    <t>D5</t>
  </si>
  <si>
    <t>#9B</t>
  </si>
  <si>
    <t>#B1</t>
  </si>
  <si>
    <t>#4-O</t>
  </si>
  <si>
    <t>#5G</t>
  </si>
  <si>
    <t>#4L</t>
  </si>
  <si>
    <t>#5K</t>
  </si>
  <si>
    <t>24J</t>
  </si>
  <si>
    <t>#6A</t>
  </si>
  <si>
    <t>13-K</t>
  </si>
  <si>
    <t>5V</t>
  </si>
  <si>
    <t>A11</t>
  </si>
  <si>
    <t>E103</t>
  </si>
  <si>
    <t>#3J</t>
  </si>
  <si>
    <t>H</t>
  </si>
  <si>
    <t>4i</t>
  </si>
  <si>
    <t>8O</t>
  </si>
  <si>
    <t>5S</t>
  </si>
  <si>
    <t>F-8</t>
  </si>
  <si>
    <t>R510</t>
  </si>
  <si>
    <t>3KK</t>
  </si>
  <si>
    <t>6c</t>
  </si>
  <si>
    <t>PHF</t>
  </si>
  <si>
    <t>10i</t>
  </si>
  <si>
    <t>2W</t>
  </si>
  <si>
    <t>E12</t>
  </si>
  <si>
    <t>31H</t>
  </si>
  <si>
    <t>AF</t>
  </si>
  <si>
    <t>3-E</t>
  </si>
  <si>
    <t>E-3</t>
  </si>
  <si>
    <t>66B</t>
  </si>
  <si>
    <t>Building 2 A apt 13 G</t>
  </si>
  <si>
    <t>1-N</t>
  </si>
  <si>
    <t>14Z</t>
  </si>
  <si>
    <t>Apt 2 Room 3</t>
  </si>
  <si>
    <t>#315</t>
  </si>
  <si>
    <t>#5</t>
  </si>
  <si>
    <t>#3A</t>
  </si>
  <si>
    <t>#4K</t>
  </si>
  <si>
    <t>#7</t>
  </si>
  <si>
    <t>#6</t>
  </si>
  <si>
    <t>#C10</t>
  </si>
  <si>
    <t>15 T</t>
  </si>
  <si>
    <t>C35</t>
  </si>
  <si>
    <t>9P</t>
  </si>
  <si>
    <t>40A</t>
  </si>
  <si>
    <t>Apt.6A</t>
  </si>
  <si>
    <t>Apt.11-C</t>
  </si>
  <si>
    <t>9F</t>
  </si>
  <si>
    <t>K51</t>
  </si>
  <si>
    <t>7b</t>
  </si>
  <si>
    <t>2DJ</t>
  </si>
  <si>
    <t>#B8</t>
  </si>
  <si>
    <t>3A - 1st floor</t>
  </si>
  <si>
    <t>Side Entrance</t>
  </si>
  <si>
    <t>Sub-Floor</t>
  </si>
  <si>
    <t>E314</t>
  </si>
  <si>
    <t>1V</t>
  </si>
  <si>
    <t>5-H</t>
  </si>
  <si>
    <t>s10</t>
  </si>
  <si>
    <t>62D</t>
  </si>
  <si>
    <t>1rst flr</t>
  </si>
  <si>
    <t>2 Fl</t>
  </si>
  <si>
    <t>APT # 1A</t>
  </si>
  <si>
    <t>17 F</t>
  </si>
  <si>
    <t>30F</t>
  </si>
  <si>
    <t>18 B</t>
  </si>
  <si>
    <t>21 E</t>
  </si>
  <si>
    <t>18 C</t>
  </si>
  <si>
    <t>28E</t>
  </si>
  <si>
    <t>12 A</t>
  </si>
  <si>
    <t>23 A</t>
  </si>
  <si>
    <t>20 H</t>
  </si>
  <si>
    <t>13 E</t>
  </si>
  <si>
    <t>12 F</t>
  </si>
  <si>
    <t>17 GI</t>
  </si>
  <si>
    <t>24E</t>
  </si>
  <si>
    <t>16 H</t>
  </si>
  <si>
    <t>29F</t>
  </si>
  <si>
    <t>19 D</t>
  </si>
  <si>
    <t>17 H</t>
  </si>
  <si>
    <t>31 D</t>
  </si>
  <si>
    <t>12 C</t>
  </si>
  <si>
    <t>18 H</t>
  </si>
  <si>
    <t>10S</t>
  </si>
  <si>
    <t>10N</t>
  </si>
  <si>
    <t>7L</t>
  </si>
  <si>
    <t>9S</t>
  </si>
  <si>
    <t>11J</t>
  </si>
  <si>
    <t>11S</t>
  </si>
  <si>
    <t>11K</t>
  </si>
  <si>
    <t>Apt.5L</t>
  </si>
  <si>
    <t>11R</t>
  </si>
  <si>
    <t>10K</t>
  </si>
  <si>
    <t>b6</t>
  </si>
  <si>
    <t>30E</t>
  </si>
  <si>
    <t>A110</t>
  </si>
  <si>
    <t>LE</t>
  </si>
  <si>
    <t>4W</t>
  </si>
  <si>
    <t>4g</t>
  </si>
  <si>
    <t>1f</t>
  </si>
  <si>
    <t>1g</t>
  </si>
  <si>
    <t>5d</t>
  </si>
  <si>
    <t>A19</t>
  </si>
  <si>
    <t>23A</t>
  </si>
  <si>
    <t>9MN</t>
  </si>
  <si>
    <t>12J</t>
  </si>
  <si>
    <t>5-ER</t>
  </si>
  <si>
    <t>2a</t>
  </si>
  <si>
    <t>5f</t>
  </si>
  <si>
    <t>16M</t>
  </si>
  <si>
    <t>C6D</t>
  </si>
  <si>
    <t>5b</t>
  </si>
  <si>
    <t>10L</t>
  </si>
  <si>
    <t>16C</t>
  </si>
  <si>
    <t>BLF</t>
  </si>
  <si>
    <t>#01B</t>
  </si>
  <si>
    <t>02H</t>
  </si>
  <si>
    <t>Room B AKA Room 2</t>
  </si>
  <si>
    <t>B36</t>
  </si>
  <si>
    <t>k</t>
  </si>
  <si>
    <t>1a</t>
  </si>
  <si>
    <t>K</t>
  </si>
  <si>
    <t>57D</t>
  </si>
  <si>
    <t>D-1</t>
  </si>
  <si>
    <t>15M</t>
  </si>
  <si>
    <t>34D</t>
  </si>
  <si>
    <t>16 J</t>
  </si>
  <si>
    <t>3a</t>
  </si>
  <si>
    <t>15F</t>
  </si>
  <si>
    <t>32D</t>
  </si>
  <si>
    <t>0J</t>
  </si>
  <si>
    <t>House 1</t>
  </si>
  <si>
    <t>9Y</t>
  </si>
  <si>
    <t>02C</t>
  </si>
  <si>
    <t>7-H</t>
  </si>
  <si>
    <t>B11</t>
  </si>
  <si>
    <t>#H</t>
  </si>
  <si>
    <t>#B</t>
  </si>
  <si>
    <t>2EW</t>
  </si>
  <si>
    <t>7-K</t>
  </si>
  <si>
    <t>Unit 1C</t>
  </si>
  <si>
    <t>C5N</t>
  </si>
  <si>
    <t>4BN</t>
  </si>
  <si>
    <t>8i</t>
  </si>
  <si>
    <t>02B</t>
  </si>
  <si>
    <t>Apt. B5</t>
  </si>
  <si>
    <t>5-0</t>
  </si>
  <si>
    <t>41A</t>
  </si>
  <si>
    <t>1 FL.</t>
  </si>
  <si>
    <t>F5</t>
  </si>
  <si>
    <t>13H</t>
  </si>
  <si>
    <t>3 Fl</t>
  </si>
  <si>
    <t>3e</t>
  </si>
  <si>
    <t>Apt 5</t>
  </si>
  <si>
    <t>c15</t>
  </si>
  <si>
    <t>#11G</t>
  </si>
  <si>
    <t>3p</t>
  </si>
  <si>
    <t>#7BG</t>
  </si>
  <si>
    <t>#8E</t>
  </si>
  <si>
    <t>4X</t>
  </si>
  <si>
    <t>14M</t>
  </si>
  <si>
    <t>#4R</t>
  </si>
  <si>
    <t>#3-B</t>
  </si>
  <si>
    <t>22H</t>
  </si>
  <si>
    <t>#3B3</t>
  </si>
  <si>
    <t>#B24</t>
  </si>
  <si>
    <t>#B6</t>
  </si>
  <si>
    <t>#7d</t>
  </si>
  <si>
    <t>Apt 4E</t>
  </si>
  <si>
    <t>A, side 1</t>
  </si>
  <si>
    <t>E8</t>
  </si>
  <si>
    <t>#6B</t>
  </si>
  <si>
    <t>#1-I</t>
  </si>
  <si>
    <t>D2E</t>
  </si>
  <si>
    <t>14K</t>
  </si>
  <si>
    <t>G42</t>
  </si>
  <si>
    <t>5-O</t>
  </si>
  <si>
    <t>06E</t>
  </si>
  <si>
    <t>#4A</t>
  </si>
  <si>
    <t>#L</t>
  </si>
  <si>
    <t>#1J</t>
  </si>
  <si>
    <t>Fist Fl</t>
  </si>
  <si>
    <t>V44</t>
  </si>
  <si>
    <t>5g</t>
  </si>
  <si>
    <t>apt1</t>
  </si>
  <si>
    <t>1FW</t>
  </si>
  <si>
    <t>#3L</t>
  </si>
  <si>
    <t>3d</t>
  </si>
  <si>
    <t>4B-</t>
  </si>
  <si>
    <t>18-H</t>
  </si>
  <si>
    <t>12-E</t>
  </si>
  <si>
    <t>3-C</t>
  </si>
  <si>
    <t>4AF</t>
  </si>
  <si>
    <t>3#</t>
  </si>
  <si>
    <t>B12</t>
  </si>
  <si>
    <t>Apt A</t>
  </si>
  <si>
    <t>3FE</t>
  </si>
  <si>
    <t>3V</t>
  </si>
  <si>
    <t>23F</t>
  </si>
  <si>
    <t>Apt 1W</t>
  </si>
  <si>
    <t>Apt 309</t>
  </si>
  <si>
    <t>H3</t>
  </si>
  <si>
    <t>01K</t>
  </si>
  <si>
    <t>GA</t>
  </si>
  <si>
    <t>2c</t>
  </si>
  <si>
    <t>Apt 33</t>
  </si>
  <si>
    <t>4-1</t>
  </si>
  <si>
    <t>6-1</t>
  </si>
  <si>
    <t>6V</t>
  </si>
  <si>
    <t>12 E</t>
  </si>
  <si>
    <t>#5T</t>
  </si>
  <si>
    <t>1405W</t>
  </si>
  <si>
    <t>C612</t>
  </si>
  <si>
    <t>#20</t>
  </si>
  <si>
    <t>14n</t>
  </si>
  <si>
    <t>1ST Floor</t>
  </si>
  <si>
    <t>A113</t>
  </si>
  <si>
    <t>E306</t>
  </si>
  <si>
    <t>8f</t>
  </si>
  <si>
    <t>10O</t>
  </si>
  <si>
    <t>1st floor apt 3</t>
  </si>
  <si>
    <t>17GA</t>
  </si>
  <si>
    <t>1b</t>
  </si>
  <si>
    <t>D11</t>
  </si>
  <si>
    <t>Apt 1G</t>
  </si>
  <si>
    <t>MA</t>
  </si>
  <si>
    <t>#6J</t>
  </si>
  <si>
    <t>#7D</t>
  </si>
  <si>
    <t>#1B</t>
  </si>
  <si>
    <t>Z21</t>
  </si>
  <si>
    <t>Apt 2E</t>
  </si>
  <si>
    <t>#2L</t>
  </si>
  <si>
    <t>#31</t>
  </si>
  <si>
    <t>#223</t>
  </si>
  <si>
    <t>#3R</t>
  </si>
  <si>
    <t>#20B</t>
  </si>
  <si>
    <t>3 room 1</t>
  </si>
  <si>
    <t>#2E</t>
  </si>
  <si>
    <t>35A</t>
  </si>
  <si>
    <t>E-52</t>
  </si>
  <si>
    <t>18T</t>
  </si>
  <si>
    <t>8J</t>
  </si>
  <si>
    <t>B63</t>
  </si>
  <si>
    <t>B69</t>
  </si>
  <si>
    <t>5-L</t>
  </si>
  <si>
    <t>74B</t>
  </si>
  <si>
    <t>side apartment</t>
  </si>
  <si>
    <t>unit X85B</t>
  </si>
  <si>
    <t>A8</t>
  </si>
  <si>
    <t>2Floor</t>
  </si>
  <si>
    <t>05A</t>
  </si>
  <si>
    <t>6EN</t>
  </si>
  <si>
    <t>GF</t>
  </si>
  <si>
    <t>Apt.1-G</t>
  </si>
  <si>
    <t>52B</t>
  </si>
  <si>
    <t>LL-1</t>
  </si>
  <si>
    <t>15C</t>
  </si>
  <si>
    <t>5BN</t>
  </si>
  <si>
    <t>Apt 6A</t>
  </si>
  <si>
    <t>#7G</t>
  </si>
  <si>
    <t>C42</t>
  </si>
  <si>
    <t>3rd, Floor</t>
  </si>
  <si>
    <t>14j</t>
  </si>
  <si>
    <t>1A South</t>
  </si>
  <si>
    <t>16-E</t>
  </si>
  <si>
    <t>14-C</t>
  </si>
  <si>
    <t>E9</t>
  </si>
  <si>
    <t>2-E</t>
  </si>
  <si>
    <t>C5</t>
  </si>
  <si>
    <t>09F</t>
  </si>
  <si>
    <t>Apt.24B</t>
  </si>
  <si>
    <t>1-i</t>
  </si>
  <si>
    <t>D21</t>
  </si>
  <si>
    <t>Apt C609</t>
  </si>
  <si>
    <t>Apt 1C</t>
  </si>
  <si>
    <t>C-6</t>
  </si>
  <si>
    <t>2b</t>
  </si>
  <si>
    <t>b35</t>
  </si>
  <si>
    <t>#3-A</t>
  </si>
  <si>
    <t>Apt D1</t>
  </si>
  <si>
    <t>B-12</t>
  </si>
  <si>
    <t>6 D</t>
  </si>
  <si>
    <t>21A</t>
  </si>
  <si>
    <t>Basement Back Room</t>
  </si>
  <si>
    <t>Apt 3F</t>
  </si>
  <si>
    <t>13s</t>
  </si>
  <si>
    <t>Apt 12</t>
  </si>
  <si>
    <t>1BS</t>
  </si>
  <si>
    <t>5 I</t>
  </si>
  <si>
    <t>2ND fL</t>
  </si>
  <si>
    <t>Apt 3D</t>
  </si>
  <si>
    <t>R 601</t>
  </si>
  <si>
    <t>10L1</t>
  </si>
  <si>
    <t>Apt. 6B</t>
  </si>
  <si>
    <t>L3</t>
  </si>
  <si>
    <t>2 F</t>
  </si>
  <si>
    <t>21G</t>
  </si>
  <si>
    <t>1AS</t>
  </si>
  <si>
    <t>2-L</t>
  </si>
  <si>
    <t>Private House - Top Floor</t>
  </si>
  <si>
    <t>Apt.1F</t>
  </si>
  <si>
    <t>LH5</t>
  </si>
  <si>
    <t>1St Fl</t>
  </si>
  <si>
    <t>Apt 1 Floor 2</t>
  </si>
  <si>
    <t>Apt 14B</t>
  </si>
  <si>
    <t>18F</t>
  </si>
  <si>
    <t>PHB</t>
  </si>
  <si>
    <t>C 611</t>
  </si>
  <si>
    <t>Apt 7</t>
  </si>
  <si>
    <t>L1-G16</t>
  </si>
  <si>
    <t>3 W</t>
  </si>
  <si>
    <t>2g</t>
  </si>
  <si>
    <t>3Y</t>
  </si>
  <si>
    <t>35 B</t>
  </si>
  <si>
    <t>2n Floor</t>
  </si>
  <si>
    <t>ground floor</t>
  </si>
  <si>
    <t>15J</t>
  </si>
  <si>
    <t>c7</t>
  </si>
  <si>
    <t>3 C</t>
  </si>
  <si>
    <t>H43</t>
  </si>
  <si>
    <t>Apt A4</t>
  </si>
  <si>
    <t>35M</t>
  </si>
  <si>
    <t>Apt 1A</t>
  </si>
  <si>
    <t>54A</t>
  </si>
  <si>
    <t>2 J</t>
  </si>
  <si>
    <t>14T</t>
  </si>
  <si>
    <t>Suite 4H</t>
  </si>
  <si>
    <t>Apt. 6-E</t>
  </si>
  <si>
    <t>9I</t>
  </si>
  <si>
    <t>2RR</t>
  </si>
  <si>
    <t>I51</t>
  </si>
  <si>
    <t>I2</t>
  </si>
  <si>
    <t>J41</t>
  </si>
  <si>
    <t>F21</t>
  </si>
  <si>
    <t>B51</t>
  </si>
  <si>
    <t>G-32</t>
  </si>
  <si>
    <t>F41</t>
  </si>
  <si>
    <t>H41</t>
  </si>
  <si>
    <t>B42</t>
  </si>
  <si>
    <t>4 E</t>
  </si>
  <si>
    <t>Apt 1D</t>
  </si>
  <si>
    <t>B 306</t>
  </si>
  <si>
    <t>01G</t>
  </si>
  <si>
    <t>4l</t>
  </si>
  <si>
    <t>31E</t>
  </si>
  <si>
    <t>11B1</t>
  </si>
  <si>
    <t>2-R</t>
  </si>
  <si>
    <t>21b</t>
  </si>
  <si>
    <t>1 St Floor</t>
  </si>
  <si>
    <t>Apt. B6</t>
  </si>
  <si>
    <t>C-8</t>
  </si>
  <si>
    <t>RC3</t>
  </si>
  <si>
    <t>Apt A6</t>
  </si>
  <si>
    <t>52C</t>
  </si>
  <si>
    <t>E3A1</t>
  </si>
  <si>
    <t>Apt # 2B</t>
  </si>
  <si>
    <t>3 D</t>
  </si>
  <si>
    <t>Apt. 3-A</t>
  </si>
  <si>
    <t>13S</t>
  </si>
  <si>
    <t>B8</t>
  </si>
  <si>
    <t>#A3</t>
  </si>
  <si>
    <t>42 - 4th fl</t>
  </si>
  <si>
    <t>P3</t>
  </si>
  <si>
    <t>BF</t>
  </si>
  <si>
    <t># 3</t>
  </si>
  <si>
    <t>7 I</t>
  </si>
  <si>
    <t>5DS</t>
  </si>
  <si>
    <t>3rd Floor C</t>
  </si>
  <si>
    <t>D10G</t>
  </si>
  <si>
    <t>3 fl</t>
  </si>
  <si>
    <t>5f4</t>
  </si>
  <si>
    <t>00C</t>
  </si>
  <si>
    <t>A basement</t>
  </si>
  <si>
    <t>11-E</t>
  </si>
  <si>
    <t>Apt 2D</t>
  </si>
  <si>
    <t>Apt 7A</t>
  </si>
  <si>
    <t>Apt. C22</t>
  </si>
  <si>
    <t>26K</t>
  </si>
  <si>
    <t>4r</t>
  </si>
  <si>
    <t>private house</t>
  </si>
  <si>
    <t>#511</t>
  </si>
  <si>
    <t>The Radison Annex of the Van Siclen Women's Shelter</t>
  </si>
  <si>
    <t>apt 2</t>
  </si>
  <si>
    <t>A-5</t>
  </si>
  <si>
    <t>entire house</t>
  </si>
  <si>
    <t>FL 2</t>
  </si>
  <si>
    <t>Upper unit</t>
  </si>
  <si>
    <t>B43</t>
  </si>
  <si>
    <t>5X</t>
  </si>
  <si>
    <t>29J</t>
  </si>
  <si>
    <t>T24</t>
  </si>
  <si>
    <t>Apt 16D</t>
  </si>
  <si>
    <t>Apt 3K</t>
  </si>
  <si>
    <t>E44</t>
  </si>
  <si>
    <t>3f</t>
  </si>
  <si>
    <t>1CP</t>
  </si>
  <si>
    <t>B45</t>
  </si>
  <si>
    <t>Apt.36B</t>
  </si>
  <si>
    <t>R602</t>
  </si>
  <si>
    <t>5th Fl O</t>
  </si>
  <si>
    <t>15A</t>
  </si>
  <si>
    <t>1FL Left side back</t>
  </si>
  <si>
    <t>d4</t>
  </si>
  <si>
    <t>74D</t>
  </si>
  <si>
    <t>610D</t>
  </si>
  <si>
    <t>Apt 8B</t>
  </si>
  <si>
    <t>5c</t>
  </si>
  <si>
    <t>2nd fl rm 3</t>
  </si>
  <si>
    <t>A324</t>
  </si>
  <si>
    <t>Apt. 5D</t>
  </si>
  <si>
    <t>A13</t>
  </si>
  <si>
    <t>6B1</t>
  </si>
  <si>
    <t>B509</t>
  </si>
  <si>
    <t>5 F</t>
  </si>
  <si>
    <t>11O</t>
  </si>
  <si>
    <t>Cc6</t>
  </si>
  <si>
    <t>Apt 6V</t>
  </si>
  <si>
    <t>Apt. 6L</t>
  </si>
  <si>
    <t>Apt 2B</t>
  </si>
  <si>
    <t>Apt 6E</t>
  </si>
  <si>
    <t># 6 B</t>
  </si>
  <si>
    <t>Apt. 10A</t>
  </si>
  <si>
    <t>B 33</t>
  </si>
  <si>
    <t>Apt 2A</t>
  </si>
  <si>
    <t>Apt. D62</t>
  </si>
  <si>
    <t>3i</t>
  </si>
  <si>
    <t>Apt 26</t>
  </si>
  <si>
    <t>6f</t>
  </si>
  <si>
    <t>20J</t>
  </si>
  <si>
    <t>Apt 5D</t>
  </si>
  <si>
    <t>18I</t>
  </si>
  <si>
    <t>G1</t>
  </si>
  <si>
    <t>#43B</t>
  </si>
  <si>
    <t>C28</t>
  </si>
  <si>
    <t>6O</t>
  </si>
  <si>
    <t>C53</t>
  </si>
  <si>
    <t>Box 7</t>
  </si>
  <si>
    <t>Apartment 6B</t>
  </si>
  <si>
    <t>18 J</t>
  </si>
  <si>
    <t>4FA</t>
  </si>
  <si>
    <t>EE</t>
  </si>
  <si>
    <t>4F/G</t>
  </si>
  <si>
    <t>5 L</t>
  </si>
  <si>
    <t>1 Rear</t>
  </si>
  <si>
    <t>C103</t>
  </si>
  <si>
    <t>9 G</t>
  </si>
  <si>
    <t>Apt. 5F</t>
  </si>
  <si>
    <t>bment</t>
  </si>
  <si>
    <t>12 L</t>
  </si>
  <si>
    <t>9 E</t>
  </si>
  <si>
    <t>Apt 7Y</t>
  </si>
  <si>
    <t>Apt 1R</t>
  </si>
  <si>
    <t>apt. 26</t>
  </si>
  <si>
    <t>45C</t>
  </si>
  <si>
    <t>Apt C4</t>
  </si>
  <si>
    <t>WI</t>
  </si>
  <si>
    <t>Apt C</t>
  </si>
  <si>
    <t>M703</t>
  </si>
  <si>
    <t>8-4005</t>
  </si>
  <si>
    <t>1FN</t>
  </si>
  <si>
    <t>3AW</t>
  </si>
  <si>
    <t>B6M</t>
  </si>
  <si>
    <t>C48</t>
  </si>
  <si>
    <t>11-0</t>
  </si>
  <si>
    <t>15L</t>
  </si>
  <si>
    <t>top floor</t>
  </si>
  <si>
    <t>GB</t>
  </si>
  <si>
    <t>g2</t>
  </si>
  <si>
    <t>B82</t>
  </si>
  <si>
    <t>#4H</t>
  </si>
  <si>
    <t>#18H</t>
  </si>
  <si>
    <t>1-WN</t>
  </si>
  <si>
    <t>WCD</t>
  </si>
  <si>
    <t>C209</t>
  </si>
  <si>
    <t>A22</t>
  </si>
  <si>
    <t>4 I</t>
  </si>
  <si>
    <t>Upper Fl</t>
  </si>
  <si>
    <t>2 G</t>
  </si>
  <si>
    <t>12B5</t>
  </si>
  <si>
    <t>63B</t>
  </si>
  <si>
    <t>4k</t>
  </si>
  <si>
    <t>1 R</t>
  </si>
  <si>
    <t>Apt 50</t>
  </si>
  <si>
    <t>R2</t>
  </si>
  <si>
    <t>8C (THIRD FLOOR)</t>
  </si>
  <si>
    <t>Apt 6L</t>
  </si>
  <si>
    <t>4Q</t>
  </si>
  <si>
    <t>2-2</t>
  </si>
  <si>
    <t>Apt 1-V</t>
  </si>
  <si>
    <t>3 A</t>
  </si>
  <si>
    <t>A307</t>
  </si>
  <si>
    <t>2 R</t>
  </si>
  <si>
    <t>#2R</t>
  </si>
  <si>
    <t>6ST</t>
  </si>
  <si>
    <t>Apt 330</t>
  </si>
  <si>
    <t>6 E</t>
  </si>
  <si>
    <t>25A</t>
  </si>
  <si>
    <t>15 E</t>
  </si>
  <si>
    <t>5h</t>
  </si>
  <si>
    <t>8N</t>
  </si>
  <si>
    <t># 3C</t>
  </si>
  <si>
    <t>Apt 19F</t>
  </si>
  <si>
    <t>44L</t>
  </si>
  <si>
    <t>1A1</t>
  </si>
  <si>
    <t>D23</t>
  </si>
  <si>
    <t>back entrance</t>
  </si>
  <si>
    <t>Room 1</t>
  </si>
  <si>
    <t>9h</t>
  </si>
  <si>
    <t>Apt 16H</t>
  </si>
  <si>
    <t>2-O</t>
  </si>
  <si>
    <t>#18C</t>
  </si>
  <si>
    <t>4DN</t>
  </si>
  <si>
    <t>Apt 6O</t>
  </si>
  <si>
    <t>29E</t>
  </si>
  <si>
    <t>Apt 3G</t>
  </si>
  <si>
    <t>32B</t>
  </si>
  <si>
    <t>26F</t>
  </si>
  <si>
    <t>1-3</t>
  </si>
  <si>
    <t>1St Floor</t>
  </si>
  <si>
    <t>06D</t>
  </si>
  <si>
    <t>F12</t>
  </si>
  <si>
    <t>Apt 307</t>
  </si>
  <si>
    <t>314W</t>
  </si>
  <si>
    <t>3EW</t>
  </si>
  <si>
    <t>32F</t>
  </si>
  <si>
    <t>GC</t>
  </si>
  <si>
    <t>G31</t>
  </si>
  <si>
    <t>N54</t>
  </si>
  <si>
    <t>Apt. 511</t>
  </si>
  <si>
    <t>Gr. Front 100M</t>
  </si>
  <si>
    <t>b3</t>
  </si>
  <si>
    <t>#5D</t>
  </si>
  <si>
    <t>Private house</t>
  </si>
  <si>
    <t>4 D</t>
  </si>
  <si>
    <t>D5C</t>
  </si>
  <si>
    <t>Privat house</t>
  </si>
  <si>
    <t>7c4</t>
  </si>
  <si>
    <t>7h</t>
  </si>
  <si>
    <t>B103</t>
  </si>
  <si>
    <t>#16B</t>
  </si>
  <si>
    <t>#12G</t>
  </si>
  <si>
    <t>#10H</t>
  </si>
  <si>
    <t>BW</t>
  </si>
  <si>
    <t>2-0</t>
  </si>
  <si>
    <t>2h</t>
  </si>
  <si>
    <t>3k</t>
  </si>
  <si>
    <t>Apt 7G</t>
  </si>
  <si>
    <t>3rd Fl.</t>
  </si>
  <si>
    <t>19H</t>
  </si>
  <si>
    <t>Apt 7N</t>
  </si>
  <si>
    <t>Apt 3J</t>
  </si>
  <si>
    <t>Apt 1J</t>
  </si>
  <si>
    <t>Room A201-2</t>
  </si>
  <si>
    <t>Apt. 1; 1st Floor</t>
  </si>
  <si>
    <t>331E</t>
  </si>
  <si>
    <t>205W</t>
  </si>
  <si>
    <t>211W</t>
  </si>
  <si>
    <t>321E</t>
  </si>
  <si>
    <t>413E</t>
  </si>
  <si>
    <t>206W</t>
  </si>
  <si>
    <t>115E</t>
  </si>
  <si>
    <t>204W</t>
  </si>
  <si>
    <t>Bronx</t>
  </si>
  <si>
    <t>New York</t>
  </si>
  <si>
    <t>Brooklyn</t>
  </si>
  <si>
    <t>bronx</t>
  </si>
  <si>
    <t>S Richmond Hl</t>
  </si>
  <si>
    <t>Kew Gardens</t>
  </si>
  <si>
    <t>Far Rockaway</t>
  </si>
  <si>
    <t>Ridgewood</t>
  </si>
  <si>
    <t>Flushing</t>
  </si>
  <si>
    <t>Jamaica</t>
  </si>
  <si>
    <t>Staten Island</t>
  </si>
  <si>
    <t>BRONX</t>
  </si>
  <si>
    <t>Woodhaven</t>
  </si>
  <si>
    <t>Arverne</t>
  </si>
  <si>
    <t>Elmhurst</t>
  </si>
  <si>
    <t>Woodside</t>
  </si>
  <si>
    <t>Cambria Hts</t>
  </si>
  <si>
    <t>Long Is City</t>
  </si>
  <si>
    <t>S Ozone Park</t>
  </si>
  <si>
    <t>Forest Hills</t>
  </si>
  <si>
    <t>Rego Park</t>
  </si>
  <si>
    <t>Astoria</t>
  </si>
  <si>
    <t>Sunnyside</t>
  </si>
  <si>
    <t>Jackson Hts</t>
  </si>
  <si>
    <t>Rockaway Bch</t>
  </si>
  <si>
    <t>College Point</t>
  </si>
  <si>
    <t>Ozone Park</t>
  </si>
  <si>
    <t>Queens Vlg</t>
  </si>
  <si>
    <t>East Elmhurst</t>
  </si>
  <si>
    <t>Bellerose</t>
  </si>
  <si>
    <t>Rockaway Park</t>
  </si>
  <si>
    <t>Richmond Hill</t>
  </si>
  <si>
    <t>Cambria Heights</t>
  </si>
  <si>
    <t>Whitestone</t>
  </si>
  <si>
    <t>Maspeth</t>
  </si>
  <si>
    <t>South Richmond Hill</t>
  </si>
  <si>
    <t>Fresh Meadows</t>
  </si>
  <si>
    <t>Middle Vlg</t>
  </si>
  <si>
    <t>Laurelton</t>
  </si>
  <si>
    <t>Saint Albans</t>
  </si>
  <si>
    <t>Glendale</t>
  </si>
  <si>
    <t>Rosedale</t>
  </si>
  <si>
    <t>Sprngfld Gdns</t>
  </si>
  <si>
    <t>Oakland Gdns</t>
  </si>
  <si>
    <t>Bayside</t>
  </si>
  <si>
    <t>BROOKLYN</t>
  </si>
  <si>
    <t>ASTORIA</t>
  </si>
  <si>
    <t>Hollis</t>
  </si>
  <si>
    <t>Springfield Gardens</t>
  </si>
  <si>
    <t>Queens Village</t>
  </si>
  <si>
    <t>Long Island City</t>
  </si>
  <si>
    <t>Howard Beach</t>
  </si>
  <si>
    <t>Floral Park</t>
  </si>
  <si>
    <t>NEW YORK</t>
  </si>
  <si>
    <t>Jackson Heights</t>
  </si>
  <si>
    <t>RIDGEWOOD</t>
  </si>
  <si>
    <t>Little Neck</t>
  </si>
  <si>
    <t>brooklyn</t>
  </si>
  <si>
    <t>Freeport</t>
  </si>
  <si>
    <t>JAMAICA</t>
  </si>
  <si>
    <t>6rooklyn</t>
  </si>
  <si>
    <t>Glen Oaks</t>
  </si>
  <si>
    <t>South Ozone Park</t>
  </si>
  <si>
    <t>Broad Channel</t>
  </si>
  <si>
    <t>Staten Islandstaten island</t>
  </si>
  <si>
    <t>Metuchen</t>
  </si>
  <si>
    <t>Yes</t>
  </si>
  <si>
    <t>No</t>
  </si>
  <si>
    <t xml:space="preserve"> </t>
  </si>
  <si>
    <t>LT-068991-15/BX</t>
  </si>
  <si>
    <t>LT-073565-15/BX</t>
  </si>
  <si>
    <t>816188-AN-2015</t>
  </si>
  <si>
    <t>LT-071079-15/BX</t>
  </si>
  <si>
    <t>LT-046932-15/BX</t>
  </si>
  <si>
    <t>LT-016857-16/BX</t>
  </si>
  <si>
    <t>LT-037314-16/BX</t>
  </si>
  <si>
    <t>LT-017280-16/BX</t>
  </si>
  <si>
    <t>LT-805778-16/BX</t>
  </si>
  <si>
    <t>LT-029985-16/BX</t>
  </si>
  <si>
    <t>LT-033774-09/BX</t>
  </si>
  <si>
    <t>LT-076035-16/NY</t>
  </si>
  <si>
    <t>EO-610003-B</t>
  </si>
  <si>
    <t>LT-004095-17/BX</t>
  </si>
  <si>
    <t>763739-TD-2014</t>
  </si>
  <si>
    <t>LT-024418-17/BX</t>
  </si>
  <si>
    <t>LT-000493-17/BX</t>
  </si>
  <si>
    <t>LT-025144-17/BX</t>
  </si>
  <si>
    <t>LT-001322-17/BX</t>
  </si>
  <si>
    <t>063613-17/NY</t>
  </si>
  <si>
    <t>LT-032747-17/BX</t>
  </si>
  <si>
    <t>LT-031150-17/BX</t>
  </si>
  <si>
    <t>LT-027866-17/BX</t>
  </si>
  <si>
    <t>LT-032390-17/BX</t>
  </si>
  <si>
    <t>LT-030708-17/BX</t>
  </si>
  <si>
    <t>LT-031364-17/BX</t>
  </si>
  <si>
    <t>LT-033155-17/BX</t>
  </si>
  <si>
    <t>LT-451656-17/NY</t>
  </si>
  <si>
    <t>LT-022670-17/BX</t>
  </si>
  <si>
    <t>FO-610005-RO</t>
  </si>
  <si>
    <t>LT-064760-17/NY</t>
  </si>
  <si>
    <t>LT-000032-18/BX</t>
  </si>
  <si>
    <t>No case</t>
  </si>
  <si>
    <t>LT-056336-18/NY</t>
  </si>
  <si>
    <t>LT-021520-18/BX</t>
  </si>
  <si>
    <t>LT-025690-17/BX</t>
  </si>
  <si>
    <t>No Case</t>
  </si>
  <si>
    <t>LT-011571-18/BX</t>
  </si>
  <si>
    <t>LT-021879-18/BX</t>
  </si>
  <si>
    <t>LT-024395-18/BX</t>
  </si>
  <si>
    <t>LT-54649-18/KI</t>
  </si>
  <si>
    <t>LT-059123-18/QU</t>
  </si>
  <si>
    <t>LT-025024-18/BX</t>
  </si>
  <si>
    <t>LT-053943-18/NY</t>
  </si>
  <si>
    <t>LT-808176-17/BX</t>
  </si>
  <si>
    <t>LT-018798-18/BX</t>
  </si>
  <si>
    <t>LT-069860-17/NY</t>
  </si>
  <si>
    <t>LT-062692-18/NY</t>
  </si>
  <si>
    <t>LT-057603-17/BX</t>
  </si>
  <si>
    <t>LT-081808-17/NY</t>
  </si>
  <si>
    <t>LT-076631-17/NY</t>
  </si>
  <si>
    <t>LT-030180-18/BX</t>
  </si>
  <si>
    <t>LT-062500-18/QU</t>
  </si>
  <si>
    <t>LT-011207-18/BX</t>
  </si>
  <si>
    <t>LT-082354-17/NY</t>
  </si>
  <si>
    <t>LT-013038-18/NY</t>
  </si>
  <si>
    <t>LT-062540-18/QU</t>
  </si>
  <si>
    <t>LT-063661-18/QU</t>
  </si>
  <si>
    <t>LT-055945-18/QU</t>
  </si>
  <si>
    <t>LT-028079-18/BX</t>
  </si>
  <si>
    <t>LT-014341-18/NY</t>
  </si>
  <si>
    <t>LT-054683-18/NY</t>
  </si>
  <si>
    <t>LT-062937-18/NY</t>
  </si>
  <si>
    <t>LT-056918-18/QU</t>
  </si>
  <si>
    <t>LT-012389-18/QU</t>
  </si>
  <si>
    <t>LT-076284-18/QU</t>
  </si>
  <si>
    <t>FX210021B</t>
  </si>
  <si>
    <t>LT-809015-13/BX</t>
  </si>
  <si>
    <t>LT-089318-17/KI</t>
  </si>
  <si>
    <t>LT-033146-18/BX</t>
  </si>
  <si>
    <t>LT-051621-18/RI</t>
  </si>
  <si>
    <t>LT-072210-18/KI</t>
  </si>
  <si>
    <t>LT-003517-18/BX</t>
  </si>
  <si>
    <t>LT-051836-18/RI</t>
  </si>
  <si>
    <t>LT-059148-17/BX</t>
  </si>
  <si>
    <t>LT-050386-18/BX</t>
  </si>
  <si>
    <t>no case</t>
  </si>
  <si>
    <t>LT-051512-18/RI</t>
  </si>
  <si>
    <t>LT-030269-18/BX</t>
  </si>
  <si>
    <t>LT-061790-18/QU</t>
  </si>
  <si>
    <t>LT-070043-18/KI</t>
  </si>
  <si>
    <t>LT-030557-17/BX</t>
  </si>
  <si>
    <t>LT-031264-17/BX</t>
  </si>
  <si>
    <t>LT-054574-18/QU</t>
  </si>
  <si>
    <t>none</t>
  </si>
  <si>
    <t>LT-071779-18/KI</t>
  </si>
  <si>
    <t>LT-057344-18/QU</t>
  </si>
  <si>
    <t>LT-063779-18/QU</t>
  </si>
  <si>
    <t>LT-062875-18/QU</t>
  </si>
  <si>
    <t>LT-064080-18/QU</t>
  </si>
  <si>
    <t>LT-060414-18/QU</t>
  </si>
  <si>
    <t>LT-059904-18/QU</t>
  </si>
  <si>
    <t>LT-051858-18/RI</t>
  </si>
  <si>
    <t>LT-059928-18/QU</t>
  </si>
  <si>
    <t>LT-056475-18/QU</t>
  </si>
  <si>
    <t>LT-062615-18/QU</t>
  </si>
  <si>
    <t>LT-063850-18/QU</t>
  </si>
  <si>
    <t>LT-006163-18/NY</t>
  </si>
  <si>
    <t>LT-033911-18/BX</t>
  </si>
  <si>
    <t>LT-061510-18/QU</t>
  </si>
  <si>
    <t>LT-000838-18/KI</t>
  </si>
  <si>
    <t>GR-210054-S</t>
  </si>
  <si>
    <t>LT-033966-17/BX</t>
  </si>
  <si>
    <t>LT-067042-18/KI</t>
  </si>
  <si>
    <t>LT-051718-18/RI</t>
  </si>
  <si>
    <t>LT-074989-17/BX</t>
  </si>
  <si>
    <t>LT-78626-18/NY</t>
  </si>
  <si>
    <t>LT-056393-18/BX</t>
  </si>
  <si>
    <t>LT-017152-18/BX</t>
  </si>
  <si>
    <t>LT-012121-18/QU</t>
  </si>
  <si>
    <t>LT-072115-18/KI</t>
  </si>
  <si>
    <t>LT-089097-17/KI</t>
  </si>
  <si>
    <t>LT-002370-17/KI</t>
  </si>
  <si>
    <t>LT-015001-17/KI</t>
  </si>
  <si>
    <t>LT-99996-16/KI</t>
  </si>
  <si>
    <t>LT-072426-18/KI</t>
  </si>
  <si>
    <t>LT-071780-18/KI</t>
  </si>
  <si>
    <t>LT-051761-18/RI</t>
  </si>
  <si>
    <t>NONE</t>
  </si>
  <si>
    <t>LT-051611-18/RI</t>
  </si>
  <si>
    <t>LT-051095-18/RI</t>
  </si>
  <si>
    <t>LT-077764-18/KI</t>
  </si>
  <si>
    <t>LT-061420-18/NY</t>
  </si>
  <si>
    <t>LT-028444-18/BX</t>
  </si>
  <si>
    <t>LT-064728-18/QU</t>
  </si>
  <si>
    <t>LT-057981-18/QU</t>
  </si>
  <si>
    <t>LT-063963-18/QU</t>
  </si>
  <si>
    <t>LT-063928-18/QU</t>
  </si>
  <si>
    <t>LT-064014-18/QU</t>
  </si>
  <si>
    <t>LT-061872-18/QU</t>
  </si>
  <si>
    <t>LT-074714-16/BX</t>
  </si>
  <si>
    <t>LT-51670-18/RI</t>
  </si>
  <si>
    <t>LT-021423-17/KI</t>
  </si>
  <si>
    <t>LT-064034-18/QU</t>
  </si>
  <si>
    <t>LT-059830-18/QU</t>
  </si>
  <si>
    <t>LT-032468-18/BX</t>
  </si>
  <si>
    <t>LT-71311-18/KI</t>
  </si>
  <si>
    <t>LT-050811-17/BX</t>
  </si>
  <si>
    <t>LT-072211-18/KI</t>
  </si>
  <si>
    <t>LT-058760-18/QU</t>
  </si>
  <si>
    <t>LT-064508-18/QU</t>
  </si>
  <si>
    <t>LT-012208-18/QU</t>
  </si>
  <si>
    <t>LT-070698-18/KI</t>
  </si>
  <si>
    <t>LT-009456-18/BX</t>
  </si>
  <si>
    <t>LT-034564-18/BX</t>
  </si>
  <si>
    <t>LT-031271-18/BX</t>
  </si>
  <si>
    <t>LT-034340-18/BX</t>
  </si>
  <si>
    <t>LT-059923-16/QU</t>
  </si>
  <si>
    <t>LT-050711-18/QU</t>
  </si>
  <si>
    <t>LT-063848-18/QU</t>
  </si>
  <si>
    <t>LT-025258-18/BX</t>
  </si>
  <si>
    <t>LT-064368-18/QU</t>
  </si>
  <si>
    <t>LT-064513-18/QU</t>
  </si>
  <si>
    <t>LT-056673-18/QU</t>
  </si>
  <si>
    <t>LT-076351-17/QU</t>
  </si>
  <si>
    <t>LT-1595-18/QU</t>
  </si>
  <si>
    <t>LT-058982-18/QU</t>
  </si>
  <si>
    <t>LT-50896-18/RI</t>
  </si>
  <si>
    <t>LT-250862-18/NY</t>
  </si>
  <si>
    <t>LT-251009-18/NY</t>
  </si>
  <si>
    <t>LT-012281-18/QU</t>
  </si>
  <si>
    <t>LT-051717-18/RI</t>
  </si>
  <si>
    <t>LT-251111-18/NY</t>
  </si>
  <si>
    <t>LT-033654-18/BX</t>
  </si>
  <si>
    <t>LT-065576-17/BX</t>
  </si>
  <si>
    <t>LT-004868-18/BX</t>
  </si>
  <si>
    <t>LT-044890-17/BX</t>
  </si>
  <si>
    <t>LT-063376-18/QU</t>
  </si>
  <si>
    <t>LT-072629-17/KI</t>
  </si>
  <si>
    <t>LT-070327-18/KI</t>
  </si>
  <si>
    <t>LT-000140-17/RI</t>
  </si>
  <si>
    <t>LT-151719-17/RI</t>
  </si>
  <si>
    <t>LT-001252-17/BX</t>
  </si>
  <si>
    <t>LT-035369-17/BX</t>
  </si>
  <si>
    <t>LT-021619-18/BX</t>
  </si>
  <si>
    <t>LT-050072-16/NY</t>
  </si>
  <si>
    <t>LT-051904-18/RI</t>
  </si>
  <si>
    <t>LT-034361-18/BX</t>
  </si>
  <si>
    <t>LT-80514-17/NY</t>
  </si>
  <si>
    <t>LT-051928-18/RI</t>
  </si>
  <si>
    <t>LT-056575-18/NY</t>
  </si>
  <si>
    <t>855539-TD-2017</t>
  </si>
  <si>
    <t>LT-010514-18/NY</t>
  </si>
  <si>
    <t>LT-065414-18/NY</t>
  </si>
  <si>
    <t xml:space="preserve">LT-085567-18/KI </t>
  </si>
  <si>
    <t>LT-071723-18/KI</t>
  </si>
  <si>
    <t>LT-033553-18/BX</t>
  </si>
  <si>
    <t>LT-059882-18/NY</t>
  </si>
  <si>
    <t>LT-051888-18/RI</t>
  </si>
  <si>
    <t>LT-062124-18/NY</t>
  </si>
  <si>
    <t>LT-065731-17/BX</t>
  </si>
  <si>
    <t>LT-017125-18/BX</t>
  </si>
  <si>
    <t>LT-002127-18/BX</t>
  </si>
  <si>
    <t>LT-064481-18/NY</t>
  </si>
  <si>
    <t>LT-051279-18/RI</t>
  </si>
  <si>
    <t>LT-051876-18/RI</t>
  </si>
  <si>
    <t>LT-064219-18/QU</t>
  </si>
  <si>
    <t>LT-073300-18//KI</t>
  </si>
  <si>
    <t>LT-066046-18/NY</t>
  </si>
  <si>
    <t>LT-065742-18/NY</t>
  </si>
  <si>
    <t>LT-035091-18/BX</t>
  </si>
  <si>
    <t>LT-034006-18/BX</t>
  </si>
  <si>
    <t>LT-070046-18/KI</t>
  </si>
  <si>
    <t>LT-018762-17/NY</t>
  </si>
  <si>
    <t>LT-012964-18/BX</t>
  </si>
  <si>
    <t>LT-065051-18/NY</t>
  </si>
  <si>
    <t>LT-66608-18/QU</t>
  </si>
  <si>
    <t>LT-066044-18/NY</t>
  </si>
  <si>
    <t>LT-011483-18/NY</t>
  </si>
  <si>
    <t>LT-001071-18/QU</t>
  </si>
  <si>
    <t>LT-519412-18/RI</t>
  </si>
  <si>
    <t>LT-051914-18/RI</t>
  </si>
  <si>
    <t>LT-036338-17/BX</t>
  </si>
  <si>
    <t>LT-069332-18/KI</t>
  </si>
  <si>
    <t>LT-060946-18/NY</t>
  </si>
  <si>
    <t>LT-065185-18/NY</t>
  </si>
  <si>
    <t>LT-065045-18/NY</t>
  </si>
  <si>
    <t>LT-051960-18/RI</t>
  </si>
  <si>
    <t>LT-010707-18/RI</t>
  </si>
  <si>
    <t>LT-010549-18/RI</t>
  </si>
  <si>
    <t>LT-064020-18/QU</t>
  </si>
  <si>
    <t>LT-064556-18/QU</t>
  </si>
  <si>
    <t>LT-050510-18/QU</t>
  </si>
  <si>
    <t>LT-064367-18/QU</t>
  </si>
  <si>
    <t>LT-010694-18/RI</t>
  </si>
  <si>
    <t>LT-010706-18/RI</t>
  </si>
  <si>
    <t>LT-010697-18/RI</t>
  </si>
  <si>
    <t>LT-51910-18/RI</t>
  </si>
  <si>
    <t>LT-010556-18/RI</t>
  </si>
  <si>
    <t>LT-010705-18/RI</t>
  </si>
  <si>
    <t>LT-065085-18/NY</t>
  </si>
  <si>
    <t>LT-063812-18/QU</t>
  </si>
  <si>
    <t>LT-012263-18/QU</t>
  </si>
  <si>
    <t>LT-064628-18/QU</t>
  </si>
  <si>
    <t>LT-064292-18/QU</t>
  </si>
  <si>
    <t>LT-064650-18/QU</t>
  </si>
  <si>
    <t>LT-065291-18/NY</t>
  </si>
  <si>
    <t>LT-065331-18/NY</t>
  </si>
  <si>
    <t>LT-065094-18/NY</t>
  </si>
  <si>
    <t>LT-073040-18/KI</t>
  </si>
  <si>
    <t>LT-061771-18/QU</t>
  </si>
  <si>
    <t>LT-029504-18/BX</t>
  </si>
  <si>
    <t>73981-18</t>
  </si>
  <si>
    <t>LT-073257-17/QU</t>
  </si>
  <si>
    <t>LT-063693-18/QU</t>
  </si>
  <si>
    <t>LT-064625-18/QU</t>
  </si>
  <si>
    <t>LT-035467-17/BX</t>
  </si>
  <si>
    <t>LT-023593-14/BX</t>
  </si>
  <si>
    <t>LT-024391-18/BX</t>
  </si>
  <si>
    <t>LT-034759-18/BX</t>
  </si>
  <si>
    <t>LT-034060-18/BX</t>
  </si>
  <si>
    <t>LT-059892-18/KI</t>
  </si>
  <si>
    <t>LT-068588-18/KI</t>
  </si>
  <si>
    <t>LT-059987-18/QU</t>
  </si>
  <si>
    <t>LT-071865-17/QU</t>
  </si>
  <si>
    <t>LT-063179-18/QU</t>
  </si>
  <si>
    <t>LT-077120-17/NY</t>
  </si>
  <si>
    <t>LT-054378-17/BX</t>
  </si>
  <si>
    <t>LT-064727-18/QU</t>
  </si>
  <si>
    <t>LT-034579-18/BX</t>
  </si>
  <si>
    <t>LT-034033-18/BX</t>
  </si>
  <si>
    <t>LT-002259-18/BX</t>
  </si>
  <si>
    <t>LT-033952-18/BX</t>
  </si>
  <si>
    <t>LT-064509-18/QU</t>
  </si>
  <si>
    <t>LT-053240-17/RI</t>
  </si>
  <si>
    <t>LT-052141-18/RI</t>
  </si>
  <si>
    <t>LT-072388-18/KI</t>
  </si>
  <si>
    <t>LT-072185-17/BX</t>
  </si>
  <si>
    <t>LT-034728-18/BX</t>
  </si>
  <si>
    <t>LT-032410-18/BX</t>
  </si>
  <si>
    <t>LT-060948-18/QU</t>
  </si>
  <si>
    <t>LT-054156-18/QU</t>
  </si>
  <si>
    <t>LT-065095-18/QU</t>
  </si>
  <si>
    <t>LT-065080-18/QU</t>
  </si>
  <si>
    <t>LT-064647-18/QU</t>
  </si>
  <si>
    <t>LT-061657-18/QU</t>
  </si>
  <si>
    <t>LT-806158-18/BX</t>
  </si>
  <si>
    <t>LT-059047-18/NY</t>
  </si>
  <si>
    <t>LT-060331-18/NY</t>
  </si>
  <si>
    <t>LT-015305-18/NY</t>
  </si>
  <si>
    <t>LT-056702-18/NY</t>
  </si>
  <si>
    <t>LT-035691-18/BX</t>
  </si>
  <si>
    <t>LT-033882-18/BX</t>
  </si>
  <si>
    <t>LT-065081-18/QU</t>
  </si>
  <si>
    <t>LT-063754-18/QU</t>
  </si>
  <si>
    <t>LT-058989-18/QU</t>
  </si>
  <si>
    <t>LT-066171-18/NY</t>
  </si>
  <si>
    <t>LT-032478-18/BX</t>
  </si>
  <si>
    <t>LT-65097-18/QU</t>
  </si>
  <si>
    <t>LT-1393-18/NY</t>
  </si>
  <si>
    <t>LT-051264-17/RI</t>
  </si>
  <si>
    <t>LT-011875-17/BX</t>
  </si>
  <si>
    <t>LT-062738-18/NY</t>
  </si>
  <si>
    <t>LT-251035-18/NY</t>
  </si>
  <si>
    <t>LT-079547-17/NY</t>
  </si>
  <si>
    <t>LT-056215-18/KI</t>
  </si>
  <si>
    <t>LT-059877-18/QU</t>
  </si>
  <si>
    <t>LT-029758-18/BX</t>
  </si>
  <si>
    <t>LT-051366-18/RI</t>
  </si>
  <si>
    <t>LT-050230-18/RI</t>
  </si>
  <si>
    <t>LT-015125-18/NY</t>
  </si>
  <si>
    <t>LT-051504-17/BX</t>
  </si>
  <si>
    <t>LT-021846-18/BX</t>
  </si>
  <si>
    <t>LT-079337-17/KI</t>
  </si>
  <si>
    <t>LT-032052-18/BX</t>
  </si>
  <si>
    <t>LT-064917-18/NY</t>
  </si>
  <si>
    <t>LT-062635-18/NY</t>
  </si>
  <si>
    <t>LT-876902-17/NY</t>
  </si>
  <si>
    <t>LT-051902-18/RI</t>
  </si>
  <si>
    <t>LT-051948-18/RI</t>
  </si>
  <si>
    <t>LT-064228-18/NY</t>
  </si>
  <si>
    <t>LT-058478-18/NY</t>
  </si>
  <si>
    <t>LT-064653-18/NY</t>
  </si>
  <si>
    <t>LT-028034-18/BX</t>
  </si>
  <si>
    <t>LT-070101-18/KI</t>
  </si>
  <si>
    <t>LT-77778-17/KI</t>
  </si>
  <si>
    <t>LT-028775-18/BX</t>
  </si>
  <si>
    <t>LT-081008-17/KI</t>
  </si>
  <si>
    <t>LT-041147-17/BX</t>
  </si>
  <si>
    <t>LT-903617-18/RI</t>
  </si>
  <si>
    <t>LT-071803-18/KI</t>
  </si>
  <si>
    <t>LT-061756-18/NY</t>
  </si>
  <si>
    <t>LT-064444-18/NY</t>
  </si>
  <si>
    <t>LT-036068-18/BX</t>
  </si>
  <si>
    <t>LT-034084-18/BX</t>
  </si>
  <si>
    <t>LT-032264-18/BX</t>
  </si>
  <si>
    <t>LT-032498-18/BX</t>
  </si>
  <si>
    <t>LT-72950-18/KI</t>
  </si>
  <si>
    <t>LT-070844-18/KI</t>
  </si>
  <si>
    <t>LT-031584-17/BX</t>
  </si>
  <si>
    <t>LT-051815-18/RI</t>
  </si>
  <si>
    <t>LT-073346-18/KI</t>
  </si>
  <si>
    <t>LT-801658-17/BX</t>
  </si>
  <si>
    <t>NYCHA voucher - 9571360</t>
  </si>
  <si>
    <t>LT-055772-18/NY</t>
  </si>
  <si>
    <t>LT-068253-18/KI</t>
  </si>
  <si>
    <t>LT-059322-18/QU</t>
  </si>
  <si>
    <t>LT-053446-18/QU</t>
  </si>
  <si>
    <t>LT-061394-18/QU</t>
  </si>
  <si>
    <t>LT-061477-18/QU</t>
  </si>
  <si>
    <t>LT-031004-18/BX</t>
  </si>
  <si>
    <t>LT-034034-18/BX</t>
  </si>
  <si>
    <t>LT-064751-18/QU</t>
  </si>
  <si>
    <t>LT-65209-18/QU</t>
  </si>
  <si>
    <t>LT-053323-18/QU</t>
  </si>
  <si>
    <t>LT-064762-18/QU</t>
  </si>
  <si>
    <t>LT-065532-18/QU</t>
  </si>
  <si>
    <t>LT-064566-18/QU</t>
  </si>
  <si>
    <t>LT-058027-18/QU</t>
  </si>
  <si>
    <t>LT-065340-18/QU</t>
  </si>
  <si>
    <t>LT-079156-17/QU</t>
  </si>
  <si>
    <t>LT-054881-18/QU</t>
  </si>
  <si>
    <t>LT-062205-17/BX</t>
  </si>
  <si>
    <t>LT-034775-18/BX</t>
  </si>
  <si>
    <t>LT-073933-17/QU</t>
  </si>
  <si>
    <t>LT-065118-18/QU</t>
  </si>
  <si>
    <t>LT-057362-18/QU</t>
  </si>
  <si>
    <t>LT-073342-18/KI</t>
  </si>
  <si>
    <t>LT-095271-17/KI</t>
  </si>
  <si>
    <t>LT-015339-18/KI</t>
  </si>
  <si>
    <t>LT-210720-17/KI</t>
  </si>
  <si>
    <t>LT-55821-18/QU</t>
  </si>
  <si>
    <t>LT-019071-18/BX</t>
  </si>
  <si>
    <t>LT-065668-18/QU</t>
  </si>
  <si>
    <t>LT-001397-18/NY</t>
  </si>
  <si>
    <t>LT-065946-18/NY</t>
  </si>
  <si>
    <t>LT-035803-18/BX</t>
  </si>
  <si>
    <t>LT-036801-18/BX</t>
  </si>
  <si>
    <t>LT-065001-18/QU</t>
  </si>
  <si>
    <t>None</t>
  </si>
  <si>
    <t>LT-065546-18/QU</t>
  </si>
  <si>
    <t>LT-065045-18/QU</t>
  </si>
  <si>
    <t>LT-065812-18/NY</t>
  </si>
  <si>
    <t>LT-015466-18/NY</t>
  </si>
  <si>
    <t>LT-074803-18/KI</t>
  </si>
  <si>
    <t>LT-036819-18/BX</t>
  </si>
  <si>
    <t>LT-065146-18/QU</t>
  </si>
  <si>
    <t>LT-065089-18/QU</t>
  </si>
  <si>
    <t>LT-032151-18/BX</t>
  </si>
  <si>
    <t>LT-065267-18/QU</t>
  </si>
  <si>
    <t>LT-007364-18/BX</t>
  </si>
  <si>
    <t>LT-059498-18/QU</t>
  </si>
  <si>
    <t>LT-065094-18/QU</t>
  </si>
  <si>
    <t>LT-063185-18/NY</t>
  </si>
  <si>
    <t>LT-014906-18/NY</t>
  </si>
  <si>
    <t>LT-001398-18/NY</t>
  </si>
  <si>
    <t>LT-063724-17/NY</t>
  </si>
  <si>
    <t>LT-035274-18/BX</t>
  </si>
  <si>
    <t>LT-035906-18/BX</t>
  </si>
  <si>
    <t>LT-012163-17/NY</t>
  </si>
  <si>
    <t>LT-066393-18/NY</t>
  </si>
  <si>
    <t>LT-036898-18/BX</t>
  </si>
  <si>
    <t>LT-063307-18/NY</t>
  </si>
  <si>
    <t>LT-051955-18/RI</t>
  </si>
  <si>
    <t>LT-034321-18/BX</t>
  </si>
  <si>
    <t>LT-065207-18/QU</t>
  </si>
  <si>
    <t>LT-079352-17/QU</t>
  </si>
  <si>
    <t>LT-063296-18/QU</t>
  </si>
  <si>
    <t>LT-064880-18/QU</t>
  </si>
  <si>
    <t>LT-074577-17/QU</t>
  </si>
  <si>
    <t>LT-064692-18/QU</t>
  </si>
  <si>
    <t>LT-059297-18/QU</t>
  </si>
  <si>
    <t>LT-065271-18/QU</t>
  </si>
  <si>
    <t>LT-075721-18/KI</t>
  </si>
  <si>
    <t>LT-074148-18/KI</t>
  </si>
  <si>
    <t>LT-057645-18/QU</t>
  </si>
  <si>
    <t>LT-000960-18/QU</t>
  </si>
  <si>
    <t>LT-066599-18/KI</t>
  </si>
  <si>
    <t>LT-052095-18/KI</t>
  </si>
  <si>
    <t>LT-064564-18/NY</t>
  </si>
  <si>
    <t>LT-085875-17/KI</t>
  </si>
  <si>
    <t>LT-071064-18/KI</t>
  </si>
  <si>
    <t>LT-028243-18/BX</t>
  </si>
  <si>
    <t>LT-034508-18/BX</t>
  </si>
  <si>
    <t>LT-030994-18/BX</t>
  </si>
  <si>
    <t>LT-081194-17/KI</t>
  </si>
  <si>
    <t>LT-063761-18/QU</t>
  </si>
  <si>
    <t>LT-01109-18/QU</t>
  </si>
  <si>
    <t>LT-034249-17/BX</t>
  </si>
  <si>
    <t>LT-037671-17/BX</t>
  </si>
  <si>
    <t>LT-030267-18/BX</t>
  </si>
  <si>
    <t>LT-074368-18/KI</t>
  </si>
  <si>
    <t>LT-035348-18/BX</t>
  </si>
  <si>
    <t>LT-012686-18/QU</t>
  </si>
  <si>
    <t>LT-062503-17/BX</t>
  </si>
  <si>
    <t>LT-051929-18/RI</t>
  </si>
  <si>
    <t>LT-015890-18/BX</t>
  </si>
  <si>
    <t>LT-065695-18/NY</t>
  </si>
  <si>
    <t>LT-066434-18/NY</t>
  </si>
  <si>
    <t>LT-098252-16/KI</t>
  </si>
  <si>
    <t>LT-090860-17/KI</t>
  </si>
  <si>
    <t>LT-802252-18/BX</t>
  </si>
  <si>
    <t>LT-074589-18/KI</t>
  </si>
  <si>
    <t>LT-018904-18/BX</t>
  </si>
  <si>
    <t>LT-013558-18/BX</t>
  </si>
  <si>
    <t>LT-005975-18/BX</t>
  </si>
  <si>
    <t>LT-006659-18/BX</t>
  </si>
  <si>
    <t>GW-610013-B</t>
  </si>
  <si>
    <t>LT-023865-18/BX</t>
  </si>
  <si>
    <t>LT-004595-19/BX</t>
  </si>
  <si>
    <t>LT-019369-18/BX</t>
  </si>
  <si>
    <t>LT-012123-18/BX</t>
  </si>
  <si>
    <t>LT-025217-18/BX</t>
  </si>
  <si>
    <t>LT-803748-18/BX</t>
  </si>
  <si>
    <t>LT-021722-18/BX</t>
  </si>
  <si>
    <t>LT-800941-18/BX</t>
  </si>
  <si>
    <t>LT-013441-18/BX</t>
  </si>
  <si>
    <t>LT-021612-18/BX</t>
  </si>
  <si>
    <t>LT-032211-18/BX</t>
  </si>
  <si>
    <t>LT-029158-18/BX</t>
  </si>
  <si>
    <t>LT-20394-18/BX</t>
  </si>
  <si>
    <t>LT-806204-18/BX</t>
  </si>
  <si>
    <t>LT-027623-17/BX</t>
  </si>
  <si>
    <t>LT-027521-18/BX</t>
  </si>
  <si>
    <t>LT-033395-18/BX</t>
  </si>
  <si>
    <t>LT-066802-17/BX</t>
  </si>
  <si>
    <t>LT-067585-17/BX</t>
  </si>
  <si>
    <t>LT-034966-18/BX</t>
  </si>
  <si>
    <t>LT-071235-17/BX</t>
  </si>
  <si>
    <t>LT-032048-18/BX</t>
  </si>
  <si>
    <t>LT-029470-17/BX</t>
  </si>
  <si>
    <t>LT-021547-17/BX</t>
  </si>
  <si>
    <t>LT-024218-18/BX</t>
  </si>
  <si>
    <t>LT-032406-18/BX</t>
  </si>
  <si>
    <t>LT-051709-18/RI</t>
  </si>
  <si>
    <t>LT-048820-18/BX</t>
  </si>
  <si>
    <t>LT-51873-18/RI</t>
  </si>
  <si>
    <t>LT-008619-18/BX</t>
  </si>
  <si>
    <t>LT-052125-18/RI</t>
  </si>
  <si>
    <t>LT-031561-18/BX</t>
  </si>
  <si>
    <t>LT-001093-18/QU</t>
  </si>
  <si>
    <t>LT-029537-18/BX</t>
  </si>
  <si>
    <t>LT-67408-18/NY</t>
  </si>
  <si>
    <t>LT-063566-18/QU</t>
  </si>
  <si>
    <t>LT-067409-18/NY</t>
  </si>
  <si>
    <t>LT-067250-18/NY</t>
  </si>
  <si>
    <t>LT-065559-18/QU</t>
  </si>
  <si>
    <t>LT-054677-18/QU</t>
  </si>
  <si>
    <t>LT-053560-18/QU</t>
  </si>
  <si>
    <t>LT-065296-18/QU</t>
  </si>
  <si>
    <t>LT-066387-18/QU</t>
  </si>
  <si>
    <t>LT-051535-18/QU</t>
  </si>
  <si>
    <t>LT-080600-17/QU</t>
  </si>
  <si>
    <t>LT-060985-18/QU</t>
  </si>
  <si>
    <t>LT-026820-18/BX</t>
  </si>
  <si>
    <t>LT-056047-18/QU</t>
  </si>
  <si>
    <t>LT-079864-17/QU</t>
  </si>
  <si>
    <t>LT-029583-18/BX</t>
  </si>
  <si>
    <t>LT-060640-18/QU</t>
  </si>
  <si>
    <t>LT-074667-18/KI</t>
  </si>
  <si>
    <t>LT-039945-18/BX</t>
  </si>
  <si>
    <t>LT-065494-18/QU</t>
  </si>
  <si>
    <t>LT-060102-18/NY</t>
  </si>
  <si>
    <t>LT-064402-17/NY</t>
  </si>
  <si>
    <t>LT-035751-17/BX</t>
  </si>
  <si>
    <t>LT-062836-17/NY</t>
  </si>
  <si>
    <t>LT-079317-17/QU</t>
  </si>
  <si>
    <t>LT-050022-18/RI</t>
  </si>
  <si>
    <t>LT-050393-18/QU</t>
  </si>
  <si>
    <t>LT-053596-18/NY</t>
  </si>
  <si>
    <t>LT-057149-18/NY</t>
  </si>
  <si>
    <t>LT-092112-17/KI</t>
  </si>
  <si>
    <t>LT-012716-18/NY</t>
  </si>
  <si>
    <t>LT-026710-17/BX</t>
  </si>
  <si>
    <t>LT-059512-18/NY</t>
  </si>
  <si>
    <t>LT-058439-18/NY</t>
  </si>
  <si>
    <t>LT-021065-18/BX</t>
  </si>
  <si>
    <t>LT-057175-18/NY</t>
  </si>
  <si>
    <t>LT-071005-17/NY</t>
  </si>
  <si>
    <t>LT-059584-18/NY</t>
  </si>
  <si>
    <t>LT-063334-18/NY</t>
  </si>
  <si>
    <t>LT-062292-18/QU</t>
  </si>
  <si>
    <t>LT-009497-18/BX</t>
  </si>
  <si>
    <t>LT-013768-18/NY</t>
  </si>
  <si>
    <t>LT-014062-18/NY</t>
  </si>
  <si>
    <t>LT-082530-17/NY</t>
  </si>
  <si>
    <t>LT-056625-18/NY</t>
  </si>
  <si>
    <t>LT-014103-18/NY</t>
  </si>
  <si>
    <t>LT-063278-18/NY</t>
  </si>
  <si>
    <t>LT-028386-18/BX</t>
  </si>
  <si>
    <t>LT-035077-18/BX</t>
  </si>
  <si>
    <t>LT-071033-18/KI</t>
  </si>
  <si>
    <t>LT-061674-18/NY</t>
  </si>
  <si>
    <t>LT-063774-18/QU</t>
  </si>
  <si>
    <t>LT-774439-14/NY</t>
  </si>
  <si>
    <t>LT-032262-18/BX</t>
  </si>
  <si>
    <t>LT-056822-18/KI</t>
  </si>
  <si>
    <t>LT-805300-18/BX</t>
  </si>
  <si>
    <t>LT-061627-18/KI</t>
  </si>
  <si>
    <t>LT-069975-18/KI</t>
  </si>
  <si>
    <t>LT-068850-18/KI</t>
  </si>
  <si>
    <t>LT-058623-17/BX</t>
  </si>
  <si>
    <t>LT-047380-17/BX</t>
  </si>
  <si>
    <t>LT-023459-18/BX</t>
  </si>
  <si>
    <t>LT-151776-18/NY</t>
  </si>
  <si>
    <t>LT-062312-18/NY</t>
  </si>
  <si>
    <t>LT-068773-18/KI</t>
  </si>
  <si>
    <t>LT-073588-18/KI</t>
  </si>
  <si>
    <t>LT-097656-17/KI</t>
  </si>
  <si>
    <t>LT-072730-18/KI</t>
  </si>
  <si>
    <t>LT-066055-18/KI</t>
  </si>
  <si>
    <t>LT-071550-18/KI</t>
  </si>
  <si>
    <t>LT-063525-18/KI</t>
  </si>
  <si>
    <t>LT-022882-18/BX</t>
  </si>
  <si>
    <t>LT-066032-18/NY</t>
  </si>
  <si>
    <t>LT-015246-18/NY</t>
  </si>
  <si>
    <t>LT-027127-18/BX</t>
  </si>
  <si>
    <t>LT-017501-17/KI</t>
  </si>
  <si>
    <t>LT-065265-18/KI</t>
  </si>
  <si>
    <t>LT-066029-18/NY</t>
  </si>
  <si>
    <t>LT-060492-18/KI</t>
  </si>
  <si>
    <t>LT-064760-18/NY</t>
  </si>
  <si>
    <t>LT-050816-17/KI</t>
  </si>
  <si>
    <t>LT-093707-17/KI</t>
  </si>
  <si>
    <t>LT-056327-18/KI</t>
  </si>
  <si>
    <t>LT-063958-18/KI</t>
  </si>
  <si>
    <t>LT-037923-18/BX</t>
  </si>
  <si>
    <t>LT-063332-18/QU</t>
  </si>
  <si>
    <t>LT-074764-18/KI</t>
  </si>
  <si>
    <t>LT-073517-18/KI</t>
  </si>
  <si>
    <t>LT-065908-18/NY</t>
  </si>
  <si>
    <t>LT-066307-18/NY</t>
  </si>
  <si>
    <t>LT-074615-18/KI</t>
  </si>
  <si>
    <t>LT-062434-18/NY</t>
  </si>
  <si>
    <t>LT-074578-18/KI</t>
  </si>
  <si>
    <t>LT-073554-18/KI</t>
  </si>
  <si>
    <t>LT-074335-18/KI</t>
  </si>
  <si>
    <t>LT-065592-18/QU</t>
  </si>
  <si>
    <t>LT-020486-18/BX</t>
  </si>
  <si>
    <t>LT-066123-18/QU</t>
  </si>
  <si>
    <t>LT-064196-18/NY</t>
  </si>
  <si>
    <t>LT-059884-18/NY</t>
  </si>
  <si>
    <t>LT-034608-18/BX</t>
  </si>
  <si>
    <t>LT-063095-18/QU</t>
  </si>
  <si>
    <t>LT-063735-17/QU</t>
  </si>
  <si>
    <t>LT-062075-18/QU</t>
  </si>
  <si>
    <t>LT-056458-18/QU</t>
  </si>
  <si>
    <t>LT-053134-17/NY</t>
  </si>
  <si>
    <t>LT-067418-18/NY</t>
  </si>
  <si>
    <t>LT-014056-18/NY</t>
  </si>
  <si>
    <t>LT-064722-18/NY</t>
  </si>
  <si>
    <t>LT-067459-18/NY</t>
  </si>
  <si>
    <t>LT-063914-18/NY</t>
  </si>
  <si>
    <t>LT-057217-18/QU</t>
  </si>
  <si>
    <t>LT-051965-18/RI</t>
  </si>
  <si>
    <t>LT-065801-18/QU</t>
  </si>
  <si>
    <t>LT-066418-18/QU</t>
  </si>
  <si>
    <t>LT-053516-18/QU</t>
  </si>
  <si>
    <t>LT-003992-18/BX</t>
  </si>
  <si>
    <t>LT-035656-18/BX</t>
  </si>
  <si>
    <t>LT-065881-18/QU</t>
  </si>
  <si>
    <t>LT-066533-18/QU</t>
  </si>
  <si>
    <t>LT-066380-18/QU</t>
  </si>
  <si>
    <t>LT-064984-18/QU</t>
  </si>
  <si>
    <t>LT-056342-18/QU</t>
  </si>
  <si>
    <t>LT-063509-18/QU</t>
  </si>
  <si>
    <t>LT-071427-17/NY</t>
  </si>
  <si>
    <t>LT-073414-17/KI</t>
  </si>
  <si>
    <t>LT-070409-18/NY</t>
  </si>
  <si>
    <t>LT-069952-18/NY</t>
  </si>
  <si>
    <t>LT-069753-18/NY</t>
  </si>
  <si>
    <t>LT-805216-16/BX</t>
  </si>
  <si>
    <t>LT-055930-18/KI</t>
  </si>
  <si>
    <t>LT-038079-18/BX</t>
  </si>
  <si>
    <t>LT-072623-18/KI</t>
  </si>
  <si>
    <t>LT-031779-16/BX</t>
  </si>
  <si>
    <t>LT-052031-18/RI</t>
  </si>
  <si>
    <t>LT-066567-18/KI</t>
  </si>
  <si>
    <t>LT-037186-18/BX</t>
  </si>
  <si>
    <t>LT-069965-17/BX</t>
  </si>
  <si>
    <t>LT-050107-18/RI</t>
  </si>
  <si>
    <t>LT-051869-18/RI</t>
  </si>
  <si>
    <t>LT-025844-18/BX</t>
  </si>
  <si>
    <t>LT-051890-18/RI</t>
  </si>
  <si>
    <t>LT-038830-18/BX</t>
  </si>
  <si>
    <t>LT-052134-18/RI</t>
  </si>
  <si>
    <t>LT-035403-18/BX</t>
  </si>
  <si>
    <t>LT-035622-18/BX</t>
  </si>
  <si>
    <t>LT-031847-17/BX</t>
  </si>
  <si>
    <t>570838/2016</t>
  </si>
  <si>
    <t>LT-069254-18/KI</t>
  </si>
  <si>
    <t>LT-063396-18/NY</t>
  </si>
  <si>
    <t>LT-052880-18/KI</t>
  </si>
  <si>
    <t>LT-071170-18/KI</t>
  </si>
  <si>
    <t>LT-052182-18/RI</t>
  </si>
  <si>
    <t>LT-200113-18/NY</t>
  </si>
  <si>
    <t>LT-076122-18/KI</t>
  </si>
  <si>
    <t>LT-075595-18/KI</t>
  </si>
  <si>
    <t>LT-016284-18/KI</t>
  </si>
  <si>
    <t>LT-076119-18/KI</t>
  </si>
  <si>
    <t>LT-072223-17/BX</t>
  </si>
  <si>
    <t>LT-052142-18/RI</t>
  </si>
  <si>
    <t>LT-083925-17/KI</t>
  </si>
  <si>
    <t>LT-022239-18/BX</t>
  </si>
  <si>
    <t>LT-072216-18/KI</t>
  </si>
  <si>
    <t>LT-70254-18/NY</t>
  </si>
  <si>
    <t>LT-61318-18/NY</t>
  </si>
  <si>
    <t>LT-020890-16/BX</t>
  </si>
  <si>
    <t>LT-006139-18/QU</t>
  </si>
  <si>
    <t>LT-063805-18/QU</t>
  </si>
  <si>
    <t>LT-014326-18/KI</t>
  </si>
  <si>
    <t>LT-074444-18/KI</t>
  </si>
  <si>
    <t>LT-038823-18/BX</t>
  </si>
  <si>
    <t>LT-035936-18/BX</t>
  </si>
  <si>
    <t>LT-037534-18/BX</t>
  </si>
  <si>
    <t>LT-033047-18/BX</t>
  </si>
  <si>
    <t>LT-036721-18/BX</t>
  </si>
  <si>
    <t>LT-010727-18/RI</t>
  </si>
  <si>
    <t>LT-058760-18/KI</t>
  </si>
  <si>
    <t>LT-030284-18/BX</t>
  </si>
  <si>
    <t>LT-052279-18/RI</t>
  </si>
  <si>
    <t>LT-067286-18/NY</t>
  </si>
  <si>
    <t>LT-64406-18/NY</t>
  </si>
  <si>
    <t>LT-067415-18/NY</t>
  </si>
  <si>
    <t>LT-002465-18/KI</t>
  </si>
  <si>
    <t>LT-001681-18/NY</t>
  </si>
  <si>
    <t>LT-008910-17/BX</t>
  </si>
  <si>
    <t>LT-040106-17/BX</t>
  </si>
  <si>
    <t>LT-066162-18/QU</t>
  </si>
  <si>
    <t>LT-073567-18/KI</t>
  </si>
  <si>
    <t>LT-065163-18/QU</t>
  </si>
  <si>
    <t>LT-000482-18/QU</t>
  </si>
  <si>
    <t>LT-068856-17/BX</t>
  </si>
  <si>
    <t>LT-024765-18/BX</t>
  </si>
  <si>
    <t>LT-066423-18/QU</t>
  </si>
  <si>
    <t>LT-010708-18/RI</t>
  </si>
  <si>
    <t>LT-010571-18/RI</t>
  </si>
  <si>
    <t>LT-052124-18/RI</t>
  </si>
  <si>
    <t>LT-010800-18/RI</t>
  </si>
  <si>
    <t>LT-067527-18/NY</t>
  </si>
  <si>
    <t>LT-063115-18/NY</t>
  </si>
  <si>
    <t>LT-074580-18/KI</t>
  </si>
  <si>
    <t>LT-061389-18/QU</t>
  </si>
  <si>
    <t>LT-061843-18/QU</t>
  </si>
  <si>
    <t>LT-066897-18/QU</t>
  </si>
  <si>
    <t>LT-026846-18/BX</t>
  </si>
  <si>
    <t>LT-010812-18/RI</t>
  </si>
  <si>
    <t>LT-054427-18/QU</t>
  </si>
  <si>
    <t>LT-063293-18/QU</t>
  </si>
  <si>
    <t>LT-062106-18/QU</t>
  </si>
  <si>
    <t>LT-075568-18/KI</t>
  </si>
  <si>
    <t>LT-034159-18/BX</t>
  </si>
  <si>
    <t>LT-031773-18/BX</t>
  </si>
  <si>
    <t>LT-065589-18/QU</t>
  </si>
  <si>
    <t>LT-037959-18/BX</t>
  </si>
  <si>
    <t>LT-069717-17/QU</t>
  </si>
  <si>
    <t>LID# 903653</t>
  </si>
  <si>
    <t>LT-067412-18/QU</t>
  </si>
  <si>
    <t>LT-547621-17/KI</t>
  </si>
  <si>
    <t>LT-064484-18/QU</t>
  </si>
  <si>
    <t>LT-074740-17/BX</t>
  </si>
  <si>
    <t>LT-067408-18/QU</t>
  </si>
  <si>
    <t>LT-060300-18/NY</t>
  </si>
  <si>
    <t>LT-066163-18/QU</t>
  </si>
  <si>
    <t>LT-003811-16/BX</t>
  </si>
  <si>
    <t>LT-038400-18/BX</t>
  </si>
  <si>
    <t>LT-065131-18/KI</t>
  </si>
  <si>
    <t>LT-065133-18/NY</t>
  </si>
  <si>
    <t>LT-074583-18/KI</t>
  </si>
  <si>
    <t>LT-074582-18/KI</t>
  </si>
  <si>
    <t>LT-056778-18/QU</t>
  </si>
  <si>
    <t>LT-057049-18/QU</t>
  </si>
  <si>
    <t>LT-050361-18/QU</t>
  </si>
  <si>
    <t>LT-066547-18/QU</t>
  </si>
  <si>
    <t>LT-065442-18/QU</t>
  </si>
  <si>
    <t>LT-054599-18/QU</t>
  </si>
  <si>
    <t>LT-066600-18/QU</t>
  </si>
  <si>
    <t>LT-064622-18/QU</t>
  </si>
  <si>
    <t>LT-051896-18/RI</t>
  </si>
  <si>
    <t>LT-037498-18/BX</t>
  </si>
  <si>
    <t>LT-060342-18/QU</t>
  </si>
  <si>
    <t>LT-066604-18/QU</t>
  </si>
  <si>
    <t>LT-012634-18/QU</t>
  </si>
  <si>
    <t>LT-067129-18/QU</t>
  </si>
  <si>
    <t>LT-055305-18/QU</t>
  </si>
  <si>
    <t>LT-057354-18/QU</t>
  </si>
  <si>
    <t>LT-066692-18/QU</t>
  </si>
  <si>
    <t>LT-079241-17/NY</t>
  </si>
  <si>
    <t>LT-067481-18/NY</t>
  </si>
  <si>
    <t>LT-085520-17/KI</t>
  </si>
  <si>
    <t>LT-66185-18/NY</t>
  </si>
  <si>
    <t>LT-060994-18/NY</t>
  </si>
  <si>
    <t>LT-066105-18/NY</t>
  </si>
  <si>
    <t>LT-069384-18/KI</t>
  </si>
  <si>
    <t>LT-067622-18/NY</t>
  </si>
  <si>
    <t>LT-066698-18/NY</t>
  </si>
  <si>
    <t>LT-032730-18/BX</t>
  </si>
  <si>
    <t>LT-037528-18/BX</t>
  </si>
  <si>
    <t>LT-037984-18/BX</t>
  </si>
  <si>
    <t>LT-023716-18/BX</t>
  </si>
  <si>
    <t>LT-066621-18/NY</t>
  </si>
  <si>
    <t>LT-68682-18/NY</t>
  </si>
  <si>
    <t>LT-035313-18/BX</t>
  </si>
  <si>
    <t>LT-034680-18/BX</t>
  </si>
  <si>
    <t>LT-056286-18/KI</t>
  </si>
  <si>
    <t>LT-035543-18/BX</t>
  </si>
  <si>
    <t>LT-040516-18/BX</t>
  </si>
  <si>
    <t>LT-037020-18/BX</t>
  </si>
  <si>
    <t>LT-052204-18/RI</t>
  </si>
  <si>
    <t>LT-038721-18/BX</t>
  </si>
  <si>
    <t>LT-030928-18/BX</t>
  </si>
  <si>
    <t>LT-078449-18/KI</t>
  </si>
  <si>
    <t>LT-042032-17/BX</t>
  </si>
  <si>
    <t>LT-050215-17/BX</t>
  </si>
  <si>
    <t>LT-088918-17/KI</t>
  </si>
  <si>
    <t>LT-017003-16/NY</t>
  </si>
  <si>
    <t>LT-066089-18/QU</t>
  </si>
  <si>
    <t>LT-074595-18/KI</t>
  </si>
  <si>
    <t>LT-051990-18/RI</t>
  </si>
  <si>
    <t>LT-058562-17/BX</t>
  </si>
  <si>
    <t>LT-026405-18/BX</t>
  </si>
  <si>
    <t>LT-059636-18/QU</t>
  </si>
  <si>
    <t>LT-068413-18/KI</t>
  </si>
  <si>
    <t>LT-076886-18/KI</t>
  </si>
  <si>
    <t>LT-063567-18/QU</t>
  </si>
  <si>
    <t>LT-062794-18/QU</t>
  </si>
  <si>
    <t>LT-051618-18/RI</t>
  </si>
  <si>
    <t>LT-037277-17/BX</t>
  </si>
  <si>
    <t>LT-025116-18/BX</t>
  </si>
  <si>
    <t>LT-022247-17/KI</t>
  </si>
  <si>
    <t>LT-002570-18/KI</t>
  </si>
  <si>
    <t>LT-067814-18/QU</t>
  </si>
  <si>
    <t>LT-050273-18/QU</t>
  </si>
  <si>
    <t>LT-065966-18/QU</t>
  </si>
  <si>
    <t>LT-067657-18/QU</t>
  </si>
  <si>
    <t>LT-066442-18/QU</t>
  </si>
  <si>
    <t>LT-066738-18/QU</t>
  </si>
  <si>
    <t>LT-081279-16/QU</t>
  </si>
  <si>
    <t>LT-066856-18/QU</t>
  </si>
  <si>
    <t>LT-067276-18/QU</t>
  </si>
  <si>
    <t>LT-053065-18/QU</t>
  </si>
  <si>
    <t>LT-066214-18/QU</t>
  </si>
  <si>
    <t>LT-001176-18/QU</t>
  </si>
  <si>
    <t>LT-038436-18/BX</t>
  </si>
  <si>
    <t>LT-066310-18/QU</t>
  </si>
  <si>
    <t>LT-057898-18/QU</t>
  </si>
  <si>
    <t>LT-059281-18/QU</t>
  </si>
  <si>
    <t>LT-639991-18/QU</t>
  </si>
  <si>
    <t>LT-066909-18/QU</t>
  </si>
  <si>
    <t>LT-066410-18/QU</t>
  </si>
  <si>
    <t>LT-067867-18/QU</t>
  </si>
  <si>
    <t>LT-01490-18/KI</t>
  </si>
  <si>
    <t>LT-096199-17/KI</t>
  </si>
  <si>
    <t>LT-003477-18/KI</t>
  </si>
  <si>
    <t>LT-013390-16/QU</t>
  </si>
  <si>
    <t>LT-027321-18/BX</t>
  </si>
  <si>
    <t>LT-058925-18/QU</t>
  </si>
  <si>
    <t>LT-000801-18/BX</t>
  </si>
  <si>
    <t>LT-067580-18/QU</t>
  </si>
  <si>
    <t>LT-067640-18/QU</t>
  </si>
  <si>
    <t>LT-067342-18/QU</t>
  </si>
  <si>
    <t>LT-065145-18/QU</t>
  </si>
  <si>
    <t>LT-068062-18/NY</t>
  </si>
  <si>
    <t>LT-086497-18/NY</t>
  </si>
  <si>
    <t>LT-068608-18/NY</t>
  </si>
  <si>
    <t>LT-067863-18/NY</t>
  </si>
  <si>
    <t>LT-068587-18/NY</t>
  </si>
  <si>
    <t>LT-067251-18/QU</t>
  </si>
  <si>
    <t>LT-067454-18/QU</t>
  </si>
  <si>
    <t>LT-067324-18/QU</t>
  </si>
  <si>
    <t>LT-038761-18/BX</t>
  </si>
  <si>
    <t>LT-063488-18/QU</t>
  </si>
  <si>
    <t>LT-066627-18/QU</t>
  </si>
  <si>
    <t>LT-064452-18/QU</t>
  </si>
  <si>
    <t>LT-067256-18/QU</t>
  </si>
  <si>
    <t>LT-015864-18/NY</t>
  </si>
  <si>
    <t>LT-052355-18/RI</t>
  </si>
  <si>
    <t>LT-059816-18/QU</t>
  </si>
  <si>
    <t>LT-031347-18/BX</t>
  </si>
  <si>
    <t>LT-052068-18/RI</t>
  </si>
  <si>
    <t>LT-1680-18/NY</t>
  </si>
  <si>
    <t>LT-040577-18/BX</t>
  </si>
  <si>
    <t>LT-076743-18/KI</t>
  </si>
  <si>
    <t>LT-066161-18/QU</t>
  </si>
  <si>
    <t>LT-063919-18/QU</t>
  </si>
  <si>
    <t>002704/2018</t>
  </si>
  <si>
    <t>LT-251420-18/NY</t>
  </si>
  <si>
    <t>LT-003808-18/KI</t>
  </si>
  <si>
    <t>LT-021878-18/KI</t>
  </si>
  <si>
    <t>LT-065893-18/NY</t>
  </si>
  <si>
    <t>LT-066176-18/NY</t>
  </si>
  <si>
    <t>LT-807227-18/BX</t>
  </si>
  <si>
    <t>LT-074441-18/KI</t>
  </si>
  <si>
    <t>LT-031292-18/BX</t>
  </si>
  <si>
    <t>LT-085494-17/KI</t>
  </si>
  <si>
    <t>LT-015717-18/BX</t>
  </si>
  <si>
    <t>LT-075956-18/KI</t>
  </si>
  <si>
    <t>LT-034118-17/BX</t>
  </si>
  <si>
    <t>LT-078143-17/BX</t>
  </si>
  <si>
    <t>LT-065612-18/QU</t>
  </si>
  <si>
    <t>LT-105170-11/NY</t>
  </si>
  <si>
    <t>LT-073178-18/KI</t>
  </si>
  <si>
    <t>LT-001515-18/NY</t>
  </si>
  <si>
    <t>LT-250415-17/NY</t>
  </si>
  <si>
    <t>LT-006316-18/NY</t>
  </si>
  <si>
    <t>LT-063496-18/NY</t>
  </si>
  <si>
    <t>LT-025017-18/NY</t>
  </si>
  <si>
    <t>LT-041841-17/BX</t>
  </si>
  <si>
    <t>LT-069191-18/KI</t>
  </si>
  <si>
    <t>LT-071482-18/KI</t>
  </si>
  <si>
    <t>LT-023037-18/BX</t>
  </si>
  <si>
    <t>LT-040418-18/BX</t>
  </si>
  <si>
    <t>LT-067407-18/NY</t>
  </si>
  <si>
    <t>LT-074820-18/KI</t>
  </si>
  <si>
    <t>1966/17</t>
  </si>
  <si>
    <t>LT-069898-18/KI</t>
  </si>
  <si>
    <t>LT-065317-18/QU</t>
  </si>
  <si>
    <t>LT-006209-18/KI</t>
  </si>
  <si>
    <t>LT-807471-18/BX</t>
  </si>
  <si>
    <t>LT-039859-18/BX</t>
  </si>
  <si>
    <t>LT-067968-18/QU</t>
  </si>
  <si>
    <t>LT-077958-17/QU</t>
  </si>
  <si>
    <t>LT-040546-18/BX</t>
  </si>
  <si>
    <t>LT-055942-16/QU</t>
  </si>
  <si>
    <t>LT-067930-18/QU</t>
  </si>
  <si>
    <t>LT-057361-18/QU</t>
  </si>
  <si>
    <t>M-H-CMX-18-39479</t>
  </si>
  <si>
    <t>LT-077667-18/KI</t>
  </si>
  <si>
    <t>006712/2018</t>
  </si>
  <si>
    <t>LT-052631-18/QU</t>
  </si>
  <si>
    <t>LT-011090-18/NY</t>
  </si>
  <si>
    <t>LT-083502-17/KI</t>
  </si>
  <si>
    <t>LT-065184-18/QU</t>
  </si>
  <si>
    <t>LT-064560-18/QU</t>
  </si>
  <si>
    <t>LT-062358-18/KI</t>
  </si>
  <si>
    <t>LT-012580018/QU</t>
  </si>
  <si>
    <t>LT-075758-17/KI</t>
  </si>
  <si>
    <t>LT-069363-17/KI</t>
  </si>
  <si>
    <t>LT-083722-17/NY</t>
  </si>
  <si>
    <t>LT-037939-18/BX</t>
  </si>
  <si>
    <t>LT-008126-18/BX</t>
  </si>
  <si>
    <t>LT-066419-18/QU</t>
  </si>
  <si>
    <t>LT-067134-18/NY</t>
  </si>
  <si>
    <t>LT-068978-18/NY</t>
  </si>
  <si>
    <t>LT-068930-18/NY</t>
  </si>
  <si>
    <t>LT-066877-18/QU</t>
  </si>
  <si>
    <t>LT-058449-18/QU</t>
  </si>
  <si>
    <t>LT-067445-18/QU</t>
  </si>
  <si>
    <t>LT-067819-18/NY</t>
  </si>
  <si>
    <t>none yet</t>
  </si>
  <si>
    <t>LT-67591-17/Qu</t>
  </si>
  <si>
    <t>LT-067683-18/QU</t>
  </si>
  <si>
    <t>LT-042021-18/BX</t>
  </si>
  <si>
    <t>LT-067691-18/QU</t>
  </si>
  <si>
    <t>LT-067609-18/QU</t>
  </si>
  <si>
    <t>LT-040045-18/BX</t>
  </si>
  <si>
    <t>LT-010059-18/KI</t>
  </si>
  <si>
    <t>LT-043018-18/BX</t>
  </si>
  <si>
    <t>LT-032634-18/BX</t>
  </si>
  <si>
    <t>LT-039826-18/BX</t>
  </si>
  <si>
    <t>LT-042320-18/BX</t>
  </si>
  <si>
    <t>LT-040574-18/BX</t>
  </si>
  <si>
    <t>LT-011948-18/QU</t>
  </si>
  <si>
    <t>LT-068258-18//QU</t>
  </si>
  <si>
    <t>LT-068554-18/NY</t>
  </si>
  <si>
    <t>LT-067660-18/NY</t>
  </si>
  <si>
    <t>LT-051845-18/RI</t>
  </si>
  <si>
    <t>LT-027598-17/BX</t>
  </si>
  <si>
    <t>LT-011870-18/KI</t>
  </si>
  <si>
    <t>LT-059258-18/KI</t>
  </si>
  <si>
    <t>LT-022851-18/BX</t>
  </si>
  <si>
    <t>LT-063685-18/NY</t>
  </si>
  <si>
    <t>LT-056258-18/QU</t>
  </si>
  <si>
    <t>LT-080752-17/NY</t>
  </si>
  <si>
    <t>LT-076452-18/KI</t>
  </si>
  <si>
    <t>LT-041121-18/BX</t>
  </si>
  <si>
    <t>LT-069171-18/NY</t>
  </si>
  <si>
    <t>LT-052196-18/RI</t>
  </si>
  <si>
    <t>LT-051739-18/RI</t>
  </si>
  <si>
    <t>LT-052166-18/RI</t>
  </si>
  <si>
    <t>LT-052038-18/RI</t>
  </si>
  <si>
    <t>LT-052242-18/RI</t>
  </si>
  <si>
    <t>LT-12491-18/QU</t>
  </si>
  <si>
    <t>LT-023275-18/BX</t>
  </si>
  <si>
    <t>LT-012664-18/BX</t>
  </si>
  <si>
    <t>LT-052288-18/RI</t>
  </si>
  <si>
    <t>LT-075059-18/KI</t>
  </si>
  <si>
    <t>LT-024676-18/KI</t>
  </si>
  <si>
    <t>LT-039726-18/BX</t>
  </si>
  <si>
    <t>LT-010046-19/RI</t>
  </si>
  <si>
    <t>LT-069623-18/KI</t>
  </si>
  <si>
    <t>LT-57903-18/QU</t>
  </si>
  <si>
    <t>LT-063908-18/QU</t>
  </si>
  <si>
    <t>LT-042441-18/BX</t>
  </si>
  <si>
    <t>LT-089315-17/KI</t>
  </si>
  <si>
    <t>LT-80105-18/KI</t>
  </si>
  <si>
    <t>LT-052351-18/RI</t>
  </si>
  <si>
    <t>LT-057811-17/BX</t>
  </si>
  <si>
    <t>1:16-cv-08479-JPO</t>
  </si>
  <si>
    <t>LT-056471-18/QU</t>
  </si>
  <si>
    <t>LT-068211-18/KI</t>
  </si>
  <si>
    <t>LT-062013-18/KI</t>
  </si>
  <si>
    <t>LT-077516-18/KI</t>
  </si>
  <si>
    <t>LT-078152-18/KI</t>
  </si>
  <si>
    <t>LT-001184-18/QU</t>
  </si>
  <si>
    <t>LT-042873-18/BX</t>
  </si>
  <si>
    <t>LT-043967-17/BX</t>
  </si>
  <si>
    <t>LT-60432-17/NY</t>
  </si>
  <si>
    <t>LT-023399-18/BX</t>
  </si>
  <si>
    <t>LT-065145-18/KI</t>
  </si>
  <si>
    <t>LT-069385-18/KI</t>
  </si>
  <si>
    <t>LT-65518-18/QU</t>
  </si>
  <si>
    <t>LT-062291-18/QU</t>
  </si>
  <si>
    <t>LT-052367-18/RI</t>
  </si>
  <si>
    <t>LT-010584-18/RI</t>
  </si>
  <si>
    <t>LT-010855-18/RI</t>
  </si>
  <si>
    <t>LT-067981-18/QU</t>
  </si>
  <si>
    <t>LT-064101-18/QU</t>
  </si>
  <si>
    <t>LT-025719-18/BX</t>
  </si>
  <si>
    <t>LT-069055-18/QU</t>
  </si>
  <si>
    <t>LT-077440-17/QU</t>
  </si>
  <si>
    <t>LT-035587-18/BX</t>
  </si>
  <si>
    <t>LT-037813-18/BX</t>
  </si>
  <si>
    <t>LT-034344-18/BX</t>
  </si>
  <si>
    <t>LT-069239-18/NY</t>
  </si>
  <si>
    <t>LT-077118-17/QU</t>
  </si>
  <si>
    <t>LT-061360-18/QU</t>
  </si>
  <si>
    <t>LT-053233-18/BX</t>
  </si>
  <si>
    <t>LT-062390-18/QU</t>
  </si>
  <si>
    <t>LT-071271-18/KI</t>
  </si>
  <si>
    <t>LT-070237-18/KI</t>
  </si>
  <si>
    <t>LT-034620-18/BX</t>
  </si>
  <si>
    <t>LT-071393-18/KI</t>
  </si>
  <si>
    <t>LT-035276-18/BX</t>
  </si>
  <si>
    <t>LT-067733-18/QU</t>
  </si>
  <si>
    <t>LT-063767-18/QU</t>
  </si>
  <si>
    <t>LT-068555-18/QU</t>
  </si>
  <si>
    <t>LT-017119-18/NY</t>
  </si>
  <si>
    <t>LT-068256-18/QU</t>
  </si>
  <si>
    <t>LT-013512-18/NY</t>
  </si>
  <si>
    <t>LT-068094-18/QU</t>
  </si>
  <si>
    <t>LT-012818-18/QU</t>
  </si>
  <si>
    <t>LT-065665-18/QU</t>
  </si>
  <si>
    <t>LT-056157-18/QU</t>
  </si>
  <si>
    <t>LT-068673-18/QU</t>
  </si>
  <si>
    <t>LT-068289-18/QU</t>
  </si>
  <si>
    <t>LT-083029-14/NY</t>
  </si>
  <si>
    <t>LT-080317-18/KI</t>
  </si>
  <si>
    <t>LT-067343-18/NY</t>
  </si>
  <si>
    <t>LT-053793-18/NY</t>
  </si>
  <si>
    <t>LT-042330-18/BX</t>
  </si>
  <si>
    <t>LT-042073-18/BX</t>
  </si>
  <si>
    <t>LT-040972-18/BX</t>
  </si>
  <si>
    <t>LT-013834-18/BX</t>
  </si>
  <si>
    <t>SC-710435-18/QU</t>
  </si>
  <si>
    <t>LT-067410-18/QU</t>
  </si>
  <si>
    <t>LT-068852-18/QU</t>
  </si>
  <si>
    <t>LT-042428-18/BX</t>
  </si>
  <si>
    <t>LT-068747-18/QU</t>
  </si>
  <si>
    <t>LT-067728-18/QU</t>
  </si>
  <si>
    <t>LT-000287-19/KI</t>
  </si>
  <si>
    <t>287-19/KI</t>
  </si>
  <si>
    <t>LT-045987-17/BX</t>
  </si>
  <si>
    <t>LT-073814-17/BX</t>
  </si>
  <si>
    <t>LT-031795-18/BX</t>
  </si>
  <si>
    <t>LT-031804-18/BX</t>
  </si>
  <si>
    <t>LT-035785-18/BX</t>
  </si>
  <si>
    <t>LT-036103-18/BX</t>
  </si>
  <si>
    <t>LT-006124-17/NY</t>
  </si>
  <si>
    <t>LT-039819-18/BX</t>
  </si>
  <si>
    <t>LT-038473-18/BX</t>
  </si>
  <si>
    <t>LT-041250-18/BX</t>
  </si>
  <si>
    <t>LT-042911-18/BX</t>
  </si>
  <si>
    <t>LT-042235-18/BX</t>
  </si>
  <si>
    <t>LT-043319-18/BX</t>
  </si>
  <si>
    <t>LT-041229-18/BX</t>
  </si>
  <si>
    <t>LT-063523-18/QU</t>
  </si>
  <si>
    <t>LT-052415-18/RI</t>
  </si>
  <si>
    <t>LT-052428-18/RI</t>
  </si>
  <si>
    <t>LT-805464-16/BX</t>
  </si>
  <si>
    <t>LT-079733-17/KI</t>
  </si>
  <si>
    <t>LT-039543-18/BX</t>
  </si>
  <si>
    <t>LT-80336-18/KI</t>
  </si>
  <si>
    <t>LT-69807-18/NY</t>
  </si>
  <si>
    <t>LT-080654-18/KI</t>
  </si>
  <si>
    <t>LT-070165-18/KI</t>
  </si>
  <si>
    <t>LT-076207-18/KI</t>
  </si>
  <si>
    <t>LT-063031-17/BX</t>
  </si>
  <si>
    <t>LT-032317-18/BX</t>
  </si>
  <si>
    <t>LT-061062-18/NY</t>
  </si>
  <si>
    <t>LT-052384-18/RI</t>
  </si>
  <si>
    <t>LT-034898-18/BX</t>
  </si>
  <si>
    <t>LT-251580-18/HA</t>
  </si>
  <si>
    <t>LT-101350-17/BX</t>
  </si>
  <si>
    <t>LT-047444-17/BX</t>
  </si>
  <si>
    <t>LT-434104-15/BX</t>
  </si>
  <si>
    <t>no case at this time</t>
  </si>
  <si>
    <t>LT-093880-17/KI</t>
  </si>
  <si>
    <t>LT-066356-17/BX</t>
  </si>
  <si>
    <t>LT-808637-15/BX</t>
  </si>
  <si>
    <t>LT-054014-18/KI</t>
  </si>
  <si>
    <t>LT-055347-18/KI</t>
  </si>
  <si>
    <t>LT-058067-18/NY</t>
  </si>
  <si>
    <t>LT-009690-18/BX</t>
  </si>
  <si>
    <t>LT-009477-18/BX</t>
  </si>
  <si>
    <t>LT-057310-18/BX</t>
  </si>
  <si>
    <t>LT-056844-18/KI</t>
  </si>
  <si>
    <t>LT-008701-18/BX</t>
  </si>
  <si>
    <t>LT-087474-18/KI</t>
  </si>
  <si>
    <t>LT-078550-17/KI</t>
  </si>
  <si>
    <t>FQ-220003-RE</t>
  </si>
  <si>
    <t>LT-79908-17/KI</t>
  </si>
  <si>
    <t>LT-014218-18/KI</t>
  </si>
  <si>
    <t>LT-803196-16/BX</t>
  </si>
  <si>
    <t>LT-062096-18/KI</t>
  </si>
  <si>
    <t>LT-004572-18/BX</t>
  </si>
  <si>
    <t>LT-063375-18/KI</t>
  </si>
  <si>
    <t>LT-050757-18/KI</t>
  </si>
  <si>
    <t>LT-026367-18/BX</t>
  </si>
  <si>
    <t>LT-065638-18/KI</t>
  </si>
  <si>
    <t>LT-024195-18/BX</t>
  </si>
  <si>
    <t>LT-066829-18/KI</t>
  </si>
  <si>
    <t>LT-025489-18/BX</t>
  </si>
  <si>
    <t>LT-810608-16/BX</t>
  </si>
  <si>
    <t>LT-025736-18/BX</t>
  </si>
  <si>
    <t>LT-059708-18/KI</t>
  </si>
  <si>
    <t>LT-058716-18/KI</t>
  </si>
  <si>
    <t>LT-069340-18/KI</t>
  </si>
  <si>
    <t>LT-060760-18/KI</t>
  </si>
  <si>
    <t>LT-028053-18/BX</t>
  </si>
  <si>
    <t>LT-069758-18/KI</t>
  </si>
  <si>
    <t>LT-001259-18/NY</t>
  </si>
  <si>
    <t>LT-030812-18/BX</t>
  </si>
  <si>
    <t>LT-088098-17/KI</t>
  </si>
  <si>
    <t>LT-002458-18/KI</t>
  </si>
  <si>
    <t>LT-060311-18/KI</t>
  </si>
  <si>
    <t>LT-070148-18/KI</t>
  </si>
  <si>
    <t>LT-061683-18/KI</t>
  </si>
  <si>
    <t>LT-013756-18/KI</t>
  </si>
  <si>
    <t>LT-014199-18/KI</t>
  </si>
  <si>
    <t>LT-050396-18/KI</t>
  </si>
  <si>
    <t>LT-090192-17/KI</t>
  </si>
  <si>
    <t>LT-070561-18/KI</t>
  </si>
  <si>
    <t>LT-068495-18/KI</t>
  </si>
  <si>
    <t>LT-071172-18/KI</t>
  </si>
  <si>
    <t>LT-451200-18/BX</t>
  </si>
  <si>
    <t>LT-037669-16/BX</t>
  </si>
  <si>
    <t>LT-069717-18/KI</t>
  </si>
  <si>
    <t>451329/2018</t>
  </si>
  <si>
    <t>LT-063222-18/KI</t>
  </si>
  <si>
    <t>LT-014562-18/BX</t>
  </si>
  <si>
    <t>FV-610044-OM</t>
  </si>
  <si>
    <t>LT-031762-18/BX</t>
  </si>
  <si>
    <t>LT-071272-18/KI</t>
  </si>
  <si>
    <t>LT-034363-18/BX</t>
  </si>
  <si>
    <t>LT-030556-18/BX</t>
  </si>
  <si>
    <t>LT-020751-18/BX</t>
  </si>
  <si>
    <t>LT-021507-18/BX</t>
  </si>
  <si>
    <t>LT-3064-18/BX</t>
  </si>
  <si>
    <t>LT-034131-18/BX</t>
  </si>
  <si>
    <t>LT-073880-18/KI</t>
  </si>
  <si>
    <t>LT-066447-18/KI</t>
  </si>
  <si>
    <t>LT-066448-18/KI</t>
  </si>
  <si>
    <t>LT-074952-18/KI</t>
  </si>
  <si>
    <t>LT-071068-18/KI</t>
  </si>
  <si>
    <t>LT-074132-18/KI</t>
  </si>
  <si>
    <t>LT-070105-18/KI</t>
  </si>
  <si>
    <t>LT-080377-17/NY</t>
  </si>
  <si>
    <t>LT-060751-11/BX</t>
  </si>
  <si>
    <t>LT-052896-18/BX</t>
  </si>
  <si>
    <t>GN-630012-B</t>
  </si>
  <si>
    <t>GW-630007-RO</t>
  </si>
  <si>
    <t>LT-069659-17/BX</t>
  </si>
  <si>
    <t>LT-025942-18/BX</t>
  </si>
  <si>
    <t>LT-033922-18/BX</t>
  </si>
  <si>
    <t>LT-050544-17/BX</t>
  </si>
  <si>
    <t>LT-037755-18/BX</t>
  </si>
  <si>
    <t>LT-029639-18/BX</t>
  </si>
  <si>
    <t>LT-074257-18/KI</t>
  </si>
  <si>
    <t>LT-075029-18/KI</t>
  </si>
  <si>
    <t>LT-015136-18/KI</t>
  </si>
  <si>
    <t>LT-025325-18/BX</t>
  </si>
  <si>
    <t>LT-036211-18/BX</t>
  </si>
  <si>
    <t>LT-031245-18/BX</t>
  </si>
  <si>
    <t>LT-013381-17/KI</t>
  </si>
  <si>
    <t>LT-032382-17/BX</t>
  </si>
  <si>
    <t>LT-002979-18/BX</t>
  </si>
  <si>
    <t>LT-897633-18/KI</t>
  </si>
  <si>
    <t>LT-018109-17/KI</t>
  </si>
  <si>
    <t>LT-023533-18/BX</t>
  </si>
  <si>
    <t>LT-092150-17/KI</t>
  </si>
  <si>
    <t>LT-019128-18/KI</t>
  </si>
  <si>
    <t>LT-075615-18/KI</t>
  </si>
  <si>
    <t>LT-065993-18/KI</t>
  </si>
  <si>
    <t>LT-032942-18/BX</t>
  </si>
  <si>
    <t>LT-038377-18/BX</t>
  </si>
  <si>
    <t>LT-038035-18/BX</t>
  </si>
  <si>
    <t>LT-036126-18/BX</t>
  </si>
  <si>
    <t>LT-036332-18/BX</t>
  </si>
  <si>
    <t>LT-037955-18/BX</t>
  </si>
  <si>
    <t>LT-033821-18/BX</t>
  </si>
  <si>
    <t>LT-036662-18/BX</t>
  </si>
  <si>
    <t>LT-037489-18/BX</t>
  </si>
  <si>
    <t>LT-040951-17/BX</t>
  </si>
  <si>
    <t>LT 56779/18</t>
  </si>
  <si>
    <t>LT-011691-18/BX</t>
  </si>
  <si>
    <t>LT-037500-18/BX</t>
  </si>
  <si>
    <t>LT-070656-17/BX</t>
  </si>
  <si>
    <t>LT-039446-18/BX</t>
  </si>
  <si>
    <t>LT-039082-18/BX</t>
  </si>
  <si>
    <t>LT-037559-18/BX</t>
  </si>
  <si>
    <t>LT-013048-18/KI</t>
  </si>
  <si>
    <t>LT-017548-18/KI</t>
  </si>
  <si>
    <t>LT-052971-16/BX</t>
  </si>
  <si>
    <t>LT-035619-18/BX</t>
  </si>
  <si>
    <t>LT-019106-17/NY</t>
  </si>
  <si>
    <t>LT-075245-18/KI</t>
  </si>
  <si>
    <t>LT-050216-18/KI</t>
  </si>
  <si>
    <t>LT-065188-18/NY</t>
  </si>
  <si>
    <t>LT-049916-16/BX</t>
  </si>
  <si>
    <t>LT-036980-18/BX</t>
  </si>
  <si>
    <t>LT-077936-18/KI</t>
  </si>
  <si>
    <t>LT-065922-18/KI</t>
  </si>
  <si>
    <t>LT-041047-18/BX</t>
  </si>
  <si>
    <t>LT-038666-18/BX</t>
  </si>
  <si>
    <t>LT-077517-18/KI</t>
  </si>
  <si>
    <t>GD-610056-OM</t>
  </si>
  <si>
    <t>GQ-610056-OM</t>
  </si>
  <si>
    <t>LT-076527-18/KI</t>
  </si>
  <si>
    <t>LT-069092-18/KI</t>
  </si>
  <si>
    <t>LT-077261-18/KI</t>
  </si>
  <si>
    <t>LT-062646-18/NY</t>
  </si>
  <si>
    <t>LT-053982-17/NY</t>
  </si>
  <si>
    <t>LT-002925-18/KI</t>
  </si>
  <si>
    <t>LT-046926-18/BX</t>
  </si>
  <si>
    <t>LT-076374-18/KI</t>
  </si>
  <si>
    <t>LT-039657-18/BX</t>
  </si>
  <si>
    <t>LT-077583-18/KI</t>
  </si>
  <si>
    <t>LT-067906-18/NY</t>
  </si>
  <si>
    <t>LT-016753-18/NY</t>
  </si>
  <si>
    <t>LT-041280-18/BX</t>
  </si>
  <si>
    <t>LT-058385-18/NY</t>
  </si>
  <si>
    <t>LT-039223-18/BX</t>
  </si>
  <si>
    <t>LT-012010-18/NY</t>
  </si>
  <si>
    <t>LT-001595-18/NY</t>
  </si>
  <si>
    <t>LT-003413-17/KI</t>
  </si>
  <si>
    <t>LT-082442-18/KI</t>
  </si>
  <si>
    <t>LT-059228-18/QU</t>
  </si>
  <si>
    <t>LT-041315-18/BX</t>
  </si>
  <si>
    <t>LT-052293-18/RI</t>
  </si>
  <si>
    <t>LT-038244-18/BX</t>
  </si>
  <si>
    <t>no case yet</t>
  </si>
  <si>
    <t>LT-065347-18/QU</t>
  </si>
  <si>
    <t>LT-042254-18/BX</t>
  </si>
  <si>
    <t>LT-042058-18/BX</t>
  </si>
  <si>
    <t>LT-069016-18/QU</t>
  </si>
  <si>
    <t>LT-061047-18/QU</t>
  </si>
  <si>
    <t>LT-043691-18/BX</t>
  </si>
  <si>
    <t>LT-068647-18/QU</t>
  </si>
  <si>
    <t>LT-068254-18/QU</t>
  </si>
  <si>
    <t>LT-074331-18/KI</t>
  </si>
  <si>
    <t>LT-068494-18/QU</t>
  </si>
  <si>
    <t>LT-079909-17/QU</t>
  </si>
  <si>
    <t>LT-079231-18/KI</t>
  </si>
  <si>
    <t>LT-079990-18/KI</t>
  </si>
  <si>
    <t>LT-068077-18/QU</t>
  </si>
  <si>
    <t>LT-060150-18/QU</t>
  </si>
  <si>
    <t>LT-063623-18/KI</t>
  </si>
  <si>
    <t>LT-062448-18/QU</t>
  </si>
  <si>
    <t>LT-067442-18/QU</t>
  </si>
  <si>
    <t>LT-039952-18/BX</t>
  </si>
  <si>
    <t>LT-030825-18/BX</t>
  </si>
  <si>
    <t>LT-079986-18/KI</t>
  </si>
  <si>
    <t>LT-047125-17/BX</t>
  </si>
  <si>
    <t>LT-046846-17/BX</t>
  </si>
  <si>
    <t>LT-005523-18/KI</t>
  </si>
  <si>
    <t>LT-076986-18/KI</t>
  </si>
  <si>
    <t>LT-074173-18/KI</t>
  </si>
  <si>
    <t>LT-070767-18/KI</t>
  </si>
  <si>
    <t>LT-066032-18/QU</t>
  </si>
  <si>
    <t>LT-054223-18/QU</t>
  </si>
  <si>
    <t>LT-065275-18/QU</t>
  </si>
  <si>
    <t>LT-000171-18/RI</t>
  </si>
  <si>
    <t>LT-052328-18/RI</t>
  </si>
  <si>
    <t>LT-006941-18/NY</t>
  </si>
  <si>
    <t>LT-010971-18/RI</t>
  </si>
  <si>
    <t>LT-068702-18/QU</t>
  </si>
  <si>
    <t>LT-078228-18/KI</t>
  </si>
  <si>
    <t>LT-081582-13/NY</t>
  </si>
  <si>
    <t>LT-070478-18/NY</t>
  </si>
  <si>
    <t>LT-043895-18/BX</t>
  </si>
  <si>
    <t>LT-024757-17/BX</t>
  </si>
  <si>
    <t>LT-057357-18/QU</t>
  </si>
  <si>
    <t>LT-043751-18/BX</t>
  </si>
  <si>
    <t>LT-066638-18/NY</t>
  </si>
  <si>
    <t>LT-017419-18/NY</t>
  </si>
  <si>
    <t>LT-062581-18/NY</t>
  </si>
  <si>
    <t>LT-064134-18/NY</t>
  </si>
  <si>
    <t>LT-044030-18/BX</t>
  </si>
  <si>
    <t>LT-042937-18/BX</t>
  </si>
  <si>
    <t>LT-068781-18/QU</t>
  </si>
  <si>
    <t>LT-066139-18/QU</t>
  </si>
  <si>
    <t>LT-069357-18/QU</t>
  </si>
  <si>
    <t>LT-011204-18/QU</t>
  </si>
  <si>
    <t>LT-077757-18/KI</t>
  </si>
  <si>
    <t>LT-032896-18/BX</t>
  </si>
  <si>
    <t>LT-036614-18/BX</t>
  </si>
  <si>
    <t>LT-070929-18/NY</t>
  </si>
  <si>
    <t>LT-055593-18/KI</t>
  </si>
  <si>
    <t>LT-034217-18/BX</t>
  </si>
  <si>
    <t>LT-79538-18/KI</t>
  </si>
  <si>
    <t>LT-084792-18/KI</t>
  </si>
  <si>
    <t>LT-084795-18/KI</t>
  </si>
  <si>
    <t>LT-038009-18/BX</t>
  </si>
  <si>
    <t>LT-019527-18/BX</t>
  </si>
  <si>
    <t>LT-067972-18/QU</t>
  </si>
  <si>
    <t>LT-031102-18/BX</t>
  </si>
  <si>
    <t>LT-039846-18/BX</t>
  </si>
  <si>
    <t>LT-041249-18/BX</t>
  </si>
  <si>
    <t>LT-030359-18/BX</t>
  </si>
  <si>
    <t>LT-068879-18/QU</t>
  </si>
  <si>
    <t>LT-077753-17/QU</t>
  </si>
  <si>
    <t>LT-011023-17/KI</t>
  </si>
  <si>
    <t>LT-025045-18/BX</t>
  </si>
  <si>
    <t>LT-051562-18/RI</t>
  </si>
  <si>
    <t>LT-052839-18/KI</t>
  </si>
  <si>
    <t>LT-037290-18/BX</t>
  </si>
  <si>
    <t>LT-048841-17/BX</t>
  </si>
  <si>
    <t>LT-062582-17/KI</t>
  </si>
  <si>
    <t>GS-610032-R</t>
  </si>
  <si>
    <t>LT-021446-18/BX</t>
  </si>
  <si>
    <t>LT-055688-18/KI</t>
  </si>
  <si>
    <t>LT-062144-18/QU</t>
  </si>
  <si>
    <t>LT-028334-18/BX</t>
  </si>
  <si>
    <t>LT-033450-18/BX</t>
  </si>
  <si>
    <t>LT-015479-18/KI</t>
  </si>
  <si>
    <t>LT-052232-18/RI</t>
  </si>
  <si>
    <t>LT-251456-18/NY</t>
  </si>
  <si>
    <t>LT-070655-18/NY</t>
  </si>
  <si>
    <t>LT-079305-18/KI</t>
  </si>
  <si>
    <t>LT-068893-18/QU</t>
  </si>
  <si>
    <t>LT-067299-18/NY</t>
  </si>
  <si>
    <t>LT-040943-18/BX</t>
  </si>
  <si>
    <t>LT-058049-18/NY</t>
  </si>
  <si>
    <t>LT-001050-18/QU</t>
  </si>
  <si>
    <t>459/2013</t>
  </si>
  <si>
    <t>LT-11648-16/QU</t>
  </si>
  <si>
    <t>LT-010645-18/RI</t>
  </si>
  <si>
    <t>LT-031369-18/BX</t>
  </si>
  <si>
    <t>LT-078880-18/KI</t>
  </si>
  <si>
    <t>LT-71078-18/NY</t>
  </si>
  <si>
    <t>LT-080576-18/KI</t>
  </si>
  <si>
    <t>LT-064232-18/KI</t>
  </si>
  <si>
    <t>LT-078665-18/KI</t>
  </si>
  <si>
    <t>LT-057800-18/QU</t>
  </si>
  <si>
    <t>LT-044406-17/BX</t>
  </si>
  <si>
    <t>LT-052244-18/RI</t>
  </si>
  <si>
    <t>LT-052423-18/RI</t>
  </si>
  <si>
    <t>LT-034269-18/BX</t>
  </si>
  <si>
    <t>LT-045283-18/BX</t>
  </si>
  <si>
    <t>LT-026209-18/BX</t>
  </si>
  <si>
    <t>LT-034501-18/BX</t>
  </si>
  <si>
    <t>LT-043103-18/BX</t>
  </si>
  <si>
    <t>LT-83699-18/KI</t>
  </si>
  <si>
    <t>LT-048631-17/BX</t>
  </si>
  <si>
    <t>LT-054036-18/QU</t>
  </si>
  <si>
    <t>LT-041671-18/BX</t>
  </si>
  <si>
    <t>LT-101292-18/KI</t>
  </si>
  <si>
    <t>LT-069776-18/QU</t>
  </si>
  <si>
    <t>LT-055130-18/NY</t>
  </si>
  <si>
    <t>LT-068728-18/QU</t>
  </si>
  <si>
    <t>LT-060649-18/QU</t>
  </si>
  <si>
    <t>LT-000174-18/RI</t>
  </si>
  <si>
    <t>LT-075396-18/KI</t>
  </si>
  <si>
    <t>LT-011822-18/QU</t>
  </si>
  <si>
    <t>LT-018007-18/KI</t>
  </si>
  <si>
    <t>LT-044486-18/BX</t>
  </si>
  <si>
    <t>LT-043221-18/BX</t>
  </si>
  <si>
    <t>LT-041050-18/BX</t>
  </si>
  <si>
    <t>LT-043202-18/BX</t>
  </si>
  <si>
    <t>LT-072276-16/BX</t>
  </si>
  <si>
    <t>LT-044750-18/BX</t>
  </si>
  <si>
    <t>LT-041242-18/BX</t>
  </si>
  <si>
    <t>LT-060544-18/QU</t>
  </si>
  <si>
    <t>LT-069822-18/QU</t>
  </si>
  <si>
    <t>LT-058569-18/QU</t>
  </si>
  <si>
    <t>LT-068788-18/QU</t>
  </si>
  <si>
    <t>LT-066775-18/QU</t>
  </si>
  <si>
    <t>LT-066840-18/KI</t>
  </si>
  <si>
    <t>LT-061040-18/QU</t>
  </si>
  <si>
    <t>LT-75797-16/QU</t>
  </si>
  <si>
    <t>LT-038929-17/BX</t>
  </si>
  <si>
    <t>LT-038081-18/BX</t>
  </si>
  <si>
    <t>LT-045594-18/BX</t>
  </si>
  <si>
    <t>LT-068789-18/QU</t>
  </si>
  <si>
    <t>LT-045045-18/BX</t>
  </si>
  <si>
    <t>LT-069768-18/QU</t>
  </si>
  <si>
    <t>LT-079778-18/KI</t>
  </si>
  <si>
    <t>LT-052413-18/RI</t>
  </si>
  <si>
    <t>LT-010929-18/RI</t>
  </si>
  <si>
    <t>LT-069038-18/QU</t>
  </si>
  <si>
    <t>LT-042639-18/BX</t>
  </si>
  <si>
    <t>LT-06300-18/QU</t>
  </si>
  <si>
    <t>LT-060254-18/QU</t>
  </si>
  <si>
    <t>LT-069039-18/QU</t>
  </si>
  <si>
    <t>LT-069799-18/QU</t>
  </si>
  <si>
    <t>LT-068468-18/QU</t>
  </si>
  <si>
    <t>LT-061593-17/NY</t>
  </si>
  <si>
    <t>LT-069287-17/QU</t>
  </si>
  <si>
    <t>LT-048827-17/BX</t>
  </si>
  <si>
    <t>LT-064752-18/QU</t>
  </si>
  <si>
    <t>LT-031252-18/BX</t>
  </si>
  <si>
    <t>LT-030591-18/BX</t>
  </si>
  <si>
    <t>LT-070279-18/QU</t>
  </si>
  <si>
    <t>LT-068426-18/QU</t>
  </si>
  <si>
    <t>LT-065476-18/QU</t>
  </si>
  <si>
    <t>LT-069796-18/QU</t>
  </si>
  <si>
    <t>LT-069770-18/QU</t>
  </si>
  <si>
    <t>LT-069456-18/QU</t>
  </si>
  <si>
    <t>LT-069431-18/QU</t>
  </si>
  <si>
    <t>LT-068812-18/QU</t>
  </si>
  <si>
    <t>LT-065888-18/QU</t>
  </si>
  <si>
    <t>LT-052763-18/RI</t>
  </si>
  <si>
    <t>LT-052582-18/RI</t>
  </si>
  <si>
    <t>LT-069832-18/NY</t>
  </si>
  <si>
    <t>LT-804520-17/BX</t>
  </si>
  <si>
    <t>LT-040008-18/BX</t>
  </si>
  <si>
    <t>LT-037873-18/BX</t>
  </si>
  <si>
    <t>LT-200123-18/NY</t>
  </si>
  <si>
    <t>LT-080982-18/KI</t>
  </si>
  <si>
    <t>LT-081965-18/KI</t>
  </si>
  <si>
    <t>081476/15</t>
  </si>
  <si>
    <t>LT-59224-17/QU</t>
  </si>
  <si>
    <t>LT-076828-16/QU</t>
  </si>
  <si>
    <t>LT-024234-18/BX</t>
  </si>
  <si>
    <t>LT-026221-18/BX</t>
  </si>
  <si>
    <t>LT-069364-18/QU</t>
  </si>
  <si>
    <t>LT-046651-18/BX</t>
  </si>
  <si>
    <t>LT-074637-18/KI</t>
  </si>
  <si>
    <t>LT-045005-18/BX</t>
  </si>
  <si>
    <t>LT-002524-18/BX</t>
  </si>
  <si>
    <t>LT-052530-18/RI</t>
  </si>
  <si>
    <t>LT-071200-17/BX</t>
  </si>
  <si>
    <t>LT-029727-18/BX</t>
  </si>
  <si>
    <t>LT-064358-18/NY</t>
  </si>
  <si>
    <t>LT-065958-18/KI</t>
  </si>
  <si>
    <t>LT-072787-18/KI</t>
  </si>
  <si>
    <t>LT-051330-18/RI</t>
  </si>
  <si>
    <t>LT-047565-18/BX</t>
  </si>
  <si>
    <t>LT-036769-16/BX</t>
  </si>
  <si>
    <t>LT-080471-18/KI</t>
  </si>
  <si>
    <t>LT-047273-18/BX</t>
  </si>
  <si>
    <t>LT-053100-17/BX</t>
  </si>
  <si>
    <t>LT-074381-18/KI</t>
  </si>
  <si>
    <t>LT-078213-18/KI</t>
  </si>
  <si>
    <t>LT-066492-18/QU</t>
  </si>
  <si>
    <t>LT-010966-18/RI</t>
  </si>
  <si>
    <t>LT-022248-17/KI</t>
  </si>
  <si>
    <t>LT-058928-18/QU</t>
  </si>
  <si>
    <t>LT-070440-18/QU</t>
  </si>
  <si>
    <t>LT-065205-18/QU</t>
  </si>
  <si>
    <t>LT-070186-18/QU</t>
  </si>
  <si>
    <t>LT-070514-18/QU</t>
  </si>
  <si>
    <t>LT-068639-18/QU</t>
  </si>
  <si>
    <t>LT-010947-18/RI</t>
  </si>
  <si>
    <t>LT-010967-18/RI</t>
  </si>
  <si>
    <t>LT-052485-18/RI</t>
  </si>
  <si>
    <t>LT-013140-18/QU</t>
  </si>
  <si>
    <t>LT-069253-18/QU</t>
  </si>
  <si>
    <t>LT-65708-18/KI</t>
  </si>
  <si>
    <t>LT-045385-18/BX</t>
  </si>
  <si>
    <t>LT-067451-18/QU</t>
  </si>
  <si>
    <t>LT-042062-18/BX</t>
  </si>
  <si>
    <t>LT-044588-18/BX</t>
  </si>
  <si>
    <t>LT-010575-18/RI</t>
  </si>
  <si>
    <t>LT-063787-18/QU</t>
  </si>
  <si>
    <t>LT-068704-18/QU</t>
  </si>
  <si>
    <t>LT-052417-18/RI</t>
  </si>
  <si>
    <t>LT-066132-18/QU</t>
  </si>
  <si>
    <t>LT-045847-18/BX</t>
  </si>
  <si>
    <t>LT-067202-18/QU</t>
  </si>
  <si>
    <t>LT-069646-18/QU</t>
  </si>
  <si>
    <t>LT-251528-18/NY</t>
  </si>
  <si>
    <t>LT-052508-18/RI</t>
  </si>
  <si>
    <t>LT-050391-17/BX</t>
  </si>
  <si>
    <t>LT-076787-18/KI</t>
  </si>
  <si>
    <t>LT-069277-18/QU</t>
  </si>
  <si>
    <t>LT-074445-18/KI</t>
  </si>
  <si>
    <t>LT-072419-18/KI</t>
  </si>
  <si>
    <t>LT-068340-18/QU</t>
  </si>
  <si>
    <t>LT-069442-18/QU</t>
  </si>
  <si>
    <t>LT-046507-18/BX</t>
  </si>
  <si>
    <t>LT-070283-18/QU</t>
  </si>
  <si>
    <t>LT-068360-18/QU</t>
  </si>
  <si>
    <t>LT-065587-18/NY</t>
  </si>
  <si>
    <t>LT-017031-18/NY</t>
  </si>
  <si>
    <t>LT-070448-18/NY</t>
  </si>
  <si>
    <t>LT-069874-18/NY</t>
  </si>
  <si>
    <t>LT-071859-18/NY</t>
  </si>
  <si>
    <t>LT-062831-17/NY</t>
  </si>
  <si>
    <t>LT-071711-18/NY</t>
  </si>
  <si>
    <t>LT-065949-18/QU</t>
  </si>
  <si>
    <t>LT-069622</t>
  </si>
  <si>
    <t>LT-046431-18/BX</t>
  </si>
  <si>
    <t>LT-023411-16/BX</t>
  </si>
  <si>
    <t>LT-076661-18/QU</t>
  </si>
  <si>
    <t>LT-068620-18/QU</t>
  </si>
  <si>
    <t>LT-070665-18/QU</t>
  </si>
  <si>
    <t>LT-069809-18/QU</t>
  </si>
  <si>
    <t>LT-070669-18/QU</t>
  </si>
  <si>
    <t>LT-015340-18/NY</t>
  </si>
  <si>
    <t>LT-070953-18/NY</t>
  </si>
  <si>
    <t>LT-065702-18/NY</t>
  </si>
  <si>
    <t>LT-072281-18/NY</t>
  </si>
  <si>
    <t>LT-071990-18/NY</t>
  </si>
  <si>
    <t>LT-068840-18/QU</t>
  </si>
  <si>
    <t>LT-69448-18/QU</t>
  </si>
  <si>
    <t>LT-070008-18/QU</t>
  </si>
  <si>
    <t>LT-070278-18/QU</t>
  </si>
  <si>
    <t>LT-070649-18/QU</t>
  </si>
  <si>
    <t>LT-066368-18/QU</t>
  </si>
  <si>
    <t>LT-069260-18/QU</t>
  </si>
  <si>
    <t>LT-063459-18/NY</t>
  </si>
  <si>
    <t>LT-069270-18/QU</t>
  </si>
  <si>
    <t>LT-068992-15/BX</t>
  </si>
  <si>
    <t>LT-066509-18/QU</t>
  </si>
  <si>
    <t>LT-052476-18/RI</t>
  </si>
  <si>
    <t>LT-047293-18/BX</t>
  </si>
  <si>
    <t>LT-078385-18/KI</t>
  </si>
  <si>
    <t>LT-027944-18/BX</t>
  </si>
  <si>
    <t>LT-065843-18/BX</t>
  </si>
  <si>
    <t>LT-058414-18/KI</t>
  </si>
  <si>
    <t>LT-070195-18/QU</t>
  </si>
  <si>
    <t>LT-045843-18/BX</t>
  </si>
  <si>
    <t>LT-045825-18/BX</t>
  </si>
  <si>
    <t>LT-023444-18/BX</t>
  </si>
  <si>
    <t>LT-034288-18/BX</t>
  </si>
  <si>
    <t>LT-080900-18/KI</t>
  </si>
  <si>
    <t>LT-078345-18/KI</t>
  </si>
  <si>
    <t>LT-082960-18/KI</t>
  </si>
  <si>
    <t>LT-078959-18/KI</t>
  </si>
  <si>
    <t>LT-068059-18/KI</t>
  </si>
  <si>
    <t>LT-073409-18/KI</t>
  </si>
  <si>
    <t>LT-037648-18/BX</t>
  </si>
  <si>
    <t>LT-077714-18/KI</t>
  </si>
  <si>
    <t>LT-060122-18/QU</t>
  </si>
  <si>
    <t>LT-052568-18/RI</t>
  </si>
  <si>
    <t>LT-052489-18/RI</t>
  </si>
  <si>
    <t>LT-034824-18/BX</t>
  </si>
  <si>
    <t>LT-046411-18/BX</t>
  </si>
  <si>
    <t>LT-052583-18/RI</t>
  </si>
  <si>
    <t>LT-025003-17/NY</t>
  </si>
  <si>
    <t>LT-070739-17/BX</t>
  </si>
  <si>
    <t>LT-59055-18/NY</t>
  </si>
  <si>
    <t>LT-069169-18/NY</t>
  </si>
  <si>
    <t>LT-045738-18/BX</t>
  </si>
  <si>
    <t>LT-67414-18/NY</t>
  </si>
  <si>
    <t>LT-049801-16/BX</t>
  </si>
  <si>
    <t>LT-074683-18/KI</t>
  </si>
  <si>
    <t>LT-076070-18/KI</t>
  </si>
  <si>
    <t>LT-079351-18/KI</t>
  </si>
  <si>
    <t>LT-065438-18/KI</t>
  </si>
  <si>
    <t>LT-075274-18/KI</t>
  </si>
  <si>
    <t>LT-072686-18/KI</t>
  </si>
  <si>
    <t>LT-804125-18/BX</t>
  </si>
  <si>
    <t>LT-807803-18/BX</t>
  </si>
  <si>
    <t>LT-039890-18/BX</t>
  </si>
  <si>
    <t>LT-045325-18/BX</t>
  </si>
  <si>
    <t>LT-809213-18/BX</t>
  </si>
  <si>
    <t>Unknown</t>
  </si>
  <si>
    <t>LT-081477-18/KI</t>
  </si>
  <si>
    <t>LT-062821-17/BX</t>
  </si>
  <si>
    <t>LT-070213-18/QU</t>
  </si>
  <si>
    <t>LT-081081-18/KI</t>
  </si>
  <si>
    <t>LT-015395-18/NY</t>
  </si>
  <si>
    <t>LT-808516-18/BX</t>
  </si>
  <si>
    <t>LT-83464-18/KI</t>
  </si>
  <si>
    <t>LT-059338-18/QU</t>
  </si>
  <si>
    <t>LT-042243-18/BX</t>
  </si>
  <si>
    <t>LT-019163-18/BX</t>
  </si>
  <si>
    <t>​LT-050576-18/BX</t>
  </si>
  <si>
    <t>LT-071613-18/NY</t>
  </si>
  <si>
    <t>LT-071992-18/NY</t>
  </si>
  <si>
    <t>LT-058751-17/QU</t>
  </si>
  <si>
    <t>LT-052600-18/RI</t>
  </si>
  <si>
    <t>LT-083186-18/KI</t>
  </si>
  <si>
    <t>LT-049953-17/BX</t>
  </si>
  <si>
    <t>LT-041310-17/BX</t>
  </si>
  <si>
    <t>LT-012022-17/BX</t>
  </si>
  <si>
    <t>LT-038865-18/BX</t>
  </si>
  <si>
    <t>LT-069983-18/QU</t>
  </si>
  <si>
    <t>LT-068712-18/QU</t>
  </si>
  <si>
    <t>LT-046046-18/BX</t>
  </si>
  <si>
    <t>LT-054296-18/QU</t>
  </si>
  <si>
    <t>LT-070657-18/QU</t>
  </si>
  <si>
    <t>LT-070513-18/QU</t>
  </si>
  <si>
    <t>LT-064730-18/QU</t>
  </si>
  <si>
    <t>LT-1290-18/QU</t>
  </si>
  <si>
    <t>LT-046682-18/BX</t>
  </si>
  <si>
    <t>LT-082072-18/KI</t>
  </si>
  <si>
    <t>LT-086961-18/KI</t>
  </si>
  <si>
    <t>LT-070880-18/QU</t>
  </si>
  <si>
    <t>LT-070943-18/QU</t>
  </si>
  <si>
    <t>LT-069740-18/QU</t>
  </si>
  <si>
    <t>LT-001342-18/QU</t>
  </si>
  <si>
    <t>LT-075241-18/KI</t>
  </si>
  <si>
    <t>LT-049954-17/BX</t>
  </si>
  <si>
    <t>LT-048787-17/BX</t>
  </si>
  <si>
    <t>LT-015070-18/BX</t>
  </si>
  <si>
    <t>LT-025335-18/BX</t>
  </si>
  <si>
    <t>LT-014480-17/KI</t>
  </si>
  <si>
    <t>LT-070009-18/QU</t>
  </si>
  <si>
    <t>LT-080892-18/KI</t>
  </si>
  <si>
    <t>LT-071067-18/QU</t>
  </si>
  <si>
    <t>LT-069985-18/QU</t>
  </si>
  <si>
    <t>LT-052091-18/RI</t>
  </si>
  <si>
    <t>LT-067364-18/NY</t>
  </si>
  <si>
    <t>LT-046305-18/BX</t>
  </si>
  <si>
    <t>LT-047118-18/BX</t>
  </si>
  <si>
    <t>LT-053576-18/KI</t>
  </si>
  <si>
    <t>LT-007655-18/QU</t>
  </si>
  <si>
    <t>LT-016240-18/BX</t>
  </si>
  <si>
    <t>LT-066567-18/QU</t>
  </si>
  <si>
    <t>LT-081489-18/KI</t>
  </si>
  <si>
    <t>LT-069834-18/QU</t>
  </si>
  <si>
    <t>LT-052669-18/RI</t>
  </si>
  <si>
    <t>LT-040056-18/BX</t>
  </si>
  <si>
    <t>LT-052691-18/RI</t>
  </si>
  <si>
    <t>LT-027954-18/BX</t>
  </si>
  <si>
    <t>LT-080172-18/KI</t>
  </si>
  <si>
    <t>LT-046301-18/BX</t>
  </si>
  <si>
    <t>LT-070725-18/QU</t>
  </si>
  <si>
    <t>LT-070654-18/QU</t>
  </si>
  <si>
    <t>LT-069201-18/QU</t>
  </si>
  <si>
    <t>LT-051600-18/RI</t>
  </si>
  <si>
    <t>LT-070538-18/QU</t>
  </si>
  <si>
    <t>LT-042377-18/BX</t>
  </si>
  <si>
    <t>LT-077645-18/KI</t>
  </si>
  <si>
    <t>LT-070264-18/NY</t>
  </si>
  <si>
    <t>LT-037257-18/BX</t>
  </si>
  <si>
    <t>LT-007127-18/QU</t>
  </si>
  <si>
    <t>LT-005578-18/QU</t>
  </si>
  <si>
    <t>LT-066521-18/QU</t>
  </si>
  <si>
    <t>LT-074091-18/KI</t>
  </si>
  <si>
    <t>LT-046158-18/BX</t>
  </si>
  <si>
    <t>LT-688769-18/NY</t>
  </si>
  <si>
    <t>LT-072396-18/KI</t>
  </si>
  <si>
    <t>LT-022299-18/BX</t>
  </si>
  <si>
    <t>LT-043638-18/BX</t>
  </si>
  <si>
    <t>LT-073109-18/QU</t>
  </si>
  <si>
    <t>LT-083158-18/KI</t>
  </si>
  <si>
    <t>LT-041311-17/BX</t>
  </si>
  <si>
    <t>LT-070717-16/BX</t>
  </si>
  <si>
    <t>LT-067937-18/QU</t>
  </si>
  <si>
    <t>LT-076172-17/NY</t>
  </si>
  <si>
    <t>LT-052770-18/RI</t>
  </si>
  <si>
    <t>LT-047689-18/BX</t>
  </si>
  <si>
    <t>LT-052544-18/RI</t>
  </si>
  <si>
    <t>LT-081981-18/KI</t>
  </si>
  <si>
    <t>LT-071355-18/NY</t>
  </si>
  <si>
    <t>LT-902905-18/NY</t>
  </si>
  <si>
    <t>LT-017683-18/NY</t>
  </si>
  <si>
    <t>LT-080941-18/KI</t>
  </si>
  <si>
    <t>LT-070710-18/NY</t>
  </si>
  <si>
    <t>LT-74442-18/KI</t>
  </si>
  <si>
    <t>LT-051124-17/BX</t>
  </si>
  <si>
    <t>LT-057449-18/NY</t>
  </si>
  <si>
    <t>LT-062392-16/NY</t>
  </si>
  <si>
    <t>LT-096781-14/KI</t>
  </si>
  <si>
    <t>LT-061474-17/KI</t>
  </si>
  <si>
    <t>LT-081169-17/NY</t>
  </si>
  <si>
    <t>LT-096265-17/KI</t>
  </si>
  <si>
    <t>1725/17</t>
  </si>
  <si>
    <t>LT-3162-17/KI</t>
  </si>
  <si>
    <t>LT-050961-18/NY</t>
  </si>
  <si>
    <t>LT-023034-17/KI</t>
  </si>
  <si>
    <t>LT-056948-18/NY</t>
  </si>
  <si>
    <t>LID-898261-AN-2018</t>
  </si>
  <si>
    <t>LT-058343-18/NY</t>
  </si>
  <si>
    <t>LT-061142-18/NY</t>
  </si>
  <si>
    <t>LT-067049-18/KI</t>
  </si>
  <si>
    <t>LT-011444-18/NY</t>
  </si>
  <si>
    <t>LT-054466-18/NY</t>
  </si>
  <si>
    <t>V#0456358; LID#902252</t>
  </si>
  <si>
    <t>LT-064186-18/NY</t>
  </si>
  <si>
    <t>LT-064828-18/NY</t>
  </si>
  <si>
    <t>LT-034758-18/BX</t>
  </si>
  <si>
    <t>LT-048446-17/KI</t>
  </si>
  <si>
    <t>LT-033970-18/BX</t>
  </si>
  <si>
    <t>LT-036493-18/BX</t>
  </si>
  <si>
    <t>LT-079643-18/KI</t>
  </si>
  <si>
    <t>LT-068638-18/NY</t>
  </si>
  <si>
    <t>LT-065477-18/NY</t>
  </si>
  <si>
    <t>LT-036627-18/BX</t>
  </si>
  <si>
    <t>LT-039258-18/BX</t>
  </si>
  <si>
    <t>LT-043716-18/BX</t>
  </si>
  <si>
    <t>LT-040713-18/BX</t>
  </si>
  <si>
    <t>LT-068622-18/NY</t>
  </si>
  <si>
    <t>LT-070109-18/NY</t>
  </si>
  <si>
    <t>LT-073250-18/NY</t>
  </si>
  <si>
    <t>LT-068392-18/NY</t>
  </si>
  <si>
    <t>LT-043754-18/BX</t>
  </si>
  <si>
    <t>LT-045405-18/BX</t>
  </si>
  <si>
    <t>LT-069569-18/QU</t>
  </si>
  <si>
    <t>LT-071188-18/NY</t>
  </si>
  <si>
    <t>LT-071079-18/NY</t>
  </si>
  <si>
    <t>LT-016819-18/NY</t>
  </si>
  <si>
    <t>LT-069109-18/NY</t>
  </si>
  <si>
    <t>LT-044564-18/BX</t>
  </si>
  <si>
    <t>LT-215176-18/BX</t>
  </si>
  <si>
    <t>LT-043782-18/BX</t>
  </si>
  <si>
    <t>LT-031767-18/BX</t>
  </si>
  <si>
    <t>LT-045322-18/BX</t>
  </si>
  <si>
    <t>LT-804647-17/BX</t>
  </si>
  <si>
    <t>LT-000530-18/KI</t>
  </si>
  <si>
    <t>LT-048774-18/BX</t>
  </si>
  <si>
    <t>LT-043557-18/BX</t>
  </si>
  <si>
    <t>LT-052716-18/RI</t>
  </si>
  <si>
    <t>LT-040157-18/BX</t>
  </si>
  <si>
    <t>LT-046121-18/BX</t>
  </si>
  <si>
    <t>LT-036109-18/BX</t>
  </si>
  <si>
    <t>LT-047381-18/BX</t>
  </si>
  <si>
    <t>LT-046412-18/BX</t>
  </si>
  <si>
    <t>LT-073705-18/KI</t>
  </si>
  <si>
    <t>LT-041096-18/BX</t>
  </si>
  <si>
    <t>LT-078178-18/KI</t>
  </si>
  <si>
    <t>LT-045823-18/BX</t>
  </si>
  <si>
    <t>LT-159854-18/BX</t>
  </si>
  <si>
    <t>LT-079704-12/NY</t>
  </si>
  <si>
    <t>CX-063009-OM</t>
  </si>
  <si>
    <t>LT-040036-17/BX</t>
  </si>
  <si>
    <t>LT-051121-17/BX</t>
  </si>
  <si>
    <t>LT-009150-18/BX</t>
  </si>
  <si>
    <t>LT-080757-18/KI</t>
  </si>
  <si>
    <t>LT-045417-18/BX</t>
  </si>
  <si>
    <t>LT-046047-18/BX</t>
  </si>
  <si>
    <t>LT-052730-18/RI</t>
  </si>
  <si>
    <t>LT-048728-18/BX</t>
  </si>
  <si>
    <t>LT-047182-18/BX</t>
  </si>
  <si>
    <t>LT-070833-18/QU</t>
  </si>
  <si>
    <t>LT-070488-18/QU</t>
  </si>
  <si>
    <t>LT-013188-18/QU</t>
  </si>
  <si>
    <t>LT-065814-18/QU</t>
  </si>
  <si>
    <t>LT-070641-18/QU</t>
  </si>
  <si>
    <t>LT-070656-18/QU</t>
  </si>
  <si>
    <t>LT-071109-18/QU</t>
  </si>
  <si>
    <t>LT-071087-18/QU</t>
  </si>
  <si>
    <t>LT-047825-18/BX</t>
  </si>
  <si>
    <t>LT-070644-18/QU</t>
  </si>
  <si>
    <t>LT-031402-18/BX</t>
  </si>
  <si>
    <t>LT-035995-18/BX</t>
  </si>
  <si>
    <t>LT-049603-18/BX</t>
  </si>
  <si>
    <t>LT-071948-18/NY</t>
  </si>
  <si>
    <t>LT-082361-18/KI</t>
  </si>
  <si>
    <t>LT-041621-18/BX</t>
  </si>
  <si>
    <t>LT-060144-18/QU</t>
  </si>
  <si>
    <t>LT-048530-18/BX</t>
  </si>
  <si>
    <t>LT-047479-18/BX</t>
  </si>
  <si>
    <t>GP-610048-RV</t>
  </si>
  <si>
    <t>LT-070293-18/QU</t>
  </si>
  <si>
    <t>LT-047556-17/BX</t>
  </si>
  <si>
    <t>LT-076980-15/BX</t>
  </si>
  <si>
    <t>LT-066894-18/KI</t>
  </si>
  <si>
    <t>LT-082236-18/KI</t>
  </si>
  <si>
    <t>LT-080448-18/KI</t>
  </si>
  <si>
    <t>LT-001355-18/QU</t>
  </si>
  <si>
    <t>LT-083728-18/KI</t>
  </si>
  <si>
    <t>LT-070534-18/QU</t>
  </si>
  <si>
    <t>101589/2018</t>
  </si>
  <si>
    <t>LT-016746-18/KI</t>
  </si>
  <si>
    <t>LT-070888-18/QU</t>
  </si>
  <si>
    <t>LT-071257-18/QU</t>
  </si>
  <si>
    <t>LT-069821-18/QU</t>
  </si>
  <si>
    <t>LT-071144-18/QU</t>
  </si>
  <si>
    <t>LT-063408-18/QU</t>
  </si>
  <si>
    <t>LT-6184-18/QU</t>
  </si>
  <si>
    <t>LT-053128-18/RI</t>
  </si>
  <si>
    <t>LT-80394-18/KI</t>
  </si>
  <si>
    <t>LT-068296-18/QU</t>
  </si>
  <si>
    <t>LT-072140-18/NY</t>
  </si>
  <si>
    <t>LT-067046-18/NY</t>
  </si>
  <si>
    <t>LT-070935-18/QU</t>
  </si>
  <si>
    <t>LT-001912-16/KI</t>
  </si>
  <si>
    <t>LT-038742-18/BX</t>
  </si>
  <si>
    <t>LT-070883-18/QU</t>
  </si>
  <si>
    <t>LT-050877-18/BX</t>
  </si>
  <si>
    <t>LT-070890-18/QU</t>
  </si>
  <si>
    <t>LT-070735-18/QU</t>
  </si>
  <si>
    <t>LT-071470-18/QU</t>
  </si>
  <si>
    <t>LT-069874-18/QU</t>
  </si>
  <si>
    <t>LT-068674-18/NY</t>
  </si>
  <si>
    <t>LT-046582-18/BX</t>
  </si>
  <si>
    <t>LT-047474-18/BX</t>
  </si>
  <si>
    <t>LT-061639-18/NY</t>
  </si>
  <si>
    <t>LT-021605-18/NY</t>
  </si>
  <si>
    <t>LT-73598-18/NY</t>
  </si>
  <si>
    <t>LT-082811-18/KI</t>
  </si>
  <si>
    <t>LT-045684-18/BX</t>
  </si>
  <si>
    <t>LT-052761-18/RI</t>
  </si>
  <si>
    <t>LT-064048-17/BX</t>
  </si>
  <si>
    <t>LT-045996-17/KI</t>
  </si>
  <si>
    <t>LT-047185-18/BX</t>
  </si>
  <si>
    <t>LT-052747-18/RI</t>
  </si>
  <si>
    <t>LT-052331-18/RI</t>
  </si>
  <si>
    <t>LT-048480-18/BX</t>
  </si>
  <si>
    <t>LT-045733-18/BX</t>
  </si>
  <si>
    <t>LT-046470-18/BX</t>
  </si>
  <si>
    <t>LT-043614-18/BX</t>
  </si>
  <si>
    <t>LT-049443-18/BX</t>
  </si>
  <si>
    <t>LT-050581-18/BX</t>
  </si>
  <si>
    <t>LT-046885-18/BX</t>
  </si>
  <si>
    <t>LT-083575-18/KI</t>
  </si>
  <si>
    <t>LT-052698-18/RI</t>
  </si>
  <si>
    <t>LT-069166-17/QU</t>
  </si>
  <si>
    <t>LT-078364-18/KI</t>
  </si>
  <si>
    <t>LT-069723-18/KI</t>
  </si>
  <si>
    <t>LT-082835-18/KI</t>
  </si>
  <si>
    <t>LT-050185-18/BX</t>
  </si>
  <si>
    <t>LT-048307-18/BX</t>
  </si>
  <si>
    <t>LT-048436-17/BX</t>
  </si>
  <si>
    <t>LT-069205-18/KI</t>
  </si>
  <si>
    <t>LT-070731-18/NY</t>
  </si>
  <si>
    <t>LT-067426-17/BX</t>
  </si>
  <si>
    <t>LT-046283-18/BX</t>
  </si>
  <si>
    <t>LT-093398-17/KI</t>
  </si>
  <si>
    <t>LT-068250-18/QU</t>
  </si>
  <si>
    <t>LT-063130-18/QU</t>
  </si>
  <si>
    <t>LT-067913-18/QU</t>
  </si>
  <si>
    <t>LT-071523-18/QU</t>
  </si>
  <si>
    <t>LT-071999-18/QU</t>
  </si>
  <si>
    <t>LT-049313-18/BX</t>
  </si>
  <si>
    <t>LT-072326-18/QU</t>
  </si>
  <si>
    <t>LT-041307-18/BX</t>
  </si>
  <si>
    <t>LT-045435-18/BX</t>
  </si>
  <si>
    <t>LT-061618-17/BX</t>
  </si>
  <si>
    <t>LT-072020-18/QU</t>
  </si>
  <si>
    <t>LT-041049-18/BX</t>
  </si>
  <si>
    <t>LT-034192-18/BX</t>
  </si>
  <si>
    <t>LT-071524-18/QU</t>
  </si>
  <si>
    <t>LT-064476-18/QU</t>
  </si>
  <si>
    <t>LT-010939-18/RI</t>
  </si>
  <si>
    <t>LT-071155-18/QU</t>
  </si>
  <si>
    <t>LT-071464-18/QU</t>
  </si>
  <si>
    <t>LT-071157-18/QU</t>
  </si>
  <si>
    <t>LT-068580-18/QU</t>
  </si>
  <si>
    <t>LT-65309-18/NY</t>
  </si>
  <si>
    <t>LT-084686-18/KI</t>
  </si>
  <si>
    <t>LT-054039-17/BX</t>
  </si>
  <si>
    <t>LT-051476-17/BX</t>
  </si>
  <si>
    <t>LT-083207-18/KI</t>
  </si>
  <si>
    <t>LT-809684-18/BX</t>
  </si>
  <si>
    <t>LT-046432-18/BX</t>
  </si>
  <si>
    <t>LT-048316-18/BX</t>
  </si>
  <si>
    <t>LT-072605-18/QU</t>
  </si>
  <si>
    <t>LT-073439-18/KI</t>
  </si>
  <si>
    <t>LT-072500-18/NY</t>
  </si>
  <si>
    <t>LT-018497-18/NY</t>
  </si>
  <si>
    <t>LT-018595-18/NY</t>
  </si>
  <si>
    <t>LT-013299-18/QU</t>
  </si>
  <si>
    <t>LT-052174-18/RI</t>
  </si>
  <si>
    <t>LT-071240-18/QU</t>
  </si>
  <si>
    <t>LT-069663-18/QU</t>
  </si>
  <si>
    <t>LT-060746-18/QU</t>
  </si>
  <si>
    <t>LT-070865-18/QU</t>
  </si>
  <si>
    <t>LT-071513-18/QU</t>
  </si>
  <si>
    <t>LT-071662-18/NY</t>
  </si>
  <si>
    <t>LT-050915-18/RI</t>
  </si>
  <si>
    <t>LT-061344-18/QU</t>
  </si>
  <si>
    <t>LT-013809-15/BX</t>
  </si>
  <si>
    <t>LT-048726-18/BX</t>
  </si>
  <si>
    <t>LT-018115-18/NY</t>
  </si>
  <si>
    <t>LT-062299-18/NY</t>
  </si>
  <si>
    <t>LT-018235-18/NY</t>
  </si>
  <si>
    <t>LT-041530-18/BX</t>
  </si>
  <si>
    <t>LT-051208-18/BX</t>
  </si>
  <si>
    <t>LT-047091-18/BX</t>
  </si>
  <si>
    <t>LT-051677-18/BX</t>
  </si>
  <si>
    <t>LT-038625-18/BX</t>
  </si>
  <si>
    <t>LT-045699-18/BX</t>
  </si>
  <si>
    <t>LT-070871-18/QU</t>
  </si>
  <si>
    <t>LT-047501-18/BX</t>
  </si>
  <si>
    <t>LT-070866-18/QU</t>
  </si>
  <si>
    <t>LT-047191-18/BX</t>
  </si>
  <si>
    <t>LT-050306-18/BX</t>
  </si>
  <si>
    <t>LT-072357-18/NY</t>
  </si>
  <si>
    <t>LT-073369-18/NY</t>
  </si>
  <si>
    <t>LT-53460-18/RI</t>
  </si>
  <si>
    <t>859261-TD-2017</t>
  </si>
  <si>
    <t>LT-018295-18/NY</t>
  </si>
  <si>
    <t>LT-078438-18/KI</t>
  </si>
  <si>
    <t>LT-018615-17/NY</t>
  </si>
  <si>
    <t>LT-064040-18/NY</t>
  </si>
  <si>
    <t>LT-038054-18/BX</t>
  </si>
  <si>
    <t>LT-065954-18/KI</t>
  </si>
  <si>
    <t>L&amp;T-069217-18/KI</t>
  </si>
  <si>
    <t>LT-026472-18/BX</t>
  </si>
  <si>
    <t>LT-049527-18/BX</t>
  </si>
  <si>
    <t>LT-061743-18/QU</t>
  </si>
  <si>
    <t>LT-028337-18/BX</t>
  </si>
  <si>
    <t>LT-074159-17/BX</t>
  </si>
  <si>
    <t>LT-031454-18/BX</t>
  </si>
  <si>
    <t>LT-050450-18/BX</t>
  </si>
  <si>
    <t>LT-037591-18/BX</t>
  </si>
  <si>
    <t>LT-056611-16/BX</t>
  </si>
  <si>
    <t>LT-044271-17/BX</t>
  </si>
  <si>
    <t>LT-002909-18/KI</t>
  </si>
  <si>
    <t>LT-081140-18/KI</t>
  </si>
  <si>
    <t>LT-052854-18/RI</t>
  </si>
  <si>
    <t>LT-52930-18/RI</t>
  </si>
  <si>
    <t>LT-052721-18/RI</t>
  </si>
  <si>
    <t>LT-082690-18/KI</t>
  </si>
  <si>
    <t>LT-070582-18/QU</t>
  </si>
  <si>
    <t>LT-051118-18/BX</t>
  </si>
  <si>
    <t>LT-071129-18/NY</t>
  </si>
  <si>
    <t>LT-085763-18/KI</t>
  </si>
  <si>
    <t>LT-041371-18/BX</t>
  </si>
  <si>
    <t>LT-078530-18/KI</t>
  </si>
  <si>
    <t>LT-072368-18/NY</t>
  </si>
  <si>
    <t>LT-068486-18/NY</t>
  </si>
  <si>
    <t>LT-251549-13/NY</t>
  </si>
  <si>
    <t>LT-050606-18/BX</t>
  </si>
  <si>
    <t>LT-050426-18/BX</t>
  </si>
  <si>
    <t>LT-046824-18/BX</t>
  </si>
  <si>
    <t>LT-080878-18/KI</t>
  </si>
  <si>
    <t>LT-052884-18/RI</t>
  </si>
  <si>
    <t>LT-012783-18/NY</t>
  </si>
  <si>
    <t>LT-068745-18/QU</t>
  </si>
  <si>
    <t>LT-049680-18/BX</t>
  </si>
  <si>
    <t>LT-051339-18/BX</t>
  </si>
  <si>
    <t>LT-070566-18/NY</t>
  </si>
  <si>
    <t>LT-58333-18/KI</t>
  </si>
  <si>
    <t>LT-044966-18/BX</t>
  </si>
  <si>
    <t>LT-049523-18/BX</t>
  </si>
  <si>
    <t>LT-031262-18/BX</t>
  </si>
  <si>
    <t>LT-048386-18/BX</t>
  </si>
  <si>
    <t>LT-052945-18/RI</t>
  </si>
  <si>
    <t>LT-048205-18/BX</t>
  </si>
  <si>
    <t>LT-038851-18/BX</t>
  </si>
  <si>
    <t>LT-072369-18/NY</t>
  </si>
  <si>
    <t>LT-052803-18/RI</t>
  </si>
  <si>
    <t>LT-033565-18/BX</t>
  </si>
  <si>
    <t>LT-082701-18/KI</t>
  </si>
  <si>
    <t>LT-052292-17/BX</t>
  </si>
  <si>
    <t>LT-055742-17/BX</t>
  </si>
  <si>
    <t>LT-049083-17/BX</t>
  </si>
  <si>
    <t>LT-014062-18/KI</t>
  </si>
  <si>
    <t>LT-046991-18/BX</t>
  </si>
  <si>
    <t>LT-067729-18/QU</t>
  </si>
  <si>
    <t>LT-070492-18/QU</t>
  </si>
  <si>
    <t>LT-070881-18/QU</t>
  </si>
  <si>
    <t>LT-072863-18/QU</t>
  </si>
  <si>
    <t>LT-020369-18/KI</t>
  </si>
  <si>
    <t>LT-072342-18/QU</t>
  </si>
  <si>
    <t>LT-071503-18/QU</t>
  </si>
  <si>
    <t>LT-072943-18/QU</t>
  </si>
  <si>
    <t>LT-083740-18/KI</t>
  </si>
  <si>
    <t>LT-051232-18/BX</t>
  </si>
  <si>
    <t>LT-047217-18/BX</t>
  </si>
  <si>
    <t>LT-77931-201/KI</t>
  </si>
  <si>
    <t>LT-068768-18/QU</t>
  </si>
  <si>
    <t>LT-011083-18/RI</t>
  </si>
  <si>
    <t>LT-073315-18/QU</t>
  </si>
  <si>
    <t>LT-049698-17/BX</t>
  </si>
  <si>
    <t>LT-043692-17/BX</t>
  </si>
  <si>
    <t>LT-006480-18/KI</t>
  </si>
  <si>
    <t>LT-045766-17/BX</t>
  </si>
  <si>
    <t>LT-79700-18/NY</t>
  </si>
  <si>
    <t>LT-76589-18/NY</t>
  </si>
  <si>
    <t>LT-071164-18/QU</t>
  </si>
  <si>
    <t>LT-067096-18/QU</t>
  </si>
  <si>
    <t>LT-068178-18/QU</t>
  </si>
  <si>
    <t>LT-052822-18/RI</t>
  </si>
  <si>
    <t>LT-052905-18/RI</t>
  </si>
  <si>
    <t>LT-067802-18/QU</t>
  </si>
  <si>
    <t>LT-072091-18/QU</t>
  </si>
  <si>
    <t>LT-052911-18/RI</t>
  </si>
  <si>
    <t>LT-052916-18/RI</t>
  </si>
  <si>
    <t>LT-073427-18/NY</t>
  </si>
  <si>
    <t>LT-084299-18/KI</t>
  </si>
  <si>
    <t>LT-082433-18/KI</t>
  </si>
  <si>
    <t>LT-067917-18/QU</t>
  </si>
  <si>
    <t>LT-072819-18/QU</t>
  </si>
  <si>
    <t>LT-052906-18/RI</t>
  </si>
  <si>
    <t>LT-052809-18/RI</t>
  </si>
  <si>
    <t>LT-052918-18/RI</t>
  </si>
  <si>
    <t>LT-085021-18/KI</t>
  </si>
  <si>
    <t>LT-072072-18/QU</t>
  </si>
  <si>
    <t>LT-052818-18/RI</t>
  </si>
  <si>
    <t>LT-052963-18/RI</t>
  </si>
  <si>
    <t>LT-003383-18/KI</t>
  </si>
  <si>
    <t>LT-076387-18/QU</t>
  </si>
  <si>
    <t>LT-072225-18/QU</t>
  </si>
  <si>
    <t>LT-052810-18/RI</t>
  </si>
  <si>
    <t>LT-052915-18/RI</t>
  </si>
  <si>
    <t>LT-073078-18/QU</t>
  </si>
  <si>
    <t>LT-068428-18/QU</t>
  </si>
  <si>
    <t>LT-066022-18/QU</t>
  </si>
  <si>
    <t>LT-061923-17/BX</t>
  </si>
  <si>
    <t>LT-045585-18/BX</t>
  </si>
  <si>
    <t>LT-072015-18/QU</t>
  </si>
  <si>
    <t>LT-000029-19/NY</t>
  </si>
  <si>
    <t>LT-1861-18/NY</t>
  </si>
  <si>
    <t>LT-1860-18/NY</t>
  </si>
  <si>
    <t>11725/2015</t>
  </si>
  <si>
    <t>LT-055535-17/BX</t>
  </si>
  <si>
    <t>LT-56140-18/KI</t>
  </si>
  <si>
    <t>LT-002612-18/KI</t>
  </si>
  <si>
    <t>LT-080769-18/KI</t>
  </si>
  <si>
    <t>LT-080791-17/KI</t>
  </si>
  <si>
    <t>LT-076215-18/KI</t>
  </si>
  <si>
    <t>LT-72321-18/QU</t>
  </si>
  <si>
    <t>LT-065943-17/BX</t>
  </si>
  <si>
    <t>LT-047908-18/BX</t>
  </si>
  <si>
    <t>LT-080895-17/NY</t>
  </si>
  <si>
    <t>LT-028513-18/BX</t>
  </si>
  <si>
    <t>LT-000202-18/BX</t>
  </si>
  <si>
    <t>LT-050604-18/BX</t>
  </si>
  <si>
    <t>LT-051789-18/BX</t>
  </si>
  <si>
    <t>LT-044051-18/BX</t>
  </si>
  <si>
    <t>LT-085320-18/KI</t>
  </si>
  <si>
    <t>784398-CR-2015</t>
  </si>
  <si>
    <t>004196/2018</t>
  </si>
  <si>
    <t>LT-037251-18/BX</t>
  </si>
  <si>
    <t>LT-085568-18/KI</t>
  </si>
  <si>
    <t>LT-38344-18/BX</t>
  </si>
  <si>
    <t>LT-008768-18/BX</t>
  </si>
  <si>
    <t>LT-051995-18/BX</t>
  </si>
  <si>
    <t>LT-079800-17/QU</t>
  </si>
  <si>
    <t>LT-084412-18/KI</t>
  </si>
  <si>
    <t>LT-050419-18/RI</t>
  </si>
  <si>
    <t>LT-050786-18/BX</t>
  </si>
  <si>
    <t>LT-050508-18/BX</t>
  </si>
  <si>
    <t>LT-048786-18/BX</t>
  </si>
  <si>
    <t>LT-034725-18/BX</t>
  </si>
  <si>
    <t>LT-050945-18/BX</t>
  </si>
  <si>
    <t>LT-052637-17/RI</t>
  </si>
  <si>
    <t>LT-048819-18/BX</t>
  </si>
  <si>
    <t>LT-070143-18/KI</t>
  </si>
  <si>
    <t>LT-061374-18/QU</t>
  </si>
  <si>
    <t>LT-070145-18/KI</t>
  </si>
  <si>
    <t>LT-093597-17/KI</t>
  </si>
  <si>
    <t>LT-001188-18/BX</t>
  </si>
  <si>
    <t>LT-041745-18/BX</t>
  </si>
  <si>
    <t>LT-050209-18/BX</t>
  </si>
  <si>
    <t>LT-003453-18/KI</t>
  </si>
  <si>
    <t>LT-70144-18/KI</t>
  </si>
  <si>
    <t>LT-052757-18/RI</t>
  </si>
  <si>
    <t>LT-052957-18/RI</t>
  </si>
  <si>
    <t>LT-051013-18/RI</t>
  </si>
  <si>
    <t>LT-001399-18/QU</t>
  </si>
  <si>
    <t>LT-085380-18/KI</t>
  </si>
  <si>
    <t>LT-020172-18/BX</t>
  </si>
  <si>
    <t>LT-050910-18/BX</t>
  </si>
  <si>
    <t>LT-052845-18/BX</t>
  </si>
  <si>
    <t>LT-057952-17/BX</t>
  </si>
  <si>
    <t>LT-072234-18/KI</t>
  </si>
  <si>
    <t>LT-002608-18/KI</t>
  </si>
  <si>
    <t>LT-081072-18/KI</t>
  </si>
  <si>
    <t>LT-030364-18/BX</t>
  </si>
  <si>
    <t>LT-071730-18/QU</t>
  </si>
  <si>
    <t>LT-012752-18/QU</t>
  </si>
  <si>
    <t>LT-073102-18/QU</t>
  </si>
  <si>
    <t>LT-73274-18/QU</t>
  </si>
  <si>
    <t>LT-069504-18/QU</t>
  </si>
  <si>
    <t>LT-051950-18/BX</t>
  </si>
  <si>
    <t>LT-027626-18/BX</t>
  </si>
  <si>
    <t>LT-072507-18/QU</t>
  </si>
  <si>
    <t>LT-051945-18/BX</t>
  </si>
  <si>
    <t>LT-036571-18/BX</t>
  </si>
  <si>
    <t>LT-022587-18/BX</t>
  </si>
  <si>
    <t>LT-012707-18/QU</t>
  </si>
  <si>
    <t>LT-049438-18/BX</t>
  </si>
  <si>
    <t>LT-053329-18/BX</t>
  </si>
  <si>
    <t>LT-050548-18/BX</t>
  </si>
  <si>
    <t>LT-013408-18/QU</t>
  </si>
  <si>
    <t>LT-018518-18/BX</t>
  </si>
  <si>
    <t>LT-072317-18/QU</t>
  </si>
  <si>
    <t>LT-073130-18/QU</t>
  </si>
  <si>
    <t>LT-051884-18/BX</t>
  </si>
  <si>
    <t>LT-072281-18/QU</t>
  </si>
  <si>
    <t>LT-001919-18/NY</t>
  </si>
  <si>
    <t>LT-077049-18/KI</t>
  </si>
  <si>
    <t>LT-074618-18/NY</t>
  </si>
  <si>
    <t>LT-073299-18/QU</t>
  </si>
  <si>
    <t>LT-068059-18/QU</t>
  </si>
  <si>
    <t>LT-074378-18/NY</t>
  </si>
  <si>
    <t>LT-075337-18/NY</t>
  </si>
  <si>
    <t>LT-018816-18/NY</t>
  </si>
  <si>
    <t>LT-010953-18/RI</t>
  </si>
  <si>
    <t>LT-072310-18/QU</t>
  </si>
  <si>
    <t>LT-055739-18/KI</t>
  </si>
  <si>
    <t>LT-017713-18/BX</t>
  </si>
  <si>
    <t>LT-072306-18/QU</t>
  </si>
  <si>
    <t>LT-070613-18/NY</t>
  </si>
  <si>
    <t>LT-051868-18/BX</t>
  </si>
  <si>
    <t>LT-085791-18/KI</t>
  </si>
  <si>
    <t>LT-074818-18/NY</t>
  </si>
  <si>
    <t>LT-072264-18/QU</t>
  </si>
  <si>
    <t>LT-054463-18/BX</t>
  </si>
  <si>
    <t>LT-064264-17/QU</t>
  </si>
  <si>
    <t>LT-052298-18/BX</t>
  </si>
  <si>
    <t>LT-072233-16/QU</t>
  </si>
  <si>
    <t>LT-067618-18/NY</t>
  </si>
  <si>
    <t>LT-057335-17/BX</t>
  </si>
  <si>
    <t>LT-051340-18/BX</t>
  </si>
  <si>
    <t>LT-049377-18/BX</t>
  </si>
  <si>
    <t>LT-028024-18/BX</t>
  </si>
  <si>
    <t>LT-052679-18/RI</t>
  </si>
  <si>
    <t>LT-053032-18/RI</t>
  </si>
  <si>
    <t>LT-052605-18/RI</t>
  </si>
  <si>
    <t>LT-053170-18/RI</t>
  </si>
  <si>
    <t>LT-053028-18/RI</t>
  </si>
  <si>
    <t>LT-020062-18/BX</t>
  </si>
  <si>
    <t>LT-018672-18/BX</t>
  </si>
  <si>
    <t>LT-052112-18/KI</t>
  </si>
  <si>
    <t>LT-069354-18/QU</t>
  </si>
  <si>
    <t>LT-051994-18/BX</t>
  </si>
  <si>
    <t>LT-037155-18/BX</t>
  </si>
  <si>
    <t>LT-810452-18/BX</t>
  </si>
  <si>
    <t>LT-052836-18/RI</t>
  </si>
  <si>
    <t>LT-023214-18/BX</t>
  </si>
  <si>
    <t>LT-041860-18/BX</t>
  </si>
  <si>
    <t>LT-051863-18/BX</t>
  </si>
  <si>
    <t>LT-068053-18/QU</t>
  </si>
  <si>
    <t>LT-086575-18/KI</t>
  </si>
  <si>
    <t>LT-083511-18/KI</t>
  </si>
  <si>
    <t>LT-038481-18/BX</t>
  </si>
  <si>
    <t>LT-051948-18/BX</t>
  </si>
  <si>
    <t>LT-047537-18/BX</t>
  </si>
  <si>
    <t>LT-053393-18/BX</t>
  </si>
  <si>
    <t>LT-714905-18/QU</t>
  </si>
  <si>
    <t>LT-072491-18/QU</t>
  </si>
  <si>
    <t>LT-051483-18/BX</t>
  </si>
  <si>
    <t>LT-810309-18/BX</t>
  </si>
  <si>
    <t>LT-053177-18/BX</t>
  </si>
  <si>
    <t>LT-001330-18/QU</t>
  </si>
  <si>
    <t>LT-05281-18/RI</t>
  </si>
  <si>
    <t>LT-75828-18/KI</t>
  </si>
  <si>
    <t>LT-072920-18/QU</t>
  </si>
  <si>
    <t>LT-052522-18/RI</t>
  </si>
  <si>
    <t>LT-070458-18/NY</t>
  </si>
  <si>
    <t>LT-050343-18/BX</t>
  </si>
  <si>
    <t>LT-067045-18/NY</t>
  </si>
  <si>
    <t>LT-251686-18/NY</t>
  </si>
  <si>
    <t>LT-000361-19/NY</t>
  </si>
  <si>
    <t>LT-028070-18/BX</t>
  </si>
  <si>
    <t>LT-023524-18/BX</t>
  </si>
  <si>
    <t>LT-050169-18/BX</t>
  </si>
  <si>
    <t>LT-054253-18/BX</t>
  </si>
  <si>
    <t>LT-071891-17/BX</t>
  </si>
  <si>
    <t>LT-055015-18/NY</t>
  </si>
  <si>
    <t>LT-043665-17/BX</t>
  </si>
  <si>
    <t>LT-806329-16/BX</t>
  </si>
  <si>
    <t>LT-002446-18/KI</t>
  </si>
  <si>
    <t>LT-035197-18/BX</t>
  </si>
  <si>
    <t>LT-034270-18/BX</t>
  </si>
  <si>
    <t>LT-069497-18/QU</t>
  </si>
  <si>
    <t>LT-050286-18/BX</t>
  </si>
  <si>
    <t>LT-050513-18/RI</t>
  </si>
  <si>
    <t>LT-065004-18/KI</t>
  </si>
  <si>
    <t>LT-085739-18/KI</t>
  </si>
  <si>
    <t>LT-010983-18/RI</t>
  </si>
  <si>
    <t>LT-057072-18/BX</t>
  </si>
  <si>
    <t>LT-073625-18/QU</t>
  </si>
  <si>
    <t>LT-072727-18/QU</t>
  </si>
  <si>
    <t>LT-073376-18/QU</t>
  </si>
  <si>
    <t>LT-073193-18/QU</t>
  </si>
  <si>
    <t>LT-056981-18/QU</t>
  </si>
  <si>
    <t>LT-051992-18/BX</t>
  </si>
  <si>
    <t>LT-056540-18/BX</t>
  </si>
  <si>
    <t>LT-051969-18/BX</t>
  </si>
  <si>
    <t>LT-044941-18/BX</t>
  </si>
  <si>
    <t>LT-010780-18/RI</t>
  </si>
  <si>
    <t>LT-077166-18/QU</t>
  </si>
  <si>
    <t>LT-055263-18/BX</t>
  </si>
  <si>
    <t>LT-087605-18/KI</t>
  </si>
  <si>
    <t>LT-006370-18/KI</t>
  </si>
  <si>
    <t>LT-6258-18/KI</t>
  </si>
  <si>
    <t>LT-086257-18/KI</t>
  </si>
  <si>
    <t>LT-001861-18/NY</t>
  </si>
  <si>
    <t>LT-013809-17/BX</t>
  </si>
  <si>
    <t>LT-029419-18/BX</t>
  </si>
  <si>
    <t>LT-032847-18/BX</t>
  </si>
  <si>
    <t>LT-073677-18/KI</t>
  </si>
  <si>
    <t>LT-032785-18/BX</t>
  </si>
  <si>
    <t>LT-084893-18/KI</t>
  </si>
  <si>
    <t>LT-000000-18/QU</t>
  </si>
  <si>
    <t>LT-073280-18/QU</t>
  </si>
  <si>
    <t>LT-073275-18/QU</t>
  </si>
  <si>
    <t>LT-054156-18/BX</t>
  </si>
  <si>
    <t>LT-075442-18/NY</t>
  </si>
  <si>
    <t>LT-073719-18/QU</t>
  </si>
  <si>
    <t>LT-070527-18/NY</t>
  </si>
  <si>
    <t>LT-075045-18/NY</t>
  </si>
  <si>
    <t>LT-053308-18/BX</t>
  </si>
  <si>
    <t>LT-053471-18/BX</t>
  </si>
  <si>
    <t>LT-051425-18/BX</t>
  </si>
  <si>
    <t>LT-073319-18/QU</t>
  </si>
  <si>
    <t>LT-079633-18/KI</t>
  </si>
  <si>
    <t>LT-075037-18/NY</t>
  </si>
  <si>
    <t>FM410004RV</t>
  </si>
  <si>
    <t>LT-080596-16/NY</t>
  </si>
  <si>
    <t>LT-050888-17/BX</t>
  </si>
  <si>
    <t>LT-028087-17/BX</t>
  </si>
  <si>
    <t>LT-056462-18/NY</t>
  </si>
  <si>
    <t>LT-059926-18/NY</t>
  </si>
  <si>
    <t>LT-097046-17/KI</t>
  </si>
  <si>
    <t>LT-014671-18/KI</t>
  </si>
  <si>
    <t>LT-067423-18/KI</t>
  </si>
  <si>
    <t>LT-010590-18/NY</t>
  </si>
  <si>
    <t>LT-064100-18/NY</t>
  </si>
  <si>
    <t>LT-053380-17/RI</t>
  </si>
  <si>
    <t>LT-064435-18/NY</t>
  </si>
  <si>
    <t>LT-001339-18/NY</t>
  </si>
  <si>
    <t>LT-031503-18/BX</t>
  </si>
  <si>
    <t>LT-050820-18/NY</t>
  </si>
  <si>
    <t>LT-041519-18/BX</t>
  </si>
  <si>
    <t>LT-065633-18/NY</t>
  </si>
  <si>
    <t>LT-006147-18/KI</t>
  </si>
  <si>
    <t>LT-058978-18/NY</t>
  </si>
  <si>
    <t>LT-72132-17/KI</t>
  </si>
  <si>
    <t>LT-071411-18/NY</t>
  </si>
  <si>
    <t>LT-073092-17/BX</t>
  </si>
  <si>
    <t>LT-75689-18/KI</t>
  </si>
  <si>
    <t>LT-071252-18/QU</t>
  </si>
  <si>
    <t>LT-019382-18/BX</t>
  </si>
  <si>
    <t>LT-050577-18/BX</t>
  </si>
  <si>
    <t>LT-055065-18/BX</t>
  </si>
  <si>
    <t>LT-070273-18/KI</t>
  </si>
  <si>
    <t>LT-809671-18/BX</t>
  </si>
  <si>
    <t>LT-047550-18/BX</t>
  </si>
  <si>
    <t>LT-042679-18/BX</t>
  </si>
  <si>
    <t>LT-041666-18/BX</t>
  </si>
  <si>
    <t>LT-051359-18/BX</t>
  </si>
  <si>
    <t>LT-072849-18/QU</t>
  </si>
  <si>
    <t>LT-053399-18/BX</t>
  </si>
  <si>
    <t>LT-074821-18/NY</t>
  </si>
  <si>
    <t>LT-069621-18/QU</t>
  </si>
  <si>
    <t>LT-029724-18/BX</t>
  </si>
  <si>
    <t>LT-087140-18/KI</t>
  </si>
  <si>
    <t>LT-080867-18/KI</t>
  </si>
  <si>
    <t>LT-042394-18/BX</t>
  </si>
  <si>
    <t>LT-071218-18/NY</t>
  </si>
  <si>
    <t>LT-086190-18/KI</t>
  </si>
  <si>
    <t>LT-047193-18/BX</t>
  </si>
  <si>
    <t>LT-015320-18/BX</t>
  </si>
  <si>
    <t>LT-056051-18/BX</t>
  </si>
  <si>
    <t>LT-074454-18/NY</t>
  </si>
  <si>
    <t>LT-053180-18/BX</t>
  </si>
  <si>
    <t>LT-054908-18/BX</t>
  </si>
  <si>
    <t>LT-073708-18/QU</t>
  </si>
  <si>
    <t>LT-072218-18/QU</t>
  </si>
  <si>
    <t>LT-070972-18/QU</t>
  </si>
  <si>
    <t>LT-074865-17/BX</t>
  </si>
  <si>
    <t>LT-071542-18/QU</t>
  </si>
  <si>
    <t>LT-073047-18/QU</t>
  </si>
  <si>
    <t>LT-058250-17/BX</t>
  </si>
  <si>
    <t>LT-053282-18/BX</t>
  </si>
  <si>
    <t>LT-053034-18/BX</t>
  </si>
  <si>
    <t>LT-62640-18/NY</t>
  </si>
  <si>
    <t>LT-038394-18/BX</t>
  </si>
  <si>
    <t>LT-015261-18/BX</t>
  </si>
  <si>
    <t>LT-052885-18/BX</t>
  </si>
  <si>
    <t>LT-073605-18/QU</t>
  </si>
  <si>
    <t>LT-073458-18/QU</t>
  </si>
  <si>
    <t>LT-053350-18/BX</t>
  </si>
  <si>
    <t>LT-092672-18/KI</t>
  </si>
  <si>
    <t>LT-086355-18/KI</t>
  </si>
  <si>
    <t>LT-072930-18/NY</t>
  </si>
  <si>
    <t>LT-077789-18/NY</t>
  </si>
  <si>
    <t>GM-210137-S</t>
  </si>
  <si>
    <t>FX210213S</t>
  </si>
  <si>
    <t>FX210216S</t>
  </si>
  <si>
    <t>LT-082427-18/KI</t>
  </si>
  <si>
    <t>1:16-CV-08479-JPO</t>
  </si>
  <si>
    <t>16-cv-08479-JPO</t>
  </si>
  <si>
    <t>LT-052978-18/RI</t>
  </si>
  <si>
    <t>LT-052550-18/BX</t>
  </si>
  <si>
    <t>LT-065392-18/KI</t>
  </si>
  <si>
    <t>LT-030949-18/BX</t>
  </si>
  <si>
    <t>LT-076251-18/QU</t>
  </si>
  <si>
    <t>LT-064009-17/QU</t>
  </si>
  <si>
    <t>LT-054509-18/BX</t>
  </si>
  <si>
    <t>LT-087064-18/KI</t>
  </si>
  <si>
    <t>LT-054282-18/BX</t>
  </si>
  <si>
    <t>LT-101363-18/BX</t>
  </si>
  <si>
    <t>LT-052859-18/RI</t>
  </si>
  <si>
    <t>LT-053428-18/BX</t>
  </si>
  <si>
    <t>LT-053235-18/RI</t>
  </si>
  <si>
    <t>LT-053118-18/RI</t>
  </si>
  <si>
    <t>LT-052881-18/RI</t>
  </si>
  <si>
    <t>LT-000258-18/QU</t>
  </si>
  <si>
    <t>LT-059351-17/BX</t>
  </si>
  <si>
    <t>LT-026278-17/BX</t>
  </si>
  <si>
    <t>LT-070510-18/QU</t>
  </si>
  <si>
    <t>LT-073526-18/KI</t>
  </si>
  <si>
    <t>LT-070398-18/QU</t>
  </si>
  <si>
    <t>LT-087625-18/KI</t>
  </si>
  <si>
    <t>LT-054329-18/BX</t>
  </si>
  <si>
    <t>LT-051971-18/BX</t>
  </si>
  <si>
    <t>LT-086869-18/KI</t>
  </si>
  <si>
    <t>LT-057327-18/BX</t>
  </si>
  <si>
    <t>LT-028285-18/BX</t>
  </si>
  <si>
    <t>LT-041298-18/BX</t>
  </si>
  <si>
    <t>LT-001333-18/QU</t>
  </si>
  <si>
    <t>LT-052949-18/BX</t>
  </si>
  <si>
    <t>LT-063679-18/BX</t>
  </si>
  <si>
    <t>LT-003530-18/BX</t>
  </si>
  <si>
    <t>LT-049736-18/BX</t>
  </si>
  <si>
    <t>LT-056392-18/QU</t>
  </si>
  <si>
    <t>LT-006610-18/QU</t>
  </si>
  <si>
    <t>LT-071514-18/QU</t>
  </si>
  <si>
    <t>LT-025472-18/BX</t>
  </si>
  <si>
    <t>LT-075999-18/NY</t>
  </si>
  <si>
    <t>LT-076310-18/NY</t>
  </si>
  <si>
    <t>LT-075418-18/NY</t>
  </si>
  <si>
    <t>LT-056534-18/BX</t>
  </si>
  <si>
    <t>LT-041082-18/BX</t>
  </si>
  <si>
    <t>LT-053215-18/RI</t>
  </si>
  <si>
    <t>LT-052812-18/RI</t>
  </si>
  <si>
    <t>LT-061464-17/NY</t>
  </si>
  <si>
    <t>LT-054155-18/BX</t>
  </si>
  <si>
    <t>LT-075309-18/NY</t>
  </si>
  <si>
    <t>LT-053212-18/RI</t>
  </si>
  <si>
    <t>LT-072713-18/NY</t>
  </si>
  <si>
    <t>LT-053238-18/RI</t>
  </si>
  <si>
    <t>LT-053192-18/RI</t>
  </si>
  <si>
    <t>LT-053213-18/RI</t>
  </si>
  <si>
    <t>LT-053228-18/RI</t>
  </si>
  <si>
    <t>LT-002998-18/KI</t>
  </si>
  <si>
    <t>LT-025742-18/BX</t>
  </si>
  <si>
    <t>LT-050736-18/BX</t>
  </si>
  <si>
    <t>LT-053819-18/BX</t>
  </si>
  <si>
    <t>LT-056164-18/BX</t>
  </si>
  <si>
    <t>LT-075396-18/NY</t>
  </si>
  <si>
    <t>LT-61607-17/NY</t>
  </si>
  <si>
    <t>LT-039444-18/BX</t>
  </si>
  <si>
    <t>LT-053132-18/BX</t>
  </si>
  <si>
    <t>LT-028399-18/BX</t>
  </si>
  <si>
    <t>LT-054982-18/BX</t>
  </si>
  <si>
    <t>LT-071723-18/QU</t>
  </si>
  <si>
    <t>LT-016640-18/BX</t>
  </si>
  <si>
    <t>LT-023830-18/BX</t>
  </si>
  <si>
    <t>LT-013976-18/BX</t>
  </si>
  <si>
    <t>LT-074923-18/QU</t>
  </si>
  <si>
    <t>LT-080851-18/KI</t>
  </si>
  <si>
    <t>LT-073198-18/QU</t>
  </si>
  <si>
    <t>LT-073278-18/QU</t>
  </si>
  <si>
    <t>LT-072167-18/QU</t>
  </si>
  <si>
    <t>LT-071661-18/QU</t>
  </si>
  <si>
    <t>LT-074685-18/QU</t>
  </si>
  <si>
    <t>LT-073791-18/QU</t>
  </si>
  <si>
    <t>LT-052581-18/QU</t>
  </si>
  <si>
    <t>LT-068051-18/QU</t>
  </si>
  <si>
    <t>LT-071333-18/QU</t>
  </si>
  <si>
    <t>LT-055511-18/BX</t>
  </si>
  <si>
    <t>LT-069996-18/QU</t>
  </si>
  <si>
    <t>LT-073227-18/QU</t>
  </si>
  <si>
    <t>LT-046192-18/BX</t>
  </si>
  <si>
    <t>LT-052058-18/BX</t>
  </si>
  <si>
    <t>LT-010027-18/QU</t>
  </si>
  <si>
    <t>LT-051516-18/QU</t>
  </si>
  <si>
    <t>LT-072471-18/QU</t>
  </si>
  <si>
    <t>LT-074914-18/QU</t>
  </si>
  <si>
    <t>LT-073591-18/QU</t>
  </si>
  <si>
    <t>LT-012846-18/QU</t>
  </si>
  <si>
    <t>LT-058333-18/KI</t>
  </si>
  <si>
    <t>LT-075610-18/KI</t>
  </si>
  <si>
    <t>LT-073160-18/KI</t>
  </si>
  <si>
    <t>260188/2018</t>
  </si>
  <si>
    <t>LT-070645-18/QU</t>
  </si>
  <si>
    <t>GR-210005-UC</t>
  </si>
  <si>
    <t>LT-055972-18/BX</t>
  </si>
  <si>
    <t>LT-087875-18/KI</t>
  </si>
  <si>
    <t>LT-013952-18/QU</t>
  </si>
  <si>
    <t>LT-045436-18/BX</t>
  </si>
  <si>
    <t>LT-054328-18/BX</t>
  </si>
  <si>
    <t>LT-050735-18/BX</t>
  </si>
  <si>
    <t>LT-808751-18/BX</t>
  </si>
  <si>
    <t>LT-053099-18/RI</t>
  </si>
  <si>
    <t>LT-014318-18/NY</t>
  </si>
  <si>
    <t>LT-075838-18/KI</t>
  </si>
  <si>
    <t>LT-041950-18/BX</t>
  </si>
  <si>
    <t>LT-038795-18/BX</t>
  </si>
  <si>
    <t>LT-003057-18/KI</t>
  </si>
  <si>
    <t>LT-084793-18/KI</t>
  </si>
  <si>
    <t>LT-070453-18/QU</t>
  </si>
  <si>
    <t>LT-056465-18/BX</t>
  </si>
  <si>
    <t>LT-075174-18/QU</t>
  </si>
  <si>
    <t>LT-046125-18/BX</t>
  </si>
  <si>
    <t>LT-074531-18/QU</t>
  </si>
  <si>
    <t>LT-074824-18/QU</t>
  </si>
  <si>
    <t>LT-013318-18/QU</t>
  </si>
  <si>
    <t>LT-074750-18/QU</t>
  </si>
  <si>
    <t>LT-050270-18/QU</t>
  </si>
  <si>
    <t>LT-054154-18/BX</t>
  </si>
  <si>
    <t>LT-052791-18/RI</t>
  </si>
  <si>
    <t>LT-073856-18/QU</t>
  </si>
  <si>
    <t>LT-055973-18/BX</t>
  </si>
  <si>
    <t>LT-062443-18/BX</t>
  </si>
  <si>
    <t>LT-074443-18/QU</t>
  </si>
  <si>
    <t>LT-088028-18/KI</t>
  </si>
  <si>
    <t>LT-071426-18/QU</t>
  </si>
  <si>
    <t>LT-033585-18/BX</t>
  </si>
  <si>
    <t>LT-073722-18/QU</t>
  </si>
  <si>
    <t>LT-074917-18/QU</t>
  </si>
  <si>
    <t>LT-073717-18/QU</t>
  </si>
  <si>
    <t>LT-075167-18/QU</t>
  </si>
  <si>
    <t>LT-053520-18/BX</t>
  </si>
  <si>
    <t>LT-002592-18/KI</t>
  </si>
  <si>
    <t>LT-052933-18/RI</t>
  </si>
  <si>
    <t>LT-073258-18/QU</t>
  </si>
  <si>
    <t>LT-056077-18/BX</t>
  </si>
  <si>
    <t>LT-074445-18/QU</t>
  </si>
  <si>
    <t>LT-074557-18/QU</t>
  </si>
  <si>
    <t>LT-056715-18/BX</t>
  </si>
  <si>
    <t xml:space="preserve">LT-085240-18/KI </t>
  </si>
  <si>
    <t>LT-074864-18/QU</t>
  </si>
  <si>
    <t>LT-038745-18/BX</t>
  </si>
  <si>
    <t>LT-077296-18/NY</t>
  </si>
  <si>
    <t>LT-087600-18/KI</t>
  </si>
  <si>
    <t>LT-082168-18/KI</t>
  </si>
  <si>
    <t>LT-057125-18/BX</t>
  </si>
  <si>
    <t>LT-070632-18/KI</t>
  </si>
  <si>
    <t>LT-011019-18/RI</t>
  </si>
  <si>
    <t>LT-067589-18/QU</t>
  </si>
  <si>
    <t>LT-073664-18/QU</t>
  </si>
  <si>
    <t>LT-052162-18/BX</t>
  </si>
  <si>
    <t>LT-076106-18/NY</t>
  </si>
  <si>
    <t>LT-065505-18/NY</t>
  </si>
  <si>
    <t>LT-000278-19/KI</t>
  </si>
  <si>
    <t>LT-064700-18/QU</t>
  </si>
  <si>
    <t>LT-072062-18/QU</t>
  </si>
  <si>
    <t>LT-093875-18/KI</t>
  </si>
  <si>
    <t>LT-052879-18/BX</t>
  </si>
  <si>
    <t>LT-595151-18/BX</t>
  </si>
  <si>
    <t>LT-074575-18/QU</t>
  </si>
  <si>
    <t>LT-063335-18/QU</t>
  </si>
  <si>
    <t>LT-047438-18/BX</t>
  </si>
  <si>
    <t>LT-054788-18/BX</t>
  </si>
  <si>
    <t>LT-032742-18/BX</t>
  </si>
  <si>
    <t>LT-053924-18/BX</t>
  </si>
  <si>
    <t>LT-039759-17/BX</t>
  </si>
  <si>
    <t>L&amp;T-070448-18/KI</t>
  </si>
  <si>
    <t>LT-053306-18/RI</t>
  </si>
  <si>
    <t>LT-053301-18/RI</t>
  </si>
  <si>
    <t>LT-010785-18/BX</t>
  </si>
  <si>
    <t>LT-076611-18/NY</t>
  </si>
  <si>
    <t>LT-082869-18/KI</t>
  </si>
  <si>
    <t>LT-057700-18/QU</t>
  </si>
  <si>
    <t>LT-057819-18/BX</t>
  </si>
  <si>
    <t>LT-086826-18/KI</t>
  </si>
  <si>
    <t>LT-056563-18/BX</t>
  </si>
  <si>
    <t>LT-056443-18/NY</t>
  </si>
  <si>
    <t>LT-053083-18/RI</t>
  </si>
  <si>
    <t>LT-029452-18/BX</t>
  </si>
  <si>
    <t>LT-056374-18/BX</t>
  </si>
  <si>
    <t>LT-075056-18/QU</t>
  </si>
  <si>
    <t>LT-058214-18/BX</t>
  </si>
  <si>
    <t>LT-055274-18/BX</t>
  </si>
  <si>
    <t>LT-073293-18/QU</t>
  </si>
  <si>
    <t>LT-087327-18/KI</t>
  </si>
  <si>
    <t>LT-053340-18/RI</t>
  </si>
  <si>
    <t>LT-007416-18/QU</t>
  </si>
  <si>
    <t>LT-066266-18/QU</t>
  </si>
  <si>
    <t>LT-057689-18/BX</t>
  </si>
  <si>
    <t>LT-074151-18/QU</t>
  </si>
  <si>
    <t>LT-062687-17/BX</t>
  </si>
  <si>
    <t>LT-063619-18/NY</t>
  </si>
  <si>
    <t>LT-014073-18/QU</t>
  </si>
  <si>
    <t>LT-054150-18/BX</t>
  </si>
  <si>
    <t>LT-075040-18/QU</t>
  </si>
  <si>
    <t>LT-030417-18/BX</t>
  </si>
  <si>
    <t>LT-053054-18/BX</t>
  </si>
  <si>
    <t>LT-044950-18/BX</t>
  </si>
  <si>
    <t>LT-056734-18/BX</t>
  </si>
  <si>
    <t>LT-065722-18/BX</t>
  </si>
  <si>
    <t>LT-060748-18/BX</t>
  </si>
  <si>
    <t>LT-014225-18/QU</t>
  </si>
  <si>
    <t>LT-014187-18/QU</t>
  </si>
  <si>
    <t>LT-039174-17/BX</t>
  </si>
  <si>
    <t>LT-061288-17/BX</t>
  </si>
  <si>
    <t>LT-046382-17/BX</t>
  </si>
  <si>
    <t>LT-062588-16/BX</t>
  </si>
  <si>
    <t>LT-073274-18/KI</t>
  </si>
  <si>
    <t>LT-084894-18/KI</t>
  </si>
  <si>
    <t>LT-086563-18/KI</t>
  </si>
  <si>
    <t>LT-053585-18/BX</t>
  </si>
  <si>
    <t>LT-055123-18/BX</t>
  </si>
  <si>
    <t>LT-056213-18/KI</t>
  </si>
  <si>
    <t>LT-043139-18/BX</t>
  </si>
  <si>
    <t>LT-039277-18/BX</t>
  </si>
  <si>
    <t>LT-027643-18/BX</t>
  </si>
  <si>
    <t>LT-055701-18/BX</t>
  </si>
  <si>
    <t>LT-085796-18/KI</t>
  </si>
  <si>
    <t>LT-085841-18/KI</t>
  </si>
  <si>
    <t>LT-049318-18/BX</t>
  </si>
  <si>
    <t>LT-056549-18/BX</t>
  </si>
  <si>
    <t>LT-050297-18/BX</t>
  </si>
  <si>
    <t>LT-051030-18/RI</t>
  </si>
  <si>
    <t>LT-010787-18/RI</t>
  </si>
  <si>
    <t>LT-010705-17/RI</t>
  </si>
  <si>
    <t>LT-068496-18/QU</t>
  </si>
  <si>
    <t>LT-077039-17/QU</t>
  </si>
  <si>
    <t>LT-053272-18/RI</t>
  </si>
  <si>
    <t>LT-010938-18/RI</t>
  </si>
  <si>
    <t>LT-744414-18/QU</t>
  </si>
  <si>
    <t>LT-075665-18/QU</t>
  </si>
  <si>
    <t>LT-811134-18/BX</t>
  </si>
  <si>
    <t>LT-088971-18/KI</t>
  </si>
  <si>
    <t>LT-010798-18/RI</t>
  </si>
  <si>
    <t>LT-074539-18/QU</t>
  </si>
  <si>
    <t>LT-040348-18/BX</t>
  </si>
  <si>
    <t>LT-016692-17/KI</t>
  </si>
  <si>
    <t>LT-088662-18/KI</t>
  </si>
  <si>
    <t>LT-010285-18/BX</t>
  </si>
  <si>
    <t>LT-034832-18/BX</t>
  </si>
  <si>
    <t>LT-058865-18/BX</t>
  </si>
  <si>
    <t>LT-075387-18/NY</t>
  </si>
  <si>
    <t>LT-076987-18/NY</t>
  </si>
  <si>
    <t>LT-076723-18/NY</t>
  </si>
  <si>
    <t>LT-057221-18/BX</t>
  </si>
  <si>
    <t>LT-051322-18/RI</t>
  </si>
  <si>
    <t>LT-076230-18/NY</t>
  </si>
  <si>
    <t>LT-075705-18/NY</t>
  </si>
  <si>
    <t>LT-054532-18/BX</t>
  </si>
  <si>
    <t>LT-051459-18/BX</t>
  </si>
  <si>
    <t>LT-076261-18/NY</t>
  </si>
  <si>
    <t>LT-057669-18/QU</t>
  </si>
  <si>
    <t>LT-060149-18/QU</t>
  </si>
  <si>
    <t>LT-076012-18/KI</t>
  </si>
  <si>
    <t>LT-068841-18/KI</t>
  </si>
  <si>
    <t>LT-075871-18/NY</t>
  </si>
  <si>
    <t>GS-210012-OM</t>
  </si>
  <si>
    <t>LT-051529-18/RI</t>
  </si>
  <si>
    <t>LT-072874-18/NY</t>
  </si>
  <si>
    <t>LT-807659-18/BX</t>
  </si>
  <si>
    <t>LT-019726-18/NY</t>
  </si>
  <si>
    <t>LT-076827-18/NY</t>
  </si>
  <si>
    <t>LT-076963-18/NY</t>
  </si>
  <si>
    <t>LT-077207-18/NY</t>
  </si>
  <si>
    <t>LT-077244-17/QU</t>
  </si>
  <si>
    <t>LT-051169-18/QU</t>
  </si>
  <si>
    <t>LT-047548-18/BX</t>
  </si>
  <si>
    <t>LT-052227-18/BX</t>
  </si>
  <si>
    <t>LT-87325-18/KI</t>
  </si>
  <si>
    <t>LT-054614-18/BX</t>
  </si>
  <si>
    <t>LT-056014-18/BX</t>
  </si>
  <si>
    <t>LT-075853-18/QU</t>
  </si>
  <si>
    <t>LT-068888-18/QU</t>
  </si>
  <si>
    <t>LT-076019-18/QU</t>
  </si>
  <si>
    <t>LT-708901-18/QU</t>
  </si>
  <si>
    <t>LT-074683-18/QU</t>
  </si>
  <si>
    <t>LT-073189-18/QU</t>
  </si>
  <si>
    <t>LT-069721-18/QU</t>
  </si>
  <si>
    <t>LT-058746-18/BX</t>
  </si>
  <si>
    <t>LT-078044-18/KI</t>
  </si>
  <si>
    <t>LT-057611-18/BX</t>
  </si>
  <si>
    <t>LT-062130-18/QU</t>
  </si>
  <si>
    <t>LT-075154-18/QU</t>
  </si>
  <si>
    <t>LT-016391-18/NY</t>
  </si>
  <si>
    <t>LT-057264-18/BX</t>
  </si>
  <si>
    <t>LT-058918-18/BX</t>
  </si>
  <si>
    <t>LT-019548-18/NY</t>
  </si>
  <si>
    <t>LT-057338-18/BX</t>
  </si>
  <si>
    <t>LT-019948-18/NY</t>
  </si>
  <si>
    <t>LT-057108-18/BX</t>
  </si>
  <si>
    <t>LT-052742-18/BX</t>
  </si>
  <si>
    <t>LT-059390-18/BX</t>
  </si>
  <si>
    <t>LT-019559-18/NY</t>
  </si>
  <si>
    <t>LT-019509-18/NY</t>
  </si>
  <si>
    <t>LT-086989-18/KI</t>
  </si>
  <si>
    <t>LT-073122-18/QU</t>
  </si>
  <si>
    <t>LT-063899-17/BX</t>
  </si>
  <si>
    <t>LT-069030-18/KI</t>
  </si>
  <si>
    <t>LT-087243-18/KI</t>
  </si>
  <si>
    <t>LT-085682-18/KI</t>
  </si>
  <si>
    <t>LT-074044-18/QU</t>
  </si>
  <si>
    <t>LT-053415-18/RI</t>
  </si>
  <si>
    <t>LT-059210-18/BX</t>
  </si>
  <si>
    <t>LT-039445-18/BX</t>
  </si>
  <si>
    <t>LT-811132-18/BX</t>
  </si>
  <si>
    <t>LT-053505-18/BX</t>
  </si>
  <si>
    <t>LT-92172-18/KI</t>
  </si>
  <si>
    <t>LT-078073-18/NY</t>
  </si>
  <si>
    <t>LT-073128-18/NY</t>
  </si>
  <si>
    <t>LT-059653-18/BX</t>
  </si>
  <si>
    <t>LT-087321-18/KI</t>
  </si>
  <si>
    <t>LT-077138-198/NY</t>
  </si>
  <si>
    <t>LT-076816-18/KI</t>
  </si>
  <si>
    <t>LT-060944-18/BX</t>
  </si>
  <si>
    <t>LT-070421-18/QU</t>
  </si>
  <si>
    <t>LT-025693-18/BX</t>
  </si>
  <si>
    <t>LT-035208-18/BX</t>
  </si>
  <si>
    <t>LT-016118-17/KI</t>
  </si>
  <si>
    <t>LT-016634-18/KI</t>
  </si>
  <si>
    <t>LT-072233-18/KI</t>
  </si>
  <si>
    <t>LT-032829-18/BX</t>
  </si>
  <si>
    <t>LT-082510-18/KI</t>
  </si>
  <si>
    <t>LT-098068-17/KI</t>
  </si>
  <si>
    <t>LT-035220-18/BX</t>
  </si>
  <si>
    <t>LT-060004-18/BX</t>
  </si>
  <si>
    <t>LT-1400-18/QU</t>
  </si>
  <si>
    <t>LT-074876-18/QU</t>
  </si>
  <si>
    <t>LT-060003-18/BX</t>
  </si>
  <si>
    <t>LT-059730-18/BX</t>
  </si>
  <si>
    <t>LT-053117-18/RI</t>
  </si>
  <si>
    <t>LT-012831-18/QU</t>
  </si>
  <si>
    <t>LT-038308-18/BX</t>
  </si>
  <si>
    <t>LT-031637-18/BX</t>
  </si>
  <si>
    <t>LT-065437-17/KI</t>
  </si>
  <si>
    <t>LT-013307-18/QU</t>
  </si>
  <si>
    <t>LT-066427-18/QU</t>
  </si>
  <si>
    <t>LT-052628-18/RI</t>
  </si>
  <si>
    <t>LT-055384-18/KI</t>
  </si>
  <si>
    <t>LT-083963-18/KI</t>
  </si>
  <si>
    <t>LT-062373-18/BX</t>
  </si>
  <si>
    <t>LT-020109-18/NY</t>
  </si>
  <si>
    <t>LT-072794-18/NY</t>
  </si>
  <si>
    <t>LT-055316-18/BX</t>
  </si>
  <si>
    <t>LT-042897-18/BX</t>
  </si>
  <si>
    <t>LT-088031-18/KI</t>
  </si>
  <si>
    <t>LT-071639-18/NY</t>
  </si>
  <si>
    <t>LT-077170-18/NY</t>
  </si>
  <si>
    <t>LT-074423-18/NY</t>
  </si>
  <si>
    <t>LT-076875-18/NY</t>
  </si>
  <si>
    <t>LT-071128-18/NY</t>
  </si>
  <si>
    <t>LT-810108-18/BX</t>
  </si>
  <si>
    <t>LT-056316-18/BX</t>
  </si>
  <si>
    <t>LT-059243-18/BX</t>
  </si>
  <si>
    <t>LT-060594-18/BX</t>
  </si>
  <si>
    <t>LT-080895-18/NY</t>
  </si>
  <si>
    <t>LT-071359-18/NY</t>
  </si>
  <si>
    <t>LT-077355-18/NY</t>
  </si>
  <si>
    <t>LT-076779-18/NY</t>
  </si>
  <si>
    <t>LT-029440-17/BX</t>
  </si>
  <si>
    <t>LT-065050-17/BX</t>
  </si>
  <si>
    <t>LT-065579-17/BX</t>
  </si>
  <si>
    <t>GM-410011-HL</t>
  </si>
  <si>
    <t>LT-055866-18/NY</t>
  </si>
  <si>
    <t>LT-050358-17/NY</t>
  </si>
  <si>
    <t>LT-056646-18/NY</t>
  </si>
  <si>
    <t>LT-064786-18/NY</t>
  </si>
  <si>
    <t>LT-071198-18/KI</t>
  </si>
  <si>
    <t>LT-070407-18/KI</t>
  </si>
  <si>
    <t>LT-070406-18/KI</t>
  </si>
  <si>
    <t>LT-071740-18/KI</t>
  </si>
  <si>
    <t>LT-065650-18/NY</t>
  </si>
  <si>
    <t>LT-065806-18/NY</t>
  </si>
  <si>
    <t>LT-070727-18/KI</t>
  </si>
  <si>
    <t>LT-060202-18/NY</t>
  </si>
  <si>
    <t>LT-071209-18/KI</t>
  </si>
  <si>
    <t>LT-064764-18/QU</t>
  </si>
  <si>
    <t>LT-058531-18/QU</t>
  </si>
  <si>
    <t>LT-065995-18/KI</t>
  </si>
  <si>
    <t>LT-058635-18/QU</t>
  </si>
  <si>
    <t>LT-066919-18/NY</t>
  </si>
  <si>
    <t>LT-2599-18/KI</t>
  </si>
  <si>
    <t>LT-012957-18/NY</t>
  </si>
  <si>
    <t>LT-011695-18/KI</t>
  </si>
  <si>
    <t>LT-096393-17/KI</t>
  </si>
  <si>
    <t>LT-77087-18/KI</t>
  </si>
  <si>
    <t>LT-076920-18/KI</t>
  </si>
  <si>
    <t>LT-039024-18/BX</t>
  </si>
  <si>
    <t>LT-062743-18/NY</t>
  </si>
  <si>
    <t>LT-078033-18/KI</t>
  </si>
  <si>
    <t>LT-078528-18/KI</t>
  </si>
  <si>
    <t>LT-015645-18/NY</t>
  </si>
  <si>
    <t>LT-059142-18/NY</t>
  </si>
  <si>
    <t>LT-067123-18/KI</t>
  </si>
  <si>
    <t>LT-015649-18/NY</t>
  </si>
  <si>
    <t>LT-073958-18/KI</t>
  </si>
  <si>
    <t>LT-079834-18/KI</t>
  </si>
  <si>
    <t>LT-079331-18/KI</t>
  </si>
  <si>
    <t>LT-080580-18/KI</t>
  </si>
  <si>
    <t>LT-079826-18/KI</t>
  </si>
  <si>
    <t>LT-068008-18/NY</t>
  </si>
  <si>
    <t>LT-019219-18/KI</t>
  </si>
  <si>
    <t>LT-080067-18/KI</t>
  </si>
  <si>
    <t>LT-081063-18/KI</t>
  </si>
  <si>
    <t>LT-058985-18/KI</t>
  </si>
  <si>
    <t>LT-080488-18/KI</t>
  </si>
  <si>
    <t>LT-017794-18/KI</t>
  </si>
  <si>
    <t>LT-804777-18/BX</t>
  </si>
  <si>
    <t>LT-082118-18/KI</t>
  </si>
  <si>
    <t>LT-061998-18/NY</t>
  </si>
  <si>
    <t>LT-071722-18/NY</t>
  </si>
  <si>
    <t>LT-071211-18/NY</t>
  </si>
  <si>
    <t>LT-071650-18/NY</t>
  </si>
  <si>
    <t>LT-066981-18/NY</t>
  </si>
  <si>
    <t>LT-082285-18/KI</t>
  </si>
  <si>
    <t>LT-055251-18/KI</t>
  </si>
  <si>
    <t>LT-013758-18/NY</t>
  </si>
  <si>
    <t>LT-082570-18/KI</t>
  </si>
  <si>
    <t>LT-057583-18/KI</t>
  </si>
  <si>
    <t>LT-083324-18/KI</t>
  </si>
  <si>
    <t>LT-083185-18/KI</t>
  </si>
  <si>
    <t>LT-080551-18/KI</t>
  </si>
  <si>
    <t>LT-082680-18/KI</t>
  </si>
  <si>
    <t>LT-083368-18/KI</t>
  </si>
  <si>
    <t>LT-071466-18/NY</t>
  </si>
  <si>
    <t>LT-076096-18/KI</t>
  </si>
  <si>
    <t>LT-082791-18/KI</t>
  </si>
  <si>
    <t>LT-083157-18/KI</t>
  </si>
  <si>
    <t>LT-076908-18/KI</t>
  </si>
  <si>
    <t>LT-022363-17/KI</t>
  </si>
  <si>
    <t>LT-078707-18/KI</t>
  </si>
  <si>
    <t>LT-080570-18/KI</t>
  </si>
  <si>
    <t>LT-081767-18/KI</t>
  </si>
  <si>
    <t>LT-061492-18/KI</t>
  </si>
  <si>
    <t>LT-075930-18/KI</t>
  </si>
  <si>
    <t>LT-079707-18/KI</t>
  </si>
  <si>
    <t>LT-083734-18/KI</t>
  </si>
  <si>
    <t>LT-084045-18/KI</t>
  </si>
  <si>
    <t>LT-075587-18/KI</t>
  </si>
  <si>
    <t>LT-074817-18/KI</t>
  </si>
  <si>
    <t>LT-077693-18/KI</t>
  </si>
  <si>
    <t>LT-084490-18/KI</t>
  </si>
  <si>
    <t>LT-014606-18/NY</t>
  </si>
  <si>
    <t>LT-073740-18/NY</t>
  </si>
  <si>
    <t>LT-082965-18/KI</t>
  </si>
  <si>
    <t>LT-072300-18/QU</t>
  </si>
  <si>
    <t>LT-084688-18/KI</t>
  </si>
  <si>
    <t>LT-019315-18/KI</t>
  </si>
  <si>
    <t>LT-073074-18/NY</t>
  </si>
  <si>
    <t>LT-080251-18/KI</t>
  </si>
  <si>
    <t>LT-062194-18/KI</t>
  </si>
  <si>
    <t>LT-084509-18/KI</t>
  </si>
  <si>
    <t>LT-085340-18/KI</t>
  </si>
  <si>
    <t>LT-084640-18/KI</t>
  </si>
  <si>
    <t>LT-078771-18/KI</t>
  </si>
  <si>
    <t>LT-081618-18/KI</t>
  </si>
  <si>
    <t>LT-085523-18/KI</t>
  </si>
  <si>
    <t>LT-016869-18/KI</t>
  </si>
  <si>
    <t>LT-085928-18/KI</t>
  </si>
  <si>
    <t>LT-084446-18/KI</t>
  </si>
  <si>
    <t>LT-085595-18/KI</t>
  </si>
  <si>
    <t>LT-604733-18/BX</t>
  </si>
  <si>
    <t>LT-085917-18/KI</t>
  </si>
  <si>
    <t>LT-086399-18/KI</t>
  </si>
  <si>
    <t>LT-081080-18/KI</t>
  </si>
  <si>
    <t>LT-085519-18/KI</t>
  </si>
  <si>
    <t>LT-085518-18/KI</t>
  </si>
  <si>
    <t>LT-082174-18/KI</t>
  </si>
  <si>
    <t>LT-084116-18/KI</t>
  </si>
  <si>
    <t>LT-086193-18/KI</t>
  </si>
  <si>
    <t>LT-075047-18/NY</t>
  </si>
  <si>
    <t>LT-065360-18/NY</t>
  </si>
  <si>
    <t>LT-087701-18/KI</t>
  </si>
  <si>
    <t>LT-003412-18/KI</t>
  </si>
  <si>
    <t>LT-003413-18/KI</t>
  </si>
  <si>
    <t>LT-086625-18/KI</t>
  </si>
  <si>
    <t>LT-084908-18/KI</t>
  </si>
  <si>
    <t>LT-074773-18/KI</t>
  </si>
  <si>
    <t>LT-082019-18/KI</t>
  </si>
  <si>
    <t>LT-087458-18/KI</t>
  </si>
  <si>
    <t>LT-032493-18/BX</t>
  </si>
  <si>
    <t>LT-083052-18/KI</t>
  </si>
  <si>
    <t>LT-073568-18/NY</t>
  </si>
  <si>
    <t>LT-075876-18/NY</t>
  </si>
  <si>
    <t>LT-075527-18/NY</t>
  </si>
  <si>
    <t>LT-067958-18/NY</t>
  </si>
  <si>
    <t>LT-065931-18/NY</t>
  </si>
  <si>
    <t>LT-075822-18/NY</t>
  </si>
  <si>
    <t>LT-075755-18/NY</t>
  </si>
  <si>
    <t>LT-082136-18/KI</t>
  </si>
  <si>
    <t>LT-043390-18/BX</t>
  </si>
  <si>
    <t>LT-054153-18/KI</t>
  </si>
  <si>
    <t>LT-088196-18/KI</t>
  </si>
  <si>
    <t>LT-018201-18/KI</t>
  </si>
  <si>
    <t>LT-089171-18/KI</t>
  </si>
  <si>
    <t>LT-085932-18/KI</t>
  </si>
  <si>
    <t>LT-074303-18/QU</t>
  </si>
  <si>
    <t>LT-081478-18/KI</t>
  </si>
  <si>
    <t>LT-015334-18/BX</t>
  </si>
  <si>
    <t>LT-038451-18/BX</t>
  </si>
  <si>
    <t>LT-019715-18/NY</t>
  </si>
  <si>
    <t>LT-072078-18/NY</t>
  </si>
  <si>
    <t>LT-081923-18/KI</t>
  </si>
  <si>
    <t>LT-087788-18/KI</t>
  </si>
  <si>
    <t>LT-088896-18/KI</t>
  </si>
  <si>
    <t>LT-086460-18/KI</t>
  </si>
  <si>
    <t>LT-087916-18/KI</t>
  </si>
  <si>
    <t>LT-089207-18/KI</t>
  </si>
  <si>
    <t>LT-080326-18/KI</t>
  </si>
  <si>
    <t>LT-073302-18/KI</t>
  </si>
  <si>
    <t>LT-082953-18/KI</t>
  </si>
  <si>
    <t>LT-566368-18/BX</t>
  </si>
  <si>
    <t>LT-050975-18/BX</t>
  </si>
  <si>
    <t>LT-087786-18/KI</t>
  </si>
  <si>
    <t>LT-090220-18/KI</t>
  </si>
  <si>
    <t>LT-056063-18/BX</t>
  </si>
  <si>
    <t>LT-068890-17/BX</t>
  </si>
  <si>
    <t>LT-003359-18/KI</t>
  </si>
  <si>
    <t>LT-019952-18/NY</t>
  </si>
  <si>
    <t>LT-058821-18/BX</t>
  </si>
  <si>
    <t>LT-058621-18/BX</t>
  </si>
  <si>
    <t>LT-014751-18/KI</t>
  </si>
  <si>
    <t>LT-047302-18/BX</t>
  </si>
  <si>
    <t>LT-022238-18/KI</t>
  </si>
  <si>
    <t>LT-089073-18/KI</t>
  </si>
  <si>
    <t>LT-076001-18/KI</t>
  </si>
  <si>
    <t>LT-060605-18/BX</t>
  </si>
  <si>
    <t>LT-077695-18/NY</t>
  </si>
  <si>
    <t>LT-076297-18/NY</t>
  </si>
  <si>
    <t>CV-005685-10/BX</t>
  </si>
  <si>
    <t>LT-092600-18/KI</t>
  </si>
  <si>
    <t>LT-059981-18/BX</t>
  </si>
  <si>
    <t>LT-074637-18/QU</t>
  </si>
  <si>
    <t>LT-058195-18/BX</t>
  </si>
  <si>
    <t>LT-060160-18/BX</t>
  </si>
  <si>
    <t>LT-081967-18/KI</t>
  </si>
  <si>
    <t>LT-053858-18/BX</t>
  </si>
  <si>
    <t>LT-084746-18/KI</t>
  </si>
  <si>
    <t>LT-022575-18/KI</t>
  </si>
  <si>
    <t>LT-003365-18/KI</t>
  </si>
  <si>
    <t>LT-058482-18/BX</t>
  </si>
  <si>
    <t>LT-097297-18/KI</t>
  </si>
  <si>
    <t>LT-055235-18/BX</t>
  </si>
  <si>
    <t>LT-070740-18/QU</t>
  </si>
  <si>
    <t>LT-082996-18/KI</t>
  </si>
  <si>
    <t>LT-073470-18/QU</t>
  </si>
  <si>
    <t>LT-058934-18/KI</t>
  </si>
  <si>
    <t>LT-070631-18/KI</t>
  </si>
  <si>
    <t>LT-054932-18/BX</t>
  </si>
  <si>
    <t>LT-058281-18/BX</t>
  </si>
  <si>
    <t>LT-011816-18/QU</t>
  </si>
  <si>
    <t>LT-023993-18/BX</t>
  </si>
  <si>
    <t>LT-058734-18/BX</t>
  </si>
  <si>
    <t>LT-080076-18/KI</t>
  </si>
  <si>
    <t>LT-018716-18/KI</t>
  </si>
  <si>
    <t>LT-029653-18/BX</t>
  </si>
  <si>
    <t>LT-053458-18/RI</t>
  </si>
  <si>
    <t>LT-046986-17/BX</t>
  </si>
  <si>
    <t>LT-044635-17/BX</t>
  </si>
  <si>
    <t>LT-072853-18/QU</t>
  </si>
  <si>
    <t>LT-075284-18/NY</t>
  </si>
  <si>
    <t>LT-059748-18/BX</t>
  </si>
  <si>
    <t>LT-058693-18/BX</t>
  </si>
  <si>
    <t>LT-066179-18/QU</t>
  </si>
  <si>
    <t>LT-073731-18/QU</t>
  </si>
  <si>
    <t>LT-073080-17/QU</t>
  </si>
  <si>
    <t>LT-026556-18/BX</t>
  </si>
  <si>
    <t>LT-060562-18/BX</t>
  </si>
  <si>
    <t>LT-075927-18/QU</t>
  </si>
  <si>
    <t>LT-060150-18/BX</t>
  </si>
  <si>
    <t>LT-059980-18/BX</t>
  </si>
  <si>
    <t>LT-060043-18/BX</t>
  </si>
  <si>
    <t>M-H-G-16-1032856</t>
  </si>
  <si>
    <t>LT-052426-18 RI</t>
  </si>
  <si>
    <t>LT-043186-18/BX</t>
  </si>
  <si>
    <t>LT-057065-18/BX</t>
  </si>
  <si>
    <t>LT-048525-18/BX</t>
  </si>
  <si>
    <t>LT-060642-18/BX</t>
  </si>
  <si>
    <t>LT-068423-18/QU</t>
  </si>
  <si>
    <t>LT-088224-17/KI</t>
  </si>
  <si>
    <t>LT-060278-18/BX</t>
  </si>
  <si>
    <t>LT-061010-18/BX</t>
  </si>
  <si>
    <t>LT-076029-18/QU</t>
  </si>
  <si>
    <t>LT-077739-18/NY</t>
  </si>
  <si>
    <t>LT-053161-18/RI</t>
  </si>
  <si>
    <t>LT-057953-18/BX</t>
  </si>
  <si>
    <t>LT-076176-18/QU</t>
  </si>
  <si>
    <t>LT-074045-18/QU</t>
  </si>
  <si>
    <t>LT-018982-18/NY</t>
  </si>
  <si>
    <t>LT-069310-18/NY</t>
  </si>
  <si>
    <t>LT-077791-18/NY</t>
  </si>
  <si>
    <t>LT-056024-18/BX</t>
  </si>
  <si>
    <t>LT-048867-18/BX</t>
  </si>
  <si>
    <t>LT-090883-18/KI</t>
  </si>
  <si>
    <t>LT-006736-18/KI</t>
  </si>
  <si>
    <t>LT-077593-18/NY</t>
  </si>
  <si>
    <t>LT-063239-18/BX</t>
  </si>
  <si>
    <t>LT-063044-18/BX</t>
  </si>
  <si>
    <t>LT-070959-18/QU</t>
  </si>
  <si>
    <t>GV-230153-OR</t>
  </si>
  <si>
    <t>LT-070007-18/QU</t>
  </si>
  <si>
    <t>LT-733886-18/QU</t>
  </si>
  <si>
    <t>LT-028751-18/BX</t>
  </si>
  <si>
    <t>LT-073687-18/QU</t>
  </si>
  <si>
    <t>LT-252378-18/NY</t>
  </si>
  <si>
    <t>LT-67687-18/NY</t>
  </si>
  <si>
    <t>LT-057505-18/BX</t>
  </si>
  <si>
    <t>LT-071917-18/QU</t>
  </si>
  <si>
    <t>LT-056047-18/BX</t>
  </si>
  <si>
    <t>LT-061060-18/BX</t>
  </si>
  <si>
    <t>LT-053343-18/RI</t>
  </si>
  <si>
    <t>LT-053485-18/RI</t>
  </si>
  <si>
    <t>LT-067605-18/QU</t>
  </si>
  <si>
    <t>LT-075543-18/QU</t>
  </si>
  <si>
    <t>LT-042751-18/BX</t>
  </si>
  <si>
    <t>LT-058528-18/BX</t>
  </si>
  <si>
    <t>LT-057871-18/BX</t>
  </si>
  <si>
    <t>LT-061220-18/BX</t>
  </si>
  <si>
    <t>LT-048223-18/BX</t>
  </si>
  <si>
    <t>LT-023965-18/BX</t>
  </si>
  <si>
    <t>LT-076066-18/QU</t>
  </si>
  <si>
    <t>LT-068991-18/QU</t>
  </si>
  <si>
    <t>LT-023055-18/BX</t>
  </si>
  <si>
    <t>LT-051148-18/BX</t>
  </si>
  <si>
    <t>LT-811135-18/BX</t>
  </si>
  <si>
    <t>LT-063326-18/BX</t>
  </si>
  <si>
    <t>LT-15538-19/BX</t>
  </si>
  <si>
    <t>LT-056405-18/BX</t>
  </si>
  <si>
    <t>LT-030464-18/BX</t>
  </si>
  <si>
    <t>LT-060808-18/BX</t>
  </si>
  <si>
    <t>LT-062819-18/BX</t>
  </si>
  <si>
    <t>LT-059450-18/BX</t>
  </si>
  <si>
    <t>LT-030091-18/BX</t>
  </si>
  <si>
    <t>LT-076503-18/QU</t>
  </si>
  <si>
    <t>LT-076558-18/QU</t>
  </si>
  <si>
    <t>LT-057568-18/KI</t>
  </si>
  <si>
    <t>LT-022753-18/BX</t>
  </si>
  <si>
    <t>LT-067416-18/KI</t>
  </si>
  <si>
    <t>2022/2018</t>
  </si>
  <si>
    <t>LT-038030-18/BX</t>
  </si>
  <si>
    <t>LT-056491-18/BX</t>
  </si>
  <si>
    <t>LT-075147-18/QU</t>
  </si>
  <si>
    <t>LT-064669-18/QU</t>
  </si>
  <si>
    <t>LT-019562-18/BX</t>
  </si>
  <si>
    <t>LT-081381-18/KI</t>
  </si>
  <si>
    <t>LT-076964-18/NY</t>
  </si>
  <si>
    <t>LT-091095-18/KI</t>
  </si>
  <si>
    <t>LT-055671-18/KI</t>
  </si>
  <si>
    <t>LT-090492-18/KI</t>
  </si>
  <si>
    <t>LT-092266-18/KI</t>
  </si>
  <si>
    <t>LT-082801-17/NY</t>
  </si>
  <si>
    <t>LT-064049-18/BX</t>
  </si>
  <si>
    <t>LT-020138-18/NY</t>
  </si>
  <si>
    <t>LT-076912-18/NY</t>
  </si>
  <si>
    <t>LT-020137-18/NY</t>
  </si>
  <si>
    <t>LT-074019-18/NY</t>
  </si>
  <si>
    <t>LT-077008-18/NY</t>
  </si>
  <si>
    <t>LT-089954-18/KI</t>
  </si>
  <si>
    <t>LT-089754-18/KI</t>
  </si>
  <si>
    <t>LT-061841-18/BX</t>
  </si>
  <si>
    <t>GS210092</t>
  </si>
  <si>
    <t>LT-082812-17/NY</t>
  </si>
  <si>
    <t>LT-073103-18/QU</t>
  </si>
  <si>
    <t>LT-075654-18/NY</t>
  </si>
  <si>
    <t>LT-060857-18/BX</t>
  </si>
  <si>
    <t>LT-061782-18/BX</t>
  </si>
  <si>
    <t>LT-040570-18/BX</t>
  </si>
  <si>
    <t>LT-088059-18/KI</t>
  </si>
  <si>
    <t>LT-070826-18/NY</t>
  </si>
  <si>
    <t>LT-210699-18/KI</t>
  </si>
  <si>
    <t>LT-092627-18/KI</t>
  </si>
  <si>
    <t>LT-061891-18/BX</t>
  </si>
  <si>
    <t>LT-061091-18/BX</t>
  </si>
  <si>
    <t>LT-071198-18/NY</t>
  </si>
  <si>
    <t>LT-030071-18/BX</t>
  </si>
  <si>
    <t>LT-090839-18/KI</t>
  </si>
  <si>
    <t>LT-076304-18/QU</t>
  </si>
  <si>
    <t>LT-076016-18/QU</t>
  </si>
  <si>
    <t>LT-091294-18/KI</t>
  </si>
  <si>
    <t>LT-74424-18/QU</t>
  </si>
  <si>
    <t>LT-077041-18/QU</t>
  </si>
  <si>
    <t>LT-053482-18/RI</t>
  </si>
  <si>
    <t>LT-062258-18/BX</t>
  </si>
  <si>
    <t>LT-011104-18/RI</t>
  </si>
  <si>
    <t>LT-011009-18/RI</t>
  </si>
  <si>
    <t>LT-010913-18/RI</t>
  </si>
  <si>
    <t>LT-060330-18/QU</t>
  </si>
  <si>
    <t>LT-060354-18/BX</t>
  </si>
  <si>
    <t>LT-076242-18/QU</t>
  </si>
  <si>
    <t>LT-092430-18/KI</t>
  </si>
  <si>
    <t>LT-010370-18/RI</t>
  </si>
  <si>
    <t>LT-064037-18/BX</t>
  </si>
  <si>
    <t>LT-051451-18/RI</t>
  </si>
  <si>
    <t>LT-058677-18/BX</t>
  </si>
  <si>
    <t>LT-061519-17/QU</t>
  </si>
  <si>
    <t>LT-075844-17/QU</t>
  </si>
  <si>
    <t>LT-061070-17/BX</t>
  </si>
  <si>
    <t>LT-058204-18/QU</t>
  </si>
  <si>
    <t>LT-066967-18/QU</t>
  </si>
  <si>
    <t>LT-050047-17/QU</t>
  </si>
  <si>
    <t>LT-068168-18/QU</t>
  </si>
  <si>
    <t>LT-058118-18/BX</t>
  </si>
  <si>
    <t>LT-062058-18/BX</t>
  </si>
  <si>
    <t>LT-079249-18/NY</t>
  </si>
  <si>
    <t>LT-052627-18/BX</t>
  </si>
  <si>
    <t>LT-075030-18/QU</t>
  </si>
  <si>
    <t>LT-071305-18/NY</t>
  </si>
  <si>
    <t>LT-078689-18/NY</t>
  </si>
  <si>
    <t>LT-073549-18/NY</t>
  </si>
  <si>
    <t>LT-078954-18/NY</t>
  </si>
  <si>
    <t>LT-053551-18/BX</t>
  </si>
  <si>
    <t>LT-042087-18/BX</t>
  </si>
  <si>
    <t>LT-059943-18/BX</t>
  </si>
  <si>
    <t>LT-059774-18/BX</t>
  </si>
  <si>
    <t>LT-078971-18/NY</t>
  </si>
  <si>
    <t>LT-061830-18/BX</t>
  </si>
  <si>
    <t>LT-078241-18/NY</t>
  </si>
  <si>
    <t>LT-037657-18/BX</t>
  </si>
  <si>
    <t>LT-056159-18/BX</t>
  </si>
  <si>
    <t>LT-079377-18/NY</t>
  </si>
  <si>
    <t>LT-059379-18/BX</t>
  </si>
  <si>
    <t>LT-064536-18/BX</t>
  </si>
  <si>
    <t>LT-079434-18/NY</t>
  </si>
  <si>
    <t>LT-077322-18/NY</t>
  </si>
  <si>
    <t>GS 210092</t>
  </si>
  <si>
    <t>LT-067366-18/NY</t>
  </si>
  <si>
    <t>LT-012488-18/QU</t>
  </si>
  <si>
    <t>LT-081977-18/KI</t>
  </si>
  <si>
    <t>LT-052066-18/BX</t>
  </si>
  <si>
    <t>LT-065389-18/BX</t>
  </si>
  <si>
    <t>LT-076980-18/QU</t>
  </si>
  <si>
    <t>LT-053072-18/BX</t>
  </si>
  <si>
    <t>LT-059908-18/BX</t>
  </si>
  <si>
    <t>LT-014297-18/QU</t>
  </si>
  <si>
    <t>LT-091750-18/KI</t>
  </si>
  <si>
    <t>LT-082466-16/KI</t>
  </si>
  <si>
    <t>LT-073414-18/KI</t>
  </si>
  <si>
    <t>LT-052848-18/BX</t>
  </si>
  <si>
    <t>LT-061964-18/BX</t>
  </si>
  <si>
    <t>LT-076733-18/QU</t>
  </si>
  <si>
    <t>LT-070511-18/QU</t>
  </si>
  <si>
    <t>LT-076982-18/QU</t>
  </si>
  <si>
    <t>LT-050089-18/BX</t>
  </si>
  <si>
    <t>LT-061262-18/BX</t>
  </si>
  <si>
    <t>LT-093726-18/KI</t>
  </si>
  <si>
    <t>LT-068650-18/QU</t>
  </si>
  <si>
    <t>LT-076559-18/QU</t>
  </si>
  <si>
    <t>LT-093368-18/KI</t>
  </si>
  <si>
    <t>LT- 003812-18/KI</t>
  </si>
  <si>
    <t>LT-078407-17/QU</t>
  </si>
  <si>
    <t>LT-054315-18/QU</t>
  </si>
  <si>
    <t>not filed</t>
  </si>
  <si>
    <t>LT-088200-17/KI</t>
  </si>
  <si>
    <t>LT-093363-17/KI</t>
  </si>
  <si>
    <t>LT-076837-18/KI</t>
  </si>
  <si>
    <t>LT-061755-18/KI</t>
  </si>
  <si>
    <t>LT-078118-18/KI</t>
  </si>
  <si>
    <t>LT-054162-18/QU</t>
  </si>
  <si>
    <t>LT-078967-18/KI</t>
  </si>
  <si>
    <t>LT-067980-18/QU</t>
  </si>
  <si>
    <t>LT-082279-18/KI</t>
  </si>
  <si>
    <t>LT-082438-18/KI</t>
  </si>
  <si>
    <t>LT-062402-18/KI</t>
  </si>
  <si>
    <t>LT-088411-18/KI</t>
  </si>
  <si>
    <t>LT-045280-18/BX</t>
  </si>
  <si>
    <t>LT-074457-18/QU</t>
  </si>
  <si>
    <t>LT-076319-18/QU</t>
  </si>
  <si>
    <t>LT-027846-18/BX</t>
  </si>
  <si>
    <t>LT-059946-18/NY</t>
  </si>
  <si>
    <t>LT-059471-18/BX</t>
  </si>
  <si>
    <t>LT-060480-18/BX</t>
  </si>
  <si>
    <t>LT-058077-18/NY</t>
  </si>
  <si>
    <t>LT-055309-18/BX</t>
  </si>
  <si>
    <t>LT-053548-18/RI</t>
  </si>
  <si>
    <t>LT-053578-18/RI</t>
  </si>
  <si>
    <t>LT-074727-17/QU</t>
  </si>
  <si>
    <t>LT-063193-18/BX</t>
  </si>
  <si>
    <t>LT-067523-17/BX</t>
  </si>
  <si>
    <t>LT-028747-18/BX</t>
  </si>
  <si>
    <t>LT-057223-18/BX</t>
  </si>
  <si>
    <t>LT-053062-18/BX</t>
  </si>
  <si>
    <t>LT-062022-18/BX</t>
  </si>
  <si>
    <t>LT-063400-18/BX</t>
  </si>
  <si>
    <t>LT-052522-18/BX</t>
  </si>
  <si>
    <t>LT-057789-18/BX</t>
  </si>
  <si>
    <t>LT-060040-18/BX</t>
  </si>
  <si>
    <t>LT-061963-18/BX</t>
  </si>
  <si>
    <t>LT-064757-18/BX</t>
  </si>
  <si>
    <t>LT-063219-18/BX</t>
  </si>
  <si>
    <t>LT-077671-18/KI</t>
  </si>
  <si>
    <t>LT-067279-18/KI</t>
  </si>
  <si>
    <t>LT-077247-18/QU</t>
  </si>
  <si>
    <t>LT-016320-18/BX</t>
  </si>
  <si>
    <t>LT-063713-18/BX</t>
  </si>
  <si>
    <t>LT-077433-18/NY</t>
  </si>
  <si>
    <t>LT-075041-18/QU</t>
  </si>
  <si>
    <t>LT-014322-18/QU</t>
  </si>
  <si>
    <t>LT-077473-18/QU</t>
  </si>
  <si>
    <t>LT-075052-18/QU</t>
  </si>
  <si>
    <t>LT-071330-18/QU</t>
  </si>
  <si>
    <t>LT-053881-18/BX</t>
  </si>
  <si>
    <t>LT-074169-18/QU</t>
  </si>
  <si>
    <t>LT-061944-18/BX</t>
  </si>
  <si>
    <t>LT-062318-18/BX</t>
  </si>
  <si>
    <t>LT-061864-18/BX</t>
  </si>
  <si>
    <t>LT-076706-18/QU</t>
  </si>
  <si>
    <t>LT-062071-18/BX</t>
  </si>
  <si>
    <t>LT-94811-18/KI</t>
  </si>
  <si>
    <t>LT-077369-18/QU</t>
  </si>
  <si>
    <t>LT-042683-18/BX</t>
  </si>
  <si>
    <t>LT-066864-18/QU</t>
  </si>
  <si>
    <t>LT-002939-18/KI</t>
  </si>
  <si>
    <t>LT-071617-18/KI</t>
  </si>
  <si>
    <t>LT-060430-18/QU</t>
  </si>
  <si>
    <t>LT-080031-18/KI</t>
  </si>
  <si>
    <t>LT-081888-18/KI</t>
  </si>
  <si>
    <t>no case as of 12/13/18</t>
  </si>
  <si>
    <t>LT-075703-18/NY</t>
  </si>
  <si>
    <t>LT-074114-18/NY</t>
  </si>
  <si>
    <t>LT-064521-18/BX</t>
  </si>
  <si>
    <t>LT-087145-18/KI</t>
  </si>
  <si>
    <t>LT-075919-18/NY</t>
  </si>
  <si>
    <t>LT-073115-18/NY</t>
  </si>
  <si>
    <t>LT-073547-18/NY</t>
  </si>
  <si>
    <t>LT-095122-18/KI</t>
  </si>
  <si>
    <t>LT-079305-18/NY</t>
  </si>
  <si>
    <t>LT-053639-18/RI</t>
  </si>
  <si>
    <t>LT-053652-18/RI</t>
  </si>
  <si>
    <t>LT-053640-18/RI</t>
  </si>
  <si>
    <t>LT-078974-18/NY</t>
  </si>
  <si>
    <t>LT-079013-18/NY</t>
  </si>
  <si>
    <t>LT-200048-17/NY</t>
  </si>
  <si>
    <t>LT-050838-18/QU</t>
  </si>
  <si>
    <t>LT-059799-18/BX</t>
  </si>
  <si>
    <t>LT-062922-18/BX</t>
  </si>
  <si>
    <t>LT-012067-18/BX</t>
  </si>
  <si>
    <t>LT-076469-18/QU</t>
  </si>
  <si>
    <t>LT-041637-18/BX</t>
  </si>
  <si>
    <t>LT-056835-18/BX</t>
  </si>
  <si>
    <t>LT-801487-18/BX</t>
  </si>
  <si>
    <t>LT-044277-18/BX</t>
  </si>
  <si>
    <t>LT-022706-18/BX</t>
  </si>
  <si>
    <t>LT-021170-18/BX</t>
  </si>
  <si>
    <t>LT-066626-18/BX</t>
  </si>
  <si>
    <t>LT-074636-18/QU</t>
  </si>
  <si>
    <t>LT-063427-18/BX</t>
  </si>
  <si>
    <t>LT-060560-18/BX</t>
  </si>
  <si>
    <t>LT-021440-18/BX</t>
  </si>
  <si>
    <t>LT-50389-19/NY</t>
  </si>
  <si>
    <t>LT-064575-18/BX</t>
  </si>
  <si>
    <t>LT-075754-18/QU</t>
  </si>
  <si>
    <t>LT-077186-18/QU</t>
  </si>
  <si>
    <t>LT-054056-18/BX</t>
  </si>
  <si>
    <t>LT-061316-18/BX</t>
  </si>
  <si>
    <t>LT-003929-18/KI</t>
  </si>
  <si>
    <t>GN410010HL</t>
  </si>
  <si>
    <t>LT-056983-18/NY</t>
  </si>
  <si>
    <t>LT-057430-18/NY</t>
  </si>
  <si>
    <t>LT-028865-18/BX</t>
  </si>
  <si>
    <t>LT-060885-18/BX</t>
  </si>
  <si>
    <t>LT-013930-18/QU</t>
  </si>
  <si>
    <t>LT-060113-18/BX</t>
  </si>
  <si>
    <t>LT-071543-18/QU</t>
  </si>
  <si>
    <t>LT-071595-18/KI</t>
  </si>
  <si>
    <t>838819-CR-2016</t>
  </si>
  <si>
    <t>LT-013945-18/QU</t>
  </si>
  <si>
    <t>LT-057132-18/BX</t>
  </si>
  <si>
    <t>LT-064535-18/BX</t>
  </si>
  <si>
    <t>LT-064877-18/BX</t>
  </si>
  <si>
    <t>LT-053150-19/KI</t>
  </si>
  <si>
    <t>LT-078341-18/QU</t>
  </si>
  <si>
    <t>LT-095152-18/KI</t>
  </si>
  <si>
    <t>LT-030192-17/BX</t>
  </si>
  <si>
    <t>LT-080954-18/KI</t>
  </si>
  <si>
    <t>LT-063535-18/QU</t>
  </si>
  <si>
    <t>LT-074144-18/KI</t>
  </si>
  <si>
    <t>LT-021070-18/NY</t>
  </si>
  <si>
    <t>LT-060341-18/BX</t>
  </si>
  <si>
    <t>LT-094692-18/KI</t>
  </si>
  <si>
    <t>LT-093820-18/KI</t>
  </si>
  <si>
    <t>LT-062310-18/BX</t>
  </si>
  <si>
    <t>LT-064524-17/BX</t>
  </si>
  <si>
    <t>LT-069839-18/QU</t>
  </si>
  <si>
    <t>LT-068588-18/QU</t>
  </si>
  <si>
    <t>LT-066633-18/QU</t>
  </si>
  <si>
    <t>LT-84032-18/KI</t>
  </si>
  <si>
    <t>LT-073550-18/QU</t>
  </si>
  <si>
    <t>LT-073403-18/QU</t>
  </si>
  <si>
    <t>LT-074234-18/QU</t>
  </si>
  <si>
    <t>LT-074915-18/QU</t>
  </si>
  <si>
    <t>LT-090833-18/KI</t>
  </si>
  <si>
    <t>LT-073134-18/QU</t>
  </si>
  <si>
    <t>LT-076427-18/QU</t>
  </si>
  <si>
    <t>LT-052720-18/BX</t>
  </si>
  <si>
    <t>LT-077403-18/QU</t>
  </si>
  <si>
    <t>LT-808501-18/BX</t>
  </si>
  <si>
    <t>LT-078013-18/QU</t>
  </si>
  <si>
    <t>LT-061808-18/BX</t>
  </si>
  <si>
    <t>LT-91336-18/KI</t>
  </si>
  <si>
    <t>LT-074819-18/NY</t>
  </si>
  <si>
    <t>LT-061811-18/BX</t>
  </si>
  <si>
    <t>LT-809114-17/BX</t>
  </si>
  <si>
    <t>LT-066538-18/QU</t>
  </si>
  <si>
    <t>LT-028828-18/BX</t>
  </si>
  <si>
    <t>LT-046525-18/BX</t>
  </si>
  <si>
    <t>LT-071012-18/QU</t>
  </si>
  <si>
    <t>LT-013308-18/QU</t>
  </si>
  <si>
    <t>LT-071217-18/QU</t>
  </si>
  <si>
    <t>LT-071603-18/QU</t>
  </si>
  <si>
    <t>LT-078588-18/QU</t>
  </si>
  <si>
    <t>LT-078103-18/QU</t>
  </si>
  <si>
    <t>LT-077275-18/QU</t>
  </si>
  <si>
    <t>LT-077876-18/QU</t>
  </si>
  <si>
    <t>LT-045840-18/BX</t>
  </si>
  <si>
    <t>LT-054515-18/BX</t>
  </si>
  <si>
    <t>LT-064181-18/BX</t>
  </si>
  <si>
    <t>LT-064271-18/BX</t>
  </si>
  <si>
    <t>LT-073758-18/QU</t>
  </si>
  <si>
    <t>LT-078251-18/QU</t>
  </si>
  <si>
    <t>LT-077898-18/QU</t>
  </si>
  <si>
    <t>LT-077779-18/QU</t>
  </si>
  <si>
    <t>LT-015965-18/BX</t>
  </si>
  <si>
    <t>LT-064880-18/BX</t>
  </si>
  <si>
    <t>LT-058958-18/BX</t>
  </si>
  <si>
    <t>LT-036266-18/BX</t>
  </si>
  <si>
    <t>LT-096372-18/KI</t>
  </si>
  <si>
    <t>LT-088144-18/KI</t>
  </si>
  <si>
    <t>LT-061942-18/BX</t>
  </si>
  <si>
    <t>LT-078453-18/QU</t>
  </si>
  <si>
    <t>no case as of April 2018</t>
  </si>
  <si>
    <t>LT-066018-18/NY</t>
  </si>
  <si>
    <t>LT-077275-18/KI</t>
  </si>
  <si>
    <t>LT-067844-18/QU</t>
  </si>
  <si>
    <t>LT-080023-18/KI</t>
  </si>
  <si>
    <t>LT-017777-18/KI</t>
  </si>
  <si>
    <t>LT-031708-18/BX</t>
  </si>
  <si>
    <t>LT-081952-18/KI</t>
  </si>
  <si>
    <t>LT-003104-18/KI</t>
  </si>
  <si>
    <t>LT-063649-18/QU</t>
  </si>
  <si>
    <t>FX210214S</t>
  </si>
  <si>
    <t>LT-480874-18/BX</t>
  </si>
  <si>
    <t>LT-055430-18/BX</t>
  </si>
  <si>
    <t>LT-077062-18/NY</t>
  </si>
  <si>
    <t>LT-044928-18/BX</t>
  </si>
  <si>
    <t>LT-015452-18/BX</t>
  </si>
  <si>
    <t>LT-073120-18/NY</t>
  </si>
  <si>
    <t>LT-061238-18/BX</t>
  </si>
  <si>
    <t>LT-054547-18/BX</t>
  </si>
  <si>
    <t>LT-252137-17/NY</t>
  </si>
  <si>
    <t>LT-061497-18/BX</t>
  </si>
  <si>
    <t>LT-079613-18/NY</t>
  </si>
  <si>
    <t>LT-062423-18/NY</t>
  </si>
  <si>
    <t>LT-078927-18/NY</t>
  </si>
  <si>
    <t>LT-078705-18/NY</t>
  </si>
  <si>
    <t>LT-079651-18/NY</t>
  </si>
  <si>
    <t>LT-063023-17/BX</t>
  </si>
  <si>
    <t>LT-059467-18/KI</t>
  </si>
  <si>
    <t>LT-071973-18/KI</t>
  </si>
  <si>
    <t>LT-063394-18/KI</t>
  </si>
  <si>
    <t>LT-074958-18/KI</t>
  </si>
  <si>
    <t>LT-072991-18/KI</t>
  </si>
  <si>
    <t>LT-68049-18/BX</t>
  </si>
  <si>
    <t>LT-032562-18/BX</t>
  </si>
  <si>
    <t>010159/2018</t>
  </si>
  <si>
    <t>GT-630025-RT</t>
  </si>
  <si>
    <t>LT-073665-18/KI</t>
  </si>
  <si>
    <t>LT-010159-18/BX</t>
  </si>
  <si>
    <t>LT-087341-18/KI</t>
  </si>
  <si>
    <t>LT-019098-18/KI</t>
  </si>
  <si>
    <t>LT-084897-18/KI</t>
  </si>
  <si>
    <t>LT-066074-18/BX</t>
  </si>
  <si>
    <t>LT-063815-17/KI</t>
  </si>
  <si>
    <t>GW-630035-B</t>
  </si>
  <si>
    <t>LT-022755-18/KI</t>
  </si>
  <si>
    <t>LT-066917-18/BX</t>
  </si>
  <si>
    <t>LT-66917-18/BX</t>
  </si>
  <si>
    <t>LT-032351-18/BX</t>
  </si>
  <si>
    <t>LT-035600-18/BX</t>
  </si>
  <si>
    <t>LT-056013-18/BX</t>
  </si>
  <si>
    <t>042029/2016</t>
  </si>
  <si>
    <t>LT-004595-19/KI</t>
  </si>
  <si>
    <t>LT-092751-18/KI</t>
  </si>
  <si>
    <t>LT-063254-18/BX</t>
  </si>
  <si>
    <t>LT-093578-18/KI</t>
  </si>
  <si>
    <t>LT-056890-18/BX</t>
  </si>
  <si>
    <t>LT-058833-18/BX</t>
  </si>
  <si>
    <t>861391-TD-2017</t>
  </si>
  <si>
    <t>LT-059576-18/NY</t>
  </si>
  <si>
    <t>LT-078275-17/NY</t>
  </si>
  <si>
    <t>LT-015568-18/KI</t>
  </si>
  <si>
    <t>LT-064227-18/NY</t>
  </si>
  <si>
    <t>LT-079006-17/NY</t>
  </si>
  <si>
    <t>LT-073877-18/KI</t>
  </si>
  <si>
    <t>LT-052382-18/RI</t>
  </si>
  <si>
    <t>LT-077919-18/KI</t>
  </si>
  <si>
    <t>LT-064841-18/NY</t>
  </si>
  <si>
    <t>LT-071569-18/NY</t>
  </si>
  <si>
    <t>LT-052156-18/RI</t>
  </si>
  <si>
    <t>LT-082446-18/KI</t>
  </si>
  <si>
    <t>LT-003539-18/KI</t>
  </si>
  <si>
    <t>LT-080046-18/KI</t>
  </si>
  <si>
    <t>LT-072096-18/KI</t>
  </si>
  <si>
    <t>LT-083912-18/KI</t>
  </si>
  <si>
    <t>LT-082851-18/KI</t>
  </si>
  <si>
    <t>LT-073918-18/NY</t>
  </si>
  <si>
    <t>LT-052086-18/RI</t>
  </si>
  <si>
    <t>LT-073598-18/NY</t>
  </si>
  <si>
    <t>LT-084118-18/KI</t>
  </si>
  <si>
    <t>LT-066024-18/KI</t>
  </si>
  <si>
    <t>LT-085607-18/KI</t>
  </si>
  <si>
    <t>LT-085124-18/KI</t>
  </si>
  <si>
    <t>LT-081137-18/KI</t>
  </si>
  <si>
    <t>LT-93067-18/KI</t>
  </si>
  <si>
    <t>LT-087717-18/KI</t>
  </si>
  <si>
    <t>LT-088979-18/KI</t>
  </si>
  <si>
    <t>LT-081347-18/KI</t>
  </si>
  <si>
    <t>LT-088356-18/KI</t>
  </si>
  <si>
    <t>LT-089439-18/KI</t>
  </si>
  <si>
    <t>LT-088132-18/KI</t>
  </si>
  <si>
    <t>LT-090258-18/KI</t>
  </si>
  <si>
    <t>LT-093159-18/KI</t>
  </si>
  <si>
    <t>LT093887/18 KI</t>
  </si>
  <si>
    <t>LT-075928-18/NY</t>
  </si>
  <si>
    <t>LT-090875-18/KI</t>
  </si>
  <si>
    <t>LT-094488-18/KI</t>
  </si>
  <si>
    <t>LT-039522-18/BX</t>
  </si>
  <si>
    <t>LT-074577-18/KI</t>
  </si>
  <si>
    <t>LT-043271-16/BX</t>
  </si>
  <si>
    <t>LT-096068-17/KI</t>
  </si>
  <si>
    <t>LT-085940-17/KI</t>
  </si>
  <si>
    <t>LT-071017-18/KI</t>
  </si>
  <si>
    <t>LT-074044-18/KI</t>
  </si>
  <si>
    <t>LT-062165-18/KI</t>
  </si>
  <si>
    <t>LT-023372-17/KI</t>
  </si>
  <si>
    <t>LT-014359-18/KI</t>
  </si>
  <si>
    <t>LT-060758-18/KI</t>
  </si>
  <si>
    <t>LT-068254-17/KI</t>
  </si>
  <si>
    <t>LT-022327-17/KI</t>
  </si>
  <si>
    <t>LT-093932-18/KI</t>
  </si>
  <si>
    <t>LT-017040-18/KI</t>
  </si>
  <si>
    <t>LT-059409-18/KI</t>
  </si>
  <si>
    <t>LT-067431-18/KI</t>
  </si>
  <si>
    <t>LT-063599-18/KI</t>
  </si>
  <si>
    <t>LT-080581-18/KI</t>
  </si>
  <si>
    <t>51156/19</t>
  </si>
  <si>
    <t>LT-080650-18/KI</t>
  </si>
  <si>
    <t>LT-016515-18/KI</t>
  </si>
  <si>
    <t>101437-2018/NY</t>
  </si>
  <si>
    <t>LT-082587-18/KI</t>
  </si>
  <si>
    <t>902738-TD-2018</t>
  </si>
  <si>
    <t>LT-077113-18/KI</t>
  </si>
  <si>
    <t>LT-084821-18/KI</t>
  </si>
  <si>
    <t>LT-003404-18/KI</t>
  </si>
  <si>
    <t>LT-085433-18/KI</t>
  </si>
  <si>
    <t>LT-077193-18/KI</t>
  </si>
  <si>
    <t>LT-079944-18/KI</t>
  </si>
  <si>
    <t>LT-077759-18/KI</t>
  </si>
  <si>
    <t>LT-088075-18/KI</t>
  </si>
  <si>
    <t>LT-018171-18/KI</t>
  </si>
  <si>
    <t>LT-085692-18/KI</t>
  </si>
  <si>
    <t>LT-081955-18/KI</t>
  </si>
  <si>
    <t>LT-078384-18/KI</t>
  </si>
  <si>
    <t>LT-088056-18/KI</t>
  </si>
  <si>
    <t>LT-088706-18/KI</t>
  </si>
  <si>
    <t>LT-089128-18/KI</t>
  </si>
  <si>
    <t>LT-017830-18/KI</t>
  </si>
  <si>
    <t>LT-022329-18/KI</t>
  </si>
  <si>
    <t>LT-022324-18/KI</t>
  </si>
  <si>
    <t>LT-061289-18/BX</t>
  </si>
  <si>
    <t>LT-022337-18/KI</t>
  </si>
  <si>
    <t>LT-022304-18/KI</t>
  </si>
  <si>
    <t>LT-020123-18/KI</t>
  </si>
  <si>
    <t>LT-065350-18/KI</t>
  </si>
  <si>
    <t>LT-087713-18/KI</t>
  </si>
  <si>
    <t>LT-091040-18/KI</t>
  </si>
  <si>
    <t>LT-093532-18/KI</t>
  </si>
  <si>
    <t>LT-018505-18/KI</t>
  </si>
  <si>
    <t>LT-090915-18/KI</t>
  </si>
  <si>
    <t>LT-090548-18/KI</t>
  </si>
  <si>
    <t>LT-093408-18/KI</t>
  </si>
  <si>
    <t>LT-093634-18/KI</t>
  </si>
  <si>
    <t>LT-058467-18/KI</t>
  </si>
  <si>
    <t>LT-092699-18/KI</t>
  </si>
  <si>
    <t>LT-091239-18/KI</t>
  </si>
  <si>
    <t>LT-079933-18/KI</t>
  </si>
  <si>
    <t>LT-093688-18/KI</t>
  </si>
  <si>
    <t>LT-076569-18/KI</t>
  </si>
  <si>
    <t>LT-092985-18/KI</t>
  </si>
  <si>
    <t>LT-073171-18/QU</t>
  </si>
  <si>
    <t>LT-093407-18/KI</t>
  </si>
  <si>
    <t>LT-093081-18/KI</t>
  </si>
  <si>
    <t>LT-065968-18/BX</t>
  </si>
  <si>
    <t>LT-082159-18/KI</t>
  </si>
  <si>
    <t>LT-088148-18/KI</t>
  </si>
  <si>
    <t>LT-094102-18/KI</t>
  </si>
  <si>
    <t>LT-094906-18/KI</t>
  </si>
  <si>
    <t>LT-079836-18/KI</t>
  </si>
  <si>
    <t>LT-019382-18/KI</t>
  </si>
  <si>
    <t>LT-087536-18/KI</t>
  </si>
  <si>
    <t>LT-086922-18/KI</t>
  </si>
  <si>
    <t>LT-023180-18/KI</t>
  </si>
  <si>
    <t>LT-063335-18/BX</t>
  </si>
  <si>
    <t>LT-089626-18/KI</t>
  </si>
  <si>
    <t>LT-086814-18/KI</t>
  </si>
  <si>
    <t>LT-083584-18/KI</t>
  </si>
  <si>
    <t>LT-067894-18/KI</t>
  </si>
  <si>
    <t>LT-064059-18/BX</t>
  </si>
  <si>
    <t>LT-015196-18/NY</t>
  </si>
  <si>
    <t>LT-080541-18/NY</t>
  </si>
  <si>
    <t>LT-080298-18/NY</t>
  </si>
  <si>
    <t>LT-053553-18/RI</t>
  </si>
  <si>
    <t>LT-090665-18/KI</t>
  </si>
  <si>
    <t>LT-086550-18/KI</t>
  </si>
  <si>
    <t>LT-065851-18/BX</t>
  </si>
  <si>
    <t>LT-060428-18/BX</t>
  </si>
  <si>
    <t>LT-079696-18/NY</t>
  </si>
  <si>
    <t>LT-057131-18/BX</t>
  </si>
  <si>
    <t>LT-079984-18/NY</t>
  </si>
  <si>
    <t>LT-050890-18/BX</t>
  </si>
  <si>
    <t>LT-066713-18/BX</t>
  </si>
  <si>
    <t>LT-064450-18/BX</t>
  </si>
  <si>
    <t>LT-079985-18/NY</t>
  </si>
  <si>
    <t>LT-080629-18/NY</t>
  </si>
  <si>
    <t>LT-079418-18/NY</t>
  </si>
  <si>
    <t>LT-78320-18/NY</t>
  </si>
  <si>
    <t>LT-088470-18/KI</t>
  </si>
  <si>
    <t>LT-060165-18/BX</t>
  </si>
  <si>
    <t>LT-021236-18/NY</t>
  </si>
  <si>
    <t>LT-054512-18/NY</t>
  </si>
  <si>
    <t>LT-075580-18/KI</t>
  </si>
  <si>
    <t>LT-094742-18/KI</t>
  </si>
  <si>
    <t>LT-087440-17/KI</t>
  </si>
  <si>
    <t>LT-085268-18/KI</t>
  </si>
  <si>
    <t>LT-096206-18/KI</t>
  </si>
  <si>
    <t>LT-094879-18/KI</t>
  </si>
  <si>
    <t>LT-094701-18/KI</t>
  </si>
  <si>
    <t>LT-095478-18/KI</t>
  </si>
  <si>
    <t>LT-023766-18/KI</t>
  </si>
  <si>
    <t>LT-024532-18/KI</t>
  </si>
  <si>
    <t>LT-095747-18/KI</t>
  </si>
  <si>
    <t>LT-095825-18/KI</t>
  </si>
  <si>
    <t>LT-083467-18/KI</t>
  </si>
  <si>
    <t>LT-093139-18/KI</t>
  </si>
  <si>
    <t>LT-089464-18/KI</t>
  </si>
  <si>
    <t>LT-093849-18/KI</t>
  </si>
  <si>
    <t>LT-061591-18/KI</t>
  </si>
  <si>
    <t>LT-94436-18/KI</t>
  </si>
  <si>
    <t>LT-095284-18/KI</t>
  </si>
  <si>
    <t>LT-598881-18/BX</t>
  </si>
  <si>
    <t>GW1101290R</t>
  </si>
  <si>
    <t>LT-062563-18/QU</t>
  </si>
  <si>
    <t>LT-061692-18/BX</t>
  </si>
  <si>
    <t>LT-058646-18/BX</t>
  </si>
  <si>
    <t>LT-013916-18/BX</t>
  </si>
  <si>
    <t>LT-078253-18/QU</t>
  </si>
  <si>
    <t>LT-067757-18/BX</t>
  </si>
  <si>
    <t>LT-074290-18/QU</t>
  </si>
  <si>
    <t>LT-036659-18/BX</t>
  </si>
  <si>
    <t>LT-064476-18/BX</t>
  </si>
  <si>
    <t>LT-063892-18/BX</t>
  </si>
  <si>
    <t>LT-063911-18/BX</t>
  </si>
  <si>
    <t>LT-077762-18/QU</t>
  </si>
  <si>
    <t>LT-078428-18/QU</t>
  </si>
  <si>
    <t>LT-077366-18/QU</t>
  </si>
  <si>
    <t>LT-095266-18/KI</t>
  </si>
  <si>
    <t>LT-075335-18/QU</t>
  </si>
  <si>
    <t>LT-096205-18/KI</t>
  </si>
  <si>
    <t>LT-095739-18/KI</t>
  </si>
  <si>
    <t>LT-295597-18/KI</t>
  </si>
  <si>
    <t>LT-070768-18/KI</t>
  </si>
  <si>
    <t>LT-096617-18/KI</t>
  </si>
  <si>
    <t>LT-095418-18/KI</t>
  </si>
  <si>
    <t>LT-95268-18/KI</t>
  </si>
  <si>
    <t>LT-054597-17/BX</t>
  </si>
  <si>
    <t>LT-059784-18/BX</t>
  </si>
  <si>
    <t>LT-077983-18/QU</t>
  </si>
  <si>
    <t>LT-053169-18/RI</t>
  </si>
  <si>
    <t>LT-038459-18/BX</t>
  </si>
  <si>
    <t>LT-048713-18/BX</t>
  </si>
  <si>
    <t>LT-067621-18/BX</t>
  </si>
  <si>
    <t>LT-069318-17/BX</t>
  </si>
  <si>
    <t>LT-064697-18/BX</t>
  </si>
  <si>
    <t>LT-040330-18/BX</t>
  </si>
  <si>
    <t>LT-053702-18/RI</t>
  </si>
  <si>
    <t>LT-77457-18/QU</t>
  </si>
  <si>
    <t>LT-056307-18/KI</t>
  </si>
  <si>
    <t>LT-068718-18/QU</t>
  </si>
  <si>
    <t>LT-060571-18/BX</t>
  </si>
  <si>
    <t>LT-070698-18/QU</t>
  </si>
  <si>
    <t>LT-087369-18/KI</t>
  </si>
  <si>
    <t>LT-065486-18/BX</t>
  </si>
  <si>
    <t>LT-001659-18/QU</t>
  </si>
  <si>
    <t>LT-063837-18/BX</t>
  </si>
  <si>
    <t>LT-066238-18/NY</t>
  </si>
  <si>
    <t>LT-52998-18/RI</t>
  </si>
  <si>
    <t>LT-039856-18/BX</t>
  </si>
  <si>
    <t>LT-082304-18/KI</t>
  </si>
  <si>
    <t>LT-024073-18/KI</t>
  </si>
  <si>
    <t>LT-051867-18/BX</t>
  </si>
  <si>
    <t>LT-069604-16/BX</t>
  </si>
  <si>
    <t>LT-057313-18/KI</t>
  </si>
  <si>
    <t>LT-094788-17/KI</t>
  </si>
  <si>
    <t>LT-050008-18/QU</t>
  </si>
  <si>
    <t>LT-000707-19/BX</t>
  </si>
  <si>
    <t>LT-062217-18/BX</t>
  </si>
  <si>
    <t>LT-064426-18/BX</t>
  </si>
  <si>
    <t>LT-067114-18/BX</t>
  </si>
  <si>
    <t>LT-039556-18/BX</t>
  </si>
  <si>
    <t>LT-066816-18/BX</t>
  </si>
  <si>
    <t>LT-063909-18/BX</t>
  </si>
  <si>
    <t>LT-059758-18/BX</t>
  </si>
  <si>
    <t>LT-066710-18/BX</t>
  </si>
  <si>
    <t>LT-020557-18/NY</t>
  </si>
  <si>
    <t>LT-061965-18/BX</t>
  </si>
  <si>
    <t>LT-050011-19/QU</t>
  </si>
  <si>
    <t>LT-077046-18/QU</t>
  </si>
  <si>
    <t>LT-018857-18/NY</t>
  </si>
  <si>
    <t>LT-080655-18/KI</t>
  </si>
  <si>
    <t>LT-093160-18/KI</t>
  </si>
  <si>
    <t>LT-077234-18/QU</t>
  </si>
  <si>
    <t>LT-067184-18/BX</t>
  </si>
  <si>
    <t>LT-072410-18/QU</t>
  </si>
  <si>
    <t>LT-081223-18/NY</t>
  </si>
  <si>
    <t>LT-019505-18/NY</t>
  </si>
  <si>
    <t>LT-081339-18/NY</t>
  </si>
  <si>
    <t>LT-065774-18/BX</t>
  </si>
  <si>
    <t>LT-067491-18/BX</t>
  </si>
  <si>
    <t>LT-067698-18/BX</t>
  </si>
  <si>
    <t>LT-077812-18/NY</t>
  </si>
  <si>
    <t>LT-079975-18/NY</t>
  </si>
  <si>
    <t>LT-072351-18/NY</t>
  </si>
  <si>
    <t>LT-053794-18/RI</t>
  </si>
  <si>
    <t>LT-071557-18/NY</t>
  </si>
  <si>
    <t>LT-064463-18/BX</t>
  </si>
  <si>
    <t>LT-045923-18/BX</t>
  </si>
  <si>
    <t>LT-068359-18/BX</t>
  </si>
  <si>
    <t>LT-053171-18/RI</t>
  </si>
  <si>
    <t>LT-053759-18/RI</t>
  </si>
  <si>
    <t>LT-081235-18/NY</t>
  </si>
  <si>
    <t>LT-080315-18/NY</t>
  </si>
  <si>
    <t>LT-076640-18/NY</t>
  </si>
  <si>
    <t>LT-066593-18/BX</t>
  </si>
  <si>
    <t>LT-093040-18/KI</t>
  </si>
  <si>
    <t>LT-065391-18/BX</t>
  </si>
  <si>
    <t>LT-014216-18/QU</t>
  </si>
  <si>
    <t>LT-001043-19/BX</t>
  </si>
  <si>
    <t>LT-065053-18/BX</t>
  </si>
  <si>
    <t>LT-074039-18/QU</t>
  </si>
  <si>
    <t>LT-050044-19/QU</t>
  </si>
  <si>
    <t>LT-076174-18/QU</t>
  </si>
  <si>
    <t>LT-902376-18/BX</t>
  </si>
  <si>
    <t>LT-079274-18/KI</t>
  </si>
  <si>
    <t>LT-034273-18/BX</t>
  </si>
  <si>
    <t>LT-011572-18/QU</t>
  </si>
  <si>
    <t>LT-014416-19/QU</t>
  </si>
  <si>
    <t>LT-022923-18/BX</t>
  </si>
  <si>
    <t>LT-041238-18/BX</t>
  </si>
  <si>
    <t>LT-000361-19/BX</t>
  </si>
  <si>
    <t>LT-043023-18/BX</t>
  </si>
  <si>
    <t>LT-064429-18/BX</t>
  </si>
  <si>
    <t>LT-062718-18/BX</t>
  </si>
  <si>
    <t>LT-050048-18/QU</t>
  </si>
  <si>
    <t>LT-050351-19/QU</t>
  </si>
  <si>
    <t>LT-068356-18/BX</t>
  </si>
  <si>
    <t>LT-057144-18/BX</t>
  </si>
  <si>
    <t>LT-068354-18/BX</t>
  </si>
  <si>
    <t>LT-013296-18/QU</t>
  </si>
  <si>
    <t>LT-078526-18/QU</t>
  </si>
  <si>
    <t>LT-074847-18/QU</t>
  </si>
  <si>
    <t>LT-094378-18/KI</t>
  </si>
  <si>
    <t>LT-088195-18/KI</t>
  </si>
  <si>
    <t>LT-071692-16/BX</t>
  </si>
  <si>
    <t>LT-013086-18/QU</t>
  </si>
  <si>
    <t>LT-091881-18/KI</t>
  </si>
  <si>
    <t>LT-074981-18/KI</t>
  </si>
  <si>
    <t>LT-095826-18/KI</t>
  </si>
  <si>
    <t>LT-064014-18/BX</t>
  </si>
  <si>
    <t>LT-074376-18/NY</t>
  </si>
  <si>
    <t>LT-080059-18/NY</t>
  </si>
  <si>
    <t>LT-050267-19/KI</t>
  </si>
  <si>
    <t>LT-064408-18/BX</t>
  </si>
  <si>
    <t>LT-080010-18/NY</t>
  </si>
  <si>
    <t>LT-069495-18/NY</t>
  </si>
  <si>
    <t>LT-079778-18/NY</t>
  </si>
  <si>
    <t>LT-077913-18/NY</t>
  </si>
  <si>
    <t>LT-079893-18/NY</t>
  </si>
  <si>
    <t>LT-073631-17/BX</t>
  </si>
  <si>
    <t>LT-064541-18/NY</t>
  </si>
  <si>
    <t>LT-050587-18/BX</t>
  </si>
  <si>
    <t>LT-080173-18/KI</t>
  </si>
  <si>
    <t>LT-065390-18/BX</t>
  </si>
  <si>
    <t>LT-050175-19/RI</t>
  </si>
  <si>
    <t>LT-052883-18/RI</t>
  </si>
  <si>
    <t>LT-096533-18/KI</t>
  </si>
  <si>
    <t>LT-810994-18/BX</t>
  </si>
  <si>
    <t>LT-000289-19/NY</t>
  </si>
  <si>
    <t>LT-061795-18/BX</t>
  </si>
  <si>
    <t>LT-053723-18/RI</t>
  </si>
  <si>
    <t>LT-86877-18/KI</t>
  </si>
  <si>
    <t>LT-782831-18/KI</t>
  </si>
  <si>
    <t>LT-073801-17/BX</t>
  </si>
  <si>
    <t>LT-020579-18/KI</t>
  </si>
  <si>
    <t>LT-014160-17/QU</t>
  </si>
  <si>
    <t>LT-022295-18/BX</t>
  </si>
  <si>
    <t>LT-055619-18/QU</t>
  </si>
  <si>
    <t>LT-050053-19/QU</t>
  </si>
  <si>
    <t>LT-078642-18/QU</t>
  </si>
  <si>
    <t>LT-065592-18/BX</t>
  </si>
  <si>
    <t>LT-058477-18/BX</t>
  </si>
  <si>
    <t>LT-065380-18/BX</t>
  </si>
  <si>
    <t>LT-068011-18/QU</t>
  </si>
  <si>
    <t>LT-097401-18/KI</t>
  </si>
  <si>
    <t>LT-082955-18/KI</t>
  </si>
  <si>
    <t>LT-094203-18/KI</t>
  </si>
  <si>
    <t>LT-048749-17/BX</t>
  </si>
  <si>
    <t>LT-076196-18/QU</t>
  </si>
  <si>
    <t>LT-060668-18/BX</t>
  </si>
  <si>
    <t>LT-018606-18/NY</t>
  </si>
  <si>
    <t>LT-053693-18/RI</t>
  </si>
  <si>
    <t>LT-066410-18/BX</t>
  </si>
  <si>
    <t>LT-050137-19/QU</t>
  </si>
  <si>
    <t>LT-050976-19/NY</t>
  </si>
  <si>
    <t>LT-050375-19/NY</t>
  </si>
  <si>
    <t>LT-050029-19/NY</t>
  </si>
  <si>
    <t>LT-081193-18/NY</t>
  </si>
  <si>
    <t>LT-081233-18/NY</t>
  </si>
  <si>
    <t>LT-072476-18/NY</t>
  </si>
  <si>
    <t>LT-079108-18/QU</t>
  </si>
  <si>
    <t>LT-063456-18/BX</t>
  </si>
  <si>
    <t>LT-050026-19/QU</t>
  </si>
  <si>
    <t>LT-251014-18/NY</t>
  </si>
  <si>
    <t>LT-50183-19/QU</t>
  </si>
  <si>
    <t>LT-052572-18/BX</t>
  </si>
  <si>
    <t>LT-039359-18/BX</t>
  </si>
  <si>
    <t>LT-004081-18/KI</t>
  </si>
  <si>
    <t>LT-004082-18/KI</t>
  </si>
  <si>
    <t>LT-080461-18/NY</t>
  </si>
  <si>
    <t>LT-010237-19/QU</t>
  </si>
  <si>
    <t>LT-051266-19/QU</t>
  </si>
  <si>
    <t>LT-067264-18/QU</t>
  </si>
  <si>
    <t>LT-010022-19/QU</t>
  </si>
  <si>
    <t>LT-021481-16/BX</t>
  </si>
  <si>
    <t>LT-051160-19/QU</t>
  </si>
  <si>
    <t>LT-074904-18/QU</t>
  </si>
  <si>
    <t>LT-066297-18/QU</t>
  </si>
  <si>
    <t>LT-050658-19/QU</t>
  </si>
  <si>
    <t>LT-011078-18/RI</t>
  </si>
  <si>
    <t>LT-053656-18/RI</t>
  </si>
  <si>
    <t>LT-053490-18/RI</t>
  </si>
  <si>
    <t>LT-069316-18/KI</t>
  </si>
  <si>
    <t>LT-050579-19/KI</t>
  </si>
  <si>
    <t>LT-050159-18/KI</t>
  </si>
  <si>
    <t>LT-082773-18/KI</t>
  </si>
  <si>
    <t>LT-074980-18/KI</t>
  </si>
  <si>
    <t>LT-097025-18/KI</t>
  </si>
  <si>
    <t>LT-096229-18/KI</t>
  </si>
  <si>
    <t>LT-076111-18/QU</t>
  </si>
  <si>
    <t>LT-050781-18/BX</t>
  </si>
  <si>
    <t>LT-038353-18/BX</t>
  </si>
  <si>
    <t>LT-055333-17/NY</t>
  </si>
  <si>
    <t>LT-073819-18/NY</t>
  </si>
  <si>
    <t>LT-053479-18/BX</t>
  </si>
  <si>
    <t>LT-078534-18/NY</t>
  </si>
  <si>
    <t>LT-053516-18/RI</t>
  </si>
  <si>
    <t>LT-063496-18/BX</t>
  </si>
  <si>
    <t>LT-064411-18/BX</t>
  </si>
  <si>
    <t>LT-071663-18/NY</t>
  </si>
  <si>
    <t>LT-078408-18/NY</t>
  </si>
  <si>
    <t>LT-020122-17/NY</t>
  </si>
  <si>
    <t>LT-010187-19/NY</t>
  </si>
  <si>
    <t>LT-050006-19/NY</t>
  </si>
  <si>
    <t>LT-096618-18/KI</t>
  </si>
  <si>
    <t>LT-000579-19/KI</t>
  </si>
  <si>
    <t>LT-079970-18/KI</t>
  </si>
  <si>
    <t>LT-073927-17/BX</t>
  </si>
  <si>
    <t>LT-087894-18/KI</t>
  </si>
  <si>
    <t>LT-094940-18/KI</t>
  </si>
  <si>
    <t>LT-042995-18/BX</t>
  </si>
  <si>
    <t>LT-050019-19/QU</t>
  </si>
  <si>
    <t>LT-060313-18/QU</t>
  </si>
  <si>
    <t>LT-067065-18/BX</t>
  </si>
  <si>
    <t>LT-068422-18/BX</t>
  </si>
  <si>
    <t>LT-011395-18/RI</t>
  </si>
  <si>
    <t>LT-051100-19/QU</t>
  </si>
  <si>
    <t>LT-067501-17/BX</t>
  </si>
  <si>
    <t>LT-050033-19/QU</t>
  </si>
  <si>
    <t>LT-062380-18/BX</t>
  </si>
  <si>
    <t>LT-000848-19/BX</t>
  </si>
  <si>
    <t>LT-050135-19/RI</t>
  </si>
  <si>
    <t>LT-074089-18/QU</t>
  </si>
  <si>
    <t>LT-011393-18/RI</t>
  </si>
  <si>
    <t>LT-050703-19/QU</t>
  </si>
  <si>
    <t>LT-000129-19/BX</t>
  </si>
  <si>
    <t>LT-078529-18/QU</t>
  </si>
  <si>
    <t>LT-011433-18/RI</t>
  </si>
  <si>
    <t>LT-068784-18/BX</t>
  </si>
  <si>
    <t>LT-000052-19/BX</t>
  </si>
  <si>
    <t>LT-011442-18/RI</t>
  </si>
  <si>
    <t>LT-078840-18/QU</t>
  </si>
  <si>
    <t>LT-050023-19/QU</t>
  </si>
  <si>
    <t>LT-014417-18/QU</t>
  </si>
  <si>
    <t>LT-051086-19/QU</t>
  </si>
  <si>
    <t>LT-011389-18/RI</t>
  </si>
  <si>
    <t>LT-011404-18/RI</t>
  </si>
  <si>
    <t>LT-076552-18/QU</t>
  </si>
  <si>
    <t>LT-050962-19/QU</t>
  </si>
  <si>
    <t>LT-076344-18/QU</t>
  </si>
  <si>
    <t>LT-068870-18/QU</t>
  </si>
  <si>
    <t>LT-067649-18/BX</t>
  </si>
  <si>
    <t>LT-066384-18/BX</t>
  </si>
  <si>
    <t>LT-051039-19/QU</t>
  </si>
  <si>
    <t>LT-096652-18/KI</t>
  </si>
  <si>
    <t>LT-070502-18/QU</t>
  </si>
  <si>
    <t>LT-062054-18/BX</t>
  </si>
  <si>
    <t>LT-078291-18/QU</t>
  </si>
  <si>
    <t>LT-080730-18/NY</t>
  </si>
  <si>
    <t>LT-050052-19/RI</t>
  </si>
  <si>
    <t>LT-068134-18/BX</t>
  </si>
  <si>
    <t>LT-080729-18/NY</t>
  </si>
  <si>
    <t>LT-067274-18/BX</t>
  </si>
  <si>
    <t>LT-000217-19/BX</t>
  </si>
  <si>
    <t>LT-068898-18/BX</t>
  </si>
  <si>
    <t>LT-065580-18/BX</t>
  </si>
  <si>
    <t>LT-010190-19/NY</t>
  </si>
  <si>
    <t>LT-058452-18/BX</t>
  </si>
  <si>
    <t>LT-000300-19/BX</t>
  </si>
  <si>
    <t>51171/19</t>
  </si>
  <si>
    <t>LT-060883-18/BX</t>
  </si>
  <si>
    <t>LT-050727-19/NY</t>
  </si>
  <si>
    <t>LT-080867-18/NY</t>
  </si>
  <si>
    <t>LT-076975-18/KI</t>
  </si>
  <si>
    <t>LT-077465-18/QU</t>
  </si>
  <si>
    <t>LT-077462-18/QU</t>
  </si>
  <si>
    <t>LT-077461-18/QU</t>
  </si>
  <si>
    <t>LT-89829-18/KI</t>
  </si>
  <si>
    <t>LT-096536-18/KI</t>
  </si>
  <si>
    <t>LT-035733-17/BX</t>
  </si>
  <si>
    <t>LT-000937-19/BX</t>
  </si>
  <si>
    <t>LT-072551-18/QU</t>
  </si>
  <si>
    <t>LT-050039-18/QU</t>
  </si>
  <si>
    <t>LT-050964-18/KI</t>
  </si>
  <si>
    <t>LT-050436-19/QU</t>
  </si>
  <si>
    <t>LT-067509-18/BX</t>
  </si>
  <si>
    <t>LT-060075-18/BX</t>
  </si>
  <si>
    <t>None yet</t>
  </si>
  <si>
    <t>LT-061171-18/BX</t>
  </si>
  <si>
    <t>LT-000408-19/BX</t>
  </si>
  <si>
    <t>LT-068549-18/BX</t>
  </si>
  <si>
    <t>LT-068709-18/BX</t>
  </si>
  <si>
    <t>LT-050123-18/RI</t>
  </si>
  <si>
    <t>LT-077406-19/QU</t>
  </si>
  <si>
    <t>LT-028918-18/BX</t>
  </si>
  <si>
    <t>LT-067619-18/BX</t>
  </si>
  <si>
    <t>LT-76975-18/KI</t>
  </si>
  <si>
    <t>LT-051538-19/KI</t>
  </si>
  <si>
    <t>LT-051006-19/NY</t>
  </si>
  <si>
    <t>LT-050286-19/KI</t>
  </si>
  <si>
    <t>LT-052563-19/KI</t>
  </si>
  <si>
    <t>LT-065023-18/KI</t>
  </si>
  <si>
    <t>LT-075181-18/KI</t>
  </si>
  <si>
    <t>LT-058455-18/BX</t>
  </si>
  <si>
    <t>LT-060493-18/BX</t>
  </si>
  <si>
    <t>LT-004351-19/BX</t>
  </si>
  <si>
    <t>LT-062755-18/BX</t>
  </si>
  <si>
    <t>LT-095166-18/KI</t>
  </si>
  <si>
    <t>LT-079752-18/NY</t>
  </si>
  <si>
    <t>LT-050132-19/RI</t>
  </si>
  <si>
    <t>LT-060746-18/BX</t>
  </si>
  <si>
    <t>LT-051853-18/BX</t>
  </si>
  <si>
    <t>LT-062716-18/BX</t>
  </si>
  <si>
    <t>LT-050210-19/RI</t>
  </si>
  <si>
    <t>LT-073272-18/NY</t>
  </si>
  <si>
    <t>LT-000909-18/BX</t>
  </si>
  <si>
    <t>LT-065791-18/QU</t>
  </si>
  <si>
    <t>LT-077998-17/NY</t>
  </si>
  <si>
    <t>LT-057926-18/BX</t>
  </si>
  <si>
    <t>LT-081762-18/KI</t>
  </si>
  <si>
    <t>LT-064589-17/BX</t>
  </si>
  <si>
    <t>LT-015924-17/BX</t>
  </si>
  <si>
    <t>LT-044359-18/BX</t>
  </si>
  <si>
    <t>LT-073500-16/BX</t>
  </si>
  <si>
    <t>LT-078703-18/KI</t>
  </si>
  <si>
    <t>LT-066283-18/KI</t>
  </si>
  <si>
    <t>LT-65791-18/QU</t>
  </si>
  <si>
    <t>LT-002510-19/BX</t>
  </si>
  <si>
    <t>LT-050597-19/NY</t>
  </si>
  <si>
    <t>LT-080030-18/NY</t>
  </si>
  <si>
    <t>LT-051393-19/NY</t>
  </si>
  <si>
    <t>LT-068842-18/NY</t>
  </si>
  <si>
    <t>LT-000847-19/BX</t>
  </si>
  <si>
    <t>LT-050861-19/NY</t>
  </si>
  <si>
    <t>LT-001646-19/BX</t>
  </si>
  <si>
    <t>LT-001095-19/BX</t>
  </si>
  <si>
    <t>LT-068503-18/BX</t>
  </si>
  <si>
    <t>LT-051298-19/NY</t>
  </si>
  <si>
    <t>LT-512274-19/NY</t>
  </si>
  <si>
    <t>LT-017951-18/NY</t>
  </si>
  <si>
    <t>LT-051659-19/NY</t>
  </si>
  <si>
    <t>LT-069682-17/BX</t>
  </si>
  <si>
    <t>LT-067277-17/BX</t>
  </si>
  <si>
    <t>LT-069001-17/BX</t>
  </si>
  <si>
    <t>LT-053329-18/RI</t>
  </si>
  <si>
    <t>LT-063386-18/BX</t>
  </si>
  <si>
    <t>LT-077997-18/KI</t>
  </si>
  <si>
    <t>LT-080206-18/NY</t>
  </si>
  <si>
    <t>LT-074835-18/QU</t>
  </si>
  <si>
    <t>LT-078992-18/QU</t>
  </si>
  <si>
    <t>LT-065504-18/BX</t>
  </si>
  <si>
    <t>LT-078345-18/NY</t>
  </si>
  <si>
    <t>LT-024055-18/BX</t>
  </si>
  <si>
    <t>LT-079006-18/QU</t>
  </si>
  <si>
    <t>LT-050670-19/QU</t>
  </si>
  <si>
    <t>LT-000002-19/BX</t>
  </si>
  <si>
    <t>LT-001340-19/BX</t>
  </si>
  <si>
    <t>LT-001397-19/BX</t>
  </si>
  <si>
    <t>LT-076908-18/QU</t>
  </si>
  <si>
    <t>LT-078360-18/QU</t>
  </si>
  <si>
    <t>LT-051634-19/QU</t>
  </si>
  <si>
    <t>LT-071051-18/QU</t>
  </si>
  <si>
    <t>LT-072248-18/KI</t>
  </si>
  <si>
    <t>LT-022754-18/BX</t>
  </si>
  <si>
    <t>LT-089743-18/KI</t>
  </si>
  <si>
    <t>LT-074979-18/QU</t>
  </si>
  <si>
    <t>LT-077006-18/NY</t>
  </si>
  <si>
    <t>LT-252248-18/NY</t>
  </si>
  <si>
    <t>LT-079583-18/NY</t>
  </si>
  <si>
    <t>6612-19</t>
  </si>
  <si>
    <t>LT-051031-19/NY</t>
  </si>
  <si>
    <t>LT-001424-19/BX</t>
  </si>
  <si>
    <t>LT-000149-18/RI</t>
  </si>
  <si>
    <t>LT-050329-19/NY</t>
  </si>
  <si>
    <t>LT-051231-19/NY</t>
  </si>
  <si>
    <t>LT-073154-18/NY</t>
  </si>
  <si>
    <t>LT-051872-19/NY</t>
  </si>
  <si>
    <t>LT-013574-18/BX</t>
  </si>
  <si>
    <t>LT-001173-19/BX</t>
  </si>
  <si>
    <t>LT-050716-19/RI</t>
  </si>
  <si>
    <t>LT-053420-18/RI</t>
  </si>
  <si>
    <t>LT-059282-18/NY</t>
  </si>
  <si>
    <t>LT-051492-19/NY</t>
  </si>
  <si>
    <t>LT-078828-18/NY</t>
  </si>
  <si>
    <t>LT-073752-18/NY</t>
  </si>
  <si>
    <t>LT-076806-18/NY</t>
  </si>
  <si>
    <t>LT-050208-19/QU</t>
  </si>
  <si>
    <t>LT-072092-17/BX</t>
  </si>
  <si>
    <t>LT-066456-18/KI</t>
  </si>
  <si>
    <t>LT-070375-18/KI</t>
  </si>
  <si>
    <t>LT-014715-18/KI</t>
  </si>
  <si>
    <t>LT-068573-18/QU</t>
  </si>
  <si>
    <t>LT-072034-18/QU</t>
  </si>
  <si>
    <t>LT-074036-18/QU</t>
  </si>
  <si>
    <t>LT-078083-18/KI</t>
  </si>
  <si>
    <t>LT-001010-19/BX</t>
  </si>
  <si>
    <t>LT-050594-19/KI</t>
  </si>
  <si>
    <t>LT-077407-18/KI</t>
  </si>
  <si>
    <t>LT-054594-17/KI</t>
  </si>
  <si>
    <t>LT-052231-19/QU</t>
  </si>
  <si>
    <t>LT-052432-19/QU</t>
  </si>
  <si>
    <t>LT-010163-19/QU</t>
  </si>
  <si>
    <t>LT-64322-18/KI</t>
  </si>
  <si>
    <t>LT-014365-18/QU</t>
  </si>
  <si>
    <t>LT-051579-19/QU</t>
  </si>
  <si>
    <t>LT-001509-18/BX</t>
  </si>
  <si>
    <t>LT-000879-19/BX</t>
  </si>
  <si>
    <t>LT-029162-18/BX</t>
  </si>
  <si>
    <t>LT-002904-19/BX</t>
  </si>
  <si>
    <t>LT-000797-19/BX</t>
  </si>
  <si>
    <t>LT-089058-18/KI</t>
  </si>
  <si>
    <t>LT-052056-19/QU</t>
  </si>
  <si>
    <t>LT-092559-18/KI</t>
  </si>
  <si>
    <t>LT-051481-19/KI</t>
  </si>
  <si>
    <t>LT-063905-18/NY</t>
  </si>
  <si>
    <t>LT-056634-18/NY</t>
  </si>
  <si>
    <t>LT-051635-18/RI</t>
  </si>
  <si>
    <t>LT-074358-18/KI</t>
  </si>
  <si>
    <t>LT-074895-18/KI</t>
  </si>
  <si>
    <t>LT-076647-18/KI</t>
  </si>
  <si>
    <t>LT-051758-18/RI</t>
  </si>
  <si>
    <t>LT-080458-18/KI</t>
  </si>
  <si>
    <t>LT-082005-18/KI</t>
  </si>
  <si>
    <t>LT-082892-18/KI</t>
  </si>
  <si>
    <t>LT-072674-18/KI</t>
  </si>
  <si>
    <t>LT-075834-18/KI</t>
  </si>
  <si>
    <t>LT-081303-18/KI</t>
  </si>
  <si>
    <t>LT-071818-18/NY</t>
  </si>
  <si>
    <t>LT-076250-18/KI</t>
  </si>
  <si>
    <t>LT-086504-18/KI</t>
  </si>
  <si>
    <t>LT-021952-18/KI</t>
  </si>
  <si>
    <t>LT-088194-18/KI</t>
  </si>
  <si>
    <t>LT-094427-18/KI</t>
  </si>
  <si>
    <t>LT-076319-18/NY</t>
  </si>
  <si>
    <t>LT-090458-18/KI</t>
  </si>
  <si>
    <t>LT-088140-18/KI</t>
  </si>
  <si>
    <t>LT-089556-18/KI</t>
  </si>
  <si>
    <t>LT-032260-18/BX</t>
  </si>
  <si>
    <t>LT-079542-17/NY</t>
  </si>
  <si>
    <t>LT-977080-18/NY</t>
  </si>
  <si>
    <t>LT-051846-18/BX</t>
  </si>
  <si>
    <t>LT-084661-18/KI</t>
  </si>
  <si>
    <t>LT-092019-18/KI</t>
  </si>
  <si>
    <t>LT-080629-18/KI</t>
  </si>
  <si>
    <t>LT-021934-18/KI</t>
  </si>
  <si>
    <t>LT-092847-18/KI</t>
  </si>
  <si>
    <t>LT-062682-18/BX</t>
  </si>
  <si>
    <t>LT-063216-18/BX</t>
  </si>
  <si>
    <t>LT-084419-18/KI</t>
  </si>
  <si>
    <t>LT-063158-18/KI</t>
  </si>
  <si>
    <t>LT-022826-18/KI</t>
  </si>
  <si>
    <t>LT-094490-18/KI</t>
  </si>
  <si>
    <t>LT-094951-18/KI</t>
  </si>
  <si>
    <t>LT-024166-18/KI</t>
  </si>
  <si>
    <t>LT-079227-18/NY</t>
  </si>
  <si>
    <t>LT-095125-18/KI</t>
  </si>
  <si>
    <t>LT-024078-18/KI</t>
  </si>
  <si>
    <t>LT-094787-17/KI</t>
  </si>
  <si>
    <t>LT-094752-18/KI</t>
  </si>
  <si>
    <t>LT-094883-18/KI</t>
  </si>
  <si>
    <t>LT-096055-18/KI</t>
  </si>
  <si>
    <t>LT-095322-18/KI</t>
  </si>
  <si>
    <t>LT-092846-18/KI</t>
  </si>
  <si>
    <t>LT-095477-18/KI</t>
  </si>
  <si>
    <t>LT-095975-18/KI</t>
  </si>
  <si>
    <t>LT-060915-18/KI</t>
  </si>
  <si>
    <t>LT-095533-18/KI</t>
  </si>
  <si>
    <t>LT-070685-18/KI</t>
  </si>
  <si>
    <t>LT-084484-18/KI</t>
  </si>
  <si>
    <t>LT-096966-18/KI</t>
  </si>
  <si>
    <t>LT-084844-18/KI</t>
  </si>
  <si>
    <t>LT-097415-18/KI</t>
  </si>
  <si>
    <t>LT-080791-18/KI</t>
  </si>
  <si>
    <t>LT-096734-18/KI</t>
  </si>
  <si>
    <t>LT-096406-18/KI</t>
  </si>
  <si>
    <t>LT-092567-18/KI</t>
  </si>
  <si>
    <t>LT-050017-19/KI</t>
  </si>
  <si>
    <t>LT-096405-18/KI</t>
  </si>
  <si>
    <t>LT-096447-18/KI</t>
  </si>
  <si>
    <t>LT-096057-18/KI</t>
  </si>
  <si>
    <t>HM 610026 B</t>
  </si>
  <si>
    <t>LT-051486-19/KI</t>
  </si>
  <si>
    <t>LT-812530-18/BX</t>
  </si>
  <si>
    <t>LT-024655-18/KI</t>
  </si>
  <si>
    <t>LT-081316-18/KI</t>
  </si>
  <si>
    <t>LT-050474-19/KI</t>
  </si>
  <si>
    <t>LT-022426-18/KI</t>
  </si>
  <si>
    <t>LT-023265-18/KI</t>
  </si>
  <si>
    <t>LT-084547-18/KI</t>
  </si>
  <si>
    <t>LT-051163-19/KI</t>
  </si>
  <si>
    <t>LT-073207-18/KI</t>
  </si>
  <si>
    <t>KC-2018-1956</t>
  </si>
  <si>
    <t>LT-070352-18/KI</t>
  </si>
  <si>
    <t>LT-051002-19/KI</t>
  </si>
  <si>
    <t>LT-050209-19/KI</t>
  </si>
  <si>
    <t>LT-096590-18/KI</t>
  </si>
  <si>
    <t>LT-095214-18/KI</t>
  </si>
  <si>
    <t>LT-086651-18/KI</t>
  </si>
  <si>
    <t>LT-081128-18/KI</t>
  </si>
  <si>
    <t>KC-2018-2396</t>
  </si>
  <si>
    <t>LT-072560-18/KI</t>
  </si>
  <si>
    <t>LT-016425-17/KI</t>
  </si>
  <si>
    <t>LT-071709-17/KI</t>
  </si>
  <si>
    <t>LT-021555-18/KI</t>
  </si>
  <si>
    <t>LT-041764-18/BX</t>
  </si>
  <si>
    <t>LT-068925-18/BX</t>
  </si>
  <si>
    <t>LT-803434-18/BX</t>
  </si>
  <si>
    <t>LT-52500-18/RI</t>
  </si>
  <si>
    <t>LT-001937-19/BX</t>
  </si>
  <si>
    <t>LT-052402-19/KI</t>
  </si>
  <si>
    <t>LT-051977-19/KI</t>
  </si>
  <si>
    <t>LT-088968-18/KI</t>
  </si>
  <si>
    <t>LT-050139-19/KI</t>
  </si>
  <si>
    <t>LT-075621-18/NY</t>
  </si>
  <si>
    <t>LT-050651-19/KI</t>
  </si>
  <si>
    <t>LT-097413-18/KI</t>
  </si>
  <si>
    <t>LT-051767-19/KI</t>
  </si>
  <si>
    <t>LT-051238-19/KI</t>
  </si>
  <si>
    <t>LT-095303-18/KI</t>
  </si>
  <si>
    <t>LT-093150-18/KI</t>
  </si>
  <si>
    <t>LT-051275-19/KI</t>
  </si>
  <si>
    <t>LT-091735-18/KI</t>
  </si>
  <si>
    <t>LT-053445-19/KI</t>
  </si>
  <si>
    <t>LT-096735-18/KI</t>
  </si>
  <si>
    <t>LT-052314-19/KI</t>
  </si>
  <si>
    <t>LT-093420-18/KI</t>
  </si>
  <si>
    <t>LT-010260-19/KI</t>
  </si>
  <si>
    <t>LT-095971-18/KI</t>
  </si>
  <si>
    <t>LT-021561-18/KI</t>
  </si>
  <si>
    <t>LT-092855-18/KI</t>
  </si>
  <si>
    <t>LT-051129-19/KI</t>
  </si>
  <si>
    <t>LT-052588-19/KI</t>
  </si>
  <si>
    <t>LT-050156-19/KI</t>
  </si>
  <si>
    <t>LT-092070-18/KI</t>
  </si>
  <si>
    <t>LT-051476-19/KI</t>
  </si>
  <si>
    <t>LT-010269-19/KI</t>
  </si>
  <si>
    <t>LT-096215-18/KI</t>
  </si>
  <si>
    <t>LT-094421-18/KI</t>
  </si>
  <si>
    <t>LT-078304-18/KI</t>
  </si>
  <si>
    <t>LT-010263-19/KI</t>
  </si>
  <si>
    <t>LT-080005-18/KI</t>
  </si>
  <si>
    <t>LT-052125-19/KI</t>
  </si>
  <si>
    <t>LT-052430-19/KI</t>
  </si>
  <si>
    <t>LT-050990-19/KI</t>
  </si>
  <si>
    <t>LT-054469-19/KI</t>
  </si>
  <si>
    <t>LT-051325-19/KI</t>
  </si>
  <si>
    <t>LT-089409-18/KI</t>
  </si>
  <si>
    <t>LT-051442-19/KI</t>
  </si>
  <si>
    <t>LT-052754-19/KI</t>
  </si>
  <si>
    <t>LT-050152-19/KI</t>
  </si>
  <si>
    <t>LT-097462-18/KI</t>
  </si>
  <si>
    <t>100424/2018</t>
  </si>
  <si>
    <t>FM-630024-RT</t>
  </si>
  <si>
    <t>LT-077460-18/QU</t>
  </si>
  <si>
    <t>LT-095151-18/KI</t>
  </si>
  <si>
    <t>no case as of 3/1/19</t>
  </si>
  <si>
    <t>LT-001386-19/BX</t>
  </si>
  <si>
    <t>LT-002909-19/BX</t>
  </si>
  <si>
    <t>LT-014198-18/QU</t>
  </si>
  <si>
    <t>LT-049561-18/BX</t>
  </si>
  <si>
    <t>LT-001232-19/BX</t>
  </si>
  <si>
    <t>LT-053125-18/RI</t>
  </si>
  <si>
    <t>LT-012424-18/QU</t>
  </si>
  <si>
    <t>LT-003565-19/BX</t>
  </si>
  <si>
    <t>LT-060161-18/BX</t>
  </si>
  <si>
    <t>LT-052105-18/BX</t>
  </si>
  <si>
    <t>LT-062207-18/BX</t>
  </si>
  <si>
    <t>LT-065969-18/BX</t>
  </si>
  <si>
    <t>LT-000713-19/BX</t>
  </si>
  <si>
    <t>LT-064038-17/BX</t>
  </si>
  <si>
    <t>LT-058506-18/KI</t>
  </si>
  <si>
    <t>LT-074430-18/QU</t>
  </si>
  <si>
    <t>LT-097350-18/KI</t>
  </si>
  <si>
    <t>LT-077475-18/QU</t>
  </si>
  <si>
    <t>LT-052915-18/BX</t>
  </si>
  <si>
    <t>LT-052686-18/QU</t>
  </si>
  <si>
    <t>LT-051951-19/QU</t>
  </si>
  <si>
    <t>LT-052841-19/QU</t>
  </si>
  <si>
    <t>LT-051575-19/QU</t>
  </si>
  <si>
    <t>LT-062999-18/QU</t>
  </si>
  <si>
    <t>LT-813126-19/BX</t>
  </si>
  <si>
    <t>LT-052068-19/QU</t>
  </si>
  <si>
    <t>LT-001745-19/BX</t>
  </si>
  <si>
    <t>LT-052758-18/QU</t>
  </si>
  <si>
    <t>300015/2019</t>
  </si>
  <si>
    <t>LT-000327-19/BX</t>
  </si>
  <si>
    <t>LT-077250-18/QU</t>
  </si>
  <si>
    <t>LT-060767-18/BX</t>
  </si>
  <si>
    <t>LT-052160-18/BX</t>
  </si>
  <si>
    <t>LT-001533-19/BX</t>
  </si>
  <si>
    <t>LT-073648-18/QU</t>
  </si>
  <si>
    <t>LT-052085-19/QU</t>
  </si>
  <si>
    <t>LT-800635-19/BX</t>
  </si>
  <si>
    <t>LT-800646-19/BX</t>
  </si>
  <si>
    <t>LT-085538-18/KI</t>
  </si>
  <si>
    <t>LT-002952-18/BX</t>
  </si>
  <si>
    <t>LT-071052-17/BX</t>
  </si>
  <si>
    <t>LT-003172-18/BX</t>
  </si>
  <si>
    <t>LT-064040-17/BX</t>
  </si>
  <si>
    <t>LT-064037-17/BX</t>
  </si>
  <si>
    <t>LT-063206-18/BX</t>
  </si>
  <si>
    <t>LT-052001-19/KI</t>
  </si>
  <si>
    <t>LT-51639-19/KI</t>
  </si>
  <si>
    <t>LT-050240-19/KI</t>
  </si>
  <si>
    <t>LT-090449-18/KI</t>
  </si>
  <si>
    <t>LT-000184-19/KI</t>
  </si>
  <si>
    <t>LT-052556-19/KI</t>
  </si>
  <si>
    <t>LT-000291-19/KI</t>
  </si>
  <si>
    <t>LT-052035-19/NY</t>
  </si>
  <si>
    <t>LT-051962-19/NY</t>
  </si>
  <si>
    <t>LT-051719-19/NY</t>
  </si>
  <si>
    <t>LT-043769-18/BX</t>
  </si>
  <si>
    <t>LT-051123-19/NY</t>
  </si>
  <si>
    <t>LT-052377-19/NY</t>
  </si>
  <si>
    <t>LT-003972-19/BX</t>
  </si>
  <si>
    <t>LT-003891-19/BX</t>
  </si>
  <si>
    <t>LT-002571-19/BX</t>
  </si>
  <si>
    <t>LT-071619-18/NY</t>
  </si>
  <si>
    <t>LT-050868-19/NY</t>
  </si>
  <si>
    <t>LT-052051-18/BX</t>
  </si>
  <si>
    <t>LT-000859-19/BX</t>
  </si>
  <si>
    <t>LT-001957-19/BX</t>
  </si>
  <si>
    <t>LT-011380-19/NY</t>
  </si>
  <si>
    <t>LT-065055-18/BX</t>
  </si>
  <si>
    <t>LT-000078-19/BX</t>
  </si>
  <si>
    <t>LT-050594-19/NY</t>
  </si>
  <si>
    <t>LT-051931-19/NY</t>
  </si>
  <si>
    <t>LT-050867-19/NY</t>
  </si>
  <si>
    <t>LT-069642-18/NY</t>
  </si>
  <si>
    <t>LT-150586-18/RI</t>
  </si>
  <si>
    <t>LT-051321-19/QU</t>
  </si>
  <si>
    <t>LT-78395-18/NY</t>
  </si>
  <si>
    <t>LT-000709-19/BX</t>
  </si>
  <si>
    <t>LT-010306-19/QU</t>
  </si>
  <si>
    <t>LT-091739-18/KI</t>
  </si>
  <si>
    <t>LT-067437-18/BX</t>
  </si>
  <si>
    <t>LT-051980-19/QU</t>
  </si>
  <si>
    <t>LT-059447-18/BX</t>
  </si>
  <si>
    <t>LT-055134-18/BX</t>
  </si>
  <si>
    <t>LT-050198-19/RI</t>
  </si>
  <si>
    <t>LT-075224-18/QU</t>
  </si>
  <si>
    <t>LT-001705-19/BX</t>
  </si>
  <si>
    <t>LT-050180-19/RI</t>
  </si>
  <si>
    <t>LT-051093-18/BX</t>
  </si>
  <si>
    <t>LT-002135-19/BX</t>
  </si>
  <si>
    <t>LT-003735-19/BX</t>
  </si>
  <si>
    <t>LT-051169-19/QU</t>
  </si>
  <si>
    <t>LT-050284-19/RI</t>
  </si>
  <si>
    <t>LT-051317-19/QU</t>
  </si>
  <si>
    <t>LT-050433-19/QU</t>
  </si>
  <si>
    <t>LT-003127-19/BX</t>
  </si>
  <si>
    <t>LT-058220-18/QU</t>
  </si>
  <si>
    <t>LT-077696-18/QU</t>
  </si>
  <si>
    <t>LT-050041-19/QU</t>
  </si>
  <si>
    <t>LT-051335-19/QU</t>
  </si>
  <si>
    <t>LT-051235-19/QU</t>
  </si>
  <si>
    <t>LT-033210-18/BX</t>
  </si>
  <si>
    <t>LT-031791-18/BX</t>
  </si>
  <si>
    <t>LT-013730-18/QU</t>
  </si>
  <si>
    <t>LT-051313-19/QU</t>
  </si>
  <si>
    <t>LT-050282-19/RI</t>
  </si>
  <si>
    <t>LT-018009-18/KI</t>
  </si>
  <si>
    <t>LT-075225-18/QU</t>
  </si>
  <si>
    <t>LT-078301-18/KI</t>
  </si>
  <si>
    <t>LT-050872-19/KI</t>
  </si>
  <si>
    <t>LT-058584-18/BX</t>
  </si>
  <si>
    <t>LT-000182-19/BX</t>
  </si>
  <si>
    <t>LT-075009-18/NY</t>
  </si>
  <si>
    <t>LT-051048-19/NY</t>
  </si>
  <si>
    <t>LT-053898-19/KI</t>
  </si>
  <si>
    <t>LT-021058-18/NY</t>
  </si>
  <si>
    <t>LT-019453-18/NY</t>
  </si>
  <si>
    <t>LT-018575-17/NY</t>
  </si>
  <si>
    <t>LT-065483-19/BX</t>
  </si>
  <si>
    <t>LT-000972-19/BX</t>
  </si>
  <si>
    <t>LT-002694-19/BX</t>
  </si>
  <si>
    <t>LT-005278-19/BX</t>
  </si>
  <si>
    <t>LT-051481-19/NY</t>
  </si>
  <si>
    <t>LT-051316-19/NY</t>
  </si>
  <si>
    <t>LT-050487-19/NY</t>
  </si>
  <si>
    <t>LT-051227-19/NY</t>
  </si>
  <si>
    <t>FO21025R</t>
  </si>
  <si>
    <t>Nonw</t>
  </si>
  <si>
    <t>LT-050923-19/QU</t>
  </si>
  <si>
    <t>LT-95269-18</t>
  </si>
  <si>
    <t>LT-95270-18/KI</t>
  </si>
  <si>
    <t>LT-053418-17/RI</t>
  </si>
  <si>
    <t>LT-004370-18/BX</t>
  </si>
  <si>
    <t>LT-043423-18/BX</t>
  </si>
  <si>
    <t>LT-064480-18/BX</t>
  </si>
  <si>
    <t>LT-028808-18/BX</t>
  </si>
  <si>
    <t>LT-050314-19/QU</t>
  </si>
  <si>
    <t>LT-051110-18/BX</t>
  </si>
  <si>
    <t>906689-TD-2018</t>
  </si>
  <si>
    <t>LT-051719-19/QU</t>
  </si>
  <si>
    <t>LT-010280-19/QU</t>
  </si>
  <si>
    <t>LT-002827-19/BX</t>
  </si>
  <si>
    <t>LIO #904183</t>
  </si>
  <si>
    <t>LT-050368-19/RI</t>
  </si>
  <si>
    <t>LT-004290-19/BX</t>
  </si>
  <si>
    <t>LT-005619-19/BX</t>
  </si>
  <si>
    <t>LT-051160-18/BX</t>
  </si>
  <si>
    <t>LT-072957-18/BX</t>
  </si>
  <si>
    <t>LT-067656-18/QU</t>
  </si>
  <si>
    <t>LT-050186-19/RI</t>
  </si>
  <si>
    <t>LT-068895-18/BX</t>
  </si>
  <si>
    <t>L&amp;T 0053/19 QU</t>
  </si>
  <si>
    <t>LT-079685-18/NY</t>
  </si>
  <si>
    <t>LT-077617-18/QU</t>
  </si>
  <si>
    <t>LT-096785-18/KI</t>
  </si>
  <si>
    <t>LT-003687-19/BX</t>
  </si>
  <si>
    <t>LT-051410-18/RI</t>
  </si>
  <si>
    <t>LT-012873-18/QU</t>
  </si>
  <si>
    <t>LT-063486-18/NY</t>
  </si>
  <si>
    <t>LT-004090-19/BX</t>
  </si>
  <si>
    <t>LT-77617/18-QU</t>
  </si>
  <si>
    <t>LT-053691-18/RI</t>
  </si>
  <si>
    <t>LT-052244-19/NY</t>
  </si>
  <si>
    <t>LT-074698-18/NY</t>
  </si>
  <si>
    <t>LT-056884-18/BX</t>
  </si>
  <si>
    <t>LT-004842-19/BX</t>
  </si>
  <si>
    <t>LT-003622-19/BX</t>
  </si>
  <si>
    <t>LT-044906-18/BX</t>
  </si>
  <si>
    <t>LT-004241-19/BX</t>
  </si>
  <si>
    <t>LT-005191-19/BX</t>
  </si>
  <si>
    <t>LT-003600-19/BX</t>
  </si>
  <si>
    <t>LT-003914-19/BX</t>
  </si>
  <si>
    <t>LT-052163-19/NY</t>
  </si>
  <si>
    <t>LT-076504-18/QU</t>
  </si>
  <si>
    <t>LT-063679-18/QU</t>
  </si>
  <si>
    <t>LT-052169-19/NY</t>
  </si>
  <si>
    <t>LT-052482-19/NY</t>
  </si>
  <si>
    <t>LT-052671-19/NY</t>
  </si>
  <si>
    <t>LT-086282-18/KI</t>
  </si>
  <si>
    <t>GR210018 OM</t>
  </si>
  <si>
    <t>HN 210044 B</t>
  </si>
  <si>
    <t>LT-055611-18/BX</t>
  </si>
  <si>
    <t>LT-053715-18/RI</t>
  </si>
  <si>
    <t>LT-066164-18/BX</t>
  </si>
  <si>
    <t>LT-813127-18/BX</t>
  </si>
  <si>
    <t>LT-052077-19/NY</t>
  </si>
  <si>
    <t>LT-001996-19/BX</t>
  </si>
  <si>
    <t>LT-076060-18/QU</t>
  </si>
  <si>
    <t>LT-004072-19/BX</t>
  </si>
  <si>
    <t>LT-050028-19/QU</t>
  </si>
  <si>
    <t>LT-010288-19/QU</t>
  </si>
  <si>
    <t>LT-052953-19/QU</t>
  </si>
  <si>
    <t>LT-050405-19/QU</t>
  </si>
  <si>
    <t>LT-070329-18/KI</t>
  </si>
  <si>
    <t>LT-051150-19/QU</t>
  </si>
  <si>
    <t>LT-057759-18/BX</t>
  </si>
  <si>
    <t>LT-005473-19/BX</t>
  </si>
  <si>
    <t>LT-035281-18/BX</t>
  </si>
  <si>
    <t>LT-050543-19/QU</t>
  </si>
  <si>
    <t>LT-050448-19/RI</t>
  </si>
  <si>
    <t>LT-053532-19/QU</t>
  </si>
  <si>
    <t>LT-050446-19/QU</t>
  </si>
  <si>
    <t>LT-053397-19/QU</t>
  </si>
  <si>
    <t>LT-053566-19/QU</t>
  </si>
  <si>
    <t>LT-068713-18/BX</t>
  </si>
  <si>
    <t>LT-002613-19/BX</t>
  </si>
  <si>
    <t>LT-78025-18/QU</t>
  </si>
  <si>
    <t>LT-052919-19/QU</t>
  </si>
  <si>
    <t>LT-066807-18/QU</t>
  </si>
  <si>
    <t>LT-052451-19/QU</t>
  </si>
  <si>
    <t>LT-052419-19/QU</t>
  </si>
  <si>
    <t>LT-004068-18/BX</t>
  </si>
  <si>
    <t>LT-052645-19/QU</t>
  </si>
  <si>
    <t>LT-054457-18/BX</t>
  </si>
  <si>
    <t>LT-090878-18/KI</t>
  </si>
  <si>
    <t>LT-057609-19/KI</t>
  </si>
  <si>
    <t>LT-068979-18/BX</t>
  </si>
  <si>
    <t>LT-006249-19/BX</t>
  </si>
  <si>
    <t>LT-810510-17/BX</t>
  </si>
  <si>
    <t>LT-010276-19/QU</t>
  </si>
  <si>
    <t>LT-006744-19/BX</t>
  </si>
  <si>
    <t>LT-053321-19/QU</t>
  </si>
  <si>
    <t>L&amp;T 0129-19 QU</t>
  </si>
  <si>
    <t>LT-052000-19/KI</t>
  </si>
  <si>
    <t>LT-050376-19/RI</t>
  </si>
  <si>
    <t>LT-050441-19/RI</t>
  </si>
  <si>
    <t>LT-813208-18/BX</t>
  </si>
  <si>
    <t>LT-050209-19/RI</t>
  </si>
  <si>
    <t>LT-050467-19/RI</t>
  </si>
  <si>
    <t>LT-019027-17/NY</t>
  </si>
  <si>
    <t>LT-051581-19/NY</t>
  </si>
  <si>
    <t>LT-090995-18/KI</t>
  </si>
  <si>
    <t>LT-060029-17/BX</t>
  </si>
  <si>
    <t>LT-054705-19/KI</t>
  </si>
  <si>
    <t>LT-002798-19/BX</t>
  </si>
  <si>
    <t>LT-051847-19/KI</t>
  </si>
  <si>
    <t>LT-251193-18/NY</t>
  </si>
  <si>
    <t>LT-051324-19/QU</t>
  </si>
  <si>
    <t>LT-084760-18/KI</t>
  </si>
  <si>
    <t>LT-071689-18/QU</t>
  </si>
  <si>
    <t>LT-053146-19/QU</t>
  </si>
  <si>
    <t>LT-052865-19/KI</t>
  </si>
  <si>
    <t>LT-002103-19/BX</t>
  </si>
  <si>
    <t>LT-053867-19/QU</t>
  </si>
  <si>
    <t>LT-005699-18/RI</t>
  </si>
  <si>
    <t>LT-074216-18/QU</t>
  </si>
  <si>
    <t>LT-053423-19/QU</t>
  </si>
  <si>
    <t>LT-053872-19/KI</t>
  </si>
  <si>
    <t>LT-003493-19/BX</t>
  </si>
  <si>
    <t>LT-053954-19/QU</t>
  </si>
  <si>
    <t>LT-063236-18/BX</t>
  </si>
  <si>
    <t>LT-053425-19/QU</t>
  </si>
  <si>
    <t>LT-079686-18/QU</t>
  </si>
  <si>
    <t>LT-063691-18/BX</t>
  </si>
  <si>
    <t>LT-094597-18/KI</t>
  </si>
  <si>
    <t>LT-096366-18/KI</t>
  </si>
  <si>
    <t>LT-050783-19/NY</t>
  </si>
  <si>
    <t>LT-050344-19/RI</t>
  </si>
  <si>
    <t>LT-079119-18/NY</t>
  </si>
  <si>
    <t>LT-077358-18/NY</t>
  </si>
  <si>
    <t>LT-005173-19/BX</t>
  </si>
  <si>
    <t>LT-050340-19/RI</t>
  </si>
  <si>
    <t>LT-052680-19/NY</t>
  </si>
  <si>
    <t>LT-006633-19/BX</t>
  </si>
  <si>
    <t>LT-050438-19/RI</t>
  </si>
  <si>
    <t>LT-050454-19/RI</t>
  </si>
  <si>
    <t>LT-053023-19/NY</t>
  </si>
  <si>
    <t>LT-006843-19/BX</t>
  </si>
  <si>
    <t>LT-000076-19/BX</t>
  </si>
  <si>
    <t>LT-068776-18/BX</t>
  </si>
  <si>
    <t>LT-051979-19/NY</t>
  </si>
  <si>
    <t>LT-052460-19/NY</t>
  </si>
  <si>
    <t>LT-052658-19/NY</t>
  </si>
  <si>
    <t>LT-008285-19/BX</t>
  </si>
  <si>
    <t>LT-053275-19/NY</t>
  </si>
  <si>
    <t>LT-050501-19/RI</t>
  </si>
  <si>
    <t>LT-004837-19/BX</t>
  </si>
  <si>
    <t>LT-005275-19/BX</t>
  </si>
  <si>
    <t>LT-051341-19/NY</t>
  </si>
  <si>
    <t>LT-079751-18/NY</t>
  </si>
  <si>
    <t>LT-055023-19/KI</t>
  </si>
  <si>
    <t>LT-002508-19/BX</t>
  </si>
  <si>
    <t>LT-055862-18/BX</t>
  </si>
  <si>
    <t>LT-252431-18/NY</t>
  </si>
  <si>
    <t>LT-052846-18/QU</t>
  </si>
  <si>
    <t>LT-003573-19/BX</t>
  </si>
  <si>
    <t>LT-050056-19/QU</t>
  </si>
  <si>
    <t>LT-62103-18 QU</t>
  </si>
  <si>
    <t>LT-004617-19/BX</t>
  </si>
  <si>
    <t>LT-004591-19/BX</t>
  </si>
  <si>
    <t>LT-035593-18/BX</t>
  </si>
  <si>
    <t>LT-077314-18/QU</t>
  </si>
  <si>
    <t>LT-077362-18/KI</t>
  </si>
  <si>
    <t>LT-020390-18/KI</t>
  </si>
  <si>
    <t>LT-800489-19/BX</t>
  </si>
  <si>
    <t>LT-050325-19/RI</t>
  </si>
  <si>
    <t>LT-075425-18/KI</t>
  </si>
  <si>
    <t>LT-813373-18/BX</t>
  </si>
  <si>
    <t>LT-050720-19/QU</t>
  </si>
  <si>
    <t>LT-005778-19/BX</t>
  </si>
  <si>
    <t>LT-003455-19/BX</t>
  </si>
  <si>
    <t>LT-003700-19/BX</t>
  </si>
  <si>
    <t>LT-051527-19/QU</t>
  </si>
  <si>
    <t>LT-010275-19/QU</t>
  </si>
  <si>
    <t>LT-053161-19/NY</t>
  </si>
  <si>
    <t>LT-052564-19/NY</t>
  </si>
  <si>
    <t>LT-006364-19/BX</t>
  </si>
  <si>
    <t>LT-000130-19/QU</t>
  </si>
  <si>
    <t>LT-6054-19/QU</t>
  </si>
  <si>
    <t>LT-051794-19/NY</t>
  </si>
  <si>
    <t>LT-068956-18/NY</t>
  </si>
  <si>
    <t>LT-052669-19/NY</t>
  </si>
  <si>
    <t>LT-051773-19/NY</t>
  </si>
  <si>
    <t>LT-069916-16/QU</t>
  </si>
  <si>
    <t>LT-001066-19/BX</t>
  </si>
  <si>
    <t>LT-011588-19/NY</t>
  </si>
  <si>
    <t>LT-080159-18/NY</t>
  </si>
  <si>
    <t>LT-052424-19/NY</t>
  </si>
  <si>
    <t>LT-061571-19/KI</t>
  </si>
  <si>
    <t>LT-044066-18/BX</t>
  </si>
  <si>
    <t>LT-054357-18/BX</t>
  </si>
  <si>
    <t>LT-004728-19/BX</t>
  </si>
  <si>
    <t>LT-001417-19/BX</t>
  </si>
  <si>
    <t>LT-800592-19/BX</t>
  </si>
  <si>
    <t>LT-004595-18/BX</t>
  </si>
  <si>
    <t>LT-068763-18/BX</t>
  </si>
  <si>
    <t>LT-001027-19/BX</t>
  </si>
  <si>
    <t>LT-052240-19/NY</t>
  </si>
  <si>
    <t>LT-050381-19/RI</t>
  </si>
  <si>
    <t>LT-069590-18/QU</t>
  </si>
  <si>
    <t>LT-071094-18/QU</t>
  </si>
  <si>
    <t>LT-059756-18/QU</t>
  </si>
  <si>
    <t>LT-078460-18/QU</t>
  </si>
  <si>
    <t>LT-053769-19/QU</t>
  </si>
  <si>
    <t>LT-053555-19/QU</t>
  </si>
  <si>
    <t>LT-071774-18/QU</t>
  </si>
  <si>
    <t>LT-003577-19/BX</t>
  </si>
  <si>
    <t>LT-004352-19/BX</t>
  </si>
  <si>
    <t>LT-081381-18/NY</t>
  </si>
  <si>
    <t>905943-AN-2018</t>
  </si>
  <si>
    <t>LT-056236-18/BX</t>
  </si>
  <si>
    <t>LT-049821-18/BX</t>
  </si>
  <si>
    <t>LT-050370-19/KI</t>
  </si>
  <si>
    <t>LT-22790-18/KI</t>
  </si>
  <si>
    <t>LT-001380-19/BX</t>
  </si>
  <si>
    <t>LT-073981-18/QU</t>
  </si>
  <si>
    <t>LT-050675-18/BX</t>
  </si>
  <si>
    <t>LT-006033-19/BX</t>
  </si>
  <si>
    <t>LT-000690-19/BX</t>
  </si>
  <si>
    <t>LT-064287-18/BX</t>
  </si>
  <si>
    <t>LT-068905-18/BX</t>
  </si>
  <si>
    <t>LT-096694-18/KI</t>
  </si>
  <si>
    <t>LT-053368-19/KI</t>
  </si>
  <si>
    <t>LT-007186-19/BX</t>
  </si>
  <si>
    <t>LT-053731-19/QU</t>
  </si>
  <si>
    <t>LT-812193-18/BX</t>
  </si>
  <si>
    <t>LT-401818-19/NY</t>
  </si>
  <si>
    <t>LT-079189-18/NY</t>
  </si>
  <si>
    <t>LT-053021-19/QU</t>
  </si>
  <si>
    <t>LT-005618-19/BX</t>
  </si>
  <si>
    <t>LT-052175-19/KI</t>
  </si>
  <si>
    <t>LT-010749-19/NY</t>
  </si>
  <si>
    <t>LT-052879-19/NY</t>
  </si>
  <si>
    <t>LT-053838-19/NY</t>
  </si>
  <si>
    <t>LT-003703-19/BX</t>
  </si>
  <si>
    <t>LT-010367-18/BX</t>
  </si>
  <si>
    <t>LT-035937-18/BX</t>
  </si>
  <si>
    <t>LT-018977-15/NY</t>
  </si>
  <si>
    <t>LT-053448-19/NY</t>
  </si>
  <si>
    <t>LT-052461-19/NY</t>
  </si>
  <si>
    <t>LT-008403-19/BX</t>
  </si>
  <si>
    <t>LT-007821-19/BX</t>
  </si>
  <si>
    <t>LT-077386</t>
  </si>
  <si>
    <t>LT-012889-18/QU</t>
  </si>
  <si>
    <t>LT-006367-19/BX</t>
  </si>
  <si>
    <t>LT-005187-19/BX</t>
  </si>
  <si>
    <t>LT-079886-18/NY</t>
  </si>
  <si>
    <t>LT-054135-19/NY</t>
  </si>
  <si>
    <t>LT-053661-19/QU</t>
  </si>
  <si>
    <t>LT-050515-19/RI</t>
  </si>
  <si>
    <t>GR 210001 B</t>
  </si>
  <si>
    <t>GR-210001-B</t>
  </si>
  <si>
    <t>LT-037345-18/BX</t>
  </si>
  <si>
    <t>CX-610003-RP</t>
  </si>
  <si>
    <t>LT-052960-19/KI</t>
  </si>
  <si>
    <t>LT-052785-19/KI</t>
  </si>
  <si>
    <t>LT-051542-19/KI</t>
  </si>
  <si>
    <t>LT-813425-18/BX</t>
  </si>
  <si>
    <t>LT-096258-18/KI</t>
  </si>
  <si>
    <t>LT-054816-19/KI</t>
  </si>
  <si>
    <t>LT-004723-19/BX</t>
  </si>
  <si>
    <t>LT-006063-19/BX</t>
  </si>
  <si>
    <t>LT-050379-19/RI</t>
  </si>
  <si>
    <t>LT-050546-19/RI</t>
  </si>
  <si>
    <t>LT-050553-19/RI</t>
  </si>
  <si>
    <t>LT-050539-19/RI</t>
  </si>
  <si>
    <t>LT-801310-19/BX</t>
  </si>
  <si>
    <t>LT-051277-19/QU</t>
  </si>
  <si>
    <t>LT-805812-19/BX</t>
  </si>
  <si>
    <t>LT-050389-19/RI</t>
  </si>
  <si>
    <t>LT-535569-19/QU</t>
  </si>
  <si>
    <t>LT-065657-18/BX</t>
  </si>
  <si>
    <t>LT-009525-19/BX</t>
  </si>
  <si>
    <t>LT-807470-18/BX</t>
  </si>
  <si>
    <t>LT-006205-19/BX</t>
  </si>
  <si>
    <t>LT-050488-19/RI</t>
  </si>
  <si>
    <t>LT-007341-19/BX</t>
  </si>
  <si>
    <t>LT-008022-19/BX</t>
  </si>
  <si>
    <t>LT-051917-19/QU</t>
  </si>
  <si>
    <t>LT-073489-18/QU</t>
  </si>
  <si>
    <t>LT-053962-19/KI</t>
  </si>
  <si>
    <t>LT-055002-19/KI</t>
  </si>
  <si>
    <t>LT-011756-19/KI</t>
  </si>
  <si>
    <t>LT-056026-19/KI</t>
  </si>
  <si>
    <t>LT-086930-18/KI</t>
  </si>
  <si>
    <t>LT-066078-18/NY</t>
  </si>
  <si>
    <t>LT-069047-15/NY</t>
  </si>
  <si>
    <t>LT-050238-17/NY</t>
  </si>
  <si>
    <t>LT-066091-18/NY</t>
  </si>
  <si>
    <t>LT-610085-18/NY</t>
  </si>
  <si>
    <t>LT-076152-18/KI</t>
  </si>
  <si>
    <t>LT-068504-18/NY</t>
  </si>
  <si>
    <t>LT-077818-18/KI</t>
  </si>
  <si>
    <t>LT-069836-18/NY</t>
  </si>
  <si>
    <t>LT-069006-18/NY</t>
  </si>
  <si>
    <t>LT-070629-18/NY</t>
  </si>
  <si>
    <t>LT-079777-18/KI</t>
  </si>
  <si>
    <t>LT-079487-18/KI</t>
  </si>
  <si>
    <t>LT-072976-18/NY</t>
  </si>
  <si>
    <t>LT-082646-18/KI</t>
  </si>
  <si>
    <t>LT-080398-18/KI</t>
  </si>
  <si>
    <t>LT-018624-18/NY</t>
  </si>
  <si>
    <t>LT-083648-18/KI</t>
  </si>
  <si>
    <t>LT-050402-18/NY</t>
  </si>
  <si>
    <t>LT-075988-18/NY</t>
  </si>
  <si>
    <t>LT-070807-18/NY</t>
  </si>
  <si>
    <t>LT-88600-18/KI</t>
  </si>
  <si>
    <t>LT-076370-18/NY</t>
  </si>
  <si>
    <t>1:18-CV-09303</t>
  </si>
  <si>
    <t>LT-077005-18/NY</t>
  </si>
  <si>
    <t>LT-076412-18/NY</t>
  </si>
  <si>
    <t>LT-089484-18/KI</t>
  </si>
  <si>
    <t>LT-85659-18/KI</t>
  </si>
  <si>
    <t>LT-077028-18/NY</t>
  </si>
  <si>
    <t>LT-078314-18/NY</t>
  </si>
  <si>
    <t>LT-020618-18/NY</t>
  </si>
  <si>
    <t>LT-095833-18/KI</t>
  </si>
  <si>
    <t>client to provide</t>
  </si>
  <si>
    <t>LT-056562-18/KI</t>
  </si>
  <si>
    <t>LT-094059-18/KI</t>
  </si>
  <si>
    <t>LT-095560-18/KI</t>
  </si>
  <si>
    <t>LT-087861-18/KI</t>
  </si>
  <si>
    <t>LT-089594-18/KI</t>
  </si>
  <si>
    <t>LT-096695-18/KI</t>
  </si>
  <si>
    <t>LT-092139-17/KI</t>
  </si>
  <si>
    <t>LT-096563-18/KI</t>
  </si>
  <si>
    <t>LT-009775-19/BX</t>
  </si>
  <si>
    <t>LT-052165-19/KI</t>
  </si>
  <si>
    <t>LT-051284-18/BX</t>
  </si>
  <si>
    <t>LT-095683-18/KI</t>
  </si>
  <si>
    <t>LT-094943-19/KI</t>
  </si>
  <si>
    <t>LT-050204-19/NY</t>
  </si>
  <si>
    <t>LT-051456-19/NY</t>
  </si>
  <si>
    <t>LT-010547-19/NY</t>
  </si>
  <si>
    <t>LT-091828-18/KI</t>
  </si>
  <si>
    <t>LT-053119-19/KI</t>
  </si>
  <si>
    <t>LT-095890-18/KI</t>
  </si>
  <si>
    <t>LT-052923-19/KI</t>
  </si>
  <si>
    <t>LT-095697-18/KI</t>
  </si>
  <si>
    <t>LT-092594-18/KI</t>
  </si>
  <si>
    <t>LT-052576-19/NY</t>
  </si>
  <si>
    <t>LT-019997-18/KI</t>
  </si>
  <si>
    <t>LT-052926-19/KI</t>
  </si>
  <si>
    <t>LT-051909-19/KI</t>
  </si>
  <si>
    <t>LT-051892-19/KI</t>
  </si>
  <si>
    <t>LT-092676-18/KI</t>
  </si>
  <si>
    <t>LT-092831-18/KI</t>
  </si>
  <si>
    <t>LT-093010-18/KI</t>
  </si>
  <si>
    <t>LT-055015-19/KI</t>
  </si>
  <si>
    <t>LT-073009-18/KI</t>
  </si>
  <si>
    <t>LT-094773-18/KI</t>
  </si>
  <si>
    <t>LT-054456-19/KI</t>
  </si>
  <si>
    <t>LT-092024-18/KI</t>
  </si>
  <si>
    <t>LT-088300-18/KI</t>
  </si>
  <si>
    <t>LT-054254-19/KI</t>
  </si>
  <si>
    <t>LT-054253-19/KI</t>
  </si>
  <si>
    <t>LT-011553-19/KI</t>
  </si>
  <si>
    <t>LT-095602-18/KI</t>
  </si>
  <si>
    <t>LT-076842-19/KI</t>
  </si>
  <si>
    <t>LT-073601-18/KI</t>
  </si>
  <si>
    <t>LT-093504-18/KI</t>
  </si>
  <si>
    <t>LT-054048-19/NY</t>
  </si>
  <si>
    <t>LT-051094-19/KI</t>
  </si>
  <si>
    <t>LT-097035-18/KI</t>
  </si>
  <si>
    <t>LT-054673-19/KI</t>
  </si>
  <si>
    <t>LT-055013-19/KI</t>
  </si>
  <si>
    <t>LT-054164-19/KI</t>
  </si>
  <si>
    <t>LT-053240-19/KI</t>
  </si>
  <si>
    <t>LT-063357-17/BX</t>
  </si>
  <si>
    <t>LT-055473-19/KI</t>
  </si>
  <si>
    <t>LT-054348-19/KI</t>
  </si>
  <si>
    <t>LT-053904-19/KI</t>
  </si>
  <si>
    <t>LT-005991-19/BX</t>
  </si>
  <si>
    <t>LT-057582-18/KI</t>
  </si>
  <si>
    <t>client will provide</t>
  </si>
  <si>
    <t>LT-000802-19/KI</t>
  </si>
  <si>
    <t>LT-050440-19/KI</t>
  </si>
  <si>
    <t>LT-055176-19/KI</t>
  </si>
  <si>
    <t>LT-055868-19/KI</t>
  </si>
  <si>
    <t>LT-011104-19/KI</t>
  </si>
  <si>
    <t>LT-006926-19/BX</t>
  </si>
  <si>
    <t>LT-061074-18/BX</t>
  </si>
  <si>
    <t>LT-053651-19/KI</t>
  </si>
  <si>
    <t>LT-004712-19/BX</t>
  </si>
  <si>
    <t>LT-042965-18/BX</t>
  </si>
  <si>
    <t>LT-054766-19/KI</t>
  </si>
  <si>
    <t>LT-006305-19/BX</t>
  </si>
  <si>
    <t>LT-008299-19/BX</t>
  </si>
  <si>
    <t>LT-080058-18/NY</t>
  </si>
  <si>
    <t>LT-050877-19/KI</t>
  </si>
  <si>
    <t>LT-054272-19/KI</t>
  </si>
  <si>
    <t>LT-096201-18/KI</t>
  </si>
  <si>
    <t>Not Available</t>
  </si>
  <si>
    <t>LT-094946-18/KI</t>
  </si>
  <si>
    <t>LT-054124-19/KI</t>
  </si>
  <si>
    <t>LT-094332-18/KI</t>
  </si>
  <si>
    <t>LT-056962-19/KI</t>
  </si>
  <si>
    <t>LT-051664-19/KI</t>
  </si>
  <si>
    <t>LT-056041-19/KI</t>
  </si>
  <si>
    <t>LT-054600-19/KI</t>
  </si>
  <si>
    <t>LT-087991-18/KI</t>
  </si>
  <si>
    <t>LT-093563-18/KI</t>
  </si>
  <si>
    <t>LT-073885-18/KI</t>
  </si>
  <si>
    <t>LT-053441-19/KI</t>
  </si>
  <si>
    <t>LT-024107-18/KI</t>
  </si>
  <si>
    <t>LT-051918-19/KI</t>
  </si>
  <si>
    <t>LT-055509-19/KI</t>
  </si>
  <si>
    <t>LT-055564-19/KI (HC)</t>
  </si>
  <si>
    <t>LT-067376-18/KI</t>
  </si>
  <si>
    <t>LT-053417-19/KI</t>
  </si>
  <si>
    <t>LT-055421-19/KI</t>
  </si>
  <si>
    <t>LT-054391-19/NY</t>
  </si>
  <si>
    <t>LT-051159-19/KI</t>
  </si>
  <si>
    <t>LT-014409-18/KI</t>
  </si>
  <si>
    <t>LT-053574-19/KI</t>
  </si>
  <si>
    <t>LT-055809-19/KI</t>
  </si>
  <si>
    <t>LT-053828-19/KI</t>
  </si>
  <si>
    <t>LT-056052-19/KI</t>
  </si>
  <si>
    <t>LT-022405-18/KI</t>
  </si>
  <si>
    <t>LT-055391-19/KI</t>
  </si>
  <si>
    <t>LT-056628-19/KI</t>
  </si>
  <si>
    <t>LT-092815-18/KI</t>
  </si>
  <si>
    <t>LT-097199-18/KI</t>
  </si>
  <si>
    <t>LT-081212-18/KI</t>
  </si>
  <si>
    <t>LT-059294-19/KI</t>
  </si>
  <si>
    <t>LT-093873-18/KI</t>
  </si>
  <si>
    <t>LT-057990-19/KI</t>
  </si>
  <si>
    <t>LT-050076-19/KI</t>
  </si>
  <si>
    <t>LT-090704-18/KI</t>
  </si>
  <si>
    <t>LT-057921-19/KI</t>
  </si>
  <si>
    <t>LT-079759-18/KI</t>
  </si>
  <si>
    <t>LT-078266-18/KI</t>
  </si>
  <si>
    <t>LT-055424-19/KI</t>
  </si>
  <si>
    <t>LT-011875-19/KI</t>
  </si>
  <si>
    <t>LT-057568-19/KI</t>
  </si>
  <si>
    <t>LT-056260-19/KI</t>
  </si>
  <si>
    <t>LT-058390-19/KI</t>
  </si>
  <si>
    <t>LT-057420-19/KI</t>
  </si>
  <si>
    <t>LT-058307-19/KI</t>
  </si>
  <si>
    <t>LT-073829-18/KI</t>
  </si>
  <si>
    <t>LT-054998-19/KI</t>
  </si>
  <si>
    <t>LT-058353-19/KI</t>
  </si>
  <si>
    <t>LT-056901-19/KI</t>
  </si>
  <si>
    <t>LT-019258-17/KI</t>
  </si>
  <si>
    <t>LT-057613-19/KI</t>
  </si>
  <si>
    <t>LT-054737-19/KI</t>
  </si>
  <si>
    <t>LT-050083-19/KI</t>
  </si>
  <si>
    <t>LT-058139-19/KI</t>
  </si>
  <si>
    <t>LT-058716-19/KI</t>
  </si>
  <si>
    <t>LT-058153-19/KI</t>
  </si>
  <si>
    <t>LT-058385-19/KI</t>
  </si>
  <si>
    <t>LT-093492-18/KI</t>
  </si>
  <si>
    <t>LT-071143-18/KI</t>
  </si>
  <si>
    <t>LT-081254-18/KI</t>
  </si>
  <si>
    <t>LT-056944-19/KI</t>
  </si>
  <si>
    <t>LT-058735-19/KI</t>
  </si>
  <si>
    <t>LT-057975-19/KI</t>
  </si>
  <si>
    <t>LT-058562-19/KI</t>
  </si>
  <si>
    <t>LT-016756-18/KI</t>
  </si>
  <si>
    <t>LT-055452-19/KI</t>
  </si>
  <si>
    <t>LT-020690-18/KI</t>
  </si>
  <si>
    <t>LT-059132-19/KI</t>
  </si>
  <si>
    <t>LT-058137-19/KI</t>
  </si>
  <si>
    <t>LT-059295-19/KI</t>
  </si>
  <si>
    <t>LT-058373-19/KI</t>
  </si>
  <si>
    <t>LT-058292-19/KI</t>
  </si>
  <si>
    <t>LT-057822-19/KI</t>
  </si>
  <si>
    <t>LT-058199-19/KI</t>
  </si>
  <si>
    <t>LT-050617-19/KI</t>
  </si>
  <si>
    <t>LT-081622-18/KI</t>
  </si>
  <si>
    <t>LT-058196-19/KI</t>
  </si>
  <si>
    <t>LT-059589-19/KI</t>
  </si>
  <si>
    <t>LT-021814-18/KI</t>
  </si>
  <si>
    <t>LT-058030-19/KI</t>
  </si>
  <si>
    <t>LT-058945-19/KI</t>
  </si>
  <si>
    <t>LT-054884-19/KI</t>
  </si>
  <si>
    <t>LT-058980-19/KI</t>
  </si>
  <si>
    <t>LT-093583-18/KI</t>
  </si>
  <si>
    <t>LT-060468-19/KI</t>
  </si>
  <si>
    <t>LT-058549-19/KI</t>
  </si>
  <si>
    <t>LT-053786-19/KI</t>
  </si>
  <si>
    <t>LT-053575-19/KI</t>
  </si>
  <si>
    <t>HN 2100270 R</t>
  </si>
  <si>
    <t>LT-000749-19/KI</t>
  </si>
  <si>
    <t>HN-210027-0R</t>
  </si>
  <si>
    <t>LT-063893-18/BX</t>
  </si>
  <si>
    <t>LT-004563-19/BX</t>
  </si>
  <si>
    <t>LT-800647-19/BX</t>
  </si>
  <si>
    <t>LT-008488-19/BX</t>
  </si>
  <si>
    <t>LT-047367-18/BX</t>
  </si>
  <si>
    <t>LT-6029-19/QU</t>
  </si>
  <si>
    <t>LT-056440-19/KI</t>
  </si>
  <si>
    <t>LT-002299-19/BX</t>
  </si>
  <si>
    <t>LT-005595-19/BX</t>
  </si>
  <si>
    <t>LT-071847-19/BX</t>
  </si>
  <si>
    <t>LT-009531-19/BX</t>
  </si>
  <si>
    <t>LT-054088-18/BX</t>
  </si>
  <si>
    <t>LT-005993-19/BX</t>
  </si>
  <si>
    <t>LT-59459-19/KI</t>
  </si>
  <si>
    <t>LT-092404-18/KI</t>
  </si>
  <si>
    <t>LT-007876-19/BX</t>
  </si>
  <si>
    <t>LT-068836-18/BX</t>
  </si>
  <si>
    <t>LT-002994-19/BX</t>
  </si>
  <si>
    <t>LT-086747-18/ KI (HC)</t>
  </si>
  <si>
    <t>LT-070857-18/QU</t>
  </si>
  <si>
    <t>LT-053998-19/KI</t>
  </si>
  <si>
    <t>LT-054820-19/KI</t>
  </si>
  <si>
    <t>LT-090922-18/KI</t>
  </si>
  <si>
    <t>LT-010124-19/RI</t>
  </si>
  <si>
    <t>LT-009624-19/BX</t>
  </si>
  <si>
    <t>LT-050358-19/RI</t>
  </si>
  <si>
    <t>LT-053837-19/QU</t>
  </si>
  <si>
    <t>LT-084830-18/KI</t>
  </si>
  <si>
    <t>LT-801677-19/BX</t>
  </si>
  <si>
    <t>LT-062756-18/BX</t>
  </si>
  <si>
    <t>LT-060744-18/BX</t>
  </si>
  <si>
    <t>LT-010082-19/RI</t>
  </si>
  <si>
    <t>LT-011181-18/RI</t>
  </si>
  <si>
    <t>LT-052714-19/QU</t>
  </si>
  <si>
    <t>LT-052774-19/NY</t>
  </si>
  <si>
    <t>LT-053879-19/QU</t>
  </si>
  <si>
    <t>LT-007621-19/BX</t>
  </si>
  <si>
    <t>LT-050211-18/BX</t>
  </si>
  <si>
    <t>LT-053909-19/QU</t>
  </si>
  <si>
    <t>LT-053243-19/QU</t>
  </si>
  <si>
    <t>LT-011347-18/RI</t>
  </si>
  <si>
    <t>LT-077241-16/BX</t>
  </si>
  <si>
    <t>LT-054160-19/QU</t>
  </si>
  <si>
    <t>LT-003491-19/BX</t>
  </si>
  <si>
    <t>LT-068891-18/BX</t>
  </si>
  <si>
    <t>LT-054270-19/QU</t>
  </si>
  <si>
    <t>LT-001882-19/BX</t>
  </si>
  <si>
    <t>LT-050377-19/RI</t>
  </si>
  <si>
    <t>LT-010115-19/RI</t>
  </si>
  <si>
    <t>LT-052310-19/QU</t>
  </si>
  <si>
    <t>LT-053166-19/QU</t>
  </si>
  <si>
    <t>LT-065739-18/BX</t>
  </si>
  <si>
    <t>LT-074908-17/QU</t>
  </si>
  <si>
    <t>LT-073648-18/KI</t>
  </si>
  <si>
    <t>LT-020439-18/NY</t>
  </si>
  <si>
    <t>LT-050289-19/QU</t>
  </si>
  <si>
    <t>LT-078986-18/NY</t>
  </si>
  <si>
    <t>LT-054384-19/NY</t>
  </si>
  <si>
    <t>LT-053002-19/NY</t>
  </si>
  <si>
    <t>LT-006444-19/BX</t>
  </si>
  <si>
    <t>LT-010728-19/BX</t>
  </si>
  <si>
    <t>LT-052975-19/QU</t>
  </si>
  <si>
    <t>LT-065019-18/NY</t>
  </si>
  <si>
    <t>LT-055051-19/NY</t>
  </si>
  <si>
    <t>LT-067542-18/BX</t>
  </si>
  <si>
    <t>LT-007339-19/BX</t>
  </si>
  <si>
    <t>LT-010717-19/BX</t>
  </si>
  <si>
    <t>LT-064862-18/BX</t>
  </si>
  <si>
    <t>LT-010481-19/BX</t>
  </si>
  <si>
    <t>LT-008811-19/BX</t>
  </si>
  <si>
    <t>LT-055065-19/NY</t>
  </si>
  <si>
    <t>LT-016645-18/NY</t>
  </si>
  <si>
    <t>LT-053658-19/NY</t>
  </si>
  <si>
    <t>LT-054833-19/NY</t>
  </si>
  <si>
    <t>LT-096815-18/KI</t>
  </si>
  <si>
    <t>LT-056655-19/KI</t>
  </si>
  <si>
    <t>LT-054487-19/QU</t>
  </si>
  <si>
    <t>LT-071339-17/NY</t>
  </si>
  <si>
    <t>LT-053280-19/QU</t>
  </si>
  <si>
    <t>LT-069409-18/QU</t>
  </si>
  <si>
    <t>LT-068050-18/QU</t>
  </si>
  <si>
    <t>LT-011466-19/BX</t>
  </si>
  <si>
    <t>LT-074136-18/KI</t>
  </si>
  <si>
    <t>LT-087906-18/KI</t>
  </si>
  <si>
    <t>LT-722200-18/QU</t>
  </si>
  <si>
    <t>LT-054744-19/QU</t>
  </si>
  <si>
    <t>LT-054096-19/QU</t>
  </si>
  <si>
    <t>LT-052959-18/BX</t>
  </si>
  <si>
    <t>LT-007113-19/BX</t>
  </si>
  <si>
    <t>LT-088924-18/KI</t>
  </si>
  <si>
    <t>LT-054985-19/QU</t>
  </si>
  <si>
    <t>LT-051539-19/QU</t>
  </si>
  <si>
    <t>LT-053849-19/QU</t>
  </si>
  <si>
    <t>LT-053991-19/QU</t>
  </si>
  <si>
    <t>LT-078350-18/QU</t>
  </si>
  <si>
    <t>LT-055177-19/QU</t>
  </si>
  <si>
    <t>LT-051582-19/QU</t>
  </si>
  <si>
    <t>LT-086459-18/KI</t>
  </si>
  <si>
    <t>LT-802261-18/BX</t>
  </si>
  <si>
    <t>LT-0166-19/QU</t>
  </si>
  <si>
    <t>LT-052745-19/KI</t>
  </si>
  <si>
    <t>LT-051596-19/KI</t>
  </si>
  <si>
    <t>LT-053283-19/KI</t>
  </si>
  <si>
    <t>LT-061497-17/QU</t>
  </si>
  <si>
    <t>LT-066853-18/BX</t>
  </si>
  <si>
    <t>LT-050411-19/QU</t>
  </si>
  <si>
    <t>LT-054997-19/NY</t>
  </si>
  <si>
    <t>LT-080280-18/NY</t>
  </si>
  <si>
    <t>LT-066784-18/BX</t>
  </si>
  <si>
    <t>LT-813054-18/BX</t>
  </si>
  <si>
    <t>LT-807983-17/BX</t>
  </si>
  <si>
    <t>LT-050541-19/RI</t>
  </si>
  <si>
    <t>LT-008405-19/BX</t>
  </si>
  <si>
    <t>LT-000324-19/BX</t>
  </si>
  <si>
    <t>LT-054372-19/NY</t>
  </si>
  <si>
    <t>LT-005866-19/BX</t>
  </si>
  <si>
    <t>LT-50481-19/RI</t>
  </si>
  <si>
    <t>LT-808838-17/BX</t>
  </si>
  <si>
    <t>LT-047342-18/BX</t>
  </si>
  <si>
    <t>LT-007783-19/BX</t>
  </si>
  <si>
    <t>LT-038550-18/BX</t>
  </si>
  <si>
    <t>HP-0135-18/QU</t>
  </si>
  <si>
    <t>LT-000176-19/QU</t>
  </si>
  <si>
    <t>LT-006596-19/BX</t>
  </si>
  <si>
    <t>LT-068264-18/BX</t>
  </si>
  <si>
    <t>LT-005772-19/BX</t>
  </si>
  <si>
    <t>LT-200119-17/NY</t>
  </si>
  <si>
    <t>LT-009111-19/BX</t>
  </si>
  <si>
    <t>LT-054333-19/QU</t>
  </si>
  <si>
    <t>LT-009789-19/BX</t>
  </si>
  <si>
    <t>LT-050637-19/KI</t>
  </si>
  <si>
    <t>LT-062190-18/BX</t>
  </si>
  <si>
    <t>LT-088679-18/KI</t>
  </si>
  <si>
    <t>LT-093574-18/KI</t>
  </si>
  <si>
    <t>LT-091375-18/NY</t>
  </si>
  <si>
    <t>94 RSC 2019</t>
  </si>
  <si>
    <t>LT-063325-18/NY</t>
  </si>
  <si>
    <t>LT-079272-18/NY</t>
  </si>
  <si>
    <t>LT-050842-19/RI</t>
  </si>
  <si>
    <t>LT-050234-19/RI</t>
  </si>
  <si>
    <t>LT-008433-19/BX</t>
  </si>
  <si>
    <t>LT-801949-19/BX</t>
  </si>
  <si>
    <t>LT-801951-19/BX</t>
  </si>
  <si>
    <t>LT-050707-19/RI</t>
  </si>
  <si>
    <t>LT-003896-19/BX</t>
  </si>
  <si>
    <t>LT-057533-19/KI</t>
  </si>
  <si>
    <t>LT-048357-18/BX</t>
  </si>
  <si>
    <t>LT-059335-18/BX</t>
  </si>
  <si>
    <t>LT-014145-18/QU</t>
  </si>
  <si>
    <t>LT-010919-18/QU</t>
  </si>
  <si>
    <t>LT-011920-19/BX</t>
  </si>
  <si>
    <t>LT-070678-18/QU</t>
  </si>
  <si>
    <t>LT-052063-18/BX</t>
  </si>
  <si>
    <t>LT-076830-18/QU</t>
  </si>
  <si>
    <t>LT-050671-19/RI</t>
  </si>
  <si>
    <t>LT-053712-19/NY</t>
  </si>
  <si>
    <t>LT-073449-18/NY</t>
  </si>
  <si>
    <t>LT-006410-19/BX</t>
  </si>
  <si>
    <t>LT-000205-19/QU</t>
  </si>
  <si>
    <t>LT-050397-19/RI</t>
  </si>
  <si>
    <t>LT-054632-19/NY</t>
  </si>
  <si>
    <t>LT-055038-19/NY</t>
  </si>
  <si>
    <t>LT-078115-16/NY</t>
  </si>
  <si>
    <t>LT-050581-19/RI</t>
  </si>
  <si>
    <t>LT-001903-19/BX</t>
  </si>
  <si>
    <t>LT-012118-19/NY</t>
  </si>
  <si>
    <t>LT-054648-19/NY</t>
  </si>
  <si>
    <t>LT-050589-19/RI</t>
  </si>
  <si>
    <t>LT-050586-19/RI</t>
  </si>
  <si>
    <t>LT-051577-19/NY</t>
  </si>
  <si>
    <t>LT-013037-19/BX</t>
  </si>
  <si>
    <t>LT-007739-19/BX</t>
  </si>
  <si>
    <t>LT-011695-19/BX</t>
  </si>
  <si>
    <t>LT-078995-18/QU</t>
  </si>
  <si>
    <t>LT-077207-17/NY</t>
  </si>
  <si>
    <t>LT-001650-19/BX</t>
  </si>
  <si>
    <t>LT-053069-19/QU</t>
  </si>
  <si>
    <t>LT-001128-19/BX</t>
  </si>
  <si>
    <t>LT-007528-19/BX</t>
  </si>
  <si>
    <t>LT-093067-17/KI</t>
  </si>
  <si>
    <t>LT-048476-18/BX</t>
  </si>
  <si>
    <t>LT-010766-19/QU</t>
  </si>
  <si>
    <t>LT-078441-18/QU</t>
  </si>
  <si>
    <t>LT-063032-17/BX</t>
  </si>
  <si>
    <t>LT-065400-18/BX</t>
  </si>
  <si>
    <t>LT-005611-19/BX</t>
  </si>
  <si>
    <t>LT-012012-19/BX</t>
  </si>
  <si>
    <t>LT-050961-19/RI</t>
  </si>
  <si>
    <t>LT-011984-19/BX</t>
  </si>
  <si>
    <t>LT-058717-18/BX</t>
  </si>
  <si>
    <t>LT-008894-19/BX</t>
  </si>
  <si>
    <t>LT-054479-19/QU</t>
  </si>
  <si>
    <t>LT-054028-19/QU</t>
  </si>
  <si>
    <t>LT-051519-19/QU</t>
  </si>
  <si>
    <t>LT-055659-19/QU</t>
  </si>
  <si>
    <t>LT-051993-19/QU</t>
  </si>
  <si>
    <t>LT-0538770</t>
  </si>
  <si>
    <t>LT-058477-19/KI</t>
  </si>
  <si>
    <t>LT-057421-19/KI</t>
  </si>
  <si>
    <t>LT-055498-19/KI</t>
  </si>
  <si>
    <t>LT-058115-19/KI</t>
  </si>
  <si>
    <t>LT-057947-19/KI</t>
  </si>
  <si>
    <t>LT-012434-19/KI</t>
  </si>
  <si>
    <t>LT-069988-18/NY</t>
  </si>
  <si>
    <t>LT-064925-18/NY</t>
  </si>
  <si>
    <t>LT-096871-18/KI</t>
  </si>
  <si>
    <t>LT-051978-19/QU</t>
  </si>
  <si>
    <t>LT-051498-19/QU</t>
  </si>
  <si>
    <t>LT-055234-19/QU</t>
  </si>
  <si>
    <t>LT-076317-18/QU</t>
  </si>
  <si>
    <t>LT-055862-19/QU</t>
  </si>
  <si>
    <t>LT-077467-18/QU</t>
  </si>
  <si>
    <t>LT-049927-18/BX</t>
  </si>
  <si>
    <t>LT-010389-18/KI</t>
  </si>
  <si>
    <t>LT-078674-18/QU</t>
  </si>
  <si>
    <t>LT-064776-18/BX</t>
  </si>
  <si>
    <t>LT-055302-19/QU</t>
  </si>
  <si>
    <t>LT-054464-19/QU</t>
  </si>
  <si>
    <t>LT-075680-18/QU</t>
  </si>
  <si>
    <t>LT-812348-18/BX</t>
  </si>
  <si>
    <t>LT-009766-19/BX</t>
  </si>
  <si>
    <t>LT-058007-18/BX</t>
  </si>
  <si>
    <t>LT-906561-18/BX</t>
  </si>
  <si>
    <t>LT-051933-19/QU</t>
  </si>
  <si>
    <t>LT-073766-18/QU</t>
  </si>
  <si>
    <t>LT-053757-19/QU</t>
  </si>
  <si>
    <t>LT-053906-19/KI</t>
  </si>
  <si>
    <t>LT-051551-19/KI</t>
  </si>
  <si>
    <t>LT-050614-19/RI</t>
  </si>
  <si>
    <t>LT-000158-19/QU</t>
  </si>
  <si>
    <t>LT-011164-19/BX</t>
  </si>
  <si>
    <t>LT-801848-19/BX</t>
  </si>
  <si>
    <t>LT-050664-19/RI</t>
  </si>
  <si>
    <t>LT-050681-19/RI</t>
  </si>
  <si>
    <t>LT-009954-19/BX</t>
  </si>
  <si>
    <t>LT-058120-19/KI</t>
  </si>
  <si>
    <t>LT-057504-19/KI</t>
  </si>
  <si>
    <t>LT-058368-19/KI</t>
  </si>
  <si>
    <t>LT-057839-19/KI</t>
  </si>
  <si>
    <t>LT-053882-19/KI</t>
  </si>
  <si>
    <t>LT-083379-18/KI</t>
  </si>
  <si>
    <t>LT-057880-19/KI</t>
  </si>
  <si>
    <t>LT-050691-19/RI</t>
  </si>
  <si>
    <t>LT-015234-19/BX</t>
  </si>
  <si>
    <t>LT-005856-19/BX</t>
  </si>
  <si>
    <t>LT-064900-18/KI</t>
  </si>
  <si>
    <t>LT-057461-19/KI</t>
  </si>
  <si>
    <t>LT-020933-18/NY</t>
  </si>
  <si>
    <t>LT-54557/19-NY</t>
  </si>
  <si>
    <t>LT-058985-19/KI</t>
  </si>
  <si>
    <t>LT-011715-19/BX</t>
  </si>
  <si>
    <t>LT-054549-19/QU</t>
  </si>
  <si>
    <t>LT-056014-19/QU</t>
  </si>
  <si>
    <t>LT-055115-19/QU</t>
  </si>
  <si>
    <t>LT-010414-19/BX</t>
  </si>
  <si>
    <t>LT-801954-19/BX</t>
  </si>
  <si>
    <t>LT-010331-19/BX</t>
  </si>
  <si>
    <t>LT-010194-19/BX</t>
  </si>
  <si>
    <t>LT-010681-19/BX</t>
  </si>
  <si>
    <t>LT-054717-19/QU</t>
  </si>
  <si>
    <t>LT-050634-19/RI</t>
  </si>
  <si>
    <t>LT-050086-19/QU</t>
  </si>
  <si>
    <t>LT-055146-19/QU</t>
  </si>
  <si>
    <t>LT-011784-19/NY</t>
  </si>
  <si>
    <t>LT-056058-19/QU</t>
  </si>
  <si>
    <t>LT-051710-19/QU</t>
  </si>
  <si>
    <t>LT-066618-17/KI</t>
  </si>
  <si>
    <t>LT-067575-18/QU</t>
  </si>
  <si>
    <t>LT-096863-18/KI</t>
  </si>
  <si>
    <t>1:16-CR-00780-KMW</t>
  </si>
  <si>
    <t>LT-007340-19/BX</t>
  </si>
  <si>
    <t>LT-053308-19/KI</t>
  </si>
  <si>
    <t>LT-054090-19/KI</t>
  </si>
  <si>
    <t>LT-052519-19/KI</t>
  </si>
  <si>
    <t>LT-055447-19/KI</t>
  </si>
  <si>
    <t>LT-056691-19/NY</t>
  </si>
  <si>
    <t>LT-061235-18/BX</t>
  </si>
  <si>
    <t>LT-051526-19/QU</t>
  </si>
  <si>
    <t>LT-052403-19/QU</t>
  </si>
  <si>
    <t>LT-053992-19/QU</t>
  </si>
  <si>
    <t>LT-055634-19/NY</t>
  </si>
  <si>
    <t>LT-052953-18/RI</t>
  </si>
  <si>
    <t>LT-010155-19/RI</t>
  </si>
  <si>
    <t>LT-054889-19/QU</t>
  </si>
  <si>
    <t>LT-003126-19/BX</t>
  </si>
  <si>
    <t>LT-003534-19/BX</t>
  </si>
  <si>
    <t>LT-800881-19/BX</t>
  </si>
  <si>
    <t>LT-080422-18/NY</t>
  </si>
  <si>
    <t>LT-054436-19/NY</t>
  </si>
  <si>
    <t>LT-056256-19/NY</t>
  </si>
  <si>
    <t>LT-012140-19/NY</t>
  </si>
  <si>
    <t>LT-054769-19/NY</t>
  </si>
  <si>
    <t>LT-054677-19/QU</t>
  </si>
  <si>
    <t>LT-801857-19/BX</t>
  </si>
  <si>
    <t>LT-012649-19/BX</t>
  </si>
  <si>
    <t>LT-014510-19/BX</t>
  </si>
  <si>
    <t>LT-810802-18/BX</t>
  </si>
  <si>
    <t>LT-001899-19/BX</t>
  </si>
  <si>
    <t>LT-058348-19/KI</t>
  </si>
  <si>
    <t>LT-059113-19/KI</t>
  </si>
  <si>
    <t>LT-055164-19/QU</t>
  </si>
  <si>
    <t>LT-055271-19/NY</t>
  </si>
  <si>
    <t>LT-055214-19/NY</t>
  </si>
  <si>
    <t>LT-073733-18/NY</t>
  </si>
  <si>
    <t>LT-055629-19/NY</t>
  </si>
  <si>
    <t>LT-055374-19/NY</t>
  </si>
  <si>
    <t>LT-055588-19/NY</t>
  </si>
  <si>
    <t>LT-014529-19/BX</t>
  </si>
  <si>
    <t>LT-056125-19/NY</t>
  </si>
  <si>
    <t>LT-054881-19/NY</t>
  </si>
  <si>
    <t>LT-055092-19/QU</t>
  </si>
  <si>
    <t>LT-064844-18/BX</t>
  </si>
  <si>
    <t>LT-055441-19/QU</t>
  </si>
  <si>
    <t>LT-013329-19/BX</t>
  </si>
  <si>
    <t>LT-</t>
  </si>
  <si>
    <t>LT-013259-19/BX</t>
  </si>
  <si>
    <t>LT-010549-19/BX</t>
  </si>
  <si>
    <t>LT-013618-19/BX</t>
  </si>
  <si>
    <t>LT-055073-19/QU</t>
  </si>
  <si>
    <t>LT-055253-19/QU</t>
  </si>
  <si>
    <t>LT-054913-19/NY</t>
  </si>
  <si>
    <t>LT-056404-19/NY</t>
  </si>
  <si>
    <t>LT-055440-19/QU</t>
  </si>
  <si>
    <t>LT-055645-19/NY</t>
  </si>
  <si>
    <t>LT-068986-18/KI</t>
  </si>
  <si>
    <t>LT-093435-18/KI</t>
  </si>
  <si>
    <t>LT-010635-19/BX</t>
  </si>
  <si>
    <t>LT-056143-19/QU</t>
  </si>
  <si>
    <t>LT-050675-19/RI</t>
  </si>
  <si>
    <t>LT-055802-19/QU</t>
  </si>
  <si>
    <t>LT-056049-19/QU</t>
  </si>
  <si>
    <t>LT-055133-19/QU</t>
  </si>
  <si>
    <t>LT-052839-19/NY</t>
  </si>
  <si>
    <t>LT-076334-18/QU</t>
  </si>
  <si>
    <t>LT-077668-18/QU</t>
  </si>
  <si>
    <t>LT-010515-19/BX</t>
  </si>
  <si>
    <t>LT-006577-19/BX</t>
  </si>
  <si>
    <t>LT-157386-18/NY</t>
  </si>
  <si>
    <t>LT-069916-18/QU</t>
  </si>
  <si>
    <t>LT-010275-19/BX</t>
  </si>
  <si>
    <t>LT-004291-19/BX</t>
  </si>
  <si>
    <t>LT-050687-19/RI</t>
  </si>
  <si>
    <t>LT-051845-19/KI</t>
  </si>
  <si>
    <t>LT-001894-19/BX</t>
  </si>
  <si>
    <t>LT-012610-19/BX</t>
  </si>
  <si>
    <t>LT-093842-18/KI</t>
  </si>
  <si>
    <t>LT-802409-19/BX</t>
  </si>
  <si>
    <t>LT-050710-19/QU</t>
  </si>
  <si>
    <t>LT-056472-19/QU</t>
  </si>
  <si>
    <t>LT-055429-19/QU</t>
  </si>
  <si>
    <t>LT-075409-18/KI</t>
  </si>
  <si>
    <t>LT-066169-19/KI</t>
  </si>
  <si>
    <t>LT-63687-19/KI</t>
  </si>
  <si>
    <t>LT-052841-19/KI</t>
  </si>
  <si>
    <t>LT-054692-19/NY</t>
  </si>
  <si>
    <t>LT-051222-19</t>
  </si>
  <si>
    <t>LT-079118-19/NY</t>
  </si>
  <si>
    <t>LT-055310-19/NY</t>
  </si>
  <si>
    <t>LT-054331-19/QU</t>
  </si>
  <si>
    <t>LT-077180</t>
  </si>
  <si>
    <t>LT-020648-18/NY</t>
  </si>
  <si>
    <t>LT-050518-18/QU</t>
  </si>
  <si>
    <t>LT-010155-19/BX</t>
  </si>
  <si>
    <t>LT-002122-19/BX</t>
  </si>
  <si>
    <t>LT-0050560-19/RI</t>
  </si>
  <si>
    <t>LT-210755-16/HA</t>
  </si>
  <si>
    <t>LT-055406-19/NY</t>
  </si>
  <si>
    <t>LT-054279-19/NY</t>
  </si>
  <si>
    <t>LT-054638-19/NY</t>
  </si>
  <si>
    <t>LT-000037-19/RI</t>
  </si>
  <si>
    <t>LT-054599-19/NY</t>
  </si>
  <si>
    <t>LT-055771-19/QU</t>
  </si>
  <si>
    <t>LT-011935-19/BX</t>
  </si>
  <si>
    <t>LT-009834-19/BX</t>
  </si>
  <si>
    <t>LT-064318-18/BX</t>
  </si>
  <si>
    <t>LT-059077-19/KI</t>
  </si>
  <si>
    <t>LT-054596-19/NY</t>
  </si>
  <si>
    <t>LT-054452-19/QU</t>
  </si>
  <si>
    <t>LT-010846-19/NY</t>
  </si>
  <si>
    <t>LT-071398-18/NY</t>
  </si>
  <si>
    <t>LT-063006-18/NY</t>
  </si>
  <si>
    <t>LT-055150-19/NY</t>
  </si>
  <si>
    <t>LT-010592-19/BX</t>
  </si>
  <si>
    <t>LT-014703-19/BX</t>
  </si>
  <si>
    <t>LT-045722-17/BX</t>
  </si>
  <si>
    <t>LT-000221-19/QU</t>
  </si>
  <si>
    <t>LT-011640-19/BX</t>
  </si>
  <si>
    <t>LT-012473-19/BX</t>
  </si>
  <si>
    <t>LT-011069-19/BX</t>
  </si>
  <si>
    <t>LT-066617-17/KI</t>
  </si>
  <si>
    <t>LT-009931-19/BX</t>
  </si>
  <si>
    <t>LT-051578-19/QU</t>
  </si>
  <si>
    <t>LT-050470-19/QU</t>
  </si>
  <si>
    <t>LT-066301-18/BX</t>
  </si>
  <si>
    <t>LT-052201-19/KI</t>
  </si>
  <si>
    <t>LT-077813-18/QU</t>
  </si>
  <si>
    <t>GQ-610029-B</t>
  </si>
  <si>
    <t>LT-050657-19/RI</t>
  </si>
  <si>
    <t>LT-058768-19/NY</t>
  </si>
  <si>
    <t>LT-001455-18/QU</t>
  </si>
  <si>
    <t>LT-010230-19/RI</t>
  </si>
  <si>
    <t>LT-010162-19/RI</t>
  </si>
  <si>
    <t>LT-008855-19/BX</t>
  </si>
  <si>
    <t>LT-010201-19/RI</t>
  </si>
  <si>
    <t>LT-005725-18/QU</t>
  </si>
  <si>
    <t>LT-010158-19/RI</t>
  </si>
  <si>
    <t>LT-078424-18/QU</t>
  </si>
  <si>
    <t>LT-07444-18/KI</t>
  </si>
  <si>
    <t>LT-87502-18/KI</t>
  </si>
  <si>
    <t>LT-015724-17/BX</t>
  </si>
  <si>
    <t>LT-075138-18/NY</t>
  </si>
  <si>
    <t>LT-072882-18/NY</t>
  </si>
  <si>
    <t>LT-013876-19/BX</t>
  </si>
  <si>
    <t>LT-014285-19/BX</t>
  </si>
  <si>
    <t>LT-052102-19/NY</t>
  </si>
  <si>
    <t>LT-056524-19/NY</t>
  </si>
  <si>
    <t>LT-016469-18/NY</t>
  </si>
  <si>
    <t>LT-055079-19/NY</t>
  </si>
  <si>
    <t>LT-014496-19/BX</t>
  </si>
  <si>
    <t>LT-015102-19/BX</t>
  </si>
  <si>
    <t>LT-080785-18/NY</t>
  </si>
  <si>
    <t>LT-054183-19/NY</t>
  </si>
  <si>
    <t>LT-012268-19/NY</t>
  </si>
  <si>
    <t>LT-056652-18/QU</t>
  </si>
  <si>
    <t>LT-808186-17/BX</t>
  </si>
  <si>
    <t>LT-054826-19/NY</t>
  </si>
  <si>
    <t>LT-062593-18/NY</t>
  </si>
  <si>
    <t>LT-011439-19/BX</t>
  </si>
  <si>
    <t>LT-054513-19/KI</t>
  </si>
  <si>
    <t>LT-072292-18/KI</t>
  </si>
  <si>
    <t>LT-056495-19/QU</t>
  </si>
  <si>
    <t>LT-010407-19/QU</t>
  </si>
  <si>
    <t>LT-066298-18/BX</t>
  </si>
  <si>
    <t>LT-009785-19/BX</t>
  </si>
  <si>
    <t>LT-051491-19/NY</t>
  </si>
  <si>
    <t>LT-050321-19/RI</t>
  </si>
  <si>
    <t>LT-0044541-15/BX</t>
  </si>
  <si>
    <t>LT-059959-19/KI</t>
  </si>
  <si>
    <t>LT-054723-19/NY</t>
  </si>
  <si>
    <t>LT-056962-19/QU</t>
  </si>
  <si>
    <t>LT-056809-19/QU</t>
  </si>
  <si>
    <t>LT-003794-19/BX</t>
  </si>
  <si>
    <t>LT-050452-19/RI</t>
  </si>
  <si>
    <t>LT-050464-19/RI</t>
  </si>
  <si>
    <t>LT-056834-19/QU</t>
  </si>
  <si>
    <t>LT-052265-19/QU</t>
  </si>
  <si>
    <t>LT-086265-17/KI</t>
  </si>
  <si>
    <t>LT-058125-19/KI</t>
  </si>
  <si>
    <t>LT-059655-19/KI</t>
  </si>
  <si>
    <t>LT-074169-18/KI</t>
  </si>
  <si>
    <t>LT-063886-18/QU</t>
  </si>
  <si>
    <t>LT-050610-17/QU</t>
  </si>
  <si>
    <t>LT-054929-19/KI</t>
  </si>
  <si>
    <t>LT-066383-18/BX</t>
  </si>
  <si>
    <t>LT-067922-18/BX</t>
  </si>
  <si>
    <t>LT-801030-19/BX</t>
  </si>
  <si>
    <t>LT-016036-19/BX</t>
  </si>
  <si>
    <t>LT-052273-19/QU</t>
  </si>
  <si>
    <t>LT-077427-18/QU</t>
  </si>
  <si>
    <t>900342-NB-2018</t>
  </si>
  <si>
    <t>LT-072658-18/QU</t>
  </si>
  <si>
    <t>LT-000136-18/NY</t>
  </si>
  <si>
    <t>LT-056081-19/NY</t>
  </si>
  <si>
    <t>LT-081519-18/NY</t>
  </si>
  <si>
    <t>LT-60415-19/KI</t>
  </si>
  <si>
    <t>LT-056690-19/QU</t>
  </si>
  <si>
    <t>19-40820</t>
  </si>
  <si>
    <t>GT-610002-RO</t>
  </si>
  <si>
    <t>LT-3326-19/BX</t>
  </si>
  <si>
    <t>LT-003326-19/BX</t>
  </si>
  <si>
    <t>LT-13923-19/BX</t>
  </si>
  <si>
    <t>GN  630012-B</t>
  </si>
  <si>
    <t>LT-019589-19/BX</t>
  </si>
  <si>
    <t>LT-050968-19/KI</t>
  </si>
  <si>
    <t>LT-013923-19/BX</t>
  </si>
  <si>
    <t>LT-006976-19/BX</t>
  </si>
  <si>
    <t>LT-041729-18/BX</t>
  </si>
  <si>
    <t>LT-009927-19/BX</t>
  </si>
  <si>
    <t>LT-047259-18/BX</t>
  </si>
  <si>
    <t>LT-068137-18/BX</t>
  </si>
  <si>
    <t>155/18</t>
  </si>
  <si>
    <t>LT-000467-19/NY</t>
  </si>
  <si>
    <t>LT-092515-17/KI</t>
  </si>
  <si>
    <t>LT-006984-19/BX</t>
  </si>
  <si>
    <t>LT-003832-18/BX</t>
  </si>
  <si>
    <t>LT-013322-19/BX</t>
  </si>
  <si>
    <t>LT-010961-19/BX</t>
  </si>
  <si>
    <t>LT-021990-19/BX</t>
  </si>
  <si>
    <t>LT-004685-19/BX</t>
  </si>
  <si>
    <t>LT-015190-19/BX</t>
  </si>
  <si>
    <t>LT-054716-19/QU</t>
  </si>
  <si>
    <t>LT-013358-19/BX</t>
  </si>
  <si>
    <t>LT-015614-19/BX</t>
  </si>
  <si>
    <t>LT-002330-19/BX</t>
  </si>
  <si>
    <t>LT-056631-19/QU</t>
  </si>
  <si>
    <t>LT-002935-19/BX</t>
  </si>
  <si>
    <t>LT-012459-19/BX</t>
  </si>
  <si>
    <t>LT-050509-19/RI</t>
  </si>
  <si>
    <t>LT-017433-17/BX</t>
  </si>
  <si>
    <t>LT-014284-19/BX</t>
  </si>
  <si>
    <t>LT-050720-19/RI</t>
  </si>
  <si>
    <t>LT-012255-19/BX</t>
  </si>
  <si>
    <t>LT-090956-18/KI</t>
  </si>
  <si>
    <t>LT-014802-19/KI</t>
  </si>
  <si>
    <t>LT-053333-18/QU</t>
  </si>
  <si>
    <t>LT-059657-19/KI</t>
  </si>
  <si>
    <t>LT-045267-18/BX</t>
  </si>
  <si>
    <t>LT-056685-19/QU</t>
  </si>
  <si>
    <t>LT-081001-18/NY</t>
  </si>
  <si>
    <t>LT-057362-19/NY</t>
  </si>
  <si>
    <t>LT-053132-19/NY</t>
  </si>
  <si>
    <t>LT-808060-18/BX</t>
  </si>
  <si>
    <t>LT-002203-19/BX</t>
  </si>
  <si>
    <t>LT-012415-19/NY</t>
  </si>
  <si>
    <t>LT-056525-19/NY</t>
  </si>
  <si>
    <t>LT-057071-19/NY</t>
  </si>
  <si>
    <t>LT-056378-19/NY</t>
  </si>
  <si>
    <t>LT-014877-19/BX</t>
  </si>
  <si>
    <t>LT-055921-19/KI</t>
  </si>
  <si>
    <t>LT-013639-19/BX</t>
  </si>
  <si>
    <t>LT-056304-19/NY</t>
  </si>
  <si>
    <t>LT-070592-18/QU</t>
  </si>
  <si>
    <t>LT-056932-19/QU</t>
  </si>
  <si>
    <t>LT-017066-19/BX</t>
  </si>
  <si>
    <t>LT-052575-19/NY</t>
  </si>
  <si>
    <t>LT-080488-18/NY</t>
  </si>
  <si>
    <t>LT-055355-19/QU</t>
  </si>
  <si>
    <t>LT-053896-19/QU</t>
  </si>
  <si>
    <t>LT-056242-19/QU</t>
  </si>
  <si>
    <t>LT-068597-18/QU</t>
  </si>
  <si>
    <t>LT-054193-19/QU</t>
  </si>
  <si>
    <t>LT-054742-19/QU</t>
  </si>
  <si>
    <t>LT-066856-18/KI</t>
  </si>
  <si>
    <t>LT-088674-18/KI</t>
  </si>
  <si>
    <t>LT-055409-19/QU</t>
  </si>
  <si>
    <t>LT-054748-18/QU</t>
  </si>
  <si>
    <t>LT-059273-19</t>
  </si>
  <si>
    <t>LT-251184-13/NY</t>
  </si>
  <si>
    <t>LT-57380-19/QU</t>
  </si>
  <si>
    <t>LT-053835-19/QU</t>
  </si>
  <si>
    <t>LT-050657-19/QU</t>
  </si>
  <si>
    <t>LT-053543-18/BX</t>
  </si>
  <si>
    <t>LT-012928-19/BX</t>
  </si>
  <si>
    <t>LT-097407-18/KI</t>
  </si>
  <si>
    <t>LT-057415-19/QU</t>
  </si>
  <si>
    <t>LT-057468-19/QU</t>
  </si>
  <si>
    <t>LT-056734-19/QU</t>
  </si>
  <si>
    <t>L&amp;T-76994-18/KI</t>
  </si>
  <si>
    <t>LT-000564-19/NY</t>
  </si>
  <si>
    <t>19N055073</t>
  </si>
  <si>
    <t>LT-015975-19/BX</t>
  </si>
  <si>
    <t>LT-052811-19/QU</t>
  </si>
  <si>
    <t>LT-056952-19/QU</t>
  </si>
  <si>
    <t>LT-057400-19/QU</t>
  </si>
  <si>
    <t>LT-002689-19/BX</t>
  </si>
  <si>
    <t>LT-054933-19/NY</t>
  </si>
  <si>
    <t>LT-008857-19/BX</t>
  </si>
  <si>
    <t>LT-056748-19/QU</t>
  </si>
  <si>
    <t>LT-015497-19/BX</t>
  </si>
  <si>
    <t>LT-010826-19/QU</t>
  </si>
  <si>
    <t>LT-012069-19/NY</t>
  </si>
  <si>
    <t>LT-076520-18/NY</t>
  </si>
  <si>
    <t>LT-012626-19/NY</t>
  </si>
  <si>
    <t>LT-079032-18/NY</t>
  </si>
  <si>
    <t>LT-251059-18/NY</t>
  </si>
  <si>
    <t>LT-057057-19/QU</t>
  </si>
  <si>
    <t>LT-051861-19/NY</t>
  </si>
  <si>
    <t>LT-012068-19/NY</t>
  </si>
  <si>
    <t>LT-019732-18/NY</t>
  </si>
  <si>
    <t>LT-011366-19/BX</t>
  </si>
  <si>
    <t>LT-035692-18/BX</t>
  </si>
  <si>
    <t>LT-0120362-19/NY</t>
  </si>
  <si>
    <t>LT-055895-19/NY</t>
  </si>
  <si>
    <t>LT-001742-18/NY</t>
  </si>
  <si>
    <t>LT-079088-18/NY</t>
  </si>
  <si>
    <t>LT-056363-19/NY</t>
  </si>
  <si>
    <t>LT-074418-18/QU</t>
  </si>
  <si>
    <t>LT-053877-19/QU</t>
  </si>
  <si>
    <t>LT-067199-18/QU</t>
  </si>
  <si>
    <t>LT-00237-19/QU</t>
  </si>
  <si>
    <t>LT-056797-19/NY</t>
  </si>
  <si>
    <t>LT-055884-19/QU</t>
  </si>
  <si>
    <t>LT-054590-19/QU</t>
  </si>
  <si>
    <t>LT-014224-19/BX</t>
  </si>
  <si>
    <t>LT-016752-19/BX</t>
  </si>
  <si>
    <t>LT-056967-19/QU</t>
  </si>
  <si>
    <t>LT-014415-19/BX</t>
  </si>
  <si>
    <t>LT-055418-19/QU</t>
  </si>
  <si>
    <t>LT-016246-19/BX</t>
  </si>
  <si>
    <t>LT-055415-19/QU</t>
  </si>
  <si>
    <t>LT-014156-19/BX</t>
  </si>
  <si>
    <t>LT-016288-19/BX</t>
  </si>
  <si>
    <t>LT-013914-19/BX</t>
  </si>
  <si>
    <t>LT-009508-19/BX</t>
  </si>
  <si>
    <t>LT-055648-19/QU</t>
  </si>
  <si>
    <t>LT-017873-19/BX</t>
  </si>
  <si>
    <t>LT-032770-18/BX</t>
  </si>
  <si>
    <t>LT-055413-19/QU</t>
  </si>
  <si>
    <t>LT-012194-19/BX</t>
  </si>
  <si>
    <t>LT-056724-19/QU</t>
  </si>
  <si>
    <t>LT-000842-19/BX</t>
  </si>
  <si>
    <t>LT-004207-19/BX</t>
  </si>
  <si>
    <t>LT-053427-18/RI</t>
  </si>
  <si>
    <t>LT-090506-18/KI</t>
  </si>
  <si>
    <t>LT-071564-18/NY</t>
  </si>
  <si>
    <t>LT-050741-19/RI</t>
  </si>
  <si>
    <t>LT-050473-19/RI</t>
  </si>
  <si>
    <t>LT-006111-19/BX</t>
  </si>
  <si>
    <t>LT-065610-18/QU</t>
  </si>
  <si>
    <t>LT-007655-19/BX</t>
  </si>
  <si>
    <t>LT-050853-19/RI</t>
  </si>
  <si>
    <t>LT-050690-19/RI</t>
  </si>
  <si>
    <t>LT-055511-19/KI</t>
  </si>
  <si>
    <t>L&amp;T-K53579-19/KI</t>
  </si>
  <si>
    <t>LT-054966-19/QU</t>
  </si>
  <si>
    <t>LT-056703-19/KI</t>
  </si>
  <si>
    <t>LT-088036-18/KI</t>
  </si>
  <si>
    <t>LT-015490-19/BX</t>
  </si>
  <si>
    <t>LT-056711-19/NY</t>
  </si>
  <si>
    <t>LT-017459-17/KI</t>
  </si>
  <si>
    <t>LT-050466-19/RI</t>
  </si>
  <si>
    <t>LT-077618-18/QU</t>
  </si>
  <si>
    <t>LT-016522-19/BX</t>
  </si>
  <si>
    <t>LT-057424-19/QU</t>
  </si>
  <si>
    <t>LT-057323-19/NY</t>
  </si>
  <si>
    <t>LT-061505-18/BX</t>
  </si>
  <si>
    <t>LT-056796-19/NY</t>
  </si>
  <si>
    <t>LT-057543-19/NY</t>
  </si>
  <si>
    <t>LT-050935-19/RI</t>
  </si>
  <si>
    <t>LT-012760-19/NY</t>
  </si>
  <si>
    <t>LT-052095-19/NY</t>
  </si>
  <si>
    <t>LT-054745-19/NY</t>
  </si>
  <si>
    <t>LT-056162-19/NY</t>
  </si>
  <si>
    <t>LT-016386-19/BX</t>
  </si>
  <si>
    <t>LT-017817-19/BX</t>
  </si>
  <si>
    <t>LT-021337-18/NY</t>
  </si>
  <si>
    <t>LT-057728-19/QU</t>
  </si>
  <si>
    <t>LT-053752-19/QU</t>
  </si>
  <si>
    <t>LT-057158-19/QU</t>
  </si>
  <si>
    <t>LT-57391-19/QU</t>
  </si>
  <si>
    <t>LT-067815-18/BX</t>
  </si>
  <si>
    <t>LT-008164-19/BX</t>
  </si>
  <si>
    <t>LT-055275-18/BX</t>
  </si>
  <si>
    <t>LT-016054-19/BX</t>
  </si>
  <si>
    <t>LT-058110-19/QU</t>
  </si>
  <si>
    <t>LT-055638-19/QU</t>
  </si>
  <si>
    <t>LT-003382-19/BX</t>
  </si>
  <si>
    <t>LT-080814-17/KI</t>
  </si>
  <si>
    <t>LT-063786-18/QU</t>
  </si>
  <si>
    <t>LT-057414-19/QU</t>
  </si>
  <si>
    <t>LT-054577-19/QU</t>
  </si>
  <si>
    <t>LT-016894-19/BX</t>
  </si>
  <si>
    <t>LT-015395-19/BX</t>
  </si>
  <si>
    <t>LT-018148-18/BX</t>
  </si>
  <si>
    <t>LT-016137-19/BX</t>
  </si>
  <si>
    <t>LT-802153-19/BX</t>
  </si>
  <si>
    <t>LT-050821-19/RI</t>
  </si>
  <si>
    <t>LT-057499-19/QU</t>
  </si>
  <si>
    <t>LT-056680-19/QU</t>
  </si>
  <si>
    <t>LT-014639-19/BX</t>
  </si>
  <si>
    <t>LT-056273-19/KI</t>
  </si>
  <si>
    <t>LT-802752-19/BX</t>
  </si>
  <si>
    <t>LT-006244-19/BX</t>
  </si>
  <si>
    <t>LT-056873-19/QU</t>
  </si>
  <si>
    <t>LT-053322-18/RI</t>
  </si>
  <si>
    <t>LT-05189519/KI</t>
  </si>
  <si>
    <t>LT-052321-19/QU</t>
  </si>
  <si>
    <t>LT-058173-19/KI</t>
  </si>
  <si>
    <t>LT-052224-18/BX</t>
  </si>
  <si>
    <t>LT-014261-19/BX</t>
  </si>
  <si>
    <t>LT-014887-19/BX</t>
  </si>
  <si>
    <t>LT-005885-19/BX</t>
  </si>
  <si>
    <t>LT-056765-18/BX</t>
  </si>
  <si>
    <t>LT-014649-19/BX</t>
  </si>
  <si>
    <t>LT-015257-19/BX</t>
  </si>
  <si>
    <t>LT-016537-19/BX</t>
  </si>
  <si>
    <t>LT-01264-19/NY</t>
  </si>
  <si>
    <t>LT-063666-19/KI</t>
  </si>
  <si>
    <t>LT-63664-19/KI</t>
  </si>
  <si>
    <t>LT-063663-19/KI</t>
  </si>
  <si>
    <t>LT-063665-19/KI</t>
  </si>
  <si>
    <t>LT-052379-19/KI</t>
  </si>
  <si>
    <t>LT-802922-19/BX</t>
  </si>
  <si>
    <t>LT-056653-19/KI</t>
  </si>
  <si>
    <t>LT-061924-19/KI</t>
  </si>
  <si>
    <t>LT-018980-18/NY</t>
  </si>
  <si>
    <t>LT-051004-19/RI</t>
  </si>
  <si>
    <t>LT-81411-18/NY</t>
  </si>
  <si>
    <t>LT-057004-19/NY</t>
  </si>
  <si>
    <t>LT-018834-19/BX</t>
  </si>
  <si>
    <t>LT-018268-19/BX</t>
  </si>
  <si>
    <t>LT-62657-19/KI</t>
  </si>
  <si>
    <t>LT-009939-19/BX</t>
  </si>
  <si>
    <t>LT-017812-19/BX</t>
  </si>
  <si>
    <t>LT-016981-19/BX</t>
  </si>
  <si>
    <t>LT-010262-19/RI</t>
  </si>
  <si>
    <t>LT-75756-18/QU</t>
  </si>
  <si>
    <t>LT-015387-19/BX</t>
  </si>
  <si>
    <t>LT-051043-19/RI</t>
  </si>
  <si>
    <t>LT-010233-19/RI</t>
  </si>
  <si>
    <t>LT-010242-19/RI</t>
  </si>
  <si>
    <t>LT-012049-19/BX</t>
  </si>
  <si>
    <t>LT-073749-18/NY</t>
  </si>
  <si>
    <t>051332/19</t>
  </si>
  <si>
    <t>LT-009575-19/BX</t>
  </si>
  <si>
    <t>LT-074710-18/QU</t>
  </si>
  <si>
    <t>LT-066000-18/BX</t>
  </si>
  <si>
    <t>LT-057248-19/NY</t>
  </si>
  <si>
    <t>LT-051005-19/RI</t>
  </si>
  <si>
    <t>LT-013115-19/NY</t>
  </si>
  <si>
    <t>LT-011388-19/NY</t>
  </si>
  <si>
    <t>LT-057567-19/NY</t>
  </si>
  <si>
    <t>LT-058893-19/NY</t>
  </si>
  <si>
    <t>LT-057553-19/QU</t>
  </si>
  <si>
    <t>LT-057870-19/NY</t>
  </si>
  <si>
    <t>LT-016968-19/BX</t>
  </si>
  <si>
    <t>LT-017045-19/BX</t>
  </si>
  <si>
    <t>LT-002609-19/BX</t>
  </si>
  <si>
    <t>LT-005900-19/NY</t>
  </si>
  <si>
    <t>LT-050127-19/NY</t>
  </si>
  <si>
    <t>LT-053257-19/QU</t>
  </si>
  <si>
    <t>LT-083486-16/NY</t>
  </si>
  <si>
    <t>LT-057688-19/NY</t>
  </si>
  <si>
    <t>LT-058480-19/NY</t>
  </si>
  <si>
    <t>LT-1681-18/NY</t>
  </si>
  <si>
    <t>LT-050301-19/QU</t>
  </si>
  <si>
    <t>LT-068731-18/KI</t>
  </si>
  <si>
    <t>LT-066745-18/KI</t>
  </si>
  <si>
    <t>LT-59886-18/NY</t>
  </si>
  <si>
    <t>LT-017032-19/BX</t>
  </si>
  <si>
    <t>LT-006200-19-BX</t>
  </si>
  <si>
    <t>LT-059638-18/BX</t>
  </si>
  <si>
    <t>LT-011332-19/BX</t>
  </si>
  <si>
    <t>LT-014558-19/KI</t>
  </si>
  <si>
    <t>LT-011045-19/QU</t>
  </si>
  <si>
    <t>LT-016155-19/BX</t>
  </si>
  <si>
    <t>LT-010823-19/QU</t>
  </si>
  <si>
    <t>LT-011042-19/QU</t>
  </si>
  <si>
    <t>LT-014831-16/KI</t>
  </si>
  <si>
    <t>LT-017159-19/BX</t>
  </si>
  <si>
    <t>LT-057674-19/QU</t>
  </si>
  <si>
    <t>904460-AN-2018</t>
  </si>
  <si>
    <t>LT-004227-19/BX</t>
  </si>
  <si>
    <t>LT-016095-19/BX</t>
  </si>
  <si>
    <t>LT-011037-19/QU</t>
  </si>
  <si>
    <t>LT-056169-19/QU</t>
  </si>
  <si>
    <t>LT-058197-19/QU</t>
  </si>
  <si>
    <t>LT-058581-19/QU</t>
  </si>
  <si>
    <t>LT-058418-19/QU</t>
  </si>
  <si>
    <t>LT-011122-19/QU</t>
  </si>
  <si>
    <t>LT-001142-19/KI</t>
  </si>
  <si>
    <t>LT-054575-19/KI</t>
  </si>
  <si>
    <t>LT-062409-19/KI</t>
  </si>
  <si>
    <t>LT-048770-18/BX</t>
  </si>
  <si>
    <t>LT-806603-17/BX</t>
  </si>
  <si>
    <t>LT-060980-18/BX</t>
  </si>
  <si>
    <t>LT-801297-19/BX</t>
  </si>
  <si>
    <t>LT-250590-19/NY</t>
  </si>
  <si>
    <t>LT-053280-18/BX</t>
  </si>
  <si>
    <t>LT-058185-19/QU</t>
  </si>
  <si>
    <t>LT-014692-19/BX</t>
  </si>
  <si>
    <t>LT-010597-19/NY</t>
  </si>
  <si>
    <t>LT-072374-17/NY</t>
  </si>
  <si>
    <t>LT-051001-19/RI</t>
  </si>
  <si>
    <t>LT-058043-19/NY</t>
  </si>
  <si>
    <t>LT-014238-19/BX</t>
  </si>
  <si>
    <t>LT-081345-18/NY</t>
  </si>
  <si>
    <t>LT-055891-19/NY</t>
  </si>
  <si>
    <t>LT-018479-16/NY</t>
  </si>
  <si>
    <t>LT-056311-19/NY</t>
  </si>
  <si>
    <t>LT-057696-19/NY</t>
  </si>
  <si>
    <t>LT-054694-19/NY</t>
  </si>
  <si>
    <t>LT-010281-19/RI</t>
  </si>
  <si>
    <t>LT-055202-19/NY</t>
  </si>
  <si>
    <t>LT-015335-18/NY</t>
  </si>
  <si>
    <t>LT-068520-18/NY</t>
  </si>
  <si>
    <t>LT-012119-19/NY</t>
  </si>
  <si>
    <t>LT-013710-19/BX</t>
  </si>
  <si>
    <t>LT-016940-19/BX</t>
  </si>
  <si>
    <t>LT-016561-19/BX</t>
  </si>
  <si>
    <t>LT-017537-19/BX</t>
  </si>
  <si>
    <t>LT-050925-19/RI</t>
  </si>
  <si>
    <t>LT-013064-19/NY</t>
  </si>
  <si>
    <t>LT-068037-17/NY</t>
  </si>
  <si>
    <t>LT-018766-19/BX</t>
  </si>
  <si>
    <t>LT-056748-19/NY</t>
  </si>
  <si>
    <t>EU-630005-OM</t>
  </si>
  <si>
    <t>LT-809802-16/BX</t>
  </si>
  <si>
    <t>LT-018139-19/BX</t>
  </si>
  <si>
    <t>LT-073202-17/BX</t>
  </si>
  <si>
    <t>LT-057247-19/QU</t>
  </si>
  <si>
    <t>LT-057474-19/QU</t>
  </si>
  <si>
    <t>LT-050184-19/NY</t>
  </si>
  <si>
    <t>LT-020170-18/BX</t>
  </si>
  <si>
    <t>LT-057759-19/QU</t>
  </si>
  <si>
    <t>LT-018356-19/BX</t>
  </si>
  <si>
    <t>LT-020068-19/BX</t>
  </si>
  <si>
    <t>LT-056461-19/QU</t>
  </si>
  <si>
    <t>LT-057497-19/QU</t>
  </si>
  <si>
    <t>LT-056264-19/QU</t>
  </si>
  <si>
    <t>LT-072224-18/QU</t>
  </si>
  <si>
    <t>LT-057269-19/QU</t>
  </si>
  <si>
    <t>LT-065828-19/KI</t>
  </si>
  <si>
    <t>LT-810232-18/BX</t>
  </si>
  <si>
    <t>LT-014615-19/BX</t>
  </si>
  <si>
    <t>LT-053980-19/KI</t>
  </si>
  <si>
    <t>LT-006199-19/BX</t>
  </si>
  <si>
    <t>LT-057467-19/NY</t>
  </si>
  <si>
    <t>LT-018976-19/BX</t>
  </si>
  <si>
    <t>LT-057650-19/QU</t>
  </si>
  <si>
    <t>LT-055162-18/BX</t>
  </si>
  <si>
    <t>LT-05758/19-NY</t>
  </si>
  <si>
    <t>LT-809467-18/BX</t>
  </si>
  <si>
    <t>LT-006044-19/QU</t>
  </si>
  <si>
    <t>LT-69760-18/KI</t>
  </si>
  <si>
    <t>LT-050763-19/RI</t>
  </si>
  <si>
    <t>LT-045753-18/BX</t>
  </si>
  <si>
    <t>LT-058012-19/NY</t>
  </si>
  <si>
    <t>LT-051035-19/RI</t>
  </si>
  <si>
    <t>LT-006732-19/BX</t>
  </si>
  <si>
    <t>LT-017328-19/BX</t>
  </si>
  <si>
    <t>LT-019223-19/BX</t>
  </si>
  <si>
    <t>LT-019224-19/BX</t>
  </si>
  <si>
    <t>LT-019216-19/BX</t>
  </si>
  <si>
    <t>LT-017275-19/BX</t>
  </si>
  <si>
    <t>LT-018724-19/BX</t>
  </si>
  <si>
    <t>LT-056077-19/NY</t>
  </si>
  <si>
    <t>LT-051048-19/RI</t>
  </si>
  <si>
    <t>LT-019026-19/BX</t>
  </si>
  <si>
    <t>LT-050912-19/RI</t>
  </si>
  <si>
    <t>LT-019381-18/BX</t>
  </si>
  <si>
    <t>HP-210189-S</t>
  </si>
  <si>
    <t>LT-053464-18/RI</t>
  </si>
  <si>
    <t>LT-058352-19/NY</t>
  </si>
  <si>
    <t>LT-058771-19/NY</t>
  </si>
  <si>
    <t>LT-078575-18/NY</t>
  </si>
  <si>
    <t>LT-058882-19/NY</t>
  </si>
  <si>
    <t>LT-051041-19/NY</t>
  </si>
  <si>
    <t>LT-059094-19/QU</t>
  </si>
  <si>
    <t>LT-057686-19/QU</t>
  </si>
  <si>
    <t>LT-057274-19/NY</t>
  </si>
  <si>
    <t>LT-059047-19/NY</t>
  </si>
  <si>
    <t>LT-057297-19/NY</t>
  </si>
  <si>
    <t>LT-051860-18/BX</t>
  </si>
  <si>
    <t>NO CASE</t>
  </si>
  <si>
    <t>LT-019215-19/BX</t>
  </si>
  <si>
    <t>LT-052364-18/QU</t>
  </si>
  <si>
    <t>LT-050532-19/KI</t>
  </si>
  <si>
    <t>LT-029708-18/BX</t>
  </si>
  <si>
    <t>LT-017550-19/BX</t>
  </si>
  <si>
    <t>LT-050950-19/RI</t>
  </si>
  <si>
    <t>CV-000826-19/RI</t>
  </si>
  <si>
    <t>LT-058857-19/QU</t>
  </si>
  <si>
    <t>LT-017485/19-BX</t>
  </si>
  <si>
    <t>LT-058507-19/QU</t>
  </si>
  <si>
    <t>LT-05850219/QU</t>
  </si>
  <si>
    <t>LT-058258-19/QU</t>
  </si>
  <si>
    <t>LT-017278-19/BX</t>
  </si>
  <si>
    <t>LT-018110-19/BX</t>
  </si>
  <si>
    <t>LT-017265-19/BX</t>
  </si>
  <si>
    <t>LT-058444-19/QU</t>
  </si>
  <si>
    <t>LT-011230-19/QU</t>
  </si>
  <si>
    <t>LT-018186-19/BX</t>
  </si>
  <si>
    <t>LT-081608-18/KI</t>
  </si>
  <si>
    <t>LT-053103-19/KI</t>
  </si>
  <si>
    <t>LT-063042-19/KI</t>
  </si>
  <si>
    <t>2704/18</t>
  </si>
  <si>
    <t>LT-058003-19/QU</t>
  </si>
  <si>
    <t>LT-010451-19/BX</t>
  </si>
  <si>
    <t>LT-057076-19/QU</t>
  </si>
  <si>
    <t>LT-011704-19/BX</t>
  </si>
  <si>
    <t>LT-009297-19/BX</t>
  </si>
  <si>
    <t>LT-073750-18/QU</t>
  </si>
  <si>
    <t>LT-077337-18/NY</t>
  </si>
  <si>
    <t>LT-000298-19/QU</t>
  </si>
  <si>
    <t>LT-058237-19/NY</t>
  </si>
  <si>
    <t>LT-018024-19/BX</t>
  </si>
  <si>
    <t>LT-051415-19/RI</t>
  </si>
  <si>
    <t>LT-018168-19/BX</t>
  </si>
  <si>
    <t>LT-064773-18/BX</t>
  </si>
  <si>
    <t>LT-007183-19/BX</t>
  </si>
  <si>
    <t>LT-050617-18/BX</t>
  </si>
  <si>
    <t>LT-060707-19/KI</t>
  </si>
  <si>
    <t>LT-052781-18/RI</t>
  </si>
  <si>
    <t>LT-052199-18/BX</t>
  </si>
  <si>
    <t>LT-063297-19/KI</t>
  </si>
  <si>
    <t>LT-058500-19/NY</t>
  </si>
  <si>
    <t>LT-018490-19/BX</t>
  </si>
  <si>
    <t>LT-050040-19/RI</t>
  </si>
  <si>
    <t>LT-050822-19/RI</t>
  </si>
  <si>
    <t>LT-018137-19/BX</t>
  </si>
  <si>
    <t>LT-55642-18/QU</t>
  </si>
  <si>
    <t>LT-021912-18/BX</t>
  </si>
  <si>
    <t>LT-019163-19/BX</t>
  </si>
  <si>
    <t>LT-057516-19/KI</t>
  </si>
  <si>
    <t>LT-050206-19/QU</t>
  </si>
  <si>
    <t>LT-096052-18/KI</t>
  </si>
  <si>
    <t>LT-010988-19/BX</t>
  </si>
  <si>
    <t>LT-011039-19/BX</t>
  </si>
  <si>
    <t>LT-015532-19/BX</t>
  </si>
  <si>
    <t>LT-009929-19/BX</t>
  </si>
  <si>
    <t>LT-023504-18/BX</t>
  </si>
  <si>
    <t>LT-031015-18/BX</t>
  </si>
  <si>
    <t>LT-066341-18/BX</t>
  </si>
  <si>
    <t>LT-058013-19/NY</t>
  </si>
  <si>
    <t>LT-081325-18/NY</t>
  </si>
  <si>
    <t>LT-057954-19/NY</t>
  </si>
  <si>
    <t>LT-059526-19/NY</t>
  </si>
  <si>
    <t>LT-802124-19/BX</t>
  </si>
  <si>
    <t>LT-020958-19/BX</t>
  </si>
  <si>
    <t>LT-058430-19/QU</t>
  </si>
  <si>
    <t>LT-015535-19/BX</t>
  </si>
  <si>
    <t>LT-068348-18/BX</t>
  </si>
  <si>
    <t>LT-019521-19/BX</t>
  </si>
  <si>
    <t>LT-803409-19/BX</t>
  </si>
  <si>
    <t>LT-071845-17/ki</t>
  </si>
  <si>
    <t>LT-085793-18/KI</t>
  </si>
  <si>
    <t>LT-055012-19/KI</t>
  </si>
  <si>
    <t>LT-052950-19/QU</t>
  </si>
  <si>
    <t>LT-055588-19/KI</t>
  </si>
  <si>
    <t>LT-082203-18/KI</t>
  </si>
  <si>
    <t>AD2d-2019-2748</t>
  </si>
  <si>
    <t>LT-057142-19/KI</t>
  </si>
  <si>
    <t>LT-802435-19/BX</t>
  </si>
  <si>
    <t>LT-053991-19/KI</t>
  </si>
  <si>
    <t>LT-096615-18/KI</t>
  </si>
  <si>
    <t>LT-000889-19/KI</t>
  </si>
  <si>
    <t>LT-056639-19/KI</t>
  </si>
  <si>
    <t>LT-053247-19/KI</t>
  </si>
  <si>
    <t>LT-012777-19/KI</t>
  </si>
  <si>
    <t>LT-059374-19/KI</t>
  </si>
  <si>
    <t>LT-084129-18/KI</t>
  </si>
  <si>
    <t>LT-15152-19/BX</t>
  </si>
  <si>
    <t>LT-059944-19/KI</t>
  </si>
  <si>
    <t>LT-095018-18/KI</t>
  </si>
  <si>
    <t>LT-016000-19/BX</t>
  </si>
  <si>
    <t>LT-059282-19/KI</t>
  </si>
  <si>
    <t>LT-056631-19/KI</t>
  </si>
  <si>
    <t>LT-013514-19/BX</t>
  </si>
  <si>
    <t>LT-060146-19/KI</t>
  </si>
  <si>
    <t>LT-054315-19/KI</t>
  </si>
  <si>
    <t>LT-053977-19/KI</t>
  </si>
  <si>
    <t>LT-086103-18/KI</t>
  </si>
  <si>
    <t>LT-060029-19/KI</t>
  </si>
  <si>
    <t>LT-061554-19/KI</t>
  </si>
  <si>
    <t>LT-060574-19/KI</t>
  </si>
  <si>
    <t>LT-054504-19/KI</t>
  </si>
  <si>
    <t>LT-083031-18/KI</t>
  </si>
  <si>
    <t>LT-011153-19/KI</t>
  </si>
  <si>
    <t>LT-059338-19/KI</t>
  </si>
  <si>
    <t>LT-060028-19/KI</t>
  </si>
  <si>
    <t>LT-057855-19/KI</t>
  </si>
  <si>
    <t>LT-055467-19/KI</t>
  </si>
  <si>
    <t>LT-060781-19/KI</t>
  </si>
  <si>
    <t>LT-097389-18/KI</t>
  </si>
  <si>
    <t>LT-059258-19/KI</t>
  </si>
  <si>
    <t>LT-057668-19/KI</t>
  </si>
  <si>
    <t>LT-060417-18/KI</t>
  </si>
  <si>
    <t>KC-2018-2188</t>
  </si>
  <si>
    <t>LT-013038-19/KI</t>
  </si>
  <si>
    <t>LT-009344-18/KI</t>
  </si>
  <si>
    <t>LT-053332-18/BX</t>
  </si>
  <si>
    <t>LT-060048-19/KI</t>
  </si>
  <si>
    <t>LT-059066-19/KI</t>
  </si>
  <si>
    <t>LT-059183-19/KI</t>
  </si>
  <si>
    <t>LT-057127-19/KI</t>
  </si>
  <si>
    <t>LT-067210-18/KI</t>
  </si>
  <si>
    <t>LT-062243-19/KI</t>
  </si>
  <si>
    <t>LT-060328-19/KI</t>
  </si>
  <si>
    <t>LT-080569-18/KI</t>
  </si>
  <si>
    <t>LT-052945-19/KI</t>
  </si>
  <si>
    <t>LT-061612-19/KI</t>
  </si>
  <si>
    <t>LT-060825-19/KI</t>
  </si>
  <si>
    <t>LT-056045-19/KI</t>
  </si>
  <si>
    <t>LT-060523-19/KI</t>
  </si>
  <si>
    <t>LT-060922-19/KI</t>
  </si>
  <si>
    <t>LT-090062-18/KI</t>
  </si>
  <si>
    <t>LT-061322-19/KI</t>
  </si>
  <si>
    <t>LT-051118-19/NY</t>
  </si>
  <si>
    <t>LT-062958-19/KI</t>
  </si>
  <si>
    <t>LT-013117-19/KI</t>
  </si>
  <si>
    <t>LT-058728-19/KI</t>
  </si>
  <si>
    <t>LT-062766-19/KI</t>
  </si>
  <si>
    <t>LT-061355-19/KI</t>
  </si>
  <si>
    <t>LT-061166-19/KI</t>
  </si>
  <si>
    <t>LT-060735-19/KI</t>
  </si>
  <si>
    <t>LT-055972-19/KI</t>
  </si>
  <si>
    <t>LT-062664-19/KI</t>
  </si>
  <si>
    <t>LT-023678-18/KI</t>
  </si>
  <si>
    <t>LT-061805-19/KI</t>
  </si>
  <si>
    <t>HP 772/19</t>
  </si>
  <si>
    <t>LT-054783-19/KI</t>
  </si>
  <si>
    <t>LT-057667-19/KI</t>
  </si>
  <si>
    <t>LT-061817-19/KI</t>
  </si>
  <si>
    <t>LT-060461-19/KI</t>
  </si>
  <si>
    <t>LT-062205-19/KI</t>
  </si>
  <si>
    <t>LT-060533-19/KI</t>
  </si>
  <si>
    <t>LT-096283-18/KI</t>
  </si>
  <si>
    <t>LT-067832-18/KI</t>
  </si>
  <si>
    <t>LT-094103-18/KI</t>
  </si>
  <si>
    <t>LT-062773-19/KI</t>
  </si>
  <si>
    <t>LT-062218-19/KI</t>
  </si>
  <si>
    <t>LT-061137-19/KI</t>
  </si>
  <si>
    <t>LT-056336-19/KI</t>
  </si>
  <si>
    <t>LT-019086-19/BX</t>
  </si>
  <si>
    <t>LT-019164-19/BX</t>
  </si>
  <si>
    <t>LT-052837-19/KI</t>
  </si>
  <si>
    <t>LT-060448-19/KI</t>
  </si>
  <si>
    <t>LT-063651-19/KI</t>
  </si>
  <si>
    <t>LT-087328-18/KI</t>
  </si>
  <si>
    <t>LT-069604-18/KI</t>
  </si>
  <si>
    <t>LT-062693-19/KI</t>
  </si>
  <si>
    <t>LT-062667-19/KI</t>
  </si>
  <si>
    <t>LT-059119-19/KI</t>
  </si>
  <si>
    <t>LT-062598-19/KI</t>
  </si>
  <si>
    <t>LT-063619-19/KI</t>
  </si>
  <si>
    <t>LT-063575-19/KI</t>
  </si>
  <si>
    <t>LT-063609-19/KI</t>
  </si>
  <si>
    <t>LT-057944-19/QU</t>
  </si>
  <si>
    <t>LT-059143-19/NY</t>
  </si>
  <si>
    <t>LT-062261-19/KI</t>
  </si>
  <si>
    <t>LT-058895-19/QU</t>
  </si>
  <si>
    <t>LT-063478-19/KI</t>
  </si>
  <si>
    <t>LT-059157-19/NY</t>
  </si>
  <si>
    <t>LT-019130-19/BX</t>
  </si>
  <si>
    <t>LT-059433-19/KI</t>
  </si>
  <si>
    <t>LT-050075-19/KI</t>
  </si>
  <si>
    <t>LT-062501-19/KI</t>
  </si>
  <si>
    <t>LT-063071-19/KI</t>
  </si>
  <si>
    <t>LT-016988-19/BX</t>
  </si>
  <si>
    <t>LT-059000-19/QU</t>
  </si>
  <si>
    <t>LT-061878-19/KI</t>
  </si>
  <si>
    <t>LT-021676-19/BX</t>
  </si>
  <si>
    <t>LT-056745-19/KI</t>
  </si>
  <si>
    <t>LT-021031-19/BX</t>
  </si>
  <si>
    <t>LT-019487-19/BX</t>
  </si>
  <si>
    <t>LT-018707-19/BX</t>
  </si>
  <si>
    <t>LT-063574-19/KI</t>
  </si>
  <si>
    <t>LT-020473-19/BX</t>
  </si>
  <si>
    <t>LT-002141-19/BX</t>
  </si>
  <si>
    <t>LT-058894-19/NY</t>
  </si>
  <si>
    <t>LT-013738-19/NY</t>
  </si>
  <si>
    <t>LT-063698-19/KI</t>
  </si>
  <si>
    <t>LT-063763-19/KI</t>
  </si>
  <si>
    <t>LT-063391-19/KI</t>
  </si>
  <si>
    <t>LT-062456-19/KI</t>
  </si>
  <si>
    <t>LT-062969-19/KI</t>
  </si>
  <si>
    <t>LT-061083-19/KI</t>
  </si>
  <si>
    <t>LT-014575-19/KI</t>
  </si>
  <si>
    <t>LT-069974-18/KI</t>
  </si>
  <si>
    <t>LT-063990-19/KI</t>
  </si>
  <si>
    <t>LT-063790-19/KI</t>
  </si>
  <si>
    <t>LT-094215-18/KI</t>
  </si>
  <si>
    <t>LT-079349-18/KI</t>
  </si>
  <si>
    <t>LT-059359-19/KI</t>
  </si>
  <si>
    <t>LT-083282-18/KI</t>
  </si>
  <si>
    <t>LT-057138-19/KI</t>
  </si>
  <si>
    <t>LT-64533-19/KI</t>
  </si>
  <si>
    <t>LT-062238-19/BX</t>
  </si>
  <si>
    <t>LT-053908-19/AU</t>
  </si>
  <si>
    <t>LT-018641-19/BX</t>
  </si>
  <si>
    <t>LT-059205-19/QU</t>
  </si>
  <si>
    <t>LT-078974-18/QU</t>
  </si>
  <si>
    <t>LT-017824-19/BX</t>
  </si>
  <si>
    <t>LT-014119-19/BX</t>
  </si>
  <si>
    <t>LT-014328-18/QU</t>
  </si>
  <si>
    <t>LT-022098-19/BX</t>
  </si>
  <si>
    <t>LT-017723-19/BX</t>
  </si>
  <si>
    <t>LT-056511-19/QU</t>
  </si>
  <si>
    <t>LT-056245-19/QU</t>
  </si>
  <si>
    <t>LT-055254-19/QU</t>
  </si>
  <si>
    <t>L&amp;T-097490-18/KI</t>
  </si>
  <si>
    <t>L&amp;T-1341-19/KI</t>
  </si>
  <si>
    <t>LT-054296-19/KI</t>
  </si>
  <si>
    <t>LT-006769-19/BX</t>
  </si>
  <si>
    <t>LT-019404-19/BX</t>
  </si>
  <si>
    <t>LT-056462-19/QU</t>
  </si>
  <si>
    <t>LT-063151-18/BX</t>
  </si>
  <si>
    <t>LT-054606-18/BX</t>
  </si>
  <si>
    <t>LT-059347-19/QU</t>
  </si>
  <si>
    <t>LT-056405-19/QU</t>
  </si>
  <si>
    <t>LT-057477-19/QU</t>
  </si>
  <si>
    <t>LT-059619-19/QU</t>
  </si>
  <si>
    <t>LT-014986-19/BX</t>
  </si>
  <si>
    <t>LT-057898-19/KI</t>
  </si>
  <si>
    <t>LT-066062-18/BX</t>
  </si>
  <si>
    <t>LT-020380-19/BX</t>
  </si>
  <si>
    <t>LT-057339-19/NY</t>
  </si>
  <si>
    <t>LT-080130-18/NY</t>
  </si>
  <si>
    <t>LT-080048-18/NY</t>
  </si>
  <si>
    <t>LT-058553-19/NY</t>
  </si>
  <si>
    <t>LT-057884-19/NY</t>
  </si>
  <si>
    <t>LT-012152-18/NY</t>
  </si>
  <si>
    <t>LT-059107-19/NY</t>
  </si>
  <si>
    <t>LT-076259-18/NY</t>
  </si>
  <si>
    <t>LT-055485-19/NY</t>
  </si>
  <si>
    <t>LT-250678-18/NY</t>
  </si>
  <si>
    <t>LT-250448-19/NY</t>
  </si>
  <si>
    <t>LT-058309-19/NY</t>
  </si>
  <si>
    <t>LT-052986-19/NY</t>
  </si>
  <si>
    <t>LT-012941-19/NY</t>
  </si>
  <si>
    <t>LT-005558-19/BX</t>
  </si>
  <si>
    <t>LT-018208-19/BX</t>
  </si>
  <si>
    <t>LT-013320-19/BX</t>
  </si>
  <si>
    <t>LT-020689-19/BX</t>
  </si>
  <si>
    <t>LT-012195-19/BX</t>
  </si>
  <si>
    <t>LT-013403-19/BX</t>
  </si>
  <si>
    <t>LT-058364-19/KI</t>
  </si>
  <si>
    <t>LT-004515-19/BX</t>
  </si>
  <si>
    <t>LT-002718-19/BX</t>
  </si>
  <si>
    <t>LT-083037-18/KI</t>
  </si>
  <si>
    <t>LT-009260-18/BX</t>
  </si>
  <si>
    <t>LT-015300-19/BX</t>
  </si>
  <si>
    <t>LT-058567-19/KI</t>
  </si>
  <si>
    <t>LT-000373-19/QU</t>
  </si>
  <si>
    <t>LT-007738-19/BX</t>
  </si>
  <si>
    <t>LT-010269-19/RI</t>
  </si>
  <si>
    <t>LT-064161-19/KI</t>
  </si>
  <si>
    <t>LT-04552-19/KI</t>
  </si>
  <si>
    <t>LT-061131-19/QU</t>
  </si>
  <si>
    <t>LT-050704-19/QU</t>
  </si>
  <si>
    <t>LT-053242-19/QU</t>
  </si>
  <si>
    <t>LT-054894-19/QU</t>
  </si>
  <si>
    <t>LT-051094-19/RI</t>
  </si>
  <si>
    <t>LT-1860499-19/Qu</t>
  </si>
  <si>
    <t>LT-059641-19/QU</t>
  </si>
  <si>
    <t>LT-800631-19/BX</t>
  </si>
  <si>
    <t>LT-010328-19/RI</t>
  </si>
  <si>
    <t>LT-055166-19/KI</t>
  </si>
  <si>
    <t>LT-020520-19/BX</t>
  </si>
  <si>
    <t>LT-051114-19/RI</t>
  </si>
  <si>
    <t>LT-051115-19/RI</t>
  </si>
  <si>
    <t>LT-062628-19/KI</t>
  </si>
  <si>
    <t>LT-051124-19/RI</t>
  </si>
  <si>
    <t>LT-020255-19/BX</t>
  </si>
  <si>
    <t>LT-050719-19/RI</t>
  </si>
  <si>
    <t>LT-051084-19/RI</t>
  </si>
  <si>
    <t>LT-051111-19/RI</t>
  </si>
  <si>
    <t>LT-052513-19/QU</t>
  </si>
  <si>
    <t>LT-000669-19/BX</t>
  </si>
  <si>
    <t>LT-054363-19/KI</t>
  </si>
  <si>
    <t>LT- 059724-19/KI</t>
  </si>
  <si>
    <t>LT-059028-19/QU</t>
  </si>
  <si>
    <t>LT-050348-18/BX</t>
  </si>
  <si>
    <t>LT-059864-19/QU</t>
  </si>
  <si>
    <t>LT-059114-19/QU</t>
  </si>
  <si>
    <t>LT-056837-19/QU</t>
  </si>
  <si>
    <t>LT-013855-19/NY</t>
  </si>
  <si>
    <t>LT-11426-19/QU</t>
  </si>
  <si>
    <t>LT-056875-19/QU</t>
  </si>
  <si>
    <t>LT-000347-19/QU</t>
  </si>
  <si>
    <t>LT-059618-19/QU</t>
  </si>
  <si>
    <t>LT-012547-19/BX</t>
  </si>
  <si>
    <t>LT-021271-19/BX</t>
  </si>
  <si>
    <t>LT-011276-19/QU</t>
  </si>
  <si>
    <t>LT-056994-19/QU</t>
  </si>
  <si>
    <t>LT-059539-19/NY</t>
  </si>
  <si>
    <t>LT-013737-19/NY</t>
  </si>
  <si>
    <t>LT-059328-19/NY</t>
  </si>
  <si>
    <t>LT-005394-19/BX</t>
  </si>
  <si>
    <t>LT-013639-19/NY</t>
  </si>
  <si>
    <t>LT-059452-19/NY</t>
  </si>
  <si>
    <t>LT-081533-18/NY</t>
  </si>
  <si>
    <t>LT-058527-19/QU</t>
  </si>
  <si>
    <t>LT-051513-19/RI</t>
  </si>
  <si>
    <t>LT-058416-19/NY</t>
  </si>
  <si>
    <t>LT-0112-18/NY</t>
  </si>
  <si>
    <t>LT-059512-19/NY</t>
  </si>
  <si>
    <t>LT-057617-19/NY</t>
  </si>
  <si>
    <t>LT-020830-19/BX</t>
  </si>
  <si>
    <t>LT-020788-19/BX</t>
  </si>
  <si>
    <t>058807/19</t>
  </si>
  <si>
    <t>59281/19</t>
  </si>
  <si>
    <t>LT-057678-19/QU</t>
  </si>
  <si>
    <t>LT-057921-19/QU</t>
  </si>
  <si>
    <t>LT-250722-19/NY</t>
  </si>
  <si>
    <t>LT-058318-19/KI</t>
  </si>
  <si>
    <t>LT-021677-19/BX</t>
  </si>
  <si>
    <t>LT-063594-19/KI</t>
  </si>
  <si>
    <t>LT-020198-19/BX</t>
  </si>
  <si>
    <t>LT-051337-19/KI</t>
  </si>
  <si>
    <t>LT-055609-19/QU</t>
  </si>
  <si>
    <t>LT-056202-19/QU</t>
  </si>
  <si>
    <t>LT-050334-19/QU</t>
  </si>
  <si>
    <t>LT-013606-19/BX</t>
  </si>
  <si>
    <t>LT-022329-19/BX</t>
  </si>
  <si>
    <t>LT-051427</t>
  </si>
  <si>
    <t>LT-060153</t>
  </si>
  <si>
    <t>LT-077295-18/QU</t>
  </si>
  <si>
    <t>LT-059370-19/QU</t>
  </si>
  <si>
    <t>LT-051361-19/QU</t>
  </si>
  <si>
    <t>LT-068432-18/BX</t>
  </si>
  <si>
    <t>LT-001126-19/BX</t>
  </si>
  <si>
    <t>LT-059779-18/BX</t>
  </si>
  <si>
    <t>LT-058405-19/QU</t>
  </si>
  <si>
    <t>LT-021000-19/BX</t>
  </si>
  <si>
    <t>LT-021482-19/BX</t>
  </si>
  <si>
    <t>LT-058642-19/QU</t>
  </si>
  <si>
    <t>LT-022015-19/BX</t>
  </si>
  <si>
    <t>LT-021639-19/BX</t>
  </si>
  <si>
    <t>LT-051108-19/RI</t>
  </si>
  <si>
    <t>LT-021222-19/BX</t>
  </si>
  <si>
    <t>LT-051125-19/RI</t>
  </si>
  <si>
    <t>LT-020401-19/BX</t>
  </si>
  <si>
    <t>LT-058632-19/QU</t>
  </si>
  <si>
    <t>LT-052735-18/BX</t>
  </si>
  <si>
    <t>LT-013929-19/BX</t>
  </si>
  <si>
    <t>LT-051186-19/RI</t>
  </si>
  <si>
    <t>LT-051164-19/RI</t>
  </si>
  <si>
    <t>LT-058576-19/QU</t>
  </si>
  <si>
    <t>LT-016731-19/BX</t>
  </si>
  <si>
    <t>LT-017910-19/BX</t>
  </si>
  <si>
    <t>LT-019057-19/BX</t>
  </si>
  <si>
    <t>LT-058963-19/QU</t>
  </si>
  <si>
    <t>LT-010726-19/BX</t>
  </si>
  <si>
    <t>LT-021846-19/BX</t>
  </si>
  <si>
    <t>LT-020463-19/BX</t>
  </si>
  <si>
    <t>LT-009300-19/BX</t>
  </si>
  <si>
    <t>LT-021581-19/BX</t>
  </si>
  <si>
    <t>LT-058448-19/NY</t>
  </si>
  <si>
    <t>LT-97275-18/KI</t>
  </si>
  <si>
    <t>LT-021072-19/BX</t>
  </si>
  <si>
    <t>LT-057407-19/QU</t>
  </si>
  <si>
    <t>LT-016834-19/BX</t>
  </si>
  <si>
    <t>LT-803662-19/BX</t>
  </si>
  <si>
    <t>LT-050213-19/QU</t>
  </si>
  <si>
    <t>LT-59614-19/NY</t>
  </si>
  <si>
    <t>LtT-062670-19/KI</t>
  </si>
  <si>
    <t>LT-006884-19/BX</t>
  </si>
  <si>
    <t>LT-063289-19/KI</t>
  </si>
  <si>
    <t>LT-052044-19/QU</t>
  </si>
  <si>
    <t>LT-059938-19/QU</t>
  </si>
  <si>
    <t>LT-058237-19/QU</t>
  </si>
  <si>
    <t>LT-059696-19/QU</t>
  </si>
  <si>
    <t>060766-19/NY</t>
  </si>
  <si>
    <t>LT-021702-19/BX</t>
  </si>
  <si>
    <t>LT-059231-19/NY</t>
  </si>
  <si>
    <t>905693-TD-2018</t>
  </si>
  <si>
    <t>LT-056269-19/KI</t>
  </si>
  <si>
    <t>LT-059648-19/QU</t>
  </si>
  <si>
    <t>LT-051039-19/RI</t>
  </si>
  <si>
    <t>LT-060144-19/QU</t>
  </si>
  <si>
    <t>LT-019517-19/BX</t>
  </si>
  <si>
    <t>LT-803667-19/BX</t>
  </si>
  <si>
    <t>LT-064550-19/KI</t>
  </si>
  <si>
    <t>LT-063303-19/KI</t>
  </si>
  <si>
    <t>LT-068578-18/NY</t>
  </si>
  <si>
    <t>LT-060047-19/NY</t>
  </si>
  <si>
    <t>LT-056989-19/KI</t>
  </si>
  <si>
    <t>LT-064518-19/KI</t>
  </si>
  <si>
    <t>LT-057607-19/QU</t>
  </si>
  <si>
    <t>LT-016385-19/BX</t>
  </si>
  <si>
    <t>LT-64595-19/KI</t>
  </si>
  <si>
    <t>LT-050131-19/NY</t>
  </si>
  <si>
    <t>LT-064732-18/QU</t>
  </si>
  <si>
    <t>LT-060130-19/QU</t>
  </si>
  <si>
    <t>LT-021479-19/BX</t>
  </si>
  <si>
    <t>LT-069038-18/BX</t>
  </si>
  <si>
    <t>LT-074282-18/QU</t>
  </si>
  <si>
    <t>LT-057034-19/QU</t>
  </si>
  <si>
    <t>LT 58112-19/QU</t>
  </si>
  <si>
    <t>LT-074285-18/QU</t>
  </si>
  <si>
    <t>LT-059649-19/QU</t>
  </si>
  <si>
    <t>LT-803670-19/BX</t>
  </si>
  <si>
    <t>LT-060260-19/QU</t>
  </si>
  <si>
    <t>LT-060227-19/QU</t>
  </si>
  <si>
    <t>LT-565552-19/QU</t>
  </si>
  <si>
    <t>LT-020439-19/BX</t>
  </si>
  <si>
    <t>LT-004863-19/BX</t>
  </si>
  <si>
    <t>LT-022633-19/BX</t>
  </si>
  <si>
    <t>LT-06364-18/QU</t>
  </si>
  <si>
    <t>LT-087238-19/KI</t>
  </si>
  <si>
    <t>LT-087288-19/KI</t>
  </si>
  <si>
    <t>LT-067279-19/KI</t>
  </si>
  <si>
    <t>LT-014767-19/KI</t>
  </si>
  <si>
    <t>LT-061938-19/KI</t>
  </si>
  <si>
    <t>LT-063777-19/KI</t>
  </si>
  <si>
    <t>LT-064196-19/KI</t>
  </si>
  <si>
    <t>none provided</t>
  </si>
  <si>
    <t>LT-059228-19/KI</t>
  </si>
  <si>
    <t>LT-051102-19/RI</t>
  </si>
  <si>
    <t>LT-023785-19/BX</t>
  </si>
  <si>
    <t>LT-022277-19/BX</t>
  </si>
  <si>
    <t>LT-052524-18/BX</t>
  </si>
  <si>
    <t>LT-053029-18/RI</t>
  </si>
  <si>
    <t>LT-060912-19/KI</t>
  </si>
  <si>
    <t>LT-007345-19/BX</t>
  </si>
  <si>
    <t>LT-056070-19/QU</t>
  </si>
  <si>
    <t>LT-056819-19/QU</t>
  </si>
  <si>
    <t>LT-00317-19/QU</t>
  </si>
  <si>
    <t>LT-014779-19/KI</t>
  </si>
  <si>
    <t>LT-021907-19/BX</t>
  </si>
  <si>
    <t>LT-001412-19/RI</t>
  </si>
  <si>
    <t>LT-051262-19/RI</t>
  </si>
  <si>
    <t>LT-051300-19/RI</t>
  </si>
  <si>
    <t>LT-051120-19/RI</t>
  </si>
  <si>
    <t>LT-059988-19/QU</t>
  </si>
  <si>
    <t>LT-055434-19/QU</t>
  </si>
  <si>
    <t>LT-023825-19/BX</t>
  </si>
  <si>
    <t>LT-010377-19/RI</t>
  </si>
  <si>
    <t>LT-012474-19/BX</t>
  </si>
  <si>
    <t>LT-010336-19/RI</t>
  </si>
  <si>
    <t>LT-020893-18/NY</t>
  </si>
  <si>
    <t>LT-013832-19/NY</t>
  </si>
  <si>
    <t>LT-053312-18/BX</t>
  </si>
  <si>
    <t>LT-019720-18/NY</t>
  </si>
  <si>
    <t>LT-016284-18/NY</t>
  </si>
  <si>
    <t>LT-018339-19/BX</t>
  </si>
  <si>
    <t>LT-010324-19/RI</t>
  </si>
  <si>
    <t>LT-051230-19/RI</t>
  </si>
  <si>
    <t>LT-050934-19/RI</t>
  </si>
  <si>
    <t>LT-051326-19/RI</t>
  </si>
  <si>
    <t>LT-010384-19/RI</t>
  </si>
  <si>
    <t>LT-014625-19/NY</t>
  </si>
  <si>
    <t>LT-010741-18/NY</t>
  </si>
  <si>
    <t>LT-055460-19/QU</t>
  </si>
  <si>
    <t>LT-061559-19/KI</t>
  </si>
  <si>
    <t>LT-062457-19/KI</t>
  </si>
  <si>
    <t>LT-059578-19/QU</t>
  </si>
  <si>
    <t>LT-021195-19/BX</t>
  </si>
  <si>
    <t>LT-011328-19/BX</t>
  </si>
  <si>
    <t>LT-055888-19/NY</t>
  </si>
  <si>
    <t>LT-060472-19/NY</t>
  </si>
  <si>
    <t>LT-012748-19/NY</t>
  </si>
  <si>
    <t>HP-1619-19/KI</t>
  </si>
  <si>
    <t>LT-060471-19/NY</t>
  </si>
  <si>
    <t>LT-060044-19/QU</t>
  </si>
  <si>
    <t>LT-060790-19/QU</t>
  </si>
  <si>
    <t>LT-060904-19/QU</t>
  </si>
  <si>
    <t>LT-057627-19/QU</t>
  </si>
  <si>
    <t>LT-071306-18/QU</t>
  </si>
  <si>
    <t>LT-022542-19/BX</t>
  </si>
  <si>
    <t>LT-56760-19/QU</t>
  </si>
  <si>
    <t>LT-057848-19/QU</t>
  </si>
  <si>
    <t>LT-060316-19/NY</t>
  </si>
  <si>
    <t>LT-054735-19/QU</t>
  </si>
  <si>
    <t>LT-060864-19/QU</t>
  </si>
  <si>
    <t>LT-057577-19/QU</t>
  </si>
  <si>
    <t>LT-063685-19/KI</t>
  </si>
  <si>
    <t>LT-061979-19/KI</t>
  </si>
  <si>
    <t>LT-065198-19/KI</t>
  </si>
  <si>
    <t>LT-066651-19/KI</t>
  </si>
  <si>
    <t>LT-059177-19/QU</t>
  </si>
  <si>
    <t>LT-043261-19/KI</t>
  </si>
  <si>
    <t>LT-047171-18/BX</t>
  </si>
  <si>
    <t>LT-65217-19/KI</t>
  </si>
  <si>
    <t>LT-001478-19/KI</t>
  </si>
  <si>
    <t>LT-023657-19/BX</t>
  </si>
  <si>
    <t>LT-060704-19/QU</t>
  </si>
  <si>
    <t>LT-060728-19/QU</t>
  </si>
  <si>
    <t>LT-058482-19/KI</t>
  </si>
  <si>
    <t>LT-011592-19/QU</t>
  </si>
  <si>
    <t>LT-060657-19/QU</t>
  </si>
  <si>
    <t>LT-060379-19/QU</t>
  </si>
  <si>
    <t>LT-059797-19/QU</t>
  </si>
  <si>
    <t>LT-251148-17/HA</t>
  </si>
  <si>
    <t>LT-058434/QU</t>
  </si>
  <si>
    <t>LT-023403-19/BX</t>
  </si>
  <si>
    <t>LT-033227-18/BX</t>
  </si>
  <si>
    <t>LT-018203-19/BX</t>
  </si>
  <si>
    <t>LT-011742-19/QU</t>
  </si>
  <si>
    <t>LT-060522-18/BX</t>
  </si>
  <si>
    <t>LT-066151-19/KI</t>
  </si>
  <si>
    <t>LT-066159-19/KI</t>
  </si>
  <si>
    <t>LT-060524-19/QU</t>
  </si>
  <si>
    <t>LT-061199-19/QU</t>
  </si>
  <si>
    <t>LT-070013-18/QU</t>
  </si>
  <si>
    <t>LT-022540-19/BX</t>
  </si>
  <si>
    <t>LT-060589-19/QU</t>
  </si>
  <si>
    <t>LT-066620-19/KI</t>
  </si>
  <si>
    <t>LT-062953-19/KI</t>
  </si>
  <si>
    <t>LT-059438-19/QU</t>
  </si>
  <si>
    <t>LT-058171-19/QU</t>
  </si>
  <si>
    <t>LT-059877-19/QU</t>
  </si>
  <si>
    <t>LT-059878-19/QU</t>
  </si>
  <si>
    <t>LT-060086-19/QU</t>
  </si>
  <si>
    <t>LT-051024-19/RI</t>
  </si>
  <si>
    <t>LT-058995-19/QU</t>
  </si>
  <si>
    <t>LT-023735-19/BX</t>
  </si>
  <si>
    <t>LT-060126-19/QU</t>
  </si>
  <si>
    <t>LT-075371-18/QU</t>
  </si>
  <si>
    <t>LT-057194-19/QU</t>
  </si>
  <si>
    <t>LT-803031-19/BX</t>
  </si>
  <si>
    <t>LT-093790-18/KI</t>
  </si>
  <si>
    <t>LT-000306-19/QU</t>
  </si>
  <si>
    <t>LT-013503-19/NY</t>
  </si>
  <si>
    <t>HM 130106 OM</t>
  </si>
  <si>
    <t>LT-051348-19/RI</t>
  </si>
  <si>
    <t>LT-051426-19/QU</t>
  </si>
  <si>
    <t>LT-060043-19/QU</t>
  </si>
  <si>
    <t>LT-050579-19/QU</t>
  </si>
  <si>
    <t>LT-0620925-19/QU</t>
  </si>
  <si>
    <t>LT-024773-19/BX</t>
  </si>
  <si>
    <t>LT-023652-19/BX</t>
  </si>
  <si>
    <t>LT-013544-19/BX</t>
  </si>
  <si>
    <t>LT-023447-19/BX</t>
  </si>
  <si>
    <t>LT-022129-19/BX</t>
  </si>
  <si>
    <t>LT-060129-19/QU</t>
  </si>
  <si>
    <t>LT-051306-19/RI</t>
  </si>
  <si>
    <t>LT-010380-19/RI</t>
  </si>
  <si>
    <t>LT-060149-19/QU</t>
  </si>
  <si>
    <t>LT-059795-19/QU</t>
  </si>
  <si>
    <t>LT-073906-18/QU</t>
  </si>
  <si>
    <t>LT-057550-19/QU</t>
  </si>
  <si>
    <t>LT-057272-19/QU</t>
  </si>
  <si>
    <t>LT-022116-19/BX</t>
  </si>
  <si>
    <t>LT-060531-19/QU</t>
  </si>
  <si>
    <t>LT-059810-19/QU</t>
  </si>
  <si>
    <t>LT-005752-19/BX</t>
  </si>
  <si>
    <t>LT-021241-19/BX</t>
  </si>
  <si>
    <t>LT-001428-19/KI</t>
  </si>
  <si>
    <t>LT-051322-19/NY</t>
  </si>
  <si>
    <t>LT-061140-19/NY</t>
  </si>
  <si>
    <t>LT-051243-19/RI</t>
  </si>
  <si>
    <t>LT-014490-19/NY</t>
  </si>
  <si>
    <t>LT-057386-19/QU</t>
  </si>
  <si>
    <t>LT-060112-19/QU</t>
  </si>
  <si>
    <t>LT-060326-19/QU</t>
  </si>
  <si>
    <t>LT-060156-19/QU</t>
  </si>
  <si>
    <t>LT-059188-19/NY</t>
  </si>
  <si>
    <t>LT-059658-19/NY</t>
  </si>
  <si>
    <t>LT-060549-19/NY</t>
  </si>
  <si>
    <t>LT-083961-18/KI</t>
  </si>
  <si>
    <t>LT-095865-18/KI</t>
  </si>
  <si>
    <t>LT-502370-19/KI</t>
  </si>
  <si>
    <t>LT-051298-19/KI</t>
  </si>
  <si>
    <t>LT-050967-19/KI</t>
  </si>
  <si>
    <t>LT-061436-18/KI</t>
  </si>
  <si>
    <t>LT-064730-19/KI</t>
  </si>
  <si>
    <t>LT-058076-19/KI</t>
  </si>
  <si>
    <t>LT-059007-19/KI</t>
  </si>
  <si>
    <t>LT-057176-19/KI</t>
  </si>
  <si>
    <t>LT-058629-19/KI</t>
  </si>
  <si>
    <t>LT-079225-18/KI</t>
  </si>
  <si>
    <t>LT-059384-19/KI</t>
  </si>
  <si>
    <t>LT-062145-19/KI</t>
  </si>
  <si>
    <t>LT-059574-19/KI</t>
  </si>
  <si>
    <t>LT-058764-19/KI</t>
  </si>
  <si>
    <t>LT-061701-19/KI</t>
  </si>
  <si>
    <t>LT-000841-19/KI</t>
  </si>
  <si>
    <t>LT-53763-19/KI</t>
  </si>
  <si>
    <t>LT-062485-19/KI</t>
  </si>
  <si>
    <t>LT-063301-19/KI</t>
  </si>
  <si>
    <t>LT-063808-19/KI</t>
  </si>
  <si>
    <t>LT-055909-19/KI</t>
  </si>
  <si>
    <t>LT-066517-19/KI</t>
  </si>
  <si>
    <t>LT-64607-19/KI</t>
  </si>
  <si>
    <t>LT-065766-19/KI</t>
  </si>
  <si>
    <t>LT-094913-18/KI</t>
  </si>
  <si>
    <t>LT-053082-19/QU</t>
  </si>
  <si>
    <t>LT- 057749-19QU</t>
  </si>
  <si>
    <t>LT-022978-19/BX</t>
  </si>
  <si>
    <t>LT--066395-19/KI</t>
  </si>
  <si>
    <t>LT-063941-19/KI</t>
  </si>
  <si>
    <t>LT-64593-19/KI</t>
  </si>
  <si>
    <t>LT-067344-19/KI</t>
  </si>
  <si>
    <t>LT-010904-19/BX</t>
  </si>
  <si>
    <t>LT-007460-19/BX</t>
  </si>
  <si>
    <t>LT-024428-19/BX</t>
  </si>
  <si>
    <t>LT-023731-19/BX</t>
  </si>
  <si>
    <t>LT-024639-19/BX</t>
  </si>
  <si>
    <t>LT-023672-19/BX</t>
  </si>
  <si>
    <t>1579/2017</t>
  </si>
  <si>
    <t>LT-808992-18/BX</t>
  </si>
  <si>
    <t>LT-065200-19/KI</t>
  </si>
  <si>
    <t>LT-061380-19/NY</t>
  </si>
  <si>
    <t>LT-057794-19/NY</t>
  </si>
  <si>
    <t>LT-738286-19/NY</t>
  </si>
  <si>
    <t>LT-57875-19/NY</t>
  </si>
  <si>
    <t>LT-59715-19/NY</t>
  </si>
  <si>
    <t>LT-061308-19/NY</t>
  </si>
  <si>
    <t>LT-013967-19/NY</t>
  </si>
  <si>
    <t>LT-021322-18/NY</t>
  </si>
  <si>
    <t>LT-057797-19/NY</t>
  </si>
  <si>
    <t>LT-059900-19/NY</t>
  </si>
  <si>
    <t>LT-060570-19/NY</t>
  </si>
  <si>
    <t>LT-055149-19/NY</t>
  </si>
  <si>
    <t>LT-250024-19/NY</t>
  </si>
  <si>
    <t>LT-210372-19/NY</t>
  </si>
  <si>
    <t>LT-051734-18/RI</t>
  </si>
  <si>
    <t>LT-009168-19/BX</t>
  </si>
  <si>
    <t>LT-000842-19/KI</t>
  </si>
  <si>
    <t>M-H-G-17-27485</t>
  </si>
  <si>
    <t>LT-062072-19/KI</t>
  </si>
  <si>
    <t>LT-019097-19/BX</t>
  </si>
  <si>
    <t>LT-018140-19/BX</t>
  </si>
  <si>
    <t>LT-064056-19/KI</t>
  </si>
  <si>
    <t>LT-063237-19/KI</t>
  </si>
  <si>
    <t>LT-090688-18/KI</t>
  </si>
  <si>
    <t>LT-064383-19/KI</t>
  </si>
  <si>
    <t>LT-063321-19/KI</t>
  </si>
  <si>
    <t>LT-051130-19/KI</t>
  </si>
  <si>
    <t>LT-064340-19/KI</t>
  </si>
  <si>
    <t>LT-062075-19/KI</t>
  </si>
  <si>
    <t>LT-064819-19/KI</t>
  </si>
  <si>
    <t>LT-062668-19/KI</t>
  </si>
  <si>
    <t>LT-063923-19/KI</t>
  </si>
  <si>
    <t>LT-064426-19/KI</t>
  </si>
  <si>
    <t>LT-064895-19/KI</t>
  </si>
  <si>
    <t>LT-054692-18/KI</t>
  </si>
  <si>
    <t>LT-063972-19/KI</t>
  </si>
  <si>
    <t>LT-064094-19/KI</t>
  </si>
  <si>
    <t>LT-010272-19/KI</t>
  </si>
  <si>
    <t>LT-014752-19/KI</t>
  </si>
  <si>
    <t>LT-014753-19/KI</t>
  </si>
  <si>
    <t>LT-015027-19/KI</t>
  </si>
  <si>
    <t>LT-057627-19/KI</t>
  </si>
  <si>
    <t>LT-039458-18/BX</t>
  </si>
  <si>
    <t>LT-061292-19/KI</t>
  </si>
  <si>
    <t>LT-064394-19/KI</t>
  </si>
  <si>
    <t>LT-065714-19/KI</t>
  </si>
  <si>
    <t>LT-064102-19/KI</t>
  </si>
  <si>
    <t>LT-060971-19/KI</t>
  </si>
  <si>
    <t>LT-058067-19/KI</t>
  </si>
  <si>
    <t>LT-061555-19/KI</t>
  </si>
  <si>
    <t>LT-056728-19/KI</t>
  </si>
  <si>
    <t>LT-065879-19/KI</t>
  </si>
  <si>
    <t>LT-064565-19/KI</t>
  </si>
  <si>
    <t>LT-066174-19/KI</t>
  </si>
  <si>
    <t>LT-066108-19/KI</t>
  </si>
  <si>
    <t>LT-065056-19/KI</t>
  </si>
  <si>
    <t>LT-074976-19/KI</t>
  </si>
  <si>
    <t>LT-066898-19/KI</t>
  </si>
  <si>
    <t>LT-066103-19/KI</t>
  </si>
  <si>
    <t>LT-060943-19/KI</t>
  </si>
  <si>
    <t>LT-094536-18/KI</t>
  </si>
  <si>
    <t>LT-066053-19/KI</t>
  </si>
  <si>
    <t>LT-065725-19/KI</t>
  </si>
  <si>
    <t>LT-066028-19/KI</t>
  </si>
  <si>
    <t>LT-065718-19/KI</t>
  </si>
  <si>
    <t>LT-066153-19/KI</t>
  </si>
  <si>
    <t>LT-065572-19/KI</t>
  </si>
  <si>
    <t>LT-066207-19/KI</t>
  </si>
  <si>
    <t>LT-065542-19/KI</t>
  </si>
  <si>
    <t>LT-064611-19/KI</t>
  </si>
  <si>
    <t>LT-066401-19/KI</t>
  </si>
  <si>
    <t>LT-065262-19/KI</t>
  </si>
  <si>
    <t>LT-066794-19/KI</t>
  </si>
  <si>
    <t>LT-065244-19/KI</t>
  </si>
  <si>
    <t>LT-061276-19/KI</t>
  </si>
  <si>
    <t>LT-068128-18/KI</t>
  </si>
  <si>
    <t>LT-014748-19/KI</t>
  </si>
  <si>
    <t>LT-065851-19/KI</t>
  </si>
  <si>
    <t>LT-065467-19/KI</t>
  </si>
  <si>
    <t>LT-067278-19/KI</t>
  </si>
  <si>
    <t>LT-066292-19/KI</t>
  </si>
  <si>
    <t>LT-096171-18/KI</t>
  </si>
  <si>
    <t>LT-066190-19/KI</t>
  </si>
  <si>
    <t>LT-064007-19/KI</t>
  </si>
  <si>
    <t>LT-090285-18/KI</t>
  </si>
  <si>
    <t>LT-064678-19/KI</t>
  </si>
  <si>
    <t>LT-067421-19/KI</t>
  </si>
  <si>
    <t>LT-067030-19/KI</t>
  </si>
  <si>
    <t>LT-067274-19/KI</t>
  </si>
  <si>
    <t>LT-059889-19/KI</t>
  </si>
  <si>
    <t>LT-067233-19/KI</t>
  </si>
  <si>
    <t>LT-067002-19/KI</t>
  </si>
  <si>
    <t>LT-089675-18/KI</t>
  </si>
  <si>
    <t>LT-062234-19/KI</t>
  </si>
  <si>
    <t>LT-015032-19/KI</t>
  </si>
  <si>
    <t>LT-055924-19/KI</t>
  </si>
  <si>
    <t>LT-058981-19/KI</t>
  </si>
  <si>
    <t>LT-060886-19/KI</t>
  </si>
  <si>
    <t>LT-022742-16/KI</t>
  </si>
  <si>
    <t>LT-067625-19/KI</t>
  </si>
  <si>
    <t>LT-059524-19/KI</t>
  </si>
  <si>
    <t>LT-067628-19/KI</t>
  </si>
  <si>
    <t>LT-064849-19/KI</t>
  </si>
  <si>
    <t>LT-065223-19/KI</t>
  </si>
  <si>
    <t>LT-064393-19/KI</t>
  </si>
  <si>
    <t>LT-067862-19/KI</t>
  </si>
  <si>
    <t>LT-022037-19/BX</t>
  </si>
  <si>
    <t>LT-006130-19/QU</t>
  </si>
  <si>
    <t>LT-025111-19/BX</t>
  </si>
  <si>
    <t>LT-024144-19/BX</t>
  </si>
  <si>
    <t>LT-00322-19/QU</t>
  </si>
  <si>
    <t>LT-014317-19/BX</t>
  </si>
  <si>
    <t>LT-023400-19/BX</t>
  </si>
  <si>
    <t>LT-013785-19/BX</t>
  </si>
  <si>
    <t>L&amp;T- 065660-19/KI</t>
  </si>
  <si>
    <t>LT-051349-19/RI</t>
  </si>
  <si>
    <t>LT-010378-19/RI</t>
  </si>
  <si>
    <t>LT-56459/18-NY</t>
  </si>
  <si>
    <t>LT-096763-18/KI</t>
  </si>
  <si>
    <t>LT-065115-19/KI</t>
  </si>
  <si>
    <t>LT-062975-19/KI</t>
  </si>
  <si>
    <t>LT-061504-19/KI</t>
  </si>
  <si>
    <t>LT-057832-19/NY</t>
  </si>
  <si>
    <t>LT-054824-19/NY</t>
  </si>
  <si>
    <t>LT-025298-19/BX</t>
  </si>
  <si>
    <t>LT-058411-19/NY</t>
  </si>
  <si>
    <t>LT-058293-19/NY</t>
  </si>
  <si>
    <t>LT-010203-19/NY</t>
  </si>
  <si>
    <t>LT-061483-19/NY</t>
  </si>
  <si>
    <t>LT-014446-19/NY</t>
  </si>
  <si>
    <t>LT-025833-19/BX</t>
  </si>
  <si>
    <t>LT-022195-19/BX</t>
  </si>
  <si>
    <t>LT-061742-19/QU</t>
  </si>
  <si>
    <t>LT-060416-18/KI</t>
  </si>
  <si>
    <t>LT-055204-19/KI</t>
  </si>
  <si>
    <t>LT-013090-19/BX</t>
  </si>
  <si>
    <t>LT-017060-19/BX</t>
  </si>
  <si>
    <t>LT-061923-19/QU</t>
  </si>
  <si>
    <t>LT-061424-19/QU</t>
  </si>
  <si>
    <t>LT-025992-19/BX</t>
  </si>
  <si>
    <t>LT-026205-19/BX</t>
  </si>
  <si>
    <t>LT-068180-19/KI</t>
  </si>
  <si>
    <t>LT-026382-19/BX</t>
  </si>
  <si>
    <t>LT-0622017-19/QU</t>
  </si>
  <si>
    <t>LT-058396-19/QU</t>
  </si>
  <si>
    <t>LT-050076-19/QU</t>
  </si>
  <si>
    <t>LT-061356-19/QU</t>
  </si>
  <si>
    <t>LT-026510-19/BX</t>
  </si>
  <si>
    <t>LT-061728-19/QU</t>
  </si>
  <si>
    <t>LT-061541-19/QU</t>
  </si>
  <si>
    <t>LT-014997-19/KI</t>
  </si>
  <si>
    <t>LT-060353-19/QU</t>
  </si>
  <si>
    <t>LT-061006-19/QU</t>
  </si>
  <si>
    <t>LT-073327-18/QU</t>
  </si>
  <si>
    <t>L&amp;T-51800-19/KI</t>
  </si>
  <si>
    <t>LT-000257-18/BX</t>
  </si>
  <si>
    <t>LT-025301-19/BX</t>
  </si>
  <si>
    <t>LT-061954-19/QU</t>
  </si>
  <si>
    <t>LT-050790-18/BX</t>
  </si>
  <si>
    <t>LT-017382-19/BX</t>
  </si>
  <si>
    <t>LT-58508-19/QU</t>
  </si>
  <si>
    <t>LT-059883-19/QU</t>
  </si>
  <si>
    <t>LT-024716-19/BX</t>
  </si>
  <si>
    <t>LT-065839-19/KI</t>
  </si>
  <si>
    <t>LT-003684/19-BX</t>
  </si>
  <si>
    <t>LT-024840-19/BX</t>
  </si>
  <si>
    <t>LT-024642-19/BX</t>
  </si>
  <si>
    <t>LT-052264-18/RI</t>
  </si>
  <si>
    <t>LT-052265018/RI</t>
  </si>
  <si>
    <t>LT-051129-19/RI</t>
  </si>
  <si>
    <t>LT-060729-19/QU</t>
  </si>
  <si>
    <t>LT-014114-19/NY</t>
  </si>
  <si>
    <t>LT-061068-19/NY</t>
  </si>
  <si>
    <t>LT-062657-19/NY</t>
  </si>
  <si>
    <t>LT-075925-18/NY</t>
  </si>
  <si>
    <t>LT-062258-19/NY</t>
  </si>
  <si>
    <t>057907/19</t>
  </si>
  <si>
    <t>LT-062256-19/NY</t>
  </si>
  <si>
    <t>LT056467/18</t>
  </si>
  <si>
    <t>LT-059163-19/QU</t>
  </si>
  <si>
    <t>LT-062248-19/NY</t>
  </si>
  <si>
    <t>LT-011877-19/QU</t>
  </si>
  <si>
    <t>LT-060892-19/QU</t>
  </si>
  <si>
    <t>LT-011798-19/QU</t>
  </si>
  <si>
    <t>LT-055888-19/QU</t>
  </si>
  <si>
    <t>LT-023850-19/BX</t>
  </si>
  <si>
    <t>LT-050976-19/RI</t>
  </si>
  <si>
    <t>LT-51340-19/RI</t>
  </si>
  <si>
    <t>LT-010919-17/QU</t>
  </si>
  <si>
    <t>LT-068179-18/BX</t>
  </si>
  <si>
    <t>LT-062390-19/NY</t>
  </si>
  <si>
    <t>LT-062286-19/NY</t>
  </si>
  <si>
    <t>LT-061738-19/NY</t>
  </si>
  <si>
    <t>LT-61377-19/QU</t>
  </si>
  <si>
    <t>LT-005504-19/BX</t>
  </si>
  <si>
    <t>LT-65526-18/BX</t>
  </si>
  <si>
    <t>LT-051489-19/RI</t>
  </si>
  <si>
    <t>LT-062292-19/QU</t>
  </si>
  <si>
    <t>LT-061611-19/QU</t>
  </si>
  <si>
    <t>LT-062137-19/QU</t>
  </si>
  <si>
    <t>LT-022814-19/BX</t>
  </si>
  <si>
    <t>LT-060052-19/QU</t>
  </si>
  <si>
    <t>LT-061927-19/QU</t>
  </si>
  <si>
    <t>LT-051482-29/RI</t>
  </si>
  <si>
    <t>LT-051474-19/RI</t>
  </si>
  <si>
    <t>LT-051476-19/RI</t>
  </si>
  <si>
    <t>LT-081566-18/KI</t>
  </si>
  <si>
    <t>LT-064447-19/KI</t>
  </si>
  <si>
    <t>LT-058903-19/KI</t>
  </si>
  <si>
    <t>LT-065827-19/KI</t>
  </si>
  <si>
    <t>LT-071208-18/QU</t>
  </si>
  <si>
    <t>LT-060105-19/QU</t>
  </si>
  <si>
    <t>LT-058565-19/NY</t>
  </si>
  <si>
    <t>LT-012491-19/NY</t>
  </si>
  <si>
    <t>LT-061061-19/NY</t>
  </si>
  <si>
    <t>LT-060157-19/NY</t>
  </si>
  <si>
    <t>LT-062192-19/NY</t>
  </si>
  <si>
    <t>HP-1028-19</t>
  </si>
  <si>
    <t>LT-011466-19/QU</t>
  </si>
  <si>
    <t>LT-062489-19/NY</t>
  </si>
  <si>
    <t>LT-012965-19/NY</t>
  </si>
  <si>
    <t>LT-012997-19/NY</t>
  </si>
  <si>
    <t>LT-015095-19/NY</t>
  </si>
  <si>
    <t>LT-061399-19/QU</t>
  </si>
  <si>
    <t>LT-080330-18/NY</t>
  </si>
  <si>
    <t>LT-061106-19/NY</t>
  </si>
  <si>
    <t>LT-057519-19/NY</t>
  </si>
  <si>
    <t>LT-024151-19/BX</t>
  </si>
  <si>
    <t>LT-062485-19/NY</t>
  </si>
  <si>
    <t>LT-021212-17/NY</t>
  </si>
  <si>
    <t>LT-003594-19/BX</t>
  </si>
  <si>
    <t>LT-055861-18/BX</t>
  </si>
  <si>
    <t>LT-021545-18/BX</t>
  </si>
  <si>
    <t>LT-027580-19/BX</t>
  </si>
  <si>
    <t>57887/2019</t>
  </si>
  <si>
    <t>LT-024649-19/BX</t>
  </si>
  <si>
    <t>LT-010458-19/RI</t>
  </si>
  <si>
    <t>LT-61370-19/QU</t>
  </si>
  <si>
    <t>LT-010605-18/NY</t>
  </si>
  <si>
    <t>LT-063073-19/NY</t>
  </si>
  <si>
    <t>LT-027570-19/BX</t>
  </si>
  <si>
    <t>LT-061745-19/NY</t>
  </si>
  <si>
    <t>LT-083148-15/NY</t>
  </si>
  <si>
    <t>LT-058358-19/NY</t>
  </si>
  <si>
    <t>LT-062851-19/NY</t>
  </si>
  <si>
    <t>LT-018431-19/BX</t>
  </si>
  <si>
    <t>LT-18723-19/BX</t>
  </si>
  <si>
    <t>LT-061963-19/QU</t>
  </si>
  <si>
    <t>LT-026579-19/BX</t>
  </si>
  <si>
    <t>LT-070335-19/KI</t>
  </si>
  <si>
    <t>LT-027987-19/BX</t>
  </si>
  <si>
    <t>LT-027613-19/BX</t>
  </si>
  <si>
    <t>LT-059500-19/QU</t>
  </si>
  <si>
    <t>LT-062706-19/QU</t>
  </si>
  <si>
    <t>LT-021793-19/BX</t>
  </si>
  <si>
    <t>LT-062835-19/QU</t>
  </si>
  <si>
    <t>LT-011176-16/QU</t>
  </si>
  <si>
    <t>LT-79248/17-QU</t>
  </si>
  <si>
    <t>LT-73000-18/qu</t>
  </si>
  <si>
    <t>LT-059655-19/QU</t>
  </si>
  <si>
    <t>LT-076226-18/QU</t>
  </si>
  <si>
    <t>LT-61401-19/QU</t>
  </si>
  <si>
    <t>LT-057586-19/QU</t>
  </si>
  <si>
    <t>LT-060394-19/NY</t>
  </si>
  <si>
    <t>L&amp;T 52167/17</t>
  </si>
  <si>
    <t>18-10159</t>
  </si>
  <si>
    <t>LT-011045-19/BX</t>
  </si>
  <si>
    <t>LT-049250-18/BX</t>
  </si>
  <si>
    <t>LT-022187-19/BX</t>
  </si>
  <si>
    <t>LT-023744-19/BX</t>
  </si>
  <si>
    <t>LT-059598-18/BX</t>
  </si>
  <si>
    <t>LT-027298-19/BX</t>
  </si>
  <si>
    <t>LT-062298-19/NY</t>
  </si>
  <si>
    <t>LT-063249-19/NY</t>
  </si>
  <si>
    <t>LT-06306-19/NY</t>
  </si>
  <si>
    <t>3982-18</t>
  </si>
  <si>
    <t>LT-062854-19/NY</t>
  </si>
  <si>
    <t>LT-015109/19/NY</t>
  </si>
  <si>
    <t>11386/19</t>
  </si>
  <si>
    <t>LT-010468-19/RI</t>
  </si>
  <si>
    <t>LT-010503-19/RI</t>
  </si>
  <si>
    <t>LT-010451-19/RI</t>
  </si>
  <si>
    <t>LT-015677/18</t>
  </si>
  <si>
    <t>No case yet</t>
  </si>
  <si>
    <t>004595-19/BX</t>
  </si>
  <si>
    <t>LT-073792-18/QU</t>
  </si>
  <si>
    <t>LT-063492-19/NY</t>
  </si>
  <si>
    <t>LT-063669-19/NY</t>
  </si>
  <si>
    <t>LT-011928-19/QU</t>
  </si>
  <si>
    <t>LT-051586-19/RI</t>
  </si>
  <si>
    <t>LT-063169-19/NY</t>
  </si>
  <si>
    <t>LT-063714-19/NY</t>
  </si>
  <si>
    <t>LT-061434-19/NY</t>
  </si>
  <si>
    <t>LT-051588-19/RI</t>
  </si>
  <si>
    <t>LT-063206-19/QU</t>
  </si>
  <si>
    <t>LT-061748-19/QU</t>
  </si>
  <si>
    <t>LT-053039-19/QU</t>
  </si>
  <si>
    <t>LT-062028-19/QU</t>
  </si>
  <si>
    <t>LT-051612-19/RI</t>
  </si>
  <si>
    <t>LT-051607-19/RI</t>
  </si>
  <si>
    <t>LT-060162-19/QU</t>
  </si>
  <si>
    <t>LT-062831-19/QU</t>
  </si>
  <si>
    <t>LT-013524-19/NY</t>
  </si>
  <si>
    <t>Lt-078118-18/QU</t>
  </si>
  <si>
    <t>LT-063102-19/QU</t>
  </si>
  <si>
    <t>LT-061867-19/QU</t>
  </si>
  <si>
    <t>LT-062565-19/QU</t>
  </si>
  <si>
    <t>LT-062380-19/QU</t>
  </si>
  <si>
    <t>LT-062587-19/QU</t>
  </si>
  <si>
    <t>LT-061707-19/KI</t>
  </si>
  <si>
    <t>LT-015411-19/NY</t>
  </si>
  <si>
    <t>LT-012711-19/NY</t>
  </si>
  <si>
    <t>LT-14459-19/NY</t>
  </si>
  <si>
    <t>LT-062379-19/QU</t>
  </si>
  <si>
    <t>LT-062570-19/QU</t>
  </si>
  <si>
    <t>LT-061876-19/QU</t>
  </si>
  <si>
    <t>LT-59885-19/NY</t>
  </si>
  <si>
    <t>LT-027121-19/BX</t>
  </si>
  <si>
    <t>LT-064959-18/QU</t>
  </si>
  <si>
    <t>LT-055610-18/BX</t>
  </si>
  <si>
    <t>LT-076889-18/QU</t>
  </si>
  <si>
    <t>LT-00271-19/QU</t>
  </si>
  <si>
    <t>LT-053111-18/QU</t>
  </si>
  <si>
    <t>LT-009232-17/BX</t>
  </si>
  <si>
    <t>LT-022144-18/BX</t>
  </si>
  <si>
    <t>​LT-064783-18/KI</t>
  </si>
  <si>
    <t>LT-020589-18/BX</t>
  </si>
  <si>
    <t>LT-069178-18/KI</t>
  </si>
  <si>
    <t>LT-094179-17/KI</t>
  </si>
  <si>
    <t>LT-034068-18/BX</t>
  </si>
  <si>
    <t>LT-053595-17/NY</t>
  </si>
  <si>
    <t>LT-035337-18/BX</t>
  </si>
  <si>
    <t>LT-053234-17</t>
  </si>
  <si>
    <t>LT-057280-18/KI</t>
  </si>
  <si>
    <t>LT-010548-18/QU</t>
  </si>
  <si>
    <t>LT-071826-18/KI</t>
  </si>
  <si>
    <t>LT-067543-18/KI</t>
  </si>
  <si>
    <t>LT-055924-18/KI</t>
  </si>
  <si>
    <t>LT-074041-18/KI</t>
  </si>
  <si>
    <t>LT-008735-18/BX</t>
  </si>
  <si>
    <t>LT-010713-18/RI</t>
  </si>
  <si>
    <t>LT-065907-18/NY</t>
  </si>
  <si>
    <t>LT-065038-18/QU</t>
  </si>
  <si>
    <t>LT-063091-18/NY</t>
  </si>
  <si>
    <t>LT-013070-18/NY</t>
  </si>
  <si>
    <t>LT-080022-17/NY</t>
  </si>
  <si>
    <t>LT-064807-18/QU</t>
  </si>
  <si>
    <t>LT-064495-18/KI</t>
  </si>
  <si>
    <t>LT-063706-18/NY</t>
  </si>
  <si>
    <t>LT-006187-18/KI</t>
  </si>
  <si>
    <t>LT-002584-18/KI</t>
  </si>
  <si>
    <t>014972-18/NY</t>
  </si>
  <si>
    <t>LT-042067-17/BX</t>
  </si>
  <si>
    <t>LT-015421-18/KI</t>
  </si>
  <si>
    <t>LT-069282-18/QU</t>
  </si>
  <si>
    <t>LT-037459-18/BX</t>
  </si>
  <si>
    <t>LT-034698-18/BX</t>
  </si>
  <si>
    <t>LT-001052-18/QU</t>
  </si>
  <si>
    <t>LT-069924-17/BX</t>
  </si>
  <si>
    <t>LT-074957-18/KI</t>
  </si>
  <si>
    <t>LT-052018-18/QU</t>
  </si>
  <si>
    <t>LT-074914-18/KI</t>
  </si>
  <si>
    <t>LT-063055-18/NY</t>
  </si>
  <si>
    <t>LT-088804-15/KI</t>
  </si>
  <si>
    <t>LT-075411-17/NY</t>
  </si>
  <si>
    <t>LT-060915-18/NY</t>
  </si>
  <si>
    <t>LT-038320-18/BX</t>
  </si>
  <si>
    <t>LT-3302-17/KI</t>
  </si>
  <si>
    <t>LT-061474-18/QU</t>
  </si>
  <si>
    <t>LT-066119-18/QU</t>
  </si>
  <si>
    <t>LT-063557-18/NY</t>
  </si>
  <si>
    <t>LT-067538-18/NY</t>
  </si>
  <si>
    <t>6265/18</t>
  </si>
  <si>
    <t>LT-069065-18/KI</t>
  </si>
  <si>
    <t>LT-001070-18/QU</t>
  </si>
  <si>
    <t>LT-510700-2014</t>
  </si>
  <si>
    <t>LT-062355-18/NY</t>
  </si>
  <si>
    <t>LT-073728-18/KI</t>
  </si>
  <si>
    <t>LT-076247-18/KI</t>
  </si>
  <si>
    <t>LT-06321118k1</t>
  </si>
  <si>
    <t>LT-061507-18/QU</t>
  </si>
  <si>
    <t>SC 11164-16/QU</t>
  </si>
  <si>
    <t>LT-068237-18/NY</t>
  </si>
  <si>
    <t>LT-067164-18/QU</t>
  </si>
  <si>
    <t>LT-066499-18/QU</t>
  </si>
  <si>
    <t>LT-061979-18/NY</t>
  </si>
  <si>
    <t>LT-067474-18/NY</t>
  </si>
  <si>
    <t>LT-068451-18/NY</t>
  </si>
  <si>
    <t>LT-065383-18/NY</t>
  </si>
  <si>
    <t>LT-073359-18/KI</t>
  </si>
  <si>
    <t>LT-038793-18/BX</t>
  </si>
  <si>
    <t>LT-034589-18/BX</t>
  </si>
  <si>
    <t>LT-054975-17/BX</t>
  </si>
  <si>
    <t>LT-066501-18/QU</t>
  </si>
  <si>
    <t>LT65074-18</t>
  </si>
  <si>
    <t>LT-062408-18/NY</t>
  </si>
  <si>
    <t>LT-064221-18/KI</t>
  </si>
  <si>
    <t>902749-TD-2018</t>
  </si>
  <si>
    <t>LT-068567-18/NY</t>
  </si>
  <si>
    <t>LT-012282-18/KI</t>
  </si>
  <si>
    <t>LT-033482-18/BX</t>
  </si>
  <si>
    <t>LT-001182-18/QU</t>
  </si>
  <si>
    <t>LT--67513-17/QU</t>
  </si>
  <si>
    <t>LT 55186/18/KI</t>
  </si>
  <si>
    <t>LT-003982-18/BX</t>
  </si>
  <si>
    <t>LT-077170-18/KI</t>
  </si>
  <si>
    <t>HP 2384/2018</t>
  </si>
  <si>
    <t>LT-052340-18/RI</t>
  </si>
  <si>
    <t>LT-062291-18</t>
  </si>
  <si>
    <t>LT-068583-18/NY</t>
  </si>
  <si>
    <t>LT-065585-18/QU</t>
  </si>
  <si>
    <t>LT-069085-18/KI</t>
  </si>
  <si>
    <t>LT-069961-18/NY</t>
  </si>
  <si>
    <t>LT-92347-17/KI</t>
  </si>
  <si>
    <t>LT-067500-18/NY</t>
  </si>
  <si>
    <t>LT-067399-17/KI</t>
  </si>
  <si>
    <t>LT-066296-18/KI</t>
  </si>
  <si>
    <t>LT-655238-18/QU</t>
  </si>
  <si>
    <t>LT-038624-18/BX</t>
  </si>
  <si>
    <t>LT-74071-18/KI</t>
  </si>
  <si>
    <t>LT-077054-18/KI</t>
  </si>
  <si>
    <t>LT-092925-17/KI</t>
  </si>
  <si>
    <t>LT-068678-18/QU</t>
  </si>
  <si>
    <t>LT-067012-18/NY</t>
  </si>
  <si>
    <t>LT-068216-18/QU</t>
  </si>
  <si>
    <t>LT-068409-18/QU</t>
  </si>
  <si>
    <t>LT-031250-18/BX</t>
  </si>
  <si>
    <t>KLT 79293</t>
  </si>
  <si>
    <t>LT-068574-18/QU</t>
  </si>
  <si>
    <t>52876/18</t>
  </si>
  <si>
    <t>LT-061404-18/NY</t>
  </si>
  <si>
    <t>LT-078569-18/KI</t>
  </si>
  <si>
    <t>LT-033396-18/BX</t>
  </si>
  <si>
    <t>LT-073760-18/KI</t>
  </si>
  <si>
    <t>LT-068772-18/QU</t>
  </si>
  <si>
    <t>LT-077505-18/KI</t>
  </si>
  <si>
    <t>LT/07999-18</t>
  </si>
  <si>
    <t>LT-727933-18/KI</t>
  </si>
  <si>
    <t>LT-002246-17/KI</t>
  </si>
  <si>
    <t>LT-017049-18/KI</t>
  </si>
  <si>
    <t>067139-18</t>
  </si>
  <si>
    <t>LT-080460-18/KI</t>
  </si>
  <si>
    <t>LT-080218-18/KI</t>
  </si>
  <si>
    <t>LT-001408-18/NY</t>
  </si>
  <si>
    <t>LT-077839-18/KI</t>
  </si>
  <si>
    <t>LT-034297-18/BX</t>
  </si>
  <si>
    <t>LT-064674-18/NY</t>
  </si>
  <si>
    <t>LT-069481-18/QU</t>
  </si>
  <si>
    <t>LT-063993-18/QU</t>
  </si>
  <si>
    <t>LT-056995-18/BX</t>
  </si>
  <si>
    <t>LT-90106-17/KI</t>
  </si>
  <si>
    <t>LT-080498-18/KI</t>
  </si>
  <si>
    <t>LT-069625-18/KI</t>
  </si>
  <si>
    <t>69314/18</t>
  </si>
  <si>
    <t>LT-069923-18/QU</t>
  </si>
  <si>
    <t>LT-061327-18/QU</t>
  </si>
  <si>
    <t>LT-77763-18/KI</t>
  </si>
  <si>
    <t>LT-069259-17/QU</t>
  </si>
  <si>
    <t>18B0047874</t>
  </si>
  <si>
    <t>33435/15</t>
  </si>
  <si>
    <t>LT-082914-18/KI</t>
  </si>
  <si>
    <t>LT-71139/18-QU</t>
  </si>
  <si>
    <t>LT-805364-18/BX</t>
  </si>
  <si>
    <t>LT-052693-18/RI</t>
  </si>
  <si>
    <t>LT-068123-17/QU</t>
  </si>
  <si>
    <t>LT-071912-18/NY</t>
  </si>
  <si>
    <t>LT-083191-18/KI</t>
  </si>
  <si>
    <t>LT-071879-18/NY</t>
  </si>
  <si>
    <t>LT-071614-18/NY</t>
  </si>
  <si>
    <t>LT-071861-18/NY</t>
  </si>
  <si>
    <t>LT-040386-18/BX</t>
  </si>
  <si>
    <t>LT-052725-18/RI</t>
  </si>
  <si>
    <t>LT-069619-18/KI</t>
  </si>
  <si>
    <t>LT-065913/18-NY</t>
  </si>
  <si>
    <t>LT-064714-18/KI</t>
  </si>
  <si>
    <t>LT-019027-17/KI</t>
  </si>
  <si>
    <t>LT-052273-18/RI</t>
  </si>
  <si>
    <t>LT-082040-18/KI</t>
  </si>
  <si>
    <t>LT-083752-18/KI</t>
  </si>
  <si>
    <t>LT-067339-18/NY</t>
  </si>
  <si>
    <t>LT-081613-18/KI</t>
  </si>
  <si>
    <t>HP-1060-18/QU</t>
  </si>
  <si>
    <t>LT-068355-18/QU</t>
  </si>
  <si>
    <t>LT-016211-18/NY</t>
  </si>
  <si>
    <t>LT-071211-18/QU</t>
  </si>
  <si>
    <t>LT-070559-18/QU</t>
  </si>
  <si>
    <t>LT-070558-18/QU</t>
  </si>
  <si>
    <t>LT-012860-18/NY</t>
  </si>
  <si>
    <t>LT-069884-18/NY</t>
  </si>
  <si>
    <t>LT-080043-18/KI</t>
  </si>
  <si>
    <t>LT-069578-17/BX</t>
  </si>
  <si>
    <t>46849/18</t>
  </si>
  <si>
    <t>LT-71478-18</t>
  </si>
  <si>
    <t>LT-063096-18/QU</t>
  </si>
  <si>
    <t>LT-071107-18/QU</t>
  </si>
  <si>
    <t>LT-057233-18/BX</t>
  </si>
  <si>
    <t>LT-069355-18/NY</t>
  </si>
  <si>
    <t>LT-716679-17/QU</t>
  </si>
  <si>
    <t>LT-061017-18/QU</t>
  </si>
  <si>
    <t>LT-084288-18/KI</t>
  </si>
  <si>
    <t>LT-01327-18/QU</t>
  </si>
  <si>
    <t>LT-096303-18/KI</t>
  </si>
  <si>
    <t>LT-84035-18/KI</t>
  </si>
  <si>
    <t>LT-092621-18/KI</t>
  </si>
  <si>
    <t>LT-084391-18/KI</t>
  </si>
  <si>
    <t>LT-054461-18/KI</t>
  </si>
  <si>
    <t>LT 06852816 KI</t>
  </si>
  <si>
    <t>LT-075242-16/KI</t>
  </si>
  <si>
    <t>LT-072705-18/QU</t>
  </si>
  <si>
    <t>LT-020135-18/KI</t>
  </si>
  <si>
    <t>LT-074634-18/KI</t>
  </si>
  <si>
    <t>LT-053062-18/RI</t>
  </si>
  <si>
    <t>LT-084499-18/KI</t>
  </si>
  <si>
    <t>LT-073009-18/QU</t>
  </si>
  <si>
    <t>LT-071115-18/NY</t>
  </si>
  <si>
    <t>LT-054022-18/NY</t>
  </si>
  <si>
    <t>LT-051097/18</t>
  </si>
  <si>
    <t>LT-074918-18/NY</t>
  </si>
  <si>
    <t>LT-071549-18/QU</t>
  </si>
  <si>
    <t>LT-073066-18/NY</t>
  </si>
  <si>
    <t>LT-073070-18/NY</t>
  </si>
  <si>
    <t>LT-071653-18/QU</t>
  </si>
  <si>
    <t>LT-076631-18/KI</t>
  </si>
  <si>
    <t>LT-075076-18/NY</t>
  </si>
  <si>
    <t>LT-034187-18/BX</t>
  </si>
  <si>
    <t>058634/18</t>
  </si>
  <si>
    <t>LT-072694-18/QU</t>
  </si>
  <si>
    <t>LT-058286-18/QU</t>
  </si>
  <si>
    <t>LT-86994-18/KI</t>
  </si>
  <si>
    <t>LT-073101-18/QU</t>
  </si>
  <si>
    <t>LT-068914-18/NY</t>
  </si>
  <si>
    <t>LT-071434-18/KI</t>
  </si>
  <si>
    <t>LT-073018-QU</t>
  </si>
  <si>
    <t>LT-073457-18/QU</t>
  </si>
  <si>
    <t>LT-068749-18/QU</t>
  </si>
  <si>
    <t>LT-063360-18/QU</t>
  </si>
  <si>
    <t>78916/18</t>
  </si>
  <si>
    <t>LT-063337-18/QU</t>
  </si>
  <si>
    <t>LT-027525-18/BX</t>
  </si>
  <si>
    <t>LT-051941-18/BX</t>
  </si>
  <si>
    <t>No housing court case pending.  Clt just believes that she would be kickecd out from the apt b/c there is no lease after her parent (tenant of record) passed away</t>
  </si>
  <si>
    <t>LT-094403-17/KI</t>
  </si>
  <si>
    <t>LT-069731-18/QU</t>
  </si>
  <si>
    <t>LT-052927-18/QU</t>
  </si>
  <si>
    <t>LT-071627-18/QU</t>
  </si>
  <si>
    <t>LT-056533-18/BX</t>
  </si>
  <si>
    <t>LT-52541-18</t>
  </si>
  <si>
    <t>LT-073312-18/QU</t>
  </si>
  <si>
    <t>LT-073285-18/NY</t>
  </si>
  <si>
    <t>LT-074776-18/NY</t>
  </si>
  <si>
    <t>LT-704024-18/QU</t>
  </si>
  <si>
    <t>LT-001441-18/QU</t>
  </si>
  <si>
    <t>LT-001468-18/QU</t>
  </si>
  <si>
    <t>LT-037420-18</t>
  </si>
  <si>
    <t>LT-073888-18/QU</t>
  </si>
  <si>
    <t>LT-069063-18/QU</t>
  </si>
  <si>
    <t>LT-084089-18/KI</t>
  </si>
  <si>
    <t>LT-001438-18/QU</t>
  </si>
  <si>
    <t>LT-087793-18/KI</t>
  </si>
  <si>
    <t>LT-056277-18/BX</t>
  </si>
  <si>
    <t>054767/18</t>
  </si>
  <si>
    <t>HP-18941-18</t>
  </si>
  <si>
    <t>LT-039185-18/BX</t>
  </si>
  <si>
    <t>LT-089436-18/KI</t>
  </si>
  <si>
    <t>LT-084841-18/ki</t>
  </si>
  <si>
    <t>LT-90112-18</t>
  </si>
  <si>
    <t>LT-067993-18/QU</t>
  </si>
  <si>
    <t>LT-074412-17/NY</t>
  </si>
  <si>
    <t>LT-037458-18/BX</t>
  </si>
  <si>
    <t>LT-064542-18/KI</t>
  </si>
  <si>
    <t>LT-076534-18/NY</t>
  </si>
  <si>
    <t>LT-077195-18/NY</t>
  </si>
  <si>
    <t>LT-073686-18/QU</t>
  </si>
  <si>
    <t>LT-067511-18/NY</t>
  </si>
  <si>
    <t>LT-075138-18/QU</t>
  </si>
  <si>
    <t>LT-089170-18/KI</t>
  </si>
  <si>
    <t>LT-047480-18/BX</t>
  </si>
  <si>
    <t>LT-010122-18/BX</t>
  </si>
  <si>
    <t>lt 000990/18</t>
  </si>
  <si>
    <t>LT-074844-18/QU</t>
  </si>
  <si>
    <t>LT-074565-18/QU</t>
  </si>
  <si>
    <t>LT-75423-18/QU</t>
  </si>
  <si>
    <t>LT-53129-18/RI</t>
  </si>
  <si>
    <t>LT-044537-18/BX</t>
  </si>
  <si>
    <t>LT-089445-18/KI</t>
  </si>
  <si>
    <t>LT-034823-18/BX</t>
  </si>
  <si>
    <t>LT-089714-18/KI</t>
  </si>
  <si>
    <t>LT-088368-18/KI</t>
  </si>
  <si>
    <t>LT-082009-18/KI</t>
  </si>
  <si>
    <t>LT-60364-18</t>
  </si>
  <si>
    <t>LT-074489-18/QU</t>
  </si>
  <si>
    <t>LT-074902-18/QU</t>
  </si>
  <si>
    <t>LT-072071-18/QU</t>
  </si>
  <si>
    <t>LT-038794-18/BX</t>
  </si>
  <si>
    <t>LT-089876-18/KI</t>
  </si>
  <si>
    <t>LT-91030</t>
  </si>
  <si>
    <t>LT-070871-18/NY</t>
  </si>
  <si>
    <t>LT-069960-18/QU</t>
  </si>
  <si>
    <t>LT-90635/18</t>
  </si>
  <si>
    <t>LT-071816-18/QU</t>
  </si>
  <si>
    <t>LT-019609-18/NY</t>
  </si>
  <si>
    <t>LT-089731-18/KI</t>
  </si>
  <si>
    <t>LT-067485-18/NY</t>
  </si>
  <si>
    <t>LT-077113-18/NY</t>
  </si>
  <si>
    <t>LT-013600-18/NY</t>
  </si>
  <si>
    <t>LT-067669-18/NY</t>
  </si>
  <si>
    <t>LT-021432-18/KI</t>
  </si>
  <si>
    <t>LT-084225-18/KI</t>
  </si>
  <si>
    <t>060021-18/BX</t>
  </si>
  <si>
    <t>093318-18</t>
  </si>
  <si>
    <t>LT-011765-18/QU</t>
  </si>
  <si>
    <t>L&amp;T-052668-18/KI</t>
  </si>
  <si>
    <t>LT-075539-18/NY</t>
  </si>
  <si>
    <t>LT-091440-18/KI</t>
  </si>
  <si>
    <t>LT-084660-18/KI</t>
  </si>
  <si>
    <t>LT-074077-18/NY</t>
  </si>
  <si>
    <t>LT-011801-18/QU</t>
  </si>
  <si>
    <t>LT-091251-18/KI</t>
  </si>
  <si>
    <t>LT-092841-18/KI</t>
  </si>
  <si>
    <t>LT-083375-18/KI</t>
  </si>
  <si>
    <t>LT-075283-18/QU</t>
  </si>
  <si>
    <t>LT-061962-18</t>
  </si>
  <si>
    <t>LT-090218-18/KI</t>
  </si>
  <si>
    <t>LT-076175-18/QU</t>
  </si>
  <si>
    <t>92657/18</t>
  </si>
  <si>
    <t>LT-077455-18/NY</t>
  </si>
  <si>
    <t>LT-073265-18/NY</t>
  </si>
  <si>
    <t>LT-090289-18/KI</t>
  </si>
  <si>
    <t>LT-075356-18/QU</t>
  </si>
  <si>
    <t>LT-011129-18/RI</t>
  </si>
  <si>
    <t>LT-076566-18/NY</t>
  </si>
  <si>
    <t>094314/18</t>
  </si>
  <si>
    <t>LT-811658-18/BX</t>
  </si>
  <si>
    <t>2943/2018</t>
  </si>
  <si>
    <t>LT-077061-18/QU</t>
  </si>
  <si>
    <t>LT-059019-18/BX</t>
  </si>
  <si>
    <t>LT-094225-18/KI</t>
  </si>
  <si>
    <t>LT-076825-18/QU</t>
  </si>
  <si>
    <t>94304/18</t>
  </si>
  <si>
    <t>LT-1495-18/QU</t>
  </si>
  <si>
    <t>65391-18</t>
  </si>
  <si>
    <t>LT-070911-18/QU</t>
  </si>
  <si>
    <t>LT-073557-18/KI</t>
  </si>
  <si>
    <t>LT-092848-18/KI</t>
  </si>
  <si>
    <t>LT-043786-18/BX</t>
  </si>
  <si>
    <t>858771-SI-2017</t>
  </si>
  <si>
    <t>LT-77742-18</t>
  </si>
  <si>
    <t>LT-094792-18/KI</t>
  </si>
  <si>
    <t>LT-077052-18/QU</t>
  </si>
  <si>
    <t>LT-077861-18/QU</t>
  </si>
  <si>
    <t>LT-095145-18/KI</t>
  </si>
  <si>
    <t>LT-075402-18/NY</t>
  </si>
  <si>
    <t>LT-076923-18/QU</t>
  </si>
  <si>
    <t>LT-077409-18/QU</t>
  </si>
  <si>
    <t>LT-077550-18/QU</t>
  </si>
  <si>
    <t>LT-085694-18/KI</t>
  </si>
  <si>
    <t>LT-023631-18/KI</t>
  </si>
  <si>
    <t>LT-062963-18/BX</t>
  </si>
  <si>
    <t>LT-079965-18/NY</t>
  </si>
  <si>
    <t>002783/2016</t>
  </si>
  <si>
    <t>LT-080401-18/NY</t>
  </si>
  <si>
    <t>LT-055186-18/KI</t>
  </si>
  <si>
    <t>064186-18/BX</t>
  </si>
  <si>
    <t>43794-18</t>
  </si>
  <si>
    <t>65589/18</t>
  </si>
  <si>
    <t>LT-077252-18/QU</t>
  </si>
  <si>
    <t>LT-075821-18/QU</t>
  </si>
  <si>
    <t>LT-076655-18/NY</t>
  </si>
  <si>
    <t>LT-060921-18/BX</t>
  </si>
  <si>
    <t>LT-067036/18</t>
  </si>
  <si>
    <t>LT-051283-18/BX</t>
  </si>
  <si>
    <t>LT-079782-18/NY</t>
  </si>
  <si>
    <t>LT22273-18/BX</t>
  </si>
  <si>
    <t>LT053682-18/BX</t>
  </si>
  <si>
    <t>LT-078915-18/NY</t>
  </si>
  <si>
    <t>LT-095442-18/KI</t>
  </si>
  <si>
    <t>LT-006395-18/KI</t>
  </si>
  <si>
    <t>LT-078050-18/QU</t>
  </si>
  <si>
    <t>LT080311-18/NY</t>
  </si>
  <si>
    <t>LT-064441-18/BX</t>
  </si>
  <si>
    <t>LT-067457-18/BX</t>
  </si>
  <si>
    <t>LT-006001-19/KI</t>
  </si>
  <si>
    <t>LT-47840-18/BX</t>
  </si>
  <si>
    <t>LT-084935-18/KI</t>
  </si>
  <si>
    <t>LT-066796-18/QU</t>
  </si>
  <si>
    <t>LT-050080-19/QU</t>
  </si>
  <si>
    <t>LT-050134-19/QU</t>
  </si>
  <si>
    <t>LT-064603-18/QU</t>
  </si>
  <si>
    <t>LT-097461-18/KI</t>
  </si>
  <si>
    <t>LT-096221-18/KI</t>
  </si>
  <si>
    <t>LT-086911-18/KI</t>
  </si>
  <si>
    <t>LT-053145-18/RI</t>
  </si>
  <si>
    <t>LT-093816-18/KI</t>
  </si>
  <si>
    <t>LT-9775-19/BX</t>
  </si>
  <si>
    <t>LT-078824-18/QU</t>
  </si>
  <si>
    <t>18B066539</t>
  </si>
  <si>
    <t>LT-063442-18/BX</t>
  </si>
  <si>
    <t>LT-053435-18/RI</t>
  </si>
  <si>
    <t>LT-071835-18/QU</t>
  </si>
  <si>
    <t>LT-077889-18/QU</t>
  </si>
  <si>
    <t>LT-050328-18/QU</t>
  </si>
  <si>
    <t>LT-050521-19/QU</t>
  </si>
  <si>
    <t>LT-078777-18/QU</t>
  </si>
  <si>
    <t>042106/2019</t>
  </si>
  <si>
    <t>LT-096748-18/KI</t>
  </si>
  <si>
    <t>LT-050319-19/QU</t>
  </si>
  <si>
    <t>LT-075484-18/QU</t>
  </si>
  <si>
    <t>LT-083389-18/KI</t>
  </si>
  <si>
    <t>0583-10</t>
  </si>
  <si>
    <t>LT-053436-17/BX</t>
  </si>
  <si>
    <t>LT-080967-18/NY</t>
  </si>
  <si>
    <t>LT-080227-18/NY</t>
  </si>
  <si>
    <t>LT-078352-18/QU</t>
  </si>
  <si>
    <t>LT-072653-18/QU</t>
  </si>
  <si>
    <t>LT-001799-16/KI</t>
  </si>
  <si>
    <t>LT-000202-19/KI</t>
  </si>
  <si>
    <t>LT-077047-18/QU</t>
  </si>
  <si>
    <t>LT-077200-18/QU</t>
  </si>
  <si>
    <t>LT-050786-19/QU</t>
  </si>
  <si>
    <t>LT-083944-18/KI</t>
  </si>
  <si>
    <t>LT-088538-18/KI</t>
  </si>
  <si>
    <t>LT-056118-18/BX</t>
  </si>
  <si>
    <t>LT-060119-18/KI</t>
  </si>
  <si>
    <t>LT-014451-18/QU</t>
  </si>
  <si>
    <t>LT-014432-18/QU</t>
  </si>
  <si>
    <t>075312-18/NY</t>
  </si>
  <si>
    <t>LT-053717-18/RI</t>
  </si>
  <si>
    <t>LT-081497-18/KI</t>
  </si>
  <si>
    <t>LT81925/18-KI</t>
  </si>
  <si>
    <t>042003/2016</t>
  </si>
  <si>
    <t>LT-050126-19/QU</t>
  </si>
  <si>
    <t>LT-089219-18/KI</t>
  </si>
  <si>
    <t>LT-047428-18/BX</t>
  </si>
  <si>
    <t>LT-050684-18/KI</t>
  </si>
  <si>
    <t>LT-057693-18/QU</t>
  </si>
  <si>
    <t>LT-050718-19/QU</t>
  </si>
  <si>
    <t>LT-076775-18/QU</t>
  </si>
  <si>
    <t>711/19</t>
  </si>
  <si>
    <t>LT-050487-19/QU</t>
  </si>
  <si>
    <t>LT-067998-18/QU</t>
  </si>
  <si>
    <t>0042106/2019</t>
  </si>
  <si>
    <t>LT-051181-19/QU</t>
  </si>
  <si>
    <t>907007-CR-2019</t>
  </si>
  <si>
    <t>LT-052062-19/QU</t>
  </si>
  <si>
    <t>LT-076071-18/QU</t>
  </si>
  <si>
    <t>LT-011243-18/RI</t>
  </si>
  <si>
    <t>LT-078059-18/NY</t>
  </si>
  <si>
    <t>LT-022273-18/BX</t>
  </si>
  <si>
    <t>LT-058175-19/KI</t>
  </si>
  <si>
    <t>LT-077375-18/QU</t>
  </si>
  <si>
    <t>LT-077428-18/QU</t>
  </si>
  <si>
    <t>LT-51924-19</t>
  </si>
  <si>
    <t>LT-052071-19/QU</t>
  </si>
  <si>
    <t>67350/18</t>
  </si>
  <si>
    <t>LT-051343-19/QU</t>
  </si>
  <si>
    <t>LT-052254-19/QU</t>
  </si>
  <si>
    <t>LT-052223-19/QU</t>
  </si>
  <si>
    <t>LT-064185-18/NY</t>
  </si>
  <si>
    <t>LT-054080-19/KI</t>
  </si>
  <si>
    <t>LT-006026-19/QU</t>
  </si>
  <si>
    <t>​​LT- 071216/2017</t>
  </si>
  <si>
    <t>LT-044758-18/BX</t>
  </si>
  <si>
    <t>LT-065030-16/BX</t>
  </si>
  <si>
    <t>LT-036039-18/BX</t>
  </si>
  <si>
    <t>LT-000263-19/BX</t>
  </si>
  <si>
    <t>LT-001261-19/BX</t>
  </si>
  <si>
    <t>LT-077681-18/QU</t>
  </si>
  <si>
    <t>LT-050969-19/QU</t>
  </si>
  <si>
    <t>LT-001630-18/QU</t>
  </si>
  <si>
    <t>LT-813372-18/BX</t>
  </si>
  <si>
    <t>LT-000422-19/KI</t>
  </si>
  <si>
    <t>LT-006001-18/QU</t>
  </si>
  <si>
    <t>LT-041310-18/BX</t>
  </si>
  <si>
    <t>LT-060683-18/BX</t>
  </si>
  <si>
    <t>LT-060984-18/BX</t>
  </si>
  <si>
    <t>LT-001885-19/BX</t>
  </si>
  <si>
    <t>LT-068281-18/QU</t>
  </si>
  <si>
    <t>LT-000757-19/BX</t>
  </si>
  <si>
    <t>LT-086822-18/KI</t>
  </si>
  <si>
    <t>LT-055947-18/BX</t>
  </si>
  <si>
    <t>LT-068277-18/BX</t>
  </si>
  <si>
    <t>LT-004539-19/BX</t>
  </si>
  <si>
    <t>LT-061712-18/BX</t>
  </si>
  <si>
    <t>LT-075058-18/QU</t>
  </si>
  <si>
    <t>LT-052797-19/QU</t>
  </si>
  <si>
    <t>LT-053793-18/RI</t>
  </si>
  <si>
    <t>LT-069899-18/QU</t>
  </si>
  <si>
    <t>LT-078224</t>
  </si>
  <si>
    <t>LT-065381-18/BX</t>
  </si>
  <si>
    <t>LT-050806-19/KI</t>
  </si>
  <si>
    <t>LT-094943-18/KI</t>
  </si>
  <si>
    <t>LT-081373-18/NY</t>
  </si>
  <si>
    <t>LT-051987-19/KI</t>
  </si>
  <si>
    <t>LT-094133-18/KI</t>
  </si>
  <si>
    <t>LT-059599-18/BX</t>
  </si>
  <si>
    <t>LT-052054-19/QU</t>
  </si>
  <si>
    <t>LT-081411-18/NY</t>
  </si>
  <si>
    <t>LT-061706-18/BX</t>
  </si>
  <si>
    <t>006844-19</t>
  </si>
  <si>
    <t>LT-002415-19/BX</t>
  </si>
  <si>
    <t>LT-010491-18/BX</t>
  </si>
  <si>
    <t>LT-010271-19/KI</t>
  </si>
  <si>
    <t>LT-052290-19/NY</t>
  </si>
  <si>
    <t>LT-052950-19/NY</t>
  </si>
  <si>
    <t>LT-052435-19/NY</t>
  </si>
  <si>
    <t>LT-004750-19/BX</t>
  </si>
  <si>
    <t>LT-053219-19/KI</t>
  </si>
  <si>
    <t>LT-050857-19/QU</t>
  </si>
  <si>
    <t>LT-080986-14/QU</t>
  </si>
  <si>
    <t>LT-067937-17/NY</t>
  </si>
  <si>
    <t>LT-053310-19/QU</t>
  </si>
  <si>
    <t>LT-080613/17-NY</t>
  </si>
  <si>
    <t>LT-082834-18/KI</t>
  </si>
  <si>
    <t>LT54009/19NY</t>
  </si>
  <si>
    <t>LT-096418-18/KI</t>
  </si>
  <si>
    <t>LT-061888-18/BX</t>
  </si>
  <si>
    <t>LT-051155-19/QU</t>
  </si>
  <si>
    <t>LT-052467-19/NY</t>
  </si>
  <si>
    <t>LT-055196-19/KI</t>
  </si>
  <si>
    <t>LT-812636-18/BX</t>
  </si>
  <si>
    <t>907028-CR-19</t>
  </si>
  <si>
    <t>LT-052525-19/KI</t>
  </si>
  <si>
    <t>LT-521413-2019</t>
  </si>
  <si>
    <t>LT-006462-19/BX</t>
  </si>
  <si>
    <t>LT-090565-18/KI</t>
  </si>
  <si>
    <t>LT-004568-19/BX</t>
  </si>
  <si>
    <t>906205-NB-2018</t>
  </si>
  <si>
    <t>LT-007076-19/BX</t>
  </si>
  <si>
    <t>LT-007160-19/BX</t>
  </si>
  <si>
    <t>LT-015580-18/KI</t>
  </si>
  <si>
    <t>HP-006013-19/QU</t>
  </si>
  <si>
    <t>LT-053965-19/QU</t>
  </si>
  <si>
    <t>LT-053348-19/QU</t>
  </si>
  <si>
    <t>LT-250294-19 and LT-25142-17</t>
  </si>
  <si>
    <t>LT-251661-18/HA</t>
  </si>
  <si>
    <t>LT-052329-19/KI</t>
  </si>
  <si>
    <t>LT-050451-19/RI</t>
  </si>
  <si>
    <t>LT-051950-19/QU</t>
  </si>
  <si>
    <t>LT-050757-19/QU</t>
  </si>
  <si>
    <t>LT-078222-18/QU</t>
  </si>
  <si>
    <t>LT-54375-19/QU</t>
  </si>
  <si>
    <t>unknown</t>
  </si>
  <si>
    <t>LT-074207-18/KI</t>
  </si>
  <si>
    <t>LT-004790-19/BX</t>
  </si>
  <si>
    <t>LT-053396-19/QU</t>
  </si>
  <si>
    <t>LT-089380-18/KI</t>
  </si>
  <si>
    <t>LT-007688-19/BX</t>
  </si>
  <si>
    <t>LT-053659-19/QU</t>
  </si>
  <si>
    <t>LT-050631-19/QU</t>
  </si>
  <si>
    <t>LT-052681-19/QU</t>
  </si>
  <si>
    <t>LT-006868-19/BX</t>
  </si>
  <si>
    <t>LT-061686-19/KI</t>
  </si>
  <si>
    <t>LT-054442-19/QU</t>
  </si>
  <si>
    <t>LT-053740-19/QU</t>
  </si>
  <si>
    <t>LT-061268-18/BX</t>
  </si>
  <si>
    <t>LT-006247-19/BX</t>
  </si>
  <si>
    <t>LT-053450-19/KI</t>
  </si>
  <si>
    <t>LT-014279-19/BX</t>
  </si>
  <si>
    <t>LT-058350-18/BX</t>
  </si>
  <si>
    <t>LT-052834-19/QU</t>
  </si>
  <si>
    <t>LT-54413/2019</t>
  </si>
  <si>
    <t>LT-053125-19/QU</t>
  </si>
  <si>
    <t>LT-002960-19/BX</t>
  </si>
  <si>
    <t>LT-006071-19/BX</t>
  </si>
  <si>
    <t>LT-010622-19/BX</t>
  </si>
  <si>
    <t>LT-003095-19/BX</t>
  </si>
  <si>
    <t>unkown</t>
  </si>
  <si>
    <t>LT-004266-19/BX</t>
  </si>
  <si>
    <t>LT-006831-19/BX</t>
  </si>
  <si>
    <t>LT-008596-19/BX</t>
  </si>
  <si>
    <t>94923/18-KI</t>
  </si>
  <si>
    <t>LT-068976-18/BX</t>
  </si>
  <si>
    <t>LT 60098/19/KI</t>
  </si>
  <si>
    <t>LT-080332-18/NY</t>
  </si>
  <si>
    <t>LT-054751-19/NY</t>
  </si>
  <si>
    <t>LT-054500-18/QU</t>
  </si>
  <si>
    <t>LT-009656-19/BX</t>
  </si>
  <si>
    <t>LT-800016-19/BX</t>
  </si>
  <si>
    <t>LT-801495-19/BX</t>
  </si>
  <si>
    <t>LT-09632-18/KI</t>
  </si>
  <si>
    <t>LT-067737-18/BX</t>
  </si>
  <si>
    <t>LT-079637-18/NY</t>
  </si>
  <si>
    <t>12438/19</t>
  </si>
  <si>
    <t>LT-050268-19/NY</t>
  </si>
  <si>
    <t>LT-051895-19/NY</t>
  </si>
  <si>
    <t>LT-057726-19/KI</t>
  </si>
  <si>
    <t>LT-055068-19/NY</t>
  </si>
  <si>
    <t>LT-050987-19/NY</t>
  </si>
  <si>
    <t>LT-009301-19/BX</t>
  </si>
  <si>
    <t>LT-009298-19/BX</t>
  </si>
  <si>
    <t>LT-078211-18/QU</t>
  </si>
  <si>
    <t>LT-058048-19/KI</t>
  </si>
  <si>
    <t>LT-80906-18/NY</t>
  </si>
  <si>
    <t>LT-000805-19/KI</t>
  </si>
  <si>
    <t>50464/19</t>
  </si>
  <si>
    <t>LT-053292-19/QU</t>
  </si>
  <si>
    <t>LT-050476-19/RI</t>
  </si>
  <si>
    <t>LT-054993-19/QU</t>
  </si>
  <si>
    <t>LT-056789-19/KI</t>
  </si>
  <si>
    <t>LT-053331-19/QU</t>
  </si>
  <si>
    <t>LT-056105-19 QU</t>
  </si>
  <si>
    <t>LT-075440-18/QU</t>
  </si>
  <si>
    <t>LT-125297-18/NY</t>
  </si>
  <si>
    <t>LT-013161-19/KI</t>
  </si>
  <si>
    <t>LT-053185-19/KI</t>
  </si>
  <si>
    <t>LT-801955-18/BX</t>
  </si>
  <si>
    <t>LT-050579-19/RI</t>
  </si>
  <si>
    <t>LT-012271-19/NY</t>
  </si>
  <si>
    <t>LT-008522-19/BX</t>
  </si>
  <si>
    <t>LT-011774-18/BX</t>
  </si>
  <si>
    <t>LT-010082-19/BX</t>
  </si>
  <si>
    <t>HP-000056-19/QU</t>
  </si>
  <si>
    <t>LT-051880-19/KI</t>
  </si>
  <si>
    <t>LT-004302-19/BX</t>
  </si>
  <si>
    <t>LT-058109-19/KI</t>
  </si>
  <si>
    <t>LT-053303-19/QU</t>
  </si>
  <si>
    <t>LT-008249-19/BX</t>
  </si>
  <si>
    <t>LT-050178-19/KI</t>
  </si>
  <si>
    <t>LT-057952-19/KI</t>
  </si>
  <si>
    <t>LT-053792-19/KI</t>
  </si>
  <si>
    <t>LT-004750-18/BX</t>
  </si>
  <si>
    <t>LT-054530-19/QU</t>
  </si>
  <si>
    <t>LT-56418/19</t>
  </si>
  <si>
    <t>HP-06081-19/QU</t>
  </si>
  <si>
    <t>HN-310008-B</t>
  </si>
  <si>
    <t>LT-053475-18/RI</t>
  </si>
  <si>
    <t>LT-52985-19/KI</t>
  </si>
  <si>
    <t>LT-011291-19/BX</t>
  </si>
  <si>
    <t>LT-010544-19/BX</t>
  </si>
  <si>
    <t>LT-070773-17/Bx</t>
  </si>
  <si>
    <t>LT-093560-18/KI</t>
  </si>
  <si>
    <t>LT-050728-19/RI</t>
  </si>
  <si>
    <t>LT-806795-18/BX</t>
  </si>
  <si>
    <t>LT-012360-19/BX</t>
  </si>
  <si>
    <t>LT-078831-18/QU</t>
  </si>
  <si>
    <t>LT-013729-19/BX</t>
  </si>
  <si>
    <t>LT-013585-19/BX</t>
  </si>
  <si>
    <t>LT-011990-19/NY</t>
  </si>
  <si>
    <t>LT-022876-14/BX</t>
  </si>
  <si>
    <t>68026/18</t>
  </si>
  <si>
    <t>LT-809224-18/BX</t>
  </si>
  <si>
    <t>LT-050497-19/RI</t>
  </si>
  <si>
    <t>LT-000055-19/RI</t>
  </si>
  <si>
    <t>LT-012046-19/BX</t>
  </si>
  <si>
    <t>LT-012424-18/BX</t>
  </si>
  <si>
    <t>LT-52542-19/QU</t>
  </si>
  <si>
    <t>LT-050339-19/QU</t>
  </si>
  <si>
    <t>LT-054573-19/QU</t>
  </si>
  <si>
    <t>LT-013224-19/BX</t>
  </si>
  <si>
    <t>LT-050238-19/KI</t>
  </si>
  <si>
    <t>LT-057099-19/QU</t>
  </si>
  <si>
    <t>LT-051599-19/KI</t>
  </si>
  <si>
    <t>LT-050828-19/RI</t>
  </si>
  <si>
    <t>LT-059691-19/KI</t>
  </si>
  <si>
    <t>LT-016552-19/BX</t>
  </si>
  <si>
    <t>LT-054007-19/QU</t>
  </si>
  <si>
    <t>LT-077774-18/QU</t>
  </si>
  <si>
    <t>LT-051816-18/BX</t>
  </si>
  <si>
    <t>LT-056992-19/KI</t>
  </si>
  <si>
    <t>LT-050669-19/RI</t>
  </si>
  <si>
    <t>LT-060060-19/KI</t>
  </si>
  <si>
    <t>Lt-60627/19</t>
  </si>
  <si>
    <t>LT-016089-19/BX</t>
  </si>
  <si>
    <t>LT-054231-19/NY</t>
  </si>
  <si>
    <t>LT-056902-19/QU</t>
  </si>
  <si>
    <t>LT-006060-19/BX</t>
  </si>
  <si>
    <t>LT-013325-19/BX</t>
  </si>
  <si>
    <t>LT-050710-19/RI</t>
  </si>
  <si>
    <t>LT-007716-19/BX</t>
  </si>
  <si>
    <t>LT-50646-19/RI</t>
  </si>
  <si>
    <t>LT-017044-19/BX</t>
  </si>
  <si>
    <t>LT-004686-19/BX</t>
  </si>
  <si>
    <t>LT-013980-19/BX</t>
  </si>
  <si>
    <t>LT-060592-19/KI</t>
  </si>
  <si>
    <t>LT-069256-19/KI</t>
  </si>
  <si>
    <t>LT-50618-19/RI</t>
  </si>
  <si>
    <t>LT-056823-19/QU</t>
  </si>
  <si>
    <t>LT-050583-19/RI</t>
  </si>
  <si>
    <t>LT-056370-19/KI</t>
  </si>
  <si>
    <t>LT-058727-19/KI</t>
  </si>
  <si>
    <t>LT-015772-19/BX</t>
  </si>
  <si>
    <t>LT-001985-19/BX</t>
  </si>
  <si>
    <t>903278-NB-2018</t>
  </si>
  <si>
    <t>LT-015463-19/BX</t>
  </si>
  <si>
    <t>LT-006522-19/BX</t>
  </si>
  <si>
    <t>LT-057009-19/QU</t>
  </si>
  <si>
    <t>LT-004839-19/BX</t>
  </si>
  <si>
    <t>LT-050365-19/NY</t>
  </si>
  <si>
    <t>LT-054710-19/QU</t>
  </si>
  <si>
    <t>LT-010829-19/QU</t>
  </si>
  <si>
    <t>LT-000128-19/BX</t>
  </si>
  <si>
    <t>LT-006663-19/BX</t>
  </si>
  <si>
    <t>LT-10859-19/QU</t>
  </si>
  <si>
    <t>55526/19</t>
  </si>
  <si>
    <t>065538/18</t>
  </si>
  <si>
    <t>LT010921-19/QU</t>
  </si>
  <si>
    <t>LT-001744-19/BX</t>
  </si>
  <si>
    <t>LT-050535-19/RI</t>
  </si>
  <si>
    <t>LT-053861-19/QU</t>
  </si>
  <si>
    <t>LT-057355-19/NY</t>
  </si>
  <si>
    <t>LT-012021-19/BX</t>
  </si>
  <si>
    <t>LT-055366-19/QU</t>
  </si>
  <si>
    <t>LT-056552-19/QU</t>
  </si>
  <si>
    <t>LT-012147-19/BX</t>
  </si>
  <si>
    <t>LT-056172-19/NY</t>
  </si>
  <si>
    <t>LT-012452-19/BX</t>
  </si>
  <si>
    <t>LT-064998-18/NY</t>
  </si>
  <si>
    <t>LT062262/19</t>
  </si>
  <si>
    <t>LT-802729-19/BX</t>
  </si>
  <si>
    <t>LT-058473-19/KI</t>
  </si>
  <si>
    <t xml:space="preserve">LT-015989-19/BX </t>
  </si>
  <si>
    <t>LT-068302-18/BX</t>
  </si>
  <si>
    <t>LT-050752-19/RI</t>
  </si>
  <si>
    <t>LT-010165-19/RI</t>
  </si>
  <si>
    <t>LT-059506-19/KI</t>
  </si>
  <si>
    <t>LT-080720-18/NY</t>
  </si>
  <si>
    <t>LT-057307-19/NY</t>
  </si>
  <si>
    <t>LT-010761-19/NY</t>
  </si>
  <si>
    <t>LT-050846-19/NY</t>
  </si>
  <si>
    <t>LT-005459-19/BX</t>
  </si>
  <si>
    <t>LT-56742-19</t>
  </si>
  <si>
    <t>LT-057305-19/NY</t>
  </si>
  <si>
    <t>LT-059221-19/KI</t>
  </si>
  <si>
    <t>LT-012943-19/KI</t>
  </si>
  <si>
    <t>LT-015184-19/BX</t>
  </si>
  <si>
    <t>LT-85080-18/KI</t>
  </si>
  <si>
    <t>LT-050405-19/RI</t>
  </si>
  <si>
    <t>LT-78222-18/QU</t>
  </si>
  <si>
    <t>LT-069184-19/KI</t>
  </si>
  <si>
    <t>LT-0018316-19/BX</t>
  </si>
  <si>
    <t>LT-068421-18/BX</t>
  </si>
  <si>
    <t>LT-008185-19/BX</t>
  </si>
  <si>
    <t>LT-061180-19/KI</t>
  </si>
  <si>
    <t>LT-057728-17/KI</t>
  </si>
  <si>
    <t>LT-050841-19/RI</t>
  </si>
  <si>
    <t>LT-017556-19/BX</t>
  </si>
  <si>
    <t>LT-013273-19/BX</t>
  </si>
  <si>
    <t>LT-016253-18/NY</t>
  </si>
  <si>
    <t>LT-068345-18/KI</t>
  </si>
  <si>
    <t>67070/18</t>
  </si>
  <si>
    <t>LT-018136-19/BX</t>
  </si>
  <si>
    <t>LT-010250-19/RI</t>
  </si>
  <si>
    <t>LT-011201-19/BX</t>
  </si>
  <si>
    <t>LT-057324-19/NY</t>
  </si>
  <si>
    <t>LT-810376-17/BX</t>
  </si>
  <si>
    <t>LT-050974-19/RI</t>
  </si>
  <si>
    <t>LT-804758-18/BX</t>
  </si>
  <si>
    <t>LT-010851-19/BX</t>
  </si>
  <si>
    <t>LT-051021-19/RI</t>
  </si>
  <si>
    <t>LT-016613-19/BX</t>
  </si>
  <si>
    <t>LT-57069-19/QU</t>
  </si>
  <si>
    <t>LT-069285-19/KI</t>
  </si>
  <si>
    <t>LT-050626-19/RI</t>
  </si>
  <si>
    <t>LT-050985-19/RI</t>
  </si>
  <si>
    <t>LT-057938-19/KI</t>
  </si>
  <si>
    <t>LT-055755-19/NY</t>
  </si>
  <si>
    <t>LT-018395-18/KI</t>
  </si>
  <si>
    <t>LT-062789-19/KI</t>
  </si>
  <si>
    <t>GX 110120 OM</t>
  </si>
  <si>
    <t>GX 110098 OM</t>
  </si>
  <si>
    <t>LT-002252-19/BX</t>
  </si>
  <si>
    <t>LT-065549-18/BX</t>
  </si>
  <si>
    <t>LT-075868-18/NY</t>
  </si>
  <si>
    <t>LT-058040-19/NY</t>
  </si>
  <si>
    <t>LT-013067-19/BX</t>
  </si>
  <si>
    <t>LT-053712-18/RI</t>
  </si>
  <si>
    <t>LT-019186-19/BX</t>
  </si>
  <si>
    <t>LT-018756-19/BX</t>
  </si>
  <si>
    <t>GX 110104 OM</t>
  </si>
  <si>
    <t>LT-071473-18/NY</t>
  </si>
  <si>
    <t>LT-083382-18/KI</t>
  </si>
  <si>
    <t>LT-019848-19/BX</t>
  </si>
  <si>
    <t>LT-017727-19/BX</t>
  </si>
  <si>
    <t>LT-007397-19/BX</t>
  </si>
  <si>
    <t>LT-58178-19/QU</t>
  </si>
  <si>
    <t>LT-052742-19/QU</t>
  </si>
  <si>
    <t>LT-050845-19/RI</t>
  </si>
  <si>
    <t>LT-019881-19/BX</t>
  </si>
  <si>
    <t>LT-019217-19/BX</t>
  </si>
  <si>
    <t>LT-010998-19/BX</t>
  </si>
  <si>
    <t>LT-019073-19/BX</t>
  </si>
  <si>
    <t>LT-058143-19/NY</t>
  </si>
  <si>
    <t>LT-008901-19/BX</t>
  </si>
  <si>
    <t>LT-017677-19/BX</t>
  </si>
  <si>
    <t>LT-017853-18/KI</t>
  </si>
  <si>
    <t>CG0045/19BX</t>
  </si>
  <si>
    <t>LT-050679-19/RI</t>
  </si>
  <si>
    <t>LT-010137-19/RI</t>
  </si>
  <si>
    <t>LT-051046-19/RI</t>
  </si>
  <si>
    <t>LT-058871-19/KI</t>
  </si>
  <si>
    <t>LT-050902-19/RI</t>
  </si>
  <si>
    <t>LT-063136-19/KI</t>
  </si>
  <si>
    <t>LT-057818-19/KI</t>
  </si>
  <si>
    <t>LT-018743-19/BX</t>
  </si>
  <si>
    <t>LT-050775-19/RI</t>
  </si>
  <si>
    <t>LT-050855-19/RI</t>
  </si>
  <si>
    <t>LT-017825-19/BX</t>
  </si>
  <si>
    <t>LT-86570-18/KI</t>
  </si>
  <si>
    <t>LT-058530-19/NY</t>
  </si>
  <si>
    <t>LT-022732-19/BX</t>
  </si>
  <si>
    <t>705489/2019</t>
  </si>
  <si>
    <t>LT-005510-19/BX</t>
  </si>
  <si>
    <t>LT-018158-19/BX</t>
  </si>
  <si>
    <t>LT-210345-19/HA</t>
  </si>
  <si>
    <t>06187-19</t>
  </si>
  <si>
    <t>LT-008473-19/BX</t>
  </si>
  <si>
    <t>LT-050971-18/BX</t>
  </si>
  <si>
    <t>LT-019011-19/BX</t>
  </si>
  <si>
    <t>LT-051149-19/QU</t>
  </si>
  <si>
    <t>LT-053183-18/BX</t>
  </si>
  <si>
    <t>LT-058896-19/NY</t>
  </si>
  <si>
    <t>LT-018702-19/BX</t>
  </si>
  <si>
    <t>LT-059234-19/NY</t>
  </si>
  <si>
    <t>LT-3337-19</t>
  </si>
  <si>
    <t>LT-019839-19/BX</t>
  </si>
  <si>
    <t>LT-014641-19/KI</t>
  </si>
  <si>
    <t>LT-078556-19 QU</t>
  </si>
  <si>
    <t>LT 77472-18 QU</t>
  </si>
  <si>
    <t>LT-068732-18</t>
  </si>
  <si>
    <t>LT-059232-19/NY</t>
  </si>
  <si>
    <t>LT-058684-19/NY</t>
  </si>
  <si>
    <t>LT-059137-18/BX</t>
  </si>
  <si>
    <t>LT-063928-19/KI</t>
  </si>
  <si>
    <t>LT-019616-19/BX</t>
  </si>
  <si>
    <t>LT-803684-19/BX</t>
  </si>
  <si>
    <t>LT-039030-18/BX</t>
  </si>
  <si>
    <t>LT-055522-19/NY</t>
  </si>
  <si>
    <t>LT-054719-19/NY</t>
  </si>
  <si>
    <t>LT-064893-19/KI</t>
  </si>
  <si>
    <t>LT-054563-19/NY</t>
  </si>
  <si>
    <t>LT-016725-19/BX</t>
  </si>
  <si>
    <t>LT-063387-19/KI</t>
  </si>
  <si>
    <t>LT-014905-19</t>
  </si>
  <si>
    <t>LT-061993-19/KI</t>
  </si>
  <si>
    <t>LT-009967-19/BX</t>
  </si>
  <si>
    <t>LT-062512-18/BX</t>
  </si>
  <si>
    <t>LT-014455-19/BX</t>
  </si>
  <si>
    <t>LT-802893-19</t>
  </si>
  <si>
    <t>LT-250713-19/NY</t>
  </si>
  <si>
    <t>LT-803018-19/BX</t>
  </si>
  <si>
    <t>LT-57513-19/RI</t>
  </si>
  <si>
    <t>LT-51015-19/RI</t>
  </si>
  <si>
    <t>LT-016738-19/BX</t>
  </si>
  <si>
    <t>LT-019064-19/BX</t>
  </si>
  <si>
    <t>LT-020421-19/BX</t>
  </si>
  <si>
    <t>LT-060054-19/NY</t>
  </si>
  <si>
    <t>LT-071816-17/NY</t>
  </si>
  <si>
    <t>LT-019054-19/BX</t>
  </si>
  <si>
    <t>LT-0058453-19/Qu</t>
  </si>
  <si>
    <t>LT-006078-19/BX</t>
  </si>
  <si>
    <t>LT-001094-19/BX</t>
  </si>
  <si>
    <t>LT-020207-19/BX</t>
  </si>
  <si>
    <t>LT-050700-19/RI</t>
  </si>
  <si>
    <t>LT-020258-19/BX</t>
  </si>
  <si>
    <t>LT-052689-18/BX</t>
  </si>
  <si>
    <t>LT-053033-19/QU</t>
  </si>
  <si>
    <t>LT-022101-19/BX</t>
  </si>
  <si>
    <t>LT-050896-19/RI</t>
  </si>
  <si>
    <t>LT-011010-19/BX</t>
  </si>
  <si>
    <t>LT-018751-19/BX</t>
  </si>
  <si>
    <t>LT-058626-19/QU</t>
  </si>
  <si>
    <t>LT-022321-19/BX</t>
  </si>
  <si>
    <t>LT-022472-19/BX</t>
  </si>
  <si>
    <t>LT-051257-19/RI</t>
  </si>
  <si>
    <t>LT50922-19/RI</t>
  </si>
  <si>
    <t>LT-017744-19/BX</t>
  </si>
  <si>
    <t>LT-803069-19/BX</t>
  </si>
  <si>
    <t>LT-063618-19/KI</t>
  </si>
  <si>
    <t>LT-011051-19 QU</t>
  </si>
  <si>
    <t>LT-52664-18</t>
  </si>
  <si>
    <t>LT-051009-19/RI</t>
  </si>
  <si>
    <t>LT-021554-19/BX</t>
  </si>
  <si>
    <t>LT-59994-19/QU</t>
  </si>
  <si>
    <t>LT-019435-19/BX</t>
  </si>
  <si>
    <t>016737-19/BX</t>
  </si>
  <si>
    <t>LT-020059-19/BX</t>
  </si>
  <si>
    <t>LT-021007-19/BX</t>
  </si>
  <si>
    <t>LT-021614-19/BX</t>
  </si>
  <si>
    <t>LT-054507-19/QU</t>
  </si>
  <si>
    <t>65959-19</t>
  </si>
  <si>
    <t>LT-057984-19/NY</t>
  </si>
  <si>
    <t>LT-022315-19/BX</t>
  </si>
  <si>
    <t>51189/2019</t>
  </si>
  <si>
    <t>65250/19</t>
  </si>
  <si>
    <t>HP-1375-19/KI</t>
  </si>
  <si>
    <t>LT-050512-19/RI</t>
  </si>
  <si>
    <t>LT-066319-19/KI</t>
  </si>
  <si>
    <t>LT-017546-19/BX</t>
  </si>
  <si>
    <t>LT-00329-19/BX</t>
  </si>
  <si>
    <t>LT-057099-19/KI</t>
  </si>
  <si>
    <t>LT-00326-19/BX</t>
  </si>
  <si>
    <t>LT-059152-19/NY</t>
  </si>
  <si>
    <t>LT-011344-18/RI</t>
  </si>
  <si>
    <t>LT-066127-19/KI</t>
  </si>
  <si>
    <t>LT-041385-18/BX</t>
  </si>
  <si>
    <t>LT-060346-19/QU</t>
  </si>
  <si>
    <t>LT-023949-19/BX</t>
  </si>
  <si>
    <t>LT-072048-18/QU</t>
  </si>
  <si>
    <t>LT-015372-19/BX</t>
  </si>
  <si>
    <t>GX210004NC</t>
  </si>
  <si>
    <t>LT-020266-19/BX</t>
  </si>
  <si>
    <t>LT-022698-19/BX</t>
  </si>
  <si>
    <t>LT-021068-19/BX</t>
  </si>
  <si>
    <t>LT-062392-18/BX</t>
  </si>
  <si>
    <t>LT-066348-19/KI</t>
  </si>
  <si>
    <t>Lt-058256-18/bx</t>
  </si>
  <si>
    <t>L&amp;T-0577818-19/KI</t>
  </si>
  <si>
    <t>LT-022999-19/BX</t>
  </si>
  <si>
    <t>LT-021736-19/BX</t>
  </si>
  <si>
    <t>LT-053237-19/BX</t>
  </si>
  <si>
    <t>LT-051044-19/RI</t>
  </si>
  <si>
    <t>LT-024280-19/BX</t>
  </si>
  <si>
    <t>058115/18</t>
  </si>
  <si>
    <t>LT-059597-19/QU</t>
  </si>
  <si>
    <t>LT-016088-19/BX</t>
  </si>
  <si>
    <t>LT-023787-19/BX</t>
  </si>
  <si>
    <t>028018-18</t>
  </si>
  <si>
    <t>LT-75157-17/KI</t>
  </si>
  <si>
    <t>LT-60371-19/QU</t>
  </si>
  <si>
    <t>LT-023615-19/BX</t>
  </si>
  <si>
    <t>LT-061442-19/NY</t>
  </si>
  <si>
    <t>LT-059691-19/QU</t>
  </si>
  <si>
    <t>LT-065150-19/KI</t>
  </si>
  <si>
    <t>LT-014982-19/KI</t>
  </si>
  <si>
    <t>66193/19</t>
  </si>
  <si>
    <t>60711/19</t>
  </si>
  <si>
    <t>LT-023462-19/BX</t>
  </si>
  <si>
    <t>LT-014951-19/KI</t>
  </si>
  <si>
    <t>LT-023483-19/BX</t>
  </si>
  <si>
    <t>LT-065877-19/KI</t>
  </si>
  <si>
    <t>LT-019983-18KI</t>
  </si>
  <si>
    <t>LT-066396-19/KI</t>
  </si>
  <si>
    <t>LT-032397-18/BX</t>
  </si>
  <si>
    <t>LT-052713-19</t>
  </si>
  <si>
    <t>LT-51128-19/RI</t>
  </si>
  <si>
    <t>LT-059605-19/QU</t>
  </si>
  <si>
    <t>LT-021961-19/BX</t>
  </si>
  <si>
    <t>LT-051018-19/RI</t>
  </si>
  <si>
    <t>LT-051297-19/RI</t>
  </si>
  <si>
    <t>48997/18</t>
  </si>
  <si>
    <t>LT-021716-19/BX</t>
  </si>
  <si>
    <t>LT-018107-19/BX</t>
  </si>
  <si>
    <t>100498-19</t>
  </si>
  <si>
    <t>LT-066195-19/KI</t>
  </si>
  <si>
    <t>LT-068842-18/BX</t>
  </si>
  <si>
    <t>LT-065796-19/KI</t>
  </si>
  <si>
    <t>LT-022027-19/BX</t>
  </si>
  <si>
    <t>LT-052548-19/KI</t>
  </si>
  <si>
    <t>LT-054142-19/NY</t>
  </si>
  <si>
    <t>LT-017392-18/BX</t>
  </si>
  <si>
    <t>LT-067423-19/KI</t>
  </si>
  <si>
    <t>LT-060612-19/NY</t>
  </si>
  <si>
    <t>LT-057484-19/NY</t>
  </si>
  <si>
    <t>LT-023714-19/BX</t>
  </si>
  <si>
    <t>LT-060376-19/QU</t>
  </si>
  <si>
    <t>LT-014787-19/BX</t>
  </si>
  <si>
    <t>LT-060275-19/QU</t>
  </si>
  <si>
    <t>LT-024283-19/BX</t>
  </si>
  <si>
    <t>LT-053109-19/QU</t>
  </si>
  <si>
    <t>LT-060607-19/QU</t>
  </si>
  <si>
    <t>LT-060765-19/QU</t>
  </si>
  <si>
    <t>LT-059007-19/QU</t>
  </si>
  <si>
    <t>LT-060758-19/QU</t>
  </si>
  <si>
    <t>LT-60156-19/QU</t>
  </si>
  <si>
    <t>LT-804621-19/BX</t>
  </si>
  <si>
    <t>LT-065513-19/KI</t>
  </si>
  <si>
    <t>LT-061825-19/BX</t>
  </si>
  <si>
    <t>LT-060285-19/QU</t>
  </si>
  <si>
    <t>LT-023803-19/BX</t>
  </si>
  <si>
    <t>LT-019048-19/BX</t>
  </si>
  <si>
    <t>LT-023181-19/BX</t>
  </si>
  <si>
    <t>LT-23500-19/BX</t>
  </si>
  <si>
    <t>LT-023263-19/BX</t>
  </si>
  <si>
    <t>LT-021706-19/BX</t>
  </si>
  <si>
    <t>LT-060791-19/QU</t>
  </si>
  <si>
    <t>LT-024179-19/BX</t>
  </si>
  <si>
    <t>LT-061134-19 QU</t>
  </si>
  <si>
    <t>LT-078660-18/QU</t>
  </si>
  <si>
    <t>LT-059974-19/QU</t>
  </si>
  <si>
    <t>250601-19</t>
  </si>
  <si>
    <t>LT-026365-19/BX</t>
  </si>
  <si>
    <t>LT-085625-18/KI</t>
  </si>
  <si>
    <t>LT-052380-18/BX</t>
  </si>
  <si>
    <t>LT-023953-19/BX</t>
  </si>
  <si>
    <t>LT-060296-19/NY</t>
  </si>
  <si>
    <t>LT-013662-19/NY</t>
  </si>
  <si>
    <t>LT-023278-19/BX</t>
  </si>
  <si>
    <t>LT-051776-19/KI</t>
  </si>
  <si>
    <t>LT-61130-19 QU</t>
  </si>
  <si>
    <t>LT-025080-19/BX</t>
  </si>
  <si>
    <t>LT-017798-19/BX</t>
  </si>
  <si>
    <t>LT-023751-19/BX</t>
  </si>
  <si>
    <t>LT-024322-19/BX</t>
  </si>
  <si>
    <t>LT-021330-19/BX</t>
  </si>
  <si>
    <t>LT-010673-19/BX</t>
  </si>
  <si>
    <t>65646/19</t>
  </si>
  <si>
    <t>LT-008693-19/BX</t>
  </si>
  <si>
    <t>LT-008277-18/BX</t>
  </si>
  <si>
    <t>LT-25889-19/BX</t>
  </si>
  <si>
    <t>LT-024618-19/BX</t>
  </si>
  <si>
    <t>LT-021409-19/BX</t>
  </si>
  <si>
    <t>LT-020949-19/BX</t>
  </si>
  <si>
    <t>LT-058261-19/KI</t>
  </si>
  <si>
    <t>LT-024396-19/BX</t>
  </si>
  <si>
    <t>LT-022445-19/BX</t>
  </si>
  <si>
    <t>New York City Housing Authority managed by Parkside Houses</t>
  </si>
  <si>
    <t>dont have it now</t>
  </si>
  <si>
    <t>LT-051360-19/RI</t>
  </si>
  <si>
    <t>LT-023018-19/BX</t>
  </si>
  <si>
    <t>068361-19</t>
  </si>
  <si>
    <t>LT-012494-19/BX</t>
  </si>
  <si>
    <t>LT-051208-19/RI</t>
  </si>
  <si>
    <t>67480-19</t>
  </si>
  <si>
    <t>78120/19</t>
  </si>
  <si>
    <t>LT-60284-19/KI</t>
  </si>
  <si>
    <t>LT-026735-19/BX</t>
  </si>
  <si>
    <t>LT-068253-19/KI</t>
  </si>
  <si>
    <t>LT-060978-19/QU</t>
  </si>
  <si>
    <t>11700-19/QU</t>
  </si>
  <si>
    <t>061175-19/QU</t>
  </si>
  <si>
    <t>LT-068259-19/KI</t>
  </si>
  <si>
    <t>Lt-021899-19/BX</t>
  </si>
  <si>
    <t>LT-051229-19/RI</t>
  </si>
  <si>
    <t>LT-051328-19/RI</t>
  </si>
  <si>
    <t>LT-058483-19/QU</t>
  </si>
  <si>
    <t>LT-090290-18/KI</t>
  </si>
  <si>
    <t>LT-007945-19/BX</t>
  </si>
  <si>
    <t>LT-026354-19/BX</t>
  </si>
  <si>
    <t>LT-010677-19/BX</t>
  </si>
  <si>
    <t>LT-54825-19/KI</t>
  </si>
  <si>
    <t>LT-6191-19/QU</t>
  </si>
  <si>
    <t>LT-027113-19/BX</t>
  </si>
  <si>
    <t>LT-000000-19/QU</t>
  </si>
  <si>
    <t>LT-026187-19/BX</t>
  </si>
  <si>
    <t>LT-064986-19/KI</t>
  </si>
  <si>
    <t>LT66112-19/KI</t>
  </si>
  <si>
    <t>51296-19/RI</t>
  </si>
  <si>
    <t>LT-007084-19/BX</t>
  </si>
  <si>
    <t>LT-023130-19/BX</t>
  </si>
  <si>
    <t>LT-026178-19/BX</t>
  </si>
  <si>
    <t>LT-067557-19/KI</t>
  </si>
  <si>
    <t>LT-037303-18/BX</t>
  </si>
  <si>
    <t>LT-024503-19/BX</t>
  </si>
  <si>
    <t>2017-01875 KI</t>
  </si>
  <si>
    <t>LT-067374-17/KI</t>
  </si>
  <si>
    <t>LT-022641-19/BX</t>
  </si>
  <si>
    <t>LT-065317-19/KI</t>
  </si>
  <si>
    <t>LT-026492-19/BX</t>
  </si>
  <si>
    <t>CV-300197-18/BX</t>
  </si>
  <si>
    <t>LT-036390-18/BX</t>
  </si>
  <si>
    <t>LT-025450-19/BX</t>
  </si>
  <si>
    <t>LT-026145-19/BX</t>
  </si>
  <si>
    <t>LT-010223-19/RI</t>
  </si>
  <si>
    <t>LT-57820-19/QU</t>
  </si>
  <si>
    <t>LT-026250-19/BX</t>
  </si>
  <si>
    <t>LT-020245-19/BX</t>
  </si>
  <si>
    <t>LT-026296-19/BX</t>
  </si>
  <si>
    <t>LT-061532-19/QU</t>
  </si>
  <si>
    <t>LT-087846-18/KI</t>
  </si>
  <si>
    <t>LT-061857-19/QU</t>
  </si>
  <si>
    <t>LT-069755-19/KI</t>
  </si>
  <si>
    <t>LT-001631-19/KI</t>
  </si>
  <si>
    <t>LT-001433-19/KI</t>
  </si>
  <si>
    <t>LT-061422-19/QU</t>
  </si>
  <si>
    <t>LT-011277-19/QU</t>
  </si>
  <si>
    <t>LT-001473-19/BX</t>
  </si>
  <si>
    <t>083179-18</t>
  </si>
  <si>
    <t>LT-015503-19/BX</t>
  </si>
  <si>
    <t>LT-11427-19/qu</t>
  </si>
  <si>
    <t>LT-61254-19/QU</t>
  </si>
  <si>
    <t>LT-024804-19/BX</t>
  </si>
  <si>
    <t>LT-51069-19/QU</t>
  </si>
  <si>
    <t>LT-056477-19/QU</t>
  </si>
  <si>
    <t>LT-026976-19/BX</t>
  </si>
  <si>
    <t>no case as of June 13, 2019</t>
  </si>
  <si>
    <t>LT-061278-19/QU</t>
  </si>
  <si>
    <t>LT-062190-19/QU</t>
  </si>
  <si>
    <t>LT-026844-19/BX</t>
  </si>
  <si>
    <t>LT-062052-19/QU</t>
  </si>
  <si>
    <t>LT-024141-19/BX</t>
  </si>
  <si>
    <t>LT-61566-19/QU</t>
  </si>
  <si>
    <t>LT-017407-18/BX</t>
  </si>
  <si>
    <t>LT-052189-18/RI</t>
  </si>
  <si>
    <t>LT-52233-18/RI</t>
  </si>
  <si>
    <t>LT-017430-19/BX</t>
  </si>
  <si>
    <t>LT-056954-18/BX</t>
  </si>
  <si>
    <t>LT-026854-19/BX</t>
  </si>
  <si>
    <t>LT-025515-19/BX</t>
  </si>
  <si>
    <t>LT-57014-19/QU</t>
  </si>
  <si>
    <t>LT-061942-19/QU</t>
  </si>
  <si>
    <t>LT-054766-19/QU</t>
  </si>
  <si>
    <t>LT-026483-19/BX</t>
  </si>
  <si>
    <t>LT-027981-19/BX</t>
  </si>
  <si>
    <t>LT-026489-19/BX</t>
  </si>
  <si>
    <t>LT69186/19</t>
  </si>
  <si>
    <t>LT-057882-19/KI</t>
  </si>
  <si>
    <t>LT-058757-19/NY</t>
  </si>
  <si>
    <t>LT-064640-18/NY</t>
  </si>
  <si>
    <t>LT-061985-18/NY</t>
  </si>
  <si>
    <t>LT-014680-19/NY</t>
  </si>
  <si>
    <t>LT-026872-19/BX</t>
  </si>
  <si>
    <t>LT-068912-19/KI</t>
  </si>
  <si>
    <t>LT-027991-19/BX</t>
  </si>
  <si>
    <t>LT-026967-19/BX</t>
  </si>
  <si>
    <t>LT-010383-19/RI</t>
  </si>
  <si>
    <t>100999/2019</t>
  </si>
  <si>
    <t>LT-028249-19/BX</t>
  </si>
  <si>
    <t>LT-068826-19/KI</t>
  </si>
  <si>
    <t>LT-055592-19/KI</t>
  </si>
  <si>
    <t>LT-064287-19/KI</t>
  </si>
  <si>
    <t>LT-060888-19/KI</t>
  </si>
  <si>
    <t>LT-067003-19/KI</t>
  </si>
  <si>
    <t>LT-006229-19/BX</t>
  </si>
  <si>
    <t>LT-067667-19/KI</t>
  </si>
  <si>
    <t>LT-068295-19/KI</t>
  </si>
  <si>
    <t>LT-059398-19/QU</t>
  </si>
  <si>
    <t>LT-068243-19/KI</t>
  </si>
  <si>
    <t>LT-069491-19/KI</t>
  </si>
  <si>
    <t>LT-802945-19/BX</t>
  </si>
  <si>
    <t>LT-016685-19/BX</t>
  </si>
  <si>
    <t>Will provide</t>
  </si>
  <si>
    <t>LT- 026972-19/BX</t>
  </si>
  <si>
    <t>LT-014870-19/BX</t>
  </si>
  <si>
    <t>LT-025908-19/BX</t>
  </si>
  <si>
    <t>LT-025971-19/BX</t>
  </si>
  <si>
    <t>024248-18</t>
  </si>
  <si>
    <t>CV-007622-19/BX</t>
  </si>
  <si>
    <t>LT-054481-19/KI</t>
  </si>
  <si>
    <t>LT-050701-19/KI</t>
  </si>
  <si>
    <t>LT-062635-19/QU</t>
  </si>
  <si>
    <t>LT-066541-18/QU</t>
  </si>
  <si>
    <t>LT-062488-19/QU</t>
  </si>
  <si>
    <t>LT-075002-17/QU</t>
  </si>
  <si>
    <t>LT-062243-19/QU</t>
  </si>
  <si>
    <t>68486/19</t>
  </si>
  <si>
    <t>LT-016013-19/KI</t>
  </si>
  <si>
    <t>LT-016312-19/KI</t>
  </si>
  <si>
    <t>LT-016449-19/KI</t>
  </si>
  <si>
    <t>LT-062198-19/QU</t>
  </si>
  <si>
    <t>LT-062122-19/QU</t>
  </si>
  <si>
    <t>LT-062197-19/QU</t>
  </si>
  <si>
    <t>LT-062555-19/QU</t>
  </si>
  <si>
    <t>LT-061873-18/QU</t>
  </si>
  <si>
    <t>LT-016450-19/KI</t>
  </si>
  <si>
    <t>LT-062905-19/QU</t>
  </si>
  <si>
    <t>LT-016309-19/KI</t>
  </si>
  <si>
    <t>LT-013224-19/KI</t>
  </si>
  <si>
    <t>LT-016009-19/KI</t>
  </si>
  <si>
    <t>LT-027892-19/BX</t>
  </si>
  <si>
    <t>LT-024822-19/BX</t>
  </si>
  <si>
    <t>LT-011640-18/QU</t>
  </si>
  <si>
    <t>LT-059602-19/QU</t>
  </si>
  <si>
    <t>LT-004204-19/BX</t>
  </si>
  <si>
    <t>LT-026148-19/BX</t>
  </si>
  <si>
    <t>LT-069262-19/KI</t>
  </si>
  <si>
    <t>LT-021432-19/BX</t>
  </si>
  <si>
    <t>LT-062394-19/QU</t>
  </si>
  <si>
    <t>LT-026248-19/BX</t>
  </si>
  <si>
    <t>LT-022314-19/BX</t>
  </si>
  <si>
    <t>LT-017987-19/BX</t>
  </si>
  <si>
    <t>LT-044368-18/BX</t>
  </si>
  <si>
    <t>LT-004707-19/BX</t>
  </si>
  <si>
    <t>LT-062852-19/QU</t>
  </si>
  <si>
    <t>LT-028587-19/BX</t>
  </si>
  <si>
    <t>LT-062538-19/QU</t>
  </si>
  <si>
    <t>LT-028108-19/BX</t>
  </si>
  <si>
    <t>LT-028107-19/BX</t>
  </si>
  <si>
    <t>LT-028768-19/BX</t>
  </si>
  <si>
    <t>LT-016685-19/KI</t>
  </si>
  <si>
    <t>LT-027986-19/BX</t>
  </si>
  <si>
    <t>LT-020382-19/BX</t>
  </si>
  <si>
    <t>LT-017132-19/BX</t>
  </si>
  <si>
    <t>LT-068290-18/BX</t>
  </si>
  <si>
    <t>LT-023325-19/BX</t>
  </si>
  <si>
    <t>LT-069073-19/KI</t>
  </si>
  <si>
    <t>LT-018425-19/BX</t>
  </si>
  <si>
    <t>LT-029207-19/BX</t>
  </si>
  <si>
    <t>LT-054459-19/KI</t>
  </si>
  <si>
    <t>LT-065709-19/KI</t>
  </si>
  <si>
    <t>LT-028420-19/BX</t>
  </si>
  <si>
    <t>LT-069059-19/KI</t>
  </si>
  <si>
    <t>LT-068895-19/KI</t>
  </si>
  <si>
    <t>LT-803587-19/BX</t>
  </si>
  <si>
    <t>LT-027698-19/BX</t>
  </si>
  <si>
    <t>LT-026538-19/BX</t>
  </si>
  <si>
    <t>LT-064001-19/KI</t>
  </si>
  <si>
    <t>LT-064199-19/KI</t>
  </si>
  <si>
    <t>LT-068062-19/KI</t>
  </si>
  <si>
    <t>LT-069393-19/KI</t>
  </si>
  <si>
    <t>LT-068646-19/KI</t>
  </si>
  <si>
    <t>LT-067830-19/KI</t>
  </si>
  <si>
    <t>LT-066271-19/KI</t>
  </si>
  <si>
    <t>LT-068362-19/KI</t>
  </si>
  <si>
    <t>LT-026265-18/BX</t>
  </si>
  <si>
    <t>LT-037613-18/BX</t>
  </si>
  <si>
    <t>LT-068828-19/KI</t>
  </si>
  <si>
    <t>LT-058767-18/BX</t>
  </si>
  <si>
    <t>LT-063667-19/KI</t>
  </si>
  <si>
    <t>LT-011782-19/KI</t>
  </si>
  <si>
    <t>LT-028581-19/BX</t>
  </si>
  <si>
    <t>LT-063503-18/BX</t>
  </si>
  <si>
    <t>LT-069040-19/KI</t>
  </si>
  <si>
    <t>LT-069302-19/KI</t>
  </si>
  <si>
    <t>LT-015502-19/NY</t>
  </si>
  <si>
    <t>LT-067185-19/KI</t>
  </si>
  <si>
    <t>LT-20777-19/BX</t>
  </si>
  <si>
    <t>LT-055997-19/NY</t>
  </si>
  <si>
    <t>LT-011058-19/BX</t>
  </si>
  <si>
    <t>L&amp;T-016010-19/KI</t>
  </si>
  <si>
    <t>LT-069605-19/KI</t>
  </si>
  <si>
    <t>LT-068581-19/KI</t>
  </si>
  <si>
    <t>LT-068819-19/KI</t>
  </si>
  <si>
    <t>LT-027333-19/BX</t>
  </si>
  <si>
    <t>LT-068771-19/KI</t>
  </si>
  <si>
    <t>LT-064339-19/KI</t>
  </si>
  <si>
    <t>LT-050126-19/NY</t>
  </si>
  <si>
    <t>LT-057263-19/QU</t>
  </si>
  <si>
    <t>LT-027996-19/BX</t>
  </si>
  <si>
    <t>LT-051594-19/RI</t>
  </si>
  <si>
    <t>LT-28904-19/BX</t>
  </si>
  <si>
    <t>LT-060753-19/NY</t>
  </si>
  <si>
    <t>LT-48007-18/BX</t>
  </si>
  <si>
    <t>NYCHA Hearing</t>
  </si>
  <si>
    <t>LT-024212-19/BX</t>
  </si>
  <si>
    <t>LT-022382-19/BX</t>
  </si>
  <si>
    <t>LT-028976-19/BX</t>
  </si>
  <si>
    <t>LT-028225-19/BX</t>
  </si>
  <si>
    <t>LT-022866-19/BX</t>
  </si>
  <si>
    <t>LT-062995-19/NY</t>
  </si>
  <si>
    <t>LT-027825-19/BX</t>
  </si>
  <si>
    <t>LT-00000-19/QU</t>
  </si>
  <si>
    <t>LT-61360-19/QU</t>
  </si>
  <si>
    <t>LT-069436-19/KI</t>
  </si>
  <si>
    <t>LT-020497-19/BX</t>
  </si>
  <si>
    <t>LT-61576-19/QU</t>
  </si>
  <si>
    <t>LT-60230-19/QU</t>
  </si>
  <si>
    <t>LT-60229-19/QU</t>
  </si>
  <si>
    <t>LT-61955-19/QU</t>
  </si>
  <si>
    <t>062856-19</t>
  </si>
  <si>
    <t>LT-053142-19/QU</t>
  </si>
  <si>
    <t>LT-054856-19/QU</t>
  </si>
  <si>
    <t>LT-028468-19/BX</t>
  </si>
  <si>
    <t>LT-029546-19/BX</t>
  </si>
  <si>
    <t>LT-028026-19/BX</t>
  </si>
  <si>
    <t>LT-029699-19/BX</t>
  </si>
  <si>
    <t>LT-062711-19/QU</t>
  </si>
  <si>
    <t>LT-62408-19/QU</t>
  </si>
  <si>
    <t>LT-061943-19/QU</t>
  </si>
  <si>
    <t>LT-025352-19/BX</t>
  </si>
  <si>
    <t>LT-029220-19/BX</t>
  </si>
  <si>
    <t>LT-036349-18/BX</t>
  </si>
  <si>
    <t>LT-028584-19/BX</t>
  </si>
  <si>
    <t>LT-058366-19/QU</t>
  </si>
  <si>
    <t>LT-10915-19/QU</t>
  </si>
  <si>
    <t>LT-11863-19/QU</t>
  </si>
  <si>
    <t>LT-11866-19/QU</t>
  </si>
  <si>
    <t>LT-062996-19/KI</t>
  </si>
  <si>
    <t>LT-064051-19/KI</t>
  </si>
  <si>
    <t>62440/19</t>
  </si>
  <si>
    <t>61873/19</t>
  </si>
  <si>
    <t>LT-024494-19/BX</t>
  </si>
  <si>
    <t>LT-061783-19/KI</t>
  </si>
  <si>
    <t>LT-052234-17/RI</t>
  </si>
  <si>
    <t>LT-069535-19/KI</t>
  </si>
  <si>
    <t>Non-payment</t>
  </si>
  <si>
    <t>Holdover</t>
  </si>
  <si>
    <t>NYCHA Housing Termination</t>
  </si>
  <si>
    <t>HP Action</t>
  </si>
  <si>
    <t>DHCR Proceeding</t>
  </si>
  <si>
    <t>Affirmative Litigation Supreme</t>
  </si>
  <si>
    <t>Tenant Rights</t>
  </si>
  <si>
    <t>Other</t>
  </si>
  <si>
    <t>Non-Litigation Advocacy</t>
  </si>
  <si>
    <t>Human Rights Complaint</t>
  </si>
  <si>
    <t>Illegal Lockout</t>
  </si>
  <si>
    <t>DHCR Administrative Action</t>
  </si>
  <si>
    <t>Mitchell-Lama Termination</t>
  </si>
  <si>
    <t>Section 8 share</t>
  </si>
  <si>
    <t>Section 8 other</t>
  </si>
  <si>
    <t>Other Administrative Proceeding</t>
  </si>
  <si>
    <t>SCRIE/DRIE</t>
  </si>
  <si>
    <t>Other Civil Court</t>
  </si>
  <si>
    <t>NYCHA RFM</t>
  </si>
  <si>
    <t>Sec. 8 Termination</t>
  </si>
  <si>
    <t>NYCHA Housing Grievance</t>
  </si>
  <si>
    <t>Appeal Supreme</t>
  </si>
  <si>
    <t>PA Issue: RAU</t>
  </si>
  <si>
    <t>Ejectment Action</t>
  </si>
  <si>
    <t>Section 8 HQS</t>
  </si>
  <si>
    <t>Affirmative Litigation Federal</t>
  </si>
  <si>
    <t>Article 78</t>
  </si>
  <si>
    <t>Other Affirmative Litigation</t>
  </si>
  <si>
    <t>7A Proceeding</t>
  </si>
  <si>
    <t>PA Issue: City FEPS/SEPS</t>
  </si>
  <si>
    <t>Appeal-Appellate Term</t>
  </si>
  <si>
    <t>PA Issue: Other</t>
  </si>
  <si>
    <t>PA Issue: LINC</t>
  </si>
  <si>
    <t>Mitchell-Lama RFM</t>
  </si>
  <si>
    <t>Appeal-Appellate Division</t>
  </si>
  <si>
    <t>Certificate of No Harassment Case</t>
  </si>
  <si>
    <t>PA Issue: FEPS</t>
  </si>
  <si>
    <t>Representation - State Court</t>
  </si>
  <si>
    <t>Representation - Admin. Agency</t>
  </si>
  <si>
    <t>Out-of-Court Advocacy</t>
  </si>
  <si>
    <t>Hold For Review</t>
  </si>
  <si>
    <t>Advice</t>
  </si>
  <si>
    <t>Brief Service</t>
  </si>
  <si>
    <t>Representation - Federal Court</t>
  </si>
  <si>
    <t>Representation—EOIR</t>
  </si>
  <si>
    <t>G - Negotiated Settlement with Litigation</t>
  </si>
  <si>
    <t>L - Extensive Service (not resulting in Settlement of Court or Administrative Action)</t>
  </si>
  <si>
    <t>A - Counsel and Advice</t>
  </si>
  <si>
    <t>B - Limited Action (Brief Service)</t>
  </si>
  <si>
    <t>H - Administrative Agency Decision</t>
  </si>
  <si>
    <t>F - Negotiated Settlement w/out Litigation</t>
  </si>
  <si>
    <t>IA - Uncontested Court Decision</t>
  </si>
  <si>
    <t>IB - Contested Court Decision</t>
  </si>
  <si>
    <t>IC - Appeals</t>
  </si>
  <si>
    <t>3114 HRA-HPLP-Homelessness Prevention Law Project</t>
  </si>
  <si>
    <t>3018 Tenant Rights Coalition (TRC)</t>
  </si>
  <si>
    <t>3122 Universal Access to Counsel – (UAC)</t>
  </si>
  <si>
    <t>3123 Universal Access to Counsel – (UAC)</t>
  </si>
  <si>
    <t>3308 Anti-Eviction and SRO Legal Services (formerly known as “HPD” Contracts)</t>
  </si>
  <si>
    <t>3115 HPLP-Homelessness Prevention Law Project</t>
  </si>
  <si>
    <t>3020 CLS-Civil Legal Services</t>
  </si>
  <si>
    <t>3113 HPLP-Homelessness Prevention Law Project</t>
  </si>
  <si>
    <t>3124 Universal Access to Counsel – (UAC)</t>
  </si>
  <si>
    <t>3112 HPLP-Homelessness Prevention Law Project</t>
  </si>
  <si>
    <t>3111 HPLP-Homelessness Prevention Law Project</t>
  </si>
  <si>
    <t>3121 Universal Access to Counsel – (UAC)</t>
  </si>
  <si>
    <t>3011 TRC FJC Initiative</t>
  </si>
  <si>
    <t>3125 Universal Access to Counsel – (UAC)</t>
  </si>
  <si>
    <t>2157 OCA-City-wide Civil Legal Services Grant</t>
  </si>
  <si>
    <t>4000 LSC - Basic Grant</t>
  </si>
  <si>
    <t>3306 Anti-Eviction and SRO Legal Services (formerly known as “HPD” Contracts)</t>
  </si>
  <si>
    <t>4100 IOLA - General</t>
  </si>
  <si>
    <t>3312 Housing Preservation Initiative (HPI)</t>
  </si>
  <si>
    <t>3311 Anti-Eviction and SRO Legal Services (formerly "HPD")</t>
  </si>
  <si>
    <t>3307 Anti Eviction and SRO Legal Services (formerly "HPD")</t>
  </si>
  <si>
    <t>Prefer Not To Answer</t>
  </si>
  <si>
    <t>5221 SSUSA-Single Stop USA</t>
  </si>
  <si>
    <t>5510 CB9 Manhattanville-West Harlem Tenant Advocacy Project</t>
  </si>
  <si>
    <t>5556 Robin Hood-Foreclosure and Housing</t>
  </si>
  <si>
    <t>3113 HPLP-Homelessness Prevention Law Project, 3124 Universal Access to Counsel – (UAC)</t>
  </si>
  <si>
    <t>5227 RH VJP (Veterans Justice Project)</t>
  </si>
  <si>
    <t>63 Private Landlord/Tenant</t>
  </si>
  <si>
    <t>64 Public Housing</t>
  </si>
  <si>
    <t>61 Federally Subsidized Housing</t>
  </si>
  <si>
    <t>69 Other Housing</t>
  </si>
  <si>
    <t>66 Housing Discrimination</t>
  </si>
  <si>
    <t>Post-Stipulation, No Judgment</t>
  </si>
  <si>
    <t>No Stipulation; No Judgment</t>
  </si>
  <si>
    <t>Post-Judgment, Tenant in Possession-Judgment Due to Default</t>
  </si>
  <si>
    <t>Post-Judgment, Tenant in Possession-Judgment Due to Other</t>
  </si>
  <si>
    <t>On for Trial</t>
  </si>
  <si>
    <t>Post-Judgment, Tenant Out of Possession</t>
  </si>
  <si>
    <t>No Stipulation; No Judgment, On for Trial</t>
  </si>
  <si>
    <t>Post-Judgment, Tenant in Possession-Judgment Due to Default, Post-Judgment, Tenant in Possession-Judgment Due to Other</t>
  </si>
  <si>
    <t>No Stipulation; No Judgment, Post-Stipulation, No Judgment</t>
  </si>
  <si>
    <t>On for Trial, Post-Judgment, Tenant Out of Possession</t>
  </si>
  <si>
    <t>07/01/2018</t>
  </si>
  <si>
    <t>07/04/2018</t>
  </si>
  <si>
    <t>07/08/2018</t>
  </si>
  <si>
    <t>07/22/2018</t>
  </si>
  <si>
    <t>08/11/2018</t>
  </si>
  <si>
    <t>08/18/2018</t>
  </si>
  <si>
    <t>08/25/2018</t>
  </si>
  <si>
    <t>09/02/2018</t>
  </si>
  <si>
    <t>09/22/2018</t>
  </si>
  <si>
    <t>09/30/2018</t>
  </si>
  <si>
    <t>10/06/2018</t>
  </si>
  <si>
    <t>10/27/2018</t>
  </si>
  <si>
    <t>11/23/2018</t>
  </si>
  <si>
    <t>12/02/2018</t>
  </si>
  <si>
    <t>12/23/2018</t>
  </si>
  <si>
    <t>12/30/2018</t>
  </si>
  <si>
    <t>01/06/2019</t>
  </si>
  <si>
    <t>01/12/2019</t>
  </si>
  <si>
    <t>01/13/2019</t>
  </si>
  <si>
    <t>01/21/2019</t>
  </si>
  <si>
    <t>02/23/2019</t>
  </si>
  <si>
    <t>03/31/2019</t>
  </si>
  <si>
    <t>05/11/2019</t>
  </si>
  <si>
    <t>06/01/2019</t>
  </si>
  <si>
    <t>06/22/2019</t>
  </si>
  <si>
    <t>06/30/2019</t>
  </si>
  <si>
    <t>07/02/2019</t>
  </si>
  <si>
    <t>08/08/2019</t>
  </si>
  <si>
    <t>11/09/2019</t>
  </si>
  <si>
    <t>12/28/2019</t>
  </si>
  <si>
    <t>03/20/3018</t>
  </si>
  <si>
    <t>Bronx Legal Services</t>
  </si>
  <si>
    <t>Manhattan Legal Services</t>
  </si>
  <si>
    <t>Brooklyn Legal Services</t>
  </si>
  <si>
    <t>Queens Legal Services</t>
  </si>
  <si>
    <t>Staten Island Legal Services</t>
  </si>
  <si>
    <t>In-House</t>
  </si>
  <si>
    <t>Court</t>
  </si>
  <si>
    <t>Other City Agency</t>
  </si>
  <si>
    <t>Legal Services</t>
  </si>
  <si>
    <t>Returning Client</t>
  </si>
  <si>
    <t>Friends/Family</t>
  </si>
  <si>
    <t>Self-referred</t>
  </si>
  <si>
    <t>HRA ELS (Assigned Counsel)</t>
  </si>
  <si>
    <t>Community Organization</t>
  </si>
  <si>
    <t>HRA</t>
  </si>
  <si>
    <t>Tenant Support Unit</t>
  </si>
  <si>
    <t>Word of mouth</t>
  </si>
  <si>
    <t>Outreach</t>
  </si>
  <si>
    <t>Court Referral-NON HRA</t>
  </si>
  <si>
    <t>HRA ELS Part F Brooklyn</t>
  </si>
  <si>
    <t>Elected Official</t>
  </si>
  <si>
    <t>FJC Housing Intake</t>
  </si>
  <si>
    <t>ADP Hotline</t>
  </si>
  <si>
    <t>3-1-1</t>
  </si>
  <si>
    <t>Home base</t>
  </si>
  <si>
    <t>School</t>
  </si>
  <si>
    <t>DHS</t>
  </si>
  <si>
    <t>6018-Prevented eviction from subsidized housing</t>
  </si>
  <si>
    <t>6002-Prevented eviction from private housing</t>
  </si>
  <si>
    <t>6003-Delayed eviction providing time to seek alternative housing</t>
  </si>
  <si>
    <t>6001-Prevented eviction from public housing</t>
  </si>
  <si>
    <t>6017-Obtained other benefit on a Housing matter</t>
  </si>
  <si>
    <t>6015-Obtained non-litgation advocacy services on a Housing  matter</t>
  </si>
  <si>
    <t>6014-Obtained advice and counsel on a Housing matter</t>
  </si>
  <si>
    <t>6007-Avoided, or obtained redress for charges by landlord</t>
  </si>
  <si>
    <t>6009-Obtained repairs, Improved housing conditions or otherwise enforced rights to decent, habitable housing</t>
  </si>
  <si>
    <t>6004-Obtained access to housing</t>
  </si>
  <si>
    <t>6021-Provided full representation in a Housing matter, but no legal benefit achieved for the client</t>
  </si>
  <si>
    <t>ZZ-Client Withdrew—For ZZ Adm Closed Reason Closed Cases Only</t>
  </si>
  <si>
    <t>6016-Obtained referral on a Housing matter</t>
  </si>
  <si>
    <t>6008-Overcame denial of tenants rights under lease</t>
  </si>
  <si>
    <t>6010-Preserved or restored access to personal property</t>
  </si>
  <si>
    <t>6012-Overcame, or obtained redress for, discrimination of affordable housing</t>
  </si>
  <si>
    <t>6013-Obtained assistance in development/renovation of affordable housing</t>
  </si>
  <si>
    <t>6005-Avoided or delayed foreclosure or other loss of home</t>
  </si>
  <si>
    <t>6006-Prevented denial of public housing tenant's rights</t>
  </si>
  <si>
    <t>08/29/1948</t>
  </si>
  <si>
    <t>04/06/1977</t>
  </si>
  <si>
    <t>08/06/1976</t>
  </si>
  <si>
    <t>07/06/1966</t>
  </si>
  <si>
    <t>07/21/1964</t>
  </si>
  <si>
    <t>11/19/1960</t>
  </si>
  <si>
    <t>06/15/1975</t>
  </si>
  <si>
    <t>10/13/1967</t>
  </si>
  <si>
    <t>09/23/1980</t>
  </si>
  <si>
    <t>03/23/1964</t>
  </si>
  <si>
    <t>03/25/1967</t>
  </si>
  <si>
    <t>10/30/1954</t>
  </si>
  <si>
    <t>07/20/1973</t>
  </si>
  <si>
    <t>07/15/1951</t>
  </si>
  <si>
    <t>10/26/1940</t>
  </si>
  <si>
    <t>11/15/1955</t>
  </si>
  <si>
    <t>07/07/1982</t>
  </si>
  <si>
    <t>07/14/1969</t>
  </si>
  <si>
    <t>08/16/1961</t>
  </si>
  <si>
    <t>01/20/1975</t>
  </si>
  <si>
    <t>02/25/1973</t>
  </si>
  <si>
    <t>11/30/1992</t>
  </si>
  <si>
    <t>01/01/1961</t>
  </si>
  <si>
    <t>10/02/1982</t>
  </si>
  <si>
    <t>03/04/1991</t>
  </si>
  <si>
    <t>04/18/1968</t>
  </si>
  <si>
    <t>10/22/1972</t>
  </si>
  <si>
    <t>08/19/1986</t>
  </si>
  <si>
    <t>07/12/1949</t>
  </si>
  <si>
    <t>08/15/1957</t>
  </si>
  <si>
    <t>08/08/1955</t>
  </si>
  <si>
    <t>03/22/1985</t>
  </si>
  <si>
    <t>05/17/1961</t>
  </si>
  <si>
    <t>10/18/1965</t>
  </si>
  <si>
    <t>03/03/1957</t>
  </si>
  <si>
    <t>07/18/1962</t>
  </si>
  <si>
    <t>11/30/1986</t>
  </si>
  <si>
    <t>05/20/1975</t>
  </si>
  <si>
    <t>07/13/1962</t>
  </si>
  <si>
    <t>09/24/1938</t>
  </si>
  <si>
    <t>02/07/1985</t>
  </si>
  <si>
    <t>04/17/1987</t>
  </si>
  <si>
    <t>07/20/1990</t>
  </si>
  <si>
    <t>04/13/1956</t>
  </si>
  <si>
    <t>10/27/1989</t>
  </si>
  <si>
    <t>12/14/1978</t>
  </si>
  <si>
    <t>02/26/1930</t>
  </si>
  <si>
    <t>03/29/1992</t>
  </si>
  <si>
    <t>11/08/1980</t>
  </si>
  <si>
    <t>10/13/1966</t>
  </si>
  <si>
    <t>02/22/1985</t>
  </si>
  <si>
    <t>07/10/1952</t>
  </si>
  <si>
    <t>03/08/1953</t>
  </si>
  <si>
    <t>05/14/1934</t>
  </si>
  <si>
    <t>01/07/1987</t>
  </si>
  <si>
    <t>04/13/1954</t>
  </si>
  <si>
    <t>11/22/1956</t>
  </si>
  <si>
    <t>02/08/1958</t>
  </si>
  <si>
    <t>09/17/1973</t>
  </si>
  <si>
    <t>11/18/1960</t>
  </si>
  <si>
    <t>06/27/1965</t>
  </si>
  <si>
    <t>01/19/1953</t>
  </si>
  <si>
    <t>07/05/1976</t>
  </si>
  <si>
    <t>05/09/1966</t>
  </si>
  <si>
    <t>06/09/1981</t>
  </si>
  <si>
    <t>02/04/1959</t>
  </si>
  <si>
    <t>05/29/1972</t>
  </si>
  <si>
    <t>07/03/1969</t>
  </si>
  <si>
    <t>12/16/1990</t>
  </si>
  <si>
    <t>03/27/1932</t>
  </si>
  <si>
    <t>09/23/1962</t>
  </si>
  <si>
    <t>05/30/1975</t>
  </si>
  <si>
    <t>02/17/1957</t>
  </si>
  <si>
    <t>10/07/1991</t>
  </si>
  <si>
    <t>02/11/1975</t>
  </si>
  <si>
    <t>03/09/1947</t>
  </si>
  <si>
    <t>09/22/1979</t>
  </si>
  <si>
    <t>11/27/1977</t>
  </si>
  <si>
    <t>08/01/1967</t>
  </si>
  <si>
    <t>02/16/1950</t>
  </si>
  <si>
    <t>10/14/1972</t>
  </si>
  <si>
    <t>03/20/1953</t>
  </si>
  <si>
    <t>12/15/1966</t>
  </si>
  <si>
    <t>02/15/1933</t>
  </si>
  <si>
    <t>10/30/1983</t>
  </si>
  <si>
    <t>08/13/1983</t>
  </si>
  <si>
    <t>05/07/1972</t>
  </si>
  <si>
    <t>07/19/1984</t>
  </si>
  <si>
    <t>04/02/1958</t>
  </si>
  <si>
    <t>09/09/1984</t>
  </si>
  <si>
    <t>12/09/1988</t>
  </si>
  <si>
    <t>03/30/1982</t>
  </si>
  <si>
    <t>04/22/1993</t>
  </si>
  <si>
    <t>08/29/1963</t>
  </si>
  <si>
    <t>01/25/1957</t>
  </si>
  <si>
    <t>03/17/1965</t>
  </si>
  <si>
    <t>04/07/1995</t>
  </si>
  <si>
    <t>06/09/1971</t>
  </si>
  <si>
    <t>11/17/1978</t>
  </si>
  <si>
    <t>03/31/1992</t>
  </si>
  <si>
    <t>10/03/1971</t>
  </si>
  <si>
    <t>07/04/1966</t>
  </si>
  <si>
    <t>07/16/1972</t>
  </si>
  <si>
    <t>12/13/1975</t>
  </si>
  <si>
    <t>01/29/1980</t>
  </si>
  <si>
    <t>03/15/1959</t>
  </si>
  <si>
    <t>02/06/1980</t>
  </si>
  <si>
    <t>05/28/1958</t>
  </si>
  <si>
    <t>10/02/1986</t>
  </si>
  <si>
    <t>10/03/1950</t>
  </si>
  <si>
    <t>01/05/1957</t>
  </si>
  <si>
    <t>04/22/1966</t>
  </si>
  <si>
    <t>04/22/1942</t>
  </si>
  <si>
    <t>06/21/1954</t>
  </si>
  <si>
    <t>05/13/1965</t>
  </si>
  <si>
    <t>02/26/1986</t>
  </si>
  <si>
    <t>05/09/1983</t>
  </si>
  <si>
    <t>03/11/1950</t>
  </si>
  <si>
    <t>03/02/1960</t>
  </si>
  <si>
    <t>06/04/1986</t>
  </si>
  <si>
    <t>05/28/1967</t>
  </si>
  <si>
    <t>04/16/1971</t>
  </si>
  <si>
    <t>07/02/1979</t>
  </si>
  <si>
    <t>10/22/1950</t>
  </si>
  <si>
    <t>12/30/1973</t>
  </si>
  <si>
    <t>11/05/1986</t>
  </si>
  <si>
    <t>07/16/1986</t>
  </si>
  <si>
    <t>12/31/1984</t>
  </si>
  <si>
    <t>03/17/1981</t>
  </si>
  <si>
    <t>07/14/1979</t>
  </si>
  <si>
    <t>03/12/1936</t>
  </si>
  <si>
    <t>07/13/1963</t>
  </si>
  <si>
    <t>07/02/1954</t>
  </si>
  <si>
    <t>02/07/1949</t>
  </si>
  <si>
    <t>12/18/1953</t>
  </si>
  <si>
    <t>04/24/1951</t>
  </si>
  <si>
    <t>07/14/1946</t>
  </si>
  <si>
    <t>12/03/1979</t>
  </si>
  <si>
    <t>09/16/1986</t>
  </si>
  <si>
    <t>03/08/1955</t>
  </si>
  <si>
    <t>11/21/1975</t>
  </si>
  <si>
    <t>08/26/1969</t>
  </si>
  <si>
    <t>06/19/1979</t>
  </si>
  <si>
    <t>01/30/1986</t>
  </si>
  <si>
    <t>05/29/1983</t>
  </si>
  <si>
    <t>02/15/1940</t>
  </si>
  <si>
    <t>03/24/1975</t>
  </si>
  <si>
    <t>10/29/1959</t>
  </si>
  <si>
    <t>04/15/1982</t>
  </si>
  <si>
    <t>01/28/1972</t>
  </si>
  <si>
    <t>03/08/1997</t>
  </si>
  <si>
    <t>07/22/1931</t>
  </si>
  <si>
    <t>08/22/1963</t>
  </si>
  <si>
    <t>02/12/1960</t>
  </si>
  <si>
    <t>03/24/1976</t>
  </si>
  <si>
    <t>10/28/1957</t>
  </si>
  <si>
    <t>05/31/1976</t>
  </si>
  <si>
    <t>01/01/1942</t>
  </si>
  <si>
    <t>04/11/1969</t>
  </si>
  <si>
    <t>07/09/1955</t>
  </si>
  <si>
    <t>01/05/1952</t>
  </si>
  <si>
    <t>05/14/1964</t>
  </si>
  <si>
    <t>01/10/1960</t>
  </si>
  <si>
    <t>07/23/1958</t>
  </si>
  <si>
    <t>06/13/1987</t>
  </si>
  <si>
    <t>03/07/1957</t>
  </si>
  <si>
    <t>06/08/1953</t>
  </si>
  <si>
    <t>11/17/1966</t>
  </si>
  <si>
    <t>03/18/1956</t>
  </si>
  <si>
    <t>05/23/1961</t>
  </si>
  <si>
    <t>11/08/1984</t>
  </si>
  <si>
    <t>08/20/1972</t>
  </si>
  <si>
    <t>07/29/1974</t>
  </si>
  <si>
    <t>03/11/1957</t>
  </si>
  <si>
    <t>08/22/1967</t>
  </si>
  <si>
    <t>06/09/1967</t>
  </si>
  <si>
    <t>11/16/1961</t>
  </si>
  <si>
    <t>02/20/1987</t>
  </si>
  <si>
    <t>12/08/1943</t>
  </si>
  <si>
    <t>07/13/1985</t>
  </si>
  <si>
    <t>03/22/1963</t>
  </si>
  <si>
    <t>01/29/1959</t>
  </si>
  <si>
    <t>10/09/1952</t>
  </si>
  <si>
    <t>08/02/1953</t>
  </si>
  <si>
    <t>12/10/1980</t>
  </si>
  <si>
    <t>11/30/1948</t>
  </si>
  <si>
    <t>05/14/1985</t>
  </si>
  <si>
    <t>11/01/1966</t>
  </si>
  <si>
    <t>07/19/1949</t>
  </si>
  <si>
    <t>09/30/1948</t>
  </si>
  <si>
    <t>03/11/1964</t>
  </si>
  <si>
    <t>02/20/1955</t>
  </si>
  <si>
    <t>06/26/1972</t>
  </si>
  <si>
    <t>04/27/1960</t>
  </si>
  <si>
    <t>04/03/1960</t>
  </si>
  <si>
    <t>08/21/1990</t>
  </si>
  <si>
    <t>02/15/1977</t>
  </si>
  <si>
    <t>12/27/1961</t>
  </si>
  <si>
    <t>06/22/1979</t>
  </si>
  <si>
    <t>06/30/1994</t>
  </si>
  <si>
    <t>10/07/1960</t>
  </si>
  <si>
    <t>05/13/1985</t>
  </si>
  <si>
    <t>12/05/1946</t>
  </si>
  <si>
    <t>10/10/1967</t>
  </si>
  <si>
    <t>11/15/1976</t>
  </si>
  <si>
    <t>06/19/1958</t>
  </si>
  <si>
    <t>01/05/1975</t>
  </si>
  <si>
    <t>12/10/1984</t>
  </si>
  <si>
    <t>01/20/1990</t>
  </si>
  <si>
    <t>08/01/1964</t>
  </si>
  <si>
    <t>11/12/1986</t>
  </si>
  <si>
    <t>05/21/1957</t>
  </si>
  <si>
    <t>10/29/1966</t>
  </si>
  <si>
    <t>04/26/1978</t>
  </si>
  <si>
    <t>02/20/1949</t>
  </si>
  <si>
    <t>11/11/1952</t>
  </si>
  <si>
    <t>01/21/1967</t>
  </si>
  <si>
    <t>07/26/1973</t>
  </si>
  <si>
    <t>10/20/1951</t>
  </si>
  <si>
    <t>06/20/1961</t>
  </si>
  <si>
    <t>03/18/1979</t>
  </si>
  <si>
    <t>06/27/1988</t>
  </si>
  <si>
    <t>12/24/1968</t>
  </si>
  <si>
    <t>03/09/1988</t>
  </si>
  <si>
    <t>12/11/1956</t>
  </si>
  <si>
    <t>04/27/1959</t>
  </si>
  <si>
    <t>11/07/1996</t>
  </si>
  <si>
    <t>04/21/1988</t>
  </si>
  <si>
    <t>02/07/1959</t>
  </si>
  <si>
    <t>02/08/1972</t>
  </si>
  <si>
    <t>04/27/1947</t>
  </si>
  <si>
    <t>11/01/1940</t>
  </si>
  <si>
    <t>07/12/1976</t>
  </si>
  <si>
    <t>03/19/1988</t>
  </si>
  <si>
    <t>05/04/1994</t>
  </si>
  <si>
    <t>04/20/1969</t>
  </si>
  <si>
    <t>10/05/1977</t>
  </si>
  <si>
    <t>11/30/1963</t>
  </si>
  <si>
    <t>03/25/1956</t>
  </si>
  <si>
    <t>04/21/1968</t>
  </si>
  <si>
    <t>02/05/1960</t>
  </si>
  <si>
    <t>05/13/1973</t>
  </si>
  <si>
    <t>01/26/1991</t>
  </si>
  <si>
    <t>09/08/1948</t>
  </si>
  <si>
    <t>04/12/1937</t>
  </si>
  <si>
    <t>07/15/1955</t>
  </si>
  <si>
    <t>07/15/1958</t>
  </si>
  <si>
    <t>12/24/1965</t>
  </si>
  <si>
    <t>08/16/1976</t>
  </si>
  <si>
    <t>12/12/1967</t>
  </si>
  <si>
    <t>08/01/1978</t>
  </si>
  <si>
    <t>09/16/1939</t>
  </si>
  <si>
    <t>05/22/1961</t>
  </si>
  <si>
    <t>02/09/1971</t>
  </si>
  <si>
    <t>08/24/1954</t>
  </si>
  <si>
    <t>11/09/1953</t>
  </si>
  <si>
    <t>01/29/1966</t>
  </si>
  <si>
    <t>11/16/1981</t>
  </si>
  <si>
    <t>07/05/1967</t>
  </si>
  <si>
    <t>02/15/1974</t>
  </si>
  <si>
    <t>08/07/1941</t>
  </si>
  <si>
    <t>08/19/1963</t>
  </si>
  <si>
    <t>08/19/1993</t>
  </si>
  <si>
    <t>09/09/1962</t>
  </si>
  <si>
    <t>01/05/1980</t>
  </si>
  <si>
    <t>09/07/1954</t>
  </si>
  <si>
    <t>03/18/1960</t>
  </si>
  <si>
    <t>02/14/1952</t>
  </si>
  <si>
    <t>06/08/1967</t>
  </si>
  <si>
    <t>12/12/1969</t>
  </si>
  <si>
    <t>01/16/1963</t>
  </si>
  <si>
    <t>08/13/1970</t>
  </si>
  <si>
    <t>03/13/1971</t>
  </si>
  <si>
    <t>08/23/1961</t>
  </si>
  <si>
    <t>09/25/1995</t>
  </si>
  <si>
    <t>11/03/1983</t>
  </si>
  <si>
    <t>06/09/1958</t>
  </si>
  <si>
    <t>02/13/1972</t>
  </si>
  <si>
    <t>07/20/1953</t>
  </si>
  <si>
    <t>04/20/1964</t>
  </si>
  <si>
    <t>03/08/1963</t>
  </si>
  <si>
    <t>06/03/1975</t>
  </si>
  <si>
    <t>11/14/1987</t>
  </si>
  <si>
    <t>12/15/1983</t>
  </si>
  <si>
    <t>02/07/1972</t>
  </si>
  <si>
    <t>11/15/1966</t>
  </si>
  <si>
    <t>01/18/1969</t>
  </si>
  <si>
    <t>10/03/1976</t>
  </si>
  <si>
    <t>09/04/1994</t>
  </si>
  <si>
    <t>02/09/1994</t>
  </si>
  <si>
    <t>08/16/1963</t>
  </si>
  <si>
    <t>10/14/1968</t>
  </si>
  <si>
    <t>08/19/1990</t>
  </si>
  <si>
    <t>07/11/1983</t>
  </si>
  <si>
    <t>01/21/1963</t>
  </si>
  <si>
    <t>01/15/1964</t>
  </si>
  <si>
    <t>02/17/1989</t>
  </si>
  <si>
    <t>01/03/1972</t>
  </si>
  <si>
    <t>09/08/1982</t>
  </si>
  <si>
    <t>07/27/1980</t>
  </si>
  <si>
    <t>12/21/1985</t>
  </si>
  <si>
    <t>03/08/1977</t>
  </si>
  <si>
    <t>04/18/1976</t>
  </si>
  <si>
    <t>10/11/1991</t>
  </si>
  <si>
    <t>12/10/1939</t>
  </si>
  <si>
    <t>01/25/1940</t>
  </si>
  <si>
    <t>04/01/1972</t>
  </si>
  <si>
    <t>05/08/1959</t>
  </si>
  <si>
    <t>05/17/1952</t>
  </si>
  <si>
    <t>10/01/1963</t>
  </si>
  <si>
    <t>05/16/1979</t>
  </si>
  <si>
    <t>06/10/1946</t>
  </si>
  <si>
    <t>01/28/1969</t>
  </si>
  <si>
    <t>07/18/1966</t>
  </si>
  <si>
    <t>06/16/1963</t>
  </si>
  <si>
    <t>04/30/1961</t>
  </si>
  <si>
    <t>11/22/1964</t>
  </si>
  <si>
    <t>09/06/1955</t>
  </si>
  <si>
    <t>07/27/1961</t>
  </si>
  <si>
    <t>06/18/1958</t>
  </si>
  <si>
    <t>06/17/1966</t>
  </si>
  <si>
    <t>12/17/1980</t>
  </si>
  <si>
    <t>06/08/1976</t>
  </si>
  <si>
    <t>06/22/1983</t>
  </si>
  <si>
    <t>01/31/1981</t>
  </si>
  <si>
    <t>07/18/1955</t>
  </si>
  <si>
    <t>03/24/1969</t>
  </si>
  <si>
    <t>07/03/1953</t>
  </si>
  <si>
    <t>11/04/1967</t>
  </si>
  <si>
    <t>08/08/1975</t>
  </si>
  <si>
    <t>07/12/1979</t>
  </si>
  <si>
    <t>07/15/1966</t>
  </si>
  <si>
    <t>11/04/1962</t>
  </si>
  <si>
    <t>04/28/1970</t>
  </si>
  <si>
    <t>09/30/1953</t>
  </si>
  <si>
    <t>12/14/1961</t>
  </si>
  <si>
    <t>12/15/1972</t>
  </si>
  <si>
    <t>06/14/1984</t>
  </si>
  <si>
    <t>07/30/1961</t>
  </si>
  <si>
    <t>11/02/1973</t>
  </si>
  <si>
    <t>01/10/1983</t>
  </si>
  <si>
    <t>12/27/1963</t>
  </si>
  <si>
    <t>10/26/1942</t>
  </si>
  <si>
    <t>09/22/1974</t>
  </si>
  <si>
    <t>07/05/1959</t>
  </si>
  <si>
    <t>07/11/1958</t>
  </si>
  <si>
    <t>11/14/1960</t>
  </si>
  <si>
    <t>08/31/1965</t>
  </si>
  <si>
    <t>11/20/1972</t>
  </si>
  <si>
    <t>02/06/1991</t>
  </si>
  <si>
    <t>11/05/1987</t>
  </si>
  <si>
    <t>01/18/1976</t>
  </si>
  <si>
    <t>09/26/1978</t>
  </si>
  <si>
    <t>02/23/1963</t>
  </si>
  <si>
    <t>03/06/1974</t>
  </si>
  <si>
    <t>11/16/1984</t>
  </si>
  <si>
    <t>06/03/1989</t>
  </si>
  <si>
    <t>01/04/1964</t>
  </si>
  <si>
    <t>03/22/1958</t>
  </si>
  <si>
    <t>06/14/1969</t>
  </si>
  <si>
    <t>02/14/1933</t>
  </si>
  <si>
    <t>01/19/1949</t>
  </si>
  <si>
    <t>05/21/1990</t>
  </si>
  <si>
    <t>08/17/1970</t>
  </si>
  <si>
    <t>03/31/1991</t>
  </si>
  <si>
    <t>12/22/1983</t>
  </si>
  <si>
    <t>10/14/1994</t>
  </si>
  <si>
    <t>10/25/1974</t>
  </si>
  <si>
    <t>04/11/1942</t>
  </si>
  <si>
    <t>03/05/1963</t>
  </si>
  <si>
    <t>08/01/1971</t>
  </si>
  <si>
    <t>07/23/1960</t>
  </si>
  <si>
    <t>11/21/1939</t>
  </si>
  <si>
    <t>06/26/1952</t>
  </si>
  <si>
    <t>10/05/1975</t>
  </si>
  <si>
    <t>06/06/1987</t>
  </si>
  <si>
    <t>09/23/1953</t>
  </si>
  <si>
    <t>11/26/1986</t>
  </si>
  <si>
    <t>01/22/1976</t>
  </si>
  <si>
    <t>09/21/1988</t>
  </si>
  <si>
    <t>08/10/1935</t>
  </si>
  <si>
    <t>11/10/1962</t>
  </si>
  <si>
    <t>08/24/1994</t>
  </si>
  <si>
    <t>07/16/1996</t>
  </si>
  <si>
    <t>12/25/1987</t>
  </si>
  <si>
    <t>04/06/1966</t>
  </si>
  <si>
    <t>10/07/1995</t>
  </si>
  <si>
    <t>05/27/1963</t>
  </si>
  <si>
    <t>03/13/1962</t>
  </si>
  <si>
    <t>01/18/1941</t>
  </si>
  <si>
    <t>02/08/1966</t>
  </si>
  <si>
    <t>08/11/1972</t>
  </si>
  <si>
    <t>05/16/1973</t>
  </si>
  <si>
    <t>03/01/1958</t>
  </si>
  <si>
    <t>08/10/1987</t>
  </si>
  <si>
    <t>09/26/1957</t>
  </si>
  <si>
    <t>07/30/1959</t>
  </si>
  <si>
    <t>09/16/1969</t>
  </si>
  <si>
    <t>04/27/1961</t>
  </si>
  <si>
    <t>12/27/1967</t>
  </si>
  <si>
    <t>03/28/1971</t>
  </si>
  <si>
    <t>03/20/1981</t>
  </si>
  <si>
    <t>07/06/1988</t>
  </si>
  <si>
    <t>02/05/1957</t>
  </si>
  <si>
    <t>12/15/1991</t>
  </si>
  <si>
    <t>02/12/1944</t>
  </si>
  <si>
    <t>06/27/1967</t>
  </si>
  <si>
    <t>10/24/1986</t>
  </si>
  <si>
    <t>06/18/1953</t>
  </si>
  <si>
    <t>12/04/1962</t>
  </si>
  <si>
    <t>01/01/1995</t>
  </si>
  <si>
    <t>03/28/1947</t>
  </si>
  <si>
    <t>02/14/1963</t>
  </si>
  <si>
    <t>04/29/1963</t>
  </si>
  <si>
    <t>06/02/1968</t>
  </si>
  <si>
    <t>07/20/1961</t>
  </si>
  <si>
    <t>02/02/1963</t>
  </si>
  <si>
    <t>02/21/1951</t>
  </si>
  <si>
    <t>01/19/1955</t>
  </si>
  <si>
    <t>01/21/1982</t>
  </si>
  <si>
    <t>03/04/1988</t>
  </si>
  <si>
    <t>05/18/1986</t>
  </si>
  <si>
    <t>05/06/1959</t>
  </si>
  <si>
    <t>12/28/1957</t>
  </si>
  <si>
    <t>01/29/1941</t>
  </si>
  <si>
    <t>04/24/1950</t>
  </si>
  <si>
    <t>02/16/1952</t>
  </si>
  <si>
    <t>02/18/1955</t>
  </si>
  <si>
    <t>12/06/1940</t>
  </si>
  <si>
    <t>05/12/1951</t>
  </si>
  <si>
    <t>04/18/1964</t>
  </si>
  <si>
    <t>07/10/1976</t>
  </si>
  <si>
    <t>02/23/1984</t>
  </si>
  <si>
    <t>02/20/1966</t>
  </si>
  <si>
    <t>11/01/1957</t>
  </si>
  <si>
    <t>10/24/1979</t>
  </si>
  <si>
    <t>05/11/1978</t>
  </si>
  <si>
    <t>06/09/1969</t>
  </si>
  <si>
    <t>08/28/1970</t>
  </si>
  <si>
    <t>11/25/1988</t>
  </si>
  <si>
    <t>10/04/1959</t>
  </si>
  <si>
    <t>08/08/1954</t>
  </si>
  <si>
    <t>05/08/1950</t>
  </si>
  <si>
    <t>07/10/1970</t>
  </si>
  <si>
    <t>04/02/1976</t>
  </si>
  <si>
    <t>09/18/1989</t>
  </si>
  <si>
    <t>10/17/1947</t>
  </si>
  <si>
    <t>10/23/1958</t>
  </si>
  <si>
    <t>10/06/1962</t>
  </si>
  <si>
    <t>09/02/1963</t>
  </si>
  <si>
    <t>05/05/1969</t>
  </si>
  <si>
    <t>05/02/1961</t>
  </si>
  <si>
    <t>06/29/1950</t>
  </si>
  <si>
    <t>03/09/1958</t>
  </si>
  <si>
    <t>01/30/1949</t>
  </si>
  <si>
    <t>05/10/1975</t>
  </si>
  <si>
    <t>11/23/1983</t>
  </si>
  <si>
    <t>02/24/1970</t>
  </si>
  <si>
    <t>02/28/1963</t>
  </si>
  <si>
    <t>09/16/1962</t>
  </si>
  <si>
    <t>02/19/1964</t>
  </si>
  <si>
    <t>09/15/1948</t>
  </si>
  <si>
    <t>09/27/1985</t>
  </si>
  <si>
    <t>09/06/1960</t>
  </si>
  <si>
    <t>11/27/1989</t>
  </si>
  <si>
    <t>06/15/1970</t>
  </si>
  <si>
    <t>06/15/1960</t>
  </si>
  <si>
    <t>08/18/1956</t>
  </si>
  <si>
    <t>10/18/1983</t>
  </si>
  <si>
    <t>07/22/1986</t>
  </si>
  <si>
    <t>11/16/1986</t>
  </si>
  <si>
    <t>06/10/1983</t>
  </si>
  <si>
    <t>06/15/1958</t>
  </si>
  <si>
    <t>07/22/1971</t>
  </si>
  <si>
    <t>06/18/1987</t>
  </si>
  <si>
    <t>02/06/1988</t>
  </si>
  <si>
    <t>10/27/1955</t>
  </si>
  <si>
    <t>12/03/1975</t>
  </si>
  <si>
    <t>05/04/1931</t>
  </si>
  <si>
    <t>08/07/1993</t>
  </si>
  <si>
    <t>06/15/1952</t>
  </si>
  <si>
    <t>10/05/1961</t>
  </si>
  <si>
    <t>08/07/1968</t>
  </si>
  <si>
    <t>02/15/1979</t>
  </si>
  <si>
    <t>08/27/1960</t>
  </si>
  <si>
    <t>10/02/1988</t>
  </si>
  <si>
    <t>06/12/1989</t>
  </si>
  <si>
    <t>12/23/1977</t>
  </si>
  <si>
    <t>10/27/2003</t>
  </si>
  <si>
    <t>12/08/1956</t>
  </si>
  <si>
    <t>07/09/1976</t>
  </si>
  <si>
    <t>10/19/1977</t>
  </si>
  <si>
    <t>12/12/1965</t>
  </si>
  <si>
    <t>11/06/1960</t>
  </si>
  <si>
    <t>02/20/1982</t>
  </si>
  <si>
    <t>11/07/1982</t>
  </si>
  <si>
    <t>04/24/1983</t>
  </si>
  <si>
    <t>02/19/1978</t>
  </si>
  <si>
    <t>12/24/1979</t>
  </si>
  <si>
    <t>02/18/1990</t>
  </si>
  <si>
    <t>05/01/1978</t>
  </si>
  <si>
    <t>05/01/1964</t>
  </si>
  <si>
    <t>12/30/1960</t>
  </si>
  <si>
    <t>02/25/1983</t>
  </si>
  <si>
    <t>07/29/1959</t>
  </si>
  <si>
    <t>10/27/1991</t>
  </si>
  <si>
    <t>10/19/1953</t>
  </si>
  <si>
    <t>03/12/1987</t>
  </si>
  <si>
    <t>06/28/1978</t>
  </si>
  <si>
    <t>10/05/1989</t>
  </si>
  <si>
    <t>03/08/1959</t>
  </si>
  <si>
    <t>08/13/1985</t>
  </si>
  <si>
    <t>02/29/1972</t>
  </si>
  <si>
    <t>01/19/1957</t>
  </si>
  <si>
    <t>09/29/1969</t>
  </si>
  <si>
    <t>12/20/1995</t>
  </si>
  <si>
    <t>09/07/1955</t>
  </si>
  <si>
    <t>02/05/1995</t>
  </si>
  <si>
    <t>02/09/1938</t>
  </si>
  <si>
    <t>05/24/1979</t>
  </si>
  <si>
    <t>04/17/1965</t>
  </si>
  <si>
    <t>09/30/1973</t>
  </si>
  <si>
    <t>04/16/1966</t>
  </si>
  <si>
    <t>12/31/1973</t>
  </si>
  <si>
    <t>10/27/1958</t>
  </si>
  <si>
    <t>03/30/1960</t>
  </si>
  <si>
    <t>02/21/1964</t>
  </si>
  <si>
    <t>09/21/1997</t>
  </si>
  <si>
    <t>12/07/1970</t>
  </si>
  <si>
    <t>12/31/1961</t>
  </si>
  <si>
    <t>07/01/1965</t>
  </si>
  <si>
    <t>06/17/1955</t>
  </si>
  <si>
    <t>07/03/1958</t>
  </si>
  <si>
    <t>09/02/1968</t>
  </si>
  <si>
    <t>06/27/1992</t>
  </si>
  <si>
    <t>04/13/1989</t>
  </si>
  <si>
    <t>08/01/1991</t>
  </si>
  <si>
    <t>09/21/1962</t>
  </si>
  <si>
    <t>12/25/1991</t>
  </si>
  <si>
    <t>06/30/1960</t>
  </si>
  <si>
    <t>06/29/1990</t>
  </si>
  <si>
    <t>12/19/1969</t>
  </si>
  <si>
    <t>09/07/1982</t>
  </si>
  <si>
    <t>11/05/1981</t>
  </si>
  <si>
    <t>02/03/1959</t>
  </si>
  <si>
    <t>04/14/1952</t>
  </si>
  <si>
    <t>01/27/1950</t>
  </si>
  <si>
    <t>04/25/1949</t>
  </si>
  <si>
    <t>09/05/1979</t>
  </si>
  <si>
    <t>04/09/1954</t>
  </si>
  <si>
    <t>12/29/1977</t>
  </si>
  <si>
    <t>12/30/1948</t>
  </si>
  <si>
    <t>08/10/1981</t>
  </si>
  <si>
    <t>03/18/1945</t>
  </si>
  <si>
    <t>03/05/1958</t>
  </si>
  <si>
    <t>03/17/1975</t>
  </si>
  <si>
    <t>06/10/1965</t>
  </si>
  <si>
    <t>05/03/1937</t>
  </si>
  <si>
    <t>11/15/1991</t>
  </si>
  <si>
    <t>06/04/1979</t>
  </si>
  <si>
    <t>04/23/1981</t>
  </si>
  <si>
    <t>01/03/1984</t>
  </si>
  <si>
    <t>05/29/1992</t>
  </si>
  <si>
    <t>07/06/1954</t>
  </si>
  <si>
    <t>09/14/1995</t>
  </si>
  <si>
    <t>06/11/1974</t>
  </si>
  <si>
    <t>01/10/1962</t>
  </si>
  <si>
    <t>10/25/1967</t>
  </si>
  <si>
    <t>08/06/1959</t>
  </si>
  <si>
    <t>03/01/1948</t>
  </si>
  <si>
    <t>11/10/1967</t>
  </si>
  <si>
    <t>02/14/1954</t>
  </si>
  <si>
    <t>08/15/1989</t>
  </si>
  <si>
    <t>08/23/1965</t>
  </si>
  <si>
    <t>07/30/1991</t>
  </si>
  <si>
    <t>06/20/1990</t>
  </si>
  <si>
    <t>06/04/1985</t>
  </si>
  <si>
    <t>07/12/1951</t>
  </si>
  <si>
    <t>05/26/1972</t>
  </si>
  <si>
    <t>06/01/1988</t>
  </si>
  <si>
    <t>10/22/1988</t>
  </si>
  <si>
    <t>09/07/1961</t>
  </si>
  <si>
    <t>11/26/1950</t>
  </si>
  <si>
    <t>05/22/1967</t>
  </si>
  <si>
    <t>04/18/1981</t>
  </si>
  <si>
    <t>03/11/1959</t>
  </si>
  <si>
    <t>11/10/1970</t>
  </si>
  <si>
    <t>12/14/1946</t>
  </si>
  <si>
    <t>01/07/1960</t>
  </si>
  <si>
    <t>02/27/1990</t>
  </si>
  <si>
    <t>11/30/1978</t>
  </si>
  <si>
    <t>02/20/1948</t>
  </si>
  <si>
    <t>05/01/1970</t>
  </si>
  <si>
    <t>06/23/1958</t>
  </si>
  <si>
    <t>03/26/1949</t>
  </si>
  <si>
    <t>04/11/1971</t>
  </si>
  <si>
    <t>01/01/1984</t>
  </si>
  <si>
    <t>01/08/1943</t>
  </si>
  <si>
    <t>12/23/1969</t>
  </si>
  <si>
    <t>06/04/1964</t>
  </si>
  <si>
    <t>03/17/1969</t>
  </si>
  <si>
    <t>03/08/1944</t>
  </si>
  <si>
    <t>06/22/1952</t>
  </si>
  <si>
    <t>04/23/1964</t>
  </si>
  <si>
    <t>06/26/1969</t>
  </si>
  <si>
    <t>11/18/1973</t>
  </si>
  <si>
    <t>06/13/1961</t>
  </si>
  <si>
    <t>05/12/1975</t>
  </si>
  <si>
    <t>06/07/1945</t>
  </si>
  <si>
    <t>12/13/1972</t>
  </si>
  <si>
    <t>07/16/1958</t>
  </si>
  <si>
    <t>06/08/1982</t>
  </si>
  <si>
    <t>06/10/1960</t>
  </si>
  <si>
    <t>08/06/1969</t>
  </si>
  <si>
    <t>09/16/1959</t>
  </si>
  <si>
    <t>01/12/1975</t>
  </si>
  <si>
    <t>08/05/1955</t>
  </si>
  <si>
    <t>07/28/1955</t>
  </si>
  <si>
    <t>02/26/1961</t>
  </si>
  <si>
    <t>01/27/1940</t>
  </si>
  <si>
    <t>07/12/1989</t>
  </si>
  <si>
    <t>04/30/1947</t>
  </si>
  <si>
    <t>11/11/1946</t>
  </si>
  <si>
    <t>06/08/1991</t>
  </si>
  <si>
    <t>12/08/1969</t>
  </si>
  <si>
    <t>09/19/1959</t>
  </si>
  <si>
    <t>09/27/1964</t>
  </si>
  <si>
    <t>06/11/1978</t>
  </si>
  <si>
    <t>08/06/1983</t>
  </si>
  <si>
    <t>12/28/1947</t>
  </si>
  <si>
    <t>04/02/1980</t>
  </si>
  <si>
    <t>06/17/1973</t>
  </si>
  <si>
    <t>09/01/1954</t>
  </si>
  <si>
    <t>05/13/1975</t>
  </si>
  <si>
    <t>08/25/1993</t>
  </si>
  <si>
    <t>11/25/1971</t>
  </si>
  <si>
    <t>03/15/1953</t>
  </si>
  <si>
    <t>04/27/1962</t>
  </si>
  <si>
    <t>11/20/1956</t>
  </si>
  <si>
    <t>03/14/1962</t>
  </si>
  <si>
    <t>02/16/1983</t>
  </si>
  <si>
    <t>01/02/1945</t>
  </si>
  <si>
    <t>04/08/1983</t>
  </si>
  <si>
    <t>07/29/1950</t>
  </si>
  <si>
    <t>11/21/1969</t>
  </si>
  <si>
    <t>05/22/1946</t>
  </si>
  <si>
    <t>02/03/1941</t>
  </si>
  <si>
    <t>06/25/1976</t>
  </si>
  <si>
    <t>02/28/1969</t>
  </si>
  <si>
    <t>07/31/1965</t>
  </si>
  <si>
    <t>12/26/1975</t>
  </si>
  <si>
    <t>10/26/1986</t>
  </si>
  <si>
    <t>06/11/1967</t>
  </si>
  <si>
    <t>01/21/1976</t>
  </si>
  <si>
    <t>01/02/1986</t>
  </si>
  <si>
    <t>12/02/1982</t>
  </si>
  <si>
    <t>01/16/1947</t>
  </si>
  <si>
    <t>06/30/1967</t>
  </si>
  <si>
    <t>06/03/1982</t>
  </si>
  <si>
    <t>07/07/1953</t>
  </si>
  <si>
    <t>03/17/1992</t>
  </si>
  <si>
    <t>10/18/1974</t>
  </si>
  <si>
    <t>03/13/1959</t>
  </si>
  <si>
    <t>08/25/1988</t>
  </si>
  <si>
    <t>09/23/1966</t>
  </si>
  <si>
    <t>04/19/1968</t>
  </si>
  <si>
    <t>11/07/1975</t>
  </si>
  <si>
    <t>02/15/1950</t>
  </si>
  <si>
    <t>04/24/1960</t>
  </si>
  <si>
    <t>02/06/1986</t>
  </si>
  <si>
    <t>11/28/1977</t>
  </si>
  <si>
    <t>06/09/1960</t>
  </si>
  <si>
    <t>05/24/1961</t>
  </si>
  <si>
    <t>10/24/1975</t>
  </si>
  <si>
    <t>09/09/1992</t>
  </si>
  <si>
    <t>07/14/1989</t>
  </si>
  <si>
    <t>11/04/1952</t>
  </si>
  <si>
    <t>06/14/1988</t>
  </si>
  <si>
    <t>07/18/1991</t>
  </si>
  <si>
    <t>04/29/1974</t>
  </si>
  <si>
    <t>07/24/1983</t>
  </si>
  <si>
    <t>10/21/1957</t>
  </si>
  <si>
    <t>02/15/1968</t>
  </si>
  <si>
    <t>02/22/1970</t>
  </si>
  <si>
    <t>11/11/1962</t>
  </si>
  <si>
    <t>07/04/1985</t>
  </si>
  <si>
    <t>03/30/1986</t>
  </si>
  <si>
    <t>10/19/1991</t>
  </si>
  <si>
    <t>05/03/1971</t>
  </si>
  <si>
    <t>05/04/1967</t>
  </si>
  <si>
    <t>09/10/1977</t>
  </si>
  <si>
    <t>02/26/1965</t>
  </si>
  <si>
    <t>12/16/1987</t>
  </si>
  <si>
    <t>02/13/1981</t>
  </si>
  <si>
    <t>01/13/1975</t>
  </si>
  <si>
    <t>03/17/1960</t>
  </si>
  <si>
    <t>07/18/1959</t>
  </si>
  <si>
    <t>09/23/1986</t>
  </si>
  <si>
    <t>12/04/1974</t>
  </si>
  <si>
    <t>01/05/1978</t>
  </si>
  <si>
    <t>09/17/1980</t>
  </si>
  <si>
    <t>09/07/1987</t>
  </si>
  <si>
    <t>07/13/1983</t>
  </si>
  <si>
    <t>10/11/1974</t>
  </si>
  <si>
    <t>08/06/1946</t>
  </si>
  <si>
    <t>09/19/1966</t>
  </si>
  <si>
    <t>12/18/1967</t>
  </si>
  <si>
    <t>01/01/1985</t>
  </si>
  <si>
    <t>04/13/1985</t>
  </si>
  <si>
    <t>06/24/1988</t>
  </si>
  <si>
    <t>12/28/1988</t>
  </si>
  <si>
    <t>07/23/1986</t>
  </si>
  <si>
    <t>11/08/1965</t>
  </si>
  <si>
    <t>01/10/1963</t>
  </si>
  <si>
    <t>10/30/1980</t>
  </si>
  <si>
    <t>08/23/1971</t>
  </si>
  <si>
    <t>08/18/1981</t>
  </si>
  <si>
    <t>09/29/1968</t>
  </si>
  <si>
    <t>04/25/1963</t>
  </si>
  <si>
    <t>01/01/1982</t>
  </si>
  <si>
    <t>01/24/1968</t>
  </si>
  <si>
    <t>06/16/1951</t>
  </si>
  <si>
    <t>11/07/1960</t>
  </si>
  <si>
    <t>01/01/1990</t>
  </si>
  <si>
    <t>06/16/1941</t>
  </si>
  <si>
    <t>10/25/1979</t>
  </si>
  <si>
    <t>11/17/1943</t>
  </si>
  <si>
    <t>11/05/1942</t>
  </si>
  <si>
    <t>01/13/1962</t>
  </si>
  <si>
    <t>04/17/1946</t>
  </si>
  <si>
    <t>09/19/1982</t>
  </si>
  <si>
    <t>09/25/1949</t>
  </si>
  <si>
    <t>04/08/1980</t>
  </si>
  <si>
    <t>10/16/1971</t>
  </si>
  <si>
    <t>12/25/1953</t>
  </si>
  <si>
    <t>12/08/1974</t>
  </si>
  <si>
    <t>01/06/1984</t>
  </si>
  <si>
    <t>09/09/1981</t>
  </si>
  <si>
    <t>08/31/1952</t>
  </si>
  <si>
    <t>08/15/1986</t>
  </si>
  <si>
    <t>01/29/1974</t>
  </si>
  <si>
    <t>06/12/1981</t>
  </si>
  <si>
    <t>02/26/1951</t>
  </si>
  <si>
    <t>03/27/1962</t>
  </si>
  <si>
    <t>01/11/1970</t>
  </si>
  <si>
    <t>08/24/1991</t>
  </si>
  <si>
    <t>01/01/1973</t>
  </si>
  <si>
    <t>01/01/1952</t>
  </si>
  <si>
    <t>01/31/1953</t>
  </si>
  <si>
    <t>12/02/1987</t>
  </si>
  <si>
    <t>03/25/1985</t>
  </si>
  <si>
    <t>11/30/1985</t>
  </si>
  <si>
    <t>11/24/1936</t>
  </si>
  <si>
    <t>10/08/1957</t>
  </si>
  <si>
    <t>02/09/1933</t>
  </si>
  <si>
    <t>09/26/1951</t>
  </si>
  <si>
    <t>03/13/1963</t>
  </si>
  <si>
    <t>01/03/1958</t>
  </si>
  <si>
    <t>12/07/1990</t>
  </si>
  <si>
    <t>10/03/1993</t>
  </si>
  <si>
    <t>03/28/1961</t>
  </si>
  <si>
    <t>03/28/1981</t>
  </si>
  <si>
    <t>07/21/1960</t>
  </si>
  <si>
    <t>09/08/1991</t>
  </si>
  <si>
    <t>12/26/1983</t>
  </si>
  <si>
    <t>08/10/1979</t>
  </si>
  <si>
    <t>09/14/1962</t>
  </si>
  <si>
    <t>07/18/1984</t>
  </si>
  <si>
    <t>06/19/1967</t>
  </si>
  <si>
    <t>08/25/1985</t>
  </si>
  <si>
    <t>08/24/1940</t>
  </si>
  <si>
    <t>04/23/1991</t>
  </si>
  <si>
    <t>12/12/1960</t>
  </si>
  <si>
    <t>11/29/1979</t>
  </si>
  <si>
    <t>01/05/1970</t>
  </si>
  <si>
    <t>09/29/1970</t>
  </si>
  <si>
    <t>12/12/1977</t>
  </si>
  <si>
    <t>10/27/1964</t>
  </si>
  <si>
    <t>02/02/1968</t>
  </si>
  <si>
    <t>06/03/1951</t>
  </si>
  <si>
    <t>08/31/1979</t>
  </si>
  <si>
    <t>01/04/1959</t>
  </si>
  <si>
    <t>05/27/1966</t>
  </si>
  <si>
    <t>02/08/1976</t>
  </si>
  <si>
    <t>12/19/1953</t>
  </si>
  <si>
    <t>12/11/1985</t>
  </si>
  <si>
    <t>12/30/1977</t>
  </si>
  <si>
    <t>01/06/1968</t>
  </si>
  <si>
    <t>04/04/1965</t>
  </si>
  <si>
    <t>07/29/1988</t>
  </si>
  <si>
    <t>02/18/1936</t>
  </si>
  <si>
    <t>04/16/1968</t>
  </si>
  <si>
    <t>02/02/1958</t>
  </si>
  <si>
    <t>08/31/1960</t>
  </si>
  <si>
    <t>11/19/1975</t>
  </si>
  <si>
    <t>01/22/1980</t>
  </si>
  <si>
    <t>05/31/1982</t>
  </si>
  <si>
    <t>02/21/1965</t>
  </si>
  <si>
    <t>12/13/1982</t>
  </si>
  <si>
    <t>11/28/1993</t>
  </si>
  <si>
    <t>07/22/1979</t>
  </si>
  <si>
    <t>06/30/1976</t>
  </si>
  <si>
    <t>08/28/1979</t>
  </si>
  <si>
    <t>11/27/1981</t>
  </si>
  <si>
    <t>07/05/1957</t>
  </si>
  <si>
    <t>04/03/1929</t>
  </si>
  <si>
    <t>08/05/1968</t>
  </si>
  <si>
    <t>09/06/1956</t>
  </si>
  <si>
    <t>05/23/1967</t>
  </si>
  <si>
    <t>05/20/1970</t>
  </si>
  <si>
    <t>03/14/1965</t>
  </si>
  <si>
    <t>10/21/1948</t>
  </si>
  <si>
    <t>05/23/1964</t>
  </si>
  <si>
    <t>12/24/1974</t>
  </si>
  <si>
    <t>12/01/1952</t>
  </si>
  <si>
    <t>04/09/1951</t>
  </si>
  <si>
    <t>01/15/1974</t>
  </si>
  <si>
    <t>01/26/1934</t>
  </si>
  <si>
    <t>10/25/1971</t>
  </si>
  <si>
    <t>09/17/1971</t>
  </si>
  <si>
    <t>06/07/1957</t>
  </si>
  <si>
    <t>04/20/1952</t>
  </si>
  <si>
    <t>07/25/1977</t>
  </si>
  <si>
    <t>07/12/1947</t>
  </si>
  <si>
    <t>02/10/1964</t>
  </si>
  <si>
    <t>09/13/1977</t>
  </si>
  <si>
    <t>11/27/1959</t>
  </si>
  <si>
    <t>06/09/1941</t>
  </si>
  <si>
    <t>03/01/1983</t>
  </si>
  <si>
    <t>05/30/1974</t>
  </si>
  <si>
    <t>07/08/1958</t>
  </si>
  <si>
    <t>09/23/1989</t>
  </si>
  <si>
    <t>07/24/1975</t>
  </si>
  <si>
    <t>11/11/1968</t>
  </si>
  <si>
    <t>02/01/1946</t>
  </si>
  <si>
    <t>12/29/1946</t>
  </si>
  <si>
    <t>03/03/1963</t>
  </si>
  <si>
    <t>07/09/1951</t>
  </si>
  <si>
    <t>12/12/1973</t>
  </si>
  <si>
    <t>03/19/1962</t>
  </si>
  <si>
    <t>12/29/1983</t>
  </si>
  <si>
    <t>03/01/1996</t>
  </si>
  <si>
    <t>07/15/1973</t>
  </si>
  <si>
    <t>01/08/1975</t>
  </si>
  <si>
    <t>02/27/1986</t>
  </si>
  <si>
    <t>04/11/1981</t>
  </si>
  <si>
    <t>05/16/1952</t>
  </si>
  <si>
    <t>11/06/1966</t>
  </si>
  <si>
    <t>07/19/1957</t>
  </si>
  <si>
    <t>05/26/1986</t>
  </si>
  <si>
    <t>10/23/1957</t>
  </si>
  <si>
    <t>08/02/1963</t>
  </si>
  <si>
    <t>05/02/1985</t>
  </si>
  <si>
    <t>09/01/1963</t>
  </si>
  <si>
    <t>09/01/1961</t>
  </si>
  <si>
    <t>05/27/1965</t>
  </si>
  <si>
    <t>05/27/1989</t>
  </si>
  <si>
    <t>10/02/1957</t>
  </si>
  <si>
    <t>11/22/1959</t>
  </si>
  <si>
    <t>03/06/1950</t>
  </si>
  <si>
    <t>06/12/1987</t>
  </si>
  <si>
    <t>08/31/1958</t>
  </si>
  <si>
    <t>12/04/1942</t>
  </si>
  <si>
    <t>10/13/1972</t>
  </si>
  <si>
    <t>01/12/1979</t>
  </si>
  <si>
    <t>06/27/1963</t>
  </si>
  <si>
    <t>07/20/1942</t>
  </si>
  <si>
    <t>12/19/1954</t>
  </si>
  <si>
    <t>09/13/1978</t>
  </si>
  <si>
    <t>09/24/1937</t>
  </si>
  <si>
    <t>01/18/1956</t>
  </si>
  <si>
    <t>03/13/1958</t>
  </si>
  <si>
    <t>09/22/1970</t>
  </si>
  <si>
    <t>02/08/1959</t>
  </si>
  <si>
    <t>11/17/1975</t>
  </si>
  <si>
    <t>05/23/1966</t>
  </si>
  <si>
    <t>08/29/1945</t>
  </si>
  <si>
    <t>12/24/1956</t>
  </si>
  <si>
    <t>10/09/1933</t>
  </si>
  <si>
    <t>05/04/1962</t>
  </si>
  <si>
    <t>07/02/1950</t>
  </si>
  <si>
    <t>04/16/1985</t>
  </si>
  <si>
    <t>02/23/1961</t>
  </si>
  <si>
    <t>08/29/1957</t>
  </si>
  <si>
    <t>02/04/1962</t>
  </si>
  <si>
    <t>03/11/1961</t>
  </si>
  <si>
    <t>04/19/1952</t>
  </si>
  <si>
    <t>04/28/1974</t>
  </si>
  <si>
    <t>12/04/1968</t>
  </si>
  <si>
    <t>01/31/1971</t>
  </si>
  <si>
    <t>02/16/1960</t>
  </si>
  <si>
    <t>06/10/1979</t>
  </si>
  <si>
    <t>07/16/1977</t>
  </si>
  <si>
    <t>07/16/1933</t>
  </si>
  <si>
    <t>03/01/1972</t>
  </si>
  <si>
    <t>01/29/1988</t>
  </si>
  <si>
    <t>04/22/1933</t>
  </si>
  <si>
    <t>11/26/1984</t>
  </si>
  <si>
    <t>03/13/1956</t>
  </si>
  <si>
    <t>04/12/1981</t>
  </si>
  <si>
    <t>10/09/1979</t>
  </si>
  <si>
    <t>05/04/1983</t>
  </si>
  <si>
    <t>02/01/1982</t>
  </si>
  <si>
    <t>09/17/1960</t>
  </si>
  <si>
    <t>03/14/1976</t>
  </si>
  <si>
    <t>12/22/1955</t>
  </si>
  <si>
    <t>01/25/1969</t>
  </si>
  <si>
    <t>12/11/1986</t>
  </si>
  <si>
    <t>03/07/1947</t>
  </si>
  <si>
    <t>07/24/1947</t>
  </si>
  <si>
    <t>02/22/1960</t>
  </si>
  <si>
    <t>12/23/1963</t>
  </si>
  <si>
    <t>12/12/1968</t>
  </si>
  <si>
    <t>02/23/1990</t>
  </si>
  <si>
    <t>02/20/1968</t>
  </si>
  <si>
    <t>09/01/1945</t>
  </si>
  <si>
    <t>09/26/1952</t>
  </si>
  <si>
    <t>01/25/1985</t>
  </si>
  <si>
    <t>03/18/1973</t>
  </si>
  <si>
    <t>09/13/1974</t>
  </si>
  <si>
    <t>01/17/1982</t>
  </si>
  <si>
    <t>09/18/1958</t>
  </si>
  <si>
    <t>06/08/1975</t>
  </si>
  <si>
    <t>06/26/1963</t>
  </si>
  <si>
    <t>06/24/1964</t>
  </si>
  <si>
    <t>09/09/1986</t>
  </si>
  <si>
    <t>03/17/1956</t>
  </si>
  <si>
    <t>03/02/1980</t>
  </si>
  <si>
    <t>12/23/1968</t>
  </si>
  <si>
    <t>11/24/1960</t>
  </si>
  <si>
    <t>04/29/1964</t>
  </si>
  <si>
    <t>04/08/1982</t>
  </si>
  <si>
    <t>08/11/1955</t>
  </si>
  <si>
    <t>05/24/1986</t>
  </si>
  <si>
    <t>04/03/1996</t>
  </si>
  <si>
    <t>12/31/1953</t>
  </si>
  <si>
    <t>07/03/1960</t>
  </si>
  <si>
    <t>09/06/1957</t>
  </si>
  <si>
    <t>12/06/1961</t>
  </si>
  <si>
    <t>06/12/1946</t>
  </si>
  <si>
    <t>01/12/1987</t>
  </si>
  <si>
    <t>05/06/1950</t>
  </si>
  <si>
    <t>08/05/1974</t>
  </si>
  <si>
    <t>06/15/1946</t>
  </si>
  <si>
    <t>05/02/1963</t>
  </si>
  <si>
    <t>05/19/1972</t>
  </si>
  <si>
    <t>01/12/1968</t>
  </si>
  <si>
    <t>11/05/1964</t>
  </si>
  <si>
    <t>01/02/1983</t>
  </si>
  <si>
    <t>05/06/1966</t>
  </si>
  <si>
    <t>11/28/1978</t>
  </si>
  <si>
    <t>03/02/1957</t>
  </si>
  <si>
    <t>08/12/1955</t>
  </si>
  <si>
    <t>05/28/1974</t>
  </si>
  <si>
    <t>07/24/1967</t>
  </si>
  <si>
    <t>08/21/1979</t>
  </si>
  <si>
    <t>12/15/1963</t>
  </si>
  <si>
    <t>02/19/1981</t>
  </si>
  <si>
    <t>07/01/1983</t>
  </si>
  <si>
    <t>02/05/1991</t>
  </si>
  <si>
    <t>02/21/1985</t>
  </si>
  <si>
    <t>01/01/1979</t>
  </si>
  <si>
    <t>03/06/1978</t>
  </si>
  <si>
    <t>07/17/1967</t>
  </si>
  <si>
    <t>11/14/1977</t>
  </si>
  <si>
    <t>04/28/1997</t>
  </si>
  <si>
    <t>10/12/1966</t>
  </si>
  <si>
    <t>07/24/1963</t>
  </si>
  <si>
    <t>06/05/1982</t>
  </si>
  <si>
    <t>11/20/1952</t>
  </si>
  <si>
    <t>05/28/1953</t>
  </si>
  <si>
    <t>09/24/1967</t>
  </si>
  <si>
    <t>07/10/1963</t>
  </si>
  <si>
    <t>12/05/1947</t>
  </si>
  <si>
    <t>05/26/1965</t>
  </si>
  <si>
    <t>11/29/1993</t>
  </si>
  <si>
    <t>01/16/1979</t>
  </si>
  <si>
    <t>11/29/1977</t>
  </si>
  <si>
    <t>07/07/1989</t>
  </si>
  <si>
    <t>11/17/1962</t>
  </si>
  <si>
    <t>12/07/1971</t>
  </si>
  <si>
    <t>02/18/1964</t>
  </si>
  <si>
    <t>07/22/1953</t>
  </si>
  <si>
    <t>04/15/1967</t>
  </si>
  <si>
    <t>03/20/1949</t>
  </si>
  <si>
    <t>05/05/1953</t>
  </si>
  <si>
    <t>09/05/1961</t>
  </si>
  <si>
    <t>04/22/1978</t>
  </si>
  <si>
    <t>01/21/1968</t>
  </si>
  <si>
    <t>07/09/1960</t>
  </si>
  <si>
    <t>06/30/1957</t>
  </si>
  <si>
    <t>10/20/1962</t>
  </si>
  <si>
    <t>06/24/1983</t>
  </si>
  <si>
    <t>09/19/1990</t>
  </si>
  <si>
    <t>09/25/1953</t>
  </si>
  <si>
    <t>02/19/1963</t>
  </si>
  <si>
    <t>02/16/1959</t>
  </si>
  <si>
    <t>09/03/1963</t>
  </si>
  <si>
    <t>11/04/1959</t>
  </si>
  <si>
    <t>05/22/1987</t>
  </si>
  <si>
    <t>08/01/1943</t>
  </si>
  <si>
    <t>01/18/1967</t>
  </si>
  <si>
    <t>10/18/1972</t>
  </si>
  <si>
    <t>08/31/1971</t>
  </si>
  <si>
    <t>02/14/1979</t>
  </si>
  <si>
    <t>06/24/1960</t>
  </si>
  <si>
    <t>03/13/1979</t>
  </si>
  <si>
    <t>06/27/1976</t>
  </si>
  <si>
    <t>07/27/1970</t>
  </si>
  <si>
    <t>05/03/1938</t>
  </si>
  <si>
    <t>11/05/1959</t>
  </si>
  <si>
    <t>08/02/1958</t>
  </si>
  <si>
    <t>08/14/1964</t>
  </si>
  <si>
    <t>07/11/1961</t>
  </si>
  <si>
    <t>11/30/1982</t>
  </si>
  <si>
    <t>01/23/1991</t>
  </si>
  <si>
    <t>10/16/1977</t>
  </si>
  <si>
    <t>12/11/1976</t>
  </si>
  <si>
    <t>03/18/1977</t>
  </si>
  <si>
    <t>11/11/1941</t>
  </si>
  <si>
    <t>10/28/1954</t>
  </si>
  <si>
    <t>02/08/1956</t>
  </si>
  <si>
    <t>10/18/1948</t>
  </si>
  <si>
    <t>07/25/1968</t>
  </si>
  <si>
    <t>03/04/1968</t>
  </si>
  <si>
    <t>12/31/1960</t>
  </si>
  <si>
    <t>10/18/1954</t>
  </si>
  <si>
    <t>12/15/1964</t>
  </si>
  <si>
    <t>09/04/1991</t>
  </si>
  <si>
    <t>10/11/1972</t>
  </si>
  <si>
    <t>06/19/1959</t>
  </si>
  <si>
    <t>02/02/1954</t>
  </si>
  <si>
    <t>01/01/1978</t>
  </si>
  <si>
    <t>01/10/1979</t>
  </si>
  <si>
    <t>11/06/1979</t>
  </si>
  <si>
    <t>07/05/1989</t>
  </si>
  <si>
    <t>05/04/1956</t>
  </si>
  <si>
    <t>02/05/1961</t>
  </si>
  <si>
    <t>11/01/1982</t>
  </si>
  <si>
    <t>08/24/1978</t>
  </si>
  <si>
    <t>06/11/1964</t>
  </si>
  <si>
    <t>12/27/1960</t>
  </si>
  <si>
    <t>02/05/1956</t>
  </si>
  <si>
    <t>07/24/1976</t>
  </si>
  <si>
    <t>12/30/1988</t>
  </si>
  <si>
    <t>01/01/1987</t>
  </si>
  <si>
    <t>01/30/1985</t>
  </si>
  <si>
    <t>04/01/1993</t>
  </si>
  <si>
    <t>08/22/1987</t>
  </si>
  <si>
    <t>05/05/1991</t>
  </si>
  <si>
    <t>12/29/1988</t>
  </si>
  <si>
    <t>05/17/1979</t>
  </si>
  <si>
    <t>04/13/1982</t>
  </si>
  <si>
    <t>05/09/1992</t>
  </si>
  <si>
    <t>03/06/1991</t>
  </si>
  <si>
    <t>07/18/1992</t>
  </si>
  <si>
    <t>06/11/1966</t>
  </si>
  <si>
    <t>02/27/1962</t>
  </si>
  <si>
    <t>11/27/1974</t>
  </si>
  <si>
    <t>01/27/1962</t>
  </si>
  <si>
    <t>07/08/1975</t>
  </si>
  <si>
    <t>01/31/1988</t>
  </si>
  <si>
    <t>05/14/1960</t>
  </si>
  <si>
    <t>04/11/1990</t>
  </si>
  <si>
    <t>10/28/1956</t>
  </si>
  <si>
    <t>07/16/1956</t>
  </si>
  <si>
    <t>08/26/1976</t>
  </si>
  <si>
    <t>10/22/1941</t>
  </si>
  <si>
    <t>09/02/1996</t>
  </si>
  <si>
    <t>09/01/1971</t>
  </si>
  <si>
    <t>04/21/1976</t>
  </si>
  <si>
    <t>07/14/1981</t>
  </si>
  <si>
    <t>08/20/1988</t>
  </si>
  <si>
    <t>07/07/1956</t>
  </si>
  <si>
    <t>12/01/1969</t>
  </si>
  <si>
    <t>06/12/1977</t>
  </si>
  <si>
    <t>03/16/1974</t>
  </si>
  <si>
    <t>11/25/1986</t>
  </si>
  <si>
    <t>03/31/1986</t>
  </si>
  <si>
    <t>02/11/1977</t>
  </si>
  <si>
    <t>07/24/1952</t>
  </si>
  <si>
    <t>06/01/1963</t>
  </si>
  <si>
    <t>03/15/1947</t>
  </si>
  <si>
    <t>06/20/1954</t>
  </si>
  <si>
    <t>02/08/1970</t>
  </si>
  <si>
    <t>04/10/1954</t>
  </si>
  <si>
    <t>05/26/1959</t>
  </si>
  <si>
    <t>03/31/1952</t>
  </si>
  <si>
    <t>01/27/1977</t>
  </si>
  <si>
    <t>09/12/1973</t>
  </si>
  <si>
    <t>01/19/1966</t>
  </si>
  <si>
    <t>08/11/1952</t>
  </si>
  <si>
    <t>07/29/1986</t>
  </si>
  <si>
    <t>06/24/1958</t>
  </si>
  <si>
    <t>04/03/1948</t>
  </si>
  <si>
    <t>09/25/1934</t>
  </si>
  <si>
    <t>02/05/1954</t>
  </si>
  <si>
    <t>10/14/1999</t>
  </si>
  <si>
    <t>07/20/1981</t>
  </si>
  <si>
    <t>06/25/1990</t>
  </si>
  <si>
    <t>12/22/1948</t>
  </si>
  <si>
    <t>12/30/1958</t>
  </si>
  <si>
    <t>08/05/1991</t>
  </si>
  <si>
    <t>03/13/1989</t>
  </si>
  <si>
    <t>10/15/1972</t>
  </si>
  <si>
    <t>07/01/1982</t>
  </si>
  <si>
    <t>10/02/1979</t>
  </si>
  <si>
    <t>12/24/1964</t>
  </si>
  <si>
    <t>09/27/1987</t>
  </si>
  <si>
    <t>07/07/1994</t>
  </si>
  <si>
    <t>11/01/1959</t>
  </si>
  <si>
    <t>01/25/1945</t>
  </si>
  <si>
    <t>07/26/1961</t>
  </si>
  <si>
    <t>11/02/1969</t>
  </si>
  <si>
    <t>04/20/1958</t>
  </si>
  <si>
    <t>01/04/1947</t>
  </si>
  <si>
    <t>06/12/1998</t>
  </si>
  <si>
    <t>03/29/1991</t>
  </si>
  <si>
    <t>10/18/1988</t>
  </si>
  <si>
    <t>08/30/1967</t>
  </si>
  <si>
    <t>04/22/1947</t>
  </si>
  <si>
    <t>08/26/1977</t>
  </si>
  <si>
    <t>05/11/1993</t>
  </si>
  <si>
    <t>03/14/1954</t>
  </si>
  <si>
    <t>05/01/1969</t>
  </si>
  <si>
    <t>11/29/1958</t>
  </si>
  <si>
    <t>06/11/1973</t>
  </si>
  <si>
    <t>12/03/1954</t>
  </si>
  <si>
    <t>01/11/1980</t>
  </si>
  <si>
    <t>07/11/1989</t>
  </si>
  <si>
    <t>06/21/1968</t>
  </si>
  <si>
    <t>12/13/1977</t>
  </si>
  <si>
    <t>04/20/1979</t>
  </si>
  <si>
    <t>04/18/1949</t>
  </si>
  <si>
    <t>12/06/1992</t>
  </si>
  <si>
    <t>10/17/1958</t>
  </si>
  <si>
    <t>04/06/1973</t>
  </si>
  <si>
    <t>08/10/1991</t>
  </si>
  <si>
    <t>03/06/1959</t>
  </si>
  <si>
    <t>06/04/1982</t>
  </si>
  <si>
    <t>07/06/1949</t>
  </si>
  <si>
    <t>08/08/1987</t>
  </si>
  <si>
    <t>07/27/1957</t>
  </si>
  <si>
    <t>09/03/1987</t>
  </si>
  <si>
    <t>03/04/1987</t>
  </si>
  <si>
    <t>01/01/1955</t>
  </si>
  <si>
    <t>03/24/1973</t>
  </si>
  <si>
    <t>03/09/1968</t>
  </si>
  <si>
    <t>09/04/1983</t>
  </si>
  <si>
    <t>06/08/1974</t>
  </si>
  <si>
    <t>05/03/1980</t>
  </si>
  <si>
    <t>10/02/1970</t>
  </si>
  <si>
    <t>08/09/1987</t>
  </si>
  <si>
    <t>03/04/1963</t>
  </si>
  <si>
    <t>08/03/1959</t>
  </si>
  <si>
    <t>08/19/1976</t>
  </si>
  <si>
    <t>07/01/1988</t>
  </si>
  <si>
    <t>02/23/1969</t>
  </si>
  <si>
    <t>12/01/1955</t>
  </si>
  <si>
    <t>12/27/1991</t>
  </si>
  <si>
    <t>10/21/1972</t>
  </si>
  <si>
    <t>08/03/1968</t>
  </si>
  <si>
    <t>05/10/1931</t>
  </si>
  <si>
    <t>01/17/1977</t>
  </si>
  <si>
    <t>10/23/1971</t>
  </si>
  <si>
    <t>11/11/1953</t>
  </si>
  <si>
    <t>09/18/1965</t>
  </si>
  <si>
    <t>05/25/1972</t>
  </si>
  <si>
    <t>02/24/1974</t>
  </si>
  <si>
    <t>01/21/1991</t>
  </si>
  <si>
    <t>02/05/1992</t>
  </si>
  <si>
    <t>03/30/1961</t>
  </si>
  <si>
    <t>11/06/1968</t>
  </si>
  <si>
    <t>04/19/1982</t>
  </si>
  <si>
    <t>05/14/1971</t>
  </si>
  <si>
    <t>03/29/1961</t>
  </si>
  <si>
    <t>09/06/1989</t>
  </si>
  <si>
    <t>09/28/1955</t>
  </si>
  <si>
    <t>01/04/1973</t>
  </si>
  <si>
    <t>06/06/1979</t>
  </si>
  <si>
    <t>02/17/1968</t>
  </si>
  <si>
    <t>08/02/1947</t>
  </si>
  <si>
    <t>09/06/1952</t>
  </si>
  <si>
    <t>05/16/1995</t>
  </si>
  <si>
    <t>06/04/1959</t>
  </si>
  <si>
    <t>02/14/1989</t>
  </si>
  <si>
    <t>04/25/1960</t>
  </si>
  <si>
    <t>08/22/1961</t>
  </si>
  <si>
    <t>11/20/1947</t>
  </si>
  <si>
    <t>11/17/1971</t>
  </si>
  <si>
    <t>12/29/1964</t>
  </si>
  <si>
    <t>11/20/1985</t>
  </si>
  <si>
    <t>07/02/1973</t>
  </si>
  <si>
    <t>10/28/1965</t>
  </si>
  <si>
    <t>01/04/1954</t>
  </si>
  <si>
    <t>09/20/1990</t>
  </si>
  <si>
    <t>03/25/1963</t>
  </si>
  <si>
    <t>01/12/1965</t>
  </si>
  <si>
    <t>12/17/1956</t>
  </si>
  <si>
    <t>05/22/1929</t>
  </si>
  <si>
    <t>12/05/1949</t>
  </si>
  <si>
    <t>06/06/1940</t>
  </si>
  <si>
    <t>07/19/1958</t>
  </si>
  <si>
    <t>11/07/1959</t>
  </si>
  <si>
    <t>05/06/1958</t>
  </si>
  <si>
    <t>08/15/1968</t>
  </si>
  <si>
    <t>02/13/1947</t>
  </si>
  <si>
    <t>01/18/1947</t>
  </si>
  <si>
    <t>08/02/1949</t>
  </si>
  <si>
    <t>04/13/1995</t>
  </si>
  <si>
    <t>10/17/1969</t>
  </si>
  <si>
    <t>09/20/1970</t>
  </si>
  <si>
    <t>12/25/1973</t>
  </si>
  <si>
    <t>11/21/1976</t>
  </si>
  <si>
    <t>01/17/1973</t>
  </si>
  <si>
    <t>03/23/1972</t>
  </si>
  <si>
    <t>02/25/1987</t>
  </si>
  <si>
    <t>02/11/1937</t>
  </si>
  <si>
    <t>08/17/1979</t>
  </si>
  <si>
    <t>02/19/1985</t>
  </si>
  <si>
    <t>12/13/1983</t>
  </si>
  <si>
    <t>06/17/1980</t>
  </si>
  <si>
    <t>08/16/1958</t>
  </si>
  <si>
    <t>07/21/1977</t>
  </si>
  <si>
    <t>05/28/1978</t>
  </si>
  <si>
    <t>11/23/1959</t>
  </si>
  <si>
    <t>03/11/1951</t>
  </si>
  <si>
    <t>07/12/1956</t>
  </si>
  <si>
    <t>04/17/1954</t>
  </si>
  <si>
    <t>12/20/1940</t>
  </si>
  <si>
    <t>05/02/1982</t>
  </si>
  <si>
    <t>11/25/1949</t>
  </si>
  <si>
    <t>10/27/1975</t>
  </si>
  <si>
    <t>12/04/1986</t>
  </si>
  <si>
    <t>05/07/1965</t>
  </si>
  <si>
    <t>09/05/1978</t>
  </si>
  <si>
    <t>08/25/1977</t>
  </si>
  <si>
    <t>04/19/1969</t>
  </si>
  <si>
    <t>04/28/1967</t>
  </si>
  <si>
    <t>09/29/1956</t>
  </si>
  <si>
    <t>05/21/1930</t>
  </si>
  <si>
    <t>03/02/1961</t>
  </si>
  <si>
    <t>12/21/1971</t>
  </si>
  <si>
    <t>09/22/1963</t>
  </si>
  <si>
    <t>09/07/1967</t>
  </si>
  <si>
    <t>01/13/1951</t>
  </si>
  <si>
    <t>12/07/1953</t>
  </si>
  <si>
    <t>01/09/1960</t>
  </si>
  <si>
    <t>12/12/1956</t>
  </si>
  <si>
    <t>10/25/1956</t>
  </si>
  <si>
    <t>11/11/1939</t>
  </si>
  <si>
    <t>08/01/1970</t>
  </si>
  <si>
    <t>12/15/1973</t>
  </si>
  <si>
    <t>01/08/1965</t>
  </si>
  <si>
    <t>08/21/1946</t>
  </si>
  <si>
    <t>11/11/1975</t>
  </si>
  <si>
    <t>02/21/1988</t>
  </si>
  <si>
    <t>04/22/1987</t>
  </si>
  <si>
    <t>05/19/1957</t>
  </si>
  <si>
    <t>08/05/1960</t>
  </si>
  <si>
    <t>03/30/1977</t>
  </si>
  <si>
    <t>03/16/1972</t>
  </si>
  <si>
    <t>12/16/1966</t>
  </si>
  <si>
    <t>06/15/1968</t>
  </si>
  <si>
    <t>08/12/1970</t>
  </si>
  <si>
    <t>10/07/1987</t>
  </si>
  <si>
    <t>06/01/1969</t>
  </si>
  <si>
    <t>07/25/1952</t>
  </si>
  <si>
    <t>06/25/1964</t>
  </si>
  <si>
    <t>05/28/1982</t>
  </si>
  <si>
    <t>06/30/1993</t>
  </si>
  <si>
    <t>08/03/1944</t>
  </si>
  <si>
    <t>08/13/1982</t>
  </si>
  <si>
    <t>03/16/1937</t>
  </si>
  <si>
    <t>10/03/1982</t>
  </si>
  <si>
    <t>02/21/1952</t>
  </si>
  <si>
    <t>04/16/1987</t>
  </si>
  <si>
    <t>07/25/1965</t>
  </si>
  <si>
    <t>12/20/1935</t>
  </si>
  <si>
    <t>06/27/1985</t>
  </si>
  <si>
    <t>09/14/1979</t>
  </si>
  <si>
    <t>09/14/1950</t>
  </si>
  <si>
    <t>04/15/1961</t>
  </si>
  <si>
    <t>12/25/1990</t>
  </si>
  <si>
    <t>12/10/1967</t>
  </si>
  <si>
    <t>06/22/1963</t>
  </si>
  <si>
    <t>04/09/1986</t>
  </si>
  <si>
    <t>01/01/1983</t>
  </si>
  <si>
    <t>06/06/1971</t>
  </si>
  <si>
    <t>08/31/1954</t>
  </si>
  <si>
    <t>09/08/1990</t>
  </si>
  <si>
    <t>09/12/1972</t>
  </si>
  <si>
    <t>07/27/1950</t>
  </si>
  <si>
    <t>01/07/1972</t>
  </si>
  <si>
    <t>03/26/1979</t>
  </si>
  <si>
    <t>11/25/1982</t>
  </si>
  <si>
    <t>10/10/1975</t>
  </si>
  <si>
    <t>01/27/1960</t>
  </si>
  <si>
    <t>05/09/1981</t>
  </si>
  <si>
    <t>07/12/1970</t>
  </si>
  <si>
    <t>04/05/1970</t>
  </si>
  <si>
    <t>02/23/1959</t>
  </si>
  <si>
    <t>07/31/1959</t>
  </si>
  <si>
    <t>11/04/1953</t>
  </si>
  <si>
    <t>03/19/1982</t>
  </si>
  <si>
    <t>11/15/1937</t>
  </si>
  <si>
    <t>04/30/1941</t>
  </si>
  <si>
    <t>05/12/1974</t>
  </si>
  <si>
    <t>12/03/1967</t>
  </si>
  <si>
    <t>11/09/1978</t>
  </si>
  <si>
    <t>10/23/1985</t>
  </si>
  <si>
    <t>11/25/1957</t>
  </si>
  <si>
    <t>01/20/1986</t>
  </si>
  <si>
    <t>01/26/1939</t>
  </si>
  <si>
    <t>12/16/1965</t>
  </si>
  <si>
    <t>10/16/1965</t>
  </si>
  <si>
    <t>07/26/1959</t>
  </si>
  <si>
    <t>05/22/1966</t>
  </si>
  <si>
    <t>11/19/1966</t>
  </si>
  <si>
    <t>03/24/1949</t>
  </si>
  <si>
    <t>01/20/1981</t>
  </si>
  <si>
    <t>07/25/1941</t>
  </si>
  <si>
    <t>02/10/1931</t>
  </si>
  <si>
    <t>09/19/1941</t>
  </si>
  <si>
    <t>11/01/1954</t>
  </si>
  <si>
    <t>04/24/1964</t>
  </si>
  <si>
    <t>08/14/1981</t>
  </si>
  <si>
    <t>11/06/1941</t>
  </si>
  <si>
    <t>03/27/1979</t>
  </si>
  <si>
    <t>08/03/1999</t>
  </si>
  <si>
    <t>05/18/1952</t>
  </si>
  <si>
    <t>10/12/1992</t>
  </si>
  <si>
    <t>03/05/1960</t>
  </si>
  <si>
    <t>02/22/1967</t>
  </si>
  <si>
    <t>07/31/1986</t>
  </si>
  <si>
    <t>04/13/1983</t>
  </si>
  <si>
    <t>06/04/1970</t>
  </si>
  <si>
    <t>08/25/1967</t>
  </si>
  <si>
    <t>09/23/1940</t>
  </si>
  <si>
    <t>01/16/1986</t>
  </si>
  <si>
    <t>06/15/1955</t>
  </si>
  <si>
    <t>08/16/1956</t>
  </si>
  <si>
    <t>12/31/1970</t>
  </si>
  <si>
    <t>04/13/1968</t>
  </si>
  <si>
    <t>10/18/1950</t>
  </si>
  <si>
    <t>03/11/1974</t>
  </si>
  <si>
    <t>10/28/1981</t>
  </si>
  <si>
    <t>09/24/1968</t>
  </si>
  <si>
    <t>06/25/1955</t>
  </si>
  <si>
    <t>01/16/1957</t>
  </si>
  <si>
    <t>06/14/1979</t>
  </si>
  <si>
    <t>05/13/1977</t>
  </si>
  <si>
    <t>12/07/1961</t>
  </si>
  <si>
    <t>12/29/1940</t>
  </si>
  <si>
    <t>03/03/1993</t>
  </si>
  <si>
    <t>02/15/1967</t>
  </si>
  <si>
    <t>11/12/1974</t>
  </si>
  <si>
    <t>05/30/1957</t>
  </si>
  <si>
    <t>10/06/1971</t>
  </si>
  <si>
    <t>03/02/1945</t>
  </si>
  <si>
    <t>01/29/1975</t>
  </si>
  <si>
    <t>07/11/1934</t>
  </si>
  <si>
    <t>04/27/1972</t>
  </si>
  <si>
    <t>09/28/1990</t>
  </si>
  <si>
    <t>04/01/1997</t>
  </si>
  <si>
    <t>02/08/1974</t>
  </si>
  <si>
    <t>03/26/1970</t>
  </si>
  <si>
    <t>08/19/1981</t>
  </si>
  <si>
    <t>11/25/1970</t>
  </si>
  <si>
    <t>10/09/1987</t>
  </si>
  <si>
    <t>03/07/1977</t>
  </si>
  <si>
    <t>07/04/1950</t>
  </si>
  <si>
    <t>06/06/1966</t>
  </si>
  <si>
    <t>08/29/1976</t>
  </si>
  <si>
    <t>10/14/1962</t>
  </si>
  <si>
    <t>02/04/1983</t>
  </si>
  <si>
    <t>06/22/1951</t>
  </si>
  <si>
    <t>01/17/1959</t>
  </si>
  <si>
    <t>01/07/1951</t>
  </si>
  <si>
    <t>10/26/1960</t>
  </si>
  <si>
    <t>11/06/1964</t>
  </si>
  <si>
    <t>03/19/1956</t>
  </si>
  <si>
    <t>12/01/1950</t>
  </si>
  <si>
    <t>04/03/1952</t>
  </si>
  <si>
    <t>05/05/1968</t>
  </si>
  <si>
    <t>02/14/1970</t>
  </si>
  <si>
    <t>04/23/1952</t>
  </si>
  <si>
    <t>08/05/1976</t>
  </si>
  <si>
    <t>10/16/1980</t>
  </si>
  <si>
    <t>02/10/1977</t>
  </si>
  <si>
    <t>06/30/1974</t>
  </si>
  <si>
    <t>12/31/1969</t>
  </si>
  <si>
    <t>06/17/1977</t>
  </si>
  <si>
    <t>01/14/1990</t>
  </si>
  <si>
    <t>07/31/1960</t>
  </si>
  <si>
    <t>07/02/1978</t>
  </si>
  <si>
    <t>01/21/1965</t>
  </si>
  <si>
    <t>05/17/1957</t>
  </si>
  <si>
    <t>10/04/1976</t>
  </si>
  <si>
    <t>07/30/1946</t>
  </si>
  <si>
    <t>05/19/1962</t>
  </si>
  <si>
    <t>06/04/1952</t>
  </si>
  <si>
    <t>10/07/1989</t>
  </si>
  <si>
    <t>03/22/1972</t>
  </si>
  <si>
    <t>12/13/1940</t>
  </si>
  <si>
    <t>11/15/1970</t>
  </si>
  <si>
    <t>01/10/1975</t>
  </si>
  <si>
    <t>01/09/1973</t>
  </si>
  <si>
    <t>02/05/1980</t>
  </si>
  <si>
    <t>01/02/1963</t>
  </si>
  <si>
    <t>03/15/1954</t>
  </si>
  <si>
    <t>10/09/1959</t>
  </si>
  <si>
    <t>08/15/1977</t>
  </si>
  <si>
    <t>01/14/1959</t>
  </si>
  <si>
    <t>03/03/1988</t>
  </si>
  <si>
    <t>06/29/1966</t>
  </si>
  <si>
    <t>05/08/1944</t>
  </si>
  <si>
    <t>05/10/1962</t>
  </si>
  <si>
    <t>12/09/1986</t>
  </si>
  <si>
    <t>12/31/1977</t>
  </si>
  <si>
    <t>02/04/1968</t>
  </si>
  <si>
    <t>10/10/1976</t>
  </si>
  <si>
    <t>10/30/1947</t>
  </si>
  <si>
    <t>01/07/1975</t>
  </si>
  <si>
    <t>05/11/1971</t>
  </si>
  <si>
    <t>05/03/1983</t>
  </si>
  <si>
    <t>01/28/1947</t>
  </si>
  <si>
    <t>12/13/1978</t>
  </si>
  <si>
    <t>05/07/1950</t>
  </si>
  <si>
    <t>12/06/1962</t>
  </si>
  <si>
    <t>06/20/1967</t>
  </si>
  <si>
    <t>03/07/1976</t>
  </si>
  <si>
    <t>10/31/1970</t>
  </si>
  <si>
    <t>01/01/1968</t>
  </si>
  <si>
    <t>06/11/1972</t>
  </si>
  <si>
    <t>05/15/1992</t>
  </si>
  <si>
    <t>04/28/1971</t>
  </si>
  <si>
    <t>01/02/1984</t>
  </si>
  <si>
    <t>10/10/1969</t>
  </si>
  <si>
    <t>12/11/1952</t>
  </si>
  <si>
    <t>05/23/1983</t>
  </si>
  <si>
    <t>12/19/1982</t>
  </si>
  <si>
    <t>09/21/1987</t>
  </si>
  <si>
    <t>02/24/1983</t>
  </si>
  <si>
    <t>11/17/1967</t>
  </si>
  <si>
    <t>01/01/1959</t>
  </si>
  <si>
    <t>02/28/1962</t>
  </si>
  <si>
    <t>04/19/1971</t>
  </si>
  <si>
    <t>09/30/1982</t>
  </si>
  <si>
    <t>10/18/1969</t>
  </si>
  <si>
    <t>12/03/1933</t>
  </si>
  <si>
    <t>12/18/1964</t>
  </si>
  <si>
    <t>09/03/1986</t>
  </si>
  <si>
    <t>05/30/1991</t>
  </si>
  <si>
    <t>09/17/1975</t>
  </si>
  <si>
    <t>02/21/1958</t>
  </si>
  <si>
    <t>03/01/1964</t>
  </si>
  <si>
    <t>08/20/1985</t>
  </si>
  <si>
    <t>03/24/1956</t>
  </si>
  <si>
    <t>08/21/1983</t>
  </si>
  <si>
    <t>10/26/1957</t>
  </si>
  <si>
    <t>02/05/1979</t>
  </si>
  <si>
    <t>07/11/1984</t>
  </si>
  <si>
    <t>03/11/1969</t>
  </si>
  <si>
    <t>02/11/1983</t>
  </si>
  <si>
    <t>05/08/1967</t>
  </si>
  <si>
    <t>02/26/1968</t>
  </si>
  <si>
    <t>03/19/1972</t>
  </si>
  <si>
    <t>08/14/1985</t>
  </si>
  <si>
    <t>08/03/1981</t>
  </si>
  <si>
    <t>05/05/1967</t>
  </si>
  <si>
    <t>05/31/1993</t>
  </si>
  <si>
    <t>11/30/1970</t>
  </si>
  <si>
    <t>03/28/1950</t>
  </si>
  <si>
    <t>01/17/1954</t>
  </si>
  <si>
    <t>11/05/1975</t>
  </si>
  <si>
    <t>11/11/1989</t>
  </si>
  <si>
    <t>01/18/1955</t>
  </si>
  <si>
    <t>01/25/1963</t>
  </si>
  <si>
    <t>05/21/1979</t>
  </si>
  <si>
    <t>12/19/1961</t>
  </si>
  <si>
    <t>12/14/1979</t>
  </si>
  <si>
    <t>02/08/1982</t>
  </si>
  <si>
    <t>02/05/1946</t>
  </si>
  <si>
    <t>02/23/1953</t>
  </si>
  <si>
    <t>05/31/1985</t>
  </si>
  <si>
    <t>08/28/1949</t>
  </si>
  <si>
    <t>12/20/1977</t>
  </si>
  <si>
    <t>02/09/1960</t>
  </si>
  <si>
    <t>08/08/1974</t>
  </si>
  <si>
    <t>10/11/1944</t>
  </si>
  <si>
    <t>11/17/1965</t>
  </si>
  <si>
    <t>08/02/1983</t>
  </si>
  <si>
    <t>02/13/1967</t>
  </si>
  <si>
    <t>10/14/1977</t>
  </si>
  <si>
    <t>04/28/1960</t>
  </si>
  <si>
    <t>07/04/1955</t>
  </si>
  <si>
    <t>07/24/1985</t>
  </si>
  <si>
    <t>05/16/1983</t>
  </si>
  <si>
    <t>10/30/1961</t>
  </si>
  <si>
    <t>12/03/1961</t>
  </si>
  <si>
    <t>09/11/1978</t>
  </si>
  <si>
    <t>08/05/1975</t>
  </si>
  <si>
    <t>05/24/1953</t>
  </si>
  <si>
    <t>09/19/1956</t>
  </si>
  <si>
    <t>03/27/1992</t>
  </si>
  <si>
    <t>03/11/1986</t>
  </si>
  <si>
    <t>06/27/1991</t>
  </si>
  <si>
    <t>09/09/1940</t>
  </si>
  <si>
    <t>01/11/1993</t>
  </si>
  <si>
    <t>12/23/1982</t>
  </si>
  <si>
    <t>07/12/1995</t>
  </si>
  <si>
    <t>01/01/1966</t>
  </si>
  <si>
    <t>09/23/1991</t>
  </si>
  <si>
    <t>12/31/1941</t>
  </si>
  <si>
    <t>10/15/1958</t>
  </si>
  <si>
    <t>03/03/1976</t>
  </si>
  <si>
    <t>03/13/1969</t>
  </si>
  <si>
    <t>11/29/1981</t>
  </si>
  <si>
    <t>12/09/1958</t>
  </si>
  <si>
    <t>06/05/1986</t>
  </si>
  <si>
    <t>07/27/1981</t>
  </si>
  <si>
    <t>05/26/1967</t>
  </si>
  <si>
    <t>03/31/1950</t>
  </si>
  <si>
    <t>07/21/1952</t>
  </si>
  <si>
    <t>03/16/1960</t>
  </si>
  <si>
    <t>03/26/1975</t>
  </si>
  <si>
    <t>08/25/1997</t>
  </si>
  <si>
    <t>05/16/1956</t>
  </si>
  <si>
    <t>04/12/1984</t>
  </si>
  <si>
    <t>07/05/1979</t>
  </si>
  <si>
    <t>12/30/1976</t>
  </si>
  <si>
    <t>05/23/1959</t>
  </si>
  <si>
    <t>04/23/1947</t>
  </si>
  <si>
    <t>06/14/1953</t>
  </si>
  <si>
    <t>06/25/1956</t>
  </si>
  <si>
    <t>05/14/1977</t>
  </si>
  <si>
    <t>11/21/1960</t>
  </si>
  <si>
    <t>10/12/1993</t>
  </si>
  <si>
    <t>04/10/1976</t>
  </si>
  <si>
    <t>06/26/1979</t>
  </si>
  <si>
    <t>11/15/1953</t>
  </si>
  <si>
    <t>07/17/1964</t>
  </si>
  <si>
    <t>01/01/1969</t>
  </si>
  <si>
    <t>06/15/1961</t>
  </si>
  <si>
    <t>06/11/1961</t>
  </si>
  <si>
    <t>05/27/1970</t>
  </si>
  <si>
    <t>01/26/1944</t>
  </si>
  <si>
    <t>01/31/1983</t>
  </si>
  <si>
    <t>10/22/1978</t>
  </si>
  <si>
    <t>11/10/1998</t>
  </si>
  <si>
    <t>09/09/1985</t>
  </si>
  <si>
    <t>08/01/1962</t>
  </si>
  <si>
    <t>12/15/1969</t>
  </si>
  <si>
    <t>12/05/1982</t>
  </si>
  <si>
    <t>09/06/1979</t>
  </si>
  <si>
    <t>04/04/1982</t>
  </si>
  <si>
    <t>09/28/1975</t>
  </si>
  <si>
    <t>11/06/1975</t>
  </si>
  <si>
    <t>03/15/1974</t>
  </si>
  <si>
    <t>10/03/1965</t>
  </si>
  <si>
    <t>01/07/1977</t>
  </si>
  <si>
    <t>02/28/1945</t>
  </si>
  <si>
    <t>03/18/1944</t>
  </si>
  <si>
    <t>07/01/1958</t>
  </si>
  <si>
    <t>04/30/1978</t>
  </si>
  <si>
    <t>01/30/1981</t>
  </si>
  <si>
    <t>06/21/1988</t>
  </si>
  <si>
    <t>06/21/1970</t>
  </si>
  <si>
    <t>05/08/1984</t>
  </si>
  <si>
    <t>05/30/1946</t>
  </si>
  <si>
    <t>08/09/1988</t>
  </si>
  <si>
    <t>06/25/1966</t>
  </si>
  <si>
    <t>11/28/1933</t>
  </si>
  <si>
    <t>05/30/1964</t>
  </si>
  <si>
    <t>10/01/1979</t>
  </si>
  <si>
    <t>07/08/1967</t>
  </si>
  <si>
    <t>03/13/1961</t>
  </si>
  <si>
    <t>01/23/1964</t>
  </si>
  <si>
    <t>04/30/1985</t>
  </si>
  <si>
    <t>01/18/1978</t>
  </si>
  <si>
    <t>07/07/1991</t>
  </si>
  <si>
    <t>09/27/1983</t>
  </si>
  <si>
    <t>06/15/1974</t>
  </si>
  <si>
    <t>12/01/1962</t>
  </si>
  <si>
    <t>09/03/1938</t>
  </si>
  <si>
    <t>06/18/1991</t>
  </si>
  <si>
    <t>10/09/1967</t>
  </si>
  <si>
    <t>04/02/1981</t>
  </si>
  <si>
    <t>10/21/1993</t>
  </si>
  <si>
    <t>10/23/1966</t>
  </si>
  <si>
    <t>03/02/1987</t>
  </si>
  <si>
    <t>03/28/1967</t>
  </si>
  <si>
    <t>03/21/1974</t>
  </si>
  <si>
    <t>07/19/1978</t>
  </si>
  <si>
    <t>11/25/1980</t>
  </si>
  <si>
    <t>11/29/1988</t>
  </si>
  <si>
    <t>11/07/1970</t>
  </si>
  <si>
    <t>07/02/1975</t>
  </si>
  <si>
    <t>08/04/1961</t>
  </si>
  <si>
    <t>08/09/1983</t>
  </si>
  <si>
    <t>05/01/1982</t>
  </si>
  <si>
    <t>08/13/1971</t>
  </si>
  <si>
    <t>02/10/1994</t>
  </si>
  <si>
    <t>10/16/1949</t>
  </si>
  <si>
    <t>04/11/1974</t>
  </si>
  <si>
    <t>01/12/1986</t>
  </si>
  <si>
    <t>08/28/1965</t>
  </si>
  <si>
    <t>12/18/1961</t>
  </si>
  <si>
    <t>05/05/1985</t>
  </si>
  <si>
    <t>11/01/1978</t>
  </si>
  <si>
    <t>11/09/1984</t>
  </si>
  <si>
    <t>10/05/1960</t>
  </si>
  <si>
    <t>09/07/1942</t>
  </si>
  <si>
    <t>03/07/1954</t>
  </si>
  <si>
    <t>02/03/1956</t>
  </si>
  <si>
    <t>05/01/1955</t>
  </si>
  <si>
    <t>05/22/1965</t>
  </si>
  <si>
    <t>06/27/1961</t>
  </si>
  <si>
    <t>05/22/1982</t>
  </si>
  <si>
    <t>04/03/1984</t>
  </si>
  <si>
    <t>11/21/1954</t>
  </si>
  <si>
    <t>01/10/1971</t>
  </si>
  <si>
    <t>02/07/1971</t>
  </si>
  <si>
    <t>02/07/1970</t>
  </si>
  <si>
    <t>11/24/1970</t>
  </si>
  <si>
    <t>02/20/1943</t>
  </si>
  <si>
    <t>04/28/1938</t>
  </si>
  <si>
    <t>05/23/1957</t>
  </si>
  <si>
    <t>01/15/1948</t>
  </si>
  <si>
    <t>10/27/1971</t>
  </si>
  <si>
    <t>01/25/1977</t>
  </si>
  <si>
    <t>06/19/1948</t>
  </si>
  <si>
    <t>03/19/1960</t>
  </si>
  <si>
    <t>11/30/1987</t>
  </si>
  <si>
    <t>08/18/1993</t>
  </si>
  <si>
    <t>01/10/1950</t>
  </si>
  <si>
    <t>12/27/1983</t>
  </si>
  <si>
    <t>08/02/1960</t>
  </si>
  <si>
    <t>08/31/1969</t>
  </si>
  <si>
    <t>11/25/1951</t>
  </si>
  <si>
    <t>02/03/1970</t>
  </si>
  <si>
    <t>03/09/1951</t>
  </si>
  <si>
    <t>02/01/1947</t>
  </si>
  <si>
    <t>07/01/1955</t>
  </si>
  <si>
    <t>12/18/1963</t>
  </si>
  <si>
    <t>08/27/1981</t>
  </si>
  <si>
    <t>12/05/1985</t>
  </si>
  <si>
    <t>08/21/1991</t>
  </si>
  <si>
    <t>08/20/1944</t>
  </si>
  <si>
    <t>10/07/1994</t>
  </si>
  <si>
    <t>01/29/1963</t>
  </si>
  <si>
    <t>03/05/1956</t>
  </si>
  <si>
    <t>07/15/1985</t>
  </si>
  <si>
    <t>01/08/1983</t>
  </si>
  <si>
    <t>04/19/1983</t>
  </si>
  <si>
    <t>04/16/1986</t>
  </si>
  <si>
    <t>05/01/1951</t>
  </si>
  <si>
    <t>04/14/1962</t>
  </si>
  <si>
    <t>08/13/1957</t>
  </si>
  <si>
    <t>03/15/1955</t>
  </si>
  <si>
    <t>07/13/1955</t>
  </si>
  <si>
    <t>09/17/1964</t>
  </si>
  <si>
    <t>12/12/1989</t>
  </si>
  <si>
    <t>02/01/1985</t>
  </si>
  <si>
    <t>11/28/1981</t>
  </si>
  <si>
    <t>07/05/1961</t>
  </si>
  <si>
    <t>01/27/1983</t>
  </si>
  <si>
    <t>09/12/1990</t>
  </si>
  <si>
    <t>11/01/2015</t>
  </si>
  <si>
    <t>09/16/1964</t>
  </si>
  <si>
    <t>12/28/1962</t>
  </si>
  <si>
    <t>06/10/1941</t>
  </si>
  <si>
    <t>06/02/1965</t>
  </si>
  <si>
    <t>09/03/1973</t>
  </si>
  <si>
    <t>04/19/1950</t>
  </si>
  <si>
    <t>07/26/1966</t>
  </si>
  <si>
    <t>03/19/1994</t>
  </si>
  <si>
    <t>03/30/1962</t>
  </si>
  <si>
    <t>01/29/1967</t>
  </si>
  <si>
    <t>06/22/1961</t>
  </si>
  <si>
    <t>07/08/1966</t>
  </si>
  <si>
    <t>07/09/1962</t>
  </si>
  <si>
    <t>05/11/1966</t>
  </si>
  <si>
    <t>06/17/1963</t>
  </si>
  <si>
    <t>07/04/1963</t>
  </si>
  <si>
    <t>09/08/1970</t>
  </si>
  <si>
    <t>02/23/1981</t>
  </si>
  <si>
    <t>06/25/1950</t>
  </si>
  <si>
    <t>08/13/1948</t>
  </si>
  <si>
    <t>01/15/1984</t>
  </si>
  <si>
    <t>09/06/1986</t>
  </si>
  <si>
    <t>08/30/1952</t>
  </si>
  <si>
    <t>03/11/1987</t>
  </si>
  <si>
    <t>12/14/1984</t>
  </si>
  <si>
    <t>02/28/1993</t>
  </si>
  <si>
    <t>04/18/1989</t>
  </si>
  <si>
    <t>08/16/1969</t>
  </si>
  <si>
    <t>04/03/1950</t>
  </si>
  <si>
    <t>12/31/1965</t>
  </si>
  <si>
    <t>11/11/1955</t>
  </si>
  <si>
    <t>06/05/1953</t>
  </si>
  <si>
    <t>10/25/1964</t>
  </si>
  <si>
    <t>06/19/1943</t>
  </si>
  <si>
    <t>01/30/1980</t>
  </si>
  <si>
    <t>08/16/1974</t>
  </si>
  <si>
    <t>04/20/1962</t>
  </si>
  <si>
    <t>11/22/1984</t>
  </si>
  <si>
    <t>01/24/1939</t>
  </si>
  <si>
    <t>10/05/1984</t>
  </si>
  <si>
    <t>02/23/1964</t>
  </si>
  <si>
    <t>09/25/1970</t>
  </si>
  <si>
    <t>05/16/1969</t>
  </si>
  <si>
    <t>12/16/1946</t>
  </si>
  <si>
    <t>07/20/1984</t>
  </si>
  <si>
    <t>04/09/1967</t>
  </si>
  <si>
    <t>06/16/1967</t>
  </si>
  <si>
    <t>10/22/1982</t>
  </si>
  <si>
    <t>09/16/1967</t>
  </si>
  <si>
    <t>09/02/1980</t>
  </si>
  <si>
    <t>07/07/1959</t>
  </si>
  <si>
    <t>10/26/1962</t>
  </si>
  <si>
    <t>06/27/1978</t>
  </si>
  <si>
    <t>06/24/1971</t>
  </si>
  <si>
    <t>04/06/1985</t>
  </si>
  <si>
    <t>05/13/1982</t>
  </si>
  <si>
    <t>02/13/1976</t>
  </si>
  <si>
    <t>02/20/1956</t>
  </si>
  <si>
    <t>08/03/1957</t>
  </si>
  <si>
    <t>08/18/1983</t>
  </si>
  <si>
    <t>08/26/1965</t>
  </si>
  <si>
    <t>09/28/1993</t>
  </si>
  <si>
    <t>03/14/1966</t>
  </si>
  <si>
    <t>07/30/1987</t>
  </si>
  <si>
    <t>10/21/1990</t>
  </si>
  <si>
    <t>08/29/1981</t>
  </si>
  <si>
    <t>09/06/1967</t>
  </si>
  <si>
    <t>11/07/1949</t>
  </si>
  <si>
    <t>12/24/1939</t>
  </si>
  <si>
    <t>08/22/1962</t>
  </si>
  <si>
    <t>07/03/1944</t>
  </si>
  <si>
    <t>02/11/1961</t>
  </si>
  <si>
    <t>05/27/1973</t>
  </si>
  <si>
    <t>12/26/1966</t>
  </si>
  <si>
    <t>07/23/1972</t>
  </si>
  <si>
    <t>08/04/1985</t>
  </si>
  <si>
    <t>02/01/1972</t>
  </si>
  <si>
    <t>05/03/1973</t>
  </si>
  <si>
    <t>04/02/1985</t>
  </si>
  <si>
    <t>09/25/1965</t>
  </si>
  <si>
    <t>08/29/1959</t>
  </si>
  <si>
    <t>06/02/1957</t>
  </si>
  <si>
    <t>08/25/1969</t>
  </si>
  <si>
    <t>01/19/1977</t>
  </si>
  <si>
    <t>02/03/1963</t>
  </si>
  <si>
    <t>10/27/1961</t>
  </si>
  <si>
    <t>07/08/1993</t>
  </si>
  <si>
    <t>08/04/1960</t>
  </si>
  <si>
    <t>08/15/1987</t>
  </si>
  <si>
    <t>12/08/1987</t>
  </si>
  <si>
    <t>12/15/1960</t>
  </si>
  <si>
    <t>02/05/1977</t>
  </si>
  <si>
    <t>08/01/1977</t>
  </si>
  <si>
    <t>11/30/1991</t>
  </si>
  <si>
    <t>12/04/1976</t>
  </si>
  <si>
    <t>05/17/1981</t>
  </si>
  <si>
    <t>01/16/1968</t>
  </si>
  <si>
    <t>07/29/1983</t>
  </si>
  <si>
    <t>06/20/1962</t>
  </si>
  <si>
    <t>04/18/1958</t>
  </si>
  <si>
    <t>02/18/1968</t>
  </si>
  <si>
    <t>11/12/1952</t>
  </si>
  <si>
    <t>06/25/1963</t>
  </si>
  <si>
    <t>12/12/1978</t>
  </si>
  <si>
    <t>09/09/1948</t>
  </si>
  <si>
    <t>07/28/1964</t>
  </si>
  <si>
    <t>07/25/1986</t>
  </si>
  <si>
    <t>03/27/1965</t>
  </si>
  <si>
    <t>03/11/1955</t>
  </si>
  <si>
    <t>04/11/1967</t>
  </si>
  <si>
    <t>10/01/1980</t>
  </si>
  <si>
    <t>12/17/1979</t>
  </si>
  <si>
    <t>11/25/1983</t>
  </si>
  <si>
    <t>04/17/1989</t>
  </si>
  <si>
    <t>03/08/1979</t>
  </si>
  <si>
    <t>09/04/1943</t>
  </si>
  <si>
    <t>01/13/1984</t>
  </si>
  <si>
    <t>01/03/1945</t>
  </si>
  <si>
    <t>07/27/1976</t>
  </si>
  <si>
    <t>02/19/1980</t>
  </si>
  <si>
    <t>03/19/1963</t>
  </si>
  <si>
    <t>07/26/1988</t>
  </si>
  <si>
    <t>05/03/1986</t>
  </si>
  <si>
    <t>01/12/1969</t>
  </si>
  <si>
    <t>01/20/2018</t>
  </si>
  <si>
    <t>10/26/1958</t>
  </si>
  <si>
    <t>04/08/1975</t>
  </si>
  <si>
    <t>05/31/1990</t>
  </si>
  <si>
    <t>08/28/1969</t>
  </si>
  <si>
    <t>03/04/1964</t>
  </si>
  <si>
    <t>06/28/1984</t>
  </si>
  <si>
    <t>02/20/1958</t>
  </si>
  <si>
    <t>02/16/1980</t>
  </si>
  <si>
    <t>02/02/1971</t>
  </si>
  <si>
    <t>05/31/1994</t>
  </si>
  <si>
    <t>07/14/1967</t>
  </si>
  <si>
    <t>09/11/1970</t>
  </si>
  <si>
    <t>01/01/1943</t>
  </si>
  <si>
    <t>06/19/1963</t>
  </si>
  <si>
    <t>04/17/1982</t>
  </si>
  <si>
    <t>07/06/1951</t>
  </si>
  <si>
    <t>05/29/1979</t>
  </si>
  <si>
    <t>02/10/1986</t>
  </si>
  <si>
    <t>12/30/1974</t>
  </si>
  <si>
    <t>09/30/1968</t>
  </si>
  <si>
    <t>05/19/1960</t>
  </si>
  <si>
    <t>12/26/1978</t>
  </si>
  <si>
    <t>11/25/1942</t>
  </si>
  <si>
    <t>10/09/1950</t>
  </si>
  <si>
    <t>09/22/1937</t>
  </si>
  <si>
    <t>07/14/1958</t>
  </si>
  <si>
    <t>11/27/1988</t>
  </si>
  <si>
    <t>03/17/1987</t>
  </si>
  <si>
    <t>11/28/1964</t>
  </si>
  <si>
    <t>11/03/1955</t>
  </si>
  <si>
    <t>11/28/1954</t>
  </si>
  <si>
    <t>11/18/1972</t>
  </si>
  <si>
    <t>04/30/1950</t>
  </si>
  <si>
    <t>11/13/1991</t>
  </si>
  <si>
    <t>03/08/1974</t>
  </si>
  <si>
    <t>08/05/1962</t>
  </si>
  <si>
    <t>10/10/1944</t>
  </si>
  <si>
    <t>12/11/1958</t>
  </si>
  <si>
    <t>01/09/1944</t>
  </si>
  <si>
    <t>09/02/1956</t>
  </si>
  <si>
    <t>09/22/1973</t>
  </si>
  <si>
    <t>10/07/1985</t>
  </si>
  <si>
    <t>07/06/1982</t>
  </si>
  <si>
    <t>11/16/1962</t>
  </si>
  <si>
    <t>12/04/1973</t>
  </si>
  <si>
    <t>09/14/1952</t>
  </si>
  <si>
    <t>08/20/1954</t>
  </si>
  <si>
    <t>06/02/1978</t>
  </si>
  <si>
    <t>10/12/1994</t>
  </si>
  <si>
    <t>04/16/1951</t>
  </si>
  <si>
    <t>04/30/1952</t>
  </si>
  <si>
    <t>01/26/1968</t>
  </si>
  <si>
    <t>05/24/1954</t>
  </si>
  <si>
    <t>03/11/1933</t>
  </si>
  <si>
    <t>05/25/1958</t>
  </si>
  <si>
    <t>12/24/1958</t>
  </si>
  <si>
    <t>10/15/1950</t>
  </si>
  <si>
    <t>03/20/1968</t>
  </si>
  <si>
    <t>05/25/1973</t>
  </si>
  <si>
    <t>12/22/1988</t>
  </si>
  <si>
    <t>08/25/1994</t>
  </si>
  <si>
    <t>11/03/1986</t>
  </si>
  <si>
    <t>10/07/1963</t>
  </si>
  <si>
    <t>10/05/1988</t>
  </si>
  <si>
    <t>08/15/1946</t>
  </si>
  <si>
    <t>12/23/1978</t>
  </si>
  <si>
    <t>05/15/1971</t>
  </si>
  <si>
    <t>09/15/1956</t>
  </si>
  <si>
    <t>12/13/1965</t>
  </si>
  <si>
    <t>02/28/1978</t>
  </si>
  <si>
    <t>02/01/1956</t>
  </si>
  <si>
    <t>05/12/1960</t>
  </si>
  <si>
    <t>11/09/1993</t>
  </si>
  <si>
    <t>10/30/1955</t>
  </si>
  <si>
    <t>11/28/1959</t>
  </si>
  <si>
    <t>02/06/1987</t>
  </si>
  <si>
    <t>10/12/1958</t>
  </si>
  <si>
    <t>10/17/1961</t>
  </si>
  <si>
    <t>01/01/1974</t>
  </si>
  <si>
    <t>10/01/1982</t>
  </si>
  <si>
    <t>02/17/1959</t>
  </si>
  <si>
    <t>07/15/1977</t>
  </si>
  <si>
    <t>08/09/1946</t>
  </si>
  <si>
    <t>08/04/1956</t>
  </si>
  <si>
    <t>08/28/1981</t>
  </si>
  <si>
    <t>11/09/1972</t>
  </si>
  <si>
    <t>04/05/1985</t>
  </si>
  <si>
    <t>04/04/1956</t>
  </si>
  <si>
    <t>11/10/1988</t>
  </si>
  <si>
    <t>07/30/1935</t>
  </si>
  <si>
    <t>08/12/1962</t>
  </si>
  <si>
    <t>05/11/1958</t>
  </si>
  <si>
    <t>01/15/1971</t>
  </si>
  <si>
    <t>01/12/1946</t>
  </si>
  <si>
    <t>07/13/1964</t>
  </si>
  <si>
    <t>01/09/1997</t>
  </si>
  <si>
    <t>06/25/1978</t>
  </si>
  <si>
    <t>06/06/1943</t>
  </si>
  <si>
    <t>04/26/1961</t>
  </si>
  <si>
    <t>11/19/1981</t>
  </si>
  <si>
    <t>03/03/1937</t>
  </si>
  <si>
    <t>08/27/1949</t>
  </si>
  <si>
    <t>09/06/1985</t>
  </si>
  <si>
    <t>04/16/1970</t>
  </si>
  <si>
    <t>04/13/1970</t>
  </si>
  <si>
    <t>05/02/1970</t>
  </si>
  <si>
    <t>05/24/1975</t>
  </si>
  <si>
    <t>08/15/1947</t>
  </si>
  <si>
    <t>02/09/1954</t>
  </si>
  <si>
    <t>09/11/1966</t>
  </si>
  <si>
    <t>06/18/1961</t>
  </si>
  <si>
    <t>06/18/1978</t>
  </si>
  <si>
    <t>08/08/1982</t>
  </si>
  <si>
    <t>06/25/1979</t>
  </si>
  <si>
    <t>01/06/1961</t>
  </si>
  <si>
    <t>10/28/1970</t>
  </si>
  <si>
    <t>11/14/1978</t>
  </si>
  <si>
    <t>01/26/1988</t>
  </si>
  <si>
    <t>12/05/1978</t>
  </si>
  <si>
    <t>08/02/1971</t>
  </si>
  <si>
    <t>06/27/1974</t>
  </si>
  <si>
    <t>05/23/1955</t>
  </si>
  <si>
    <t>03/24/1968</t>
  </si>
  <si>
    <t>03/19/1965</t>
  </si>
  <si>
    <t>12/04/1953</t>
  </si>
  <si>
    <t>01/27/1959</t>
  </si>
  <si>
    <t>12/19/1992</t>
  </si>
  <si>
    <t>01/12/1976</t>
  </si>
  <si>
    <t>09/01/1964</t>
  </si>
  <si>
    <t>08/09/1970</t>
  </si>
  <si>
    <t>12/16/1979</t>
  </si>
  <si>
    <t>04/08/1987</t>
  </si>
  <si>
    <t>02/09/1949</t>
  </si>
  <si>
    <t>07/22/1950</t>
  </si>
  <si>
    <t>08/05/1978</t>
  </si>
  <si>
    <t>05/01/1974</t>
  </si>
  <si>
    <t>06/12/1940</t>
  </si>
  <si>
    <t>12/12/1988</t>
  </si>
  <si>
    <t>12/06/1984</t>
  </si>
  <si>
    <t>07/06/1956</t>
  </si>
  <si>
    <t>05/29/1965</t>
  </si>
  <si>
    <t>02/08/1993</t>
  </si>
  <si>
    <t>10/13/1949</t>
  </si>
  <si>
    <t>12/11/1970</t>
  </si>
  <si>
    <t>11/02/1975</t>
  </si>
  <si>
    <t>09/12/1956</t>
  </si>
  <si>
    <t>11/24/1986</t>
  </si>
  <si>
    <t>01/05/1989</t>
  </si>
  <si>
    <t>05/15/1989</t>
  </si>
  <si>
    <t>06/21/1977</t>
  </si>
  <si>
    <t>07/19/1969</t>
  </si>
  <si>
    <t>08/29/1987</t>
  </si>
  <si>
    <t>05/30/1955</t>
  </si>
  <si>
    <t>10/24/1953</t>
  </si>
  <si>
    <t>09/17/1968</t>
  </si>
  <si>
    <t>04/04/1978</t>
  </si>
  <si>
    <t>04/21/1964</t>
  </si>
  <si>
    <t>09/12/1954</t>
  </si>
  <si>
    <t>04/14/1957</t>
  </si>
  <si>
    <t>09/10/1981</t>
  </si>
  <si>
    <t>07/13/1986</t>
  </si>
  <si>
    <t>04/24/1975</t>
  </si>
  <si>
    <t>04/30/1967</t>
  </si>
  <si>
    <t>01/05/1958</t>
  </si>
  <si>
    <t>07/23/1985</t>
  </si>
  <si>
    <t>10/21/1977</t>
  </si>
  <si>
    <t>05/16/1965</t>
  </si>
  <si>
    <t>09/04/1977</t>
  </si>
  <si>
    <t>02/27/1949</t>
  </si>
  <si>
    <t>05/19/1988</t>
  </si>
  <si>
    <t>09/11/1976</t>
  </si>
  <si>
    <t>07/02/1971</t>
  </si>
  <si>
    <t>03/29/1965</t>
  </si>
  <si>
    <t>08/03/1977</t>
  </si>
  <si>
    <t>07/14/1955</t>
  </si>
  <si>
    <t>04/09/1981</t>
  </si>
  <si>
    <t>03/05/1964</t>
  </si>
  <si>
    <t>09/16/1965</t>
  </si>
  <si>
    <t>09/18/1990</t>
  </si>
  <si>
    <t>06/08/1968</t>
  </si>
  <si>
    <t>11/14/1970</t>
  </si>
  <si>
    <t>08/04/1958</t>
  </si>
  <si>
    <t>06/09/1977</t>
  </si>
  <si>
    <t>12/29/1986</t>
  </si>
  <si>
    <t>01/28/1967</t>
  </si>
  <si>
    <t>04/12/1991</t>
  </si>
  <si>
    <t>02/06/1969</t>
  </si>
  <si>
    <t>09/05/1994</t>
  </si>
  <si>
    <t>04/09/1976</t>
  </si>
  <si>
    <t>06/21/1989</t>
  </si>
  <si>
    <t>02/03/1982</t>
  </si>
  <si>
    <t>12/06/1973</t>
  </si>
  <si>
    <t>04/24/1969</t>
  </si>
  <si>
    <t>10/06/1986</t>
  </si>
  <si>
    <t>09/21/1985</t>
  </si>
  <si>
    <t>10/09/1973</t>
  </si>
  <si>
    <t>05/27/1984</t>
  </si>
  <si>
    <t>07/27/1964</t>
  </si>
  <si>
    <t>01/01/1965</t>
  </si>
  <si>
    <t>05/14/1973</t>
  </si>
  <si>
    <t>04/02/1961</t>
  </si>
  <si>
    <t>09/08/1962</t>
  </si>
  <si>
    <t>12/30/1972</t>
  </si>
  <si>
    <t>07/28/1948</t>
  </si>
  <si>
    <t>10/04/1972</t>
  </si>
  <si>
    <t>08/04/1988</t>
  </si>
  <si>
    <t>03/30/1933</t>
  </si>
  <si>
    <t>02/07/1996</t>
  </si>
  <si>
    <t>07/19/1989</t>
  </si>
  <si>
    <t>09/29/1959</t>
  </si>
  <si>
    <t>06/15/1954</t>
  </si>
  <si>
    <t>01/10/1980</t>
  </si>
  <si>
    <t>03/20/1982</t>
  </si>
  <si>
    <t>01/13/1971</t>
  </si>
  <si>
    <t>08/30/1976</t>
  </si>
  <si>
    <t>04/16/1976</t>
  </si>
  <si>
    <t>02/12/1973</t>
  </si>
  <si>
    <t>03/07/1966</t>
  </si>
  <si>
    <t>01/04/1966</t>
  </si>
  <si>
    <t>12/27/1947</t>
  </si>
  <si>
    <t>12/09/1975</t>
  </si>
  <si>
    <t>06/28/1937</t>
  </si>
  <si>
    <t>10/09/1942</t>
  </si>
  <si>
    <t>07/01/1978</t>
  </si>
  <si>
    <t>07/15/1980</t>
  </si>
  <si>
    <t>09/29/1923</t>
  </si>
  <si>
    <t>11/05/1954</t>
  </si>
  <si>
    <t>05/27/1971</t>
  </si>
  <si>
    <t>02/11/1964</t>
  </si>
  <si>
    <t>03/01/1994</t>
  </si>
  <si>
    <t>06/13/1977</t>
  </si>
  <si>
    <t>10/16/1962</t>
  </si>
  <si>
    <t>08/08/1938</t>
  </si>
  <si>
    <t>07/21/1981</t>
  </si>
  <si>
    <t>06/10/1970</t>
  </si>
  <si>
    <t>10/18/1963</t>
  </si>
  <si>
    <t>05/20/1985</t>
  </si>
  <si>
    <t>08/23/1991</t>
  </si>
  <si>
    <t>10/06/1969</t>
  </si>
  <si>
    <t>07/18/1980</t>
  </si>
  <si>
    <t>06/05/1959</t>
  </si>
  <si>
    <t>04/12/1932</t>
  </si>
  <si>
    <t>07/20/1993</t>
  </si>
  <si>
    <t>09/06/1972</t>
  </si>
  <si>
    <t>03/04/1972</t>
  </si>
  <si>
    <t>06/09/1964</t>
  </si>
  <si>
    <t>08/20/1957</t>
  </si>
  <si>
    <t>10/11/1950</t>
  </si>
  <si>
    <t>07/17/1968</t>
  </si>
  <si>
    <t>04/20/1957</t>
  </si>
  <si>
    <t>10/30/1973</t>
  </si>
  <si>
    <t>11/13/1947</t>
  </si>
  <si>
    <t>12/10/1946</t>
  </si>
  <si>
    <t>05/25/1928</t>
  </si>
  <si>
    <t>05/18/1966</t>
  </si>
  <si>
    <t>12/19/1968</t>
  </si>
  <si>
    <t>09/23/1993</t>
  </si>
  <si>
    <t>08/30/1995</t>
  </si>
  <si>
    <t>06/19/1969</t>
  </si>
  <si>
    <t>09/11/1979</t>
  </si>
  <si>
    <t>08/04/1968</t>
  </si>
  <si>
    <t>11/23/1962</t>
  </si>
  <si>
    <t>06/14/1971</t>
  </si>
  <si>
    <t>06/13/1986</t>
  </si>
  <si>
    <t>09/23/1956</t>
  </si>
  <si>
    <t>10/06/1968</t>
  </si>
  <si>
    <t>02/01/1980</t>
  </si>
  <si>
    <t>05/22/1992</t>
  </si>
  <si>
    <t>08/02/1975</t>
  </si>
  <si>
    <t>06/04/1956</t>
  </si>
  <si>
    <t>04/25/1962</t>
  </si>
  <si>
    <t>06/04/1953</t>
  </si>
  <si>
    <t>06/15/1984</t>
  </si>
  <si>
    <t>07/01/1964</t>
  </si>
  <si>
    <t>10/02/1953</t>
  </si>
  <si>
    <t>03/08/1938</t>
  </si>
  <si>
    <t>12/20/1959</t>
  </si>
  <si>
    <t>10/20/1985</t>
  </si>
  <si>
    <t>07/18/1973</t>
  </si>
  <si>
    <t>05/03/1958</t>
  </si>
  <si>
    <t>03/05/1946</t>
  </si>
  <si>
    <t>05/15/1978</t>
  </si>
  <si>
    <t>09/29/1967</t>
  </si>
  <si>
    <t>12/24/1957</t>
  </si>
  <si>
    <t>11/07/1986</t>
  </si>
  <si>
    <t>05/14/1962</t>
  </si>
  <si>
    <t>08/31/1962</t>
  </si>
  <si>
    <t>05/25/1950</t>
  </si>
  <si>
    <t>07/04/1945</t>
  </si>
  <si>
    <t>09/26/1981</t>
  </si>
  <si>
    <t>06/09/1991</t>
  </si>
  <si>
    <t>08/30/1963</t>
  </si>
  <si>
    <t>02/09/1993</t>
  </si>
  <si>
    <t>08/30/1965</t>
  </si>
  <si>
    <t>08/10/1961</t>
  </si>
  <si>
    <t>07/24/1981</t>
  </si>
  <si>
    <t>03/03/1930</t>
  </si>
  <si>
    <t>02/11/1987</t>
  </si>
  <si>
    <t>03/05/1991</t>
  </si>
  <si>
    <t>06/18/1959</t>
  </si>
  <si>
    <t>12/11/1949</t>
  </si>
  <si>
    <t>03/28/1943</t>
  </si>
  <si>
    <t>03/21/1966</t>
  </si>
  <si>
    <t>02/13/1991</t>
  </si>
  <si>
    <t>12/26/1992</t>
  </si>
  <si>
    <t>02/19/1955</t>
  </si>
  <si>
    <t>03/03/1990</t>
  </si>
  <si>
    <t>09/30/1958</t>
  </si>
  <si>
    <t>02/08/1967</t>
  </si>
  <si>
    <t>07/21/1979</t>
  </si>
  <si>
    <t>08/16/1970</t>
  </si>
  <si>
    <t>04/23/1989</t>
  </si>
  <si>
    <t>02/22/1978</t>
  </si>
  <si>
    <t>08/01/1966</t>
  </si>
  <si>
    <t>06/23/1962</t>
  </si>
  <si>
    <t>08/11/1942</t>
  </si>
  <si>
    <t>06/19/1977</t>
  </si>
  <si>
    <t>09/24/1977</t>
  </si>
  <si>
    <t>11/22/1982</t>
  </si>
  <si>
    <t>01/08/1980</t>
  </si>
  <si>
    <t>01/27/1952</t>
  </si>
  <si>
    <t>09/04/1952</t>
  </si>
  <si>
    <t>10/30/1977</t>
  </si>
  <si>
    <t>11/13/1994</t>
  </si>
  <si>
    <t>04/20/1984</t>
  </si>
  <si>
    <t>02/25/1958</t>
  </si>
  <si>
    <t>08/14/1959</t>
  </si>
  <si>
    <t>05/01/1947</t>
  </si>
  <si>
    <t>08/07/1997</t>
  </si>
  <si>
    <t>10/19/1964</t>
  </si>
  <si>
    <t>05/11/1951</t>
  </si>
  <si>
    <t>01/02/1962</t>
  </si>
  <si>
    <t>06/03/1987</t>
  </si>
  <si>
    <t>12/31/1982</t>
  </si>
  <si>
    <t>07/27/1984</t>
  </si>
  <si>
    <t>06/23/1952</t>
  </si>
  <si>
    <t>12/17/1982</t>
  </si>
  <si>
    <t>11/01/1979</t>
  </si>
  <si>
    <t>10/15/1979</t>
  </si>
  <si>
    <t>05/10/1927</t>
  </si>
  <si>
    <t>03/06/1964</t>
  </si>
  <si>
    <t>03/15/1984</t>
  </si>
  <si>
    <t>01/07/1971</t>
  </si>
  <si>
    <t>01/04/1971</t>
  </si>
  <si>
    <t>09/13/1963</t>
  </si>
  <si>
    <t>05/18/1980</t>
  </si>
  <si>
    <t>10/21/1954</t>
  </si>
  <si>
    <t>05/29/1994</t>
  </si>
  <si>
    <t>02/12/1966</t>
  </si>
  <si>
    <t>02/08/1965</t>
  </si>
  <si>
    <t>04/25/1957</t>
  </si>
  <si>
    <t>10/17/1963</t>
  </si>
  <si>
    <t>03/09/1973</t>
  </si>
  <si>
    <t>08/10/1940</t>
  </si>
  <si>
    <t>02/03/1948</t>
  </si>
  <si>
    <t>04/08/1976</t>
  </si>
  <si>
    <t>12/08/1973</t>
  </si>
  <si>
    <t>02/08/1968</t>
  </si>
  <si>
    <t>01/28/1978</t>
  </si>
  <si>
    <t>09/30/1972</t>
  </si>
  <si>
    <t>06/14/1972</t>
  </si>
  <si>
    <t>03/03/1969</t>
  </si>
  <si>
    <t>04/13/1971</t>
  </si>
  <si>
    <t>05/11/1945</t>
  </si>
  <si>
    <t>12/30/1923</t>
  </si>
  <si>
    <t>01/14/1961</t>
  </si>
  <si>
    <t>02/11/1972</t>
  </si>
  <si>
    <t>06/08/1977</t>
  </si>
  <si>
    <t>08/12/1989</t>
  </si>
  <si>
    <t>12/24/1994</t>
  </si>
  <si>
    <t>08/06/1941</t>
  </si>
  <si>
    <t>07/07/1955</t>
  </si>
  <si>
    <t>03/28/1985</t>
  </si>
  <si>
    <t>10/06/1978</t>
  </si>
  <si>
    <t>01/31/1975</t>
  </si>
  <si>
    <t>07/19/1952</t>
  </si>
  <si>
    <t>09/27/1973</t>
  </si>
  <si>
    <t>10/31/1977</t>
  </si>
  <si>
    <t>10/10/1958</t>
  </si>
  <si>
    <t>04/24/1978</t>
  </si>
  <si>
    <t>07/26/1929</t>
  </si>
  <si>
    <t>04/06/1962</t>
  </si>
  <si>
    <t>09/24/1982</t>
  </si>
  <si>
    <t>10/13/1956</t>
  </si>
  <si>
    <t>10/05/1956</t>
  </si>
  <si>
    <t>12/28/1941</t>
  </si>
  <si>
    <t>05/03/1968</t>
  </si>
  <si>
    <t>11/26/1973</t>
  </si>
  <si>
    <t>01/14/1992</t>
  </si>
  <si>
    <t>08/26/1971</t>
  </si>
  <si>
    <t>11/27/1990</t>
  </si>
  <si>
    <t>08/20/1974</t>
  </si>
  <si>
    <t>06/26/1949</t>
  </si>
  <si>
    <t>04/19/1970</t>
  </si>
  <si>
    <t>09/25/1948</t>
  </si>
  <si>
    <t>08/02/1970</t>
  </si>
  <si>
    <t>02/22/1951</t>
  </si>
  <si>
    <t>05/30/1980</t>
  </si>
  <si>
    <t>06/23/1974</t>
  </si>
  <si>
    <t>01/07/1981</t>
  </si>
  <si>
    <t>05/19/1968</t>
  </si>
  <si>
    <t>04/19/1977</t>
  </si>
  <si>
    <t>08/12/1974</t>
  </si>
  <si>
    <t>02/12/1962</t>
  </si>
  <si>
    <t>03/20/1989</t>
  </si>
  <si>
    <t>12/18/1984</t>
  </si>
  <si>
    <t>07/14/1976</t>
  </si>
  <si>
    <t>09/19/1975</t>
  </si>
  <si>
    <t>11/23/1981</t>
  </si>
  <si>
    <t>05/11/1940</t>
  </si>
  <si>
    <t>08/11/1944</t>
  </si>
  <si>
    <t>02/06/1944</t>
  </si>
  <si>
    <t>07/28/1963</t>
  </si>
  <si>
    <t>01/11/1960</t>
  </si>
  <si>
    <t>09/05/1967</t>
  </si>
  <si>
    <t>04/30/1958</t>
  </si>
  <si>
    <t>09/26/1991</t>
  </si>
  <si>
    <t>09/09/1961</t>
  </si>
  <si>
    <t>03/12/1993</t>
  </si>
  <si>
    <t>04/29/1976</t>
  </si>
  <si>
    <t>11/18/1985</t>
  </si>
  <si>
    <t>11/15/1957</t>
  </si>
  <si>
    <t>10/27/1960</t>
  </si>
  <si>
    <t>06/09/1978</t>
  </si>
  <si>
    <t>03/17/1944</t>
  </si>
  <si>
    <t>10/26/1972</t>
  </si>
  <si>
    <t>12/12/1974</t>
  </si>
  <si>
    <t>09/04/1968</t>
  </si>
  <si>
    <t>08/30/1962</t>
  </si>
  <si>
    <t>09/22/1988</t>
  </si>
  <si>
    <t>06/30/1982</t>
  </si>
  <si>
    <t>06/14/1970</t>
  </si>
  <si>
    <t>06/05/1966</t>
  </si>
  <si>
    <t>01/01/1953</t>
  </si>
  <si>
    <t>12/18/1997</t>
  </si>
  <si>
    <t>12/13/1964</t>
  </si>
  <si>
    <t>05/10/1969</t>
  </si>
  <si>
    <t>09/19/1988</t>
  </si>
  <si>
    <t>02/16/1961</t>
  </si>
  <si>
    <t>07/12/1973</t>
  </si>
  <si>
    <t>12/03/1952</t>
  </si>
  <si>
    <t>02/16/1991</t>
  </si>
  <si>
    <t>03/08/1961</t>
  </si>
  <si>
    <t>07/23/1952</t>
  </si>
  <si>
    <t>09/20/1952</t>
  </si>
  <si>
    <t>09/02/1949</t>
  </si>
  <si>
    <t>04/10/1972</t>
  </si>
  <si>
    <t>06/28/1965</t>
  </si>
  <si>
    <t>07/20/1983</t>
  </si>
  <si>
    <t>03/25/1977</t>
  </si>
  <si>
    <t>03/21/1958</t>
  </si>
  <si>
    <t>07/14/1961</t>
  </si>
  <si>
    <t>03/16/1959</t>
  </si>
  <si>
    <t>05/08/1955</t>
  </si>
  <si>
    <t>04/05/1956</t>
  </si>
  <si>
    <t>08/12/1956</t>
  </si>
  <si>
    <t>05/03/1974</t>
  </si>
  <si>
    <t>05/21/1970</t>
  </si>
  <si>
    <t>10/27/1949</t>
  </si>
  <si>
    <t>02/17/1975</t>
  </si>
  <si>
    <t>06/30/1983</t>
  </si>
  <si>
    <t>01/01/1970</t>
  </si>
  <si>
    <t>04/21/1963</t>
  </si>
  <si>
    <t>05/10/1958</t>
  </si>
  <si>
    <t>01/04/1963</t>
  </si>
  <si>
    <t>07/09/1975</t>
  </si>
  <si>
    <t>02/12/1981</t>
  </si>
  <si>
    <t>05/30/1994</t>
  </si>
  <si>
    <t>07/16/1979</t>
  </si>
  <si>
    <t>03/03/1965</t>
  </si>
  <si>
    <t>02/26/1981</t>
  </si>
  <si>
    <t>05/07/1940</t>
  </si>
  <si>
    <t>06/24/1984</t>
  </si>
  <si>
    <t>10/30/1993</t>
  </si>
  <si>
    <t>10/09/1994</t>
  </si>
  <si>
    <t>10/06/1977</t>
  </si>
  <si>
    <t>11/15/1936</t>
  </si>
  <si>
    <t>04/14/1945</t>
  </si>
  <si>
    <t>03/24/1996</t>
  </si>
  <si>
    <t>05/15/1962</t>
  </si>
  <si>
    <t>11/10/1937</t>
  </si>
  <si>
    <t>03/22/1974</t>
  </si>
  <si>
    <t>09/04/1980</t>
  </si>
  <si>
    <t>10/26/1973</t>
  </si>
  <si>
    <t>09/08/1960</t>
  </si>
  <si>
    <t>02/05/1947</t>
  </si>
  <si>
    <t>04/02/1986</t>
  </si>
  <si>
    <t>02/07/1951</t>
  </si>
  <si>
    <t>03/19/1964</t>
  </si>
  <si>
    <t>06/12/1957</t>
  </si>
  <si>
    <t>01/18/1994</t>
  </si>
  <si>
    <t>03/03/1966</t>
  </si>
  <si>
    <t>02/06/1965</t>
  </si>
  <si>
    <t>03/30/1956</t>
  </si>
  <si>
    <t>08/23/1962</t>
  </si>
  <si>
    <t>03/29/1978</t>
  </si>
  <si>
    <t>02/03/1966</t>
  </si>
  <si>
    <t>10/18/1982</t>
  </si>
  <si>
    <t>11/07/1967</t>
  </si>
  <si>
    <t>10/27/1959</t>
  </si>
  <si>
    <t>10/06/1961</t>
  </si>
  <si>
    <t>10/14/1933</t>
  </si>
  <si>
    <t>09/25/1964</t>
  </si>
  <si>
    <t>05/24/1992</t>
  </si>
  <si>
    <t>03/10/1981</t>
  </si>
  <si>
    <t>02/22/1969</t>
  </si>
  <si>
    <t>03/27/1989</t>
  </si>
  <si>
    <t>01/19/1975</t>
  </si>
  <si>
    <t>10/21/1992</t>
  </si>
  <si>
    <t>03/07/1979</t>
  </si>
  <si>
    <t>06/10/1981</t>
  </si>
  <si>
    <t>07/11/1962</t>
  </si>
  <si>
    <t>05/09/1947</t>
  </si>
  <si>
    <t>06/29/1954</t>
  </si>
  <si>
    <t>03/12/1958</t>
  </si>
  <si>
    <t>05/26/1974</t>
  </si>
  <si>
    <t>04/23/1986</t>
  </si>
  <si>
    <t>02/01/1945</t>
  </si>
  <si>
    <t>11/12/1944</t>
  </si>
  <si>
    <t>02/24/1982</t>
  </si>
  <si>
    <t>08/01/1951</t>
  </si>
  <si>
    <t>04/01/1975</t>
  </si>
  <si>
    <t>12/12/1961</t>
  </si>
  <si>
    <t>08/06/1986</t>
  </si>
  <si>
    <t>01/03/1959</t>
  </si>
  <si>
    <t>12/31/1947</t>
  </si>
  <si>
    <t>05/11/1956</t>
  </si>
  <si>
    <t>10/10/1935</t>
  </si>
  <si>
    <t>08/21/1989</t>
  </si>
  <si>
    <t>08/08/1979</t>
  </si>
  <si>
    <t>08/09/1958</t>
  </si>
  <si>
    <t>02/16/1965</t>
  </si>
  <si>
    <t>08/12/1950</t>
  </si>
  <si>
    <t>11/04/1973</t>
  </si>
  <si>
    <t>08/14/1974</t>
  </si>
  <si>
    <t>07/02/1960</t>
  </si>
  <si>
    <t>01/07/1978</t>
  </si>
  <si>
    <t>11/29/1945</t>
  </si>
  <si>
    <t>04/02/1962</t>
  </si>
  <si>
    <t>11/02/1952</t>
  </si>
  <si>
    <t>08/21/1970</t>
  </si>
  <si>
    <t>05/06/1970</t>
  </si>
  <si>
    <t>08/17/1969</t>
  </si>
  <si>
    <t>01/19/1995</t>
  </si>
  <si>
    <t>02/05/1997</t>
  </si>
  <si>
    <t>06/02/1977</t>
  </si>
  <si>
    <t>11/20/1961</t>
  </si>
  <si>
    <t>05/12/1944</t>
  </si>
  <si>
    <t>08/01/1955</t>
  </si>
  <si>
    <t>11/30/1980</t>
  </si>
  <si>
    <t>06/23/1963</t>
  </si>
  <si>
    <t>07/18/1972</t>
  </si>
  <si>
    <t>12/07/1956</t>
  </si>
  <si>
    <t>06/10/1947</t>
  </si>
  <si>
    <t>11/13/1969</t>
  </si>
  <si>
    <t>06/27/1964</t>
  </si>
  <si>
    <t>01/10/1968</t>
  </si>
  <si>
    <t>02/20/1995</t>
  </si>
  <si>
    <t>09/23/1959</t>
  </si>
  <si>
    <t>03/09/1969</t>
  </si>
  <si>
    <t>01/02/1957</t>
  </si>
  <si>
    <t>08/15/1963</t>
  </si>
  <si>
    <t>08/09/1961</t>
  </si>
  <si>
    <t>01/24/1977</t>
  </si>
  <si>
    <t>07/09/1984</t>
  </si>
  <si>
    <t>06/27/1973</t>
  </si>
  <si>
    <t>07/10/1956</t>
  </si>
  <si>
    <t>09/15/1983</t>
  </si>
  <si>
    <t>04/24/1963</t>
  </si>
  <si>
    <t>12/28/1982</t>
  </si>
  <si>
    <t>08/01/1956</t>
  </si>
  <si>
    <t>07/08/1986</t>
  </si>
  <si>
    <t>01/29/1952</t>
  </si>
  <si>
    <t>03/09/1962</t>
  </si>
  <si>
    <t>04/09/1937</t>
  </si>
  <si>
    <t>06/12/1976</t>
  </si>
  <si>
    <t>03/24/1988</t>
  </si>
  <si>
    <t>08/30/1973</t>
  </si>
  <si>
    <t>04/16/1962</t>
  </si>
  <si>
    <t>08/14/1992</t>
  </si>
  <si>
    <t>06/14/1977</t>
  </si>
  <si>
    <t>01/22/1966</t>
  </si>
  <si>
    <t>04/28/1962</t>
  </si>
  <si>
    <t>06/05/1976</t>
  </si>
  <si>
    <t>08/23/1976</t>
  </si>
  <si>
    <t>09/03/1974</t>
  </si>
  <si>
    <t>05/24/1981</t>
  </si>
  <si>
    <t>07/26/1969</t>
  </si>
  <si>
    <t>02/22/1962</t>
  </si>
  <si>
    <t>02/12/2017</t>
  </si>
  <si>
    <t>08/12/1957</t>
  </si>
  <si>
    <t>10/11/1967</t>
  </si>
  <si>
    <t>01/06/1992</t>
  </si>
  <si>
    <t>12/26/1957</t>
  </si>
  <si>
    <t>01/28/1975</t>
  </si>
  <si>
    <t>12/24/1960</t>
  </si>
  <si>
    <t>06/20/1975</t>
  </si>
  <si>
    <t>10/08/1979</t>
  </si>
  <si>
    <t>08/25/1961</t>
  </si>
  <si>
    <t>09/28/1969</t>
  </si>
  <si>
    <t>06/03/1977</t>
  </si>
  <si>
    <t>09/25/1983</t>
  </si>
  <si>
    <t>10/09/1972</t>
  </si>
  <si>
    <t>05/17/1960</t>
  </si>
  <si>
    <t>06/22/1964</t>
  </si>
  <si>
    <t>05/15/1983</t>
  </si>
  <si>
    <t>07/16/1960</t>
  </si>
  <si>
    <t>03/07/1968</t>
  </si>
  <si>
    <t>04/07/1974</t>
  </si>
  <si>
    <t>11/11/1992</t>
  </si>
  <si>
    <t>08/26/1963</t>
  </si>
  <si>
    <t>01/05/1985</t>
  </si>
  <si>
    <t>09/18/1988</t>
  </si>
  <si>
    <t>04/18/1980</t>
  </si>
  <si>
    <t>12/23/1988</t>
  </si>
  <si>
    <t>06/03/1981</t>
  </si>
  <si>
    <t>09/26/1948</t>
  </si>
  <si>
    <t>03/24/1962</t>
  </si>
  <si>
    <t>10/14/1952</t>
  </si>
  <si>
    <t>08/25/1952</t>
  </si>
  <si>
    <t>12/08/1970</t>
  </si>
  <si>
    <t>02/25/1960</t>
  </si>
  <si>
    <t>07/11/1966</t>
  </si>
  <si>
    <t>07/19/1974</t>
  </si>
  <si>
    <t>06/07/1948</t>
  </si>
  <si>
    <t>04/05/1980</t>
  </si>
  <si>
    <t>10/05/1965</t>
  </si>
  <si>
    <t>06/23/1979</t>
  </si>
  <si>
    <t>02/24/1960</t>
  </si>
  <si>
    <t>11/12/1954</t>
  </si>
  <si>
    <t>12/31/1990</t>
  </si>
  <si>
    <t>07/24/1955</t>
  </si>
  <si>
    <t>01/12/1966</t>
  </si>
  <si>
    <t>05/27/1972</t>
  </si>
  <si>
    <t>06/11/1950</t>
  </si>
  <si>
    <t>05/23/1968</t>
  </si>
  <si>
    <t>10/10/1943</t>
  </si>
  <si>
    <t>04/03/1955</t>
  </si>
  <si>
    <t>03/22/1948</t>
  </si>
  <si>
    <t>10/17/1970</t>
  </si>
  <si>
    <t>01/04/1970</t>
  </si>
  <si>
    <t>09/01/1968</t>
  </si>
  <si>
    <t>10/05/1970</t>
  </si>
  <si>
    <t>10/28/1936</t>
  </si>
  <si>
    <t>02/14/1969</t>
  </si>
  <si>
    <t>07/26/1980</t>
  </si>
  <si>
    <t>09/17/1950</t>
  </si>
  <si>
    <t>05/01/1994</t>
  </si>
  <si>
    <t>09/13/1957</t>
  </si>
  <si>
    <t>02/20/1962</t>
  </si>
  <si>
    <t>12/20/1979</t>
  </si>
  <si>
    <t>10/27/1973</t>
  </si>
  <si>
    <t>11/23/1973</t>
  </si>
  <si>
    <t>08/06/1982</t>
  </si>
  <si>
    <t>04/26/1972</t>
  </si>
  <si>
    <t>04/02/1988</t>
  </si>
  <si>
    <t>05/13/1957</t>
  </si>
  <si>
    <t>01/16/1959</t>
  </si>
  <si>
    <t>09/02/1981</t>
  </si>
  <si>
    <t>10/04/1985</t>
  </si>
  <si>
    <t>07/03/1983</t>
  </si>
  <si>
    <t>10/16/1964</t>
  </si>
  <si>
    <t>04/09/1971</t>
  </si>
  <si>
    <t>03/02/1951</t>
  </si>
  <si>
    <t>02/15/1990</t>
  </si>
  <si>
    <t>09/26/1954</t>
  </si>
  <si>
    <t>11/01/1975</t>
  </si>
  <si>
    <t>08/22/1959</t>
  </si>
  <si>
    <t>05/28/1983</t>
  </si>
  <si>
    <t>11/23/1993</t>
  </si>
  <si>
    <t>10/06/1966</t>
  </si>
  <si>
    <t>03/01/1987</t>
  </si>
  <si>
    <t>08/16/1964</t>
  </si>
  <si>
    <t>08/27/1964</t>
  </si>
  <si>
    <t>10/24/1954</t>
  </si>
  <si>
    <t>08/29/1950</t>
  </si>
  <si>
    <t>08/04/1971</t>
  </si>
  <si>
    <t>04/17/1967</t>
  </si>
  <si>
    <t>11/21/1996</t>
  </si>
  <si>
    <t>04/30/1946</t>
  </si>
  <si>
    <t>04/04/1966</t>
  </si>
  <si>
    <t>03/05/1941</t>
  </si>
  <si>
    <t>10/01/1941</t>
  </si>
  <si>
    <t>01/05/1960</t>
  </si>
  <si>
    <t>04/16/1969</t>
  </si>
  <si>
    <t>11/16/1973</t>
  </si>
  <si>
    <t>12/12/1986</t>
  </si>
  <si>
    <t>02/05/1958</t>
  </si>
  <si>
    <t>02/10/1961</t>
  </si>
  <si>
    <t>06/05/1965</t>
  </si>
  <si>
    <t>12/14/1959</t>
  </si>
  <si>
    <t>02/03/1975</t>
  </si>
  <si>
    <t>06/12/1970</t>
  </si>
  <si>
    <t>03/25/1970</t>
  </si>
  <si>
    <t>10/31/1958</t>
  </si>
  <si>
    <t>10/09/1983</t>
  </si>
  <si>
    <t>01/17/1953</t>
  </si>
  <si>
    <t>09/14/1986</t>
  </si>
  <si>
    <t>02/05/1953</t>
  </si>
  <si>
    <t>07/30/1966</t>
  </si>
  <si>
    <t>06/09/1988</t>
  </si>
  <si>
    <t>10/13/1978</t>
  </si>
  <si>
    <t>02/25/1972</t>
  </si>
  <si>
    <t>08/05/1990</t>
  </si>
  <si>
    <t>10/09/1932</t>
  </si>
  <si>
    <t>11/22/1981</t>
  </si>
  <si>
    <t>11/30/1962</t>
  </si>
  <si>
    <t>10/08/1982</t>
  </si>
  <si>
    <t>02/21/1941</t>
  </si>
  <si>
    <t>05/22/1978</t>
  </si>
  <si>
    <t>08/30/1947</t>
  </si>
  <si>
    <t>11/13/1989</t>
  </si>
  <si>
    <t>07/24/1980</t>
  </si>
  <si>
    <t>02/03/1960</t>
  </si>
  <si>
    <t>07/28/1954</t>
  </si>
  <si>
    <t>01/24/1974</t>
  </si>
  <si>
    <t>09/20/1974</t>
  </si>
  <si>
    <t>07/24/1959</t>
  </si>
  <si>
    <t>08/22/1965</t>
  </si>
  <si>
    <t>04/17/1958</t>
  </si>
  <si>
    <t>09/22/1957</t>
  </si>
  <si>
    <t>02/22/1971</t>
  </si>
  <si>
    <t>02/23/1952</t>
  </si>
  <si>
    <t>04/24/1986</t>
  </si>
  <si>
    <t>05/05/1959</t>
  </si>
  <si>
    <t>10/26/1969</t>
  </si>
  <si>
    <t>09/24/1961</t>
  </si>
  <si>
    <t>07/29/1966</t>
  </si>
  <si>
    <t>12/27/1927</t>
  </si>
  <si>
    <t>11/11/1983</t>
  </si>
  <si>
    <t>09/08/1950</t>
  </si>
  <si>
    <t>10/24/1988</t>
  </si>
  <si>
    <t>02/25/1977</t>
  </si>
  <si>
    <t>04/30/1934</t>
  </si>
  <si>
    <t>05/05/1973</t>
  </si>
  <si>
    <t>01/23/1967</t>
  </si>
  <si>
    <t>08/01/1983</t>
  </si>
  <si>
    <t>12/11/1974</t>
  </si>
  <si>
    <t>11/05/1977</t>
  </si>
  <si>
    <t>06/17/1982</t>
  </si>
  <si>
    <t>06/18/1988</t>
  </si>
  <si>
    <t>01/19/1982</t>
  </si>
  <si>
    <t>10/26/1947</t>
  </si>
  <si>
    <t>02/19/1968</t>
  </si>
  <si>
    <t>07/25/1987</t>
  </si>
  <si>
    <t>03/18/1954</t>
  </si>
  <si>
    <t>10/12/1953</t>
  </si>
  <si>
    <t>08/09/1975</t>
  </si>
  <si>
    <t>08/14/1949</t>
  </si>
  <si>
    <t>06/19/1957</t>
  </si>
  <si>
    <t>04/13/1937</t>
  </si>
  <si>
    <t>10/29/1961</t>
  </si>
  <si>
    <t>09/20/1986</t>
  </si>
  <si>
    <t>01/19/1965</t>
  </si>
  <si>
    <t>09/17/1955</t>
  </si>
  <si>
    <t>07/31/1983</t>
  </si>
  <si>
    <t>07/31/1979</t>
  </si>
  <si>
    <t>01/27/1994</t>
  </si>
  <si>
    <t>04/14/1977</t>
  </si>
  <si>
    <t>07/23/1977</t>
  </si>
  <si>
    <t>09/25/1951</t>
  </si>
  <si>
    <t>05/26/1957</t>
  </si>
  <si>
    <t>05/30/1969</t>
  </si>
  <si>
    <t>03/13/1964</t>
  </si>
  <si>
    <t>12/04/1963</t>
  </si>
  <si>
    <t>04/12/1964</t>
  </si>
  <si>
    <t>04/27/1991</t>
  </si>
  <si>
    <t>04/05/1966</t>
  </si>
  <si>
    <t>04/12/1982</t>
  </si>
  <si>
    <t>10/24/1955</t>
  </si>
  <si>
    <t>01/08/1988</t>
  </si>
  <si>
    <t>11/02/1966</t>
  </si>
  <si>
    <t>12/28/1973</t>
  </si>
  <si>
    <t>02/03/1964</t>
  </si>
  <si>
    <t>07/27/1995</t>
  </si>
  <si>
    <t>07/23/1992</t>
  </si>
  <si>
    <t>11/27/1961</t>
  </si>
  <si>
    <t>08/20/1938</t>
  </si>
  <si>
    <t>02/03/1967</t>
  </si>
  <si>
    <t>11/06/1994</t>
  </si>
  <si>
    <t>02/01/1966</t>
  </si>
  <si>
    <t>11/13/1962</t>
  </si>
  <si>
    <t>08/20/1981</t>
  </si>
  <si>
    <t>02/07/1979</t>
  </si>
  <si>
    <t>12/30/1965</t>
  </si>
  <si>
    <t>12/21/1956</t>
  </si>
  <si>
    <t>11/14/1969</t>
  </si>
  <si>
    <t>04/09/1964</t>
  </si>
  <si>
    <t>04/26/1948</t>
  </si>
  <si>
    <t>07/17/1962</t>
  </si>
  <si>
    <t>05/27/1987</t>
  </si>
  <si>
    <t>11/27/1985</t>
  </si>
  <si>
    <t>06/11/1956</t>
  </si>
  <si>
    <t>11/24/1989</t>
  </si>
  <si>
    <t>12/12/1954</t>
  </si>
  <si>
    <t>08/23/1935</t>
  </si>
  <si>
    <t>08/08/1997</t>
  </si>
  <si>
    <t>11/13/1967</t>
  </si>
  <si>
    <t>01/20/1976</t>
  </si>
  <si>
    <t>04/16/1983</t>
  </si>
  <si>
    <t>07/19/1981</t>
  </si>
  <si>
    <t>12/08/1993</t>
  </si>
  <si>
    <t>12/10/1977</t>
  </si>
  <si>
    <t>11/18/1991</t>
  </si>
  <si>
    <t>06/08/1988</t>
  </si>
  <si>
    <t>05/14/1951</t>
  </si>
  <si>
    <t>10/25/1990</t>
  </si>
  <si>
    <t>09/26/1969</t>
  </si>
  <si>
    <t>12/20/1982</t>
  </si>
  <si>
    <t>08/12/1995</t>
  </si>
  <si>
    <t>08/06/1966</t>
  </si>
  <si>
    <t>08/26/1950</t>
  </si>
  <si>
    <t>08/28/1960</t>
  </si>
  <si>
    <t>02/09/1983</t>
  </si>
  <si>
    <t>08/17/1966</t>
  </si>
  <si>
    <t>10/31/1981</t>
  </si>
  <si>
    <t>12/05/1987</t>
  </si>
  <si>
    <t>01/15/1987</t>
  </si>
  <si>
    <t>04/19/1960</t>
  </si>
  <si>
    <t>05/10/1992</t>
  </si>
  <si>
    <t>09/10/1995</t>
  </si>
  <si>
    <t>05/12/1987</t>
  </si>
  <si>
    <t>02/18/1943</t>
  </si>
  <si>
    <t>06/14/1965</t>
  </si>
  <si>
    <t>12/29/1987</t>
  </si>
  <si>
    <t>08/20/1951</t>
  </si>
  <si>
    <t>09/06/1950</t>
  </si>
  <si>
    <t>12/16/1986</t>
  </si>
  <si>
    <t>09/12/1987</t>
  </si>
  <si>
    <t>03/02/1954</t>
  </si>
  <si>
    <t>04/20/1986</t>
  </si>
  <si>
    <t>07/21/1988</t>
  </si>
  <si>
    <t>12/11/1961</t>
  </si>
  <si>
    <t>07/16/1947</t>
  </si>
  <si>
    <t>12/04/1979</t>
  </si>
  <si>
    <t>05/23/1984</t>
  </si>
  <si>
    <t>06/09/1983</t>
  </si>
  <si>
    <t>03/13/1970</t>
  </si>
  <si>
    <t>12/18/1976</t>
  </si>
  <si>
    <t>04/02/1965</t>
  </si>
  <si>
    <t>09/04/1979</t>
  </si>
  <si>
    <t>03/11/1981</t>
  </si>
  <si>
    <t>10/22/1966</t>
  </si>
  <si>
    <t>09/04/1956</t>
  </si>
  <si>
    <t>09/07/1992</t>
  </si>
  <si>
    <t>10/12/1956</t>
  </si>
  <si>
    <t>05/26/1952</t>
  </si>
  <si>
    <t>03/12/1972</t>
  </si>
  <si>
    <t>08/08/1958</t>
  </si>
  <si>
    <t>09/19/1948</t>
  </si>
  <si>
    <t>05/12/1972</t>
  </si>
  <si>
    <t>07/13/1948</t>
  </si>
  <si>
    <t>06/28/1969</t>
  </si>
  <si>
    <t>06/07/1985</t>
  </si>
  <si>
    <t>11/10/1979</t>
  </si>
  <si>
    <t>05/08/1987</t>
  </si>
  <si>
    <t>05/10/1956</t>
  </si>
  <si>
    <t>01/01/1975</t>
  </si>
  <si>
    <t>10/17/1987</t>
  </si>
  <si>
    <t>09/29/1983</t>
  </si>
  <si>
    <t>02/13/1968</t>
  </si>
  <si>
    <t>06/20/1976</t>
  </si>
  <si>
    <t>02/13/1970</t>
  </si>
  <si>
    <t>08/26/1967</t>
  </si>
  <si>
    <t>09/06/1975</t>
  </si>
  <si>
    <t>08/17/1960</t>
  </si>
  <si>
    <t>07/01/1987</t>
  </si>
  <si>
    <t>02/18/1952</t>
  </si>
  <si>
    <t>03/28/1969</t>
  </si>
  <si>
    <t>02/20/1990</t>
  </si>
  <si>
    <t>02/18/1961</t>
  </si>
  <si>
    <t>08/24/1967</t>
  </si>
  <si>
    <t>02/18/1947</t>
  </si>
  <si>
    <t>07/15/1978</t>
  </si>
  <si>
    <t>11/30/1964</t>
  </si>
  <si>
    <t>09/14/1969</t>
  </si>
  <si>
    <t>05/21/1992</t>
  </si>
  <si>
    <t>11/03/1973</t>
  </si>
  <si>
    <t>09/21/1966</t>
  </si>
  <si>
    <t>02/08/1971</t>
  </si>
  <si>
    <t>10/03/1987</t>
  </si>
  <si>
    <t>06/29/1968</t>
  </si>
  <si>
    <t>03/28/1991</t>
  </si>
  <si>
    <t>07/03/1973</t>
  </si>
  <si>
    <t>02/25/1940</t>
  </si>
  <si>
    <t>08/26/1960</t>
  </si>
  <si>
    <t>01/29/1982</t>
  </si>
  <si>
    <t>07/31/1968</t>
  </si>
  <si>
    <t>02/27/1941</t>
  </si>
  <si>
    <t>09/14/1974</t>
  </si>
  <si>
    <t>11/09/1941</t>
  </si>
  <si>
    <t>10/13/1987</t>
  </si>
  <si>
    <t>05/05/1951</t>
  </si>
  <si>
    <t>10/21/1985</t>
  </si>
  <si>
    <t>02/19/1966</t>
  </si>
  <si>
    <t>08/02/1982</t>
  </si>
  <si>
    <t>07/25/1982</t>
  </si>
  <si>
    <t>02/06/1975</t>
  </si>
  <si>
    <t>02/19/1949</t>
  </si>
  <si>
    <t>06/05/1975</t>
  </si>
  <si>
    <t>07/24/1939</t>
  </si>
  <si>
    <t>01/18/1963</t>
  </si>
  <si>
    <t>05/27/1959</t>
  </si>
  <si>
    <t>09/07/1956</t>
  </si>
  <si>
    <t>10/11/1977</t>
  </si>
  <si>
    <t>05/14/1981</t>
  </si>
  <si>
    <t>11/21/1966</t>
  </si>
  <si>
    <t>09/23/1992</t>
  </si>
  <si>
    <t>11/06/1955</t>
  </si>
  <si>
    <t>04/12/1954</t>
  </si>
  <si>
    <t>08/05/1989</t>
  </si>
  <si>
    <t>11/07/1940</t>
  </si>
  <si>
    <t>04/28/1979</t>
  </si>
  <si>
    <t>03/18/1967</t>
  </si>
  <si>
    <t>04/03/1945</t>
  </si>
  <si>
    <t>01/25/1956</t>
  </si>
  <si>
    <t>08/31/1973</t>
  </si>
  <si>
    <t>08/25/1965</t>
  </si>
  <si>
    <t>10/02/1989</t>
  </si>
  <si>
    <t>03/06/1970</t>
  </si>
  <si>
    <t>04/13/1987</t>
  </si>
  <si>
    <t>01/10/1969</t>
  </si>
  <si>
    <t>11/28/1970</t>
  </si>
  <si>
    <t>06/01/1953</t>
  </si>
  <si>
    <t>05/28/1985</t>
  </si>
  <si>
    <t>02/23/1982</t>
  </si>
  <si>
    <t>10/10/1961</t>
  </si>
  <si>
    <t>04/06/1960</t>
  </si>
  <si>
    <t>05/14/1991</t>
  </si>
  <si>
    <t>12/07/1980</t>
  </si>
  <si>
    <t>04/13/1932</t>
  </si>
  <si>
    <t>06/23/1959</t>
  </si>
  <si>
    <t>01/22/1950</t>
  </si>
  <si>
    <t>11/14/1981</t>
  </si>
  <si>
    <t>06/24/1974</t>
  </si>
  <si>
    <t>01/22/1947</t>
  </si>
  <si>
    <t>06/22/1984</t>
  </si>
  <si>
    <t>05/02/1987</t>
  </si>
  <si>
    <t>03/07/1965</t>
  </si>
  <si>
    <t>08/15/1975</t>
  </si>
  <si>
    <t>03/26/1958</t>
  </si>
  <si>
    <t>06/12/1995</t>
  </si>
  <si>
    <t>02/25/1956</t>
  </si>
  <si>
    <t>10/06/1974</t>
  </si>
  <si>
    <t>10/10/1955</t>
  </si>
  <si>
    <t>06/19/1980</t>
  </si>
  <si>
    <t>09/02/1946</t>
  </si>
  <si>
    <t>08/06/1985</t>
  </si>
  <si>
    <t>08/31/1985</t>
  </si>
  <si>
    <t>08/27/1962</t>
  </si>
  <si>
    <t>11/15/1983</t>
  </si>
  <si>
    <t>01/26/1984</t>
  </si>
  <si>
    <t>03/14/1957</t>
  </si>
  <si>
    <t>12/11/1938</t>
  </si>
  <si>
    <t>09/08/1959</t>
  </si>
  <si>
    <t>08/18/1982</t>
  </si>
  <si>
    <t>09/12/1961</t>
  </si>
  <si>
    <t>06/22/1949</t>
  </si>
  <si>
    <t>04/17/1977</t>
  </si>
  <si>
    <t>03/08/1976</t>
  </si>
  <si>
    <t>08/07/1956</t>
  </si>
  <si>
    <t>11/15/1959</t>
  </si>
  <si>
    <t>10/03/1984</t>
  </si>
  <si>
    <t>04/22/1979</t>
  </si>
  <si>
    <t>09/12/1957</t>
  </si>
  <si>
    <t>09/03/1954</t>
  </si>
  <si>
    <t>03/16/1977</t>
  </si>
  <si>
    <t>01/12/1985</t>
  </si>
  <si>
    <t>11/06/1947</t>
  </si>
  <si>
    <t>04/15/1963</t>
  </si>
  <si>
    <t>06/17/1970</t>
  </si>
  <si>
    <t>01/17/1964</t>
  </si>
  <si>
    <t>03/25/1952</t>
  </si>
  <si>
    <t>06/12/1960</t>
  </si>
  <si>
    <t>06/24/1957</t>
  </si>
  <si>
    <t>06/07/1960</t>
  </si>
  <si>
    <t>04/12/1957</t>
  </si>
  <si>
    <t>06/07/1967</t>
  </si>
  <si>
    <t>09/16/1968</t>
  </si>
  <si>
    <t>08/16/1984</t>
  </si>
  <si>
    <t>03/27/1960</t>
  </si>
  <si>
    <t>11/15/1950</t>
  </si>
  <si>
    <t>09/30/1989</t>
  </si>
  <si>
    <t>09/15/1973</t>
  </si>
  <si>
    <t>02/27/1981</t>
  </si>
  <si>
    <t>05/31/1987</t>
  </si>
  <si>
    <t>04/17/1970</t>
  </si>
  <si>
    <t>07/01/1979</t>
  </si>
  <si>
    <t>04/28/1980</t>
  </si>
  <si>
    <t>09/30/1940</t>
  </si>
  <si>
    <t>09/17/1977</t>
  </si>
  <si>
    <t>11/22/1972</t>
  </si>
  <si>
    <t>03/16/1980</t>
  </si>
  <si>
    <t>04/26/1958</t>
  </si>
  <si>
    <t>07/20/1959</t>
  </si>
  <si>
    <t>09/17/1969</t>
  </si>
  <si>
    <t>08/14/1939</t>
  </si>
  <si>
    <t>09/15/1963</t>
  </si>
  <si>
    <t>08/28/1988</t>
  </si>
  <si>
    <t>09/16/1976</t>
  </si>
  <si>
    <t>12/12/1966</t>
  </si>
  <si>
    <t>07/24/1991</t>
  </si>
  <si>
    <t>05/21/1968</t>
  </si>
  <si>
    <t>12/12/1975</t>
  </si>
  <si>
    <t>08/12/1937</t>
  </si>
  <si>
    <t>03/20/1947</t>
  </si>
  <si>
    <t>01/06/1990</t>
  </si>
  <si>
    <t>09/03/1979</t>
  </si>
  <si>
    <t>07/25/1984</t>
  </si>
  <si>
    <t>01/08/1974</t>
  </si>
  <si>
    <t>07/15/1961</t>
  </si>
  <si>
    <t>02/12/1990</t>
  </si>
  <si>
    <t>03/27/1981</t>
  </si>
  <si>
    <t>10/11/1988</t>
  </si>
  <si>
    <t>04/10/1955</t>
  </si>
  <si>
    <t>03/08/1947</t>
  </si>
  <si>
    <t>12/16/1962</t>
  </si>
  <si>
    <t>04/03/1978</t>
  </si>
  <si>
    <t>06/25/1982</t>
  </si>
  <si>
    <t>10/10/1973</t>
  </si>
  <si>
    <t>02/08/1994</t>
  </si>
  <si>
    <t>07/07/1968</t>
  </si>
  <si>
    <t>11/22/1979</t>
  </si>
  <si>
    <t>10/27/1963</t>
  </si>
  <si>
    <t>03/07/1973</t>
  </si>
  <si>
    <t>04/18/1940</t>
  </si>
  <si>
    <t>09/18/1987</t>
  </si>
  <si>
    <t>02/17/1960</t>
  </si>
  <si>
    <t>05/28/1962</t>
  </si>
  <si>
    <t>09/09/1949</t>
  </si>
  <si>
    <t>10/02/1993</t>
  </si>
  <si>
    <t>01/31/1951</t>
  </si>
  <si>
    <t>09/09/1979</t>
  </si>
  <si>
    <t>05/11/1959</t>
  </si>
  <si>
    <t>08/30/1981</t>
  </si>
  <si>
    <t>08/31/1991</t>
  </si>
  <si>
    <t>08/18/1967</t>
  </si>
  <si>
    <t>12/16/1975</t>
  </si>
  <si>
    <t>07/31/1992</t>
  </si>
  <si>
    <t>03/12/1967</t>
  </si>
  <si>
    <t>08/20/1978</t>
  </si>
  <si>
    <t>01/22/1993</t>
  </si>
  <si>
    <t>02/08/1978</t>
  </si>
  <si>
    <t>06/14/1973</t>
  </si>
  <si>
    <t>06/18/1951</t>
  </si>
  <si>
    <t>09/27/1976</t>
  </si>
  <si>
    <t>06/11/1975</t>
  </si>
  <si>
    <t>09/13/1955</t>
  </si>
  <si>
    <t>08/20/1930</t>
  </si>
  <si>
    <t>12/24/1980</t>
  </si>
  <si>
    <t>10/07/1951</t>
  </si>
  <si>
    <t>04/30/1964</t>
  </si>
  <si>
    <t>12/19/1975</t>
  </si>
  <si>
    <t>11/29/1955</t>
  </si>
  <si>
    <t>12/28/1958</t>
  </si>
  <si>
    <t>07/23/1943</t>
  </si>
  <si>
    <t>08/17/1968</t>
  </si>
  <si>
    <t>07/19/1990</t>
  </si>
  <si>
    <t>05/10/1977</t>
  </si>
  <si>
    <t>09/13/1984</t>
  </si>
  <si>
    <t>04/01/1970</t>
  </si>
  <si>
    <t>11/29/1965</t>
  </si>
  <si>
    <t>08/28/1990</t>
  </si>
  <si>
    <t>08/09/1979</t>
  </si>
  <si>
    <t>03/20/1987</t>
  </si>
  <si>
    <t>05/22/1979</t>
  </si>
  <si>
    <t>05/11/1953</t>
  </si>
  <si>
    <t>12/27/1984</t>
  </si>
  <si>
    <t>05/11/1948</t>
  </si>
  <si>
    <t>08/30/1986</t>
  </si>
  <si>
    <t>05/09/1952</t>
  </si>
  <si>
    <t>01/27/1966</t>
  </si>
  <si>
    <t>06/22/1968</t>
  </si>
  <si>
    <t>03/04/1960</t>
  </si>
  <si>
    <t>11/25/1944</t>
  </si>
  <si>
    <t>02/22/1986</t>
  </si>
  <si>
    <t>11/14/1986</t>
  </si>
  <si>
    <t>08/06/1951</t>
  </si>
  <si>
    <t>05/15/1963</t>
  </si>
  <si>
    <t>03/25/1955</t>
  </si>
  <si>
    <t>07/15/1953</t>
  </si>
  <si>
    <t>01/19/1964</t>
  </si>
  <si>
    <t>09/01/1992</t>
  </si>
  <si>
    <t>05/12/1956</t>
  </si>
  <si>
    <t>07/10/1991</t>
  </si>
  <si>
    <t>08/19/1974</t>
  </si>
  <si>
    <t>05/05/1983</t>
  </si>
  <si>
    <t>02/17/1981</t>
  </si>
  <si>
    <t>02/05/1978</t>
  </si>
  <si>
    <t>01/27/1972</t>
  </si>
  <si>
    <t>12/27/1968</t>
  </si>
  <si>
    <t>03/20/1975</t>
  </si>
  <si>
    <t>09/27/1984</t>
  </si>
  <si>
    <t>01/12/1973</t>
  </si>
  <si>
    <t>06/01/1976</t>
  </si>
  <si>
    <t>07/18/1978</t>
  </si>
  <si>
    <t>08/08/1983</t>
  </si>
  <si>
    <t>07/24/1990</t>
  </si>
  <si>
    <t>09/16/1981</t>
  </si>
  <si>
    <t>03/08/1982</t>
  </si>
  <si>
    <t>03/07/1960</t>
  </si>
  <si>
    <t>12/28/1971</t>
  </si>
  <si>
    <t>06/11/1958</t>
  </si>
  <si>
    <t>03/28/1983</t>
  </si>
  <si>
    <t>01/02/1964</t>
  </si>
  <si>
    <t>03/23/1958</t>
  </si>
  <si>
    <t>03/25/1954</t>
  </si>
  <si>
    <t>04/06/1974</t>
  </si>
  <si>
    <t>07/07/1984</t>
  </si>
  <si>
    <t>08/07/1973</t>
  </si>
  <si>
    <t>01/20/1964</t>
  </si>
  <si>
    <t>07/11/1953</t>
  </si>
  <si>
    <t>04/22/1956</t>
  </si>
  <si>
    <t>06/26/1964</t>
  </si>
  <si>
    <t>04/09/1992</t>
  </si>
  <si>
    <t>04/01/1964</t>
  </si>
  <si>
    <t>06/06/1968</t>
  </si>
  <si>
    <t>01/10/1947</t>
  </si>
  <si>
    <t>01/03/1963</t>
  </si>
  <si>
    <t>01/16/1950</t>
  </si>
  <si>
    <t>12/23/1972</t>
  </si>
  <si>
    <t>04/01/1958</t>
  </si>
  <si>
    <t>12/15/1985</t>
  </si>
  <si>
    <t>09/03/1992</t>
  </si>
  <si>
    <t>08/01/1959</t>
  </si>
  <si>
    <t>02/13/1954</t>
  </si>
  <si>
    <t>01/12/1971</t>
  </si>
  <si>
    <t>12/14/1977</t>
  </si>
  <si>
    <t>05/02/1969</t>
  </si>
  <si>
    <t>07/30/1942</t>
  </si>
  <si>
    <t>08/13/1963</t>
  </si>
  <si>
    <t>11/17/1956</t>
  </si>
  <si>
    <t>10/04/1968</t>
  </si>
  <si>
    <t>02/15/1973</t>
  </si>
  <si>
    <t>06/04/1944</t>
  </si>
  <si>
    <t>12/04/1937</t>
  </si>
  <si>
    <t>01/11/1985</t>
  </si>
  <si>
    <t>03/18/1970</t>
  </si>
  <si>
    <t>05/24/1974</t>
  </si>
  <si>
    <t>07/20/1972</t>
  </si>
  <si>
    <t>02/23/1947</t>
  </si>
  <si>
    <t>04/02/1993</t>
  </si>
  <si>
    <t>03/20/1966</t>
  </si>
  <si>
    <t>06/26/1981</t>
  </si>
  <si>
    <t>12/24/1983</t>
  </si>
  <si>
    <t>05/06/1981</t>
  </si>
  <si>
    <t>02/10/1959</t>
  </si>
  <si>
    <t>08/24/1990</t>
  </si>
  <si>
    <t>08/06/1961</t>
  </si>
  <si>
    <t>03/18/1965</t>
  </si>
  <si>
    <t>11/29/1971</t>
  </si>
  <si>
    <t>02/13/1949</t>
  </si>
  <si>
    <t>09/25/1969</t>
  </si>
  <si>
    <t>11/05/1978</t>
  </si>
  <si>
    <t>06/20/1956</t>
  </si>
  <si>
    <t>04/11/1963</t>
  </si>
  <si>
    <t>10/06/1948</t>
  </si>
  <si>
    <t>12/07/1982</t>
  </si>
  <si>
    <t>06/23/1969</t>
  </si>
  <si>
    <t>03/11/1967</t>
  </si>
  <si>
    <t>12/26/1958</t>
  </si>
  <si>
    <t>12/07/1967</t>
  </si>
  <si>
    <t>06/20/1986</t>
  </si>
  <si>
    <t>01/28/1982</t>
  </si>
  <si>
    <t>07/17/1944</t>
  </si>
  <si>
    <t>05/10/1979</t>
  </si>
  <si>
    <t>01/01/1964</t>
  </si>
  <si>
    <t>03/27/1953</t>
  </si>
  <si>
    <t>05/13/1966</t>
  </si>
  <si>
    <t>05/02/1940</t>
  </si>
  <si>
    <t>02/09/1966</t>
  </si>
  <si>
    <t>06/08/1931</t>
  </si>
  <si>
    <t>01/20/1970</t>
  </si>
  <si>
    <t>12/05/1964</t>
  </si>
  <si>
    <t>04/16/1950</t>
  </si>
  <si>
    <t>12/09/1957</t>
  </si>
  <si>
    <t>01/11/1979</t>
  </si>
  <si>
    <t>11/11/1954</t>
  </si>
  <si>
    <t>10/02/1952</t>
  </si>
  <si>
    <t>06/25/1985</t>
  </si>
  <si>
    <t>07/29/1981</t>
  </si>
  <si>
    <t>08/23/1963</t>
  </si>
  <si>
    <t>05/14/1968</t>
  </si>
  <si>
    <t>03/22/1951</t>
  </si>
  <si>
    <t>07/12/1967</t>
  </si>
  <si>
    <t>12/03/1977</t>
  </si>
  <si>
    <t>01/31/1948</t>
  </si>
  <si>
    <t>12/28/1978</t>
  </si>
  <si>
    <t>11/24/1947</t>
  </si>
  <si>
    <t>12/06/1983</t>
  </si>
  <si>
    <t>10/12/1981</t>
  </si>
  <si>
    <t>01/25/1930</t>
  </si>
  <si>
    <t>07/19/1983</t>
  </si>
  <si>
    <t>01/01/1956</t>
  </si>
  <si>
    <t>04/15/1962</t>
  </si>
  <si>
    <t>09/08/1996</t>
  </si>
  <si>
    <t>09/06/1958</t>
  </si>
  <si>
    <t>09/28/1989</t>
  </si>
  <si>
    <t>08/10/1955</t>
  </si>
  <si>
    <t>05/05/1984</t>
  </si>
  <si>
    <t>07/21/1971</t>
  </si>
  <si>
    <t>09/23/1948</t>
  </si>
  <si>
    <t>08/31/1976</t>
  </si>
  <si>
    <t>07/03/1949</t>
  </si>
  <si>
    <t>06/05/1984</t>
  </si>
  <si>
    <t>09/30/1984</t>
  </si>
  <si>
    <t>03/23/1957</t>
  </si>
  <si>
    <t>05/11/1967</t>
  </si>
  <si>
    <t>02/14/1978</t>
  </si>
  <si>
    <t>01/12/1954</t>
  </si>
  <si>
    <t>07/08/1987</t>
  </si>
  <si>
    <t>03/03/1959</t>
  </si>
  <si>
    <t>04/13/1966</t>
  </si>
  <si>
    <t>10/24/1983</t>
  </si>
  <si>
    <t>01/27/1967</t>
  </si>
  <si>
    <t>11/16/1993</t>
  </si>
  <si>
    <t>12/18/1959</t>
  </si>
  <si>
    <t>07/18/1956</t>
  </si>
  <si>
    <t>12/02/1971</t>
  </si>
  <si>
    <t>04/24/1974</t>
  </si>
  <si>
    <t>09/25/1955</t>
  </si>
  <si>
    <t>02/01/1983</t>
  </si>
  <si>
    <t>06/12/1967</t>
  </si>
  <si>
    <t>07/10/1955</t>
  </si>
  <si>
    <t>04/28/1955</t>
  </si>
  <si>
    <t>08/04/1957</t>
  </si>
  <si>
    <t>11/19/1984</t>
  </si>
  <si>
    <t>09/06/1968</t>
  </si>
  <si>
    <t>11/30/1957</t>
  </si>
  <si>
    <t>02/03/1985</t>
  </si>
  <si>
    <t>06/28/1981</t>
  </si>
  <si>
    <t>07/28/1960</t>
  </si>
  <si>
    <t>01/29/1969</t>
  </si>
  <si>
    <t>01/23/1956</t>
  </si>
  <si>
    <t>06/22/1981</t>
  </si>
  <si>
    <t>06/22/1988</t>
  </si>
  <si>
    <t>09/29/1961</t>
  </si>
  <si>
    <t>10/08/1949</t>
  </si>
  <si>
    <t>07/09/1965</t>
  </si>
  <si>
    <t>07/16/1985</t>
  </si>
  <si>
    <t>08/03/1962</t>
  </si>
  <si>
    <t>10/10/1995</t>
  </si>
  <si>
    <t>01/28/1961</t>
  </si>
  <si>
    <t>01/07/1992</t>
  </si>
  <si>
    <t>12/26/1963</t>
  </si>
  <si>
    <t>06/26/1971</t>
  </si>
  <si>
    <t>11/19/1968</t>
  </si>
  <si>
    <t>04/15/1994</t>
  </si>
  <si>
    <t>04/21/1958</t>
  </si>
  <si>
    <t>07/13/1990</t>
  </si>
  <si>
    <t>05/30/1973</t>
  </si>
  <si>
    <t>07/25/1979</t>
  </si>
  <si>
    <t>01/20/1947</t>
  </si>
  <si>
    <t>10/15/1971</t>
  </si>
  <si>
    <t>03/24/1983</t>
  </si>
  <si>
    <t>02/06/1951</t>
  </si>
  <si>
    <t>05/22/1958</t>
  </si>
  <si>
    <t>09/26/1955</t>
  </si>
  <si>
    <t>06/18/1976</t>
  </si>
  <si>
    <t>12/20/1980</t>
  </si>
  <si>
    <t>06/19/1942</t>
  </si>
  <si>
    <t>06/21/1961</t>
  </si>
  <si>
    <t>12/06/1966</t>
  </si>
  <si>
    <t>02/04/1972</t>
  </si>
  <si>
    <t>11/14/1965</t>
  </si>
  <si>
    <t>10/12/1975</t>
  </si>
  <si>
    <t>08/12/1968</t>
  </si>
  <si>
    <t>09/08/1994</t>
  </si>
  <si>
    <t>09/13/1969</t>
  </si>
  <si>
    <t>10/31/1973</t>
  </si>
  <si>
    <t>07/27/1963</t>
  </si>
  <si>
    <t>06/16/1971</t>
  </si>
  <si>
    <t>12/15/1965</t>
  </si>
  <si>
    <t>04/24/1970</t>
  </si>
  <si>
    <t>01/15/1966</t>
  </si>
  <si>
    <t>12/05/1970</t>
  </si>
  <si>
    <t>06/16/1950</t>
  </si>
  <si>
    <t>12/19/1963</t>
  </si>
  <si>
    <t>03/18/1938</t>
  </si>
  <si>
    <t>01/01/1962</t>
  </si>
  <si>
    <t>10/05/1968</t>
  </si>
  <si>
    <t>03/17/1970</t>
  </si>
  <si>
    <t>05/12/1962</t>
  </si>
  <si>
    <t>11/17/1986</t>
  </si>
  <si>
    <t>06/10/1971</t>
  </si>
  <si>
    <t>11/08/1949</t>
  </si>
  <si>
    <t>11/23/1980</t>
  </si>
  <si>
    <t>09/06/1971</t>
  </si>
  <si>
    <t>09/10/1986</t>
  </si>
  <si>
    <t>09/15/1990</t>
  </si>
  <si>
    <t>04/15/1950</t>
  </si>
  <si>
    <t>09/19/1950</t>
  </si>
  <si>
    <t>08/26/1988</t>
  </si>
  <si>
    <t>05/28/1989</t>
  </si>
  <si>
    <t>09/07/1951</t>
  </si>
  <si>
    <t>12/27/1985</t>
  </si>
  <si>
    <t>02/07/1969</t>
  </si>
  <si>
    <t>10/24/1984</t>
  </si>
  <si>
    <t>10/09/1980</t>
  </si>
  <si>
    <t>03/11/1960</t>
  </si>
  <si>
    <t>02/15/1961</t>
  </si>
  <si>
    <t>10/21/1965</t>
  </si>
  <si>
    <t>01/25/1989</t>
  </si>
  <si>
    <t>02/14/1940</t>
  </si>
  <si>
    <t>09/25/1954</t>
  </si>
  <si>
    <t>12/12/1953</t>
  </si>
  <si>
    <t>05/08/1963</t>
  </si>
  <si>
    <t>03/27/1986</t>
  </si>
  <si>
    <t>12/12/1963</t>
  </si>
  <si>
    <t>08/18/1989</t>
  </si>
  <si>
    <t>11/18/1963</t>
  </si>
  <si>
    <t>03/01/1965</t>
  </si>
  <si>
    <t>04/10/1963</t>
  </si>
  <si>
    <t>07/22/1961</t>
  </si>
  <si>
    <t>02/24/1979</t>
  </si>
  <si>
    <t>12/10/1963</t>
  </si>
  <si>
    <t>03/07/1958</t>
  </si>
  <si>
    <t>10/11/1983</t>
  </si>
  <si>
    <t>10/05/1980</t>
  </si>
  <si>
    <t>12/19/1973</t>
  </si>
  <si>
    <t>11/04/1980</t>
  </si>
  <si>
    <t>06/14/1949</t>
  </si>
  <si>
    <t>10/19/1950</t>
  </si>
  <si>
    <t>10/17/1964</t>
  </si>
  <si>
    <t>10/30/1968</t>
  </si>
  <si>
    <t>10/01/1957</t>
  </si>
  <si>
    <t>02/12/1986</t>
  </si>
  <si>
    <t>07/25/1971</t>
  </si>
  <si>
    <t>07/04/1987</t>
  </si>
  <si>
    <t>08/11/1963</t>
  </si>
  <si>
    <t>03/04/1976</t>
  </si>
  <si>
    <t>05/04/1982</t>
  </si>
  <si>
    <t>01/30/1984</t>
  </si>
  <si>
    <t>04/24/1961</t>
  </si>
  <si>
    <t>10/01/1968</t>
  </si>
  <si>
    <t>12/01/1981</t>
  </si>
  <si>
    <t>10/09/1955</t>
  </si>
  <si>
    <t>08/16/1968</t>
  </si>
  <si>
    <t>05/09/1968</t>
  </si>
  <si>
    <t>10/27/1993</t>
  </si>
  <si>
    <t>02/14/1950</t>
  </si>
  <si>
    <t>03/31/1996</t>
  </si>
  <si>
    <t>06/07/1981</t>
  </si>
  <si>
    <t>02/28/1975</t>
  </si>
  <si>
    <t>03/24/1958</t>
  </si>
  <si>
    <t>09/12/1980</t>
  </si>
  <si>
    <t>02/04/1974</t>
  </si>
  <si>
    <t>03/20/1962</t>
  </si>
  <si>
    <t>04/28/1983</t>
  </si>
  <si>
    <t>04/30/1984</t>
  </si>
  <si>
    <t>05/28/1965</t>
  </si>
  <si>
    <t>05/09/1958</t>
  </si>
  <si>
    <t>06/08/1978</t>
  </si>
  <si>
    <t>10/20/1954</t>
  </si>
  <si>
    <t>11/21/1977</t>
  </si>
  <si>
    <t>01/07/1956</t>
  </si>
  <si>
    <t>05/25/1976</t>
  </si>
  <si>
    <t>09/05/1964</t>
  </si>
  <si>
    <t>08/21/1973</t>
  </si>
  <si>
    <t>08/14/1971</t>
  </si>
  <si>
    <t>01/16/1989</t>
  </si>
  <si>
    <t>01/24/1962</t>
  </si>
  <si>
    <t>01/27/1957</t>
  </si>
  <si>
    <t>03/10/1955</t>
  </si>
  <si>
    <t>06/16/1983</t>
  </si>
  <si>
    <t>05/12/1967</t>
  </si>
  <si>
    <t>12/18/1975</t>
  </si>
  <si>
    <t>06/15/1976</t>
  </si>
  <si>
    <t>03/02/1974</t>
  </si>
  <si>
    <t>03/02/1937</t>
  </si>
  <si>
    <t>08/24/1983</t>
  </si>
  <si>
    <t>09/16/1953</t>
  </si>
  <si>
    <t>06/16/1976</t>
  </si>
  <si>
    <t>01/22/1974</t>
  </si>
  <si>
    <t>11/11/1985</t>
  </si>
  <si>
    <t>09/10/1954</t>
  </si>
  <si>
    <t>03/23/1982</t>
  </si>
  <si>
    <t>10/18/1977</t>
  </si>
  <si>
    <t>09/09/1972</t>
  </si>
  <si>
    <t>07/21/1974</t>
  </si>
  <si>
    <t>04/15/1930</t>
  </si>
  <si>
    <t>03/11/1941</t>
  </si>
  <si>
    <t>03/28/1948</t>
  </si>
  <si>
    <t>08/03/1972</t>
  </si>
  <si>
    <t>06/30/1988</t>
  </si>
  <si>
    <t>03/26/1948</t>
  </si>
  <si>
    <t>02/02/1970</t>
  </si>
  <si>
    <t>10/25/1955</t>
  </si>
  <si>
    <t>12/14/1965</t>
  </si>
  <si>
    <t>01/18/1944</t>
  </si>
  <si>
    <t>08/30/1959</t>
  </si>
  <si>
    <t>10/31/1969</t>
  </si>
  <si>
    <t>06/19/1965</t>
  </si>
  <si>
    <t>07/01/1967</t>
  </si>
  <si>
    <t>07/03/1974</t>
  </si>
  <si>
    <t>10/19/1972</t>
  </si>
  <si>
    <t>11/24/1984</t>
  </si>
  <si>
    <t>03/24/1965</t>
  </si>
  <si>
    <t>01/07/1959</t>
  </si>
  <si>
    <t>06/21/1959</t>
  </si>
  <si>
    <t>05/02/1972</t>
  </si>
  <si>
    <t>12/27/1977</t>
  </si>
  <si>
    <t>05/08/1972</t>
  </si>
  <si>
    <t>02/17/1983</t>
  </si>
  <si>
    <t>11/22/1962</t>
  </si>
  <si>
    <t>06/06/1963</t>
  </si>
  <si>
    <t>05/27/1974</t>
  </si>
  <si>
    <t>09/06/1980</t>
  </si>
  <si>
    <t>11/12/1990</t>
  </si>
  <si>
    <t>06/05/1992</t>
  </si>
  <si>
    <t>05/13/1962</t>
  </si>
  <si>
    <t>02/22/1990</t>
  </si>
  <si>
    <t>03/25/1949</t>
  </si>
  <si>
    <t>12/23/1959</t>
  </si>
  <si>
    <t>12/27/1981</t>
  </si>
  <si>
    <t>10/22/1977</t>
  </si>
  <si>
    <t>06/08/1986</t>
  </si>
  <si>
    <t>01/15/1986</t>
  </si>
  <si>
    <t>08/15/1959</t>
  </si>
  <si>
    <t>04/26/1960</t>
  </si>
  <si>
    <t>09/22/1964</t>
  </si>
  <si>
    <t>12/27/1974</t>
  </si>
  <si>
    <t>11/14/1976</t>
  </si>
  <si>
    <t>03/09/1972</t>
  </si>
  <si>
    <t>03/26/1974</t>
  </si>
  <si>
    <t>09/09/1956</t>
  </si>
  <si>
    <t>06/29/1987</t>
  </si>
  <si>
    <t>08/12/1963</t>
  </si>
  <si>
    <t>02/08/1962</t>
  </si>
  <si>
    <t>02/06/1947</t>
  </si>
  <si>
    <t>04/13/1962</t>
  </si>
  <si>
    <t>05/20/1990</t>
  </si>
  <si>
    <t>03/28/1978</t>
  </si>
  <si>
    <t>01/14/1980</t>
  </si>
  <si>
    <t>08/30/1991</t>
  </si>
  <si>
    <t>03/16/1951</t>
  </si>
  <si>
    <t>03/21/1938</t>
  </si>
  <si>
    <t>02/21/1963</t>
  </si>
  <si>
    <t>11/15/1975</t>
  </si>
  <si>
    <t>06/13/1972</t>
  </si>
  <si>
    <t>10/14/1987</t>
  </si>
  <si>
    <t>03/05/1994</t>
  </si>
  <si>
    <t>04/23/1992</t>
  </si>
  <si>
    <t>03/07/1972</t>
  </si>
  <si>
    <t>04/18/1963</t>
  </si>
  <si>
    <t>03/05/1983</t>
  </si>
  <si>
    <t>10/29/1988</t>
  </si>
  <si>
    <t>01/15/1962</t>
  </si>
  <si>
    <t>03/20/1973</t>
  </si>
  <si>
    <t>04/13/1949</t>
  </si>
  <si>
    <t>09/08/1984</t>
  </si>
  <si>
    <t>03/31/1957</t>
  </si>
  <si>
    <t>10/05/1950</t>
  </si>
  <si>
    <t>09/28/1974</t>
  </si>
  <si>
    <t>04/15/1968</t>
  </si>
  <si>
    <t>01/30/1977</t>
  </si>
  <si>
    <t>11/09/1962</t>
  </si>
  <si>
    <t>10/15/1974</t>
  </si>
  <si>
    <t>02/25/1965</t>
  </si>
  <si>
    <t>03/08/1993</t>
  </si>
  <si>
    <t>05/29/1978</t>
  </si>
  <si>
    <t>08/13/1962</t>
  </si>
  <si>
    <t>07/11/1956</t>
  </si>
  <si>
    <t>03/30/1940</t>
  </si>
  <si>
    <t>08/30/1950</t>
  </si>
  <si>
    <t>08/10/1977</t>
  </si>
  <si>
    <t>11/02/1965</t>
  </si>
  <si>
    <t>06/12/1968</t>
  </si>
  <si>
    <t>06/17/1961</t>
  </si>
  <si>
    <t>06/06/1983</t>
  </si>
  <si>
    <t>12/27/1986</t>
  </si>
  <si>
    <t>12/31/1949</t>
  </si>
  <si>
    <t>01/19/1979</t>
  </si>
  <si>
    <t>05/15/1970</t>
  </si>
  <si>
    <t>06/03/1963</t>
  </si>
  <si>
    <t>01/22/1968</t>
  </si>
  <si>
    <t>06/19/1939</t>
  </si>
  <si>
    <t>03/09/1961</t>
  </si>
  <si>
    <t>06/06/1996</t>
  </si>
  <si>
    <t>09/12/1953</t>
  </si>
  <si>
    <t>02/17/1978</t>
  </si>
  <si>
    <t>07/25/1961</t>
  </si>
  <si>
    <t>10/30/1979</t>
  </si>
  <si>
    <t>05/28/1987</t>
  </si>
  <si>
    <t>03/08/1948</t>
  </si>
  <si>
    <t>09/29/1960</t>
  </si>
  <si>
    <t>01/12/1977</t>
  </si>
  <si>
    <t>01/31/1980</t>
  </si>
  <si>
    <t>10/13/1983</t>
  </si>
  <si>
    <t>04/26/1953</t>
  </si>
  <si>
    <t>02/05/1968</t>
  </si>
  <si>
    <t>10/15/1977</t>
  </si>
  <si>
    <t>11/19/1964</t>
  </si>
  <si>
    <t>03/21/1962</t>
  </si>
  <si>
    <t>01/27/1975</t>
  </si>
  <si>
    <t>12/12/1962</t>
  </si>
  <si>
    <t>10/07/1982</t>
  </si>
  <si>
    <t>10/11/1975</t>
  </si>
  <si>
    <t>11/01/1989</t>
  </si>
  <si>
    <t>11/12/1936</t>
  </si>
  <si>
    <t>11/23/1989</t>
  </si>
  <si>
    <t>05/09/1962</t>
  </si>
  <si>
    <t>10/28/1973</t>
  </si>
  <si>
    <t>08/07/1961</t>
  </si>
  <si>
    <t>12/17/1962</t>
  </si>
  <si>
    <t>08/17/1978</t>
  </si>
  <si>
    <t>12/30/1970</t>
  </si>
  <si>
    <t>01/30/1968</t>
  </si>
  <si>
    <t>01/29/1986</t>
  </si>
  <si>
    <t>05/17/1994</t>
  </si>
  <si>
    <t>04/21/1982</t>
  </si>
  <si>
    <t>01/11/1989</t>
  </si>
  <si>
    <t>09/16/1989</t>
  </si>
  <si>
    <t>09/09/1968</t>
  </si>
  <si>
    <t>08/04/1975</t>
  </si>
  <si>
    <t>06/14/1980</t>
  </si>
  <si>
    <t>01/02/1981</t>
  </si>
  <si>
    <t>12/01/1976</t>
  </si>
  <si>
    <t>12/17/1963</t>
  </si>
  <si>
    <t>04/30/1994</t>
  </si>
  <si>
    <t>03/09/1965</t>
  </si>
  <si>
    <t>06/27/1944</t>
  </si>
  <si>
    <t>02/15/1965</t>
  </si>
  <si>
    <t>08/19/1955</t>
  </si>
  <si>
    <t>07/20/1964</t>
  </si>
  <si>
    <t>11/26/1964</t>
  </si>
  <si>
    <t>09/02/1967</t>
  </si>
  <si>
    <t>12/01/1986</t>
  </si>
  <si>
    <t>12/19/1979</t>
  </si>
  <si>
    <t>09/16/1991</t>
  </si>
  <si>
    <t>12/14/1935</t>
  </si>
  <si>
    <t>08/08/1964</t>
  </si>
  <si>
    <t>08/12/1969</t>
  </si>
  <si>
    <t>05/15/1990</t>
  </si>
  <si>
    <t>12/07/1987</t>
  </si>
  <si>
    <t>05/20/1991</t>
  </si>
  <si>
    <t>04/11/1970</t>
  </si>
  <si>
    <t>08/16/1985</t>
  </si>
  <si>
    <t>06/26/1957</t>
  </si>
  <si>
    <t>03/18/1951</t>
  </si>
  <si>
    <t>10/19/1954</t>
  </si>
  <si>
    <t>03/06/1942</t>
  </si>
  <si>
    <t>10/26/1946</t>
  </si>
  <si>
    <t>12/20/1943</t>
  </si>
  <si>
    <t>05/21/1996</t>
  </si>
  <si>
    <t>12/20/1971</t>
  </si>
  <si>
    <t>07/07/1951</t>
  </si>
  <si>
    <t>10/27/1967</t>
  </si>
  <si>
    <t>08/30/1951</t>
  </si>
  <si>
    <t>12/02/1962</t>
  </si>
  <si>
    <t>04/14/1974</t>
  </si>
  <si>
    <t>03/20/1969</t>
  </si>
  <si>
    <t>02/20/1980</t>
  </si>
  <si>
    <t>03/02/1982</t>
  </si>
  <si>
    <t>08/11/1941</t>
  </si>
  <si>
    <t>07/20/1989</t>
  </si>
  <si>
    <t>10/02/1973</t>
  </si>
  <si>
    <t>04/17/1984</t>
  </si>
  <si>
    <t>04/17/1955</t>
  </si>
  <si>
    <t>11/27/1965</t>
  </si>
  <si>
    <t>06/04/1960</t>
  </si>
  <si>
    <t>09/07/1946</t>
  </si>
  <si>
    <t>10/29/1981</t>
  </si>
  <si>
    <t>07/07/1988</t>
  </si>
  <si>
    <t>05/11/1973</t>
  </si>
  <si>
    <t>10/19/1986</t>
  </si>
  <si>
    <t>07/09/1979</t>
  </si>
  <si>
    <t>02/04/1995</t>
  </si>
  <si>
    <t>10/26/1987</t>
  </si>
  <si>
    <t>08/16/1973</t>
  </si>
  <si>
    <t>10/27/1937</t>
  </si>
  <si>
    <t>07/26/1964</t>
  </si>
  <si>
    <t>03/23/1938</t>
  </si>
  <si>
    <t>12/08/1954</t>
  </si>
  <si>
    <t>04/19/1988</t>
  </si>
  <si>
    <t>11/20/1976</t>
  </si>
  <si>
    <t>11/23/1970</t>
  </si>
  <si>
    <t>11/28/1960</t>
  </si>
  <si>
    <t>04/29/1987</t>
  </si>
  <si>
    <t>03/30/1966</t>
  </si>
  <si>
    <t>01/21/1992</t>
  </si>
  <si>
    <t>04/12/1986</t>
  </si>
  <si>
    <t>08/05/1965</t>
  </si>
  <si>
    <t>10/23/1953</t>
  </si>
  <si>
    <t>08/16/1980</t>
  </si>
  <si>
    <t>12/02/1955</t>
  </si>
  <si>
    <t>09/28/1986</t>
  </si>
  <si>
    <t>01/07/1990</t>
  </si>
  <si>
    <t>08/07/1980</t>
  </si>
  <si>
    <t>01/24/1948</t>
  </si>
  <si>
    <t>01/05/1971</t>
  </si>
  <si>
    <t>10/11/1940</t>
  </si>
  <si>
    <t>04/05/1972</t>
  </si>
  <si>
    <t>11/28/1975</t>
  </si>
  <si>
    <t>03/06/1977</t>
  </si>
  <si>
    <t>08/03/1964</t>
  </si>
  <si>
    <t>09/12/1982</t>
  </si>
  <si>
    <t>04/27/1955</t>
  </si>
  <si>
    <t>11/04/1972</t>
  </si>
  <si>
    <t>01/04/1948</t>
  </si>
  <si>
    <t>06/13/1990</t>
  </si>
  <si>
    <t>07/27/1972</t>
  </si>
  <si>
    <t>07/04/1988</t>
  </si>
  <si>
    <t>02/16/1968</t>
  </si>
  <si>
    <t>08/06/1974</t>
  </si>
  <si>
    <t>10/07/1961</t>
  </si>
  <si>
    <t>03/08/1986</t>
  </si>
  <si>
    <t>07/05/1992</t>
  </si>
  <si>
    <t>05/12/1965</t>
  </si>
  <si>
    <t>10/01/1935</t>
  </si>
  <si>
    <t>09/09/1960</t>
  </si>
  <si>
    <t>08/24/1947</t>
  </si>
  <si>
    <t>04/30/1959</t>
  </si>
  <si>
    <t>11/09/1980</t>
  </si>
  <si>
    <t>07/21/1956</t>
  </si>
  <si>
    <t>07/18/1990</t>
  </si>
  <si>
    <t>07/30/1997</t>
  </si>
  <si>
    <t>12/07/1986</t>
  </si>
  <si>
    <t>10/13/1981</t>
  </si>
  <si>
    <t>02/01/1973</t>
  </si>
  <si>
    <t>11/07/1980</t>
  </si>
  <si>
    <t>08/15/1974</t>
  </si>
  <si>
    <t>05/24/1958</t>
  </si>
  <si>
    <t>03/12/1963</t>
  </si>
  <si>
    <t>05/11/1954</t>
  </si>
  <si>
    <t>01/26/1977</t>
  </si>
  <si>
    <t>05/03/1990</t>
  </si>
  <si>
    <t>08/16/1989</t>
  </si>
  <si>
    <t>09/23/1973</t>
  </si>
  <si>
    <t>09/02/1976</t>
  </si>
  <si>
    <t>08/21/1981</t>
  </si>
  <si>
    <t>09/20/1942</t>
  </si>
  <si>
    <t>12/01/1996</t>
  </si>
  <si>
    <t>11/15/1964</t>
  </si>
  <si>
    <t>06/10/1982</t>
  </si>
  <si>
    <t>07/28/1994</t>
  </si>
  <si>
    <t>09/11/1962</t>
  </si>
  <si>
    <t>04/03/1989</t>
  </si>
  <si>
    <t>10/06/1946</t>
  </si>
  <si>
    <t>02/17/1991</t>
  </si>
  <si>
    <t>08/31/1924</t>
  </si>
  <si>
    <t>10/20/1978</t>
  </si>
  <si>
    <t>02/20/1963</t>
  </si>
  <si>
    <t>01/20/1983</t>
  </si>
  <si>
    <t>06/15/1977</t>
  </si>
  <si>
    <t>11/11/1988</t>
  </si>
  <si>
    <t>02/05/1945</t>
  </si>
  <si>
    <t>04/04/1942</t>
  </si>
  <si>
    <t>10/12/1976</t>
  </si>
  <si>
    <t>01/16/1954</t>
  </si>
  <si>
    <t>08/18/1979</t>
  </si>
  <si>
    <t>05/10/1970</t>
  </si>
  <si>
    <t>03/04/1993</t>
  </si>
  <si>
    <t>06/02/1989</t>
  </si>
  <si>
    <t>08/11/1989</t>
  </si>
  <si>
    <t>11/23/1991</t>
  </si>
  <si>
    <t>09/18/1976</t>
  </si>
  <si>
    <t>11/10/1960</t>
  </si>
  <si>
    <t>06/06/1977</t>
  </si>
  <si>
    <t>06/27/1972</t>
  </si>
  <si>
    <t>12/27/1979</t>
  </si>
  <si>
    <t>11/05/1979</t>
  </si>
  <si>
    <t>06/14/1952</t>
  </si>
  <si>
    <t>07/05/1990</t>
  </si>
  <si>
    <t>07/19/1964</t>
  </si>
  <si>
    <t>08/09/1963</t>
  </si>
  <si>
    <t>12/28/1954</t>
  </si>
  <si>
    <t>01/18/1993</t>
  </si>
  <si>
    <t>12/17/1971</t>
  </si>
  <si>
    <t>01/13/1968</t>
  </si>
  <si>
    <t>03/03/1970</t>
  </si>
  <si>
    <t>05/30/1959</t>
  </si>
  <si>
    <t>06/10/1955</t>
  </si>
  <si>
    <t>11/11/1976</t>
  </si>
  <si>
    <t>10/31/1978</t>
  </si>
  <si>
    <t>12/11/1997</t>
  </si>
  <si>
    <t>05/22/1963</t>
  </si>
  <si>
    <t>09/15/1979</t>
  </si>
  <si>
    <t>05/28/1968</t>
  </si>
  <si>
    <t>12/04/1980</t>
  </si>
  <si>
    <t>06/17/1995</t>
  </si>
  <si>
    <t>03/03/1977</t>
  </si>
  <si>
    <t>02/10/1981</t>
  </si>
  <si>
    <t>05/28/1969</t>
  </si>
  <si>
    <t>02/12/1964</t>
  </si>
  <si>
    <t>05/01/1996</t>
  </si>
  <si>
    <t>09/13/1981</t>
  </si>
  <si>
    <t>11/02/1961</t>
  </si>
  <si>
    <t>04/08/1955</t>
  </si>
  <si>
    <t>12/13/1981</t>
  </si>
  <si>
    <t>06/01/1967</t>
  </si>
  <si>
    <t>08/09/1976</t>
  </si>
  <si>
    <t>10/02/1949</t>
  </si>
  <si>
    <t>09/22/1968</t>
  </si>
  <si>
    <t>12/11/1966</t>
  </si>
  <si>
    <t>11/15/1968</t>
  </si>
  <si>
    <t>05/26/1963</t>
  </si>
  <si>
    <t>02/04/1961</t>
  </si>
  <si>
    <t>12/04/1971</t>
  </si>
  <si>
    <t>11/20/1969</t>
  </si>
  <si>
    <t>07/10/1995</t>
  </si>
  <si>
    <t>04/19/1948</t>
  </si>
  <si>
    <t>03/19/1973</t>
  </si>
  <si>
    <t>11/15/1965</t>
  </si>
  <si>
    <t>06/13/1951</t>
  </si>
  <si>
    <t>10/08/1955</t>
  </si>
  <si>
    <t>03/12/1954</t>
  </si>
  <si>
    <t>10/23/1973</t>
  </si>
  <si>
    <t>10/01/1978</t>
  </si>
  <si>
    <t>10/24/1962</t>
  </si>
  <si>
    <t>12/23/1955</t>
  </si>
  <si>
    <t>10/15/1965</t>
  </si>
  <si>
    <t>08/21/1952</t>
  </si>
  <si>
    <t>09/16/1952</t>
  </si>
  <si>
    <t>09/24/1941</t>
  </si>
  <si>
    <t>08/11/1945</t>
  </si>
  <si>
    <t>02/14/1946</t>
  </si>
  <si>
    <t>07/26/1962</t>
  </si>
  <si>
    <t>09/11/1989</t>
  </si>
  <si>
    <t>05/23/1963</t>
  </si>
  <si>
    <t>01/17/1956</t>
  </si>
  <si>
    <t>06/26/1965</t>
  </si>
  <si>
    <t>11/28/1963</t>
  </si>
  <si>
    <t>11/04/1949</t>
  </si>
  <si>
    <t>07/19/1955</t>
  </si>
  <si>
    <t>08/28/1955</t>
  </si>
  <si>
    <t>10/05/1941</t>
  </si>
  <si>
    <t>06/30/1989</t>
  </si>
  <si>
    <t>06/30/1954</t>
  </si>
  <si>
    <t>02/19/1990</t>
  </si>
  <si>
    <t>01/06/1977</t>
  </si>
  <si>
    <t>10/15/1953</t>
  </si>
  <si>
    <t>09/07/1990</t>
  </si>
  <si>
    <t>06/13/1955</t>
  </si>
  <si>
    <t>10/19/1980</t>
  </si>
  <si>
    <t>10/17/1981</t>
  </si>
  <si>
    <t>01/16/1960</t>
  </si>
  <si>
    <t>04/27/1979</t>
  </si>
  <si>
    <t>05/22/1951</t>
  </si>
  <si>
    <t>10/03/1961</t>
  </si>
  <si>
    <t>04/13/1972</t>
  </si>
  <si>
    <t>05/30/1981</t>
  </si>
  <si>
    <t>09/19/1971</t>
  </si>
  <si>
    <t>01/01/1971</t>
  </si>
  <si>
    <t>10/19/1941</t>
  </si>
  <si>
    <t>11/25/1975</t>
  </si>
  <si>
    <t>10/29/1934</t>
  </si>
  <si>
    <t>11/13/1952</t>
  </si>
  <si>
    <t>02/21/1960</t>
  </si>
  <si>
    <t>04/02/1967</t>
  </si>
  <si>
    <t>09/27/1962</t>
  </si>
  <si>
    <t>07/20/1962</t>
  </si>
  <si>
    <t>02/24/1989</t>
  </si>
  <si>
    <t>02/16/1962</t>
  </si>
  <si>
    <t>07/28/1980</t>
  </si>
  <si>
    <t>03/06/1949</t>
  </si>
  <si>
    <t>08/05/1973</t>
  </si>
  <si>
    <t>12/24/1984</t>
  </si>
  <si>
    <t>11/26/1951</t>
  </si>
  <si>
    <t>07/15/1971</t>
  </si>
  <si>
    <t>03/13/1953</t>
  </si>
  <si>
    <t>09/03/1960</t>
  </si>
  <si>
    <t>12/25/1962</t>
  </si>
  <si>
    <t>11/14/1953</t>
  </si>
  <si>
    <t>01/03/1983</t>
  </si>
  <si>
    <t>04/29/1959</t>
  </si>
  <si>
    <t>08/25/1982</t>
  </si>
  <si>
    <t>11/29/1948</t>
  </si>
  <si>
    <t>09/09/1967</t>
  </si>
  <si>
    <t>08/31/1956</t>
  </si>
  <si>
    <t>01/09/1977</t>
  </si>
  <si>
    <t>09/01/1980</t>
  </si>
  <si>
    <t>08/11/1939</t>
  </si>
  <si>
    <t>04/26/1976</t>
  </si>
  <si>
    <t>12/25/1957</t>
  </si>
  <si>
    <t>03/21/1950</t>
  </si>
  <si>
    <t>08/15/1969</t>
  </si>
  <si>
    <t>08/25/2017</t>
  </si>
  <si>
    <t>06/26/1968</t>
  </si>
  <si>
    <t>09/23/1957</t>
  </si>
  <si>
    <t>02/13/1964</t>
  </si>
  <si>
    <t>06/08/1972</t>
  </si>
  <si>
    <t>02/21/1959</t>
  </si>
  <si>
    <t>11/01/1956</t>
  </si>
  <si>
    <t>10/07/1996</t>
  </si>
  <si>
    <t>08/16/1952</t>
  </si>
  <si>
    <t>02/21/1986</t>
  </si>
  <si>
    <t>09/07/1975</t>
  </si>
  <si>
    <t>10/04/1973</t>
  </si>
  <si>
    <t>07/28/1942</t>
  </si>
  <si>
    <t>09/18/1971</t>
  </si>
  <si>
    <t>06/17/1978</t>
  </si>
  <si>
    <t>08/10/1960</t>
  </si>
  <si>
    <t>06/16/1961</t>
  </si>
  <si>
    <t>02/23/1945</t>
  </si>
  <si>
    <t>11/29/1985</t>
  </si>
  <si>
    <t>10/26/1966</t>
  </si>
  <si>
    <t>03/25/1953</t>
  </si>
  <si>
    <t>09/03/1965</t>
  </si>
  <si>
    <t>02/03/1976</t>
  </si>
  <si>
    <t>01/01/1988</t>
  </si>
  <si>
    <t>05/08/1964</t>
  </si>
  <si>
    <t>03/07/1962</t>
  </si>
  <si>
    <t>12/05/1979</t>
  </si>
  <si>
    <t>07/16/1971</t>
  </si>
  <si>
    <t>10/08/1981</t>
  </si>
  <si>
    <t>01/19/1969</t>
  </si>
  <si>
    <t>06/13/1963</t>
  </si>
  <si>
    <t>06/12/1961</t>
  </si>
  <si>
    <t>11/04/1956</t>
  </si>
  <si>
    <t>05/11/1957</t>
  </si>
  <si>
    <t>01/26/1974</t>
  </si>
  <si>
    <t>03/13/1977</t>
  </si>
  <si>
    <t>11/18/1961</t>
  </si>
  <si>
    <t>02/19/1958</t>
  </si>
  <si>
    <t>06/21/1964</t>
  </si>
  <si>
    <t>12/20/1962</t>
  </si>
  <si>
    <t>03/26/1994</t>
  </si>
  <si>
    <t>03/21/1981</t>
  </si>
  <si>
    <t>09/08/1974</t>
  </si>
  <si>
    <t>02/16/1964</t>
  </si>
  <si>
    <t>05/30/1939</t>
  </si>
  <si>
    <t>11/12/1961</t>
  </si>
  <si>
    <t>01/18/1959</t>
  </si>
  <si>
    <t>07/26/1978</t>
  </si>
  <si>
    <t>07/25/1992</t>
  </si>
  <si>
    <t>01/24/1978</t>
  </si>
  <si>
    <t>06/14/1966</t>
  </si>
  <si>
    <t>09/04/1965</t>
  </si>
  <si>
    <t>10/03/1972</t>
  </si>
  <si>
    <t>09/17/1992</t>
  </si>
  <si>
    <t>07/08/1943</t>
  </si>
  <si>
    <t>11/27/1995</t>
  </si>
  <si>
    <t>10/16/1978</t>
  </si>
  <si>
    <t>12/17/1984</t>
  </si>
  <si>
    <t>02/27/1960</t>
  </si>
  <si>
    <t>03/30/1985</t>
  </si>
  <si>
    <t>02/20/1975</t>
  </si>
  <si>
    <t>02/14/1974</t>
  </si>
  <si>
    <t>10/04/1943</t>
  </si>
  <si>
    <t>11/07/1994</t>
  </si>
  <si>
    <t>05/02/1930</t>
  </si>
  <si>
    <t>05/06/1986</t>
  </si>
  <si>
    <t>03/14/1982</t>
  </si>
  <si>
    <t>10/08/1947</t>
  </si>
  <si>
    <t>12/04/1961</t>
  </si>
  <si>
    <t>02/03/1986</t>
  </si>
  <si>
    <t>04/24/1943</t>
  </si>
  <si>
    <t>07/18/1965</t>
  </si>
  <si>
    <t>05/05/1980</t>
  </si>
  <si>
    <t>04/06/1982</t>
  </si>
  <si>
    <t>08/18/1988</t>
  </si>
  <si>
    <t>07/04/1982</t>
  </si>
  <si>
    <t>07/06/1985</t>
  </si>
  <si>
    <t>12/22/1971</t>
  </si>
  <si>
    <t>02/24/1958</t>
  </si>
  <si>
    <t>01/08/1967</t>
  </si>
  <si>
    <t>11/10/1982</t>
  </si>
  <si>
    <t>04/27/1985</t>
  </si>
  <si>
    <t>03/22/1988</t>
  </si>
  <si>
    <t>07/21/1973</t>
  </si>
  <si>
    <t>07/08/1971</t>
  </si>
  <si>
    <t>08/15/1933</t>
  </si>
  <si>
    <t>08/25/1976</t>
  </si>
  <si>
    <t>02/13/1944</t>
  </si>
  <si>
    <t>12/16/1974</t>
  </si>
  <si>
    <t>03/19/1984</t>
  </si>
  <si>
    <t>12/11/1991</t>
  </si>
  <si>
    <t>02/28/1966</t>
  </si>
  <si>
    <t>07/15/1979</t>
  </si>
  <si>
    <t>07/16/1989</t>
  </si>
  <si>
    <t>11/23/1947</t>
  </si>
  <si>
    <t>12/07/1958</t>
  </si>
  <si>
    <t>05/15/1973</t>
  </si>
  <si>
    <t>05/29/1968</t>
  </si>
  <si>
    <t>03/04/1937</t>
  </si>
  <si>
    <t>07/21/1980</t>
  </si>
  <si>
    <t>09/18/1977</t>
  </si>
  <si>
    <t>07/13/1973</t>
  </si>
  <si>
    <t>10/05/1973</t>
  </si>
  <si>
    <t>08/14/1955</t>
  </si>
  <si>
    <t>12/11/1947</t>
  </si>
  <si>
    <t>03/05/1977</t>
  </si>
  <si>
    <t>09/15/1970</t>
  </si>
  <si>
    <t>06/02/1963</t>
  </si>
  <si>
    <t>12/12/1991</t>
  </si>
  <si>
    <t>05/03/1996</t>
  </si>
  <si>
    <t>10/02/1956</t>
  </si>
  <si>
    <t>08/27/1998</t>
  </si>
  <si>
    <t>03/16/1968</t>
  </si>
  <si>
    <t>07/04/1975</t>
  </si>
  <si>
    <t>09/27/1963</t>
  </si>
  <si>
    <t>07/01/1973</t>
  </si>
  <si>
    <t>08/07/1975</t>
  </si>
  <si>
    <t>07/27/1960</t>
  </si>
  <si>
    <t>05/10/1968</t>
  </si>
  <si>
    <t>07/02/1955</t>
  </si>
  <si>
    <t>12/15/1953</t>
  </si>
  <si>
    <t>04/19/1991</t>
  </si>
  <si>
    <t>10/28/1985</t>
  </si>
  <si>
    <t>08/22/1986</t>
  </si>
  <si>
    <t>11/18/1956</t>
  </si>
  <si>
    <t>12/15/1989</t>
  </si>
  <si>
    <t>01/16/1953</t>
  </si>
  <si>
    <t>03/01/1982</t>
  </si>
  <si>
    <t>10/26/1983</t>
  </si>
  <si>
    <t>04/03/1954</t>
  </si>
  <si>
    <t>08/13/1980</t>
  </si>
  <si>
    <t>04/08/1963</t>
  </si>
  <si>
    <t>11/18/1943</t>
  </si>
  <si>
    <t>09/10/1989</t>
  </si>
  <si>
    <t>05/18/1946</t>
  </si>
  <si>
    <t>03/17/1978</t>
  </si>
  <si>
    <t>06/03/1961</t>
  </si>
  <si>
    <t>06/12/1994</t>
  </si>
  <si>
    <t>03/17/1973</t>
  </si>
  <si>
    <t>09/17/1951</t>
  </si>
  <si>
    <t>06/02/1973</t>
  </si>
  <si>
    <t>06/27/1970</t>
  </si>
  <si>
    <t>09/25/1982</t>
  </si>
  <si>
    <t>07/17/1936</t>
  </si>
  <si>
    <t>01/27/1963</t>
  </si>
  <si>
    <t>09/17/1963</t>
  </si>
  <si>
    <t>09/20/1966</t>
  </si>
  <si>
    <t>11/07/1977</t>
  </si>
  <si>
    <t>11/20/1964</t>
  </si>
  <si>
    <t>12/11/1977</t>
  </si>
  <si>
    <t>04/19/1956</t>
  </si>
  <si>
    <t>12/16/1950</t>
  </si>
  <si>
    <t>09/09/1991</t>
  </si>
  <si>
    <t>05/07/1971</t>
  </si>
  <si>
    <t>07/12/1977</t>
  </si>
  <si>
    <t>06/03/1979</t>
  </si>
  <si>
    <t>04/30/1999</t>
  </si>
  <si>
    <t>02/27/1957</t>
  </si>
  <si>
    <t>02/01/1975</t>
  </si>
  <si>
    <t>02/10/1969</t>
  </si>
  <si>
    <t>07/25/1972</t>
  </si>
  <si>
    <t>11/23/1977</t>
  </si>
  <si>
    <t>12/21/1995</t>
  </si>
  <si>
    <t>09/22/1956</t>
  </si>
  <si>
    <t>05/10/1957</t>
  </si>
  <si>
    <t>04/07/1989</t>
  </si>
  <si>
    <t>09/13/1964</t>
  </si>
  <si>
    <t>05/31/1971</t>
  </si>
  <si>
    <t>05/23/1973</t>
  </si>
  <si>
    <t>05/10/1982</t>
  </si>
  <si>
    <t>06/07/1987</t>
  </si>
  <si>
    <t>08/05/1935</t>
  </si>
  <si>
    <t>09/04/1963</t>
  </si>
  <si>
    <t>10/03/1966</t>
  </si>
  <si>
    <t>01/21/1954</t>
  </si>
  <si>
    <t>06/29/1959</t>
  </si>
  <si>
    <t>11/10/1955</t>
  </si>
  <si>
    <t>10/08/1983</t>
  </si>
  <si>
    <t>09/25/1990</t>
  </si>
  <si>
    <t>09/03/1953</t>
  </si>
  <si>
    <t>03/14/1989</t>
  </si>
  <si>
    <t>07/03/1935</t>
  </si>
  <si>
    <t>01/18/1964</t>
  </si>
  <si>
    <t>05/20/1958</t>
  </si>
  <si>
    <t>01/03/1975</t>
  </si>
  <si>
    <t>07/22/1968</t>
  </si>
  <si>
    <t>09/26/1959</t>
  </si>
  <si>
    <t>07/21/1985</t>
  </si>
  <si>
    <t>02/11/1951</t>
  </si>
  <si>
    <t>01/26/1981</t>
  </si>
  <si>
    <t>06/16/1943</t>
  </si>
  <si>
    <t>08/12/1939</t>
  </si>
  <si>
    <t>01/25/1988</t>
  </si>
  <si>
    <t>04/14/1936</t>
  </si>
  <si>
    <t>05/21/1975</t>
  </si>
  <si>
    <t>01/28/1989</t>
  </si>
  <si>
    <t>11/25/1966</t>
  </si>
  <si>
    <t>07/03/1989</t>
  </si>
  <si>
    <t>02/01/1953</t>
  </si>
  <si>
    <t>06/02/1974</t>
  </si>
  <si>
    <t>10/08/1965</t>
  </si>
  <si>
    <t>10/20/1959</t>
  </si>
  <si>
    <t>01/15/1958</t>
  </si>
  <si>
    <t>04/16/1990</t>
  </si>
  <si>
    <t>04/05/1969</t>
  </si>
  <si>
    <t>08/10/1973</t>
  </si>
  <si>
    <t>10/08/1954</t>
  </si>
  <si>
    <t>07/17/1986</t>
  </si>
  <si>
    <t>01/12/1992</t>
  </si>
  <si>
    <t>05/25/1980</t>
  </si>
  <si>
    <t>05/26/1990</t>
  </si>
  <si>
    <t>07/27/1990</t>
  </si>
  <si>
    <t>12/31/1951</t>
  </si>
  <si>
    <t>01/19/1990</t>
  </si>
  <si>
    <t>10/08/1962</t>
  </si>
  <si>
    <t>02/02/1966</t>
  </si>
  <si>
    <t>07/27/1978</t>
  </si>
  <si>
    <t>03/26/1936</t>
  </si>
  <si>
    <t>10/03/1977</t>
  </si>
  <si>
    <t>08/21/1962</t>
  </si>
  <si>
    <t>07/08/1954</t>
  </si>
  <si>
    <t>02/14/1994</t>
  </si>
  <si>
    <t>04/15/1988</t>
  </si>
  <si>
    <t>10/31/1949</t>
  </si>
  <si>
    <t>12/20/1970</t>
  </si>
  <si>
    <t>12/06/1955</t>
  </si>
  <si>
    <t>04/07/1986</t>
  </si>
  <si>
    <t>02/15/1980</t>
  </si>
  <si>
    <t>11/17/1998</t>
  </si>
  <si>
    <t>03/23/1962</t>
  </si>
  <si>
    <t>05/21/1984</t>
  </si>
  <si>
    <t>07/03/1977</t>
  </si>
  <si>
    <t>10/06/1979</t>
  </si>
  <si>
    <t>02/18/1981</t>
  </si>
  <si>
    <t>01/21/1959</t>
  </si>
  <si>
    <t>11/13/1943</t>
  </si>
  <si>
    <t>10/28/1978</t>
  </si>
  <si>
    <t>09/05/1958</t>
  </si>
  <si>
    <t>05/06/1977</t>
  </si>
  <si>
    <t>12/09/1966</t>
  </si>
  <si>
    <t>12/03/1969</t>
  </si>
  <si>
    <t>11/06/1969</t>
  </si>
  <si>
    <t>12/20/1989</t>
  </si>
  <si>
    <t>06/07/1961</t>
  </si>
  <si>
    <t>11/26/1976</t>
  </si>
  <si>
    <t>12/16/1978</t>
  </si>
  <si>
    <t>03/13/1984</t>
  </si>
  <si>
    <t>08/28/1953</t>
  </si>
  <si>
    <t>08/24/1962</t>
  </si>
  <si>
    <t>12/29/1952</t>
  </si>
  <si>
    <t>06/28/1994</t>
  </si>
  <si>
    <t>09/26/1965</t>
  </si>
  <si>
    <t>12/07/1962</t>
  </si>
  <si>
    <t>07/28/1991</t>
  </si>
  <si>
    <t>12/14/1957</t>
  </si>
  <si>
    <t>06/01/1970</t>
  </si>
  <si>
    <t>01/02/1955</t>
  </si>
  <si>
    <t>02/20/1977</t>
  </si>
  <si>
    <t>09/30/1954</t>
  </si>
  <si>
    <t>04/22/1980</t>
  </si>
  <si>
    <t>07/01/1940</t>
  </si>
  <si>
    <t>11/11/1980</t>
  </si>
  <si>
    <t>07/24/1957</t>
  </si>
  <si>
    <t>04/14/1955</t>
  </si>
  <si>
    <t>02/02/1979</t>
  </si>
  <si>
    <t>01/10/1973</t>
  </si>
  <si>
    <t>06/01/1981</t>
  </si>
  <si>
    <t>07/26/1955</t>
  </si>
  <si>
    <t>03/15/1987</t>
  </si>
  <si>
    <t>12/22/1967</t>
  </si>
  <si>
    <t>05/07/1977</t>
  </si>
  <si>
    <t>12/22/1966</t>
  </si>
  <si>
    <t>07/22/1960</t>
  </si>
  <si>
    <t>10/20/1949</t>
  </si>
  <si>
    <t>08/14/1973</t>
  </si>
  <si>
    <t>01/27/1968</t>
  </si>
  <si>
    <t>02/05/1985</t>
  </si>
  <si>
    <t>07/08/1985</t>
  </si>
  <si>
    <t>12/28/1992</t>
  </si>
  <si>
    <t>02/27/1964</t>
  </si>
  <si>
    <t>02/06/1946</t>
  </si>
  <si>
    <t>11/27/1950</t>
  </si>
  <si>
    <t>01/02/1954</t>
  </si>
  <si>
    <t>12/01/1959</t>
  </si>
  <si>
    <t>04/21/1956</t>
  </si>
  <si>
    <t>12/09/1960</t>
  </si>
  <si>
    <t>09/03/1984</t>
  </si>
  <si>
    <t>05/05/1963</t>
  </si>
  <si>
    <t>08/13/1952</t>
  </si>
  <si>
    <t>08/11/1967</t>
  </si>
  <si>
    <t>01/28/1988</t>
  </si>
  <si>
    <t>05/18/1967</t>
  </si>
  <si>
    <t>01/08/1961</t>
  </si>
  <si>
    <t>07/17/1969</t>
  </si>
  <si>
    <t>08/16/1951</t>
  </si>
  <si>
    <t>04/20/1966</t>
  </si>
  <si>
    <t>01/22/1969</t>
  </si>
  <si>
    <t>11/27/1966</t>
  </si>
  <si>
    <t>08/09/1982</t>
  </si>
  <si>
    <t>11/09/1956</t>
  </si>
  <si>
    <t>04/18/1969</t>
  </si>
  <si>
    <t>11/24/1937</t>
  </si>
  <si>
    <t>07/04/1993</t>
  </si>
  <si>
    <t>08/12/1978</t>
  </si>
  <si>
    <t>01/02/1958</t>
  </si>
  <si>
    <t>09/16/1955</t>
  </si>
  <si>
    <t>02/03/1947</t>
  </si>
  <si>
    <t>12/31/1966</t>
  </si>
  <si>
    <t>12/24/1972</t>
  </si>
  <si>
    <t>01/09/1988</t>
  </si>
  <si>
    <t>08/04/1935</t>
  </si>
  <si>
    <t>11/09/1983</t>
  </si>
  <si>
    <t>03/23/1995</t>
  </si>
  <si>
    <t>04/05/1981</t>
  </si>
  <si>
    <t>06/04/1940</t>
  </si>
  <si>
    <t>04/15/1944</t>
  </si>
  <si>
    <t>01/21/1961</t>
  </si>
  <si>
    <t>12/01/1954</t>
  </si>
  <si>
    <t>12/31/1985</t>
  </si>
  <si>
    <t>06/19/1956</t>
  </si>
  <si>
    <t>05/15/1937</t>
  </si>
  <si>
    <t>08/16/1990</t>
  </si>
  <si>
    <t>06/15/1959</t>
  </si>
  <si>
    <t>01/15/1978</t>
  </si>
  <si>
    <t>10/28/1993</t>
  </si>
  <si>
    <t>12/06/1969</t>
  </si>
  <si>
    <t>04/17/1991</t>
  </si>
  <si>
    <t>07/06/1969</t>
  </si>
  <si>
    <t>03/12/1981</t>
  </si>
  <si>
    <t>04/03/1972</t>
  </si>
  <si>
    <t>06/23/1987</t>
  </si>
  <si>
    <t>09/26/1984</t>
  </si>
  <si>
    <t>01/13/1952</t>
  </si>
  <si>
    <t>09/21/1961</t>
  </si>
  <si>
    <t>08/22/1971</t>
  </si>
  <si>
    <t>11/09/1951</t>
  </si>
  <si>
    <t>11/28/1967</t>
  </si>
  <si>
    <t>07/20/1923</t>
  </si>
  <si>
    <t>03/13/1934</t>
  </si>
  <si>
    <t>10/18/1958</t>
  </si>
  <si>
    <t>07/11/1970</t>
  </si>
  <si>
    <t>10/05/1982</t>
  </si>
  <si>
    <t>11/24/1974</t>
  </si>
  <si>
    <t>04/23/1965</t>
  </si>
  <si>
    <t>02/06/1984</t>
  </si>
  <si>
    <t>10/07/1950</t>
  </si>
  <si>
    <t>12/10/1981</t>
  </si>
  <si>
    <t>05/14/1976</t>
  </si>
  <si>
    <t>03/21/1954</t>
  </si>
  <si>
    <t>11/12/1956</t>
  </si>
  <si>
    <t>01/10/1966</t>
  </si>
  <si>
    <t>03/31/1979</t>
  </si>
  <si>
    <t>06/11/1960</t>
  </si>
  <si>
    <t>12/06/1956</t>
  </si>
  <si>
    <t>09/15/1992</t>
  </si>
  <si>
    <t>06/11/1957</t>
  </si>
  <si>
    <t>04/22/1943</t>
  </si>
  <si>
    <t>06/24/1962</t>
  </si>
  <si>
    <t>10/27/1982</t>
  </si>
  <si>
    <t>06/29/1964</t>
  </si>
  <si>
    <t>08/15/1990</t>
  </si>
  <si>
    <t>03/08/1968</t>
  </si>
  <si>
    <t>04/29/1969</t>
  </si>
  <si>
    <t>06/29/1980</t>
  </si>
  <si>
    <t>10/14/1969</t>
  </si>
  <si>
    <t>03/17/1977</t>
  </si>
  <si>
    <t>06/16/1979</t>
  </si>
  <si>
    <t>02/10/1954</t>
  </si>
  <si>
    <t>09/08/1980</t>
  </si>
  <si>
    <t>12/30/1944</t>
  </si>
  <si>
    <t>10/31/1975</t>
  </si>
  <si>
    <t>04/16/1975</t>
  </si>
  <si>
    <t>05/09/1989</t>
  </si>
  <si>
    <t>10/09/1949</t>
  </si>
  <si>
    <t>05/27/1944</t>
  </si>
  <si>
    <t>09/01/1978</t>
  </si>
  <si>
    <t>08/11/1983</t>
  </si>
  <si>
    <t>05/04/1991</t>
  </si>
  <si>
    <t>01/01/1989</t>
  </si>
  <si>
    <t>08/22/1981</t>
  </si>
  <si>
    <t>08/29/1964</t>
  </si>
  <si>
    <t>07/06/1989</t>
  </si>
  <si>
    <t>06/15/1983</t>
  </si>
  <si>
    <t>03/07/1980</t>
  </si>
  <si>
    <t>11/18/1971</t>
  </si>
  <si>
    <t>09/19/1919</t>
  </si>
  <si>
    <t>04/07/1972</t>
  </si>
  <si>
    <t>12/10/1987</t>
  </si>
  <si>
    <t>04/27/1967</t>
  </si>
  <si>
    <t>04/08/1990</t>
  </si>
  <si>
    <t>10/31/1990</t>
  </si>
  <si>
    <t>08/16/1981</t>
  </si>
  <si>
    <t>11/23/1990</t>
  </si>
  <si>
    <t>10/16/1953</t>
  </si>
  <si>
    <t>06/02/1958</t>
  </si>
  <si>
    <t>09/29/1952</t>
  </si>
  <si>
    <t>02/11/1962</t>
  </si>
  <si>
    <t>02/24/1964</t>
  </si>
  <si>
    <t>05/05/1998</t>
  </si>
  <si>
    <t>10/27/1965</t>
  </si>
  <si>
    <t>12/06/1964</t>
  </si>
  <si>
    <t>08/10/1956</t>
  </si>
  <si>
    <t>11/17/1969</t>
  </si>
  <si>
    <t>11/11/1970</t>
  </si>
  <si>
    <t>11/30/1977</t>
  </si>
  <si>
    <t>09/17/1985</t>
  </si>
  <si>
    <t>06/07/1966</t>
  </si>
  <si>
    <t>08/12/1985</t>
  </si>
  <si>
    <t>11/27/1968</t>
  </si>
  <si>
    <t>05/15/1976</t>
  </si>
  <si>
    <t>10/30/1960</t>
  </si>
  <si>
    <t>10/06/1982</t>
  </si>
  <si>
    <t>01/18/1980</t>
  </si>
  <si>
    <t>06/02/1967</t>
  </si>
  <si>
    <t>08/12/1952</t>
  </si>
  <si>
    <t>03/07/1978</t>
  </si>
  <si>
    <t>12/19/1986</t>
  </si>
  <si>
    <t>08/21/1984</t>
  </si>
  <si>
    <t>03/25/1973</t>
  </si>
  <si>
    <t>07/01/1968</t>
  </si>
  <si>
    <t>08/31/1977</t>
  </si>
  <si>
    <t>07/20/1986</t>
  </si>
  <si>
    <t>10/01/1970</t>
  </si>
  <si>
    <t>11/14/1943</t>
  </si>
  <si>
    <t>01/15/1982</t>
  </si>
  <si>
    <t>12/24/1976</t>
  </si>
  <si>
    <t>08/11/1964</t>
  </si>
  <si>
    <t>05/30/1931</t>
  </si>
  <si>
    <t>06/01/1964</t>
  </si>
  <si>
    <t>05/11/1960</t>
  </si>
  <si>
    <t>05/11/1982</t>
  </si>
  <si>
    <t>04/29/1961</t>
  </si>
  <si>
    <t>08/04/1962</t>
  </si>
  <si>
    <t>01/01/1977</t>
  </si>
  <si>
    <t>03/21/1989</t>
  </si>
  <si>
    <t>09/14/1955</t>
  </si>
  <si>
    <t>05/10/1973</t>
  </si>
  <si>
    <t>11/27/1997</t>
  </si>
  <si>
    <t>01/19/1985</t>
  </si>
  <si>
    <t>01/30/1992</t>
  </si>
  <si>
    <t>09/05/1976</t>
  </si>
  <si>
    <t>06/04/1989</t>
  </si>
  <si>
    <t>06/29/1962</t>
  </si>
  <si>
    <t>09/07/1981</t>
  </si>
  <si>
    <t>02/25/1975</t>
  </si>
  <si>
    <t>11/30/1941</t>
  </si>
  <si>
    <t>07/31/1963</t>
  </si>
  <si>
    <t>04/21/1981</t>
  </si>
  <si>
    <t>07/23/1970</t>
  </si>
  <si>
    <t>08/08/1957</t>
  </si>
  <si>
    <t>05/01/1975</t>
  </si>
  <si>
    <t>08/24/1949</t>
  </si>
  <si>
    <t>03/24/1944</t>
  </si>
  <si>
    <t>09/20/1955</t>
  </si>
  <si>
    <t>02/05/1962</t>
  </si>
  <si>
    <t>02/02/1957</t>
  </si>
  <si>
    <t>03/31/1960</t>
  </si>
  <si>
    <t>09/06/1973</t>
  </si>
  <si>
    <t>12/29/1966</t>
  </si>
  <si>
    <t>02/02/1974</t>
  </si>
  <si>
    <t>03/21/1945</t>
  </si>
  <si>
    <t>05/26/1940</t>
  </si>
  <si>
    <t>08/11/1962</t>
  </si>
  <si>
    <t>11/28/1971</t>
  </si>
  <si>
    <t>06/02/1980</t>
  </si>
  <si>
    <t>02/26/1995</t>
  </si>
  <si>
    <t>05/25/1936</t>
  </si>
  <si>
    <t>03/21/1994</t>
  </si>
  <si>
    <t>01/26/1966</t>
  </si>
  <si>
    <t>05/30/1985</t>
  </si>
  <si>
    <t>05/24/1983</t>
  </si>
  <si>
    <t>11/11/1990</t>
  </si>
  <si>
    <t>09/27/1953</t>
  </si>
  <si>
    <t>01/11/1974</t>
  </si>
  <si>
    <t>05/13/1950</t>
  </si>
  <si>
    <t>10/24/1948</t>
  </si>
  <si>
    <t>10/28/1944</t>
  </si>
  <si>
    <t>06/02/1987</t>
  </si>
  <si>
    <t>10/10/1956</t>
  </si>
  <si>
    <t>04/03/1941</t>
  </si>
  <si>
    <t>09/05/1966</t>
  </si>
  <si>
    <t>12/25/1977</t>
  </si>
  <si>
    <t>08/07/1989</t>
  </si>
  <si>
    <t>11/18/1977</t>
  </si>
  <si>
    <t>08/31/1963</t>
  </si>
  <si>
    <t>10/02/1961</t>
  </si>
  <si>
    <t>08/06/1997</t>
  </si>
  <si>
    <t>10/16/1984</t>
  </si>
  <si>
    <t>10/08/1967</t>
  </si>
  <si>
    <t>03/31/1965</t>
  </si>
  <si>
    <t>01/23/1951</t>
  </si>
  <si>
    <t>03/04/1990</t>
  </si>
  <si>
    <t>02/12/1953</t>
  </si>
  <si>
    <t>08/02/1950</t>
  </si>
  <si>
    <t>03/22/1961</t>
  </si>
  <si>
    <t>10/14/1939</t>
  </si>
  <si>
    <t>02/04/1953</t>
  </si>
  <si>
    <t>07/17/1959</t>
  </si>
  <si>
    <t>02/22/1994</t>
  </si>
  <si>
    <t>01/27/1986</t>
  </si>
  <si>
    <t>05/27/1962</t>
  </si>
  <si>
    <t>03/23/1975</t>
  </si>
  <si>
    <t>08/01/1934</t>
  </si>
  <si>
    <t>06/27/1975</t>
  </si>
  <si>
    <t>04/11/1946</t>
  </si>
  <si>
    <t>07/25/1989</t>
  </si>
  <si>
    <t>12/24/1946</t>
  </si>
  <si>
    <t>11/30/1969</t>
  </si>
  <si>
    <t>10/22/1956</t>
  </si>
  <si>
    <t>11/21/1984</t>
  </si>
  <si>
    <t>08/20/1994</t>
  </si>
  <si>
    <t>03/27/1963</t>
  </si>
  <si>
    <t>08/19/1977</t>
  </si>
  <si>
    <t>10/25/1972</t>
  </si>
  <si>
    <t>06/05/1970</t>
  </si>
  <si>
    <t>09/10/1975</t>
  </si>
  <si>
    <t>04/20/1994</t>
  </si>
  <si>
    <t>01/11/1968</t>
  </si>
  <si>
    <t>01/05/1969</t>
  </si>
  <si>
    <t>07/04/1962</t>
  </si>
  <si>
    <t>08/28/1980</t>
  </si>
  <si>
    <t>09/24/1978</t>
  </si>
  <si>
    <t>12/16/1953</t>
  </si>
  <si>
    <t>09/25/1971</t>
  </si>
  <si>
    <t>08/23/1989</t>
  </si>
  <si>
    <t>03/23/1955</t>
  </si>
  <si>
    <t>06/19/1971</t>
  </si>
  <si>
    <t>02/21/1966</t>
  </si>
  <si>
    <t>11/08/1961</t>
  </si>
  <si>
    <t>05/15/1985</t>
  </si>
  <si>
    <t>09/16/1950</t>
  </si>
  <si>
    <t>11/29/1964</t>
  </si>
  <si>
    <t>09/19/1964</t>
  </si>
  <si>
    <t>08/10/1974</t>
  </si>
  <si>
    <t>09/02/1969</t>
  </si>
  <si>
    <t>08/09/1964</t>
  </si>
  <si>
    <t>03/22/1970</t>
  </si>
  <si>
    <t>09/03/1977</t>
  </si>
  <si>
    <t>10/28/1959</t>
  </si>
  <si>
    <t>03/13/1941</t>
  </si>
  <si>
    <t>06/06/1974</t>
  </si>
  <si>
    <t>11/20/1966</t>
  </si>
  <si>
    <t>07/07/1943</t>
  </si>
  <si>
    <t>04/25/1941</t>
  </si>
  <si>
    <t>12/22/1989</t>
  </si>
  <si>
    <t>02/07/1987</t>
  </si>
  <si>
    <t>05/05/1986</t>
  </si>
  <si>
    <t>02/18/1979</t>
  </si>
  <si>
    <t>12/28/1989</t>
  </si>
  <si>
    <t>06/17/1986</t>
  </si>
  <si>
    <t>10/02/1966</t>
  </si>
  <si>
    <t>06/02/1982</t>
  </si>
  <si>
    <t>10/12/1989</t>
  </si>
  <si>
    <t>01/18/1984</t>
  </si>
  <si>
    <t>09/28/1962</t>
  </si>
  <si>
    <t>09/11/1975</t>
  </si>
  <si>
    <t>12/03/1968</t>
  </si>
  <si>
    <t>01/08/1962</t>
  </si>
  <si>
    <t>04/21/1959</t>
  </si>
  <si>
    <t>07/15/1945</t>
  </si>
  <si>
    <t>05/01/1956</t>
  </si>
  <si>
    <t>06/06/1956</t>
  </si>
  <si>
    <t>05/07/1983</t>
  </si>
  <si>
    <t>11/13/1977</t>
  </si>
  <si>
    <t>12/13/1963</t>
  </si>
  <si>
    <t>09/02/1972</t>
  </si>
  <si>
    <t>11/11/1960</t>
  </si>
  <si>
    <t>10/18/1966</t>
  </si>
  <si>
    <t>07/19/1968</t>
  </si>
  <si>
    <t>07/12/1962</t>
  </si>
  <si>
    <t>01/04/1984</t>
  </si>
  <si>
    <t>11/10/1966</t>
  </si>
  <si>
    <t>12/30/1964</t>
  </si>
  <si>
    <t>10/08/1960</t>
  </si>
  <si>
    <t>08/11/1975</t>
  </si>
  <si>
    <t>08/27/1971</t>
  </si>
  <si>
    <t>06/26/1955</t>
  </si>
  <si>
    <t>07/02/1968</t>
  </si>
  <si>
    <t>06/16/1962</t>
  </si>
  <si>
    <t>07/24/1986</t>
  </si>
  <si>
    <t>03/20/1974</t>
  </si>
  <si>
    <t>09/05/1977</t>
  </si>
  <si>
    <t>10/11/1971</t>
  </si>
  <si>
    <t>12/04/1985</t>
  </si>
  <si>
    <t>07/27/1967</t>
  </si>
  <si>
    <t>04/27/1984</t>
  </si>
  <si>
    <t>01/26/1969</t>
  </si>
  <si>
    <t>02/22/1984</t>
  </si>
  <si>
    <t>09/09/1982</t>
  </si>
  <si>
    <t>10/07/1968</t>
  </si>
  <si>
    <t>06/18/1969</t>
  </si>
  <si>
    <t>10/11/2000</t>
  </si>
  <si>
    <t>09/11/1990</t>
  </si>
  <si>
    <t>09/23/1970</t>
  </si>
  <si>
    <t>06/05/1951</t>
  </si>
  <si>
    <t>01/24/1952</t>
  </si>
  <si>
    <t>06/08/1965</t>
  </si>
  <si>
    <t>11/16/1967</t>
  </si>
  <si>
    <t>12/01/1975</t>
  </si>
  <si>
    <t>09/02/1953</t>
  </si>
  <si>
    <t>12/22/1979</t>
  </si>
  <si>
    <t>09/22/1962</t>
  </si>
  <si>
    <t>05/10/1971</t>
  </si>
  <si>
    <t>10/31/1980</t>
  </si>
  <si>
    <t>10/23/1956</t>
  </si>
  <si>
    <t>11/12/1973</t>
  </si>
  <si>
    <t>11/21/1986</t>
  </si>
  <si>
    <t>11/09/1959</t>
  </si>
  <si>
    <t>05/03/1960</t>
  </si>
  <si>
    <t>07/08/1963</t>
  </si>
  <si>
    <t>11/29/1957</t>
  </si>
  <si>
    <t>11/18/1969</t>
  </si>
  <si>
    <t>12/03/1973</t>
  </si>
  <si>
    <t>05/14/1965</t>
  </si>
  <si>
    <t>11/10/1991</t>
  </si>
  <si>
    <t>12/05/1975</t>
  </si>
  <si>
    <t>11/29/1973</t>
  </si>
  <si>
    <t>07/20/1934</t>
  </si>
  <si>
    <t>04/19/1964</t>
  </si>
  <si>
    <t>07/25/1970</t>
  </si>
  <si>
    <t>10/11/1946</t>
  </si>
  <si>
    <t>08/22/1968</t>
  </si>
  <si>
    <t>01/10/1955</t>
  </si>
  <si>
    <t>01/21/1962</t>
  </si>
  <si>
    <t>04/01/1932</t>
  </si>
  <si>
    <t>09/28/1988</t>
  </si>
  <si>
    <t>03/27/1977</t>
  </si>
  <si>
    <t>03/31/1977</t>
  </si>
  <si>
    <t>11/15/1978</t>
  </si>
  <si>
    <t>08/12/1977</t>
  </si>
  <si>
    <t>08/18/1990</t>
  </si>
  <si>
    <t>06/18/1971</t>
  </si>
  <si>
    <t>11/02/2000</t>
  </si>
  <si>
    <t>02/19/1945</t>
  </si>
  <si>
    <t>10/07/1948</t>
  </si>
  <si>
    <t>04/24/1959</t>
  </si>
  <si>
    <t>05/05/1993</t>
  </si>
  <si>
    <t>09/04/1959</t>
  </si>
  <si>
    <t>10/20/1987</t>
  </si>
  <si>
    <t>10/24/1968</t>
  </si>
  <si>
    <t>04/14/1963</t>
  </si>
  <si>
    <t>04/22/1977</t>
  </si>
  <si>
    <t>03/14/1968</t>
  </si>
  <si>
    <t>01/24/1993</t>
  </si>
  <si>
    <t>01/14/1970</t>
  </si>
  <si>
    <t>07/15/1968</t>
  </si>
  <si>
    <t>07/16/1975</t>
  </si>
  <si>
    <t>04/09/1987</t>
  </si>
  <si>
    <t>11/07/1979</t>
  </si>
  <si>
    <t>06/03/1991</t>
  </si>
  <si>
    <t>07/24/1941</t>
  </si>
  <si>
    <t>04/07/1959</t>
  </si>
  <si>
    <t>06/08/1958</t>
  </si>
  <si>
    <t>07/24/1945</t>
  </si>
  <si>
    <t>11/22/1946</t>
  </si>
  <si>
    <t>06/28/1950</t>
  </si>
  <si>
    <t>04/28/1965</t>
  </si>
  <si>
    <t>01/10/1972</t>
  </si>
  <si>
    <t>10/17/1960</t>
  </si>
  <si>
    <t>03/23/1988</t>
  </si>
  <si>
    <t>07/08/1952</t>
  </si>
  <si>
    <t>08/02/1961</t>
  </si>
  <si>
    <t>11/08/1976</t>
  </si>
  <si>
    <t>01/06/1986</t>
  </si>
  <si>
    <t>11/12/1982</t>
  </si>
  <si>
    <t>08/26/1955</t>
  </si>
  <si>
    <t>12/10/1997</t>
  </si>
  <si>
    <t>06/14/1957</t>
  </si>
  <si>
    <t>01/25/1970</t>
  </si>
  <si>
    <t>08/31/1993</t>
  </si>
  <si>
    <t>11/03/1978</t>
  </si>
  <si>
    <t>06/07/1990</t>
  </si>
  <si>
    <t>08/20/1995</t>
  </si>
  <si>
    <t>08/03/1958</t>
  </si>
  <si>
    <t>07/03/1992</t>
  </si>
  <si>
    <t>07/27/1946</t>
  </si>
  <si>
    <t>05/06/1965</t>
  </si>
  <si>
    <t>10/30/1957</t>
  </si>
  <si>
    <t>03/12/1982</t>
  </si>
  <si>
    <t>03/30/1975</t>
  </si>
  <si>
    <t>03/26/1954</t>
  </si>
  <si>
    <t>09/22/1975</t>
  </si>
  <si>
    <t>05/10/1972</t>
  </si>
  <si>
    <t>02/20/1950</t>
  </si>
  <si>
    <t>03/16/1963</t>
  </si>
  <si>
    <t>01/02/1988</t>
  </si>
  <si>
    <t>08/13/1973</t>
  </si>
  <si>
    <t>01/14/1955</t>
  </si>
  <si>
    <t>06/11/1982</t>
  </si>
  <si>
    <t>08/04/1964</t>
  </si>
  <si>
    <t>01/21/1986</t>
  </si>
  <si>
    <t>03/05/1962</t>
  </si>
  <si>
    <t>08/16/1972</t>
  </si>
  <si>
    <t>06/07/1955</t>
  </si>
  <si>
    <t>11/11/1971</t>
  </si>
  <si>
    <t>10/23/1979</t>
  </si>
  <si>
    <t>03/01/1985</t>
  </si>
  <si>
    <t>10/04/1983</t>
  </si>
  <si>
    <t>10/10/1964</t>
  </si>
  <si>
    <t>11/03/1965</t>
  </si>
  <si>
    <t>07/02/1990</t>
  </si>
  <si>
    <t>04/09/1988</t>
  </si>
  <si>
    <t>10/18/1956</t>
  </si>
  <si>
    <t>09/06/1990</t>
  </si>
  <si>
    <t>05/02/1962</t>
  </si>
  <si>
    <t>01/27/1998</t>
  </si>
  <si>
    <t>11/24/1958</t>
  </si>
  <si>
    <t>10/01/1955</t>
  </si>
  <si>
    <t>02/07/1977</t>
  </si>
  <si>
    <t>08/28/1996</t>
  </si>
  <si>
    <t>04/04/1954</t>
  </si>
  <si>
    <t>11/10/1981</t>
  </si>
  <si>
    <t>01/15/1973</t>
  </si>
  <si>
    <t>06/14/1975</t>
  </si>
  <si>
    <t>10/04/1969</t>
  </si>
  <si>
    <t>07/06/1986</t>
  </si>
  <si>
    <t>08/03/1988</t>
  </si>
  <si>
    <t>10/05/1942</t>
  </si>
  <si>
    <t>11/12/1955</t>
  </si>
  <si>
    <t>11/19/1973</t>
  </si>
  <si>
    <t>09/01/1984</t>
  </si>
  <si>
    <t>08/27/1974</t>
  </si>
  <si>
    <t>01/17/1989</t>
  </si>
  <si>
    <t>11/03/1959</t>
  </si>
  <si>
    <t>10/08/1950</t>
  </si>
  <si>
    <t>09/10/1968</t>
  </si>
  <si>
    <t>06/26/1980</t>
  </si>
  <si>
    <t>05/17/1975</t>
  </si>
  <si>
    <t>07/01/1977</t>
  </si>
  <si>
    <t>09/01/1994</t>
  </si>
  <si>
    <t>10/16/1985</t>
  </si>
  <si>
    <t>02/04/1978</t>
  </si>
  <si>
    <t>10/23/1987</t>
  </si>
  <si>
    <t>05/08/1969</t>
  </si>
  <si>
    <t>09/29/1987</t>
  </si>
  <si>
    <t>07/11/1974</t>
  </si>
  <si>
    <t>10/30/1985</t>
  </si>
  <si>
    <t>06/29/1989</t>
  </si>
  <si>
    <t>06/12/1978</t>
  </si>
  <si>
    <t>06/13/1937</t>
  </si>
  <si>
    <t>12/24/1948</t>
  </si>
  <si>
    <t>06/01/1961</t>
  </si>
  <si>
    <t>12/10/1970</t>
  </si>
  <si>
    <t>06/03/1965</t>
  </si>
  <si>
    <t>02/18/1983</t>
  </si>
  <si>
    <t>07/07/1960</t>
  </si>
  <si>
    <t>01/23/1985</t>
  </si>
  <si>
    <t>01/30/1938</t>
  </si>
  <si>
    <t>03/26/1962</t>
  </si>
  <si>
    <t>08/20/1986</t>
  </si>
  <si>
    <t>07/30/1963</t>
  </si>
  <si>
    <t>03/18/1953</t>
  </si>
  <si>
    <t>11/12/1971</t>
  </si>
  <si>
    <t>06/19/1968</t>
  </si>
  <si>
    <t>03/24/1978</t>
  </si>
  <si>
    <t>07/20/1958</t>
  </si>
  <si>
    <t>09/10/1939</t>
  </si>
  <si>
    <t>06/09/1935</t>
  </si>
  <si>
    <t>06/07/1944</t>
  </si>
  <si>
    <t>07/30/1971</t>
  </si>
  <si>
    <t>09/07/1937</t>
  </si>
  <si>
    <t>02/28/1954</t>
  </si>
  <si>
    <t>08/04/1942</t>
  </si>
  <si>
    <t>01/19/1967</t>
  </si>
  <si>
    <t>08/24/1950</t>
  </si>
  <si>
    <t>05/16/1970</t>
  </si>
  <si>
    <t>09/16/1941</t>
  </si>
  <si>
    <t>04/17/1990</t>
  </si>
  <si>
    <t>01/15/1956</t>
  </si>
  <si>
    <t>04/11/1977</t>
  </si>
  <si>
    <t>07/28/1975</t>
  </si>
  <si>
    <t>03/12/1946</t>
  </si>
  <si>
    <t>05/01/1949</t>
  </si>
  <si>
    <t>12/22/1982</t>
  </si>
  <si>
    <t>09/26/1971</t>
  </si>
  <si>
    <t>09/17/1961</t>
  </si>
  <si>
    <t>12/30/1963</t>
  </si>
  <si>
    <t>07/30/1962</t>
  </si>
  <si>
    <t>02/01/1952</t>
  </si>
  <si>
    <t>02/12/1977</t>
  </si>
  <si>
    <t>01/12/1957</t>
  </si>
  <si>
    <t>09/22/1942</t>
  </si>
  <si>
    <t>06/02/1948</t>
  </si>
  <si>
    <t>12/24/1947</t>
  </si>
  <si>
    <t>11/25/1973</t>
  </si>
  <si>
    <t>05/18/1971</t>
  </si>
  <si>
    <t>10/30/1963</t>
  </si>
  <si>
    <t>01/23/1940</t>
  </si>
  <si>
    <t>10/29/1969</t>
  </si>
  <si>
    <t>09/15/1987</t>
  </si>
  <si>
    <t>10/22/1952</t>
  </si>
  <si>
    <t>08/31/1940</t>
  </si>
  <si>
    <t>07/03/1986</t>
  </si>
  <si>
    <t>07/20/1946</t>
  </si>
  <si>
    <t>12/27/1959</t>
  </si>
  <si>
    <t>12/19/1967</t>
  </si>
  <si>
    <t>12/09/1964</t>
  </si>
  <si>
    <t>07/13/1953</t>
  </si>
  <si>
    <t>05/14/1975</t>
  </si>
  <si>
    <t>05/08/1954</t>
  </si>
  <si>
    <t>12/10/1972</t>
  </si>
  <si>
    <t>08/13/1947</t>
  </si>
  <si>
    <t>09/24/1986</t>
  </si>
  <si>
    <t>10/03/1958</t>
  </si>
  <si>
    <t>04/11/1965</t>
  </si>
  <si>
    <t>10/14/1963</t>
  </si>
  <si>
    <t>12/30/1950</t>
  </si>
  <si>
    <t>09/02/1997</t>
  </si>
  <si>
    <t>10/13/1958</t>
  </si>
  <si>
    <t>09/26/1933</t>
  </si>
  <si>
    <t>11/18/1979</t>
  </si>
  <si>
    <t>05/14/1954</t>
  </si>
  <si>
    <t>10/10/1948</t>
  </si>
  <si>
    <t>02/16/1939</t>
  </si>
  <si>
    <t>07/05/1968</t>
  </si>
  <si>
    <t>08/07/1963</t>
  </si>
  <si>
    <t>07/13/1972</t>
  </si>
  <si>
    <t>03/23/1951</t>
  </si>
  <si>
    <t>02/28/1985</t>
  </si>
  <si>
    <t>09/01/1967</t>
  </si>
  <si>
    <t>11/06/1977</t>
  </si>
  <si>
    <t>06/10/1958</t>
  </si>
  <si>
    <t>12/13/1955</t>
  </si>
  <si>
    <t>09/17/1972</t>
  </si>
  <si>
    <t>07/19/1959</t>
  </si>
  <si>
    <t>02/12/1970</t>
  </si>
  <si>
    <t>01/23/1971</t>
  </si>
  <si>
    <t>11/29/1963</t>
  </si>
  <si>
    <t>12/26/1946</t>
  </si>
  <si>
    <t>03/06/1953</t>
  </si>
  <si>
    <t>11/21/1947</t>
  </si>
  <si>
    <t>02/24/1942</t>
  </si>
  <si>
    <t>10/18/1976</t>
  </si>
  <si>
    <t>08/30/1944</t>
  </si>
  <si>
    <t>05/03/1945</t>
  </si>
  <si>
    <t>08/19/1945</t>
  </si>
  <si>
    <t>04/22/1951</t>
  </si>
  <si>
    <t>04/19/1972</t>
  </si>
  <si>
    <t>09/08/1977</t>
  </si>
  <si>
    <t>06/13/1978</t>
  </si>
  <si>
    <t>03/26/1964</t>
  </si>
  <si>
    <t>06/17/1941</t>
  </si>
  <si>
    <t>07/22/1947</t>
  </si>
  <si>
    <t>12/12/1985</t>
  </si>
  <si>
    <t>04/08/1979</t>
  </si>
  <si>
    <t>02/27/1975</t>
  </si>
  <si>
    <t>08/21/1978</t>
  </si>
  <si>
    <t>04/09/1969</t>
  </si>
  <si>
    <t>02/14/1984</t>
  </si>
  <si>
    <t>02/13/1978</t>
  </si>
  <si>
    <t>06/16/1970</t>
  </si>
  <si>
    <t>08/19/1983</t>
  </si>
  <si>
    <t>09/03/1985</t>
  </si>
  <si>
    <t>07/13/1978</t>
  </si>
  <si>
    <t>02/26/1977</t>
  </si>
  <si>
    <t>09/12/1985</t>
  </si>
  <si>
    <t>12/16/1968</t>
  </si>
  <si>
    <t>12/20/1948</t>
  </si>
  <si>
    <t>10/20/1976</t>
  </si>
  <si>
    <t>05/22/1976</t>
  </si>
  <si>
    <t>05/23/1960</t>
  </si>
  <si>
    <t>03/25/1989</t>
  </si>
  <si>
    <t>07/30/1954</t>
  </si>
  <si>
    <t>12/25/1959</t>
  </si>
  <si>
    <t>03/11/1966</t>
  </si>
  <si>
    <t>03/23/1943</t>
  </si>
  <si>
    <t>11/23/1964</t>
  </si>
  <si>
    <t>03/23/1989</t>
  </si>
  <si>
    <t>05/02/1994</t>
  </si>
  <si>
    <t>02/16/1969</t>
  </si>
  <si>
    <t>01/31/1964</t>
  </si>
  <si>
    <t>10/01/1972</t>
  </si>
  <si>
    <t>07/09/1972</t>
  </si>
  <si>
    <t>04/14/1983</t>
  </si>
  <si>
    <t>05/07/1978</t>
  </si>
  <si>
    <t>07/10/1968</t>
  </si>
  <si>
    <t>02/28/1957</t>
  </si>
  <si>
    <t>04/30/1979</t>
  </si>
  <si>
    <t>11/22/1976</t>
  </si>
  <si>
    <t>03/28/1986</t>
  </si>
  <si>
    <t>01/13/1979</t>
  </si>
  <si>
    <t>01/03/1965</t>
  </si>
  <si>
    <t>01/13/1987</t>
  </si>
  <si>
    <t>07/12/1966</t>
  </si>
  <si>
    <t>04/07/1947</t>
  </si>
  <si>
    <t>05/25/1987</t>
  </si>
  <si>
    <t>12/25/1964</t>
  </si>
  <si>
    <t>12/07/1988</t>
  </si>
  <si>
    <t>07/25/1976</t>
  </si>
  <si>
    <t>01/20/1991</t>
  </si>
  <si>
    <t>06/12/1997</t>
  </si>
  <si>
    <t>08/31/1984</t>
  </si>
  <si>
    <t>11/15/1940</t>
  </si>
  <si>
    <t>05/29/1973</t>
  </si>
  <si>
    <t>02/06/1972</t>
  </si>
  <si>
    <t>12/02/1939</t>
  </si>
  <si>
    <t>11/21/1981</t>
  </si>
  <si>
    <t>09/05/1969</t>
  </si>
  <si>
    <t>03/15/1962</t>
  </si>
  <si>
    <t>06/29/1960</t>
  </si>
  <si>
    <t>05/08/1986</t>
  </si>
  <si>
    <t>09/25/1976</t>
  </si>
  <si>
    <t>05/04/1978</t>
  </si>
  <si>
    <t>04/20/1977</t>
  </si>
  <si>
    <t>04/22/1963</t>
  </si>
  <si>
    <t>12/24/1966</t>
  </si>
  <si>
    <t>01/02/1949</t>
  </si>
  <si>
    <t>07/23/1987</t>
  </si>
  <si>
    <t>02/26/1962</t>
  </si>
  <si>
    <t>02/12/1993</t>
  </si>
  <si>
    <t>12/25/1982</t>
  </si>
  <si>
    <t>05/13/1964</t>
  </si>
  <si>
    <t>06/04/1993</t>
  </si>
  <si>
    <t>10/17/1977</t>
  </si>
  <si>
    <t>05/27/1992</t>
  </si>
  <si>
    <t>03/20/1972</t>
  </si>
  <si>
    <t>11/17/1945</t>
  </si>
  <si>
    <t>05/16/1972</t>
  </si>
  <si>
    <t>10/26/1949</t>
  </si>
  <si>
    <t>11/27/1991</t>
  </si>
  <si>
    <t>05/27/1982</t>
  </si>
  <si>
    <t>04/02/1959</t>
  </si>
  <si>
    <t>11/01/1969</t>
  </si>
  <si>
    <t>07/19/1945</t>
  </si>
  <si>
    <t>12/26/1979</t>
  </si>
  <si>
    <t>05/12/1976</t>
  </si>
  <si>
    <t>10/30/1966</t>
  </si>
  <si>
    <t>06/05/1963</t>
  </si>
  <si>
    <t>05/14/1966</t>
  </si>
  <si>
    <t>04/09/1984</t>
  </si>
  <si>
    <t>12/08/1950</t>
  </si>
  <si>
    <t>12/23/1975</t>
  </si>
  <si>
    <t>06/21/1976</t>
  </si>
  <si>
    <t>01/26/1955</t>
  </si>
  <si>
    <t>10/10/1979</t>
  </si>
  <si>
    <t>03/10/1949</t>
  </si>
  <si>
    <t>06/05/1973</t>
  </si>
  <si>
    <t>07/02/1962</t>
  </si>
  <si>
    <t>08/31/1966</t>
  </si>
  <si>
    <t>09/08/1968</t>
  </si>
  <si>
    <t>01/01/1976</t>
  </si>
  <si>
    <t>08/14/1996</t>
  </si>
  <si>
    <t>01/28/1981</t>
  </si>
  <si>
    <t>08/09/1997</t>
  </si>
  <si>
    <t>02/11/1966</t>
  </si>
  <si>
    <t>07/18/1989</t>
  </si>
  <si>
    <t>03/27/1970</t>
  </si>
  <si>
    <t>10/05/1952</t>
  </si>
  <si>
    <t>03/05/1995</t>
  </si>
  <si>
    <t>04/06/1942</t>
  </si>
  <si>
    <t>11/16/1954</t>
  </si>
  <si>
    <t>06/26/1990</t>
  </si>
  <si>
    <t>10/29/1986</t>
  </si>
  <si>
    <t>12/16/1944</t>
  </si>
  <si>
    <t>06/24/1981</t>
  </si>
  <si>
    <t>10/28/1987</t>
  </si>
  <si>
    <t>06/30/1975</t>
  </si>
  <si>
    <t>05/22/1953</t>
  </si>
  <si>
    <t>09/30/1955</t>
  </si>
  <si>
    <t>11/26/1952</t>
  </si>
  <si>
    <t>03/26/1982</t>
  </si>
  <si>
    <t>07/01/1962</t>
  </si>
  <si>
    <t>04/24/1976</t>
  </si>
  <si>
    <t>02/13/1987</t>
  </si>
  <si>
    <t>03/12/1960</t>
  </si>
  <si>
    <t>02/02/2000</t>
  </si>
  <si>
    <t>11/22/1963</t>
  </si>
  <si>
    <t>10/22/1979</t>
  </si>
  <si>
    <t>09/19/1973</t>
  </si>
  <si>
    <t>07/17/1989</t>
  </si>
  <si>
    <t>01/09/1979</t>
  </si>
  <si>
    <t>12/02/1983</t>
  </si>
  <si>
    <t>11/30/1976</t>
  </si>
  <si>
    <t>07/09/1957</t>
  </si>
  <si>
    <t>03/02/1964</t>
  </si>
  <si>
    <t>04/14/1970</t>
  </si>
  <si>
    <t>01/24/1992</t>
  </si>
  <si>
    <t>12/21/1987</t>
  </si>
  <si>
    <t>10/23/1974</t>
  </si>
  <si>
    <t>10/11/1994</t>
  </si>
  <si>
    <t>06/24/1976</t>
  </si>
  <si>
    <t>07/09/1986</t>
  </si>
  <si>
    <t>02/01/1951</t>
  </si>
  <si>
    <t>11/25/1961</t>
  </si>
  <si>
    <t>10/19/1934</t>
  </si>
  <si>
    <t>01/05/1955</t>
  </si>
  <si>
    <t>03/22/1959</t>
  </si>
  <si>
    <t>05/07/1962</t>
  </si>
  <si>
    <t>07/06/1948</t>
  </si>
  <si>
    <t>02/19/1967</t>
  </si>
  <si>
    <t>10/17/1956</t>
  </si>
  <si>
    <t>07/15/1959</t>
  </si>
  <si>
    <t>07/17/1988</t>
  </si>
  <si>
    <t>02/02/1988</t>
  </si>
  <si>
    <t>01/12/1995</t>
  </si>
  <si>
    <t>06/24/1990</t>
  </si>
  <si>
    <t>12/10/1952</t>
  </si>
  <si>
    <t>04/08/1947</t>
  </si>
  <si>
    <t>10/10/1974</t>
  </si>
  <si>
    <t>11/26/1985</t>
  </si>
  <si>
    <t>03/25/1975</t>
  </si>
  <si>
    <t>02/11/1945</t>
  </si>
  <si>
    <t>12/28/1986</t>
  </si>
  <si>
    <t>06/07/1962</t>
  </si>
  <si>
    <t>08/10/1952</t>
  </si>
  <si>
    <t>03/28/1962</t>
  </si>
  <si>
    <t>11/10/1952</t>
  </si>
  <si>
    <t>06/21/1944</t>
  </si>
  <si>
    <t>03/06/1971</t>
  </si>
  <si>
    <t>04/15/1977</t>
  </si>
  <si>
    <t>04/30/1953</t>
  </si>
  <si>
    <t>05/23/1956</t>
  </si>
  <si>
    <t>02/05/1941</t>
  </si>
  <si>
    <t>11/11/1943</t>
  </si>
  <si>
    <t>10/20/1967</t>
  </si>
  <si>
    <t>01/10/1985</t>
  </si>
  <si>
    <t>04/11/1991</t>
  </si>
  <si>
    <t>06/16/1984</t>
  </si>
  <si>
    <t>03/06/1980</t>
  </si>
  <si>
    <t>06/07/1992</t>
  </si>
  <si>
    <t>02/10/1978</t>
  </si>
  <si>
    <t>10/20/1974</t>
  </si>
  <si>
    <t>02/13/1966</t>
  </si>
  <si>
    <t>10/01/1932</t>
  </si>
  <si>
    <t>06/19/1970</t>
  </si>
  <si>
    <t>08/09/1954</t>
  </si>
  <si>
    <t>03/11/1990</t>
  </si>
  <si>
    <t>11/26/1966</t>
  </si>
  <si>
    <t>08/10/1968</t>
  </si>
  <si>
    <t>06/10/1980</t>
  </si>
  <si>
    <t>02/08/1961</t>
  </si>
  <si>
    <t>10/28/1979</t>
  </si>
  <si>
    <t>10/24/1947</t>
  </si>
  <si>
    <t>01/02/1943</t>
  </si>
  <si>
    <t>04/27/1974</t>
  </si>
  <si>
    <t>11/20/1974</t>
  </si>
  <si>
    <t>03/22/1950</t>
  </si>
  <si>
    <t>04/22/1962</t>
  </si>
  <si>
    <t>06/03/1984</t>
  </si>
  <si>
    <t>06/23/1948</t>
  </si>
  <si>
    <t>10/29/1970</t>
  </si>
  <si>
    <t>07/06/1958</t>
  </si>
  <si>
    <t>10/03/1983</t>
  </si>
  <si>
    <t>09/22/1952</t>
  </si>
  <si>
    <t>09/27/1960</t>
  </si>
  <si>
    <t>10/07/1974</t>
  </si>
  <si>
    <t>11/05/1956</t>
  </si>
  <si>
    <t>01/26/1949</t>
  </si>
  <si>
    <t>10/12/1990</t>
  </si>
  <si>
    <t>07/14/1957</t>
  </si>
  <si>
    <t>01/11/1973</t>
  </si>
  <si>
    <t>02/17/1966</t>
  </si>
  <si>
    <t>11/16/1988</t>
  </si>
  <si>
    <t>05/05/1944</t>
  </si>
  <si>
    <t>12/26/1974</t>
  </si>
  <si>
    <t>12/26/1980</t>
  </si>
  <si>
    <t>09/06/1970</t>
  </si>
  <si>
    <t>12/22/1964</t>
  </si>
  <si>
    <t>08/16/1939</t>
  </si>
  <si>
    <t>12/02/1959</t>
  </si>
  <si>
    <t>04/07/1970</t>
  </si>
  <si>
    <t>10/24/1992</t>
  </si>
  <si>
    <t>01/14/1954</t>
  </si>
  <si>
    <t>10/21/1969</t>
  </si>
  <si>
    <t>01/13/1944</t>
  </si>
  <si>
    <t>07/15/1974</t>
  </si>
  <si>
    <t>11/03/1930</t>
  </si>
  <si>
    <t>07/29/1984</t>
  </si>
  <si>
    <t>04/28/1959</t>
  </si>
  <si>
    <t>05/06/1976</t>
  </si>
  <si>
    <t>01/02/1960</t>
  </si>
  <si>
    <t>05/29/1988</t>
  </si>
  <si>
    <t>09/22/1954</t>
  </si>
  <si>
    <t>02/22/1996</t>
  </si>
  <si>
    <t>06/01/1966</t>
  </si>
  <si>
    <t>01/18/1998</t>
  </si>
  <si>
    <t>11/25/1972</t>
  </si>
  <si>
    <t>11/07/1983</t>
  </si>
  <si>
    <t>11/20/1962</t>
  </si>
  <si>
    <t>01/09/1985</t>
  </si>
  <si>
    <t>08/18/1953</t>
  </si>
  <si>
    <t>04/03/1961</t>
  </si>
  <si>
    <t>11/06/1995</t>
  </si>
  <si>
    <t>10/08/1991</t>
  </si>
  <si>
    <t>03/10/1970</t>
  </si>
  <si>
    <t>10/13/1988</t>
  </si>
  <si>
    <t>12/30/1940</t>
  </si>
  <si>
    <t>09/15/1961</t>
  </si>
  <si>
    <t>04/02/1947</t>
  </si>
  <si>
    <t>05/10/1965</t>
  </si>
  <si>
    <t>01/14/1978</t>
  </si>
  <si>
    <t>12/16/1947</t>
  </si>
  <si>
    <t>01/28/1985</t>
  </si>
  <si>
    <t>01/03/1968</t>
  </si>
  <si>
    <t>04/14/1973</t>
  </si>
  <si>
    <t>06/09/1962</t>
  </si>
  <si>
    <t>10/22/1981</t>
  </si>
  <si>
    <t>08/30/1971</t>
  </si>
  <si>
    <t>11/29/1951</t>
  </si>
  <si>
    <t>11/04/1957</t>
  </si>
  <si>
    <t>06/15/1965</t>
  </si>
  <si>
    <t>11/26/1965</t>
  </si>
  <si>
    <t>03/22/1962</t>
  </si>
  <si>
    <t>02/28/1974</t>
  </si>
  <si>
    <t>04/13/1969</t>
  </si>
  <si>
    <t>01/27/1943</t>
  </si>
  <si>
    <t>06/03/1957</t>
  </si>
  <si>
    <t>07/30/1956</t>
  </si>
  <si>
    <t>09/19/1967</t>
  </si>
  <si>
    <t>08/17/1973</t>
  </si>
  <si>
    <t>04/14/1976</t>
  </si>
  <si>
    <t>10/19/1962</t>
  </si>
  <si>
    <t>06/21/1981</t>
  </si>
  <si>
    <t>06/28/1983</t>
  </si>
  <si>
    <t>04/01/1982</t>
  </si>
  <si>
    <t>02/19/1959</t>
  </si>
  <si>
    <t>12/02/1972</t>
  </si>
  <si>
    <t>09/09/1963</t>
  </si>
  <si>
    <t>12/08/1960</t>
  </si>
  <si>
    <t>02/26/1991</t>
  </si>
  <si>
    <t>11/07/1976</t>
  </si>
  <si>
    <t>02/26/1963</t>
  </si>
  <si>
    <t>05/16/1953</t>
  </si>
  <si>
    <t>11/08/1966</t>
  </si>
  <si>
    <t>06/07/1949</t>
  </si>
  <si>
    <t>01/04/1975</t>
  </si>
  <si>
    <t>10/03/1963</t>
  </si>
  <si>
    <t>08/27/1961</t>
  </si>
  <si>
    <t>02/08/1936</t>
  </si>
  <si>
    <t>07/08/1973</t>
  </si>
  <si>
    <t>12/24/1978</t>
  </si>
  <si>
    <t>06/12/1955</t>
  </si>
  <si>
    <t>09/15/1971</t>
  </si>
  <si>
    <t>02/23/1980</t>
  </si>
  <si>
    <t>11/13/1970</t>
  </si>
  <si>
    <t>03/01/1956</t>
  </si>
  <si>
    <t>04/18/1959</t>
  </si>
  <si>
    <t>11/20/1983</t>
  </si>
  <si>
    <t>10/10/1984</t>
  </si>
  <si>
    <t>06/27/1958</t>
  </si>
  <si>
    <t>06/04/1963</t>
  </si>
  <si>
    <t>12/23/1991</t>
  </si>
  <si>
    <t>10/07/1981</t>
  </si>
  <si>
    <t>09/25/1972</t>
  </si>
  <si>
    <t>09/14/1963</t>
  </si>
  <si>
    <t>12/27/1957</t>
  </si>
  <si>
    <t>12/29/1973</t>
  </si>
  <si>
    <t>05/19/1983</t>
  </si>
  <si>
    <t>11/30/1966</t>
  </si>
  <si>
    <t>11/09/1982</t>
  </si>
  <si>
    <t>05/22/1960</t>
  </si>
  <si>
    <t>02/14/1958</t>
  </si>
  <si>
    <t>11/20/1968</t>
  </si>
  <si>
    <t>03/10/1973</t>
  </si>
  <si>
    <t>08/26/1987</t>
  </si>
  <si>
    <t>03/16/1985</t>
  </si>
  <si>
    <t>07/13/1961</t>
  </si>
  <si>
    <t>01/14/1968</t>
  </si>
  <si>
    <t>09/30/1961</t>
  </si>
  <si>
    <t>01/03/1980</t>
  </si>
  <si>
    <t>02/17/1962</t>
  </si>
  <si>
    <t>07/06/1946</t>
  </si>
  <si>
    <t>09/14/1985</t>
  </si>
  <si>
    <t>04/03/1970</t>
  </si>
  <si>
    <t>07/04/1965</t>
  </si>
  <si>
    <t>11/27/1971</t>
  </si>
  <si>
    <t>02/02/1982</t>
  </si>
  <si>
    <t>09/02/1941</t>
  </si>
  <si>
    <t>08/21/1958</t>
  </si>
  <si>
    <t>10/15/1954</t>
  </si>
  <si>
    <t>01/18/1972</t>
  </si>
  <si>
    <t>06/26/1974</t>
  </si>
  <si>
    <t>08/13/1964</t>
  </si>
  <si>
    <t>03/02/1953</t>
  </si>
  <si>
    <t>10/02/1974</t>
  </si>
  <si>
    <t>05/03/1991</t>
  </si>
  <si>
    <t>07/26/1960</t>
  </si>
  <si>
    <t>12/25/1965</t>
  </si>
  <si>
    <t>03/02/1981</t>
  </si>
  <si>
    <t>12/07/1985</t>
  </si>
  <si>
    <t>03/03/1981</t>
  </si>
  <si>
    <t>01/16/1961</t>
  </si>
  <si>
    <t>08/17/1954</t>
  </si>
  <si>
    <t>05/29/1949</t>
  </si>
  <si>
    <t>08/30/1970</t>
  </si>
  <si>
    <t>02/27/1968</t>
  </si>
  <si>
    <t>01/01/1960</t>
  </si>
  <si>
    <t>04/29/1982</t>
  </si>
  <si>
    <t>02/15/1988</t>
  </si>
  <si>
    <t>03/22/1968</t>
  </si>
  <si>
    <t>10/30/1971</t>
  </si>
  <si>
    <t>07/02/1945</t>
  </si>
  <si>
    <t>02/21/1993</t>
  </si>
  <si>
    <t>11/01/1949</t>
  </si>
  <si>
    <t>08/01/1982</t>
  </si>
  <si>
    <t>07/28/1982</t>
  </si>
  <si>
    <t>09/22/1984</t>
  </si>
  <si>
    <t>05/27/1964</t>
  </si>
  <si>
    <t>03/05/1966</t>
  </si>
  <si>
    <t>07/07/1981</t>
  </si>
  <si>
    <t>07/20/1970</t>
  </si>
  <si>
    <t>08/26/1962</t>
  </si>
  <si>
    <t>01/20/1978</t>
  </si>
  <si>
    <t>02/16/1955</t>
  </si>
  <si>
    <t>12/15/1997</t>
  </si>
  <si>
    <t>02/06/1957</t>
  </si>
  <si>
    <t>01/24/1985</t>
  </si>
  <si>
    <t>06/15/1973</t>
  </si>
  <si>
    <t>02/11/1949</t>
  </si>
  <si>
    <t>08/22/1947</t>
  </si>
  <si>
    <t>01/24/1966</t>
  </si>
  <si>
    <t>08/25/1979</t>
  </si>
  <si>
    <t>01/13/1977</t>
  </si>
  <si>
    <t>05/05/1971</t>
  </si>
  <si>
    <t>03/21/1978</t>
  </si>
  <si>
    <t>05/01/1986</t>
  </si>
  <si>
    <t>12/23/1961</t>
  </si>
  <si>
    <t>10/24/1958</t>
  </si>
  <si>
    <t>06/03/1970</t>
  </si>
  <si>
    <t>06/21/1955</t>
  </si>
  <si>
    <t>12/28/1950</t>
  </si>
  <si>
    <t>03/03/1958</t>
  </si>
  <si>
    <t>09/20/1991</t>
  </si>
  <si>
    <t>10/29/1971</t>
  </si>
  <si>
    <t>01/31/1965</t>
  </si>
  <si>
    <t>12/26/1962</t>
  </si>
  <si>
    <t>06/04/1988</t>
  </si>
  <si>
    <t>05/08/1930</t>
  </si>
  <si>
    <t>09/16/1985</t>
  </si>
  <si>
    <t>08/15/1961</t>
  </si>
  <si>
    <t>03/16/1964</t>
  </si>
  <si>
    <t>04/01/1942</t>
  </si>
  <si>
    <t>11/01/1980</t>
  </si>
  <si>
    <t>06/25/1969</t>
  </si>
  <si>
    <t>12/14/1966</t>
  </si>
  <si>
    <t>06/26/1958</t>
  </si>
  <si>
    <t>05/16/1967</t>
  </si>
  <si>
    <t>12/01/1980</t>
  </si>
  <si>
    <t>01/18/1992</t>
  </si>
  <si>
    <t>09/17/1956</t>
  </si>
  <si>
    <t>01/28/1962</t>
  </si>
  <si>
    <t>12/02/1936</t>
  </si>
  <si>
    <t>10/11/1952</t>
  </si>
  <si>
    <t>07/27/1979</t>
  </si>
  <si>
    <t>08/24/1972</t>
  </si>
  <si>
    <t>02/02/1945</t>
  </si>
  <si>
    <t>02/13/1957</t>
  </si>
  <si>
    <t>08/22/1966</t>
  </si>
  <si>
    <t>05/26/1980</t>
  </si>
  <si>
    <t>12/26/1938</t>
  </si>
  <si>
    <t>05/11/1980</t>
  </si>
  <si>
    <t>09/07/1977</t>
  </si>
  <si>
    <t>10/19/1985</t>
  </si>
  <si>
    <t>03/18/1958</t>
  </si>
  <si>
    <t>05/28/1986</t>
  </si>
  <si>
    <t>07/01/1961</t>
  </si>
  <si>
    <t>05/01/1954</t>
  </si>
  <si>
    <t>08/06/1960</t>
  </si>
  <si>
    <t>11/06/1980</t>
  </si>
  <si>
    <t>07/17/1975</t>
  </si>
  <si>
    <t>10/05/1966</t>
  </si>
  <si>
    <t>10/21/1951</t>
  </si>
  <si>
    <t>04/21/1992</t>
  </si>
  <si>
    <t>07/17/1973</t>
  </si>
  <si>
    <t>05/09/1976</t>
  </si>
  <si>
    <t>10/06/1957</t>
  </si>
  <si>
    <t>10/08/1959</t>
  </si>
  <si>
    <t>07/29/1964</t>
  </si>
  <si>
    <t>04/04/1991</t>
  </si>
  <si>
    <t>12/24/1969</t>
  </si>
  <si>
    <t>01/31/1979</t>
  </si>
  <si>
    <t>06/14/1945</t>
  </si>
  <si>
    <t>12/27/1998</t>
  </si>
  <si>
    <t>01/21/1966</t>
  </si>
  <si>
    <t>02/08/1960</t>
  </si>
  <si>
    <t>03/20/1959</t>
  </si>
  <si>
    <t>08/10/1966</t>
  </si>
  <si>
    <t>02/29/1964</t>
  </si>
  <si>
    <t>01/22/1971</t>
  </si>
  <si>
    <t>07/15/1972</t>
  </si>
  <si>
    <t>05/22/1969</t>
  </si>
  <si>
    <t>04/24/1989</t>
  </si>
  <si>
    <t>06/24/1963</t>
  </si>
  <si>
    <t>12/29/1976</t>
  </si>
  <si>
    <t>06/09/1979</t>
  </si>
  <si>
    <t>06/26/1986</t>
  </si>
  <si>
    <t>07/19/1994</t>
  </si>
  <si>
    <t>03/05/1965</t>
  </si>
  <si>
    <t>04/15/1973</t>
  </si>
  <si>
    <t>12/22/1976</t>
  </si>
  <si>
    <t>02/11/1963</t>
  </si>
  <si>
    <t>02/14/1971</t>
  </si>
  <si>
    <t>10/21/1950</t>
  </si>
  <si>
    <t>12/30/1951</t>
  </si>
  <si>
    <t>09/03/1952</t>
  </si>
  <si>
    <t>10/09/1990</t>
  </si>
  <si>
    <t>07/15/1992</t>
  </si>
  <si>
    <t>10/25/1998</t>
  </si>
  <si>
    <t>09/24/1951</t>
  </si>
  <si>
    <t>02/25/1961</t>
  </si>
  <si>
    <t>05/17/1939</t>
  </si>
  <si>
    <t>06/24/1982</t>
  </si>
  <si>
    <t>04/02/1974</t>
  </si>
  <si>
    <t>08/14/1961</t>
  </si>
  <si>
    <t>02/12/1968</t>
  </si>
  <si>
    <t>05/13/1983</t>
  </si>
  <si>
    <t>08/06/1967</t>
  </si>
  <si>
    <t>04/18/1990</t>
  </si>
  <si>
    <t>08/16/1986</t>
  </si>
  <si>
    <t>09/26/1946</t>
  </si>
  <si>
    <t>08/04/1982</t>
  </si>
  <si>
    <t>09/18/1955</t>
  </si>
  <si>
    <t>09/01/1977</t>
  </si>
  <si>
    <t>01/31/1987</t>
  </si>
  <si>
    <t>12/08/1976</t>
  </si>
  <si>
    <t>06/25/1987</t>
  </si>
  <si>
    <t>11/13/1976</t>
  </si>
  <si>
    <t>03/04/1985</t>
  </si>
  <si>
    <t>05/27/1975</t>
  </si>
  <si>
    <t>03/16/1978</t>
  </si>
  <si>
    <t>06/23/1978</t>
  </si>
  <si>
    <t>03/04/1982</t>
  </si>
  <si>
    <t>01/10/1988</t>
  </si>
  <si>
    <t>03/13/1986</t>
  </si>
  <si>
    <t>02/02/1976</t>
  </si>
  <si>
    <t>06/01/1973</t>
  </si>
  <si>
    <t>09/09/1974</t>
  </si>
  <si>
    <t>03/18/1976</t>
  </si>
  <si>
    <t>10/15/1946</t>
  </si>
  <si>
    <t>04/10/1956</t>
  </si>
  <si>
    <t>03/21/1992</t>
  </si>
  <si>
    <t>10/19/1973</t>
  </si>
  <si>
    <t>03/11/1958</t>
  </si>
  <si>
    <t>10/13/1994</t>
  </si>
  <si>
    <t>03/17/1963</t>
  </si>
  <si>
    <t>03/31/1981</t>
  </si>
  <si>
    <t>11/26/1953</t>
  </si>
  <si>
    <t>04/08/1956</t>
  </si>
  <si>
    <t>01/14/1988</t>
  </si>
  <si>
    <t>04/24/1958</t>
  </si>
  <si>
    <t>12/17/1975</t>
  </si>
  <si>
    <t>10/13/1980</t>
  </si>
  <si>
    <t>05/18/1956</t>
  </si>
  <si>
    <t>02/23/1958</t>
  </si>
  <si>
    <t>10/28/1983</t>
  </si>
  <si>
    <t>03/08/1960</t>
  </si>
  <si>
    <t>12/27/1978</t>
  </si>
  <si>
    <t>03/31/1970</t>
  </si>
  <si>
    <t>01/06/1979</t>
  </si>
  <si>
    <t>10/04/1957</t>
  </si>
  <si>
    <t>09/23/1968</t>
  </si>
  <si>
    <t>04/13/1981</t>
  </si>
  <si>
    <t>10/31/1954</t>
  </si>
  <si>
    <t>06/21/1971</t>
  </si>
  <si>
    <t>06/03/1980</t>
  </si>
  <si>
    <t>09/18/1953</t>
  </si>
  <si>
    <t>04/03/1951</t>
  </si>
  <si>
    <t>06/08/1956</t>
  </si>
  <si>
    <t>05/07/1973</t>
  </si>
  <si>
    <t>01/20/1941</t>
  </si>
  <si>
    <t>08/23/1977</t>
  </si>
  <si>
    <t>10/11/1964</t>
  </si>
  <si>
    <t>01/03/1993</t>
  </si>
  <si>
    <t>09/08/1941</t>
  </si>
  <si>
    <t>01/07/1982</t>
  </si>
  <si>
    <t>07/06/1990</t>
  </si>
  <si>
    <t>11/30/1979</t>
  </si>
  <si>
    <t>08/24/1958</t>
  </si>
  <si>
    <t>03/13/1930</t>
  </si>
  <si>
    <t>01/02/1961</t>
  </si>
  <si>
    <t>09/05/1980</t>
  </si>
  <si>
    <t>04/14/1988</t>
  </si>
  <si>
    <t>11/30/1950</t>
  </si>
  <si>
    <t>10/19/1959</t>
  </si>
  <si>
    <t>06/13/1938</t>
  </si>
  <si>
    <t>10/13/1962</t>
  </si>
  <si>
    <t>12/06/1980</t>
  </si>
  <si>
    <t>11/10/1989</t>
  </si>
  <si>
    <t>04/14/1966</t>
  </si>
  <si>
    <t>12/18/1977</t>
  </si>
  <si>
    <t>07/17/1965</t>
  </si>
  <si>
    <t>04/12/1980</t>
  </si>
  <si>
    <t>06/04/1991</t>
  </si>
  <si>
    <t>10/24/1961</t>
  </si>
  <si>
    <t>02/14/1982</t>
  </si>
  <si>
    <t>03/06/1983</t>
  </si>
  <si>
    <t>06/14/1968</t>
  </si>
  <si>
    <t>08/29/1966</t>
  </si>
  <si>
    <t>06/07/1958</t>
  </si>
  <si>
    <t>09/05/1968</t>
  </si>
  <si>
    <t>10/27/1942</t>
  </si>
  <si>
    <t>05/05/1995</t>
  </si>
  <si>
    <t>11/10/1984</t>
  </si>
  <si>
    <t>05/26/1964</t>
  </si>
  <si>
    <t>04/04/1961</t>
  </si>
  <si>
    <t>02/20/1969</t>
  </si>
  <si>
    <t>11/28/1951</t>
  </si>
  <si>
    <t>08/11/1956</t>
  </si>
  <si>
    <t>04/22/1948</t>
  </si>
  <si>
    <t>10/11/1976</t>
  </si>
  <si>
    <t>01/17/1990</t>
  </si>
  <si>
    <t>05/22/1962</t>
  </si>
  <si>
    <t>03/31/1955</t>
  </si>
  <si>
    <t>10/25/1976</t>
  </si>
  <si>
    <t>10/04/1977</t>
  </si>
  <si>
    <t>03/02/1967</t>
  </si>
  <si>
    <t>03/17/1962</t>
  </si>
  <si>
    <t>09/18/1975</t>
  </si>
  <si>
    <t>11/13/1992</t>
  </si>
  <si>
    <t>11/06/1990</t>
  </si>
  <si>
    <t>10/05/1963</t>
  </si>
  <si>
    <t>12/29/1969</t>
  </si>
  <si>
    <t>09/24/1991</t>
  </si>
  <si>
    <t>01/24/1979</t>
  </si>
  <si>
    <t>04/15/1966</t>
  </si>
  <si>
    <t>06/24/1969</t>
  </si>
  <si>
    <t>03/10/1976</t>
  </si>
  <si>
    <t>08/09/1966</t>
  </si>
  <si>
    <t>09/15/1980</t>
  </si>
  <si>
    <t>06/26/1961</t>
  </si>
  <si>
    <t>01/01/1967</t>
  </si>
  <si>
    <t>08/13/1959</t>
  </si>
  <si>
    <t>06/17/1994</t>
  </si>
  <si>
    <t>06/02/1956</t>
  </si>
  <si>
    <t>11/04/1983</t>
  </si>
  <si>
    <t>06/01/1975</t>
  </si>
  <si>
    <t>05/12/1984</t>
  </si>
  <si>
    <t>02/10/1972</t>
  </si>
  <si>
    <t>05/20/1987</t>
  </si>
  <si>
    <t>12/24/1959</t>
  </si>
  <si>
    <t>08/15/1979</t>
  </si>
  <si>
    <t>05/21/1974</t>
  </si>
  <si>
    <t>08/21/1975</t>
  </si>
  <si>
    <t>05/26/1977</t>
  </si>
  <si>
    <t>09/30/1980</t>
  </si>
  <si>
    <t>03/26/1961</t>
  </si>
  <si>
    <t>11/08/1968</t>
  </si>
  <si>
    <t>02/14/1953</t>
  </si>
  <si>
    <t>11/20/1971</t>
  </si>
  <si>
    <t>08/04/1979</t>
  </si>
  <si>
    <t>09/06/1961</t>
  </si>
  <si>
    <t>12/27/1969</t>
  </si>
  <si>
    <t>09/21/1974</t>
  </si>
  <si>
    <t>12/28/1984</t>
  </si>
  <si>
    <t>07/09/1939</t>
  </si>
  <si>
    <t>01/09/1987</t>
  </si>
  <si>
    <t>07/26/1976</t>
  </si>
  <si>
    <t>03/19/1971</t>
  </si>
  <si>
    <t>08/24/1979</t>
  </si>
  <si>
    <t>08/28/1987</t>
  </si>
  <si>
    <t>12/31/1958</t>
  </si>
  <si>
    <t>11/26/1962</t>
  </si>
  <si>
    <t>07/17/1953</t>
  </si>
  <si>
    <t>08/28/1978</t>
  </si>
  <si>
    <t>08/17/1990</t>
  </si>
  <si>
    <t>04/11/1962</t>
  </si>
  <si>
    <t>03/15/1977</t>
  </si>
  <si>
    <t>09/29/1973</t>
  </si>
  <si>
    <t>08/16/1992</t>
  </si>
  <si>
    <t>11/27/1987</t>
  </si>
  <si>
    <t>02/08/1988</t>
  </si>
  <si>
    <t>10/03/1970</t>
  </si>
  <si>
    <t>04/04/1960</t>
  </si>
  <si>
    <t>10/09/1965</t>
  </si>
  <si>
    <t>12/12/1952</t>
  </si>
  <si>
    <t>04/11/1966</t>
  </si>
  <si>
    <t>09/21/1949</t>
  </si>
  <si>
    <t>09/29/1971</t>
  </si>
  <si>
    <t>07/25/1975</t>
  </si>
  <si>
    <t>08/15/1964</t>
  </si>
  <si>
    <t>05/29/1986</t>
  </si>
  <si>
    <t>03/07/1983</t>
  </si>
  <si>
    <t>07/31/1969</t>
  </si>
  <si>
    <t>09/14/1984</t>
  </si>
  <si>
    <t>09/12/1983</t>
  </si>
  <si>
    <t>08/20/1964</t>
  </si>
  <si>
    <t>07/12/1958</t>
  </si>
  <si>
    <t>12/01/1984</t>
  </si>
  <si>
    <t>10/11/1989</t>
  </si>
  <si>
    <t>03/02/1975</t>
  </si>
  <si>
    <t>03/28/1988</t>
  </si>
  <si>
    <t>07/05/1974</t>
  </si>
  <si>
    <t>01/16/1975</t>
  </si>
  <si>
    <t>11/03/1967</t>
  </si>
  <si>
    <t>08/28/1971</t>
  </si>
  <si>
    <t>09/28/1978</t>
  </si>
  <si>
    <t>10/31/1965</t>
  </si>
  <si>
    <t>10/15/1957</t>
  </si>
  <si>
    <t>06/27/1954</t>
  </si>
  <si>
    <t>06/06/1952</t>
  </si>
  <si>
    <t>10/21/1976</t>
  </si>
  <si>
    <t>12/04/1944</t>
  </si>
  <si>
    <t>12/07/1959</t>
  </si>
  <si>
    <t>08/09/1965</t>
  </si>
  <si>
    <t>10/08/1964</t>
  </si>
  <si>
    <t>02/10/1989</t>
  </si>
  <si>
    <t>02/03/1957</t>
  </si>
  <si>
    <t>11/08/1955</t>
  </si>
  <si>
    <t>05/31/1981</t>
  </si>
  <si>
    <t>06/10/1994</t>
  </si>
  <si>
    <t>07/14/1941</t>
  </si>
  <si>
    <t>05/20/1964</t>
  </si>
  <si>
    <t>12/22/1957</t>
  </si>
  <si>
    <t>08/07/1991</t>
  </si>
  <si>
    <t>07/02/1953</t>
  </si>
  <si>
    <t>07/11/1963</t>
  </si>
  <si>
    <t>09/12/1984</t>
  </si>
  <si>
    <t>06/18/1990</t>
  </si>
  <si>
    <t>03/25/1966</t>
  </si>
  <si>
    <t>01/18/1985</t>
  </si>
  <si>
    <t>03/14/1947</t>
  </si>
  <si>
    <t>09/06/1947</t>
  </si>
  <si>
    <t>11/02/1983</t>
  </si>
  <si>
    <t>04/05/1974</t>
  </si>
  <si>
    <t>03/28/1953</t>
  </si>
  <si>
    <t>01/03/1990</t>
  </si>
  <si>
    <t>11/09/1988</t>
  </si>
  <si>
    <t>05/23/1972</t>
  </si>
  <si>
    <t>02/24/1962</t>
  </si>
  <si>
    <t>08/19/1972</t>
  </si>
  <si>
    <t>12/01/1974</t>
  </si>
  <si>
    <t>07/30/1988</t>
  </si>
  <si>
    <t>09/14/1956</t>
  </si>
  <si>
    <t>06/11/1954</t>
  </si>
  <si>
    <t>03/16/1967</t>
  </si>
  <si>
    <t>01/12/1972</t>
  </si>
  <si>
    <t>09/21/1954</t>
  </si>
  <si>
    <t>01/16/1987</t>
  </si>
  <si>
    <t>04/24/1973</t>
  </si>
  <si>
    <t>10/11/1987</t>
  </si>
  <si>
    <t>04/15/1995</t>
  </si>
  <si>
    <t>01/03/1977</t>
  </si>
  <si>
    <t>03/01/1988</t>
  </si>
  <si>
    <t>08/25/1959</t>
  </si>
  <si>
    <t>03/26/1973</t>
  </si>
  <si>
    <t>10/24/1959</t>
  </si>
  <si>
    <t>04/15/1980</t>
  </si>
  <si>
    <t>04/18/1974</t>
  </si>
  <si>
    <t>11/20/1959</t>
  </si>
  <si>
    <t>02/18/1994</t>
  </si>
  <si>
    <t>07/16/1963</t>
  </si>
  <si>
    <t>08/22/1976</t>
  </si>
  <si>
    <t>12/12/1990</t>
  </si>
  <si>
    <t>06/09/1975</t>
  </si>
  <si>
    <t>07/08/1983</t>
  </si>
  <si>
    <t>03/04/1978</t>
  </si>
  <si>
    <t>02/04/1964</t>
  </si>
  <si>
    <t>11/12/1965</t>
  </si>
  <si>
    <t>01/15/1961</t>
  </si>
  <si>
    <t>07/29/1977</t>
  </si>
  <si>
    <t>06/10/1984</t>
  </si>
  <si>
    <t>06/03/1953</t>
  </si>
  <si>
    <t>11/17/1936</t>
  </si>
  <si>
    <t>11/25/1968</t>
  </si>
  <si>
    <t>07/26/1965</t>
  </si>
  <si>
    <t>08/27/1968</t>
  </si>
  <si>
    <t>08/24/1965</t>
  </si>
  <si>
    <t>10/25/1949</t>
  </si>
  <si>
    <t>07/22/1956</t>
  </si>
  <si>
    <t>08/13/1956</t>
  </si>
  <si>
    <t>06/05/1989</t>
  </si>
  <si>
    <t>09/21/1986</t>
  </si>
  <si>
    <t>03/19/1978</t>
  </si>
  <si>
    <t>01/10/1976</t>
  </si>
  <si>
    <t>01/24/1955</t>
  </si>
  <si>
    <t>04/08/1974</t>
  </si>
  <si>
    <t>02/03/1943</t>
  </si>
  <si>
    <t>10/16/1958</t>
  </si>
  <si>
    <t>01/28/1986</t>
  </si>
  <si>
    <t>11/21/1937</t>
  </si>
  <si>
    <t>01/18/1990</t>
  </si>
  <si>
    <t>06/17/1951</t>
  </si>
  <si>
    <t>08/04/1955</t>
  </si>
  <si>
    <t>01/14/1974</t>
  </si>
  <si>
    <t>05/30/1967</t>
  </si>
  <si>
    <t>06/06/1958</t>
  </si>
  <si>
    <t>01/16/1972</t>
  </si>
  <si>
    <t>06/25/1984</t>
  </si>
  <si>
    <t>09/01/1953</t>
  </si>
  <si>
    <t>09/10/1973</t>
  </si>
  <si>
    <t>07/30/1953</t>
  </si>
  <si>
    <t>08/08/1989</t>
  </si>
  <si>
    <t>05/14/1972</t>
  </si>
  <si>
    <t>10/15/1995</t>
  </si>
  <si>
    <t>07/01/1980</t>
  </si>
  <si>
    <t>10/24/1980</t>
  </si>
  <si>
    <t>02/09/1965</t>
  </si>
  <si>
    <t>08/29/1980</t>
  </si>
  <si>
    <t>03/12/1970</t>
  </si>
  <si>
    <t>02/03/1971</t>
  </si>
  <si>
    <t>04/15/1975</t>
  </si>
  <si>
    <t>05/01/1967</t>
  </si>
  <si>
    <t>12/11/1983</t>
  </si>
  <si>
    <t>07/02/1932</t>
  </si>
  <si>
    <t>01/12/1970</t>
  </si>
  <si>
    <t>03/11/1992</t>
  </si>
  <si>
    <t>09/26/1966</t>
  </si>
  <si>
    <t>12/18/1980</t>
  </si>
  <si>
    <t>07/18/1986</t>
  </si>
  <si>
    <t>08/23/1969</t>
  </si>
  <si>
    <t>03/13/1960</t>
  </si>
  <si>
    <t>04/15/1965</t>
  </si>
  <si>
    <t>02/18/1977</t>
  </si>
  <si>
    <t>03/30/1980</t>
  </si>
  <si>
    <t>04/03/1991</t>
  </si>
  <si>
    <t>02/04/1965</t>
  </si>
  <si>
    <t>05/09/1937</t>
  </si>
  <si>
    <t>05/20/1956</t>
  </si>
  <si>
    <t>06/14/1967</t>
  </si>
  <si>
    <t>02/21/1970</t>
  </si>
  <si>
    <t>02/11/1958</t>
  </si>
  <si>
    <t>03/07/1995</t>
  </si>
  <si>
    <t>05/29/1964</t>
  </si>
  <si>
    <t>07/21/1951</t>
  </si>
  <si>
    <t>10/04/1993</t>
  </si>
  <si>
    <t>06/23/1977</t>
  </si>
  <si>
    <t>06/07/1983</t>
  </si>
  <si>
    <t>05/18/1987</t>
  </si>
  <si>
    <t>06/18/1996</t>
  </si>
  <si>
    <t>07/25/1967</t>
  </si>
  <si>
    <t>01/21/1987</t>
  </si>
  <si>
    <t>02/14/1983</t>
  </si>
  <si>
    <t>04/29/1968</t>
  </si>
  <si>
    <t>12/04/1945</t>
  </si>
  <si>
    <t>03/01/1974</t>
  </si>
  <si>
    <t>08/15/1929</t>
  </si>
  <si>
    <t>10/05/1997</t>
  </si>
  <si>
    <t>11/16/1936</t>
  </si>
  <si>
    <t>04/06/1943</t>
  </si>
  <si>
    <t>06/10/1973</t>
  </si>
  <si>
    <t>05/22/1995</t>
  </si>
  <si>
    <t>08/24/1993</t>
  </si>
  <si>
    <t>10/06/1970</t>
  </si>
  <si>
    <t>06/10/1961</t>
  </si>
  <si>
    <t>10/31/1963</t>
  </si>
  <si>
    <t>03/19/1989</t>
  </si>
  <si>
    <t>11/24/1962</t>
  </si>
  <si>
    <t>11/02/1942</t>
  </si>
  <si>
    <t>03/04/1999</t>
  </si>
  <si>
    <t>10/29/1968</t>
  </si>
  <si>
    <t>02/19/1973</t>
  </si>
  <si>
    <t>06/07/1976</t>
  </si>
  <si>
    <t>08/07/1985</t>
  </si>
  <si>
    <t>04/18/1973</t>
  </si>
  <si>
    <t>08/01/1960</t>
  </si>
  <si>
    <t>11/30/1974</t>
  </si>
  <si>
    <t>01/03/1942</t>
  </si>
  <si>
    <t>09/13/1965</t>
  </si>
  <si>
    <t>07/03/1993</t>
  </si>
  <si>
    <t>02/04/1940</t>
  </si>
  <si>
    <t>08/27/1982</t>
  </si>
  <si>
    <t>01/18/1942</t>
  </si>
  <si>
    <t>11/15/1992</t>
  </si>
  <si>
    <t>12/02/1965</t>
  </si>
  <si>
    <t>03/15/1982</t>
  </si>
  <si>
    <t>04/21/1944</t>
  </si>
  <si>
    <t>02/25/1964</t>
  </si>
  <si>
    <t>11/29/1941</t>
  </si>
  <si>
    <t>04/07/1963</t>
  </si>
  <si>
    <t>06/30/1948</t>
  </si>
  <si>
    <t>01/15/1953</t>
  </si>
  <si>
    <t>07/15/1957</t>
  </si>
  <si>
    <t>06/27/1948</t>
  </si>
  <si>
    <t>05/23/1946</t>
  </si>
  <si>
    <t>10/01/1952</t>
  </si>
  <si>
    <t>12/03/1964</t>
  </si>
  <si>
    <t>08/10/1994</t>
  </si>
  <si>
    <t>02/20/1971</t>
  </si>
  <si>
    <t>05/20/1965</t>
  </si>
  <si>
    <t>05/23/1944</t>
  </si>
  <si>
    <t>07/03/1995</t>
  </si>
  <si>
    <t>11/24/1997</t>
  </si>
  <si>
    <t>01/19/1942</t>
  </si>
  <si>
    <t>06/20/1984</t>
  </si>
  <si>
    <t>06/17/1972</t>
  </si>
  <si>
    <t>06/05/1952</t>
  </si>
  <si>
    <t>07/04/1943</t>
  </si>
  <si>
    <t>07/04/1964</t>
  </si>
  <si>
    <t>01/21/1969</t>
  </si>
  <si>
    <t>06/05/1979</t>
  </si>
  <si>
    <t>11/16/1955</t>
  </si>
  <si>
    <t>10/02/1941</t>
  </si>
  <si>
    <t>06/02/1962</t>
  </si>
  <si>
    <t>09/28/1965</t>
  </si>
  <si>
    <t>06/05/1954</t>
  </si>
  <si>
    <t>11/01/1952</t>
  </si>
  <si>
    <t>01/08/1958</t>
  </si>
  <si>
    <t>02/28/1953</t>
  </si>
  <si>
    <t>07/16/1968</t>
  </si>
  <si>
    <t>10/03/1962</t>
  </si>
  <si>
    <t>06/22/1954</t>
  </si>
  <si>
    <t>02/22/1949</t>
  </si>
  <si>
    <t>11/11/1961</t>
  </si>
  <si>
    <t>06/14/1960</t>
  </si>
  <si>
    <t>01/25/1990</t>
  </si>
  <si>
    <t>06/30/1961</t>
  </si>
  <si>
    <t>03/23/1983</t>
  </si>
  <si>
    <t>01/01/1981</t>
  </si>
  <si>
    <t>03/14/1972</t>
  </si>
  <si>
    <t>12/08/1944</t>
  </si>
  <si>
    <t>06/14/1955</t>
  </si>
  <si>
    <t>05/12/1959</t>
  </si>
  <si>
    <t>03/19/1955</t>
  </si>
  <si>
    <t>10/25/1954</t>
  </si>
  <si>
    <t>04/25/1967</t>
  </si>
  <si>
    <t>08/01/1953</t>
  </si>
  <si>
    <t>11/04/1970</t>
  </si>
  <si>
    <t>06/07/1946</t>
  </si>
  <si>
    <t>09/18/1979</t>
  </si>
  <si>
    <t>05/04/1990</t>
  </si>
  <si>
    <t>02/03/1958</t>
  </si>
  <si>
    <t>02/27/1982</t>
  </si>
  <si>
    <t>12/03/1946</t>
  </si>
  <si>
    <t>11/07/1964</t>
  </si>
  <si>
    <t>10/05/1978</t>
  </si>
  <si>
    <t>09/11/1954</t>
  </si>
  <si>
    <t>02/09/1952</t>
  </si>
  <si>
    <t>05/04/1965</t>
  </si>
  <si>
    <t>07/09/1968</t>
  </si>
  <si>
    <t>01/30/1956</t>
  </si>
  <si>
    <t>11/28/1973</t>
  </si>
  <si>
    <t>05/31/1970</t>
  </si>
  <si>
    <t>10/14/1955</t>
  </si>
  <si>
    <t>06/04/1954</t>
  </si>
  <si>
    <t>05/17/1967</t>
  </si>
  <si>
    <t>07/05/1964</t>
  </si>
  <si>
    <t>01/09/1975</t>
  </si>
  <si>
    <t>02/20/1992</t>
  </si>
  <si>
    <t>01/08/1956</t>
  </si>
  <si>
    <t>03/29/1984</t>
  </si>
  <si>
    <t>08/06/1988</t>
  </si>
  <si>
    <t>09/15/1957</t>
  </si>
  <si>
    <t>09/14/1973</t>
  </si>
  <si>
    <t>01/25/1998</t>
  </si>
  <si>
    <t>12/26/1952</t>
  </si>
  <si>
    <t>08/04/1950</t>
  </si>
  <si>
    <t>01/20/1982</t>
  </si>
  <si>
    <t>02/12/1974</t>
  </si>
  <si>
    <t>07/10/1951</t>
  </si>
  <si>
    <t>12/25/1943</t>
  </si>
  <si>
    <t>07/21/1953</t>
  </si>
  <si>
    <t>01/03/1948</t>
  </si>
  <si>
    <t>02/11/1985</t>
  </si>
  <si>
    <t>06/12/1964</t>
  </si>
  <si>
    <t>07/17/1979</t>
  </si>
  <si>
    <t>10/08/1988</t>
  </si>
  <si>
    <t>10/07/1990</t>
  </si>
  <si>
    <t>05/11/1979</t>
  </si>
  <si>
    <t>10/19/1965</t>
  </si>
  <si>
    <t>10/27/1984</t>
  </si>
  <si>
    <t>10/21/1988</t>
  </si>
  <si>
    <t>04/28/1946</t>
  </si>
  <si>
    <t>10/27/1978</t>
  </si>
  <si>
    <t>02/05/1982</t>
  </si>
  <si>
    <t>11/02/1986</t>
  </si>
  <si>
    <t>10/22/1990</t>
  </si>
  <si>
    <t>10/13/1984</t>
  </si>
  <si>
    <t>05/30/1996</t>
  </si>
  <si>
    <t>09/08/1954</t>
  </si>
  <si>
    <t>06/03/1971</t>
  </si>
  <si>
    <t>09/03/1966</t>
  </si>
  <si>
    <t>10/30/1951</t>
  </si>
  <si>
    <t>01/23/1952</t>
  </si>
  <si>
    <t>03/21/1976</t>
  </si>
  <si>
    <t>07/17/1974</t>
  </si>
  <si>
    <t>09/22/1978</t>
  </si>
  <si>
    <t>04/23/1956</t>
  </si>
  <si>
    <t>06/06/1964</t>
  </si>
  <si>
    <t>08/02/1967</t>
  </si>
  <si>
    <t>02/20/1974</t>
  </si>
  <si>
    <t>04/21/1971</t>
  </si>
  <si>
    <t>02/01/1979</t>
  </si>
  <si>
    <t>05/08/1945</t>
  </si>
  <si>
    <t>09/29/1963</t>
  </si>
  <si>
    <t>05/10/1990</t>
  </si>
  <si>
    <t>11/04/1954</t>
  </si>
  <si>
    <t>04/26/1981</t>
  </si>
  <si>
    <t>01/01/1954</t>
  </si>
  <si>
    <t>06/07/1969</t>
  </si>
  <si>
    <t>12/21/1962</t>
  </si>
  <si>
    <t>08/12/1964</t>
  </si>
  <si>
    <t>03/11/1991</t>
  </si>
  <si>
    <t>09/30/1957</t>
  </si>
  <si>
    <t>03/08/1952</t>
  </si>
  <si>
    <t>06/15/1989</t>
  </si>
  <si>
    <t>07/26/1941</t>
  </si>
  <si>
    <t>09/21/1959</t>
  </si>
  <si>
    <t>10/27/1987</t>
  </si>
  <si>
    <t>01/08/1981</t>
  </si>
  <si>
    <t>08/28/1984</t>
  </si>
  <si>
    <t>04/18/1985</t>
  </si>
  <si>
    <t>04/15/1957</t>
  </si>
  <si>
    <t>11/21/1978</t>
  </si>
  <si>
    <t>03/06/1975</t>
  </si>
  <si>
    <t>12/15/1949</t>
  </si>
  <si>
    <t>12/09/1953</t>
  </si>
  <si>
    <t>08/27/1953</t>
  </si>
  <si>
    <t>02/19/1954</t>
  </si>
  <si>
    <t>10/07/1947</t>
  </si>
  <si>
    <t>06/12/1950</t>
  </si>
  <si>
    <t>10/18/1984</t>
  </si>
  <si>
    <t>12/03/1953</t>
  </si>
  <si>
    <t>01/04/1953</t>
  </si>
  <si>
    <t>04/20/1988</t>
  </si>
  <si>
    <t>12/18/1974</t>
  </si>
  <si>
    <t>04/16/1996</t>
  </si>
  <si>
    <t>04/24/1965</t>
  </si>
  <si>
    <t>11/02/1962</t>
  </si>
  <si>
    <t>03/11/1973</t>
  </si>
  <si>
    <t>12/24/1988</t>
  </si>
  <si>
    <t>03/21/1953</t>
  </si>
  <si>
    <t>07/27/1955</t>
  </si>
  <si>
    <t>05/10/1991</t>
  </si>
  <si>
    <t>08/14/1977</t>
  </si>
  <si>
    <t>03/05/1980</t>
  </si>
  <si>
    <t>09/08/1975</t>
  </si>
  <si>
    <t>06/04/1947</t>
  </si>
  <si>
    <t>07/04/1972</t>
  </si>
  <si>
    <t>11/28/1955</t>
  </si>
  <si>
    <t>04/15/1960</t>
  </si>
  <si>
    <t>09/18/1981</t>
  </si>
  <si>
    <t>10/15/1952</t>
  </si>
  <si>
    <t>01/26/1960</t>
  </si>
  <si>
    <t>03/01/1953</t>
  </si>
  <si>
    <t>07/16/1957</t>
  </si>
  <si>
    <t>06/16/1973</t>
  </si>
  <si>
    <t>07/30/1976</t>
  </si>
  <si>
    <t>08/10/1971</t>
  </si>
  <si>
    <t>01/24/1983</t>
  </si>
  <si>
    <t>06/20/1959</t>
  </si>
  <si>
    <t>04/21/1989</t>
  </si>
  <si>
    <t>11/19/1958</t>
  </si>
  <si>
    <t>05/23/1996</t>
  </si>
  <si>
    <t>08/20/1963</t>
  </si>
  <si>
    <t>10/10/1928</t>
  </si>
  <si>
    <t>01/15/1946</t>
  </si>
  <si>
    <t>09/21/1980</t>
  </si>
  <si>
    <t>07/15/1970</t>
  </si>
  <si>
    <t>01/29/1956</t>
  </si>
  <si>
    <t>01/17/1986</t>
  </si>
  <si>
    <t>08/12/1984</t>
  </si>
  <si>
    <t>02/11/1990</t>
  </si>
  <si>
    <t>12/09/1970</t>
  </si>
  <si>
    <t>01/17/1971</t>
  </si>
  <si>
    <t>10/14/1957</t>
  </si>
  <si>
    <t>12/05/1967</t>
  </si>
  <si>
    <t>11/19/1971</t>
  </si>
  <si>
    <t>05/03/1970</t>
  </si>
  <si>
    <t>11/21/1962</t>
  </si>
  <si>
    <t>09/25/1973</t>
  </si>
  <si>
    <t>05/13/1949</t>
  </si>
  <si>
    <t>01/01/1958</t>
  </si>
  <si>
    <t>07/23/1966</t>
  </si>
  <si>
    <t>07/09/1953</t>
  </si>
  <si>
    <t>04/30/1939</t>
  </si>
  <si>
    <t>12/28/1981</t>
  </si>
  <si>
    <t>08/13/1972</t>
  </si>
  <si>
    <t>05/20/1968</t>
  </si>
  <si>
    <t>10/25/1957</t>
  </si>
  <si>
    <t>01/20/1967</t>
  </si>
  <si>
    <t>03/06/1987</t>
  </si>
  <si>
    <t>03/06/1955</t>
  </si>
  <si>
    <t>09/10/1978</t>
  </si>
  <si>
    <t>12/27/1976</t>
  </si>
  <si>
    <t>04/27/1943</t>
  </si>
  <si>
    <t>08/28/1986</t>
  </si>
  <si>
    <t>08/23/1986</t>
  </si>
  <si>
    <t>05/14/1980</t>
  </si>
  <si>
    <t>12/08/1977</t>
  </si>
  <si>
    <t>02/11/1965</t>
  </si>
  <si>
    <t>03/12/1980</t>
  </si>
  <si>
    <t>04/22/1961</t>
  </si>
  <si>
    <t>09/10/1959</t>
  </si>
  <si>
    <t>08/04/1976</t>
  </si>
  <si>
    <t>04/19/1947</t>
  </si>
  <si>
    <t>12/13/1984</t>
  </si>
  <si>
    <t>02/10/1957</t>
  </si>
  <si>
    <t>05/03/1981</t>
  </si>
  <si>
    <t>12/16/1942</t>
  </si>
  <si>
    <t>07/20/1965</t>
  </si>
  <si>
    <t>06/28/1977</t>
  </si>
  <si>
    <t>03/14/1959</t>
  </si>
  <si>
    <t>11/28/1984</t>
  </si>
  <si>
    <t>08/18/1957</t>
  </si>
  <si>
    <t>01/25/1987</t>
  </si>
  <si>
    <t>02/12/1989</t>
  </si>
  <si>
    <t>01/23/1980</t>
  </si>
  <si>
    <t>12/07/1963</t>
  </si>
  <si>
    <t>10/20/1952</t>
  </si>
  <si>
    <t>10/06/1972</t>
  </si>
  <si>
    <t>06/27/1966</t>
  </si>
  <si>
    <t>07/02/1966</t>
  </si>
  <si>
    <t>01/22/1985</t>
  </si>
  <si>
    <t>10/24/1971</t>
  </si>
  <si>
    <t>08/19/1975</t>
  </si>
  <si>
    <t>08/01/1985</t>
  </si>
  <si>
    <t>12/29/1985</t>
  </si>
  <si>
    <t>03/01/1957</t>
  </si>
  <si>
    <t>04/11/1982</t>
  </si>
  <si>
    <t>04/17/1979</t>
  </si>
  <si>
    <t>07/03/1978</t>
  </si>
  <si>
    <t>08/21/1963</t>
  </si>
  <si>
    <t>03/14/1956</t>
  </si>
  <si>
    <t>02/10/1963</t>
  </si>
  <si>
    <t>11/21/1956</t>
  </si>
  <si>
    <t>05/02/1986</t>
  </si>
  <si>
    <t>10/04/1987</t>
  </si>
  <si>
    <t>09/23/1971</t>
  </si>
  <si>
    <t>09/10/1972</t>
  </si>
  <si>
    <t>09/17/1983</t>
  </si>
  <si>
    <t>10/19/1984</t>
  </si>
  <si>
    <t>10/10/1993</t>
  </si>
  <si>
    <t>12/24/1930</t>
  </si>
  <si>
    <t>09/18/1960</t>
  </si>
  <si>
    <t>11/02/1996</t>
  </si>
  <si>
    <t>03/31/1948</t>
  </si>
  <si>
    <t>10/22/1962</t>
  </si>
  <si>
    <t>12/14/1958</t>
  </si>
  <si>
    <t>03/11/1988</t>
  </si>
  <si>
    <t>05/08/1961</t>
  </si>
  <si>
    <t>12/07/1965</t>
  </si>
  <si>
    <t>02/12/1983</t>
  </si>
  <si>
    <t>03/29/1988</t>
  </si>
  <si>
    <t>01/11/1959</t>
  </si>
  <si>
    <t>12/13/1971</t>
  </si>
  <si>
    <t>11/09/1966</t>
  </si>
  <si>
    <t>11/18/1984</t>
  </si>
  <si>
    <t>12/30/1980</t>
  </si>
  <si>
    <t>07/04/1992</t>
  </si>
  <si>
    <t>07/30/1973</t>
  </si>
  <si>
    <t>02/25/1970</t>
  </si>
  <si>
    <t>12/10/1975</t>
  </si>
  <si>
    <t>11/01/1967</t>
  </si>
  <si>
    <t>02/14/1960</t>
  </si>
  <si>
    <t>07/07/1987</t>
  </si>
  <si>
    <t>01/22/1957</t>
  </si>
  <si>
    <t>11/19/1965</t>
  </si>
  <si>
    <t>06/28/1928</t>
  </si>
  <si>
    <t>06/14/1961</t>
  </si>
  <si>
    <t>05/15/1995</t>
  </si>
  <si>
    <t>05/30/1948</t>
  </si>
  <si>
    <t>08/06/1992</t>
  </si>
  <si>
    <t>01/25/1943</t>
  </si>
  <si>
    <t>07/17/1943</t>
  </si>
  <si>
    <t>08/18/1950</t>
  </si>
  <si>
    <t>05/03/1961</t>
  </si>
  <si>
    <t>06/07/1956</t>
  </si>
  <si>
    <t>08/18/1945</t>
  </si>
  <si>
    <t>08/07/1969</t>
  </si>
  <si>
    <t>03/28/1980</t>
  </si>
  <si>
    <t>08/26/1957</t>
  </si>
  <si>
    <t>03/27/1952</t>
  </si>
  <si>
    <t>01/13/1969</t>
  </si>
  <si>
    <t>07/19/1962</t>
  </si>
  <si>
    <t>09/05/1947</t>
  </si>
  <si>
    <t>12/27/1965</t>
  </si>
  <si>
    <t>03/15/1966</t>
  </si>
  <si>
    <t>12/30/1979</t>
  </si>
  <si>
    <t>09/08/1979</t>
  </si>
  <si>
    <t>07/27/1943</t>
  </si>
  <si>
    <t>06/13/1991</t>
  </si>
  <si>
    <t>08/26/1961</t>
  </si>
  <si>
    <t>05/20/1978</t>
  </si>
  <si>
    <t>05/06/1988</t>
  </si>
  <si>
    <t>06/21/1984</t>
  </si>
  <si>
    <t>10/14/1978</t>
  </si>
  <si>
    <t>05/15/1979</t>
  </si>
  <si>
    <t>09/03/1978</t>
  </si>
  <si>
    <t>05/31/1977</t>
  </si>
  <si>
    <t>01/20/1973</t>
  </si>
  <si>
    <t>06/29/1952</t>
  </si>
  <si>
    <t>02/13/1946</t>
  </si>
  <si>
    <t>09/18/1970</t>
  </si>
  <si>
    <t>10/14/1948</t>
  </si>
  <si>
    <t>09/02/1988</t>
  </si>
  <si>
    <t>07/13/1969</t>
  </si>
  <si>
    <t>11/19/1993</t>
  </si>
  <si>
    <t>09/21/1933</t>
  </si>
  <si>
    <t>02/12/1976</t>
  </si>
  <si>
    <t>12/26/1955</t>
  </si>
  <si>
    <t>08/13/1978</t>
  </si>
  <si>
    <t>05/25/1962</t>
  </si>
  <si>
    <t>05/29/1974</t>
  </si>
  <si>
    <t>11/08/1982</t>
  </si>
  <si>
    <t>09/04/1944</t>
  </si>
  <si>
    <t>09/15/1955</t>
  </si>
  <si>
    <t>05/18/1958</t>
  </si>
  <si>
    <t>07/03/1988</t>
  </si>
  <si>
    <t>10/09/1981</t>
  </si>
  <si>
    <t>05/30/1997</t>
  </si>
  <si>
    <t>12/05/1961</t>
  </si>
  <si>
    <t>06/30/1970</t>
  </si>
  <si>
    <t>08/20/1968</t>
  </si>
  <si>
    <t>09/14/1967</t>
  </si>
  <si>
    <t>08/12/1971</t>
  </si>
  <si>
    <t>03/02/1946</t>
  </si>
  <si>
    <t>11/01/1976</t>
  </si>
  <si>
    <t>04/16/1961</t>
  </si>
  <si>
    <t>06/03/1958</t>
  </si>
  <si>
    <t>12/21/1952</t>
  </si>
  <si>
    <t>02/01/1988</t>
  </si>
  <si>
    <t>01/10/1961</t>
  </si>
  <si>
    <t>10/13/1990</t>
  </si>
  <si>
    <t>07/27/1944</t>
  </si>
  <si>
    <t>09/20/1961</t>
  </si>
  <si>
    <t>07/17/1970</t>
  </si>
  <si>
    <t>05/26/1961</t>
  </si>
  <si>
    <t>06/27/1960</t>
  </si>
  <si>
    <t>05/01/1942</t>
  </si>
  <si>
    <t>09/14/1940</t>
  </si>
  <si>
    <t>11/18/1965</t>
  </si>
  <si>
    <t>01/10/1952</t>
  </si>
  <si>
    <t>05/04/1943</t>
  </si>
  <si>
    <t>05/19/1980</t>
  </si>
  <si>
    <t>07/30/1979</t>
  </si>
  <si>
    <t>11/26/1982</t>
  </si>
  <si>
    <t>01/28/1998</t>
  </si>
  <si>
    <t>04/27/1953</t>
  </si>
  <si>
    <t>05/02/1964</t>
  </si>
  <si>
    <t>03/14/1949</t>
  </si>
  <si>
    <t>03/28/1973</t>
  </si>
  <si>
    <t>01/25/1958</t>
  </si>
  <si>
    <t>01/26/1976</t>
  </si>
  <si>
    <t>08/13/1937</t>
  </si>
  <si>
    <t>02/12/1978</t>
  </si>
  <si>
    <t>05/23/1981</t>
  </si>
  <si>
    <t>08/05/1994</t>
  </si>
  <si>
    <t>08/12/1993</t>
  </si>
  <si>
    <t>10/02/1987</t>
  </si>
  <si>
    <t>08/14/1982</t>
  </si>
  <si>
    <t>06/27/1951</t>
  </si>
  <si>
    <t>11/24/1942</t>
  </si>
  <si>
    <t>07/19/1943</t>
  </si>
  <si>
    <t>05/01/1968</t>
  </si>
  <si>
    <t>06/12/1979</t>
  </si>
  <si>
    <t>05/13/1970</t>
  </si>
  <si>
    <t>03/25/1993</t>
  </si>
  <si>
    <t>01/22/1963</t>
  </si>
  <si>
    <t>04/21/1961</t>
  </si>
  <si>
    <t>03/24/1970</t>
  </si>
  <si>
    <t>04/06/1981</t>
  </si>
  <si>
    <t>02/13/1962</t>
  </si>
  <si>
    <t>01/19/1971</t>
  </si>
  <si>
    <t>08/23/1974</t>
  </si>
  <si>
    <t>09/27/1957</t>
  </si>
  <si>
    <t>01/06/1985</t>
  </si>
  <si>
    <t>07/29/1987</t>
  </si>
  <si>
    <t>09/15/1950</t>
  </si>
  <si>
    <t>02/05/1963</t>
  </si>
  <si>
    <t>09/01/1975</t>
  </si>
  <si>
    <t>09/06/1966</t>
  </si>
  <si>
    <t>06/04/1965</t>
  </si>
  <si>
    <t>02/12/1967</t>
  </si>
  <si>
    <t>12/10/1954</t>
  </si>
  <si>
    <t>06/30/1984</t>
  </si>
  <si>
    <t>10/31/1959</t>
  </si>
  <si>
    <t>12/18/1958</t>
  </si>
  <si>
    <t>08/04/1969</t>
  </si>
  <si>
    <t>09/08/1945</t>
  </si>
  <si>
    <t>12/09/1963</t>
  </si>
  <si>
    <t>07/08/1989</t>
  </si>
  <si>
    <t>07/14/1956</t>
  </si>
  <si>
    <t>07/22/1965</t>
  </si>
  <si>
    <t>02/14/1976</t>
  </si>
  <si>
    <t>10/04/1963</t>
  </si>
  <si>
    <t>01/27/1980</t>
  </si>
  <si>
    <t>04/13/1994</t>
  </si>
  <si>
    <t>08/30/1969</t>
  </si>
  <si>
    <t>11/12/1976</t>
  </si>
  <si>
    <t>02/24/1959</t>
  </si>
  <si>
    <t>08/16/1960</t>
  </si>
  <si>
    <t>05/12/1991</t>
  </si>
  <si>
    <t>02/17/1992</t>
  </si>
  <si>
    <t>12/31/1963</t>
  </si>
  <si>
    <t>04/03/1965</t>
  </si>
  <si>
    <t>04/08/1993</t>
  </si>
  <si>
    <t>09/06/1983</t>
  </si>
  <si>
    <t>03/15/1993</t>
  </si>
  <si>
    <t>09/07/1973</t>
  </si>
  <si>
    <t>09/05/1985</t>
  </si>
  <si>
    <t>09/03/1958</t>
  </si>
  <si>
    <t>05/24/1987</t>
  </si>
  <si>
    <t>07/10/1982</t>
  </si>
  <si>
    <t>05/11/1985</t>
  </si>
  <si>
    <t>10/29/1958</t>
  </si>
  <si>
    <t>12/20/1991</t>
  </si>
  <si>
    <t>09/13/1958</t>
  </si>
  <si>
    <t>04/26/1956</t>
  </si>
  <si>
    <t>11/27/1962</t>
  </si>
  <si>
    <t>08/01/1989</t>
  </si>
  <si>
    <t>09/30/1976</t>
  </si>
  <si>
    <t>05/11/1965</t>
  </si>
  <si>
    <t>12/06/1978</t>
  </si>
  <si>
    <t>05/25/1975</t>
  </si>
  <si>
    <t>03/04/1969</t>
  </si>
  <si>
    <t>09/11/1981</t>
  </si>
  <si>
    <t>08/17/1944</t>
  </si>
  <si>
    <t>08/07/1965</t>
  </si>
  <si>
    <t>04/07/1994</t>
  </si>
  <si>
    <t>10/07/1952</t>
  </si>
  <si>
    <t>05/08/1960</t>
  </si>
  <si>
    <t>08/06/1978</t>
  </si>
  <si>
    <t>11/04/1964</t>
  </si>
  <si>
    <t>12/14/1948</t>
  </si>
  <si>
    <t>12/21/1977</t>
  </si>
  <si>
    <t>08/03/1987</t>
  </si>
  <si>
    <t>11/21/1944</t>
  </si>
  <si>
    <t>05/08/1985</t>
  </si>
  <si>
    <t>04/11/1958</t>
  </si>
  <si>
    <t>11/13/1984</t>
  </si>
  <si>
    <t>09/05/1970</t>
  </si>
  <si>
    <t>10/31/1967</t>
  </si>
  <si>
    <t>10/21/1964</t>
  </si>
  <si>
    <t>04/18/1975</t>
  </si>
  <si>
    <t>09/18/1962</t>
  </si>
  <si>
    <t>06/29/1957</t>
  </si>
  <si>
    <t>08/14/1965</t>
  </si>
  <si>
    <t>11/14/1962</t>
  </si>
  <si>
    <t>01/26/1971</t>
  </si>
  <si>
    <t>11/09/1935</t>
  </si>
  <si>
    <t>08/20/1949</t>
  </si>
  <si>
    <t>01/20/1980</t>
  </si>
  <si>
    <t>12/18/1968</t>
  </si>
  <si>
    <t>08/03/1978</t>
  </si>
  <si>
    <t>09/12/1967</t>
  </si>
  <si>
    <t>06/11/1969</t>
  </si>
  <si>
    <t>02/24/1992</t>
  </si>
  <si>
    <t>05/23/1987</t>
  </si>
  <si>
    <t>05/25/1969</t>
  </si>
  <si>
    <t>10/15/1991</t>
  </si>
  <si>
    <t>12/12/1950</t>
  </si>
  <si>
    <t>11/14/1971</t>
  </si>
  <si>
    <t>01/04/1945</t>
  </si>
  <si>
    <t>03/17/1940</t>
  </si>
  <si>
    <t>11/20/1989</t>
  </si>
  <si>
    <t>12/10/1962</t>
  </si>
  <si>
    <t>07/29/1993</t>
  </si>
  <si>
    <t>08/24/1964</t>
  </si>
  <si>
    <t>11/16/1991</t>
  </si>
  <si>
    <t>05/10/1964</t>
  </si>
  <si>
    <t>03/15/1958</t>
  </si>
  <si>
    <t>12/17/1973</t>
  </si>
  <si>
    <t>08/05/1963</t>
  </si>
  <si>
    <t>04/23/1963</t>
  </si>
  <si>
    <t>08/26/1996</t>
  </si>
  <si>
    <t>08/09/1994</t>
  </si>
  <si>
    <t>10/14/1989</t>
  </si>
  <si>
    <t>05/04/1972</t>
  </si>
  <si>
    <t>12/01/1972</t>
  </si>
  <si>
    <t>09/03/1983</t>
  </si>
  <si>
    <t>05/23/1965</t>
  </si>
  <si>
    <t>06/21/1973</t>
  </si>
  <si>
    <t>10/22/1992</t>
  </si>
  <si>
    <t>01/02/1970</t>
  </si>
  <si>
    <t>05/21/1982</t>
  </si>
  <si>
    <t>11/30/1983</t>
  </si>
  <si>
    <t>03/11/1962</t>
  </si>
  <si>
    <t>08/20/1936</t>
  </si>
  <si>
    <t>10/24/1977</t>
  </si>
  <si>
    <t>06/20/1982</t>
  </si>
  <si>
    <t>06/14/1990</t>
  </si>
  <si>
    <t>07/21/1969</t>
  </si>
  <si>
    <t>05/09/1955</t>
  </si>
  <si>
    <t>07/14/1982</t>
  </si>
  <si>
    <t>05/22/1989</t>
  </si>
  <si>
    <t>05/09/1942</t>
  </si>
  <si>
    <t>06/16/1985</t>
  </si>
  <si>
    <t>01/18/1981</t>
  </si>
  <si>
    <t>01/19/1981</t>
  </si>
  <si>
    <t>01/30/1989</t>
  </si>
  <si>
    <t>08/21/1966</t>
  </si>
  <si>
    <t>07/20/1977</t>
  </si>
  <si>
    <t>07/06/1968</t>
  </si>
  <si>
    <t>11/01/1981</t>
  </si>
  <si>
    <t>05/07/1969</t>
  </si>
  <si>
    <t>01/24/1961</t>
  </si>
  <si>
    <t>07/21/1967</t>
  </si>
  <si>
    <t>09/05/1962</t>
  </si>
  <si>
    <t>09/06/1941</t>
  </si>
  <si>
    <t>01/28/1959</t>
  </si>
  <si>
    <t>05/08/1975</t>
  </si>
  <si>
    <t>01/25/1994</t>
  </si>
  <si>
    <t>08/25/1980</t>
  </si>
  <si>
    <t>08/26/1981</t>
  </si>
  <si>
    <t>10/08/1958</t>
  </si>
  <si>
    <t>01/30/1978</t>
  </si>
  <si>
    <t>11/16/1957</t>
  </si>
  <si>
    <t>11/29/1935</t>
  </si>
  <si>
    <t>04/02/1969</t>
  </si>
  <si>
    <t>04/28/1958</t>
  </si>
  <si>
    <t>03/14/1971</t>
  </si>
  <si>
    <t>05/19/1970</t>
  </si>
  <si>
    <t>01/18/1989</t>
  </si>
  <si>
    <t>02/14/1965</t>
  </si>
  <si>
    <t>10/26/1981</t>
  </si>
  <si>
    <t>06/30/1985</t>
  </si>
  <si>
    <t>05/09/1972</t>
  </si>
  <si>
    <t>04/07/1975</t>
  </si>
  <si>
    <t>01/14/1991</t>
  </si>
  <si>
    <t>09/03/1972</t>
  </si>
  <si>
    <t>07/23/1974</t>
  </si>
  <si>
    <t>07/02/1969</t>
  </si>
  <si>
    <t>01/14/1995</t>
  </si>
  <si>
    <t>06/17/1939</t>
  </si>
  <si>
    <t>04/15/1998</t>
  </si>
  <si>
    <t>04/24/1932</t>
  </si>
  <si>
    <t>12/05/1939</t>
  </si>
  <si>
    <t>05/24/1967</t>
  </si>
  <si>
    <t>06/09/1989</t>
  </si>
  <si>
    <t>01/22/1981</t>
  </si>
  <si>
    <t>01/02/1980</t>
  </si>
  <si>
    <t>07/02/1989</t>
  </si>
  <si>
    <t>06/09/1990</t>
  </si>
  <si>
    <t>02/06/1971</t>
  </si>
  <si>
    <t>04/27/1950</t>
  </si>
  <si>
    <t>09/05/1957</t>
  </si>
  <si>
    <t>08/24/1974</t>
  </si>
  <si>
    <t>09/26/1964</t>
  </si>
  <si>
    <t>05/03/1982</t>
  </si>
  <si>
    <t>09/14/1945</t>
  </si>
  <si>
    <t>11/02/1943</t>
  </si>
  <si>
    <t>05/26/1983</t>
  </si>
  <si>
    <t>05/19/1966</t>
  </si>
  <si>
    <t>09/26/1980</t>
  </si>
  <si>
    <t>02/01/1977</t>
  </si>
  <si>
    <t>05/06/1953</t>
  </si>
  <si>
    <t>12/07/1969</t>
  </si>
  <si>
    <t>06/24/1954</t>
  </si>
  <si>
    <t>02/04/1949</t>
  </si>
  <si>
    <t>02/07/1997</t>
  </si>
  <si>
    <t>05/17/1962</t>
  </si>
  <si>
    <t>11/13/1948</t>
  </si>
  <si>
    <t>09/15/1964</t>
  </si>
  <si>
    <t>02/22/1979</t>
  </si>
  <si>
    <t>11/29/1978</t>
  </si>
  <si>
    <t>08/24/1961</t>
  </si>
  <si>
    <t>01/12/1955</t>
  </si>
  <si>
    <t>07/01/1976</t>
  </si>
  <si>
    <t>12/19/1989</t>
  </si>
  <si>
    <t>11/15/1958</t>
  </si>
  <si>
    <t>04/24/1966</t>
  </si>
  <si>
    <t>09/09/1959</t>
  </si>
  <si>
    <t>03/14/1945</t>
  </si>
  <si>
    <t>09/11/1956</t>
  </si>
  <si>
    <t>11/18/1978</t>
  </si>
  <si>
    <t>02/21/1961</t>
  </si>
  <si>
    <t>12/05/1969</t>
  </si>
  <si>
    <t>12/07/1976</t>
  </si>
  <si>
    <t>02/11/1956</t>
  </si>
  <si>
    <t>04/11/1973</t>
  </si>
  <si>
    <t>09/04/1957</t>
  </si>
  <si>
    <t>04/26/1987</t>
  </si>
  <si>
    <t>07/13/1954</t>
  </si>
  <si>
    <t>11/25/1984</t>
  </si>
  <si>
    <t>12/14/1960</t>
  </si>
  <si>
    <t>06/27/1968</t>
  </si>
  <si>
    <t>06/20/1977</t>
  </si>
  <si>
    <t>07/04/1977</t>
  </si>
  <si>
    <t>01/20/1989</t>
  </si>
  <si>
    <t>03/19/1934</t>
  </si>
  <si>
    <t>08/20/1975</t>
  </si>
  <si>
    <t>04/22/1990</t>
  </si>
  <si>
    <t>12/22/1992</t>
  </si>
  <si>
    <t>09/25/1979</t>
  </si>
  <si>
    <t>06/13/1985</t>
  </si>
  <si>
    <t>06/14/1976</t>
  </si>
  <si>
    <t>01/02/1944</t>
  </si>
  <si>
    <t>04/09/1960</t>
  </si>
  <si>
    <t>10/20/1993</t>
  </si>
  <si>
    <t>03/17/1985</t>
  </si>
  <si>
    <t>02/20/1961</t>
  </si>
  <si>
    <t>05/22/1977</t>
  </si>
  <si>
    <t>08/27/1969</t>
  </si>
  <si>
    <t>10/07/1986</t>
  </si>
  <si>
    <t>04/27/1966</t>
  </si>
  <si>
    <t>04/20/1944</t>
  </si>
  <si>
    <t>02/18/1980</t>
  </si>
  <si>
    <t>08/02/1941</t>
  </si>
  <si>
    <t>05/25/1991</t>
  </si>
  <si>
    <t>05/25/1985</t>
  </si>
  <si>
    <t>10/10/1985</t>
  </si>
  <si>
    <t>11/28/1988</t>
  </si>
  <si>
    <t>07/23/1953</t>
  </si>
  <si>
    <t>02/01/1968</t>
  </si>
  <si>
    <t>01/06/1980</t>
  </si>
  <si>
    <t>12/27/1988</t>
  </si>
  <si>
    <t>03/06/1961</t>
  </si>
  <si>
    <t>02/07/1953</t>
  </si>
  <si>
    <t>04/21/1997</t>
  </si>
  <si>
    <t>06/06/1965</t>
  </si>
  <si>
    <t>03/30/1969</t>
  </si>
  <si>
    <t>08/13/1987</t>
  </si>
  <si>
    <t>02/24/1991</t>
  </si>
  <si>
    <t>07/23/1976</t>
  </si>
  <si>
    <t>01/06/1989</t>
  </si>
  <si>
    <t>09/29/1958</t>
  </si>
  <si>
    <t>04/30/1975</t>
  </si>
  <si>
    <t>01/19/1983</t>
  </si>
  <si>
    <t>02/20/1965</t>
  </si>
  <si>
    <t>06/26/1976</t>
  </si>
  <si>
    <t>03/18/1985</t>
  </si>
  <si>
    <t>12/29/1984</t>
  </si>
  <si>
    <t>12/11/1940</t>
  </si>
  <si>
    <t>08/01/1963</t>
  </si>
  <si>
    <t>08/13/1981</t>
  </si>
  <si>
    <t>06/28/1961</t>
  </si>
  <si>
    <t>05/26/1996</t>
  </si>
  <si>
    <t>06/06/1961</t>
  </si>
  <si>
    <t>02/27/1970</t>
  </si>
  <si>
    <t>11/17/1985</t>
  </si>
  <si>
    <t>07/31/1982</t>
  </si>
  <si>
    <t>11/07/1962</t>
  </si>
  <si>
    <t>08/03/1985</t>
  </si>
  <si>
    <t>03/17/1964</t>
  </si>
  <si>
    <t>07/02/1943</t>
  </si>
  <si>
    <t>07/24/1971</t>
  </si>
  <si>
    <t>06/10/1974</t>
  </si>
  <si>
    <t>05/14/1984</t>
  </si>
  <si>
    <t>06/29/1969</t>
  </si>
  <si>
    <t>05/23/1954</t>
  </si>
  <si>
    <t>02/22/1982</t>
  </si>
  <si>
    <t>10/03/1990</t>
  </si>
  <si>
    <t>11/24/1978</t>
  </si>
  <si>
    <t>04/19/1951</t>
  </si>
  <si>
    <t>10/23/1989</t>
  </si>
  <si>
    <t>09/01/1960</t>
  </si>
  <si>
    <t>02/11/1974</t>
  </si>
  <si>
    <t>03/13/1975</t>
  </si>
  <si>
    <t>03/11/1977</t>
  </si>
  <si>
    <t>12/12/1972</t>
  </si>
  <si>
    <t>07/30/1949</t>
  </si>
  <si>
    <t>01/05/1993</t>
  </si>
  <si>
    <t>03/30/1952</t>
  </si>
  <si>
    <t>01/05/1963</t>
  </si>
  <si>
    <t>08/04/1952</t>
  </si>
  <si>
    <t>04/26/1962</t>
  </si>
  <si>
    <t>09/25/1952</t>
  </si>
  <si>
    <t>06/13/1976</t>
  </si>
  <si>
    <t>07/08/1976</t>
  </si>
  <si>
    <t>01/13/1965</t>
  </si>
  <si>
    <t>01/18/1982</t>
  </si>
  <si>
    <t>09/02/1992</t>
  </si>
  <si>
    <t>11/03/1961</t>
  </si>
  <si>
    <t>01/06/1966</t>
  </si>
  <si>
    <t>11/23/1953</t>
  </si>
  <si>
    <t>06/06/1978</t>
  </si>
  <si>
    <t>04/04/1959</t>
  </si>
  <si>
    <t>04/15/1941</t>
  </si>
  <si>
    <t>04/21/1947</t>
  </si>
  <si>
    <t>09/25/1961</t>
  </si>
  <si>
    <t>01/29/1949</t>
  </si>
  <si>
    <t>11/07/1956</t>
  </si>
  <si>
    <t>09/28/1968</t>
  </si>
  <si>
    <t>02/24/1984</t>
  </si>
  <si>
    <t>02/03/1974</t>
  </si>
  <si>
    <t>12/21/1966</t>
  </si>
  <si>
    <t>02/04/1987</t>
  </si>
  <si>
    <t>10/11/1960</t>
  </si>
  <si>
    <t>08/11/1948</t>
  </si>
  <si>
    <t>08/19/1953</t>
  </si>
  <si>
    <t>11/19/1962</t>
  </si>
  <si>
    <t>12/17/1954</t>
  </si>
  <si>
    <t>04/25/1978</t>
  </si>
  <si>
    <t>05/23/1978</t>
  </si>
  <si>
    <t>08/10/1990</t>
  </si>
  <si>
    <t>01/17/1972</t>
  </si>
  <si>
    <t>02/27/1955</t>
  </si>
  <si>
    <t>02/25/1950</t>
  </si>
  <si>
    <t>01/31/1969</t>
  </si>
  <si>
    <t>02/25/1951</t>
  </si>
  <si>
    <t>06/09/1976</t>
  </si>
  <si>
    <t>05/25/1986</t>
  </si>
  <si>
    <t>10/17/1976</t>
  </si>
  <si>
    <t>02/27/1993</t>
  </si>
  <si>
    <t>01/28/1968</t>
  </si>
  <si>
    <t>02/26/1960</t>
  </si>
  <si>
    <t>07/29/1963</t>
  </si>
  <si>
    <t>01/23/1953</t>
  </si>
  <si>
    <t>09/24/1984</t>
  </si>
  <si>
    <t>05/10/1998</t>
  </si>
  <si>
    <t>08/20/1966</t>
  </si>
  <si>
    <t>07/16/1995</t>
  </si>
  <si>
    <t>08/15/1973</t>
  </si>
  <si>
    <t>09/05/1986</t>
  </si>
  <si>
    <t>08/02/1993</t>
  </si>
  <si>
    <t>01/21/1977</t>
  </si>
  <si>
    <t>07/01/1975</t>
  </si>
  <si>
    <t>05/07/1967</t>
  </si>
  <si>
    <t>11/20/1975</t>
  </si>
  <si>
    <t>05/14/1961</t>
  </si>
  <si>
    <t>04/23/1996</t>
  </si>
  <si>
    <t>01/30/1993</t>
  </si>
  <si>
    <t>03/15/1948</t>
  </si>
  <si>
    <t>04/30/1988</t>
  </si>
  <si>
    <t>08/27/1983</t>
  </si>
  <si>
    <t>12/30/1959</t>
  </si>
  <si>
    <t>10/21/1989</t>
  </si>
  <si>
    <t>12/11/1932</t>
  </si>
  <si>
    <t>01/25/1965</t>
  </si>
  <si>
    <t>11/01/1946</t>
  </si>
  <si>
    <t>04/02/1970</t>
  </si>
  <si>
    <t>04/19/1953</t>
  </si>
  <si>
    <t>10/29/1943</t>
  </si>
  <si>
    <t>08/26/1945</t>
  </si>
  <si>
    <t>06/08/1960</t>
  </si>
  <si>
    <t>07/08/1994</t>
  </si>
  <si>
    <t>02/04/1982</t>
  </si>
  <si>
    <t>09/02/1977</t>
  </si>
  <si>
    <t>06/29/1958</t>
  </si>
  <si>
    <t>08/08/1981</t>
  </si>
  <si>
    <t>09/24/1964</t>
  </si>
  <si>
    <t>10/25/1988</t>
  </si>
  <si>
    <t>08/18/1965</t>
  </si>
  <si>
    <t>12/31/1980</t>
  </si>
  <si>
    <t>01/07/1991</t>
  </si>
  <si>
    <t>03/08/1967</t>
  </si>
  <si>
    <t>10/22/1975</t>
  </si>
  <si>
    <t>06/28/1948</t>
  </si>
  <si>
    <t>03/27/1971</t>
  </si>
  <si>
    <t>06/12/1969</t>
  </si>
  <si>
    <t>03/16/1979</t>
  </si>
  <si>
    <t>06/02/1947</t>
  </si>
  <si>
    <t>11/30/1958</t>
  </si>
  <si>
    <t>09/29/1962</t>
  </si>
  <si>
    <t>10/06/1958</t>
  </si>
  <si>
    <t>04/13/1960</t>
  </si>
  <si>
    <t>02/18/1974</t>
  </si>
  <si>
    <t>07/21/1984</t>
  </si>
  <si>
    <t>02/27/1945</t>
  </si>
  <si>
    <t>09/04/1961</t>
  </si>
  <si>
    <t>08/15/1948</t>
  </si>
  <si>
    <t>08/26/1941</t>
  </si>
  <si>
    <t>10/13/1944</t>
  </si>
  <si>
    <t>04/29/1956</t>
  </si>
  <si>
    <t>05/12/1986</t>
  </si>
  <si>
    <t>07/16/1965</t>
  </si>
  <si>
    <t>11/26/1978</t>
  </si>
  <si>
    <t>12/13/1990</t>
  </si>
  <si>
    <t>04/16/1991</t>
  </si>
  <si>
    <t>10/12/1982</t>
  </si>
  <si>
    <t>11/10/1990</t>
  </si>
  <si>
    <t>11/21/1967</t>
  </si>
  <si>
    <t>06/10/1949</t>
  </si>
  <si>
    <t>10/17/1968</t>
  </si>
  <si>
    <t>05/29/1975</t>
  </si>
  <si>
    <t>02/09/1958</t>
  </si>
  <si>
    <t>12/28/1946</t>
  </si>
  <si>
    <t>10/22/1970</t>
  </si>
  <si>
    <t>07/08/1964</t>
  </si>
  <si>
    <t>11/10/1980</t>
  </si>
  <si>
    <t>09/10/1994</t>
  </si>
  <si>
    <t>04/16/1965</t>
  </si>
  <si>
    <t>01/20/1952</t>
  </si>
  <si>
    <t>04/04/1971</t>
  </si>
  <si>
    <t>01/30/1962</t>
  </si>
  <si>
    <t>05/18/1963</t>
  </si>
  <si>
    <t>11/22/1986</t>
  </si>
  <si>
    <t>07/14/1974</t>
  </si>
  <si>
    <t>08/03/1974</t>
  </si>
  <si>
    <t>05/18/1957</t>
  </si>
  <si>
    <t>01/23/1979</t>
  </si>
  <si>
    <t>06/11/1987</t>
  </si>
  <si>
    <t>11/16/1979</t>
  </si>
  <si>
    <t>09/22/1951</t>
  </si>
  <si>
    <t>03/13/1992</t>
  </si>
  <si>
    <t>11/04/1963</t>
  </si>
  <si>
    <t>07/01/1969</t>
  </si>
  <si>
    <t>08/13/1953</t>
  </si>
  <si>
    <t>10/02/1991</t>
  </si>
  <si>
    <t>07/24/1949</t>
  </si>
  <si>
    <t>08/25/1981</t>
  </si>
  <si>
    <t>07/31/1974</t>
  </si>
  <si>
    <t>01/24/1982</t>
  </si>
  <si>
    <t>07/08/1961</t>
  </si>
  <si>
    <t>03/07/1974</t>
  </si>
  <si>
    <t>10/30/1929</t>
  </si>
  <si>
    <t>12/17/1970</t>
  </si>
  <si>
    <t>03/31/1968</t>
  </si>
  <si>
    <t>08/21/1947</t>
  </si>
  <si>
    <t>09/29/1944</t>
  </si>
  <si>
    <t>10/01/1964</t>
  </si>
  <si>
    <t>06/19/1973</t>
  </si>
  <si>
    <t>11/24/1968</t>
  </si>
  <si>
    <t>04/28/1951</t>
  </si>
  <si>
    <t>03/22/1965</t>
  </si>
  <si>
    <t>10/14/1964</t>
  </si>
  <si>
    <t>02/09/1984</t>
  </si>
  <si>
    <t>05/09/1967</t>
  </si>
  <si>
    <t>09/08/1978</t>
  </si>
  <si>
    <t>10/10/1957</t>
  </si>
  <si>
    <t>10/08/1966</t>
  </si>
  <si>
    <t>06/09/1968</t>
  </si>
  <si>
    <t>11/12/1967</t>
  </si>
  <si>
    <t>12/14/1963</t>
  </si>
  <si>
    <t>04/12/1985</t>
  </si>
  <si>
    <t>03/25/1987</t>
  </si>
  <si>
    <t>03/17/1966</t>
  </si>
  <si>
    <t>03/07/1981</t>
  </si>
  <si>
    <t>08/22/1978</t>
  </si>
  <si>
    <t>12/28/1943</t>
  </si>
  <si>
    <t>09/18/1967</t>
  </si>
  <si>
    <t>05/15/1947</t>
  </si>
  <si>
    <t>04/07/1997</t>
  </si>
  <si>
    <t>11/28/1956</t>
  </si>
  <si>
    <t>01/16/1990</t>
  </si>
  <si>
    <t>02/12/1969</t>
  </si>
  <si>
    <t>01/25/1983</t>
  </si>
  <si>
    <t>05/05/1979</t>
  </si>
  <si>
    <t>09/05/1995</t>
  </si>
  <si>
    <t>11/20/1991</t>
  </si>
  <si>
    <t>10/26/1974</t>
  </si>
  <si>
    <t>09/12/1988</t>
  </si>
  <si>
    <t>06/29/1984</t>
  </si>
  <si>
    <t>10/18/1978</t>
  </si>
  <si>
    <t>01/06/1967</t>
  </si>
  <si>
    <t>11/18/1967</t>
  </si>
  <si>
    <t>10/11/1955</t>
  </si>
  <si>
    <t>10/09/1939</t>
  </si>
  <si>
    <t>12/10/1988</t>
  </si>
  <si>
    <t>03/18/1994</t>
  </si>
  <si>
    <t>01/16/1939</t>
  </si>
  <si>
    <t>10/17/1974</t>
  </si>
  <si>
    <t>03/12/1951</t>
  </si>
  <si>
    <t>09/21/1958</t>
  </si>
  <si>
    <t>03/19/1938</t>
  </si>
  <si>
    <t>07/23/1956</t>
  </si>
  <si>
    <t>10/26/1945</t>
  </si>
  <si>
    <t>03/29/1937</t>
  </si>
  <si>
    <t>01/09/1959</t>
  </si>
  <si>
    <t>02/21/1949</t>
  </si>
  <si>
    <t>05/16/1985</t>
  </si>
  <si>
    <t>01/14/1997</t>
  </si>
  <si>
    <t>01/10/1995</t>
  </si>
  <si>
    <t>12/18/1957</t>
  </si>
  <si>
    <t>05/07/1961</t>
  </si>
  <si>
    <t>10/18/1936</t>
  </si>
  <si>
    <t>10/06/1947</t>
  </si>
  <si>
    <t>12/08/1955</t>
  </si>
  <si>
    <t>11/06/1982</t>
  </si>
  <si>
    <t>04/14/1958</t>
  </si>
  <si>
    <t>07/07/1986</t>
  </si>
  <si>
    <t>07/14/1977</t>
  </si>
  <si>
    <t>09/14/1964</t>
  </si>
  <si>
    <t>08/14/1952</t>
  </si>
  <si>
    <t>09/19/1949</t>
  </si>
  <si>
    <t>07/10/1981</t>
  </si>
  <si>
    <t>11/27/1970</t>
  </si>
  <si>
    <t>09/13/1968</t>
  </si>
  <si>
    <t>04/21/1967</t>
  </si>
  <si>
    <t>11/13/1978</t>
  </si>
  <si>
    <t>05/04/1964</t>
  </si>
  <si>
    <t>06/21/1946</t>
  </si>
  <si>
    <t>05/25/1955</t>
  </si>
  <si>
    <t>09/14/1990</t>
  </si>
  <si>
    <t>08/04/1980</t>
  </si>
  <si>
    <t>09/20/1954</t>
  </si>
  <si>
    <t>09/06/1984</t>
  </si>
  <si>
    <t>02/17/1976</t>
  </si>
  <si>
    <t>02/15/1944</t>
  </si>
  <si>
    <t>07/12/1957</t>
  </si>
  <si>
    <t>10/17/1984</t>
  </si>
  <si>
    <t>12/12/1983</t>
  </si>
  <si>
    <t>05/04/1944</t>
  </si>
  <si>
    <t>10/31/1932</t>
  </si>
  <si>
    <t>02/05/1944</t>
  </si>
  <si>
    <t>05/01/1941</t>
  </si>
  <si>
    <t>04/18/1972</t>
  </si>
  <si>
    <t>10/25/1963</t>
  </si>
  <si>
    <t>12/21/1939</t>
  </si>
  <si>
    <t>09/13/1979</t>
  </si>
  <si>
    <t>11/11/1987</t>
  </si>
  <si>
    <t>06/10/1962</t>
  </si>
  <si>
    <t>07/31/1981</t>
  </si>
  <si>
    <t>10/26/1980</t>
  </si>
  <si>
    <t>08/01/1975</t>
  </si>
  <si>
    <t>11/06/1971</t>
  </si>
  <si>
    <t>06/24/1961</t>
  </si>
  <si>
    <t>06/25/1965</t>
  </si>
  <si>
    <t>01/18/1938</t>
  </si>
  <si>
    <t>10/19/1993</t>
  </si>
  <si>
    <t>10/10/1978</t>
  </si>
  <si>
    <t>03/06/1958</t>
  </si>
  <si>
    <t>05/05/1958</t>
  </si>
  <si>
    <t>03/13/1980</t>
  </si>
  <si>
    <t>09/07/1979</t>
  </si>
  <si>
    <t>08/13/1969</t>
  </si>
  <si>
    <t>08/06/1956</t>
  </si>
  <si>
    <t>10/29/1965</t>
  </si>
  <si>
    <t>03/30/1954</t>
  </si>
  <si>
    <t>03/16/1958</t>
  </si>
  <si>
    <t>11/27/1973</t>
  </si>
  <si>
    <t>10/28/1960</t>
  </si>
  <si>
    <t>08/01/1974</t>
  </si>
  <si>
    <t>12/17/1969</t>
  </si>
  <si>
    <t>02/02/1969</t>
  </si>
  <si>
    <t>01/22/1967</t>
  </si>
  <si>
    <t>02/22/1983</t>
  </si>
  <si>
    <t>04/01/1984</t>
  </si>
  <si>
    <t>01/30/1996</t>
  </si>
  <si>
    <t>03/04/1959</t>
  </si>
  <si>
    <t>01/25/1966</t>
  </si>
  <si>
    <t>12/01/1942</t>
  </si>
  <si>
    <t>07/11/1995</t>
  </si>
  <si>
    <t>01/08/1987</t>
  </si>
  <si>
    <t>03/30/1984</t>
  </si>
  <si>
    <t>02/24/1998</t>
  </si>
  <si>
    <t>01/25/1978</t>
  </si>
  <si>
    <t>09/17/1979</t>
  </si>
  <si>
    <t>12/21/1967</t>
  </si>
  <si>
    <t>09/06/1996</t>
  </si>
  <si>
    <t>12/25/1942</t>
  </si>
  <si>
    <t>05/26/1946</t>
  </si>
  <si>
    <t>03/25/1947</t>
  </si>
  <si>
    <t>10/11/1951</t>
  </si>
  <si>
    <t>06/26/1967</t>
  </si>
  <si>
    <t>09/03/1968</t>
  </si>
  <si>
    <t>05/30/1993</t>
  </si>
  <si>
    <t>05/10/1936</t>
  </si>
  <si>
    <t>12/17/1991</t>
  </si>
  <si>
    <t>07/27/1989</t>
  </si>
  <si>
    <t>09/03/1944</t>
  </si>
  <si>
    <t>08/19/1959</t>
  </si>
  <si>
    <t>11/28/1962</t>
  </si>
  <si>
    <t>09/21/1981</t>
  </si>
  <si>
    <t>06/07/1989</t>
  </si>
  <si>
    <t>08/06/1968</t>
  </si>
  <si>
    <t>11/18/1987</t>
  </si>
  <si>
    <t>05/30/1989</t>
  </si>
  <si>
    <t>04/05/1984</t>
  </si>
  <si>
    <t>03/17/1982</t>
  </si>
  <si>
    <t>05/18/1964</t>
  </si>
  <si>
    <t>10/06/1963</t>
  </si>
  <si>
    <t>01/13/1988</t>
  </si>
  <si>
    <t>08/20/1950</t>
  </si>
  <si>
    <t>05/04/1960</t>
  </si>
  <si>
    <t>08/19/1987</t>
  </si>
  <si>
    <t>09/08/1987</t>
  </si>
  <si>
    <t>01/30/1960</t>
  </si>
  <si>
    <t>02/24/1968</t>
  </si>
  <si>
    <t>08/03/1976</t>
  </si>
  <si>
    <t>04/04/1988</t>
  </si>
  <si>
    <t>03/04/1977</t>
  </si>
  <si>
    <t>06/09/1970</t>
  </si>
  <si>
    <t>07/10/1945</t>
  </si>
  <si>
    <t>11/04/1937</t>
  </si>
  <si>
    <t>07/06/1994</t>
  </si>
  <si>
    <t>02/04/1985</t>
  </si>
  <si>
    <t>01/09/1955</t>
  </si>
  <si>
    <t>12/30/1932</t>
  </si>
  <si>
    <t>02/09/1955</t>
  </si>
  <si>
    <t>02/25/1946</t>
  </si>
  <si>
    <t>05/02/1952</t>
  </si>
  <si>
    <t>03/31/1964</t>
  </si>
  <si>
    <t>07/04/1948</t>
  </si>
  <si>
    <t>06/26/1978</t>
  </si>
  <si>
    <t>04/01/1988</t>
  </si>
  <si>
    <t>06/27/1957</t>
  </si>
  <si>
    <t>01/19/1951</t>
  </si>
  <si>
    <t>12/18/1981</t>
  </si>
  <si>
    <t>03/30/1989</t>
  </si>
  <si>
    <t>04/17/1992</t>
  </si>
  <si>
    <t>06/18/1975</t>
  </si>
  <si>
    <t>03/01/1961</t>
  </si>
  <si>
    <t>01/30/1966</t>
  </si>
  <si>
    <t>02/14/1964</t>
  </si>
  <si>
    <t>10/01/1958</t>
  </si>
  <si>
    <t>07/13/1974</t>
  </si>
  <si>
    <t>05/03/1950</t>
  </si>
  <si>
    <t>01/08/1979</t>
  </si>
  <si>
    <t>04/06/1984</t>
  </si>
  <si>
    <t>03/27/1969</t>
  </si>
  <si>
    <t>05/02/1941</t>
  </si>
  <si>
    <t>07/27/1968</t>
  </si>
  <si>
    <t>02/18/1976</t>
  </si>
  <si>
    <t>11/26/1987</t>
  </si>
  <si>
    <t>10/30/1989</t>
  </si>
  <si>
    <t>04/06/1968</t>
  </si>
  <si>
    <t>04/29/1988</t>
  </si>
  <si>
    <t>03/25/1972</t>
  </si>
  <si>
    <t>09/01/1982</t>
  </si>
  <si>
    <t>06/22/1978</t>
  </si>
  <si>
    <t>04/18/1982</t>
  </si>
  <si>
    <t>01/13/1927</t>
  </si>
  <si>
    <t>08/22/1974</t>
  </si>
  <si>
    <t>12/31/1981</t>
  </si>
  <si>
    <t>05/17/1951</t>
  </si>
  <si>
    <t>10/23/1961</t>
  </si>
  <si>
    <t>01/19/1994</t>
  </si>
  <si>
    <t>02/09/1968</t>
  </si>
  <si>
    <t>01/19/1963</t>
  </si>
  <si>
    <t>06/09/1956</t>
  </si>
  <si>
    <t>11/25/1940</t>
  </si>
  <si>
    <t>12/15/1978</t>
  </si>
  <si>
    <t>06/08/1955</t>
  </si>
  <si>
    <t>08/28/1962</t>
  </si>
  <si>
    <t>12/24/1950</t>
  </si>
  <si>
    <t>11/23/1961</t>
  </si>
  <si>
    <t>12/11/1951</t>
  </si>
  <si>
    <t>07/15/1975</t>
  </si>
  <si>
    <t>07/30/1994</t>
  </si>
  <si>
    <t>06/05/1967</t>
  </si>
  <si>
    <t>09/07/1947</t>
  </si>
  <si>
    <t>02/20/1967</t>
  </si>
  <si>
    <t>12/01/1968</t>
  </si>
  <si>
    <t>12/07/1974</t>
  </si>
  <si>
    <t>03/21/1955</t>
  </si>
  <si>
    <t>05/26/1981</t>
  </si>
  <si>
    <t>11/29/2006</t>
  </si>
  <si>
    <t>12/22/1977</t>
  </si>
  <si>
    <t>04/18/1950</t>
  </si>
  <si>
    <t>03/04/1980</t>
  </si>
  <si>
    <t>04/29/1970</t>
  </si>
  <si>
    <t>06/02/1955</t>
  </si>
  <si>
    <t>07/09/1954</t>
  </si>
  <si>
    <t>05/13/1942</t>
  </si>
  <si>
    <t>02/27/1961</t>
  </si>
  <si>
    <t>10/03/1988</t>
  </si>
  <si>
    <t>12/01/1965</t>
  </si>
  <si>
    <t>05/05/1948</t>
  </si>
  <si>
    <t>05/11/1976</t>
  </si>
  <si>
    <t>03/01/1951</t>
  </si>
  <si>
    <t>03/25/1986</t>
  </si>
  <si>
    <t>08/08/1966</t>
  </si>
  <si>
    <t>03/10/1968</t>
  </si>
  <si>
    <t>03/22/1979</t>
  </si>
  <si>
    <t>06/29/1977</t>
  </si>
  <si>
    <t>03/25/1969</t>
  </si>
  <si>
    <t>05/10/1938</t>
  </si>
  <si>
    <t>07/11/1982</t>
  </si>
  <si>
    <t>04/20/1991</t>
  </si>
  <si>
    <t>04/08/1977</t>
  </si>
  <si>
    <t>05/09/1956</t>
  </si>
  <si>
    <t>02/10/1960</t>
  </si>
  <si>
    <t>09/09/1970</t>
  </si>
  <si>
    <t>05/17/1956</t>
  </si>
  <si>
    <t>09/12/1965</t>
  </si>
  <si>
    <t>10/13/1952</t>
  </si>
  <si>
    <t>09/13/1941</t>
  </si>
  <si>
    <t>08/07/1950</t>
  </si>
  <si>
    <t>01/06/1952</t>
  </si>
  <si>
    <t>06/15/1967</t>
  </si>
  <si>
    <t>07/10/1960</t>
  </si>
  <si>
    <t>08/14/1963</t>
  </si>
  <si>
    <t>01/14/1963</t>
  </si>
  <si>
    <t>03/05/1996</t>
  </si>
  <si>
    <t>04/05/1958</t>
  </si>
  <si>
    <t>06/03/1956</t>
  </si>
  <si>
    <t>11/12/1970</t>
  </si>
  <si>
    <t>08/04/1947</t>
  </si>
  <si>
    <t>07/21/1937</t>
  </si>
  <si>
    <t>08/10/1957</t>
  </si>
  <si>
    <t>11/19/1954</t>
  </si>
  <si>
    <t>08/10/1978</t>
  </si>
  <si>
    <t>09/02/1970</t>
  </si>
  <si>
    <t>09/24/1974</t>
  </si>
  <si>
    <t>02/08/1997</t>
  </si>
  <si>
    <t>07/05/1975</t>
  </si>
  <si>
    <t>07/04/1971</t>
  </si>
  <si>
    <t>11/07/1988</t>
  </si>
  <si>
    <t>07/15/1981</t>
  </si>
  <si>
    <t>07/19/1982</t>
  </si>
  <si>
    <t>01/24/1973</t>
  </si>
  <si>
    <t>08/16/1966</t>
  </si>
  <si>
    <t>02/28/1961</t>
  </si>
  <si>
    <t>03/10/1969</t>
  </si>
  <si>
    <t>10/17/1949</t>
  </si>
  <si>
    <t>12/03/1943</t>
  </si>
  <si>
    <t>06/11/1986</t>
  </si>
  <si>
    <t>01/22/1979</t>
  </si>
  <si>
    <t>04/04/1986</t>
  </si>
  <si>
    <t>06/30/1945</t>
  </si>
  <si>
    <t>11/23/1992</t>
  </si>
  <si>
    <t>12/13/1988</t>
  </si>
  <si>
    <t>07/06/1984</t>
  </si>
  <si>
    <t>01/08/1990</t>
  </si>
  <si>
    <t>04/18/1995</t>
  </si>
  <si>
    <t>06/01/1978</t>
  </si>
  <si>
    <t>01/17/1963</t>
  </si>
  <si>
    <t>04/19/1965</t>
  </si>
  <si>
    <t>08/03/1996</t>
  </si>
  <si>
    <t>09/21/1977</t>
  </si>
  <si>
    <t>08/20/1984</t>
  </si>
  <si>
    <t>09/11/1977</t>
  </si>
  <si>
    <t>02/23/1965</t>
  </si>
  <si>
    <t>03/09/1937</t>
  </si>
  <si>
    <t>06/28/1946</t>
  </si>
  <si>
    <t>12/21/1935</t>
  </si>
  <si>
    <t>06/11/1965</t>
  </si>
  <si>
    <t>01/03/1955</t>
  </si>
  <si>
    <t>07/24/1961</t>
  </si>
  <si>
    <t>08/18/1964</t>
  </si>
  <si>
    <t>03/10/1957</t>
  </si>
  <si>
    <t>02/12/1950</t>
  </si>
  <si>
    <t>05/08/1989</t>
  </si>
  <si>
    <t>08/09/1955</t>
  </si>
  <si>
    <t>10/21/1974</t>
  </si>
  <si>
    <t>08/02/1984</t>
  </si>
  <si>
    <t>03/01/1947</t>
  </si>
  <si>
    <t>11/11/1981</t>
  </si>
  <si>
    <t>05/31/1961</t>
  </si>
  <si>
    <t>02/26/1945</t>
  </si>
  <si>
    <t>02/13/1958</t>
  </si>
  <si>
    <t>10/12/1946</t>
  </si>
  <si>
    <t>10/26/1985</t>
  </si>
  <si>
    <t>05/31/1969</t>
  </si>
  <si>
    <t>11/25/1967</t>
  </si>
  <si>
    <t>04/03/1983</t>
  </si>
  <si>
    <t>05/28/1959</t>
  </si>
  <si>
    <t>10/12/1952</t>
  </si>
  <si>
    <t>12/19/1950</t>
  </si>
  <si>
    <t>03/24/1963</t>
  </si>
  <si>
    <t>09/28/1980</t>
  </si>
  <si>
    <t>12/01/1994</t>
  </si>
  <si>
    <t>10/24/1963</t>
  </si>
  <si>
    <t>07/19/1971</t>
  </si>
  <si>
    <t>02/18/1970</t>
  </si>
  <si>
    <t>09/17/1959</t>
  </si>
  <si>
    <t>04/02/1992</t>
  </si>
  <si>
    <t>02/18/1973</t>
  </si>
  <si>
    <t>03/14/1977</t>
  </si>
  <si>
    <t>01/18/1975</t>
  </si>
  <si>
    <t>10/21/1980</t>
  </si>
  <si>
    <t>12/30/1986</t>
  </si>
  <si>
    <t>06/19/1991</t>
  </si>
  <si>
    <t>05/01/1933</t>
  </si>
  <si>
    <t>12/24/1997</t>
  </si>
  <si>
    <t>09/29/1992</t>
  </si>
  <si>
    <t>08/30/1939</t>
  </si>
  <si>
    <t>04/23/1943</t>
  </si>
  <si>
    <t>09/28/1976</t>
  </si>
  <si>
    <t>02/22/1963</t>
  </si>
  <si>
    <t>05/06/1955</t>
  </si>
  <si>
    <t>05/24/1971</t>
  </si>
  <si>
    <t>10/03/1956</t>
  </si>
  <si>
    <t>08/07/1984</t>
  </si>
  <si>
    <t>12/07/1951</t>
  </si>
  <si>
    <t>04/03/1993</t>
  </si>
  <si>
    <t>06/09/1965</t>
  </si>
  <si>
    <t>06/13/1968</t>
  </si>
  <si>
    <t>09/14/1980</t>
  </si>
  <si>
    <t>09/04/1962</t>
  </si>
  <si>
    <t>03/03/1982</t>
  </si>
  <si>
    <t>01/25/1952</t>
  </si>
  <si>
    <t>07/10/1965</t>
  </si>
  <si>
    <t>09/23/1958</t>
  </si>
  <si>
    <t>07/22/1954</t>
  </si>
  <si>
    <t>04/24/1931</t>
  </si>
  <si>
    <t>02/02/1981</t>
  </si>
  <si>
    <t>08/05/1967</t>
  </si>
  <si>
    <t>09/19/1985</t>
  </si>
  <si>
    <t>11/26/1977</t>
  </si>
  <si>
    <t>09/01/1959</t>
  </si>
  <si>
    <t>06/09/1984</t>
  </si>
  <si>
    <t>09/30/1981</t>
  </si>
  <si>
    <t>01/30/1988</t>
  </si>
  <si>
    <t>03/12/1978</t>
  </si>
  <si>
    <t>07/22/1967</t>
  </si>
  <si>
    <t>05/02/1959</t>
  </si>
  <si>
    <t>03/01/1979</t>
  </si>
  <si>
    <t>04/06/1946</t>
  </si>
  <si>
    <t>12/14/1988</t>
  </si>
  <si>
    <t>04/08/1962</t>
  </si>
  <si>
    <t>07/10/1978</t>
  </si>
  <si>
    <t>10/07/1966</t>
  </si>
  <si>
    <t>09/17/1940</t>
  </si>
  <si>
    <t>09/21/1960</t>
  </si>
  <si>
    <t>09/22/1947</t>
  </si>
  <si>
    <t>05/05/1964</t>
  </si>
  <si>
    <t>04/20/1951</t>
  </si>
  <si>
    <t>03/04/1951</t>
  </si>
  <si>
    <t>06/20/1978</t>
  </si>
  <si>
    <t>08/23/1987</t>
  </si>
  <si>
    <t>09/11/1943</t>
  </si>
  <si>
    <t>07/06/1963</t>
  </si>
  <si>
    <t>03/31/1946</t>
  </si>
  <si>
    <t>12/24/1985</t>
  </si>
  <si>
    <t>03/22/1936</t>
  </si>
  <si>
    <t>04/04/1967</t>
  </si>
  <si>
    <t>09/07/1958</t>
  </si>
  <si>
    <t>01/23/1984</t>
  </si>
  <si>
    <t>05/06/1967</t>
  </si>
  <si>
    <t>05/03/1957</t>
  </si>
  <si>
    <t>10/19/1996</t>
  </si>
  <si>
    <t>02/29/1944</t>
  </si>
  <si>
    <t>07/18/1954</t>
  </si>
  <si>
    <t>01/18/1957</t>
  </si>
  <si>
    <t>01/04/1967</t>
  </si>
  <si>
    <t>11/14/1973</t>
  </si>
  <si>
    <t>02/27/1985</t>
  </si>
  <si>
    <t>02/08/1992</t>
  </si>
  <si>
    <t>04/22/1953</t>
  </si>
  <si>
    <t>02/13/1941</t>
  </si>
  <si>
    <t>06/21/1980</t>
  </si>
  <si>
    <t>07/31/1994</t>
  </si>
  <si>
    <t>03/29/1982</t>
  </si>
  <si>
    <t>03/05/1979</t>
  </si>
  <si>
    <t>06/08/1989</t>
  </si>
  <si>
    <t>12/23/1970</t>
  </si>
  <si>
    <t>02/01/1994</t>
  </si>
  <si>
    <t>06/04/1981</t>
  </si>
  <si>
    <t>02/07/1950</t>
  </si>
  <si>
    <t>04/24/1952</t>
  </si>
  <si>
    <t>09/03/1993</t>
  </si>
  <si>
    <t>04/17/1978</t>
  </si>
  <si>
    <t>06/29/1979</t>
  </si>
  <si>
    <t>08/10/1975</t>
  </si>
  <si>
    <t>01/05/1977</t>
  </si>
  <si>
    <t>09/25/1966</t>
  </si>
  <si>
    <t>01/13/1959</t>
  </si>
  <si>
    <t>02/12/1957</t>
  </si>
  <si>
    <t>07/12/1943</t>
  </si>
  <si>
    <t>02/24/1957</t>
  </si>
  <si>
    <t>07/15/1962</t>
  </si>
  <si>
    <t>01/03/1979</t>
  </si>
  <si>
    <t>02/03/1993</t>
  </si>
  <si>
    <t>10/27/1943</t>
  </si>
  <si>
    <t>09/23/1951</t>
  </si>
  <si>
    <t>07/25/1963</t>
  </si>
  <si>
    <t>11/25/1959</t>
  </si>
  <si>
    <t>06/13/1958</t>
  </si>
  <si>
    <t>11/22/1985</t>
  </si>
  <si>
    <t>12/03/1965</t>
  </si>
  <si>
    <t>05/10/1966</t>
  </si>
  <si>
    <t>08/06/1958</t>
  </si>
  <si>
    <t>03/11/1968</t>
  </si>
  <si>
    <t>08/03/1946</t>
  </si>
  <si>
    <t>12/19/1985</t>
  </si>
  <si>
    <t>12/01/1977</t>
  </si>
  <si>
    <t>07/06/1962</t>
  </si>
  <si>
    <t>09/13/1983</t>
  </si>
  <si>
    <t>10/10/1953</t>
  </si>
  <si>
    <t>03/26/1963</t>
  </si>
  <si>
    <t>07/19/1975</t>
  </si>
  <si>
    <t>06/16/1922</t>
  </si>
  <si>
    <t>05/05/1960</t>
  </si>
  <si>
    <t>11/02/1950</t>
  </si>
  <si>
    <t>10/27/1946</t>
  </si>
  <si>
    <t>06/04/1949</t>
  </si>
  <si>
    <t>09/28/1961</t>
  </si>
  <si>
    <t>07/18/1960</t>
  </si>
  <si>
    <t>09/05/1974</t>
  </si>
  <si>
    <t>09/07/1938</t>
  </si>
  <si>
    <t>08/01/1976</t>
  </si>
  <si>
    <t>08/21/1967</t>
  </si>
  <si>
    <t>06/13/1983</t>
  </si>
  <si>
    <t>01/19/1991</t>
  </si>
  <si>
    <t>12/24/1987</t>
  </si>
  <si>
    <t>05/12/1946</t>
  </si>
  <si>
    <t>08/05/1985</t>
  </si>
  <si>
    <t>03/20/1970</t>
  </si>
  <si>
    <t>01/24/1963</t>
  </si>
  <si>
    <t>07/27/1954</t>
  </si>
  <si>
    <t>05/21/1964</t>
  </si>
  <si>
    <t>08/20/1955</t>
  </si>
  <si>
    <t>12/19/1952</t>
  </si>
  <si>
    <t>05/10/1933</t>
  </si>
  <si>
    <t>07/18/1951</t>
  </si>
  <si>
    <t>04/15/1989</t>
  </si>
  <si>
    <t>07/25/1983</t>
  </si>
  <si>
    <t>06/10/1968</t>
  </si>
  <si>
    <t>12/11/1929</t>
  </si>
  <si>
    <t>11/27/1935</t>
  </si>
  <si>
    <t>02/20/1970</t>
  </si>
  <si>
    <t>12/27/1992</t>
  </si>
  <si>
    <t>10/13/1959</t>
  </si>
  <si>
    <t>04/21/1983</t>
  </si>
  <si>
    <t>05/09/1982</t>
  </si>
  <si>
    <t>06/18/1981</t>
  </si>
  <si>
    <t>09/04/1973</t>
  </si>
  <si>
    <t>11/17/1964</t>
  </si>
  <si>
    <t>04/17/1988</t>
  </si>
  <si>
    <t>08/29/1990</t>
  </si>
  <si>
    <t>06/08/1973</t>
  </si>
  <si>
    <t>02/19/1984</t>
  </si>
  <si>
    <t>03/01/1986</t>
  </si>
  <si>
    <t>01/22/1955</t>
  </si>
  <si>
    <t>09/06/1965</t>
  </si>
  <si>
    <t>11/20/1979</t>
  </si>
  <si>
    <t>10/01/1991</t>
  </si>
  <si>
    <t>01/20/1962</t>
  </si>
  <si>
    <t>02/23/1986</t>
  </si>
  <si>
    <t>03/16/1936</t>
  </si>
  <si>
    <t>05/31/1986</t>
  </si>
  <si>
    <t>12/19/1946</t>
  </si>
  <si>
    <t>09/14/1947</t>
  </si>
  <si>
    <t>01/03/1944</t>
  </si>
  <si>
    <t>11/04/1938</t>
  </si>
  <si>
    <t>11/12/1983</t>
  </si>
  <si>
    <t>10/06/1953</t>
  </si>
  <si>
    <t>12/03/1982</t>
  </si>
  <si>
    <t>03/11/1983</t>
  </si>
  <si>
    <t>09/19/1960</t>
  </si>
  <si>
    <t>04/22/1968</t>
  </si>
  <si>
    <t>12/21/1974</t>
  </si>
  <si>
    <t>01/29/1948</t>
  </si>
  <si>
    <t>09/14/1977</t>
  </si>
  <si>
    <t>06/19/1952</t>
  </si>
  <si>
    <t>09/04/1967</t>
  </si>
  <si>
    <t>04/21/1957</t>
  </si>
  <si>
    <t>08/28/1995</t>
  </si>
  <si>
    <t>04/13/1979</t>
  </si>
  <si>
    <t>04/24/1979</t>
  </si>
  <si>
    <t>02/13/1986</t>
  </si>
  <si>
    <t>06/17/1993</t>
  </si>
  <si>
    <t>12/16/1958</t>
  </si>
  <si>
    <t>01/22/1982</t>
  </si>
  <si>
    <t>05/29/1952</t>
  </si>
  <si>
    <t>03/01/1960</t>
  </si>
  <si>
    <t>03/23/1977</t>
  </si>
  <si>
    <t>12/15/1999</t>
  </si>
  <si>
    <t>07/02/1957</t>
  </si>
  <si>
    <t>10/23/1965</t>
  </si>
  <si>
    <t>08/13/1989</t>
  </si>
  <si>
    <t>12/14/1972</t>
  </si>
  <si>
    <t>09/26/1989</t>
  </si>
  <si>
    <t>04/24/1953</t>
  </si>
  <si>
    <t>12/17/1985</t>
  </si>
  <si>
    <t>12/04/1978</t>
  </si>
  <si>
    <t>05/26/1960</t>
  </si>
  <si>
    <t>06/12/1972</t>
  </si>
  <si>
    <t>05/17/1955</t>
  </si>
  <si>
    <t>08/17/1956</t>
  </si>
  <si>
    <t>01/27/1934</t>
  </si>
  <si>
    <t>01/25/1962</t>
  </si>
  <si>
    <t>08/15/1943</t>
  </si>
  <si>
    <t>02/21/1983</t>
  </si>
  <si>
    <t>02/27/1997</t>
  </si>
  <si>
    <t>04/16/1979</t>
  </si>
  <si>
    <t>09/11/1985</t>
  </si>
  <si>
    <t>01/20/1958</t>
  </si>
  <si>
    <t>06/22/1936</t>
  </si>
  <si>
    <t>06/01/1954</t>
  </si>
  <si>
    <t>05/21/1952</t>
  </si>
  <si>
    <t>11/02/1982</t>
  </si>
  <si>
    <t>03/25/1962</t>
  </si>
  <si>
    <t>12/25/1938</t>
  </si>
  <si>
    <t>11/28/1952</t>
  </si>
  <si>
    <t>10/22/1974</t>
  </si>
  <si>
    <t>03/23/1984</t>
  </si>
  <si>
    <t>12/12/1992</t>
  </si>
  <si>
    <t>01/03/1970</t>
  </si>
  <si>
    <t>12/14/1971</t>
  </si>
  <si>
    <t>08/15/1972</t>
  </si>
  <si>
    <t>11/06/1989</t>
  </si>
  <si>
    <t>07/18/1964</t>
  </si>
  <si>
    <t>12/26/1959</t>
  </si>
  <si>
    <t>05/13/1976</t>
  </si>
  <si>
    <t>07/10/1974</t>
  </si>
  <si>
    <t>02/23/1967</t>
  </si>
  <si>
    <t>12/26/1995</t>
  </si>
  <si>
    <t>12/02/1951</t>
  </si>
  <si>
    <t>12/15/1968</t>
  </si>
  <si>
    <t>12/06/1971</t>
  </si>
  <si>
    <t>06/09/1986</t>
  </si>
  <si>
    <t>08/29/1956</t>
  </si>
  <si>
    <t>07/26/1972</t>
  </si>
  <si>
    <t>03/04/1956</t>
  </si>
  <si>
    <t>07/01/1952</t>
  </si>
  <si>
    <t>03/12/1968</t>
  </si>
  <si>
    <t>08/09/1974</t>
  </si>
  <si>
    <t>11/06/1952</t>
  </si>
  <si>
    <t>04/03/1975</t>
  </si>
  <si>
    <t>05/13/1955</t>
  </si>
  <si>
    <t>08/07/1964</t>
  </si>
  <si>
    <t>03/01/1924</t>
  </si>
  <si>
    <t>05/29/1970</t>
  </si>
  <si>
    <t>02/11/1994</t>
  </si>
  <si>
    <t>05/05/1988</t>
  </si>
  <si>
    <t>11/21/1964</t>
  </si>
  <si>
    <t>12/25/1985</t>
  </si>
  <si>
    <t>06/08/1980</t>
  </si>
  <si>
    <t>12/23/1986</t>
  </si>
  <si>
    <t>04/04/1937</t>
  </si>
  <si>
    <t>08/16/1988</t>
  </si>
  <si>
    <t>07/13/1971</t>
  </si>
  <si>
    <t>02/21/1955</t>
  </si>
  <si>
    <t>10/22/1986</t>
  </si>
  <si>
    <t>11/24/1972</t>
  </si>
  <si>
    <t>10/30/1969</t>
  </si>
  <si>
    <t>08/12/1975</t>
  </si>
  <si>
    <t>06/26/1966</t>
  </si>
  <si>
    <t>10/15/1997</t>
  </si>
  <si>
    <t>09/28/1977</t>
  </si>
  <si>
    <t>02/09/1956</t>
  </si>
  <si>
    <t>10/27/1945</t>
  </si>
  <si>
    <t>09/23/1954</t>
  </si>
  <si>
    <t>06/19/1988</t>
  </si>
  <si>
    <t>09/14/1968</t>
  </si>
  <si>
    <t>11/05/1992</t>
  </si>
  <si>
    <t>12/17/1953</t>
  </si>
  <si>
    <t>07/26/1979</t>
  </si>
  <si>
    <t>04/18/1965</t>
  </si>
  <si>
    <t>02/02/1994</t>
  </si>
  <si>
    <t>07/07/1980</t>
  </si>
  <si>
    <t>07/04/1949</t>
  </si>
  <si>
    <t>06/03/1969</t>
  </si>
  <si>
    <t>02/01/1954</t>
  </si>
  <si>
    <t>04/01/1980</t>
  </si>
  <si>
    <t>12/06/1987</t>
  </si>
  <si>
    <t>02/04/1967</t>
  </si>
  <si>
    <t>06/25/1997</t>
  </si>
  <si>
    <t>10/14/1981</t>
  </si>
  <si>
    <t>11/17/1974</t>
  </si>
  <si>
    <t>12/18/1973</t>
  </si>
  <si>
    <t>08/04/1987</t>
  </si>
  <si>
    <t>02/16/1977</t>
  </si>
  <si>
    <t>05/16/1968</t>
  </si>
  <si>
    <t>05/13/1941</t>
  </si>
  <si>
    <t>05/07/1966</t>
  </si>
  <si>
    <t>01/07/1947</t>
  </si>
  <si>
    <t>12/10/1983</t>
  </si>
  <si>
    <t>08/30/1956</t>
  </si>
  <si>
    <t>02/16/1986</t>
  </si>
  <si>
    <t>05/27/1969</t>
  </si>
  <si>
    <t>11/28/1991</t>
  </si>
  <si>
    <t>07/01/1986</t>
  </si>
  <si>
    <t>12/17/1947</t>
  </si>
  <si>
    <t>05/26/1953</t>
  </si>
  <si>
    <t>02/25/1967</t>
  </si>
  <si>
    <t>03/19/1953</t>
  </si>
  <si>
    <t>04/12/1972</t>
  </si>
  <si>
    <t>10/22/1946</t>
  </si>
  <si>
    <t>06/25/1970</t>
  </si>
  <si>
    <t>11/26/1972</t>
  </si>
  <si>
    <t>08/12/1991</t>
  </si>
  <si>
    <t>08/11/1957</t>
  </si>
  <si>
    <t>11/01/1964</t>
  </si>
  <si>
    <t>09/11/1980</t>
  </si>
  <si>
    <t>04/19/1961</t>
  </si>
  <si>
    <t>07/10/1959</t>
  </si>
  <si>
    <t>04/21/1986</t>
  </si>
  <si>
    <t>11/11/1957</t>
  </si>
  <si>
    <t>08/01/1987</t>
  </si>
  <si>
    <t>07/29/1968</t>
  </si>
  <si>
    <t>09/23/1949</t>
  </si>
  <si>
    <t>05/12/1966</t>
  </si>
  <si>
    <t>04/23/1993</t>
  </si>
  <si>
    <t>05/15/1959</t>
  </si>
  <si>
    <t>09/12/1979</t>
  </si>
  <si>
    <t>07/01/1981</t>
  </si>
  <si>
    <t>12/03/1986</t>
  </si>
  <si>
    <t>02/16/1941</t>
  </si>
  <si>
    <t>08/24/1977</t>
  </si>
  <si>
    <t>11/26/1961</t>
  </si>
  <si>
    <t>03/17/1950</t>
  </si>
  <si>
    <t>12/20/1958</t>
  </si>
  <si>
    <t>04/13/1976</t>
  </si>
  <si>
    <t>02/04/1990</t>
  </si>
  <si>
    <t>12/13/1979</t>
  </si>
  <si>
    <t>07/28/1970</t>
  </si>
  <si>
    <t>12/13/1957</t>
  </si>
  <si>
    <t>09/23/1994</t>
  </si>
  <si>
    <t>04/07/1953</t>
  </si>
  <si>
    <t>02/13/1951</t>
  </si>
  <si>
    <t>12/05/1959</t>
  </si>
  <si>
    <t>08/27/1993</t>
  </si>
  <si>
    <t>12/19/1958</t>
  </si>
  <si>
    <t>12/25/1956</t>
  </si>
  <si>
    <t>03/10/1943</t>
  </si>
  <si>
    <t>09/20/1969</t>
  </si>
  <si>
    <t>12/15/1961</t>
  </si>
  <si>
    <t>05/21/1951</t>
  </si>
  <si>
    <t>10/16/1968</t>
  </si>
  <si>
    <t>03/21/1990</t>
  </si>
  <si>
    <t>04/14/1967</t>
  </si>
  <si>
    <t>03/17/1968</t>
  </si>
  <si>
    <t>04/05/1977</t>
  </si>
  <si>
    <t>04/10/1951</t>
  </si>
  <si>
    <t>11/17/1933</t>
  </si>
  <si>
    <t>03/31/1982</t>
  </si>
  <si>
    <t>08/28/1966</t>
  </si>
  <si>
    <t>06/28/1940</t>
  </si>
  <si>
    <t>09/26/1996</t>
  </si>
  <si>
    <t>07/05/1971</t>
  </si>
  <si>
    <t>11/17/1976</t>
  </si>
  <si>
    <t>07/18/1998</t>
  </si>
  <si>
    <t>03/24/1950</t>
  </si>
  <si>
    <t>10/27/1950</t>
  </si>
  <si>
    <t>12/22/1943</t>
  </si>
  <si>
    <t>01/10/1991</t>
  </si>
  <si>
    <t>08/22/1972</t>
  </si>
  <si>
    <t>06/16/1955</t>
  </si>
  <si>
    <t>06/15/1936</t>
  </si>
  <si>
    <t>06/04/1968</t>
  </si>
  <si>
    <t>02/13/1965</t>
  </si>
  <si>
    <t>07/28/1962</t>
  </si>
  <si>
    <t>12/10/1995</t>
  </si>
  <si>
    <t>08/02/1985</t>
  </si>
  <si>
    <t>07/01/1943</t>
  </si>
  <si>
    <t>06/11/1994</t>
  </si>
  <si>
    <t>01/31/1945</t>
  </si>
  <si>
    <t>05/04/1970</t>
  </si>
  <si>
    <t>11/08/1946</t>
  </si>
  <si>
    <t>05/27/1958</t>
  </si>
  <si>
    <t>09/01/1958</t>
  </si>
  <si>
    <t>03/05/1975</t>
  </si>
  <si>
    <t>12/15/1987</t>
  </si>
  <si>
    <t>03/04/1934</t>
  </si>
  <si>
    <t>10/06/1990</t>
  </si>
  <si>
    <t>06/24/1938</t>
  </si>
  <si>
    <t>02/04/1957</t>
  </si>
  <si>
    <t>11/14/1956</t>
  </si>
  <si>
    <t>02/12/1996</t>
  </si>
  <si>
    <t>02/17/1956</t>
  </si>
  <si>
    <t>05/01/1992</t>
  </si>
  <si>
    <t>09/16/1982</t>
  </si>
  <si>
    <t>10/29/1933</t>
  </si>
  <si>
    <t>11/10/2018</t>
  </si>
  <si>
    <t>05/03/1977</t>
  </si>
  <si>
    <t>01/12/1960</t>
  </si>
  <si>
    <t>05/07/1959</t>
  </si>
  <si>
    <t>10/18/1953</t>
  </si>
  <si>
    <t>04/12/1948</t>
  </si>
  <si>
    <t>04/15/1927</t>
  </si>
  <si>
    <t>09/28/1966</t>
  </si>
  <si>
    <t>05/07/1981</t>
  </si>
  <si>
    <t>05/26/1982</t>
  </si>
  <si>
    <t>05/27/1957</t>
  </si>
  <si>
    <t>12/15/1955</t>
  </si>
  <si>
    <t>11/05/1962</t>
  </si>
  <si>
    <t>04/20/1987</t>
  </si>
  <si>
    <t>05/15/1967</t>
  </si>
  <si>
    <t>03/03/1949</t>
  </si>
  <si>
    <t>10/12/1986</t>
  </si>
  <si>
    <t>10/12/1987</t>
  </si>
  <si>
    <t>06/24/1959</t>
  </si>
  <si>
    <t>06/02/1960</t>
  </si>
  <si>
    <t>02/16/1956</t>
  </si>
  <si>
    <t>04/17/1929</t>
  </si>
  <si>
    <t>12/25/1967</t>
  </si>
  <si>
    <t>01/16/1967</t>
  </si>
  <si>
    <t>08/05/1961</t>
  </si>
  <si>
    <t>07/08/1948</t>
  </si>
  <si>
    <t>05/01/1993</t>
  </si>
  <si>
    <t>09/27/1955</t>
  </si>
  <si>
    <t>03/28/1960</t>
  </si>
  <si>
    <t>08/15/1992</t>
  </si>
  <si>
    <t>08/09/1972</t>
  </si>
  <si>
    <t>03/21/1973</t>
  </si>
  <si>
    <t>05/02/1957</t>
  </si>
  <si>
    <t>03/08/1965</t>
  </si>
  <si>
    <t>05/29/1981</t>
  </si>
  <si>
    <t>10/08/1972</t>
  </si>
  <si>
    <t>12/26/1956</t>
  </si>
  <si>
    <t>05/31/1963</t>
  </si>
  <si>
    <t>01/02/1989</t>
  </si>
  <si>
    <t>03/01/1967</t>
  </si>
  <si>
    <t>03/27/1943</t>
  </si>
  <si>
    <t>08/22/1964</t>
  </si>
  <si>
    <t>12/15/1976</t>
  </si>
  <si>
    <t>07/20/1963</t>
  </si>
  <si>
    <t>07/28/1956</t>
  </si>
  <si>
    <t>11/20/1978</t>
  </si>
  <si>
    <t>04/27/1942</t>
  </si>
  <si>
    <t>09/27/1991</t>
  </si>
  <si>
    <t>07/16/1954</t>
  </si>
  <si>
    <t>08/08/1973</t>
  </si>
  <si>
    <t>08/27/1979</t>
  </si>
  <si>
    <t>02/14/1926</t>
  </si>
  <si>
    <t>07/18/1974</t>
  </si>
  <si>
    <t>01/14/1965</t>
  </si>
  <si>
    <t>09/21/1995</t>
  </si>
  <si>
    <t>08/03/1953</t>
  </si>
  <si>
    <t>04/01/1959</t>
  </si>
  <si>
    <t>07/05/1998</t>
  </si>
  <si>
    <t>04/16/1980</t>
  </si>
  <si>
    <t>04/08/1981</t>
  </si>
  <si>
    <t>04/09/1944</t>
  </si>
  <si>
    <t>06/04/1980</t>
  </si>
  <si>
    <t>07/08/1939</t>
  </si>
  <si>
    <t>04/06/1959</t>
  </si>
  <si>
    <t>03/07/1961</t>
  </si>
  <si>
    <t>04/04/1957</t>
  </si>
  <si>
    <t>10/21/1956</t>
  </si>
  <si>
    <t>10/20/1986</t>
  </si>
  <si>
    <t>03/03/1986</t>
  </si>
  <si>
    <t>08/15/1994</t>
  </si>
  <si>
    <t>03/23/1959</t>
  </si>
  <si>
    <t>03/14/1984</t>
  </si>
  <si>
    <t>06/19/1953</t>
  </si>
  <si>
    <t>09/22/1976</t>
  </si>
  <si>
    <t>10/30/1974</t>
  </si>
  <si>
    <t>08/17/1985</t>
  </si>
  <si>
    <t>08/07/1960</t>
  </si>
  <si>
    <t>06/19/1985</t>
  </si>
  <si>
    <t>07/22/1978</t>
  </si>
  <si>
    <t>06/09/1974</t>
  </si>
  <si>
    <t>01/04/1982</t>
  </si>
  <si>
    <t>08/18/1954</t>
  </si>
  <si>
    <t>03/11/1948</t>
  </si>
  <si>
    <t>09/03/1998</t>
  </si>
  <si>
    <t>03/17/1958</t>
  </si>
  <si>
    <t>06/08/1964</t>
  </si>
  <si>
    <t>07/23/1961</t>
  </si>
  <si>
    <t>07/18/1967</t>
  </si>
  <si>
    <t>02/17/1967</t>
  </si>
  <si>
    <t>01/02/1921</t>
  </si>
  <si>
    <t>09/30/1983</t>
  </si>
  <si>
    <t>12/01/1990</t>
  </si>
  <si>
    <t>12/29/1956</t>
  </si>
  <si>
    <t>06/23/1971</t>
  </si>
  <si>
    <t>06/04/1992</t>
  </si>
  <si>
    <t>06/10/1976</t>
  </si>
  <si>
    <t>11/21/1943</t>
  </si>
  <si>
    <t>12/07/1934</t>
  </si>
  <si>
    <t>05/27/1953</t>
  </si>
  <si>
    <t>10/07/1965</t>
  </si>
  <si>
    <t>05/31/1947</t>
  </si>
  <si>
    <t>03/15/1965</t>
  </si>
  <si>
    <t>08/19/1970</t>
  </si>
  <si>
    <t>07/12/1971</t>
  </si>
  <si>
    <t>04/25/1980</t>
  </si>
  <si>
    <t>01/30/1950</t>
  </si>
  <si>
    <t>07/27/1987</t>
  </si>
  <si>
    <t>06/11/1971</t>
  </si>
  <si>
    <t>03/10/1971</t>
  </si>
  <si>
    <t>06/02/1984</t>
  </si>
  <si>
    <t>04/09/1952</t>
  </si>
  <si>
    <t>12/20/1974</t>
  </si>
  <si>
    <t>09/07/1971</t>
  </si>
  <si>
    <t>09/09/1958</t>
  </si>
  <si>
    <t>11/23/1960</t>
  </si>
  <si>
    <t>09/02/1947</t>
  </si>
  <si>
    <t>10/07/1957</t>
  </si>
  <si>
    <t>07/28/1969</t>
  </si>
  <si>
    <t>05/17/1989</t>
  </si>
  <si>
    <t>03/16/1961</t>
  </si>
  <si>
    <t>04/25/1969</t>
  </si>
  <si>
    <t>10/29/1984</t>
  </si>
  <si>
    <t>10/25/1975</t>
  </si>
  <si>
    <t>03/04/1986</t>
  </si>
  <si>
    <t>04/22/1972</t>
  </si>
  <si>
    <t>07/13/1967</t>
  </si>
  <si>
    <t>11/04/1989</t>
  </si>
  <si>
    <t>07/01/1963</t>
  </si>
  <si>
    <t>09/20/1982</t>
  </si>
  <si>
    <t>04/28/1985</t>
  </si>
  <si>
    <t>12/04/1983</t>
  </si>
  <si>
    <t>05/22/1988</t>
  </si>
  <si>
    <t>05/31/1942</t>
  </si>
  <si>
    <t>11/02/1944</t>
  </si>
  <si>
    <t>06/03/1974</t>
  </si>
  <si>
    <t>09/14/1959</t>
  </si>
  <si>
    <t>11/09/1977</t>
  </si>
  <si>
    <t>01/23/1965</t>
  </si>
  <si>
    <t>04/16/1982</t>
  </si>
  <si>
    <t>04/12/1963</t>
  </si>
  <si>
    <t>02/15/1986</t>
  </si>
  <si>
    <t>05/16/1954</t>
  </si>
  <si>
    <t>01/29/1994</t>
  </si>
  <si>
    <t>01/22/2000</t>
  </si>
  <si>
    <t>05/07/1946</t>
  </si>
  <si>
    <t>01/01/1957</t>
  </si>
  <si>
    <t>07/27/1985</t>
  </si>
  <si>
    <t>03/24/1987</t>
  </si>
  <si>
    <t>03/08/1957</t>
  </si>
  <si>
    <t>11/10/1976</t>
  </si>
  <si>
    <t>06/17/1949</t>
  </si>
  <si>
    <t>11/01/1963</t>
  </si>
  <si>
    <t>06/07/1986</t>
  </si>
  <si>
    <t>04/23/1982</t>
  </si>
  <si>
    <t>08/09/1986</t>
  </si>
  <si>
    <t>09/09/1977</t>
  </si>
  <si>
    <t>09/19/1998</t>
  </si>
  <si>
    <t>04/17/1960</t>
  </si>
  <si>
    <t>09/11/1936</t>
  </si>
  <si>
    <t>06/18/1962</t>
  </si>
  <si>
    <t>06/21/1960</t>
  </si>
  <si>
    <t>12/18/1996</t>
  </si>
  <si>
    <t>12/31/1962</t>
  </si>
  <si>
    <t>12/29/1979</t>
  </si>
  <si>
    <t>06/23/1951</t>
  </si>
  <si>
    <t>04/04/1976</t>
  </si>
  <si>
    <t>10/07/1973</t>
  </si>
  <si>
    <t>12/25/1944</t>
  </si>
  <si>
    <t>03/17/1991</t>
  </si>
  <si>
    <t>12/23/1966</t>
  </si>
  <si>
    <t>10/27/1995</t>
  </si>
  <si>
    <t>01/27/1974</t>
  </si>
  <si>
    <t>03/19/1951</t>
  </si>
  <si>
    <t>12/06/1945</t>
  </si>
  <si>
    <t>08/04/1966</t>
  </si>
  <si>
    <t>02/11/1970</t>
  </si>
  <si>
    <t>12/29/1995</t>
  </si>
  <si>
    <t>06/09/1966</t>
  </si>
  <si>
    <t>06/19/1978</t>
  </si>
  <si>
    <t>03/05/1972</t>
  </si>
  <si>
    <t>09/16/1951</t>
  </si>
  <si>
    <t>09/29/1980</t>
  </si>
  <si>
    <t>06/02/1964</t>
  </si>
  <si>
    <t>10/21/1959</t>
  </si>
  <si>
    <t>03/17/1995</t>
  </si>
  <si>
    <t>02/28/1964</t>
  </si>
  <si>
    <t>09/06/1978</t>
  </si>
  <si>
    <t>06/01/1994</t>
  </si>
  <si>
    <t>11/19/1972</t>
  </si>
  <si>
    <t>06/21/1972</t>
  </si>
  <si>
    <t>04/23/1968</t>
  </si>
  <si>
    <t>04/12/1968</t>
  </si>
  <si>
    <t>09/15/1984</t>
  </si>
  <si>
    <t>01/13/1995</t>
  </si>
  <si>
    <t>11/16/1950</t>
  </si>
  <si>
    <t>11/15/1973</t>
  </si>
  <si>
    <t>07/06/1983</t>
  </si>
  <si>
    <t>12/30/1994</t>
  </si>
  <si>
    <t>02/10/1968</t>
  </si>
  <si>
    <t>01/20/1955</t>
  </si>
  <si>
    <t>08/24/1971</t>
  </si>
  <si>
    <t>02/15/1947</t>
  </si>
  <si>
    <t>05/24/1956</t>
  </si>
  <si>
    <t>02/09/1972</t>
  </si>
  <si>
    <t>03/27/1985</t>
  </si>
  <si>
    <t>08/02/1981</t>
  </si>
  <si>
    <t>02/13/1959</t>
  </si>
  <si>
    <t>04/07/1945</t>
  </si>
  <si>
    <t>12/01/1988</t>
  </si>
  <si>
    <t>01/01/1963</t>
  </si>
  <si>
    <t>04/24/1968</t>
  </si>
  <si>
    <t>11/08/1942</t>
  </si>
  <si>
    <t>01/31/1950</t>
  </si>
  <si>
    <t>07/13/1945</t>
  </si>
  <si>
    <t>11/28/1958</t>
  </si>
  <si>
    <t>04/09/1968</t>
  </si>
  <si>
    <t>05/23/1948</t>
  </si>
  <si>
    <t>10/12/1961</t>
  </si>
  <si>
    <t>02/26/1984</t>
  </si>
  <si>
    <t>04/12/1958</t>
  </si>
  <si>
    <t>02/11/1943</t>
  </si>
  <si>
    <t>02/06/1958</t>
  </si>
  <si>
    <t>03/09/1957</t>
  </si>
  <si>
    <t>09/26/1972</t>
  </si>
  <si>
    <t>06/30/1949</t>
  </si>
  <si>
    <t>04/29/1984</t>
  </si>
  <si>
    <t>06/06/1984</t>
  </si>
  <si>
    <t>08/21/1971</t>
  </si>
  <si>
    <t>02/22/1973</t>
  </si>
  <si>
    <t>12/26/1968</t>
  </si>
  <si>
    <t>06/21/1986</t>
  </si>
  <si>
    <t>07/18/1985</t>
  </si>
  <si>
    <t>10/15/1968</t>
  </si>
  <si>
    <t>10/11/1978</t>
  </si>
  <si>
    <t>03/19/1997</t>
  </si>
  <si>
    <t>04/11/1985</t>
  </si>
  <si>
    <t>10/06/1981</t>
  </si>
  <si>
    <t>06/25/1980</t>
  </si>
  <si>
    <t>06/04/1967</t>
  </si>
  <si>
    <t>02/24/1948</t>
  </si>
  <si>
    <t>06/22/1975</t>
  </si>
  <si>
    <t>12/21/1963</t>
  </si>
  <si>
    <t>10/28/1975</t>
  </si>
  <si>
    <t>07/18/1961</t>
  </si>
  <si>
    <t>08/02/1972</t>
  </si>
  <si>
    <t>05/13/1987</t>
  </si>
  <si>
    <t>10/05/1954</t>
  </si>
  <si>
    <t>08/18/1952</t>
  </si>
  <si>
    <t>08/17/1943</t>
  </si>
  <si>
    <t>05/04/1951</t>
  </si>
  <si>
    <t>07/20/1949</t>
  </si>
  <si>
    <t>02/14/1977</t>
  </si>
  <si>
    <t>02/03/1984</t>
  </si>
  <si>
    <t>06/21/1966</t>
  </si>
  <si>
    <t>01/30/1964</t>
  </si>
  <si>
    <t>08/27/1972</t>
  </si>
  <si>
    <t>03/02/1969</t>
  </si>
  <si>
    <t>05/30/1956</t>
  </si>
  <si>
    <t>11/19/1986</t>
  </si>
  <si>
    <t>09/25/1956</t>
  </si>
  <si>
    <t>05/31/1953</t>
  </si>
  <si>
    <t>01/23/1969</t>
  </si>
  <si>
    <t>10/11/1965</t>
  </si>
  <si>
    <t>11/04/1986</t>
  </si>
  <si>
    <t>01/22/1953</t>
  </si>
  <si>
    <t>06/27/1969</t>
  </si>
  <si>
    <t>04/04/1964</t>
  </si>
  <si>
    <t>06/18/1942</t>
  </si>
  <si>
    <t>10/25/1977</t>
  </si>
  <si>
    <t>10/13/1977</t>
  </si>
  <si>
    <t>05/25/1982</t>
  </si>
  <si>
    <t>06/28/1966</t>
  </si>
  <si>
    <t>03/23/1973</t>
  </si>
  <si>
    <t>06/18/1956</t>
  </si>
  <si>
    <t>01/17/1965</t>
  </si>
  <si>
    <t>10/31/1944</t>
  </si>
  <si>
    <t>09/09/1988</t>
  </si>
  <si>
    <t>12/11/1969</t>
  </si>
  <si>
    <t>03/05/1961</t>
  </si>
  <si>
    <t>03/27/1967</t>
  </si>
  <si>
    <t>03/19/1985</t>
  </si>
  <si>
    <t>03/19/1976</t>
  </si>
  <si>
    <t>06/18/1977</t>
  </si>
  <si>
    <t>03/29/1973</t>
  </si>
  <si>
    <t>10/31/1955</t>
  </si>
  <si>
    <t>11/15/1962</t>
  </si>
  <si>
    <t>11/10/1932</t>
  </si>
  <si>
    <t>03/02/1976</t>
  </si>
  <si>
    <t>11/02/1964</t>
  </si>
  <si>
    <t>06/20/1960</t>
  </si>
  <si>
    <t>11/23/1968</t>
  </si>
  <si>
    <t>07/13/1993</t>
  </si>
  <si>
    <t>11/01/1988</t>
  </si>
  <si>
    <t>05/24/1984</t>
  </si>
  <si>
    <t>01/24/1958</t>
  </si>
  <si>
    <t>01/19/1959</t>
  </si>
  <si>
    <t>01/25/1984</t>
  </si>
  <si>
    <t>03/28/1972</t>
  </si>
  <si>
    <t>12/08/1986</t>
  </si>
  <si>
    <t>06/15/1944</t>
  </si>
  <si>
    <t>05/20/1986</t>
  </si>
  <si>
    <t>09/21/1964</t>
  </si>
  <si>
    <t>02/02/1962</t>
  </si>
  <si>
    <t>08/10/1996</t>
  </si>
  <si>
    <t>04/19/1954</t>
  </si>
  <si>
    <t>09/15/1953</t>
  </si>
  <si>
    <t>04/06/1951</t>
  </si>
  <si>
    <t>07/08/1970</t>
  </si>
  <si>
    <t>08/21/1965</t>
  </si>
  <si>
    <t>03/12/1990</t>
  </si>
  <si>
    <t>04/11/1959</t>
  </si>
  <si>
    <t>01/19/1958</t>
  </si>
  <si>
    <t>03/05/1988</t>
  </si>
  <si>
    <t>01/10/1954</t>
  </si>
  <si>
    <t>02/24/1956</t>
  </si>
  <si>
    <t>01/06/1958</t>
  </si>
  <si>
    <t>01/08/1971</t>
  </si>
  <si>
    <t>04/28/1957</t>
  </si>
  <si>
    <t>05/13/1986</t>
  </si>
  <si>
    <t>06/01/1979</t>
  </si>
  <si>
    <t>07/18/1983</t>
  </si>
  <si>
    <t>05/04/2016</t>
  </si>
  <si>
    <t>07/23/1963</t>
  </si>
  <si>
    <t>07/06/1996</t>
  </si>
  <si>
    <t>09/11/1946</t>
  </si>
  <si>
    <t>10/24/1972</t>
  </si>
  <si>
    <t>05/30/1929</t>
  </si>
  <si>
    <t>06/19/1986</t>
  </si>
  <si>
    <t>05/15/1951</t>
  </si>
  <si>
    <t>04/10/1979</t>
  </si>
  <si>
    <t>07/15/1949</t>
  </si>
  <si>
    <t>05/22/1957</t>
  </si>
  <si>
    <t>09/02/1954</t>
  </si>
  <si>
    <t>04/10/1945</t>
  </si>
  <si>
    <t>05/02/1992</t>
  </si>
  <si>
    <t>01/01/1949</t>
  </si>
  <si>
    <t>11/19/1996</t>
  </si>
  <si>
    <t>06/21/1937</t>
  </si>
  <si>
    <t>04/20/1972</t>
  </si>
  <si>
    <t>08/15/1950</t>
  </si>
  <si>
    <t>09/12/1986</t>
  </si>
  <si>
    <t>07/23/1984</t>
  </si>
  <si>
    <t>03/25/1978</t>
  </si>
  <si>
    <t>01/19/1984</t>
  </si>
  <si>
    <t>07/27/1958</t>
  </si>
  <si>
    <t>04/01/1962</t>
  </si>
  <si>
    <t>03/25/1974</t>
  </si>
  <si>
    <t>03/04/1954</t>
  </si>
  <si>
    <t>10/21/1975</t>
  </si>
  <si>
    <t>05/02/1974</t>
  </si>
  <si>
    <t>03/04/1942</t>
  </si>
  <si>
    <t>11/18/1951</t>
  </si>
  <si>
    <t>05/01/1995</t>
  </si>
  <si>
    <t>09/07/1988</t>
  </si>
  <si>
    <t>08/27/1957</t>
  </si>
  <si>
    <t>10/09/1948</t>
  </si>
  <si>
    <t>08/05/1964</t>
  </si>
  <si>
    <t>07/21/1990</t>
  </si>
  <si>
    <t>06/03/1985</t>
  </si>
  <si>
    <t>11/02/1939</t>
  </si>
  <si>
    <t>09/23/1981</t>
  </si>
  <si>
    <t>06/08/1969</t>
  </si>
  <si>
    <t>11/07/1953</t>
  </si>
  <si>
    <t>12/13/1954</t>
  </si>
  <si>
    <t>06/28/1993</t>
  </si>
  <si>
    <t>06/21/1975</t>
  </si>
  <si>
    <t>01/05/1979</t>
  </si>
  <si>
    <t>09/23/1964</t>
  </si>
  <si>
    <t>02/01/1964</t>
  </si>
  <si>
    <t>08/29/1968</t>
  </si>
  <si>
    <t>05/07/1943</t>
  </si>
  <si>
    <t>07/07/1972</t>
  </si>
  <si>
    <t>11/01/1968</t>
  </si>
  <si>
    <t>07/23/1978</t>
  </si>
  <si>
    <t>11/12/1981</t>
  </si>
  <si>
    <t>03/05/1986</t>
  </si>
  <si>
    <t>12/17/1977</t>
  </si>
  <si>
    <t>08/28/1939</t>
  </si>
  <si>
    <t>10/22/1965</t>
  </si>
  <si>
    <t>07/28/1947</t>
  </si>
  <si>
    <t>09/28/2000</t>
  </si>
  <si>
    <t>04/29/1965</t>
  </si>
  <si>
    <t>08/06/1984</t>
  </si>
  <si>
    <t>01/01/1951</t>
  </si>
  <si>
    <t>06/04/1946</t>
  </si>
  <si>
    <t>06/16/1991</t>
  </si>
  <si>
    <t>06/12/1982</t>
  </si>
  <si>
    <t>01/19/1962</t>
  </si>
  <si>
    <t>11/24/1975</t>
  </si>
  <si>
    <t>11/08/1947</t>
  </si>
  <si>
    <t>05/05/1975</t>
  </si>
  <si>
    <t>01/31/1960</t>
  </si>
  <si>
    <t>11/30/1930</t>
  </si>
  <si>
    <t>06/29/1982</t>
  </si>
  <si>
    <t>07/03/1980</t>
  </si>
  <si>
    <t>08/28/1968</t>
  </si>
  <si>
    <t>12/01/1985</t>
  </si>
  <si>
    <t>04/26/1959</t>
  </si>
  <si>
    <t>05/25/1935</t>
  </si>
  <si>
    <t>12/25/1970</t>
  </si>
  <si>
    <t>12/15/1990</t>
  </si>
  <si>
    <t>01/16/1971</t>
  </si>
  <si>
    <t>05/22/1934</t>
  </si>
  <si>
    <t>09/01/1972</t>
  </si>
  <si>
    <t>05/27/1967</t>
  </si>
  <si>
    <t>12/28/1959</t>
  </si>
  <si>
    <t>06/18/1970</t>
  </si>
  <si>
    <t>08/17/1952</t>
  </si>
  <si>
    <t>04/12/1960</t>
  </si>
  <si>
    <t>12/05/1986</t>
  </si>
  <si>
    <t>12/09/1937</t>
  </si>
  <si>
    <t>03/27/1964</t>
  </si>
  <si>
    <t>12/15/1974</t>
  </si>
  <si>
    <t>10/30/1962</t>
  </si>
  <si>
    <t>12/15/1942</t>
  </si>
  <si>
    <t>11/29/1942</t>
  </si>
  <si>
    <t>06/06/1946</t>
  </si>
  <si>
    <t>02/27/1984</t>
  </si>
  <si>
    <t>04/30/1989</t>
  </si>
  <si>
    <t>09/24/1981</t>
  </si>
  <si>
    <t>01/14/1964</t>
  </si>
  <si>
    <t>12/23/1953</t>
  </si>
  <si>
    <t>10/26/1984</t>
  </si>
  <si>
    <t>02/12/1952</t>
  </si>
  <si>
    <t>02/25/1969</t>
  </si>
  <si>
    <t>03/07/1963</t>
  </si>
  <si>
    <t>10/11/1954</t>
  </si>
  <si>
    <t>09/18/1985</t>
  </si>
  <si>
    <t>01/04/1961</t>
  </si>
  <si>
    <t>03/07/1991</t>
  </si>
  <si>
    <t>05/06/1952</t>
  </si>
  <si>
    <t>10/13/1985</t>
  </si>
  <si>
    <t>06/28/1971</t>
  </si>
  <si>
    <t>11/22/1947</t>
  </si>
  <si>
    <t>07/20/1933</t>
  </si>
  <si>
    <t>07/21/1941</t>
  </si>
  <si>
    <t>11/23/1940</t>
  </si>
  <si>
    <t>07/13/1977</t>
  </si>
  <si>
    <t>06/04/1984</t>
  </si>
  <si>
    <t>03/18/1929</t>
  </si>
  <si>
    <t>09/26/1943</t>
  </si>
  <si>
    <t>06/29/1974</t>
  </si>
  <si>
    <t>12/08/1984</t>
  </si>
  <si>
    <t>10/25/1991</t>
  </si>
  <si>
    <t>01/11/1991</t>
  </si>
  <si>
    <t>04/11/1992</t>
  </si>
  <si>
    <t>07/28/1936</t>
  </si>
  <si>
    <t>03/31/1966</t>
  </si>
  <si>
    <t>03/19/1966</t>
  </si>
  <si>
    <t>02/05/1952</t>
  </si>
  <si>
    <t>02/25/1934</t>
  </si>
  <si>
    <t>11/18/1950</t>
  </si>
  <si>
    <t>03/10/1962</t>
  </si>
  <si>
    <t>07/02/1982</t>
  </si>
  <si>
    <t>03/16/1971</t>
  </si>
  <si>
    <t>03/20/1977</t>
  </si>
  <si>
    <t>12/19/1980</t>
  </si>
  <si>
    <t>11/07/1989</t>
  </si>
  <si>
    <t>05/17/1963</t>
  </si>
  <si>
    <t>11/02/1977</t>
  </si>
  <si>
    <t>05/13/1963</t>
  </si>
  <si>
    <t>01/21/1988</t>
  </si>
  <si>
    <t>02/12/1997</t>
  </si>
  <si>
    <t>03/18/1980</t>
  </si>
  <si>
    <t>04/01/1973</t>
  </si>
  <si>
    <t>03/23/1992</t>
  </si>
  <si>
    <t>03/29/1954</t>
  </si>
  <si>
    <t>02/21/1980</t>
  </si>
  <si>
    <t>12/28/1985</t>
  </si>
  <si>
    <t>07/28/1977</t>
  </si>
  <si>
    <t>05/10/1995</t>
  </si>
  <si>
    <t>06/26/1953</t>
  </si>
  <si>
    <t>07/12/1981</t>
  </si>
  <si>
    <t>10/19/1940</t>
  </si>
  <si>
    <t>09/10/1987</t>
  </si>
  <si>
    <t>12/31/1957</t>
  </si>
  <si>
    <t>12/04/1996</t>
  </si>
  <si>
    <t>09/29/1993</t>
  </si>
  <si>
    <t>02/26/1992</t>
  </si>
  <si>
    <t>07/20/1968</t>
  </si>
  <si>
    <t>03/08/1975</t>
  </si>
  <si>
    <t>05/17/1995</t>
  </si>
  <si>
    <t>12/22/1986</t>
  </si>
  <si>
    <t>10/15/1975</t>
  </si>
  <si>
    <t>05/26/1987</t>
  </si>
  <si>
    <t>01/11/1954</t>
  </si>
  <si>
    <t>10/02/1972</t>
  </si>
  <si>
    <t>03/19/1958</t>
  </si>
  <si>
    <t>11/29/1962</t>
  </si>
  <si>
    <t>03/15/1972</t>
  </si>
  <si>
    <t>08/26/1958</t>
  </si>
  <si>
    <t>01/26/1995</t>
  </si>
  <si>
    <t>01/04/1987</t>
  </si>
  <si>
    <t>05/17/1964</t>
  </si>
  <si>
    <t>05/03/1979</t>
  </si>
  <si>
    <t>12/23/1976</t>
  </si>
  <si>
    <t>11/13/1957</t>
  </si>
  <si>
    <t>11/08/1977</t>
  </si>
  <si>
    <t>02/10/1941</t>
  </si>
  <si>
    <t>11/28/1947</t>
  </si>
  <si>
    <t>06/13/1962</t>
  </si>
  <si>
    <t>03/31/1971</t>
  </si>
  <si>
    <t>12/27/1970</t>
  </si>
  <si>
    <t>12/28/1977</t>
  </si>
  <si>
    <t>01/24/1972</t>
  </si>
  <si>
    <t>12/13/1973</t>
  </si>
  <si>
    <t>02/03/1955</t>
  </si>
  <si>
    <t>01/16/1992</t>
  </si>
  <si>
    <t>01/23/1966</t>
  </si>
  <si>
    <t>12/25/1958</t>
  </si>
  <si>
    <t>03/22/1984</t>
  </si>
  <si>
    <t>11/23/1956</t>
  </si>
  <si>
    <t>10/18/1957</t>
  </si>
  <si>
    <t>03/18/1975</t>
  </si>
  <si>
    <t>12/21/1949</t>
  </si>
  <si>
    <t>03/06/1989</t>
  </si>
  <si>
    <t>06/03/1964</t>
  </si>
  <si>
    <t>02/04/1989</t>
  </si>
  <si>
    <t>01/13/1996</t>
  </si>
  <si>
    <t>06/21/1963</t>
  </si>
  <si>
    <t>04/14/1949</t>
  </si>
  <si>
    <t>11/20/1957</t>
  </si>
  <si>
    <t>08/28/1941</t>
  </si>
  <si>
    <t>05/21/1935</t>
  </si>
  <si>
    <t>04/28/1939</t>
  </si>
  <si>
    <t>12/25/1968</t>
  </si>
  <si>
    <t>12/01/1995</t>
  </si>
  <si>
    <t>07/16/1978</t>
  </si>
  <si>
    <t>07/19/1951</t>
  </si>
  <si>
    <t>12/12/1945</t>
  </si>
  <si>
    <t>03/19/1987</t>
  </si>
  <si>
    <t>08/11/1951</t>
  </si>
  <si>
    <t>04/08/1992</t>
  </si>
  <si>
    <t>06/21/1930</t>
  </si>
  <si>
    <t>04/21/1934</t>
  </si>
  <si>
    <t>03/26/1934</t>
  </si>
  <si>
    <t>08/05/1953</t>
  </si>
  <si>
    <t>05/12/1981</t>
  </si>
  <si>
    <t>03/14/1960</t>
  </si>
  <si>
    <t>12/06/1965</t>
  </si>
  <si>
    <t>10/14/1982</t>
  </si>
  <si>
    <t>12/17/1989</t>
  </si>
  <si>
    <t>09/20/1964</t>
  </si>
  <si>
    <t>09/08/1964</t>
  </si>
  <si>
    <t>07/17/1947</t>
  </si>
  <si>
    <t>05/17/1942</t>
  </si>
  <si>
    <t>02/18/1960</t>
  </si>
  <si>
    <t>01/23/1983</t>
  </si>
  <si>
    <t>02/22/1968</t>
  </si>
  <si>
    <t>01/07/1976</t>
  </si>
  <si>
    <t>02/22/1975</t>
  </si>
  <si>
    <t>10/08/1940</t>
  </si>
  <si>
    <t>12/22/1969</t>
  </si>
  <si>
    <t>04/28/1954</t>
  </si>
  <si>
    <t>08/22/1991</t>
  </si>
  <si>
    <t>10/14/1974</t>
  </si>
  <si>
    <t>12/17/1993</t>
  </si>
  <si>
    <t>06/19/1976</t>
  </si>
  <si>
    <t>01/12/1961</t>
  </si>
  <si>
    <t>12/01/1963</t>
  </si>
  <si>
    <t>05/17/1977</t>
  </si>
  <si>
    <t>01/15/1977</t>
  </si>
  <si>
    <t>02/01/1969</t>
  </si>
  <si>
    <t>01/25/1960</t>
  </si>
  <si>
    <t>04/05/1961</t>
  </si>
  <si>
    <t>04/14/1960</t>
  </si>
  <si>
    <t>11/07/1966</t>
  </si>
  <si>
    <t>03/15/1976</t>
  </si>
  <si>
    <t>01/03/1956</t>
  </si>
  <si>
    <t>02/20/1957</t>
  </si>
  <si>
    <t>03/08/1971</t>
  </si>
  <si>
    <t>05/11/1991</t>
  </si>
  <si>
    <t>11/19/1945</t>
  </si>
  <si>
    <t>12/14/1976</t>
  </si>
  <si>
    <t>01/25/1986</t>
  </si>
  <si>
    <t>10/01/1962</t>
  </si>
  <si>
    <t>09/24/1959</t>
  </si>
  <si>
    <t>12/02/1986</t>
  </si>
  <si>
    <t>09/24/1972</t>
  </si>
  <si>
    <t>11/14/1975</t>
  </si>
  <si>
    <t>04/26/1988</t>
  </si>
  <si>
    <t>01/10/1987</t>
  </si>
  <si>
    <t>01/22/1970</t>
  </si>
  <si>
    <t>07/09/1969</t>
  </si>
  <si>
    <t>01/21/1944</t>
  </si>
  <si>
    <t>06/13/1960</t>
  </si>
  <si>
    <t>11/26/1974</t>
  </si>
  <si>
    <t>06/15/1985</t>
  </si>
  <si>
    <t>11/18/1999</t>
  </si>
  <si>
    <t>10/11/1984</t>
  </si>
  <si>
    <t>01/24/1980</t>
  </si>
  <si>
    <t>08/15/1995</t>
  </si>
  <si>
    <t>01/17/1987</t>
  </si>
  <si>
    <t>10/01/1990</t>
  </si>
  <si>
    <t>07/23/1954</t>
  </si>
  <si>
    <t>11/11/1994</t>
  </si>
  <si>
    <t>03/23/1965</t>
  </si>
  <si>
    <t>12/18/1934</t>
  </si>
  <si>
    <t>08/02/1974</t>
  </si>
  <si>
    <t>10/21/1973</t>
  </si>
  <si>
    <t>09/18/1974</t>
  </si>
  <si>
    <t>07/16/1959</t>
  </si>
  <si>
    <t>12/05/1965</t>
  </si>
  <si>
    <t>11/12/1984</t>
  </si>
  <si>
    <t>12/12/1980</t>
  </si>
  <si>
    <t>07/22/1966</t>
  </si>
  <si>
    <t>08/09/1959</t>
  </si>
  <si>
    <t>03/14/1996</t>
  </si>
  <si>
    <t>01/22/1942</t>
  </si>
  <si>
    <t>03/17/1967</t>
  </si>
  <si>
    <t>04/16/1946</t>
  </si>
  <si>
    <t>04/23/1990</t>
  </si>
  <si>
    <t>08/05/1992</t>
  </si>
  <si>
    <t>11/08/1952</t>
  </si>
  <si>
    <t>02/17/1963</t>
  </si>
  <si>
    <t>08/15/1945</t>
  </si>
  <si>
    <t>08/27/1943</t>
  </si>
  <si>
    <t>06/08/1979</t>
  </si>
  <si>
    <t>04/16/1955</t>
  </si>
  <si>
    <t>05/18/1955</t>
  </si>
  <si>
    <t>02/24/1937</t>
  </si>
  <si>
    <t>06/08/1940</t>
  </si>
  <si>
    <t>05/12/1983</t>
  </si>
  <si>
    <t>01/12/1941</t>
  </si>
  <si>
    <t>04/23/1985</t>
  </si>
  <si>
    <t>07/10/1984</t>
  </si>
  <si>
    <t>11/28/1976</t>
  </si>
  <si>
    <t>10/19/1979</t>
  </si>
  <si>
    <t>12/01/1987</t>
  </si>
  <si>
    <t>05/17/1991</t>
  </si>
  <si>
    <t>06/18/1968</t>
  </si>
  <si>
    <t>03/30/1936</t>
  </si>
  <si>
    <t>03/26/1956</t>
  </si>
  <si>
    <t>07/14/1950</t>
  </si>
  <si>
    <t>01/12/1981</t>
  </si>
  <si>
    <t>07/01/1994</t>
  </si>
  <si>
    <t>12/03/1966</t>
  </si>
  <si>
    <t>12/30/1984</t>
  </si>
  <si>
    <t>07/12/1959</t>
  </si>
  <si>
    <t>01/16/1981</t>
  </si>
  <si>
    <t>07/25/1946</t>
  </si>
  <si>
    <t>07/10/1939</t>
  </si>
  <si>
    <t>10/18/1993</t>
  </si>
  <si>
    <t>01/04/1943</t>
  </si>
  <si>
    <t>01/03/1974</t>
  </si>
  <si>
    <t>09/23/1987</t>
  </si>
  <si>
    <t>05/10/1946</t>
  </si>
  <si>
    <t>05/31/1945</t>
  </si>
  <si>
    <t>07/27/1940</t>
  </si>
  <si>
    <t>03/26/1987</t>
  </si>
  <si>
    <t>12/04/1964</t>
  </si>
  <si>
    <t>03/25/1983</t>
  </si>
  <si>
    <t>12/19/1971</t>
  </si>
  <si>
    <t>12/29/1953</t>
  </si>
  <si>
    <t>05/06/1971</t>
  </si>
  <si>
    <t>09/17/1989</t>
  </si>
  <si>
    <t>02/17/1953</t>
  </si>
  <si>
    <t>09/06/1962</t>
  </si>
  <si>
    <t>07/30/1984</t>
  </si>
  <si>
    <t>12/28/1965</t>
  </si>
  <si>
    <t>06/21/1967</t>
  </si>
  <si>
    <t>04/26/1968</t>
  </si>
  <si>
    <t>08/05/1956</t>
  </si>
  <si>
    <t>01/28/1977</t>
  </si>
  <si>
    <t>09/11/1965</t>
  </si>
  <si>
    <t>05/02/1977</t>
  </si>
  <si>
    <t>12/30/1956</t>
  </si>
  <si>
    <t>01/22/1965</t>
  </si>
  <si>
    <t>04/08/1940</t>
  </si>
  <si>
    <t>10/13/1973</t>
  </si>
  <si>
    <t>07/06/1947</t>
  </si>
  <si>
    <t>04/28/1986</t>
  </si>
  <si>
    <t>04/27/1987</t>
  </si>
  <si>
    <t>04/26/1975</t>
  </si>
  <si>
    <t>05/15/1961</t>
  </si>
  <si>
    <t>01/11/1969</t>
  </si>
  <si>
    <t>02/14/1968</t>
  </si>
  <si>
    <t>06/09/1961</t>
  </si>
  <si>
    <t>05/03/1984</t>
  </si>
  <si>
    <t>08/15/1962</t>
  </si>
  <si>
    <t>08/21/1964</t>
  </si>
  <si>
    <t>05/28/1975</t>
  </si>
  <si>
    <t>04/11/1951</t>
  </si>
  <si>
    <t>10/21/1967</t>
  </si>
  <si>
    <t>08/08/1946</t>
  </si>
  <si>
    <t>07/31/1972</t>
  </si>
  <si>
    <t>05/01/1961</t>
  </si>
  <si>
    <t>05/21/1987</t>
  </si>
  <si>
    <t>09/23/1983</t>
  </si>
  <si>
    <t>02/14/1955</t>
  </si>
  <si>
    <t>04/20/1983</t>
  </si>
  <si>
    <t>12/23/1965</t>
  </si>
  <si>
    <t>08/25/1986</t>
  </si>
  <si>
    <t>01/07/1970</t>
  </si>
  <si>
    <t>08/22/1989</t>
  </si>
  <si>
    <t>12/18/1943</t>
  </si>
  <si>
    <t>05/19/1990</t>
  </si>
  <si>
    <t>06/04/1973</t>
  </si>
  <si>
    <t>08/30/1955</t>
  </si>
  <si>
    <t>02/13/1955</t>
  </si>
  <si>
    <t>04/29/1946</t>
  </si>
  <si>
    <t>02/24/1954</t>
  </si>
  <si>
    <t>04/27/1940</t>
  </si>
  <si>
    <t>07/15/1967</t>
  </si>
  <si>
    <t>03/15/1964</t>
  </si>
  <si>
    <t>04/10/1982</t>
  </si>
  <si>
    <t>05/05/1965</t>
  </si>
  <si>
    <t>11/04/1968</t>
  </si>
  <si>
    <t>09/06/1977</t>
  </si>
  <si>
    <t>08/11/1960</t>
  </si>
  <si>
    <t>02/05/1989</t>
  </si>
  <si>
    <t>08/15/1988</t>
  </si>
  <si>
    <t>01/29/1961</t>
  </si>
  <si>
    <t>11/10/1983</t>
  </si>
  <si>
    <t>06/06/1992</t>
  </si>
  <si>
    <t>03/10/1984</t>
  </si>
  <si>
    <t>03/04/1971</t>
  </si>
  <si>
    <t>08/13/1977</t>
  </si>
  <si>
    <t>03/05/1952</t>
  </si>
  <si>
    <t>12/30/1961</t>
  </si>
  <si>
    <t>09/02/1944</t>
  </si>
  <si>
    <t>08/26/1948</t>
  </si>
  <si>
    <t>02/21/1954</t>
  </si>
  <si>
    <t>06/18/1974</t>
  </si>
  <si>
    <t>07/08/1991</t>
  </si>
  <si>
    <t>09/16/1973</t>
  </si>
  <si>
    <t>02/05/1965</t>
  </si>
  <si>
    <t>07/07/1973</t>
  </si>
  <si>
    <t>11/06/1961</t>
  </si>
  <si>
    <t>05/08/1979</t>
  </si>
  <si>
    <t>08/02/1976</t>
  </si>
  <si>
    <t>11/18/1964</t>
  </si>
  <si>
    <t>10/25/1980</t>
  </si>
  <si>
    <t>04/13/1933</t>
  </si>
  <si>
    <t>04/15/1951</t>
  </si>
  <si>
    <t>09/21/1967</t>
  </si>
  <si>
    <t>04/02/1957</t>
  </si>
  <si>
    <t>08/11/1949</t>
  </si>
  <si>
    <t>06/16/1980</t>
  </si>
  <si>
    <t>07/16/1983</t>
  </si>
  <si>
    <t>08/14/1975</t>
  </si>
  <si>
    <t>06/19/1987</t>
  </si>
  <si>
    <t>02/20/1984</t>
  </si>
  <si>
    <t>07/04/1979</t>
  </si>
  <si>
    <t>01/12/1997</t>
  </si>
  <si>
    <t>05/30/1976</t>
  </si>
  <si>
    <t>03/10/1987</t>
  </si>
  <si>
    <t>05/24/1989</t>
  </si>
  <si>
    <t>07/24/1966</t>
  </si>
  <si>
    <t>12/17/1994</t>
  </si>
  <si>
    <t>03/16/1969</t>
  </si>
  <si>
    <t>08/14/2000</t>
  </si>
  <si>
    <t>01/27/1954</t>
  </si>
  <si>
    <t>06/12/1991</t>
  </si>
  <si>
    <t>03/16/1983</t>
  </si>
  <si>
    <t>02/21/1953</t>
  </si>
  <si>
    <t>06/16/1952</t>
  </si>
  <si>
    <t>03/20/1963</t>
  </si>
  <si>
    <t>03/14/1964</t>
  </si>
  <si>
    <t>05/23/1994</t>
  </si>
  <si>
    <t>01/11/1987</t>
  </si>
  <si>
    <t>07/01/1957</t>
  </si>
  <si>
    <t>06/07/1993</t>
  </si>
  <si>
    <t>06/30/1986</t>
  </si>
  <si>
    <t>01/23/1970</t>
  </si>
  <si>
    <t>01/17/1984</t>
  </si>
  <si>
    <t>03/12/1985</t>
  </si>
  <si>
    <t>07/14/1997</t>
  </si>
  <si>
    <t>05/27/1991</t>
  </si>
  <si>
    <t>03/24/1959</t>
  </si>
  <si>
    <t>06/09/1951</t>
  </si>
  <si>
    <t>09/25/1950</t>
  </si>
  <si>
    <t>01/08/1982</t>
  </si>
  <si>
    <t>12/24/1961</t>
  </si>
  <si>
    <t>12/30/1987</t>
  </si>
  <si>
    <t>09/10/1957</t>
  </si>
  <si>
    <t>10/03/1969</t>
  </si>
  <si>
    <t>06/19/1951</t>
  </si>
  <si>
    <t>12/21/1982</t>
  </si>
  <si>
    <t>08/01/1980</t>
  </si>
  <si>
    <t>03/21/1947</t>
  </si>
  <si>
    <t>11/13/1955</t>
  </si>
  <si>
    <t>04/18/1962</t>
  </si>
  <si>
    <t>12/13/1947</t>
  </si>
  <si>
    <t>07/05/1981</t>
  </si>
  <si>
    <t>01/27/1951</t>
  </si>
  <si>
    <t>06/10/1943</t>
  </si>
  <si>
    <t>02/17/1985</t>
  </si>
  <si>
    <t>05/14/1955</t>
  </si>
  <si>
    <t>09/06/1954</t>
  </si>
  <si>
    <t>03/13/1950</t>
  </si>
  <si>
    <t>04/06/1978</t>
  </si>
  <si>
    <t>06/23/1960</t>
  </si>
  <si>
    <t>05/15/1954</t>
  </si>
  <si>
    <t>11/28/1968</t>
  </si>
  <si>
    <t>09/14/1958</t>
  </si>
  <si>
    <t>10/24/1978</t>
  </si>
  <si>
    <t>02/12/1972</t>
  </si>
  <si>
    <t>04/06/1961</t>
  </si>
  <si>
    <t>05/20/1948</t>
  </si>
  <si>
    <t>10/05/1949</t>
  </si>
  <si>
    <t>05/06/1934</t>
  </si>
  <si>
    <t>06/20/1970</t>
  </si>
  <si>
    <t>05/25/1992</t>
  </si>
  <si>
    <t>12/01/1978</t>
  </si>
  <si>
    <t>03/08/1972</t>
  </si>
  <si>
    <t>12/10/1960</t>
  </si>
  <si>
    <t>06/11/1988</t>
  </si>
  <si>
    <t>04/20/1968</t>
  </si>
  <si>
    <t>08/19/1971</t>
  </si>
  <si>
    <t>11/03/1963</t>
  </si>
  <si>
    <t>05/28/1946</t>
  </si>
  <si>
    <t>12/20/1952</t>
  </si>
  <si>
    <t>03/27/1949</t>
  </si>
  <si>
    <t>08/14/1969</t>
  </si>
  <si>
    <t>01/24/1969</t>
  </si>
  <si>
    <t>12/23/1950</t>
  </si>
  <si>
    <t>07/24/1973</t>
  </si>
  <si>
    <t>11/04/1969</t>
  </si>
  <si>
    <t>10/18/1962</t>
  </si>
  <si>
    <t>02/17/1980</t>
  </si>
  <si>
    <t>04/19/1998</t>
  </si>
  <si>
    <t>10/26/1978</t>
  </si>
  <si>
    <t>02/09/1998</t>
  </si>
  <si>
    <t>05/13/1992</t>
  </si>
  <si>
    <t>11/20/1990</t>
  </si>
  <si>
    <t>11/17/1982</t>
  </si>
  <si>
    <t>03/13/1952</t>
  </si>
  <si>
    <t>06/20/1993</t>
  </si>
  <si>
    <t>05/23/1969</t>
  </si>
  <si>
    <t>12/12/1958</t>
  </si>
  <si>
    <t>02/21/1938</t>
  </si>
  <si>
    <t>02/28/1955</t>
  </si>
  <si>
    <t>05/11/1988</t>
  </si>
  <si>
    <t>02/02/1949</t>
  </si>
  <si>
    <t>01/30/1958</t>
  </si>
  <si>
    <t>10/06/1954</t>
  </si>
  <si>
    <t>09/01/1938</t>
  </si>
  <si>
    <t>07/02/1981</t>
  </si>
  <si>
    <t>04/28/1972</t>
  </si>
  <si>
    <t>05/07/1960</t>
  </si>
  <si>
    <t>01/01/1945</t>
  </si>
  <si>
    <t>06/13/1975</t>
  </si>
  <si>
    <t>10/13/1986</t>
  </si>
  <si>
    <t>01/17/1966</t>
  </si>
  <si>
    <t>07/09/1961</t>
  </si>
  <si>
    <t>01/06/1973</t>
  </si>
  <si>
    <t>11/20/1967</t>
  </si>
  <si>
    <t>02/08/1989</t>
  </si>
  <si>
    <t>10/02/1995</t>
  </si>
  <si>
    <t>10/02/1985</t>
  </si>
  <si>
    <t>07/07/1974</t>
  </si>
  <si>
    <t>09/21/1956</t>
  </si>
  <si>
    <t>02/27/1989</t>
  </si>
  <si>
    <t>02/25/1979</t>
  </si>
  <si>
    <t>07/10/1966</t>
  </si>
  <si>
    <t>09/30/1964</t>
  </si>
  <si>
    <t>12/06/1979</t>
  </si>
  <si>
    <t>01/26/1979</t>
  </si>
  <si>
    <t>11/13/1958</t>
  </si>
  <si>
    <t>04/01/1961</t>
  </si>
  <si>
    <t>08/18/1974</t>
  </si>
  <si>
    <t>06/24/1956</t>
  </si>
  <si>
    <t>12/21/1958</t>
  </si>
  <si>
    <t>07/02/1983</t>
  </si>
  <si>
    <t>11/23/1967</t>
  </si>
  <si>
    <t>09/26/1970</t>
  </si>
  <si>
    <t>08/10/1985</t>
  </si>
  <si>
    <t>06/25/1961</t>
  </si>
  <si>
    <t>04/13/1961</t>
  </si>
  <si>
    <t>02/05/1988</t>
  </si>
  <si>
    <t>08/29/1975</t>
  </si>
  <si>
    <t>02/14/1993</t>
  </si>
  <si>
    <t>01/01/1980</t>
  </si>
  <si>
    <t>08/05/1958</t>
  </si>
  <si>
    <t>04/05/1975</t>
  </si>
  <si>
    <t>12/25/1986</t>
  </si>
  <si>
    <t>02/25/1966</t>
  </si>
  <si>
    <t>10/19/1963</t>
  </si>
  <si>
    <t>09/21/1953</t>
  </si>
  <si>
    <t>11/16/1959</t>
  </si>
  <si>
    <t>10/12/1991</t>
  </si>
  <si>
    <t>05/08/1934</t>
  </si>
  <si>
    <t>05/29/1985</t>
  </si>
  <si>
    <t>11/11/1991</t>
  </si>
  <si>
    <t>12/03/1960</t>
  </si>
  <si>
    <t>03/10/1937</t>
  </si>
  <si>
    <t>11/29/1980</t>
  </si>
  <si>
    <t>08/24/1989</t>
  </si>
  <si>
    <t>04/21/1977</t>
  </si>
  <si>
    <t>02/19/1983</t>
  </si>
  <si>
    <t>01/20/1954</t>
  </si>
  <si>
    <t>12/24/1996</t>
  </si>
  <si>
    <t>10/13/1974</t>
  </si>
  <si>
    <t>01/28/1971</t>
  </si>
  <si>
    <t>08/31/1981</t>
  </si>
  <si>
    <t>12/30/1971</t>
  </si>
  <si>
    <t>01/07/1957</t>
  </si>
  <si>
    <t>07/22/1990</t>
  </si>
  <si>
    <t>06/22/1974</t>
  </si>
  <si>
    <t>08/21/1959</t>
  </si>
  <si>
    <t>09/13/1954</t>
  </si>
  <si>
    <t>11/08/1974</t>
  </si>
  <si>
    <t>01/19/1992</t>
  </si>
  <si>
    <t>09/29/1975</t>
  </si>
  <si>
    <t>07/10/1972</t>
  </si>
  <si>
    <t>06/27/1953</t>
  </si>
  <si>
    <t>04/21/1994</t>
  </si>
  <si>
    <t>11/02/1968</t>
  </si>
  <si>
    <t>06/04/1974</t>
  </si>
  <si>
    <t>02/06/1943</t>
  </si>
  <si>
    <t>09/24/1936</t>
  </si>
  <si>
    <t>02/18/1971</t>
  </si>
  <si>
    <t>10/10/1992</t>
  </si>
  <si>
    <t>08/30/1958</t>
  </si>
  <si>
    <t>06/06/1949</t>
  </si>
  <si>
    <t>12/06/1944</t>
  </si>
  <si>
    <t>12/05/1963</t>
  </si>
  <si>
    <t>04/13/1958</t>
  </si>
  <si>
    <t>11/30/1953</t>
  </si>
  <si>
    <t>06/17/1983</t>
  </si>
  <si>
    <t>08/30/1957</t>
  </si>
  <si>
    <t>02/09/1939</t>
  </si>
  <si>
    <t>05/29/1967</t>
  </si>
  <si>
    <t>01/25/1974</t>
  </si>
  <si>
    <t>07/21/1958</t>
  </si>
  <si>
    <t>08/20/1948</t>
  </si>
  <si>
    <t>07/11/1967</t>
  </si>
  <si>
    <t>04/07/1936</t>
  </si>
  <si>
    <t>12/17/1957</t>
  </si>
  <si>
    <t>10/03/1960</t>
  </si>
  <si>
    <t>02/08/1984</t>
  </si>
  <si>
    <t>06/08/1985</t>
  </si>
  <si>
    <t>04/01/1983</t>
  </si>
  <si>
    <t>10/04/1961</t>
  </si>
  <si>
    <t>01/04/1957</t>
  </si>
  <si>
    <t>04/16/1959</t>
  </si>
  <si>
    <t>03/22/1934</t>
  </si>
  <si>
    <t>02/03/1988</t>
  </si>
  <si>
    <t>03/18/1988</t>
  </si>
  <si>
    <t>02/07/1934</t>
  </si>
  <si>
    <t>09/19/1980</t>
  </si>
  <si>
    <t>06/13/1945</t>
  </si>
  <si>
    <t>06/25/1940</t>
  </si>
  <si>
    <t>04/16/1960</t>
  </si>
  <si>
    <t>05/19/1959</t>
  </si>
  <si>
    <t>10/08/1989</t>
  </si>
  <si>
    <t>07/08/1962</t>
  </si>
  <si>
    <t>02/06/1956</t>
  </si>
  <si>
    <t>05/17/1969</t>
  </si>
  <si>
    <t>06/23/1972</t>
  </si>
  <si>
    <t>11/10/1972</t>
  </si>
  <si>
    <t>08/02/1973</t>
  </si>
  <si>
    <t>04/28/1963</t>
  </si>
  <si>
    <t>05/18/1988</t>
  </si>
  <si>
    <t>03/26/1965</t>
  </si>
  <si>
    <t>08/19/1949</t>
  </si>
  <si>
    <t>04/02/1990</t>
  </si>
  <si>
    <t>04/03/1987</t>
  </si>
  <si>
    <t>04/30/1973</t>
  </si>
  <si>
    <t>01/02/1979</t>
  </si>
  <si>
    <t>06/17/1965</t>
  </si>
  <si>
    <t>08/16/1987</t>
  </si>
  <si>
    <t>10/24/1989</t>
  </si>
  <si>
    <t>09/04/1970</t>
  </si>
  <si>
    <t>10/29/1989</t>
  </si>
  <si>
    <t>05/14/1967</t>
  </si>
  <si>
    <t>12/20/1960</t>
  </si>
  <si>
    <t>12/13/1946</t>
  </si>
  <si>
    <t>06/15/1972</t>
  </si>
  <si>
    <t>04/22/1958</t>
  </si>
  <si>
    <t>10/15/1982</t>
  </si>
  <si>
    <t>03/18/1964</t>
  </si>
  <si>
    <t>10/04/1980</t>
  </si>
  <si>
    <t>06/27/1981</t>
  </si>
  <si>
    <t>07/30/1989</t>
  </si>
  <si>
    <t>08/13/1975</t>
  </si>
  <si>
    <t>07/22/1969</t>
  </si>
  <si>
    <t>09/07/1944</t>
  </si>
  <si>
    <t>07/03/1940</t>
  </si>
  <si>
    <t>12/01/1944</t>
  </si>
  <si>
    <t>01/08/1941</t>
  </si>
  <si>
    <t>12/06/1946</t>
  </si>
  <si>
    <t>06/03/1943</t>
  </si>
  <si>
    <t>10/21/1982</t>
  </si>
  <si>
    <t>02/09/1943</t>
  </si>
  <si>
    <t>1385794-1</t>
  </si>
  <si>
    <t>016063227J</t>
  </si>
  <si>
    <t>009991125H</t>
  </si>
  <si>
    <t>012704046H</t>
  </si>
  <si>
    <t>9081747J</t>
  </si>
  <si>
    <t>003371279F</t>
  </si>
  <si>
    <t>012196474G</t>
  </si>
  <si>
    <t>005410024D</t>
  </si>
  <si>
    <t>36429824A</t>
  </si>
  <si>
    <t>12704046H</t>
  </si>
  <si>
    <t>011653259J</t>
  </si>
  <si>
    <t>4833822C</t>
  </si>
  <si>
    <t>10925628J</t>
  </si>
  <si>
    <t>011739146G</t>
  </si>
  <si>
    <t>013130926C</t>
  </si>
  <si>
    <t>005155426J</t>
  </si>
  <si>
    <t>010077384F</t>
  </si>
  <si>
    <t>008543605D</t>
  </si>
  <si>
    <t>005188618C</t>
  </si>
  <si>
    <t>017621240F</t>
  </si>
  <si>
    <t>033159302A</t>
  </si>
  <si>
    <t>034477394A</t>
  </si>
  <si>
    <t>005478016I</t>
  </si>
  <si>
    <t>017706350A</t>
  </si>
  <si>
    <t>18496207E</t>
  </si>
  <si>
    <t>36124717E</t>
  </si>
  <si>
    <t>013103027C</t>
  </si>
  <si>
    <t>008586546 H</t>
  </si>
  <si>
    <t>001989833H</t>
  </si>
  <si>
    <t>PR23469F</t>
  </si>
  <si>
    <t>015863377G</t>
  </si>
  <si>
    <t>12846855A</t>
  </si>
  <si>
    <t>013366654F</t>
  </si>
  <si>
    <t>012820465I</t>
  </si>
  <si>
    <t>006072946E</t>
  </si>
  <si>
    <t>018310861C</t>
  </si>
  <si>
    <t>033636956G</t>
  </si>
  <si>
    <t>007717493G</t>
  </si>
  <si>
    <t>035583692F</t>
  </si>
  <si>
    <t>015442451J</t>
  </si>
  <si>
    <t>037219705D</t>
  </si>
  <si>
    <t>010599402E</t>
  </si>
  <si>
    <t>036667269J</t>
  </si>
  <si>
    <t>005935716C</t>
  </si>
  <si>
    <t>001358718D</t>
  </si>
  <si>
    <t>011825234F</t>
  </si>
  <si>
    <t>Not on PA</t>
  </si>
  <si>
    <t>not available</t>
  </si>
  <si>
    <t>018458047A</t>
  </si>
  <si>
    <t>032752191A</t>
  </si>
  <si>
    <t>VW84117P</t>
  </si>
  <si>
    <t>003895070F</t>
  </si>
  <si>
    <t>4717135-A</t>
  </si>
  <si>
    <t>037271984J</t>
  </si>
  <si>
    <t>00033493904i</t>
  </si>
  <si>
    <t>017716835I</t>
  </si>
  <si>
    <t>017684993D</t>
  </si>
  <si>
    <t>37273570E</t>
  </si>
  <si>
    <t>QA10109U</t>
  </si>
  <si>
    <t>03523053C</t>
  </si>
  <si>
    <t>0037265805E</t>
  </si>
  <si>
    <t>006845190F</t>
  </si>
  <si>
    <t>014300210D</t>
  </si>
  <si>
    <t>00552789A</t>
  </si>
  <si>
    <t>00022009745F</t>
  </si>
  <si>
    <t>000525949E</t>
  </si>
  <si>
    <t>036597680C</t>
  </si>
  <si>
    <t>008968927H</t>
  </si>
  <si>
    <t>004629355B</t>
  </si>
  <si>
    <t>036794417A</t>
  </si>
  <si>
    <t>00037289885I</t>
  </si>
  <si>
    <t>17891001E</t>
  </si>
  <si>
    <t>36757067I</t>
  </si>
  <si>
    <t>034650303A</t>
  </si>
  <si>
    <t>006506451B</t>
  </si>
  <si>
    <t>031911364D</t>
  </si>
  <si>
    <t>YE59744Y</t>
  </si>
  <si>
    <t>9592685D</t>
  </si>
  <si>
    <t>0086142387J</t>
  </si>
  <si>
    <t>000874283F</t>
  </si>
  <si>
    <t>012581685A</t>
  </si>
  <si>
    <t>008923344J</t>
  </si>
  <si>
    <t>015366392H</t>
  </si>
  <si>
    <t>036869011B</t>
  </si>
  <si>
    <t>037366268D</t>
  </si>
  <si>
    <t>010593597H</t>
  </si>
  <si>
    <t>36866529F</t>
  </si>
  <si>
    <t>007555299C</t>
  </si>
  <si>
    <t>008290500D</t>
  </si>
  <si>
    <t>0037266848D</t>
  </si>
  <si>
    <t>018200363C</t>
  </si>
  <si>
    <t>012905557A</t>
  </si>
  <si>
    <t>018370441A</t>
  </si>
  <si>
    <t>009943907H</t>
  </si>
  <si>
    <t>037093357E</t>
  </si>
  <si>
    <t>034382554D</t>
  </si>
  <si>
    <t>009449016G</t>
  </si>
  <si>
    <t>10868275I</t>
  </si>
  <si>
    <t>011209289F</t>
  </si>
  <si>
    <t>035334052E</t>
  </si>
  <si>
    <t>001819434A</t>
  </si>
  <si>
    <t>00037501359G</t>
  </si>
  <si>
    <t>008801252B</t>
  </si>
  <si>
    <t>005371142A</t>
  </si>
  <si>
    <t>009811210F</t>
  </si>
  <si>
    <t>011621619D</t>
  </si>
  <si>
    <t>005084439I</t>
  </si>
  <si>
    <t>037193843E</t>
  </si>
  <si>
    <t>017985846J</t>
  </si>
  <si>
    <t>1750101G</t>
  </si>
  <si>
    <t>010862869E</t>
  </si>
  <si>
    <t>004223464B</t>
  </si>
  <si>
    <t>018220042-I</t>
  </si>
  <si>
    <t>000836805C</t>
  </si>
  <si>
    <t>030590978A</t>
  </si>
  <si>
    <t>009637380I</t>
  </si>
  <si>
    <t>00003857947A</t>
  </si>
  <si>
    <t>34891104-B</t>
  </si>
  <si>
    <t>017883697J</t>
  </si>
  <si>
    <t>36746477D</t>
  </si>
  <si>
    <t>002834508A</t>
  </si>
  <si>
    <t>036965788H</t>
  </si>
  <si>
    <t>YM82644G</t>
  </si>
  <si>
    <t>015737047J</t>
  </si>
  <si>
    <t>005989865A</t>
  </si>
  <si>
    <t>5274941D</t>
  </si>
  <si>
    <t>0011529406I</t>
  </si>
  <si>
    <t>7738350N</t>
  </si>
  <si>
    <t>037285252F</t>
  </si>
  <si>
    <t>009805237G</t>
  </si>
  <si>
    <t>00037726250G</t>
  </si>
  <si>
    <t>003568631A</t>
  </si>
  <si>
    <t>09070127H</t>
  </si>
  <si>
    <t>036842135A</t>
  </si>
  <si>
    <t>00009085227I</t>
  </si>
  <si>
    <t>017899885C</t>
  </si>
  <si>
    <t>021703376G</t>
  </si>
  <si>
    <t>000360715H</t>
  </si>
  <si>
    <t>017045807J</t>
  </si>
  <si>
    <t>00518766B</t>
  </si>
  <si>
    <t>018199341B</t>
  </si>
  <si>
    <t>001722688H</t>
  </si>
  <si>
    <t>006538893G</t>
  </si>
  <si>
    <t>032370992D</t>
  </si>
  <si>
    <t>037165447-G</t>
  </si>
  <si>
    <t>037060017D</t>
  </si>
  <si>
    <t>015250644A</t>
  </si>
  <si>
    <t>007195806A</t>
  </si>
  <si>
    <t>036820410D</t>
  </si>
  <si>
    <t>ZZ39348C</t>
  </si>
  <si>
    <t>006503959G</t>
  </si>
  <si>
    <t>033245640J</t>
  </si>
  <si>
    <t>016263177E</t>
  </si>
  <si>
    <t>2760036A</t>
  </si>
  <si>
    <t>007244561c</t>
  </si>
  <si>
    <t>004324947D</t>
  </si>
  <si>
    <t>7561912C</t>
  </si>
  <si>
    <t>013112531C</t>
  </si>
  <si>
    <t>08952769B</t>
  </si>
  <si>
    <t>012221787A</t>
  </si>
  <si>
    <t>02230795D</t>
  </si>
  <si>
    <t>01186149I</t>
  </si>
  <si>
    <t>037279483E</t>
  </si>
  <si>
    <t>018183676I</t>
  </si>
  <si>
    <t>00687487F</t>
  </si>
  <si>
    <t>008876568A</t>
  </si>
  <si>
    <t>10979827-C</t>
  </si>
  <si>
    <t>010248901A</t>
  </si>
  <si>
    <t>010921640I</t>
  </si>
  <si>
    <t>015826615F</t>
  </si>
  <si>
    <t>020834523B</t>
  </si>
  <si>
    <t>037823799F</t>
  </si>
  <si>
    <t>37276480D</t>
  </si>
  <si>
    <t>037187198J</t>
  </si>
  <si>
    <t>037333560D</t>
  </si>
  <si>
    <t>009427599H</t>
  </si>
  <si>
    <t>017847463B</t>
  </si>
  <si>
    <t>37296246E</t>
  </si>
  <si>
    <t>017867122I</t>
  </si>
  <si>
    <t>011531124D</t>
  </si>
  <si>
    <t>036986022G</t>
  </si>
  <si>
    <t>032673566J</t>
  </si>
  <si>
    <t>016953140H</t>
  </si>
  <si>
    <t>005129720I</t>
  </si>
  <si>
    <t>014860774A</t>
  </si>
  <si>
    <t>005191997F</t>
  </si>
  <si>
    <t>009104423A</t>
  </si>
  <si>
    <t>037162603H</t>
  </si>
  <si>
    <t>005120509E</t>
  </si>
  <si>
    <t>012538853 I</t>
  </si>
  <si>
    <t>13245566-F</t>
  </si>
  <si>
    <t>36877322C</t>
  </si>
  <si>
    <t>011141546J</t>
  </si>
  <si>
    <t>003608543J</t>
  </si>
  <si>
    <t>30631148B</t>
  </si>
  <si>
    <t>015166519H</t>
  </si>
  <si>
    <t>00461214J</t>
  </si>
  <si>
    <t>008968651D</t>
  </si>
  <si>
    <t>037313020C</t>
  </si>
  <si>
    <t>037310571H</t>
  </si>
  <si>
    <t>10936040-E</t>
  </si>
  <si>
    <t>013809335G</t>
  </si>
  <si>
    <t>007760958E</t>
  </si>
  <si>
    <t>013811683F</t>
  </si>
  <si>
    <t>013242390G</t>
  </si>
  <si>
    <t>036190284E</t>
  </si>
  <si>
    <t>007347101D</t>
  </si>
  <si>
    <t>006680410F</t>
  </si>
  <si>
    <t>035070748F</t>
  </si>
  <si>
    <t>036644346D</t>
  </si>
  <si>
    <t>1273521D</t>
  </si>
  <si>
    <t>17807568F</t>
  </si>
  <si>
    <t>000448531E</t>
  </si>
  <si>
    <t>62770098H</t>
  </si>
  <si>
    <t>009862098C</t>
  </si>
  <si>
    <t>08725926D</t>
  </si>
  <si>
    <t>006766160D</t>
  </si>
  <si>
    <t>034163370J</t>
  </si>
  <si>
    <t>x4503755</t>
  </si>
  <si>
    <t>037347863F</t>
  </si>
  <si>
    <t>018034257I</t>
  </si>
  <si>
    <t>37214853G</t>
  </si>
  <si>
    <t>006404613J</t>
  </si>
  <si>
    <t>003525794I</t>
  </si>
  <si>
    <t>004121711I</t>
  </si>
  <si>
    <t>037117331B</t>
  </si>
  <si>
    <t>012854577J</t>
  </si>
  <si>
    <t>012840075B</t>
  </si>
  <si>
    <t>015492291I</t>
  </si>
  <si>
    <t>006710551A</t>
  </si>
  <si>
    <t>011207793I</t>
  </si>
  <si>
    <t>037253910G</t>
  </si>
  <si>
    <t>006909998E</t>
  </si>
  <si>
    <t>00022969266A</t>
  </si>
  <si>
    <t>010896498C</t>
  </si>
  <si>
    <t>005576494I</t>
  </si>
  <si>
    <t>006416459D</t>
  </si>
  <si>
    <t>034978062H</t>
  </si>
  <si>
    <t>011711536A</t>
  </si>
  <si>
    <t>00037185966B</t>
  </si>
  <si>
    <t>005660910A</t>
  </si>
  <si>
    <t>011775468J</t>
  </si>
  <si>
    <t>011410960G</t>
  </si>
  <si>
    <t>011253044J</t>
  </si>
  <si>
    <t>17370929G</t>
  </si>
  <si>
    <t>18349364-C</t>
  </si>
  <si>
    <t>008102284a</t>
  </si>
  <si>
    <t>36193339D</t>
  </si>
  <si>
    <t>3799129G</t>
  </si>
  <si>
    <t>037362194F</t>
  </si>
  <si>
    <t>032494557F</t>
  </si>
  <si>
    <t>016773145E</t>
  </si>
  <si>
    <t>015365722G</t>
  </si>
  <si>
    <t>035550226B</t>
  </si>
  <si>
    <t>001909208J</t>
  </si>
  <si>
    <t>7103581-A</t>
  </si>
  <si>
    <t>032796268E</t>
  </si>
  <si>
    <t>18330874-B</t>
  </si>
  <si>
    <t>24879025-F</t>
  </si>
  <si>
    <t>18292952-B</t>
  </si>
  <si>
    <t>008490504B</t>
  </si>
  <si>
    <t>3271908A</t>
  </si>
  <si>
    <t>00036987622I</t>
  </si>
  <si>
    <t>011375659H</t>
  </si>
  <si>
    <t>032372418H</t>
  </si>
  <si>
    <t>017876945B</t>
  </si>
  <si>
    <t>016141953G</t>
  </si>
  <si>
    <t>003376334D</t>
  </si>
  <si>
    <t>017433123B</t>
  </si>
  <si>
    <t>03877034D</t>
  </si>
  <si>
    <t>037308386E</t>
  </si>
  <si>
    <t>004533365F</t>
  </si>
  <si>
    <t>009779551C</t>
  </si>
  <si>
    <t>037263718B</t>
  </si>
  <si>
    <t>018333084E</t>
  </si>
  <si>
    <t>013941130J</t>
  </si>
  <si>
    <t>012321510F</t>
  </si>
  <si>
    <t>000-00-0000</t>
  </si>
  <si>
    <t>036784251F</t>
  </si>
  <si>
    <t>07189424A</t>
  </si>
  <si>
    <t>037251679J</t>
  </si>
  <si>
    <t>011092937J</t>
  </si>
  <si>
    <t>037319922D</t>
  </si>
  <si>
    <t>037311317E</t>
  </si>
  <si>
    <t>00037285460E</t>
  </si>
  <si>
    <t>7010534B</t>
  </si>
  <si>
    <t>03430434F</t>
  </si>
  <si>
    <t>005731458F</t>
  </si>
  <si>
    <t>34452524B</t>
  </si>
  <si>
    <t>16884217H</t>
  </si>
  <si>
    <t>018399462D</t>
  </si>
  <si>
    <t>017222863H</t>
  </si>
  <si>
    <t>3046144G</t>
  </si>
  <si>
    <t>6004868927312427544</t>
  </si>
  <si>
    <t>10319069A</t>
  </si>
  <si>
    <t>009695570D</t>
  </si>
  <si>
    <t>00037309077I</t>
  </si>
  <si>
    <t>37352776B</t>
  </si>
  <si>
    <t>021876354I</t>
  </si>
  <si>
    <t>010243771C</t>
  </si>
  <si>
    <t>see DHCI</t>
  </si>
  <si>
    <t>007275002J</t>
  </si>
  <si>
    <t>18460067E</t>
  </si>
  <si>
    <t>011798484J</t>
  </si>
  <si>
    <t>017607242J</t>
  </si>
  <si>
    <t>009198736C</t>
  </si>
  <si>
    <t>011212138J</t>
  </si>
  <si>
    <t>002801958G</t>
  </si>
  <si>
    <t>013039557H</t>
  </si>
  <si>
    <t>0369086C</t>
  </si>
  <si>
    <t>00003368626C</t>
  </si>
  <si>
    <t>012560205C</t>
  </si>
  <si>
    <t>00031715242J</t>
  </si>
  <si>
    <t>00036862558i</t>
  </si>
  <si>
    <t>6004868121233946226</t>
  </si>
  <si>
    <t>030041522B</t>
  </si>
  <si>
    <t>Y222420R</t>
  </si>
  <si>
    <t>837516E</t>
  </si>
  <si>
    <t>013488492D</t>
  </si>
  <si>
    <t>018255252B</t>
  </si>
  <si>
    <t>37242996J</t>
  </si>
  <si>
    <t>005841994G</t>
  </si>
  <si>
    <t>17519574C</t>
  </si>
  <si>
    <t>35426060G</t>
  </si>
  <si>
    <t>003078960G</t>
  </si>
  <si>
    <t>05453591J</t>
  </si>
  <si>
    <t>00037330382F</t>
  </si>
  <si>
    <t>036922814D</t>
  </si>
  <si>
    <t>007610984C</t>
  </si>
  <si>
    <t>012135213C</t>
  </si>
  <si>
    <t>000012595F</t>
  </si>
  <si>
    <t>36848527C</t>
  </si>
  <si>
    <t>017829404H</t>
  </si>
  <si>
    <t>008257557C</t>
  </si>
  <si>
    <t>37258387C</t>
  </si>
  <si>
    <t>005342501D</t>
  </si>
  <si>
    <t>004279893E</t>
  </si>
  <si>
    <t>037277809C</t>
  </si>
  <si>
    <t>010877497H</t>
  </si>
  <si>
    <t>00037311548E</t>
  </si>
  <si>
    <t>018393928J</t>
  </si>
  <si>
    <t>013274982B</t>
  </si>
  <si>
    <t>010952995I</t>
  </si>
  <si>
    <t>016211260B</t>
  </si>
  <si>
    <t>Not available</t>
  </si>
  <si>
    <t>018386445D</t>
  </si>
  <si>
    <t>unavailable</t>
  </si>
  <si>
    <t>34821144C</t>
  </si>
  <si>
    <t>032335191G</t>
  </si>
  <si>
    <t>008087573F</t>
  </si>
  <si>
    <t>004984691I</t>
  </si>
  <si>
    <t>009024478B</t>
  </si>
  <si>
    <t>030902464E</t>
  </si>
  <si>
    <t>17854208A</t>
  </si>
  <si>
    <t>037306859C</t>
  </si>
  <si>
    <t>016421831F</t>
  </si>
  <si>
    <t>037143619H</t>
  </si>
  <si>
    <t>2196694-02</t>
  </si>
  <si>
    <t>018135135E</t>
  </si>
  <si>
    <t>016931424C</t>
  </si>
  <si>
    <t>036412942J</t>
  </si>
  <si>
    <t>RX32372B</t>
  </si>
  <si>
    <t>04059173H</t>
  </si>
  <si>
    <t>007724914C</t>
  </si>
  <si>
    <t>037023569J</t>
  </si>
  <si>
    <t>001381174A</t>
  </si>
  <si>
    <t>009453433G</t>
  </si>
  <si>
    <t>003761746B</t>
  </si>
  <si>
    <t>036668969D</t>
  </si>
  <si>
    <t>012905492A</t>
  </si>
  <si>
    <t>007943730H</t>
  </si>
  <si>
    <t>3730492D</t>
  </si>
  <si>
    <t>031121272E</t>
  </si>
  <si>
    <t>011434236D</t>
  </si>
  <si>
    <t>018322875I</t>
  </si>
  <si>
    <t>000024497A</t>
  </si>
  <si>
    <t>017281925C</t>
  </si>
  <si>
    <t>006422457J</t>
  </si>
  <si>
    <t>003138885D</t>
  </si>
  <si>
    <t>00671817C</t>
  </si>
  <si>
    <t>009640815I</t>
  </si>
  <si>
    <t>037432457C</t>
  </si>
  <si>
    <t>007096151B</t>
  </si>
  <si>
    <t>001107189B</t>
  </si>
  <si>
    <t>002262443B</t>
  </si>
  <si>
    <t>011576512F</t>
  </si>
  <si>
    <t>012505734J</t>
  </si>
  <si>
    <t>6058962J</t>
  </si>
  <si>
    <t>011962941I</t>
  </si>
  <si>
    <t>14762314E</t>
  </si>
  <si>
    <t>013620023F</t>
  </si>
  <si>
    <t>07222358J</t>
  </si>
  <si>
    <t>002859105F</t>
  </si>
  <si>
    <t>037352567E</t>
  </si>
  <si>
    <t>030034334A</t>
  </si>
  <si>
    <t>008195177E</t>
  </si>
  <si>
    <t>03796109B</t>
  </si>
  <si>
    <t>012816748D</t>
  </si>
  <si>
    <t>018161776C</t>
  </si>
  <si>
    <t>016870171C</t>
  </si>
  <si>
    <t>016184802D</t>
  </si>
  <si>
    <t>37365948B</t>
  </si>
  <si>
    <t>00018379717E</t>
  </si>
  <si>
    <t>004613350B</t>
  </si>
  <si>
    <t>010953304C</t>
  </si>
  <si>
    <t>037935024c</t>
  </si>
  <si>
    <t>00009407471D</t>
  </si>
  <si>
    <t>010636591J</t>
  </si>
  <si>
    <t>010123195J</t>
  </si>
  <si>
    <t>012778759G</t>
  </si>
  <si>
    <t>000668073A</t>
  </si>
  <si>
    <t>005439823F</t>
  </si>
  <si>
    <t>008767889C</t>
  </si>
  <si>
    <t>015941913E</t>
  </si>
  <si>
    <t>037336973F</t>
  </si>
  <si>
    <t>006603287B</t>
  </si>
  <si>
    <t>008749615E</t>
  </si>
  <si>
    <t>009919322J</t>
  </si>
  <si>
    <t>035438342E</t>
  </si>
  <si>
    <t>009039690E</t>
  </si>
  <si>
    <t>006965303I</t>
  </si>
  <si>
    <t>013199647C</t>
  </si>
  <si>
    <t>010615992E</t>
  </si>
  <si>
    <t>18224600-J</t>
  </si>
  <si>
    <t>09841443G</t>
  </si>
  <si>
    <t>000661769A</t>
  </si>
  <si>
    <t>00958451A</t>
  </si>
  <si>
    <t>003820731C</t>
  </si>
  <si>
    <t>007198027A</t>
  </si>
  <si>
    <t>017067925C</t>
  </si>
  <si>
    <t>001293583J</t>
  </si>
  <si>
    <t>035738241D</t>
  </si>
  <si>
    <t>018026978J</t>
  </si>
  <si>
    <t>011770187A</t>
  </si>
  <si>
    <t>037153259J</t>
  </si>
  <si>
    <t>018242754C</t>
  </si>
  <si>
    <t>010312405D</t>
  </si>
  <si>
    <t>037326900A</t>
  </si>
  <si>
    <t>018391004B</t>
  </si>
  <si>
    <t>018243424B</t>
  </si>
  <si>
    <t>034588785F</t>
  </si>
  <si>
    <t>007013436G</t>
  </si>
  <si>
    <t>037345782J</t>
  </si>
  <si>
    <t>00037775837A</t>
  </si>
  <si>
    <t>18-1874885</t>
  </si>
  <si>
    <t>009643119C</t>
  </si>
  <si>
    <t>034952708F</t>
  </si>
  <si>
    <t>005204213C</t>
  </si>
  <si>
    <t>004064423J</t>
  </si>
  <si>
    <t>018034551E</t>
  </si>
  <si>
    <t>018438952G</t>
  </si>
  <si>
    <t>020686589B</t>
  </si>
  <si>
    <t>10802715C</t>
  </si>
  <si>
    <t>037364602F</t>
  </si>
  <si>
    <t>036089405J</t>
  </si>
  <si>
    <t>035112544I</t>
  </si>
  <si>
    <t>031984492E</t>
  </si>
  <si>
    <t>004104031C</t>
  </si>
  <si>
    <t>011238184D</t>
  </si>
  <si>
    <t>011799314H</t>
  </si>
  <si>
    <t>015066138H</t>
  </si>
  <si>
    <t>33236978E</t>
  </si>
  <si>
    <t>008379534E</t>
  </si>
  <si>
    <t>008373781H</t>
  </si>
  <si>
    <t>7084974-A</t>
  </si>
  <si>
    <t>10027902-F</t>
  </si>
  <si>
    <t>17711859-D</t>
  </si>
  <si>
    <t>037430329F</t>
  </si>
  <si>
    <t>17624614-I</t>
  </si>
  <si>
    <t>05124104A</t>
  </si>
  <si>
    <t>005364197D</t>
  </si>
  <si>
    <t>5575576D</t>
  </si>
  <si>
    <t>09334393H</t>
  </si>
  <si>
    <t>14880033-H</t>
  </si>
  <si>
    <t>01954530B</t>
  </si>
  <si>
    <t>016563197J</t>
  </si>
  <si>
    <t>1280458-C</t>
  </si>
  <si>
    <t>010637295G</t>
  </si>
  <si>
    <t>06142426D</t>
  </si>
  <si>
    <t>16326548-B</t>
  </si>
  <si>
    <t>017677257C</t>
  </si>
  <si>
    <t>003868587B</t>
  </si>
  <si>
    <t>002329349B</t>
  </si>
  <si>
    <t>37126489G</t>
  </si>
  <si>
    <t>03204240A</t>
  </si>
  <si>
    <t>033065933F</t>
  </si>
  <si>
    <t>5385780B</t>
  </si>
  <si>
    <t>12562155H</t>
  </si>
  <si>
    <t>018050261J</t>
  </si>
  <si>
    <t>00009836810D</t>
  </si>
  <si>
    <t>37319384-G</t>
  </si>
  <si>
    <t>022479797H</t>
  </si>
  <si>
    <t>016229775I</t>
  </si>
  <si>
    <t>004442569C</t>
  </si>
  <si>
    <t>036397105C</t>
  </si>
  <si>
    <t>037472497J</t>
  </si>
  <si>
    <t>017754316C</t>
  </si>
  <si>
    <t>08279779G</t>
  </si>
  <si>
    <t>016668027C</t>
  </si>
  <si>
    <t>012210461F</t>
  </si>
  <si>
    <t>08498935J</t>
  </si>
  <si>
    <t>12996403H</t>
  </si>
  <si>
    <t>005001365F</t>
  </si>
  <si>
    <t>18224600J</t>
  </si>
  <si>
    <t>037115554A</t>
  </si>
  <si>
    <t>Y548370C</t>
  </si>
  <si>
    <t>37008008H</t>
  </si>
  <si>
    <t>9279334I</t>
  </si>
  <si>
    <t>034901183D</t>
  </si>
  <si>
    <t>007096122C</t>
  </si>
  <si>
    <t>016206770G</t>
  </si>
  <si>
    <t>12217449D</t>
  </si>
  <si>
    <t>036869823J</t>
  </si>
  <si>
    <t>32331941l</t>
  </si>
  <si>
    <t>010138507I</t>
  </si>
  <si>
    <t>014811914C</t>
  </si>
  <si>
    <t>012932329B</t>
  </si>
  <si>
    <t>037233016H</t>
  </si>
  <si>
    <t>014772310A</t>
  </si>
  <si>
    <t>013526034H</t>
  </si>
  <si>
    <t>018198715H</t>
  </si>
  <si>
    <t>018331619J</t>
  </si>
  <si>
    <t>37363764E</t>
  </si>
  <si>
    <t>015329534A</t>
  </si>
  <si>
    <t>011689407C</t>
  </si>
  <si>
    <t>36771180-B</t>
  </si>
  <si>
    <t>018418192D</t>
  </si>
  <si>
    <t>003224399A</t>
  </si>
  <si>
    <t>017639013G</t>
  </si>
  <si>
    <t>038052693J</t>
  </si>
  <si>
    <t>001638054F</t>
  </si>
  <si>
    <t>001173261H</t>
  </si>
  <si>
    <t>016612074B</t>
  </si>
  <si>
    <t>018000985E</t>
  </si>
  <si>
    <t>018450528H</t>
  </si>
  <si>
    <t>031651546J</t>
  </si>
  <si>
    <t>011173905I</t>
  </si>
  <si>
    <t>007249556H</t>
  </si>
  <si>
    <t>002548716G</t>
  </si>
  <si>
    <t>006370175J</t>
  </si>
  <si>
    <t>03032247F</t>
  </si>
  <si>
    <t>035514484B</t>
  </si>
  <si>
    <t>009965050J</t>
  </si>
  <si>
    <t>010445444C</t>
  </si>
  <si>
    <t>015337211F</t>
  </si>
  <si>
    <t>11153292F</t>
  </si>
  <si>
    <t>030797425D</t>
  </si>
  <si>
    <t>37423715E</t>
  </si>
  <si>
    <t>035571751D</t>
  </si>
  <si>
    <t>004463058A</t>
  </si>
  <si>
    <t>003551486I</t>
  </si>
  <si>
    <t>018178467J</t>
  </si>
  <si>
    <t>009867732B</t>
  </si>
  <si>
    <t>030129327A</t>
  </si>
  <si>
    <t>94101430F</t>
  </si>
  <si>
    <t>005132208J</t>
  </si>
  <si>
    <t>167217050-A</t>
  </si>
  <si>
    <t>004280726D</t>
  </si>
  <si>
    <t>017801745F</t>
  </si>
  <si>
    <t>17624614-1</t>
  </si>
  <si>
    <t>36936162B</t>
  </si>
  <si>
    <t>008658106D</t>
  </si>
  <si>
    <t>034512004C</t>
  </si>
  <si>
    <t>018351195F</t>
  </si>
  <si>
    <t>000657613G</t>
  </si>
  <si>
    <t>012453213G</t>
  </si>
  <si>
    <t>05566824I</t>
  </si>
  <si>
    <t>5565453H</t>
  </si>
  <si>
    <t>016758279A</t>
  </si>
  <si>
    <t>10077421F</t>
  </si>
  <si>
    <t>018042197G</t>
  </si>
  <si>
    <t>31156722G</t>
  </si>
  <si>
    <t>005864811E</t>
  </si>
  <si>
    <t>05955225H</t>
  </si>
  <si>
    <t>08963281E</t>
  </si>
  <si>
    <t>011128534C</t>
  </si>
  <si>
    <t>017831897I</t>
  </si>
  <si>
    <t>009788684A</t>
  </si>
  <si>
    <t>001119280E</t>
  </si>
  <si>
    <t>017664528B</t>
  </si>
  <si>
    <t>01591953C</t>
  </si>
  <si>
    <t>004392293J</t>
  </si>
  <si>
    <t>081117276I</t>
  </si>
  <si>
    <t>005478128B</t>
  </si>
  <si>
    <t>016388836F</t>
  </si>
  <si>
    <t>009952497H</t>
  </si>
  <si>
    <t>005611470F</t>
  </si>
  <si>
    <t>035514601A</t>
  </si>
  <si>
    <t>00037370417A</t>
  </si>
  <si>
    <t>016292499H</t>
  </si>
  <si>
    <t>00037368274J</t>
  </si>
  <si>
    <t>37069750A</t>
  </si>
  <si>
    <t>00015368528 E</t>
  </si>
  <si>
    <t>037301954G</t>
  </si>
  <si>
    <t>03352956J</t>
  </si>
  <si>
    <t>017882532J</t>
  </si>
  <si>
    <t>00003294657G</t>
  </si>
  <si>
    <t>018366284A</t>
  </si>
  <si>
    <t>010164383B</t>
  </si>
  <si>
    <t>005591562D</t>
  </si>
  <si>
    <t>004409603A</t>
  </si>
  <si>
    <t>014034317J</t>
  </si>
  <si>
    <t>026969526I</t>
  </si>
  <si>
    <t>036112306A</t>
  </si>
  <si>
    <t>018063512A</t>
  </si>
  <si>
    <t>018339342A</t>
  </si>
  <si>
    <t>008298364E</t>
  </si>
  <si>
    <t>016026648C</t>
  </si>
  <si>
    <t>0019720813F</t>
  </si>
  <si>
    <t>009715548F</t>
  </si>
  <si>
    <t>006643790G</t>
  </si>
  <si>
    <t>017032836D</t>
  </si>
  <si>
    <t>008107165G</t>
  </si>
  <si>
    <t>008739840A</t>
  </si>
  <si>
    <t>037363550H</t>
  </si>
  <si>
    <t>015725800F</t>
  </si>
  <si>
    <t>36930653F</t>
  </si>
  <si>
    <t>016538949F</t>
  </si>
  <si>
    <t>031934638D</t>
  </si>
  <si>
    <t>01842376D</t>
  </si>
  <si>
    <t>015875192F</t>
  </si>
  <si>
    <t>008373740D</t>
  </si>
  <si>
    <t>018455239G</t>
  </si>
  <si>
    <t>036394535D</t>
  </si>
  <si>
    <t>018421044B</t>
  </si>
  <si>
    <t>09045195G</t>
  </si>
  <si>
    <t>018474808F</t>
  </si>
  <si>
    <t>007035514E</t>
  </si>
  <si>
    <t>011181491J</t>
  </si>
  <si>
    <t>014363245D</t>
  </si>
  <si>
    <t>014783891G</t>
  </si>
  <si>
    <t>009349917G</t>
  </si>
  <si>
    <t>010542787G</t>
  </si>
  <si>
    <t>010098622D</t>
  </si>
  <si>
    <t>018443374G</t>
  </si>
  <si>
    <t>018137697B</t>
  </si>
  <si>
    <t>0037401752D</t>
  </si>
  <si>
    <t>00037406459A</t>
  </si>
  <si>
    <t>017987191I</t>
  </si>
  <si>
    <t>005465687B</t>
  </si>
  <si>
    <t>018422428F</t>
  </si>
  <si>
    <t>015403000B</t>
  </si>
  <si>
    <t>034387122E</t>
  </si>
  <si>
    <t>7451476B</t>
  </si>
  <si>
    <t>037369012C</t>
  </si>
  <si>
    <t>002679277A</t>
  </si>
  <si>
    <t>036928339F</t>
  </si>
  <si>
    <t>016833443B</t>
  </si>
  <si>
    <t>000637037D</t>
  </si>
  <si>
    <t>036440425B</t>
  </si>
  <si>
    <t>007794123F</t>
  </si>
  <si>
    <t>011044483D</t>
  </si>
  <si>
    <t>006367239I</t>
  </si>
  <si>
    <t>037279745G</t>
  </si>
  <si>
    <t>18313267J</t>
  </si>
  <si>
    <t>37563304H</t>
  </si>
  <si>
    <t>030060214B</t>
  </si>
  <si>
    <t>002558631E</t>
  </si>
  <si>
    <t>012396049E</t>
  </si>
  <si>
    <t>037370335E</t>
  </si>
  <si>
    <t>006885886J</t>
  </si>
  <si>
    <t>003067905E</t>
  </si>
  <si>
    <t>00861035H</t>
  </si>
  <si>
    <t>1225786-1</t>
  </si>
  <si>
    <t>018034907I</t>
  </si>
  <si>
    <t>035377186-I</t>
  </si>
  <si>
    <t>037374579D</t>
  </si>
  <si>
    <t>036343247H</t>
  </si>
  <si>
    <t>391390C</t>
  </si>
  <si>
    <t>003399415D</t>
  </si>
  <si>
    <t>005027903D</t>
  </si>
  <si>
    <t>006561336G</t>
  </si>
  <si>
    <t>037774880B</t>
  </si>
  <si>
    <t>000025071C</t>
  </si>
  <si>
    <t>36066140J</t>
  </si>
  <si>
    <t>001042511E</t>
  </si>
  <si>
    <t>018269903D</t>
  </si>
  <si>
    <t>009019022E</t>
  </si>
  <si>
    <t>004054136J</t>
  </si>
  <si>
    <t>006694699H</t>
  </si>
  <si>
    <t>7811890-I</t>
  </si>
  <si>
    <t>02893616J</t>
  </si>
  <si>
    <t>032444525D</t>
  </si>
  <si>
    <t>007014649D</t>
  </si>
  <si>
    <t>008078795F</t>
  </si>
  <si>
    <t>009904166H</t>
  </si>
  <si>
    <t>006932111F</t>
  </si>
  <si>
    <t>01420177G</t>
  </si>
  <si>
    <t>018185585J</t>
  </si>
  <si>
    <t>9335096F</t>
  </si>
  <si>
    <t>014922030I</t>
  </si>
  <si>
    <t>035131394F</t>
  </si>
  <si>
    <t>030523132G</t>
  </si>
  <si>
    <t>003850463F</t>
  </si>
  <si>
    <t>001289745A</t>
  </si>
  <si>
    <t>013399754E</t>
  </si>
  <si>
    <t>003800461A</t>
  </si>
  <si>
    <t>006242332C</t>
  </si>
  <si>
    <t>037370103A</t>
  </si>
  <si>
    <t>011115726J</t>
  </si>
  <si>
    <t>037021174A</t>
  </si>
  <si>
    <t>013584984C</t>
  </si>
  <si>
    <t>005668458C</t>
  </si>
  <si>
    <t>037247274G</t>
  </si>
  <si>
    <t>000931032H</t>
  </si>
  <si>
    <t>37340254E</t>
  </si>
  <si>
    <t>008322266B</t>
  </si>
  <si>
    <t>011446287C</t>
  </si>
  <si>
    <t>009815962H</t>
  </si>
  <si>
    <t>037380828G</t>
  </si>
  <si>
    <t>012938522F</t>
  </si>
  <si>
    <t>01687853A</t>
  </si>
  <si>
    <t>007224143D</t>
  </si>
  <si>
    <t>00008227863B</t>
  </si>
  <si>
    <t>006611045D</t>
  </si>
  <si>
    <t>018295906E</t>
  </si>
  <si>
    <t>16986628C</t>
  </si>
  <si>
    <t>17967844g</t>
  </si>
  <si>
    <t>005426591D</t>
  </si>
  <si>
    <t>081214202G</t>
  </si>
  <si>
    <t>01310530I</t>
  </si>
  <si>
    <t>014498931G</t>
  </si>
  <si>
    <t>012703662C</t>
  </si>
  <si>
    <t>012794527H</t>
  </si>
  <si>
    <t>00667338J</t>
  </si>
  <si>
    <t>017856707J</t>
  </si>
  <si>
    <t>030071256J</t>
  </si>
  <si>
    <t>007257771B</t>
  </si>
  <si>
    <t>034927804E</t>
  </si>
  <si>
    <t>011520294H</t>
  </si>
  <si>
    <t>00004876535I</t>
  </si>
  <si>
    <t>013980627H</t>
  </si>
  <si>
    <t>005979045B</t>
  </si>
  <si>
    <t>077801569J</t>
  </si>
  <si>
    <t>001733181A</t>
  </si>
  <si>
    <t>036864345I</t>
  </si>
  <si>
    <t>008666942B</t>
  </si>
  <si>
    <t>009917103F</t>
  </si>
  <si>
    <t>003011205G</t>
  </si>
  <si>
    <t>036784696B</t>
  </si>
  <si>
    <t>34244890J</t>
  </si>
  <si>
    <t>003382432H</t>
  </si>
  <si>
    <t>010415532A</t>
  </si>
  <si>
    <t>006405115E</t>
  </si>
  <si>
    <t>6148049-1</t>
  </si>
  <si>
    <t>6462983F</t>
  </si>
  <si>
    <t>0011894060A</t>
  </si>
  <si>
    <t>LT-67913-18/QU</t>
  </si>
  <si>
    <t>008003294J</t>
  </si>
  <si>
    <t>005943102D</t>
  </si>
  <si>
    <t>012402684A</t>
  </si>
  <si>
    <t>004632988E</t>
  </si>
  <si>
    <t>015785711B</t>
  </si>
  <si>
    <t>036835696A</t>
  </si>
  <si>
    <t>00006683375H</t>
  </si>
  <si>
    <t>0012363994A</t>
  </si>
  <si>
    <t>7436224F</t>
  </si>
  <si>
    <t>001987495H</t>
  </si>
  <si>
    <t>018423603C</t>
  </si>
  <si>
    <t>0069996297F</t>
  </si>
  <si>
    <t>018289552E</t>
  </si>
  <si>
    <t>037380781H</t>
  </si>
  <si>
    <t>013516324E</t>
  </si>
  <si>
    <t>010894915H</t>
  </si>
  <si>
    <t>037067577J</t>
  </si>
  <si>
    <t>005745617A</t>
  </si>
  <si>
    <t>037197484B</t>
  </si>
  <si>
    <t>N/a</t>
  </si>
  <si>
    <t>009114361A</t>
  </si>
  <si>
    <t>032544748A</t>
  </si>
  <si>
    <t>032204970B</t>
  </si>
  <si>
    <t>037399458B</t>
  </si>
  <si>
    <t>008926542F</t>
  </si>
  <si>
    <t>037342194A</t>
  </si>
  <si>
    <t>037240502H</t>
  </si>
  <si>
    <t>005379344E</t>
  </si>
  <si>
    <t>00018330926J</t>
  </si>
  <si>
    <t>00036882473G</t>
  </si>
  <si>
    <t>018398781H</t>
  </si>
  <si>
    <t>005075269A</t>
  </si>
  <si>
    <t>018757537I</t>
  </si>
  <si>
    <t>0018167969H</t>
  </si>
  <si>
    <t>035110858E</t>
  </si>
  <si>
    <t>018201368A</t>
  </si>
  <si>
    <t>00035980376E</t>
  </si>
  <si>
    <t>00037372338G</t>
  </si>
  <si>
    <t>030191440E</t>
  </si>
  <si>
    <t>013349391G</t>
  </si>
  <si>
    <t>018467060C</t>
  </si>
  <si>
    <t>017960840B</t>
  </si>
  <si>
    <t>035509518D</t>
  </si>
  <si>
    <t>004949261E</t>
  </si>
  <si>
    <t>030938153B</t>
  </si>
  <si>
    <t>037377167E</t>
  </si>
  <si>
    <t>032274142C</t>
  </si>
  <si>
    <t>015810620D</t>
  </si>
  <si>
    <t>010165267F</t>
  </si>
  <si>
    <t>007422022J</t>
  </si>
  <si>
    <t>037367799g</t>
  </si>
  <si>
    <t>018351624E</t>
  </si>
  <si>
    <t>004745423g</t>
  </si>
  <si>
    <t>011954709J</t>
  </si>
  <si>
    <t>000-000-000</t>
  </si>
  <si>
    <t>005545003F</t>
  </si>
  <si>
    <t>019688813F</t>
  </si>
  <si>
    <t>003679419G</t>
  </si>
  <si>
    <t>00636192A</t>
  </si>
  <si>
    <t>12146850-I</t>
  </si>
  <si>
    <t>007290797-F</t>
  </si>
  <si>
    <t>7179895-D</t>
  </si>
  <si>
    <t>015044201A</t>
  </si>
  <si>
    <t>01776794E</t>
  </si>
  <si>
    <t>006894564B</t>
  </si>
  <si>
    <t>033842670D</t>
  </si>
  <si>
    <t>018514094E</t>
  </si>
  <si>
    <t>035464183J</t>
  </si>
  <si>
    <t>008215522H</t>
  </si>
  <si>
    <t>003333974I</t>
  </si>
  <si>
    <t>02143368A</t>
  </si>
  <si>
    <t>002943957H</t>
  </si>
  <si>
    <t>010932330D</t>
  </si>
  <si>
    <t>010027040E</t>
  </si>
  <si>
    <t>015047653J</t>
  </si>
  <si>
    <t>017586246F</t>
  </si>
  <si>
    <t>006036780C</t>
  </si>
  <si>
    <t>036910054A</t>
  </si>
  <si>
    <t>000038278H</t>
  </si>
  <si>
    <t>006944278I</t>
  </si>
  <si>
    <t>014243794G</t>
  </si>
  <si>
    <t>018084776G</t>
  </si>
  <si>
    <t>006846603G</t>
  </si>
  <si>
    <t>035845196B</t>
  </si>
  <si>
    <t>00000307036E</t>
  </si>
  <si>
    <t>031034147E</t>
  </si>
  <si>
    <t>008500043I</t>
  </si>
  <si>
    <t>037414803J</t>
  </si>
  <si>
    <t>006647059C</t>
  </si>
  <si>
    <t>018485501D</t>
  </si>
  <si>
    <t>014782167C</t>
  </si>
  <si>
    <t>017661510C</t>
  </si>
  <si>
    <t>06523141H</t>
  </si>
  <si>
    <t>011194168I</t>
  </si>
  <si>
    <t>012571101A</t>
  </si>
  <si>
    <t>032792272A</t>
  </si>
  <si>
    <t>011082964F</t>
  </si>
  <si>
    <t>033721692D</t>
  </si>
  <si>
    <t>7230391 A</t>
  </si>
  <si>
    <t>018199014E</t>
  </si>
  <si>
    <t>034344425D</t>
  </si>
  <si>
    <t>001163617C</t>
  </si>
  <si>
    <t>012920561D</t>
  </si>
  <si>
    <t>032728498A</t>
  </si>
  <si>
    <t>00006058290106</t>
  </si>
  <si>
    <t>037409544G</t>
  </si>
  <si>
    <t>006148062A</t>
  </si>
  <si>
    <t>010567159I</t>
  </si>
  <si>
    <t>037419179J</t>
  </si>
  <si>
    <t>009861126C</t>
  </si>
  <si>
    <t>037415135F</t>
  </si>
  <si>
    <t>018521300G</t>
  </si>
  <si>
    <t>8583002E-01</t>
  </si>
  <si>
    <t>001810179A</t>
  </si>
  <si>
    <t>037276766F</t>
  </si>
  <si>
    <t>018102119H</t>
  </si>
  <si>
    <t>00018409848B</t>
  </si>
  <si>
    <t>336369566G</t>
  </si>
  <si>
    <t>009745137B</t>
  </si>
  <si>
    <t>18033388C</t>
  </si>
  <si>
    <t>032146830I</t>
  </si>
  <si>
    <t>21046678F</t>
  </si>
  <si>
    <t>004277323E</t>
  </si>
  <si>
    <t>037208809G</t>
  </si>
  <si>
    <t>006506786A</t>
  </si>
  <si>
    <t>009145052I</t>
  </si>
  <si>
    <t>017990066H</t>
  </si>
  <si>
    <t>004487848G</t>
  </si>
  <si>
    <t>00009533596E</t>
  </si>
  <si>
    <t>001640994I</t>
  </si>
  <si>
    <t>017642364I</t>
  </si>
  <si>
    <t>0007557622D</t>
  </si>
  <si>
    <t>UN34332T</t>
  </si>
  <si>
    <t>037210701B</t>
  </si>
  <si>
    <t>12097798i</t>
  </si>
  <si>
    <t>08306736D</t>
  </si>
  <si>
    <t>015652785F</t>
  </si>
  <si>
    <t>009621383A</t>
  </si>
  <si>
    <t>006822887D</t>
  </si>
  <si>
    <t>004242444A</t>
  </si>
  <si>
    <t>010860899D</t>
  </si>
  <si>
    <t>009129350G</t>
  </si>
  <si>
    <t>004427735I</t>
  </si>
  <si>
    <t>36937971-E</t>
  </si>
  <si>
    <t>002159246E</t>
  </si>
  <si>
    <t>037079240A</t>
  </si>
  <si>
    <t>037342583E</t>
  </si>
  <si>
    <t>006755504F</t>
  </si>
  <si>
    <t>00037201694J</t>
  </si>
  <si>
    <t>001048527E</t>
  </si>
  <si>
    <t>003543604H</t>
  </si>
  <si>
    <t>018500425G</t>
  </si>
  <si>
    <t>003924666F</t>
  </si>
  <si>
    <t>037317791E</t>
  </si>
  <si>
    <t>009195958F</t>
  </si>
  <si>
    <t>037423201F</t>
  </si>
  <si>
    <t>00004538247A</t>
  </si>
  <si>
    <t>00012967888E</t>
  </si>
  <si>
    <t>00004659578B</t>
  </si>
  <si>
    <t>00851541J</t>
  </si>
  <si>
    <t>014551853G</t>
  </si>
  <si>
    <t>037404465J</t>
  </si>
  <si>
    <t>0009991125H</t>
  </si>
  <si>
    <t>004527599H</t>
  </si>
  <si>
    <t>037402896H</t>
  </si>
  <si>
    <t>036925619D</t>
  </si>
  <si>
    <t>018221581E</t>
  </si>
  <si>
    <t>00037415296 F</t>
  </si>
  <si>
    <t>036838643J</t>
  </si>
  <si>
    <t>00007669437B</t>
  </si>
  <si>
    <t>036886433G</t>
  </si>
  <si>
    <t>018476393G</t>
  </si>
  <si>
    <t>010730411F</t>
  </si>
  <si>
    <t>012639161E</t>
  </si>
  <si>
    <t>037421097J</t>
  </si>
  <si>
    <t>008901925B</t>
  </si>
  <si>
    <t>016601168E</t>
  </si>
  <si>
    <t>0034927804E</t>
  </si>
  <si>
    <t>017627590H</t>
  </si>
  <si>
    <t>037197935C</t>
  </si>
  <si>
    <t>018161152G</t>
  </si>
  <si>
    <t>015978995H</t>
  </si>
  <si>
    <t>006744192D</t>
  </si>
  <si>
    <t>37484457J</t>
  </si>
  <si>
    <t>1105908G</t>
  </si>
  <si>
    <t>009623411H</t>
  </si>
  <si>
    <t>016314847B</t>
  </si>
  <si>
    <t>35676370G</t>
  </si>
  <si>
    <t>00035267476G-01</t>
  </si>
  <si>
    <t>018524852D</t>
  </si>
  <si>
    <t>9889374G</t>
  </si>
  <si>
    <t>013213305J</t>
  </si>
  <si>
    <t>008662401C</t>
  </si>
  <si>
    <t>032391539H</t>
  </si>
  <si>
    <t>037288361B</t>
  </si>
  <si>
    <t>014395321E</t>
  </si>
  <si>
    <t>00009827849C</t>
  </si>
  <si>
    <t>017612946I</t>
  </si>
  <si>
    <t>06530250H</t>
  </si>
  <si>
    <t>008583179A</t>
  </si>
  <si>
    <t>00679162C</t>
  </si>
  <si>
    <t>010638052A</t>
  </si>
  <si>
    <t>032735146G</t>
  </si>
  <si>
    <t>006057001H</t>
  </si>
  <si>
    <t>37486459D</t>
  </si>
  <si>
    <t>005618684E</t>
  </si>
  <si>
    <t>008524327H</t>
  </si>
  <si>
    <t>03764815D</t>
  </si>
  <si>
    <t>00002176481G</t>
  </si>
  <si>
    <t>016143114D</t>
  </si>
  <si>
    <t>006583847G</t>
  </si>
  <si>
    <t>00019617924G</t>
  </si>
  <si>
    <t>008273392E</t>
  </si>
  <si>
    <t>16602620D</t>
  </si>
  <si>
    <t>018537165F</t>
  </si>
  <si>
    <t>037431786F</t>
  </si>
  <si>
    <t>037412397E</t>
  </si>
  <si>
    <t>010088056G</t>
  </si>
  <si>
    <t>00037459113J</t>
  </si>
  <si>
    <t>37802767G-1</t>
  </si>
  <si>
    <t>00016600288B</t>
  </si>
  <si>
    <t>035103037E</t>
  </si>
  <si>
    <t>018507187F</t>
  </si>
  <si>
    <t>WK31684D</t>
  </si>
  <si>
    <t>018065971G</t>
  </si>
  <si>
    <t>037469377I</t>
  </si>
  <si>
    <t>037474719E</t>
  </si>
  <si>
    <t>037690540C</t>
  </si>
  <si>
    <t>15248010J</t>
  </si>
  <si>
    <t>037853762F</t>
  </si>
  <si>
    <t>014918168H</t>
  </si>
  <si>
    <t>004093495C</t>
  </si>
  <si>
    <t>09329375B</t>
  </si>
  <si>
    <t>037432284A</t>
  </si>
  <si>
    <t>008127007G</t>
  </si>
  <si>
    <t>S308506</t>
  </si>
  <si>
    <t>005272897J</t>
  </si>
  <si>
    <t>07222783I</t>
  </si>
  <si>
    <t>00037423889H</t>
  </si>
  <si>
    <t>91248162C</t>
  </si>
  <si>
    <t>00011307912D</t>
  </si>
  <si>
    <t>016880330C</t>
  </si>
  <si>
    <t>04927767G</t>
  </si>
  <si>
    <t>010826460H</t>
  </si>
  <si>
    <t>008824777A</t>
  </si>
  <si>
    <t>037300951D</t>
  </si>
  <si>
    <t>05107561C</t>
  </si>
  <si>
    <t>14802018D</t>
  </si>
  <si>
    <t>036393436F</t>
  </si>
  <si>
    <t>003794766A</t>
  </si>
  <si>
    <t>003795505B</t>
  </si>
  <si>
    <t>036959375B</t>
  </si>
  <si>
    <t>005368961I</t>
  </si>
  <si>
    <t>016932460F</t>
  </si>
  <si>
    <t>010552983I</t>
  </si>
  <si>
    <t>018288744I</t>
  </si>
  <si>
    <t>034400492E</t>
  </si>
  <si>
    <t>018381681I</t>
  </si>
  <si>
    <t>005291299F</t>
  </si>
  <si>
    <t>0344838000I</t>
  </si>
  <si>
    <t>05943102D</t>
  </si>
  <si>
    <t>18690618G</t>
  </si>
  <si>
    <t>010630675G</t>
  </si>
  <si>
    <t>018366571A</t>
  </si>
  <si>
    <t>10009855H</t>
  </si>
  <si>
    <t>03936940A</t>
  </si>
  <si>
    <t>037434141A</t>
  </si>
  <si>
    <t>010388752H</t>
  </si>
  <si>
    <t>008169242I</t>
  </si>
  <si>
    <t>037477459E</t>
  </si>
  <si>
    <t>37529579h</t>
  </si>
  <si>
    <t>008317419D</t>
  </si>
  <si>
    <t>30071598E</t>
  </si>
  <si>
    <t>015054555G</t>
  </si>
  <si>
    <t>013316502H</t>
  </si>
  <si>
    <t>008808679I</t>
  </si>
  <si>
    <t>034930652C</t>
  </si>
  <si>
    <t>018373784A</t>
  </si>
  <si>
    <t>017657508C</t>
  </si>
  <si>
    <t>009202656G</t>
  </si>
  <si>
    <t>015292271C</t>
  </si>
  <si>
    <t>00037246468F</t>
  </si>
  <si>
    <t>090362652B</t>
  </si>
  <si>
    <t>010183518J</t>
  </si>
  <si>
    <t>6670302G</t>
  </si>
  <si>
    <t>037382205F</t>
  </si>
  <si>
    <t>016935193J</t>
  </si>
  <si>
    <t>18545459C</t>
  </si>
  <si>
    <t>019754662F</t>
  </si>
  <si>
    <t>003725816H</t>
  </si>
  <si>
    <t>003540724G</t>
  </si>
  <si>
    <t>012625671I</t>
  </si>
  <si>
    <t>037997055B</t>
  </si>
  <si>
    <t>011059302H</t>
  </si>
  <si>
    <t>37122992D</t>
  </si>
  <si>
    <t>006885160D</t>
  </si>
  <si>
    <t>0036982304-01-02</t>
  </si>
  <si>
    <t>035846331D</t>
  </si>
  <si>
    <t>018295732I</t>
  </si>
  <si>
    <t>05796498D</t>
  </si>
  <si>
    <t>033810842G</t>
  </si>
  <si>
    <t>037464127c</t>
  </si>
  <si>
    <t>036827707F</t>
  </si>
  <si>
    <t>005345600A</t>
  </si>
  <si>
    <t>37100485E</t>
  </si>
  <si>
    <t>013116559J</t>
  </si>
  <si>
    <t>005311320F</t>
  </si>
  <si>
    <t>4538247A</t>
  </si>
  <si>
    <t>030719894F</t>
  </si>
  <si>
    <t>014370007I</t>
  </si>
  <si>
    <t>036804804H</t>
  </si>
  <si>
    <t>7195806A</t>
  </si>
  <si>
    <t>000872813B</t>
  </si>
  <si>
    <t>003205118H</t>
  </si>
  <si>
    <t>010315755I</t>
  </si>
  <si>
    <t>015260851J</t>
  </si>
  <si>
    <t>10877600-G</t>
  </si>
  <si>
    <t>004073541H</t>
  </si>
  <si>
    <t>009551724J</t>
  </si>
  <si>
    <t>04700560I</t>
  </si>
  <si>
    <t>018317093F</t>
  </si>
  <si>
    <t>37003104J</t>
  </si>
  <si>
    <t>30644743E</t>
  </si>
  <si>
    <t>37368146J</t>
  </si>
  <si>
    <t>012703437J</t>
  </si>
  <si>
    <t>037330298D</t>
  </si>
  <si>
    <t>009151380E</t>
  </si>
  <si>
    <t>006951118G</t>
  </si>
  <si>
    <t>6397702J</t>
  </si>
  <si>
    <t>004774278I</t>
  </si>
  <si>
    <t>37368682D</t>
  </si>
  <si>
    <t>018375279J</t>
  </si>
  <si>
    <t>005059571J</t>
  </si>
  <si>
    <t>016879393D</t>
  </si>
  <si>
    <t>002869370D</t>
  </si>
  <si>
    <t>42890000D</t>
  </si>
  <si>
    <t>37467891A</t>
  </si>
  <si>
    <t>37390085B</t>
  </si>
  <si>
    <t>37049198H</t>
  </si>
  <si>
    <t>014719574H</t>
  </si>
  <si>
    <t>017759496H</t>
  </si>
  <si>
    <t>014404629J</t>
  </si>
  <si>
    <t>7401304G</t>
  </si>
  <si>
    <t>017724945F</t>
  </si>
  <si>
    <t>036759660 I</t>
  </si>
  <si>
    <t>036788062C</t>
  </si>
  <si>
    <t>009085479F</t>
  </si>
  <si>
    <t>00037487657B</t>
  </si>
  <si>
    <t>002257297I</t>
  </si>
  <si>
    <t>010634401D</t>
  </si>
  <si>
    <t>00037440244E</t>
  </si>
  <si>
    <t>8838271I</t>
  </si>
  <si>
    <t>035484223J</t>
  </si>
  <si>
    <t>007565925A</t>
  </si>
  <si>
    <t>004447257J</t>
  </si>
  <si>
    <t>003484730B</t>
  </si>
  <si>
    <t>015114542C</t>
  </si>
  <si>
    <t>036890548F</t>
  </si>
  <si>
    <t>037511000e</t>
  </si>
  <si>
    <t>37508696E</t>
  </si>
  <si>
    <t>18421359D</t>
  </si>
  <si>
    <t>016881232J</t>
  </si>
  <si>
    <t>004149428h</t>
  </si>
  <si>
    <t>30171660B</t>
  </si>
  <si>
    <t>037454967D</t>
  </si>
  <si>
    <t>006791139G</t>
  </si>
  <si>
    <t>013133731D</t>
  </si>
  <si>
    <t>018458679A</t>
  </si>
  <si>
    <t>037008895H</t>
  </si>
  <si>
    <t>014212371A</t>
  </si>
  <si>
    <t>010805220A</t>
  </si>
  <si>
    <t>035614332B</t>
  </si>
  <si>
    <t>30062372F</t>
  </si>
  <si>
    <t>031870603D</t>
  </si>
  <si>
    <t>008071007C</t>
  </si>
  <si>
    <t>00006258240l</t>
  </si>
  <si>
    <t>7382661C</t>
  </si>
  <si>
    <t>035860430E</t>
  </si>
  <si>
    <t>010254950I</t>
  </si>
  <si>
    <t>001455271F</t>
  </si>
  <si>
    <t>011127666D</t>
  </si>
  <si>
    <t>036908149C</t>
  </si>
  <si>
    <t>002029432I</t>
  </si>
  <si>
    <t>005601035I</t>
  </si>
  <si>
    <t>037169448A</t>
  </si>
  <si>
    <t>002529990A</t>
  </si>
  <si>
    <t>035387719E</t>
  </si>
  <si>
    <t>036966631I</t>
  </si>
  <si>
    <t>016514469C</t>
  </si>
  <si>
    <t>010939412C</t>
  </si>
  <si>
    <t>003969233A</t>
  </si>
  <si>
    <t>00004014576F</t>
  </si>
  <si>
    <t>018064112I</t>
  </si>
  <si>
    <t>037349704J</t>
  </si>
  <si>
    <t>010517867H</t>
  </si>
  <si>
    <t>037197903A</t>
  </si>
  <si>
    <t>4487848G</t>
  </si>
  <si>
    <t>928314E</t>
  </si>
  <si>
    <t>37448921J</t>
  </si>
  <si>
    <t>001488734D</t>
  </si>
  <si>
    <t>012874106D</t>
  </si>
  <si>
    <t>011754366A</t>
  </si>
  <si>
    <t>014919347G</t>
  </si>
  <si>
    <t>037456517E</t>
  </si>
  <si>
    <t>037001051E</t>
  </si>
  <si>
    <t>10493369C</t>
  </si>
  <si>
    <t>009448389I</t>
  </si>
  <si>
    <t>56794C1</t>
  </si>
  <si>
    <t>27S12228</t>
  </si>
  <si>
    <t>009676933G</t>
  </si>
  <si>
    <t>018330711F</t>
  </si>
  <si>
    <t>8095559E</t>
  </si>
  <si>
    <t>006782006I</t>
  </si>
  <si>
    <t>037451478E</t>
  </si>
  <si>
    <t>008522134J</t>
  </si>
  <si>
    <t>031073364H</t>
  </si>
  <si>
    <t>011228193G</t>
  </si>
  <si>
    <t>036669862J</t>
  </si>
  <si>
    <t>008466987I</t>
  </si>
  <si>
    <t>6004868123 /185941196</t>
  </si>
  <si>
    <t>003397084J</t>
  </si>
  <si>
    <t>06478630E</t>
  </si>
  <si>
    <t>010549201B</t>
  </si>
  <si>
    <t>MN95602C</t>
  </si>
  <si>
    <t>008113916E</t>
  </si>
  <si>
    <t>035415306G</t>
  </si>
  <si>
    <t>008158209A</t>
  </si>
  <si>
    <t>037422638J</t>
  </si>
  <si>
    <t>004096396J</t>
  </si>
  <si>
    <t>011801099A</t>
  </si>
  <si>
    <t>004986173F</t>
  </si>
  <si>
    <t>002806065F</t>
  </si>
  <si>
    <t>007906536D</t>
  </si>
  <si>
    <t>009302836D</t>
  </si>
  <si>
    <t>010275810J</t>
  </si>
  <si>
    <t>37385543G</t>
  </si>
  <si>
    <t>017953484H</t>
  </si>
  <si>
    <t>017912074G</t>
  </si>
  <si>
    <t>004801450A</t>
  </si>
  <si>
    <t>015365085I</t>
  </si>
  <si>
    <t>033173366H</t>
  </si>
  <si>
    <t>031800351E</t>
  </si>
  <si>
    <t>012807568G</t>
  </si>
  <si>
    <t>012090268J</t>
  </si>
  <si>
    <t>005335983C</t>
  </si>
  <si>
    <t>005028630B</t>
  </si>
  <si>
    <t>010737723G</t>
  </si>
  <si>
    <t>017750074B</t>
  </si>
  <si>
    <t>037460945B</t>
  </si>
  <si>
    <t>005102533G</t>
  </si>
  <si>
    <t>037455576B</t>
  </si>
  <si>
    <t>1468256B</t>
  </si>
  <si>
    <t>032224850B</t>
  </si>
  <si>
    <t>006986799C</t>
  </si>
  <si>
    <t>033465586H</t>
  </si>
  <si>
    <t>08944795H</t>
  </si>
  <si>
    <t>018066102H</t>
  </si>
  <si>
    <t>012445397I</t>
  </si>
  <si>
    <t>04563338F</t>
  </si>
  <si>
    <t>034939178J</t>
  </si>
  <si>
    <t>037419693J</t>
  </si>
  <si>
    <t>37146707H</t>
  </si>
  <si>
    <t>016211262H</t>
  </si>
  <si>
    <t>017741437C</t>
  </si>
  <si>
    <t>030282270F</t>
  </si>
  <si>
    <t>036889244E</t>
  </si>
  <si>
    <t>036885715H</t>
  </si>
  <si>
    <t>018433891B</t>
  </si>
  <si>
    <t>000694323H</t>
  </si>
  <si>
    <t>032258713A</t>
  </si>
  <si>
    <t>011118973E</t>
  </si>
  <si>
    <t>YP2216D</t>
  </si>
  <si>
    <t>KV07958X</t>
  </si>
  <si>
    <t>36758418C</t>
  </si>
  <si>
    <t>8102827G</t>
  </si>
  <si>
    <t>000574697J</t>
  </si>
  <si>
    <t>0089170598B</t>
  </si>
  <si>
    <t>003392652I</t>
  </si>
  <si>
    <t>012474928E</t>
  </si>
  <si>
    <t>001513164C</t>
  </si>
  <si>
    <t>005358036B</t>
  </si>
  <si>
    <t>013445334J</t>
  </si>
  <si>
    <t>015020233B</t>
  </si>
  <si>
    <t>000339447F</t>
  </si>
  <si>
    <t>037143873A</t>
  </si>
  <si>
    <t>018208729G</t>
  </si>
  <si>
    <t>017787870J</t>
  </si>
  <si>
    <t>009486427J</t>
  </si>
  <si>
    <t>016853955J</t>
  </si>
  <si>
    <t>003058138D</t>
  </si>
  <si>
    <t>007040459F</t>
  </si>
  <si>
    <t>017609754B</t>
  </si>
  <si>
    <t>013226194C</t>
  </si>
  <si>
    <t>009778860I</t>
  </si>
  <si>
    <t>004811136D</t>
  </si>
  <si>
    <t>00037006034F</t>
  </si>
  <si>
    <t>000381258D</t>
  </si>
  <si>
    <t>011234331E</t>
  </si>
  <si>
    <t>010786056B</t>
  </si>
  <si>
    <t>037440181I</t>
  </si>
  <si>
    <t>012963411J</t>
  </si>
  <si>
    <t>009019772E</t>
  </si>
  <si>
    <t>005882969I</t>
  </si>
  <si>
    <t>018242507E</t>
  </si>
  <si>
    <t>014777220G</t>
  </si>
  <si>
    <t>008906280G</t>
  </si>
  <si>
    <t>008203100G</t>
  </si>
  <si>
    <t>38001353C</t>
  </si>
  <si>
    <t>009079407E</t>
  </si>
  <si>
    <t>017475762F</t>
  </si>
  <si>
    <t>036006576H</t>
  </si>
  <si>
    <t>006132629E</t>
  </si>
  <si>
    <t>18138059D</t>
  </si>
  <si>
    <t>010544427H</t>
  </si>
  <si>
    <t>030473352A</t>
  </si>
  <si>
    <t>017977018F</t>
  </si>
  <si>
    <t>007743817E</t>
  </si>
  <si>
    <t>018110203J</t>
  </si>
  <si>
    <t>010656160I</t>
  </si>
  <si>
    <t>005330377C</t>
  </si>
  <si>
    <t>037429558C</t>
  </si>
  <si>
    <t>5D21619M</t>
  </si>
  <si>
    <t>018293966A</t>
  </si>
  <si>
    <t>001533387F</t>
  </si>
  <si>
    <t>VX27402Q</t>
  </si>
  <si>
    <t>018420543D</t>
  </si>
  <si>
    <t>00037113523H</t>
  </si>
  <si>
    <t>031562694F</t>
  </si>
  <si>
    <t>4859857H</t>
  </si>
  <si>
    <t>03156294F</t>
  </si>
  <si>
    <t>5107693D</t>
  </si>
  <si>
    <t>000152523H</t>
  </si>
  <si>
    <t>37737821BCL</t>
  </si>
  <si>
    <t>006595433B</t>
  </si>
  <si>
    <t>007187393J</t>
  </si>
  <si>
    <t>QB989064</t>
  </si>
  <si>
    <t>001143873G</t>
  </si>
  <si>
    <t>030643052B</t>
  </si>
  <si>
    <t>008043173H</t>
  </si>
  <si>
    <t>001333539D</t>
  </si>
  <si>
    <t>004036582H</t>
  </si>
  <si>
    <t>011192175F</t>
  </si>
  <si>
    <t>037060754B</t>
  </si>
  <si>
    <t>016140209E</t>
  </si>
  <si>
    <t>12480289D</t>
  </si>
  <si>
    <t>018236495A</t>
  </si>
  <si>
    <t>015203479J</t>
  </si>
  <si>
    <t>0003738033H</t>
  </si>
  <si>
    <t>037424954I</t>
  </si>
  <si>
    <t>015425147E</t>
  </si>
  <si>
    <t>4034579F</t>
  </si>
  <si>
    <t>37029609H</t>
  </si>
  <si>
    <t>017727055A</t>
  </si>
  <si>
    <t>009800633B</t>
  </si>
  <si>
    <t>009419223E</t>
  </si>
  <si>
    <t>03559919a</t>
  </si>
  <si>
    <t>36811752J</t>
  </si>
  <si>
    <t>011832700G</t>
  </si>
  <si>
    <t>031452257E</t>
  </si>
  <si>
    <t>37391638G</t>
  </si>
  <si>
    <t>009351154B</t>
  </si>
  <si>
    <t>009923429G</t>
  </si>
  <si>
    <t>00010573119E</t>
  </si>
  <si>
    <t>037486314A</t>
  </si>
  <si>
    <t>4442446-1</t>
  </si>
  <si>
    <t>0033576258-01</t>
  </si>
  <si>
    <t>008759142G</t>
  </si>
  <si>
    <t>002584409D</t>
  </si>
  <si>
    <t>009798803E</t>
  </si>
  <si>
    <t>014934740D</t>
  </si>
  <si>
    <t>012700709E</t>
  </si>
  <si>
    <t>012033668A</t>
  </si>
  <si>
    <t>012111692F</t>
  </si>
  <si>
    <t>008895026G</t>
  </si>
  <si>
    <t>016469350J</t>
  </si>
  <si>
    <t>007968427A</t>
  </si>
  <si>
    <t>009278381A</t>
  </si>
  <si>
    <t>034867930J</t>
  </si>
  <si>
    <t>010129105C</t>
  </si>
  <si>
    <t>001338725D</t>
  </si>
  <si>
    <t>37447234I</t>
  </si>
  <si>
    <t>036737334H</t>
  </si>
  <si>
    <t>016876603I</t>
  </si>
  <si>
    <t>001314878I</t>
  </si>
  <si>
    <t>18137083E</t>
  </si>
  <si>
    <t>018200066B</t>
  </si>
  <si>
    <t>014658380C</t>
  </si>
  <si>
    <t>016325973C</t>
  </si>
  <si>
    <t>008181583J</t>
  </si>
  <si>
    <t>034654784H</t>
  </si>
  <si>
    <t>018554965G</t>
  </si>
  <si>
    <t>037470731E</t>
  </si>
  <si>
    <t>00018206164I</t>
  </si>
  <si>
    <t>005439185J</t>
  </si>
  <si>
    <t>011159567E</t>
  </si>
  <si>
    <t>037461943F</t>
  </si>
  <si>
    <t>017876845D</t>
  </si>
  <si>
    <t>014134163G</t>
  </si>
  <si>
    <t>018459866C</t>
  </si>
  <si>
    <t>015178389B</t>
  </si>
  <si>
    <t>007198995I</t>
  </si>
  <si>
    <t>012538854G</t>
  </si>
  <si>
    <t>013740035E</t>
  </si>
  <si>
    <t>011075608H</t>
  </si>
  <si>
    <t>033941360B</t>
  </si>
  <si>
    <t>037629951H</t>
  </si>
  <si>
    <t>01812218B</t>
  </si>
  <si>
    <t>011294031H</t>
  </si>
  <si>
    <t>037444831E</t>
  </si>
  <si>
    <t>006913296H</t>
  </si>
  <si>
    <t>4089216I</t>
  </si>
  <si>
    <t>008065482F</t>
  </si>
  <si>
    <t>016406411F</t>
  </si>
  <si>
    <t>018561184F</t>
  </si>
  <si>
    <t>00034498298I</t>
  </si>
  <si>
    <t>011322036C</t>
  </si>
  <si>
    <t>0037448295I</t>
  </si>
  <si>
    <t>018387194G</t>
  </si>
  <si>
    <t>005040443D</t>
  </si>
  <si>
    <t>002077853G</t>
  </si>
  <si>
    <t>8771327H</t>
  </si>
  <si>
    <t>013586188I</t>
  </si>
  <si>
    <t>033204723C</t>
  </si>
  <si>
    <t>018243637I</t>
  </si>
  <si>
    <t>003659748C</t>
  </si>
  <si>
    <t>012955597F</t>
  </si>
  <si>
    <t>010378964A</t>
  </si>
  <si>
    <t>00018398679D</t>
  </si>
  <si>
    <t>00007159114D</t>
  </si>
  <si>
    <t>017675015G</t>
  </si>
  <si>
    <t>00715955B</t>
  </si>
  <si>
    <t>009151485B</t>
  </si>
  <si>
    <t>037405777G</t>
  </si>
  <si>
    <t>00036946874j</t>
  </si>
  <si>
    <t>00036779508f</t>
  </si>
  <si>
    <t>004460725H</t>
  </si>
  <si>
    <t>16030215e</t>
  </si>
  <si>
    <t>00037541380E-01</t>
  </si>
  <si>
    <t>37282189C</t>
  </si>
  <si>
    <t>018489081C</t>
  </si>
  <si>
    <t>002122119H</t>
  </si>
  <si>
    <t>001258172E</t>
  </si>
  <si>
    <t>033249486D</t>
  </si>
  <si>
    <t>018248006B</t>
  </si>
  <si>
    <t>036976173J</t>
  </si>
  <si>
    <t>016546742E</t>
  </si>
  <si>
    <t>012858554E</t>
  </si>
  <si>
    <t>011837580H</t>
  </si>
  <si>
    <t>00005968628H</t>
  </si>
  <si>
    <t>03762315E</t>
  </si>
  <si>
    <t>005737624G</t>
  </si>
  <si>
    <t>05601631E</t>
  </si>
  <si>
    <t>37244636J</t>
  </si>
  <si>
    <t>014977005J</t>
  </si>
  <si>
    <t>036816862B</t>
  </si>
  <si>
    <t>005927309E</t>
  </si>
  <si>
    <t>000378-6516D</t>
  </si>
  <si>
    <t>091546097G</t>
  </si>
  <si>
    <t>034582909H</t>
  </si>
  <si>
    <t>037491669A</t>
  </si>
  <si>
    <t>000341877J</t>
  </si>
  <si>
    <t>6959187D</t>
  </si>
  <si>
    <t>004841408A</t>
  </si>
  <si>
    <t>037524168E</t>
  </si>
  <si>
    <t>036765134G</t>
  </si>
  <si>
    <t>018375245A</t>
  </si>
  <si>
    <t>007039273D</t>
  </si>
  <si>
    <t>00037261318C</t>
  </si>
  <si>
    <t>09244901G</t>
  </si>
  <si>
    <t>00037497882D</t>
  </si>
  <si>
    <t>013258172J</t>
  </si>
  <si>
    <t>009647319E</t>
  </si>
  <si>
    <t>7507129A</t>
  </si>
  <si>
    <t>037237125C</t>
  </si>
  <si>
    <t>009250551A</t>
  </si>
  <si>
    <t>036929827I</t>
  </si>
  <si>
    <t>13433590A</t>
  </si>
  <si>
    <t>036347178A</t>
  </si>
  <si>
    <t>008330042G</t>
  </si>
  <si>
    <t>705299G</t>
  </si>
  <si>
    <t>006994211I</t>
  </si>
  <si>
    <t>004758214D</t>
  </si>
  <si>
    <t>008680682F</t>
  </si>
  <si>
    <t>034949099F</t>
  </si>
  <si>
    <t>036299840D</t>
  </si>
  <si>
    <t>014376333C</t>
  </si>
  <si>
    <t>0095863738E</t>
  </si>
  <si>
    <t>008397483C</t>
  </si>
  <si>
    <t>037011959G</t>
  </si>
  <si>
    <t>012484166J</t>
  </si>
  <si>
    <t>006365749I</t>
  </si>
  <si>
    <t>001216340I</t>
  </si>
  <si>
    <t>037206143C</t>
  </si>
  <si>
    <t>006637485B</t>
  </si>
  <si>
    <t>037413416B</t>
  </si>
  <si>
    <t>005245436A</t>
  </si>
  <si>
    <t>037466124H</t>
  </si>
  <si>
    <t>00037170575H</t>
  </si>
  <si>
    <t>107036G</t>
  </si>
  <si>
    <t>003995994F</t>
  </si>
  <si>
    <t>016369729F</t>
  </si>
  <si>
    <t>01783574G</t>
  </si>
  <si>
    <t>008136303I</t>
  </si>
  <si>
    <t>12248564C</t>
  </si>
  <si>
    <t>037478469C</t>
  </si>
  <si>
    <t>ZG93804U &amp; 12210107</t>
  </si>
  <si>
    <t>016686471A</t>
  </si>
  <si>
    <t>007390332A</t>
  </si>
  <si>
    <t>17607402-J</t>
  </si>
  <si>
    <t>003138025G</t>
  </si>
  <si>
    <t>011736420I</t>
  </si>
  <si>
    <t>09870566I</t>
  </si>
  <si>
    <t>37212538F</t>
  </si>
  <si>
    <t>02924132A</t>
  </si>
  <si>
    <t>00009046570J</t>
  </si>
  <si>
    <t>002774009B</t>
  </si>
  <si>
    <t>37096853J</t>
  </si>
  <si>
    <t>037544361B</t>
  </si>
  <si>
    <t>37526594J</t>
  </si>
  <si>
    <t>024072059J</t>
  </si>
  <si>
    <t>00035915010J</t>
  </si>
  <si>
    <t>036526844A</t>
  </si>
  <si>
    <t>018027670B</t>
  </si>
  <si>
    <t>009676779D</t>
  </si>
  <si>
    <t>009707481J</t>
  </si>
  <si>
    <t>37600988C</t>
  </si>
  <si>
    <t>018459516D</t>
  </si>
  <si>
    <t>018570383C</t>
  </si>
  <si>
    <t>37493057G</t>
  </si>
  <si>
    <t>001553752f</t>
  </si>
  <si>
    <t>001441993B</t>
  </si>
  <si>
    <t>00007355884D</t>
  </si>
  <si>
    <t>018574320A</t>
  </si>
  <si>
    <t>002647312E</t>
  </si>
  <si>
    <t>006601754C</t>
  </si>
  <si>
    <t>007780847F</t>
  </si>
  <si>
    <t>06819847C</t>
  </si>
  <si>
    <t>001963752J</t>
  </si>
  <si>
    <t>017789604A</t>
  </si>
  <si>
    <t>00037433806J</t>
  </si>
  <si>
    <t>036861897B</t>
  </si>
  <si>
    <t>015962346B</t>
  </si>
  <si>
    <t>008703210I</t>
  </si>
  <si>
    <t>001364479E</t>
  </si>
  <si>
    <t>34317894D</t>
  </si>
  <si>
    <t>37389573J</t>
  </si>
  <si>
    <t>037021355F</t>
  </si>
  <si>
    <t>037064711H</t>
  </si>
  <si>
    <t>002122380F</t>
  </si>
  <si>
    <t>000637126E</t>
  </si>
  <si>
    <t>3034266B</t>
  </si>
  <si>
    <t>037298468C</t>
  </si>
  <si>
    <t>00037507839B</t>
  </si>
  <si>
    <t>008136942D</t>
  </si>
  <si>
    <t>017976355C</t>
  </si>
  <si>
    <t>009210721I</t>
  </si>
  <si>
    <t>31900754I</t>
  </si>
  <si>
    <t>007540972C</t>
  </si>
  <si>
    <t>010624024F</t>
  </si>
  <si>
    <t>007310276G</t>
  </si>
  <si>
    <t>7139339B</t>
  </si>
  <si>
    <t>037576435E</t>
  </si>
  <si>
    <t>081232181A</t>
  </si>
  <si>
    <t>35493994E</t>
  </si>
  <si>
    <t>005333188A</t>
  </si>
  <si>
    <t>015887159A</t>
  </si>
  <si>
    <t>037514505J</t>
  </si>
  <si>
    <t>008831821H</t>
  </si>
  <si>
    <t>037064361B</t>
  </si>
  <si>
    <t>005880083A</t>
  </si>
  <si>
    <t>008701304b</t>
  </si>
  <si>
    <t>0126420045E</t>
  </si>
  <si>
    <t>008534299G</t>
  </si>
  <si>
    <t>008358222B</t>
  </si>
  <si>
    <t>011404706B</t>
  </si>
  <si>
    <t>013396362J</t>
  </si>
  <si>
    <t>37416715D</t>
  </si>
  <si>
    <t>033140628A</t>
  </si>
  <si>
    <t>018077200G</t>
  </si>
  <si>
    <t>00037536361B</t>
  </si>
  <si>
    <t>012829332B</t>
  </si>
  <si>
    <t>004174549I</t>
  </si>
  <si>
    <t>001566078A</t>
  </si>
  <si>
    <t>004634501D</t>
  </si>
  <si>
    <t>03078891D</t>
  </si>
  <si>
    <t>012533409E</t>
  </si>
  <si>
    <t>001737270H</t>
  </si>
  <si>
    <t>037528108G</t>
  </si>
  <si>
    <t>009955983D</t>
  </si>
  <si>
    <t>037658013A</t>
  </si>
  <si>
    <t>004309393J</t>
  </si>
  <si>
    <t>17006293J</t>
  </si>
  <si>
    <t>012141587B</t>
  </si>
  <si>
    <t>013398178H</t>
  </si>
  <si>
    <t>030063256J</t>
  </si>
  <si>
    <t>037229838A</t>
  </si>
  <si>
    <t>015389271G</t>
  </si>
  <si>
    <t>007486771E</t>
  </si>
  <si>
    <t>37527002C</t>
  </si>
  <si>
    <t>009125523C</t>
  </si>
  <si>
    <t>000938958G</t>
  </si>
  <si>
    <t>004880625B</t>
  </si>
  <si>
    <t>015534694D</t>
  </si>
  <si>
    <t>013059463D</t>
  </si>
  <si>
    <t>036426379I</t>
  </si>
  <si>
    <t>005763015E</t>
  </si>
  <si>
    <t>037294534F</t>
  </si>
  <si>
    <t>008582609H</t>
  </si>
  <si>
    <t>037239210A</t>
  </si>
  <si>
    <t>00003084404H</t>
  </si>
  <si>
    <t>036515000C</t>
  </si>
  <si>
    <t>034834304H</t>
  </si>
  <si>
    <t>00037408902H</t>
  </si>
  <si>
    <t>00017981176F</t>
  </si>
  <si>
    <t>037124864C</t>
  </si>
  <si>
    <t>001017749B</t>
  </si>
  <si>
    <t>7218340D</t>
  </si>
  <si>
    <t>006389118I</t>
  </si>
  <si>
    <t>018545537F</t>
  </si>
  <si>
    <t>037536618E</t>
  </si>
  <si>
    <t>037535482G</t>
  </si>
  <si>
    <t>006692067J</t>
  </si>
  <si>
    <t>008258844D</t>
  </si>
  <si>
    <t>004753531F</t>
  </si>
  <si>
    <t>000816421C</t>
  </si>
  <si>
    <t>09587955H</t>
  </si>
  <si>
    <t>001526575E</t>
  </si>
  <si>
    <t>9956480099J</t>
  </si>
  <si>
    <t>035977138D</t>
  </si>
  <si>
    <t>018504672J</t>
  </si>
  <si>
    <t>033684292H</t>
  </si>
  <si>
    <t>003713342I</t>
  </si>
  <si>
    <t>011072346H</t>
  </si>
  <si>
    <t>018572424C</t>
  </si>
  <si>
    <t>015451788C</t>
  </si>
  <si>
    <t>016609821A</t>
  </si>
  <si>
    <t>006652357C</t>
  </si>
  <si>
    <t>018155124D</t>
  </si>
  <si>
    <t>00012074533G</t>
  </si>
  <si>
    <t>002084336D</t>
  </si>
  <si>
    <t>037513037E</t>
  </si>
  <si>
    <t>004184233H</t>
  </si>
  <si>
    <t>010823767I</t>
  </si>
  <si>
    <t>37270307E</t>
  </si>
  <si>
    <t>002616599D</t>
  </si>
  <si>
    <t>006822218B</t>
  </si>
  <si>
    <t>011799992A</t>
  </si>
  <si>
    <t>037509948I</t>
  </si>
  <si>
    <t>006976319B</t>
  </si>
  <si>
    <t>012419844B</t>
  </si>
  <si>
    <t>034689634D</t>
  </si>
  <si>
    <t>001990603B</t>
  </si>
  <si>
    <t>35326768F</t>
  </si>
  <si>
    <t>016556627E</t>
  </si>
  <si>
    <t>00036876719A</t>
  </si>
  <si>
    <t>035522814J</t>
  </si>
  <si>
    <t>001020633C</t>
  </si>
  <si>
    <t>000656488E</t>
  </si>
  <si>
    <t>010687594B</t>
  </si>
  <si>
    <t>009856499A</t>
  </si>
  <si>
    <t>009073667J</t>
  </si>
  <si>
    <t>014065613D</t>
  </si>
  <si>
    <t>015934905J</t>
  </si>
  <si>
    <t>18089865C</t>
  </si>
  <si>
    <t>009376079B</t>
  </si>
  <si>
    <t>000345730G</t>
  </si>
  <si>
    <t>04191730D</t>
  </si>
  <si>
    <t>010980725F</t>
  </si>
  <si>
    <t>014836737I</t>
  </si>
  <si>
    <t>005274972I</t>
  </si>
  <si>
    <t>010799339G</t>
  </si>
  <si>
    <t>036997268C</t>
  </si>
  <si>
    <t>011215147H</t>
  </si>
  <si>
    <t>90286398E</t>
  </si>
  <si>
    <t>00013525411I</t>
  </si>
  <si>
    <t>8095488G</t>
  </si>
  <si>
    <t>8970740-A</t>
  </si>
  <si>
    <t>00158625J</t>
  </si>
  <si>
    <t>034324962J</t>
  </si>
  <si>
    <t>008524023C</t>
  </si>
  <si>
    <t>011221721B</t>
  </si>
  <si>
    <t>037401001F</t>
  </si>
  <si>
    <t>030088340C</t>
  </si>
  <si>
    <t>018608667E</t>
  </si>
  <si>
    <t>003688195B</t>
  </si>
  <si>
    <t>8711418H</t>
  </si>
  <si>
    <t>010853329A</t>
  </si>
  <si>
    <t>18494021B</t>
  </si>
  <si>
    <t>018416430J</t>
  </si>
  <si>
    <t>003173945B</t>
  </si>
  <si>
    <t>8336225B</t>
  </si>
  <si>
    <t>35098259B</t>
  </si>
  <si>
    <t>0009839321-01-04</t>
  </si>
  <si>
    <t>035093991E</t>
  </si>
  <si>
    <t>031169815D</t>
  </si>
  <si>
    <t>3982589I</t>
  </si>
  <si>
    <t>006810785D</t>
  </si>
  <si>
    <t>37539210H</t>
  </si>
  <si>
    <t>003901533E</t>
  </si>
  <si>
    <t>00037569515C</t>
  </si>
  <si>
    <t>017605856I</t>
  </si>
  <si>
    <t>013171942J</t>
  </si>
  <si>
    <t>013642791B</t>
  </si>
  <si>
    <t>032207220I</t>
  </si>
  <si>
    <t>018429550J</t>
  </si>
  <si>
    <t>005859892B</t>
  </si>
  <si>
    <t>000005288G</t>
  </si>
  <si>
    <t>31610344J</t>
  </si>
  <si>
    <t>004600186D</t>
  </si>
  <si>
    <t>002494642I</t>
  </si>
  <si>
    <t>00037225893J</t>
  </si>
  <si>
    <t>031465548B</t>
  </si>
  <si>
    <t>003984288F</t>
  </si>
  <si>
    <t>008698662H</t>
  </si>
  <si>
    <t>037119022E</t>
  </si>
  <si>
    <t>012696811E</t>
  </si>
  <si>
    <t>035914554H</t>
  </si>
  <si>
    <t>008533537A</t>
  </si>
  <si>
    <t>0837516E</t>
  </si>
  <si>
    <t>011455347C</t>
  </si>
  <si>
    <t>013710416C</t>
  </si>
  <si>
    <t>MU39601B</t>
  </si>
  <si>
    <t>037520160F</t>
  </si>
  <si>
    <t>009948568C</t>
  </si>
  <si>
    <t>005674131h</t>
  </si>
  <si>
    <t>006511485C</t>
  </si>
  <si>
    <t>00037508812H</t>
  </si>
  <si>
    <t>036946426I</t>
  </si>
  <si>
    <t>002154722J</t>
  </si>
  <si>
    <t>015048452F</t>
  </si>
  <si>
    <t>037481851G</t>
  </si>
  <si>
    <t>011766500A</t>
  </si>
  <si>
    <t>003680878A</t>
  </si>
  <si>
    <t>006563731G</t>
  </si>
  <si>
    <t>03356324G</t>
  </si>
  <si>
    <t>016027663A</t>
  </si>
  <si>
    <t>00023212833A</t>
  </si>
  <si>
    <t>013019960H</t>
  </si>
  <si>
    <t>015944864G</t>
  </si>
  <si>
    <t>3188527I</t>
  </si>
  <si>
    <t>ZK91480D</t>
  </si>
  <si>
    <t>017050742J</t>
  </si>
  <si>
    <t>008549394I</t>
  </si>
  <si>
    <t>037058050I</t>
  </si>
  <si>
    <t>008780175J</t>
  </si>
  <si>
    <t>007703221H</t>
  </si>
  <si>
    <t>001380242G</t>
  </si>
  <si>
    <t>010923679E</t>
  </si>
  <si>
    <t>00030681780A</t>
  </si>
  <si>
    <t>008626902E</t>
  </si>
  <si>
    <t>031117898C</t>
  </si>
  <si>
    <t>010835560D</t>
  </si>
  <si>
    <t>009976066C</t>
  </si>
  <si>
    <t>00009231154H</t>
  </si>
  <si>
    <t>006540489J</t>
  </si>
  <si>
    <t>0036992671C</t>
  </si>
  <si>
    <t>005096362I</t>
  </si>
  <si>
    <t>015578624H</t>
  </si>
  <si>
    <t>008437402E</t>
  </si>
  <si>
    <t>016070229G</t>
  </si>
  <si>
    <t>051660393I</t>
  </si>
  <si>
    <t>00037502203F</t>
  </si>
  <si>
    <t>00037369548F</t>
  </si>
  <si>
    <t>036824830I</t>
  </si>
  <si>
    <t>014813492H</t>
  </si>
  <si>
    <t>018555297D</t>
  </si>
  <si>
    <t>017676000H</t>
  </si>
  <si>
    <t>017105728E</t>
  </si>
  <si>
    <t>007514148B</t>
  </si>
  <si>
    <t>037561033E</t>
  </si>
  <si>
    <t>000167220D</t>
  </si>
  <si>
    <t>008132516J</t>
  </si>
  <si>
    <t>00036927075G</t>
  </si>
  <si>
    <t>036972500H</t>
  </si>
  <si>
    <t>015470836G</t>
  </si>
  <si>
    <t>09493250G</t>
  </si>
  <si>
    <t>012572691J</t>
  </si>
  <si>
    <t>32962591H</t>
  </si>
  <si>
    <t>004505352H</t>
  </si>
  <si>
    <t>037357674D</t>
  </si>
  <si>
    <t>004340368C</t>
  </si>
  <si>
    <t>000376261E</t>
  </si>
  <si>
    <t>005098432H</t>
  </si>
  <si>
    <t>005127913B</t>
  </si>
  <si>
    <t>032520446J</t>
  </si>
  <si>
    <t>035532160F</t>
  </si>
  <si>
    <t>013428365E</t>
  </si>
  <si>
    <t>003568738D</t>
  </si>
  <si>
    <t>016109046J</t>
  </si>
  <si>
    <t>036537052H</t>
  </si>
  <si>
    <t>015169194G</t>
  </si>
  <si>
    <t>036780282E</t>
  </si>
  <si>
    <t>012991295C</t>
  </si>
  <si>
    <t>017519339A</t>
  </si>
  <si>
    <t>014966033E</t>
  </si>
  <si>
    <t>00018023381I</t>
  </si>
  <si>
    <t>037546954B</t>
  </si>
  <si>
    <t>003959317D</t>
  </si>
  <si>
    <t>000013244J</t>
  </si>
  <si>
    <t>9058764D</t>
  </si>
  <si>
    <t>37885961F</t>
  </si>
  <si>
    <t>004069714G</t>
  </si>
  <si>
    <t>00037540753D</t>
  </si>
  <si>
    <t>009111529F</t>
  </si>
  <si>
    <t>37453640 H</t>
  </si>
  <si>
    <t>012055221B</t>
  </si>
  <si>
    <t>006011191B</t>
  </si>
  <si>
    <t>011231172F</t>
  </si>
  <si>
    <t>015282490A</t>
  </si>
  <si>
    <t>012786418j</t>
  </si>
  <si>
    <t>003469579B</t>
  </si>
  <si>
    <t>002341250F</t>
  </si>
  <si>
    <t>004349675B</t>
  </si>
  <si>
    <t>011369795H</t>
  </si>
  <si>
    <t>9019744D</t>
  </si>
  <si>
    <t>018537996D</t>
  </si>
  <si>
    <t>00037566763B</t>
  </si>
  <si>
    <t>000196059A</t>
  </si>
  <si>
    <t>006420842E</t>
  </si>
  <si>
    <t>035114624G</t>
  </si>
  <si>
    <t>37635485I</t>
  </si>
  <si>
    <t>009043970E</t>
  </si>
  <si>
    <t>015015610F</t>
  </si>
  <si>
    <t>014268917D</t>
  </si>
  <si>
    <t>018364964J</t>
  </si>
  <si>
    <t>YX01304A</t>
  </si>
  <si>
    <t>037510767J</t>
  </si>
  <si>
    <t>035567762G</t>
  </si>
  <si>
    <t>0058419944G</t>
  </si>
  <si>
    <t>00037497698D</t>
  </si>
  <si>
    <t>011227544B</t>
  </si>
  <si>
    <t>ZS30068P</t>
  </si>
  <si>
    <t>not provided</t>
  </si>
  <si>
    <t>004646000C</t>
  </si>
  <si>
    <t>Z880554H</t>
  </si>
  <si>
    <t>16577857A</t>
  </si>
  <si>
    <t>UNKNOWN</t>
  </si>
  <si>
    <t>008140131H</t>
  </si>
  <si>
    <t>008379003A</t>
  </si>
  <si>
    <t>018613548J</t>
  </si>
  <si>
    <t>3795505-1</t>
  </si>
  <si>
    <t>009146948G</t>
  </si>
  <si>
    <t>011345450I</t>
  </si>
  <si>
    <t>037511992C</t>
  </si>
  <si>
    <t>017018499I</t>
  </si>
  <si>
    <t>000752731A</t>
  </si>
  <si>
    <t>00037182925A</t>
  </si>
  <si>
    <t>00005028680G</t>
  </si>
  <si>
    <t>018266737I</t>
  </si>
  <si>
    <t>001432845E</t>
  </si>
  <si>
    <t>003125335E</t>
  </si>
  <si>
    <t>012078013F</t>
  </si>
  <si>
    <t>037095917D</t>
  </si>
  <si>
    <t>027475831H</t>
  </si>
  <si>
    <t>035122023B</t>
  </si>
  <si>
    <t>017485512c</t>
  </si>
  <si>
    <t>003876653B</t>
  </si>
  <si>
    <t>V35891T</t>
  </si>
  <si>
    <t>017644835F</t>
  </si>
  <si>
    <t>037339943F</t>
  </si>
  <si>
    <t>036753277H</t>
  </si>
  <si>
    <t>012355234B</t>
  </si>
  <si>
    <t>012150647B</t>
  </si>
  <si>
    <t>0374509A</t>
  </si>
  <si>
    <t>002365422B</t>
  </si>
  <si>
    <t>007550578E</t>
  </si>
  <si>
    <t>010019751G</t>
  </si>
  <si>
    <t>035614878D</t>
  </si>
  <si>
    <t>009808674H</t>
  </si>
  <si>
    <t>037084537C</t>
  </si>
  <si>
    <t>001588705C</t>
  </si>
  <si>
    <t>37098431C</t>
  </si>
  <si>
    <t>015104853F</t>
  </si>
  <si>
    <t>013574410A</t>
  </si>
  <si>
    <t>007358873D</t>
  </si>
  <si>
    <t>37113188-J</t>
  </si>
  <si>
    <t>005929681E</t>
  </si>
  <si>
    <t>ZJ27188W</t>
  </si>
  <si>
    <t>6661561I</t>
  </si>
  <si>
    <t>037176449J</t>
  </si>
  <si>
    <t>0172145537H</t>
  </si>
  <si>
    <t>016854753H</t>
  </si>
  <si>
    <t>001891841H</t>
  </si>
  <si>
    <t>018216941H</t>
  </si>
  <si>
    <t>015689731G</t>
  </si>
  <si>
    <t>006029874C</t>
  </si>
  <si>
    <t>018654880G</t>
  </si>
  <si>
    <t>015543999F</t>
  </si>
  <si>
    <t>005635050H</t>
  </si>
  <si>
    <t>2098456D</t>
  </si>
  <si>
    <t>018696606F</t>
  </si>
  <si>
    <t>035292046G</t>
  </si>
  <si>
    <t>0060040917E</t>
  </si>
  <si>
    <t>00036946308I</t>
  </si>
  <si>
    <t>006507428I</t>
  </si>
  <si>
    <t>030411967A</t>
  </si>
  <si>
    <t>036331665E</t>
  </si>
  <si>
    <t>10934456E</t>
  </si>
  <si>
    <t>0035193342J</t>
  </si>
  <si>
    <t>33502288A / 17979163 H</t>
  </si>
  <si>
    <t>003566229f</t>
  </si>
  <si>
    <t>012712226F</t>
  </si>
  <si>
    <t>012902201I</t>
  </si>
  <si>
    <t>003637737C</t>
  </si>
  <si>
    <t>03730222H</t>
  </si>
  <si>
    <t>037398146D</t>
  </si>
  <si>
    <t>017857086H</t>
  </si>
  <si>
    <t>018690809B</t>
  </si>
  <si>
    <t>006218469C</t>
  </si>
  <si>
    <t>012598416B</t>
  </si>
  <si>
    <t>013808079B</t>
  </si>
  <si>
    <t>004041445A</t>
  </si>
  <si>
    <t>036917143E</t>
  </si>
  <si>
    <t>4236372-1</t>
  </si>
  <si>
    <t>00006823G</t>
  </si>
  <si>
    <t>036278860G</t>
  </si>
  <si>
    <t>018582774I</t>
  </si>
  <si>
    <t>004749804D</t>
  </si>
  <si>
    <t>00037561233A</t>
  </si>
  <si>
    <t>00034909398J</t>
  </si>
  <si>
    <t>001611691F</t>
  </si>
  <si>
    <t>06962545H</t>
  </si>
  <si>
    <t>11759112D</t>
  </si>
  <si>
    <t>013396172C</t>
  </si>
  <si>
    <t>006805894A</t>
  </si>
  <si>
    <t>036550723F</t>
  </si>
  <si>
    <t>016046222C</t>
  </si>
  <si>
    <t>006438678C</t>
  </si>
  <si>
    <t>037357074G</t>
  </si>
  <si>
    <t>021130393I</t>
  </si>
  <si>
    <t>001585725D</t>
  </si>
  <si>
    <t>035374165F</t>
  </si>
  <si>
    <t>037009840C</t>
  </si>
  <si>
    <t>010756984A</t>
  </si>
  <si>
    <t>009212163B</t>
  </si>
  <si>
    <t>012329165A</t>
  </si>
  <si>
    <t>000000000000</t>
  </si>
  <si>
    <t>37580631C</t>
  </si>
  <si>
    <t>037256558A</t>
  </si>
  <si>
    <t>36536256F</t>
  </si>
  <si>
    <t>000347503F</t>
  </si>
  <si>
    <t>016232815H</t>
  </si>
  <si>
    <t>003947216C</t>
  </si>
  <si>
    <t>030224760G</t>
  </si>
  <si>
    <t>008556295H</t>
  </si>
  <si>
    <t>00037212009H</t>
  </si>
  <si>
    <t>018333563H</t>
  </si>
  <si>
    <t>009675295B</t>
  </si>
  <si>
    <t>001310701G</t>
  </si>
  <si>
    <t>10498727G</t>
  </si>
  <si>
    <t>012198839I</t>
  </si>
  <si>
    <t>037287821F</t>
  </si>
  <si>
    <t>037400540D</t>
  </si>
  <si>
    <t>004178413D</t>
  </si>
  <si>
    <t>018545730G</t>
  </si>
  <si>
    <t>037336803E</t>
  </si>
  <si>
    <t>018460163B</t>
  </si>
  <si>
    <t>006383360C</t>
  </si>
  <si>
    <t>016318711F</t>
  </si>
  <si>
    <t>037275748E</t>
  </si>
  <si>
    <t>037348207E</t>
  </si>
  <si>
    <t>001128253A</t>
  </si>
  <si>
    <t>037498373C</t>
  </si>
  <si>
    <t>31295589B</t>
  </si>
  <si>
    <t>018373092I</t>
  </si>
  <si>
    <t>018636404I</t>
  </si>
  <si>
    <t>003035086C</t>
  </si>
  <si>
    <t>015715325F</t>
  </si>
  <si>
    <t>008561291J</t>
  </si>
  <si>
    <t>34976310C</t>
  </si>
  <si>
    <t>37589279B</t>
  </si>
  <si>
    <t>033614286E</t>
  </si>
  <si>
    <t>013087710D</t>
  </si>
  <si>
    <t>013040755E</t>
  </si>
  <si>
    <t>036959738A</t>
  </si>
  <si>
    <t>018582046B</t>
  </si>
  <si>
    <t>010213319G</t>
  </si>
  <si>
    <t>0024600846F</t>
  </si>
  <si>
    <t>003069133B</t>
  </si>
  <si>
    <t>018690230A</t>
  </si>
  <si>
    <t>035471836D</t>
  </si>
  <si>
    <t>0006281754J</t>
  </si>
  <si>
    <t>007260213J</t>
  </si>
  <si>
    <t>03438593A</t>
  </si>
  <si>
    <t>033782639A</t>
  </si>
  <si>
    <t>002960083A</t>
  </si>
  <si>
    <t>017621796G</t>
  </si>
  <si>
    <t>016965769J</t>
  </si>
  <si>
    <t>006358690D</t>
  </si>
  <si>
    <t>002044446J</t>
  </si>
  <si>
    <t>004813261H</t>
  </si>
  <si>
    <t>012360845H</t>
  </si>
  <si>
    <t>04619357J</t>
  </si>
  <si>
    <t>037009356J</t>
  </si>
  <si>
    <t>8217527E</t>
  </si>
  <si>
    <t>036929292F</t>
  </si>
  <si>
    <t>018100527D</t>
  </si>
  <si>
    <t>010547005I</t>
  </si>
  <si>
    <t>012163627I</t>
  </si>
  <si>
    <t>006267379D</t>
  </si>
  <si>
    <t>018618373H</t>
  </si>
  <si>
    <t>009335096F</t>
  </si>
  <si>
    <t>018627805H</t>
  </si>
  <si>
    <t>018333465F</t>
  </si>
  <si>
    <t>09003455E</t>
  </si>
  <si>
    <t>008310949G</t>
  </si>
  <si>
    <t>004872514H</t>
  </si>
  <si>
    <t>016769395B</t>
  </si>
  <si>
    <t>037546532F</t>
  </si>
  <si>
    <t>009542986G</t>
  </si>
  <si>
    <t>000438475G</t>
  </si>
  <si>
    <t>015119687A</t>
  </si>
  <si>
    <t>018602407B</t>
  </si>
  <si>
    <t>37416534I</t>
  </si>
  <si>
    <t>00003249439F</t>
  </si>
  <si>
    <t>018768082C</t>
  </si>
  <si>
    <t>5499209E</t>
  </si>
  <si>
    <t>037223127E</t>
  </si>
  <si>
    <t>018613401B</t>
  </si>
  <si>
    <t>00663821B</t>
  </si>
  <si>
    <t>013819967E</t>
  </si>
  <si>
    <t>37616255I</t>
  </si>
  <si>
    <t>034859970F</t>
  </si>
  <si>
    <t>0030197020I</t>
  </si>
  <si>
    <t>018402280E</t>
  </si>
  <si>
    <t>010669963A</t>
  </si>
  <si>
    <t>036630161C</t>
  </si>
  <si>
    <t>013330691A</t>
  </si>
  <si>
    <t>032378295C</t>
  </si>
  <si>
    <t>37621740C</t>
  </si>
  <si>
    <t>008808843A</t>
  </si>
  <si>
    <t>037312441B</t>
  </si>
  <si>
    <t>016232729A</t>
  </si>
  <si>
    <t>030417803B</t>
  </si>
  <si>
    <t>016365992D</t>
  </si>
  <si>
    <t>37341014B</t>
  </si>
  <si>
    <t>013034225G</t>
  </si>
  <si>
    <t>018459009J</t>
  </si>
  <si>
    <t>00037619875A</t>
  </si>
  <si>
    <t>011024961C</t>
  </si>
  <si>
    <t>037240487B</t>
  </si>
  <si>
    <t>033653856G</t>
  </si>
  <si>
    <t>016535209H</t>
  </si>
  <si>
    <t>001071251B</t>
  </si>
  <si>
    <t>012670060I</t>
  </si>
  <si>
    <t>010793066B</t>
  </si>
  <si>
    <t>013228177F</t>
  </si>
  <si>
    <t>00013455236D</t>
  </si>
  <si>
    <t>36835696A</t>
  </si>
  <si>
    <t>00012995780J</t>
  </si>
  <si>
    <t>00037655748E</t>
  </si>
  <si>
    <t>004174774C</t>
  </si>
  <si>
    <t>015680685D</t>
  </si>
  <si>
    <t>001701396C</t>
  </si>
  <si>
    <t>012741188C</t>
  </si>
  <si>
    <t>35208194H</t>
  </si>
  <si>
    <t>00009748241I</t>
  </si>
  <si>
    <t>011152912J</t>
  </si>
  <si>
    <t>036696279D</t>
  </si>
  <si>
    <t>00184366707I</t>
  </si>
  <si>
    <t>009309181H</t>
  </si>
  <si>
    <t>005770882I</t>
  </si>
  <si>
    <t>035315469D</t>
  </si>
  <si>
    <t>012251284B</t>
  </si>
  <si>
    <t>08590222J</t>
  </si>
  <si>
    <t>005208799G</t>
  </si>
  <si>
    <t>017738467E</t>
  </si>
  <si>
    <t>011635535F</t>
  </si>
  <si>
    <t>035474646D</t>
  </si>
  <si>
    <t>036938736A</t>
  </si>
  <si>
    <t>004434262E</t>
  </si>
  <si>
    <t>015658305G</t>
  </si>
  <si>
    <t>010506432D</t>
  </si>
  <si>
    <t>006548550A</t>
  </si>
  <si>
    <t>010797186D</t>
  </si>
  <si>
    <t>037150507E</t>
  </si>
  <si>
    <t>007047712A</t>
  </si>
  <si>
    <t>037060984E</t>
  </si>
  <si>
    <t>010847981H</t>
  </si>
  <si>
    <t>034356224F</t>
  </si>
  <si>
    <t>033753402I</t>
  </si>
  <si>
    <t>TP1473ZX</t>
  </si>
  <si>
    <t>013502247D</t>
  </si>
  <si>
    <t>037543913A</t>
  </si>
  <si>
    <t>007692218G</t>
  </si>
  <si>
    <t>037538126G</t>
  </si>
  <si>
    <t>030140082G</t>
  </si>
  <si>
    <t>00037139064C</t>
  </si>
  <si>
    <t>14373073 H</t>
  </si>
  <si>
    <t>001945174J</t>
  </si>
  <si>
    <t>000206106H</t>
  </si>
  <si>
    <t>007172896I</t>
  </si>
  <si>
    <t>2952457G</t>
  </si>
  <si>
    <t>018625994B</t>
  </si>
  <si>
    <t>6004868732145134295</t>
  </si>
  <si>
    <t>033688014B</t>
  </si>
  <si>
    <t>00030632229 I</t>
  </si>
  <si>
    <t>016681549I</t>
  </si>
  <si>
    <t>017781484F</t>
  </si>
  <si>
    <t>03726691B</t>
  </si>
  <si>
    <t>017280585F</t>
  </si>
  <si>
    <t>016513850E</t>
  </si>
  <si>
    <t>018376371D</t>
  </si>
  <si>
    <t>017846329F</t>
  </si>
  <si>
    <t>004125573I</t>
  </si>
  <si>
    <t>037420736D</t>
  </si>
  <si>
    <t>018004230B</t>
  </si>
  <si>
    <t>011319678G</t>
  </si>
  <si>
    <t>018688600AI</t>
  </si>
  <si>
    <t>009694028D</t>
  </si>
  <si>
    <t>8108915D</t>
  </si>
  <si>
    <t>004503995F</t>
  </si>
  <si>
    <t>25711317F</t>
  </si>
  <si>
    <t>013624197D</t>
  </si>
  <si>
    <t>018340471E</t>
  </si>
  <si>
    <t>008055414A</t>
  </si>
  <si>
    <t>033695552B</t>
  </si>
  <si>
    <t>017829891F</t>
  </si>
  <si>
    <t>018137822F</t>
  </si>
  <si>
    <t>037389516I</t>
  </si>
  <si>
    <t>007093330E</t>
  </si>
  <si>
    <t>01579591B</t>
  </si>
  <si>
    <t>00418728J</t>
  </si>
  <si>
    <t>010865783E</t>
  </si>
  <si>
    <t>016779209C</t>
  </si>
  <si>
    <t>015915139I</t>
  </si>
  <si>
    <t>015418547E</t>
  </si>
  <si>
    <t>18268076J</t>
  </si>
  <si>
    <t>009127762E</t>
  </si>
  <si>
    <t>006734597F</t>
  </si>
  <si>
    <t>00009841292H</t>
  </si>
  <si>
    <t>018703773E</t>
  </si>
  <si>
    <t>005395804H</t>
  </si>
  <si>
    <t>010666892E</t>
  </si>
  <si>
    <t>009140544J</t>
  </si>
  <si>
    <t>018690703G</t>
  </si>
  <si>
    <t>037620335C</t>
  </si>
  <si>
    <t>037641212I</t>
  </si>
  <si>
    <t>021358488A</t>
  </si>
  <si>
    <t>018228943J</t>
  </si>
  <si>
    <t>018669195C</t>
  </si>
  <si>
    <t>004624544F</t>
  </si>
  <si>
    <t>008126081C</t>
  </si>
  <si>
    <t>013659646H</t>
  </si>
  <si>
    <t>015981942E</t>
  </si>
  <si>
    <t>05032892B</t>
  </si>
  <si>
    <t>008840239B</t>
  </si>
  <si>
    <t>018515215E</t>
  </si>
  <si>
    <t>37528903A</t>
  </si>
  <si>
    <t>015563116B</t>
  </si>
  <si>
    <t>030081488G</t>
  </si>
  <si>
    <t>UC08287E</t>
  </si>
  <si>
    <t>000333246H</t>
  </si>
  <si>
    <t>002588598J</t>
  </si>
  <si>
    <t>037658630B</t>
  </si>
  <si>
    <t>001210248J</t>
  </si>
  <si>
    <t>037632795D</t>
  </si>
  <si>
    <t>002699742J</t>
  </si>
  <si>
    <t>003115744J</t>
  </si>
  <si>
    <t>KR92433N</t>
  </si>
  <si>
    <t>007547610B</t>
  </si>
  <si>
    <t>017794272J</t>
  </si>
  <si>
    <t>006360214I</t>
  </si>
  <si>
    <t>011375986E</t>
  </si>
  <si>
    <t>00009936852E</t>
  </si>
  <si>
    <t>005100661H</t>
  </si>
  <si>
    <t>008596066E</t>
  </si>
  <si>
    <t>013276839B</t>
  </si>
  <si>
    <t>00037475523J</t>
  </si>
  <si>
    <t>002879729I</t>
  </si>
  <si>
    <t>015705323C</t>
  </si>
  <si>
    <t>01767950B</t>
  </si>
  <si>
    <t>014269849H</t>
  </si>
  <si>
    <t>34920377i</t>
  </si>
  <si>
    <t>007243319I</t>
  </si>
  <si>
    <t>37804457-1</t>
  </si>
  <si>
    <t>001487653G</t>
  </si>
  <si>
    <t>0</t>
  </si>
  <si>
    <t>015583043D</t>
  </si>
  <si>
    <t>93326864-1</t>
  </si>
  <si>
    <t>038040516H</t>
  </si>
  <si>
    <t>Unavailable</t>
  </si>
  <si>
    <t>001972633A</t>
  </si>
  <si>
    <t>0012469943A</t>
  </si>
  <si>
    <t>014969032D</t>
  </si>
  <si>
    <t>7570314P</t>
  </si>
  <si>
    <t>15719766G</t>
  </si>
  <si>
    <t>002269316C</t>
  </si>
  <si>
    <t>018253585G</t>
  </si>
  <si>
    <t>010100688A</t>
  </si>
  <si>
    <t>036937558J</t>
  </si>
  <si>
    <t>XR 013016 E</t>
  </si>
  <si>
    <t>006458495G</t>
  </si>
  <si>
    <t>019784290J</t>
  </si>
  <si>
    <t>009238158B</t>
  </si>
  <si>
    <t>17760736D</t>
  </si>
  <si>
    <t>018420802D</t>
  </si>
  <si>
    <t>036892040B</t>
  </si>
  <si>
    <t>037321250F</t>
  </si>
  <si>
    <t>036852018F</t>
  </si>
  <si>
    <t>001891777D</t>
  </si>
  <si>
    <t>037041434E</t>
  </si>
  <si>
    <t>037140769D</t>
  </si>
  <si>
    <t>011234038F</t>
  </si>
  <si>
    <t>004260292A</t>
  </si>
  <si>
    <t>008910879J</t>
  </si>
  <si>
    <t>002178304I</t>
  </si>
  <si>
    <t>036479841D</t>
  </si>
  <si>
    <t>011198364J</t>
  </si>
  <si>
    <t>XC02229</t>
  </si>
  <si>
    <t>017837365H</t>
  </si>
  <si>
    <t>005993149D</t>
  </si>
  <si>
    <t>00018398695J</t>
  </si>
  <si>
    <t>11754828J</t>
  </si>
  <si>
    <t>007802325G</t>
  </si>
  <si>
    <t>3018201990B</t>
  </si>
  <si>
    <t>012603547G</t>
  </si>
  <si>
    <t>018480213A</t>
  </si>
  <si>
    <t>00016194057C</t>
  </si>
  <si>
    <t>018334826H</t>
  </si>
  <si>
    <t>036850918I</t>
  </si>
  <si>
    <t>ZC71595M</t>
  </si>
  <si>
    <t>037358662H</t>
  </si>
  <si>
    <t>037392523J</t>
  </si>
  <si>
    <t>005495847F</t>
  </si>
  <si>
    <t>02653467H</t>
  </si>
  <si>
    <t>014268021E</t>
  </si>
  <si>
    <t>UN34332T &amp; 9487293</t>
  </si>
  <si>
    <t>Didn't have it with him</t>
  </si>
  <si>
    <t>5413932-E</t>
  </si>
  <si>
    <t>017690478H</t>
  </si>
  <si>
    <t>001895863H</t>
  </si>
  <si>
    <t>37432816J</t>
  </si>
  <si>
    <t>010436684E</t>
  </si>
  <si>
    <t>010167495A</t>
  </si>
  <si>
    <t>009017232B</t>
  </si>
  <si>
    <t>00037420860 B</t>
  </si>
  <si>
    <t>016799417H</t>
  </si>
  <si>
    <t>011867825J</t>
  </si>
  <si>
    <t>037093050F</t>
  </si>
  <si>
    <t>YM58233Y</t>
  </si>
  <si>
    <t>013316969I</t>
  </si>
  <si>
    <t>004766187B</t>
  </si>
  <si>
    <t>037456777E</t>
  </si>
  <si>
    <t>0128581493C</t>
  </si>
  <si>
    <t>7177406B</t>
  </si>
  <si>
    <t>010845342E</t>
  </si>
  <si>
    <t>037472385G</t>
  </si>
  <si>
    <t>009714983F</t>
  </si>
  <si>
    <t>001455272D</t>
  </si>
  <si>
    <t>018542586F</t>
  </si>
  <si>
    <t>013814049G</t>
  </si>
  <si>
    <t>016774687E</t>
  </si>
  <si>
    <t>034558449E</t>
  </si>
  <si>
    <t>0515656819i</t>
  </si>
  <si>
    <t>003609378J</t>
  </si>
  <si>
    <t>013532700F</t>
  </si>
  <si>
    <t>017912272G</t>
  </si>
  <si>
    <t>018198487D</t>
  </si>
  <si>
    <t>37620659F</t>
  </si>
  <si>
    <t>016362751G</t>
  </si>
  <si>
    <t>033550316F</t>
  </si>
  <si>
    <t>013634963G</t>
  </si>
  <si>
    <t>011984711J</t>
  </si>
  <si>
    <t>00001041553H</t>
  </si>
  <si>
    <t>1710750J</t>
  </si>
  <si>
    <t>036955364J</t>
  </si>
  <si>
    <t>003014809C</t>
  </si>
  <si>
    <t>001210934E</t>
  </si>
  <si>
    <t>ZC08915 H &amp; 35075127</t>
  </si>
  <si>
    <t>010303554J</t>
  </si>
  <si>
    <t>002229819E</t>
  </si>
  <si>
    <t>037513812A</t>
  </si>
  <si>
    <t>03333910E</t>
  </si>
  <si>
    <t>012480877F</t>
  </si>
  <si>
    <t>037495448F</t>
  </si>
  <si>
    <t>013431863D</t>
  </si>
  <si>
    <t>005566824I</t>
  </si>
  <si>
    <t>17651535B SNA</t>
  </si>
  <si>
    <t>004361445C</t>
  </si>
  <si>
    <t>037491855F</t>
  </si>
  <si>
    <t>004925656D</t>
  </si>
  <si>
    <t>031003426J</t>
  </si>
  <si>
    <t>008655394J</t>
  </si>
  <si>
    <t>00037402058E</t>
  </si>
  <si>
    <t>006794591F</t>
  </si>
  <si>
    <t>037109601H</t>
  </si>
  <si>
    <t>009743607F</t>
  </si>
  <si>
    <t>00037544869D</t>
  </si>
  <si>
    <t>015969203H</t>
  </si>
  <si>
    <t>000610378C</t>
  </si>
  <si>
    <t>1777492 I</t>
  </si>
  <si>
    <t>005683733J</t>
  </si>
  <si>
    <t>006947452G</t>
  </si>
  <si>
    <t>005693723I</t>
  </si>
  <si>
    <t>5187747A</t>
  </si>
  <si>
    <t>003815103B</t>
  </si>
  <si>
    <t>014947641I</t>
  </si>
  <si>
    <t>37542346RJ -19</t>
  </si>
  <si>
    <t>008391564F</t>
  </si>
  <si>
    <t>37748289I</t>
  </si>
  <si>
    <t>007028304J</t>
  </si>
  <si>
    <t>035554552G</t>
  </si>
  <si>
    <t>03737457D</t>
  </si>
  <si>
    <t>09142103C</t>
  </si>
  <si>
    <t>4119937D</t>
  </si>
  <si>
    <t>017848753E</t>
  </si>
  <si>
    <t>013142435A</t>
  </si>
  <si>
    <t>008103708H</t>
  </si>
  <si>
    <t>037578530A</t>
  </si>
  <si>
    <t>018135352F</t>
  </si>
  <si>
    <t>01862562E</t>
  </si>
  <si>
    <t>000576296I</t>
  </si>
  <si>
    <t>005623857J</t>
  </si>
  <si>
    <t>018380468B</t>
  </si>
  <si>
    <t>00037582869G</t>
  </si>
  <si>
    <t>QY28295V</t>
  </si>
  <si>
    <t>01467041l</t>
  </si>
  <si>
    <t>VD24204N</t>
  </si>
  <si>
    <t>016026457I</t>
  </si>
  <si>
    <t>008560810H</t>
  </si>
  <si>
    <t>011493631D</t>
  </si>
  <si>
    <t>011750847D</t>
  </si>
  <si>
    <t>018054358J</t>
  </si>
  <si>
    <t>004808453G</t>
  </si>
  <si>
    <t>not avail</t>
  </si>
  <si>
    <t>013632455F</t>
  </si>
  <si>
    <t>00037612120I</t>
  </si>
  <si>
    <t>012024063F</t>
  </si>
  <si>
    <t>18686495F</t>
  </si>
  <si>
    <t>035334200J</t>
  </si>
  <si>
    <t>037558794G</t>
  </si>
  <si>
    <t>007814302B</t>
  </si>
  <si>
    <t>033616576G</t>
  </si>
  <si>
    <t>QP55102Y</t>
  </si>
  <si>
    <t>012810025C</t>
  </si>
  <si>
    <t>018762436G</t>
  </si>
  <si>
    <t>355135276A</t>
  </si>
  <si>
    <t>000374567G</t>
  </si>
  <si>
    <t>001965274C</t>
  </si>
  <si>
    <t>000886630D</t>
  </si>
  <si>
    <t>012479728D</t>
  </si>
  <si>
    <t>018543958F</t>
  </si>
  <si>
    <t>001402768E</t>
  </si>
  <si>
    <t>006538139E</t>
  </si>
  <si>
    <t>011273180H</t>
  </si>
  <si>
    <t>017613933F</t>
  </si>
  <si>
    <t>6004868724-87241233106</t>
  </si>
  <si>
    <t>018162836D</t>
  </si>
  <si>
    <t>037509704F</t>
  </si>
  <si>
    <t>014372756I</t>
  </si>
  <si>
    <t>011861834H</t>
  </si>
  <si>
    <t>018226576J</t>
  </si>
  <si>
    <t>005654108J</t>
  </si>
  <si>
    <t>037630705E</t>
  </si>
  <si>
    <t>037166873C</t>
  </si>
  <si>
    <t>016237119J</t>
  </si>
  <si>
    <t>036496246E</t>
  </si>
  <si>
    <t>8371332B</t>
  </si>
  <si>
    <t>036787492C</t>
  </si>
  <si>
    <t>4791837 A</t>
  </si>
  <si>
    <t>8922173037900</t>
  </si>
  <si>
    <t>005423328D</t>
  </si>
  <si>
    <t>4090525J</t>
  </si>
  <si>
    <t>036768450D</t>
  </si>
  <si>
    <t>00037630437E</t>
  </si>
  <si>
    <t>30062588G</t>
  </si>
  <si>
    <t>2171609HCL</t>
  </si>
  <si>
    <t>005789834I</t>
  </si>
  <si>
    <t>001955280B</t>
  </si>
  <si>
    <t>00037951793B</t>
  </si>
  <si>
    <t>00037636771A</t>
  </si>
  <si>
    <t>00037573172G</t>
  </si>
  <si>
    <t>008023967G</t>
  </si>
  <si>
    <t>011943221J</t>
  </si>
  <si>
    <t>00006196293C</t>
  </si>
  <si>
    <t>007953647A</t>
  </si>
  <si>
    <t>015914465I</t>
  </si>
  <si>
    <t>010218071I</t>
  </si>
  <si>
    <t>037556496A</t>
  </si>
  <si>
    <t>030785444I</t>
  </si>
  <si>
    <t>will provide</t>
  </si>
  <si>
    <t>018137653E</t>
  </si>
  <si>
    <t>037482686F</t>
  </si>
  <si>
    <t>009183291F</t>
  </si>
  <si>
    <t>018562539J</t>
  </si>
  <si>
    <t>002223632H</t>
  </si>
  <si>
    <t>001780982D</t>
  </si>
  <si>
    <t>00037486722E</t>
  </si>
  <si>
    <t>WV10058W</t>
  </si>
  <si>
    <t>007277807J</t>
  </si>
  <si>
    <t>00003560981H</t>
  </si>
  <si>
    <t>006204194C</t>
  </si>
  <si>
    <t>011693089C</t>
  </si>
  <si>
    <t>004711056E</t>
  </si>
  <si>
    <t>245902C</t>
  </si>
  <si>
    <t>010085519G</t>
  </si>
  <si>
    <t>Will Provide</t>
  </si>
  <si>
    <t>008338212H</t>
  </si>
  <si>
    <t>00014570871F</t>
  </si>
  <si>
    <t>011505951B</t>
  </si>
  <si>
    <t>00000144477H</t>
  </si>
  <si>
    <t>5460441I</t>
  </si>
  <si>
    <t>082-40-6493</t>
  </si>
  <si>
    <t>104-60-1988</t>
  </si>
  <si>
    <t>121-60-7316</t>
  </si>
  <si>
    <t>130-80-6243</t>
  </si>
  <si>
    <t>064-56-5851</t>
  </si>
  <si>
    <t>064-58-4578</t>
  </si>
  <si>
    <t>080-72-7608</t>
  </si>
  <si>
    <t>112-64-2002</t>
  </si>
  <si>
    <t>068-86-1390</t>
  </si>
  <si>
    <t>404-90-1854</t>
  </si>
  <si>
    <t>227-78-4893</t>
  </si>
  <si>
    <t>083-94-0429</t>
  </si>
  <si>
    <t>086-66-2650</t>
  </si>
  <si>
    <t>130-62-5630</t>
  </si>
  <si>
    <t>103-44-5319</t>
  </si>
  <si>
    <t>098-66-4120</t>
  </si>
  <si>
    <t>325-68-4272</t>
  </si>
  <si>
    <t>105-52-0077</t>
  </si>
  <si>
    <t>582-39-4432</t>
  </si>
  <si>
    <t>000-00-7534</t>
  </si>
  <si>
    <t>067-69-0375</t>
  </si>
  <si>
    <t>077-54-2404</t>
  </si>
  <si>
    <t>126-74-0297</t>
  </si>
  <si>
    <t>080-64-1567</t>
  </si>
  <si>
    <t>077-62-9373</t>
  </si>
  <si>
    <t>095-92-8920</t>
  </si>
  <si>
    <t>051-44-1357</t>
  </si>
  <si>
    <t>068-48-5106</t>
  </si>
  <si>
    <t>057-70-0730</t>
  </si>
  <si>
    <t>000-00-8922</t>
  </si>
  <si>
    <t>096-56-2643</t>
  </si>
  <si>
    <t>103-74-3186</t>
  </si>
  <si>
    <t>084-86-5826</t>
  </si>
  <si>
    <t>112-72-1559</t>
  </si>
  <si>
    <t>133-56-6462</t>
  </si>
  <si>
    <t>129-30-7516</t>
  </si>
  <si>
    <t>129-68-4106</t>
  </si>
  <si>
    <t>103-96-2112</t>
  </si>
  <si>
    <t>058-78-8018</t>
  </si>
  <si>
    <t>000-00-5185</t>
  </si>
  <si>
    <t>083-88-3537</t>
  </si>
  <si>
    <t>351-66-8317</t>
  </si>
  <si>
    <t>078-50-0340</t>
  </si>
  <si>
    <t>073-70-3161</t>
  </si>
  <si>
    <t>056-70-7366</t>
  </si>
  <si>
    <t>193-44-4858</t>
  </si>
  <si>
    <t>090-44-9848</t>
  </si>
  <si>
    <t>583-74-2251</t>
  </si>
  <si>
    <t>115-96-1269</t>
  </si>
  <si>
    <t>111-44-5811</t>
  </si>
  <si>
    <t>107-48-8784</t>
  </si>
  <si>
    <t>085-54-1212</t>
  </si>
  <si>
    <t>082-56-5030</t>
  </si>
  <si>
    <t>096-54-1799</t>
  </si>
  <si>
    <t>100-62-4852</t>
  </si>
  <si>
    <t>058-46-8134</t>
  </si>
  <si>
    <t>128-68-9972</t>
  </si>
  <si>
    <t>584-47-0271</t>
  </si>
  <si>
    <t>068-66-8203</t>
  </si>
  <si>
    <t>115-52-3658</t>
  </si>
  <si>
    <t>120-88-6064</t>
  </si>
  <si>
    <t>104-60-2959</t>
  </si>
  <si>
    <t>022-96-7935</t>
  </si>
  <si>
    <t>095-24-5436</t>
  </si>
  <si>
    <t>125-64-0601</t>
  </si>
  <si>
    <t>084-66-9587</t>
  </si>
  <si>
    <t>054-48-6984</t>
  </si>
  <si>
    <t>108-80-6062</t>
  </si>
  <si>
    <t>051-72-5318</t>
  </si>
  <si>
    <t>080-42-6781</t>
  </si>
  <si>
    <t>123-62-6886</t>
  </si>
  <si>
    <t>129-16-3475</t>
  </si>
  <si>
    <t>048-08-6305</t>
  </si>
  <si>
    <t>075-44-4996</t>
  </si>
  <si>
    <t>085-76-1845</t>
  </si>
  <si>
    <t>075-44-4600</t>
  </si>
  <si>
    <t>420-93-9065</t>
  </si>
  <si>
    <t>466-63-1980</t>
  </si>
  <si>
    <t>090-68-1494</t>
  </si>
  <si>
    <t>117-68-8378</t>
  </si>
  <si>
    <t>584-08-3286</t>
  </si>
  <si>
    <t>426-65-1711</t>
  </si>
  <si>
    <t>889-52-8774</t>
  </si>
  <si>
    <t>063-82-3048</t>
  </si>
  <si>
    <t>128-48-3852</t>
  </si>
  <si>
    <t>117-56-4998</t>
  </si>
  <si>
    <t>090-84-8203</t>
  </si>
  <si>
    <t>090-58-7748</t>
  </si>
  <si>
    <t>108-62-4928</t>
  </si>
  <si>
    <t>899-53-4205</t>
  </si>
  <si>
    <t>649-47-5167</t>
  </si>
  <si>
    <t>125-84-7147</t>
  </si>
  <si>
    <t>108-68-3345</t>
  </si>
  <si>
    <t>582-93-2265</t>
  </si>
  <si>
    <t>043-76-6261</t>
  </si>
  <si>
    <t>111-58-9135</t>
  </si>
  <si>
    <t>079-64-0354</t>
  </si>
  <si>
    <t>584-90-9002</t>
  </si>
  <si>
    <t>052-72-1303</t>
  </si>
  <si>
    <t>063-42-4065</t>
  </si>
  <si>
    <t>614-22-7039</t>
  </si>
  <si>
    <t>097-54-0429</t>
  </si>
  <si>
    <t>327-56-2322</t>
  </si>
  <si>
    <t>097-56-2745</t>
  </si>
  <si>
    <t>125-70-2099</t>
  </si>
  <si>
    <t>097-90-8401</t>
  </si>
  <si>
    <t>119-42-9950</t>
  </si>
  <si>
    <t>524-49-9153</t>
  </si>
  <si>
    <t>124-64-0335</t>
  </si>
  <si>
    <t>075-95-3095</t>
  </si>
  <si>
    <t>094-66-3109</t>
  </si>
  <si>
    <t>107-88-6567</t>
  </si>
  <si>
    <t>100-58-4283</t>
  </si>
  <si>
    <t>823-48-3203</t>
  </si>
  <si>
    <t>082-86-8022</t>
  </si>
  <si>
    <t>117-94-3958</t>
  </si>
  <si>
    <t>074-90-5053</t>
  </si>
  <si>
    <t>091-92-7239</t>
  </si>
  <si>
    <t>055-34-5684</t>
  </si>
  <si>
    <t>133-62-8635</t>
  </si>
  <si>
    <t>125-44-3934</t>
  </si>
  <si>
    <t>102-64-5993</t>
  </si>
  <si>
    <t>121-46-0804</t>
  </si>
  <si>
    <t>076-56-2851</t>
  </si>
  <si>
    <t>097-36-6394</t>
  </si>
  <si>
    <t>052-96-1447</t>
  </si>
  <si>
    <t>060-72-9151</t>
  </si>
  <si>
    <t>758-77-6626</t>
  </si>
  <si>
    <t>175-66-9812</t>
  </si>
  <si>
    <t>064-54-0155</t>
  </si>
  <si>
    <t>082-60-0457</t>
  </si>
  <si>
    <t>581-51-6715</t>
  </si>
  <si>
    <t>089-86-3392</t>
  </si>
  <si>
    <t>082-24-7969</t>
  </si>
  <si>
    <t>583-89-7141</t>
  </si>
  <si>
    <t>110-50-5218</t>
  </si>
  <si>
    <t>103-58-6686</t>
  </si>
  <si>
    <t>053-78-9096</t>
  </si>
  <si>
    <t>122-76-0856</t>
  </si>
  <si>
    <t>117-22-8125</t>
  </si>
  <si>
    <t>091-92-7998</t>
  </si>
  <si>
    <t>057-74-9143</t>
  </si>
  <si>
    <t>070-58-0175</t>
  </si>
  <si>
    <t>062-54-8575</t>
  </si>
  <si>
    <t>084-52-4874</t>
  </si>
  <si>
    <t>531-17-3793</t>
  </si>
  <si>
    <t>077-54-6495</t>
  </si>
  <si>
    <t>114-64-8527</t>
  </si>
  <si>
    <t>097-60-0107</t>
  </si>
  <si>
    <t>059-64-8355</t>
  </si>
  <si>
    <t>000-00-9700</t>
  </si>
  <si>
    <t>100-70-0187</t>
  </si>
  <si>
    <t>102-58-0158</t>
  </si>
  <si>
    <t>053-58-7993</t>
  </si>
  <si>
    <t>066-76-8243</t>
  </si>
  <si>
    <t>058-60-4198</t>
  </si>
  <si>
    <t>122-60-1837</t>
  </si>
  <si>
    <t>106-50-3931</t>
  </si>
  <si>
    <t>062-72-4938</t>
  </si>
  <si>
    <t>586-66-7487</t>
  </si>
  <si>
    <t>246-13-1169</t>
  </si>
  <si>
    <t>131-50-9248</t>
  </si>
  <si>
    <t>052-80-1559</t>
  </si>
  <si>
    <t>063-70-4100</t>
  </si>
  <si>
    <t>096-70-1711</t>
  </si>
  <si>
    <t>081-70-8680</t>
  </si>
  <si>
    <t>079-58-9635</t>
  </si>
  <si>
    <t>108-48-7773</t>
  </si>
  <si>
    <t>556-80-7385</t>
  </si>
  <si>
    <t>124-58-7232</t>
  </si>
  <si>
    <t>116-46-7185</t>
  </si>
  <si>
    <t>582-71-4390</t>
  </si>
  <si>
    <t>128-52-9212</t>
  </si>
  <si>
    <t>069-54-6029</t>
  </si>
  <si>
    <t>084-78-2355</t>
  </si>
  <si>
    <t>124-60-5709</t>
  </si>
  <si>
    <t>069-78-5261</t>
  </si>
  <si>
    <t>057-80-3890</t>
  </si>
  <si>
    <t>050-84-9393</t>
  </si>
  <si>
    <t>117-56-8522</t>
  </si>
  <si>
    <t>070-70-8064</t>
  </si>
  <si>
    <t>128-90-6568</t>
  </si>
  <si>
    <t>099-88-5529</t>
  </si>
  <si>
    <t>056-62-8052</t>
  </si>
  <si>
    <t>061-50-8092</t>
  </si>
  <si>
    <t>000-00-9899</t>
  </si>
  <si>
    <t>091-86-0130</t>
  </si>
  <si>
    <t>819-34-5511</t>
  </si>
  <si>
    <t>057-64-6483</t>
  </si>
  <si>
    <t>078-74-2431</t>
  </si>
  <si>
    <t>035-58-1833</t>
  </si>
  <si>
    <t>086-80-5883</t>
  </si>
  <si>
    <t>755-94-5189</t>
  </si>
  <si>
    <t>126-44-8960</t>
  </si>
  <si>
    <t>113-64-8828</t>
  </si>
  <si>
    <t>116-86-2438</t>
  </si>
  <si>
    <t>115-66-2016</t>
  </si>
  <si>
    <t>113-56-3963</t>
  </si>
  <si>
    <t>142-17-3294</t>
  </si>
  <si>
    <t>121-74-5734</t>
  </si>
  <si>
    <t>078-74-6038</t>
  </si>
  <si>
    <t>000-00-2580</t>
  </si>
  <si>
    <t>056-54-0359</t>
  </si>
  <si>
    <t>097-86-8059</t>
  </si>
  <si>
    <t>100-96-1842</t>
  </si>
  <si>
    <t>119-86-5571</t>
  </si>
  <si>
    <t>101-56-6178</t>
  </si>
  <si>
    <t>131-38-7208</t>
  </si>
  <si>
    <t>129-30-5818</t>
  </si>
  <si>
    <t>059-84-3498</t>
  </si>
  <si>
    <t>597-52-8831</t>
  </si>
  <si>
    <t>131-82-6314</t>
  </si>
  <si>
    <t>418-19-6544</t>
  </si>
  <si>
    <t>053-70-6747</t>
  </si>
  <si>
    <t>066-56-2073</t>
  </si>
  <si>
    <t>053-50-7628</t>
  </si>
  <si>
    <t>053-58-2772</t>
  </si>
  <si>
    <t>483-45-8055</t>
  </si>
  <si>
    <t>289-49-7159</t>
  </si>
  <si>
    <t>598-30-0388</t>
  </si>
  <si>
    <t>095-36-1516</t>
  </si>
  <si>
    <t>133-44-1637</t>
  </si>
  <si>
    <t>083-74-1388</t>
  </si>
  <si>
    <t>053-56-3098</t>
  </si>
  <si>
    <t>106-60-6974</t>
  </si>
  <si>
    <t>094-60-5128</t>
  </si>
  <si>
    <t>115-62-4114</t>
  </si>
  <si>
    <t>123-56-7254</t>
  </si>
  <si>
    <t>104-54-5701</t>
  </si>
  <si>
    <t>122-98-4192</t>
  </si>
  <si>
    <t>102-90-3126</t>
  </si>
  <si>
    <t>089-70-7666</t>
  </si>
  <si>
    <t>099-44-7840</t>
  </si>
  <si>
    <t>067-58-7750</t>
  </si>
  <si>
    <t>049-74-1328</t>
  </si>
  <si>
    <t>099-60-8110</t>
  </si>
  <si>
    <t>171-34-5376</t>
  </si>
  <si>
    <t>069-58-9499</t>
  </si>
  <si>
    <t>103-68-7719</t>
  </si>
  <si>
    <t>389-78-7150</t>
  </si>
  <si>
    <t>057-86-3517</t>
  </si>
  <si>
    <t>580-14-2932</t>
  </si>
  <si>
    <t>139-56-3954</t>
  </si>
  <si>
    <t>059-66-1046</t>
  </si>
  <si>
    <t>089-46-4138</t>
  </si>
  <si>
    <t>051-84-2494</t>
  </si>
  <si>
    <t>104-50-1579</t>
  </si>
  <si>
    <t>584-73-8648</t>
  </si>
  <si>
    <t>123-94-5493</t>
  </si>
  <si>
    <t>114-62-3269</t>
  </si>
  <si>
    <t>000-00-0248</t>
  </si>
  <si>
    <t>072-56-9474</t>
  </si>
  <si>
    <t>451-93-7695</t>
  </si>
  <si>
    <t>125-64-7009</t>
  </si>
  <si>
    <t>090-58-8842</t>
  </si>
  <si>
    <t>097-56-7279</t>
  </si>
  <si>
    <t>094-56-5546</t>
  </si>
  <si>
    <t>078-74-9676</t>
  </si>
  <si>
    <t>211-19-5513</t>
  </si>
  <si>
    <t>065-92-6826</t>
  </si>
  <si>
    <t>584-51-3142</t>
  </si>
  <si>
    <t>756-23-4953</t>
  </si>
  <si>
    <t>058-60-6529</t>
  </si>
  <si>
    <t>118-84-9169</t>
  </si>
  <si>
    <t>103-82-0698</t>
  </si>
  <si>
    <t>109-58-8240</t>
  </si>
  <si>
    <t>076-64-1280</t>
  </si>
  <si>
    <t>597-28-2029</t>
  </si>
  <si>
    <t>064-58-7556</t>
  </si>
  <si>
    <t>616-60-8786</t>
  </si>
  <si>
    <t>091-76-6337</t>
  </si>
  <si>
    <t>083-62-6621</t>
  </si>
  <si>
    <t>053-82-5390</t>
  </si>
  <si>
    <t>101-64-5763</t>
  </si>
  <si>
    <t>087-76-1507</t>
  </si>
  <si>
    <t>076-64-9277</t>
  </si>
  <si>
    <t>139-92-7731</t>
  </si>
  <si>
    <t>124-36-3469</t>
  </si>
  <si>
    <t>251-47-2068</t>
  </si>
  <si>
    <t>115-56-1126</t>
  </si>
  <si>
    <t>121-68-7716</t>
  </si>
  <si>
    <t>589-18-1984</t>
  </si>
  <si>
    <t>065-36-0184</t>
  </si>
  <si>
    <t>096-58-7003</t>
  </si>
  <si>
    <t>090-50-9137</t>
  </si>
  <si>
    <t>058-76-7268</t>
  </si>
  <si>
    <t>080-68-4819</t>
  </si>
  <si>
    <t>120-54-5842</t>
  </si>
  <si>
    <t>094-54-4331</t>
  </si>
  <si>
    <t>126-54-6220</t>
  </si>
  <si>
    <t>075-60-9470</t>
  </si>
  <si>
    <t>099-56-2162</t>
  </si>
  <si>
    <t>117-64-2690</t>
  </si>
  <si>
    <t>730-14-5427</t>
  </si>
  <si>
    <t>076-68-8940</t>
  </si>
  <si>
    <t>134-46-9620</t>
  </si>
  <si>
    <t>125-44-2325</t>
  </si>
  <si>
    <t>095-60-4992</t>
  </si>
  <si>
    <t>150-98-8301</t>
  </si>
  <si>
    <t>000-00-2054</t>
  </si>
  <si>
    <t>078-60-0713</t>
  </si>
  <si>
    <t>125-68-9554</t>
  </si>
  <si>
    <t>055-58-6977</t>
  </si>
  <si>
    <t>060-44-6058</t>
  </si>
  <si>
    <t>064-54-0136</t>
  </si>
  <si>
    <t>124-70-2020</t>
  </si>
  <si>
    <t>088-80-4239</t>
  </si>
  <si>
    <t>124-54-8984</t>
  </si>
  <si>
    <t>100-84-9272</t>
  </si>
  <si>
    <t>127-84-6655</t>
  </si>
  <si>
    <t>068-62-0947</t>
  </si>
  <si>
    <t>103-34-2238</t>
  </si>
  <si>
    <t>119-94-2492</t>
  </si>
  <si>
    <t>087-50-8442</t>
  </si>
  <si>
    <t>128-54-2720</t>
  </si>
  <si>
    <t>241-27-2464</t>
  </si>
  <si>
    <t>133-80-8253</t>
  </si>
  <si>
    <t>115-74-2626</t>
  </si>
  <si>
    <t>597-22-8635</t>
  </si>
  <si>
    <t>155-04-3679</t>
  </si>
  <si>
    <t>108-90-7617</t>
  </si>
  <si>
    <t>098-58-9907</t>
  </si>
  <si>
    <t>090-92-8125</t>
  </si>
  <si>
    <t>067-62-6146</t>
  </si>
  <si>
    <t>073-54-6686</t>
  </si>
  <si>
    <t>500-74-2780</t>
  </si>
  <si>
    <t>248-48-5367</t>
  </si>
  <si>
    <t>111-38-8684</t>
  </si>
  <si>
    <t>063-96-6689</t>
  </si>
  <si>
    <t>071-94-5069</t>
  </si>
  <si>
    <t>106-78-7357</t>
  </si>
  <si>
    <t>116-68-5913</t>
  </si>
  <si>
    <t>067-58-9006</t>
  </si>
  <si>
    <t>149-32-3269</t>
  </si>
  <si>
    <t>102-54-5470</t>
  </si>
  <si>
    <t>598-12-3163</t>
  </si>
  <si>
    <t>074-56-3726</t>
  </si>
  <si>
    <t>098-32-3419</t>
  </si>
  <si>
    <t>058-46-6359</t>
  </si>
  <si>
    <t>061-58-3545</t>
  </si>
  <si>
    <t>598-10-1573</t>
  </si>
  <si>
    <t>125-44-8180</t>
  </si>
  <si>
    <t>000-00-3788</t>
  </si>
  <si>
    <t>355-45-7393</t>
  </si>
  <si>
    <t>073-28-5641</t>
  </si>
  <si>
    <t>128-72-0450</t>
  </si>
  <si>
    <t>591-45-8072</t>
  </si>
  <si>
    <t>054-86-7085</t>
  </si>
  <si>
    <t>060-74-0446</t>
  </si>
  <si>
    <t>102-56-3920</t>
  </si>
  <si>
    <t>110-84-4287</t>
  </si>
  <si>
    <t>081-72-8475</t>
  </si>
  <si>
    <t>062-58-1615</t>
  </si>
  <si>
    <t>582-90-7731</t>
  </si>
  <si>
    <t>431-27-0471</t>
  </si>
  <si>
    <t>282-60-1288</t>
  </si>
  <si>
    <t>114-56-6264</t>
  </si>
  <si>
    <t>095-54-5488</t>
  </si>
  <si>
    <t>124-76-8202</t>
  </si>
  <si>
    <t>583-84-2044</t>
  </si>
  <si>
    <t>506-76-3181</t>
  </si>
  <si>
    <t>057-58-5305</t>
  </si>
  <si>
    <t>000-00-9293</t>
  </si>
  <si>
    <t>117-56-8265</t>
  </si>
  <si>
    <t>084-62-9813</t>
  </si>
  <si>
    <t>037-54-4793</t>
  </si>
  <si>
    <t>423-78-2580</t>
  </si>
  <si>
    <t>130-80-0350</t>
  </si>
  <si>
    <t>087-52-4590</t>
  </si>
  <si>
    <t>055-82-0383</t>
  </si>
  <si>
    <t>028-32-7805</t>
  </si>
  <si>
    <t>050-60-3484</t>
  </si>
  <si>
    <t>050-72-0708</t>
  </si>
  <si>
    <t>093-38-5466</t>
  </si>
  <si>
    <t>083-02-4877</t>
  </si>
  <si>
    <t>188-66-2482</t>
  </si>
  <si>
    <t>133-44-9024</t>
  </si>
  <si>
    <t>051-40-7384</t>
  </si>
  <si>
    <t>112-80-8466</t>
  </si>
  <si>
    <t>083-54-2480</t>
  </si>
  <si>
    <t>120-54-8259</t>
  </si>
  <si>
    <t>580-31-0661</t>
  </si>
  <si>
    <t>132-82-6357</t>
  </si>
  <si>
    <t>102-46-2072</t>
  </si>
  <si>
    <t>574-51-9802</t>
  </si>
  <si>
    <t>750-84-6060</t>
  </si>
  <si>
    <t>060-72-0594</t>
  </si>
  <si>
    <t>107-52-4717</t>
  </si>
  <si>
    <t>073-70-8903</t>
  </si>
  <si>
    <t>020-80-1491</t>
  </si>
  <si>
    <t>099-48-2014</t>
  </si>
  <si>
    <t>062-42-9369</t>
  </si>
  <si>
    <t>172-82-4405</t>
  </si>
  <si>
    <t>096-36-5787</t>
  </si>
  <si>
    <t>098-74-4142</t>
  </si>
  <si>
    <t>154-80-2575</t>
  </si>
  <si>
    <t>094-70-1591</t>
  </si>
  <si>
    <t>055-62-4678</t>
  </si>
  <si>
    <t>064-90-2899</t>
  </si>
  <si>
    <t>061-68-9863</t>
  </si>
  <si>
    <t>069-62-5924</t>
  </si>
  <si>
    <t>113-66-7844</t>
  </si>
  <si>
    <t>112-76-3848</t>
  </si>
  <si>
    <t>052-86-8711</t>
  </si>
  <si>
    <t>464-06-7500</t>
  </si>
  <si>
    <t>101-64-7559</t>
  </si>
  <si>
    <t>041-80-2934</t>
  </si>
  <si>
    <t>000-00-9100</t>
  </si>
  <si>
    <t>125-60-0532</t>
  </si>
  <si>
    <t>087-96-7767</t>
  </si>
  <si>
    <t>115-76-4451</t>
  </si>
  <si>
    <t>111-46-5927</t>
  </si>
  <si>
    <t>000-00-1756</t>
  </si>
  <si>
    <t>243-19-2394</t>
  </si>
  <si>
    <t>104-58-2438</t>
  </si>
  <si>
    <t>101-60-1073</t>
  </si>
  <si>
    <t>088-56-0167</t>
  </si>
  <si>
    <t>066-46-8901</t>
  </si>
  <si>
    <t>000-00-8409</t>
  </si>
  <si>
    <t>107-64-2417</t>
  </si>
  <si>
    <t>101-56-4050</t>
  </si>
  <si>
    <t>329-87-2854</t>
  </si>
  <si>
    <t>841-57-9603</t>
  </si>
  <si>
    <t>134-62-2040</t>
  </si>
  <si>
    <t>133-86-7294</t>
  </si>
  <si>
    <t>082-40-4028</t>
  </si>
  <si>
    <t>070-56-8409</t>
  </si>
  <si>
    <t>098-76-6780</t>
  </si>
  <si>
    <t>120-68-9025</t>
  </si>
  <si>
    <t>128-74-9166</t>
  </si>
  <si>
    <t>827-62-9039</t>
  </si>
  <si>
    <t>129-48-5652</t>
  </si>
  <si>
    <t>110-92-6372</t>
  </si>
  <si>
    <t>071-72-7903</t>
  </si>
  <si>
    <t>121-74-4306</t>
  </si>
  <si>
    <t>144-82-3001</t>
  </si>
  <si>
    <t>051-56-9654</t>
  </si>
  <si>
    <t>114-58-9349</t>
  </si>
  <si>
    <t>116-76-8350</t>
  </si>
  <si>
    <t>084-22-7928</t>
  </si>
  <si>
    <t>131-96-4137</t>
  </si>
  <si>
    <t>090-52-2560</t>
  </si>
  <si>
    <t>078-74-8813</t>
  </si>
  <si>
    <t>061-58-7517</t>
  </si>
  <si>
    <t>131-72-1105</t>
  </si>
  <si>
    <t>428-15-3085</t>
  </si>
  <si>
    <t>090-98-9310</t>
  </si>
  <si>
    <t>076-96-1052</t>
  </si>
  <si>
    <t>051-62-2602</t>
  </si>
  <si>
    <t>118-46-8342</t>
  </si>
  <si>
    <t>080-72-1278</t>
  </si>
  <si>
    <t>087-64-1656</t>
  </si>
  <si>
    <t>134-60-5523</t>
  </si>
  <si>
    <t>111-96-2852</t>
  </si>
  <si>
    <t>057-02-6578</t>
  </si>
  <si>
    <t>076-66-6761</t>
  </si>
  <si>
    <t>000-00-9117</t>
  </si>
  <si>
    <t>053-68-9983</t>
  </si>
  <si>
    <t>133-70-7704</t>
  </si>
  <si>
    <t>075-78-3925</t>
  </si>
  <si>
    <t>582-63-7243</t>
  </si>
  <si>
    <t>172-78-0267</t>
  </si>
  <si>
    <t>596-76-3255</t>
  </si>
  <si>
    <t>056-96-8290</t>
  </si>
  <si>
    <t>156-92-2312</t>
  </si>
  <si>
    <t>060-80-3632</t>
  </si>
  <si>
    <t>095-72-8027</t>
  </si>
  <si>
    <t>087-62-6166</t>
  </si>
  <si>
    <t>082-76-0791</t>
  </si>
  <si>
    <t>091-80-1052</t>
  </si>
  <si>
    <t>052-72-7238</t>
  </si>
  <si>
    <t>581-95-3012</t>
  </si>
  <si>
    <t>048-04-6442</t>
  </si>
  <si>
    <t>089-68-7640</t>
  </si>
  <si>
    <t>125-84-1195</t>
  </si>
  <si>
    <t>140-48-8902</t>
  </si>
  <si>
    <t>077-84-3625</t>
  </si>
  <si>
    <t>321-30-1896</t>
  </si>
  <si>
    <t>120-68-7173</t>
  </si>
  <si>
    <t>119-62-4579</t>
  </si>
  <si>
    <t>131-62-8252</t>
  </si>
  <si>
    <t>024-80-0757</t>
  </si>
  <si>
    <t>120-56-9009</t>
  </si>
  <si>
    <t>101-50-6397</t>
  </si>
  <si>
    <t>055-74-9927</t>
  </si>
  <si>
    <t>117-86-0283</t>
  </si>
  <si>
    <t>580-06-7295</t>
  </si>
  <si>
    <t>105-56-5019</t>
  </si>
  <si>
    <t>062-84-0490</t>
  </si>
  <si>
    <t>087-68-7766</t>
  </si>
  <si>
    <t>113-52-3033</t>
  </si>
  <si>
    <t>116-56-4454</t>
  </si>
  <si>
    <t>103-80-6069</t>
  </si>
  <si>
    <t>075-76-5147</t>
  </si>
  <si>
    <t>596-32-1295</t>
  </si>
  <si>
    <t>136-62-6823</t>
  </si>
  <si>
    <t>099-80-1985</t>
  </si>
  <si>
    <t>083-54-2573</t>
  </si>
  <si>
    <t>077-78-0834</t>
  </si>
  <si>
    <t>109-66-8773</t>
  </si>
  <si>
    <t>737-96-5212</t>
  </si>
  <si>
    <t>098-50-1334</t>
  </si>
  <si>
    <t>627-70-9814</t>
  </si>
  <si>
    <t>583-26-3918</t>
  </si>
  <si>
    <t>070-48-5014</t>
  </si>
  <si>
    <t>067-64-4220</t>
  </si>
  <si>
    <t>061-46-2991</t>
  </si>
  <si>
    <t>060-62-8618</t>
  </si>
  <si>
    <t>093-78-2756</t>
  </si>
  <si>
    <t>137-51-8133</t>
  </si>
  <si>
    <t>096-58-9214</t>
  </si>
  <si>
    <t>584-23-3367</t>
  </si>
  <si>
    <t>073-70-5621</t>
  </si>
  <si>
    <t>068-80-6917</t>
  </si>
  <si>
    <t>583-67-3758</t>
  </si>
  <si>
    <t>582-95-4425</t>
  </si>
  <si>
    <t>079-68-4477</t>
  </si>
  <si>
    <t>599-74-3344</t>
  </si>
  <si>
    <t>091-70-2099</t>
  </si>
  <si>
    <t>830-97-2522</t>
  </si>
  <si>
    <t>583-81-8418</t>
  </si>
  <si>
    <t>081-56-2683</t>
  </si>
  <si>
    <t>584-69-2193</t>
  </si>
  <si>
    <t>076-50-1399</t>
  </si>
  <si>
    <t>083-88-7827</t>
  </si>
  <si>
    <t>244-73-2508</t>
  </si>
  <si>
    <t>098-46-9057</t>
  </si>
  <si>
    <t>066-64-0282</t>
  </si>
  <si>
    <t>069-80-7288</t>
  </si>
  <si>
    <t>596-28-4158</t>
  </si>
  <si>
    <t>084-42-7014</t>
  </si>
  <si>
    <t>065-58-0005</t>
  </si>
  <si>
    <t>095-92-1128</t>
  </si>
  <si>
    <t>348-94-1710</t>
  </si>
  <si>
    <t>056-66-1761</t>
  </si>
  <si>
    <t>029-40-9787</t>
  </si>
  <si>
    <t>097-78-9657</t>
  </si>
  <si>
    <t>093-76-7899</t>
  </si>
  <si>
    <t>137-58-6011</t>
  </si>
  <si>
    <t>058-62-1182</t>
  </si>
  <si>
    <t>113-66-1863</t>
  </si>
  <si>
    <t>095-52-7782</t>
  </si>
  <si>
    <t>117-76-1231</t>
  </si>
  <si>
    <t>099-64-9076</t>
  </si>
  <si>
    <t>256-76-5591</t>
  </si>
  <si>
    <t>105-86-2222</t>
  </si>
  <si>
    <t>078-64-4052</t>
  </si>
  <si>
    <t>033-44-5749</t>
  </si>
  <si>
    <t>095-58-0275</t>
  </si>
  <si>
    <t>440-75-5645</t>
  </si>
  <si>
    <t>051-62-8145</t>
  </si>
  <si>
    <t>077-62-9141</t>
  </si>
  <si>
    <t>092-90-7640</t>
  </si>
  <si>
    <t>569-14-1254</t>
  </si>
  <si>
    <t>062-62-6788</t>
  </si>
  <si>
    <t>106-88-3860</t>
  </si>
  <si>
    <t>188-58-9353</t>
  </si>
  <si>
    <t>073-80-5904</t>
  </si>
  <si>
    <t>087-70-2615</t>
  </si>
  <si>
    <t>085-36-3437</t>
  </si>
  <si>
    <t>064-60-1863</t>
  </si>
  <si>
    <t>000-00-3635</t>
  </si>
  <si>
    <t>233-25-0747</t>
  </si>
  <si>
    <t>076-88-5323</t>
  </si>
  <si>
    <t>074-86-2303</t>
  </si>
  <si>
    <t>582-39-4360</t>
  </si>
  <si>
    <t>050-60-7882</t>
  </si>
  <si>
    <t>111-46-1778</t>
  </si>
  <si>
    <t>119-60-0696</t>
  </si>
  <si>
    <t>115-90-2770</t>
  </si>
  <si>
    <t>072-34-5890</t>
  </si>
  <si>
    <t>078-76-3875</t>
  </si>
  <si>
    <t>113-42-2895</t>
  </si>
  <si>
    <t>130-40-2357</t>
  </si>
  <si>
    <t>065-58-8501</t>
  </si>
  <si>
    <t>091-56-0275</t>
  </si>
  <si>
    <t>251-35-7106</t>
  </si>
  <si>
    <t>051-86-5270</t>
  </si>
  <si>
    <t>429-57-1424</t>
  </si>
  <si>
    <t>111-68-3683</t>
  </si>
  <si>
    <t>069-70-9635</t>
  </si>
  <si>
    <t>127-88-1118</t>
  </si>
  <si>
    <t>096-46-4847</t>
  </si>
  <si>
    <t>131-68-5951</t>
  </si>
  <si>
    <t>229-69-6357</t>
  </si>
  <si>
    <t>040-70-2554</t>
  </si>
  <si>
    <t>071-90-0719</t>
  </si>
  <si>
    <t>065-80-5727</t>
  </si>
  <si>
    <t>097-54-6763</t>
  </si>
  <si>
    <t>102-94-6934</t>
  </si>
  <si>
    <t>456-63-9544</t>
  </si>
  <si>
    <t>080-92-4936</t>
  </si>
  <si>
    <t>128-66-5771</t>
  </si>
  <si>
    <t>091-42-5993</t>
  </si>
  <si>
    <t>595-18-6264</t>
  </si>
  <si>
    <t>130-36-6689</t>
  </si>
  <si>
    <t>094-34-3967</t>
  </si>
  <si>
    <t>000-00-6498</t>
  </si>
  <si>
    <t>375-86-3159</t>
  </si>
  <si>
    <t>101-66-7749</t>
  </si>
  <si>
    <t>051-72-7601</t>
  </si>
  <si>
    <t>119-84-0064</t>
  </si>
  <si>
    <t>116-56-8207</t>
  </si>
  <si>
    <t>767-20-2777</t>
  </si>
  <si>
    <t>221-70-5085</t>
  </si>
  <si>
    <t>093-02-1958</t>
  </si>
  <si>
    <t>106-40-7146</t>
  </si>
  <si>
    <t>111-60-4659</t>
  </si>
  <si>
    <t>116-70-4812</t>
  </si>
  <si>
    <t>104-78-7593</t>
  </si>
  <si>
    <t>086-80-6420</t>
  </si>
  <si>
    <t>119-56-9349</t>
  </si>
  <si>
    <t>067-62-1665</t>
  </si>
  <si>
    <t>122-74-6046</t>
  </si>
  <si>
    <t>102-56-8683</t>
  </si>
  <si>
    <t>094-58-3478</t>
  </si>
  <si>
    <t>119-64-5961</t>
  </si>
  <si>
    <t>126-46-8771</t>
  </si>
  <si>
    <t>109-74-6331</t>
  </si>
  <si>
    <t>116-70-4841</t>
  </si>
  <si>
    <t>062-66-3461</t>
  </si>
  <si>
    <t>112-82-7206</t>
  </si>
  <si>
    <t>109-88-7827</t>
  </si>
  <si>
    <t>067-86-0285</t>
  </si>
  <si>
    <t>115-80-1282</t>
  </si>
  <si>
    <t>214-25-7072</t>
  </si>
  <si>
    <t>057-48-1599</t>
  </si>
  <si>
    <t>092-74-5206</t>
  </si>
  <si>
    <t>087-46-4981</t>
  </si>
  <si>
    <t>765-31-8748</t>
  </si>
  <si>
    <t>064-58-6145</t>
  </si>
  <si>
    <t>087-68-4903</t>
  </si>
  <si>
    <t>100-80-6609</t>
  </si>
  <si>
    <t>058-82-8103</t>
  </si>
  <si>
    <t>059-60-1312</t>
  </si>
  <si>
    <t>064-58-7548</t>
  </si>
  <si>
    <t>128-86-2508</t>
  </si>
  <si>
    <t>000-00-2739</t>
  </si>
  <si>
    <t>515-82-1764</t>
  </si>
  <si>
    <t>000-00-6217</t>
  </si>
  <si>
    <t>063-74-1113</t>
  </si>
  <si>
    <t>117-92-3431</t>
  </si>
  <si>
    <t>849-02-4803</t>
  </si>
  <si>
    <t>057-60-0794</t>
  </si>
  <si>
    <t>060-56-1373</t>
  </si>
  <si>
    <t>057-78-3042</t>
  </si>
  <si>
    <t>133-70-1977</t>
  </si>
  <si>
    <t>068-58-0612</t>
  </si>
  <si>
    <t>057-62-1928</t>
  </si>
  <si>
    <t>598-12-2774</t>
  </si>
  <si>
    <t>000-00-2868</t>
  </si>
  <si>
    <t>105-58-0115</t>
  </si>
  <si>
    <t>552-64-0465</t>
  </si>
  <si>
    <t>063-60-9597</t>
  </si>
  <si>
    <t>060-62-7920</t>
  </si>
  <si>
    <t>134-68-9726</t>
  </si>
  <si>
    <t>114-84-0270</t>
  </si>
  <si>
    <t>000-00-8781</t>
  </si>
  <si>
    <t>052-76-7293</t>
  </si>
  <si>
    <t>079-80-2244</t>
  </si>
  <si>
    <t>116-70-4408</t>
  </si>
  <si>
    <t>086-60-1771</t>
  </si>
  <si>
    <t>362-78-6987</t>
  </si>
  <si>
    <t>122-64-3210</t>
  </si>
  <si>
    <t>101-64-9199</t>
  </si>
  <si>
    <t>065-58-1146</t>
  </si>
  <si>
    <t>455-87-4857</t>
  </si>
  <si>
    <t>102-90-2671</t>
  </si>
  <si>
    <t>094-60-0388</t>
  </si>
  <si>
    <t>067-66-2321</t>
  </si>
  <si>
    <t>019-76-4992</t>
  </si>
  <si>
    <t>058-44-2522</t>
  </si>
  <si>
    <t>100-56-4554</t>
  </si>
  <si>
    <t>581-72-5752</t>
  </si>
  <si>
    <t>052-64-6565</t>
  </si>
  <si>
    <t>125-32-0081</t>
  </si>
  <si>
    <t>000-00-6666</t>
  </si>
  <si>
    <t>083-98-7783</t>
  </si>
  <si>
    <t>111-46-4786</t>
  </si>
  <si>
    <t>255-49-2136</t>
  </si>
  <si>
    <t>074-42-2639</t>
  </si>
  <si>
    <t>582-75-2055</t>
  </si>
  <si>
    <t>078-97-3803</t>
  </si>
  <si>
    <t>261-08-2282</t>
  </si>
  <si>
    <t>085-64-8874</t>
  </si>
  <si>
    <t>081-68-2376</t>
  </si>
  <si>
    <t>107-70-2988</t>
  </si>
  <si>
    <t>131-44-8553</t>
  </si>
  <si>
    <t>053-82-1940</t>
  </si>
  <si>
    <t>583-91-7855</t>
  </si>
  <si>
    <t>056-44-7197</t>
  </si>
  <si>
    <t>068-92-2278</t>
  </si>
  <si>
    <t>234-39-1711</t>
  </si>
  <si>
    <t>000-00-5938</t>
  </si>
  <si>
    <t>153-44-1190</t>
  </si>
  <si>
    <t>062-86-1797</t>
  </si>
  <si>
    <t>120-70-7955</t>
  </si>
  <si>
    <t>231-45-1583</t>
  </si>
  <si>
    <t>130-36-7286</t>
  </si>
  <si>
    <t>114-36-9163</t>
  </si>
  <si>
    <t>094-64-3289</t>
  </si>
  <si>
    <t>086-90-8097</t>
  </si>
  <si>
    <t>095-74-5808</t>
  </si>
  <si>
    <t>098-78-1446</t>
  </si>
  <si>
    <t>074-82-4746</t>
  </si>
  <si>
    <t>076-60-9380</t>
  </si>
  <si>
    <t>092-66-0388</t>
  </si>
  <si>
    <t>174-66-4928</t>
  </si>
  <si>
    <t>614-50-5948</t>
  </si>
  <si>
    <t>079-68-6666</t>
  </si>
  <si>
    <t>584-75-9061</t>
  </si>
  <si>
    <t>012-72-5438</t>
  </si>
  <si>
    <t>063-58-1981</t>
  </si>
  <si>
    <t>084-70-0271</t>
  </si>
  <si>
    <t>098-36-7732</t>
  </si>
  <si>
    <t>121-82-1201</t>
  </si>
  <si>
    <t>065-54-0053</t>
  </si>
  <si>
    <t>068-64-8594</t>
  </si>
  <si>
    <t>081-60-0558</t>
  </si>
  <si>
    <t>069-02-1267</t>
  </si>
  <si>
    <t>079-72-8937</t>
  </si>
  <si>
    <t>092-98-2885</t>
  </si>
  <si>
    <t>000-00-5992</t>
  </si>
  <si>
    <t>131-44-6941</t>
  </si>
  <si>
    <t>067-64-6380</t>
  </si>
  <si>
    <t>051-60-1500</t>
  </si>
  <si>
    <t>110-90-6388</t>
  </si>
  <si>
    <t>121-80-6772</t>
  </si>
  <si>
    <t>095-76-6486</t>
  </si>
  <si>
    <t>056-80-1339</t>
  </si>
  <si>
    <t>085-70-3876</t>
  </si>
  <si>
    <t>073-50-5837</t>
  </si>
  <si>
    <t>075-70-5765</t>
  </si>
  <si>
    <t>084-58-6556</t>
  </si>
  <si>
    <t>105-74-8622</t>
  </si>
  <si>
    <t>085-58-7767</t>
  </si>
  <si>
    <t>132-84-9661</t>
  </si>
  <si>
    <t>100-64-0198</t>
  </si>
  <si>
    <t>128-66-0928</t>
  </si>
  <si>
    <t>094-46-0922</t>
  </si>
  <si>
    <t>104-76-3368</t>
  </si>
  <si>
    <t>207-33-7030</t>
  </si>
  <si>
    <t>080-82-7025</t>
  </si>
  <si>
    <t>117-62-2718</t>
  </si>
  <si>
    <t>131-66-0724</t>
  </si>
  <si>
    <t>086-78-7242</t>
  </si>
  <si>
    <t>123-60-4588</t>
  </si>
  <si>
    <t>063-46-2692</t>
  </si>
  <si>
    <t>058-50-2701</t>
  </si>
  <si>
    <t>048-68-6512</t>
  </si>
  <si>
    <t>282-91-2077</t>
  </si>
  <si>
    <t>115-68-0000</t>
  </si>
  <si>
    <t>096-02-6811</t>
  </si>
  <si>
    <t>050-38-7202</t>
  </si>
  <si>
    <t>073-56-9126</t>
  </si>
  <si>
    <t>105-58-3467</t>
  </si>
  <si>
    <t>104-46-2161</t>
  </si>
  <si>
    <t>583-30-1940</t>
  </si>
  <si>
    <t>054-84-7515</t>
  </si>
  <si>
    <t>082-36-2992</t>
  </si>
  <si>
    <t>050-66-9164</t>
  </si>
  <si>
    <t>127-64-8951</t>
  </si>
  <si>
    <t>125-82-8188</t>
  </si>
  <si>
    <t>099-44-8468</t>
  </si>
  <si>
    <t>106-60-3378</t>
  </si>
  <si>
    <t>085-44-9544</t>
  </si>
  <si>
    <t>110-58-3027</t>
  </si>
  <si>
    <t>135-62-8635</t>
  </si>
  <si>
    <t>251-13-5948</t>
  </si>
  <si>
    <t>111-32-5189</t>
  </si>
  <si>
    <t>078-76-7281</t>
  </si>
  <si>
    <t>099-84-0599</t>
  </si>
  <si>
    <t>146-60-3145</t>
  </si>
  <si>
    <t>084-02-3810</t>
  </si>
  <si>
    <t>097-56-7313</t>
  </si>
  <si>
    <t>118-46-4556</t>
  </si>
  <si>
    <t>113-64-6787</t>
  </si>
  <si>
    <t>057-66-1060</t>
  </si>
  <si>
    <t>057-60-0938</t>
  </si>
  <si>
    <t>050-58-3266</t>
  </si>
  <si>
    <t>076-48-5570</t>
  </si>
  <si>
    <t>121-60-0964</t>
  </si>
  <si>
    <t>075-58-6691</t>
  </si>
  <si>
    <t>746-66-6569</t>
  </si>
  <si>
    <t>593-96-7088</t>
  </si>
  <si>
    <t>725-62-4411</t>
  </si>
  <si>
    <t>111-66-8891</t>
  </si>
  <si>
    <t>045-42-2933</t>
  </si>
  <si>
    <t>096-56-3621</t>
  </si>
  <si>
    <t>119-48-4583</t>
  </si>
  <si>
    <t>051-72-6086</t>
  </si>
  <si>
    <t>843-70-0940</t>
  </si>
  <si>
    <t>071-76-9594</t>
  </si>
  <si>
    <t>073-58-8577</t>
  </si>
  <si>
    <t>131-88-9471</t>
  </si>
  <si>
    <t>134-80-7837</t>
  </si>
  <si>
    <t>048-62-8750</t>
  </si>
  <si>
    <t>058-44-6232</t>
  </si>
  <si>
    <t>121-60-0864</t>
  </si>
  <si>
    <t>534-17-8320</t>
  </si>
  <si>
    <t>064-78-8745</t>
  </si>
  <si>
    <t>589-96-3660</t>
  </si>
  <si>
    <t>584-65-7584</t>
  </si>
  <si>
    <t>419-98-1450</t>
  </si>
  <si>
    <t>000-00-8676</t>
  </si>
  <si>
    <t>100-74-6024</t>
  </si>
  <si>
    <t>100-94-8416</t>
  </si>
  <si>
    <t>297-52-0072</t>
  </si>
  <si>
    <t>116-54-8392</t>
  </si>
  <si>
    <t>121-72-0554</t>
  </si>
  <si>
    <t>428-66-0813</t>
  </si>
  <si>
    <t>108-48-9505</t>
  </si>
  <si>
    <t>081-98-7155</t>
  </si>
  <si>
    <t>050-72-3686</t>
  </si>
  <si>
    <t>090-50-2380</t>
  </si>
  <si>
    <t>068-74-5865</t>
  </si>
  <si>
    <t>088-52-6336</t>
  </si>
  <si>
    <t>071-58-6091</t>
  </si>
  <si>
    <t>730-05-6088</t>
  </si>
  <si>
    <t>582-96-6965</t>
  </si>
  <si>
    <t>143-60-5988</t>
  </si>
  <si>
    <t>053-66-1268</t>
  </si>
  <si>
    <t>082-64-0514</t>
  </si>
  <si>
    <t>064-70-5891</t>
  </si>
  <si>
    <t>606-56-0735</t>
  </si>
  <si>
    <t>106-48-1386</t>
  </si>
  <si>
    <t>126-82-0686</t>
  </si>
  <si>
    <t>073-52-6542</t>
  </si>
  <si>
    <t>082-66-1525</t>
  </si>
  <si>
    <t>120-70-7302</t>
  </si>
  <si>
    <t>000-00-7443</t>
  </si>
  <si>
    <t>088-54-1588</t>
  </si>
  <si>
    <t>100-60-9711</t>
  </si>
  <si>
    <t>116-44-9814</t>
  </si>
  <si>
    <t>247-52-3269</t>
  </si>
  <si>
    <t>595-43-4951</t>
  </si>
  <si>
    <t>062-76-6340</t>
  </si>
  <si>
    <t>582-56-8229</t>
  </si>
  <si>
    <t>106-78-7055</t>
  </si>
  <si>
    <t>108-44-5815</t>
  </si>
  <si>
    <t>072-70-1794</t>
  </si>
  <si>
    <t>073-86-5344</t>
  </si>
  <si>
    <t>056-68-1309</t>
  </si>
  <si>
    <t>742-22-5544</t>
  </si>
  <si>
    <t>250-21-2539</t>
  </si>
  <si>
    <t>103-92-3588</t>
  </si>
  <si>
    <t>065-50-8463</t>
  </si>
  <si>
    <t>121-88-3411</t>
  </si>
  <si>
    <t>595-44-7793</t>
  </si>
  <si>
    <t>108-40-8473</t>
  </si>
  <si>
    <t>087-56-1319</t>
  </si>
  <si>
    <t>071-62-6669</t>
  </si>
  <si>
    <t>083-58-1596</t>
  </si>
  <si>
    <t>121-76-5766</t>
  </si>
  <si>
    <t>074-70-4058</t>
  </si>
  <si>
    <t>074-62-3751</t>
  </si>
  <si>
    <t>051-70-7961</t>
  </si>
  <si>
    <t>731-12-1545</t>
  </si>
  <si>
    <t>063-58-1725</t>
  </si>
  <si>
    <t>079-66-8980</t>
  </si>
  <si>
    <t>233-98-2784</t>
  </si>
  <si>
    <t>131-82-2907</t>
  </si>
  <si>
    <t>122-50-3883</t>
  </si>
  <si>
    <t>084-00-3821</t>
  </si>
  <si>
    <t>080-72-8909</t>
  </si>
  <si>
    <t>096-60-4197</t>
  </si>
  <si>
    <t>068-64-5872</t>
  </si>
  <si>
    <t>091-58-0744</t>
  </si>
  <si>
    <t>103-58-9164</t>
  </si>
  <si>
    <t>050-50-4295</t>
  </si>
  <si>
    <t>066-72-9179</t>
  </si>
  <si>
    <t>053-86-3900</t>
  </si>
  <si>
    <t>539-88-5760</t>
  </si>
  <si>
    <t>083-54-8731</t>
  </si>
  <si>
    <t>102-69-2252</t>
  </si>
  <si>
    <t>112-86-8631</t>
  </si>
  <si>
    <t>124-40-5187</t>
  </si>
  <si>
    <t>060-76-0380</t>
  </si>
  <si>
    <t>474-35-5511</t>
  </si>
  <si>
    <t>106-82-0144</t>
  </si>
  <si>
    <t>078-58-6555</t>
  </si>
  <si>
    <t>091-60-6866</t>
  </si>
  <si>
    <t>070-72-9902</t>
  </si>
  <si>
    <t>772-01-7743</t>
  </si>
  <si>
    <t>109-56-6980</t>
  </si>
  <si>
    <t>243-43-0699</t>
  </si>
  <si>
    <t>103-56-2088</t>
  </si>
  <si>
    <t>158-70-5748</t>
  </si>
  <si>
    <t>113-48-6781</t>
  </si>
  <si>
    <t>559-06-8908</t>
  </si>
  <si>
    <t>116-60-9859</t>
  </si>
  <si>
    <t>133-90-2582</t>
  </si>
  <si>
    <t>123-74-2775</t>
  </si>
  <si>
    <t>051-58-6414</t>
  </si>
  <si>
    <t>082-60-6910</t>
  </si>
  <si>
    <t>051-66-3008</t>
  </si>
  <si>
    <t>016-78-3007</t>
  </si>
  <si>
    <t>397-41-3621</t>
  </si>
  <si>
    <t>102-88-4588</t>
  </si>
  <si>
    <t>098-46-7329</t>
  </si>
  <si>
    <t>731-05-0302</t>
  </si>
  <si>
    <t>107-58-4769</t>
  </si>
  <si>
    <t>064-82-8614</t>
  </si>
  <si>
    <t>099-86-8277</t>
  </si>
  <si>
    <t>068-66-2227</t>
  </si>
  <si>
    <t>114-60-0410</t>
  </si>
  <si>
    <t>061-68-0762</t>
  </si>
  <si>
    <t>106-56-2906</t>
  </si>
  <si>
    <t>063-68-8169</t>
  </si>
  <si>
    <t>132-56-6630</t>
  </si>
  <si>
    <t>256-66-2357</t>
  </si>
  <si>
    <t>134-58-0753</t>
  </si>
  <si>
    <t>093-82-5522</t>
  </si>
  <si>
    <t>256-37-0656</t>
  </si>
  <si>
    <t>087-76-3187</t>
  </si>
  <si>
    <t>068-54-2745</t>
  </si>
  <si>
    <t>073-52-5981</t>
  </si>
  <si>
    <t>107-86-5801</t>
  </si>
  <si>
    <t>051-86-2566</t>
  </si>
  <si>
    <t>099-68-2305</t>
  </si>
  <si>
    <t>108-52-1632</t>
  </si>
  <si>
    <t>081-46-6128</t>
  </si>
  <si>
    <t>134-56-0842</t>
  </si>
  <si>
    <t>077-88-4499</t>
  </si>
  <si>
    <t>120-66-4013</t>
  </si>
  <si>
    <t>087-74-2051</t>
  </si>
  <si>
    <t>083-56-3795</t>
  </si>
  <si>
    <t>066-50-7724</t>
  </si>
  <si>
    <t>085-98-2513</t>
  </si>
  <si>
    <t>098-86-3735</t>
  </si>
  <si>
    <t>115-56-4433</t>
  </si>
  <si>
    <t>253-96-7368</t>
  </si>
  <si>
    <t>130-60-7351</t>
  </si>
  <si>
    <t>091-54-3687</t>
  </si>
  <si>
    <t>106-76-3294</t>
  </si>
  <si>
    <t>073-72-5473</t>
  </si>
  <si>
    <t>060-36-5140</t>
  </si>
  <si>
    <t>514-78-4556</t>
  </si>
  <si>
    <t>122-68-5480</t>
  </si>
  <si>
    <t>063-58-5850</t>
  </si>
  <si>
    <t>050-66-3289</t>
  </si>
  <si>
    <t>085-50-1849</t>
  </si>
  <si>
    <t>056-64-3902</t>
  </si>
  <si>
    <t>112-62-8145</t>
  </si>
  <si>
    <t>115-56-9932</t>
  </si>
  <si>
    <t>112-86-8260</t>
  </si>
  <si>
    <t>110-74-2219</t>
  </si>
  <si>
    <t>070-52-2476</t>
  </si>
  <si>
    <t>111-60-9031</t>
  </si>
  <si>
    <t>069-56-1544</t>
  </si>
  <si>
    <t>143-80-4223</t>
  </si>
  <si>
    <t>086-64-3652</t>
  </si>
  <si>
    <t>485-17-2053</t>
  </si>
  <si>
    <t>101-60-8108</t>
  </si>
  <si>
    <t>087-34-2437</t>
  </si>
  <si>
    <t>105-56-4611</t>
  </si>
  <si>
    <t>101-50-9018</t>
  </si>
  <si>
    <t>148-21-1773</t>
  </si>
  <si>
    <t>101-72-4716</t>
  </si>
  <si>
    <t>098-88-9680</t>
  </si>
  <si>
    <t>097-52-2597</t>
  </si>
  <si>
    <t>079-66-9068</t>
  </si>
  <si>
    <t>117-82-1022</t>
  </si>
  <si>
    <t>092-38-9626</t>
  </si>
  <si>
    <t>126-68-6687</t>
  </si>
  <si>
    <t>062-54-3745</t>
  </si>
  <si>
    <t>124-44-8738</t>
  </si>
  <si>
    <t>129-64-2047</t>
  </si>
  <si>
    <t>091-64-9908</t>
  </si>
  <si>
    <t>101-64-7513</t>
  </si>
  <si>
    <t>067-76-7736</t>
  </si>
  <si>
    <t>081-68-8476</t>
  </si>
  <si>
    <t>065-76-8200</t>
  </si>
  <si>
    <t>061-88-1092</t>
  </si>
  <si>
    <t>038-75-9646</t>
  </si>
  <si>
    <t>055-96-2361</t>
  </si>
  <si>
    <t>134-60-9865</t>
  </si>
  <si>
    <t>000-00-0194</t>
  </si>
  <si>
    <t>113-48-2528</t>
  </si>
  <si>
    <t>128-84-1384</t>
  </si>
  <si>
    <t>541-29-3269</t>
  </si>
  <si>
    <t>595-89-3150</t>
  </si>
  <si>
    <t>590-52-6713</t>
  </si>
  <si>
    <t>092-76-9844</t>
  </si>
  <si>
    <t>141-84-5048</t>
  </si>
  <si>
    <t>353-86-7413</t>
  </si>
  <si>
    <t>071-64-5267</t>
  </si>
  <si>
    <t>866-91-7307</t>
  </si>
  <si>
    <t>120-78-7792</t>
  </si>
  <si>
    <t>107-80-9996</t>
  </si>
  <si>
    <t>121-54-1862</t>
  </si>
  <si>
    <t>000-00-3720</t>
  </si>
  <si>
    <t>112-90-7467</t>
  </si>
  <si>
    <t>098-58-0308</t>
  </si>
  <si>
    <t>108-60-3669</t>
  </si>
  <si>
    <t>065-74-3412</t>
  </si>
  <si>
    <t>577-90-8781</t>
  </si>
  <si>
    <t>081-46-9956</t>
  </si>
  <si>
    <t>056-78-4728</t>
  </si>
  <si>
    <t>047-54-4214</t>
  </si>
  <si>
    <t>066-86-7935</t>
  </si>
  <si>
    <t>766-38-7253</t>
  </si>
  <si>
    <t>594-18-9588</t>
  </si>
  <si>
    <t>134-64-5979</t>
  </si>
  <si>
    <t>078-32-4351</t>
  </si>
  <si>
    <t>610-42-4988</t>
  </si>
  <si>
    <t>560-41-9648</t>
  </si>
  <si>
    <t>102-76-7155</t>
  </si>
  <si>
    <t>064-82-5057</t>
  </si>
  <si>
    <t>084-80-2334</t>
  </si>
  <si>
    <t>062-58-8933</t>
  </si>
  <si>
    <t>000-00-7706</t>
  </si>
  <si>
    <t>636-42-0995</t>
  </si>
  <si>
    <t>102-68-1505</t>
  </si>
  <si>
    <t>103-70-6586</t>
  </si>
  <si>
    <t>109-60-4558</t>
  </si>
  <si>
    <t>116-44-7987</t>
  </si>
  <si>
    <t>210-50-8770</t>
  </si>
  <si>
    <t>054-82-1812</t>
  </si>
  <si>
    <t>098-70-2067</t>
  </si>
  <si>
    <t>147-55-5616</t>
  </si>
  <si>
    <t>053-54-7371</t>
  </si>
  <si>
    <t>122-42-4210</t>
  </si>
  <si>
    <t>589-77-6020</t>
  </si>
  <si>
    <t>062-66-2678</t>
  </si>
  <si>
    <t>092-90-7224</t>
  </si>
  <si>
    <t>152-42-5701</t>
  </si>
  <si>
    <t>116-70-2968</t>
  </si>
  <si>
    <t>122-58-9419</t>
  </si>
  <si>
    <t>256-76-5626</t>
  </si>
  <si>
    <t>108-26-4377</t>
  </si>
  <si>
    <t>090-44-9186</t>
  </si>
  <si>
    <t>656-83-4764</t>
  </si>
  <si>
    <t>059-66-9223</t>
  </si>
  <si>
    <t>071-78-9698</t>
  </si>
  <si>
    <t>584-10-6024</t>
  </si>
  <si>
    <t>583-92-5625</t>
  </si>
  <si>
    <t>091-92-1836</t>
  </si>
  <si>
    <t>042-86-8509</t>
  </si>
  <si>
    <t>123-70-5702</t>
  </si>
  <si>
    <t>111-60-7303</t>
  </si>
  <si>
    <t>085-64-7147</t>
  </si>
  <si>
    <t>099-52-7176</t>
  </si>
  <si>
    <t>665-93-1570</t>
  </si>
  <si>
    <t>055-84-1803</t>
  </si>
  <si>
    <t>068-68-3101</t>
  </si>
  <si>
    <t>101-82-7699</t>
  </si>
  <si>
    <t>073-90-7325</t>
  </si>
  <si>
    <t>121-64-2345</t>
  </si>
  <si>
    <t>117-58-5111</t>
  </si>
  <si>
    <t>072-92-2020</t>
  </si>
  <si>
    <t>088-72-6635</t>
  </si>
  <si>
    <t>060-96-5775</t>
  </si>
  <si>
    <t>133-78-7639</t>
  </si>
  <si>
    <t>120-75-3614</t>
  </si>
  <si>
    <t>110-62-9132</t>
  </si>
  <si>
    <t>065-44-7569</t>
  </si>
  <si>
    <t>127-90-5221</t>
  </si>
  <si>
    <t>063-82-5458</t>
  </si>
  <si>
    <t>103-44-6606</t>
  </si>
  <si>
    <t>102-96-2766</t>
  </si>
  <si>
    <t>582-29-4623</t>
  </si>
  <si>
    <t>115-62-4779</t>
  </si>
  <si>
    <t>111-64-6178</t>
  </si>
  <si>
    <t>085-64-2240</t>
  </si>
  <si>
    <t>082-76-5847</t>
  </si>
  <si>
    <t>104-56-3928</t>
  </si>
  <si>
    <t>101-62-0089</t>
  </si>
  <si>
    <t>065-78-4122</t>
  </si>
  <si>
    <t>113-72-7059</t>
  </si>
  <si>
    <t>093-82-5934</t>
  </si>
  <si>
    <t>127-54-4559</t>
  </si>
  <si>
    <t>075-70-4864</t>
  </si>
  <si>
    <t>127-78-9249</t>
  </si>
  <si>
    <t>260-11-0246</t>
  </si>
  <si>
    <t>085-66-3171</t>
  </si>
  <si>
    <t>119-74-9082</t>
  </si>
  <si>
    <t>119-48-4412</t>
  </si>
  <si>
    <t>119-72-5590</t>
  </si>
  <si>
    <t>055-76-9352</t>
  </si>
  <si>
    <t>731-03-7553</t>
  </si>
  <si>
    <t>083-58-9405</t>
  </si>
  <si>
    <t>549-65-2208</t>
  </si>
  <si>
    <t>059-76-9991</t>
  </si>
  <si>
    <t>052-66-1896</t>
  </si>
  <si>
    <t>103-58-7879</t>
  </si>
  <si>
    <t>078-88-1400</t>
  </si>
  <si>
    <t>075-78-2779</t>
  </si>
  <si>
    <t>119-44-8265</t>
  </si>
  <si>
    <t>074-62-1640</t>
  </si>
  <si>
    <t>088-94-9519</t>
  </si>
  <si>
    <t>056-96-3413</t>
  </si>
  <si>
    <t>119-46-5682</t>
  </si>
  <si>
    <t>133-80-1949</t>
  </si>
  <si>
    <t>084-80-8534</t>
  </si>
  <si>
    <t>249-44-7872</t>
  </si>
  <si>
    <t>091-02-4881</t>
  </si>
  <si>
    <t>130-62-6797</t>
  </si>
  <si>
    <t>094-44-7776</t>
  </si>
  <si>
    <t>110-74-6451</t>
  </si>
  <si>
    <t>583-37-6050</t>
  </si>
  <si>
    <t>123-98-2470</t>
  </si>
  <si>
    <t>078-68-1579</t>
  </si>
  <si>
    <t>341-67-6438</t>
  </si>
  <si>
    <t>131-94-2564</t>
  </si>
  <si>
    <t>254-83-0071</t>
  </si>
  <si>
    <t>129-56-0887</t>
  </si>
  <si>
    <t>144-62-2559</t>
  </si>
  <si>
    <t>051-84-3697</t>
  </si>
  <si>
    <t>118-64-2672</t>
  </si>
  <si>
    <t>104-58-1120</t>
  </si>
  <si>
    <t>133-86-7385</t>
  </si>
  <si>
    <t>103-44-4032</t>
  </si>
  <si>
    <t>114-66-6461</t>
  </si>
  <si>
    <t>138-94-0078</t>
  </si>
  <si>
    <t>644-78-3773</t>
  </si>
  <si>
    <t>112-84-9604</t>
  </si>
  <si>
    <t>166-46-1092</t>
  </si>
  <si>
    <t>814-97-2688</t>
  </si>
  <si>
    <t>106-54-2507</t>
  </si>
  <si>
    <t>644-16-5312</t>
  </si>
  <si>
    <t>247-19-3735</t>
  </si>
  <si>
    <t>000-00-6323</t>
  </si>
  <si>
    <t>591-96-7940</t>
  </si>
  <si>
    <t>130-66-2444</t>
  </si>
  <si>
    <t>114-56-5497</t>
  </si>
  <si>
    <t>598-03-8705</t>
  </si>
  <si>
    <t>073-68-9517</t>
  </si>
  <si>
    <t>583-27-2016</t>
  </si>
  <si>
    <t>132-46-7691</t>
  </si>
  <si>
    <t>067-78-2536</t>
  </si>
  <si>
    <t>873-02-0445</t>
  </si>
  <si>
    <t>581-06-6905</t>
  </si>
  <si>
    <t>095-48-1950</t>
  </si>
  <si>
    <t>066-26-0050</t>
  </si>
  <si>
    <t>248-86-3572</t>
  </si>
  <si>
    <t>239-64-3026</t>
  </si>
  <si>
    <t>100-82-7719</t>
  </si>
  <si>
    <t>077-50-9747</t>
  </si>
  <si>
    <t>580-31-6801</t>
  </si>
  <si>
    <t>076-82-6777</t>
  </si>
  <si>
    <t>054-40-6814</t>
  </si>
  <si>
    <t>123-60-1188</t>
  </si>
  <si>
    <t>295-50-6668</t>
  </si>
  <si>
    <t>091-80-1098</t>
  </si>
  <si>
    <t>072-58-6177</t>
  </si>
  <si>
    <t>080-60-8446</t>
  </si>
  <si>
    <t>054-84-7747</t>
  </si>
  <si>
    <t>131-58-5999</t>
  </si>
  <si>
    <t>058-92-1674</t>
  </si>
  <si>
    <t>063-68-3629</t>
  </si>
  <si>
    <t>062-74-4360</t>
  </si>
  <si>
    <t>070-64-0613</t>
  </si>
  <si>
    <t>349-69-0608</t>
  </si>
  <si>
    <t>054-70-2784</t>
  </si>
  <si>
    <t>000-00-1605</t>
  </si>
  <si>
    <t>136-62-5196</t>
  </si>
  <si>
    <t>536-84-6135</t>
  </si>
  <si>
    <t>123-40-1650</t>
  </si>
  <si>
    <t>114-62-7616</t>
  </si>
  <si>
    <t>081-54-5854</t>
  </si>
  <si>
    <t>597-12-0053</t>
  </si>
  <si>
    <t>903-74-8885</t>
  </si>
  <si>
    <t>000-00-3768</t>
  </si>
  <si>
    <t>134-68-4268</t>
  </si>
  <si>
    <t>085-76-7156</t>
  </si>
  <si>
    <t>087-72-5625</t>
  </si>
  <si>
    <t>056-02-0071</t>
  </si>
  <si>
    <t>143-88-0561</t>
  </si>
  <si>
    <t>147-68-2593</t>
  </si>
  <si>
    <t>075-02-2377</t>
  </si>
  <si>
    <t>102-92-5565</t>
  </si>
  <si>
    <t>053-68-0943</t>
  </si>
  <si>
    <t>125-52-1907</t>
  </si>
  <si>
    <t>121-56-6011</t>
  </si>
  <si>
    <t>063-54-4774</t>
  </si>
  <si>
    <t>093-36-8000</t>
  </si>
  <si>
    <t>091-54-9855</t>
  </si>
  <si>
    <t>113-60-7280</t>
  </si>
  <si>
    <t>124-64-3408</t>
  </si>
  <si>
    <t>114-56-6774</t>
  </si>
  <si>
    <t>103-44-5063</t>
  </si>
  <si>
    <t>069-46-9237</t>
  </si>
  <si>
    <t>099-64-7291</t>
  </si>
  <si>
    <t>101-78-9843</t>
  </si>
  <si>
    <t>126-46-9047</t>
  </si>
  <si>
    <t>596-16-6926</t>
  </si>
  <si>
    <t>000-00-4692</t>
  </si>
  <si>
    <t>097-56-3079</t>
  </si>
  <si>
    <t>054-58-4513</t>
  </si>
  <si>
    <t>580-07-7215</t>
  </si>
  <si>
    <t>103-58-7992</t>
  </si>
  <si>
    <t>116-74-0615</t>
  </si>
  <si>
    <t>080-72-1745</t>
  </si>
  <si>
    <t>272-58-5997</t>
  </si>
  <si>
    <t>101-54-9719</t>
  </si>
  <si>
    <t>108-60-0252</t>
  </si>
  <si>
    <t>109-92-2565</t>
  </si>
  <si>
    <t>116-58-4432</t>
  </si>
  <si>
    <t>122-56-0255</t>
  </si>
  <si>
    <t>076-82-2855</t>
  </si>
  <si>
    <t>129-82-4384</t>
  </si>
  <si>
    <t>133-96-7670</t>
  </si>
  <si>
    <t>226-21-6758</t>
  </si>
  <si>
    <t>102-66-2303</t>
  </si>
  <si>
    <t>109-48-2727</t>
  </si>
  <si>
    <t>109-34-1121</t>
  </si>
  <si>
    <t>106-66-6037</t>
  </si>
  <si>
    <t>423-52-3868</t>
  </si>
  <si>
    <t>551-73-0792</t>
  </si>
  <si>
    <t>079-72-7838</t>
  </si>
  <si>
    <t>062-62-7342</t>
  </si>
  <si>
    <t>107-28-5061</t>
  </si>
  <si>
    <t>052-78-6062</t>
  </si>
  <si>
    <t>108-74-1652</t>
  </si>
  <si>
    <t>100-86-0043</t>
  </si>
  <si>
    <t>084-42-4502</t>
  </si>
  <si>
    <t>105-62-4723</t>
  </si>
  <si>
    <t>087-96-3078</t>
  </si>
  <si>
    <t>057-84-7056</t>
  </si>
  <si>
    <t>037-93-3167</t>
  </si>
  <si>
    <t>116-70-9095</t>
  </si>
  <si>
    <t>069-68-8253</t>
  </si>
  <si>
    <t>000-00-1733</t>
  </si>
  <si>
    <t>127-62-8523</t>
  </si>
  <si>
    <t>645-18-5346</t>
  </si>
  <si>
    <t>108-62-7200</t>
  </si>
  <si>
    <t>584-28-9845</t>
  </si>
  <si>
    <t>212-94-0047</t>
  </si>
  <si>
    <t>097-68-5365</t>
  </si>
  <si>
    <t>081-58-8986</t>
  </si>
  <si>
    <t>089-54-1669</t>
  </si>
  <si>
    <t>128-64-6454</t>
  </si>
  <si>
    <t>597-88-1256</t>
  </si>
  <si>
    <t>063-92-5873</t>
  </si>
  <si>
    <t>086-54-2695</t>
  </si>
  <si>
    <t>055-52-8439</t>
  </si>
  <si>
    <t>123-42-4299</t>
  </si>
  <si>
    <t>158-06-2394</t>
  </si>
  <si>
    <t>832-13-1422</t>
  </si>
  <si>
    <t>729-14-8437</t>
  </si>
  <si>
    <t>263-64-7039</t>
  </si>
  <si>
    <t>075-38-5626</t>
  </si>
  <si>
    <t>068-66-8960</t>
  </si>
  <si>
    <t>107-56-8194</t>
  </si>
  <si>
    <t>089-86-2760</t>
  </si>
  <si>
    <t>076-86-6207</t>
  </si>
  <si>
    <t>130-70-8518</t>
  </si>
  <si>
    <t>726-95-5209</t>
  </si>
  <si>
    <t>064-58-1436</t>
  </si>
  <si>
    <t>086-68-7643</t>
  </si>
  <si>
    <t>074-94-5169</t>
  </si>
  <si>
    <t>695-16-8509</t>
  </si>
  <si>
    <t>104-42-5247</t>
  </si>
  <si>
    <t>187-64-5748</t>
  </si>
  <si>
    <t>069-46-5759</t>
  </si>
  <si>
    <t>223-40-7327</t>
  </si>
  <si>
    <t>068-32-1079</t>
  </si>
  <si>
    <t>066-60-0236</t>
  </si>
  <si>
    <t>730-14-7561</t>
  </si>
  <si>
    <t>134-32-4635</t>
  </si>
  <si>
    <t>121-74-5172</t>
  </si>
  <si>
    <t>110-88-5612</t>
  </si>
  <si>
    <t>581-25-2327</t>
  </si>
  <si>
    <t>085-42-7143</t>
  </si>
  <si>
    <t>115-80-6486</t>
  </si>
  <si>
    <t>410-93-2566</t>
  </si>
  <si>
    <t>064-88-6171</t>
  </si>
  <si>
    <t>554-91-6054</t>
  </si>
  <si>
    <t>128-66-9438</t>
  </si>
  <si>
    <t>116-44-5229</t>
  </si>
  <si>
    <t>074-68-4858</t>
  </si>
  <si>
    <t>068-66-3568</t>
  </si>
  <si>
    <t>082-44-3994</t>
  </si>
  <si>
    <t>059-82-3031</t>
  </si>
  <si>
    <t>074-44-6252</t>
  </si>
  <si>
    <t>064-66-5463</t>
  </si>
  <si>
    <t>058-58-4238</t>
  </si>
  <si>
    <t>109-54-1144</t>
  </si>
  <si>
    <t>731-24-9287</t>
  </si>
  <si>
    <t>105-56-5097</t>
  </si>
  <si>
    <t>077-66-5738</t>
  </si>
  <si>
    <t>085-58-9235</t>
  </si>
  <si>
    <t>104-38-4424</t>
  </si>
  <si>
    <t>105-54-5485</t>
  </si>
  <si>
    <t>132-62-0631</t>
  </si>
  <si>
    <t>000-00-8138</t>
  </si>
  <si>
    <t>097-82-1654</t>
  </si>
  <si>
    <t>067-70-2647</t>
  </si>
  <si>
    <t>112-90-6952</t>
  </si>
  <si>
    <t>082-46-6285</t>
  </si>
  <si>
    <t>062-71-1125</t>
  </si>
  <si>
    <t>099-36-3862</t>
  </si>
  <si>
    <t>059-58-9487</t>
  </si>
  <si>
    <t>076-82-3361</t>
  </si>
  <si>
    <t>071-64-2621</t>
  </si>
  <si>
    <t>092-86-7081</t>
  </si>
  <si>
    <t>056-02-0541</t>
  </si>
  <si>
    <t>126-90-6604</t>
  </si>
  <si>
    <t>177-56-1350</t>
  </si>
  <si>
    <t>057-66-1829</t>
  </si>
  <si>
    <t>121-56-9555</t>
  </si>
  <si>
    <t>106-76-4351</t>
  </si>
  <si>
    <t>108-62-2465</t>
  </si>
  <si>
    <t>122-80-0047</t>
  </si>
  <si>
    <t>584-22-2256</t>
  </si>
  <si>
    <t>082-58-9184</t>
  </si>
  <si>
    <t>076-60-2917</t>
  </si>
  <si>
    <t>072-68-3193</t>
  </si>
  <si>
    <t>054-68-2755</t>
  </si>
  <si>
    <t>081-46-6440</t>
  </si>
  <si>
    <t>061-84-3664</t>
  </si>
  <si>
    <t>128-48-2363</t>
  </si>
  <si>
    <t>416-94-1475</t>
  </si>
  <si>
    <t>082-74-9395</t>
  </si>
  <si>
    <t>598-05-6577</t>
  </si>
  <si>
    <t>607-82-8947</t>
  </si>
  <si>
    <t>114-64-5423</t>
  </si>
  <si>
    <t>071-72-9318</t>
  </si>
  <si>
    <t>079-76-5125</t>
  </si>
  <si>
    <t>075-44-2833</t>
  </si>
  <si>
    <t>052-64-2937</t>
  </si>
  <si>
    <t>632-02-9587</t>
  </si>
  <si>
    <t>052-88-0423</t>
  </si>
  <si>
    <t>106-60-1180</t>
  </si>
  <si>
    <t>071-78-4076</t>
  </si>
  <si>
    <t>062-66-9344</t>
  </si>
  <si>
    <t>768-72-0571</t>
  </si>
  <si>
    <t>122-52-6922</t>
  </si>
  <si>
    <t>071-76-4912</t>
  </si>
  <si>
    <t>112-78-9865</t>
  </si>
  <si>
    <t>077-58-6539</t>
  </si>
  <si>
    <t>076-68-3725</t>
  </si>
  <si>
    <t>114-50-5090</t>
  </si>
  <si>
    <t>085-50-5243</t>
  </si>
  <si>
    <t>596-46-6860</t>
  </si>
  <si>
    <t>074-36-2263</t>
  </si>
  <si>
    <t>116-68-0220</t>
  </si>
  <si>
    <t>147-70-9786</t>
  </si>
  <si>
    <t>094-02-4492</t>
  </si>
  <si>
    <t>127-60-0446</t>
  </si>
  <si>
    <t>116-32-2703</t>
  </si>
  <si>
    <t>606-26-3390</t>
  </si>
  <si>
    <t>104-58-3968</t>
  </si>
  <si>
    <t>128-69-5223</t>
  </si>
  <si>
    <t>011-23-8306</t>
  </si>
  <si>
    <t>068-54-3092</t>
  </si>
  <si>
    <t>000-00-9959</t>
  </si>
  <si>
    <t>071-74-5857</t>
  </si>
  <si>
    <t>121-58-0200</t>
  </si>
  <si>
    <t>075-46-4149</t>
  </si>
  <si>
    <t>060-62-0323</t>
  </si>
  <si>
    <t>420-58-9880</t>
  </si>
  <si>
    <t>134-98-0317</t>
  </si>
  <si>
    <t>098-62-8899</t>
  </si>
  <si>
    <t>062-96-9712</t>
  </si>
  <si>
    <t>103-38-2860</t>
  </si>
  <si>
    <t>102-58-6455</t>
  </si>
  <si>
    <t>052-60-3902</t>
  </si>
  <si>
    <t>100-36-2139</t>
  </si>
  <si>
    <t>493-82-1591</t>
  </si>
  <si>
    <t>124-88-2408</t>
  </si>
  <si>
    <t>073-58-0087</t>
  </si>
  <si>
    <t>118-54-2329</t>
  </si>
  <si>
    <t>294-08-6631</t>
  </si>
  <si>
    <t>113-56-0157</t>
  </si>
  <si>
    <t>113-88-5110</t>
  </si>
  <si>
    <t>053-02-7064</t>
  </si>
  <si>
    <t>091-80-9213</t>
  </si>
  <si>
    <t>068-02-8300</t>
  </si>
  <si>
    <t>033-92-8608</t>
  </si>
  <si>
    <t>089-72-2686</t>
  </si>
  <si>
    <t>583-62-3994</t>
  </si>
  <si>
    <t>584-19-6941</t>
  </si>
  <si>
    <t>129-82-7334</t>
  </si>
  <si>
    <t>116-72-8482</t>
  </si>
  <si>
    <t>590-20-6989</t>
  </si>
  <si>
    <t>110-78-6086</t>
  </si>
  <si>
    <t>099-56-8292</t>
  </si>
  <si>
    <t>095-74-2182</t>
  </si>
  <si>
    <t>106-66-9292</t>
  </si>
  <si>
    <t>079-62-4599</t>
  </si>
  <si>
    <t>068-42-0361</t>
  </si>
  <si>
    <t>108-90-2774</t>
  </si>
  <si>
    <t>120-88-7388</t>
  </si>
  <si>
    <t>099-88-2015</t>
  </si>
  <si>
    <t>524-89-6071</t>
  </si>
  <si>
    <t>116-76-4804</t>
  </si>
  <si>
    <t>134-76-4112</t>
  </si>
  <si>
    <t>075-70-0398</t>
  </si>
  <si>
    <t>069-48-2635</t>
  </si>
  <si>
    <t>591-36-5498</t>
  </si>
  <si>
    <t>009-68-8537</t>
  </si>
  <si>
    <t>133-66-1346</t>
  </si>
  <si>
    <t>082-76-1049</t>
  </si>
  <si>
    <t>134-58-1427</t>
  </si>
  <si>
    <t>108-48-9872</t>
  </si>
  <si>
    <t>119-66-4869</t>
  </si>
  <si>
    <t>068-88-0186</t>
  </si>
  <si>
    <t>031-88-1030</t>
  </si>
  <si>
    <t>131-56-1998</t>
  </si>
  <si>
    <t>224-66-6404</t>
  </si>
  <si>
    <t>852-15-4593</t>
  </si>
  <si>
    <t>065-66-9196</t>
  </si>
  <si>
    <t>077-58-1356</t>
  </si>
  <si>
    <t>058-82-6149</t>
  </si>
  <si>
    <t>059-94-2755</t>
  </si>
  <si>
    <t>124-62-7603</t>
  </si>
  <si>
    <t>238-98-8015</t>
  </si>
  <si>
    <t>838-20-2424</t>
  </si>
  <si>
    <t>106-98-3704</t>
  </si>
  <si>
    <t>250-04-3406</t>
  </si>
  <si>
    <t>069-58-7163</t>
  </si>
  <si>
    <t>085-98-0540</t>
  </si>
  <si>
    <t>054-58-5561</t>
  </si>
  <si>
    <t>119-72-0141</t>
  </si>
  <si>
    <t>191-86-5503</t>
  </si>
  <si>
    <t>115-90-3854</t>
  </si>
  <si>
    <t>000-00-2320</t>
  </si>
  <si>
    <t>100-72-4835</t>
  </si>
  <si>
    <t>230-66-6430</t>
  </si>
  <si>
    <t>060-62-9365</t>
  </si>
  <si>
    <t>119-50-6179</t>
  </si>
  <si>
    <t>112-90-9745</t>
  </si>
  <si>
    <t>121-38-2091</t>
  </si>
  <si>
    <t>088-80-0217</t>
  </si>
  <si>
    <t>095-72-1137</t>
  </si>
  <si>
    <t>061-86-2426</t>
  </si>
  <si>
    <t>109-76-5569</t>
  </si>
  <si>
    <t>110-64-1450</t>
  </si>
  <si>
    <t>133-48-4104</t>
  </si>
  <si>
    <t>074-70-0110</t>
  </si>
  <si>
    <t>059-58-8753</t>
  </si>
  <si>
    <t>094-74-5109</t>
  </si>
  <si>
    <t>131-66-2287</t>
  </si>
  <si>
    <t>116-44-1836</t>
  </si>
  <si>
    <t>131-94-9812</t>
  </si>
  <si>
    <t>112-70-1802</t>
  </si>
  <si>
    <t>168-76-2600</t>
  </si>
  <si>
    <t>583-40-6836</t>
  </si>
  <si>
    <t>134-82-7838</t>
  </si>
  <si>
    <t>594-74-4090</t>
  </si>
  <si>
    <t>133-80-7612</t>
  </si>
  <si>
    <t>351-25-1929</t>
  </si>
  <si>
    <t>091-84-8319</t>
  </si>
  <si>
    <t>126-58-7687</t>
  </si>
  <si>
    <t>159-84-7032</t>
  </si>
  <si>
    <t>060-36-3289</t>
  </si>
  <si>
    <t>219-72-8047</t>
  </si>
  <si>
    <t>089-70-5408</t>
  </si>
  <si>
    <t>757-40-6257</t>
  </si>
  <si>
    <t>267-51-8358</t>
  </si>
  <si>
    <t>092-76-8081</t>
  </si>
  <si>
    <t>122-70-4412</t>
  </si>
  <si>
    <t>067-68-0285</t>
  </si>
  <si>
    <t>019-48-7290</t>
  </si>
  <si>
    <t>146-68-3178</t>
  </si>
  <si>
    <t>605-37-6085</t>
  </si>
  <si>
    <t>065-74-1010</t>
  </si>
  <si>
    <t>113-86-3545</t>
  </si>
  <si>
    <t>123-48-6695</t>
  </si>
  <si>
    <t>734-52-8722</t>
  </si>
  <si>
    <t>059-68-4182</t>
  </si>
  <si>
    <t>106-50-1484</t>
  </si>
  <si>
    <t>091-42-3575</t>
  </si>
  <si>
    <t>067-44-4044</t>
  </si>
  <si>
    <t>112-66-6148</t>
  </si>
  <si>
    <t>079-48-5695</t>
  </si>
  <si>
    <t>134-74-6395</t>
  </si>
  <si>
    <t>083-60-0241</t>
  </si>
  <si>
    <t>128-82-1394</t>
  </si>
  <si>
    <t>123-90-0314</t>
  </si>
  <si>
    <t>055-96-2343</t>
  </si>
  <si>
    <t>124-82-5052</t>
  </si>
  <si>
    <t>086-60-9667</t>
  </si>
  <si>
    <t>584-83-3050</t>
  </si>
  <si>
    <t>101-54-6235</t>
  </si>
  <si>
    <t>589-72-5937</t>
  </si>
  <si>
    <t>125-90-1439</t>
  </si>
  <si>
    <t>580-12-6089</t>
  </si>
  <si>
    <t>117-45-4511</t>
  </si>
  <si>
    <t>122-76-9149</t>
  </si>
  <si>
    <t>080-88-2512</t>
  </si>
  <si>
    <t>132-70-8942</t>
  </si>
  <si>
    <t>098-74-5834</t>
  </si>
  <si>
    <t>069-78-6812</t>
  </si>
  <si>
    <t>066-64-0767</t>
  </si>
  <si>
    <t>083-84-6149</t>
  </si>
  <si>
    <t>000-00-2451</t>
  </si>
  <si>
    <t>096-56-7086</t>
  </si>
  <si>
    <t>101-58-8993</t>
  </si>
  <si>
    <t>056-90-2732</t>
  </si>
  <si>
    <t>085-56-0927</t>
  </si>
  <si>
    <t>730-14-5584</t>
  </si>
  <si>
    <t>087-48-1625</t>
  </si>
  <si>
    <t>113-52-0492</t>
  </si>
  <si>
    <t>058-58-5429</t>
  </si>
  <si>
    <t>121-70-6502</t>
  </si>
  <si>
    <t>000-00-0346</t>
  </si>
  <si>
    <t>111-64-7551</t>
  </si>
  <si>
    <t>093-74-0640</t>
  </si>
  <si>
    <t>145-13-2292</t>
  </si>
  <si>
    <t>099-96-3327</t>
  </si>
  <si>
    <t>566-79-1589</t>
  </si>
  <si>
    <t>086-70-8663</t>
  </si>
  <si>
    <t>128-78-6484</t>
  </si>
  <si>
    <t>102-96-1157</t>
  </si>
  <si>
    <t>730-03-4455</t>
  </si>
  <si>
    <t>057-70-8192</t>
  </si>
  <si>
    <t>786-41-0072</t>
  </si>
  <si>
    <t>610-89-0623</t>
  </si>
  <si>
    <t>717-41-1817</t>
  </si>
  <si>
    <t>075-62-1924</t>
  </si>
  <si>
    <t>097-74-2363</t>
  </si>
  <si>
    <t>018-21-8428</t>
  </si>
  <si>
    <t>134-60-7166</t>
  </si>
  <si>
    <t>115-78-2997</t>
  </si>
  <si>
    <t>584-29-7650</t>
  </si>
  <si>
    <t>740-03-4880</t>
  </si>
  <si>
    <t>125-50-6024</t>
  </si>
  <si>
    <t>081-80-8444</t>
  </si>
  <si>
    <t>088-58-3749</t>
  </si>
  <si>
    <t>058-90-0659</t>
  </si>
  <si>
    <t>141-96-0770</t>
  </si>
  <si>
    <t>071-80-6860</t>
  </si>
  <si>
    <t>088-78-8676</t>
  </si>
  <si>
    <t>141-68-1086</t>
  </si>
  <si>
    <t>101-98-1443</t>
  </si>
  <si>
    <t>128-74-2314</t>
  </si>
  <si>
    <t>120-64-2425</t>
  </si>
  <si>
    <t>000-00-1957</t>
  </si>
  <si>
    <t>154-76-3581</t>
  </si>
  <si>
    <t>209-75-5464</t>
  </si>
  <si>
    <t>107-68-9042</t>
  </si>
  <si>
    <t>134-56-2511</t>
  </si>
  <si>
    <t>111-82-5103</t>
  </si>
  <si>
    <t>112-74-2735</t>
  </si>
  <si>
    <t>066-96-4590</t>
  </si>
  <si>
    <t>062-58-7477</t>
  </si>
  <si>
    <t>093-64-3869</t>
  </si>
  <si>
    <t>125-70-4211</t>
  </si>
  <si>
    <t>121-94-0514</t>
  </si>
  <si>
    <t>132-70-8181</t>
  </si>
  <si>
    <t>089-56-7345</t>
  </si>
  <si>
    <t>581-86-5613</t>
  </si>
  <si>
    <t>058-80-1970</t>
  </si>
  <si>
    <t>122-46-9252</t>
  </si>
  <si>
    <t>072-48-7067</t>
  </si>
  <si>
    <t>078-74-7343</t>
  </si>
  <si>
    <t>094-80-1281</t>
  </si>
  <si>
    <t>082-80-6448</t>
  </si>
  <si>
    <t>101-66-8423</t>
  </si>
  <si>
    <t>084-72-3588</t>
  </si>
  <si>
    <t>068-48-8275</t>
  </si>
  <si>
    <t>575-98-7631</t>
  </si>
  <si>
    <t>132-70-8695</t>
  </si>
  <si>
    <t>061-68-9731</t>
  </si>
  <si>
    <t>075-94-2752</t>
  </si>
  <si>
    <t>130-64-4279</t>
  </si>
  <si>
    <t>208-92-4485</t>
  </si>
  <si>
    <t>580-64-5606</t>
  </si>
  <si>
    <t>116-48-0572</t>
  </si>
  <si>
    <t>098-62-0317</t>
  </si>
  <si>
    <t>085-60-6924</t>
  </si>
  <si>
    <t>124-36-3859</t>
  </si>
  <si>
    <t>134-42-1377</t>
  </si>
  <si>
    <t>043-82-9313</t>
  </si>
  <si>
    <t>104-86-6145</t>
  </si>
  <si>
    <t>079-60-1008</t>
  </si>
  <si>
    <t>101-50-1256</t>
  </si>
  <si>
    <t>107-54-3719</t>
  </si>
  <si>
    <t>325-47-0045</t>
  </si>
  <si>
    <t>069-62-9676</t>
  </si>
  <si>
    <t>103-62-5503</t>
  </si>
  <si>
    <t>128-48-4784</t>
  </si>
  <si>
    <t>050-42-4318</t>
  </si>
  <si>
    <t>106-48-4642</t>
  </si>
  <si>
    <t>032-46-0867</t>
  </si>
  <si>
    <t>059-66-0046</t>
  </si>
  <si>
    <t>062-98-5610</t>
  </si>
  <si>
    <t>059-68-1760</t>
  </si>
  <si>
    <t>131-78-9478</t>
  </si>
  <si>
    <t>584-08-0937</t>
  </si>
  <si>
    <t>133-82-6105</t>
  </si>
  <si>
    <t>106-56-4933</t>
  </si>
  <si>
    <t>062-78-8522</t>
  </si>
  <si>
    <t>107-70-4648</t>
  </si>
  <si>
    <t>236-51-1618</t>
  </si>
  <si>
    <t>085-98-9063</t>
  </si>
  <si>
    <t>052-68-4361</t>
  </si>
  <si>
    <t>063-74-2588</t>
  </si>
  <si>
    <t>121-42-4519</t>
  </si>
  <si>
    <t>085-72-4047</t>
  </si>
  <si>
    <t>101-58-1949</t>
  </si>
  <si>
    <t>114-50-2811</t>
  </si>
  <si>
    <t>128-48-3275</t>
  </si>
  <si>
    <t>768-28-2067</t>
  </si>
  <si>
    <t>059-60-9412</t>
  </si>
  <si>
    <t>106-82-7802</t>
  </si>
  <si>
    <t>681-99-5764</t>
  </si>
  <si>
    <t>072-66-3986</t>
  </si>
  <si>
    <t>096-76-6558</t>
  </si>
  <si>
    <t>107-70-4764</t>
  </si>
  <si>
    <t>663-97-3887</t>
  </si>
  <si>
    <t>083-86-6820</t>
  </si>
  <si>
    <t>075-80-0450</t>
  </si>
  <si>
    <t>094-58-1151</t>
  </si>
  <si>
    <t>077-54-3795</t>
  </si>
  <si>
    <t>094-32-3119</t>
  </si>
  <si>
    <t>120-60-1224</t>
  </si>
  <si>
    <t>104-68-0161</t>
  </si>
  <si>
    <t>077-44-8917</t>
  </si>
  <si>
    <t>262-85-1529</t>
  </si>
  <si>
    <t>118-82-0272</t>
  </si>
  <si>
    <t>057-62-5947</t>
  </si>
  <si>
    <t>669-26-0616</t>
  </si>
  <si>
    <t>086-64-0465</t>
  </si>
  <si>
    <t>078-82-2593</t>
  </si>
  <si>
    <t>054-88-2882</t>
  </si>
  <si>
    <t>102-64-7164</t>
  </si>
  <si>
    <t>089-78-8466</t>
  </si>
  <si>
    <t>052-60-8361</t>
  </si>
  <si>
    <t>134-58-7655</t>
  </si>
  <si>
    <t>119-64-0610</t>
  </si>
  <si>
    <t>108-66-9843</t>
  </si>
  <si>
    <t>050-38-5135</t>
  </si>
  <si>
    <t>102-68-0894</t>
  </si>
  <si>
    <t>488-33-3240</t>
  </si>
  <si>
    <t>068-72-9430</t>
  </si>
  <si>
    <t>075-60-3569</t>
  </si>
  <si>
    <t>071-72-5696</t>
  </si>
  <si>
    <t>056-82-0436</t>
  </si>
  <si>
    <t>112-98-0308</t>
  </si>
  <si>
    <t>096-58-8997</t>
  </si>
  <si>
    <t>072-54-4688</t>
  </si>
  <si>
    <t>093-58-6547</t>
  </si>
  <si>
    <t>246-86-2931</t>
  </si>
  <si>
    <t>113-46-4240</t>
  </si>
  <si>
    <t>107-56-1135</t>
  </si>
  <si>
    <t>082-54-5787</t>
  </si>
  <si>
    <t>124-64-3830</t>
  </si>
  <si>
    <t>125-58-8915</t>
  </si>
  <si>
    <t>071-48-0346</t>
  </si>
  <si>
    <t>129-68-2087</t>
  </si>
  <si>
    <t>395-84-8357</t>
  </si>
  <si>
    <t>128-66-6026</t>
  </si>
  <si>
    <t>219-68-5532</t>
  </si>
  <si>
    <t>108-80-6942</t>
  </si>
  <si>
    <t>058-90-0140</t>
  </si>
  <si>
    <t>112-54-6268</t>
  </si>
  <si>
    <t>114-56-9388</t>
  </si>
  <si>
    <t>056-88-8398</t>
  </si>
  <si>
    <t>103-54-5892</t>
  </si>
  <si>
    <t>056-56-5309</t>
  </si>
  <si>
    <t>114-60-8729</t>
  </si>
  <si>
    <t>000-00-1021</t>
  </si>
  <si>
    <t>103-80-2216</t>
  </si>
  <si>
    <t>085-60-5786</t>
  </si>
  <si>
    <t>051-56-2531</t>
  </si>
  <si>
    <t>419-13-2596</t>
  </si>
  <si>
    <t>092-62-9642</t>
  </si>
  <si>
    <t>594-13-2882</t>
  </si>
  <si>
    <t>080-56-1067</t>
  </si>
  <si>
    <t>082-90-3740</t>
  </si>
  <si>
    <t>096-66-8461</t>
  </si>
  <si>
    <t>014-55-9067</t>
  </si>
  <si>
    <t>061-70-2033</t>
  </si>
  <si>
    <t>249-08-8606</t>
  </si>
  <si>
    <t>054-70-5905</t>
  </si>
  <si>
    <t>060-64-0790</t>
  </si>
  <si>
    <t>075-82-1196</t>
  </si>
  <si>
    <t>098-86-9519</t>
  </si>
  <si>
    <t>064-74-0877</t>
  </si>
  <si>
    <t>092-78-2894</t>
  </si>
  <si>
    <t>098-66-5322</t>
  </si>
  <si>
    <t>060-88-3288</t>
  </si>
  <si>
    <t>224-74-4008</t>
  </si>
  <si>
    <t>264-96-4387</t>
  </si>
  <si>
    <t>077-64-2542</t>
  </si>
  <si>
    <t>052-36-4165</t>
  </si>
  <si>
    <t>093-84-5584</t>
  </si>
  <si>
    <t>099-56-8303</t>
  </si>
  <si>
    <t>056-58-7993</t>
  </si>
  <si>
    <t>077-70-7752</t>
  </si>
  <si>
    <t>055-64-1914</t>
  </si>
  <si>
    <t>199-54-7849</t>
  </si>
  <si>
    <t>078-70-1831</t>
  </si>
  <si>
    <t>125-58-2891</t>
  </si>
  <si>
    <t>106-38-5476</t>
  </si>
  <si>
    <t>121-52-0249</t>
  </si>
  <si>
    <t>581-53-2280</t>
  </si>
  <si>
    <t>114-74-2800</t>
  </si>
  <si>
    <t>583-27-2540</t>
  </si>
  <si>
    <t>055-88-2423</t>
  </si>
  <si>
    <t>060-82-3071</t>
  </si>
  <si>
    <t>117-52-6002</t>
  </si>
  <si>
    <t>235-63-1576</t>
  </si>
  <si>
    <t>138-84-9086</t>
  </si>
  <si>
    <t>000-00-5959</t>
  </si>
  <si>
    <t>062-62-0973</t>
  </si>
  <si>
    <t>062-80-0080</t>
  </si>
  <si>
    <t>116-90-6394</t>
  </si>
  <si>
    <t>122-74-5303</t>
  </si>
  <si>
    <t>132-64-2553</t>
  </si>
  <si>
    <t>085-56-2049</t>
  </si>
  <si>
    <t>118-74-5916</t>
  </si>
  <si>
    <t>109-52-3955</t>
  </si>
  <si>
    <t>085-50-3700</t>
  </si>
  <si>
    <t>105-68-9671</t>
  </si>
  <si>
    <t>120-58-2859</t>
  </si>
  <si>
    <t>121-78-6903</t>
  </si>
  <si>
    <t>130-62-5425</t>
  </si>
  <si>
    <t>122-74-2128</t>
  </si>
  <si>
    <t>433-17-3909</t>
  </si>
  <si>
    <t>100-74-2477</t>
  </si>
  <si>
    <t>118-56-1040</t>
  </si>
  <si>
    <t>055-54-5520</t>
  </si>
  <si>
    <t>092-58-3828</t>
  </si>
  <si>
    <t>801-46-1454</t>
  </si>
  <si>
    <t>121-60-5145</t>
  </si>
  <si>
    <t>060-66-0252</t>
  </si>
  <si>
    <t>000-00-9107</t>
  </si>
  <si>
    <t>079-76-6647</t>
  </si>
  <si>
    <t>103-74-1088</t>
  </si>
  <si>
    <t>580-90-5056</t>
  </si>
  <si>
    <t>133-68-1739</t>
  </si>
  <si>
    <t>121-40-9142</t>
  </si>
  <si>
    <t>099-72-1952</t>
  </si>
  <si>
    <t>112-92-5845</t>
  </si>
  <si>
    <t>090-84-9240</t>
  </si>
  <si>
    <t>703-98-9757</t>
  </si>
  <si>
    <t>687-60-8700</t>
  </si>
  <si>
    <t>129-58-3845</t>
  </si>
  <si>
    <t>153-84-8214</t>
  </si>
  <si>
    <t>112-70-6433</t>
  </si>
  <si>
    <t>112-60-3917</t>
  </si>
  <si>
    <t>129-96-2721</t>
  </si>
  <si>
    <t>625-40-8831</t>
  </si>
  <si>
    <t>077-72-7430</t>
  </si>
  <si>
    <t>085-52-3390</t>
  </si>
  <si>
    <t>092-54-4089</t>
  </si>
  <si>
    <t>694-09-6957</t>
  </si>
  <si>
    <t>063-70-9851</t>
  </si>
  <si>
    <t>072-82-8411</t>
  </si>
  <si>
    <t>068-92-9918</t>
  </si>
  <si>
    <t>154-96-0973</t>
  </si>
  <si>
    <t>126-52-7146</t>
  </si>
  <si>
    <t>134-82-7145</t>
  </si>
  <si>
    <t>063-66-1026</t>
  </si>
  <si>
    <t>590-67-0053</t>
  </si>
  <si>
    <t>102-48-8787</t>
  </si>
  <si>
    <t>086-66-8364</t>
  </si>
  <si>
    <t>094-84-0241</t>
  </si>
  <si>
    <t>131-62-3689</t>
  </si>
  <si>
    <t>124-88-0917</t>
  </si>
  <si>
    <t>108-68-1739</t>
  </si>
  <si>
    <t>076-38-3454</t>
  </si>
  <si>
    <t>591-10-7048</t>
  </si>
  <si>
    <t>078-62-6318</t>
  </si>
  <si>
    <t>051-62-7512</t>
  </si>
  <si>
    <t>583-20-9056</t>
  </si>
  <si>
    <t>088-63-6249</t>
  </si>
  <si>
    <t>065-92-7647</t>
  </si>
  <si>
    <t>069-72-7109</t>
  </si>
  <si>
    <t>083-56-2928</t>
  </si>
  <si>
    <t>247-11-5210</t>
  </si>
  <si>
    <t>071-52-0551</t>
  </si>
  <si>
    <t>118-52-1451</t>
  </si>
  <si>
    <t>031-74-9159</t>
  </si>
  <si>
    <t>074-60-4768</t>
  </si>
  <si>
    <t>144-98-5786</t>
  </si>
  <si>
    <t>583-71-4901</t>
  </si>
  <si>
    <t>098-94-1515</t>
  </si>
  <si>
    <t>083-86-3645</t>
  </si>
  <si>
    <t>066-62-0462</t>
  </si>
  <si>
    <t>059-78-3445</t>
  </si>
  <si>
    <t>081-60-0688</t>
  </si>
  <si>
    <t>054-78-5953</t>
  </si>
  <si>
    <t>593-43-3585</t>
  </si>
  <si>
    <t>086-44-7737</t>
  </si>
  <si>
    <t>241-29-4995</t>
  </si>
  <si>
    <t>091-58-6170</t>
  </si>
  <si>
    <t>056-62-0050</t>
  </si>
  <si>
    <t>063-80-4093</t>
  </si>
  <si>
    <t>592-03-5421</t>
  </si>
  <si>
    <t>091-66-0366</t>
  </si>
  <si>
    <t>120-52-4795</t>
  </si>
  <si>
    <t>132-54-6263</t>
  </si>
  <si>
    <t>597-16-7469</t>
  </si>
  <si>
    <t>101-70-2539</t>
  </si>
  <si>
    <t>132-60-9482</t>
  </si>
  <si>
    <t>065-58-0821</t>
  </si>
  <si>
    <t>134-74-1560</t>
  </si>
  <si>
    <t>063-84-2162</t>
  </si>
  <si>
    <t>130-70-3821</t>
  </si>
  <si>
    <t>133-98-8208</t>
  </si>
  <si>
    <t>214-55-6004</t>
  </si>
  <si>
    <t>133-64-1866</t>
  </si>
  <si>
    <t>101-58-0803</t>
  </si>
  <si>
    <t>075-58-4422</t>
  </si>
  <si>
    <t>066-92-7005</t>
  </si>
  <si>
    <t>101-58-3935</t>
  </si>
  <si>
    <t>075-62-2912</t>
  </si>
  <si>
    <t>592-56-3325</t>
  </si>
  <si>
    <t>128-80-8614</t>
  </si>
  <si>
    <t>054-96-4729</t>
  </si>
  <si>
    <t>115-50-7741</t>
  </si>
  <si>
    <t>401-04-9636</t>
  </si>
  <si>
    <t>155-80-9208</t>
  </si>
  <si>
    <t>087-74-7074</t>
  </si>
  <si>
    <t>072-54-9330</t>
  </si>
  <si>
    <t>103-66-7579</t>
  </si>
  <si>
    <t>070-80-9937</t>
  </si>
  <si>
    <t>056-90-4862</t>
  </si>
  <si>
    <t>069-54-8907</t>
  </si>
  <si>
    <t>107-68-3617</t>
  </si>
  <si>
    <t>074-72-0866</t>
  </si>
  <si>
    <t>059-70-5361</t>
  </si>
  <si>
    <t>107-46-5078</t>
  </si>
  <si>
    <t>074-78-2751</t>
  </si>
  <si>
    <t>250-56-3530</t>
  </si>
  <si>
    <t>222-48-1793</t>
  </si>
  <si>
    <t>069-58-7645</t>
  </si>
  <si>
    <t>082-50-9197</t>
  </si>
  <si>
    <t>327-54-0726</t>
  </si>
  <si>
    <t>420-62-2479</t>
  </si>
  <si>
    <t>120-56-1400</t>
  </si>
  <si>
    <t>080-66-0297</t>
  </si>
  <si>
    <t>067-66-2793</t>
  </si>
  <si>
    <t>583-25-0629</t>
  </si>
  <si>
    <t>460-84-6023</t>
  </si>
  <si>
    <t>062-68-1689</t>
  </si>
  <si>
    <t>087-66-6923</t>
  </si>
  <si>
    <t>596-03-7844</t>
  </si>
  <si>
    <t>120-56-0808</t>
  </si>
  <si>
    <t>062-44-2816</t>
  </si>
  <si>
    <t>086-54-2996</t>
  </si>
  <si>
    <t>080-60-9334</t>
  </si>
  <si>
    <t>664-25-4660</t>
  </si>
  <si>
    <t>582-53-9404</t>
  </si>
  <si>
    <t>120-56-1668</t>
  </si>
  <si>
    <t>074-70-6056</t>
  </si>
  <si>
    <t>104-74-6359</t>
  </si>
  <si>
    <t>084-84-8419</t>
  </si>
  <si>
    <t>082-62-6231</t>
  </si>
  <si>
    <t>053-68-0091</t>
  </si>
  <si>
    <t>000-00-3885</t>
  </si>
  <si>
    <t>075-74-7267</t>
  </si>
  <si>
    <t>492-39-6200</t>
  </si>
  <si>
    <t>070-76-5986</t>
  </si>
  <si>
    <t>101-84-4390</t>
  </si>
  <si>
    <t>057-60-1312</t>
  </si>
  <si>
    <t>120-48-2374</t>
  </si>
  <si>
    <t>104-56-3143</t>
  </si>
  <si>
    <t>099-56-8111</t>
  </si>
  <si>
    <t>063-44-7638</t>
  </si>
  <si>
    <t>582-23-5516</t>
  </si>
  <si>
    <t>114-92-8814</t>
  </si>
  <si>
    <t>128-92-8588</t>
  </si>
  <si>
    <t>058-88-1360</t>
  </si>
  <si>
    <t>052-60-8735</t>
  </si>
  <si>
    <t>094-58-1320</t>
  </si>
  <si>
    <t>000-00-9618</t>
  </si>
  <si>
    <t>099-72-7594</t>
  </si>
  <si>
    <t>055-92-3502</t>
  </si>
  <si>
    <t>101-84-4161</t>
  </si>
  <si>
    <t>127-80-9908</t>
  </si>
  <si>
    <t>088-54-0625</t>
  </si>
  <si>
    <t>122-92-6286</t>
  </si>
  <si>
    <t>074-72-3977</t>
  </si>
  <si>
    <t>074-80-1641</t>
  </si>
  <si>
    <t>077-86-6866</t>
  </si>
  <si>
    <t>126-80-3543</t>
  </si>
  <si>
    <t>073-40-0582</t>
  </si>
  <si>
    <t>126-48-0412</t>
  </si>
  <si>
    <t>066-72-5640</t>
  </si>
  <si>
    <t>109-66-9510</t>
  </si>
  <si>
    <t>100-78-8426</t>
  </si>
  <si>
    <t>053-96-9238</t>
  </si>
  <si>
    <t>099-60-2353</t>
  </si>
  <si>
    <t>060-66-5360</t>
  </si>
  <si>
    <t>111-72-6395</t>
  </si>
  <si>
    <t>097-70-8157</t>
  </si>
  <si>
    <t>066-72-5657</t>
  </si>
  <si>
    <t>090-46-0386</t>
  </si>
  <si>
    <t>065-62-8031</t>
  </si>
  <si>
    <t>090-88-3948</t>
  </si>
  <si>
    <t>101-48-8771</t>
  </si>
  <si>
    <t>131-98-4847</t>
  </si>
  <si>
    <t>050-78-8383</t>
  </si>
  <si>
    <t>114-94-7652</t>
  </si>
  <si>
    <t>373-25-7192</t>
  </si>
  <si>
    <t>105-56-7063</t>
  </si>
  <si>
    <t>073-64-9027</t>
  </si>
  <si>
    <t>141-06-4878</t>
  </si>
  <si>
    <t>592-01-5115</t>
  </si>
  <si>
    <t>124-60-3161</t>
  </si>
  <si>
    <t>582-69-3121</t>
  </si>
  <si>
    <t>127-74-3762</t>
  </si>
  <si>
    <t>099-78-1982</t>
  </si>
  <si>
    <t>095-62-9303</t>
  </si>
  <si>
    <t>059-66-4795</t>
  </si>
  <si>
    <t>124-60-7660</t>
  </si>
  <si>
    <t>058-48-5395</t>
  </si>
  <si>
    <t>120-64-5477</t>
  </si>
  <si>
    <t>050-60-8335</t>
  </si>
  <si>
    <t>077-58-4307</t>
  </si>
  <si>
    <t>091-78-2688</t>
  </si>
  <si>
    <t>063-62-3357</t>
  </si>
  <si>
    <t>127-64-1149</t>
  </si>
  <si>
    <t>171-74-3102</t>
  </si>
  <si>
    <t>102-94-3124</t>
  </si>
  <si>
    <t>128-86-1001</t>
  </si>
  <si>
    <t>073-54-8483</t>
  </si>
  <si>
    <t>076-58-4488</t>
  </si>
  <si>
    <t>762-32-9495</t>
  </si>
  <si>
    <t>128-82-0298</t>
  </si>
  <si>
    <t>081-64-4365</t>
  </si>
  <si>
    <t>247-79-9279</t>
  </si>
  <si>
    <t>072-66-2689</t>
  </si>
  <si>
    <t>056-76-6606</t>
  </si>
  <si>
    <t>109-90-7130</t>
  </si>
  <si>
    <t>095-68-3275</t>
  </si>
  <si>
    <t>126-70-5471</t>
  </si>
  <si>
    <t>092-43-1474</t>
  </si>
  <si>
    <t>110-58-4928</t>
  </si>
  <si>
    <t>119-68-6447</t>
  </si>
  <si>
    <t>132-54-7012</t>
  </si>
  <si>
    <t>120-56-5429</t>
  </si>
  <si>
    <t>107-68-5402</t>
  </si>
  <si>
    <t>052-60-7571</t>
  </si>
  <si>
    <t>105-82-9103</t>
  </si>
  <si>
    <t>132-58-8290</t>
  </si>
  <si>
    <t>122-62-0323</t>
  </si>
  <si>
    <t>125-58-6533</t>
  </si>
  <si>
    <t>216-47-4635</t>
  </si>
  <si>
    <t>122-84-2290</t>
  </si>
  <si>
    <t>080-78-5517</t>
  </si>
  <si>
    <t>080-56-5175</t>
  </si>
  <si>
    <t>100-46-9122</t>
  </si>
  <si>
    <t>961-82-1954</t>
  </si>
  <si>
    <t>092-88-9652</t>
  </si>
  <si>
    <t>872-10-0888</t>
  </si>
  <si>
    <t>109-86-2247</t>
  </si>
  <si>
    <t>111-58-4134</t>
  </si>
  <si>
    <t>027-84-8631</t>
  </si>
  <si>
    <t>091-62-6037</t>
  </si>
  <si>
    <t>070-56-9000</t>
  </si>
  <si>
    <t>125-54-6608</t>
  </si>
  <si>
    <t>130-36-5671</t>
  </si>
  <si>
    <t>057-60-4248</t>
  </si>
  <si>
    <t>099-58-0593</t>
  </si>
  <si>
    <t>116-32-8266</t>
  </si>
  <si>
    <t>094-68-2829</t>
  </si>
  <si>
    <t>580-82-4582</t>
  </si>
  <si>
    <t>053-82-0475</t>
  </si>
  <si>
    <t>095-80-7995</t>
  </si>
  <si>
    <t>718-49-4818</t>
  </si>
  <si>
    <t>098-20-6546</t>
  </si>
  <si>
    <t>074-44-6193</t>
  </si>
  <si>
    <t>114-50-5539</t>
  </si>
  <si>
    <t>101-78-0321</t>
  </si>
  <si>
    <t>113-78-9028</t>
  </si>
  <si>
    <t>000-00-9112</t>
  </si>
  <si>
    <t>506-67-8028</t>
  </si>
  <si>
    <t>092-60-1642</t>
  </si>
  <si>
    <t>096-36-8722</t>
  </si>
  <si>
    <t>094-80-1601</t>
  </si>
  <si>
    <t>073-52-0153</t>
  </si>
  <si>
    <t>057-78-4142</t>
  </si>
  <si>
    <t>581-33-4367</t>
  </si>
  <si>
    <t>084-94-2179</t>
  </si>
  <si>
    <t>131-78-7919</t>
  </si>
  <si>
    <t>089-80-5922</t>
  </si>
  <si>
    <t>718-30-9025</t>
  </si>
  <si>
    <t>057-78-7595</t>
  </si>
  <si>
    <t>073-82-7795</t>
  </si>
  <si>
    <t>099-92-1659</t>
  </si>
  <si>
    <t>539-67-4591</t>
  </si>
  <si>
    <t>091-52-0807</t>
  </si>
  <si>
    <t>103-50-6230</t>
  </si>
  <si>
    <t>125-44-0127</t>
  </si>
  <si>
    <t>113-68-5441</t>
  </si>
  <si>
    <t>105-58-5479</t>
  </si>
  <si>
    <t>071-96-2055</t>
  </si>
  <si>
    <t>590-43-3483</t>
  </si>
  <si>
    <t>070-76-8488</t>
  </si>
  <si>
    <t>085-62-9658</t>
  </si>
  <si>
    <t>083-82-4872</t>
  </si>
  <si>
    <t>108-84-4713</t>
  </si>
  <si>
    <t>112-98-9666</t>
  </si>
  <si>
    <t>054-68-0767</t>
  </si>
  <si>
    <t>067-64-7718</t>
  </si>
  <si>
    <t>020-43-0922</t>
  </si>
  <si>
    <t>131-50-3118</t>
  </si>
  <si>
    <t>123-70-5539</t>
  </si>
  <si>
    <t>071-36-7852</t>
  </si>
  <si>
    <t>096-62-2838</t>
  </si>
  <si>
    <t>555-97-1673</t>
  </si>
  <si>
    <t>068-64-0750</t>
  </si>
  <si>
    <t>092-80-6145</t>
  </si>
  <si>
    <t>072-94-3588</t>
  </si>
  <si>
    <t>113-56-2161</t>
  </si>
  <si>
    <t>132-66-8321</t>
  </si>
  <si>
    <t>125-82-7423</t>
  </si>
  <si>
    <t>096-80-4458</t>
  </si>
  <si>
    <t>117-68-4025</t>
  </si>
  <si>
    <t>067-90-2570</t>
  </si>
  <si>
    <t>054-58-4640</t>
  </si>
  <si>
    <t>091-42-0254</t>
  </si>
  <si>
    <t>053-70-2265</t>
  </si>
  <si>
    <t>133-52-9402</t>
  </si>
  <si>
    <t>691-12-9598</t>
  </si>
  <si>
    <t>073-62-1437</t>
  </si>
  <si>
    <t>099-50-1029</t>
  </si>
  <si>
    <t>074-12-4878</t>
  </si>
  <si>
    <t>083-62-4223</t>
  </si>
  <si>
    <t>074-66-6639</t>
  </si>
  <si>
    <t>118-19-9514</t>
  </si>
  <si>
    <t>086-80-2041</t>
  </si>
  <si>
    <t>104-64-1728</t>
  </si>
  <si>
    <t>117-78-8869</t>
  </si>
  <si>
    <t>091-78-0723</t>
  </si>
  <si>
    <t>128-58-2709</t>
  </si>
  <si>
    <t>457-91-4079</t>
  </si>
  <si>
    <t>055-82-8425</t>
  </si>
  <si>
    <t>076-58-3969</t>
  </si>
  <si>
    <t>095-58-4573</t>
  </si>
  <si>
    <t>000-00-3680</t>
  </si>
  <si>
    <t>124-76-3040</t>
  </si>
  <si>
    <t>396-29-0818</t>
  </si>
  <si>
    <t>066-72-4178</t>
  </si>
  <si>
    <t>589-92-9383</t>
  </si>
  <si>
    <t>105-70-3758</t>
  </si>
  <si>
    <t>089-78-0626</t>
  </si>
  <si>
    <t>056-40-1275</t>
  </si>
  <si>
    <t>131-32-7160</t>
  </si>
  <si>
    <t>101-58-4550</t>
  </si>
  <si>
    <t>119-66-4605</t>
  </si>
  <si>
    <t>770-70-0129</t>
  </si>
  <si>
    <t>057-82-6165</t>
  </si>
  <si>
    <t>111-76-0025</t>
  </si>
  <si>
    <t>093-54-2242</t>
  </si>
  <si>
    <t>094-68-5328</t>
  </si>
  <si>
    <t>073-79-5955</t>
  </si>
  <si>
    <t>134-98-8163</t>
  </si>
  <si>
    <t>125-98-4994</t>
  </si>
  <si>
    <t>111-56-5617</t>
  </si>
  <si>
    <t>124-80-6849</t>
  </si>
  <si>
    <t>063-84-0388</t>
  </si>
  <si>
    <t>124-74-8733</t>
  </si>
  <si>
    <t>729-97-5407</t>
  </si>
  <si>
    <t>132-82-9194</t>
  </si>
  <si>
    <t>098-66-1467</t>
  </si>
  <si>
    <t>053-72-4849</t>
  </si>
  <si>
    <t>101-40-5094</t>
  </si>
  <si>
    <t>524-27-9591</t>
  </si>
  <si>
    <t>096-46-7293</t>
  </si>
  <si>
    <t>131-88-2974</t>
  </si>
  <si>
    <t>157-56-6436</t>
  </si>
  <si>
    <t>373-94-2514</t>
  </si>
  <si>
    <t>132-54-1838</t>
  </si>
  <si>
    <t>104-54-0674</t>
  </si>
  <si>
    <t>239-78-3960</t>
  </si>
  <si>
    <t>064-82-5363</t>
  </si>
  <si>
    <t>885-46-6297</t>
  </si>
  <si>
    <t>093-74-1019</t>
  </si>
  <si>
    <t>122-74-9158</t>
  </si>
  <si>
    <t>072-60-0283</t>
  </si>
  <si>
    <t>597-12-8069</t>
  </si>
  <si>
    <t>117-66-9390</t>
  </si>
  <si>
    <t>114-68-3242</t>
  </si>
  <si>
    <t>211-84-4778</t>
  </si>
  <si>
    <t>125-66-5383</t>
  </si>
  <si>
    <t>052-68-8995</t>
  </si>
  <si>
    <t>113-88-9764</t>
  </si>
  <si>
    <t>596-48-7263</t>
  </si>
  <si>
    <t>105-60-0826</t>
  </si>
  <si>
    <t>120-44-2173</t>
  </si>
  <si>
    <t>580-16-7661</t>
  </si>
  <si>
    <t>038-56-5630</t>
  </si>
  <si>
    <t>101-58-3412</t>
  </si>
  <si>
    <t>077-62-1782</t>
  </si>
  <si>
    <t>081-58-7576</t>
  </si>
  <si>
    <t>093-66-3746</t>
  </si>
  <si>
    <t>265-65-3058</t>
  </si>
  <si>
    <t>128-82-5758</t>
  </si>
  <si>
    <t>083-66-1271</t>
  </si>
  <si>
    <t>109-66-5370</t>
  </si>
  <si>
    <t>416-92-4453</t>
  </si>
  <si>
    <t>097-54-1271</t>
  </si>
  <si>
    <t>247-62-6799</t>
  </si>
  <si>
    <t>486-66-2716</t>
  </si>
  <si>
    <t>111-94-3076</t>
  </si>
  <si>
    <t>129-58-2135</t>
  </si>
  <si>
    <t>101-60-6763</t>
  </si>
  <si>
    <t>058-58-9621</t>
  </si>
  <si>
    <t>748-06-7697</t>
  </si>
  <si>
    <t>131-52-9255</t>
  </si>
  <si>
    <t>117-56-2528</t>
  </si>
  <si>
    <t>075-52-7180</t>
  </si>
  <si>
    <t>110-58-8239</t>
  </si>
  <si>
    <t>108-66-9767</t>
  </si>
  <si>
    <t>085-64-5852</t>
  </si>
  <si>
    <t>089-82-3217</t>
  </si>
  <si>
    <t>074-16-3116</t>
  </si>
  <si>
    <t>582-53-0401</t>
  </si>
  <si>
    <t>076-94-5152</t>
  </si>
  <si>
    <t>081-84-6692</t>
  </si>
  <si>
    <t>769-52-5634</t>
  </si>
  <si>
    <t>115-64-6676</t>
  </si>
  <si>
    <t>068-70-6426</t>
  </si>
  <si>
    <t>736-47-8269</t>
  </si>
  <si>
    <t>082-56-4854</t>
  </si>
  <si>
    <t>084-49-3462</t>
  </si>
  <si>
    <t>000-00-6760</t>
  </si>
  <si>
    <t>260-61-1436</t>
  </si>
  <si>
    <t>528-37-2419</t>
  </si>
  <si>
    <t>100-64-4018</t>
  </si>
  <si>
    <t>142-22-5980</t>
  </si>
  <si>
    <t>063-58-3116</t>
  </si>
  <si>
    <t>114-78-5990</t>
  </si>
  <si>
    <t>055-48-9986</t>
  </si>
  <si>
    <t>102-66-9527</t>
  </si>
  <si>
    <t>087-80-9676</t>
  </si>
  <si>
    <t>079-80-4491</t>
  </si>
  <si>
    <t>070-96-3386</t>
  </si>
  <si>
    <t>108-78-8023</t>
  </si>
  <si>
    <t>091-60-7827</t>
  </si>
  <si>
    <t>082-40-5903</t>
  </si>
  <si>
    <t>103-74-3806</t>
  </si>
  <si>
    <t>127-54-7247</t>
  </si>
  <si>
    <t>077-58-1374</t>
  </si>
  <si>
    <t>073-86-6297</t>
  </si>
  <si>
    <t>082-66-5678</t>
  </si>
  <si>
    <t>016-39-8806</t>
  </si>
  <si>
    <t>117-24-5977</t>
  </si>
  <si>
    <t>050-64-2437</t>
  </si>
  <si>
    <t>107-60-8680</t>
  </si>
  <si>
    <t>072-02-2167</t>
  </si>
  <si>
    <t>071-72-9098</t>
  </si>
  <si>
    <t>119-92-7487</t>
  </si>
  <si>
    <t>107-84-8438</t>
  </si>
  <si>
    <t>393-75-4977</t>
  </si>
  <si>
    <t>053-60-7321</t>
  </si>
  <si>
    <t>112-74-1820</t>
  </si>
  <si>
    <t>582-62-6930</t>
  </si>
  <si>
    <t>586-52-5681</t>
  </si>
  <si>
    <t>000-00-8537</t>
  </si>
  <si>
    <t>000-00-5839</t>
  </si>
  <si>
    <t>149-70-9947</t>
  </si>
  <si>
    <t>000-00-1777</t>
  </si>
  <si>
    <t>861-32-3580</t>
  </si>
  <si>
    <t>068-56-1353</t>
  </si>
  <si>
    <t>116-56-9738</t>
  </si>
  <si>
    <t>057-82-7902</t>
  </si>
  <si>
    <t>128-58-6621</t>
  </si>
  <si>
    <t>111-82-2076</t>
  </si>
  <si>
    <t>065-50-6042</t>
  </si>
  <si>
    <t>071-54-0558</t>
  </si>
  <si>
    <t>096-88-6981</t>
  </si>
  <si>
    <t>082-40-4282</t>
  </si>
  <si>
    <t>091-86-7811</t>
  </si>
  <si>
    <t>060-72-2645</t>
  </si>
  <si>
    <t>054-90-3786</t>
  </si>
  <si>
    <t>216-31-1544</t>
  </si>
  <si>
    <t>122-98-2181</t>
  </si>
  <si>
    <t>109-78-2409</t>
  </si>
  <si>
    <t>113-56-4305</t>
  </si>
  <si>
    <t>094-56-5399</t>
  </si>
  <si>
    <t>064-44-0321</t>
  </si>
  <si>
    <t>126-86-5471</t>
  </si>
  <si>
    <t>060-80-1275</t>
  </si>
  <si>
    <t>122-74-5023</t>
  </si>
  <si>
    <t>051-66-4408</t>
  </si>
  <si>
    <t>077-56-4827</t>
  </si>
  <si>
    <t>125-76-4396</t>
  </si>
  <si>
    <t>066-44-6551</t>
  </si>
  <si>
    <t>093-78-7668</t>
  </si>
  <si>
    <t>078-56-4724</t>
  </si>
  <si>
    <t>084-42-6059</t>
  </si>
  <si>
    <t>075-44-6880</t>
  </si>
  <si>
    <t>104-40-3805</t>
  </si>
  <si>
    <t>062-86-9822</t>
  </si>
  <si>
    <t>052-46-0330</t>
  </si>
  <si>
    <t>066-86-3193</t>
  </si>
  <si>
    <t>623-52-0667</t>
  </si>
  <si>
    <t>583-77-4670</t>
  </si>
  <si>
    <t>066-74-4931</t>
  </si>
  <si>
    <t>128-48-5081</t>
  </si>
  <si>
    <t>106-56-1050</t>
  </si>
  <si>
    <t>098-50-5451</t>
  </si>
  <si>
    <t>071-48-6367</t>
  </si>
  <si>
    <t>096-48-3284</t>
  </si>
  <si>
    <t>132-80-0224</t>
  </si>
  <si>
    <t>121-46-4394</t>
  </si>
  <si>
    <t>107-74-7330</t>
  </si>
  <si>
    <t>096-80-4518</t>
  </si>
  <si>
    <t>128-74-9232</t>
  </si>
  <si>
    <t>057-78-7514</t>
  </si>
  <si>
    <t>144-60-7862</t>
  </si>
  <si>
    <t>097-56-5252</t>
  </si>
  <si>
    <t>856-16-0365</t>
  </si>
  <si>
    <t>133-82-2294</t>
  </si>
  <si>
    <t>081-70-5008</t>
  </si>
  <si>
    <t>112-56-1529</t>
  </si>
  <si>
    <t>103-68-4304</t>
  </si>
  <si>
    <t>114-36-7689</t>
  </si>
  <si>
    <t>054-70-4955</t>
  </si>
  <si>
    <t>090-82-8580</t>
  </si>
  <si>
    <t>074-84-5501</t>
  </si>
  <si>
    <t>102-74-0964</t>
  </si>
  <si>
    <t>126-66-7191</t>
  </si>
  <si>
    <t>063-86-0322</t>
  </si>
  <si>
    <t>105-52-8251</t>
  </si>
  <si>
    <t>050-50-2357</t>
  </si>
  <si>
    <t>083-98-4014</t>
  </si>
  <si>
    <t>090-64-5893</t>
  </si>
  <si>
    <t>122-56-0511</t>
  </si>
  <si>
    <t>118-66-3109</t>
  </si>
  <si>
    <t>160-38-6581</t>
  </si>
  <si>
    <t>117-70-2756</t>
  </si>
  <si>
    <t>092-88-0178</t>
  </si>
  <si>
    <t>125-58-8575</t>
  </si>
  <si>
    <t>129-58-8592</t>
  </si>
  <si>
    <t>090-86-3807</t>
  </si>
  <si>
    <t>098-82-7516</t>
  </si>
  <si>
    <t>124-56-6235</t>
  </si>
  <si>
    <t>118-56-1550</t>
  </si>
  <si>
    <t>068-48-0446</t>
  </si>
  <si>
    <t>120-68-6525</t>
  </si>
  <si>
    <t>062-62-7671</t>
  </si>
  <si>
    <t>395-57-7540</t>
  </si>
  <si>
    <t>598-26-4003</t>
  </si>
  <si>
    <t>053-54-4972</t>
  </si>
  <si>
    <t>088-56-5927</t>
  </si>
  <si>
    <t>836-55-3614</t>
  </si>
  <si>
    <t>097-58-2954</t>
  </si>
  <si>
    <t>096-80-6205</t>
  </si>
  <si>
    <t>115-64-6534</t>
  </si>
  <si>
    <t>066-64-7527</t>
  </si>
  <si>
    <t>094-74-0478</t>
  </si>
  <si>
    <t>006-88-6307</t>
  </si>
  <si>
    <t>112-80-9959</t>
  </si>
  <si>
    <t>074-64-4601</t>
  </si>
  <si>
    <t>069-68-6712</t>
  </si>
  <si>
    <t>065-56-5752</t>
  </si>
  <si>
    <t>124-38-0837</t>
  </si>
  <si>
    <t>112-52-2953</t>
  </si>
  <si>
    <t>093-46-6662</t>
  </si>
  <si>
    <t>093-58-4447</t>
  </si>
  <si>
    <t>596-09-6071</t>
  </si>
  <si>
    <t>248-72-2517</t>
  </si>
  <si>
    <t>176-70-4504</t>
  </si>
  <si>
    <t>105-78-2520</t>
  </si>
  <si>
    <t>115-54-5886</t>
  </si>
  <si>
    <t>134-60-2277</t>
  </si>
  <si>
    <t>071-48-5938</t>
  </si>
  <si>
    <t>225-48-0969</t>
  </si>
  <si>
    <t>121-64-3355</t>
  </si>
  <si>
    <t>118-68-0166</t>
  </si>
  <si>
    <t>121-90-2636</t>
  </si>
  <si>
    <t>118-98-9413</t>
  </si>
  <si>
    <t>111-66-2441</t>
  </si>
  <si>
    <t>104-90-5801</t>
  </si>
  <si>
    <t>056-80-8690</t>
  </si>
  <si>
    <t>104-62-5903</t>
  </si>
  <si>
    <t>106-72-0405</t>
  </si>
  <si>
    <t>117-72-6575</t>
  </si>
  <si>
    <t>066-94-7630</t>
  </si>
  <si>
    <t>101-86-7311</t>
  </si>
  <si>
    <t>598-44-2220</t>
  </si>
  <si>
    <t>054-60-4239</t>
  </si>
  <si>
    <t>094-70-0825</t>
  </si>
  <si>
    <t>093-74-5252</t>
  </si>
  <si>
    <t>636-56-7451</t>
  </si>
  <si>
    <t>122-86-2625</t>
  </si>
  <si>
    <t>279-53-4748</t>
  </si>
  <si>
    <t>100-82-8540</t>
  </si>
  <si>
    <t>111-34-5531</t>
  </si>
  <si>
    <t>082-46-1276</t>
  </si>
  <si>
    <t>119-62-7666</t>
  </si>
  <si>
    <t>832-96-7194</t>
  </si>
  <si>
    <t>070-76-6685</t>
  </si>
  <si>
    <t>098-94-3587</t>
  </si>
  <si>
    <t>132-58-5078</t>
  </si>
  <si>
    <t>129-36-3367</t>
  </si>
  <si>
    <t>733-18-0505</t>
  </si>
  <si>
    <t>105-96-5862</t>
  </si>
  <si>
    <t>122-64-8572</t>
  </si>
  <si>
    <t>080-84-3353</t>
  </si>
  <si>
    <t>062-52-2795</t>
  </si>
  <si>
    <t>075-82-1888</t>
  </si>
  <si>
    <t>580-13-8110</t>
  </si>
  <si>
    <t>051-50-5322</t>
  </si>
  <si>
    <t>096-66-0782</t>
  </si>
  <si>
    <t>127-54-7124</t>
  </si>
  <si>
    <t>105-98-4390</t>
  </si>
  <si>
    <t>096-96-0563</t>
  </si>
  <si>
    <t>064-74-6420</t>
  </si>
  <si>
    <t>081-68-1857</t>
  </si>
  <si>
    <t>611-56-8408</t>
  </si>
  <si>
    <t>108-66-5600</t>
  </si>
  <si>
    <t>069-86-6867</t>
  </si>
  <si>
    <t>111-74-9683</t>
  </si>
  <si>
    <t>095-64-2674</t>
  </si>
  <si>
    <t>079-58-4716</t>
  </si>
  <si>
    <t>111-44-5447</t>
  </si>
  <si>
    <t>888-88-1961</t>
  </si>
  <si>
    <t>517-04-7542</t>
  </si>
  <si>
    <t>123-56-6038</t>
  </si>
  <si>
    <t>077-96-6976</t>
  </si>
  <si>
    <t>125-68-9577</t>
  </si>
  <si>
    <t>059-60-2383</t>
  </si>
  <si>
    <t>074-74-4283</t>
  </si>
  <si>
    <t>072-56-4001</t>
  </si>
  <si>
    <t>063-78-3253</t>
  </si>
  <si>
    <t>072-60-3404</t>
  </si>
  <si>
    <t>056-58-6955</t>
  </si>
  <si>
    <t>106-88-8010</t>
  </si>
  <si>
    <t>071-60-1521</t>
  </si>
  <si>
    <t>056-58-5974</t>
  </si>
  <si>
    <t>105-62-6333</t>
  </si>
  <si>
    <t>603-28-0534</t>
  </si>
  <si>
    <t>070-80-6751</t>
  </si>
  <si>
    <t>063-50-6858</t>
  </si>
  <si>
    <t>090-58-4647</t>
  </si>
  <si>
    <t>098-52-8148</t>
  </si>
  <si>
    <t>071-70-0128</t>
  </si>
  <si>
    <t>109-60-8178</t>
  </si>
  <si>
    <t>583-21-1154</t>
  </si>
  <si>
    <t>092-66-5344</t>
  </si>
  <si>
    <t>582-55-3411</t>
  </si>
  <si>
    <t>071-92-3588</t>
  </si>
  <si>
    <t>093-94-5521</t>
  </si>
  <si>
    <t>118-52-4390</t>
  </si>
  <si>
    <t>109-56-3467</t>
  </si>
  <si>
    <t>098-84-3035</t>
  </si>
  <si>
    <t>101-54-3191</t>
  </si>
  <si>
    <t>081-70-7473</t>
  </si>
  <si>
    <t>084-56-6428</t>
  </si>
  <si>
    <t>636-34-9599</t>
  </si>
  <si>
    <t>100-58-8528</t>
  </si>
  <si>
    <t>058-70-7512</t>
  </si>
  <si>
    <t>093-76-7413</t>
  </si>
  <si>
    <t>059-76-8892</t>
  </si>
  <si>
    <t>128-64-1453</t>
  </si>
  <si>
    <t>138-42-7207</t>
  </si>
  <si>
    <t>119-50-5667</t>
  </si>
  <si>
    <t>074-82-6407</t>
  </si>
  <si>
    <t>094-02-9016</t>
  </si>
  <si>
    <t>128-96-0875</t>
  </si>
  <si>
    <t>089-80-9890</t>
  </si>
  <si>
    <t>583-13-9014</t>
  </si>
  <si>
    <t>623-08-2052</t>
  </si>
  <si>
    <t>729-20-0660</t>
  </si>
  <si>
    <t>055-94-7800</t>
  </si>
  <si>
    <t>073-64-7390</t>
  </si>
  <si>
    <t>063-58-5634</t>
  </si>
  <si>
    <t>103-78-6411</t>
  </si>
  <si>
    <t>055-96-1819</t>
  </si>
  <si>
    <t>088-66-3110</t>
  </si>
  <si>
    <t>096-46-5313</t>
  </si>
  <si>
    <t>747-91-0802</t>
  </si>
  <si>
    <t>134-46-7522</t>
  </si>
  <si>
    <t>099-54-7183</t>
  </si>
  <si>
    <t>071-58-7788</t>
  </si>
  <si>
    <t>130-40-8059</t>
  </si>
  <si>
    <t>076-34-0287</t>
  </si>
  <si>
    <t>061-46-7770</t>
  </si>
  <si>
    <t>000-00-7047</t>
  </si>
  <si>
    <t>092-88-9473</t>
  </si>
  <si>
    <t>106-96-5684</t>
  </si>
  <si>
    <t>093-62-2465</t>
  </si>
  <si>
    <t>107-64-6218</t>
  </si>
  <si>
    <t>125-66-2259</t>
  </si>
  <si>
    <t>073-58-2156</t>
  </si>
  <si>
    <t>115-64-4792</t>
  </si>
  <si>
    <t>048-44-4133</t>
  </si>
  <si>
    <t>772-49-7573</t>
  </si>
  <si>
    <t>000-00-0767</t>
  </si>
  <si>
    <t>057-72-1134</t>
  </si>
  <si>
    <t>145-54-8055</t>
  </si>
  <si>
    <t>059-66-2631</t>
  </si>
  <si>
    <t>073-58-3004</t>
  </si>
  <si>
    <t>113-78-0686</t>
  </si>
  <si>
    <t>609-90-2524</t>
  </si>
  <si>
    <t>133-98-6450</t>
  </si>
  <si>
    <t>102-74-9238</t>
  </si>
  <si>
    <t>085-54-4113</t>
  </si>
  <si>
    <t>100-62-5332</t>
  </si>
  <si>
    <t>713-06-5638</t>
  </si>
  <si>
    <t>058-68-6837</t>
  </si>
  <si>
    <t>557-61-4831</t>
  </si>
  <si>
    <t>102-74-5685</t>
  </si>
  <si>
    <t>704-29-2519</t>
  </si>
  <si>
    <t>584-42-3216</t>
  </si>
  <si>
    <t>116-76-1549</t>
  </si>
  <si>
    <t>092-44-8708</t>
  </si>
  <si>
    <t>103-92-8131</t>
  </si>
  <si>
    <t>125-62-2357</t>
  </si>
  <si>
    <t>110-68-7738</t>
  </si>
  <si>
    <t>122-92-9571</t>
  </si>
  <si>
    <t>055-88-0255</t>
  </si>
  <si>
    <t>079-56-7055</t>
  </si>
  <si>
    <t>056-56-2842</t>
  </si>
  <si>
    <t>104-40-4761</t>
  </si>
  <si>
    <t>119-78-3173</t>
  </si>
  <si>
    <t>116-76-2017</t>
  </si>
  <si>
    <t>100-58-7023</t>
  </si>
  <si>
    <t>089-52-0229</t>
  </si>
  <si>
    <t>589-65-0785</t>
  </si>
  <si>
    <t>122-36-8572</t>
  </si>
  <si>
    <t>449-51-0375</t>
  </si>
  <si>
    <t>062-48-8108</t>
  </si>
  <si>
    <t>097-54-4806</t>
  </si>
  <si>
    <t>104-56-1880</t>
  </si>
  <si>
    <t>050-70-0294</t>
  </si>
  <si>
    <t>082-90-2768</t>
  </si>
  <si>
    <t>095-50-0687</t>
  </si>
  <si>
    <t>051-56-8487</t>
  </si>
  <si>
    <t>069-84-7908</t>
  </si>
  <si>
    <t>301-76-1957</t>
  </si>
  <si>
    <t>129-66-1915</t>
  </si>
  <si>
    <t>056-50-4503</t>
  </si>
  <si>
    <t>579-27-6892</t>
  </si>
  <si>
    <t>078-50-4523</t>
  </si>
  <si>
    <t>581-95-9662</t>
  </si>
  <si>
    <t>099-72-8383</t>
  </si>
  <si>
    <t>050-44-4276</t>
  </si>
  <si>
    <t>098-74-3998</t>
  </si>
  <si>
    <t>065-94-5982</t>
  </si>
  <si>
    <t>130-62-1338</t>
  </si>
  <si>
    <t>110-56-4664</t>
  </si>
  <si>
    <t>114-96-8648</t>
  </si>
  <si>
    <t>050-38-2766</t>
  </si>
  <si>
    <t>132-64-1085</t>
  </si>
  <si>
    <t>101-96-4551</t>
  </si>
  <si>
    <t>070-74-7618</t>
  </si>
  <si>
    <t>109-72-9781</t>
  </si>
  <si>
    <t>161-13-7642</t>
  </si>
  <si>
    <t>581-58-8811</t>
  </si>
  <si>
    <t>591-70-6300</t>
  </si>
  <si>
    <t>577-82-3404</t>
  </si>
  <si>
    <t>083-70-5539</t>
  </si>
  <si>
    <t>110-52-2580</t>
  </si>
  <si>
    <t>115-62-3946</t>
  </si>
  <si>
    <t>044-36-8581</t>
  </si>
  <si>
    <t>112-76-3742</t>
  </si>
  <si>
    <t>095-64-7896</t>
  </si>
  <si>
    <t>134-80-3314</t>
  </si>
  <si>
    <t>129-58-2381</t>
  </si>
  <si>
    <t>583-93-4981</t>
  </si>
  <si>
    <t>088-58-2332</t>
  </si>
  <si>
    <t>096-60-7761</t>
  </si>
  <si>
    <t>101-50-0225</t>
  </si>
  <si>
    <t>110-50-3038</t>
  </si>
  <si>
    <t>642-42-2922</t>
  </si>
  <si>
    <t>063-72-4301</t>
  </si>
  <si>
    <t>102-52-2798</t>
  </si>
  <si>
    <t>134-64-2600</t>
  </si>
  <si>
    <t>116-76-8117</t>
  </si>
  <si>
    <t>090-56-0171</t>
  </si>
  <si>
    <t>112-68-0022</t>
  </si>
  <si>
    <t>599-18-0901</t>
  </si>
  <si>
    <t>080-60-6024</t>
  </si>
  <si>
    <t>255-48-9181</t>
  </si>
  <si>
    <t>597-68-9140</t>
  </si>
  <si>
    <t>068-58-3170</t>
  </si>
  <si>
    <t>084-64-9601</t>
  </si>
  <si>
    <t>128-58-0569</t>
  </si>
  <si>
    <t>065-68-0216</t>
  </si>
  <si>
    <t>098-76-3290</t>
  </si>
  <si>
    <t>127-66-4652</t>
  </si>
  <si>
    <t>114-38-1138</t>
  </si>
  <si>
    <t>097-56-6295</t>
  </si>
  <si>
    <t>899-10-1461</t>
  </si>
  <si>
    <t>077-64-3851</t>
  </si>
  <si>
    <t>054-46-8797</t>
  </si>
  <si>
    <t>103-62-0516</t>
  </si>
  <si>
    <t>070-42-3358</t>
  </si>
  <si>
    <t>113-48-5786</t>
  </si>
  <si>
    <t>581-52-1358</t>
  </si>
  <si>
    <t>091-54-0110</t>
  </si>
  <si>
    <t>123-70-8196</t>
  </si>
  <si>
    <t>580-08-9947</t>
  </si>
  <si>
    <t>101-70-6274</t>
  </si>
  <si>
    <t>099-94-4910</t>
  </si>
  <si>
    <t>087-70-8417</t>
  </si>
  <si>
    <t>781-72-0121</t>
  </si>
  <si>
    <t>054-62-4977</t>
  </si>
  <si>
    <t>072-06-3359</t>
  </si>
  <si>
    <t>571-57-6524</t>
  </si>
  <si>
    <t>207-63-8490</t>
  </si>
  <si>
    <t>093-58-1830</t>
  </si>
  <si>
    <t>587-11-1254</t>
  </si>
  <si>
    <t>075-82-6042</t>
  </si>
  <si>
    <t>056-54-7696</t>
  </si>
  <si>
    <t>583-53-8127</t>
  </si>
  <si>
    <t>093-58-5935</t>
  </si>
  <si>
    <t>106-66-2048</t>
  </si>
  <si>
    <t>080-74-9841</t>
  </si>
  <si>
    <t>688-88-7794</t>
  </si>
  <si>
    <t>050-74-4793</t>
  </si>
  <si>
    <t>073-94-6982</t>
  </si>
  <si>
    <t>098-84-2564</t>
  </si>
  <si>
    <t>108-80-0060</t>
  </si>
  <si>
    <t>074-58-9129</t>
  </si>
  <si>
    <t>124-36-7509</t>
  </si>
  <si>
    <t>099-70-0231</t>
  </si>
  <si>
    <t>051-86-7377</t>
  </si>
  <si>
    <t>080-58-3640</t>
  </si>
  <si>
    <t>130-96-6078</t>
  </si>
  <si>
    <t>125-56-5219</t>
  </si>
  <si>
    <t>067-66-6357</t>
  </si>
  <si>
    <t>093-56-6086</t>
  </si>
  <si>
    <t>584-70-9240</t>
  </si>
  <si>
    <t>076-88-2262</t>
  </si>
  <si>
    <t>238-35-3509</t>
  </si>
  <si>
    <t>101-90-4919</t>
  </si>
  <si>
    <t>120-56-1285</t>
  </si>
  <si>
    <t>068-74-1752</t>
  </si>
  <si>
    <t>129-88-3616</t>
  </si>
  <si>
    <t>085-70-4648</t>
  </si>
  <si>
    <t>109-48-6391</t>
  </si>
  <si>
    <t>103-76-9493</t>
  </si>
  <si>
    <t>583-10-6749</t>
  </si>
  <si>
    <t>087-70-0865</t>
  </si>
  <si>
    <t>163-64-3612</t>
  </si>
  <si>
    <t>096-58-7540</t>
  </si>
  <si>
    <t>084-58-8497</t>
  </si>
  <si>
    <t>060-66-5365</t>
  </si>
  <si>
    <t>098-82-2021</t>
  </si>
  <si>
    <t>057-62-3924</t>
  </si>
  <si>
    <t>061-80-3725</t>
  </si>
  <si>
    <t>093-52-7486</t>
  </si>
  <si>
    <t>097-72-8905</t>
  </si>
  <si>
    <t>584-42-4171</t>
  </si>
  <si>
    <t>598-28-5530</t>
  </si>
  <si>
    <t>061-54-4679</t>
  </si>
  <si>
    <t>111-66-9271</t>
  </si>
  <si>
    <t>089-92-3042</t>
  </si>
  <si>
    <t>106-84-5795</t>
  </si>
  <si>
    <t>683-78-6072</t>
  </si>
  <si>
    <t>087-48-0485</t>
  </si>
  <si>
    <t>082-80-2740</t>
  </si>
  <si>
    <t>102-66-7165</t>
  </si>
  <si>
    <t>123-66-3142</t>
  </si>
  <si>
    <t>057-58-7554</t>
  </si>
  <si>
    <t>000-00-5635</t>
  </si>
  <si>
    <t>128-72-5297</t>
  </si>
  <si>
    <t>814-80-9914</t>
  </si>
  <si>
    <t>100-60-0075</t>
  </si>
  <si>
    <t>249-57-8828</t>
  </si>
  <si>
    <t>116-84-3907</t>
  </si>
  <si>
    <t>119-84-0065</t>
  </si>
  <si>
    <t>151-13-2834</t>
  </si>
  <si>
    <t>062-32-4105</t>
  </si>
  <si>
    <t>392-06-9887</t>
  </si>
  <si>
    <t>125-70-6384</t>
  </si>
  <si>
    <t>063-66-5071</t>
  </si>
  <si>
    <t>084-40-6751</t>
  </si>
  <si>
    <t>050-72-4818</t>
  </si>
  <si>
    <t>069-56-4359</t>
  </si>
  <si>
    <t>127-72-3469</t>
  </si>
  <si>
    <t>118-44-5858</t>
  </si>
  <si>
    <t>599-05-7262</t>
  </si>
  <si>
    <t>122-96-6516</t>
  </si>
  <si>
    <t>072-60-0773</t>
  </si>
  <si>
    <t>563-65-6364</t>
  </si>
  <si>
    <t>075-70-4700</t>
  </si>
  <si>
    <t>059-68-0705</t>
  </si>
  <si>
    <t>056-58-1223</t>
  </si>
  <si>
    <t>070-02-2658</t>
  </si>
  <si>
    <t>072-99-0444</t>
  </si>
  <si>
    <t>074-64-4770</t>
  </si>
  <si>
    <t>115-64-5097</t>
  </si>
  <si>
    <t>096-76-7553</t>
  </si>
  <si>
    <t>103-80-3857</t>
  </si>
  <si>
    <t>219-08-7487</t>
  </si>
  <si>
    <t>079-62-2946</t>
  </si>
  <si>
    <t>113-94-1308</t>
  </si>
  <si>
    <t>095-52-2435</t>
  </si>
  <si>
    <t>051-96-1553</t>
  </si>
  <si>
    <t>082-80-3856</t>
  </si>
  <si>
    <t>064-50-9043</t>
  </si>
  <si>
    <t>064-70-8537</t>
  </si>
  <si>
    <t>065-92-7624</t>
  </si>
  <si>
    <t>353-29-8631</t>
  </si>
  <si>
    <t>106-74-5124</t>
  </si>
  <si>
    <t>114-50-2746</t>
  </si>
  <si>
    <t>076-62-7753</t>
  </si>
  <si>
    <t>066-74-5501</t>
  </si>
  <si>
    <t>787-71-8984</t>
  </si>
  <si>
    <t>056-94-4122</t>
  </si>
  <si>
    <t>101-92-6949</t>
  </si>
  <si>
    <t>061-58-5137</t>
  </si>
  <si>
    <t>057-58-0003</t>
  </si>
  <si>
    <t>092-70-5036</t>
  </si>
  <si>
    <t>536-59-1674</t>
  </si>
  <si>
    <t>115-50-9001</t>
  </si>
  <si>
    <t>084-40-3863</t>
  </si>
  <si>
    <t>103-58-3320</t>
  </si>
  <si>
    <t>684-72-6783</t>
  </si>
  <si>
    <t>080-54-1323</t>
  </si>
  <si>
    <t>093-64-0552</t>
  </si>
  <si>
    <t>102-38-5049</t>
  </si>
  <si>
    <t>066-64-0517</t>
  </si>
  <si>
    <t>087-86-1927</t>
  </si>
  <si>
    <t>058-58-6771</t>
  </si>
  <si>
    <t>092-80-5892</t>
  </si>
  <si>
    <t>100-56-0390</t>
  </si>
  <si>
    <t>054-76-9276</t>
  </si>
  <si>
    <t>593-68-4628</t>
  </si>
  <si>
    <t>083-58-6730</t>
  </si>
  <si>
    <t>069-36-0535</t>
  </si>
  <si>
    <t>086-82-3291</t>
  </si>
  <si>
    <t>120-72-3026</t>
  </si>
  <si>
    <t>113-56-5950</t>
  </si>
  <si>
    <t>123-56-5512</t>
  </si>
  <si>
    <t>109-78-0037</t>
  </si>
  <si>
    <t>079-60-9955</t>
  </si>
  <si>
    <t>055-42-4435</t>
  </si>
  <si>
    <t>124-86-8842</t>
  </si>
  <si>
    <t>128-66-3345</t>
  </si>
  <si>
    <t>082-94-7748</t>
  </si>
  <si>
    <t>051-44-8078</t>
  </si>
  <si>
    <t>056-76-4739</t>
  </si>
  <si>
    <t>307-08-1052</t>
  </si>
  <si>
    <t>583-55-4865</t>
  </si>
  <si>
    <t>066-80-9425</t>
  </si>
  <si>
    <t>087-68-2494</t>
  </si>
  <si>
    <t>104-72-0097</t>
  </si>
  <si>
    <t>077-74-7379</t>
  </si>
  <si>
    <t>065-86-7908</t>
  </si>
  <si>
    <t>126-62-1884</t>
  </si>
  <si>
    <t>063-42-7156</t>
  </si>
  <si>
    <t>131-98-9450</t>
  </si>
  <si>
    <t>087-88-2646</t>
  </si>
  <si>
    <t>310-40-7635</t>
  </si>
  <si>
    <t>166-82-5856</t>
  </si>
  <si>
    <t>069-50-1759</t>
  </si>
  <si>
    <t>766-84-5718</t>
  </si>
  <si>
    <t>067-94-7136</t>
  </si>
  <si>
    <t>143-58-8362</t>
  </si>
  <si>
    <t>674-61-5452</t>
  </si>
  <si>
    <t>073-76-4651</t>
  </si>
  <si>
    <t>139-68-0535</t>
  </si>
  <si>
    <t>118-98-0830</t>
  </si>
  <si>
    <t>111-32-6771</t>
  </si>
  <si>
    <t>126-86-8686</t>
  </si>
  <si>
    <t>224-91-1249</t>
  </si>
  <si>
    <t>104-66-7145</t>
  </si>
  <si>
    <t>132-98-0199</t>
  </si>
  <si>
    <t>124-74-1426</t>
  </si>
  <si>
    <t>578-96-1026</t>
  </si>
  <si>
    <t>081-76-1864</t>
  </si>
  <si>
    <t>084-60-8407</t>
  </si>
  <si>
    <t>153-08-0869</t>
  </si>
  <si>
    <t>733-05-2838</t>
  </si>
  <si>
    <t>110-58-6856</t>
  </si>
  <si>
    <t>068-62-8250</t>
  </si>
  <si>
    <t>088-48-0229</t>
  </si>
  <si>
    <t>095-70-8455</t>
  </si>
  <si>
    <t>077-66-5969</t>
  </si>
  <si>
    <t>598-18-9934</t>
  </si>
  <si>
    <t>057-72-7071</t>
  </si>
  <si>
    <t>102-54-8131</t>
  </si>
  <si>
    <t>102-64-5296</t>
  </si>
  <si>
    <t>098-48-8020</t>
  </si>
  <si>
    <t>131-88-1132</t>
  </si>
  <si>
    <t>127-68-3916</t>
  </si>
  <si>
    <t>084-62-0665</t>
  </si>
  <si>
    <t>064-36-4773</t>
  </si>
  <si>
    <t>104-70-8789</t>
  </si>
  <si>
    <t>132-70-3985</t>
  </si>
  <si>
    <t>130-58-0762</t>
  </si>
  <si>
    <t>730-03-3178</t>
  </si>
  <si>
    <t>156-88-8581</t>
  </si>
  <si>
    <t>092-82-8846</t>
  </si>
  <si>
    <t>098-84-0667</t>
  </si>
  <si>
    <t>091-64-0320</t>
  </si>
  <si>
    <t>066-58-0283</t>
  </si>
  <si>
    <t>064-46-9636</t>
  </si>
  <si>
    <t>109-68-7301</t>
  </si>
  <si>
    <t>121-36-2263</t>
  </si>
  <si>
    <t>092-76-4613</t>
  </si>
  <si>
    <t>127-90-8857</t>
  </si>
  <si>
    <t>068-62-7092</t>
  </si>
  <si>
    <t>000-00-4645</t>
  </si>
  <si>
    <t>099-70-6841</t>
  </si>
  <si>
    <t>044-76-7169</t>
  </si>
  <si>
    <t>128-48-9058</t>
  </si>
  <si>
    <t>066-30-6599</t>
  </si>
  <si>
    <t>063-56-3781</t>
  </si>
  <si>
    <t>096-54-3033</t>
  </si>
  <si>
    <t>594-61-9285</t>
  </si>
  <si>
    <t>069-70-3734</t>
  </si>
  <si>
    <t>082-86-5006</t>
  </si>
  <si>
    <t>099-78-9927</t>
  </si>
  <si>
    <t>104-58-3730</t>
  </si>
  <si>
    <t>053-68-0906</t>
  </si>
  <si>
    <t>054-70-7818</t>
  </si>
  <si>
    <t>050-68-0976</t>
  </si>
  <si>
    <t>103-90-6171</t>
  </si>
  <si>
    <t>124-48-6082</t>
  </si>
  <si>
    <t>099-64-4984</t>
  </si>
  <si>
    <t>565-63-5539</t>
  </si>
  <si>
    <t>115-26-6749</t>
  </si>
  <si>
    <t>121-92-7488</t>
  </si>
  <si>
    <t>092-36-2585</t>
  </si>
  <si>
    <t>733-05-3189</t>
  </si>
  <si>
    <t>073-86-8315</t>
  </si>
  <si>
    <t>129-54-5284</t>
  </si>
  <si>
    <t>081-60-1915</t>
  </si>
  <si>
    <t>112-55-6697</t>
  </si>
  <si>
    <t>124-92-1860</t>
  </si>
  <si>
    <t>068-48-9122</t>
  </si>
  <si>
    <t>091-76-8241</t>
  </si>
  <si>
    <t>116-64-3924</t>
  </si>
  <si>
    <t>119-50-5441</t>
  </si>
  <si>
    <t>062-46-9356</t>
  </si>
  <si>
    <t>134-54-2784</t>
  </si>
  <si>
    <t>103-70-0703</t>
  </si>
  <si>
    <t>058-56-6015</t>
  </si>
  <si>
    <t>081-44-8415</t>
  </si>
  <si>
    <t>054-78-3105</t>
  </si>
  <si>
    <t>084-56-6185</t>
  </si>
  <si>
    <t>669-43-9431</t>
  </si>
  <si>
    <t>062-86-0887</t>
  </si>
  <si>
    <t>108-52-5724</t>
  </si>
  <si>
    <t>073-64-0580</t>
  </si>
  <si>
    <t>084-64-3092</t>
  </si>
  <si>
    <t>078-36-0108</t>
  </si>
  <si>
    <t>126-92-8879</t>
  </si>
  <si>
    <t>110-98-2719</t>
  </si>
  <si>
    <t>125-66-2206</t>
  </si>
  <si>
    <t>087-54-4349</t>
  </si>
  <si>
    <t>584-20-3844</t>
  </si>
  <si>
    <t>114-92-7555</t>
  </si>
  <si>
    <t>829-84-4797</t>
  </si>
  <si>
    <t>090-80-6248</t>
  </si>
  <si>
    <t>134-60-5698</t>
  </si>
  <si>
    <t>098-56-0448</t>
  </si>
  <si>
    <t>115-78-7442</t>
  </si>
  <si>
    <t>095-66-0430</t>
  </si>
  <si>
    <t>128-56-3571</t>
  </si>
  <si>
    <t>124-84-7635</t>
  </si>
  <si>
    <t>064-72-3594</t>
  </si>
  <si>
    <t>109-98-0954</t>
  </si>
  <si>
    <t>057-34-1734</t>
  </si>
  <si>
    <t>121-62-9499</t>
  </si>
  <si>
    <t>121-76-0856</t>
  </si>
  <si>
    <t>065-02-4697</t>
  </si>
  <si>
    <t>597-01-1090</t>
  </si>
  <si>
    <t>101-60-2448</t>
  </si>
  <si>
    <t>078-64-6082</t>
  </si>
  <si>
    <t>082-56-0574</t>
  </si>
  <si>
    <t>692-08-8274</t>
  </si>
  <si>
    <t>122-96-7816</t>
  </si>
  <si>
    <t>154-98-2486</t>
  </si>
  <si>
    <t>146-54-3608</t>
  </si>
  <si>
    <t>238-70-2265</t>
  </si>
  <si>
    <t>328-08-6963</t>
  </si>
  <si>
    <t>065-62-6293</t>
  </si>
  <si>
    <t>071-78-9217</t>
  </si>
  <si>
    <t>210-48-6849</t>
  </si>
  <si>
    <t>075-02-3283</t>
  </si>
  <si>
    <t>085-94-5324</t>
  </si>
  <si>
    <t>734-35-5995</t>
  </si>
  <si>
    <t>099-86-5531</t>
  </si>
  <si>
    <t>110-56-4384</t>
  </si>
  <si>
    <t>878-38-2752</t>
  </si>
  <si>
    <t>106-50-0810</t>
  </si>
  <si>
    <t>131-52-8503</t>
  </si>
  <si>
    <t>584-46-6467</t>
  </si>
  <si>
    <t>327-02-3517</t>
  </si>
  <si>
    <t>580-09-3528</t>
  </si>
  <si>
    <t>065-64-9559</t>
  </si>
  <si>
    <t>090-34-7581</t>
  </si>
  <si>
    <t>060-84-7321</t>
  </si>
  <si>
    <t>114-52-3925</t>
  </si>
  <si>
    <t>228-37-3070</t>
  </si>
  <si>
    <t>132-78-0971</t>
  </si>
  <si>
    <t>114-64-5928</t>
  </si>
  <si>
    <t>081-86-0678</t>
  </si>
  <si>
    <t>102-80-6559</t>
  </si>
  <si>
    <t>082-60-7633</t>
  </si>
  <si>
    <t>000-00-0578</t>
  </si>
  <si>
    <t>127-84-4500</t>
  </si>
  <si>
    <t>776-53-4742</t>
  </si>
  <si>
    <t>110-42-2566</t>
  </si>
  <si>
    <t>133-82-3246</t>
  </si>
  <si>
    <t>106-60-1415</t>
  </si>
  <si>
    <t>124-80-0003</t>
  </si>
  <si>
    <t>097-46-4066</t>
  </si>
  <si>
    <t>102-52-2299</t>
  </si>
  <si>
    <t>733-14-0281</t>
  </si>
  <si>
    <t>055-46-0017</t>
  </si>
  <si>
    <t>050-98-8026</t>
  </si>
  <si>
    <t>063-94-3286</t>
  </si>
  <si>
    <t>068-44-5769</t>
  </si>
  <si>
    <t>235-96-9256</t>
  </si>
  <si>
    <t>087-56-8129</t>
  </si>
  <si>
    <t>554-63-9553</t>
  </si>
  <si>
    <t>116-68-5912</t>
  </si>
  <si>
    <t>088-86-0445</t>
  </si>
  <si>
    <t>683-80-1255</t>
  </si>
  <si>
    <t>130-74-8199</t>
  </si>
  <si>
    <t>098-62-3272</t>
  </si>
  <si>
    <t>133-96-5864</t>
  </si>
  <si>
    <t>107-84-2475</t>
  </si>
  <si>
    <t>119-82-3694</t>
  </si>
  <si>
    <t>065-78-1982</t>
  </si>
  <si>
    <t>092-96-8574</t>
  </si>
  <si>
    <t>212-37-6831</t>
  </si>
  <si>
    <t>109-60-5117</t>
  </si>
  <si>
    <t>111-84-8498</t>
  </si>
  <si>
    <t>060-44-6788</t>
  </si>
  <si>
    <t>128-68-4629</t>
  </si>
  <si>
    <t>091-58-2858</t>
  </si>
  <si>
    <t>072-72-5060</t>
  </si>
  <si>
    <t>120-70-7281</t>
  </si>
  <si>
    <t>053-42-0721</t>
  </si>
  <si>
    <t>324-47-8551</t>
  </si>
  <si>
    <t>581-29-4740</t>
  </si>
  <si>
    <t>405-58-8760</t>
  </si>
  <si>
    <t>070-50-4326</t>
  </si>
  <si>
    <t>122-58-7391</t>
  </si>
  <si>
    <t>104-80-5668</t>
  </si>
  <si>
    <t>063-62-0573</t>
  </si>
  <si>
    <t>079-02-2975</t>
  </si>
  <si>
    <t>584-68-9259</t>
  </si>
  <si>
    <t>056-90-0633</t>
  </si>
  <si>
    <t>584-49-2612</t>
  </si>
  <si>
    <t>075-50-0503</t>
  </si>
  <si>
    <t>110-46-8415</t>
  </si>
  <si>
    <t>582-20-3647</t>
  </si>
  <si>
    <t>110-80-3549</t>
  </si>
  <si>
    <t>087-48-8565</t>
  </si>
  <si>
    <t>103-92-3037</t>
  </si>
  <si>
    <t>076-56-5231</t>
  </si>
  <si>
    <t>141-70-7225</t>
  </si>
  <si>
    <t>057-86-3392</t>
  </si>
  <si>
    <t>062-68-2973</t>
  </si>
  <si>
    <t>091-62-0877</t>
  </si>
  <si>
    <t>593-49-4140</t>
  </si>
  <si>
    <t>104-82-9128</t>
  </si>
  <si>
    <t>219-57-1660</t>
  </si>
  <si>
    <t>320-62-6922</t>
  </si>
  <si>
    <t>086-86-8579</t>
  </si>
  <si>
    <t>097-56-1731</t>
  </si>
  <si>
    <t>153-23-1649</t>
  </si>
  <si>
    <t>796-05-7637</t>
  </si>
  <si>
    <t>071-82-2485</t>
  </si>
  <si>
    <t>050-78-8444</t>
  </si>
  <si>
    <t>094-80-6897</t>
  </si>
  <si>
    <t>674-22-9141</t>
  </si>
  <si>
    <t>059-84-4964</t>
  </si>
  <si>
    <t>066-54-4364</t>
  </si>
  <si>
    <t>099-50-3046</t>
  </si>
  <si>
    <t>071-58-1509</t>
  </si>
  <si>
    <t>599-42-2857</t>
  </si>
  <si>
    <t>109-80-2647</t>
  </si>
  <si>
    <t>133-76-7477</t>
  </si>
  <si>
    <t>071-74-2378</t>
  </si>
  <si>
    <t>128-44-8364</t>
  </si>
  <si>
    <t>070-60-0415</t>
  </si>
  <si>
    <t>547-81-3237</t>
  </si>
  <si>
    <t>096-70-2527</t>
  </si>
  <si>
    <t>076-56-3700</t>
  </si>
  <si>
    <t>597-40-9398</t>
  </si>
  <si>
    <t>054-76-8687</t>
  </si>
  <si>
    <t>111-64-1667</t>
  </si>
  <si>
    <t>086-44-7534</t>
  </si>
  <si>
    <t>067-50-3055</t>
  </si>
  <si>
    <t>064-82-8323</t>
  </si>
  <si>
    <t>045-90-4490</t>
  </si>
  <si>
    <t>068-92-9624</t>
  </si>
  <si>
    <t>129-68-0090</t>
  </si>
  <si>
    <t>085-74-3411</t>
  </si>
  <si>
    <t>079-62-4510</t>
  </si>
  <si>
    <t>054-44-2787</t>
  </si>
  <si>
    <t>161-60-9254</t>
  </si>
  <si>
    <t>125-54-4035</t>
  </si>
  <si>
    <t>279-84-6135</t>
  </si>
  <si>
    <t>010-53-0700</t>
  </si>
  <si>
    <t>119-66-8866</t>
  </si>
  <si>
    <t>583-66-4810</t>
  </si>
  <si>
    <t>134-60-0780</t>
  </si>
  <si>
    <t>115-64-0895</t>
  </si>
  <si>
    <t>096-56-6778</t>
  </si>
  <si>
    <t>073-46-1857</t>
  </si>
  <si>
    <t>434-88-6221</t>
  </si>
  <si>
    <t>110-50-1845</t>
  </si>
  <si>
    <t>114-90-3586</t>
  </si>
  <si>
    <t>091-60-4689</t>
  </si>
  <si>
    <t>224-66-4717</t>
  </si>
  <si>
    <t>226-42-0198</t>
  </si>
  <si>
    <t>108-70-6242</t>
  </si>
  <si>
    <t>069-62-0225</t>
  </si>
  <si>
    <t>050-60-5896</t>
  </si>
  <si>
    <t>126-58-0472</t>
  </si>
  <si>
    <t>146-40-5259</t>
  </si>
  <si>
    <t>039-94-3421</t>
  </si>
  <si>
    <t>102-70-6925</t>
  </si>
  <si>
    <t>059-62-4508</t>
  </si>
  <si>
    <t>090-66-0787</t>
  </si>
  <si>
    <t>023-64-7040</t>
  </si>
  <si>
    <t>035-52-2238</t>
  </si>
  <si>
    <t>090-74-0141</t>
  </si>
  <si>
    <t>084-78-0643</t>
  </si>
  <si>
    <t>589-78-5100</t>
  </si>
  <si>
    <t>083-96-8173</t>
  </si>
  <si>
    <t>771-14-6160</t>
  </si>
  <si>
    <t>001-40-5808</t>
  </si>
  <si>
    <t>100-62-8951</t>
  </si>
  <si>
    <t>094-62-3141</t>
  </si>
  <si>
    <t>104-90-1385</t>
  </si>
  <si>
    <t>591-53-5062</t>
  </si>
  <si>
    <t>243-37-0811</t>
  </si>
  <si>
    <t>584-22-2485</t>
  </si>
  <si>
    <t>106-52-7507</t>
  </si>
  <si>
    <t>053-70-8178</t>
  </si>
  <si>
    <t>078-68-6815</t>
  </si>
  <si>
    <t>000-00-9141</t>
  </si>
  <si>
    <t>093-84-1108</t>
  </si>
  <si>
    <t>052-70-1011</t>
  </si>
  <si>
    <t>729-05-2715</t>
  </si>
  <si>
    <t>053-78-0833</t>
  </si>
  <si>
    <t>134-62-2017</t>
  </si>
  <si>
    <t>120-56-2056</t>
  </si>
  <si>
    <t>097-46-8892</t>
  </si>
  <si>
    <t>065-70-5943</t>
  </si>
  <si>
    <t>091-86-4740</t>
  </si>
  <si>
    <t>084-64-5177</t>
  </si>
  <si>
    <t>102-32-1459</t>
  </si>
  <si>
    <t>070-58-2475</t>
  </si>
  <si>
    <t>583-49-7943</t>
  </si>
  <si>
    <t>226-42-0056</t>
  </si>
  <si>
    <t>063-58-2249</t>
  </si>
  <si>
    <t>122-60-7022</t>
  </si>
  <si>
    <t>098-58-6018</t>
  </si>
  <si>
    <t>133-58-8417</t>
  </si>
  <si>
    <t>099-74-4533</t>
  </si>
  <si>
    <t>095-66-8563</t>
  </si>
  <si>
    <t>066-58-1506</t>
  </si>
  <si>
    <t>061-92-7276</t>
  </si>
  <si>
    <t>056-82-5082</t>
  </si>
  <si>
    <t>084-48-9295</t>
  </si>
  <si>
    <t>072-70-3261</t>
  </si>
  <si>
    <t>107-60-0130</t>
  </si>
  <si>
    <t>132-60-7849</t>
  </si>
  <si>
    <t>067-72-0921</t>
  </si>
  <si>
    <t>057-54-3320</t>
  </si>
  <si>
    <t>059-72-3495</t>
  </si>
  <si>
    <t>128-86-4539</t>
  </si>
  <si>
    <t>124-60-8351</t>
  </si>
  <si>
    <t>124-60-9349</t>
  </si>
  <si>
    <t>111-50-9846</t>
  </si>
  <si>
    <t>051-66-4792</t>
  </si>
  <si>
    <t>086-68-8306</t>
  </si>
  <si>
    <t>087-38-8806</t>
  </si>
  <si>
    <t>061-68-4196</t>
  </si>
  <si>
    <t>103-68-6099</t>
  </si>
  <si>
    <t>223-27-9379</t>
  </si>
  <si>
    <t>066-56-7426</t>
  </si>
  <si>
    <t>070-86-6463</t>
  </si>
  <si>
    <t>126-52-2666</t>
  </si>
  <si>
    <t>101-78-7938</t>
  </si>
  <si>
    <t>095-78-5778</t>
  </si>
  <si>
    <t>099-76-9869</t>
  </si>
  <si>
    <t>085-50-8778</t>
  </si>
  <si>
    <t>000-00-1345</t>
  </si>
  <si>
    <t>237-76-0072</t>
  </si>
  <si>
    <t>094-42-3199</t>
  </si>
  <si>
    <t>042-84-4526</t>
  </si>
  <si>
    <t>871-50-6313</t>
  </si>
  <si>
    <t>097-46-5647</t>
  </si>
  <si>
    <t>111-68-4822</t>
  </si>
  <si>
    <t>056-56-2668</t>
  </si>
  <si>
    <t>065-58-8381</t>
  </si>
  <si>
    <t>000-00-1917</t>
  </si>
  <si>
    <t>106-76-4825</t>
  </si>
  <si>
    <t>054-36-0671</t>
  </si>
  <si>
    <t>060-68-4231</t>
  </si>
  <si>
    <t>089-52-0422</t>
  </si>
  <si>
    <t>072-68-5772</t>
  </si>
  <si>
    <t>081-58-1347</t>
  </si>
  <si>
    <t>074-94-4927</t>
  </si>
  <si>
    <t>130-74-0257</t>
  </si>
  <si>
    <t>087-88-8588</t>
  </si>
  <si>
    <t>056-58-6108</t>
  </si>
  <si>
    <t>082-92-3372</t>
  </si>
  <si>
    <t>086-86-7881</t>
  </si>
  <si>
    <t>268-58-1948</t>
  </si>
  <si>
    <t>121-68-3730</t>
  </si>
  <si>
    <t>088-72-4342</t>
  </si>
  <si>
    <t>000-00-2027</t>
  </si>
  <si>
    <t>106-52-4267</t>
  </si>
  <si>
    <t>240-65-4993</t>
  </si>
  <si>
    <t>040-44-4305</t>
  </si>
  <si>
    <t>139-76-6836</t>
  </si>
  <si>
    <t>109-54-9435</t>
  </si>
  <si>
    <t>108-58-4105</t>
  </si>
  <si>
    <t>638-05-1804</t>
  </si>
  <si>
    <t>054-82-3620</t>
  </si>
  <si>
    <t>070-38-8858</t>
  </si>
  <si>
    <t>079-88-6299</t>
  </si>
  <si>
    <t>524-35-4241</t>
  </si>
  <si>
    <t>106-74-7221</t>
  </si>
  <si>
    <t>581-17-4157</t>
  </si>
  <si>
    <t>055-66-0947</t>
  </si>
  <si>
    <t>113-52-3165</t>
  </si>
  <si>
    <t>102-62-1065</t>
  </si>
  <si>
    <t>583-47-9113</t>
  </si>
  <si>
    <t>599-30-6722</t>
  </si>
  <si>
    <t>076-58-6329</t>
  </si>
  <si>
    <t>108-96-0585</t>
  </si>
  <si>
    <t>096-86-1305</t>
  </si>
  <si>
    <t>075-80-7648</t>
  </si>
  <si>
    <t>067-82-2960</t>
  </si>
  <si>
    <t>089-94-0555</t>
  </si>
  <si>
    <t>070-70-4249</t>
  </si>
  <si>
    <t>093-02-1337</t>
  </si>
  <si>
    <t>123-82-3083</t>
  </si>
  <si>
    <t>583-88-6272</t>
  </si>
  <si>
    <t>000-00-3124</t>
  </si>
  <si>
    <t>056-02-0536</t>
  </si>
  <si>
    <t>059-62-2772</t>
  </si>
  <si>
    <t>067-64-5583</t>
  </si>
  <si>
    <t>093-40-7948</t>
  </si>
  <si>
    <t>087-90-4299</t>
  </si>
  <si>
    <t>580-31-9137</t>
  </si>
  <si>
    <t>068-68-1905</t>
  </si>
  <si>
    <t>104-40-2270</t>
  </si>
  <si>
    <t>161-46-3593</t>
  </si>
  <si>
    <t>125-52-9600</t>
  </si>
  <si>
    <t>116-58-8097</t>
  </si>
  <si>
    <t>063-88-8107</t>
  </si>
  <si>
    <t>093-34-7981</t>
  </si>
  <si>
    <t>154-08-0805</t>
  </si>
  <si>
    <t>070-64-2397</t>
  </si>
  <si>
    <t>119-64-7428</t>
  </si>
  <si>
    <t>059-80-0306</t>
  </si>
  <si>
    <t>834-39-7402</t>
  </si>
  <si>
    <t>067-86-8614</t>
  </si>
  <si>
    <t>093-84-9934</t>
  </si>
  <si>
    <t>599-54-1807</t>
  </si>
  <si>
    <t>070-84-4054</t>
  </si>
  <si>
    <t>094-52-6257</t>
  </si>
  <si>
    <t>052-78-3091</t>
  </si>
  <si>
    <t>097-56-4301</t>
  </si>
  <si>
    <t>113-58-3134</t>
  </si>
  <si>
    <t>074-90-4704</t>
  </si>
  <si>
    <t>732-12-1789</t>
  </si>
  <si>
    <t>056-58-0890</t>
  </si>
  <si>
    <t>061-64-6284</t>
  </si>
  <si>
    <t>060-62-0906</t>
  </si>
  <si>
    <t>066-68-6207</t>
  </si>
  <si>
    <t>131-60-0990</t>
  </si>
  <si>
    <t>068-56-0549</t>
  </si>
  <si>
    <t>162-56-2257</t>
  </si>
  <si>
    <t>069-64-6705</t>
  </si>
  <si>
    <t>082-50-7868</t>
  </si>
  <si>
    <t>101-98-1335</t>
  </si>
  <si>
    <t>093-98-2260</t>
  </si>
  <si>
    <t>075-86-6400</t>
  </si>
  <si>
    <t>250-86-3335</t>
  </si>
  <si>
    <t>584-83-3946</t>
  </si>
  <si>
    <t>593-43-6363</t>
  </si>
  <si>
    <t>130-70-1345</t>
  </si>
  <si>
    <t>098-56-6732</t>
  </si>
  <si>
    <t>102-94-0143</t>
  </si>
  <si>
    <t>077-68-1578</t>
  </si>
  <si>
    <t>051-92-4633</t>
  </si>
  <si>
    <t>131-74-0421</t>
  </si>
  <si>
    <t>110-92-7375</t>
  </si>
  <si>
    <t>041-54-4375</t>
  </si>
  <si>
    <t>074-56-4689</t>
  </si>
  <si>
    <t>102-58-5187</t>
  </si>
  <si>
    <t>098-70-8259</t>
  </si>
  <si>
    <t>112-98-9048</t>
  </si>
  <si>
    <t>255-49-5126</t>
  </si>
  <si>
    <t>126-62-8996</t>
  </si>
  <si>
    <t>077-84-9118</t>
  </si>
  <si>
    <t>061-86-3888</t>
  </si>
  <si>
    <t>077-58-3195</t>
  </si>
  <si>
    <t>083-56-0492</t>
  </si>
  <si>
    <t>081-70-7919</t>
  </si>
  <si>
    <t>034-92-4095</t>
  </si>
  <si>
    <t>055-30-5133</t>
  </si>
  <si>
    <t>063-68-4933</t>
  </si>
  <si>
    <t>116-46-4135</t>
  </si>
  <si>
    <t>061-70-3082</t>
  </si>
  <si>
    <t>248-96-0403</t>
  </si>
  <si>
    <t>114-54-5353</t>
  </si>
  <si>
    <t>130-82-3494</t>
  </si>
  <si>
    <t>080-60-6161</t>
  </si>
  <si>
    <t>713-32-7826</t>
  </si>
  <si>
    <t>218-82-3130</t>
  </si>
  <si>
    <t>114-68-3712</t>
  </si>
  <si>
    <t>145-80-2045</t>
  </si>
  <si>
    <t>128-82-8527</t>
  </si>
  <si>
    <t>978-76-6411</t>
  </si>
  <si>
    <t>103-64-2730</t>
  </si>
  <si>
    <t>081-58-3960</t>
  </si>
  <si>
    <t>077-76-7722</t>
  </si>
  <si>
    <t>116-56-1750</t>
  </si>
  <si>
    <t>084-88-0644</t>
  </si>
  <si>
    <t>092-76-0252</t>
  </si>
  <si>
    <t>131-84-4240</t>
  </si>
  <si>
    <t>118-92-8137</t>
  </si>
  <si>
    <t>066-84-5718</t>
  </si>
  <si>
    <t>091-58-4864</t>
  </si>
  <si>
    <t>083-68-2057</t>
  </si>
  <si>
    <t>073-68-8460</t>
  </si>
  <si>
    <t>052-02-9690</t>
  </si>
  <si>
    <t>107-84-1289</t>
  </si>
  <si>
    <t>120-58-1235</t>
  </si>
  <si>
    <t>108-90-0595</t>
  </si>
  <si>
    <t>114-42-2362</t>
  </si>
  <si>
    <t>125-58-2970</t>
  </si>
  <si>
    <t>118-54-2101</t>
  </si>
  <si>
    <t>179-26-3500</t>
  </si>
  <si>
    <t>072-58-4493</t>
  </si>
  <si>
    <t>086-74-0296</t>
  </si>
  <si>
    <t>117-56-2726</t>
  </si>
  <si>
    <t>067-84-9513</t>
  </si>
  <si>
    <t>117-66-5057</t>
  </si>
  <si>
    <t>080-68-3619</t>
  </si>
  <si>
    <t>042-98-8316</t>
  </si>
  <si>
    <t>003-02-5917</t>
  </si>
  <si>
    <t>739-31-6995</t>
  </si>
  <si>
    <t>109-46-1695</t>
  </si>
  <si>
    <t>078-82-0313</t>
  </si>
  <si>
    <t>112-90-9797</t>
  </si>
  <si>
    <t>077-86-5090</t>
  </si>
  <si>
    <t>059-42-3434</t>
  </si>
  <si>
    <t>053-86-1216</t>
  </si>
  <si>
    <t>128-70-9746</t>
  </si>
  <si>
    <t>078-86-1390</t>
  </si>
  <si>
    <t>068-58-4511</t>
  </si>
  <si>
    <t>071-50-6394</t>
  </si>
  <si>
    <t>102-64-7663</t>
  </si>
  <si>
    <t>097-92-4060</t>
  </si>
  <si>
    <t>581-57-2774</t>
  </si>
  <si>
    <t>097-88-7572</t>
  </si>
  <si>
    <t>100-68-5010</t>
  </si>
  <si>
    <t>110-50-0439</t>
  </si>
  <si>
    <t>597-22-1405</t>
  </si>
  <si>
    <t>656-12-1761</t>
  </si>
  <si>
    <t>115-72-0616</t>
  </si>
  <si>
    <t>115-44-9167</t>
  </si>
  <si>
    <t>079-02-1486</t>
  </si>
  <si>
    <t>087-46-9845</t>
  </si>
  <si>
    <t>130-96-5423</t>
  </si>
  <si>
    <t>080-58-8761</t>
  </si>
  <si>
    <t>417-17-7438</t>
  </si>
  <si>
    <t>582-75-0639</t>
  </si>
  <si>
    <t>057-70-5487</t>
  </si>
  <si>
    <t>128-74-2678</t>
  </si>
  <si>
    <t>104-94-2708</t>
  </si>
  <si>
    <t>584-13-7079</t>
  </si>
  <si>
    <t>073-68-5684</t>
  </si>
  <si>
    <t>055-76-8328</t>
  </si>
  <si>
    <t>053-70-6479</t>
  </si>
  <si>
    <t>073-60-8638</t>
  </si>
  <si>
    <t>041-78-7596</t>
  </si>
  <si>
    <t>154-72-0727</t>
  </si>
  <si>
    <t>059-68-5916</t>
  </si>
  <si>
    <t>068-72-0362</t>
  </si>
  <si>
    <t>088-94-5194</t>
  </si>
  <si>
    <t>095-60-0905</t>
  </si>
  <si>
    <t>244-19-4896</t>
  </si>
  <si>
    <t>083-70-1358</t>
  </si>
  <si>
    <t>051-70-4056</t>
  </si>
  <si>
    <t>078-54-2726</t>
  </si>
  <si>
    <t>051-02-3591</t>
  </si>
  <si>
    <t>075-86-3167</t>
  </si>
  <si>
    <t>108-60-4913</t>
  </si>
  <si>
    <t>107-60-8069</t>
  </si>
  <si>
    <t>087-98-5687</t>
  </si>
  <si>
    <t>130-66-4429</t>
  </si>
  <si>
    <t>093-74-9400</t>
  </si>
  <si>
    <t>082-54-0161</t>
  </si>
  <si>
    <t>071-90-5225</t>
  </si>
  <si>
    <t>125-96-6786</t>
  </si>
  <si>
    <t>523-04-2714</t>
  </si>
  <si>
    <t>126-26-4584</t>
  </si>
  <si>
    <t>105-58-9177</t>
  </si>
  <si>
    <t>095-58-2750</t>
  </si>
  <si>
    <t>057-66-1506</t>
  </si>
  <si>
    <t>812-05-4081</t>
  </si>
  <si>
    <t>116-60-1839</t>
  </si>
  <si>
    <t>560-85-9457</t>
  </si>
  <si>
    <t>248-11-9611</t>
  </si>
  <si>
    <t>101-94-6385</t>
  </si>
  <si>
    <t>130-50-2135</t>
  </si>
  <si>
    <t>093-66-6910</t>
  </si>
  <si>
    <t>064-88-2412</t>
  </si>
  <si>
    <t>070-76-8863</t>
  </si>
  <si>
    <t>070-58-4215</t>
  </si>
  <si>
    <t>097-68-3857</t>
  </si>
  <si>
    <t>113-78-0481</t>
  </si>
  <si>
    <t>051-82-1790</t>
  </si>
  <si>
    <t>054-68-3745</t>
  </si>
  <si>
    <t>094-78-5714</t>
  </si>
  <si>
    <t>103-80-1260</t>
  </si>
  <si>
    <t>581-17-8528</t>
  </si>
  <si>
    <t>064-78-3660</t>
  </si>
  <si>
    <t>240-88-5081</t>
  </si>
  <si>
    <t>271-14-4794</t>
  </si>
  <si>
    <t>258-39-2219</t>
  </si>
  <si>
    <t>051-62-0723</t>
  </si>
  <si>
    <t>118-70-1456</t>
  </si>
  <si>
    <t>095-72-4481</t>
  </si>
  <si>
    <t>251-17-0196</t>
  </si>
  <si>
    <t>133-68-1133</t>
  </si>
  <si>
    <t>101-76-8901</t>
  </si>
  <si>
    <t>070-58-1568</t>
  </si>
  <si>
    <t>130-72-2990</t>
  </si>
  <si>
    <t>113-56-4957</t>
  </si>
  <si>
    <t>068-94-0722</t>
  </si>
  <si>
    <t>217-37-7863</t>
  </si>
  <si>
    <t>091-72-7654</t>
  </si>
  <si>
    <t>092-86-5091</t>
  </si>
  <si>
    <t>068-58-6529</t>
  </si>
  <si>
    <t>368-98-8464</t>
  </si>
  <si>
    <t>109-60-1869</t>
  </si>
  <si>
    <t>119-96-4876</t>
  </si>
  <si>
    <t>000-00-5609</t>
  </si>
  <si>
    <t>063-62-4724</t>
  </si>
  <si>
    <t>069-64-3162</t>
  </si>
  <si>
    <t>065-27-3744</t>
  </si>
  <si>
    <t>075-44-4119</t>
  </si>
  <si>
    <t>592-69-3666</t>
  </si>
  <si>
    <t>087-58-0320</t>
  </si>
  <si>
    <t>066-94-9494</t>
  </si>
  <si>
    <t>101-82-8213</t>
  </si>
  <si>
    <t>101-94-3385</t>
  </si>
  <si>
    <t>061-58-8965</t>
  </si>
  <si>
    <t>075-68-3860</t>
  </si>
  <si>
    <t>592-66-1713</t>
  </si>
  <si>
    <t>124-76-4089</t>
  </si>
  <si>
    <t>059-78-5149</t>
  </si>
  <si>
    <t>103-02-4493</t>
  </si>
  <si>
    <t>138-15-1823</t>
  </si>
  <si>
    <t>080-74-4981</t>
  </si>
  <si>
    <t>583-11-2304</t>
  </si>
  <si>
    <t>130-54-3922</t>
  </si>
  <si>
    <t>115-96-0870</t>
  </si>
  <si>
    <t>051-50-4513</t>
  </si>
  <si>
    <t>121-40-0942</t>
  </si>
  <si>
    <t>132-96-7131</t>
  </si>
  <si>
    <t>063-58-0976</t>
  </si>
  <si>
    <t>132-62-5963</t>
  </si>
  <si>
    <t>062-58-5368</t>
  </si>
  <si>
    <t>248-33-8904</t>
  </si>
  <si>
    <t>080-72-5663</t>
  </si>
  <si>
    <t>243-75-7400</t>
  </si>
  <si>
    <t>108-62-1582</t>
  </si>
  <si>
    <t>334-23-8836</t>
  </si>
  <si>
    <t>580-88-3480</t>
  </si>
  <si>
    <t>131-40-1821</t>
  </si>
  <si>
    <t>133-86-7176</t>
  </si>
  <si>
    <t>501-97-6954</t>
  </si>
  <si>
    <t>122-94-1471</t>
  </si>
  <si>
    <t>060-86-7628</t>
  </si>
  <si>
    <t>094-68-4168</t>
  </si>
  <si>
    <t>598-42-2724</t>
  </si>
  <si>
    <t>127-86-5712</t>
  </si>
  <si>
    <t>155-96-1318</t>
  </si>
  <si>
    <t>730-07-8971</t>
  </si>
  <si>
    <t>007-60-1451</t>
  </si>
  <si>
    <t>061-82-2291</t>
  </si>
  <si>
    <t>060-56-0735</t>
  </si>
  <si>
    <t>263-95-9248</t>
  </si>
  <si>
    <t>120-60-3140</t>
  </si>
  <si>
    <t>062-86-3183</t>
  </si>
  <si>
    <t>344-46-4879</t>
  </si>
  <si>
    <t>067-90-4247</t>
  </si>
  <si>
    <t>085-02-7666</t>
  </si>
  <si>
    <t>721-64-1088</t>
  </si>
  <si>
    <t>086-74-1627</t>
  </si>
  <si>
    <t>097-54-9643</t>
  </si>
  <si>
    <t>053-64-5246</t>
  </si>
  <si>
    <t>112-64-2523</t>
  </si>
  <si>
    <t>022-64-0303</t>
  </si>
  <si>
    <t>116-46-3306</t>
  </si>
  <si>
    <t>053-50-1650</t>
  </si>
  <si>
    <t>121-56-4179</t>
  </si>
  <si>
    <t>134-64-7978</t>
  </si>
  <si>
    <t>124-74-3492</t>
  </si>
  <si>
    <t>336-61-5181</t>
  </si>
  <si>
    <t>099-52-3398</t>
  </si>
  <si>
    <t>063-84-0178</t>
  </si>
  <si>
    <t>116-88-5952</t>
  </si>
  <si>
    <t>129-80-5140</t>
  </si>
  <si>
    <t>124-84-6863</t>
  </si>
  <si>
    <t>486-80-1423</t>
  </si>
  <si>
    <t>120-76-6720</t>
  </si>
  <si>
    <t>129-62-1869</t>
  </si>
  <si>
    <t>071-36-7000</t>
  </si>
  <si>
    <t>085-76-6642</t>
  </si>
  <si>
    <t>110-56-6054</t>
  </si>
  <si>
    <t>060-50-7069</t>
  </si>
  <si>
    <t>384-63-2989</t>
  </si>
  <si>
    <t>129-70-9153</t>
  </si>
  <si>
    <t>065-60-8511</t>
  </si>
  <si>
    <t>785-37-3971</t>
  </si>
  <si>
    <t>093-78-3566</t>
  </si>
  <si>
    <t>105-58-8818</t>
  </si>
  <si>
    <t>070-80-8844</t>
  </si>
  <si>
    <t>122-86-6800</t>
  </si>
  <si>
    <t>057-74-9934</t>
  </si>
  <si>
    <t>114-80-3621</t>
  </si>
  <si>
    <t>133-74-2274</t>
  </si>
  <si>
    <t>131-72-8204</t>
  </si>
  <si>
    <t>134-74-7693</t>
  </si>
  <si>
    <t>066-84-4963</t>
  </si>
  <si>
    <t>086-76-2601</t>
  </si>
  <si>
    <t>098-66-6693</t>
  </si>
  <si>
    <t>239-19-4706</t>
  </si>
  <si>
    <t>061-02-7660</t>
  </si>
  <si>
    <t>111-64-8945</t>
  </si>
  <si>
    <t>109-62-0742</t>
  </si>
  <si>
    <t>055-64-7556</t>
  </si>
  <si>
    <t>131-82-7254</t>
  </si>
  <si>
    <t>099-98-8036</t>
  </si>
  <si>
    <t>119-98-1598</t>
  </si>
  <si>
    <t>580-14-7724</t>
  </si>
  <si>
    <t>584-53-6421</t>
  </si>
  <si>
    <t>088-48-2636</t>
  </si>
  <si>
    <t>093-52-7259</t>
  </si>
  <si>
    <t>099-92-6036</t>
  </si>
  <si>
    <t>083-74-6992</t>
  </si>
  <si>
    <t>104-68-7034</t>
  </si>
  <si>
    <t>128-78-7158</t>
  </si>
  <si>
    <t>139-52-5873</t>
  </si>
  <si>
    <t>084-56-7066</t>
  </si>
  <si>
    <t>074-60-4708</t>
  </si>
  <si>
    <t>051-78-0857</t>
  </si>
  <si>
    <t>071-74-9761</t>
  </si>
  <si>
    <t>670-62-0617</t>
  </si>
  <si>
    <t>128-66-9158</t>
  </si>
  <si>
    <t>092-70-1939</t>
  </si>
  <si>
    <t>090-50-8173</t>
  </si>
  <si>
    <t>091-44-0154</t>
  </si>
  <si>
    <t>100-46-9791</t>
  </si>
  <si>
    <t>106-32-1676</t>
  </si>
  <si>
    <t>062-86-0075</t>
  </si>
  <si>
    <t>081-56-6621</t>
  </si>
  <si>
    <t>092-40-0715</t>
  </si>
  <si>
    <t>339-92-7905</t>
  </si>
  <si>
    <t>074-44-8093</t>
  </si>
  <si>
    <t>092-74-6769</t>
  </si>
  <si>
    <t>289-86-8871</t>
  </si>
  <si>
    <t>720-74-5961</t>
  </si>
  <si>
    <t>040-64-1937</t>
  </si>
  <si>
    <t>247-74-7167</t>
  </si>
  <si>
    <t>102-78-1119</t>
  </si>
  <si>
    <t>128-80-3445</t>
  </si>
  <si>
    <t>624-88-3234</t>
  </si>
  <si>
    <t>133-52-9413</t>
  </si>
  <si>
    <t>053-88-5461</t>
  </si>
  <si>
    <t>093-98-8840</t>
  </si>
  <si>
    <t>090-74-9357</t>
  </si>
  <si>
    <t>245-82-4146</t>
  </si>
  <si>
    <t>059-84-5369</t>
  </si>
  <si>
    <t>096-74-5216</t>
  </si>
  <si>
    <t>713-31-4528</t>
  </si>
  <si>
    <t>080-94-3683</t>
  </si>
  <si>
    <t>160-68-3088</t>
  </si>
  <si>
    <t>295-60-1623</t>
  </si>
  <si>
    <t>196-60-0927</t>
  </si>
  <si>
    <t>070-84-7747</t>
  </si>
  <si>
    <t>116-72-0993</t>
  </si>
  <si>
    <t>123-80-1985</t>
  </si>
  <si>
    <t>129-78-2784</t>
  </si>
  <si>
    <t>124-80-2443</t>
  </si>
  <si>
    <t>580-54-8959</t>
  </si>
  <si>
    <t>224-88-0006</t>
  </si>
  <si>
    <t>134-84-2728</t>
  </si>
  <si>
    <t>107-66-3121</t>
  </si>
  <si>
    <t>094-74-7678</t>
  </si>
  <si>
    <t>112-72-2354</t>
  </si>
  <si>
    <t>198-48-5996</t>
  </si>
  <si>
    <t>101-86-5308</t>
  </si>
  <si>
    <t>086-66-6515</t>
  </si>
  <si>
    <t>598-34-0493</t>
  </si>
  <si>
    <t>369-81-3504</t>
  </si>
  <si>
    <t>125-44-0821</t>
  </si>
  <si>
    <t>129-64-6434</t>
  </si>
  <si>
    <t>119-50-8667</t>
  </si>
  <si>
    <t>127-74-3398</t>
  </si>
  <si>
    <t>119-76-8554</t>
  </si>
  <si>
    <t>599-44-6515</t>
  </si>
  <si>
    <t>580-96-5802</t>
  </si>
  <si>
    <t>067-58-1198</t>
  </si>
  <si>
    <t>113-48-9822</t>
  </si>
  <si>
    <t>347-99-1483</t>
  </si>
  <si>
    <t>058-60-7220</t>
  </si>
  <si>
    <t>134-60-7377</t>
  </si>
  <si>
    <t>056-62-8785</t>
  </si>
  <si>
    <t>088-58-0738</t>
  </si>
  <si>
    <t>077-86-7021</t>
  </si>
  <si>
    <t>577-90-3448</t>
  </si>
  <si>
    <t>463-31-8334</t>
  </si>
  <si>
    <t>085-92-4002</t>
  </si>
  <si>
    <t>156-76-9907</t>
  </si>
  <si>
    <t>064-58-8665</t>
  </si>
  <si>
    <t>098-80-8047</t>
  </si>
  <si>
    <t>104-58-1680</t>
  </si>
  <si>
    <t>115-50-0887</t>
  </si>
  <si>
    <t>591-32-4085</t>
  </si>
  <si>
    <t>257-25-4471</t>
  </si>
  <si>
    <t>169-54-3560</t>
  </si>
  <si>
    <t>106-70-3606</t>
  </si>
  <si>
    <t>591-25-1633</t>
  </si>
  <si>
    <t>244-25-2337</t>
  </si>
  <si>
    <t>547-77-9326</t>
  </si>
  <si>
    <t>102-80-0133</t>
  </si>
  <si>
    <t>097-68-4941</t>
  </si>
  <si>
    <t>116-54-1124</t>
  </si>
  <si>
    <t>057-54-9162</t>
  </si>
  <si>
    <t>066-54-2135</t>
  </si>
  <si>
    <t>113-72-0398</t>
  </si>
  <si>
    <t>050-78-4751</t>
  </si>
  <si>
    <t>111-86-9015</t>
  </si>
  <si>
    <t>058-72-7745</t>
  </si>
  <si>
    <t>080-66-1725</t>
  </si>
  <si>
    <t>074-56-1705</t>
  </si>
  <si>
    <t>107-86-6351</t>
  </si>
  <si>
    <t>116-86-3028</t>
  </si>
  <si>
    <t>766-79-7887</t>
  </si>
  <si>
    <t>113-84-4960</t>
  </si>
  <si>
    <t>119-80-0163</t>
  </si>
  <si>
    <t>055-48-5296</t>
  </si>
  <si>
    <t>106-66-8618</t>
  </si>
  <si>
    <t>125-76-3998</t>
  </si>
  <si>
    <t>106-78-3690</t>
  </si>
  <si>
    <t>057-60-4861</t>
  </si>
  <si>
    <t>619-91-7657</t>
  </si>
  <si>
    <t>115-64-2316</t>
  </si>
  <si>
    <t>588-88-5588</t>
  </si>
  <si>
    <t>584-47-9916</t>
  </si>
  <si>
    <t>000-00-0946</t>
  </si>
  <si>
    <t>094-44-0384</t>
  </si>
  <si>
    <t>079-86-4222</t>
  </si>
  <si>
    <t>109-70-4985</t>
  </si>
  <si>
    <t>059-84-6278</t>
  </si>
  <si>
    <t>086-76-1606</t>
  </si>
  <si>
    <t>096-36-3603</t>
  </si>
  <si>
    <t>105-78-8022</t>
  </si>
  <si>
    <t>108-62-9949</t>
  </si>
  <si>
    <t>071-58-4079</t>
  </si>
  <si>
    <t>098-54-7485</t>
  </si>
  <si>
    <t>131-66-9899</t>
  </si>
  <si>
    <t>079-72-6666</t>
  </si>
  <si>
    <t>106-76-1636</t>
  </si>
  <si>
    <t>092-70-3246</t>
  </si>
  <si>
    <t>351-94-5012</t>
  </si>
  <si>
    <t>103-62-2524</t>
  </si>
  <si>
    <t>103-88-7197</t>
  </si>
  <si>
    <t>563-71-2392</t>
  </si>
  <si>
    <t>099-98-5316</t>
  </si>
  <si>
    <t>596-58-9091</t>
  </si>
  <si>
    <t>066-76-7816</t>
  </si>
  <si>
    <t>596-50-1480</t>
  </si>
  <si>
    <t>118-84-4444</t>
  </si>
  <si>
    <t>052-82-2861</t>
  </si>
  <si>
    <t>127-68-1501</t>
  </si>
  <si>
    <t>052-58-7713</t>
  </si>
  <si>
    <t>067-64-6952</t>
  </si>
  <si>
    <t>126-58-1358</t>
  </si>
  <si>
    <t>130-84-2322</t>
  </si>
  <si>
    <t>054-66-6784</t>
  </si>
  <si>
    <t>101-44-8258</t>
  </si>
  <si>
    <t>422-35-1675</t>
  </si>
  <si>
    <t>133-56-8298</t>
  </si>
  <si>
    <t>060-58-4309</t>
  </si>
  <si>
    <t>098-54-3367</t>
  </si>
  <si>
    <t>195-27-9938</t>
  </si>
  <si>
    <t>732-09-1681</t>
  </si>
  <si>
    <t>859-44-5427</t>
  </si>
  <si>
    <t>070-58-9224</t>
  </si>
  <si>
    <t>094-86-2184</t>
  </si>
  <si>
    <t>117-80-9222</t>
  </si>
  <si>
    <t>069-64-6875</t>
  </si>
  <si>
    <t>125-72-9557</t>
  </si>
  <si>
    <t>126-86-1287</t>
  </si>
  <si>
    <t>134-52-2974</t>
  </si>
  <si>
    <t>075-76-4403</t>
  </si>
  <si>
    <t>092-64-7881</t>
  </si>
  <si>
    <t>056-48-5493</t>
  </si>
  <si>
    <t>095-78-9799</t>
  </si>
  <si>
    <t>121-64-3585</t>
  </si>
  <si>
    <t>099-84-7832</t>
  </si>
  <si>
    <t>097-74-0043</t>
  </si>
  <si>
    <t>071-64-8438</t>
  </si>
  <si>
    <t>056-66-7953</t>
  </si>
  <si>
    <t>058-58-5625</t>
  </si>
  <si>
    <t>060-86-2355</t>
  </si>
  <si>
    <t>300-29-0231</t>
  </si>
  <si>
    <t>108-88-7151</t>
  </si>
  <si>
    <t>639-68-8327</t>
  </si>
  <si>
    <t>111-52-4650</t>
  </si>
  <si>
    <t>583-74-7313</t>
  </si>
  <si>
    <t>073-66-6612</t>
  </si>
  <si>
    <t>030-56-1365</t>
  </si>
  <si>
    <t>056-68-7638</t>
  </si>
  <si>
    <t>095-76-1728</t>
  </si>
  <si>
    <t>067-62-5310</t>
  </si>
  <si>
    <t>101-56-2984</t>
  </si>
  <si>
    <t>103-56-5906</t>
  </si>
  <si>
    <t>186-54-7712</t>
  </si>
  <si>
    <t>090-72-4369</t>
  </si>
  <si>
    <t>085-54-6248</t>
  </si>
  <si>
    <t>078-72-1568</t>
  </si>
  <si>
    <t>000-00-1355</t>
  </si>
  <si>
    <t>091-84-5931</t>
  </si>
  <si>
    <t>055-40-0877</t>
  </si>
  <si>
    <t>111-90-0247</t>
  </si>
  <si>
    <t>581-29-5821</t>
  </si>
  <si>
    <t>015-92-7304</t>
  </si>
  <si>
    <t>079-52-0908</t>
  </si>
  <si>
    <t>071-46-4906</t>
  </si>
  <si>
    <t>099-72-5856</t>
  </si>
  <si>
    <t>598-28-2790</t>
  </si>
  <si>
    <t>203-58-0262</t>
  </si>
  <si>
    <t>087-80-8613</t>
  </si>
  <si>
    <t>104-80-6015</t>
  </si>
  <si>
    <t>584-38-2801</t>
  </si>
  <si>
    <t>121-46-4907</t>
  </si>
  <si>
    <t>103-50-5256</t>
  </si>
  <si>
    <t>114-36-5574</t>
  </si>
  <si>
    <t>580-98-6803</t>
  </si>
  <si>
    <t>584-04-8228</t>
  </si>
  <si>
    <t>078-76-6190</t>
  </si>
  <si>
    <t>259-35-7168</t>
  </si>
  <si>
    <t>103-58-4935</t>
  </si>
  <si>
    <t>091-82-5755</t>
  </si>
  <si>
    <t>116-54-7580</t>
  </si>
  <si>
    <t>123-70-9978</t>
  </si>
  <si>
    <t>105-56-0138</t>
  </si>
  <si>
    <t>105-82-1209</t>
  </si>
  <si>
    <t>123-42-9405</t>
  </si>
  <si>
    <t>076-76-4721</t>
  </si>
  <si>
    <t>582-71-0233</t>
  </si>
  <si>
    <t>055-78-6989</t>
  </si>
  <si>
    <t>091-90-6598</t>
  </si>
  <si>
    <t>583-78-7215</t>
  </si>
  <si>
    <t>119-76-4606</t>
  </si>
  <si>
    <t>116-64-2522</t>
  </si>
  <si>
    <t>000-00-3110</t>
  </si>
  <si>
    <t>096-54-4276</t>
  </si>
  <si>
    <t>115-62-0958</t>
  </si>
  <si>
    <t>083-64-2992</t>
  </si>
  <si>
    <t>154-32-2832</t>
  </si>
  <si>
    <t>114-70-7714</t>
  </si>
  <si>
    <t>079-58-5726</t>
  </si>
  <si>
    <t>086-60-7213</t>
  </si>
  <si>
    <t>579-50-5094</t>
  </si>
  <si>
    <t>077-42-0308</t>
  </si>
  <si>
    <t>068-64-6086</t>
  </si>
  <si>
    <t>074-56-0015</t>
  </si>
  <si>
    <t>080-52-2049</t>
  </si>
  <si>
    <t>116-72-7563</t>
  </si>
  <si>
    <t>054-02-8362</t>
  </si>
  <si>
    <t>128-56-1104</t>
  </si>
  <si>
    <t>602-89-3294</t>
  </si>
  <si>
    <t>027-27-4577</t>
  </si>
  <si>
    <t>055-58-9471</t>
  </si>
  <si>
    <t>071-94-7441</t>
  </si>
  <si>
    <t>121-40-0557</t>
  </si>
  <si>
    <t>104-98-1391</t>
  </si>
  <si>
    <t>128-70-1787</t>
  </si>
  <si>
    <t>100-40-4679</t>
  </si>
  <si>
    <t>599-01-8460</t>
  </si>
  <si>
    <t>061-60-1847</t>
  </si>
  <si>
    <t>076-52-1946</t>
  </si>
  <si>
    <t>062-76-5713</t>
  </si>
  <si>
    <t>085-70-2548</t>
  </si>
  <si>
    <t>145-04-9453</t>
  </si>
  <si>
    <t>049-44-8370</t>
  </si>
  <si>
    <t>069-62-7133</t>
  </si>
  <si>
    <t>082-84-7850</t>
  </si>
  <si>
    <t>392-86-4173</t>
  </si>
  <si>
    <t>596-20-7994</t>
  </si>
  <si>
    <t>117-62-8978</t>
  </si>
  <si>
    <t>114-66-8020</t>
  </si>
  <si>
    <t>097-94-9833</t>
  </si>
  <si>
    <t>098-56-3114</t>
  </si>
  <si>
    <t>063-48-4094</t>
  </si>
  <si>
    <t>280-68-3997</t>
  </si>
  <si>
    <t>064-58-9977</t>
  </si>
  <si>
    <t>056-88-6362</t>
  </si>
  <si>
    <t>082-54-6698</t>
  </si>
  <si>
    <t>620-92-0183</t>
  </si>
  <si>
    <t>506-76-3279</t>
  </si>
  <si>
    <t>082-78-8535</t>
  </si>
  <si>
    <t>127-96-5614</t>
  </si>
  <si>
    <t>075-60-1597</t>
  </si>
  <si>
    <t>098-62-9698</t>
  </si>
  <si>
    <t>124-32-5515</t>
  </si>
  <si>
    <t>063-58-7788</t>
  </si>
  <si>
    <t>098-58-8832</t>
  </si>
  <si>
    <t>119-84-0712</t>
  </si>
  <si>
    <t>103-64-7682</t>
  </si>
  <si>
    <t>074-60-4753</t>
  </si>
  <si>
    <t>109-82-0707</t>
  </si>
  <si>
    <t>112-74-7832</t>
  </si>
  <si>
    <t>100-74-5789</t>
  </si>
  <si>
    <t>105-94-0219</t>
  </si>
  <si>
    <t>000-00-8825</t>
  </si>
  <si>
    <t>102-72-6046</t>
  </si>
  <si>
    <t>219-19-2723</t>
  </si>
  <si>
    <t>060-64-6975</t>
  </si>
  <si>
    <t>093-56-1947</t>
  </si>
  <si>
    <t>102-76-7646</t>
  </si>
  <si>
    <t>130-90-8279</t>
  </si>
  <si>
    <t>542-25-9631</t>
  </si>
  <si>
    <t>124-52-8348</t>
  </si>
  <si>
    <t>243-53-5638</t>
  </si>
  <si>
    <t>132-90-0493</t>
  </si>
  <si>
    <t>089-74-7069</t>
  </si>
  <si>
    <t>100-92-9989</t>
  </si>
  <si>
    <t>808-80-6123</t>
  </si>
  <si>
    <t>110-74-6096</t>
  </si>
  <si>
    <t>076-50-9722</t>
  </si>
  <si>
    <t>131-76-5463</t>
  </si>
  <si>
    <t>097-82-1171</t>
  </si>
  <si>
    <t>075-76-8127</t>
  </si>
  <si>
    <t>088-72-7360</t>
  </si>
  <si>
    <t>122-70-2601</t>
  </si>
  <si>
    <t>110-50-5955</t>
  </si>
  <si>
    <t>073-58-5711</t>
  </si>
  <si>
    <t>104-54-8596</t>
  </si>
  <si>
    <t>113-82-1639</t>
  </si>
  <si>
    <t>073-66-4168</t>
  </si>
  <si>
    <t>583-31-5312</t>
  </si>
  <si>
    <t>100-74-9662</t>
  </si>
  <si>
    <t>090-70-3031</t>
  </si>
  <si>
    <t>122-78-5911</t>
  </si>
  <si>
    <t>084-60-2779</t>
  </si>
  <si>
    <t>130-50-0151</t>
  </si>
  <si>
    <t>137-86-8452</t>
  </si>
  <si>
    <t>108-74-1284</t>
  </si>
  <si>
    <t>056-98-7121</t>
  </si>
  <si>
    <t>108-80-2208</t>
  </si>
  <si>
    <t>071-62-2336</t>
  </si>
  <si>
    <t>093-58-6096</t>
  </si>
  <si>
    <t>075-56-1232</t>
  </si>
  <si>
    <t>124-56-7394</t>
  </si>
  <si>
    <t>019-80-8673</t>
  </si>
  <si>
    <t>115-80-3337</t>
  </si>
  <si>
    <t>124-32-9618</t>
  </si>
  <si>
    <t>119-84-6798</t>
  </si>
  <si>
    <t>068-64-8893</t>
  </si>
  <si>
    <t>864-42-2212</t>
  </si>
  <si>
    <t>217-84-3641</t>
  </si>
  <si>
    <t>087-58-5339</t>
  </si>
  <si>
    <t>133-56-8282</t>
  </si>
  <si>
    <t>230-06-5102</t>
  </si>
  <si>
    <t>131-58-0370</t>
  </si>
  <si>
    <t>121-48-5149</t>
  </si>
  <si>
    <t>075-84-6891</t>
  </si>
  <si>
    <t>098-66-9649</t>
  </si>
  <si>
    <t>075-72-1569</t>
  </si>
  <si>
    <t>128-66-5743</t>
  </si>
  <si>
    <t>101-68-9540</t>
  </si>
  <si>
    <t>087-44-7872</t>
  </si>
  <si>
    <t>109-46-0133</t>
  </si>
  <si>
    <t>107-70-5389</t>
  </si>
  <si>
    <t>104-76-4774</t>
  </si>
  <si>
    <t>118-70-9108</t>
  </si>
  <si>
    <t>105-84-9026</t>
  </si>
  <si>
    <t>075-66-1819</t>
  </si>
  <si>
    <t>055-82-5726</t>
  </si>
  <si>
    <t>079-76-3315</t>
  </si>
  <si>
    <t>069-88-0341</t>
  </si>
  <si>
    <t>053-78-1467</t>
  </si>
  <si>
    <t>560-77-4170</t>
  </si>
  <si>
    <t>094-90-3961</t>
  </si>
  <si>
    <t>084-50-2079</t>
  </si>
  <si>
    <t>116-66-0882</t>
  </si>
  <si>
    <t>103-66-3886</t>
  </si>
  <si>
    <t>084-70-1820</t>
  </si>
  <si>
    <t>034-41-6071</t>
  </si>
  <si>
    <t>131-76-8014</t>
  </si>
  <si>
    <t>072-64-2316</t>
  </si>
  <si>
    <t>108-62-3425</t>
  </si>
  <si>
    <t>260-46-8824</t>
  </si>
  <si>
    <t>055-60-3433</t>
  </si>
  <si>
    <t>050-36-6103</t>
  </si>
  <si>
    <t>246-27-0373</t>
  </si>
  <si>
    <t>096-68-2851</t>
  </si>
  <si>
    <t>078-58-7677</t>
  </si>
  <si>
    <t>088-58-7803</t>
  </si>
  <si>
    <t>108-90-8279</t>
  </si>
  <si>
    <t>103-76-3287</t>
  </si>
  <si>
    <t>109-86-9934</t>
  </si>
  <si>
    <t>050-92-3975</t>
  </si>
  <si>
    <t>069-58-2548</t>
  </si>
  <si>
    <t>090-56-5013</t>
  </si>
  <si>
    <t>090-68-8697</t>
  </si>
  <si>
    <t>073-50-0345</t>
  </si>
  <si>
    <t>058-88-9969</t>
  </si>
  <si>
    <t>298-39-3754</t>
  </si>
  <si>
    <t>099-72-3368</t>
  </si>
  <si>
    <t>059-72-6217</t>
  </si>
  <si>
    <t>059-54-9523</t>
  </si>
  <si>
    <t>584-01-3559</t>
  </si>
  <si>
    <t>097-64-6235</t>
  </si>
  <si>
    <t>126-48-4376</t>
  </si>
  <si>
    <t>068-90-0400</t>
  </si>
  <si>
    <t>067-58-8459</t>
  </si>
  <si>
    <t>598-42-7655</t>
  </si>
  <si>
    <t>053-58-5342</t>
  </si>
  <si>
    <t>132-84-5684</t>
  </si>
  <si>
    <t>599-18-6322</t>
  </si>
  <si>
    <t>577-19-3731</t>
  </si>
  <si>
    <t>106-94-6531</t>
  </si>
  <si>
    <t>064-98-5766</t>
  </si>
  <si>
    <t>064-54-8785</t>
  </si>
  <si>
    <t>772-56-6847</t>
  </si>
  <si>
    <t>703-64-6143</t>
  </si>
  <si>
    <t>066-72-5495</t>
  </si>
  <si>
    <t>051-90-2748</t>
  </si>
  <si>
    <t>056-86-2405</t>
  </si>
  <si>
    <t>073-94-5432</t>
  </si>
  <si>
    <t>117-56-2220</t>
  </si>
  <si>
    <t>126-46-2645</t>
  </si>
  <si>
    <t>094-62-8080</t>
  </si>
  <si>
    <t>599-26-2848</t>
  </si>
  <si>
    <t>101-72-8303</t>
  </si>
  <si>
    <t>054-72-1462</t>
  </si>
  <si>
    <t>125-62-8765</t>
  </si>
  <si>
    <t>074-78-3720</t>
  </si>
  <si>
    <t>584-76-9492</t>
  </si>
  <si>
    <t>089-66-5516</t>
  </si>
  <si>
    <t>582-27-3529</t>
  </si>
  <si>
    <t>053-64-8422</t>
  </si>
  <si>
    <t>099-56-8753</t>
  </si>
  <si>
    <t>062-86-0095</t>
  </si>
  <si>
    <t>111-64-1597</t>
  </si>
  <si>
    <t>100-94-0399</t>
  </si>
  <si>
    <t>103-34-6473</t>
  </si>
  <si>
    <t>080-76-5034</t>
  </si>
  <si>
    <t>016-66-9736</t>
  </si>
  <si>
    <t>114-36-5437</t>
  </si>
  <si>
    <t>125-64-6163</t>
  </si>
  <si>
    <t>125-82-9586</t>
  </si>
  <si>
    <t>127-66-7633</t>
  </si>
  <si>
    <t>240-21-2684</t>
  </si>
  <si>
    <t>777-55-3097</t>
  </si>
  <si>
    <t>068-62-0923</t>
  </si>
  <si>
    <t>732-10-6644</t>
  </si>
  <si>
    <t>540-49-1631</t>
  </si>
  <si>
    <t>599-44-2267</t>
  </si>
  <si>
    <t>117-66-7292</t>
  </si>
  <si>
    <t>059-84-4236</t>
  </si>
  <si>
    <t>126-66-9842</t>
  </si>
  <si>
    <t>163-28-1134</t>
  </si>
  <si>
    <t>116-46-3386</t>
  </si>
  <si>
    <t>094-62-5541</t>
  </si>
  <si>
    <t>122-86-1209</t>
  </si>
  <si>
    <t>126-60-8505</t>
  </si>
  <si>
    <t>000-00-2408</t>
  </si>
  <si>
    <t>087-68-9970</t>
  </si>
  <si>
    <t>087-48-4799</t>
  </si>
  <si>
    <t>812-30-9843</t>
  </si>
  <si>
    <t>126-68-4533</t>
  </si>
  <si>
    <t>055-58-4926</t>
  </si>
  <si>
    <t>052-80-6556</t>
  </si>
  <si>
    <t>057-80-3638</t>
  </si>
  <si>
    <t>124-52-1735</t>
  </si>
  <si>
    <t>067-70-3794</t>
  </si>
  <si>
    <t>151-92-5719</t>
  </si>
  <si>
    <t>100-88-2755</t>
  </si>
  <si>
    <t>066-66-4760</t>
  </si>
  <si>
    <t>111-90-0264</t>
  </si>
  <si>
    <t>590-65-6466</t>
  </si>
  <si>
    <t>795-17-5514</t>
  </si>
  <si>
    <t>000-00-3424</t>
  </si>
  <si>
    <t>094-84-4647</t>
  </si>
  <si>
    <t>076-72-9141</t>
  </si>
  <si>
    <t>516-29-2636</t>
  </si>
  <si>
    <t>050-80-7387</t>
  </si>
  <si>
    <t>204-50-7118</t>
  </si>
  <si>
    <t>098-56-1260</t>
  </si>
  <si>
    <t>065-84-7985</t>
  </si>
  <si>
    <t>076-90-1006</t>
  </si>
  <si>
    <t>128-94-1677</t>
  </si>
  <si>
    <t>087-58-9441</t>
  </si>
  <si>
    <t>052-44-8019</t>
  </si>
  <si>
    <t>056-86-0786</t>
  </si>
  <si>
    <t>108-52-5052</t>
  </si>
  <si>
    <t>056-58-7995</t>
  </si>
  <si>
    <t>106-78-5829</t>
  </si>
  <si>
    <t>125-74-4731</t>
  </si>
  <si>
    <t>087-88-2580</t>
  </si>
  <si>
    <t>107-64-2880</t>
  </si>
  <si>
    <t>062-96-6243</t>
  </si>
  <si>
    <t>091-78-4791</t>
  </si>
  <si>
    <t>063-64-0301</t>
  </si>
  <si>
    <t>072-94-3462</t>
  </si>
  <si>
    <t>133-74-4210</t>
  </si>
  <si>
    <t>052-38-9852</t>
  </si>
  <si>
    <t>101-62-2032</t>
  </si>
  <si>
    <t>093-74-4728</t>
  </si>
  <si>
    <t>220-82-5235</t>
  </si>
  <si>
    <t>124-58-3712</t>
  </si>
  <si>
    <t>094-82-3800</t>
  </si>
  <si>
    <t>569-43-5434</t>
  </si>
  <si>
    <t>107-70-2081</t>
  </si>
  <si>
    <t>070-46-7621</t>
  </si>
  <si>
    <t>584-87-9563</t>
  </si>
  <si>
    <t>108-48-5645</t>
  </si>
  <si>
    <t>524-63-4064</t>
  </si>
  <si>
    <t>105-62-6472</t>
  </si>
  <si>
    <t>085-84-9932</t>
  </si>
  <si>
    <t>597-20-7587</t>
  </si>
  <si>
    <t>062-76-6993</t>
  </si>
  <si>
    <t>081-72-3948</t>
  </si>
  <si>
    <t>075-58-6883</t>
  </si>
  <si>
    <t>061-44-5382</t>
  </si>
  <si>
    <t>050-60-0289</t>
  </si>
  <si>
    <t>672-16-1580</t>
  </si>
  <si>
    <t>119-50-9980</t>
  </si>
  <si>
    <t>091-94-3957</t>
  </si>
  <si>
    <t>056-78-6354</t>
  </si>
  <si>
    <t>052-82-5525</t>
  </si>
  <si>
    <t>128-86-3392</t>
  </si>
  <si>
    <t>080-68-7289</t>
  </si>
  <si>
    <t>087-44-7516</t>
  </si>
  <si>
    <t>112-70-7459</t>
  </si>
  <si>
    <t>064-80-0840</t>
  </si>
  <si>
    <t>097-64-0950</t>
  </si>
  <si>
    <t>128-76-8609</t>
  </si>
  <si>
    <t>071-82-7640</t>
  </si>
  <si>
    <t>253-90-6541</t>
  </si>
  <si>
    <t>121-76-1172</t>
  </si>
  <si>
    <t>148-58-9764</t>
  </si>
  <si>
    <t>077-50-7501</t>
  </si>
  <si>
    <t>999-99-9999</t>
  </si>
  <si>
    <t>374-36-2609</t>
  </si>
  <si>
    <t>050-78-1250</t>
  </si>
  <si>
    <t>061-62-0039</t>
  </si>
  <si>
    <t>156-50-9343</t>
  </si>
  <si>
    <t>066-98-6494</t>
  </si>
  <si>
    <t>063-90-2588</t>
  </si>
  <si>
    <t>058-74-6125</t>
  </si>
  <si>
    <t>051-42-0853</t>
  </si>
  <si>
    <t>081-58-7779</t>
  </si>
  <si>
    <t>101-48-9231</t>
  </si>
  <si>
    <t>114-78-7110</t>
  </si>
  <si>
    <t>125-72-5406</t>
  </si>
  <si>
    <t>103-64-9152</t>
  </si>
  <si>
    <t>080-88-7887</t>
  </si>
  <si>
    <t>053-68-4528</t>
  </si>
  <si>
    <t>082-74-7872</t>
  </si>
  <si>
    <t>388-83-7726</t>
  </si>
  <si>
    <t>117-68-5541</t>
  </si>
  <si>
    <t>584-75-8020</t>
  </si>
  <si>
    <t>093-98-3097</t>
  </si>
  <si>
    <t>000-00-5677</t>
  </si>
  <si>
    <t>107-62-7835</t>
  </si>
  <si>
    <t>062-70-5346</t>
  </si>
  <si>
    <t>115-52-9512</t>
  </si>
  <si>
    <t>111-94-6501</t>
  </si>
  <si>
    <t>125-50-9709</t>
  </si>
  <si>
    <t>053-94-6651</t>
  </si>
  <si>
    <t>114-50-2942</t>
  </si>
  <si>
    <t>104-80-5629</t>
  </si>
  <si>
    <t>127-64-3951</t>
  </si>
  <si>
    <t>121-78-5964</t>
  </si>
  <si>
    <t>117-56-7013</t>
  </si>
  <si>
    <t>060-80-2999</t>
  </si>
  <si>
    <t>090-60-0886</t>
  </si>
  <si>
    <t>083-60-3258</t>
  </si>
  <si>
    <t>063-99-5992</t>
  </si>
  <si>
    <t>079-70-0972</t>
  </si>
  <si>
    <t>105-50-3326</t>
  </si>
  <si>
    <t>247-06-3267</t>
  </si>
  <si>
    <t>075-44-5688</t>
  </si>
  <si>
    <t>121-82-2112</t>
  </si>
  <si>
    <t>088-68-8092</t>
  </si>
  <si>
    <t>584-29-0558</t>
  </si>
  <si>
    <t>339-58-6983</t>
  </si>
  <si>
    <t>131-78-2652</t>
  </si>
  <si>
    <t>118-46-4133</t>
  </si>
  <si>
    <t>075-86-8721</t>
  </si>
  <si>
    <t>098-58-2868</t>
  </si>
  <si>
    <t>107-46-1647</t>
  </si>
  <si>
    <t>000-00-5337</t>
  </si>
  <si>
    <t>079-82-9262</t>
  </si>
  <si>
    <t>182-30-1243</t>
  </si>
  <si>
    <t>694-37-0947</t>
  </si>
  <si>
    <t>133-30-4557</t>
  </si>
  <si>
    <t>100-64-8004</t>
  </si>
  <si>
    <t>106-50-6651</t>
  </si>
  <si>
    <t>584-72-9084</t>
  </si>
  <si>
    <t>118-74-4760</t>
  </si>
  <si>
    <t>094-66-5297</t>
  </si>
  <si>
    <t>156-84-5909</t>
  </si>
  <si>
    <t>107-84-6855</t>
  </si>
  <si>
    <t>111-80-3440</t>
  </si>
  <si>
    <t>063-88-5626</t>
  </si>
  <si>
    <t>102-98-6344</t>
  </si>
  <si>
    <t>746-35-5857</t>
  </si>
  <si>
    <t>101-74-2640</t>
  </si>
  <si>
    <t>067-82-0920</t>
  </si>
  <si>
    <t>581-63-9715</t>
  </si>
  <si>
    <t>057-58-3461</t>
  </si>
  <si>
    <t>015-46-7530</t>
  </si>
  <si>
    <t>084-46-9714</t>
  </si>
  <si>
    <t>363-31-3634</t>
  </si>
  <si>
    <t>086-60-3241</t>
  </si>
  <si>
    <t>134-68-4952</t>
  </si>
  <si>
    <t>218-73-9721</t>
  </si>
  <si>
    <t>132-80-9099</t>
  </si>
  <si>
    <t>580-11-8374</t>
  </si>
  <si>
    <t>097-72-4268</t>
  </si>
  <si>
    <t>128-46-8459</t>
  </si>
  <si>
    <t>107-48-9745</t>
  </si>
  <si>
    <t>119-88-0654</t>
  </si>
  <si>
    <t>596-32-2044</t>
  </si>
  <si>
    <t>126-46-0087</t>
  </si>
  <si>
    <t>015-54-1988</t>
  </si>
  <si>
    <t>094-74-4517</t>
  </si>
  <si>
    <t>091-96-3808</t>
  </si>
  <si>
    <t>077-60-1748</t>
  </si>
  <si>
    <t>000-00-4741</t>
  </si>
  <si>
    <t>065-56-2844</t>
  </si>
  <si>
    <t>562-37-8999</t>
  </si>
  <si>
    <t>106-90-6324</t>
  </si>
  <si>
    <t>057-46-2718</t>
  </si>
  <si>
    <t>133-64-2452</t>
  </si>
  <si>
    <t>058-60-2696</t>
  </si>
  <si>
    <t>042-88-2902</t>
  </si>
  <si>
    <t>066-88-1430</t>
  </si>
  <si>
    <t>059-68-0419</t>
  </si>
  <si>
    <t>131-48-0390</t>
  </si>
  <si>
    <t>123-66-2533</t>
  </si>
  <si>
    <t>060-58-2148</t>
  </si>
  <si>
    <t>113-72-8090</t>
  </si>
  <si>
    <t>069-82-1440</t>
  </si>
  <si>
    <t>109-80-8799</t>
  </si>
  <si>
    <t>053-50-5580</t>
  </si>
  <si>
    <t>047-72-3642</t>
  </si>
  <si>
    <t>087-36-5105</t>
  </si>
  <si>
    <t>104-86-4962</t>
  </si>
  <si>
    <t>106-66-4921</t>
  </si>
  <si>
    <t>065-74-5784</t>
  </si>
  <si>
    <t>097-32-0581</t>
  </si>
  <si>
    <t>599-16-4320</t>
  </si>
  <si>
    <t>771-56-0971</t>
  </si>
  <si>
    <t>125-72-3876</t>
  </si>
  <si>
    <t>872-08-3431</t>
  </si>
  <si>
    <t>134-72-4009</t>
  </si>
  <si>
    <t>083-32-9931</t>
  </si>
  <si>
    <t>089-72-3997</t>
  </si>
  <si>
    <t>093-62-3223</t>
  </si>
  <si>
    <t>086-90-6045</t>
  </si>
  <si>
    <t>087-48-5487</t>
  </si>
  <si>
    <t>120-74-5443</t>
  </si>
  <si>
    <t>125-82-1684</t>
  </si>
  <si>
    <t>060-46-5714</t>
  </si>
  <si>
    <t>596-52-2914</t>
  </si>
  <si>
    <t>208-84-0334</t>
  </si>
  <si>
    <t>090-70-4567</t>
  </si>
  <si>
    <t>204-76-7426</t>
  </si>
  <si>
    <t>090-82-9550</t>
  </si>
  <si>
    <t>115-56-8057</t>
  </si>
  <si>
    <t>118-64-9333</t>
  </si>
  <si>
    <t>112-74-9224</t>
  </si>
  <si>
    <t>065-98-7656</t>
  </si>
  <si>
    <t>134-66-3832</t>
  </si>
  <si>
    <t>100-64-5237</t>
  </si>
  <si>
    <t>134-84-4876</t>
  </si>
  <si>
    <t>060-44-9861</t>
  </si>
  <si>
    <t>118-58-1771</t>
  </si>
  <si>
    <t>348-46-9906</t>
  </si>
  <si>
    <t>123-90-0586</t>
  </si>
  <si>
    <t>071-58-8743</t>
  </si>
  <si>
    <t>129-70-4701</t>
  </si>
  <si>
    <t>093-58-0837</t>
  </si>
  <si>
    <t>131-74-8039</t>
  </si>
  <si>
    <t>101-56-7909</t>
  </si>
  <si>
    <t>157-84-2750</t>
  </si>
  <si>
    <t>055-60-9851</t>
  </si>
  <si>
    <t>098-56-2585</t>
  </si>
  <si>
    <t>080-02-3287</t>
  </si>
  <si>
    <t>067-80-0807</t>
  </si>
  <si>
    <t>129-68-1839</t>
  </si>
  <si>
    <t>051-84-7827</t>
  </si>
  <si>
    <t>058-44-7384</t>
  </si>
  <si>
    <t>104-60-1590</t>
  </si>
  <si>
    <t>077-52-2612</t>
  </si>
  <si>
    <t>000-00-4958</t>
  </si>
  <si>
    <t>126-92-2694</t>
  </si>
  <si>
    <t>115-62-6738</t>
  </si>
  <si>
    <t>125-52-2945</t>
  </si>
  <si>
    <t>108-48-2704</t>
  </si>
  <si>
    <t>768-78-7724</t>
  </si>
  <si>
    <t>100-50-3001</t>
  </si>
  <si>
    <t>062-34-7392</t>
  </si>
  <si>
    <t>584-74-1310</t>
  </si>
  <si>
    <t>117-64-3682</t>
  </si>
  <si>
    <t>120-66-6281</t>
  </si>
  <si>
    <t>058-62-1467</t>
  </si>
  <si>
    <t>011-74-0430</t>
  </si>
  <si>
    <t>127-56-7187</t>
  </si>
  <si>
    <t>000-00-0897</t>
  </si>
  <si>
    <t>118-68-7317</t>
  </si>
  <si>
    <t>057-62-8969</t>
  </si>
  <si>
    <t>426-13-7138</t>
  </si>
  <si>
    <t>086-02-8830</t>
  </si>
  <si>
    <t>086-86-1916</t>
  </si>
  <si>
    <t>078-78-2959</t>
  </si>
  <si>
    <t>071-58-4433</t>
  </si>
  <si>
    <t>094-62-6786</t>
  </si>
  <si>
    <t>133-90-9065</t>
  </si>
  <si>
    <t>096-34-1891</t>
  </si>
  <si>
    <t>055-58-7881</t>
  </si>
  <si>
    <t>442-97-3265</t>
  </si>
  <si>
    <t>090-58-3040</t>
  </si>
  <si>
    <t>250-77-5646</t>
  </si>
  <si>
    <t>083-42-2743</t>
  </si>
  <si>
    <t>240-68-5265</t>
  </si>
  <si>
    <t>118-66-7321</t>
  </si>
  <si>
    <t>090-68-8895</t>
  </si>
  <si>
    <t>132-80-5113</t>
  </si>
  <si>
    <t>091-68-4056</t>
  </si>
  <si>
    <t>076-96-4588</t>
  </si>
  <si>
    <t>051-66-5474</t>
  </si>
  <si>
    <t>233-11-8470</t>
  </si>
  <si>
    <t>085-98-4055</t>
  </si>
  <si>
    <t>114-88-8741</t>
  </si>
  <si>
    <t>079-64-0395</t>
  </si>
  <si>
    <t>091-54-6575</t>
  </si>
  <si>
    <t>125-16-9458</t>
  </si>
  <si>
    <t>123-74-6434</t>
  </si>
  <si>
    <t>075-74-3548</t>
  </si>
  <si>
    <t>000-00-0475</t>
  </si>
  <si>
    <t>051-78-6872</t>
  </si>
  <si>
    <t>086-78-2272</t>
  </si>
  <si>
    <t>069-66-0623</t>
  </si>
  <si>
    <t>075-74-8890</t>
  </si>
  <si>
    <t>104-70-1633</t>
  </si>
  <si>
    <t>053-80-7859</t>
  </si>
  <si>
    <t>597-72-0359</t>
  </si>
  <si>
    <t>113-80-0342</t>
  </si>
  <si>
    <t>119-74-8837</t>
  </si>
  <si>
    <t>074-62-4042</t>
  </si>
  <si>
    <t>069-66-0204</t>
  </si>
  <si>
    <t>117-56-0399</t>
  </si>
  <si>
    <t>057-88-2091</t>
  </si>
  <si>
    <t>075-64-9600</t>
  </si>
  <si>
    <t>085-50-5508</t>
  </si>
  <si>
    <t>218-56-5853</t>
  </si>
  <si>
    <t>233-21-4533</t>
  </si>
  <si>
    <t>069-92-0835</t>
  </si>
  <si>
    <t>058-62-5714</t>
  </si>
  <si>
    <t>096-70-8922</t>
  </si>
  <si>
    <t>091-56-8049</t>
  </si>
  <si>
    <t>073-70-7733</t>
  </si>
  <si>
    <t>128-82-1987</t>
  </si>
  <si>
    <t>101-64-5688</t>
  </si>
  <si>
    <t>101-74-8189</t>
  </si>
  <si>
    <t>120-66-8589</t>
  </si>
  <si>
    <t>104-64-7211</t>
  </si>
  <si>
    <t>077-42-9182</t>
  </si>
  <si>
    <t>112-80-9629</t>
  </si>
  <si>
    <t>088-90-3011</t>
  </si>
  <si>
    <t>227-75-5421</t>
  </si>
  <si>
    <t>078-56-6911</t>
  </si>
  <si>
    <t>112-60-6262</t>
  </si>
  <si>
    <t>104-73-1176</t>
  </si>
  <si>
    <t>068-74-5867</t>
  </si>
  <si>
    <t>066-77-3407</t>
  </si>
  <si>
    <t>117-40-0164</t>
  </si>
  <si>
    <t>074-66-7666</t>
  </si>
  <si>
    <t>068-62-9946</t>
  </si>
  <si>
    <t>091-58-9784</t>
  </si>
  <si>
    <t>239-66-1661</t>
  </si>
  <si>
    <t>061-56-9963</t>
  </si>
  <si>
    <t>051-54-7323</t>
  </si>
  <si>
    <t>130-54-7093</t>
  </si>
  <si>
    <t>077-70-3803</t>
  </si>
  <si>
    <t>099-78-9405</t>
  </si>
  <si>
    <t>596-24-3053</t>
  </si>
  <si>
    <t>127-66-4999</t>
  </si>
  <si>
    <t>098-46-1221</t>
  </si>
  <si>
    <t>112-50-3585</t>
  </si>
  <si>
    <t>070-78-6050</t>
  </si>
  <si>
    <t>092-93-4273</t>
  </si>
  <si>
    <t>131-68-0519</t>
  </si>
  <si>
    <t>101-92-0127</t>
  </si>
  <si>
    <t>371-69-0758</t>
  </si>
  <si>
    <t>259-69-3568</t>
  </si>
  <si>
    <t>212-78-4946</t>
  </si>
  <si>
    <t>154-96-0555</t>
  </si>
  <si>
    <t>104-98-6037</t>
  </si>
  <si>
    <t>000-00-2264</t>
  </si>
  <si>
    <t>060-50-7936</t>
  </si>
  <si>
    <t>584-71-5106</t>
  </si>
  <si>
    <t>115-88-3058</t>
  </si>
  <si>
    <t>110-62-9080</t>
  </si>
  <si>
    <t>119-42-7956</t>
  </si>
  <si>
    <t>117-34-8259</t>
  </si>
  <si>
    <t>154-50-7300</t>
  </si>
  <si>
    <t>583-27-5232</t>
  </si>
  <si>
    <t>134-82-9464</t>
  </si>
  <si>
    <t>098-56-7296</t>
  </si>
  <si>
    <t>100-54-1547</t>
  </si>
  <si>
    <t>581-81-1934</t>
  </si>
  <si>
    <t>733-05-9446</t>
  </si>
  <si>
    <t>058-58-0870</t>
  </si>
  <si>
    <t>098-36-0983</t>
  </si>
  <si>
    <t>131-76-5971</t>
  </si>
  <si>
    <t>075-56-3534</t>
  </si>
  <si>
    <t>114-60-4317</t>
  </si>
  <si>
    <t>123-66-1203</t>
  </si>
  <si>
    <t>128-84-3180</t>
  </si>
  <si>
    <t>134-28-7924</t>
  </si>
  <si>
    <t>118-82-2629</t>
  </si>
  <si>
    <t>103-98-1135</t>
  </si>
  <si>
    <t>056-62-4433</t>
  </si>
  <si>
    <t>076-98-8208</t>
  </si>
  <si>
    <t>584-95-6325</t>
  </si>
  <si>
    <t>068-78-9897</t>
  </si>
  <si>
    <t>125-54-6207</t>
  </si>
  <si>
    <t>539-06-9985</t>
  </si>
  <si>
    <t>130-42-6136</t>
  </si>
  <si>
    <t>092-68-6288</t>
  </si>
  <si>
    <t>119-44-9027</t>
  </si>
  <si>
    <t>058-50-7079</t>
  </si>
  <si>
    <t>050-52-8167</t>
  </si>
  <si>
    <t>200-68-1331</t>
  </si>
  <si>
    <t>000-00-4906</t>
  </si>
  <si>
    <t>119-86-9987</t>
  </si>
  <si>
    <t>059-88-6590</t>
  </si>
  <si>
    <t>074-34-2890</t>
  </si>
  <si>
    <t>097-84-0287</t>
  </si>
  <si>
    <t>134-60-7262</t>
  </si>
  <si>
    <t>590-46-0496</t>
  </si>
  <si>
    <t>050-58-4611</t>
  </si>
  <si>
    <t>109-86-4668</t>
  </si>
  <si>
    <t>078-66-7957</t>
  </si>
  <si>
    <t>127-68-6257</t>
  </si>
  <si>
    <t>077-02-4306</t>
  </si>
  <si>
    <t>141-64-7625</t>
  </si>
  <si>
    <t>101-98-1762</t>
  </si>
  <si>
    <t>100-42-7165</t>
  </si>
  <si>
    <t>126-80-8410</t>
  </si>
  <si>
    <t>113-62-9262</t>
  </si>
  <si>
    <t>061-44-1486</t>
  </si>
  <si>
    <t>094-98-6382</t>
  </si>
  <si>
    <t>403-56-1993</t>
  </si>
  <si>
    <t>079-74-9371</t>
  </si>
  <si>
    <t>070-44-2606</t>
  </si>
  <si>
    <t>097-54-9982</t>
  </si>
  <si>
    <t>111-82-7616</t>
  </si>
  <si>
    <t>053-62-6900</t>
  </si>
  <si>
    <t>238-96-2712</t>
  </si>
  <si>
    <t>198-73-3115</t>
  </si>
  <si>
    <t>117-54-4462</t>
  </si>
  <si>
    <t>087-82-1623</t>
  </si>
  <si>
    <t>063-68-7253</t>
  </si>
  <si>
    <t>095-96-4625</t>
  </si>
  <si>
    <t>093-42-6840</t>
  </si>
  <si>
    <t>062-02-5074</t>
  </si>
  <si>
    <t>127-78-4715</t>
  </si>
  <si>
    <t>070-80-9461</t>
  </si>
  <si>
    <t>061-58-5262</t>
  </si>
  <si>
    <t>078-52-3128</t>
  </si>
  <si>
    <t>125-68-2969</t>
  </si>
  <si>
    <t>238-27-5703</t>
  </si>
  <si>
    <t>129-82-6632</t>
  </si>
  <si>
    <t>108-80-7706</t>
  </si>
  <si>
    <t>085-02-6210</t>
  </si>
  <si>
    <t>060-02-4318</t>
  </si>
  <si>
    <t>071-66-5082</t>
  </si>
  <si>
    <t>086-60-7260</t>
  </si>
  <si>
    <t>099-92-6063</t>
  </si>
  <si>
    <t>082-74-0413</t>
  </si>
  <si>
    <t>107-76-3295</t>
  </si>
  <si>
    <t>916-82-7803</t>
  </si>
  <si>
    <t>663-12-2548</t>
  </si>
  <si>
    <t>125-62-3341</t>
  </si>
  <si>
    <t>078-58-9638</t>
  </si>
  <si>
    <t>108-64-5846</t>
  </si>
  <si>
    <t>769-80-5348</t>
  </si>
  <si>
    <t>000-00-3257</t>
  </si>
  <si>
    <t>091-66-5957</t>
  </si>
  <si>
    <t>117-62-7086</t>
  </si>
  <si>
    <t>733-09-3858</t>
  </si>
  <si>
    <t>128-58-9999</t>
  </si>
  <si>
    <t>118-76-8379</t>
  </si>
  <si>
    <t>105-64-0674</t>
  </si>
  <si>
    <t>115-82-1924</t>
  </si>
  <si>
    <t>151-94-5287</t>
  </si>
  <si>
    <t>000-00-8026</t>
  </si>
  <si>
    <t>127-86-2392</t>
  </si>
  <si>
    <t>066-92-9886</t>
  </si>
  <si>
    <t>062-56-2258</t>
  </si>
  <si>
    <t>062-70-9022</t>
  </si>
  <si>
    <t>080-92-5234</t>
  </si>
  <si>
    <t>084-42-4788</t>
  </si>
  <si>
    <t>112-82-1562</t>
  </si>
  <si>
    <t>591-60-8260</t>
  </si>
  <si>
    <t>097-62-4663</t>
  </si>
  <si>
    <t>111-82-1457</t>
  </si>
  <si>
    <t>071-94-1252</t>
  </si>
  <si>
    <t>068-60-1562</t>
  </si>
  <si>
    <t>057-60-6611</t>
  </si>
  <si>
    <t>118-60-5169</t>
  </si>
  <si>
    <t>097-62-7495</t>
  </si>
  <si>
    <t>069-58-0477</t>
  </si>
  <si>
    <t>096-86-3918</t>
  </si>
  <si>
    <t>061-50-8237</t>
  </si>
  <si>
    <t>223-56-2337</t>
  </si>
  <si>
    <t>128-92-3320</t>
  </si>
  <si>
    <t>121-88-6744</t>
  </si>
  <si>
    <t>104-80-5224</t>
  </si>
  <si>
    <t>130-32-2545</t>
  </si>
  <si>
    <t>088-92-2656</t>
  </si>
  <si>
    <t>102-02-8479</t>
  </si>
  <si>
    <t>114-70-4705</t>
  </si>
  <si>
    <t>120-94-1810</t>
  </si>
  <si>
    <t>127-58-6921</t>
  </si>
  <si>
    <t>117-76-2667</t>
  </si>
  <si>
    <t>050-72-7900</t>
  </si>
  <si>
    <t>062-54-3069</t>
  </si>
  <si>
    <t>096-66-6520</t>
  </si>
  <si>
    <t>114-76-9888</t>
  </si>
  <si>
    <t>064-70-2643</t>
  </si>
  <si>
    <t>065-60-0357</t>
  </si>
  <si>
    <t>120-88-5367</t>
  </si>
  <si>
    <t>121-56-7982</t>
  </si>
  <si>
    <t>599-52-4485</t>
  </si>
  <si>
    <t>090-74-1221</t>
  </si>
  <si>
    <t>082-54-2441</t>
  </si>
  <si>
    <t>075-80-5426</t>
  </si>
  <si>
    <t>097-46-6021</t>
  </si>
  <si>
    <t>112-86-8173</t>
  </si>
  <si>
    <t>057-58-4507</t>
  </si>
  <si>
    <t>110-80-0882</t>
  </si>
  <si>
    <t>096-76-4901</t>
  </si>
  <si>
    <t>100-68-7410</t>
  </si>
  <si>
    <t>123-62-7980</t>
  </si>
  <si>
    <t>090-58-0453</t>
  </si>
  <si>
    <t>080-68-7673</t>
  </si>
  <si>
    <t>116-56-7796</t>
  </si>
  <si>
    <t>732-14-2065</t>
  </si>
  <si>
    <t>066-74-6970</t>
  </si>
  <si>
    <t>090-52-4962</t>
  </si>
  <si>
    <t>052-02-3742</t>
  </si>
  <si>
    <t>114-82-0161</t>
  </si>
  <si>
    <t>241-02-5591</t>
  </si>
  <si>
    <t>100-46-8664</t>
  </si>
  <si>
    <t>097-56-3571</t>
  </si>
  <si>
    <t>130-74-3476</t>
  </si>
  <si>
    <t>063-74-0604</t>
  </si>
  <si>
    <t>104-56-4568</t>
  </si>
  <si>
    <t>091-70-6770</t>
  </si>
  <si>
    <t>053-74-7800</t>
  </si>
  <si>
    <t>063-64-5277</t>
  </si>
  <si>
    <t>111-68-6408</t>
  </si>
  <si>
    <t>112-58-7234</t>
  </si>
  <si>
    <t>106-68-7454</t>
  </si>
  <si>
    <t>034-84-8719</t>
  </si>
  <si>
    <t>078-82-6214</t>
  </si>
  <si>
    <t>066-78-4584</t>
  </si>
  <si>
    <t>065-82-3900</t>
  </si>
  <si>
    <t>078-90-2039</t>
  </si>
  <si>
    <t>091-78-4261</t>
  </si>
  <si>
    <t>103-86-6581</t>
  </si>
  <si>
    <t>091-86-0296</t>
  </si>
  <si>
    <t>000-00-2934</t>
  </si>
  <si>
    <t>624-33-1005</t>
  </si>
  <si>
    <t>098-56-6711</t>
  </si>
  <si>
    <t>051-80-0571</t>
  </si>
  <si>
    <t>059-94-6085</t>
  </si>
  <si>
    <t>090-48-5198</t>
  </si>
  <si>
    <t>067-64-9414</t>
  </si>
  <si>
    <t>118-62-8623</t>
  </si>
  <si>
    <t>671-30-7008</t>
  </si>
  <si>
    <t>103-70-2731</t>
  </si>
  <si>
    <t>175-62-3570</t>
  </si>
  <si>
    <t>729-05-5006</t>
  </si>
  <si>
    <t>580-31-0707</t>
  </si>
  <si>
    <t>074-50-8332</t>
  </si>
  <si>
    <t>058-78-7512</t>
  </si>
  <si>
    <t>089-50-1595</t>
  </si>
  <si>
    <t>113-56-1281</t>
  </si>
  <si>
    <t>086-50-0352</t>
  </si>
  <si>
    <t>061-80-0655</t>
  </si>
  <si>
    <t>095-60-2348</t>
  </si>
  <si>
    <t>061-60-9894</t>
  </si>
  <si>
    <t>091-54-2567</t>
  </si>
  <si>
    <t>096-58-9581</t>
  </si>
  <si>
    <t>072-72-0715</t>
  </si>
  <si>
    <t>103-38-4572</t>
  </si>
  <si>
    <t>064-68-4898</t>
  </si>
  <si>
    <t>572-57-3743</t>
  </si>
  <si>
    <t>118-58-3025</t>
  </si>
  <si>
    <t>120-76-8521</t>
  </si>
  <si>
    <t>107-62-8533</t>
  </si>
  <si>
    <t>116-52-6568</t>
  </si>
  <si>
    <t>109-74-9546</t>
  </si>
  <si>
    <t>084-62-2895</t>
  </si>
  <si>
    <t>116-60-1742</t>
  </si>
  <si>
    <t>061-76-6566</t>
  </si>
  <si>
    <t>125-60-5197</t>
  </si>
  <si>
    <t>083-78-9977</t>
  </si>
  <si>
    <t>071-58-5800</t>
  </si>
  <si>
    <t>060-92-0053</t>
  </si>
  <si>
    <t>080-90-5310</t>
  </si>
  <si>
    <t>081-82-1773</t>
  </si>
  <si>
    <t>087-82-5519</t>
  </si>
  <si>
    <t>077-52-4741</t>
  </si>
  <si>
    <t>082-74-9862</t>
  </si>
  <si>
    <t>143-72-7555</t>
  </si>
  <si>
    <t>581-57-9785</t>
  </si>
  <si>
    <t>086-96-1029</t>
  </si>
  <si>
    <t>828-38-5962</t>
  </si>
  <si>
    <t>582-13-1533</t>
  </si>
  <si>
    <t>096-82-3307</t>
  </si>
  <si>
    <t>580-04-9803</t>
  </si>
  <si>
    <t>061-50-7682</t>
  </si>
  <si>
    <t>096-73-9505</t>
  </si>
  <si>
    <t>095-64-2779</t>
  </si>
  <si>
    <t>134-78-7229</t>
  </si>
  <si>
    <t>053-78-0615</t>
  </si>
  <si>
    <t>075-92-6576</t>
  </si>
  <si>
    <t>262-88-8964</t>
  </si>
  <si>
    <t>099-42-7615</t>
  </si>
  <si>
    <t>113-56-0451</t>
  </si>
  <si>
    <t>065-58-4797</t>
  </si>
  <si>
    <t>063-94-9119</t>
  </si>
  <si>
    <t>096-74-5173</t>
  </si>
  <si>
    <t>088-94-5794</t>
  </si>
  <si>
    <t>060-82-3467</t>
  </si>
  <si>
    <t>062-56-8545</t>
  </si>
  <si>
    <t>055-48-9082</t>
  </si>
  <si>
    <t>105-54-1327</t>
  </si>
  <si>
    <t>123-80-0421</t>
  </si>
  <si>
    <t>119-78-8916</t>
  </si>
  <si>
    <t>279-19-1022</t>
  </si>
  <si>
    <t>052-48-9177</t>
  </si>
  <si>
    <t>329-72-4351</t>
  </si>
  <si>
    <t>064-76-1503</t>
  </si>
  <si>
    <t>155-94-6045</t>
  </si>
  <si>
    <t>113-62-4258</t>
  </si>
  <si>
    <t>071-78-7588</t>
  </si>
  <si>
    <t>727-09-8905</t>
  </si>
  <si>
    <t>105-50-0812</t>
  </si>
  <si>
    <t>073-50-0572</t>
  </si>
  <si>
    <t>076-58-4175</t>
  </si>
  <si>
    <t>101-50-1758</t>
  </si>
  <si>
    <t>582-89-9967</t>
  </si>
  <si>
    <t>052-02-2624</t>
  </si>
  <si>
    <t>265-99-1820</t>
  </si>
  <si>
    <t>098-76-6937</t>
  </si>
  <si>
    <t>055-78-9634</t>
  </si>
  <si>
    <t>063-84-7718</t>
  </si>
  <si>
    <t>190-56-3192</t>
  </si>
  <si>
    <t>092-78-0952</t>
  </si>
  <si>
    <t>072-80-3306</t>
  </si>
  <si>
    <t>098-46-2882</t>
  </si>
  <si>
    <t>101-50-9907</t>
  </si>
  <si>
    <t>126-50-6751</t>
  </si>
  <si>
    <t>061-82-7372</t>
  </si>
  <si>
    <t>107-68-7200</t>
  </si>
  <si>
    <t>057-58-1225</t>
  </si>
  <si>
    <t>132-68-8395</t>
  </si>
  <si>
    <t>581-17-9976</t>
  </si>
  <si>
    <t>074-68-8079</t>
  </si>
  <si>
    <t>134-52-5482</t>
  </si>
  <si>
    <t>581-41-8591</t>
  </si>
  <si>
    <t>081-70-4481</t>
  </si>
  <si>
    <t>084-84-9559</t>
  </si>
  <si>
    <t>000-00-3507</t>
  </si>
  <si>
    <t>050-72-4627</t>
  </si>
  <si>
    <t>192-69-5120</t>
  </si>
  <si>
    <t>095-82-4313</t>
  </si>
  <si>
    <t>212-49-9013</t>
  </si>
  <si>
    <t>055-70-2322</t>
  </si>
  <si>
    <t>105-16-1458</t>
  </si>
  <si>
    <t>103-64-7354</t>
  </si>
  <si>
    <t>059-76-1262</t>
  </si>
  <si>
    <t>070-50-7117</t>
  </si>
  <si>
    <t>076-96-1423</t>
  </si>
  <si>
    <t>109-72-3037</t>
  </si>
  <si>
    <t>132-86-2907</t>
  </si>
  <si>
    <t>057-62-1255</t>
  </si>
  <si>
    <t>104-84-7452</t>
  </si>
  <si>
    <t>081-66-0381</t>
  </si>
  <si>
    <t>079-64-9286</t>
  </si>
  <si>
    <t>090-88-4530</t>
  </si>
  <si>
    <t>067-46-5820</t>
  </si>
  <si>
    <t>532-94-6576</t>
  </si>
  <si>
    <t>081-88-2147</t>
  </si>
  <si>
    <t>248-87-4800</t>
  </si>
  <si>
    <t>091-13-4434</t>
  </si>
  <si>
    <t>066-64-3442</t>
  </si>
  <si>
    <t>098-82-6685</t>
  </si>
  <si>
    <t>094-76-7895</t>
  </si>
  <si>
    <t>093-68-9026</t>
  </si>
  <si>
    <t>582-35-7802</t>
  </si>
  <si>
    <t>706-64-8491</t>
  </si>
  <si>
    <t>116-74-3908</t>
  </si>
  <si>
    <t>100-76-3814</t>
  </si>
  <si>
    <t>126-50-9483</t>
  </si>
  <si>
    <t>051-46-4850</t>
  </si>
  <si>
    <t>073-72-9332</t>
  </si>
  <si>
    <t>067-76-8495</t>
  </si>
  <si>
    <t>143-64-7371</t>
  </si>
  <si>
    <t>131-64-4869</t>
  </si>
  <si>
    <t>083-70-1658</t>
  </si>
  <si>
    <t>121-86-9474</t>
  </si>
  <si>
    <t>114-72-0509</t>
  </si>
  <si>
    <t>126-72-2500</t>
  </si>
  <si>
    <t>714-22-7910</t>
  </si>
  <si>
    <t>000-00-9215</t>
  </si>
  <si>
    <t>598-03-4837</t>
  </si>
  <si>
    <t>115-98-0127</t>
  </si>
  <si>
    <t>182-94-9772</t>
  </si>
  <si>
    <t>050-42-4889</t>
  </si>
  <si>
    <t>050-78-9962</t>
  </si>
  <si>
    <t>581-49-5989</t>
  </si>
  <si>
    <t>079-56-1494</t>
  </si>
  <si>
    <t>205-62-4306</t>
  </si>
  <si>
    <t>129-94-9517</t>
  </si>
  <si>
    <t>100-52-6046</t>
  </si>
  <si>
    <t>091-90-2439</t>
  </si>
  <si>
    <t>077-96-3407</t>
  </si>
  <si>
    <t>115-62-1830</t>
  </si>
  <si>
    <t>083-74-6076</t>
  </si>
  <si>
    <t>085-74-0537</t>
  </si>
  <si>
    <t>079-02-1009</t>
  </si>
  <si>
    <t>599-40-8062</t>
  </si>
  <si>
    <t>106-44-7291</t>
  </si>
  <si>
    <t>065-58-5890</t>
  </si>
  <si>
    <t>095-54-5436</t>
  </si>
  <si>
    <t>072-44-2053</t>
  </si>
  <si>
    <t>131-58-4857</t>
  </si>
  <si>
    <t>594-18-4400</t>
  </si>
  <si>
    <t>482-23-0409</t>
  </si>
  <si>
    <t>106-68-6137</t>
  </si>
  <si>
    <t>053-70-2483</t>
  </si>
  <si>
    <t>092-32-6892</t>
  </si>
  <si>
    <t>591-80-8847</t>
  </si>
  <si>
    <t>057-58-8387</t>
  </si>
  <si>
    <t>099-76-8809</t>
  </si>
  <si>
    <t>125-40-4339</t>
  </si>
  <si>
    <t>000-00-5753</t>
  </si>
  <si>
    <t>793-49-1518</t>
  </si>
  <si>
    <t>095-62-0417</t>
  </si>
  <si>
    <t>115-70-4251</t>
  </si>
  <si>
    <t>107-68-4671</t>
  </si>
  <si>
    <t>088-70-1730</t>
  </si>
  <si>
    <t>078-84-3196</t>
  </si>
  <si>
    <t>074-58-9092</t>
  </si>
  <si>
    <t>110-68-8670</t>
  </si>
  <si>
    <t>597-36-3443</t>
  </si>
  <si>
    <t>107-64-8314</t>
  </si>
  <si>
    <t>121-58-5917</t>
  </si>
  <si>
    <t>230-39-1367</t>
  </si>
  <si>
    <t>650-03-8118</t>
  </si>
  <si>
    <t>101-68-1719</t>
  </si>
  <si>
    <t>112-72-7064</t>
  </si>
  <si>
    <t>101-58-4677</t>
  </si>
  <si>
    <t>327-57-8745</t>
  </si>
  <si>
    <t>732-05-8793</t>
  </si>
  <si>
    <t>083-62-1915</t>
  </si>
  <si>
    <t>074-68-7931</t>
  </si>
  <si>
    <t>073-02-1303</t>
  </si>
  <si>
    <t>096-88-7307</t>
  </si>
  <si>
    <t>131-40-1636</t>
  </si>
  <si>
    <t>163-58-5978</t>
  </si>
  <si>
    <t>097-56-0709</t>
  </si>
  <si>
    <t>057-56-4198</t>
  </si>
  <si>
    <t>056-76-2779</t>
  </si>
  <si>
    <t>078-74-1455</t>
  </si>
  <si>
    <t>086-54-2759</t>
  </si>
  <si>
    <t>081-58-7617</t>
  </si>
  <si>
    <t>117-34-8872</t>
  </si>
  <si>
    <t>118-82-4229</t>
  </si>
  <si>
    <t>084-60-8133</t>
  </si>
  <si>
    <t>134-82-3961</t>
  </si>
  <si>
    <t>102-56-0626</t>
  </si>
  <si>
    <t>116-56-8966</t>
  </si>
  <si>
    <t>126-58-3800</t>
  </si>
  <si>
    <t>112-82-1443</t>
  </si>
  <si>
    <t>069-68-1758</t>
  </si>
  <si>
    <t>372-84-5289</t>
  </si>
  <si>
    <t>714-90-4690</t>
  </si>
  <si>
    <t>098-54-9661</t>
  </si>
  <si>
    <t>082-40-4213</t>
  </si>
  <si>
    <t>117-54-8627</t>
  </si>
  <si>
    <t>108-54-4962</t>
  </si>
  <si>
    <t>014-70-1864</t>
  </si>
  <si>
    <t>121-72-9088</t>
  </si>
  <si>
    <t>042-82-4087</t>
  </si>
  <si>
    <t>054-02-7199</t>
  </si>
  <si>
    <t>071-64-1497</t>
  </si>
  <si>
    <t>112-72-4156</t>
  </si>
  <si>
    <t>129-58-0193</t>
  </si>
  <si>
    <t>146-45-3536</t>
  </si>
  <si>
    <t>086-80-2082</t>
  </si>
  <si>
    <t>659-70-8990</t>
  </si>
  <si>
    <t>075-88-5966</t>
  </si>
  <si>
    <t>073-80-5217</t>
  </si>
  <si>
    <t>068-36-7555</t>
  </si>
  <si>
    <t>156-66-6618</t>
  </si>
  <si>
    <t>101-86-5551</t>
  </si>
  <si>
    <t>051-32-1885</t>
  </si>
  <si>
    <t>374-96-6138</t>
  </si>
  <si>
    <t>228-15-2951</t>
  </si>
  <si>
    <t>172-54-7783</t>
  </si>
  <si>
    <t>113-70-9991</t>
  </si>
  <si>
    <t>086-64-7518</t>
  </si>
  <si>
    <t>223-39-2398</t>
  </si>
  <si>
    <t>075-74-9013</t>
  </si>
  <si>
    <t>076-50-7875</t>
  </si>
  <si>
    <t>595-50-3758</t>
  </si>
  <si>
    <t>050-62-3253</t>
  </si>
  <si>
    <t>125-76-0174</t>
  </si>
  <si>
    <t>107-84-0851</t>
  </si>
  <si>
    <t>114-72-1299</t>
  </si>
  <si>
    <t>112-72-1936</t>
  </si>
  <si>
    <t>099-92-6166</t>
  </si>
  <si>
    <t>132-66-0510</t>
  </si>
  <si>
    <t>078-76-4570</t>
  </si>
  <si>
    <t>894-15-6349</t>
  </si>
  <si>
    <t>079-86-3109</t>
  </si>
  <si>
    <t>596-42-7773</t>
  </si>
  <si>
    <t>062-58-8408</t>
  </si>
  <si>
    <t>066-36-3957</t>
  </si>
  <si>
    <t>582-91-3949</t>
  </si>
  <si>
    <t>106-76-3632</t>
  </si>
  <si>
    <t>064-80-4407</t>
  </si>
  <si>
    <t>077-78-3965</t>
  </si>
  <si>
    <t>071-80-1372</t>
  </si>
  <si>
    <t>067-58-8053</t>
  </si>
  <si>
    <t>582-86-6458</t>
  </si>
  <si>
    <t>072-68-6249</t>
  </si>
  <si>
    <t>055-60-2450</t>
  </si>
  <si>
    <t>062-92-8389</t>
  </si>
  <si>
    <t>143-54-3768</t>
  </si>
  <si>
    <t>152-64-9215</t>
  </si>
  <si>
    <t>074-62-6168</t>
  </si>
  <si>
    <t>456-79-2082</t>
  </si>
  <si>
    <t>092-96-5341</t>
  </si>
  <si>
    <t>078-58-1310</t>
  </si>
  <si>
    <t>075-46-0926</t>
  </si>
  <si>
    <t>090-73-9980</t>
  </si>
  <si>
    <t>103-48-5472</t>
  </si>
  <si>
    <t>120-60-4875</t>
  </si>
  <si>
    <t>082-64-0933</t>
  </si>
  <si>
    <t>092-74-7124</t>
  </si>
  <si>
    <t>133-90-8703</t>
  </si>
  <si>
    <t>108-82-9139</t>
  </si>
  <si>
    <t>068-86-4572</t>
  </si>
  <si>
    <t>085-56-7288</t>
  </si>
  <si>
    <t>117-64-7816</t>
  </si>
  <si>
    <t>133-46-0562</t>
  </si>
  <si>
    <t>107-43-9464</t>
  </si>
  <si>
    <t>092-76-6481</t>
  </si>
  <si>
    <t>092-64-3498</t>
  </si>
  <si>
    <t>069-40-2108</t>
  </si>
  <si>
    <t>109-76-4951</t>
  </si>
  <si>
    <t>102-96-2939</t>
  </si>
  <si>
    <t>131-64-4895</t>
  </si>
  <si>
    <t>078-60-4309</t>
  </si>
  <si>
    <t>092-89-4087</t>
  </si>
  <si>
    <t>074-58-9708</t>
  </si>
  <si>
    <t>103-74-6064</t>
  </si>
  <si>
    <t>237-72-1722</t>
  </si>
  <si>
    <t>059-66-4345</t>
  </si>
  <si>
    <t>061-94-2489</t>
  </si>
  <si>
    <t>113-70-9943</t>
  </si>
  <si>
    <t>050-82-1333</t>
  </si>
  <si>
    <t>554-37-1224</t>
  </si>
  <si>
    <t>212-60-4275</t>
  </si>
  <si>
    <t>077-66-1530</t>
  </si>
  <si>
    <t>256-25-3442</t>
  </si>
  <si>
    <t>594-32-6989</t>
  </si>
  <si>
    <t>051-74-8068</t>
  </si>
  <si>
    <t>115-58-7314</t>
  </si>
  <si>
    <t>061-72-5935</t>
  </si>
  <si>
    <t>584-90-3159</t>
  </si>
  <si>
    <t>131-88-6192</t>
  </si>
  <si>
    <t>076-64-3005</t>
  </si>
  <si>
    <t>051-88-1854</t>
  </si>
  <si>
    <t>060-70-1076</t>
  </si>
  <si>
    <t>061-74-7652</t>
  </si>
  <si>
    <t>598-78-4311</t>
  </si>
  <si>
    <t>360-99-9474</t>
  </si>
  <si>
    <t>066-80-1909</t>
  </si>
  <si>
    <t>814-25-3957</t>
  </si>
  <si>
    <t>073-68-9331</t>
  </si>
  <si>
    <t>123-86-0950</t>
  </si>
  <si>
    <t>051-60-5708</t>
  </si>
  <si>
    <t>120-48-9406</t>
  </si>
  <si>
    <t>064-56-4245</t>
  </si>
  <si>
    <t>086-62-0102</t>
  </si>
  <si>
    <t>120-58-4691</t>
  </si>
  <si>
    <t>105-58-9586</t>
  </si>
  <si>
    <t>124-76-8708</t>
  </si>
  <si>
    <t>082-58-7093</t>
  </si>
  <si>
    <t>097-56-0479</t>
  </si>
  <si>
    <t>074-84-4611</t>
  </si>
  <si>
    <t>328-27-6725</t>
  </si>
  <si>
    <t>094-64-5359</t>
  </si>
  <si>
    <t>062-80-0551</t>
  </si>
  <si>
    <t>133-66-5736</t>
  </si>
  <si>
    <t>000-00-5311</t>
  </si>
  <si>
    <t>252-48-4088</t>
  </si>
  <si>
    <t>073-50-6745</t>
  </si>
  <si>
    <t>111-52-6259</t>
  </si>
  <si>
    <t>088-76-7430</t>
  </si>
  <si>
    <t>718-76-9919</t>
  </si>
  <si>
    <t>119-50-9429</t>
  </si>
  <si>
    <t>582-04-1059</t>
  </si>
  <si>
    <t>000-00-2016</t>
  </si>
  <si>
    <t>061-76-6670</t>
  </si>
  <si>
    <t>341-55-8693</t>
  </si>
  <si>
    <t>599-14-0993</t>
  </si>
  <si>
    <t>069-84-3315</t>
  </si>
  <si>
    <t>091-02-8004</t>
  </si>
  <si>
    <t>108-76-3554</t>
  </si>
  <si>
    <t>092-42-5911</t>
  </si>
  <si>
    <t>070-40-6654</t>
  </si>
  <si>
    <t>075-82-3581</t>
  </si>
  <si>
    <t>198-04-3076</t>
  </si>
  <si>
    <t>060-84-5387</t>
  </si>
  <si>
    <t>155-46-0151</t>
  </si>
  <si>
    <t>094-56-2685</t>
  </si>
  <si>
    <t>090-84-0518</t>
  </si>
  <si>
    <t>089-58-1430</t>
  </si>
  <si>
    <t>581-71-4686</t>
  </si>
  <si>
    <t>240-31-9130</t>
  </si>
  <si>
    <t>076-74-2387</t>
  </si>
  <si>
    <t>598-18-1171</t>
  </si>
  <si>
    <t>104-64-3271</t>
  </si>
  <si>
    <t>745-13-9509</t>
  </si>
  <si>
    <t>083-80-8887</t>
  </si>
  <si>
    <t>250-04-4650</t>
  </si>
  <si>
    <t>114-92-5712</t>
  </si>
  <si>
    <t>105-46-5348</t>
  </si>
  <si>
    <t>000-00-7111</t>
  </si>
  <si>
    <t>063-34-9855</t>
  </si>
  <si>
    <t>107-64-0214</t>
  </si>
  <si>
    <t>036-92-8081</t>
  </si>
  <si>
    <t>086-62-3337</t>
  </si>
  <si>
    <t>097-78-8115</t>
  </si>
  <si>
    <t>051-72-4598</t>
  </si>
  <si>
    <t>117-68-4651</t>
  </si>
  <si>
    <t>067-82-3172</t>
  </si>
  <si>
    <t>092-82-5362</t>
  </si>
  <si>
    <t>131-90-5546</t>
  </si>
  <si>
    <t>057-74-0646</t>
  </si>
  <si>
    <t>120-70-5792</t>
  </si>
  <si>
    <t>000-00-1232</t>
  </si>
  <si>
    <t>106-46-5266</t>
  </si>
  <si>
    <t>128-68-1108</t>
  </si>
  <si>
    <t>088-70-0334</t>
  </si>
  <si>
    <t>057-78-8391</t>
  </si>
  <si>
    <t>105-94-1928</t>
  </si>
  <si>
    <t>023-64-5826</t>
  </si>
  <si>
    <t>119-78-5707</t>
  </si>
  <si>
    <t>121-70-1541</t>
  </si>
  <si>
    <t>000-00-8005</t>
  </si>
  <si>
    <t>018-88-9498</t>
  </si>
  <si>
    <t>086-96-1728</t>
  </si>
  <si>
    <t>070-64-5286</t>
  </si>
  <si>
    <t>074-40-9311</t>
  </si>
  <si>
    <t>119-78-4413</t>
  </si>
  <si>
    <t>169-72-7355</t>
  </si>
  <si>
    <t>063-80-9995</t>
  </si>
  <si>
    <t>565-78-5094</t>
  </si>
  <si>
    <t>119-70-3573</t>
  </si>
  <si>
    <t>102-68-0016</t>
  </si>
  <si>
    <t>108-68-1905</t>
  </si>
  <si>
    <t>055-82-2415</t>
  </si>
  <si>
    <t>120-50-8000</t>
  </si>
  <si>
    <t>123-68-0105</t>
  </si>
  <si>
    <t>130-42-5894</t>
  </si>
  <si>
    <t>069-50-6553</t>
  </si>
  <si>
    <t>106-60-2552</t>
  </si>
  <si>
    <t>104-68-2114</t>
  </si>
  <si>
    <t>103-90-9949</t>
  </si>
  <si>
    <t>078-80-6937</t>
  </si>
  <si>
    <t>039-42-8350</t>
  </si>
  <si>
    <t>098-72-2611</t>
  </si>
  <si>
    <t>078-72-5432</t>
  </si>
  <si>
    <t>072-60-3861</t>
  </si>
  <si>
    <t>085-70-2994</t>
  </si>
  <si>
    <t>596-22-8330</t>
  </si>
  <si>
    <t>121-30-0766</t>
  </si>
  <si>
    <t>095-80-0551</t>
  </si>
  <si>
    <t>068-58-5881</t>
  </si>
  <si>
    <t>056-88-7304</t>
  </si>
  <si>
    <t>404-73-9000</t>
  </si>
  <si>
    <t>758-29-8864</t>
  </si>
  <si>
    <t>064-58-1516</t>
  </si>
  <si>
    <t>693-79-9750</t>
  </si>
  <si>
    <t>061-40-8535</t>
  </si>
  <si>
    <t>104-52-1182</t>
  </si>
  <si>
    <t>085-58-3440</t>
  </si>
  <si>
    <t>105-80-5984</t>
  </si>
  <si>
    <t>098-44-6974</t>
  </si>
  <si>
    <t>731-09-2384</t>
  </si>
  <si>
    <t>584-78-7856</t>
  </si>
  <si>
    <t>156-98-6916</t>
  </si>
  <si>
    <t>130-94-8030</t>
  </si>
  <si>
    <t>116-80-8710</t>
  </si>
  <si>
    <t>138-98-8388</t>
  </si>
  <si>
    <t>079-02-4574</t>
  </si>
  <si>
    <t>065-72-4767</t>
  </si>
  <si>
    <t>099-58-5178</t>
  </si>
  <si>
    <t>111-58-7232</t>
  </si>
  <si>
    <t>086-88-0201</t>
  </si>
  <si>
    <t>099-86-6156</t>
  </si>
  <si>
    <t>862-69-8155</t>
  </si>
  <si>
    <t>119-78-8218</t>
  </si>
  <si>
    <t>084-46-8397</t>
  </si>
  <si>
    <t>126-84-9615</t>
  </si>
  <si>
    <t>095-84-2423</t>
  </si>
  <si>
    <t>744-06-2694</t>
  </si>
  <si>
    <t>468-59-8875</t>
  </si>
  <si>
    <t>119-70-4929</t>
  </si>
  <si>
    <t>784-59-0501</t>
  </si>
  <si>
    <t>273-74-8815</t>
  </si>
  <si>
    <t>000-00-4554</t>
  </si>
  <si>
    <t>117-84-1321</t>
  </si>
  <si>
    <t>283-73-6939</t>
  </si>
  <si>
    <t>085-60-1637</t>
  </si>
  <si>
    <t>105-74-4592</t>
  </si>
  <si>
    <t>582-46-1111</t>
  </si>
  <si>
    <t>582-06-4461</t>
  </si>
  <si>
    <t>119-50-2244</t>
  </si>
  <si>
    <t>084-48-0855</t>
  </si>
  <si>
    <t>124-58-1765</t>
  </si>
  <si>
    <t>072-62-6273</t>
  </si>
  <si>
    <t>892-25-6058</t>
  </si>
  <si>
    <t>092-68-8898</t>
  </si>
  <si>
    <t>101-62-7985</t>
  </si>
  <si>
    <t>086-74-2764</t>
  </si>
  <si>
    <t>126-50-6424</t>
  </si>
  <si>
    <t>050-50-0066</t>
  </si>
  <si>
    <t>078-86-2415</t>
  </si>
  <si>
    <t>119-56-0835</t>
  </si>
  <si>
    <t>100-58-4358</t>
  </si>
  <si>
    <t>098-62-2890</t>
  </si>
  <si>
    <t>053-56-8145</t>
  </si>
  <si>
    <t>085-62-7755</t>
  </si>
  <si>
    <t>047-78-3075</t>
  </si>
  <si>
    <t>067-66-5598</t>
  </si>
  <si>
    <t>099-48-9821</t>
  </si>
  <si>
    <t>080-70-7528</t>
  </si>
  <si>
    <t>126-84-0397</t>
  </si>
  <si>
    <t>129-58-7495</t>
  </si>
  <si>
    <t>067-66-8331</t>
  </si>
  <si>
    <t>101-78-0789</t>
  </si>
  <si>
    <t>122-62-1904</t>
  </si>
  <si>
    <t>100-66-1286</t>
  </si>
  <si>
    <t>569-81-3730</t>
  </si>
  <si>
    <t>081-68-7006</t>
  </si>
  <si>
    <t>730-03-4537</t>
  </si>
  <si>
    <t>000-00-2283</t>
  </si>
  <si>
    <t>102-72-4522</t>
  </si>
  <si>
    <t>077-80-7776</t>
  </si>
  <si>
    <t>095-52-8626</t>
  </si>
  <si>
    <t>105-78-8644</t>
  </si>
  <si>
    <t>122-88-7167</t>
  </si>
  <si>
    <t>184-48-5466</t>
  </si>
  <si>
    <t>054-44-7380</t>
  </si>
  <si>
    <t>118-58-4060</t>
  </si>
  <si>
    <t>187-70-7024</t>
  </si>
  <si>
    <t>584-24-1390</t>
  </si>
  <si>
    <t>134-62-9194</t>
  </si>
  <si>
    <t>112-62-2993</t>
  </si>
  <si>
    <t>101-68-1828</t>
  </si>
  <si>
    <t>123-64-8395</t>
  </si>
  <si>
    <t>097-56-1671</t>
  </si>
  <si>
    <t>583-11-7140</t>
  </si>
  <si>
    <t>581-34-8130</t>
  </si>
  <si>
    <t>050-60-7982</t>
  </si>
  <si>
    <t>229-53-2550</t>
  </si>
  <si>
    <t>183-86-0596</t>
  </si>
  <si>
    <t>100-84-7542</t>
  </si>
  <si>
    <t>063-68-3845</t>
  </si>
  <si>
    <t>112-60-0881</t>
  </si>
  <si>
    <t>085-62-0807</t>
  </si>
  <si>
    <t>123-78-5781</t>
  </si>
  <si>
    <t>064-48-8128</t>
  </si>
  <si>
    <t>121-90-2362</t>
  </si>
  <si>
    <t>580-17-6590</t>
  </si>
  <si>
    <t>129-88-1482</t>
  </si>
  <si>
    <t>060-62-2678</t>
  </si>
  <si>
    <t>068-56-2337</t>
  </si>
  <si>
    <t>054-80-5150</t>
  </si>
  <si>
    <t>120-72-6241</t>
  </si>
  <si>
    <t>054-62-8192</t>
  </si>
  <si>
    <t>104-34-5801</t>
  </si>
  <si>
    <t>104-52-5218</t>
  </si>
  <si>
    <t>099-02-8580</t>
  </si>
  <si>
    <t>652-86-7742</t>
  </si>
  <si>
    <t>079-72-5020</t>
  </si>
  <si>
    <t>131-76-2121</t>
  </si>
  <si>
    <t>078-82-1583</t>
  </si>
  <si>
    <t>051-86-8160</t>
  </si>
  <si>
    <t>128-46-0569</t>
  </si>
  <si>
    <t>064-48-9581</t>
  </si>
  <si>
    <t>109-52-0537</t>
  </si>
  <si>
    <t>086-68-0416</t>
  </si>
  <si>
    <t>058-90-9216</t>
  </si>
  <si>
    <t>120-74-3557</t>
  </si>
  <si>
    <t>066-68-6986</t>
  </si>
  <si>
    <t>090-98-0032</t>
  </si>
  <si>
    <t>062-62-7673</t>
  </si>
  <si>
    <t>067-54-3316</t>
  </si>
  <si>
    <t>106-62-9730</t>
  </si>
  <si>
    <t>185-62-7604</t>
  </si>
  <si>
    <t>059-72-6348</t>
  </si>
  <si>
    <t>053-68-9754</t>
  </si>
  <si>
    <t>132-56-5821</t>
  </si>
  <si>
    <t>090-58-2105</t>
  </si>
  <si>
    <t>097-96-5314</t>
  </si>
  <si>
    <t>043-48-0176</t>
  </si>
  <si>
    <t>128-50-3768</t>
  </si>
  <si>
    <t>106-78-2597</t>
  </si>
  <si>
    <t>120-60-5356</t>
  </si>
  <si>
    <t>133-66-4847</t>
  </si>
  <si>
    <t>069-58-4028</t>
  </si>
  <si>
    <t>108-58-3232</t>
  </si>
  <si>
    <t>053-78-7538</t>
  </si>
  <si>
    <t>058-60-8922</t>
  </si>
  <si>
    <t>037-60-9153</t>
  </si>
  <si>
    <t>062-46-2130</t>
  </si>
  <si>
    <t>105-63-7353</t>
  </si>
  <si>
    <t>115-50-6288</t>
  </si>
  <si>
    <t>119-74-4024</t>
  </si>
  <si>
    <t>116-76-6766</t>
  </si>
  <si>
    <t>729-12-9609</t>
  </si>
  <si>
    <t>100-52-7542</t>
  </si>
  <si>
    <t>066-94-0978</t>
  </si>
  <si>
    <t>082-46-3597</t>
  </si>
  <si>
    <t>109-74-8947</t>
  </si>
  <si>
    <t>096-68-3283</t>
  </si>
  <si>
    <t>116-80-6116</t>
  </si>
  <si>
    <t>086-66-5914</t>
  </si>
  <si>
    <t>104-74-9490</t>
  </si>
  <si>
    <t>058-58-7191</t>
  </si>
  <si>
    <t>075-42-0893</t>
  </si>
  <si>
    <t>132-64-7940</t>
  </si>
  <si>
    <t>132-72-3107</t>
  </si>
  <si>
    <t>103-84-2067</t>
  </si>
  <si>
    <t>063-58-7649</t>
  </si>
  <si>
    <t>094-90-4607</t>
  </si>
  <si>
    <t>583-63-7183</t>
  </si>
  <si>
    <t>591-16-4919</t>
  </si>
  <si>
    <t>019-56-3160</t>
  </si>
  <si>
    <t>178-52-5721</t>
  </si>
  <si>
    <t>098-80-5235</t>
  </si>
  <si>
    <t>087-82-6274</t>
  </si>
  <si>
    <t>086-66-0705</t>
  </si>
  <si>
    <t>101-72-1619</t>
  </si>
  <si>
    <t>113-60-4632</t>
  </si>
  <si>
    <t>078-60-5540</t>
  </si>
  <si>
    <t>285-29-2244</t>
  </si>
  <si>
    <t>077-52-1563</t>
  </si>
  <si>
    <t>123-98-8674</t>
  </si>
  <si>
    <t>092-52-8647</t>
  </si>
  <si>
    <t>119-74-5966</t>
  </si>
  <si>
    <t>079-72-7983</t>
  </si>
  <si>
    <t>016-86-0282</t>
  </si>
  <si>
    <t>094-72-2523</t>
  </si>
  <si>
    <t>176-84-3000</t>
  </si>
  <si>
    <t>130-96-6122</t>
  </si>
  <si>
    <t>121-62-4828</t>
  </si>
  <si>
    <t>098-60-9022</t>
  </si>
  <si>
    <t>079-78-4425</t>
  </si>
  <si>
    <t>132-58-3435</t>
  </si>
  <si>
    <t>075-90-2397</t>
  </si>
  <si>
    <t>050-56-6516</t>
  </si>
  <si>
    <t>062-78-4582</t>
  </si>
  <si>
    <t>131-78-3063</t>
  </si>
  <si>
    <t>116-56-7964</t>
  </si>
  <si>
    <t>115-50-3258</t>
  </si>
  <si>
    <t>080-54-3484</t>
  </si>
  <si>
    <t>096-48-7154</t>
  </si>
  <si>
    <t>073-50-2387</t>
  </si>
  <si>
    <t>114-50-8744</t>
  </si>
  <si>
    <t>132-78-7953</t>
  </si>
  <si>
    <t>231-37-7195</t>
  </si>
  <si>
    <t>133-72-5385</t>
  </si>
  <si>
    <t>117-90-3650</t>
  </si>
  <si>
    <t>074-60-9415</t>
  </si>
  <si>
    <t>053-80-5989</t>
  </si>
  <si>
    <t>075-60-0165</t>
  </si>
  <si>
    <t>057-84-1750</t>
  </si>
  <si>
    <t>094-22-8333</t>
  </si>
  <si>
    <t>097-64-8801</t>
  </si>
  <si>
    <t>098-66-5138</t>
  </si>
  <si>
    <t>730-10-1659</t>
  </si>
  <si>
    <t>131-70-8944</t>
  </si>
  <si>
    <t>117-56-9345</t>
  </si>
  <si>
    <t>087-62-4468</t>
  </si>
  <si>
    <t>074-82-4328</t>
  </si>
  <si>
    <t>133-78-8581</t>
  </si>
  <si>
    <t>207-62-6487</t>
  </si>
  <si>
    <t>103-74-5013</t>
  </si>
  <si>
    <t>092-92-6864</t>
  </si>
  <si>
    <t>087-72-2649</t>
  </si>
  <si>
    <t>079-80-4003</t>
  </si>
  <si>
    <t>066-74-2946</t>
  </si>
  <si>
    <t>245-19-0937</t>
  </si>
  <si>
    <t>438-35-3983</t>
  </si>
  <si>
    <t>242-48-7113</t>
  </si>
  <si>
    <t>590-05-2406</t>
  </si>
  <si>
    <t>098-50-7409</t>
  </si>
  <si>
    <t>016-60-2361</t>
  </si>
  <si>
    <t>082-76-0090</t>
  </si>
  <si>
    <t>063-66-0551</t>
  </si>
  <si>
    <t>103-34-2623</t>
  </si>
  <si>
    <t>062-02-8299</t>
  </si>
  <si>
    <t>117-90-8100</t>
  </si>
  <si>
    <t>892-21-2409</t>
  </si>
  <si>
    <t>125-34-1139</t>
  </si>
  <si>
    <t>078-94-6144</t>
  </si>
  <si>
    <t>056-62-5869</t>
  </si>
  <si>
    <t>110-60-4632</t>
  </si>
  <si>
    <t>599-48-1287</t>
  </si>
  <si>
    <t>107-52-4715</t>
  </si>
  <si>
    <t>064-90-9471</t>
  </si>
  <si>
    <t>109-64-3895</t>
  </si>
  <si>
    <t>094-76-8668</t>
  </si>
  <si>
    <t>110-52-0979</t>
  </si>
  <si>
    <t>583-89-6094</t>
  </si>
  <si>
    <t>583-89-0540</t>
  </si>
  <si>
    <t>102-60-4810</t>
  </si>
  <si>
    <t>427-23-9801</t>
  </si>
  <si>
    <t>116-80-8581</t>
  </si>
  <si>
    <t>092-62-0989</t>
  </si>
  <si>
    <t>076-60-1987</t>
  </si>
  <si>
    <t>083-50-0414</t>
  </si>
  <si>
    <t>090-54-1683</t>
  </si>
  <si>
    <t>072-52-9794</t>
  </si>
  <si>
    <t>081-56-2550</t>
  </si>
  <si>
    <t>442-61-6085</t>
  </si>
  <si>
    <t>085-68-1564</t>
  </si>
  <si>
    <t>088-78-5106</t>
  </si>
  <si>
    <t>113-68-0660</t>
  </si>
  <si>
    <t>084-88-4541</t>
  </si>
  <si>
    <t>226-51-3682</t>
  </si>
  <si>
    <t>066-58-5155</t>
  </si>
  <si>
    <t>065-58-8701</t>
  </si>
  <si>
    <t>127-60-1948</t>
  </si>
  <si>
    <t>582-27-1881</t>
  </si>
  <si>
    <t>084-60-5424</t>
  </si>
  <si>
    <t>053-58-4787</t>
  </si>
  <si>
    <t>129-62-1216</t>
  </si>
  <si>
    <t>081-76-0057</t>
  </si>
  <si>
    <t>090-70-0029</t>
  </si>
  <si>
    <t>086-70-2160</t>
  </si>
  <si>
    <t>094-56-8470</t>
  </si>
  <si>
    <t>094-72-1198</t>
  </si>
  <si>
    <t>668-12-5599</t>
  </si>
  <si>
    <t>121-78-9312</t>
  </si>
  <si>
    <t>120-82-9112</t>
  </si>
  <si>
    <t>051-64-3197</t>
  </si>
  <si>
    <t>065-74-0331</t>
  </si>
  <si>
    <t>108-60-3861</t>
  </si>
  <si>
    <t>132-92-9666</t>
  </si>
  <si>
    <t>097-52-9265</t>
  </si>
  <si>
    <t>082-40-6876</t>
  </si>
  <si>
    <t>090-66-0103</t>
  </si>
  <si>
    <t>545-98-2355</t>
  </si>
  <si>
    <t>050-68-0146</t>
  </si>
  <si>
    <t>091-78-8001</t>
  </si>
  <si>
    <t>078-94-9304</t>
  </si>
  <si>
    <t>113-70-9041</t>
  </si>
  <si>
    <t>108-50-6251</t>
  </si>
  <si>
    <t>083-56-3146</t>
  </si>
  <si>
    <t>408-49-8367</t>
  </si>
  <si>
    <t>088-30-2253</t>
  </si>
  <si>
    <t>089-66-1109</t>
  </si>
  <si>
    <t>080-02-7167</t>
  </si>
  <si>
    <t>107-90-2199</t>
  </si>
  <si>
    <t>094-58-6081</t>
  </si>
  <si>
    <t>116-86-0549</t>
  </si>
  <si>
    <t>026-58-8399</t>
  </si>
  <si>
    <t>050-88-6480</t>
  </si>
  <si>
    <t>106-68-8385</t>
  </si>
  <si>
    <t>149-78-9894</t>
  </si>
  <si>
    <t>125-75-0313</t>
  </si>
  <si>
    <t>067-74-6279</t>
  </si>
  <si>
    <t>050-56-4783</t>
  </si>
  <si>
    <t>733-12-0121</t>
  </si>
  <si>
    <t>064-82-7990</t>
  </si>
  <si>
    <t>058-98-8459</t>
  </si>
  <si>
    <t>124-88-8770</t>
  </si>
  <si>
    <t>000-00-7795</t>
  </si>
  <si>
    <t>697-72-4743</t>
  </si>
  <si>
    <t>132-68-0385</t>
  </si>
  <si>
    <t>079-74-6772</t>
  </si>
  <si>
    <t>105-78-2615</t>
  </si>
  <si>
    <t>096-84-8980</t>
  </si>
  <si>
    <t>057-84-2909</t>
  </si>
  <si>
    <t>126-66-8437</t>
  </si>
  <si>
    <t>069-84-9024</t>
  </si>
  <si>
    <t>124-94-8247</t>
  </si>
  <si>
    <t>066-74-9297</t>
  </si>
  <si>
    <t>094-48-5665</t>
  </si>
  <si>
    <t>108-60-2870</t>
  </si>
  <si>
    <t>071-48-1101</t>
  </si>
  <si>
    <t>071-98-3351</t>
  </si>
  <si>
    <t>128-62-1453</t>
  </si>
  <si>
    <t>046-15-6681</t>
  </si>
  <si>
    <t>358-68-4009</t>
  </si>
  <si>
    <t>254-73-7224</t>
  </si>
  <si>
    <t>055-50-8824</t>
  </si>
  <si>
    <t>054-76-5419</t>
  </si>
  <si>
    <t>072-80-7058</t>
  </si>
  <si>
    <t>119-56-0224</t>
  </si>
  <si>
    <t>108-60-1447</t>
  </si>
  <si>
    <t>130-54-0321</t>
  </si>
  <si>
    <t>108-78-3624</t>
  </si>
  <si>
    <t>061-66-9164</t>
  </si>
  <si>
    <t>052-46-7551</t>
  </si>
  <si>
    <t>635-54-7020</t>
  </si>
  <si>
    <t>101-48-6131</t>
  </si>
  <si>
    <t>079-78-3014</t>
  </si>
  <si>
    <t>095-68-9007</t>
  </si>
  <si>
    <t>051-80-9059</t>
  </si>
  <si>
    <t>583-31-0629</t>
  </si>
  <si>
    <t>095-86-1694</t>
  </si>
  <si>
    <t>134-72-8235</t>
  </si>
  <si>
    <t>799-19-4426</t>
  </si>
  <si>
    <t>131-56-7558</t>
  </si>
  <si>
    <t>076-54-3283</t>
  </si>
  <si>
    <t>099-56-3458</t>
  </si>
  <si>
    <t>057-92-6427</t>
  </si>
  <si>
    <t>515-82-5845</t>
  </si>
  <si>
    <t>078-72-8267</t>
  </si>
  <si>
    <t>109-46-3268</t>
  </si>
  <si>
    <t>144-23-1288</t>
  </si>
  <si>
    <t>138-11-3732</t>
  </si>
  <si>
    <t>229-53-8575</t>
  </si>
  <si>
    <t>094-86-2644</t>
  </si>
  <si>
    <t>105-86-2079</t>
  </si>
  <si>
    <t>110-42-7376</t>
  </si>
  <si>
    <t>076-48-3043</t>
  </si>
  <si>
    <t>000-00-4457</t>
  </si>
  <si>
    <t>080-56-4778</t>
  </si>
  <si>
    <t>098-66-4215</t>
  </si>
  <si>
    <t>055-62-0679</t>
  </si>
  <si>
    <t>000-00-9398</t>
  </si>
  <si>
    <t>106-36-5349</t>
  </si>
  <si>
    <t>123-90-7150</t>
  </si>
  <si>
    <t>124-80-8708</t>
  </si>
  <si>
    <t>084-48-5135</t>
  </si>
  <si>
    <t>114-80-9830</t>
  </si>
  <si>
    <t>084-78-2327</t>
  </si>
  <si>
    <t>733-09-5123</t>
  </si>
  <si>
    <t>058-82-5209</t>
  </si>
  <si>
    <t>109-70-5752</t>
  </si>
  <si>
    <t>098-64-7445</t>
  </si>
  <si>
    <t>054-88-8862</t>
  </si>
  <si>
    <t>000-00-0725</t>
  </si>
  <si>
    <t>118-66-9174</t>
  </si>
  <si>
    <t>052-92-2480</t>
  </si>
  <si>
    <t>081-82-8741</t>
  </si>
  <si>
    <t>060-02-3665</t>
  </si>
  <si>
    <t>080-84-2015</t>
  </si>
  <si>
    <t>131-80-5045</t>
  </si>
  <si>
    <t>090-66-3392</t>
  </si>
  <si>
    <t>081-58-9953</t>
  </si>
  <si>
    <t>057-82-3437</t>
  </si>
  <si>
    <t>133-78-1332</t>
  </si>
  <si>
    <t>583-33-6984</t>
  </si>
  <si>
    <t>201-35-8703</t>
  </si>
  <si>
    <t>100-74-3918</t>
  </si>
  <si>
    <t>088-88-7054</t>
  </si>
  <si>
    <t>109-66-0043</t>
  </si>
  <si>
    <t>154-02-1088</t>
  </si>
  <si>
    <t>050-48-3676</t>
  </si>
  <si>
    <t>113-68-2037</t>
  </si>
  <si>
    <t>097-84-4514</t>
  </si>
  <si>
    <t>122-68-8174</t>
  </si>
  <si>
    <t>120-56-4612</t>
  </si>
  <si>
    <t>130-66-3425</t>
  </si>
  <si>
    <t>062-58-8111</t>
  </si>
  <si>
    <t>104-38-0949</t>
  </si>
  <si>
    <t>130-80-8230</t>
  </si>
  <si>
    <t>107-84-1040</t>
  </si>
  <si>
    <t>094-74-8387</t>
  </si>
  <si>
    <t>066-98-3796</t>
  </si>
  <si>
    <t>121-56-3127</t>
  </si>
  <si>
    <t>052-76-7233</t>
  </si>
  <si>
    <t>456-41-1535</t>
  </si>
  <si>
    <t>058-66-8294</t>
  </si>
  <si>
    <t>082-02-4992</t>
  </si>
  <si>
    <t>731-12-3424</t>
  </si>
  <si>
    <t>093-58-7784</t>
  </si>
  <si>
    <t>100-44-2444</t>
  </si>
  <si>
    <t>085-72-4312</t>
  </si>
  <si>
    <t>073-58-1649</t>
  </si>
  <si>
    <t>130-80-7550</t>
  </si>
  <si>
    <t>481-85-7291</t>
  </si>
  <si>
    <t>059-86-5065</t>
  </si>
  <si>
    <t>157-72-8185</t>
  </si>
  <si>
    <t>813-97-9734</t>
  </si>
  <si>
    <t>581-69-5612</t>
  </si>
  <si>
    <t>133-56-6092</t>
  </si>
  <si>
    <t>072-58-2906</t>
  </si>
  <si>
    <t>080-66-6559</t>
  </si>
  <si>
    <t>077-56-2370</t>
  </si>
  <si>
    <t>604-88-7409</t>
  </si>
  <si>
    <t>096-40-8818</t>
  </si>
  <si>
    <t>166-84-8021</t>
  </si>
  <si>
    <t>108-96-5625</t>
  </si>
  <si>
    <t>105-86-8270</t>
  </si>
  <si>
    <t>810-42-3447</t>
  </si>
  <si>
    <t>115-86-1773</t>
  </si>
  <si>
    <t>106-76-9017</t>
  </si>
  <si>
    <t>096-72-7825</t>
  </si>
  <si>
    <t>062-60-6136</t>
  </si>
  <si>
    <t>101-68-7361</t>
  </si>
  <si>
    <t>062-58-6427</t>
  </si>
  <si>
    <t>061-94-7315</t>
  </si>
  <si>
    <t>114-56-6534</t>
  </si>
  <si>
    <t>052-62-0621</t>
  </si>
  <si>
    <t>104-82-2612</t>
  </si>
  <si>
    <t>065-66-2555</t>
  </si>
  <si>
    <t>090-58-0153</t>
  </si>
  <si>
    <t>078-98-5589</t>
  </si>
  <si>
    <t>045-56-5647</t>
  </si>
  <si>
    <t>084-78-2909</t>
  </si>
  <si>
    <t>077-68-3509</t>
  </si>
  <si>
    <t>120-94-7036</t>
  </si>
  <si>
    <t>253-11-3534</t>
  </si>
  <si>
    <t>123-88-2154</t>
  </si>
  <si>
    <t>095-56-4407</t>
  </si>
  <si>
    <t>107-52-8131</t>
  </si>
  <si>
    <t>424-46-2779</t>
  </si>
  <si>
    <t>115-92-8202</t>
  </si>
  <si>
    <t>000-00-0092</t>
  </si>
  <si>
    <t>088-78-9683</t>
  </si>
  <si>
    <t>120-72-3927</t>
  </si>
  <si>
    <t>065-74-8282</t>
  </si>
  <si>
    <t>747-10-8732</t>
  </si>
  <si>
    <t>156-52-9824</t>
  </si>
  <si>
    <t>589-78-4142</t>
  </si>
  <si>
    <t>124-44-3043</t>
  </si>
  <si>
    <t>090-84-3408</t>
  </si>
  <si>
    <t>217-21-5925</t>
  </si>
  <si>
    <t>074-78-8676</t>
  </si>
  <si>
    <t>075-58-6652</t>
  </si>
  <si>
    <t>083-58-3449</t>
  </si>
  <si>
    <t>107-40-0554</t>
  </si>
  <si>
    <t>104-60-0515</t>
  </si>
  <si>
    <t>132-82-8038</t>
  </si>
  <si>
    <t>057-60-3251</t>
  </si>
  <si>
    <t>205-64-8345</t>
  </si>
  <si>
    <t>119-82-8889</t>
  </si>
  <si>
    <t>067-74-0322</t>
  </si>
  <si>
    <t>130-78-2579</t>
  </si>
  <si>
    <t>248-75-3788</t>
  </si>
  <si>
    <t>069-54-2699</t>
  </si>
  <si>
    <t>106-92-2088</t>
  </si>
  <si>
    <t>083-90-9276</t>
  </si>
  <si>
    <t>249-94-1682</t>
  </si>
  <si>
    <t>073-58-0817</t>
  </si>
  <si>
    <t>076-98-4741</t>
  </si>
  <si>
    <t>070-46-6493</t>
  </si>
  <si>
    <t>064-90-4283</t>
  </si>
  <si>
    <t>758-37-0163</t>
  </si>
  <si>
    <t>057-60-3667</t>
  </si>
  <si>
    <t>584-92-2039</t>
  </si>
  <si>
    <t>111-90-6499</t>
  </si>
  <si>
    <t>118-74-1733</t>
  </si>
  <si>
    <t>063-70-0027</t>
  </si>
  <si>
    <t>050-60-5926</t>
  </si>
  <si>
    <t>113-68-0557</t>
  </si>
  <si>
    <t>058-72-3293</t>
  </si>
  <si>
    <t>093-74-2374</t>
  </si>
  <si>
    <t>102-78-7994</t>
  </si>
  <si>
    <t>123-82-5847</t>
  </si>
  <si>
    <t>064-76-4850</t>
  </si>
  <si>
    <t>102-76-4490</t>
  </si>
  <si>
    <t>055-55-3857</t>
  </si>
  <si>
    <t>111-86-3567</t>
  </si>
  <si>
    <t>094-68-6221</t>
  </si>
  <si>
    <t>060-68-3694</t>
  </si>
  <si>
    <t>767-07-7653</t>
  </si>
  <si>
    <t>102-58-4962</t>
  </si>
  <si>
    <t>077-58-1358</t>
  </si>
  <si>
    <t>120-86-5763</t>
  </si>
  <si>
    <t>084-52-0840</t>
  </si>
  <si>
    <t>104-64-9435</t>
  </si>
  <si>
    <t>053-46-7743</t>
  </si>
  <si>
    <t>120-88-7109</t>
  </si>
  <si>
    <t>076-80-1937</t>
  </si>
  <si>
    <t>084-34-0506</t>
  </si>
  <si>
    <t>126-52-5074</t>
  </si>
  <si>
    <t>220-02-6231</t>
  </si>
  <si>
    <t>283-35-7340</t>
  </si>
  <si>
    <t>085-52-0926</t>
  </si>
  <si>
    <t>064-50-3774</t>
  </si>
  <si>
    <t>085-66-7278</t>
  </si>
  <si>
    <t>051-42-6550</t>
  </si>
  <si>
    <t>078-58-4235</t>
  </si>
  <si>
    <t>135-92-6648</t>
  </si>
  <si>
    <t>082-64-0854</t>
  </si>
  <si>
    <t>067-62-7953</t>
  </si>
  <si>
    <t>094-40-5455</t>
  </si>
  <si>
    <t>056-64-1386</t>
  </si>
  <si>
    <t>105-60-4316</t>
  </si>
  <si>
    <t>063-76-4695</t>
  </si>
  <si>
    <t>095-02-7608</t>
  </si>
  <si>
    <t>733-09-7034</t>
  </si>
  <si>
    <t>071-66-3339</t>
  </si>
  <si>
    <t>154-84-3859</t>
  </si>
  <si>
    <t>098-50-4977</t>
  </si>
  <si>
    <t>092-38-3349</t>
  </si>
  <si>
    <t>128-54-9627</t>
  </si>
  <si>
    <t>137-66-5369</t>
  </si>
  <si>
    <t>078-68-7431</t>
  </si>
  <si>
    <t>072-76-5744</t>
  </si>
  <si>
    <t>244-92-7549</t>
  </si>
  <si>
    <t>115-40-9247</t>
  </si>
  <si>
    <t>059-76-8081</t>
  </si>
  <si>
    <t>356-76-3713</t>
  </si>
  <si>
    <t>132-52-2015</t>
  </si>
  <si>
    <t>062-66-7136</t>
  </si>
  <si>
    <t>065-58-3167</t>
  </si>
  <si>
    <t>114-78-0529</t>
  </si>
  <si>
    <t>130-96-3196</t>
  </si>
  <si>
    <t>088-60-5670</t>
  </si>
  <si>
    <t>100-50-6202</t>
  </si>
  <si>
    <t>080-70-9472</t>
  </si>
  <si>
    <t>138-84-1567</t>
  </si>
  <si>
    <t>058-58-9747</t>
  </si>
  <si>
    <t>131-56-2408</t>
  </si>
  <si>
    <t>072-38-6069</t>
  </si>
  <si>
    <t>070-44-9680</t>
  </si>
  <si>
    <t>085-72-0510</t>
  </si>
  <si>
    <t>608-77-0979</t>
  </si>
  <si>
    <t>080-84-1418</t>
  </si>
  <si>
    <t>116-16-2202</t>
  </si>
  <si>
    <t>215-65-0522</t>
  </si>
  <si>
    <t>095-86-1173</t>
  </si>
  <si>
    <t>125-74-1168</t>
  </si>
  <si>
    <t>085-54-3148</t>
  </si>
  <si>
    <t>058-58-6243</t>
  </si>
  <si>
    <t>069-54-1531</t>
  </si>
  <si>
    <t>130-42-9252</t>
  </si>
  <si>
    <t>063-02-9255</t>
  </si>
  <si>
    <t>100-66-5803</t>
  </si>
  <si>
    <t>086-74-8291</t>
  </si>
  <si>
    <t>127-86-7212</t>
  </si>
  <si>
    <t>057-02-6827</t>
  </si>
  <si>
    <t>647-35-1814</t>
  </si>
  <si>
    <t>582-89-5114</t>
  </si>
  <si>
    <t>150-11-4227</t>
  </si>
  <si>
    <t>087-52-3756</t>
  </si>
  <si>
    <t>130-80-2821</t>
  </si>
  <si>
    <t>887-11-5689</t>
  </si>
  <si>
    <t>103-58-4450</t>
  </si>
  <si>
    <t>095-68-1967</t>
  </si>
  <si>
    <t>619-75-1360</t>
  </si>
  <si>
    <t>062-56-8025</t>
  </si>
  <si>
    <t>073-98-4519</t>
  </si>
  <si>
    <t>094-88-5321</t>
  </si>
  <si>
    <t>089-78-3839</t>
  </si>
  <si>
    <t>119-76-9003</t>
  </si>
  <si>
    <t>120-62-9149</t>
  </si>
  <si>
    <t>109-64-3113</t>
  </si>
  <si>
    <t>581-64-4634</t>
  </si>
  <si>
    <t>132-88-0017</t>
  </si>
  <si>
    <t>103-56-7848</t>
  </si>
  <si>
    <t>000-00-1732</t>
  </si>
  <si>
    <t>108-72-5217</t>
  </si>
  <si>
    <t>122-58-9016</t>
  </si>
  <si>
    <t>108-40-5020</t>
  </si>
  <si>
    <t>136-44-2982</t>
  </si>
  <si>
    <t>083-46-8344</t>
  </si>
  <si>
    <t>157-15-4020</t>
  </si>
  <si>
    <t>034-66-7767</t>
  </si>
  <si>
    <t>063-66-7981</t>
  </si>
  <si>
    <t>733-01-4254</t>
  </si>
  <si>
    <t>083-46-2747</t>
  </si>
  <si>
    <t>059-82-5918</t>
  </si>
  <si>
    <t>061-96-4089</t>
  </si>
  <si>
    <t>112-44-3278</t>
  </si>
  <si>
    <t>063-58-1176</t>
  </si>
  <si>
    <t>053-88-5429</t>
  </si>
  <si>
    <t>080-84-8792</t>
  </si>
  <si>
    <t>510-72-2672</t>
  </si>
  <si>
    <t>118-82-6602</t>
  </si>
  <si>
    <t>584-58-0202</t>
  </si>
  <si>
    <t>063-48-3487</t>
  </si>
  <si>
    <t>118-70-6478</t>
  </si>
  <si>
    <t>131-64-5495</t>
  </si>
  <si>
    <t>115-56-9928</t>
  </si>
  <si>
    <t>582-85-4349</t>
  </si>
  <si>
    <t>134-68-9435</t>
  </si>
  <si>
    <t>243-89-2110</t>
  </si>
  <si>
    <t>091-54-5496</t>
  </si>
  <si>
    <t>109-54-0448</t>
  </si>
  <si>
    <t>110-46-8727</t>
  </si>
  <si>
    <t>082-02-8756</t>
  </si>
  <si>
    <t>058-48-5678</t>
  </si>
  <si>
    <t>067-76-9902</t>
  </si>
  <si>
    <t>733-14-8538</t>
  </si>
  <si>
    <t>084-64-0075</t>
  </si>
  <si>
    <t>515-57-0896</t>
  </si>
  <si>
    <t>053-58-3383</t>
  </si>
  <si>
    <t>218-99-3616</t>
  </si>
  <si>
    <t>062-58-7744</t>
  </si>
  <si>
    <t>094-56-3931</t>
  </si>
  <si>
    <t>099-90-2345</t>
  </si>
  <si>
    <t>126-72-5418</t>
  </si>
  <si>
    <t>077-58-2636</t>
  </si>
  <si>
    <t>128-88-4017</t>
  </si>
  <si>
    <t>000-00-0870</t>
  </si>
  <si>
    <t>055-66-1682</t>
  </si>
  <si>
    <t>085-66-1729</t>
  </si>
  <si>
    <t>081-94-2246</t>
  </si>
  <si>
    <t>054-64-3215</t>
  </si>
  <si>
    <t>053-94-7031</t>
  </si>
  <si>
    <t>122-64-7144</t>
  </si>
  <si>
    <t>056-94-1106</t>
  </si>
  <si>
    <t>074-66-4247</t>
  </si>
  <si>
    <t>729-07-8907</t>
  </si>
  <si>
    <t>132-84-9839</t>
  </si>
  <si>
    <t>148-70-0598</t>
  </si>
  <si>
    <t>123-60-5202</t>
  </si>
  <si>
    <t>084-64-2094</t>
  </si>
  <si>
    <t>079-64-5235</t>
  </si>
  <si>
    <t>583-78-1783</t>
  </si>
  <si>
    <t>060-58-4053</t>
  </si>
  <si>
    <t>000-00-2205</t>
  </si>
  <si>
    <t>098-72-7768</t>
  </si>
  <si>
    <t>139-52-5507</t>
  </si>
  <si>
    <t>082-84-9272</t>
  </si>
  <si>
    <t>121-56-5156</t>
  </si>
  <si>
    <t>225-76-5704</t>
  </si>
  <si>
    <t>449-91-5721</t>
  </si>
  <si>
    <t>000-00-2979</t>
  </si>
  <si>
    <t>062-80-0526</t>
  </si>
  <si>
    <t>671-26-9276</t>
  </si>
  <si>
    <t>770-78-0262</t>
  </si>
  <si>
    <t>059-80-8469</t>
  </si>
  <si>
    <t>065-86-2445</t>
  </si>
  <si>
    <t>734-91-0005</t>
  </si>
  <si>
    <t>064-96-3978</t>
  </si>
  <si>
    <t>127-66-5577</t>
  </si>
  <si>
    <t>131-50-9550</t>
  </si>
  <si>
    <t>060-58-2383</t>
  </si>
  <si>
    <t>059-78-8967</t>
  </si>
  <si>
    <t>074-26-4961</t>
  </si>
  <si>
    <t>052-98-7684</t>
  </si>
  <si>
    <t>081-34-5899</t>
  </si>
  <si>
    <t>236-66-5231</t>
  </si>
  <si>
    <t>054-02-8877</t>
  </si>
  <si>
    <t>097-84-7534</t>
  </si>
  <si>
    <t>075-82-8723</t>
  </si>
  <si>
    <t>076-62-4500</t>
  </si>
  <si>
    <t>884-66-2649</t>
  </si>
  <si>
    <t>109-56-4862</t>
  </si>
  <si>
    <t>110-62-6553</t>
  </si>
  <si>
    <t>067-64-4095</t>
  </si>
  <si>
    <t>267-68-3992</t>
  </si>
  <si>
    <t>092-88-3192</t>
  </si>
  <si>
    <t>074-50-5405</t>
  </si>
  <si>
    <t>248-25-9051</t>
  </si>
  <si>
    <t>065-82-1788</t>
  </si>
  <si>
    <t>083-70-7327</t>
  </si>
  <si>
    <t>078-54-7000</t>
  </si>
  <si>
    <t>113-88-7740</t>
  </si>
  <si>
    <t>124-32-9465</t>
  </si>
  <si>
    <t>121-90-6709</t>
  </si>
  <si>
    <t>109-56-1398</t>
  </si>
  <si>
    <t>220-61-6612</t>
  </si>
  <si>
    <t>000-34-3330</t>
  </si>
  <si>
    <t>134-48-2105</t>
  </si>
  <si>
    <t>005-46-5348</t>
  </si>
  <si>
    <t>053-70-8730</t>
  </si>
  <si>
    <t>130-70-4350</t>
  </si>
  <si>
    <t>098-48-3842</t>
  </si>
  <si>
    <t>086-70-9264</t>
  </si>
  <si>
    <t>105-94-1688</t>
  </si>
  <si>
    <t>104-58-8990</t>
  </si>
  <si>
    <t>083-86-7050</t>
  </si>
  <si>
    <t>249-70-2850</t>
  </si>
  <si>
    <t>083-84-5465</t>
  </si>
  <si>
    <t>584-27-7966</t>
  </si>
  <si>
    <t>581-86-2284</t>
  </si>
  <si>
    <t>076-56-9392</t>
  </si>
  <si>
    <t>109-54-6991</t>
  </si>
  <si>
    <t>584-18-0228</t>
  </si>
  <si>
    <t>077-50-5981</t>
  </si>
  <si>
    <t>111-46-4331</t>
  </si>
  <si>
    <t>136-50-6506</t>
  </si>
  <si>
    <t>147-84-8752</t>
  </si>
  <si>
    <t>584-38-3807</t>
  </si>
  <si>
    <t>065-56-4430</t>
  </si>
  <si>
    <t>056-58-9463</t>
  </si>
  <si>
    <t>053-70-3855</t>
  </si>
  <si>
    <t>134-82-8076</t>
  </si>
  <si>
    <t>069-90-7935</t>
  </si>
  <si>
    <t>078-36-1539</t>
  </si>
  <si>
    <t>097-64-2982</t>
  </si>
  <si>
    <t>099-84-1491</t>
  </si>
  <si>
    <t>124-86-1769</t>
  </si>
  <si>
    <t>117-32-6812</t>
  </si>
  <si>
    <t>596-59-2973</t>
  </si>
  <si>
    <t>109-68-9988</t>
  </si>
  <si>
    <t>000-00-2332</t>
  </si>
  <si>
    <t>085-54-7429</t>
  </si>
  <si>
    <t>582-37-8377</t>
  </si>
  <si>
    <t>583-48-3256</t>
  </si>
  <si>
    <t>361-60-1625</t>
  </si>
  <si>
    <t>102-56-8793</t>
  </si>
  <si>
    <t>081-64-7694</t>
  </si>
  <si>
    <t>073-48-4131</t>
  </si>
  <si>
    <t>581-72-8698</t>
  </si>
  <si>
    <t>069-62-7184</t>
  </si>
  <si>
    <t>132-58-5856</t>
  </si>
  <si>
    <t>056-70-1457</t>
  </si>
  <si>
    <t>121-70-3306</t>
  </si>
  <si>
    <t>581-99-2917</t>
  </si>
  <si>
    <t>583-96-5909</t>
  </si>
  <si>
    <t>088-54-8301</t>
  </si>
  <si>
    <t>104-68-1303</t>
  </si>
  <si>
    <t>584-15-2778</t>
  </si>
  <si>
    <t>082-46-2224</t>
  </si>
  <si>
    <t>104-40-4668</t>
  </si>
  <si>
    <t>117-54-0356</t>
  </si>
  <si>
    <t>084-54-0240</t>
  </si>
  <si>
    <t>091-94-5533</t>
  </si>
  <si>
    <t>119-82-3709</t>
  </si>
  <si>
    <t>095-68-4553</t>
  </si>
  <si>
    <t>088-36-7616</t>
  </si>
  <si>
    <t>057-66-0901</t>
  </si>
  <si>
    <t>582-97-9094</t>
  </si>
  <si>
    <t>121-34-4394</t>
  </si>
  <si>
    <t>133-44-4184</t>
  </si>
  <si>
    <t>057-78-3888</t>
  </si>
  <si>
    <t>596-01-7757</t>
  </si>
  <si>
    <t>499-60-6266</t>
  </si>
  <si>
    <t>106-48-2419</t>
  </si>
  <si>
    <t>584-15-8539</t>
  </si>
  <si>
    <t>070-48-7632</t>
  </si>
  <si>
    <t>103-42-7746</t>
  </si>
  <si>
    <t>124-56-7070</t>
  </si>
  <si>
    <t>584-47-4471</t>
  </si>
  <si>
    <t>130-80-2657</t>
  </si>
  <si>
    <t>597-40-8290</t>
  </si>
  <si>
    <t>127-86-6488</t>
  </si>
  <si>
    <t>113-42-0501</t>
  </si>
  <si>
    <t>096-56-5451</t>
  </si>
  <si>
    <t>119-94-5025</t>
  </si>
  <si>
    <t>117-74-4949</t>
  </si>
  <si>
    <t>050-86-6029</t>
  </si>
  <si>
    <t>078-86-8539</t>
  </si>
  <si>
    <t>087-50-8343</t>
  </si>
  <si>
    <t>075-56-9004</t>
  </si>
  <si>
    <t>040-04-2795</t>
  </si>
  <si>
    <t>076-86-9957</t>
  </si>
  <si>
    <t>025-64-6550</t>
  </si>
  <si>
    <t>123-98-7026</t>
  </si>
  <si>
    <t>111-32-6790</t>
  </si>
  <si>
    <t>120-96-9129</t>
  </si>
  <si>
    <t>078-46-3716</t>
  </si>
  <si>
    <t>053-44-6454</t>
  </si>
  <si>
    <t>050-64-6373</t>
  </si>
  <si>
    <t>241-90-1980</t>
  </si>
  <si>
    <t>079-84-7650</t>
  </si>
  <si>
    <t>072-68-2602</t>
  </si>
  <si>
    <t>000-00-9317</t>
  </si>
  <si>
    <t>114-58-9652</t>
  </si>
  <si>
    <t>101-92-7867</t>
  </si>
  <si>
    <t>092-02-8856</t>
  </si>
  <si>
    <t>100-48-1345</t>
  </si>
  <si>
    <t>101-54-3698</t>
  </si>
  <si>
    <t>000-00-7492</t>
  </si>
  <si>
    <t>076-60-8686</t>
  </si>
  <si>
    <t>012-76-8998</t>
  </si>
  <si>
    <t>117-74-3568</t>
  </si>
  <si>
    <t>348-74-3168</t>
  </si>
  <si>
    <t>122-78-6501</t>
  </si>
  <si>
    <t>433-29-2751</t>
  </si>
  <si>
    <t>118-44-8855</t>
  </si>
  <si>
    <t>532-77-6365</t>
  </si>
  <si>
    <t>730-16-9554</t>
  </si>
  <si>
    <t>093-42-5624</t>
  </si>
  <si>
    <t>086-34-2943</t>
  </si>
  <si>
    <t>098-46-2865</t>
  </si>
  <si>
    <t>096-36-8742</t>
  </si>
  <si>
    <t>133-68-0834</t>
  </si>
  <si>
    <t>133-76-6442</t>
  </si>
  <si>
    <t>022-68-7013</t>
  </si>
  <si>
    <t>015-92-7313</t>
  </si>
  <si>
    <t>126-62-2480</t>
  </si>
  <si>
    <t>069-76-6450</t>
  </si>
  <si>
    <t>067-78-0439</t>
  </si>
  <si>
    <t>051-02-5747</t>
  </si>
  <si>
    <t>598-16-7837</t>
  </si>
  <si>
    <t>085-94-8329</t>
  </si>
  <si>
    <t>063-84-2021</t>
  </si>
  <si>
    <t>124-62-2406</t>
  </si>
  <si>
    <t>129-70-3972</t>
  </si>
  <si>
    <t>092-78-4581</t>
  </si>
  <si>
    <t>095-78-3952</t>
  </si>
  <si>
    <t>061-86-7822</t>
  </si>
  <si>
    <t>255-92-0172</t>
  </si>
  <si>
    <t>732-03-6017</t>
  </si>
  <si>
    <t>063-82-7141</t>
  </si>
  <si>
    <t>097-58-7145</t>
  </si>
  <si>
    <t>104-42-9116</t>
  </si>
  <si>
    <t>081-72-2249</t>
  </si>
  <si>
    <t>149-44-6294</t>
  </si>
  <si>
    <t>000-00-2145</t>
  </si>
  <si>
    <t>110-82-4000</t>
  </si>
  <si>
    <t>117-52-5809</t>
  </si>
  <si>
    <t>111-86-5036</t>
  </si>
  <si>
    <t>069-66-7566</t>
  </si>
  <si>
    <t>084-58-8285</t>
  </si>
  <si>
    <t>648-82-1547</t>
  </si>
  <si>
    <t>089-64-6662</t>
  </si>
  <si>
    <t>096-62-9993</t>
  </si>
  <si>
    <t>403-11-8022</t>
  </si>
  <si>
    <t>157-08-8925</t>
  </si>
  <si>
    <t>065-78-6382</t>
  </si>
  <si>
    <t>584-46-9617</t>
  </si>
  <si>
    <t>129-68-6110</t>
  </si>
  <si>
    <t>057-66-0447</t>
  </si>
  <si>
    <t>103-88-8256</t>
  </si>
  <si>
    <t>098-54-3025</t>
  </si>
  <si>
    <t>070-84-0970</t>
  </si>
  <si>
    <t>081-58-2463</t>
  </si>
  <si>
    <t>596-34-3798</t>
  </si>
  <si>
    <t>088-62-5287</t>
  </si>
  <si>
    <t>103-78-0314</t>
  </si>
  <si>
    <t>098-54-5212</t>
  </si>
  <si>
    <t>098-02-9496</t>
  </si>
  <si>
    <t>134-46-6941</t>
  </si>
  <si>
    <t>116-90-7308</t>
  </si>
  <si>
    <t>061-44-1601</t>
  </si>
  <si>
    <t>067-84-2888</t>
  </si>
  <si>
    <t>082-56-1564</t>
  </si>
  <si>
    <t>074-86-5140</t>
  </si>
  <si>
    <t>581-76-8437</t>
  </si>
  <si>
    <t>060-56-0177</t>
  </si>
  <si>
    <t>420-84-2622</t>
  </si>
  <si>
    <t>050-76-0118</t>
  </si>
  <si>
    <t>061-64-4285</t>
  </si>
  <si>
    <t>070-98-6549</t>
  </si>
  <si>
    <t>074-70-8674</t>
  </si>
  <si>
    <t>730-12-4186</t>
  </si>
  <si>
    <t>095-70-5863</t>
  </si>
  <si>
    <t>114-48-4474</t>
  </si>
  <si>
    <t>012-60-9638</t>
  </si>
  <si>
    <t>092-42-4369</t>
  </si>
  <si>
    <t>261-95-3516</t>
  </si>
  <si>
    <t>052-70-2393</t>
  </si>
  <si>
    <t>583-38-4572</t>
  </si>
  <si>
    <t>125-44-8556</t>
  </si>
  <si>
    <t>108-62-9985</t>
  </si>
  <si>
    <t>092-38-3287</t>
  </si>
  <si>
    <t>076-56-1948</t>
  </si>
  <si>
    <t>662-41-0636</t>
  </si>
  <si>
    <t>108-80-6857</t>
  </si>
  <si>
    <t>054-86-5672</t>
  </si>
  <si>
    <t>119-86-5313</t>
  </si>
  <si>
    <t>084-62-0287</t>
  </si>
  <si>
    <t>091-94-5296</t>
  </si>
  <si>
    <t>293-17-0856</t>
  </si>
  <si>
    <t>067-58-0374</t>
  </si>
  <si>
    <t>124-56-2820</t>
  </si>
  <si>
    <t>064-72-1575</t>
  </si>
  <si>
    <t>065-76-5960</t>
  </si>
  <si>
    <t>109-48-0039</t>
  </si>
  <si>
    <t>072-48-6795</t>
  </si>
  <si>
    <t>112-78-5669</t>
  </si>
  <si>
    <t>108-64-3161</t>
  </si>
  <si>
    <t>120-38-7515</t>
  </si>
  <si>
    <t>071-64-1052</t>
  </si>
  <si>
    <t>101-50-9761</t>
  </si>
  <si>
    <t>077-62-1706</t>
  </si>
  <si>
    <t>090-60-7967</t>
  </si>
  <si>
    <t>215-23-5552</t>
  </si>
  <si>
    <t>157-66-1883</t>
  </si>
  <si>
    <t>040-68-0333</t>
  </si>
  <si>
    <t>058-66-9644</t>
  </si>
  <si>
    <t>539-97-8535</t>
  </si>
  <si>
    <t>098-92-2136</t>
  </si>
  <si>
    <t>060-70-3565</t>
  </si>
  <si>
    <t>096-56-0742</t>
  </si>
  <si>
    <t>108-64-3432</t>
  </si>
  <si>
    <t>056-58-4517</t>
  </si>
  <si>
    <t>128-48-4311</t>
  </si>
  <si>
    <t>065-58-5035</t>
  </si>
  <si>
    <t>597-34-8760</t>
  </si>
  <si>
    <t>131-84-9272</t>
  </si>
  <si>
    <t>063-58-5814</t>
  </si>
  <si>
    <t>052-70-2200</t>
  </si>
  <si>
    <t>116-56-5909</t>
  </si>
  <si>
    <t>067-59-0182</t>
  </si>
  <si>
    <t>134-72-6736</t>
  </si>
  <si>
    <t>132-64-8457</t>
  </si>
  <si>
    <t>148-54-4828</t>
  </si>
  <si>
    <t>083-77-0369</t>
  </si>
  <si>
    <t>261-37-7818</t>
  </si>
  <si>
    <t>053-86-6892</t>
  </si>
  <si>
    <t>128-64-4894</t>
  </si>
  <si>
    <t>060-82-3601</t>
  </si>
  <si>
    <t>099-34-5117</t>
  </si>
  <si>
    <t>131-66-9020</t>
  </si>
  <si>
    <t>133-90-6751</t>
  </si>
  <si>
    <t>100-02-6636</t>
  </si>
  <si>
    <t>118-66-5741</t>
  </si>
  <si>
    <t>095-92-7638</t>
  </si>
  <si>
    <t>117-68-2999</t>
  </si>
  <si>
    <t>115-76-8410</t>
  </si>
  <si>
    <t>115-56-5647</t>
  </si>
  <si>
    <t>101-66-8657</t>
  </si>
  <si>
    <t>069-58-9275</t>
  </si>
  <si>
    <t>154-64-0529</t>
  </si>
  <si>
    <t>129-98-2033</t>
  </si>
  <si>
    <t>124-60-7397</t>
  </si>
  <si>
    <t>055-58-9768</t>
  </si>
  <si>
    <t>059-62-5825</t>
  </si>
  <si>
    <t>093-56-8575</t>
  </si>
  <si>
    <t>063-44-1333</t>
  </si>
  <si>
    <t>064-32-8222</t>
  </si>
  <si>
    <t>125-54-5343</t>
  </si>
  <si>
    <t>072-33-3443</t>
  </si>
  <si>
    <t>083-78-6925</t>
  </si>
  <si>
    <t>075-68-2310</t>
  </si>
  <si>
    <t>057-56-9388</t>
  </si>
  <si>
    <t>292-62-1292</t>
  </si>
  <si>
    <t>130-56-4073</t>
  </si>
  <si>
    <t>105-60-4005</t>
  </si>
  <si>
    <t>055-62-1077</t>
  </si>
  <si>
    <t>124-48-6799</t>
  </si>
  <si>
    <t>086-90-5992</t>
  </si>
  <si>
    <t>118-96-8996</t>
  </si>
  <si>
    <t>079-72-5016</t>
  </si>
  <si>
    <t>116-48-9612</t>
  </si>
  <si>
    <t>110-62-6363</t>
  </si>
  <si>
    <t>068-72-5551</t>
  </si>
  <si>
    <t>061-34-5312</t>
  </si>
  <si>
    <t>167-86-8770</t>
  </si>
  <si>
    <t>120-72-4866</t>
  </si>
  <si>
    <t>123-70-8954</t>
  </si>
  <si>
    <t>092-88-4650</t>
  </si>
  <si>
    <t>119-66-6526</t>
  </si>
  <si>
    <t>146-68-1021</t>
  </si>
  <si>
    <t>115-76-4201</t>
  </si>
  <si>
    <t>117-70-7232</t>
  </si>
  <si>
    <t>095-84-2880</t>
  </si>
  <si>
    <t>249-23-9903</t>
  </si>
  <si>
    <t>071-60-4832</t>
  </si>
  <si>
    <t>103-66-1606</t>
  </si>
  <si>
    <t>067-70-5294</t>
  </si>
  <si>
    <t>072-50-6590</t>
  </si>
  <si>
    <t>128-66-0895</t>
  </si>
  <si>
    <t>070-60-4801</t>
  </si>
  <si>
    <t>051-88-2400</t>
  </si>
  <si>
    <t>116-54-6028</t>
  </si>
  <si>
    <t>107-60-0696</t>
  </si>
  <si>
    <t>596-44-2240</t>
  </si>
  <si>
    <t>116-90-8787</t>
  </si>
  <si>
    <t>059-72-4815</t>
  </si>
  <si>
    <t>174-56-4963</t>
  </si>
  <si>
    <t>068-58-8107</t>
  </si>
  <si>
    <t>055-72-1780</t>
  </si>
  <si>
    <t>125-76-9883</t>
  </si>
  <si>
    <t>113-74-4589</t>
  </si>
  <si>
    <t>096-58-3883</t>
  </si>
  <si>
    <t>105-74-8799</t>
  </si>
  <si>
    <t>129-56-8661</t>
  </si>
  <si>
    <t>525-51-5589</t>
  </si>
  <si>
    <t>077-58-6624</t>
  </si>
  <si>
    <t>062-60-8573</t>
  </si>
  <si>
    <t>077-66-9894</t>
  </si>
  <si>
    <t>000-00-4676</t>
  </si>
  <si>
    <t>112-82-3335</t>
  </si>
  <si>
    <t>104-58-3346</t>
  </si>
  <si>
    <t>098-56-2041</t>
  </si>
  <si>
    <t>073-70-3402</t>
  </si>
  <si>
    <t>591-84-1223</t>
  </si>
  <si>
    <t>564-55-2312</t>
  </si>
  <si>
    <t>532-27-3996</t>
  </si>
  <si>
    <t>092-50-0876</t>
  </si>
  <si>
    <t>335-57-8114</t>
  </si>
  <si>
    <t>117-62-5992</t>
  </si>
  <si>
    <t>123-64-6352</t>
  </si>
  <si>
    <t>075-60-9882</t>
  </si>
  <si>
    <t>087-50-0677</t>
  </si>
  <si>
    <t>050-72-9038</t>
  </si>
  <si>
    <t>064-78-0788</t>
  </si>
  <si>
    <t>098-58-0723</t>
  </si>
  <si>
    <t>118-90-2295</t>
  </si>
  <si>
    <t>000-00-6807</t>
  </si>
  <si>
    <t>087-96-6947</t>
  </si>
  <si>
    <t>709-67-2347</t>
  </si>
  <si>
    <t>092-56-7405</t>
  </si>
  <si>
    <t>071-68-5855</t>
  </si>
  <si>
    <t>088-80-3736</t>
  </si>
  <si>
    <t>070-34-1192</t>
  </si>
  <si>
    <t>000-00-1387</t>
  </si>
  <si>
    <t>056-58-2757</t>
  </si>
  <si>
    <t>000-00-3582</t>
  </si>
  <si>
    <t>068-72-0964</t>
  </si>
  <si>
    <t>073-86-8794</t>
  </si>
  <si>
    <t>564-70-9301</t>
  </si>
  <si>
    <t>285-46-3435</t>
  </si>
  <si>
    <t>019-21-6448</t>
  </si>
  <si>
    <t>111-98-0932</t>
  </si>
  <si>
    <t>086-52-6878</t>
  </si>
  <si>
    <t>163-56-3209</t>
  </si>
  <si>
    <t>089-76-9848</t>
  </si>
  <si>
    <t>729-07-7432</t>
  </si>
  <si>
    <t>729-10-0716</t>
  </si>
  <si>
    <t>110-46-9420</t>
  </si>
  <si>
    <t>103-52-3689</t>
  </si>
  <si>
    <t>077-40-8392</t>
  </si>
  <si>
    <t>058-80-0783</t>
  </si>
  <si>
    <t>123-06-3023</t>
  </si>
  <si>
    <t>125-62-5359</t>
  </si>
  <si>
    <t>059-58-9894</t>
  </si>
  <si>
    <t>121-68-0346</t>
  </si>
  <si>
    <t>059-66-7980</t>
  </si>
  <si>
    <t>055-64-3373</t>
  </si>
  <si>
    <t>103-80-5042</t>
  </si>
  <si>
    <t>108-84-2273</t>
  </si>
  <si>
    <t>067-64-4815</t>
  </si>
  <si>
    <t>072-92-8225</t>
  </si>
  <si>
    <t>091-58-1601</t>
  </si>
  <si>
    <t>580-17-2718</t>
  </si>
  <si>
    <t>113-70-4430</t>
  </si>
  <si>
    <t>830-71-5711</t>
  </si>
  <si>
    <t>101-54-2663</t>
  </si>
  <si>
    <t>095-56-9566</t>
  </si>
  <si>
    <t>078-26-1534</t>
  </si>
  <si>
    <t>584-94-1066</t>
  </si>
  <si>
    <t>097-84-2946</t>
  </si>
  <si>
    <t>000-00-1201</t>
  </si>
  <si>
    <t>582-47-7160</t>
  </si>
  <si>
    <t>821-13-0266</t>
  </si>
  <si>
    <t>081-42-5016</t>
  </si>
  <si>
    <t>066-54-7946</t>
  </si>
  <si>
    <t>230-63-1094</t>
  </si>
  <si>
    <t>070-56-9716</t>
  </si>
  <si>
    <t>125-50-6822</t>
  </si>
  <si>
    <t>567-51-9881</t>
  </si>
  <si>
    <t>063-66-0266</t>
  </si>
  <si>
    <t>063-56-5490</t>
  </si>
  <si>
    <t>069-64-1702</t>
  </si>
  <si>
    <t>599-03-3944</t>
  </si>
  <si>
    <t>099-76-1528</t>
  </si>
  <si>
    <t>078-58-3146</t>
  </si>
  <si>
    <t>115-62-9440</t>
  </si>
  <si>
    <t>104-88-4915</t>
  </si>
  <si>
    <t>102-60-2369</t>
  </si>
  <si>
    <t>128-58-4175</t>
  </si>
  <si>
    <t>070-64-5196</t>
  </si>
  <si>
    <t>114-90-1541</t>
  </si>
  <si>
    <t>059-42-2516</t>
  </si>
  <si>
    <t>119-42-7946</t>
  </si>
  <si>
    <t>094-02-5113</t>
  </si>
  <si>
    <t>523-25-1350</t>
  </si>
  <si>
    <t>073-52-0372</t>
  </si>
  <si>
    <t>069-62-1200</t>
  </si>
  <si>
    <t>000-00-9299</t>
  </si>
  <si>
    <t>157-76-9463</t>
  </si>
  <si>
    <t>530-73-2222</t>
  </si>
  <si>
    <t>061-68-7853</t>
  </si>
  <si>
    <t>066-56-0909</t>
  </si>
  <si>
    <t>000-00-3379</t>
  </si>
  <si>
    <t>124-76-0469</t>
  </si>
  <si>
    <t>130-82-5109</t>
  </si>
  <si>
    <t>000-00-7464</t>
  </si>
  <si>
    <t>130-60-2714</t>
  </si>
  <si>
    <t>101-90-3599</t>
  </si>
  <si>
    <t>081-46-9889</t>
  </si>
  <si>
    <t>010-76-2629</t>
  </si>
  <si>
    <t>183-38-9789</t>
  </si>
  <si>
    <t>084-88-4027</t>
  </si>
  <si>
    <t>874-30-4619</t>
  </si>
  <si>
    <t>215-31-6385</t>
  </si>
  <si>
    <t>059-60-0177</t>
  </si>
  <si>
    <t>095-82-1462</t>
  </si>
  <si>
    <t>258-48-2676</t>
  </si>
  <si>
    <t>093-92-4918</t>
  </si>
  <si>
    <t>000-00-9800</t>
  </si>
  <si>
    <t>096-62-8513</t>
  </si>
  <si>
    <t>083-56-9124</t>
  </si>
  <si>
    <t>599-30-3653</t>
  </si>
  <si>
    <t>777-76-4829</t>
  </si>
  <si>
    <t>125-66-5647</t>
  </si>
  <si>
    <t>063-42-5038</t>
  </si>
  <si>
    <t>105-50-5249</t>
  </si>
  <si>
    <t>091-80-0654</t>
  </si>
  <si>
    <t>058-74-4194</t>
  </si>
  <si>
    <t>126-48-1352</t>
  </si>
  <si>
    <t>810-41-1090</t>
  </si>
  <si>
    <t>090-66-0866</t>
  </si>
  <si>
    <t>102-86-3576</t>
  </si>
  <si>
    <t>730-12-4589</t>
  </si>
  <si>
    <t>591-58-8637</t>
  </si>
  <si>
    <t>115-62-4053</t>
  </si>
  <si>
    <t>050-60-5969</t>
  </si>
  <si>
    <t>122-68-8620</t>
  </si>
  <si>
    <t>114-36-7437</t>
  </si>
  <si>
    <t>104-60-1918</t>
  </si>
  <si>
    <t>126-42-3497</t>
  </si>
  <si>
    <t>079-56-9843</t>
  </si>
  <si>
    <t>059-41-3801</t>
  </si>
  <si>
    <t>058-50-8449</t>
  </si>
  <si>
    <t>119-54-4937</t>
  </si>
  <si>
    <t>117-98-4031</t>
  </si>
  <si>
    <t>054-58-9975</t>
  </si>
  <si>
    <t>102-82-8946</t>
  </si>
  <si>
    <t>580-05-5307</t>
  </si>
  <si>
    <t>097-56-6703</t>
  </si>
  <si>
    <t>123-54-6190</t>
  </si>
  <si>
    <t>126-80-9921</t>
  </si>
  <si>
    <t>050-96-0487</t>
  </si>
  <si>
    <t>598-05-8739</t>
  </si>
  <si>
    <t>000-00-7216</t>
  </si>
  <si>
    <t>099-52-9805</t>
  </si>
  <si>
    <t>099-44-7045</t>
  </si>
  <si>
    <t>105-58-4466</t>
  </si>
  <si>
    <t>084-78-8704</t>
  </si>
  <si>
    <t>095-64-7361</t>
  </si>
  <si>
    <t>133-46-1690</t>
  </si>
  <si>
    <t>129-68-1749</t>
  </si>
  <si>
    <t>109-52-0706</t>
  </si>
  <si>
    <t>060-20-1656</t>
  </si>
  <si>
    <t>056-88-6442</t>
  </si>
  <si>
    <t>071-96-3808</t>
  </si>
  <si>
    <t>091-96-8678</t>
  </si>
  <si>
    <t>000-00-0960</t>
  </si>
  <si>
    <t>106-40-3866</t>
  </si>
  <si>
    <t>132-78-9487</t>
  </si>
  <si>
    <t>052-88-3716</t>
  </si>
  <si>
    <t>104-54-8294</t>
  </si>
  <si>
    <t>772-88-9483</t>
  </si>
  <si>
    <t>078-66-7307</t>
  </si>
  <si>
    <t>692-82-9692</t>
  </si>
  <si>
    <t>598-26-3006</t>
  </si>
  <si>
    <t>109-58-6965</t>
  </si>
  <si>
    <t>063-54-1845</t>
  </si>
  <si>
    <t>078-70-5975</t>
  </si>
  <si>
    <t>053-78-9077</t>
  </si>
  <si>
    <t>057-86-4204</t>
  </si>
  <si>
    <t>060-84-1713</t>
  </si>
  <si>
    <t>729-18-7560</t>
  </si>
  <si>
    <t>086-74-6982</t>
  </si>
  <si>
    <t>117-70-7974</t>
  </si>
  <si>
    <t>104-60-0626</t>
  </si>
  <si>
    <t>060-60-3470</t>
  </si>
  <si>
    <t>494-50-3857</t>
  </si>
  <si>
    <t>076-56-1222</t>
  </si>
  <si>
    <t>104-58-7061</t>
  </si>
  <si>
    <t>055-48-8434</t>
  </si>
  <si>
    <t>081-64-1195</t>
  </si>
  <si>
    <t>129-60-1624</t>
  </si>
  <si>
    <t>077-58-9468</t>
  </si>
  <si>
    <t>057-82-8375</t>
  </si>
  <si>
    <t>866-09-0047</t>
  </si>
  <si>
    <t>225-17-8362</t>
  </si>
  <si>
    <t>125-64-4584</t>
  </si>
  <si>
    <t>075-72-0643</t>
  </si>
  <si>
    <t>108-58-3274</t>
  </si>
  <si>
    <t>103-58-9115</t>
  </si>
  <si>
    <t>115-56-6514</t>
  </si>
  <si>
    <t>050-48-6460</t>
  </si>
  <si>
    <t>096-36-4512</t>
  </si>
  <si>
    <t>154-45-0800</t>
  </si>
  <si>
    <t>112-64-2500</t>
  </si>
  <si>
    <t>121-76-5330</t>
  </si>
  <si>
    <t>088-78-3799</t>
  </si>
  <si>
    <t>057-96-9784</t>
  </si>
  <si>
    <t>089-62-2124</t>
  </si>
  <si>
    <t>065-56-1102</t>
  </si>
  <si>
    <t>451-91-6232</t>
  </si>
  <si>
    <t>096-90-2408</t>
  </si>
  <si>
    <t>125-64-7389</t>
  </si>
  <si>
    <t>119-56-8769</t>
  </si>
  <si>
    <t>767-36-5566</t>
  </si>
  <si>
    <t>121-48-6575</t>
  </si>
  <si>
    <t>071-60-1415</t>
  </si>
  <si>
    <t>082-62-6248</t>
  </si>
  <si>
    <t>033-58-9184</t>
  </si>
  <si>
    <t>069-36-7556</t>
  </si>
  <si>
    <t>093-58-1509</t>
  </si>
  <si>
    <t>058-88-4682</t>
  </si>
  <si>
    <t>084-74-5779</t>
  </si>
  <si>
    <t>098-56-1903</t>
  </si>
  <si>
    <t>102-76-7260</t>
  </si>
  <si>
    <t>069-78-7596</t>
  </si>
  <si>
    <t>132-54-1811</t>
  </si>
  <si>
    <t>133-94-2927</t>
  </si>
  <si>
    <t>000-00-0889</t>
  </si>
  <si>
    <t>000-00-4055</t>
  </si>
  <si>
    <t>143-96-6319</t>
  </si>
  <si>
    <t>498-89-8815</t>
  </si>
  <si>
    <t>000-00-1006</t>
  </si>
  <si>
    <t>123-78-5318</t>
  </si>
  <si>
    <t>082-66-4354</t>
  </si>
  <si>
    <t>107-74-0188</t>
  </si>
  <si>
    <t>117-78-5963</t>
  </si>
  <si>
    <t>076-80-8104</t>
  </si>
  <si>
    <t>060-96-0271</t>
  </si>
  <si>
    <t>058-80-4801</t>
  </si>
  <si>
    <t>048-90-8742</t>
  </si>
  <si>
    <t>128-66-5291</t>
  </si>
  <si>
    <t>634-12-0794</t>
  </si>
  <si>
    <t>057-82-9117</t>
  </si>
  <si>
    <t>071-58-4324</t>
  </si>
  <si>
    <t>057-74-2926</t>
  </si>
  <si>
    <t>107-96-9097</t>
  </si>
  <si>
    <t>582-95-9685</t>
  </si>
  <si>
    <t>087-72-0698</t>
  </si>
  <si>
    <t>053-60-6261</t>
  </si>
  <si>
    <t>113-66-5581</t>
  </si>
  <si>
    <t>454-33-4555</t>
  </si>
  <si>
    <t>061-70-1902</t>
  </si>
  <si>
    <t>115-60-3475</t>
  </si>
  <si>
    <t>121-86-7411</t>
  </si>
  <si>
    <t>110-50-6680</t>
  </si>
  <si>
    <t>107-62-1518</t>
  </si>
  <si>
    <t>088-92-1616</t>
  </si>
  <si>
    <t>103-84-9482</t>
  </si>
  <si>
    <t>130-56-4357</t>
  </si>
  <si>
    <t>597-26-3727</t>
  </si>
  <si>
    <t>089-86-2491</t>
  </si>
  <si>
    <t>126-64-8363</t>
  </si>
  <si>
    <t>090-82-0399</t>
  </si>
  <si>
    <t>064-60-0164</t>
  </si>
  <si>
    <t>106-62-6915</t>
  </si>
  <si>
    <t>060-58-2181</t>
  </si>
  <si>
    <t>091-62-2657</t>
  </si>
  <si>
    <t>117-56-3984</t>
  </si>
  <si>
    <t>072-96-3363</t>
  </si>
  <si>
    <t>112-34-1089</t>
  </si>
  <si>
    <t>000-00-7862</t>
  </si>
  <si>
    <t>123-82-2454</t>
  </si>
  <si>
    <t>087-82-9998</t>
  </si>
  <si>
    <t>065-54-8231</t>
  </si>
  <si>
    <t>056-84-9241</t>
  </si>
  <si>
    <t>078-76-4459</t>
  </si>
  <si>
    <t>582-11-8987</t>
  </si>
  <si>
    <t>113-70-9369</t>
  </si>
  <si>
    <t>093-72-3914</t>
  </si>
  <si>
    <t>104-34-4530</t>
  </si>
  <si>
    <t>084-72-0321</t>
  </si>
  <si>
    <t>131-94-4778</t>
  </si>
  <si>
    <t>595-99-1736</t>
  </si>
  <si>
    <t>078-52-4545</t>
  </si>
  <si>
    <t>108-78-8018</t>
  </si>
  <si>
    <t>083-74-4254</t>
  </si>
  <si>
    <t>069-96-7845</t>
  </si>
  <si>
    <t>051-84-9394</t>
  </si>
  <si>
    <t>126-66-1211</t>
  </si>
  <si>
    <t>099-48-7168</t>
  </si>
  <si>
    <t>082-70-2158</t>
  </si>
  <si>
    <t>063-66-2273</t>
  </si>
  <si>
    <t>090-58-8996</t>
  </si>
  <si>
    <t>248-47-9192</t>
  </si>
  <si>
    <t>118-60-4483</t>
  </si>
  <si>
    <t>108-60-6846</t>
  </si>
  <si>
    <t>598-34-7193</t>
  </si>
  <si>
    <t>071-62-6297</t>
  </si>
  <si>
    <t>595-68-8178</t>
  </si>
  <si>
    <t>077-72-7688</t>
  </si>
  <si>
    <t>583-69-7845</t>
  </si>
  <si>
    <t>095-56-5412</t>
  </si>
  <si>
    <t>056-72-5600</t>
  </si>
  <si>
    <t>000-00-5758</t>
  </si>
  <si>
    <t>000-00-6779</t>
  </si>
  <si>
    <t>261-13-3720</t>
  </si>
  <si>
    <t>000-00-7701</t>
  </si>
  <si>
    <t>000-00-8599</t>
  </si>
  <si>
    <t>000-00-6973</t>
  </si>
  <si>
    <t>000-00-4898</t>
  </si>
  <si>
    <t>000-00-7630</t>
  </si>
  <si>
    <t>000-00-9322</t>
  </si>
  <si>
    <t>000-00-7450</t>
  </si>
  <si>
    <t>592-33-3937</t>
  </si>
  <si>
    <t>000-00-0558</t>
  </si>
  <si>
    <t>000-00-1761</t>
  </si>
  <si>
    <t>000-00-0537</t>
  </si>
  <si>
    <t>000-00-5889</t>
  </si>
  <si>
    <t>057-74-4179</t>
  </si>
  <si>
    <t>590-71-1635</t>
  </si>
  <si>
    <t>123-96-4540</t>
  </si>
  <si>
    <t>080-74-8053</t>
  </si>
  <si>
    <t>000-00-4408</t>
  </si>
  <si>
    <t>063-86-6704</t>
  </si>
  <si>
    <t>085-02-0885</t>
  </si>
  <si>
    <t>125-84-7973</t>
  </si>
  <si>
    <t>000-00-5910</t>
  </si>
  <si>
    <t>000-00-0279</t>
  </si>
  <si>
    <t>000-00-6879</t>
  </si>
  <si>
    <t>000-00-9888</t>
  </si>
  <si>
    <t>000-00-3425</t>
  </si>
  <si>
    <t>244-31-4101</t>
  </si>
  <si>
    <t>000-00-6023</t>
  </si>
  <si>
    <t>000-00-3782</t>
  </si>
  <si>
    <t>000-00-7356</t>
  </si>
  <si>
    <t>111-52-7176</t>
  </si>
  <si>
    <t>000-00-5413</t>
  </si>
  <si>
    <t>093-54-1189</t>
  </si>
  <si>
    <t>091-66-5479</t>
  </si>
  <si>
    <t>086-68-4919</t>
  </si>
  <si>
    <t>108-54-3734</t>
  </si>
  <si>
    <t>000-00-9771</t>
  </si>
  <si>
    <t>000-00-9145</t>
  </si>
  <si>
    <t>095-66-0498</t>
  </si>
  <si>
    <t>000-00-9409</t>
  </si>
  <si>
    <t>000-00-5616</t>
  </si>
  <si>
    <t>087-46-4951</t>
  </si>
  <si>
    <t>000-00-1932</t>
  </si>
  <si>
    <t>096-60-1790</t>
  </si>
  <si>
    <t>000-00-8834</t>
  </si>
  <si>
    <t>000-00-6142</t>
  </si>
  <si>
    <t>113-70-0448</t>
  </si>
  <si>
    <t>128-64-8892</t>
  </si>
  <si>
    <t>000-00-1272</t>
  </si>
  <si>
    <t>082-62-2280</t>
  </si>
  <si>
    <t>099-84-6935</t>
  </si>
  <si>
    <t>122-76-5504</t>
  </si>
  <si>
    <t>000-00-7988</t>
  </si>
  <si>
    <t>100-90-1160</t>
  </si>
  <si>
    <t>096-72-4037</t>
  </si>
  <si>
    <t>124-56-4170</t>
  </si>
  <si>
    <t>111-58-2868</t>
  </si>
  <si>
    <t>000-00-3444</t>
  </si>
  <si>
    <t>000-00-4310</t>
  </si>
  <si>
    <t>000-00-7854</t>
  </si>
  <si>
    <t>000-00-6466</t>
  </si>
  <si>
    <t>000-00-2341</t>
  </si>
  <si>
    <t>055-68-5650</t>
  </si>
  <si>
    <t>000-00-9481</t>
  </si>
  <si>
    <t>000-00-7284</t>
  </si>
  <si>
    <t>000-00-0282</t>
  </si>
  <si>
    <t>000-00-4438</t>
  </si>
  <si>
    <t>000-00-0162</t>
  </si>
  <si>
    <t>897-74-5196</t>
  </si>
  <si>
    <t>077-54-9124</t>
  </si>
  <si>
    <t>124-48-5681</t>
  </si>
  <si>
    <t>115-92-4132</t>
  </si>
  <si>
    <t>000-00-7432</t>
  </si>
  <si>
    <t>262-86-4574</t>
  </si>
  <si>
    <t>000-00-7138</t>
  </si>
  <si>
    <t>000-00-9133</t>
  </si>
  <si>
    <t>000-00-1576</t>
  </si>
  <si>
    <t>000-00-1609</t>
  </si>
  <si>
    <t>000-00-1792</t>
  </si>
  <si>
    <t>102-52-7841</t>
  </si>
  <si>
    <t>092-54-2455</t>
  </si>
  <si>
    <t>000-00-3459</t>
  </si>
  <si>
    <t>078-78-7748</t>
  </si>
  <si>
    <t>000-00-4577</t>
  </si>
  <si>
    <t>597-20-9888</t>
  </si>
  <si>
    <t>108-66-3887</t>
  </si>
  <si>
    <t>695-57-9554</t>
  </si>
  <si>
    <t>636-43-9304</t>
  </si>
  <si>
    <t>000-00-0445</t>
  </si>
  <si>
    <t>412-61-1264</t>
  </si>
  <si>
    <t>039-54-0908</t>
  </si>
  <si>
    <t>067-68-4903</t>
  </si>
  <si>
    <t>385-88-8596</t>
  </si>
  <si>
    <t>076-60-0259</t>
  </si>
  <si>
    <t>000-00-9686</t>
  </si>
  <si>
    <t>105-74-2478</t>
  </si>
  <si>
    <t>000-00-8290</t>
  </si>
  <si>
    <t>066-58-7590</t>
  </si>
  <si>
    <t>000-00-4060</t>
  </si>
  <si>
    <t>000-00-2398</t>
  </si>
  <si>
    <t>000-00-1904</t>
  </si>
  <si>
    <t>079-54-8543</t>
  </si>
  <si>
    <t>000-00-6961</t>
  </si>
  <si>
    <t>580-74-8844</t>
  </si>
  <si>
    <t>636-94-0952</t>
  </si>
  <si>
    <t>000-00-5437</t>
  </si>
  <si>
    <t>000-00-7694</t>
  </si>
  <si>
    <t>688-56-8667</t>
  </si>
  <si>
    <t>083-54-4926</t>
  </si>
  <si>
    <t>084-72-5884</t>
  </si>
  <si>
    <t>099-46-3854</t>
  </si>
  <si>
    <t>089-58-8355</t>
  </si>
  <si>
    <t>125-68-9609</t>
  </si>
  <si>
    <t>080-78-3189</t>
  </si>
  <si>
    <t>076-78-3840</t>
  </si>
  <si>
    <t>099-88-0713</t>
  </si>
  <si>
    <t>106-90-5537</t>
  </si>
  <si>
    <t>111-78-6465</t>
  </si>
  <si>
    <t>000-00-6386</t>
  </si>
  <si>
    <t>000-00-6180</t>
  </si>
  <si>
    <t>121-86-9056</t>
  </si>
  <si>
    <t>114-36-6376</t>
  </si>
  <si>
    <t>580-12-4986</t>
  </si>
  <si>
    <t>079-76-6146</t>
  </si>
  <si>
    <t>115-60-5156</t>
  </si>
  <si>
    <t>102-58-2738</t>
  </si>
  <si>
    <t>416-70-5885</t>
  </si>
  <si>
    <t>114-92-7155</t>
  </si>
  <si>
    <t>827-32-7133</t>
  </si>
  <si>
    <t>069-68-2918</t>
  </si>
  <si>
    <t>134-64-5989</t>
  </si>
  <si>
    <t>000-00-2502</t>
  </si>
  <si>
    <t>063-66-9618</t>
  </si>
  <si>
    <t>059-44-6035</t>
  </si>
  <si>
    <t>265-11-5963</t>
  </si>
  <si>
    <t>053-42-1332</t>
  </si>
  <si>
    <t>060-68-6638</t>
  </si>
  <si>
    <t>127-54-5978</t>
  </si>
  <si>
    <t>087-86-4402</t>
  </si>
  <si>
    <t>115-56-8175</t>
  </si>
  <si>
    <t>092-80-9749</t>
  </si>
  <si>
    <t>101-64-8227</t>
  </si>
  <si>
    <t>112-72-9838</t>
  </si>
  <si>
    <t>127-42-3816</t>
  </si>
  <si>
    <t>306-92-3236</t>
  </si>
  <si>
    <t>101-68-7901</t>
  </si>
  <si>
    <t>134-60-7019</t>
  </si>
  <si>
    <t>408-69-3046</t>
  </si>
  <si>
    <t>133-56-3784</t>
  </si>
  <si>
    <t>083-46-4323</t>
  </si>
  <si>
    <t>124-88-1123</t>
  </si>
  <si>
    <t>098-76-9847</t>
  </si>
  <si>
    <t>113-48-4810</t>
  </si>
  <si>
    <t>073-62-6495</t>
  </si>
  <si>
    <t>086-54-7404</t>
  </si>
  <si>
    <t>105-34-4504</t>
  </si>
  <si>
    <t>070-64-9338</t>
  </si>
  <si>
    <t>307-23-2269</t>
  </si>
  <si>
    <t>063-56-7181</t>
  </si>
  <si>
    <t>053-70-9468</t>
  </si>
  <si>
    <t>087-68-1354</t>
  </si>
  <si>
    <t>072-72-0132</t>
  </si>
  <si>
    <t>116-64-8494</t>
  </si>
  <si>
    <t>808-38-7444</t>
  </si>
  <si>
    <t>000-00-6731</t>
  </si>
  <si>
    <t>059-76-4912</t>
  </si>
  <si>
    <t>000-00-6885</t>
  </si>
  <si>
    <t>114-96-7551</t>
  </si>
  <si>
    <t>096-88-6073</t>
  </si>
  <si>
    <t>085-74-1600</t>
  </si>
  <si>
    <t>131-54-0474</t>
  </si>
  <si>
    <t>066-64-0765</t>
  </si>
  <si>
    <t>086-82-4073</t>
  </si>
  <si>
    <t>123-86-2294</t>
  </si>
  <si>
    <t>120-42-3664</t>
  </si>
  <si>
    <t>125-60-7060</t>
  </si>
  <si>
    <t>732-14-4317</t>
  </si>
  <si>
    <t>124-36-4476</t>
  </si>
  <si>
    <t>066-68-8532</t>
  </si>
  <si>
    <t>120-98-6288</t>
  </si>
  <si>
    <t>006-90-3664</t>
  </si>
  <si>
    <t>258-85-4152</t>
  </si>
  <si>
    <t>076-70-4362</t>
  </si>
  <si>
    <t>125-74-4567</t>
  </si>
  <si>
    <t>000-00-3632</t>
  </si>
  <si>
    <t>128-78-1388</t>
  </si>
  <si>
    <t>053-74-5825</t>
  </si>
  <si>
    <t>000-00-2189</t>
  </si>
  <si>
    <t>701-50-5483</t>
  </si>
  <si>
    <t>058-90-5861</t>
  </si>
  <si>
    <t>543-45-6906</t>
  </si>
  <si>
    <t>000-00-8178</t>
  </si>
  <si>
    <t>093-62-4707</t>
  </si>
  <si>
    <t>083-58-1616</t>
  </si>
  <si>
    <t>057-70-9353</t>
  </si>
  <si>
    <t>583-55-8222</t>
  </si>
  <si>
    <t>176-90-5320</t>
  </si>
  <si>
    <t>078-52-1559</t>
  </si>
  <si>
    <t>126-42-5549</t>
  </si>
  <si>
    <t>584-59-1535</t>
  </si>
  <si>
    <t>076-58-3105</t>
  </si>
  <si>
    <t>103-70-6183</t>
  </si>
  <si>
    <t>792-41-0725</t>
  </si>
  <si>
    <t>093-82-1534</t>
  </si>
  <si>
    <t>263-62-1799</t>
  </si>
  <si>
    <t>090-72-7244</t>
  </si>
  <si>
    <t>741-83-4329</t>
  </si>
  <si>
    <t>426-72-3132</t>
  </si>
  <si>
    <t>108-78-3253</t>
  </si>
  <si>
    <t>105-68-0781</t>
  </si>
  <si>
    <t>445-91-3204</t>
  </si>
  <si>
    <t>090-70-0022</t>
  </si>
  <si>
    <t>056-60-3249</t>
  </si>
  <si>
    <t>420-31-6877</t>
  </si>
  <si>
    <t>084-70-6098</t>
  </si>
  <si>
    <t>130-58-5021</t>
  </si>
  <si>
    <t>598-90-5035</t>
  </si>
  <si>
    <t>099-46-4064</t>
  </si>
  <si>
    <t>092-60-0795</t>
  </si>
  <si>
    <t>132-62-8033</t>
  </si>
  <si>
    <t>000-00-7355</t>
  </si>
  <si>
    <t>062-80-6110</t>
  </si>
  <si>
    <t>089-58-9672</t>
  </si>
  <si>
    <t>082-54-8061</t>
  </si>
  <si>
    <t>197-99-5372</t>
  </si>
  <si>
    <t>597-54-3123</t>
  </si>
  <si>
    <t>000-00-8201</t>
  </si>
  <si>
    <t>468-41-8253</t>
  </si>
  <si>
    <t>132-64-9975</t>
  </si>
  <si>
    <t>082-78-4359</t>
  </si>
  <si>
    <t>101-52-2396</t>
  </si>
  <si>
    <t>000-00-7564</t>
  </si>
  <si>
    <t>060-94-6914</t>
  </si>
  <si>
    <t>106-58-7148</t>
  </si>
  <si>
    <t>088-76-4628</t>
  </si>
  <si>
    <t>111-96-2105</t>
  </si>
  <si>
    <t>117-68-6881</t>
  </si>
  <si>
    <t>000-00-6988</t>
  </si>
  <si>
    <t>100-70-2101</t>
  </si>
  <si>
    <t>861-97-2586</t>
  </si>
  <si>
    <t>386-59-7861</t>
  </si>
  <si>
    <t>130-98-6699</t>
  </si>
  <si>
    <t>117-74-0170</t>
  </si>
  <si>
    <t>050-86-7736</t>
  </si>
  <si>
    <t>097-82-6079</t>
  </si>
  <si>
    <t>099-92-9243</t>
  </si>
  <si>
    <t>599-16-5903</t>
  </si>
  <si>
    <t>244-49-5579</t>
  </si>
  <si>
    <t>100-58-3291</t>
  </si>
  <si>
    <t>081-58-0744</t>
  </si>
  <si>
    <t>080-70-4709</t>
  </si>
  <si>
    <t>094-60-6356</t>
  </si>
  <si>
    <t>087-70-1817</t>
  </si>
  <si>
    <t>126-56-2886</t>
  </si>
  <si>
    <t>106-70-7089</t>
  </si>
  <si>
    <t>085-60-3235</t>
  </si>
  <si>
    <t>111-11-1111</t>
  </si>
  <si>
    <t>348-64-3793</t>
  </si>
  <si>
    <t>583-88-6243</t>
  </si>
  <si>
    <t>097-74-7887</t>
  </si>
  <si>
    <t>130-66-8502</t>
  </si>
  <si>
    <t>066-86-5290</t>
  </si>
  <si>
    <t>098-62-1689</t>
  </si>
  <si>
    <t>054-40-5574</t>
  </si>
  <si>
    <t>106-40-7416</t>
  </si>
  <si>
    <t>410-81-7997</t>
  </si>
  <si>
    <t>000-00-9329</t>
  </si>
  <si>
    <t>054-76-3437</t>
  </si>
  <si>
    <t>000-00-1019</t>
  </si>
  <si>
    <t>115-62-3869</t>
  </si>
  <si>
    <t>113-60-6678</t>
  </si>
  <si>
    <t>053-66-9483</t>
  </si>
  <si>
    <t>107-85-7521</t>
  </si>
  <si>
    <t>102-60-0202</t>
  </si>
  <si>
    <t>255-23-5124</t>
  </si>
  <si>
    <t>433-51-6186</t>
  </si>
  <si>
    <t>061-46-9375</t>
  </si>
  <si>
    <t>342-39-9909</t>
  </si>
  <si>
    <t>084-44-1167</t>
  </si>
  <si>
    <t>000-00-0733</t>
  </si>
  <si>
    <t>081-60-5318</t>
  </si>
  <si>
    <t>090-82-1765</t>
  </si>
  <si>
    <t>113-44-9667</t>
  </si>
  <si>
    <t>119-94-5500</t>
  </si>
  <si>
    <t>075-60-8386</t>
  </si>
  <si>
    <t>594-83-0807</t>
  </si>
  <si>
    <t>584-85-3440</t>
  </si>
  <si>
    <t>779-63-3922</t>
  </si>
  <si>
    <t>099-78-1785</t>
  </si>
  <si>
    <t>021-96-2319</t>
  </si>
  <si>
    <t>000-00-9752</t>
  </si>
  <si>
    <t>119-56-0441</t>
  </si>
  <si>
    <t>074-46-6735</t>
  </si>
  <si>
    <t>113-64-5118</t>
  </si>
  <si>
    <t>079-72-0758</t>
  </si>
  <si>
    <t>000-00-1113</t>
  </si>
  <si>
    <t>000-00-6100</t>
  </si>
  <si>
    <t>597-46-8372</t>
  </si>
  <si>
    <t>092-40-7124</t>
  </si>
  <si>
    <t>102-50-9783</t>
  </si>
  <si>
    <t>116-56-0278</t>
  </si>
  <si>
    <t>059-84-3926</t>
  </si>
  <si>
    <t>000-00-2484</t>
  </si>
  <si>
    <t>565-93-0635</t>
  </si>
  <si>
    <t>109-54-0136</t>
  </si>
  <si>
    <t>088-40-0678</t>
  </si>
  <si>
    <t>261-97-2848</t>
  </si>
  <si>
    <t>101-60-5540</t>
  </si>
  <si>
    <t>065-46-1229</t>
  </si>
  <si>
    <t>000-00-3891</t>
  </si>
  <si>
    <t>075-64-7328</t>
  </si>
  <si>
    <t>059-78-7449</t>
  </si>
  <si>
    <t>115-92-9511</t>
  </si>
  <si>
    <t>052-70-3694</t>
  </si>
  <si>
    <t>122-86-1405</t>
  </si>
  <si>
    <t>127-46-4118</t>
  </si>
  <si>
    <t>000-00-7136</t>
  </si>
  <si>
    <t>064-76-6994</t>
  </si>
  <si>
    <t>000-00-4656</t>
  </si>
  <si>
    <t>583-30-8508</t>
  </si>
  <si>
    <t>000-00-8177</t>
  </si>
  <si>
    <t>267-87-4868</t>
  </si>
  <si>
    <t>057-74-4943</t>
  </si>
  <si>
    <t>562-89-4337</t>
  </si>
  <si>
    <t>097-60-2867</t>
  </si>
  <si>
    <t>059-68-0774</t>
  </si>
  <si>
    <t>127-80-6037</t>
  </si>
  <si>
    <t>115-58-8023</t>
  </si>
  <si>
    <t>000-00-1190</t>
  </si>
  <si>
    <t>256-45-7017</t>
  </si>
  <si>
    <t>063-58-4024</t>
  </si>
  <si>
    <t>063-58-2489</t>
  </si>
  <si>
    <t>100-44-4795</t>
  </si>
  <si>
    <t>057-56-2488</t>
  </si>
  <si>
    <t>115-68-8884</t>
  </si>
  <si>
    <t>057-88-1631</t>
  </si>
  <si>
    <t>116-70-6199</t>
  </si>
  <si>
    <t>131-56-0405</t>
  </si>
  <si>
    <t>074-74-2517</t>
  </si>
  <si>
    <t>037-64-0677</t>
  </si>
  <si>
    <t>069-60-8577</t>
  </si>
  <si>
    <t>060-66-6095</t>
  </si>
  <si>
    <t>089-78-5027</t>
  </si>
  <si>
    <t>074-82-1560</t>
  </si>
  <si>
    <t>068-56-7961</t>
  </si>
  <si>
    <t>072-76-3981</t>
  </si>
  <si>
    <t>057-60-9676</t>
  </si>
  <si>
    <t>583-67-9780</t>
  </si>
  <si>
    <t>071-74-5581</t>
  </si>
  <si>
    <t>094-54-6157</t>
  </si>
  <si>
    <t>052-64-1298</t>
  </si>
  <si>
    <t>059-86-9495</t>
  </si>
  <si>
    <t>122-80-3731</t>
  </si>
  <si>
    <t>097-36-9889</t>
  </si>
  <si>
    <t>064-76-5307</t>
  </si>
  <si>
    <t>092-60-7128</t>
  </si>
  <si>
    <t>082-74-2167</t>
  </si>
  <si>
    <t>000-00-5461</t>
  </si>
  <si>
    <t>505-99-3087</t>
  </si>
  <si>
    <t>105-88-0734</t>
  </si>
  <si>
    <t>118-96-2607</t>
  </si>
  <si>
    <t>115-76-4354</t>
  </si>
  <si>
    <t>091-40-5580</t>
  </si>
  <si>
    <t>110-74-3529</t>
  </si>
  <si>
    <t>246-68-4160</t>
  </si>
  <si>
    <t>592-33-4514</t>
  </si>
  <si>
    <t>119-52-5006</t>
  </si>
  <si>
    <t>043-52-2819</t>
  </si>
  <si>
    <t>156-72-1990</t>
  </si>
  <si>
    <t>591-01-4055</t>
  </si>
  <si>
    <t>119-82-7182</t>
  </si>
  <si>
    <t>069-66-7885</t>
  </si>
  <si>
    <t>592-32-5902</t>
  </si>
  <si>
    <t>083-64-4372</t>
  </si>
  <si>
    <t>097-66-2952</t>
  </si>
  <si>
    <t>072-76-0835</t>
  </si>
  <si>
    <t>082-64-6484</t>
  </si>
  <si>
    <t>584-63-1887</t>
  </si>
  <si>
    <t>053-78-2192</t>
  </si>
  <si>
    <t>083-56-1530</t>
  </si>
  <si>
    <t>073-98-2873</t>
  </si>
  <si>
    <t>000-00-8340</t>
  </si>
  <si>
    <t>840-50-5868</t>
  </si>
  <si>
    <t>062-58-0161</t>
  </si>
  <si>
    <t>087-48-3083</t>
  </si>
  <si>
    <t>080-96-0783</t>
  </si>
  <si>
    <t>609-90-1665</t>
  </si>
  <si>
    <t>000-00-7946</t>
  </si>
  <si>
    <t>192-13-8910</t>
  </si>
  <si>
    <t>577-23-0000</t>
  </si>
  <si>
    <t>068-78-3830</t>
  </si>
  <si>
    <t>086-86-4669</t>
  </si>
  <si>
    <t>127-76-7157</t>
  </si>
  <si>
    <t>071-46-3302</t>
  </si>
  <si>
    <t>117-96-7302</t>
  </si>
  <si>
    <t>078-58-0424</t>
  </si>
  <si>
    <t>518-13-9524</t>
  </si>
  <si>
    <t>073-62-7777</t>
  </si>
  <si>
    <t>249-81-5160</t>
  </si>
  <si>
    <t>059-58-6529</t>
  </si>
  <si>
    <t>082-58-8585</t>
  </si>
  <si>
    <t>114-74-5394</t>
  </si>
  <si>
    <t>583-13-3394</t>
  </si>
  <si>
    <t>108-92-5939</t>
  </si>
  <si>
    <t>079-60-0683</t>
  </si>
  <si>
    <t>079-74-6479</t>
  </si>
  <si>
    <t>256-70-8851</t>
  </si>
  <si>
    <t>127-66-5415</t>
  </si>
  <si>
    <t>851-89-3163</t>
  </si>
  <si>
    <t>129-50-0273</t>
  </si>
  <si>
    <t>107-62-5556</t>
  </si>
  <si>
    <t>055-88-7083</t>
  </si>
  <si>
    <t>085-50-4856</t>
  </si>
  <si>
    <t>099-66-9995</t>
  </si>
  <si>
    <t>102-66-3614</t>
  </si>
  <si>
    <t>097-68-5980</t>
  </si>
  <si>
    <t>124-60-9405</t>
  </si>
  <si>
    <t>121-66-5111</t>
  </si>
  <si>
    <t>089-78-8620</t>
  </si>
  <si>
    <t>108-78-5954</t>
  </si>
  <si>
    <t>129-82-6772</t>
  </si>
  <si>
    <t>100-66-7089</t>
  </si>
  <si>
    <t>069-78-7913</t>
  </si>
  <si>
    <t>054-62-1328</t>
  </si>
  <si>
    <t>104-80-4366</t>
  </si>
  <si>
    <t>080-60-4949</t>
  </si>
  <si>
    <t>105-38-0070</t>
  </si>
  <si>
    <t>124-84-8139</t>
  </si>
  <si>
    <t>264-75-8127</t>
  </si>
  <si>
    <t>076-74-4926</t>
  </si>
  <si>
    <t>000-00-0571</t>
  </si>
  <si>
    <t>130-60-4642</t>
  </si>
  <si>
    <t>848-46-1370</t>
  </si>
  <si>
    <t>128-56-2372</t>
  </si>
  <si>
    <t>105-56-4754</t>
  </si>
  <si>
    <t>064-66-2006</t>
  </si>
  <si>
    <t>378-04-4821</t>
  </si>
  <si>
    <t>092-74-4128</t>
  </si>
  <si>
    <t>095-58-8417</t>
  </si>
  <si>
    <t>053-94-0089</t>
  </si>
  <si>
    <t>063-64-2297</t>
  </si>
  <si>
    <t>082-72-0151</t>
  </si>
  <si>
    <t>086-64-3422</t>
  </si>
  <si>
    <t>070-44-2916</t>
  </si>
  <si>
    <t>071-80-0828</t>
  </si>
  <si>
    <t>115-56-5351</t>
  </si>
  <si>
    <t>058-60-7514</t>
  </si>
  <si>
    <t>058-62-0719</t>
  </si>
  <si>
    <t>035-38-1241</t>
  </si>
  <si>
    <t>139-92-8812</t>
  </si>
  <si>
    <t>247-86-4291</t>
  </si>
  <si>
    <t>122-86-1977</t>
  </si>
  <si>
    <t>597-72-3524</t>
  </si>
  <si>
    <t>065-54-7453</t>
  </si>
  <si>
    <t>065-84-8872</t>
  </si>
  <si>
    <t>098-58-8397</t>
  </si>
  <si>
    <t>070-60-1058</t>
  </si>
  <si>
    <t>000-00-6006</t>
  </si>
  <si>
    <t>000-00-1798</t>
  </si>
  <si>
    <t>099-84-2261</t>
  </si>
  <si>
    <t>266-93-7500</t>
  </si>
  <si>
    <t>092-82-5643</t>
  </si>
  <si>
    <t>098-48-3960</t>
  </si>
  <si>
    <t>125-50-5098</t>
  </si>
  <si>
    <t>011-34-0770</t>
  </si>
  <si>
    <t>097-54-6313</t>
  </si>
  <si>
    <t>052-80-9923</t>
  </si>
  <si>
    <t>077-62-7473</t>
  </si>
  <si>
    <t>062-96-2638</t>
  </si>
  <si>
    <t>582-53-1445</t>
  </si>
  <si>
    <t>715-29-9958</t>
  </si>
  <si>
    <t>126-56-4294</t>
  </si>
  <si>
    <t>072-42-9090</t>
  </si>
  <si>
    <t>112-62-8982</t>
  </si>
  <si>
    <t>089-58-8487</t>
  </si>
  <si>
    <t>074-74-9186</t>
  </si>
  <si>
    <t>098-56-2102</t>
  </si>
  <si>
    <t>125-48-8175</t>
  </si>
  <si>
    <t>092-68-6271</t>
  </si>
  <si>
    <t>092-68-7608</t>
  </si>
  <si>
    <t>216-96-9440</t>
  </si>
  <si>
    <t>103-92-7565</t>
  </si>
  <si>
    <t>158-55-4856</t>
  </si>
  <si>
    <t>581-15-9658</t>
  </si>
  <si>
    <t>474-96-5901</t>
  </si>
  <si>
    <t>000-00-9077</t>
  </si>
  <si>
    <t>057-60-1927</t>
  </si>
  <si>
    <t>092-64-4012</t>
  </si>
  <si>
    <t>134-92-0590</t>
  </si>
  <si>
    <t>062-64-7952</t>
  </si>
  <si>
    <t>053-94-7379</t>
  </si>
  <si>
    <t>122-60-2936</t>
  </si>
  <si>
    <t>070-72-3310</t>
  </si>
  <si>
    <t>111-64-5953</t>
  </si>
  <si>
    <t>260-39-2242</t>
  </si>
  <si>
    <t>108-62-6552</t>
  </si>
  <si>
    <t>119-48-1492</t>
  </si>
  <si>
    <t>108-64-6601</t>
  </si>
  <si>
    <t>000-00-4720</t>
  </si>
  <si>
    <t>128-40-3156</t>
  </si>
  <si>
    <t>127-42-8355</t>
  </si>
  <si>
    <t>430-59-6891</t>
  </si>
  <si>
    <t>120-96-9319</t>
  </si>
  <si>
    <t>103-94-4417</t>
  </si>
  <si>
    <t>094-02-9145</t>
  </si>
  <si>
    <t>086-70-4412</t>
  </si>
  <si>
    <t>106-94-2906</t>
  </si>
  <si>
    <t>078-74-9893</t>
  </si>
  <si>
    <t>086-82-9386</t>
  </si>
  <si>
    <t>056-76-1407</t>
  </si>
  <si>
    <t>844-85-2038</t>
  </si>
  <si>
    <t>065-44-6818</t>
  </si>
  <si>
    <t>129-64-6882</t>
  </si>
  <si>
    <t>584-26-1982</t>
  </si>
  <si>
    <t>100-64-3335</t>
  </si>
  <si>
    <t>122-62-6836</t>
  </si>
  <si>
    <t>072-02-1516</t>
  </si>
  <si>
    <t>052-76-2053</t>
  </si>
  <si>
    <t>017-54-8746</t>
  </si>
  <si>
    <t>271-90-2149</t>
  </si>
  <si>
    <t>108-44-2025</t>
  </si>
  <si>
    <t>056-64-0265</t>
  </si>
  <si>
    <t>074-42-2251</t>
  </si>
  <si>
    <t>597-10-8125</t>
  </si>
  <si>
    <t>153-48-2639</t>
  </si>
  <si>
    <t>103-48-4692</t>
  </si>
  <si>
    <t>117-64-2014</t>
  </si>
  <si>
    <t>052-46-3502</t>
  </si>
  <si>
    <t>054-36-0501</t>
  </si>
  <si>
    <t>080-60-0944</t>
  </si>
  <si>
    <t>069-56-2035</t>
  </si>
  <si>
    <t>090-68-9519</t>
  </si>
  <si>
    <t>084-52-2713</t>
  </si>
  <si>
    <t>114-36-8076</t>
  </si>
  <si>
    <t>083-98-0584</t>
  </si>
  <si>
    <t>069-58-6415</t>
  </si>
  <si>
    <t>839-52-7526</t>
  </si>
  <si>
    <t>000-00-7259</t>
  </si>
  <si>
    <t>000-00-7242</t>
  </si>
  <si>
    <t>000-00-9183</t>
  </si>
  <si>
    <t>132-62-4643</t>
  </si>
  <si>
    <t>000-00-4301</t>
  </si>
  <si>
    <t>000-00-8667</t>
  </si>
  <si>
    <t>000-00-2080</t>
  </si>
  <si>
    <t>000-00-9491</t>
  </si>
  <si>
    <t>000-00-0814</t>
  </si>
  <si>
    <t>000-00-6090</t>
  </si>
  <si>
    <t>000-00-7615</t>
  </si>
  <si>
    <t>000-00-5526</t>
  </si>
  <si>
    <t>000-00-1794</t>
  </si>
  <si>
    <t>000-00-7886</t>
  </si>
  <si>
    <t>000-00-1837</t>
  </si>
  <si>
    <t>000-00-6426</t>
  </si>
  <si>
    <t>000-00-0061</t>
  </si>
  <si>
    <t>000-00-0682</t>
  </si>
  <si>
    <t>000-00-0799</t>
  </si>
  <si>
    <t>000-00-8916</t>
  </si>
  <si>
    <t>123-62-8517</t>
  </si>
  <si>
    <t>000-00-0761</t>
  </si>
  <si>
    <t>000-00-9432</t>
  </si>
  <si>
    <t>000-00-6895</t>
  </si>
  <si>
    <t>000-00-0400</t>
  </si>
  <si>
    <t>000-00-3238</t>
  </si>
  <si>
    <t>000-00-8162</t>
  </si>
  <si>
    <t>000-00-1236</t>
  </si>
  <si>
    <t>000-00-6474</t>
  </si>
  <si>
    <t>523-33-7639</t>
  </si>
  <si>
    <t>000-00-6332</t>
  </si>
  <si>
    <t>000-00-7780</t>
  </si>
  <si>
    <t>000-00-5314</t>
  </si>
  <si>
    <t>071-70-9132</t>
  </si>
  <si>
    <t>077-90-6759</t>
  </si>
  <si>
    <t>126-68-9462</t>
  </si>
  <si>
    <t>000-00-9976</t>
  </si>
  <si>
    <t>000-00-3191</t>
  </si>
  <si>
    <t>000-00-3672</t>
  </si>
  <si>
    <t>000-00-1746</t>
  </si>
  <si>
    <t>000-00-9735</t>
  </si>
  <si>
    <t>000-00-9542</t>
  </si>
  <si>
    <t>000-00-9347</t>
  </si>
  <si>
    <t>000-00-3374</t>
  </si>
  <si>
    <t>000-00-7495</t>
  </si>
  <si>
    <t>000-00-4396</t>
  </si>
  <si>
    <t>000-00-9719</t>
  </si>
  <si>
    <t>000-00-9471</t>
  </si>
  <si>
    <t>000-00-3448</t>
  </si>
  <si>
    <t>000-00-0253</t>
  </si>
  <si>
    <t>000-00-9043</t>
  </si>
  <si>
    <t>000-00-2374</t>
  </si>
  <si>
    <t>000-00-5061</t>
  </si>
  <si>
    <t>119-78-3124</t>
  </si>
  <si>
    <t>000-00-4021</t>
  </si>
  <si>
    <t>000-00-4419</t>
  </si>
  <si>
    <t>083-62-5171</t>
  </si>
  <si>
    <t>000-00-2747</t>
  </si>
  <si>
    <t>000-00-8036</t>
  </si>
  <si>
    <t>000-00-3998</t>
  </si>
  <si>
    <t>093-58-2919</t>
  </si>
  <si>
    <t>080-48-6251</t>
  </si>
  <si>
    <t>000-00-0263</t>
  </si>
  <si>
    <t>000-00-3950</t>
  </si>
  <si>
    <t>000-00-5590</t>
  </si>
  <si>
    <t>000-00-6112</t>
  </si>
  <si>
    <t>000-00-9453</t>
  </si>
  <si>
    <t>052-64-5107</t>
  </si>
  <si>
    <t>000-00-6119</t>
  </si>
  <si>
    <t>000-00-3611</t>
  </si>
  <si>
    <t>000-00-2938</t>
  </si>
  <si>
    <t>000-00-0169</t>
  </si>
  <si>
    <t>000-00-6911</t>
  </si>
  <si>
    <t>000-00-2344</t>
  </si>
  <si>
    <t>000-00-5032</t>
  </si>
  <si>
    <t>107-52-2379</t>
  </si>
  <si>
    <t>000-00-1455</t>
  </si>
  <si>
    <t>000-00-8978</t>
  </si>
  <si>
    <t>000-00-8850</t>
  </si>
  <si>
    <t>000-00-1161</t>
  </si>
  <si>
    <t>000-00-9913</t>
  </si>
  <si>
    <t>000-00-7768</t>
  </si>
  <si>
    <t>000-00-7955</t>
  </si>
  <si>
    <t>129-84-1261</t>
  </si>
  <si>
    <t>083-54-1408</t>
  </si>
  <si>
    <t>093-58-7403</t>
  </si>
  <si>
    <t>057-50-8883</t>
  </si>
  <si>
    <t>102-82-2436</t>
  </si>
  <si>
    <t>059-92-5473</t>
  </si>
  <si>
    <t>029-78-6686</t>
  </si>
  <si>
    <t>636-30-9073</t>
  </si>
  <si>
    <t>000-00-1791</t>
  </si>
  <si>
    <t>370-02-4297</t>
  </si>
  <si>
    <t>127-58-0075</t>
  </si>
  <si>
    <t>063-86-9717</t>
  </si>
  <si>
    <t>095-62-0441</t>
  </si>
  <si>
    <t>076-62-1536</t>
  </si>
  <si>
    <t>111-78-6454</t>
  </si>
  <si>
    <t>071-78-0702</t>
  </si>
  <si>
    <t>125-52-9743</t>
  </si>
  <si>
    <t>096-30-3788</t>
  </si>
  <si>
    <t>068-80-3486</t>
  </si>
  <si>
    <t>115-40-5657</t>
  </si>
  <si>
    <t>000-00-7769</t>
  </si>
  <si>
    <t>126-46-9829</t>
  </si>
  <si>
    <t>052-84-4489</t>
  </si>
  <si>
    <t>584-81-9917</t>
  </si>
  <si>
    <t>069-56-7340</t>
  </si>
  <si>
    <t>105-54-7293</t>
  </si>
  <si>
    <t>082-68-7685</t>
  </si>
  <si>
    <t>065-76-9244</t>
  </si>
  <si>
    <t>132-64-4170</t>
  </si>
  <si>
    <t>596-80-4088</t>
  </si>
  <si>
    <t>125-96-6499</t>
  </si>
  <si>
    <t>815-06-8289</t>
  </si>
  <si>
    <t>122-64-1499</t>
  </si>
  <si>
    <t>133-90-1531</t>
  </si>
  <si>
    <t>112-68-8686</t>
  </si>
  <si>
    <t>125-66-9555</t>
  </si>
  <si>
    <t>056-94-0546</t>
  </si>
  <si>
    <t>062-60-0326</t>
  </si>
  <si>
    <t>134-24-4336</t>
  </si>
  <si>
    <t>131-84-0852</t>
  </si>
  <si>
    <t>123-88-5190</t>
  </si>
  <si>
    <t>118-94-9395</t>
  </si>
  <si>
    <t>131-56-1016</t>
  </si>
  <si>
    <t>063-60-7925</t>
  </si>
  <si>
    <t>083-82-6627</t>
  </si>
  <si>
    <t>111-54-8096</t>
  </si>
  <si>
    <t>102-72-7298</t>
  </si>
  <si>
    <t>104-72-4741</t>
  </si>
  <si>
    <t>099-86-9746</t>
  </si>
  <si>
    <t>055-74-6359</t>
  </si>
  <si>
    <t>114-86-2459</t>
  </si>
  <si>
    <t>132-68-8334</t>
  </si>
  <si>
    <t>101-02-7535</t>
  </si>
  <si>
    <t>092-40-3191</t>
  </si>
  <si>
    <t>582-58-6957</t>
  </si>
  <si>
    <t>051-84-0592</t>
  </si>
  <si>
    <t>053-46-7871</t>
  </si>
  <si>
    <t>104-76-2279</t>
  </si>
  <si>
    <t>000-00-0856</t>
  </si>
  <si>
    <t>101-50-5485</t>
  </si>
  <si>
    <t>053-68-6794</t>
  </si>
  <si>
    <t>098-74-8086</t>
  </si>
  <si>
    <t>087-36-8940</t>
  </si>
  <si>
    <t>108-48-7632</t>
  </si>
  <si>
    <t>050-62-1204</t>
  </si>
  <si>
    <t>597-36-3875</t>
  </si>
  <si>
    <t>584-38-9148</t>
  </si>
  <si>
    <t>080-74-4865</t>
  </si>
  <si>
    <t>119-78-7877</t>
  </si>
  <si>
    <t>063-74-4893</t>
  </si>
  <si>
    <t>055-56-6934</t>
  </si>
  <si>
    <t>079-52-9496</t>
  </si>
  <si>
    <t>226-31-6509</t>
  </si>
  <si>
    <t>185-70-7368</t>
  </si>
  <si>
    <t>077-80-7718</t>
  </si>
  <si>
    <t>102-94-4041</t>
  </si>
  <si>
    <t>088-86-3821</t>
  </si>
  <si>
    <t>105-82-0815</t>
  </si>
  <si>
    <t>184-76-4980</t>
  </si>
  <si>
    <t>100-80-3501</t>
  </si>
  <si>
    <t>095-50-3397</t>
  </si>
  <si>
    <t>115-74-1716</t>
  </si>
  <si>
    <t>580-12-9696</t>
  </si>
  <si>
    <t>065-84-8829</t>
  </si>
  <si>
    <t>096-62-9095</t>
  </si>
  <si>
    <t>396-71-4699</t>
  </si>
  <si>
    <t>138-32-3136</t>
  </si>
  <si>
    <t>132-58-0962</t>
  </si>
  <si>
    <t>400-83-5550</t>
  </si>
  <si>
    <t>070-74-2979</t>
  </si>
  <si>
    <t>060-78-0248</t>
  </si>
  <si>
    <t>056-58-1097</t>
  </si>
  <si>
    <t>098-74-4841</t>
  </si>
  <si>
    <t>052-84-5160</t>
  </si>
  <si>
    <t>581-27-6802</t>
  </si>
  <si>
    <t>108-66-2844</t>
  </si>
  <si>
    <t>580-15-7188</t>
  </si>
  <si>
    <t>090-76-1846</t>
  </si>
  <si>
    <t>075-66-2078</t>
  </si>
  <si>
    <t>134-74-0399</t>
  </si>
  <si>
    <t>089-98-2290</t>
  </si>
  <si>
    <t>040-68-3997</t>
  </si>
  <si>
    <t>629-98-8503</t>
  </si>
  <si>
    <t>092-96-5162</t>
  </si>
  <si>
    <t>080-76-4104</t>
  </si>
  <si>
    <t>365-08-9731</t>
  </si>
  <si>
    <t>079-94-0928</t>
  </si>
  <si>
    <t>070-70-4565</t>
  </si>
  <si>
    <t>000-00-1046</t>
  </si>
  <si>
    <t>000-00-2474</t>
  </si>
  <si>
    <t>038-62-6383</t>
  </si>
  <si>
    <t>095-58-1445</t>
  </si>
  <si>
    <t>124-82-0074</t>
  </si>
  <si>
    <t>073-66-3645</t>
  </si>
  <si>
    <t>098-46-8928</t>
  </si>
  <si>
    <t>345-57-9878</t>
  </si>
  <si>
    <t>102-54-2564</t>
  </si>
  <si>
    <t>083-86-0414</t>
  </si>
  <si>
    <t>063-34-8571</t>
  </si>
  <si>
    <t>103-62-1266</t>
  </si>
  <si>
    <t>565-65-4436</t>
  </si>
  <si>
    <t>265-19-7826</t>
  </si>
  <si>
    <t>073-52-2636</t>
  </si>
  <si>
    <t>251-92-1027</t>
  </si>
  <si>
    <t>117-64-0242</t>
  </si>
  <si>
    <t>088-52-5022</t>
  </si>
  <si>
    <t>073-48-3861</t>
  </si>
  <si>
    <t>213-60-4774</t>
  </si>
  <si>
    <t>363-11-2780</t>
  </si>
  <si>
    <t>064-70-3721</t>
  </si>
  <si>
    <t>133-70-1018</t>
  </si>
  <si>
    <t>118-60-3997</t>
  </si>
  <si>
    <t>050-02-2676</t>
  </si>
  <si>
    <t>520-33-2846</t>
  </si>
  <si>
    <t>108-94-4195</t>
  </si>
  <si>
    <t>098-56-7228</t>
  </si>
  <si>
    <t>127-70-9989</t>
  </si>
  <si>
    <t>066-98-2853</t>
  </si>
  <si>
    <t>057-88-6806</t>
  </si>
  <si>
    <t>097-80-9059</t>
  </si>
  <si>
    <t>144-82-1732</t>
  </si>
  <si>
    <t>599-18-1018</t>
  </si>
  <si>
    <t>056-62-5426</t>
  </si>
  <si>
    <t>592-49-4307</t>
  </si>
  <si>
    <t>094-74-1986</t>
  </si>
  <si>
    <t>095-84-6257</t>
  </si>
  <si>
    <t>101-50-9902</t>
  </si>
  <si>
    <t>051-98-5130</t>
  </si>
  <si>
    <t>111-54-2643</t>
  </si>
  <si>
    <t>114-68-7244</t>
  </si>
  <si>
    <t>050-74-6484</t>
  </si>
  <si>
    <t>579-74-5654</t>
  </si>
  <si>
    <t>264-72-8253</t>
  </si>
  <si>
    <t>581-36-0198</t>
  </si>
  <si>
    <t>731-01-6741</t>
  </si>
  <si>
    <t>101-64-5055</t>
  </si>
  <si>
    <t>141-40-7739</t>
  </si>
  <si>
    <t>107-96-0966</t>
  </si>
  <si>
    <t>130-58-9511</t>
  </si>
  <si>
    <t>095-78-5554</t>
  </si>
  <si>
    <t>449-94-2903</t>
  </si>
  <si>
    <t>056-50-8731</t>
  </si>
  <si>
    <t>124-64-4105</t>
  </si>
  <si>
    <t>598-07-0243</t>
  </si>
  <si>
    <t>060-82-7579</t>
  </si>
  <si>
    <t>074-02-1980</t>
  </si>
  <si>
    <t>304-39-0695</t>
  </si>
  <si>
    <t>082-68-9614</t>
  </si>
  <si>
    <t>070-58-9030</t>
  </si>
  <si>
    <t>094-30-0378</t>
  </si>
  <si>
    <t>000-00-0335</t>
  </si>
  <si>
    <t>064-78-8113</t>
  </si>
  <si>
    <t>095-86-8210</t>
  </si>
  <si>
    <t>133-84-5346</t>
  </si>
  <si>
    <t>078-62-2259</t>
  </si>
  <si>
    <t>064-92-3155</t>
  </si>
  <si>
    <t>079-56-7160</t>
  </si>
  <si>
    <t>078-58-6780</t>
  </si>
  <si>
    <t>103-62-8929</t>
  </si>
  <si>
    <t>054-96-0616</t>
  </si>
  <si>
    <t>065-54-1338</t>
  </si>
  <si>
    <t>566-51-9857</t>
  </si>
  <si>
    <t>062-66-0224</t>
  </si>
  <si>
    <t>071-94-6569</t>
  </si>
  <si>
    <t>070-44-3573</t>
  </si>
  <si>
    <t>075-44-5338</t>
  </si>
  <si>
    <t>084-66-6456</t>
  </si>
  <si>
    <t>081-42-8884</t>
  </si>
  <si>
    <t>100-54-1483</t>
  </si>
  <si>
    <t>096-91-6646</t>
  </si>
  <si>
    <t>000-00-1191</t>
  </si>
  <si>
    <t>130-84-9281</t>
  </si>
  <si>
    <t>053-50-9365</t>
  </si>
  <si>
    <t>077-52-5194</t>
  </si>
  <si>
    <t>589-21-0009</t>
  </si>
  <si>
    <t>050-70-9173</t>
  </si>
  <si>
    <t>127-42-5246</t>
  </si>
  <si>
    <t>126-70-6635</t>
  </si>
  <si>
    <t>093-54-3485</t>
  </si>
  <si>
    <t>004-50-3096</t>
  </si>
  <si>
    <t>131-72-5981</t>
  </si>
  <si>
    <t>143-80-6877</t>
  </si>
  <si>
    <t>488-86-8906</t>
  </si>
  <si>
    <t>104-56-7593</t>
  </si>
  <si>
    <t>594-10-3068</t>
  </si>
  <si>
    <t>134-74-4803</t>
  </si>
  <si>
    <t>480-95-1126</t>
  </si>
  <si>
    <t>202-52-8921</t>
  </si>
  <si>
    <t>060-86-9675</t>
  </si>
  <si>
    <t>077-63-2837</t>
  </si>
  <si>
    <t>778-42-0831</t>
  </si>
  <si>
    <t>096-80-5390</t>
  </si>
  <si>
    <t>264-33-2178</t>
  </si>
  <si>
    <t>092-56-1149</t>
  </si>
  <si>
    <t>062-46-9787</t>
  </si>
  <si>
    <t>096-56-8928</t>
  </si>
  <si>
    <t>060-94-7521</t>
  </si>
  <si>
    <t>067-82-5544</t>
  </si>
  <si>
    <t>105-38-3489</t>
  </si>
  <si>
    <t>060-98-1525</t>
  </si>
  <si>
    <t>111-72-3196</t>
  </si>
  <si>
    <t>172-72-0533</t>
  </si>
  <si>
    <t>153-84-3504</t>
  </si>
  <si>
    <t>130-90-5496</t>
  </si>
  <si>
    <t>121-76-2781</t>
  </si>
  <si>
    <t>060-72-3658</t>
  </si>
  <si>
    <t>057-74-0140</t>
  </si>
  <si>
    <t>104-78-4668</t>
  </si>
  <si>
    <t>789-20-1829</t>
  </si>
  <si>
    <t>129-98-1610</t>
  </si>
  <si>
    <t>127-62-9497</t>
  </si>
  <si>
    <t>852-76-1521</t>
  </si>
  <si>
    <t>126-50-9103</t>
  </si>
  <si>
    <t>068-86-4909</t>
  </si>
  <si>
    <t>124-60-5761</t>
  </si>
  <si>
    <t>065-92-6785</t>
  </si>
  <si>
    <t>116-68-3613</t>
  </si>
  <si>
    <t>096-62-9631</t>
  </si>
  <si>
    <t>220-88-5955</t>
  </si>
  <si>
    <t>076-68-4649</t>
  </si>
  <si>
    <t>127-90-4104</t>
  </si>
  <si>
    <t>106-90-8646</t>
  </si>
  <si>
    <t>059-64-1353</t>
  </si>
  <si>
    <t>437-54-8938</t>
  </si>
  <si>
    <t>188-82-1129</t>
  </si>
  <si>
    <t>081-78-4358</t>
  </si>
  <si>
    <t>094-28-6895</t>
  </si>
  <si>
    <t>112-86-0038</t>
  </si>
  <si>
    <t>096-68-8758</t>
  </si>
  <si>
    <t>000-00-3017</t>
  </si>
  <si>
    <t>559-61-3676</t>
  </si>
  <si>
    <t>056-42-0193</t>
  </si>
  <si>
    <t>059-76-2550</t>
  </si>
  <si>
    <t>066-50-6743</t>
  </si>
  <si>
    <t>000-00-0090</t>
  </si>
  <si>
    <t>062-92-0009</t>
  </si>
  <si>
    <t>126-90-6353</t>
  </si>
  <si>
    <t>081-42-9034</t>
  </si>
  <si>
    <t>076-36-1528</t>
  </si>
  <si>
    <t>169-56-4442</t>
  </si>
  <si>
    <t>377-44-5253</t>
  </si>
  <si>
    <t>000-00-3572</t>
  </si>
  <si>
    <t>128-60-6027</t>
  </si>
  <si>
    <t>000-00-7654</t>
  </si>
  <si>
    <t>000-00-1610</t>
  </si>
  <si>
    <t>066-62-1776</t>
  </si>
  <si>
    <t>107-70-4564</t>
  </si>
  <si>
    <t>057-58-9677</t>
  </si>
  <si>
    <t>388-80-6109</t>
  </si>
  <si>
    <t>126-64-0664</t>
  </si>
  <si>
    <t>114-54-1395</t>
  </si>
  <si>
    <t>249-59-0600</t>
  </si>
  <si>
    <t>107-54-6273</t>
  </si>
  <si>
    <t>087-46-4284</t>
  </si>
  <si>
    <t>135-68-8694</t>
  </si>
  <si>
    <t>076-76-0436</t>
  </si>
  <si>
    <t>073-60-9285</t>
  </si>
  <si>
    <t>075-80-2680</t>
  </si>
  <si>
    <t>212-74-4678</t>
  </si>
  <si>
    <t>080-60-1055</t>
  </si>
  <si>
    <t>096-02-8371</t>
  </si>
  <si>
    <t>615-52-9782</t>
  </si>
  <si>
    <t>076-84-2075</t>
  </si>
  <si>
    <t>051-60-4333</t>
  </si>
  <si>
    <t>278-64-6455</t>
  </si>
  <si>
    <t>000-00-4346</t>
  </si>
  <si>
    <t>103-52-3573</t>
  </si>
  <si>
    <t>077-68-1380</t>
  </si>
  <si>
    <t>101-56-3909</t>
  </si>
  <si>
    <t>366-15-1474</t>
  </si>
  <si>
    <t>050-62-6967</t>
  </si>
  <si>
    <t>099-86-8767</t>
  </si>
  <si>
    <t>000-00-1695</t>
  </si>
  <si>
    <t>173-82-0363</t>
  </si>
  <si>
    <t>000-00-0052</t>
  </si>
  <si>
    <t>133-72-8788</t>
  </si>
  <si>
    <t>086-58-0143</t>
  </si>
  <si>
    <t>127-80-8987</t>
  </si>
  <si>
    <t>123-78-6569</t>
  </si>
  <si>
    <t>080-28-2652</t>
  </si>
  <si>
    <t>115-80-4883</t>
  </si>
  <si>
    <t>101-82-7827</t>
  </si>
  <si>
    <t>053-55-5009</t>
  </si>
  <si>
    <t>131-80-7574</t>
  </si>
  <si>
    <t>107-88-7755</t>
  </si>
  <si>
    <t>074-68-4844</t>
  </si>
  <si>
    <t>112-54-7479</t>
  </si>
  <si>
    <t>131-58-4010</t>
  </si>
  <si>
    <t>119-44-9956</t>
  </si>
  <si>
    <t>089-52-3108</t>
  </si>
  <si>
    <t>247-45-0026</t>
  </si>
  <si>
    <t>109-68-2398</t>
  </si>
  <si>
    <t>053-17-4451</t>
  </si>
  <si>
    <t>075-60-5658</t>
  </si>
  <si>
    <t>000-00-3866</t>
  </si>
  <si>
    <t>050-72-6338</t>
  </si>
  <si>
    <t>129-78-9305</t>
  </si>
  <si>
    <t>061-40-2510</t>
  </si>
  <si>
    <t>112-82-1708</t>
  </si>
  <si>
    <t>595-90-2529</t>
  </si>
  <si>
    <t>154-56-4875</t>
  </si>
  <si>
    <t>582-11-1431</t>
  </si>
  <si>
    <t>114-84-0996</t>
  </si>
  <si>
    <t>098-80-9284</t>
  </si>
  <si>
    <t>082-68-9060</t>
  </si>
  <si>
    <t>073-58-7703</t>
  </si>
  <si>
    <t>058-70-8746</t>
  </si>
  <si>
    <t>237-27-4586</t>
  </si>
  <si>
    <t>089-98-6673</t>
  </si>
  <si>
    <t>113-58-8333</t>
  </si>
  <si>
    <t>101-58-0972</t>
  </si>
  <si>
    <t>000-00-1808</t>
  </si>
  <si>
    <t>054-76-8223</t>
  </si>
  <si>
    <t>108-24-1469</t>
  </si>
  <si>
    <t>201-52-9974</t>
  </si>
  <si>
    <t>127-96-8585</t>
  </si>
  <si>
    <t>592-23-2977</t>
  </si>
  <si>
    <t>055-58-5915</t>
  </si>
  <si>
    <t>063-61-6226</t>
  </si>
  <si>
    <t>108-90-5966</t>
  </si>
  <si>
    <t>070-78-0985</t>
  </si>
  <si>
    <t>111-64-4095</t>
  </si>
  <si>
    <t>136-08-1027</t>
  </si>
  <si>
    <t>089-80-4656</t>
  </si>
  <si>
    <t>229-62-4459</t>
  </si>
  <si>
    <t>000-00-4154</t>
  </si>
  <si>
    <t>104-56-5421</t>
  </si>
  <si>
    <t>000-00-2182</t>
  </si>
  <si>
    <t>133-72-4043</t>
  </si>
  <si>
    <t>023-58-6984</t>
  </si>
  <si>
    <t>133-96-8598</t>
  </si>
  <si>
    <t>266-60-4997</t>
  </si>
  <si>
    <t>087-54-2642</t>
  </si>
  <si>
    <t>089-02-4592</t>
  </si>
  <si>
    <t>096-60-1509</t>
  </si>
  <si>
    <t>088-34-2635</t>
  </si>
  <si>
    <t>086-66-3542</t>
  </si>
  <si>
    <t>061-52-8491</t>
  </si>
  <si>
    <t>226-96-0746</t>
  </si>
  <si>
    <t>085-80-8676</t>
  </si>
  <si>
    <t>223-76-2711</t>
  </si>
  <si>
    <t>000-00-4333</t>
  </si>
  <si>
    <t>114-74-7438</t>
  </si>
  <si>
    <t>106-92-0713</t>
  </si>
  <si>
    <t>224-49-5630</t>
  </si>
  <si>
    <t>091-86-3756</t>
  </si>
  <si>
    <t>091-58-8213</t>
  </si>
  <si>
    <t>112-36-4343</t>
  </si>
  <si>
    <t>252-53-2950</t>
  </si>
  <si>
    <t>050-78-3070</t>
  </si>
  <si>
    <t>134-94-2465</t>
  </si>
  <si>
    <t>000-00-8205</t>
  </si>
  <si>
    <t>113-56-6702</t>
  </si>
  <si>
    <t>081-88-8741</t>
  </si>
  <si>
    <t>112-56-6703</t>
  </si>
  <si>
    <t>000-00-7391</t>
  </si>
  <si>
    <t>021-48-6799</t>
  </si>
  <si>
    <t>585-52-6909</t>
  </si>
  <si>
    <t>087-46-8354</t>
  </si>
  <si>
    <t>055-78-8732</t>
  </si>
  <si>
    <t>081-56-8075</t>
  </si>
  <si>
    <t>095-64-0827</t>
  </si>
  <si>
    <t>584-04-4938</t>
  </si>
  <si>
    <t>108-60-7326</t>
  </si>
  <si>
    <t>127-70-1754</t>
  </si>
  <si>
    <t>128-56-1362</t>
  </si>
  <si>
    <t>079-80-4071</t>
  </si>
  <si>
    <t>055-50-9311</t>
  </si>
  <si>
    <t>086-66-3833</t>
  </si>
  <si>
    <t>093-64-5241</t>
  </si>
  <si>
    <t>059-84-9201</t>
  </si>
  <si>
    <t>088-92-4018</t>
  </si>
  <si>
    <t>000-00-5506</t>
  </si>
  <si>
    <t>073-76-2274</t>
  </si>
  <si>
    <t>113-64-6007</t>
  </si>
  <si>
    <t>074-66-8302</t>
  </si>
  <si>
    <t>131-78-7542</t>
  </si>
  <si>
    <t>116-56-4560</t>
  </si>
  <si>
    <t>134-64-8828</t>
  </si>
  <si>
    <t>064-42-1609</t>
  </si>
  <si>
    <t>098-48-1103</t>
  </si>
  <si>
    <t>249-06-3754</t>
  </si>
  <si>
    <t>071-44-5622</t>
  </si>
  <si>
    <t>120-86-0742</t>
  </si>
  <si>
    <t>162-64-2046</t>
  </si>
  <si>
    <t>396-84-0330</t>
  </si>
  <si>
    <t>121-56-5454</t>
  </si>
  <si>
    <t>073-58-8720</t>
  </si>
  <si>
    <t>079-58-8816</t>
  </si>
  <si>
    <t>117-50-0908</t>
  </si>
  <si>
    <t>009-62-0194</t>
  </si>
  <si>
    <t>118-34-4519</t>
  </si>
  <si>
    <t>109-46-3260</t>
  </si>
  <si>
    <t>051-78-2283</t>
  </si>
  <si>
    <t>055-60-6864</t>
  </si>
  <si>
    <t>045-78-8615</t>
  </si>
  <si>
    <t>766-94-1025</t>
  </si>
  <si>
    <t>055-82-0445</t>
  </si>
  <si>
    <t>446-49-6349</t>
  </si>
  <si>
    <t>082-84-2195</t>
  </si>
  <si>
    <t>060-62-4199</t>
  </si>
  <si>
    <t>265-97-4756</t>
  </si>
  <si>
    <t>050-84-7014</t>
  </si>
  <si>
    <t>128-64-6201</t>
  </si>
  <si>
    <t>580-06-1702</t>
  </si>
  <si>
    <t>594-44-1310</t>
  </si>
  <si>
    <t>072-58-3005</t>
  </si>
  <si>
    <t>071-58-9410</t>
  </si>
  <si>
    <t>110-52-9682</t>
  </si>
  <si>
    <t>121-40-9984</t>
  </si>
  <si>
    <t>090-62-1826</t>
  </si>
  <si>
    <t>080-66-5130</t>
  </si>
  <si>
    <t>112-84-1086</t>
  </si>
  <si>
    <t>099-68-9831</t>
  </si>
  <si>
    <t>091-70-6674</t>
  </si>
  <si>
    <t>591-33-5564</t>
  </si>
  <si>
    <t>108-84-0160</t>
  </si>
  <si>
    <t>083-58-9328</t>
  </si>
  <si>
    <t>000-00-1685</t>
  </si>
  <si>
    <t>130-42-8395</t>
  </si>
  <si>
    <t>081-60-6786</t>
  </si>
  <si>
    <t>104-54-1265</t>
  </si>
  <si>
    <t>000-00-8410</t>
  </si>
  <si>
    <t>112-60-8076</t>
  </si>
  <si>
    <t>000-00-5441</t>
  </si>
  <si>
    <t>113-80-1348</t>
  </si>
  <si>
    <t>237-76-0635</t>
  </si>
  <si>
    <t>063-56-2347</t>
  </si>
  <si>
    <t>111-58-7612</t>
  </si>
  <si>
    <t>040-72-1332</t>
  </si>
  <si>
    <t>120-64-8760</t>
  </si>
  <si>
    <t>657-20-3910</t>
  </si>
  <si>
    <t>123-62-8361</t>
  </si>
  <si>
    <t>089-66-4270</t>
  </si>
  <si>
    <t>095-68-0570</t>
  </si>
  <si>
    <t>051-54-9985</t>
  </si>
  <si>
    <t>000-00-4319</t>
  </si>
  <si>
    <t>000-00-3460</t>
  </si>
  <si>
    <t>087-60-6096</t>
  </si>
  <si>
    <t>127-62-6611</t>
  </si>
  <si>
    <t>000-00-4702</t>
  </si>
  <si>
    <t>000-00-0470</t>
  </si>
  <si>
    <t>051-74-6109</t>
  </si>
  <si>
    <t>066-50-4847</t>
  </si>
  <si>
    <t>058-36-8259</t>
  </si>
  <si>
    <t>000-00-5360</t>
  </si>
  <si>
    <t>484-89-7181</t>
  </si>
  <si>
    <t>106-56-4025</t>
  </si>
  <si>
    <t>083-42-4786</t>
  </si>
  <si>
    <t>066-90-2544</t>
  </si>
  <si>
    <t>072-90-3722</t>
  </si>
  <si>
    <t>055-52-8581</t>
  </si>
  <si>
    <t>144-90-2762</t>
  </si>
  <si>
    <t>533-02-5177</t>
  </si>
  <si>
    <t>000-00-5176</t>
  </si>
  <si>
    <t>097-68-9952</t>
  </si>
  <si>
    <t>575-06-1167</t>
  </si>
  <si>
    <t>103-48-0616</t>
  </si>
  <si>
    <t>066-84-2062</t>
  </si>
  <si>
    <t>388-77-2942</t>
  </si>
  <si>
    <t>139-80-4173</t>
  </si>
  <si>
    <t>052-94-0705</t>
  </si>
  <si>
    <t>112-64-9330</t>
  </si>
  <si>
    <t>064-50-6133</t>
  </si>
  <si>
    <t>559-95-7479</t>
  </si>
  <si>
    <t>581-89-9641</t>
  </si>
  <si>
    <t>131-68-1204</t>
  </si>
  <si>
    <t>211-64-3498</t>
  </si>
  <si>
    <t>000-00-0817</t>
  </si>
  <si>
    <t>000-00-0850</t>
  </si>
  <si>
    <t>085-80-6100</t>
  </si>
  <si>
    <t>098-52-2479</t>
  </si>
  <si>
    <t>000-00-3980</t>
  </si>
  <si>
    <t>109-80-4088</t>
  </si>
  <si>
    <t>109-70-5806</t>
  </si>
  <si>
    <t>054-48-2367</t>
  </si>
  <si>
    <t>096-92-6765</t>
  </si>
  <si>
    <t>083-46-1159</t>
  </si>
  <si>
    <t>083-58-0070</t>
  </si>
  <si>
    <t>072-66-0742</t>
  </si>
  <si>
    <t>134-78-3629</t>
  </si>
  <si>
    <t>068-58-2289</t>
  </si>
  <si>
    <t>094-70-4982</t>
  </si>
  <si>
    <t>000-00-4698</t>
  </si>
  <si>
    <t>000-00-9828</t>
  </si>
  <si>
    <t>127-90-6815</t>
  </si>
  <si>
    <t>082-72-2682</t>
  </si>
  <si>
    <t>265-91-8688</t>
  </si>
  <si>
    <t>133-52-1316</t>
  </si>
  <si>
    <t>099-62-5279</t>
  </si>
  <si>
    <t>063-42-0339</t>
  </si>
  <si>
    <t>080-52-1219</t>
  </si>
  <si>
    <t>071-30-9561</t>
  </si>
  <si>
    <t>073-68-7147</t>
  </si>
  <si>
    <t>121-76-9179</t>
  </si>
  <si>
    <t>052-58-8433</t>
  </si>
  <si>
    <t>079-72-2864</t>
  </si>
  <si>
    <t>103-92-8022</t>
  </si>
  <si>
    <t>583-25-0092</t>
  </si>
  <si>
    <t>088-68-3276</t>
  </si>
  <si>
    <t>070-58-9027</t>
  </si>
  <si>
    <t>094-62-0956</t>
  </si>
  <si>
    <t>134-38-8020</t>
  </si>
  <si>
    <t>124-60-7918</t>
  </si>
  <si>
    <t>099-44-0354</t>
  </si>
  <si>
    <t>059-60-1045</t>
  </si>
  <si>
    <t>115-62-1505</t>
  </si>
  <si>
    <t>596-36-2049</t>
  </si>
  <si>
    <t>000-00-7459</t>
  </si>
  <si>
    <t>113-54-7784</t>
  </si>
  <si>
    <t>114-62-0136</t>
  </si>
  <si>
    <t>055-66-6432</t>
  </si>
  <si>
    <t>134-70-9609</t>
  </si>
  <si>
    <t>508-31-8560</t>
  </si>
  <si>
    <t>043-96-7966</t>
  </si>
  <si>
    <t>583-43-1376</t>
  </si>
  <si>
    <t>113-50-5177</t>
  </si>
  <si>
    <t>063-58-1737</t>
  </si>
  <si>
    <t>093-64-0179</t>
  </si>
  <si>
    <t>087-66-7932</t>
  </si>
  <si>
    <t>084-72-6492</t>
  </si>
  <si>
    <t>104-44-2710</t>
  </si>
  <si>
    <t>583-59-8907</t>
  </si>
  <si>
    <t>092-92-5865</t>
  </si>
  <si>
    <t>524-33-6825</t>
  </si>
  <si>
    <t>126-88-0164</t>
  </si>
  <si>
    <t>782-52-5870</t>
  </si>
  <si>
    <t>583-43-4308</t>
  </si>
  <si>
    <t>031-80-8322</t>
  </si>
  <si>
    <t>051-60-3628</t>
  </si>
  <si>
    <t>058-64-2069</t>
  </si>
  <si>
    <t>105-62-6872</t>
  </si>
  <si>
    <t>000-00-8579</t>
  </si>
  <si>
    <t>121-70-9208</t>
  </si>
  <si>
    <t>898-09-8285</t>
  </si>
  <si>
    <t>085-56-9979</t>
  </si>
  <si>
    <t>058-82-7879</t>
  </si>
  <si>
    <t>115-70-6626</t>
  </si>
  <si>
    <t>124-64-0572</t>
  </si>
  <si>
    <t>086-70-2737</t>
  </si>
  <si>
    <t>124-68-7619</t>
  </si>
  <si>
    <t>060-38-4289</t>
  </si>
  <si>
    <t>097-58-4723</t>
  </si>
  <si>
    <t>763-23-3347</t>
  </si>
  <si>
    <t>090-86-4714</t>
  </si>
  <si>
    <t>085-64-3493</t>
  </si>
  <si>
    <t>064-58-1538</t>
  </si>
  <si>
    <t>094-76-4280</t>
  </si>
  <si>
    <t>131-58-0627</t>
  </si>
  <si>
    <t>099-88-6456</t>
  </si>
  <si>
    <t>103-50-8117</t>
  </si>
  <si>
    <t>226-46-4513</t>
  </si>
  <si>
    <t>081-48-5940</t>
  </si>
  <si>
    <t>077-66-4911</t>
  </si>
  <si>
    <t>127-92-3286</t>
  </si>
  <si>
    <t>117-62-5673</t>
  </si>
  <si>
    <t>110-82-0988</t>
  </si>
  <si>
    <t>080-42-8254</t>
  </si>
  <si>
    <t>127-86-3379</t>
  </si>
  <si>
    <t>103-58-9582</t>
  </si>
  <si>
    <t>342-61-9299</t>
  </si>
  <si>
    <t>091-70-3667</t>
  </si>
  <si>
    <t>435-13-3913</t>
  </si>
  <si>
    <t>248-39-5269</t>
  </si>
  <si>
    <t>089-76-7592</t>
  </si>
  <si>
    <t>501-43-8377</t>
  </si>
  <si>
    <t>116-48-5269</t>
  </si>
  <si>
    <t>091-54-4122</t>
  </si>
  <si>
    <t>086-60-2573</t>
  </si>
  <si>
    <t>116-56-9672</t>
  </si>
  <si>
    <t>000-00-2721</t>
  </si>
  <si>
    <t>108-74-1290</t>
  </si>
  <si>
    <t>107-60-8386</t>
  </si>
  <si>
    <t>099-52-9249</t>
  </si>
  <si>
    <t>119-74-3344</t>
  </si>
  <si>
    <t>091-74-1334</t>
  </si>
  <si>
    <t>058-90-1882</t>
  </si>
  <si>
    <t>085-58-5276</t>
  </si>
  <si>
    <t>078-68-1593</t>
  </si>
  <si>
    <t>098-82-4609</t>
  </si>
  <si>
    <t>098-48-0460</t>
  </si>
  <si>
    <t>126-76-6449</t>
  </si>
  <si>
    <t>069-64-6006</t>
  </si>
  <si>
    <t>071-96-6216</t>
  </si>
  <si>
    <t>579-72-3810</t>
  </si>
  <si>
    <t>052-66-2659</t>
  </si>
  <si>
    <t>081-58-7062</t>
  </si>
  <si>
    <t>058-50-4881</t>
  </si>
  <si>
    <t>100-90-5262</t>
  </si>
  <si>
    <t>106-60-9200</t>
  </si>
  <si>
    <t>410-02-2851</t>
  </si>
  <si>
    <t>101-48-8286</t>
  </si>
  <si>
    <t>070-60-6237</t>
  </si>
  <si>
    <t>081-22-9391</t>
  </si>
  <si>
    <t>090-58-8713</t>
  </si>
  <si>
    <t>132-80-0317</t>
  </si>
  <si>
    <t>086-74-1496</t>
  </si>
  <si>
    <t>084-62-7554</t>
  </si>
  <si>
    <t>111-64-1148</t>
  </si>
  <si>
    <t>000-00-4712</t>
  </si>
  <si>
    <t>133-98-3438</t>
  </si>
  <si>
    <t>103-60-2012</t>
  </si>
  <si>
    <t>051-72-9794</t>
  </si>
  <si>
    <t>082-30-7676</t>
  </si>
  <si>
    <t>077-60-0723</t>
  </si>
  <si>
    <t>060-80-8251</t>
  </si>
  <si>
    <t>125-60-1234</t>
  </si>
  <si>
    <t>072-46-9782</t>
  </si>
  <si>
    <t>098-78-9042</t>
  </si>
  <si>
    <t>000-00-8802</t>
  </si>
  <si>
    <t>094-82-1816</t>
  </si>
  <si>
    <t>081-86-0909</t>
  </si>
  <si>
    <t>594-97-6380</t>
  </si>
  <si>
    <t>583-95-3778</t>
  </si>
  <si>
    <t>094-88-9010</t>
  </si>
  <si>
    <t>069-54-4391</t>
  </si>
  <si>
    <t>115-70-6241</t>
  </si>
  <si>
    <t>122-78-2437</t>
  </si>
  <si>
    <t>182-82-9619</t>
  </si>
  <si>
    <t>065-66-7103</t>
  </si>
  <si>
    <t>506-78-4469</t>
  </si>
  <si>
    <t>067-46-2075</t>
  </si>
  <si>
    <t>108-74-8706</t>
  </si>
  <si>
    <t>108-56-8100</t>
  </si>
  <si>
    <t>091-02-7583</t>
  </si>
  <si>
    <t>110-46-6451</t>
  </si>
  <si>
    <t>105-88-9070</t>
  </si>
  <si>
    <t>101-58-2883</t>
  </si>
  <si>
    <t>075-44-4203</t>
  </si>
  <si>
    <t>082-60-0855</t>
  </si>
  <si>
    <t>123-80-1461</t>
  </si>
  <si>
    <t>450-94-8819</t>
  </si>
  <si>
    <t>111-82-4811</t>
  </si>
  <si>
    <t>000-00-4489</t>
  </si>
  <si>
    <t>053-80-7348</t>
  </si>
  <si>
    <t>094-84-0046</t>
  </si>
  <si>
    <t>087-44-8499</t>
  </si>
  <si>
    <t>150-70-3291</t>
  </si>
  <si>
    <t>058-82-6712</t>
  </si>
  <si>
    <t>591-76-2045</t>
  </si>
  <si>
    <t>106-86-0266</t>
  </si>
  <si>
    <t>089-68-8370</t>
  </si>
  <si>
    <t>074-68-2426</t>
  </si>
  <si>
    <t>181-56-4743</t>
  </si>
  <si>
    <t>093-54-6997</t>
  </si>
  <si>
    <t>096-86-5539</t>
  </si>
  <si>
    <t>322-68-1907</t>
  </si>
  <si>
    <t>122-52-1686</t>
  </si>
  <si>
    <t>046-78-2435</t>
  </si>
  <si>
    <t>242-23-3481</t>
  </si>
  <si>
    <t>652-92-7053</t>
  </si>
  <si>
    <t>085-60-7941</t>
  </si>
  <si>
    <t>130-66-5370</t>
  </si>
  <si>
    <t>102-70-0809</t>
  </si>
  <si>
    <t>105-70-3929</t>
  </si>
  <si>
    <t>084-90-5965</t>
  </si>
  <si>
    <t>107-82-3211</t>
  </si>
  <si>
    <t>123-70-8001</t>
  </si>
  <si>
    <t>075-84-5728</t>
  </si>
  <si>
    <t>115-56-2955</t>
  </si>
  <si>
    <t>081-92-0995</t>
  </si>
  <si>
    <t>130-54-8351</t>
  </si>
  <si>
    <t>071-74-3304</t>
  </si>
  <si>
    <t>107-88-1548</t>
  </si>
  <si>
    <t>380-17-8127</t>
  </si>
  <si>
    <t>226-23-6865</t>
  </si>
  <si>
    <t>068-78-2655</t>
  </si>
  <si>
    <t>241-86-9861</t>
  </si>
  <si>
    <t>583-67-3773</t>
  </si>
  <si>
    <t>071-94-7454</t>
  </si>
  <si>
    <t>089-66-5716</t>
  </si>
  <si>
    <t>057-32-9702</t>
  </si>
  <si>
    <t>000-00-2350</t>
  </si>
  <si>
    <t>000-00-3679</t>
  </si>
  <si>
    <t>095-58-6335</t>
  </si>
  <si>
    <t>051-50-3328</t>
  </si>
  <si>
    <t>084-56-1962</t>
  </si>
  <si>
    <t>072-70-3917</t>
  </si>
  <si>
    <t>000-00-9069</t>
  </si>
  <si>
    <t>109-60-3767</t>
  </si>
  <si>
    <t>117-66-3185</t>
  </si>
  <si>
    <t>121-70-9821</t>
  </si>
  <si>
    <t>113-82-0557</t>
  </si>
  <si>
    <t>631-39-8740</t>
  </si>
  <si>
    <t>589-86-1957</t>
  </si>
  <si>
    <t>107-70-5705</t>
  </si>
  <si>
    <t>073-42-1573</t>
  </si>
  <si>
    <t>000-00-7820</t>
  </si>
  <si>
    <t>090-52-5920</t>
  </si>
  <si>
    <t>114-44-4066</t>
  </si>
  <si>
    <t>012-94-7599</t>
  </si>
  <si>
    <t>090-74-6151</t>
  </si>
  <si>
    <t>253-58-5839</t>
  </si>
  <si>
    <t>090-66-6457</t>
  </si>
  <si>
    <t>058-64-5447</t>
  </si>
  <si>
    <t>247-65-3776</t>
  </si>
  <si>
    <t>134-52-0306</t>
  </si>
  <si>
    <t>129-36-9464</t>
  </si>
  <si>
    <t>583-92-2307</t>
  </si>
  <si>
    <t>116-90-1326</t>
  </si>
  <si>
    <t>261-81-0339</t>
  </si>
  <si>
    <t>024-72-6802</t>
  </si>
  <si>
    <t>138-84-1738</t>
  </si>
  <si>
    <t>072-58-6470</t>
  </si>
  <si>
    <t>000-00-0909</t>
  </si>
  <si>
    <t>131-76-7675</t>
  </si>
  <si>
    <t>120-76-8774</t>
  </si>
  <si>
    <t>000-00-2769</t>
  </si>
  <si>
    <t>055-62-4471</t>
  </si>
  <si>
    <t>190-79-6456</t>
  </si>
  <si>
    <t>058-66-0515</t>
  </si>
  <si>
    <t>054-46-7968</t>
  </si>
  <si>
    <t>073-58-3546</t>
  </si>
  <si>
    <t>247-21-3525</t>
  </si>
  <si>
    <t>146-58-7345</t>
  </si>
  <si>
    <t>118-82-5273</t>
  </si>
  <si>
    <t>094-62-9600</t>
  </si>
  <si>
    <t>589-30-2888</t>
  </si>
  <si>
    <t>111-78-4271</t>
  </si>
  <si>
    <t>112-56-5141</t>
  </si>
  <si>
    <t>065-82-8316</t>
  </si>
  <si>
    <t>077-74-4382</t>
  </si>
  <si>
    <t>322-52-6510</t>
  </si>
  <si>
    <t>101-86-5057</t>
  </si>
  <si>
    <t>132-76-0254</t>
  </si>
  <si>
    <t>123-82-6213</t>
  </si>
  <si>
    <t>078-94-8800</t>
  </si>
  <si>
    <t>124-58-8780</t>
  </si>
  <si>
    <t>062-76-6188</t>
  </si>
  <si>
    <t>756-90-2601</t>
  </si>
  <si>
    <t>581-61-7794</t>
  </si>
  <si>
    <t>583-53-9806</t>
  </si>
  <si>
    <t>127-60-0651</t>
  </si>
  <si>
    <t>086-44-5514</t>
  </si>
  <si>
    <t>054-44-7253</t>
  </si>
  <si>
    <t>000-00-7776</t>
  </si>
  <si>
    <t>117-56-5975</t>
  </si>
  <si>
    <t>582-72-2980</t>
  </si>
  <si>
    <t>066-86-0706</t>
  </si>
  <si>
    <t>051-70-2573</t>
  </si>
  <si>
    <t>107-40-8467</t>
  </si>
  <si>
    <t>292-70-9083</t>
  </si>
  <si>
    <t>050-68-9370</t>
  </si>
  <si>
    <t>066-88-0136</t>
  </si>
  <si>
    <t>053-42-3849</t>
  </si>
  <si>
    <t>180-48-8557</t>
  </si>
  <si>
    <t>084-78-2051</t>
  </si>
  <si>
    <t>255-13-9166</t>
  </si>
  <si>
    <t>129-44-3638</t>
  </si>
  <si>
    <t>111-52-3704</t>
  </si>
  <si>
    <t>055-78-6308</t>
  </si>
  <si>
    <t>124-54-6077</t>
  </si>
  <si>
    <t>303-75-1782</t>
  </si>
  <si>
    <t>084-58-0994</t>
  </si>
  <si>
    <t>000-00-5081</t>
  </si>
  <si>
    <t>103-70-6864</t>
  </si>
  <si>
    <t>099-78-6640</t>
  </si>
  <si>
    <t>103-44-8486</t>
  </si>
  <si>
    <t>115-82-4234</t>
  </si>
  <si>
    <t>624-48-9372</t>
  </si>
  <si>
    <t>605-58-6615</t>
  </si>
  <si>
    <t>061-76-1669</t>
  </si>
  <si>
    <t>187-87-6083</t>
  </si>
  <si>
    <t>124-36-9866</t>
  </si>
  <si>
    <t>119-76-7166</t>
  </si>
  <si>
    <t>000-00-3350</t>
  </si>
  <si>
    <t>107-56-4358</t>
  </si>
  <si>
    <t>083-58-7244</t>
  </si>
  <si>
    <t>050-44-4902</t>
  </si>
  <si>
    <t>075-50-3447</t>
  </si>
  <si>
    <t>089-74-7333</t>
  </si>
  <si>
    <t>732-09-4918</t>
  </si>
  <si>
    <t>068-02-1761</t>
  </si>
  <si>
    <t>138-48-5750</t>
  </si>
  <si>
    <t>000-00-8580</t>
  </si>
  <si>
    <t>126-46-4291</t>
  </si>
  <si>
    <t>007-60-8523</t>
  </si>
  <si>
    <t>129-84-3577</t>
  </si>
  <si>
    <t>133-68-5429</t>
  </si>
  <si>
    <t>091-74-1446</t>
  </si>
  <si>
    <t>083-80-8833</t>
  </si>
  <si>
    <t>055-68-1924</t>
  </si>
  <si>
    <t>061-36-9896</t>
  </si>
  <si>
    <t>121-64-1047</t>
  </si>
  <si>
    <t>033-80-5439</t>
  </si>
  <si>
    <t>800-37-2198</t>
  </si>
  <si>
    <t>189-42-9366</t>
  </si>
  <si>
    <t>109-52-4370</t>
  </si>
  <si>
    <t>008-39-7973</t>
  </si>
  <si>
    <t>108-44-1073</t>
  </si>
  <si>
    <t>059-50-9440</t>
  </si>
  <si>
    <t>050-58-9359</t>
  </si>
  <si>
    <t>058-58-9581</t>
  </si>
  <si>
    <t>116-80-6090</t>
  </si>
  <si>
    <t>107-76-7714</t>
  </si>
  <si>
    <t>526-53-2305</t>
  </si>
  <si>
    <t>099-72-6148</t>
  </si>
  <si>
    <t>090-58-7104</t>
  </si>
  <si>
    <t>125-69-0064</t>
  </si>
  <si>
    <t>069-90-4969</t>
  </si>
  <si>
    <t>117-68-5342</t>
  </si>
  <si>
    <t>067-58-5824</t>
  </si>
  <si>
    <t>077-92-2600</t>
  </si>
  <si>
    <t>106-40-6068</t>
  </si>
  <si>
    <t>721-19-2910</t>
  </si>
  <si>
    <t>133-42-7977</t>
  </si>
  <si>
    <t>086-74-4623</t>
  </si>
  <si>
    <t>261-99-9673</t>
  </si>
  <si>
    <t>110-74-3746</t>
  </si>
  <si>
    <t>028-65-3197</t>
  </si>
  <si>
    <t>057-32-3290</t>
  </si>
  <si>
    <t>000-00-9260</t>
  </si>
  <si>
    <t>062-58-5219</t>
  </si>
  <si>
    <t>073-52-0422</t>
  </si>
  <si>
    <t>089-50-1391</t>
  </si>
  <si>
    <t>073-82-3154</t>
  </si>
  <si>
    <t>072-54-9513</t>
  </si>
  <si>
    <t>598-36-2982</t>
  </si>
  <si>
    <t>128-58-9598</t>
  </si>
  <si>
    <t>851-84-9355</t>
  </si>
  <si>
    <t>115-52-9844</t>
  </si>
  <si>
    <t>088-52-8875</t>
  </si>
  <si>
    <t>000-00-0803</t>
  </si>
  <si>
    <t>123-96-3167</t>
  </si>
  <si>
    <t>105-60-4676</t>
  </si>
  <si>
    <t>125-56-6586</t>
  </si>
  <si>
    <t>064-76-3979</t>
  </si>
  <si>
    <t>582-47-4732</t>
  </si>
  <si>
    <t>101-34-9096</t>
  </si>
  <si>
    <t>104-62-6194</t>
  </si>
  <si>
    <t>580-17-1861</t>
  </si>
  <si>
    <t>126-66-0969</t>
  </si>
  <si>
    <t>070-72-8723</t>
  </si>
  <si>
    <t>098-46-9892</t>
  </si>
  <si>
    <t>000-00-2912</t>
  </si>
  <si>
    <t>124-66-9959</t>
  </si>
  <si>
    <t>103-60-1837</t>
  </si>
  <si>
    <t>068-42-0500</t>
  </si>
  <si>
    <t>051-64-0801</t>
  </si>
  <si>
    <t>241-32-0651</t>
  </si>
  <si>
    <t>082-82-4816</t>
  </si>
  <si>
    <t>105-46-5265</t>
  </si>
  <si>
    <t>096-72-4556</t>
  </si>
  <si>
    <t>059-84-0506</t>
  </si>
  <si>
    <t>000-00-8500</t>
  </si>
  <si>
    <t>064-88-3192</t>
  </si>
  <si>
    <t>000-00-8121</t>
  </si>
  <si>
    <t>092-80-0078</t>
  </si>
  <si>
    <t>101-66-9277</t>
  </si>
  <si>
    <t>077-40-4467</t>
  </si>
  <si>
    <t>000-00-4166</t>
  </si>
  <si>
    <t>089-62-7111</t>
  </si>
  <si>
    <t>103-78-5381</t>
  </si>
  <si>
    <t>580-03-3662</t>
  </si>
  <si>
    <t>089-62-2962</t>
  </si>
  <si>
    <t>079-86-2667</t>
  </si>
  <si>
    <t>131-48-0705</t>
  </si>
  <si>
    <t>396-21-4898</t>
  </si>
  <si>
    <t>099-78-7356</t>
  </si>
  <si>
    <t>062-88-2771</t>
  </si>
  <si>
    <t>129-70-7365</t>
  </si>
  <si>
    <t>052-86-8163</t>
  </si>
  <si>
    <t>077-70-6898</t>
  </si>
  <si>
    <t>524-83-6334</t>
  </si>
  <si>
    <t>583-36-2741</t>
  </si>
  <si>
    <t>101-84-6894</t>
  </si>
  <si>
    <t>119-76-8672</t>
  </si>
  <si>
    <t>594-08-4435</t>
  </si>
  <si>
    <t>067-58-8394</t>
  </si>
  <si>
    <t>115-58-3361</t>
  </si>
  <si>
    <t>078-70-4361</t>
  </si>
  <si>
    <t>115-62-0545</t>
  </si>
  <si>
    <t>068-58-6046</t>
  </si>
  <si>
    <t>097-94-9885</t>
  </si>
  <si>
    <t>584-58-9893</t>
  </si>
  <si>
    <t>114-86-1844</t>
  </si>
  <si>
    <t>113-40-0001</t>
  </si>
  <si>
    <t>076-58-8477</t>
  </si>
  <si>
    <t>076-88-5240</t>
  </si>
  <si>
    <t>106-78-5587</t>
  </si>
  <si>
    <t>067-80-4785</t>
  </si>
  <si>
    <t>064-62-2628</t>
  </si>
  <si>
    <t>095-56-7750</t>
  </si>
  <si>
    <t>081-66-6412</t>
  </si>
  <si>
    <t>095-80-0021</t>
  </si>
  <si>
    <t>058-76-4870</t>
  </si>
  <si>
    <t>075-84-7287</t>
  </si>
  <si>
    <t>058-14-0641</t>
  </si>
  <si>
    <t>090-52-1993</t>
  </si>
  <si>
    <t>066-68-3190</t>
  </si>
  <si>
    <t>652-35-3960</t>
  </si>
  <si>
    <t>199-72-5029</t>
  </si>
  <si>
    <t>000-00-4025</t>
  </si>
  <si>
    <t>000-00-7860</t>
  </si>
  <si>
    <t>084-80-4844</t>
  </si>
  <si>
    <t>115-60-4516</t>
  </si>
  <si>
    <t>121-34-2079</t>
  </si>
  <si>
    <t>246-48-5210</t>
  </si>
  <si>
    <t>109-68-2515</t>
  </si>
  <si>
    <t>264-42-8200</t>
  </si>
  <si>
    <t>121-86-9780</t>
  </si>
  <si>
    <t>050-38-6165</t>
  </si>
  <si>
    <t>062-30-4838</t>
  </si>
  <si>
    <t>068-94-5441</t>
  </si>
  <si>
    <t>071-66-0335</t>
  </si>
  <si>
    <t>082-94-9028</t>
  </si>
  <si>
    <t>116-86-9605</t>
  </si>
  <si>
    <t>127-56-0705</t>
  </si>
  <si>
    <t>054-74-1530</t>
  </si>
  <si>
    <t>056-50-8110</t>
  </si>
  <si>
    <t>052-74-2156</t>
  </si>
  <si>
    <t>095-78-0272</t>
  </si>
  <si>
    <t>118-80-9538</t>
  </si>
  <si>
    <t>068-64-2775</t>
  </si>
  <si>
    <t>129-60-0035</t>
  </si>
  <si>
    <t>122-44-0909</t>
  </si>
  <si>
    <t>070-58-5036</t>
  </si>
  <si>
    <t>104-58-7034</t>
  </si>
  <si>
    <t>583-19-8271</t>
  </si>
  <si>
    <t>000-00-7302</t>
  </si>
  <si>
    <t>062-78-4303</t>
  </si>
  <si>
    <t>052-76-3219</t>
  </si>
  <si>
    <t>107-60-7386</t>
  </si>
  <si>
    <t>072-80-4509</t>
  </si>
  <si>
    <t>092-70-2794</t>
  </si>
  <si>
    <t>013-46-8918</t>
  </si>
  <si>
    <t>098-70-9428</t>
  </si>
  <si>
    <t>090-84-8536</t>
  </si>
  <si>
    <t>496-80-9334</t>
  </si>
  <si>
    <t>130-94-6350</t>
  </si>
  <si>
    <t>127-80-0883</t>
  </si>
  <si>
    <t>070-58-2552</t>
  </si>
  <si>
    <t>122-68-8118</t>
  </si>
  <si>
    <t>095-64-9501</t>
  </si>
  <si>
    <t>074-60-3890</t>
  </si>
  <si>
    <t>072-02-2146</t>
  </si>
  <si>
    <t>052-94-9781</t>
  </si>
  <si>
    <t>582-95-8815</t>
  </si>
  <si>
    <t>214-21-9825</t>
  </si>
  <si>
    <t>092-62-1292</t>
  </si>
  <si>
    <t>113-48-4818</t>
  </si>
  <si>
    <t>000-00-5448</t>
  </si>
  <si>
    <t>057-58-8097</t>
  </si>
  <si>
    <t>065-46-7136</t>
  </si>
  <si>
    <t>133-42-4944</t>
  </si>
  <si>
    <t>000-00-2215</t>
  </si>
  <si>
    <t>096-52-9797</t>
  </si>
  <si>
    <t>088-64-8063</t>
  </si>
  <si>
    <t>073-62-8001</t>
  </si>
  <si>
    <t>506-19-8262</t>
  </si>
  <si>
    <t>112-58-8256</t>
  </si>
  <si>
    <t>097-70-4954</t>
  </si>
  <si>
    <t>136-40-5984</t>
  </si>
  <si>
    <t>102-70-0396</t>
  </si>
  <si>
    <t>817-52-0708</t>
  </si>
  <si>
    <t>097-02-6681</t>
  </si>
  <si>
    <t>107-36-2755</t>
  </si>
  <si>
    <t>113-64-5213</t>
  </si>
  <si>
    <t>051-50-9673</t>
  </si>
  <si>
    <t>103-98-3540</t>
  </si>
  <si>
    <t>061-76-5040</t>
  </si>
  <si>
    <t>126-48-1193</t>
  </si>
  <si>
    <t>800-05-9584</t>
  </si>
  <si>
    <t>098-36-9473</t>
  </si>
  <si>
    <t>580-06-7408</t>
  </si>
  <si>
    <t>599-09-6781</t>
  </si>
  <si>
    <t>087-98-7369</t>
  </si>
  <si>
    <t>126-70-4806</t>
  </si>
  <si>
    <t>072-48-0958</t>
  </si>
  <si>
    <t>078-70-8077</t>
  </si>
  <si>
    <t>000-00-7238</t>
  </si>
  <si>
    <t>094-42-2727</t>
  </si>
  <si>
    <t>000-00-7477</t>
  </si>
  <si>
    <t>248-58-4210</t>
  </si>
  <si>
    <t>102-80-2657</t>
  </si>
  <si>
    <t>055-74-3181</t>
  </si>
  <si>
    <t>000-00-9134</t>
  </si>
  <si>
    <t>249-31-7145</t>
  </si>
  <si>
    <t>130-82-0614</t>
  </si>
  <si>
    <t>082-84-0484</t>
  </si>
  <si>
    <t>821-71-8398</t>
  </si>
  <si>
    <t>582-21-4189</t>
  </si>
  <si>
    <t>044-46-6715</t>
  </si>
  <si>
    <t>155-92-2265</t>
  </si>
  <si>
    <t>010-39-5097</t>
  </si>
  <si>
    <t>000-00-4041</t>
  </si>
  <si>
    <t>096-44-6253</t>
  </si>
  <si>
    <t>731-60-2105</t>
  </si>
  <si>
    <t>071-74-9882</t>
  </si>
  <si>
    <t>131-54-4818</t>
  </si>
  <si>
    <t>118-54-9197</t>
  </si>
  <si>
    <t>000-00-0161</t>
  </si>
  <si>
    <t>562-39-4465</t>
  </si>
  <si>
    <t>069-36-8166</t>
  </si>
  <si>
    <t>000-00-7920</t>
  </si>
  <si>
    <t>057-40-1599</t>
  </si>
  <si>
    <t>110-88-0893</t>
  </si>
  <si>
    <t>111-64-6480</t>
  </si>
  <si>
    <t>059-68-4507</t>
  </si>
  <si>
    <t>264-95-2138</t>
  </si>
  <si>
    <t>000-00-5698</t>
  </si>
  <si>
    <t>094-36-8911</t>
  </si>
  <si>
    <t>100-58-3180</t>
  </si>
  <si>
    <t>000-00-8501</t>
  </si>
  <si>
    <t>114-84-6243</t>
  </si>
  <si>
    <t>080-62-7068</t>
  </si>
  <si>
    <t>051-74-0395</t>
  </si>
  <si>
    <t>220-87-1550</t>
  </si>
  <si>
    <t>583-20-9761</t>
  </si>
  <si>
    <t>115-82-6556</t>
  </si>
  <si>
    <t>090-64-9473</t>
  </si>
  <si>
    <t>510-06-9487</t>
  </si>
  <si>
    <t>248-08-3303</t>
  </si>
  <si>
    <t>106-82-7737</t>
  </si>
  <si>
    <t>770-62-3816</t>
  </si>
  <si>
    <t>101-84-3087</t>
  </si>
  <si>
    <t>000-00-0088</t>
  </si>
  <si>
    <t>000-00-8867</t>
  </si>
  <si>
    <t>583-87-6587</t>
  </si>
  <si>
    <t>094-62-0574</t>
  </si>
  <si>
    <t>134-82-4362</t>
  </si>
  <si>
    <t>095-52-5472</t>
  </si>
  <si>
    <t>582-85-0348</t>
  </si>
  <si>
    <t>132-66-3874</t>
  </si>
  <si>
    <t>123-72-3552</t>
  </si>
  <si>
    <t>069-58-3444</t>
  </si>
  <si>
    <t>623-31-6461</t>
  </si>
  <si>
    <t>119-68-7333</t>
  </si>
  <si>
    <t>112-60-0630</t>
  </si>
  <si>
    <t>034-96-6978</t>
  </si>
  <si>
    <t>088-40-4958</t>
  </si>
  <si>
    <t>094-02-4447</t>
  </si>
  <si>
    <t>597-90-1857</t>
  </si>
  <si>
    <t>073-84-2312</t>
  </si>
  <si>
    <t>063-02-0054</t>
  </si>
  <si>
    <t>100-86-9804</t>
  </si>
  <si>
    <t>072-48-3608</t>
  </si>
  <si>
    <t>124-70-6162</t>
  </si>
  <si>
    <t>050-36-4896</t>
  </si>
  <si>
    <t>580-06-0521</t>
  </si>
  <si>
    <t>117-86-7703</t>
  </si>
  <si>
    <t>068-88-0329</t>
  </si>
  <si>
    <t>070-38-3229</t>
  </si>
  <si>
    <t>090-76-3577</t>
  </si>
  <si>
    <t>071-60-3379</t>
  </si>
  <si>
    <t>076-78-4036</t>
  </si>
  <si>
    <t>119-76-8183</t>
  </si>
  <si>
    <t>228-15-3714</t>
  </si>
  <si>
    <t>255-68-7755</t>
  </si>
  <si>
    <t>117-40-1020</t>
  </si>
  <si>
    <t>063-40-4088</t>
  </si>
  <si>
    <t>122-31-6934</t>
  </si>
  <si>
    <t>083-58-0756</t>
  </si>
  <si>
    <t>113-82-7204</t>
  </si>
  <si>
    <t>111-54-4706</t>
  </si>
  <si>
    <t>072-34-0944</t>
  </si>
  <si>
    <t>062-74-1805</t>
  </si>
  <si>
    <t>050-54-1744</t>
  </si>
  <si>
    <t>060-86-4923</t>
  </si>
  <si>
    <t>066-78-6248</t>
  </si>
  <si>
    <t>103-40-0668</t>
  </si>
  <si>
    <t>098-68-7437</t>
  </si>
  <si>
    <t>000-00-5931</t>
  </si>
  <si>
    <t>054-66-7249</t>
  </si>
  <si>
    <t>011-56-0807</t>
  </si>
  <si>
    <t>082-70-0674</t>
  </si>
  <si>
    <t>113-70-3037</t>
  </si>
  <si>
    <t>093-70-5592</t>
  </si>
  <si>
    <t>111-62-8639</t>
  </si>
  <si>
    <t>061-88-9029</t>
  </si>
  <si>
    <t>050-60-5363</t>
  </si>
  <si>
    <t>024-86-2987</t>
  </si>
  <si>
    <t>072-98-3866</t>
  </si>
  <si>
    <t>104-64-4861</t>
  </si>
  <si>
    <t>108-58-2856</t>
  </si>
  <si>
    <t>093-58-6703</t>
  </si>
  <si>
    <t>054-44-3973</t>
  </si>
  <si>
    <t>328-17-1445</t>
  </si>
  <si>
    <t>091-58-0883</t>
  </si>
  <si>
    <t>070-64-0953</t>
  </si>
  <si>
    <t>130-56-6148</t>
  </si>
  <si>
    <t>134-84-2399</t>
  </si>
  <si>
    <t>053-96-8916</t>
  </si>
  <si>
    <t>124-80-8730</t>
  </si>
  <si>
    <t>111-96-6197</t>
  </si>
  <si>
    <t>581-33-1827</t>
  </si>
  <si>
    <t>584-64-5210</t>
  </si>
  <si>
    <t>577-70-8930</t>
  </si>
  <si>
    <t>250-70-0191</t>
  </si>
  <si>
    <t>731-07-4373</t>
  </si>
  <si>
    <t>052-66-6059</t>
  </si>
  <si>
    <t>065-76-2563</t>
  </si>
  <si>
    <t>064-58-3110</t>
  </si>
  <si>
    <t>000-00-2847</t>
  </si>
  <si>
    <t>069-50-3620</t>
  </si>
  <si>
    <t>088-58-3164</t>
  </si>
  <si>
    <t>133-80-0885</t>
  </si>
  <si>
    <t>065-68-3898</t>
  </si>
  <si>
    <t>060-74-5338</t>
  </si>
  <si>
    <t>106-66-1123</t>
  </si>
  <si>
    <t>095-56-2187</t>
  </si>
  <si>
    <t>118-60-8351</t>
  </si>
  <si>
    <t>581-97-8110</t>
  </si>
  <si>
    <t>056-64-7054</t>
  </si>
  <si>
    <t>089-74-0134</t>
  </si>
  <si>
    <t>134-72-4348</t>
  </si>
  <si>
    <t>110-44-4092</t>
  </si>
  <si>
    <t>043-40-9912</t>
  </si>
  <si>
    <t>129-64-3973</t>
  </si>
  <si>
    <t>106-54-6706</t>
  </si>
  <si>
    <t>523-51-1786</t>
  </si>
  <si>
    <t>097-76-7381</t>
  </si>
  <si>
    <t>071-62-1700</t>
  </si>
  <si>
    <t>095-66-0324</t>
  </si>
  <si>
    <t>062-58-4985</t>
  </si>
  <si>
    <t>069-72-2385</t>
  </si>
  <si>
    <t>096-40-3493</t>
  </si>
  <si>
    <t>102-58-1093</t>
  </si>
  <si>
    <t>124-60-2806</t>
  </si>
  <si>
    <t>111-80-4063</t>
  </si>
  <si>
    <t>085-90-7913</t>
  </si>
  <si>
    <t>071-72-9886</t>
  </si>
  <si>
    <t>060-60-9575</t>
  </si>
  <si>
    <t>000-00-8401</t>
  </si>
  <si>
    <t>068-48-8077</t>
  </si>
  <si>
    <t>053-86-4475</t>
  </si>
  <si>
    <t>074-34-8785</t>
  </si>
  <si>
    <t>000-00-8016</t>
  </si>
  <si>
    <t>155-21-5264</t>
  </si>
  <si>
    <t>051-66-8752</t>
  </si>
  <si>
    <t>583-73-9075</t>
  </si>
  <si>
    <t>074-70-7665</t>
  </si>
  <si>
    <t>113-48-9823</t>
  </si>
  <si>
    <t>098-58-1834</t>
  </si>
  <si>
    <t>097-56-7596</t>
  </si>
  <si>
    <t>129-58-1361</t>
  </si>
  <si>
    <t>378-64-4029</t>
  </si>
  <si>
    <t>097-78-0773</t>
  </si>
  <si>
    <t>117-74-5533</t>
  </si>
  <si>
    <t>113-84-3296</t>
  </si>
  <si>
    <t>118-58-6824</t>
  </si>
  <si>
    <t>099-54-1285</t>
  </si>
  <si>
    <t>584-29-0900</t>
  </si>
  <si>
    <t>599-38-2271</t>
  </si>
  <si>
    <t>106-74-8743</t>
  </si>
  <si>
    <t>078-74-8726</t>
  </si>
  <si>
    <t>100-70-5093</t>
  </si>
  <si>
    <t>086-68-3578</t>
  </si>
  <si>
    <t>000-00-2555</t>
  </si>
  <si>
    <t>067-50-4827</t>
  </si>
  <si>
    <t>086-56-4204</t>
  </si>
  <si>
    <t>148-90-2035</t>
  </si>
  <si>
    <t>000-00-2167</t>
  </si>
  <si>
    <t>096-80-3449</t>
  </si>
  <si>
    <t>084-68-5274</t>
  </si>
  <si>
    <t>560-99-0154</t>
  </si>
  <si>
    <t>124-62-4817</t>
  </si>
  <si>
    <t>110-70-0815</t>
  </si>
  <si>
    <t>090-76-8422</t>
  </si>
  <si>
    <t>058-84-7445</t>
  </si>
  <si>
    <t>402-99-6728</t>
  </si>
  <si>
    <t>565-94-2045</t>
  </si>
  <si>
    <t>100-42-3095</t>
  </si>
  <si>
    <t>066-94-6598</t>
  </si>
  <si>
    <t>127-64-1503</t>
  </si>
  <si>
    <t>129-82-0168</t>
  </si>
  <si>
    <t>128-86-8187</t>
  </si>
  <si>
    <t>000-00-7059</t>
  </si>
  <si>
    <t>089-50-6280</t>
  </si>
  <si>
    <t>000-00-8452</t>
  </si>
  <si>
    <t>067-88-9607</t>
  </si>
  <si>
    <t>053-78-1010</t>
  </si>
  <si>
    <t>065-58-1847</t>
  </si>
  <si>
    <t>110-58-9327</t>
  </si>
  <si>
    <t>880-65-3923</t>
  </si>
  <si>
    <t>237-96-9372</t>
  </si>
  <si>
    <t>108-88-5615</t>
  </si>
  <si>
    <t>126-48-0868</t>
  </si>
  <si>
    <t>070-90-0415</t>
  </si>
  <si>
    <t>000-00-7396</t>
  </si>
  <si>
    <t>583-93-1313</t>
  </si>
  <si>
    <t>114-68-3698</t>
  </si>
  <si>
    <t>124-60-7774</t>
  </si>
  <si>
    <t>109-80-9205</t>
  </si>
  <si>
    <t>058-86-1392</t>
  </si>
  <si>
    <t>062-44-4746</t>
  </si>
  <si>
    <t>070-50-3572</t>
  </si>
  <si>
    <t>116-76-8758</t>
  </si>
  <si>
    <t>054-26-4400</t>
  </si>
  <si>
    <t>062-72-2482</t>
  </si>
  <si>
    <t>094-42-9972</t>
  </si>
  <si>
    <t>151-74-6497</t>
  </si>
  <si>
    <t>082-68-7748</t>
  </si>
  <si>
    <t>067-70-5700</t>
  </si>
  <si>
    <t>148-70-8244</t>
  </si>
  <si>
    <t>872-43-1243</t>
  </si>
  <si>
    <t>070-46-4883</t>
  </si>
  <si>
    <t>170-38-3453</t>
  </si>
  <si>
    <t>073-50-5138</t>
  </si>
  <si>
    <t>114-62-0333</t>
  </si>
  <si>
    <t>091-80-5720</t>
  </si>
  <si>
    <t>072-58-2228</t>
  </si>
  <si>
    <t>122-74-4196</t>
  </si>
  <si>
    <t>000-00-6002</t>
  </si>
  <si>
    <t>596-18-0261</t>
  </si>
  <si>
    <t>505-96-3900</t>
  </si>
  <si>
    <t>132-80-8741</t>
  </si>
  <si>
    <t>810-25-1174</t>
  </si>
  <si>
    <t>072-69-3193</t>
  </si>
  <si>
    <t>113-28-4282</t>
  </si>
  <si>
    <t>055-64-1174</t>
  </si>
  <si>
    <t>000-00-6547</t>
  </si>
  <si>
    <t>000-00-2834</t>
  </si>
  <si>
    <t>096-70-0917</t>
  </si>
  <si>
    <t>128-72-1508</t>
  </si>
  <si>
    <t>087-38-0934</t>
  </si>
  <si>
    <t>117-84-8602</t>
  </si>
  <si>
    <t>083-68-6682</t>
  </si>
  <si>
    <t>082-50-0322</t>
  </si>
  <si>
    <t>073-58-1737</t>
  </si>
  <si>
    <t>111-58-4684</t>
  </si>
  <si>
    <t>143-46-3515</t>
  </si>
  <si>
    <t>203-11-1520</t>
  </si>
  <si>
    <t>000-00-2723</t>
  </si>
  <si>
    <t>050-90-5438</t>
  </si>
  <si>
    <t>097-84-5882</t>
  </si>
  <si>
    <t>532-19-6104</t>
  </si>
  <si>
    <t>069-58-1207</t>
  </si>
  <si>
    <t>733-05-3043</t>
  </si>
  <si>
    <t>095-40-7060</t>
  </si>
  <si>
    <t>086-94-3176</t>
  </si>
  <si>
    <t>000-00-6276</t>
  </si>
  <si>
    <t>053-78-2518</t>
  </si>
  <si>
    <t>584-61-9447</t>
  </si>
  <si>
    <t>584-20-8677</t>
  </si>
  <si>
    <t>067-66-8277</t>
  </si>
  <si>
    <t>112-56-1058</t>
  </si>
  <si>
    <t>080-62-0415</t>
  </si>
  <si>
    <t>125-44-0216</t>
  </si>
  <si>
    <t>077-58-5261</t>
  </si>
  <si>
    <t>122-82-4971</t>
  </si>
  <si>
    <t>118-56-0277</t>
  </si>
  <si>
    <t>078-68-8169</t>
  </si>
  <si>
    <t>123-64-6478</t>
  </si>
  <si>
    <t>074-58-2626</t>
  </si>
  <si>
    <t>175-46-5894</t>
  </si>
  <si>
    <t>070-34-8487</t>
  </si>
  <si>
    <t>081-64-9038</t>
  </si>
  <si>
    <t>104-82-4492</t>
  </si>
  <si>
    <t>066-58-5160</t>
  </si>
  <si>
    <t>065-68-4592</t>
  </si>
  <si>
    <t>106-66-9779</t>
  </si>
  <si>
    <t>060-74-0778</t>
  </si>
  <si>
    <t>583-63-6339</t>
  </si>
  <si>
    <t>027-56-9999</t>
  </si>
  <si>
    <t>078-78-9141</t>
  </si>
  <si>
    <t>122-40-0436</t>
  </si>
  <si>
    <t>076-90-9135</t>
  </si>
  <si>
    <t>132-74-4850</t>
  </si>
  <si>
    <t>195-64-4180</t>
  </si>
  <si>
    <t>071-74-7698</t>
  </si>
  <si>
    <t>101-62-6440</t>
  </si>
  <si>
    <t>488-06-6413</t>
  </si>
  <si>
    <t>091-72-3665</t>
  </si>
  <si>
    <t>124-40-4422</t>
  </si>
  <si>
    <t>450-43-8941</t>
  </si>
  <si>
    <t>584-31-2432</t>
  </si>
  <si>
    <t>105-76-1889</t>
  </si>
  <si>
    <t>582-05-4419</t>
  </si>
  <si>
    <t>097-02-4879</t>
  </si>
  <si>
    <t>107-52-2780</t>
  </si>
  <si>
    <t>071-50-3108</t>
  </si>
  <si>
    <t>029-60-2606</t>
  </si>
  <si>
    <t>090-70-3732</t>
  </si>
  <si>
    <t>098-48-9591</t>
  </si>
  <si>
    <t>590-28-0017</t>
  </si>
  <si>
    <t>106-74-4135</t>
  </si>
  <si>
    <t>073-58-8666</t>
  </si>
  <si>
    <t>356-26-8109</t>
  </si>
  <si>
    <t>064-58-4390</t>
  </si>
  <si>
    <t>059-70-1484</t>
  </si>
  <si>
    <t>096-78-0475</t>
  </si>
  <si>
    <t>070-58-9697</t>
  </si>
  <si>
    <t>107-40-4098</t>
  </si>
  <si>
    <t>879-89-3635</t>
  </si>
  <si>
    <t>073-66-0048</t>
  </si>
  <si>
    <t>085-50-3133</t>
  </si>
  <si>
    <t>066-68-3825</t>
  </si>
  <si>
    <t>000-00-5216</t>
  </si>
  <si>
    <t>080-54-5136</t>
  </si>
  <si>
    <t>054-58-9288</t>
  </si>
  <si>
    <t>078-70-4236</t>
  </si>
  <si>
    <t>047-44-4049</t>
  </si>
  <si>
    <t>071-54-3390</t>
  </si>
  <si>
    <t>126-44-9991</t>
  </si>
  <si>
    <t>000-00-2689</t>
  </si>
  <si>
    <t>061-92-3561</t>
  </si>
  <si>
    <t>050-72-7805</t>
  </si>
  <si>
    <t>652-30-0705</t>
  </si>
  <si>
    <t>064-68-5945</t>
  </si>
  <si>
    <t>125-82-5829</t>
  </si>
  <si>
    <t>729-10-3832</t>
  </si>
  <si>
    <t>118-46-2175</t>
  </si>
  <si>
    <t>113-40-8268</t>
  </si>
  <si>
    <t>582-96-2063</t>
  </si>
  <si>
    <t>083-84-6488</t>
  </si>
  <si>
    <t>599-20-9601</t>
  </si>
  <si>
    <t>091-74-7965</t>
  </si>
  <si>
    <t>000-00-7912</t>
  </si>
  <si>
    <t>119-62-5498</t>
  </si>
  <si>
    <t>000-00-8137</t>
  </si>
  <si>
    <t>129-50-5338</t>
  </si>
  <si>
    <t>101-66-8004</t>
  </si>
  <si>
    <t>119-80-2472</t>
  </si>
  <si>
    <t>057-56-1547</t>
  </si>
  <si>
    <t>064-78-2546</t>
  </si>
  <si>
    <t>091-40-8280</t>
  </si>
  <si>
    <t>105-72-2989</t>
  </si>
  <si>
    <t>060-62-9537</t>
  </si>
  <si>
    <t>121-70-1390</t>
  </si>
  <si>
    <t>095-86-0753</t>
  </si>
  <si>
    <t>095-58-8585</t>
  </si>
  <si>
    <t>416-04-7561</t>
  </si>
  <si>
    <t>065-76-3514</t>
  </si>
  <si>
    <t>594-36-4594</t>
  </si>
  <si>
    <t>094-52-7762</t>
  </si>
  <si>
    <t>100-58-3142</t>
  </si>
  <si>
    <t>170-65-5423</t>
  </si>
  <si>
    <t>113-42-1344</t>
  </si>
  <si>
    <t>072-58-6750</t>
  </si>
  <si>
    <t>025-66-0751</t>
  </si>
  <si>
    <t>096-58-5203</t>
  </si>
  <si>
    <t>075-52-3445</t>
  </si>
  <si>
    <t>122-82-4174</t>
  </si>
  <si>
    <t>160-23-8625</t>
  </si>
  <si>
    <t>130-50-6472</t>
  </si>
  <si>
    <t>053-64-0203</t>
  </si>
  <si>
    <t>000-00-7984</t>
  </si>
  <si>
    <t>081-70-7600</t>
  </si>
  <si>
    <t>129-78-0632</t>
  </si>
  <si>
    <t>058-50-4914</t>
  </si>
  <si>
    <t>050-48-7436</t>
  </si>
  <si>
    <t>383-87-9795</t>
  </si>
  <si>
    <t>126-48-0476</t>
  </si>
  <si>
    <t>000-00-1258</t>
  </si>
  <si>
    <t>583-91-9667</t>
  </si>
  <si>
    <t>000-00-0231</t>
  </si>
  <si>
    <t>101-78-8377</t>
  </si>
  <si>
    <t>081-80-2608</t>
  </si>
  <si>
    <t>000-00-2984</t>
  </si>
  <si>
    <t>081-64-7758</t>
  </si>
  <si>
    <t>122-28-2336</t>
  </si>
  <si>
    <t>076-88-6150</t>
  </si>
  <si>
    <t>098-66-4408</t>
  </si>
  <si>
    <t>134-74-7696</t>
  </si>
  <si>
    <t>058-58-7195</t>
  </si>
  <si>
    <t>073-13-2328</t>
  </si>
  <si>
    <t>004-92-3801</t>
  </si>
  <si>
    <t>138-72-5399</t>
  </si>
  <si>
    <t>581-76-9215</t>
  </si>
  <si>
    <t>064-94-7351</t>
  </si>
  <si>
    <t>502-34-9084</t>
  </si>
  <si>
    <t>072-62-1705</t>
  </si>
  <si>
    <t>092-64-7997</t>
  </si>
  <si>
    <t>134-98-9980</t>
  </si>
  <si>
    <t>086-98-4849</t>
  </si>
  <si>
    <t>581-93-5393</t>
  </si>
  <si>
    <t>079-62-1176</t>
  </si>
  <si>
    <t>107-70-9992</t>
  </si>
  <si>
    <t>769-12-3085</t>
  </si>
  <si>
    <t>000-00-4631</t>
  </si>
  <si>
    <t>069-76-5077</t>
  </si>
  <si>
    <t>087-92-3998</t>
  </si>
  <si>
    <t>088-76-2458</t>
  </si>
  <si>
    <t>061-66-5765</t>
  </si>
  <si>
    <t>112-72-0908</t>
  </si>
  <si>
    <t>110-92-8258</t>
  </si>
  <si>
    <t>126-86-3127</t>
  </si>
  <si>
    <t>000-00-2278</t>
  </si>
  <si>
    <t>810-91-1246</t>
  </si>
  <si>
    <t>086-90-7663</t>
  </si>
  <si>
    <t>000-00-0738</t>
  </si>
  <si>
    <t>705-43-4033</t>
  </si>
  <si>
    <t>110-64-5103</t>
  </si>
  <si>
    <t>079-48-5620</t>
  </si>
  <si>
    <t>098-70-7106</t>
  </si>
  <si>
    <t>059-66-4834</t>
  </si>
  <si>
    <t>000-00-2483</t>
  </si>
  <si>
    <t>097-84-4415</t>
  </si>
  <si>
    <t>277-50-4973</t>
  </si>
  <si>
    <t>254-29-1947</t>
  </si>
  <si>
    <t>000-00-4738</t>
  </si>
  <si>
    <t>128-72-3784</t>
  </si>
  <si>
    <t>435-04-6545</t>
  </si>
  <si>
    <t>096-58-1670</t>
  </si>
  <si>
    <t>111-64-7008</t>
  </si>
  <si>
    <t>000-00-3181</t>
  </si>
  <si>
    <t>075-82-2160</t>
  </si>
  <si>
    <t>087-49-3358</t>
  </si>
  <si>
    <t>323-68-2704</t>
  </si>
  <si>
    <t>064-82-5860</t>
  </si>
  <si>
    <t>092-84-3486</t>
  </si>
  <si>
    <t>732-05-5208</t>
  </si>
  <si>
    <t>077-90-8508</t>
  </si>
  <si>
    <t>099-84-9502</t>
  </si>
  <si>
    <t>830-35-2656</t>
  </si>
  <si>
    <t>500-96-6308</t>
  </si>
  <si>
    <t>077-74-3465</t>
  </si>
  <si>
    <t>583-31-8067</t>
  </si>
  <si>
    <t>000-00-9379</t>
  </si>
  <si>
    <t>059-88-6969</t>
  </si>
  <si>
    <t>090-44-8402</t>
  </si>
  <si>
    <t>000-00-1582</t>
  </si>
  <si>
    <t>132-48-7895</t>
  </si>
  <si>
    <t>480-58-2851</t>
  </si>
  <si>
    <t>584-67-3186</t>
  </si>
  <si>
    <t>120-50-9650</t>
  </si>
  <si>
    <t>051-94-0414</t>
  </si>
  <si>
    <t>139-58-8976</t>
  </si>
  <si>
    <t>115-78-7380</t>
  </si>
  <si>
    <t>092-94-8969</t>
  </si>
  <si>
    <t>123-64-0410</t>
  </si>
  <si>
    <t>126-84-2839</t>
  </si>
  <si>
    <t>901-84-9764</t>
  </si>
  <si>
    <t>580-07-0279</t>
  </si>
  <si>
    <t>732-09-2005</t>
  </si>
  <si>
    <t>000-00-4565</t>
  </si>
  <si>
    <t>124-60-8702</t>
  </si>
  <si>
    <t>000-00-9466</t>
  </si>
  <si>
    <t>124-36-9377</t>
  </si>
  <si>
    <t>109-58-4820</t>
  </si>
  <si>
    <t>119-56-0859</t>
  </si>
  <si>
    <t>724-30-4399</t>
  </si>
  <si>
    <t>118-94-4541</t>
  </si>
  <si>
    <t>080-62-1437</t>
  </si>
  <si>
    <t>102-58-1125</t>
  </si>
  <si>
    <t>581-87-0988</t>
  </si>
  <si>
    <t>107-88-5728</t>
  </si>
  <si>
    <t>073-85-2316</t>
  </si>
  <si>
    <t>115-90-3582</t>
  </si>
  <si>
    <t>105-50-3098</t>
  </si>
  <si>
    <t>090-68-1966</t>
  </si>
  <si>
    <t>071-54-2757</t>
  </si>
  <si>
    <t>087-48-3066</t>
  </si>
  <si>
    <t>128-58-3582</t>
  </si>
  <si>
    <t>079-70-6111</t>
  </si>
  <si>
    <t>543-58-8805</t>
  </si>
  <si>
    <t>053-76-6276</t>
  </si>
  <si>
    <t>000-00-0694</t>
  </si>
  <si>
    <t>088-73-8085</t>
  </si>
  <si>
    <t>080-76-4542</t>
  </si>
  <si>
    <t>125-84-9517</t>
  </si>
  <si>
    <t>070-64-7917</t>
  </si>
  <si>
    <t>127-70-5713</t>
  </si>
  <si>
    <t>088-86-3932</t>
  </si>
  <si>
    <t>580-15-1377</t>
  </si>
  <si>
    <t>107-40-3246</t>
  </si>
  <si>
    <t>101-54-0211</t>
  </si>
  <si>
    <t>058-70-4952</t>
  </si>
  <si>
    <t>050-76-2424</t>
  </si>
  <si>
    <t>089-84-9486</t>
  </si>
  <si>
    <t>000-00-9505</t>
  </si>
  <si>
    <t>150-58-3049</t>
  </si>
  <si>
    <t>119-84-8882</t>
  </si>
  <si>
    <t>146-44-7249</t>
  </si>
  <si>
    <t>054-36-0782</t>
  </si>
  <si>
    <t>105-76-4929</t>
  </si>
  <si>
    <t>051-60-5777</t>
  </si>
  <si>
    <t>085-44-1655</t>
  </si>
  <si>
    <t>061-44-7463</t>
  </si>
  <si>
    <t>103-58-0960</t>
  </si>
  <si>
    <t>108-98-5471</t>
  </si>
  <si>
    <t>581-48-1962</t>
  </si>
  <si>
    <t>111-58-9884</t>
  </si>
  <si>
    <t>672-12-1596</t>
  </si>
  <si>
    <t>582-52-0120</t>
  </si>
  <si>
    <t>071-48-9003</t>
  </si>
  <si>
    <t>071-82-9771</t>
  </si>
  <si>
    <t>100-78-2236</t>
  </si>
  <si>
    <t>054-58-9276</t>
  </si>
  <si>
    <t>000-00-7378</t>
  </si>
  <si>
    <t>072-54-7402</t>
  </si>
  <si>
    <t>145-74-6242</t>
  </si>
  <si>
    <t>051-84-2610</t>
  </si>
  <si>
    <t>040-52-9531</t>
  </si>
  <si>
    <t>119-76-1545</t>
  </si>
  <si>
    <t>900-98-3710</t>
  </si>
  <si>
    <t>128-54-2173</t>
  </si>
  <si>
    <t>112-84-7702</t>
  </si>
  <si>
    <t>596-01-4288</t>
  </si>
  <si>
    <t>582-78-5395</t>
  </si>
  <si>
    <t>119-48-4754</t>
  </si>
  <si>
    <t>083-70-8843</t>
  </si>
  <si>
    <t>066-86-3005</t>
  </si>
  <si>
    <t>058-50-8864</t>
  </si>
  <si>
    <t>118-60-5075</t>
  </si>
  <si>
    <t>051-32-3199</t>
  </si>
  <si>
    <t>000-00-2628</t>
  </si>
  <si>
    <t>000-00-6969</t>
  </si>
  <si>
    <t>065-26-1368</t>
  </si>
  <si>
    <t>064-78-7430</t>
  </si>
  <si>
    <t>368-50-3783</t>
  </si>
  <si>
    <t>067-64-4240</t>
  </si>
  <si>
    <t>134-50-5200</t>
  </si>
  <si>
    <t>133-62-9631</t>
  </si>
  <si>
    <t>000-00-3012</t>
  </si>
  <si>
    <t>103-62-8568</t>
  </si>
  <si>
    <t>000-00-9697</t>
  </si>
  <si>
    <t>060-02-4024</t>
  </si>
  <si>
    <t>057-56-1449</t>
  </si>
  <si>
    <t>600-32-5806</t>
  </si>
  <si>
    <t>064-66-9586</t>
  </si>
  <si>
    <t>130-64-1210</t>
  </si>
  <si>
    <t>056-48-6794</t>
  </si>
  <si>
    <t>100-56-0117</t>
  </si>
  <si>
    <t>614-75-1713</t>
  </si>
  <si>
    <t>000-00-8225</t>
  </si>
  <si>
    <t>000-00-1000</t>
  </si>
  <si>
    <t>059-58-8023</t>
  </si>
  <si>
    <t>118-46-2076</t>
  </si>
  <si>
    <t>092-46-6940</t>
  </si>
  <si>
    <t>081-80-3225</t>
  </si>
  <si>
    <t>581-49-3554</t>
  </si>
  <si>
    <t>093-52-0005</t>
  </si>
  <si>
    <t>732-58-8729</t>
  </si>
  <si>
    <t>215-17-3070</t>
  </si>
  <si>
    <t>000-00-9709</t>
  </si>
  <si>
    <t>080-60-2956</t>
  </si>
  <si>
    <t>066-72-2542</t>
  </si>
  <si>
    <t>774-41-5901</t>
  </si>
  <si>
    <t>126-56-3883</t>
  </si>
  <si>
    <t>356-55-9023</t>
  </si>
  <si>
    <t>123-72-3696</t>
  </si>
  <si>
    <t>088-56-2920</t>
  </si>
  <si>
    <t>125-54-9729</t>
  </si>
  <si>
    <t>582-47-0525</t>
  </si>
  <si>
    <t>595-40-5568</t>
  </si>
  <si>
    <t>597-18-2963</t>
  </si>
  <si>
    <t>000-00-7874</t>
  </si>
  <si>
    <t>093-72-6874</t>
  </si>
  <si>
    <t>053-72-6848</t>
  </si>
  <si>
    <t>128-82-2553</t>
  </si>
  <si>
    <t>000-00-5228</t>
  </si>
  <si>
    <t>584-81-2185</t>
  </si>
  <si>
    <t>133-42-3472</t>
  </si>
  <si>
    <t>000-00-7163</t>
  </si>
  <si>
    <t>086-84-1753</t>
  </si>
  <si>
    <t>000-00-3480</t>
  </si>
  <si>
    <t>094-64-8931</t>
  </si>
  <si>
    <t>000-00-0409</t>
  </si>
  <si>
    <t>061-74-3568</t>
  </si>
  <si>
    <t>563-59-0297</t>
  </si>
  <si>
    <t>000-00-0697</t>
  </si>
  <si>
    <t>054-76-7260</t>
  </si>
  <si>
    <t>000-00-3766</t>
  </si>
  <si>
    <t>072-84-4808</t>
  </si>
  <si>
    <t>111-56-7753</t>
  </si>
  <si>
    <t>096-90-9578</t>
  </si>
  <si>
    <t>029-78-5176</t>
  </si>
  <si>
    <t>057-60-5235</t>
  </si>
  <si>
    <t>069-64-1453</t>
  </si>
  <si>
    <t>084-58-5161</t>
  </si>
  <si>
    <t>054-70-1497</t>
  </si>
  <si>
    <t>091-56-1402</t>
  </si>
  <si>
    <t>119-60-1764</t>
  </si>
  <si>
    <t>091-58-7984</t>
  </si>
  <si>
    <t>113-74-1464</t>
  </si>
  <si>
    <t>000-00-2308</t>
  </si>
  <si>
    <t>068-64-0038</t>
  </si>
  <si>
    <t>103-44-7537</t>
  </si>
  <si>
    <t>123-76-3829</t>
  </si>
  <si>
    <t>000-00-2203</t>
  </si>
  <si>
    <t>000-00-7231</t>
  </si>
  <si>
    <t>078-68-2786</t>
  </si>
  <si>
    <t>098-80-7759</t>
  </si>
  <si>
    <t>096-56-8488</t>
  </si>
  <si>
    <t>123-42-4147</t>
  </si>
  <si>
    <t>129-42-4683</t>
  </si>
  <si>
    <t>000-00-1987</t>
  </si>
  <si>
    <t>125-52-6597</t>
  </si>
  <si>
    <t>119-76-7278</t>
  </si>
  <si>
    <t>073-76-1589</t>
  </si>
  <si>
    <t>053-50-9986</t>
  </si>
  <si>
    <t>580-70-4951</t>
  </si>
  <si>
    <t>582-68-5015</t>
  </si>
  <si>
    <t>071-86-3667</t>
  </si>
  <si>
    <t>107-76-5984</t>
  </si>
  <si>
    <t>134-60-8164</t>
  </si>
  <si>
    <t>032-93-4571</t>
  </si>
  <si>
    <t>093-90-5161</t>
  </si>
  <si>
    <t>061-76-8326</t>
  </si>
  <si>
    <t>127-80-3728</t>
  </si>
  <si>
    <t>190-52-1625</t>
  </si>
  <si>
    <t>091-42-0419</t>
  </si>
  <si>
    <t>055-82-5789</t>
  </si>
  <si>
    <t>528-88-6951</t>
  </si>
  <si>
    <t>057-50-7484</t>
  </si>
  <si>
    <t>103-42-8095</t>
  </si>
  <si>
    <t>110-64-2921</t>
  </si>
  <si>
    <t>050-84-9419</t>
  </si>
  <si>
    <t>058-84-4176</t>
  </si>
  <si>
    <t>054-70-1803</t>
  </si>
  <si>
    <t>573-39-5291</t>
  </si>
  <si>
    <t>121-84-8351</t>
  </si>
  <si>
    <t>128-84-5148</t>
  </si>
  <si>
    <t>425-59-3364</t>
  </si>
  <si>
    <t>058-54-5811</t>
  </si>
  <si>
    <t>581-72-1296</t>
  </si>
  <si>
    <t>729-03-3536</t>
  </si>
  <si>
    <t>053-62-6486</t>
  </si>
  <si>
    <t>194-65-4864</t>
  </si>
  <si>
    <t>127-56-1271</t>
  </si>
  <si>
    <t>000-00-7612</t>
  </si>
  <si>
    <t>000-00-0425</t>
  </si>
  <si>
    <t>118-72-0173</t>
  </si>
  <si>
    <t>114-56-0496</t>
  </si>
  <si>
    <t>052-30-0063</t>
  </si>
  <si>
    <t>070-92-1042</t>
  </si>
  <si>
    <t>115-62-1133</t>
  </si>
  <si>
    <t>160-64-2778</t>
  </si>
  <si>
    <t>109-72-5610</t>
  </si>
  <si>
    <t>567-85-2359</t>
  </si>
  <si>
    <t>102-58-5219</t>
  </si>
  <si>
    <t>099-58-8326</t>
  </si>
  <si>
    <t>421-33-7942</t>
  </si>
  <si>
    <t>181-72-5360</t>
  </si>
  <si>
    <t>145-90-8237</t>
  </si>
  <si>
    <t>000-00-5224</t>
  </si>
  <si>
    <t>059-70-1586</t>
  </si>
  <si>
    <t>099-80-3208</t>
  </si>
  <si>
    <t>246-96-4175</t>
  </si>
  <si>
    <t>124-68-9282</t>
  </si>
  <si>
    <t>073-62-5959</t>
  </si>
  <si>
    <t>076-88-5984</t>
  </si>
  <si>
    <t>130-68-9830</t>
  </si>
  <si>
    <t>057-70-0481</t>
  </si>
  <si>
    <t>088-52-8890</t>
  </si>
  <si>
    <t>598-18-4717</t>
  </si>
  <si>
    <t>768-58-8462</t>
  </si>
  <si>
    <t>092-52-4713</t>
  </si>
  <si>
    <t>230-48-1487</t>
  </si>
  <si>
    <t>108-72-1242</t>
  </si>
  <si>
    <t>050-38-5481</t>
  </si>
  <si>
    <t>589-44-6799</t>
  </si>
  <si>
    <t>083-72-8238</t>
  </si>
  <si>
    <t>084-70-9257</t>
  </si>
  <si>
    <t>000-00-9608</t>
  </si>
  <si>
    <t>096-56-2284</t>
  </si>
  <si>
    <t>102-76-2817</t>
  </si>
  <si>
    <t>323-64-9402</t>
  </si>
  <si>
    <t>111-46-2703</t>
  </si>
  <si>
    <t>125-82-2916</t>
  </si>
  <si>
    <t>632-88-4977</t>
  </si>
  <si>
    <t>102-58-8193</t>
  </si>
  <si>
    <t>105-56-7048</t>
  </si>
  <si>
    <t>077-70-3219</t>
  </si>
  <si>
    <t>080-58-8389</t>
  </si>
  <si>
    <t>085-84-3708</t>
  </si>
  <si>
    <t>000-00-6028</t>
  </si>
  <si>
    <t>085-58-1036</t>
  </si>
  <si>
    <t>092-74-0966</t>
  </si>
  <si>
    <t>115-70-6169</t>
  </si>
  <si>
    <t>066-76-3782</t>
  </si>
  <si>
    <t>193-23-6699</t>
  </si>
  <si>
    <t>071-76-5087</t>
  </si>
  <si>
    <t>106-48-9252</t>
  </si>
  <si>
    <t>596-05-0755</t>
  </si>
  <si>
    <t>089-68-1455</t>
  </si>
  <si>
    <t>059-56-0040</t>
  </si>
  <si>
    <t>620-56-9078</t>
  </si>
  <si>
    <t>132-68-9943</t>
  </si>
  <si>
    <t>121-52-2414</t>
  </si>
  <si>
    <t>049-74-5433</t>
  </si>
  <si>
    <t>089-70-4744</t>
  </si>
  <si>
    <t>000-00-4225</t>
  </si>
  <si>
    <t>107-70-7424</t>
  </si>
  <si>
    <t>000-00-1257</t>
  </si>
  <si>
    <t>000-00-7719</t>
  </si>
  <si>
    <t>051-80-1930</t>
  </si>
  <si>
    <t>000-00-0865</t>
  </si>
  <si>
    <t>128-76-6956</t>
  </si>
  <si>
    <t>113-90-0071</t>
  </si>
  <si>
    <t>242-35-7287</t>
  </si>
  <si>
    <t>575-72-1120</t>
  </si>
  <si>
    <t>584-17-7165</t>
  </si>
  <si>
    <t>126-56-5664</t>
  </si>
  <si>
    <t>245-99-6379</t>
  </si>
  <si>
    <t>085-86-8623</t>
  </si>
  <si>
    <t>083-30-0620</t>
  </si>
  <si>
    <t>823-33-0468</t>
  </si>
  <si>
    <t>000-00-5198</t>
  </si>
  <si>
    <t>056-60-4418</t>
  </si>
  <si>
    <t>731-09-6662</t>
  </si>
  <si>
    <t>083-66-5169</t>
  </si>
  <si>
    <t>134-54-1177</t>
  </si>
  <si>
    <t>134-76-1417</t>
  </si>
  <si>
    <t>131-74-4229</t>
  </si>
  <si>
    <t>089-58-8648</t>
  </si>
  <si>
    <t>108-86-2948</t>
  </si>
  <si>
    <t>050-66-6016</t>
  </si>
  <si>
    <t>309-50-4692</t>
  </si>
  <si>
    <t>072-76-8535</t>
  </si>
  <si>
    <t>100-82-8264</t>
  </si>
  <si>
    <t>065-76-3646</t>
  </si>
  <si>
    <t>065-82-2640</t>
  </si>
  <si>
    <t>121-52-4439</t>
  </si>
  <si>
    <t>116-60-3451</t>
  </si>
  <si>
    <t>142-13-4624</t>
  </si>
  <si>
    <t>091-90-2357</t>
  </si>
  <si>
    <t>101-68-9213</t>
  </si>
  <si>
    <t>539-80-7707</t>
  </si>
  <si>
    <t>075-02-6821</t>
  </si>
  <si>
    <t>101-66-9806</t>
  </si>
  <si>
    <t>105-48-7823</t>
  </si>
  <si>
    <t>076-68-7905</t>
  </si>
  <si>
    <t>093-60-3499</t>
  </si>
  <si>
    <t>065-40-7700</t>
  </si>
  <si>
    <t>117-56-1090</t>
  </si>
  <si>
    <t>064-74-2725</t>
  </si>
  <si>
    <t>071-54-3950</t>
  </si>
  <si>
    <t>101-64-5796</t>
  </si>
  <si>
    <t>000-00-7845</t>
  </si>
  <si>
    <t>080-36-5998</t>
  </si>
  <si>
    <t>101-38-5097</t>
  </si>
  <si>
    <t>118-92-8202</t>
  </si>
  <si>
    <t>443-66-9352</t>
  </si>
  <si>
    <t>054-80-9269</t>
  </si>
  <si>
    <t>092-80-7507</t>
  </si>
  <si>
    <t>000-00-5859</t>
  </si>
  <si>
    <t>095-84-4694</t>
  </si>
  <si>
    <t>149-60-2086</t>
  </si>
  <si>
    <t>101-70-0921</t>
  </si>
  <si>
    <t>132-56-2258</t>
  </si>
  <si>
    <t>053-80-5615</t>
  </si>
  <si>
    <t>104-62-5480</t>
  </si>
  <si>
    <t>056-64-3544</t>
  </si>
  <si>
    <t>000-00-5449</t>
  </si>
  <si>
    <t>000-00-0759</t>
  </si>
  <si>
    <t>117-56-1005</t>
  </si>
  <si>
    <t>105-64-2176</t>
  </si>
  <si>
    <t>131-48-1262</t>
  </si>
  <si>
    <t>000-00-4588</t>
  </si>
  <si>
    <t>114-40-3363</t>
  </si>
  <si>
    <t>121-80-2464</t>
  </si>
  <si>
    <t>107-66-1652</t>
  </si>
  <si>
    <t>000-00-8534</t>
  </si>
  <si>
    <t>000-00-3775</t>
  </si>
  <si>
    <t>192-59-0527</t>
  </si>
  <si>
    <t>583-85-5370</t>
  </si>
  <si>
    <t>135-17-7891</t>
  </si>
  <si>
    <t>120-62-3859</t>
  </si>
  <si>
    <t>095-70-8672</t>
  </si>
  <si>
    <t>101-54-8225</t>
  </si>
  <si>
    <t>000-00-6890</t>
  </si>
  <si>
    <t>124-88-9115</t>
  </si>
  <si>
    <t>110-40-3500</t>
  </si>
  <si>
    <t>088-86-6119</t>
  </si>
  <si>
    <t>076-60-1894</t>
  </si>
  <si>
    <t>081-72-8126</t>
  </si>
  <si>
    <t>597-24-2841</t>
  </si>
  <si>
    <t>113-54-0326</t>
  </si>
  <si>
    <t>096-84-0085</t>
  </si>
  <si>
    <t>592-03-6507</t>
  </si>
  <si>
    <t>070-90-4131</t>
  </si>
  <si>
    <t>101-40-9652</t>
  </si>
  <si>
    <t>117-78-7625</t>
  </si>
  <si>
    <t>580-27-5785</t>
  </si>
  <si>
    <t>581-15-0678</t>
  </si>
  <si>
    <t>069-76-5893</t>
  </si>
  <si>
    <t>111-46-5044</t>
  </si>
  <si>
    <t>085-56-5725</t>
  </si>
  <si>
    <t>108-92-9390</t>
  </si>
  <si>
    <t>082-88-4185</t>
  </si>
  <si>
    <t>105-56-7824</t>
  </si>
  <si>
    <t>132-82-2399</t>
  </si>
  <si>
    <t>094-87-1558</t>
  </si>
  <si>
    <t>069-02-9158</t>
  </si>
  <si>
    <t>053-72-0375</t>
  </si>
  <si>
    <t>078-62-5135</t>
  </si>
  <si>
    <t>000-00-5188</t>
  </si>
  <si>
    <t>581-39-2641</t>
  </si>
  <si>
    <t>247-97-1257</t>
  </si>
  <si>
    <t>095-68-3768</t>
  </si>
  <si>
    <t>053-68-6319</t>
  </si>
  <si>
    <t>093-70-4591</t>
  </si>
  <si>
    <t>104-86-8904</t>
  </si>
  <si>
    <t>103-50-9704</t>
  </si>
  <si>
    <t>097-70-6306</t>
  </si>
  <si>
    <t>079-66-0182</t>
  </si>
  <si>
    <t>582-55-5869</t>
  </si>
  <si>
    <t>055-42-7593</t>
  </si>
  <si>
    <t>064-70-0299</t>
  </si>
  <si>
    <t>151-91-7817</t>
  </si>
  <si>
    <t>091-70-4358</t>
  </si>
  <si>
    <t>065-68-0584</t>
  </si>
  <si>
    <t>071-60-6177</t>
  </si>
  <si>
    <t>070-58-3410</t>
  </si>
  <si>
    <t>061-80-0568</t>
  </si>
  <si>
    <t>114-46-0597</t>
  </si>
  <si>
    <t>113-74-7093</t>
  </si>
  <si>
    <t>678-08-5578</t>
  </si>
  <si>
    <t>061-50-6188</t>
  </si>
  <si>
    <t>238-47-0292</t>
  </si>
  <si>
    <t>094-42-6399</t>
  </si>
  <si>
    <t>105-72-4945</t>
  </si>
  <si>
    <t>117-62-0932</t>
  </si>
  <si>
    <t>584-26-5149</t>
  </si>
  <si>
    <t>000-00-0382</t>
  </si>
  <si>
    <t>071-50-3473</t>
  </si>
  <si>
    <t>073-62-7535</t>
  </si>
  <si>
    <t>156-49-6673</t>
  </si>
  <si>
    <t>102-76-5245</t>
  </si>
  <si>
    <t>087-44-5703</t>
  </si>
  <si>
    <t>093-34-8982</t>
  </si>
  <si>
    <t>453-33-0757</t>
  </si>
  <si>
    <t>128-60-5427</t>
  </si>
  <si>
    <t>103-41-3073</t>
  </si>
  <si>
    <t>055-48-0967</t>
  </si>
  <si>
    <t>094-42-6133</t>
  </si>
  <si>
    <t>577-02-8879</t>
  </si>
  <si>
    <t>531-43-5376</t>
  </si>
  <si>
    <t>099-56-5718</t>
  </si>
  <si>
    <t>842-95-9969</t>
  </si>
  <si>
    <t>590-54-9806</t>
  </si>
  <si>
    <t>115-86-3743</t>
  </si>
  <si>
    <t>247-19-4794</t>
  </si>
  <si>
    <t>058-54-7648</t>
  </si>
  <si>
    <t>000-00-8990</t>
  </si>
  <si>
    <t>000-00-3976</t>
  </si>
  <si>
    <t>583-29-2082</t>
  </si>
  <si>
    <t>597-38-6089</t>
  </si>
  <si>
    <t>072-82-3301</t>
  </si>
  <si>
    <t>086-70-6554</t>
  </si>
  <si>
    <t>104-66-4648</t>
  </si>
  <si>
    <t>084-64-8258</t>
  </si>
  <si>
    <t>056-90-0134</t>
  </si>
  <si>
    <t>131-68-2755</t>
  </si>
  <si>
    <t>000-00-7480</t>
  </si>
  <si>
    <t>130-26-4153</t>
  </si>
  <si>
    <t>054-74-4360</t>
  </si>
  <si>
    <t>039-38-5770</t>
  </si>
  <si>
    <t>000-00-4505</t>
  </si>
  <si>
    <t>141-64-7345</t>
  </si>
  <si>
    <t>593-84-1799</t>
  </si>
  <si>
    <t>105-50-3913</t>
  </si>
  <si>
    <t>109-66-1280</t>
  </si>
  <si>
    <t>098-56-0527</t>
  </si>
  <si>
    <t>069-58-6354</t>
  </si>
  <si>
    <t>061-98-9525</t>
  </si>
  <si>
    <t>084-74-5506</t>
  </si>
  <si>
    <t>073-44-9924</t>
  </si>
  <si>
    <t>062-56-4992</t>
  </si>
  <si>
    <t>108-90-4037</t>
  </si>
  <si>
    <t>082-44-3750</t>
  </si>
  <si>
    <t>342-58-7772</t>
  </si>
  <si>
    <t>083-56-7340</t>
  </si>
  <si>
    <t>082-02-4808</t>
  </si>
  <si>
    <t>102-68-7003</t>
  </si>
  <si>
    <t>087-92-8800</t>
  </si>
  <si>
    <t>000-00-6889</t>
  </si>
  <si>
    <t>401-95-8741</t>
  </si>
  <si>
    <t>087-72-3847</t>
  </si>
  <si>
    <t>152-68-4308</t>
  </si>
  <si>
    <t>000-00-0871</t>
  </si>
  <si>
    <t>053-88-9229</t>
  </si>
  <si>
    <t>087-62-8117</t>
  </si>
  <si>
    <t>133-86-3880</t>
  </si>
  <si>
    <t>071-58-4459</t>
  </si>
  <si>
    <t>891-17-6430</t>
  </si>
  <si>
    <t>071-78-2731</t>
  </si>
  <si>
    <t>124-66-2464</t>
  </si>
  <si>
    <t>055-44-1869</t>
  </si>
  <si>
    <t>059-82-2851</t>
  </si>
  <si>
    <t>148-60-2490</t>
  </si>
  <si>
    <t>729-14-2592</t>
  </si>
  <si>
    <t>061-50-8985</t>
  </si>
  <si>
    <t>118-46-0303</t>
  </si>
  <si>
    <t>122-48-5672</t>
  </si>
  <si>
    <t>026-70-3356</t>
  </si>
  <si>
    <t>050-44-0271</t>
  </si>
  <si>
    <t>134-62-5729</t>
  </si>
  <si>
    <t>131-84-1228</t>
  </si>
  <si>
    <t>050-48-6037</t>
  </si>
  <si>
    <t>137-62-5052</t>
  </si>
  <si>
    <t>062-48-5347</t>
  </si>
  <si>
    <t>117-34-9496</t>
  </si>
  <si>
    <t>076-66-1094</t>
  </si>
  <si>
    <t>118-62-0428</t>
  </si>
  <si>
    <t>054-56-1075</t>
  </si>
  <si>
    <t>126-66-3201</t>
  </si>
  <si>
    <t>116-74-0383</t>
  </si>
  <si>
    <t>865-86-7838</t>
  </si>
  <si>
    <t>104-65-5659</t>
  </si>
  <si>
    <t>077-49-1096</t>
  </si>
  <si>
    <t>090-82-8800</t>
  </si>
  <si>
    <t>124-96-8146</t>
  </si>
  <si>
    <t>055-62-6665</t>
  </si>
  <si>
    <t>000-00-9632</t>
  </si>
  <si>
    <t>000-00-5364</t>
  </si>
  <si>
    <t>084-58-2964</t>
  </si>
  <si>
    <t>245-85-6701</t>
  </si>
  <si>
    <t>000-00-2688</t>
  </si>
  <si>
    <t>067-95-9081</t>
  </si>
  <si>
    <t>051-60-3106</t>
  </si>
  <si>
    <t>000-00-7923</t>
  </si>
  <si>
    <t>000-00-3547</t>
  </si>
  <si>
    <t>110-84-2407</t>
  </si>
  <si>
    <t>061-74-6945</t>
  </si>
  <si>
    <t>121-92-5284</t>
  </si>
  <si>
    <t>119-68-3414</t>
  </si>
  <si>
    <t>098-76-5308</t>
  </si>
  <si>
    <t>859-21-5813</t>
  </si>
  <si>
    <t>102-55-8085</t>
  </si>
  <si>
    <t>116-62-0301</t>
  </si>
  <si>
    <t>125-98-9306</t>
  </si>
  <si>
    <t>000-00-2160</t>
  </si>
  <si>
    <t>131-84-2875</t>
  </si>
  <si>
    <t>119-64-5538</t>
  </si>
  <si>
    <t>118-90-9089</t>
  </si>
  <si>
    <t>123-50-3271</t>
  </si>
  <si>
    <t>115-64-3529</t>
  </si>
  <si>
    <t>066-64-1252</t>
  </si>
  <si>
    <t>000-00-4461</t>
  </si>
  <si>
    <t>086-56-6347</t>
  </si>
  <si>
    <t>051-60-5371</t>
  </si>
  <si>
    <t>121-38-0535</t>
  </si>
  <si>
    <t>120-84-2900</t>
  </si>
  <si>
    <t>079-54-8720</t>
  </si>
  <si>
    <t>067-68-4291</t>
  </si>
  <si>
    <t>120-54-2166</t>
  </si>
  <si>
    <t>580-17-1399</t>
  </si>
  <si>
    <t>110-70-1220</t>
  </si>
  <si>
    <t>075-60-2689</t>
  </si>
  <si>
    <t>156-76-3476</t>
  </si>
  <si>
    <t>110-78-9657</t>
  </si>
  <si>
    <t>065-74-7550</t>
  </si>
  <si>
    <t>099-70-4819</t>
  </si>
  <si>
    <t>000-00-6430</t>
  </si>
  <si>
    <t>000-00-7069</t>
  </si>
  <si>
    <t>000-00-5206</t>
  </si>
  <si>
    <t>000-00-6212</t>
  </si>
  <si>
    <t>088-92-0649</t>
  </si>
  <si>
    <t>582-37-3310</t>
  </si>
  <si>
    <t>000-00-7425</t>
  </si>
  <si>
    <t>084-78-6422</t>
  </si>
  <si>
    <t>122-56-9620</t>
  </si>
  <si>
    <t>000-00-7872</t>
  </si>
  <si>
    <t>057-74-7037</t>
  </si>
  <si>
    <t>000-00-5671</t>
  </si>
  <si>
    <t>000-00-3048</t>
  </si>
  <si>
    <t>000-00-7985</t>
  </si>
  <si>
    <t>312-96-1071</t>
  </si>
  <si>
    <t>172-56-5379</t>
  </si>
  <si>
    <t>102-58-7089</t>
  </si>
  <si>
    <t>064-68-6033</t>
  </si>
  <si>
    <t>071-58-3935</t>
  </si>
  <si>
    <t>118-44-2052</t>
  </si>
  <si>
    <t>113-46-1108</t>
  </si>
  <si>
    <t>051-76-5947</t>
  </si>
  <si>
    <t>131-70-0586</t>
  </si>
  <si>
    <t>053-96-0411</t>
  </si>
  <si>
    <t>032-62-3357</t>
  </si>
  <si>
    <t>128-78-1259</t>
  </si>
  <si>
    <t>059-02-4345</t>
  </si>
  <si>
    <t>107-76-4249</t>
  </si>
  <si>
    <t>075-80-2033</t>
  </si>
  <si>
    <t>069-54-9897</t>
  </si>
  <si>
    <t>122-68-0446</t>
  </si>
  <si>
    <t>098-32-9243</t>
  </si>
  <si>
    <t>220-19-2909</t>
  </si>
  <si>
    <t>105-60-5874</t>
  </si>
  <si>
    <t>582-85-6599</t>
  </si>
  <si>
    <t>000-00-3581</t>
  </si>
  <si>
    <t>000-00-6242</t>
  </si>
  <si>
    <t>119-44-3971</t>
  </si>
  <si>
    <t>000-00-8784</t>
  </si>
  <si>
    <t>082-58-4962</t>
  </si>
  <si>
    <t>087-70-8364</t>
  </si>
  <si>
    <t>584-89-6389</t>
  </si>
  <si>
    <t>315-86-5162</t>
  </si>
  <si>
    <t>085-48-7962</t>
  </si>
  <si>
    <t>058-78-1774</t>
  </si>
  <si>
    <t>123-70-6600</t>
  </si>
  <si>
    <t>000-00-7051</t>
  </si>
  <si>
    <t>582-13-7594</t>
  </si>
  <si>
    <t>582-99-6147</t>
  </si>
  <si>
    <t>060-58-0998</t>
  </si>
  <si>
    <t>084-74-0688</t>
  </si>
  <si>
    <t>104-53-2317</t>
  </si>
  <si>
    <t>000-00-1399</t>
  </si>
  <si>
    <t>000-00-9794</t>
  </si>
  <si>
    <t>000-00-0381</t>
  </si>
  <si>
    <t>121-54-1165</t>
  </si>
  <si>
    <t>125-44-6827</t>
  </si>
  <si>
    <t>109-82-8688</t>
  </si>
  <si>
    <t>146-68-8316</t>
  </si>
  <si>
    <t>153-60-5091</t>
  </si>
  <si>
    <t>114-32-9942</t>
  </si>
  <si>
    <t>000-00-1406</t>
  </si>
  <si>
    <t>000-00-7068</t>
  </si>
  <si>
    <t>111-38-8728</t>
  </si>
  <si>
    <t>000-00-8756</t>
  </si>
  <si>
    <t>000-00-0396</t>
  </si>
  <si>
    <t>000-00-8950</t>
  </si>
  <si>
    <t>262-93-0699</t>
  </si>
  <si>
    <t>085-68-6086</t>
  </si>
  <si>
    <t>564-73-0351</t>
  </si>
  <si>
    <t>090-58-0881</t>
  </si>
  <si>
    <t>082-40-5764</t>
  </si>
  <si>
    <t>104-70-9076</t>
  </si>
  <si>
    <t>096-60-0889</t>
  </si>
  <si>
    <t>107-68-4705</t>
  </si>
  <si>
    <t>000-00-4443</t>
  </si>
  <si>
    <t>247-56-6723</t>
  </si>
  <si>
    <t>050-84-5305</t>
  </si>
  <si>
    <t>687-54-4349</t>
  </si>
  <si>
    <t>000-00-6215</t>
  </si>
  <si>
    <t>055-68-9240</t>
  </si>
  <si>
    <t>081-44-2168</t>
  </si>
  <si>
    <t>073-48-4291</t>
  </si>
  <si>
    <t>000-00-7557</t>
  </si>
  <si>
    <t>000-00-3111</t>
  </si>
  <si>
    <t>000-00-3050</t>
  </si>
  <si>
    <t>000-00-6001</t>
  </si>
  <si>
    <t>127-88-0878</t>
  </si>
  <si>
    <t>117-84-4123</t>
  </si>
  <si>
    <t>000-00-4867</t>
  </si>
  <si>
    <t>079-46-9798</t>
  </si>
  <si>
    <t>097-52-7399</t>
  </si>
  <si>
    <t>098-76-1064</t>
  </si>
  <si>
    <t>051-60-8571</t>
  </si>
  <si>
    <t>089-32-1335</t>
  </si>
  <si>
    <t>093-74-8828</t>
  </si>
  <si>
    <t>115-54-0704</t>
  </si>
  <si>
    <t>101-50-7809</t>
  </si>
  <si>
    <t>065-62-5087</t>
  </si>
  <si>
    <t>933-62-9150</t>
  </si>
  <si>
    <t>000-00-2246</t>
  </si>
  <si>
    <t>132-98-9505</t>
  </si>
  <si>
    <t>071-60-3392</t>
  </si>
  <si>
    <t>065-58-5665</t>
  </si>
  <si>
    <t>127-74-7406</t>
  </si>
  <si>
    <t>145-74-4388</t>
  </si>
  <si>
    <t>061-98-5712</t>
  </si>
  <si>
    <t>080-64-7462</t>
  </si>
  <si>
    <t>058-58-7487</t>
  </si>
  <si>
    <t>096-56-9898</t>
  </si>
  <si>
    <t>097-64-5387</t>
  </si>
  <si>
    <t>075-66-4311</t>
  </si>
  <si>
    <t>052-54-2038</t>
  </si>
  <si>
    <t>093-68-2777</t>
  </si>
  <si>
    <t>117-56-7284</t>
  </si>
  <si>
    <t>073-58-9956</t>
  </si>
  <si>
    <t>096-74-5721</t>
  </si>
  <si>
    <t>000-00-6453</t>
  </si>
  <si>
    <t>081-80-6178</t>
  </si>
  <si>
    <t>123-76-2708</t>
  </si>
  <si>
    <t>000-00-5621</t>
  </si>
  <si>
    <t>094-56-5789</t>
  </si>
  <si>
    <t>000-00-9649</t>
  </si>
  <si>
    <t>081-72-5046</t>
  </si>
  <si>
    <t>051-74-6689</t>
  </si>
  <si>
    <t>582-57-9260</t>
  </si>
  <si>
    <t>114-86-9149</t>
  </si>
  <si>
    <t>093-72-4292</t>
  </si>
  <si>
    <t>069-58-0202</t>
  </si>
  <si>
    <t>095-56-9243</t>
  </si>
  <si>
    <t>091-76-9347</t>
  </si>
  <si>
    <t>076-84-4781</t>
  </si>
  <si>
    <t>083-76-7025</t>
  </si>
  <si>
    <t>298-46-7618</t>
  </si>
  <si>
    <t>096-86-3654</t>
  </si>
  <si>
    <t>073-58-6151</t>
  </si>
  <si>
    <t>238-98-1731</t>
  </si>
  <si>
    <t>054-56-4131</t>
  </si>
  <si>
    <t>127-66-1523</t>
  </si>
  <si>
    <t>000-00-5682</t>
  </si>
  <si>
    <t>000-00-4997</t>
  </si>
  <si>
    <t>056-66-5750</t>
  </si>
  <si>
    <t>085-76-8716</t>
  </si>
  <si>
    <t>085-58-9145</t>
  </si>
  <si>
    <t>117-56-3604</t>
  </si>
  <si>
    <t>128-48-4088</t>
  </si>
  <si>
    <t>125-34-3188</t>
  </si>
  <si>
    <t>061-32-8680</t>
  </si>
  <si>
    <t>066-34-0320</t>
  </si>
  <si>
    <t>101-38-3154</t>
  </si>
  <si>
    <t>050-40-3168</t>
  </si>
  <si>
    <t>055-34-4046</t>
  </si>
  <si>
    <t>084-36-8017</t>
  </si>
  <si>
    <t>061-34-8157</t>
  </si>
  <si>
    <t>118-86-6074</t>
  </si>
  <si>
    <t>417-54-4910</t>
  </si>
  <si>
    <t>Rent Stabilized</t>
  </si>
  <si>
    <t>Public Housing</t>
  </si>
  <si>
    <t>Project-based Sec. 8</t>
  </si>
  <si>
    <t>HDFC</t>
  </si>
  <si>
    <t>Unregulated – Other</t>
  </si>
  <si>
    <t>Tenant-interim-lease</t>
  </si>
  <si>
    <t>Unregulated</t>
  </si>
  <si>
    <t>Rent Controlled</t>
  </si>
  <si>
    <t>Public Housing/NYCHA</t>
  </si>
  <si>
    <t>Mitchell-Lama</t>
  </si>
  <si>
    <t>Low Income Tax Credit</t>
  </si>
  <si>
    <t>Other Subsidized Housing</t>
  </si>
  <si>
    <t>Unregulated – Co-Op</t>
  </si>
  <si>
    <t>Supportive Housing</t>
  </si>
  <si>
    <t>Unregulated – Sublet</t>
  </si>
  <si>
    <t>Section 8</t>
  </si>
  <si>
    <t>FEPS</t>
  </si>
  <si>
    <t>City FEPS</t>
  </si>
  <si>
    <t>DRIE/SCRIE</t>
  </si>
  <si>
    <t>SEPS</t>
  </si>
  <si>
    <t>HASA</t>
  </si>
  <si>
    <t>LINC</t>
  </si>
  <si>
    <t>HUD VASH</t>
  </si>
  <si>
    <t>HOMETBRA</t>
  </si>
  <si>
    <t>Pathways Home</t>
  </si>
  <si>
    <t>SOTA</t>
  </si>
  <si>
    <t>11/28/2016</t>
  </si>
  <si>
    <t>11/26/2016</t>
  </si>
  <si>
    <t>03/02/2017</t>
  </si>
  <si>
    <t>03/20/2017</t>
  </si>
  <si>
    <t>05/12/2017</t>
  </si>
  <si>
    <t>03/22/2018</t>
  </si>
  <si>
    <t>02/20/2017</t>
  </si>
  <si>
    <t>05/11/2018</t>
  </si>
  <si>
    <t>Income Waiver</t>
  </si>
  <si>
    <t>CAT1: HRA Referral</t>
  </si>
  <si>
    <t>FJC Waiver</t>
  </si>
  <si>
    <t>CAT3: Cases Involving Rent-Regulated Housing Or Housing Subsidies Vouchers</t>
  </si>
  <si>
    <t>CAT2: Housing Court Referral</t>
  </si>
  <si>
    <t>Zip Code Waiver</t>
  </si>
  <si>
    <t>Spanish</t>
  </si>
  <si>
    <t>Arabic</t>
  </si>
  <si>
    <t>Korean</t>
  </si>
  <si>
    <t>Albanian</t>
  </si>
  <si>
    <t>Creole</t>
  </si>
  <si>
    <t>Russian</t>
  </si>
  <si>
    <t>French Creole</t>
  </si>
  <si>
    <t>Amer. Sign Lang.</t>
  </si>
  <si>
    <t>Not Entered</t>
  </si>
  <si>
    <t>Japanese</t>
  </si>
  <si>
    <t>Panjabi</t>
  </si>
  <si>
    <t>Bengali</t>
  </si>
  <si>
    <t>Mandarin</t>
  </si>
  <si>
    <t>Chinese/Mandarin</t>
  </si>
  <si>
    <t xml:space="preserve">Chinese </t>
  </si>
  <si>
    <t>Dutch</t>
  </si>
  <si>
    <t>Sign Language</t>
  </si>
  <si>
    <t>Finnish</t>
  </si>
  <si>
    <t>Cantonese</t>
  </si>
  <si>
    <t>Rumanian</t>
  </si>
  <si>
    <t>Chinese/Cantonese</t>
  </si>
  <si>
    <t>Hebrew</t>
  </si>
  <si>
    <t>Urdu</t>
  </si>
  <si>
    <t>Vietnamese</t>
  </si>
  <si>
    <t>Slovak</t>
  </si>
  <si>
    <t>Samoan</t>
  </si>
  <si>
    <t>Portuguese</t>
  </si>
  <si>
    <t>Mixteco</t>
  </si>
  <si>
    <t>Cambodian</t>
  </si>
  <si>
    <t>Croatian</t>
  </si>
  <si>
    <t>Turkish</t>
  </si>
  <si>
    <t>Italian</t>
  </si>
  <si>
    <t>Persian</t>
  </si>
  <si>
    <t>Hindi</t>
  </si>
  <si>
    <t>Tagalog</t>
  </si>
  <si>
    <t>Polish</t>
  </si>
  <si>
    <t>HRA Rollover case</t>
  </si>
  <si>
    <t>No 4 month issue, rent reduction was done in 2016, PAR was done in 2017, just obtained forms in 2018.  DHCI marked yes bc verified benefits</t>
  </si>
  <si>
    <t>HRA Rollover case; HPLP income waiver</t>
  </si>
  <si>
    <t>HRA Rollover case; DHCI form done</t>
  </si>
  <si>
    <t>DHCI form done</t>
  </si>
  <si>
    <t>need billing consent; confirm benefits?</t>
  </si>
  <si>
    <t>No 4 month issue, rent reduction was done in 2016, PAR was done in 2017, just obtained forms in 2018</t>
  </si>
  <si>
    <t>DO-Docs signed and uploaded</t>
  </si>
  <si>
    <t>need DHCI from FY19</t>
  </si>
  <si>
    <t>&gt;200% - HRA waiver approved</t>
  </si>
  <si>
    <t>DHCI form done HRA</t>
  </si>
  <si>
    <t>upload in 17-1853915</t>
  </si>
  <si>
    <t>upload in 17-1835050</t>
  </si>
  <si>
    <t>HPLP roll over</t>
  </si>
  <si>
    <t>All compliance forms are uploaded</t>
  </si>
  <si>
    <t>have benefits proof in lieu of DHCI</t>
  </si>
  <si>
    <t>HRA Rollover case; HRA Referral</t>
  </si>
  <si>
    <t>DHCI form</t>
  </si>
  <si>
    <t>Upload in compliance folder</t>
  </si>
  <si>
    <t>HRA forms in 17-1854779</t>
  </si>
  <si>
    <t>upload in 17-1852920</t>
  </si>
  <si>
    <t>Upload in 17-1852362</t>
  </si>
  <si>
    <t>All releases are uploaded</t>
  </si>
  <si>
    <t>Upload in 17-1852179</t>
  </si>
  <si>
    <t>Income waiver request made on 3.18.2019</t>
  </si>
  <si>
    <t>needs waiver &gt;200%</t>
  </si>
  <si>
    <t>advice only b/f 10462 became UA zip (clt failed to follow up for one shot docs)</t>
  </si>
  <si>
    <t>client refused services</t>
  </si>
  <si>
    <t>Not comfortable giving out SSN until meets with someone face-to-face</t>
  </si>
  <si>
    <t>DHCI marked yes bc we have proof of benefits</t>
  </si>
  <si>
    <t>Client provided last 4 digits of SS# but declined to provide in its entirety;  case did not include any housing activity indicators.</t>
  </si>
  <si>
    <t>Income waiver for bldg</t>
  </si>
  <si>
    <t>Releases are uploaded</t>
  </si>
  <si>
    <t>All releases and forms are uploaded</t>
  </si>
  <si>
    <t>DO-Client signed income form but staff did not sign it</t>
  </si>
  <si>
    <t>DHCI marked yes bc verified benefits</t>
  </si>
  <si>
    <t>signed DHCI</t>
  </si>
  <si>
    <t>DHCI by HRA</t>
  </si>
  <si>
    <t>DHCI completed.</t>
  </si>
  <si>
    <t>DHCI done</t>
  </si>
  <si>
    <t>&gt;200% Income waiver neede?</t>
  </si>
  <si>
    <t>&gt;200%</t>
  </si>
  <si>
    <t>need waiver &gt;200%</t>
  </si>
  <si>
    <t>DHCI signed</t>
  </si>
  <si>
    <t>Over 200%, advice only</t>
  </si>
  <si>
    <t>HDCI form done</t>
  </si>
  <si>
    <t>refused to give SS#</t>
  </si>
  <si>
    <t>veteran; hra granted income waiver</t>
  </si>
  <si>
    <t>need to update DHCI (don't need new form from cl)</t>
  </si>
  <si>
    <t>All forms are uploaded</t>
  </si>
  <si>
    <t>&gt;200% FPL -  submitted request for income waiver 9/25</t>
  </si>
  <si>
    <t>DHCI and consent</t>
  </si>
  <si>
    <t>DO</t>
  </si>
  <si>
    <t>HRA referral</t>
  </si>
  <si>
    <t>billable??</t>
  </si>
  <si>
    <t>Client provided last 4 digits of SS# but declined to provide in its entirety.</t>
  </si>
  <si>
    <t>HPD Termination proceeding, no case number.</t>
  </si>
  <si>
    <t>DO-HH is over 200%</t>
  </si>
  <si>
    <t>HRA signed DHCI</t>
  </si>
  <si>
    <t>refused to give ss#</t>
  </si>
  <si>
    <t>DO-Docs signed and uploaded-File is under the compliance folder as "Attestation"</t>
  </si>
  <si>
    <t>Compliance upload 18-1878637</t>
  </si>
  <si>
    <t>Intake release forms are found in Attestation upload</t>
  </si>
  <si>
    <t>DO-Noted that waiver was approved</t>
  </si>
  <si>
    <t>upload in 18-1876941</t>
  </si>
  <si>
    <t>uploaded in 18-1876925</t>
  </si>
  <si>
    <t>&gt;200% - need waiver</t>
  </si>
  <si>
    <t>HDCI by HRA</t>
  </si>
  <si>
    <t>Intake Pkg, Attestation &amp; DHCI included in Retainer Doc</t>
  </si>
  <si>
    <t>Compliance upload 18-1876272</t>
  </si>
  <si>
    <t>can't bill - not a housing case</t>
  </si>
  <si>
    <t>&gt;200%Income waiver needed?</t>
  </si>
  <si>
    <t>upload in 18-1876799</t>
  </si>
  <si>
    <t>upload in 18-1876828</t>
  </si>
  <si>
    <t>upload in 18-1876793</t>
  </si>
  <si>
    <t>upload in 18-1876913</t>
  </si>
  <si>
    <t>Compliance upload 18-1878669</t>
  </si>
  <si>
    <t>compliance docs located in parent file #18-1885168</t>
  </si>
  <si>
    <t>Compliance Docs located in parent file #18-1885168</t>
  </si>
  <si>
    <t>HPLP/TRC swap</t>
  </si>
  <si>
    <t>don't need DHCI bc HRA verified benefits</t>
  </si>
  <si>
    <t>Compliance upload 18-1878653</t>
  </si>
  <si>
    <t>upload in 18-1879056</t>
  </si>
  <si>
    <t>refused to give me SS#</t>
  </si>
  <si>
    <t>HPLP/TRC funding swap</t>
  </si>
  <si>
    <t>DHCI form complete</t>
  </si>
  <si>
    <t>Compliance Docs in  (18-1883805)</t>
  </si>
  <si>
    <t>HRA Consent uploaded</t>
  </si>
  <si>
    <t>Need DHCI / consent</t>
  </si>
  <si>
    <t>&gt;200%, need waiver</t>
  </si>
  <si>
    <t>no case, can't report UA/HPLP</t>
  </si>
  <si>
    <t>Forms are in the other 2018 file</t>
  </si>
  <si>
    <t>Need HRA consent form</t>
  </si>
  <si>
    <t>over 200%</t>
  </si>
  <si>
    <t>&gt;200%, submitted waiver request</t>
  </si>
  <si>
    <t>UA/TRC funding swap</t>
  </si>
  <si>
    <t>no documented advice</t>
  </si>
  <si>
    <t>see 18-1873823 for DHCI</t>
  </si>
  <si>
    <t>compliance doc 18-1876696</t>
  </si>
  <si>
    <t>DHCI and HRA forms located in #19-1889315 - Retainer located in #18-1856466</t>
  </si>
  <si>
    <t>DHCI &amp; HRA forms located in file # 19-1889304 - Retainer located in file #17-1844625</t>
  </si>
  <si>
    <t>Compliance docs located in file #17-1844623</t>
  </si>
  <si>
    <t>DHCI and HRA forms located in #19-1889312 -  Retainer located in #17-1844626</t>
  </si>
  <si>
    <t>DHCI &amp; HRA forms located in file #19-1889327- Retainer located in file #18-1882438</t>
  </si>
  <si>
    <t>Compliance Docs located in parent file 18-1882438</t>
  </si>
  <si>
    <t>Compliance Docs located in parent file 18-1856466</t>
  </si>
  <si>
    <t>Compliance Docs located in parent file 18-1856516.</t>
  </si>
  <si>
    <t>Compliance Docs located in parent file 17-1844625</t>
  </si>
  <si>
    <t>Compliance Docs located in parent file 17-1844626</t>
  </si>
  <si>
    <t>Upload is in Compliance folder</t>
  </si>
  <si>
    <t>see 18-1879063 for comp docs</t>
  </si>
  <si>
    <t>comp docs in 18-1879063</t>
  </si>
  <si>
    <t>upload in 18-1879051</t>
  </si>
  <si>
    <t>DHCI &amp; consent under attestation</t>
  </si>
  <si>
    <t>signed DHCI form</t>
  </si>
  <si>
    <t>consent &amp; DHCI in 18-1884972</t>
  </si>
  <si>
    <t>DHCI Not Signed by Staff - Income waiver needed</t>
  </si>
  <si>
    <t>compliance docs located in parent file #18-1885030</t>
  </si>
  <si>
    <t>consent/DHCI in 18-1878211 (physical file)</t>
  </si>
  <si>
    <t>DO-We have Income Waiver as per Jim's note</t>
  </si>
  <si>
    <t>see 18-1875936 for compliance docs</t>
  </si>
  <si>
    <t>No Signed  Documents</t>
  </si>
  <si>
    <t>no show for her appt</t>
  </si>
  <si>
    <t>0ver income</t>
  </si>
  <si>
    <t>funding swap</t>
  </si>
  <si>
    <t>Income waiver needed.</t>
  </si>
  <si>
    <t>&gt;200%, need income waiver</t>
  </si>
  <si>
    <t>DHCI not uploaded</t>
  </si>
  <si>
    <t>DHCI ny HRA</t>
  </si>
  <si>
    <t>DHCI not signed by LSNY Staff   - Over 200%</t>
  </si>
  <si>
    <t>All DHCR advocacy occurred 4 months apart, we just obtained all forms in 2018.  No benefit, HRA verified, 7/20/17</t>
  </si>
  <si>
    <t>Release and DHCI in 18-1871432</t>
  </si>
  <si>
    <t>&gt;200%, income waiver requested</t>
  </si>
  <si>
    <t>don't need DHCI bc confirmed PA recipient</t>
  </si>
  <si>
    <t>CASA 10/11</t>
  </si>
  <si>
    <t>&gt;200% but HRA worker signed off on a DHCI</t>
  </si>
  <si>
    <t>HRA Rollover case; DHCI form done HRA</t>
  </si>
  <si>
    <t>&gt;200% FPL, need income waiver</t>
  </si>
  <si>
    <t>DHCI Form does not match what is in LS</t>
  </si>
  <si>
    <t>DHCI doesn't match LS</t>
  </si>
  <si>
    <t>compliance doc in 18-1881489</t>
  </si>
  <si>
    <t>upload in compliance folder</t>
  </si>
  <si>
    <t>client homebound, he's mailing compliance docs back to me</t>
  </si>
  <si>
    <t>Compliance docs in (18-1863740)</t>
  </si>
  <si>
    <t>compliance doc 18-1877190</t>
  </si>
  <si>
    <t>LS HH COm does not match DHCI</t>
  </si>
  <si>
    <t>Do not report- declined to rep</t>
  </si>
  <si>
    <t>public housing - can't report under TRC</t>
  </si>
  <si>
    <t>Needs an Updated DHCI Form</t>
  </si>
  <si>
    <t>forms will be signed by client on 10/30/18</t>
  </si>
  <si>
    <t>no forms, can't bill</t>
  </si>
  <si>
    <t>pre-litigation advice</t>
  </si>
  <si>
    <t>Obtain consent via phone 6/4/18.  No 4 month issue, rent reduction was done in 2016, PAR was done in 2017, just obtained forms in 2018</t>
  </si>
  <si>
    <t>&gt;200% - need waiver for full rep</t>
  </si>
  <si>
    <t>see file # 18-1871977 for consent &amp; DHCI</t>
  </si>
  <si>
    <t>scheduled for CASA 11/1</t>
  </si>
  <si>
    <t>UA zip, advice only</t>
  </si>
  <si>
    <t>CASA 11/8</t>
  </si>
  <si>
    <t>Compliance Docs located in parent file 18-1880262</t>
  </si>
  <si>
    <t>comp docs Elvy, Ray (18-1882171)</t>
  </si>
  <si>
    <t>&gt;200% FPL, non-UA advice</t>
  </si>
  <si>
    <t>DO-noted that waiver was approved - Compliance docs in parent file 18-1875098</t>
  </si>
  <si>
    <t>DO-Noted that waiver was approved / Compliance docs located in parent file #18-1874152</t>
  </si>
  <si>
    <t>compliance docs are in attestation folder</t>
  </si>
  <si>
    <t>intake/releases uploaded</t>
  </si>
  <si>
    <t>Waiver obtained for Dukler building wide HP initiative</t>
  </si>
  <si>
    <t>Working w/ LW re: Green Card Application</t>
  </si>
  <si>
    <t>CASA 11/29</t>
  </si>
  <si>
    <t>DV Survivor</t>
  </si>
  <si>
    <t>compliance docs located in parent file #18-1873030</t>
  </si>
  <si>
    <t>HRA # in lieu of DHCI</t>
  </si>
  <si>
    <t>HRA Consent form &amp; Attestation located in Parent File 17-1854274</t>
  </si>
  <si>
    <t>no pending proceeding</t>
  </si>
  <si>
    <t>consent from prior file; HRA # in lieu of DHCI</t>
  </si>
  <si>
    <t>PA# in lieu of DHCI</t>
  </si>
  <si>
    <t>Consent to Release in 19-1893768</t>
  </si>
  <si>
    <t>Compliance docs located in companion file #18-1882630</t>
  </si>
  <si>
    <t>Compliance docs located in 19-1887074</t>
  </si>
  <si>
    <t>DHCI &amp; consent in 18-1884730</t>
  </si>
  <si>
    <t>&gt;200% FPL, advice only</t>
  </si>
  <si>
    <t>CASA 12/6</t>
  </si>
  <si>
    <t>&gt;200%, advice only</t>
  </si>
  <si>
    <t>Group case although this is the only address</t>
  </si>
  <si>
    <t>Release forms can be found in Attestation upload</t>
  </si>
  <si>
    <t>DHCI &amp; consent in 18-1886637</t>
  </si>
  <si>
    <t>Compliance Docs found in parent file 18-1878029</t>
  </si>
  <si>
    <t>changed funding to HPLP to report as an advice only case</t>
  </si>
  <si>
    <t>Release in Attestation  file</t>
  </si>
  <si>
    <t>&gt;200% advice, reporting under TRC</t>
  </si>
  <si>
    <t>copy of PA case comp in 18-1884683</t>
  </si>
  <si>
    <t>DHCI BY HRA</t>
  </si>
  <si>
    <t>Waiting for GAL to be appointed to retain us</t>
  </si>
  <si>
    <t>Releases are found in the Attestation folder</t>
  </si>
  <si>
    <t>4/18 - need consent &amp; DHCI uploaded</t>
  </si>
  <si>
    <t>Releases are in the attestation folder</t>
  </si>
  <si>
    <t>4/19 - need consent &amp; DHCI uploaded</t>
  </si>
  <si>
    <t>Located DHCI form and uploaded</t>
  </si>
  <si>
    <t>Client did not provide his SS#</t>
  </si>
  <si>
    <t>Client did not provide SS number</t>
  </si>
  <si>
    <t>DHCI and consent forms are in other client file - 18-1886148</t>
  </si>
  <si>
    <t>Releases in Attestation File</t>
  </si>
  <si>
    <t>Client did not want to provide her SS number</t>
  </si>
  <si>
    <t>DHCI form is in file 18-1870514</t>
  </si>
  <si>
    <t>attorney forgot to get DHCI form/tenant didn't fill out because didn't udnerstand; confirmed by phone 29k income last year</t>
  </si>
  <si>
    <t>Compliance Docs located in parent file #18-1885030</t>
  </si>
  <si>
    <t>2016 3307 case restored in 2019; coding as 3018</t>
  </si>
  <si>
    <t>over 200% - Income waiver requested on 2.7.19. and 3.18.19.</t>
  </si>
  <si>
    <t>TRC grant (Advocacy case); over 200% - Income waiver requested on 2.7.19.</t>
  </si>
  <si>
    <t>consent/DHCI in 18-1872413</t>
  </si>
  <si>
    <t>CASA 1/3</t>
  </si>
  <si>
    <t>consent in 2018 file; active HRA# in lieu of DHCI</t>
  </si>
  <si>
    <t>UA over 200% Advice - Waiver not needed</t>
  </si>
  <si>
    <t>Intake release forms are in Attestation-compliance folder</t>
  </si>
  <si>
    <t>intake/release forms are in Attestation-compliance folder of parent file #19-1887512</t>
  </si>
  <si>
    <t>on 5/17/2019 HRA stated no waiver needed</t>
  </si>
  <si>
    <t>FY19</t>
  </si>
  <si>
    <t>consent &amp; DHCI in attestation</t>
  </si>
  <si>
    <t>Compliance Docs located in parent file #19-1892341 incl retainer &amp; attestation</t>
  </si>
  <si>
    <t>cl declined rep</t>
  </si>
  <si>
    <t>PVT house</t>
  </si>
  <si>
    <t>Pvt house</t>
  </si>
  <si>
    <t>4/10 - case status unclear from notes</t>
  </si>
  <si>
    <t>DHCI &amp; consent in 18-1855186</t>
  </si>
  <si>
    <t>HRA Rollover case; DHCI form done  HRA</t>
  </si>
  <si>
    <t>4/10 - need consent; case status unclear</t>
  </si>
  <si>
    <t>if we don't end up filing, report under TRC</t>
  </si>
  <si>
    <t>No 4 month issue, PAR, rent reduction and MCI opp all occurred 4+ months apart</t>
  </si>
  <si>
    <t>hra income waiver granted</t>
  </si>
  <si>
    <t>Income waiver needed for building wide initiative</t>
  </si>
  <si>
    <t>not sure if we can bill since case is about damages in a former apt?</t>
  </si>
  <si>
    <t>Income waiver needed?</t>
  </si>
  <si>
    <t>needs notes + DHCI uploaded</t>
  </si>
  <si>
    <t>PA #</t>
  </si>
  <si>
    <t>Waiver obtained for APT facial recognition group wide initiative - No DHCI required</t>
  </si>
  <si>
    <t>Waiver obtained - No DHCI required</t>
  </si>
  <si>
    <t>Waiver for APT Facial Recognition. No DHCI required.</t>
  </si>
  <si>
    <t>Wavier for APT Facial Recognition. No DHCI required.</t>
  </si>
  <si>
    <t>No DHCI required -Waiver obtained for APT facial recognition building wide initiative</t>
  </si>
  <si>
    <t>Waiver obtained for DHCI re APT bldg wide initiative</t>
  </si>
  <si>
    <t>Wavier for APT facial recognition. No DHCI required.</t>
  </si>
  <si>
    <t>Waiver for DHCI obtained for facial recognition building wide initiative- Income waiver required</t>
  </si>
  <si>
    <t>No DHCI required -Waiver obtained for APT facial recognition group wide initiative</t>
  </si>
  <si>
    <t>Waiver for APT Facial Recognition. DHCI not required.</t>
  </si>
  <si>
    <t>Waiver obtained re No DHCI required</t>
  </si>
  <si>
    <t>Need income waiver. Waiver obtained re No DHCI required</t>
  </si>
  <si>
    <t>Wavier for APt facial recognition. No DHCI required.</t>
  </si>
  <si>
    <t>Wavier for APT facial regonition. No DHCI required.</t>
  </si>
  <si>
    <t>Wavier for APT Facial recognition. No DHCI required.</t>
  </si>
  <si>
    <t>Wavier for APT Facial recognition. No DHCI required</t>
  </si>
  <si>
    <t>Wavier for APT Facial recognition.No DHCI required.</t>
  </si>
  <si>
    <t>Waiver for no DHCI required</t>
  </si>
  <si>
    <t>Wavier for APT Facial Recognition. No DHCI required. Compliance forms are in 19-1897190</t>
  </si>
  <si>
    <t>Wavier for APT Facial Recognition.No DHCI required.</t>
  </si>
  <si>
    <t>Building wide waiver obtained for DHCI form - Compliance Docs located in Companion file #19-1897400</t>
  </si>
  <si>
    <t>Building wide waiver obtained for DHCI form - Compliance Docs located in companion file #19-1897406</t>
  </si>
  <si>
    <t>Building wide waiver obtained for DHCI form -Compliance Doc located in companion file #19-1897349</t>
  </si>
  <si>
    <t>Building wide waiver obtained for DHCI form -Compliance Docs located in companion file #19-1897393</t>
  </si>
  <si>
    <t>Building wide waiver obtained for DHCI form. Retainer, Attestation &amp; Release located in companion file #19-1897410</t>
  </si>
  <si>
    <t>Building wide waiver obtained for DHCI form</t>
  </si>
  <si>
    <t>Waiver for APT Facial recognition. No DHCI required.</t>
  </si>
  <si>
    <t>Wavier for APT Facial Recogniton. No DHCI Required. Income waiver required</t>
  </si>
  <si>
    <t>Wavier for APT Facial Recogniton. No DHCI required.</t>
  </si>
  <si>
    <t>client declined services by failing to respond to outreach</t>
  </si>
  <si>
    <t>confirm/upload forms</t>
  </si>
  <si>
    <t>Consent to Release Form is unsigned</t>
  </si>
  <si>
    <t>funding docs in 18-1881629</t>
  </si>
  <si>
    <t>Waiver obtained re No DHCI required. Attestation &amp; Release are housed in parent file #19-1891491</t>
  </si>
  <si>
    <t>Waiver obtained re No DHCI required. Attestation &amp; Release are housed in parent file #19-1891507</t>
  </si>
  <si>
    <t>Waiver obtained re No DHCI required.</t>
  </si>
  <si>
    <t>Compliance forms are in original LS 19-1890543</t>
  </si>
  <si>
    <t>Compliance forms are in original LS 19-1890177</t>
  </si>
  <si>
    <t>Compliance form are in original LS 19-1890535</t>
  </si>
  <si>
    <t>Waiver obtained re No DHCI required. Attestation &amp; Release are housed in parent file #19-1891500</t>
  </si>
  <si>
    <t>Compliance forms are in original LS 18-1886113</t>
  </si>
  <si>
    <t>Waiver obtained re No DHCI required. Attestation &amp; Release are housed in parent file #19-1891565</t>
  </si>
  <si>
    <t>Waiver obtained re No DHCI required. Attestation &amp; Release are housed in parent file #19-1891559</t>
  </si>
  <si>
    <t>Compliance forms are in original LS 18-1886109</t>
  </si>
  <si>
    <t>Waiver obtained re No DHCI required. Attestation &amp; Release are housed in parent file #19-1891550</t>
  </si>
  <si>
    <t>Income waiver required. Waiver obtained re No DHCI required.</t>
  </si>
  <si>
    <t>Waiver obtained re No DHCI required. Attestation &amp; Release are housed in parent file #19-1891541</t>
  </si>
  <si>
    <t>Complaince forms are in original LS 19-1890550</t>
  </si>
  <si>
    <t>Complaince forms are in original LS 18-1886541</t>
  </si>
  <si>
    <t>Compliance forms are in original LS 19-1889442</t>
  </si>
  <si>
    <t>Compliance Docs located in parent file #18-1886406</t>
  </si>
  <si>
    <t>Waiver obtained re No DHCI required. Attestation &amp; Release are housed in parent file #19-1891662</t>
  </si>
  <si>
    <t>Compliance Docs located in parent file #18-1878029</t>
  </si>
  <si>
    <t>Waiver obtained re No DHCI required. Attestation &amp; Release are housed in parent file #19-1891604</t>
  </si>
  <si>
    <t>Compliance forms are in original LS 19-1890585</t>
  </si>
  <si>
    <t>Waiver obtained for DHCI form</t>
  </si>
  <si>
    <t>Compliance Docs located in parent file #18-1886536</t>
  </si>
  <si>
    <t>Compliance Docs located in parent file #19-1887097</t>
  </si>
  <si>
    <t>Compliance Docs located in parent file #18-1886734</t>
  </si>
  <si>
    <t>Waiver obtained re No DHCI required. Attestation &amp; Release are housed in parent file #19-1891635</t>
  </si>
  <si>
    <t>Waiver obtained re No DHCI required. Attestation &amp; Release are housed in parent file #19-1891580</t>
  </si>
  <si>
    <t>Compliance Forms are in original LS 19-1890584</t>
  </si>
  <si>
    <t>Compliance Docs located in parent file #18-1886163</t>
  </si>
  <si>
    <t>Waiver obtained re No DHCI required. Attestation &amp; Release are housed in parent file #19-1891594</t>
  </si>
  <si>
    <t>Compliance Forms are in original LS 19-1890628</t>
  </si>
  <si>
    <t>Waiver obtained re No DHCI required. Attestation &amp; Release are housed in parent file #19-1891586</t>
  </si>
  <si>
    <t>Compliance Forms are in original LS 19-1890581</t>
  </si>
  <si>
    <t>Compliance Forms are in original LS 19-1890575</t>
  </si>
  <si>
    <t>Compliance forms ar ein original LS 19-1890587</t>
  </si>
  <si>
    <t>Waiver obtained - No DHCI required Compliance Docs located in parent file #19-1890532</t>
  </si>
  <si>
    <t>Waiver obtained - No DHCI required Compliance Docs located in parent file #19-1890555</t>
  </si>
  <si>
    <t>Waiver obtained - No DHCI required Compliance Docs located in parent file #19-1890630</t>
  </si>
  <si>
    <t>Waiver obtained - No DHCI required Compliance Docs located in parent file #19-1890579</t>
  </si>
  <si>
    <t>Waiver obtained - No DHCI required Compliance Docs located in parent file #19-1890540</t>
  </si>
  <si>
    <t>Waiver obtained - No DHCI required Compliance Docs located in parent file #19-1890561</t>
  </si>
  <si>
    <t>Waiver obtained - No DHCI required Compliance Docs located in parent file #19-1890567</t>
  </si>
  <si>
    <t>Waiver obtained - No DHCI required Compliance Docs located in parent file #19-1890552</t>
  </si>
  <si>
    <t>Compliance forms are in original LS 19-1892004</t>
  </si>
  <si>
    <t>Compliance forms are in original LS 19-1891991</t>
  </si>
  <si>
    <t>Compliance Forms are in orginial LS 19-1891925</t>
  </si>
  <si>
    <t>Compliances forms are in original LS 19-1891891</t>
  </si>
  <si>
    <t>Compliance Forms are in orginial LS 19-1891940</t>
  </si>
  <si>
    <t>Compliance Forms are in original LS 19-1891914</t>
  </si>
  <si>
    <t>Compliance forms are in original LS 19-1891983</t>
  </si>
  <si>
    <t>Compliance forms are in original LS 19-1892080</t>
  </si>
  <si>
    <t>Compliance forms are in original LS 19-1892069</t>
  </si>
  <si>
    <t>Compliance forms are in original LS 19-1892094</t>
  </si>
  <si>
    <t>DHCI waiver obtained for facial recognition group work</t>
  </si>
  <si>
    <t>Compliance forms are in original LS 19-1892521</t>
  </si>
  <si>
    <t>DHCI waiver obtained. Need income waiver</t>
  </si>
  <si>
    <t>Compliance forms are in original LS 19-1892678</t>
  </si>
  <si>
    <t>Compliance forms are in original LS 19-1892650</t>
  </si>
  <si>
    <t>Compliance forms are in original LS 19-1892667</t>
  </si>
  <si>
    <t>Compliance forms are in original LS 19-1892764</t>
  </si>
  <si>
    <t>Compliance Forms are in original LS 19-1892761</t>
  </si>
  <si>
    <t>Compliance forms are in original LS 19-1892641</t>
  </si>
  <si>
    <t>Compliance forms are in original LS 19-1892850</t>
  </si>
  <si>
    <t>Compliance forms are in original LS 19-1892863</t>
  </si>
  <si>
    <t>Waiver for No DHCI required - Compliance docs in parent file #19-1893258</t>
  </si>
  <si>
    <t>Compliance forms are 19-1897167</t>
  </si>
  <si>
    <t>Compliance forms are in 19-1897175</t>
  </si>
  <si>
    <t>Compliance forms are in 19-1897154</t>
  </si>
  <si>
    <t>Compliance Forms are in 19-1897205</t>
  </si>
  <si>
    <t>Building wide waiver obtained for DHCI form -Compliance Docs located in companion file #19-1897337</t>
  </si>
  <si>
    <t>Building wide waiver obtained for DHCI form - Compliance Docs located in companion file #19-1897528</t>
  </si>
  <si>
    <t>Building wide waiver obtained for DHCI form - Compliance Docs located in companion file #19-1897516</t>
  </si>
  <si>
    <t>Building wide waiver obtained for DHCI form - Compliance Docs located in companion file #19-1897518</t>
  </si>
  <si>
    <t>Building wide waiver obtained for DHCI form - Needs income waiver</t>
  </si>
  <si>
    <t>Building wide waiver obtained for DHCI form - Compliance Docs located in companion file #19-1897534</t>
  </si>
  <si>
    <t>Building wide waiver obtained for DHCI form - Compliance docs located in companion file #19-1897609</t>
  </si>
  <si>
    <t>Building wide waiver obtained for DHCI form - Compliance docs located in companion file #19-1897605</t>
  </si>
  <si>
    <t>Compliance forms are in 19-1897702</t>
  </si>
  <si>
    <t>Compliance forms are in 19-1897843</t>
  </si>
  <si>
    <t>Compliance forms are in 19-1898037</t>
  </si>
  <si>
    <t>Compliance forms are in 19-1898022</t>
  </si>
  <si>
    <t>Compliance forms are in 19-1898251</t>
  </si>
  <si>
    <t>Compliance forms are in 19-1898243</t>
  </si>
  <si>
    <t>Compliance forms are in 19-1898268</t>
  </si>
  <si>
    <t>Compliance forms are in 19-1898259</t>
  </si>
  <si>
    <t>Compliance forms are in 19-1898383</t>
  </si>
  <si>
    <t>Compliance forms are in 19-1898376</t>
  </si>
  <si>
    <t>Compliance forms are in 19-1898404</t>
  </si>
  <si>
    <t>Compliance forms are in 19-1898368</t>
  </si>
  <si>
    <t>Compliance forms are in 19-1898394</t>
  </si>
  <si>
    <t>Compliance forms are in 19-1898732</t>
  </si>
  <si>
    <t>Income waiver required. DHCI waiver obtained</t>
  </si>
  <si>
    <t>Compliance forms are in 19-1898848</t>
  </si>
  <si>
    <t>Compliance forms are in 19-1898845</t>
  </si>
  <si>
    <t>Compliance forms are in 19-1898826</t>
  </si>
  <si>
    <t>Compliance forms are in 19-1898956</t>
  </si>
  <si>
    <t>Compliance forms are in 19-1898987</t>
  </si>
  <si>
    <t>Compliance forms are in 19-1898976</t>
  </si>
  <si>
    <t>Compliance forms are in 19-1898966</t>
  </si>
  <si>
    <t>Compliance forms are in 19-1898951</t>
  </si>
  <si>
    <t>Compliance forms are in 19-1898982</t>
  </si>
  <si>
    <t>Compliance forms are in LS 19-1901993</t>
  </si>
  <si>
    <t>Compliance forms are in LS 19-1902020</t>
  </si>
  <si>
    <t>Compliance forms are in LS 19-1902001</t>
  </si>
  <si>
    <t>Compliance forms are LS 19-1901977</t>
  </si>
  <si>
    <t>Compliance forms are in 19-1902042</t>
  </si>
  <si>
    <t>Compliance forms are LS 19-1901986</t>
  </si>
  <si>
    <t>Compliance forms are in 19-1902026</t>
  </si>
  <si>
    <t>Compliance forms are in LS 19-1902048</t>
  </si>
  <si>
    <t>Compliance forms are in 19-1902158</t>
  </si>
  <si>
    <t>Compliance forms are in 19-1902056</t>
  </si>
  <si>
    <t>4/10 - need LOS, case type, consent &amp; DHCI</t>
  </si>
  <si>
    <t>Attestation can be found in 18-1860281</t>
  </si>
  <si>
    <t>Attestation can be found in 18-1860318</t>
  </si>
  <si>
    <t>Attestation can be found in 18-1860276</t>
  </si>
  <si>
    <t>DHCI &amp; billing consent in file # 18-1884409</t>
  </si>
  <si>
    <t>releases/packet uploaded</t>
  </si>
  <si>
    <t>3/29 - sent waiver request to TH;</t>
  </si>
  <si>
    <t>Compliance forms are in 19-1896646.</t>
  </si>
  <si>
    <t>Compliance forms are in 19-1896646</t>
  </si>
  <si>
    <t>Compliance forms are in 19-1896739</t>
  </si>
  <si>
    <t>Compliance Forms are in 19-1896778</t>
  </si>
  <si>
    <t>NO DHCI ; other forms are in 19-1896750</t>
  </si>
  <si>
    <t>Compliance forms are in 19-1896750</t>
  </si>
  <si>
    <t>Needs income waiver</t>
  </si>
  <si>
    <t>needs advice updated in notes</t>
  </si>
  <si>
    <t>4/18 - still on hold?</t>
  </si>
  <si>
    <t>CASA 4/18</t>
  </si>
  <si>
    <t>court referral - &gt;200% FPL, advice only</t>
  </si>
  <si>
    <t>advice over phone.</t>
  </si>
  <si>
    <t>HRA forms in 18-1873865</t>
  </si>
  <si>
    <t>Compliance docs located in parent file # 19-1893312</t>
  </si>
  <si>
    <t>PA case comp AC 3/12/2019</t>
  </si>
  <si>
    <t>need DHCI uploaded or PA# entered</t>
  </si>
  <si>
    <t>CASA 1/24</t>
  </si>
  <si>
    <t>DHCI form income and LS income do not match</t>
  </si>
  <si>
    <t>5/10 - case status?</t>
  </si>
  <si>
    <t>NYCHA case transferring to 2157 - ND 6/14/19</t>
  </si>
  <si>
    <t>4/10 - need consent uploaded.</t>
  </si>
  <si>
    <t>Advice Only</t>
  </si>
  <si>
    <t>shd have consent + DHCI uploaded</t>
  </si>
  <si>
    <t>4/10 - unclear how to report as we're appearing as FOC</t>
  </si>
  <si>
    <t>Compliance forms can be found in 19-1896646</t>
  </si>
  <si>
    <t>Compliance forms are in 19-1896778</t>
  </si>
  <si>
    <t>FY19 Compliance upload 18-1878669</t>
  </si>
  <si>
    <t>releases and DHCI in 18-1878370</t>
  </si>
  <si>
    <t>proof of benefits and consent form in related file # 17-1854651</t>
  </si>
  <si>
    <t>Compliance docs located in companion file #19-1895283</t>
  </si>
  <si>
    <t>4/10-needs advocacy or advice notes</t>
  </si>
  <si>
    <t>Please see 19-1889883 for forms</t>
  </si>
  <si>
    <t>5/6 - need consent + DHCI uploaded</t>
  </si>
  <si>
    <t>4/23 - need consent + DHCI or active CA/SNAP # entered</t>
  </si>
  <si>
    <t>compliance docs in Case No: (19-1895470</t>
  </si>
  <si>
    <t>needs forms uploaded - 5/16</t>
  </si>
  <si>
    <t>5/10 - cl contact issues; can report as UA advice if non responsive as cl withdrew</t>
  </si>
  <si>
    <t>Attestation on pg 3 of intake pkg</t>
  </si>
  <si>
    <t>5/13 - need DHCI + non-cit verification</t>
  </si>
  <si>
    <t>Compliance docs located in companion file #19-1896778</t>
  </si>
  <si>
    <t>HRA Release is  in 19-1896750</t>
  </si>
  <si>
    <t>Compliance forms are 19-1896646</t>
  </si>
  <si>
    <t>advice call-back</t>
  </si>
  <si>
    <t>Compliance Docs located in companion file #19-1897431</t>
  </si>
  <si>
    <t>5/10 - need advice notes</t>
  </si>
  <si>
    <t>COnsebt and DHCI 19-1897729</t>
  </si>
  <si>
    <t>Compliance docs located in parent file #18-1876504</t>
  </si>
  <si>
    <t>Need income waiver - Compliance docs located in parent file #18-1880271</t>
  </si>
  <si>
    <t>Compliance docs located in companion file #18-1882154</t>
  </si>
  <si>
    <t>Compliance docs located in companion file #18-1884207</t>
  </si>
  <si>
    <t>Compliance docs located in companion file #18-1876512</t>
  </si>
  <si>
    <t>Compliance docs located in companion file #18-1882164</t>
  </si>
  <si>
    <t>Need income waiver - Compliance docs located in companion file #18-1876511</t>
  </si>
  <si>
    <t>Need income waiver - Compliance docs located in companion file #18-1876516</t>
  </si>
  <si>
    <t>Need income waiver  - compliance docs located in file #18-1876938</t>
  </si>
  <si>
    <t>Compliance docs are located in companion file #18-1879255</t>
  </si>
  <si>
    <t>Client needs income waiver re group rep  - Compliance docs located in companion file #18-1879248</t>
  </si>
  <si>
    <t>NOA filed?</t>
  </si>
  <si>
    <t>Income waiver needed for building wide affirmative action</t>
  </si>
  <si>
    <t>Income waiver needed for building wide work - Compliance docs located in parent file #19-1898331</t>
  </si>
  <si>
    <t>4/10 - need LOS</t>
  </si>
  <si>
    <t>TRC/UA &gt;200% Brief swap</t>
  </si>
  <si>
    <t>Income waiver needed - compliance docs located in companion file #19-1898334</t>
  </si>
  <si>
    <t>Jim f/u with client re HRA release</t>
  </si>
  <si>
    <t>4/18 - needs brief service notes; if advice only, cannot report as &gt;200% FPL</t>
  </si>
  <si>
    <t>advice call back case - DONE</t>
  </si>
  <si>
    <t>Advice call back case - DONE ON 5.24.19.</t>
  </si>
  <si>
    <t>Income waiver needed for building wide action</t>
  </si>
  <si>
    <t>need forms uploaded - 5-17-19</t>
  </si>
  <si>
    <t>Compliance docs, incl Attestation, located in companion file #18-1885020</t>
  </si>
  <si>
    <t>Needs income waiver - Compliance docs in parent file #18-1876080</t>
  </si>
  <si>
    <t>5/10 - case type, status, index?</t>
  </si>
  <si>
    <t>UA advice - client refused services</t>
  </si>
  <si>
    <t>intake 5/20; NOA filed?</t>
  </si>
  <si>
    <t>5/10 - need consent uploaded + DHCI or PA/SNAP # entered</t>
  </si>
  <si>
    <t>DHCI &amp; consent in file # 19-1893001</t>
  </si>
  <si>
    <t>All compliance forms and retainer in companion file #19-1895279</t>
  </si>
  <si>
    <t>Need zip code waiver for TRC for this returning client</t>
  </si>
  <si>
    <t>Individual action obo client who is part of a building wide action</t>
  </si>
  <si>
    <t>5/16/19 - Advice call back assigned.</t>
  </si>
  <si>
    <t>Advice call back - DONE</t>
  </si>
  <si>
    <t>&gt;200% CASA advice</t>
  </si>
  <si>
    <t>report as HPLP if we file; TRC if we don't</t>
  </si>
  <si>
    <t>Client needs income waiver for TRC</t>
  </si>
  <si>
    <t>advice call back case - DONE (5.12.19.)</t>
  </si>
  <si>
    <t>Compliance docs located in companion file #18-1880272</t>
  </si>
  <si>
    <t>Needs income waiver - has no rights to apt &amp; couldn't find a lawyer. Lived there over 20 yrs</t>
  </si>
  <si>
    <t>5.29.19: Advice call back case assigned - DONE</t>
  </si>
  <si>
    <t>Attestation &amp; Releases are located in parent file #19-1894682</t>
  </si>
  <si>
    <t>need income waiver for TRC</t>
  </si>
  <si>
    <t>advice call back done on 5.31.19.</t>
  </si>
  <si>
    <t>UA eligible clt - Advice only because clt did not need service.</t>
  </si>
  <si>
    <t>Advice call back - DONE on 6.4.19.</t>
  </si>
  <si>
    <t>6.7.19: Advice call back assigned - DONE on 6.12.19.(VERBAL CONSENT)</t>
  </si>
  <si>
    <t>6.14.19: Advice call back assigned - DONE</t>
  </si>
  <si>
    <t>Please see HRA and DCHI forms in LS # 19-1896204</t>
  </si>
  <si>
    <t>Client needs an income waiver for TRC. He's 201.76% of FPL with recurring bills and obligations.</t>
  </si>
  <si>
    <t>Docket number is correct</t>
  </si>
  <si>
    <t>This case got missed in earlier reporting, reporting it now</t>
  </si>
  <si>
    <t>Compliance Forms are in 19-1896646</t>
  </si>
  <si>
    <t>Compliance Forms are in 19-1896739</t>
  </si>
  <si>
    <t>never met in person; no forms</t>
  </si>
  <si>
    <t>Out-of-date forms in 17-1852369</t>
  </si>
  <si>
    <t>CASA no show, hotline advice</t>
  </si>
  <si>
    <t>Not to report to HRA - no Consent/DHCI</t>
  </si>
  <si>
    <t>no billing consent, advice only</t>
  </si>
  <si>
    <t>under 200% UA, advice only - can't report</t>
  </si>
  <si>
    <t>hotline advice</t>
  </si>
  <si>
    <t>No Consent forms</t>
  </si>
  <si>
    <t>no consent forms</t>
  </si>
  <si>
    <t>Unable to get consent forms</t>
  </si>
  <si>
    <t>No Consent forms signed</t>
  </si>
  <si>
    <t>hotline advice only</t>
  </si>
  <si>
    <t>need billing consent</t>
  </si>
  <si>
    <t>&gt;200 FPL, advice only, no forms</t>
  </si>
  <si>
    <t>&gt;200% FPL, no forms</t>
  </si>
  <si>
    <t>We can't find the file.</t>
  </si>
  <si>
    <t>No Releases or Other Compliance docs</t>
  </si>
  <si>
    <t>cl hasn't provided income info; client will not sign DHCI form</t>
  </si>
  <si>
    <t>4/10 - need consent uploaded + DHCI or active CA/SNAP #</t>
  </si>
  <si>
    <t>need consent signed</t>
  </si>
  <si>
    <t>CASA no show</t>
  </si>
  <si>
    <t>over income 411%, need income waiver</t>
  </si>
  <si>
    <t>We cannot get forms from client; best efforts made.</t>
  </si>
  <si>
    <t>never located forms</t>
  </si>
  <si>
    <t>No DHCI Form</t>
  </si>
  <si>
    <t>Never met with client - no compliance docs for advice</t>
  </si>
  <si>
    <t>4/10 - need consent + DHCI or active PA/SNAP # entered</t>
  </si>
  <si>
    <t>no forms located, can't bill</t>
  </si>
  <si>
    <t>no attestation in file</t>
  </si>
  <si>
    <t>CASA NO SHOW; hotline advice</t>
  </si>
  <si>
    <t>never met with client - spoke over the phone for advice &amp; referral</t>
  </si>
  <si>
    <t>No Consent Forms Signed by Client</t>
  </si>
  <si>
    <t>Client Refuses to Sign the Release</t>
  </si>
  <si>
    <t>mentally ill client did not sign forms</t>
  </si>
  <si>
    <t>4/10 - need consent + DHCI or active CA/SNAP # entered</t>
  </si>
  <si>
    <t>Changed to 2157 b/c no CL consent to report to HRA</t>
  </si>
  <si>
    <t>4/12 - need consent + DHCI or active PA/CA# entered</t>
  </si>
  <si>
    <t>UAC but can not count</t>
  </si>
  <si>
    <t>not reporting to HRA - over 200%</t>
  </si>
  <si>
    <t>no DHCI, &gt;300% FPL</t>
  </si>
  <si>
    <t>no consent form, can't report</t>
  </si>
  <si>
    <t>4/10-need DHCR docket # once one is issued</t>
  </si>
  <si>
    <t>4/10-needs case notes documenting advice</t>
  </si>
  <si>
    <t>appeal of case, can't re-report</t>
  </si>
  <si>
    <t>4/10-need consent + DHCI or active PA/SNAP # entered</t>
  </si>
  <si>
    <t>No compliance docs obtained</t>
  </si>
  <si>
    <t>4/12 - case status unclear from notes</t>
  </si>
  <si>
    <t>Did not want to disclose SSN (identity theft concerns)</t>
  </si>
  <si>
    <t>Can't report b/c no consent, sending to CL</t>
  </si>
  <si>
    <t>4/12 - need billing consent</t>
  </si>
  <si>
    <t>CASA 11/1</t>
  </si>
  <si>
    <t>Didn't get DHCI form and HRA so can't report for 3018</t>
  </si>
  <si>
    <t>post-j UA zip, advice only</t>
  </si>
  <si>
    <t>4/12 - no case filed yet</t>
  </si>
  <si>
    <t>4/10-advice client did not sign consent</t>
  </si>
  <si>
    <t>CASA no-show, hotline advice</t>
  </si>
  <si>
    <t>hotline advice, closed</t>
  </si>
  <si>
    <t>4/12 - case status unclear from notescase status unclear from notes</t>
  </si>
  <si>
    <t>No compliance Docs - referred out</t>
  </si>
  <si>
    <t>not taking case</t>
  </si>
  <si>
    <t>no forms</t>
  </si>
  <si>
    <t>No physical file</t>
  </si>
  <si>
    <t>LAS on case; not taking</t>
  </si>
  <si>
    <t>phone advice so far</t>
  </si>
  <si>
    <t>confirm/upload consent/DHCI</t>
  </si>
  <si>
    <t>5.20.19.: Not to report to HRA. &gt;200%, advice only</t>
  </si>
  <si>
    <t>advice only in UA zip</t>
  </si>
  <si>
    <t>no forms yet</t>
  </si>
  <si>
    <t>phone advice only, no forms</t>
  </si>
  <si>
    <t>CASA 12/13 - no-show?</t>
  </si>
  <si>
    <t>Missing DHCI, can't count for TRC</t>
  </si>
  <si>
    <t>4/19 - no consent or DHCI; case status unclear from notes</t>
  </si>
  <si>
    <t>CASA 12/13 - no show?</t>
  </si>
  <si>
    <t>brief phone advice</t>
  </si>
  <si>
    <t>if case is filed, report as HPLP; if not, report as TRC out-of-court advocacy</t>
  </si>
  <si>
    <t>&gt;200%, HRA referral, advice only</t>
  </si>
  <si>
    <t>need forms uploaded - 5/23</t>
  </si>
  <si>
    <t>CASA 12/27 - no show?</t>
  </si>
  <si>
    <t>CASA advice, &gt;500% FPL, no compelling facts for waiver</t>
  </si>
  <si>
    <t>no DHCI form, can't report</t>
  </si>
  <si>
    <t>cl wouldn't sign HRA consent</t>
  </si>
  <si>
    <t>&gt;400% FPL, advice only -- need TRC waiver</t>
  </si>
  <si>
    <t>4/10-appearing as FOC in Article 81 proceeding. Not sure whether/how we can count?</t>
  </si>
  <si>
    <t>CASE WAS ADVICE VIA PHONE ONLY</t>
  </si>
  <si>
    <t>4/18 - case status unclear from notes</t>
  </si>
  <si>
    <t>UA zip but identified conflict and re-referred</t>
  </si>
  <si>
    <t>CASA 1/9</t>
  </si>
  <si>
    <t>need consent &amp; DHCI uploaded (if we have them)</t>
  </si>
  <si>
    <t>CASA 1/10</t>
  </si>
  <si>
    <t>UA zip but client retained MFJ</t>
  </si>
  <si>
    <t>Need an income waiver. He was part of a building wide initiative that didn't gain traction &amp; reached out to Ivan M for help with this</t>
  </si>
  <si>
    <t>CASA 1/17</t>
  </si>
  <si>
    <t>4/10-unclear abt level of service for this case</t>
  </si>
  <si>
    <t>hotline advice, NAICA client</t>
  </si>
  <si>
    <t>Attestation located on pg 3 of Intake Pkg on pg, section entitled -Intake Questionnaire</t>
  </si>
  <si>
    <t>Compliance docs not necs for brief advice over phone</t>
  </si>
  <si>
    <t>CASA 1/31</t>
  </si>
  <si>
    <t>CASA 1/23</t>
  </si>
  <si>
    <t>Phone Conf only. No hard copy file / No compliance docs</t>
  </si>
  <si>
    <t>Compliance and Releases are in Original LS 18-1884173</t>
  </si>
  <si>
    <t>Not to report to HRA - No forms: 4/10 - UA hotline case, no-show on intake</t>
  </si>
  <si>
    <t>4/10 - no billing consent form</t>
  </si>
  <si>
    <t>UA advice - case disco'd before intake</t>
  </si>
  <si>
    <t>4/18 - unclear if we appeared for cl or if she resolved on her own</t>
  </si>
  <si>
    <t>&gt;200% advice, HRA referral</t>
  </si>
  <si>
    <t>4/10 - need billing consent</t>
  </si>
  <si>
    <t>4/18 - need consent uploaded</t>
  </si>
  <si>
    <t>4/10 - case type and status unclear from the notes</t>
  </si>
  <si>
    <t>Income waiver needed. Client gets PA but mom is employed so household number are above FPL</t>
  </si>
  <si>
    <t>4/10 - need consent + DHCI or active CA/SNAP # entered; also need case type</t>
  </si>
  <si>
    <t>4/10 - need consent + DHCI or active CA/SNAP # entered; also need LOS &amp; case type</t>
  </si>
  <si>
    <t>4/10 - case type and advice given unclear from the notes</t>
  </si>
  <si>
    <t>4/10 - need consent uploaded + DHCI or active CA/SNAP # entered</t>
  </si>
  <si>
    <t>4/18 - case type &amp; status unclear from notes</t>
  </si>
  <si>
    <t>4/18 - needs advice notes; DHCI &amp; consent uploaded</t>
  </si>
  <si>
    <t>no Index # --&gt; can't report to HRA; phone advice</t>
  </si>
  <si>
    <t>4/18 - need consent &amp; DHCI uploaded &amp; entered</t>
  </si>
  <si>
    <t>4/18 - need billing consent form signed; DHCI uploaded</t>
  </si>
  <si>
    <t>Income waiver needed. Wavier for APT Facial Recognition. No DHCI required.</t>
  </si>
  <si>
    <t>3/4 &amp; 6/25/19-sent income waiver req to TH</t>
  </si>
  <si>
    <t>no HRA forms - not to be reported to HRA</t>
  </si>
  <si>
    <t>Not to report to HRA - No HRA forms signed</t>
  </si>
  <si>
    <t>4/10 - need index # once HP is filed; if not filed, report under TRC</t>
  </si>
  <si>
    <t>4/19-needs notes of callback advice</t>
  </si>
  <si>
    <t>4/10 - need index # once HP is filed; if not filed, report under TRC as OOC Advocacy</t>
  </si>
  <si>
    <t>4/10 - need consent + DHCI or active CA/SNAP # entered; also need address entered</t>
  </si>
  <si>
    <t>4/10 - messy case, on hold pending HRA advocacy</t>
  </si>
  <si>
    <t>Waiver obtained for DHCI - Waiver required for income</t>
  </si>
  <si>
    <t>&gt;200% FPL - court referral call back</t>
  </si>
  <si>
    <t>Income waiver required. Waiver obtained re DHCI not required</t>
  </si>
  <si>
    <t>4/10 - need DHCR docket # once one is assigned</t>
  </si>
  <si>
    <t>4/10 - shd be full rep but unclear from notes</t>
  </si>
  <si>
    <t>4/10 - need consent + DHCI or active CA/SNAP #</t>
  </si>
  <si>
    <t>4/10-need DHCI uploaded or PA# entered</t>
  </si>
  <si>
    <t>no case, public housing advice-can't bill HPLP or TRC</t>
  </si>
  <si>
    <t>&gt;200%, HRA advice call-back</t>
  </si>
  <si>
    <t>4/18 - HPLP if case is filed; TRC if not. Need consent &amp; DHCI</t>
  </si>
  <si>
    <t>&gt;200% FPL, court referred call back advice</t>
  </si>
  <si>
    <t>no DHCI, no benefit</t>
  </si>
  <si>
    <t>4/18 - need consent &amp; DHCI</t>
  </si>
  <si>
    <t>4/10 - case on hold</t>
  </si>
  <si>
    <t>Tenant not met in person</t>
  </si>
  <si>
    <t>4/18 - need consent &amp; DHCI uploaded &amp; fields entered</t>
  </si>
  <si>
    <t>&gt;200%, court referral advice</t>
  </si>
  <si>
    <t>4/18 - LOS unclear from notes</t>
  </si>
  <si>
    <t>4/18 - case type &amp; status unclear from notes; need updated consent &amp; DHCI or PA#</t>
  </si>
  <si>
    <t>5/10 - still on hold?</t>
  </si>
  <si>
    <t>clientt did not want to sign consent to release</t>
  </si>
  <si>
    <t>4/10 - need billing consent uploaded; case status unclear from notes</t>
  </si>
  <si>
    <t>4/10-need index # to bill HPLP; if HP not filed, bill under TRC as OOC advocacy</t>
  </si>
  <si>
    <t>5.28.19.: Not to report to HRA. No clt contact and no HRA forms signed</t>
  </si>
  <si>
    <t>4/10 - need consent + DHCI or active CA/SNAP #; no notes to confirm case status</t>
  </si>
  <si>
    <t>5.28.19.: Not to report to HRA. No index #</t>
  </si>
  <si>
    <t>&gt;200, advice only</t>
  </si>
  <si>
    <t>UA zip advice only</t>
  </si>
  <si>
    <t>4/10 - prob full rep but not clear from notes</t>
  </si>
  <si>
    <t>Client's DHCI contradicts her earlier info. Income changed to reflect. Need Income waiver.</t>
  </si>
  <si>
    <t>4/18 - case type/status unclear</t>
  </si>
  <si>
    <t>4/18 - need DHCI uploaded</t>
  </si>
  <si>
    <t>pre-petition HP advice in public housing - can't bill under HPLP or TRC</t>
  </si>
  <si>
    <t>3/29-needs DHCI uploaded</t>
  </si>
  <si>
    <t>4/10 - pre-intake</t>
  </si>
  <si>
    <t>4/10 - intake no-show, waiting to see if calls back to reschedule</t>
  </si>
  <si>
    <t>5/10 - waiting for LL to perfect appeal</t>
  </si>
  <si>
    <t>&gt;200% advice, court referral</t>
  </si>
  <si>
    <t>5/10 - need consent uploaded; case status?</t>
  </si>
  <si>
    <t>&gt;200%FPL</t>
  </si>
  <si>
    <t>4/10 - no intake yet</t>
  </si>
  <si>
    <t>5/9 - need advice notes</t>
  </si>
  <si>
    <t>5/13 - need billing consent + DHCI or active CA/SNAP #; UA/TRC funding swap</t>
  </si>
  <si>
    <t>4/23 - need call-back advice notes</t>
  </si>
  <si>
    <t>need advice notes</t>
  </si>
  <si>
    <t>income waiver requested 6.25.19.</t>
  </si>
  <si>
    <t>5/9 - need call-back advice notes</t>
  </si>
  <si>
    <t>5/13 - need billing consent uploaded + signed DHCI or active CA/SNAP # entered</t>
  </si>
  <si>
    <t>HRA referral advice call-back</t>
  </si>
  <si>
    <t>overincome but will be part of group loft law case once bill is passed</t>
  </si>
  <si>
    <t>5/13 - DHCI?</t>
  </si>
  <si>
    <t>if full rep needs waiver &gt;200%</t>
  </si>
  <si>
    <t>consent form not yet uploaded 6/20 ND</t>
  </si>
  <si>
    <t>Wavier for facial recognition. No DHCI required.</t>
  </si>
  <si>
    <t>CASA 5/2/19 , missing advice notes</t>
  </si>
  <si>
    <t>&gt;200% advice only</t>
  </si>
  <si>
    <t>need forms - 5/16</t>
  </si>
  <si>
    <t>5/13 - confirm case status; cannot report under HRA grant  if advice only, but could maybe report under TRC?</t>
  </si>
  <si>
    <t>5/10 - index #, case type, forms?</t>
  </si>
  <si>
    <t>Attestation located in Intake Pkg</t>
  </si>
  <si>
    <t>advice callback</t>
  </si>
  <si>
    <t>no DHCI/consent 6/20 ND</t>
  </si>
  <si>
    <t>does not provide consent to release info to HRA</t>
  </si>
  <si>
    <t>5/10 - need advice notes; DHCI in case # 19-1897373</t>
  </si>
  <si>
    <t>no DHCI form 6/20 ND</t>
  </si>
  <si>
    <t>5/10 - case type &amp; status? need consent &amp; DHCI or CA/SNAP</t>
  </si>
  <si>
    <t>need billing consent - 5/16</t>
  </si>
  <si>
    <t>5/10 - need DHCI uploaded; if none, can't report under HPLP</t>
  </si>
  <si>
    <t>needs waiver if full rep &gt;200%</t>
  </si>
  <si>
    <t>5/9 - need DHCI uploaded or active PA/SNAP # entered</t>
  </si>
  <si>
    <t>5/10 - case on hold</t>
  </si>
  <si>
    <t>5/10 - NOA filed? intake 5/14</t>
  </si>
  <si>
    <t>client did not sign billing consent 6/20 ND</t>
  </si>
  <si>
    <t>income waiver requested 6.25.19</t>
  </si>
  <si>
    <t>needs forms uploaded - 5/23</t>
  </si>
  <si>
    <t>4/29 - need consent uploaded + DHCI or CA/SNAP # entered</t>
  </si>
  <si>
    <t>&gt;200% HRA advice referral</t>
  </si>
  <si>
    <t>needs waiver</t>
  </si>
  <si>
    <t>5/13 -  no notes, confirm rep</t>
  </si>
  <si>
    <t>5/10 - no show to reschedule intake; close?</t>
  </si>
  <si>
    <t>6.28.19: Income waiver requested</t>
  </si>
  <si>
    <t>client not met in person, hotline only, no forms signed</t>
  </si>
  <si>
    <t>UA/TRC funding swap; need billing consent + DHCI or active CA/SNAP # - 5/17</t>
  </si>
  <si>
    <t>5/10 - need billing consent</t>
  </si>
  <si>
    <t>&gt; 200% 5/16 - need to pull index # from OCA computer</t>
  </si>
  <si>
    <t>intake scheduled 5/29</t>
  </si>
  <si>
    <t>Needs waiver if full rep</t>
  </si>
  <si>
    <t>Never met with client. Advice given over the phone.</t>
  </si>
  <si>
    <t>advice call back case</t>
  </si>
  <si>
    <t>Doesn't consent to completing HRA paperwork - works for HRA and doesn't want to release info to them</t>
  </si>
  <si>
    <t>6/21-Need DHCI and HRA consent uploaded</t>
  </si>
  <si>
    <t>refused to sign billing consent</t>
  </si>
  <si>
    <t>no contact as of 6/27/2019 advice call back case</t>
  </si>
  <si>
    <t>Releases &amp; attestation located in companion file #19-1891794</t>
  </si>
  <si>
    <t>Income waiver needed for building wide work. Compliance docs located in companion file #18-1882158</t>
  </si>
  <si>
    <t>Need income waiver - Compliance docs located in companion file #18-1885317</t>
  </si>
  <si>
    <t>Advice call back case - assigned on 5.28.19.</t>
  </si>
  <si>
    <t>Client needs income &amp; zip code waivers - Compliance docs located in companion file #18-1880097</t>
  </si>
  <si>
    <t>5.29.19: Advice call back case assigned</t>
  </si>
  <si>
    <t>Client refused to sign consent form, transferred to 3020</t>
  </si>
  <si>
    <t>6.27.19: Income waiver requested</t>
  </si>
  <si>
    <t>need income waiver - Compliance docs located companion file #19-1901332</t>
  </si>
  <si>
    <t>5.31.19: Advice call back assigned</t>
  </si>
  <si>
    <t>Advice call back case - NOT TO REPORT TO HRA. Over-income</t>
  </si>
  <si>
    <t>need waiver if full rep &gt;200%</t>
  </si>
  <si>
    <t>Never met with client as matter was in process of being resolved when she 1st contacted and client did resolve on her own.</t>
  </si>
  <si>
    <t>Advice call back assigned on 6.3.19.</t>
  </si>
  <si>
    <t>Advice call back assigned on 6.4.19.</t>
  </si>
  <si>
    <t>Compliance docs located in companion file #19-1901098</t>
  </si>
  <si>
    <t>Advice call back assigned on 6.5.19.</t>
  </si>
  <si>
    <t>Need income waiver</t>
  </si>
  <si>
    <t>Advice call  back assigned on 6.5.19.</t>
  </si>
  <si>
    <t>Zip code waiver needed for new case against building wide initiative client</t>
  </si>
  <si>
    <t>6.7.19: Advice call back assigned</t>
  </si>
  <si>
    <t>6.7.19: Advice only case assigned</t>
  </si>
  <si>
    <t>Not to report to HRA - Over-income HPLP advice only case. Advice call back assigned on 6.7.19.</t>
  </si>
  <si>
    <t>Not to report to HRA. Over-income HPLP Advice call backk case assigned on 6.7.19.</t>
  </si>
  <si>
    <t>Need DHCI and consent uploaded</t>
  </si>
  <si>
    <t>Need income waiver for client who is part of a building wide initiative.</t>
  </si>
  <si>
    <t>6.14.19: Not to report to HRA - T repped by Bx Defenders.</t>
  </si>
  <si>
    <t>6/18.19.: Advice call back assigned - NOT TO REPORT TO HRA (NO DHCI FORM)</t>
  </si>
  <si>
    <t>6.28.19.: Advice call back assigned</t>
  </si>
  <si>
    <t>6.28.19: Advice call back assigned</t>
  </si>
  <si>
    <t>6.21.19: Advice call back assigned</t>
  </si>
  <si>
    <t>6.21.19: Advice call back assigned (UA Over-income) - Waiver not needed</t>
  </si>
  <si>
    <t>6.25.19: Advice call back assigned.</t>
  </si>
  <si>
    <t>Need income waiver for client who is a part of building wide initiative</t>
  </si>
  <si>
    <t>Need income waiver for client who is part of a building wide initiative</t>
  </si>
  <si>
    <t>Commenced Trial, Counsel Assisted in Filing or Refiling of Answer, Filed/Argued/Supplemented Dispositive or other Substantive Motion</t>
  </si>
  <si>
    <t>Filed/Argued/Supplemented Dispositive or other Substantive Motion</t>
  </si>
  <si>
    <t>Commenced Trial, Conducted Evidentiary Hearing, Counsel Assisted in Filing or Refiling of Answer, Filed/Argued/Supplemented Dispositive or other Substantive Motion</t>
  </si>
  <si>
    <t>Counsel Assisted in Filing or Refiling of Answer, Filed/Argued/Supplemented Dispositive or other Substantive Motion</t>
  </si>
  <si>
    <t>Counsel Assisted in Filing or Refiling of Answer</t>
  </si>
  <si>
    <t>Conducted Evidentiary Hearing, Counsel Assisted in Filing or Refiling of Answer, Filed/Argued/Supplemented Dispositive or other Substantive Motion</t>
  </si>
  <si>
    <t>Counsel Assisted in Filing or Refiling of Answer, Filed for an Emergency Order to Show Cause</t>
  </si>
  <si>
    <t>Filed for an Emergency Order to Show Cause</t>
  </si>
  <si>
    <t>Filed/Argued/Supplemented Dispositive or other Substantive Motion, Filed for an Emergency Order to Show Cause</t>
  </si>
  <si>
    <t>Conducted Evidentiary Hearing</t>
  </si>
  <si>
    <t>Counsel Assisted in Filing or Refiling of Answer, Filed/Argued/Supplemented Dispositive or other Substantive Motion, Filed for an Emergency Order to Show Cause</t>
  </si>
  <si>
    <t>Commenced Trial</t>
  </si>
  <si>
    <t>Filed Appeal</t>
  </si>
  <si>
    <t>Commenced Trial, Conducted Evidentiary Hearing, Filed/Argued/Supplemented Dispositive or other Substantive Motion, Filed for an Emergency Order to Show Cause</t>
  </si>
  <si>
    <t>Commenced Trial, Filed/Argued/Supplemented Dispositive or other Substantive Motion</t>
  </si>
  <si>
    <t>Conducted Evidentiary Hearing, Filed/Argued/Supplemented Dispositive or other Substantive Motion, Filed for an Emergency Order to Show Cause</t>
  </si>
  <si>
    <t>Commenced Trial, Filed/Argued/Supplemented Dispositive or other Substantive Motion, Filed for an Emergency Order to Show Cause</t>
  </si>
  <si>
    <t>Counsel Assisted in Filing or Refiling of Answer, Filed Appeal</t>
  </si>
  <si>
    <t>Conducted Evidentiary Hearing, Filed for an Emergency Order to Show Cause</t>
  </si>
  <si>
    <t>Commenced Trial, Conducted Evidentiary Hearing, Filed for an Emergency Order to Show Cause</t>
  </si>
  <si>
    <t>Commenced Trial, Counsel Assisted in Filing or Refiling of Answer</t>
  </si>
  <si>
    <t>Case Discontinued/Dismissed/Landlord Fails to Prosecute</t>
  </si>
  <si>
    <t>Case Discontinued/Dismissed/Landlord Fails to Prosecute, Case Resolved without Judgment of Eviction Against Client</t>
  </si>
  <si>
    <t>Case Resolved without Judgment of Eviction Against Client</t>
  </si>
  <si>
    <t>Case Discontinued/Dismissed/Landlord Fails to Prosecute, Case Resolved without Judgment of Eviction Against Client, Obtain Ongoing Rent Subsidy, Secured Order or Agreement for Repairs in Apartment/Building</t>
  </si>
  <si>
    <t>Case Discontinued/Dismissed/Landlord Fails to Prosecute, Case Resolved without Judgment of Eviction Against Client, Other</t>
  </si>
  <si>
    <t>Secured 6 Months or Longer in Residence</t>
  </si>
  <si>
    <t>Case Discontinued/Dismissed/Landlord Fails to Prosecute, Case Resolved without Judgment of Eviction Against Client, Secured Order or Agreement for Repairs in Apartment/Building</t>
  </si>
  <si>
    <t>Case Resolved without Judgment of Eviction Against Client, Obtain Ongoing Rent Subsidy</t>
  </si>
  <si>
    <t>Overcame Housing Discrimination, Provided Housing-related Consumer Debt Legal Assistance, Secured Order or Agreement for Repairs in Apartment/Building</t>
  </si>
  <si>
    <t>Secured Rent Reduction</t>
  </si>
  <si>
    <t>Secured Order or Agreement for Repairs in Apartment/Building, Secured Rent Reduction</t>
  </si>
  <si>
    <t>Case Discontinued/Dismissed/Landlord Fails to Prosecute, Case Resolved without Judgment of Eviction Against Client, Obtained Renewal of Lease, Obtained Succession Rights to Residence, Secured Rent Abatement, Secured Rent Reduction</t>
  </si>
  <si>
    <t>Case Discontinued/Dismissed/Landlord Fails to Prosecute, Obtained Renewal of Lease, Secured Order or Agreement for Repairs in Apartment/Building, Secured Rent Abatement, Secured Rent Reduction</t>
  </si>
  <si>
    <t>Case Discontinued/Dismissed/Landlord Fails to Prosecute, Case Resolved without Judgment of Eviction Against Client, Other, Secured Rent Reduction</t>
  </si>
  <si>
    <t>Case Resolved without Judgment of Eviction Against Client, Other, Secured Order or Agreement for Repairs in Apartment/Building, Secured Rent Abatement, Secured Rent Reduction</t>
  </si>
  <si>
    <t>Case Discontinued/Dismissed/Landlord Fails to Prosecute, Case Resolved without Judgment of Eviction Against Client, Obtained Negotiated Buyout</t>
  </si>
  <si>
    <t>Secured Order or Agreement for Repairs in Apartment/Building</t>
  </si>
  <si>
    <t>Case Discontinued/Dismissed/Landlord Fails to Prosecute, Case Resolved without Judgment of Eviction Against Client, Obtained Negotiated Buyout, Secured Order or Agreement for Repairs in Apartment/Building</t>
  </si>
  <si>
    <t>Case Discontinued/Dismissed/Landlord Fails to Prosecute, Case Resolved without Judgment of Eviction Against Client, Obtain Ongoing Rent Subsidy</t>
  </si>
  <si>
    <t>Obtained Renewal of Lease</t>
  </si>
  <si>
    <t>Case Discontinued/Dismissed/Landlord Fails to Prosecute, Secured Order or Agreement for Repairs in Apartment/Building</t>
  </si>
  <si>
    <t>Case Resolved without Judgment of Eviction Against Client, Secured Order or Agreement for Repairs in Apartment/Building, Secured Rent Abatement</t>
  </si>
  <si>
    <t>Case Resolved without Judgment of Eviction Against Client, Obtain Ongoing Rent Subsidy, Secured Order or Agreement for Repairs in Apartment/Building</t>
  </si>
  <si>
    <t>Case Discontinued/Dismissed/Landlord Fails to Prosecute, Case Resolved without Judgment of Eviction Against Client, Obtained Renewal of Lease, Other</t>
  </si>
  <si>
    <t>Case Resolved without Judgment of Eviction Against Client, Other, Secured Rent Reduction</t>
  </si>
  <si>
    <t>Case Discontinued/Dismissed/Landlord Fails to Prosecute, Case Resolved without Judgment of Eviction Against Client, Secured Rent Abatement, Secured Rent Reduction</t>
  </si>
  <si>
    <t>Case Discontinued/Dismissed/Landlord Fails to Prosecute, Case Resolved without Judgment of Eviction Against Client, Obtained Succession Rights to Residence, Secured Order or Agreement for Repairs in Apartment/Building</t>
  </si>
  <si>
    <t>Obtained Negotiated Buyout</t>
  </si>
  <si>
    <t>Case Resolved without Judgment of Eviction Against Client, Secured Order or Agreement for Repairs in Apartment/Building</t>
  </si>
  <si>
    <t>Case Discontinued/Dismissed/Landlord Fails to Prosecute, Obtain Ongoing Rent Subsidy, Secured Order or Agreement for Repairs in Apartment/Building</t>
  </si>
  <si>
    <t>Client Security Deposit Returned, Secured 6 Months or Longer in Residence</t>
  </si>
  <si>
    <t>Obtain Ongoing Rent Subsidy</t>
  </si>
  <si>
    <t>Case Discontinued/Dismissed/Landlord Fails to Prosecute, Case Resolved without Judgment of Eviction Against Client, Obtained Renewal of Lease, Obtain Ongoing Rent Subsidy, Secured Order or Agreement for Repairs in Apartment/Building</t>
  </si>
  <si>
    <t>Case Resolved without Judgment of Eviction Against Client, Obtained Negotiated Buyout</t>
  </si>
  <si>
    <t>Case Discontinued/Dismissed/Landlord Fails to Prosecute, Case Resolved without Judgment of Eviction Against Client, Secured Order or Agreement for Repairs in Apartment/Building, Secured Rent Abatement</t>
  </si>
  <si>
    <t>Case Resolved without Judgment of Eviction Against Client, Secured Rent Abatement</t>
  </si>
  <si>
    <t>Case Discontinued/Dismissed/Landlord Fails to Prosecute, Obtain Ongoing Rent Subsidy</t>
  </si>
  <si>
    <t>Case Discontinued/Dismissed/Landlord Fails to Prosecute, Obtained Succession Rights to Residence</t>
  </si>
  <si>
    <t>Other, Restored Access to Personal Property</t>
  </si>
  <si>
    <t>Other, Secured 6 Months or Longer in Residence</t>
  </si>
  <si>
    <t>Case Discontinued/Dismissed/Landlord Fails to Prosecute, Obtained Renewal of Lease</t>
  </si>
  <si>
    <t>Case Resolved without Judgment of Eviction Against Client, Other</t>
  </si>
  <si>
    <t>Secured Rent Abatement</t>
  </si>
  <si>
    <t>Case Discontinued/Dismissed/Landlord Fails to Prosecute, Other</t>
  </si>
  <si>
    <t>Case Discontinued/Dismissed/Landlord Fails to Prosecute, Obtain Ongoing Rent Subsidy, Secured Rent Abatement</t>
  </si>
  <si>
    <t>Case Discontinued/Dismissed/Landlord Fails to Prosecute, Secured Rent Abatement</t>
  </si>
  <si>
    <t>Case Discontinued/Dismissed/Landlord Fails to Prosecute, Case Resolved without Judgment of Eviction Against Client, Obtained Renewal of Lease</t>
  </si>
  <si>
    <t>Other, Secured Order or Agreement for Repairs in Apartment/Building</t>
  </si>
  <si>
    <t>Case Discontinued/Dismissed/Landlord Fails to Prosecute, Case Resolved without Judgment of Eviction Against Client, Secured Rent Reduction</t>
  </si>
  <si>
    <t>Case Resolved without Judgment of Eviction Against Client, Secured 6 Months or Longer in Residence</t>
  </si>
  <si>
    <t>Case Discontinued/Dismissed/Landlord Fails to Prosecute, Case Resolved without Judgment of Eviction Against Client, Obtained Renewal of Lease, Secured Order or Agreement for Repairs in Apartment/Building</t>
  </si>
  <si>
    <t>Case Resolved without Judgment of Eviction Against Client, Obtained Succession Rights to Residence</t>
  </si>
  <si>
    <t>Case Discontinued/Dismissed/Landlord Fails to Prosecute, Obtain Ongoing Rent Subsidy, Other</t>
  </si>
  <si>
    <t>Secured 6 Months or Longer in Residence, Secured Rent Reduction</t>
  </si>
  <si>
    <t>Case Discontinued/Dismissed/Landlord Fails to Prosecute, Secured 6 Months or Longer in Residence</t>
  </si>
  <si>
    <t>Case Discontinued/Dismissed/Landlord Fails to Prosecute, Obtain Ongoing Rent Subsidy, Secured Rent Reduction</t>
  </si>
  <si>
    <t>Obtained Renewal of Lease, Secured Rent Abatement, Secured Rent Reduction</t>
  </si>
  <si>
    <t>Case Resolved without Judgment of Eviction Against Client, Obtain Ongoing Rent Subsidy, Provided Housing-related Consumer Debt Legal Assistance</t>
  </si>
  <si>
    <t>Restored Access to Personal Property</t>
  </si>
  <si>
    <t>Case Discontinued/Dismissed/Landlord Fails to Prosecute, Case Resolved without Judgment of Eviction Against Client, Obtained Succession Rights to Residence</t>
  </si>
  <si>
    <t>Case Discontinued/Dismissed/Landlord Fails to Prosecute, Case Resolved without Judgment of Eviction Against Client, Obtained Renewal of Lease, Secured Rent Reduction</t>
  </si>
  <si>
    <t>Overcame Housing Discrimination</t>
  </si>
  <si>
    <t>Case Resolved without Judgment of Eviction Against Client, Other, Secured Order or Agreement for Repairs in Apartment/Building</t>
  </si>
  <si>
    <t>Case Discontinued/Dismissed/Landlord Fails to Prosecute, Obtained Negotiated Buyout</t>
  </si>
  <si>
    <t>Case Discontinued/Dismissed/Landlord Fails to Prosecute, Restored Access to Personal Property</t>
  </si>
  <si>
    <t>Case Discontinued/Dismissed/Landlord Fails to Prosecute, Obtained Renewal of Lease, Secured Rent Reduction</t>
  </si>
  <si>
    <t>Case Discontinued/Dismissed/Landlord Fails to Prosecute, Case Resolved without Judgment of Eviction Against Client, Obtained Negotiated Buyout, Secured 6 Months or Longer in Residence, Secured Order or Agreement for Repairs in Apartment/Building</t>
  </si>
  <si>
    <t>Case Discontinued/Dismissed/Landlord Fails to Prosecute, Case Resolved without Judgment of Eviction Against Client, Obtained Negotiated Buyout, Secured 6 Months or Longer in Residence</t>
  </si>
  <si>
    <t>Case Discontinued/Dismissed/Landlord Fails to Prosecute, Case Resolved without Judgment of Eviction Against Client, Obtained Renewal of Lease, Overcame Housing Discrimination</t>
  </si>
  <si>
    <t>Other, Secured Rent Reduction</t>
  </si>
  <si>
    <t>Case Discontinued/Dismissed/Landlord Fails to Prosecute, Case Resolved without Judgment of Eviction Against Client, Secured Rent Abatement</t>
  </si>
  <si>
    <t>Case Discontinued/Dismissed/Landlord Fails to Prosecute, Other, Secured Order or Agreement for Repairs in Apartment/Building</t>
  </si>
  <si>
    <t>Case Discontinued/Dismissed/Landlord Fails to Prosecute, Other, Secured Rent Abatement</t>
  </si>
  <si>
    <t>Obtained Negotiated Buyout, Other</t>
  </si>
  <si>
    <t>Case Discontinued/Dismissed/Landlord Fails to Prosecute, Case Resolved without Judgment of Eviction Against Client, Other, Secured Order or Agreement for Repairs in Apartment/Building, Secured Rent Abatement</t>
  </si>
  <si>
    <t>Case Discontinued/Dismissed/Landlord Fails to Prosecute, Case Resolved without Judgment of Eviction Against Client, Obtained Succession Rights to Residence, Obtain Ongoing Rent Subsidy, Secured Rent Abatement</t>
  </si>
  <si>
    <t>Obtained Negotiated Buyout, Obtain Ongoing Rent Subsidy</t>
  </si>
  <si>
    <t>Case Discontinued/Dismissed/Landlord Fails to Prosecute, Obtained Renewal of Lease, Obtain Ongoing Rent Subsidy, Secured Order or Agreement for Repairs in Apartment/Building, Secured Rent Reduction</t>
  </si>
  <si>
    <t>Case Discontinued/Dismissed/Landlord Fails to Prosecute, Obtained Renewal of Lease, Secured Order or Agreement for Repairs in Apartment/Building, Secured Rent Reduction</t>
  </si>
  <si>
    <t>Case Discontinued/Dismissed/Landlord Fails to Prosecute, Obtained Renewal of Lease, Obtain Ongoing Rent Subsidy, Restored Access to Personal Property</t>
  </si>
  <si>
    <t>Case Resolved without Judgment of Eviction Against Client, Obtained Renewal of Lease</t>
  </si>
  <si>
    <t>Secured 6 Months or Longer in Residence, Secured Order or Agreement for Repairs in Apartment/Building, Secured Rent Abatement</t>
  </si>
  <si>
    <t>Obtained Succession Rights to Residence, Other</t>
  </si>
  <si>
    <t>Case Discontinued/Dismissed/Landlord Fails to Prosecute, Case Resolved without Judgment of Eviction Against Client, Other, Secured Order or Agreement for Repairs in Apartment/Building</t>
  </si>
  <si>
    <t>Case Discontinued/Dismissed/Landlord Fails to Prosecute, Case Resolved without Judgment of Eviction Against Client, Obtained Renewal of Lease, Secured Order or Agreement for Repairs in Apartment/Building, Secured Rent Reduction</t>
  </si>
  <si>
    <t>Restored Access to Personal Property, Secured Order or Agreement for Repairs in Apartment/Building, Secured Rent Abatement, Secured Rent Reduction</t>
  </si>
  <si>
    <t>Client Security Deposit Returned, Secured Order or Agreement for Repairs in Apartment/Building</t>
  </si>
  <si>
    <t>Case Discontinued/Dismissed/Landlord Fails to Prosecute, Secured Rent Reduction</t>
  </si>
  <si>
    <t>Case Resolved without Judgment of Eviction Against Client, Obtained Renewal of Lease, Secured 6 Months or Longer in Residence, Secured Order or Agreement for Repairs in Apartment/Building</t>
  </si>
  <si>
    <t>Case Discontinued/Dismissed/Landlord Fails to Prosecute, Case Resolved without Judgment of Eviction Against Client, Obtained Renewal of Lease, Secured 6 Months or Longer in Residence</t>
  </si>
  <si>
    <t>Case Discontinued/Dismissed/Landlord Fails to Prosecute, Case Resolved without Judgment of Eviction Against Client, Client Security Deposit Returned, Obtained Negotiated Buyout, Secured 6 Months or Longer in Residence</t>
  </si>
  <si>
    <t>Obtained Renewal of Lease, Secured Order or Agreement for Repairs in Apartment/Building, Secured Rent Abatement</t>
  </si>
  <si>
    <t>Case Resolved without Judgment of Eviction Against Client, Other, Secured 6 Months or Longer in Residence</t>
  </si>
  <si>
    <t>Other, Provided Housing-related Consumer Debt Legal Assistance</t>
  </si>
  <si>
    <t>Case Resolved without Judgment of Eviction Against Client, Other, Secured 6 Months or Longer in Residence, Secured Order or Agreement for Repairs in Apartment/Building</t>
  </si>
  <si>
    <t>Case Discontinued/Dismissed/Landlord Fails to Prosecute, Obtained Renewal of Lease, Obtain Ongoing Rent Subsidy</t>
  </si>
  <si>
    <t>Secured 6 Months or Longer in Residence, Secured Rent Abatement</t>
  </si>
  <si>
    <t>Case Discontinued/Dismissed/Landlord Fails to Prosecute, Case Resolved without Judgment of Eviction Against Client, Obtain Ongoing Rent Subsidy, Overcame Housing Discrimination</t>
  </si>
  <si>
    <t>Case Discontinued/Dismissed/Landlord Fails to Prosecute, Case Resolved without Judgment of Eviction Against Client, Obtained Renewal of Lease, Obtained Succession Rights to Residence</t>
  </si>
  <si>
    <t>Case Discontinued/Dismissed/Landlord Fails to Prosecute, Case Resolved without Judgment of Eviction Against Client, Obtained Renewal of Lease, Other, Secured Order or Agreement for Repairs in Apartment/Building</t>
  </si>
  <si>
    <t>Obtained Succession Rights to Residence</t>
  </si>
  <si>
    <t>Case Resolved without Judgment of Eviction Against Client, Obtain Ongoing Rent Subsidy, Other</t>
  </si>
  <si>
    <t>Obtain Ongoing Rent Subsidy, Other</t>
  </si>
  <si>
    <t>Case Discontinued/Dismissed/Landlord Fails to Prosecute, Case Resolved without Judgment of Eviction Against Client, Obtained Renewal of Lease, Obtain Ongoing Rent Subsidy</t>
  </si>
  <si>
    <t>Case Resolved without Judgment of Eviction Against Client, Obtain Ongoing Rent Subsidy, Secured Rent Reduction</t>
  </si>
  <si>
    <t>Obtained Negotiated Buyout, Secured 6 Months or Longer in Residence</t>
  </si>
  <si>
    <t>Case Resolved without Judgment of Eviction Against Client, Obtained Renewal of Lease, Obtain Ongoing Rent Subsidy</t>
  </si>
  <si>
    <t>Case Discontinued/Dismissed/Landlord Fails to Prosecute, Case Resolved without Judgment of Eviction Against Client, Overcame Housing Discrimination</t>
  </si>
  <si>
    <t>Case Discontinued/Dismissed/Landlord Fails to Prosecute, Case Resolved without Judgment of Eviction Against Client, Secured Order or Agreement for Repairs in Apartment/Building, Secured Rent Abatement, Secured Rent Reduction</t>
  </si>
  <si>
    <t>Case Discontinued/Dismissed/Landlord Fails to Prosecute, Case Resolved without Judgment of Eviction Against Client, Other, Overcame Housing Discrimination</t>
  </si>
  <si>
    <t>Case Discontinued/Dismissed/Landlord Fails to Prosecute, Case Resolved without Judgment of Eviction Against Client, Obtain Ongoing Rent Subsidy, Secured 6 Months or Longer in Residence, Secured Order or Agreement for Repairs in Apartment/Building, Secured Rent Reduction</t>
  </si>
  <si>
    <t>Client Security Deposit Returned</t>
  </si>
  <si>
    <t>Case Resolved without Judgment of Eviction Against Client, Obtained Renewal of Lease, Obtained Succession Rights to Residence, Obtain Ongoing Rent Subsidy, Restored Access to Personal Property, Secured 6 Months or Longer in Residence</t>
  </si>
  <si>
    <t>Other, Secured 6 Months or Longer in Residence, Secured Order or Agreement for Repairs in Apartment/Building</t>
  </si>
  <si>
    <t>Case Discontinued/Dismissed/Landlord Fails to Prosecute, Provided Housing-related Consumer Debt Legal Assistance</t>
  </si>
  <si>
    <t>Case Discontinued/Dismissed/Landlord Fails to Prosecute, Case Resolved without Judgment of Eviction Against Client, Obtain Ongoing Rent Subsidy, Secured Rent Abatement</t>
  </si>
  <si>
    <t>Case Discontinued/Dismissed/Landlord Fails to Prosecute, Case Resolved without Judgment of Eviction Against Client, Client Security Deposit Returned</t>
  </si>
  <si>
    <t>Case Discontinued/Dismissed/Landlord Fails to Prosecute, Other, Restored Access to Personal Property</t>
  </si>
  <si>
    <t>Case Resolved without Judgment of Eviction Against Client, Obtained Negotiated Buyout, Other</t>
  </si>
  <si>
    <t>Case Discontinued/Dismissed/Landlord Fails to Prosecute, Case Resolved without Judgment of Eviction Against Client, Obtain Ongoing Rent Subsidy, Other, Restored Access to Personal Property</t>
  </si>
  <si>
    <t>Client Allowed to Remain in Residence</t>
  </si>
  <si>
    <t>Client Required to be Displaced from Residence</t>
  </si>
  <si>
    <t>Attorney Withdrew</t>
  </si>
  <si>
    <t>Client Discharged Attorney</t>
  </si>
  <si>
    <t>2017-08-02</t>
  </si>
  <si>
    <t>2018-11-16</t>
  </si>
  <si>
    <t>2018-09-06</t>
  </si>
  <si>
    <t>2019-01-31</t>
  </si>
  <si>
    <t>2019-01-15</t>
  </si>
  <si>
    <t>2018-08-28</t>
  </si>
  <si>
    <t>2018-10-17</t>
  </si>
  <si>
    <t>2018-08-16</t>
  </si>
  <si>
    <t>2018-08-31</t>
  </si>
  <si>
    <t>2017-10-17</t>
  </si>
  <si>
    <t>2018-09-20</t>
  </si>
  <si>
    <t>2018-10-05</t>
  </si>
  <si>
    <t>2019-01-02</t>
  </si>
  <si>
    <t>2018-10-02</t>
  </si>
  <si>
    <t>2018-12-31</t>
  </si>
  <si>
    <t>2018-11-02</t>
  </si>
  <si>
    <t>2018-07-02</t>
  </si>
  <si>
    <t>2018-07-30</t>
  </si>
  <si>
    <t>2018-12-21</t>
  </si>
  <si>
    <t>2018-08-08</t>
  </si>
  <si>
    <t>2018-08-01</t>
  </si>
  <si>
    <t>2019-02-27</t>
  </si>
  <si>
    <t>2019-02-05</t>
  </si>
  <si>
    <t>2018-08-30</t>
  </si>
  <si>
    <t>2018-12-18</t>
  </si>
  <si>
    <t>2018-11-27</t>
  </si>
  <si>
    <t>2018-12-10</t>
  </si>
  <si>
    <t>2018-09-13</t>
  </si>
  <si>
    <t>2019-03-12</t>
  </si>
  <si>
    <t>2018-07-27</t>
  </si>
  <si>
    <t>2018-11-29</t>
  </si>
  <si>
    <t>2018-10-03</t>
  </si>
  <si>
    <t>2018-11-30</t>
  </si>
  <si>
    <t>2018-08-20</t>
  </si>
  <si>
    <t>2019-02-25</t>
  </si>
  <si>
    <t>2018-06-29</t>
  </si>
  <si>
    <t>2018-08-29</t>
  </si>
  <si>
    <t>2018-10-13</t>
  </si>
  <si>
    <t>2018-08-21</t>
  </si>
  <si>
    <t>2018-12-07</t>
  </si>
  <si>
    <t>2018-12-05</t>
  </si>
  <si>
    <t>2018-08-15</t>
  </si>
  <si>
    <t>2019-03-18</t>
  </si>
  <si>
    <t>2019-02-23</t>
  </si>
  <si>
    <t>2018-08-14</t>
  </si>
  <si>
    <t>2019-09-17</t>
  </si>
  <si>
    <t>2018-12-01</t>
  </si>
  <si>
    <t>2018-08-07</t>
  </si>
  <si>
    <t>2018-10-29</t>
  </si>
  <si>
    <t>2018-06-08</t>
  </si>
  <si>
    <t>2018-08-23</t>
  </si>
  <si>
    <t>2019-03-07</t>
  </si>
  <si>
    <t>2018-09-12</t>
  </si>
  <si>
    <t>2019-04-05</t>
  </si>
  <si>
    <t>2019-01-04</t>
  </si>
  <si>
    <t>2018-10-26</t>
  </si>
  <si>
    <t>2018-10-25</t>
  </si>
  <si>
    <t>2018-12-06</t>
  </si>
  <si>
    <t>2018-09-24</t>
  </si>
  <si>
    <t>2018-09-25</t>
  </si>
  <si>
    <t>2019-01-18</t>
  </si>
  <si>
    <t>2018-08-22</t>
  </si>
  <si>
    <t>2018-07-11</t>
  </si>
  <si>
    <t>2018-07-12</t>
  </si>
  <si>
    <t>2018-07-20</t>
  </si>
  <si>
    <t>2018-10-20</t>
  </si>
  <si>
    <t>2019-04-12</t>
  </si>
  <si>
    <t>2019-03-21</t>
  </si>
  <si>
    <t>2018-08-09</t>
  </si>
  <si>
    <t>2018-09-17</t>
  </si>
  <si>
    <t>2018-05-04</t>
  </si>
  <si>
    <t>2018-06-30</t>
  </si>
  <si>
    <t>2018-09-18</t>
  </si>
  <si>
    <t>2018-10-30</t>
  </si>
  <si>
    <t>2019-01-24</t>
  </si>
  <si>
    <t>2018-09-30</t>
  </si>
  <si>
    <t>2018-09-05</t>
  </si>
  <si>
    <t>2018-11-21</t>
  </si>
  <si>
    <t>2018-12-28</t>
  </si>
  <si>
    <t>2019-10-20</t>
  </si>
  <si>
    <t>2018-08-03</t>
  </si>
  <si>
    <t>2018-07-23</t>
  </si>
  <si>
    <t>2018-09-04</t>
  </si>
  <si>
    <t>2019-03-04</t>
  </si>
  <si>
    <t>2018-11-20</t>
  </si>
  <si>
    <t>2018-07-19</t>
  </si>
  <si>
    <t>2018-11-15</t>
  </si>
  <si>
    <t>2018-07-24</t>
  </si>
  <si>
    <t>2018-11-07</t>
  </si>
  <si>
    <t>2019-06-19</t>
  </si>
  <si>
    <t>2019-03-31</t>
  </si>
  <si>
    <t>2018-09-26</t>
  </si>
  <si>
    <t>2018-10-18</t>
  </si>
  <si>
    <t>2018-12-14</t>
  </si>
  <si>
    <t>2018-09-28</t>
  </si>
  <si>
    <t>2018-12-20</t>
  </si>
  <si>
    <t>2019-03-20</t>
  </si>
  <si>
    <t>2018-11-01</t>
  </si>
  <si>
    <t>2019-04-29</t>
  </si>
  <si>
    <t>2018-11-26</t>
  </si>
  <si>
    <t>2019-01-14</t>
  </si>
  <si>
    <t>2019-03-15</t>
  </si>
  <si>
    <t>2018-11-28</t>
  </si>
  <si>
    <t>2019-03-22</t>
  </si>
  <si>
    <t>2019-04-16</t>
  </si>
  <si>
    <t>2019-08-14</t>
  </si>
  <si>
    <t>2019-03-01</t>
  </si>
  <si>
    <t>2018-10-16</t>
  </si>
  <si>
    <t>2018-08-17</t>
  </si>
  <si>
    <t>2018-08-06</t>
  </si>
  <si>
    <t>2018-11-04</t>
  </si>
  <si>
    <t>2018-12-26</t>
  </si>
  <si>
    <t>2019-03-29</t>
  </si>
  <si>
    <t>2019-04-17</t>
  </si>
  <si>
    <t>2018-11-13</t>
  </si>
  <si>
    <t>2018-12-12</t>
  </si>
  <si>
    <t>2019-05-23</t>
  </si>
  <si>
    <t>2018-10-10</t>
  </si>
  <si>
    <t>2018-10-15</t>
  </si>
  <si>
    <t>2018-07-25</t>
  </si>
  <si>
    <t>2019-03-19</t>
  </si>
  <si>
    <t>2018-12-04</t>
  </si>
  <si>
    <t>2018-11-19</t>
  </si>
  <si>
    <t>2018-08-02</t>
  </si>
  <si>
    <t>2018-11-05</t>
  </si>
  <si>
    <t>2018-08-13</t>
  </si>
  <si>
    <t>2019-07-27</t>
  </si>
  <si>
    <t>2018-04-12</t>
  </si>
  <si>
    <t>2019-04-03</t>
  </si>
  <si>
    <t>2018-10-12</t>
  </si>
  <si>
    <t>2018-09-14</t>
  </si>
  <si>
    <t>2018-09-07</t>
  </si>
  <si>
    <t>2018-10-23</t>
  </si>
  <si>
    <t>2019-01-16</t>
  </si>
  <si>
    <t>2018-10-04</t>
  </si>
  <si>
    <t>2019-04-06</t>
  </si>
  <si>
    <t>2019-05-07</t>
  </si>
  <si>
    <t>2018-11-09</t>
  </si>
  <si>
    <t>2019-04-30</t>
  </si>
  <si>
    <t>2018-12-19</t>
  </si>
  <si>
    <t>2019-03-26</t>
  </si>
  <si>
    <t>2018-10-01</t>
  </si>
  <si>
    <t>2019-01-11</t>
  </si>
  <si>
    <t>2019-06-05</t>
  </si>
  <si>
    <t>2018-09-27</t>
  </si>
  <si>
    <t>2019-01-07</t>
  </si>
  <si>
    <t>2018-10-28</t>
  </si>
  <si>
    <t>2018-08-10</t>
  </si>
  <si>
    <t>2018-11-14</t>
  </si>
  <si>
    <t>2018-11-25</t>
  </si>
  <si>
    <t>2018-12-27</t>
  </si>
  <si>
    <t>2019-04-09</t>
  </si>
  <si>
    <t>2019-04-10</t>
  </si>
  <si>
    <t>2018-07-17</t>
  </si>
  <si>
    <t>2018-07-09</t>
  </si>
  <si>
    <t>2018-09-11</t>
  </si>
  <si>
    <t>2018-08-27</t>
  </si>
  <si>
    <t>2019-03-11</t>
  </si>
  <si>
    <t>2018-10-31</t>
  </si>
  <si>
    <t>2019-01-30</t>
  </si>
  <si>
    <t>2019-01-25</t>
  </si>
  <si>
    <t>2019-01-19</t>
  </si>
  <si>
    <t>2019-06-03</t>
  </si>
  <si>
    <t>2019-02-21</t>
  </si>
  <si>
    <t>2017-09-08</t>
  </si>
  <si>
    <t>2019-05-01</t>
  </si>
  <si>
    <t>2019-01-29</t>
  </si>
  <si>
    <t>2019-09-13</t>
  </si>
  <si>
    <t>2018-10-11</t>
  </si>
  <si>
    <t>2019-02-01</t>
  </si>
  <si>
    <t>2018-09-10</t>
  </si>
  <si>
    <t>2019-04-11</t>
  </si>
  <si>
    <t>2018-09-15</t>
  </si>
  <si>
    <t>2018-05-21</t>
  </si>
  <si>
    <t>2019-02-28</t>
  </si>
  <si>
    <t>2018-10-19</t>
  </si>
  <si>
    <t>2019-03-14</t>
  </si>
  <si>
    <t>2019-11-15</t>
  </si>
  <si>
    <t>2018-06-18</t>
  </si>
  <si>
    <t>2018-09-01</t>
  </si>
  <si>
    <t>2019-02-10</t>
  </si>
  <si>
    <t>2019-01-06</t>
  </si>
  <si>
    <t>2018-12-11</t>
  </si>
  <si>
    <t>2019-01-23</t>
  </si>
  <si>
    <t>2019-02-14</t>
  </si>
  <si>
    <t>2019-02-08</t>
  </si>
  <si>
    <t>2019-01-22</t>
  </si>
  <si>
    <t>2019-03-05</t>
  </si>
  <si>
    <t>2018-11-08</t>
  </si>
  <si>
    <t>2019-02-06</t>
  </si>
  <si>
    <t>2018-01-14</t>
  </si>
  <si>
    <t>2019-05-16</t>
  </si>
  <si>
    <t>2018-07-05</t>
  </si>
  <si>
    <t>2018-07-10</t>
  </si>
  <si>
    <t>2019-12-04</t>
  </si>
  <si>
    <t>2019-01-08</t>
  </si>
  <si>
    <t>2019-03-25</t>
  </si>
  <si>
    <t>2019-03-08</t>
  </si>
  <si>
    <t>2018-08-24</t>
  </si>
  <si>
    <t>2018-12-17</t>
  </si>
  <si>
    <t>2019-01-03</t>
  </si>
  <si>
    <t>2019-04-23</t>
  </si>
  <si>
    <t>2019-06-08</t>
  </si>
  <si>
    <t>2019-02-11</t>
  </si>
  <si>
    <t>2019-02-15</t>
  </si>
  <si>
    <t>2019-05-10</t>
  </si>
  <si>
    <t>2019-04-24</t>
  </si>
  <si>
    <t>2019-05-17</t>
  </si>
  <si>
    <t>2018-10-09</t>
  </si>
  <si>
    <t>2019-03-13</t>
  </si>
  <si>
    <t>2019-04-01</t>
  </si>
  <si>
    <t>2019-03-06</t>
  </si>
  <si>
    <t>2019-02-20</t>
  </si>
  <si>
    <t>2018-09-21</t>
  </si>
  <si>
    <t>2019-05-29</t>
  </si>
  <si>
    <t>2018-04-09</t>
  </si>
  <si>
    <t>2019-11-07</t>
  </si>
  <si>
    <t>2017-05-24</t>
  </si>
  <si>
    <t>2017-02-07</t>
  </si>
  <si>
    <t>2019-02-19</t>
  </si>
  <si>
    <t>2019-06-10</t>
  </si>
  <si>
    <t>2019-01-28</t>
  </si>
  <si>
    <t>2018-11-10</t>
  </si>
  <si>
    <t>2019-04-26</t>
  </si>
  <si>
    <t>2019-06-04</t>
  </si>
  <si>
    <t>2018-09-19</t>
  </si>
  <si>
    <t>2019-05-28</t>
  </si>
  <si>
    <t>2019-06-01</t>
  </si>
  <si>
    <t>2019-05-20</t>
  </si>
  <si>
    <t>2019-05-03</t>
  </si>
  <si>
    <t>2019-02-12</t>
  </si>
  <si>
    <t>2019-02-22</t>
  </si>
  <si>
    <t>2019-06-06</t>
  </si>
  <si>
    <t>2018-10-22</t>
  </si>
  <si>
    <t>2019-03-27</t>
  </si>
  <si>
    <t>2018-12-03</t>
  </si>
  <si>
    <t>2019-02-13</t>
  </si>
  <si>
    <t>2019-04-15</t>
  </si>
  <si>
    <t>2019-02-04</t>
  </si>
  <si>
    <t>2018-02-06</t>
  </si>
  <si>
    <t>2019-05-08</t>
  </si>
  <si>
    <t>2019-04-04</t>
  </si>
  <si>
    <t>2019-05-13</t>
  </si>
  <si>
    <t>2019-04-22</t>
  </si>
  <si>
    <t>2019-06-12</t>
  </si>
  <si>
    <t>2019-01-21</t>
  </si>
  <si>
    <t>2019-04-25</t>
  </si>
  <si>
    <t>2019-01-10</t>
  </si>
  <si>
    <t>2019-05-21</t>
  </si>
  <si>
    <t>2018-01-09</t>
  </si>
  <si>
    <t>2018-10-24</t>
  </si>
  <si>
    <t>2019-06-18</t>
  </si>
  <si>
    <t>2019-06-14</t>
  </si>
  <si>
    <t>2019-01-17</t>
  </si>
  <si>
    <t>2019-11-30</t>
  </si>
  <si>
    <t>2019-06-30</t>
  </si>
  <si>
    <t>2019-02-07</t>
  </si>
  <si>
    <t>2018-05-23</t>
  </si>
  <si>
    <t>2019-01-01</t>
  </si>
  <si>
    <t>2019-05-09</t>
  </si>
  <si>
    <t>2018-05-09</t>
  </si>
  <si>
    <t>2019-05-24</t>
  </si>
  <si>
    <t>2018-12-30</t>
  </si>
  <si>
    <t>2018-11-11</t>
  </si>
  <si>
    <t>2019-05-31</t>
  </si>
  <si>
    <t>2019-02-16</t>
  </si>
  <si>
    <t>2019-03-02</t>
  </si>
  <si>
    <t>2019-02-02</t>
  </si>
  <si>
    <t>2018-07-03</t>
  </si>
  <si>
    <t>2019-02-26</t>
  </si>
  <si>
    <t>2019-12-14</t>
  </si>
  <si>
    <t>2019-04-08</t>
  </si>
  <si>
    <t>2019-01-09</t>
  </si>
  <si>
    <t>2018-01-17</t>
  </si>
  <si>
    <t>2019-03-28</t>
  </si>
  <si>
    <t>2018-04-26</t>
  </si>
  <si>
    <t>2019-06-20</t>
  </si>
  <si>
    <t>2019-05-15</t>
  </si>
  <si>
    <t>2019-05-02</t>
  </si>
  <si>
    <t>2018-01-03</t>
  </si>
  <si>
    <t>2018-02-14</t>
  </si>
  <si>
    <t>2019-05-14</t>
  </si>
  <si>
    <t>2019-04-18</t>
  </si>
  <si>
    <t>2019-05-22</t>
  </si>
  <si>
    <t>2019-04-02</t>
  </si>
  <si>
    <t>2019-03-17</t>
  </si>
  <si>
    <t>2019-05-06</t>
  </si>
  <si>
    <t>2019-06-24</t>
  </si>
  <si>
    <t>2019-02-24</t>
  </si>
  <si>
    <t>2019-04-13</t>
  </si>
  <si>
    <t>2019-05-30</t>
  </si>
  <si>
    <t>2019-06-26</t>
  </si>
  <si>
    <t>2018-04-01</t>
  </si>
  <si>
    <t>2019-06-27</t>
  </si>
  <si>
    <t>2019-05-11</t>
  </si>
  <si>
    <t>2019-06-02</t>
  </si>
  <si>
    <t>2019-06-13</t>
  </si>
  <si>
    <t>2019-06-17</t>
  </si>
  <si>
    <t>2019-06-21</t>
  </si>
  <si>
    <t>2019-04-19</t>
  </si>
  <si>
    <t>5019-05-21</t>
  </si>
  <si>
    <t>2019-04-28</t>
  </si>
  <si>
    <t>2019-12-20</t>
  </si>
  <si>
    <t>2019-05-12</t>
  </si>
  <si>
    <t>2019-06-25</t>
  </si>
  <si>
    <t>2019-06-11</t>
  </si>
  <si>
    <t>2019-06-28</t>
  </si>
  <si>
    <t>2019-10-17</t>
  </si>
  <si>
    <t>2018-12-08</t>
  </si>
  <si>
    <t>2018-02-05</t>
  </si>
  <si>
    <t>04/23/2018</t>
  </si>
  <si>
    <t>11/22/2018</t>
  </si>
  <si>
    <t>02/07/2018</t>
  </si>
  <si>
    <t>03/03/2019</t>
  </si>
  <si>
    <t>08/20/2017</t>
  </si>
  <si>
    <t>03/15/2018</t>
  </si>
  <si>
    <t>12/05/2017</t>
  </si>
  <si>
    <t>02/03/2019</t>
  </si>
  <si>
    <t>03/24/2019</t>
  </si>
  <si>
    <t>06/16/2019</t>
  </si>
  <si>
    <t>04/28/2019</t>
  </si>
  <si>
    <t>06/23/2019</t>
  </si>
  <si>
    <t>05/05/2019</t>
  </si>
  <si>
    <t>05/19/2019</t>
  </si>
  <si>
    <t>05/19/2016</t>
  </si>
  <si>
    <t>Cunningham, Yvonne</t>
  </si>
  <si>
    <t>Morales-Robinson, Ana</t>
  </si>
  <si>
    <t>Vazquez, Angel</t>
  </si>
  <si>
    <t>Baez, Jeaneshia</t>
  </si>
  <si>
    <t>Medina, Marta</t>
  </si>
  <si>
    <t>Sanchez, Dennis</t>
  </si>
  <si>
    <t>Guadalupe, Marilyn</t>
  </si>
  <si>
    <t>Vergeli, Evelyn</t>
  </si>
  <si>
    <t>Mendez-Acosta, Maria</t>
  </si>
  <si>
    <t>Salcedo, Luciris</t>
  </si>
  <si>
    <t>Benitez, Vicenta</t>
  </si>
  <si>
    <t>Ramos, Yolanda</t>
  </si>
  <si>
    <t>Garcia, Keiannis</t>
  </si>
  <si>
    <t>Djourab, Atteib</t>
  </si>
  <si>
    <t>Amponsah, Oheneba</t>
  </si>
  <si>
    <t>Yeasmin, Sarzah</t>
  </si>
  <si>
    <t>Diaz, Karla</t>
  </si>
  <si>
    <t>Hernandez, Jonathan</t>
  </si>
  <si>
    <t>Pujols, Isabel</t>
  </si>
  <si>
    <t>Prado, Steven</t>
  </si>
  <si>
    <t>Tejada, Dennis</t>
  </si>
  <si>
    <t>Guzman Velazquez, Leida</t>
  </si>
  <si>
    <t>Ortega, Luis</t>
  </si>
  <si>
    <t>Moss, Julieta</t>
  </si>
  <si>
    <t>Torres, Elizabeth</t>
  </si>
  <si>
    <t>Lane, Diane</t>
  </si>
  <si>
    <t>Kassiano, Andrea</t>
  </si>
  <si>
    <t>Sampert, Monica</t>
  </si>
  <si>
    <t>Escobar, Sarah</t>
  </si>
  <si>
    <t>Dong, Sean</t>
  </si>
  <si>
    <t>Pierre, Haenley</t>
  </si>
  <si>
    <t>Baldova, Maria</t>
  </si>
  <si>
    <t>Wong, Angela</t>
  </si>
  <si>
    <t>Villanueva, Anthony</t>
  </si>
  <si>
    <t>Wilson-Wieland, Cherille</t>
  </si>
  <si>
    <t>Ventura, Alejandro</t>
  </si>
  <si>
    <t>Agarwala, Shelly</t>
  </si>
  <si>
    <t>Espinal, Wendy</t>
  </si>
  <si>
    <t>Sanchez, Ingrid</t>
  </si>
  <si>
    <t>Castellanos, Rachel</t>
  </si>
  <si>
    <t>Sanchez, Sandra</t>
  </si>
  <si>
    <t>Shang, Andrea</t>
  </si>
  <si>
    <t>Then, Laura</t>
  </si>
  <si>
    <t>Acevedo, Tiffany</t>
  </si>
  <si>
    <t>Rodriguez, Lucy</t>
  </si>
  <si>
    <t>Smith, Jeanne</t>
  </si>
  <si>
    <t>Vaz, Marie</t>
  </si>
  <si>
    <t>Santiago, Denya</t>
  </si>
  <si>
    <t>Fernandez, Jennifer</t>
  </si>
  <si>
    <t>Schwartz, Ester</t>
  </si>
  <si>
    <t>Almanzar, Yocari</t>
  </si>
  <si>
    <t>Garcia, Delci</t>
  </si>
  <si>
    <t>Stone, Gary</t>
  </si>
  <si>
    <t>Newton, Jack</t>
  </si>
  <si>
    <t>Castillo, Evette</t>
  </si>
  <si>
    <t>Martinez, Renee</t>
  </si>
  <si>
    <t>Rodriguez, Ana</t>
  </si>
  <si>
    <t>Then, Rosalina</t>
  </si>
  <si>
    <t>Vogltanz, Amy</t>
  </si>
  <si>
    <t>Khanam, Aysha</t>
  </si>
  <si>
    <t>Arboleda, Paula</t>
  </si>
  <si>
    <t>Morace, Jana</t>
  </si>
  <si>
    <t>Acosta, Rosa</t>
  </si>
  <si>
    <t>Bauer, Kai</t>
  </si>
  <si>
    <t>Stadler, Danielle</t>
  </si>
  <si>
    <t>Doss, Olivia</t>
  </si>
  <si>
    <t>Lopez, Gabriel</t>
  </si>
  <si>
    <t>Calderon, Milta</t>
  </si>
  <si>
    <t>Reid, Jude</t>
  </si>
  <si>
    <t>DHCI Form</t>
  </si>
  <si>
    <t>Active CA/SNAP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</si>
</sst>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11405"/>
  <sheetViews>
    <sheetView tabSelected="1" workbookViewId="0"/>
  </sheetViews>
  <sheetFormatPr defaultRowHeight="15"/>
  <cols>
    <col min="1" max="1" width="20.7109375" style="1" customWidth="1"/>
  </cols>
  <sheetData>
    <row r="1" spans="1:5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>
      <c r="A2" s="1">
        <f>HYPERLINK("https://lsnyc.legalserver.org/matter/dynamic-profile/view/0794383","15-0794383")</f>
        <v>0</v>
      </c>
      <c r="B2" t="s">
        <v>50</v>
      </c>
      <c r="C2" t="s">
        <v>340</v>
      </c>
      <c r="D2" t="s">
        <v>342</v>
      </c>
      <c r="F2" t="s">
        <v>868</v>
      </c>
      <c r="G2" t="s">
        <v>5072</v>
      </c>
      <c r="H2" t="s">
        <v>9636</v>
      </c>
      <c r="I2" t="s">
        <v>17268</v>
      </c>
      <c r="J2" t="s">
        <v>18892</v>
      </c>
      <c r="K2">
        <v>10452</v>
      </c>
      <c r="L2" t="s">
        <v>18958</v>
      </c>
      <c r="M2" t="s">
        <v>18960</v>
      </c>
      <c r="N2" t="s">
        <v>18961</v>
      </c>
      <c r="O2" t="s">
        <v>26523</v>
      </c>
      <c r="P2" t="s">
        <v>26560</v>
      </c>
      <c r="R2" t="s">
        <v>26577</v>
      </c>
      <c r="U2" t="s">
        <v>26604</v>
      </c>
      <c r="V2" t="s">
        <v>26609</v>
      </c>
      <c r="W2" t="s">
        <v>26619</v>
      </c>
      <c r="X2">
        <v>1446.72</v>
      </c>
      <c r="Y2" t="s">
        <v>26650</v>
      </c>
      <c r="Z2" t="s">
        <v>26655</v>
      </c>
      <c r="AB2" t="s">
        <v>26696</v>
      </c>
      <c r="AC2" t="s">
        <v>34461</v>
      </c>
      <c r="AD2" t="s">
        <v>36812</v>
      </c>
      <c r="AE2">
        <v>82</v>
      </c>
      <c r="AF2" t="s">
        <v>45541</v>
      </c>
      <c r="AG2" t="s">
        <v>45556</v>
      </c>
      <c r="AH2">
        <v>2</v>
      </c>
      <c r="AI2">
        <v>1</v>
      </c>
      <c r="AJ2">
        <v>0</v>
      </c>
      <c r="AK2">
        <v>88.8</v>
      </c>
      <c r="AN2" t="s">
        <v>7439</v>
      </c>
      <c r="AO2">
        <v>10452</v>
      </c>
      <c r="AP2" t="s">
        <v>45617</v>
      </c>
      <c r="AU2">
        <v>110</v>
      </c>
      <c r="AV2" t="s">
        <v>825</v>
      </c>
      <c r="AW2" t="s">
        <v>50</v>
      </c>
    </row>
    <row r="3" spans="1:50">
      <c r="A3" s="1">
        <f>HYPERLINK("https://lsnyc.legalserver.org/matter/dynamic-profile/view/0796128","16-0796128")</f>
        <v>0</v>
      </c>
      <c r="B3" t="s">
        <v>51</v>
      </c>
      <c r="C3" t="s">
        <v>340</v>
      </c>
      <c r="D3" t="s">
        <v>343</v>
      </c>
      <c r="F3" t="s">
        <v>869</v>
      </c>
      <c r="G3" t="s">
        <v>5073</v>
      </c>
      <c r="H3" t="s">
        <v>9637</v>
      </c>
      <c r="I3" t="s">
        <v>17269</v>
      </c>
      <c r="J3" t="s">
        <v>18892</v>
      </c>
      <c r="K3">
        <v>10472</v>
      </c>
      <c r="L3" t="s">
        <v>18958</v>
      </c>
      <c r="M3" t="s">
        <v>18960</v>
      </c>
      <c r="N3" t="s">
        <v>18962</v>
      </c>
      <c r="O3" t="s">
        <v>26524</v>
      </c>
      <c r="P3" t="s">
        <v>26560</v>
      </c>
      <c r="R3" t="s">
        <v>26577</v>
      </c>
      <c r="U3" t="s">
        <v>26604</v>
      </c>
      <c r="V3" t="s">
        <v>26609</v>
      </c>
      <c r="W3" t="s">
        <v>26619</v>
      </c>
      <c r="X3">
        <v>276</v>
      </c>
      <c r="Y3" t="s">
        <v>26650</v>
      </c>
      <c r="Z3" t="s">
        <v>26656</v>
      </c>
      <c r="AB3" t="s">
        <v>26697</v>
      </c>
      <c r="AC3" t="s">
        <v>34462</v>
      </c>
      <c r="AD3" t="s">
        <v>36813</v>
      </c>
      <c r="AE3">
        <v>0</v>
      </c>
      <c r="AH3">
        <v>3</v>
      </c>
      <c r="AI3">
        <v>1</v>
      </c>
      <c r="AJ3">
        <v>0</v>
      </c>
      <c r="AK3">
        <v>187.77</v>
      </c>
      <c r="AN3" t="s">
        <v>7439</v>
      </c>
      <c r="AO3">
        <v>22100</v>
      </c>
      <c r="AP3" t="s">
        <v>45617</v>
      </c>
      <c r="AQ3" t="s">
        <v>46358</v>
      </c>
      <c r="AR3" t="s">
        <v>26530</v>
      </c>
      <c r="AS3" t="s">
        <v>46499</v>
      </c>
      <c r="AT3" t="s">
        <v>46503</v>
      </c>
      <c r="AU3">
        <v>110.8</v>
      </c>
      <c r="AV3" t="s">
        <v>427</v>
      </c>
      <c r="AW3" t="s">
        <v>46828</v>
      </c>
    </row>
    <row r="4" spans="1:50">
      <c r="A4" s="1">
        <f>HYPERLINK("https://lsnyc.legalserver.org/matter/dynamic-profile/view/0798547","16-0798547")</f>
        <v>0</v>
      </c>
      <c r="B4" t="s">
        <v>52</v>
      </c>
      <c r="C4" t="s">
        <v>340</v>
      </c>
      <c r="D4" t="s">
        <v>344</v>
      </c>
      <c r="F4" t="s">
        <v>870</v>
      </c>
      <c r="G4" t="s">
        <v>5074</v>
      </c>
      <c r="H4" t="s">
        <v>9638</v>
      </c>
      <c r="I4" t="s">
        <v>17270</v>
      </c>
      <c r="J4" t="s">
        <v>18892</v>
      </c>
      <c r="K4">
        <v>10473</v>
      </c>
      <c r="L4" t="s">
        <v>18958</v>
      </c>
      <c r="M4" t="s">
        <v>18960</v>
      </c>
      <c r="N4" t="s">
        <v>18963</v>
      </c>
      <c r="O4" t="s">
        <v>26525</v>
      </c>
      <c r="P4" t="s">
        <v>26561</v>
      </c>
      <c r="R4" t="s">
        <v>26577</v>
      </c>
      <c r="S4" t="s">
        <v>18959</v>
      </c>
      <c r="U4" t="s">
        <v>26605</v>
      </c>
      <c r="V4" t="s">
        <v>26610</v>
      </c>
      <c r="W4" t="s">
        <v>26619</v>
      </c>
      <c r="X4">
        <v>162</v>
      </c>
      <c r="Y4" t="s">
        <v>26650</v>
      </c>
      <c r="Z4" t="s">
        <v>26657</v>
      </c>
      <c r="AB4" t="s">
        <v>26698</v>
      </c>
      <c r="AD4" t="s">
        <v>36814</v>
      </c>
      <c r="AE4">
        <v>0</v>
      </c>
      <c r="AF4" t="s">
        <v>45542</v>
      </c>
      <c r="AH4">
        <v>10</v>
      </c>
      <c r="AI4">
        <v>3</v>
      </c>
      <c r="AJ4">
        <v>3</v>
      </c>
      <c r="AK4">
        <v>27.37</v>
      </c>
      <c r="AN4" t="s">
        <v>7439</v>
      </c>
      <c r="AO4">
        <v>8916</v>
      </c>
      <c r="AP4" t="s">
        <v>45617</v>
      </c>
      <c r="AU4">
        <v>41.45</v>
      </c>
      <c r="AV4" t="s">
        <v>836</v>
      </c>
      <c r="AW4" t="s">
        <v>307</v>
      </c>
    </row>
    <row r="5" spans="1:50">
      <c r="A5" s="1">
        <f>HYPERLINK("https://lsnyc.legalserver.org/matter/dynamic-profile/view/0798649","16-0798649")</f>
        <v>0</v>
      </c>
      <c r="B5" t="s">
        <v>53</v>
      </c>
      <c r="C5" t="s">
        <v>340</v>
      </c>
      <c r="D5" t="s">
        <v>345</v>
      </c>
      <c r="F5" t="s">
        <v>871</v>
      </c>
      <c r="G5" t="s">
        <v>1725</v>
      </c>
      <c r="H5" t="s">
        <v>9639</v>
      </c>
      <c r="I5" t="s">
        <v>17271</v>
      </c>
      <c r="J5" t="s">
        <v>18892</v>
      </c>
      <c r="K5">
        <v>10454</v>
      </c>
      <c r="L5" t="s">
        <v>18958</v>
      </c>
      <c r="M5" t="s">
        <v>18960</v>
      </c>
      <c r="N5" t="s">
        <v>18964</v>
      </c>
      <c r="O5" t="s">
        <v>26523</v>
      </c>
      <c r="P5" t="s">
        <v>26560</v>
      </c>
      <c r="R5" t="s">
        <v>26577</v>
      </c>
      <c r="U5" t="s">
        <v>26606</v>
      </c>
      <c r="V5" t="s">
        <v>26610</v>
      </c>
      <c r="W5" t="s">
        <v>26619</v>
      </c>
      <c r="X5">
        <v>1749.98</v>
      </c>
      <c r="Y5" t="s">
        <v>26650</v>
      </c>
      <c r="Z5" t="s">
        <v>26658</v>
      </c>
      <c r="AB5" t="s">
        <v>26699</v>
      </c>
      <c r="AC5" t="s">
        <v>34463</v>
      </c>
      <c r="AE5">
        <v>46</v>
      </c>
      <c r="AF5" t="s">
        <v>45541</v>
      </c>
      <c r="AG5" t="s">
        <v>45557</v>
      </c>
      <c r="AH5">
        <v>5</v>
      </c>
      <c r="AI5">
        <v>3</v>
      </c>
      <c r="AJ5">
        <v>3</v>
      </c>
      <c r="AK5">
        <v>14.73</v>
      </c>
      <c r="AN5" t="s">
        <v>45581</v>
      </c>
      <c r="AO5">
        <v>4800</v>
      </c>
      <c r="AP5" t="s">
        <v>45617</v>
      </c>
      <c r="AU5">
        <v>130.35</v>
      </c>
      <c r="AV5" t="s">
        <v>741</v>
      </c>
      <c r="AW5" t="s">
        <v>46829</v>
      </c>
    </row>
    <row r="6" spans="1:50">
      <c r="A6" s="1">
        <f>HYPERLINK("https://lsnyc.legalserver.org/matter/dynamic-profile/view/0802155","16-0802155")</f>
        <v>0</v>
      </c>
      <c r="B6" t="s">
        <v>54</v>
      </c>
      <c r="C6" t="s">
        <v>340</v>
      </c>
      <c r="D6" t="s">
        <v>346</v>
      </c>
      <c r="F6" t="s">
        <v>872</v>
      </c>
      <c r="G6" t="s">
        <v>5075</v>
      </c>
      <c r="H6" t="s">
        <v>9640</v>
      </c>
      <c r="I6">
        <v>417</v>
      </c>
      <c r="J6" t="s">
        <v>18892</v>
      </c>
      <c r="K6">
        <v>10455</v>
      </c>
      <c r="L6" t="s">
        <v>18958</v>
      </c>
      <c r="M6" t="s">
        <v>18958</v>
      </c>
      <c r="N6" t="s">
        <v>18965</v>
      </c>
      <c r="O6" t="s">
        <v>26524</v>
      </c>
      <c r="P6" t="s">
        <v>26560</v>
      </c>
      <c r="R6" t="s">
        <v>26578</v>
      </c>
      <c r="T6" t="s">
        <v>26597</v>
      </c>
      <c r="U6" t="s">
        <v>26604</v>
      </c>
      <c r="V6" t="s">
        <v>26611</v>
      </c>
      <c r="W6" t="s">
        <v>26619</v>
      </c>
      <c r="X6">
        <v>560</v>
      </c>
      <c r="Y6" t="s">
        <v>26650</v>
      </c>
      <c r="Z6" t="s">
        <v>26659</v>
      </c>
      <c r="AB6" t="s">
        <v>26700</v>
      </c>
      <c r="AD6" t="s">
        <v>36815</v>
      </c>
      <c r="AE6">
        <v>109</v>
      </c>
      <c r="AF6" t="s">
        <v>45543</v>
      </c>
      <c r="AG6" t="s">
        <v>45556</v>
      </c>
      <c r="AH6">
        <v>20</v>
      </c>
      <c r="AI6">
        <v>2</v>
      </c>
      <c r="AJ6">
        <v>0</v>
      </c>
      <c r="AK6">
        <v>37.45</v>
      </c>
      <c r="AN6" t="s">
        <v>45581</v>
      </c>
      <c r="AO6">
        <v>6000</v>
      </c>
      <c r="AP6" t="s">
        <v>45617</v>
      </c>
      <c r="AU6">
        <v>221.4</v>
      </c>
      <c r="AV6" t="s">
        <v>839</v>
      </c>
      <c r="AW6" t="s">
        <v>46830</v>
      </c>
    </row>
    <row r="7" spans="1:50">
      <c r="A7" s="1">
        <f>HYPERLINK("https://lsnyc.legalserver.org/matter/dynamic-profile/view/0803164","16-0803164")</f>
        <v>0</v>
      </c>
      <c r="B7" t="s">
        <v>51</v>
      </c>
      <c r="C7" t="s">
        <v>341</v>
      </c>
      <c r="D7" t="s">
        <v>347</v>
      </c>
      <c r="E7" t="s">
        <v>739</v>
      </c>
      <c r="F7" t="s">
        <v>873</v>
      </c>
      <c r="G7" t="s">
        <v>5076</v>
      </c>
      <c r="H7" t="s">
        <v>9641</v>
      </c>
      <c r="I7" t="s">
        <v>17272</v>
      </c>
      <c r="J7" t="s">
        <v>18892</v>
      </c>
      <c r="K7">
        <v>10459</v>
      </c>
      <c r="L7" t="s">
        <v>18958</v>
      </c>
      <c r="M7" t="s">
        <v>18960</v>
      </c>
      <c r="N7" t="s">
        <v>18966</v>
      </c>
      <c r="O7" t="s">
        <v>26524</v>
      </c>
      <c r="P7" t="s">
        <v>26560</v>
      </c>
      <c r="Q7" t="s">
        <v>26568</v>
      </c>
      <c r="R7" t="s">
        <v>26577</v>
      </c>
      <c r="U7" t="s">
        <v>26604</v>
      </c>
      <c r="V7" t="s">
        <v>26610</v>
      </c>
      <c r="W7" t="s">
        <v>26619</v>
      </c>
      <c r="X7">
        <v>1500.54</v>
      </c>
      <c r="Y7" t="s">
        <v>26650</v>
      </c>
      <c r="Z7" t="s">
        <v>26659</v>
      </c>
      <c r="AA7" t="s">
        <v>26677</v>
      </c>
      <c r="AB7" t="s">
        <v>26701</v>
      </c>
      <c r="AC7" t="s">
        <v>34464</v>
      </c>
      <c r="AD7" t="s">
        <v>36816</v>
      </c>
      <c r="AE7">
        <v>0</v>
      </c>
      <c r="AF7" t="s">
        <v>45544</v>
      </c>
      <c r="AG7" t="s">
        <v>45556</v>
      </c>
      <c r="AH7">
        <v>23</v>
      </c>
      <c r="AI7">
        <v>2</v>
      </c>
      <c r="AJ7">
        <v>1</v>
      </c>
      <c r="AK7">
        <v>42.86</v>
      </c>
      <c r="AN7" t="s">
        <v>7439</v>
      </c>
      <c r="AO7">
        <v>8640</v>
      </c>
      <c r="AQ7" t="s">
        <v>46359</v>
      </c>
      <c r="AR7" t="s">
        <v>46379</v>
      </c>
      <c r="AS7" t="s">
        <v>46499</v>
      </c>
      <c r="AT7" t="s">
        <v>46504</v>
      </c>
      <c r="AU7">
        <v>23</v>
      </c>
      <c r="AV7" t="s">
        <v>739</v>
      </c>
      <c r="AW7" t="s">
        <v>46831</v>
      </c>
    </row>
    <row r="8" spans="1:50">
      <c r="A8" s="1">
        <f>HYPERLINK("https://lsnyc.legalserver.org/matter/dynamic-profile/view/0804196","16-0804196")</f>
        <v>0</v>
      </c>
      <c r="B8" t="s">
        <v>50</v>
      </c>
      <c r="C8" t="s">
        <v>340</v>
      </c>
      <c r="D8" t="s">
        <v>348</v>
      </c>
      <c r="F8" t="s">
        <v>874</v>
      </c>
      <c r="G8" t="s">
        <v>5077</v>
      </c>
      <c r="H8" t="s">
        <v>9642</v>
      </c>
      <c r="I8" t="s">
        <v>17273</v>
      </c>
      <c r="J8" t="s">
        <v>18892</v>
      </c>
      <c r="K8">
        <v>10463</v>
      </c>
      <c r="L8" t="s">
        <v>18958</v>
      </c>
      <c r="M8" t="s">
        <v>18960</v>
      </c>
      <c r="N8" t="s">
        <v>18967</v>
      </c>
      <c r="O8" t="s">
        <v>26524</v>
      </c>
      <c r="P8" t="s">
        <v>26560</v>
      </c>
      <c r="R8" t="s">
        <v>26577</v>
      </c>
      <c r="U8" t="s">
        <v>26604</v>
      </c>
      <c r="V8" t="s">
        <v>26610</v>
      </c>
      <c r="W8" t="s">
        <v>26619</v>
      </c>
      <c r="X8">
        <v>883.01</v>
      </c>
      <c r="Y8" t="s">
        <v>26650</v>
      </c>
      <c r="Z8" t="s">
        <v>26659</v>
      </c>
      <c r="AB8" t="s">
        <v>26702</v>
      </c>
      <c r="AC8" t="s">
        <v>34465</v>
      </c>
      <c r="AD8" t="s">
        <v>36817</v>
      </c>
      <c r="AE8">
        <v>0</v>
      </c>
      <c r="AF8" t="s">
        <v>45541</v>
      </c>
      <c r="AG8" t="s">
        <v>45557</v>
      </c>
      <c r="AH8">
        <v>23</v>
      </c>
      <c r="AI8">
        <v>2</v>
      </c>
      <c r="AJ8">
        <v>2</v>
      </c>
      <c r="AK8">
        <v>9.880000000000001</v>
      </c>
      <c r="AN8" t="s">
        <v>7439</v>
      </c>
      <c r="AO8">
        <v>2400</v>
      </c>
      <c r="AP8" t="s">
        <v>45617</v>
      </c>
      <c r="AU8">
        <v>189.55</v>
      </c>
      <c r="AV8" t="s">
        <v>814</v>
      </c>
      <c r="AW8" t="s">
        <v>254</v>
      </c>
    </row>
    <row r="9" spans="1:50">
      <c r="A9" s="1">
        <f>HYPERLINK("https://lsnyc.legalserver.org/matter/dynamic-profile/view/0806597","16-0806597")</f>
        <v>0</v>
      </c>
      <c r="B9" t="s">
        <v>55</v>
      </c>
      <c r="C9" t="s">
        <v>340</v>
      </c>
      <c r="D9" t="s">
        <v>349</v>
      </c>
      <c r="F9" t="s">
        <v>875</v>
      </c>
      <c r="G9" t="s">
        <v>5008</v>
      </c>
      <c r="H9" t="s">
        <v>9643</v>
      </c>
      <c r="I9" t="s">
        <v>17274</v>
      </c>
      <c r="J9" t="s">
        <v>18892</v>
      </c>
      <c r="K9">
        <v>10460</v>
      </c>
      <c r="L9" t="s">
        <v>18958</v>
      </c>
      <c r="M9" t="s">
        <v>18960</v>
      </c>
      <c r="N9" t="s">
        <v>18968</v>
      </c>
      <c r="O9" t="s">
        <v>26523</v>
      </c>
      <c r="P9" t="s">
        <v>26560</v>
      </c>
      <c r="R9" t="s">
        <v>26577</v>
      </c>
      <c r="S9" t="s">
        <v>18959</v>
      </c>
      <c r="U9" t="s">
        <v>26604</v>
      </c>
      <c r="V9" t="s">
        <v>26610</v>
      </c>
      <c r="W9" t="s">
        <v>26619</v>
      </c>
      <c r="X9">
        <v>698.42</v>
      </c>
      <c r="Y9" t="s">
        <v>26650</v>
      </c>
      <c r="Z9" t="s">
        <v>26659</v>
      </c>
      <c r="AB9" t="s">
        <v>26703</v>
      </c>
      <c r="AC9" t="s">
        <v>34466</v>
      </c>
      <c r="AD9" t="s">
        <v>36818</v>
      </c>
      <c r="AE9">
        <v>15</v>
      </c>
      <c r="AF9" t="s">
        <v>45541</v>
      </c>
      <c r="AG9" t="s">
        <v>45557</v>
      </c>
      <c r="AH9">
        <v>25</v>
      </c>
      <c r="AI9">
        <v>2</v>
      </c>
      <c r="AJ9">
        <v>1</v>
      </c>
      <c r="AK9">
        <v>22.46</v>
      </c>
      <c r="AN9" t="s">
        <v>45581</v>
      </c>
      <c r="AO9">
        <v>4528</v>
      </c>
      <c r="AU9">
        <v>284.5</v>
      </c>
      <c r="AV9" t="s">
        <v>830</v>
      </c>
      <c r="AW9" t="s">
        <v>46832</v>
      </c>
    </row>
    <row r="10" spans="1:50">
      <c r="A10" s="1">
        <f>HYPERLINK("https://lsnyc.legalserver.org/matter/dynamic-profile/view/0807625","16-0807625")</f>
        <v>0</v>
      </c>
      <c r="B10" t="s">
        <v>56</v>
      </c>
      <c r="C10" t="s">
        <v>340</v>
      </c>
      <c r="D10" t="s">
        <v>350</v>
      </c>
      <c r="F10" t="s">
        <v>876</v>
      </c>
      <c r="G10" t="s">
        <v>3790</v>
      </c>
      <c r="H10" t="s">
        <v>9644</v>
      </c>
      <c r="I10" t="s">
        <v>17275</v>
      </c>
      <c r="J10" t="s">
        <v>18892</v>
      </c>
      <c r="K10">
        <v>10456</v>
      </c>
      <c r="L10" t="s">
        <v>18958</v>
      </c>
      <c r="M10" t="s">
        <v>18958</v>
      </c>
      <c r="N10" t="s">
        <v>18969</v>
      </c>
      <c r="O10" t="s">
        <v>26526</v>
      </c>
      <c r="P10" t="s">
        <v>26560</v>
      </c>
      <c r="R10" t="s">
        <v>26577</v>
      </c>
      <c r="U10" t="s">
        <v>26604</v>
      </c>
      <c r="V10" t="s">
        <v>26610</v>
      </c>
      <c r="W10" t="s">
        <v>26619</v>
      </c>
      <c r="X10">
        <v>0</v>
      </c>
      <c r="Y10" t="s">
        <v>26650</v>
      </c>
      <c r="Z10" t="s">
        <v>26660</v>
      </c>
      <c r="AB10" t="s">
        <v>26704</v>
      </c>
      <c r="AC10" t="s">
        <v>34467</v>
      </c>
      <c r="AD10" t="s">
        <v>36819</v>
      </c>
      <c r="AE10">
        <v>0</v>
      </c>
      <c r="AH10">
        <v>20</v>
      </c>
      <c r="AI10">
        <v>1</v>
      </c>
      <c r="AJ10">
        <v>2</v>
      </c>
      <c r="AK10">
        <v>115.56</v>
      </c>
      <c r="AO10">
        <v>23296</v>
      </c>
      <c r="AP10" t="s">
        <v>45617</v>
      </c>
      <c r="AU10">
        <v>80.7</v>
      </c>
      <c r="AV10" t="s">
        <v>805</v>
      </c>
      <c r="AW10" t="s">
        <v>46830</v>
      </c>
    </row>
    <row r="11" spans="1:50">
      <c r="A11" s="1">
        <f>HYPERLINK("https://lsnyc.legalserver.org/matter/dynamic-profile/view/0807841","16-0807841")</f>
        <v>0</v>
      </c>
      <c r="B11" t="s">
        <v>57</v>
      </c>
      <c r="C11" t="s">
        <v>340</v>
      </c>
      <c r="D11" t="s">
        <v>351</v>
      </c>
      <c r="F11" t="s">
        <v>877</v>
      </c>
      <c r="G11" t="s">
        <v>5078</v>
      </c>
      <c r="H11" t="s">
        <v>9645</v>
      </c>
      <c r="I11" t="s">
        <v>17276</v>
      </c>
      <c r="J11" t="s">
        <v>18892</v>
      </c>
      <c r="K11">
        <v>10457</v>
      </c>
      <c r="L11" t="s">
        <v>18958</v>
      </c>
      <c r="M11" t="s">
        <v>18960</v>
      </c>
      <c r="N11" t="s">
        <v>18970</v>
      </c>
      <c r="O11" t="s">
        <v>26524</v>
      </c>
      <c r="P11" t="s">
        <v>26560</v>
      </c>
      <c r="R11" t="s">
        <v>26579</v>
      </c>
      <c r="S11" t="s">
        <v>18959</v>
      </c>
      <c r="U11" t="s">
        <v>26604</v>
      </c>
      <c r="V11" t="s">
        <v>26610</v>
      </c>
      <c r="W11" t="s">
        <v>26619</v>
      </c>
      <c r="X11">
        <v>843.02</v>
      </c>
      <c r="Y11" t="s">
        <v>26650</v>
      </c>
      <c r="Z11" t="s">
        <v>26661</v>
      </c>
      <c r="AB11" t="s">
        <v>26705</v>
      </c>
      <c r="AC11" t="s">
        <v>34468</v>
      </c>
      <c r="AD11" t="s">
        <v>36820</v>
      </c>
      <c r="AE11">
        <v>0</v>
      </c>
      <c r="AH11">
        <v>19</v>
      </c>
      <c r="AI11">
        <v>4</v>
      </c>
      <c r="AJ11">
        <v>1</v>
      </c>
      <c r="AK11">
        <v>64.73</v>
      </c>
      <c r="AO11">
        <v>36000</v>
      </c>
      <c r="AQ11" t="s">
        <v>46360</v>
      </c>
      <c r="AR11" t="s">
        <v>46380</v>
      </c>
      <c r="AS11" t="s">
        <v>46499</v>
      </c>
      <c r="AT11" t="s">
        <v>46505</v>
      </c>
      <c r="AU11">
        <v>98.7</v>
      </c>
      <c r="AV11" t="s">
        <v>747</v>
      </c>
      <c r="AW11" t="s">
        <v>46830</v>
      </c>
    </row>
    <row r="12" spans="1:50">
      <c r="A12" s="1">
        <f>HYPERLINK("https://lsnyc.legalserver.org/matter/dynamic-profile/view/0808655","16-0808655")</f>
        <v>0</v>
      </c>
      <c r="B12" t="s">
        <v>58</v>
      </c>
      <c r="C12" t="s">
        <v>341</v>
      </c>
      <c r="D12" t="s">
        <v>352</v>
      </c>
      <c r="E12" t="s">
        <v>843</v>
      </c>
      <c r="F12" t="s">
        <v>878</v>
      </c>
      <c r="G12" t="s">
        <v>5079</v>
      </c>
      <c r="H12" t="s">
        <v>9646</v>
      </c>
      <c r="I12" t="s">
        <v>17277</v>
      </c>
      <c r="J12" t="s">
        <v>18892</v>
      </c>
      <c r="K12">
        <v>10456</v>
      </c>
      <c r="L12" t="s">
        <v>18958</v>
      </c>
      <c r="M12" t="s">
        <v>18960</v>
      </c>
      <c r="N12" t="s">
        <v>18971</v>
      </c>
      <c r="O12" t="s">
        <v>26524</v>
      </c>
      <c r="P12" t="s">
        <v>26560</v>
      </c>
      <c r="Q12" t="s">
        <v>26568</v>
      </c>
      <c r="R12" t="s">
        <v>26577</v>
      </c>
      <c r="U12" t="s">
        <v>26604</v>
      </c>
      <c r="V12" t="s">
        <v>26609</v>
      </c>
      <c r="W12" t="s">
        <v>26619</v>
      </c>
      <c r="X12">
        <v>76</v>
      </c>
      <c r="Y12" t="s">
        <v>26650</v>
      </c>
      <c r="Z12" t="s">
        <v>26659</v>
      </c>
      <c r="AA12" t="s">
        <v>26678</v>
      </c>
      <c r="AB12" t="s">
        <v>26706</v>
      </c>
      <c r="AC12" t="s">
        <v>34469</v>
      </c>
      <c r="AD12" t="s">
        <v>36821</v>
      </c>
      <c r="AE12">
        <v>0</v>
      </c>
      <c r="AG12" t="s">
        <v>45556</v>
      </c>
      <c r="AH12">
        <v>10</v>
      </c>
      <c r="AI12">
        <v>2</v>
      </c>
      <c r="AJ12">
        <v>1</v>
      </c>
      <c r="AK12">
        <v>138</v>
      </c>
      <c r="AN12" t="s">
        <v>7439</v>
      </c>
      <c r="AO12">
        <v>27820</v>
      </c>
      <c r="AP12" t="s">
        <v>45617</v>
      </c>
      <c r="AQ12" t="s">
        <v>46359</v>
      </c>
      <c r="AR12" t="s">
        <v>46381</v>
      </c>
      <c r="AS12" t="s">
        <v>46499</v>
      </c>
      <c r="AT12" t="s">
        <v>46506</v>
      </c>
      <c r="AU12">
        <v>27.1</v>
      </c>
      <c r="AV12" t="s">
        <v>668</v>
      </c>
      <c r="AW12" t="s">
        <v>46831</v>
      </c>
    </row>
    <row r="13" spans="1:50">
      <c r="A13" s="1">
        <f>HYPERLINK("https://lsnyc.legalserver.org/matter/dynamic-profile/view/0819607","16-0819607")</f>
        <v>0</v>
      </c>
      <c r="B13" t="s">
        <v>59</v>
      </c>
      <c r="C13" t="s">
        <v>340</v>
      </c>
      <c r="D13" t="s">
        <v>353</v>
      </c>
      <c r="F13" t="s">
        <v>879</v>
      </c>
      <c r="G13" t="s">
        <v>5008</v>
      </c>
      <c r="H13" t="s">
        <v>9647</v>
      </c>
      <c r="I13" t="s">
        <v>17278</v>
      </c>
      <c r="J13" t="s">
        <v>18893</v>
      </c>
      <c r="K13">
        <v>10027</v>
      </c>
      <c r="L13" t="s">
        <v>18958</v>
      </c>
      <c r="M13" t="s">
        <v>18958</v>
      </c>
      <c r="N13" t="s">
        <v>18972</v>
      </c>
      <c r="O13" t="s">
        <v>26524</v>
      </c>
      <c r="P13" t="s">
        <v>26560</v>
      </c>
      <c r="R13" t="s">
        <v>26580</v>
      </c>
      <c r="U13" t="s">
        <v>26604</v>
      </c>
      <c r="W13" t="s">
        <v>26619</v>
      </c>
      <c r="X13">
        <v>1673.43</v>
      </c>
      <c r="Y13" t="s">
        <v>26651</v>
      </c>
      <c r="Z13" t="s">
        <v>26662</v>
      </c>
      <c r="AB13" t="s">
        <v>26707</v>
      </c>
      <c r="AD13" t="s">
        <v>36822</v>
      </c>
      <c r="AE13">
        <v>0</v>
      </c>
      <c r="AF13" t="s">
        <v>45545</v>
      </c>
      <c r="AH13">
        <v>11</v>
      </c>
      <c r="AI13">
        <v>1</v>
      </c>
      <c r="AJ13">
        <v>0</v>
      </c>
      <c r="AK13">
        <v>151.92</v>
      </c>
      <c r="AN13" t="s">
        <v>7439</v>
      </c>
      <c r="AO13">
        <v>18048</v>
      </c>
      <c r="AU13">
        <v>180.05</v>
      </c>
      <c r="AV13" t="s">
        <v>821</v>
      </c>
      <c r="AW13" t="s">
        <v>46833</v>
      </c>
    </row>
    <row r="14" spans="1:50">
      <c r="A14" s="1">
        <f>HYPERLINK("https://lsnyc.legalserver.org/matter/dynamic-profile/view/0796053","16-0796053")</f>
        <v>0</v>
      </c>
      <c r="B14" t="s">
        <v>60</v>
      </c>
      <c r="C14" t="s">
        <v>340</v>
      </c>
      <c r="D14" t="s">
        <v>354</v>
      </c>
      <c r="F14" t="s">
        <v>880</v>
      </c>
      <c r="G14" t="s">
        <v>5080</v>
      </c>
      <c r="H14" t="s">
        <v>9648</v>
      </c>
      <c r="I14" t="s">
        <v>17279</v>
      </c>
      <c r="J14" t="s">
        <v>18892</v>
      </c>
      <c r="K14">
        <v>10452</v>
      </c>
      <c r="L14" t="s">
        <v>18958</v>
      </c>
      <c r="M14" t="s">
        <v>18958</v>
      </c>
      <c r="N14" t="s">
        <v>18973</v>
      </c>
      <c r="O14" t="s">
        <v>26527</v>
      </c>
      <c r="P14" t="s">
        <v>26561</v>
      </c>
      <c r="R14" t="s">
        <v>26578</v>
      </c>
      <c r="S14" t="s">
        <v>18958</v>
      </c>
      <c r="U14" t="s">
        <v>26604</v>
      </c>
      <c r="W14" t="s">
        <v>26619</v>
      </c>
      <c r="X14">
        <v>1088.6</v>
      </c>
      <c r="Y14" t="s">
        <v>26650</v>
      </c>
      <c r="Z14" t="s">
        <v>26663</v>
      </c>
      <c r="AB14" t="s">
        <v>26708</v>
      </c>
      <c r="AD14" t="s">
        <v>36823</v>
      </c>
      <c r="AE14">
        <v>122</v>
      </c>
      <c r="AF14" t="s">
        <v>45541</v>
      </c>
      <c r="AG14" t="s">
        <v>19330</v>
      </c>
      <c r="AH14">
        <v>3</v>
      </c>
      <c r="AI14">
        <v>2</v>
      </c>
      <c r="AJ14">
        <v>4</v>
      </c>
      <c r="AK14">
        <v>95.79000000000001</v>
      </c>
      <c r="AN14" t="s">
        <v>7439</v>
      </c>
      <c r="AO14">
        <v>31200</v>
      </c>
      <c r="AP14" t="s">
        <v>45618</v>
      </c>
      <c r="AU14">
        <v>2.85</v>
      </c>
      <c r="AV14" t="s">
        <v>623</v>
      </c>
      <c r="AW14" t="s">
        <v>46834</v>
      </c>
    </row>
    <row r="15" spans="1:50">
      <c r="A15" s="1">
        <f>HYPERLINK("https://lsnyc.legalserver.org/matter/dynamic-profile/view/0832779","17-0832779")</f>
        <v>0</v>
      </c>
      <c r="B15" t="s">
        <v>51</v>
      </c>
      <c r="C15" t="s">
        <v>341</v>
      </c>
      <c r="D15" t="s">
        <v>355</v>
      </c>
      <c r="E15" t="s">
        <v>739</v>
      </c>
      <c r="F15" t="s">
        <v>873</v>
      </c>
      <c r="G15" t="s">
        <v>5076</v>
      </c>
      <c r="H15" t="s">
        <v>9641</v>
      </c>
      <c r="I15" t="s">
        <v>17272</v>
      </c>
      <c r="J15" t="s">
        <v>18892</v>
      </c>
      <c r="K15">
        <v>10459</v>
      </c>
      <c r="L15" t="s">
        <v>18958</v>
      </c>
      <c r="M15" t="s">
        <v>18960</v>
      </c>
      <c r="N15" t="s">
        <v>18974</v>
      </c>
      <c r="O15" t="s">
        <v>26524</v>
      </c>
      <c r="P15" t="s">
        <v>26560</v>
      </c>
      <c r="Q15" t="s">
        <v>26568</v>
      </c>
      <c r="R15" t="s">
        <v>26577</v>
      </c>
      <c r="U15" t="s">
        <v>26604</v>
      </c>
      <c r="V15" t="s">
        <v>26609</v>
      </c>
      <c r="W15" t="s">
        <v>26619</v>
      </c>
      <c r="X15">
        <v>1500.54</v>
      </c>
      <c r="Y15" t="s">
        <v>26650</v>
      </c>
      <c r="Z15" t="s">
        <v>26659</v>
      </c>
      <c r="AA15" t="s">
        <v>26677</v>
      </c>
      <c r="AB15" t="s">
        <v>26701</v>
      </c>
      <c r="AC15" t="s">
        <v>34470</v>
      </c>
      <c r="AD15" t="s">
        <v>36816</v>
      </c>
      <c r="AE15">
        <v>0</v>
      </c>
      <c r="AF15" t="s">
        <v>45544</v>
      </c>
      <c r="AG15" t="s">
        <v>45556</v>
      </c>
      <c r="AH15">
        <v>27</v>
      </c>
      <c r="AI15">
        <v>2</v>
      </c>
      <c r="AJ15">
        <v>1</v>
      </c>
      <c r="AK15">
        <v>42.31</v>
      </c>
      <c r="AN15" t="s">
        <v>7439</v>
      </c>
      <c r="AO15">
        <v>8640</v>
      </c>
      <c r="AP15" t="s">
        <v>45617</v>
      </c>
      <c r="AQ15" t="s">
        <v>46361</v>
      </c>
      <c r="AR15" t="s">
        <v>46380</v>
      </c>
      <c r="AS15" t="s">
        <v>46499</v>
      </c>
      <c r="AT15" t="s">
        <v>46507</v>
      </c>
      <c r="AU15">
        <v>35.8</v>
      </c>
      <c r="AV15" t="s">
        <v>739</v>
      </c>
      <c r="AW15" t="s">
        <v>284</v>
      </c>
    </row>
    <row r="16" spans="1:50">
      <c r="A16" s="1">
        <f>HYPERLINK("https://lsnyc.legalserver.org/matter/dynamic-profile/view/1833138","17-1833138")</f>
        <v>0</v>
      </c>
      <c r="B16" t="s">
        <v>61</v>
      </c>
      <c r="C16" t="s">
        <v>340</v>
      </c>
      <c r="D16" t="s">
        <v>356</v>
      </c>
      <c r="F16" t="s">
        <v>881</v>
      </c>
      <c r="G16" t="s">
        <v>5081</v>
      </c>
      <c r="H16" t="s">
        <v>9649</v>
      </c>
      <c r="I16">
        <v>55</v>
      </c>
      <c r="J16" t="s">
        <v>18893</v>
      </c>
      <c r="K16">
        <v>10034</v>
      </c>
      <c r="L16" t="s">
        <v>18958</v>
      </c>
      <c r="M16" t="s">
        <v>18958</v>
      </c>
      <c r="O16" t="s">
        <v>18997</v>
      </c>
      <c r="P16" t="s">
        <v>26562</v>
      </c>
      <c r="R16" t="s">
        <v>26578</v>
      </c>
      <c r="S16" t="s">
        <v>18959</v>
      </c>
      <c r="T16" t="s">
        <v>26581</v>
      </c>
      <c r="U16" t="s">
        <v>26604</v>
      </c>
      <c r="W16" t="s">
        <v>26619</v>
      </c>
      <c r="X16">
        <v>743.1</v>
      </c>
      <c r="Y16" t="s">
        <v>26651</v>
      </c>
      <c r="Z16" t="s">
        <v>26661</v>
      </c>
      <c r="AB16" t="s">
        <v>26709</v>
      </c>
      <c r="AD16" t="s">
        <v>36824</v>
      </c>
      <c r="AE16">
        <v>26</v>
      </c>
      <c r="AF16" t="s">
        <v>45541</v>
      </c>
      <c r="AG16" t="s">
        <v>19330</v>
      </c>
      <c r="AH16">
        <v>34</v>
      </c>
      <c r="AI16">
        <v>1</v>
      </c>
      <c r="AJ16">
        <v>0</v>
      </c>
      <c r="AK16">
        <v>327.36</v>
      </c>
      <c r="AL16" t="s">
        <v>438</v>
      </c>
      <c r="AN16" t="s">
        <v>45581</v>
      </c>
      <c r="AO16">
        <v>39480</v>
      </c>
      <c r="AU16">
        <v>24.3</v>
      </c>
      <c r="AV16" t="s">
        <v>472</v>
      </c>
      <c r="AW16" t="s">
        <v>46835</v>
      </c>
    </row>
    <row r="17" spans="1:50">
      <c r="A17" s="1">
        <f>HYPERLINK("https://lsnyc.legalserver.org/matter/dynamic-profile/view/1834332","17-1834332")</f>
        <v>0</v>
      </c>
      <c r="B17" t="s">
        <v>62</v>
      </c>
      <c r="C17" t="s">
        <v>340</v>
      </c>
      <c r="D17" t="s">
        <v>357</v>
      </c>
      <c r="F17" t="s">
        <v>882</v>
      </c>
      <c r="G17" t="s">
        <v>5082</v>
      </c>
      <c r="H17" t="s">
        <v>9650</v>
      </c>
      <c r="I17" t="s">
        <v>17280</v>
      </c>
      <c r="J17" t="s">
        <v>18893</v>
      </c>
      <c r="K17">
        <v>10034</v>
      </c>
      <c r="L17" t="s">
        <v>18958</v>
      </c>
      <c r="M17" t="s">
        <v>18960</v>
      </c>
      <c r="O17" t="s">
        <v>18997</v>
      </c>
      <c r="P17" t="s">
        <v>26563</v>
      </c>
      <c r="R17" t="s">
        <v>26578</v>
      </c>
      <c r="S17" t="s">
        <v>18959</v>
      </c>
      <c r="U17" t="s">
        <v>26604</v>
      </c>
      <c r="W17" t="s">
        <v>26619</v>
      </c>
      <c r="X17">
        <v>1033.79</v>
      </c>
      <c r="Y17" t="s">
        <v>26651</v>
      </c>
      <c r="Z17" t="s">
        <v>26661</v>
      </c>
      <c r="AB17" t="s">
        <v>26710</v>
      </c>
      <c r="AD17" t="s">
        <v>36825</v>
      </c>
      <c r="AE17">
        <v>0</v>
      </c>
      <c r="AF17" t="s">
        <v>45541</v>
      </c>
      <c r="AG17" t="s">
        <v>19330</v>
      </c>
      <c r="AH17">
        <v>30</v>
      </c>
      <c r="AI17">
        <v>2</v>
      </c>
      <c r="AJ17">
        <v>0</v>
      </c>
      <c r="AK17">
        <v>237.5</v>
      </c>
      <c r="AL17" t="s">
        <v>438</v>
      </c>
      <c r="AN17" t="s">
        <v>45581</v>
      </c>
      <c r="AO17">
        <v>38570.8</v>
      </c>
      <c r="AU17">
        <v>1</v>
      </c>
      <c r="AV17" t="s">
        <v>357</v>
      </c>
      <c r="AW17" t="s">
        <v>46835</v>
      </c>
    </row>
    <row r="18" spans="1:50">
      <c r="A18" s="1">
        <f>HYPERLINK("https://lsnyc.legalserver.org/matter/dynamic-profile/view/1835774","17-1835774")</f>
        <v>0</v>
      </c>
      <c r="B18" t="s">
        <v>54</v>
      </c>
      <c r="C18" t="s">
        <v>340</v>
      </c>
      <c r="D18" t="s">
        <v>358</v>
      </c>
      <c r="F18" t="s">
        <v>883</v>
      </c>
      <c r="G18" t="s">
        <v>5083</v>
      </c>
      <c r="H18" t="s">
        <v>9651</v>
      </c>
      <c r="I18" t="s">
        <v>17281</v>
      </c>
      <c r="J18" t="s">
        <v>18892</v>
      </c>
      <c r="K18">
        <v>10455</v>
      </c>
      <c r="L18" t="s">
        <v>18958</v>
      </c>
      <c r="M18" t="s">
        <v>18960</v>
      </c>
      <c r="N18" t="s">
        <v>18975</v>
      </c>
      <c r="O18" t="s">
        <v>26525</v>
      </c>
      <c r="P18" t="s">
        <v>26561</v>
      </c>
      <c r="R18" t="s">
        <v>26577</v>
      </c>
      <c r="S18" t="s">
        <v>18959</v>
      </c>
      <c r="U18" t="s">
        <v>26605</v>
      </c>
      <c r="V18" t="s">
        <v>26611</v>
      </c>
      <c r="W18" t="s">
        <v>26619</v>
      </c>
      <c r="X18">
        <v>213</v>
      </c>
      <c r="Y18" t="s">
        <v>26650</v>
      </c>
      <c r="Z18" t="s">
        <v>26659</v>
      </c>
      <c r="AB18" t="s">
        <v>26711</v>
      </c>
      <c r="AC18" t="s">
        <v>34471</v>
      </c>
      <c r="AD18" t="s">
        <v>36826</v>
      </c>
      <c r="AE18">
        <v>471</v>
      </c>
      <c r="AF18" t="s">
        <v>45542</v>
      </c>
      <c r="AG18" t="s">
        <v>19330</v>
      </c>
      <c r="AH18">
        <v>24</v>
      </c>
      <c r="AI18">
        <v>2</v>
      </c>
      <c r="AJ18">
        <v>0</v>
      </c>
      <c r="AK18">
        <v>73.23</v>
      </c>
      <c r="AL18" t="s">
        <v>424</v>
      </c>
      <c r="AN18" t="s">
        <v>7439</v>
      </c>
      <c r="AO18">
        <v>11892</v>
      </c>
      <c r="AP18" t="s">
        <v>45619</v>
      </c>
      <c r="AU18">
        <v>6.4</v>
      </c>
      <c r="AV18" t="s">
        <v>833</v>
      </c>
      <c r="AW18" t="s">
        <v>46831</v>
      </c>
      <c r="AX18" t="s">
        <v>46897</v>
      </c>
    </row>
    <row r="19" spans="1:50">
      <c r="A19" s="1">
        <f>HYPERLINK("https://lsnyc.legalserver.org/matter/dynamic-profile/view/1835907","17-1835907")</f>
        <v>0</v>
      </c>
      <c r="B19" t="s">
        <v>63</v>
      </c>
      <c r="C19" t="s">
        <v>340</v>
      </c>
      <c r="D19" t="s">
        <v>359</v>
      </c>
      <c r="F19" t="s">
        <v>884</v>
      </c>
      <c r="G19" t="s">
        <v>5084</v>
      </c>
      <c r="H19" t="s">
        <v>9652</v>
      </c>
      <c r="I19" t="s">
        <v>17275</v>
      </c>
      <c r="J19" t="s">
        <v>18892</v>
      </c>
      <c r="K19">
        <v>10453</v>
      </c>
      <c r="L19" t="s">
        <v>18958</v>
      </c>
      <c r="M19" t="s">
        <v>18960</v>
      </c>
      <c r="N19" t="s">
        <v>18976</v>
      </c>
      <c r="O19" t="s">
        <v>26523</v>
      </c>
      <c r="P19" t="s">
        <v>26560</v>
      </c>
      <c r="R19" t="s">
        <v>26577</v>
      </c>
      <c r="U19" t="s">
        <v>26604</v>
      </c>
      <c r="V19" t="s">
        <v>26610</v>
      </c>
      <c r="W19" t="s">
        <v>26619</v>
      </c>
      <c r="X19">
        <v>1250</v>
      </c>
      <c r="Y19" t="s">
        <v>26650</v>
      </c>
      <c r="Z19" t="s">
        <v>26659</v>
      </c>
      <c r="AB19" t="s">
        <v>26712</v>
      </c>
      <c r="AC19" t="s">
        <v>34472</v>
      </c>
      <c r="AD19" t="s">
        <v>36827</v>
      </c>
      <c r="AE19">
        <v>0</v>
      </c>
      <c r="AF19" t="s">
        <v>45541</v>
      </c>
      <c r="AH19">
        <v>2</v>
      </c>
      <c r="AI19">
        <v>1</v>
      </c>
      <c r="AJ19">
        <v>4</v>
      </c>
      <c r="AK19">
        <v>72.87</v>
      </c>
      <c r="AN19" t="s">
        <v>7439</v>
      </c>
      <c r="AO19">
        <v>20972</v>
      </c>
      <c r="AP19" t="s">
        <v>45620</v>
      </c>
      <c r="AU19">
        <v>112.35</v>
      </c>
      <c r="AV19" t="s">
        <v>829</v>
      </c>
      <c r="AW19" t="s">
        <v>46836</v>
      </c>
    </row>
    <row r="20" spans="1:50">
      <c r="A20" s="1">
        <f>HYPERLINK("https://lsnyc.legalserver.org/matter/dynamic-profile/view/1836235","17-1836235")</f>
        <v>0</v>
      </c>
      <c r="B20" t="s">
        <v>64</v>
      </c>
      <c r="C20" t="s">
        <v>340</v>
      </c>
      <c r="D20" t="s">
        <v>360</v>
      </c>
      <c r="F20" t="s">
        <v>885</v>
      </c>
      <c r="G20" t="s">
        <v>5085</v>
      </c>
      <c r="H20" t="s">
        <v>9653</v>
      </c>
      <c r="I20" t="s">
        <v>17282</v>
      </c>
      <c r="J20" t="s">
        <v>18892</v>
      </c>
      <c r="K20">
        <v>10466</v>
      </c>
      <c r="L20" t="s">
        <v>18958</v>
      </c>
      <c r="M20" t="s">
        <v>18960</v>
      </c>
      <c r="N20" t="s">
        <v>18977</v>
      </c>
      <c r="O20" t="s">
        <v>26524</v>
      </c>
      <c r="P20" t="s">
        <v>26560</v>
      </c>
      <c r="R20" t="s">
        <v>26577</v>
      </c>
      <c r="S20" t="s">
        <v>18959</v>
      </c>
      <c r="U20" t="s">
        <v>26604</v>
      </c>
      <c r="V20" t="s">
        <v>26610</v>
      </c>
      <c r="W20" t="s">
        <v>26619</v>
      </c>
      <c r="X20">
        <v>0</v>
      </c>
      <c r="Y20" t="s">
        <v>26650</v>
      </c>
      <c r="Z20" t="s">
        <v>26656</v>
      </c>
      <c r="AB20" t="s">
        <v>26713</v>
      </c>
      <c r="AC20" t="s">
        <v>34473</v>
      </c>
      <c r="AD20" t="s">
        <v>36828</v>
      </c>
      <c r="AE20">
        <v>0</v>
      </c>
      <c r="AF20" t="s">
        <v>45541</v>
      </c>
      <c r="AG20" t="s">
        <v>45556</v>
      </c>
      <c r="AH20">
        <v>18</v>
      </c>
      <c r="AI20">
        <v>2</v>
      </c>
      <c r="AJ20">
        <v>2</v>
      </c>
      <c r="AK20">
        <v>84.68000000000001</v>
      </c>
      <c r="AN20" t="s">
        <v>7439</v>
      </c>
      <c r="AO20">
        <v>20832</v>
      </c>
      <c r="AU20">
        <v>56.25</v>
      </c>
      <c r="AV20" t="s">
        <v>832</v>
      </c>
      <c r="AW20" t="s">
        <v>267</v>
      </c>
    </row>
    <row r="21" spans="1:50">
      <c r="A21" s="1">
        <f>HYPERLINK("https://lsnyc.legalserver.org/matter/dynamic-profile/view/1838798","17-1838798")</f>
        <v>0</v>
      </c>
      <c r="B21" t="s">
        <v>65</v>
      </c>
      <c r="C21" t="s">
        <v>341</v>
      </c>
      <c r="D21" t="s">
        <v>361</v>
      </c>
      <c r="E21" t="s">
        <v>840</v>
      </c>
      <c r="F21" t="s">
        <v>886</v>
      </c>
      <c r="G21" t="s">
        <v>5086</v>
      </c>
      <c r="H21" t="s">
        <v>9654</v>
      </c>
      <c r="I21" t="s">
        <v>17283</v>
      </c>
      <c r="J21" t="s">
        <v>18892</v>
      </c>
      <c r="K21">
        <v>10460</v>
      </c>
      <c r="L21" t="s">
        <v>18958</v>
      </c>
      <c r="M21" t="s">
        <v>18960</v>
      </c>
      <c r="N21" t="s">
        <v>18978</v>
      </c>
      <c r="O21" t="s">
        <v>26523</v>
      </c>
      <c r="P21" t="s">
        <v>26560</v>
      </c>
      <c r="Q21" t="s">
        <v>26568</v>
      </c>
      <c r="R21" t="s">
        <v>26577</v>
      </c>
      <c r="U21" t="s">
        <v>26604</v>
      </c>
      <c r="V21" t="s">
        <v>26610</v>
      </c>
      <c r="W21" t="s">
        <v>26619</v>
      </c>
      <c r="X21">
        <v>1044.14</v>
      </c>
      <c r="Y21" t="s">
        <v>26650</v>
      </c>
      <c r="Z21" t="s">
        <v>26659</v>
      </c>
      <c r="AA21" t="s">
        <v>26678</v>
      </c>
      <c r="AB21" t="s">
        <v>26714</v>
      </c>
      <c r="AC21" t="s">
        <v>34474</v>
      </c>
      <c r="AD21" t="s">
        <v>36829</v>
      </c>
      <c r="AE21">
        <v>0</v>
      </c>
      <c r="AF21" t="s">
        <v>45544</v>
      </c>
      <c r="AG21" t="s">
        <v>45556</v>
      </c>
      <c r="AH21">
        <v>30</v>
      </c>
      <c r="AI21">
        <v>3</v>
      </c>
      <c r="AJ21">
        <v>2</v>
      </c>
      <c r="AK21">
        <v>51.67</v>
      </c>
      <c r="AN21" t="s">
        <v>7439</v>
      </c>
      <c r="AO21">
        <v>14872</v>
      </c>
      <c r="AQ21" t="s">
        <v>46361</v>
      </c>
      <c r="AR21" t="s">
        <v>46382</v>
      </c>
      <c r="AS21" t="s">
        <v>46499</v>
      </c>
      <c r="AT21" t="s">
        <v>46508</v>
      </c>
      <c r="AU21">
        <v>26.05</v>
      </c>
      <c r="AV21" t="s">
        <v>522</v>
      </c>
      <c r="AW21" t="s">
        <v>46836</v>
      </c>
      <c r="AX21" t="s">
        <v>46898</v>
      </c>
    </row>
    <row r="22" spans="1:50">
      <c r="A22" s="1">
        <f>HYPERLINK("https://lsnyc.legalserver.org/matter/dynamic-profile/view/1837217","17-1837217")</f>
        <v>0</v>
      </c>
      <c r="B22" t="s">
        <v>65</v>
      </c>
      <c r="C22" t="s">
        <v>341</v>
      </c>
      <c r="D22" t="s">
        <v>362</v>
      </c>
      <c r="E22" t="s">
        <v>744</v>
      </c>
      <c r="F22" t="s">
        <v>887</v>
      </c>
      <c r="G22" t="s">
        <v>5087</v>
      </c>
      <c r="H22" t="s">
        <v>9655</v>
      </c>
      <c r="I22" t="s">
        <v>17275</v>
      </c>
      <c r="J22" t="s">
        <v>18892</v>
      </c>
      <c r="K22">
        <v>10457</v>
      </c>
      <c r="L22" t="s">
        <v>18958</v>
      </c>
      <c r="M22" t="s">
        <v>18960</v>
      </c>
      <c r="N22" t="s">
        <v>18979</v>
      </c>
      <c r="O22" t="s">
        <v>26524</v>
      </c>
      <c r="P22" t="s">
        <v>26560</v>
      </c>
      <c r="Q22" t="s">
        <v>26568</v>
      </c>
      <c r="R22" t="s">
        <v>26579</v>
      </c>
      <c r="S22" t="s">
        <v>18959</v>
      </c>
      <c r="U22" t="s">
        <v>26604</v>
      </c>
      <c r="V22" t="s">
        <v>26609</v>
      </c>
      <c r="W22" t="s">
        <v>26619</v>
      </c>
      <c r="X22">
        <v>1091.91</v>
      </c>
      <c r="Y22" t="s">
        <v>26650</v>
      </c>
      <c r="Z22" t="s">
        <v>26656</v>
      </c>
      <c r="AA22" t="s">
        <v>26678</v>
      </c>
      <c r="AB22" t="s">
        <v>26715</v>
      </c>
      <c r="AC22" t="s">
        <v>34475</v>
      </c>
      <c r="AD22" t="s">
        <v>36830</v>
      </c>
      <c r="AE22">
        <v>84</v>
      </c>
      <c r="AF22" t="s">
        <v>45541</v>
      </c>
      <c r="AG22" t="s">
        <v>19330</v>
      </c>
      <c r="AH22">
        <v>16</v>
      </c>
      <c r="AI22">
        <v>3</v>
      </c>
      <c r="AJ22">
        <v>0</v>
      </c>
      <c r="AK22">
        <v>42.96</v>
      </c>
      <c r="AN22" t="s">
        <v>45581</v>
      </c>
      <c r="AO22">
        <v>8772</v>
      </c>
      <c r="AP22" t="s">
        <v>45621</v>
      </c>
      <c r="AQ22" t="s">
        <v>46362</v>
      </c>
      <c r="AR22" t="s">
        <v>46383</v>
      </c>
      <c r="AS22" t="s">
        <v>46499</v>
      </c>
      <c r="AT22" t="s">
        <v>46509</v>
      </c>
      <c r="AU22">
        <v>22.4</v>
      </c>
      <c r="AV22" t="s">
        <v>639</v>
      </c>
      <c r="AW22" t="s">
        <v>46837</v>
      </c>
      <c r="AX22" t="s">
        <v>46897</v>
      </c>
    </row>
    <row r="23" spans="1:50">
      <c r="A23" s="1">
        <f>HYPERLINK("https://lsnyc.legalserver.org/matter/dynamic-profile/view/1837929","17-1837929")</f>
        <v>0</v>
      </c>
      <c r="B23" t="s">
        <v>66</v>
      </c>
      <c r="C23" t="s">
        <v>341</v>
      </c>
      <c r="D23" t="s">
        <v>363</v>
      </c>
      <c r="E23" t="s">
        <v>834</v>
      </c>
      <c r="F23" t="s">
        <v>888</v>
      </c>
      <c r="G23" t="s">
        <v>5088</v>
      </c>
      <c r="H23" t="s">
        <v>9656</v>
      </c>
      <c r="I23" t="s">
        <v>17284</v>
      </c>
      <c r="J23" t="s">
        <v>18893</v>
      </c>
      <c r="K23">
        <v>10027</v>
      </c>
      <c r="L23" t="s">
        <v>18958</v>
      </c>
      <c r="M23" t="s">
        <v>18960</v>
      </c>
      <c r="N23" t="s">
        <v>18980</v>
      </c>
      <c r="O23" t="s">
        <v>26523</v>
      </c>
      <c r="P23" t="s">
        <v>26560</v>
      </c>
      <c r="Q23" t="s">
        <v>26568</v>
      </c>
      <c r="R23" t="s">
        <v>26581</v>
      </c>
      <c r="S23" t="s">
        <v>18959</v>
      </c>
      <c r="U23" t="s">
        <v>26604</v>
      </c>
      <c r="W23" t="s">
        <v>26619</v>
      </c>
      <c r="X23">
        <v>832</v>
      </c>
      <c r="Y23" t="s">
        <v>26651</v>
      </c>
      <c r="Z23" t="s">
        <v>26664</v>
      </c>
      <c r="AA23" t="s">
        <v>26678</v>
      </c>
      <c r="AB23" t="s">
        <v>26716</v>
      </c>
      <c r="AC23" t="s">
        <v>34476</v>
      </c>
      <c r="AD23" t="s">
        <v>36831</v>
      </c>
      <c r="AE23">
        <v>36</v>
      </c>
      <c r="AH23">
        <v>10</v>
      </c>
      <c r="AI23">
        <v>1</v>
      </c>
      <c r="AJ23">
        <v>0</v>
      </c>
      <c r="AK23">
        <v>19.5</v>
      </c>
      <c r="AN23" t="s">
        <v>7439</v>
      </c>
      <c r="AO23">
        <v>2352</v>
      </c>
      <c r="AU23">
        <v>7.75</v>
      </c>
      <c r="AV23" t="s">
        <v>699</v>
      </c>
      <c r="AW23" t="s">
        <v>46838</v>
      </c>
      <c r="AX23" t="s">
        <v>46898</v>
      </c>
    </row>
    <row r="24" spans="1:50">
      <c r="A24" s="1">
        <f>HYPERLINK("https://lsnyc.legalserver.org/matter/dynamic-profile/view/1838027","17-1838027")</f>
        <v>0</v>
      </c>
      <c r="B24" t="s">
        <v>67</v>
      </c>
      <c r="C24" t="s">
        <v>341</v>
      </c>
      <c r="D24" t="s">
        <v>363</v>
      </c>
      <c r="E24" t="s">
        <v>844</v>
      </c>
      <c r="F24" t="s">
        <v>889</v>
      </c>
      <c r="G24" t="s">
        <v>968</v>
      </c>
      <c r="H24" t="s">
        <v>9657</v>
      </c>
      <c r="I24" t="s">
        <v>17285</v>
      </c>
      <c r="J24" t="s">
        <v>18892</v>
      </c>
      <c r="K24">
        <v>10453</v>
      </c>
      <c r="L24" t="s">
        <v>18958</v>
      </c>
      <c r="M24" t="s">
        <v>18960</v>
      </c>
      <c r="N24" t="s">
        <v>18981</v>
      </c>
      <c r="O24" t="s">
        <v>26524</v>
      </c>
      <c r="P24" t="s">
        <v>26560</v>
      </c>
      <c r="Q24" t="s">
        <v>26568</v>
      </c>
      <c r="R24" t="s">
        <v>26577</v>
      </c>
      <c r="S24" t="s">
        <v>18959</v>
      </c>
      <c r="U24" t="s">
        <v>26604</v>
      </c>
      <c r="V24" t="s">
        <v>26612</v>
      </c>
      <c r="W24" t="s">
        <v>26619</v>
      </c>
      <c r="X24">
        <v>1000</v>
      </c>
      <c r="Y24" t="s">
        <v>26650</v>
      </c>
      <c r="Z24" t="s">
        <v>26663</v>
      </c>
      <c r="AA24" t="s">
        <v>26679</v>
      </c>
      <c r="AB24" t="s">
        <v>26717</v>
      </c>
      <c r="AC24" t="s">
        <v>34477</v>
      </c>
      <c r="AD24" t="s">
        <v>36832</v>
      </c>
      <c r="AE24">
        <v>0</v>
      </c>
      <c r="AF24" t="s">
        <v>45541</v>
      </c>
      <c r="AG24" t="s">
        <v>19330</v>
      </c>
      <c r="AH24">
        <v>1</v>
      </c>
      <c r="AI24">
        <v>2</v>
      </c>
      <c r="AJ24">
        <v>2</v>
      </c>
      <c r="AK24">
        <v>97.56</v>
      </c>
      <c r="AN24" t="s">
        <v>7439</v>
      </c>
      <c r="AO24">
        <v>24000</v>
      </c>
      <c r="AP24" t="s">
        <v>45621</v>
      </c>
      <c r="AQ24" t="s">
        <v>46363</v>
      </c>
      <c r="AR24" t="s">
        <v>46384</v>
      </c>
      <c r="AS24" t="s">
        <v>46500</v>
      </c>
      <c r="AT24" t="s">
        <v>46510</v>
      </c>
      <c r="AU24">
        <v>104.7</v>
      </c>
      <c r="AV24" t="s">
        <v>505</v>
      </c>
      <c r="AW24" t="s">
        <v>46832</v>
      </c>
    </row>
    <row r="25" spans="1:50">
      <c r="A25" s="1">
        <f>HYPERLINK("https://lsnyc.legalserver.org/matter/dynamic-profile/view/1838538","17-1838538")</f>
        <v>0</v>
      </c>
      <c r="B25" t="s">
        <v>56</v>
      </c>
      <c r="C25" t="s">
        <v>340</v>
      </c>
      <c r="D25" t="s">
        <v>364</v>
      </c>
      <c r="F25" t="s">
        <v>890</v>
      </c>
      <c r="G25" t="s">
        <v>5089</v>
      </c>
      <c r="H25" t="s">
        <v>9658</v>
      </c>
      <c r="I25" t="s">
        <v>17286</v>
      </c>
      <c r="J25" t="s">
        <v>18892</v>
      </c>
      <c r="K25">
        <v>10457</v>
      </c>
      <c r="L25" t="s">
        <v>18958</v>
      </c>
      <c r="M25" t="s">
        <v>18958</v>
      </c>
      <c r="N25" t="s">
        <v>18982</v>
      </c>
      <c r="O25" t="s">
        <v>26523</v>
      </c>
      <c r="P25" t="s">
        <v>26560</v>
      </c>
      <c r="R25" t="s">
        <v>26579</v>
      </c>
      <c r="U25" t="s">
        <v>26604</v>
      </c>
      <c r="V25" t="s">
        <v>26611</v>
      </c>
      <c r="W25" t="s">
        <v>26619</v>
      </c>
      <c r="X25">
        <v>1225</v>
      </c>
      <c r="Y25" t="s">
        <v>26650</v>
      </c>
      <c r="Z25" t="s">
        <v>26662</v>
      </c>
      <c r="AB25" t="s">
        <v>26718</v>
      </c>
      <c r="AD25" t="s">
        <v>36833</v>
      </c>
      <c r="AE25">
        <v>19</v>
      </c>
      <c r="AF25" t="s">
        <v>20460</v>
      </c>
      <c r="AG25" t="s">
        <v>45556</v>
      </c>
      <c r="AH25">
        <v>9</v>
      </c>
      <c r="AI25">
        <v>1</v>
      </c>
      <c r="AJ25">
        <v>0</v>
      </c>
      <c r="AK25">
        <v>105.97</v>
      </c>
      <c r="AN25" t="s">
        <v>7439</v>
      </c>
      <c r="AO25">
        <v>12780</v>
      </c>
      <c r="AP25" t="s">
        <v>45620</v>
      </c>
      <c r="AU25">
        <v>25.9</v>
      </c>
      <c r="AV25" t="s">
        <v>630</v>
      </c>
      <c r="AW25" t="s">
        <v>46831</v>
      </c>
    </row>
    <row r="26" spans="1:50">
      <c r="A26" s="1">
        <f>HYPERLINK("https://lsnyc.legalserver.org/matter/dynamic-profile/view/1838879","17-1838879")</f>
        <v>0</v>
      </c>
      <c r="B26" t="s">
        <v>68</v>
      </c>
      <c r="C26" t="s">
        <v>341</v>
      </c>
      <c r="D26" t="s">
        <v>365</v>
      </c>
      <c r="E26" t="s">
        <v>524</v>
      </c>
      <c r="F26" t="s">
        <v>891</v>
      </c>
      <c r="G26" t="s">
        <v>5090</v>
      </c>
      <c r="H26" t="s">
        <v>9659</v>
      </c>
      <c r="I26" t="s">
        <v>17287</v>
      </c>
      <c r="J26" t="s">
        <v>18892</v>
      </c>
      <c r="K26">
        <v>10457</v>
      </c>
      <c r="L26" t="s">
        <v>18958</v>
      </c>
      <c r="M26" t="s">
        <v>18960</v>
      </c>
      <c r="N26" t="s">
        <v>18983</v>
      </c>
      <c r="O26" t="s">
        <v>26523</v>
      </c>
      <c r="P26" t="s">
        <v>26560</v>
      </c>
      <c r="Q26" t="s">
        <v>26568</v>
      </c>
      <c r="R26" t="s">
        <v>26579</v>
      </c>
      <c r="S26" t="s">
        <v>18959</v>
      </c>
      <c r="U26" t="s">
        <v>26604</v>
      </c>
      <c r="V26" t="s">
        <v>26612</v>
      </c>
      <c r="W26" t="s">
        <v>26619</v>
      </c>
      <c r="X26">
        <v>1372</v>
      </c>
      <c r="Y26" t="s">
        <v>26650</v>
      </c>
      <c r="Z26" t="s">
        <v>26662</v>
      </c>
      <c r="AA26" t="s">
        <v>26680</v>
      </c>
      <c r="AB26" t="s">
        <v>26719</v>
      </c>
      <c r="AC26" t="s">
        <v>34478</v>
      </c>
      <c r="AD26" t="s">
        <v>36834</v>
      </c>
      <c r="AE26">
        <v>108</v>
      </c>
      <c r="AF26" t="s">
        <v>45543</v>
      </c>
      <c r="AG26" t="s">
        <v>45556</v>
      </c>
      <c r="AH26">
        <v>1</v>
      </c>
      <c r="AI26">
        <v>1</v>
      </c>
      <c r="AJ26">
        <v>1</v>
      </c>
      <c r="AK26">
        <v>73.25</v>
      </c>
      <c r="AN26" t="s">
        <v>7439</v>
      </c>
      <c r="AO26">
        <v>11896</v>
      </c>
      <c r="AP26" t="s">
        <v>45621</v>
      </c>
      <c r="AQ26" t="s">
        <v>46364</v>
      </c>
      <c r="AR26" t="s">
        <v>46379</v>
      </c>
      <c r="AS26" t="s">
        <v>46499</v>
      </c>
      <c r="AT26" t="s">
        <v>46511</v>
      </c>
      <c r="AU26">
        <v>66.05</v>
      </c>
      <c r="AV26" t="s">
        <v>524</v>
      </c>
      <c r="AW26" t="s">
        <v>46839</v>
      </c>
    </row>
    <row r="27" spans="1:50">
      <c r="A27" s="1">
        <f>HYPERLINK("https://lsnyc.legalserver.org/matter/dynamic-profile/view/1839217","17-1839217")</f>
        <v>0</v>
      </c>
      <c r="B27" t="s">
        <v>69</v>
      </c>
      <c r="C27" t="s">
        <v>340</v>
      </c>
      <c r="D27" t="s">
        <v>366</v>
      </c>
      <c r="F27" t="s">
        <v>892</v>
      </c>
      <c r="G27" t="s">
        <v>2581</v>
      </c>
      <c r="H27" t="s">
        <v>9660</v>
      </c>
      <c r="I27" t="s">
        <v>17288</v>
      </c>
      <c r="J27" t="s">
        <v>18892</v>
      </c>
      <c r="K27">
        <v>10467</v>
      </c>
      <c r="L27" t="s">
        <v>18958</v>
      </c>
      <c r="M27" t="s">
        <v>18960</v>
      </c>
      <c r="N27" t="s">
        <v>18984</v>
      </c>
      <c r="O27" t="s">
        <v>26523</v>
      </c>
      <c r="P27" t="s">
        <v>26560</v>
      </c>
      <c r="R27" t="s">
        <v>26579</v>
      </c>
      <c r="S27" t="s">
        <v>18959</v>
      </c>
      <c r="U27" t="s">
        <v>26604</v>
      </c>
      <c r="V27" t="s">
        <v>26610</v>
      </c>
      <c r="W27" t="s">
        <v>26619</v>
      </c>
      <c r="X27">
        <v>0</v>
      </c>
      <c r="Y27" t="s">
        <v>26650</v>
      </c>
      <c r="Z27" t="s">
        <v>26662</v>
      </c>
      <c r="AB27" t="s">
        <v>26720</v>
      </c>
      <c r="AC27" t="s">
        <v>34479</v>
      </c>
      <c r="AE27">
        <v>0</v>
      </c>
      <c r="AH27">
        <v>0</v>
      </c>
      <c r="AI27">
        <v>1</v>
      </c>
      <c r="AJ27">
        <v>3</v>
      </c>
      <c r="AK27">
        <v>0</v>
      </c>
      <c r="AN27" t="s">
        <v>7439</v>
      </c>
      <c r="AO27">
        <v>0</v>
      </c>
      <c r="AP27" t="s">
        <v>45617</v>
      </c>
      <c r="AU27">
        <v>24.2</v>
      </c>
      <c r="AV27" t="s">
        <v>668</v>
      </c>
      <c r="AW27" t="s">
        <v>46837</v>
      </c>
    </row>
    <row r="28" spans="1:50">
      <c r="A28" s="1">
        <f>HYPERLINK("https://lsnyc.legalserver.org/matter/dynamic-profile/view/1839605","17-1839605")</f>
        <v>0</v>
      </c>
      <c r="B28" t="s">
        <v>70</v>
      </c>
      <c r="C28" t="s">
        <v>341</v>
      </c>
      <c r="D28" t="s">
        <v>367</v>
      </c>
      <c r="E28" t="s">
        <v>492</v>
      </c>
      <c r="F28" t="s">
        <v>893</v>
      </c>
      <c r="G28" t="s">
        <v>5091</v>
      </c>
      <c r="H28" t="s">
        <v>9661</v>
      </c>
      <c r="I28" t="s">
        <v>17289</v>
      </c>
      <c r="J28" t="s">
        <v>18892</v>
      </c>
      <c r="K28">
        <v>10467</v>
      </c>
      <c r="L28" t="s">
        <v>18958</v>
      </c>
      <c r="M28" t="s">
        <v>18960</v>
      </c>
      <c r="N28" t="s">
        <v>18985</v>
      </c>
      <c r="O28" t="s">
        <v>26523</v>
      </c>
      <c r="P28" t="s">
        <v>26560</v>
      </c>
      <c r="Q28" t="s">
        <v>26568</v>
      </c>
      <c r="R28" t="s">
        <v>26579</v>
      </c>
      <c r="S28" t="s">
        <v>18959</v>
      </c>
      <c r="U28" t="s">
        <v>26604</v>
      </c>
      <c r="W28" t="s">
        <v>26619</v>
      </c>
      <c r="X28">
        <v>1204</v>
      </c>
      <c r="Y28" t="s">
        <v>26650</v>
      </c>
      <c r="Z28" t="s">
        <v>26662</v>
      </c>
      <c r="AA28" t="s">
        <v>26678</v>
      </c>
      <c r="AB28" t="s">
        <v>26721</v>
      </c>
      <c r="AD28" t="s">
        <v>36835</v>
      </c>
      <c r="AE28">
        <v>680</v>
      </c>
      <c r="AF28" t="s">
        <v>45541</v>
      </c>
      <c r="AG28" t="s">
        <v>19330</v>
      </c>
      <c r="AH28">
        <v>20</v>
      </c>
      <c r="AI28">
        <v>2</v>
      </c>
      <c r="AJ28">
        <v>0</v>
      </c>
      <c r="AK28">
        <v>192.12</v>
      </c>
      <c r="AN28" t="s">
        <v>7439</v>
      </c>
      <c r="AO28">
        <v>31200</v>
      </c>
      <c r="AR28" t="s">
        <v>46385</v>
      </c>
      <c r="AS28" t="s">
        <v>46499</v>
      </c>
      <c r="AT28" t="s">
        <v>46512</v>
      </c>
      <c r="AU28">
        <v>12.75</v>
      </c>
      <c r="AV28" t="s">
        <v>497</v>
      </c>
      <c r="AW28" t="s">
        <v>46832</v>
      </c>
    </row>
    <row r="29" spans="1:50">
      <c r="A29" s="1">
        <f>HYPERLINK("https://lsnyc.legalserver.org/matter/dynamic-profile/view/1839487","17-1839487")</f>
        <v>0</v>
      </c>
      <c r="B29" t="s">
        <v>56</v>
      </c>
      <c r="C29" t="s">
        <v>340</v>
      </c>
      <c r="D29" t="s">
        <v>367</v>
      </c>
      <c r="F29" t="s">
        <v>894</v>
      </c>
      <c r="G29" t="s">
        <v>5092</v>
      </c>
      <c r="H29" t="s">
        <v>9662</v>
      </c>
      <c r="I29">
        <v>311</v>
      </c>
      <c r="J29" t="s">
        <v>18892</v>
      </c>
      <c r="K29">
        <v>10457</v>
      </c>
      <c r="L29" t="s">
        <v>18958</v>
      </c>
      <c r="M29" t="s">
        <v>18958</v>
      </c>
      <c r="N29" t="s">
        <v>18986</v>
      </c>
      <c r="O29" t="s">
        <v>26523</v>
      </c>
      <c r="P29" t="s">
        <v>26560</v>
      </c>
      <c r="R29" t="s">
        <v>26579</v>
      </c>
      <c r="S29" t="s">
        <v>18959</v>
      </c>
      <c r="U29" t="s">
        <v>26604</v>
      </c>
      <c r="V29" t="s">
        <v>26612</v>
      </c>
      <c r="W29" t="s">
        <v>26619</v>
      </c>
      <c r="X29">
        <v>1367</v>
      </c>
      <c r="Y29" t="s">
        <v>26650</v>
      </c>
      <c r="Z29" t="s">
        <v>26662</v>
      </c>
      <c r="AB29" t="s">
        <v>26722</v>
      </c>
      <c r="AC29" t="s">
        <v>34480</v>
      </c>
      <c r="AD29" t="s">
        <v>36836</v>
      </c>
      <c r="AE29">
        <v>0</v>
      </c>
      <c r="AG29" t="s">
        <v>45556</v>
      </c>
      <c r="AH29">
        <v>0</v>
      </c>
      <c r="AI29">
        <v>2</v>
      </c>
      <c r="AJ29">
        <v>0</v>
      </c>
      <c r="AK29">
        <v>108.33</v>
      </c>
      <c r="AN29" t="s">
        <v>7439</v>
      </c>
      <c r="AO29">
        <v>17592</v>
      </c>
      <c r="AP29" t="s">
        <v>45617</v>
      </c>
      <c r="AU29">
        <v>32.1</v>
      </c>
      <c r="AV29" t="s">
        <v>657</v>
      </c>
      <c r="AW29" t="s">
        <v>46837</v>
      </c>
    </row>
    <row r="30" spans="1:50">
      <c r="A30" s="1">
        <f>HYPERLINK("https://lsnyc.legalserver.org/matter/dynamic-profile/view/1839634","17-1839634")</f>
        <v>0</v>
      </c>
      <c r="B30" t="s">
        <v>71</v>
      </c>
      <c r="C30" t="s">
        <v>340</v>
      </c>
      <c r="D30" t="s">
        <v>368</v>
      </c>
      <c r="F30" t="s">
        <v>895</v>
      </c>
      <c r="G30" t="s">
        <v>5093</v>
      </c>
      <c r="H30" t="s">
        <v>9663</v>
      </c>
      <c r="I30" t="s">
        <v>17290</v>
      </c>
      <c r="J30" t="s">
        <v>18892</v>
      </c>
      <c r="K30">
        <v>10467</v>
      </c>
      <c r="L30" t="s">
        <v>18958</v>
      </c>
      <c r="M30" t="s">
        <v>18958</v>
      </c>
      <c r="N30" t="s">
        <v>18987</v>
      </c>
      <c r="O30" t="s">
        <v>26523</v>
      </c>
      <c r="P30" t="s">
        <v>26560</v>
      </c>
      <c r="R30" t="s">
        <v>26579</v>
      </c>
      <c r="U30" t="s">
        <v>26604</v>
      </c>
      <c r="V30" t="s">
        <v>26610</v>
      </c>
      <c r="W30" t="s">
        <v>26619</v>
      </c>
      <c r="X30">
        <v>1158</v>
      </c>
      <c r="Y30" t="s">
        <v>26650</v>
      </c>
      <c r="Z30" t="s">
        <v>26662</v>
      </c>
      <c r="AB30" t="s">
        <v>26723</v>
      </c>
      <c r="AC30" t="s">
        <v>34481</v>
      </c>
      <c r="AD30" t="s">
        <v>36837</v>
      </c>
      <c r="AE30">
        <v>0</v>
      </c>
      <c r="AF30" t="s">
        <v>45541</v>
      </c>
      <c r="AG30" t="s">
        <v>45558</v>
      </c>
      <c r="AH30">
        <v>9</v>
      </c>
      <c r="AI30">
        <v>1</v>
      </c>
      <c r="AJ30">
        <v>1</v>
      </c>
      <c r="AK30">
        <v>21.5</v>
      </c>
      <c r="AN30" t="s">
        <v>7439</v>
      </c>
      <c r="AO30">
        <v>3492</v>
      </c>
      <c r="AP30" t="s">
        <v>45620</v>
      </c>
      <c r="AR30" t="s">
        <v>46386</v>
      </c>
      <c r="AS30" t="s">
        <v>46499</v>
      </c>
      <c r="AT30" t="s">
        <v>46513</v>
      </c>
      <c r="AU30">
        <v>26.8</v>
      </c>
      <c r="AV30" t="s">
        <v>781</v>
      </c>
      <c r="AW30" t="s">
        <v>46839</v>
      </c>
      <c r="AX30" t="s">
        <v>46897</v>
      </c>
    </row>
    <row r="31" spans="1:50">
      <c r="A31" s="1">
        <f>HYPERLINK("https://lsnyc.legalserver.org/matter/dynamic-profile/view/1840397","17-1840397")</f>
        <v>0</v>
      </c>
      <c r="B31" t="s">
        <v>72</v>
      </c>
      <c r="C31" t="s">
        <v>341</v>
      </c>
      <c r="D31" t="s">
        <v>369</v>
      </c>
      <c r="E31" t="s">
        <v>684</v>
      </c>
      <c r="F31" t="s">
        <v>896</v>
      </c>
      <c r="G31" t="s">
        <v>5094</v>
      </c>
      <c r="H31" t="s">
        <v>9664</v>
      </c>
      <c r="I31">
        <v>41</v>
      </c>
      <c r="J31" t="s">
        <v>18893</v>
      </c>
      <c r="K31">
        <v>10033</v>
      </c>
      <c r="L31" t="s">
        <v>18958</v>
      </c>
      <c r="M31" t="s">
        <v>18958</v>
      </c>
      <c r="N31" t="s">
        <v>18988</v>
      </c>
      <c r="O31" t="s">
        <v>26528</v>
      </c>
      <c r="P31" t="s">
        <v>26560</v>
      </c>
      <c r="Q31" t="s">
        <v>26568</v>
      </c>
      <c r="R31" t="s">
        <v>26578</v>
      </c>
      <c r="S31" t="s">
        <v>18958</v>
      </c>
      <c r="U31" t="s">
        <v>26604</v>
      </c>
      <c r="W31" t="s">
        <v>26619</v>
      </c>
      <c r="X31">
        <v>817.79</v>
      </c>
      <c r="Y31" t="s">
        <v>26651</v>
      </c>
      <c r="Z31" t="s">
        <v>26661</v>
      </c>
      <c r="AA31" t="s">
        <v>26681</v>
      </c>
      <c r="AB31" t="s">
        <v>26724</v>
      </c>
      <c r="AD31" t="s">
        <v>36838</v>
      </c>
      <c r="AE31">
        <v>33</v>
      </c>
      <c r="AF31" t="s">
        <v>45541</v>
      </c>
      <c r="AG31" t="s">
        <v>45556</v>
      </c>
      <c r="AH31">
        <v>41</v>
      </c>
      <c r="AI31">
        <v>1</v>
      </c>
      <c r="AJ31">
        <v>0</v>
      </c>
      <c r="AK31">
        <v>75.42</v>
      </c>
      <c r="AN31" t="s">
        <v>7439</v>
      </c>
      <c r="AO31">
        <v>9096</v>
      </c>
      <c r="AU31">
        <v>0.65</v>
      </c>
      <c r="AV31" t="s">
        <v>684</v>
      </c>
      <c r="AW31" t="s">
        <v>46840</v>
      </c>
    </row>
    <row r="32" spans="1:50">
      <c r="A32" s="1">
        <f>HYPERLINK("https://lsnyc.legalserver.org/matter/dynamic-profile/view/1846660","17-1846660")</f>
        <v>0</v>
      </c>
      <c r="B32" t="s">
        <v>73</v>
      </c>
      <c r="C32" t="s">
        <v>341</v>
      </c>
      <c r="D32" t="s">
        <v>370</v>
      </c>
      <c r="E32" t="s">
        <v>827</v>
      </c>
      <c r="F32" t="s">
        <v>897</v>
      </c>
      <c r="G32" t="s">
        <v>1725</v>
      </c>
      <c r="H32" t="s">
        <v>9665</v>
      </c>
      <c r="I32" t="s">
        <v>17291</v>
      </c>
      <c r="J32" t="s">
        <v>18894</v>
      </c>
      <c r="K32">
        <v>11237</v>
      </c>
      <c r="L32" t="s">
        <v>18958</v>
      </c>
      <c r="M32" t="s">
        <v>18958</v>
      </c>
      <c r="O32" t="s">
        <v>26529</v>
      </c>
      <c r="P32" t="s">
        <v>26562</v>
      </c>
      <c r="Q32" t="s">
        <v>26569</v>
      </c>
      <c r="R32" t="s">
        <v>26578</v>
      </c>
      <c r="S32" t="s">
        <v>18958</v>
      </c>
      <c r="U32" t="s">
        <v>26604</v>
      </c>
      <c r="V32" t="s">
        <v>26610</v>
      </c>
      <c r="W32" t="s">
        <v>26619</v>
      </c>
      <c r="X32">
        <v>972</v>
      </c>
      <c r="Y32" t="s">
        <v>26652</v>
      </c>
      <c r="Z32" t="s">
        <v>26657</v>
      </c>
      <c r="AA32" t="s">
        <v>26682</v>
      </c>
      <c r="AB32" t="s">
        <v>26725</v>
      </c>
      <c r="AE32">
        <v>6</v>
      </c>
      <c r="AF32" t="s">
        <v>45541</v>
      </c>
      <c r="AG32" t="s">
        <v>19330</v>
      </c>
      <c r="AH32">
        <v>19</v>
      </c>
      <c r="AI32">
        <v>2</v>
      </c>
      <c r="AJ32">
        <v>0</v>
      </c>
      <c r="AK32">
        <v>104.68</v>
      </c>
      <c r="AN32" t="s">
        <v>45581</v>
      </c>
      <c r="AO32">
        <v>17000</v>
      </c>
      <c r="AU32">
        <v>134.15</v>
      </c>
      <c r="AV32" t="s">
        <v>765</v>
      </c>
      <c r="AW32" t="s">
        <v>46841</v>
      </c>
      <c r="AX32" t="s">
        <v>46897</v>
      </c>
    </row>
    <row r="33" spans="1:50">
      <c r="A33" s="1">
        <f>HYPERLINK("https://lsnyc.legalserver.org/matter/dynamic-profile/view/1849721","17-1849721")</f>
        <v>0</v>
      </c>
      <c r="B33" t="s">
        <v>74</v>
      </c>
      <c r="C33" t="s">
        <v>341</v>
      </c>
      <c r="D33" t="s">
        <v>371</v>
      </c>
      <c r="E33" t="s">
        <v>512</v>
      </c>
      <c r="F33" t="s">
        <v>898</v>
      </c>
      <c r="G33" t="s">
        <v>5095</v>
      </c>
      <c r="H33" t="s">
        <v>9666</v>
      </c>
      <c r="I33" t="s">
        <v>17292</v>
      </c>
      <c r="J33" t="s">
        <v>18893</v>
      </c>
      <c r="K33">
        <v>10034</v>
      </c>
      <c r="L33" t="s">
        <v>18958</v>
      </c>
      <c r="M33" t="s">
        <v>18958</v>
      </c>
      <c r="O33" t="s">
        <v>26530</v>
      </c>
      <c r="P33" t="s">
        <v>26560</v>
      </c>
      <c r="Q33" t="s">
        <v>26568</v>
      </c>
      <c r="R33" t="s">
        <v>26578</v>
      </c>
      <c r="S33" t="s">
        <v>18959</v>
      </c>
      <c r="U33" t="s">
        <v>26604</v>
      </c>
      <c r="W33" t="s">
        <v>26619</v>
      </c>
      <c r="X33">
        <v>1100</v>
      </c>
      <c r="Y33" t="s">
        <v>26651</v>
      </c>
      <c r="Z33" t="s">
        <v>26661</v>
      </c>
      <c r="AA33" t="s">
        <v>26678</v>
      </c>
      <c r="AB33" t="s">
        <v>26726</v>
      </c>
      <c r="AD33" t="s">
        <v>36839</v>
      </c>
      <c r="AE33">
        <v>66</v>
      </c>
      <c r="AF33" t="s">
        <v>45541</v>
      </c>
      <c r="AG33" t="s">
        <v>19330</v>
      </c>
      <c r="AH33">
        <v>31</v>
      </c>
      <c r="AI33">
        <v>1</v>
      </c>
      <c r="AJ33">
        <v>0</v>
      </c>
      <c r="AK33">
        <v>183.25</v>
      </c>
      <c r="AN33" t="s">
        <v>45581</v>
      </c>
      <c r="AO33">
        <v>22100</v>
      </c>
      <c r="AU33">
        <v>18.4</v>
      </c>
      <c r="AV33" t="s">
        <v>505</v>
      </c>
      <c r="AW33" t="s">
        <v>46840</v>
      </c>
    </row>
    <row r="34" spans="1:50">
      <c r="A34" s="1">
        <f>HYPERLINK("https://lsnyc.legalserver.org/matter/dynamic-profile/view/1852092","17-1852092")</f>
        <v>0</v>
      </c>
      <c r="B34" t="s">
        <v>75</v>
      </c>
      <c r="C34" t="s">
        <v>341</v>
      </c>
      <c r="D34" t="s">
        <v>372</v>
      </c>
      <c r="E34" t="s">
        <v>606</v>
      </c>
      <c r="F34" t="s">
        <v>899</v>
      </c>
      <c r="G34" t="s">
        <v>5096</v>
      </c>
      <c r="H34" t="s">
        <v>9667</v>
      </c>
      <c r="I34" t="s">
        <v>17293</v>
      </c>
      <c r="J34" t="s">
        <v>18892</v>
      </c>
      <c r="K34">
        <v>10459</v>
      </c>
      <c r="L34" t="s">
        <v>18958</v>
      </c>
      <c r="M34" t="s">
        <v>18960</v>
      </c>
      <c r="N34" t="s">
        <v>18989</v>
      </c>
      <c r="O34" t="s">
        <v>26523</v>
      </c>
      <c r="P34" t="s">
        <v>26560</v>
      </c>
      <c r="Q34" t="s">
        <v>26568</v>
      </c>
      <c r="R34" t="s">
        <v>26577</v>
      </c>
      <c r="U34" t="s">
        <v>26605</v>
      </c>
      <c r="V34" t="s">
        <v>26612</v>
      </c>
      <c r="W34" t="s">
        <v>26619</v>
      </c>
      <c r="X34">
        <v>780</v>
      </c>
      <c r="Y34" t="s">
        <v>26650</v>
      </c>
      <c r="Z34" t="s">
        <v>26664</v>
      </c>
      <c r="AA34" t="s">
        <v>26680</v>
      </c>
      <c r="AB34" t="s">
        <v>26727</v>
      </c>
      <c r="AC34" t="s">
        <v>34482</v>
      </c>
      <c r="AD34" t="s">
        <v>36840</v>
      </c>
      <c r="AE34">
        <v>20</v>
      </c>
      <c r="AF34" t="s">
        <v>45542</v>
      </c>
      <c r="AG34" t="s">
        <v>19330</v>
      </c>
      <c r="AH34">
        <v>22</v>
      </c>
      <c r="AI34">
        <v>1</v>
      </c>
      <c r="AJ34">
        <v>2</v>
      </c>
      <c r="AK34">
        <v>195.89</v>
      </c>
      <c r="AN34" t="s">
        <v>7439</v>
      </c>
      <c r="AO34">
        <v>40000</v>
      </c>
      <c r="AP34" t="s">
        <v>45622</v>
      </c>
      <c r="AS34" t="s">
        <v>46499</v>
      </c>
      <c r="AT34" t="s">
        <v>46514</v>
      </c>
      <c r="AU34">
        <v>58.6</v>
      </c>
      <c r="AV34" t="s">
        <v>596</v>
      </c>
      <c r="AW34" t="s">
        <v>46842</v>
      </c>
    </row>
    <row r="35" spans="1:50">
      <c r="A35" s="1">
        <f>HYPERLINK("https://lsnyc.legalserver.org/matter/dynamic-profile/view/1855901","18-1855901")</f>
        <v>0</v>
      </c>
      <c r="B35" t="s">
        <v>76</v>
      </c>
      <c r="C35" t="s">
        <v>341</v>
      </c>
      <c r="D35" t="s">
        <v>373</v>
      </c>
      <c r="E35" t="s">
        <v>511</v>
      </c>
      <c r="F35" t="s">
        <v>900</v>
      </c>
      <c r="G35" t="s">
        <v>5097</v>
      </c>
      <c r="H35" t="s">
        <v>9668</v>
      </c>
      <c r="I35" t="s">
        <v>17294</v>
      </c>
      <c r="J35" t="s">
        <v>18893</v>
      </c>
      <c r="K35">
        <v>10027</v>
      </c>
      <c r="L35" t="s">
        <v>18958</v>
      </c>
      <c r="M35" t="s">
        <v>18958</v>
      </c>
      <c r="O35" t="s">
        <v>26523</v>
      </c>
      <c r="P35" t="s">
        <v>26564</v>
      </c>
      <c r="Q35" t="s">
        <v>26570</v>
      </c>
      <c r="R35" t="s">
        <v>26582</v>
      </c>
      <c r="S35" t="s">
        <v>18959</v>
      </c>
      <c r="T35" t="s">
        <v>26582</v>
      </c>
      <c r="U35" t="s">
        <v>26607</v>
      </c>
      <c r="W35" t="s">
        <v>26619</v>
      </c>
      <c r="X35">
        <v>309</v>
      </c>
      <c r="Y35" t="s">
        <v>26651</v>
      </c>
      <c r="AA35" t="s">
        <v>26683</v>
      </c>
      <c r="AB35" t="s">
        <v>26728</v>
      </c>
      <c r="AD35" t="s">
        <v>36841</v>
      </c>
      <c r="AE35">
        <v>0</v>
      </c>
      <c r="AF35" t="s">
        <v>45546</v>
      </c>
      <c r="AH35">
        <v>33</v>
      </c>
      <c r="AI35">
        <v>1</v>
      </c>
      <c r="AJ35">
        <v>0</v>
      </c>
      <c r="AK35">
        <v>112.11</v>
      </c>
      <c r="AN35" t="s">
        <v>7439</v>
      </c>
      <c r="AO35">
        <v>13520</v>
      </c>
      <c r="AU35">
        <v>0.6</v>
      </c>
      <c r="AV35" t="s">
        <v>564</v>
      </c>
      <c r="AW35" t="s">
        <v>317</v>
      </c>
    </row>
    <row r="36" spans="1:50">
      <c r="A36" s="1">
        <f>HYPERLINK("https://lsnyc.legalserver.org/matter/dynamic-profile/view/1857086","18-1857086")</f>
        <v>0</v>
      </c>
      <c r="B36" t="s">
        <v>60</v>
      </c>
      <c r="C36" t="s">
        <v>340</v>
      </c>
      <c r="D36" t="s">
        <v>374</v>
      </c>
      <c r="F36" t="s">
        <v>901</v>
      </c>
      <c r="G36" t="s">
        <v>5098</v>
      </c>
      <c r="H36" t="s">
        <v>9648</v>
      </c>
      <c r="J36" t="s">
        <v>18892</v>
      </c>
      <c r="K36">
        <v>10452</v>
      </c>
      <c r="L36" t="s">
        <v>18958</v>
      </c>
      <c r="M36" t="s">
        <v>18960</v>
      </c>
      <c r="N36" t="s">
        <v>18973</v>
      </c>
      <c r="O36" t="s">
        <v>26527</v>
      </c>
      <c r="P36" t="s">
        <v>26561</v>
      </c>
      <c r="R36" t="s">
        <v>26578</v>
      </c>
      <c r="S36" t="s">
        <v>18958</v>
      </c>
      <c r="U36" t="s">
        <v>26604</v>
      </c>
      <c r="W36" t="s">
        <v>26619</v>
      </c>
      <c r="X36">
        <v>699</v>
      </c>
      <c r="Y36" t="s">
        <v>26650</v>
      </c>
      <c r="Z36" t="s">
        <v>26663</v>
      </c>
      <c r="AB36" t="s">
        <v>26729</v>
      </c>
      <c r="AD36" t="s">
        <v>36842</v>
      </c>
      <c r="AE36">
        <v>122</v>
      </c>
      <c r="AF36" t="s">
        <v>45541</v>
      </c>
      <c r="AG36" t="s">
        <v>19330</v>
      </c>
      <c r="AH36">
        <v>19</v>
      </c>
      <c r="AI36">
        <v>2</v>
      </c>
      <c r="AJ36">
        <v>0</v>
      </c>
      <c r="AK36">
        <v>96.06</v>
      </c>
      <c r="AN36" t="s">
        <v>45581</v>
      </c>
      <c r="AO36">
        <v>15600</v>
      </c>
      <c r="AP36" t="s">
        <v>45623</v>
      </c>
      <c r="AU36">
        <v>0</v>
      </c>
      <c r="AW36" t="s">
        <v>46832</v>
      </c>
    </row>
    <row r="37" spans="1:50">
      <c r="A37" s="1">
        <f>HYPERLINK("https://lsnyc.legalserver.org/matter/dynamic-profile/view/1857547","18-1857547")</f>
        <v>0</v>
      </c>
      <c r="B37" t="s">
        <v>60</v>
      </c>
      <c r="C37" t="s">
        <v>340</v>
      </c>
      <c r="D37" t="s">
        <v>375</v>
      </c>
      <c r="F37" t="s">
        <v>880</v>
      </c>
      <c r="G37" t="s">
        <v>2845</v>
      </c>
      <c r="H37" t="s">
        <v>9648</v>
      </c>
      <c r="I37" t="s">
        <v>17295</v>
      </c>
      <c r="J37" t="s">
        <v>18892</v>
      </c>
      <c r="K37">
        <v>10452</v>
      </c>
      <c r="L37" t="s">
        <v>18958</v>
      </c>
      <c r="M37" t="s">
        <v>18960</v>
      </c>
      <c r="N37" t="s">
        <v>18990</v>
      </c>
      <c r="O37" t="s">
        <v>26527</v>
      </c>
      <c r="P37" t="s">
        <v>26561</v>
      </c>
      <c r="R37" t="s">
        <v>26578</v>
      </c>
      <c r="S37" t="s">
        <v>18958</v>
      </c>
      <c r="U37" t="s">
        <v>26604</v>
      </c>
      <c r="W37" t="s">
        <v>26619</v>
      </c>
      <c r="X37">
        <v>914.08</v>
      </c>
      <c r="Y37" t="s">
        <v>26650</v>
      </c>
      <c r="Z37" t="s">
        <v>26663</v>
      </c>
      <c r="AB37" t="s">
        <v>26730</v>
      </c>
      <c r="AD37" t="s">
        <v>36843</v>
      </c>
      <c r="AE37">
        <v>122</v>
      </c>
      <c r="AF37" t="s">
        <v>45541</v>
      </c>
      <c r="AG37" t="s">
        <v>19330</v>
      </c>
      <c r="AH37">
        <v>13</v>
      </c>
      <c r="AI37">
        <v>1</v>
      </c>
      <c r="AJ37">
        <v>0</v>
      </c>
      <c r="AK37">
        <v>150.91</v>
      </c>
      <c r="AN37" t="s">
        <v>7439</v>
      </c>
      <c r="AO37">
        <v>18200</v>
      </c>
      <c r="AP37" t="s">
        <v>45623</v>
      </c>
      <c r="AU37">
        <v>0</v>
      </c>
      <c r="AW37" t="s">
        <v>46832</v>
      </c>
    </row>
    <row r="38" spans="1:50">
      <c r="A38" s="1">
        <f>HYPERLINK("https://lsnyc.legalserver.org/matter/dynamic-profile/view/1857470","18-1857470")</f>
        <v>0</v>
      </c>
      <c r="B38" t="s">
        <v>67</v>
      </c>
      <c r="C38" t="s">
        <v>340</v>
      </c>
      <c r="D38" t="s">
        <v>375</v>
      </c>
      <c r="F38" t="s">
        <v>902</v>
      </c>
      <c r="G38" t="s">
        <v>5099</v>
      </c>
      <c r="H38" t="s">
        <v>9648</v>
      </c>
      <c r="I38" t="s">
        <v>17296</v>
      </c>
      <c r="J38" t="s">
        <v>18892</v>
      </c>
      <c r="K38">
        <v>10452</v>
      </c>
      <c r="L38" t="s">
        <v>18958</v>
      </c>
      <c r="M38" t="s">
        <v>18960</v>
      </c>
      <c r="N38" t="s">
        <v>18990</v>
      </c>
      <c r="O38" t="s">
        <v>26527</v>
      </c>
      <c r="P38" t="s">
        <v>26561</v>
      </c>
      <c r="R38" t="s">
        <v>26578</v>
      </c>
      <c r="S38" t="s">
        <v>18958</v>
      </c>
      <c r="U38" t="s">
        <v>26604</v>
      </c>
      <c r="W38" t="s">
        <v>26619</v>
      </c>
      <c r="X38">
        <v>1050</v>
      </c>
      <c r="Y38" t="s">
        <v>26650</v>
      </c>
      <c r="Z38" t="s">
        <v>26663</v>
      </c>
      <c r="AB38" t="s">
        <v>26731</v>
      </c>
      <c r="AD38" t="s">
        <v>36844</v>
      </c>
      <c r="AE38">
        <v>122</v>
      </c>
      <c r="AF38" t="s">
        <v>45541</v>
      </c>
      <c r="AG38" t="s">
        <v>19330</v>
      </c>
      <c r="AH38">
        <v>16</v>
      </c>
      <c r="AI38">
        <v>3</v>
      </c>
      <c r="AJ38">
        <v>1</v>
      </c>
      <c r="AK38">
        <v>65.04000000000001</v>
      </c>
      <c r="AN38" t="s">
        <v>7439</v>
      </c>
      <c r="AO38">
        <v>16000</v>
      </c>
      <c r="AP38" t="s">
        <v>45623</v>
      </c>
      <c r="AU38">
        <v>0</v>
      </c>
      <c r="AW38" t="s">
        <v>46832</v>
      </c>
    </row>
    <row r="39" spans="1:50">
      <c r="A39" s="1">
        <f>HYPERLINK("https://lsnyc.legalserver.org/matter/dynamic-profile/view/1858057","18-1858057")</f>
        <v>0</v>
      </c>
      <c r="B39" t="s">
        <v>77</v>
      </c>
      <c r="C39" t="s">
        <v>341</v>
      </c>
      <c r="D39" t="s">
        <v>376</v>
      </c>
      <c r="E39" t="s">
        <v>828</v>
      </c>
      <c r="F39" t="s">
        <v>903</v>
      </c>
      <c r="G39" t="s">
        <v>5100</v>
      </c>
      <c r="H39" t="s">
        <v>9669</v>
      </c>
      <c r="I39" t="s">
        <v>17297</v>
      </c>
      <c r="J39" t="s">
        <v>18893</v>
      </c>
      <c r="K39">
        <v>10026</v>
      </c>
      <c r="L39" t="s">
        <v>18958</v>
      </c>
      <c r="M39" t="s">
        <v>18958</v>
      </c>
      <c r="N39" t="s">
        <v>18991</v>
      </c>
      <c r="O39" t="s">
        <v>26523</v>
      </c>
      <c r="P39" t="s">
        <v>26560</v>
      </c>
      <c r="Q39" t="s">
        <v>26568</v>
      </c>
      <c r="R39" t="s">
        <v>26580</v>
      </c>
      <c r="S39" t="s">
        <v>18959</v>
      </c>
      <c r="U39" t="s">
        <v>26604</v>
      </c>
      <c r="V39" t="s">
        <v>26611</v>
      </c>
      <c r="W39" t="s">
        <v>26619</v>
      </c>
      <c r="X39">
        <v>0</v>
      </c>
      <c r="Y39" t="s">
        <v>26651</v>
      </c>
      <c r="Z39" t="s">
        <v>26662</v>
      </c>
      <c r="AA39" t="s">
        <v>26678</v>
      </c>
      <c r="AB39" t="s">
        <v>26732</v>
      </c>
      <c r="AC39" t="s">
        <v>34483</v>
      </c>
      <c r="AD39" t="s">
        <v>36845</v>
      </c>
      <c r="AE39">
        <v>113</v>
      </c>
      <c r="AF39" t="s">
        <v>45541</v>
      </c>
      <c r="AG39" t="s">
        <v>45557</v>
      </c>
      <c r="AH39">
        <v>4</v>
      </c>
      <c r="AI39">
        <v>1</v>
      </c>
      <c r="AJ39">
        <v>2</v>
      </c>
      <c r="AK39">
        <v>168.43</v>
      </c>
      <c r="AN39" t="s">
        <v>7439</v>
      </c>
      <c r="AO39">
        <v>35000</v>
      </c>
      <c r="AQ39" t="s">
        <v>46365</v>
      </c>
      <c r="AS39" t="s">
        <v>46499</v>
      </c>
      <c r="AT39" t="s">
        <v>46515</v>
      </c>
      <c r="AU39">
        <v>32.85</v>
      </c>
      <c r="AV39" t="s">
        <v>828</v>
      </c>
      <c r="AW39" t="s">
        <v>314</v>
      </c>
    </row>
    <row r="40" spans="1:50">
      <c r="A40" s="1">
        <f>HYPERLINK("https://lsnyc.legalserver.org/matter/dynamic-profile/view/1859142","18-1859142")</f>
        <v>0</v>
      </c>
      <c r="B40" t="s">
        <v>56</v>
      </c>
      <c r="C40" t="s">
        <v>340</v>
      </c>
      <c r="D40" t="s">
        <v>377</v>
      </c>
      <c r="F40" t="s">
        <v>904</v>
      </c>
      <c r="G40" t="s">
        <v>5101</v>
      </c>
      <c r="H40" t="s">
        <v>9670</v>
      </c>
      <c r="I40">
        <v>3</v>
      </c>
      <c r="J40" t="s">
        <v>18895</v>
      </c>
      <c r="K40">
        <v>10457</v>
      </c>
      <c r="L40" t="s">
        <v>18958</v>
      </c>
      <c r="M40" t="s">
        <v>18958</v>
      </c>
      <c r="N40" t="s">
        <v>18992</v>
      </c>
      <c r="O40" t="s">
        <v>26523</v>
      </c>
      <c r="P40" t="s">
        <v>26560</v>
      </c>
      <c r="R40" t="s">
        <v>26579</v>
      </c>
      <c r="U40" t="s">
        <v>26604</v>
      </c>
      <c r="V40" t="s">
        <v>26609</v>
      </c>
      <c r="W40" t="s">
        <v>26619</v>
      </c>
      <c r="X40">
        <v>1400</v>
      </c>
      <c r="Y40" t="s">
        <v>26650</v>
      </c>
      <c r="Z40" t="s">
        <v>26664</v>
      </c>
      <c r="AB40" t="s">
        <v>26733</v>
      </c>
      <c r="AC40" t="s">
        <v>34484</v>
      </c>
      <c r="AE40">
        <v>0</v>
      </c>
      <c r="AF40" t="s">
        <v>45541</v>
      </c>
      <c r="AG40" t="s">
        <v>45558</v>
      </c>
      <c r="AH40">
        <v>5</v>
      </c>
      <c r="AI40">
        <v>2</v>
      </c>
      <c r="AJ40">
        <v>2</v>
      </c>
      <c r="AK40">
        <v>52.85</v>
      </c>
      <c r="AN40" t="s">
        <v>7439</v>
      </c>
      <c r="AO40">
        <v>13000</v>
      </c>
      <c r="AU40">
        <v>29</v>
      </c>
      <c r="AV40" t="s">
        <v>766</v>
      </c>
      <c r="AW40" t="s">
        <v>334</v>
      </c>
    </row>
    <row r="41" spans="1:50">
      <c r="A41" s="1">
        <f>HYPERLINK("https://lsnyc.legalserver.org/matter/dynamic-profile/view/1859332","18-1859332")</f>
        <v>0</v>
      </c>
      <c r="B41" t="s">
        <v>78</v>
      </c>
      <c r="C41" t="s">
        <v>340</v>
      </c>
      <c r="D41" t="s">
        <v>378</v>
      </c>
      <c r="F41" t="s">
        <v>905</v>
      </c>
      <c r="G41" t="s">
        <v>4753</v>
      </c>
      <c r="H41" t="s">
        <v>9671</v>
      </c>
      <c r="I41" t="s">
        <v>17298</v>
      </c>
      <c r="J41" t="s">
        <v>18894</v>
      </c>
      <c r="K41">
        <v>11239</v>
      </c>
      <c r="L41" t="s">
        <v>18958</v>
      </c>
      <c r="M41" t="s">
        <v>18958</v>
      </c>
      <c r="N41" t="s">
        <v>18993</v>
      </c>
      <c r="O41" t="s">
        <v>18997</v>
      </c>
      <c r="P41" t="s">
        <v>26564</v>
      </c>
      <c r="R41" t="s">
        <v>26578</v>
      </c>
      <c r="U41" t="s">
        <v>26604</v>
      </c>
      <c r="W41" t="s">
        <v>26619</v>
      </c>
      <c r="X41">
        <v>2000</v>
      </c>
      <c r="Y41" t="s">
        <v>26652</v>
      </c>
      <c r="Z41" t="s">
        <v>26665</v>
      </c>
      <c r="AB41" t="s">
        <v>26734</v>
      </c>
      <c r="AC41" t="s">
        <v>34485</v>
      </c>
      <c r="AD41" t="s">
        <v>36846</v>
      </c>
      <c r="AE41">
        <v>88</v>
      </c>
      <c r="AF41" t="s">
        <v>45541</v>
      </c>
      <c r="AG41" t="s">
        <v>45556</v>
      </c>
      <c r="AH41">
        <v>24</v>
      </c>
      <c r="AI41">
        <v>2</v>
      </c>
      <c r="AJ41">
        <v>1</v>
      </c>
      <c r="AK41">
        <v>70.52</v>
      </c>
      <c r="AN41" t="s">
        <v>7439</v>
      </c>
      <c r="AO41">
        <v>14400</v>
      </c>
      <c r="AP41" t="s">
        <v>45624</v>
      </c>
      <c r="AU41">
        <v>1</v>
      </c>
      <c r="AV41" t="s">
        <v>502</v>
      </c>
      <c r="AW41" t="s">
        <v>46843</v>
      </c>
    </row>
    <row r="42" spans="1:50">
      <c r="A42" s="1">
        <f>HYPERLINK("https://lsnyc.legalserver.org/matter/dynamic-profile/view/1860590","18-1860590")</f>
        <v>0</v>
      </c>
      <c r="B42" t="s">
        <v>79</v>
      </c>
      <c r="C42" t="s">
        <v>340</v>
      </c>
      <c r="D42" t="s">
        <v>379</v>
      </c>
      <c r="F42" t="s">
        <v>871</v>
      </c>
      <c r="G42" t="s">
        <v>5102</v>
      </c>
      <c r="H42" t="s">
        <v>9672</v>
      </c>
      <c r="I42" t="s">
        <v>17299</v>
      </c>
      <c r="J42" t="s">
        <v>18893</v>
      </c>
      <c r="K42">
        <v>10040</v>
      </c>
      <c r="L42" t="s">
        <v>18958</v>
      </c>
      <c r="M42" t="s">
        <v>18960</v>
      </c>
      <c r="O42" t="s">
        <v>18997</v>
      </c>
      <c r="P42" t="s">
        <v>26564</v>
      </c>
      <c r="R42" t="s">
        <v>26578</v>
      </c>
      <c r="S42" t="s">
        <v>18959</v>
      </c>
      <c r="U42" t="s">
        <v>26604</v>
      </c>
      <c r="W42" t="s">
        <v>26619</v>
      </c>
      <c r="X42">
        <v>862</v>
      </c>
      <c r="Y42" t="s">
        <v>26651</v>
      </c>
      <c r="Z42" t="s">
        <v>26661</v>
      </c>
      <c r="AB42" t="s">
        <v>26735</v>
      </c>
      <c r="AD42" t="s">
        <v>36847</v>
      </c>
      <c r="AE42">
        <v>60</v>
      </c>
      <c r="AF42" t="s">
        <v>45541</v>
      </c>
      <c r="AG42" t="s">
        <v>45556</v>
      </c>
      <c r="AH42">
        <v>40</v>
      </c>
      <c r="AI42">
        <v>2</v>
      </c>
      <c r="AJ42">
        <v>0</v>
      </c>
      <c r="AK42">
        <v>114.68</v>
      </c>
      <c r="AN42" t="s">
        <v>45581</v>
      </c>
      <c r="AO42">
        <v>18876</v>
      </c>
      <c r="AU42">
        <v>8.6</v>
      </c>
      <c r="AV42" t="s">
        <v>568</v>
      </c>
      <c r="AW42" t="s">
        <v>46844</v>
      </c>
    </row>
    <row r="43" spans="1:50">
      <c r="A43" s="1">
        <f>HYPERLINK("https://lsnyc.legalserver.org/matter/dynamic-profile/view/1861239","18-1861239")</f>
        <v>0</v>
      </c>
      <c r="B43" t="s">
        <v>61</v>
      </c>
      <c r="C43" t="s">
        <v>340</v>
      </c>
      <c r="D43" t="s">
        <v>380</v>
      </c>
      <c r="F43" t="s">
        <v>875</v>
      </c>
      <c r="G43" t="s">
        <v>5103</v>
      </c>
      <c r="H43" t="s">
        <v>9673</v>
      </c>
      <c r="I43">
        <v>73</v>
      </c>
      <c r="J43" t="s">
        <v>18893</v>
      </c>
      <c r="K43">
        <v>10031</v>
      </c>
      <c r="L43" t="s">
        <v>18959</v>
      </c>
      <c r="M43" t="s">
        <v>18958</v>
      </c>
      <c r="O43" t="s">
        <v>26528</v>
      </c>
      <c r="P43" t="s">
        <v>26560</v>
      </c>
      <c r="R43" t="s">
        <v>26578</v>
      </c>
      <c r="S43" t="s">
        <v>18959</v>
      </c>
      <c r="U43" t="s">
        <v>26604</v>
      </c>
      <c r="W43" t="s">
        <v>26619</v>
      </c>
      <c r="X43">
        <v>0</v>
      </c>
      <c r="Y43" t="s">
        <v>26651</v>
      </c>
      <c r="Z43" t="s">
        <v>26659</v>
      </c>
      <c r="AB43" t="s">
        <v>26736</v>
      </c>
      <c r="AD43" t="s">
        <v>36848</v>
      </c>
      <c r="AE43">
        <v>30</v>
      </c>
      <c r="AF43" t="s">
        <v>45541</v>
      </c>
      <c r="AG43" t="s">
        <v>19330</v>
      </c>
      <c r="AH43">
        <v>5</v>
      </c>
      <c r="AI43">
        <v>1</v>
      </c>
      <c r="AJ43">
        <v>3</v>
      </c>
      <c r="AK43">
        <v>69.47</v>
      </c>
      <c r="AN43" t="s">
        <v>7439</v>
      </c>
      <c r="AO43">
        <v>26232</v>
      </c>
      <c r="AU43">
        <v>15.7</v>
      </c>
      <c r="AV43" t="s">
        <v>461</v>
      </c>
      <c r="AW43" t="s">
        <v>46840</v>
      </c>
      <c r="AX43" t="s">
        <v>46897</v>
      </c>
    </row>
    <row r="44" spans="1:50">
      <c r="A44" s="1">
        <f>HYPERLINK("https://lsnyc.legalserver.org/matter/dynamic-profile/view/1862788","18-1862788")</f>
        <v>0</v>
      </c>
      <c r="B44" t="s">
        <v>80</v>
      </c>
      <c r="C44" t="s">
        <v>341</v>
      </c>
      <c r="D44" t="s">
        <v>381</v>
      </c>
      <c r="E44" t="s">
        <v>712</v>
      </c>
      <c r="F44" t="s">
        <v>906</v>
      </c>
      <c r="G44" t="s">
        <v>5104</v>
      </c>
      <c r="H44" t="s">
        <v>9674</v>
      </c>
      <c r="I44" t="s">
        <v>17300</v>
      </c>
      <c r="J44" t="s">
        <v>18893</v>
      </c>
      <c r="K44">
        <v>10036</v>
      </c>
      <c r="L44" t="s">
        <v>18958</v>
      </c>
      <c r="M44" t="s">
        <v>18958</v>
      </c>
      <c r="N44" t="s">
        <v>18994</v>
      </c>
      <c r="O44" t="s">
        <v>26523</v>
      </c>
      <c r="P44" t="s">
        <v>26563</v>
      </c>
      <c r="Q44" t="s">
        <v>26570</v>
      </c>
      <c r="R44" t="s">
        <v>26582</v>
      </c>
      <c r="S44" t="s">
        <v>18959</v>
      </c>
      <c r="U44" t="s">
        <v>26604</v>
      </c>
      <c r="W44" t="s">
        <v>26619</v>
      </c>
      <c r="X44">
        <v>2500</v>
      </c>
      <c r="Y44" t="s">
        <v>26651</v>
      </c>
      <c r="Z44" t="s">
        <v>26661</v>
      </c>
      <c r="AA44" t="s">
        <v>26683</v>
      </c>
      <c r="AB44" t="s">
        <v>26737</v>
      </c>
      <c r="AD44" t="s">
        <v>36849</v>
      </c>
      <c r="AE44">
        <v>0</v>
      </c>
      <c r="AF44" t="s">
        <v>45547</v>
      </c>
      <c r="AG44" t="s">
        <v>19330</v>
      </c>
      <c r="AH44">
        <v>2</v>
      </c>
      <c r="AI44">
        <v>1</v>
      </c>
      <c r="AJ44">
        <v>0</v>
      </c>
      <c r="AK44">
        <v>0</v>
      </c>
      <c r="AO44">
        <v>0</v>
      </c>
      <c r="AU44">
        <v>0</v>
      </c>
      <c r="AW44" t="s">
        <v>46845</v>
      </c>
    </row>
    <row r="45" spans="1:50">
      <c r="A45" s="1">
        <f>HYPERLINK("https://lsnyc.legalserver.org/matter/dynamic-profile/view/1863061","18-1863061")</f>
        <v>0</v>
      </c>
      <c r="B45" t="s">
        <v>74</v>
      </c>
      <c r="C45" t="s">
        <v>340</v>
      </c>
      <c r="D45" t="s">
        <v>382</v>
      </c>
      <c r="F45" t="s">
        <v>907</v>
      </c>
      <c r="G45" t="s">
        <v>5026</v>
      </c>
      <c r="H45" t="s">
        <v>9675</v>
      </c>
      <c r="I45" t="s">
        <v>17301</v>
      </c>
      <c r="J45" t="s">
        <v>18893</v>
      </c>
      <c r="K45">
        <v>10034</v>
      </c>
      <c r="L45" t="s">
        <v>18958</v>
      </c>
      <c r="M45" t="s">
        <v>18958</v>
      </c>
      <c r="O45" t="s">
        <v>26526</v>
      </c>
      <c r="P45" t="s">
        <v>26560</v>
      </c>
      <c r="R45" t="s">
        <v>26578</v>
      </c>
      <c r="S45" t="s">
        <v>18958</v>
      </c>
      <c r="U45" t="s">
        <v>26604</v>
      </c>
      <c r="W45" t="s">
        <v>26619</v>
      </c>
      <c r="X45">
        <v>1363.5</v>
      </c>
      <c r="Y45" t="s">
        <v>26651</v>
      </c>
      <c r="Z45" t="s">
        <v>26661</v>
      </c>
      <c r="AB45" t="s">
        <v>26738</v>
      </c>
      <c r="AD45" t="s">
        <v>36850</v>
      </c>
      <c r="AE45">
        <v>63</v>
      </c>
      <c r="AF45" t="s">
        <v>45541</v>
      </c>
      <c r="AG45" t="s">
        <v>19330</v>
      </c>
      <c r="AH45">
        <v>4</v>
      </c>
      <c r="AI45">
        <v>2</v>
      </c>
      <c r="AJ45">
        <v>0</v>
      </c>
      <c r="AK45">
        <v>662.21</v>
      </c>
      <c r="AN45" t="s">
        <v>7439</v>
      </c>
      <c r="AO45">
        <v>109000</v>
      </c>
      <c r="AU45">
        <v>0.05</v>
      </c>
      <c r="AV45" t="s">
        <v>832</v>
      </c>
      <c r="AW45" t="s">
        <v>46840</v>
      </c>
    </row>
    <row r="46" spans="1:50">
      <c r="A46" s="1">
        <f>HYPERLINK("https://lsnyc.legalserver.org/matter/dynamic-profile/view/1865600","18-1865600")</f>
        <v>0</v>
      </c>
      <c r="B46" t="s">
        <v>58</v>
      </c>
      <c r="C46" t="s">
        <v>341</v>
      </c>
      <c r="D46" t="s">
        <v>383</v>
      </c>
      <c r="E46" t="s">
        <v>826</v>
      </c>
      <c r="F46" t="s">
        <v>908</v>
      </c>
      <c r="G46" t="s">
        <v>5105</v>
      </c>
      <c r="H46" t="s">
        <v>9676</v>
      </c>
      <c r="I46" t="s">
        <v>17302</v>
      </c>
      <c r="J46" t="s">
        <v>18892</v>
      </c>
      <c r="K46">
        <v>10458</v>
      </c>
      <c r="L46" t="s">
        <v>18958</v>
      </c>
      <c r="M46" t="s">
        <v>18958</v>
      </c>
      <c r="N46" t="s">
        <v>18995</v>
      </c>
      <c r="O46" t="s">
        <v>26523</v>
      </c>
      <c r="P46" t="s">
        <v>26560</v>
      </c>
      <c r="Q46" t="s">
        <v>26568</v>
      </c>
      <c r="R46" t="s">
        <v>26577</v>
      </c>
      <c r="S46" t="s">
        <v>18959</v>
      </c>
      <c r="U46" t="s">
        <v>26604</v>
      </c>
      <c r="V46" t="s">
        <v>26610</v>
      </c>
      <c r="W46" t="s">
        <v>26619</v>
      </c>
      <c r="X46">
        <v>1300</v>
      </c>
      <c r="Y46" t="s">
        <v>26650</v>
      </c>
      <c r="Z46" t="s">
        <v>26659</v>
      </c>
      <c r="AA46" t="s">
        <v>26677</v>
      </c>
      <c r="AB46" t="s">
        <v>26739</v>
      </c>
      <c r="AC46" t="s">
        <v>34486</v>
      </c>
      <c r="AD46" t="s">
        <v>36851</v>
      </c>
      <c r="AE46">
        <v>80</v>
      </c>
      <c r="AF46" t="s">
        <v>45543</v>
      </c>
      <c r="AG46" t="s">
        <v>45556</v>
      </c>
      <c r="AH46">
        <v>35</v>
      </c>
      <c r="AI46">
        <v>1</v>
      </c>
      <c r="AJ46">
        <v>0</v>
      </c>
      <c r="AK46">
        <v>105.77</v>
      </c>
      <c r="AN46" t="s">
        <v>7439</v>
      </c>
      <c r="AO46">
        <v>12840</v>
      </c>
      <c r="AR46" t="s">
        <v>46380</v>
      </c>
      <c r="AS46" t="s">
        <v>46499</v>
      </c>
      <c r="AT46" t="s">
        <v>46516</v>
      </c>
      <c r="AU46">
        <v>10.65</v>
      </c>
      <c r="AV46" t="s">
        <v>826</v>
      </c>
      <c r="AW46" t="s">
        <v>46841</v>
      </c>
    </row>
    <row r="47" spans="1:50">
      <c r="A47" s="1">
        <f>HYPERLINK("https://lsnyc.legalserver.org/matter/dynamic-profile/view/1865689","18-1865689")</f>
        <v>0</v>
      </c>
      <c r="B47" t="s">
        <v>81</v>
      </c>
      <c r="C47" t="s">
        <v>341</v>
      </c>
      <c r="D47" t="s">
        <v>384</v>
      </c>
      <c r="E47" t="s">
        <v>494</v>
      </c>
      <c r="F47" t="s">
        <v>875</v>
      </c>
      <c r="G47" t="s">
        <v>5106</v>
      </c>
      <c r="H47" t="s">
        <v>9677</v>
      </c>
      <c r="I47" t="s">
        <v>17303</v>
      </c>
      <c r="J47" t="s">
        <v>18892</v>
      </c>
      <c r="K47">
        <v>10463</v>
      </c>
      <c r="L47" t="s">
        <v>18958</v>
      </c>
      <c r="M47" t="s">
        <v>18958</v>
      </c>
      <c r="N47" t="s">
        <v>18996</v>
      </c>
      <c r="O47" t="s">
        <v>26524</v>
      </c>
      <c r="P47" t="s">
        <v>26560</v>
      </c>
      <c r="Q47" t="s">
        <v>26568</v>
      </c>
      <c r="R47" t="s">
        <v>26577</v>
      </c>
      <c r="S47" t="s">
        <v>18959</v>
      </c>
      <c r="U47" t="s">
        <v>26604</v>
      </c>
      <c r="V47" t="s">
        <v>26610</v>
      </c>
      <c r="W47" t="s">
        <v>26619</v>
      </c>
      <c r="X47">
        <v>800</v>
      </c>
      <c r="Y47" t="s">
        <v>26650</v>
      </c>
      <c r="Z47" t="s">
        <v>26662</v>
      </c>
      <c r="AA47" t="s">
        <v>26680</v>
      </c>
      <c r="AB47" t="s">
        <v>26740</v>
      </c>
      <c r="AC47" t="s">
        <v>34487</v>
      </c>
      <c r="AD47" t="s">
        <v>36852</v>
      </c>
      <c r="AE47">
        <v>50</v>
      </c>
      <c r="AF47" t="s">
        <v>45541</v>
      </c>
      <c r="AG47" t="s">
        <v>19330</v>
      </c>
      <c r="AH47">
        <v>4</v>
      </c>
      <c r="AI47">
        <v>2</v>
      </c>
      <c r="AJ47">
        <v>0</v>
      </c>
      <c r="AK47">
        <v>139.73</v>
      </c>
      <c r="AN47" t="s">
        <v>7439</v>
      </c>
      <c r="AO47">
        <v>23000</v>
      </c>
      <c r="AP47" t="s">
        <v>45625</v>
      </c>
      <c r="AS47" t="s">
        <v>46499</v>
      </c>
      <c r="AT47" t="s">
        <v>46517</v>
      </c>
      <c r="AU47">
        <v>41.15</v>
      </c>
      <c r="AV47" t="s">
        <v>710</v>
      </c>
      <c r="AW47" t="s">
        <v>336</v>
      </c>
      <c r="AX47" t="s">
        <v>46898</v>
      </c>
    </row>
    <row r="48" spans="1:50">
      <c r="A48" s="1">
        <f>HYPERLINK("https://lsnyc.legalserver.org/matter/dynamic-profile/view/1866186","18-1866186")</f>
        <v>0</v>
      </c>
      <c r="B48" t="s">
        <v>78</v>
      </c>
      <c r="C48" t="s">
        <v>340</v>
      </c>
      <c r="D48" t="s">
        <v>385</v>
      </c>
      <c r="F48" t="s">
        <v>909</v>
      </c>
      <c r="G48" t="s">
        <v>1725</v>
      </c>
      <c r="H48" t="s">
        <v>9678</v>
      </c>
      <c r="I48" t="s">
        <v>17304</v>
      </c>
      <c r="J48" t="s">
        <v>18894</v>
      </c>
      <c r="K48">
        <v>11212</v>
      </c>
      <c r="L48" t="s">
        <v>18958</v>
      </c>
      <c r="M48" t="s">
        <v>18958</v>
      </c>
      <c r="N48" t="s">
        <v>18997</v>
      </c>
      <c r="O48" t="s">
        <v>26531</v>
      </c>
      <c r="P48" t="s">
        <v>26565</v>
      </c>
      <c r="R48" t="s">
        <v>26578</v>
      </c>
      <c r="S48" t="s">
        <v>18959</v>
      </c>
      <c r="U48" t="s">
        <v>26604</v>
      </c>
      <c r="W48" t="s">
        <v>26619</v>
      </c>
      <c r="X48">
        <v>710</v>
      </c>
      <c r="Y48" t="s">
        <v>26652</v>
      </c>
      <c r="Z48" t="s">
        <v>26661</v>
      </c>
      <c r="AB48" t="s">
        <v>26741</v>
      </c>
      <c r="AC48" t="s">
        <v>34488</v>
      </c>
      <c r="AD48" t="s">
        <v>36853</v>
      </c>
      <c r="AE48">
        <v>90</v>
      </c>
      <c r="AF48" t="s">
        <v>45543</v>
      </c>
      <c r="AG48" t="s">
        <v>45556</v>
      </c>
      <c r="AH48">
        <v>11</v>
      </c>
      <c r="AI48">
        <v>1</v>
      </c>
      <c r="AJ48">
        <v>1</v>
      </c>
      <c r="AK48">
        <v>199.34</v>
      </c>
      <c r="AN48" t="s">
        <v>7439</v>
      </c>
      <c r="AO48">
        <v>32812</v>
      </c>
      <c r="AP48" t="s">
        <v>45624</v>
      </c>
      <c r="AU48">
        <v>1</v>
      </c>
      <c r="AV48" t="s">
        <v>385</v>
      </c>
      <c r="AW48" t="s">
        <v>46846</v>
      </c>
    </row>
    <row r="49" spans="1:50">
      <c r="A49" s="1">
        <f>HYPERLINK("https://lsnyc.legalserver.org/matter/dynamic-profile/view/1866634","18-1866634")</f>
        <v>0</v>
      </c>
      <c r="B49" t="s">
        <v>82</v>
      </c>
      <c r="C49" t="s">
        <v>340</v>
      </c>
      <c r="D49" t="s">
        <v>386</v>
      </c>
      <c r="F49" t="s">
        <v>910</v>
      </c>
      <c r="G49" t="s">
        <v>2480</v>
      </c>
      <c r="H49" t="s">
        <v>9679</v>
      </c>
      <c r="I49" t="s">
        <v>17305</v>
      </c>
      <c r="J49" t="s">
        <v>18892</v>
      </c>
      <c r="K49">
        <v>10457</v>
      </c>
      <c r="L49" t="s">
        <v>18958</v>
      </c>
      <c r="M49" t="s">
        <v>18958</v>
      </c>
      <c r="N49" t="s">
        <v>18998</v>
      </c>
      <c r="O49" t="s">
        <v>26524</v>
      </c>
      <c r="P49" t="s">
        <v>26560</v>
      </c>
      <c r="R49" t="s">
        <v>26579</v>
      </c>
      <c r="U49" t="s">
        <v>26604</v>
      </c>
      <c r="V49" t="s">
        <v>26610</v>
      </c>
      <c r="W49" t="s">
        <v>26619</v>
      </c>
      <c r="X49">
        <v>474</v>
      </c>
      <c r="Y49" t="s">
        <v>26650</v>
      </c>
      <c r="AB49" t="s">
        <v>26742</v>
      </c>
      <c r="AC49" t="s">
        <v>34489</v>
      </c>
      <c r="AD49" t="s">
        <v>36854</v>
      </c>
      <c r="AE49">
        <v>0</v>
      </c>
      <c r="AF49" t="s">
        <v>45543</v>
      </c>
      <c r="AG49" t="s">
        <v>45556</v>
      </c>
      <c r="AH49">
        <v>31</v>
      </c>
      <c r="AI49">
        <v>1</v>
      </c>
      <c r="AJ49">
        <v>0</v>
      </c>
      <c r="AK49">
        <v>82.64</v>
      </c>
      <c r="AN49" t="s">
        <v>7439</v>
      </c>
      <c r="AO49">
        <v>10032</v>
      </c>
      <c r="AP49" t="s">
        <v>45621</v>
      </c>
      <c r="AU49">
        <v>10.75</v>
      </c>
      <c r="AV49" t="s">
        <v>668</v>
      </c>
      <c r="AW49" t="s">
        <v>334</v>
      </c>
    </row>
    <row r="50" spans="1:50">
      <c r="A50" s="1">
        <f>HYPERLINK("https://lsnyc.legalserver.org/matter/dynamic-profile/view/1867092","18-1867092")</f>
        <v>0</v>
      </c>
      <c r="B50" t="s">
        <v>75</v>
      </c>
      <c r="C50" t="s">
        <v>341</v>
      </c>
      <c r="D50" t="s">
        <v>387</v>
      </c>
      <c r="E50" t="s">
        <v>427</v>
      </c>
      <c r="F50" t="s">
        <v>911</v>
      </c>
      <c r="G50" t="s">
        <v>5107</v>
      </c>
      <c r="H50" t="s">
        <v>9680</v>
      </c>
      <c r="I50">
        <v>15</v>
      </c>
      <c r="J50" t="s">
        <v>18892</v>
      </c>
      <c r="K50">
        <v>10467</v>
      </c>
      <c r="L50" t="s">
        <v>18958</v>
      </c>
      <c r="M50" t="s">
        <v>18958</v>
      </c>
      <c r="N50" t="s">
        <v>18999</v>
      </c>
      <c r="O50" t="s">
        <v>26523</v>
      </c>
      <c r="P50" t="s">
        <v>26560</v>
      </c>
      <c r="Q50" t="s">
        <v>26568</v>
      </c>
      <c r="R50" t="s">
        <v>26579</v>
      </c>
      <c r="U50" t="s">
        <v>26604</v>
      </c>
      <c r="W50" t="s">
        <v>26619</v>
      </c>
      <c r="X50">
        <v>1377</v>
      </c>
      <c r="Y50" t="s">
        <v>26650</v>
      </c>
      <c r="AA50" t="s">
        <v>26678</v>
      </c>
      <c r="AB50" t="s">
        <v>26743</v>
      </c>
      <c r="AD50" t="s">
        <v>36855</v>
      </c>
      <c r="AE50">
        <v>0</v>
      </c>
      <c r="AH50">
        <v>2</v>
      </c>
      <c r="AI50">
        <v>1</v>
      </c>
      <c r="AJ50">
        <v>0</v>
      </c>
      <c r="AK50">
        <v>171.33</v>
      </c>
      <c r="AN50" t="s">
        <v>7439</v>
      </c>
      <c r="AO50">
        <v>20800</v>
      </c>
      <c r="AP50" t="s">
        <v>45621</v>
      </c>
      <c r="AS50" t="s">
        <v>46499</v>
      </c>
      <c r="AT50" t="s">
        <v>46518</v>
      </c>
      <c r="AU50">
        <v>7.95</v>
      </c>
      <c r="AV50" t="s">
        <v>643</v>
      </c>
      <c r="AW50" t="s">
        <v>46847</v>
      </c>
    </row>
    <row r="51" spans="1:50">
      <c r="A51" s="1">
        <f>HYPERLINK("https://lsnyc.legalserver.org/matter/dynamic-profile/view/1867347","18-1867347")</f>
        <v>0</v>
      </c>
      <c r="B51" t="s">
        <v>73</v>
      </c>
      <c r="C51" t="s">
        <v>341</v>
      </c>
      <c r="D51" t="s">
        <v>388</v>
      </c>
      <c r="E51" t="s">
        <v>827</v>
      </c>
      <c r="F51" t="s">
        <v>912</v>
      </c>
      <c r="G51" t="s">
        <v>5108</v>
      </c>
      <c r="H51" t="s">
        <v>9665</v>
      </c>
      <c r="J51" t="s">
        <v>18894</v>
      </c>
      <c r="K51">
        <v>11237</v>
      </c>
      <c r="L51" t="s">
        <v>18958</v>
      </c>
      <c r="M51" t="s">
        <v>18958</v>
      </c>
      <c r="O51" t="s">
        <v>26529</v>
      </c>
      <c r="P51" t="s">
        <v>26562</v>
      </c>
      <c r="Q51" t="s">
        <v>26569</v>
      </c>
      <c r="R51" t="s">
        <v>26583</v>
      </c>
      <c r="S51" t="s">
        <v>18958</v>
      </c>
      <c r="T51" t="s">
        <v>26578</v>
      </c>
      <c r="U51" t="s">
        <v>26604</v>
      </c>
      <c r="V51" t="s">
        <v>26610</v>
      </c>
      <c r="W51" t="s">
        <v>26619</v>
      </c>
      <c r="X51">
        <v>1100</v>
      </c>
      <c r="Y51" t="s">
        <v>26652</v>
      </c>
      <c r="Z51" t="s">
        <v>26530</v>
      </c>
      <c r="AA51" t="s">
        <v>26682</v>
      </c>
      <c r="AB51" t="s">
        <v>26744</v>
      </c>
      <c r="AC51" t="s">
        <v>34490</v>
      </c>
      <c r="AE51">
        <v>6</v>
      </c>
      <c r="AF51" t="s">
        <v>45541</v>
      </c>
      <c r="AG51" t="s">
        <v>19330</v>
      </c>
      <c r="AH51">
        <v>9</v>
      </c>
      <c r="AI51">
        <v>2</v>
      </c>
      <c r="AJ51">
        <v>2</v>
      </c>
      <c r="AK51">
        <v>179.28</v>
      </c>
      <c r="AN51" t="s">
        <v>45581</v>
      </c>
      <c r="AO51">
        <v>45000</v>
      </c>
      <c r="AU51">
        <v>0.2</v>
      </c>
      <c r="AV51" t="s">
        <v>737</v>
      </c>
      <c r="AW51" t="s">
        <v>279</v>
      </c>
      <c r="AX51" t="s">
        <v>46897</v>
      </c>
    </row>
    <row r="52" spans="1:50">
      <c r="A52" s="1">
        <f>HYPERLINK("https://lsnyc.legalserver.org/matter/dynamic-profile/view/1867761","18-1867761")</f>
        <v>0</v>
      </c>
      <c r="B52" t="s">
        <v>58</v>
      </c>
      <c r="C52" t="s">
        <v>341</v>
      </c>
      <c r="D52" t="s">
        <v>389</v>
      </c>
      <c r="E52" t="s">
        <v>843</v>
      </c>
      <c r="F52" t="s">
        <v>901</v>
      </c>
      <c r="G52" t="s">
        <v>5109</v>
      </c>
      <c r="H52" t="s">
        <v>9681</v>
      </c>
      <c r="I52" t="s">
        <v>17306</v>
      </c>
      <c r="J52" t="s">
        <v>18892</v>
      </c>
      <c r="K52">
        <v>10468</v>
      </c>
      <c r="L52" t="s">
        <v>18958</v>
      </c>
      <c r="M52" t="s">
        <v>18958</v>
      </c>
      <c r="N52" t="s">
        <v>19000</v>
      </c>
      <c r="O52" t="s">
        <v>26523</v>
      </c>
      <c r="P52" t="s">
        <v>26560</v>
      </c>
      <c r="Q52" t="s">
        <v>26568</v>
      </c>
      <c r="R52" t="s">
        <v>26579</v>
      </c>
      <c r="U52" t="s">
        <v>26604</v>
      </c>
      <c r="V52" t="s">
        <v>26610</v>
      </c>
      <c r="W52" t="s">
        <v>26619</v>
      </c>
      <c r="X52">
        <v>0</v>
      </c>
      <c r="Y52" t="s">
        <v>26650</v>
      </c>
      <c r="Z52" t="s">
        <v>26662</v>
      </c>
      <c r="AA52" t="s">
        <v>26678</v>
      </c>
      <c r="AB52" t="s">
        <v>26745</v>
      </c>
      <c r="AC52" t="s">
        <v>34491</v>
      </c>
      <c r="AE52">
        <v>0</v>
      </c>
      <c r="AH52">
        <v>0</v>
      </c>
      <c r="AI52">
        <v>2</v>
      </c>
      <c r="AJ52">
        <v>2</v>
      </c>
      <c r="AK52">
        <v>191.24</v>
      </c>
      <c r="AO52">
        <v>48000</v>
      </c>
      <c r="AP52" t="s">
        <v>45621</v>
      </c>
      <c r="AR52" t="s">
        <v>46380</v>
      </c>
      <c r="AS52" t="s">
        <v>46499</v>
      </c>
      <c r="AT52" t="s">
        <v>46519</v>
      </c>
      <c r="AU52">
        <v>6.5</v>
      </c>
      <c r="AV52" t="s">
        <v>843</v>
      </c>
      <c r="AW52" t="s">
        <v>46848</v>
      </c>
    </row>
    <row r="53" spans="1:50">
      <c r="A53" s="1">
        <f>HYPERLINK("https://lsnyc.legalserver.org/matter/dynamic-profile/view/1867593","18-1867593")</f>
        <v>0</v>
      </c>
      <c r="B53" t="s">
        <v>83</v>
      </c>
      <c r="C53" t="s">
        <v>341</v>
      </c>
      <c r="D53" t="s">
        <v>389</v>
      </c>
      <c r="E53" t="s">
        <v>659</v>
      </c>
      <c r="F53" t="s">
        <v>913</v>
      </c>
      <c r="G53" t="s">
        <v>5110</v>
      </c>
      <c r="H53" t="s">
        <v>9682</v>
      </c>
      <c r="I53" t="s">
        <v>17307</v>
      </c>
      <c r="J53" t="s">
        <v>18894</v>
      </c>
      <c r="K53">
        <v>11233</v>
      </c>
      <c r="L53" t="s">
        <v>18958</v>
      </c>
      <c r="M53" t="s">
        <v>18958</v>
      </c>
      <c r="N53" t="s">
        <v>19001</v>
      </c>
      <c r="O53" t="s">
        <v>26523</v>
      </c>
      <c r="P53" t="s">
        <v>26560</v>
      </c>
      <c r="Q53" t="s">
        <v>26568</v>
      </c>
      <c r="R53" t="s">
        <v>26578</v>
      </c>
      <c r="S53" t="s">
        <v>18959</v>
      </c>
      <c r="U53" t="s">
        <v>26604</v>
      </c>
      <c r="W53" t="s">
        <v>26619</v>
      </c>
      <c r="X53">
        <v>608.63</v>
      </c>
      <c r="Y53" t="s">
        <v>26652</v>
      </c>
      <c r="Z53" t="s">
        <v>26666</v>
      </c>
      <c r="AA53" t="s">
        <v>26678</v>
      </c>
      <c r="AB53" t="s">
        <v>26746</v>
      </c>
      <c r="AD53" t="s">
        <v>36856</v>
      </c>
      <c r="AE53">
        <v>8</v>
      </c>
      <c r="AF53" t="s">
        <v>45541</v>
      </c>
      <c r="AG53" t="s">
        <v>19330</v>
      </c>
      <c r="AH53">
        <v>4</v>
      </c>
      <c r="AI53">
        <v>1</v>
      </c>
      <c r="AJ53">
        <v>1</v>
      </c>
      <c r="AK53">
        <v>214.57</v>
      </c>
      <c r="AL53" t="s">
        <v>438</v>
      </c>
      <c r="AM53" t="s">
        <v>45575</v>
      </c>
      <c r="AN53" t="s">
        <v>7439</v>
      </c>
      <c r="AO53">
        <v>35318</v>
      </c>
      <c r="AQ53" t="s">
        <v>46362</v>
      </c>
      <c r="AR53" t="s">
        <v>46385</v>
      </c>
      <c r="AS53" t="s">
        <v>46499</v>
      </c>
      <c r="AT53" t="s">
        <v>46520</v>
      </c>
      <c r="AU53">
        <v>1.5</v>
      </c>
      <c r="AV53" t="s">
        <v>732</v>
      </c>
      <c r="AW53" t="s">
        <v>92</v>
      </c>
    </row>
    <row r="54" spans="1:50">
      <c r="A54" s="1">
        <f>HYPERLINK("https://lsnyc.legalserver.org/matter/dynamic-profile/view/1867775","18-1867775")</f>
        <v>0</v>
      </c>
      <c r="B54" t="s">
        <v>84</v>
      </c>
      <c r="C54" t="s">
        <v>340</v>
      </c>
      <c r="D54" t="s">
        <v>390</v>
      </c>
      <c r="F54" t="s">
        <v>914</v>
      </c>
      <c r="G54" t="s">
        <v>5111</v>
      </c>
      <c r="H54" t="s">
        <v>9683</v>
      </c>
      <c r="I54">
        <v>3</v>
      </c>
      <c r="J54" t="s">
        <v>18894</v>
      </c>
      <c r="K54">
        <v>11212</v>
      </c>
      <c r="L54" t="s">
        <v>18958</v>
      </c>
      <c r="M54" t="s">
        <v>18958</v>
      </c>
      <c r="O54" t="s">
        <v>18997</v>
      </c>
      <c r="P54" t="s">
        <v>26562</v>
      </c>
      <c r="R54" t="s">
        <v>26578</v>
      </c>
      <c r="U54" t="s">
        <v>26604</v>
      </c>
      <c r="W54" t="s">
        <v>26619</v>
      </c>
      <c r="X54">
        <v>231.6</v>
      </c>
      <c r="Y54" t="s">
        <v>26651</v>
      </c>
      <c r="Z54" t="s">
        <v>26667</v>
      </c>
      <c r="AB54" t="s">
        <v>26747</v>
      </c>
      <c r="AD54" t="s">
        <v>36857</v>
      </c>
      <c r="AE54">
        <v>0</v>
      </c>
      <c r="AF54" t="s">
        <v>20460</v>
      </c>
      <c r="AG54" t="s">
        <v>19330</v>
      </c>
      <c r="AH54">
        <v>1</v>
      </c>
      <c r="AI54">
        <v>1</v>
      </c>
      <c r="AJ54">
        <v>0</v>
      </c>
      <c r="AK54">
        <v>84.22</v>
      </c>
      <c r="AN54" t="s">
        <v>7439</v>
      </c>
      <c r="AO54">
        <v>10224</v>
      </c>
      <c r="AU54">
        <v>0.8</v>
      </c>
      <c r="AV54" t="s">
        <v>569</v>
      </c>
      <c r="AW54" t="s">
        <v>314</v>
      </c>
    </row>
    <row r="55" spans="1:50">
      <c r="A55" s="1">
        <f>HYPERLINK("https://lsnyc.legalserver.org/matter/dynamic-profile/view/1867871","18-1867871")</f>
        <v>0</v>
      </c>
      <c r="B55" t="s">
        <v>85</v>
      </c>
      <c r="C55" t="s">
        <v>341</v>
      </c>
      <c r="D55" t="s">
        <v>391</v>
      </c>
      <c r="E55" t="s">
        <v>658</v>
      </c>
      <c r="F55" t="s">
        <v>915</v>
      </c>
      <c r="G55" t="s">
        <v>5112</v>
      </c>
      <c r="H55" t="s">
        <v>9684</v>
      </c>
      <c r="I55" t="s">
        <v>17308</v>
      </c>
      <c r="J55" t="s">
        <v>18896</v>
      </c>
      <c r="K55">
        <v>11419</v>
      </c>
      <c r="L55" t="s">
        <v>18958</v>
      </c>
      <c r="M55" t="s">
        <v>18958</v>
      </c>
      <c r="N55" t="s">
        <v>19002</v>
      </c>
      <c r="O55" t="s">
        <v>26524</v>
      </c>
      <c r="P55" t="s">
        <v>26564</v>
      </c>
      <c r="Q55" t="s">
        <v>26570</v>
      </c>
      <c r="R55" t="s">
        <v>26584</v>
      </c>
      <c r="S55" t="s">
        <v>18959</v>
      </c>
      <c r="U55" t="s">
        <v>26604</v>
      </c>
      <c r="W55" t="s">
        <v>26619</v>
      </c>
      <c r="X55">
        <v>850</v>
      </c>
      <c r="Y55" t="s">
        <v>26653</v>
      </c>
      <c r="Z55" t="s">
        <v>26530</v>
      </c>
      <c r="AA55" t="s">
        <v>26683</v>
      </c>
      <c r="AB55" t="s">
        <v>26748</v>
      </c>
      <c r="AC55" t="s">
        <v>19330</v>
      </c>
      <c r="AD55" t="s">
        <v>36858</v>
      </c>
      <c r="AE55">
        <v>2</v>
      </c>
      <c r="AF55" t="s">
        <v>45547</v>
      </c>
      <c r="AG55" t="s">
        <v>19330</v>
      </c>
      <c r="AH55">
        <v>1</v>
      </c>
      <c r="AI55">
        <v>2</v>
      </c>
      <c r="AJ55">
        <v>0</v>
      </c>
      <c r="AK55">
        <v>113.51</v>
      </c>
      <c r="AN55" t="s">
        <v>45581</v>
      </c>
      <c r="AO55">
        <v>18684</v>
      </c>
      <c r="AU55">
        <v>1.15</v>
      </c>
      <c r="AV55" t="s">
        <v>512</v>
      </c>
      <c r="AW55" t="s">
        <v>85</v>
      </c>
    </row>
    <row r="56" spans="1:50">
      <c r="A56" s="1">
        <f>HYPERLINK("https://lsnyc.legalserver.org/matter/dynamic-profile/view/1867832","18-1867832")</f>
        <v>0</v>
      </c>
      <c r="B56" t="s">
        <v>84</v>
      </c>
      <c r="C56" t="s">
        <v>340</v>
      </c>
      <c r="D56" t="s">
        <v>391</v>
      </c>
      <c r="F56" t="s">
        <v>916</v>
      </c>
      <c r="G56" t="s">
        <v>5113</v>
      </c>
      <c r="H56" t="s">
        <v>9685</v>
      </c>
      <c r="I56">
        <v>20</v>
      </c>
      <c r="J56" t="s">
        <v>18893</v>
      </c>
      <c r="K56">
        <v>10010</v>
      </c>
      <c r="L56" t="s">
        <v>18958</v>
      </c>
      <c r="M56" t="s">
        <v>18958</v>
      </c>
      <c r="O56" t="s">
        <v>18997</v>
      </c>
      <c r="P56" t="s">
        <v>26564</v>
      </c>
      <c r="R56" t="s">
        <v>26578</v>
      </c>
      <c r="S56" t="s">
        <v>18959</v>
      </c>
      <c r="U56" t="s">
        <v>26604</v>
      </c>
      <c r="W56" t="s">
        <v>26619</v>
      </c>
      <c r="X56">
        <v>643.36</v>
      </c>
      <c r="Y56" t="s">
        <v>26651</v>
      </c>
      <c r="Z56" t="s">
        <v>26667</v>
      </c>
      <c r="AB56" t="s">
        <v>26749</v>
      </c>
      <c r="AD56" t="s">
        <v>36859</v>
      </c>
      <c r="AE56">
        <v>0</v>
      </c>
      <c r="AF56" t="s">
        <v>45541</v>
      </c>
      <c r="AG56" t="s">
        <v>45559</v>
      </c>
      <c r="AH56">
        <v>41</v>
      </c>
      <c r="AI56">
        <v>1</v>
      </c>
      <c r="AJ56">
        <v>0</v>
      </c>
      <c r="AK56">
        <v>76.11</v>
      </c>
      <c r="AN56" t="s">
        <v>45581</v>
      </c>
      <c r="AO56">
        <v>9240</v>
      </c>
      <c r="AU56">
        <v>0.4</v>
      </c>
      <c r="AV56" t="s">
        <v>475</v>
      </c>
      <c r="AW56" t="s">
        <v>314</v>
      </c>
    </row>
    <row r="57" spans="1:50">
      <c r="A57" s="1">
        <f>HYPERLINK("https://lsnyc.legalserver.org/matter/dynamic-profile/view/1868250","18-1868250")</f>
        <v>0</v>
      </c>
      <c r="B57" t="s">
        <v>75</v>
      </c>
      <c r="C57" t="s">
        <v>341</v>
      </c>
      <c r="D57" t="s">
        <v>392</v>
      </c>
      <c r="E57" t="s">
        <v>703</v>
      </c>
      <c r="F57" t="s">
        <v>917</v>
      </c>
      <c r="G57" t="s">
        <v>5114</v>
      </c>
      <c r="H57" t="s">
        <v>9686</v>
      </c>
      <c r="I57" t="s">
        <v>17309</v>
      </c>
      <c r="J57" t="s">
        <v>18892</v>
      </c>
      <c r="K57">
        <v>10468</v>
      </c>
      <c r="L57" t="s">
        <v>18958</v>
      </c>
      <c r="M57" t="s">
        <v>18958</v>
      </c>
      <c r="N57" t="s">
        <v>19003</v>
      </c>
      <c r="O57" t="s">
        <v>26523</v>
      </c>
      <c r="P57" t="s">
        <v>26560</v>
      </c>
      <c r="Q57" t="s">
        <v>26568</v>
      </c>
      <c r="R57" t="s">
        <v>26579</v>
      </c>
      <c r="U57" t="s">
        <v>26604</v>
      </c>
      <c r="W57" t="s">
        <v>26619</v>
      </c>
      <c r="X57">
        <v>963</v>
      </c>
      <c r="Y57" t="s">
        <v>26650</v>
      </c>
      <c r="AA57" t="s">
        <v>26678</v>
      </c>
      <c r="AB57" t="s">
        <v>26750</v>
      </c>
      <c r="AC57" t="s">
        <v>34492</v>
      </c>
      <c r="AD57" t="s">
        <v>36860</v>
      </c>
      <c r="AE57">
        <v>0</v>
      </c>
      <c r="AF57" t="s">
        <v>45548</v>
      </c>
      <c r="AH57">
        <v>0</v>
      </c>
      <c r="AI57">
        <v>1</v>
      </c>
      <c r="AJ57">
        <v>1</v>
      </c>
      <c r="AK57">
        <v>0</v>
      </c>
      <c r="AN57" t="s">
        <v>7439</v>
      </c>
      <c r="AO57">
        <v>0</v>
      </c>
      <c r="AS57" t="s">
        <v>46499</v>
      </c>
      <c r="AT57" t="s">
        <v>46521</v>
      </c>
      <c r="AU57">
        <v>10</v>
      </c>
      <c r="AV57" t="s">
        <v>594</v>
      </c>
      <c r="AW57" t="s">
        <v>46847</v>
      </c>
    </row>
    <row r="58" spans="1:50">
      <c r="A58" s="1">
        <f>HYPERLINK("https://lsnyc.legalserver.org/matter/dynamic-profile/view/1868128","18-1868128")</f>
        <v>0</v>
      </c>
      <c r="B58" t="s">
        <v>86</v>
      </c>
      <c r="C58" t="s">
        <v>341</v>
      </c>
      <c r="D58" t="s">
        <v>392</v>
      </c>
      <c r="E58" t="s">
        <v>833</v>
      </c>
      <c r="F58" t="s">
        <v>918</v>
      </c>
      <c r="G58" t="s">
        <v>5115</v>
      </c>
      <c r="H58" t="s">
        <v>9687</v>
      </c>
      <c r="I58" t="s">
        <v>17274</v>
      </c>
      <c r="J58" t="s">
        <v>18893</v>
      </c>
      <c r="K58">
        <v>10030</v>
      </c>
      <c r="L58" t="s">
        <v>18958</v>
      </c>
      <c r="M58" t="s">
        <v>18960</v>
      </c>
      <c r="N58" t="s">
        <v>19004</v>
      </c>
      <c r="O58" t="s">
        <v>26523</v>
      </c>
      <c r="P58" t="s">
        <v>26560</v>
      </c>
      <c r="Q58" t="s">
        <v>26568</v>
      </c>
      <c r="R58" t="s">
        <v>26582</v>
      </c>
      <c r="S58" t="s">
        <v>18959</v>
      </c>
      <c r="U58" t="s">
        <v>26604</v>
      </c>
      <c r="W58" t="s">
        <v>26619</v>
      </c>
      <c r="X58">
        <v>832</v>
      </c>
      <c r="Y58" t="s">
        <v>26651</v>
      </c>
      <c r="AA58" t="s">
        <v>26680</v>
      </c>
      <c r="AB58" t="s">
        <v>26751</v>
      </c>
      <c r="AC58" t="s">
        <v>34493</v>
      </c>
      <c r="AD58" t="s">
        <v>36861</v>
      </c>
      <c r="AE58">
        <v>10</v>
      </c>
      <c r="AF58" t="s">
        <v>45541</v>
      </c>
      <c r="AG58" t="s">
        <v>19330</v>
      </c>
      <c r="AH58">
        <v>33</v>
      </c>
      <c r="AI58">
        <v>2</v>
      </c>
      <c r="AJ58">
        <v>2</v>
      </c>
      <c r="AK58">
        <v>118.87</v>
      </c>
      <c r="AO58">
        <v>29836</v>
      </c>
      <c r="AS58" t="s">
        <v>46499</v>
      </c>
      <c r="AU58">
        <v>39.49</v>
      </c>
      <c r="AV58" t="s">
        <v>806</v>
      </c>
      <c r="AW58" t="s">
        <v>314</v>
      </c>
      <c r="AX58" t="s">
        <v>46898</v>
      </c>
    </row>
    <row r="59" spans="1:50">
      <c r="A59" s="1">
        <f>HYPERLINK("https://lsnyc.legalserver.org/matter/dynamic-profile/view/1868171","18-1868171")</f>
        <v>0</v>
      </c>
      <c r="B59" t="s">
        <v>54</v>
      </c>
      <c r="C59" t="s">
        <v>340</v>
      </c>
      <c r="D59" t="s">
        <v>393</v>
      </c>
      <c r="F59" t="s">
        <v>919</v>
      </c>
      <c r="G59" t="s">
        <v>5116</v>
      </c>
      <c r="H59" t="s">
        <v>9688</v>
      </c>
      <c r="I59" t="s">
        <v>17310</v>
      </c>
      <c r="J59" t="s">
        <v>18892</v>
      </c>
      <c r="K59">
        <v>10451</v>
      </c>
      <c r="L59" t="s">
        <v>18958</v>
      </c>
      <c r="M59" t="s">
        <v>18958</v>
      </c>
      <c r="N59" t="s">
        <v>19005</v>
      </c>
      <c r="O59" t="s">
        <v>26526</v>
      </c>
      <c r="P59" t="s">
        <v>26564</v>
      </c>
      <c r="R59" t="s">
        <v>26577</v>
      </c>
      <c r="S59" t="s">
        <v>18959</v>
      </c>
      <c r="U59" t="s">
        <v>26605</v>
      </c>
      <c r="W59" t="s">
        <v>26619</v>
      </c>
      <c r="X59">
        <v>752</v>
      </c>
      <c r="Y59" t="s">
        <v>26650</v>
      </c>
      <c r="Z59" t="s">
        <v>26663</v>
      </c>
      <c r="AB59" t="s">
        <v>26752</v>
      </c>
      <c r="AC59" t="s">
        <v>34494</v>
      </c>
      <c r="AD59" t="s">
        <v>36862</v>
      </c>
      <c r="AE59">
        <v>867</v>
      </c>
      <c r="AF59" t="s">
        <v>45549</v>
      </c>
      <c r="AG59" t="s">
        <v>26530</v>
      </c>
      <c r="AH59">
        <v>8</v>
      </c>
      <c r="AI59">
        <v>2</v>
      </c>
      <c r="AJ59">
        <v>1</v>
      </c>
      <c r="AK59">
        <v>98.63</v>
      </c>
      <c r="AN59" t="s">
        <v>7439</v>
      </c>
      <c r="AO59">
        <v>20496</v>
      </c>
      <c r="AU59">
        <v>49.7</v>
      </c>
      <c r="AV59" t="s">
        <v>779</v>
      </c>
      <c r="AW59" t="s">
        <v>46849</v>
      </c>
    </row>
    <row r="60" spans="1:50">
      <c r="A60" s="1">
        <f>HYPERLINK("https://lsnyc.legalserver.org/matter/dynamic-profile/view/1868977","18-1868977")</f>
        <v>0</v>
      </c>
      <c r="B60" t="s">
        <v>87</v>
      </c>
      <c r="C60" t="s">
        <v>341</v>
      </c>
      <c r="D60" t="s">
        <v>394</v>
      </c>
      <c r="E60" t="s">
        <v>498</v>
      </c>
      <c r="F60" t="s">
        <v>920</v>
      </c>
      <c r="G60" t="s">
        <v>2196</v>
      </c>
      <c r="H60" t="s">
        <v>9689</v>
      </c>
      <c r="I60" t="s">
        <v>17311</v>
      </c>
      <c r="J60" t="s">
        <v>18892</v>
      </c>
      <c r="K60">
        <v>10468</v>
      </c>
      <c r="L60" t="s">
        <v>18958</v>
      </c>
      <c r="M60" t="s">
        <v>18960</v>
      </c>
      <c r="N60" t="s">
        <v>19006</v>
      </c>
      <c r="O60" t="s">
        <v>26524</v>
      </c>
      <c r="P60" t="s">
        <v>26564</v>
      </c>
      <c r="Q60" t="s">
        <v>26570</v>
      </c>
      <c r="R60" t="s">
        <v>26579</v>
      </c>
      <c r="S60" t="s">
        <v>18959</v>
      </c>
      <c r="U60" t="s">
        <v>26604</v>
      </c>
      <c r="V60" t="s">
        <v>26610</v>
      </c>
      <c r="W60" t="s">
        <v>26619</v>
      </c>
      <c r="X60">
        <v>0</v>
      </c>
      <c r="Y60" t="s">
        <v>26650</v>
      </c>
      <c r="Z60" t="s">
        <v>26662</v>
      </c>
      <c r="AA60" t="s">
        <v>26683</v>
      </c>
      <c r="AB60" t="s">
        <v>26753</v>
      </c>
      <c r="AD60" t="s">
        <v>36863</v>
      </c>
      <c r="AE60">
        <v>1</v>
      </c>
      <c r="AF60" t="s">
        <v>45547</v>
      </c>
      <c r="AG60" t="s">
        <v>19330</v>
      </c>
      <c r="AH60">
        <v>30</v>
      </c>
      <c r="AI60">
        <v>2</v>
      </c>
      <c r="AJ60">
        <v>0</v>
      </c>
      <c r="AK60">
        <v>310.57</v>
      </c>
      <c r="AL60" t="s">
        <v>395</v>
      </c>
      <c r="AM60" t="s">
        <v>45575</v>
      </c>
      <c r="AN60" t="s">
        <v>7439</v>
      </c>
      <c r="AO60">
        <v>51120</v>
      </c>
      <c r="AP60" t="s">
        <v>45626</v>
      </c>
      <c r="AU60">
        <v>6.3</v>
      </c>
      <c r="AV60" t="s">
        <v>433</v>
      </c>
      <c r="AW60" t="s">
        <v>46848</v>
      </c>
    </row>
    <row r="61" spans="1:50">
      <c r="A61" s="1">
        <f>HYPERLINK("https://lsnyc.legalserver.org/matter/dynamic-profile/view/1868833","18-1868833")</f>
        <v>0</v>
      </c>
      <c r="B61" t="s">
        <v>84</v>
      </c>
      <c r="C61" t="s">
        <v>341</v>
      </c>
      <c r="D61" t="s">
        <v>395</v>
      </c>
      <c r="E61" t="s">
        <v>440</v>
      </c>
      <c r="F61" t="s">
        <v>921</v>
      </c>
      <c r="G61" t="s">
        <v>5117</v>
      </c>
      <c r="H61" t="s">
        <v>9690</v>
      </c>
      <c r="I61" t="s">
        <v>17312</v>
      </c>
      <c r="J61" t="s">
        <v>18893</v>
      </c>
      <c r="K61">
        <v>10032</v>
      </c>
      <c r="L61" t="s">
        <v>18958</v>
      </c>
      <c r="M61" t="s">
        <v>18960</v>
      </c>
      <c r="N61" t="s">
        <v>19007</v>
      </c>
      <c r="O61" t="s">
        <v>26523</v>
      </c>
      <c r="P61" t="s">
        <v>26564</v>
      </c>
      <c r="Q61" t="s">
        <v>26570</v>
      </c>
      <c r="R61" t="s">
        <v>26582</v>
      </c>
      <c r="S61" t="s">
        <v>18959</v>
      </c>
      <c r="U61" t="s">
        <v>26604</v>
      </c>
      <c r="W61" t="s">
        <v>26619</v>
      </c>
      <c r="X61">
        <v>1186</v>
      </c>
      <c r="Y61" t="s">
        <v>26651</v>
      </c>
      <c r="Z61" t="s">
        <v>26661</v>
      </c>
      <c r="AA61" t="s">
        <v>26683</v>
      </c>
      <c r="AB61" t="s">
        <v>26754</v>
      </c>
      <c r="AD61" t="s">
        <v>36864</v>
      </c>
      <c r="AE61">
        <v>1</v>
      </c>
      <c r="AF61" t="s">
        <v>45547</v>
      </c>
      <c r="AG61" t="s">
        <v>19330</v>
      </c>
      <c r="AH61">
        <v>22</v>
      </c>
      <c r="AI61">
        <v>3</v>
      </c>
      <c r="AJ61">
        <v>0</v>
      </c>
      <c r="AK61">
        <v>131.38</v>
      </c>
      <c r="AN61" t="s">
        <v>7439</v>
      </c>
      <c r="AO61">
        <v>27300</v>
      </c>
      <c r="AU61">
        <v>2</v>
      </c>
      <c r="AV61" t="s">
        <v>440</v>
      </c>
      <c r="AW61" t="s">
        <v>314</v>
      </c>
    </row>
    <row r="62" spans="1:50">
      <c r="A62" s="1">
        <f>HYPERLINK("https://lsnyc.legalserver.org/matter/dynamic-profile/view/1869290","18-1869290")</f>
        <v>0</v>
      </c>
      <c r="B62" t="s">
        <v>80</v>
      </c>
      <c r="C62" t="s">
        <v>341</v>
      </c>
      <c r="D62" t="s">
        <v>396</v>
      </c>
      <c r="E62" t="s">
        <v>703</v>
      </c>
      <c r="F62" t="s">
        <v>922</v>
      </c>
      <c r="G62" t="s">
        <v>5118</v>
      </c>
      <c r="H62" t="s">
        <v>9691</v>
      </c>
      <c r="I62" t="s">
        <v>17274</v>
      </c>
      <c r="J62" t="s">
        <v>18893</v>
      </c>
      <c r="K62">
        <v>10027</v>
      </c>
      <c r="L62" t="s">
        <v>18958</v>
      </c>
      <c r="M62" t="s">
        <v>18958</v>
      </c>
      <c r="N62" t="s">
        <v>19008</v>
      </c>
      <c r="O62" t="s">
        <v>26523</v>
      </c>
      <c r="P62" t="s">
        <v>26565</v>
      </c>
      <c r="Q62" t="s">
        <v>26568</v>
      </c>
      <c r="R62" t="s">
        <v>26580</v>
      </c>
      <c r="S62" t="s">
        <v>18959</v>
      </c>
      <c r="U62" t="s">
        <v>26604</v>
      </c>
      <c r="W62" t="s">
        <v>26619</v>
      </c>
      <c r="X62">
        <v>655.26</v>
      </c>
      <c r="Y62" t="s">
        <v>26651</v>
      </c>
      <c r="Z62" t="s">
        <v>26662</v>
      </c>
      <c r="AA62" t="s">
        <v>26678</v>
      </c>
      <c r="AB62" t="s">
        <v>26755</v>
      </c>
      <c r="AD62" t="s">
        <v>36865</v>
      </c>
      <c r="AE62">
        <v>10</v>
      </c>
      <c r="AF62" t="s">
        <v>45541</v>
      </c>
      <c r="AG62" t="s">
        <v>45559</v>
      </c>
      <c r="AH62">
        <v>25</v>
      </c>
      <c r="AI62">
        <v>1</v>
      </c>
      <c r="AJ62">
        <v>0</v>
      </c>
      <c r="AK62">
        <v>83.13</v>
      </c>
      <c r="AN62" t="s">
        <v>7439</v>
      </c>
      <c r="AO62">
        <v>10092</v>
      </c>
      <c r="AS62" t="s">
        <v>46499</v>
      </c>
      <c r="AT62" t="s">
        <v>46521</v>
      </c>
      <c r="AU62">
        <v>24</v>
      </c>
      <c r="AV62" t="s">
        <v>651</v>
      </c>
      <c r="AW62" t="s">
        <v>46845</v>
      </c>
    </row>
    <row r="63" spans="1:50">
      <c r="A63" s="1">
        <f>HYPERLINK("https://lsnyc.legalserver.org/matter/dynamic-profile/view/1869462","18-1869462")</f>
        <v>0</v>
      </c>
      <c r="B63" t="s">
        <v>88</v>
      </c>
      <c r="C63" t="s">
        <v>341</v>
      </c>
      <c r="D63" t="s">
        <v>397</v>
      </c>
      <c r="E63" t="s">
        <v>425</v>
      </c>
      <c r="F63" t="s">
        <v>923</v>
      </c>
      <c r="G63" t="s">
        <v>5119</v>
      </c>
      <c r="H63" t="s">
        <v>9692</v>
      </c>
      <c r="I63" t="s">
        <v>17313</v>
      </c>
      <c r="J63" t="s">
        <v>18894</v>
      </c>
      <c r="K63">
        <v>11233</v>
      </c>
      <c r="L63" t="s">
        <v>18958</v>
      </c>
      <c r="M63" t="s">
        <v>18958</v>
      </c>
      <c r="N63" t="s">
        <v>18997</v>
      </c>
      <c r="O63" t="s">
        <v>26531</v>
      </c>
      <c r="P63" t="s">
        <v>26564</v>
      </c>
      <c r="Q63" t="s">
        <v>26570</v>
      </c>
      <c r="R63" t="s">
        <v>26578</v>
      </c>
      <c r="S63" t="s">
        <v>18959</v>
      </c>
      <c r="U63" t="s">
        <v>26604</v>
      </c>
      <c r="W63" t="s">
        <v>26619</v>
      </c>
      <c r="X63">
        <v>859</v>
      </c>
      <c r="Y63" t="s">
        <v>26652</v>
      </c>
      <c r="Z63" t="s">
        <v>26659</v>
      </c>
      <c r="AA63" t="s">
        <v>26679</v>
      </c>
      <c r="AB63" t="s">
        <v>26756</v>
      </c>
      <c r="AC63" t="s">
        <v>20460</v>
      </c>
      <c r="AD63" t="s">
        <v>36866</v>
      </c>
      <c r="AE63">
        <v>1107</v>
      </c>
      <c r="AF63" t="s">
        <v>45541</v>
      </c>
      <c r="AG63" t="s">
        <v>45560</v>
      </c>
      <c r="AH63">
        <v>6</v>
      </c>
      <c r="AI63">
        <v>1</v>
      </c>
      <c r="AJ63">
        <v>0</v>
      </c>
      <c r="AK63">
        <v>0</v>
      </c>
      <c r="AN63" t="s">
        <v>7439</v>
      </c>
      <c r="AO63">
        <v>0</v>
      </c>
      <c r="AP63" t="s">
        <v>45624</v>
      </c>
      <c r="AU63">
        <v>2</v>
      </c>
      <c r="AV63" t="s">
        <v>425</v>
      </c>
      <c r="AW63" t="s">
        <v>279</v>
      </c>
    </row>
    <row r="64" spans="1:50">
      <c r="A64" s="1">
        <f>HYPERLINK("https://lsnyc.legalserver.org/matter/dynamic-profile/view/1869794","18-1869794")</f>
        <v>0</v>
      </c>
      <c r="B64" t="s">
        <v>89</v>
      </c>
      <c r="C64" t="s">
        <v>341</v>
      </c>
      <c r="D64" t="s">
        <v>398</v>
      </c>
      <c r="E64" t="s">
        <v>494</v>
      </c>
      <c r="F64" t="s">
        <v>924</v>
      </c>
      <c r="G64" t="s">
        <v>5120</v>
      </c>
      <c r="H64" t="s">
        <v>9693</v>
      </c>
      <c r="I64">
        <v>10</v>
      </c>
      <c r="J64" t="s">
        <v>18893</v>
      </c>
      <c r="K64">
        <v>10009</v>
      </c>
      <c r="L64" t="s">
        <v>18958</v>
      </c>
      <c r="M64" t="s">
        <v>18960</v>
      </c>
      <c r="O64" t="s">
        <v>18997</v>
      </c>
      <c r="P64" t="s">
        <v>26564</v>
      </c>
      <c r="Q64" t="s">
        <v>26570</v>
      </c>
      <c r="R64" t="s">
        <v>26578</v>
      </c>
      <c r="S64" t="s">
        <v>18959</v>
      </c>
      <c r="U64" t="s">
        <v>26604</v>
      </c>
      <c r="W64" t="s">
        <v>26619</v>
      </c>
      <c r="X64">
        <v>549.4</v>
      </c>
      <c r="Y64" t="s">
        <v>26651</v>
      </c>
      <c r="Z64" t="s">
        <v>26659</v>
      </c>
      <c r="AA64" t="s">
        <v>26683</v>
      </c>
      <c r="AB64" t="s">
        <v>26757</v>
      </c>
      <c r="AD64" t="s">
        <v>36867</v>
      </c>
      <c r="AE64">
        <v>0</v>
      </c>
      <c r="AF64" t="s">
        <v>45541</v>
      </c>
      <c r="AG64" t="s">
        <v>19330</v>
      </c>
      <c r="AH64">
        <v>20</v>
      </c>
      <c r="AI64">
        <v>1</v>
      </c>
      <c r="AJ64">
        <v>0</v>
      </c>
      <c r="AK64">
        <v>169.72</v>
      </c>
      <c r="AN64" t="s">
        <v>7439</v>
      </c>
      <c r="AO64">
        <v>20604</v>
      </c>
      <c r="AU64">
        <v>3.25</v>
      </c>
      <c r="AV64" t="s">
        <v>704</v>
      </c>
      <c r="AW64" t="s">
        <v>314</v>
      </c>
    </row>
    <row r="65" spans="1:50">
      <c r="A65" s="1">
        <f>HYPERLINK("https://lsnyc.legalserver.org/matter/dynamic-profile/view/1870804","18-1870804")</f>
        <v>0</v>
      </c>
      <c r="B65" t="s">
        <v>54</v>
      </c>
      <c r="C65" t="s">
        <v>341</v>
      </c>
      <c r="D65" t="s">
        <v>399</v>
      </c>
      <c r="E65" t="s">
        <v>534</v>
      </c>
      <c r="F65" t="s">
        <v>925</v>
      </c>
      <c r="G65" t="s">
        <v>5121</v>
      </c>
      <c r="H65" t="s">
        <v>9694</v>
      </c>
      <c r="J65" t="s">
        <v>18892</v>
      </c>
      <c r="K65">
        <v>10451</v>
      </c>
      <c r="L65" t="s">
        <v>18958</v>
      </c>
      <c r="M65" t="s">
        <v>18959</v>
      </c>
      <c r="N65" t="s">
        <v>19009</v>
      </c>
      <c r="O65" t="s">
        <v>26523</v>
      </c>
      <c r="P65" t="s">
        <v>26560</v>
      </c>
      <c r="Q65" t="s">
        <v>26568</v>
      </c>
      <c r="R65" t="s">
        <v>26577</v>
      </c>
      <c r="S65" t="s">
        <v>18959</v>
      </c>
      <c r="U65" t="s">
        <v>26604</v>
      </c>
      <c r="V65" t="s">
        <v>26612</v>
      </c>
      <c r="W65" t="s">
        <v>26619</v>
      </c>
      <c r="X65">
        <v>530</v>
      </c>
      <c r="Y65" t="s">
        <v>26650</v>
      </c>
      <c r="Z65" t="s">
        <v>26656</v>
      </c>
      <c r="AA65" t="s">
        <v>26678</v>
      </c>
      <c r="AB65" t="s">
        <v>26758</v>
      </c>
      <c r="AC65" t="s">
        <v>34495</v>
      </c>
      <c r="AD65" t="s">
        <v>36868</v>
      </c>
      <c r="AE65">
        <v>200</v>
      </c>
      <c r="AF65" t="s">
        <v>45543</v>
      </c>
      <c r="AG65" t="s">
        <v>45556</v>
      </c>
      <c r="AH65">
        <v>8</v>
      </c>
      <c r="AI65">
        <v>1</v>
      </c>
      <c r="AJ65">
        <v>2</v>
      </c>
      <c r="AK65">
        <v>82.75</v>
      </c>
      <c r="AN65" t="s">
        <v>7439</v>
      </c>
      <c r="AO65">
        <v>17196</v>
      </c>
      <c r="AQ65" t="s">
        <v>46365</v>
      </c>
      <c r="AR65" t="s">
        <v>46379</v>
      </c>
      <c r="AS65" t="s">
        <v>46499</v>
      </c>
      <c r="AT65" t="s">
        <v>46522</v>
      </c>
      <c r="AU65">
        <v>8.800000000000001</v>
      </c>
      <c r="AV65" t="s">
        <v>461</v>
      </c>
      <c r="AW65" t="s">
        <v>46832</v>
      </c>
    </row>
    <row r="66" spans="1:50">
      <c r="A66" s="1">
        <f>HYPERLINK("https://lsnyc.legalserver.org/matter/dynamic-profile/view/1869848","18-1869848")</f>
        <v>0</v>
      </c>
      <c r="B66" t="s">
        <v>90</v>
      </c>
      <c r="C66" t="s">
        <v>340</v>
      </c>
      <c r="D66" t="s">
        <v>399</v>
      </c>
      <c r="F66" t="s">
        <v>926</v>
      </c>
      <c r="G66" t="s">
        <v>5122</v>
      </c>
      <c r="H66" t="s">
        <v>9695</v>
      </c>
      <c r="I66" t="s">
        <v>17274</v>
      </c>
      <c r="J66" t="s">
        <v>18893</v>
      </c>
      <c r="K66">
        <v>10029</v>
      </c>
      <c r="L66" t="s">
        <v>18958</v>
      </c>
      <c r="M66" t="s">
        <v>18958</v>
      </c>
      <c r="N66" t="s">
        <v>19010</v>
      </c>
      <c r="O66" t="s">
        <v>26523</v>
      </c>
      <c r="P66" t="s">
        <v>26560</v>
      </c>
      <c r="R66" t="s">
        <v>26582</v>
      </c>
      <c r="S66" t="s">
        <v>18959</v>
      </c>
      <c r="U66" t="s">
        <v>26604</v>
      </c>
      <c r="W66" t="s">
        <v>26619</v>
      </c>
      <c r="X66">
        <v>83</v>
      </c>
      <c r="Y66" t="s">
        <v>26651</v>
      </c>
      <c r="Z66" t="s">
        <v>26664</v>
      </c>
      <c r="AB66" t="s">
        <v>26759</v>
      </c>
      <c r="AC66" t="s">
        <v>34496</v>
      </c>
      <c r="AD66" t="s">
        <v>36869</v>
      </c>
      <c r="AE66">
        <v>0</v>
      </c>
      <c r="AF66" t="s">
        <v>20460</v>
      </c>
      <c r="AG66" t="s">
        <v>45556</v>
      </c>
      <c r="AH66">
        <v>26</v>
      </c>
      <c r="AI66">
        <v>3</v>
      </c>
      <c r="AJ66">
        <v>0</v>
      </c>
      <c r="AK66">
        <v>52.26</v>
      </c>
      <c r="AN66" t="s">
        <v>7439</v>
      </c>
      <c r="AO66">
        <v>10860</v>
      </c>
      <c r="AU66">
        <v>20.85</v>
      </c>
      <c r="AV66" t="s">
        <v>802</v>
      </c>
      <c r="AW66" t="s">
        <v>314</v>
      </c>
    </row>
    <row r="67" spans="1:50">
      <c r="A67" s="1">
        <f>HYPERLINK("https://lsnyc.legalserver.org/matter/dynamic-profile/view/1870087","18-1870087")</f>
        <v>0</v>
      </c>
      <c r="B67" t="s">
        <v>66</v>
      </c>
      <c r="C67" t="s">
        <v>341</v>
      </c>
      <c r="D67" t="s">
        <v>400</v>
      </c>
      <c r="E67" t="s">
        <v>706</v>
      </c>
      <c r="F67" t="s">
        <v>927</v>
      </c>
      <c r="G67" t="s">
        <v>5123</v>
      </c>
      <c r="H67" t="s">
        <v>9696</v>
      </c>
      <c r="I67" t="s">
        <v>17314</v>
      </c>
      <c r="J67" t="s">
        <v>18893</v>
      </c>
      <c r="K67">
        <v>10039</v>
      </c>
      <c r="L67" t="s">
        <v>18958</v>
      </c>
      <c r="M67" t="s">
        <v>18958</v>
      </c>
      <c r="N67" t="s">
        <v>19011</v>
      </c>
      <c r="O67" t="s">
        <v>26523</v>
      </c>
      <c r="P67" t="s">
        <v>26564</v>
      </c>
      <c r="Q67" t="s">
        <v>26570</v>
      </c>
      <c r="R67" t="s">
        <v>26582</v>
      </c>
      <c r="S67" t="s">
        <v>18959</v>
      </c>
      <c r="U67" t="s">
        <v>26604</v>
      </c>
      <c r="V67" t="s">
        <v>26610</v>
      </c>
      <c r="W67" t="s">
        <v>26619</v>
      </c>
      <c r="X67">
        <v>923</v>
      </c>
      <c r="Y67" t="s">
        <v>26651</v>
      </c>
      <c r="Z67" t="s">
        <v>26659</v>
      </c>
      <c r="AA67" t="s">
        <v>26683</v>
      </c>
      <c r="AB67" t="s">
        <v>26760</v>
      </c>
      <c r="AD67" t="s">
        <v>36870</v>
      </c>
      <c r="AE67">
        <v>1229</v>
      </c>
      <c r="AF67" t="s">
        <v>20460</v>
      </c>
      <c r="AG67" t="s">
        <v>19330</v>
      </c>
      <c r="AH67">
        <v>8</v>
      </c>
      <c r="AI67">
        <v>1</v>
      </c>
      <c r="AJ67">
        <v>3</v>
      </c>
      <c r="AK67">
        <v>70.5</v>
      </c>
      <c r="AN67" t="s">
        <v>7439</v>
      </c>
      <c r="AO67">
        <v>17696.64</v>
      </c>
      <c r="AU67">
        <v>1</v>
      </c>
      <c r="AV67" t="s">
        <v>706</v>
      </c>
      <c r="AW67" t="s">
        <v>314</v>
      </c>
    </row>
    <row r="68" spans="1:50">
      <c r="A68" s="1">
        <f>HYPERLINK("https://lsnyc.legalserver.org/matter/dynamic-profile/view/1870835","18-1870835")</f>
        <v>0</v>
      </c>
      <c r="B68" t="s">
        <v>75</v>
      </c>
      <c r="C68" t="s">
        <v>341</v>
      </c>
      <c r="D68" t="s">
        <v>401</v>
      </c>
      <c r="E68" t="s">
        <v>469</v>
      </c>
      <c r="F68" t="s">
        <v>928</v>
      </c>
      <c r="G68" t="s">
        <v>5103</v>
      </c>
      <c r="H68" t="s">
        <v>9697</v>
      </c>
      <c r="I68" t="s">
        <v>17315</v>
      </c>
      <c r="J68" t="s">
        <v>18892</v>
      </c>
      <c r="K68">
        <v>10468</v>
      </c>
      <c r="L68" t="s">
        <v>18958</v>
      </c>
      <c r="M68" t="s">
        <v>18958</v>
      </c>
      <c r="N68" t="s">
        <v>19012</v>
      </c>
      <c r="O68" t="s">
        <v>26523</v>
      </c>
      <c r="P68" t="s">
        <v>26560</v>
      </c>
      <c r="Q68" t="s">
        <v>26568</v>
      </c>
      <c r="R68" t="s">
        <v>26579</v>
      </c>
      <c r="U68" t="s">
        <v>26604</v>
      </c>
      <c r="W68" t="s">
        <v>26619</v>
      </c>
      <c r="X68">
        <v>1195.97</v>
      </c>
      <c r="Y68" t="s">
        <v>26650</v>
      </c>
      <c r="AA68" t="s">
        <v>26678</v>
      </c>
      <c r="AB68" t="s">
        <v>26761</v>
      </c>
      <c r="AD68" t="s">
        <v>36871</v>
      </c>
      <c r="AE68">
        <v>0</v>
      </c>
      <c r="AF68" t="s">
        <v>45541</v>
      </c>
      <c r="AG68" t="s">
        <v>19330</v>
      </c>
      <c r="AH68">
        <v>35</v>
      </c>
      <c r="AI68">
        <v>1</v>
      </c>
      <c r="AJ68">
        <v>0</v>
      </c>
      <c r="AK68">
        <v>158.15</v>
      </c>
      <c r="AN68" t="s">
        <v>7439</v>
      </c>
      <c r="AO68">
        <v>19200</v>
      </c>
      <c r="AP68" t="s">
        <v>45627</v>
      </c>
      <c r="AS68" t="s">
        <v>46499</v>
      </c>
      <c r="AT68" t="s">
        <v>46523</v>
      </c>
      <c r="AU68">
        <v>3.95</v>
      </c>
      <c r="AV68" t="s">
        <v>469</v>
      </c>
      <c r="AW68" t="s">
        <v>46847</v>
      </c>
    </row>
    <row r="69" spans="1:50">
      <c r="A69" s="1">
        <f>HYPERLINK("https://lsnyc.legalserver.org/matter/dynamic-profile/view/1870517","18-1870517")</f>
        <v>0</v>
      </c>
      <c r="B69" t="s">
        <v>91</v>
      </c>
      <c r="C69" t="s">
        <v>340</v>
      </c>
      <c r="D69" t="s">
        <v>401</v>
      </c>
      <c r="F69" t="s">
        <v>929</v>
      </c>
      <c r="G69" t="s">
        <v>5124</v>
      </c>
      <c r="H69" t="s">
        <v>9698</v>
      </c>
      <c r="J69" t="s">
        <v>18897</v>
      </c>
      <c r="K69">
        <v>11415</v>
      </c>
      <c r="L69" t="s">
        <v>18958</v>
      </c>
      <c r="M69" t="s">
        <v>18958</v>
      </c>
      <c r="N69" t="s">
        <v>19013</v>
      </c>
      <c r="O69" t="s">
        <v>26523</v>
      </c>
      <c r="P69" t="s">
        <v>26560</v>
      </c>
      <c r="R69" t="s">
        <v>26584</v>
      </c>
      <c r="S69" t="s">
        <v>18959</v>
      </c>
      <c r="U69" t="s">
        <v>26604</v>
      </c>
      <c r="V69" t="s">
        <v>26610</v>
      </c>
      <c r="W69" t="s">
        <v>26619</v>
      </c>
      <c r="X69">
        <v>1800</v>
      </c>
      <c r="Y69" t="s">
        <v>26653</v>
      </c>
      <c r="Z69" t="s">
        <v>26664</v>
      </c>
      <c r="AB69" t="s">
        <v>26762</v>
      </c>
      <c r="AC69" t="s">
        <v>34497</v>
      </c>
      <c r="AD69" t="s">
        <v>36872</v>
      </c>
      <c r="AE69">
        <v>43</v>
      </c>
      <c r="AF69" t="s">
        <v>45541</v>
      </c>
      <c r="AG69" t="s">
        <v>19330</v>
      </c>
      <c r="AH69">
        <v>4</v>
      </c>
      <c r="AI69">
        <v>3</v>
      </c>
      <c r="AJ69">
        <v>3</v>
      </c>
      <c r="AK69">
        <v>21.52</v>
      </c>
      <c r="AN69" t="s">
        <v>45582</v>
      </c>
      <c r="AO69">
        <v>7260</v>
      </c>
      <c r="AQ69" t="s">
        <v>46366</v>
      </c>
      <c r="AR69" t="s">
        <v>46379</v>
      </c>
      <c r="AS69" t="s">
        <v>46499</v>
      </c>
      <c r="AT69" t="s">
        <v>46524</v>
      </c>
      <c r="AU69">
        <v>74.45</v>
      </c>
      <c r="AV69" t="s">
        <v>836</v>
      </c>
      <c r="AW69" t="s">
        <v>122</v>
      </c>
      <c r="AX69" t="s">
        <v>46897</v>
      </c>
    </row>
    <row r="70" spans="1:50">
      <c r="A70" s="1">
        <f>HYPERLINK("https://lsnyc.legalserver.org/matter/dynamic-profile/view/1870697","18-1870697")</f>
        <v>0</v>
      </c>
      <c r="B70" t="s">
        <v>87</v>
      </c>
      <c r="C70" t="s">
        <v>341</v>
      </c>
      <c r="D70" t="s">
        <v>402</v>
      </c>
      <c r="E70" t="s">
        <v>754</v>
      </c>
      <c r="F70" t="s">
        <v>930</v>
      </c>
      <c r="G70" t="s">
        <v>1725</v>
      </c>
      <c r="H70" t="s">
        <v>9699</v>
      </c>
      <c r="I70" t="s">
        <v>17316</v>
      </c>
      <c r="J70" t="s">
        <v>18892</v>
      </c>
      <c r="K70">
        <v>10466</v>
      </c>
      <c r="L70" t="s">
        <v>18958</v>
      </c>
      <c r="M70" t="s">
        <v>18958</v>
      </c>
      <c r="N70" t="s">
        <v>19014</v>
      </c>
      <c r="O70" t="s">
        <v>26523</v>
      </c>
      <c r="P70" t="s">
        <v>26560</v>
      </c>
      <c r="Q70" t="s">
        <v>26568</v>
      </c>
      <c r="R70" t="s">
        <v>26577</v>
      </c>
      <c r="U70" t="s">
        <v>26604</v>
      </c>
      <c r="V70" t="s">
        <v>26612</v>
      </c>
      <c r="W70" t="s">
        <v>26619</v>
      </c>
      <c r="X70">
        <v>1198.97</v>
      </c>
      <c r="Y70" t="s">
        <v>26650</v>
      </c>
      <c r="Z70" t="s">
        <v>26668</v>
      </c>
      <c r="AA70" t="s">
        <v>26678</v>
      </c>
      <c r="AB70" t="s">
        <v>26763</v>
      </c>
      <c r="AC70" t="s">
        <v>34498</v>
      </c>
      <c r="AD70" t="s">
        <v>36873</v>
      </c>
      <c r="AE70">
        <v>0</v>
      </c>
      <c r="AF70" t="s">
        <v>45541</v>
      </c>
      <c r="AG70" t="s">
        <v>45557</v>
      </c>
      <c r="AH70">
        <v>6</v>
      </c>
      <c r="AI70">
        <v>2</v>
      </c>
      <c r="AJ70">
        <v>1</v>
      </c>
      <c r="AK70">
        <v>66.16</v>
      </c>
      <c r="AN70" t="s">
        <v>7439</v>
      </c>
      <c r="AO70">
        <v>13748</v>
      </c>
      <c r="AP70" t="s">
        <v>45621</v>
      </c>
      <c r="AR70" t="s">
        <v>46381</v>
      </c>
      <c r="AS70" t="s">
        <v>46499</v>
      </c>
      <c r="AT70" t="s">
        <v>46525</v>
      </c>
      <c r="AU70">
        <v>17.4</v>
      </c>
      <c r="AV70" t="s">
        <v>668</v>
      </c>
      <c r="AW70" t="s">
        <v>284</v>
      </c>
    </row>
    <row r="71" spans="1:50">
      <c r="A71" s="1">
        <f>HYPERLINK("https://lsnyc.legalserver.org/matter/dynamic-profile/view/1870843","18-1870843")</f>
        <v>0</v>
      </c>
      <c r="B71" t="s">
        <v>92</v>
      </c>
      <c r="C71" t="s">
        <v>341</v>
      </c>
      <c r="D71" t="s">
        <v>403</v>
      </c>
      <c r="E71" t="s">
        <v>413</v>
      </c>
      <c r="F71" t="s">
        <v>931</v>
      </c>
      <c r="G71" t="s">
        <v>1685</v>
      </c>
      <c r="H71" t="s">
        <v>9700</v>
      </c>
      <c r="I71" t="s">
        <v>17317</v>
      </c>
      <c r="J71" t="s">
        <v>18894</v>
      </c>
      <c r="K71">
        <v>11212</v>
      </c>
      <c r="L71" t="s">
        <v>18958</v>
      </c>
      <c r="M71" t="s">
        <v>18958</v>
      </c>
      <c r="N71" t="s">
        <v>18997</v>
      </c>
      <c r="O71" t="s">
        <v>18997</v>
      </c>
      <c r="P71" t="s">
        <v>26564</v>
      </c>
      <c r="Q71" t="s">
        <v>26570</v>
      </c>
      <c r="R71" t="s">
        <v>26578</v>
      </c>
      <c r="S71" t="s">
        <v>18959</v>
      </c>
      <c r="U71" t="s">
        <v>26604</v>
      </c>
      <c r="W71" t="s">
        <v>26619</v>
      </c>
      <c r="X71">
        <v>0</v>
      </c>
      <c r="Y71" t="s">
        <v>26652</v>
      </c>
      <c r="AA71" t="s">
        <v>26683</v>
      </c>
      <c r="AB71" t="s">
        <v>26764</v>
      </c>
      <c r="AD71" t="s">
        <v>36874</v>
      </c>
      <c r="AE71">
        <v>4</v>
      </c>
      <c r="AH71">
        <v>0</v>
      </c>
      <c r="AI71">
        <v>2</v>
      </c>
      <c r="AJ71">
        <v>4</v>
      </c>
      <c r="AK71">
        <v>0</v>
      </c>
      <c r="AN71" t="s">
        <v>45581</v>
      </c>
      <c r="AO71">
        <v>0</v>
      </c>
      <c r="AU71">
        <v>1.75</v>
      </c>
      <c r="AV71" t="s">
        <v>405</v>
      </c>
      <c r="AW71" t="s">
        <v>46850</v>
      </c>
    </row>
    <row r="72" spans="1:50">
      <c r="A72" s="1">
        <f>HYPERLINK("https://lsnyc.legalserver.org/matter/dynamic-profile/view/1870890","18-1870890")</f>
        <v>0</v>
      </c>
      <c r="B72" t="s">
        <v>89</v>
      </c>
      <c r="C72" t="s">
        <v>341</v>
      </c>
      <c r="D72" t="s">
        <v>404</v>
      </c>
      <c r="E72" t="s">
        <v>687</v>
      </c>
      <c r="F72" t="s">
        <v>881</v>
      </c>
      <c r="G72" t="s">
        <v>5125</v>
      </c>
      <c r="H72" t="s">
        <v>9701</v>
      </c>
      <c r="I72" t="s">
        <v>17318</v>
      </c>
      <c r="J72" t="s">
        <v>18893</v>
      </c>
      <c r="K72">
        <v>10002</v>
      </c>
      <c r="L72" t="s">
        <v>18958</v>
      </c>
      <c r="M72" t="s">
        <v>18958</v>
      </c>
      <c r="O72" t="s">
        <v>18997</v>
      </c>
      <c r="P72" t="s">
        <v>26564</v>
      </c>
      <c r="Q72" t="s">
        <v>26570</v>
      </c>
      <c r="R72" t="s">
        <v>26582</v>
      </c>
      <c r="S72" t="s">
        <v>18959</v>
      </c>
      <c r="U72" t="s">
        <v>26604</v>
      </c>
      <c r="W72" t="s">
        <v>26619</v>
      </c>
      <c r="X72">
        <v>508</v>
      </c>
      <c r="Y72" t="s">
        <v>26651</v>
      </c>
      <c r="Z72" t="s">
        <v>26659</v>
      </c>
      <c r="AA72" t="s">
        <v>26683</v>
      </c>
      <c r="AB72" t="s">
        <v>26765</v>
      </c>
      <c r="AD72" t="s">
        <v>36875</v>
      </c>
      <c r="AE72">
        <v>0</v>
      </c>
      <c r="AF72" t="s">
        <v>45541</v>
      </c>
      <c r="AG72" t="s">
        <v>45559</v>
      </c>
      <c r="AH72">
        <v>25</v>
      </c>
      <c r="AI72">
        <v>1</v>
      </c>
      <c r="AJ72">
        <v>0</v>
      </c>
      <c r="AK72">
        <v>50.41</v>
      </c>
      <c r="AN72" t="s">
        <v>45581</v>
      </c>
      <c r="AO72">
        <v>6120</v>
      </c>
      <c r="AU72">
        <v>2.25</v>
      </c>
      <c r="AV72" t="s">
        <v>678</v>
      </c>
      <c r="AW72" t="s">
        <v>314</v>
      </c>
    </row>
    <row r="73" spans="1:50">
      <c r="A73" s="1">
        <f>HYPERLINK("https://lsnyc.legalserver.org/matter/dynamic-profile/view/1870912","18-1870912")</f>
        <v>0</v>
      </c>
      <c r="B73" t="s">
        <v>89</v>
      </c>
      <c r="C73" t="s">
        <v>341</v>
      </c>
      <c r="D73" t="s">
        <v>404</v>
      </c>
      <c r="E73" t="s">
        <v>687</v>
      </c>
      <c r="F73" t="s">
        <v>916</v>
      </c>
      <c r="G73" t="s">
        <v>5126</v>
      </c>
      <c r="H73" t="s">
        <v>9702</v>
      </c>
      <c r="I73" t="s">
        <v>17319</v>
      </c>
      <c r="J73" t="s">
        <v>18893</v>
      </c>
      <c r="K73">
        <v>10009</v>
      </c>
      <c r="L73" t="s">
        <v>18958</v>
      </c>
      <c r="M73" t="s">
        <v>18958</v>
      </c>
      <c r="O73" t="s">
        <v>18997</v>
      </c>
      <c r="P73" t="s">
        <v>26564</v>
      </c>
      <c r="Q73" t="s">
        <v>26570</v>
      </c>
      <c r="R73" t="s">
        <v>26582</v>
      </c>
      <c r="S73" t="s">
        <v>18959</v>
      </c>
      <c r="U73" t="s">
        <v>26605</v>
      </c>
      <c r="W73" t="s">
        <v>26619</v>
      </c>
      <c r="X73">
        <v>843.6</v>
      </c>
      <c r="Y73" t="s">
        <v>26651</v>
      </c>
      <c r="Z73" t="s">
        <v>26667</v>
      </c>
      <c r="AA73" t="s">
        <v>26683</v>
      </c>
      <c r="AB73" t="s">
        <v>26766</v>
      </c>
      <c r="AD73" t="s">
        <v>36876</v>
      </c>
      <c r="AE73">
        <v>0</v>
      </c>
      <c r="AF73" t="s">
        <v>45549</v>
      </c>
      <c r="AG73" t="s">
        <v>19330</v>
      </c>
      <c r="AH73">
        <v>21</v>
      </c>
      <c r="AI73">
        <v>1</v>
      </c>
      <c r="AJ73">
        <v>0</v>
      </c>
      <c r="AK73">
        <v>119.51</v>
      </c>
      <c r="AN73" t="s">
        <v>45581</v>
      </c>
      <c r="AO73">
        <v>14508</v>
      </c>
      <c r="AU73">
        <v>2.75</v>
      </c>
      <c r="AV73" t="s">
        <v>645</v>
      </c>
      <c r="AW73" t="s">
        <v>314</v>
      </c>
    </row>
    <row r="74" spans="1:50">
      <c r="A74" s="1">
        <f>HYPERLINK("https://lsnyc.legalserver.org/matter/dynamic-profile/view/1871043","18-1871043")</f>
        <v>0</v>
      </c>
      <c r="B74" t="s">
        <v>66</v>
      </c>
      <c r="C74" t="s">
        <v>341</v>
      </c>
      <c r="D74" t="s">
        <v>405</v>
      </c>
      <c r="E74" t="s">
        <v>706</v>
      </c>
      <c r="F74" t="s">
        <v>932</v>
      </c>
      <c r="G74" t="s">
        <v>5127</v>
      </c>
      <c r="H74" t="s">
        <v>9703</v>
      </c>
      <c r="I74" t="s">
        <v>17273</v>
      </c>
      <c r="J74" t="s">
        <v>18893</v>
      </c>
      <c r="K74">
        <v>10032</v>
      </c>
      <c r="L74" t="s">
        <v>18958</v>
      </c>
      <c r="M74" t="s">
        <v>18960</v>
      </c>
      <c r="N74" t="s">
        <v>19015</v>
      </c>
      <c r="O74" t="s">
        <v>26523</v>
      </c>
      <c r="P74" t="s">
        <v>26564</v>
      </c>
      <c r="Q74" t="s">
        <v>26570</v>
      </c>
      <c r="R74" t="s">
        <v>26582</v>
      </c>
      <c r="S74" t="s">
        <v>18959</v>
      </c>
      <c r="U74" t="s">
        <v>26604</v>
      </c>
      <c r="W74" t="s">
        <v>26619</v>
      </c>
      <c r="X74">
        <v>858</v>
      </c>
      <c r="Y74" t="s">
        <v>26651</v>
      </c>
      <c r="Z74" t="s">
        <v>26664</v>
      </c>
      <c r="AA74" t="s">
        <v>26683</v>
      </c>
      <c r="AB74" t="s">
        <v>26767</v>
      </c>
      <c r="AC74" t="s">
        <v>34499</v>
      </c>
      <c r="AD74" t="s">
        <v>36877</v>
      </c>
      <c r="AE74">
        <v>43</v>
      </c>
      <c r="AF74" t="s">
        <v>45541</v>
      </c>
      <c r="AG74" t="s">
        <v>45557</v>
      </c>
      <c r="AH74">
        <v>21</v>
      </c>
      <c r="AI74">
        <v>4</v>
      </c>
      <c r="AJ74">
        <v>1</v>
      </c>
      <c r="AK74">
        <v>19.35</v>
      </c>
      <c r="AN74" t="s">
        <v>7439</v>
      </c>
      <c r="AO74">
        <v>5694</v>
      </c>
      <c r="AU74">
        <v>1</v>
      </c>
      <c r="AV74" t="s">
        <v>706</v>
      </c>
      <c r="AW74" t="s">
        <v>314</v>
      </c>
    </row>
    <row r="75" spans="1:50">
      <c r="A75" s="1">
        <f>HYPERLINK("https://lsnyc.legalserver.org/matter/dynamic-profile/view/1871008","18-1871008")</f>
        <v>0</v>
      </c>
      <c r="B75" t="s">
        <v>66</v>
      </c>
      <c r="C75" t="s">
        <v>341</v>
      </c>
      <c r="D75" t="s">
        <v>405</v>
      </c>
      <c r="E75" t="s">
        <v>706</v>
      </c>
      <c r="F75" t="s">
        <v>933</v>
      </c>
      <c r="G75" t="s">
        <v>5128</v>
      </c>
      <c r="H75" t="s">
        <v>9704</v>
      </c>
      <c r="I75" t="s">
        <v>17320</v>
      </c>
      <c r="J75" t="s">
        <v>18893</v>
      </c>
      <c r="K75">
        <v>10009</v>
      </c>
      <c r="L75" t="s">
        <v>18958</v>
      </c>
      <c r="M75" t="s">
        <v>18958</v>
      </c>
      <c r="N75" t="s">
        <v>19016</v>
      </c>
      <c r="O75" t="s">
        <v>26524</v>
      </c>
      <c r="P75" t="s">
        <v>26564</v>
      </c>
      <c r="Q75" t="s">
        <v>26570</v>
      </c>
      <c r="R75" t="s">
        <v>26582</v>
      </c>
      <c r="S75" t="s">
        <v>18959</v>
      </c>
      <c r="U75" t="s">
        <v>26605</v>
      </c>
      <c r="V75" t="s">
        <v>26610</v>
      </c>
      <c r="W75" t="s">
        <v>26619</v>
      </c>
      <c r="X75">
        <v>660</v>
      </c>
      <c r="Y75" t="s">
        <v>26651</v>
      </c>
      <c r="Z75" t="s">
        <v>26664</v>
      </c>
      <c r="AA75" t="s">
        <v>26683</v>
      </c>
      <c r="AB75" t="s">
        <v>26768</v>
      </c>
      <c r="AD75" t="s">
        <v>36878</v>
      </c>
      <c r="AE75">
        <v>461</v>
      </c>
      <c r="AF75" t="s">
        <v>45549</v>
      </c>
      <c r="AG75" t="s">
        <v>19330</v>
      </c>
      <c r="AH75">
        <v>43</v>
      </c>
      <c r="AI75">
        <v>2</v>
      </c>
      <c r="AJ75">
        <v>0</v>
      </c>
      <c r="AK75">
        <v>151.35</v>
      </c>
      <c r="AN75" t="s">
        <v>7439</v>
      </c>
      <c r="AO75">
        <v>24912</v>
      </c>
      <c r="AU75">
        <v>3.25</v>
      </c>
      <c r="AV75" t="s">
        <v>706</v>
      </c>
      <c r="AW75" t="s">
        <v>314</v>
      </c>
    </row>
    <row r="76" spans="1:50">
      <c r="A76" s="1">
        <f>HYPERLINK("https://lsnyc.legalserver.org/matter/dynamic-profile/view/1871020","18-1871020")</f>
        <v>0</v>
      </c>
      <c r="B76" t="s">
        <v>85</v>
      </c>
      <c r="C76" t="s">
        <v>341</v>
      </c>
      <c r="D76" t="s">
        <v>405</v>
      </c>
      <c r="E76" t="s">
        <v>845</v>
      </c>
      <c r="F76" t="s">
        <v>934</v>
      </c>
      <c r="G76" t="s">
        <v>5129</v>
      </c>
      <c r="H76" t="s">
        <v>9705</v>
      </c>
      <c r="I76" t="s">
        <v>17321</v>
      </c>
      <c r="J76" t="s">
        <v>18898</v>
      </c>
      <c r="K76">
        <v>11691</v>
      </c>
      <c r="L76" t="s">
        <v>18958</v>
      </c>
      <c r="M76" t="s">
        <v>18958</v>
      </c>
      <c r="N76" t="s">
        <v>19017</v>
      </c>
      <c r="O76" t="s">
        <v>26523</v>
      </c>
      <c r="P76" t="s">
        <v>26564</v>
      </c>
      <c r="Q76" t="s">
        <v>26570</v>
      </c>
      <c r="R76" t="s">
        <v>26578</v>
      </c>
      <c r="S76" t="s">
        <v>18959</v>
      </c>
      <c r="U76" t="s">
        <v>26604</v>
      </c>
      <c r="V76" t="s">
        <v>26610</v>
      </c>
      <c r="W76" t="s">
        <v>26619</v>
      </c>
      <c r="X76">
        <v>1313</v>
      </c>
      <c r="Y76" t="s">
        <v>26653</v>
      </c>
      <c r="Z76" t="s">
        <v>26664</v>
      </c>
      <c r="AA76" t="s">
        <v>26683</v>
      </c>
      <c r="AB76" t="s">
        <v>26769</v>
      </c>
      <c r="AC76" t="s">
        <v>34500</v>
      </c>
      <c r="AD76" t="s">
        <v>36879</v>
      </c>
      <c r="AE76">
        <v>917</v>
      </c>
      <c r="AF76" t="s">
        <v>45550</v>
      </c>
      <c r="AG76" t="s">
        <v>45556</v>
      </c>
      <c r="AH76">
        <v>4</v>
      </c>
      <c r="AI76">
        <v>1</v>
      </c>
      <c r="AJ76">
        <v>0</v>
      </c>
      <c r="AK76">
        <v>82.73</v>
      </c>
      <c r="AN76" t="s">
        <v>7439</v>
      </c>
      <c r="AO76">
        <v>10044</v>
      </c>
      <c r="AU76">
        <v>0.8</v>
      </c>
      <c r="AV76" t="s">
        <v>845</v>
      </c>
      <c r="AW76" t="s">
        <v>208</v>
      </c>
    </row>
    <row r="77" spans="1:50">
      <c r="A77" s="1">
        <f>HYPERLINK("https://lsnyc.legalserver.org/matter/dynamic-profile/view/1871030","18-1871030")</f>
        <v>0</v>
      </c>
      <c r="B77" t="s">
        <v>93</v>
      </c>
      <c r="C77" t="s">
        <v>341</v>
      </c>
      <c r="D77" t="s">
        <v>405</v>
      </c>
      <c r="E77" t="s">
        <v>504</v>
      </c>
      <c r="F77" t="s">
        <v>935</v>
      </c>
      <c r="G77" t="s">
        <v>5130</v>
      </c>
      <c r="H77" t="s">
        <v>9706</v>
      </c>
      <c r="I77" t="s">
        <v>17322</v>
      </c>
      <c r="J77" t="s">
        <v>18898</v>
      </c>
      <c r="K77">
        <v>11691</v>
      </c>
      <c r="L77" t="s">
        <v>18958</v>
      </c>
      <c r="M77" t="s">
        <v>18958</v>
      </c>
      <c r="N77" t="s">
        <v>19018</v>
      </c>
      <c r="O77" t="s">
        <v>26524</v>
      </c>
      <c r="P77" t="s">
        <v>26564</v>
      </c>
      <c r="Q77" t="s">
        <v>26570</v>
      </c>
      <c r="R77" t="s">
        <v>26578</v>
      </c>
      <c r="S77" t="s">
        <v>18959</v>
      </c>
      <c r="U77" t="s">
        <v>26604</v>
      </c>
      <c r="V77" t="s">
        <v>26610</v>
      </c>
      <c r="W77" t="s">
        <v>26619</v>
      </c>
      <c r="X77">
        <v>1956</v>
      </c>
      <c r="Y77" t="s">
        <v>26653</v>
      </c>
      <c r="Z77" t="s">
        <v>26664</v>
      </c>
      <c r="AA77" t="s">
        <v>26683</v>
      </c>
      <c r="AB77" t="s">
        <v>26770</v>
      </c>
      <c r="AC77" t="s">
        <v>34501</v>
      </c>
      <c r="AD77" t="s">
        <v>36880</v>
      </c>
      <c r="AE77">
        <v>4</v>
      </c>
      <c r="AF77" t="s">
        <v>45547</v>
      </c>
      <c r="AG77" t="s">
        <v>19330</v>
      </c>
      <c r="AH77">
        <v>2</v>
      </c>
      <c r="AI77">
        <v>3</v>
      </c>
      <c r="AJ77">
        <v>2</v>
      </c>
      <c r="AK77">
        <v>30.59</v>
      </c>
      <c r="AN77" t="s">
        <v>7439</v>
      </c>
      <c r="AO77">
        <v>9000</v>
      </c>
      <c r="AU77">
        <v>2.05</v>
      </c>
      <c r="AV77" t="s">
        <v>469</v>
      </c>
      <c r="AW77" t="s">
        <v>208</v>
      </c>
    </row>
    <row r="78" spans="1:50">
      <c r="A78" s="1">
        <f>HYPERLINK("https://lsnyc.legalserver.org/matter/dynamic-profile/view/1871065","18-1871065")</f>
        <v>0</v>
      </c>
      <c r="B78" t="s">
        <v>93</v>
      </c>
      <c r="C78" t="s">
        <v>341</v>
      </c>
      <c r="D78" t="s">
        <v>405</v>
      </c>
      <c r="E78" t="s">
        <v>704</v>
      </c>
      <c r="F78" t="s">
        <v>936</v>
      </c>
      <c r="G78" t="s">
        <v>4588</v>
      </c>
      <c r="H78" t="s">
        <v>9707</v>
      </c>
      <c r="I78" t="s">
        <v>17323</v>
      </c>
      <c r="J78" t="s">
        <v>18899</v>
      </c>
      <c r="K78">
        <v>11385</v>
      </c>
      <c r="L78" t="s">
        <v>18958</v>
      </c>
      <c r="M78" t="s">
        <v>18958</v>
      </c>
      <c r="N78" t="s">
        <v>19019</v>
      </c>
      <c r="O78" t="s">
        <v>26523</v>
      </c>
      <c r="P78" t="s">
        <v>26560</v>
      </c>
      <c r="Q78" t="s">
        <v>26568</v>
      </c>
      <c r="R78" t="s">
        <v>26585</v>
      </c>
      <c r="S78" t="s">
        <v>18959</v>
      </c>
      <c r="U78" t="s">
        <v>26604</v>
      </c>
      <c r="V78" t="s">
        <v>26612</v>
      </c>
      <c r="W78" t="s">
        <v>26619</v>
      </c>
      <c r="X78">
        <v>1396</v>
      </c>
      <c r="Y78" t="s">
        <v>26653</v>
      </c>
      <c r="Z78" t="s">
        <v>26664</v>
      </c>
      <c r="AA78" t="s">
        <v>26678</v>
      </c>
      <c r="AB78" t="s">
        <v>26771</v>
      </c>
      <c r="AC78" t="s">
        <v>34502</v>
      </c>
      <c r="AD78" t="s">
        <v>36881</v>
      </c>
      <c r="AE78">
        <v>39</v>
      </c>
      <c r="AF78" t="s">
        <v>45541</v>
      </c>
      <c r="AG78" t="s">
        <v>45556</v>
      </c>
      <c r="AH78">
        <v>1</v>
      </c>
      <c r="AI78">
        <v>2</v>
      </c>
      <c r="AJ78">
        <v>0</v>
      </c>
      <c r="AK78">
        <v>58.32</v>
      </c>
      <c r="AO78">
        <v>9600</v>
      </c>
      <c r="AQ78" t="s">
        <v>46365</v>
      </c>
      <c r="AR78" t="s">
        <v>46387</v>
      </c>
      <c r="AS78" t="s">
        <v>46499</v>
      </c>
      <c r="AT78" t="s">
        <v>46526</v>
      </c>
      <c r="AU78">
        <v>20.05</v>
      </c>
      <c r="AV78" t="s">
        <v>704</v>
      </c>
      <c r="AW78" t="s">
        <v>122</v>
      </c>
    </row>
    <row r="79" spans="1:50">
      <c r="A79" s="1">
        <f>HYPERLINK("https://lsnyc.legalserver.org/matter/dynamic-profile/view/1871623","18-1871623")</f>
        <v>0</v>
      </c>
      <c r="B79" t="s">
        <v>69</v>
      </c>
      <c r="C79" t="s">
        <v>341</v>
      </c>
      <c r="D79" t="s">
        <v>405</v>
      </c>
      <c r="E79" t="s">
        <v>835</v>
      </c>
      <c r="F79" t="s">
        <v>916</v>
      </c>
      <c r="G79" t="s">
        <v>5131</v>
      </c>
      <c r="H79" t="s">
        <v>9708</v>
      </c>
      <c r="I79" t="s">
        <v>17324</v>
      </c>
      <c r="J79" t="s">
        <v>18892</v>
      </c>
      <c r="K79">
        <v>10467</v>
      </c>
      <c r="L79" t="s">
        <v>18958</v>
      </c>
      <c r="M79" t="s">
        <v>18958</v>
      </c>
      <c r="N79" t="s">
        <v>19020</v>
      </c>
      <c r="O79" t="s">
        <v>26523</v>
      </c>
      <c r="P79" t="s">
        <v>26560</v>
      </c>
      <c r="Q79" t="s">
        <v>26568</v>
      </c>
      <c r="R79" t="s">
        <v>26579</v>
      </c>
      <c r="U79" t="s">
        <v>26604</v>
      </c>
      <c r="V79" t="s">
        <v>26610</v>
      </c>
      <c r="W79" t="s">
        <v>26619</v>
      </c>
      <c r="X79">
        <v>1350</v>
      </c>
      <c r="Y79" t="s">
        <v>26650</v>
      </c>
      <c r="Z79" t="s">
        <v>26662</v>
      </c>
      <c r="AA79" t="s">
        <v>26678</v>
      </c>
      <c r="AB79" t="s">
        <v>26772</v>
      </c>
      <c r="AC79" t="s">
        <v>34503</v>
      </c>
      <c r="AD79" t="s">
        <v>36882</v>
      </c>
      <c r="AE79">
        <v>0</v>
      </c>
      <c r="AG79" t="s">
        <v>45557</v>
      </c>
      <c r="AH79">
        <v>5</v>
      </c>
      <c r="AI79">
        <v>1</v>
      </c>
      <c r="AJ79">
        <v>4</v>
      </c>
      <c r="AK79">
        <v>37.12</v>
      </c>
      <c r="AO79">
        <v>10920</v>
      </c>
      <c r="AP79" t="s">
        <v>45621</v>
      </c>
      <c r="AS79" t="s">
        <v>46499</v>
      </c>
      <c r="AU79">
        <v>29.75</v>
      </c>
      <c r="AV79" t="s">
        <v>793</v>
      </c>
      <c r="AW79" t="s">
        <v>46848</v>
      </c>
    </row>
    <row r="80" spans="1:50">
      <c r="A80" s="1">
        <f>HYPERLINK("https://lsnyc.legalserver.org/matter/dynamic-profile/view/1871001","18-1871001")</f>
        <v>0</v>
      </c>
      <c r="B80" t="s">
        <v>94</v>
      </c>
      <c r="C80" t="s">
        <v>340</v>
      </c>
      <c r="D80" t="s">
        <v>405</v>
      </c>
      <c r="F80" t="s">
        <v>937</v>
      </c>
      <c r="G80" t="s">
        <v>5100</v>
      </c>
      <c r="H80" t="s">
        <v>9709</v>
      </c>
      <c r="I80" t="s">
        <v>17325</v>
      </c>
      <c r="J80" t="s">
        <v>18893</v>
      </c>
      <c r="K80">
        <v>10002</v>
      </c>
      <c r="L80" t="s">
        <v>18958</v>
      </c>
      <c r="M80" t="s">
        <v>18960</v>
      </c>
      <c r="N80" t="s">
        <v>19021</v>
      </c>
      <c r="O80" t="s">
        <v>26524</v>
      </c>
      <c r="P80" t="s">
        <v>26560</v>
      </c>
      <c r="R80" t="s">
        <v>26582</v>
      </c>
      <c r="S80" t="s">
        <v>18959</v>
      </c>
      <c r="U80" t="s">
        <v>26605</v>
      </c>
      <c r="W80" t="s">
        <v>26619</v>
      </c>
      <c r="X80">
        <v>203</v>
      </c>
      <c r="Y80" t="s">
        <v>26651</v>
      </c>
      <c r="Z80" t="s">
        <v>26664</v>
      </c>
      <c r="AB80" t="s">
        <v>26773</v>
      </c>
      <c r="AC80" t="s">
        <v>34504</v>
      </c>
      <c r="AD80" t="s">
        <v>36883</v>
      </c>
      <c r="AE80">
        <v>0</v>
      </c>
      <c r="AF80" t="s">
        <v>45549</v>
      </c>
      <c r="AG80" t="s">
        <v>19330</v>
      </c>
      <c r="AH80">
        <v>1</v>
      </c>
      <c r="AI80">
        <v>1</v>
      </c>
      <c r="AJ80">
        <v>4</v>
      </c>
      <c r="AK80">
        <v>30.59</v>
      </c>
      <c r="AN80" t="s">
        <v>7439</v>
      </c>
      <c r="AO80">
        <v>9000</v>
      </c>
      <c r="AU80">
        <v>23.2</v>
      </c>
      <c r="AV80" t="s">
        <v>811</v>
      </c>
      <c r="AW80" t="s">
        <v>314</v>
      </c>
      <c r="AX80" t="s">
        <v>46898</v>
      </c>
    </row>
    <row r="81" spans="1:49">
      <c r="A81" s="1">
        <f>HYPERLINK("https://lsnyc.legalserver.org/matter/dynamic-profile/view/1871201","18-1871201")</f>
        <v>0</v>
      </c>
      <c r="B81" t="s">
        <v>88</v>
      </c>
      <c r="C81" t="s">
        <v>341</v>
      </c>
      <c r="D81" t="s">
        <v>406</v>
      </c>
      <c r="E81" t="s">
        <v>782</v>
      </c>
      <c r="F81" t="s">
        <v>938</v>
      </c>
      <c r="G81" t="s">
        <v>5132</v>
      </c>
      <c r="H81" t="s">
        <v>9710</v>
      </c>
      <c r="I81" t="s">
        <v>17326</v>
      </c>
      <c r="J81" t="s">
        <v>18894</v>
      </c>
      <c r="K81">
        <v>11212</v>
      </c>
      <c r="L81" t="s">
        <v>18958</v>
      </c>
      <c r="M81" t="s">
        <v>18959</v>
      </c>
      <c r="O81" t="s">
        <v>26527</v>
      </c>
      <c r="P81" t="s">
        <v>26565</v>
      </c>
      <c r="Q81" t="s">
        <v>26571</v>
      </c>
      <c r="R81" t="s">
        <v>26578</v>
      </c>
      <c r="S81" t="s">
        <v>18958</v>
      </c>
      <c r="U81" t="s">
        <v>26604</v>
      </c>
      <c r="V81" t="s">
        <v>26610</v>
      </c>
      <c r="W81" t="s">
        <v>26619</v>
      </c>
      <c r="X81">
        <v>920.21</v>
      </c>
      <c r="Y81" t="s">
        <v>26652</v>
      </c>
      <c r="Z81" t="s">
        <v>26655</v>
      </c>
      <c r="AA81" t="s">
        <v>26684</v>
      </c>
      <c r="AB81" t="s">
        <v>26774</v>
      </c>
      <c r="AD81" t="s">
        <v>36884</v>
      </c>
      <c r="AE81">
        <v>32</v>
      </c>
      <c r="AF81" t="s">
        <v>45541</v>
      </c>
      <c r="AH81">
        <v>18</v>
      </c>
      <c r="AI81">
        <v>1</v>
      </c>
      <c r="AJ81">
        <v>0</v>
      </c>
      <c r="AK81">
        <v>197.69</v>
      </c>
      <c r="AN81" t="s">
        <v>7439</v>
      </c>
      <c r="AO81">
        <v>24000</v>
      </c>
      <c r="AU81">
        <v>0.08</v>
      </c>
      <c r="AV81" t="s">
        <v>573</v>
      </c>
      <c r="AW81" t="s">
        <v>46851</v>
      </c>
    </row>
    <row r="82" spans="1:49">
      <c r="A82" s="1">
        <f>HYPERLINK("https://lsnyc.legalserver.org/matter/dynamic-profile/view/1871213","18-1871213")</f>
        <v>0</v>
      </c>
      <c r="B82" t="s">
        <v>80</v>
      </c>
      <c r="C82" t="s">
        <v>341</v>
      </c>
      <c r="D82" t="s">
        <v>407</v>
      </c>
      <c r="E82" t="s">
        <v>410</v>
      </c>
      <c r="F82" t="s">
        <v>939</v>
      </c>
      <c r="G82" t="s">
        <v>3283</v>
      </c>
      <c r="H82" t="s">
        <v>9711</v>
      </c>
      <c r="I82" t="s">
        <v>17327</v>
      </c>
      <c r="J82" t="s">
        <v>18893</v>
      </c>
      <c r="K82">
        <v>10027</v>
      </c>
      <c r="L82" t="s">
        <v>18958</v>
      </c>
      <c r="M82" t="s">
        <v>18958</v>
      </c>
      <c r="N82">
        <v>10193753</v>
      </c>
      <c r="O82" t="s">
        <v>26532</v>
      </c>
      <c r="P82" t="s">
        <v>26565</v>
      </c>
      <c r="Q82" t="s">
        <v>26571</v>
      </c>
      <c r="R82" t="s">
        <v>26582</v>
      </c>
      <c r="S82" t="s">
        <v>18959</v>
      </c>
      <c r="U82" t="s">
        <v>26606</v>
      </c>
      <c r="W82" t="s">
        <v>26619</v>
      </c>
      <c r="X82">
        <v>210</v>
      </c>
      <c r="Y82" t="s">
        <v>26651</v>
      </c>
      <c r="Z82" t="s">
        <v>26659</v>
      </c>
      <c r="AA82" t="s">
        <v>26683</v>
      </c>
      <c r="AB82" t="s">
        <v>26775</v>
      </c>
      <c r="AD82" t="s">
        <v>36885</v>
      </c>
      <c r="AE82">
        <v>104</v>
      </c>
      <c r="AF82" t="s">
        <v>45543</v>
      </c>
      <c r="AG82" t="s">
        <v>45556</v>
      </c>
      <c r="AH82">
        <v>18</v>
      </c>
      <c r="AI82">
        <v>1</v>
      </c>
      <c r="AJ82">
        <v>0</v>
      </c>
      <c r="AK82">
        <v>84.31999999999999</v>
      </c>
      <c r="AN82" t="s">
        <v>7439</v>
      </c>
      <c r="AO82">
        <v>10236</v>
      </c>
      <c r="AU82">
        <v>1</v>
      </c>
      <c r="AV82" t="s">
        <v>408</v>
      </c>
      <c r="AW82" t="s">
        <v>314</v>
      </c>
    </row>
    <row r="83" spans="1:49">
      <c r="A83" s="1">
        <f>HYPERLINK("https://lsnyc.legalserver.org/matter/dynamic-profile/view/1871216","18-1871216")</f>
        <v>0</v>
      </c>
      <c r="B83" t="s">
        <v>80</v>
      </c>
      <c r="C83" t="s">
        <v>341</v>
      </c>
      <c r="D83" t="s">
        <v>407</v>
      </c>
      <c r="E83" t="s">
        <v>447</v>
      </c>
      <c r="F83" t="s">
        <v>940</v>
      </c>
      <c r="G83" t="s">
        <v>2504</v>
      </c>
      <c r="H83" t="s">
        <v>9712</v>
      </c>
      <c r="I83" t="s">
        <v>17293</v>
      </c>
      <c r="J83" t="s">
        <v>18893</v>
      </c>
      <c r="K83">
        <v>10032</v>
      </c>
      <c r="L83" t="s">
        <v>18958</v>
      </c>
      <c r="M83" t="s">
        <v>18958</v>
      </c>
      <c r="N83" t="s">
        <v>19022</v>
      </c>
      <c r="O83" t="s">
        <v>26523</v>
      </c>
      <c r="P83" t="s">
        <v>26564</v>
      </c>
      <c r="Q83" t="s">
        <v>26570</v>
      </c>
      <c r="R83" t="s">
        <v>26582</v>
      </c>
      <c r="S83" t="s">
        <v>18959</v>
      </c>
      <c r="U83" t="s">
        <v>26604</v>
      </c>
      <c r="W83" t="s">
        <v>26619</v>
      </c>
      <c r="X83">
        <v>918</v>
      </c>
      <c r="Y83" t="s">
        <v>26651</v>
      </c>
      <c r="Z83" t="s">
        <v>26661</v>
      </c>
      <c r="AA83" t="s">
        <v>26683</v>
      </c>
      <c r="AB83" t="s">
        <v>26776</v>
      </c>
      <c r="AC83" t="s">
        <v>34505</v>
      </c>
      <c r="AD83" t="s">
        <v>36886</v>
      </c>
      <c r="AE83">
        <v>21</v>
      </c>
      <c r="AF83" t="s">
        <v>45544</v>
      </c>
      <c r="AG83" t="s">
        <v>26530</v>
      </c>
      <c r="AH83">
        <v>20</v>
      </c>
      <c r="AI83">
        <v>3</v>
      </c>
      <c r="AJ83">
        <v>0</v>
      </c>
      <c r="AK83">
        <v>101.06</v>
      </c>
      <c r="AN83" t="s">
        <v>45581</v>
      </c>
      <c r="AO83">
        <v>21000</v>
      </c>
      <c r="AU83">
        <v>0.1</v>
      </c>
      <c r="AV83" t="s">
        <v>410</v>
      </c>
      <c r="AW83" t="s">
        <v>46845</v>
      </c>
    </row>
    <row r="84" spans="1:49">
      <c r="A84" s="1">
        <f>HYPERLINK("https://lsnyc.legalserver.org/matter/dynamic-profile/view/1871233","18-1871233")</f>
        <v>0</v>
      </c>
      <c r="B84" t="s">
        <v>80</v>
      </c>
      <c r="C84" t="s">
        <v>341</v>
      </c>
      <c r="D84" t="s">
        <v>407</v>
      </c>
      <c r="E84" t="s">
        <v>410</v>
      </c>
      <c r="F84" t="s">
        <v>941</v>
      </c>
      <c r="G84" t="s">
        <v>5133</v>
      </c>
      <c r="H84" t="s">
        <v>9713</v>
      </c>
      <c r="I84">
        <v>25</v>
      </c>
      <c r="J84" t="s">
        <v>18893</v>
      </c>
      <c r="K84">
        <v>10031</v>
      </c>
      <c r="L84" t="s">
        <v>18958</v>
      </c>
      <c r="M84" t="s">
        <v>18958</v>
      </c>
      <c r="N84" t="s">
        <v>19023</v>
      </c>
      <c r="O84" t="s">
        <v>26524</v>
      </c>
      <c r="P84" t="s">
        <v>26564</v>
      </c>
      <c r="Q84" t="s">
        <v>26570</v>
      </c>
      <c r="R84" t="s">
        <v>26580</v>
      </c>
      <c r="S84" t="s">
        <v>18959</v>
      </c>
      <c r="U84" t="s">
        <v>26604</v>
      </c>
      <c r="V84" t="s">
        <v>26610</v>
      </c>
      <c r="W84" t="s">
        <v>26619</v>
      </c>
      <c r="X84">
        <v>882.55</v>
      </c>
      <c r="Y84" t="s">
        <v>26651</v>
      </c>
      <c r="Z84" t="s">
        <v>26661</v>
      </c>
      <c r="AA84" t="s">
        <v>26683</v>
      </c>
      <c r="AB84" t="s">
        <v>26777</v>
      </c>
      <c r="AC84" t="s">
        <v>34506</v>
      </c>
      <c r="AD84" t="s">
        <v>36887</v>
      </c>
      <c r="AE84">
        <v>49</v>
      </c>
      <c r="AF84" t="s">
        <v>45548</v>
      </c>
      <c r="AG84" t="s">
        <v>19330</v>
      </c>
      <c r="AH84">
        <v>62</v>
      </c>
      <c r="AI84">
        <v>2</v>
      </c>
      <c r="AJ84">
        <v>0</v>
      </c>
      <c r="AK84">
        <v>196.84</v>
      </c>
      <c r="AN84" t="s">
        <v>7439</v>
      </c>
      <c r="AO84">
        <v>32400</v>
      </c>
      <c r="AU84">
        <v>0.5</v>
      </c>
      <c r="AV84" t="s">
        <v>410</v>
      </c>
      <c r="AW84" t="s">
        <v>46845</v>
      </c>
    </row>
    <row r="85" spans="1:49">
      <c r="A85" s="1">
        <f>HYPERLINK("https://lsnyc.legalserver.org/matter/dynamic-profile/view/1872436","18-1872436")</f>
        <v>0</v>
      </c>
      <c r="B85" t="s">
        <v>93</v>
      </c>
      <c r="C85" t="s">
        <v>341</v>
      </c>
      <c r="D85" t="s">
        <v>408</v>
      </c>
      <c r="E85" t="s">
        <v>573</v>
      </c>
      <c r="F85" t="s">
        <v>942</v>
      </c>
      <c r="G85" t="s">
        <v>5134</v>
      </c>
      <c r="H85" t="s">
        <v>9714</v>
      </c>
      <c r="I85" t="s">
        <v>17328</v>
      </c>
      <c r="J85" t="s">
        <v>7026</v>
      </c>
      <c r="K85">
        <v>11368</v>
      </c>
      <c r="L85" t="s">
        <v>18958</v>
      </c>
      <c r="M85" t="s">
        <v>18958</v>
      </c>
      <c r="N85" t="s">
        <v>19024</v>
      </c>
      <c r="O85" t="s">
        <v>26524</v>
      </c>
      <c r="P85" t="s">
        <v>26564</v>
      </c>
      <c r="Q85" t="s">
        <v>26570</v>
      </c>
      <c r="R85" t="s">
        <v>26584</v>
      </c>
      <c r="S85" t="s">
        <v>18959</v>
      </c>
      <c r="U85" t="s">
        <v>26604</v>
      </c>
      <c r="V85" t="s">
        <v>26609</v>
      </c>
      <c r="W85" t="s">
        <v>26619</v>
      </c>
      <c r="X85">
        <v>1200</v>
      </c>
      <c r="Y85" t="s">
        <v>26653</v>
      </c>
      <c r="Z85" t="s">
        <v>26664</v>
      </c>
      <c r="AA85" t="s">
        <v>26683</v>
      </c>
      <c r="AB85" t="s">
        <v>26778</v>
      </c>
      <c r="AC85" t="s">
        <v>34507</v>
      </c>
      <c r="AD85" t="s">
        <v>36888</v>
      </c>
      <c r="AE85">
        <v>2</v>
      </c>
      <c r="AF85" t="s">
        <v>45541</v>
      </c>
      <c r="AG85" t="s">
        <v>19330</v>
      </c>
      <c r="AH85">
        <v>2</v>
      </c>
      <c r="AI85">
        <v>2</v>
      </c>
      <c r="AJ85">
        <v>0</v>
      </c>
      <c r="AK85">
        <v>99.51000000000001</v>
      </c>
      <c r="AM85" t="s">
        <v>45576</v>
      </c>
      <c r="AN85" t="s">
        <v>7439</v>
      </c>
      <c r="AO85">
        <v>16380</v>
      </c>
      <c r="AU85">
        <v>1.25</v>
      </c>
      <c r="AV85" t="s">
        <v>415</v>
      </c>
      <c r="AW85" t="s">
        <v>208</v>
      </c>
    </row>
    <row r="86" spans="1:49">
      <c r="A86" s="1">
        <f>HYPERLINK("https://lsnyc.legalserver.org/matter/dynamic-profile/view/1873526","18-1873526")</f>
        <v>0</v>
      </c>
      <c r="B86" t="s">
        <v>93</v>
      </c>
      <c r="C86" t="s">
        <v>341</v>
      </c>
      <c r="D86" t="s">
        <v>409</v>
      </c>
      <c r="E86" t="s">
        <v>494</v>
      </c>
      <c r="F86" t="s">
        <v>943</v>
      </c>
      <c r="G86" t="s">
        <v>1876</v>
      </c>
      <c r="H86" t="s">
        <v>9715</v>
      </c>
      <c r="I86" t="s">
        <v>17306</v>
      </c>
      <c r="J86" t="s">
        <v>18900</v>
      </c>
      <c r="K86">
        <v>11354</v>
      </c>
      <c r="L86" t="s">
        <v>18958</v>
      </c>
      <c r="M86" t="s">
        <v>18958</v>
      </c>
      <c r="N86" t="s">
        <v>19025</v>
      </c>
      <c r="O86" t="s">
        <v>26533</v>
      </c>
      <c r="P86" t="s">
        <v>26560</v>
      </c>
      <c r="Q86" t="s">
        <v>26568</v>
      </c>
      <c r="R86" t="s">
        <v>26584</v>
      </c>
      <c r="S86" t="s">
        <v>18959</v>
      </c>
      <c r="U86" t="s">
        <v>26604</v>
      </c>
      <c r="V86" t="s">
        <v>26610</v>
      </c>
      <c r="W86" t="s">
        <v>26619</v>
      </c>
      <c r="X86">
        <v>1079.57</v>
      </c>
      <c r="Y86" t="s">
        <v>26653</v>
      </c>
      <c r="Z86" t="s">
        <v>26659</v>
      </c>
      <c r="AA86" t="s">
        <v>26678</v>
      </c>
      <c r="AB86" t="s">
        <v>26779</v>
      </c>
      <c r="AC86" t="s">
        <v>19045</v>
      </c>
      <c r="AD86" t="s">
        <v>36889</v>
      </c>
      <c r="AE86">
        <v>10</v>
      </c>
      <c r="AF86" t="s">
        <v>45541</v>
      </c>
      <c r="AG86" t="s">
        <v>45556</v>
      </c>
      <c r="AH86">
        <v>30</v>
      </c>
      <c r="AI86">
        <v>1</v>
      </c>
      <c r="AJ86">
        <v>0</v>
      </c>
      <c r="AK86">
        <v>29.65</v>
      </c>
      <c r="AN86" t="s">
        <v>45583</v>
      </c>
      <c r="AO86">
        <v>3599.4</v>
      </c>
      <c r="AS86" t="s">
        <v>46499</v>
      </c>
      <c r="AT86" t="s">
        <v>46527</v>
      </c>
      <c r="AU86">
        <v>11.75</v>
      </c>
      <c r="AV86" t="s">
        <v>704</v>
      </c>
      <c r="AW86" t="s">
        <v>93</v>
      </c>
    </row>
    <row r="87" spans="1:49">
      <c r="A87" s="1">
        <f>HYPERLINK("https://lsnyc.legalserver.org/matter/dynamic-profile/view/1873569","18-1873569")</f>
        <v>0</v>
      </c>
      <c r="B87" t="s">
        <v>93</v>
      </c>
      <c r="C87" t="s">
        <v>341</v>
      </c>
      <c r="D87" t="s">
        <v>410</v>
      </c>
      <c r="E87" t="s">
        <v>494</v>
      </c>
      <c r="F87" t="s">
        <v>944</v>
      </c>
      <c r="G87" t="s">
        <v>5135</v>
      </c>
      <c r="H87" t="s">
        <v>9716</v>
      </c>
      <c r="I87" t="s">
        <v>17329</v>
      </c>
      <c r="J87" t="s">
        <v>18901</v>
      </c>
      <c r="K87">
        <v>11432</v>
      </c>
      <c r="L87" t="s">
        <v>18958</v>
      </c>
      <c r="M87" t="s">
        <v>18958</v>
      </c>
      <c r="N87" t="s">
        <v>19026</v>
      </c>
      <c r="O87" t="s">
        <v>26523</v>
      </c>
      <c r="P87" t="s">
        <v>26560</v>
      </c>
      <c r="Q87" t="s">
        <v>26568</v>
      </c>
      <c r="R87" t="s">
        <v>26584</v>
      </c>
      <c r="S87" t="s">
        <v>18959</v>
      </c>
      <c r="U87" t="s">
        <v>26604</v>
      </c>
      <c r="V87" t="s">
        <v>26613</v>
      </c>
      <c r="W87" t="s">
        <v>26619</v>
      </c>
      <c r="X87">
        <v>1659</v>
      </c>
      <c r="Y87" t="s">
        <v>26653</v>
      </c>
      <c r="Z87" t="s">
        <v>26656</v>
      </c>
      <c r="AA87" t="s">
        <v>26681</v>
      </c>
      <c r="AB87" t="s">
        <v>26780</v>
      </c>
      <c r="AE87">
        <v>110</v>
      </c>
      <c r="AF87" t="s">
        <v>45541</v>
      </c>
      <c r="AG87" t="s">
        <v>19330</v>
      </c>
      <c r="AH87">
        <v>3</v>
      </c>
      <c r="AI87">
        <v>1</v>
      </c>
      <c r="AJ87">
        <v>1</v>
      </c>
      <c r="AK87">
        <v>303.77</v>
      </c>
      <c r="AL87" t="s">
        <v>800</v>
      </c>
      <c r="AM87" t="s">
        <v>45575</v>
      </c>
      <c r="AN87" t="s">
        <v>7439</v>
      </c>
      <c r="AO87">
        <v>50000</v>
      </c>
      <c r="AU87">
        <v>32.3</v>
      </c>
      <c r="AV87" t="s">
        <v>667</v>
      </c>
      <c r="AW87" t="s">
        <v>93</v>
      </c>
    </row>
    <row r="88" spans="1:49">
      <c r="A88" s="1">
        <f>HYPERLINK("https://lsnyc.legalserver.org/matter/dynamic-profile/view/1879620","18-1879620")</f>
        <v>0</v>
      </c>
      <c r="B88" t="s">
        <v>92</v>
      </c>
      <c r="C88" t="s">
        <v>341</v>
      </c>
      <c r="D88" t="s">
        <v>411</v>
      </c>
      <c r="E88" t="s">
        <v>678</v>
      </c>
      <c r="F88" t="s">
        <v>945</v>
      </c>
      <c r="G88" t="s">
        <v>5136</v>
      </c>
      <c r="H88" t="s">
        <v>9717</v>
      </c>
      <c r="I88" t="s">
        <v>17330</v>
      </c>
      <c r="J88" t="s">
        <v>18894</v>
      </c>
      <c r="K88">
        <v>11207</v>
      </c>
      <c r="L88" t="s">
        <v>18959</v>
      </c>
      <c r="M88" t="s">
        <v>18959</v>
      </c>
      <c r="N88" t="s">
        <v>18997</v>
      </c>
      <c r="O88" t="s">
        <v>26534</v>
      </c>
      <c r="P88" t="s">
        <v>26561</v>
      </c>
      <c r="Q88" t="s">
        <v>26572</v>
      </c>
      <c r="R88" t="s">
        <v>26578</v>
      </c>
      <c r="S88" t="s">
        <v>18958</v>
      </c>
      <c r="U88" t="s">
        <v>26604</v>
      </c>
      <c r="V88" t="s">
        <v>26610</v>
      </c>
      <c r="W88" t="s">
        <v>26619</v>
      </c>
      <c r="X88">
        <v>1000</v>
      </c>
      <c r="Y88" t="s">
        <v>26652</v>
      </c>
      <c r="Z88" t="s">
        <v>26659</v>
      </c>
      <c r="AA88" t="s">
        <v>26682</v>
      </c>
      <c r="AB88" t="s">
        <v>26781</v>
      </c>
      <c r="AC88" t="s">
        <v>34508</v>
      </c>
      <c r="AD88" t="s">
        <v>36890</v>
      </c>
      <c r="AE88">
        <v>6</v>
      </c>
      <c r="AF88" t="s">
        <v>45541</v>
      </c>
      <c r="AG88" t="s">
        <v>19330</v>
      </c>
      <c r="AH88">
        <v>4</v>
      </c>
      <c r="AI88">
        <v>1</v>
      </c>
      <c r="AJ88">
        <v>3</v>
      </c>
      <c r="AK88">
        <v>82.87</v>
      </c>
      <c r="AN88" t="s">
        <v>7439</v>
      </c>
      <c r="AO88">
        <v>20800</v>
      </c>
      <c r="AU88">
        <v>0.25</v>
      </c>
      <c r="AV88" t="s">
        <v>678</v>
      </c>
      <c r="AW88" t="s">
        <v>279</v>
      </c>
    </row>
    <row r="89" spans="1:49">
      <c r="A89" s="1">
        <f>HYPERLINK("https://lsnyc.legalserver.org/matter/dynamic-profile/view/1879615","18-1879615")</f>
        <v>0</v>
      </c>
      <c r="B89" t="s">
        <v>78</v>
      </c>
      <c r="C89" t="s">
        <v>340</v>
      </c>
      <c r="D89" t="s">
        <v>411</v>
      </c>
      <c r="F89" t="s">
        <v>945</v>
      </c>
      <c r="G89" t="s">
        <v>5136</v>
      </c>
      <c r="H89" t="s">
        <v>9717</v>
      </c>
      <c r="I89" t="s">
        <v>17330</v>
      </c>
      <c r="J89" t="s">
        <v>18894</v>
      </c>
      <c r="K89">
        <v>11207</v>
      </c>
      <c r="L89" t="s">
        <v>18959</v>
      </c>
      <c r="M89" t="s">
        <v>18959</v>
      </c>
      <c r="N89" t="s">
        <v>18997</v>
      </c>
      <c r="O89" t="s">
        <v>26531</v>
      </c>
      <c r="P89" t="s">
        <v>26562</v>
      </c>
      <c r="R89" t="s">
        <v>26578</v>
      </c>
      <c r="S89" t="s">
        <v>18958</v>
      </c>
      <c r="U89" t="s">
        <v>26604</v>
      </c>
      <c r="V89" t="s">
        <v>26610</v>
      </c>
      <c r="W89" t="s">
        <v>26619</v>
      </c>
      <c r="X89">
        <v>1000</v>
      </c>
      <c r="Y89" t="s">
        <v>26652</v>
      </c>
      <c r="Z89" t="s">
        <v>26659</v>
      </c>
      <c r="AB89" t="s">
        <v>26781</v>
      </c>
      <c r="AC89" t="s">
        <v>34508</v>
      </c>
      <c r="AD89" t="s">
        <v>36890</v>
      </c>
      <c r="AE89">
        <v>6</v>
      </c>
      <c r="AF89" t="s">
        <v>45541</v>
      </c>
      <c r="AG89" t="s">
        <v>19330</v>
      </c>
      <c r="AH89">
        <v>4</v>
      </c>
      <c r="AI89">
        <v>1</v>
      </c>
      <c r="AJ89">
        <v>3</v>
      </c>
      <c r="AK89">
        <v>82.87</v>
      </c>
      <c r="AN89" t="s">
        <v>7439</v>
      </c>
      <c r="AO89">
        <v>20800</v>
      </c>
      <c r="AU89">
        <v>0</v>
      </c>
      <c r="AW89" t="s">
        <v>279</v>
      </c>
    </row>
    <row r="90" spans="1:49">
      <c r="A90" s="1">
        <f>HYPERLINK("https://lsnyc.legalserver.org/matter/dynamic-profile/view/1879665","18-1879665")</f>
        <v>0</v>
      </c>
      <c r="B90" t="s">
        <v>78</v>
      </c>
      <c r="C90" t="s">
        <v>340</v>
      </c>
      <c r="D90" t="s">
        <v>411</v>
      </c>
      <c r="F90" t="s">
        <v>919</v>
      </c>
      <c r="G90" t="s">
        <v>5137</v>
      </c>
      <c r="H90" t="s">
        <v>9717</v>
      </c>
      <c r="I90" t="s">
        <v>17331</v>
      </c>
      <c r="J90" t="s">
        <v>18894</v>
      </c>
      <c r="K90">
        <v>11207</v>
      </c>
      <c r="L90" t="s">
        <v>18959</v>
      </c>
      <c r="M90" t="s">
        <v>18959</v>
      </c>
      <c r="O90" t="s">
        <v>26534</v>
      </c>
      <c r="P90" t="s">
        <v>26561</v>
      </c>
      <c r="R90" t="s">
        <v>26578</v>
      </c>
      <c r="S90" t="s">
        <v>18958</v>
      </c>
      <c r="U90" t="s">
        <v>26604</v>
      </c>
      <c r="V90" t="s">
        <v>26610</v>
      </c>
      <c r="W90" t="s">
        <v>26619</v>
      </c>
      <c r="X90">
        <v>1000</v>
      </c>
      <c r="Y90" t="s">
        <v>26652</v>
      </c>
      <c r="Z90" t="s">
        <v>26659</v>
      </c>
      <c r="AA90" t="s">
        <v>26682</v>
      </c>
      <c r="AB90" t="s">
        <v>26782</v>
      </c>
      <c r="AC90" t="s">
        <v>19330</v>
      </c>
      <c r="AE90">
        <v>6</v>
      </c>
      <c r="AF90" t="s">
        <v>45541</v>
      </c>
      <c r="AG90" t="s">
        <v>19330</v>
      </c>
      <c r="AH90">
        <v>3</v>
      </c>
      <c r="AI90">
        <v>1</v>
      </c>
      <c r="AJ90">
        <v>0</v>
      </c>
      <c r="AK90">
        <v>494.23</v>
      </c>
      <c r="AN90" t="s">
        <v>7439</v>
      </c>
      <c r="AO90">
        <v>60000</v>
      </c>
      <c r="AU90">
        <v>0.5</v>
      </c>
      <c r="AV90" t="s">
        <v>670</v>
      </c>
      <c r="AW90" t="s">
        <v>279</v>
      </c>
    </row>
    <row r="91" spans="1:49">
      <c r="A91" s="1">
        <f>HYPERLINK("https://lsnyc.legalserver.org/matter/dynamic-profile/view/1879662","18-1879662")</f>
        <v>0</v>
      </c>
      <c r="B91" t="s">
        <v>78</v>
      </c>
      <c r="C91" t="s">
        <v>340</v>
      </c>
      <c r="D91" t="s">
        <v>411</v>
      </c>
      <c r="F91" t="s">
        <v>919</v>
      </c>
      <c r="G91" t="s">
        <v>5137</v>
      </c>
      <c r="H91" t="s">
        <v>9717</v>
      </c>
      <c r="I91" t="s">
        <v>17331</v>
      </c>
      <c r="J91" t="s">
        <v>18894</v>
      </c>
      <c r="K91">
        <v>11207</v>
      </c>
      <c r="L91" t="s">
        <v>18959</v>
      </c>
      <c r="M91" t="s">
        <v>18959</v>
      </c>
      <c r="O91" t="s">
        <v>18997</v>
      </c>
      <c r="P91" t="s">
        <v>26562</v>
      </c>
      <c r="R91" t="s">
        <v>26578</v>
      </c>
      <c r="S91" t="s">
        <v>18958</v>
      </c>
      <c r="U91" t="s">
        <v>26604</v>
      </c>
      <c r="V91" t="s">
        <v>26610</v>
      </c>
      <c r="W91" t="s">
        <v>26619</v>
      </c>
      <c r="X91">
        <v>1000</v>
      </c>
      <c r="Y91" t="s">
        <v>26652</v>
      </c>
      <c r="Z91" t="s">
        <v>26659</v>
      </c>
      <c r="AB91" t="s">
        <v>26782</v>
      </c>
      <c r="AE91">
        <v>6</v>
      </c>
      <c r="AF91" t="s">
        <v>45541</v>
      </c>
      <c r="AG91" t="s">
        <v>19330</v>
      </c>
      <c r="AH91">
        <v>3</v>
      </c>
      <c r="AI91">
        <v>1</v>
      </c>
      <c r="AJ91">
        <v>0</v>
      </c>
      <c r="AK91">
        <v>494.23</v>
      </c>
      <c r="AN91" t="s">
        <v>7439</v>
      </c>
      <c r="AO91">
        <v>60000</v>
      </c>
      <c r="AU91">
        <v>0</v>
      </c>
      <c r="AW91" t="s">
        <v>279</v>
      </c>
    </row>
    <row r="92" spans="1:49">
      <c r="A92" s="1">
        <f>HYPERLINK("https://lsnyc.legalserver.org/matter/dynamic-profile/view/1879904","18-1879904")</f>
        <v>0</v>
      </c>
      <c r="B92" t="s">
        <v>78</v>
      </c>
      <c r="C92" t="s">
        <v>340</v>
      </c>
      <c r="D92" t="s">
        <v>412</v>
      </c>
      <c r="F92" t="s">
        <v>946</v>
      </c>
      <c r="G92" t="s">
        <v>1146</v>
      </c>
      <c r="H92" t="s">
        <v>9717</v>
      </c>
      <c r="I92" t="s">
        <v>17332</v>
      </c>
      <c r="J92" t="s">
        <v>18894</v>
      </c>
      <c r="K92">
        <v>11207</v>
      </c>
      <c r="L92" t="s">
        <v>18958</v>
      </c>
      <c r="M92" t="s">
        <v>18958</v>
      </c>
      <c r="O92" t="s">
        <v>26534</v>
      </c>
      <c r="P92" t="s">
        <v>26561</v>
      </c>
      <c r="R92" t="s">
        <v>26578</v>
      </c>
      <c r="S92" t="s">
        <v>18958</v>
      </c>
      <c r="U92" t="s">
        <v>26604</v>
      </c>
      <c r="V92" t="s">
        <v>26610</v>
      </c>
      <c r="W92" t="s">
        <v>26619</v>
      </c>
      <c r="X92">
        <v>1250</v>
      </c>
      <c r="Y92" t="s">
        <v>26652</v>
      </c>
      <c r="Z92" t="s">
        <v>26667</v>
      </c>
      <c r="AB92" t="s">
        <v>26783</v>
      </c>
      <c r="AC92" t="s">
        <v>34508</v>
      </c>
      <c r="AD92" t="s">
        <v>36891</v>
      </c>
      <c r="AE92">
        <v>6</v>
      </c>
      <c r="AF92" t="s">
        <v>45541</v>
      </c>
      <c r="AG92" t="s">
        <v>45561</v>
      </c>
      <c r="AH92">
        <v>7</v>
      </c>
      <c r="AI92">
        <v>1</v>
      </c>
      <c r="AJ92">
        <v>1</v>
      </c>
      <c r="AK92">
        <v>45.52</v>
      </c>
      <c r="AN92" t="s">
        <v>7439</v>
      </c>
      <c r="AO92">
        <v>7492</v>
      </c>
      <c r="AP92" t="s">
        <v>45628</v>
      </c>
      <c r="AU92">
        <v>0.25</v>
      </c>
      <c r="AV92" t="s">
        <v>670</v>
      </c>
      <c r="AW92" t="s">
        <v>279</v>
      </c>
    </row>
    <row r="93" spans="1:49">
      <c r="A93" s="1">
        <f>HYPERLINK("https://lsnyc.legalserver.org/matter/dynamic-profile/view/1879900","18-1879900")</f>
        <v>0</v>
      </c>
      <c r="B93" t="s">
        <v>78</v>
      </c>
      <c r="C93" t="s">
        <v>340</v>
      </c>
      <c r="D93" t="s">
        <v>412</v>
      </c>
      <c r="F93" t="s">
        <v>946</v>
      </c>
      <c r="G93" t="s">
        <v>1146</v>
      </c>
      <c r="H93" t="s">
        <v>9717</v>
      </c>
      <c r="I93" t="s">
        <v>17332</v>
      </c>
      <c r="J93" t="s">
        <v>18894</v>
      </c>
      <c r="K93">
        <v>11207</v>
      </c>
      <c r="L93" t="s">
        <v>18958</v>
      </c>
      <c r="M93" t="s">
        <v>18958</v>
      </c>
      <c r="O93" t="s">
        <v>18997</v>
      </c>
      <c r="P93" t="s">
        <v>26562</v>
      </c>
      <c r="R93" t="s">
        <v>26578</v>
      </c>
      <c r="S93" t="s">
        <v>18958</v>
      </c>
      <c r="U93" t="s">
        <v>26604</v>
      </c>
      <c r="V93" t="s">
        <v>26610</v>
      </c>
      <c r="W93" t="s">
        <v>26619</v>
      </c>
      <c r="X93">
        <v>1250</v>
      </c>
      <c r="Y93" t="s">
        <v>26652</v>
      </c>
      <c r="Z93" t="s">
        <v>26667</v>
      </c>
      <c r="AB93" t="s">
        <v>26783</v>
      </c>
      <c r="AC93" t="s">
        <v>34508</v>
      </c>
      <c r="AD93" t="s">
        <v>36891</v>
      </c>
      <c r="AE93">
        <v>6</v>
      </c>
      <c r="AF93" t="s">
        <v>45541</v>
      </c>
      <c r="AG93" t="s">
        <v>45561</v>
      </c>
      <c r="AH93">
        <v>7</v>
      </c>
      <c r="AI93">
        <v>1</v>
      </c>
      <c r="AJ93">
        <v>1</v>
      </c>
      <c r="AK93">
        <v>45.52</v>
      </c>
      <c r="AN93" t="s">
        <v>7439</v>
      </c>
      <c r="AO93">
        <v>7492</v>
      </c>
      <c r="AP93" t="s">
        <v>45628</v>
      </c>
      <c r="AU93">
        <v>0.25</v>
      </c>
      <c r="AV93" t="s">
        <v>670</v>
      </c>
      <c r="AW93" t="s">
        <v>279</v>
      </c>
    </row>
    <row r="94" spans="1:49">
      <c r="A94" s="1">
        <f>HYPERLINK("https://lsnyc.legalserver.org/matter/dynamic-profile/view/1880023","18-1880023")</f>
        <v>0</v>
      </c>
      <c r="B94" t="s">
        <v>95</v>
      </c>
      <c r="C94" t="s">
        <v>340</v>
      </c>
      <c r="D94" t="s">
        <v>413</v>
      </c>
      <c r="F94" t="s">
        <v>887</v>
      </c>
      <c r="G94" t="s">
        <v>5138</v>
      </c>
      <c r="H94" t="s">
        <v>9717</v>
      </c>
      <c r="I94" t="s">
        <v>17291</v>
      </c>
      <c r="J94" t="s">
        <v>18894</v>
      </c>
      <c r="K94">
        <v>11207</v>
      </c>
      <c r="L94" t="s">
        <v>18958</v>
      </c>
      <c r="M94" t="s">
        <v>18958</v>
      </c>
      <c r="N94" t="s">
        <v>18997</v>
      </c>
      <c r="O94" t="s">
        <v>26534</v>
      </c>
      <c r="P94" t="s">
        <v>26561</v>
      </c>
      <c r="R94" t="s">
        <v>26578</v>
      </c>
      <c r="S94" t="s">
        <v>18958</v>
      </c>
      <c r="U94" t="s">
        <v>26604</v>
      </c>
      <c r="V94" t="s">
        <v>26610</v>
      </c>
      <c r="W94" t="s">
        <v>26619</v>
      </c>
      <c r="X94">
        <v>1365</v>
      </c>
      <c r="Y94" t="s">
        <v>26652</v>
      </c>
      <c r="Z94" t="s">
        <v>26659</v>
      </c>
      <c r="AA94" t="s">
        <v>26682</v>
      </c>
      <c r="AB94" t="s">
        <v>26784</v>
      </c>
      <c r="AC94" t="s">
        <v>34508</v>
      </c>
      <c r="AD94" t="s">
        <v>36892</v>
      </c>
      <c r="AE94">
        <v>6</v>
      </c>
      <c r="AF94" t="s">
        <v>45541</v>
      </c>
      <c r="AG94" t="s">
        <v>45561</v>
      </c>
      <c r="AH94">
        <v>5</v>
      </c>
      <c r="AI94">
        <v>2</v>
      </c>
      <c r="AJ94">
        <v>0</v>
      </c>
      <c r="AK94">
        <v>55.12</v>
      </c>
      <c r="AN94" t="s">
        <v>7439</v>
      </c>
      <c r="AO94">
        <v>9072</v>
      </c>
      <c r="AP94" t="s">
        <v>45629</v>
      </c>
      <c r="AU94">
        <v>0.5</v>
      </c>
      <c r="AV94" t="s">
        <v>573</v>
      </c>
      <c r="AW94" t="s">
        <v>279</v>
      </c>
    </row>
    <row r="95" spans="1:49">
      <c r="A95" s="1">
        <f>HYPERLINK("https://lsnyc.legalserver.org/matter/dynamic-profile/view/1880054","18-1880054")</f>
        <v>0</v>
      </c>
      <c r="B95" t="s">
        <v>78</v>
      </c>
      <c r="C95" t="s">
        <v>340</v>
      </c>
      <c r="D95" t="s">
        <v>413</v>
      </c>
      <c r="F95" t="s">
        <v>947</v>
      </c>
      <c r="G95" t="s">
        <v>5139</v>
      </c>
      <c r="H95" t="s">
        <v>9717</v>
      </c>
      <c r="I95" t="s">
        <v>17333</v>
      </c>
      <c r="J95" t="s">
        <v>18894</v>
      </c>
      <c r="K95">
        <v>11207</v>
      </c>
      <c r="L95" t="s">
        <v>18959</v>
      </c>
      <c r="M95" t="s">
        <v>18959</v>
      </c>
      <c r="O95" t="s">
        <v>26534</v>
      </c>
      <c r="P95" t="s">
        <v>26561</v>
      </c>
      <c r="R95" t="s">
        <v>26578</v>
      </c>
      <c r="S95" t="s">
        <v>18958</v>
      </c>
      <c r="U95" t="s">
        <v>26604</v>
      </c>
      <c r="V95" t="s">
        <v>26610</v>
      </c>
      <c r="W95" t="s">
        <v>26619</v>
      </c>
      <c r="X95">
        <v>0</v>
      </c>
      <c r="Y95" t="s">
        <v>26652</v>
      </c>
      <c r="Z95" t="s">
        <v>26659</v>
      </c>
      <c r="AB95" t="s">
        <v>26785</v>
      </c>
      <c r="AE95">
        <v>6</v>
      </c>
      <c r="AF95" t="s">
        <v>45541</v>
      </c>
      <c r="AH95">
        <v>0</v>
      </c>
      <c r="AI95">
        <v>1</v>
      </c>
      <c r="AJ95">
        <v>3</v>
      </c>
      <c r="AK95">
        <v>41.43</v>
      </c>
      <c r="AN95" t="s">
        <v>7439</v>
      </c>
      <c r="AO95">
        <v>10400</v>
      </c>
      <c r="AU95">
        <v>0.25</v>
      </c>
      <c r="AV95" t="s">
        <v>670</v>
      </c>
      <c r="AW95" t="s">
        <v>279</v>
      </c>
    </row>
    <row r="96" spans="1:49">
      <c r="A96" s="1">
        <f>HYPERLINK("https://lsnyc.legalserver.org/matter/dynamic-profile/view/1880052","18-1880052")</f>
        <v>0</v>
      </c>
      <c r="B96" t="s">
        <v>78</v>
      </c>
      <c r="C96" t="s">
        <v>340</v>
      </c>
      <c r="D96" t="s">
        <v>413</v>
      </c>
      <c r="F96" t="s">
        <v>947</v>
      </c>
      <c r="G96" t="s">
        <v>5139</v>
      </c>
      <c r="H96" t="s">
        <v>9717</v>
      </c>
      <c r="I96" t="s">
        <v>17333</v>
      </c>
      <c r="J96" t="s">
        <v>18894</v>
      </c>
      <c r="K96">
        <v>11207</v>
      </c>
      <c r="L96" t="s">
        <v>18959</v>
      </c>
      <c r="M96" t="s">
        <v>18959</v>
      </c>
      <c r="N96" t="s">
        <v>18997</v>
      </c>
      <c r="O96" t="s">
        <v>26529</v>
      </c>
      <c r="P96" t="s">
        <v>26562</v>
      </c>
      <c r="R96" t="s">
        <v>26578</v>
      </c>
      <c r="S96" t="s">
        <v>18958</v>
      </c>
      <c r="U96" t="s">
        <v>26604</v>
      </c>
      <c r="V96" t="s">
        <v>26610</v>
      </c>
      <c r="W96" t="s">
        <v>26619</v>
      </c>
      <c r="X96">
        <v>0</v>
      </c>
      <c r="Y96" t="s">
        <v>26652</v>
      </c>
      <c r="Z96" t="s">
        <v>26659</v>
      </c>
      <c r="AB96" t="s">
        <v>26785</v>
      </c>
      <c r="AE96">
        <v>6</v>
      </c>
      <c r="AF96" t="s">
        <v>45541</v>
      </c>
      <c r="AH96">
        <v>0</v>
      </c>
      <c r="AI96">
        <v>1</v>
      </c>
      <c r="AJ96">
        <v>3</v>
      </c>
      <c r="AK96">
        <v>41.43</v>
      </c>
      <c r="AN96" t="s">
        <v>7439</v>
      </c>
      <c r="AO96">
        <v>10400</v>
      </c>
      <c r="AU96">
        <v>0</v>
      </c>
      <c r="AW96" t="s">
        <v>279</v>
      </c>
    </row>
    <row r="97" spans="1:50">
      <c r="A97" s="1">
        <f>HYPERLINK("https://lsnyc.legalserver.org/matter/dynamic-profile/view/1880021","18-1880021")</f>
        <v>0</v>
      </c>
      <c r="B97" t="s">
        <v>78</v>
      </c>
      <c r="C97" t="s">
        <v>340</v>
      </c>
      <c r="D97" t="s">
        <v>413</v>
      </c>
      <c r="F97" t="s">
        <v>887</v>
      </c>
      <c r="G97" t="s">
        <v>5138</v>
      </c>
      <c r="H97" t="s">
        <v>9717</v>
      </c>
      <c r="I97" t="s">
        <v>17291</v>
      </c>
      <c r="J97" t="s">
        <v>18894</v>
      </c>
      <c r="K97">
        <v>11207</v>
      </c>
      <c r="L97" t="s">
        <v>18958</v>
      </c>
      <c r="M97" t="s">
        <v>18958</v>
      </c>
      <c r="N97" t="s">
        <v>18997</v>
      </c>
      <c r="O97" t="s">
        <v>26529</v>
      </c>
      <c r="P97" t="s">
        <v>26562</v>
      </c>
      <c r="R97" t="s">
        <v>26578</v>
      </c>
      <c r="S97" t="s">
        <v>18958</v>
      </c>
      <c r="U97" t="s">
        <v>26604</v>
      </c>
      <c r="V97" t="s">
        <v>26610</v>
      </c>
      <c r="W97" t="s">
        <v>26619</v>
      </c>
      <c r="X97">
        <v>1365</v>
      </c>
      <c r="Y97" t="s">
        <v>26652</v>
      </c>
      <c r="Z97" t="s">
        <v>26659</v>
      </c>
      <c r="AB97" t="s">
        <v>26784</v>
      </c>
      <c r="AC97" t="s">
        <v>34508</v>
      </c>
      <c r="AD97" t="s">
        <v>36892</v>
      </c>
      <c r="AE97">
        <v>6</v>
      </c>
      <c r="AF97" t="s">
        <v>45541</v>
      </c>
      <c r="AG97" t="s">
        <v>45561</v>
      </c>
      <c r="AH97">
        <v>5</v>
      </c>
      <c r="AI97">
        <v>2</v>
      </c>
      <c r="AJ97">
        <v>0</v>
      </c>
      <c r="AK97">
        <v>55.12</v>
      </c>
      <c r="AN97" t="s">
        <v>7439</v>
      </c>
      <c r="AO97">
        <v>9072</v>
      </c>
      <c r="AP97" t="s">
        <v>45629</v>
      </c>
      <c r="AU97">
        <v>0.25</v>
      </c>
      <c r="AV97" t="s">
        <v>670</v>
      </c>
      <c r="AW97" t="s">
        <v>279</v>
      </c>
    </row>
    <row r="98" spans="1:50">
      <c r="A98" s="1">
        <f>HYPERLINK("https://lsnyc.legalserver.org/matter/dynamic-profile/view/1887511","19-1887511")</f>
        <v>0</v>
      </c>
      <c r="B98" t="s">
        <v>73</v>
      </c>
      <c r="C98" t="s">
        <v>341</v>
      </c>
      <c r="D98" t="s">
        <v>414</v>
      </c>
      <c r="E98" t="s">
        <v>494</v>
      </c>
      <c r="F98" t="s">
        <v>948</v>
      </c>
      <c r="G98" t="s">
        <v>5140</v>
      </c>
      <c r="H98" t="s">
        <v>9718</v>
      </c>
      <c r="I98" t="s">
        <v>17334</v>
      </c>
      <c r="J98" t="s">
        <v>18894</v>
      </c>
      <c r="K98">
        <v>11233</v>
      </c>
      <c r="L98" t="s">
        <v>18958</v>
      </c>
      <c r="M98" t="s">
        <v>18958</v>
      </c>
      <c r="N98" t="s">
        <v>19027</v>
      </c>
      <c r="O98" t="s">
        <v>26534</v>
      </c>
      <c r="P98" t="s">
        <v>26561</v>
      </c>
      <c r="Q98" t="s">
        <v>26572</v>
      </c>
      <c r="R98" t="s">
        <v>26578</v>
      </c>
      <c r="S98" t="s">
        <v>18958</v>
      </c>
      <c r="U98" t="s">
        <v>26604</v>
      </c>
      <c r="W98" t="s">
        <v>26619</v>
      </c>
      <c r="X98">
        <v>2400</v>
      </c>
      <c r="Y98" t="s">
        <v>26652</v>
      </c>
      <c r="Z98" t="s">
        <v>26659</v>
      </c>
      <c r="AA98" t="s">
        <v>26682</v>
      </c>
      <c r="AB98" t="s">
        <v>26786</v>
      </c>
      <c r="AD98" t="s">
        <v>36893</v>
      </c>
      <c r="AE98">
        <v>7</v>
      </c>
      <c r="AF98" t="s">
        <v>45541</v>
      </c>
      <c r="AG98" t="s">
        <v>19330</v>
      </c>
      <c r="AH98">
        <v>2</v>
      </c>
      <c r="AI98">
        <v>1</v>
      </c>
      <c r="AJ98">
        <v>0</v>
      </c>
      <c r="AK98">
        <v>247.12</v>
      </c>
      <c r="AL98" t="s">
        <v>574</v>
      </c>
      <c r="AM98" t="s">
        <v>45575</v>
      </c>
      <c r="AN98" t="s">
        <v>7439</v>
      </c>
      <c r="AO98">
        <v>30000</v>
      </c>
      <c r="AR98" t="s">
        <v>46388</v>
      </c>
      <c r="AU98">
        <v>0.3</v>
      </c>
      <c r="AV98" t="s">
        <v>415</v>
      </c>
      <c r="AW98" t="s">
        <v>286</v>
      </c>
    </row>
    <row r="99" spans="1:50">
      <c r="A99" s="1">
        <f>HYPERLINK("https://lsnyc.legalserver.org/matter/dynamic-profile/view/1887679","19-1887679")</f>
        <v>0</v>
      </c>
      <c r="B99" t="s">
        <v>73</v>
      </c>
      <c r="C99" t="s">
        <v>341</v>
      </c>
      <c r="D99" t="s">
        <v>415</v>
      </c>
      <c r="E99" t="s">
        <v>494</v>
      </c>
      <c r="F99" t="s">
        <v>949</v>
      </c>
      <c r="G99" t="s">
        <v>2196</v>
      </c>
      <c r="H99" t="s">
        <v>9719</v>
      </c>
      <c r="I99" t="s">
        <v>17331</v>
      </c>
      <c r="J99" t="s">
        <v>18894</v>
      </c>
      <c r="K99">
        <v>11233</v>
      </c>
      <c r="L99" t="s">
        <v>18958</v>
      </c>
      <c r="M99" t="s">
        <v>18958</v>
      </c>
      <c r="N99" t="s">
        <v>19027</v>
      </c>
      <c r="O99" t="s">
        <v>26534</v>
      </c>
      <c r="P99" t="s">
        <v>26561</v>
      </c>
      <c r="Q99" t="s">
        <v>26572</v>
      </c>
      <c r="R99" t="s">
        <v>26578</v>
      </c>
      <c r="S99" t="s">
        <v>18958</v>
      </c>
      <c r="U99" t="s">
        <v>26604</v>
      </c>
      <c r="W99" t="s">
        <v>26619</v>
      </c>
      <c r="X99">
        <v>1433.14</v>
      </c>
      <c r="Y99" t="s">
        <v>26652</v>
      </c>
      <c r="Z99" t="s">
        <v>26660</v>
      </c>
      <c r="AA99" t="s">
        <v>26682</v>
      </c>
      <c r="AB99" t="s">
        <v>26787</v>
      </c>
      <c r="AD99" t="s">
        <v>36894</v>
      </c>
      <c r="AE99">
        <v>7</v>
      </c>
      <c r="AF99" t="s">
        <v>45541</v>
      </c>
      <c r="AH99">
        <v>3</v>
      </c>
      <c r="AI99">
        <v>2</v>
      </c>
      <c r="AJ99">
        <v>0</v>
      </c>
      <c r="AK99">
        <v>282.27</v>
      </c>
      <c r="AL99" t="s">
        <v>574</v>
      </c>
      <c r="AM99" t="s">
        <v>45575</v>
      </c>
      <c r="AN99" t="s">
        <v>7439</v>
      </c>
      <c r="AO99">
        <v>46462</v>
      </c>
      <c r="AR99" t="s">
        <v>46389</v>
      </c>
      <c r="AU99">
        <v>0.4</v>
      </c>
      <c r="AV99" t="s">
        <v>415</v>
      </c>
      <c r="AW99" t="s">
        <v>286</v>
      </c>
    </row>
    <row r="100" spans="1:50">
      <c r="A100" s="1">
        <f>HYPERLINK("https://lsnyc.legalserver.org/matter/dynamic-profile/view/1887578","19-1887578")</f>
        <v>0</v>
      </c>
      <c r="B100" t="s">
        <v>73</v>
      </c>
      <c r="C100" t="s">
        <v>341</v>
      </c>
      <c r="D100" t="s">
        <v>415</v>
      </c>
      <c r="E100" t="s">
        <v>494</v>
      </c>
      <c r="F100" t="s">
        <v>950</v>
      </c>
      <c r="G100" t="s">
        <v>5141</v>
      </c>
      <c r="H100" t="s">
        <v>9718</v>
      </c>
      <c r="I100" t="s">
        <v>17333</v>
      </c>
      <c r="J100" t="s">
        <v>18894</v>
      </c>
      <c r="K100">
        <v>11233</v>
      </c>
      <c r="L100" t="s">
        <v>18958</v>
      </c>
      <c r="M100" t="s">
        <v>18958</v>
      </c>
      <c r="N100" t="s">
        <v>19027</v>
      </c>
      <c r="O100" t="s">
        <v>26534</v>
      </c>
      <c r="P100" t="s">
        <v>26561</v>
      </c>
      <c r="Q100" t="s">
        <v>26572</v>
      </c>
      <c r="R100" t="s">
        <v>26578</v>
      </c>
      <c r="S100" t="s">
        <v>18958</v>
      </c>
      <c r="U100" t="s">
        <v>26604</v>
      </c>
      <c r="W100" t="s">
        <v>26619</v>
      </c>
      <c r="X100">
        <v>2400</v>
      </c>
      <c r="Y100" t="s">
        <v>26652</v>
      </c>
      <c r="Z100" t="s">
        <v>26666</v>
      </c>
      <c r="AA100" t="s">
        <v>26682</v>
      </c>
      <c r="AB100" t="s">
        <v>26788</v>
      </c>
      <c r="AD100" t="s">
        <v>36895</v>
      </c>
      <c r="AE100">
        <v>7</v>
      </c>
      <c r="AF100" t="s">
        <v>45541</v>
      </c>
      <c r="AG100" t="s">
        <v>19330</v>
      </c>
      <c r="AH100">
        <v>1</v>
      </c>
      <c r="AI100">
        <v>1</v>
      </c>
      <c r="AJ100">
        <v>0</v>
      </c>
      <c r="AK100">
        <v>329.49</v>
      </c>
      <c r="AN100" t="s">
        <v>7439</v>
      </c>
      <c r="AO100">
        <v>40000</v>
      </c>
      <c r="AR100" t="s">
        <v>46389</v>
      </c>
      <c r="AU100">
        <v>0.4</v>
      </c>
      <c r="AV100" t="s">
        <v>415</v>
      </c>
      <c r="AW100" t="s">
        <v>286</v>
      </c>
    </row>
    <row r="101" spans="1:50">
      <c r="A101" s="1">
        <f>HYPERLINK("https://lsnyc.legalserver.org/matter/dynamic-profile/view/1887586","19-1887586")</f>
        <v>0</v>
      </c>
      <c r="B101" t="s">
        <v>73</v>
      </c>
      <c r="C101" t="s">
        <v>341</v>
      </c>
      <c r="D101" t="s">
        <v>415</v>
      </c>
      <c r="E101" t="s">
        <v>494</v>
      </c>
      <c r="F101" t="s">
        <v>951</v>
      </c>
      <c r="G101" t="s">
        <v>5142</v>
      </c>
      <c r="H101" t="s">
        <v>9718</v>
      </c>
      <c r="I101" t="s">
        <v>17332</v>
      </c>
      <c r="J101" t="s">
        <v>18894</v>
      </c>
      <c r="K101">
        <v>11233</v>
      </c>
      <c r="L101" t="s">
        <v>18958</v>
      </c>
      <c r="M101" t="s">
        <v>18958</v>
      </c>
      <c r="N101" t="s">
        <v>19027</v>
      </c>
      <c r="O101" t="s">
        <v>26534</v>
      </c>
      <c r="P101" t="s">
        <v>26561</v>
      </c>
      <c r="Q101" t="s">
        <v>26572</v>
      </c>
      <c r="R101" t="s">
        <v>26578</v>
      </c>
      <c r="S101" t="s">
        <v>18958</v>
      </c>
      <c r="U101" t="s">
        <v>26604</v>
      </c>
      <c r="W101" t="s">
        <v>26619</v>
      </c>
      <c r="X101">
        <v>0</v>
      </c>
      <c r="Y101" t="s">
        <v>26652</v>
      </c>
      <c r="Z101" t="s">
        <v>26655</v>
      </c>
      <c r="AA101" t="s">
        <v>26682</v>
      </c>
      <c r="AB101" t="s">
        <v>26789</v>
      </c>
      <c r="AE101">
        <v>7</v>
      </c>
      <c r="AF101" t="s">
        <v>45541</v>
      </c>
      <c r="AH101">
        <v>0</v>
      </c>
      <c r="AI101">
        <v>1</v>
      </c>
      <c r="AJ101">
        <v>0</v>
      </c>
      <c r="AK101">
        <v>453.05</v>
      </c>
      <c r="AN101" t="s">
        <v>7439</v>
      </c>
      <c r="AO101">
        <v>55000</v>
      </c>
      <c r="AR101" t="s">
        <v>46389</v>
      </c>
      <c r="AU101">
        <v>0.3</v>
      </c>
      <c r="AV101" t="s">
        <v>415</v>
      </c>
      <c r="AW101" t="s">
        <v>286</v>
      </c>
    </row>
    <row r="102" spans="1:50">
      <c r="A102" s="1">
        <f>HYPERLINK("https://lsnyc.legalserver.org/matter/dynamic-profile/view/1887688","19-1887688")</f>
        <v>0</v>
      </c>
      <c r="B102" t="s">
        <v>73</v>
      </c>
      <c r="C102" t="s">
        <v>341</v>
      </c>
      <c r="D102" t="s">
        <v>415</v>
      </c>
      <c r="E102" t="s">
        <v>494</v>
      </c>
      <c r="F102" t="s">
        <v>952</v>
      </c>
      <c r="G102" t="s">
        <v>3283</v>
      </c>
      <c r="H102" t="s">
        <v>9718</v>
      </c>
      <c r="I102" t="s">
        <v>17291</v>
      </c>
      <c r="J102" t="s">
        <v>18894</v>
      </c>
      <c r="K102">
        <v>11233</v>
      </c>
      <c r="L102" t="s">
        <v>18958</v>
      </c>
      <c r="M102" t="s">
        <v>18958</v>
      </c>
      <c r="N102" t="s">
        <v>19027</v>
      </c>
      <c r="O102" t="s">
        <v>26534</v>
      </c>
      <c r="P102" t="s">
        <v>26561</v>
      </c>
      <c r="Q102" t="s">
        <v>26572</v>
      </c>
      <c r="R102" t="s">
        <v>26578</v>
      </c>
      <c r="S102" t="s">
        <v>18958</v>
      </c>
      <c r="U102" t="s">
        <v>26604</v>
      </c>
      <c r="W102" t="s">
        <v>26619</v>
      </c>
      <c r="X102">
        <v>840</v>
      </c>
      <c r="Y102" t="s">
        <v>26652</v>
      </c>
      <c r="Z102" t="s">
        <v>26666</v>
      </c>
      <c r="AA102" t="s">
        <v>26682</v>
      </c>
      <c r="AB102" t="s">
        <v>26790</v>
      </c>
      <c r="AD102" t="s">
        <v>36896</v>
      </c>
      <c r="AE102">
        <v>7</v>
      </c>
      <c r="AF102" t="s">
        <v>45541</v>
      </c>
      <c r="AG102" t="s">
        <v>19330</v>
      </c>
      <c r="AH102">
        <v>30</v>
      </c>
      <c r="AI102">
        <v>1</v>
      </c>
      <c r="AJ102">
        <v>0</v>
      </c>
      <c r="AK102">
        <v>576.61</v>
      </c>
      <c r="AN102" t="s">
        <v>7439</v>
      </c>
      <c r="AO102">
        <v>70000</v>
      </c>
      <c r="AR102" t="s">
        <v>46389</v>
      </c>
      <c r="AU102">
        <v>0.5</v>
      </c>
      <c r="AV102" t="s">
        <v>415</v>
      </c>
      <c r="AW102" t="s">
        <v>286</v>
      </c>
    </row>
    <row r="103" spans="1:50">
      <c r="A103" s="1">
        <f>HYPERLINK("https://lsnyc.legalserver.org/matter/dynamic-profile/view/1892370","19-1892370")</f>
        <v>0</v>
      </c>
      <c r="B103" t="s">
        <v>83</v>
      </c>
      <c r="C103" t="s">
        <v>340</v>
      </c>
      <c r="D103" t="s">
        <v>416</v>
      </c>
      <c r="F103" t="s">
        <v>953</v>
      </c>
      <c r="G103" t="s">
        <v>2368</v>
      </c>
      <c r="H103" t="s">
        <v>9720</v>
      </c>
      <c r="I103" t="s">
        <v>17335</v>
      </c>
      <c r="J103" t="s">
        <v>18894</v>
      </c>
      <c r="K103">
        <v>11225</v>
      </c>
      <c r="L103" t="s">
        <v>18958</v>
      </c>
      <c r="M103" t="s">
        <v>18958</v>
      </c>
      <c r="O103" t="s">
        <v>26535</v>
      </c>
      <c r="P103" t="s">
        <v>26561</v>
      </c>
      <c r="R103" t="s">
        <v>26583</v>
      </c>
      <c r="S103" t="s">
        <v>18959</v>
      </c>
      <c r="U103" t="s">
        <v>26604</v>
      </c>
      <c r="V103" t="s">
        <v>26610</v>
      </c>
      <c r="W103" t="s">
        <v>26619</v>
      </c>
      <c r="X103">
        <v>0</v>
      </c>
      <c r="Y103" t="s">
        <v>26652</v>
      </c>
      <c r="Z103" t="s">
        <v>26661</v>
      </c>
      <c r="AB103" t="s">
        <v>26791</v>
      </c>
      <c r="AC103" t="s">
        <v>34509</v>
      </c>
      <c r="AD103" t="s">
        <v>36897</v>
      </c>
      <c r="AE103">
        <v>321</v>
      </c>
      <c r="AF103" t="s">
        <v>45550</v>
      </c>
      <c r="AH103">
        <v>6</v>
      </c>
      <c r="AI103">
        <v>3</v>
      </c>
      <c r="AJ103">
        <v>0</v>
      </c>
      <c r="AK103">
        <v>160.34</v>
      </c>
      <c r="AN103" t="s">
        <v>7439</v>
      </c>
      <c r="AO103">
        <v>34200</v>
      </c>
      <c r="AU103">
        <v>0</v>
      </c>
      <c r="AW103" t="s">
        <v>279</v>
      </c>
    </row>
    <row r="104" spans="1:50">
      <c r="A104" s="1">
        <f>HYPERLINK("https://lsnyc.legalserver.org/matter/dynamic-profile/view/0774652","15-0774652")</f>
        <v>0</v>
      </c>
      <c r="B104" t="s">
        <v>96</v>
      </c>
      <c r="C104" t="s">
        <v>341</v>
      </c>
      <c r="D104" t="s">
        <v>417</v>
      </c>
      <c r="E104" t="s">
        <v>723</v>
      </c>
      <c r="F104" t="s">
        <v>954</v>
      </c>
      <c r="G104" t="s">
        <v>5143</v>
      </c>
      <c r="H104" t="s">
        <v>9721</v>
      </c>
      <c r="I104" t="s">
        <v>17336</v>
      </c>
      <c r="J104" t="s">
        <v>18892</v>
      </c>
      <c r="K104">
        <v>10472</v>
      </c>
      <c r="L104" t="s">
        <v>18958</v>
      </c>
      <c r="M104" t="s">
        <v>18960</v>
      </c>
      <c r="N104" t="s">
        <v>19028</v>
      </c>
      <c r="O104" t="s">
        <v>26524</v>
      </c>
      <c r="P104" t="s">
        <v>26560</v>
      </c>
      <c r="Q104" t="s">
        <v>26568</v>
      </c>
      <c r="R104" t="s">
        <v>26577</v>
      </c>
      <c r="U104" t="s">
        <v>26605</v>
      </c>
      <c r="V104" t="s">
        <v>26610</v>
      </c>
      <c r="W104" t="s">
        <v>419</v>
      </c>
      <c r="X104">
        <v>742</v>
      </c>
      <c r="Y104" t="s">
        <v>26650</v>
      </c>
      <c r="Z104" t="s">
        <v>26661</v>
      </c>
      <c r="AA104" t="s">
        <v>26680</v>
      </c>
      <c r="AB104" t="s">
        <v>26792</v>
      </c>
      <c r="AC104" t="s">
        <v>34510</v>
      </c>
      <c r="AD104" t="s">
        <v>36898</v>
      </c>
      <c r="AE104">
        <v>0</v>
      </c>
      <c r="AF104" t="s">
        <v>45542</v>
      </c>
      <c r="AG104" t="s">
        <v>19330</v>
      </c>
      <c r="AH104">
        <v>10</v>
      </c>
      <c r="AI104">
        <v>1</v>
      </c>
      <c r="AJ104">
        <v>2</v>
      </c>
      <c r="AK104">
        <v>55.69</v>
      </c>
      <c r="AN104" t="s">
        <v>7439</v>
      </c>
      <c r="AO104">
        <v>11189</v>
      </c>
      <c r="AP104" t="s">
        <v>45630</v>
      </c>
      <c r="AR104" t="s">
        <v>46390</v>
      </c>
      <c r="AS104" t="s">
        <v>46499</v>
      </c>
      <c r="AT104" t="s">
        <v>46528</v>
      </c>
      <c r="AU104">
        <v>78.55</v>
      </c>
      <c r="AV104" t="s">
        <v>666</v>
      </c>
      <c r="AW104" t="s">
        <v>46834</v>
      </c>
    </row>
    <row r="105" spans="1:50">
      <c r="A105" s="1">
        <f>HYPERLINK("https://lsnyc.legalserver.org/matter/dynamic-profile/view/1869143","18-1869143")</f>
        <v>0</v>
      </c>
      <c r="B105" t="s">
        <v>97</v>
      </c>
      <c r="C105" t="s">
        <v>341</v>
      </c>
      <c r="D105" t="s">
        <v>418</v>
      </c>
      <c r="E105" t="s">
        <v>528</v>
      </c>
      <c r="F105" t="s">
        <v>955</v>
      </c>
      <c r="G105" t="s">
        <v>5144</v>
      </c>
      <c r="H105" t="s">
        <v>9722</v>
      </c>
      <c r="I105" t="s">
        <v>17273</v>
      </c>
      <c r="J105" t="s">
        <v>18894</v>
      </c>
      <c r="K105">
        <v>11207</v>
      </c>
      <c r="L105" t="s">
        <v>18958</v>
      </c>
      <c r="M105" t="s">
        <v>18958</v>
      </c>
      <c r="N105" t="s">
        <v>19029</v>
      </c>
      <c r="O105" t="s">
        <v>26523</v>
      </c>
      <c r="P105" t="s">
        <v>26564</v>
      </c>
      <c r="Q105" t="s">
        <v>26570</v>
      </c>
      <c r="R105" t="s">
        <v>26578</v>
      </c>
      <c r="S105" t="s">
        <v>18959</v>
      </c>
      <c r="U105" t="s">
        <v>26604</v>
      </c>
      <c r="W105" t="s">
        <v>419</v>
      </c>
      <c r="X105">
        <v>901</v>
      </c>
      <c r="Y105" t="s">
        <v>26652</v>
      </c>
      <c r="AA105" t="s">
        <v>26681</v>
      </c>
      <c r="AB105" t="s">
        <v>26793</v>
      </c>
      <c r="AC105" t="s">
        <v>34511</v>
      </c>
      <c r="AD105" t="s">
        <v>36899</v>
      </c>
      <c r="AE105">
        <v>22</v>
      </c>
      <c r="AF105" t="s">
        <v>20460</v>
      </c>
      <c r="AG105" t="s">
        <v>19330</v>
      </c>
      <c r="AH105">
        <v>5</v>
      </c>
      <c r="AI105">
        <v>1</v>
      </c>
      <c r="AJ105">
        <v>0</v>
      </c>
      <c r="AK105">
        <v>85.67</v>
      </c>
      <c r="AN105" t="s">
        <v>7439</v>
      </c>
      <c r="AO105">
        <v>10400</v>
      </c>
      <c r="AP105" t="s">
        <v>45631</v>
      </c>
      <c r="AU105">
        <v>3.9</v>
      </c>
      <c r="AV105" t="s">
        <v>436</v>
      </c>
      <c r="AW105" t="s">
        <v>46829</v>
      </c>
    </row>
    <row r="106" spans="1:50">
      <c r="A106" s="1">
        <f>HYPERLINK("https://lsnyc.legalserver.org/matter/dynamic-profile/view/1871123","18-1871123")</f>
        <v>0</v>
      </c>
      <c r="B106" t="s">
        <v>58</v>
      </c>
      <c r="C106" t="s">
        <v>341</v>
      </c>
      <c r="D106" t="s">
        <v>406</v>
      </c>
      <c r="E106" t="s">
        <v>833</v>
      </c>
      <c r="F106" t="s">
        <v>956</v>
      </c>
      <c r="G106" t="s">
        <v>5138</v>
      </c>
      <c r="H106" t="s">
        <v>9723</v>
      </c>
      <c r="I106" t="s">
        <v>17337</v>
      </c>
      <c r="J106" t="s">
        <v>18892</v>
      </c>
      <c r="K106">
        <v>10467</v>
      </c>
      <c r="L106" t="s">
        <v>18958</v>
      </c>
      <c r="M106" t="s">
        <v>18958</v>
      </c>
      <c r="N106" t="s">
        <v>19030</v>
      </c>
      <c r="O106" t="s">
        <v>26523</v>
      </c>
      <c r="P106" t="s">
        <v>26560</v>
      </c>
      <c r="Q106" t="s">
        <v>26568</v>
      </c>
      <c r="R106" t="s">
        <v>26579</v>
      </c>
      <c r="U106" t="s">
        <v>26604</v>
      </c>
      <c r="V106" t="s">
        <v>26609</v>
      </c>
      <c r="W106" t="s">
        <v>419</v>
      </c>
      <c r="X106">
        <v>1300</v>
      </c>
      <c r="Y106" t="s">
        <v>26650</v>
      </c>
      <c r="Z106" t="s">
        <v>26657</v>
      </c>
      <c r="AA106" t="s">
        <v>26678</v>
      </c>
      <c r="AB106" t="s">
        <v>26794</v>
      </c>
      <c r="AC106" t="s">
        <v>34512</v>
      </c>
      <c r="AD106" t="s">
        <v>36900</v>
      </c>
      <c r="AE106">
        <v>60</v>
      </c>
      <c r="AF106" t="s">
        <v>45541</v>
      </c>
      <c r="AG106" t="s">
        <v>45560</v>
      </c>
      <c r="AH106">
        <v>20</v>
      </c>
      <c r="AI106">
        <v>2</v>
      </c>
      <c r="AJ106">
        <v>0</v>
      </c>
      <c r="AK106">
        <v>15.8</v>
      </c>
      <c r="AN106" t="s">
        <v>7439</v>
      </c>
      <c r="AO106">
        <v>2600</v>
      </c>
      <c r="AP106" t="s">
        <v>45632</v>
      </c>
      <c r="AR106" t="s">
        <v>26530</v>
      </c>
      <c r="AS106" t="s">
        <v>46499</v>
      </c>
      <c r="AT106" t="s">
        <v>46529</v>
      </c>
      <c r="AU106">
        <v>20.6</v>
      </c>
      <c r="AV106" t="s">
        <v>683</v>
      </c>
      <c r="AW106" t="s">
        <v>46849</v>
      </c>
      <c r="AX106" t="s">
        <v>46898</v>
      </c>
    </row>
    <row r="107" spans="1:50">
      <c r="A107" s="1">
        <f>HYPERLINK("https://lsnyc.legalserver.org/matter/dynamic-profile/view/1871411","18-1871411")</f>
        <v>0</v>
      </c>
      <c r="B107" t="s">
        <v>98</v>
      </c>
      <c r="C107" t="s">
        <v>341</v>
      </c>
      <c r="D107" t="s">
        <v>419</v>
      </c>
      <c r="E107" t="s">
        <v>494</v>
      </c>
      <c r="F107" t="s">
        <v>957</v>
      </c>
      <c r="G107" t="s">
        <v>1725</v>
      </c>
      <c r="H107" t="s">
        <v>9724</v>
      </c>
      <c r="I107" t="s">
        <v>17290</v>
      </c>
      <c r="J107" t="s">
        <v>18892</v>
      </c>
      <c r="K107">
        <v>10468</v>
      </c>
      <c r="L107" t="s">
        <v>18958</v>
      </c>
      <c r="M107" t="s">
        <v>18958</v>
      </c>
      <c r="O107" t="s">
        <v>26526</v>
      </c>
      <c r="P107" t="s">
        <v>26564</v>
      </c>
      <c r="Q107" t="s">
        <v>26570</v>
      </c>
      <c r="R107" t="s">
        <v>26578</v>
      </c>
      <c r="S107" t="s">
        <v>18958</v>
      </c>
      <c r="U107" t="s">
        <v>26604</v>
      </c>
      <c r="W107" t="s">
        <v>419</v>
      </c>
      <c r="X107">
        <v>1440.08</v>
      </c>
      <c r="Y107" t="s">
        <v>26650</v>
      </c>
      <c r="Z107" t="s">
        <v>26663</v>
      </c>
      <c r="AA107" t="s">
        <v>26683</v>
      </c>
      <c r="AB107" t="s">
        <v>26795</v>
      </c>
      <c r="AD107" t="s">
        <v>36901</v>
      </c>
      <c r="AE107">
        <v>58</v>
      </c>
      <c r="AF107" t="s">
        <v>20460</v>
      </c>
      <c r="AG107" t="s">
        <v>19330</v>
      </c>
      <c r="AH107">
        <v>2</v>
      </c>
      <c r="AI107">
        <v>1</v>
      </c>
      <c r="AJ107">
        <v>1</v>
      </c>
      <c r="AK107">
        <v>109.36</v>
      </c>
      <c r="AN107" t="s">
        <v>45581</v>
      </c>
      <c r="AO107">
        <v>18000</v>
      </c>
      <c r="AU107">
        <v>0.7</v>
      </c>
      <c r="AV107" t="s">
        <v>458</v>
      </c>
      <c r="AW107" t="s">
        <v>46847</v>
      </c>
    </row>
    <row r="108" spans="1:50">
      <c r="A108" s="1">
        <f>HYPERLINK("https://lsnyc.legalserver.org/matter/dynamic-profile/view/1871456","18-1871456")</f>
        <v>0</v>
      </c>
      <c r="B108" t="s">
        <v>98</v>
      </c>
      <c r="C108" t="s">
        <v>341</v>
      </c>
      <c r="D108" t="s">
        <v>419</v>
      </c>
      <c r="E108" t="s">
        <v>494</v>
      </c>
      <c r="F108" t="s">
        <v>958</v>
      </c>
      <c r="G108" t="s">
        <v>5145</v>
      </c>
      <c r="H108" t="s">
        <v>9724</v>
      </c>
      <c r="I108" t="s">
        <v>17338</v>
      </c>
      <c r="J108" t="s">
        <v>18892</v>
      </c>
      <c r="K108">
        <v>10468</v>
      </c>
      <c r="L108" t="s">
        <v>18958</v>
      </c>
      <c r="M108" t="s">
        <v>18958</v>
      </c>
      <c r="O108" t="s">
        <v>26526</v>
      </c>
      <c r="P108" t="s">
        <v>26564</v>
      </c>
      <c r="Q108" t="s">
        <v>26570</v>
      </c>
      <c r="R108" t="s">
        <v>26578</v>
      </c>
      <c r="S108" t="s">
        <v>18958</v>
      </c>
      <c r="U108" t="s">
        <v>26604</v>
      </c>
      <c r="W108" t="s">
        <v>419</v>
      </c>
      <c r="X108">
        <v>1286.46</v>
      </c>
      <c r="Y108" t="s">
        <v>26650</v>
      </c>
      <c r="Z108" t="s">
        <v>26663</v>
      </c>
      <c r="AA108" t="s">
        <v>26683</v>
      </c>
      <c r="AB108" t="s">
        <v>26796</v>
      </c>
      <c r="AD108" t="s">
        <v>36902</v>
      </c>
      <c r="AE108">
        <v>58</v>
      </c>
      <c r="AF108" t="s">
        <v>45541</v>
      </c>
      <c r="AG108" t="s">
        <v>19330</v>
      </c>
      <c r="AH108">
        <v>19</v>
      </c>
      <c r="AI108">
        <v>3</v>
      </c>
      <c r="AJ108">
        <v>1</v>
      </c>
      <c r="AK108">
        <v>123.51</v>
      </c>
      <c r="AN108" t="s">
        <v>45581</v>
      </c>
      <c r="AO108">
        <v>31000</v>
      </c>
      <c r="AU108">
        <v>0.7</v>
      </c>
      <c r="AV108" t="s">
        <v>458</v>
      </c>
      <c r="AW108" t="s">
        <v>46847</v>
      </c>
    </row>
    <row r="109" spans="1:50">
      <c r="A109" s="1">
        <f>HYPERLINK("https://lsnyc.legalserver.org/matter/dynamic-profile/view/1871420","18-1871420")</f>
        <v>0</v>
      </c>
      <c r="B109" t="s">
        <v>98</v>
      </c>
      <c r="C109" t="s">
        <v>341</v>
      </c>
      <c r="D109" t="s">
        <v>419</v>
      </c>
      <c r="E109" t="s">
        <v>494</v>
      </c>
      <c r="F109" t="s">
        <v>959</v>
      </c>
      <c r="G109" t="s">
        <v>1093</v>
      </c>
      <c r="H109" t="s">
        <v>9724</v>
      </c>
      <c r="I109" t="s">
        <v>17339</v>
      </c>
      <c r="J109" t="s">
        <v>18892</v>
      </c>
      <c r="K109">
        <v>10468</v>
      </c>
      <c r="L109" t="s">
        <v>18958</v>
      </c>
      <c r="M109" t="s">
        <v>18958</v>
      </c>
      <c r="O109" t="s">
        <v>26526</v>
      </c>
      <c r="P109" t="s">
        <v>26564</v>
      </c>
      <c r="Q109" t="s">
        <v>26570</v>
      </c>
      <c r="R109" t="s">
        <v>26578</v>
      </c>
      <c r="S109" t="s">
        <v>18958</v>
      </c>
      <c r="U109" t="s">
        <v>26604</v>
      </c>
      <c r="W109" t="s">
        <v>419</v>
      </c>
      <c r="X109">
        <v>833.27</v>
      </c>
      <c r="Y109" t="s">
        <v>26650</v>
      </c>
      <c r="Z109" t="s">
        <v>26663</v>
      </c>
      <c r="AA109" t="s">
        <v>26683</v>
      </c>
      <c r="AB109" t="s">
        <v>26797</v>
      </c>
      <c r="AD109" t="s">
        <v>36903</v>
      </c>
      <c r="AE109">
        <v>58</v>
      </c>
      <c r="AF109" t="s">
        <v>45541</v>
      </c>
      <c r="AG109" t="s">
        <v>19330</v>
      </c>
      <c r="AH109">
        <v>22</v>
      </c>
      <c r="AI109">
        <v>1</v>
      </c>
      <c r="AJ109">
        <v>2</v>
      </c>
      <c r="AK109">
        <v>150.14</v>
      </c>
      <c r="AN109" t="s">
        <v>45581</v>
      </c>
      <c r="AO109">
        <v>31200</v>
      </c>
      <c r="AU109">
        <v>0.7</v>
      </c>
      <c r="AV109" t="s">
        <v>458</v>
      </c>
      <c r="AW109" t="s">
        <v>46847</v>
      </c>
    </row>
    <row r="110" spans="1:50">
      <c r="A110" s="1">
        <f>HYPERLINK("https://lsnyc.legalserver.org/matter/dynamic-profile/view/1871282","18-1871282")</f>
        <v>0</v>
      </c>
      <c r="B110" t="s">
        <v>99</v>
      </c>
      <c r="C110" t="s">
        <v>341</v>
      </c>
      <c r="D110" t="s">
        <v>419</v>
      </c>
      <c r="E110" t="s">
        <v>510</v>
      </c>
      <c r="F110" t="s">
        <v>960</v>
      </c>
      <c r="G110" t="s">
        <v>5146</v>
      </c>
      <c r="H110" t="s">
        <v>9725</v>
      </c>
      <c r="I110" t="s">
        <v>17340</v>
      </c>
      <c r="J110" t="s">
        <v>18902</v>
      </c>
      <c r="K110">
        <v>10305</v>
      </c>
      <c r="L110" t="s">
        <v>18958</v>
      </c>
      <c r="M110" t="s">
        <v>18958</v>
      </c>
      <c r="N110" t="s">
        <v>19031</v>
      </c>
      <c r="O110" t="s">
        <v>26523</v>
      </c>
      <c r="P110" t="s">
        <v>26560</v>
      </c>
      <c r="Q110" t="s">
        <v>26568</v>
      </c>
      <c r="R110" t="s">
        <v>26578</v>
      </c>
      <c r="S110" t="s">
        <v>18959</v>
      </c>
      <c r="U110" t="s">
        <v>26604</v>
      </c>
      <c r="V110" t="s">
        <v>26610</v>
      </c>
      <c r="W110" t="s">
        <v>419</v>
      </c>
      <c r="X110">
        <v>1245</v>
      </c>
      <c r="Y110" t="s">
        <v>26654</v>
      </c>
      <c r="Z110" t="s">
        <v>26530</v>
      </c>
      <c r="AA110" t="s">
        <v>26678</v>
      </c>
      <c r="AB110" t="s">
        <v>26798</v>
      </c>
      <c r="AC110" t="s">
        <v>19330</v>
      </c>
      <c r="AD110" t="s">
        <v>36904</v>
      </c>
      <c r="AE110">
        <v>136</v>
      </c>
      <c r="AF110" t="s">
        <v>45541</v>
      </c>
      <c r="AG110" t="s">
        <v>19330</v>
      </c>
      <c r="AH110">
        <v>11</v>
      </c>
      <c r="AI110">
        <v>1</v>
      </c>
      <c r="AJ110">
        <v>0</v>
      </c>
      <c r="AK110">
        <v>271.83</v>
      </c>
      <c r="AL110" t="s">
        <v>419</v>
      </c>
      <c r="AM110" t="s">
        <v>45575</v>
      </c>
      <c r="AN110" t="s">
        <v>7439</v>
      </c>
      <c r="AO110">
        <v>33000</v>
      </c>
      <c r="AQ110" t="s">
        <v>46362</v>
      </c>
      <c r="AR110" t="s">
        <v>46379</v>
      </c>
      <c r="AS110" t="s">
        <v>46499</v>
      </c>
      <c r="AT110" t="s">
        <v>46530</v>
      </c>
      <c r="AU110">
        <v>8.9</v>
      </c>
      <c r="AV110" t="s">
        <v>586</v>
      </c>
      <c r="AW110" t="s">
        <v>190</v>
      </c>
    </row>
    <row r="111" spans="1:50">
      <c r="A111" s="1">
        <f>HYPERLINK("https://lsnyc.legalserver.org/matter/dynamic-profile/view/1871457","18-1871457")</f>
        <v>0</v>
      </c>
      <c r="B111" t="s">
        <v>100</v>
      </c>
      <c r="C111" t="s">
        <v>341</v>
      </c>
      <c r="D111" t="s">
        <v>419</v>
      </c>
      <c r="E111" t="s">
        <v>684</v>
      </c>
      <c r="F111" t="s">
        <v>958</v>
      </c>
      <c r="G111" t="s">
        <v>5145</v>
      </c>
      <c r="H111" t="s">
        <v>9724</v>
      </c>
      <c r="I111" t="s">
        <v>17338</v>
      </c>
      <c r="J111" t="s">
        <v>18892</v>
      </c>
      <c r="K111">
        <v>10468</v>
      </c>
      <c r="L111" t="s">
        <v>18958</v>
      </c>
      <c r="M111" t="s">
        <v>18958</v>
      </c>
      <c r="O111" t="s">
        <v>26527</v>
      </c>
      <c r="P111" t="s">
        <v>26562</v>
      </c>
      <c r="Q111" t="s">
        <v>26570</v>
      </c>
      <c r="R111" t="s">
        <v>26578</v>
      </c>
      <c r="S111" t="s">
        <v>18958</v>
      </c>
      <c r="U111" t="s">
        <v>26604</v>
      </c>
      <c r="W111" t="s">
        <v>419</v>
      </c>
      <c r="X111">
        <v>1286.46</v>
      </c>
      <c r="Y111" t="s">
        <v>26650</v>
      </c>
      <c r="Z111" t="s">
        <v>26663</v>
      </c>
      <c r="AA111" t="s">
        <v>26683</v>
      </c>
      <c r="AB111" t="s">
        <v>26796</v>
      </c>
      <c r="AD111" t="s">
        <v>36902</v>
      </c>
      <c r="AE111">
        <v>58</v>
      </c>
      <c r="AF111" t="s">
        <v>45541</v>
      </c>
      <c r="AG111" t="s">
        <v>19330</v>
      </c>
      <c r="AH111">
        <v>19</v>
      </c>
      <c r="AI111">
        <v>3</v>
      </c>
      <c r="AJ111">
        <v>1</v>
      </c>
      <c r="AK111">
        <v>123.51</v>
      </c>
      <c r="AN111" t="s">
        <v>45581</v>
      </c>
      <c r="AO111">
        <v>31000</v>
      </c>
      <c r="AU111">
        <v>0.5</v>
      </c>
      <c r="AV111" t="s">
        <v>419</v>
      </c>
      <c r="AW111" t="s">
        <v>46847</v>
      </c>
    </row>
    <row r="112" spans="1:50">
      <c r="A112" s="1">
        <f>HYPERLINK("https://lsnyc.legalserver.org/matter/dynamic-profile/view/1871434","18-1871434")</f>
        <v>0</v>
      </c>
      <c r="B112" t="s">
        <v>100</v>
      </c>
      <c r="C112" t="s">
        <v>341</v>
      </c>
      <c r="D112" t="s">
        <v>419</v>
      </c>
      <c r="E112" t="s">
        <v>684</v>
      </c>
      <c r="F112" t="s">
        <v>959</v>
      </c>
      <c r="G112" t="s">
        <v>1093</v>
      </c>
      <c r="H112" t="s">
        <v>9724</v>
      </c>
      <c r="I112" t="s">
        <v>17339</v>
      </c>
      <c r="J112" t="s">
        <v>18892</v>
      </c>
      <c r="K112">
        <v>10468</v>
      </c>
      <c r="L112" t="s">
        <v>18958</v>
      </c>
      <c r="M112" t="s">
        <v>18958</v>
      </c>
      <c r="O112" t="s">
        <v>26527</v>
      </c>
      <c r="P112" t="s">
        <v>26562</v>
      </c>
      <c r="Q112" t="s">
        <v>26570</v>
      </c>
      <c r="R112" t="s">
        <v>26578</v>
      </c>
      <c r="S112" t="s">
        <v>18958</v>
      </c>
      <c r="U112" t="s">
        <v>26604</v>
      </c>
      <c r="W112" t="s">
        <v>419</v>
      </c>
      <c r="X112">
        <v>833.27</v>
      </c>
      <c r="Y112" t="s">
        <v>26650</v>
      </c>
      <c r="Z112" t="s">
        <v>26663</v>
      </c>
      <c r="AA112" t="s">
        <v>26683</v>
      </c>
      <c r="AB112" t="s">
        <v>26797</v>
      </c>
      <c r="AD112" t="s">
        <v>36903</v>
      </c>
      <c r="AE112">
        <v>58</v>
      </c>
      <c r="AF112" t="s">
        <v>45541</v>
      </c>
      <c r="AH112">
        <v>22</v>
      </c>
      <c r="AI112">
        <v>1</v>
      </c>
      <c r="AJ112">
        <v>2</v>
      </c>
      <c r="AK112">
        <v>150.14</v>
      </c>
      <c r="AN112" t="s">
        <v>45581</v>
      </c>
      <c r="AO112">
        <v>31200</v>
      </c>
      <c r="AU112">
        <v>0.7</v>
      </c>
      <c r="AV112" t="s">
        <v>434</v>
      </c>
      <c r="AW112" t="s">
        <v>46847</v>
      </c>
    </row>
    <row r="113" spans="1:50">
      <c r="A113" s="1">
        <f>HYPERLINK("https://lsnyc.legalserver.org/matter/dynamic-profile/view/1871343","18-1871343")</f>
        <v>0</v>
      </c>
      <c r="B113" t="s">
        <v>101</v>
      </c>
      <c r="C113" t="s">
        <v>341</v>
      </c>
      <c r="D113" t="s">
        <v>419</v>
      </c>
      <c r="E113" t="s">
        <v>494</v>
      </c>
      <c r="F113" t="s">
        <v>961</v>
      </c>
      <c r="G113" t="s">
        <v>5147</v>
      </c>
      <c r="H113" t="s">
        <v>9726</v>
      </c>
      <c r="I113" t="s">
        <v>17341</v>
      </c>
      <c r="J113" t="s">
        <v>18894</v>
      </c>
      <c r="K113">
        <v>11215</v>
      </c>
      <c r="L113" t="s">
        <v>18958</v>
      </c>
      <c r="M113" t="s">
        <v>18958</v>
      </c>
      <c r="N113" t="s">
        <v>19032</v>
      </c>
      <c r="O113" t="s">
        <v>26523</v>
      </c>
      <c r="P113" t="s">
        <v>26560</v>
      </c>
      <c r="Q113" t="s">
        <v>26568</v>
      </c>
      <c r="R113" t="s">
        <v>26586</v>
      </c>
      <c r="S113" t="s">
        <v>18959</v>
      </c>
      <c r="U113" t="s">
        <v>26604</v>
      </c>
      <c r="V113" t="s">
        <v>26610</v>
      </c>
      <c r="W113" t="s">
        <v>419</v>
      </c>
      <c r="X113">
        <v>943.25</v>
      </c>
      <c r="Y113" t="s">
        <v>26652</v>
      </c>
      <c r="Z113" t="s">
        <v>26659</v>
      </c>
      <c r="AA113" t="s">
        <v>26678</v>
      </c>
      <c r="AB113" t="s">
        <v>26799</v>
      </c>
      <c r="AC113" t="s">
        <v>34513</v>
      </c>
      <c r="AD113" t="s">
        <v>36905</v>
      </c>
      <c r="AE113">
        <v>8</v>
      </c>
      <c r="AF113" t="s">
        <v>45541</v>
      </c>
      <c r="AG113" t="s">
        <v>45557</v>
      </c>
      <c r="AH113">
        <v>21</v>
      </c>
      <c r="AI113">
        <v>1</v>
      </c>
      <c r="AJ113">
        <v>1</v>
      </c>
      <c r="AK113">
        <v>54.53</v>
      </c>
      <c r="AN113" t="s">
        <v>7439</v>
      </c>
      <c r="AO113">
        <v>8976</v>
      </c>
      <c r="AQ113" t="s">
        <v>46362</v>
      </c>
      <c r="AR113" t="s">
        <v>46382</v>
      </c>
      <c r="AS113" t="s">
        <v>46499</v>
      </c>
      <c r="AT113" t="s">
        <v>46527</v>
      </c>
      <c r="AU113">
        <v>20.05</v>
      </c>
      <c r="AV113" t="s">
        <v>707</v>
      </c>
      <c r="AW113" t="s">
        <v>237</v>
      </c>
    </row>
    <row r="114" spans="1:50">
      <c r="A114" s="1">
        <f>HYPERLINK("https://lsnyc.legalserver.org/matter/dynamic-profile/view/1871332","18-1871332")</f>
        <v>0</v>
      </c>
      <c r="B114" t="s">
        <v>102</v>
      </c>
      <c r="C114" t="s">
        <v>341</v>
      </c>
      <c r="D114" t="s">
        <v>419</v>
      </c>
      <c r="E114" t="s">
        <v>641</v>
      </c>
      <c r="F114" t="s">
        <v>962</v>
      </c>
      <c r="G114" t="s">
        <v>5148</v>
      </c>
      <c r="H114" t="s">
        <v>9727</v>
      </c>
      <c r="I114" t="s">
        <v>17284</v>
      </c>
      <c r="J114" t="s">
        <v>18892</v>
      </c>
      <c r="K114">
        <v>10462</v>
      </c>
      <c r="L114" t="s">
        <v>18958</v>
      </c>
      <c r="M114" t="s">
        <v>18960</v>
      </c>
      <c r="N114" t="s">
        <v>19033</v>
      </c>
      <c r="O114" t="s">
        <v>26523</v>
      </c>
      <c r="P114" t="s">
        <v>26560</v>
      </c>
      <c r="Q114" t="s">
        <v>26568</v>
      </c>
      <c r="R114" t="s">
        <v>26578</v>
      </c>
      <c r="S114" t="s">
        <v>18959</v>
      </c>
      <c r="U114" t="s">
        <v>26604</v>
      </c>
      <c r="V114" t="s">
        <v>26614</v>
      </c>
      <c r="W114" t="s">
        <v>419</v>
      </c>
      <c r="X114">
        <v>1676.46</v>
      </c>
      <c r="Y114" t="s">
        <v>26650</v>
      </c>
      <c r="AA114" t="s">
        <v>26678</v>
      </c>
      <c r="AB114" t="s">
        <v>26800</v>
      </c>
      <c r="AC114" t="s">
        <v>34514</v>
      </c>
      <c r="AD114" t="s">
        <v>36906</v>
      </c>
      <c r="AE114">
        <v>50</v>
      </c>
      <c r="AH114">
        <v>15</v>
      </c>
      <c r="AI114">
        <v>2</v>
      </c>
      <c r="AJ114">
        <v>4</v>
      </c>
      <c r="AK114">
        <v>0</v>
      </c>
      <c r="AN114" t="s">
        <v>45584</v>
      </c>
      <c r="AO114">
        <v>0</v>
      </c>
      <c r="AP114" t="s">
        <v>45621</v>
      </c>
      <c r="AU114">
        <v>34.75</v>
      </c>
      <c r="AV114" t="s">
        <v>579</v>
      </c>
      <c r="AW114" t="s">
        <v>334</v>
      </c>
    </row>
    <row r="115" spans="1:50">
      <c r="A115" s="1">
        <f>HYPERLINK("https://lsnyc.legalserver.org/matter/dynamic-profile/view/1871289","18-1871289")</f>
        <v>0</v>
      </c>
      <c r="B115" t="s">
        <v>103</v>
      </c>
      <c r="C115" t="s">
        <v>341</v>
      </c>
      <c r="D115" t="s">
        <v>419</v>
      </c>
      <c r="E115" t="s">
        <v>779</v>
      </c>
      <c r="F115" t="s">
        <v>963</v>
      </c>
      <c r="G115" t="s">
        <v>5149</v>
      </c>
      <c r="H115" t="s">
        <v>9728</v>
      </c>
      <c r="I115">
        <v>1</v>
      </c>
      <c r="J115" t="s">
        <v>18902</v>
      </c>
      <c r="K115">
        <v>10304</v>
      </c>
      <c r="L115" t="s">
        <v>18958</v>
      </c>
      <c r="M115" t="s">
        <v>18958</v>
      </c>
      <c r="N115" t="s">
        <v>19034</v>
      </c>
      <c r="O115" t="s">
        <v>26524</v>
      </c>
      <c r="P115" t="s">
        <v>26560</v>
      </c>
      <c r="Q115" t="s">
        <v>26568</v>
      </c>
      <c r="R115" t="s">
        <v>26578</v>
      </c>
      <c r="S115" t="s">
        <v>18959</v>
      </c>
      <c r="U115" t="s">
        <v>26604</v>
      </c>
      <c r="V115" t="s">
        <v>26610</v>
      </c>
      <c r="W115" t="s">
        <v>419</v>
      </c>
      <c r="X115">
        <v>1213</v>
      </c>
      <c r="Y115" t="s">
        <v>26654</v>
      </c>
      <c r="Z115" t="s">
        <v>26530</v>
      </c>
      <c r="AA115" t="s">
        <v>26679</v>
      </c>
      <c r="AB115" t="s">
        <v>26801</v>
      </c>
      <c r="AD115" t="s">
        <v>36907</v>
      </c>
      <c r="AE115">
        <v>2</v>
      </c>
      <c r="AF115" t="s">
        <v>45547</v>
      </c>
      <c r="AG115" t="s">
        <v>45560</v>
      </c>
      <c r="AH115">
        <v>1</v>
      </c>
      <c r="AI115">
        <v>1</v>
      </c>
      <c r="AJ115">
        <v>0</v>
      </c>
      <c r="AK115">
        <v>74.23</v>
      </c>
      <c r="AN115" t="s">
        <v>7439</v>
      </c>
      <c r="AO115">
        <v>9012</v>
      </c>
      <c r="AQ115" t="s">
        <v>46365</v>
      </c>
      <c r="AR115" t="s">
        <v>46384</v>
      </c>
      <c r="AS115" t="s">
        <v>46500</v>
      </c>
      <c r="AT115" t="s">
        <v>46531</v>
      </c>
      <c r="AU115">
        <v>22.5</v>
      </c>
      <c r="AV115" t="s">
        <v>779</v>
      </c>
      <c r="AW115" t="s">
        <v>190</v>
      </c>
    </row>
    <row r="116" spans="1:50">
      <c r="A116" s="1">
        <f>HYPERLINK("https://lsnyc.legalserver.org/matter/dynamic-profile/view/1871379","18-1871379")</f>
        <v>0</v>
      </c>
      <c r="B116" t="s">
        <v>51</v>
      </c>
      <c r="C116" t="s">
        <v>341</v>
      </c>
      <c r="D116" t="s">
        <v>419</v>
      </c>
      <c r="E116" t="s">
        <v>428</v>
      </c>
      <c r="F116" t="s">
        <v>964</v>
      </c>
      <c r="G116" t="s">
        <v>5150</v>
      </c>
      <c r="H116" t="s">
        <v>9729</v>
      </c>
      <c r="I116" t="s">
        <v>17316</v>
      </c>
      <c r="J116" t="s">
        <v>18892</v>
      </c>
      <c r="K116">
        <v>10454</v>
      </c>
      <c r="L116" t="s">
        <v>18958</v>
      </c>
      <c r="M116" t="s">
        <v>18958</v>
      </c>
      <c r="N116" t="s">
        <v>19035</v>
      </c>
      <c r="O116" t="s">
        <v>26523</v>
      </c>
      <c r="P116" t="s">
        <v>26560</v>
      </c>
      <c r="Q116" t="s">
        <v>26568</v>
      </c>
      <c r="R116" t="s">
        <v>26577</v>
      </c>
      <c r="S116" t="s">
        <v>18959</v>
      </c>
      <c r="U116" t="s">
        <v>26604</v>
      </c>
      <c r="V116" t="s">
        <v>26614</v>
      </c>
      <c r="W116" t="s">
        <v>419</v>
      </c>
      <c r="X116">
        <v>1625</v>
      </c>
      <c r="Y116" t="s">
        <v>26650</v>
      </c>
      <c r="Z116" t="s">
        <v>26661</v>
      </c>
      <c r="AA116" t="s">
        <v>26678</v>
      </c>
      <c r="AB116" t="s">
        <v>26802</v>
      </c>
      <c r="AC116" t="s">
        <v>34515</v>
      </c>
      <c r="AD116" t="s">
        <v>36908</v>
      </c>
      <c r="AE116">
        <v>18</v>
      </c>
      <c r="AF116" t="s">
        <v>45541</v>
      </c>
      <c r="AG116" t="s">
        <v>45556</v>
      </c>
      <c r="AH116">
        <v>9</v>
      </c>
      <c r="AI116">
        <v>1</v>
      </c>
      <c r="AJ116">
        <v>5</v>
      </c>
      <c r="AK116">
        <v>69.97</v>
      </c>
      <c r="AN116" t="s">
        <v>7439</v>
      </c>
      <c r="AO116">
        <v>23608</v>
      </c>
      <c r="AP116" t="s">
        <v>45621</v>
      </c>
      <c r="AR116" t="s">
        <v>46379</v>
      </c>
      <c r="AS116" t="s">
        <v>46499</v>
      </c>
      <c r="AT116" t="s">
        <v>46532</v>
      </c>
      <c r="AU116">
        <v>4.1</v>
      </c>
      <c r="AV116" t="s">
        <v>469</v>
      </c>
      <c r="AW116" t="s">
        <v>46832</v>
      </c>
    </row>
    <row r="117" spans="1:50">
      <c r="A117" s="1">
        <f>HYPERLINK("https://lsnyc.legalserver.org/matter/dynamic-profile/view/1871444","18-1871444")</f>
        <v>0</v>
      </c>
      <c r="B117" t="s">
        <v>100</v>
      </c>
      <c r="C117" t="s">
        <v>340</v>
      </c>
      <c r="D117" t="s">
        <v>419</v>
      </c>
      <c r="F117" t="s">
        <v>965</v>
      </c>
      <c r="G117" t="s">
        <v>5151</v>
      </c>
      <c r="H117" t="s">
        <v>9724</v>
      </c>
      <c r="I117" t="s">
        <v>17342</v>
      </c>
      <c r="J117" t="s">
        <v>18892</v>
      </c>
      <c r="K117">
        <v>10468</v>
      </c>
      <c r="L117" t="s">
        <v>18958</v>
      </c>
      <c r="M117" t="s">
        <v>18958</v>
      </c>
      <c r="N117" t="s">
        <v>19036</v>
      </c>
      <c r="O117" t="s">
        <v>26526</v>
      </c>
      <c r="P117" t="s">
        <v>26560</v>
      </c>
      <c r="R117" t="s">
        <v>26578</v>
      </c>
      <c r="S117" t="s">
        <v>18958</v>
      </c>
      <c r="U117" t="s">
        <v>26604</v>
      </c>
      <c r="W117" t="s">
        <v>419</v>
      </c>
      <c r="X117">
        <v>861</v>
      </c>
      <c r="Y117" t="s">
        <v>26650</v>
      </c>
      <c r="Z117" t="s">
        <v>26663</v>
      </c>
      <c r="AB117" t="s">
        <v>26803</v>
      </c>
      <c r="AD117" t="s">
        <v>36909</v>
      </c>
      <c r="AE117">
        <v>58</v>
      </c>
      <c r="AF117" t="s">
        <v>45541</v>
      </c>
      <c r="AG117" t="s">
        <v>45559</v>
      </c>
      <c r="AH117">
        <v>30</v>
      </c>
      <c r="AI117">
        <v>4</v>
      </c>
      <c r="AJ117">
        <v>0</v>
      </c>
      <c r="AK117">
        <v>76.48999999999999</v>
      </c>
      <c r="AN117" t="s">
        <v>45581</v>
      </c>
      <c r="AO117">
        <v>19200</v>
      </c>
      <c r="AU117">
        <v>552.99</v>
      </c>
      <c r="AV117" t="s">
        <v>801</v>
      </c>
      <c r="AW117" t="s">
        <v>46847</v>
      </c>
    </row>
    <row r="118" spans="1:50">
      <c r="A118" s="1">
        <f>HYPERLINK("https://lsnyc.legalserver.org/matter/dynamic-profile/view/1871454","18-1871454")</f>
        <v>0</v>
      </c>
      <c r="B118" t="s">
        <v>100</v>
      </c>
      <c r="C118" t="s">
        <v>340</v>
      </c>
      <c r="D118" t="s">
        <v>419</v>
      </c>
      <c r="F118" t="s">
        <v>966</v>
      </c>
      <c r="G118" t="s">
        <v>5152</v>
      </c>
      <c r="H118" t="s">
        <v>9724</v>
      </c>
      <c r="I118" t="s">
        <v>17343</v>
      </c>
      <c r="J118" t="s">
        <v>18892</v>
      </c>
      <c r="K118">
        <v>10468</v>
      </c>
      <c r="L118" t="s">
        <v>18958</v>
      </c>
      <c r="M118" t="s">
        <v>18958</v>
      </c>
      <c r="N118" t="s">
        <v>19036</v>
      </c>
      <c r="O118" t="s">
        <v>26526</v>
      </c>
      <c r="P118" t="s">
        <v>26560</v>
      </c>
      <c r="R118" t="s">
        <v>26578</v>
      </c>
      <c r="S118" t="s">
        <v>18958</v>
      </c>
      <c r="U118" t="s">
        <v>26604</v>
      </c>
      <c r="V118" t="s">
        <v>26610</v>
      </c>
      <c r="W118" t="s">
        <v>419</v>
      </c>
      <c r="X118">
        <v>1495</v>
      </c>
      <c r="Y118" t="s">
        <v>26650</v>
      </c>
      <c r="Z118" t="s">
        <v>26663</v>
      </c>
      <c r="AB118" t="s">
        <v>26804</v>
      </c>
      <c r="AD118" t="s">
        <v>36910</v>
      </c>
      <c r="AE118">
        <v>58</v>
      </c>
      <c r="AF118" t="s">
        <v>45541</v>
      </c>
      <c r="AH118">
        <v>1</v>
      </c>
      <c r="AI118">
        <v>2</v>
      </c>
      <c r="AJ118">
        <v>0</v>
      </c>
      <c r="AK118">
        <v>467.8</v>
      </c>
      <c r="AN118" t="s">
        <v>7439</v>
      </c>
      <c r="AO118">
        <v>77000</v>
      </c>
      <c r="AU118">
        <v>0.5</v>
      </c>
      <c r="AV118" t="s">
        <v>419</v>
      </c>
      <c r="AW118" t="s">
        <v>46847</v>
      </c>
    </row>
    <row r="119" spans="1:50">
      <c r="A119" s="1">
        <f>HYPERLINK("https://lsnyc.legalserver.org/matter/dynamic-profile/view/1871390","18-1871390")</f>
        <v>0</v>
      </c>
      <c r="B119" t="s">
        <v>100</v>
      </c>
      <c r="C119" t="s">
        <v>340</v>
      </c>
      <c r="D119" t="s">
        <v>419</v>
      </c>
      <c r="F119" t="s">
        <v>967</v>
      </c>
      <c r="G119" t="s">
        <v>5153</v>
      </c>
      <c r="H119" t="s">
        <v>9724</v>
      </c>
      <c r="I119" t="s">
        <v>17344</v>
      </c>
      <c r="J119" t="s">
        <v>18892</v>
      </c>
      <c r="K119">
        <v>10468</v>
      </c>
      <c r="L119" t="s">
        <v>18958</v>
      </c>
      <c r="M119" t="s">
        <v>18958</v>
      </c>
      <c r="N119" t="s">
        <v>19036</v>
      </c>
      <c r="O119" t="s">
        <v>26526</v>
      </c>
      <c r="P119" t="s">
        <v>26560</v>
      </c>
      <c r="R119" t="s">
        <v>26578</v>
      </c>
      <c r="S119" t="s">
        <v>18958</v>
      </c>
      <c r="U119" t="s">
        <v>26604</v>
      </c>
      <c r="V119" t="s">
        <v>26610</v>
      </c>
      <c r="W119" t="s">
        <v>419</v>
      </c>
      <c r="X119">
        <v>1613.2</v>
      </c>
      <c r="Y119" t="s">
        <v>26650</v>
      </c>
      <c r="Z119" t="s">
        <v>26663</v>
      </c>
      <c r="AB119" t="s">
        <v>26805</v>
      </c>
      <c r="AD119" t="s">
        <v>36911</v>
      </c>
      <c r="AE119">
        <v>58</v>
      </c>
      <c r="AF119" t="s">
        <v>45541</v>
      </c>
      <c r="AG119" t="s">
        <v>19330</v>
      </c>
      <c r="AH119">
        <v>20</v>
      </c>
      <c r="AI119">
        <v>1</v>
      </c>
      <c r="AJ119">
        <v>0</v>
      </c>
      <c r="AK119">
        <v>535.42</v>
      </c>
      <c r="AN119" t="s">
        <v>45581</v>
      </c>
      <c r="AO119">
        <v>65000</v>
      </c>
      <c r="AU119">
        <v>0.5</v>
      </c>
      <c r="AV119" t="s">
        <v>419</v>
      </c>
      <c r="AW119" t="s">
        <v>46847</v>
      </c>
    </row>
    <row r="120" spans="1:50">
      <c r="A120" s="1">
        <f>HYPERLINK("https://lsnyc.legalserver.org/matter/dynamic-profile/view/1871354","18-1871354")</f>
        <v>0</v>
      </c>
      <c r="B120" t="s">
        <v>103</v>
      </c>
      <c r="C120" t="s">
        <v>340</v>
      </c>
      <c r="D120" t="s">
        <v>419</v>
      </c>
      <c r="F120" t="s">
        <v>879</v>
      </c>
      <c r="G120" t="s">
        <v>5154</v>
      </c>
      <c r="H120" t="s">
        <v>9730</v>
      </c>
      <c r="I120" t="s">
        <v>17309</v>
      </c>
      <c r="J120" t="s">
        <v>18902</v>
      </c>
      <c r="K120">
        <v>10301</v>
      </c>
      <c r="L120" t="s">
        <v>18958</v>
      </c>
      <c r="M120" t="s">
        <v>18958</v>
      </c>
      <c r="N120" t="s">
        <v>19037</v>
      </c>
      <c r="O120" t="s">
        <v>26524</v>
      </c>
      <c r="P120" t="s">
        <v>26565</v>
      </c>
      <c r="R120" t="s">
        <v>26578</v>
      </c>
      <c r="S120" t="s">
        <v>18959</v>
      </c>
      <c r="U120" t="s">
        <v>26604</v>
      </c>
      <c r="V120" t="s">
        <v>26610</v>
      </c>
      <c r="W120" t="s">
        <v>419</v>
      </c>
      <c r="X120">
        <v>650</v>
      </c>
      <c r="Y120" t="s">
        <v>26654</v>
      </c>
      <c r="Z120" t="s">
        <v>26659</v>
      </c>
      <c r="AB120" t="s">
        <v>26806</v>
      </c>
      <c r="AD120" t="s">
        <v>36912</v>
      </c>
      <c r="AE120">
        <v>19</v>
      </c>
      <c r="AF120" t="s">
        <v>45541</v>
      </c>
      <c r="AG120" t="s">
        <v>19330</v>
      </c>
      <c r="AH120">
        <v>21</v>
      </c>
      <c r="AI120">
        <v>1</v>
      </c>
      <c r="AJ120">
        <v>0</v>
      </c>
      <c r="AK120">
        <v>85.11</v>
      </c>
      <c r="AN120" t="s">
        <v>7439</v>
      </c>
      <c r="AO120">
        <v>10332</v>
      </c>
      <c r="AU120">
        <v>6.1</v>
      </c>
      <c r="AV120" t="s">
        <v>821</v>
      </c>
      <c r="AW120" t="s">
        <v>103</v>
      </c>
      <c r="AX120" t="s">
        <v>46897</v>
      </c>
    </row>
    <row r="121" spans="1:50">
      <c r="A121" s="1">
        <f>HYPERLINK("https://lsnyc.legalserver.org/matter/dynamic-profile/view/1870817","18-1870817")</f>
        <v>0</v>
      </c>
      <c r="B121" t="s">
        <v>104</v>
      </c>
      <c r="C121" t="s">
        <v>340</v>
      </c>
      <c r="D121" t="s">
        <v>419</v>
      </c>
      <c r="F121" t="s">
        <v>968</v>
      </c>
      <c r="G121" t="s">
        <v>5155</v>
      </c>
      <c r="H121" t="s">
        <v>9731</v>
      </c>
      <c r="I121">
        <v>1</v>
      </c>
      <c r="J121" t="s">
        <v>18902</v>
      </c>
      <c r="K121">
        <v>10306</v>
      </c>
      <c r="L121" t="s">
        <v>18958</v>
      </c>
      <c r="M121" t="s">
        <v>18960</v>
      </c>
      <c r="N121" t="s">
        <v>19038</v>
      </c>
      <c r="O121" t="s">
        <v>26524</v>
      </c>
      <c r="P121" t="s">
        <v>26560</v>
      </c>
      <c r="R121" t="s">
        <v>26587</v>
      </c>
      <c r="S121" t="s">
        <v>18959</v>
      </c>
      <c r="U121" t="s">
        <v>26604</v>
      </c>
      <c r="V121" t="s">
        <v>26610</v>
      </c>
      <c r="W121" t="s">
        <v>419</v>
      </c>
      <c r="X121">
        <v>800</v>
      </c>
      <c r="Y121" t="s">
        <v>26654</v>
      </c>
      <c r="Z121" t="s">
        <v>26663</v>
      </c>
      <c r="AB121" t="s">
        <v>26807</v>
      </c>
      <c r="AC121" t="s">
        <v>19330</v>
      </c>
      <c r="AD121" t="s">
        <v>36913</v>
      </c>
      <c r="AE121">
        <v>2</v>
      </c>
      <c r="AF121" t="s">
        <v>45547</v>
      </c>
      <c r="AG121" t="s">
        <v>19330</v>
      </c>
      <c r="AH121">
        <v>17</v>
      </c>
      <c r="AI121">
        <v>2</v>
      </c>
      <c r="AJ121">
        <v>0</v>
      </c>
      <c r="AK121">
        <v>62.7</v>
      </c>
      <c r="AN121" t="s">
        <v>7439</v>
      </c>
      <c r="AO121">
        <v>10320</v>
      </c>
      <c r="AQ121" t="s">
        <v>46365</v>
      </c>
      <c r="AU121">
        <v>57.05</v>
      </c>
      <c r="AV121" t="s">
        <v>817</v>
      </c>
      <c r="AW121" t="s">
        <v>46852</v>
      </c>
    </row>
    <row r="122" spans="1:50">
      <c r="A122" s="1">
        <f>HYPERLINK("https://lsnyc.legalserver.org/matter/dynamic-profile/view/1871394","18-1871394")</f>
        <v>0</v>
      </c>
      <c r="B122" t="s">
        <v>69</v>
      </c>
      <c r="C122" t="s">
        <v>340</v>
      </c>
      <c r="D122" t="s">
        <v>419</v>
      </c>
      <c r="F122" t="s">
        <v>969</v>
      </c>
      <c r="G122" t="s">
        <v>5156</v>
      </c>
      <c r="H122" t="s">
        <v>9732</v>
      </c>
      <c r="I122" t="s">
        <v>17274</v>
      </c>
      <c r="J122" t="s">
        <v>18903</v>
      </c>
      <c r="K122">
        <v>10467</v>
      </c>
      <c r="L122" t="s">
        <v>18958</v>
      </c>
      <c r="M122" t="s">
        <v>18958</v>
      </c>
      <c r="N122" t="s">
        <v>19039</v>
      </c>
      <c r="O122" t="s">
        <v>26524</v>
      </c>
      <c r="P122" t="s">
        <v>26560</v>
      </c>
      <c r="R122" t="s">
        <v>26579</v>
      </c>
      <c r="U122" t="s">
        <v>26604</v>
      </c>
      <c r="V122" t="s">
        <v>26610</v>
      </c>
      <c r="W122" t="s">
        <v>419</v>
      </c>
      <c r="X122">
        <v>1250</v>
      </c>
      <c r="Y122" t="s">
        <v>26650</v>
      </c>
      <c r="Z122" t="s">
        <v>26659</v>
      </c>
      <c r="AB122" t="s">
        <v>26808</v>
      </c>
      <c r="AD122" t="s">
        <v>36914</v>
      </c>
      <c r="AE122">
        <v>0</v>
      </c>
      <c r="AF122" t="s">
        <v>45541</v>
      </c>
      <c r="AG122" t="s">
        <v>45559</v>
      </c>
      <c r="AH122">
        <v>25</v>
      </c>
      <c r="AI122">
        <v>2</v>
      </c>
      <c r="AJ122">
        <v>0</v>
      </c>
      <c r="AK122">
        <v>189.55</v>
      </c>
      <c r="AN122" t="s">
        <v>7439</v>
      </c>
      <c r="AO122">
        <v>31200</v>
      </c>
      <c r="AP122" t="s">
        <v>45621</v>
      </c>
      <c r="AU122">
        <v>106.45</v>
      </c>
      <c r="AV122" t="s">
        <v>834</v>
      </c>
      <c r="AW122" t="s">
        <v>46842</v>
      </c>
    </row>
    <row r="123" spans="1:50">
      <c r="A123" s="1">
        <f>HYPERLINK("https://lsnyc.legalserver.org/matter/dynamic-profile/view/1871542","18-1871542")</f>
        <v>0</v>
      </c>
      <c r="B123" t="s">
        <v>105</v>
      </c>
      <c r="C123" t="s">
        <v>341</v>
      </c>
      <c r="D123" t="s">
        <v>420</v>
      </c>
      <c r="E123" t="s">
        <v>667</v>
      </c>
      <c r="F123" t="s">
        <v>970</v>
      </c>
      <c r="G123" t="s">
        <v>5157</v>
      </c>
      <c r="H123" t="s">
        <v>9733</v>
      </c>
      <c r="I123">
        <v>2</v>
      </c>
      <c r="J123" t="s">
        <v>18904</v>
      </c>
      <c r="K123">
        <v>11421</v>
      </c>
      <c r="L123" t="s">
        <v>18958</v>
      </c>
      <c r="M123" t="s">
        <v>18958</v>
      </c>
      <c r="N123" t="s">
        <v>19040</v>
      </c>
      <c r="O123" t="s">
        <v>26524</v>
      </c>
      <c r="P123" t="s">
        <v>26560</v>
      </c>
      <c r="Q123" t="s">
        <v>26568</v>
      </c>
      <c r="R123" t="s">
        <v>26584</v>
      </c>
      <c r="S123" t="s">
        <v>18959</v>
      </c>
      <c r="U123" t="s">
        <v>26604</v>
      </c>
      <c r="V123" t="s">
        <v>26609</v>
      </c>
      <c r="W123" t="s">
        <v>419</v>
      </c>
      <c r="X123">
        <v>0</v>
      </c>
      <c r="Y123" t="s">
        <v>26653</v>
      </c>
      <c r="Z123" t="s">
        <v>26530</v>
      </c>
      <c r="AA123" t="s">
        <v>26679</v>
      </c>
      <c r="AB123" t="s">
        <v>26809</v>
      </c>
      <c r="AC123" t="s">
        <v>19045</v>
      </c>
      <c r="AE123">
        <v>2</v>
      </c>
      <c r="AF123" t="s">
        <v>45547</v>
      </c>
      <c r="AG123" t="s">
        <v>26530</v>
      </c>
      <c r="AH123">
        <v>1</v>
      </c>
      <c r="AI123">
        <v>1</v>
      </c>
      <c r="AJ123">
        <v>0</v>
      </c>
      <c r="AK123">
        <v>107.74</v>
      </c>
      <c r="AN123" t="s">
        <v>7439</v>
      </c>
      <c r="AO123">
        <v>13080</v>
      </c>
      <c r="AR123" t="s">
        <v>26530</v>
      </c>
      <c r="AS123" t="s">
        <v>46500</v>
      </c>
      <c r="AT123" t="s">
        <v>46533</v>
      </c>
      <c r="AU123">
        <v>10.8</v>
      </c>
      <c r="AV123" t="s">
        <v>675</v>
      </c>
      <c r="AW123" t="s">
        <v>105</v>
      </c>
    </row>
    <row r="124" spans="1:50">
      <c r="A124" s="1">
        <f>HYPERLINK("https://lsnyc.legalserver.org/matter/dynamic-profile/view/1871576","18-1871576")</f>
        <v>0</v>
      </c>
      <c r="B124" t="s">
        <v>106</v>
      </c>
      <c r="C124" t="s">
        <v>341</v>
      </c>
      <c r="D124" t="s">
        <v>420</v>
      </c>
      <c r="E124" t="s">
        <v>594</v>
      </c>
      <c r="F124" t="s">
        <v>928</v>
      </c>
      <c r="G124" t="s">
        <v>3036</v>
      </c>
      <c r="H124" t="s">
        <v>9734</v>
      </c>
      <c r="I124" t="s">
        <v>17345</v>
      </c>
      <c r="J124" t="s">
        <v>18894</v>
      </c>
      <c r="K124">
        <v>11221</v>
      </c>
      <c r="L124" t="s">
        <v>18958</v>
      </c>
      <c r="M124" t="s">
        <v>18958</v>
      </c>
      <c r="N124" t="s">
        <v>19041</v>
      </c>
      <c r="O124" t="s">
        <v>26523</v>
      </c>
      <c r="P124" t="s">
        <v>26560</v>
      </c>
      <c r="Q124" t="s">
        <v>26573</v>
      </c>
      <c r="R124" t="s">
        <v>26588</v>
      </c>
      <c r="S124" t="s">
        <v>18959</v>
      </c>
      <c r="U124" t="s">
        <v>26604</v>
      </c>
      <c r="V124" t="s">
        <v>26610</v>
      </c>
      <c r="W124" t="s">
        <v>419</v>
      </c>
      <c r="X124">
        <v>628</v>
      </c>
      <c r="Y124" t="s">
        <v>26652</v>
      </c>
      <c r="Z124" t="s">
        <v>26669</v>
      </c>
      <c r="AA124" t="s">
        <v>26678</v>
      </c>
      <c r="AB124" t="s">
        <v>26810</v>
      </c>
      <c r="AD124" t="s">
        <v>36915</v>
      </c>
      <c r="AE124">
        <v>85</v>
      </c>
      <c r="AF124" t="s">
        <v>45551</v>
      </c>
      <c r="AG124" t="s">
        <v>19330</v>
      </c>
      <c r="AH124">
        <v>24</v>
      </c>
      <c r="AI124">
        <v>1</v>
      </c>
      <c r="AJ124">
        <v>0</v>
      </c>
      <c r="AK124">
        <v>13.64</v>
      </c>
      <c r="AN124" t="s">
        <v>7439</v>
      </c>
      <c r="AO124">
        <v>1656</v>
      </c>
      <c r="AQ124" t="s">
        <v>46359</v>
      </c>
      <c r="AR124" t="s">
        <v>46380</v>
      </c>
      <c r="AS124" t="s">
        <v>46499</v>
      </c>
      <c r="AT124" t="s">
        <v>46534</v>
      </c>
      <c r="AU124">
        <v>16.1</v>
      </c>
      <c r="AV124" t="s">
        <v>614</v>
      </c>
      <c r="AW124" t="s">
        <v>46853</v>
      </c>
    </row>
    <row r="125" spans="1:50">
      <c r="A125" s="1">
        <f>HYPERLINK("https://lsnyc.legalserver.org/matter/dynamic-profile/view/1839741","17-1839741")</f>
        <v>0</v>
      </c>
      <c r="B125" t="s">
        <v>58</v>
      </c>
      <c r="C125" t="s">
        <v>341</v>
      </c>
      <c r="D125" t="s">
        <v>421</v>
      </c>
      <c r="E125" t="s">
        <v>843</v>
      </c>
      <c r="F125" t="s">
        <v>971</v>
      </c>
      <c r="G125" t="s">
        <v>5158</v>
      </c>
      <c r="H125" t="s">
        <v>9735</v>
      </c>
      <c r="I125" t="s">
        <v>17346</v>
      </c>
      <c r="J125" t="s">
        <v>18892</v>
      </c>
      <c r="K125">
        <v>10460</v>
      </c>
      <c r="L125" t="s">
        <v>18958</v>
      </c>
      <c r="M125" t="s">
        <v>18958</v>
      </c>
      <c r="N125" t="s">
        <v>19042</v>
      </c>
      <c r="O125" t="s">
        <v>26523</v>
      </c>
      <c r="P125" t="s">
        <v>26560</v>
      </c>
      <c r="Q125" t="s">
        <v>26574</v>
      </c>
      <c r="R125" t="s">
        <v>26577</v>
      </c>
      <c r="U125" t="s">
        <v>26604</v>
      </c>
      <c r="V125" t="s">
        <v>26611</v>
      </c>
      <c r="W125" t="s">
        <v>420</v>
      </c>
      <c r="X125">
        <v>1500</v>
      </c>
      <c r="Y125" t="s">
        <v>26650</v>
      </c>
      <c r="Z125" t="s">
        <v>26662</v>
      </c>
      <c r="AA125" t="s">
        <v>26678</v>
      </c>
      <c r="AB125" t="s">
        <v>26811</v>
      </c>
      <c r="AC125" t="s">
        <v>34516</v>
      </c>
      <c r="AD125" t="s">
        <v>36916</v>
      </c>
      <c r="AE125">
        <v>0</v>
      </c>
      <c r="AG125" t="s">
        <v>45556</v>
      </c>
      <c r="AH125">
        <v>9</v>
      </c>
      <c r="AI125">
        <v>2</v>
      </c>
      <c r="AJ125">
        <v>1</v>
      </c>
      <c r="AK125">
        <v>137.12</v>
      </c>
      <c r="AN125" t="s">
        <v>7439</v>
      </c>
      <c r="AO125">
        <v>28000</v>
      </c>
      <c r="AP125" t="s">
        <v>45633</v>
      </c>
      <c r="AS125" t="s">
        <v>46499</v>
      </c>
      <c r="AU125">
        <v>45.7</v>
      </c>
      <c r="AV125" t="s">
        <v>843</v>
      </c>
      <c r="AW125" t="s">
        <v>46839</v>
      </c>
    </row>
    <row r="126" spans="1:50">
      <c r="A126" s="1">
        <f>HYPERLINK("https://lsnyc.legalserver.org/matter/dynamic-profile/view/1839770","17-1839770")</f>
        <v>0</v>
      </c>
      <c r="B126" t="s">
        <v>53</v>
      </c>
      <c r="C126" t="s">
        <v>341</v>
      </c>
      <c r="D126" t="s">
        <v>421</v>
      </c>
      <c r="E126" t="s">
        <v>684</v>
      </c>
      <c r="F126" t="s">
        <v>972</v>
      </c>
      <c r="G126" t="s">
        <v>5159</v>
      </c>
      <c r="H126" t="s">
        <v>9736</v>
      </c>
      <c r="I126" t="s">
        <v>17307</v>
      </c>
      <c r="J126" t="s">
        <v>18892</v>
      </c>
      <c r="K126">
        <v>10457</v>
      </c>
      <c r="L126" t="s">
        <v>18958</v>
      </c>
      <c r="M126" t="s">
        <v>18960</v>
      </c>
      <c r="N126" t="s">
        <v>19043</v>
      </c>
      <c r="O126" t="s">
        <v>26523</v>
      </c>
      <c r="P126" t="s">
        <v>26560</v>
      </c>
      <c r="Q126" t="s">
        <v>26568</v>
      </c>
      <c r="R126" t="s">
        <v>26579</v>
      </c>
      <c r="S126" t="s">
        <v>18959</v>
      </c>
      <c r="U126" t="s">
        <v>26604</v>
      </c>
      <c r="V126" t="s">
        <v>26610</v>
      </c>
      <c r="W126" t="s">
        <v>420</v>
      </c>
      <c r="X126">
        <v>1930.71</v>
      </c>
      <c r="Y126" t="s">
        <v>26650</v>
      </c>
      <c r="Z126" t="s">
        <v>26662</v>
      </c>
      <c r="AA126" t="s">
        <v>26678</v>
      </c>
      <c r="AB126" t="s">
        <v>26812</v>
      </c>
      <c r="AC126" t="s">
        <v>34517</v>
      </c>
      <c r="AD126" t="s">
        <v>36917</v>
      </c>
      <c r="AE126">
        <v>72</v>
      </c>
      <c r="AF126" t="s">
        <v>45541</v>
      </c>
      <c r="AG126" t="s">
        <v>19330</v>
      </c>
      <c r="AH126">
        <v>4</v>
      </c>
      <c r="AI126">
        <v>1</v>
      </c>
      <c r="AJ126">
        <v>5</v>
      </c>
      <c r="AK126">
        <v>118.33</v>
      </c>
      <c r="AN126" t="s">
        <v>7439</v>
      </c>
      <c r="AO126">
        <v>39000</v>
      </c>
      <c r="AP126" t="s">
        <v>45621</v>
      </c>
      <c r="AQ126" t="s">
        <v>46361</v>
      </c>
      <c r="AR126" t="s">
        <v>46391</v>
      </c>
      <c r="AS126" t="s">
        <v>46499</v>
      </c>
      <c r="AT126" t="s">
        <v>46535</v>
      </c>
      <c r="AU126">
        <v>105.4</v>
      </c>
      <c r="AV126" t="s">
        <v>692</v>
      </c>
      <c r="AW126" t="s">
        <v>46839</v>
      </c>
      <c r="AX126" t="s">
        <v>46897</v>
      </c>
    </row>
    <row r="127" spans="1:50">
      <c r="A127" s="1">
        <f>HYPERLINK("https://lsnyc.legalserver.org/matter/dynamic-profile/view/1871545","18-1871545")</f>
        <v>0</v>
      </c>
      <c r="B127" t="s">
        <v>107</v>
      </c>
      <c r="C127" t="s">
        <v>341</v>
      </c>
      <c r="D127" t="s">
        <v>420</v>
      </c>
      <c r="E127" t="s">
        <v>441</v>
      </c>
      <c r="F127" t="s">
        <v>973</v>
      </c>
      <c r="G127" t="s">
        <v>5160</v>
      </c>
      <c r="H127" t="s">
        <v>9737</v>
      </c>
      <c r="I127" t="s">
        <v>17332</v>
      </c>
      <c r="J127" t="s">
        <v>7026</v>
      </c>
      <c r="K127">
        <v>11368</v>
      </c>
      <c r="L127" t="s">
        <v>18958</v>
      </c>
      <c r="M127" t="s">
        <v>18958</v>
      </c>
      <c r="N127" t="s">
        <v>19044</v>
      </c>
      <c r="O127" t="s">
        <v>26523</v>
      </c>
      <c r="P127" t="s">
        <v>26560</v>
      </c>
      <c r="Q127" t="s">
        <v>26568</v>
      </c>
      <c r="R127" t="s">
        <v>26584</v>
      </c>
      <c r="S127" t="s">
        <v>18959</v>
      </c>
      <c r="U127" t="s">
        <v>26604</v>
      </c>
      <c r="V127" t="s">
        <v>26612</v>
      </c>
      <c r="W127" t="s">
        <v>420</v>
      </c>
      <c r="X127">
        <v>1893</v>
      </c>
      <c r="Y127" t="s">
        <v>26653</v>
      </c>
      <c r="Z127" t="s">
        <v>26664</v>
      </c>
      <c r="AA127" t="s">
        <v>26678</v>
      </c>
      <c r="AB127" t="s">
        <v>26813</v>
      </c>
      <c r="AC127" t="s">
        <v>34518</v>
      </c>
      <c r="AD127" t="s">
        <v>36918</v>
      </c>
      <c r="AE127">
        <v>224</v>
      </c>
      <c r="AF127" t="s">
        <v>45541</v>
      </c>
      <c r="AG127" t="s">
        <v>19330</v>
      </c>
      <c r="AH127">
        <v>8</v>
      </c>
      <c r="AI127">
        <v>2</v>
      </c>
      <c r="AJ127">
        <v>0</v>
      </c>
      <c r="AK127">
        <v>180</v>
      </c>
      <c r="AN127" t="s">
        <v>7439</v>
      </c>
      <c r="AO127">
        <v>29628</v>
      </c>
      <c r="AQ127" t="s">
        <v>46365</v>
      </c>
      <c r="AR127" t="s">
        <v>46379</v>
      </c>
      <c r="AS127" t="s">
        <v>46499</v>
      </c>
      <c r="AT127" t="s">
        <v>46536</v>
      </c>
      <c r="AU127">
        <v>9.699999999999999</v>
      </c>
      <c r="AV127" t="s">
        <v>461</v>
      </c>
      <c r="AW127" t="s">
        <v>161</v>
      </c>
    </row>
    <row r="128" spans="1:50">
      <c r="A128" s="1">
        <f>HYPERLINK("https://lsnyc.legalserver.org/matter/dynamic-profile/view/1871523","18-1871523")</f>
        <v>0</v>
      </c>
      <c r="B128" t="s">
        <v>70</v>
      </c>
      <c r="C128" t="s">
        <v>341</v>
      </c>
      <c r="D128" t="s">
        <v>420</v>
      </c>
      <c r="E128" t="s">
        <v>498</v>
      </c>
      <c r="F128" t="s">
        <v>974</v>
      </c>
      <c r="G128" t="s">
        <v>5161</v>
      </c>
      <c r="H128" t="s">
        <v>9738</v>
      </c>
      <c r="I128">
        <v>2</v>
      </c>
      <c r="J128" t="s">
        <v>18892</v>
      </c>
      <c r="K128">
        <v>10458</v>
      </c>
      <c r="L128" t="s">
        <v>18958</v>
      </c>
      <c r="M128" t="s">
        <v>18958</v>
      </c>
      <c r="N128" t="s">
        <v>19045</v>
      </c>
      <c r="O128" t="s">
        <v>26529</v>
      </c>
      <c r="P128" t="s">
        <v>26564</v>
      </c>
      <c r="Q128" t="s">
        <v>26570</v>
      </c>
      <c r="R128" t="s">
        <v>26578</v>
      </c>
      <c r="S128" t="s">
        <v>18959</v>
      </c>
      <c r="U128" t="s">
        <v>26604</v>
      </c>
      <c r="V128" t="s">
        <v>26610</v>
      </c>
      <c r="W128" t="s">
        <v>420</v>
      </c>
      <c r="X128">
        <v>1266</v>
      </c>
      <c r="Y128" t="s">
        <v>26650</v>
      </c>
      <c r="Z128" t="s">
        <v>26663</v>
      </c>
      <c r="AA128" t="s">
        <v>26683</v>
      </c>
      <c r="AB128" t="s">
        <v>26814</v>
      </c>
      <c r="AC128" t="s">
        <v>34519</v>
      </c>
      <c r="AE128">
        <v>8</v>
      </c>
      <c r="AF128" t="s">
        <v>45541</v>
      </c>
      <c r="AG128" t="s">
        <v>45556</v>
      </c>
      <c r="AH128">
        <v>11</v>
      </c>
      <c r="AI128">
        <v>1</v>
      </c>
      <c r="AJ128">
        <v>0</v>
      </c>
      <c r="AK128">
        <v>64.25</v>
      </c>
      <c r="AN128" t="s">
        <v>7439</v>
      </c>
      <c r="AO128">
        <v>7800</v>
      </c>
      <c r="AP128" t="s">
        <v>45634</v>
      </c>
      <c r="AU128">
        <v>0.4</v>
      </c>
      <c r="AV128" t="s">
        <v>410</v>
      </c>
      <c r="AW128" t="s">
        <v>336</v>
      </c>
    </row>
    <row r="129" spans="1:49">
      <c r="A129" s="1">
        <f>HYPERLINK("https://lsnyc.legalserver.org/matter/dynamic-profile/view/1871533","18-1871533")</f>
        <v>0</v>
      </c>
      <c r="B129" t="s">
        <v>99</v>
      </c>
      <c r="C129" t="s">
        <v>341</v>
      </c>
      <c r="D129" t="s">
        <v>420</v>
      </c>
      <c r="E129" t="s">
        <v>771</v>
      </c>
      <c r="F129" t="s">
        <v>975</v>
      </c>
      <c r="G129" t="s">
        <v>5162</v>
      </c>
      <c r="H129" t="s">
        <v>9739</v>
      </c>
      <c r="I129" t="s">
        <v>17338</v>
      </c>
      <c r="J129" t="s">
        <v>18894</v>
      </c>
      <c r="K129">
        <v>11225</v>
      </c>
      <c r="L129" t="s">
        <v>18958</v>
      </c>
      <c r="M129" t="s">
        <v>18958</v>
      </c>
      <c r="N129" t="s">
        <v>19046</v>
      </c>
      <c r="O129" t="s">
        <v>26524</v>
      </c>
      <c r="P129" t="s">
        <v>26560</v>
      </c>
      <c r="Q129" t="s">
        <v>26574</v>
      </c>
      <c r="R129" t="s">
        <v>26588</v>
      </c>
      <c r="S129" t="s">
        <v>18959</v>
      </c>
      <c r="U129" t="s">
        <v>26604</v>
      </c>
      <c r="V129" t="s">
        <v>26610</v>
      </c>
      <c r="W129" t="s">
        <v>420</v>
      </c>
      <c r="X129">
        <v>1860</v>
      </c>
      <c r="Y129" t="s">
        <v>26652</v>
      </c>
      <c r="Z129" t="s">
        <v>26669</v>
      </c>
      <c r="AA129" t="s">
        <v>26678</v>
      </c>
      <c r="AB129" t="s">
        <v>26815</v>
      </c>
      <c r="AC129" t="s">
        <v>19330</v>
      </c>
      <c r="AD129" t="s">
        <v>36919</v>
      </c>
      <c r="AE129">
        <v>57</v>
      </c>
      <c r="AF129" t="s">
        <v>45541</v>
      </c>
      <c r="AG129" t="s">
        <v>19330</v>
      </c>
      <c r="AH129">
        <v>9</v>
      </c>
      <c r="AI129">
        <v>1</v>
      </c>
      <c r="AJ129">
        <v>0</v>
      </c>
      <c r="AK129">
        <v>164.74</v>
      </c>
      <c r="AN129" t="s">
        <v>7439</v>
      </c>
      <c r="AO129">
        <v>20000</v>
      </c>
      <c r="AQ129" t="s">
        <v>46359</v>
      </c>
      <c r="AR129" t="s">
        <v>46380</v>
      </c>
      <c r="AS129" t="s">
        <v>46499</v>
      </c>
      <c r="AT129" t="s">
        <v>46537</v>
      </c>
      <c r="AU129">
        <v>56.5</v>
      </c>
      <c r="AV129" t="s">
        <v>771</v>
      </c>
      <c r="AW129" t="s">
        <v>281</v>
      </c>
    </row>
    <row r="130" spans="1:49">
      <c r="A130" s="1">
        <f>HYPERLINK("https://lsnyc.legalserver.org/matter/dynamic-profile/view/1871510","18-1871510")</f>
        <v>0</v>
      </c>
      <c r="B130" t="s">
        <v>100</v>
      </c>
      <c r="C130" t="s">
        <v>341</v>
      </c>
      <c r="D130" t="s">
        <v>420</v>
      </c>
      <c r="E130" t="s">
        <v>684</v>
      </c>
      <c r="F130" t="s">
        <v>976</v>
      </c>
      <c r="G130" t="s">
        <v>5163</v>
      </c>
      <c r="H130" t="s">
        <v>9740</v>
      </c>
      <c r="I130" t="s">
        <v>17347</v>
      </c>
      <c r="J130" t="s">
        <v>18892</v>
      </c>
      <c r="K130">
        <v>10468</v>
      </c>
      <c r="L130" t="s">
        <v>18958</v>
      </c>
      <c r="M130" t="s">
        <v>18958</v>
      </c>
      <c r="O130" t="s">
        <v>18997</v>
      </c>
      <c r="P130" t="s">
        <v>26564</v>
      </c>
      <c r="Q130" t="s">
        <v>26570</v>
      </c>
      <c r="R130" t="s">
        <v>26578</v>
      </c>
      <c r="S130" t="s">
        <v>18959</v>
      </c>
      <c r="U130" t="s">
        <v>26604</v>
      </c>
      <c r="W130" t="s">
        <v>420</v>
      </c>
      <c r="X130">
        <v>1057.58</v>
      </c>
      <c r="Y130" t="s">
        <v>26650</v>
      </c>
      <c r="Z130" t="s">
        <v>26663</v>
      </c>
      <c r="AA130" t="s">
        <v>26683</v>
      </c>
      <c r="AB130" t="s">
        <v>26816</v>
      </c>
      <c r="AD130" t="s">
        <v>36920</v>
      </c>
      <c r="AE130">
        <v>58</v>
      </c>
      <c r="AG130" t="s">
        <v>19330</v>
      </c>
      <c r="AH130">
        <v>51</v>
      </c>
      <c r="AI130">
        <v>3</v>
      </c>
      <c r="AJ130">
        <v>0</v>
      </c>
      <c r="AK130">
        <v>139.26</v>
      </c>
      <c r="AN130" t="s">
        <v>7439</v>
      </c>
      <c r="AO130">
        <v>28937.22</v>
      </c>
      <c r="AU130">
        <v>0.5</v>
      </c>
      <c r="AV130" t="s">
        <v>420</v>
      </c>
      <c r="AW130" t="s">
        <v>46847</v>
      </c>
    </row>
    <row r="131" spans="1:49">
      <c r="A131" s="1">
        <f>HYPERLINK("https://lsnyc.legalserver.org/matter/dynamic-profile/view/1871500","18-1871500")</f>
        <v>0</v>
      </c>
      <c r="B131" t="s">
        <v>100</v>
      </c>
      <c r="C131" t="s">
        <v>341</v>
      </c>
      <c r="D131" t="s">
        <v>420</v>
      </c>
      <c r="E131" t="s">
        <v>684</v>
      </c>
      <c r="F131" t="s">
        <v>977</v>
      </c>
      <c r="G131" t="s">
        <v>5164</v>
      </c>
      <c r="H131" t="s">
        <v>9740</v>
      </c>
      <c r="I131" t="s">
        <v>17348</v>
      </c>
      <c r="J131" t="s">
        <v>18892</v>
      </c>
      <c r="K131">
        <v>10468</v>
      </c>
      <c r="L131" t="s">
        <v>18958</v>
      </c>
      <c r="M131" t="s">
        <v>18959</v>
      </c>
      <c r="O131" t="s">
        <v>26527</v>
      </c>
      <c r="P131" t="s">
        <v>26562</v>
      </c>
      <c r="Q131" t="s">
        <v>26570</v>
      </c>
      <c r="R131" t="s">
        <v>26578</v>
      </c>
      <c r="S131" t="s">
        <v>18958</v>
      </c>
      <c r="U131" t="s">
        <v>26604</v>
      </c>
      <c r="W131" t="s">
        <v>420</v>
      </c>
      <c r="X131">
        <v>1427</v>
      </c>
      <c r="Y131" t="s">
        <v>26650</v>
      </c>
      <c r="Z131" t="s">
        <v>26663</v>
      </c>
      <c r="AA131" t="s">
        <v>26683</v>
      </c>
      <c r="AB131" t="s">
        <v>26817</v>
      </c>
      <c r="AD131" t="s">
        <v>36921</v>
      </c>
      <c r="AE131">
        <v>58</v>
      </c>
      <c r="AF131" t="s">
        <v>45541</v>
      </c>
      <c r="AG131" t="s">
        <v>19330</v>
      </c>
      <c r="AH131">
        <v>3</v>
      </c>
      <c r="AI131">
        <v>2</v>
      </c>
      <c r="AJ131">
        <v>0</v>
      </c>
      <c r="AK131">
        <v>261.85</v>
      </c>
      <c r="AN131" t="s">
        <v>45581</v>
      </c>
      <c r="AO131">
        <v>43100</v>
      </c>
      <c r="AU131">
        <v>0.5</v>
      </c>
      <c r="AV131" t="s">
        <v>420</v>
      </c>
      <c r="AW131" t="s">
        <v>46847</v>
      </c>
    </row>
    <row r="132" spans="1:49">
      <c r="A132" s="1">
        <f>HYPERLINK("https://lsnyc.legalserver.org/matter/dynamic-profile/view/1871490","18-1871490")</f>
        <v>0</v>
      </c>
      <c r="B132" t="s">
        <v>100</v>
      </c>
      <c r="C132" t="s">
        <v>341</v>
      </c>
      <c r="D132" t="s">
        <v>420</v>
      </c>
      <c r="E132" t="s">
        <v>684</v>
      </c>
      <c r="F132" t="s">
        <v>977</v>
      </c>
      <c r="G132" t="s">
        <v>5164</v>
      </c>
      <c r="H132" t="s">
        <v>9740</v>
      </c>
      <c r="I132" t="s">
        <v>17348</v>
      </c>
      <c r="J132" t="s">
        <v>18892</v>
      </c>
      <c r="K132">
        <v>10468</v>
      </c>
      <c r="L132" t="s">
        <v>18958</v>
      </c>
      <c r="M132" t="s">
        <v>18958</v>
      </c>
      <c r="O132" t="s">
        <v>18997</v>
      </c>
      <c r="P132" t="s">
        <v>26564</v>
      </c>
      <c r="Q132" t="s">
        <v>26570</v>
      </c>
      <c r="R132" t="s">
        <v>26578</v>
      </c>
      <c r="U132" t="s">
        <v>26604</v>
      </c>
      <c r="W132" t="s">
        <v>420</v>
      </c>
      <c r="X132">
        <v>1427</v>
      </c>
      <c r="Y132" t="s">
        <v>26650</v>
      </c>
      <c r="Z132" t="s">
        <v>26663</v>
      </c>
      <c r="AA132" t="s">
        <v>26683</v>
      </c>
      <c r="AB132" t="s">
        <v>26817</v>
      </c>
      <c r="AD132" t="s">
        <v>36921</v>
      </c>
      <c r="AE132">
        <v>58</v>
      </c>
      <c r="AF132" t="s">
        <v>45541</v>
      </c>
      <c r="AG132" t="s">
        <v>19330</v>
      </c>
      <c r="AH132">
        <v>3</v>
      </c>
      <c r="AI132">
        <v>2</v>
      </c>
      <c r="AJ132">
        <v>0</v>
      </c>
      <c r="AK132">
        <v>261.85</v>
      </c>
      <c r="AN132" t="s">
        <v>45581</v>
      </c>
      <c r="AO132">
        <v>43100</v>
      </c>
      <c r="AU132">
        <v>0.5</v>
      </c>
      <c r="AV132" t="s">
        <v>420</v>
      </c>
      <c r="AW132" t="s">
        <v>46847</v>
      </c>
    </row>
    <row r="133" spans="1:49">
      <c r="A133" s="1">
        <f>HYPERLINK("https://lsnyc.legalserver.org/matter/dynamic-profile/view/1871483","18-1871483")</f>
        <v>0</v>
      </c>
      <c r="B133" t="s">
        <v>53</v>
      </c>
      <c r="C133" t="s">
        <v>341</v>
      </c>
      <c r="D133" t="s">
        <v>420</v>
      </c>
      <c r="E133" t="s">
        <v>533</v>
      </c>
      <c r="F133" t="s">
        <v>978</v>
      </c>
      <c r="G133" t="s">
        <v>5165</v>
      </c>
      <c r="H133" t="s">
        <v>9741</v>
      </c>
      <c r="I133" t="s">
        <v>17343</v>
      </c>
      <c r="J133" t="s">
        <v>18892</v>
      </c>
      <c r="K133">
        <v>10453</v>
      </c>
      <c r="L133" t="s">
        <v>18958</v>
      </c>
      <c r="M133" t="s">
        <v>18958</v>
      </c>
      <c r="N133" t="s">
        <v>19045</v>
      </c>
      <c r="O133" t="s">
        <v>26536</v>
      </c>
      <c r="P133" t="s">
        <v>26562</v>
      </c>
      <c r="Q133" t="s">
        <v>26572</v>
      </c>
      <c r="R133" t="s">
        <v>26578</v>
      </c>
      <c r="S133" t="s">
        <v>18959</v>
      </c>
      <c r="U133" t="s">
        <v>26606</v>
      </c>
      <c r="W133" t="s">
        <v>420</v>
      </c>
      <c r="X133">
        <v>1509.69</v>
      </c>
      <c r="Y133" t="s">
        <v>26650</v>
      </c>
      <c r="Z133" t="s">
        <v>26661</v>
      </c>
      <c r="AA133" t="s">
        <v>26682</v>
      </c>
      <c r="AB133" t="s">
        <v>26818</v>
      </c>
      <c r="AC133">
        <v>36928205</v>
      </c>
      <c r="AD133" t="s">
        <v>36922</v>
      </c>
      <c r="AE133">
        <v>99</v>
      </c>
      <c r="AF133" t="s">
        <v>45541</v>
      </c>
      <c r="AG133" t="s">
        <v>45556</v>
      </c>
      <c r="AH133">
        <v>8</v>
      </c>
      <c r="AI133">
        <v>1</v>
      </c>
      <c r="AJ133">
        <v>2</v>
      </c>
      <c r="AK133">
        <v>12.59</v>
      </c>
      <c r="AN133" t="s">
        <v>7439</v>
      </c>
      <c r="AO133">
        <v>2616</v>
      </c>
      <c r="AT133" t="s">
        <v>46538</v>
      </c>
      <c r="AU133">
        <v>0.8</v>
      </c>
      <c r="AV133" t="s">
        <v>533</v>
      </c>
      <c r="AW133" t="s">
        <v>46854</v>
      </c>
    </row>
    <row r="134" spans="1:49">
      <c r="A134" s="1">
        <f>HYPERLINK("https://lsnyc.legalserver.org/matter/dynamic-profile/view/1871552","18-1871552")</f>
        <v>0</v>
      </c>
      <c r="B134" t="s">
        <v>108</v>
      </c>
      <c r="C134" t="s">
        <v>341</v>
      </c>
      <c r="D134" t="s">
        <v>420</v>
      </c>
      <c r="E134" t="s">
        <v>691</v>
      </c>
      <c r="F134" t="s">
        <v>979</v>
      </c>
      <c r="G134" t="s">
        <v>5166</v>
      </c>
      <c r="H134" t="s">
        <v>9742</v>
      </c>
      <c r="I134" t="s">
        <v>17349</v>
      </c>
      <c r="J134" t="s">
        <v>18898</v>
      </c>
      <c r="K134">
        <v>11691</v>
      </c>
      <c r="L134" t="s">
        <v>18958</v>
      </c>
      <c r="M134" t="s">
        <v>18958</v>
      </c>
      <c r="N134" t="s">
        <v>19047</v>
      </c>
      <c r="O134" t="s">
        <v>26523</v>
      </c>
      <c r="P134" t="s">
        <v>26564</v>
      </c>
      <c r="Q134" t="s">
        <v>26570</v>
      </c>
      <c r="R134" t="s">
        <v>26578</v>
      </c>
      <c r="S134" t="s">
        <v>18959</v>
      </c>
      <c r="U134" t="s">
        <v>26604</v>
      </c>
      <c r="V134" t="s">
        <v>26611</v>
      </c>
      <c r="W134" t="s">
        <v>420</v>
      </c>
      <c r="X134">
        <v>974</v>
      </c>
      <c r="Y134" t="s">
        <v>26653</v>
      </c>
      <c r="Z134" t="s">
        <v>26664</v>
      </c>
      <c r="AA134" t="s">
        <v>26683</v>
      </c>
      <c r="AB134" t="s">
        <v>26819</v>
      </c>
      <c r="AC134" t="s">
        <v>34520</v>
      </c>
      <c r="AD134" t="s">
        <v>36923</v>
      </c>
      <c r="AE134">
        <v>270</v>
      </c>
      <c r="AF134" t="s">
        <v>45542</v>
      </c>
      <c r="AG134" t="s">
        <v>45556</v>
      </c>
      <c r="AH134">
        <v>4</v>
      </c>
      <c r="AI134">
        <v>1</v>
      </c>
      <c r="AJ134">
        <v>0</v>
      </c>
      <c r="AK134">
        <v>27.2</v>
      </c>
      <c r="AM134" t="s">
        <v>45576</v>
      </c>
      <c r="AN134" t="s">
        <v>45585</v>
      </c>
      <c r="AO134">
        <v>3302.4</v>
      </c>
      <c r="AU134">
        <v>2.3</v>
      </c>
      <c r="AV134" t="s">
        <v>440</v>
      </c>
      <c r="AW134" t="s">
        <v>208</v>
      </c>
    </row>
    <row r="135" spans="1:49">
      <c r="A135" s="1">
        <f>HYPERLINK("https://lsnyc.legalserver.org/matter/dynamic-profile/view/1871517","18-1871517")</f>
        <v>0</v>
      </c>
      <c r="B135" t="s">
        <v>108</v>
      </c>
      <c r="C135" t="s">
        <v>341</v>
      </c>
      <c r="D135" t="s">
        <v>420</v>
      </c>
      <c r="E135" t="s">
        <v>691</v>
      </c>
      <c r="F135" t="s">
        <v>980</v>
      </c>
      <c r="G135" t="s">
        <v>5167</v>
      </c>
      <c r="H135" t="s">
        <v>9743</v>
      </c>
      <c r="I135">
        <v>1906</v>
      </c>
      <c r="J135" t="s">
        <v>18905</v>
      </c>
      <c r="K135">
        <v>11692</v>
      </c>
      <c r="L135" t="s">
        <v>18958</v>
      </c>
      <c r="M135" t="s">
        <v>18958</v>
      </c>
      <c r="N135" t="s">
        <v>19048</v>
      </c>
      <c r="O135" t="s">
        <v>26523</v>
      </c>
      <c r="P135" t="s">
        <v>26564</v>
      </c>
      <c r="Q135" t="s">
        <v>26570</v>
      </c>
      <c r="R135" t="s">
        <v>26578</v>
      </c>
      <c r="S135" t="s">
        <v>18959</v>
      </c>
      <c r="U135" t="s">
        <v>26604</v>
      </c>
      <c r="V135" t="s">
        <v>26610</v>
      </c>
      <c r="W135" t="s">
        <v>420</v>
      </c>
      <c r="X135">
        <v>1150</v>
      </c>
      <c r="Y135" t="s">
        <v>26653</v>
      </c>
      <c r="Z135" t="s">
        <v>26664</v>
      </c>
      <c r="AA135" t="s">
        <v>26683</v>
      </c>
      <c r="AB135" t="s">
        <v>26820</v>
      </c>
      <c r="AC135" t="s">
        <v>19045</v>
      </c>
      <c r="AD135" t="s">
        <v>36924</v>
      </c>
      <c r="AE135">
        <v>228</v>
      </c>
      <c r="AF135" t="s">
        <v>45550</v>
      </c>
      <c r="AG135" t="s">
        <v>45556</v>
      </c>
      <c r="AH135">
        <v>5</v>
      </c>
      <c r="AI135">
        <v>1</v>
      </c>
      <c r="AJ135">
        <v>1</v>
      </c>
      <c r="AK135">
        <v>188.34</v>
      </c>
      <c r="AM135" t="s">
        <v>45576</v>
      </c>
      <c r="AN135" t="s">
        <v>7439</v>
      </c>
      <c r="AO135">
        <v>31000</v>
      </c>
      <c r="AU135">
        <v>1</v>
      </c>
      <c r="AV135" t="s">
        <v>426</v>
      </c>
      <c r="AW135" t="s">
        <v>208</v>
      </c>
    </row>
    <row r="136" spans="1:49">
      <c r="A136" s="1">
        <f>HYPERLINK("https://lsnyc.legalserver.org/matter/dynamic-profile/view/1871486","18-1871486")</f>
        <v>0</v>
      </c>
      <c r="B136" t="s">
        <v>108</v>
      </c>
      <c r="C136" t="s">
        <v>341</v>
      </c>
      <c r="D136" t="s">
        <v>420</v>
      </c>
      <c r="E136" t="s">
        <v>494</v>
      </c>
      <c r="F136" t="s">
        <v>981</v>
      </c>
      <c r="G136" t="s">
        <v>5168</v>
      </c>
      <c r="H136" t="s">
        <v>9744</v>
      </c>
      <c r="I136" t="s">
        <v>17350</v>
      </c>
      <c r="J136" t="s">
        <v>7026</v>
      </c>
      <c r="K136">
        <v>11368</v>
      </c>
      <c r="L136" t="s">
        <v>18958</v>
      </c>
      <c r="M136" t="s">
        <v>18958</v>
      </c>
      <c r="N136" t="s">
        <v>19049</v>
      </c>
      <c r="O136" t="s">
        <v>26523</v>
      </c>
      <c r="P136" t="s">
        <v>26564</v>
      </c>
      <c r="Q136" t="s">
        <v>26570</v>
      </c>
      <c r="R136" t="s">
        <v>26584</v>
      </c>
      <c r="S136" t="s">
        <v>18959</v>
      </c>
      <c r="U136" t="s">
        <v>26604</v>
      </c>
      <c r="V136" t="s">
        <v>26610</v>
      </c>
      <c r="W136" t="s">
        <v>420</v>
      </c>
      <c r="X136">
        <v>1695</v>
      </c>
      <c r="Y136" t="s">
        <v>26653</v>
      </c>
      <c r="Z136" t="s">
        <v>26664</v>
      </c>
      <c r="AA136" t="s">
        <v>26683</v>
      </c>
      <c r="AB136" t="s">
        <v>26821</v>
      </c>
      <c r="AC136" t="s">
        <v>34521</v>
      </c>
      <c r="AD136" t="s">
        <v>36925</v>
      </c>
      <c r="AE136">
        <v>360</v>
      </c>
      <c r="AF136" t="s">
        <v>45541</v>
      </c>
      <c r="AG136" t="s">
        <v>19330</v>
      </c>
      <c r="AH136">
        <v>1</v>
      </c>
      <c r="AI136">
        <v>1</v>
      </c>
      <c r="AJ136">
        <v>0</v>
      </c>
      <c r="AK136">
        <v>0</v>
      </c>
      <c r="AN136" t="s">
        <v>7439</v>
      </c>
      <c r="AO136">
        <v>0</v>
      </c>
      <c r="AU136">
        <v>1.4</v>
      </c>
      <c r="AV136" t="s">
        <v>603</v>
      </c>
      <c r="AW136" t="s">
        <v>208</v>
      </c>
    </row>
    <row r="137" spans="1:49">
      <c r="A137" s="1">
        <f>HYPERLINK("https://lsnyc.legalserver.org/matter/dynamic-profile/view/1871531","18-1871531")</f>
        <v>0</v>
      </c>
      <c r="B137" t="s">
        <v>108</v>
      </c>
      <c r="C137" t="s">
        <v>341</v>
      </c>
      <c r="D137" t="s">
        <v>420</v>
      </c>
      <c r="E137" t="s">
        <v>530</v>
      </c>
      <c r="F137" t="s">
        <v>982</v>
      </c>
      <c r="G137" t="s">
        <v>5169</v>
      </c>
      <c r="H137" t="s">
        <v>9745</v>
      </c>
      <c r="I137">
        <v>11</v>
      </c>
      <c r="J137" t="s">
        <v>18901</v>
      </c>
      <c r="K137">
        <v>11435</v>
      </c>
      <c r="L137" t="s">
        <v>18958</v>
      </c>
      <c r="M137" t="s">
        <v>18958</v>
      </c>
      <c r="N137" t="s">
        <v>19050</v>
      </c>
      <c r="O137" t="s">
        <v>26524</v>
      </c>
      <c r="P137" t="s">
        <v>26560</v>
      </c>
      <c r="Q137" t="s">
        <v>26568</v>
      </c>
      <c r="R137" t="s">
        <v>26584</v>
      </c>
      <c r="S137" t="s">
        <v>18959</v>
      </c>
      <c r="U137" t="s">
        <v>26604</v>
      </c>
      <c r="V137" t="s">
        <v>26610</v>
      </c>
      <c r="W137" t="s">
        <v>420</v>
      </c>
      <c r="X137">
        <v>800</v>
      </c>
      <c r="Y137" t="s">
        <v>26653</v>
      </c>
      <c r="Z137" t="s">
        <v>26664</v>
      </c>
      <c r="AA137" t="s">
        <v>26678</v>
      </c>
      <c r="AB137" t="s">
        <v>26822</v>
      </c>
      <c r="AC137" t="s">
        <v>19045</v>
      </c>
      <c r="AD137" t="s">
        <v>36926</v>
      </c>
      <c r="AE137">
        <v>24</v>
      </c>
      <c r="AF137" t="s">
        <v>45541</v>
      </c>
      <c r="AG137" t="s">
        <v>19330</v>
      </c>
      <c r="AH137">
        <v>30</v>
      </c>
      <c r="AI137">
        <v>1</v>
      </c>
      <c r="AJ137">
        <v>0</v>
      </c>
      <c r="AK137">
        <v>74.14</v>
      </c>
      <c r="AN137" t="s">
        <v>45581</v>
      </c>
      <c r="AO137">
        <v>9000</v>
      </c>
      <c r="AQ137" t="s">
        <v>46359</v>
      </c>
      <c r="AR137" t="s">
        <v>46380</v>
      </c>
      <c r="AS137" t="s">
        <v>46499</v>
      </c>
      <c r="AT137" t="s">
        <v>46539</v>
      </c>
      <c r="AU137">
        <v>17.85</v>
      </c>
      <c r="AV137" t="s">
        <v>493</v>
      </c>
      <c r="AW137" t="s">
        <v>161</v>
      </c>
    </row>
    <row r="138" spans="1:49">
      <c r="A138" s="1">
        <f>HYPERLINK("https://lsnyc.legalserver.org/matter/dynamic-profile/view/1871589","18-1871589")</f>
        <v>0</v>
      </c>
      <c r="B138" t="s">
        <v>108</v>
      </c>
      <c r="C138" t="s">
        <v>341</v>
      </c>
      <c r="D138" t="s">
        <v>420</v>
      </c>
      <c r="E138" t="s">
        <v>691</v>
      </c>
      <c r="F138" t="s">
        <v>983</v>
      </c>
      <c r="G138" t="s">
        <v>5170</v>
      </c>
      <c r="H138" t="s">
        <v>9746</v>
      </c>
      <c r="I138" t="s">
        <v>17351</v>
      </c>
      <c r="J138" t="s">
        <v>18901</v>
      </c>
      <c r="K138">
        <v>11432</v>
      </c>
      <c r="L138" t="s">
        <v>18958</v>
      </c>
      <c r="M138" t="s">
        <v>18958</v>
      </c>
      <c r="N138" t="s">
        <v>19051</v>
      </c>
      <c r="O138" t="s">
        <v>26524</v>
      </c>
      <c r="P138" t="s">
        <v>26560</v>
      </c>
      <c r="Q138" t="s">
        <v>26568</v>
      </c>
      <c r="R138" t="s">
        <v>26584</v>
      </c>
      <c r="S138" t="s">
        <v>18959</v>
      </c>
      <c r="U138" t="s">
        <v>26604</v>
      </c>
      <c r="V138" t="s">
        <v>26610</v>
      </c>
      <c r="W138" t="s">
        <v>420</v>
      </c>
      <c r="X138">
        <v>1465</v>
      </c>
      <c r="Y138" t="s">
        <v>26653</v>
      </c>
      <c r="Z138" t="s">
        <v>26656</v>
      </c>
      <c r="AA138" t="s">
        <v>26678</v>
      </c>
      <c r="AB138" t="s">
        <v>26823</v>
      </c>
      <c r="AC138" t="s">
        <v>19045</v>
      </c>
      <c r="AD138" t="s">
        <v>36927</v>
      </c>
      <c r="AE138">
        <v>100</v>
      </c>
      <c r="AF138" t="s">
        <v>45541</v>
      </c>
      <c r="AG138" t="s">
        <v>19330</v>
      </c>
      <c r="AH138">
        <v>7</v>
      </c>
      <c r="AI138">
        <v>2</v>
      </c>
      <c r="AJ138">
        <v>2</v>
      </c>
      <c r="AK138">
        <v>91.63</v>
      </c>
      <c r="AN138" t="s">
        <v>7439</v>
      </c>
      <c r="AO138">
        <v>23000</v>
      </c>
      <c r="AQ138" t="s">
        <v>46362</v>
      </c>
      <c r="AR138" t="s">
        <v>46392</v>
      </c>
      <c r="AS138" t="s">
        <v>46499</v>
      </c>
      <c r="AT138" t="s">
        <v>46540</v>
      </c>
      <c r="AU138">
        <v>19.85</v>
      </c>
      <c r="AV138" t="s">
        <v>529</v>
      </c>
      <c r="AW138" t="s">
        <v>105</v>
      </c>
    </row>
    <row r="139" spans="1:49">
      <c r="A139" s="1">
        <f>HYPERLINK("https://lsnyc.legalserver.org/matter/dynamic-profile/view/1871501","18-1871501")</f>
        <v>0</v>
      </c>
      <c r="B139" t="s">
        <v>108</v>
      </c>
      <c r="C139" t="s">
        <v>341</v>
      </c>
      <c r="D139" t="s">
        <v>420</v>
      </c>
      <c r="E139" t="s">
        <v>641</v>
      </c>
      <c r="F139" t="s">
        <v>984</v>
      </c>
      <c r="G139" t="s">
        <v>5171</v>
      </c>
      <c r="H139" t="s">
        <v>9747</v>
      </c>
      <c r="I139" t="s">
        <v>17352</v>
      </c>
      <c r="J139" t="s">
        <v>18901</v>
      </c>
      <c r="K139">
        <v>11435</v>
      </c>
      <c r="L139" t="s">
        <v>18958</v>
      </c>
      <c r="M139" t="s">
        <v>18958</v>
      </c>
      <c r="N139" t="s">
        <v>19052</v>
      </c>
      <c r="O139" t="s">
        <v>26523</v>
      </c>
      <c r="P139" t="s">
        <v>26564</v>
      </c>
      <c r="Q139" t="s">
        <v>26570</v>
      </c>
      <c r="R139" t="s">
        <v>26584</v>
      </c>
      <c r="S139" t="s">
        <v>18959</v>
      </c>
      <c r="U139" t="s">
        <v>26604</v>
      </c>
      <c r="V139" t="s">
        <v>26613</v>
      </c>
      <c r="W139" t="s">
        <v>420</v>
      </c>
      <c r="X139">
        <v>1860</v>
      </c>
      <c r="Y139" t="s">
        <v>26653</v>
      </c>
      <c r="Z139" t="s">
        <v>26664</v>
      </c>
      <c r="AA139" t="s">
        <v>26683</v>
      </c>
      <c r="AB139" t="s">
        <v>26824</v>
      </c>
      <c r="AC139" t="s">
        <v>19330</v>
      </c>
      <c r="AD139" t="s">
        <v>36928</v>
      </c>
      <c r="AE139">
        <v>180</v>
      </c>
      <c r="AF139" t="s">
        <v>45541</v>
      </c>
      <c r="AG139" t="s">
        <v>19330</v>
      </c>
      <c r="AH139">
        <v>3</v>
      </c>
      <c r="AI139">
        <v>2</v>
      </c>
      <c r="AJ139">
        <v>2</v>
      </c>
      <c r="AK139">
        <v>99.59999999999999</v>
      </c>
      <c r="AM139" t="s">
        <v>45576</v>
      </c>
      <c r="AN139" t="s">
        <v>7439</v>
      </c>
      <c r="AO139">
        <v>25000</v>
      </c>
      <c r="AU139">
        <v>0.5</v>
      </c>
      <c r="AV139" t="s">
        <v>420</v>
      </c>
      <c r="AW139" t="s">
        <v>208</v>
      </c>
    </row>
    <row r="140" spans="1:49">
      <c r="A140" s="1">
        <f>HYPERLINK("https://lsnyc.legalserver.org/matter/dynamic-profile/view/1871286","18-1871286")</f>
        <v>0</v>
      </c>
      <c r="B140" t="s">
        <v>109</v>
      </c>
      <c r="C140" t="s">
        <v>341</v>
      </c>
      <c r="D140" t="s">
        <v>420</v>
      </c>
      <c r="E140" t="s">
        <v>846</v>
      </c>
      <c r="F140" t="s">
        <v>962</v>
      </c>
      <c r="G140" t="s">
        <v>5172</v>
      </c>
      <c r="H140" t="s">
        <v>9748</v>
      </c>
      <c r="I140" t="s">
        <v>17353</v>
      </c>
      <c r="J140" t="s">
        <v>18902</v>
      </c>
      <c r="K140">
        <v>10306</v>
      </c>
      <c r="L140" t="s">
        <v>18958</v>
      </c>
      <c r="M140" t="s">
        <v>18958</v>
      </c>
      <c r="N140" t="s">
        <v>19053</v>
      </c>
      <c r="O140" t="s">
        <v>26523</v>
      </c>
      <c r="P140" t="s">
        <v>26560</v>
      </c>
      <c r="Q140" t="s">
        <v>26568</v>
      </c>
      <c r="R140" t="s">
        <v>26587</v>
      </c>
      <c r="S140" t="s">
        <v>18959</v>
      </c>
      <c r="U140" t="s">
        <v>26604</v>
      </c>
      <c r="V140" t="s">
        <v>26610</v>
      </c>
      <c r="W140" t="s">
        <v>420</v>
      </c>
      <c r="X140">
        <v>1600</v>
      </c>
      <c r="Y140" t="s">
        <v>26654</v>
      </c>
      <c r="Z140" t="s">
        <v>26659</v>
      </c>
      <c r="AA140" t="s">
        <v>26678</v>
      </c>
      <c r="AB140" t="s">
        <v>26825</v>
      </c>
      <c r="AD140" t="s">
        <v>36929</v>
      </c>
      <c r="AE140">
        <v>254</v>
      </c>
      <c r="AF140" t="s">
        <v>45541</v>
      </c>
      <c r="AH140">
        <v>6</v>
      </c>
      <c r="AI140">
        <v>2</v>
      </c>
      <c r="AJ140">
        <v>4</v>
      </c>
      <c r="AK140">
        <v>104.33</v>
      </c>
      <c r="AN140" t="s">
        <v>45586</v>
      </c>
      <c r="AO140">
        <v>35200</v>
      </c>
      <c r="AQ140" t="s">
        <v>46362</v>
      </c>
      <c r="AR140" t="s">
        <v>46379</v>
      </c>
      <c r="AS140" t="s">
        <v>46499</v>
      </c>
      <c r="AT140" t="s">
        <v>46541</v>
      </c>
      <c r="AU140">
        <v>4.6</v>
      </c>
      <c r="AV140" t="s">
        <v>846</v>
      </c>
      <c r="AW140" t="s">
        <v>46855</v>
      </c>
    </row>
    <row r="141" spans="1:49">
      <c r="A141" s="1">
        <f>HYPERLINK("https://lsnyc.legalserver.org/matter/dynamic-profile/view/1871577","18-1871577")</f>
        <v>0</v>
      </c>
      <c r="B141" t="s">
        <v>74</v>
      </c>
      <c r="C141" t="s">
        <v>341</v>
      </c>
      <c r="D141" t="s">
        <v>420</v>
      </c>
      <c r="E141" t="s">
        <v>476</v>
      </c>
      <c r="F141" t="s">
        <v>985</v>
      </c>
      <c r="G141" t="s">
        <v>5125</v>
      </c>
      <c r="H141" t="s">
        <v>9749</v>
      </c>
      <c r="I141" t="s">
        <v>17290</v>
      </c>
      <c r="J141" t="s">
        <v>18893</v>
      </c>
      <c r="K141">
        <v>10034</v>
      </c>
      <c r="L141" t="s">
        <v>18958</v>
      </c>
      <c r="M141" t="s">
        <v>18958</v>
      </c>
      <c r="O141" t="s">
        <v>26526</v>
      </c>
      <c r="P141" t="s">
        <v>26565</v>
      </c>
      <c r="Q141" t="s">
        <v>26571</v>
      </c>
      <c r="R141" t="s">
        <v>26578</v>
      </c>
      <c r="S141" t="s">
        <v>18959</v>
      </c>
      <c r="U141" t="s">
        <v>26604</v>
      </c>
      <c r="W141" t="s">
        <v>420</v>
      </c>
      <c r="X141">
        <v>1200</v>
      </c>
      <c r="Y141" t="s">
        <v>26651</v>
      </c>
      <c r="Z141" t="s">
        <v>26661</v>
      </c>
      <c r="AA141" t="s">
        <v>26682</v>
      </c>
      <c r="AB141" t="s">
        <v>26826</v>
      </c>
      <c r="AD141" t="s">
        <v>36930</v>
      </c>
      <c r="AE141">
        <v>46</v>
      </c>
      <c r="AF141" t="s">
        <v>45541</v>
      </c>
      <c r="AG141" t="s">
        <v>19330</v>
      </c>
      <c r="AH141">
        <v>30</v>
      </c>
      <c r="AI141">
        <v>3</v>
      </c>
      <c r="AJ141">
        <v>1</v>
      </c>
      <c r="AK141">
        <v>61.25</v>
      </c>
      <c r="AN141" t="s">
        <v>45581</v>
      </c>
      <c r="AO141">
        <v>15374.46</v>
      </c>
      <c r="AU141">
        <v>1.9</v>
      </c>
      <c r="AV141" t="s">
        <v>435</v>
      </c>
      <c r="AW141" t="s">
        <v>46840</v>
      </c>
    </row>
    <row r="142" spans="1:49">
      <c r="A142" s="1">
        <f>HYPERLINK("https://lsnyc.legalserver.org/matter/dynamic-profile/view/1871556","18-1871556")</f>
        <v>0</v>
      </c>
      <c r="B142" t="s">
        <v>74</v>
      </c>
      <c r="C142" t="s">
        <v>341</v>
      </c>
      <c r="D142" t="s">
        <v>420</v>
      </c>
      <c r="E142" t="s">
        <v>505</v>
      </c>
      <c r="F142" t="s">
        <v>916</v>
      </c>
      <c r="G142" t="s">
        <v>1627</v>
      </c>
      <c r="H142" t="s">
        <v>9750</v>
      </c>
      <c r="I142" t="s">
        <v>17354</v>
      </c>
      <c r="J142" t="s">
        <v>18893</v>
      </c>
      <c r="K142">
        <v>10034</v>
      </c>
      <c r="L142" t="s">
        <v>18958</v>
      </c>
      <c r="M142" t="s">
        <v>18958</v>
      </c>
      <c r="O142" t="s">
        <v>26526</v>
      </c>
      <c r="P142" t="s">
        <v>26564</v>
      </c>
      <c r="Q142" t="s">
        <v>26570</v>
      </c>
      <c r="R142" t="s">
        <v>26578</v>
      </c>
      <c r="S142" t="s">
        <v>18959</v>
      </c>
      <c r="U142" t="s">
        <v>26604</v>
      </c>
      <c r="W142" t="s">
        <v>420</v>
      </c>
      <c r="X142">
        <v>940.51</v>
      </c>
      <c r="Y142" t="s">
        <v>26651</v>
      </c>
      <c r="Z142" t="s">
        <v>26661</v>
      </c>
      <c r="AA142" t="s">
        <v>26683</v>
      </c>
      <c r="AB142" t="s">
        <v>26827</v>
      </c>
      <c r="AD142" t="s">
        <v>36931</v>
      </c>
      <c r="AE142">
        <v>20</v>
      </c>
      <c r="AF142" t="s">
        <v>45541</v>
      </c>
      <c r="AG142" t="s">
        <v>19330</v>
      </c>
      <c r="AH142">
        <v>20</v>
      </c>
      <c r="AI142">
        <v>1</v>
      </c>
      <c r="AJ142">
        <v>0</v>
      </c>
      <c r="AK142">
        <v>85.67</v>
      </c>
      <c r="AN142" t="s">
        <v>45581</v>
      </c>
      <c r="AO142">
        <v>10400</v>
      </c>
      <c r="AU142">
        <v>1.5</v>
      </c>
      <c r="AV142" t="s">
        <v>504</v>
      </c>
      <c r="AW142" t="s">
        <v>46840</v>
      </c>
    </row>
    <row r="143" spans="1:49">
      <c r="A143" s="1">
        <f>HYPERLINK("https://lsnyc.legalserver.org/matter/dynamic-profile/view/1871503","18-1871503")</f>
        <v>0</v>
      </c>
      <c r="B143" t="s">
        <v>74</v>
      </c>
      <c r="C143" t="s">
        <v>341</v>
      </c>
      <c r="D143" t="s">
        <v>420</v>
      </c>
      <c r="E143" t="s">
        <v>461</v>
      </c>
      <c r="F143" t="s">
        <v>986</v>
      </c>
      <c r="G143" t="s">
        <v>5173</v>
      </c>
      <c r="H143" t="s">
        <v>9751</v>
      </c>
      <c r="I143">
        <v>41</v>
      </c>
      <c r="J143" t="s">
        <v>18893</v>
      </c>
      <c r="K143">
        <v>10034</v>
      </c>
      <c r="L143" t="s">
        <v>18958</v>
      </c>
      <c r="M143" t="s">
        <v>18958</v>
      </c>
      <c r="O143" t="s">
        <v>26523</v>
      </c>
      <c r="P143" t="s">
        <v>26564</v>
      </c>
      <c r="Q143" t="s">
        <v>26570</v>
      </c>
      <c r="R143" t="s">
        <v>26578</v>
      </c>
      <c r="S143" t="s">
        <v>18959</v>
      </c>
      <c r="U143" t="s">
        <v>26604</v>
      </c>
      <c r="W143" t="s">
        <v>420</v>
      </c>
      <c r="X143">
        <v>767.76</v>
      </c>
      <c r="Y143" t="s">
        <v>26651</v>
      </c>
      <c r="Z143" t="s">
        <v>26659</v>
      </c>
      <c r="AA143" t="s">
        <v>26683</v>
      </c>
      <c r="AB143" t="s">
        <v>26828</v>
      </c>
      <c r="AD143" t="s">
        <v>36932</v>
      </c>
      <c r="AE143">
        <v>20</v>
      </c>
      <c r="AF143" t="s">
        <v>45541</v>
      </c>
      <c r="AG143" t="s">
        <v>45559</v>
      </c>
      <c r="AH143">
        <v>40</v>
      </c>
      <c r="AI143">
        <v>2</v>
      </c>
      <c r="AJ143">
        <v>0</v>
      </c>
      <c r="AK143">
        <v>97.17</v>
      </c>
      <c r="AN143" t="s">
        <v>7439</v>
      </c>
      <c r="AO143">
        <v>15994.75</v>
      </c>
      <c r="AU143">
        <v>2</v>
      </c>
      <c r="AV143" t="s">
        <v>434</v>
      </c>
      <c r="AW143" t="s">
        <v>46840</v>
      </c>
    </row>
    <row r="144" spans="1:49">
      <c r="A144" s="1">
        <f>HYPERLINK("https://lsnyc.legalserver.org/matter/dynamic-profile/view/1871492","18-1871492")</f>
        <v>0</v>
      </c>
      <c r="B144" t="s">
        <v>74</v>
      </c>
      <c r="C144" t="s">
        <v>341</v>
      </c>
      <c r="D144" t="s">
        <v>420</v>
      </c>
      <c r="E144" t="s">
        <v>682</v>
      </c>
      <c r="F144" t="s">
        <v>987</v>
      </c>
      <c r="G144" t="s">
        <v>5174</v>
      </c>
      <c r="H144" t="s">
        <v>9752</v>
      </c>
      <c r="I144">
        <v>4</v>
      </c>
      <c r="J144" t="s">
        <v>18893</v>
      </c>
      <c r="K144">
        <v>10032</v>
      </c>
      <c r="L144" t="s">
        <v>18958</v>
      </c>
      <c r="M144" t="s">
        <v>18958</v>
      </c>
      <c r="O144" t="s">
        <v>26524</v>
      </c>
      <c r="P144" t="s">
        <v>26560</v>
      </c>
      <c r="Q144" t="s">
        <v>26568</v>
      </c>
      <c r="R144" t="s">
        <v>26578</v>
      </c>
      <c r="S144" t="s">
        <v>18959</v>
      </c>
      <c r="U144" t="s">
        <v>26604</v>
      </c>
      <c r="W144" t="s">
        <v>420</v>
      </c>
      <c r="X144">
        <v>1106.71</v>
      </c>
      <c r="Y144" t="s">
        <v>26651</v>
      </c>
      <c r="Z144" t="s">
        <v>26670</v>
      </c>
      <c r="AA144" t="s">
        <v>26678</v>
      </c>
      <c r="AB144" t="s">
        <v>26829</v>
      </c>
      <c r="AD144" t="s">
        <v>36933</v>
      </c>
      <c r="AE144">
        <v>39</v>
      </c>
      <c r="AF144" t="s">
        <v>45541</v>
      </c>
      <c r="AG144" t="s">
        <v>19330</v>
      </c>
      <c r="AH144">
        <v>38</v>
      </c>
      <c r="AI144">
        <v>2</v>
      </c>
      <c r="AJ144">
        <v>0</v>
      </c>
      <c r="AK144">
        <v>117.08</v>
      </c>
      <c r="AN144" t="s">
        <v>45581</v>
      </c>
      <c r="AO144">
        <v>19272</v>
      </c>
      <c r="AU144">
        <v>40.35</v>
      </c>
      <c r="AV144" t="s">
        <v>682</v>
      </c>
      <c r="AW144" t="s">
        <v>46840</v>
      </c>
    </row>
    <row r="145" spans="1:50">
      <c r="A145" s="1">
        <f>HYPERLINK("https://lsnyc.legalserver.org/matter/dynamic-profile/view/1871498","18-1871498")</f>
        <v>0</v>
      </c>
      <c r="B145" t="s">
        <v>110</v>
      </c>
      <c r="C145" t="s">
        <v>341</v>
      </c>
      <c r="D145" t="s">
        <v>420</v>
      </c>
      <c r="E145" t="s">
        <v>805</v>
      </c>
      <c r="F145" t="s">
        <v>887</v>
      </c>
      <c r="G145" t="s">
        <v>5121</v>
      </c>
      <c r="H145" t="s">
        <v>9753</v>
      </c>
      <c r="I145" t="s">
        <v>17331</v>
      </c>
      <c r="J145" t="s">
        <v>18899</v>
      </c>
      <c r="K145">
        <v>11385</v>
      </c>
      <c r="L145" t="s">
        <v>18958</v>
      </c>
      <c r="M145" t="s">
        <v>18958</v>
      </c>
      <c r="N145" t="s">
        <v>19054</v>
      </c>
      <c r="O145" t="s">
        <v>26523</v>
      </c>
      <c r="P145" t="s">
        <v>26560</v>
      </c>
      <c r="Q145" t="s">
        <v>26568</v>
      </c>
      <c r="R145" t="s">
        <v>26585</v>
      </c>
      <c r="S145" t="s">
        <v>18959</v>
      </c>
      <c r="U145" t="s">
        <v>26604</v>
      </c>
      <c r="V145" t="s">
        <v>26610</v>
      </c>
      <c r="W145" t="s">
        <v>420</v>
      </c>
      <c r="X145">
        <v>762.4299999999999</v>
      </c>
      <c r="Y145" t="s">
        <v>26653</v>
      </c>
      <c r="Z145" t="s">
        <v>26664</v>
      </c>
      <c r="AA145" t="s">
        <v>26678</v>
      </c>
      <c r="AB145" t="s">
        <v>26830</v>
      </c>
      <c r="AC145" t="s">
        <v>34522</v>
      </c>
      <c r="AD145" t="s">
        <v>36934</v>
      </c>
      <c r="AE145">
        <v>6</v>
      </c>
      <c r="AF145" t="s">
        <v>45541</v>
      </c>
      <c r="AG145" t="s">
        <v>45559</v>
      </c>
      <c r="AH145">
        <v>1</v>
      </c>
      <c r="AI145">
        <v>1</v>
      </c>
      <c r="AJ145">
        <v>0</v>
      </c>
      <c r="AK145">
        <v>74.14</v>
      </c>
      <c r="AM145" t="s">
        <v>45576</v>
      </c>
      <c r="AN145" t="s">
        <v>7439</v>
      </c>
      <c r="AO145">
        <v>9000</v>
      </c>
      <c r="AQ145" t="s">
        <v>46361</v>
      </c>
      <c r="AR145" t="s">
        <v>46379</v>
      </c>
      <c r="AS145" t="s">
        <v>46499</v>
      </c>
      <c r="AT145" t="s">
        <v>46542</v>
      </c>
      <c r="AU145">
        <v>27.85</v>
      </c>
      <c r="AV145" t="s">
        <v>684</v>
      </c>
      <c r="AW145" t="s">
        <v>208</v>
      </c>
    </row>
    <row r="146" spans="1:50">
      <c r="A146" s="1">
        <f>HYPERLINK("https://lsnyc.legalserver.org/matter/dynamic-profile/view/1871540","18-1871540")</f>
        <v>0</v>
      </c>
      <c r="B146" t="s">
        <v>110</v>
      </c>
      <c r="C146" t="s">
        <v>341</v>
      </c>
      <c r="D146" t="s">
        <v>420</v>
      </c>
      <c r="E146" t="s">
        <v>820</v>
      </c>
      <c r="F146" t="s">
        <v>988</v>
      </c>
      <c r="G146" t="s">
        <v>5175</v>
      </c>
      <c r="H146" t="s">
        <v>9754</v>
      </c>
      <c r="I146" t="s">
        <v>17277</v>
      </c>
      <c r="J146" t="s">
        <v>18906</v>
      </c>
      <c r="K146">
        <v>11373</v>
      </c>
      <c r="L146" t="s">
        <v>18958</v>
      </c>
      <c r="M146" t="s">
        <v>18958</v>
      </c>
      <c r="N146" t="s">
        <v>19055</v>
      </c>
      <c r="O146" t="s">
        <v>26523</v>
      </c>
      <c r="P146" t="s">
        <v>26560</v>
      </c>
      <c r="Q146" t="s">
        <v>26568</v>
      </c>
      <c r="R146" t="s">
        <v>26585</v>
      </c>
      <c r="S146" t="s">
        <v>18959</v>
      </c>
      <c r="U146" t="s">
        <v>26604</v>
      </c>
      <c r="V146" t="s">
        <v>26610</v>
      </c>
      <c r="W146" t="s">
        <v>420</v>
      </c>
      <c r="X146">
        <v>970.8</v>
      </c>
      <c r="Y146" t="s">
        <v>26653</v>
      </c>
      <c r="Z146" t="s">
        <v>26664</v>
      </c>
      <c r="AA146" t="s">
        <v>26678</v>
      </c>
      <c r="AB146" t="s">
        <v>26831</v>
      </c>
      <c r="AC146" t="s">
        <v>34507</v>
      </c>
      <c r="AD146" t="s">
        <v>36935</v>
      </c>
      <c r="AE146">
        <v>126</v>
      </c>
      <c r="AF146" t="s">
        <v>45541</v>
      </c>
      <c r="AG146" t="s">
        <v>19330</v>
      </c>
      <c r="AH146">
        <v>34</v>
      </c>
      <c r="AI146">
        <v>1</v>
      </c>
      <c r="AJ146">
        <v>0</v>
      </c>
      <c r="AK146">
        <v>81.65000000000001</v>
      </c>
      <c r="AM146" t="s">
        <v>45576</v>
      </c>
      <c r="AN146" t="s">
        <v>26530</v>
      </c>
      <c r="AO146">
        <v>9912</v>
      </c>
      <c r="AR146" t="s">
        <v>46379</v>
      </c>
      <c r="AS146" t="s">
        <v>46499</v>
      </c>
      <c r="AT146" t="s">
        <v>46543</v>
      </c>
      <c r="AU146">
        <v>19</v>
      </c>
      <c r="AV146" t="s">
        <v>682</v>
      </c>
      <c r="AW146" t="s">
        <v>208</v>
      </c>
      <c r="AX146" t="s">
        <v>46897</v>
      </c>
    </row>
    <row r="147" spans="1:50">
      <c r="A147" s="1">
        <f>HYPERLINK("https://lsnyc.legalserver.org/matter/dynamic-profile/view/1871585","18-1871585")</f>
        <v>0</v>
      </c>
      <c r="B147" t="s">
        <v>111</v>
      </c>
      <c r="C147" t="s">
        <v>341</v>
      </c>
      <c r="D147" t="s">
        <v>420</v>
      </c>
      <c r="E147" t="s">
        <v>662</v>
      </c>
      <c r="F147" t="s">
        <v>989</v>
      </c>
      <c r="G147" t="s">
        <v>5176</v>
      </c>
      <c r="H147" t="s">
        <v>9755</v>
      </c>
      <c r="I147" t="s">
        <v>17302</v>
      </c>
      <c r="J147" t="s">
        <v>18907</v>
      </c>
      <c r="K147">
        <v>11377</v>
      </c>
      <c r="L147" t="s">
        <v>18958</v>
      </c>
      <c r="M147" t="s">
        <v>18958</v>
      </c>
      <c r="N147" t="s">
        <v>19056</v>
      </c>
      <c r="O147" t="s">
        <v>26523</v>
      </c>
      <c r="P147" t="s">
        <v>26564</v>
      </c>
      <c r="Q147" t="s">
        <v>26570</v>
      </c>
      <c r="R147" t="s">
        <v>26584</v>
      </c>
      <c r="S147" t="s">
        <v>18959</v>
      </c>
      <c r="U147" t="s">
        <v>26604</v>
      </c>
      <c r="W147" t="s">
        <v>420</v>
      </c>
      <c r="X147">
        <v>729.64</v>
      </c>
      <c r="Y147" t="s">
        <v>26653</v>
      </c>
      <c r="Z147" t="s">
        <v>26664</v>
      </c>
      <c r="AA147" t="s">
        <v>26683</v>
      </c>
      <c r="AB147" t="s">
        <v>26832</v>
      </c>
      <c r="AC147" t="s">
        <v>19330</v>
      </c>
      <c r="AD147" t="s">
        <v>36936</v>
      </c>
      <c r="AE147">
        <v>133</v>
      </c>
      <c r="AF147" t="s">
        <v>45550</v>
      </c>
      <c r="AG147" t="s">
        <v>45559</v>
      </c>
      <c r="AH147">
        <v>6</v>
      </c>
      <c r="AI147">
        <v>1</v>
      </c>
      <c r="AJ147">
        <v>0</v>
      </c>
      <c r="AK147">
        <v>138.39</v>
      </c>
      <c r="AN147" t="s">
        <v>7439</v>
      </c>
      <c r="AO147">
        <v>16800</v>
      </c>
      <c r="AU147">
        <v>0.95</v>
      </c>
      <c r="AV147" t="s">
        <v>420</v>
      </c>
      <c r="AW147" t="s">
        <v>161</v>
      </c>
    </row>
    <row r="148" spans="1:50">
      <c r="A148" s="1">
        <f>HYPERLINK("https://lsnyc.legalserver.org/matter/dynamic-profile/view/1871546","18-1871546")</f>
        <v>0</v>
      </c>
      <c r="B148" t="s">
        <v>112</v>
      </c>
      <c r="C148" t="s">
        <v>341</v>
      </c>
      <c r="D148" t="s">
        <v>420</v>
      </c>
      <c r="E148" t="s">
        <v>770</v>
      </c>
      <c r="F148" t="s">
        <v>990</v>
      </c>
      <c r="G148" t="s">
        <v>5177</v>
      </c>
      <c r="H148" t="s">
        <v>9756</v>
      </c>
      <c r="I148">
        <v>3</v>
      </c>
      <c r="J148" t="s">
        <v>18908</v>
      </c>
      <c r="K148">
        <v>11411</v>
      </c>
      <c r="L148" t="s">
        <v>18958</v>
      </c>
      <c r="M148" t="s">
        <v>18958</v>
      </c>
      <c r="N148" t="s">
        <v>19057</v>
      </c>
      <c r="O148" t="s">
        <v>26524</v>
      </c>
      <c r="P148" t="s">
        <v>26560</v>
      </c>
      <c r="Q148" t="s">
        <v>26568</v>
      </c>
      <c r="R148" t="s">
        <v>26584</v>
      </c>
      <c r="S148" t="s">
        <v>18959</v>
      </c>
      <c r="U148" t="s">
        <v>26604</v>
      </c>
      <c r="V148" t="s">
        <v>26610</v>
      </c>
      <c r="W148" t="s">
        <v>420</v>
      </c>
      <c r="X148">
        <v>1575</v>
      </c>
      <c r="Y148" t="s">
        <v>26653</v>
      </c>
      <c r="Z148" t="s">
        <v>26664</v>
      </c>
      <c r="AA148" t="s">
        <v>26679</v>
      </c>
      <c r="AB148" t="s">
        <v>26833</v>
      </c>
      <c r="AC148" t="s">
        <v>34523</v>
      </c>
      <c r="AD148" t="s">
        <v>36937</v>
      </c>
      <c r="AE148">
        <v>3</v>
      </c>
      <c r="AF148" t="s">
        <v>45547</v>
      </c>
      <c r="AG148" t="s">
        <v>45556</v>
      </c>
      <c r="AH148">
        <v>9</v>
      </c>
      <c r="AI148">
        <v>1</v>
      </c>
      <c r="AJ148">
        <v>3</v>
      </c>
      <c r="AK148">
        <v>28.69</v>
      </c>
      <c r="AM148" t="s">
        <v>45576</v>
      </c>
      <c r="AN148" t="s">
        <v>7439</v>
      </c>
      <c r="AO148">
        <v>7200</v>
      </c>
      <c r="AQ148" t="s">
        <v>46365</v>
      </c>
      <c r="AR148" t="s">
        <v>46384</v>
      </c>
      <c r="AS148" t="s">
        <v>46500</v>
      </c>
      <c r="AT148" t="s">
        <v>46544</v>
      </c>
      <c r="AU148">
        <v>26.6</v>
      </c>
      <c r="AV148" t="s">
        <v>779</v>
      </c>
      <c r="AW148" t="s">
        <v>208</v>
      </c>
    </row>
    <row r="149" spans="1:50">
      <c r="A149" s="1">
        <f>HYPERLINK("https://lsnyc.legalserver.org/matter/dynamic-profile/view/1871563","18-1871563")</f>
        <v>0</v>
      </c>
      <c r="B149" t="s">
        <v>61</v>
      </c>
      <c r="C149" t="s">
        <v>340</v>
      </c>
      <c r="D149" t="s">
        <v>420</v>
      </c>
      <c r="F149" t="s">
        <v>991</v>
      </c>
      <c r="G149" t="s">
        <v>5178</v>
      </c>
      <c r="H149" t="s">
        <v>9757</v>
      </c>
      <c r="I149" t="s">
        <v>17319</v>
      </c>
      <c r="J149" t="s">
        <v>18893</v>
      </c>
      <c r="K149">
        <v>10034</v>
      </c>
      <c r="L149" t="s">
        <v>18958</v>
      </c>
      <c r="M149" t="s">
        <v>18958</v>
      </c>
      <c r="N149" t="s">
        <v>19058</v>
      </c>
      <c r="O149" t="s">
        <v>26526</v>
      </c>
      <c r="P149" t="s">
        <v>26560</v>
      </c>
      <c r="R149" t="s">
        <v>26578</v>
      </c>
      <c r="S149" t="s">
        <v>18958</v>
      </c>
      <c r="U149" t="s">
        <v>26604</v>
      </c>
      <c r="W149" t="s">
        <v>420</v>
      </c>
      <c r="X149">
        <v>2670</v>
      </c>
      <c r="Y149" t="s">
        <v>26651</v>
      </c>
      <c r="Z149" t="s">
        <v>26661</v>
      </c>
      <c r="AB149" t="s">
        <v>26834</v>
      </c>
      <c r="AE149">
        <v>67</v>
      </c>
      <c r="AF149" t="s">
        <v>45541</v>
      </c>
      <c r="AG149" t="s">
        <v>19330</v>
      </c>
      <c r="AH149">
        <v>8</v>
      </c>
      <c r="AI149">
        <v>1</v>
      </c>
      <c r="AJ149">
        <v>0</v>
      </c>
      <c r="AK149">
        <v>0</v>
      </c>
      <c r="AN149" t="s">
        <v>7439</v>
      </c>
      <c r="AO149">
        <v>0</v>
      </c>
      <c r="AU149">
        <v>3.3</v>
      </c>
      <c r="AV149" t="s">
        <v>780</v>
      </c>
      <c r="AW149" t="s">
        <v>46840</v>
      </c>
      <c r="AX149" t="s">
        <v>46897</v>
      </c>
    </row>
    <row r="150" spans="1:50">
      <c r="A150" s="1">
        <f>HYPERLINK("https://lsnyc.legalserver.org/matter/dynamic-profile/view/1871565","18-1871565")</f>
        <v>0</v>
      </c>
      <c r="B150" t="s">
        <v>61</v>
      </c>
      <c r="C150" t="s">
        <v>340</v>
      </c>
      <c r="D150" t="s">
        <v>420</v>
      </c>
      <c r="F150" t="s">
        <v>992</v>
      </c>
      <c r="G150" t="s">
        <v>5179</v>
      </c>
      <c r="H150" t="s">
        <v>9757</v>
      </c>
      <c r="I150" t="s">
        <v>17355</v>
      </c>
      <c r="J150" t="s">
        <v>18893</v>
      </c>
      <c r="K150">
        <v>10034</v>
      </c>
      <c r="L150" t="s">
        <v>18958</v>
      </c>
      <c r="M150" t="s">
        <v>18958</v>
      </c>
      <c r="N150" t="s">
        <v>19058</v>
      </c>
      <c r="O150" t="s">
        <v>26526</v>
      </c>
      <c r="P150" t="s">
        <v>26560</v>
      </c>
      <c r="R150" t="s">
        <v>26578</v>
      </c>
      <c r="S150" t="s">
        <v>18958</v>
      </c>
      <c r="U150" t="s">
        <v>26604</v>
      </c>
      <c r="W150" t="s">
        <v>420</v>
      </c>
      <c r="X150">
        <v>693</v>
      </c>
      <c r="Y150" t="s">
        <v>26651</v>
      </c>
      <c r="Z150" t="s">
        <v>26661</v>
      </c>
      <c r="AB150" t="s">
        <v>26835</v>
      </c>
      <c r="AE150">
        <v>67</v>
      </c>
      <c r="AF150" t="s">
        <v>45541</v>
      </c>
      <c r="AG150" t="s">
        <v>19330</v>
      </c>
      <c r="AH150">
        <v>17</v>
      </c>
      <c r="AI150">
        <v>1</v>
      </c>
      <c r="AJ150">
        <v>0</v>
      </c>
      <c r="AK150">
        <v>123.56</v>
      </c>
      <c r="AN150" t="s">
        <v>7439</v>
      </c>
      <c r="AO150">
        <v>15000</v>
      </c>
      <c r="AU150">
        <v>1</v>
      </c>
      <c r="AV150" t="s">
        <v>414</v>
      </c>
      <c r="AW150" t="s">
        <v>46840</v>
      </c>
      <c r="AX150" t="s">
        <v>46897</v>
      </c>
    </row>
    <row r="151" spans="1:50">
      <c r="A151" s="1">
        <f>HYPERLINK("https://lsnyc.legalserver.org/matter/dynamic-profile/view/1871560","18-1871560")</f>
        <v>0</v>
      </c>
      <c r="B151" t="s">
        <v>61</v>
      </c>
      <c r="C151" t="s">
        <v>340</v>
      </c>
      <c r="D151" t="s">
        <v>420</v>
      </c>
      <c r="F151" t="s">
        <v>993</v>
      </c>
      <c r="G151" t="s">
        <v>5180</v>
      </c>
      <c r="H151" t="s">
        <v>9757</v>
      </c>
      <c r="I151" t="s">
        <v>17277</v>
      </c>
      <c r="J151" t="s">
        <v>18893</v>
      </c>
      <c r="K151">
        <v>10034</v>
      </c>
      <c r="L151" t="s">
        <v>18958</v>
      </c>
      <c r="M151" t="s">
        <v>18958</v>
      </c>
      <c r="N151" t="s">
        <v>19058</v>
      </c>
      <c r="O151" t="s">
        <v>26526</v>
      </c>
      <c r="P151" t="s">
        <v>26560</v>
      </c>
      <c r="R151" t="s">
        <v>26578</v>
      </c>
      <c r="S151" t="s">
        <v>18958</v>
      </c>
      <c r="U151" t="s">
        <v>26604</v>
      </c>
      <c r="W151" t="s">
        <v>420</v>
      </c>
      <c r="X151">
        <v>1926</v>
      </c>
      <c r="Y151" t="s">
        <v>26651</v>
      </c>
      <c r="Z151" t="s">
        <v>26661</v>
      </c>
      <c r="AB151" t="s">
        <v>26836</v>
      </c>
      <c r="AD151" t="s">
        <v>36938</v>
      </c>
      <c r="AE151">
        <v>67</v>
      </c>
      <c r="AF151" t="s">
        <v>45541</v>
      </c>
      <c r="AG151" t="s">
        <v>19330</v>
      </c>
      <c r="AH151">
        <v>10</v>
      </c>
      <c r="AI151">
        <v>2</v>
      </c>
      <c r="AJ151">
        <v>0</v>
      </c>
      <c r="AK151">
        <v>217.65</v>
      </c>
      <c r="AN151" t="s">
        <v>7439</v>
      </c>
      <c r="AO151">
        <v>35824.6</v>
      </c>
      <c r="AU151">
        <v>0.4</v>
      </c>
      <c r="AV151" t="s">
        <v>411</v>
      </c>
      <c r="AW151" t="s">
        <v>46840</v>
      </c>
      <c r="AX151" t="s">
        <v>46897</v>
      </c>
    </row>
    <row r="152" spans="1:50">
      <c r="A152" s="1">
        <f>HYPERLINK("https://lsnyc.legalserver.org/matter/dynamic-profile/view/1871571","18-1871571")</f>
        <v>0</v>
      </c>
      <c r="B152" t="s">
        <v>61</v>
      </c>
      <c r="C152" t="s">
        <v>340</v>
      </c>
      <c r="D152" t="s">
        <v>420</v>
      </c>
      <c r="F152" t="s">
        <v>994</v>
      </c>
      <c r="G152" t="s">
        <v>3662</v>
      </c>
      <c r="H152" t="s">
        <v>9757</v>
      </c>
      <c r="I152" t="s">
        <v>17356</v>
      </c>
      <c r="J152" t="s">
        <v>18893</v>
      </c>
      <c r="K152">
        <v>10034</v>
      </c>
      <c r="L152" t="s">
        <v>18958</v>
      </c>
      <c r="M152" t="s">
        <v>18958</v>
      </c>
      <c r="N152" t="s">
        <v>19058</v>
      </c>
      <c r="O152" t="s">
        <v>26526</v>
      </c>
      <c r="P152" t="s">
        <v>26560</v>
      </c>
      <c r="R152" t="s">
        <v>26578</v>
      </c>
      <c r="S152" t="s">
        <v>18958</v>
      </c>
      <c r="U152" t="s">
        <v>26604</v>
      </c>
      <c r="W152" t="s">
        <v>420</v>
      </c>
      <c r="X152">
        <v>2300</v>
      </c>
      <c r="Y152" t="s">
        <v>26651</v>
      </c>
      <c r="Z152" t="s">
        <v>26661</v>
      </c>
      <c r="AE152">
        <v>67</v>
      </c>
      <c r="AF152" t="s">
        <v>45541</v>
      </c>
      <c r="AG152" t="s">
        <v>19330</v>
      </c>
      <c r="AH152">
        <v>4</v>
      </c>
      <c r="AI152">
        <v>1</v>
      </c>
      <c r="AJ152">
        <v>0</v>
      </c>
      <c r="AK152">
        <v>387.15</v>
      </c>
      <c r="AN152" t="s">
        <v>7439</v>
      </c>
      <c r="AO152">
        <v>47000</v>
      </c>
      <c r="AU152">
        <v>1.3</v>
      </c>
      <c r="AV152" t="s">
        <v>412</v>
      </c>
      <c r="AW152" t="s">
        <v>46840</v>
      </c>
      <c r="AX152" t="s">
        <v>46897</v>
      </c>
    </row>
    <row r="153" spans="1:50">
      <c r="A153" s="1">
        <f>HYPERLINK("https://lsnyc.legalserver.org/matter/dynamic-profile/view/1871583","18-1871583")</f>
        <v>0</v>
      </c>
      <c r="B153" t="s">
        <v>61</v>
      </c>
      <c r="C153" t="s">
        <v>340</v>
      </c>
      <c r="D153" t="s">
        <v>420</v>
      </c>
      <c r="F153" t="s">
        <v>995</v>
      </c>
      <c r="G153" t="s">
        <v>5181</v>
      </c>
      <c r="H153" t="s">
        <v>9757</v>
      </c>
      <c r="I153" t="s">
        <v>17327</v>
      </c>
      <c r="J153" t="s">
        <v>18893</v>
      </c>
      <c r="K153">
        <v>10034</v>
      </c>
      <c r="L153" t="s">
        <v>18958</v>
      </c>
      <c r="M153" t="s">
        <v>18958</v>
      </c>
      <c r="N153" t="s">
        <v>19058</v>
      </c>
      <c r="O153" t="s">
        <v>26526</v>
      </c>
      <c r="P153" t="s">
        <v>26560</v>
      </c>
      <c r="R153" t="s">
        <v>26578</v>
      </c>
      <c r="S153" t="s">
        <v>18958</v>
      </c>
      <c r="U153" t="s">
        <v>26604</v>
      </c>
      <c r="W153" t="s">
        <v>420</v>
      </c>
      <c r="X153">
        <v>1595</v>
      </c>
      <c r="Y153" t="s">
        <v>26651</v>
      </c>
      <c r="Z153" t="s">
        <v>26661</v>
      </c>
      <c r="AB153" t="s">
        <v>26837</v>
      </c>
      <c r="AE153">
        <v>67</v>
      </c>
      <c r="AF153" t="s">
        <v>45541</v>
      </c>
      <c r="AG153" t="s">
        <v>19330</v>
      </c>
      <c r="AH153">
        <v>1</v>
      </c>
      <c r="AI153">
        <v>1</v>
      </c>
      <c r="AJ153">
        <v>0</v>
      </c>
      <c r="AK153">
        <v>589.36</v>
      </c>
      <c r="AN153" t="s">
        <v>7439</v>
      </c>
      <c r="AO153">
        <v>71548</v>
      </c>
      <c r="AU153">
        <v>0.2</v>
      </c>
      <c r="AV153" t="s">
        <v>411</v>
      </c>
      <c r="AW153" t="s">
        <v>46840</v>
      </c>
      <c r="AX153" t="s">
        <v>46897</v>
      </c>
    </row>
    <row r="154" spans="1:50">
      <c r="A154" s="1">
        <f>HYPERLINK("https://lsnyc.legalserver.org/matter/dynamic-profile/view/1871582","18-1871582")</f>
        <v>0</v>
      </c>
      <c r="B154" t="s">
        <v>61</v>
      </c>
      <c r="C154" t="s">
        <v>340</v>
      </c>
      <c r="D154" t="s">
        <v>420</v>
      </c>
      <c r="F154" t="s">
        <v>996</v>
      </c>
      <c r="G154" t="s">
        <v>5182</v>
      </c>
      <c r="H154" t="s">
        <v>9757</v>
      </c>
      <c r="J154" t="s">
        <v>18893</v>
      </c>
      <c r="K154">
        <v>10034</v>
      </c>
      <c r="L154" t="s">
        <v>18958</v>
      </c>
      <c r="M154" t="s">
        <v>18958</v>
      </c>
      <c r="N154" t="s">
        <v>19058</v>
      </c>
      <c r="O154" t="s">
        <v>26526</v>
      </c>
      <c r="P154" t="s">
        <v>26560</v>
      </c>
      <c r="R154" t="s">
        <v>26578</v>
      </c>
      <c r="S154" t="s">
        <v>18958</v>
      </c>
      <c r="U154" t="s">
        <v>26604</v>
      </c>
      <c r="W154" t="s">
        <v>420</v>
      </c>
      <c r="X154">
        <v>1920</v>
      </c>
      <c r="Y154" t="s">
        <v>26651</v>
      </c>
      <c r="Z154" t="s">
        <v>26661</v>
      </c>
      <c r="AB154" t="s">
        <v>26838</v>
      </c>
      <c r="AD154" t="s">
        <v>36939</v>
      </c>
      <c r="AE154">
        <v>67</v>
      </c>
      <c r="AF154" t="s">
        <v>45541</v>
      </c>
      <c r="AG154" t="s">
        <v>19330</v>
      </c>
      <c r="AH154">
        <v>1</v>
      </c>
      <c r="AI154">
        <v>1</v>
      </c>
      <c r="AJ154">
        <v>0</v>
      </c>
      <c r="AK154">
        <v>766.0599999999999</v>
      </c>
      <c r="AN154" t="s">
        <v>7439</v>
      </c>
      <c r="AO154">
        <v>93000</v>
      </c>
      <c r="AU154">
        <v>1.4</v>
      </c>
      <c r="AV154" t="s">
        <v>834</v>
      </c>
      <c r="AW154" t="s">
        <v>46840</v>
      </c>
    </row>
    <row r="155" spans="1:50">
      <c r="A155" s="1">
        <f>HYPERLINK("https://lsnyc.legalserver.org/matter/dynamic-profile/view/1871568","18-1871568")</f>
        <v>0</v>
      </c>
      <c r="B155" t="s">
        <v>61</v>
      </c>
      <c r="C155" t="s">
        <v>340</v>
      </c>
      <c r="D155" t="s">
        <v>420</v>
      </c>
      <c r="F155" t="s">
        <v>997</v>
      </c>
      <c r="G155" t="s">
        <v>5183</v>
      </c>
      <c r="H155" t="s">
        <v>9757</v>
      </c>
      <c r="I155" t="s">
        <v>17298</v>
      </c>
      <c r="J155" t="s">
        <v>18893</v>
      </c>
      <c r="K155">
        <v>10034</v>
      </c>
      <c r="L155" t="s">
        <v>18958</v>
      </c>
      <c r="M155" t="s">
        <v>18958</v>
      </c>
      <c r="N155" t="s">
        <v>19058</v>
      </c>
      <c r="O155" t="s">
        <v>26526</v>
      </c>
      <c r="P155" t="s">
        <v>26560</v>
      </c>
      <c r="R155" t="s">
        <v>26578</v>
      </c>
      <c r="S155" t="s">
        <v>18958</v>
      </c>
      <c r="U155" t="s">
        <v>26604</v>
      </c>
      <c r="W155" t="s">
        <v>420</v>
      </c>
      <c r="X155">
        <v>1589.4</v>
      </c>
      <c r="Y155" t="s">
        <v>26651</v>
      </c>
      <c r="Z155" t="s">
        <v>26661</v>
      </c>
      <c r="AB155" t="s">
        <v>26839</v>
      </c>
      <c r="AD155" t="s">
        <v>36940</v>
      </c>
      <c r="AE155">
        <v>67</v>
      </c>
      <c r="AF155" t="s">
        <v>45541</v>
      </c>
      <c r="AG155" t="s">
        <v>19330</v>
      </c>
      <c r="AH155">
        <v>4</v>
      </c>
      <c r="AI155">
        <v>1</v>
      </c>
      <c r="AJ155">
        <v>0</v>
      </c>
      <c r="AK155">
        <v>864.91</v>
      </c>
      <c r="AN155" t="s">
        <v>7439</v>
      </c>
      <c r="AO155">
        <v>105000</v>
      </c>
      <c r="AU155">
        <v>0.4</v>
      </c>
      <c r="AV155" t="s">
        <v>411</v>
      </c>
      <c r="AW155" t="s">
        <v>46840</v>
      </c>
    </row>
    <row r="156" spans="1:50">
      <c r="A156" s="1">
        <f>HYPERLINK("https://lsnyc.legalserver.org/matter/dynamic-profile/view/1871586","18-1871586")</f>
        <v>0</v>
      </c>
      <c r="B156" t="s">
        <v>61</v>
      </c>
      <c r="C156" t="s">
        <v>340</v>
      </c>
      <c r="D156" t="s">
        <v>420</v>
      </c>
      <c r="F156" t="s">
        <v>998</v>
      </c>
      <c r="G156" t="s">
        <v>5184</v>
      </c>
      <c r="H156" t="s">
        <v>9757</v>
      </c>
      <c r="I156" t="s">
        <v>17284</v>
      </c>
      <c r="J156" t="s">
        <v>18893</v>
      </c>
      <c r="K156">
        <v>10034</v>
      </c>
      <c r="L156" t="s">
        <v>18958</v>
      </c>
      <c r="M156" t="s">
        <v>18960</v>
      </c>
      <c r="N156" t="s">
        <v>19058</v>
      </c>
      <c r="O156" t="s">
        <v>26526</v>
      </c>
      <c r="P156" t="s">
        <v>26560</v>
      </c>
      <c r="R156" t="s">
        <v>26578</v>
      </c>
      <c r="S156" t="s">
        <v>18958</v>
      </c>
      <c r="U156" t="s">
        <v>26604</v>
      </c>
      <c r="W156" t="s">
        <v>420</v>
      </c>
      <c r="X156">
        <v>1800</v>
      </c>
      <c r="Y156" t="s">
        <v>26651</v>
      </c>
      <c r="Z156" t="s">
        <v>26661</v>
      </c>
      <c r="AB156" t="s">
        <v>26840</v>
      </c>
      <c r="AE156">
        <v>67</v>
      </c>
      <c r="AF156" t="s">
        <v>45541</v>
      </c>
      <c r="AG156" t="s">
        <v>19330</v>
      </c>
      <c r="AH156">
        <v>1</v>
      </c>
      <c r="AI156">
        <v>1</v>
      </c>
      <c r="AJ156">
        <v>0</v>
      </c>
      <c r="AK156">
        <v>1029.65</v>
      </c>
      <c r="AN156" t="s">
        <v>7439</v>
      </c>
      <c r="AO156">
        <v>125000</v>
      </c>
      <c r="AU156">
        <v>0.4</v>
      </c>
      <c r="AV156" t="s">
        <v>411</v>
      </c>
      <c r="AW156" t="s">
        <v>46840</v>
      </c>
    </row>
    <row r="157" spans="1:50">
      <c r="A157" s="1">
        <f>HYPERLINK("https://lsnyc.legalserver.org/matter/dynamic-profile/view/1871525","18-1871525")</f>
        <v>0</v>
      </c>
      <c r="B157" t="s">
        <v>113</v>
      </c>
      <c r="C157" t="s">
        <v>340</v>
      </c>
      <c r="D157" t="s">
        <v>420</v>
      </c>
      <c r="F157" t="s">
        <v>916</v>
      </c>
      <c r="G157" t="s">
        <v>5185</v>
      </c>
      <c r="H157" t="s">
        <v>9758</v>
      </c>
      <c r="I157" t="s">
        <v>17272</v>
      </c>
      <c r="J157" t="s">
        <v>18892</v>
      </c>
      <c r="K157">
        <v>10460</v>
      </c>
      <c r="L157" t="s">
        <v>18958</v>
      </c>
      <c r="M157" t="s">
        <v>18958</v>
      </c>
      <c r="N157" t="s">
        <v>19059</v>
      </c>
      <c r="O157" t="s">
        <v>26523</v>
      </c>
      <c r="P157" t="s">
        <v>26560</v>
      </c>
      <c r="R157" t="s">
        <v>26578</v>
      </c>
      <c r="S157" t="s">
        <v>18959</v>
      </c>
      <c r="U157" t="s">
        <v>26604</v>
      </c>
      <c r="V157" t="s">
        <v>26609</v>
      </c>
      <c r="W157" t="s">
        <v>420</v>
      </c>
      <c r="X157">
        <v>1325.9</v>
      </c>
      <c r="Y157" t="s">
        <v>26650</v>
      </c>
      <c r="Z157" t="s">
        <v>26659</v>
      </c>
      <c r="AB157" t="s">
        <v>26841</v>
      </c>
      <c r="AC157" t="s">
        <v>34524</v>
      </c>
      <c r="AD157" t="s">
        <v>36941</v>
      </c>
      <c r="AE157">
        <v>107</v>
      </c>
      <c r="AF157" t="s">
        <v>45547</v>
      </c>
      <c r="AG157" t="s">
        <v>45556</v>
      </c>
      <c r="AH157">
        <v>20</v>
      </c>
      <c r="AI157">
        <v>1</v>
      </c>
      <c r="AJ157">
        <v>0</v>
      </c>
      <c r="AK157">
        <v>78.78</v>
      </c>
      <c r="AN157" t="s">
        <v>45581</v>
      </c>
      <c r="AO157">
        <v>9564</v>
      </c>
      <c r="AQ157" t="s">
        <v>46362</v>
      </c>
      <c r="AR157" t="s">
        <v>46381</v>
      </c>
      <c r="AS157" t="s">
        <v>46499</v>
      </c>
      <c r="AT157" t="s">
        <v>46545</v>
      </c>
      <c r="AU157">
        <v>18.6</v>
      </c>
      <c r="AV157" t="s">
        <v>789</v>
      </c>
      <c r="AW157" t="s">
        <v>46832</v>
      </c>
    </row>
    <row r="158" spans="1:50">
      <c r="A158" s="1">
        <f>HYPERLINK("https://lsnyc.legalserver.org/matter/dynamic-profile/view/1871508","18-1871508")</f>
        <v>0</v>
      </c>
      <c r="B158" t="s">
        <v>114</v>
      </c>
      <c r="C158" t="s">
        <v>340</v>
      </c>
      <c r="D158" t="s">
        <v>420</v>
      </c>
      <c r="F158" t="s">
        <v>999</v>
      </c>
      <c r="G158" t="s">
        <v>5103</v>
      </c>
      <c r="H158" t="s">
        <v>9759</v>
      </c>
      <c r="I158" t="s">
        <v>17357</v>
      </c>
      <c r="J158" t="s">
        <v>18898</v>
      </c>
      <c r="K158">
        <v>11691</v>
      </c>
      <c r="L158" t="s">
        <v>18958</v>
      </c>
      <c r="M158" t="s">
        <v>18958</v>
      </c>
      <c r="N158" t="s">
        <v>19060</v>
      </c>
      <c r="O158" t="s">
        <v>26523</v>
      </c>
      <c r="P158" t="s">
        <v>26560</v>
      </c>
      <c r="R158" t="s">
        <v>26578</v>
      </c>
      <c r="S158" t="s">
        <v>18959</v>
      </c>
      <c r="U158" t="s">
        <v>26604</v>
      </c>
      <c r="V158" t="s">
        <v>26610</v>
      </c>
      <c r="W158" t="s">
        <v>420</v>
      </c>
      <c r="X158">
        <v>443</v>
      </c>
      <c r="Y158" t="s">
        <v>26653</v>
      </c>
      <c r="Z158" t="s">
        <v>26664</v>
      </c>
      <c r="AB158" t="s">
        <v>26842</v>
      </c>
      <c r="AD158" t="s">
        <v>36942</v>
      </c>
      <c r="AE158">
        <v>144</v>
      </c>
      <c r="AF158" t="s">
        <v>45543</v>
      </c>
      <c r="AG158" t="s">
        <v>26530</v>
      </c>
      <c r="AH158">
        <v>10</v>
      </c>
      <c r="AI158">
        <v>2</v>
      </c>
      <c r="AJ158">
        <v>1</v>
      </c>
      <c r="AK158">
        <v>105.4</v>
      </c>
      <c r="AN158" t="s">
        <v>7439</v>
      </c>
      <c r="AO158">
        <v>21902.4</v>
      </c>
      <c r="AQ158" t="s">
        <v>46365</v>
      </c>
      <c r="AR158" t="s">
        <v>26530</v>
      </c>
      <c r="AS158" t="s">
        <v>46499</v>
      </c>
      <c r="AT158" t="s">
        <v>46516</v>
      </c>
      <c r="AU158">
        <v>5.8</v>
      </c>
      <c r="AV158" t="s">
        <v>575</v>
      </c>
      <c r="AW158" t="s">
        <v>208</v>
      </c>
    </row>
    <row r="159" spans="1:50">
      <c r="A159" s="1">
        <f>HYPERLINK("https://lsnyc.legalserver.org/matter/dynamic-profile/view/1876787","18-1876787")</f>
        <v>0</v>
      </c>
      <c r="B159" t="s">
        <v>115</v>
      </c>
      <c r="C159" t="s">
        <v>340</v>
      </c>
      <c r="D159" t="s">
        <v>422</v>
      </c>
      <c r="F159" t="s">
        <v>1000</v>
      </c>
      <c r="G159" t="s">
        <v>5186</v>
      </c>
      <c r="H159" t="s">
        <v>9760</v>
      </c>
      <c r="I159" t="s">
        <v>17358</v>
      </c>
      <c r="J159" t="s">
        <v>18892</v>
      </c>
      <c r="K159">
        <v>10452</v>
      </c>
      <c r="L159" t="s">
        <v>18958</v>
      </c>
      <c r="M159" t="s">
        <v>18960</v>
      </c>
      <c r="O159" t="s">
        <v>18997</v>
      </c>
      <c r="P159" t="s">
        <v>26562</v>
      </c>
      <c r="R159" t="s">
        <v>26578</v>
      </c>
      <c r="S159" t="s">
        <v>18958</v>
      </c>
      <c r="U159" t="s">
        <v>26604</v>
      </c>
      <c r="W159" t="s">
        <v>420</v>
      </c>
      <c r="X159">
        <v>177</v>
      </c>
      <c r="Y159" t="s">
        <v>26650</v>
      </c>
      <c r="Z159" t="s">
        <v>26663</v>
      </c>
      <c r="AB159" t="s">
        <v>26843</v>
      </c>
      <c r="AE159">
        <v>149</v>
      </c>
      <c r="AF159" t="s">
        <v>45541</v>
      </c>
      <c r="AG159" t="s">
        <v>45559</v>
      </c>
      <c r="AH159">
        <v>11</v>
      </c>
      <c r="AI159">
        <v>1</v>
      </c>
      <c r="AJ159">
        <v>0</v>
      </c>
      <c r="AK159">
        <v>83.62</v>
      </c>
      <c r="AN159" t="s">
        <v>7439</v>
      </c>
      <c r="AO159">
        <v>10152</v>
      </c>
      <c r="AU159">
        <v>0</v>
      </c>
      <c r="AW159" t="s">
        <v>46832</v>
      </c>
    </row>
    <row r="160" spans="1:50">
      <c r="A160" s="1">
        <f>HYPERLINK("https://lsnyc.legalserver.org/matter/dynamic-profile/view/1860309","18-1860309")</f>
        <v>0</v>
      </c>
      <c r="B160" t="s">
        <v>73</v>
      </c>
      <c r="C160" t="s">
        <v>341</v>
      </c>
      <c r="D160" t="s">
        <v>423</v>
      </c>
      <c r="E160" t="s">
        <v>797</v>
      </c>
      <c r="F160" t="s">
        <v>1001</v>
      </c>
      <c r="G160" t="s">
        <v>5147</v>
      </c>
      <c r="H160" t="s">
        <v>9761</v>
      </c>
      <c r="I160" t="s">
        <v>17322</v>
      </c>
      <c r="J160" t="s">
        <v>18894</v>
      </c>
      <c r="K160">
        <v>11206</v>
      </c>
      <c r="L160" t="s">
        <v>18958</v>
      </c>
      <c r="M160" t="s">
        <v>18958</v>
      </c>
      <c r="N160" t="s">
        <v>19061</v>
      </c>
      <c r="O160" t="s">
        <v>26526</v>
      </c>
      <c r="P160" t="s">
        <v>26560</v>
      </c>
      <c r="Q160" t="s">
        <v>26568</v>
      </c>
      <c r="R160" t="s">
        <v>26578</v>
      </c>
      <c r="S160" t="s">
        <v>18958</v>
      </c>
      <c r="U160" t="s">
        <v>26604</v>
      </c>
      <c r="W160" t="s">
        <v>26620</v>
      </c>
      <c r="X160">
        <v>1245</v>
      </c>
      <c r="Y160" t="s">
        <v>26652</v>
      </c>
      <c r="Z160" t="s">
        <v>26667</v>
      </c>
      <c r="AA160" t="s">
        <v>26685</v>
      </c>
      <c r="AB160" t="s">
        <v>26844</v>
      </c>
      <c r="AC160" t="s">
        <v>34525</v>
      </c>
      <c r="AE160">
        <v>8</v>
      </c>
      <c r="AF160" t="s">
        <v>45541</v>
      </c>
      <c r="AG160" t="s">
        <v>45560</v>
      </c>
      <c r="AH160">
        <v>1</v>
      </c>
      <c r="AI160">
        <v>2</v>
      </c>
      <c r="AJ160">
        <v>0</v>
      </c>
      <c r="AK160">
        <v>110.84</v>
      </c>
      <c r="AN160" t="s">
        <v>7439</v>
      </c>
      <c r="AO160">
        <v>18000</v>
      </c>
      <c r="AP160" t="s">
        <v>45635</v>
      </c>
      <c r="AR160" t="s">
        <v>46393</v>
      </c>
      <c r="AU160">
        <v>3.2</v>
      </c>
      <c r="AV160" t="s">
        <v>825</v>
      </c>
      <c r="AW160" t="s">
        <v>279</v>
      </c>
      <c r="AX160" t="s">
        <v>46897</v>
      </c>
    </row>
    <row r="161" spans="1:50">
      <c r="A161" s="1">
        <f>HYPERLINK("https://lsnyc.legalserver.org/matter/dynamic-profile/view/1860318","18-1860318")</f>
        <v>0</v>
      </c>
      <c r="B161" t="s">
        <v>116</v>
      </c>
      <c r="C161" t="s">
        <v>340</v>
      </c>
      <c r="D161" t="s">
        <v>423</v>
      </c>
      <c r="F161" t="s">
        <v>1001</v>
      </c>
      <c r="G161" t="s">
        <v>5147</v>
      </c>
      <c r="H161" t="s">
        <v>9761</v>
      </c>
      <c r="I161" t="s">
        <v>17322</v>
      </c>
      <c r="J161" t="s">
        <v>18894</v>
      </c>
      <c r="K161">
        <v>11206</v>
      </c>
      <c r="L161" t="s">
        <v>18958</v>
      </c>
      <c r="M161" t="s">
        <v>18958</v>
      </c>
      <c r="N161" t="s">
        <v>19062</v>
      </c>
      <c r="O161" t="s">
        <v>26534</v>
      </c>
      <c r="P161" t="s">
        <v>26561</v>
      </c>
      <c r="R161" t="s">
        <v>26578</v>
      </c>
      <c r="S161" t="s">
        <v>18958</v>
      </c>
      <c r="U161" t="s">
        <v>26604</v>
      </c>
      <c r="W161" t="s">
        <v>26620</v>
      </c>
      <c r="X161">
        <v>1245</v>
      </c>
      <c r="Y161" t="s">
        <v>26652</v>
      </c>
      <c r="Z161" t="s">
        <v>26667</v>
      </c>
      <c r="AB161" t="s">
        <v>26844</v>
      </c>
      <c r="AC161" t="s">
        <v>34525</v>
      </c>
      <c r="AE161">
        <v>8</v>
      </c>
      <c r="AF161" t="s">
        <v>45541</v>
      </c>
      <c r="AG161" t="s">
        <v>45560</v>
      </c>
      <c r="AH161">
        <v>1</v>
      </c>
      <c r="AI161">
        <v>2</v>
      </c>
      <c r="AJ161">
        <v>0</v>
      </c>
      <c r="AK161">
        <v>109.36</v>
      </c>
      <c r="AN161" t="s">
        <v>7439</v>
      </c>
      <c r="AO161">
        <v>18000</v>
      </c>
      <c r="AP161" t="s">
        <v>45635</v>
      </c>
      <c r="AU161">
        <v>0.1</v>
      </c>
      <c r="AV161" t="s">
        <v>797</v>
      </c>
      <c r="AW161" t="s">
        <v>279</v>
      </c>
      <c r="AX161" t="s">
        <v>46897</v>
      </c>
    </row>
    <row r="162" spans="1:50">
      <c r="A162" s="1">
        <f>HYPERLINK("https://lsnyc.legalserver.org/matter/dynamic-profile/view/1839797","17-1839797")</f>
        <v>0</v>
      </c>
      <c r="B162" t="s">
        <v>50</v>
      </c>
      <c r="C162" t="s">
        <v>341</v>
      </c>
      <c r="D162" t="s">
        <v>424</v>
      </c>
      <c r="E162" t="s">
        <v>422</v>
      </c>
      <c r="F162" t="s">
        <v>1002</v>
      </c>
      <c r="G162" t="s">
        <v>5121</v>
      </c>
      <c r="H162" t="s">
        <v>9762</v>
      </c>
      <c r="I162" t="s">
        <v>17359</v>
      </c>
      <c r="J162" t="s">
        <v>18892</v>
      </c>
      <c r="K162">
        <v>10467</v>
      </c>
      <c r="L162" t="s">
        <v>18958</v>
      </c>
      <c r="M162" t="s">
        <v>18960</v>
      </c>
      <c r="N162" t="s">
        <v>19063</v>
      </c>
      <c r="O162" t="s">
        <v>26524</v>
      </c>
      <c r="P162" t="s">
        <v>26560</v>
      </c>
      <c r="Q162" t="s">
        <v>26575</v>
      </c>
      <c r="R162" t="s">
        <v>26579</v>
      </c>
      <c r="U162" t="s">
        <v>26604</v>
      </c>
      <c r="V162" t="s">
        <v>26610</v>
      </c>
      <c r="W162" t="s">
        <v>425</v>
      </c>
      <c r="X162">
        <v>900</v>
      </c>
      <c r="Y162" t="s">
        <v>26650</v>
      </c>
      <c r="Z162" t="s">
        <v>26662</v>
      </c>
      <c r="AA162" t="s">
        <v>26678</v>
      </c>
      <c r="AB162" t="s">
        <v>26845</v>
      </c>
      <c r="AC162" t="s">
        <v>34526</v>
      </c>
      <c r="AD162" t="s">
        <v>36943</v>
      </c>
      <c r="AE162">
        <v>49</v>
      </c>
      <c r="AF162" t="s">
        <v>45541</v>
      </c>
      <c r="AG162" t="s">
        <v>19330</v>
      </c>
      <c r="AH162">
        <v>9</v>
      </c>
      <c r="AI162">
        <v>3</v>
      </c>
      <c r="AJ162">
        <v>0</v>
      </c>
      <c r="AK162">
        <v>89.64</v>
      </c>
      <c r="AN162" t="s">
        <v>45581</v>
      </c>
      <c r="AO162">
        <v>18304</v>
      </c>
      <c r="AP162" t="s">
        <v>45621</v>
      </c>
      <c r="AQ162" t="s">
        <v>46359</v>
      </c>
      <c r="AR162" t="s">
        <v>46379</v>
      </c>
      <c r="AS162" t="s">
        <v>46499</v>
      </c>
      <c r="AT162" t="s">
        <v>46544</v>
      </c>
      <c r="AU162">
        <v>43.2</v>
      </c>
      <c r="AV162" t="s">
        <v>500</v>
      </c>
      <c r="AW162" t="s">
        <v>46839</v>
      </c>
    </row>
    <row r="163" spans="1:50">
      <c r="A163" s="1">
        <f>HYPERLINK("https://lsnyc.legalserver.org/matter/dynamic-profile/view/1869305","18-1869305")</f>
        <v>0</v>
      </c>
      <c r="B163" t="s">
        <v>117</v>
      </c>
      <c r="C163" t="s">
        <v>340</v>
      </c>
      <c r="D163" t="s">
        <v>396</v>
      </c>
      <c r="F163" t="s">
        <v>1003</v>
      </c>
      <c r="G163" t="s">
        <v>5026</v>
      </c>
      <c r="H163" t="s">
        <v>9763</v>
      </c>
      <c r="I163" t="s">
        <v>17360</v>
      </c>
      <c r="J163" t="s">
        <v>18894</v>
      </c>
      <c r="K163">
        <v>11207</v>
      </c>
      <c r="L163" t="s">
        <v>18958</v>
      </c>
      <c r="M163" t="s">
        <v>18958</v>
      </c>
      <c r="N163" t="s">
        <v>19064</v>
      </c>
      <c r="O163" t="s">
        <v>26524</v>
      </c>
      <c r="P163" t="s">
        <v>26560</v>
      </c>
      <c r="R163" t="s">
        <v>26578</v>
      </c>
      <c r="S163" t="s">
        <v>18959</v>
      </c>
      <c r="U163" t="s">
        <v>26604</v>
      </c>
      <c r="W163" t="s">
        <v>425</v>
      </c>
      <c r="X163">
        <v>215</v>
      </c>
      <c r="Y163" t="s">
        <v>26652</v>
      </c>
      <c r="AB163" t="s">
        <v>26846</v>
      </c>
      <c r="AC163">
        <v>33843008</v>
      </c>
      <c r="AD163" t="s">
        <v>36944</v>
      </c>
      <c r="AE163">
        <v>60</v>
      </c>
      <c r="AF163" t="s">
        <v>45552</v>
      </c>
      <c r="AG163" t="s">
        <v>45556</v>
      </c>
      <c r="AH163">
        <v>20</v>
      </c>
      <c r="AI163">
        <v>1</v>
      </c>
      <c r="AJ163">
        <v>0</v>
      </c>
      <c r="AK163">
        <v>11.86</v>
      </c>
      <c r="AN163" t="s">
        <v>7439</v>
      </c>
      <c r="AO163">
        <v>1440</v>
      </c>
      <c r="AU163">
        <v>59.65</v>
      </c>
      <c r="AV163" t="s">
        <v>814</v>
      </c>
      <c r="AW163" t="s">
        <v>279</v>
      </c>
    </row>
    <row r="164" spans="1:50">
      <c r="A164" s="1">
        <f>HYPERLINK("https://lsnyc.legalserver.org/matter/dynamic-profile/view/1869644","18-1869644")</f>
        <v>0</v>
      </c>
      <c r="B164" t="s">
        <v>118</v>
      </c>
      <c r="C164" t="s">
        <v>341</v>
      </c>
      <c r="D164" t="s">
        <v>400</v>
      </c>
      <c r="E164" t="s">
        <v>751</v>
      </c>
      <c r="F164" t="s">
        <v>1004</v>
      </c>
      <c r="G164" t="s">
        <v>2749</v>
      </c>
      <c r="H164" t="s">
        <v>9764</v>
      </c>
      <c r="I164">
        <v>407</v>
      </c>
      <c r="J164" t="s">
        <v>18893</v>
      </c>
      <c r="K164">
        <v>10029</v>
      </c>
      <c r="L164" t="s">
        <v>18958</v>
      </c>
      <c r="M164" t="s">
        <v>18958</v>
      </c>
      <c r="O164" t="s">
        <v>18997</v>
      </c>
      <c r="P164" t="s">
        <v>26564</v>
      </c>
      <c r="Q164" t="s">
        <v>26570</v>
      </c>
      <c r="R164" t="s">
        <v>26578</v>
      </c>
      <c r="S164" t="s">
        <v>18959</v>
      </c>
      <c r="U164" t="s">
        <v>26604</v>
      </c>
      <c r="V164" t="s">
        <v>26610</v>
      </c>
      <c r="W164" t="s">
        <v>425</v>
      </c>
      <c r="X164">
        <v>1412</v>
      </c>
      <c r="Y164" t="s">
        <v>26651</v>
      </c>
      <c r="Z164" t="s">
        <v>26660</v>
      </c>
      <c r="AA164" t="s">
        <v>26683</v>
      </c>
      <c r="AB164" t="s">
        <v>26847</v>
      </c>
      <c r="AD164" t="s">
        <v>36945</v>
      </c>
      <c r="AE164">
        <v>71</v>
      </c>
      <c r="AF164" t="s">
        <v>20460</v>
      </c>
      <c r="AG164" t="s">
        <v>45556</v>
      </c>
      <c r="AH164">
        <v>20</v>
      </c>
      <c r="AI164">
        <v>2</v>
      </c>
      <c r="AJ164">
        <v>0</v>
      </c>
      <c r="AK164">
        <v>130.57</v>
      </c>
      <c r="AN164" t="s">
        <v>45581</v>
      </c>
      <c r="AO164">
        <v>21492</v>
      </c>
      <c r="AU164">
        <v>2.75</v>
      </c>
      <c r="AV164" t="s">
        <v>579</v>
      </c>
      <c r="AW164" t="s">
        <v>46842</v>
      </c>
    </row>
    <row r="165" spans="1:50">
      <c r="A165" s="1">
        <f>HYPERLINK("https://lsnyc.legalserver.org/matter/dynamic-profile/view/1871602","18-1871602")</f>
        <v>0</v>
      </c>
      <c r="B165" t="s">
        <v>55</v>
      </c>
      <c r="C165" t="s">
        <v>341</v>
      </c>
      <c r="D165" t="s">
        <v>425</v>
      </c>
      <c r="E165" t="s">
        <v>606</v>
      </c>
      <c r="F165" t="s">
        <v>1005</v>
      </c>
      <c r="G165" t="s">
        <v>5187</v>
      </c>
      <c r="H165" t="s">
        <v>9765</v>
      </c>
      <c r="I165" t="s">
        <v>17361</v>
      </c>
      <c r="J165" t="s">
        <v>18892</v>
      </c>
      <c r="K165">
        <v>10451</v>
      </c>
      <c r="L165" t="s">
        <v>18958</v>
      </c>
      <c r="M165" t="s">
        <v>18958</v>
      </c>
      <c r="O165" t="s">
        <v>26537</v>
      </c>
      <c r="P165" t="s">
        <v>26562</v>
      </c>
      <c r="Q165" t="s">
        <v>26572</v>
      </c>
      <c r="R165" t="s">
        <v>26578</v>
      </c>
      <c r="U165" t="s">
        <v>26606</v>
      </c>
      <c r="W165" t="s">
        <v>425</v>
      </c>
      <c r="X165">
        <v>1644.26</v>
      </c>
      <c r="Y165" t="s">
        <v>26650</v>
      </c>
      <c r="Z165" t="s">
        <v>26655</v>
      </c>
      <c r="AA165" t="s">
        <v>26686</v>
      </c>
      <c r="AB165" t="s">
        <v>26848</v>
      </c>
      <c r="AD165" t="s">
        <v>36946</v>
      </c>
      <c r="AE165">
        <v>82</v>
      </c>
      <c r="AF165" t="s">
        <v>45541</v>
      </c>
      <c r="AG165" t="s">
        <v>45556</v>
      </c>
      <c r="AH165">
        <v>25</v>
      </c>
      <c r="AI165">
        <v>1</v>
      </c>
      <c r="AJ165">
        <v>0</v>
      </c>
      <c r="AK165">
        <v>42.9</v>
      </c>
      <c r="AN165" t="s">
        <v>45581</v>
      </c>
      <c r="AO165">
        <v>5208</v>
      </c>
      <c r="AP165" t="s">
        <v>45636</v>
      </c>
      <c r="AU165">
        <v>1.5</v>
      </c>
      <c r="AV165" t="s">
        <v>426</v>
      </c>
      <c r="AW165" t="s">
        <v>55</v>
      </c>
    </row>
    <row r="166" spans="1:50">
      <c r="A166" s="1">
        <f>HYPERLINK("https://lsnyc.legalserver.org/matter/dynamic-profile/view/1871294","18-1871294")</f>
        <v>0</v>
      </c>
      <c r="B166" t="s">
        <v>103</v>
      </c>
      <c r="C166" t="s">
        <v>341</v>
      </c>
      <c r="D166" t="s">
        <v>425</v>
      </c>
      <c r="E166" t="s">
        <v>788</v>
      </c>
      <c r="F166" t="s">
        <v>893</v>
      </c>
      <c r="G166" t="s">
        <v>5188</v>
      </c>
      <c r="H166" t="s">
        <v>9766</v>
      </c>
      <c r="J166" t="s">
        <v>18902</v>
      </c>
      <c r="K166">
        <v>10309</v>
      </c>
      <c r="L166" t="s">
        <v>18958</v>
      </c>
      <c r="M166" t="s">
        <v>18958</v>
      </c>
      <c r="N166" t="s">
        <v>19065</v>
      </c>
      <c r="O166" t="s">
        <v>26524</v>
      </c>
      <c r="P166" t="s">
        <v>26560</v>
      </c>
      <c r="Q166" t="s">
        <v>26568</v>
      </c>
      <c r="R166" t="s">
        <v>26587</v>
      </c>
      <c r="S166" t="s">
        <v>18959</v>
      </c>
      <c r="U166" t="s">
        <v>26604</v>
      </c>
      <c r="V166" t="s">
        <v>26610</v>
      </c>
      <c r="W166" t="s">
        <v>425</v>
      </c>
      <c r="X166">
        <v>1500</v>
      </c>
      <c r="Y166" t="s">
        <v>26654</v>
      </c>
      <c r="Z166" t="s">
        <v>26656</v>
      </c>
      <c r="AA166" t="s">
        <v>26679</v>
      </c>
      <c r="AB166" t="s">
        <v>26849</v>
      </c>
      <c r="AD166" t="s">
        <v>36947</v>
      </c>
      <c r="AE166">
        <v>1</v>
      </c>
      <c r="AF166" t="s">
        <v>45547</v>
      </c>
      <c r="AG166" t="s">
        <v>19330</v>
      </c>
      <c r="AH166">
        <v>20</v>
      </c>
      <c r="AI166">
        <v>2</v>
      </c>
      <c r="AJ166">
        <v>0</v>
      </c>
      <c r="AK166">
        <v>145.81</v>
      </c>
      <c r="AN166" t="s">
        <v>7439</v>
      </c>
      <c r="AO166">
        <v>24000</v>
      </c>
      <c r="AQ166" t="s">
        <v>46366</v>
      </c>
      <c r="AR166" t="s">
        <v>46384</v>
      </c>
      <c r="AS166" t="s">
        <v>46500</v>
      </c>
      <c r="AT166" t="s">
        <v>46546</v>
      </c>
      <c r="AU166">
        <v>31.35</v>
      </c>
      <c r="AV166" t="s">
        <v>788</v>
      </c>
      <c r="AW166" t="s">
        <v>46855</v>
      </c>
    </row>
    <row r="167" spans="1:50">
      <c r="A167" s="1">
        <f>HYPERLINK("https://lsnyc.legalserver.org/matter/dynamic-profile/view/1871598","18-1871598")</f>
        <v>0</v>
      </c>
      <c r="B167" t="s">
        <v>56</v>
      </c>
      <c r="C167" t="s">
        <v>340</v>
      </c>
      <c r="D167" t="s">
        <v>425</v>
      </c>
      <c r="F167" t="s">
        <v>1006</v>
      </c>
      <c r="G167" t="s">
        <v>5189</v>
      </c>
      <c r="H167" t="s">
        <v>9767</v>
      </c>
      <c r="I167" t="s">
        <v>17362</v>
      </c>
      <c r="J167" t="s">
        <v>18892</v>
      </c>
      <c r="K167">
        <v>10459</v>
      </c>
      <c r="L167" t="s">
        <v>18958</v>
      </c>
      <c r="M167" t="s">
        <v>18958</v>
      </c>
      <c r="N167" t="s">
        <v>19066</v>
      </c>
      <c r="O167" t="s">
        <v>26523</v>
      </c>
      <c r="P167" t="s">
        <v>26560</v>
      </c>
      <c r="R167" t="s">
        <v>26577</v>
      </c>
      <c r="S167" t="s">
        <v>18959</v>
      </c>
      <c r="U167" t="s">
        <v>26604</v>
      </c>
      <c r="V167" t="s">
        <v>26611</v>
      </c>
      <c r="W167" t="s">
        <v>425</v>
      </c>
      <c r="X167">
        <v>1088</v>
      </c>
      <c r="Y167" t="s">
        <v>26650</v>
      </c>
      <c r="Z167" t="s">
        <v>26530</v>
      </c>
      <c r="AB167" t="s">
        <v>26850</v>
      </c>
      <c r="AC167" t="s">
        <v>34527</v>
      </c>
      <c r="AD167" t="s">
        <v>36948</v>
      </c>
      <c r="AE167">
        <v>23</v>
      </c>
      <c r="AF167" t="s">
        <v>45541</v>
      </c>
      <c r="AG167" t="s">
        <v>19330</v>
      </c>
      <c r="AH167">
        <v>5</v>
      </c>
      <c r="AI167">
        <v>1</v>
      </c>
      <c r="AJ167">
        <v>1</v>
      </c>
      <c r="AK167">
        <v>45.74</v>
      </c>
      <c r="AO167">
        <v>7528</v>
      </c>
      <c r="AP167" t="s">
        <v>45621</v>
      </c>
      <c r="AQ167" t="s">
        <v>46365</v>
      </c>
      <c r="AR167" t="s">
        <v>46379</v>
      </c>
      <c r="AS167" t="s">
        <v>46499</v>
      </c>
      <c r="AT167" t="s">
        <v>46547</v>
      </c>
      <c r="AU167">
        <v>7.1</v>
      </c>
      <c r="AV167" t="s">
        <v>777</v>
      </c>
      <c r="AW167" t="s">
        <v>334</v>
      </c>
    </row>
    <row r="168" spans="1:50">
      <c r="A168" s="1">
        <f>HYPERLINK("https://lsnyc.legalserver.org/matter/dynamic-profile/view/1871646","18-1871646")</f>
        <v>0</v>
      </c>
      <c r="B168" t="s">
        <v>119</v>
      </c>
      <c r="C168" t="s">
        <v>340</v>
      </c>
      <c r="D168" t="s">
        <v>425</v>
      </c>
      <c r="F168" t="s">
        <v>974</v>
      </c>
      <c r="G168" t="s">
        <v>5190</v>
      </c>
      <c r="H168" t="s">
        <v>9768</v>
      </c>
      <c r="I168">
        <v>504</v>
      </c>
      <c r="J168" t="s">
        <v>18893</v>
      </c>
      <c r="K168">
        <v>10029</v>
      </c>
      <c r="L168" t="s">
        <v>18958</v>
      </c>
      <c r="M168" t="s">
        <v>18958</v>
      </c>
      <c r="N168" t="s">
        <v>19067</v>
      </c>
      <c r="O168" t="s">
        <v>26524</v>
      </c>
      <c r="P168" t="s">
        <v>26560</v>
      </c>
      <c r="R168" t="s">
        <v>26578</v>
      </c>
      <c r="S168" t="s">
        <v>18959</v>
      </c>
      <c r="U168" t="s">
        <v>26604</v>
      </c>
      <c r="V168" t="s">
        <v>26610</v>
      </c>
      <c r="W168" t="s">
        <v>425</v>
      </c>
      <c r="X168">
        <v>1000</v>
      </c>
      <c r="Y168" t="s">
        <v>26651</v>
      </c>
      <c r="Z168" t="s">
        <v>26661</v>
      </c>
      <c r="AB168" t="s">
        <v>26851</v>
      </c>
      <c r="AD168" t="s">
        <v>36949</v>
      </c>
      <c r="AE168">
        <v>78</v>
      </c>
      <c r="AF168" t="s">
        <v>45541</v>
      </c>
      <c r="AG168" t="s">
        <v>45556</v>
      </c>
      <c r="AH168">
        <v>9</v>
      </c>
      <c r="AI168">
        <v>1</v>
      </c>
      <c r="AJ168">
        <v>0</v>
      </c>
      <c r="AK168">
        <v>76.11</v>
      </c>
      <c r="AN168" t="s">
        <v>45581</v>
      </c>
      <c r="AO168">
        <v>9240</v>
      </c>
      <c r="AU168">
        <v>88.2</v>
      </c>
      <c r="AV168" t="s">
        <v>832</v>
      </c>
      <c r="AW168" t="s">
        <v>46835</v>
      </c>
      <c r="AX168" t="s">
        <v>46897</v>
      </c>
    </row>
    <row r="169" spans="1:50">
      <c r="A169" s="1">
        <f>HYPERLINK("https://lsnyc.legalserver.org/matter/dynamic-profile/view/1871669","18-1871669")</f>
        <v>0</v>
      </c>
      <c r="B169" t="s">
        <v>120</v>
      </c>
      <c r="C169" t="s">
        <v>340</v>
      </c>
      <c r="D169" t="s">
        <v>425</v>
      </c>
      <c r="F169" t="s">
        <v>1007</v>
      </c>
      <c r="G169" t="s">
        <v>5191</v>
      </c>
      <c r="H169" t="s">
        <v>9769</v>
      </c>
      <c r="I169" t="s">
        <v>17288</v>
      </c>
      <c r="J169" t="s">
        <v>18892</v>
      </c>
      <c r="K169">
        <v>10453</v>
      </c>
      <c r="L169" t="s">
        <v>18958</v>
      </c>
      <c r="M169" t="s">
        <v>18958</v>
      </c>
      <c r="N169" t="s">
        <v>19068</v>
      </c>
      <c r="O169" t="s">
        <v>26523</v>
      </c>
      <c r="P169" t="s">
        <v>26560</v>
      </c>
      <c r="R169" t="s">
        <v>26577</v>
      </c>
      <c r="S169" t="s">
        <v>18959</v>
      </c>
      <c r="U169" t="s">
        <v>26604</v>
      </c>
      <c r="V169" t="s">
        <v>26612</v>
      </c>
      <c r="W169" t="s">
        <v>425</v>
      </c>
      <c r="X169">
        <v>1338</v>
      </c>
      <c r="Y169" t="s">
        <v>26650</v>
      </c>
      <c r="Z169" t="s">
        <v>26656</v>
      </c>
      <c r="AB169" t="s">
        <v>26852</v>
      </c>
      <c r="AC169" t="s">
        <v>34528</v>
      </c>
      <c r="AD169" t="s">
        <v>36950</v>
      </c>
      <c r="AE169">
        <v>50</v>
      </c>
      <c r="AF169" t="s">
        <v>45543</v>
      </c>
      <c r="AG169" t="s">
        <v>45556</v>
      </c>
      <c r="AH169">
        <v>5</v>
      </c>
      <c r="AI169">
        <v>3</v>
      </c>
      <c r="AJ169">
        <v>1</v>
      </c>
      <c r="AK169">
        <v>27.24</v>
      </c>
      <c r="AN169" t="s">
        <v>45581</v>
      </c>
      <c r="AO169">
        <v>6838</v>
      </c>
      <c r="AQ169" t="s">
        <v>46365</v>
      </c>
      <c r="AR169" t="s">
        <v>46381</v>
      </c>
      <c r="AS169" t="s">
        <v>46499</v>
      </c>
      <c r="AT169" t="s">
        <v>46548</v>
      </c>
      <c r="AU169">
        <v>16.3</v>
      </c>
      <c r="AV169" t="s">
        <v>588</v>
      </c>
      <c r="AW169" t="s">
        <v>46832</v>
      </c>
    </row>
    <row r="170" spans="1:50">
      <c r="A170" s="1">
        <f>HYPERLINK("https://lsnyc.legalserver.org/matter/dynamic-profile/view/1871595","18-1871595")</f>
        <v>0</v>
      </c>
      <c r="B170" t="s">
        <v>121</v>
      </c>
      <c r="C170" t="s">
        <v>340</v>
      </c>
      <c r="D170" t="s">
        <v>425</v>
      </c>
      <c r="F170" t="s">
        <v>1008</v>
      </c>
      <c r="G170" t="s">
        <v>5192</v>
      </c>
      <c r="H170" t="s">
        <v>9770</v>
      </c>
      <c r="I170" t="s">
        <v>17363</v>
      </c>
      <c r="J170" t="s">
        <v>18892</v>
      </c>
      <c r="K170">
        <v>10467</v>
      </c>
      <c r="L170" t="s">
        <v>18958</v>
      </c>
      <c r="M170" t="s">
        <v>18958</v>
      </c>
      <c r="N170" t="s">
        <v>19069</v>
      </c>
      <c r="O170" t="s">
        <v>26523</v>
      </c>
      <c r="P170" t="s">
        <v>26560</v>
      </c>
      <c r="R170" t="s">
        <v>26579</v>
      </c>
      <c r="S170" t="s">
        <v>18959</v>
      </c>
      <c r="U170" t="s">
        <v>26604</v>
      </c>
      <c r="V170" t="s">
        <v>26611</v>
      </c>
      <c r="W170" t="s">
        <v>425</v>
      </c>
      <c r="X170">
        <v>1297.49</v>
      </c>
      <c r="Y170" t="s">
        <v>26650</v>
      </c>
      <c r="Z170" t="s">
        <v>26662</v>
      </c>
      <c r="AB170" t="s">
        <v>26853</v>
      </c>
      <c r="AD170" t="s">
        <v>36951</v>
      </c>
      <c r="AE170">
        <v>88</v>
      </c>
      <c r="AF170" t="s">
        <v>45541</v>
      </c>
      <c r="AG170" t="s">
        <v>45556</v>
      </c>
      <c r="AH170">
        <v>5</v>
      </c>
      <c r="AI170">
        <v>1</v>
      </c>
      <c r="AJ170">
        <v>0</v>
      </c>
      <c r="AK170">
        <v>115.95</v>
      </c>
      <c r="AN170" t="s">
        <v>7439</v>
      </c>
      <c r="AO170">
        <v>14076</v>
      </c>
      <c r="AP170" t="s">
        <v>45621</v>
      </c>
      <c r="AR170" t="s">
        <v>46394</v>
      </c>
      <c r="AS170" t="s">
        <v>46500</v>
      </c>
      <c r="AT170" t="s">
        <v>46549</v>
      </c>
      <c r="AU170">
        <v>16.05</v>
      </c>
      <c r="AV170" t="s">
        <v>787</v>
      </c>
      <c r="AW170" t="s">
        <v>334</v>
      </c>
    </row>
    <row r="171" spans="1:50">
      <c r="A171" s="1">
        <f>HYPERLINK("https://lsnyc.legalserver.org/matter/dynamic-profile/view/1871601","18-1871601")</f>
        <v>0</v>
      </c>
      <c r="B171" t="s">
        <v>78</v>
      </c>
      <c r="C171" t="s">
        <v>340</v>
      </c>
      <c r="D171" t="s">
        <v>425</v>
      </c>
      <c r="F171" t="s">
        <v>1009</v>
      </c>
      <c r="G171" t="s">
        <v>5193</v>
      </c>
      <c r="H171" t="s">
        <v>9771</v>
      </c>
      <c r="I171" t="s">
        <v>17364</v>
      </c>
      <c r="J171" t="s">
        <v>18894</v>
      </c>
      <c r="K171">
        <v>11206</v>
      </c>
      <c r="L171" t="s">
        <v>18958</v>
      </c>
      <c r="M171" t="s">
        <v>18958</v>
      </c>
      <c r="O171" t="s">
        <v>26538</v>
      </c>
      <c r="P171" t="s">
        <v>26563</v>
      </c>
      <c r="R171" t="s">
        <v>26589</v>
      </c>
      <c r="S171" t="s">
        <v>18959</v>
      </c>
      <c r="U171" t="s">
        <v>26605</v>
      </c>
      <c r="W171" t="s">
        <v>425</v>
      </c>
      <c r="X171">
        <v>513</v>
      </c>
      <c r="Y171" t="s">
        <v>26652</v>
      </c>
      <c r="Z171" t="s">
        <v>26671</v>
      </c>
      <c r="AB171" t="s">
        <v>26854</v>
      </c>
      <c r="AD171" t="s">
        <v>36952</v>
      </c>
      <c r="AE171">
        <v>6</v>
      </c>
      <c r="AF171" t="s">
        <v>45549</v>
      </c>
      <c r="AH171">
        <v>17</v>
      </c>
      <c r="AI171">
        <v>2</v>
      </c>
      <c r="AJ171">
        <v>1</v>
      </c>
      <c r="AK171">
        <v>117.34</v>
      </c>
      <c r="AL171" t="s">
        <v>45567</v>
      </c>
      <c r="AM171" t="s">
        <v>45577</v>
      </c>
      <c r="AN171" t="s">
        <v>45581</v>
      </c>
      <c r="AO171">
        <v>24384</v>
      </c>
      <c r="AU171">
        <v>0</v>
      </c>
      <c r="AW171" t="s">
        <v>46856</v>
      </c>
    </row>
    <row r="172" spans="1:50">
      <c r="A172" s="1">
        <f>HYPERLINK("https://lsnyc.legalserver.org/matter/dynamic-profile/view/1871127","18-1871127")</f>
        <v>0</v>
      </c>
      <c r="B172" t="s">
        <v>122</v>
      </c>
      <c r="C172" t="s">
        <v>341</v>
      </c>
      <c r="D172" t="s">
        <v>406</v>
      </c>
      <c r="E172" t="s">
        <v>519</v>
      </c>
      <c r="F172" t="s">
        <v>1010</v>
      </c>
      <c r="G172" t="s">
        <v>5194</v>
      </c>
      <c r="H172" t="s">
        <v>9772</v>
      </c>
      <c r="I172" t="s">
        <v>17365</v>
      </c>
      <c r="J172" t="s">
        <v>18909</v>
      </c>
      <c r="K172">
        <v>11101</v>
      </c>
      <c r="L172" t="s">
        <v>18958</v>
      </c>
      <c r="M172" t="s">
        <v>18958</v>
      </c>
      <c r="N172" t="s">
        <v>19070</v>
      </c>
      <c r="O172" t="s">
        <v>26523</v>
      </c>
      <c r="P172" t="s">
        <v>26564</v>
      </c>
      <c r="Q172" t="s">
        <v>26570</v>
      </c>
      <c r="R172" t="s">
        <v>26584</v>
      </c>
      <c r="S172" t="s">
        <v>18959</v>
      </c>
      <c r="U172" t="s">
        <v>26604</v>
      </c>
      <c r="W172" t="s">
        <v>426</v>
      </c>
      <c r="X172">
        <v>215</v>
      </c>
      <c r="Y172" t="s">
        <v>26653</v>
      </c>
      <c r="Z172" t="s">
        <v>26656</v>
      </c>
      <c r="AA172" t="s">
        <v>26683</v>
      </c>
      <c r="AB172" t="s">
        <v>26855</v>
      </c>
      <c r="AC172" t="s">
        <v>19045</v>
      </c>
      <c r="AD172" t="s">
        <v>34738</v>
      </c>
      <c r="AE172">
        <v>100</v>
      </c>
      <c r="AF172" t="s">
        <v>45549</v>
      </c>
      <c r="AG172" t="s">
        <v>19330</v>
      </c>
      <c r="AH172">
        <v>20</v>
      </c>
      <c r="AI172">
        <v>1</v>
      </c>
      <c r="AJ172">
        <v>0</v>
      </c>
      <c r="AK172">
        <v>0</v>
      </c>
      <c r="AN172" t="s">
        <v>7439</v>
      </c>
      <c r="AO172">
        <v>0</v>
      </c>
      <c r="AU172">
        <v>1.1</v>
      </c>
      <c r="AV172" t="s">
        <v>431</v>
      </c>
      <c r="AW172" t="s">
        <v>122</v>
      </c>
    </row>
    <row r="173" spans="1:50">
      <c r="A173" s="1">
        <f>HYPERLINK("https://lsnyc.legalserver.org/matter/dynamic-profile/view/1871698","18-1871698")</f>
        <v>0</v>
      </c>
      <c r="B173" t="s">
        <v>85</v>
      </c>
      <c r="C173" t="s">
        <v>340</v>
      </c>
      <c r="D173" t="s">
        <v>426</v>
      </c>
      <c r="F173" t="s">
        <v>1011</v>
      </c>
      <c r="G173" t="s">
        <v>1876</v>
      </c>
      <c r="H173" t="s">
        <v>9773</v>
      </c>
      <c r="I173" t="s">
        <v>17366</v>
      </c>
      <c r="J173" t="s">
        <v>18900</v>
      </c>
      <c r="K173">
        <v>11354</v>
      </c>
      <c r="L173" t="s">
        <v>18958</v>
      </c>
      <c r="M173" t="s">
        <v>18958</v>
      </c>
      <c r="N173" t="s">
        <v>19045</v>
      </c>
      <c r="O173" t="s">
        <v>26539</v>
      </c>
      <c r="P173" t="s">
        <v>26562</v>
      </c>
      <c r="R173" t="s">
        <v>26578</v>
      </c>
      <c r="S173" t="s">
        <v>18959</v>
      </c>
      <c r="U173" t="s">
        <v>26604</v>
      </c>
      <c r="V173" t="s">
        <v>26610</v>
      </c>
      <c r="W173" t="s">
        <v>426</v>
      </c>
      <c r="X173">
        <v>1590.83</v>
      </c>
      <c r="Y173" t="s">
        <v>26653</v>
      </c>
      <c r="Z173" t="s">
        <v>26670</v>
      </c>
      <c r="AB173" t="s">
        <v>26856</v>
      </c>
      <c r="AC173" t="s">
        <v>19330</v>
      </c>
      <c r="AD173" t="s">
        <v>36953</v>
      </c>
      <c r="AE173">
        <v>90</v>
      </c>
      <c r="AF173" t="s">
        <v>45541</v>
      </c>
      <c r="AG173" t="s">
        <v>19330</v>
      </c>
      <c r="AH173">
        <v>8</v>
      </c>
      <c r="AI173">
        <v>3</v>
      </c>
      <c r="AJ173">
        <v>0</v>
      </c>
      <c r="AK173">
        <v>211.74</v>
      </c>
      <c r="AN173" t="s">
        <v>45583</v>
      </c>
      <c r="AO173">
        <v>44000</v>
      </c>
      <c r="AU173">
        <v>1.8</v>
      </c>
      <c r="AV173" t="s">
        <v>659</v>
      </c>
      <c r="AW173" t="s">
        <v>142</v>
      </c>
    </row>
    <row r="174" spans="1:50">
      <c r="A174" s="1">
        <f>HYPERLINK("https://lsnyc.legalserver.org/matter/dynamic-profile/view/1871738","18-1871738")</f>
        <v>0</v>
      </c>
      <c r="B174" t="s">
        <v>88</v>
      </c>
      <c r="C174" t="s">
        <v>340</v>
      </c>
      <c r="D174" t="s">
        <v>426</v>
      </c>
      <c r="F174" t="s">
        <v>1012</v>
      </c>
      <c r="G174" t="s">
        <v>5195</v>
      </c>
      <c r="H174" t="s">
        <v>9774</v>
      </c>
      <c r="I174" t="s">
        <v>17307</v>
      </c>
      <c r="J174" t="s">
        <v>18894</v>
      </c>
      <c r="K174">
        <v>11206</v>
      </c>
      <c r="L174" t="s">
        <v>18958</v>
      </c>
      <c r="M174" t="s">
        <v>18958</v>
      </c>
      <c r="O174" t="s">
        <v>26531</v>
      </c>
      <c r="P174" t="s">
        <v>26561</v>
      </c>
      <c r="R174" t="s">
        <v>26578</v>
      </c>
      <c r="S174" t="s">
        <v>18958</v>
      </c>
      <c r="U174" t="s">
        <v>26604</v>
      </c>
      <c r="W174" t="s">
        <v>426</v>
      </c>
      <c r="X174">
        <v>1291.45</v>
      </c>
      <c r="Y174" t="s">
        <v>26652</v>
      </c>
      <c r="AB174" t="s">
        <v>26857</v>
      </c>
      <c r="AD174" t="s">
        <v>36954</v>
      </c>
      <c r="AE174">
        <v>29</v>
      </c>
      <c r="AF174" t="s">
        <v>45541</v>
      </c>
      <c r="AG174" t="s">
        <v>45556</v>
      </c>
      <c r="AH174">
        <v>23</v>
      </c>
      <c r="AI174">
        <v>3</v>
      </c>
      <c r="AJ174">
        <v>0</v>
      </c>
      <c r="AK174">
        <v>38.2</v>
      </c>
      <c r="AN174" t="s">
        <v>7439</v>
      </c>
      <c r="AO174">
        <v>7938</v>
      </c>
      <c r="AP174" t="s">
        <v>45637</v>
      </c>
      <c r="AU174">
        <v>11.45</v>
      </c>
      <c r="AV174" t="s">
        <v>786</v>
      </c>
      <c r="AW174" t="s">
        <v>46851</v>
      </c>
    </row>
    <row r="175" spans="1:50">
      <c r="A175" s="1">
        <f>HYPERLINK("https://lsnyc.legalserver.org/matter/dynamic-profile/view/1871742","18-1871742")</f>
        <v>0</v>
      </c>
      <c r="B175" t="s">
        <v>88</v>
      </c>
      <c r="C175" t="s">
        <v>340</v>
      </c>
      <c r="D175" t="s">
        <v>426</v>
      </c>
      <c r="F175" t="s">
        <v>1013</v>
      </c>
      <c r="G175" t="s">
        <v>5196</v>
      </c>
      <c r="H175" t="s">
        <v>9775</v>
      </c>
      <c r="I175" t="s">
        <v>17367</v>
      </c>
      <c r="J175" t="s">
        <v>18894</v>
      </c>
      <c r="K175">
        <v>11206</v>
      </c>
      <c r="L175" t="s">
        <v>18958</v>
      </c>
      <c r="M175" t="s">
        <v>18958</v>
      </c>
      <c r="O175" t="s">
        <v>26531</v>
      </c>
      <c r="P175" t="s">
        <v>26561</v>
      </c>
      <c r="R175" t="s">
        <v>26578</v>
      </c>
      <c r="S175" t="s">
        <v>18958</v>
      </c>
      <c r="U175" t="s">
        <v>26604</v>
      </c>
      <c r="W175" t="s">
        <v>426</v>
      </c>
      <c r="X175">
        <v>1057.68</v>
      </c>
      <c r="Y175" t="s">
        <v>26652</v>
      </c>
      <c r="Z175" t="s">
        <v>26530</v>
      </c>
      <c r="AB175" t="s">
        <v>26858</v>
      </c>
      <c r="AD175" t="s">
        <v>36955</v>
      </c>
      <c r="AE175">
        <v>25</v>
      </c>
      <c r="AF175" t="s">
        <v>45541</v>
      </c>
      <c r="AG175" t="s">
        <v>45556</v>
      </c>
      <c r="AH175">
        <v>9</v>
      </c>
      <c r="AI175">
        <v>2</v>
      </c>
      <c r="AJ175">
        <v>0</v>
      </c>
      <c r="AK175">
        <v>64.67</v>
      </c>
      <c r="AN175" t="s">
        <v>7439</v>
      </c>
      <c r="AO175">
        <v>10644</v>
      </c>
      <c r="AP175" t="s">
        <v>45638</v>
      </c>
      <c r="AU175">
        <v>0.5</v>
      </c>
      <c r="AV175" t="s">
        <v>476</v>
      </c>
      <c r="AW175" t="s">
        <v>46851</v>
      </c>
    </row>
    <row r="176" spans="1:50">
      <c r="A176" s="1">
        <f>HYPERLINK("https://lsnyc.legalserver.org/matter/dynamic-profile/view/1871683","18-1871683")</f>
        <v>0</v>
      </c>
      <c r="B176" t="s">
        <v>123</v>
      </c>
      <c r="C176" t="s">
        <v>340</v>
      </c>
      <c r="D176" t="s">
        <v>426</v>
      </c>
      <c r="F176" t="s">
        <v>1014</v>
      </c>
      <c r="G176" t="s">
        <v>5197</v>
      </c>
      <c r="H176" t="s">
        <v>9776</v>
      </c>
      <c r="I176" t="s">
        <v>17368</v>
      </c>
      <c r="J176" t="s">
        <v>18894</v>
      </c>
      <c r="K176">
        <v>11221</v>
      </c>
      <c r="L176" t="s">
        <v>18958</v>
      </c>
      <c r="M176" t="s">
        <v>18960</v>
      </c>
      <c r="N176" t="s">
        <v>19071</v>
      </c>
      <c r="O176" t="s">
        <v>26524</v>
      </c>
      <c r="P176" t="s">
        <v>26560</v>
      </c>
      <c r="R176" t="s">
        <v>26588</v>
      </c>
      <c r="S176" t="s">
        <v>18959</v>
      </c>
      <c r="U176" t="s">
        <v>26604</v>
      </c>
      <c r="V176" t="s">
        <v>26610</v>
      </c>
      <c r="W176" t="s">
        <v>426</v>
      </c>
      <c r="X176">
        <v>1000</v>
      </c>
      <c r="Y176" t="s">
        <v>26652</v>
      </c>
      <c r="Z176" t="s">
        <v>26669</v>
      </c>
      <c r="AB176" t="s">
        <v>26859</v>
      </c>
      <c r="AD176" t="s">
        <v>36956</v>
      </c>
      <c r="AE176">
        <v>6</v>
      </c>
      <c r="AF176" t="s">
        <v>45541</v>
      </c>
      <c r="AG176" t="s">
        <v>19330</v>
      </c>
      <c r="AH176">
        <v>23</v>
      </c>
      <c r="AI176">
        <v>1</v>
      </c>
      <c r="AJ176">
        <v>0</v>
      </c>
      <c r="AK176">
        <v>94.98999999999999</v>
      </c>
      <c r="AN176" t="s">
        <v>7439</v>
      </c>
      <c r="AO176">
        <v>11532</v>
      </c>
      <c r="AQ176" t="s">
        <v>46359</v>
      </c>
      <c r="AU176">
        <v>98.67</v>
      </c>
      <c r="AV176" t="s">
        <v>836</v>
      </c>
      <c r="AW176" t="s">
        <v>46853</v>
      </c>
    </row>
    <row r="177" spans="1:50">
      <c r="A177" s="1">
        <f>HYPERLINK("https://lsnyc.legalserver.org/matter/dynamic-profile/view/1871761","18-1871761")</f>
        <v>0</v>
      </c>
      <c r="B177" t="s">
        <v>106</v>
      </c>
      <c r="C177" t="s">
        <v>341</v>
      </c>
      <c r="D177" t="s">
        <v>426</v>
      </c>
      <c r="E177" t="s">
        <v>498</v>
      </c>
      <c r="F177" t="s">
        <v>998</v>
      </c>
      <c r="G177" t="s">
        <v>5198</v>
      </c>
      <c r="H177" t="s">
        <v>9777</v>
      </c>
      <c r="I177">
        <v>2</v>
      </c>
      <c r="J177" t="s">
        <v>18894</v>
      </c>
      <c r="K177">
        <v>11216</v>
      </c>
      <c r="L177" t="s">
        <v>18958</v>
      </c>
      <c r="M177" t="s">
        <v>18958</v>
      </c>
      <c r="N177" t="s">
        <v>19072</v>
      </c>
      <c r="O177" t="s">
        <v>26523</v>
      </c>
      <c r="P177" t="s">
        <v>26560</v>
      </c>
      <c r="Q177" t="s">
        <v>26574</v>
      </c>
      <c r="R177" t="s">
        <v>26588</v>
      </c>
      <c r="S177" t="s">
        <v>18959</v>
      </c>
      <c r="U177" t="s">
        <v>26604</v>
      </c>
      <c r="V177" t="s">
        <v>26612</v>
      </c>
      <c r="W177" t="s">
        <v>26621</v>
      </c>
      <c r="X177">
        <v>1500</v>
      </c>
      <c r="Y177" t="s">
        <v>26652</v>
      </c>
      <c r="Z177" t="s">
        <v>26669</v>
      </c>
      <c r="AA177" t="s">
        <v>26679</v>
      </c>
      <c r="AB177" t="s">
        <v>26860</v>
      </c>
      <c r="AD177" t="s">
        <v>36957</v>
      </c>
      <c r="AE177">
        <v>2</v>
      </c>
      <c r="AF177" t="s">
        <v>45547</v>
      </c>
      <c r="AG177" t="s">
        <v>19330</v>
      </c>
      <c r="AH177">
        <v>1</v>
      </c>
      <c r="AI177">
        <v>1</v>
      </c>
      <c r="AJ177">
        <v>0</v>
      </c>
      <c r="AK177">
        <v>140.03</v>
      </c>
      <c r="AN177" t="s">
        <v>7439</v>
      </c>
      <c r="AO177">
        <v>17000</v>
      </c>
      <c r="AQ177" t="s">
        <v>46359</v>
      </c>
      <c r="AR177" t="s">
        <v>26530</v>
      </c>
      <c r="AS177" t="s">
        <v>46501</v>
      </c>
      <c r="AT177" t="s">
        <v>46550</v>
      </c>
      <c r="AU177">
        <v>7.9</v>
      </c>
      <c r="AV177" t="s">
        <v>498</v>
      </c>
      <c r="AW177" t="s">
        <v>46853</v>
      </c>
    </row>
    <row r="178" spans="1:50">
      <c r="A178" s="1">
        <f>HYPERLINK("https://lsnyc.legalserver.org/matter/dynamic-profile/view/1882311","18-1882311")</f>
        <v>0</v>
      </c>
      <c r="B178" t="s">
        <v>73</v>
      </c>
      <c r="C178" t="s">
        <v>341</v>
      </c>
      <c r="D178" t="s">
        <v>427</v>
      </c>
      <c r="E178" t="s">
        <v>428</v>
      </c>
      <c r="F178" t="s">
        <v>916</v>
      </c>
      <c r="G178" t="s">
        <v>5199</v>
      </c>
      <c r="H178" t="s">
        <v>9778</v>
      </c>
      <c r="I178" t="s">
        <v>17307</v>
      </c>
      <c r="J178" t="s">
        <v>18894</v>
      </c>
      <c r="K178">
        <v>11213</v>
      </c>
      <c r="L178" t="s">
        <v>18958</v>
      </c>
      <c r="M178" t="s">
        <v>18958</v>
      </c>
      <c r="O178" t="s">
        <v>26531</v>
      </c>
      <c r="P178" t="s">
        <v>26562</v>
      </c>
      <c r="Q178" t="s">
        <v>26569</v>
      </c>
      <c r="R178" t="s">
        <v>26578</v>
      </c>
      <c r="S178" t="s">
        <v>18958</v>
      </c>
      <c r="U178" t="s">
        <v>26604</v>
      </c>
      <c r="W178" t="s">
        <v>26621</v>
      </c>
      <c r="X178">
        <v>728.3099999999999</v>
      </c>
      <c r="Y178" t="s">
        <v>26652</v>
      </c>
      <c r="Z178" t="s">
        <v>26667</v>
      </c>
      <c r="AA178" t="s">
        <v>26682</v>
      </c>
      <c r="AB178" t="s">
        <v>26861</v>
      </c>
      <c r="AC178" t="s">
        <v>34529</v>
      </c>
      <c r="AD178" t="s">
        <v>36958</v>
      </c>
      <c r="AE178">
        <v>23</v>
      </c>
      <c r="AF178" t="s">
        <v>45541</v>
      </c>
      <c r="AH178">
        <v>41</v>
      </c>
      <c r="AI178">
        <v>3</v>
      </c>
      <c r="AJ178">
        <v>3</v>
      </c>
      <c r="AK178">
        <v>28.45</v>
      </c>
      <c r="AN178" t="s">
        <v>45581</v>
      </c>
      <c r="AO178">
        <v>9600</v>
      </c>
      <c r="AR178" t="s">
        <v>46395</v>
      </c>
      <c r="AT178" t="s">
        <v>46551</v>
      </c>
      <c r="AU178">
        <v>1</v>
      </c>
      <c r="AV178" t="s">
        <v>427</v>
      </c>
      <c r="AW178" t="s">
        <v>73</v>
      </c>
    </row>
    <row r="179" spans="1:50">
      <c r="A179" s="1">
        <f>HYPERLINK("https://lsnyc.legalserver.org/matter/dynamic-profile/view/1882438","18-1882438")</f>
        <v>0</v>
      </c>
      <c r="B179" t="s">
        <v>73</v>
      </c>
      <c r="C179" t="s">
        <v>341</v>
      </c>
      <c r="D179" t="s">
        <v>428</v>
      </c>
      <c r="E179" t="s">
        <v>781</v>
      </c>
      <c r="F179" t="s">
        <v>1015</v>
      </c>
      <c r="G179" t="s">
        <v>5200</v>
      </c>
      <c r="H179" t="s">
        <v>9779</v>
      </c>
      <c r="J179" t="s">
        <v>18894</v>
      </c>
      <c r="K179">
        <v>11208</v>
      </c>
      <c r="L179" t="s">
        <v>18958</v>
      </c>
      <c r="M179" t="s">
        <v>18958</v>
      </c>
      <c r="N179" t="s">
        <v>19073</v>
      </c>
      <c r="O179" t="s">
        <v>26526</v>
      </c>
      <c r="P179" t="s">
        <v>26560</v>
      </c>
      <c r="Q179" t="s">
        <v>26568</v>
      </c>
      <c r="R179" t="s">
        <v>26578</v>
      </c>
      <c r="S179" t="s">
        <v>18958</v>
      </c>
      <c r="U179" t="s">
        <v>26604</v>
      </c>
      <c r="W179" t="s">
        <v>26621</v>
      </c>
      <c r="X179">
        <v>320</v>
      </c>
      <c r="Y179" t="s">
        <v>26652</v>
      </c>
      <c r="AA179" t="s">
        <v>26683</v>
      </c>
      <c r="AB179" t="s">
        <v>26862</v>
      </c>
      <c r="AD179" t="s">
        <v>36959</v>
      </c>
      <c r="AE179">
        <v>7</v>
      </c>
      <c r="AF179" t="s">
        <v>45547</v>
      </c>
      <c r="AH179">
        <v>4</v>
      </c>
      <c r="AI179">
        <v>1</v>
      </c>
      <c r="AJ179">
        <v>0</v>
      </c>
      <c r="AK179">
        <v>80.26000000000001</v>
      </c>
      <c r="AN179" t="s">
        <v>45587</v>
      </c>
      <c r="AO179">
        <v>9744</v>
      </c>
      <c r="AR179" t="s">
        <v>46396</v>
      </c>
      <c r="AU179">
        <v>0.5</v>
      </c>
      <c r="AV179" t="s">
        <v>657</v>
      </c>
      <c r="AW179" t="s">
        <v>73</v>
      </c>
    </row>
    <row r="180" spans="1:50">
      <c r="A180" s="1">
        <f>HYPERLINK("https://lsnyc.legalserver.org/matter/dynamic-profile/view/1838271","17-1838271")</f>
        <v>0</v>
      </c>
      <c r="B180" t="s">
        <v>124</v>
      </c>
      <c r="C180" t="s">
        <v>341</v>
      </c>
      <c r="D180" t="s">
        <v>429</v>
      </c>
      <c r="E180" t="s">
        <v>431</v>
      </c>
      <c r="F180" t="s">
        <v>1016</v>
      </c>
      <c r="G180" t="s">
        <v>5201</v>
      </c>
      <c r="H180" t="s">
        <v>9780</v>
      </c>
      <c r="I180" t="s">
        <v>17369</v>
      </c>
      <c r="J180" t="s">
        <v>18894</v>
      </c>
      <c r="K180">
        <v>11206</v>
      </c>
      <c r="L180" t="s">
        <v>18958</v>
      </c>
      <c r="M180" t="s">
        <v>18958</v>
      </c>
      <c r="N180" t="s">
        <v>19074</v>
      </c>
      <c r="O180" t="s">
        <v>26523</v>
      </c>
      <c r="P180" t="s">
        <v>26560</v>
      </c>
      <c r="Q180" t="s">
        <v>26568</v>
      </c>
      <c r="R180" t="s">
        <v>26586</v>
      </c>
      <c r="S180" t="s">
        <v>18959</v>
      </c>
      <c r="U180" t="s">
        <v>26605</v>
      </c>
      <c r="W180" t="s">
        <v>431</v>
      </c>
      <c r="X180">
        <v>1153</v>
      </c>
      <c r="Y180" t="s">
        <v>26652</v>
      </c>
      <c r="Z180" t="s">
        <v>26661</v>
      </c>
      <c r="AA180" t="s">
        <v>26678</v>
      </c>
      <c r="AB180" t="s">
        <v>26863</v>
      </c>
      <c r="AD180" t="s">
        <v>36960</v>
      </c>
      <c r="AE180">
        <v>45</v>
      </c>
      <c r="AF180" t="s">
        <v>45549</v>
      </c>
      <c r="AH180">
        <v>11</v>
      </c>
      <c r="AI180">
        <v>1</v>
      </c>
      <c r="AJ180">
        <v>0</v>
      </c>
      <c r="AK180">
        <v>0</v>
      </c>
      <c r="AN180" t="s">
        <v>7439</v>
      </c>
      <c r="AO180">
        <v>0</v>
      </c>
      <c r="AQ180" t="s">
        <v>46366</v>
      </c>
      <c r="AR180" t="s">
        <v>46379</v>
      </c>
      <c r="AS180" t="s">
        <v>46499</v>
      </c>
      <c r="AT180" t="s">
        <v>46552</v>
      </c>
      <c r="AU180">
        <v>21.75</v>
      </c>
      <c r="AV180" t="s">
        <v>431</v>
      </c>
      <c r="AW180" t="s">
        <v>323</v>
      </c>
    </row>
    <row r="181" spans="1:50">
      <c r="A181" s="1">
        <f>HYPERLINK("https://lsnyc.legalserver.org/matter/dynamic-profile/view/1862877","18-1862877")</f>
        <v>0</v>
      </c>
      <c r="B181" t="s">
        <v>125</v>
      </c>
      <c r="C181" t="s">
        <v>340</v>
      </c>
      <c r="D181" t="s">
        <v>430</v>
      </c>
      <c r="F181" t="s">
        <v>1017</v>
      </c>
      <c r="G181" t="s">
        <v>5202</v>
      </c>
      <c r="H181" t="s">
        <v>9781</v>
      </c>
      <c r="I181" t="s">
        <v>17370</v>
      </c>
      <c r="J181" t="s">
        <v>18894</v>
      </c>
      <c r="K181">
        <v>11239</v>
      </c>
      <c r="L181" t="s">
        <v>18958</v>
      </c>
      <c r="M181" t="s">
        <v>18958</v>
      </c>
      <c r="N181" t="s">
        <v>19075</v>
      </c>
      <c r="O181" t="s">
        <v>26523</v>
      </c>
      <c r="P181" t="s">
        <v>26564</v>
      </c>
      <c r="R181" t="s">
        <v>26578</v>
      </c>
      <c r="U181" t="s">
        <v>26604</v>
      </c>
      <c r="W181" t="s">
        <v>431</v>
      </c>
      <c r="X181">
        <v>792</v>
      </c>
      <c r="Y181" t="s">
        <v>26652</v>
      </c>
      <c r="Z181" t="s">
        <v>26660</v>
      </c>
      <c r="AB181" t="s">
        <v>26864</v>
      </c>
      <c r="AC181" t="s">
        <v>34530</v>
      </c>
      <c r="AD181" t="s">
        <v>36961</v>
      </c>
      <c r="AE181">
        <v>40</v>
      </c>
      <c r="AF181" t="s">
        <v>45548</v>
      </c>
      <c r="AG181" t="s">
        <v>19330</v>
      </c>
      <c r="AH181">
        <v>10</v>
      </c>
      <c r="AI181">
        <v>1</v>
      </c>
      <c r="AJ181">
        <v>0</v>
      </c>
      <c r="AK181">
        <v>35.68</v>
      </c>
      <c r="AN181" t="s">
        <v>7439</v>
      </c>
      <c r="AO181">
        <v>4332</v>
      </c>
      <c r="AP181" t="s">
        <v>45624</v>
      </c>
      <c r="AU181">
        <v>5.95</v>
      </c>
      <c r="AV181" t="s">
        <v>752</v>
      </c>
      <c r="AW181" t="s">
        <v>46841</v>
      </c>
    </row>
    <row r="182" spans="1:50">
      <c r="A182" s="1">
        <f>HYPERLINK("https://lsnyc.legalserver.org/matter/dynamic-profile/view/1870938","18-1870938")</f>
        <v>0</v>
      </c>
      <c r="B182" t="s">
        <v>126</v>
      </c>
      <c r="C182" t="s">
        <v>340</v>
      </c>
      <c r="D182" t="s">
        <v>404</v>
      </c>
      <c r="F182" t="s">
        <v>1018</v>
      </c>
      <c r="G182" t="s">
        <v>4528</v>
      </c>
      <c r="H182" t="s">
        <v>9782</v>
      </c>
      <c r="I182" t="s">
        <v>17299</v>
      </c>
      <c r="J182" t="s">
        <v>18894</v>
      </c>
      <c r="K182">
        <v>11207</v>
      </c>
      <c r="L182" t="s">
        <v>18958</v>
      </c>
      <c r="M182" t="s">
        <v>18958</v>
      </c>
      <c r="O182" t="s">
        <v>26523</v>
      </c>
      <c r="P182" t="s">
        <v>26560</v>
      </c>
      <c r="R182" t="s">
        <v>26578</v>
      </c>
      <c r="S182" t="s">
        <v>18959</v>
      </c>
      <c r="U182" t="s">
        <v>26604</v>
      </c>
      <c r="W182" t="s">
        <v>431</v>
      </c>
      <c r="X182">
        <v>1326</v>
      </c>
      <c r="Y182" t="s">
        <v>26652</v>
      </c>
      <c r="Z182" t="s">
        <v>26659</v>
      </c>
      <c r="AB182" t="s">
        <v>26865</v>
      </c>
      <c r="AC182" t="s">
        <v>34531</v>
      </c>
      <c r="AD182" t="s">
        <v>36962</v>
      </c>
      <c r="AE182">
        <v>20</v>
      </c>
      <c r="AF182" t="s">
        <v>45541</v>
      </c>
      <c r="AG182" t="s">
        <v>19330</v>
      </c>
      <c r="AH182">
        <v>4</v>
      </c>
      <c r="AI182">
        <v>2</v>
      </c>
      <c r="AJ182">
        <v>0</v>
      </c>
      <c r="AK182">
        <v>157.96</v>
      </c>
      <c r="AN182" t="s">
        <v>7439</v>
      </c>
      <c r="AO182">
        <v>26000</v>
      </c>
      <c r="AU182">
        <v>35.4</v>
      </c>
      <c r="AV182" t="s">
        <v>791</v>
      </c>
      <c r="AW182" t="s">
        <v>46841</v>
      </c>
    </row>
    <row r="183" spans="1:50">
      <c r="A183" s="1">
        <f>HYPERLINK("https://lsnyc.legalserver.org/matter/dynamic-profile/view/1871674","18-1871674")</f>
        <v>0</v>
      </c>
      <c r="B183" t="s">
        <v>127</v>
      </c>
      <c r="C183" t="s">
        <v>341</v>
      </c>
      <c r="D183" t="s">
        <v>425</v>
      </c>
      <c r="E183" t="s">
        <v>786</v>
      </c>
      <c r="F183" t="s">
        <v>1019</v>
      </c>
      <c r="G183" t="s">
        <v>5203</v>
      </c>
      <c r="H183" t="s">
        <v>9783</v>
      </c>
      <c r="I183" t="s">
        <v>17371</v>
      </c>
      <c r="J183" t="s">
        <v>18894</v>
      </c>
      <c r="K183">
        <v>11212</v>
      </c>
      <c r="L183" t="s">
        <v>18958</v>
      </c>
      <c r="M183" t="s">
        <v>18958</v>
      </c>
      <c r="N183" t="s">
        <v>19076</v>
      </c>
      <c r="O183" t="s">
        <v>26523</v>
      </c>
      <c r="P183" t="s">
        <v>26560</v>
      </c>
      <c r="Q183" t="s">
        <v>26568</v>
      </c>
      <c r="R183" t="s">
        <v>26578</v>
      </c>
      <c r="U183" t="s">
        <v>26604</v>
      </c>
      <c r="W183" t="s">
        <v>431</v>
      </c>
      <c r="X183">
        <v>1956</v>
      </c>
      <c r="Y183" t="s">
        <v>26652</v>
      </c>
      <c r="Z183" t="s">
        <v>26662</v>
      </c>
      <c r="AA183" t="s">
        <v>26680</v>
      </c>
      <c r="AB183" t="s">
        <v>26866</v>
      </c>
      <c r="AC183" t="s">
        <v>34532</v>
      </c>
      <c r="AD183" t="s">
        <v>36963</v>
      </c>
      <c r="AE183">
        <v>6</v>
      </c>
      <c r="AG183" t="s">
        <v>45562</v>
      </c>
      <c r="AH183">
        <v>2</v>
      </c>
      <c r="AI183">
        <v>2</v>
      </c>
      <c r="AJ183">
        <v>3</v>
      </c>
      <c r="AK183">
        <v>88.38</v>
      </c>
      <c r="AN183" t="s">
        <v>7439</v>
      </c>
      <c r="AO183">
        <v>26000</v>
      </c>
      <c r="AP183" t="s">
        <v>45639</v>
      </c>
      <c r="AU183">
        <v>8.949999999999999</v>
      </c>
      <c r="AV183" t="s">
        <v>684</v>
      </c>
      <c r="AW183" t="s">
        <v>46853</v>
      </c>
    </row>
    <row r="184" spans="1:50">
      <c r="A184" s="1">
        <f>HYPERLINK("https://lsnyc.legalserver.org/matter/dynamic-profile/view/1871779","18-1871779")</f>
        <v>0</v>
      </c>
      <c r="B184" t="s">
        <v>128</v>
      </c>
      <c r="C184" t="s">
        <v>341</v>
      </c>
      <c r="D184" t="s">
        <v>431</v>
      </c>
      <c r="E184" t="s">
        <v>440</v>
      </c>
      <c r="F184" t="s">
        <v>1020</v>
      </c>
      <c r="G184" t="s">
        <v>5204</v>
      </c>
      <c r="H184" t="s">
        <v>9784</v>
      </c>
      <c r="I184" t="s">
        <v>17372</v>
      </c>
      <c r="J184" t="s">
        <v>18894</v>
      </c>
      <c r="K184">
        <v>11228</v>
      </c>
      <c r="L184" t="s">
        <v>18958</v>
      </c>
      <c r="M184" t="s">
        <v>18958</v>
      </c>
      <c r="N184" t="s">
        <v>19077</v>
      </c>
      <c r="O184" t="s">
        <v>26524</v>
      </c>
      <c r="P184" t="s">
        <v>26564</v>
      </c>
      <c r="Q184" t="s">
        <v>26570</v>
      </c>
      <c r="R184" t="s">
        <v>26586</v>
      </c>
      <c r="S184" t="s">
        <v>18959</v>
      </c>
      <c r="U184" t="s">
        <v>26604</v>
      </c>
      <c r="V184" t="s">
        <v>26610</v>
      </c>
      <c r="W184" t="s">
        <v>431</v>
      </c>
      <c r="X184">
        <v>399</v>
      </c>
      <c r="Y184" t="s">
        <v>26652</v>
      </c>
      <c r="Z184" t="s">
        <v>26662</v>
      </c>
      <c r="AA184" t="s">
        <v>26683</v>
      </c>
      <c r="AB184" t="s">
        <v>26867</v>
      </c>
      <c r="AD184" t="s">
        <v>36964</v>
      </c>
      <c r="AE184">
        <v>40</v>
      </c>
      <c r="AF184" t="s">
        <v>45553</v>
      </c>
      <c r="AG184" t="s">
        <v>19330</v>
      </c>
      <c r="AH184">
        <v>20</v>
      </c>
      <c r="AI184">
        <v>1</v>
      </c>
      <c r="AJ184">
        <v>0</v>
      </c>
      <c r="AK184">
        <v>0</v>
      </c>
      <c r="AN184" t="s">
        <v>7439</v>
      </c>
      <c r="AO184">
        <v>0</v>
      </c>
      <c r="AU184">
        <v>1.7</v>
      </c>
      <c r="AV184" t="s">
        <v>446</v>
      </c>
      <c r="AW184" t="s">
        <v>46853</v>
      </c>
    </row>
    <row r="185" spans="1:50">
      <c r="A185" s="1">
        <f>HYPERLINK("https://lsnyc.legalserver.org/matter/dynamic-profile/view/1871232","18-1871232")</f>
        <v>0</v>
      </c>
      <c r="B185" t="s">
        <v>99</v>
      </c>
      <c r="C185" t="s">
        <v>341</v>
      </c>
      <c r="D185" t="s">
        <v>431</v>
      </c>
      <c r="E185" t="s">
        <v>441</v>
      </c>
      <c r="F185" t="s">
        <v>1021</v>
      </c>
      <c r="G185" t="s">
        <v>5205</v>
      </c>
      <c r="H185" t="s">
        <v>9785</v>
      </c>
      <c r="I185" t="s">
        <v>17373</v>
      </c>
      <c r="J185" t="s">
        <v>18902</v>
      </c>
      <c r="K185">
        <v>10310</v>
      </c>
      <c r="L185" t="s">
        <v>18958</v>
      </c>
      <c r="M185" t="s">
        <v>18958</v>
      </c>
      <c r="N185" t="s">
        <v>19078</v>
      </c>
      <c r="O185" t="s">
        <v>26523</v>
      </c>
      <c r="P185" t="s">
        <v>26560</v>
      </c>
      <c r="Q185" t="s">
        <v>26568</v>
      </c>
      <c r="R185" t="s">
        <v>26590</v>
      </c>
      <c r="S185" t="s">
        <v>18959</v>
      </c>
      <c r="U185" t="s">
        <v>26604</v>
      </c>
      <c r="V185" t="s">
        <v>26610</v>
      </c>
      <c r="W185" t="s">
        <v>431</v>
      </c>
      <c r="X185">
        <v>1000</v>
      </c>
      <c r="Y185" t="s">
        <v>26654</v>
      </c>
      <c r="Z185" t="s">
        <v>26656</v>
      </c>
      <c r="AA185" t="s">
        <v>26678</v>
      </c>
      <c r="AB185" t="s">
        <v>26868</v>
      </c>
      <c r="AC185" t="s">
        <v>34533</v>
      </c>
      <c r="AD185" t="s">
        <v>36965</v>
      </c>
      <c r="AE185">
        <v>3</v>
      </c>
      <c r="AF185" t="s">
        <v>45547</v>
      </c>
      <c r="AG185" t="s">
        <v>45562</v>
      </c>
      <c r="AH185">
        <v>1</v>
      </c>
      <c r="AI185">
        <v>1</v>
      </c>
      <c r="AJ185">
        <v>0</v>
      </c>
      <c r="AK185">
        <v>19.7</v>
      </c>
      <c r="AN185" t="s">
        <v>7439</v>
      </c>
      <c r="AO185">
        <v>2392</v>
      </c>
      <c r="AR185" t="s">
        <v>46397</v>
      </c>
      <c r="AS185" t="s">
        <v>46499</v>
      </c>
      <c r="AT185" t="s">
        <v>46553</v>
      </c>
      <c r="AU185">
        <v>6.1</v>
      </c>
      <c r="AV185" t="s">
        <v>441</v>
      </c>
      <c r="AW185" t="s">
        <v>46852</v>
      </c>
    </row>
    <row r="186" spans="1:50">
      <c r="A186" s="1">
        <f>HYPERLINK("https://lsnyc.legalserver.org/matter/dynamic-profile/view/1871867","18-1871867")</f>
        <v>0</v>
      </c>
      <c r="B186" t="s">
        <v>85</v>
      </c>
      <c r="C186" t="s">
        <v>341</v>
      </c>
      <c r="D186" t="s">
        <v>431</v>
      </c>
      <c r="E186" t="s">
        <v>827</v>
      </c>
      <c r="F186" t="s">
        <v>1022</v>
      </c>
      <c r="G186" t="s">
        <v>5206</v>
      </c>
      <c r="H186" t="s">
        <v>9786</v>
      </c>
      <c r="I186" t="s">
        <v>17312</v>
      </c>
      <c r="J186" t="s">
        <v>18901</v>
      </c>
      <c r="K186">
        <v>11432</v>
      </c>
      <c r="L186" t="s">
        <v>18958</v>
      </c>
      <c r="M186" t="s">
        <v>18958</v>
      </c>
      <c r="N186" t="s">
        <v>19079</v>
      </c>
      <c r="O186" t="s">
        <v>26527</v>
      </c>
      <c r="P186" t="s">
        <v>26565</v>
      </c>
      <c r="Q186" t="s">
        <v>26571</v>
      </c>
      <c r="R186" t="s">
        <v>26578</v>
      </c>
      <c r="S186" t="s">
        <v>18959</v>
      </c>
      <c r="U186" t="s">
        <v>26604</v>
      </c>
      <c r="V186" t="s">
        <v>26610</v>
      </c>
      <c r="W186" t="s">
        <v>431</v>
      </c>
      <c r="X186">
        <v>1150</v>
      </c>
      <c r="Y186" t="s">
        <v>26653</v>
      </c>
      <c r="Z186" t="s">
        <v>26663</v>
      </c>
      <c r="AA186" t="s">
        <v>26681</v>
      </c>
      <c r="AB186" t="s">
        <v>26869</v>
      </c>
      <c r="AC186" t="s">
        <v>34534</v>
      </c>
      <c r="AD186" t="s">
        <v>36966</v>
      </c>
      <c r="AE186">
        <v>6</v>
      </c>
      <c r="AF186" t="s">
        <v>45541</v>
      </c>
      <c r="AG186" t="s">
        <v>19330</v>
      </c>
      <c r="AH186">
        <v>10</v>
      </c>
      <c r="AI186">
        <v>1</v>
      </c>
      <c r="AJ186">
        <v>0</v>
      </c>
      <c r="AK186">
        <v>75.72</v>
      </c>
      <c r="AN186" t="s">
        <v>45581</v>
      </c>
      <c r="AO186">
        <v>9192</v>
      </c>
      <c r="AR186" t="s">
        <v>46398</v>
      </c>
      <c r="AT186" t="s">
        <v>46554</v>
      </c>
      <c r="AU186">
        <v>2.95</v>
      </c>
      <c r="AV186" t="s">
        <v>806</v>
      </c>
      <c r="AW186" t="s">
        <v>208</v>
      </c>
    </row>
    <row r="187" spans="1:50">
      <c r="A187" s="1">
        <f>HYPERLINK("https://lsnyc.legalserver.org/matter/dynamic-profile/view/1871897","18-1871897")</f>
        <v>0</v>
      </c>
      <c r="B187" t="s">
        <v>103</v>
      </c>
      <c r="C187" t="s">
        <v>341</v>
      </c>
      <c r="D187" t="s">
        <v>431</v>
      </c>
      <c r="E187" t="s">
        <v>582</v>
      </c>
      <c r="F187" t="s">
        <v>886</v>
      </c>
      <c r="G187" t="s">
        <v>5207</v>
      </c>
      <c r="H187" t="s">
        <v>9787</v>
      </c>
      <c r="I187" t="s">
        <v>17374</v>
      </c>
      <c r="J187" t="s">
        <v>18902</v>
      </c>
      <c r="K187">
        <v>10303</v>
      </c>
      <c r="L187" t="s">
        <v>18958</v>
      </c>
      <c r="M187" t="s">
        <v>18958</v>
      </c>
      <c r="N187" t="s">
        <v>19080</v>
      </c>
      <c r="O187" t="s">
        <v>26524</v>
      </c>
      <c r="P187" t="s">
        <v>26560</v>
      </c>
      <c r="Q187" t="s">
        <v>26568</v>
      </c>
      <c r="R187" t="s">
        <v>26590</v>
      </c>
      <c r="S187" t="s">
        <v>18959</v>
      </c>
      <c r="U187" t="s">
        <v>26604</v>
      </c>
      <c r="V187" t="s">
        <v>26610</v>
      </c>
      <c r="W187" t="s">
        <v>431</v>
      </c>
      <c r="X187">
        <v>1268</v>
      </c>
      <c r="Y187" t="s">
        <v>26654</v>
      </c>
      <c r="Z187" t="s">
        <v>26656</v>
      </c>
      <c r="AA187" t="s">
        <v>26678</v>
      </c>
      <c r="AB187" t="s">
        <v>26870</v>
      </c>
      <c r="AC187" t="s">
        <v>34535</v>
      </c>
      <c r="AD187" t="s">
        <v>36967</v>
      </c>
      <c r="AE187">
        <v>2</v>
      </c>
      <c r="AF187" t="s">
        <v>45547</v>
      </c>
      <c r="AG187" t="s">
        <v>45562</v>
      </c>
      <c r="AH187">
        <v>2</v>
      </c>
      <c r="AI187">
        <v>1</v>
      </c>
      <c r="AJ187">
        <v>2</v>
      </c>
      <c r="AK187">
        <v>51.47</v>
      </c>
      <c r="AN187" t="s">
        <v>7439</v>
      </c>
      <c r="AO187">
        <v>10696</v>
      </c>
      <c r="AQ187" t="s">
        <v>46362</v>
      </c>
      <c r="AR187" t="s">
        <v>46379</v>
      </c>
      <c r="AS187" t="s">
        <v>46499</v>
      </c>
      <c r="AT187" t="s">
        <v>46555</v>
      </c>
      <c r="AU187">
        <v>6.7</v>
      </c>
      <c r="AV187" t="s">
        <v>664</v>
      </c>
      <c r="AW187" t="s">
        <v>190</v>
      </c>
    </row>
    <row r="188" spans="1:50">
      <c r="A188" s="1">
        <f>HYPERLINK("https://lsnyc.legalserver.org/matter/dynamic-profile/view/1871802","18-1871802")</f>
        <v>0</v>
      </c>
      <c r="B188" t="s">
        <v>104</v>
      </c>
      <c r="C188" t="s">
        <v>341</v>
      </c>
      <c r="D188" t="s">
        <v>431</v>
      </c>
      <c r="E188" t="s">
        <v>816</v>
      </c>
      <c r="F188" t="s">
        <v>999</v>
      </c>
      <c r="G188" t="s">
        <v>5208</v>
      </c>
      <c r="H188" t="s">
        <v>9788</v>
      </c>
      <c r="J188" t="s">
        <v>18902</v>
      </c>
      <c r="K188">
        <v>10303</v>
      </c>
      <c r="L188" t="s">
        <v>18958</v>
      </c>
      <c r="M188" t="s">
        <v>18958</v>
      </c>
      <c r="N188" t="s">
        <v>19081</v>
      </c>
      <c r="O188" t="s">
        <v>26524</v>
      </c>
      <c r="P188" t="s">
        <v>26560</v>
      </c>
      <c r="Q188" t="s">
        <v>26568</v>
      </c>
      <c r="R188" t="s">
        <v>26590</v>
      </c>
      <c r="S188" t="s">
        <v>18959</v>
      </c>
      <c r="U188" t="s">
        <v>26604</v>
      </c>
      <c r="V188" t="s">
        <v>26610</v>
      </c>
      <c r="W188" t="s">
        <v>431</v>
      </c>
      <c r="X188">
        <v>2196</v>
      </c>
      <c r="Y188" t="s">
        <v>26654</v>
      </c>
      <c r="Z188" t="s">
        <v>26656</v>
      </c>
      <c r="AA188" t="s">
        <v>26679</v>
      </c>
      <c r="AB188" t="s">
        <v>26871</v>
      </c>
      <c r="AC188" t="s">
        <v>34536</v>
      </c>
      <c r="AD188" t="s">
        <v>36968</v>
      </c>
      <c r="AE188">
        <v>1</v>
      </c>
      <c r="AF188" t="s">
        <v>45547</v>
      </c>
      <c r="AG188" t="s">
        <v>45558</v>
      </c>
      <c r="AH188">
        <v>1</v>
      </c>
      <c r="AI188">
        <v>4</v>
      </c>
      <c r="AJ188">
        <v>5</v>
      </c>
      <c r="AK188">
        <v>35.57</v>
      </c>
      <c r="AO188">
        <v>16610</v>
      </c>
      <c r="AQ188" t="s">
        <v>46365</v>
      </c>
      <c r="AR188" t="s">
        <v>46384</v>
      </c>
      <c r="AS188" t="s">
        <v>46500</v>
      </c>
      <c r="AT188" t="s">
        <v>46556</v>
      </c>
      <c r="AU188">
        <v>6.85</v>
      </c>
      <c r="AV188" t="s">
        <v>791</v>
      </c>
      <c r="AW188" t="s">
        <v>190</v>
      </c>
      <c r="AX188" t="s">
        <v>46897</v>
      </c>
    </row>
    <row r="189" spans="1:50">
      <c r="A189" s="1">
        <f>HYPERLINK("https://lsnyc.legalserver.org/matter/dynamic-profile/view/1871868","18-1871868")</f>
        <v>0</v>
      </c>
      <c r="B189" t="s">
        <v>125</v>
      </c>
      <c r="C189" t="s">
        <v>341</v>
      </c>
      <c r="D189" t="s">
        <v>431</v>
      </c>
      <c r="E189" t="s">
        <v>691</v>
      </c>
      <c r="F189" t="s">
        <v>1023</v>
      </c>
      <c r="G189" t="s">
        <v>5209</v>
      </c>
      <c r="H189" t="s">
        <v>9789</v>
      </c>
      <c r="I189" t="s">
        <v>17375</v>
      </c>
      <c r="J189" t="s">
        <v>18894</v>
      </c>
      <c r="K189">
        <v>11233</v>
      </c>
      <c r="L189" t="s">
        <v>18958</v>
      </c>
      <c r="M189" t="s">
        <v>18958</v>
      </c>
      <c r="N189" t="s">
        <v>19082</v>
      </c>
      <c r="O189" t="s">
        <v>26524</v>
      </c>
      <c r="P189" t="s">
        <v>26564</v>
      </c>
      <c r="Q189" t="s">
        <v>26570</v>
      </c>
      <c r="R189" t="s">
        <v>26578</v>
      </c>
      <c r="S189" t="s">
        <v>18959</v>
      </c>
      <c r="U189" t="s">
        <v>26604</v>
      </c>
      <c r="W189" t="s">
        <v>431</v>
      </c>
      <c r="X189">
        <v>900</v>
      </c>
      <c r="Y189" t="s">
        <v>26652</v>
      </c>
      <c r="Z189" t="s">
        <v>26661</v>
      </c>
      <c r="AA189" t="s">
        <v>26683</v>
      </c>
      <c r="AB189" t="s">
        <v>26872</v>
      </c>
      <c r="AC189" t="s">
        <v>34537</v>
      </c>
      <c r="AD189" t="s">
        <v>36969</v>
      </c>
      <c r="AE189">
        <v>2</v>
      </c>
      <c r="AF189" t="s">
        <v>45547</v>
      </c>
      <c r="AG189" t="s">
        <v>19330</v>
      </c>
      <c r="AH189">
        <v>28</v>
      </c>
      <c r="AI189">
        <v>1</v>
      </c>
      <c r="AJ189">
        <v>0</v>
      </c>
      <c r="AK189">
        <v>118.62</v>
      </c>
      <c r="AN189" t="s">
        <v>7439</v>
      </c>
      <c r="AO189">
        <v>14400</v>
      </c>
      <c r="AU189">
        <v>1.25</v>
      </c>
      <c r="AV189" t="s">
        <v>422</v>
      </c>
      <c r="AW189" t="s">
        <v>279</v>
      </c>
    </row>
    <row r="190" spans="1:50">
      <c r="A190" s="1">
        <f>HYPERLINK("https://lsnyc.legalserver.org/matter/dynamic-profile/view/1871791","18-1871791")</f>
        <v>0</v>
      </c>
      <c r="B190" t="s">
        <v>88</v>
      </c>
      <c r="C190" t="s">
        <v>340</v>
      </c>
      <c r="D190" t="s">
        <v>431</v>
      </c>
      <c r="F190" t="s">
        <v>1024</v>
      </c>
      <c r="G190" t="s">
        <v>5169</v>
      </c>
      <c r="H190" t="s">
        <v>9775</v>
      </c>
      <c r="I190" t="s">
        <v>17361</v>
      </c>
      <c r="J190" t="s">
        <v>18894</v>
      </c>
      <c r="K190">
        <v>11206</v>
      </c>
      <c r="L190" t="s">
        <v>18958</v>
      </c>
      <c r="M190" t="s">
        <v>18958</v>
      </c>
      <c r="O190" t="s">
        <v>26531</v>
      </c>
      <c r="P190" t="s">
        <v>26561</v>
      </c>
      <c r="R190" t="s">
        <v>26578</v>
      </c>
      <c r="S190" t="s">
        <v>18958</v>
      </c>
      <c r="U190" t="s">
        <v>26604</v>
      </c>
      <c r="W190" t="s">
        <v>431</v>
      </c>
      <c r="X190">
        <v>611.9299999999999</v>
      </c>
      <c r="Y190" t="s">
        <v>26652</v>
      </c>
      <c r="Z190" t="s">
        <v>26530</v>
      </c>
      <c r="AB190" t="s">
        <v>26873</v>
      </c>
      <c r="AC190" t="s">
        <v>34538</v>
      </c>
      <c r="AD190" t="s">
        <v>36970</v>
      </c>
      <c r="AE190">
        <v>25</v>
      </c>
      <c r="AF190" t="s">
        <v>45541</v>
      </c>
      <c r="AH190">
        <v>7</v>
      </c>
      <c r="AI190">
        <v>1</v>
      </c>
      <c r="AJ190">
        <v>2</v>
      </c>
      <c r="AK190">
        <v>87.58</v>
      </c>
      <c r="AN190" t="s">
        <v>7439</v>
      </c>
      <c r="AO190">
        <v>18200</v>
      </c>
      <c r="AP190" t="s">
        <v>45640</v>
      </c>
      <c r="AU190">
        <v>0</v>
      </c>
      <c r="AW190" t="s">
        <v>46851</v>
      </c>
    </row>
    <row r="191" spans="1:50">
      <c r="A191" s="1">
        <f>HYPERLINK("https://lsnyc.legalserver.org/matter/dynamic-profile/view/1871808","18-1871808")</f>
        <v>0</v>
      </c>
      <c r="B191" t="s">
        <v>88</v>
      </c>
      <c r="C191" t="s">
        <v>340</v>
      </c>
      <c r="D191" t="s">
        <v>431</v>
      </c>
      <c r="F191" t="s">
        <v>881</v>
      </c>
      <c r="G191" t="s">
        <v>5173</v>
      </c>
      <c r="H191" t="s">
        <v>9774</v>
      </c>
      <c r="I191" t="s">
        <v>17293</v>
      </c>
      <c r="J191" t="s">
        <v>18894</v>
      </c>
      <c r="K191">
        <v>11206</v>
      </c>
      <c r="L191" t="s">
        <v>18958</v>
      </c>
      <c r="M191" t="s">
        <v>18958</v>
      </c>
      <c r="O191" t="s">
        <v>26531</v>
      </c>
      <c r="P191" t="s">
        <v>26561</v>
      </c>
      <c r="R191" t="s">
        <v>26578</v>
      </c>
      <c r="S191" t="s">
        <v>18958</v>
      </c>
      <c r="U191" t="s">
        <v>26604</v>
      </c>
      <c r="W191" t="s">
        <v>431</v>
      </c>
      <c r="X191">
        <v>953</v>
      </c>
      <c r="Y191" t="s">
        <v>26652</v>
      </c>
      <c r="Z191" t="s">
        <v>26530</v>
      </c>
      <c r="AB191" t="s">
        <v>26874</v>
      </c>
      <c r="AE191">
        <v>29</v>
      </c>
      <c r="AF191" t="s">
        <v>45541</v>
      </c>
      <c r="AG191" t="s">
        <v>45559</v>
      </c>
      <c r="AH191">
        <v>24</v>
      </c>
      <c r="AI191">
        <v>2</v>
      </c>
      <c r="AJ191">
        <v>0</v>
      </c>
      <c r="AK191">
        <v>157.96</v>
      </c>
      <c r="AN191" t="s">
        <v>45581</v>
      </c>
      <c r="AO191">
        <v>26000</v>
      </c>
      <c r="AP191" t="s">
        <v>45624</v>
      </c>
      <c r="AU191">
        <v>0</v>
      </c>
      <c r="AW191" t="s">
        <v>46851</v>
      </c>
    </row>
    <row r="192" spans="1:50">
      <c r="A192" s="1">
        <f>HYPERLINK("https://lsnyc.legalserver.org/matter/dynamic-profile/view/1871782","18-1871782")</f>
        <v>0</v>
      </c>
      <c r="B192" t="s">
        <v>129</v>
      </c>
      <c r="C192" t="s">
        <v>340</v>
      </c>
      <c r="D192" t="s">
        <v>431</v>
      </c>
      <c r="F192" t="s">
        <v>1025</v>
      </c>
      <c r="G192" t="s">
        <v>5008</v>
      </c>
      <c r="H192" t="s">
        <v>9790</v>
      </c>
      <c r="J192" t="s">
        <v>18894</v>
      </c>
      <c r="K192">
        <v>11206</v>
      </c>
      <c r="L192" t="s">
        <v>18958</v>
      </c>
      <c r="M192" t="s">
        <v>18958</v>
      </c>
      <c r="P192" t="s">
        <v>26564</v>
      </c>
      <c r="R192" t="s">
        <v>26586</v>
      </c>
      <c r="U192" t="s">
        <v>26605</v>
      </c>
      <c r="W192" t="s">
        <v>431</v>
      </c>
      <c r="X192">
        <v>0</v>
      </c>
      <c r="Y192" t="s">
        <v>26652</v>
      </c>
      <c r="Z192" t="s">
        <v>26663</v>
      </c>
      <c r="AB192" t="s">
        <v>26875</v>
      </c>
      <c r="AE192">
        <v>0</v>
      </c>
      <c r="AG192" t="s">
        <v>45556</v>
      </c>
      <c r="AH192">
        <v>4</v>
      </c>
      <c r="AI192">
        <v>1</v>
      </c>
      <c r="AJ192">
        <v>1</v>
      </c>
      <c r="AK192">
        <v>0</v>
      </c>
      <c r="AN192" t="s">
        <v>7439</v>
      </c>
      <c r="AO192">
        <v>0</v>
      </c>
      <c r="AU192">
        <v>0</v>
      </c>
      <c r="AW192" t="s">
        <v>46856</v>
      </c>
      <c r="AX192" t="s">
        <v>46897</v>
      </c>
    </row>
    <row r="193" spans="1:50">
      <c r="A193" s="1">
        <f>HYPERLINK("https://lsnyc.legalserver.org/matter/dynamic-profile/view/1869962","18-1869962")</f>
        <v>0</v>
      </c>
      <c r="B193" t="s">
        <v>61</v>
      </c>
      <c r="C193" t="s">
        <v>341</v>
      </c>
      <c r="D193" t="s">
        <v>432</v>
      </c>
      <c r="E193" t="s">
        <v>847</v>
      </c>
      <c r="F193" t="s">
        <v>1026</v>
      </c>
      <c r="G193" t="s">
        <v>5210</v>
      </c>
      <c r="H193" t="s">
        <v>9791</v>
      </c>
      <c r="I193" t="s">
        <v>17282</v>
      </c>
      <c r="J193" t="s">
        <v>18893</v>
      </c>
      <c r="K193">
        <v>10034</v>
      </c>
      <c r="L193" t="s">
        <v>18958</v>
      </c>
      <c r="M193" t="s">
        <v>18958</v>
      </c>
      <c r="N193" t="s">
        <v>19083</v>
      </c>
      <c r="O193" t="s">
        <v>26523</v>
      </c>
      <c r="P193" t="s">
        <v>26565</v>
      </c>
      <c r="Q193" t="s">
        <v>26571</v>
      </c>
      <c r="R193" t="s">
        <v>26578</v>
      </c>
      <c r="S193" t="s">
        <v>18959</v>
      </c>
      <c r="T193" t="s">
        <v>26578</v>
      </c>
      <c r="U193" t="s">
        <v>26604</v>
      </c>
      <c r="V193" t="s">
        <v>26610</v>
      </c>
      <c r="W193" t="s">
        <v>434</v>
      </c>
      <c r="X193">
        <v>1928.53</v>
      </c>
      <c r="Y193" t="s">
        <v>26651</v>
      </c>
      <c r="Z193" t="s">
        <v>26659</v>
      </c>
      <c r="AA193" t="s">
        <v>26683</v>
      </c>
      <c r="AB193" t="s">
        <v>26876</v>
      </c>
      <c r="AD193" t="s">
        <v>36971</v>
      </c>
      <c r="AE193">
        <v>38</v>
      </c>
      <c r="AF193" t="s">
        <v>45541</v>
      </c>
      <c r="AG193" t="s">
        <v>19330</v>
      </c>
      <c r="AH193">
        <v>6</v>
      </c>
      <c r="AI193">
        <v>1</v>
      </c>
      <c r="AJ193">
        <v>0</v>
      </c>
      <c r="AK193">
        <v>82.73</v>
      </c>
      <c r="AN193" t="s">
        <v>7439</v>
      </c>
      <c r="AO193">
        <v>10044</v>
      </c>
      <c r="AU193">
        <v>6.4</v>
      </c>
      <c r="AV193" t="s">
        <v>847</v>
      </c>
      <c r="AW193" t="s">
        <v>46857</v>
      </c>
      <c r="AX193" t="s">
        <v>46897</v>
      </c>
    </row>
    <row r="194" spans="1:50">
      <c r="A194" s="1">
        <f>HYPERLINK("https://lsnyc.legalserver.org/matter/dynamic-profile/view/1870619","18-1870619")</f>
        <v>0</v>
      </c>
      <c r="B194" t="s">
        <v>56</v>
      </c>
      <c r="C194" t="s">
        <v>341</v>
      </c>
      <c r="D194" t="s">
        <v>433</v>
      </c>
      <c r="E194" t="s">
        <v>838</v>
      </c>
      <c r="F194" t="s">
        <v>1027</v>
      </c>
      <c r="G194" t="s">
        <v>5211</v>
      </c>
      <c r="H194" t="s">
        <v>9792</v>
      </c>
      <c r="I194" t="s">
        <v>17343</v>
      </c>
      <c r="J194" t="s">
        <v>18892</v>
      </c>
      <c r="K194">
        <v>10467</v>
      </c>
      <c r="L194" t="s">
        <v>18958</v>
      </c>
      <c r="M194" t="s">
        <v>18958</v>
      </c>
      <c r="N194" t="s">
        <v>19084</v>
      </c>
      <c r="O194" t="s">
        <v>26523</v>
      </c>
      <c r="P194" t="s">
        <v>26560</v>
      </c>
      <c r="Q194" t="s">
        <v>26568</v>
      </c>
      <c r="R194" t="s">
        <v>26579</v>
      </c>
      <c r="U194" t="s">
        <v>26604</v>
      </c>
      <c r="V194" t="s">
        <v>26610</v>
      </c>
      <c r="W194" t="s">
        <v>434</v>
      </c>
      <c r="X194">
        <v>1045.53</v>
      </c>
      <c r="Y194" t="s">
        <v>26650</v>
      </c>
      <c r="Z194" t="s">
        <v>26659</v>
      </c>
      <c r="AA194" t="s">
        <v>26678</v>
      </c>
      <c r="AB194" t="s">
        <v>26877</v>
      </c>
      <c r="AD194" t="s">
        <v>36972</v>
      </c>
      <c r="AE194">
        <v>0</v>
      </c>
      <c r="AF194" t="s">
        <v>45552</v>
      </c>
      <c r="AG194" t="s">
        <v>45556</v>
      </c>
      <c r="AH194">
        <v>17</v>
      </c>
      <c r="AI194">
        <v>1</v>
      </c>
      <c r="AJ194">
        <v>0</v>
      </c>
      <c r="AK194">
        <v>164.74</v>
      </c>
      <c r="AN194" t="s">
        <v>7439</v>
      </c>
      <c r="AO194">
        <v>20000</v>
      </c>
      <c r="AS194" t="s">
        <v>46499</v>
      </c>
      <c r="AU194">
        <v>4</v>
      </c>
      <c r="AV194" t="s">
        <v>398</v>
      </c>
      <c r="AW194" t="s">
        <v>46836</v>
      </c>
    </row>
    <row r="195" spans="1:50">
      <c r="A195" s="1">
        <f>HYPERLINK("https://lsnyc.legalserver.org/matter/dynamic-profile/view/1872007","18-1872007")</f>
        <v>0</v>
      </c>
      <c r="B195" t="s">
        <v>107</v>
      </c>
      <c r="C195" t="s">
        <v>341</v>
      </c>
      <c r="D195" t="s">
        <v>434</v>
      </c>
      <c r="E195" t="s">
        <v>828</v>
      </c>
      <c r="F195" t="s">
        <v>1028</v>
      </c>
      <c r="G195" t="s">
        <v>2058</v>
      </c>
      <c r="H195" t="s">
        <v>9793</v>
      </c>
      <c r="J195" t="s">
        <v>18910</v>
      </c>
      <c r="K195">
        <v>11420</v>
      </c>
      <c r="L195" t="s">
        <v>18958</v>
      </c>
      <c r="M195" t="s">
        <v>18958</v>
      </c>
      <c r="N195" t="s">
        <v>19085</v>
      </c>
      <c r="O195" t="s">
        <v>26524</v>
      </c>
      <c r="P195" t="s">
        <v>26564</v>
      </c>
      <c r="Q195" t="s">
        <v>26570</v>
      </c>
      <c r="R195" t="s">
        <v>26584</v>
      </c>
      <c r="S195" t="s">
        <v>18959</v>
      </c>
      <c r="U195" t="s">
        <v>26604</v>
      </c>
      <c r="V195" t="s">
        <v>26610</v>
      </c>
      <c r="W195" t="s">
        <v>434</v>
      </c>
      <c r="X195">
        <v>2017.18</v>
      </c>
      <c r="Y195" t="s">
        <v>26653</v>
      </c>
      <c r="Z195" t="s">
        <v>26664</v>
      </c>
      <c r="AA195" t="s">
        <v>26683</v>
      </c>
      <c r="AB195" t="s">
        <v>26878</v>
      </c>
      <c r="AC195" t="s">
        <v>34539</v>
      </c>
      <c r="AD195" t="s">
        <v>36973</v>
      </c>
      <c r="AE195">
        <v>2</v>
      </c>
      <c r="AF195" t="s">
        <v>45547</v>
      </c>
      <c r="AG195" t="s">
        <v>45556</v>
      </c>
      <c r="AH195">
        <v>10</v>
      </c>
      <c r="AI195">
        <v>3</v>
      </c>
      <c r="AJ195">
        <v>1</v>
      </c>
      <c r="AK195">
        <v>57.76</v>
      </c>
      <c r="AM195" t="s">
        <v>45576</v>
      </c>
      <c r="AN195" t="s">
        <v>7439</v>
      </c>
      <c r="AO195">
        <v>14496.72</v>
      </c>
      <c r="AU195">
        <v>1.6</v>
      </c>
      <c r="AV195" t="s">
        <v>526</v>
      </c>
      <c r="AW195" t="s">
        <v>208</v>
      </c>
      <c r="AX195" t="s">
        <v>46897</v>
      </c>
    </row>
    <row r="196" spans="1:50">
      <c r="A196" s="1">
        <f>HYPERLINK("https://lsnyc.legalserver.org/matter/dynamic-profile/view/1872004","18-1872004")</f>
        <v>0</v>
      </c>
      <c r="B196" t="s">
        <v>107</v>
      </c>
      <c r="C196" t="s">
        <v>341</v>
      </c>
      <c r="D196" t="s">
        <v>434</v>
      </c>
      <c r="E196" t="s">
        <v>828</v>
      </c>
      <c r="F196" t="s">
        <v>1029</v>
      </c>
      <c r="G196" t="s">
        <v>1203</v>
      </c>
      <c r="H196" t="s">
        <v>9794</v>
      </c>
      <c r="I196" t="s">
        <v>17376</v>
      </c>
      <c r="J196" t="s">
        <v>7026</v>
      </c>
      <c r="K196">
        <v>11368</v>
      </c>
      <c r="L196" t="s">
        <v>18958</v>
      </c>
      <c r="M196" t="s">
        <v>18958</v>
      </c>
      <c r="N196" t="s">
        <v>19086</v>
      </c>
      <c r="O196" t="s">
        <v>26523</v>
      </c>
      <c r="P196" t="s">
        <v>26564</v>
      </c>
      <c r="Q196" t="s">
        <v>26570</v>
      </c>
      <c r="R196" t="s">
        <v>26584</v>
      </c>
      <c r="S196" t="s">
        <v>18959</v>
      </c>
      <c r="U196" t="s">
        <v>26604</v>
      </c>
      <c r="V196" t="s">
        <v>26610</v>
      </c>
      <c r="W196" t="s">
        <v>434</v>
      </c>
      <c r="X196">
        <v>1400</v>
      </c>
      <c r="Y196" t="s">
        <v>26653</v>
      </c>
      <c r="Z196" t="s">
        <v>26664</v>
      </c>
      <c r="AA196" t="s">
        <v>26683</v>
      </c>
      <c r="AB196" t="s">
        <v>26879</v>
      </c>
      <c r="AC196" t="s">
        <v>19045</v>
      </c>
      <c r="AD196" t="s">
        <v>36974</v>
      </c>
      <c r="AE196">
        <v>234</v>
      </c>
      <c r="AF196" t="s">
        <v>45541</v>
      </c>
      <c r="AG196" t="s">
        <v>19330</v>
      </c>
      <c r="AH196">
        <v>20</v>
      </c>
      <c r="AI196">
        <v>1</v>
      </c>
      <c r="AJ196">
        <v>0</v>
      </c>
      <c r="AK196">
        <v>197.69</v>
      </c>
      <c r="AM196" t="s">
        <v>45576</v>
      </c>
      <c r="AN196" t="s">
        <v>7439</v>
      </c>
      <c r="AO196">
        <v>24000</v>
      </c>
      <c r="AU196">
        <v>1.2</v>
      </c>
      <c r="AV196" t="s">
        <v>703</v>
      </c>
      <c r="AW196" t="s">
        <v>208</v>
      </c>
      <c r="AX196" t="s">
        <v>46897</v>
      </c>
    </row>
    <row r="197" spans="1:50">
      <c r="A197" s="1">
        <f>HYPERLINK("https://lsnyc.legalserver.org/matter/dynamic-profile/view/1872018","18-1872018")</f>
        <v>0</v>
      </c>
      <c r="B197" t="s">
        <v>107</v>
      </c>
      <c r="C197" t="s">
        <v>341</v>
      </c>
      <c r="D197" t="s">
        <v>434</v>
      </c>
      <c r="E197" t="s">
        <v>805</v>
      </c>
      <c r="F197" t="s">
        <v>1030</v>
      </c>
      <c r="G197" t="s">
        <v>5212</v>
      </c>
      <c r="H197" t="s">
        <v>9795</v>
      </c>
      <c r="I197" t="s">
        <v>17324</v>
      </c>
      <c r="J197" t="s">
        <v>18901</v>
      </c>
      <c r="K197">
        <v>11433</v>
      </c>
      <c r="L197" t="s">
        <v>18958</v>
      </c>
      <c r="M197" t="s">
        <v>18958</v>
      </c>
      <c r="N197" t="s">
        <v>19087</v>
      </c>
      <c r="O197" t="s">
        <v>26523</v>
      </c>
      <c r="P197" t="s">
        <v>26560</v>
      </c>
      <c r="Q197" t="s">
        <v>26568</v>
      </c>
      <c r="R197" t="s">
        <v>26585</v>
      </c>
      <c r="S197" t="s">
        <v>18959</v>
      </c>
      <c r="U197" t="s">
        <v>26604</v>
      </c>
      <c r="V197" t="s">
        <v>26610</v>
      </c>
      <c r="W197" t="s">
        <v>434</v>
      </c>
      <c r="X197">
        <v>1515</v>
      </c>
      <c r="Y197" t="s">
        <v>26653</v>
      </c>
      <c r="Z197" t="s">
        <v>26664</v>
      </c>
      <c r="AA197" t="s">
        <v>26678</v>
      </c>
      <c r="AB197" t="s">
        <v>26880</v>
      </c>
      <c r="AC197" t="s">
        <v>34540</v>
      </c>
      <c r="AD197" t="s">
        <v>36975</v>
      </c>
      <c r="AE197">
        <v>2</v>
      </c>
      <c r="AF197" t="s">
        <v>45547</v>
      </c>
      <c r="AG197" t="s">
        <v>45562</v>
      </c>
      <c r="AH197">
        <v>3</v>
      </c>
      <c r="AI197">
        <v>1</v>
      </c>
      <c r="AJ197">
        <v>2</v>
      </c>
      <c r="AK197">
        <v>0.93</v>
      </c>
      <c r="AM197" t="s">
        <v>45576</v>
      </c>
      <c r="AN197" t="s">
        <v>7439</v>
      </c>
      <c r="AO197">
        <v>194</v>
      </c>
      <c r="AQ197" t="s">
        <v>46359</v>
      </c>
      <c r="AR197" t="s">
        <v>26530</v>
      </c>
      <c r="AS197" t="s">
        <v>46499</v>
      </c>
      <c r="AT197" t="s">
        <v>46557</v>
      </c>
      <c r="AU197">
        <v>37.2</v>
      </c>
      <c r="AV197" t="s">
        <v>828</v>
      </c>
      <c r="AW197" t="s">
        <v>208</v>
      </c>
      <c r="AX197" t="s">
        <v>46897</v>
      </c>
    </row>
    <row r="198" spans="1:50">
      <c r="A198" s="1">
        <f>HYPERLINK("https://lsnyc.legalserver.org/matter/dynamic-profile/view/1871928","18-1871928")</f>
        <v>0</v>
      </c>
      <c r="B198" t="s">
        <v>130</v>
      </c>
      <c r="C198" t="s">
        <v>341</v>
      </c>
      <c r="D198" t="s">
        <v>434</v>
      </c>
      <c r="E198" t="s">
        <v>409</v>
      </c>
      <c r="F198" t="s">
        <v>1031</v>
      </c>
      <c r="G198" t="s">
        <v>5213</v>
      </c>
      <c r="H198" t="s">
        <v>9796</v>
      </c>
      <c r="I198" t="s">
        <v>17377</v>
      </c>
      <c r="J198" t="s">
        <v>18911</v>
      </c>
      <c r="K198">
        <v>11375</v>
      </c>
      <c r="L198" t="s">
        <v>18958</v>
      </c>
      <c r="M198" t="s">
        <v>18958</v>
      </c>
      <c r="N198" t="s">
        <v>19088</v>
      </c>
      <c r="O198" t="s">
        <v>26523</v>
      </c>
      <c r="P198" t="s">
        <v>26564</v>
      </c>
      <c r="Q198" t="s">
        <v>26570</v>
      </c>
      <c r="R198" t="s">
        <v>26584</v>
      </c>
      <c r="S198" t="s">
        <v>18959</v>
      </c>
      <c r="U198" t="s">
        <v>26604</v>
      </c>
      <c r="V198" t="s">
        <v>26610</v>
      </c>
      <c r="W198" t="s">
        <v>434</v>
      </c>
      <c r="X198">
        <v>1590</v>
      </c>
      <c r="Y198" t="s">
        <v>26653</v>
      </c>
      <c r="Z198" t="s">
        <v>26664</v>
      </c>
      <c r="AA198" t="s">
        <v>26683</v>
      </c>
      <c r="AB198" t="s">
        <v>26881</v>
      </c>
      <c r="AC198" t="s">
        <v>34541</v>
      </c>
      <c r="AD198" t="s">
        <v>36976</v>
      </c>
      <c r="AE198">
        <v>99</v>
      </c>
      <c r="AF198" t="s">
        <v>45547</v>
      </c>
      <c r="AG198" t="s">
        <v>19330</v>
      </c>
      <c r="AH198">
        <v>23</v>
      </c>
      <c r="AI198">
        <v>1</v>
      </c>
      <c r="AJ198">
        <v>0</v>
      </c>
      <c r="AK198">
        <v>74.14</v>
      </c>
      <c r="AN198" t="s">
        <v>7439</v>
      </c>
      <c r="AO198">
        <v>9000</v>
      </c>
      <c r="AU198">
        <v>1.5</v>
      </c>
      <c r="AV198" t="s">
        <v>408</v>
      </c>
      <c r="AW198" t="s">
        <v>122</v>
      </c>
    </row>
    <row r="199" spans="1:50">
      <c r="A199" s="1">
        <f>HYPERLINK("https://lsnyc.legalserver.org/matter/dynamic-profile/view/1871950","18-1871950")</f>
        <v>0</v>
      </c>
      <c r="B199" t="s">
        <v>130</v>
      </c>
      <c r="C199" t="s">
        <v>341</v>
      </c>
      <c r="D199" t="s">
        <v>434</v>
      </c>
      <c r="E199" t="s">
        <v>497</v>
      </c>
      <c r="F199" t="s">
        <v>1032</v>
      </c>
      <c r="G199" t="s">
        <v>1685</v>
      </c>
      <c r="H199" t="s">
        <v>9797</v>
      </c>
      <c r="I199" t="s">
        <v>17378</v>
      </c>
      <c r="J199" t="s">
        <v>18901</v>
      </c>
      <c r="K199">
        <v>11432</v>
      </c>
      <c r="L199" t="s">
        <v>18958</v>
      </c>
      <c r="M199" t="s">
        <v>18958</v>
      </c>
      <c r="N199" t="s">
        <v>19089</v>
      </c>
      <c r="O199" t="s">
        <v>26524</v>
      </c>
      <c r="P199" t="s">
        <v>26564</v>
      </c>
      <c r="Q199" t="s">
        <v>26570</v>
      </c>
      <c r="R199" t="s">
        <v>26584</v>
      </c>
      <c r="S199" t="s">
        <v>18959</v>
      </c>
      <c r="U199" t="s">
        <v>26604</v>
      </c>
      <c r="V199" t="s">
        <v>26610</v>
      </c>
      <c r="W199" t="s">
        <v>434</v>
      </c>
      <c r="X199">
        <v>1000</v>
      </c>
      <c r="Y199" t="s">
        <v>26653</v>
      </c>
      <c r="Z199" t="s">
        <v>26664</v>
      </c>
      <c r="AA199" t="s">
        <v>26683</v>
      </c>
      <c r="AB199" t="s">
        <v>26882</v>
      </c>
      <c r="AC199" t="s">
        <v>19045</v>
      </c>
      <c r="AD199" t="s">
        <v>36977</v>
      </c>
      <c r="AE199">
        <v>80</v>
      </c>
      <c r="AF199" t="s">
        <v>45541</v>
      </c>
      <c r="AG199" t="s">
        <v>19330</v>
      </c>
      <c r="AH199">
        <v>2</v>
      </c>
      <c r="AI199">
        <v>2</v>
      </c>
      <c r="AJ199">
        <v>2</v>
      </c>
      <c r="AK199">
        <v>105.18</v>
      </c>
      <c r="AN199" t="s">
        <v>7439</v>
      </c>
      <c r="AO199">
        <v>26400</v>
      </c>
      <c r="AU199">
        <v>1.5</v>
      </c>
      <c r="AV199" t="s">
        <v>465</v>
      </c>
      <c r="AW199" t="s">
        <v>122</v>
      </c>
    </row>
    <row r="200" spans="1:50">
      <c r="A200" s="1">
        <f>HYPERLINK("https://lsnyc.legalserver.org/matter/dynamic-profile/view/1871929","18-1871929")</f>
        <v>0</v>
      </c>
      <c r="B200" t="s">
        <v>130</v>
      </c>
      <c r="C200" t="s">
        <v>341</v>
      </c>
      <c r="D200" t="s">
        <v>434</v>
      </c>
      <c r="E200" t="s">
        <v>492</v>
      </c>
      <c r="F200" t="s">
        <v>1033</v>
      </c>
      <c r="G200" t="s">
        <v>5214</v>
      </c>
      <c r="H200" t="s">
        <v>9798</v>
      </c>
      <c r="I200" t="s">
        <v>17379</v>
      </c>
      <c r="J200" t="s">
        <v>18901</v>
      </c>
      <c r="K200">
        <v>11434</v>
      </c>
      <c r="L200" t="s">
        <v>18958</v>
      </c>
      <c r="M200" t="s">
        <v>18958</v>
      </c>
      <c r="N200" t="s">
        <v>19090</v>
      </c>
      <c r="O200" t="s">
        <v>26523</v>
      </c>
      <c r="P200" t="s">
        <v>26564</v>
      </c>
      <c r="Q200" t="s">
        <v>26570</v>
      </c>
      <c r="R200" t="s">
        <v>26585</v>
      </c>
      <c r="S200" t="s">
        <v>18959</v>
      </c>
      <c r="U200" t="s">
        <v>26604</v>
      </c>
      <c r="V200" t="s">
        <v>26610</v>
      </c>
      <c r="W200" t="s">
        <v>434</v>
      </c>
      <c r="X200">
        <v>957.4400000000001</v>
      </c>
      <c r="Y200" t="s">
        <v>26653</v>
      </c>
      <c r="Z200" t="s">
        <v>26664</v>
      </c>
      <c r="AA200" t="s">
        <v>26683</v>
      </c>
      <c r="AB200" t="s">
        <v>26883</v>
      </c>
      <c r="AC200" t="s">
        <v>19045</v>
      </c>
      <c r="AD200" t="s">
        <v>36978</v>
      </c>
      <c r="AE200">
        <v>293</v>
      </c>
      <c r="AF200" t="s">
        <v>45550</v>
      </c>
      <c r="AG200" t="s">
        <v>19330</v>
      </c>
      <c r="AH200">
        <v>12</v>
      </c>
      <c r="AI200">
        <v>2</v>
      </c>
      <c r="AJ200">
        <v>1</v>
      </c>
      <c r="AK200">
        <v>184.79</v>
      </c>
      <c r="AN200" t="s">
        <v>7439</v>
      </c>
      <c r="AO200">
        <v>38400</v>
      </c>
      <c r="AU200">
        <v>1.15</v>
      </c>
      <c r="AV200" t="s">
        <v>465</v>
      </c>
      <c r="AW200" t="s">
        <v>161</v>
      </c>
    </row>
    <row r="201" spans="1:50">
      <c r="A201" s="1">
        <f>HYPERLINK("https://lsnyc.legalserver.org/matter/dynamic-profile/view/1871997","18-1871997")</f>
        <v>0</v>
      </c>
      <c r="B201" t="s">
        <v>100</v>
      </c>
      <c r="C201" t="s">
        <v>341</v>
      </c>
      <c r="D201" t="s">
        <v>434</v>
      </c>
      <c r="E201" t="s">
        <v>578</v>
      </c>
      <c r="F201" t="s">
        <v>1034</v>
      </c>
      <c r="G201" t="s">
        <v>5215</v>
      </c>
      <c r="H201" t="s">
        <v>9799</v>
      </c>
      <c r="I201" t="s">
        <v>17380</v>
      </c>
      <c r="J201" t="s">
        <v>18892</v>
      </c>
      <c r="K201">
        <v>10453</v>
      </c>
      <c r="L201" t="s">
        <v>18958</v>
      </c>
      <c r="M201" t="s">
        <v>18958</v>
      </c>
      <c r="N201" t="s">
        <v>19091</v>
      </c>
      <c r="O201" t="s">
        <v>26524</v>
      </c>
      <c r="P201" t="s">
        <v>26565</v>
      </c>
      <c r="Q201" t="s">
        <v>26571</v>
      </c>
      <c r="R201" t="s">
        <v>26578</v>
      </c>
      <c r="U201" t="s">
        <v>26604</v>
      </c>
      <c r="V201" t="s">
        <v>26611</v>
      </c>
      <c r="W201" t="s">
        <v>434</v>
      </c>
      <c r="X201">
        <v>54</v>
      </c>
      <c r="Y201" t="s">
        <v>26650</v>
      </c>
      <c r="Z201" t="s">
        <v>26663</v>
      </c>
      <c r="AA201" t="s">
        <v>26681</v>
      </c>
      <c r="AB201" t="s">
        <v>26884</v>
      </c>
      <c r="AD201" t="s">
        <v>36979</v>
      </c>
      <c r="AE201">
        <v>59</v>
      </c>
      <c r="AF201" t="s">
        <v>45541</v>
      </c>
      <c r="AG201" t="s">
        <v>45556</v>
      </c>
      <c r="AH201">
        <v>17</v>
      </c>
      <c r="AI201">
        <v>1</v>
      </c>
      <c r="AJ201">
        <v>0</v>
      </c>
      <c r="AK201">
        <v>35.88</v>
      </c>
      <c r="AN201" t="s">
        <v>45581</v>
      </c>
      <c r="AO201">
        <v>4356</v>
      </c>
      <c r="AU201">
        <v>0.1</v>
      </c>
      <c r="AV201" t="s">
        <v>578</v>
      </c>
      <c r="AW201" t="s">
        <v>46847</v>
      </c>
    </row>
    <row r="202" spans="1:50">
      <c r="A202" s="1">
        <f>HYPERLINK("https://lsnyc.legalserver.org/matter/dynamic-profile/view/1871931","18-1871931")</f>
        <v>0</v>
      </c>
      <c r="B202" t="s">
        <v>100</v>
      </c>
      <c r="C202" t="s">
        <v>341</v>
      </c>
      <c r="D202" t="s">
        <v>434</v>
      </c>
      <c r="E202" t="s">
        <v>684</v>
      </c>
      <c r="F202" t="s">
        <v>879</v>
      </c>
      <c r="G202" t="s">
        <v>5216</v>
      </c>
      <c r="H202" t="s">
        <v>9800</v>
      </c>
      <c r="I202" t="s">
        <v>17312</v>
      </c>
      <c r="J202" t="s">
        <v>18892</v>
      </c>
      <c r="K202">
        <v>10460</v>
      </c>
      <c r="L202" t="s">
        <v>18958</v>
      </c>
      <c r="M202" t="s">
        <v>18958</v>
      </c>
      <c r="O202" t="s">
        <v>26529</v>
      </c>
      <c r="P202" t="s">
        <v>26564</v>
      </c>
      <c r="Q202" t="s">
        <v>26570</v>
      </c>
      <c r="R202" t="s">
        <v>26578</v>
      </c>
      <c r="S202" t="s">
        <v>18959</v>
      </c>
      <c r="U202" t="s">
        <v>26604</v>
      </c>
      <c r="W202" t="s">
        <v>434</v>
      </c>
      <c r="X202">
        <v>350</v>
      </c>
      <c r="Y202" t="s">
        <v>26650</v>
      </c>
      <c r="Z202" t="s">
        <v>26663</v>
      </c>
      <c r="AA202" t="s">
        <v>26683</v>
      </c>
      <c r="AB202" t="s">
        <v>26885</v>
      </c>
      <c r="AD202" t="s">
        <v>36980</v>
      </c>
      <c r="AE202">
        <v>3</v>
      </c>
      <c r="AF202" t="s">
        <v>45547</v>
      </c>
      <c r="AG202" t="s">
        <v>19330</v>
      </c>
      <c r="AH202">
        <v>2</v>
      </c>
      <c r="AI202">
        <v>1</v>
      </c>
      <c r="AJ202">
        <v>0</v>
      </c>
      <c r="AK202">
        <v>79.08</v>
      </c>
      <c r="AN202" t="s">
        <v>7439</v>
      </c>
      <c r="AO202">
        <v>9600</v>
      </c>
      <c r="AU202">
        <v>0.6</v>
      </c>
      <c r="AV202" t="s">
        <v>631</v>
      </c>
      <c r="AW202" t="s">
        <v>46847</v>
      </c>
    </row>
    <row r="203" spans="1:50">
      <c r="A203" s="1">
        <f>HYPERLINK("https://lsnyc.legalserver.org/matter/dynamic-profile/view/1871927","18-1871927")</f>
        <v>0</v>
      </c>
      <c r="B203" t="s">
        <v>100</v>
      </c>
      <c r="C203" t="s">
        <v>341</v>
      </c>
      <c r="D203" t="s">
        <v>434</v>
      </c>
      <c r="E203" t="s">
        <v>578</v>
      </c>
      <c r="F203" t="s">
        <v>948</v>
      </c>
      <c r="G203" t="s">
        <v>5217</v>
      </c>
      <c r="H203" t="s">
        <v>9801</v>
      </c>
      <c r="I203" t="s">
        <v>17275</v>
      </c>
      <c r="J203" t="s">
        <v>18892</v>
      </c>
      <c r="K203">
        <v>10468</v>
      </c>
      <c r="L203" t="s">
        <v>18958</v>
      </c>
      <c r="M203" t="s">
        <v>18958</v>
      </c>
      <c r="O203" t="s">
        <v>26523</v>
      </c>
      <c r="P203" t="s">
        <v>26564</v>
      </c>
      <c r="Q203" t="s">
        <v>26570</v>
      </c>
      <c r="R203" t="s">
        <v>26578</v>
      </c>
      <c r="S203" t="s">
        <v>18959</v>
      </c>
      <c r="U203" t="s">
        <v>26604</v>
      </c>
      <c r="V203" t="s">
        <v>26610</v>
      </c>
      <c r="W203" t="s">
        <v>434</v>
      </c>
      <c r="X203">
        <v>1227</v>
      </c>
      <c r="Y203" t="s">
        <v>26650</v>
      </c>
      <c r="Z203" t="s">
        <v>26663</v>
      </c>
      <c r="AA203" t="s">
        <v>26683</v>
      </c>
      <c r="AB203" t="s">
        <v>26886</v>
      </c>
      <c r="AD203" t="s">
        <v>36981</v>
      </c>
      <c r="AE203">
        <v>0</v>
      </c>
      <c r="AF203" t="s">
        <v>20460</v>
      </c>
      <c r="AG203" t="s">
        <v>19330</v>
      </c>
      <c r="AH203">
        <v>16</v>
      </c>
      <c r="AI203">
        <v>1</v>
      </c>
      <c r="AJ203">
        <v>1</v>
      </c>
      <c r="AK203">
        <v>167.22</v>
      </c>
      <c r="AN203" t="s">
        <v>7439</v>
      </c>
      <c r="AO203">
        <v>27524</v>
      </c>
      <c r="AU203">
        <v>0.6</v>
      </c>
      <c r="AV203" t="s">
        <v>578</v>
      </c>
      <c r="AW203" t="s">
        <v>46847</v>
      </c>
    </row>
    <row r="204" spans="1:50">
      <c r="A204" s="1">
        <f>HYPERLINK("https://lsnyc.legalserver.org/matter/dynamic-profile/view/1871273","18-1871273")</f>
        <v>0</v>
      </c>
      <c r="B204" t="s">
        <v>131</v>
      </c>
      <c r="C204" t="s">
        <v>341</v>
      </c>
      <c r="D204" t="s">
        <v>434</v>
      </c>
      <c r="E204" t="s">
        <v>706</v>
      </c>
      <c r="F204" t="s">
        <v>1035</v>
      </c>
      <c r="G204" t="s">
        <v>5218</v>
      </c>
      <c r="H204" t="s">
        <v>9802</v>
      </c>
      <c r="I204" t="s">
        <v>17381</v>
      </c>
      <c r="J204" t="s">
        <v>18902</v>
      </c>
      <c r="K204">
        <v>10304</v>
      </c>
      <c r="L204" t="s">
        <v>18958</v>
      </c>
      <c r="M204" t="s">
        <v>18958</v>
      </c>
      <c r="N204" t="s">
        <v>19092</v>
      </c>
      <c r="O204" t="s">
        <v>26523</v>
      </c>
      <c r="P204" t="s">
        <v>26560</v>
      </c>
      <c r="Q204" t="s">
        <v>26568</v>
      </c>
      <c r="R204" t="s">
        <v>26578</v>
      </c>
      <c r="S204" t="s">
        <v>18959</v>
      </c>
      <c r="U204" t="s">
        <v>26604</v>
      </c>
      <c r="V204" t="s">
        <v>26610</v>
      </c>
      <c r="W204" t="s">
        <v>434</v>
      </c>
      <c r="X204">
        <v>794.6</v>
      </c>
      <c r="Y204" t="s">
        <v>26654</v>
      </c>
      <c r="Z204" t="s">
        <v>26663</v>
      </c>
      <c r="AA204" t="s">
        <v>26678</v>
      </c>
      <c r="AB204" t="s">
        <v>26887</v>
      </c>
      <c r="AD204" t="s">
        <v>36982</v>
      </c>
      <c r="AE204">
        <v>108</v>
      </c>
      <c r="AF204" t="s">
        <v>45541</v>
      </c>
      <c r="AG204" t="s">
        <v>45559</v>
      </c>
      <c r="AH204">
        <v>19</v>
      </c>
      <c r="AI204">
        <v>2</v>
      </c>
      <c r="AJ204">
        <v>0</v>
      </c>
      <c r="AK204">
        <v>91.86</v>
      </c>
      <c r="AN204" t="s">
        <v>7439</v>
      </c>
      <c r="AO204">
        <v>15120</v>
      </c>
      <c r="AQ204" t="s">
        <v>46365</v>
      </c>
      <c r="AR204" t="s">
        <v>46379</v>
      </c>
      <c r="AS204" t="s">
        <v>46499</v>
      </c>
      <c r="AT204" t="s">
        <v>46558</v>
      </c>
      <c r="AU204">
        <v>32.9</v>
      </c>
      <c r="AV204" t="s">
        <v>706</v>
      </c>
      <c r="AW204" t="s">
        <v>46852</v>
      </c>
    </row>
    <row r="205" spans="1:50">
      <c r="A205" s="1">
        <f>HYPERLINK("https://lsnyc.legalserver.org/matter/dynamic-profile/view/1871923","18-1871923")</f>
        <v>0</v>
      </c>
      <c r="B205" t="s">
        <v>74</v>
      </c>
      <c r="C205" t="s">
        <v>341</v>
      </c>
      <c r="D205" t="s">
        <v>434</v>
      </c>
      <c r="E205" t="s">
        <v>739</v>
      </c>
      <c r="F205" t="s">
        <v>1036</v>
      </c>
      <c r="G205" t="s">
        <v>5219</v>
      </c>
      <c r="H205" t="s">
        <v>9803</v>
      </c>
      <c r="I205" t="s">
        <v>17322</v>
      </c>
      <c r="J205" t="s">
        <v>18893</v>
      </c>
      <c r="K205">
        <v>10002</v>
      </c>
      <c r="L205" t="s">
        <v>18958</v>
      </c>
      <c r="M205" t="s">
        <v>18958</v>
      </c>
      <c r="O205" t="s">
        <v>26526</v>
      </c>
      <c r="P205" t="s">
        <v>26564</v>
      </c>
      <c r="Q205" t="s">
        <v>26570</v>
      </c>
      <c r="R205" t="s">
        <v>26582</v>
      </c>
      <c r="S205" t="s">
        <v>18959</v>
      </c>
      <c r="U205" t="s">
        <v>26604</v>
      </c>
      <c r="W205" t="s">
        <v>434</v>
      </c>
      <c r="X205">
        <v>0</v>
      </c>
      <c r="Y205" t="s">
        <v>26651</v>
      </c>
      <c r="Z205" t="s">
        <v>26667</v>
      </c>
      <c r="AA205" t="s">
        <v>26683</v>
      </c>
      <c r="AB205" t="s">
        <v>26888</v>
      </c>
      <c r="AD205" t="s">
        <v>36983</v>
      </c>
      <c r="AE205">
        <v>2391</v>
      </c>
      <c r="AF205" t="s">
        <v>45541</v>
      </c>
      <c r="AG205" t="s">
        <v>45556</v>
      </c>
      <c r="AH205">
        <v>0</v>
      </c>
      <c r="AI205">
        <v>3</v>
      </c>
      <c r="AJ205">
        <v>1</v>
      </c>
      <c r="AK205">
        <v>75.63</v>
      </c>
      <c r="AN205" t="s">
        <v>7439</v>
      </c>
      <c r="AO205">
        <v>18984</v>
      </c>
      <c r="AU205">
        <v>0.6</v>
      </c>
      <c r="AV205" t="s">
        <v>694</v>
      </c>
      <c r="AW205" t="s">
        <v>46840</v>
      </c>
    </row>
    <row r="206" spans="1:50">
      <c r="A206" s="1">
        <f>HYPERLINK("https://lsnyc.legalserver.org/matter/dynamic-profile/view/1871916","18-1871916")</f>
        <v>0</v>
      </c>
      <c r="B206" t="s">
        <v>74</v>
      </c>
      <c r="C206" t="s">
        <v>341</v>
      </c>
      <c r="D206" t="s">
        <v>434</v>
      </c>
      <c r="E206" t="s">
        <v>512</v>
      </c>
      <c r="F206" t="s">
        <v>1037</v>
      </c>
      <c r="G206" t="s">
        <v>5138</v>
      </c>
      <c r="H206" t="s">
        <v>9804</v>
      </c>
      <c r="I206" t="s">
        <v>17382</v>
      </c>
      <c r="J206" t="s">
        <v>18893</v>
      </c>
      <c r="K206">
        <v>10002</v>
      </c>
      <c r="L206" t="s">
        <v>18958</v>
      </c>
      <c r="M206" t="s">
        <v>18960</v>
      </c>
      <c r="O206" t="s">
        <v>18997</v>
      </c>
      <c r="P206" t="s">
        <v>26564</v>
      </c>
      <c r="Q206" t="s">
        <v>26570</v>
      </c>
      <c r="R206" t="s">
        <v>26582</v>
      </c>
      <c r="S206" t="s">
        <v>18959</v>
      </c>
      <c r="U206" t="s">
        <v>26604</v>
      </c>
      <c r="W206" t="s">
        <v>434</v>
      </c>
      <c r="X206">
        <v>237</v>
      </c>
      <c r="Y206" t="s">
        <v>26651</v>
      </c>
      <c r="Z206" t="s">
        <v>26667</v>
      </c>
      <c r="AA206" t="s">
        <v>26683</v>
      </c>
      <c r="AB206" t="s">
        <v>26889</v>
      </c>
      <c r="AD206" t="s">
        <v>36984</v>
      </c>
      <c r="AE206">
        <v>200</v>
      </c>
      <c r="AF206" t="s">
        <v>45541</v>
      </c>
      <c r="AG206" t="s">
        <v>45556</v>
      </c>
      <c r="AH206">
        <v>20</v>
      </c>
      <c r="AI206">
        <v>1</v>
      </c>
      <c r="AJ206">
        <v>0</v>
      </c>
      <c r="AK206">
        <v>82.73</v>
      </c>
      <c r="AN206" t="s">
        <v>7439</v>
      </c>
      <c r="AO206">
        <v>10044</v>
      </c>
      <c r="AU206">
        <v>0.3</v>
      </c>
      <c r="AV206" t="s">
        <v>512</v>
      </c>
      <c r="AW206" t="s">
        <v>46840</v>
      </c>
      <c r="AX206" t="s">
        <v>46897</v>
      </c>
    </row>
    <row r="207" spans="1:50">
      <c r="A207" s="1">
        <f>HYPERLINK("https://lsnyc.legalserver.org/matter/dynamic-profile/view/1871911","18-1871911")</f>
        <v>0</v>
      </c>
      <c r="B207" t="s">
        <v>132</v>
      </c>
      <c r="C207" t="s">
        <v>341</v>
      </c>
      <c r="D207" t="s">
        <v>434</v>
      </c>
      <c r="E207" t="s">
        <v>413</v>
      </c>
      <c r="F207" t="s">
        <v>1038</v>
      </c>
      <c r="G207" t="s">
        <v>5220</v>
      </c>
      <c r="H207" t="s">
        <v>9805</v>
      </c>
      <c r="I207" t="s">
        <v>17383</v>
      </c>
      <c r="J207" t="s">
        <v>18894</v>
      </c>
      <c r="K207">
        <v>11208</v>
      </c>
      <c r="L207" t="s">
        <v>18958</v>
      </c>
      <c r="M207" t="s">
        <v>18960</v>
      </c>
      <c r="N207" t="s">
        <v>19093</v>
      </c>
      <c r="O207" t="s">
        <v>26523</v>
      </c>
      <c r="P207" t="s">
        <v>26560</v>
      </c>
      <c r="Q207" t="s">
        <v>26573</v>
      </c>
      <c r="R207" t="s">
        <v>26586</v>
      </c>
      <c r="S207" t="s">
        <v>18959</v>
      </c>
      <c r="U207" t="s">
        <v>26605</v>
      </c>
      <c r="V207" t="s">
        <v>26612</v>
      </c>
      <c r="W207" t="s">
        <v>434</v>
      </c>
      <c r="X207">
        <v>935</v>
      </c>
      <c r="Y207" t="s">
        <v>26652</v>
      </c>
      <c r="Z207" t="s">
        <v>26656</v>
      </c>
      <c r="AA207" t="s">
        <v>26680</v>
      </c>
      <c r="AB207" t="s">
        <v>26890</v>
      </c>
      <c r="AD207" t="s">
        <v>36985</v>
      </c>
      <c r="AE207">
        <v>78</v>
      </c>
      <c r="AF207" t="s">
        <v>45549</v>
      </c>
      <c r="AG207" t="s">
        <v>19330</v>
      </c>
      <c r="AH207">
        <v>25</v>
      </c>
      <c r="AI207">
        <v>2</v>
      </c>
      <c r="AJ207">
        <v>0</v>
      </c>
      <c r="AK207">
        <v>188.34</v>
      </c>
      <c r="AN207" t="s">
        <v>7439</v>
      </c>
      <c r="AO207">
        <v>31000</v>
      </c>
      <c r="AQ207" t="s">
        <v>46359</v>
      </c>
      <c r="AR207" t="s">
        <v>46380</v>
      </c>
      <c r="AS207" t="s">
        <v>46499</v>
      </c>
      <c r="AT207" t="s">
        <v>46536</v>
      </c>
      <c r="AU207">
        <v>36.6</v>
      </c>
      <c r="AV207" t="s">
        <v>720</v>
      </c>
      <c r="AW207" t="s">
        <v>46856</v>
      </c>
    </row>
    <row r="208" spans="1:50">
      <c r="A208" s="1">
        <f>HYPERLINK("https://lsnyc.legalserver.org/matter/dynamic-profile/view/1871968","18-1871968")</f>
        <v>0</v>
      </c>
      <c r="B208" t="s">
        <v>122</v>
      </c>
      <c r="C208" t="s">
        <v>341</v>
      </c>
      <c r="D208" t="s">
        <v>434</v>
      </c>
      <c r="E208" t="s">
        <v>512</v>
      </c>
      <c r="F208" t="s">
        <v>1039</v>
      </c>
      <c r="G208" t="s">
        <v>5221</v>
      </c>
      <c r="H208" t="s">
        <v>9806</v>
      </c>
      <c r="I208" t="s">
        <v>17384</v>
      </c>
      <c r="J208" t="s">
        <v>18901</v>
      </c>
      <c r="K208">
        <v>11434</v>
      </c>
      <c r="L208" t="s">
        <v>18958</v>
      </c>
      <c r="M208" t="s">
        <v>18958</v>
      </c>
      <c r="N208" t="s">
        <v>19094</v>
      </c>
      <c r="O208" t="s">
        <v>26523</v>
      </c>
      <c r="P208" t="s">
        <v>26564</v>
      </c>
      <c r="Q208" t="s">
        <v>26570</v>
      </c>
      <c r="R208" t="s">
        <v>26585</v>
      </c>
      <c r="S208" t="s">
        <v>18959</v>
      </c>
      <c r="U208" t="s">
        <v>26604</v>
      </c>
      <c r="W208" t="s">
        <v>434</v>
      </c>
      <c r="X208">
        <v>902.46</v>
      </c>
      <c r="Y208" t="s">
        <v>26653</v>
      </c>
      <c r="Z208" t="s">
        <v>26664</v>
      </c>
      <c r="AA208" t="s">
        <v>26683</v>
      </c>
      <c r="AB208" t="s">
        <v>26891</v>
      </c>
      <c r="AC208" t="s">
        <v>34542</v>
      </c>
      <c r="AD208" t="s">
        <v>36986</v>
      </c>
      <c r="AE208">
        <v>80</v>
      </c>
      <c r="AF208" t="s">
        <v>45541</v>
      </c>
      <c r="AG208" t="s">
        <v>19330</v>
      </c>
      <c r="AH208">
        <v>27</v>
      </c>
      <c r="AI208">
        <v>1</v>
      </c>
      <c r="AJ208">
        <v>0</v>
      </c>
      <c r="AK208">
        <v>19.49</v>
      </c>
      <c r="AO208">
        <v>2366</v>
      </c>
      <c r="AU208">
        <v>1.1</v>
      </c>
      <c r="AV208" t="s">
        <v>511</v>
      </c>
      <c r="AW208" t="s">
        <v>122</v>
      </c>
    </row>
    <row r="209" spans="1:50">
      <c r="A209" s="1">
        <f>HYPERLINK("https://lsnyc.legalserver.org/matter/dynamic-profile/view/1871962","18-1871962")</f>
        <v>0</v>
      </c>
      <c r="B209" t="s">
        <v>91</v>
      </c>
      <c r="C209" t="s">
        <v>341</v>
      </c>
      <c r="D209" t="s">
        <v>434</v>
      </c>
      <c r="E209" t="s">
        <v>805</v>
      </c>
      <c r="F209" t="s">
        <v>1040</v>
      </c>
      <c r="G209" t="s">
        <v>5222</v>
      </c>
      <c r="H209" t="s">
        <v>9807</v>
      </c>
      <c r="I209" t="s">
        <v>17334</v>
      </c>
      <c r="J209" t="s">
        <v>7026</v>
      </c>
      <c r="K209">
        <v>11368</v>
      </c>
      <c r="L209" t="s">
        <v>18958</v>
      </c>
      <c r="M209" t="s">
        <v>18958</v>
      </c>
      <c r="N209" t="s">
        <v>19095</v>
      </c>
      <c r="O209" t="s">
        <v>26524</v>
      </c>
      <c r="P209" t="s">
        <v>26560</v>
      </c>
      <c r="Q209" t="s">
        <v>26568</v>
      </c>
      <c r="R209" t="s">
        <v>26584</v>
      </c>
      <c r="S209" t="s">
        <v>18959</v>
      </c>
      <c r="U209" t="s">
        <v>26604</v>
      </c>
      <c r="V209" t="s">
        <v>26611</v>
      </c>
      <c r="W209" t="s">
        <v>434</v>
      </c>
      <c r="X209">
        <v>570.6900000000001</v>
      </c>
      <c r="Y209" t="s">
        <v>26653</v>
      </c>
      <c r="Z209" t="s">
        <v>26664</v>
      </c>
      <c r="AA209" t="s">
        <v>26678</v>
      </c>
      <c r="AB209" t="s">
        <v>26892</v>
      </c>
      <c r="AC209" t="s">
        <v>34543</v>
      </c>
      <c r="AD209" t="s">
        <v>36987</v>
      </c>
      <c r="AE209">
        <v>6</v>
      </c>
      <c r="AF209" t="s">
        <v>45541</v>
      </c>
      <c r="AG209" t="s">
        <v>19330</v>
      </c>
      <c r="AH209">
        <v>41</v>
      </c>
      <c r="AI209">
        <v>1</v>
      </c>
      <c r="AJ209">
        <v>1</v>
      </c>
      <c r="AK209">
        <v>46.8</v>
      </c>
      <c r="AN209" t="s">
        <v>7439</v>
      </c>
      <c r="AO209">
        <v>7704</v>
      </c>
      <c r="AQ209" t="s">
        <v>46364</v>
      </c>
      <c r="AR209" t="s">
        <v>46398</v>
      </c>
      <c r="AS209" t="s">
        <v>46499</v>
      </c>
      <c r="AT209" t="s">
        <v>46559</v>
      </c>
      <c r="AU209">
        <v>34.7</v>
      </c>
      <c r="AV209" t="s">
        <v>672</v>
      </c>
      <c r="AW209" t="s">
        <v>161</v>
      </c>
      <c r="AX209" t="s">
        <v>46897</v>
      </c>
    </row>
    <row r="210" spans="1:50">
      <c r="A210" s="1">
        <f>HYPERLINK("https://lsnyc.legalserver.org/matter/dynamic-profile/view/1871977","18-1871977")</f>
        <v>0</v>
      </c>
      <c r="B210" t="s">
        <v>133</v>
      </c>
      <c r="C210" t="s">
        <v>340</v>
      </c>
      <c r="D210" t="s">
        <v>434</v>
      </c>
      <c r="F210" t="s">
        <v>1041</v>
      </c>
      <c r="G210" t="s">
        <v>5223</v>
      </c>
      <c r="H210" t="s">
        <v>9808</v>
      </c>
      <c r="I210" t="s">
        <v>17385</v>
      </c>
      <c r="J210" t="s">
        <v>18892</v>
      </c>
      <c r="K210">
        <v>10467</v>
      </c>
      <c r="L210" t="s">
        <v>18958</v>
      </c>
      <c r="M210" t="s">
        <v>18958</v>
      </c>
      <c r="N210" t="s">
        <v>19096</v>
      </c>
      <c r="O210" t="s">
        <v>26523</v>
      </c>
      <c r="P210" t="s">
        <v>26560</v>
      </c>
      <c r="R210" t="s">
        <v>26579</v>
      </c>
      <c r="S210" t="s">
        <v>18959</v>
      </c>
      <c r="U210" t="s">
        <v>26604</v>
      </c>
      <c r="V210" t="s">
        <v>26610</v>
      </c>
      <c r="W210" t="s">
        <v>434</v>
      </c>
      <c r="X210">
        <v>997</v>
      </c>
      <c r="Y210" t="s">
        <v>26650</v>
      </c>
      <c r="Z210" t="s">
        <v>26656</v>
      </c>
      <c r="AB210" t="s">
        <v>26893</v>
      </c>
      <c r="AD210" t="s">
        <v>36988</v>
      </c>
      <c r="AE210">
        <v>51</v>
      </c>
      <c r="AF210" t="s">
        <v>45541</v>
      </c>
      <c r="AH210">
        <v>30</v>
      </c>
      <c r="AI210">
        <v>1</v>
      </c>
      <c r="AJ210">
        <v>0</v>
      </c>
      <c r="AK210">
        <v>74.73</v>
      </c>
      <c r="AN210" t="s">
        <v>45588</v>
      </c>
      <c r="AO210">
        <v>9072</v>
      </c>
      <c r="AP210" t="s">
        <v>45621</v>
      </c>
      <c r="AU210">
        <v>14.95</v>
      </c>
      <c r="AV210" t="s">
        <v>732</v>
      </c>
      <c r="AW210" t="s">
        <v>46850</v>
      </c>
    </row>
    <row r="211" spans="1:50">
      <c r="A211" s="1">
        <f>HYPERLINK("https://lsnyc.legalserver.org/matter/dynamic-profile/view/1871979","18-1871979")</f>
        <v>0</v>
      </c>
      <c r="B211" t="s">
        <v>134</v>
      </c>
      <c r="C211" t="s">
        <v>340</v>
      </c>
      <c r="D211" t="s">
        <v>434</v>
      </c>
      <c r="F211" t="s">
        <v>1042</v>
      </c>
      <c r="G211" t="s">
        <v>5224</v>
      </c>
      <c r="H211" t="s">
        <v>9809</v>
      </c>
      <c r="I211" t="s">
        <v>17274</v>
      </c>
      <c r="J211" t="s">
        <v>18894</v>
      </c>
      <c r="K211">
        <v>11233</v>
      </c>
      <c r="L211" t="s">
        <v>18958</v>
      </c>
      <c r="M211" t="s">
        <v>18958</v>
      </c>
      <c r="N211" t="s">
        <v>19097</v>
      </c>
      <c r="O211" t="s">
        <v>26524</v>
      </c>
      <c r="P211" t="s">
        <v>26560</v>
      </c>
      <c r="R211" t="s">
        <v>26578</v>
      </c>
      <c r="S211" t="s">
        <v>18959</v>
      </c>
      <c r="U211" t="s">
        <v>26604</v>
      </c>
      <c r="V211" t="s">
        <v>26610</v>
      </c>
      <c r="W211" t="s">
        <v>434</v>
      </c>
      <c r="X211">
        <v>650.39</v>
      </c>
      <c r="Y211" t="s">
        <v>26652</v>
      </c>
      <c r="Z211" t="s">
        <v>26659</v>
      </c>
      <c r="AB211" t="s">
        <v>26894</v>
      </c>
      <c r="AC211" t="s">
        <v>34544</v>
      </c>
      <c r="AD211" t="s">
        <v>36989</v>
      </c>
      <c r="AE211">
        <v>23</v>
      </c>
      <c r="AF211" t="s">
        <v>45541</v>
      </c>
      <c r="AG211" t="s">
        <v>45560</v>
      </c>
      <c r="AH211">
        <v>4</v>
      </c>
      <c r="AI211">
        <v>1</v>
      </c>
      <c r="AJ211">
        <v>0</v>
      </c>
      <c r="AK211">
        <v>41.19</v>
      </c>
      <c r="AN211" t="s">
        <v>7439</v>
      </c>
      <c r="AO211">
        <v>5000</v>
      </c>
      <c r="AU211">
        <v>62.3</v>
      </c>
      <c r="AV211" t="s">
        <v>833</v>
      </c>
      <c r="AW211" t="s">
        <v>134</v>
      </c>
    </row>
    <row r="212" spans="1:50">
      <c r="A212" s="1">
        <f>HYPERLINK("https://lsnyc.legalserver.org/matter/dynamic-profile/view/1872015","18-1872015")</f>
        <v>0</v>
      </c>
      <c r="B212" t="s">
        <v>135</v>
      </c>
      <c r="C212" t="s">
        <v>340</v>
      </c>
      <c r="D212" t="s">
        <v>434</v>
      </c>
      <c r="F212" t="s">
        <v>1043</v>
      </c>
      <c r="G212" t="s">
        <v>5225</v>
      </c>
      <c r="H212" t="s">
        <v>9810</v>
      </c>
      <c r="I212">
        <v>315</v>
      </c>
      <c r="J212" t="s">
        <v>18892</v>
      </c>
      <c r="K212">
        <v>10459</v>
      </c>
      <c r="L212" t="s">
        <v>18958</v>
      </c>
      <c r="M212" t="s">
        <v>18958</v>
      </c>
      <c r="N212" t="s">
        <v>19098</v>
      </c>
      <c r="O212" t="s">
        <v>26524</v>
      </c>
      <c r="P212" t="s">
        <v>26560</v>
      </c>
      <c r="R212" t="s">
        <v>26578</v>
      </c>
      <c r="S212" t="s">
        <v>18959</v>
      </c>
      <c r="U212" t="s">
        <v>26604</v>
      </c>
      <c r="V212" t="s">
        <v>26610</v>
      </c>
      <c r="W212" t="s">
        <v>434</v>
      </c>
      <c r="X212">
        <v>1640.18</v>
      </c>
      <c r="Y212" t="s">
        <v>26650</v>
      </c>
      <c r="Z212" t="s">
        <v>26656</v>
      </c>
      <c r="AB212" t="s">
        <v>26895</v>
      </c>
      <c r="AD212" t="s">
        <v>36990</v>
      </c>
      <c r="AE212">
        <v>123</v>
      </c>
      <c r="AF212" t="s">
        <v>45541</v>
      </c>
      <c r="AG212" t="s">
        <v>19330</v>
      </c>
      <c r="AH212">
        <v>11</v>
      </c>
      <c r="AI212">
        <v>2</v>
      </c>
      <c r="AJ212">
        <v>0</v>
      </c>
      <c r="AK212">
        <v>2.92</v>
      </c>
      <c r="AN212" t="s">
        <v>7439</v>
      </c>
      <c r="AO212">
        <v>480</v>
      </c>
      <c r="AP212" t="s">
        <v>45621</v>
      </c>
      <c r="AU212">
        <v>43.2</v>
      </c>
      <c r="AV212" t="s">
        <v>594</v>
      </c>
      <c r="AW212" t="s">
        <v>46858</v>
      </c>
    </row>
    <row r="213" spans="1:50">
      <c r="A213" s="1">
        <f>HYPERLINK("https://lsnyc.legalserver.org/matter/dynamic-profile/view/1871981","18-1871981")</f>
        <v>0</v>
      </c>
      <c r="B213" t="s">
        <v>101</v>
      </c>
      <c r="C213" t="s">
        <v>340</v>
      </c>
      <c r="D213" t="s">
        <v>434</v>
      </c>
      <c r="F213" t="s">
        <v>1044</v>
      </c>
      <c r="G213" t="s">
        <v>5147</v>
      </c>
      <c r="H213" t="s">
        <v>9726</v>
      </c>
      <c r="I213" t="s">
        <v>17386</v>
      </c>
      <c r="J213" t="s">
        <v>18894</v>
      </c>
      <c r="K213">
        <v>11215</v>
      </c>
      <c r="L213" t="s">
        <v>18958</v>
      </c>
      <c r="M213" t="s">
        <v>18958</v>
      </c>
      <c r="N213" t="s">
        <v>19099</v>
      </c>
      <c r="O213" t="s">
        <v>26523</v>
      </c>
      <c r="P213" t="s">
        <v>26560</v>
      </c>
      <c r="R213" t="s">
        <v>26586</v>
      </c>
      <c r="S213" t="s">
        <v>18959</v>
      </c>
      <c r="U213" t="s">
        <v>26604</v>
      </c>
      <c r="V213" t="s">
        <v>26610</v>
      </c>
      <c r="W213" t="s">
        <v>434</v>
      </c>
      <c r="X213">
        <v>722.34</v>
      </c>
      <c r="Y213" t="s">
        <v>26652</v>
      </c>
      <c r="Z213" t="s">
        <v>26663</v>
      </c>
      <c r="AB213" t="s">
        <v>26896</v>
      </c>
      <c r="AC213" t="s">
        <v>34545</v>
      </c>
      <c r="AD213" t="s">
        <v>36991</v>
      </c>
      <c r="AE213">
        <v>8</v>
      </c>
      <c r="AF213" t="s">
        <v>45541</v>
      </c>
      <c r="AG213" t="s">
        <v>45559</v>
      </c>
      <c r="AH213">
        <v>31</v>
      </c>
      <c r="AI213">
        <v>1</v>
      </c>
      <c r="AJ213">
        <v>1</v>
      </c>
      <c r="AK213">
        <v>54.68</v>
      </c>
      <c r="AN213" t="s">
        <v>7439</v>
      </c>
      <c r="AO213">
        <v>9000</v>
      </c>
      <c r="AU213">
        <v>22.9</v>
      </c>
      <c r="AV213" t="s">
        <v>772</v>
      </c>
      <c r="AW213" t="s">
        <v>237</v>
      </c>
    </row>
    <row r="214" spans="1:50">
      <c r="A214" s="1">
        <f>HYPERLINK("https://lsnyc.legalserver.org/matter/dynamic-profile/view/1872017","18-1872017")</f>
        <v>0</v>
      </c>
      <c r="B214" t="s">
        <v>112</v>
      </c>
      <c r="C214" t="s">
        <v>340</v>
      </c>
      <c r="D214" t="s">
        <v>434</v>
      </c>
      <c r="F214" t="s">
        <v>1045</v>
      </c>
      <c r="G214" t="s">
        <v>4612</v>
      </c>
      <c r="H214" t="s">
        <v>9811</v>
      </c>
      <c r="J214" t="s">
        <v>18898</v>
      </c>
      <c r="K214">
        <v>11691</v>
      </c>
      <c r="L214" t="s">
        <v>18958</v>
      </c>
      <c r="M214" t="s">
        <v>18958</v>
      </c>
      <c r="N214" t="s">
        <v>19100</v>
      </c>
      <c r="O214" t="s">
        <v>26524</v>
      </c>
      <c r="P214" t="s">
        <v>26564</v>
      </c>
      <c r="R214" t="s">
        <v>26578</v>
      </c>
      <c r="S214" t="s">
        <v>18959</v>
      </c>
      <c r="U214" t="s">
        <v>26604</v>
      </c>
      <c r="V214" t="s">
        <v>26611</v>
      </c>
      <c r="W214" t="s">
        <v>434</v>
      </c>
      <c r="X214">
        <v>2100</v>
      </c>
      <c r="Y214" t="s">
        <v>26653</v>
      </c>
      <c r="Z214" t="s">
        <v>26664</v>
      </c>
      <c r="AB214" t="s">
        <v>26897</v>
      </c>
      <c r="AC214" t="s">
        <v>19079</v>
      </c>
      <c r="AD214" t="s">
        <v>36992</v>
      </c>
      <c r="AE214">
        <v>20</v>
      </c>
      <c r="AF214" t="s">
        <v>45547</v>
      </c>
      <c r="AG214" t="s">
        <v>45556</v>
      </c>
      <c r="AH214">
        <v>3</v>
      </c>
      <c r="AI214">
        <v>1</v>
      </c>
      <c r="AJ214">
        <v>3</v>
      </c>
      <c r="AK214">
        <v>138.65</v>
      </c>
      <c r="AM214" t="s">
        <v>45576</v>
      </c>
      <c r="AN214" t="s">
        <v>7439</v>
      </c>
      <c r="AO214">
        <v>34800</v>
      </c>
      <c r="AU214">
        <v>1.2</v>
      </c>
      <c r="AV214" t="s">
        <v>415</v>
      </c>
      <c r="AW214" t="s">
        <v>208</v>
      </c>
    </row>
    <row r="215" spans="1:50">
      <c r="A215" s="1">
        <f>HYPERLINK("https://lsnyc.legalserver.org/matter/dynamic-profile/view/1872107","18-1872107")</f>
        <v>0</v>
      </c>
      <c r="B215" t="s">
        <v>114</v>
      </c>
      <c r="C215" t="s">
        <v>340</v>
      </c>
      <c r="D215" t="s">
        <v>435</v>
      </c>
      <c r="F215" t="s">
        <v>900</v>
      </c>
      <c r="G215" t="s">
        <v>5226</v>
      </c>
      <c r="H215" t="s">
        <v>9812</v>
      </c>
      <c r="I215" t="s">
        <v>17387</v>
      </c>
      <c r="J215" t="s">
        <v>18900</v>
      </c>
      <c r="K215">
        <v>11358</v>
      </c>
      <c r="L215" t="s">
        <v>18958</v>
      </c>
      <c r="M215" t="s">
        <v>18958</v>
      </c>
      <c r="N215" t="s">
        <v>19101</v>
      </c>
      <c r="O215" t="s">
        <v>26524</v>
      </c>
      <c r="P215" t="s">
        <v>26560</v>
      </c>
      <c r="R215" t="s">
        <v>26578</v>
      </c>
      <c r="S215" t="s">
        <v>18959</v>
      </c>
      <c r="U215" t="s">
        <v>26604</v>
      </c>
      <c r="V215" t="s">
        <v>26610</v>
      </c>
      <c r="W215" t="s">
        <v>434</v>
      </c>
      <c r="X215">
        <v>2000</v>
      </c>
      <c r="Y215" t="s">
        <v>26653</v>
      </c>
      <c r="Z215" t="s">
        <v>26664</v>
      </c>
      <c r="AB215" t="s">
        <v>26898</v>
      </c>
      <c r="AC215" t="s">
        <v>34546</v>
      </c>
      <c r="AD215" t="s">
        <v>36993</v>
      </c>
      <c r="AE215">
        <v>2</v>
      </c>
      <c r="AF215" t="s">
        <v>45547</v>
      </c>
      <c r="AG215" t="s">
        <v>19330</v>
      </c>
      <c r="AH215">
        <v>13</v>
      </c>
      <c r="AI215">
        <v>2</v>
      </c>
      <c r="AJ215">
        <v>0</v>
      </c>
      <c r="AK215">
        <v>46.59</v>
      </c>
      <c r="AN215" t="s">
        <v>45581</v>
      </c>
      <c r="AO215">
        <v>7668</v>
      </c>
      <c r="AQ215" t="s">
        <v>46362</v>
      </c>
      <c r="AR215" t="s">
        <v>26530</v>
      </c>
      <c r="AS215" t="s">
        <v>46500</v>
      </c>
      <c r="AT215" t="s">
        <v>46539</v>
      </c>
      <c r="AU215">
        <v>2.4</v>
      </c>
      <c r="AV215" t="s">
        <v>722</v>
      </c>
      <c r="AW215" t="s">
        <v>208</v>
      </c>
    </row>
    <row r="216" spans="1:50">
      <c r="A216" s="1">
        <f>HYPERLINK("https://lsnyc.legalserver.org/matter/dynamic-profile/view/1872939","18-1872939")</f>
        <v>0</v>
      </c>
      <c r="B216" t="s">
        <v>130</v>
      </c>
      <c r="C216" t="s">
        <v>341</v>
      </c>
      <c r="D216" t="s">
        <v>436</v>
      </c>
      <c r="E216" t="s">
        <v>666</v>
      </c>
      <c r="F216" t="s">
        <v>1046</v>
      </c>
      <c r="G216" t="s">
        <v>5227</v>
      </c>
      <c r="H216" t="s">
        <v>9813</v>
      </c>
      <c r="I216" t="s">
        <v>17328</v>
      </c>
      <c r="J216" t="s">
        <v>18910</v>
      </c>
      <c r="K216">
        <v>11420</v>
      </c>
      <c r="L216" t="s">
        <v>18958</v>
      </c>
      <c r="M216" t="s">
        <v>18958</v>
      </c>
      <c r="N216" t="s">
        <v>19102</v>
      </c>
      <c r="O216" t="s">
        <v>26533</v>
      </c>
      <c r="P216" t="s">
        <v>26560</v>
      </c>
      <c r="Q216" t="s">
        <v>26574</v>
      </c>
      <c r="R216" t="s">
        <v>26584</v>
      </c>
      <c r="S216" t="s">
        <v>18959</v>
      </c>
      <c r="U216" t="s">
        <v>26604</v>
      </c>
      <c r="V216" t="s">
        <v>26613</v>
      </c>
      <c r="W216" t="s">
        <v>434</v>
      </c>
      <c r="X216">
        <v>2500</v>
      </c>
      <c r="Y216" t="s">
        <v>26653</v>
      </c>
      <c r="Z216" t="s">
        <v>26659</v>
      </c>
      <c r="AA216" t="s">
        <v>26687</v>
      </c>
      <c r="AB216" t="s">
        <v>26899</v>
      </c>
      <c r="AC216" t="s">
        <v>19045</v>
      </c>
      <c r="AD216" t="s">
        <v>36994</v>
      </c>
      <c r="AE216">
        <v>1</v>
      </c>
      <c r="AF216" t="s">
        <v>45547</v>
      </c>
      <c r="AG216" t="s">
        <v>19330</v>
      </c>
      <c r="AH216">
        <v>6</v>
      </c>
      <c r="AI216">
        <v>1</v>
      </c>
      <c r="AJ216">
        <v>0</v>
      </c>
      <c r="AK216">
        <v>111.37</v>
      </c>
      <c r="AN216" t="s">
        <v>7439</v>
      </c>
      <c r="AO216">
        <v>13520</v>
      </c>
      <c r="AQ216" t="s">
        <v>46367</v>
      </c>
      <c r="AR216" t="s">
        <v>26530</v>
      </c>
      <c r="AS216" t="s">
        <v>46500</v>
      </c>
      <c r="AT216" t="s">
        <v>46555</v>
      </c>
      <c r="AU216">
        <v>28.4</v>
      </c>
      <c r="AV216" t="s">
        <v>666</v>
      </c>
      <c r="AW216" t="s">
        <v>130</v>
      </c>
    </row>
    <row r="217" spans="1:50">
      <c r="A217" s="1">
        <f>HYPERLINK("https://lsnyc.legalserver.org/matter/dynamic-profile/view/1864707","18-1864707")</f>
        <v>0</v>
      </c>
      <c r="B217" t="s">
        <v>122</v>
      </c>
      <c r="C217" t="s">
        <v>341</v>
      </c>
      <c r="D217" t="s">
        <v>437</v>
      </c>
      <c r="E217" t="s">
        <v>677</v>
      </c>
      <c r="F217" t="s">
        <v>962</v>
      </c>
      <c r="G217" t="s">
        <v>5147</v>
      </c>
      <c r="H217" t="s">
        <v>9814</v>
      </c>
      <c r="I217" t="s">
        <v>17316</v>
      </c>
      <c r="J217" t="s">
        <v>18912</v>
      </c>
      <c r="K217">
        <v>11374</v>
      </c>
      <c r="L217" t="s">
        <v>18958</v>
      </c>
      <c r="M217" t="s">
        <v>18958</v>
      </c>
      <c r="O217" t="s">
        <v>26524</v>
      </c>
      <c r="P217" t="s">
        <v>26565</v>
      </c>
      <c r="Q217" t="s">
        <v>26570</v>
      </c>
      <c r="R217" t="s">
        <v>26591</v>
      </c>
      <c r="U217" t="s">
        <v>26604</v>
      </c>
      <c r="W217" t="s">
        <v>438</v>
      </c>
      <c r="X217">
        <v>1950</v>
      </c>
      <c r="Y217" t="s">
        <v>26653</v>
      </c>
      <c r="Z217" t="s">
        <v>26664</v>
      </c>
      <c r="AA217" t="s">
        <v>26688</v>
      </c>
      <c r="AB217" t="s">
        <v>26900</v>
      </c>
      <c r="AC217" t="s">
        <v>34547</v>
      </c>
      <c r="AD217" t="s">
        <v>36995</v>
      </c>
      <c r="AE217">
        <v>9</v>
      </c>
      <c r="AF217" t="s">
        <v>45541</v>
      </c>
      <c r="AH217">
        <v>1</v>
      </c>
      <c r="AI217">
        <v>1</v>
      </c>
      <c r="AJ217">
        <v>1</v>
      </c>
      <c r="AK217">
        <v>22.75</v>
      </c>
      <c r="AN217" t="s">
        <v>7439</v>
      </c>
      <c r="AO217">
        <v>3745</v>
      </c>
      <c r="AU217">
        <v>12.35</v>
      </c>
      <c r="AV217" t="s">
        <v>571</v>
      </c>
      <c r="AW217" t="s">
        <v>122</v>
      </c>
    </row>
    <row r="218" spans="1:50">
      <c r="A218" s="1">
        <f>HYPERLINK("https://lsnyc.legalserver.org/matter/dynamic-profile/view/1868238","18-1868238")</f>
        <v>0</v>
      </c>
      <c r="B218" t="s">
        <v>101</v>
      </c>
      <c r="C218" t="s">
        <v>341</v>
      </c>
      <c r="D218" t="s">
        <v>393</v>
      </c>
      <c r="E218" t="s">
        <v>704</v>
      </c>
      <c r="F218" t="s">
        <v>996</v>
      </c>
      <c r="G218" t="s">
        <v>5228</v>
      </c>
      <c r="H218" t="s">
        <v>9815</v>
      </c>
      <c r="I218" t="s">
        <v>17388</v>
      </c>
      <c r="J218" t="s">
        <v>18894</v>
      </c>
      <c r="K218">
        <v>11229</v>
      </c>
      <c r="L218" t="s">
        <v>18958</v>
      </c>
      <c r="M218" t="s">
        <v>18958</v>
      </c>
      <c r="N218" t="s">
        <v>19103</v>
      </c>
      <c r="O218" t="s">
        <v>26523</v>
      </c>
      <c r="P218" t="s">
        <v>26560</v>
      </c>
      <c r="Q218" t="s">
        <v>26574</v>
      </c>
      <c r="R218" t="s">
        <v>26586</v>
      </c>
      <c r="S218" t="s">
        <v>18959</v>
      </c>
      <c r="U218" t="s">
        <v>26604</v>
      </c>
      <c r="V218" t="s">
        <v>26610</v>
      </c>
      <c r="W218" t="s">
        <v>438</v>
      </c>
      <c r="X218">
        <v>1097</v>
      </c>
      <c r="Y218" t="s">
        <v>26652</v>
      </c>
      <c r="Z218" t="s">
        <v>26663</v>
      </c>
      <c r="AA218" t="s">
        <v>26678</v>
      </c>
      <c r="AB218" t="s">
        <v>26901</v>
      </c>
      <c r="AD218" t="s">
        <v>36996</v>
      </c>
      <c r="AE218">
        <v>32</v>
      </c>
      <c r="AF218" t="s">
        <v>45541</v>
      </c>
      <c r="AH218">
        <v>9</v>
      </c>
      <c r="AI218">
        <v>3</v>
      </c>
      <c r="AJ218">
        <v>0</v>
      </c>
      <c r="AK218">
        <v>137.63</v>
      </c>
      <c r="AO218">
        <v>28600</v>
      </c>
      <c r="AQ218" t="s">
        <v>46361</v>
      </c>
      <c r="AR218" t="s">
        <v>46385</v>
      </c>
      <c r="AS218" t="s">
        <v>46499</v>
      </c>
      <c r="AT218" t="s">
        <v>46560</v>
      </c>
      <c r="AU218">
        <v>30.65</v>
      </c>
      <c r="AV218" t="s">
        <v>458</v>
      </c>
      <c r="AW218" t="s">
        <v>252</v>
      </c>
    </row>
    <row r="219" spans="1:50">
      <c r="A219" s="1">
        <f>HYPERLINK("https://lsnyc.legalserver.org/matter/dynamic-profile/view/1870803","18-1870803")</f>
        <v>0</v>
      </c>
      <c r="B219" t="s">
        <v>73</v>
      </c>
      <c r="C219" t="s">
        <v>341</v>
      </c>
      <c r="D219" t="s">
        <v>403</v>
      </c>
      <c r="E219" t="s">
        <v>575</v>
      </c>
      <c r="F219" t="s">
        <v>1047</v>
      </c>
      <c r="G219" t="s">
        <v>1000</v>
      </c>
      <c r="H219" t="s">
        <v>9816</v>
      </c>
      <c r="I219" t="s">
        <v>17274</v>
      </c>
      <c r="J219" t="s">
        <v>18894</v>
      </c>
      <c r="K219">
        <v>11212</v>
      </c>
      <c r="L219" t="s">
        <v>18958</v>
      </c>
      <c r="M219" t="s">
        <v>18958</v>
      </c>
      <c r="N219" t="s">
        <v>18997</v>
      </c>
      <c r="O219" t="s">
        <v>26531</v>
      </c>
      <c r="P219" t="s">
        <v>26565</v>
      </c>
      <c r="Q219" t="s">
        <v>26571</v>
      </c>
      <c r="R219" t="s">
        <v>26578</v>
      </c>
      <c r="S219" t="s">
        <v>18958</v>
      </c>
      <c r="U219" t="s">
        <v>26604</v>
      </c>
      <c r="V219" t="s">
        <v>26610</v>
      </c>
      <c r="W219" t="s">
        <v>438</v>
      </c>
      <c r="X219">
        <v>916</v>
      </c>
      <c r="Y219" t="s">
        <v>26652</v>
      </c>
      <c r="Z219" t="s">
        <v>26663</v>
      </c>
      <c r="AA219" t="s">
        <v>26682</v>
      </c>
      <c r="AB219" t="s">
        <v>26902</v>
      </c>
      <c r="AC219" t="s">
        <v>19330</v>
      </c>
      <c r="AD219" t="s">
        <v>36997</v>
      </c>
      <c r="AE219">
        <v>12</v>
      </c>
      <c r="AF219" t="s">
        <v>45543</v>
      </c>
      <c r="AG219" t="s">
        <v>45556</v>
      </c>
      <c r="AH219">
        <v>19</v>
      </c>
      <c r="AI219">
        <v>2</v>
      </c>
      <c r="AJ219">
        <v>0</v>
      </c>
      <c r="AK219">
        <v>258.2</v>
      </c>
      <c r="AL219" t="s">
        <v>687</v>
      </c>
      <c r="AM219" t="s">
        <v>45575</v>
      </c>
      <c r="AN219" t="s">
        <v>7439</v>
      </c>
      <c r="AO219">
        <v>42500</v>
      </c>
      <c r="AU219">
        <v>17.7</v>
      </c>
      <c r="AV219" t="s">
        <v>575</v>
      </c>
      <c r="AW219" t="s">
        <v>46843</v>
      </c>
    </row>
    <row r="220" spans="1:50">
      <c r="A220" s="1">
        <f>HYPERLINK("https://lsnyc.legalserver.org/matter/dynamic-profile/view/1872417","18-1872417")</f>
        <v>0</v>
      </c>
      <c r="B220" t="s">
        <v>82</v>
      </c>
      <c r="C220" t="s">
        <v>341</v>
      </c>
      <c r="D220" t="s">
        <v>438</v>
      </c>
      <c r="E220" t="s">
        <v>427</v>
      </c>
      <c r="F220" t="s">
        <v>1048</v>
      </c>
      <c r="G220" t="s">
        <v>5229</v>
      </c>
      <c r="H220" t="s">
        <v>9817</v>
      </c>
      <c r="I220" t="s">
        <v>17307</v>
      </c>
      <c r="J220" t="s">
        <v>18892</v>
      </c>
      <c r="K220">
        <v>10468</v>
      </c>
      <c r="L220" t="s">
        <v>18958</v>
      </c>
      <c r="M220" t="s">
        <v>18958</v>
      </c>
      <c r="N220" t="s">
        <v>19104</v>
      </c>
      <c r="O220" t="s">
        <v>26523</v>
      </c>
      <c r="P220" t="s">
        <v>26560</v>
      </c>
      <c r="Q220" t="s">
        <v>26568</v>
      </c>
      <c r="R220" t="s">
        <v>26579</v>
      </c>
      <c r="S220" t="s">
        <v>18959</v>
      </c>
      <c r="U220" t="s">
        <v>26604</v>
      </c>
      <c r="V220" t="s">
        <v>26611</v>
      </c>
      <c r="W220" t="s">
        <v>438</v>
      </c>
      <c r="X220">
        <v>1406.89</v>
      </c>
      <c r="Y220" t="s">
        <v>26650</v>
      </c>
      <c r="Z220" t="s">
        <v>26662</v>
      </c>
      <c r="AA220" t="s">
        <v>26678</v>
      </c>
      <c r="AB220" t="s">
        <v>26903</v>
      </c>
      <c r="AC220" t="s">
        <v>34548</v>
      </c>
      <c r="AD220" t="s">
        <v>36998</v>
      </c>
      <c r="AE220">
        <v>37</v>
      </c>
      <c r="AF220" t="s">
        <v>45541</v>
      </c>
      <c r="AG220" t="s">
        <v>45557</v>
      </c>
      <c r="AH220">
        <v>7</v>
      </c>
      <c r="AI220">
        <v>1</v>
      </c>
      <c r="AJ220">
        <v>4</v>
      </c>
      <c r="AK220">
        <v>90.87</v>
      </c>
      <c r="AN220" t="s">
        <v>7439</v>
      </c>
      <c r="AO220">
        <v>26734.12</v>
      </c>
      <c r="AP220" t="s">
        <v>45627</v>
      </c>
      <c r="AQ220" t="s">
        <v>46365</v>
      </c>
      <c r="AR220" t="s">
        <v>46399</v>
      </c>
      <c r="AS220" t="s">
        <v>46499</v>
      </c>
      <c r="AT220" t="s">
        <v>46561</v>
      </c>
      <c r="AU220">
        <v>7.5</v>
      </c>
      <c r="AV220" t="s">
        <v>579</v>
      </c>
      <c r="AW220" t="s">
        <v>46848</v>
      </c>
    </row>
    <row r="221" spans="1:50">
      <c r="A221" s="1">
        <f>HYPERLINK("https://lsnyc.legalserver.org/matter/dynamic-profile/view/1873033","18-1873033")</f>
        <v>0</v>
      </c>
      <c r="B221" t="s">
        <v>120</v>
      </c>
      <c r="C221" t="s">
        <v>341</v>
      </c>
      <c r="D221" t="s">
        <v>438</v>
      </c>
      <c r="E221" t="s">
        <v>494</v>
      </c>
      <c r="F221" t="s">
        <v>1049</v>
      </c>
      <c r="G221" t="s">
        <v>5230</v>
      </c>
      <c r="H221" t="s">
        <v>9818</v>
      </c>
      <c r="I221" t="s">
        <v>17274</v>
      </c>
      <c r="J221" t="s">
        <v>18892</v>
      </c>
      <c r="K221">
        <v>10457</v>
      </c>
      <c r="L221" t="s">
        <v>18958</v>
      </c>
      <c r="M221" t="s">
        <v>18958</v>
      </c>
      <c r="N221" t="s">
        <v>19105</v>
      </c>
      <c r="O221" t="s">
        <v>26523</v>
      </c>
      <c r="P221" t="s">
        <v>26560</v>
      </c>
      <c r="Q221" t="s">
        <v>26568</v>
      </c>
      <c r="R221" t="s">
        <v>26579</v>
      </c>
      <c r="S221" t="s">
        <v>18959</v>
      </c>
      <c r="U221" t="s">
        <v>26604</v>
      </c>
      <c r="V221" t="s">
        <v>26610</v>
      </c>
      <c r="W221" t="s">
        <v>438</v>
      </c>
      <c r="X221">
        <v>1224</v>
      </c>
      <c r="Y221" t="s">
        <v>26650</v>
      </c>
      <c r="Z221" t="s">
        <v>26662</v>
      </c>
      <c r="AA221" t="s">
        <v>26678</v>
      </c>
      <c r="AB221" t="s">
        <v>26904</v>
      </c>
      <c r="AD221" t="s">
        <v>36999</v>
      </c>
      <c r="AE221">
        <v>35</v>
      </c>
      <c r="AF221" t="s">
        <v>45541</v>
      </c>
      <c r="AG221" t="s">
        <v>19330</v>
      </c>
      <c r="AH221">
        <v>2</v>
      </c>
      <c r="AI221">
        <v>2</v>
      </c>
      <c r="AJ221">
        <v>2</v>
      </c>
      <c r="AK221">
        <v>207.97</v>
      </c>
      <c r="AL221" t="s">
        <v>787</v>
      </c>
      <c r="AM221" t="s">
        <v>45575</v>
      </c>
      <c r="AN221" t="s">
        <v>45581</v>
      </c>
      <c r="AO221">
        <v>52200</v>
      </c>
      <c r="AP221" t="s">
        <v>45641</v>
      </c>
      <c r="AQ221" t="s">
        <v>46362</v>
      </c>
      <c r="AR221" t="s">
        <v>46400</v>
      </c>
      <c r="AS221" t="s">
        <v>46499</v>
      </c>
      <c r="AT221" t="s">
        <v>46562</v>
      </c>
      <c r="AU221">
        <v>13.35</v>
      </c>
      <c r="AV221" t="s">
        <v>637</v>
      </c>
      <c r="AW221" t="s">
        <v>46847</v>
      </c>
    </row>
    <row r="222" spans="1:50">
      <c r="A222" s="1">
        <f>HYPERLINK("https://lsnyc.legalserver.org/matter/dynamic-profile/view/1872464","18-1872464")</f>
        <v>0</v>
      </c>
      <c r="B222" t="s">
        <v>87</v>
      </c>
      <c r="C222" t="s">
        <v>341</v>
      </c>
      <c r="D222" t="s">
        <v>438</v>
      </c>
      <c r="E222" t="s">
        <v>719</v>
      </c>
      <c r="F222" t="s">
        <v>1050</v>
      </c>
      <c r="G222" t="s">
        <v>5231</v>
      </c>
      <c r="H222" t="s">
        <v>9819</v>
      </c>
      <c r="I222" t="s">
        <v>17389</v>
      </c>
      <c r="J222" t="s">
        <v>18892</v>
      </c>
      <c r="K222">
        <v>10468</v>
      </c>
      <c r="L222" t="s">
        <v>18958</v>
      </c>
      <c r="M222" t="s">
        <v>18958</v>
      </c>
      <c r="N222" t="s">
        <v>19106</v>
      </c>
      <c r="O222" t="s">
        <v>26523</v>
      </c>
      <c r="P222" t="s">
        <v>26560</v>
      </c>
      <c r="Q222" t="s">
        <v>26568</v>
      </c>
      <c r="R222" t="s">
        <v>26579</v>
      </c>
      <c r="U222" t="s">
        <v>26604</v>
      </c>
      <c r="V222" t="s">
        <v>26610</v>
      </c>
      <c r="W222" t="s">
        <v>438</v>
      </c>
      <c r="X222">
        <v>1200</v>
      </c>
      <c r="Y222" t="s">
        <v>26650</v>
      </c>
      <c r="Z222" t="s">
        <v>26662</v>
      </c>
      <c r="AA222" t="s">
        <v>26678</v>
      </c>
      <c r="AB222" t="s">
        <v>26905</v>
      </c>
      <c r="AC222" t="s">
        <v>34549</v>
      </c>
      <c r="AD222" t="s">
        <v>37000</v>
      </c>
      <c r="AE222">
        <v>0</v>
      </c>
      <c r="AF222" t="s">
        <v>45541</v>
      </c>
      <c r="AG222" t="s">
        <v>45556</v>
      </c>
      <c r="AH222">
        <v>4</v>
      </c>
      <c r="AI222">
        <v>1</v>
      </c>
      <c r="AJ222">
        <v>0</v>
      </c>
      <c r="AK222">
        <v>82.64</v>
      </c>
      <c r="AN222" t="s">
        <v>7439</v>
      </c>
      <c r="AO222">
        <v>10032</v>
      </c>
      <c r="AP222" t="s">
        <v>45621</v>
      </c>
      <c r="AR222" t="s">
        <v>46381</v>
      </c>
      <c r="AS222" t="s">
        <v>46499</v>
      </c>
      <c r="AT222" t="s">
        <v>46563</v>
      </c>
      <c r="AU222">
        <v>10.2</v>
      </c>
      <c r="AV222" t="s">
        <v>683</v>
      </c>
      <c r="AW222" t="s">
        <v>46848</v>
      </c>
    </row>
    <row r="223" spans="1:50">
      <c r="A223" s="1">
        <f>HYPERLINK("https://lsnyc.legalserver.org/matter/dynamic-profile/view/1872397","18-1872397")</f>
        <v>0</v>
      </c>
      <c r="B223" t="s">
        <v>136</v>
      </c>
      <c r="C223" t="s">
        <v>340</v>
      </c>
      <c r="D223" t="s">
        <v>438</v>
      </c>
      <c r="F223" t="s">
        <v>1051</v>
      </c>
      <c r="G223" t="s">
        <v>5232</v>
      </c>
      <c r="H223" t="s">
        <v>9820</v>
      </c>
      <c r="I223" t="s">
        <v>17390</v>
      </c>
      <c r="J223" t="s">
        <v>18892</v>
      </c>
      <c r="K223">
        <v>10468</v>
      </c>
      <c r="L223" t="s">
        <v>18958</v>
      </c>
      <c r="M223" t="s">
        <v>18958</v>
      </c>
      <c r="N223" t="s">
        <v>19107</v>
      </c>
      <c r="O223" t="s">
        <v>26523</v>
      </c>
      <c r="P223" t="s">
        <v>26560</v>
      </c>
      <c r="R223" t="s">
        <v>26579</v>
      </c>
      <c r="S223" t="s">
        <v>18959</v>
      </c>
      <c r="U223" t="s">
        <v>26604</v>
      </c>
      <c r="V223" t="s">
        <v>26610</v>
      </c>
      <c r="W223" t="s">
        <v>438</v>
      </c>
      <c r="X223">
        <v>1113.75</v>
      </c>
      <c r="Y223" t="s">
        <v>26650</v>
      </c>
      <c r="Z223" t="s">
        <v>26662</v>
      </c>
      <c r="AB223" t="s">
        <v>26906</v>
      </c>
      <c r="AC223" t="s">
        <v>34550</v>
      </c>
      <c r="AD223" t="s">
        <v>37001</v>
      </c>
      <c r="AE223">
        <v>26</v>
      </c>
      <c r="AF223" t="s">
        <v>45541</v>
      </c>
      <c r="AG223" t="s">
        <v>19330</v>
      </c>
      <c r="AH223">
        <v>3</v>
      </c>
      <c r="AI223">
        <v>1</v>
      </c>
      <c r="AJ223">
        <v>2</v>
      </c>
      <c r="AK223">
        <v>34.65</v>
      </c>
      <c r="AO223">
        <v>7200</v>
      </c>
      <c r="AP223" t="s">
        <v>45621</v>
      </c>
      <c r="AR223" t="s">
        <v>46401</v>
      </c>
      <c r="AS223" t="s">
        <v>46499</v>
      </c>
      <c r="AT223" t="s">
        <v>46504</v>
      </c>
      <c r="AU223">
        <v>14.33</v>
      </c>
      <c r="AV223" t="s">
        <v>662</v>
      </c>
      <c r="AW223" t="s">
        <v>46848</v>
      </c>
      <c r="AX223" t="s">
        <v>46898</v>
      </c>
    </row>
    <row r="224" spans="1:50">
      <c r="A224" s="1">
        <f>HYPERLINK("https://lsnyc.legalserver.org/matter/dynamic-profile/view/1872099","18-1872099")</f>
        <v>0</v>
      </c>
      <c r="B224" t="s">
        <v>110</v>
      </c>
      <c r="C224" t="s">
        <v>340</v>
      </c>
      <c r="D224" t="s">
        <v>435</v>
      </c>
      <c r="F224" t="s">
        <v>1052</v>
      </c>
      <c r="G224" t="s">
        <v>5233</v>
      </c>
      <c r="H224" t="s">
        <v>9821</v>
      </c>
      <c r="I224" t="s">
        <v>17331</v>
      </c>
      <c r="J224" t="s">
        <v>18913</v>
      </c>
      <c r="K224">
        <v>11101</v>
      </c>
      <c r="L224" t="s">
        <v>18958</v>
      </c>
      <c r="M224" t="s">
        <v>18958</v>
      </c>
      <c r="N224" t="s">
        <v>19108</v>
      </c>
      <c r="O224" t="s">
        <v>26524</v>
      </c>
      <c r="P224" t="s">
        <v>26564</v>
      </c>
      <c r="R224" t="s">
        <v>26584</v>
      </c>
      <c r="S224" t="s">
        <v>18959</v>
      </c>
      <c r="U224" t="s">
        <v>26604</v>
      </c>
      <c r="W224" t="s">
        <v>438</v>
      </c>
      <c r="X224">
        <v>1850</v>
      </c>
      <c r="Y224" t="s">
        <v>26653</v>
      </c>
      <c r="Z224" t="s">
        <v>26664</v>
      </c>
      <c r="AB224" t="s">
        <v>26907</v>
      </c>
      <c r="AC224" t="s">
        <v>19330</v>
      </c>
      <c r="AD224" t="s">
        <v>37002</v>
      </c>
      <c r="AE224">
        <v>6</v>
      </c>
      <c r="AF224" t="s">
        <v>20460</v>
      </c>
      <c r="AG224" t="s">
        <v>19330</v>
      </c>
      <c r="AH224">
        <v>7</v>
      </c>
      <c r="AI224">
        <v>3</v>
      </c>
      <c r="AJ224">
        <v>3</v>
      </c>
      <c r="AK224">
        <v>105.5</v>
      </c>
      <c r="AM224" t="s">
        <v>45576</v>
      </c>
      <c r="AN224" t="s">
        <v>7439</v>
      </c>
      <c r="AO224">
        <v>35595</v>
      </c>
      <c r="AU224">
        <v>0</v>
      </c>
      <c r="AW224" t="s">
        <v>208</v>
      </c>
    </row>
    <row r="225" spans="1:50">
      <c r="A225" s="1">
        <f>HYPERLINK("https://lsnyc.legalserver.org/matter/dynamic-profile/view/1872098","18-1872098")</f>
        <v>0</v>
      </c>
      <c r="B225" t="s">
        <v>114</v>
      </c>
      <c r="C225" t="s">
        <v>340</v>
      </c>
      <c r="D225" t="s">
        <v>435</v>
      </c>
      <c r="F225" t="s">
        <v>1053</v>
      </c>
      <c r="G225" t="s">
        <v>5234</v>
      </c>
      <c r="H225" t="s">
        <v>9822</v>
      </c>
      <c r="I225" t="s">
        <v>17347</v>
      </c>
      <c r="J225" t="s">
        <v>18913</v>
      </c>
      <c r="K225">
        <v>11106</v>
      </c>
      <c r="L225" t="s">
        <v>18958</v>
      </c>
      <c r="M225" t="s">
        <v>18958</v>
      </c>
      <c r="N225" t="s">
        <v>19109</v>
      </c>
      <c r="O225" t="s">
        <v>26523</v>
      </c>
      <c r="P225" t="s">
        <v>26560</v>
      </c>
      <c r="R225" t="s">
        <v>26589</v>
      </c>
      <c r="S225" t="s">
        <v>18959</v>
      </c>
      <c r="U225" t="s">
        <v>26604</v>
      </c>
      <c r="V225" t="s">
        <v>26612</v>
      </c>
      <c r="W225" t="s">
        <v>438</v>
      </c>
      <c r="X225">
        <v>1100</v>
      </c>
      <c r="Y225" t="s">
        <v>26653</v>
      </c>
      <c r="Z225" t="s">
        <v>26671</v>
      </c>
      <c r="AB225" t="s">
        <v>26908</v>
      </c>
      <c r="AD225" t="s">
        <v>37003</v>
      </c>
      <c r="AE225">
        <v>40</v>
      </c>
      <c r="AF225" t="s">
        <v>45541</v>
      </c>
      <c r="AG225" t="s">
        <v>19330</v>
      </c>
      <c r="AH225">
        <v>25</v>
      </c>
      <c r="AI225">
        <v>6</v>
      </c>
      <c r="AJ225">
        <v>4</v>
      </c>
      <c r="AK225">
        <v>51.78</v>
      </c>
      <c r="AL225" t="s">
        <v>45567</v>
      </c>
      <c r="AM225" t="s">
        <v>45577</v>
      </c>
      <c r="AN225" t="s">
        <v>45582</v>
      </c>
      <c r="AO225">
        <v>26420</v>
      </c>
      <c r="AQ225" t="s">
        <v>46365</v>
      </c>
      <c r="AR225" t="s">
        <v>26530</v>
      </c>
      <c r="AS225" t="s">
        <v>46499</v>
      </c>
      <c r="AT225" t="s">
        <v>46564</v>
      </c>
      <c r="AU225">
        <v>9.25</v>
      </c>
      <c r="AV225" t="s">
        <v>599</v>
      </c>
      <c r="AW225" t="s">
        <v>161</v>
      </c>
    </row>
    <row r="226" spans="1:50">
      <c r="A226" s="1">
        <f>HYPERLINK("https://lsnyc.legalserver.org/matter/dynamic-profile/view/1870388","18-1870388")</f>
        <v>0</v>
      </c>
      <c r="B226" t="s">
        <v>110</v>
      </c>
      <c r="C226" t="s">
        <v>341</v>
      </c>
      <c r="D226" t="s">
        <v>439</v>
      </c>
      <c r="E226" t="s">
        <v>828</v>
      </c>
      <c r="F226" t="s">
        <v>1054</v>
      </c>
      <c r="G226" t="s">
        <v>5235</v>
      </c>
      <c r="H226" t="s">
        <v>9823</v>
      </c>
      <c r="I226" t="s">
        <v>17325</v>
      </c>
      <c r="J226" t="s">
        <v>18914</v>
      </c>
      <c r="K226">
        <v>11104</v>
      </c>
      <c r="L226" t="s">
        <v>18958</v>
      </c>
      <c r="M226" t="s">
        <v>18958</v>
      </c>
      <c r="N226" t="s">
        <v>19110</v>
      </c>
      <c r="O226" t="s">
        <v>26523</v>
      </c>
      <c r="P226" t="s">
        <v>26564</v>
      </c>
      <c r="Q226" t="s">
        <v>26570</v>
      </c>
      <c r="R226" t="s">
        <v>26584</v>
      </c>
      <c r="S226" t="s">
        <v>26598</v>
      </c>
      <c r="U226" t="s">
        <v>26604</v>
      </c>
      <c r="V226" t="s">
        <v>26610</v>
      </c>
      <c r="W226" t="s">
        <v>438</v>
      </c>
      <c r="X226">
        <v>1971.57</v>
      </c>
      <c r="Y226" t="s">
        <v>26653</v>
      </c>
      <c r="Z226" t="s">
        <v>26664</v>
      </c>
      <c r="AA226" t="s">
        <v>26683</v>
      </c>
      <c r="AB226" t="s">
        <v>26909</v>
      </c>
      <c r="AD226" t="s">
        <v>37004</v>
      </c>
      <c r="AE226">
        <v>100</v>
      </c>
      <c r="AF226" t="s">
        <v>45541</v>
      </c>
      <c r="AG226" t="s">
        <v>19330</v>
      </c>
      <c r="AH226">
        <v>3</v>
      </c>
      <c r="AI226">
        <v>1</v>
      </c>
      <c r="AJ226">
        <v>0</v>
      </c>
      <c r="AK226">
        <v>144.6</v>
      </c>
      <c r="AO226">
        <v>17555</v>
      </c>
      <c r="AU226">
        <v>0.5</v>
      </c>
      <c r="AV226" t="s">
        <v>500</v>
      </c>
      <c r="AW226" t="s">
        <v>122</v>
      </c>
      <c r="AX226" t="s">
        <v>46897</v>
      </c>
    </row>
    <row r="227" spans="1:50">
      <c r="A227" s="1">
        <f>HYPERLINK("https://lsnyc.legalserver.org/matter/dynamic-profile/view/1872518","18-1872518")</f>
        <v>0</v>
      </c>
      <c r="B227" t="s">
        <v>137</v>
      </c>
      <c r="C227" t="s">
        <v>341</v>
      </c>
      <c r="D227" t="s">
        <v>408</v>
      </c>
      <c r="E227" t="s">
        <v>692</v>
      </c>
      <c r="F227" t="s">
        <v>1055</v>
      </c>
      <c r="G227" t="s">
        <v>5236</v>
      </c>
      <c r="H227" t="s">
        <v>9824</v>
      </c>
      <c r="I227" t="s">
        <v>17343</v>
      </c>
      <c r="J227" t="s">
        <v>18892</v>
      </c>
      <c r="K227">
        <v>10467</v>
      </c>
      <c r="L227" t="s">
        <v>18958</v>
      </c>
      <c r="M227" t="s">
        <v>18958</v>
      </c>
      <c r="N227" t="s">
        <v>19111</v>
      </c>
      <c r="O227" t="s">
        <v>26526</v>
      </c>
      <c r="P227" t="s">
        <v>26560</v>
      </c>
      <c r="Q227" t="s">
        <v>26568</v>
      </c>
      <c r="R227" t="s">
        <v>26577</v>
      </c>
      <c r="S227" t="s">
        <v>18959</v>
      </c>
      <c r="U227" t="s">
        <v>26606</v>
      </c>
      <c r="W227" t="s">
        <v>438</v>
      </c>
      <c r="X227">
        <v>1275</v>
      </c>
      <c r="Y227" t="s">
        <v>26650</v>
      </c>
      <c r="Z227" t="s">
        <v>26659</v>
      </c>
      <c r="AA227" t="s">
        <v>26685</v>
      </c>
      <c r="AB227" t="s">
        <v>26910</v>
      </c>
      <c r="AE227">
        <v>75</v>
      </c>
      <c r="AF227" t="s">
        <v>45541</v>
      </c>
      <c r="AG227" t="s">
        <v>19330</v>
      </c>
      <c r="AH227">
        <v>7</v>
      </c>
      <c r="AI227">
        <v>2</v>
      </c>
      <c r="AJ227">
        <v>0</v>
      </c>
      <c r="AK227">
        <v>109.36</v>
      </c>
      <c r="AN227" t="s">
        <v>45584</v>
      </c>
      <c r="AO227">
        <v>18000</v>
      </c>
      <c r="AR227" t="s">
        <v>46399</v>
      </c>
      <c r="AS227" t="s">
        <v>46499</v>
      </c>
      <c r="AT227" t="s">
        <v>46565</v>
      </c>
      <c r="AU227">
        <v>1.5</v>
      </c>
      <c r="AV227" t="s">
        <v>408</v>
      </c>
      <c r="AW227" t="s">
        <v>46847</v>
      </c>
    </row>
    <row r="228" spans="1:50">
      <c r="A228" s="1">
        <f>HYPERLINK("https://lsnyc.legalserver.org/matter/dynamic-profile/view/1872462","18-1872462")</f>
        <v>0</v>
      </c>
      <c r="B228" t="s">
        <v>114</v>
      </c>
      <c r="C228" t="s">
        <v>341</v>
      </c>
      <c r="D228" t="s">
        <v>408</v>
      </c>
      <c r="E228" t="s">
        <v>494</v>
      </c>
      <c r="F228" t="s">
        <v>1056</v>
      </c>
      <c r="G228" t="s">
        <v>5237</v>
      </c>
      <c r="H228" t="s">
        <v>9825</v>
      </c>
      <c r="I228" t="s">
        <v>17291</v>
      </c>
      <c r="J228" t="s">
        <v>18898</v>
      </c>
      <c r="K228">
        <v>11691</v>
      </c>
      <c r="L228" t="s">
        <v>18958</v>
      </c>
      <c r="M228" t="s">
        <v>18958</v>
      </c>
      <c r="N228" t="s">
        <v>19112</v>
      </c>
      <c r="O228" t="s">
        <v>26524</v>
      </c>
      <c r="P228" t="s">
        <v>26564</v>
      </c>
      <c r="Q228" t="s">
        <v>26570</v>
      </c>
      <c r="R228" t="s">
        <v>26578</v>
      </c>
      <c r="S228" t="s">
        <v>18959</v>
      </c>
      <c r="U228" t="s">
        <v>26604</v>
      </c>
      <c r="V228" t="s">
        <v>26610</v>
      </c>
      <c r="W228" t="s">
        <v>438</v>
      </c>
      <c r="X228">
        <v>545</v>
      </c>
      <c r="Y228" t="s">
        <v>26653</v>
      </c>
      <c r="Z228" t="s">
        <v>26664</v>
      </c>
      <c r="AA228" t="s">
        <v>26683</v>
      </c>
      <c r="AB228" t="s">
        <v>26911</v>
      </c>
      <c r="AC228" t="s">
        <v>34551</v>
      </c>
      <c r="AD228" t="s">
        <v>37005</v>
      </c>
      <c r="AE228">
        <v>6</v>
      </c>
      <c r="AF228" t="s">
        <v>45541</v>
      </c>
      <c r="AG228" t="s">
        <v>19330</v>
      </c>
      <c r="AH228">
        <v>41</v>
      </c>
      <c r="AI228">
        <v>2</v>
      </c>
      <c r="AJ228">
        <v>0</v>
      </c>
      <c r="AK228">
        <v>140.27</v>
      </c>
      <c r="AN228" t="s">
        <v>7439</v>
      </c>
      <c r="AO228">
        <v>23088</v>
      </c>
      <c r="AR228" t="s">
        <v>26530</v>
      </c>
      <c r="AU228">
        <v>0.2</v>
      </c>
      <c r="AV228" t="s">
        <v>449</v>
      </c>
      <c r="AW228" t="s">
        <v>161</v>
      </c>
    </row>
    <row r="229" spans="1:50">
      <c r="A229" s="1">
        <f>HYPERLINK("https://lsnyc.legalserver.org/matter/dynamic-profile/view/1872446","18-1872446")</f>
        <v>0</v>
      </c>
      <c r="B229" t="s">
        <v>114</v>
      </c>
      <c r="C229" t="s">
        <v>341</v>
      </c>
      <c r="D229" t="s">
        <v>408</v>
      </c>
      <c r="E229" t="s">
        <v>494</v>
      </c>
      <c r="F229" t="s">
        <v>1057</v>
      </c>
      <c r="G229" t="s">
        <v>5238</v>
      </c>
      <c r="H229" t="s">
        <v>9826</v>
      </c>
      <c r="I229">
        <v>2</v>
      </c>
      <c r="J229" t="s">
        <v>18910</v>
      </c>
      <c r="K229">
        <v>11420</v>
      </c>
      <c r="L229" t="s">
        <v>18958</v>
      </c>
      <c r="M229" t="s">
        <v>18958</v>
      </c>
      <c r="N229" t="s">
        <v>19113</v>
      </c>
      <c r="O229" t="s">
        <v>26524</v>
      </c>
      <c r="P229" t="s">
        <v>26564</v>
      </c>
      <c r="Q229" t="s">
        <v>26570</v>
      </c>
      <c r="R229" t="s">
        <v>26584</v>
      </c>
      <c r="S229" t="s">
        <v>18959</v>
      </c>
      <c r="U229" t="s">
        <v>26604</v>
      </c>
      <c r="V229" t="s">
        <v>26610</v>
      </c>
      <c r="W229" t="s">
        <v>438</v>
      </c>
      <c r="X229">
        <v>1593.84</v>
      </c>
      <c r="Y229" t="s">
        <v>26653</v>
      </c>
      <c r="Z229" t="s">
        <v>26664</v>
      </c>
      <c r="AA229" t="s">
        <v>26683</v>
      </c>
      <c r="AB229" t="s">
        <v>26912</v>
      </c>
      <c r="AC229" t="s">
        <v>34552</v>
      </c>
      <c r="AD229" t="s">
        <v>37006</v>
      </c>
      <c r="AE229">
        <v>1</v>
      </c>
      <c r="AF229" t="s">
        <v>45547</v>
      </c>
      <c r="AG229" t="s">
        <v>45556</v>
      </c>
      <c r="AH229">
        <v>21</v>
      </c>
      <c r="AI229">
        <v>4</v>
      </c>
      <c r="AJ229">
        <v>2</v>
      </c>
      <c r="AK229">
        <v>99.05</v>
      </c>
      <c r="AN229" t="s">
        <v>7439</v>
      </c>
      <c r="AO229">
        <v>33420</v>
      </c>
      <c r="AU229">
        <v>1.6</v>
      </c>
      <c r="AV229" t="s">
        <v>510</v>
      </c>
      <c r="AW229" t="s">
        <v>161</v>
      </c>
    </row>
    <row r="230" spans="1:50">
      <c r="A230" s="1">
        <f>HYPERLINK("https://lsnyc.legalserver.org/matter/dynamic-profile/view/1872439","18-1872439")</f>
        <v>0</v>
      </c>
      <c r="B230" t="s">
        <v>114</v>
      </c>
      <c r="C230" t="s">
        <v>340</v>
      </c>
      <c r="D230" t="s">
        <v>408</v>
      </c>
      <c r="F230" t="s">
        <v>1058</v>
      </c>
      <c r="G230" t="s">
        <v>5239</v>
      </c>
      <c r="H230" t="s">
        <v>9827</v>
      </c>
      <c r="I230" t="s">
        <v>17307</v>
      </c>
      <c r="J230" t="s">
        <v>18897</v>
      </c>
      <c r="K230">
        <v>11415</v>
      </c>
      <c r="L230" t="s">
        <v>18958</v>
      </c>
      <c r="M230" t="s">
        <v>18958</v>
      </c>
      <c r="N230" t="s">
        <v>19114</v>
      </c>
      <c r="O230" t="s">
        <v>26523</v>
      </c>
      <c r="P230" t="s">
        <v>26564</v>
      </c>
      <c r="R230" t="s">
        <v>26584</v>
      </c>
      <c r="S230" t="s">
        <v>18959</v>
      </c>
      <c r="U230" t="s">
        <v>26604</v>
      </c>
      <c r="V230" t="s">
        <v>26611</v>
      </c>
      <c r="W230" t="s">
        <v>438</v>
      </c>
      <c r="X230">
        <v>1075</v>
      </c>
      <c r="Y230" t="s">
        <v>26653</v>
      </c>
      <c r="Z230" t="s">
        <v>26664</v>
      </c>
      <c r="AB230" t="s">
        <v>26913</v>
      </c>
      <c r="AC230" t="s">
        <v>19330</v>
      </c>
      <c r="AD230" t="s">
        <v>37007</v>
      </c>
      <c r="AE230">
        <v>108</v>
      </c>
      <c r="AF230" t="s">
        <v>45553</v>
      </c>
      <c r="AG230" t="s">
        <v>19330</v>
      </c>
      <c r="AH230">
        <v>19</v>
      </c>
      <c r="AI230">
        <v>1</v>
      </c>
      <c r="AJ230">
        <v>0</v>
      </c>
      <c r="AK230">
        <v>0</v>
      </c>
      <c r="AN230" t="s">
        <v>45581</v>
      </c>
      <c r="AO230">
        <v>0</v>
      </c>
      <c r="AU230">
        <v>1.1</v>
      </c>
      <c r="AV230" t="s">
        <v>511</v>
      </c>
      <c r="AW230" t="s">
        <v>161</v>
      </c>
    </row>
    <row r="231" spans="1:50">
      <c r="A231" s="1">
        <f>HYPERLINK("https://lsnyc.legalserver.org/matter/dynamic-profile/view/1872433","18-1872433")</f>
        <v>0</v>
      </c>
      <c r="B231" t="s">
        <v>114</v>
      </c>
      <c r="C231" t="s">
        <v>340</v>
      </c>
      <c r="D231" t="s">
        <v>408</v>
      </c>
      <c r="F231" t="s">
        <v>1036</v>
      </c>
      <c r="G231" t="s">
        <v>5240</v>
      </c>
      <c r="H231" t="s">
        <v>9828</v>
      </c>
      <c r="I231" t="s">
        <v>17274</v>
      </c>
      <c r="J231" t="s">
        <v>18915</v>
      </c>
      <c r="K231">
        <v>11372</v>
      </c>
      <c r="L231" t="s">
        <v>18958</v>
      </c>
      <c r="M231" t="s">
        <v>18958</v>
      </c>
      <c r="N231" t="s">
        <v>19115</v>
      </c>
      <c r="O231" t="s">
        <v>26524</v>
      </c>
      <c r="P231" t="s">
        <v>26564</v>
      </c>
      <c r="R231" t="s">
        <v>26584</v>
      </c>
      <c r="S231" t="s">
        <v>18959</v>
      </c>
      <c r="U231" t="s">
        <v>26604</v>
      </c>
      <c r="W231" t="s">
        <v>438</v>
      </c>
      <c r="X231">
        <v>1496</v>
      </c>
      <c r="Y231" t="s">
        <v>26653</v>
      </c>
      <c r="Z231" t="s">
        <v>26664</v>
      </c>
      <c r="AB231" t="s">
        <v>26914</v>
      </c>
      <c r="AC231">
        <v>155308254</v>
      </c>
      <c r="AD231" t="s">
        <v>37008</v>
      </c>
      <c r="AE231">
        <v>60</v>
      </c>
      <c r="AF231" t="s">
        <v>45541</v>
      </c>
      <c r="AG231" t="s">
        <v>19330</v>
      </c>
      <c r="AH231">
        <v>5</v>
      </c>
      <c r="AI231">
        <v>2</v>
      </c>
      <c r="AJ231">
        <v>0</v>
      </c>
      <c r="AK231">
        <v>51.32</v>
      </c>
      <c r="AO231">
        <v>8448</v>
      </c>
      <c r="AU231">
        <v>0.5</v>
      </c>
      <c r="AV231" t="s">
        <v>438</v>
      </c>
      <c r="AW231" t="s">
        <v>161</v>
      </c>
    </row>
    <row r="232" spans="1:50">
      <c r="A232" s="1">
        <f>HYPERLINK("https://lsnyc.legalserver.org/matter/dynamic-profile/view/1872472","18-1872472")</f>
        <v>0</v>
      </c>
      <c r="B232" t="s">
        <v>114</v>
      </c>
      <c r="C232" t="s">
        <v>340</v>
      </c>
      <c r="D232" t="s">
        <v>408</v>
      </c>
      <c r="F232" t="s">
        <v>1059</v>
      </c>
      <c r="G232" t="s">
        <v>5241</v>
      </c>
      <c r="H232" t="s">
        <v>9829</v>
      </c>
      <c r="I232" t="s">
        <v>17301</v>
      </c>
      <c r="J232" t="s">
        <v>18916</v>
      </c>
      <c r="K232">
        <v>11693</v>
      </c>
      <c r="L232" t="s">
        <v>18958</v>
      </c>
      <c r="M232" t="s">
        <v>18958</v>
      </c>
      <c r="N232" t="s">
        <v>19116</v>
      </c>
      <c r="O232" t="s">
        <v>26538</v>
      </c>
      <c r="P232" t="s">
        <v>26561</v>
      </c>
      <c r="R232" t="s">
        <v>26584</v>
      </c>
      <c r="S232" t="s">
        <v>18959</v>
      </c>
      <c r="U232" t="s">
        <v>26605</v>
      </c>
      <c r="V232" t="s">
        <v>26610</v>
      </c>
      <c r="W232" t="s">
        <v>438</v>
      </c>
      <c r="X232">
        <v>341</v>
      </c>
      <c r="Y232" t="s">
        <v>26653</v>
      </c>
      <c r="Z232" t="s">
        <v>26664</v>
      </c>
      <c r="AB232" t="s">
        <v>26915</v>
      </c>
      <c r="AD232" t="s">
        <v>37009</v>
      </c>
      <c r="AE232">
        <v>52</v>
      </c>
      <c r="AF232" t="s">
        <v>45549</v>
      </c>
      <c r="AG232" t="s">
        <v>19330</v>
      </c>
      <c r="AH232">
        <v>30</v>
      </c>
      <c r="AI232">
        <v>2</v>
      </c>
      <c r="AJ232">
        <v>1</v>
      </c>
      <c r="AK232">
        <v>193.17</v>
      </c>
      <c r="AN232" t="s">
        <v>7439</v>
      </c>
      <c r="AO232">
        <v>40140</v>
      </c>
      <c r="AU232">
        <v>17.75</v>
      </c>
      <c r="AV232" t="s">
        <v>757</v>
      </c>
      <c r="AW232" t="s">
        <v>161</v>
      </c>
    </row>
    <row r="233" spans="1:50">
      <c r="A233" s="1">
        <f>HYPERLINK("https://lsnyc.legalserver.org/matter/dynamic-profile/view/1873084","18-1873084")</f>
        <v>0</v>
      </c>
      <c r="B233" t="s">
        <v>91</v>
      </c>
      <c r="C233" t="s">
        <v>341</v>
      </c>
      <c r="D233" t="s">
        <v>440</v>
      </c>
      <c r="E233" t="s">
        <v>529</v>
      </c>
      <c r="F233" t="s">
        <v>880</v>
      </c>
      <c r="G233" t="s">
        <v>5242</v>
      </c>
      <c r="H233" t="s">
        <v>9830</v>
      </c>
      <c r="I233" t="s">
        <v>17334</v>
      </c>
      <c r="J233" t="s">
        <v>18906</v>
      </c>
      <c r="K233">
        <v>11373</v>
      </c>
      <c r="L233" t="s">
        <v>18958</v>
      </c>
      <c r="M233" t="s">
        <v>18958</v>
      </c>
      <c r="N233" t="s">
        <v>19117</v>
      </c>
      <c r="O233" t="s">
        <v>26523</v>
      </c>
      <c r="P233" t="s">
        <v>26564</v>
      </c>
      <c r="Q233" t="s">
        <v>26570</v>
      </c>
      <c r="R233" t="s">
        <v>26585</v>
      </c>
      <c r="S233" t="s">
        <v>18959</v>
      </c>
      <c r="U233" t="s">
        <v>26604</v>
      </c>
      <c r="V233" t="s">
        <v>26611</v>
      </c>
      <c r="W233" t="s">
        <v>438</v>
      </c>
      <c r="X233">
        <v>2500</v>
      </c>
      <c r="Y233" t="s">
        <v>26653</v>
      </c>
      <c r="Z233" t="s">
        <v>26664</v>
      </c>
      <c r="AA233" t="s">
        <v>26683</v>
      </c>
      <c r="AB233" t="s">
        <v>26916</v>
      </c>
      <c r="AC233" t="s">
        <v>34553</v>
      </c>
      <c r="AD233" t="s">
        <v>37010</v>
      </c>
      <c r="AE233">
        <v>127</v>
      </c>
      <c r="AF233" t="s">
        <v>45541</v>
      </c>
      <c r="AG233" t="s">
        <v>19330</v>
      </c>
      <c r="AH233">
        <v>2</v>
      </c>
      <c r="AI233">
        <v>2</v>
      </c>
      <c r="AJ233">
        <v>2</v>
      </c>
      <c r="AK233">
        <v>95.62</v>
      </c>
      <c r="AN233" t="s">
        <v>7439</v>
      </c>
      <c r="AO233">
        <v>24000</v>
      </c>
      <c r="AS233" t="s">
        <v>46500</v>
      </c>
      <c r="AT233" t="s">
        <v>46520</v>
      </c>
      <c r="AU233">
        <v>3.7</v>
      </c>
      <c r="AV233" t="s">
        <v>529</v>
      </c>
      <c r="AW233" t="s">
        <v>161</v>
      </c>
    </row>
    <row r="234" spans="1:50">
      <c r="A234" s="1">
        <f>HYPERLINK("https://lsnyc.legalserver.org/matter/dynamic-profile/view/1872121","18-1872121")</f>
        <v>0</v>
      </c>
      <c r="B234" t="s">
        <v>99</v>
      </c>
      <c r="C234" t="s">
        <v>341</v>
      </c>
      <c r="D234" t="s">
        <v>441</v>
      </c>
      <c r="E234" t="s">
        <v>493</v>
      </c>
      <c r="F234" t="s">
        <v>1060</v>
      </c>
      <c r="G234" t="s">
        <v>5243</v>
      </c>
      <c r="H234" t="s">
        <v>9831</v>
      </c>
      <c r="I234">
        <v>1</v>
      </c>
      <c r="J234" t="s">
        <v>18902</v>
      </c>
      <c r="K234">
        <v>10302</v>
      </c>
      <c r="L234" t="s">
        <v>18958</v>
      </c>
      <c r="M234" t="s">
        <v>18958</v>
      </c>
      <c r="N234" t="s">
        <v>18997</v>
      </c>
      <c r="O234" t="s">
        <v>26524</v>
      </c>
      <c r="P234" t="s">
        <v>26564</v>
      </c>
      <c r="Q234" t="s">
        <v>26570</v>
      </c>
      <c r="R234" t="s">
        <v>26589</v>
      </c>
      <c r="S234" t="s">
        <v>18959</v>
      </c>
      <c r="U234" t="s">
        <v>26604</v>
      </c>
      <c r="V234" t="s">
        <v>26610</v>
      </c>
      <c r="W234" t="s">
        <v>438</v>
      </c>
      <c r="X234">
        <v>1680</v>
      </c>
      <c r="Y234" t="s">
        <v>26654</v>
      </c>
      <c r="Z234" t="s">
        <v>26671</v>
      </c>
      <c r="AA234" t="s">
        <v>26683</v>
      </c>
      <c r="AB234" t="s">
        <v>26917</v>
      </c>
      <c r="AD234" t="s">
        <v>37011</v>
      </c>
      <c r="AE234">
        <v>2</v>
      </c>
      <c r="AF234" t="s">
        <v>45547</v>
      </c>
      <c r="AG234" t="s">
        <v>45556</v>
      </c>
      <c r="AH234">
        <v>1</v>
      </c>
      <c r="AI234">
        <v>1</v>
      </c>
      <c r="AJ234">
        <v>2</v>
      </c>
      <c r="AK234">
        <v>158.81</v>
      </c>
      <c r="AL234" t="s">
        <v>45567</v>
      </c>
      <c r="AM234" t="s">
        <v>45577</v>
      </c>
      <c r="AN234" t="s">
        <v>7439</v>
      </c>
      <c r="AO234">
        <v>33000</v>
      </c>
      <c r="AU234">
        <v>0.9</v>
      </c>
      <c r="AV234" t="s">
        <v>522</v>
      </c>
      <c r="AW234" t="s">
        <v>190</v>
      </c>
    </row>
    <row r="235" spans="1:50">
      <c r="A235" s="1">
        <f>HYPERLINK("https://lsnyc.legalserver.org/matter/dynamic-profile/view/1863697","18-1863697")</f>
        <v>0</v>
      </c>
      <c r="B235" t="s">
        <v>99</v>
      </c>
      <c r="C235" t="s">
        <v>341</v>
      </c>
      <c r="D235" t="s">
        <v>442</v>
      </c>
      <c r="E235" t="s">
        <v>435</v>
      </c>
      <c r="F235" t="s">
        <v>1061</v>
      </c>
      <c r="G235" t="s">
        <v>5244</v>
      </c>
      <c r="H235" t="s">
        <v>9832</v>
      </c>
      <c r="J235" t="s">
        <v>18902</v>
      </c>
      <c r="K235">
        <v>10305</v>
      </c>
      <c r="L235" t="s">
        <v>18958</v>
      </c>
      <c r="M235" t="s">
        <v>18958</v>
      </c>
      <c r="N235" t="s">
        <v>19118</v>
      </c>
      <c r="O235" t="s">
        <v>26524</v>
      </c>
      <c r="P235" t="s">
        <v>26560</v>
      </c>
      <c r="Q235" t="s">
        <v>26568</v>
      </c>
      <c r="R235" t="s">
        <v>26578</v>
      </c>
      <c r="S235" t="s">
        <v>18959</v>
      </c>
      <c r="U235" t="s">
        <v>26604</v>
      </c>
      <c r="V235" t="s">
        <v>26610</v>
      </c>
      <c r="W235" t="s">
        <v>435</v>
      </c>
      <c r="X235">
        <v>1800</v>
      </c>
      <c r="Y235" t="s">
        <v>26654</v>
      </c>
      <c r="Z235" t="s">
        <v>26667</v>
      </c>
      <c r="AA235" t="s">
        <v>26679</v>
      </c>
      <c r="AB235" t="s">
        <v>26918</v>
      </c>
      <c r="AC235" t="s">
        <v>34554</v>
      </c>
      <c r="AE235">
        <v>2</v>
      </c>
      <c r="AF235" t="s">
        <v>45547</v>
      </c>
      <c r="AG235" t="s">
        <v>19330</v>
      </c>
      <c r="AH235">
        <v>6</v>
      </c>
      <c r="AI235">
        <v>2</v>
      </c>
      <c r="AJ235">
        <v>2</v>
      </c>
      <c r="AK235">
        <v>14.34</v>
      </c>
      <c r="AN235" t="s">
        <v>7439</v>
      </c>
      <c r="AO235">
        <v>3600</v>
      </c>
      <c r="AQ235" t="s">
        <v>46359</v>
      </c>
      <c r="AR235" t="s">
        <v>26530</v>
      </c>
      <c r="AS235" t="s">
        <v>46500</v>
      </c>
      <c r="AT235" t="s">
        <v>46566</v>
      </c>
      <c r="AU235">
        <v>11.8</v>
      </c>
      <c r="AV235" t="s">
        <v>435</v>
      </c>
      <c r="AW235" t="s">
        <v>46852</v>
      </c>
    </row>
    <row r="236" spans="1:50">
      <c r="A236" s="1">
        <f>HYPERLINK("https://lsnyc.legalserver.org/matter/dynamic-profile/view/1870088","18-1870088")</f>
        <v>0</v>
      </c>
      <c r="B236" t="s">
        <v>138</v>
      </c>
      <c r="C236" t="s">
        <v>340</v>
      </c>
      <c r="D236" t="s">
        <v>400</v>
      </c>
      <c r="F236" t="s">
        <v>1062</v>
      </c>
      <c r="G236" t="s">
        <v>5245</v>
      </c>
      <c r="H236" t="s">
        <v>9833</v>
      </c>
      <c r="I236" t="s">
        <v>17355</v>
      </c>
      <c r="J236" t="s">
        <v>18893</v>
      </c>
      <c r="K236">
        <v>10035</v>
      </c>
      <c r="L236" t="s">
        <v>18958</v>
      </c>
      <c r="M236" t="s">
        <v>18958</v>
      </c>
      <c r="N236" t="s">
        <v>19119</v>
      </c>
      <c r="O236" t="s">
        <v>26524</v>
      </c>
      <c r="P236" t="s">
        <v>26560</v>
      </c>
      <c r="R236" t="s">
        <v>26578</v>
      </c>
      <c r="S236" t="s">
        <v>18959</v>
      </c>
      <c r="U236" t="s">
        <v>26604</v>
      </c>
      <c r="V236" t="s">
        <v>26610</v>
      </c>
      <c r="W236" t="s">
        <v>435</v>
      </c>
      <c r="X236">
        <v>650</v>
      </c>
      <c r="Y236" t="s">
        <v>26651</v>
      </c>
      <c r="Z236" t="s">
        <v>26656</v>
      </c>
      <c r="AB236" t="s">
        <v>26919</v>
      </c>
      <c r="AD236" t="s">
        <v>37012</v>
      </c>
      <c r="AE236">
        <v>30</v>
      </c>
      <c r="AF236" t="s">
        <v>20460</v>
      </c>
      <c r="AG236" t="s">
        <v>19330</v>
      </c>
      <c r="AH236">
        <v>22</v>
      </c>
      <c r="AI236">
        <v>3</v>
      </c>
      <c r="AJ236">
        <v>1</v>
      </c>
      <c r="AK236">
        <v>117.77</v>
      </c>
      <c r="AN236" t="s">
        <v>7439</v>
      </c>
      <c r="AO236">
        <v>29560</v>
      </c>
      <c r="AU236">
        <v>42.3</v>
      </c>
      <c r="AV236" t="s">
        <v>834</v>
      </c>
      <c r="AW236" t="s">
        <v>46859</v>
      </c>
      <c r="AX236" t="s">
        <v>46897</v>
      </c>
    </row>
    <row r="237" spans="1:50">
      <c r="A237" s="1">
        <f>HYPERLINK("https://lsnyc.legalserver.org/matter/dynamic-profile/view/1870264","18-1870264")</f>
        <v>0</v>
      </c>
      <c r="B237" t="s">
        <v>119</v>
      </c>
      <c r="C237" t="s">
        <v>340</v>
      </c>
      <c r="D237" t="s">
        <v>443</v>
      </c>
      <c r="F237" t="s">
        <v>1063</v>
      </c>
      <c r="G237" t="s">
        <v>5177</v>
      </c>
      <c r="H237" t="s">
        <v>9834</v>
      </c>
      <c r="I237">
        <v>3</v>
      </c>
      <c r="J237" t="s">
        <v>18893</v>
      </c>
      <c r="K237">
        <v>10035</v>
      </c>
      <c r="L237" t="s">
        <v>18958</v>
      </c>
      <c r="M237" t="s">
        <v>18958</v>
      </c>
      <c r="N237" t="s">
        <v>19120</v>
      </c>
      <c r="O237" t="s">
        <v>26524</v>
      </c>
      <c r="P237" t="s">
        <v>26560</v>
      </c>
      <c r="R237" t="s">
        <v>26578</v>
      </c>
      <c r="S237" t="s">
        <v>18959</v>
      </c>
      <c r="U237" t="s">
        <v>26604</v>
      </c>
      <c r="V237" t="s">
        <v>26610</v>
      </c>
      <c r="W237" t="s">
        <v>435</v>
      </c>
      <c r="X237">
        <v>900</v>
      </c>
      <c r="Y237" t="s">
        <v>26651</v>
      </c>
      <c r="Z237" t="s">
        <v>26659</v>
      </c>
      <c r="AB237" t="s">
        <v>26920</v>
      </c>
      <c r="AD237" t="s">
        <v>37013</v>
      </c>
      <c r="AE237">
        <v>6</v>
      </c>
      <c r="AF237" t="s">
        <v>45541</v>
      </c>
      <c r="AG237" t="s">
        <v>45556</v>
      </c>
      <c r="AH237">
        <v>18</v>
      </c>
      <c r="AI237">
        <v>1</v>
      </c>
      <c r="AJ237">
        <v>0</v>
      </c>
      <c r="AK237">
        <v>82.73</v>
      </c>
      <c r="AN237" t="s">
        <v>7439</v>
      </c>
      <c r="AO237">
        <v>10044</v>
      </c>
      <c r="AU237">
        <v>54.3</v>
      </c>
      <c r="AV237" t="s">
        <v>838</v>
      </c>
      <c r="AW237" t="s">
        <v>46841</v>
      </c>
    </row>
    <row r="238" spans="1:50">
      <c r="A238" s="1">
        <f>HYPERLINK("https://lsnyc.legalserver.org/matter/dynamic-profile/view/1871392","18-1871392")</f>
        <v>0</v>
      </c>
      <c r="B238" t="s">
        <v>139</v>
      </c>
      <c r="C238" t="s">
        <v>341</v>
      </c>
      <c r="D238" t="s">
        <v>419</v>
      </c>
      <c r="E238" t="s">
        <v>529</v>
      </c>
      <c r="F238" t="s">
        <v>1032</v>
      </c>
      <c r="G238" t="s">
        <v>5246</v>
      </c>
      <c r="H238" t="s">
        <v>9835</v>
      </c>
      <c r="I238">
        <v>2710</v>
      </c>
      <c r="J238" t="s">
        <v>18893</v>
      </c>
      <c r="K238">
        <v>10029</v>
      </c>
      <c r="L238" t="s">
        <v>18958</v>
      </c>
      <c r="M238" t="s">
        <v>18958</v>
      </c>
      <c r="O238" t="s">
        <v>18997</v>
      </c>
      <c r="P238" t="s">
        <v>26564</v>
      </c>
      <c r="Q238" t="s">
        <v>26570</v>
      </c>
      <c r="R238" t="s">
        <v>26578</v>
      </c>
      <c r="S238" t="s">
        <v>18959</v>
      </c>
      <c r="U238" t="s">
        <v>26604</v>
      </c>
      <c r="V238" t="s">
        <v>26610</v>
      </c>
      <c r="W238" t="s">
        <v>435</v>
      </c>
      <c r="X238">
        <v>800</v>
      </c>
      <c r="Y238" t="s">
        <v>26651</v>
      </c>
      <c r="Z238" t="s">
        <v>26661</v>
      </c>
      <c r="AA238" t="s">
        <v>26683</v>
      </c>
      <c r="AB238" t="s">
        <v>26921</v>
      </c>
      <c r="AD238" t="s">
        <v>37014</v>
      </c>
      <c r="AE238">
        <v>396</v>
      </c>
      <c r="AF238" t="s">
        <v>45550</v>
      </c>
      <c r="AG238" t="s">
        <v>45556</v>
      </c>
      <c r="AH238">
        <v>30</v>
      </c>
      <c r="AI238">
        <v>1</v>
      </c>
      <c r="AJ238">
        <v>0</v>
      </c>
      <c r="AK238">
        <v>71.86</v>
      </c>
      <c r="AN238" t="s">
        <v>7439</v>
      </c>
      <c r="AO238">
        <v>8724</v>
      </c>
      <c r="AU238">
        <v>3.8</v>
      </c>
      <c r="AV238" t="s">
        <v>451</v>
      </c>
      <c r="AW238" t="s">
        <v>46859</v>
      </c>
    </row>
    <row r="239" spans="1:50">
      <c r="A239" s="1">
        <f>HYPERLINK("https://lsnyc.legalserver.org/matter/dynamic-profile/view/1872125","18-1872125")</f>
        <v>0</v>
      </c>
      <c r="B239" t="s">
        <v>130</v>
      </c>
      <c r="C239" t="s">
        <v>341</v>
      </c>
      <c r="D239" t="s">
        <v>435</v>
      </c>
      <c r="E239" t="s">
        <v>579</v>
      </c>
      <c r="F239" t="s">
        <v>1064</v>
      </c>
      <c r="G239" t="s">
        <v>5247</v>
      </c>
      <c r="H239" t="s">
        <v>9836</v>
      </c>
      <c r="I239">
        <v>1</v>
      </c>
      <c r="J239" t="s">
        <v>18901</v>
      </c>
      <c r="K239">
        <v>11434</v>
      </c>
      <c r="L239" t="s">
        <v>18958</v>
      </c>
      <c r="M239" t="s">
        <v>18958</v>
      </c>
      <c r="N239" t="s">
        <v>19121</v>
      </c>
      <c r="O239" t="s">
        <v>26533</v>
      </c>
      <c r="P239" t="s">
        <v>26560</v>
      </c>
      <c r="Q239" t="s">
        <v>26568</v>
      </c>
      <c r="R239" t="s">
        <v>26585</v>
      </c>
      <c r="S239" t="s">
        <v>18959</v>
      </c>
      <c r="U239" t="s">
        <v>26604</v>
      </c>
      <c r="V239" t="s">
        <v>26613</v>
      </c>
      <c r="W239" t="s">
        <v>435</v>
      </c>
      <c r="X239">
        <v>250</v>
      </c>
      <c r="Y239" t="s">
        <v>26653</v>
      </c>
      <c r="Z239" t="s">
        <v>26664</v>
      </c>
      <c r="AA239" t="s">
        <v>26681</v>
      </c>
      <c r="AB239" t="s">
        <v>26922</v>
      </c>
      <c r="AC239" t="s">
        <v>34555</v>
      </c>
      <c r="AD239" t="s">
        <v>37015</v>
      </c>
      <c r="AE239">
        <v>2</v>
      </c>
      <c r="AF239" t="s">
        <v>45547</v>
      </c>
      <c r="AG239" t="s">
        <v>19330</v>
      </c>
      <c r="AH239">
        <v>1</v>
      </c>
      <c r="AI239">
        <v>2</v>
      </c>
      <c r="AJ239">
        <v>0</v>
      </c>
      <c r="AK239">
        <v>0</v>
      </c>
      <c r="AN239" t="s">
        <v>7439</v>
      </c>
      <c r="AO239">
        <v>0</v>
      </c>
      <c r="AQ239" t="s">
        <v>46359</v>
      </c>
      <c r="AR239" t="s">
        <v>26530</v>
      </c>
      <c r="AS239" t="s">
        <v>46500</v>
      </c>
      <c r="AT239" t="s">
        <v>46567</v>
      </c>
      <c r="AU239">
        <v>18</v>
      </c>
      <c r="AV239" t="s">
        <v>579</v>
      </c>
      <c r="AW239" t="s">
        <v>130</v>
      </c>
    </row>
    <row r="240" spans="1:50">
      <c r="A240" s="1">
        <f>HYPERLINK("https://lsnyc.legalserver.org/matter/dynamic-profile/view/1872086","18-1872086")</f>
        <v>0</v>
      </c>
      <c r="B240" t="s">
        <v>109</v>
      </c>
      <c r="C240" t="s">
        <v>341</v>
      </c>
      <c r="D240" t="s">
        <v>435</v>
      </c>
      <c r="E240" t="s">
        <v>848</v>
      </c>
      <c r="F240" t="s">
        <v>1065</v>
      </c>
      <c r="G240" t="s">
        <v>5248</v>
      </c>
      <c r="H240" t="s">
        <v>9837</v>
      </c>
      <c r="J240" t="s">
        <v>18902</v>
      </c>
      <c r="K240">
        <v>10314</v>
      </c>
      <c r="L240" t="s">
        <v>18958</v>
      </c>
      <c r="M240" t="s">
        <v>18958</v>
      </c>
      <c r="N240" t="s">
        <v>19122</v>
      </c>
      <c r="O240" t="s">
        <v>26524</v>
      </c>
      <c r="P240" t="s">
        <v>26560</v>
      </c>
      <c r="Q240" t="s">
        <v>26568</v>
      </c>
      <c r="R240" t="s">
        <v>26590</v>
      </c>
      <c r="S240" t="s">
        <v>18959</v>
      </c>
      <c r="U240" t="s">
        <v>26604</v>
      </c>
      <c r="V240" t="s">
        <v>26610</v>
      </c>
      <c r="W240" t="s">
        <v>435</v>
      </c>
      <c r="X240">
        <v>1300</v>
      </c>
      <c r="Y240" t="s">
        <v>26654</v>
      </c>
      <c r="Z240" t="s">
        <v>26656</v>
      </c>
      <c r="AA240" t="s">
        <v>26678</v>
      </c>
      <c r="AB240" t="s">
        <v>26923</v>
      </c>
      <c r="AD240" t="s">
        <v>37016</v>
      </c>
      <c r="AE240">
        <v>2</v>
      </c>
      <c r="AF240" t="s">
        <v>45547</v>
      </c>
      <c r="AG240" t="s">
        <v>19330</v>
      </c>
      <c r="AH240">
        <v>-1</v>
      </c>
      <c r="AI240">
        <v>2</v>
      </c>
      <c r="AJ240">
        <v>2</v>
      </c>
      <c r="AK240">
        <v>0</v>
      </c>
      <c r="AN240" t="s">
        <v>7439</v>
      </c>
      <c r="AO240">
        <v>0</v>
      </c>
      <c r="AR240" t="s">
        <v>46379</v>
      </c>
      <c r="AS240" t="s">
        <v>46499</v>
      </c>
      <c r="AT240" t="s">
        <v>46568</v>
      </c>
      <c r="AU240">
        <v>3.25</v>
      </c>
      <c r="AV240" t="s">
        <v>848</v>
      </c>
      <c r="AW240" t="s">
        <v>190</v>
      </c>
    </row>
    <row r="241" spans="1:50">
      <c r="A241" s="1">
        <f>HYPERLINK("https://lsnyc.legalserver.org/matter/dynamic-profile/view/1872059","18-1872059")</f>
        <v>0</v>
      </c>
      <c r="B241" t="s">
        <v>90</v>
      </c>
      <c r="C241" t="s">
        <v>341</v>
      </c>
      <c r="D241" t="s">
        <v>435</v>
      </c>
      <c r="E241" t="s">
        <v>821</v>
      </c>
      <c r="F241" t="s">
        <v>1066</v>
      </c>
      <c r="G241" t="s">
        <v>5249</v>
      </c>
      <c r="H241" t="s">
        <v>9838</v>
      </c>
      <c r="I241" t="s">
        <v>17366</v>
      </c>
      <c r="J241" t="s">
        <v>18893</v>
      </c>
      <c r="K241">
        <v>10035</v>
      </c>
      <c r="L241" t="s">
        <v>18958</v>
      </c>
      <c r="M241" t="s">
        <v>18958</v>
      </c>
      <c r="N241" t="s">
        <v>19123</v>
      </c>
      <c r="O241" t="s">
        <v>26523</v>
      </c>
      <c r="P241" t="s">
        <v>26560</v>
      </c>
      <c r="Q241" t="s">
        <v>26568</v>
      </c>
      <c r="R241" t="s">
        <v>26578</v>
      </c>
      <c r="S241" t="s">
        <v>18959</v>
      </c>
      <c r="U241" t="s">
        <v>26604</v>
      </c>
      <c r="V241" t="s">
        <v>26610</v>
      </c>
      <c r="W241" t="s">
        <v>435</v>
      </c>
      <c r="X241">
        <v>858.95</v>
      </c>
      <c r="Y241" t="s">
        <v>26651</v>
      </c>
      <c r="Z241" t="s">
        <v>26659</v>
      </c>
      <c r="AA241" t="s">
        <v>26678</v>
      </c>
      <c r="AB241" t="s">
        <v>26924</v>
      </c>
      <c r="AD241" t="s">
        <v>37017</v>
      </c>
      <c r="AE241">
        <v>35</v>
      </c>
      <c r="AF241" t="s">
        <v>45541</v>
      </c>
      <c r="AG241" t="s">
        <v>19330</v>
      </c>
      <c r="AH241">
        <v>24</v>
      </c>
      <c r="AI241">
        <v>1</v>
      </c>
      <c r="AJ241">
        <v>0</v>
      </c>
      <c r="AK241">
        <v>82.37</v>
      </c>
      <c r="AN241" t="s">
        <v>45581</v>
      </c>
      <c r="AO241">
        <v>10000</v>
      </c>
      <c r="AQ241" t="s">
        <v>46362</v>
      </c>
      <c r="AR241" t="s">
        <v>46379</v>
      </c>
      <c r="AS241" t="s">
        <v>46499</v>
      </c>
      <c r="AT241" t="s">
        <v>46569</v>
      </c>
      <c r="AU241">
        <v>16.5</v>
      </c>
      <c r="AV241" t="s">
        <v>826</v>
      </c>
      <c r="AW241" t="s">
        <v>46835</v>
      </c>
      <c r="AX241" t="s">
        <v>46897</v>
      </c>
    </row>
    <row r="242" spans="1:50">
      <c r="A242" s="1">
        <f>HYPERLINK("https://lsnyc.legalserver.org/matter/dynamic-profile/view/1872156","18-1872156")</f>
        <v>0</v>
      </c>
      <c r="B242" t="s">
        <v>140</v>
      </c>
      <c r="C242" t="s">
        <v>341</v>
      </c>
      <c r="D242" t="s">
        <v>435</v>
      </c>
      <c r="E242" t="s">
        <v>671</v>
      </c>
      <c r="F242" t="s">
        <v>1067</v>
      </c>
      <c r="G242" t="s">
        <v>5250</v>
      </c>
      <c r="H242" t="s">
        <v>9839</v>
      </c>
      <c r="I242" t="s">
        <v>17391</v>
      </c>
      <c r="J242" t="s">
        <v>18894</v>
      </c>
      <c r="K242">
        <v>11224</v>
      </c>
      <c r="L242" t="s">
        <v>18958</v>
      </c>
      <c r="M242" t="s">
        <v>18960</v>
      </c>
      <c r="O242" t="s">
        <v>18997</v>
      </c>
      <c r="P242" t="s">
        <v>26564</v>
      </c>
      <c r="Q242" t="s">
        <v>26570</v>
      </c>
      <c r="R242" t="s">
        <v>26583</v>
      </c>
      <c r="S242" t="s">
        <v>18959</v>
      </c>
      <c r="U242" t="s">
        <v>26604</v>
      </c>
      <c r="W242" t="s">
        <v>435</v>
      </c>
      <c r="X242">
        <v>1902</v>
      </c>
      <c r="Y242" t="s">
        <v>26652</v>
      </c>
      <c r="Z242" t="s">
        <v>26663</v>
      </c>
      <c r="AA242" t="s">
        <v>26683</v>
      </c>
      <c r="AB242" t="s">
        <v>26925</v>
      </c>
      <c r="AD242" t="s">
        <v>37018</v>
      </c>
      <c r="AE242">
        <v>0</v>
      </c>
      <c r="AF242" t="s">
        <v>45550</v>
      </c>
      <c r="AH242">
        <v>3</v>
      </c>
      <c r="AI242">
        <v>1</v>
      </c>
      <c r="AJ242">
        <v>2</v>
      </c>
      <c r="AK242">
        <v>109.32</v>
      </c>
      <c r="AN242" t="s">
        <v>7439</v>
      </c>
      <c r="AO242">
        <v>22716</v>
      </c>
      <c r="AU242">
        <v>1.9</v>
      </c>
      <c r="AV242" t="s">
        <v>685</v>
      </c>
      <c r="AW242" t="s">
        <v>140</v>
      </c>
    </row>
    <row r="243" spans="1:50">
      <c r="A243" s="1">
        <f>HYPERLINK("https://lsnyc.legalserver.org/matter/dynamic-profile/view/1872074","18-1872074")</f>
        <v>0</v>
      </c>
      <c r="B243" t="s">
        <v>141</v>
      </c>
      <c r="C243" t="s">
        <v>341</v>
      </c>
      <c r="D243" t="s">
        <v>435</v>
      </c>
      <c r="E243" t="s">
        <v>594</v>
      </c>
      <c r="F243" t="s">
        <v>1068</v>
      </c>
      <c r="G243" t="s">
        <v>5251</v>
      </c>
      <c r="H243" t="s">
        <v>9840</v>
      </c>
      <c r="I243" t="s">
        <v>17392</v>
      </c>
      <c r="J243" t="s">
        <v>18915</v>
      </c>
      <c r="K243">
        <v>11372</v>
      </c>
      <c r="L243" t="s">
        <v>18958</v>
      </c>
      <c r="M243" t="s">
        <v>18958</v>
      </c>
      <c r="N243" t="s">
        <v>19045</v>
      </c>
      <c r="O243" t="s">
        <v>26529</v>
      </c>
      <c r="P243" t="s">
        <v>26564</v>
      </c>
      <c r="Q243" t="s">
        <v>26570</v>
      </c>
      <c r="R243" t="s">
        <v>26583</v>
      </c>
      <c r="S243" t="s">
        <v>18958</v>
      </c>
      <c r="U243" t="s">
        <v>26607</v>
      </c>
      <c r="V243" t="s">
        <v>26610</v>
      </c>
      <c r="W243" t="s">
        <v>435</v>
      </c>
      <c r="X243">
        <v>1272.58</v>
      </c>
      <c r="Y243" t="s">
        <v>26653</v>
      </c>
      <c r="Z243" t="s">
        <v>26666</v>
      </c>
      <c r="AA243" t="s">
        <v>26683</v>
      </c>
      <c r="AB243" t="s">
        <v>26926</v>
      </c>
      <c r="AD243" t="s">
        <v>37019</v>
      </c>
      <c r="AE243">
        <v>64</v>
      </c>
      <c r="AF243" t="s">
        <v>45541</v>
      </c>
      <c r="AG243" t="s">
        <v>19330</v>
      </c>
      <c r="AH243">
        <v>33</v>
      </c>
      <c r="AI243">
        <v>2</v>
      </c>
      <c r="AJ243">
        <v>0</v>
      </c>
      <c r="AK243">
        <v>337.86</v>
      </c>
      <c r="AN243" t="s">
        <v>7439</v>
      </c>
      <c r="AO243">
        <v>55612</v>
      </c>
      <c r="AU243">
        <v>0.8</v>
      </c>
      <c r="AV243" t="s">
        <v>594</v>
      </c>
      <c r="AW243" t="s">
        <v>122</v>
      </c>
    </row>
    <row r="244" spans="1:50">
      <c r="A244" s="1">
        <f>HYPERLINK("https://lsnyc.legalserver.org/matter/dynamic-profile/view/1872148","18-1872148")</f>
        <v>0</v>
      </c>
      <c r="B244" t="s">
        <v>64</v>
      </c>
      <c r="C244" t="s">
        <v>341</v>
      </c>
      <c r="D244" t="s">
        <v>435</v>
      </c>
      <c r="E244" t="s">
        <v>788</v>
      </c>
      <c r="F244" t="s">
        <v>1069</v>
      </c>
      <c r="G244" t="s">
        <v>5252</v>
      </c>
      <c r="H244" t="s">
        <v>9841</v>
      </c>
      <c r="I244" t="s">
        <v>17348</v>
      </c>
      <c r="J244" t="s">
        <v>18892</v>
      </c>
      <c r="K244">
        <v>10461</v>
      </c>
      <c r="L244" t="s">
        <v>18958</v>
      </c>
      <c r="M244" t="s">
        <v>18958</v>
      </c>
      <c r="N244" t="s">
        <v>19124</v>
      </c>
      <c r="O244" t="s">
        <v>26524</v>
      </c>
      <c r="P244" t="s">
        <v>26560</v>
      </c>
      <c r="Q244" t="s">
        <v>26568</v>
      </c>
      <c r="R244" t="s">
        <v>26577</v>
      </c>
      <c r="S244" t="s">
        <v>18959</v>
      </c>
      <c r="U244" t="s">
        <v>26604</v>
      </c>
      <c r="V244" t="s">
        <v>26610</v>
      </c>
      <c r="W244" t="s">
        <v>435</v>
      </c>
      <c r="X244">
        <v>800</v>
      </c>
      <c r="Y244" t="s">
        <v>26650</v>
      </c>
      <c r="Z244" t="s">
        <v>26659</v>
      </c>
      <c r="AA244" t="s">
        <v>26678</v>
      </c>
      <c r="AB244" t="s">
        <v>26927</v>
      </c>
      <c r="AC244" t="s">
        <v>34556</v>
      </c>
      <c r="AD244" t="s">
        <v>37020</v>
      </c>
      <c r="AE244">
        <v>125</v>
      </c>
      <c r="AF244" t="s">
        <v>45541</v>
      </c>
      <c r="AG244" t="s">
        <v>45559</v>
      </c>
      <c r="AH244">
        <v>14</v>
      </c>
      <c r="AI244">
        <v>1</v>
      </c>
      <c r="AJ244">
        <v>0</v>
      </c>
      <c r="AK244">
        <v>81.84999999999999</v>
      </c>
      <c r="AN244" t="s">
        <v>7439</v>
      </c>
      <c r="AO244">
        <v>9936</v>
      </c>
      <c r="AQ244" t="s">
        <v>46362</v>
      </c>
      <c r="AR244" t="s">
        <v>46402</v>
      </c>
      <c r="AS244" t="s">
        <v>46499</v>
      </c>
      <c r="AT244" t="s">
        <v>46570</v>
      </c>
      <c r="AU244">
        <v>14.25</v>
      </c>
      <c r="AV244" t="s">
        <v>702</v>
      </c>
      <c r="AW244" t="s">
        <v>46831</v>
      </c>
    </row>
    <row r="245" spans="1:50">
      <c r="A245" s="1">
        <f>HYPERLINK("https://lsnyc.legalserver.org/matter/dynamic-profile/view/1872060","18-1872060")</f>
        <v>0</v>
      </c>
      <c r="B245" t="s">
        <v>87</v>
      </c>
      <c r="C245" t="s">
        <v>341</v>
      </c>
      <c r="D245" t="s">
        <v>435</v>
      </c>
      <c r="E245" t="s">
        <v>639</v>
      </c>
      <c r="F245" t="s">
        <v>1070</v>
      </c>
      <c r="G245" t="s">
        <v>5253</v>
      </c>
      <c r="H245" t="s">
        <v>9662</v>
      </c>
      <c r="J245" t="s">
        <v>18892</v>
      </c>
      <c r="K245">
        <v>10457</v>
      </c>
      <c r="L245" t="s">
        <v>18958</v>
      </c>
      <c r="M245" t="s">
        <v>18958</v>
      </c>
      <c r="N245" t="s">
        <v>19125</v>
      </c>
      <c r="O245" t="s">
        <v>26523</v>
      </c>
      <c r="P245" t="s">
        <v>26560</v>
      </c>
      <c r="Q245" t="s">
        <v>26568</v>
      </c>
      <c r="R245" t="s">
        <v>26579</v>
      </c>
      <c r="S245" t="s">
        <v>18959</v>
      </c>
      <c r="U245" t="s">
        <v>26604</v>
      </c>
      <c r="V245" t="s">
        <v>26610</v>
      </c>
      <c r="W245" t="s">
        <v>435</v>
      </c>
      <c r="X245">
        <v>1621</v>
      </c>
      <c r="Y245" t="s">
        <v>26650</v>
      </c>
      <c r="Z245" t="s">
        <v>26664</v>
      </c>
      <c r="AA245" t="s">
        <v>26678</v>
      </c>
      <c r="AB245" t="s">
        <v>26928</v>
      </c>
      <c r="AD245" t="s">
        <v>37021</v>
      </c>
      <c r="AE245">
        <v>99</v>
      </c>
      <c r="AF245" t="s">
        <v>45547</v>
      </c>
      <c r="AG245" t="s">
        <v>45556</v>
      </c>
      <c r="AH245">
        <v>3</v>
      </c>
      <c r="AI245">
        <v>1</v>
      </c>
      <c r="AJ245">
        <v>2</v>
      </c>
      <c r="AK245">
        <v>38.69</v>
      </c>
      <c r="AN245" t="s">
        <v>45581</v>
      </c>
      <c r="AO245">
        <v>8040</v>
      </c>
      <c r="AR245" t="s">
        <v>46381</v>
      </c>
      <c r="AS245" t="s">
        <v>46499</v>
      </c>
      <c r="AT245" t="s">
        <v>46571</v>
      </c>
      <c r="AU245">
        <v>18.6</v>
      </c>
      <c r="AV245" t="s">
        <v>451</v>
      </c>
      <c r="AW245" t="s">
        <v>284</v>
      </c>
    </row>
    <row r="246" spans="1:50">
      <c r="A246" s="1">
        <f>HYPERLINK("https://lsnyc.legalserver.org/matter/dynamic-profile/view/1872174","18-1872174")</f>
        <v>0</v>
      </c>
      <c r="B246" t="s">
        <v>57</v>
      </c>
      <c r="C246" t="s">
        <v>340</v>
      </c>
      <c r="D246" t="s">
        <v>435</v>
      </c>
      <c r="F246" t="s">
        <v>1071</v>
      </c>
      <c r="G246" t="s">
        <v>5254</v>
      </c>
      <c r="H246" t="s">
        <v>9842</v>
      </c>
      <c r="I246">
        <v>4</v>
      </c>
      <c r="J246" t="s">
        <v>18892</v>
      </c>
      <c r="K246">
        <v>10455</v>
      </c>
      <c r="L246" t="s">
        <v>18958</v>
      </c>
      <c r="M246" t="s">
        <v>18958</v>
      </c>
      <c r="N246" t="s">
        <v>19126</v>
      </c>
      <c r="O246" t="s">
        <v>26523</v>
      </c>
      <c r="P246" t="s">
        <v>26560</v>
      </c>
      <c r="R246" t="s">
        <v>26577</v>
      </c>
      <c r="S246" t="s">
        <v>18959</v>
      </c>
      <c r="U246" t="s">
        <v>26604</v>
      </c>
      <c r="V246" t="s">
        <v>26612</v>
      </c>
      <c r="W246" t="s">
        <v>435</v>
      </c>
      <c r="X246">
        <v>1956</v>
      </c>
      <c r="Y246" t="s">
        <v>26650</v>
      </c>
      <c r="Z246" t="s">
        <v>26656</v>
      </c>
      <c r="AB246" t="s">
        <v>26929</v>
      </c>
      <c r="AC246" t="s">
        <v>34557</v>
      </c>
      <c r="AD246" t="s">
        <v>37022</v>
      </c>
      <c r="AE246">
        <v>12</v>
      </c>
      <c r="AF246" t="s">
        <v>45541</v>
      </c>
      <c r="AG246" t="s">
        <v>45557</v>
      </c>
      <c r="AH246">
        <v>3</v>
      </c>
      <c r="AI246">
        <v>1</v>
      </c>
      <c r="AJ246">
        <v>3</v>
      </c>
      <c r="AK246">
        <v>17.4</v>
      </c>
      <c r="AN246" t="s">
        <v>45581</v>
      </c>
      <c r="AO246">
        <v>4368</v>
      </c>
      <c r="AP246" t="s">
        <v>45621</v>
      </c>
      <c r="AQ246" t="s">
        <v>46365</v>
      </c>
      <c r="AR246" t="s">
        <v>46379</v>
      </c>
      <c r="AS246" t="s">
        <v>46499</v>
      </c>
      <c r="AT246" t="s">
        <v>46572</v>
      </c>
      <c r="AU246">
        <v>25.95</v>
      </c>
      <c r="AV246" t="s">
        <v>413</v>
      </c>
      <c r="AW246" t="s">
        <v>284</v>
      </c>
    </row>
    <row r="247" spans="1:50">
      <c r="A247" s="1">
        <f>HYPERLINK("https://lsnyc.legalserver.org/matter/dynamic-profile/view/1872134","18-1872134")</f>
        <v>0</v>
      </c>
      <c r="B247" t="s">
        <v>71</v>
      </c>
      <c r="C247" t="s">
        <v>340</v>
      </c>
      <c r="D247" t="s">
        <v>435</v>
      </c>
      <c r="F247" t="s">
        <v>954</v>
      </c>
      <c r="G247" t="s">
        <v>5255</v>
      </c>
      <c r="H247" t="s">
        <v>9843</v>
      </c>
      <c r="I247" t="s">
        <v>17313</v>
      </c>
      <c r="J247" t="s">
        <v>18892</v>
      </c>
      <c r="K247">
        <v>10459</v>
      </c>
      <c r="L247" t="s">
        <v>18958</v>
      </c>
      <c r="M247" t="s">
        <v>18958</v>
      </c>
      <c r="N247" t="s">
        <v>19127</v>
      </c>
      <c r="O247" t="s">
        <v>26524</v>
      </c>
      <c r="P247" t="s">
        <v>26560</v>
      </c>
      <c r="R247" t="s">
        <v>26577</v>
      </c>
      <c r="S247" t="s">
        <v>18959</v>
      </c>
      <c r="U247" t="s">
        <v>26605</v>
      </c>
      <c r="V247" t="s">
        <v>26612</v>
      </c>
      <c r="W247" t="s">
        <v>435</v>
      </c>
      <c r="X247">
        <v>43</v>
      </c>
      <c r="Y247" t="s">
        <v>26650</v>
      </c>
      <c r="Z247" t="s">
        <v>26656</v>
      </c>
      <c r="AB247" t="s">
        <v>26930</v>
      </c>
      <c r="AC247" t="s">
        <v>34558</v>
      </c>
      <c r="AD247" t="s">
        <v>37023</v>
      </c>
      <c r="AE247">
        <v>48</v>
      </c>
      <c r="AF247" t="s">
        <v>45552</v>
      </c>
      <c r="AG247" t="s">
        <v>45556</v>
      </c>
      <c r="AH247">
        <v>26</v>
      </c>
      <c r="AI247">
        <v>2</v>
      </c>
      <c r="AJ247">
        <v>0</v>
      </c>
      <c r="AK247">
        <v>119.27</v>
      </c>
      <c r="AN247" t="s">
        <v>7439</v>
      </c>
      <c r="AO247">
        <v>19632</v>
      </c>
      <c r="AU247">
        <v>20</v>
      </c>
      <c r="AV247" t="s">
        <v>825</v>
      </c>
      <c r="AW247" t="s">
        <v>46836</v>
      </c>
    </row>
    <row r="248" spans="1:50">
      <c r="A248" s="1">
        <f>HYPERLINK("https://lsnyc.legalserver.org/matter/dynamic-profile/view/1872184","18-1872184")</f>
        <v>0</v>
      </c>
      <c r="B248" t="s">
        <v>142</v>
      </c>
      <c r="C248" t="s">
        <v>340</v>
      </c>
      <c r="D248" t="s">
        <v>435</v>
      </c>
      <c r="F248" t="s">
        <v>962</v>
      </c>
      <c r="G248" t="s">
        <v>5147</v>
      </c>
      <c r="H248" t="s">
        <v>9814</v>
      </c>
      <c r="I248" t="s">
        <v>17316</v>
      </c>
      <c r="J248" t="s">
        <v>18912</v>
      </c>
      <c r="K248">
        <v>11374</v>
      </c>
      <c r="L248" t="s">
        <v>18958</v>
      </c>
      <c r="M248" t="s">
        <v>18958</v>
      </c>
      <c r="N248" t="s">
        <v>19128</v>
      </c>
      <c r="O248" t="s">
        <v>26523</v>
      </c>
      <c r="P248" t="s">
        <v>26560</v>
      </c>
      <c r="R248" t="s">
        <v>26584</v>
      </c>
      <c r="S248" t="s">
        <v>18959</v>
      </c>
      <c r="U248" t="s">
        <v>26604</v>
      </c>
      <c r="V248" t="s">
        <v>26610</v>
      </c>
      <c r="W248" t="s">
        <v>435</v>
      </c>
      <c r="X248">
        <v>1985</v>
      </c>
      <c r="Y248" t="s">
        <v>26653</v>
      </c>
      <c r="Z248" t="s">
        <v>26664</v>
      </c>
      <c r="AB248" t="s">
        <v>26900</v>
      </c>
      <c r="AC248" t="s">
        <v>34559</v>
      </c>
      <c r="AD248" t="s">
        <v>36995</v>
      </c>
      <c r="AE248">
        <v>64</v>
      </c>
      <c r="AF248" t="s">
        <v>45547</v>
      </c>
      <c r="AG248" t="s">
        <v>19330</v>
      </c>
      <c r="AH248">
        <v>1</v>
      </c>
      <c r="AI248">
        <v>1</v>
      </c>
      <c r="AJ248">
        <v>1</v>
      </c>
      <c r="AK248">
        <v>173.51</v>
      </c>
      <c r="AN248" t="s">
        <v>7439</v>
      </c>
      <c r="AO248">
        <v>28560</v>
      </c>
      <c r="AU248">
        <v>21.5</v>
      </c>
      <c r="AV248" t="s">
        <v>713</v>
      </c>
      <c r="AW248" t="s">
        <v>122</v>
      </c>
    </row>
    <row r="249" spans="1:50">
      <c r="A249" s="1">
        <f>HYPERLINK("https://lsnyc.legalserver.org/matter/dynamic-profile/view/1872177","18-1872177")</f>
        <v>0</v>
      </c>
      <c r="B249" t="s">
        <v>126</v>
      </c>
      <c r="C249" t="s">
        <v>340</v>
      </c>
      <c r="D249" t="s">
        <v>435</v>
      </c>
      <c r="F249" t="s">
        <v>1072</v>
      </c>
      <c r="G249" t="s">
        <v>5256</v>
      </c>
      <c r="H249" t="s">
        <v>9844</v>
      </c>
      <c r="I249" t="s">
        <v>17360</v>
      </c>
      <c r="J249" t="s">
        <v>18894</v>
      </c>
      <c r="K249">
        <v>11226</v>
      </c>
      <c r="L249" t="s">
        <v>18958</v>
      </c>
      <c r="M249" t="s">
        <v>18958</v>
      </c>
      <c r="N249" t="s">
        <v>19129</v>
      </c>
      <c r="O249" t="s">
        <v>26523</v>
      </c>
      <c r="P249" t="s">
        <v>26560</v>
      </c>
      <c r="R249" t="s">
        <v>26589</v>
      </c>
      <c r="S249" t="s">
        <v>18959</v>
      </c>
      <c r="U249" t="s">
        <v>26604</v>
      </c>
      <c r="W249" t="s">
        <v>435</v>
      </c>
      <c r="X249">
        <v>1850</v>
      </c>
      <c r="Y249" t="s">
        <v>26652</v>
      </c>
      <c r="Z249" t="s">
        <v>26671</v>
      </c>
      <c r="AB249" t="s">
        <v>26931</v>
      </c>
      <c r="AC249" t="s">
        <v>34560</v>
      </c>
      <c r="AD249" t="s">
        <v>37024</v>
      </c>
      <c r="AE249">
        <v>16</v>
      </c>
      <c r="AF249" t="s">
        <v>45541</v>
      </c>
      <c r="AH249">
        <v>10</v>
      </c>
      <c r="AI249">
        <v>1</v>
      </c>
      <c r="AJ249">
        <v>0</v>
      </c>
      <c r="AK249">
        <v>0</v>
      </c>
      <c r="AL249" t="s">
        <v>45567</v>
      </c>
      <c r="AM249" t="s">
        <v>45577</v>
      </c>
      <c r="AN249" t="s">
        <v>7439</v>
      </c>
      <c r="AO249">
        <v>0</v>
      </c>
      <c r="AU249">
        <v>36</v>
      </c>
      <c r="AV249" t="s">
        <v>773</v>
      </c>
      <c r="AW249" t="s">
        <v>46856</v>
      </c>
    </row>
    <row r="250" spans="1:50">
      <c r="A250" s="1">
        <f>HYPERLINK("https://lsnyc.legalserver.org/matter/dynamic-profile/view/1872241","18-1872241")</f>
        <v>0</v>
      </c>
      <c r="B250" t="s">
        <v>128</v>
      </c>
      <c r="C250" t="s">
        <v>341</v>
      </c>
      <c r="D250" t="s">
        <v>439</v>
      </c>
      <c r="E250" t="s">
        <v>697</v>
      </c>
      <c r="F250" t="s">
        <v>1073</v>
      </c>
      <c r="G250" t="s">
        <v>5257</v>
      </c>
      <c r="H250" t="s">
        <v>9845</v>
      </c>
      <c r="I250" t="s">
        <v>17393</v>
      </c>
      <c r="J250" t="s">
        <v>18894</v>
      </c>
      <c r="K250">
        <v>11226</v>
      </c>
      <c r="L250" t="s">
        <v>18958</v>
      </c>
      <c r="M250" t="s">
        <v>18958</v>
      </c>
      <c r="N250" t="s">
        <v>19130</v>
      </c>
      <c r="O250" t="s">
        <v>26524</v>
      </c>
      <c r="P250" t="s">
        <v>26560</v>
      </c>
      <c r="Q250" t="s">
        <v>26568</v>
      </c>
      <c r="R250" t="s">
        <v>26588</v>
      </c>
      <c r="S250" t="s">
        <v>18959</v>
      </c>
      <c r="U250" t="s">
        <v>26604</v>
      </c>
      <c r="V250" t="s">
        <v>26610</v>
      </c>
      <c r="W250" t="s">
        <v>435</v>
      </c>
      <c r="X250">
        <v>500</v>
      </c>
      <c r="Y250" t="s">
        <v>26652</v>
      </c>
      <c r="Z250" t="s">
        <v>26662</v>
      </c>
      <c r="AA250" t="s">
        <v>26679</v>
      </c>
      <c r="AB250" t="s">
        <v>26932</v>
      </c>
      <c r="AD250" t="s">
        <v>37025</v>
      </c>
      <c r="AE250">
        <v>5</v>
      </c>
      <c r="AF250" t="s">
        <v>45547</v>
      </c>
      <c r="AG250" t="s">
        <v>19330</v>
      </c>
      <c r="AH250">
        <v>4</v>
      </c>
      <c r="AI250">
        <v>1</v>
      </c>
      <c r="AJ250">
        <v>1</v>
      </c>
      <c r="AK250">
        <v>179.4</v>
      </c>
      <c r="AN250" t="s">
        <v>45589</v>
      </c>
      <c r="AO250">
        <v>29530</v>
      </c>
      <c r="AQ250" t="s">
        <v>46362</v>
      </c>
      <c r="AR250" t="s">
        <v>26530</v>
      </c>
      <c r="AS250" t="s">
        <v>46500</v>
      </c>
      <c r="AT250" t="s">
        <v>46549</v>
      </c>
      <c r="AU250">
        <v>12.75</v>
      </c>
      <c r="AV250" t="s">
        <v>665</v>
      </c>
      <c r="AW250" t="s">
        <v>46853</v>
      </c>
    </row>
    <row r="251" spans="1:50">
      <c r="A251" s="1">
        <f>HYPERLINK("https://lsnyc.legalserver.org/matter/dynamic-profile/view/1838759","17-1838759")</f>
        <v>0</v>
      </c>
      <c r="B251" t="s">
        <v>109</v>
      </c>
      <c r="C251" t="s">
        <v>341</v>
      </c>
      <c r="D251" t="s">
        <v>364</v>
      </c>
      <c r="E251" t="s">
        <v>439</v>
      </c>
      <c r="F251" t="s">
        <v>1074</v>
      </c>
      <c r="G251" t="s">
        <v>5258</v>
      </c>
      <c r="H251" t="s">
        <v>9846</v>
      </c>
      <c r="I251" t="s">
        <v>17306</v>
      </c>
      <c r="J251" t="s">
        <v>18902</v>
      </c>
      <c r="K251">
        <v>10304</v>
      </c>
      <c r="L251" t="s">
        <v>18958</v>
      </c>
      <c r="M251" t="s">
        <v>18958</v>
      </c>
      <c r="N251" t="s">
        <v>19131</v>
      </c>
      <c r="O251" t="s">
        <v>26526</v>
      </c>
      <c r="P251" t="s">
        <v>26560</v>
      </c>
      <c r="Q251" t="s">
        <v>26568</v>
      </c>
      <c r="R251" t="s">
        <v>26578</v>
      </c>
      <c r="S251" t="s">
        <v>18959</v>
      </c>
      <c r="U251" t="s">
        <v>26604</v>
      </c>
      <c r="V251" t="s">
        <v>26610</v>
      </c>
      <c r="W251" t="s">
        <v>439</v>
      </c>
      <c r="X251">
        <v>950</v>
      </c>
      <c r="Y251" t="s">
        <v>26654</v>
      </c>
      <c r="Z251" t="s">
        <v>26659</v>
      </c>
      <c r="AA251" t="s">
        <v>26679</v>
      </c>
      <c r="AB251" t="s">
        <v>26933</v>
      </c>
      <c r="AD251" t="s">
        <v>37026</v>
      </c>
      <c r="AE251">
        <v>5</v>
      </c>
      <c r="AF251" t="s">
        <v>45541</v>
      </c>
      <c r="AG251" t="s">
        <v>19330</v>
      </c>
      <c r="AH251">
        <v>2</v>
      </c>
      <c r="AI251">
        <v>2</v>
      </c>
      <c r="AJ251">
        <v>1</v>
      </c>
      <c r="AK251">
        <v>43.08</v>
      </c>
      <c r="AN251" t="s">
        <v>7439</v>
      </c>
      <c r="AO251">
        <v>8796</v>
      </c>
      <c r="AQ251" t="s">
        <v>46359</v>
      </c>
      <c r="AR251" t="s">
        <v>26530</v>
      </c>
      <c r="AS251" t="s">
        <v>46500</v>
      </c>
      <c r="AT251" t="s">
        <v>46520</v>
      </c>
      <c r="AU251">
        <v>12.3</v>
      </c>
      <c r="AV251" t="s">
        <v>617</v>
      </c>
      <c r="AW251" t="s">
        <v>46852</v>
      </c>
    </row>
    <row r="252" spans="1:50">
      <c r="A252" s="1">
        <f>HYPERLINK("https://lsnyc.legalserver.org/matter/dynamic-profile/view/0830783","17-0830783")</f>
        <v>0</v>
      </c>
      <c r="B252" t="s">
        <v>109</v>
      </c>
      <c r="C252" t="s">
        <v>341</v>
      </c>
      <c r="D252" t="s">
        <v>444</v>
      </c>
      <c r="E252" t="s">
        <v>439</v>
      </c>
      <c r="F252" t="s">
        <v>1074</v>
      </c>
      <c r="G252" t="s">
        <v>5258</v>
      </c>
      <c r="H252" t="s">
        <v>9846</v>
      </c>
      <c r="I252" t="s">
        <v>17306</v>
      </c>
      <c r="J252" t="s">
        <v>18902</v>
      </c>
      <c r="K252">
        <v>10304</v>
      </c>
      <c r="L252" t="s">
        <v>18958</v>
      </c>
      <c r="M252" t="s">
        <v>18958</v>
      </c>
      <c r="N252" t="s">
        <v>19132</v>
      </c>
      <c r="O252" t="s">
        <v>26540</v>
      </c>
      <c r="P252" t="s">
        <v>26560</v>
      </c>
      <c r="Q252" t="s">
        <v>26568</v>
      </c>
      <c r="R252" t="s">
        <v>26578</v>
      </c>
      <c r="S252" t="s">
        <v>18959</v>
      </c>
      <c r="U252" t="s">
        <v>26604</v>
      </c>
      <c r="V252" t="s">
        <v>26610</v>
      </c>
      <c r="W252" t="s">
        <v>439</v>
      </c>
      <c r="X252">
        <v>950</v>
      </c>
      <c r="Y252" t="s">
        <v>26654</v>
      </c>
      <c r="Z252" t="s">
        <v>26659</v>
      </c>
      <c r="AA252" t="s">
        <v>26678</v>
      </c>
      <c r="AB252" t="s">
        <v>26933</v>
      </c>
      <c r="AD252" t="s">
        <v>37026</v>
      </c>
      <c r="AE252">
        <v>5</v>
      </c>
      <c r="AF252" t="s">
        <v>45541</v>
      </c>
      <c r="AG252" t="s">
        <v>19330</v>
      </c>
      <c r="AH252">
        <v>3</v>
      </c>
      <c r="AI252">
        <v>2</v>
      </c>
      <c r="AJ252">
        <v>1</v>
      </c>
      <c r="AK252">
        <v>43.08</v>
      </c>
      <c r="AN252" t="s">
        <v>7439</v>
      </c>
      <c r="AO252">
        <v>8796</v>
      </c>
      <c r="AQ252" t="s">
        <v>46359</v>
      </c>
      <c r="AR252" t="s">
        <v>46384</v>
      </c>
      <c r="AS252" t="s">
        <v>46500</v>
      </c>
      <c r="AT252" t="s">
        <v>46573</v>
      </c>
      <c r="AU252">
        <v>22.61</v>
      </c>
      <c r="AV252" t="s">
        <v>46813</v>
      </c>
      <c r="AW252" t="s">
        <v>46852</v>
      </c>
    </row>
    <row r="253" spans="1:50">
      <c r="A253" s="1">
        <f>HYPERLINK("https://lsnyc.legalserver.org/matter/dynamic-profile/view/1840600","17-1840600")</f>
        <v>0</v>
      </c>
      <c r="B253" t="s">
        <v>58</v>
      </c>
      <c r="C253" t="s">
        <v>341</v>
      </c>
      <c r="D253" t="s">
        <v>445</v>
      </c>
      <c r="E253" t="s">
        <v>826</v>
      </c>
      <c r="F253" t="s">
        <v>881</v>
      </c>
      <c r="G253" t="s">
        <v>5259</v>
      </c>
      <c r="H253" t="s">
        <v>9847</v>
      </c>
      <c r="I253" t="s">
        <v>17300</v>
      </c>
      <c r="J253" t="s">
        <v>18892</v>
      </c>
      <c r="K253">
        <v>10472</v>
      </c>
      <c r="L253" t="s">
        <v>18958</v>
      </c>
      <c r="M253" t="s">
        <v>18958</v>
      </c>
      <c r="N253" t="s">
        <v>19133</v>
      </c>
      <c r="O253" t="s">
        <v>26523</v>
      </c>
      <c r="P253" t="s">
        <v>26560</v>
      </c>
      <c r="Q253" t="s">
        <v>26568</v>
      </c>
      <c r="R253" t="s">
        <v>26577</v>
      </c>
      <c r="S253" t="s">
        <v>18959</v>
      </c>
      <c r="U253" t="s">
        <v>26604</v>
      </c>
      <c r="V253" t="s">
        <v>26612</v>
      </c>
      <c r="W253" t="s">
        <v>439</v>
      </c>
      <c r="X253">
        <v>719</v>
      </c>
      <c r="Y253" t="s">
        <v>26650</v>
      </c>
      <c r="Z253" t="s">
        <v>26656</v>
      </c>
      <c r="AA253" t="s">
        <v>26678</v>
      </c>
      <c r="AB253" t="s">
        <v>26934</v>
      </c>
      <c r="AC253" t="s">
        <v>34561</v>
      </c>
      <c r="AD253" t="s">
        <v>37027</v>
      </c>
      <c r="AE253">
        <v>0</v>
      </c>
      <c r="AF253" t="s">
        <v>45541</v>
      </c>
      <c r="AG253" t="s">
        <v>19330</v>
      </c>
      <c r="AH253">
        <v>4</v>
      </c>
      <c r="AI253">
        <v>2</v>
      </c>
      <c r="AJ253">
        <v>0</v>
      </c>
      <c r="AK253">
        <v>60.74</v>
      </c>
      <c r="AN253" t="s">
        <v>7439</v>
      </c>
      <c r="AO253">
        <v>9864</v>
      </c>
      <c r="AP253" t="s">
        <v>45620</v>
      </c>
      <c r="AS253" t="s">
        <v>46499</v>
      </c>
      <c r="AT253" t="s">
        <v>46574</v>
      </c>
      <c r="AU253">
        <v>64.05</v>
      </c>
      <c r="AV253" t="s">
        <v>826</v>
      </c>
      <c r="AW253" t="s">
        <v>46837</v>
      </c>
    </row>
    <row r="254" spans="1:50">
      <c r="A254" s="1">
        <f>HYPERLINK("https://lsnyc.legalserver.org/matter/dynamic-profile/view/1840628","17-1840628")</f>
        <v>0</v>
      </c>
      <c r="B254" t="s">
        <v>143</v>
      </c>
      <c r="C254" t="s">
        <v>341</v>
      </c>
      <c r="D254" t="s">
        <v>445</v>
      </c>
      <c r="E254" t="s">
        <v>411</v>
      </c>
      <c r="F254" t="s">
        <v>1075</v>
      </c>
      <c r="G254" t="s">
        <v>3175</v>
      </c>
      <c r="H254" t="s">
        <v>9848</v>
      </c>
      <c r="I254" t="s">
        <v>17347</v>
      </c>
      <c r="J254" t="s">
        <v>18892</v>
      </c>
      <c r="K254">
        <v>10457</v>
      </c>
      <c r="L254" t="s">
        <v>18958</v>
      </c>
      <c r="M254" t="s">
        <v>18958</v>
      </c>
      <c r="N254" t="s">
        <v>19134</v>
      </c>
      <c r="O254" t="s">
        <v>26523</v>
      </c>
      <c r="P254" t="s">
        <v>26560</v>
      </c>
      <c r="Q254" t="s">
        <v>26568</v>
      </c>
      <c r="R254" t="s">
        <v>26579</v>
      </c>
      <c r="S254" t="s">
        <v>18959</v>
      </c>
      <c r="U254" t="s">
        <v>26604</v>
      </c>
      <c r="V254" t="s">
        <v>26610</v>
      </c>
      <c r="W254" t="s">
        <v>439</v>
      </c>
      <c r="X254">
        <v>2000</v>
      </c>
      <c r="Y254" t="s">
        <v>26650</v>
      </c>
      <c r="Z254" t="s">
        <v>26662</v>
      </c>
      <c r="AA254" t="s">
        <v>26678</v>
      </c>
      <c r="AB254" t="s">
        <v>26935</v>
      </c>
      <c r="AC254" t="s">
        <v>34562</v>
      </c>
      <c r="AD254" t="s">
        <v>37028</v>
      </c>
      <c r="AE254">
        <v>20</v>
      </c>
      <c r="AF254" t="s">
        <v>45547</v>
      </c>
      <c r="AG254" t="s">
        <v>45556</v>
      </c>
      <c r="AH254">
        <v>8</v>
      </c>
      <c r="AI254">
        <v>3</v>
      </c>
      <c r="AJ254">
        <v>0</v>
      </c>
      <c r="AK254">
        <v>139.33</v>
      </c>
      <c r="AN254" t="s">
        <v>7439</v>
      </c>
      <c r="AO254">
        <v>28452</v>
      </c>
      <c r="AP254" t="s">
        <v>45621</v>
      </c>
      <c r="AQ254" t="s">
        <v>46359</v>
      </c>
      <c r="AR254" t="s">
        <v>46381</v>
      </c>
      <c r="AS254" t="s">
        <v>46499</v>
      </c>
      <c r="AT254" t="s">
        <v>46575</v>
      </c>
      <c r="AU254">
        <v>61.15</v>
      </c>
      <c r="AV254" t="s">
        <v>589</v>
      </c>
      <c r="AW254" t="s">
        <v>46836</v>
      </c>
    </row>
    <row r="255" spans="1:50">
      <c r="A255" s="1">
        <f>HYPERLINK("https://lsnyc.legalserver.org/matter/dynamic-profile/view/1871410","18-1871410")</f>
        <v>0</v>
      </c>
      <c r="B255" t="s">
        <v>51</v>
      </c>
      <c r="C255" t="s">
        <v>341</v>
      </c>
      <c r="D255" t="s">
        <v>419</v>
      </c>
      <c r="E255" t="s">
        <v>576</v>
      </c>
      <c r="F255" t="s">
        <v>1076</v>
      </c>
      <c r="G255" t="s">
        <v>5199</v>
      </c>
      <c r="H255" t="s">
        <v>9849</v>
      </c>
      <c r="I255" t="s">
        <v>17394</v>
      </c>
      <c r="J255" t="s">
        <v>18892</v>
      </c>
      <c r="K255">
        <v>10451</v>
      </c>
      <c r="L255" t="s">
        <v>18958</v>
      </c>
      <c r="M255" t="s">
        <v>18960</v>
      </c>
      <c r="N255" t="s">
        <v>19135</v>
      </c>
      <c r="O255" t="s">
        <v>26523</v>
      </c>
      <c r="P255" t="s">
        <v>26560</v>
      </c>
      <c r="Q255" t="s">
        <v>26568</v>
      </c>
      <c r="R255" t="s">
        <v>26577</v>
      </c>
      <c r="S255" t="s">
        <v>18959</v>
      </c>
      <c r="U255" t="s">
        <v>26604</v>
      </c>
      <c r="V255" t="s">
        <v>26612</v>
      </c>
      <c r="W255" t="s">
        <v>439</v>
      </c>
      <c r="X255">
        <v>1650</v>
      </c>
      <c r="Y255" t="s">
        <v>26650</v>
      </c>
      <c r="Z255" t="s">
        <v>26657</v>
      </c>
      <c r="AA255" t="s">
        <v>26678</v>
      </c>
      <c r="AB255" t="s">
        <v>26936</v>
      </c>
      <c r="AC255" t="s">
        <v>34563</v>
      </c>
      <c r="AD255" t="s">
        <v>37029</v>
      </c>
      <c r="AE255">
        <v>0</v>
      </c>
      <c r="AF255" t="s">
        <v>45541</v>
      </c>
      <c r="AG255" t="s">
        <v>19330</v>
      </c>
      <c r="AH255">
        <v>11</v>
      </c>
      <c r="AI255">
        <v>2</v>
      </c>
      <c r="AJ255">
        <v>0</v>
      </c>
      <c r="AK255">
        <v>160.83</v>
      </c>
      <c r="AN255" t="s">
        <v>45581</v>
      </c>
      <c r="AO255">
        <v>26472</v>
      </c>
      <c r="AR255" t="s">
        <v>46379</v>
      </c>
      <c r="AS255" t="s">
        <v>46499</v>
      </c>
      <c r="AT255" t="s">
        <v>46511</v>
      </c>
      <c r="AU255">
        <v>12</v>
      </c>
      <c r="AV255" t="s">
        <v>576</v>
      </c>
      <c r="AW255" t="s">
        <v>46837</v>
      </c>
    </row>
    <row r="256" spans="1:50">
      <c r="A256" s="1">
        <f>HYPERLINK("https://lsnyc.legalserver.org/matter/dynamic-profile/view/1872266","18-1872266")</f>
        <v>0</v>
      </c>
      <c r="B256" t="s">
        <v>144</v>
      </c>
      <c r="C256" t="s">
        <v>341</v>
      </c>
      <c r="D256" t="s">
        <v>439</v>
      </c>
      <c r="E256" t="s">
        <v>469</v>
      </c>
      <c r="F256" t="s">
        <v>962</v>
      </c>
      <c r="G256" t="s">
        <v>5260</v>
      </c>
      <c r="H256" t="s">
        <v>9850</v>
      </c>
      <c r="I256" t="s">
        <v>17395</v>
      </c>
      <c r="J256" t="s">
        <v>18893</v>
      </c>
      <c r="K256">
        <v>10011</v>
      </c>
      <c r="L256" t="s">
        <v>18958</v>
      </c>
      <c r="M256" t="s">
        <v>18958</v>
      </c>
      <c r="N256" t="s">
        <v>19136</v>
      </c>
      <c r="O256" t="s">
        <v>26524</v>
      </c>
      <c r="P256" t="s">
        <v>26564</v>
      </c>
      <c r="Q256" t="s">
        <v>26570</v>
      </c>
      <c r="R256" t="s">
        <v>26578</v>
      </c>
      <c r="S256" t="s">
        <v>18959</v>
      </c>
      <c r="U256" t="s">
        <v>26604</v>
      </c>
      <c r="W256" t="s">
        <v>439</v>
      </c>
      <c r="X256">
        <v>1733</v>
      </c>
      <c r="Y256" t="s">
        <v>26651</v>
      </c>
      <c r="Z256" t="s">
        <v>26659</v>
      </c>
      <c r="AA256" t="s">
        <v>26683</v>
      </c>
      <c r="AB256" t="s">
        <v>26937</v>
      </c>
      <c r="AD256" t="s">
        <v>37030</v>
      </c>
      <c r="AE256">
        <v>0</v>
      </c>
      <c r="AF256" t="s">
        <v>45541</v>
      </c>
      <c r="AG256" t="s">
        <v>19330</v>
      </c>
      <c r="AH256">
        <v>4</v>
      </c>
      <c r="AI256">
        <v>1</v>
      </c>
      <c r="AJ256">
        <v>0</v>
      </c>
      <c r="AK256">
        <v>267.71</v>
      </c>
      <c r="AL256" t="s">
        <v>614</v>
      </c>
      <c r="AM256" t="s">
        <v>45575</v>
      </c>
      <c r="AN256" t="s">
        <v>7439</v>
      </c>
      <c r="AO256">
        <v>32500</v>
      </c>
      <c r="AU256">
        <v>4.65</v>
      </c>
      <c r="AV256" t="s">
        <v>614</v>
      </c>
      <c r="AW256" t="s">
        <v>314</v>
      </c>
    </row>
    <row r="257" spans="1:50">
      <c r="A257" s="1">
        <f>HYPERLINK("https://lsnyc.legalserver.org/matter/dynamic-profile/view/1872532","18-1872532")</f>
        <v>0</v>
      </c>
      <c r="B257" t="s">
        <v>145</v>
      </c>
      <c r="C257" t="s">
        <v>341</v>
      </c>
      <c r="D257" t="s">
        <v>439</v>
      </c>
      <c r="E257" t="s">
        <v>645</v>
      </c>
      <c r="F257" t="s">
        <v>1077</v>
      </c>
      <c r="G257" t="s">
        <v>1685</v>
      </c>
      <c r="H257" t="s">
        <v>9851</v>
      </c>
      <c r="J257" t="s">
        <v>18902</v>
      </c>
      <c r="K257">
        <v>10304</v>
      </c>
      <c r="L257" t="s">
        <v>18958</v>
      </c>
      <c r="M257" t="s">
        <v>18958</v>
      </c>
      <c r="N257" t="s">
        <v>19137</v>
      </c>
      <c r="O257" t="s">
        <v>26524</v>
      </c>
      <c r="P257" t="s">
        <v>26560</v>
      </c>
      <c r="Q257" t="s">
        <v>26568</v>
      </c>
      <c r="R257" t="s">
        <v>26578</v>
      </c>
      <c r="S257" t="s">
        <v>18959</v>
      </c>
      <c r="U257" t="s">
        <v>26604</v>
      </c>
      <c r="V257" t="s">
        <v>26610</v>
      </c>
      <c r="W257" t="s">
        <v>439</v>
      </c>
      <c r="X257">
        <v>0</v>
      </c>
      <c r="Y257" t="s">
        <v>26654</v>
      </c>
      <c r="Z257" t="s">
        <v>26666</v>
      </c>
      <c r="AA257" t="s">
        <v>26679</v>
      </c>
      <c r="AB257" t="s">
        <v>26938</v>
      </c>
      <c r="AD257" t="s">
        <v>37031</v>
      </c>
      <c r="AE257">
        <v>3</v>
      </c>
      <c r="AF257" t="s">
        <v>45547</v>
      </c>
      <c r="AG257" t="s">
        <v>19330</v>
      </c>
      <c r="AH257">
        <v>0</v>
      </c>
      <c r="AI257">
        <v>1</v>
      </c>
      <c r="AJ257">
        <v>0</v>
      </c>
      <c r="AK257">
        <v>98.84999999999999</v>
      </c>
      <c r="AN257" t="s">
        <v>7439</v>
      </c>
      <c r="AO257">
        <v>12000</v>
      </c>
      <c r="AQ257" t="s">
        <v>46362</v>
      </c>
      <c r="AS257" t="s">
        <v>46500</v>
      </c>
      <c r="AT257" t="s">
        <v>46576</v>
      </c>
      <c r="AU257">
        <v>4.4</v>
      </c>
      <c r="AV257" t="s">
        <v>664</v>
      </c>
      <c r="AW257" t="s">
        <v>46852</v>
      </c>
      <c r="AX257" t="s">
        <v>46897</v>
      </c>
    </row>
    <row r="258" spans="1:50">
      <c r="A258" s="1">
        <f>HYPERLINK("https://lsnyc.legalserver.org/matter/dynamic-profile/view/1872314","18-1872314")</f>
        <v>0</v>
      </c>
      <c r="B258" t="s">
        <v>58</v>
      </c>
      <c r="C258" t="s">
        <v>341</v>
      </c>
      <c r="D258" t="s">
        <v>439</v>
      </c>
      <c r="E258" t="s">
        <v>826</v>
      </c>
      <c r="F258" t="s">
        <v>1078</v>
      </c>
      <c r="G258" t="s">
        <v>2749</v>
      </c>
      <c r="H258" t="s">
        <v>9852</v>
      </c>
      <c r="I258" t="s">
        <v>17299</v>
      </c>
      <c r="J258" t="s">
        <v>18892</v>
      </c>
      <c r="K258">
        <v>10468</v>
      </c>
      <c r="L258" t="s">
        <v>18958</v>
      </c>
      <c r="M258" t="s">
        <v>18958</v>
      </c>
      <c r="N258" t="s">
        <v>19138</v>
      </c>
      <c r="O258" t="s">
        <v>26523</v>
      </c>
      <c r="P258" t="s">
        <v>26560</v>
      </c>
      <c r="Q258" t="s">
        <v>26568</v>
      </c>
      <c r="R258" t="s">
        <v>26579</v>
      </c>
      <c r="U258" t="s">
        <v>26604</v>
      </c>
      <c r="V258" t="s">
        <v>26610</v>
      </c>
      <c r="W258" t="s">
        <v>439</v>
      </c>
      <c r="X258">
        <v>0</v>
      </c>
      <c r="Y258" t="s">
        <v>26650</v>
      </c>
      <c r="Z258" t="s">
        <v>26662</v>
      </c>
      <c r="AA258" t="s">
        <v>26679</v>
      </c>
      <c r="AB258" t="s">
        <v>26939</v>
      </c>
      <c r="AD258" t="s">
        <v>37032</v>
      </c>
      <c r="AE258">
        <v>0</v>
      </c>
      <c r="AF258" t="s">
        <v>45541</v>
      </c>
      <c r="AG258" t="s">
        <v>45559</v>
      </c>
      <c r="AH258">
        <v>20</v>
      </c>
      <c r="AI258">
        <v>1</v>
      </c>
      <c r="AJ258">
        <v>0</v>
      </c>
      <c r="AK258">
        <v>154.5</v>
      </c>
      <c r="AO258">
        <v>18756</v>
      </c>
      <c r="AP258" t="s">
        <v>45627</v>
      </c>
      <c r="AU258">
        <v>8.5</v>
      </c>
      <c r="AV258" t="s">
        <v>826</v>
      </c>
      <c r="AW258" t="s">
        <v>46848</v>
      </c>
    </row>
    <row r="259" spans="1:50">
      <c r="A259" s="1">
        <f>HYPERLINK("https://lsnyc.legalserver.org/matter/dynamic-profile/view/1868131","18-1868131")</f>
        <v>0</v>
      </c>
      <c r="B259" t="s">
        <v>146</v>
      </c>
      <c r="C259" t="s">
        <v>341</v>
      </c>
      <c r="D259" t="s">
        <v>439</v>
      </c>
      <c r="E259" t="s">
        <v>408</v>
      </c>
      <c r="F259" t="s">
        <v>1079</v>
      </c>
      <c r="G259" t="s">
        <v>5261</v>
      </c>
      <c r="H259" t="s">
        <v>9853</v>
      </c>
      <c r="I259" t="s">
        <v>17278</v>
      </c>
      <c r="J259" t="s">
        <v>18893</v>
      </c>
      <c r="K259">
        <v>10033</v>
      </c>
      <c r="L259" t="s">
        <v>18958</v>
      </c>
      <c r="M259" t="s">
        <v>18958</v>
      </c>
      <c r="N259" t="s">
        <v>19139</v>
      </c>
      <c r="O259" t="s">
        <v>26524</v>
      </c>
      <c r="P259" t="s">
        <v>26564</v>
      </c>
      <c r="Q259" t="s">
        <v>26570</v>
      </c>
      <c r="R259" t="s">
        <v>26578</v>
      </c>
      <c r="S259" t="s">
        <v>18959</v>
      </c>
      <c r="U259" t="s">
        <v>26604</v>
      </c>
      <c r="W259" t="s">
        <v>439</v>
      </c>
      <c r="X259">
        <v>859</v>
      </c>
      <c r="Y259" t="s">
        <v>26651</v>
      </c>
      <c r="Z259" t="s">
        <v>26664</v>
      </c>
      <c r="AA259" t="s">
        <v>26683</v>
      </c>
      <c r="AB259" t="s">
        <v>26940</v>
      </c>
      <c r="AD259" t="s">
        <v>37033</v>
      </c>
      <c r="AE259">
        <v>184</v>
      </c>
      <c r="AF259" t="s">
        <v>45541</v>
      </c>
      <c r="AG259" t="s">
        <v>19330</v>
      </c>
      <c r="AH259">
        <v>41</v>
      </c>
      <c r="AI259">
        <v>1</v>
      </c>
      <c r="AJ259">
        <v>0</v>
      </c>
      <c r="AK259">
        <v>115.65</v>
      </c>
      <c r="AN259" t="s">
        <v>7439</v>
      </c>
      <c r="AO259">
        <v>14040</v>
      </c>
      <c r="AU259">
        <v>1.2</v>
      </c>
      <c r="AV259" t="s">
        <v>408</v>
      </c>
      <c r="AW259" t="s">
        <v>46845</v>
      </c>
    </row>
    <row r="260" spans="1:50">
      <c r="A260" s="1">
        <f>HYPERLINK("https://lsnyc.legalserver.org/matter/dynamic-profile/view/1872240","18-1872240")</f>
        <v>0</v>
      </c>
      <c r="B260" t="s">
        <v>146</v>
      </c>
      <c r="C260" t="s">
        <v>341</v>
      </c>
      <c r="D260" t="s">
        <v>439</v>
      </c>
      <c r="E260" t="s">
        <v>524</v>
      </c>
      <c r="F260" t="s">
        <v>1080</v>
      </c>
      <c r="G260" t="s">
        <v>5262</v>
      </c>
      <c r="H260" t="s">
        <v>9854</v>
      </c>
      <c r="I260" t="s">
        <v>17396</v>
      </c>
      <c r="J260" t="s">
        <v>18893</v>
      </c>
      <c r="K260">
        <v>10033</v>
      </c>
      <c r="L260" t="s">
        <v>18958</v>
      </c>
      <c r="M260" t="s">
        <v>18958</v>
      </c>
      <c r="O260" t="s">
        <v>26524</v>
      </c>
      <c r="P260" t="s">
        <v>26564</v>
      </c>
      <c r="Q260" t="s">
        <v>26570</v>
      </c>
      <c r="R260" t="s">
        <v>26578</v>
      </c>
      <c r="S260" t="s">
        <v>18959</v>
      </c>
      <c r="U260" t="s">
        <v>26604</v>
      </c>
      <c r="W260" t="s">
        <v>439</v>
      </c>
      <c r="X260">
        <v>1516.69</v>
      </c>
      <c r="Y260" t="s">
        <v>26651</v>
      </c>
      <c r="Z260" t="s">
        <v>26661</v>
      </c>
      <c r="AA260" t="s">
        <v>26683</v>
      </c>
      <c r="AB260" t="s">
        <v>26941</v>
      </c>
      <c r="AD260" t="s">
        <v>37034</v>
      </c>
      <c r="AE260">
        <v>232</v>
      </c>
      <c r="AF260" t="s">
        <v>45541</v>
      </c>
      <c r="AG260" t="s">
        <v>19330</v>
      </c>
      <c r="AH260">
        <v>27</v>
      </c>
      <c r="AI260">
        <v>5</v>
      </c>
      <c r="AJ260">
        <v>0</v>
      </c>
      <c r="AK260">
        <v>244.73</v>
      </c>
      <c r="AL260" t="s">
        <v>614</v>
      </c>
      <c r="AM260" t="s">
        <v>45575</v>
      </c>
      <c r="AN260" t="s">
        <v>45581</v>
      </c>
      <c r="AO260">
        <v>72000</v>
      </c>
      <c r="AU260">
        <v>3.3</v>
      </c>
      <c r="AV260" t="s">
        <v>530</v>
      </c>
      <c r="AW260" t="s">
        <v>46840</v>
      </c>
    </row>
    <row r="261" spans="1:50">
      <c r="A261" s="1">
        <f>HYPERLINK("https://lsnyc.legalserver.org/matter/dynamic-profile/view/1872225","18-1872225")</f>
        <v>0</v>
      </c>
      <c r="B261" t="s">
        <v>103</v>
      </c>
      <c r="C261" t="s">
        <v>341</v>
      </c>
      <c r="D261" t="s">
        <v>439</v>
      </c>
      <c r="E261" t="s">
        <v>582</v>
      </c>
      <c r="F261" t="s">
        <v>1081</v>
      </c>
      <c r="G261" t="s">
        <v>5263</v>
      </c>
      <c r="H261" t="s">
        <v>9855</v>
      </c>
      <c r="I261">
        <v>1</v>
      </c>
      <c r="J261" t="s">
        <v>18902</v>
      </c>
      <c r="K261">
        <v>10301</v>
      </c>
      <c r="L261" t="s">
        <v>18958</v>
      </c>
      <c r="M261" t="s">
        <v>18958</v>
      </c>
      <c r="N261" t="s">
        <v>19140</v>
      </c>
      <c r="O261" t="s">
        <v>26523</v>
      </c>
      <c r="P261" t="s">
        <v>26560</v>
      </c>
      <c r="Q261" t="s">
        <v>26568</v>
      </c>
      <c r="R261" t="s">
        <v>26578</v>
      </c>
      <c r="S261" t="s">
        <v>18959</v>
      </c>
      <c r="U261" t="s">
        <v>26604</v>
      </c>
      <c r="V261" t="s">
        <v>26610</v>
      </c>
      <c r="W261" t="s">
        <v>439</v>
      </c>
      <c r="X261">
        <v>325</v>
      </c>
      <c r="Y261" t="s">
        <v>26654</v>
      </c>
      <c r="Z261" t="s">
        <v>26659</v>
      </c>
      <c r="AA261" t="s">
        <v>26678</v>
      </c>
      <c r="AB261" t="s">
        <v>26942</v>
      </c>
      <c r="AD261" t="s">
        <v>37035</v>
      </c>
      <c r="AE261">
        <v>4</v>
      </c>
      <c r="AF261" t="s">
        <v>45541</v>
      </c>
      <c r="AG261" t="s">
        <v>19330</v>
      </c>
      <c r="AH261">
        <v>17</v>
      </c>
      <c r="AI261">
        <v>1</v>
      </c>
      <c r="AJ261">
        <v>0</v>
      </c>
      <c r="AK261">
        <v>168.04</v>
      </c>
      <c r="AN261" t="s">
        <v>7439</v>
      </c>
      <c r="AO261">
        <v>20400</v>
      </c>
      <c r="AQ261" t="s">
        <v>46362</v>
      </c>
      <c r="AR261" t="s">
        <v>46379</v>
      </c>
      <c r="AS261" t="s">
        <v>46499</v>
      </c>
      <c r="AT261" t="s">
        <v>46508</v>
      </c>
      <c r="AU261">
        <v>9.699999999999999</v>
      </c>
      <c r="AV261" t="s">
        <v>582</v>
      </c>
      <c r="AW261" t="s">
        <v>103</v>
      </c>
    </row>
    <row r="262" spans="1:50">
      <c r="A262" s="1">
        <f>HYPERLINK("https://lsnyc.legalserver.org/matter/dynamic-profile/view/1872236","18-1872236")</f>
        <v>0</v>
      </c>
      <c r="B262" t="s">
        <v>80</v>
      </c>
      <c r="C262" t="s">
        <v>341</v>
      </c>
      <c r="D262" t="s">
        <v>439</v>
      </c>
      <c r="E262" t="s">
        <v>688</v>
      </c>
      <c r="F262" t="s">
        <v>1061</v>
      </c>
      <c r="G262" t="s">
        <v>5264</v>
      </c>
      <c r="H262" t="s">
        <v>9856</v>
      </c>
      <c r="I262">
        <v>36</v>
      </c>
      <c r="J262" t="s">
        <v>18893</v>
      </c>
      <c r="K262">
        <v>10031</v>
      </c>
      <c r="L262" t="s">
        <v>18958</v>
      </c>
      <c r="M262" t="s">
        <v>18958</v>
      </c>
      <c r="N262" t="s">
        <v>19141</v>
      </c>
      <c r="O262" t="s">
        <v>26524</v>
      </c>
      <c r="P262" t="s">
        <v>26564</v>
      </c>
      <c r="Q262" t="s">
        <v>26570</v>
      </c>
      <c r="R262" t="s">
        <v>26578</v>
      </c>
      <c r="S262" t="s">
        <v>18959</v>
      </c>
      <c r="U262" t="s">
        <v>26604</v>
      </c>
      <c r="V262" t="s">
        <v>26610</v>
      </c>
      <c r="W262" t="s">
        <v>439</v>
      </c>
      <c r="X262">
        <v>1514.5</v>
      </c>
      <c r="Y262" t="s">
        <v>26651</v>
      </c>
      <c r="Z262" t="s">
        <v>26661</v>
      </c>
      <c r="AA262" t="s">
        <v>26683</v>
      </c>
      <c r="AB262" t="s">
        <v>26943</v>
      </c>
      <c r="AE262">
        <v>39</v>
      </c>
      <c r="AF262" t="s">
        <v>45541</v>
      </c>
      <c r="AG262" t="s">
        <v>19330</v>
      </c>
      <c r="AH262">
        <v>14</v>
      </c>
      <c r="AI262">
        <v>2</v>
      </c>
      <c r="AJ262">
        <v>0</v>
      </c>
      <c r="AK262">
        <v>273.15</v>
      </c>
      <c r="AN262" t="s">
        <v>45581</v>
      </c>
      <c r="AO262">
        <v>44960.04</v>
      </c>
      <c r="AU262">
        <v>0.1</v>
      </c>
      <c r="AV262" t="s">
        <v>688</v>
      </c>
      <c r="AW262" t="s">
        <v>314</v>
      </c>
    </row>
    <row r="263" spans="1:50">
      <c r="A263" s="1">
        <f>HYPERLINK("https://lsnyc.legalserver.org/matter/dynamic-profile/view/1872246","18-1872246")</f>
        <v>0</v>
      </c>
      <c r="B263" t="s">
        <v>80</v>
      </c>
      <c r="C263" t="s">
        <v>341</v>
      </c>
      <c r="D263" t="s">
        <v>439</v>
      </c>
      <c r="E263" t="s">
        <v>624</v>
      </c>
      <c r="F263" t="s">
        <v>1082</v>
      </c>
      <c r="G263" t="s">
        <v>5265</v>
      </c>
      <c r="H263" t="s">
        <v>9857</v>
      </c>
      <c r="I263" t="s">
        <v>17397</v>
      </c>
      <c r="J263" t="s">
        <v>18893</v>
      </c>
      <c r="K263">
        <v>10039</v>
      </c>
      <c r="L263" t="s">
        <v>18958</v>
      </c>
      <c r="M263" t="s">
        <v>18958</v>
      </c>
      <c r="N263" t="s">
        <v>19142</v>
      </c>
      <c r="O263" t="s">
        <v>26541</v>
      </c>
      <c r="P263" t="s">
        <v>26564</v>
      </c>
      <c r="Q263" t="s">
        <v>26570</v>
      </c>
      <c r="R263" t="s">
        <v>26582</v>
      </c>
      <c r="S263" t="s">
        <v>18959</v>
      </c>
      <c r="U263" t="s">
        <v>26605</v>
      </c>
      <c r="V263" t="s">
        <v>26610</v>
      </c>
      <c r="W263" t="s">
        <v>439</v>
      </c>
      <c r="X263">
        <v>238</v>
      </c>
      <c r="Y263" t="s">
        <v>26651</v>
      </c>
      <c r="Z263" t="s">
        <v>26661</v>
      </c>
      <c r="AA263" t="s">
        <v>26683</v>
      </c>
      <c r="AB263" t="s">
        <v>26944</v>
      </c>
      <c r="AC263" t="s">
        <v>34564</v>
      </c>
      <c r="AD263" t="s">
        <v>37036</v>
      </c>
      <c r="AE263">
        <v>1615</v>
      </c>
      <c r="AF263" t="s">
        <v>45549</v>
      </c>
      <c r="AG263" t="s">
        <v>19330</v>
      </c>
      <c r="AH263">
        <v>5</v>
      </c>
      <c r="AI263">
        <v>1</v>
      </c>
      <c r="AJ263">
        <v>3</v>
      </c>
      <c r="AK263">
        <v>31.6</v>
      </c>
      <c r="AN263" t="s">
        <v>7439</v>
      </c>
      <c r="AO263">
        <v>7932</v>
      </c>
      <c r="AU263">
        <v>1.5</v>
      </c>
      <c r="AV263" t="s">
        <v>599</v>
      </c>
      <c r="AW263" t="s">
        <v>314</v>
      </c>
    </row>
    <row r="264" spans="1:50">
      <c r="A264" s="1">
        <f>HYPERLINK("https://lsnyc.legalserver.org/matter/dynamic-profile/view/1872215","18-1872215")</f>
        <v>0</v>
      </c>
      <c r="B264" t="s">
        <v>80</v>
      </c>
      <c r="C264" t="s">
        <v>341</v>
      </c>
      <c r="D264" t="s">
        <v>439</v>
      </c>
      <c r="E264" t="s">
        <v>511</v>
      </c>
      <c r="F264" t="s">
        <v>1083</v>
      </c>
      <c r="G264" t="s">
        <v>5078</v>
      </c>
      <c r="H264" t="s">
        <v>9858</v>
      </c>
      <c r="I264" t="s">
        <v>17398</v>
      </c>
      <c r="J264" t="s">
        <v>18893</v>
      </c>
      <c r="K264">
        <v>10016</v>
      </c>
      <c r="L264" t="s">
        <v>18958</v>
      </c>
      <c r="M264" t="s">
        <v>18958</v>
      </c>
      <c r="N264" t="s">
        <v>19143</v>
      </c>
      <c r="O264" t="s">
        <v>26523</v>
      </c>
      <c r="P264" t="s">
        <v>26564</v>
      </c>
      <c r="Q264" t="s">
        <v>26570</v>
      </c>
      <c r="R264" t="s">
        <v>26582</v>
      </c>
      <c r="S264" t="s">
        <v>18959</v>
      </c>
      <c r="U264" t="s">
        <v>26605</v>
      </c>
      <c r="V264" t="s">
        <v>26611</v>
      </c>
      <c r="W264" t="s">
        <v>439</v>
      </c>
      <c r="X264">
        <v>250</v>
      </c>
      <c r="Y264" t="s">
        <v>26651</v>
      </c>
      <c r="Z264" t="s">
        <v>26659</v>
      </c>
      <c r="AA264" t="s">
        <v>26683</v>
      </c>
      <c r="AB264" t="s">
        <v>26945</v>
      </c>
      <c r="AD264" t="s">
        <v>37037</v>
      </c>
      <c r="AE264">
        <v>225</v>
      </c>
      <c r="AF264" t="s">
        <v>45542</v>
      </c>
      <c r="AG264" t="s">
        <v>19330</v>
      </c>
      <c r="AH264">
        <v>8</v>
      </c>
      <c r="AI264">
        <v>1</v>
      </c>
      <c r="AJ264">
        <v>0</v>
      </c>
      <c r="AK264">
        <v>74.14</v>
      </c>
      <c r="AN264" t="s">
        <v>7439</v>
      </c>
      <c r="AO264">
        <v>9000</v>
      </c>
      <c r="AU264">
        <v>0.1</v>
      </c>
      <c r="AV264" t="s">
        <v>511</v>
      </c>
      <c r="AW264" t="s">
        <v>314</v>
      </c>
    </row>
    <row r="265" spans="1:50">
      <c r="A265" s="1">
        <f>HYPERLINK("https://lsnyc.legalserver.org/matter/dynamic-profile/view/1872222","18-1872222")</f>
        <v>0</v>
      </c>
      <c r="B265" t="s">
        <v>144</v>
      </c>
      <c r="C265" t="s">
        <v>340</v>
      </c>
      <c r="D265" t="s">
        <v>439</v>
      </c>
      <c r="F265" t="s">
        <v>968</v>
      </c>
      <c r="G265" t="s">
        <v>5266</v>
      </c>
      <c r="H265" t="s">
        <v>9859</v>
      </c>
      <c r="I265">
        <v>32</v>
      </c>
      <c r="J265" t="s">
        <v>18893</v>
      </c>
      <c r="K265">
        <v>10027</v>
      </c>
      <c r="L265" t="s">
        <v>18958</v>
      </c>
      <c r="M265" t="s">
        <v>18958</v>
      </c>
      <c r="N265" t="s">
        <v>19144</v>
      </c>
      <c r="O265" t="s">
        <v>26524</v>
      </c>
      <c r="P265" t="s">
        <v>26560</v>
      </c>
      <c r="R265" t="s">
        <v>26580</v>
      </c>
      <c r="S265" t="s">
        <v>18959</v>
      </c>
      <c r="U265" t="s">
        <v>26604</v>
      </c>
      <c r="W265" t="s">
        <v>439</v>
      </c>
      <c r="X265">
        <v>132</v>
      </c>
      <c r="Y265" t="s">
        <v>26651</v>
      </c>
      <c r="Z265" t="s">
        <v>26661</v>
      </c>
      <c r="AB265" t="s">
        <v>26946</v>
      </c>
      <c r="AD265" t="s">
        <v>37038</v>
      </c>
      <c r="AE265">
        <v>16</v>
      </c>
      <c r="AF265" t="s">
        <v>45541</v>
      </c>
      <c r="AG265" t="s">
        <v>19330</v>
      </c>
      <c r="AH265">
        <v>40</v>
      </c>
      <c r="AI265">
        <v>2</v>
      </c>
      <c r="AJ265">
        <v>2</v>
      </c>
      <c r="AK265">
        <v>127.49</v>
      </c>
      <c r="AN265" t="s">
        <v>7439</v>
      </c>
      <c r="AO265">
        <v>32000</v>
      </c>
      <c r="AU265">
        <v>7</v>
      </c>
      <c r="AV265" t="s">
        <v>662</v>
      </c>
      <c r="AW265" t="s">
        <v>46845</v>
      </c>
    </row>
    <row r="266" spans="1:50">
      <c r="A266" s="1">
        <f>HYPERLINK("https://lsnyc.legalserver.org/matter/dynamic-profile/view/1872259","18-1872259")</f>
        <v>0</v>
      </c>
      <c r="B266" t="s">
        <v>147</v>
      </c>
      <c r="C266" t="s">
        <v>340</v>
      </c>
      <c r="D266" t="s">
        <v>439</v>
      </c>
      <c r="F266" t="s">
        <v>1084</v>
      </c>
      <c r="G266" t="s">
        <v>5267</v>
      </c>
      <c r="H266" t="s">
        <v>9860</v>
      </c>
      <c r="I266" t="s">
        <v>17298</v>
      </c>
      <c r="J266" t="s">
        <v>18894</v>
      </c>
      <c r="K266">
        <v>11225</v>
      </c>
      <c r="L266" t="s">
        <v>18958</v>
      </c>
      <c r="M266" t="s">
        <v>18958</v>
      </c>
      <c r="N266" t="s">
        <v>19145</v>
      </c>
      <c r="O266" t="s">
        <v>26524</v>
      </c>
      <c r="P266" t="s">
        <v>26560</v>
      </c>
      <c r="R266" t="s">
        <v>26578</v>
      </c>
      <c r="S266" t="s">
        <v>18959</v>
      </c>
      <c r="U266" t="s">
        <v>26604</v>
      </c>
      <c r="V266" t="s">
        <v>26610</v>
      </c>
      <c r="W266" t="s">
        <v>439</v>
      </c>
      <c r="X266">
        <v>1014.09</v>
      </c>
      <c r="Y266" t="s">
        <v>26652</v>
      </c>
      <c r="Z266" t="s">
        <v>26666</v>
      </c>
      <c r="AB266" t="s">
        <v>26947</v>
      </c>
      <c r="AD266" t="s">
        <v>37039</v>
      </c>
      <c r="AE266">
        <v>53</v>
      </c>
      <c r="AF266" t="s">
        <v>45541</v>
      </c>
      <c r="AG266" t="s">
        <v>19330</v>
      </c>
      <c r="AH266">
        <v>38</v>
      </c>
      <c r="AI266">
        <v>2</v>
      </c>
      <c r="AJ266">
        <v>0</v>
      </c>
      <c r="AK266">
        <v>145.81</v>
      </c>
      <c r="AM266" t="s">
        <v>45578</v>
      </c>
      <c r="AN266" t="s">
        <v>7439</v>
      </c>
      <c r="AO266">
        <v>24000</v>
      </c>
      <c r="AU266">
        <v>88.90000000000001</v>
      </c>
      <c r="AV266" t="s">
        <v>835</v>
      </c>
      <c r="AW266" t="s">
        <v>92</v>
      </c>
    </row>
    <row r="267" spans="1:50">
      <c r="A267" s="1">
        <f>HYPERLINK("https://lsnyc.legalserver.org/matter/dynamic-profile/view/1872208","18-1872208")</f>
        <v>0</v>
      </c>
      <c r="B267" t="s">
        <v>148</v>
      </c>
      <c r="C267" t="s">
        <v>340</v>
      </c>
      <c r="D267" t="s">
        <v>439</v>
      </c>
      <c r="F267" t="s">
        <v>1072</v>
      </c>
      <c r="G267" t="s">
        <v>5268</v>
      </c>
      <c r="H267" t="s">
        <v>9861</v>
      </c>
      <c r="I267" t="s">
        <v>17399</v>
      </c>
      <c r="J267" t="s">
        <v>18894</v>
      </c>
      <c r="K267">
        <v>11213</v>
      </c>
      <c r="L267" t="s">
        <v>18958</v>
      </c>
      <c r="M267" t="s">
        <v>18958</v>
      </c>
      <c r="N267" t="s">
        <v>19146</v>
      </c>
      <c r="O267" t="s">
        <v>26524</v>
      </c>
      <c r="P267" t="s">
        <v>26560</v>
      </c>
      <c r="R267" t="s">
        <v>26586</v>
      </c>
      <c r="S267" t="s">
        <v>18959</v>
      </c>
      <c r="U267" t="s">
        <v>26604</v>
      </c>
      <c r="V267" t="s">
        <v>26610</v>
      </c>
      <c r="W267" t="s">
        <v>439</v>
      </c>
      <c r="X267">
        <v>246.6</v>
      </c>
      <c r="Y267" t="s">
        <v>26652</v>
      </c>
      <c r="Z267" t="s">
        <v>26662</v>
      </c>
      <c r="AB267" t="s">
        <v>26948</v>
      </c>
      <c r="AD267" t="s">
        <v>37040</v>
      </c>
      <c r="AE267">
        <v>48</v>
      </c>
      <c r="AF267" t="s">
        <v>45554</v>
      </c>
      <c r="AH267">
        <v>4</v>
      </c>
      <c r="AI267">
        <v>1</v>
      </c>
      <c r="AJ267">
        <v>0</v>
      </c>
      <c r="AK267">
        <v>74.14</v>
      </c>
      <c r="AN267" t="s">
        <v>7439</v>
      </c>
      <c r="AO267">
        <v>9000</v>
      </c>
      <c r="AQ267" t="s">
        <v>46359</v>
      </c>
      <c r="AR267" t="s">
        <v>26530</v>
      </c>
      <c r="AU267">
        <v>35.1</v>
      </c>
      <c r="AV267" t="s">
        <v>828</v>
      </c>
      <c r="AW267" t="s">
        <v>46853</v>
      </c>
    </row>
    <row r="268" spans="1:50">
      <c r="A268" s="1">
        <f>HYPERLINK("https://lsnyc.legalserver.org/matter/dynamic-profile/view/1872338","18-1872338")</f>
        <v>0</v>
      </c>
      <c r="B268" t="s">
        <v>56</v>
      </c>
      <c r="C268" t="s">
        <v>340</v>
      </c>
      <c r="D268" t="s">
        <v>439</v>
      </c>
      <c r="F268" t="s">
        <v>1085</v>
      </c>
      <c r="G268" t="s">
        <v>5269</v>
      </c>
      <c r="H268" t="s">
        <v>9862</v>
      </c>
      <c r="I268">
        <v>1</v>
      </c>
      <c r="J268" t="s">
        <v>18892</v>
      </c>
      <c r="K268">
        <v>10467</v>
      </c>
      <c r="L268" t="s">
        <v>18958</v>
      </c>
      <c r="M268" t="s">
        <v>18958</v>
      </c>
      <c r="N268" t="s">
        <v>19147</v>
      </c>
      <c r="O268" t="s">
        <v>26523</v>
      </c>
      <c r="P268" t="s">
        <v>26560</v>
      </c>
      <c r="R268" t="s">
        <v>26579</v>
      </c>
      <c r="U268" t="s">
        <v>26604</v>
      </c>
      <c r="V268" t="s">
        <v>26611</v>
      </c>
      <c r="W268" t="s">
        <v>439</v>
      </c>
      <c r="X268">
        <v>1600</v>
      </c>
      <c r="Y268" t="s">
        <v>26650</v>
      </c>
      <c r="Z268" t="s">
        <v>26662</v>
      </c>
      <c r="AB268" t="s">
        <v>26949</v>
      </c>
      <c r="AC268" t="s">
        <v>34565</v>
      </c>
      <c r="AD268" t="s">
        <v>37041</v>
      </c>
      <c r="AE268">
        <v>0</v>
      </c>
      <c r="AF268" t="s">
        <v>45547</v>
      </c>
      <c r="AG268" t="s">
        <v>45558</v>
      </c>
      <c r="AH268">
        <v>10</v>
      </c>
      <c r="AI268">
        <v>1</v>
      </c>
      <c r="AJ268">
        <v>2</v>
      </c>
      <c r="AK268">
        <v>81.94</v>
      </c>
      <c r="AO268">
        <v>17028</v>
      </c>
      <c r="AP268" t="s">
        <v>45621</v>
      </c>
      <c r="AS268" t="s">
        <v>46499</v>
      </c>
      <c r="AT268" t="s">
        <v>46563</v>
      </c>
      <c r="AU268">
        <v>31.15</v>
      </c>
      <c r="AV268" t="s">
        <v>719</v>
      </c>
      <c r="AW268" t="s">
        <v>46848</v>
      </c>
    </row>
    <row r="269" spans="1:50">
      <c r="A269" s="1">
        <f>HYPERLINK("https://lsnyc.legalserver.org/matter/dynamic-profile/view/1872229","18-1872229")</f>
        <v>0</v>
      </c>
      <c r="B269" t="s">
        <v>74</v>
      </c>
      <c r="C269" t="s">
        <v>340</v>
      </c>
      <c r="D269" t="s">
        <v>439</v>
      </c>
      <c r="F269" t="s">
        <v>887</v>
      </c>
      <c r="G269" t="s">
        <v>5078</v>
      </c>
      <c r="H269" t="s">
        <v>9863</v>
      </c>
      <c r="I269" t="s">
        <v>17400</v>
      </c>
      <c r="J269" t="s">
        <v>18893</v>
      </c>
      <c r="K269">
        <v>10033</v>
      </c>
      <c r="L269" t="s">
        <v>18958</v>
      </c>
      <c r="M269" t="s">
        <v>18958</v>
      </c>
      <c r="N269" t="s">
        <v>19148</v>
      </c>
      <c r="O269" t="s">
        <v>26524</v>
      </c>
      <c r="P269" t="s">
        <v>26560</v>
      </c>
      <c r="R269" t="s">
        <v>26578</v>
      </c>
      <c r="S269" t="s">
        <v>18959</v>
      </c>
      <c r="U269" t="s">
        <v>26604</v>
      </c>
      <c r="W269" t="s">
        <v>439</v>
      </c>
      <c r="X269">
        <v>1849.62</v>
      </c>
      <c r="Y269" t="s">
        <v>26651</v>
      </c>
      <c r="Z269" t="s">
        <v>26661</v>
      </c>
      <c r="AB269" t="s">
        <v>26950</v>
      </c>
      <c r="AD269" t="s">
        <v>37042</v>
      </c>
      <c r="AE269">
        <v>19</v>
      </c>
      <c r="AF269" t="s">
        <v>45541</v>
      </c>
      <c r="AG269" t="s">
        <v>19330</v>
      </c>
      <c r="AH269">
        <v>15</v>
      </c>
      <c r="AI269">
        <v>3</v>
      </c>
      <c r="AJ269">
        <v>0</v>
      </c>
      <c r="AK269">
        <v>150.14</v>
      </c>
      <c r="AN269" t="s">
        <v>45581</v>
      </c>
      <c r="AO269">
        <v>31200</v>
      </c>
      <c r="AU269">
        <v>85.65000000000001</v>
      </c>
      <c r="AV269" t="s">
        <v>836</v>
      </c>
      <c r="AW269" t="s">
        <v>46840</v>
      </c>
    </row>
    <row r="270" spans="1:50">
      <c r="A270" s="1">
        <f>HYPERLINK("https://lsnyc.legalserver.org/matter/dynamic-profile/view/1872258","18-1872258")</f>
        <v>0</v>
      </c>
      <c r="B270" t="s">
        <v>103</v>
      </c>
      <c r="C270" t="s">
        <v>340</v>
      </c>
      <c r="D270" t="s">
        <v>439</v>
      </c>
      <c r="F270" t="s">
        <v>1086</v>
      </c>
      <c r="G270" t="s">
        <v>5270</v>
      </c>
      <c r="H270" t="s">
        <v>9864</v>
      </c>
      <c r="I270" t="s">
        <v>17401</v>
      </c>
      <c r="J270" t="s">
        <v>18902</v>
      </c>
      <c r="K270">
        <v>10303</v>
      </c>
      <c r="L270" t="s">
        <v>18958</v>
      </c>
      <c r="M270" t="s">
        <v>18958</v>
      </c>
      <c r="N270" t="s">
        <v>19149</v>
      </c>
      <c r="O270" t="s">
        <v>26524</v>
      </c>
      <c r="P270" t="s">
        <v>26560</v>
      </c>
      <c r="R270" t="s">
        <v>26590</v>
      </c>
      <c r="S270" t="s">
        <v>18959</v>
      </c>
      <c r="U270" t="s">
        <v>26604</v>
      </c>
      <c r="V270" t="s">
        <v>26610</v>
      </c>
      <c r="W270" t="s">
        <v>439</v>
      </c>
      <c r="X270">
        <v>1956</v>
      </c>
      <c r="Y270" t="s">
        <v>26654</v>
      </c>
      <c r="Z270" t="s">
        <v>26659</v>
      </c>
      <c r="AB270" t="s">
        <v>26882</v>
      </c>
      <c r="AC270">
        <v>9495682</v>
      </c>
      <c r="AD270" t="s">
        <v>37043</v>
      </c>
      <c r="AE270">
        <v>1</v>
      </c>
      <c r="AF270" t="s">
        <v>45547</v>
      </c>
      <c r="AG270" t="s">
        <v>45558</v>
      </c>
      <c r="AH270">
        <v>2</v>
      </c>
      <c r="AI270">
        <v>2</v>
      </c>
      <c r="AJ270">
        <v>3</v>
      </c>
      <c r="AK270">
        <v>69.93000000000001</v>
      </c>
      <c r="AN270" t="s">
        <v>7439</v>
      </c>
      <c r="AO270">
        <v>20574</v>
      </c>
      <c r="AU270">
        <v>50</v>
      </c>
      <c r="AV270" t="s">
        <v>839</v>
      </c>
      <c r="AW270" t="s">
        <v>103</v>
      </c>
    </row>
    <row r="271" spans="1:50">
      <c r="A271" s="1">
        <f>HYPERLINK("https://lsnyc.legalserver.org/matter/dynamic-profile/view/1867788","18-1867788")</f>
        <v>0</v>
      </c>
      <c r="B271" t="s">
        <v>90</v>
      </c>
      <c r="C271" t="s">
        <v>341</v>
      </c>
      <c r="D271" t="s">
        <v>390</v>
      </c>
      <c r="E271" t="s">
        <v>518</v>
      </c>
      <c r="F271" t="s">
        <v>1087</v>
      </c>
      <c r="G271" t="s">
        <v>5271</v>
      </c>
      <c r="H271" t="s">
        <v>9865</v>
      </c>
      <c r="I271" t="s">
        <v>17293</v>
      </c>
      <c r="J271" t="s">
        <v>18893</v>
      </c>
      <c r="K271">
        <v>10029</v>
      </c>
      <c r="L271" t="s">
        <v>18958</v>
      </c>
      <c r="M271" t="s">
        <v>18958</v>
      </c>
      <c r="N271" t="s">
        <v>19150</v>
      </c>
      <c r="O271" t="s">
        <v>26523</v>
      </c>
      <c r="P271" t="s">
        <v>26560</v>
      </c>
      <c r="Q271" t="s">
        <v>26568</v>
      </c>
      <c r="R271" t="s">
        <v>26578</v>
      </c>
      <c r="S271" t="s">
        <v>18959</v>
      </c>
      <c r="U271" t="s">
        <v>26606</v>
      </c>
      <c r="V271" t="s">
        <v>26610</v>
      </c>
      <c r="W271" t="s">
        <v>446</v>
      </c>
      <c r="X271">
        <v>2692.96</v>
      </c>
      <c r="Y271" t="s">
        <v>26651</v>
      </c>
      <c r="Z271" t="s">
        <v>26661</v>
      </c>
      <c r="AA271" t="s">
        <v>26678</v>
      </c>
      <c r="AB271" t="s">
        <v>26951</v>
      </c>
      <c r="AD271" t="s">
        <v>37044</v>
      </c>
      <c r="AE271">
        <v>45</v>
      </c>
      <c r="AF271" t="s">
        <v>20460</v>
      </c>
      <c r="AG271" t="s">
        <v>45556</v>
      </c>
      <c r="AH271">
        <v>20</v>
      </c>
      <c r="AI271">
        <v>1</v>
      </c>
      <c r="AJ271">
        <v>0</v>
      </c>
      <c r="AK271">
        <v>171.33</v>
      </c>
      <c r="AN271" t="s">
        <v>7439</v>
      </c>
      <c r="AO271">
        <v>20800</v>
      </c>
      <c r="AQ271" t="s">
        <v>46362</v>
      </c>
      <c r="AR271" t="s">
        <v>46385</v>
      </c>
      <c r="AS271" t="s">
        <v>46499</v>
      </c>
      <c r="AT271" t="s">
        <v>46552</v>
      </c>
      <c r="AU271">
        <v>4.55</v>
      </c>
      <c r="AV271" t="s">
        <v>406</v>
      </c>
      <c r="AW271" t="s">
        <v>46829</v>
      </c>
    </row>
    <row r="272" spans="1:50">
      <c r="A272" s="1">
        <f>HYPERLINK("https://lsnyc.legalserver.org/matter/dynamic-profile/view/1872321","18-1872321")</f>
        <v>0</v>
      </c>
      <c r="B272" t="s">
        <v>149</v>
      </c>
      <c r="C272" t="s">
        <v>341</v>
      </c>
      <c r="D272" t="s">
        <v>446</v>
      </c>
      <c r="E272" t="s">
        <v>494</v>
      </c>
      <c r="F272" t="s">
        <v>1088</v>
      </c>
      <c r="G272" t="s">
        <v>5272</v>
      </c>
      <c r="H272" t="s">
        <v>9866</v>
      </c>
      <c r="I272">
        <v>201</v>
      </c>
      <c r="J272" t="s">
        <v>18892</v>
      </c>
      <c r="K272">
        <v>10457</v>
      </c>
      <c r="L272" t="s">
        <v>18958</v>
      </c>
      <c r="M272" t="s">
        <v>18958</v>
      </c>
      <c r="O272" t="s">
        <v>18997</v>
      </c>
      <c r="P272" t="s">
        <v>26564</v>
      </c>
      <c r="Q272" t="s">
        <v>26570</v>
      </c>
      <c r="R272" t="s">
        <v>26578</v>
      </c>
      <c r="S272" t="s">
        <v>18959</v>
      </c>
      <c r="U272" t="s">
        <v>26604</v>
      </c>
      <c r="W272" t="s">
        <v>446</v>
      </c>
      <c r="X272">
        <v>895</v>
      </c>
      <c r="Y272" t="s">
        <v>26650</v>
      </c>
      <c r="Z272" t="s">
        <v>26663</v>
      </c>
      <c r="AA272" t="s">
        <v>26683</v>
      </c>
      <c r="AB272" t="s">
        <v>26952</v>
      </c>
      <c r="AD272" t="s">
        <v>37045</v>
      </c>
      <c r="AE272">
        <v>3</v>
      </c>
      <c r="AF272" t="s">
        <v>45541</v>
      </c>
      <c r="AG272" t="s">
        <v>45556</v>
      </c>
      <c r="AH272">
        <v>2</v>
      </c>
      <c r="AI272">
        <v>1</v>
      </c>
      <c r="AJ272">
        <v>0</v>
      </c>
      <c r="AK272">
        <v>78.39</v>
      </c>
      <c r="AN272" t="s">
        <v>7439</v>
      </c>
      <c r="AO272">
        <v>9516</v>
      </c>
      <c r="AU272">
        <v>1.75</v>
      </c>
      <c r="AV272" t="s">
        <v>449</v>
      </c>
      <c r="AW272" t="s">
        <v>46859</v>
      </c>
    </row>
    <row r="273" spans="1:49">
      <c r="A273" s="1">
        <f>HYPERLINK("https://lsnyc.legalserver.org/matter/dynamic-profile/view/1872377","18-1872377")</f>
        <v>0</v>
      </c>
      <c r="B273" t="s">
        <v>150</v>
      </c>
      <c r="C273" t="s">
        <v>341</v>
      </c>
      <c r="D273" t="s">
        <v>446</v>
      </c>
      <c r="E273" t="s">
        <v>449</v>
      </c>
      <c r="F273" t="s">
        <v>1089</v>
      </c>
      <c r="G273" t="s">
        <v>5273</v>
      </c>
      <c r="H273" t="s">
        <v>9867</v>
      </c>
      <c r="I273" t="s">
        <v>17402</v>
      </c>
      <c r="J273" t="s">
        <v>18892</v>
      </c>
      <c r="K273">
        <v>10473</v>
      </c>
      <c r="L273" t="s">
        <v>18958</v>
      </c>
      <c r="M273" t="s">
        <v>18958</v>
      </c>
      <c r="N273" t="s">
        <v>19151</v>
      </c>
      <c r="O273" t="s">
        <v>26523</v>
      </c>
      <c r="P273" t="s">
        <v>26565</v>
      </c>
      <c r="Q273" t="s">
        <v>26570</v>
      </c>
      <c r="R273" t="s">
        <v>26578</v>
      </c>
      <c r="S273" t="s">
        <v>18959</v>
      </c>
      <c r="U273" t="s">
        <v>26604</v>
      </c>
      <c r="V273" t="s">
        <v>26612</v>
      </c>
      <c r="W273" t="s">
        <v>446</v>
      </c>
      <c r="X273">
        <v>640</v>
      </c>
      <c r="Y273" t="s">
        <v>26650</v>
      </c>
      <c r="Z273" t="s">
        <v>26656</v>
      </c>
      <c r="AA273" t="s">
        <v>26683</v>
      </c>
      <c r="AB273" t="s">
        <v>26953</v>
      </c>
      <c r="AC273" t="s">
        <v>34566</v>
      </c>
      <c r="AD273" t="s">
        <v>37046</v>
      </c>
      <c r="AE273">
        <v>5</v>
      </c>
      <c r="AF273" t="s">
        <v>45547</v>
      </c>
      <c r="AG273" t="s">
        <v>19330</v>
      </c>
      <c r="AH273">
        <v>5</v>
      </c>
      <c r="AI273">
        <v>1</v>
      </c>
      <c r="AJ273">
        <v>0</v>
      </c>
      <c r="AK273">
        <v>205.93</v>
      </c>
      <c r="AL273" t="s">
        <v>614</v>
      </c>
      <c r="AM273" t="s">
        <v>45575</v>
      </c>
      <c r="AN273" t="s">
        <v>7439</v>
      </c>
      <c r="AO273">
        <v>25000</v>
      </c>
      <c r="AP273" t="s">
        <v>45642</v>
      </c>
      <c r="AU273">
        <v>4.9</v>
      </c>
      <c r="AV273" t="s">
        <v>449</v>
      </c>
      <c r="AW273" t="s">
        <v>46837</v>
      </c>
    </row>
    <row r="274" spans="1:49">
      <c r="A274" s="1">
        <f>HYPERLINK("https://lsnyc.legalserver.org/matter/dynamic-profile/view/1872320","18-1872320")</f>
        <v>0</v>
      </c>
      <c r="B274" t="s">
        <v>58</v>
      </c>
      <c r="C274" t="s">
        <v>341</v>
      </c>
      <c r="D274" t="s">
        <v>446</v>
      </c>
      <c r="E274" t="s">
        <v>494</v>
      </c>
      <c r="F274" t="s">
        <v>1090</v>
      </c>
      <c r="G274" t="s">
        <v>5199</v>
      </c>
      <c r="H274" t="s">
        <v>9868</v>
      </c>
      <c r="I274" t="s">
        <v>17403</v>
      </c>
      <c r="J274" t="s">
        <v>18892</v>
      </c>
      <c r="K274">
        <v>10462</v>
      </c>
      <c r="L274" t="s">
        <v>18958</v>
      </c>
      <c r="M274" t="s">
        <v>18958</v>
      </c>
      <c r="N274" t="s">
        <v>19152</v>
      </c>
      <c r="O274" t="s">
        <v>26523</v>
      </c>
      <c r="P274" t="s">
        <v>26564</v>
      </c>
      <c r="Q274" t="s">
        <v>26570</v>
      </c>
      <c r="R274" t="s">
        <v>26579</v>
      </c>
      <c r="S274" t="s">
        <v>18959</v>
      </c>
      <c r="U274" t="s">
        <v>26604</v>
      </c>
      <c r="V274" t="s">
        <v>26611</v>
      </c>
      <c r="W274" t="s">
        <v>446</v>
      </c>
      <c r="X274">
        <v>1200</v>
      </c>
      <c r="Y274" t="s">
        <v>26650</v>
      </c>
      <c r="Z274" t="s">
        <v>26666</v>
      </c>
      <c r="AA274" t="s">
        <v>26683</v>
      </c>
      <c r="AB274" t="s">
        <v>26954</v>
      </c>
      <c r="AC274" t="s">
        <v>34567</v>
      </c>
      <c r="AE274">
        <v>100</v>
      </c>
      <c r="AF274" t="s">
        <v>20460</v>
      </c>
      <c r="AG274" t="s">
        <v>19330</v>
      </c>
      <c r="AH274">
        <v>1</v>
      </c>
      <c r="AI274">
        <v>2</v>
      </c>
      <c r="AJ274">
        <v>0</v>
      </c>
      <c r="AK274">
        <v>91.86</v>
      </c>
      <c r="AO274">
        <v>15120</v>
      </c>
      <c r="AP274" t="s">
        <v>45643</v>
      </c>
      <c r="AU274">
        <v>2.7</v>
      </c>
      <c r="AV274" t="s">
        <v>691</v>
      </c>
      <c r="AW274" t="s">
        <v>334</v>
      </c>
    </row>
    <row r="275" spans="1:49">
      <c r="A275" s="1">
        <f>HYPERLINK("https://lsnyc.legalserver.org/matter/dynamic-profile/view/1872290","18-1872290")</f>
        <v>0</v>
      </c>
      <c r="B275" t="s">
        <v>113</v>
      </c>
      <c r="C275" t="s">
        <v>341</v>
      </c>
      <c r="D275" t="s">
        <v>446</v>
      </c>
      <c r="E275" t="s">
        <v>712</v>
      </c>
      <c r="F275" t="s">
        <v>1091</v>
      </c>
      <c r="G275" t="s">
        <v>5086</v>
      </c>
      <c r="H275" t="s">
        <v>9869</v>
      </c>
      <c r="I275" t="s">
        <v>17299</v>
      </c>
      <c r="J275" t="s">
        <v>18892</v>
      </c>
      <c r="K275">
        <v>10455</v>
      </c>
      <c r="L275" t="s">
        <v>18958</v>
      </c>
      <c r="M275" t="s">
        <v>18958</v>
      </c>
      <c r="N275" t="s">
        <v>19153</v>
      </c>
      <c r="O275" t="s">
        <v>26523</v>
      </c>
      <c r="P275" t="s">
        <v>26560</v>
      </c>
      <c r="Q275" t="s">
        <v>26568</v>
      </c>
      <c r="R275" t="s">
        <v>26578</v>
      </c>
      <c r="S275" t="s">
        <v>18959</v>
      </c>
      <c r="U275" t="s">
        <v>26604</v>
      </c>
      <c r="V275" t="s">
        <v>26614</v>
      </c>
      <c r="W275" t="s">
        <v>446</v>
      </c>
      <c r="X275">
        <v>1019</v>
      </c>
      <c r="Y275" t="s">
        <v>26650</v>
      </c>
      <c r="Z275" t="s">
        <v>26656</v>
      </c>
      <c r="AA275" t="s">
        <v>26678</v>
      </c>
      <c r="AB275" t="s">
        <v>26955</v>
      </c>
      <c r="AC275" t="s">
        <v>34568</v>
      </c>
      <c r="AD275" t="s">
        <v>37047</v>
      </c>
      <c r="AE275">
        <v>110</v>
      </c>
      <c r="AF275" t="s">
        <v>45541</v>
      </c>
      <c r="AG275" t="s">
        <v>45556</v>
      </c>
      <c r="AH275">
        <v>1</v>
      </c>
      <c r="AI275">
        <v>1</v>
      </c>
      <c r="AJ275">
        <v>2</v>
      </c>
      <c r="AK275">
        <v>187.68</v>
      </c>
      <c r="AN275" t="s">
        <v>7439</v>
      </c>
      <c r="AO275">
        <v>39000</v>
      </c>
      <c r="AP275" t="s">
        <v>45621</v>
      </c>
      <c r="AQ275" t="s">
        <v>46365</v>
      </c>
      <c r="AR275" t="s">
        <v>46379</v>
      </c>
      <c r="AS275" t="s">
        <v>46499</v>
      </c>
      <c r="AT275" t="s">
        <v>46530</v>
      </c>
      <c r="AU275">
        <v>17.4</v>
      </c>
      <c r="AV275" t="s">
        <v>586</v>
      </c>
      <c r="AW275" t="s">
        <v>334</v>
      </c>
    </row>
    <row r="276" spans="1:49">
      <c r="A276" s="1">
        <f>HYPERLINK("https://lsnyc.legalserver.org/matter/dynamic-profile/view/1872356","18-1872356")</f>
        <v>0</v>
      </c>
      <c r="B276" t="s">
        <v>151</v>
      </c>
      <c r="C276" t="s">
        <v>341</v>
      </c>
      <c r="D276" t="s">
        <v>446</v>
      </c>
      <c r="E276" t="s">
        <v>765</v>
      </c>
      <c r="F276" t="s">
        <v>1092</v>
      </c>
      <c r="G276" t="s">
        <v>5274</v>
      </c>
      <c r="H276" t="s">
        <v>9870</v>
      </c>
      <c r="I276" t="s">
        <v>17404</v>
      </c>
      <c r="J276" t="s">
        <v>18893</v>
      </c>
      <c r="K276">
        <v>10025</v>
      </c>
      <c r="L276" t="s">
        <v>18958</v>
      </c>
      <c r="M276" t="s">
        <v>18958</v>
      </c>
      <c r="N276" t="s">
        <v>19154</v>
      </c>
      <c r="O276" t="s">
        <v>26523</v>
      </c>
      <c r="P276" t="s">
        <v>26560</v>
      </c>
      <c r="Q276" t="s">
        <v>26568</v>
      </c>
      <c r="R276" t="s">
        <v>26580</v>
      </c>
      <c r="S276" t="s">
        <v>18959</v>
      </c>
      <c r="U276" t="s">
        <v>26604</v>
      </c>
      <c r="V276" t="s">
        <v>26610</v>
      </c>
      <c r="W276" t="s">
        <v>446</v>
      </c>
      <c r="X276">
        <v>941.55</v>
      </c>
      <c r="Y276" t="s">
        <v>26651</v>
      </c>
      <c r="Z276" t="s">
        <v>26662</v>
      </c>
      <c r="AA276" t="s">
        <v>26678</v>
      </c>
      <c r="AB276" t="s">
        <v>26956</v>
      </c>
      <c r="AD276" t="s">
        <v>37048</v>
      </c>
      <c r="AE276">
        <v>0</v>
      </c>
      <c r="AG276" t="s">
        <v>19330</v>
      </c>
      <c r="AH276">
        <v>35</v>
      </c>
      <c r="AI276">
        <v>1</v>
      </c>
      <c r="AJ276">
        <v>0</v>
      </c>
      <c r="AK276">
        <v>126.33</v>
      </c>
      <c r="AO276">
        <v>15336</v>
      </c>
      <c r="AQ276" t="s">
        <v>46362</v>
      </c>
      <c r="AR276" t="s">
        <v>46380</v>
      </c>
      <c r="AS276" t="s">
        <v>46499</v>
      </c>
      <c r="AT276" t="s">
        <v>46534</v>
      </c>
      <c r="AU276">
        <v>11.5</v>
      </c>
      <c r="AV276" t="s">
        <v>573</v>
      </c>
      <c r="AW276" t="s">
        <v>314</v>
      </c>
    </row>
    <row r="277" spans="1:49">
      <c r="A277" s="1">
        <f>HYPERLINK("https://lsnyc.legalserver.org/matter/dynamic-profile/view/1872100","18-1872100")</f>
        <v>0</v>
      </c>
      <c r="B277" t="s">
        <v>109</v>
      </c>
      <c r="C277" t="s">
        <v>341</v>
      </c>
      <c r="D277" t="s">
        <v>446</v>
      </c>
      <c r="E277" t="s">
        <v>849</v>
      </c>
      <c r="F277" t="s">
        <v>1093</v>
      </c>
      <c r="G277" t="s">
        <v>5265</v>
      </c>
      <c r="H277" t="s">
        <v>9871</v>
      </c>
      <c r="J277" t="s">
        <v>18902</v>
      </c>
      <c r="K277">
        <v>10304</v>
      </c>
      <c r="L277" t="s">
        <v>18958</v>
      </c>
      <c r="M277" t="s">
        <v>18958</v>
      </c>
      <c r="N277" t="s">
        <v>19155</v>
      </c>
      <c r="O277" t="s">
        <v>26523</v>
      </c>
      <c r="P277" t="s">
        <v>26560</v>
      </c>
      <c r="Q277" t="s">
        <v>26568</v>
      </c>
      <c r="R277" t="s">
        <v>26578</v>
      </c>
      <c r="S277" t="s">
        <v>18959</v>
      </c>
      <c r="U277" t="s">
        <v>26604</v>
      </c>
      <c r="V277" t="s">
        <v>26610</v>
      </c>
      <c r="W277" t="s">
        <v>446</v>
      </c>
      <c r="X277">
        <v>1800</v>
      </c>
      <c r="Y277" t="s">
        <v>26654</v>
      </c>
      <c r="Z277" t="s">
        <v>26667</v>
      </c>
      <c r="AA277" t="s">
        <v>26679</v>
      </c>
      <c r="AB277" t="s">
        <v>26957</v>
      </c>
      <c r="AD277" t="s">
        <v>37049</v>
      </c>
      <c r="AE277">
        <v>2</v>
      </c>
      <c r="AF277" t="s">
        <v>45547</v>
      </c>
      <c r="AG277" t="s">
        <v>19330</v>
      </c>
      <c r="AH277">
        <v>3</v>
      </c>
      <c r="AI277">
        <v>2</v>
      </c>
      <c r="AJ277">
        <v>1</v>
      </c>
      <c r="AK277">
        <v>79.17</v>
      </c>
      <c r="AN277" t="s">
        <v>7439</v>
      </c>
      <c r="AO277">
        <v>16452</v>
      </c>
      <c r="AQ277" t="s">
        <v>46365</v>
      </c>
      <c r="AR277" t="s">
        <v>26530</v>
      </c>
      <c r="AS277" t="s">
        <v>46500</v>
      </c>
      <c r="AT277" t="s">
        <v>46577</v>
      </c>
      <c r="AU277">
        <v>11.85</v>
      </c>
      <c r="AV277" t="s">
        <v>726</v>
      </c>
      <c r="AW277" t="s">
        <v>46855</v>
      </c>
    </row>
    <row r="278" spans="1:49">
      <c r="A278" s="1">
        <f>HYPERLINK("https://lsnyc.legalserver.org/matter/dynamic-profile/view/1871918","18-1871918")</f>
        <v>0</v>
      </c>
      <c r="B278" t="s">
        <v>109</v>
      </c>
      <c r="C278" t="s">
        <v>341</v>
      </c>
      <c r="D278" t="s">
        <v>446</v>
      </c>
      <c r="E278" t="s">
        <v>798</v>
      </c>
      <c r="F278" t="s">
        <v>1094</v>
      </c>
      <c r="G278" t="s">
        <v>5275</v>
      </c>
      <c r="H278" t="s">
        <v>9872</v>
      </c>
      <c r="J278" t="s">
        <v>18902</v>
      </c>
      <c r="K278">
        <v>10306</v>
      </c>
      <c r="L278" t="s">
        <v>18958</v>
      </c>
      <c r="M278" t="s">
        <v>18958</v>
      </c>
      <c r="N278" t="s">
        <v>19156</v>
      </c>
      <c r="O278" t="s">
        <v>26523</v>
      </c>
      <c r="P278" t="s">
        <v>26560</v>
      </c>
      <c r="Q278" t="s">
        <v>26568</v>
      </c>
      <c r="R278" t="s">
        <v>26587</v>
      </c>
      <c r="S278" t="s">
        <v>18959</v>
      </c>
      <c r="U278" t="s">
        <v>26604</v>
      </c>
      <c r="V278" t="s">
        <v>26610</v>
      </c>
      <c r="W278" t="s">
        <v>446</v>
      </c>
      <c r="X278">
        <v>1500</v>
      </c>
      <c r="Y278" t="s">
        <v>26654</v>
      </c>
      <c r="Z278" t="s">
        <v>26656</v>
      </c>
      <c r="AA278" t="s">
        <v>26679</v>
      </c>
      <c r="AB278" t="s">
        <v>26958</v>
      </c>
      <c r="AD278" t="s">
        <v>37050</v>
      </c>
      <c r="AE278">
        <v>2</v>
      </c>
      <c r="AF278" t="s">
        <v>45547</v>
      </c>
      <c r="AH278">
        <v>6</v>
      </c>
      <c r="AI278">
        <v>1</v>
      </c>
      <c r="AJ278">
        <v>2</v>
      </c>
      <c r="AK278">
        <v>121.37</v>
      </c>
      <c r="AN278" t="s">
        <v>7439</v>
      </c>
      <c r="AO278">
        <v>25220</v>
      </c>
      <c r="AQ278" t="s">
        <v>46362</v>
      </c>
      <c r="AR278" t="s">
        <v>26530</v>
      </c>
      <c r="AS278" t="s">
        <v>46500</v>
      </c>
      <c r="AT278" t="s">
        <v>46578</v>
      </c>
      <c r="AU278">
        <v>2.1</v>
      </c>
      <c r="AV278" t="s">
        <v>798</v>
      </c>
      <c r="AW278" t="s">
        <v>46855</v>
      </c>
    </row>
    <row r="279" spans="1:49">
      <c r="A279" s="1">
        <f>HYPERLINK("https://lsnyc.legalserver.org/matter/dynamic-profile/view/1872323","18-1872323")</f>
        <v>0</v>
      </c>
      <c r="B279" t="s">
        <v>146</v>
      </c>
      <c r="C279" t="s">
        <v>341</v>
      </c>
      <c r="D279" t="s">
        <v>446</v>
      </c>
      <c r="E279" t="s">
        <v>524</v>
      </c>
      <c r="F279" t="s">
        <v>1095</v>
      </c>
      <c r="G279" t="s">
        <v>5276</v>
      </c>
      <c r="H279" t="s">
        <v>9873</v>
      </c>
      <c r="I279">
        <v>32</v>
      </c>
      <c r="J279" t="s">
        <v>18893</v>
      </c>
      <c r="K279">
        <v>10032</v>
      </c>
      <c r="L279" t="s">
        <v>18958</v>
      </c>
      <c r="M279" t="s">
        <v>18958</v>
      </c>
      <c r="O279" t="s">
        <v>26527</v>
      </c>
      <c r="P279" t="s">
        <v>26564</v>
      </c>
      <c r="Q279" t="s">
        <v>26570</v>
      </c>
      <c r="R279" t="s">
        <v>26578</v>
      </c>
      <c r="S279" t="s">
        <v>18959</v>
      </c>
      <c r="U279" t="s">
        <v>26604</v>
      </c>
      <c r="W279" t="s">
        <v>446</v>
      </c>
      <c r="X279">
        <v>2580</v>
      </c>
      <c r="Y279" t="s">
        <v>26651</v>
      </c>
      <c r="Z279" t="s">
        <v>26661</v>
      </c>
      <c r="AA279" t="s">
        <v>26683</v>
      </c>
      <c r="AB279" t="s">
        <v>26959</v>
      </c>
      <c r="AD279" t="s">
        <v>37051</v>
      </c>
      <c r="AE279">
        <v>56</v>
      </c>
      <c r="AF279" t="s">
        <v>45541</v>
      </c>
      <c r="AG279" t="s">
        <v>19330</v>
      </c>
      <c r="AH279">
        <v>3</v>
      </c>
      <c r="AI279">
        <v>1</v>
      </c>
      <c r="AJ279">
        <v>0</v>
      </c>
      <c r="AK279">
        <v>123.56</v>
      </c>
      <c r="AN279" t="s">
        <v>7439</v>
      </c>
      <c r="AO279">
        <v>15000</v>
      </c>
      <c r="AU279">
        <v>0.9</v>
      </c>
      <c r="AV279" t="s">
        <v>512</v>
      </c>
      <c r="AW279" t="s">
        <v>46840</v>
      </c>
    </row>
    <row r="280" spans="1:49">
      <c r="A280" s="1">
        <f>HYPERLINK("https://lsnyc.legalserver.org/matter/dynamic-profile/view/1872414","18-1872414")</f>
        <v>0</v>
      </c>
      <c r="B280" t="s">
        <v>152</v>
      </c>
      <c r="C280" t="s">
        <v>341</v>
      </c>
      <c r="D280" t="s">
        <v>446</v>
      </c>
      <c r="E280" t="s">
        <v>804</v>
      </c>
      <c r="F280" t="s">
        <v>1096</v>
      </c>
      <c r="G280" t="s">
        <v>5277</v>
      </c>
      <c r="H280" t="s">
        <v>9874</v>
      </c>
      <c r="I280" t="s">
        <v>17405</v>
      </c>
      <c r="J280" t="s">
        <v>18892</v>
      </c>
      <c r="K280">
        <v>10453</v>
      </c>
      <c r="L280" t="s">
        <v>18958</v>
      </c>
      <c r="M280" t="s">
        <v>18958</v>
      </c>
      <c r="O280" t="s">
        <v>26523</v>
      </c>
      <c r="P280" t="s">
        <v>26560</v>
      </c>
      <c r="Q280" t="s">
        <v>26568</v>
      </c>
      <c r="R280" t="s">
        <v>26578</v>
      </c>
      <c r="S280" t="s">
        <v>18959</v>
      </c>
      <c r="U280" t="s">
        <v>26604</v>
      </c>
      <c r="W280" t="s">
        <v>446</v>
      </c>
      <c r="X280">
        <v>1359</v>
      </c>
      <c r="Y280" t="s">
        <v>26650</v>
      </c>
      <c r="Z280" t="s">
        <v>26657</v>
      </c>
      <c r="AA280" t="s">
        <v>26678</v>
      </c>
      <c r="AB280" t="s">
        <v>26960</v>
      </c>
      <c r="AD280" t="s">
        <v>37052</v>
      </c>
      <c r="AE280">
        <v>56</v>
      </c>
      <c r="AF280" t="s">
        <v>45552</v>
      </c>
      <c r="AG280" t="s">
        <v>45556</v>
      </c>
      <c r="AH280">
        <v>14</v>
      </c>
      <c r="AI280">
        <v>2</v>
      </c>
      <c r="AJ280">
        <v>0</v>
      </c>
      <c r="AK280">
        <v>217.59</v>
      </c>
      <c r="AL280" t="s">
        <v>614</v>
      </c>
      <c r="AM280" t="s">
        <v>45575</v>
      </c>
      <c r="AN280" t="s">
        <v>45581</v>
      </c>
      <c r="AO280">
        <v>35816</v>
      </c>
      <c r="AU280">
        <v>15</v>
      </c>
      <c r="AV280" t="s">
        <v>699</v>
      </c>
      <c r="AW280" t="s">
        <v>46860</v>
      </c>
    </row>
    <row r="281" spans="1:49">
      <c r="A281" s="1">
        <f>HYPERLINK("https://lsnyc.legalserver.org/matter/dynamic-profile/view/1872385","18-1872385")</f>
        <v>0</v>
      </c>
      <c r="B281" t="s">
        <v>79</v>
      </c>
      <c r="C281" t="s">
        <v>341</v>
      </c>
      <c r="D281" t="s">
        <v>446</v>
      </c>
      <c r="E281" t="s">
        <v>588</v>
      </c>
      <c r="F281" t="s">
        <v>1097</v>
      </c>
      <c r="G281" t="s">
        <v>5278</v>
      </c>
      <c r="H281" t="s">
        <v>9875</v>
      </c>
      <c r="I281" t="s">
        <v>17319</v>
      </c>
      <c r="J281" t="s">
        <v>18893</v>
      </c>
      <c r="K281">
        <v>10040</v>
      </c>
      <c r="L281" t="s">
        <v>18958</v>
      </c>
      <c r="M281" t="s">
        <v>18958</v>
      </c>
      <c r="O281" t="s">
        <v>26523</v>
      </c>
      <c r="P281" t="s">
        <v>26564</v>
      </c>
      <c r="Q281" t="s">
        <v>26570</v>
      </c>
      <c r="R281" t="s">
        <v>26578</v>
      </c>
      <c r="S281" t="s">
        <v>18959</v>
      </c>
      <c r="U281" t="s">
        <v>26604</v>
      </c>
      <c r="W281" t="s">
        <v>446</v>
      </c>
      <c r="X281">
        <v>847.33</v>
      </c>
      <c r="Y281" t="s">
        <v>26651</v>
      </c>
      <c r="Z281" t="s">
        <v>26661</v>
      </c>
      <c r="AA281" t="s">
        <v>26683</v>
      </c>
      <c r="AB281" t="s">
        <v>26961</v>
      </c>
      <c r="AD281" t="s">
        <v>37053</v>
      </c>
      <c r="AE281">
        <v>72</v>
      </c>
      <c r="AF281" t="s">
        <v>45541</v>
      </c>
      <c r="AG281" t="s">
        <v>45559</v>
      </c>
      <c r="AH281">
        <v>30</v>
      </c>
      <c r="AI281">
        <v>1</v>
      </c>
      <c r="AJ281">
        <v>0</v>
      </c>
      <c r="AK281">
        <v>101.91</v>
      </c>
      <c r="AN281" t="s">
        <v>7439</v>
      </c>
      <c r="AO281">
        <v>12372</v>
      </c>
      <c r="AU281">
        <v>5.35</v>
      </c>
      <c r="AV281" t="s">
        <v>571</v>
      </c>
      <c r="AW281" t="s">
        <v>46840</v>
      </c>
    </row>
    <row r="282" spans="1:49">
      <c r="A282" s="1">
        <f>HYPERLINK("https://lsnyc.legalserver.org/matter/dynamic-profile/view/1872350","18-1872350")</f>
        <v>0</v>
      </c>
      <c r="B282" t="s">
        <v>79</v>
      </c>
      <c r="C282" t="s">
        <v>341</v>
      </c>
      <c r="D282" t="s">
        <v>446</v>
      </c>
      <c r="E282" t="s">
        <v>588</v>
      </c>
      <c r="F282" t="s">
        <v>1021</v>
      </c>
      <c r="G282" t="s">
        <v>5279</v>
      </c>
      <c r="H282" t="s">
        <v>9876</v>
      </c>
      <c r="I282" t="s">
        <v>17355</v>
      </c>
      <c r="J282" t="s">
        <v>18893</v>
      </c>
      <c r="K282">
        <v>10034</v>
      </c>
      <c r="L282" t="s">
        <v>18958</v>
      </c>
      <c r="M282" t="s">
        <v>18958</v>
      </c>
      <c r="O282" t="s">
        <v>26523</v>
      </c>
      <c r="P282" t="s">
        <v>26564</v>
      </c>
      <c r="Q282" t="s">
        <v>26570</v>
      </c>
      <c r="R282" t="s">
        <v>26578</v>
      </c>
      <c r="S282" t="s">
        <v>18959</v>
      </c>
      <c r="U282" t="s">
        <v>26604</v>
      </c>
      <c r="W282" t="s">
        <v>446</v>
      </c>
      <c r="X282">
        <v>2193.96</v>
      </c>
      <c r="Y282" t="s">
        <v>26651</v>
      </c>
      <c r="Z282" t="s">
        <v>26661</v>
      </c>
      <c r="AA282" t="s">
        <v>26683</v>
      </c>
      <c r="AB282" t="s">
        <v>26962</v>
      </c>
      <c r="AD282" t="s">
        <v>37054</v>
      </c>
      <c r="AE282">
        <v>69</v>
      </c>
      <c r="AF282" t="s">
        <v>45541</v>
      </c>
      <c r="AG282" t="s">
        <v>19330</v>
      </c>
      <c r="AH282">
        <v>30</v>
      </c>
      <c r="AI282">
        <v>1</v>
      </c>
      <c r="AJ282">
        <v>0</v>
      </c>
      <c r="AK282">
        <v>214.17</v>
      </c>
      <c r="AL282" t="s">
        <v>614</v>
      </c>
      <c r="AM282" t="s">
        <v>45575</v>
      </c>
      <c r="AN282" t="s">
        <v>7439</v>
      </c>
      <c r="AO282">
        <v>26000</v>
      </c>
      <c r="AU282">
        <v>1.4</v>
      </c>
      <c r="AV282" t="s">
        <v>571</v>
      </c>
      <c r="AW282" t="s">
        <v>46840</v>
      </c>
    </row>
    <row r="283" spans="1:49">
      <c r="A283" s="1">
        <f>HYPERLINK("https://lsnyc.legalserver.org/matter/dynamic-profile/view/1872309","18-1872309")</f>
        <v>0</v>
      </c>
      <c r="B283" t="s">
        <v>141</v>
      </c>
      <c r="C283" t="s">
        <v>341</v>
      </c>
      <c r="D283" t="s">
        <v>446</v>
      </c>
      <c r="E283" t="s">
        <v>412</v>
      </c>
      <c r="F283" t="s">
        <v>1098</v>
      </c>
      <c r="G283" t="s">
        <v>5280</v>
      </c>
      <c r="H283" t="s">
        <v>9877</v>
      </c>
      <c r="I283">
        <v>314</v>
      </c>
      <c r="J283" t="s">
        <v>18900</v>
      </c>
      <c r="K283">
        <v>11354</v>
      </c>
      <c r="L283" t="s">
        <v>18958</v>
      </c>
      <c r="M283" t="s">
        <v>18958</v>
      </c>
      <c r="N283" t="s">
        <v>19157</v>
      </c>
      <c r="O283" t="s">
        <v>26523</v>
      </c>
      <c r="P283" t="s">
        <v>26560</v>
      </c>
      <c r="Q283" t="s">
        <v>26568</v>
      </c>
      <c r="R283" t="s">
        <v>26578</v>
      </c>
      <c r="S283" t="s">
        <v>18959</v>
      </c>
      <c r="U283" t="s">
        <v>26604</v>
      </c>
      <c r="V283" t="s">
        <v>26610</v>
      </c>
      <c r="W283" t="s">
        <v>446</v>
      </c>
      <c r="X283">
        <v>970.62</v>
      </c>
      <c r="Y283" t="s">
        <v>26653</v>
      </c>
      <c r="Z283" t="s">
        <v>26659</v>
      </c>
      <c r="AA283" t="s">
        <v>26678</v>
      </c>
      <c r="AB283" t="s">
        <v>26963</v>
      </c>
      <c r="AC283" t="s">
        <v>34569</v>
      </c>
      <c r="AD283" t="s">
        <v>37055</v>
      </c>
      <c r="AE283">
        <v>120</v>
      </c>
      <c r="AF283" t="s">
        <v>45541</v>
      </c>
      <c r="AG283" t="s">
        <v>19330</v>
      </c>
      <c r="AH283">
        <v>30</v>
      </c>
      <c r="AI283">
        <v>1</v>
      </c>
      <c r="AJ283">
        <v>0</v>
      </c>
      <c r="AK283">
        <v>86</v>
      </c>
      <c r="AN283" t="s">
        <v>45590</v>
      </c>
      <c r="AO283">
        <v>10440</v>
      </c>
      <c r="AQ283" t="s">
        <v>46359</v>
      </c>
      <c r="AR283" t="s">
        <v>46379</v>
      </c>
      <c r="AS283" t="s">
        <v>46499</v>
      </c>
      <c r="AT283" t="s">
        <v>46579</v>
      </c>
      <c r="AU283">
        <v>17.2</v>
      </c>
      <c r="AV283" t="s">
        <v>582</v>
      </c>
      <c r="AW283" t="s">
        <v>208</v>
      </c>
    </row>
    <row r="284" spans="1:49">
      <c r="A284" s="1">
        <f>HYPERLINK("https://lsnyc.legalserver.org/matter/dynamic-profile/view/1873456","18-1873456")</f>
        <v>0</v>
      </c>
      <c r="B284" t="s">
        <v>95</v>
      </c>
      <c r="C284" t="s">
        <v>341</v>
      </c>
      <c r="D284" t="s">
        <v>446</v>
      </c>
      <c r="E284" t="s">
        <v>465</v>
      </c>
      <c r="F284" t="s">
        <v>1099</v>
      </c>
      <c r="G284" t="s">
        <v>5281</v>
      </c>
      <c r="H284" t="s">
        <v>9878</v>
      </c>
      <c r="I284" t="s">
        <v>17275</v>
      </c>
      <c r="J284" t="s">
        <v>18894</v>
      </c>
      <c r="K284">
        <v>11217</v>
      </c>
      <c r="L284" t="s">
        <v>18958</v>
      </c>
      <c r="M284" t="s">
        <v>18958</v>
      </c>
      <c r="N284" t="s">
        <v>19158</v>
      </c>
      <c r="O284" t="s">
        <v>26524</v>
      </c>
      <c r="P284" t="s">
        <v>26564</v>
      </c>
      <c r="Q284" t="s">
        <v>26570</v>
      </c>
      <c r="R284" t="s">
        <v>26578</v>
      </c>
      <c r="S284" t="s">
        <v>18959</v>
      </c>
      <c r="U284" t="s">
        <v>26604</v>
      </c>
      <c r="W284" t="s">
        <v>446</v>
      </c>
      <c r="X284">
        <v>1113.78</v>
      </c>
      <c r="Y284" t="s">
        <v>26652</v>
      </c>
      <c r="Z284" t="s">
        <v>26659</v>
      </c>
      <c r="AA284" t="s">
        <v>26678</v>
      </c>
      <c r="AB284" t="s">
        <v>26964</v>
      </c>
      <c r="AC284" t="s">
        <v>34570</v>
      </c>
      <c r="AD284" t="s">
        <v>37056</v>
      </c>
      <c r="AE284">
        <v>36</v>
      </c>
      <c r="AF284" t="s">
        <v>45541</v>
      </c>
      <c r="AG284" t="s">
        <v>45560</v>
      </c>
      <c r="AH284">
        <v>20</v>
      </c>
      <c r="AI284">
        <v>1</v>
      </c>
      <c r="AJ284">
        <v>0</v>
      </c>
      <c r="AK284">
        <v>8.199999999999999</v>
      </c>
      <c r="AN284" t="s">
        <v>7439</v>
      </c>
      <c r="AO284">
        <v>996</v>
      </c>
      <c r="AU284">
        <v>0.5</v>
      </c>
      <c r="AV284" t="s">
        <v>465</v>
      </c>
      <c r="AW284" t="s">
        <v>95</v>
      </c>
    </row>
    <row r="285" spans="1:49">
      <c r="A285" s="1">
        <f>HYPERLINK("https://lsnyc.legalserver.org/matter/dynamic-profile/view/1872365","18-1872365")</f>
        <v>0</v>
      </c>
      <c r="B285" t="s">
        <v>76</v>
      </c>
      <c r="C285" t="s">
        <v>341</v>
      </c>
      <c r="D285" t="s">
        <v>446</v>
      </c>
      <c r="E285" t="s">
        <v>477</v>
      </c>
      <c r="F285" t="s">
        <v>952</v>
      </c>
      <c r="G285" t="s">
        <v>5282</v>
      </c>
      <c r="H285" t="s">
        <v>9879</v>
      </c>
      <c r="I285" t="s">
        <v>17284</v>
      </c>
      <c r="J285" t="s">
        <v>18893</v>
      </c>
      <c r="K285">
        <v>10026</v>
      </c>
      <c r="L285" t="s">
        <v>18958</v>
      </c>
      <c r="M285" t="s">
        <v>18958</v>
      </c>
      <c r="N285" t="s">
        <v>19159</v>
      </c>
      <c r="O285" t="s">
        <v>26524</v>
      </c>
      <c r="P285" t="s">
        <v>26564</v>
      </c>
      <c r="Q285" t="s">
        <v>26570</v>
      </c>
      <c r="R285" t="s">
        <v>26578</v>
      </c>
      <c r="S285" t="s">
        <v>18959</v>
      </c>
      <c r="U285" t="s">
        <v>26604</v>
      </c>
      <c r="W285" t="s">
        <v>446</v>
      </c>
      <c r="X285">
        <v>2500</v>
      </c>
      <c r="Y285" t="s">
        <v>26651</v>
      </c>
      <c r="Z285" t="s">
        <v>26662</v>
      </c>
      <c r="AA285" t="s">
        <v>26683</v>
      </c>
      <c r="AB285" t="s">
        <v>26965</v>
      </c>
      <c r="AD285" t="s">
        <v>37057</v>
      </c>
      <c r="AE285">
        <v>0</v>
      </c>
      <c r="AF285" t="s">
        <v>20460</v>
      </c>
      <c r="AG285" t="s">
        <v>19330</v>
      </c>
      <c r="AH285">
        <v>5</v>
      </c>
      <c r="AI285">
        <v>3</v>
      </c>
      <c r="AJ285">
        <v>2</v>
      </c>
      <c r="AK285">
        <v>152.01</v>
      </c>
      <c r="AN285" t="s">
        <v>7439</v>
      </c>
      <c r="AO285">
        <v>44720</v>
      </c>
      <c r="AU285">
        <v>2</v>
      </c>
      <c r="AV285" t="s">
        <v>440</v>
      </c>
      <c r="AW285" t="s">
        <v>314</v>
      </c>
    </row>
    <row r="286" spans="1:49">
      <c r="A286" s="1">
        <f>HYPERLINK("https://lsnyc.legalserver.org/matter/dynamic-profile/view/1872292","18-1872292")</f>
        <v>0</v>
      </c>
      <c r="B286" t="s">
        <v>76</v>
      </c>
      <c r="C286" t="s">
        <v>341</v>
      </c>
      <c r="D286" t="s">
        <v>446</v>
      </c>
      <c r="E286" t="s">
        <v>665</v>
      </c>
      <c r="F286" t="s">
        <v>1100</v>
      </c>
      <c r="G286" t="s">
        <v>5283</v>
      </c>
      <c r="H286" t="s">
        <v>9880</v>
      </c>
      <c r="I286" t="s">
        <v>17390</v>
      </c>
      <c r="J286" t="s">
        <v>18893</v>
      </c>
      <c r="K286">
        <v>10026</v>
      </c>
      <c r="L286" t="s">
        <v>18958</v>
      </c>
      <c r="M286" t="s">
        <v>18960</v>
      </c>
      <c r="N286" t="s">
        <v>19160</v>
      </c>
      <c r="O286" t="s">
        <v>26523</v>
      </c>
      <c r="P286" t="s">
        <v>26560</v>
      </c>
      <c r="Q286" t="s">
        <v>26573</v>
      </c>
      <c r="R286" t="s">
        <v>26580</v>
      </c>
      <c r="U286" t="s">
        <v>26604</v>
      </c>
      <c r="W286" t="s">
        <v>446</v>
      </c>
      <c r="X286">
        <v>481.83</v>
      </c>
      <c r="Y286" t="s">
        <v>26651</v>
      </c>
      <c r="Z286" t="s">
        <v>26662</v>
      </c>
      <c r="AA286" t="s">
        <v>26678</v>
      </c>
      <c r="AB286" t="s">
        <v>26966</v>
      </c>
      <c r="AD286" t="s">
        <v>37058</v>
      </c>
      <c r="AE286">
        <v>0</v>
      </c>
      <c r="AG286" t="s">
        <v>19330</v>
      </c>
      <c r="AH286">
        <v>25</v>
      </c>
      <c r="AI286">
        <v>2</v>
      </c>
      <c r="AJ286">
        <v>0</v>
      </c>
      <c r="AK286">
        <v>0</v>
      </c>
      <c r="AO286">
        <v>0</v>
      </c>
      <c r="AS286" t="s">
        <v>46499</v>
      </c>
      <c r="AT286" t="s">
        <v>46580</v>
      </c>
      <c r="AU286">
        <v>7.85</v>
      </c>
      <c r="AV286" t="s">
        <v>522</v>
      </c>
      <c r="AW286" t="s">
        <v>46845</v>
      </c>
    </row>
    <row r="287" spans="1:49">
      <c r="A287" s="1">
        <f>HYPERLINK("https://lsnyc.legalserver.org/matter/dynamic-profile/view/1872310","18-1872310")</f>
        <v>0</v>
      </c>
      <c r="B287" t="s">
        <v>76</v>
      </c>
      <c r="C287" t="s">
        <v>341</v>
      </c>
      <c r="D287" t="s">
        <v>446</v>
      </c>
      <c r="E287" t="s">
        <v>477</v>
      </c>
      <c r="F287" t="s">
        <v>900</v>
      </c>
      <c r="G287" t="s">
        <v>1685</v>
      </c>
      <c r="H287" t="s">
        <v>9879</v>
      </c>
      <c r="I287" t="s">
        <v>17284</v>
      </c>
      <c r="J287" t="s">
        <v>18893</v>
      </c>
      <c r="K287">
        <v>10026</v>
      </c>
      <c r="L287" t="s">
        <v>18958</v>
      </c>
      <c r="M287" t="s">
        <v>18958</v>
      </c>
      <c r="N287" t="s">
        <v>19159</v>
      </c>
      <c r="O287" t="s">
        <v>26524</v>
      </c>
      <c r="P287" t="s">
        <v>26564</v>
      </c>
      <c r="Q287" t="s">
        <v>26570</v>
      </c>
      <c r="R287" t="s">
        <v>26580</v>
      </c>
      <c r="S287" t="s">
        <v>18959</v>
      </c>
      <c r="U287" t="s">
        <v>26604</v>
      </c>
      <c r="W287" t="s">
        <v>446</v>
      </c>
      <c r="X287">
        <v>2500</v>
      </c>
      <c r="Y287" t="s">
        <v>26651</v>
      </c>
      <c r="Z287" t="s">
        <v>26662</v>
      </c>
      <c r="AA287" t="s">
        <v>26683</v>
      </c>
      <c r="AB287" t="s">
        <v>26967</v>
      </c>
      <c r="AD287" t="s">
        <v>37059</v>
      </c>
      <c r="AE287">
        <v>28</v>
      </c>
      <c r="AF287" t="s">
        <v>20460</v>
      </c>
      <c r="AG287" t="s">
        <v>19330</v>
      </c>
      <c r="AH287">
        <v>5</v>
      </c>
      <c r="AI287">
        <v>3</v>
      </c>
      <c r="AJ287">
        <v>2</v>
      </c>
      <c r="AK287">
        <v>152.01</v>
      </c>
      <c r="AN287" t="s">
        <v>7439</v>
      </c>
      <c r="AO287">
        <v>44720</v>
      </c>
      <c r="AU287">
        <v>1.5</v>
      </c>
      <c r="AV287" t="s">
        <v>440</v>
      </c>
      <c r="AW287" t="s">
        <v>46845</v>
      </c>
    </row>
    <row r="288" spans="1:49">
      <c r="A288" s="1">
        <f>HYPERLINK("https://lsnyc.legalserver.org/matter/dynamic-profile/view/1872415","18-1872415")</f>
        <v>0</v>
      </c>
      <c r="B288" t="s">
        <v>87</v>
      </c>
      <c r="C288" t="s">
        <v>341</v>
      </c>
      <c r="D288" t="s">
        <v>446</v>
      </c>
      <c r="E288" t="s">
        <v>719</v>
      </c>
      <c r="F288" t="s">
        <v>1101</v>
      </c>
      <c r="G288" t="s">
        <v>5284</v>
      </c>
      <c r="H288" t="s">
        <v>9881</v>
      </c>
      <c r="I288" t="s">
        <v>17406</v>
      </c>
      <c r="J288" t="s">
        <v>18892</v>
      </c>
      <c r="K288">
        <v>10468</v>
      </c>
      <c r="L288" t="s">
        <v>18958</v>
      </c>
      <c r="M288" t="s">
        <v>18958</v>
      </c>
      <c r="N288" t="s">
        <v>19161</v>
      </c>
      <c r="O288" t="s">
        <v>26523</v>
      </c>
      <c r="P288" t="s">
        <v>26560</v>
      </c>
      <c r="Q288" t="s">
        <v>26568</v>
      </c>
      <c r="R288" t="s">
        <v>26579</v>
      </c>
      <c r="U288" t="s">
        <v>26604</v>
      </c>
      <c r="V288" t="s">
        <v>26610</v>
      </c>
      <c r="W288" t="s">
        <v>446</v>
      </c>
      <c r="X288">
        <v>0</v>
      </c>
      <c r="Y288" t="s">
        <v>26650</v>
      </c>
      <c r="Z288" t="s">
        <v>26662</v>
      </c>
      <c r="AA288" t="s">
        <v>26678</v>
      </c>
      <c r="AB288" t="s">
        <v>26968</v>
      </c>
      <c r="AC288" t="s">
        <v>34571</v>
      </c>
      <c r="AD288" t="s">
        <v>37060</v>
      </c>
      <c r="AE288">
        <v>0</v>
      </c>
      <c r="AF288" t="s">
        <v>45541</v>
      </c>
      <c r="AG288" t="s">
        <v>45556</v>
      </c>
      <c r="AH288">
        <v>0</v>
      </c>
      <c r="AI288">
        <v>4</v>
      </c>
      <c r="AJ288">
        <v>0</v>
      </c>
      <c r="AK288">
        <v>82.87</v>
      </c>
      <c r="AN288" t="s">
        <v>45581</v>
      </c>
      <c r="AO288">
        <v>20800</v>
      </c>
      <c r="AP288" t="s">
        <v>45621</v>
      </c>
      <c r="AR288" t="s">
        <v>46379</v>
      </c>
      <c r="AS288" t="s">
        <v>46499</v>
      </c>
      <c r="AT288" t="s">
        <v>46551</v>
      </c>
      <c r="AU288">
        <v>6.75</v>
      </c>
      <c r="AV288" t="s">
        <v>643</v>
      </c>
      <c r="AW288" t="s">
        <v>334</v>
      </c>
    </row>
    <row r="289" spans="1:50">
      <c r="A289" s="1">
        <f>HYPERLINK("https://lsnyc.legalserver.org/matter/dynamic-profile/view/1872407","18-1872407")</f>
        <v>0</v>
      </c>
      <c r="B289" t="s">
        <v>51</v>
      </c>
      <c r="C289" t="s">
        <v>341</v>
      </c>
      <c r="D289" t="s">
        <v>446</v>
      </c>
      <c r="E289" t="s">
        <v>427</v>
      </c>
      <c r="F289" t="s">
        <v>1102</v>
      </c>
      <c r="G289" t="s">
        <v>5285</v>
      </c>
      <c r="H289" t="s">
        <v>9882</v>
      </c>
      <c r="I289" t="s">
        <v>17407</v>
      </c>
      <c r="J289" t="s">
        <v>18892</v>
      </c>
      <c r="K289">
        <v>10467</v>
      </c>
      <c r="L289" t="s">
        <v>18958</v>
      </c>
      <c r="M289" t="s">
        <v>18958</v>
      </c>
      <c r="N289" t="s">
        <v>19162</v>
      </c>
      <c r="O289" t="s">
        <v>26523</v>
      </c>
      <c r="P289" t="s">
        <v>26564</v>
      </c>
      <c r="Q289" t="s">
        <v>26570</v>
      </c>
      <c r="R289" t="s">
        <v>26579</v>
      </c>
      <c r="S289" t="s">
        <v>18959</v>
      </c>
      <c r="U289" t="s">
        <v>26604</v>
      </c>
      <c r="V289" t="s">
        <v>26610</v>
      </c>
      <c r="W289" t="s">
        <v>446</v>
      </c>
      <c r="X289">
        <v>1447.03</v>
      </c>
      <c r="Y289" t="s">
        <v>26650</v>
      </c>
      <c r="Z289" t="s">
        <v>26662</v>
      </c>
      <c r="AA289" t="s">
        <v>26683</v>
      </c>
      <c r="AB289" t="s">
        <v>26969</v>
      </c>
      <c r="AC289" t="s">
        <v>34572</v>
      </c>
      <c r="AD289" t="s">
        <v>37061</v>
      </c>
      <c r="AE289">
        <v>93</v>
      </c>
      <c r="AF289" t="s">
        <v>45541</v>
      </c>
      <c r="AG289" t="s">
        <v>19330</v>
      </c>
      <c r="AH289">
        <v>9</v>
      </c>
      <c r="AI289">
        <v>1</v>
      </c>
      <c r="AJ289">
        <v>1</v>
      </c>
      <c r="AK289">
        <v>0</v>
      </c>
      <c r="AN289" t="s">
        <v>45581</v>
      </c>
      <c r="AO289">
        <v>0</v>
      </c>
      <c r="AP289" t="s">
        <v>45644</v>
      </c>
      <c r="AU289">
        <v>3.4</v>
      </c>
      <c r="AV289" t="s">
        <v>500</v>
      </c>
      <c r="AW289" t="s">
        <v>336</v>
      </c>
    </row>
    <row r="290" spans="1:50">
      <c r="A290" s="1">
        <f>HYPERLINK("https://lsnyc.legalserver.org/matter/dynamic-profile/view/1872412","18-1872412")</f>
        <v>0</v>
      </c>
      <c r="B290" t="s">
        <v>125</v>
      </c>
      <c r="C290" t="s">
        <v>341</v>
      </c>
      <c r="D290" t="s">
        <v>446</v>
      </c>
      <c r="E290" t="s">
        <v>697</v>
      </c>
      <c r="F290" t="s">
        <v>1103</v>
      </c>
      <c r="G290" t="s">
        <v>5286</v>
      </c>
      <c r="H290" t="s">
        <v>9883</v>
      </c>
      <c r="I290">
        <v>3</v>
      </c>
      <c r="J290" t="s">
        <v>18894</v>
      </c>
      <c r="K290">
        <v>11233</v>
      </c>
      <c r="L290" t="s">
        <v>18958</v>
      </c>
      <c r="M290" t="s">
        <v>18958</v>
      </c>
      <c r="N290" t="s">
        <v>19163</v>
      </c>
      <c r="O290" t="s">
        <v>26523</v>
      </c>
      <c r="P290" t="s">
        <v>26564</v>
      </c>
      <c r="Q290" t="s">
        <v>26570</v>
      </c>
      <c r="R290" t="s">
        <v>26578</v>
      </c>
      <c r="S290" t="s">
        <v>18958</v>
      </c>
      <c r="U290" t="s">
        <v>26604</v>
      </c>
      <c r="W290" t="s">
        <v>446</v>
      </c>
      <c r="X290">
        <v>1750</v>
      </c>
      <c r="Y290" t="s">
        <v>26652</v>
      </c>
      <c r="AA290" t="s">
        <v>26683</v>
      </c>
      <c r="AB290" t="s">
        <v>26970</v>
      </c>
      <c r="AC290" t="s">
        <v>34573</v>
      </c>
      <c r="AD290" t="s">
        <v>37062</v>
      </c>
      <c r="AE290">
        <v>6</v>
      </c>
      <c r="AF290" t="s">
        <v>45541</v>
      </c>
      <c r="AG290" t="s">
        <v>19330</v>
      </c>
      <c r="AH290">
        <v>1</v>
      </c>
      <c r="AI290">
        <v>2</v>
      </c>
      <c r="AJ290">
        <v>0</v>
      </c>
      <c r="AK290">
        <v>164.03</v>
      </c>
      <c r="AN290" t="s">
        <v>7439</v>
      </c>
      <c r="AO290">
        <v>27000</v>
      </c>
      <c r="AU290">
        <v>2.5</v>
      </c>
      <c r="AV290" t="s">
        <v>461</v>
      </c>
      <c r="AW290" t="s">
        <v>279</v>
      </c>
    </row>
    <row r="291" spans="1:50">
      <c r="A291" s="1">
        <f>HYPERLINK("https://lsnyc.legalserver.org/matter/dynamic-profile/view/1872389","18-1872389")</f>
        <v>0</v>
      </c>
      <c r="B291" t="s">
        <v>61</v>
      </c>
      <c r="C291" t="s">
        <v>340</v>
      </c>
      <c r="D291" t="s">
        <v>446</v>
      </c>
      <c r="F291" t="s">
        <v>887</v>
      </c>
      <c r="G291" t="s">
        <v>5287</v>
      </c>
      <c r="H291" t="s">
        <v>9884</v>
      </c>
      <c r="I291">
        <v>5</v>
      </c>
      <c r="J291" t="s">
        <v>18893</v>
      </c>
      <c r="K291">
        <v>10034</v>
      </c>
      <c r="L291" t="s">
        <v>18958</v>
      </c>
      <c r="M291" t="s">
        <v>18958</v>
      </c>
      <c r="N291" t="s">
        <v>19164</v>
      </c>
      <c r="O291" t="s">
        <v>26523</v>
      </c>
      <c r="P291" t="s">
        <v>26560</v>
      </c>
      <c r="R291" t="s">
        <v>26578</v>
      </c>
      <c r="S291" t="s">
        <v>18959</v>
      </c>
      <c r="U291" t="s">
        <v>26604</v>
      </c>
      <c r="W291" t="s">
        <v>446</v>
      </c>
      <c r="X291">
        <v>1250</v>
      </c>
      <c r="Y291" t="s">
        <v>26651</v>
      </c>
      <c r="Z291" t="s">
        <v>26661</v>
      </c>
      <c r="AB291" t="s">
        <v>26971</v>
      </c>
      <c r="AE291">
        <v>63</v>
      </c>
      <c r="AF291" t="s">
        <v>45541</v>
      </c>
      <c r="AG291" t="s">
        <v>19330</v>
      </c>
      <c r="AH291">
        <v>3</v>
      </c>
      <c r="AI291">
        <v>2</v>
      </c>
      <c r="AJ291">
        <v>3</v>
      </c>
      <c r="AK291">
        <v>114.89</v>
      </c>
      <c r="AN291" t="s">
        <v>45581</v>
      </c>
      <c r="AO291">
        <v>33800</v>
      </c>
      <c r="AU291">
        <v>44.9</v>
      </c>
      <c r="AV291" t="s">
        <v>811</v>
      </c>
      <c r="AW291" t="s">
        <v>46840</v>
      </c>
      <c r="AX291" t="s">
        <v>46897</v>
      </c>
    </row>
    <row r="292" spans="1:50">
      <c r="A292" s="1">
        <f>HYPERLINK("https://lsnyc.legalserver.org/matter/dynamic-profile/view/1872335","18-1872335")</f>
        <v>0</v>
      </c>
      <c r="B292" t="s">
        <v>67</v>
      </c>
      <c r="C292" t="s">
        <v>340</v>
      </c>
      <c r="D292" t="s">
        <v>446</v>
      </c>
      <c r="F292" t="s">
        <v>1104</v>
      </c>
      <c r="G292" t="s">
        <v>5288</v>
      </c>
      <c r="H292" t="s">
        <v>9885</v>
      </c>
      <c r="I292" t="s">
        <v>17349</v>
      </c>
      <c r="J292" t="s">
        <v>18892</v>
      </c>
      <c r="K292">
        <v>10459</v>
      </c>
      <c r="L292" t="s">
        <v>18958</v>
      </c>
      <c r="M292" t="s">
        <v>18958</v>
      </c>
      <c r="N292" t="s">
        <v>19165</v>
      </c>
      <c r="O292" t="s">
        <v>26523</v>
      </c>
      <c r="P292" t="s">
        <v>26560</v>
      </c>
      <c r="R292" t="s">
        <v>26578</v>
      </c>
      <c r="S292" t="s">
        <v>18959</v>
      </c>
      <c r="U292" t="s">
        <v>26604</v>
      </c>
      <c r="V292" t="s">
        <v>26612</v>
      </c>
      <c r="W292" t="s">
        <v>446</v>
      </c>
      <c r="X292">
        <v>1032.47</v>
      </c>
      <c r="Y292" t="s">
        <v>26650</v>
      </c>
      <c r="Z292" t="s">
        <v>26656</v>
      </c>
      <c r="AB292" t="s">
        <v>26972</v>
      </c>
      <c r="AC292" t="s">
        <v>34574</v>
      </c>
      <c r="AD292" t="s">
        <v>37063</v>
      </c>
      <c r="AE292">
        <v>40</v>
      </c>
      <c r="AF292" t="s">
        <v>45541</v>
      </c>
      <c r="AG292" t="s">
        <v>19330</v>
      </c>
      <c r="AH292">
        <v>22</v>
      </c>
      <c r="AI292">
        <v>3</v>
      </c>
      <c r="AJ292">
        <v>0</v>
      </c>
      <c r="AK292">
        <v>60.87</v>
      </c>
      <c r="AN292" t="s">
        <v>7439</v>
      </c>
      <c r="AO292">
        <v>12648</v>
      </c>
      <c r="AP292" t="s">
        <v>45621</v>
      </c>
      <c r="AU292">
        <v>94.65000000000001</v>
      </c>
      <c r="AV292" t="s">
        <v>826</v>
      </c>
      <c r="AW292" t="s">
        <v>46859</v>
      </c>
    </row>
    <row r="293" spans="1:50">
      <c r="A293" s="1">
        <f>HYPERLINK("https://lsnyc.legalserver.org/matter/dynamic-profile/view/1872294","18-1872294")</f>
        <v>0</v>
      </c>
      <c r="B293" t="s">
        <v>84</v>
      </c>
      <c r="C293" t="s">
        <v>340</v>
      </c>
      <c r="D293" t="s">
        <v>446</v>
      </c>
      <c r="F293" t="s">
        <v>891</v>
      </c>
      <c r="G293" t="s">
        <v>5289</v>
      </c>
      <c r="H293" t="s">
        <v>9886</v>
      </c>
      <c r="I293">
        <v>23</v>
      </c>
      <c r="J293" t="s">
        <v>18893</v>
      </c>
      <c r="K293">
        <v>10026</v>
      </c>
      <c r="L293" t="s">
        <v>18958</v>
      </c>
      <c r="M293" t="s">
        <v>18958</v>
      </c>
      <c r="N293" t="s">
        <v>19166</v>
      </c>
      <c r="O293" t="s">
        <v>26523</v>
      </c>
      <c r="P293" t="s">
        <v>26560</v>
      </c>
      <c r="R293" t="s">
        <v>26580</v>
      </c>
      <c r="S293" t="s">
        <v>18959</v>
      </c>
      <c r="U293" t="s">
        <v>26604</v>
      </c>
      <c r="V293" t="s">
        <v>26610</v>
      </c>
      <c r="W293" t="s">
        <v>446</v>
      </c>
      <c r="X293">
        <v>1682</v>
      </c>
      <c r="Y293" t="s">
        <v>26651</v>
      </c>
      <c r="Z293" t="s">
        <v>26662</v>
      </c>
      <c r="AB293" t="s">
        <v>26973</v>
      </c>
      <c r="AD293" t="s">
        <v>37064</v>
      </c>
      <c r="AE293">
        <v>28</v>
      </c>
      <c r="AF293" t="s">
        <v>45544</v>
      </c>
      <c r="AG293" t="s">
        <v>45556</v>
      </c>
      <c r="AH293">
        <v>8</v>
      </c>
      <c r="AI293">
        <v>4</v>
      </c>
      <c r="AJ293">
        <v>0</v>
      </c>
      <c r="AK293">
        <v>45.94</v>
      </c>
      <c r="AO293">
        <v>11532</v>
      </c>
      <c r="AU293">
        <v>11.25</v>
      </c>
      <c r="AV293" t="s">
        <v>516</v>
      </c>
      <c r="AW293" t="s">
        <v>46845</v>
      </c>
    </row>
    <row r="294" spans="1:50">
      <c r="A294" s="1">
        <f>HYPERLINK("https://lsnyc.legalserver.org/matter/dynamic-profile/view/1872357","18-1872357")</f>
        <v>0</v>
      </c>
      <c r="B294" t="s">
        <v>79</v>
      </c>
      <c r="C294" t="s">
        <v>340</v>
      </c>
      <c r="D294" t="s">
        <v>446</v>
      </c>
      <c r="F294" t="s">
        <v>1105</v>
      </c>
      <c r="G294" t="s">
        <v>5290</v>
      </c>
      <c r="H294" t="s">
        <v>9887</v>
      </c>
      <c r="I294" t="s">
        <v>17356</v>
      </c>
      <c r="J294" t="s">
        <v>18893</v>
      </c>
      <c r="K294">
        <v>10032</v>
      </c>
      <c r="L294" t="s">
        <v>18958</v>
      </c>
      <c r="M294" t="s">
        <v>18958</v>
      </c>
      <c r="O294" t="s">
        <v>26526</v>
      </c>
      <c r="P294" t="s">
        <v>26565</v>
      </c>
      <c r="R294" t="s">
        <v>26578</v>
      </c>
      <c r="S294" t="s">
        <v>18959</v>
      </c>
      <c r="U294" t="s">
        <v>26604</v>
      </c>
      <c r="W294" t="s">
        <v>446</v>
      </c>
      <c r="X294">
        <v>1282.58</v>
      </c>
      <c r="Y294" t="s">
        <v>26651</v>
      </c>
      <c r="Z294" t="s">
        <v>26661</v>
      </c>
      <c r="AB294" t="s">
        <v>26974</v>
      </c>
      <c r="AC294" t="s">
        <v>34575</v>
      </c>
      <c r="AD294" t="s">
        <v>37065</v>
      </c>
      <c r="AE294">
        <v>49</v>
      </c>
      <c r="AF294" t="s">
        <v>45541</v>
      </c>
      <c r="AG294" t="s">
        <v>19330</v>
      </c>
      <c r="AH294">
        <v>24</v>
      </c>
      <c r="AI294">
        <v>3</v>
      </c>
      <c r="AJ294">
        <v>0</v>
      </c>
      <c r="AK294">
        <v>192.49</v>
      </c>
      <c r="AN294" t="s">
        <v>45581</v>
      </c>
      <c r="AO294">
        <v>40000</v>
      </c>
      <c r="AU294">
        <v>61.3</v>
      </c>
      <c r="AV294" t="s">
        <v>826</v>
      </c>
      <c r="AW294" t="s">
        <v>46840</v>
      </c>
      <c r="AX294" t="s">
        <v>46897</v>
      </c>
    </row>
    <row r="295" spans="1:50">
      <c r="A295" s="1">
        <f>HYPERLINK("https://lsnyc.legalserver.org/matter/dynamic-profile/view/1872303","18-1872303")</f>
        <v>0</v>
      </c>
      <c r="B295" t="s">
        <v>91</v>
      </c>
      <c r="C295" t="s">
        <v>340</v>
      </c>
      <c r="D295" t="s">
        <v>446</v>
      </c>
      <c r="F295" t="s">
        <v>1106</v>
      </c>
      <c r="G295" t="s">
        <v>5291</v>
      </c>
      <c r="H295" t="s">
        <v>9888</v>
      </c>
      <c r="I295" t="s">
        <v>17283</v>
      </c>
      <c r="J295" t="s">
        <v>18898</v>
      </c>
      <c r="K295">
        <v>11691</v>
      </c>
      <c r="L295" t="s">
        <v>18958</v>
      </c>
      <c r="M295" t="s">
        <v>18958</v>
      </c>
      <c r="N295" t="s">
        <v>19167</v>
      </c>
      <c r="O295" t="s">
        <v>26524</v>
      </c>
      <c r="P295" t="s">
        <v>26560</v>
      </c>
      <c r="R295" t="s">
        <v>26578</v>
      </c>
      <c r="S295" t="s">
        <v>18959</v>
      </c>
      <c r="U295" t="s">
        <v>26604</v>
      </c>
      <c r="V295" t="s">
        <v>26610</v>
      </c>
      <c r="W295" t="s">
        <v>446</v>
      </c>
      <c r="X295">
        <v>380</v>
      </c>
      <c r="Y295" t="s">
        <v>26653</v>
      </c>
      <c r="Z295" t="s">
        <v>26659</v>
      </c>
      <c r="AB295" t="s">
        <v>26975</v>
      </c>
      <c r="AC295" t="s">
        <v>34576</v>
      </c>
      <c r="AD295" t="s">
        <v>37066</v>
      </c>
      <c r="AE295">
        <v>231</v>
      </c>
      <c r="AF295" t="s">
        <v>45550</v>
      </c>
      <c r="AG295" t="s">
        <v>19330</v>
      </c>
      <c r="AH295">
        <v>19</v>
      </c>
      <c r="AI295">
        <v>3</v>
      </c>
      <c r="AJ295">
        <v>0</v>
      </c>
      <c r="AK295">
        <v>23.77</v>
      </c>
      <c r="AN295" t="s">
        <v>7439</v>
      </c>
      <c r="AO295">
        <v>4940</v>
      </c>
      <c r="AU295">
        <v>17.76</v>
      </c>
      <c r="AV295" t="s">
        <v>835</v>
      </c>
      <c r="AW295" t="s">
        <v>208</v>
      </c>
    </row>
    <row r="296" spans="1:50">
      <c r="A296" s="1">
        <f>HYPERLINK("https://lsnyc.legalserver.org/matter/dynamic-profile/view/1872411","18-1872411")</f>
        <v>0</v>
      </c>
      <c r="B296" t="s">
        <v>62</v>
      </c>
      <c r="C296" t="s">
        <v>340</v>
      </c>
      <c r="D296" t="s">
        <v>446</v>
      </c>
      <c r="F296" t="s">
        <v>1107</v>
      </c>
      <c r="G296" t="s">
        <v>5109</v>
      </c>
      <c r="H296" t="s">
        <v>9889</v>
      </c>
      <c r="I296" t="s">
        <v>17332</v>
      </c>
      <c r="J296" t="s">
        <v>18893</v>
      </c>
      <c r="K296">
        <v>10025</v>
      </c>
      <c r="L296" t="s">
        <v>18958</v>
      </c>
      <c r="M296" t="s">
        <v>18960</v>
      </c>
      <c r="N296" t="s">
        <v>19168</v>
      </c>
      <c r="O296" t="s">
        <v>26524</v>
      </c>
      <c r="P296" t="s">
        <v>26560</v>
      </c>
      <c r="R296" t="s">
        <v>26580</v>
      </c>
      <c r="U296" t="s">
        <v>26604</v>
      </c>
      <c r="W296" t="s">
        <v>446</v>
      </c>
      <c r="X296">
        <v>550</v>
      </c>
      <c r="Y296" t="s">
        <v>26651</v>
      </c>
      <c r="Z296" t="s">
        <v>26662</v>
      </c>
      <c r="AB296" t="s">
        <v>26976</v>
      </c>
      <c r="AD296" t="s">
        <v>37067</v>
      </c>
      <c r="AE296">
        <v>212</v>
      </c>
      <c r="AG296" t="s">
        <v>19330</v>
      </c>
      <c r="AH296">
        <v>5</v>
      </c>
      <c r="AI296">
        <v>1</v>
      </c>
      <c r="AJ296">
        <v>0</v>
      </c>
      <c r="AK296">
        <v>116.74</v>
      </c>
      <c r="AO296">
        <v>14172</v>
      </c>
      <c r="AU296">
        <v>3.2</v>
      </c>
      <c r="AV296" t="s">
        <v>533</v>
      </c>
      <c r="AW296" t="s">
        <v>46845</v>
      </c>
    </row>
    <row r="297" spans="1:50">
      <c r="A297" s="1">
        <f>HYPERLINK("https://lsnyc.legalserver.org/matter/dynamic-profile/view/1872646","18-1872646")</f>
        <v>0</v>
      </c>
      <c r="B297" t="s">
        <v>66</v>
      </c>
      <c r="C297" t="s">
        <v>341</v>
      </c>
      <c r="D297" t="s">
        <v>409</v>
      </c>
      <c r="E297" t="s">
        <v>494</v>
      </c>
      <c r="F297" t="s">
        <v>1108</v>
      </c>
      <c r="G297" t="s">
        <v>5292</v>
      </c>
      <c r="H297" t="s">
        <v>9890</v>
      </c>
      <c r="I297" t="s">
        <v>17348</v>
      </c>
      <c r="J297" t="s">
        <v>18893</v>
      </c>
      <c r="K297">
        <v>10029</v>
      </c>
      <c r="L297" t="s">
        <v>18958</v>
      </c>
      <c r="M297" t="s">
        <v>18960</v>
      </c>
      <c r="N297" t="s">
        <v>19169</v>
      </c>
      <c r="O297" t="s">
        <v>26523</v>
      </c>
      <c r="P297" t="s">
        <v>26560</v>
      </c>
      <c r="Q297" t="s">
        <v>26568</v>
      </c>
      <c r="R297" t="s">
        <v>26582</v>
      </c>
      <c r="U297" t="s">
        <v>26605</v>
      </c>
      <c r="W297" t="s">
        <v>446</v>
      </c>
      <c r="X297">
        <v>703</v>
      </c>
      <c r="Y297" t="s">
        <v>26651</v>
      </c>
      <c r="Z297" t="s">
        <v>26662</v>
      </c>
      <c r="AA297" t="s">
        <v>26678</v>
      </c>
      <c r="AB297" t="s">
        <v>26977</v>
      </c>
      <c r="AC297" t="s">
        <v>34577</v>
      </c>
      <c r="AD297" t="s">
        <v>37068</v>
      </c>
      <c r="AE297">
        <v>1170</v>
      </c>
      <c r="AF297" t="s">
        <v>45549</v>
      </c>
      <c r="AG297" t="s">
        <v>19330</v>
      </c>
      <c r="AH297">
        <v>9</v>
      </c>
      <c r="AI297">
        <v>2</v>
      </c>
      <c r="AJ297">
        <v>3</v>
      </c>
      <c r="AK297">
        <v>0</v>
      </c>
      <c r="AO297">
        <v>0</v>
      </c>
      <c r="AS297" t="s">
        <v>46499</v>
      </c>
      <c r="AT297" t="s">
        <v>46517</v>
      </c>
      <c r="AU297">
        <v>3.75</v>
      </c>
      <c r="AV297" t="s">
        <v>716</v>
      </c>
      <c r="AW297" t="s">
        <v>46845</v>
      </c>
    </row>
    <row r="298" spans="1:50">
      <c r="A298" s="1">
        <f>HYPERLINK("https://lsnyc.legalserver.org/matter/dynamic-profile/view/1872538","18-1872538")</f>
        <v>0</v>
      </c>
      <c r="B298" t="s">
        <v>110</v>
      </c>
      <c r="C298" t="s">
        <v>341</v>
      </c>
      <c r="D298" t="s">
        <v>409</v>
      </c>
      <c r="E298" t="s">
        <v>820</v>
      </c>
      <c r="F298" t="s">
        <v>1109</v>
      </c>
      <c r="G298" t="s">
        <v>5293</v>
      </c>
      <c r="H298" t="s">
        <v>9891</v>
      </c>
      <c r="I298" t="s">
        <v>17309</v>
      </c>
      <c r="J298" t="s">
        <v>18905</v>
      </c>
      <c r="K298">
        <v>11692</v>
      </c>
      <c r="L298" t="s">
        <v>18958</v>
      </c>
      <c r="M298" t="s">
        <v>18958</v>
      </c>
      <c r="N298" t="s">
        <v>19170</v>
      </c>
      <c r="O298" t="s">
        <v>26526</v>
      </c>
      <c r="P298" t="s">
        <v>26564</v>
      </c>
      <c r="Q298" t="s">
        <v>26570</v>
      </c>
      <c r="R298" t="s">
        <v>26578</v>
      </c>
      <c r="S298" t="s">
        <v>18959</v>
      </c>
      <c r="U298" t="s">
        <v>26604</v>
      </c>
      <c r="V298" t="s">
        <v>26610</v>
      </c>
      <c r="W298" t="s">
        <v>446</v>
      </c>
      <c r="X298">
        <v>1141.84</v>
      </c>
      <c r="Y298" t="s">
        <v>26653</v>
      </c>
      <c r="Z298" t="s">
        <v>26664</v>
      </c>
      <c r="AA298" t="s">
        <v>26683</v>
      </c>
      <c r="AB298" t="s">
        <v>26978</v>
      </c>
      <c r="AC298" t="s">
        <v>19330</v>
      </c>
      <c r="AD298" t="s">
        <v>37069</v>
      </c>
      <c r="AE298">
        <v>53</v>
      </c>
      <c r="AF298" t="s">
        <v>45543</v>
      </c>
      <c r="AG298" t="s">
        <v>45556</v>
      </c>
      <c r="AH298">
        <v>5</v>
      </c>
      <c r="AI298">
        <v>1</v>
      </c>
      <c r="AJ298">
        <v>1</v>
      </c>
      <c r="AK298">
        <v>186.69</v>
      </c>
      <c r="AN298" t="s">
        <v>7439</v>
      </c>
      <c r="AO298">
        <v>30729</v>
      </c>
      <c r="AU298">
        <v>1</v>
      </c>
      <c r="AV298" t="s">
        <v>803</v>
      </c>
      <c r="AW298" t="s">
        <v>161</v>
      </c>
      <c r="AX298" t="s">
        <v>46897</v>
      </c>
    </row>
    <row r="299" spans="1:50">
      <c r="A299" s="1">
        <f>HYPERLINK("https://lsnyc.legalserver.org/matter/dynamic-profile/view/1872333","18-1872333")</f>
        <v>0</v>
      </c>
      <c r="B299" t="s">
        <v>153</v>
      </c>
      <c r="C299" t="s">
        <v>341</v>
      </c>
      <c r="D299" t="s">
        <v>440</v>
      </c>
      <c r="E299" t="s">
        <v>712</v>
      </c>
      <c r="F299" t="s">
        <v>1110</v>
      </c>
      <c r="G299" t="s">
        <v>5294</v>
      </c>
      <c r="H299" t="s">
        <v>9892</v>
      </c>
      <c r="I299" t="s">
        <v>17408</v>
      </c>
      <c r="J299" t="s">
        <v>18902</v>
      </c>
      <c r="K299">
        <v>10305</v>
      </c>
      <c r="L299" t="s">
        <v>18958</v>
      </c>
      <c r="M299" t="s">
        <v>18958</v>
      </c>
      <c r="N299" t="s">
        <v>19171</v>
      </c>
      <c r="O299" t="s">
        <v>26524</v>
      </c>
      <c r="P299" t="s">
        <v>26560</v>
      </c>
      <c r="Q299" t="s">
        <v>26568</v>
      </c>
      <c r="R299" t="s">
        <v>26578</v>
      </c>
      <c r="S299" t="s">
        <v>18959</v>
      </c>
      <c r="U299" t="s">
        <v>26604</v>
      </c>
      <c r="V299" t="s">
        <v>26610</v>
      </c>
      <c r="W299" t="s">
        <v>446</v>
      </c>
      <c r="X299">
        <v>850</v>
      </c>
      <c r="Y299" t="s">
        <v>26654</v>
      </c>
      <c r="Z299" t="s">
        <v>26661</v>
      </c>
      <c r="AA299" t="s">
        <v>26679</v>
      </c>
      <c r="AB299" t="s">
        <v>26979</v>
      </c>
      <c r="AD299" t="s">
        <v>37070</v>
      </c>
      <c r="AE299">
        <v>2</v>
      </c>
      <c r="AF299" t="s">
        <v>45547</v>
      </c>
      <c r="AG299" t="s">
        <v>19330</v>
      </c>
      <c r="AH299">
        <v>-1</v>
      </c>
      <c r="AI299">
        <v>1</v>
      </c>
      <c r="AJ299">
        <v>0</v>
      </c>
      <c r="AK299">
        <v>65.90000000000001</v>
      </c>
      <c r="AN299" t="s">
        <v>45582</v>
      </c>
      <c r="AO299">
        <v>8000</v>
      </c>
      <c r="AQ299" t="s">
        <v>46367</v>
      </c>
      <c r="AR299" t="s">
        <v>46403</v>
      </c>
      <c r="AS299" t="s">
        <v>46500</v>
      </c>
      <c r="AT299" t="s">
        <v>46581</v>
      </c>
      <c r="AU299">
        <v>39.1</v>
      </c>
      <c r="AV299" t="s">
        <v>704</v>
      </c>
      <c r="AW299" t="s">
        <v>190</v>
      </c>
    </row>
    <row r="300" spans="1:50">
      <c r="A300" s="1">
        <f>HYPERLINK("https://lsnyc.legalserver.org/matter/dynamic-profile/view/1872399","18-1872399")</f>
        <v>0</v>
      </c>
      <c r="B300" t="s">
        <v>109</v>
      </c>
      <c r="C300" t="s">
        <v>341</v>
      </c>
      <c r="D300" t="s">
        <v>447</v>
      </c>
      <c r="E300" t="s">
        <v>848</v>
      </c>
      <c r="F300" t="s">
        <v>1111</v>
      </c>
      <c r="G300" t="s">
        <v>5295</v>
      </c>
      <c r="H300" t="s">
        <v>9893</v>
      </c>
      <c r="I300" t="s">
        <v>17334</v>
      </c>
      <c r="J300" t="s">
        <v>18902</v>
      </c>
      <c r="K300">
        <v>10306</v>
      </c>
      <c r="L300" t="s">
        <v>18958</v>
      </c>
      <c r="M300" t="s">
        <v>18958</v>
      </c>
      <c r="N300" t="s">
        <v>19172</v>
      </c>
      <c r="O300" t="s">
        <v>26523</v>
      </c>
      <c r="P300" t="s">
        <v>26560</v>
      </c>
      <c r="Q300" t="s">
        <v>26568</v>
      </c>
      <c r="R300" t="s">
        <v>26587</v>
      </c>
      <c r="S300" t="s">
        <v>18959</v>
      </c>
      <c r="U300" t="s">
        <v>26604</v>
      </c>
      <c r="V300" t="s">
        <v>26610</v>
      </c>
      <c r="W300" t="s">
        <v>446</v>
      </c>
      <c r="X300">
        <v>1275</v>
      </c>
      <c r="Y300" t="s">
        <v>26654</v>
      </c>
      <c r="Z300" t="s">
        <v>26659</v>
      </c>
      <c r="AA300" t="s">
        <v>26678</v>
      </c>
      <c r="AB300" t="s">
        <v>26980</v>
      </c>
      <c r="AD300" t="s">
        <v>37071</v>
      </c>
      <c r="AE300">
        <v>6</v>
      </c>
      <c r="AF300" t="s">
        <v>45541</v>
      </c>
      <c r="AH300">
        <v>7</v>
      </c>
      <c r="AI300">
        <v>1</v>
      </c>
      <c r="AJ300">
        <v>1</v>
      </c>
      <c r="AK300">
        <v>92</v>
      </c>
      <c r="AN300" t="s">
        <v>7439</v>
      </c>
      <c r="AO300">
        <v>15144</v>
      </c>
      <c r="AQ300" t="s">
        <v>46359</v>
      </c>
      <c r="AR300" t="s">
        <v>46379</v>
      </c>
      <c r="AS300" t="s">
        <v>46499</v>
      </c>
      <c r="AT300" t="s">
        <v>46582</v>
      </c>
      <c r="AU300">
        <v>2.9</v>
      </c>
      <c r="AV300" t="s">
        <v>639</v>
      </c>
      <c r="AW300" t="s">
        <v>190</v>
      </c>
    </row>
    <row r="301" spans="1:50">
      <c r="A301" s="1">
        <f>HYPERLINK("https://lsnyc.legalserver.org/matter/dynamic-profile/view/1840831","17-1840831")</f>
        <v>0</v>
      </c>
      <c r="B301" t="s">
        <v>56</v>
      </c>
      <c r="C301" t="s">
        <v>341</v>
      </c>
      <c r="D301" t="s">
        <v>448</v>
      </c>
      <c r="E301" t="s">
        <v>712</v>
      </c>
      <c r="F301" t="s">
        <v>1112</v>
      </c>
      <c r="G301" t="s">
        <v>5121</v>
      </c>
      <c r="H301" t="s">
        <v>9894</v>
      </c>
      <c r="I301" t="s">
        <v>17275</v>
      </c>
      <c r="J301" t="s">
        <v>18892</v>
      </c>
      <c r="K301">
        <v>10468</v>
      </c>
      <c r="L301" t="s">
        <v>18958</v>
      </c>
      <c r="M301" t="s">
        <v>18960</v>
      </c>
      <c r="N301" t="s">
        <v>19173</v>
      </c>
      <c r="O301" t="s">
        <v>26524</v>
      </c>
      <c r="P301" t="s">
        <v>26560</v>
      </c>
      <c r="Q301" t="s">
        <v>26568</v>
      </c>
      <c r="R301" t="s">
        <v>26579</v>
      </c>
      <c r="S301" t="s">
        <v>18959</v>
      </c>
      <c r="U301" t="s">
        <v>26604</v>
      </c>
      <c r="V301" t="s">
        <v>26609</v>
      </c>
      <c r="W301" t="s">
        <v>408</v>
      </c>
      <c r="X301">
        <v>1300</v>
      </c>
      <c r="Y301" t="s">
        <v>26650</v>
      </c>
      <c r="Z301" t="s">
        <v>26656</v>
      </c>
      <c r="AA301" t="s">
        <v>26678</v>
      </c>
      <c r="AB301" t="s">
        <v>26981</v>
      </c>
      <c r="AC301">
        <v>1311349</v>
      </c>
      <c r="AD301" t="s">
        <v>37072</v>
      </c>
      <c r="AE301">
        <v>0</v>
      </c>
      <c r="AF301" t="s">
        <v>45545</v>
      </c>
      <c r="AH301">
        <v>8</v>
      </c>
      <c r="AI301">
        <v>1</v>
      </c>
      <c r="AJ301">
        <v>0</v>
      </c>
      <c r="AK301">
        <v>40.53</v>
      </c>
      <c r="AN301" t="s">
        <v>7439</v>
      </c>
      <c r="AO301">
        <v>4888</v>
      </c>
      <c r="AP301" t="s">
        <v>45620</v>
      </c>
      <c r="AS301" t="s">
        <v>46499</v>
      </c>
      <c r="AT301" t="s">
        <v>46583</v>
      </c>
      <c r="AU301">
        <v>8.1</v>
      </c>
      <c r="AV301" t="s">
        <v>556</v>
      </c>
      <c r="AW301" t="s">
        <v>46836</v>
      </c>
    </row>
    <row r="302" spans="1:50">
      <c r="A302" s="1">
        <f>HYPERLINK("https://lsnyc.legalserver.org/matter/dynamic-profile/view/1866864","18-1866864")</f>
        <v>0</v>
      </c>
      <c r="B302" t="s">
        <v>154</v>
      </c>
      <c r="C302" t="s">
        <v>341</v>
      </c>
      <c r="D302" t="s">
        <v>387</v>
      </c>
      <c r="E302" t="s">
        <v>408</v>
      </c>
      <c r="F302" t="s">
        <v>1113</v>
      </c>
      <c r="G302" t="s">
        <v>5296</v>
      </c>
      <c r="H302" t="s">
        <v>9895</v>
      </c>
      <c r="I302" t="s">
        <v>17409</v>
      </c>
      <c r="J302" t="s">
        <v>18894</v>
      </c>
      <c r="K302">
        <v>11216</v>
      </c>
      <c r="L302" t="s">
        <v>18958</v>
      </c>
      <c r="M302" t="s">
        <v>18959</v>
      </c>
      <c r="O302" t="s">
        <v>26529</v>
      </c>
      <c r="P302" t="s">
        <v>26562</v>
      </c>
      <c r="Q302" t="s">
        <v>26571</v>
      </c>
      <c r="R302" t="s">
        <v>26578</v>
      </c>
      <c r="S302" t="s">
        <v>18959</v>
      </c>
      <c r="U302" t="s">
        <v>26604</v>
      </c>
      <c r="W302" t="s">
        <v>408</v>
      </c>
      <c r="X302">
        <v>600</v>
      </c>
      <c r="Y302" t="s">
        <v>26652</v>
      </c>
      <c r="Z302" t="s">
        <v>26663</v>
      </c>
      <c r="AA302" t="s">
        <v>26682</v>
      </c>
      <c r="AB302" t="s">
        <v>26982</v>
      </c>
      <c r="AC302" t="s">
        <v>34578</v>
      </c>
      <c r="AD302" t="s">
        <v>37073</v>
      </c>
      <c r="AE302">
        <v>10</v>
      </c>
      <c r="AF302" t="s">
        <v>45541</v>
      </c>
      <c r="AG302" t="s">
        <v>19330</v>
      </c>
      <c r="AH302">
        <v>5</v>
      </c>
      <c r="AI302">
        <v>2</v>
      </c>
      <c r="AJ302">
        <v>0</v>
      </c>
      <c r="AK302">
        <v>88.45999999999999</v>
      </c>
      <c r="AN302" t="s">
        <v>7439</v>
      </c>
      <c r="AO302">
        <v>14560</v>
      </c>
      <c r="AU302">
        <v>5.3</v>
      </c>
      <c r="AV302" t="s">
        <v>408</v>
      </c>
      <c r="AW302" t="s">
        <v>237</v>
      </c>
    </row>
    <row r="303" spans="1:50">
      <c r="A303" s="1">
        <f>HYPERLINK("https://lsnyc.legalserver.org/matter/dynamic-profile/view/1871285","18-1871285")</f>
        <v>0</v>
      </c>
      <c r="B303" t="s">
        <v>155</v>
      </c>
      <c r="C303" t="s">
        <v>341</v>
      </c>
      <c r="D303" t="s">
        <v>407</v>
      </c>
      <c r="E303" t="s">
        <v>464</v>
      </c>
      <c r="F303" t="s">
        <v>1114</v>
      </c>
      <c r="G303" t="s">
        <v>5297</v>
      </c>
      <c r="H303" t="s">
        <v>9896</v>
      </c>
      <c r="I303" t="s">
        <v>17287</v>
      </c>
      <c r="J303" t="s">
        <v>18894</v>
      </c>
      <c r="K303">
        <v>11208</v>
      </c>
      <c r="L303" t="s">
        <v>18958</v>
      </c>
      <c r="M303" t="s">
        <v>18958</v>
      </c>
      <c r="N303" t="s">
        <v>19174</v>
      </c>
      <c r="O303" t="s">
        <v>26523</v>
      </c>
      <c r="P303" t="s">
        <v>26564</v>
      </c>
      <c r="Q303" t="s">
        <v>26570</v>
      </c>
      <c r="R303" t="s">
        <v>26578</v>
      </c>
      <c r="U303" t="s">
        <v>26604</v>
      </c>
      <c r="W303" t="s">
        <v>408</v>
      </c>
      <c r="X303">
        <v>1440</v>
      </c>
      <c r="Y303" t="s">
        <v>26652</v>
      </c>
      <c r="Z303" t="s">
        <v>26659</v>
      </c>
      <c r="AA303" t="s">
        <v>26683</v>
      </c>
      <c r="AB303" t="s">
        <v>26983</v>
      </c>
      <c r="AD303" t="s">
        <v>37074</v>
      </c>
      <c r="AE303">
        <v>0</v>
      </c>
      <c r="AF303" t="s">
        <v>45550</v>
      </c>
      <c r="AG303" t="s">
        <v>19330</v>
      </c>
      <c r="AH303">
        <v>6</v>
      </c>
      <c r="AI303">
        <v>2</v>
      </c>
      <c r="AJ303">
        <v>0</v>
      </c>
      <c r="AK303">
        <v>397.31</v>
      </c>
      <c r="AL303" t="s">
        <v>662</v>
      </c>
      <c r="AM303" t="s">
        <v>45575</v>
      </c>
      <c r="AN303" t="s">
        <v>7439</v>
      </c>
      <c r="AO303">
        <v>65397.84</v>
      </c>
      <c r="AU303">
        <v>2.4</v>
      </c>
      <c r="AV303" t="s">
        <v>464</v>
      </c>
      <c r="AW303" t="s">
        <v>46842</v>
      </c>
    </row>
    <row r="304" spans="1:50">
      <c r="A304" s="1">
        <f>HYPERLINK("https://lsnyc.legalserver.org/matter/dynamic-profile/view/1872440","18-1872440")</f>
        <v>0</v>
      </c>
      <c r="B304" t="s">
        <v>156</v>
      </c>
      <c r="C304" t="s">
        <v>341</v>
      </c>
      <c r="D304" t="s">
        <v>408</v>
      </c>
      <c r="E304" t="s">
        <v>699</v>
      </c>
      <c r="F304" t="s">
        <v>1115</v>
      </c>
      <c r="G304" t="s">
        <v>5298</v>
      </c>
      <c r="H304" t="s">
        <v>9897</v>
      </c>
      <c r="I304" t="s">
        <v>17360</v>
      </c>
      <c r="J304" t="s">
        <v>18893</v>
      </c>
      <c r="K304">
        <v>10039</v>
      </c>
      <c r="L304" t="s">
        <v>18958</v>
      </c>
      <c r="M304" t="s">
        <v>18959</v>
      </c>
      <c r="N304" t="s">
        <v>19175</v>
      </c>
      <c r="O304" t="s">
        <v>26524</v>
      </c>
      <c r="P304" t="s">
        <v>26564</v>
      </c>
      <c r="Q304" t="s">
        <v>26570</v>
      </c>
      <c r="R304" t="s">
        <v>26582</v>
      </c>
      <c r="S304" t="s">
        <v>18959</v>
      </c>
      <c r="U304" t="s">
        <v>26604</v>
      </c>
      <c r="V304" t="s">
        <v>26610</v>
      </c>
      <c r="W304" t="s">
        <v>408</v>
      </c>
      <c r="X304">
        <v>1105</v>
      </c>
      <c r="Y304" t="s">
        <v>26651</v>
      </c>
      <c r="Z304" t="s">
        <v>26664</v>
      </c>
      <c r="AA304" t="s">
        <v>26683</v>
      </c>
      <c r="AB304" t="s">
        <v>26984</v>
      </c>
      <c r="AC304" t="s">
        <v>34579</v>
      </c>
      <c r="AD304" t="s">
        <v>37075</v>
      </c>
      <c r="AE304">
        <v>32</v>
      </c>
      <c r="AF304" t="s">
        <v>20460</v>
      </c>
      <c r="AG304" t="s">
        <v>19330</v>
      </c>
      <c r="AH304">
        <v>3</v>
      </c>
      <c r="AI304">
        <v>1</v>
      </c>
      <c r="AJ304">
        <v>1</v>
      </c>
      <c r="AK304">
        <v>72.3</v>
      </c>
      <c r="AN304" t="s">
        <v>7439</v>
      </c>
      <c r="AO304">
        <v>11900</v>
      </c>
      <c r="AU304">
        <v>0.6</v>
      </c>
      <c r="AV304" t="s">
        <v>522</v>
      </c>
      <c r="AW304" t="s">
        <v>314</v>
      </c>
    </row>
    <row r="305" spans="1:49">
      <c r="A305" s="1">
        <f>HYPERLINK("https://lsnyc.legalserver.org/matter/dynamic-profile/view/1872503","18-1872503")</f>
        <v>0</v>
      </c>
      <c r="B305" t="s">
        <v>156</v>
      </c>
      <c r="C305" t="s">
        <v>341</v>
      </c>
      <c r="D305" t="s">
        <v>408</v>
      </c>
      <c r="E305" t="s">
        <v>699</v>
      </c>
      <c r="F305" t="s">
        <v>1063</v>
      </c>
      <c r="G305" t="s">
        <v>4984</v>
      </c>
      <c r="H305" t="s">
        <v>9898</v>
      </c>
      <c r="I305" t="s">
        <v>17388</v>
      </c>
      <c r="J305" t="s">
        <v>18893</v>
      </c>
      <c r="K305">
        <v>10026</v>
      </c>
      <c r="L305" t="s">
        <v>18958</v>
      </c>
      <c r="M305" t="s">
        <v>18958</v>
      </c>
      <c r="N305" t="s">
        <v>19176</v>
      </c>
      <c r="O305" t="s">
        <v>26524</v>
      </c>
      <c r="P305" t="s">
        <v>26564</v>
      </c>
      <c r="Q305" t="s">
        <v>26570</v>
      </c>
      <c r="R305" t="s">
        <v>26580</v>
      </c>
      <c r="S305" t="s">
        <v>18959</v>
      </c>
      <c r="U305" t="s">
        <v>26604</v>
      </c>
      <c r="W305" t="s">
        <v>408</v>
      </c>
      <c r="X305">
        <v>0</v>
      </c>
      <c r="Y305" t="s">
        <v>26651</v>
      </c>
      <c r="Z305" t="s">
        <v>26662</v>
      </c>
      <c r="AA305" t="s">
        <v>26683</v>
      </c>
      <c r="AB305" t="s">
        <v>26985</v>
      </c>
      <c r="AC305" t="s">
        <v>34580</v>
      </c>
      <c r="AD305" t="s">
        <v>37076</v>
      </c>
      <c r="AE305">
        <v>16</v>
      </c>
      <c r="AF305" t="s">
        <v>45546</v>
      </c>
      <c r="AG305" t="s">
        <v>19330</v>
      </c>
      <c r="AH305">
        <v>3</v>
      </c>
      <c r="AI305">
        <v>2</v>
      </c>
      <c r="AJ305">
        <v>1</v>
      </c>
      <c r="AK305">
        <v>167.47</v>
      </c>
      <c r="AN305" t="s">
        <v>7439</v>
      </c>
      <c r="AO305">
        <v>34800</v>
      </c>
      <c r="AU305">
        <v>0.4</v>
      </c>
      <c r="AV305" t="s">
        <v>497</v>
      </c>
      <c r="AW305" t="s">
        <v>314</v>
      </c>
    </row>
    <row r="306" spans="1:49">
      <c r="A306" s="1">
        <f>HYPERLINK("https://lsnyc.legalserver.org/matter/dynamic-profile/view/1872459","18-1872459")</f>
        <v>0</v>
      </c>
      <c r="B306" t="s">
        <v>156</v>
      </c>
      <c r="C306" t="s">
        <v>341</v>
      </c>
      <c r="D306" t="s">
        <v>408</v>
      </c>
      <c r="E306" t="s">
        <v>684</v>
      </c>
      <c r="F306" t="s">
        <v>1056</v>
      </c>
      <c r="G306" t="s">
        <v>5299</v>
      </c>
      <c r="H306" t="s">
        <v>9899</v>
      </c>
      <c r="I306" t="s">
        <v>17316</v>
      </c>
      <c r="J306" t="s">
        <v>18893</v>
      </c>
      <c r="K306">
        <v>10026</v>
      </c>
      <c r="L306" t="s">
        <v>18958</v>
      </c>
      <c r="M306" t="s">
        <v>18958</v>
      </c>
      <c r="N306" t="s">
        <v>19177</v>
      </c>
      <c r="O306" t="s">
        <v>26523</v>
      </c>
      <c r="P306" t="s">
        <v>26560</v>
      </c>
      <c r="Q306" t="s">
        <v>26568</v>
      </c>
      <c r="R306" t="s">
        <v>26580</v>
      </c>
      <c r="S306" t="s">
        <v>18959</v>
      </c>
      <c r="U306" t="s">
        <v>26604</v>
      </c>
      <c r="W306" t="s">
        <v>408</v>
      </c>
      <c r="X306">
        <v>3495.91</v>
      </c>
      <c r="Y306" t="s">
        <v>26651</v>
      </c>
      <c r="AA306" t="s">
        <v>26678</v>
      </c>
      <c r="AB306" t="s">
        <v>26986</v>
      </c>
      <c r="AD306" t="s">
        <v>37077</v>
      </c>
      <c r="AE306">
        <v>0</v>
      </c>
      <c r="AF306" t="s">
        <v>45541</v>
      </c>
      <c r="AG306" t="s">
        <v>19330</v>
      </c>
      <c r="AH306">
        <v>12</v>
      </c>
      <c r="AI306">
        <v>3</v>
      </c>
      <c r="AJ306">
        <v>0</v>
      </c>
      <c r="AK306">
        <v>173.24</v>
      </c>
      <c r="AN306" t="s">
        <v>7439</v>
      </c>
      <c r="AO306">
        <v>36000</v>
      </c>
      <c r="AR306" t="s">
        <v>46381</v>
      </c>
      <c r="AS306" t="s">
        <v>46499</v>
      </c>
      <c r="AT306" t="s">
        <v>46561</v>
      </c>
      <c r="AU306">
        <v>1.2</v>
      </c>
      <c r="AV306" t="s">
        <v>684</v>
      </c>
      <c r="AW306" t="s">
        <v>314</v>
      </c>
    </row>
    <row r="307" spans="1:49">
      <c r="A307" s="1">
        <f>HYPERLINK("https://lsnyc.legalserver.org/matter/dynamic-profile/view/1872467","18-1872467")</f>
        <v>0</v>
      </c>
      <c r="B307" t="s">
        <v>149</v>
      </c>
      <c r="C307" t="s">
        <v>341</v>
      </c>
      <c r="D307" t="s">
        <v>408</v>
      </c>
      <c r="E307" t="s">
        <v>605</v>
      </c>
      <c r="F307" t="s">
        <v>1116</v>
      </c>
      <c r="G307" t="s">
        <v>5300</v>
      </c>
      <c r="H307" t="s">
        <v>9900</v>
      </c>
      <c r="I307" t="s">
        <v>17306</v>
      </c>
      <c r="J307" t="s">
        <v>18892</v>
      </c>
      <c r="K307">
        <v>10457</v>
      </c>
      <c r="L307" t="s">
        <v>18958</v>
      </c>
      <c r="M307" t="s">
        <v>18958</v>
      </c>
      <c r="O307" t="s">
        <v>26542</v>
      </c>
      <c r="P307" t="s">
        <v>26562</v>
      </c>
      <c r="Q307" t="s">
        <v>26572</v>
      </c>
      <c r="R307" t="s">
        <v>26578</v>
      </c>
      <c r="S307" t="s">
        <v>18959</v>
      </c>
      <c r="U307" t="s">
        <v>26606</v>
      </c>
      <c r="W307" t="s">
        <v>408</v>
      </c>
      <c r="X307">
        <v>931</v>
      </c>
      <c r="Y307" t="s">
        <v>26650</v>
      </c>
      <c r="Z307" t="s">
        <v>26663</v>
      </c>
      <c r="AA307" t="s">
        <v>26684</v>
      </c>
      <c r="AB307" t="s">
        <v>26987</v>
      </c>
      <c r="AD307" t="s">
        <v>37078</v>
      </c>
      <c r="AE307">
        <v>36</v>
      </c>
      <c r="AF307" t="s">
        <v>45543</v>
      </c>
      <c r="AG307" t="s">
        <v>45556</v>
      </c>
      <c r="AH307">
        <v>30</v>
      </c>
      <c r="AI307">
        <v>2</v>
      </c>
      <c r="AJ307">
        <v>0</v>
      </c>
      <c r="AK307">
        <v>54.68</v>
      </c>
      <c r="AN307" t="s">
        <v>7439</v>
      </c>
      <c r="AO307">
        <v>9000</v>
      </c>
      <c r="AU307">
        <v>7.85</v>
      </c>
      <c r="AV307" t="s">
        <v>571</v>
      </c>
      <c r="AW307" t="s">
        <v>46857</v>
      </c>
    </row>
    <row r="308" spans="1:49">
      <c r="A308" s="1">
        <f>HYPERLINK("https://lsnyc.legalserver.org/matter/dynamic-profile/view/1872070","18-1872070")</f>
        <v>0</v>
      </c>
      <c r="B308" t="s">
        <v>99</v>
      </c>
      <c r="C308" t="s">
        <v>341</v>
      </c>
      <c r="D308" t="s">
        <v>408</v>
      </c>
      <c r="E308" t="s">
        <v>440</v>
      </c>
      <c r="F308" t="s">
        <v>1117</v>
      </c>
      <c r="G308" t="s">
        <v>5301</v>
      </c>
      <c r="H308" t="s">
        <v>9901</v>
      </c>
      <c r="J308" t="s">
        <v>18902</v>
      </c>
      <c r="K308">
        <v>10310</v>
      </c>
      <c r="L308" t="s">
        <v>18958</v>
      </c>
      <c r="M308" t="s">
        <v>18958</v>
      </c>
      <c r="N308" t="s">
        <v>19178</v>
      </c>
      <c r="O308" t="s">
        <v>26524</v>
      </c>
      <c r="P308" t="s">
        <v>26560</v>
      </c>
      <c r="Q308" t="s">
        <v>26568</v>
      </c>
      <c r="R308" t="s">
        <v>26590</v>
      </c>
      <c r="S308" t="s">
        <v>18959</v>
      </c>
      <c r="U308" t="s">
        <v>26604</v>
      </c>
      <c r="V308" t="s">
        <v>26610</v>
      </c>
      <c r="W308" t="s">
        <v>408</v>
      </c>
      <c r="X308">
        <v>1956</v>
      </c>
      <c r="Y308" t="s">
        <v>26654</v>
      </c>
      <c r="Z308" t="s">
        <v>26663</v>
      </c>
      <c r="AA308" t="s">
        <v>26678</v>
      </c>
      <c r="AB308" t="s">
        <v>26988</v>
      </c>
      <c r="AC308" t="s">
        <v>34581</v>
      </c>
      <c r="AD308" t="s">
        <v>37079</v>
      </c>
      <c r="AE308">
        <v>3</v>
      </c>
      <c r="AF308" t="s">
        <v>45547</v>
      </c>
      <c r="AG308" t="s">
        <v>45558</v>
      </c>
      <c r="AH308">
        <v>-1</v>
      </c>
      <c r="AI308">
        <v>1</v>
      </c>
      <c r="AJ308">
        <v>4</v>
      </c>
      <c r="AK308">
        <v>20.64</v>
      </c>
      <c r="AN308" t="s">
        <v>7439</v>
      </c>
      <c r="AO308">
        <v>6072</v>
      </c>
      <c r="AR308" t="s">
        <v>46379</v>
      </c>
      <c r="AS308" t="s">
        <v>46499</v>
      </c>
      <c r="AT308" t="s">
        <v>46584</v>
      </c>
      <c r="AU308">
        <v>3.5</v>
      </c>
      <c r="AV308" t="s">
        <v>440</v>
      </c>
      <c r="AW308" t="s">
        <v>46855</v>
      </c>
    </row>
    <row r="309" spans="1:49">
      <c r="A309" s="1">
        <f>HYPERLINK("https://lsnyc.legalserver.org/matter/dynamic-profile/view/1872547","18-1872547")</f>
        <v>0</v>
      </c>
      <c r="B309" t="s">
        <v>99</v>
      </c>
      <c r="C309" t="s">
        <v>341</v>
      </c>
      <c r="D309" t="s">
        <v>408</v>
      </c>
      <c r="E309" t="s">
        <v>531</v>
      </c>
      <c r="F309" t="s">
        <v>1118</v>
      </c>
      <c r="G309" t="s">
        <v>5302</v>
      </c>
      <c r="H309" t="s">
        <v>9902</v>
      </c>
      <c r="I309" t="s">
        <v>17316</v>
      </c>
      <c r="J309" t="s">
        <v>18902</v>
      </c>
      <c r="K309">
        <v>10303</v>
      </c>
      <c r="L309" t="s">
        <v>18958</v>
      </c>
      <c r="M309" t="s">
        <v>18958</v>
      </c>
      <c r="N309" t="s">
        <v>19179</v>
      </c>
      <c r="O309" t="s">
        <v>26523</v>
      </c>
      <c r="P309" t="s">
        <v>26560</v>
      </c>
      <c r="Q309" t="s">
        <v>26568</v>
      </c>
      <c r="R309" t="s">
        <v>26590</v>
      </c>
      <c r="S309" t="s">
        <v>18959</v>
      </c>
      <c r="U309" t="s">
        <v>26605</v>
      </c>
      <c r="V309" t="s">
        <v>26610</v>
      </c>
      <c r="W309" t="s">
        <v>408</v>
      </c>
      <c r="X309">
        <v>399</v>
      </c>
      <c r="Y309" t="s">
        <v>26654</v>
      </c>
      <c r="Z309" t="s">
        <v>26656</v>
      </c>
      <c r="AA309" t="s">
        <v>26680</v>
      </c>
      <c r="AB309" t="s">
        <v>26989</v>
      </c>
      <c r="AE309">
        <v>18</v>
      </c>
      <c r="AF309" t="s">
        <v>45549</v>
      </c>
      <c r="AG309" t="s">
        <v>19330</v>
      </c>
      <c r="AH309">
        <v>2</v>
      </c>
      <c r="AI309">
        <v>1</v>
      </c>
      <c r="AJ309">
        <v>4</v>
      </c>
      <c r="AK309">
        <v>67.98</v>
      </c>
      <c r="AM309" t="s">
        <v>45579</v>
      </c>
      <c r="AN309" t="s">
        <v>7439</v>
      </c>
      <c r="AO309">
        <v>20000</v>
      </c>
      <c r="AR309" t="s">
        <v>46379</v>
      </c>
      <c r="AS309" t="s">
        <v>46499</v>
      </c>
      <c r="AT309" t="s">
        <v>46585</v>
      </c>
      <c r="AU309">
        <v>3.8</v>
      </c>
      <c r="AV309" t="s">
        <v>531</v>
      </c>
      <c r="AW309" t="s">
        <v>190</v>
      </c>
    </row>
    <row r="310" spans="1:49">
      <c r="A310" s="1">
        <f>HYPERLINK("https://lsnyc.legalserver.org/matter/dynamic-profile/view/1872458","18-1872458")</f>
        <v>0</v>
      </c>
      <c r="B310" t="s">
        <v>99</v>
      </c>
      <c r="C310" t="s">
        <v>341</v>
      </c>
      <c r="D310" t="s">
        <v>408</v>
      </c>
      <c r="E310" t="s">
        <v>522</v>
      </c>
      <c r="F310" t="s">
        <v>1018</v>
      </c>
      <c r="G310" t="s">
        <v>5303</v>
      </c>
      <c r="H310" t="s">
        <v>9903</v>
      </c>
      <c r="I310" t="s">
        <v>17352</v>
      </c>
      <c r="J310" t="s">
        <v>18902</v>
      </c>
      <c r="K310">
        <v>10314</v>
      </c>
      <c r="L310" t="s">
        <v>18958</v>
      </c>
      <c r="M310" t="s">
        <v>18958</v>
      </c>
      <c r="N310" t="s">
        <v>19180</v>
      </c>
      <c r="O310" t="s">
        <v>26523</v>
      </c>
      <c r="P310" t="s">
        <v>26560</v>
      </c>
      <c r="Q310" t="s">
        <v>26568</v>
      </c>
      <c r="R310" t="s">
        <v>26590</v>
      </c>
      <c r="S310" t="s">
        <v>18959</v>
      </c>
      <c r="U310" t="s">
        <v>26605</v>
      </c>
      <c r="V310" t="s">
        <v>26610</v>
      </c>
      <c r="W310" t="s">
        <v>408</v>
      </c>
      <c r="X310">
        <v>255.6</v>
      </c>
      <c r="Y310" t="s">
        <v>26654</v>
      </c>
      <c r="Z310" t="s">
        <v>26656</v>
      </c>
      <c r="AA310" t="s">
        <v>26680</v>
      </c>
      <c r="AB310" t="s">
        <v>26990</v>
      </c>
      <c r="AD310" t="s">
        <v>37080</v>
      </c>
      <c r="AE310">
        <v>72</v>
      </c>
      <c r="AF310" t="s">
        <v>45549</v>
      </c>
      <c r="AG310" t="s">
        <v>19330</v>
      </c>
      <c r="AH310">
        <v>5</v>
      </c>
      <c r="AI310">
        <v>1</v>
      </c>
      <c r="AJ310">
        <v>0</v>
      </c>
      <c r="AK310">
        <v>75.02</v>
      </c>
      <c r="AN310" t="s">
        <v>7439</v>
      </c>
      <c r="AO310">
        <v>9108</v>
      </c>
      <c r="AR310" t="s">
        <v>46379</v>
      </c>
      <c r="AS310" t="s">
        <v>46499</v>
      </c>
      <c r="AT310" t="s">
        <v>46508</v>
      </c>
      <c r="AU310">
        <v>4.2</v>
      </c>
      <c r="AV310" t="s">
        <v>522</v>
      </c>
      <c r="AW310" t="s">
        <v>210</v>
      </c>
    </row>
    <row r="311" spans="1:49">
      <c r="A311" s="1">
        <f>HYPERLINK("https://lsnyc.legalserver.org/matter/dynamic-profile/view/1872490","18-1872490")</f>
        <v>0</v>
      </c>
      <c r="B311" t="s">
        <v>130</v>
      </c>
      <c r="C311" t="s">
        <v>341</v>
      </c>
      <c r="D311" t="s">
        <v>408</v>
      </c>
      <c r="E311" t="s">
        <v>497</v>
      </c>
      <c r="F311" t="s">
        <v>887</v>
      </c>
      <c r="G311" t="s">
        <v>5304</v>
      </c>
      <c r="H311" t="s">
        <v>9904</v>
      </c>
      <c r="I311" t="s">
        <v>17288</v>
      </c>
      <c r="J311" t="s">
        <v>18901</v>
      </c>
      <c r="K311">
        <v>11432</v>
      </c>
      <c r="L311" t="s">
        <v>18958</v>
      </c>
      <c r="M311" t="s">
        <v>18958</v>
      </c>
      <c r="N311" t="s">
        <v>19181</v>
      </c>
      <c r="O311" t="s">
        <v>26523</v>
      </c>
      <c r="P311" t="s">
        <v>26564</v>
      </c>
      <c r="Q311" t="s">
        <v>26570</v>
      </c>
      <c r="R311" t="s">
        <v>26584</v>
      </c>
      <c r="S311" t="s">
        <v>18959</v>
      </c>
      <c r="U311" t="s">
        <v>26604</v>
      </c>
      <c r="V311" t="s">
        <v>26610</v>
      </c>
      <c r="W311" t="s">
        <v>408</v>
      </c>
      <c r="X311">
        <v>1342</v>
      </c>
      <c r="Y311" t="s">
        <v>26653</v>
      </c>
      <c r="Z311" t="s">
        <v>26664</v>
      </c>
      <c r="AA311" t="s">
        <v>26683</v>
      </c>
      <c r="AB311" t="s">
        <v>26991</v>
      </c>
      <c r="AC311" t="s">
        <v>34582</v>
      </c>
      <c r="AD311" t="s">
        <v>37081</v>
      </c>
      <c r="AE311">
        <v>60</v>
      </c>
      <c r="AF311" t="s">
        <v>45541</v>
      </c>
      <c r="AG311" t="s">
        <v>19330</v>
      </c>
      <c r="AH311">
        <v>24</v>
      </c>
      <c r="AI311">
        <v>1</v>
      </c>
      <c r="AJ311">
        <v>0</v>
      </c>
      <c r="AK311">
        <v>27.68</v>
      </c>
      <c r="AN311" t="s">
        <v>7439</v>
      </c>
      <c r="AO311">
        <v>3360</v>
      </c>
      <c r="AU311">
        <v>1.05</v>
      </c>
      <c r="AV311" t="s">
        <v>465</v>
      </c>
      <c r="AW311" t="s">
        <v>208</v>
      </c>
    </row>
    <row r="312" spans="1:49">
      <c r="A312" s="1">
        <f>HYPERLINK("https://lsnyc.legalserver.org/matter/dynamic-profile/view/1872500","18-1872500")</f>
        <v>0</v>
      </c>
      <c r="B312" t="s">
        <v>130</v>
      </c>
      <c r="C312" t="s">
        <v>341</v>
      </c>
      <c r="D312" t="s">
        <v>408</v>
      </c>
      <c r="E312" t="s">
        <v>524</v>
      </c>
      <c r="F312" t="s">
        <v>1119</v>
      </c>
      <c r="G312" t="s">
        <v>5305</v>
      </c>
      <c r="H312" t="s">
        <v>9905</v>
      </c>
      <c r="I312" t="s">
        <v>17272</v>
      </c>
      <c r="J312" t="s">
        <v>18917</v>
      </c>
      <c r="K312">
        <v>11356</v>
      </c>
      <c r="L312" t="s">
        <v>18958</v>
      </c>
      <c r="M312" t="s">
        <v>18958</v>
      </c>
      <c r="N312" t="s">
        <v>19182</v>
      </c>
      <c r="O312" t="s">
        <v>26524</v>
      </c>
      <c r="P312" t="s">
        <v>26564</v>
      </c>
      <c r="Q312" t="s">
        <v>26570</v>
      </c>
      <c r="R312" t="s">
        <v>26584</v>
      </c>
      <c r="S312" t="s">
        <v>18959</v>
      </c>
      <c r="U312" t="s">
        <v>26604</v>
      </c>
      <c r="V312" t="s">
        <v>26610</v>
      </c>
      <c r="W312" t="s">
        <v>408</v>
      </c>
      <c r="X312">
        <v>1600</v>
      </c>
      <c r="Y312" t="s">
        <v>26653</v>
      </c>
      <c r="Z312" t="s">
        <v>26664</v>
      </c>
      <c r="AA312" t="s">
        <v>26683</v>
      </c>
      <c r="AB312" t="s">
        <v>26992</v>
      </c>
      <c r="AD312" t="s">
        <v>37082</v>
      </c>
      <c r="AE312">
        <v>12</v>
      </c>
      <c r="AF312" t="s">
        <v>45547</v>
      </c>
      <c r="AG312" t="s">
        <v>19330</v>
      </c>
      <c r="AH312">
        <v>2</v>
      </c>
      <c r="AI312">
        <v>2</v>
      </c>
      <c r="AJ312">
        <v>0</v>
      </c>
      <c r="AK312">
        <v>94.78</v>
      </c>
      <c r="AN312" t="s">
        <v>7439</v>
      </c>
      <c r="AO312">
        <v>15600</v>
      </c>
      <c r="AU312">
        <v>1.85</v>
      </c>
      <c r="AV312" t="s">
        <v>524</v>
      </c>
      <c r="AW312" t="s">
        <v>208</v>
      </c>
    </row>
    <row r="313" spans="1:49">
      <c r="A313" s="1">
        <f>HYPERLINK("https://lsnyc.legalserver.org/matter/dynamic-profile/view/1872470","18-1872470")</f>
        <v>0</v>
      </c>
      <c r="B313" t="s">
        <v>130</v>
      </c>
      <c r="C313" t="s">
        <v>341</v>
      </c>
      <c r="D313" t="s">
        <v>408</v>
      </c>
      <c r="E313" t="s">
        <v>492</v>
      </c>
      <c r="F313" t="s">
        <v>1120</v>
      </c>
      <c r="G313" t="s">
        <v>5306</v>
      </c>
      <c r="H313" t="s">
        <v>9906</v>
      </c>
      <c r="I313">
        <v>2</v>
      </c>
      <c r="J313" t="s">
        <v>18907</v>
      </c>
      <c r="K313">
        <v>11377</v>
      </c>
      <c r="L313" t="s">
        <v>18958</v>
      </c>
      <c r="M313" t="s">
        <v>18958</v>
      </c>
      <c r="N313" t="s">
        <v>19183</v>
      </c>
      <c r="O313" t="s">
        <v>26524</v>
      </c>
      <c r="P313" t="s">
        <v>26564</v>
      </c>
      <c r="Q313" t="s">
        <v>26570</v>
      </c>
      <c r="R313" t="s">
        <v>26584</v>
      </c>
      <c r="S313" t="s">
        <v>18959</v>
      </c>
      <c r="U313" t="s">
        <v>26604</v>
      </c>
      <c r="V313" t="s">
        <v>26611</v>
      </c>
      <c r="W313" t="s">
        <v>408</v>
      </c>
      <c r="X313">
        <v>800</v>
      </c>
      <c r="Y313" t="s">
        <v>26653</v>
      </c>
      <c r="Z313" t="s">
        <v>26664</v>
      </c>
      <c r="AA313" t="s">
        <v>26683</v>
      </c>
      <c r="AB313" t="s">
        <v>26993</v>
      </c>
      <c r="AC313" t="s">
        <v>19045</v>
      </c>
      <c r="AD313" t="s">
        <v>37083</v>
      </c>
      <c r="AE313">
        <v>2</v>
      </c>
      <c r="AF313" t="s">
        <v>45547</v>
      </c>
      <c r="AG313" t="s">
        <v>19330</v>
      </c>
      <c r="AH313">
        <v>1</v>
      </c>
      <c r="AI313">
        <v>1</v>
      </c>
      <c r="AJ313">
        <v>0</v>
      </c>
      <c r="AK313">
        <v>131.8</v>
      </c>
      <c r="AN313" t="s">
        <v>7439</v>
      </c>
      <c r="AO313">
        <v>16000</v>
      </c>
      <c r="AU313">
        <v>0.6</v>
      </c>
      <c r="AV313" t="s">
        <v>465</v>
      </c>
      <c r="AW313" t="s">
        <v>208</v>
      </c>
    </row>
    <row r="314" spans="1:49">
      <c r="A314" s="1">
        <f>HYPERLINK("https://lsnyc.legalserver.org/matter/dynamic-profile/view/1872465","18-1872465")</f>
        <v>0</v>
      </c>
      <c r="B314" t="s">
        <v>130</v>
      </c>
      <c r="C314" t="s">
        <v>341</v>
      </c>
      <c r="D314" t="s">
        <v>408</v>
      </c>
      <c r="E314" t="s">
        <v>492</v>
      </c>
      <c r="F314" t="s">
        <v>1121</v>
      </c>
      <c r="G314" t="s">
        <v>5199</v>
      </c>
      <c r="H314" t="s">
        <v>9907</v>
      </c>
      <c r="J314" t="s">
        <v>18918</v>
      </c>
      <c r="K314">
        <v>11416</v>
      </c>
      <c r="L314" t="s">
        <v>18958</v>
      </c>
      <c r="M314" t="s">
        <v>18958</v>
      </c>
      <c r="N314" t="s">
        <v>19184</v>
      </c>
      <c r="O314" t="s">
        <v>26523</v>
      </c>
      <c r="P314" t="s">
        <v>26564</v>
      </c>
      <c r="Q314" t="s">
        <v>26570</v>
      </c>
      <c r="R314" t="s">
        <v>26584</v>
      </c>
      <c r="S314" t="s">
        <v>18959</v>
      </c>
      <c r="U314" t="s">
        <v>26604</v>
      </c>
      <c r="V314" t="s">
        <v>26610</v>
      </c>
      <c r="W314" t="s">
        <v>408</v>
      </c>
      <c r="X314">
        <v>1300</v>
      </c>
      <c r="Y314" t="s">
        <v>26653</v>
      </c>
      <c r="Z314" t="s">
        <v>26664</v>
      </c>
      <c r="AA314" t="s">
        <v>26683</v>
      </c>
      <c r="AB314" t="s">
        <v>26994</v>
      </c>
      <c r="AC314" t="s">
        <v>19045</v>
      </c>
      <c r="AD314" t="s">
        <v>37084</v>
      </c>
      <c r="AE314">
        <v>3</v>
      </c>
      <c r="AF314" t="s">
        <v>45547</v>
      </c>
      <c r="AG314" t="s">
        <v>19330</v>
      </c>
      <c r="AH314">
        <v>3</v>
      </c>
      <c r="AI314">
        <v>2</v>
      </c>
      <c r="AJ314">
        <v>0</v>
      </c>
      <c r="AK314">
        <v>176.18</v>
      </c>
      <c r="AN314" t="s">
        <v>7439</v>
      </c>
      <c r="AO314">
        <v>29000</v>
      </c>
      <c r="AU314">
        <v>1.2</v>
      </c>
      <c r="AV314" t="s">
        <v>465</v>
      </c>
      <c r="AW314" t="s">
        <v>208</v>
      </c>
    </row>
    <row r="315" spans="1:49">
      <c r="A315" s="1">
        <f>HYPERLINK("https://lsnyc.legalserver.org/matter/dynamic-profile/view/1872437","18-1872437")</f>
        <v>0</v>
      </c>
      <c r="B315" t="s">
        <v>109</v>
      </c>
      <c r="C315" t="s">
        <v>341</v>
      </c>
      <c r="D315" t="s">
        <v>408</v>
      </c>
      <c r="E315" t="s">
        <v>498</v>
      </c>
      <c r="F315" t="s">
        <v>1056</v>
      </c>
      <c r="G315" t="s">
        <v>5307</v>
      </c>
      <c r="H315" t="s">
        <v>9908</v>
      </c>
      <c r="I315" t="s">
        <v>17322</v>
      </c>
      <c r="J315" t="s">
        <v>18902</v>
      </c>
      <c r="K315">
        <v>10303</v>
      </c>
      <c r="L315" t="s">
        <v>18958</v>
      </c>
      <c r="M315" t="s">
        <v>18958</v>
      </c>
      <c r="N315" t="s">
        <v>19185</v>
      </c>
      <c r="O315" t="s">
        <v>26523</v>
      </c>
      <c r="P315" t="s">
        <v>26560</v>
      </c>
      <c r="Q315" t="s">
        <v>26568</v>
      </c>
      <c r="R315" t="s">
        <v>26590</v>
      </c>
      <c r="S315" t="s">
        <v>18959</v>
      </c>
      <c r="U315" t="s">
        <v>26605</v>
      </c>
      <c r="V315" t="s">
        <v>26610</v>
      </c>
      <c r="W315" t="s">
        <v>408</v>
      </c>
      <c r="X315">
        <v>319</v>
      </c>
      <c r="Y315" t="s">
        <v>26654</v>
      </c>
      <c r="Z315" t="s">
        <v>26656</v>
      </c>
      <c r="AA315" t="s">
        <v>26680</v>
      </c>
      <c r="AB315" t="s">
        <v>26995</v>
      </c>
      <c r="AD315" t="s">
        <v>37085</v>
      </c>
      <c r="AE315">
        <v>18</v>
      </c>
      <c r="AF315" t="s">
        <v>45549</v>
      </c>
      <c r="AH315">
        <v>7</v>
      </c>
      <c r="AI315">
        <v>1</v>
      </c>
      <c r="AJ315">
        <v>3</v>
      </c>
      <c r="AK315">
        <v>33.47</v>
      </c>
      <c r="AO315">
        <v>8400</v>
      </c>
      <c r="AQ315" t="s">
        <v>46359</v>
      </c>
      <c r="AR315" t="s">
        <v>46379</v>
      </c>
      <c r="AS315" t="s">
        <v>46499</v>
      </c>
      <c r="AT315" t="s">
        <v>46526</v>
      </c>
      <c r="AU315">
        <v>1.45</v>
      </c>
      <c r="AV315" t="s">
        <v>505</v>
      </c>
      <c r="AW315" t="s">
        <v>210</v>
      </c>
    </row>
    <row r="316" spans="1:49">
      <c r="A316" s="1">
        <f>HYPERLINK("https://lsnyc.legalserver.org/matter/dynamic-profile/view/1872478","18-1872478")</f>
        <v>0</v>
      </c>
      <c r="B316" t="s">
        <v>109</v>
      </c>
      <c r="C316" t="s">
        <v>341</v>
      </c>
      <c r="D316" t="s">
        <v>408</v>
      </c>
      <c r="E316" t="s">
        <v>512</v>
      </c>
      <c r="F316" t="s">
        <v>1122</v>
      </c>
      <c r="G316" t="s">
        <v>5308</v>
      </c>
      <c r="H316" t="s">
        <v>9909</v>
      </c>
      <c r="I316" t="s">
        <v>17272</v>
      </c>
      <c r="J316" t="s">
        <v>18902</v>
      </c>
      <c r="K316">
        <v>10303</v>
      </c>
      <c r="L316" t="s">
        <v>18958</v>
      </c>
      <c r="M316" t="s">
        <v>18958</v>
      </c>
      <c r="N316" t="s">
        <v>19186</v>
      </c>
      <c r="O316" t="s">
        <v>26523</v>
      </c>
      <c r="P316" t="s">
        <v>26560</v>
      </c>
      <c r="Q316" t="s">
        <v>26568</v>
      </c>
      <c r="R316" t="s">
        <v>26590</v>
      </c>
      <c r="S316" t="s">
        <v>18959</v>
      </c>
      <c r="U316" t="s">
        <v>26605</v>
      </c>
      <c r="V316" t="s">
        <v>26610</v>
      </c>
      <c r="W316" t="s">
        <v>408</v>
      </c>
      <c r="X316">
        <v>285</v>
      </c>
      <c r="Y316" t="s">
        <v>26654</v>
      </c>
      <c r="Z316" t="s">
        <v>26656</v>
      </c>
      <c r="AA316" t="s">
        <v>26680</v>
      </c>
      <c r="AB316" t="s">
        <v>26996</v>
      </c>
      <c r="AD316" t="s">
        <v>37086</v>
      </c>
      <c r="AE316">
        <v>18</v>
      </c>
      <c r="AF316" t="s">
        <v>45549</v>
      </c>
      <c r="AG316" t="s">
        <v>19330</v>
      </c>
      <c r="AH316">
        <v>3</v>
      </c>
      <c r="AI316">
        <v>1</v>
      </c>
      <c r="AJ316">
        <v>2</v>
      </c>
      <c r="AK316">
        <v>69.3</v>
      </c>
      <c r="AN316" t="s">
        <v>7439</v>
      </c>
      <c r="AO316">
        <v>14400</v>
      </c>
      <c r="AQ316" t="s">
        <v>46362</v>
      </c>
      <c r="AR316" t="s">
        <v>46379</v>
      </c>
      <c r="AS316" t="s">
        <v>46499</v>
      </c>
      <c r="AT316" t="s">
        <v>46526</v>
      </c>
      <c r="AU316">
        <v>1.5</v>
      </c>
      <c r="AV316" t="s">
        <v>505</v>
      </c>
      <c r="AW316" t="s">
        <v>190</v>
      </c>
    </row>
    <row r="317" spans="1:49">
      <c r="A317" s="1">
        <f>HYPERLINK("https://lsnyc.legalserver.org/matter/dynamic-profile/view/1872445","18-1872445")</f>
        <v>0</v>
      </c>
      <c r="B317" t="s">
        <v>109</v>
      </c>
      <c r="C317" t="s">
        <v>341</v>
      </c>
      <c r="D317" t="s">
        <v>408</v>
      </c>
      <c r="E317" t="s">
        <v>848</v>
      </c>
      <c r="F317" t="s">
        <v>1123</v>
      </c>
      <c r="G317" t="s">
        <v>5309</v>
      </c>
      <c r="H317" t="s">
        <v>9910</v>
      </c>
      <c r="I317" t="s">
        <v>17378</v>
      </c>
      <c r="J317" t="s">
        <v>18902</v>
      </c>
      <c r="K317">
        <v>10303</v>
      </c>
      <c r="L317" t="s">
        <v>18958</v>
      </c>
      <c r="M317" t="s">
        <v>18958</v>
      </c>
      <c r="N317" t="s">
        <v>19187</v>
      </c>
      <c r="O317" t="s">
        <v>26523</v>
      </c>
      <c r="P317" t="s">
        <v>26560</v>
      </c>
      <c r="Q317" t="s">
        <v>26568</v>
      </c>
      <c r="R317" t="s">
        <v>26590</v>
      </c>
      <c r="S317" t="s">
        <v>18959</v>
      </c>
      <c r="U317" t="s">
        <v>26605</v>
      </c>
      <c r="V317" t="s">
        <v>26610</v>
      </c>
      <c r="W317" t="s">
        <v>408</v>
      </c>
      <c r="X317">
        <v>550</v>
      </c>
      <c r="Y317" t="s">
        <v>26654</v>
      </c>
      <c r="Z317" t="s">
        <v>26656</v>
      </c>
      <c r="AA317" t="s">
        <v>26680</v>
      </c>
      <c r="AB317" t="s">
        <v>26997</v>
      </c>
      <c r="AD317" t="s">
        <v>37087</v>
      </c>
      <c r="AE317">
        <v>35</v>
      </c>
      <c r="AF317" t="s">
        <v>45549</v>
      </c>
      <c r="AG317" t="s">
        <v>45556</v>
      </c>
      <c r="AH317">
        <v>6</v>
      </c>
      <c r="AI317">
        <v>1</v>
      </c>
      <c r="AJ317">
        <v>2</v>
      </c>
      <c r="AK317">
        <v>314.63</v>
      </c>
      <c r="AN317" t="s">
        <v>7439</v>
      </c>
      <c r="AO317">
        <v>65379.6</v>
      </c>
      <c r="AQ317" t="s">
        <v>46362</v>
      </c>
      <c r="AR317" t="s">
        <v>46381</v>
      </c>
      <c r="AS317" t="s">
        <v>46499</v>
      </c>
      <c r="AT317" t="s">
        <v>46582</v>
      </c>
      <c r="AU317">
        <v>4</v>
      </c>
      <c r="AV317" t="s">
        <v>848</v>
      </c>
      <c r="AW317" t="s">
        <v>190</v>
      </c>
    </row>
    <row r="318" spans="1:49">
      <c r="A318" s="1">
        <f>HYPERLINK("https://lsnyc.legalserver.org/matter/dynamic-profile/view/1871654","18-1871654")</f>
        <v>0</v>
      </c>
      <c r="B318" t="s">
        <v>131</v>
      </c>
      <c r="C318" t="s">
        <v>341</v>
      </c>
      <c r="D318" t="s">
        <v>408</v>
      </c>
      <c r="E318" t="s">
        <v>833</v>
      </c>
      <c r="F318" t="s">
        <v>923</v>
      </c>
      <c r="G318" t="s">
        <v>5310</v>
      </c>
      <c r="H318" t="s">
        <v>9911</v>
      </c>
      <c r="I318" t="s">
        <v>17283</v>
      </c>
      <c r="J318" t="s">
        <v>18902</v>
      </c>
      <c r="K318">
        <v>10304</v>
      </c>
      <c r="L318" t="s">
        <v>18958</v>
      </c>
      <c r="M318" t="s">
        <v>18959</v>
      </c>
      <c r="N318" t="s">
        <v>19188</v>
      </c>
      <c r="O318" t="s">
        <v>26524</v>
      </c>
      <c r="P318" t="s">
        <v>26560</v>
      </c>
      <c r="Q318" t="s">
        <v>26575</v>
      </c>
      <c r="R318" t="s">
        <v>26578</v>
      </c>
      <c r="S318" t="s">
        <v>18959</v>
      </c>
      <c r="U318" t="s">
        <v>26604</v>
      </c>
      <c r="V318" t="s">
        <v>26610</v>
      </c>
      <c r="W318" t="s">
        <v>408</v>
      </c>
      <c r="X318">
        <v>147</v>
      </c>
      <c r="Y318" t="s">
        <v>26654</v>
      </c>
      <c r="Z318" t="s">
        <v>26661</v>
      </c>
      <c r="AA318" t="s">
        <v>26678</v>
      </c>
      <c r="AB318" t="s">
        <v>26998</v>
      </c>
      <c r="AE318">
        <v>150</v>
      </c>
      <c r="AF318" t="s">
        <v>45543</v>
      </c>
      <c r="AG318" t="s">
        <v>45556</v>
      </c>
      <c r="AH318">
        <v>-1</v>
      </c>
      <c r="AI318">
        <v>1</v>
      </c>
      <c r="AJ318">
        <v>1</v>
      </c>
      <c r="AK318">
        <v>60.07</v>
      </c>
      <c r="AN318" t="s">
        <v>7439</v>
      </c>
      <c r="AO318">
        <v>9888</v>
      </c>
      <c r="AP318" t="s">
        <v>45645</v>
      </c>
      <c r="AQ318" t="s">
        <v>46361</v>
      </c>
      <c r="AU318">
        <v>51.68</v>
      </c>
      <c r="AV318" t="s">
        <v>833</v>
      </c>
      <c r="AW318" t="s">
        <v>190</v>
      </c>
    </row>
    <row r="319" spans="1:49">
      <c r="A319" s="1">
        <f>HYPERLINK("https://lsnyc.legalserver.org/matter/dynamic-profile/view/1871399","18-1871399")</f>
        <v>0</v>
      </c>
      <c r="B319" t="s">
        <v>131</v>
      </c>
      <c r="C319" t="s">
        <v>341</v>
      </c>
      <c r="D319" t="s">
        <v>408</v>
      </c>
      <c r="E319" t="s">
        <v>751</v>
      </c>
      <c r="F319" t="s">
        <v>1124</v>
      </c>
      <c r="G319" t="s">
        <v>5311</v>
      </c>
      <c r="H319" t="s">
        <v>9912</v>
      </c>
      <c r="I319" t="s">
        <v>17299</v>
      </c>
      <c r="J319" t="s">
        <v>18902</v>
      </c>
      <c r="K319">
        <v>10314</v>
      </c>
      <c r="L319" t="s">
        <v>18958</v>
      </c>
      <c r="M319" t="s">
        <v>18958</v>
      </c>
      <c r="N319" t="s">
        <v>19189</v>
      </c>
      <c r="O319" t="s">
        <v>26523</v>
      </c>
      <c r="P319" t="s">
        <v>26560</v>
      </c>
      <c r="Q319" t="s">
        <v>26568</v>
      </c>
      <c r="R319" t="s">
        <v>26590</v>
      </c>
      <c r="S319" t="s">
        <v>18959</v>
      </c>
      <c r="U319" t="s">
        <v>26605</v>
      </c>
      <c r="V319" t="s">
        <v>26611</v>
      </c>
      <c r="W319" t="s">
        <v>408</v>
      </c>
      <c r="X319">
        <v>870</v>
      </c>
      <c r="Y319" t="s">
        <v>26654</v>
      </c>
      <c r="Z319" t="s">
        <v>26661</v>
      </c>
      <c r="AA319" t="s">
        <v>26680</v>
      </c>
      <c r="AB319" t="s">
        <v>26999</v>
      </c>
      <c r="AD319" t="s">
        <v>37088</v>
      </c>
      <c r="AE319">
        <v>72</v>
      </c>
      <c r="AF319" t="s">
        <v>45549</v>
      </c>
      <c r="AG319" t="s">
        <v>19330</v>
      </c>
      <c r="AH319">
        <v>9</v>
      </c>
      <c r="AI319">
        <v>1</v>
      </c>
      <c r="AJ319">
        <v>0</v>
      </c>
      <c r="AK319">
        <v>124.22</v>
      </c>
      <c r="AN319" t="s">
        <v>7439</v>
      </c>
      <c r="AO319">
        <v>15080</v>
      </c>
      <c r="AR319" t="s">
        <v>26530</v>
      </c>
      <c r="AS319" t="s">
        <v>46499</v>
      </c>
      <c r="AT319" t="s">
        <v>46586</v>
      </c>
      <c r="AU319">
        <v>9.15</v>
      </c>
      <c r="AV319" t="s">
        <v>751</v>
      </c>
      <c r="AW319" t="s">
        <v>190</v>
      </c>
    </row>
    <row r="320" spans="1:49">
      <c r="A320" s="1">
        <f>HYPERLINK("https://lsnyc.legalserver.org/matter/dynamic-profile/view/1872502","18-1872502")</f>
        <v>0</v>
      </c>
      <c r="B320" t="s">
        <v>72</v>
      </c>
      <c r="C320" t="s">
        <v>341</v>
      </c>
      <c r="D320" t="s">
        <v>408</v>
      </c>
      <c r="E320" t="s">
        <v>739</v>
      </c>
      <c r="F320" t="s">
        <v>1125</v>
      </c>
      <c r="G320" t="s">
        <v>5312</v>
      </c>
      <c r="H320" t="s">
        <v>9913</v>
      </c>
      <c r="I320" t="s">
        <v>17272</v>
      </c>
      <c r="J320" t="s">
        <v>18893</v>
      </c>
      <c r="K320">
        <v>10034</v>
      </c>
      <c r="L320" t="s">
        <v>18958</v>
      </c>
      <c r="M320" t="s">
        <v>18958</v>
      </c>
      <c r="P320" t="s">
        <v>26565</v>
      </c>
      <c r="Q320" t="s">
        <v>26571</v>
      </c>
      <c r="R320" t="s">
        <v>26578</v>
      </c>
      <c r="S320" t="s">
        <v>18959</v>
      </c>
      <c r="U320" t="s">
        <v>26604</v>
      </c>
      <c r="W320" t="s">
        <v>408</v>
      </c>
      <c r="X320">
        <v>0</v>
      </c>
      <c r="Y320" t="s">
        <v>26651</v>
      </c>
      <c r="Z320" t="s">
        <v>26661</v>
      </c>
      <c r="AA320" t="s">
        <v>26682</v>
      </c>
      <c r="AB320" t="s">
        <v>27000</v>
      </c>
      <c r="AE320">
        <v>17</v>
      </c>
      <c r="AF320" t="s">
        <v>45541</v>
      </c>
      <c r="AG320" t="s">
        <v>19330</v>
      </c>
      <c r="AH320">
        <v>9</v>
      </c>
      <c r="AI320">
        <v>1</v>
      </c>
      <c r="AJ320">
        <v>0</v>
      </c>
      <c r="AK320">
        <v>5.93</v>
      </c>
      <c r="AN320" t="s">
        <v>45581</v>
      </c>
      <c r="AO320">
        <v>720</v>
      </c>
      <c r="AU320">
        <v>0.1</v>
      </c>
      <c r="AV320" t="s">
        <v>739</v>
      </c>
      <c r="AW320" t="s">
        <v>46840</v>
      </c>
    </row>
    <row r="321" spans="1:49">
      <c r="A321" s="1">
        <f>HYPERLINK("https://lsnyc.legalserver.org/matter/dynamic-profile/view/1872494","18-1872494")</f>
        <v>0</v>
      </c>
      <c r="B321" t="s">
        <v>72</v>
      </c>
      <c r="C321" t="s">
        <v>341</v>
      </c>
      <c r="D321" t="s">
        <v>408</v>
      </c>
      <c r="E321" t="s">
        <v>739</v>
      </c>
      <c r="F321" t="s">
        <v>1126</v>
      </c>
      <c r="G321" t="s">
        <v>5313</v>
      </c>
      <c r="H321" t="s">
        <v>9914</v>
      </c>
      <c r="I321" t="s">
        <v>17284</v>
      </c>
      <c r="J321" t="s">
        <v>18893</v>
      </c>
      <c r="K321">
        <v>10034</v>
      </c>
      <c r="L321" t="s">
        <v>18958</v>
      </c>
      <c r="M321" t="s">
        <v>18958</v>
      </c>
      <c r="P321" t="s">
        <v>26565</v>
      </c>
      <c r="Q321" t="s">
        <v>26571</v>
      </c>
      <c r="R321" t="s">
        <v>26578</v>
      </c>
      <c r="S321" t="s">
        <v>18959</v>
      </c>
      <c r="U321" t="s">
        <v>26604</v>
      </c>
      <c r="W321" t="s">
        <v>408</v>
      </c>
      <c r="X321">
        <v>687.12</v>
      </c>
      <c r="Y321" t="s">
        <v>26651</v>
      </c>
      <c r="Z321" t="s">
        <v>26661</v>
      </c>
      <c r="AA321" t="s">
        <v>26682</v>
      </c>
      <c r="AB321" t="s">
        <v>27001</v>
      </c>
      <c r="AD321" t="s">
        <v>37089</v>
      </c>
      <c r="AE321">
        <v>26</v>
      </c>
      <c r="AF321" t="s">
        <v>45541</v>
      </c>
      <c r="AG321" t="s">
        <v>19330</v>
      </c>
      <c r="AH321">
        <v>53</v>
      </c>
      <c r="AI321">
        <v>1</v>
      </c>
      <c r="AJ321">
        <v>0</v>
      </c>
      <c r="AK321">
        <v>111.4</v>
      </c>
      <c r="AN321" t="s">
        <v>45581</v>
      </c>
      <c r="AO321">
        <v>13524</v>
      </c>
      <c r="AU321">
        <v>0.1</v>
      </c>
      <c r="AV321" t="s">
        <v>739</v>
      </c>
      <c r="AW321" t="s">
        <v>46840</v>
      </c>
    </row>
    <row r="322" spans="1:49">
      <c r="A322" s="1">
        <f>HYPERLINK("https://lsnyc.legalserver.org/matter/dynamic-profile/view/1872460","18-1872460")</f>
        <v>0</v>
      </c>
      <c r="B322" t="s">
        <v>153</v>
      </c>
      <c r="C322" t="s">
        <v>341</v>
      </c>
      <c r="D322" t="s">
        <v>408</v>
      </c>
      <c r="E322" t="s">
        <v>603</v>
      </c>
      <c r="F322" t="s">
        <v>1127</v>
      </c>
      <c r="G322" t="s">
        <v>5314</v>
      </c>
      <c r="H322" t="s">
        <v>9915</v>
      </c>
      <c r="I322" t="s">
        <v>17410</v>
      </c>
      <c r="J322" t="s">
        <v>18902</v>
      </c>
      <c r="K322">
        <v>10303</v>
      </c>
      <c r="L322" t="s">
        <v>18958</v>
      </c>
      <c r="M322" t="s">
        <v>18958</v>
      </c>
      <c r="N322" t="s">
        <v>19190</v>
      </c>
      <c r="O322" t="s">
        <v>26523</v>
      </c>
      <c r="P322" t="s">
        <v>26560</v>
      </c>
      <c r="Q322" t="s">
        <v>26568</v>
      </c>
      <c r="R322" t="s">
        <v>26590</v>
      </c>
      <c r="S322" t="s">
        <v>18959</v>
      </c>
      <c r="U322" t="s">
        <v>26605</v>
      </c>
      <c r="V322" t="s">
        <v>26610</v>
      </c>
      <c r="W322" t="s">
        <v>408</v>
      </c>
      <c r="X322">
        <v>69</v>
      </c>
      <c r="Y322" t="s">
        <v>26654</v>
      </c>
      <c r="Z322" t="s">
        <v>26656</v>
      </c>
      <c r="AA322" t="s">
        <v>26680</v>
      </c>
      <c r="AB322" t="s">
        <v>27002</v>
      </c>
      <c r="AD322" t="s">
        <v>37090</v>
      </c>
      <c r="AE322">
        <v>0</v>
      </c>
      <c r="AF322" t="s">
        <v>45549</v>
      </c>
      <c r="AH322">
        <v>15</v>
      </c>
      <c r="AI322">
        <v>1</v>
      </c>
      <c r="AJ322">
        <v>1</v>
      </c>
      <c r="AK322">
        <v>25.52</v>
      </c>
      <c r="AN322" t="s">
        <v>7439</v>
      </c>
      <c r="AO322">
        <v>4200</v>
      </c>
      <c r="AS322" t="s">
        <v>46499</v>
      </c>
      <c r="AT322" t="s">
        <v>46587</v>
      </c>
      <c r="AU322">
        <v>2.6</v>
      </c>
      <c r="AV322" t="s">
        <v>603</v>
      </c>
      <c r="AW322" t="s">
        <v>190</v>
      </c>
    </row>
    <row r="323" spans="1:49">
      <c r="A323" s="1">
        <f>HYPERLINK("https://lsnyc.legalserver.org/matter/dynamic-profile/view/1872463","18-1872463")</f>
        <v>0</v>
      </c>
      <c r="B323" t="s">
        <v>146</v>
      </c>
      <c r="C323" t="s">
        <v>341</v>
      </c>
      <c r="D323" t="s">
        <v>408</v>
      </c>
      <c r="E323" t="s">
        <v>511</v>
      </c>
      <c r="F323" t="s">
        <v>1119</v>
      </c>
      <c r="G323" t="s">
        <v>5313</v>
      </c>
      <c r="H323" t="s">
        <v>9887</v>
      </c>
      <c r="I323" t="s">
        <v>17355</v>
      </c>
      <c r="J323" t="s">
        <v>18893</v>
      </c>
      <c r="K323">
        <v>10032</v>
      </c>
      <c r="L323" t="s">
        <v>18958</v>
      </c>
      <c r="M323" t="s">
        <v>18958</v>
      </c>
      <c r="O323" t="s">
        <v>18997</v>
      </c>
      <c r="P323" t="s">
        <v>26562</v>
      </c>
      <c r="Q323" t="s">
        <v>26570</v>
      </c>
      <c r="R323" t="s">
        <v>26578</v>
      </c>
      <c r="S323" t="s">
        <v>18959</v>
      </c>
      <c r="U323" t="s">
        <v>26604</v>
      </c>
      <c r="W323" t="s">
        <v>408</v>
      </c>
      <c r="X323">
        <v>872.58</v>
      </c>
      <c r="Y323" t="s">
        <v>26651</v>
      </c>
      <c r="Z323" t="s">
        <v>26661</v>
      </c>
      <c r="AA323" t="s">
        <v>26683</v>
      </c>
      <c r="AB323" t="s">
        <v>27003</v>
      </c>
      <c r="AD323" t="s">
        <v>37091</v>
      </c>
      <c r="AE323">
        <v>49</v>
      </c>
      <c r="AF323" t="s">
        <v>45541</v>
      </c>
      <c r="AG323" t="s">
        <v>45556</v>
      </c>
      <c r="AH323">
        <v>0</v>
      </c>
      <c r="AI323">
        <v>1</v>
      </c>
      <c r="AJ323">
        <v>0</v>
      </c>
      <c r="AK323">
        <v>82.73</v>
      </c>
      <c r="AN323" t="s">
        <v>45581</v>
      </c>
      <c r="AO323">
        <v>10044</v>
      </c>
      <c r="AU323">
        <v>3.1</v>
      </c>
      <c r="AV323" t="s">
        <v>511</v>
      </c>
      <c r="AW323" t="s">
        <v>46840</v>
      </c>
    </row>
    <row r="324" spans="1:49">
      <c r="A324" s="1">
        <f>HYPERLINK("https://lsnyc.legalserver.org/matter/dynamic-profile/view/1872469","18-1872469")</f>
        <v>0</v>
      </c>
      <c r="B324" t="s">
        <v>146</v>
      </c>
      <c r="C324" t="s">
        <v>341</v>
      </c>
      <c r="D324" t="s">
        <v>408</v>
      </c>
      <c r="E324" t="s">
        <v>461</v>
      </c>
      <c r="F324" t="s">
        <v>887</v>
      </c>
      <c r="G324" t="s">
        <v>5315</v>
      </c>
      <c r="H324" t="s">
        <v>9916</v>
      </c>
      <c r="I324" t="s">
        <v>17307</v>
      </c>
      <c r="J324" t="s">
        <v>18893</v>
      </c>
      <c r="K324">
        <v>10033</v>
      </c>
      <c r="L324" t="s">
        <v>18958</v>
      </c>
      <c r="M324" t="s">
        <v>18958</v>
      </c>
      <c r="N324" t="s">
        <v>19191</v>
      </c>
      <c r="O324" t="s">
        <v>26524</v>
      </c>
      <c r="P324" t="s">
        <v>26564</v>
      </c>
      <c r="Q324" t="s">
        <v>26570</v>
      </c>
      <c r="R324" t="s">
        <v>26578</v>
      </c>
      <c r="S324" t="s">
        <v>18959</v>
      </c>
      <c r="U324" t="s">
        <v>26604</v>
      </c>
      <c r="W324" t="s">
        <v>408</v>
      </c>
      <c r="X324">
        <v>173</v>
      </c>
      <c r="Y324" t="s">
        <v>26651</v>
      </c>
      <c r="Z324" t="s">
        <v>26661</v>
      </c>
      <c r="AA324" t="s">
        <v>26683</v>
      </c>
      <c r="AB324" t="s">
        <v>27004</v>
      </c>
      <c r="AE324">
        <v>35</v>
      </c>
      <c r="AF324" t="s">
        <v>45543</v>
      </c>
      <c r="AG324" t="s">
        <v>45556</v>
      </c>
      <c r="AH324">
        <v>10</v>
      </c>
      <c r="AI324">
        <v>1</v>
      </c>
      <c r="AJ324">
        <v>0</v>
      </c>
      <c r="AK324">
        <v>109.42</v>
      </c>
      <c r="AN324" t="s">
        <v>45581</v>
      </c>
      <c r="AO324">
        <v>13284</v>
      </c>
      <c r="AU324">
        <v>2.2</v>
      </c>
      <c r="AV324" t="s">
        <v>461</v>
      </c>
      <c r="AW324" t="s">
        <v>46840</v>
      </c>
    </row>
    <row r="325" spans="1:49">
      <c r="A325" s="1">
        <f>HYPERLINK("https://lsnyc.legalserver.org/matter/dynamic-profile/view/1872457","18-1872457")</f>
        <v>0</v>
      </c>
      <c r="B325" t="s">
        <v>146</v>
      </c>
      <c r="C325" t="s">
        <v>341</v>
      </c>
      <c r="D325" t="s">
        <v>408</v>
      </c>
      <c r="E325" t="s">
        <v>410</v>
      </c>
      <c r="F325" t="s">
        <v>875</v>
      </c>
      <c r="G325" t="s">
        <v>5316</v>
      </c>
      <c r="H325" t="s">
        <v>9917</v>
      </c>
      <c r="I325" t="s">
        <v>17276</v>
      </c>
      <c r="J325" t="s">
        <v>18893</v>
      </c>
      <c r="K325">
        <v>10033</v>
      </c>
      <c r="L325" t="s">
        <v>18958</v>
      </c>
      <c r="M325" t="s">
        <v>18958</v>
      </c>
      <c r="O325" t="s">
        <v>26527</v>
      </c>
      <c r="P325" t="s">
        <v>26564</v>
      </c>
      <c r="Q325" t="s">
        <v>26570</v>
      </c>
      <c r="R325" t="s">
        <v>26578</v>
      </c>
      <c r="S325" t="s">
        <v>18959</v>
      </c>
      <c r="U325" t="s">
        <v>26604</v>
      </c>
      <c r="W325" t="s">
        <v>408</v>
      </c>
      <c r="X325">
        <v>786.61</v>
      </c>
      <c r="Y325" t="s">
        <v>26651</v>
      </c>
      <c r="Z325" t="s">
        <v>26661</v>
      </c>
      <c r="AA325" t="s">
        <v>26683</v>
      </c>
      <c r="AB325" t="s">
        <v>27005</v>
      </c>
      <c r="AD325" t="s">
        <v>37092</v>
      </c>
      <c r="AE325">
        <v>49</v>
      </c>
      <c r="AF325" t="s">
        <v>45541</v>
      </c>
      <c r="AG325" t="s">
        <v>19330</v>
      </c>
      <c r="AH325">
        <v>30</v>
      </c>
      <c r="AI325">
        <v>2</v>
      </c>
      <c r="AJ325">
        <v>0</v>
      </c>
      <c r="AK325">
        <v>150.06</v>
      </c>
      <c r="AN325" t="s">
        <v>45581</v>
      </c>
      <c r="AO325">
        <v>24700</v>
      </c>
      <c r="AU325">
        <v>0.7</v>
      </c>
      <c r="AV325" t="s">
        <v>410</v>
      </c>
      <c r="AW325" t="s">
        <v>46840</v>
      </c>
    </row>
    <row r="326" spans="1:49">
      <c r="A326" s="1">
        <f>HYPERLINK("https://lsnyc.legalserver.org/matter/dynamic-profile/view/1872431","18-1872431")</f>
        <v>0</v>
      </c>
      <c r="B326" t="s">
        <v>74</v>
      </c>
      <c r="C326" t="s">
        <v>341</v>
      </c>
      <c r="D326" t="s">
        <v>408</v>
      </c>
      <c r="E326" t="s">
        <v>512</v>
      </c>
      <c r="F326" t="s">
        <v>881</v>
      </c>
      <c r="G326" t="s">
        <v>5122</v>
      </c>
      <c r="H326" t="s">
        <v>9918</v>
      </c>
      <c r="J326" t="s">
        <v>18894</v>
      </c>
      <c r="K326">
        <v>11214</v>
      </c>
      <c r="L326" t="s">
        <v>18958</v>
      </c>
      <c r="M326" t="s">
        <v>18958</v>
      </c>
      <c r="O326" t="s">
        <v>26529</v>
      </c>
      <c r="P326" t="s">
        <v>26565</v>
      </c>
      <c r="Q326" t="s">
        <v>26570</v>
      </c>
      <c r="R326" t="s">
        <v>26578</v>
      </c>
      <c r="S326" t="s">
        <v>18959</v>
      </c>
      <c r="U326" t="s">
        <v>26604</v>
      </c>
      <c r="W326" t="s">
        <v>408</v>
      </c>
      <c r="X326">
        <v>0</v>
      </c>
      <c r="Y326" t="s">
        <v>26651</v>
      </c>
      <c r="Z326" t="s">
        <v>26667</v>
      </c>
      <c r="AA326" t="s">
        <v>26683</v>
      </c>
      <c r="AB326" t="s">
        <v>27006</v>
      </c>
      <c r="AD326" t="s">
        <v>37093</v>
      </c>
      <c r="AE326">
        <v>3</v>
      </c>
      <c r="AF326" t="s">
        <v>45541</v>
      </c>
      <c r="AG326" t="s">
        <v>19330</v>
      </c>
      <c r="AH326">
        <v>6</v>
      </c>
      <c r="AI326">
        <v>3</v>
      </c>
      <c r="AJ326">
        <v>1</v>
      </c>
      <c r="AK326">
        <v>57.37</v>
      </c>
      <c r="AN326" t="s">
        <v>7439</v>
      </c>
      <c r="AO326">
        <v>14400</v>
      </c>
      <c r="AU326">
        <v>0.3</v>
      </c>
      <c r="AV326" t="s">
        <v>512</v>
      </c>
      <c r="AW326" t="s">
        <v>46840</v>
      </c>
    </row>
    <row r="327" spans="1:49">
      <c r="A327" s="1">
        <f>HYPERLINK("https://lsnyc.legalserver.org/matter/dynamic-profile/view/1872427","18-1872427")</f>
        <v>0</v>
      </c>
      <c r="B327" t="s">
        <v>74</v>
      </c>
      <c r="C327" t="s">
        <v>341</v>
      </c>
      <c r="D327" t="s">
        <v>408</v>
      </c>
      <c r="E327" t="s">
        <v>512</v>
      </c>
      <c r="F327" t="s">
        <v>916</v>
      </c>
      <c r="G327" t="s">
        <v>5317</v>
      </c>
      <c r="H327" t="s">
        <v>9919</v>
      </c>
      <c r="I327" t="s">
        <v>17325</v>
      </c>
      <c r="J327" t="s">
        <v>18893</v>
      </c>
      <c r="K327">
        <v>10017</v>
      </c>
      <c r="L327" t="s">
        <v>18958</v>
      </c>
      <c r="M327" t="s">
        <v>18958</v>
      </c>
      <c r="O327" t="s">
        <v>18997</v>
      </c>
      <c r="P327" t="s">
        <v>26564</v>
      </c>
      <c r="Q327" t="s">
        <v>26570</v>
      </c>
      <c r="R327" t="s">
        <v>26578</v>
      </c>
      <c r="S327" t="s">
        <v>18959</v>
      </c>
      <c r="U327" t="s">
        <v>26604</v>
      </c>
      <c r="W327" t="s">
        <v>408</v>
      </c>
      <c r="X327">
        <v>480</v>
      </c>
      <c r="Y327" t="s">
        <v>26651</v>
      </c>
      <c r="Z327" t="s">
        <v>26661</v>
      </c>
      <c r="AA327" t="s">
        <v>26683</v>
      </c>
      <c r="AB327" t="s">
        <v>27007</v>
      </c>
      <c r="AC327" t="s">
        <v>34583</v>
      </c>
      <c r="AD327" t="s">
        <v>37094</v>
      </c>
      <c r="AE327">
        <v>100</v>
      </c>
      <c r="AF327" t="s">
        <v>45541</v>
      </c>
      <c r="AG327" t="s">
        <v>45556</v>
      </c>
      <c r="AH327">
        <v>15</v>
      </c>
      <c r="AI327">
        <v>1</v>
      </c>
      <c r="AJ327">
        <v>0</v>
      </c>
      <c r="AK327">
        <v>145.7</v>
      </c>
      <c r="AN327" t="s">
        <v>45581</v>
      </c>
      <c r="AO327">
        <v>17688</v>
      </c>
      <c r="AU327">
        <v>0.3</v>
      </c>
      <c r="AV327" t="s">
        <v>512</v>
      </c>
      <c r="AW327" t="s">
        <v>46840</v>
      </c>
    </row>
    <row r="328" spans="1:49">
      <c r="A328" s="1">
        <f>HYPERLINK("https://lsnyc.legalserver.org/matter/dynamic-profile/view/1872452","18-1872452")</f>
        <v>0</v>
      </c>
      <c r="B328" t="s">
        <v>141</v>
      </c>
      <c r="C328" t="s">
        <v>341</v>
      </c>
      <c r="D328" t="s">
        <v>408</v>
      </c>
      <c r="E328" t="s">
        <v>497</v>
      </c>
      <c r="F328" t="s">
        <v>1128</v>
      </c>
      <c r="G328" t="s">
        <v>2975</v>
      </c>
      <c r="H328" t="s">
        <v>9920</v>
      </c>
      <c r="I328" t="s">
        <v>17330</v>
      </c>
      <c r="J328" t="s">
        <v>18919</v>
      </c>
      <c r="K328">
        <v>11427</v>
      </c>
      <c r="L328" t="s">
        <v>18958</v>
      </c>
      <c r="M328" t="s">
        <v>18958</v>
      </c>
      <c r="N328" t="s">
        <v>19192</v>
      </c>
      <c r="O328" t="s">
        <v>26523</v>
      </c>
      <c r="P328" t="s">
        <v>26560</v>
      </c>
      <c r="Q328" t="s">
        <v>26574</v>
      </c>
      <c r="R328" t="s">
        <v>26578</v>
      </c>
      <c r="S328" t="s">
        <v>18959</v>
      </c>
      <c r="U328" t="s">
        <v>26604</v>
      </c>
      <c r="V328" t="s">
        <v>26610</v>
      </c>
      <c r="W328" t="s">
        <v>408</v>
      </c>
      <c r="X328">
        <v>1073</v>
      </c>
      <c r="Y328" t="s">
        <v>26653</v>
      </c>
      <c r="Z328" t="s">
        <v>26664</v>
      </c>
      <c r="AA328" t="s">
        <v>26678</v>
      </c>
      <c r="AB328" t="s">
        <v>27008</v>
      </c>
      <c r="AC328" t="s">
        <v>19330</v>
      </c>
      <c r="AD328" t="s">
        <v>37095</v>
      </c>
      <c r="AE328">
        <v>4</v>
      </c>
      <c r="AF328" t="s">
        <v>45541</v>
      </c>
      <c r="AG328" t="s">
        <v>19330</v>
      </c>
      <c r="AH328">
        <v>23</v>
      </c>
      <c r="AI328">
        <v>1</v>
      </c>
      <c r="AJ328">
        <v>0</v>
      </c>
      <c r="AK328">
        <v>83.03</v>
      </c>
      <c r="AN328" t="s">
        <v>7439</v>
      </c>
      <c r="AO328">
        <v>10080</v>
      </c>
      <c r="AQ328" t="s">
        <v>46362</v>
      </c>
      <c r="AR328" t="s">
        <v>46379</v>
      </c>
      <c r="AS328" t="s">
        <v>46499</v>
      </c>
      <c r="AT328" t="s">
        <v>46588</v>
      </c>
      <c r="AU328">
        <v>3.1</v>
      </c>
      <c r="AV328" t="s">
        <v>465</v>
      </c>
      <c r="AW328" t="s">
        <v>208</v>
      </c>
    </row>
    <row r="329" spans="1:49">
      <c r="A329" s="1">
        <f>HYPERLINK("https://lsnyc.legalserver.org/matter/dynamic-profile/view/1872496","18-1872496")</f>
        <v>0</v>
      </c>
      <c r="B329" t="s">
        <v>93</v>
      </c>
      <c r="C329" t="s">
        <v>341</v>
      </c>
      <c r="D329" t="s">
        <v>408</v>
      </c>
      <c r="E329" t="s">
        <v>494</v>
      </c>
      <c r="F329" t="s">
        <v>1129</v>
      </c>
      <c r="G329" t="s">
        <v>2564</v>
      </c>
      <c r="H329" t="s">
        <v>9921</v>
      </c>
      <c r="I329" t="s">
        <v>17411</v>
      </c>
      <c r="J329" t="s">
        <v>18916</v>
      </c>
      <c r="K329">
        <v>11693</v>
      </c>
      <c r="L329" t="s">
        <v>18958</v>
      </c>
      <c r="M329" t="s">
        <v>18958</v>
      </c>
      <c r="N329" t="s">
        <v>19193</v>
      </c>
      <c r="O329" t="s">
        <v>26523</v>
      </c>
      <c r="P329" t="s">
        <v>26560</v>
      </c>
      <c r="Q329" t="s">
        <v>26573</v>
      </c>
      <c r="R329" t="s">
        <v>26584</v>
      </c>
      <c r="S329" t="s">
        <v>18959</v>
      </c>
      <c r="U329" t="s">
        <v>26604</v>
      </c>
      <c r="V329" t="s">
        <v>26610</v>
      </c>
      <c r="W329" t="s">
        <v>408</v>
      </c>
      <c r="X329">
        <v>250</v>
      </c>
      <c r="Y329" t="s">
        <v>26653</v>
      </c>
      <c r="Z329" t="s">
        <v>26664</v>
      </c>
      <c r="AA329" t="s">
        <v>26680</v>
      </c>
      <c r="AB329" t="s">
        <v>27009</v>
      </c>
      <c r="AD329" t="s">
        <v>37096</v>
      </c>
      <c r="AE329">
        <v>49</v>
      </c>
      <c r="AF329" t="s">
        <v>45549</v>
      </c>
      <c r="AG329" t="s">
        <v>19330</v>
      </c>
      <c r="AH329">
        <v>2</v>
      </c>
      <c r="AI329">
        <v>2</v>
      </c>
      <c r="AJ329">
        <v>1</v>
      </c>
      <c r="AK329">
        <v>0</v>
      </c>
      <c r="AM329" t="s">
        <v>45576</v>
      </c>
      <c r="AN329" t="s">
        <v>7439</v>
      </c>
      <c r="AO329">
        <v>0</v>
      </c>
      <c r="AS329" t="s">
        <v>46499</v>
      </c>
      <c r="AT329" t="s">
        <v>46589</v>
      </c>
      <c r="AU329">
        <v>6.5</v>
      </c>
      <c r="AV329" t="s">
        <v>414</v>
      </c>
      <c r="AW329" t="s">
        <v>208</v>
      </c>
    </row>
    <row r="330" spans="1:49">
      <c r="A330" s="1">
        <f>HYPERLINK("https://lsnyc.legalserver.org/matter/dynamic-profile/view/1872506","18-1872506")</f>
        <v>0</v>
      </c>
      <c r="B330" t="s">
        <v>93</v>
      </c>
      <c r="C330" t="s">
        <v>341</v>
      </c>
      <c r="D330" t="s">
        <v>408</v>
      </c>
      <c r="E330" t="s">
        <v>579</v>
      </c>
      <c r="F330" t="s">
        <v>1130</v>
      </c>
      <c r="G330" t="s">
        <v>5318</v>
      </c>
      <c r="H330" t="s">
        <v>9922</v>
      </c>
      <c r="I330" t="s">
        <v>17328</v>
      </c>
      <c r="J330" t="s">
        <v>18901</v>
      </c>
      <c r="K330">
        <v>11432</v>
      </c>
      <c r="L330" t="s">
        <v>18958</v>
      </c>
      <c r="M330" t="s">
        <v>18958</v>
      </c>
      <c r="N330" t="s">
        <v>19194</v>
      </c>
      <c r="O330" t="s">
        <v>26524</v>
      </c>
      <c r="P330" t="s">
        <v>26564</v>
      </c>
      <c r="Q330" t="s">
        <v>26570</v>
      </c>
      <c r="R330" t="s">
        <v>26584</v>
      </c>
      <c r="S330" t="s">
        <v>18959</v>
      </c>
      <c r="U330" t="s">
        <v>26604</v>
      </c>
      <c r="V330" t="s">
        <v>26609</v>
      </c>
      <c r="W330" t="s">
        <v>408</v>
      </c>
      <c r="X330">
        <v>410</v>
      </c>
      <c r="Y330" t="s">
        <v>26653</v>
      </c>
      <c r="Z330" t="s">
        <v>26664</v>
      </c>
      <c r="AA330" t="s">
        <v>26683</v>
      </c>
      <c r="AB330" t="s">
        <v>27010</v>
      </c>
      <c r="AC330" t="s">
        <v>34584</v>
      </c>
      <c r="AD330" t="s">
        <v>37097</v>
      </c>
      <c r="AE330">
        <v>2</v>
      </c>
      <c r="AF330" t="s">
        <v>45547</v>
      </c>
      <c r="AG330" t="s">
        <v>19330</v>
      </c>
      <c r="AH330">
        <v>5</v>
      </c>
      <c r="AI330">
        <v>1</v>
      </c>
      <c r="AJ330">
        <v>0</v>
      </c>
      <c r="AK330">
        <v>0</v>
      </c>
      <c r="AM330" t="s">
        <v>45576</v>
      </c>
      <c r="AN330" t="s">
        <v>7439</v>
      </c>
      <c r="AO330">
        <v>0</v>
      </c>
      <c r="AU330">
        <v>2</v>
      </c>
      <c r="AV330" t="s">
        <v>579</v>
      </c>
      <c r="AW330" t="s">
        <v>208</v>
      </c>
    </row>
    <row r="331" spans="1:49">
      <c r="A331" s="1">
        <f>HYPERLINK("https://lsnyc.legalserver.org/matter/dynamic-profile/view/1872484","18-1872484")</f>
        <v>0</v>
      </c>
      <c r="B331" t="s">
        <v>91</v>
      </c>
      <c r="C331" t="s">
        <v>341</v>
      </c>
      <c r="D331" t="s">
        <v>408</v>
      </c>
      <c r="E331" t="s">
        <v>494</v>
      </c>
      <c r="F331" t="s">
        <v>1131</v>
      </c>
      <c r="G331" t="s">
        <v>5319</v>
      </c>
      <c r="H331" t="s">
        <v>9923</v>
      </c>
      <c r="J331" t="s">
        <v>18920</v>
      </c>
      <c r="K331">
        <v>11370</v>
      </c>
      <c r="L331" t="s">
        <v>18958</v>
      </c>
      <c r="M331" t="s">
        <v>18958</v>
      </c>
      <c r="N331" t="s">
        <v>19195</v>
      </c>
      <c r="O331" t="s">
        <v>26524</v>
      </c>
      <c r="P331" t="s">
        <v>26564</v>
      </c>
      <c r="Q331" t="s">
        <v>26570</v>
      </c>
      <c r="R331" t="s">
        <v>26584</v>
      </c>
      <c r="S331" t="s">
        <v>18959</v>
      </c>
      <c r="U331" t="s">
        <v>26604</v>
      </c>
      <c r="V331" t="s">
        <v>26610</v>
      </c>
      <c r="W331" t="s">
        <v>408</v>
      </c>
      <c r="X331">
        <v>450</v>
      </c>
      <c r="Y331" t="s">
        <v>26653</v>
      </c>
      <c r="Z331" t="s">
        <v>26664</v>
      </c>
      <c r="AA331" t="s">
        <v>26683</v>
      </c>
      <c r="AB331" t="s">
        <v>27011</v>
      </c>
      <c r="AD331" t="s">
        <v>37098</v>
      </c>
      <c r="AE331">
        <v>3</v>
      </c>
      <c r="AF331" t="s">
        <v>45547</v>
      </c>
      <c r="AG331" t="s">
        <v>19330</v>
      </c>
      <c r="AH331">
        <v>8</v>
      </c>
      <c r="AI331">
        <v>1</v>
      </c>
      <c r="AJ331">
        <v>0</v>
      </c>
      <c r="AK331">
        <v>71.17</v>
      </c>
      <c r="AN331" t="s">
        <v>45581</v>
      </c>
      <c r="AO331">
        <v>8640</v>
      </c>
      <c r="AU331">
        <v>1.2</v>
      </c>
      <c r="AV331" t="s">
        <v>699</v>
      </c>
      <c r="AW331" t="s">
        <v>208</v>
      </c>
    </row>
    <row r="332" spans="1:49">
      <c r="A332" s="1">
        <f>HYPERLINK("https://lsnyc.legalserver.org/matter/dynamic-profile/view/1872475","18-1872475")</f>
        <v>0</v>
      </c>
      <c r="B332" t="s">
        <v>91</v>
      </c>
      <c r="C332" t="s">
        <v>341</v>
      </c>
      <c r="D332" t="s">
        <v>408</v>
      </c>
      <c r="E332" t="s">
        <v>494</v>
      </c>
      <c r="F332" t="s">
        <v>1080</v>
      </c>
      <c r="G332" t="s">
        <v>5320</v>
      </c>
      <c r="H332" t="s">
        <v>9924</v>
      </c>
      <c r="I332" t="s">
        <v>17312</v>
      </c>
      <c r="J332" t="s">
        <v>18921</v>
      </c>
      <c r="K332">
        <v>11426</v>
      </c>
      <c r="L332" t="s">
        <v>18958</v>
      </c>
      <c r="M332" t="s">
        <v>18958</v>
      </c>
      <c r="N332" t="s">
        <v>19196</v>
      </c>
      <c r="O332" t="s">
        <v>26524</v>
      </c>
      <c r="P332" t="s">
        <v>26564</v>
      </c>
      <c r="Q332" t="s">
        <v>26570</v>
      </c>
      <c r="R332" t="s">
        <v>26584</v>
      </c>
      <c r="S332" t="s">
        <v>18959</v>
      </c>
      <c r="U332" t="s">
        <v>26604</v>
      </c>
      <c r="V332" t="s">
        <v>26610</v>
      </c>
      <c r="W332" t="s">
        <v>408</v>
      </c>
      <c r="X332">
        <v>1200</v>
      </c>
      <c r="Y332" t="s">
        <v>26653</v>
      </c>
      <c r="Z332" t="s">
        <v>26664</v>
      </c>
      <c r="AA332" t="s">
        <v>26683</v>
      </c>
      <c r="AB332" t="s">
        <v>27012</v>
      </c>
      <c r="AD332" t="s">
        <v>37099</v>
      </c>
      <c r="AE332">
        <v>4</v>
      </c>
      <c r="AF332" t="s">
        <v>45547</v>
      </c>
      <c r="AG332" t="s">
        <v>19330</v>
      </c>
      <c r="AH332">
        <v>6</v>
      </c>
      <c r="AI332">
        <v>1</v>
      </c>
      <c r="AJ332">
        <v>0</v>
      </c>
      <c r="AK332">
        <v>197.69</v>
      </c>
      <c r="AN332" t="s">
        <v>7439</v>
      </c>
      <c r="AO332">
        <v>24000</v>
      </c>
      <c r="AU332">
        <v>0.9</v>
      </c>
      <c r="AV332" t="s">
        <v>705</v>
      </c>
      <c r="AW332" t="s">
        <v>208</v>
      </c>
    </row>
    <row r="333" spans="1:49">
      <c r="A333" s="1">
        <f>HYPERLINK("https://lsnyc.legalserver.org/matter/dynamic-profile/view/1872486","18-1872486")</f>
        <v>0</v>
      </c>
      <c r="B333" t="s">
        <v>157</v>
      </c>
      <c r="C333" t="s">
        <v>341</v>
      </c>
      <c r="D333" t="s">
        <v>408</v>
      </c>
      <c r="E333" t="s">
        <v>440</v>
      </c>
      <c r="F333" t="s">
        <v>916</v>
      </c>
      <c r="G333" t="s">
        <v>4092</v>
      </c>
      <c r="H333" t="s">
        <v>9925</v>
      </c>
      <c r="I333" t="s">
        <v>17284</v>
      </c>
      <c r="J333" t="s">
        <v>18893</v>
      </c>
      <c r="K333">
        <v>10033</v>
      </c>
      <c r="L333" t="s">
        <v>18958</v>
      </c>
      <c r="M333" t="s">
        <v>18958</v>
      </c>
      <c r="N333" t="s">
        <v>19197</v>
      </c>
      <c r="O333" t="s">
        <v>26523</v>
      </c>
      <c r="P333" t="s">
        <v>26564</v>
      </c>
      <c r="Q333" t="s">
        <v>26570</v>
      </c>
      <c r="R333" t="s">
        <v>26578</v>
      </c>
      <c r="S333" t="s">
        <v>18959</v>
      </c>
      <c r="U333" t="s">
        <v>26604</v>
      </c>
      <c r="W333" t="s">
        <v>408</v>
      </c>
      <c r="X333">
        <v>1060.82</v>
      </c>
      <c r="Y333" t="s">
        <v>26651</v>
      </c>
      <c r="Z333" t="s">
        <v>26661</v>
      </c>
      <c r="AA333" t="s">
        <v>26683</v>
      </c>
      <c r="AB333" t="s">
        <v>27013</v>
      </c>
      <c r="AD333" t="s">
        <v>37100</v>
      </c>
      <c r="AE333">
        <v>0</v>
      </c>
      <c r="AF333" t="s">
        <v>45541</v>
      </c>
      <c r="AG333" t="s">
        <v>19330</v>
      </c>
      <c r="AH333">
        <v>29</v>
      </c>
      <c r="AI333">
        <v>1</v>
      </c>
      <c r="AJ333">
        <v>0</v>
      </c>
      <c r="AK333">
        <v>0</v>
      </c>
      <c r="AN333" t="s">
        <v>45581</v>
      </c>
      <c r="AO333">
        <v>0</v>
      </c>
      <c r="AU333">
        <v>2.5</v>
      </c>
      <c r="AV333" t="s">
        <v>440</v>
      </c>
      <c r="AW333" t="s">
        <v>46840</v>
      </c>
    </row>
    <row r="334" spans="1:49">
      <c r="A334" s="1">
        <f>HYPERLINK("https://lsnyc.legalserver.org/matter/dynamic-profile/view/1872441","18-1872441")</f>
        <v>0</v>
      </c>
      <c r="B334" t="s">
        <v>157</v>
      </c>
      <c r="C334" t="s">
        <v>341</v>
      </c>
      <c r="D334" t="s">
        <v>408</v>
      </c>
      <c r="E334" t="s">
        <v>409</v>
      </c>
      <c r="F334" t="s">
        <v>1132</v>
      </c>
      <c r="G334" t="s">
        <v>5321</v>
      </c>
      <c r="H334" t="s">
        <v>9926</v>
      </c>
      <c r="I334" t="s">
        <v>17410</v>
      </c>
      <c r="J334" t="s">
        <v>18893</v>
      </c>
      <c r="K334">
        <v>10034</v>
      </c>
      <c r="L334" t="s">
        <v>18958</v>
      </c>
      <c r="M334" t="s">
        <v>18958</v>
      </c>
      <c r="O334" t="s">
        <v>26523</v>
      </c>
      <c r="P334" t="s">
        <v>26564</v>
      </c>
      <c r="Q334" t="s">
        <v>26570</v>
      </c>
      <c r="R334" t="s">
        <v>26578</v>
      </c>
      <c r="S334" t="s">
        <v>18959</v>
      </c>
      <c r="U334" t="s">
        <v>26604</v>
      </c>
      <c r="W334" t="s">
        <v>408</v>
      </c>
      <c r="X334">
        <v>983.47</v>
      </c>
      <c r="Y334" t="s">
        <v>26651</v>
      </c>
      <c r="Z334" t="s">
        <v>26661</v>
      </c>
      <c r="AA334" t="s">
        <v>26683</v>
      </c>
      <c r="AB334" t="s">
        <v>27014</v>
      </c>
      <c r="AD334" t="s">
        <v>37101</v>
      </c>
      <c r="AE334">
        <v>48</v>
      </c>
      <c r="AF334" t="s">
        <v>45541</v>
      </c>
      <c r="AG334" t="s">
        <v>45559</v>
      </c>
      <c r="AH334">
        <v>26</v>
      </c>
      <c r="AI334">
        <v>1</v>
      </c>
      <c r="AJ334">
        <v>0</v>
      </c>
      <c r="AK334">
        <v>82.04000000000001</v>
      </c>
      <c r="AN334" t="s">
        <v>7439</v>
      </c>
      <c r="AO334">
        <v>9960</v>
      </c>
      <c r="AU334">
        <v>1.65</v>
      </c>
      <c r="AV334" t="s">
        <v>409</v>
      </c>
      <c r="AW334" t="s">
        <v>46840</v>
      </c>
    </row>
    <row r="335" spans="1:49">
      <c r="A335" s="1">
        <f>HYPERLINK("https://lsnyc.legalserver.org/matter/dynamic-profile/view/1872526","18-1872526")</f>
        <v>0</v>
      </c>
      <c r="B335" t="s">
        <v>157</v>
      </c>
      <c r="C335" t="s">
        <v>341</v>
      </c>
      <c r="D335" t="s">
        <v>408</v>
      </c>
      <c r="E335" t="s">
        <v>408</v>
      </c>
      <c r="F335" t="s">
        <v>1133</v>
      </c>
      <c r="G335" t="s">
        <v>5322</v>
      </c>
      <c r="H335" t="s">
        <v>9927</v>
      </c>
      <c r="I335" t="s">
        <v>17412</v>
      </c>
      <c r="J335" t="s">
        <v>18893</v>
      </c>
      <c r="K335">
        <v>10032</v>
      </c>
      <c r="L335" t="s">
        <v>18958</v>
      </c>
      <c r="M335" t="s">
        <v>18960</v>
      </c>
      <c r="O335" t="s">
        <v>18997</v>
      </c>
      <c r="P335" t="s">
        <v>26564</v>
      </c>
      <c r="Q335" t="s">
        <v>26570</v>
      </c>
      <c r="R335" t="s">
        <v>26578</v>
      </c>
      <c r="S335" t="s">
        <v>18959</v>
      </c>
      <c r="U335" t="s">
        <v>26604</v>
      </c>
      <c r="W335" t="s">
        <v>408</v>
      </c>
      <c r="X335">
        <v>1021.57</v>
      </c>
      <c r="Y335" t="s">
        <v>26651</v>
      </c>
      <c r="Z335" t="s">
        <v>26661</v>
      </c>
      <c r="AA335" t="s">
        <v>26683</v>
      </c>
      <c r="AB335" t="s">
        <v>27015</v>
      </c>
      <c r="AD335" t="s">
        <v>37102</v>
      </c>
      <c r="AE335">
        <v>0</v>
      </c>
      <c r="AH335">
        <v>37</v>
      </c>
      <c r="AI335">
        <v>2</v>
      </c>
      <c r="AJ335">
        <v>0</v>
      </c>
      <c r="AK335">
        <v>261.28</v>
      </c>
      <c r="AL335" t="s">
        <v>614</v>
      </c>
      <c r="AM335" t="s">
        <v>45575</v>
      </c>
      <c r="AN335" t="s">
        <v>45581</v>
      </c>
      <c r="AO335">
        <v>43007.22</v>
      </c>
      <c r="AU335">
        <v>1.5</v>
      </c>
      <c r="AV335" t="s">
        <v>408</v>
      </c>
      <c r="AW335" t="s">
        <v>157</v>
      </c>
    </row>
    <row r="336" spans="1:49">
      <c r="A336" s="1">
        <f>HYPERLINK("https://lsnyc.legalserver.org/matter/dynamic-profile/view/1872495","18-1872495")</f>
        <v>0</v>
      </c>
      <c r="B336" t="s">
        <v>94</v>
      </c>
      <c r="C336" t="s">
        <v>340</v>
      </c>
      <c r="D336" t="s">
        <v>408</v>
      </c>
      <c r="F336" t="s">
        <v>953</v>
      </c>
      <c r="G336" t="s">
        <v>5323</v>
      </c>
      <c r="H336" t="s">
        <v>9928</v>
      </c>
      <c r="I336" t="s">
        <v>17351</v>
      </c>
      <c r="J336" t="s">
        <v>18893</v>
      </c>
      <c r="K336">
        <v>10025</v>
      </c>
      <c r="L336" t="s">
        <v>18958</v>
      </c>
      <c r="M336" t="s">
        <v>18958</v>
      </c>
      <c r="N336" t="s">
        <v>19198</v>
      </c>
      <c r="O336" t="s">
        <v>26523</v>
      </c>
      <c r="P336" t="s">
        <v>26560</v>
      </c>
      <c r="R336" t="s">
        <v>26580</v>
      </c>
      <c r="S336" t="s">
        <v>18959</v>
      </c>
      <c r="U336" t="s">
        <v>26606</v>
      </c>
      <c r="W336" t="s">
        <v>408</v>
      </c>
      <c r="X336">
        <v>749</v>
      </c>
      <c r="Y336" t="s">
        <v>26651</v>
      </c>
      <c r="Z336" t="s">
        <v>26662</v>
      </c>
      <c r="AB336" t="s">
        <v>27016</v>
      </c>
      <c r="AD336" t="s">
        <v>37103</v>
      </c>
      <c r="AE336">
        <v>0</v>
      </c>
      <c r="AF336" t="s">
        <v>20460</v>
      </c>
      <c r="AG336" t="s">
        <v>26530</v>
      </c>
      <c r="AH336">
        <v>26</v>
      </c>
      <c r="AI336">
        <v>1</v>
      </c>
      <c r="AJ336">
        <v>0</v>
      </c>
      <c r="AK336">
        <v>0</v>
      </c>
      <c r="AN336" t="s">
        <v>7439</v>
      </c>
      <c r="AO336">
        <v>0</v>
      </c>
      <c r="AU336">
        <v>22.6</v>
      </c>
      <c r="AV336" t="s">
        <v>728</v>
      </c>
      <c r="AW336" t="s">
        <v>314</v>
      </c>
    </row>
    <row r="337" spans="1:49">
      <c r="A337" s="1">
        <f>HYPERLINK("https://lsnyc.legalserver.org/matter/dynamic-profile/view/1872485","18-1872485")</f>
        <v>0</v>
      </c>
      <c r="B337" t="s">
        <v>94</v>
      </c>
      <c r="C337" t="s">
        <v>340</v>
      </c>
      <c r="D337" t="s">
        <v>408</v>
      </c>
      <c r="F337" t="s">
        <v>1134</v>
      </c>
      <c r="G337" t="s">
        <v>4693</v>
      </c>
      <c r="H337" t="s">
        <v>9929</v>
      </c>
      <c r="I337" t="s">
        <v>17293</v>
      </c>
      <c r="J337" t="s">
        <v>18893</v>
      </c>
      <c r="K337">
        <v>10027</v>
      </c>
      <c r="L337" t="s">
        <v>18958</v>
      </c>
      <c r="M337" t="s">
        <v>18958</v>
      </c>
      <c r="N337" t="s">
        <v>19199</v>
      </c>
      <c r="O337" t="s">
        <v>26523</v>
      </c>
      <c r="P337" t="s">
        <v>26560</v>
      </c>
      <c r="R337" t="s">
        <v>26580</v>
      </c>
      <c r="S337" t="s">
        <v>18959</v>
      </c>
      <c r="U337" t="s">
        <v>26604</v>
      </c>
      <c r="W337" t="s">
        <v>408</v>
      </c>
      <c r="X337">
        <v>460</v>
      </c>
      <c r="Y337" t="s">
        <v>26651</v>
      </c>
      <c r="Z337" t="s">
        <v>26662</v>
      </c>
      <c r="AB337" t="s">
        <v>27017</v>
      </c>
      <c r="AD337" t="s">
        <v>37104</v>
      </c>
      <c r="AE337">
        <v>0</v>
      </c>
      <c r="AF337" t="s">
        <v>45541</v>
      </c>
      <c r="AG337" t="s">
        <v>26530</v>
      </c>
      <c r="AH337">
        <v>4</v>
      </c>
      <c r="AI337">
        <v>1</v>
      </c>
      <c r="AJ337">
        <v>0</v>
      </c>
      <c r="AK337">
        <v>15.42</v>
      </c>
      <c r="AN337" t="s">
        <v>7439</v>
      </c>
      <c r="AO337">
        <v>1872</v>
      </c>
      <c r="AU337">
        <v>46.05</v>
      </c>
      <c r="AV337" t="s">
        <v>794</v>
      </c>
      <c r="AW337" t="s">
        <v>314</v>
      </c>
    </row>
    <row r="338" spans="1:49">
      <c r="A338" s="1">
        <f>HYPERLINK("https://lsnyc.legalserver.org/matter/dynamic-profile/view/1872442","18-1872442")</f>
        <v>0</v>
      </c>
      <c r="B338" t="s">
        <v>158</v>
      </c>
      <c r="C338" t="s">
        <v>340</v>
      </c>
      <c r="D338" t="s">
        <v>408</v>
      </c>
      <c r="F338" t="s">
        <v>1135</v>
      </c>
      <c r="G338" t="s">
        <v>5324</v>
      </c>
      <c r="H338" t="s">
        <v>9930</v>
      </c>
      <c r="I338" t="s">
        <v>17413</v>
      </c>
      <c r="J338" t="s">
        <v>18894</v>
      </c>
      <c r="K338">
        <v>11213</v>
      </c>
      <c r="L338" t="s">
        <v>18958</v>
      </c>
      <c r="M338" t="s">
        <v>18958</v>
      </c>
      <c r="N338" t="s">
        <v>19200</v>
      </c>
      <c r="O338" t="s">
        <v>26524</v>
      </c>
      <c r="P338" t="s">
        <v>26560</v>
      </c>
      <c r="R338" t="s">
        <v>26586</v>
      </c>
      <c r="U338" t="s">
        <v>26604</v>
      </c>
      <c r="W338" t="s">
        <v>408</v>
      </c>
      <c r="X338">
        <v>1445.3</v>
      </c>
      <c r="Y338" t="s">
        <v>26652</v>
      </c>
      <c r="Z338" t="s">
        <v>26659</v>
      </c>
      <c r="AB338" t="s">
        <v>27018</v>
      </c>
      <c r="AD338" t="s">
        <v>37105</v>
      </c>
      <c r="AE338">
        <v>6</v>
      </c>
      <c r="AH338">
        <v>11</v>
      </c>
      <c r="AI338">
        <v>3</v>
      </c>
      <c r="AJ338">
        <v>2</v>
      </c>
      <c r="AK338">
        <v>148.05</v>
      </c>
      <c r="AN338" t="s">
        <v>45587</v>
      </c>
      <c r="AO338">
        <v>43555.68</v>
      </c>
      <c r="AQ338" t="s">
        <v>46359</v>
      </c>
      <c r="AR338" t="s">
        <v>26530</v>
      </c>
      <c r="AS338" t="s">
        <v>46499</v>
      </c>
      <c r="AT338" t="s">
        <v>46509</v>
      </c>
      <c r="AU338">
        <v>28.8</v>
      </c>
      <c r="AV338" t="s">
        <v>768</v>
      </c>
      <c r="AW338" t="s">
        <v>46856</v>
      </c>
    </row>
    <row r="339" spans="1:49">
      <c r="A339" s="1">
        <f>HYPERLINK("https://lsnyc.legalserver.org/matter/dynamic-profile/view/1872454","18-1872454")</f>
        <v>0</v>
      </c>
      <c r="B339" t="s">
        <v>159</v>
      </c>
      <c r="C339" t="s">
        <v>340</v>
      </c>
      <c r="D339" t="s">
        <v>408</v>
      </c>
      <c r="F339" t="s">
        <v>1136</v>
      </c>
      <c r="G339" t="s">
        <v>5325</v>
      </c>
      <c r="H339" t="s">
        <v>9931</v>
      </c>
      <c r="I339" t="s">
        <v>17414</v>
      </c>
      <c r="J339" t="s">
        <v>18906</v>
      </c>
      <c r="K339">
        <v>11373</v>
      </c>
      <c r="L339" t="s">
        <v>18958</v>
      </c>
      <c r="M339" t="s">
        <v>18958</v>
      </c>
      <c r="N339" t="s">
        <v>19201</v>
      </c>
      <c r="O339" t="s">
        <v>26523</v>
      </c>
      <c r="P339" t="s">
        <v>26560</v>
      </c>
      <c r="R339" t="s">
        <v>26585</v>
      </c>
      <c r="S339" t="s">
        <v>18959</v>
      </c>
      <c r="U339" t="s">
        <v>26604</v>
      </c>
      <c r="V339" t="s">
        <v>26610</v>
      </c>
      <c r="W339" t="s">
        <v>408</v>
      </c>
      <c r="X339">
        <v>1815</v>
      </c>
      <c r="Y339" t="s">
        <v>26653</v>
      </c>
      <c r="Z339" t="s">
        <v>26664</v>
      </c>
      <c r="AB339" t="s">
        <v>27019</v>
      </c>
      <c r="AD339" t="s">
        <v>37106</v>
      </c>
      <c r="AE339">
        <v>20</v>
      </c>
      <c r="AF339" t="s">
        <v>45541</v>
      </c>
      <c r="AG339" t="s">
        <v>19330</v>
      </c>
      <c r="AH339">
        <v>4</v>
      </c>
      <c r="AI339">
        <v>2</v>
      </c>
      <c r="AJ339">
        <v>3</v>
      </c>
      <c r="AK339">
        <v>159.76</v>
      </c>
      <c r="AM339" t="s">
        <v>45576</v>
      </c>
      <c r="AN339" t="s">
        <v>7439</v>
      </c>
      <c r="AO339">
        <v>47000</v>
      </c>
      <c r="AU339">
        <v>56.9</v>
      </c>
      <c r="AV339" t="s">
        <v>835</v>
      </c>
      <c r="AW339" t="s">
        <v>208</v>
      </c>
    </row>
    <row r="340" spans="1:49">
      <c r="A340" s="1">
        <f>HYPERLINK("https://lsnyc.legalserver.org/matter/dynamic-profile/view/1872435","18-1872435")</f>
        <v>0</v>
      </c>
      <c r="B340" t="s">
        <v>120</v>
      </c>
      <c r="C340" t="s">
        <v>340</v>
      </c>
      <c r="D340" t="s">
        <v>408</v>
      </c>
      <c r="F340" t="s">
        <v>1066</v>
      </c>
      <c r="G340" t="s">
        <v>5326</v>
      </c>
      <c r="H340" t="s">
        <v>9818</v>
      </c>
      <c r="I340" t="s">
        <v>17349</v>
      </c>
      <c r="J340" t="s">
        <v>18892</v>
      </c>
      <c r="K340">
        <v>10457</v>
      </c>
      <c r="L340" t="s">
        <v>18958</v>
      </c>
      <c r="M340" t="s">
        <v>18958</v>
      </c>
      <c r="N340" t="s">
        <v>19202</v>
      </c>
      <c r="O340" t="s">
        <v>26523</v>
      </c>
      <c r="P340" t="s">
        <v>26560</v>
      </c>
      <c r="R340" t="s">
        <v>26579</v>
      </c>
      <c r="U340" t="s">
        <v>26604</v>
      </c>
      <c r="V340" t="s">
        <v>26610</v>
      </c>
      <c r="W340" t="s">
        <v>408</v>
      </c>
      <c r="X340">
        <v>1180</v>
      </c>
      <c r="Y340" t="s">
        <v>26650</v>
      </c>
      <c r="Z340" t="s">
        <v>26655</v>
      </c>
      <c r="AB340" t="s">
        <v>27020</v>
      </c>
      <c r="AE340">
        <v>40</v>
      </c>
      <c r="AF340" t="s">
        <v>45541</v>
      </c>
      <c r="AG340" t="s">
        <v>19330</v>
      </c>
      <c r="AH340">
        <v>5</v>
      </c>
      <c r="AI340">
        <v>1</v>
      </c>
      <c r="AJ340">
        <v>4</v>
      </c>
      <c r="AK340">
        <v>37.53</v>
      </c>
      <c r="AN340" t="s">
        <v>45581</v>
      </c>
      <c r="AO340">
        <v>11040</v>
      </c>
      <c r="AQ340" t="s">
        <v>46362</v>
      </c>
      <c r="AR340" t="s">
        <v>46381</v>
      </c>
      <c r="AS340" t="s">
        <v>46499</v>
      </c>
      <c r="AT340" t="s">
        <v>46590</v>
      </c>
      <c r="AU340">
        <v>6.3</v>
      </c>
      <c r="AV340" t="s">
        <v>464</v>
      </c>
      <c r="AW340" t="s">
        <v>46847</v>
      </c>
    </row>
    <row r="341" spans="1:49">
      <c r="A341" s="1">
        <f>HYPERLINK("https://lsnyc.legalserver.org/matter/dynamic-profile/view/1872641","18-1872641")</f>
        <v>0</v>
      </c>
      <c r="B341" t="s">
        <v>160</v>
      </c>
      <c r="C341" t="s">
        <v>341</v>
      </c>
      <c r="D341" t="s">
        <v>409</v>
      </c>
      <c r="E341" t="s">
        <v>583</v>
      </c>
      <c r="H341" t="s">
        <v>9932</v>
      </c>
      <c r="J341" t="s">
        <v>18894</v>
      </c>
      <c r="K341">
        <v>11225</v>
      </c>
      <c r="L341" t="s">
        <v>18959</v>
      </c>
      <c r="M341" t="s">
        <v>18960</v>
      </c>
      <c r="N341" t="s">
        <v>19203</v>
      </c>
      <c r="O341" t="s">
        <v>26523</v>
      </c>
      <c r="P341" t="s">
        <v>26560</v>
      </c>
      <c r="Q341" t="s">
        <v>26568</v>
      </c>
      <c r="R341" t="s">
        <v>26583</v>
      </c>
      <c r="S341" t="s">
        <v>18959</v>
      </c>
      <c r="U341" t="s">
        <v>26604</v>
      </c>
      <c r="W341" t="s">
        <v>408</v>
      </c>
      <c r="X341">
        <v>0</v>
      </c>
      <c r="Y341" t="s">
        <v>26652</v>
      </c>
      <c r="AA341" t="s">
        <v>26681</v>
      </c>
      <c r="AE341">
        <v>0</v>
      </c>
      <c r="AH341">
        <v>0</v>
      </c>
      <c r="AI341">
        <v>2</v>
      </c>
      <c r="AJ341">
        <v>0</v>
      </c>
      <c r="AK341">
        <v>583.23</v>
      </c>
      <c r="AN341" t="s">
        <v>7439</v>
      </c>
      <c r="AO341">
        <v>96000</v>
      </c>
      <c r="AU341">
        <v>8.4</v>
      </c>
      <c r="AV341" t="s">
        <v>517</v>
      </c>
      <c r="AW341" t="s">
        <v>160</v>
      </c>
    </row>
    <row r="342" spans="1:49">
      <c r="A342" s="1">
        <f>HYPERLINK("https://lsnyc.legalserver.org/matter/dynamic-profile/view/1872525","18-1872525")</f>
        <v>0</v>
      </c>
      <c r="B342" t="s">
        <v>161</v>
      </c>
      <c r="C342" t="s">
        <v>341</v>
      </c>
      <c r="D342" t="s">
        <v>449</v>
      </c>
      <c r="E342" t="s">
        <v>850</v>
      </c>
      <c r="F342" t="s">
        <v>1085</v>
      </c>
      <c r="G342" t="s">
        <v>5008</v>
      </c>
      <c r="H342" t="s">
        <v>9933</v>
      </c>
      <c r="I342" t="s">
        <v>17284</v>
      </c>
      <c r="J342" t="s">
        <v>18919</v>
      </c>
      <c r="K342">
        <v>11427</v>
      </c>
      <c r="L342" t="s">
        <v>18958</v>
      </c>
      <c r="M342" t="s">
        <v>18958</v>
      </c>
      <c r="N342" t="s">
        <v>19204</v>
      </c>
      <c r="O342" t="s">
        <v>26523</v>
      </c>
      <c r="P342" t="s">
        <v>26564</v>
      </c>
      <c r="Q342" t="s">
        <v>26570</v>
      </c>
      <c r="R342" t="s">
        <v>26584</v>
      </c>
      <c r="S342" t="s">
        <v>18959</v>
      </c>
      <c r="U342" t="s">
        <v>26604</v>
      </c>
      <c r="V342" t="s">
        <v>26611</v>
      </c>
      <c r="W342" t="s">
        <v>408</v>
      </c>
      <c r="X342">
        <v>1117.98</v>
      </c>
      <c r="Y342" t="s">
        <v>26653</v>
      </c>
      <c r="Z342" t="s">
        <v>26664</v>
      </c>
      <c r="AA342" t="s">
        <v>26683</v>
      </c>
      <c r="AB342" t="s">
        <v>27021</v>
      </c>
      <c r="AD342" t="s">
        <v>37107</v>
      </c>
      <c r="AE342">
        <v>48</v>
      </c>
      <c r="AF342" t="s">
        <v>45541</v>
      </c>
      <c r="AG342" t="s">
        <v>45559</v>
      </c>
      <c r="AH342">
        <v>38</v>
      </c>
      <c r="AI342">
        <v>1</v>
      </c>
      <c r="AJ342">
        <v>0</v>
      </c>
      <c r="AK342">
        <v>79.08</v>
      </c>
      <c r="AN342" t="s">
        <v>7439</v>
      </c>
      <c r="AO342">
        <v>9600</v>
      </c>
      <c r="AU342">
        <v>0.95</v>
      </c>
      <c r="AV342" t="s">
        <v>436</v>
      </c>
      <c r="AW342" t="s">
        <v>161</v>
      </c>
    </row>
    <row r="343" spans="1:49">
      <c r="A343" s="1">
        <f>HYPERLINK("https://lsnyc.legalserver.org/matter/dynamic-profile/view/1872561","18-1872561")</f>
        <v>0</v>
      </c>
      <c r="B343" t="s">
        <v>111</v>
      </c>
      <c r="C343" t="s">
        <v>341</v>
      </c>
      <c r="D343" t="s">
        <v>449</v>
      </c>
      <c r="E343" t="s">
        <v>518</v>
      </c>
      <c r="F343" t="s">
        <v>1137</v>
      </c>
      <c r="G343" t="s">
        <v>5327</v>
      </c>
      <c r="H343" t="s">
        <v>9934</v>
      </c>
      <c r="I343" t="s">
        <v>17415</v>
      </c>
      <c r="J343" t="s">
        <v>18904</v>
      </c>
      <c r="K343">
        <v>11421</v>
      </c>
      <c r="L343" t="s">
        <v>18958</v>
      </c>
      <c r="M343" t="s">
        <v>18958</v>
      </c>
      <c r="N343" t="s">
        <v>19205</v>
      </c>
      <c r="O343" t="s">
        <v>26524</v>
      </c>
      <c r="P343" t="s">
        <v>26560</v>
      </c>
      <c r="Q343" t="s">
        <v>26568</v>
      </c>
      <c r="R343" t="s">
        <v>26584</v>
      </c>
      <c r="S343" t="s">
        <v>18959</v>
      </c>
      <c r="U343" t="s">
        <v>26604</v>
      </c>
      <c r="V343" t="s">
        <v>26610</v>
      </c>
      <c r="W343" t="s">
        <v>408</v>
      </c>
      <c r="X343">
        <v>230</v>
      </c>
      <c r="Y343" t="s">
        <v>26653</v>
      </c>
      <c r="Z343" t="s">
        <v>26664</v>
      </c>
      <c r="AA343" t="s">
        <v>26679</v>
      </c>
      <c r="AB343" t="s">
        <v>27022</v>
      </c>
      <c r="AC343" t="s">
        <v>34507</v>
      </c>
      <c r="AD343" t="s">
        <v>34738</v>
      </c>
      <c r="AE343">
        <v>3</v>
      </c>
      <c r="AF343" t="s">
        <v>45547</v>
      </c>
      <c r="AG343" t="s">
        <v>19330</v>
      </c>
      <c r="AH343">
        <v>1</v>
      </c>
      <c r="AI343">
        <v>1</v>
      </c>
      <c r="AJ343">
        <v>0</v>
      </c>
      <c r="AK343">
        <v>85.67</v>
      </c>
      <c r="AN343" t="s">
        <v>7439</v>
      </c>
      <c r="AO343">
        <v>10400</v>
      </c>
      <c r="AQ343" t="s">
        <v>46362</v>
      </c>
      <c r="AS343" t="s">
        <v>46500</v>
      </c>
      <c r="AT343" t="s">
        <v>46591</v>
      </c>
      <c r="AU343">
        <v>14.7</v>
      </c>
      <c r="AV343" t="s">
        <v>646</v>
      </c>
      <c r="AW343" t="s">
        <v>161</v>
      </c>
    </row>
    <row r="344" spans="1:49">
      <c r="A344" s="1">
        <f>HYPERLINK("https://lsnyc.legalserver.org/matter/dynamic-profile/view/1872740","18-1872740")</f>
        <v>0</v>
      </c>
      <c r="B344" t="s">
        <v>91</v>
      </c>
      <c r="C344" t="s">
        <v>341</v>
      </c>
      <c r="D344" t="s">
        <v>449</v>
      </c>
      <c r="E344" t="s">
        <v>697</v>
      </c>
      <c r="F344" t="s">
        <v>1116</v>
      </c>
      <c r="G344" t="s">
        <v>5328</v>
      </c>
      <c r="H344" t="s">
        <v>9935</v>
      </c>
      <c r="I344" t="s">
        <v>17416</v>
      </c>
      <c r="J344" t="s">
        <v>18922</v>
      </c>
      <c r="K344">
        <v>11963</v>
      </c>
      <c r="L344" t="s">
        <v>18958</v>
      </c>
      <c r="M344" t="s">
        <v>18958</v>
      </c>
      <c r="N344" t="s">
        <v>19206</v>
      </c>
      <c r="O344" t="s">
        <v>26524</v>
      </c>
      <c r="P344" t="s">
        <v>26564</v>
      </c>
      <c r="Q344" t="s">
        <v>26570</v>
      </c>
      <c r="R344" t="s">
        <v>26584</v>
      </c>
      <c r="S344" t="s">
        <v>18959</v>
      </c>
      <c r="U344" t="s">
        <v>26604</v>
      </c>
      <c r="V344" t="s">
        <v>26610</v>
      </c>
      <c r="W344" t="s">
        <v>408</v>
      </c>
      <c r="X344">
        <v>1600</v>
      </c>
      <c r="Y344" t="s">
        <v>26653</v>
      </c>
      <c r="Z344" t="s">
        <v>26664</v>
      </c>
      <c r="AA344" t="s">
        <v>26683</v>
      </c>
      <c r="AB344" t="s">
        <v>27023</v>
      </c>
      <c r="AD344" t="s">
        <v>37108</v>
      </c>
      <c r="AE344">
        <v>2</v>
      </c>
      <c r="AF344" t="s">
        <v>45547</v>
      </c>
      <c r="AG344" t="s">
        <v>19330</v>
      </c>
      <c r="AH344">
        <v>5</v>
      </c>
      <c r="AI344">
        <v>2</v>
      </c>
      <c r="AJ344">
        <v>0</v>
      </c>
      <c r="AK344">
        <v>0</v>
      </c>
      <c r="AM344" t="s">
        <v>45576</v>
      </c>
      <c r="AN344" t="s">
        <v>7439</v>
      </c>
      <c r="AO344">
        <v>0</v>
      </c>
      <c r="AU344">
        <v>0.4</v>
      </c>
      <c r="AV344" t="s">
        <v>697</v>
      </c>
      <c r="AW344" t="s">
        <v>91</v>
      </c>
    </row>
    <row r="345" spans="1:49">
      <c r="A345" s="1">
        <f>HYPERLINK("https://lsnyc.legalserver.org/matter/dynamic-profile/view/1840976","17-1840976")</f>
        <v>0</v>
      </c>
      <c r="B345" t="s">
        <v>51</v>
      </c>
      <c r="C345" t="s">
        <v>340</v>
      </c>
      <c r="D345" t="s">
        <v>450</v>
      </c>
      <c r="F345" t="s">
        <v>869</v>
      </c>
      <c r="G345" t="s">
        <v>5073</v>
      </c>
      <c r="H345" t="s">
        <v>9936</v>
      </c>
      <c r="I345">
        <v>345</v>
      </c>
      <c r="J345" t="s">
        <v>18892</v>
      </c>
      <c r="K345">
        <v>10472</v>
      </c>
      <c r="L345" t="s">
        <v>18958</v>
      </c>
      <c r="M345" t="s">
        <v>18960</v>
      </c>
      <c r="N345" t="s">
        <v>19207</v>
      </c>
      <c r="O345" t="s">
        <v>26524</v>
      </c>
      <c r="P345" t="s">
        <v>26560</v>
      </c>
      <c r="R345" t="s">
        <v>26577</v>
      </c>
      <c r="S345" t="s">
        <v>18959</v>
      </c>
      <c r="U345" t="s">
        <v>26604</v>
      </c>
      <c r="V345" t="s">
        <v>26610</v>
      </c>
      <c r="W345" t="s">
        <v>409</v>
      </c>
      <c r="X345">
        <v>276</v>
      </c>
      <c r="Y345" t="s">
        <v>26650</v>
      </c>
      <c r="Z345" t="s">
        <v>26659</v>
      </c>
      <c r="AB345" t="s">
        <v>26697</v>
      </c>
      <c r="AC345" t="s">
        <v>34462</v>
      </c>
      <c r="AD345" t="s">
        <v>36813</v>
      </c>
      <c r="AE345">
        <v>0</v>
      </c>
      <c r="AF345" t="s">
        <v>45554</v>
      </c>
      <c r="AG345" t="s">
        <v>26530</v>
      </c>
      <c r="AH345">
        <v>4</v>
      </c>
      <c r="AI345">
        <v>1</v>
      </c>
      <c r="AJ345">
        <v>0</v>
      </c>
      <c r="AK345">
        <v>183.25</v>
      </c>
      <c r="AN345" t="s">
        <v>7439</v>
      </c>
      <c r="AO345">
        <v>22100</v>
      </c>
      <c r="AQ345" t="s">
        <v>46361</v>
      </c>
      <c r="AR345" t="s">
        <v>46383</v>
      </c>
      <c r="AS345" t="s">
        <v>46499</v>
      </c>
      <c r="AT345" t="s">
        <v>46592</v>
      </c>
      <c r="AU345">
        <v>79.2</v>
      </c>
      <c r="AV345" t="s">
        <v>835</v>
      </c>
      <c r="AW345" t="s">
        <v>46837</v>
      </c>
    </row>
    <row r="346" spans="1:49">
      <c r="A346" s="1">
        <f>HYPERLINK("https://lsnyc.legalserver.org/matter/dynamic-profile/view/1859065","18-1859065")</f>
        <v>0</v>
      </c>
      <c r="B346" t="s">
        <v>64</v>
      </c>
      <c r="C346" t="s">
        <v>341</v>
      </c>
      <c r="D346" t="s">
        <v>377</v>
      </c>
      <c r="E346" t="s">
        <v>803</v>
      </c>
      <c r="F346" t="s">
        <v>1138</v>
      </c>
      <c r="G346" t="s">
        <v>5329</v>
      </c>
      <c r="H346" t="s">
        <v>9937</v>
      </c>
      <c r="I346" t="s">
        <v>17406</v>
      </c>
      <c r="J346" t="s">
        <v>18892</v>
      </c>
      <c r="K346">
        <v>10452</v>
      </c>
      <c r="L346" t="s">
        <v>18958</v>
      </c>
      <c r="M346" t="s">
        <v>18958</v>
      </c>
      <c r="N346" t="s">
        <v>19208</v>
      </c>
      <c r="O346" t="s">
        <v>26523</v>
      </c>
      <c r="P346" t="s">
        <v>26560</v>
      </c>
      <c r="Q346" t="s">
        <v>26568</v>
      </c>
      <c r="R346" t="s">
        <v>26577</v>
      </c>
      <c r="U346" t="s">
        <v>26604</v>
      </c>
      <c r="V346" t="s">
        <v>26610</v>
      </c>
      <c r="W346" t="s">
        <v>409</v>
      </c>
      <c r="X346">
        <v>0</v>
      </c>
      <c r="Y346" t="s">
        <v>26650</v>
      </c>
      <c r="Z346" t="s">
        <v>26659</v>
      </c>
      <c r="AA346" t="s">
        <v>26678</v>
      </c>
      <c r="AB346" t="s">
        <v>27024</v>
      </c>
      <c r="AD346" t="s">
        <v>37109</v>
      </c>
      <c r="AE346">
        <v>0</v>
      </c>
      <c r="AF346" t="s">
        <v>45541</v>
      </c>
      <c r="AG346" t="s">
        <v>45556</v>
      </c>
      <c r="AH346">
        <v>26</v>
      </c>
      <c r="AI346">
        <v>2</v>
      </c>
      <c r="AJ346">
        <v>1</v>
      </c>
      <c r="AK346">
        <v>108.78</v>
      </c>
      <c r="AN346" t="s">
        <v>7439</v>
      </c>
      <c r="AO346">
        <v>22604</v>
      </c>
      <c r="AQ346" t="s">
        <v>46358</v>
      </c>
      <c r="AR346" t="s">
        <v>46404</v>
      </c>
      <c r="AS346" t="s">
        <v>46499</v>
      </c>
      <c r="AT346" t="s">
        <v>46593</v>
      </c>
      <c r="AU346">
        <v>47.55</v>
      </c>
      <c r="AV346" t="s">
        <v>741</v>
      </c>
      <c r="AW346" t="s">
        <v>46831</v>
      </c>
    </row>
    <row r="347" spans="1:49">
      <c r="A347" s="1">
        <f>HYPERLINK("https://lsnyc.legalserver.org/matter/dynamic-profile/view/1871733","18-1871733")</f>
        <v>0</v>
      </c>
      <c r="B347" t="s">
        <v>120</v>
      </c>
      <c r="C347" t="s">
        <v>341</v>
      </c>
      <c r="D347" t="s">
        <v>426</v>
      </c>
      <c r="E347" t="s">
        <v>494</v>
      </c>
      <c r="F347" t="s">
        <v>1139</v>
      </c>
      <c r="G347" t="s">
        <v>5147</v>
      </c>
      <c r="H347" t="s">
        <v>9938</v>
      </c>
      <c r="I347" t="s">
        <v>17417</v>
      </c>
      <c r="J347" t="s">
        <v>18892</v>
      </c>
      <c r="K347">
        <v>10453</v>
      </c>
      <c r="L347" t="s">
        <v>18958</v>
      </c>
      <c r="M347" t="s">
        <v>18958</v>
      </c>
      <c r="N347" t="s">
        <v>19209</v>
      </c>
      <c r="O347" t="s">
        <v>26523</v>
      </c>
      <c r="P347" t="s">
        <v>26560</v>
      </c>
      <c r="Q347" t="s">
        <v>26568</v>
      </c>
      <c r="R347" t="s">
        <v>26577</v>
      </c>
      <c r="S347" t="s">
        <v>18959</v>
      </c>
      <c r="U347" t="s">
        <v>26604</v>
      </c>
      <c r="V347" t="s">
        <v>26612</v>
      </c>
      <c r="W347" t="s">
        <v>409</v>
      </c>
      <c r="X347">
        <v>1050</v>
      </c>
      <c r="Y347" t="s">
        <v>26650</v>
      </c>
      <c r="Z347" t="s">
        <v>26655</v>
      </c>
      <c r="AA347" t="s">
        <v>26678</v>
      </c>
      <c r="AB347" t="s">
        <v>27025</v>
      </c>
      <c r="AC347" t="s">
        <v>34585</v>
      </c>
      <c r="AD347" t="s">
        <v>37110</v>
      </c>
      <c r="AE347">
        <v>30</v>
      </c>
      <c r="AF347" t="s">
        <v>45541</v>
      </c>
      <c r="AG347" t="s">
        <v>19330</v>
      </c>
      <c r="AH347">
        <v>10</v>
      </c>
      <c r="AI347">
        <v>1</v>
      </c>
      <c r="AJ347">
        <v>1</v>
      </c>
      <c r="AK347">
        <v>24.5</v>
      </c>
      <c r="AN347" t="s">
        <v>45581</v>
      </c>
      <c r="AO347">
        <v>4032</v>
      </c>
      <c r="AP347" t="s">
        <v>45646</v>
      </c>
      <c r="AQ347" t="s">
        <v>46362</v>
      </c>
      <c r="AR347" t="s">
        <v>46381</v>
      </c>
      <c r="AS347" t="s">
        <v>46499</v>
      </c>
      <c r="AT347" t="s">
        <v>46594</v>
      </c>
      <c r="AU347">
        <v>13.4</v>
      </c>
      <c r="AV347" t="s">
        <v>599</v>
      </c>
      <c r="AW347" t="s">
        <v>46832</v>
      </c>
    </row>
    <row r="348" spans="1:49">
      <c r="A348" s="1">
        <f>HYPERLINK("https://lsnyc.legalserver.org/matter/dynamic-profile/view/1871844","18-1871844")</f>
        <v>0</v>
      </c>
      <c r="B348" t="s">
        <v>149</v>
      </c>
      <c r="C348" t="s">
        <v>341</v>
      </c>
      <c r="D348" t="s">
        <v>431</v>
      </c>
      <c r="E348" t="s">
        <v>635</v>
      </c>
      <c r="F348" t="s">
        <v>1140</v>
      </c>
      <c r="G348" t="s">
        <v>5330</v>
      </c>
      <c r="H348" t="s">
        <v>9939</v>
      </c>
      <c r="I348" t="s">
        <v>17332</v>
      </c>
      <c r="J348" t="s">
        <v>18892</v>
      </c>
      <c r="K348">
        <v>10453</v>
      </c>
      <c r="L348" t="s">
        <v>18958</v>
      </c>
      <c r="M348" t="s">
        <v>18958</v>
      </c>
      <c r="N348" t="s">
        <v>19210</v>
      </c>
      <c r="O348" t="s">
        <v>26524</v>
      </c>
      <c r="P348" t="s">
        <v>26560</v>
      </c>
      <c r="Q348" t="s">
        <v>26568</v>
      </c>
      <c r="R348" t="s">
        <v>26578</v>
      </c>
      <c r="S348" t="s">
        <v>18959</v>
      </c>
      <c r="U348" t="s">
        <v>26604</v>
      </c>
      <c r="V348" t="s">
        <v>26610</v>
      </c>
      <c r="W348" t="s">
        <v>409</v>
      </c>
      <c r="X348">
        <v>1419</v>
      </c>
      <c r="Y348" t="s">
        <v>26650</v>
      </c>
      <c r="Z348" t="s">
        <v>26660</v>
      </c>
      <c r="AA348" t="s">
        <v>26678</v>
      </c>
      <c r="AB348" t="s">
        <v>27026</v>
      </c>
      <c r="AD348" t="s">
        <v>37111</v>
      </c>
      <c r="AE348">
        <v>40</v>
      </c>
      <c r="AF348" t="s">
        <v>45541</v>
      </c>
      <c r="AG348" t="s">
        <v>19330</v>
      </c>
      <c r="AH348">
        <v>10</v>
      </c>
      <c r="AI348">
        <v>1</v>
      </c>
      <c r="AJ348">
        <v>0</v>
      </c>
      <c r="AK348">
        <v>171.33</v>
      </c>
      <c r="AN348" t="s">
        <v>7439</v>
      </c>
      <c r="AO348">
        <v>20800</v>
      </c>
      <c r="AR348" t="s">
        <v>46405</v>
      </c>
      <c r="AS348" t="s">
        <v>46499</v>
      </c>
      <c r="AT348" t="s">
        <v>46595</v>
      </c>
      <c r="AU348">
        <v>13.65</v>
      </c>
      <c r="AV348" t="s">
        <v>635</v>
      </c>
      <c r="AW348" t="s">
        <v>46841</v>
      </c>
    </row>
    <row r="349" spans="1:49">
      <c r="A349" s="1">
        <f>HYPERLINK("https://lsnyc.legalserver.org/matter/dynamic-profile/view/1872432","18-1872432")</f>
        <v>0</v>
      </c>
      <c r="B349" t="s">
        <v>87</v>
      </c>
      <c r="C349" t="s">
        <v>340</v>
      </c>
      <c r="D349" t="s">
        <v>438</v>
      </c>
      <c r="F349" t="s">
        <v>1141</v>
      </c>
      <c r="G349" t="s">
        <v>948</v>
      </c>
      <c r="H349" t="s">
        <v>9940</v>
      </c>
      <c r="I349" t="s">
        <v>17307</v>
      </c>
      <c r="J349" t="s">
        <v>18892</v>
      </c>
      <c r="K349">
        <v>10457</v>
      </c>
      <c r="L349" t="s">
        <v>18958</v>
      </c>
      <c r="M349" t="s">
        <v>18958</v>
      </c>
      <c r="N349" t="s">
        <v>19211</v>
      </c>
      <c r="O349" t="s">
        <v>26523</v>
      </c>
      <c r="P349" t="s">
        <v>26560</v>
      </c>
      <c r="R349" t="s">
        <v>26579</v>
      </c>
      <c r="S349" t="s">
        <v>18959</v>
      </c>
      <c r="U349" t="s">
        <v>26604</v>
      </c>
      <c r="V349" t="s">
        <v>26610</v>
      </c>
      <c r="W349" t="s">
        <v>409</v>
      </c>
      <c r="X349">
        <v>1000</v>
      </c>
      <c r="Y349" t="s">
        <v>26650</v>
      </c>
      <c r="Z349" t="s">
        <v>26662</v>
      </c>
      <c r="AB349" t="s">
        <v>27027</v>
      </c>
      <c r="AD349" t="s">
        <v>37112</v>
      </c>
      <c r="AE349">
        <v>0</v>
      </c>
      <c r="AF349" t="s">
        <v>45541</v>
      </c>
      <c r="AG349" t="s">
        <v>45562</v>
      </c>
      <c r="AH349">
        <v>1</v>
      </c>
      <c r="AI349">
        <v>1</v>
      </c>
      <c r="AJ349">
        <v>0</v>
      </c>
      <c r="AK349">
        <v>192.75</v>
      </c>
      <c r="AN349" t="s">
        <v>7439</v>
      </c>
      <c r="AO349">
        <v>23400</v>
      </c>
      <c r="AU349">
        <v>40.55</v>
      </c>
      <c r="AV349" t="s">
        <v>832</v>
      </c>
      <c r="AW349" t="s">
        <v>334</v>
      </c>
    </row>
    <row r="350" spans="1:49">
      <c r="A350" s="1">
        <f>HYPERLINK("https://lsnyc.legalserver.org/matter/dynamic-profile/view/1872404","18-1872404")</f>
        <v>0</v>
      </c>
      <c r="B350" t="s">
        <v>162</v>
      </c>
      <c r="C350" t="s">
        <v>341</v>
      </c>
      <c r="D350" t="s">
        <v>446</v>
      </c>
      <c r="E350" t="s">
        <v>409</v>
      </c>
      <c r="F350" t="s">
        <v>1142</v>
      </c>
      <c r="G350" t="s">
        <v>5331</v>
      </c>
      <c r="H350" t="s">
        <v>9941</v>
      </c>
      <c r="I350" t="s">
        <v>17418</v>
      </c>
      <c r="J350" t="s">
        <v>18894</v>
      </c>
      <c r="K350">
        <v>11225</v>
      </c>
      <c r="L350" t="s">
        <v>18958</v>
      </c>
      <c r="M350" t="s">
        <v>18959</v>
      </c>
      <c r="N350" t="s">
        <v>19212</v>
      </c>
      <c r="O350" t="s">
        <v>26523</v>
      </c>
      <c r="P350" t="s">
        <v>26564</v>
      </c>
      <c r="Q350" t="s">
        <v>26570</v>
      </c>
      <c r="R350" t="s">
        <v>26588</v>
      </c>
      <c r="S350" t="s">
        <v>18959</v>
      </c>
      <c r="U350" t="s">
        <v>26604</v>
      </c>
      <c r="V350" t="s">
        <v>26612</v>
      </c>
      <c r="W350" t="s">
        <v>409</v>
      </c>
      <c r="X350">
        <v>2244</v>
      </c>
      <c r="Y350" t="s">
        <v>26652</v>
      </c>
      <c r="Z350" t="s">
        <v>26530</v>
      </c>
      <c r="AA350" t="s">
        <v>26683</v>
      </c>
      <c r="AB350" t="s">
        <v>27028</v>
      </c>
      <c r="AD350" t="s">
        <v>37113</v>
      </c>
      <c r="AE350">
        <v>0</v>
      </c>
      <c r="AG350" t="s">
        <v>19330</v>
      </c>
      <c r="AH350">
        <v>6</v>
      </c>
      <c r="AI350">
        <v>3</v>
      </c>
      <c r="AJ350">
        <v>0</v>
      </c>
      <c r="AK350">
        <v>0</v>
      </c>
      <c r="AN350" t="s">
        <v>7439</v>
      </c>
      <c r="AO350">
        <v>0</v>
      </c>
      <c r="AU350">
        <v>1</v>
      </c>
      <c r="AV350" t="s">
        <v>409</v>
      </c>
      <c r="AW350" t="s">
        <v>46853</v>
      </c>
    </row>
    <row r="351" spans="1:49">
      <c r="A351" s="1">
        <f>HYPERLINK("https://lsnyc.legalserver.org/matter/dynamic-profile/view/1872418","18-1872418")</f>
        <v>0</v>
      </c>
      <c r="B351" t="s">
        <v>128</v>
      </c>
      <c r="C351" t="s">
        <v>341</v>
      </c>
      <c r="D351" t="s">
        <v>409</v>
      </c>
      <c r="E351" t="s">
        <v>703</v>
      </c>
      <c r="F351" t="s">
        <v>1143</v>
      </c>
      <c r="G351" t="s">
        <v>5332</v>
      </c>
      <c r="H351" t="s">
        <v>9942</v>
      </c>
      <c r="I351" t="s">
        <v>17274</v>
      </c>
      <c r="J351" t="s">
        <v>18894</v>
      </c>
      <c r="K351">
        <v>11219</v>
      </c>
      <c r="L351" t="s">
        <v>18958</v>
      </c>
      <c r="M351" t="s">
        <v>18958</v>
      </c>
      <c r="N351" t="s">
        <v>19213</v>
      </c>
      <c r="O351" t="s">
        <v>26523</v>
      </c>
      <c r="P351" t="s">
        <v>26560</v>
      </c>
      <c r="Q351" t="s">
        <v>26568</v>
      </c>
      <c r="R351" t="s">
        <v>26586</v>
      </c>
      <c r="S351" t="s">
        <v>18959</v>
      </c>
      <c r="U351" t="s">
        <v>26604</v>
      </c>
      <c r="V351" t="s">
        <v>26611</v>
      </c>
      <c r="W351" t="s">
        <v>409</v>
      </c>
      <c r="X351">
        <v>2400</v>
      </c>
      <c r="Y351" t="s">
        <v>26652</v>
      </c>
      <c r="Z351" t="s">
        <v>26656</v>
      </c>
      <c r="AA351" t="s">
        <v>26679</v>
      </c>
      <c r="AB351" t="s">
        <v>27029</v>
      </c>
      <c r="AC351" t="s">
        <v>34586</v>
      </c>
      <c r="AD351" t="s">
        <v>37114</v>
      </c>
      <c r="AE351">
        <v>12</v>
      </c>
      <c r="AF351" t="s">
        <v>45541</v>
      </c>
      <c r="AG351" t="s">
        <v>19330</v>
      </c>
      <c r="AH351">
        <v>2</v>
      </c>
      <c r="AI351">
        <v>3</v>
      </c>
      <c r="AJ351">
        <v>3</v>
      </c>
      <c r="AK351">
        <v>92.63</v>
      </c>
      <c r="AN351" t="s">
        <v>7439</v>
      </c>
      <c r="AO351">
        <v>31252</v>
      </c>
      <c r="AQ351" t="s">
        <v>46366</v>
      </c>
      <c r="AR351" t="s">
        <v>46406</v>
      </c>
      <c r="AS351" t="s">
        <v>46500</v>
      </c>
      <c r="AT351" t="s">
        <v>46596</v>
      </c>
      <c r="AU351">
        <v>44.35</v>
      </c>
      <c r="AV351" t="s">
        <v>784</v>
      </c>
      <c r="AW351" t="s">
        <v>46853</v>
      </c>
    </row>
    <row r="352" spans="1:49">
      <c r="A352" s="1">
        <f>HYPERLINK("https://lsnyc.legalserver.org/matter/dynamic-profile/view/1872636","18-1872636")</f>
        <v>0</v>
      </c>
      <c r="B352" t="s">
        <v>107</v>
      </c>
      <c r="C352" t="s">
        <v>341</v>
      </c>
      <c r="D352" t="s">
        <v>409</v>
      </c>
      <c r="E352" t="s">
        <v>697</v>
      </c>
      <c r="F352" t="s">
        <v>1144</v>
      </c>
      <c r="G352" t="s">
        <v>3846</v>
      </c>
      <c r="H352" t="s">
        <v>9943</v>
      </c>
      <c r="I352" t="s">
        <v>17348</v>
      </c>
      <c r="J352" t="s">
        <v>18901</v>
      </c>
      <c r="K352">
        <v>11434</v>
      </c>
      <c r="L352" t="s">
        <v>18958</v>
      </c>
      <c r="M352" t="s">
        <v>18958</v>
      </c>
      <c r="N352" t="s">
        <v>19214</v>
      </c>
      <c r="O352" t="s">
        <v>26523</v>
      </c>
      <c r="P352" t="s">
        <v>26564</v>
      </c>
      <c r="Q352" t="s">
        <v>26570</v>
      </c>
      <c r="R352" t="s">
        <v>26585</v>
      </c>
      <c r="S352" t="s">
        <v>18959</v>
      </c>
      <c r="U352" t="s">
        <v>26604</v>
      </c>
      <c r="V352" t="s">
        <v>26611</v>
      </c>
      <c r="W352" t="s">
        <v>409</v>
      </c>
      <c r="X352">
        <v>1291</v>
      </c>
      <c r="Y352" t="s">
        <v>26653</v>
      </c>
      <c r="Z352" t="s">
        <v>26664</v>
      </c>
      <c r="AA352" t="s">
        <v>26683</v>
      </c>
      <c r="AB352" t="s">
        <v>27030</v>
      </c>
      <c r="AC352" t="s">
        <v>34587</v>
      </c>
      <c r="AD352" t="s">
        <v>37115</v>
      </c>
      <c r="AE352">
        <v>59</v>
      </c>
      <c r="AF352" t="s">
        <v>45541</v>
      </c>
      <c r="AG352" t="s">
        <v>45556</v>
      </c>
      <c r="AH352">
        <v>9</v>
      </c>
      <c r="AI352">
        <v>2</v>
      </c>
      <c r="AJ352">
        <v>0</v>
      </c>
      <c r="AK352">
        <v>127.58</v>
      </c>
      <c r="AN352" t="s">
        <v>7439</v>
      </c>
      <c r="AO352">
        <v>21000</v>
      </c>
      <c r="AQ352" t="s">
        <v>46362</v>
      </c>
      <c r="AR352" t="s">
        <v>26530</v>
      </c>
      <c r="AS352" t="s">
        <v>46499</v>
      </c>
      <c r="AT352" t="s">
        <v>46597</v>
      </c>
      <c r="AU352">
        <v>3.2</v>
      </c>
      <c r="AV352" t="s">
        <v>662</v>
      </c>
      <c r="AW352" t="s">
        <v>161</v>
      </c>
    </row>
    <row r="353" spans="1:49">
      <c r="A353" s="1">
        <f>HYPERLINK("https://lsnyc.legalserver.org/matter/dynamic-profile/view/1872697","18-1872697")</f>
        <v>0</v>
      </c>
      <c r="B353" t="s">
        <v>163</v>
      </c>
      <c r="C353" t="s">
        <v>341</v>
      </c>
      <c r="D353" t="s">
        <v>409</v>
      </c>
      <c r="E353" t="s">
        <v>658</v>
      </c>
      <c r="F353" t="s">
        <v>1145</v>
      </c>
      <c r="G353" t="s">
        <v>5333</v>
      </c>
      <c r="H353" t="s">
        <v>9944</v>
      </c>
      <c r="I353" t="s">
        <v>17315</v>
      </c>
      <c r="J353" t="s">
        <v>18898</v>
      </c>
      <c r="K353">
        <v>11691</v>
      </c>
      <c r="L353" t="s">
        <v>18958</v>
      </c>
      <c r="M353" t="s">
        <v>18958</v>
      </c>
      <c r="N353" t="s">
        <v>19215</v>
      </c>
      <c r="O353" t="s">
        <v>26523</v>
      </c>
      <c r="P353" t="s">
        <v>26564</v>
      </c>
      <c r="Q353" t="s">
        <v>26570</v>
      </c>
      <c r="R353" t="s">
        <v>26584</v>
      </c>
      <c r="S353" t="s">
        <v>18959</v>
      </c>
      <c r="U353" t="s">
        <v>26604</v>
      </c>
      <c r="V353" t="s">
        <v>26612</v>
      </c>
      <c r="W353" t="s">
        <v>409</v>
      </c>
      <c r="X353">
        <v>2005</v>
      </c>
      <c r="Y353" t="s">
        <v>26653</v>
      </c>
      <c r="Z353" t="s">
        <v>26530</v>
      </c>
      <c r="AA353" t="s">
        <v>26683</v>
      </c>
      <c r="AB353" t="s">
        <v>27031</v>
      </c>
      <c r="AC353" t="s">
        <v>19045</v>
      </c>
      <c r="AD353" t="s">
        <v>37116</v>
      </c>
      <c r="AE353">
        <v>30</v>
      </c>
      <c r="AF353" t="s">
        <v>45541</v>
      </c>
      <c r="AG353" t="s">
        <v>45556</v>
      </c>
      <c r="AH353">
        <v>3</v>
      </c>
      <c r="AI353">
        <v>6</v>
      </c>
      <c r="AJ353">
        <v>1</v>
      </c>
      <c r="AK353">
        <v>105.1</v>
      </c>
      <c r="AN353" t="s">
        <v>7439</v>
      </c>
      <c r="AO353">
        <v>40000</v>
      </c>
      <c r="AU353">
        <v>0.65</v>
      </c>
      <c r="AV353" t="s">
        <v>464</v>
      </c>
      <c r="AW353" t="s">
        <v>122</v>
      </c>
    </row>
    <row r="354" spans="1:49">
      <c r="A354" s="1">
        <f>HYPERLINK("https://lsnyc.legalserver.org/matter/dynamic-profile/view/1872589","18-1872589")</f>
        <v>0</v>
      </c>
      <c r="B354" t="s">
        <v>164</v>
      </c>
      <c r="C354" t="s">
        <v>341</v>
      </c>
      <c r="D354" t="s">
        <v>409</v>
      </c>
      <c r="E354" t="s">
        <v>578</v>
      </c>
      <c r="F354" t="s">
        <v>1146</v>
      </c>
      <c r="G354" t="s">
        <v>5334</v>
      </c>
      <c r="H354" t="s">
        <v>9945</v>
      </c>
      <c r="I354" t="s">
        <v>17419</v>
      </c>
      <c r="J354" t="s">
        <v>18919</v>
      </c>
      <c r="K354">
        <v>11428</v>
      </c>
      <c r="L354" t="s">
        <v>18958</v>
      </c>
      <c r="M354" t="s">
        <v>18958</v>
      </c>
      <c r="N354" t="s">
        <v>19216</v>
      </c>
      <c r="O354" t="s">
        <v>26523</v>
      </c>
      <c r="P354" t="s">
        <v>26564</v>
      </c>
      <c r="Q354" t="s">
        <v>26570</v>
      </c>
      <c r="R354" t="s">
        <v>26584</v>
      </c>
      <c r="S354" t="s">
        <v>18959</v>
      </c>
      <c r="U354" t="s">
        <v>26604</v>
      </c>
      <c r="V354" t="s">
        <v>26610</v>
      </c>
      <c r="W354" t="s">
        <v>409</v>
      </c>
      <c r="X354">
        <v>2200</v>
      </c>
      <c r="Y354" t="s">
        <v>26653</v>
      </c>
      <c r="Z354" t="s">
        <v>26664</v>
      </c>
      <c r="AA354" t="s">
        <v>26683</v>
      </c>
      <c r="AB354" t="s">
        <v>27032</v>
      </c>
      <c r="AC354" t="s">
        <v>19330</v>
      </c>
      <c r="AD354" t="s">
        <v>37117</v>
      </c>
      <c r="AE354">
        <v>2</v>
      </c>
      <c r="AF354" t="s">
        <v>45547</v>
      </c>
      <c r="AG354" t="s">
        <v>19330</v>
      </c>
      <c r="AH354">
        <v>3</v>
      </c>
      <c r="AI354">
        <v>5</v>
      </c>
      <c r="AJ354">
        <v>1</v>
      </c>
      <c r="AK354">
        <v>127.45</v>
      </c>
      <c r="AN354" t="s">
        <v>45581</v>
      </c>
      <c r="AO354">
        <v>43000</v>
      </c>
      <c r="AU354">
        <v>1.95</v>
      </c>
      <c r="AV354" t="s">
        <v>578</v>
      </c>
      <c r="AW354" t="s">
        <v>161</v>
      </c>
    </row>
    <row r="355" spans="1:49">
      <c r="A355" s="1">
        <f>HYPERLINK("https://lsnyc.legalserver.org/matter/dynamic-profile/view/1872607","18-1872607")</f>
        <v>0</v>
      </c>
      <c r="B355" t="s">
        <v>165</v>
      </c>
      <c r="C355" t="s">
        <v>341</v>
      </c>
      <c r="D355" t="s">
        <v>409</v>
      </c>
      <c r="E355" t="s">
        <v>684</v>
      </c>
      <c r="F355" t="s">
        <v>1147</v>
      </c>
      <c r="G355" t="s">
        <v>5269</v>
      </c>
      <c r="H355" t="s">
        <v>9946</v>
      </c>
      <c r="I355">
        <v>701</v>
      </c>
      <c r="J355" t="s">
        <v>18893</v>
      </c>
      <c r="K355">
        <v>10027</v>
      </c>
      <c r="L355" t="s">
        <v>18958</v>
      </c>
      <c r="M355" t="s">
        <v>18958</v>
      </c>
      <c r="N355" t="s">
        <v>19217</v>
      </c>
      <c r="O355" t="s">
        <v>26523</v>
      </c>
      <c r="P355" t="s">
        <v>26560</v>
      </c>
      <c r="Q355" t="s">
        <v>26568</v>
      </c>
      <c r="R355" t="s">
        <v>26580</v>
      </c>
      <c r="S355" t="s">
        <v>18959</v>
      </c>
      <c r="U355" t="s">
        <v>26604</v>
      </c>
      <c r="W355" t="s">
        <v>409</v>
      </c>
      <c r="X355">
        <v>1025</v>
      </c>
      <c r="Y355" t="s">
        <v>26651</v>
      </c>
      <c r="Z355" t="s">
        <v>26662</v>
      </c>
      <c r="AA355" t="s">
        <v>26678</v>
      </c>
      <c r="AB355" t="s">
        <v>27033</v>
      </c>
      <c r="AD355" t="s">
        <v>37118</v>
      </c>
      <c r="AE355">
        <v>61</v>
      </c>
      <c r="AF355" t="s">
        <v>45541</v>
      </c>
      <c r="AG355" t="s">
        <v>19330</v>
      </c>
      <c r="AH355">
        <v>1</v>
      </c>
      <c r="AI355">
        <v>1</v>
      </c>
      <c r="AJ355">
        <v>0</v>
      </c>
      <c r="AK355">
        <v>235.58</v>
      </c>
      <c r="AN355" t="s">
        <v>7439</v>
      </c>
      <c r="AO355">
        <v>28600</v>
      </c>
      <c r="AS355" t="s">
        <v>46499</v>
      </c>
      <c r="AT355" t="s">
        <v>46598</v>
      </c>
      <c r="AU355">
        <v>1.9</v>
      </c>
      <c r="AV355" t="s">
        <v>410</v>
      </c>
      <c r="AW355" t="s">
        <v>314</v>
      </c>
    </row>
    <row r="356" spans="1:49">
      <c r="A356" s="1">
        <f>HYPERLINK("https://lsnyc.legalserver.org/matter/dynamic-profile/view/1872846","18-1872846")</f>
        <v>0</v>
      </c>
      <c r="B356" t="s">
        <v>70</v>
      </c>
      <c r="C356" t="s">
        <v>341</v>
      </c>
      <c r="D356" t="s">
        <v>409</v>
      </c>
      <c r="E356" t="s">
        <v>741</v>
      </c>
      <c r="F356" t="s">
        <v>1148</v>
      </c>
      <c r="G356" t="s">
        <v>5335</v>
      </c>
      <c r="H356" t="s">
        <v>9947</v>
      </c>
      <c r="I356">
        <v>224</v>
      </c>
      <c r="J356" t="s">
        <v>18892</v>
      </c>
      <c r="K356">
        <v>10458</v>
      </c>
      <c r="L356" t="s">
        <v>18958</v>
      </c>
      <c r="M356" t="s">
        <v>18958</v>
      </c>
      <c r="N356" t="s">
        <v>19218</v>
      </c>
      <c r="O356" t="s">
        <v>26524</v>
      </c>
      <c r="P356" t="s">
        <v>26560</v>
      </c>
      <c r="Q356" t="s">
        <v>26574</v>
      </c>
      <c r="R356" t="s">
        <v>26577</v>
      </c>
      <c r="S356" t="s">
        <v>18959</v>
      </c>
      <c r="U356" t="s">
        <v>26604</v>
      </c>
      <c r="V356" t="s">
        <v>26612</v>
      </c>
      <c r="W356" t="s">
        <v>409</v>
      </c>
      <c r="X356">
        <v>898.04</v>
      </c>
      <c r="Y356" t="s">
        <v>26650</v>
      </c>
      <c r="Z356" t="s">
        <v>26662</v>
      </c>
      <c r="AA356" t="s">
        <v>26678</v>
      </c>
      <c r="AB356" t="s">
        <v>27034</v>
      </c>
      <c r="AC356" t="s">
        <v>34588</v>
      </c>
      <c r="AD356" t="s">
        <v>37119</v>
      </c>
      <c r="AE356">
        <v>166</v>
      </c>
      <c r="AF356" t="s">
        <v>45541</v>
      </c>
      <c r="AG356" t="s">
        <v>19330</v>
      </c>
      <c r="AH356">
        <v>22</v>
      </c>
      <c r="AI356">
        <v>1</v>
      </c>
      <c r="AJ356">
        <v>0</v>
      </c>
      <c r="AK356">
        <v>0</v>
      </c>
      <c r="AN356" t="s">
        <v>45581</v>
      </c>
      <c r="AO356">
        <v>0</v>
      </c>
      <c r="AP356" t="s">
        <v>45627</v>
      </c>
      <c r="AQ356" t="s">
        <v>46368</v>
      </c>
      <c r="AR356" t="s">
        <v>46383</v>
      </c>
      <c r="AS356" t="s">
        <v>46499</v>
      </c>
      <c r="AT356" t="s">
        <v>46599</v>
      </c>
      <c r="AU356">
        <v>35.9</v>
      </c>
      <c r="AV356" t="s">
        <v>741</v>
      </c>
      <c r="AW356" t="s">
        <v>46848</v>
      </c>
    </row>
    <row r="357" spans="1:49">
      <c r="A357" s="1">
        <f>HYPERLINK("https://lsnyc.legalserver.org/matter/dynamic-profile/view/1872659","18-1872659")</f>
        <v>0</v>
      </c>
      <c r="B357" t="s">
        <v>130</v>
      </c>
      <c r="C357" t="s">
        <v>341</v>
      </c>
      <c r="D357" t="s">
        <v>409</v>
      </c>
      <c r="E357" t="s">
        <v>427</v>
      </c>
      <c r="F357" t="s">
        <v>1149</v>
      </c>
      <c r="G357" t="s">
        <v>5336</v>
      </c>
      <c r="H357" t="s">
        <v>9948</v>
      </c>
      <c r="I357" t="s">
        <v>17375</v>
      </c>
      <c r="J357" t="s">
        <v>18923</v>
      </c>
      <c r="K357">
        <v>11418</v>
      </c>
      <c r="L357" t="s">
        <v>18958</v>
      </c>
      <c r="M357" t="s">
        <v>18958</v>
      </c>
      <c r="N357" t="s">
        <v>19219</v>
      </c>
      <c r="O357" t="s">
        <v>26524</v>
      </c>
      <c r="P357" t="s">
        <v>26560</v>
      </c>
      <c r="Q357" t="s">
        <v>26568</v>
      </c>
      <c r="R357" t="s">
        <v>26584</v>
      </c>
      <c r="S357" t="s">
        <v>18959</v>
      </c>
      <c r="U357" t="s">
        <v>26604</v>
      </c>
      <c r="V357" t="s">
        <v>26610</v>
      </c>
      <c r="W357" t="s">
        <v>409</v>
      </c>
      <c r="X357">
        <v>1800</v>
      </c>
      <c r="Y357" t="s">
        <v>26653</v>
      </c>
      <c r="Z357" t="s">
        <v>26664</v>
      </c>
      <c r="AA357" t="s">
        <v>26679</v>
      </c>
      <c r="AB357" t="s">
        <v>27035</v>
      </c>
      <c r="AC357" t="s">
        <v>19045</v>
      </c>
      <c r="AD357" t="s">
        <v>37120</v>
      </c>
      <c r="AE357">
        <v>2</v>
      </c>
      <c r="AF357" t="s">
        <v>45547</v>
      </c>
      <c r="AG357" t="s">
        <v>19330</v>
      </c>
      <c r="AH357">
        <v>2</v>
      </c>
      <c r="AI357">
        <v>2</v>
      </c>
      <c r="AJ357">
        <v>2</v>
      </c>
      <c r="AK357">
        <v>0</v>
      </c>
      <c r="AN357" t="s">
        <v>45591</v>
      </c>
      <c r="AO357">
        <v>0</v>
      </c>
      <c r="AQ357" t="s">
        <v>46359</v>
      </c>
      <c r="AR357" t="s">
        <v>26530</v>
      </c>
      <c r="AS357" t="s">
        <v>46500</v>
      </c>
      <c r="AT357" t="s">
        <v>46600</v>
      </c>
      <c r="AU357">
        <v>6.85</v>
      </c>
      <c r="AV357" t="s">
        <v>427</v>
      </c>
      <c r="AW357" t="s">
        <v>122</v>
      </c>
    </row>
    <row r="358" spans="1:49">
      <c r="A358" s="1">
        <f>HYPERLINK("https://lsnyc.legalserver.org/matter/dynamic-profile/view/1872594","18-1872594")</f>
        <v>0</v>
      </c>
      <c r="B358" t="s">
        <v>166</v>
      </c>
      <c r="C358" t="s">
        <v>341</v>
      </c>
      <c r="D358" t="s">
        <v>409</v>
      </c>
      <c r="E358" t="s">
        <v>767</v>
      </c>
      <c r="F358" t="s">
        <v>1150</v>
      </c>
      <c r="G358" t="s">
        <v>5330</v>
      </c>
      <c r="H358" t="s">
        <v>9949</v>
      </c>
      <c r="I358" t="s">
        <v>17325</v>
      </c>
      <c r="J358" t="s">
        <v>18892</v>
      </c>
      <c r="K358">
        <v>10457</v>
      </c>
      <c r="L358" t="s">
        <v>18958</v>
      </c>
      <c r="M358" t="s">
        <v>18958</v>
      </c>
      <c r="N358" t="s">
        <v>19220</v>
      </c>
      <c r="O358" t="s">
        <v>26523</v>
      </c>
      <c r="P358" t="s">
        <v>26560</v>
      </c>
      <c r="Q358" t="s">
        <v>26568</v>
      </c>
      <c r="R358" t="s">
        <v>26579</v>
      </c>
      <c r="S358" t="s">
        <v>18959</v>
      </c>
      <c r="U358" t="s">
        <v>26604</v>
      </c>
      <c r="V358" t="s">
        <v>26610</v>
      </c>
      <c r="W358" t="s">
        <v>409</v>
      </c>
      <c r="X358">
        <v>1098</v>
      </c>
      <c r="Y358" t="s">
        <v>26650</v>
      </c>
      <c r="Z358" t="s">
        <v>26656</v>
      </c>
      <c r="AA358" t="s">
        <v>26678</v>
      </c>
      <c r="AB358" t="s">
        <v>27036</v>
      </c>
      <c r="AC358" t="s">
        <v>34589</v>
      </c>
      <c r="AD358" t="s">
        <v>37121</v>
      </c>
      <c r="AE358">
        <v>6</v>
      </c>
      <c r="AF358" t="s">
        <v>45541</v>
      </c>
      <c r="AG358" t="s">
        <v>19330</v>
      </c>
      <c r="AH358">
        <v>8</v>
      </c>
      <c r="AI358">
        <v>1</v>
      </c>
      <c r="AJ358">
        <v>2</v>
      </c>
      <c r="AK358">
        <v>71.41</v>
      </c>
      <c r="AN358" t="s">
        <v>45581</v>
      </c>
      <c r="AO358">
        <v>14840</v>
      </c>
      <c r="AP358" t="s">
        <v>45621</v>
      </c>
      <c r="AS358" t="s">
        <v>46499</v>
      </c>
      <c r="AT358" t="s">
        <v>46601</v>
      </c>
      <c r="AU358">
        <v>16</v>
      </c>
      <c r="AV358" t="s">
        <v>801</v>
      </c>
      <c r="AW358" t="s">
        <v>46832</v>
      </c>
    </row>
    <row r="359" spans="1:49">
      <c r="A359" s="1">
        <f>HYPERLINK("https://lsnyc.legalserver.org/matter/dynamic-profile/view/1873007","18-1873007")</f>
        <v>0</v>
      </c>
      <c r="B359" t="s">
        <v>143</v>
      </c>
      <c r="C359" t="s">
        <v>341</v>
      </c>
      <c r="D359" t="s">
        <v>409</v>
      </c>
      <c r="E359" t="s">
        <v>755</v>
      </c>
      <c r="F359" t="s">
        <v>1045</v>
      </c>
      <c r="G359" t="s">
        <v>5337</v>
      </c>
      <c r="H359" t="s">
        <v>9950</v>
      </c>
      <c r="I359" t="s">
        <v>17420</v>
      </c>
      <c r="J359" t="s">
        <v>18892</v>
      </c>
      <c r="K359">
        <v>10457</v>
      </c>
      <c r="L359" t="s">
        <v>18958</v>
      </c>
      <c r="M359" t="s">
        <v>18958</v>
      </c>
      <c r="N359" t="s">
        <v>19221</v>
      </c>
      <c r="O359" t="s">
        <v>26523</v>
      </c>
      <c r="P359" t="s">
        <v>26560</v>
      </c>
      <c r="Q359" t="s">
        <v>26568</v>
      </c>
      <c r="R359" t="s">
        <v>26579</v>
      </c>
      <c r="S359" t="s">
        <v>18959</v>
      </c>
      <c r="U359" t="s">
        <v>26604</v>
      </c>
      <c r="V359" t="s">
        <v>26610</v>
      </c>
      <c r="W359" t="s">
        <v>409</v>
      </c>
      <c r="X359">
        <v>1574.36</v>
      </c>
      <c r="Y359" t="s">
        <v>26650</v>
      </c>
      <c r="Z359" t="s">
        <v>26662</v>
      </c>
      <c r="AA359" t="s">
        <v>26678</v>
      </c>
      <c r="AB359" t="s">
        <v>27037</v>
      </c>
      <c r="AC359" t="s">
        <v>34590</v>
      </c>
      <c r="AD359" t="s">
        <v>37122</v>
      </c>
      <c r="AE359">
        <v>54</v>
      </c>
      <c r="AF359" t="s">
        <v>45541</v>
      </c>
      <c r="AG359" t="s">
        <v>45556</v>
      </c>
      <c r="AH359">
        <v>10</v>
      </c>
      <c r="AI359">
        <v>1</v>
      </c>
      <c r="AJ359">
        <v>0</v>
      </c>
      <c r="AK359">
        <v>81.84999999999999</v>
      </c>
      <c r="AN359" t="s">
        <v>7439</v>
      </c>
      <c r="AO359">
        <v>9936</v>
      </c>
      <c r="AP359" t="s">
        <v>45621</v>
      </c>
      <c r="AQ359" t="s">
        <v>46361</v>
      </c>
      <c r="AR359" t="s">
        <v>46407</v>
      </c>
      <c r="AS359" t="s">
        <v>46499</v>
      </c>
      <c r="AT359" t="s">
        <v>46531</v>
      </c>
      <c r="AU359">
        <v>36.35</v>
      </c>
      <c r="AV359" t="s">
        <v>754</v>
      </c>
      <c r="AW359" t="s">
        <v>46848</v>
      </c>
    </row>
    <row r="360" spans="1:49">
      <c r="A360" s="1">
        <f>HYPERLINK("https://lsnyc.legalserver.org/matter/dynamic-profile/view/1873158","18-1873158")</f>
        <v>0</v>
      </c>
      <c r="B360" t="s">
        <v>143</v>
      </c>
      <c r="C360" t="s">
        <v>341</v>
      </c>
      <c r="D360" t="s">
        <v>409</v>
      </c>
      <c r="E360" t="s">
        <v>705</v>
      </c>
      <c r="F360" t="s">
        <v>1151</v>
      </c>
      <c r="G360" t="s">
        <v>5338</v>
      </c>
      <c r="H360" t="s">
        <v>9951</v>
      </c>
      <c r="I360" t="s">
        <v>17421</v>
      </c>
      <c r="J360" t="s">
        <v>18892</v>
      </c>
      <c r="K360">
        <v>10468</v>
      </c>
      <c r="L360" t="s">
        <v>18958</v>
      </c>
      <c r="M360" t="s">
        <v>18958</v>
      </c>
      <c r="N360" t="s">
        <v>19222</v>
      </c>
      <c r="O360" t="s">
        <v>26523</v>
      </c>
      <c r="P360" t="s">
        <v>26560</v>
      </c>
      <c r="Q360" t="s">
        <v>26568</v>
      </c>
      <c r="R360" t="s">
        <v>26579</v>
      </c>
      <c r="S360" t="s">
        <v>18959</v>
      </c>
      <c r="U360" t="s">
        <v>26604</v>
      </c>
      <c r="V360" t="s">
        <v>26612</v>
      </c>
      <c r="W360" t="s">
        <v>409</v>
      </c>
      <c r="X360">
        <v>1231.52</v>
      </c>
      <c r="Y360" t="s">
        <v>26650</v>
      </c>
      <c r="Z360" t="s">
        <v>26662</v>
      </c>
      <c r="AA360" t="s">
        <v>26678</v>
      </c>
      <c r="AB360" t="s">
        <v>27038</v>
      </c>
      <c r="AD360" t="s">
        <v>37123</v>
      </c>
      <c r="AE360">
        <v>86</v>
      </c>
      <c r="AF360" t="s">
        <v>45541</v>
      </c>
      <c r="AG360" t="s">
        <v>45559</v>
      </c>
      <c r="AH360">
        <v>40</v>
      </c>
      <c r="AI360">
        <v>3</v>
      </c>
      <c r="AJ360">
        <v>0</v>
      </c>
      <c r="AK360">
        <v>184.79</v>
      </c>
      <c r="AN360" t="s">
        <v>7439</v>
      </c>
      <c r="AO360">
        <v>38400</v>
      </c>
      <c r="AP360" t="s">
        <v>45627</v>
      </c>
      <c r="AQ360" t="s">
        <v>46359</v>
      </c>
      <c r="AR360" t="s">
        <v>26530</v>
      </c>
      <c r="AS360" t="s">
        <v>46499</v>
      </c>
      <c r="AT360" t="s">
        <v>46602</v>
      </c>
      <c r="AU360">
        <v>39.4</v>
      </c>
      <c r="AV360" t="s">
        <v>46814</v>
      </c>
      <c r="AW360" t="s">
        <v>46848</v>
      </c>
    </row>
    <row r="361" spans="1:49">
      <c r="A361" s="1">
        <f>HYPERLINK("https://lsnyc.legalserver.org/matter/dynamic-profile/view/1873025","18-1873025")</f>
        <v>0</v>
      </c>
      <c r="B361" t="s">
        <v>143</v>
      </c>
      <c r="C361" t="s">
        <v>341</v>
      </c>
      <c r="D361" t="s">
        <v>409</v>
      </c>
      <c r="E361" t="s">
        <v>744</v>
      </c>
      <c r="F361" t="s">
        <v>1152</v>
      </c>
      <c r="G361" t="s">
        <v>5339</v>
      </c>
      <c r="H361" t="s">
        <v>9952</v>
      </c>
      <c r="I361" t="s">
        <v>17422</v>
      </c>
      <c r="J361" t="s">
        <v>18892</v>
      </c>
      <c r="K361">
        <v>10457</v>
      </c>
      <c r="L361" t="s">
        <v>18958</v>
      </c>
      <c r="M361" t="s">
        <v>18958</v>
      </c>
      <c r="N361" t="s">
        <v>19223</v>
      </c>
      <c r="O361" t="s">
        <v>26523</v>
      </c>
      <c r="P361" t="s">
        <v>26560</v>
      </c>
      <c r="Q361" t="s">
        <v>26568</v>
      </c>
      <c r="R361" t="s">
        <v>26579</v>
      </c>
      <c r="S361" t="s">
        <v>18959</v>
      </c>
      <c r="U361" t="s">
        <v>26604</v>
      </c>
      <c r="V361" t="s">
        <v>26610</v>
      </c>
      <c r="W361" t="s">
        <v>409</v>
      </c>
      <c r="X361">
        <v>1288</v>
      </c>
      <c r="Y361" t="s">
        <v>26650</v>
      </c>
      <c r="Z361" t="s">
        <v>26662</v>
      </c>
      <c r="AA361" t="s">
        <v>26678</v>
      </c>
      <c r="AB361" t="s">
        <v>27039</v>
      </c>
      <c r="AE361">
        <v>155</v>
      </c>
      <c r="AF361" t="s">
        <v>45541</v>
      </c>
      <c r="AG361" t="s">
        <v>19330</v>
      </c>
      <c r="AH361">
        <v>9</v>
      </c>
      <c r="AI361">
        <v>1</v>
      </c>
      <c r="AJ361">
        <v>1</v>
      </c>
      <c r="AK361">
        <v>190.34</v>
      </c>
      <c r="AN361" t="s">
        <v>7439</v>
      </c>
      <c r="AO361">
        <v>31330.7</v>
      </c>
      <c r="AP361" t="s">
        <v>45627</v>
      </c>
      <c r="AQ361" t="s">
        <v>46362</v>
      </c>
      <c r="AR361" t="s">
        <v>46381</v>
      </c>
      <c r="AS361" t="s">
        <v>46499</v>
      </c>
      <c r="AT361" t="s">
        <v>46603</v>
      </c>
      <c r="AU361">
        <v>16.45</v>
      </c>
      <c r="AV361" t="s">
        <v>668</v>
      </c>
      <c r="AW361" t="s">
        <v>46848</v>
      </c>
    </row>
    <row r="362" spans="1:49">
      <c r="A362" s="1">
        <f>HYPERLINK("https://lsnyc.legalserver.org/matter/dynamic-profile/view/1872716","18-1872716")</f>
        <v>0</v>
      </c>
      <c r="B362" t="s">
        <v>167</v>
      </c>
      <c r="C362" t="s">
        <v>341</v>
      </c>
      <c r="D362" t="s">
        <v>409</v>
      </c>
      <c r="E362" t="s">
        <v>691</v>
      </c>
      <c r="F362" t="s">
        <v>1153</v>
      </c>
      <c r="G362" t="s">
        <v>5340</v>
      </c>
      <c r="H362" t="s">
        <v>9953</v>
      </c>
      <c r="I362" t="s">
        <v>17423</v>
      </c>
      <c r="J362" t="s">
        <v>18906</v>
      </c>
      <c r="K362">
        <v>11373</v>
      </c>
      <c r="L362" t="s">
        <v>18958</v>
      </c>
      <c r="M362" t="s">
        <v>18958</v>
      </c>
      <c r="N362" t="s">
        <v>19224</v>
      </c>
      <c r="O362" t="s">
        <v>26524</v>
      </c>
      <c r="P362" t="s">
        <v>26560</v>
      </c>
      <c r="Q362" t="s">
        <v>26568</v>
      </c>
      <c r="R362" t="s">
        <v>26585</v>
      </c>
      <c r="S362" t="s">
        <v>18959</v>
      </c>
      <c r="U362" t="s">
        <v>26604</v>
      </c>
      <c r="W362" t="s">
        <v>409</v>
      </c>
      <c r="X362">
        <v>800</v>
      </c>
      <c r="Y362" t="s">
        <v>26653</v>
      </c>
      <c r="Z362" t="s">
        <v>26656</v>
      </c>
      <c r="AA362" t="s">
        <v>26679</v>
      </c>
      <c r="AB362" t="s">
        <v>27040</v>
      </c>
      <c r="AC362" t="s">
        <v>19330</v>
      </c>
      <c r="AD362" t="s">
        <v>37124</v>
      </c>
      <c r="AE362">
        <v>2</v>
      </c>
      <c r="AF362" t="s">
        <v>45547</v>
      </c>
      <c r="AG362" t="s">
        <v>19330</v>
      </c>
      <c r="AH362">
        <v>5</v>
      </c>
      <c r="AI362">
        <v>2</v>
      </c>
      <c r="AJ362">
        <v>0</v>
      </c>
      <c r="AK362">
        <v>170.11</v>
      </c>
      <c r="AM362" t="s">
        <v>45579</v>
      </c>
      <c r="AN362" t="s">
        <v>45581</v>
      </c>
      <c r="AO362">
        <v>28000</v>
      </c>
      <c r="AR362" t="s">
        <v>46381</v>
      </c>
      <c r="AS362" t="s">
        <v>46500</v>
      </c>
      <c r="AT362" t="s">
        <v>46505</v>
      </c>
      <c r="AU362">
        <v>26.8</v>
      </c>
      <c r="AV362" t="s">
        <v>579</v>
      </c>
      <c r="AW362" t="s">
        <v>112</v>
      </c>
    </row>
    <row r="363" spans="1:49">
      <c r="A363" s="1">
        <f>HYPERLINK("https://lsnyc.legalserver.org/matter/dynamic-profile/view/1872628","18-1872628")</f>
        <v>0</v>
      </c>
      <c r="B363" t="s">
        <v>109</v>
      </c>
      <c r="C363" t="s">
        <v>341</v>
      </c>
      <c r="D363" t="s">
        <v>409</v>
      </c>
      <c r="E363" t="s">
        <v>755</v>
      </c>
      <c r="F363" t="s">
        <v>1154</v>
      </c>
      <c r="G363" t="s">
        <v>5103</v>
      </c>
      <c r="H363" t="s">
        <v>9954</v>
      </c>
      <c r="I363" t="s">
        <v>17300</v>
      </c>
      <c r="J363" t="s">
        <v>18902</v>
      </c>
      <c r="K363">
        <v>10301</v>
      </c>
      <c r="L363" t="s">
        <v>18958</v>
      </c>
      <c r="M363" t="s">
        <v>18958</v>
      </c>
      <c r="N363" t="s">
        <v>19225</v>
      </c>
      <c r="O363" t="s">
        <v>26523</v>
      </c>
      <c r="P363" t="s">
        <v>26560</v>
      </c>
      <c r="Q363" t="s">
        <v>26568</v>
      </c>
      <c r="R363" t="s">
        <v>26589</v>
      </c>
      <c r="S363" t="s">
        <v>18959</v>
      </c>
      <c r="U363" t="s">
        <v>26604</v>
      </c>
      <c r="V363" t="s">
        <v>26610</v>
      </c>
      <c r="W363" t="s">
        <v>409</v>
      </c>
      <c r="X363">
        <v>1284</v>
      </c>
      <c r="Y363" t="s">
        <v>26654</v>
      </c>
      <c r="Z363" t="s">
        <v>26671</v>
      </c>
      <c r="AA363" t="s">
        <v>26678</v>
      </c>
      <c r="AB363" t="s">
        <v>27041</v>
      </c>
      <c r="AD363" t="s">
        <v>37125</v>
      </c>
      <c r="AE363">
        <v>6</v>
      </c>
      <c r="AF363" t="s">
        <v>45543</v>
      </c>
      <c r="AG363" t="s">
        <v>45556</v>
      </c>
      <c r="AH363">
        <v>10</v>
      </c>
      <c r="AI363">
        <v>1</v>
      </c>
      <c r="AJ363">
        <v>0</v>
      </c>
      <c r="AK363">
        <v>0</v>
      </c>
      <c r="AL363" t="s">
        <v>45567</v>
      </c>
      <c r="AM363" t="s">
        <v>45577</v>
      </c>
      <c r="AN363" t="s">
        <v>7439</v>
      </c>
      <c r="AO363">
        <v>0</v>
      </c>
      <c r="AQ363" t="s">
        <v>46365</v>
      </c>
      <c r="AR363" t="s">
        <v>26530</v>
      </c>
      <c r="AS363" t="s">
        <v>46499</v>
      </c>
      <c r="AT363" t="s">
        <v>46604</v>
      </c>
      <c r="AU363">
        <v>31.7</v>
      </c>
      <c r="AV363" t="s">
        <v>815</v>
      </c>
      <c r="AW363" t="s">
        <v>190</v>
      </c>
    </row>
    <row r="364" spans="1:49">
      <c r="A364" s="1">
        <f>HYPERLINK("https://lsnyc.legalserver.org/matter/dynamic-profile/view/1872666","18-1872666")</f>
        <v>0</v>
      </c>
      <c r="B364" t="s">
        <v>131</v>
      </c>
      <c r="C364" t="s">
        <v>341</v>
      </c>
      <c r="D364" t="s">
        <v>409</v>
      </c>
      <c r="E364" t="s">
        <v>492</v>
      </c>
      <c r="F364" t="s">
        <v>1155</v>
      </c>
      <c r="G364" t="s">
        <v>5341</v>
      </c>
      <c r="H364" t="s">
        <v>9955</v>
      </c>
      <c r="I364">
        <v>3001</v>
      </c>
      <c r="J364" t="s">
        <v>18902</v>
      </c>
      <c r="K364">
        <v>10304</v>
      </c>
      <c r="L364" t="s">
        <v>18958</v>
      </c>
      <c r="M364" t="s">
        <v>18958</v>
      </c>
      <c r="N364" t="s">
        <v>19226</v>
      </c>
      <c r="O364" t="s">
        <v>26524</v>
      </c>
      <c r="P364" t="s">
        <v>26565</v>
      </c>
      <c r="Q364" t="s">
        <v>26571</v>
      </c>
      <c r="R364" t="s">
        <v>26578</v>
      </c>
      <c r="S364" t="s">
        <v>18959</v>
      </c>
      <c r="U364" t="s">
        <v>26604</v>
      </c>
      <c r="V364" t="s">
        <v>26610</v>
      </c>
      <c r="W364" t="s">
        <v>409</v>
      </c>
      <c r="X364">
        <v>867</v>
      </c>
      <c r="Y364" t="s">
        <v>26654</v>
      </c>
      <c r="Z364" t="s">
        <v>26670</v>
      </c>
      <c r="AA364" t="s">
        <v>26683</v>
      </c>
      <c r="AB364" t="s">
        <v>27042</v>
      </c>
      <c r="AD364" t="s">
        <v>37126</v>
      </c>
      <c r="AE364">
        <v>104</v>
      </c>
      <c r="AF364" t="s">
        <v>45541</v>
      </c>
      <c r="AG364" t="s">
        <v>45556</v>
      </c>
      <c r="AH364">
        <v>2</v>
      </c>
      <c r="AI364">
        <v>1</v>
      </c>
      <c r="AJ364">
        <v>0</v>
      </c>
      <c r="AK364">
        <v>97.55</v>
      </c>
      <c r="AN364" t="s">
        <v>7439</v>
      </c>
      <c r="AO364">
        <v>11843</v>
      </c>
      <c r="AU364">
        <v>5.2</v>
      </c>
      <c r="AV364" t="s">
        <v>469</v>
      </c>
      <c r="AW364" t="s">
        <v>316</v>
      </c>
    </row>
    <row r="365" spans="1:49">
      <c r="A365" s="1">
        <f>HYPERLINK("https://lsnyc.legalserver.org/matter/dynamic-profile/view/1872699","18-1872699")</f>
        <v>0</v>
      </c>
      <c r="B365" t="s">
        <v>162</v>
      </c>
      <c r="C365" t="s">
        <v>341</v>
      </c>
      <c r="D365" t="s">
        <v>409</v>
      </c>
      <c r="E365" t="s">
        <v>493</v>
      </c>
      <c r="F365" t="s">
        <v>1156</v>
      </c>
      <c r="G365" t="s">
        <v>5241</v>
      </c>
      <c r="H365" t="s">
        <v>9956</v>
      </c>
      <c r="I365" t="s">
        <v>17424</v>
      </c>
      <c r="J365" t="s">
        <v>18894</v>
      </c>
      <c r="K365">
        <v>11207</v>
      </c>
      <c r="L365" t="s">
        <v>18958</v>
      </c>
      <c r="M365" t="s">
        <v>18960</v>
      </c>
      <c r="N365" t="s">
        <v>19227</v>
      </c>
      <c r="O365" t="s">
        <v>26523</v>
      </c>
      <c r="P365" t="s">
        <v>26560</v>
      </c>
      <c r="Q365" t="s">
        <v>26573</v>
      </c>
      <c r="R365" t="s">
        <v>26586</v>
      </c>
      <c r="S365" t="s">
        <v>18959</v>
      </c>
      <c r="U365" t="s">
        <v>26604</v>
      </c>
      <c r="V365" t="s">
        <v>26610</v>
      </c>
      <c r="W365" t="s">
        <v>409</v>
      </c>
      <c r="X365">
        <v>559</v>
      </c>
      <c r="Y365" t="s">
        <v>26652</v>
      </c>
      <c r="Z365" t="s">
        <v>26659</v>
      </c>
      <c r="AA365" t="s">
        <v>26678</v>
      </c>
      <c r="AB365" t="s">
        <v>27043</v>
      </c>
      <c r="AC365" t="s">
        <v>34591</v>
      </c>
      <c r="AD365" t="s">
        <v>37127</v>
      </c>
      <c r="AE365">
        <v>50</v>
      </c>
      <c r="AF365" t="s">
        <v>45543</v>
      </c>
      <c r="AG365" t="s">
        <v>45556</v>
      </c>
      <c r="AH365">
        <v>20</v>
      </c>
      <c r="AI365">
        <v>2</v>
      </c>
      <c r="AJ365">
        <v>2</v>
      </c>
      <c r="AK365">
        <v>92.84</v>
      </c>
      <c r="AN365" t="s">
        <v>7439</v>
      </c>
      <c r="AO365">
        <v>23304</v>
      </c>
      <c r="AQ365" t="s">
        <v>46362</v>
      </c>
      <c r="AR365" t="s">
        <v>46379</v>
      </c>
      <c r="AS365" t="s">
        <v>46499</v>
      </c>
      <c r="AT365" t="s">
        <v>46539</v>
      </c>
      <c r="AU365">
        <v>12.8</v>
      </c>
      <c r="AV365" t="s">
        <v>493</v>
      </c>
      <c r="AW365" t="s">
        <v>46856</v>
      </c>
    </row>
    <row r="366" spans="1:49">
      <c r="A366" s="1">
        <f>HYPERLINK("https://lsnyc.legalserver.org/matter/dynamic-profile/view/1872579","18-1872579")</f>
        <v>0</v>
      </c>
      <c r="B366" t="s">
        <v>82</v>
      </c>
      <c r="C366" t="s">
        <v>341</v>
      </c>
      <c r="D366" t="s">
        <v>409</v>
      </c>
      <c r="E366" t="s">
        <v>652</v>
      </c>
      <c r="F366" t="s">
        <v>1157</v>
      </c>
      <c r="G366" t="s">
        <v>5342</v>
      </c>
      <c r="H366" t="s">
        <v>9957</v>
      </c>
      <c r="I366" t="s">
        <v>17425</v>
      </c>
      <c r="J366" t="s">
        <v>18892</v>
      </c>
      <c r="K366">
        <v>10466</v>
      </c>
      <c r="L366" t="s">
        <v>18958</v>
      </c>
      <c r="M366" t="s">
        <v>18958</v>
      </c>
      <c r="N366" t="s">
        <v>19228</v>
      </c>
      <c r="O366" t="s">
        <v>26523</v>
      </c>
      <c r="P366" t="s">
        <v>26560</v>
      </c>
      <c r="Q366" t="s">
        <v>26568</v>
      </c>
      <c r="R366" t="s">
        <v>26577</v>
      </c>
      <c r="S366" t="s">
        <v>18959</v>
      </c>
      <c r="U366" t="s">
        <v>26604</v>
      </c>
      <c r="V366" t="s">
        <v>26611</v>
      </c>
      <c r="W366" t="s">
        <v>409</v>
      </c>
      <c r="X366">
        <v>931.05</v>
      </c>
      <c r="Y366" t="s">
        <v>26650</v>
      </c>
      <c r="Z366" t="s">
        <v>26662</v>
      </c>
      <c r="AA366" t="s">
        <v>26678</v>
      </c>
      <c r="AB366" t="s">
        <v>27044</v>
      </c>
      <c r="AC366" t="s">
        <v>34592</v>
      </c>
      <c r="AD366" t="s">
        <v>37128</v>
      </c>
      <c r="AE366">
        <v>0</v>
      </c>
      <c r="AF366" t="s">
        <v>45541</v>
      </c>
      <c r="AG366" t="s">
        <v>45557</v>
      </c>
      <c r="AH366">
        <v>20</v>
      </c>
      <c r="AI366">
        <v>2</v>
      </c>
      <c r="AJ366">
        <v>1</v>
      </c>
      <c r="AK366">
        <v>16.27</v>
      </c>
      <c r="AO366">
        <v>3380</v>
      </c>
      <c r="AQ366" t="s">
        <v>46365</v>
      </c>
      <c r="AR366" t="s">
        <v>46408</v>
      </c>
      <c r="AS366" t="s">
        <v>46499</v>
      </c>
      <c r="AT366" t="s">
        <v>46605</v>
      </c>
      <c r="AU366">
        <v>7.75</v>
      </c>
      <c r="AV366" t="s">
        <v>652</v>
      </c>
      <c r="AW366" t="s">
        <v>46854</v>
      </c>
    </row>
    <row r="367" spans="1:49">
      <c r="A367" s="1">
        <f>HYPERLINK("https://lsnyc.legalserver.org/matter/dynamic-profile/view/1873546","18-1873546")</f>
        <v>0</v>
      </c>
      <c r="B367" t="s">
        <v>64</v>
      </c>
      <c r="C367" t="s">
        <v>341</v>
      </c>
      <c r="D367" t="s">
        <v>409</v>
      </c>
      <c r="E367" t="s">
        <v>787</v>
      </c>
      <c r="F367" t="s">
        <v>1158</v>
      </c>
      <c r="G367" t="s">
        <v>5343</v>
      </c>
      <c r="H367" t="s">
        <v>9958</v>
      </c>
      <c r="I367" t="s">
        <v>17366</v>
      </c>
      <c r="J367" t="s">
        <v>18892</v>
      </c>
      <c r="K367">
        <v>10468</v>
      </c>
      <c r="L367" t="s">
        <v>18958</v>
      </c>
      <c r="M367" t="s">
        <v>18958</v>
      </c>
      <c r="N367" t="s">
        <v>19229</v>
      </c>
      <c r="O367" t="s">
        <v>26524</v>
      </c>
      <c r="P367" t="s">
        <v>26560</v>
      </c>
      <c r="Q367" t="s">
        <v>26568</v>
      </c>
      <c r="R367" t="s">
        <v>26579</v>
      </c>
      <c r="U367" t="s">
        <v>26604</v>
      </c>
      <c r="V367" t="s">
        <v>26610</v>
      </c>
      <c r="W367" t="s">
        <v>409</v>
      </c>
      <c r="X367">
        <v>1396</v>
      </c>
      <c r="Y367" t="s">
        <v>26650</v>
      </c>
      <c r="Z367" t="s">
        <v>26662</v>
      </c>
      <c r="AA367" t="s">
        <v>26678</v>
      </c>
      <c r="AB367" t="s">
        <v>27045</v>
      </c>
      <c r="AC367" t="s">
        <v>34593</v>
      </c>
      <c r="AE367">
        <v>0</v>
      </c>
      <c r="AF367" t="s">
        <v>45541</v>
      </c>
      <c r="AG367" t="s">
        <v>45558</v>
      </c>
      <c r="AH367">
        <v>5</v>
      </c>
      <c r="AI367">
        <v>1</v>
      </c>
      <c r="AJ367">
        <v>2</v>
      </c>
      <c r="AK367">
        <v>14.78</v>
      </c>
      <c r="AN367" t="s">
        <v>7439</v>
      </c>
      <c r="AO367">
        <v>3072</v>
      </c>
      <c r="AQ367" t="s">
        <v>46362</v>
      </c>
      <c r="AR367" t="s">
        <v>46383</v>
      </c>
      <c r="AS367" t="s">
        <v>46499</v>
      </c>
      <c r="AT367" t="s">
        <v>46606</v>
      </c>
      <c r="AU367">
        <v>8.5</v>
      </c>
      <c r="AV367" t="s">
        <v>787</v>
      </c>
      <c r="AW367" t="s">
        <v>334</v>
      </c>
    </row>
    <row r="368" spans="1:49">
      <c r="A368" s="1">
        <f>HYPERLINK("https://lsnyc.legalserver.org/matter/dynamic-profile/view/1873529","18-1873529")</f>
        <v>0</v>
      </c>
      <c r="B368" t="s">
        <v>64</v>
      </c>
      <c r="C368" t="s">
        <v>341</v>
      </c>
      <c r="D368" t="s">
        <v>409</v>
      </c>
      <c r="E368" t="s">
        <v>766</v>
      </c>
      <c r="F368" t="s">
        <v>1159</v>
      </c>
      <c r="G368" t="s">
        <v>5344</v>
      </c>
      <c r="H368" t="s">
        <v>9959</v>
      </c>
      <c r="I368" t="s">
        <v>17348</v>
      </c>
      <c r="J368" t="s">
        <v>18892</v>
      </c>
      <c r="K368">
        <v>10467</v>
      </c>
      <c r="L368" t="s">
        <v>18958</v>
      </c>
      <c r="M368" t="s">
        <v>18958</v>
      </c>
      <c r="N368" t="s">
        <v>19230</v>
      </c>
      <c r="O368" t="s">
        <v>26523</v>
      </c>
      <c r="P368" t="s">
        <v>26560</v>
      </c>
      <c r="Q368" t="s">
        <v>26568</v>
      </c>
      <c r="R368" t="s">
        <v>26579</v>
      </c>
      <c r="U368" t="s">
        <v>26604</v>
      </c>
      <c r="V368" t="s">
        <v>26610</v>
      </c>
      <c r="W368" t="s">
        <v>409</v>
      </c>
      <c r="X368">
        <v>1599</v>
      </c>
      <c r="Y368" t="s">
        <v>26650</v>
      </c>
      <c r="Z368" t="s">
        <v>26662</v>
      </c>
      <c r="AA368" t="s">
        <v>26678</v>
      </c>
      <c r="AB368" t="s">
        <v>27046</v>
      </c>
      <c r="AC368" t="s">
        <v>34594</v>
      </c>
      <c r="AD368" t="s">
        <v>37129</v>
      </c>
      <c r="AE368">
        <v>47</v>
      </c>
      <c r="AF368" t="s">
        <v>45541</v>
      </c>
      <c r="AG368" t="s">
        <v>19330</v>
      </c>
      <c r="AH368">
        <v>5</v>
      </c>
      <c r="AI368">
        <v>2</v>
      </c>
      <c r="AJ368">
        <v>2</v>
      </c>
      <c r="AK368">
        <v>167.33</v>
      </c>
      <c r="AN368" t="s">
        <v>7439</v>
      </c>
      <c r="AO368">
        <v>42000</v>
      </c>
      <c r="AP368" t="s">
        <v>45627</v>
      </c>
      <c r="AQ368" t="s">
        <v>46364</v>
      </c>
      <c r="AR368" t="s">
        <v>46395</v>
      </c>
      <c r="AS368" t="s">
        <v>46499</v>
      </c>
      <c r="AT368" t="s">
        <v>46607</v>
      </c>
      <c r="AU368">
        <v>22</v>
      </c>
      <c r="AV368" t="s">
        <v>780</v>
      </c>
      <c r="AW368" t="s">
        <v>334</v>
      </c>
    </row>
    <row r="369" spans="1:49">
      <c r="A369" s="1">
        <f>HYPERLINK("https://lsnyc.legalserver.org/matter/dynamic-profile/view/1872644","18-1872644")</f>
        <v>0</v>
      </c>
      <c r="B369" t="s">
        <v>142</v>
      </c>
      <c r="C369" t="s">
        <v>341</v>
      </c>
      <c r="D369" t="s">
        <v>409</v>
      </c>
      <c r="E369" t="s">
        <v>697</v>
      </c>
      <c r="F369" t="s">
        <v>1160</v>
      </c>
      <c r="G369" t="s">
        <v>5345</v>
      </c>
      <c r="H369" t="s">
        <v>9960</v>
      </c>
      <c r="I369" t="s">
        <v>17410</v>
      </c>
      <c r="J369" t="s">
        <v>7026</v>
      </c>
      <c r="K369">
        <v>11368</v>
      </c>
      <c r="L369" t="s">
        <v>18958</v>
      </c>
      <c r="M369" t="s">
        <v>18958</v>
      </c>
      <c r="N369" t="s">
        <v>19231</v>
      </c>
      <c r="O369" t="s">
        <v>26523</v>
      </c>
      <c r="P369" t="s">
        <v>26560</v>
      </c>
      <c r="Q369" t="s">
        <v>26568</v>
      </c>
      <c r="R369" t="s">
        <v>26584</v>
      </c>
      <c r="S369" t="s">
        <v>18959</v>
      </c>
      <c r="U369" t="s">
        <v>26604</v>
      </c>
      <c r="V369" t="s">
        <v>26611</v>
      </c>
      <c r="W369" t="s">
        <v>409</v>
      </c>
      <c r="X369">
        <v>1500</v>
      </c>
      <c r="Y369" t="s">
        <v>26653</v>
      </c>
      <c r="Z369" t="s">
        <v>26664</v>
      </c>
      <c r="AA369" t="s">
        <v>26678</v>
      </c>
      <c r="AB369" t="s">
        <v>27047</v>
      </c>
      <c r="AC369" t="s">
        <v>19330</v>
      </c>
      <c r="AD369" t="s">
        <v>37130</v>
      </c>
      <c r="AE369">
        <v>4</v>
      </c>
      <c r="AF369" t="s">
        <v>45547</v>
      </c>
      <c r="AG369" t="s">
        <v>19330</v>
      </c>
      <c r="AH369">
        <v>1</v>
      </c>
      <c r="AI369">
        <v>2</v>
      </c>
      <c r="AJ369">
        <v>2</v>
      </c>
      <c r="AK369">
        <v>103.59</v>
      </c>
      <c r="AN369" t="s">
        <v>45581</v>
      </c>
      <c r="AO369">
        <v>26000</v>
      </c>
      <c r="AQ369" t="s">
        <v>46365</v>
      </c>
      <c r="AR369" t="s">
        <v>26530</v>
      </c>
      <c r="AS369" t="s">
        <v>46499</v>
      </c>
      <c r="AT369" t="s">
        <v>46520</v>
      </c>
      <c r="AU369">
        <v>9.1</v>
      </c>
      <c r="AV369" t="s">
        <v>476</v>
      </c>
      <c r="AW369" t="s">
        <v>161</v>
      </c>
    </row>
    <row r="370" spans="1:49">
      <c r="A370" s="1">
        <f>HYPERLINK("https://lsnyc.legalserver.org/matter/dynamic-profile/view/1872714","18-1872714")</f>
        <v>0</v>
      </c>
      <c r="B370" t="s">
        <v>161</v>
      </c>
      <c r="C370" t="s">
        <v>341</v>
      </c>
      <c r="D370" t="s">
        <v>409</v>
      </c>
      <c r="E370" t="s">
        <v>449</v>
      </c>
      <c r="F370" t="s">
        <v>1161</v>
      </c>
      <c r="G370" t="s">
        <v>5346</v>
      </c>
      <c r="H370" t="s">
        <v>9961</v>
      </c>
      <c r="I370" t="s">
        <v>17426</v>
      </c>
      <c r="J370" t="s">
        <v>18918</v>
      </c>
      <c r="K370">
        <v>11416</v>
      </c>
      <c r="L370" t="s">
        <v>18958</v>
      </c>
      <c r="M370" t="s">
        <v>18958</v>
      </c>
      <c r="N370" t="s">
        <v>19232</v>
      </c>
      <c r="O370" t="s">
        <v>26524</v>
      </c>
      <c r="P370" t="s">
        <v>26564</v>
      </c>
      <c r="Q370" t="s">
        <v>26570</v>
      </c>
      <c r="R370" t="s">
        <v>26589</v>
      </c>
      <c r="S370" t="s">
        <v>18959</v>
      </c>
      <c r="U370" t="s">
        <v>26604</v>
      </c>
      <c r="V370" t="s">
        <v>26610</v>
      </c>
      <c r="W370" t="s">
        <v>409</v>
      </c>
      <c r="X370">
        <v>1400</v>
      </c>
      <c r="Y370" t="s">
        <v>26653</v>
      </c>
      <c r="Z370" t="s">
        <v>26671</v>
      </c>
      <c r="AA370" t="s">
        <v>26683</v>
      </c>
      <c r="AB370" t="s">
        <v>27048</v>
      </c>
      <c r="AC370" t="s">
        <v>34595</v>
      </c>
      <c r="AD370" t="s">
        <v>37131</v>
      </c>
      <c r="AE370">
        <v>2</v>
      </c>
      <c r="AF370" t="s">
        <v>45547</v>
      </c>
      <c r="AG370" t="s">
        <v>45557</v>
      </c>
      <c r="AH370">
        <v>9</v>
      </c>
      <c r="AI370">
        <v>2</v>
      </c>
      <c r="AJ370">
        <v>3</v>
      </c>
      <c r="AK370">
        <v>97.20999999999999</v>
      </c>
      <c r="AL370" t="s">
        <v>45567</v>
      </c>
      <c r="AM370" t="s">
        <v>45577</v>
      </c>
      <c r="AN370" t="s">
        <v>45581</v>
      </c>
      <c r="AO370">
        <v>28600</v>
      </c>
      <c r="AU370">
        <v>1.4</v>
      </c>
      <c r="AV370" t="s">
        <v>449</v>
      </c>
      <c r="AW370" t="s">
        <v>161</v>
      </c>
    </row>
    <row r="371" spans="1:49">
      <c r="A371" s="1">
        <f>HYPERLINK("https://lsnyc.legalserver.org/matter/dynamic-profile/view/1872706","18-1872706")</f>
        <v>0</v>
      </c>
      <c r="B371" t="s">
        <v>122</v>
      </c>
      <c r="C371" t="s">
        <v>341</v>
      </c>
      <c r="D371" t="s">
        <v>409</v>
      </c>
      <c r="E371" t="s">
        <v>691</v>
      </c>
      <c r="F371" t="s">
        <v>1162</v>
      </c>
      <c r="G371" t="s">
        <v>1725</v>
      </c>
      <c r="H371" t="s">
        <v>9962</v>
      </c>
      <c r="I371" t="s">
        <v>17402</v>
      </c>
      <c r="J371" t="s">
        <v>18923</v>
      </c>
      <c r="K371">
        <v>11418</v>
      </c>
      <c r="L371" t="s">
        <v>18958</v>
      </c>
      <c r="M371" t="s">
        <v>18958</v>
      </c>
      <c r="N371" t="s">
        <v>19233</v>
      </c>
      <c r="O371" t="s">
        <v>26524</v>
      </c>
      <c r="P371" t="s">
        <v>26564</v>
      </c>
      <c r="Q371" t="s">
        <v>26570</v>
      </c>
      <c r="R371" t="s">
        <v>26584</v>
      </c>
      <c r="S371" t="s">
        <v>18959</v>
      </c>
      <c r="U371" t="s">
        <v>26604</v>
      </c>
      <c r="W371" t="s">
        <v>409</v>
      </c>
      <c r="X371">
        <v>1450</v>
      </c>
      <c r="Y371" t="s">
        <v>26653</v>
      </c>
      <c r="Z371" t="s">
        <v>26664</v>
      </c>
      <c r="AA371" t="s">
        <v>26683</v>
      </c>
      <c r="AB371" t="s">
        <v>27049</v>
      </c>
      <c r="AC371" t="s">
        <v>34596</v>
      </c>
      <c r="AD371" t="s">
        <v>37132</v>
      </c>
      <c r="AE371">
        <v>2</v>
      </c>
      <c r="AG371" t="s">
        <v>19330</v>
      </c>
      <c r="AH371">
        <v>8</v>
      </c>
      <c r="AI371">
        <v>4</v>
      </c>
      <c r="AJ371">
        <v>1</v>
      </c>
      <c r="AK371">
        <v>63.45</v>
      </c>
      <c r="AO371">
        <v>18668</v>
      </c>
      <c r="AU371">
        <v>1.45</v>
      </c>
      <c r="AV371" t="s">
        <v>533</v>
      </c>
      <c r="AW371" t="s">
        <v>122</v>
      </c>
    </row>
    <row r="372" spans="1:49">
      <c r="A372" s="1">
        <f>HYPERLINK("https://lsnyc.legalserver.org/matter/dynamic-profile/view/1872702","18-1872702")</f>
        <v>0</v>
      </c>
      <c r="B372" t="s">
        <v>112</v>
      </c>
      <c r="C372" t="s">
        <v>341</v>
      </c>
      <c r="D372" t="s">
        <v>409</v>
      </c>
      <c r="E372" t="s">
        <v>720</v>
      </c>
      <c r="F372" t="s">
        <v>953</v>
      </c>
      <c r="G372" t="s">
        <v>5347</v>
      </c>
      <c r="H372" t="s">
        <v>9963</v>
      </c>
      <c r="I372" t="s">
        <v>17374</v>
      </c>
      <c r="J372" t="s">
        <v>18901</v>
      </c>
      <c r="K372">
        <v>11434</v>
      </c>
      <c r="L372" t="s">
        <v>18958</v>
      </c>
      <c r="M372" t="s">
        <v>18958</v>
      </c>
      <c r="N372" t="s">
        <v>19234</v>
      </c>
      <c r="O372" t="s">
        <v>26524</v>
      </c>
      <c r="P372" t="s">
        <v>26560</v>
      </c>
      <c r="Q372" t="s">
        <v>26568</v>
      </c>
      <c r="R372" t="s">
        <v>26585</v>
      </c>
      <c r="S372" t="s">
        <v>18959</v>
      </c>
      <c r="U372" t="s">
        <v>26604</v>
      </c>
      <c r="V372" t="s">
        <v>26610</v>
      </c>
      <c r="W372" t="s">
        <v>409</v>
      </c>
      <c r="X372">
        <v>800</v>
      </c>
      <c r="Y372" t="s">
        <v>26653</v>
      </c>
      <c r="Z372" t="s">
        <v>26656</v>
      </c>
      <c r="AA372" t="s">
        <v>26678</v>
      </c>
      <c r="AB372" t="s">
        <v>27050</v>
      </c>
      <c r="AD372" t="s">
        <v>37133</v>
      </c>
      <c r="AE372">
        <v>4</v>
      </c>
      <c r="AF372" t="s">
        <v>45547</v>
      </c>
      <c r="AG372" t="s">
        <v>19330</v>
      </c>
      <c r="AH372">
        <v>3</v>
      </c>
      <c r="AI372">
        <v>2</v>
      </c>
      <c r="AJ372">
        <v>0</v>
      </c>
      <c r="AK372">
        <v>0</v>
      </c>
      <c r="AM372" t="s">
        <v>45579</v>
      </c>
      <c r="AN372" t="s">
        <v>7439</v>
      </c>
      <c r="AO372">
        <v>0</v>
      </c>
      <c r="AQ372" t="s">
        <v>46359</v>
      </c>
      <c r="AR372" t="s">
        <v>46379</v>
      </c>
      <c r="AS372" t="s">
        <v>46499</v>
      </c>
      <c r="AT372" t="s">
        <v>46507</v>
      </c>
      <c r="AU372">
        <v>28.05</v>
      </c>
      <c r="AV372" t="s">
        <v>780</v>
      </c>
      <c r="AW372" t="s">
        <v>112</v>
      </c>
    </row>
    <row r="373" spans="1:49">
      <c r="A373" s="1">
        <f>HYPERLINK("https://lsnyc.legalserver.org/matter/dynamic-profile/view/1872649","18-1872649")</f>
        <v>0</v>
      </c>
      <c r="B373" t="s">
        <v>114</v>
      </c>
      <c r="C373" t="s">
        <v>341</v>
      </c>
      <c r="D373" t="s">
        <v>409</v>
      </c>
      <c r="E373" t="s">
        <v>494</v>
      </c>
      <c r="F373" t="s">
        <v>1163</v>
      </c>
      <c r="G373" t="s">
        <v>5348</v>
      </c>
      <c r="H373" t="s">
        <v>9964</v>
      </c>
      <c r="I373" t="s">
        <v>17427</v>
      </c>
      <c r="J373" t="s">
        <v>18911</v>
      </c>
      <c r="K373">
        <v>11375</v>
      </c>
      <c r="L373" t="s">
        <v>18958</v>
      </c>
      <c r="M373" t="s">
        <v>18958</v>
      </c>
      <c r="N373" t="s">
        <v>19235</v>
      </c>
      <c r="O373" t="s">
        <v>26524</v>
      </c>
      <c r="P373" t="s">
        <v>26564</v>
      </c>
      <c r="Q373" t="s">
        <v>26570</v>
      </c>
      <c r="R373" t="s">
        <v>26584</v>
      </c>
      <c r="S373" t="s">
        <v>18959</v>
      </c>
      <c r="U373" t="s">
        <v>26604</v>
      </c>
      <c r="V373" t="s">
        <v>26610</v>
      </c>
      <c r="W373" t="s">
        <v>409</v>
      </c>
      <c r="X373">
        <v>1500</v>
      </c>
      <c r="Y373" t="s">
        <v>26653</v>
      </c>
      <c r="Z373" t="s">
        <v>26664</v>
      </c>
      <c r="AA373" t="s">
        <v>26683</v>
      </c>
      <c r="AB373" t="s">
        <v>27051</v>
      </c>
      <c r="AC373" t="s">
        <v>19045</v>
      </c>
      <c r="AE373">
        <v>2</v>
      </c>
      <c r="AF373" t="s">
        <v>45547</v>
      </c>
      <c r="AG373" t="s">
        <v>19330</v>
      </c>
      <c r="AH373">
        <v>2</v>
      </c>
      <c r="AI373">
        <v>1</v>
      </c>
      <c r="AJ373">
        <v>0</v>
      </c>
      <c r="AK373">
        <v>0</v>
      </c>
      <c r="AN373" t="s">
        <v>7439</v>
      </c>
      <c r="AO373">
        <v>0</v>
      </c>
      <c r="AU373">
        <v>0.85</v>
      </c>
      <c r="AV373" t="s">
        <v>511</v>
      </c>
      <c r="AW373" t="s">
        <v>161</v>
      </c>
    </row>
    <row r="374" spans="1:49">
      <c r="A374" s="1">
        <f>HYPERLINK("https://lsnyc.legalserver.org/matter/dynamic-profile/view/1872627","18-1872627")</f>
        <v>0</v>
      </c>
      <c r="B374" t="s">
        <v>114</v>
      </c>
      <c r="C374" t="s">
        <v>341</v>
      </c>
      <c r="D374" t="s">
        <v>409</v>
      </c>
      <c r="E374" t="s">
        <v>494</v>
      </c>
      <c r="F374" t="s">
        <v>1164</v>
      </c>
      <c r="G374" t="s">
        <v>5174</v>
      </c>
      <c r="H374" t="s">
        <v>9965</v>
      </c>
      <c r="I374" t="s">
        <v>17427</v>
      </c>
      <c r="J374" t="s">
        <v>18901</v>
      </c>
      <c r="K374">
        <v>11432</v>
      </c>
      <c r="L374" t="s">
        <v>18958</v>
      </c>
      <c r="M374" t="s">
        <v>18958</v>
      </c>
      <c r="N374" t="s">
        <v>19236</v>
      </c>
      <c r="O374" t="s">
        <v>26524</v>
      </c>
      <c r="P374" t="s">
        <v>26563</v>
      </c>
      <c r="Q374" t="s">
        <v>26570</v>
      </c>
      <c r="R374" t="s">
        <v>26584</v>
      </c>
      <c r="S374" t="s">
        <v>18959</v>
      </c>
      <c r="U374" t="s">
        <v>26604</v>
      </c>
      <c r="V374" t="s">
        <v>26610</v>
      </c>
      <c r="W374" t="s">
        <v>409</v>
      </c>
      <c r="X374">
        <v>1000</v>
      </c>
      <c r="Y374" t="s">
        <v>26653</v>
      </c>
      <c r="Z374" t="s">
        <v>26664</v>
      </c>
      <c r="AA374" t="s">
        <v>26683</v>
      </c>
      <c r="AB374" t="s">
        <v>27052</v>
      </c>
      <c r="AC374" t="s">
        <v>19330</v>
      </c>
      <c r="AD374" t="s">
        <v>37134</v>
      </c>
      <c r="AE374">
        <v>2</v>
      </c>
      <c r="AF374" t="s">
        <v>45547</v>
      </c>
      <c r="AG374" t="s">
        <v>19330</v>
      </c>
      <c r="AH374">
        <v>8</v>
      </c>
      <c r="AI374">
        <v>2</v>
      </c>
      <c r="AJ374">
        <v>0</v>
      </c>
      <c r="AK374">
        <v>137.69</v>
      </c>
      <c r="AN374" t="s">
        <v>45581</v>
      </c>
      <c r="AO374">
        <v>22664</v>
      </c>
      <c r="AU374">
        <v>1.2</v>
      </c>
      <c r="AV374" t="s">
        <v>533</v>
      </c>
      <c r="AW374" t="s">
        <v>161</v>
      </c>
    </row>
    <row r="375" spans="1:49">
      <c r="A375" s="1">
        <f>HYPERLINK("https://lsnyc.legalserver.org/matter/dynamic-profile/view/1873077","18-1873077")</f>
        <v>0</v>
      </c>
      <c r="B375" t="s">
        <v>69</v>
      </c>
      <c r="C375" t="s">
        <v>341</v>
      </c>
      <c r="D375" t="s">
        <v>409</v>
      </c>
      <c r="E375" t="s">
        <v>517</v>
      </c>
      <c r="F375" t="s">
        <v>1165</v>
      </c>
      <c r="G375" t="s">
        <v>5349</v>
      </c>
      <c r="H375" t="s">
        <v>9966</v>
      </c>
      <c r="I375" t="s">
        <v>17272</v>
      </c>
      <c r="J375" t="s">
        <v>18892</v>
      </c>
      <c r="K375">
        <v>10469</v>
      </c>
      <c r="L375" t="s">
        <v>18958</v>
      </c>
      <c r="M375" t="s">
        <v>18958</v>
      </c>
      <c r="N375" t="s">
        <v>19237</v>
      </c>
      <c r="O375" t="s">
        <v>26523</v>
      </c>
      <c r="P375" t="s">
        <v>26564</v>
      </c>
      <c r="Q375" t="s">
        <v>26570</v>
      </c>
      <c r="R375" t="s">
        <v>26577</v>
      </c>
      <c r="U375" t="s">
        <v>26604</v>
      </c>
      <c r="W375" t="s">
        <v>409</v>
      </c>
      <c r="X375">
        <v>703</v>
      </c>
      <c r="Y375" t="s">
        <v>26650</v>
      </c>
      <c r="Z375" t="s">
        <v>26662</v>
      </c>
      <c r="AA375" t="s">
        <v>26683</v>
      </c>
      <c r="AB375" t="s">
        <v>27053</v>
      </c>
      <c r="AC375" t="s">
        <v>34597</v>
      </c>
      <c r="AD375" t="s">
        <v>37135</v>
      </c>
      <c r="AE375">
        <v>0</v>
      </c>
      <c r="AH375">
        <v>1</v>
      </c>
      <c r="AI375">
        <v>1</v>
      </c>
      <c r="AJ375">
        <v>0</v>
      </c>
      <c r="AK375">
        <v>128.5</v>
      </c>
      <c r="AO375">
        <v>15600</v>
      </c>
      <c r="AP375" t="s">
        <v>45627</v>
      </c>
      <c r="AU375">
        <v>2.25</v>
      </c>
      <c r="AV375" t="s">
        <v>410</v>
      </c>
      <c r="AW375" t="s">
        <v>46848</v>
      </c>
    </row>
    <row r="376" spans="1:49">
      <c r="A376" s="1">
        <f>HYPERLINK("https://lsnyc.legalserver.org/matter/dynamic-profile/view/1872722","18-1872722")</f>
        <v>0</v>
      </c>
      <c r="B376" t="s">
        <v>80</v>
      </c>
      <c r="C376" t="s">
        <v>341</v>
      </c>
      <c r="D376" t="s">
        <v>409</v>
      </c>
      <c r="E376" t="s">
        <v>666</v>
      </c>
      <c r="F376" t="s">
        <v>1005</v>
      </c>
      <c r="G376" t="s">
        <v>5121</v>
      </c>
      <c r="H376" t="s">
        <v>9967</v>
      </c>
      <c r="I376">
        <v>15</v>
      </c>
      <c r="J376" t="s">
        <v>18893</v>
      </c>
      <c r="K376">
        <v>10039</v>
      </c>
      <c r="L376" t="s">
        <v>18958</v>
      </c>
      <c r="M376" t="s">
        <v>18958</v>
      </c>
      <c r="N376" t="s">
        <v>19238</v>
      </c>
      <c r="O376" t="s">
        <v>26523</v>
      </c>
      <c r="P376" t="s">
        <v>26564</v>
      </c>
      <c r="Q376" t="s">
        <v>26570</v>
      </c>
      <c r="R376" t="s">
        <v>26582</v>
      </c>
      <c r="U376" t="s">
        <v>26604</v>
      </c>
      <c r="V376" t="s">
        <v>26610</v>
      </c>
      <c r="W376" t="s">
        <v>409</v>
      </c>
      <c r="X376">
        <v>2337.77</v>
      </c>
      <c r="Y376" t="s">
        <v>26651</v>
      </c>
      <c r="Z376" t="s">
        <v>26664</v>
      </c>
      <c r="AA376" t="s">
        <v>26683</v>
      </c>
      <c r="AB376" t="s">
        <v>27054</v>
      </c>
      <c r="AC376" t="s">
        <v>34598</v>
      </c>
      <c r="AD376" t="s">
        <v>37136</v>
      </c>
      <c r="AE376">
        <v>25</v>
      </c>
      <c r="AF376" t="s">
        <v>45547</v>
      </c>
      <c r="AG376" t="s">
        <v>19330</v>
      </c>
      <c r="AH376">
        <v>10</v>
      </c>
      <c r="AI376">
        <v>3</v>
      </c>
      <c r="AJ376">
        <v>0</v>
      </c>
      <c r="AK376">
        <v>209.51</v>
      </c>
      <c r="AO376">
        <v>43536</v>
      </c>
      <c r="AU376">
        <v>6.2</v>
      </c>
      <c r="AV376" t="s">
        <v>603</v>
      </c>
      <c r="AW376" t="s">
        <v>46845</v>
      </c>
    </row>
    <row r="377" spans="1:49">
      <c r="A377" s="1">
        <f>HYPERLINK("https://lsnyc.legalserver.org/matter/dynamic-profile/view/1872578","18-1872578")</f>
        <v>0</v>
      </c>
      <c r="B377" t="s">
        <v>80</v>
      </c>
      <c r="C377" t="s">
        <v>341</v>
      </c>
      <c r="D377" t="s">
        <v>409</v>
      </c>
      <c r="E377" t="s">
        <v>703</v>
      </c>
      <c r="F377" t="s">
        <v>1074</v>
      </c>
      <c r="G377" t="s">
        <v>1000</v>
      </c>
      <c r="H377" t="s">
        <v>9968</v>
      </c>
      <c r="I377" t="s">
        <v>17417</v>
      </c>
      <c r="J377" t="s">
        <v>18893</v>
      </c>
      <c r="K377">
        <v>10025</v>
      </c>
      <c r="L377" t="s">
        <v>18958</v>
      </c>
      <c r="M377" t="s">
        <v>18958</v>
      </c>
      <c r="N377" t="s">
        <v>19239</v>
      </c>
      <c r="O377" t="s">
        <v>26523</v>
      </c>
      <c r="P377" t="s">
        <v>26560</v>
      </c>
      <c r="Q377" t="s">
        <v>26568</v>
      </c>
      <c r="R377" t="s">
        <v>26580</v>
      </c>
      <c r="S377" t="s">
        <v>18959</v>
      </c>
      <c r="U377" t="s">
        <v>26604</v>
      </c>
      <c r="W377" t="s">
        <v>409</v>
      </c>
      <c r="X377">
        <v>1750</v>
      </c>
      <c r="Y377" t="s">
        <v>26651</v>
      </c>
      <c r="Z377" t="s">
        <v>26662</v>
      </c>
      <c r="AA377" t="s">
        <v>26678</v>
      </c>
      <c r="AB377" t="s">
        <v>27055</v>
      </c>
      <c r="AD377" t="s">
        <v>37137</v>
      </c>
      <c r="AE377">
        <v>16</v>
      </c>
      <c r="AF377" t="s">
        <v>45541</v>
      </c>
      <c r="AG377" t="s">
        <v>19330</v>
      </c>
      <c r="AH377">
        <v>20</v>
      </c>
      <c r="AI377">
        <v>1</v>
      </c>
      <c r="AJ377">
        <v>0</v>
      </c>
      <c r="AK377">
        <v>0</v>
      </c>
      <c r="AN377" t="s">
        <v>7439</v>
      </c>
      <c r="AO377">
        <v>0</v>
      </c>
      <c r="AS377" t="s">
        <v>46499</v>
      </c>
      <c r="AT377" t="s">
        <v>46521</v>
      </c>
      <c r="AU377">
        <v>0.1</v>
      </c>
      <c r="AV377" t="s">
        <v>531</v>
      </c>
      <c r="AW377" t="s">
        <v>314</v>
      </c>
    </row>
    <row r="378" spans="1:49">
      <c r="A378" s="1">
        <f>HYPERLINK("https://lsnyc.legalserver.org/matter/dynamic-profile/view/1872642","18-1872642")</f>
        <v>0</v>
      </c>
      <c r="B378" t="s">
        <v>80</v>
      </c>
      <c r="C378" t="s">
        <v>341</v>
      </c>
      <c r="D378" t="s">
        <v>409</v>
      </c>
      <c r="E378" t="s">
        <v>494</v>
      </c>
      <c r="F378" t="s">
        <v>1166</v>
      </c>
      <c r="G378" t="s">
        <v>5350</v>
      </c>
      <c r="H378" t="s">
        <v>9969</v>
      </c>
      <c r="I378" t="s">
        <v>17428</v>
      </c>
      <c r="J378" t="s">
        <v>18893</v>
      </c>
      <c r="K378">
        <v>10025</v>
      </c>
      <c r="L378" t="s">
        <v>18958</v>
      </c>
      <c r="M378" t="s">
        <v>18960</v>
      </c>
      <c r="N378" t="s">
        <v>19240</v>
      </c>
      <c r="O378" t="s">
        <v>26523</v>
      </c>
      <c r="P378" t="s">
        <v>26560</v>
      </c>
      <c r="Q378" t="s">
        <v>26568</v>
      </c>
      <c r="R378" t="s">
        <v>26580</v>
      </c>
      <c r="S378" t="s">
        <v>18959</v>
      </c>
      <c r="U378" t="s">
        <v>26605</v>
      </c>
      <c r="W378" t="s">
        <v>409</v>
      </c>
      <c r="X378">
        <v>938</v>
      </c>
      <c r="Y378" t="s">
        <v>26651</v>
      </c>
      <c r="Z378" t="s">
        <v>26662</v>
      </c>
      <c r="AA378" t="s">
        <v>26680</v>
      </c>
      <c r="AB378" t="s">
        <v>27056</v>
      </c>
      <c r="AD378" t="s">
        <v>37138</v>
      </c>
      <c r="AE378">
        <v>0</v>
      </c>
      <c r="AF378" t="s">
        <v>45542</v>
      </c>
      <c r="AG378" t="s">
        <v>19330</v>
      </c>
      <c r="AH378">
        <v>62</v>
      </c>
      <c r="AI378">
        <v>2</v>
      </c>
      <c r="AJ378">
        <v>0</v>
      </c>
      <c r="AK378">
        <v>113.22</v>
      </c>
      <c r="AO378">
        <v>18636</v>
      </c>
      <c r="AS378" t="s">
        <v>46499</v>
      </c>
      <c r="AT378" t="s">
        <v>46517</v>
      </c>
      <c r="AU378">
        <v>22.75</v>
      </c>
      <c r="AV378" t="s">
        <v>664</v>
      </c>
      <c r="AW378" t="s">
        <v>46845</v>
      </c>
    </row>
    <row r="379" spans="1:49">
      <c r="A379" s="1">
        <f>HYPERLINK("https://lsnyc.legalserver.org/matter/dynamic-profile/view/1872598","18-1872598")</f>
        <v>0</v>
      </c>
      <c r="B379" t="s">
        <v>165</v>
      </c>
      <c r="C379" t="s">
        <v>340</v>
      </c>
      <c r="D379" t="s">
        <v>409</v>
      </c>
      <c r="F379" t="s">
        <v>1167</v>
      </c>
      <c r="G379" t="s">
        <v>5351</v>
      </c>
      <c r="H379" t="s">
        <v>9970</v>
      </c>
      <c r="I379" t="s">
        <v>17342</v>
      </c>
      <c r="J379" t="s">
        <v>18893</v>
      </c>
      <c r="K379">
        <v>10027</v>
      </c>
      <c r="L379" t="s">
        <v>18958</v>
      </c>
      <c r="M379" t="s">
        <v>18958</v>
      </c>
      <c r="N379" t="s">
        <v>19241</v>
      </c>
      <c r="O379" t="s">
        <v>26523</v>
      </c>
      <c r="P379" t="s">
        <v>26560</v>
      </c>
      <c r="R379" t="s">
        <v>26580</v>
      </c>
      <c r="S379" t="s">
        <v>18959</v>
      </c>
      <c r="U379" t="s">
        <v>26604</v>
      </c>
      <c r="W379" t="s">
        <v>409</v>
      </c>
      <c r="X379">
        <v>906.26</v>
      </c>
      <c r="Y379" t="s">
        <v>26651</v>
      </c>
      <c r="Z379" t="s">
        <v>26662</v>
      </c>
      <c r="AB379" t="s">
        <v>27057</v>
      </c>
      <c r="AD379" t="s">
        <v>37139</v>
      </c>
      <c r="AE379">
        <v>3</v>
      </c>
      <c r="AF379" t="s">
        <v>45541</v>
      </c>
      <c r="AG379" t="s">
        <v>19330</v>
      </c>
      <c r="AH379">
        <v>31</v>
      </c>
      <c r="AI379">
        <v>1</v>
      </c>
      <c r="AJ379">
        <v>0</v>
      </c>
      <c r="AK379">
        <v>86.69</v>
      </c>
      <c r="AN379" t="s">
        <v>7439</v>
      </c>
      <c r="AO379">
        <v>10524</v>
      </c>
      <c r="AU379">
        <v>6.8</v>
      </c>
      <c r="AV379" t="s">
        <v>765</v>
      </c>
      <c r="AW379" t="s">
        <v>314</v>
      </c>
    </row>
    <row r="380" spans="1:49">
      <c r="A380" s="1">
        <f>HYPERLINK("https://lsnyc.legalserver.org/matter/dynamic-profile/view/1872851","18-1872851")</f>
        <v>0</v>
      </c>
      <c r="B380" t="s">
        <v>68</v>
      </c>
      <c r="C380" t="s">
        <v>340</v>
      </c>
      <c r="D380" t="s">
        <v>409</v>
      </c>
      <c r="F380" t="s">
        <v>1168</v>
      </c>
      <c r="G380" t="s">
        <v>5352</v>
      </c>
      <c r="H380" t="s">
        <v>9971</v>
      </c>
      <c r="I380" t="s">
        <v>17299</v>
      </c>
      <c r="J380" t="s">
        <v>18892</v>
      </c>
      <c r="K380">
        <v>10468</v>
      </c>
      <c r="L380" t="s">
        <v>18958</v>
      </c>
      <c r="M380" t="s">
        <v>18958</v>
      </c>
      <c r="N380" t="s">
        <v>19242</v>
      </c>
      <c r="O380" t="s">
        <v>26523</v>
      </c>
      <c r="P380" t="s">
        <v>26560</v>
      </c>
      <c r="R380" t="s">
        <v>26579</v>
      </c>
      <c r="S380" t="s">
        <v>18959</v>
      </c>
      <c r="U380" t="s">
        <v>26604</v>
      </c>
      <c r="V380" t="s">
        <v>26610</v>
      </c>
      <c r="W380" t="s">
        <v>409</v>
      </c>
      <c r="X380">
        <v>1089</v>
      </c>
      <c r="Y380" t="s">
        <v>26650</v>
      </c>
      <c r="Z380" t="s">
        <v>26662</v>
      </c>
      <c r="AB380" t="s">
        <v>27058</v>
      </c>
      <c r="AC380" t="s">
        <v>34599</v>
      </c>
      <c r="AD380" t="s">
        <v>37140</v>
      </c>
      <c r="AE380">
        <v>49</v>
      </c>
      <c r="AF380" t="s">
        <v>45541</v>
      </c>
      <c r="AG380" t="s">
        <v>19330</v>
      </c>
      <c r="AH380">
        <v>7</v>
      </c>
      <c r="AI380">
        <v>1</v>
      </c>
      <c r="AJ380">
        <v>1</v>
      </c>
      <c r="AK380">
        <v>103.28</v>
      </c>
      <c r="AN380" t="s">
        <v>7439</v>
      </c>
      <c r="AO380">
        <v>17000</v>
      </c>
      <c r="AP380" t="s">
        <v>45621</v>
      </c>
      <c r="AU380">
        <v>6.6</v>
      </c>
      <c r="AV380" t="s">
        <v>666</v>
      </c>
      <c r="AW380" t="s">
        <v>46848</v>
      </c>
    </row>
    <row r="381" spans="1:49">
      <c r="A381" s="1">
        <f>HYPERLINK("https://lsnyc.legalserver.org/matter/dynamic-profile/view/1873037","18-1873037")</f>
        <v>0</v>
      </c>
      <c r="B381" t="s">
        <v>64</v>
      </c>
      <c r="C381" t="s">
        <v>340</v>
      </c>
      <c r="D381" t="s">
        <v>409</v>
      </c>
      <c r="F381" t="s">
        <v>1169</v>
      </c>
      <c r="G381" t="s">
        <v>5353</v>
      </c>
      <c r="H381" t="s">
        <v>9972</v>
      </c>
      <c r="I381" t="s">
        <v>17361</v>
      </c>
      <c r="J381" t="s">
        <v>18892</v>
      </c>
      <c r="K381">
        <v>10468</v>
      </c>
      <c r="L381" t="s">
        <v>18958</v>
      </c>
      <c r="M381" t="s">
        <v>18958</v>
      </c>
      <c r="N381" t="s">
        <v>19243</v>
      </c>
      <c r="O381" t="s">
        <v>26523</v>
      </c>
      <c r="P381" t="s">
        <v>26560</v>
      </c>
      <c r="R381" t="s">
        <v>26579</v>
      </c>
      <c r="U381" t="s">
        <v>26604</v>
      </c>
      <c r="V381" t="s">
        <v>26610</v>
      </c>
      <c r="W381" t="s">
        <v>409</v>
      </c>
      <c r="X381">
        <v>1816.44</v>
      </c>
      <c r="Y381" t="s">
        <v>26650</v>
      </c>
      <c r="Z381" t="s">
        <v>26662</v>
      </c>
      <c r="AB381" t="s">
        <v>27059</v>
      </c>
      <c r="AD381" t="s">
        <v>37141</v>
      </c>
      <c r="AE381">
        <v>0</v>
      </c>
      <c r="AF381" t="s">
        <v>45541</v>
      </c>
      <c r="AG381" t="s">
        <v>19330</v>
      </c>
      <c r="AH381">
        <v>4</v>
      </c>
      <c r="AI381">
        <v>4</v>
      </c>
      <c r="AJ381">
        <v>0</v>
      </c>
      <c r="AK381">
        <v>188.37</v>
      </c>
      <c r="AO381">
        <v>47280</v>
      </c>
      <c r="AP381" t="s">
        <v>45621</v>
      </c>
      <c r="AU381">
        <v>31.7</v>
      </c>
      <c r="AV381" t="s">
        <v>826</v>
      </c>
      <c r="AW381" t="s">
        <v>334</v>
      </c>
    </row>
    <row r="382" spans="1:49">
      <c r="A382" s="1">
        <f>HYPERLINK("https://lsnyc.legalserver.org/matter/dynamic-profile/view/1872707","18-1872707")</f>
        <v>0</v>
      </c>
      <c r="B382" t="s">
        <v>142</v>
      </c>
      <c r="C382" t="s">
        <v>340</v>
      </c>
      <c r="D382" t="s">
        <v>409</v>
      </c>
      <c r="F382" t="s">
        <v>1170</v>
      </c>
      <c r="G382" t="s">
        <v>1995</v>
      </c>
      <c r="H382" t="s">
        <v>9973</v>
      </c>
      <c r="I382" t="s">
        <v>17387</v>
      </c>
      <c r="J382" t="s">
        <v>18901</v>
      </c>
      <c r="K382">
        <v>11433</v>
      </c>
      <c r="L382" t="s">
        <v>18958</v>
      </c>
      <c r="M382" t="s">
        <v>18958</v>
      </c>
      <c r="N382" t="s">
        <v>19244</v>
      </c>
      <c r="O382" t="s">
        <v>26524</v>
      </c>
      <c r="P382" t="s">
        <v>26560</v>
      </c>
      <c r="R382" t="s">
        <v>26585</v>
      </c>
      <c r="S382" t="s">
        <v>18959</v>
      </c>
      <c r="U382" t="s">
        <v>26604</v>
      </c>
      <c r="V382" t="s">
        <v>26610</v>
      </c>
      <c r="W382" t="s">
        <v>409</v>
      </c>
      <c r="X382">
        <v>535</v>
      </c>
      <c r="Y382" t="s">
        <v>26653</v>
      </c>
      <c r="Z382" t="s">
        <v>26656</v>
      </c>
      <c r="AB382" t="s">
        <v>27060</v>
      </c>
      <c r="AD382" t="s">
        <v>37142</v>
      </c>
      <c r="AE382">
        <v>4</v>
      </c>
      <c r="AF382" t="s">
        <v>45547</v>
      </c>
      <c r="AG382" t="s">
        <v>19330</v>
      </c>
      <c r="AH382">
        <v>3</v>
      </c>
      <c r="AI382">
        <v>1</v>
      </c>
      <c r="AJ382">
        <v>1</v>
      </c>
      <c r="AK382">
        <v>29.16</v>
      </c>
      <c r="AM382" t="s">
        <v>45579</v>
      </c>
      <c r="AN382" t="s">
        <v>7439</v>
      </c>
      <c r="AO382">
        <v>4800</v>
      </c>
      <c r="AU382">
        <v>24.5</v>
      </c>
      <c r="AV382" t="s">
        <v>785</v>
      </c>
      <c r="AW382" t="s">
        <v>112</v>
      </c>
    </row>
    <row r="383" spans="1:49">
      <c r="A383" s="1">
        <f>HYPERLINK("https://lsnyc.legalserver.org/matter/dynamic-profile/view/1872640","18-1872640")</f>
        <v>0</v>
      </c>
      <c r="B383" t="s">
        <v>114</v>
      </c>
      <c r="C383" t="s">
        <v>340</v>
      </c>
      <c r="D383" t="s">
        <v>409</v>
      </c>
      <c r="F383" t="s">
        <v>1171</v>
      </c>
      <c r="G383" t="s">
        <v>5266</v>
      </c>
      <c r="H383" t="s">
        <v>9974</v>
      </c>
      <c r="I383" t="s">
        <v>17429</v>
      </c>
      <c r="J383" t="s">
        <v>18905</v>
      </c>
      <c r="K383">
        <v>11692</v>
      </c>
      <c r="L383" t="s">
        <v>18958</v>
      </c>
      <c r="M383" t="s">
        <v>18958</v>
      </c>
      <c r="N383" t="s">
        <v>19245</v>
      </c>
      <c r="O383" t="s">
        <v>26524</v>
      </c>
      <c r="P383" t="s">
        <v>26563</v>
      </c>
      <c r="R383" t="s">
        <v>26578</v>
      </c>
      <c r="S383" t="s">
        <v>18959</v>
      </c>
      <c r="U383" t="s">
        <v>26604</v>
      </c>
      <c r="V383" t="s">
        <v>26610</v>
      </c>
      <c r="W383" t="s">
        <v>409</v>
      </c>
      <c r="X383">
        <v>791</v>
      </c>
      <c r="Y383" t="s">
        <v>26653</v>
      </c>
      <c r="Z383" t="s">
        <v>26664</v>
      </c>
      <c r="AB383" t="s">
        <v>27061</v>
      </c>
      <c r="AC383" t="s">
        <v>34600</v>
      </c>
      <c r="AD383" t="s">
        <v>37143</v>
      </c>
      <c r="AE383">
        <v>2</v>
      </c>
      <c r="AF383" t="s">
        <v>45547</v>
      </c>
      <c r="AG383" t="s">
        <v>19330</v>
      </c>
      <c r="AH383">
        <v>8</v>
      </c>
      <c r="AI383">
        <v>1</v>
      </c>
      <c r="AJ383">
        <v>3</v>
      </c>
      <c r="AK383">
        <v>36</v>
      </c>
      <c r="AN383" t="s">
        <v>7439</v>
      </c>
      <c r="AO383">
        <v>9036</v>
      </c>
      <c r="AQ383" t="s">
        <v>46359</v>
      </c>
      <c r="AR383" t="s">
        <v>46379</v>
      </c>
      <c r="AS383" t="s">
        <v>46499</v>
      </c>
      <c r="AT383" t="s">
        <v>46608</v>
      </c>
      <c r="AU383">
        <v>2.15</v>
      </c>
      <c r="AV383" t="s">
        <v>505</v>
      </c>
      <c r="AW383" t="s">
        <v>161</v>
      </c>
    </row>
    <row r="384" spans="1:49">
      <c r="A384" s="1">
        <f>HYPERLINK("https://lsnyc.legalserver.org/matter/dynamic-profile/view/1872617","18-1872617")</f>
        <v>0</v>
      </c>
      <c r="B384" t="s">
        <v>114</v>
      </c>
      <c r="C384" t="s">
        <v>340</v>
      </c>
      <c r="D384" t="s">
        <v>409</v>
      </c>
      <c r="F384" t="s">
        <v>1172</v>
      </c>
      <c r="G384" t="s">
        <v>5354</v>
      </c>
      <c r="H384" t="s">
        <v>9975</v>
      </c>
      <c r="I384" t="s">
        <v>17430</v>
      </c>
      <c r="J384" t="s">
        <v>18901</v>
      </c>
      <c r="K384">
        <v>11432</v>
      </c>
      <c r="L384" t="s">
        <v>18958</v>
      </c>
      <c r="M384" t="s">
        <v>18958</v>
      </c>
      <c r="N384" t="s">
        <v>19246</v>
      </c>
      <c r="O384" t="s">
        <v>26524</v>
      </c>
      <c r="P384" t="s">
        <v>26564</v>
      </c>
      <c r="R384" t="s">
        <v>26584</v>
      </c>
      <c r="S384" t="s">
        <v>18959</v>
      </c>
      <c r="U384" t="s">
        <v>26604</v>
      </c>
      <c r="W384" t="s">
        <v>409</v>
      </c>
      <c r="X384">
        <v>1600</v>
      </c>
      <c r="Y384" t="s">
        <v>26653</v>
      </c>
      <c r="Z384" t="s">
        <v>26664</v>
      </c>
      <c r="AB384" t="s">
        <v>27062</v>
      </c>
      <c r="AC384" t="s">
        <v>19330</v>
      </c>
      <c r="AD384" t="s">
        <v>34738</v>
      </c>
      <c r="AE384">
        <v>2</v>
      </c>
      <c r="AF384" t="s">
        <v>45547</v>
      </c>
      <c r="AG384" t="s">
        <v>19330</v>
      </c>
      <c r="AH384">
        <v>2</v>
      </c>
      <c r="AI384">
        <v>2</v>
      </c>
      <c r="AJ384">
        <v>2</v>
      </c>
      <c r="AK384">
        <v>33.47</v>
      </c>
      <c r="AN384" t="s">
        <v>45581</v>
      </c>
      <c r="AO384">
        <v>8400</v>
      </c>
      <c r="AU384">
        <v>0.55</v>
      </c>
      <c r="AV384" t="s">
        <v>436</v>
      </c>
      <c r="AW384" t="s">
        <v>161</v>
      </c>
    </row>
    <row r="385" spans="1:50">
      <c r="A385" s="1">
        <f>HYPERLINK("https://lsnyc.legalserver.org/matter/dynamic-profile/view/1872634","18-1872634")</f>
        <v>0</v>
      </c>
      <c r="B385" t="s">
        <v>62</v>
      </c>
      <c r="C385" t="s">
        <v>340</v>
      </c>
      <c r="D385" t="s">
        <v>409</v>
      </c>
      <c r="F385" t="s">
        <v>1173</v>
      </c>
      <c r="G385" t="s">
        <v>1339</v>
      </c>
      <c r="H385" t="s">
        <v>9976</v>
      </c>
      <c r="I385" t="s">
        <v>17299</v>
      </c>
      <c r="J385" t="s">
        <v>18893</v>
      </c>
      <c r="K385">
        <v>10026</v>
      </c>
      <c r="L385" t="s">
        <v>18958</v>
      </c>
      <c r="M385" t="s">
        <v>18960</v>
      </c>
      <c r="N385" t="s">
        <v>19247</v>
      </c>
      <c r="O385" t="s">
        <v>26523</v>
      </c>
      <c r="P385" t="s">
        <v>26560</v>
      </c>
      <c r="R385" t="s">
        <v>26580</v>
      </c>
      <c r="S385" t="s">
        <v>18959</v>
      </c>
      <c r="U385" t="s">
        <v>26604</v>
      </c>
      <c r="W385" t="s">
        <v>409</v>
      </c>
      <c r="X385">
        <v>1753.99</v>
      </c>
      <c r="Y385" t="s">
        <v>26651</v>
      </c>
      <c r="Z385" t="s">
        <v>26662</v>
      </c>
      <c r="AB385" t="s">
        <v>27063</v>
      </c>
      <c r="AD385" t="s">
        <v>37144</v>
      </c>
      <c r="AE385">
        <v>0</v>
      </c>
      <c r="AF385" t="s">
        <v>45541</v>
      </c>
      <c r="AG385" t="s">
        <v>19330</v>
      </c>
      <c r="AH385">
        <v>16</v>
      </c>
      <c r="AI385">
        <v>1</v>
      </c>
      <c r="AJ385">
        <v>0</v>
      </c>
      <c r="AK385">
        <v>189.46</v>
      </c>
      <c r="AN385" t="s">
        <v>7439</v>
      </c>
      <c r="AO385">
        <v>23000</v>
      </c>
      <c r="AU385">
        <v>4</v>
      </c>
      <c r="AV385" t="s">
        <v>505</v>
      </c>
      <c r="AW385" t="s">
        <v>314</v>
      </c>
    </row>
    <row r="386" spans="1:50">
      <c r="A386" s="1">
        <f>HYPERLINK("https://lsnyc.legalserver.org/matter/dynamic-profile/view/1872583","18-1872583")</f>
        <v>0</v>
      </c>
      <c r="B386" t="s">
        <v>168</v>
      </c>
      <c r="C386" t="s">
        <v>340</v>
      </c>
      <c r="D386" t="s">
        <v>409</v>
      </c>
      <c r="F386" t="s">
        <v>1174</v>
      </c>
      <c r="G386" t="s">
        <v>5355</v>
      </c>
      <c r="H386" t="s">
        <v>9977</v>
      </c>
      <c r="I386" t="s">
        <v>17315</v>
      </c>
      <c r="J386" t="s">
        <v>18893</v>
      </c>
      <c r="K386">
        <v>10032</v>
      </c>
      <c r="L386" t="s">
        <v>18958</v>
      </c>
      <c r="M386" t="s">
        <v>18958</v>
      </c>
      <c r="O386" t="s">
        <v>26531</v>
      </c>
      <c r="P386" t="s">
        <v>26562</v>
      </c>
      <c r="R386" t="s">
        <v>26578</v>
      </c>
      <c r="S386" t="s">
        <v>18959</v>
      </c>
      <c r="U386" t="s">
        <v>26604</v>
      </c>
      <c r="W386" t="s">
        <v>409</v>
      </c>
      <c r="X386">
        <v>490.42</v>
      </c>
      <c r="Y386" t="s">
        <v>26651</v>
      </c>
      <c r="Z386" t="s">
        <v>26661</v>
      </c>
      <c r="AB386" t="s">
        <v>27064</v>
      </c>
      <c r="AD386" t="s">
        <v>37145</v>
      </c>
      <c r="AE386">
        <v>0</v>
      </c>
      <c r="AF386" t="s">
        <v>45541</v>
      </c>
      <c r="AG386" t="s">
        <v>19330</v>
      </c>
      <c r="AH386">
        <v>50</v>
      </c>
      <c r="AI386">
        <v>1</v>
      </c>
      <c r="AJ386">
        <v>0</v>
      </c>
      <c r="AK386">
        <v>82.37</v>
      </c>
      <c r="AN386" t="s">
        <v>7439</v>
      </c>
      <c r="AO386">
        <v>10000</v>
      </c>
      <c r="AU386">
        <v>15</v>
      </c>
      <c r="AV386" t="s">
        <v>806</v>
      </c>
      <c r="AW386" t="s">
        <v>46840</v>
      </c>
    </row>
    <row r="387" spans="1:50">
      <c r="A387" s="1">
        <f>HYPERLINK("https://lsnyc.legalserver.org/matter/dynamic-profile/view/1872770","18-1872770")</f>
        <v>0</v>
      </c>
      <c r="B387" t="s">
        <v>169</v>
      </c>
      <c r="C387" t="s">
        <v>341</v>
      </c>
      <c r="D387" t="s">
        <v>449</v>
      </c>
      <c r="E387" t="s">
        <v>533</v>
      </c>
      <c r="F387" t="s">
        <v>916</v>
      </c>
      <c r="G387" t="s">
        <v>2975</v>
      </c>
      <c r="H387" t="s">
        <v>9978</v>
      </c>
      <c r="I387" t="s">
        <v>17312</v>
      </c>
      <c r="J387" t="s">
        <v>18892</v>
      </c>
      <c r="K387">
        <v>10468</v>
      </c>
      <c r="L387" t="s">
        <v>18958</v>
      </c>
      <c r="M387" t="s">
        <v>18958</v>
      </c>
      <c r="N387" t="s">
        <v>19248</v>
      </c>
      <c r="O387" t="s">
        <v>26523</v>
      </c>
      <c r="P387" t="s">
        <v>26560</v>
      </c>
      <c r="Q387" t="s">
        <v>26568</v>
      </c>
      <c r="R387" t="s">
        <v>26579</v>
      </c>
      <c r="S387" t="s">
        <v>18959</v>
      </c>
      <c r="U387" t="s">
        <v>26604</v>
      </c>
      <c r="V387" t="s">
        <v>26610</v>
      </c>
      <c r="W387" t="s">
        <v>409</v>
      </c>
      <c r="X387">
        <v>834.5</v>
      </c>
      <c r="Y387" t="s">
        <v>26650</v>
      </c>
      <c r="Z387" t="s">
        <v>26664</v>
      </c>
      <c r="AA387" t="s">
        <v>26678</v>
      </c>
      <c r="AB387" t="s">
        <v>27065</v>
      </c>
      <c r="AD387" t="s">
        <v>37146</v>
      </c>
      <c r="AE387">
        <v>0</v>
      </c>
      <c r="AF387" t="s">
        <v>45541</v>
      </c>
      <c r="AG387" t="s">
        <v>19330</v>
      </c>
      <c r="AH387">
        <v>23</v>
      </c>
      <c r="AI387">
        <v>1</v>
      </c>
      <c r="AJ387">
        <v>0</v>
      </c>
      <c r="AK387">
        <v>19.6</v>
      </c>
      <c r="AN387" t="s">
        <v>7439</v>
      </c>
      <c r="AO387">
        <v>2379</v>
      </c>
      <c r="AR387" t="s">
        <v>46383</v>
      </c>
      <c r="AS387" t="s">
        <v>46499</v>
      </c>
      <c r="AT387" t="s">
        <v>46564</v>
      </c>
      <c r="AU387">
        <v>2.1</v>
      </c>
      <c r="AV387" t="s">
        <v>505</v>
      </c>
      <c r="AW387" t="s">
        <v>46837</v>
      </c>
    </row>
    <row r="388" spans="1:50">
      <c r="A388" s="1">
        <f>HYPERLINK("https://lsnyc.legalserver.org/matter/dynamic-profile/view/1872601","18-1872601")</f>
        <v>0</v>
      </c>
      <c r="B388" t="s">
        <v>114</v>
      </c>
      <c r="C388" t="s">
        <v>340</v>
      </c>
      <c r="D388" t="s">
        <v>449</v>
      </c>
      <c r="F388" t="s">
        <v>1175</v>
      </c>
      <c r="G388" t="s">
        <v>5356</v>
      </c>
      <c r="H388" t="s">
        <v>9979</v>
      </c>
      <c r="I388" t="s">
        <v>17431</v>
      </c>
      <c r="J388" t="s">
        <v>18910</v>
      </c>
      <c r="K388">
        <v>11420</v>
      </c>
      <c r="L388" t="s">
        <v>18958</v>
      </c>
      <c r="M388" t="s">
        <v>18958</v>
      </c>
      <c r="N388" t="s">
        <v>19249</v>
      </c>
      <c r="O388" t="s">
        <v>26524</v>
      </c>
      <c r="P388" t="s">
        <v>26560</v>
      </c>
      <c r="R388" t="s">
        <v>26578</v>
      </c>
      <c r="S388" t="s">
        <v>18959</v>
      </c>
      <c r="U388" t="s">
        <v>26604</v>
      </c>
      <c r="V388" t="s">
        <v>26610</v>
      </c>
      <c r="W388" t="s">
        <v>409</v>
      </c>
      <c r="X388">
        <v>800</v>
      </c>
      <c r="Y388" t="s">
        <v>26653</v>
      </c>
      <c r="Z388" t="s">
        <v>26664</v>
      </c>
      <c r="AB388" t="s">
        <v>27066</v>
      </c>
      <c r="AC388" t="s">
        <v>34601</v>
      </c>
      <c r="AD388" t="s">
        <v>37147</v>
      </c>
      <c r="AE388">
        <v>2</v>
      </c>
      <c r="AF388" t="s">
        <v>45547</v>
      </c>
      <c r="AG388" t="s">
        <v>19330</v>
      </c>
      <c r="AH388">
        <v>2</v>
      </c>
      <c r="AI388">
        <v>1</v>
      </c>
      <c r="AJ388">
        <v>0</v>
      </c>
      <c r="AK388">
        <v>74.14</v>
      </c>
      <c r="AN388" t="s">
        <v>45581</v>
      </c>
      <c r="AO388">
        <v>9000</v>
      </c>
      <c r="AQ388" t="s">
        <v>46359</v>
      </c>
      <c r="AR388" t="s">
        <v>26530</v>
      </c>
      <c r="AS388" t="s">
        <v>46500</v>
      </c>
      <c r="AT388" t="s">
        <v>46543</v>
      </c>
      <c r="AU388">
        <v>21.95</v>
      </c>
      <c r="AV388" t="s">
        <v>780</v>
      </c>
      <c r="AW388" t="s">
        <v>161</v>
      </c>
    </row>
    <row r="389" spans="1:50">
      <c r="A389" s="1">
        <f>HYPERLINK("https://lsnyc.legalserver.org/matter/dynamic-profile/view/1872935","18-1872935")</f>
        <v>0</v>
      </c>
      <c r="B389" t="s">
        <v>111</v>
      </c>
      <c r="C389" t="s">
        <v>341</v>
      </c>
      <c r="D389" t="s">
        <v>436</v>
      </c>
      <c r="E389" t="s">
        <v>662</v>
      </c>
      <c r="F389" t="s">
        <v>1021</v>
      </c>
      <c r="G389" t="s">
        <v>2581</v>
      </c>
      <c r="H389" t="s">
        <v>9963</v>
      </c>
      <c r="J389" t="s">
        <v>18901</v>
      </c>
      <c r="K389">
        <v>11434</v>
      </c>
      <c r="L389" t="s">
        <v>18958</v>
      </c>
      <c r="M389" t="s">
        <v>18958</v>
      </c>
      <c r="N389" t="s">
        <v>19244</v>
      </c>
      <c r="O389" t="s">
        <v>26524</v>
      </c>
      <c r="P389" t="s">
        <v>26564</v>
      </c>
      <c r="Q389" t="s">
        <v>26570</v>
      </c>
      <c r="R389" t="s">
        <v>26585</v>
      </c>
      <c r="S389" t="s">
        <v>18959</v>
      </c>
      <c r="U389" t="s">
        <v>26604</v>
      </c>
      <c r="V389" t="s">
        <v>26610</v>
      </c>
      <c r="W389" t="s">
        <v>409</v>
      </c>
      <c r="X389">
        <v>500</v>
      </c>
      <c r="Y389" t="s">
        <v>26653</v>
      </c>
      <c r="Z389" t="s">
        <v>26664</v>
      </c>
      <c r="AA389" t="s">
        <v>26683</v>
      </c>
      <c r="AB389" t="s">
        <v>27067</v>
      </c>
      <c r="AD389" t="s">
        <v>37148</v>
      </c>
      <c r="AE389">
        <v>1</v>
      </c>
      <c r="AF389" t="s">
        <v>45547</v>
      </c>
      <c r="AG389" t="s">
        <v>19330</v>
      </c>
      <c r="AH389">
        <v>4</v>
      </c>
      <c r="AI389">
        <v>2</v>
      </c>
      <c r="AJ389">
        <v>1</v>
      </c>
      <c r="AK389">
        <v>86.62</v>
      </c>
      <c r="AN389" t="s">
        <v>7439</v>
      </c>
      <c r="AO389">
        <v>18000</v>
      </c>
      <c r="AU389">
        <v>1</v>
      </c>
      <c r="AV389" t="s">
        <v>409</v>
      </c>
      <c r="AW389" t="s">
        <v>161</v>
      </c>
    </row>
    <row r="390" spans="1:50">
      <c r="A390" s="1">
        <f>HYPERLINK("https://lsnyc.legalserver.org/matter/dynamic-profile/view/1878577","18-1878577")</f>
        <v>0</v>
      </c>
      <c r="B390" t="s">
        <v>118</v>
      </c>
      <c r="C390" t="s">
        <v>341</v>
      </c>
      <c r="D390" t="s">
        <v>451</v>
      </c>
      <c r="E390" t="s">
        <v>416</v>
      </c>
      <c r="F390" t="s">
        <v>916</v>
      </c>
      <c r="G390" t="s">
        <v>5357</v>
      </c>
      <c r="H390" t="s">
        <v>9980</v>
      </c>
      <c r="I390" t="s">
        <v>17432</v>
      </c>
      <c r="J390" t="s">
        <v>18893</v>
      </c>
      <c r="K390">
        <v>10038</v>
      </c>
      <c r="L390" t="s">
        <v>18958</v>
      </c>
      <c r="M390" t="s">
        <v>18958</v>
      </c>
      <c r="N390" t="s">
        <v>19250</v>
      </c>
      <c r="O390" t="s">
        <v>26524</v>
      </c>
      <c r="P390" t="s">
        <v>26560</v>
      </c>
      <c r="Q390" t="s">
        <v>26568</v>
      </c>
      <c r="R390" t="s">
        <v>26582</v>
      </c>
      <c r="S390" t="s">
        <v>18959</v>
      </c>
      <c r="U390" t="s">
        <v>26605</v>
      </c>
      <c r="V390" t="s">
        <v>26610</v>
      </c>
      <c r="W390" t="s">
        <v>409</v>
      </c>
      <c r="X390">
        <v>213</v>
      </c>
      <c r="Y390" t="s">
        <v>26651</v>
      </c>
      <c r="Z390" t="s">
        <v>26667</v>
      </c>
      <c r="AA390" t="s">
        <v>26680</v>
      </c>
      <c r="AB390" t="s">
        <v>27068</v>
      </c>
      <c r="AD390" t="s">
        <v>37149</v>
      </c>
      <c r="AE390">
        <v>0</v>
      </c>
      <c r="AF390" t="s">
        <v>45542</v>
      </c>
      <c r="AG390" t="s">
        <v>19330</v>
      </c>
      <c r="AH390">
        <v>44</v>
      </c>
      <c r="AI390">
        <v>3</v>
      </c>
      <c r="AJ390">
        <v>0</v>
      </c>
      <c r="AK390">
        <v>43.31</v>
      </c>
      <c r="AN390" t="s">
        <v>45581</v>
      </c>
      <c r="AO390">
        <v>9000</v>
      </c>
      <c r="AS390" t="s">
        <v>46499</v>
      </c>
      <c r="AT390" t="s">
        <v>46609</v>
      </c>
      <c r="AU390">
        <v>13.25</v>
      </c>
      <c r="AV390" t="s">
        <v>727</v>
      </c>
      <c r="AW390" t="s">
        <v>46835</v>
      </c>
    </row>
    <row r="391" spans="1:50">
      <c r="A391" s="1">
        <f>HYPERLINK("https://lsnyc.legalserver.org/matter/dynamic-profile/view/1885352","18-1885352")</f>
        <v>0</v>
      </c>
      <c r="B391" t="s">
        <v>118</v>
      </c>
      <c r="C391" t="s">
        <v>341</v>
      </c>
      <c r="D391" t="s">
        <v>452</v>
      </c>
      <c r="E391" t="s">
        <v>689</v>
      </c>
      <c r="F391" t="s">
        <v>1106</v>
      </c>
      <c r="G391" t="s">
        <v>5358</v>
      </c>
      <c r="H391" t="s">
        <v>9981</v>
      </c>
      <c r="I391" t="s">
        <v>17327</v>
      </c>
      <c r="J391" t="s">
        <v>18893</v>
      </c>
      <c r="K391">
        <v>10002</v>
      </c>
      <c r="L391" t="s">
        <v>18958</v>
      </c>
      <c r="M391" t="s">
        <v>18958</v>
      </c>
      <c r="O391" t="s">
        <v>18997</v>
      </c>
      <c r="P391" t="s">
        <v>26564</v>
      </c>
      <c r="Q391" t="s">
        <v>26570</v>
      </c>
      <c r="R391" t="s">
        <v>26578</v>
      </c>
      <c r="S391" t="s">
        <v>18959</v>
      </c>
      <c r="T391" t="s">
        <v>26599</v>
      </c>
      <c r="U391" t="s">
        <v>26604</v>
      </c>
      <c r="V391" t="s">
        <v>26610</v>
      </c>
      <c r="W391" t="s">
        <v>409</v>
      </c>
      <c r="X391">
        <v>680</v>
      </c>
      <c r="Y391" t="s">
        <v>26651</v>
      </c>
      <c r="Z391" t="s">
        <v>26667</v>
      </c>
      <c r="AA391" t="s">
        <v>26683</v>
      </c>
      <c r="AB391" t="s">
        <v>27069</v>
      </c>
      <c r="AD391" t="s">
        <v>37150</v>
      </c>
      <c r="AE391">
        <v>124</v>
      </c>
      <c r="AF391" t="s">
        <v>45550</v>
      </c>
      <c r="AG391" t="s">
        <v>19330</v>
      </c>
      <c r="AH391">
        <v>1</v>
      </c>
      <c r="AI391">
        <v>1</v>
      </c>
      <c r="AJ391">
        <v>0</v>
      </c>
      <c r="AK391">
        <v>230.64</v>
      </c>
      <c r="AN391" t="s">
        <v>7439</v>
      </c>
      <c r="AO391">
        <v>28000</v>
      </c>
      <c r="AU391">
        <v>1</v>
      </c>
      <c r="AV391" t="s">
        <v>452</v>
      </c>
      <c r="AW391" t="s">
        <v>46835</v>
      </c>
    </row>
    <row r="392" spans="1:50">
      <c r="A392" s="1">
        <f>HYPERLINK("https://lsnyc.legalserver.org/matter/dynamic-profile/view/1837097","17-1837097")</f>
        <v>0</v>
      </c>
      <c r="B392" t="s">
        <v>131</v>
      </c>
      <c r="C392" t="s">
        <v>341</v>
      </c>
      <c r="D392" t="s">
        <v>363</v>
      </c>
      <c r="E392" t="s">
        <v>449</v>
      </c>
      <c r="F392" t="s">
        <v>1176</v>
      </c>
      <c r="G392" t="s">
        <v>5359</v>
      </c>
      <c r="H392" t="s">
        <v>9982</v>
      </c>
      <c r="I392">
        <v>1</v>
      </c>
      <c r="J392" t="s">
        <v>18902</v>
      </c>
      <c r="K392">
        <v>10303</v>
      </c>
      <c r="L392" t="s">
        <v>18958</v>
      </c>
      <c r="M392" t="s">
        <v>18958</v>
      </c>
      <c r="N392" t="s">
        <v>19251</v>
      </c>
      <c r="O392" t="s">
        <v>26524</v>
      </c>
      <c r="P392" t="s">
        <v>26560</v>
      </c>
      <c r="Q392" t="s">
        <v>26568</v>
      </c>
      <c r="R392" t="s">
        <v>26590</v>
      </c>
      <c r="S392" t="s">
        <v>18959</v>
      </c>
      <c r="U392" t="s">
        <v>26604</v>
      </c>
      <c r="V392" t="s">
        <v>26610</v>
      </c>
      <c r="W392" t="s">
        <v>449</v>
      </c>
      <c r="X392">
        <v>1866</v>
      </c>
      <c r="Y392" t="s">
        <v>26654</v>
      </c>
      <c r="Z392" t="s">
        <v>26659</v>
      </c>
      <c r="AA392" t="s">
        <v>26679</v>
      </c>
      <c r="AB392" t="s">
        <v>27070</v>
      </c>
      <c r="AD392" t="s">
        <v>37151</v>
      </c>
      <c r="AE392">
        <v>2</v>
      </c>
      <c r="AF392" t="s">
        <v>45547</v>
      </c>
      <c r="AG392" t="s">
        <v>45556</v>
      </c>
      <c r="AH392">
        <v>3</v>
      </c>
      <c r="AI392">
        <v>2</v>
      </c>
      <c r="AJ392">
        <v>3</v>
      </c>
      <c r="AK392">
        <v>69.3</v>
      </c>
      <c r="AN392" t="s">
        <v>7439</v>
      </c>
      <c r="AO392">
        <v>19944</v>
      </c>
      <c r="AR392" t="s">
        <v>46409</v>
      </c>
      <c r="AS392" t="s">
        <v>46500</v>
      </c>
      <c r="AT392" t="s">
        <v>46588</v>
      </c>
      <c r="AU392">
        <v>4.9</v>
      </c>
      <c r="AV392" t="s">
        <v>449</v>
      </c>
      <c r="AW392" t="s">
        <v>46852</v>
      </c>
    </row>
    <row r="393" spans="1:50">
      <c r="A393" s="1">
        <f>HYPERLINK("https://lsnyc.legalserver.org/matter/dynamic-profile/view/1841169","17-1841169")</f>
        <v>0</v>
      </c>
      <c r="B393" t="s">
        <v>82</v>
      </c>
      <c r="C393" t="s">
        <v>340</v>
      </c>
      <c r="D393" t="s">
        <v>453</v>
      </c>
      <c r="F393" t="s">
        <v>1177</v>
      </c>
      <c r="G393" t="s">
        <v>5360</v>
      </c>
      <c r="H393" t="s">
        <v>9983</v>
      </c>
      <c r="I393">
        <v>1</v>
      </c>
      <c r="J393" t="s">
        <v>18892</v>
      </c>
      <c r="K393">
        <v>10456</v>
      </c>
      <c r="L393" t="s">
        <v>18958</v>
      </c>
      <c r="M393" t="s">
        <v>18960</v>
      </c>
      <c r="N393" t="s">
        <v>19252</v>
      </c>
      <c r="O393" t="s">
        <v>26524</v>
      </c>
      <c r="P393" t="s">
        <v>26560</v>
      </c>
      <c r="R393" t="s">
        <v>26577</v>
      </c>
      <c r="S393" t="s">
        <v>18959</v>
      </c>
      <c r="U393" t="s">
        <v>26604</v>
      </c>
      <c r="V393" t="s">
        <v>26610</v>
      </c>
      <c r="W393" t="s">
        <v>449</v>
      </c>
      <c r="X393">
        <v>1050</v>
      </c>
      <c r="Y393" t="s">
        <v>26650</v>
      </c>
      <c r="Z393" t="s">
        <v>26661</v>
      </c>
      <c r="AB393" t="s">
        <v>27071</v>
      </c>
      <c r="AC393" t="s">
        <v>34602</v>
      </c>
      <c r="AD393" t="s">
        <v>37152</v>
      </c>
      <c r="AE393">
        <v>3</v>
      </c>
      <c r="AF393" t="s">
        <v>45541</v>
      </c>
      <c r="AG393" t="s">
        <v>45557</v>
      </c>
      <c r="AH393">
        <v>4</v>
      </c>
      <c r="AI393">
        <v>1</v>
      </c>
      <c r="AJ393">
        <v>3</v>
      </c>
      <c r="AK393">
        <v>36.59</v>
      </c>
      <c r="AN393" t="s">
        <v>45581</v>
      </c>
      <c r="AO393">
        <v>9000</v>
      </c>
      <c r="AP393" t="s">
        <v>45617</v>
      </c>
      <c r="AU393">
        <v>28.05</v>
      </c>
      <c r="AV393" t="s">
        <v>637</v>
      </c>
      <c r="AW393" t="s">
        <v>46836</v>
      </c>
    </row>
    <row r="394" spans="1:50">
      <c r="A394" s="1">
        <f>HYPERLINK("https://lsnyc.legalserver.org/matter/dynamic-profile/view/1869271","18-1869271")</f>
        <v>0</v>
      </c>
      <c r="B394" t="s">
        <v>77</v>
      </c>
      <c r="C394" t="s">
        <v>341</v>
      </c>
      <c r="D394" t="s">
        <v>396</v>
      </c>
      <c r="E394" t="s">
        <v>505</v>
      </c>
      <c r="F394" t="s">
        <v>1178</v>
      </c>
      <c r="G394" t="s">
        <v>992</v>
      </c>
      <c r="H394" t="s">
        <v>9984</v>
      </c>
      <c r="I394" t="s">
        <v>17322</v>
      </c>
      <c r="J394" t="s">
        <v>18893</v>
      </c>
      <c r="K394">
        <v>10032</v>
      </c>
      <c r="L394" t="s">
        <v>18958</v>
      </c>
      <c r="M394" t="s">
        <v>18960</v>
      </c>
      <c r="N394" t="s">
        <v>19253</v>
      </c>
      <c r="O394" t="s">
        <v>26524</v>
      </c>
      <c r="P394" t="s">
        <v>26564</v>
      </c>
      <c r="Q394" t="s">
        <v>26570</v>
      </c>
      <c r="R394" t="s">
        <v>26582</v>
      </c>
      <c r="S394" t="s">
        <v>18959</v>
      </c>
      <c r="U394" t="s">
        <v>26604</v>
      </c>
      <c r="W394" t="s">
        <v>449</v>
      </c>
      <c r="X394">
        <v>423</v>
      </c>
      <c r="Y394" t="s">
        <v>26651</v>
      </c>
      <c r="Z394" t="s">
        <v>26664</v>
      </c>
      <c r="AA394" t="s">
        <v>26683</v>
      </c>
      <c r="AB394" t="s">
        <v>27072</v>
      </c>
      <c r="AD394" t="s">
        <v>37153</v>
      </c>
      <c r="AE394">
        <v>0</v>
      </c>
      <c r="AF394" t="s">
        <v>45548</v>
      </c>
      <c r="AG394" t="s">
        <v>19330</v>
      </c>
      <c r="AH394">
        <v>15</v>
      </c>
      <c r="AI394">
        <v>1</v>
      </c>
      <c r="AJ394">
        <v>0</v>
      </c>
      <c r="AK394">
        <v>183.36</v>
      </c>
      <c r="AN394" t="s">
        <v>7439</v>
      </c>
      <c r="AO394">
        <v>22260</v>
      </c>
      <c r="AU394">
        <v>1</v>
      </c>
      <c r="AV394" t="s">
        <v>505</v>
      </c>
      <c r="AW394" t="s">
        <v>46845</v>
      </c>
    </row>
    <row r="395" spans="1:50">
      <c r="A395" s="1">
        <f>HYPERLINK("https://lsnyc.legalserver.org/matter/dynamic-profile/view/1870310","18-1870310")</f>
        <v>0</v>
      </c>
      <c r="B395" t="s">
        <v>90</v>
      </c>
      <c r="C395" t="s">
        <v>341</v>
      </c>
      <c r="D395" t="s">
        <v>454</v>
      </c>
      <c r="E395" t="s">
        <v>670</v>
      </c>
      <c r="F395" t="s">
        <v>1179</v>
      </c>
      <c r="G395" t="s">
        <v>5361</v>
      </c>
      <c r="H395" t="s">
        <v>9985</v>
      </c>
      <c r="I395" t="s">
        <v>17322</v>
      </c>
      <c r="J395" t="s">
        <v>18893</v>
      </c>
      <c r="K395">
        <v>10035</v>
      </c>
      <c r="L395" t="s">
        <v>18958</v>
      </c>
      <c r="M395" t="s">
        <v>18958</v>
      </c>
      <c r="N395" t="s">
        <v>19254</v>
      </c>
      <c r="O395" t="s">
        <v>26524</v>
      </c>
      <c r="P395" t="s">
        <v>26560</v>
      </c>
      <c r="Q395" t="s">
        <v>26568</v>
      </c>
      <c r="R395" t="s">
        <v>26578</v>
      </c>
      <c r="S395" t="s">
        <v>18959</v>
      </c>
      <c r="U395" t="s">
        <v>26604</v>
      </c>
      <c r="V395" t="s">
        <v>26610</v>
      </c>
      <c r="W395" t="s">
        <v>449</v>
      </c>
      <c r="X395">
        <v>333</v>
      </c>
      <c r="Y395" t="s">
        <v>26651</v>
      </c>
      <c r="Z395" t="s">
        <v>26672</v>
      </c>
      <c r="AA395" t="s">
        <v>26678</v>
      </c>
      <c r="AB395" t="s">
        <v>27073</v>
      </c>
      <c r="AD395" t="s">
        <v>37154</v>
      </c>
      <c r="AE395">
        <v>15</v>
      </c>
      <c r="AF395" t="s">
        <v>45541</v>
      </c>
      <c r="AG395" t="s">
        <v>19330</v>
      </c>
      <c r="AH395">
        <v>29</v>
      </c>
      <c r="AI395">
        <v>3</v>
      </c>
      <c r="AJ395">
        <v>3</v>
      </c>
      <c r="AK395">
        <v>27.49</v>
      </c>
      <c r="AN395" t="s">
        <v>7439</v>
      </c>
      <c r="AO395">
        <v>9276</v>
      </c>
      <c r="AP395" t="s">
        <v>45647</v>
      </c>
      <c r="AR395" t="s">
        <v>46380</v>
      </c>
      <c r="AS395" t="s">
        <v>46499</v>
      </c>
      <c r="AT395" t="s">
        <v>46610</v>
      </c>
      <c r="AU395">
        <v>11.6</v>
      </c>
      <c r="AV395" t="s">
        <v>605</v>
      </c>
      <c r="AW395" t="s">
        <v>46859</v>
      </c>
    </row>
    <row r="396" spans="1:50">
      <c r="A396" s="1">
        <f>HYPERLINK("https://lsnyc.legalserver.org/matter/dynamic-profile/view/1870468","18-1870468")</f>
        <v>0</v>
      </c>
      <c r="B396" t="s">
        <v>90</v>
      </c>
      <c r="C396" t="s">
        <v>340</v>
      </c>
      <c r="D396" t="s">
        <v>401</v>
      </c>
      <c r="F396" t="s">
        <v>1180</v>
      </c>
      <c r="G396" t="s">
        <v>5362</v>
      </c>
      <c r="H396" t="s">
        <v>9986</v>
      </c>
      <c r="I396" t="s">
        <v>17316</v>
      </c>
      <c r="J396" t="s">
        <v>18893</v>
      </c>
      <c r="K396">
        <v>10029</v>
      </c>
      <c r="L396" t="s">
        <v>18958</v>
      </c>
      <c r="M396" t="s">
        <v>18958</v>
      </c>
      <c r="N396" t="s">
        <v>19255</v>
      </c>
      <c r="O396" t="s">
        <v>26523</v>
      </c>
      <c r="P396" t="s">
        <v>26560</v>
      </c>
      <c r="R396" t="s">
        <v>26578</v>
      </c>
      <c r="S396" t="s">
        <v>18959</v>
      </c>
      <c r="U396" t="s">
        <v>26604</v>
      </c>
      <c r="V396" t="s">
        <v>26610</v>
      </c>
      <c r="W396" t="s">
        <v>449</v>
      </c>
      <c r="X396">
        <v>986</v>
      </c>
      <c r="Y396" t="s">
        <v>26651</v>
      </c>
      <c r="Z396" t="s">
        <v>26664</v>
      </c>
      <c r="AB396" t="s">
        <v>27074</v>
      </c>
      <c r="AD396" t="s">
        <v>37155</v>
      </c>
      <c r="AE396">
        <v>24</v>
      </c>
      <c r="AF396" t="s">
        <v>45552</v>
      </c>
      <c r="AG396" t="s">
        <v>19330</v>
      </c>
      <c r="AH396">
        <v>1</v>
      </c>
      <c r="AI396">
        <v>2</v>
      </c>
      <c r="AJ396">
        <v>2</v>
      </c>
      <c r="AK396">
        <v>75.7</v>
      </c>
      <c r="AN396" t="s">
        <v>45581</v>
      </c>
      <c r="AO396">
        <v>19000</v>
      </c>
      <c r="AU396">
        <v>31.5</v>
      </c>
      <c r="AV396" t="s">
        <v>836</v>
      </c>
      <c r="AW396" t="s">
        <v>314</v>
      </c>
    </row>
    <row r="397" spans="1:50">
      <c r="A397" s="1">
        <f>HYPERLINK("https://lsnyc.legalserver.org/matter/dynamic-profile/view/1872170","18-1872170")</f>
        <v>0</v>
      </c>
      <c r="B397" t="s">
        <v>170</v>
      </c>
      <c r="C397" t="s">
        <v>341</v>
      </c>
      <c r="D397" t="s">
        <v>435</v>
      </c>
      <c r="E397" t="s">
        <v>449</v>
      </c>
      <c r="F397" t="s">
        <v>1181</v>
      </c>
      <c r="G397" t="s">
        <v>5363</v>
      </c>
      <c r="H397" t="s">
        <v>9987</v>
      </c>
      <c r="I397" t="s">
        <v>17433</v>
      </c>
      <c r="J397" t="s">
        <v>18894</v>
      </c>
      <c r="K397">
        <v>11226</v>
      </c>
      <c r="L397" t="s">
        <v>18958</v>
      </c>
      <c r="M397" t="s">
        <v>18958</v>
      </c>
      <c r="N397" t="s">
        <v>19256</v>
      </c>
      <c r="O397" t="s">
        <v>26524</v>
      </c>
      <c r="P397" t="s">
        <v>26564</v>
      </c>
      <c r="Q397" t="s">
        <v>26570</v>
      </c>
      <c r="R397" t="s">
        <v>26588</v>
      </c>
      <c r="S397" t="s">
        <v>18959</v>
      </c>
      <c r="U397" t="s">
        <v>26604</v>
      </c>
      <c r="W397" t="s">
        <v>449</v>
      </c>
      <c r="X397">
        <v>1250</v>
      </c>
      <c r="Y397" t="s">
        <v>26652</v>
      </c>
      <c r="Z397" t="s">
        <v>26661</v>
      </c>
      <c r="AA397" t="s">
        <v>26683</v>
      </c>
      <c r="AB397" t="s">
        <v>27075</v>
      </c>
      <c r="AD397" t="s">
        <v>34738</v>
      </c>
      <c r="AE397">
        <v>0</v>
      </c>
      <c r="AF397" t="s">
        <v>45541</v>
      </c>
      <c r="AG397" t="s">
        <v>19330</v>
      </c>
      <c r="AH397">
        <v>12</v>
      </c>
      <c r="AI397">
        <v>1</v>
      </c>
      <c r="AJ397">
        <v>2</v>
      </c>
      <c r="AK397">
        <v>0</v>
      </c>
      <c r="AN397" t="s">
        <v>7439</v>
      </c>
      <c r="AO397">
        <v>0</v>
      </c>
      <c r="AU397">
        <v>2.5</v>
      </c>
      <c r="AV397" t="s">
        <v>449</v>
      </c>
      <c r="AW397" t="s">
        <v>237</v>
      </c>
      <c r="AX397" t="s">
        <v>46897</v>
      </c>
    </row>
    <row r="398" spans="1:50">
      <c r="A398" s="1">
        <f>HYPERLINK("https://lsnyc.legalserver.org/matter/dynamic-profile/view/1872227","18-1872227")</f>
        <v>0</v>
      </c>
      <c r="B398" t="s">
        <v>112</v>
      </c>
      <c r="C398" t="s">
        <v>340</v>
      </c>
      <c r="D398" t="s">
        <v>439</v>
      </c>
      <c r="F398" t="s">
        <v>1182</v>
      </c>
      <c r="G398" t="s">
        <v>5364</v>
      </c>
      <c r="H398" t="s">
        <v>9988</v>
      </c>
      <c r="I398" t="s">
        <v>17434</v>
      </c>
      <c r="J398" t="s">
        <v>18906</v>
      </c>
      <c r="K398">
        <v>11373</v>
      </c>
      <c r="L398" t="s">
        <v>18958</v>
      </c>
      <c r="M398" t="s">
        <v>18958</v>
      </c>
      <c r="N398" t="s">
        <v>19257</v>
      </c>
      <c r="O398" t="s">
        <v>26523</v>
      </c>
      <c r="P398" t="s">
        <v>26564</v>
      </c>
      <c r="R398" t="s">
        <v>26585</v>
      </c>
      <c r="S398" t="s">
        <v>18959</v>
      </c>
      <c r="U398" t="s">
        <v>26604</v>
      </c>
      <c r="V398" t="s">
        <v>26611</v>
      </c>
      <c r="W398" t="s">
        <v>449</v>
      </c>
      <c r="X398">
        <v>1023</v>
      </c>
      <c r="Y398" t="s">
        <v>26653</v>
      </c>
      <c r="Z398" t="s">
        <v>26665</v>
      </c>
      <c r="AB398" t="s">
        <v>27076</v>
      </c>
      <c r="AC398" t="s">
        <v>19330</v>
      </c>
      <c r="AD398" t="s">
        <v>37156</v>
      </c>
      <c r="AE398">
        <v>125</v>
      </c>
      <c r="AF398" t="s">
        <v>45541</v>
      </c>
      <c r="AG398" t="s">
        <v>45559</v>
      </c>
      <c r="AH398">
        <v>40</v>
      </c>
      <c r="AI398">
        <v>1</v>
      </c>
      <c r="AJ398">
        <v>0</v>
      </c>
      <c r="AK398">
        <v>88.95999999999999</v>
      </c>
      <c r="AN398" t="s">
        <v>7439</v>
      </c>
      <c r="AO398">
        <v>10800</v>
      </c>
      <c r="AU398">
        <v>2.7</v>
      </c>
      <c r="AV398" t="s">
        <v>603</v>
      </c>
      <c r="AW398" t="s">
        <v>161</v>
      </c>
    </row>
    <row r="399" spans="1:50">
      <c r="A399" s="1">
        <f>HYPERLINK("https://lsnyc.legalserver.org/matter/dynamic-profile/view/1872836","18-1872836")</f>
        <v>0</v>
      </c>
      <c r="B399" t="s">
        <v>149</v>
      </c>
      <c r="C399" t="s">
        <v>341</v>
      </c>
      <c r="D399" t="s">
        <v>449</v>
      </c>
      <c r="E399" t="s">
        <v>494</v>
      </c>
      <c r="F399" t="s">
        <v>1183</v>
      </c>
      <c r="G399" t="s">
        <v>5365</v>
      </c>
      <c r="H399" t="s">
        <v>9989</v>
      </c>
      <c r="J399" t="s">
        <v>18892</v>
      </c>
      <c r="K399">
        <v>10459</v>
      </c>
      <c r="L399" t="s">
        <v>18958</v>
      </c>
      <c r="M399" t="s">
        <v>18958</v>
      </c>
      <c r="N399" t="s">
        <v>19258</v>
      </c>
      <c r="O399" t="s">
        <v>26526</v>
      </c>
      <c r="P399" t="s">
        <v>26564</v>
      </c>
      <c r="Q399" t="s">
        <v>26570</v>
      </c>
      <c r="R399" t="s">
        <v>26578</v>
      </c>
      <c r="S399" t="s">
        <v>18959</v>
      </c>
      <c r="U399" t="s">
        <v>26604</v>
      </c>
      <c r="W399" t="s">
        <v>449</v>
      </c>
      <c r="X399">
        <v>1032</v>
      </c>
      <c r="Y399" t="s">
        <v>26650</v>
      </c>
      <c r="Z399" t="s">
        <v>26663</v>
      </c>
      <c r="AA399" t="s">
        <v>26683</v>
      </c>
      <c r="AB399" t="s">
        <v>27077</v>
      </c>
      <c r="AD399" t="s">
        <v>37157</v>
      </c>
      <c r="AE399">
        <v>11</v>
      </c>
      <c r="AF399" t="s">
        <v>45541</v>
      </c>
      <c r="AG399" t="s">
        <v>45559</v>
      </c>
      <c r="AH399">
        <v>27</v>
      </c>
      <c r="AI399">
        <v>3</v>
      </c>
      <c r="AJ399">
        <v>0</v>
      </c>
      <c r="AK399">
        <v>44.64</v>
      </c>
      <c r="AN399" t="s">
        <v>45581</v>
      </c>
      <c r="AO399">
        <v>9276</v>
      </c>
      <c r="AU399">
        <v>1</v>
      </c>
      <c r="AV399" t="s">
        <v>449</v>
      </c>
      <c r="AW399" t="s">
        <v>217</v>
      </c>
    </row>
    <row r="400" spans="1:50">
      <c r="A400" s="1">
        <f>HYPERLINK("https://lsnyc.legalserver.org/matter/dynamic-profile/view/1864428","18-1864428")</f>
        <v>0</v>
      </c>
      <c r="B400" t="s">
        <v>99</v>
      </c>
      <c r="C400" t="s">
        <v>341</v>
      </c>
      <c r="D400" t="s">
        <v>449</v>
      </c>
      <c r="E400" t="s">
        <v>441</v>
      </c>
      <c r="F400" t="s">
        <v>1184</v>
      </c>
      <c r="G400" t="s">
        <v>5241</v>
      </c>
      <c r="H400" t="s">
        <v>9990</v>
      </c>
      <c r="I400" t="s">
        <v>17435</v>
      </c>
      <c r="J400" t="s">
        <v>18902</v>
      </c>
      <c r="K400">
        <v>10301</v>
      </c>
      <c r="L400" t="s">
        <v>18958</v>
      </c>
      <c r="M400" t="s">
        <v>18958</v>
      </c>
      <c r="N400" t="s">
        <v>19259</v>
      </c>
      <c r="O400" t="s">
        <v>26524</v>
      </c>
      <c r="P400" t="s">
        <v>26564</v>
      </c>
      <c r="Q400" t="s">
        <v>26570</v>
      </c>
      <c r="R400" t="s">
        <v>26578</v>
      </c>
      <c r="S400" t="s">
        <v>18959</v>
      </c>
      <c r="U400" t="s">
        <v>26604</v>
      </c>
      <c r="V400" t="s">
        <v>26609</v>
      </c>
      <c r="W400" t="s">
        <v>449</v>
      </c>
      <c r="X400">
        <v>293</v>
      </c>
      <c r="Y400" t="s">
        <v>26654</v>
      </c>
      <c r="Z400" t="s">
        <v>26660</v>
      </c>
      <c r="AA400" t="s">
        <v>26683</v>
      </c>
      <c r="AB400" t="s">
        <v>27078</v>
      </c>
      <c r="AC400" t="s">
        <v>19330</v>
      </c>
      <c r="AD400" t="s">
        <v>37158</v>
      </c>
      <c r="AE400">
        <v>2</v>
      </c>
      <c r="AF400" t="s">
        <v>45547</v>
      </c>
      <c r="AG400" t="s">
        <v>45556</v>
      </c>
      <c r="AH400">
        <v>3</v>
      </c>
      <c r="AI400">
        <v>1</v>
      </c>
      <c r="AJ400">
        <v>0</v>
      </c>
      <c r="AK400">
        <v>0</v>
      </c>
      <c r="AN400" t="s">
        <v>7439</v>
      </c>
      <c r="AO400">
        <v>0</v>
      </c>
      <c r="AS400" t="s">
        <v>46500</v>
      </c>
      <c r="AT400" t="s">
        <v>46553</v>
      </c>
      <c r="AU400">
        <v>3.1</v>
      </c>
      <c r="AV400" t="s">
        <v>441</v>
      </c>
      <c r="AW400" t="s">
        <v>46852</v>
      </c>
    </row>
    <row r="401" spans="1:50">
      <c r="A401" s="1">
        <f>HYPERLINK("https://lsnyc.legalserver.org/matter/dynamic-profile/view/1872840","18-1872840")</f>
        <v>0</v>
      </c>
      <c r="B401" t="s">
        <v>131</v>
      </c>
      <c r="C401" t="s">
        <v>341</v>
      </c>
      <c r="D401" t="s">
        <v>449</v>
      </c>
      <c r="E401" t="s">
        <v>760</v>
      </c>
      <c r="F401" t="s">
        <v>1081</v>
      </c>
      <c r="G401" t="s">
        <v>5366</v>
      </c>
      <c r="H401" t="s">
        <v>9991</v>
      </c>
      <c r="J401" t="s">
        <v>18902</v>
      </c>
      <c r="K401">
        <v>10308</v>
      </c>
      <c r="L401" t="s">
        <v>18958</v>
      </c>
      <c r="M401" t="s">
        <v>18958</v>
      </c>
      <c r="N401" t="s">
        <v>19260</v>
      </c>
      <c r="O401" t="s">
        <v>26524</v>
      </c>
      <c r="P401" t="s">
        <v>26560</v>
      </c>
      <c r="Q401" t="s">
        <v>26568</v>
      </c>
      <c r="R401" t="s">
        <v>26587</v>
      </c>
      <c r="S401" t="s">
        <v>18959</v>
      </c>
      <c r="U401" t="s">
        <v>26604</v>
      </c>
      <c r="V401" t="s">
        <v>26609</v>
      </c>
      <c r="W401" t="s">
        <v>449</v>
      </c>
      <c r="X401">
        <v>1100</v>
      </c>
      <c r="Y401" t="s">
        <v>26654</v>
      </c>
      <c r="Z401" t="s">
        <v>26530</v>
      </c>
      <c r="AA401" t="s">
        <v>26679</v>
      </c>
      <c r="AB401" t="s">
        <v>27079</v>
      </c>
      <c r="AD401" t="s">
        <v>37159</v>
      </c>
      <c r="AE401">
        <v>2</v>
      </c>
      <c r="AF401" t="s">
        <v>45547</v>
      </c>
      <c r="AG401" t="s">
        <v>19330</v>
      </c>
      <c r="AH401">
        <v>6</v>
      </c>
      <c r="AI401">
        <v>2</v>
      </c>
      <c r="AJ401">
        <v>0</v>
      </c>
      <c r="AK401">
        <v>182.99</v>
      </c>
      <c r="AN401" t="s">
        <v>7439</v>
      </c>
      <c r="AO401">
        <v>30120</v>
      </c>
      <c r="AQ401" t="s">
        <v>46359</v>
      </c>
      <c r="AR401" t="s">
        <v>46384</v>
      </c>
      <c r="AU401">
        <v>2.4</v>
      </c>
      <c r="AV401" t="s">
        <v>760</v>
      </c>
      <c r="AW401" t="s">
        <v>131</v>
      </c>
    </row>
    <row r="402" spans="1:50">
      <c r="A402" s="1">
        <f>HYPERLINK("https://lsnyc.legalserver.org/matter/dynamic-profile/view/1872790","18-1872790")</f>
        <v>0</v>
      </c>
      <c r="B402" t="s">
        <v>171</v>
      </c>
      <c r="C402" t="s">
        <v>341</v>
      </c>
      <c r="D402" t="s">
        <v>449</v>
      </c>
      <c r="E402" t="s">
        <v>665</v>
      </c>
      <c r="F402" t="s">
        <v>1185</v>
      </c>
      <c r="G402" t="s">
        <v>5367</v>
      </c>
      <c r="H402" t="s">
        <v>9992</v>
      </c>
      <c r="I402" t="s">
        <v>17370</v>
      </c>
      <c r="J402" t="s">
        <v>18893</v>
      </c>
      <c r="K402">
        <v>10027</v>
      </c>
      <c r="L402" t="s">
        <v>18958</v>
      </c>
      <c r="M402" t="s">
        <v>18960</v>
      </c>
      <c r="N402" t="s">
        <v>19261</v>
      </c>
      <c r="O402" t="s">
        <v>26524</v>
      </c>
      <c r="P402" t="s">
        <v>26560</v>
      </c>
      <c r="Q402" t="s">
        <v>26570</v>
      </c>
      <c r="R402" t="s">
        <v>26580</v>
      </c>
      <c r="U402" t="s">
        <v>26605</v>
      </c>
      <c r="W402" t="s">
        <v>449</v>
      </c>
      <c r="X402">
        <v>380</v>
      </c>
      <c r="Y402" t="s">
        <v>26651</v>
      </c>
      <c r="Z402" t="s">
        <v>26662</v>
      </c>
      <c r="AA402" t="s">
        <v>26683</v>
      </c>
      <c r="AB402" t="s">
        <v>27080</v>
      </c>
      <c r="AD402" t="s">
        <v>37160</v>
      </c>
      <c r="AE402">
        <v>0</v>
      </c>
      <c r="AG402" t="s">
        <v>19330</v>
      </c>
      <c r="AH402">
        <v>30</v>
      </c>
      <c r="AI402">
        <v>1</v>
      </c>
      <c r="AJ402">
        <v>0</v>
      </c>
      <c r="AK402">
        <v>0</v>
      </c>
      <c r="AN402" t="s">
        <v>7439</v>
      </c>
      <c r="AO402">
        <v>0</v>
      </c>
      <c r="AU402">
        <v>2.6</v>
      </c>
      <c r="AV402" t="s">
        <v>664</v>
      </c>
      <c r="AW402" t="s">
        <v>46845</v>
      </c>
    </row>
    <row r="403" spans="1:50">
      <c r="A403" s="1">
        <f>HYPERLINK("https://lsnyc.legalserver.org/matter/dynamic-profile/view/1872799","18-1872799")</f>
        <v>0</v>
      </c>
      <c r="B403" t="s">
        <v>64</v>
      </c>
      <c r="C403" t="s">
        <v>341</v>
      </c>
      <c r="D403" t="s">
        <v>449</v>
      </c>
      <c r="E403" t="s">
        <v>528</v>
      </c>
      <c r="F403" t="s">
        <v>1186</v>
      </c>
      <c r="G403" t="s">
        <v>5368</v>
      </c>
      <c r="H403" t="s">
        <v>9993</v>
      </c>
      <c r="I403" t="s">
        <v>17436</v>
      </c>
      <c r="J403" t="s">
        <v>18892</v>
      </c>
      <c r="K403">
        <v>10459</v>
      </c>
      <c r="L403" t="s">
        <v>18958</v>
      </c>
      <c r="M403" t="s">
        <v>18960</v>
      </c>
      <c r="N403" t="s">
        <v>19262</v>
      </c>
      <c r="O403" t="s">
        <v>26523</v>
      </c>
      <c r="P403" t="s">
        <v>26560</v>
      </c>
      <c r="Q403" t="s">
        <v>26568</v>
      </c>
      <c r="R403" t="s">
        <v>26577</v>
      </c>
      <c r="U403" t="s">
        <v>26604</v>
      </c>
      <c r="V403" t="s">
        <v>26614</v>
      </c>
      <c r="W403" t="s">
        <v>449</v>
      </c>
      <c r="X403">
        <v>0</v>
      </c>
      <c r="Y403" t="s">
        <v>26650</v>
      </c>
      <c r="Z403" t="s">
        <v>26666</v>
      </c>
      <c r="AA403" t="s">
        <v>26678</v>
      </c>
      <c r="AB403" t="s">
        <v>27081</v>
      </c>
      <c r="AC403" t="s">
        <v>34603</v>
      </c>
      <c r="AD403" t="s">
        <v>37161</v>
      </c>
      <c r="AE403">
        <v>0</v>
      </c>
      <c r="AF403" t="s">
        <v>45541</v>
      </c>
      <c r="AG403" t="s">
        <v>45561</v>
      </c>
      <c r="AH403">
        <v>11</v>
      </c>
      <c r="AI403">
        <v>1</v>
      </c>
      <c r="AJ403">
        <v>0</v>
      </c>
      <c r="AK403">
        <v>74.14</v>
      </c>
      <c r="AN403" t="s">
        <v>7439</v>
      </c>
      <c r="AO403">
        <v>9000</v>
      </c>
      <c r="AP403" t="s">
        <v>45621</v>
      </c>
      <c r="AQ403" t="s">
        <v>46364</v>
      </c>
      <c r="AR403" t="s">
        <v>46379</v>
      </c>
      <c r="AS403" t="s">
        <v>46499</v>
      </c>
      <c r="AT403" t="s">
        <v>46611</v>
      </c>
      <c r="AU403">
        <v>8.75</v>
      </c>
      <c r="AV403" t="s">
        <v>504</v>
      </c>
      <c r="AW403" t="s">
        <v>334</v>
      </c>
    </row>
    <row r="404" spans="1:50">
      <c r="A404" s="1">
        <f>HYPERLINK("https://lsnyc.legalserver.org/matter/dynamic-profile/view/1872738","18-1872738")</f>
        <v>0</v>
      </c>
      <c r="B404" t="s">
        <v>64</v>
      </c>
      <c r="C404" t="s">
        <v>341</v>
      </c>
      <c r="D404" t="s">
        <v>449</v>
      </c>
      <c r="E404" t="s">
        <v>500</v>
      </c>
      <c r="F404" t="s">
        <v>1187</v>
      </c>
      <c r="G404" t="s">
        <v>5369</v>
      </c>
      <c r="H404" t="s">
        <v>9994</v>
      </c>
      <c r="I404">
        <v>7</v>
      </c>
      <c r="J404" t="s">
        <v>18892</v>
      </c>
      <c r="K404">
        <v>10454</v>
      </c>
      <c r="L404" t="s">
        <v>18958</v>
      </c>
      <c r="M404" t="s">
        <v>18960</v>
      </c>
      <c r="N404" t="s">
        <v>19263</v>
      </c>
      <c r="O404" t="s">
        <v>26523</v>
      </c>
      <c r="P404" t="s">
        <v>26560</v>
      </c>
      <c r="Q404" t="s">
        <v>26574</v>
      </c>
      <c r="R404" t="s">
        <v>26577</v>
      </c>
      <c r="U404" t="s">
        <v>26604</v>
      </c>
      <c r="V404" t="s">
        <v>26612</v>
      </c>
      <c r="W404" t="s">
        <v>449</v>
      </c>
      <c r="X404">
        <v>1096</v>
      </c>
      <c r="Y404" t="s">
        <v>26650</v>
      </c>
      <c r="Z404" t="s">
        <v>26656</v>
      </c>
      <c r="AA404" t="s">
        <v>26679</v>
      </c>
      <c r="AB404" t="s">
        <v>27082</v>
      </c>
      <c r="AC404" t="s">
        <v>34604</v>
      </c>
      <c r="AD404" t="s">
        <v>37162</v>
      </c>
      <c r="AE404">
        <v>0</v>
      </c>
      <c r="AF404" t="s">
        <v>45541</v>
      </c>
      <c r="AG404" t="s">
        <v>19330</v>
      </c>
      <c r="AH404">
        <v>6</v>
      </c>
      <c r="AI404">
        <v>1</v>
      </c>
      <c r="AJ404">
        <v>2</v>
      </c>
      <c r="AK404">
        <v>112.03</v>
      </c>
      <c r="AN404" t="s">
        <v>7439</v>
      </c>
      <c r="AO404">
        <v>23280</v>
      </c>
      <c r="AP404" t="s">
        <v>45621</v>
      </c>
      <c r="AQ404" t="s">
        <v>46365</v>
      </c>
      <c r="AS404" t="s">
        <v>46500</v>
      </c>
      <c r="AT404" t="s">
        <v>46612</v>
      </c>
      <c r="AU404">
        <v>5.9</v>
      </c>
      <c r="AV404" t="s">
        <v>447</v>
      </c>
      <c r="AW404" t="s">
        <v>46836</v>
      </c>
    </row>
    <row r="405" spans="1:50">
      <c r="A405" s="1">
        <f>HYPERLINK("https://lsnyc.legalserver.org/matter/dynamic-profile/view/1872819","18-1872819")</f>
        <v>0</v>
      </c>
      <c r="B405" t="s">
        <v>101</v>
      </c>
      <c r="C405" t="s">
        <v>341</v>
      </c>
      <c r="D405" t="s">
        <v>449</v>
      </c>
      <c r="E405" t="s">
        <v>441</v>
      </c>
      <c r="F405" t="s">
        <v>964</v>
      </c>
      <c r="G405" t="s">
        <v>5370</v>
      </c>
      <c r="H405" t="s">
        <v>9995</v>
      </c>
      <c r="I405" t="s">
        <v>17437</v>
      </c>
      <c r="J405" t="s">
        <v>18894</v>
      </c>
      <c r="K405">
        <v>11203</v>
      </c>
      <c r="L405" t="s">
        <v>18958</v>
      </c>
      <c r="M405" t="s">
        <v>18958</v>
      </c>
      <c r="N405" t="s">
        <v>19264</v>
      </c>
      <c r="O405" t="s">
        <v>26526</v>
      </c>
      <c r="P405" t="s">
        <v>26560</v>
      </c>
      <c r="Q405" t="s">
        <v>26575</v>
      </c>
      <c r="R405" t="s">
        <v>26586</v>
      </c>
      <c r="S405" t="s">
        <v>18959</v>
      </c>
      <c r="U405" t="s">
        <v>26604</v>
      </c>
      <c r="V405" t="s">
        <v>26610</v>
      </c>
      <c r="W405" t="s">
        <v>449</v>
      </c>
      <c r="X405">
        <v>905</v>
      </c>
      <c r="Y405" t="s">
        <v>26652</v>
      </c>
      <c r="Z405" t="s">
        <v>26664</v>
      </c>
      <c r="AA405" t="s">
        <v>26686</v>
      </c>
      <c r="AB405" t="s">
        <v>26761</v>
      </c>
      <c r="AC405" t="s">
        <v>34605</v>
      </c>
      <c r="AD405" t="s">
        <v>37163</v>
      </c>
      <c r="AE405">
        <v>70</v>
      </c>
      <c r="AF405" t="s">
        <v>45541</v>
      </c>
      <c r="AG405" t="s">
        <v>19330</v>
      </c>
      <c r="AH405">
        <v>27</v>
      </c>
      <c r="AI405">
        <v>2</v>
      </c>
      <c r="AJ405">
        <v>1</v>
      </c>
      <c r="AK405">
        <v>56.19</v>
      </c>
      <c r="AN405" t="s">
        <v>45587</v>
      </c>
      <c r="AO405">
        <v>11676</v>
      </c>
      <c r="AR405" t="s">
        <v>26530</v>
      </c>
      <c r="AS405" t="s">
        <v>46499</v>
      </c>
      <c r="AT405" t="s">
        <v>46553</v>
      </c>
      <c r="AU405">
        <v>27.7</v>
      </c>
      <c r="AV405" t="s">
        <v>441</v>
      </c>
      <c r="AW405" t="s">
        <v>237</v>
      </c>
      <c r="AX405" t="s">
        <v>46897</v>
      </c>
    </row>
    <row r="406" spans="1:50">
      <c r="A406" s="1">
        <f>HYPERLINK("https://lsnyc.legalserver.org/matter/dynamic-profile/view/1872742","18-1872742")</f>
        <v>0</v>
      </c>
      <c r="B406" t="s">
        <v>65</v>
      </c>
      <c r="C406" t="s">
        <v>341</v>
      </c>
      <c r="D406" t="s">
        <v>449</v>
      </c>
      <c r="E406" t="s">
        <v>709</v>
      </c>
      <c r="F406" t="s">
        <v>1188</v>
      </c>
      <c r="G406" t="s">
        <v>5125</v>
      </c>
      <c r="H406" t="s">
        <v>9996</v>
      </c>
      <c r="I406" t="s">
        <v>17332</v>
      </c>
      <c r="J406" t="s">
        <v>18892</v>
      </c>
      <c r="K406">
        <v>10457</v>
      </c>
      <c r="L406" t="s">
        <v>18958</v>
      </c>
      <c r="M406" t="s">
        <v>18958</v>
      </c>
      <c r="N406" t="s">
        <v>19265</v>
      </c>
      <c r="O406" t="s">
        <v>26523</v>
      </c>
      <c r="P406" t="s">
        <v>26560</v>
      </c>
      <c r="Q406" t="s">
        <v>26568</v>
      </c>
      <c r="R406" t="s">
        <v>26579</v>
      </c>
      <c r="S406" t="s">
        <v>18959</v>
      </c>
      <c r="U406" t="s">
        <v>26604</v>
      </c>
      <c r="V406" t="s">
        <v>26610</v>
      </c>
      <c r="W406" t="s">
        <v>449</v>
      </c>
      <c r="X406">
        <v>1832</v>
      </c>
      <c r="Y406" t="s">
        <v>26650</v>
      </c>
      <c r="Z406" t="s">
        <v>26662</v>
      </c>
      <c r="AA406" t="s">
        <v>26678</v>
      </c>
      <c r="AB406" t="s">
        <v>27083</v>
      </c>
      <c r="AC406" t="s">
        <v>34606</v>
      </c>
      <c r="AE406">
        <v>0</v>
      </c>
      <c r="AF406" t="s">
        <v>45551</v>
      </c>
      <c r="AG406" t="s">
        <v>45560</v>
      </c>
      <c r="AH406">
        <v>5</v>
      </c>
      <c r="AI406">
        <v>4</v>
      </c>
      <c r="AJ406">
        <v>1</v>
      </c>
      <c r="AK406">
        <v>141.13</v>
      </c>
      <c r="AN406" t="s">
        <v>7439</v>
      </c>
      <c r="AO406">
        <v>41520</v>
      </c>
      <c r="AQ406" t="s">
        <v>46361</v>
      </c>
      <c r="AR406" t="s">
        <v>46408</v>
      </c>
      <c r="AS406" t="s">
        <v>46499</v>
      </c>
      <c r="AT406" t="s">
        <v>46528</v>
      </c>
      <c r="AU406">
        <v>26.1</v>
      </c>
      <c r="AV406" t="s">
        <v>652</v>
      </c>
      <c r="AW406" t="s">
        <v>46837</v>
      </c>
    </row>
    <row r="407" spans="1:50">
      <c r="A407" s="1">
        <f>HYPERLINK("https://lsnyc.legalserver.org/matter/dynamic-profile/view/1872784","18-1872784")</f>
        <v>0</v>
      </c>
      <c r="B407" t="s">
        <v>84</v>
      </c>
      <c r="C407" t="s">
        <v>340</v>
      </c>
      <c r="D407" t="s">
        <v>449</v>
      </c>
      <c r="F407" t="s">
        <v>1189</v>
      </c>
      <c r="G407" t="s">
        <v>3662</v>
      </c>
      <c r="H407" t="s">
        <v>9997</v>
      </c>
      <c r="I407" t="s">
        <v>17288</v>
      </c>
      <c r="J407" t="s">
        <v>18893</v>
      </c>
      <c r="K407">
        <v>10027</v>
      </c>
      <c r="L407" t="s">
        <v>18958</v>
      </c>
      <c r="M407" t="s">
        <v>18960</v>
      </c>
      <c r="N407" t="s">
        <v>19266</v>
      </c>
      <c r="O407" t="s">
        <v>26523</v>
      </c>
      <c r="P407" t="s">
        <v>26560</v>
      </c>
      <c r="R407" t="s">
        <v>26580</v>
      </c>
      <c r="U407" t="s">
        <v>26604</v>
      </c>
      <c r="W407" t="s">
        <v>449</v>
      </c>
      <c r="X407">
        <v>1080</v>
      </c>
      <c r="Y407" t="s">
        <v>26651</v>
      </c>
      <c r="Z407" t="s">
        <v>26662</v>
      </c>
      <c r="AB407" t="s">
        <v>27084</v>
      </c>
      <c r="AD407" t="s">
        <v>37164</v>
      </c>
      <c r="AE407">
        <v>0</v>
      </c>
      <c r="AG407" t="s">
        <v>45556</v>
      </c>
      <c r="AH407">
        <v>25</v>
      </c>
      <c r="AI407">
        <v>1</v>
      </c>
      <c r="AJ407">
        <v>0</v>
      </c>
      <c r="AK407">
        <v>74.73</v>
      </c>
      <c r="AO407">
        <v>9072</v>
      </c>
      <c r="AU407">
        <v>33.6</v>
      </c>
      <c r="AV407" t="s">
        <v>835</v>
      </c>
      <c r="AW407" t="s">
        <v>46845</v>
      </c>
    </row>
    <row r="408" spans="1:50">
      <c r="A408" s="1">
        <f>HYPERLINK("https://lsnyc.legalserver.org/matter/dynamic-profile/view/1864002","18-1864002")</f>
        <v>0</v>
      </c>
      <c r="B408" t="s">
        <v>88</v>
      </c>
      <c r="C408" t="s">
        <v>340</v>
      </c>
      <c r="D408" t="s">
        <v>455</v>
      </c>
      <c r="F408" t="s">
        <v>1190</v>
      </c>
      <c r="G408" t="s">
        <v>2975</v>
      </c>
      <c r="H408" t="s">
        <v>9775</v>
      </c>
      <c r="I408" t="s">
        <v>17282</v>
      </c>
      <c r="J408" t="s">
        <v>18894</v>
      </c>
      <c r="K408">
        <v>11206</v>
      </c>
      <c r="L408" t="s">
        <v>18958</v>
      </c>
      <c r="M408" t="s">
        <v>18958</v>
      </c>
      <c r="O408" t="s">
        <v>26531</v>
      </c>
      <c r="P408" t="s">
        <v>26561</v>
      </c>
      <c r="R408" t="s">
        <v>26578</v>
      </c>
      <c r="S408" t="s">
        <v>18958</v>
      </c>
      <c r="U408" t="s">
        <v>26604</v>
      </c>
      <c r="W408" t="s">
        <v>436</v>
      </c>
      <c r="X408">
        <v>850</v>
      </c>
      <c r="Y408" t="s">
        <v>26652</v>
      </c>
      <c r="Z408" t="s">
        <v>26667</v>
      </c>
      <c r="AB408" t="s">
        <v>27085</v>
      </c>
      <c r="AD408" t="s">
        <v>37165</v>
      </c>
      <c r="AE408">
        <v>11</v>
      </c>
      <c r="AF408" t="s">
        <v>45541</v>
      </c>
      <c r="AG408" t="s">
        <v>45556</v>
      </c>
      <c r="AH408">
        <v>25</v>
      </c>
      <c r="AI408">
        <v>1</v>
      </c>
      <c r="AJ408">
        <v>0</v>
      </c>
      <c r="AK408">
        <v>219.44</v>
      </c>
      <c r="AM408" t="s">
        <v>45575</v>
      </c>
      <c r="AN408" t="s">
        <v>45581</v>
      </c>
      <c r="AO408">
        <v>26640</v>
      </c>
      <c r="AP408" t="s">
        <v>45648</v>
      </c>
      <c r="AU408">
        <v>0</v>
      </c>
      <c r="AW408" t="s">
        <v>279</v>
      </c>
    </row>
    <row r="409" spans="1:50">
      <c r="A409" s="1">
        <f>HYPERLINK("https://lsnyc.legalserver.org/matter/dynamic-profile/view/1871620","18-1871620")</f>
        <v>0</v>
      </c>
      <c r="B409" t="s">
        <v>103</v>
      </c>
      <c r="C409" t="s">
        <v>341</v>
      </c>
      <c r="D409" t="s">
        <v>425</v>
      </c>
      <c r="E409" t="s">
        <v>664</v>
      </c>
      <c r="F409" t="s">
        <v>1106</v>
      </c>
      <c r="G409" t="s">
        <v>5265</v>
      </c>
      <c r="H409" t="s">
        <v>9998</v>
      </c>
      <c r="I409" t="s">
        <v>17324</v>
      </c>
      <c r="J409" t="s">
        <v>18902</v>
      </c>
      <c r="K409">
        <v>10301</v>
      </c>
      <c r="L409" t="s">
        <v>18958</v>
      </c>
      <c r="M409" t="s">
        <v>18958</v>
      </c>
      <c r="N409" t="s">
        <v>19037</v>
      </c>
      <c r="O409" t="s">
        <v>26524</v>
      </c>
      <c r="P409" t="s">
        <v>26565</v>
      </c>
      <c r="Q409" t="s">
        <v>26571</v>
      </c>
      <c r="R409" t="s">
        <v>26578</v>
      </c>
      <c r="S409" t="s">
        <v>18959</v>
      </c>
      <c r="U409" t="s">
        <v>26604</v>
      </c>
      <c r="V409" t="s">
        <v>26610</v>
      </c>
      <c r="W409" t="s">
        <v>436</v>
      </c>
      <c r="X409">
        <v>1555</v>
      </c>
      <c r="Y409" t="s">
        <v>26654</v>
      </c>
      <c r="Z409" t="s">
        <v>26673</v>
      </c>
      <c r="AA409" t="s">
        <v>26683</v>
      </c>
      <c r="AB409" t="s">
        <v>27086</v>
      </c>
      <c r="AD409" t="s">
        <v>37166</v>
      </c>
      <c r="AE409">
        <v>2</v>
      </c>
      <c r="AF409" t="s">
        <v>20460</v>
      </c>
      <c r="AG409" t="s">
        <v>45556</v>
      </c>
      <c r="AH409">
        <v>3</v>
      </c>
      <c r="AI409">
        <v>2</v>
      </c>
      <c r="AJ409">
        <v>1</v>
      </c>
      <c r="AK409">
        <v>108.28</v>
      </c>
      <c r="AN409" t="s">
        <v>7439</v>
      </c>
      <c r="AO409">
        <v>22500</v>
      </c>
      <c r="AU409">
        <v>3.6</v>
      </c>
      <c r="AV409" t="s">
        <v>664</v>
      </c>
      <c r="AW409" t="s">
        <v>46841</v>
      </c>
    </row>
    <row r="410" spans="1:50">
      <c r="A410" s="1">
        <f>HYPERLINK("https://lsnyc.legalserver.org/matter/dynamic-profile/view/1872923","18-1872923")</f>
        <v>0</v>
      </c>
      <c r="B410" t="s">
        <v>77</v>
      </c>
      <c r="C410" t="s">
        <v>341</v>
      </c>
      <c r="D410" t="s">
        <v>436</v>
      </c>
      <c r="E410" t="s">
        <v>505</v>
      </c>
      <c r="F410" t="s">
        <v>1191</v>
      </c>
      <c r="G410" t="s">
        <v>5371</v>
      </c>
      <c r="H410" t="s">
        <v>9999</v>
      </c>
      <c r="I410" t="s">
        <v>17388</v>
      </c>
      <c r="J410" t="s">
        <v>18893</v>
      </c>
      <c r="K410">
        <v>10003</v>
      </c>
      <c r="L410" t="s">
        <v>18958</v>
      </c>
      <c r="M410" t="s">
        <v>18960</v>
      </c>
      <c r="N410" t="s">
        <v>19267</v>
      </c>
      <c r="O410" t="s">
        <v>26524</v>
      </c>
      <c r="P410" t="s">
        <v>26564</v>
      </c>
      <c r="Q410" t="s">
        <v>26570</v>
      </c>
      <c r="R410" t="s">
        <v>26578</v>
      </c>
      <c r="S410" t="s">
        <v>18959</v>
      </c>
      <c r="U410" t="s">
        <v>26604</v>
      </c>
      <c r="W410" t="s">
        <v>436</v>
      </c>
      <c r="X410">
        <v>1366.14</v>
      </c>
      <c r="Y410" t="s">
        <v>26651</v>
      </c>
      <c r="Z410" t="s">
        <v>26659</v>
      </c>
      <c r="AA410" t="s">
        <v>26683</v>
      </c>
      <c r="AB410" t="s">
        <v>27087</v>
      </c>
      <c r="AD410" t="s">
        <v>37167</v>
      </c>
      <c r="AE410">
        <v>0</v>
      </c>
      <c r="AF410" t="s">
        <v>45541</v>
      </c>
      <c r="AG410" t="s">
        <v>19330</v>
      </c>
      <c r="AH410">
        <v>20</v>
      </c>
      <c r="AI410">
        <v>1</v>
      </c>
      <c r="AJ410">
        <v>0</v>
      </c>
      <c r="AK410">
        <v>197.69</v>
      </c>
      <c r="AN410" t="s">
        <v>7439</v>
      </c>
      <c r="AO410">
        <v>24000</v>
      </c>
      <c r="AU410">
        <v>2.1</v>
      </c>
      <c r="AV410" t="s">
        <v>505</v>
      </c>
      <c r="AW410" t="s">
        <v>314</v>
      </c>
    </row>
    <row r="411" spans="1:50">
      <c r="A411" s="1">
        <f>HYPERLINK("https://lsnyc.legalserver.org/matter/dynamic-profile/view/1872885","18-1872885")</f>
        <v>0</v>
      </c>
      <c r="B411" t="s">
        <v>77</v>
      </c>
      <c r="C411" t="s">
        <v>341</v>
      </c>
      <c r="D411" t="s">
        <v>436</v>
      </c>
      <c r="E411" t="s">
        <v>505</v>
      </c>
      <c r="F411" t="s">
        <v>1192</v>
      </c>
      <c r="G411" t="s">
        <v>3283</v>
      </c>
      <c r="H411" t="s">
        <v>10000</v>
      </c>
      <c r="I411" t="s">
        <v>17316</v>
      </c>
      <c r="J411" t="s">
        <v>18893</v>
      </c>
      <c r="K411">
        <v>10027</v>
      </c>
      <c r="L411" t="s">
        <v>18958</v>
      </c>
      <c r="M411" t="s">
        <v>18958</v>
      </c>
      <c r="N411" t="s">
        <v>19268</v>
      </c>
      <c r="O411" t="s">
        <v>26525</v>
      </c>
      <c r="P411" t="s">
        <v>26565</v>
      </c>
      <c r="Q411" t="s">
        <v>26570</v>
      </c>
      <c r="R411" t="s">
        <v>26582</v>
      </c>
      <c r="S411" t="s">
        <v>18959</v>
      </c>
      <c r="U411" t="s">
        <v>26605</v>
      </c>
      <c r="V411" t="s">
        <v>26610</v>
      </c>
      <c r="W411" t="s">
        <v>436</v>
      </c>
      <c r="X411">
        <v>477</v>
      </c>
      <c r="Y411" t="s">
        <v>26651</v>
      </c>
      <c r="Z411" t="s">
        <v>26661</v>
      </c>
      <c r="AA411" t="s">
        <v>26683</v>
      </c>
      <c r="AB411" t="s">
        <v>27088</v>
      </c>
      <c r="AD411" t="s">
        <v>37168</v>
      </c>
      <c r="AE411">
        <v>1128</v>
      </c>
      <c r="AF411" t="s">
        <v>20460</v>
      </c>
      <c r="AG411" t="s">
        <v>19330</v>
      </c>
      <c r="AH411">
        <v>50</v>
      </c>
      <c r="AI411">
        <v>2</v>
      </c>
      <c r="AJ411">
        <v>0</v>
      </c>
      <c r="AK411">
        <v>61.24</v>
      </c>
      <c r="AN411" t="s">
        <v>7439</v>
      </c>
      <c r="AO411">
        <v>10080</v>
      </c>
      <c r="AU411">
        <v>1.3</v>
      </c>
      <c r="AV411" t="s">
        <v>505</v>
      </c>
      <c r="AW411" t="s">
        <v>314</v>
      </c>
    </row>
    <row r="412" spans="1:50">
      <c r="A412" s="1">
        <f>HYPERLINK("https://lsnyc.legalserver.org/matter/dynamic-profile/view/1872890","18-1872890")</f>
        <v>0</v>
      </c>
      <c r="B412" t="s">
        <v>109</v>
      </c>
      <c r="C412" t="s">
        <v>341</v>
      </c>
      <c r="D412" t="s">
        <v>436</v>
      </c>
      <c r="E412" t="s">
        <v>798</v>
      </c>
      <c r="F412" t="s">
        <v>953</v>
      </c>
      <c r="G412" t="s">
        <v>5372</v>
      </c>
      <c r="H412" t="s">
        <v>10001</v>
      </c>
      <c r="I412" t="s">
        <v>17429</v>
      </c>
      <c r="J412" t="s">
        <v>18902</v>
      </c>
      <c r="K412">
        <v>10314</v>
      </c>
      <c r="L412" t="s">
        <v>18958</v>
      </c>
      <c r="M412" t="s">
        <v>18958</v>
      </c>
      <c r="N412" t="s">
        <v>19269</v>
      </c>
      <c r="O412" t="s">
        <v>26524</v>
      </c>
      <c r="P412" t="s">
        <v>26560</v>
      </c>
      <c r="Q412" t="s">
        <v>26568</v>
      </c>
      <c r="R412" t="s">
        <v>26590</v>
      </c>
      <c r="S412" t="s">
        <v>18959</v>
      </c>
      <c r="U412" t="s">
        <v>26604</v>
      </c>
      <c r="V412" t="s">
        <v>26610</v>
      </c>
      <c r="W412" t="s">
        <v>436</v>
      </c>
      <c r="X412">
        <v>825</v>
      </c>
      <c r="Y412" t="s">
        <v>26654</v>
      </c>
      <c r="Z412" t="s">
        <v>26656</v>
      </c>
      <c r="AA412" t="s">
        <v>26679</v>
      </c>
      <c r="AB412" t="s">
        <v>27089</v>
      </c>
      <c r="AD412" t="s">
        <v>37169</v>
      </c>
      <c r="AE412">
        <v>2</v>
      </c>
      <c r="AF412" t="s">
        <v>45547</v>
      </c>
      <c r="AG412" t="s">
        <v>19330</v>
      </c>
      <c r="AH412">
        <v>8</v>
      </c>
      <c r="AI412">
        <v>1</v>
      </c>
      <c r="AJ412">
        <v>0</v>
      </c>
      <c r="AK412">
        <v>97.36</v>
      </c>
      <c r="AO412">
        <v>11820</v>
      </c>
      <c r="AQ412" t="s">
        <v>46369</v>
      </c>
      <c r="AR412" t="s">
        <v>26530</v>
      </c>
      <c r="AS412" t="s">
        <v>46500</v>
      </c>
      <c r="AT412" t="s">
        <v>46613</v>
      </c>
      <c r="AU412">
        <v>0.9</v>
      </c>
      <c r="AV412" t="s">
        <v>798</v>
      </c>
      <c r="AW412" t="s">
        <v>210</v>
      </c>
    </row>
    <row r="413" spans="1:50">
      <c r="A413" s="1">
        <f>HYPERLINK("https://lsnyc.legalserver.org/matter/dynamic-profile/view/1872877","18-1872877")</f>
        <v>0</v>
      </c>
      <c r="B413" t="s">
        <v>109</v>
      </c>
      <c r="C413" t="s">
        <v>341</v>
      </c>
      <c r="D413" t="s">
        <v>436</v>
      </c>
      <c r="E413" t="s">
        <v>848</v>
      </c>
      <c r="F413" t="s">
        <v>1193</v>
      </c>
      <c r="G413" t="s">
        <v>5373</v>
      </c>
      <c r="H413" t="s">
        <v>10002</v>
      </c>
      <c r="I413" t="s">
        <v>17283</v>
      </c>
      <c r="J413" t="s">
        <v>18902</v>
      </c>
      <c r="K413">
        <v>10314</v>
      </c>
      <c r="L413" t="s">
        <v>18958</v>
      </c>
      <c r="M413" t="s">
        <v>18958</v>
      </c>
      <c r="N413" t="s">
        <v>19270</v>
      </c>
      <c r="O413" t="s">
        <v>26523</v>
      </c>
      <c r="P413" t="s">
        <v>26560</v>
      </c>
      <c r="Q413" t="s">
        <v>26568</v>
      </c>
      <c r="R413" t="s">
        <v>26590</v>
      </c>
      <c r="S413" t="s">
        <v>18959</v>
      </c>
      <c r="U413" t="s">
        <v>26604</v>
      </c>
      <c r="V413" t="s">
        <v>26610</v>
      </c>
      <c r="W413" t="s">
        <v>436</v>
      </c>
      <c r="X413">
        <v>1075.96</v>
      </c>
      <c r="Y413" t="s">
        <v>26654</v>
      </c>
      <c r="Z413" t="s">
        <v>26656</v>
      </c>
      <c r="AA413" t="s">
        <v>26678</v>
      </c>
      <c r="AB413" t="s">
        <v>27090</v>
      </c>
      <c r="AD413" t="s">
        <v>37170</v>
      </c>
      <c r="AE413">
        <v>12</v>
      </c>
      <c r="AF413" t="s">
        <v>45541</v>
      </c>
      <c r="AG413" t="s">
        <v>19330</v>
      </c>
      <c r="AH413">
        <v>10</v>
      </c>
      <c r="AI413">
        <v>2</v>
      </c>
      <c r="AJ413">
        <v>1</v>
      </c>
      <c r="AK413">
        <v>143.17</v>
      </c>
      <c r="AO413">
        <v>29750</v>
      </c>
      <c r="AQ413" t="s">
        <v>46362</v>
      </c>
      <c r="AR413" t="s">
        <v>46379</v>
      </c>
      <c r="AS413" t="s">
        <v>46499</v>
      </c>
      <c r="AT413" t="s">
        <v>46568</v>
      </c>
      <c r="AU413">
        <v>5.95</v>
      </c>
      <c r="AV413" t="s">
        <v>848</v>
      </c>
      <c r="AW413" t="s">
        <v>210</v>
      </c>
    </row>
    <row r="414" spans="1:50">
      <c r="A414" s="1">
        <f>HYPERLINK("https://lsnyc.legalserver.org/matter/dynamic-profile/view/1872898","18-1872898")</f>
        <v>0</v>
      </c>
      <c r="B414" t="s">
        <v>172</v>
      </c>
      <c r="C414" t="s">
        <v>341</v>
      </c>
      <c r="D414" t="s">
        <v>436</v>
      </c>
      <c r="E414" t="s">
        <v>802</v>
      </c>
      <c r="F414" t="s">
        <v>1194</v>
      </c>
      <c r="G414" t="s">
        <v>4588</v>
      </c>
      <c r="H414" t="s">
        <v>10003</v>
      </c>
      <c r="I414" t="s">
        <v>17347</v>
      </c>
      <c r="J414" t="s">
        <v>18894</v>
      </c>
      <c r="K414">
        <v>11217</v>
      </c>
      <c r="L414" t="s">
        <v>18958</v>
      </c>
      <c r="M414" t="s">
        <v>18960</v>
      </c>
      <c r="O414" t="s">
        <v>26523</v>
      </c>
      <c r="P414" t="s">
        <v>26560</v>
      </c>
      <c r="Q414" t="s">
        <v>26568</v>
      </c>
      <c r="R414" t="s">
        <v>26586</v>
      </c>
      <c r="U414" t="s">
        <v>26605</v>
      </c>
      <c r="W414" t="s">
        <v>436</v>
      </c>
      <c r="X414">
        <v>235</v>
      </c>
      <c r="Y414" t="s">
        <v>26652</v>
      </c>
      <c r="Z414" t="s">
        <v>26659</v>
      </c>
      <c r="AA414" t="s">
        <v>26680</v>
      </c>
      <c r="AB414" t="s">
        <v>27091</v>
      </c>
      <c r="AD414" t="s">
        <v>37171</v>
      </c>
      <c r="AE414">
        <v>91</v>
      </c>
      <c r="AF414" t="s">
        <v>45549</v>
      </c>
      <c r="AH414">
        <v>35</v>
      </c>
      <c r="AI414">
        <v>4</v>
      </c>
      <c r="AJ414">
        <v>0</v>
      </c>
      <c r="AK414">
        <v>37.52</v>
      </c>
      <c r="AN414" t="s">
        <v>7439</v>
      </c>
      <c r="AO414">
        <v>9417.6</v>
      </c>
      <c r="AR414" t="s">
        <v>46388</v>
      </c>
      <c r="AS414" t="s">
        <v>46499</v>
      </c>
      <c r="AT414" t="s">
        <v>46604</v>
      </c>
      <c r="AU414">
        <v>25</v>
      </c>
      <c r="AV414" t="s">
        <v>791</v>
      </c>
      <c r="AW414" t="s">
        <v>46856</v>
      </c>
    </row>
    <row r="415" spans="1:50">
      <c r="A415" s="1">
        <f>HYPERLINK("https://lsnyc.legalserver.org/matter/dynamic-profile/view/1872914","18-1872914")</f>
        <v>0</v>
      </c>
      <c r="B415" t="s">
        <v>77</v>
      </c>
      <c r="C415" t="s">
        <v>340</v>
      </c>
      <c r="D415" t="s">
        <v>436</v>
      </c>
      <c r="F415" t="s">
        <v>1195</v>
      </c>
      <c r="G415" t="s">
        <v>5374</v>
      </c>
      <c r="H415" t="s">
        <v>10004</v>
      </c>
      <c r="I415" t="s">
        <v>17331</v>
      </c>
      <c r="J415" t="s">
        <v>18893</v>
      </c>
      <c r="K415">
        <v>10012</v>
      </c>
      <c r="L415" t="s">
        <v>18958</v>
      </c>
      <c r="M415" t="s">
        <v>18958</v>
      </c>
      <c r="N415" t="s">
        <v>19271</v>
      </c>
      <c r="O415" t="s">
        <v>26524</v>
      </c>
      <c r="P415" t="s">
        <v>26560</v>
      </c>
      <c r="R415" t="s">
        <v>26582</v>
      </c>
      <c r="S415" t="s">
        <v>18959</v>
      </c>
      <c r="U415" t="s">
        <v>26604</v>
      </c>
      <c r="V415" t="s">
        <v>26610</v>
      </c>
      <c r="W415" t="s">
        <v>436</v>
      </c>
      <c r="X415">
        <v>1226.74</v>
      </c>
      <c r="Y415" t="s">
        <v>26651</v>
      </c>
      <c r="Z415" t="s">
        <v>26661</v>
      </c>
      <c r="AB415" t="s">
        <v>27092</v>
      </c>
      <c r="AD415" t="s">
        <v>37172</v>
      </c>
      <c r="AE415">
        <v>5</v>
      </c>
      <c r="AF415" t="s">
        <v>45541</v>
      </c>
      <c r="AG415" t="s">
        <v>19330</v>
      </c>
      <c r="AH415">
        <v>26</v>
      </c>
      <c r="AI415">
        <v>1</v>
      </c>
      <c r="AJ415">
        <v>0</v>
      </c>
      <c r="AK415">
        <v>0</v>
      </c>
      <c r="AN415" t="s">
        <v>7439</v>
      </c>
      <c r="AO415">
        <v>0</v>
      </c>
      <c r="AU415">
        <v>27.8</v>
      </c>
      <c r="AV415" t="s">
        <v>832</v>
      </c>
      <c r="AW415" t="s">
        <v>314</v>
      </c>
    </row>
    <row r="416" spans="1:50">
      <c r="A416" s="1">
        <f>HYPERLINK("https://lsnyc.legalserver.org/matter/dynamic-profile/view/1872874","18-1872874")</f>
        <v>0</v>
      </c>
      <c r="B416" t="s">
        <v>173</v>
      </c>
      <c r="C416" t="s">
        <v>340</v>
      </c>
      <c r="D416" t="s">
        <v>436</v>
      </c>
      <c r="F416" t="s">
        <v>1196</v>
      </c>
      <c r="G416" t="s">
        <v>5375</v>
      </c>
      <c r="H416" t="s">
        <v>10005</v>
      </c>
      <c r="I416" t="s">
        <v>17390</v>
      </c>
      <c r="J416" t="s">
        <v>18893</v>
      </c>
      <c r="K416">
        <v>10031</v>
      </c>
      <c r="L416" t="s">
        <v>18958</v>
      </c>
      <c r="M416" t="s">
        <v>18958</v>
      </c>
      <c r="N416" t="s">
        <v>19272</v>
      </c>
      <c r="O416" t="s">
        <v>26524</v>
      </c>
      <c r="P416" t="s">
        <v>26560</v>
      </c>
      <c r="R416" t="s">
        <v>26578</v>
      </c>
      <c r="S416" t="s">
        <v>18959</v>
      </c>
      <c r="U416" t="s">
        <v>26604</v>
      </c>
      <c r="V416" t="s">
        <v>26610</v>
      </c>
      <c r="W416" t="s">
        <v>436</v>
      </c>
      <c r="X416">
        <v>186.57</v>
      </c>
      <c r="Y416" t="s">
        <v>26651</v>
      </c>
      <c r="Z416" t="s">
        <v>26661</v>
      </c>
      <c r="AB416" t="s">
        <v>27093</v>
      </c>
      <c r="AD416" t="s">
        <v>37173</v>
      </c>
      <c r="AE416">
        <v>0</v>
      </c>
      <c r="AF416" t="s">
        <v>45541</v>
      </c>
      <c r="AG416" t="s">
        <v>19330</v>
      </c>
      <c r="AH416">
        <v>48</v>
      </c>
      <c r="AI416">
        <v>2</v>
      </c>
      <c r="AJ416">
        <v>0</v>
      </c>
      <c r="AK416">
        <v>207.87</v>
      </c>
      <c r="AN416" t="s">
        <v>7439</v>
      </c>
      <c r="AO416">
        <v>34216</v>
      </c>
      <c r="AU416">
        <v>95.59999999999999</v>
      </c>
      <c r="AV416" t="s">
        <v>839</v>
      </c>
      <c r="AW416" t="s">
        <v>314</v>
      </c>
    </row>
    <row r="417" spans="1:49">
      <c r="A417" s="1">
        <f>HYPERLINK("https://lsnyc.legalserver.org/matter/dynamic-profile/view/1872892","18-1872892")</f>
        <v>0</v>
      </c>
      <c r="B417" t="s">
        <v>173</v>
      </c>
      <c r="C417" t="s">
        <v>340</v>
      </c>
      <c r="D417" t="s">
        <v>436</v>
      </c>
      <c r="F417" t="s">
        <v>1197</v>
      </c>
      <c r="G417" t="s">
        <v>5376</v>
      </c>
      <c r="H417" t="s">
        <v>10006</v>
      </c>
      <c r="I417" t="s">
        <v>17293</v>
      </c>
      <c r="J417" t="s">
        <v>18893</v>
      </c>
      <c r="K417">
        <v>10030</v>
      </c>
      <c r="L417" t="s">
        <v>18958</v>
      </c>
      <c r="M417" t="s">
        <v>18958</v>
      </c>
      <c r="N417" t="s">
        <v>19273</v>
      </c>
      <c r="O417" t="s">
        <v>26523</v>
      </c>
      <c r="P417" t="s">
        <v>26560</v>
      </c>
      <c r="R417" t="s">
        <v>26582</v>
      </c>
      <c r="S417" t="s">
        <v>18959</v>
      </c>
      <c r="U417" t="s">
        <v>26604</v>
      </c>
      <c r="W417" t="s">
        <v>436</v>
      </c>
      <c r="X417">
        <v>1305</v>
      </c>
      <c r="Y417" t="s">
        <v>26651</v>
      </c>
      <c r="Z417" t="s">
        <v>26661</v>
      </c>
      <c r="AB417" t="s">
        <v>27094</v>
      </c>
      <c r="AD417" t="s">
        <v>37174</v>
      </c>
      <c r="AE417">
        <v>0</v>
      </c>
      <c r="AF417" t="s">
        <v>45541</v>
      </c>
      <c r="AG417" t="s">
        <v>45559</v>
      </c>
      <c r="AH417">
        <v>20</v>
      </c>
      <c r="AI417">
        <v>1</v>
      </c>
      <c r="AJ417">
        <v>0</v>
      </c>
      <c r="AK417">
        <v>78.39</v>
      </c>
      <c r="AN417" t="s">
        <v>7439</v>
      </c>
      <c r="AO417">
        <v>9516</v>
      </c>
      <c r="AU417">
        <v>26.8</v>
      </c>
      <c r="AV417" t="s">
        <v>839</v>
      </c>
      <c r="AW417" t="s">
        <v>314</v>
      </c>
    </row>
    <row r="418" spans="1:49">
      <c r="A418" s="1">
        <f>HYPERLINK("https://lsnyc.legalserver.org/matter/dynamic-profile/view/1869667","18-1869667")</f>
        <v>0</v>
      </c>
      <c r="B418" t="s">
        <v>75</v>
      </c>
      <c r="C418" t="s">
        <v>341</v>
      </c>
      <c r="D418" t="s">
        <v>397</v>
      </c>
      <c r="E418" t="s">
        <v>787</v>
      </c>
      <c r="F418" t="s">
        <v>974</v>
      </c>
      <c r="G418" t="s">
        <v>2267</v>
      </c>
      <c r="H418" t="s">
        <v>10007</v>
      </c>
      <c r="I418" t="s">
        <v>17307</v>
      </c>
      <c r="J418" t="s">
        <v>18892</v>
      </c>
      <c r="K418">
        <v>10457</v>
      </c>
      <c r="L418" t="s">
        <v>18958</v>
      </c>
      <c r="M418" t="s">
        <v>18960</v>
      </c>
      <c r="N418" t="s">
        <v>19274</v>
      </c>
      <c r="O418" t="s">
        <v>26523</v>
      </c>
      <c r="P418" t="s">
        <v>26560</v>
      </c>
      <c r="Q418" t="s">
        <v>26568</v>
      </c>
      <c r="R418" t="s">
        <v>26579</v>
      </c>
      <c r="U418" t="s">
        <v>26604</v>
      </c>
      <c r="V418" t="s">
        <v>26610</v>
      </c>
      <c r="W418" t="s">
        <v>26622</v>
      </c>
      <c r="X418">
        <v>1256</v>
      </c>
      <c r="Y418" t="s">
        <v>26650</v>
      </c>
      <c r="AA418" t="s">
        <v>26678</v>
      </c>
      <c r="AB418" t="s">
        <v>27095</v>
      </c>
      <c r="AC418" t="s">
        <v>34607</v>
      </c>
      <c r="AD418" t="s">
        <v>37175</v>
      </c>
      <c r="AE418">
        <v>30</v>
      </c>
      <c r="AF418" t="s">
        <v>45543</v>
      </c>
      <c r="AG418" t="s">
        <v>45556</v>
      </c>
      <c r="AH418">
        <v>15</v>
      </c>
      <c r="AI418">
        <v>1</v>
      </c>
      <c r="AJ418">
        <v>0</v>
      </c>
      <c r="AK418">
        <v>81.65000000000001</v>
      </c>
      <c r="AO418">
        <v>9912</v>
      </c>
      <c r="AS418" t="s">
        <v>46499</v>
      </c>
      <c r="AT418" t="s">
        <v>46606</v>
      </c>
      <c r="AU418">
        <v>37.7</v>
      </c>
      <c r="AV418" t="s">
        <v>787</v>
      </c>
      <c r="AW418" t="s">
        <v>46847</v>
      </c>
    </row>
    <row r="419" spans="1:49">
      <c r="A419" s="1">
        <f>HYPERLINK("https://lsnyc.legalserver.org/matter/dynamic-profile/view/1871051","18-1871051")</f>
        <v>0</v>
      </c>
      <c r="B419" t="s">
        <v>116</v>
      </c>
      <c r="C419" t="s">
        <v>341</v>
      </c>
      <c r="D419" t="s">
        <v>405</v>
      </c>
      <c r="E419" t="s">
        <v>531</v>
      </c>
      <c r="F419" t="s">
        <v>1198</v>
      </c>
      <c r="G419" t="s">
        <v>5377</v>
      </c>
      <c r="H419" t="s">
        <v>10008</v>
      </c>
      <c r="I419" t="s">
        <v>17438</v>
      </c>
      <c r="J419" t="s">
        <v>18894</v>
      </c>
      <c r="K419">
        <v>11208</v>
      </c>
      <c r="L419" t="s">
        <v>18958</v>
      </c>
      <c r="M419" t="s">
        <v>18958</v>
      </c>
      <c r="N419" t="s">
        <v>19275</v>
      </c>
      <c r="O419" t="s">
        <v>26524</v>
      </c>
      <c r="P419" t="s">
        <v>26565</v>
      </c>
      <c r="Q419" t="s">
        <v>26571</v>
      </c>
      <c r="R419" t="s">
        <v>26578</v>
      </c>
      <c r="U419" t="s">
        <v>26604</v>
      </c>
      <c r="W419" t="s">
        <v>26622</v>
      </c>
      <c r="X419">
        <v>0</v>
      </c>
      <c r="Y419" t="s">
        <v>26652</v>
      </c>
      <c r="Z419" t="s">
        <v>26662</v>
      </c>
      <c r="AA419" t="s">
        <v>26689</v>
      </c>
      <c r="AB419" t="s">
        <v>27096</v>
      </c>
      <c r="AD419" t="s">
        <v>37176</v>
      </c>
      <c r="AE419">
        <v>1</v>
      </c>
      <c r="AF419" t="s">
        <v>45547</v>
      </c>
      <c r="AH419">
        <v>13</v>
      </c>
      <c r="AI419">
        <v>8</v>
      </c>
      <c r="AJ419">
        <v>4</v>
      </c>
      <c r="AK419">
        <v>0</v>
      </c>
      <c r="AN419" t="s">
        <v>7439</v>
      </c>
      <c r="AO419">
        <v>0</v>
      </c>
      <c r="AP419" t="s">
        <v>45649</v>
      </c>
      <c r="AU419">
        <v>2.1</v>
      </c>
      <c r="AV419" t="s">
        <v>531</v>
      </c>
      <c r="AW419" t="s">
        <v>46853</v>
      </c>
    </row>
    <row r="420" spans="1:49">
      <c r="A420" s="1">
        <f>HYPERLINK("https://lsnyc.legalserver.org/matter/dynamic-profile/view/1856421","18-1856421")</f>
        <v>0</v>
      </c>
      <c r="B420" t="s">
        <v>92</v>
      </c>
      <c r="C420" t="s">
        <v>341</v>
      </c>
      <c r="D420" t="s">
        <v>456</v>
      </c>
      <c r="E420" t="s">
        <v>669</v>
      </c>
      <c r="F420" t="s">
        <v>1199</v>
      </c>
      <c r="G420" t="s">
        <v>5378</v>
      </c>
      <c r="H420" t="s">
        <v>10009</v>
      </c>
      <c r="I420" t="s">
        <v>17439</v>
      </c>
      <c r="J420" t="s">
        <v>18894</v>
      </c>
      <c r="K420">
        <v>11213</v>
      </c>
      <c r="L420" t="s">
        <v>18958</v>
      </c>
      <c r="M420" t="s">
        <v>18960</v>
      </c>
      <c r="N420" t="s">
        <v>19276</v>
      </c>
      <c r="O420" t="s">
        <v>26523</v>
      </c>
      <c r="P420" t="s">
        <v>26563</v>
      </c>
      <c r="Q420" t="s">
        <v>26570</v>
      </c>
      <c r="R420" t="s">
        <v>26583</v>
      </c>
      <c r="S420" t="s">
        <v>18958</v>
      </c>
      <c r="U420" t="s">
        <v>26604</v>
      </c>
      <c r="W420" t="s">
        <v>440</v>
      </c>
      <c r="X420">
        <v>1669.5</v>
      </c>
      <c r="Y420" t="s">
        <v>26652</v>
      </c>
      <c r="Z420" t="s">
        <v>26664</v>
      </c>
      <c r="AA420" t="s">
        <v>26683</v>
      </c>
      <c r="AB420" t="s">
        <v>27097</v>
      </c>
      <c r="AD420" t="s">
        <v>37177</v>
      </c>
      <c r="AE420">
        <v>27</v>
      </c>
      <c r="AF420" t="s">
        <v>45541</v>
      </c>
      <c r="AG420" t="s">
        <v>19330</v>
      </c>
      <c r="AH420">
        <v>1</v>
      </c>
      <c r="AI420">
        <v>2</v>
      </c>
      <c r="AJ420">
        <v>0</v>
      </c>
      <c r="AK420">
        <v>844.47</v>
      </c>
      <c r="AM420" t="s">
        <v>45578</v>
      </c>
      <c r="AO420">
        <v>139000</v>
      </c>
      <c r="AU420">
        <v>36.5</v>
      </c>
      <c r="AV420" t="s">
        <v>669</v>
      </c>
      <c r="AW420" t="s">
        <v>279</v>
      </c>
    </row>
    <row r="421" spans="1:49">
      <c r="A421" s="1">
        <f>HYPERLINK("https://lsnyc.legalserver.org/matter/dynamic-profile/view/1866214","18-1866214")</f>
        <v>0</v>
      </c>
      <c r="B421" t="s">
        <v>119</v>
      </c>
      <c r="C421" t="s">
        <v>340</v>
      </c>
      <c r="D421" t="s">
        <v>385</v>
      </c>
      <c r="F421" t="s">
        <v>1063</v>
      </c>
      <c r="G421" t="s">
        <v>5177</v>
      </c>
      <c r="H421" t="s">
        <v>9834</v>
      </c>
      <c r="I421">
        <v>3</v>
      </c>
      <c r="J421" t="s">
        <v>18893</v>
      </c>
      <c r="K421">
        <v>10035</v>
      </c>
      <c r="L421" t="s">
        <v>18958</v>
      </c>
      <c r="M421" t="s">
        <v>18958</v>
      </c>
      <c r="O421" t="s">
        <v>18997</v>
      </c>
      <c r="P421" t="s">
        <v>26565</v>
      </c>
      <c r="R421" t="s">
        <v>26578</v>
      </c>
      <c r="S421" t="s">
        <v>18959</v>
      </c>
      <c r="U421" t="s">
        <v>26606</v>
      </c>
      <c r="W421" t="s">
        <v>440</v>
      </c>
      <c r="X421">
        <v>900</v>
      </c>
      <c r="Y421" t="s">
        <v>26651</v>
      </c>
      <c r="Z421" t="s">
        <v>26672</v>
      </c>
      <c r="AB421" t="s">
        <v>26920</v>
      </c>
      <c r="AD421" t="s">
        <v>37178</v>
      </c>
      <c r="AE421">
        <v>6</v>
      </c>
      <c r="AF421" t="s">
        <v>45541</v>
      </c>
      <c r="AG421" t="s">
        <v>45556</v>
      </c>
      <c r="AH421">
        <v>17</v>
      </c>
      <c r="AI421">
        <v>1</v>
      </c>
      <c r="AJ421">
        <v>0</v>
      </c>
      <c r="AK421">
        <v>79.08</v>
      </c>
      <c r="AN421" t="s">
        <v>7439</v>
      </c>
      <c r="AO421">
        <v>9600</v>
      </c>
      <c r="AU421">
        <v>25.68</v>
      </c>
      <c r="AV421" t="s">
        <v>814</v>
      </c>
      <c r="AW421" t="s">
        <v>46829</v>
      </c>
    </row>
    <row r="422" spans="1:49">
      <c r="A422" s="1">
        <f>HYPERLINK("https://lsnyc.legalserver.org/matter/dynamic-profile/view/1870777","18-1870777")</f>
        <v>0</v>
      </c>
      <c r="B422" t="s">
        <v>58</v>
      </c>
      <c r="C422" t="s">
        <v>341</v>
      </c>
      <c r="D422" t="s">
        <v>403</v>
      </c>
      <c r="E422" t="s">
        <v>826</v>
      </c>
      <c r="F422" t="s">
        <v>1200</v>
      </c>
      <c r="G422" t="s">
        <v>5379</v>
      </c>
      <c r="H422" t="s">
        <v>10010</v>
      </c>
      <c r="I422" t="s">
        <v>17436</v>
      </c>
      <c r="J422" t="s">
        <v>18892</v>
      </c>
      <c r="K422">
        <v>10467</v>
      </c>
      <c r="L422" t="s">
        <v>18958</v>
      </c>
      <c r="M422" t="s">
        <v>18958</v>
      </c>
      <c r="N422" t="s">
        <v>19277</v>
      </c>
      <c r="O422" t="s">
        <v>26523</v>
      </c>
      <c r="P422" t="s">
        <v>26560</v>
      </c>
      <c r="Q422" t="s">
        <v>26568</v>
      </c>
      <c r="R422" t="s">
        <v>26579</v>
      </c>
      <c r="S422" t="s">
        <v>18959</v>
      </c>
      <c r="U422" t="s">
        <v>26604</v>
      </c>
      <c r="V422" t="s">
        <v>26610</v>
      </c>
      <c r="W422" t="s">
        <v>440</v>
      </c>
      <c r="X422">
        <v>1285</v>
      </c>
      <c r="Y422" t="s">
        <v>26650</v>
      </c>
      <c r="Z422" t="s">
        <v>26659</v>
      </c>
      <c r="AA422" t="s">
        <v>26678</v>
      </c>
      <c r="AB422" t="s">
        <v>27098</v>
      </c>
      <c r="AC422" t="s">
        <v>34608</v>
      </c>
      <c r="AD422" t="s">
        <v>37179</v>
      </c>
      <c r="AE422">
        <v>0</v>
      </c>
      <c r="AG422" t="s">
        <v>45558</v>
      </c>
      <c r="AH422">
        <v>3</v>
      </c>
      <c r="AI422">
        <v>1</v>
      </c>
      <c r="AJ422">
        <v>2</v>
      </c>
      <c r="AK422">
        <v>19.39</v>
      </c>
      <c r="AN422" t="s">
        <v>7439</v>
      </c>
      <c r="AO422">
        <v>4030</v>
      </c>
      <c r="AS422" t="s">
        <v>46499</v>
      </c>
      <c r="AU422">
        <v>4.75</v>
      </c>
      <c r="AV422" t="s">
        <v>826</v>
      </c>
      <c r="AW422" t="s">
        <v>46837</v>
      </c>
    </row>
    <row r="423" spans="1:49">
      <c r="A423" s="1">
        <f>HYPERLINK("https://lsnyc.legalserver.org/matter/dynamic-profile/view/1872089","18-1872089")</f>
        <v>0</v>
      </c>
      <c r="B423" t="s">
        <v>127</v>
      </c>
      <c r="C423" t="s">
        <v>340</v>
      </c>
      <c r="D423" t="s">
        <v>435</v>
      </c>
      <c r="F423" t="s">
        <v>1201</v>
      </c>
      <c r="G423" t="s">
        <v>5380</v>
      </c>
      <c r="H423" t="s">
        <v>10011</v>
      </c>
      <c r="I423">
        <v>5</v>
      </c>
      <c r="J423" t="s">
        <v>18894</v>
      </c>
      <c r="K423">
        <v>11233</v>
      </c>
      <c r="L423" t="s">
        <v>18958</v>
      </c>
      <c r="M423" t="s">
        <v>18958</v>
      </c>
      <c r="N423" t="s">
        <v>19278</v>
      </c>
      <c r="O423" t="s">
        <v>26523</v>
      </c>
      <c r="P423" t="s">
        <v>26560</v>
      </c>
      <c r="R423" t="s">
        <v>26578</v>
      </c>
      <c r="S423" t="s">
        <v>18959</v>
      </c>
      <c r="U423" t="s">
        <v>26604</v>
      </c>
      <c r="W423" t="s">
        <v>440</v>
      </c>
      <c r="X423">
        <v>1350</v>
      </c>
      <c r="Y423" t="s">
        <v>26652</v>
      </c>
      <c r="Z423" t="s">
        <v>26656</v>
      </c>
      <c r="AB423" t="s">
        <v>27099</v>
      </c>
      <c r="AC423" t="s">
        <v>20460</v>
      </c>
      <c r="AD423" t="s">
        <v>37180</v>
      </c>
      <c r="AE423">
        <v>7</v>
      </c>
      <c r="AF423" t="s">
        <v>45541</v>
      </c>
      <c r="AG423" t="s">
        <v>19330</v>
      </c>
      <c r="AH423">
        <v>5</v>
      </c>
      <c r="AI423">
        <v>2</v>
      </c>
      <c r="AJ423">
        <v>0</v>
      </c>
      <c r="AK423">
        <v>41.92</v>
      </c>
      <c r="AN423" t="s">
        <v>7439</v>
      </c>
      <c r="AO423">
        <v>6900</v>
      </c>
      <c r="AP423" t="s">
        <v>45650</v>
      </c>
      <c r="AU423">
        <v>23.1</v>
      </c>
      <c r="AV423" t="s">
        <v>732</v>
      </c>
      <c r="AW423" t="s">
        <v>46842</v>
      </c>
    </row>
    <row r="424" spans="1:49">
      <c r="A424" s="1">
        <f>HYPERLINK("https://lsnyc.legalserver.org/matter/dynamic-profile/view/1873065","18-1873065")</f>
        <v>0</v>
      </c>
      <c r="B424" t="s">
        <v>136</v>
      </c>
      <c r="C424" t="s">
        <v>341</v>
      </c>
      <c r="D424" t="s">
        <v>440</v>
      </c>
      <c r="E424" t="s">
        <v>494</v>
      </c>
      <c r="F424" t="s">
        <v>1202</v>
      </c>
      <c r="G424" t="s">
        <v>5381</v>
      </c>
      <c r="H424" t="s">
        <v>10012</v>
      </c>
      <c r="I424" t="s">
        <v>17299</v>
      </c>
      <c r="J424" t="s">
        <v>18892</v>
      </c>
      <c r="K424">
        <v>10460</v>
      </c>
      <c r="L424" t="s">
        <v>18958</v>
      </c>
      <c r="M424" t="s">
        <v>18958</v>
      </c>
      <c r="N424" t="s">
        <v>19279</v>
      </c>
      <c r="O424" t="s">
        <v>26523</v>
      </c>
      <c r="P424" t="s">
        <v>26560</v>
      </c>
      <c r="Q424" t="s">
        <v>26568</v>
      </c>
      <c r="R424" t="s">
        <v>26577</v>
      </c>
      <c r="S424" t="s">
        <v>18959</v>
      </c>
      <c r="U424" t="s">
        <v>26604</v>
      </c>
      <c r="V424" t="s">
        <v>26612</v>
      </c>
      <c r="W424" t="s">
        <v>440</v>
      </c>
      <c r="X424">
        <v>1495</v>
      </c>
      <c r="Y424" t="s">
        <v>26650</v>
      </c>
      <c r="Z424" t="s">
        <v>26656</v>
      </c>
      <c r="AA424" t="s">
        <v>26678</v>
      </c>
      <c r="AB424" t="s">
        <v>27100</v>
      </c>
      <c r="AC424" t="s">
        <v>34609</v>
      </c>
      <c r="AD424" t="s">
        <v>37181</v>
      </c>
      <c r="AE424">
        <v>53</v>
      </c>
      <c r="AF424" t="s">
        <v>45541</v>
      </c>
      <c r="AG424" t="s">
        <v>19330</v>
      </c>
      <c r="AH424">
        <v>1</v>
      </c>
      <c r="AI424">
        <v>1</v>
      </c>
      <c r="AJ424">
        <v>1</v>
      </c>
      <c r="AK424">
        <v>15.97</v>
      </c>
      <c r="AN424" t="s">
        <v>7439</v>
      </c>
      <c r="AO424">
        <v>2628</v>
      </c>
      <c r="AP424" t="s">
        <v>45621</v>
      </c>
      <c r="AQ424" t="s">
        <v>46366</v>
      </c>
      <c r="AR424" t="s">
        <v>46380</v>
      </c>
      <c r="AS424" t="s">
        <v>46499</v>
      </c>
      <c r="AT424" t="s">
        <v>46572</v>
      </c>
      <c r="AU424">
        <v>12</v>
      </c>
      <c r="AV424" t="s">
        <v>534</v>
      </c>
      <c r="AW424" t="s">
        <v>46837</v>
      </c>
    </row>
    <row r="425" spans="1:49">
      <c r="A425" s="1">
        <f>HYPERLINK("https://lsnyc.legalserver.org/matter/dynamic-profile/view/1873096","18-1873096")</f>
        <v>0</v>
      </c>
      <c r="B425" t="s">
        <v>99</v>
      </c>
      <c r="C425" t="s">
        <v>341</v>
      </c>
      <c r="D425" t="s">
        <v>440</v>
      </c>
      <c r="E425" t="s">
        <v>531</v>
      </c>
      <c r="F425" t="s">
        <v>1018</v>
      </c>
      <c r="G425" t="s">
        <v>5303</v>
      </c>
      <c r="H425" t="s">
        <v>9903</v>
      </c>
      <c r="I425" t="s">
        <v>17352</v>
      </c>
      <c r="J425" t="s">
        <v>18902</v>
      </c>
      <c r="K425">
        <v>10314</v>
      </c>
      <c r="L425" t="s">
        <v>18958</v>
      </c>
      <c r="M425" t="s">
        <v>18958</v>
      </c>
      <c r="N425" t="s">
        <v>19280</v>
      </c>
      <c r="O425" t="s">
        <v>26525</v>
      </c>
      <c r="P425" t="s">
        <v>26561</v>
      </c>
      <c r="Q425" t="s">
        <v>26573</v>
      </c>
      <c r="R425" t="s">
        <v>26587</v>
      </c>
      <c r="S425" t="s">
        <v>18959</v>
      </c>
      <c r="U425" t="s">
        <v>26605</v>
      </c>
      <c r="V425" t="s">
        <v>26610</v>
      </c>
      <c r="W425" t="s">
        <v>440</v>
      </c>
      <c r="X425">
        <v>255.6</v>
      </c>
      <c r="Y425" t="s">
        <v>26654</v>
      </c>
      <c r="Z425" t="s">
        <v>26659</v>
      </c>
      <c r="AA425" t="s">
        <v>26680</v>
      </c>
      <c r="AB425" t="s">
        <v>26990</v>
      </c>
      <c r="AD425" t="s">
        <v>37080</v>
      </c>
      <c r="AE425">
        <v>72</v>
      </c>
      <c r="AF425" t="s">
        <v>45542</v>
      </c>
      <c r="AG425" t="s">
        <v>19330</v>
      </c>
      <c r="AH425">
        <v>23</v>
      </c>
      <c r="AI425">
        <v>1</v>
      </c>
      <c r="AJ425">
        <v>0</v>
      </c>
      <c r="AK425">
        <v>75.02</v>
      </c>
      <c r="AN425" t="s">
        <v>7439</v>
      </c>
      <c r="AO425">
        <v>9108</v>
      </c>
      <c r="AR425" t="s">
        <v>26530</v>
      </c>
      <c r="AS425" t="s">
        <v>46499</v>
      </c>
      <c r="AT425" t="s">
        <v>46585</v>
      </c>
      <c r="AU425">
        <v>4.6</v>
      </c>
      <c r="AV425" t="s">
        <v>531</v>
      </c>
      <c r="AW425" t="s">
        <v>46852</v>
      </c>
    </row>
    <row r="426" spans="1:49">
      <c r="A426" s="1">
        <f>HYPERLINK("https://lsnyc.legalserver.org/matter/dynamic-profile/view/1873030","18-1873030")</f>
        <v>0</v>
      </c>
      <c r="B426" t="s">
        <v>174</v>
      </c>
      <c r="C426" t="s">
        <v>341</v>
      </c>
      <c r="D426" t="s">
        <v>440</v>
      </c>
      <c r="E426" t="s">
        <v>707</v>
      </c>
      <c r="F426" t="s">
        <v>1203</v>
      </c>
      <c r="G426" t="s">
        <v>3540</v>
      </c>
      <c r="H426" t="s">
        <v>10013</v>
      </c>
      <c r="I426">
        <v>2</v>
      </c>
      <c r="J426" t="s">
        <v>18894</v>
      </c>
      <c r="K426">
        <v>11212</v>
      </c>
      <c r="L426" t="s">
        <v>18958</v>
      </c>
      <c r="M426" t="s">
        <v>18958</v>
      </c>
      <c r="N426" t="s">
        <v>19281</v>
      </c>
      <c r="O426" t="s">
        <v>26523</v>
      </c>
      <c r="P426" t="s">
        <v>26560</v>
      </c>
      <c r="Q426" t="s">
        <v>26574</v>
      </c>
      <c r="R426" t="s">
        <v>26578</v>
      </c>
      <c r="S426" t="s">
        <v>18959</v>
      </c>
      <c r="U426" t="s">
        <v>26604</v>
      </c>
      <c r="W426" t="s">
        <v>440</v>
      </c>
      <c r="X426">
        <v>800</v>
      </c>
      <c r="Y426" t="s">
        <v>26652</v>
      </c>
      <c r="Z426" t="s">
        <v>26663</v>
      </c>
      <c r="AA426" t="s">
        <v>26678</v>
      </c>
      <c r="AB426" t="s">
        <v>27101</v>
      </c>
      <c r="AC426" t="s">
        <v>34610</v>
      </c>
      <c r="AD426" t="s">
        <v>37182</v>
      </c>
      <c r="AE426">
        <v>4</v>
      </c>
      <c r="AF426" t="s">
        <v>45547</v>
      </c>
      <c r="AH426">
        <v>9</v>
      </c>
      <c r="AI426">
        <v>2</v>
      </c>
      <c r="AJ426">
        <v>0</v>
      </c>
      <c r="AK426">
        <v>94.05</v>
      </c>
      <c r="AN426" t="s">
        <v>7439</v>
      </c>
      <c r="AO426">
        <v>15480</v>
      </c>
      <c r="AP426" t="s">
        <v>45635</v>
      </c>
      <c r="AU426">
        <v>123.43</v>
      </c>
      <c r="AV426" t="s">
        <v>707</v>
      </c>
      <c r="AW426" t="s">
        <v>46843</v>
      </c>
    </row>
    <row r="427" spans="1:49">
      <c r="A427" s="1">
        <f>HYPERLINK("https://lsnyc.legalserver.org/matter/dynamic-profile/view/1873058","18-1873058")</f>
        <v>0</v>
      </c>
      <c r="B427" t="s">
        <v>66</v>
      </c>
      <c r="C427" t="s">
        <v>341</v>
      </c>
      <c r="D427" t="s">
        <v>440</v>
      </c>
      <c r="E427" t="s">
        <v>706</v>
      </c>
      <c r="F427" t="s">
        <v>1020</v>
      </c>
      <c r="G427" t="s">
        <v>5382</v>
      </c>
      <c r="H427" t="s">
        <v>10014</v>
      </c>
      <c r="I427" t="s">
        <v>17343</v>
      </c>
      <c r="J427" t="s">
        <v>18893</v>
      </c>
      <c r="K427">
        <v>10031</v>
      </c>
      <c r="L427" t="s">
        <v>18958</v>
      </c>
      <c r="M427" t="s">
        <v>18960</v>
      </c>
      <c r="N427" t="s">
        <v>19282</v>
      </c>
      <c r="O427" t="s">
        <v>26523</v>
      </c>
      <c r="P427" t="s">
        <v>26564</v>
      </c>
      <c r="Q427" t="s">
        <v>26570</v>
      </c>
      <c r="R427" t="s">
        <v>26580</v>
      </c>
      <c r="S427" t="s">
        <v>18959</v>
      </c>
      <c r="U427" t="s">
        <v>26604</v>
      </c>
      <c r="W427" t="s">
        <v>440</v>
      </c>
      <c r="X427">
        <v>920</v>
      </c>
      <c r="Y427" t="s">
        <v>26651</v>
      </c>
      <c r="Z427" t="s">
        <v>26664</v>
      </c>
      <c r="AA427" t="s">
        <v>26683</v>
      </c>
      <c r="AB427" t="s">
        <v>27102</v>
      </c>
      <c r="AC427" t="s">
        <v>34611</v>
      </c>
      <c r="AD427" t="s">
        <v>37183</v>
      </c>
      <c r="AE427">
        <v>42</v>
      </c>
      <c r="AF427" t="s">
        <v>45541</v>
      </c>
      <c r="AG427" t="s">
        <v>45557</v>
      </c>
      <c r="AH427">
        <v>2</v>
      </c>
      <c r="AI427">
        <v>1</v>
      </c>
      <c r="AJ427">
        <v>1</v>
      </c>
      <c r="AK427">
        <v>0</v>
      </c>
      <c r="AO427">
        <v>0</v>
      </c>
      <c r="AU427">
        <v>1</v>
      </c>
      <c r="AV427" t="s">
        <v>705</v>
      </c>
      <c r="AW427" t="s">
        <v>46845</v>
      </c>
    </row>
    <row r="428" spans="1:49">
      <c r="A428" s="1">
        <f>HYPERLINK("https://lsnyc.legalserver.org/matter/dynamic-profile/view/1873061","18-1873061")</f>
        <v>0</v>
      </c>
      <c r="B428" t="s">
        <v>66</v>
      </c>
      <c r="C428" t="s">
        <v>341</v>
      </c>
      <c r="D428" t="s">
        <v>440</v>
      </c>
      <c r="E428" t="s">
        <v>706</v>
      </c>
      <c r="F428" t="s">
        <v>1204</v>
      </c>
      <c r="G428" t="s">
        <v>5383</v>
      </c>
      <c r="H428" t="s">
        <v>10015</v>
      </c>
      <c r="I428" t="s">
        <v>17327</v>
      </c>
      <c r="J428" t="s">
        <v>18893</v>
      </c>
      <c r="K428">
        <v>10027</v>
      </c>
      <c r="L428" t="s">
        <v>18958</v>
      </c>
      <c r="M428" t="s">
        <v>18958</v>
      </c>
      <c r="N428" t="s">
        <v>19283</v>
      </c>
      <c r="O428" t="s">
        <v>26523</v>
      </c>
      <c r="P428" t="s">
        <v>26560</v>
      </c>
      <c r="Q428" t="s">
        <v>26568</v>
      </c>
      <c r="R428" t="s">
        <v>26580</v>
      </c>
      <c r="S428" t="s">
        <v>18959</v>
      </c>
      <c r="U428" t="s">
        <v>26604</v>
      </c>
      <c r="V428" t="s">
        <v>26610</v>
      </c>
      <c r="W428" t="s">
        <v>440</v>
      </c>
      <c r="X428">
        <v>0</v>
      </c>
      <c r="Y428" t="s">
        <v>26651</v>
      </c>
      <c r="Z428" t="s">
        <v>26664</v>
      </c>
      <c r="AA428" t="s">
        <v>26678</v>
      </c>
      <c r="AB428" t="s">
        <v>27103</v>
      </c>
      <c r="AC428" t="s">
        <v>34612</v>
      </c>
      <c r="AD428" t="s">
        <v>37184</v>
      </c>
      <c r="AE428">
        <v>48</v>
      </c>
      <c r="AG428" t="s">
        <v>19330</v>
      </c>
      <c r="AH428">
        <v>0</v>
      </c>
      <c r="AI428">
        <v>1</v>
      </c>
      <c r="AJ428">
        <v>2</v>
      </c>
      <c r="AK428">
        <v>42.49</v>
      </c>
      <c r="AN428" t="s">
        <v>7439</v>
      </c>
      <c r="AO428">
        <v>8830</v>
      </c>
      <c r="AS428" t="s">
        <v>46499</v>
      </c>
      <c r="AT428" t="s">
        <v>46614</v>
      </c>
      <c r="AU428">
        <v>9</v>
      </c>
      <c r="AV428" t="s">
        <v>706</v>
      </c>
      <c r="AW428" t="s">
        <v>46845</v>
      </c>
    </row>
    <row r="429" spans="1:49">
      <c r="A429" s="1">
        <f>HYPERLINK("https://lsnyc.legalserver.org/matter/dynamic-profile/view/1873094","18-1873094")</f>
        <v>0</v>
      </c>
      <c r="B429" t="s">
        <v>75</v>
      </c>
      <c r="C429" t="s">
        <v>341</v>
      </c>
      <c r="D429" t="s">
        <v>440</v>
      </c>
      <c r="E429" t="s">
        <v>779</v>
      </c>
      <c r="F429" t="s">
        <v>1205</v>
      </c>
      <c r="G429" t="s">
        <v>5384</v>
      </c>
      <c r="H429" t="s">
        <v>10016</v>
      </c>
      <c r="I429">
        <v>21</v>
      </c>
      <c r="J429" t="s">
        <v>18892</v>
      </c>
      <c r="K429">
        <v>10468</v>
      </c>
      <c r="L429" t="s">
        <v>18958</v>
      </c>
      <c r="M429" t="s">
        <v>18958</v>
      </c>
      <c r="N429" t="s">
        <v>19284</v>
      </c>
      <c r="O429" t="s">
        <v>26523</v>
      </c>
      <c r="P429" t="s">
        <v>26560</v>
      </c>
      <c r="Q429" t="s">
        <v>26568</v>
      </c>
      <c r="R429" t="s">
        <v>26579</v>
      </c>
      <c r="S429" t="s">
        <v>18959</v>
      </c>
      <c r="U429" t="s">
        <v>26604</v>
      </c>
      <c r="W429" t="s">
        <v>440</v>
      </c>
      <c r="X429">
        <v>1017</v>
      </c>
      <c r="Y429" t="s">
        <v>26650</v>
      </c>
      <c r="AA429" t="s">
        <v>26678</v>
      </c>
      <c r="AB429" t="s">
        <v>27104</v>
      </c>
      <c r="AD429" t="s">
        <v>37185</v>
      </c>
      <c r="AE429">
        <v>25</v>
      </c>
      <c r="AF429" t="s">
        <v>45541</v>
      </c>
      <c r="AG429" t="s">
        <v>45556</v>
      </c>
      <c r="AH429">
        <v>17</v>
      </c>
      <c r="AI429">
        <v>1</v>
      </c>
      <c r="AJ429">
        <v>0</v>
      </c>
      <c r="AK429">
        <v>44.98</v>
      </c>
      <c r="AN429" t="s">
        <v>7439</v>
      </c>
      <c r="AO429">
        <v>5460</v>
      </c>
      <c r="AP429" t="s">
        <v>45621</v>
      </c>
      <c r="AS429" t="s">
        <v>46499</v>
      </c>
      <c r="AT429" t="s">
        <v>46615</v>
      </c>
      <c r="AU429">
        <v>9.550000000000001</v>
      </c>
      <c r="AV429" t="s">
        <v>775</v>
      </c>
      <c r="AW429" t="s">
        <v>46847</v>
      </c>
    </row>
    <row r="430" spans="1:49">
      <c r="A430" s="1">
        <f>HYPERLINK("https://lsnyc.legalserver.org/matter/dynamic-profile/view/1873090","18-1873090")</f>
        <v>0</v>
      </c>
      <c r="B430" t="s">
        <v>75</v>
      </c>
      <c r="C430" t="s">
        <v>341</v>
      </c>
      <c r="D430" t="s">
        <v>440</v>
      </c>
      <c r="E430" t="s">
        <v>760</v>
      </c>
      <c r="F430" t="s">
        <v>1206</v>
      </c>
      <c r="G430" t="s">
        <v>5385</v>
      </c>
      <c r="H430" t="s">
        <v>10017</v>
      </c>
      <c r="I430" t="s">
        <v>17440</v>
      </c>
      <c r="J430" t="s">
        <v>18892</v>
      </c>
      <c r="K430">
        <v>10468</v>
      </c>
      <c r="L430" t="s">
        <v>18958</v>
      </c>
      <c r="M430" t="s">
        <v>18958</v>
      </c>
      <c r="N430" t="s">
        <v>19285</v>
      </c>
      <c r="O430" t="s">
        <v>26523</v>
      </c>
      <c r="P430" t="s">
        <v>26560</v>
      </c>
      <c r="Q430" t="s">
        <v>26568</v>
      </c>
      <c r="R430" t="s">
        <v>26579</v>
      </c>
      <c r="U430" t="s">
        <v>26604</v>
      </c>
      <c r="W430" t="s">
        <v>440</v>
      </c>
      <c r="X430">
        <v>1082</v>
      </c>
      <c r="Y430" t="s">
        <v>26650</v>
      </c>
      <c r="Z430" t="s">
        <v>26656</v>
      </c>
      <c r="AA430" t="s">
        <v>26678</v>
      </c>
      <c r="AB430" t="s">
        <v>27105</v>
      </c>
      <c r="AD430" t="s">
        <v>37186</v>
      </c>
      <c r="AE430">
        <v>0</v>
      </c>
      <c r="AF430" t="s">
        <v>20460</v>
      </c>
      <c r="AH430">
        <v>3</v>
      </c>
      <c r="AI430">
        <v>4</v>
      </c>
      <c r="AJ430">
        <v>0</v>
      </c>
      <c r="AK430">
        <v>111.87</v>
      </c>
      <c r="AN430" t="s">
        <v>45581</v>
      </c>
      <c r="AO430">
        <v>28080</v>
      </c>
      <c r="AS430" t="s">
        <v>46499</v>
      </c>
      <c r="AT430" t="s">
        <v>46616</v>
      </c>
      <c r="AU430">
        <v>12.8</v>
      </c>
      <c r="AV430" t="s">
        <v>760</v>
      </c>
      <c r="AW430" t="s">
        <v>336</v>
      </c>
    </row>
    <row r="431" spans="1:49">
      <c r="A431" s="1">
        <f>HYPERLINK("https://lsnyc.legalserver.org/matter/dynamic-profile/view/1873071","18-1873071")</f>
        <v>0</v>
      </c>
      <c r="B431" t="s">
        <v>120</v>
      </c>
      <c r="C431" t="s">
        <v>341</v>
      </c>
      <c r="D431" t="s">
        <v>440</v>
      </c>
      <c r="E431" t="s">
        <v>575</v>
      </c>
      <c r="F431" t="s">
        <v>1207</v>
      </c>
      <c r="G431" t="s">
        <v>5220</v>
      </c>
      <c r="H431" t="s">
        <v>10018</v>
      </c>
      <c r="I431" t="s">
        <v>17343</v>
      </c>
      <c r="J431" t="s">
        <v>18892</v>
      </c>
      <c r="K431">
        <v>10458</v>
      </c>
      <c r="L431" t="s">
        <v>18958</v>
      </c>
      <c r="M431" t="s">
        <v>18958</v>
      </c>
      <c r="N431" t="s">
        <v>19286</v>
      </c>
      <c r="O431" t="s">
        <v>26524</v>
      </c>
      <c r="P431" t="s">
        <v>26564</v>
      </c>
      <c r="Q431" t="s">
        <v>26570</v>
      </c>
      <c r="R431" t="s">
        <v>26577</v>
      </c>
      <c r="S431" t="s">
        <v>18959</v>
      </c>
      <c r="U431" t="s">
        <v>26604</v>
      </c>
      <c r="V431" t="s">
        <v>26610</v>
      </c>
      <c r="W431" t="s">
        <v>440</v>
      </c>
      <c r="X431">
        <v>1100</v>
      </c>
      <c r="Y431" t="s">
        <v>26650</v>
      </c>
      <c r="Z431" t="s">
        <v>26668</v>
      </c>
      <c r="AA431" t="s">
        <v>26683</v>
      </c>
      <c r="AB431" t="s">
        <v>26996</v>
      </c>
      <c r="AD431" t="s">
        <v>37187</v>
      </c>
      <c r="AE431">
        <v>30</v>
      </c>
      <c r="AF431" t="s">
        <v>45541</v>
      </c>
      <c r="AG431" t="s">
        <v>19330</v>
      </c>
      <c r="AH431">
        <v>1</v>
      </c>
      <c r="AI431">
        <v>1</v>
      </c>
      <c r="AJ431">
        <v>1</v>
      </c>
      <c r="AK431">
        <v>64.95999999999999</v>
      </c>
      <c r="AN431" t="s">
        <v>7439</v>
      </c>
      <c r="AO431">
        <v>10692</v>
      </c>
      <c r="AP431" t="s">
        <v>45627</v>
      </c>
      <c r="AU431">
        <v>2.55</v>
      </c>
      <c r="AV431" t="s">
        <v>464</v>
      </c>
      <c r="AW431" t="s">
        <v>46847</v>
      </c>
    </row>
    <row r="432" spans="1:49">
      <c r="A432" s="1">
        <f>HYPERLINK("https://lsnyc.legalserver.org/matter/dynamic-profile/view/1873108","18-1873108")</f>
        <v>0</v>
      </c>
      <c r="B432" t="s">
        <v>120</v>
      </c>
      <c r="C432" t="s">
        <v>341</v>
      </c>
      <c r="D432" t="s">
        <v>440</v>
      </c>
      <c r="E432" t="s">
        <v>780</v>
      </c>
      <c r="F432" t="s">
        <v>868</v>
      </c>
      <c r="G432" t="s">
        <v>5386</v>
      </c>
      <c r="H432" t="s">
        <v>10019</v>
      </c>
      <c r="I432" t="s">
        <v>17360</v>
      </c>
      <c r="J432" t="s">
        <v>18892</v>
      </c>
      <c r="K432">
        <v>10467</v>
      </c>
      <c r="L432" t="s">
        <v>18958</v>
      </c>
      <c r="M432" t="s">
        <v>18958</v>
      </c>
      <c r="N432" t="s">
        <v>19287</v>
      </c>
      <c r="O432" t="s">
        <v>26523</v>
      </c>
      <c r="P432" t="s">
        <v>26560</v>
      </c>
      <c r="Q432" t="s">
        <v>26574</v>
      </c>
      <c r="R432" t="s">
        <v>26579</v>
      </c>
      <c r="U432" t="s">
        <v>26604</v>
      </c>
      <c r="V432" t="s">
        <v>26610</v>
      </c>
      <c r="W432" t="s">
        <v>440</v>
      </c>
      <c r="X432">
        <v>1154</v>
      </c>
      <c r="Y432" t="s">
        <v>26650</v>
      </c>
      <c r="Z432" t="s">
        <v>26656</v>
      </c>
      <c r="AA432" t="s">
        <v>26678</v>
      </c>
      <c r="AB432" t="s">
        <v>27106</v>
      </c>
      <c r="AC432" t="s">
        <v>34613</v>
      </c>
      <c r="AD432" t="s">
        <v>37188</v>
      </c>
      <c r="AE432">
        <v>84</v>
      </c>
      <c r="AF432" t="s">
        <v>45541</v>
      </c>
      <c r="AG432" t="s">
        <v>45556</v>
      </c>
      <c r="AH432">
        <v>5</v>
      </c>
      <c r="AI432">
        <v>1</v>
      </c>
      <c r="AJ432">
        <v>0</v>
      </c>
      <c r="AK432">
        <v>94.73</v>
      </c>
      <c r="AN432" t="s">
        <v>7439</v>
      </c>
      <c r="AO432">
        <v>11500</v>
      </c>
      <c r="AQ432" t="s">
        <v>46361</v>
      </c>
      <c r="AR432" t="s">
        <v>46379</v>
      </c>
      <c r="AS432" t="s">
        <v>46499</v>
      </c>
      <c r="AT432" t="s">
        <v>46617</v>
      </c>
      <c r="AU432">
        <v>12.1</v>
      </c>
      <c r="AV432" t="s">
        <v>704</v>
      </c>
      <c r="AW432" t="s">
        <v>336</v>
      </c>
    </row>
    <row r="433" spans="1:50">
      <c r="A433" s="1">
        <f>HYPERLINK("https://lsnyc.legalserver.org/matter/dynamic-profile/view/1873124","18-1873124")</f>
        <v>0</v>
      </c>
      <c r="B433" t="s">
        <v>126</v>
      </c>
      <c r="C433" t="s">
        <v>341</v>
      </c>
      <c r="D433" t="s">
        <v>440</v>
      </c>
      <c r="E433" t="s">
        <v>657</v>
      </c>
      <c r="F433" t="s">
        <v>1208</v>
      </c>
      <c r="G433" t="s">
        <v>5387</v>
      </c>
      <c r="H433" t="s">
        <v>10020</v>
      </c>
      <c r="I433">
        <v>3</v>
      </c>
      <c r="J433" t="s">
        <v>18894</v>
      </c>
      <c r="K433">
        <v>11233</v>
      </c>
      <c r="L433" t="s">
        <v>18958</v>
      </c>
      <c r="M433" t="s">
        <v>18958</v>
      </c>
      <c r="N433" t="s">
        <v>19288</v>
      </c>
      <c r="O433" t="s">
        <v>26523</v>
      </c>
      <c r="P433" t="s">
        <v>26560</v>
      </c>
      <c r="Q433" t="s">
        <v>26573</v>
      </c>
      <c r="R433" t="s">
        <v>26578</v>
      </c>
      <c r="U433" t="s">
        <v>26604</v>
      </c>
      <c r="W433" t="s">
        <v>440</v>
      </c>
      <c r="X433">
        <v>0</v>
      </c>
      <c r="Y433" t="s">
        <v>26652</v>
      </c>
      <c r="AA433" t="s">
        <v>26685</v>
      </c>
      <c r="AB433" t="s">
        <v>27107</v>
      </c>
      <c r="AD433" t="s">
        <v>37189</v>
      </c>
      <c r="AE433">
        <v>3</v>
      </c>
      <c r="AH433">
        <v>0</v>
      </c>
      <c r="AI433">
        <v>2</v>
      </c>
      <c r="AJ433">
        <v>2</v>
      </c>
      <c r="AK433">
        <v>0</v>
      </c>
      <c r="AN433" t="s">
        <v>7439</v>
      </c>
      <c r="AO433">
        <v>0</v>
      </c>
      <c r="AU433">
        <v>5.25</v>
      </c>
      <c r="AV433" t="s">
        <v>657</v>
      </c>
      <c r="AW433" t="s">
        <v>97</v>
      </c>
    </row>
    <row r="434" spans="1:50">
      <c r="A434" s="1">
        <f>HYPERLINK("https://lsnyc.legalserver.org/matter/dynamic-profile/view/1873067","18-1873067")</f>
        <v>0</v>
      </c>
      <c r="B434" t="s">
        <v>175</v>
      </c>
      <c r="C434" t="s">
        <v>341</v>
      </c>
      <c r="D434" t="s">
        <v>440</v>
      </c>
      <c r="E434" t="s">
        <v>515</v>
      </c>
      <c r="F434" t="s">
        <v>1209</v>
      </c>
      <c r="G434" t="s">
        <v>5388</v>
      </c>
      <c r="H434" t="s">
        <v>10021</v>
      </c>
      <c r="I434">
        <v>320</v>
      </c>
      <c r="J434" t="s">
        <v>18894</v>
      </c>
      <c r="K434">
        <v>11224</v>
      </c>
      <c r="L434" t="s">
        <v>18958</v>
      </c>
      <c r="M434" t="s">
        <v>18960</v>
      </c>
      <c r="N434" t="s">
        <v>19289</v>
      </c>
      <c r="O434" t="s">
        <v>26523</v>
      </c>
      <c r="P434" t="s">
        <v>26565</v>
      </c>
      <c r="Q434" t="s">
        <v>26570</v>
      </c>
      <c r="R434" t="s">
        <v>26586</v>
      </c>
      <c r="U434" t="s">
        <v>26604</v>
      </c>
      <c r="W434" t="s">
        <v>440</v>
      </c>
      <c r="X434">
        <v>1400</v>
      </c>
      <c r="Y434" t="s">
        <v>26652</v>
      </c>
      <c r="Z434" t="s">
        <v>26656</v>
      </c>
      <c r="AA434" t="s">
        <v>26683</v>
      </c>
      <c r="AB434" t="s">
        <v>27108</v>
      </c>
      <c r="AD434" t="s">
        <v>37190</v>
      </c>
      <c r="AE434">
        <v>100</v>
      </c>
      <c r="AF434" t="s">
        <v>45543</v>
      </c>
      <c r="AG434" t="s">
        <v>45556</v>
      </c>
      <c r="AH434">
        <v>7</v>
      </c>
      <c r="AI434">
        <v>1</v>
      </c>
      <c r="AJ434">
        <v>0</v>
      </c>
      <c r="AK434">
        <v>84.02</v>
      </c>
      <c r="AN434" t="s">
        <v>45586</v>
      </c>
      <c r="AO434">
        <v>10200</v>
      </c>
      <c r="AU434">
        <v>2</v>
      </c>
      <c r="AV434" t="s">
        <v>515</v>
      </c>
      <c r="AW434" t="s">
        <v>46856</v>
      </c>
    </row>
    <row r="435" spans="1:50">
      <c r="A435" s="1">
        <f>HYPERLINK("https://lsnyc.legalserver.org/matter/dynamic-profile/view/1873107","18-1873107")</f>
        <v>0</v>
      </c>
      <c r="B435" t="s">
        <v>143</v>
      </c>
      <c r="C435" t="s">
        <v>340</v>
      </c>
      <c r="D435" t="s">
        <v>440</v>
      </c>
      <c r="F435" t="s">
        <v>1210</v>
      </c>
      <c r="G435" t="s">
        <v>5078</v>
      </c>
      <c r="H435" t="s">
        <v>10022</v>
      </c>
      <c r="I435" t="s">
        <v>17441</v>
      </c>
      <c r="J435" t="s">
        <v>18892</v>
      </c>
      <c r="K435">
        <v>10463</v>
      </c>
      <c r="L435" t="s">
        <v>18958</v>
      </c>
      <c r="M435" t="s">
        <v>18958</v>
      </c>
      <c r="N435" t="s">
        <v>19290</v>
      </c>
      <c r="O435" t="s">
        <v>26523</v>
      </c>
      <c r="P435" t="s">
        <v>26560</v>
      </c>
      <c r="R435" t="s">
        <v>26577</v>
      </c>
      <c r="S435" t="s">
        <v>18959</v>
      </c>
      <c r="U435" t="s">
        <v>26604</v>
      </c>
      <c r="V435" t="s">
        <v>26611</v>
      </c>
      <c r="W435" t="s">
        <v>440</v>
      </c>
      <c r="X435">
        <v>1351.77</v>
      </c>
      <c r="Y435" t="s">
        <v>26650</v>
      </c>
      <c r="Z435" t="s">
        <v>26662</v>
      </c>
      <c r="AB435" t="s">
        <v>27109</v>
      </c>
      <c r="AC435" t="s">
        <v>34614</v>
      </c>
      <c r="AD435" t="s">
        <v>37191</v>
      </c>
      <c r="AE435">
        <v>117</v>
      </c>
      <c r="AF435" t="s">
        <v>45541</v>
      </c>
      <c r="AG435" t="s">
        <v>19330</v>
      </c>
      <c r="AH435">
        <v>4</v>
      </c>
      <c r="AI435">
        <v>1</v>
      </c>
      <c r="AJ435">
        <v>0</v>
      </c>
      <c r="AK435">
        <v>158.15</v>
      </c>
      <c r="AN435" t="s">
        <v>7439</v>
      </c>
      <c r="AO435">
        <v>19200</v>
      </c>
      <c r="AP435" t="s">
        <v>45627</v>
      </c>
      <c r="AU435">
        <v>110.95</v>
      </c>
      <c r="AV435" t="s">
        <v>839</v>
      </c>
      <c r="AW435" t="s">
        <v>46848</v>
      </c>
    </row>
    <row r="436" spans="1:50">
      <c r="A436" s="1">
        <f>HYPERLINK("https://lsnyc.legalserver.org/matter/dynamic-profile/view/1871570","18-1871570")</f>
        <v>0</v>
      </c>
      <c r="B436" t="s">
        <v>153</v>
      </c>
      <c r="C436" t="s">
        <v>340</v>
      </c>
      <c r="D436" t="s">
        <v>440</v>
      </c>
      <c r="F436" t="s">
        <v>1211</v>
      </c>
      <c r="G436" t="s">
        <v>5389</v>
      </c>
      <c r="H436" t="s">
        <v>10023</v>
      </c>
      <c r="I436" t="s">
        <v>17378</v>
      </c>
      <c r="J436" t="s">
        <v>18902</v>
      </c>
      <c r="K436">
        <v>10301</v>
      </c>
      <c r="L436" t="s">
        <v>18958</v>
      </c>
      <c r="M436" t="s">
        <v>18958</v>
      </c>
      <c r="N436" t="s">
        <v>19291</v>
      </c>
      <c r="O436" t="s">
        <v>26523</v>
      </c>
      <c r="P436" t="s">
        <v>26560</v>
      </c>
      <c r="R436" t="s">
        <v>26587</v>
      </c>
      <c r="S436" t="s">
        <v>18959</v>
      </c>
      <c r="U436" t="s">
        <v>26605</v>
      </c>
      <c r="V436" t="s">
        <v>26610</v>
      </c>
      <c r="W436" t="s">
        <v>440</v>
      </c>
      <c r="X436">
        <v>1400</v>
      </c>
      <c r="Y436" t="s">
        <v>26654</v>
      </c>
      <c r="AB436" t="s">
        <v>27110</v>
      </c>
      <c r="AC436" t="s">
        <v>34615</v>
      </c>
      <c r="AE436">
        <v>0</v>
      </c>
      <c r="AH436">
        <v>3</v>
      </c>
      <c r="AI436">
        <v>1</v>
      </c>
      <c r="AJ436">
        <v>0</v>
      </c>
      <c r="AK436">
        <v>42.11</v>
      </c>
      <c r="AN436" t="s">
        <v>7439</v>
      </c>
      <c r="AO436">
        <v>5112</v>
      </c>
      <c r="AU436">
        <v>43.05</v>
      </c>
      <c r="AV436" t="s">
        <v>818</v>
      </c>
      <c r="AW436" t="s">
        <v>46855</v>
      </c>
      <c r="AX436" t="s">
        <v>46898</v>
      </c>
    </row>
    <row r="437" spans="1:50">
      <c r="A437" s="1">
        <f>HYPERLINK("https://lsnyc.legalserver.org/matter/dynamic-profile/view/1878946","18-1878946")</f>
        <v>0</v>
      </c>
      <c r="B437" t="s">
        <v>88</v>
      </c>
      <c r="C437" t="s">
        <v>341</v>
      </c>
      <c r="D437" t="s">
        <v>457</v>
      </c>
      <c r="E437" t="s">
        <v>782</v>
      </c>
      <c r="F437" t="s">
        <v>1212</v>
      </c>
      <c r="G437" t="s">
        <v>5390</v>
      </c>
      <c r="H437" t="s">
        <v>10024</v>
      </c>
      <c r="I437" t="s">
        <v>17306</v>
      </c>
      <c r="J437" t="s">
        <v>18894</v>
      </c>
      <c r="K437">
        <v>11221</v>
      </c>
      <c r="L437" t="s">
        <v>18958</v>
      </c>
      <c r="M437" t="s">
        <v>18958</v>
      </c>
      <c r="O437" t="s">
        <v>26531</v>
      </c>
      <c r="P437" t="s">
        <v>26565</v>
      </c>
      <c r="Q437" t="s">
        <v>26571</v>
      </c>
      <c r="R437" t="s">
        <v>26578</v>
      </c>
      <c r="S437" t="s">
        <v>18958</v>
      </c>
      <c r="U437" t="s">
        <v>26604</v>
      </c>
      <c r="W437" t="s">
        <v>440</v>
      </c>
      <c r="X437">
        <v>632.48</v>
      </c>
      <c r="Y437" t="s">
        <v>26652</v>
      </c>
      <c r="Z437" t="s">
        <v>26663</v>
      </c>
      <c r="AA437" t="s">
        <v>26685</v>
      </c>
      <c r="AB437" t="s">
        <v>27111</v>
      </c>
      <c r="AD437" t="s">
        <v>37192</v>
      </c>
      <c r="AE437">
        <v>12</v>
      </c>
      <c r="AF437" t="s">
        <v>45541</v>
      </c>
      <c r="AG437" t="s">
        <v>19330</v>
      </c>
      <c r="AH437">
        <v>18</v>
      </c>
      <c r="AI437">
        <v>3</v>
      </c>
      <c r="AJ437">
        <v>0</v>
      </c>
      <c r="AK437">
        <v>409.05</v>
      </c>
      <c r="AN437" t="s">
        <v>7439</v>
      </c>
      <c r="AO437">
        <v>85000</v>
      </c>
      <c r="AU437">
        <v>0.08</v>
      </c>
      <c r="AV437" t="s">
        <v>685</v>
      </c>
      <c r="AW437" t="s">
        <v>279</v>
      </c>
    </row>
    <row r="438" spans="1:50">
      <c r="A438" s="1">
        <f>HYPERLINK("https://lsnyc.legalserver.org/matter/dynamic-profile/view/1878950","18-1878950")</f>
        <v>0</v>
      </c>
      <c r="B438" t="s">
        <v>88</v>
      </c>
      <c r="C438" t="s">
        <v>340</v>
      </c>
      <c r="D438" t="s">
        <v>457</v>
      </c>
      <c r="F438" t="s">
        <v>1212</v>
      </c>
      <c r="G438" t="s">
        <v>5390</v>
      </c>
      <c r="H438" t="s">
        <v>10024</v>
      </c>
      <c r="I438" t="s">
        <v>17306</v>
      </c>
      <c r="J438" t="s">
        <v>18894</v>
      </c>
      <c r="K438">
        <v>11221</v>
      </c>
      <c r="L438" t="s">
        <v>18958</v>
      </c>
      <c r="M438" t="s">
        <v>18958</v>
      </c>
      <c r="O438" t="s">
        <v>26534</v>
      </c>
      <c r="P438" t="s">
        <v>26561</v>
      </c>
      <c r="R438" t="s">
        <v>26578</v>
      </c>
      <c r="S438" t="s">
        <v>18958</v>
      </c>
      <c r="U438" t="s">
        <v>26604</v>
      </c>
      <c r="W438" t="s">
        <v>440</v>
      </c>
      <c r="X438">
        <v>632.48</v>
      </c>
      <c r="Y438" t="s">
        <v>26652</v>
      </c>
      <c r="Z438" t="s">
        <v>26663</v>
      </c>
      <c r="AB438" t="s">
        <v>27111</v>
      </c>
      <c r="AD438" t="s">
        <v>37192</v>
      </c>
      <c r="AE438">
        <v>12</v>
      </c>
      <c r="AF438" t="s">
        <v>45541</v>
      </c>
      <c r="AG438" t="s">
        <v>19330</v>
      </c>
      <c r="AH438">
        <v>18</v>
      </c>
      <c r="AI438">
        <v>3</v>
      </c>
      <c r="AJ438">
        <v>0</v>
      </c>
      <c r="AK438">
        <v>409.05</v>
      </c>
      <c r="AN438" t="s">
        <v>7439</v>
      </c>
      <c r="AO438">
        <v>85000</v>
      </c>
      <c r="AU438">
        <v>0</v>
      </c>
      <c r="AW438" t="s">
        <v>279</v>
      </c>
    </row>
    <row r="439" spans="1:50">
      <c r="A439" s="1">
        <f>HYPERLINK("https://lsnyc.legalserver.org/matter/dynamic-profile/view/1887762","19-1887762")</f>
        <v>0</v>
      </c>
      <c r="B439" t="s">
        <v>176</v>
      </c>
      <c r="C439" t="s">
        <v>340</v>
      </c>
      <c r="D439" t="s">
        <v>458</v>
      </c>
      <c r="F439" t="s">
        <v>1213</v>
      </c>
      <c r="G439" t="s">
        <v>5391</v>
      </c>
      <c r="H439" t="s">
        <v>10025</v>
      </c>
      <c r="I439" t="s">
        <v>17316</v>
      </c>
      <c r="J439" t="s">
        <v>18894</v>
      </c>
      <c r="K439">
        <v>11208</v>
      </c>
      <c r="L439" t="s">
        <v>18958</v>
      </c>
      <c r="M439" t="s">
        <v>18959</v>
      </c>
      <c r="N439" t="s">
        <v>19292</v>
      </c>
      <c r="O439" t="s">
        <v>26523</v>
      </c>
      <c r="P439" t="s">
        <v>26560</v>
      </c>
      <c r="R439" t="s">
        <v>26578</v>
      </c>
      <c r="S439" t="s">
        <v>18959</v>
      </c>
      <c r="U439" t="s">
        <v>26604</v>
      </c>
      <c r="V439" t="s">
        <v>26610</v>
      </c>
      <c r="W439" t="s">
        <v>440</v>
      </c>
      <c r="X439">
        <v>984.01</v>
      </c>
      <c r="Y439" t="s">
        <v>26652</v>
      </c>
      <c r="AB439" t="s">
        <v>27112</v>
      </c>
      <c r="AC439" t="s">
        <v>34616</v>
      </c>
      <c r="AD439" t="s">
        <v>37193</v>
      </c>
      <c r="AE439">
        <v>53</v>
      </c>
      <c r="AF439" t="s">
        <v>45541</v>
      </c>
      <c r="AG439" t="s">
        <v>45557</v>
      </c>
      <c r="AH439">
        <v>0</v>
      </c>
      <c r="AI439">
        <v>1</v>
      </c>
      <c r="AJ439">
        <v>1</v>
      </c>
      <c r="AK439">
        <v>58.32</v>
      </c>
      <c r="AN439" t="s">
        <v>7439</v>
      </c>
      <c r="AO439">
        <v>9600</v>
      </c>
      <c r="AU439">
        <v>5.7</v>
      </c>
      <c r="AV439" t="s">
        <v>839</v>
      </c>
      <c r="AW439" t="s">
        <v>176</v>
      </c>
      <c r="AX439" t="s">
        <v>46897</v>
      </c>
    </row>
    <row r="440" spans="1:50">
      <c r="A440" s="1">
        <f>HYPERLINK("https://lsnyc.legalserver.org/matter/dynamic-profile/view/1838618","17-1838618")</f>
        <v>0</v>
      </c>
      <c r="B440" t="s">
        <v>177</v>
      </c>
      <c r="C440" t="s">
        <v>340</v>
      </c>
      <c r="D440" t="s">
        <v>459</v>
      </c>
      <c r="F440" t="s">
        <v>1214</v>
      </c>
      <c r="G440" t="s">
        <v>5392</v>
      </c>
      <c r="H440" t="s">
        <v>10026</v>
      </c>
      <c r="I440" t="s">
        <v>17442</v>
      </c>
      <c r="J440" t="s">
        <v>18892</v>
      </c>
      <c r="K440">
        <v>10453</v>
      </c>
      <c r="L440" t="s">
        <v>18958</v>
      </c>
      <c r="M440" t="s">
        <v>18960</v>
      </c>
      <c r="N440" t="s">
        <v>19293</v>
      </c>
      <c r="O440" t="s">
        <v>26524</v>
      </c>
      <c r="P440" t="s">
        <v>26560</v>
      </c>
      <c r="R440" t="s">
        <v>26577</v>
      </c>
      <c r="S440" t="s">
        <v>18959</v>
      </c>
      <c r="U440" t="s">
        <v>26605</v>
      </c>
      <c r="V440" t="s">
        <v>26610</v>
      </c>
      <c r="W440" t="s">
        <v>410</v>
      </c>
      <c r="X440">
        <v>210</v>
      </c>
      <c r="Y440" t="s">
        <v>26650</v>
      </c>
      <c r="Z440" t="s">
        <v>26662</v>
      </c>
      <c r="AB440" t="s">
        <v>27113</v>
      </c>
      <c r="AD440" t="s">
        <v>37194</v>
      </c>
      <c r="AE440">
        <v>0</v>
      </c>
      <c r="AF440" t="s">
        <v>45542</v>
      </c>
      <c r="AG440" t="s">
        <v>45556</v>
      </c>
      <c r="AH440">
        <v>0</v>
      </c>
      <c r="AI440">
        <v>1</v>
      </c>
      <c r="AJ440">
        <v>0</v>
      </c>
      <c r="AK440">
        <v>159.54</v>
      </c>
      <c r="AN440" t="s">
        <v>45581</v>
      </c>
      <c r="AO440">
        <v>19240</v>
      </c>
      <c r="AP440" t="s">
        <v>45617</v>
      </c>
      <c r="AU440">
        <v>28.52</v>
      </c>
      <c r="AV440" t="s">
        <v>797</v>
      </c>
      <c r="AW440" t="s">
        <v>46837</v>
      </c>
    </row>
    <row r="441" spans="1:50">
      <c r="A441" s="1">
        <f>HYPERLINK("https://lsnyc.legalserver.org/matter/dynamic-profile/view/1863121","18-1863121")</f>
        <v>0</v>
      </c>
      <c r="B441" t="s">
        <v>178</v>
      </c>
      <c r="C441" t="s">
        <v>341</v>
      </c>
      <c r="D441" t="s">
        <v>460</v>
      </c>
      <c r="E441" t="s">
        <v>410</v>
      </c>
      <c r="F441" t="s">
        <v>1215</v>
      </c>
      <c r="G441" t="s">
        <v>5393</v>
      </c>
      <c r="H441" t="s">
        <v>10027</v>
      </c>
      <c r="I441">
        <v>60</v>
      </c>
      <c r="J441" t="s">
        <v>18902</v>
      </c>
      <c r="K441">
        <v>10304</v>
      </c>
      <c r="L441" t="s">
        <v>18958</v>
      </c>
      <c r="M441" t="s">
        <v>18958</v>
      </c>
      <c r="N441" t="s">
        <v>19294</v>
      </c>
      <c r="O441" t="s">
        <v>26542</v>
      </c>
      <c r="P441" t="s">
        <v>26562</v>
      </c>
      <c r="Q441" t="s">
        <v>26572</v>
      </c>
      <c r="R441" t="s">
        <v>26587</v>
      </c>
      <c r="U441" t="s">
        <v>26605</v>
      </c>
      <c r="W441" t="s">
        <v>410</v>
      </c>
      <c r="X441">
        <v>0</v>
      </c>
      <c r="Y441" t="s">
        <v>26654</v>
      </c>
      <c r="AA441" t="s">
        <v>26680</v>
      </c>
      <c r="AB441" t="s">
        <v>27114</v>
      </c>
      <c r="AD441" t="s">
        <v>37195</v>
      </c>
      <c r="AE441">
        <v>0</v>
      </c>
      <c r="AH441">
        <v>0</v>
      </c>
      <c r="AI441">
        <v>2</v>
      </c>
      <c r="AJ441">
        <v>0</v>
      </c>
      <c r="AK441">
        <v>214.19</v>
      </c>
      <c r="AL441" t="s">
        <v>382</v>
      </c>
      <c r="AM441" t="s">
        <v>45575</v>
      </c>
      <c r="AN441" t="s">
        <v>7439</v>
      </c>
      <c r="AO441">
        <v>35256</v>
      </c>
      <c r="AS441" t="s">
        <v>46499</v>
      </c>
      <c r="AT441" t="s">
        <v>46590</v>
      </c>
      <c r="AU441">
        <v>2.1</v>
      </c>
      <c r="AV441" t="s">
        <v>410</v>
      </c>
      <c r="AW441" t="s">
        <v>178</v>
      </c>
    </row>
    <row r="442" spans="1:50">
      <c r="A442" s="1">
        <f>HYPERLINK("https://lsnyc.legalserver.org/matter/dynamic-profile/view/1865631","18-1865631")</f>
        <v>0</v>
      </c>
      <c r="B442" t="s">
        <v>80</v>
      </c>
      <c r="C442" t="s">
        <v>341</v>
      </c>
      <c r="D442" t="s">
        <v>383</v>
      </c>
      <c r="E442" t="s">
        <v>447</v>
      </c>
      <c r="F442" t="s">
        <v>1216</v>
      </c>
      <c r="G442" t="s">
        <v>5394</v>
      </c>
      <c r="H442" t="s">
        <v>9677</v>
      </c>
      <c r="I442" t="s">
        <v>17443</v>
      </c>
      <c r="J442" t="s">
        <v>18892</v>
      </c>
      <c r="K442">
        <v>10463</v>
      </c>
      <c r="L442" t="s">
        <v>18958</v>
      </c>
      <c r="M442" t="s">
        <v>18958</v>
      </c>
      <c r="N442" t="s">
        <v>19295</v>
      </c>
      <c r="O442" t="s">
        <v>26523</v>
      </c>
      <c r="P442" t="s">
        <v>26564</v>
      </c>
      <c r="Q442" t="s">
        <v>26570</v>
      </c>
      <c r="R442" t="s">
        <v>26582</v>
      </c>
      <c r="S442" t="s">
        <v>18959</v>
      </c>
      <c r="U442" t="s">
        <v>26604</v>
      </c>
      <c r="W442" t="s">
        <v>410</v>
      </c>
      <c r="X442">
        <v>1345</v>
      </c>
      <c r="Y442" t="s">
        <v>26651</v>
      </c>
      <c r="Z442" t="s">
        <v>26664</v>
      </c>
      <c r="AA442" t="s">
        <v>26683</v>
      </c>
      <c r="AB442" t="s">
        <v>27115</v>
      </c>
      <c r="AD442" t="s">
        <v>37196</v>
      </c>
      <c r="AE442">
        <v>0</v>
      </c>
      <c r="AG442" t="s">
        <v>19330</v>
      </c>
      <c r="AH442">
        <v>8</v>
      </c>
      <c r="AI442">
        <v>1</v>
      </c>
      <c r="AJ442">
        <v>1</v>
      </c>
      <c r="AK442">
        <v>170.11</v>
      </c>
      <c r="AO442">
        <v>28000</v>
      </c>
      <c r="AU442">
        <v>0.1</v>
      </c>
      <c r="AV442" t="s">
        <v>410</v>
      </c>
      <c r="AW442" t="s">
        <v>46845</v>
      </c>
    </row>
    <row r="443" spans="1:50">
      <c r="A443" s="1">
        <f>HYPERLINK("https://lsnyc.legalserver.org/matter/dynamic-profile/view/1870620","18-1870620")</f>
        <v>0</v>
      </c>
      <c r="B443" t="s">
        <v>116</v>
      </c>
      <c r="C443" t="s">
        <v>341</v>
      </c>
      <c r="D443" t="s">
        <v>433</v>
      </c>
      <c r="E443" t="s">
        <v>452</v>
      </c>
      <c r="F443" t="s">
        <v>1217</v>
      </c>
      <c r="G443" t="s">
        <v>5395</v>
      </c>
      <c r="H443" t="s">
        <v>10028</v>
      </c>
      <c r="I443" t="s">
        <v>17439</v>
      </c>
      <c r="J443" t="s">
        <v>18894</v>
      </c>
      <c r="K443">
        <v>11207</v>
      </c>
      <c r="L443" t="s">
        <v>18958</v>
      </c>
      <c r="M443" t="s">
        <v>18958</v>
      </c>
      <c r="N443" t="s">
        <v>19296</v>
      </c>
      <c r="O443" t="s">
        <v>26523</v>
      </c>
      <c r="P443" t="s">
        <v>26560</v>
      </c>
      <c r="Q443" t="s">
        <v>26570</v>
      </c>
      <c r="R443" t="s">
        <v>26578</v>
      </c>
      <c r="S443" t="s">
        <v>18959</v>
      </c>
      <c r="U443" t="s">
        <v>26604</v>
      </c>
      <c r="W443" t="s">
        <v>410</v>
      </c>
      <c r="X443">
        <v>1365</v>
      </c>
      <c r="Y443" t="s">
        <v>26652</v>
      </c>
      <c r="Z443" t="s">
        <v>26665</v>
      </c>
      <c r="AA443" t="s">
        <v>26679</v>
      </c>
      <c r="AB443" t="s">
        <v>27116</v>
      </c>
      <c r="AD443" t="s">
        <v>37197</v>
      </c>
      <c r="AE443">
        <v>23</v>
      </c>
      <c r="AF443" t="s">
        <v>45541</v>
      </c>
      <c r="AG443" t="s">
        <v>19330</v>
      </c>
      <c r="AH443">
        <v>2</v>
      </c>
      <c r="AI443">
        <v>1</v>
      </c>
      <c r="AJ443">
        <v>0</v>
      </c>
      <c r="AK443">
        <v>255.35</v>
      </c>
      <c r="AL443" t="s">
        <v>614</v>
      </c>
      <c r="AM443" t="s">
        <v>45575</v>
      </c>
      <c r="AN443" t="s">
        <v>7439</v>
      </c>
      <c r="AO443">
        <v>31000</v>
      </c>
      <c r="AR443" t="s">
        <v>26530</v>
      </c>
      <c r="AS443" t="s">
        <v>46499</v>
      </c>
      <c r="AT443" t="s">
        <v>46533</v>
      </c>
      <c r="AU443">
        <v>17.8</v>
      </c>
      <c r="AV443" t="s">
        <v>678</v>
      </c>
      <c r="AW443" t="s">
        <v>279</v>
      </c>
    </row>
    <row r="444" spans="1:50">
      <c r="A444" s="1">
        <f>HYPERLINK("https://lsnyc.legalserver.org/matter/dynamic-profile/view/1873153","18-1873153")</f>
        <v>0</v>
      </c>
      <c r="B444" t="s">
        <v>107</v>
      </c>
      <c r="C444" t="s">
        <v>341</v>
      </c>
      <c r="D444" t="s">
        <v>410</v>
      </c>
      <c r="E444" t="s">
        <v>691</v>
      </c>
      <c r="F444" t="s">
        <v>1218</v>
      </c>
      <c r="G444" t="s">
        <v>5396</v>
      </c>
      <c r="H444" t="s">
        <v>10029</v>
      </c>
      <c r="I444" t="s">
        <v>17360</v>
      </c>
      <c r="J444" t="s">
        <v>18898</v>
      </c>
      <c r="K444">
        <v>11691</v>
      </c>
      <c r="L444" t="s">
        <v>18958</v>
      </c>
      <c r="M444" t="s">
        <v>18958</v>
      </c>
      <c r="N444" t="s">
        <v>19297</v>
      </c>
      <c r="O444" t="s">
        <v>26523</v>
      </c>
      <c r="P444" t="s">
        <v>26560</v>
      </c>
      <c r="Q444" t="s">
        <v>26568</v>
      </c>
      <c r="R444" t="s">
        <v>26578</v>
      </c>
      <c r="S444" t="s">
        <v>18959</v>
      </c>
      <c r="U444" t="s">
        <v>26604</v>
      </c>
      <c r="V444" t="s">
        <v>26611</v>
      </c>
      <c r="W444" t="s">
        <v>410</v>
      </c>
      <c r="X444">
        <v>685</v>
      </c>
      <c r="Y444" t="s">
        <v>26653</v>
      </c>
      <c r="Z444" t="s">
        <v>26664</v>
      </c>
      <c r="AA444" t="s">
        <v>26678</v>
      </c>
      <c r="AB444" t="s">
        <v>27117</v>
      </c>
      <c r="AC444" t="s">
        <v>19045</v>
      </c>
      <c r="AD444" t="s">
        <v>37198</v>
      </c>
      <c r="AE444">
        <v>38</v>
      </c>
      <c r="AF444" t="s">
        <v>45551</v>
      </c>
      <c r="AG444" t="s">
        <v>19330</v>
      </c>
      <c r="AH444">
        <v>4</v>
      </c>
      <c r="AI444">
        <v>1</v>
      </c>
      <c r="AJ444">
        <v>0</v>
      </c>
      <c r="AK444">
        <v>171.33</v>
      </c>
      <c r="AM444" t="s">
        <v>45576</v>
      </c>
      <c r="AN444" t="s">
        <v>7439</v>
      </c>
      <c r="AO444">
        <v>20800</v>
      </c>
      <c r="AQ444" t="s">
        <v>46365</v>
      </c>
      <c r="AR444" t="s">
        <v>46379</v>
      </c>
      <c r="AS444" t="s">
        <v>46499</v>
      </c>
      <c r="AT444" t="s">
        <v>46611</v>
      </c>
      <c r="AU444">
        <v>5.2</v>
      </c>
      <c r="AV444" t="s">
        <v>589</v>
      </c>
      <c r="AW444" t="s">
        <v>208</v>
      </c>
    </row>
    <row r="445" spans="1:50">
      <c r="A445" s="1">
        <f>HYPERLINK("https://lsnyc.legalserver.org/matter/dynamic-profile/view/1873181","18-1873181")</f>
        <v>0</v>
      </c>
      <c r="B445" t="s">
        <v>107</v>
      </c>
      <c r="C445" t="s">
        <v>341</v>
      </c>
      <c r="D445" t="s">
        <v>410</v>
      </c>
      <c r="E445" t="s">
        <v>441</v>
      </c>
      <c r="F445" t="s">
        <v>1182</v>
      </c>
      <c r="G445" t="s">
        <v>5397</v>
      </c>
      <c r="H445" t="s">
        <v>10030</v>
      </c>
      <c r="I445">
        <v>3</v>
      </c>
      <c r="J445" t="s">
        <v>18898</v>
      </c>
      <c r="K445">
        <v>11691</v>
      </c>
      <c r="L445" t="s">
        <v>18958</v>
      </c>
      <c r="M445" t="s">
        <v>18958</v>
      </c>
      <c r="N445" t="s">
        <v>19298</v>
      </c>
      <c r="O445" t="s">
        <v>26524</v>
      </c>
      <c r="P445" t="s">
        <v>26564</v>
      </c>
      <c r="Q445" t="s">
        <v>26570</v>
      </c>
      <c r="R445" t="s">
        <v>26584</v>
      </c>
      <c r="S445" t="s">
        <v>18959</v>
      </c>
      <c r="U445" t="s">
        <v>26604</v>
      </c>
      <c r="V445" t="s">
        <v>26612</v>
      </c>
      <c r="W445" t="s">
        <v>410</v>
      </c>
      <c r="X445">
        <v>1699</v>
      </c>
      <c r="Y445" t="s">
        <v>26653</v>
      </c>
      <c r="Z445" t="s">
        <v>26664</v>
      </c>
      <c r="AA445" t="s">
        <v>26683</v>
      </c>
      <c r="AB445" t="s">
        <v>27118</v>
      </c>
      <c r="AC445" t="s">
        <v>19045</v>
      </c>
      <c r="AD445" t="s">
        <v>37199</v>
      </c>
      <c r="AE445">
        <v>3</v>
      </c>
      <c r="AF445" t="s">
        <v>45547</v>
      </c>
      <c r="AG445" t="s">
        <v>45556</v>
      </c>
      <c r="AH445">
        <v>5</v>
      </c>
      <c r="AI445">
        <v>2</v>
      </c>
      <c r="AJ445">
        <v>0</v>
      </c>
      <c r="AK445">
        <v>79.61</v>
      </c>
      <c r="AN445" t="s">
        <v>7439</v>
      </c>
      <c r="AO445">
        <v>13104</v>
      </c>
      <c r="AQ445" t="s">
        <v>46370</v>
      </c>
      <c r="AR445" t="s">
        <v>46384</v>
      </c>
      <c r="AS445" t="s">
        <v>46499</v>
      </c>
      <c r="AT445" t="s">
        <v>46590</v>
      </c>
      <c r="AU445">
        <v>1</v>
      </c>
      <c r="AV445" t="s">
        <v>516</v>
      </c>
      <c r="AW445" t="s">
        <v>122</v>
      </c>
    </row>
    <row r="446" spans="1:50">
      <c r="A446" s="1">
        <f>HYPERLINK("https://lsnyc.legalserver.org/matter/dynamic-profile/view/1873165","18-1873165")</f>
        <v>0</v>
      </c>
      <c r="B446" t="s">
        <v>107</v>
      </c>
      <c r="C446" t="s">
        <v>341</v>
      </c>
      <c r="D446" t="s">
        <v>410</v>
      </c>
      <c r="E446" t="s">
        <v>441</v>
      </c>
      <c r="F446" t="s">
        <v>1219</v>
      </c>
      <c r="G446" t="s">
        <v>5398</v>
      </c>
      <c r="H446" t="s">
        <v>10031</v>
      </c>
      <c r="I446" t="s">
        <v>17444</v>
      </c>
      <c r="J446" t="s">
        <v>18901</v>
      </c>
      <c r="K446">
        <v>11435</v>
      </c>
      <c r="L446" t="s">
        <v>18958</v>
      </c>
      <c r="M446" t="s">
        <v>18958</v>
      </c>
      <c r="N446" t="s">
        <v>19299</v>
      </c>
      <c r="O446" t="s">
        <v>26523</v>
      </c>
      <c r="P446" t="s">
        <v>26564</v>
      </c>
      <c r="Q446" t="s">
        <v>26570</v>
      </c>
      <c r="R446" t="s">
        <v>26584</v>
      </c>
      <c r="S446" t="s">
        <v>18958</v>
      </c>
      <c r="U446" t="s">
        <v>26604</v>
      </c>
      <c r="V446" t="s">
        <v>26612</v>
      </c>
      <c r="W446" t="s">
        <v>410</v>
      </c>
      <c r="X446">
        <v>1175.08</v>
      </c>
      <c r="Y446" t="s">
        <v>26653</v>
      </c>
      <c r="Z446" t="s">
        <v>26664</v>
      </c>
      <c r="AA446" t="s">
        <v>26683</v>
      </c>
      <c r="AB446" t="s">
        <v>27119</v>
      </c>
      <c r="AC446" t="s">
        <v>34617</v>
      </c>
      <c r="AD446" t="s">
        <v>37200</v>
      </c>
      <c r="AE446">
        <v>60</v>
      </c>
      <c r="AF446" t="s">
        <v>45541</v>
      </c>
      <c r="AG446" t="s">
        <v>45559</v>
      </c>
      <c r="AH446">
        <v>30</v>
      </c>
      <c r="AI446">
        <v>2</v>
      </c>
      <c r="AJ446">
        <v>2</v>
      </c>
      <c r="AK446">
        <v>84.72</v>
      </c>
      <c r="AN446" t="s">
        <v>45581</v>
      </c>
      <c r="AO446">
        <v>21264</v>
      </c>
      <c r="AU446">
        <v>1.5</v>
      </c>
      <c r="AV446" t="s">
        <v>516</v>
      </c>
      <c r="AW446" t="s">
        <v>122</v>
      </c>
    </row>
    <row r="447" spans="1:50">
      <c r="A447" s="1">
        <f>HYPERLINK("https://lsnyc.legalserver.org/matter/dynamic-profile/view/1873172","18-1873172")</f>
        <v>0</v>
      </c>
      <c r="B447" t="s">
        <v>107</v>
      </c>
      <c r="C447" t="s">
        <v>341</v>
      </c>
      <c r="D447" t="s">
        <v>410</v>
      </c>
      <c r="E447" t="s">
        <v>586</v>
      </c>
      <c r="F447" t="s">
        <v>1220</v>
      </c>
      <c r="G447" t="s">
        <v>5399</v>
      </c>
      <c r="H447" t="s">
        <v>10032</v>
      </c>
      <c r="I447" t="s">
        <v>17436</v>
      </c>
      <c r="J447" t="s">
        <v>18912</v>
      </c>
      <c r="K447">
        <v>11374</v>
      </c>
      <c r="L447" t="s">
        <v>18958</v>
      </c>
      <c r="M447" t="s">
        <v>18958</v>
      </c>
      <c r="N447" t="s">
        <v>19300</v>
      </c>
      <c r="O447" t="s">
        <v>26523</v>
      </c>
      <c r="P447" t="s">
        <v>26564</v>
      </c>
      <c r="Q447" t="s">
        <v>26570</v>
      </c>
      <c r="R447" t="s">
        <v>26584</v>
      </c>
      <c r="S447" t="s">
        <v>18959</v>
      </c>
      <c r="U447" t="s">
        <v>26604</v>
      </c>
      <c r="V447" t="s">
        <v>26611</v>
      </c>
      <c r="W447" t="s">
        <v>410</v>
      </c>
      <c r="X447">
        <v>1633.87</v>
      </c>
      <c r="Y447" t="s">
        <v>26653</v>
      </c>
      <c r="Z447" t="s">
        <v>26664</v>
      </c>
      <c r="AA447" t="s">
        <v>26683</v>
      </c>
      <c r="AB447" t="s">
        <v>27120</v>
      </c>
      <c r="AC447" t="s">
        <v>19045</v>
      </c>
      <c r="AD447" t="s">
        <v>37201</v>
      </c>
      <c r="AE447">
        <v>25</v>
      </c>
      <c r="AF447" t="s">
        <v>45541</v>
      </c>
      <c r="AG447" t="s">
        <v>19330</v>
      </c>
      <c r="AH447">
        <v>5</v>
      </c>
      <c r="AI447">
        <v>3</v>
      </c>
      <c r="AJ447">
        <v>1</v>
      </c>
      <c r="AK447">
        <v>124.3</v>
      </c>
      <c r="AM447" t="s">
        <v>45576</v>
      </c>
      <c r="AN447" t="s">
        <v>7439</v>
      </c>
      <c r="AO447">
        <v>31200</v>
      </c>
      <c r="AU447">
        <v>0.6</v>
      </c>
      <c r="AV447" t="s">
        <v>505</v>
      </c>
      <c r="AW447" t="s">
        <v>208</v>
      </c>
    </row>
    <row r="448" spans="1:50">
      <c r="A448" s="1">
        <f>HYPERLINK("https://lsnyc.legalserver.org/matter/dynamic-profile/view/1873222","18-1873222")</f>
        <v>0</v>
      </c>
      <c r="B448" t="s">
        <v>61</v>
      </c>
      <c r="C448" t="s">
        <v>341</v>
      </c>
      <c r="D448" t="s">
        <v>410</v>
      </c>
      <c r="E448" t="s">
        <v>847</v>
      </c>
      <c r="F448" t="s">
        <v>1034</v>
      </c>
      <c r="G448" t="s">
        <v>5400</v>
      </c>
      <c r="H448" t="s">
        <v>10033</v>
      </c>
      <c r="I448">
        <v>46</v>
      </c>
      <c r="J448" t="s">
        <v>18893</v>
      </c>
      <c r="K448">
        <v>10040</v>
      </c>
      <c r="L448" t="s">
        <v>18958</v>
      </c>
      <c r="M448" t="s">
        <v>18958</v>
      </c>
      <c r="O448" t="s">
        <v>26531</v>
      </c>
      <c r="P448" t="s">
        <v>26562</v>
      </c>
      <c r="Q448" t="s">
        <v>26573</v>
      </c>
      <c r="R448" t="s">
        <v>26578</v>
      </c>
      <c r="S448" t="s">
        <v>18959</v>
      </c>
      <c r="U448" t="s">
        <v>26604</v>
      </c>
      <c r="W448" t="s">
        <v>410</v>
      </c>
      <c r="X448">
        <v>824.09</v>
      </c>
      <c r="Y448" t="s">
        <v>26651</v>
      </c>
      <c r="Z448" t="s">
        <v>26659</v>
      </c>
      <c r="AA448" t="s">
        <v>26681</v>
      </c>
      <c r="AB448" t="s">
        <v>27121</v>
      </c>
      <c r="AD448" t="s">
        <v>37202</v>
      </c>
      <c r="AE448">
        <v>80</v>
      </c>
      <c r="AF448" t="s">
        <v>45541</v>
      </c>
      <c r="AG448" t="s">
        <v>19330</v>
      </c>
      <c r="AH448">
        <v>37</v>
      </c>
      <c r="AI448">
        <v>2</v>
      </c>
      <c r="AJ448">
        <v>0</v>
      </c>
      <c r="AK448">
        <v>175.65</v>
      </c>
      <c r="AN448" t="s">
        <v>45581</v>
      </c>
      <c r="AO448">
        <v>28911.6</v>
      </c>
      <c r="AU448">
        <v>0.6</v>
      </c>
      <c r="AV448" t="s">
        <v>847</v>
      </c>
      <c r="AW448" t="s">
        <v>46840</v>
      </c>
    </row>
    <row r="449" spans="1:50">
      <c r="A449" s="1">
        <f>HYPERLINK("https://lsnyc.legalserver.org/matter/dynamic-profile/view/1873187","18-1873187")</f>
        <v>0</v>
      </c>
      <c r="B449" t="s">
        <v>137</v>
      </c>
      <c r="C449" t="s">
        <v>341</v>
      </c>
      <c r="D449" t="s">
        <v>410</v>
      </c>
      <c r="E449" t="s">
        <v>706</v>
      </c>
      <c r="F449" t="s">
        <v>1221</v>
      </c>
      <c r="G449" t="s">
        <v>1203</v>
      </c>
      <c r="H449" t="s">
        <v>9655</v>
      </c>
      <c r="I449" t="s">
        <v>17445</v>
      </c>
      <c r="J449" t="s">
        <v>18892</v>
      </c>
      <c r="K449">
        <v>10457</v>
      </c>
      <c r="L449" t="s">
        <v>18958</v>
      </c>
      <c r="M449" t="s">
        <v>18958</v>
      </c>
      <c r="N449" t="s">
        <v>19301</v>
      </c>
      <c r="O449" t="s">
        <v>26523</v>
      </c>
      <c r="P449" t="s">
        <v>26560</v>
      </c>
      <c r="Q449" t="s">
        <v>26568</v>
      </c>
      <c r="R449" t="s">
        <v>26579</v>
      </c>
      <c r="S449" t="s">
        <v>18959</v>
      </c>
      <c r="U449" t="s">
        <v>26604</v>
      </c>
      <c r="V449" t="s">
        <v>26610</v>
      </c>
      <c r="W449" t="s">
        <v>410</v>
      </c>
      <c r="X449">
        <v>1096.18</v>
      </c>
      <c r="Y449" t="s">
        <v>26650</v>
      </c>
      <c r="Z449" t="s">
        <v>26656</v>
      </c>
      <c r="AA449" t="s">
        <v>26678</v>
      </c>
      <c r="AB449" t="s">
        <v>27122</v>
      </c>
      <c r="AD449" t="s">
        <v>37203</v>
      </c>
      <c r="AE449">
        <v>115</v>
      </c>
      <c r="AF449" t="s">
        <v>45541</v>
      </c>
      <c r="AG449" t="s">
        <v>45556</v>
      </c>
      <c r="AH449">
        <v>38</v>
      </c>
      <c r="AI449">
        <v>1</v>
      </c>
      <c r="AJ449">
        <v>0</v>
      </c>
      <c r="AK449">
        <v>74.14</v>
      </c>
      <c r="AO449">
        <v>9000</v>
      </c>
      <c r="AR449" t="s">
        <v>46379</v>
      </c>
      <c r="AS449" t="s">
        <v>46499</v>
      </c>
      <c r="AT449" t="s">
        <v>46618</v>
      </c>
      <c r="AU449">
        <v>9.25</v>
      </c>
      <c r="AV449" t="s">
        <v>689</v>
      </c>
      <c r="AW449" t="s">
        <v>46847</v>
      </c>
    </row>
    <row r="450" spans="1:50">
      <c r="A450" s="1">
        <f>HYPERLINK("https://lsnyc.legalserver.org/matter/dynamic-profile/view/1873166","18-1873166")</f>
        <v>0</v>
      </c>
      <c r="B450" t="s">
        <v>137</v>
      </c>
      <c r="C450" t="s">
        <v>341</v>
      </c>
      <c r="D450" t="s">
        <v>410</v>
      </c>
      <c r="E450" t="s">
        <v>806</v>
      </c>
      <c r="F450" t="s">
        <v>1222</v>
      </c>
      <c r="G450" t="s">
        <v>940</v>
      </c>
      <c r="H450" t="s">
        <v>9950</v>
      </c>
      <c r="I450" t="s">
        <v>17352</v>
      </c>
      <c r="J450" t="s">
        <v>18892</v>
      </c>
      <c r="K450">
        <v>10457</v>
      </c>
      <c r="L450" t="s">
        <v>18958</v>
      </c>
      <c r="M450" t="s">
        <v>18958</v>
      </c>
      <c r="N450" t="s">
        <v>19302</v>
      </c>
      <c r="O450" t="s">
        <v>26523</v>
      </c>
      <c r="P450" t="s">
        <v>26560</v>
      </c>
      <c r="Q450" t="s">
        <v>26568</v>
      </c>
      <c r="R450" t="s">
        <v>26579</v>
      </c>
      <c r="S450" t="s">
        <v>18959</v>
      </c>
      <c r="U450" t="s">
        <v>26604</v>
      </c>
      <c r="V450" t="s">
        <v>26610</v>
      </c>
      <c r="W450" t="s">
        <v>410</v>
      </c>
      <c r="X450">
        <v>1300</v>
      </c>
      <c r="Y450" t="s">
        <v>26650</v>
      </c>
      <c r="Z450" t="s">
        <v>26662</v>
      </c>
      <c r="AA450" t="s">
        <v>26678</v>
      </c>
      <c r="AB450" t="s">
        <v>27123</v>
      </c>
      <c r="AC450" t="s">
        <v>34618</v>
      </c>
      <c r="AD450" t="s">
        <v>37204</v>
      </c>
      <c r="AE450">
        <v>59</v>
      </c>
      <c r="AF450" t="s">
        <v>45541</v>
      </c>
      <c r="AG450" t="s">
        <v>19330</v>
      </c>
      <c r="AH450">
        <v>2</v>
      </c>
      <c r="AI450">
        <v>2</v>
      </c>
      <c r="AJ450">
        <v>2</v>
      </c>
      <c r="AK450">
        <v>119.52</v>
      </c>
      <c r="AN450" t="s">
        <v>45581</v>
      </c>
      <c r="AO450">
        <v>30000</v>
      </c>
      <c r="AS450" t="s">
        <v>46499</v>
      </c>
      <c r="AT450" t="s">
        <v>46619</v>
      </c>
      <c r="AU450">
        <v>10.25</v>
      </c>
      <c r="AV450" t="s">
        <v>694</v>
      </c>
      <c r="AW450" t="s">
        <v>46847</v>
      </c>
    </row>
    <row r="451" spans="1:50">
      <c r="A451" s="1">
        <f>HYPERLINK("https://lsnyc.legalserver.org/matter/dynamic-profile/view/1873190","18-1873190")</f>
        <v>0</v>
      </c>
      <c r="B451" t="s">
        <v>146</v>
      </c>
      <c r="C451" t="s">
        <v>341</v>
      </c>
      <c r="D451" t="s">
        <v>410</v>
      </c>
      <c r="E451" t="s">
        <v>670</v>
      </c>
      <c r="F451" t="s">
        <v>1162</v>
      </c>
      <c r="G451" t="s">
        <v>5401</v>
      </c>
      <c r="H451" t="s">
        <v>10034</v>
      </c>
      <c r="I451">
        <v>63</v>
      </c>
      <c r="J451" t="s">
        <v>18893</v>
      </c>
      <c r="K451">
        <v>10032</v>
      </c>
      <c r="L451" t="s">
        <v>18958</v>
      </c>
      <c r="M451" t="s">
        <v>18958</v>
      </c>
      <c r="O451" t="s">
        <v>26527</v>
      </c>
      <c r="P451" t="s">
        <v>26564</v>
      </c>
      <c r="Q451" t="s">
        <v>26570</v>
      </c>
      <c r="R451" t="s">
        <v>26578</v>
      </c>
      <c r="S451" t="s">
        <v>18959</v>
      </c>
      <c r="U451" t="s">
        <v>26604</v>
      </c>
      <c r="W451" t="s">
        <v>410</v>
      </c>
      <c r="X451">
        <v>815.37</v>
      </c>
      <c r="Y451" t="s">
        <v>26651</v>
      </c>
      <c r="Z451" t="s">
        <v>26667</v>
      </c>
      <c r="AA451" t="s">
        <v>26683</v>
      </c>
      <c r="AB451" t="s">
        <v>27124</v>
      </c>
      <c r="AD451" t="s">
        <v>37205</v>
      </c>
      <c r="AE451">
        <v>54</v>
      </c>
      <c r="AF451" t="s">
        <v>45541</v>
      </c>
      <c r="AG451" t="s">
        <v>19330</v>
      </c>
      <c r="AH451">
        <v>48</v>
      </c>
      <c r="AI451">
        <v>2</v>
      </c>
      <c r="AJ451">
        <v>0</v>
      </c>
      <c r="AK451">
        <v>255.16</v>
      </c>
      <c r="AL451" t="s">
        <v>614</v>
      </c>
      <c r="AM451" t="s">
        <v>45575</v>
      </c>
      <c r="AN451" t="s">
        <v>45581</v>
      </c>
      <c r="AO451">
        <v>42000</v>
      </c>
      <c r="AU451">
        <v>0.3</v>
      </c>
      <c r="AV451" t="s">
        <v>410</v>
      </c>
      <c r="AW451" t="s">
        <v>46840</v>
      </c>
    </row>
    <row r="452" spans="1:50">
      <c r="A452" s="1">
        <f>HYPERLINK("https://lsnyc.legalserver.org/matter/dynamic-profile/view/1873216","18-1873216")</f>
        <v>0</v>
      </c>
      <c r="B452" t="s">
        <v>74</v>
      </c>
      <c r="C452" t="s">
        <v>341</v>
      </c>
      <c r="D452" t="s">
        <v>410</v>
      </c>
      <c r="E452" t="s">
        <v>521</v>
      </c>
      <c r="F452" t="s">
        <v>1223</v>
      </c>
      <c r="G452" t="s">
        <v>5402</v>
      </c>
      <c r="H452" t="s">
        <v>10035</v>
      </c>
      <c r="I452" t="s">
        <v>17446</v>
      </c>
      <c r="J452" t="s">
        <v>18893</v>
      </c>
      <c r="K452">
        <v>10034</v>
      </c>
      <c r="L452" t="s">
        <v>18958</v>
      </c>
      <c r="M452" t="s">
        <v>18958</v>
      </c>
      <c r="O452" t="s">
        <v>26523</v>
      </c>
      <c r="P452" t="s">
        <v>26564</v>
      </c>
      <c r="Q452" t="s">
        <v>26570</v>
      </c>
      <c r="R452" t="s">
        <v>26578</v>
      </c>
      <c r="S452" t="s">
        <v>18959</v>
      </c>
      <c r="U452" t="s">
        <v>26604</v>
      </c>
      <c r="W452" t="s">
        <v>410</v>
      </c>
      <c r="X452">
        <v>882.02</v>
      </c>
      <c r="Y452" t="s">
        <v>26651</v>
      </c>
      <c r="Z452" t="s">
        <v>26661</v>
      </c>
      <c r="AA452" t="s">
        <v>26683</v>
      </c>
      <c r="AB452" t="s">
        <v>27125</v>
      </c>
      <c r="AD452" t="s">
        <v>37206</v>
      </c>
      <c r="AE452">
        <v>31</v>
      </c>
      <c r="AF452" t="s">
        <v>45541</v>
      </c>
      <c r="AG452" t="s">
        <v>45559</v>
      </c>
      <c r="AH452">
        <v>32</v>
      </c>
      <c r="AI452">
        <v>1</v>
      </c>
      <c r="AJ452">
        <v>0</v>
      </c>
      <c r="AK452">
        <v>42.7</v>
      </c>
      <c r="AN452" t="s">
        <v>45581</v>
      </c>
      <c r="AO452">
        <v>5184</v>
      </c>
      <c r="AU452">
        <v>2.98</v>
      </c>
      <c r="AV452" t="s">
        <v>526</v>
      </c>
      <c r="AW452" t="s">
        <v>46840</v>
      </c>
    </row>
    <row r="453" spans="1:50">
      <c r="A453" s="1">
        <f>HYPERLINK("https://lsnyc.legalserver.org/matter/dynamic-profile/view/1873148","18-1873148")</f>
        <v>0</v>
      </c>
      <c r="B453" t="s">
        <v>74</v>
      </c>
      <c r="C453" t="s">
        <v>341</v>
      </c>
      <c r="D453" t="s">
        <v>410</v>
      </c>
      <c r="E453" t="s">
        <v>477</v>
      </c>
      <c r="F453" t="s">
        <v>1162</v>
      </c>
      <c r="G453" t="s">
        <v>5403</v>
      </c>
      <c r="H453" t="s">
        <v>10036</v>
      </c>
      <c r="I453" t="s">
        <v>17432</v>
      </c>
      <c r="J453" t="s">
        <v>18893</v>
      </c>
      <c r="K453">
        <v>10034</v>
      </c>
      <c r="L453" t="s">
        <v>18958</v>
      </c>
      <c r="M453" t="s">
        <v>18958</v>
      </c>
      <c r="O453" t="s">
        <v>26527</v>
      </c>
      <c r="P453" t="s">
        <v>26564</v>
      </c>
      <c r="Q453" t="s">
        <v>26570</v>
      </c>
      <c r="R453" t="s">
        <v>26578</v>
      </c>
      <c r="S453" t="s">
        <v>18959</v>
      </c>
      <c r="U453" t="s">
        <v>26604</v>
      </c>
      <c r="W453" t="s">
        <v>410</v>
      </c>
      <c r="X453">
        <v>1636.08</v>
      </c>
      <c r="Y453" t="s">
        <v>26651</v>
      </c>
      <c r="Z453" t="s">
        <v>26661</v>
      </c>
      <c r="AA453" t="s">
        <v>26683</v>
      </c>
      <c r="AB453" t="s">
        <v>27126</v>
      </c>
      <c r="AD453" t="s">
        <v>37207</v>
      </c>
      <c r="AE453">
        <v>72</v>
      </c>
      <c r="AF453" t="s">
        <v>45541</v>
      </c>
      <c r="AG453" t="s">
        <v>19330</v>
      </c>
      <c r="AH453">
        <v>18</v>
      </c>
      <c r="AI453">
        <v>4</v>
      </c>
      <c r="AJ453">
        <v>0</v>
      </c>
      <c r="AK453">
        <v>159.36</v>
      </c>
      <c r="AN453" t="s">
        <v>45581</v>
      </c>
      <c r="AO453">
        <v>40000</v>
      </c>
      <c r="AU453">
        <v>2.5</v>
      </c>
      <c r="AV453" t="s">
        <v>504</v>
      </c>
      <c r="AW453" t="s">
        <v>46840</v>
      </c>
    </row>
    <row r="454" spans="1:50">
      <c r="A454" s="1">
        <f>HYPERLINK("https://lsnyc.legalserver.org/matter/dynamic-profile/view/1873284","18-1873284")</f>
        <v>0</v>
      </c>
      <c r="B454" t="s">
        <v>141</v>
      </c>
      <c r="C454" t="s">
        <v>341</v>
      </c>
      <c r="D454" t="s">
        <v>410</v>
      </c>
      <c r="E454" t="s">
        <v>682</v>
      </c>
      <c r="F454" t="s">
        <v>895</v>
      </c>
      <c r="G454" t="s">
        <v>5404</v>
      </c>
      <c r="H454" t="s">
        <v>10037</v>
      </c>
      <c r="I454" t="s">
        <v>17447</v>
      </c>
      <c r="J454" t="s">
        <v>18898</v>
      </c>
      <c r="K454">
        <v>11691</v>
      </c>
      <c r="L454" t="s">
        <v>18958</v>
      </c>
      <c r="M454" t="s">
        <v>18958</v>
      </c>
      <c r="N454" t="s">
        <v>19303</v>
      </c>
      <c r="O454" t="s">
        <v>26524</v>
      </c>
      <c r="P454" t="s">
        <v>26560</v>
      </c>
      <c r="Q454" t="s">
        <v>26574</v>
      </c>
      <c r="R454" t="s">
        <v>26578</v>
      </c>
      <c r="S454" t="s">
        <v>18959</v>
      </c>
      <c r="U454" t="s">
        <v>26604</v>
      </c>
      <c r="V454" t="s">
        <v>26610</v>
      </c>
      <c r="W454" t="s">
        <v>410</v>
      </c>
      <c r="X454">
        <v>1956</v>
      </c>
      <c r="Y454" t="s">
        <v>26653</v>
      </c>
      <c r="Z454" t="s">
        <v>26664</v>
      </c>
      <c r="AA454" t="s">
        <v>26678</v>
      </c>
      <c r="AB454" t="s">
        <v>27127</v>
      </c>
      <c r="AC454" t="s">
        <v>34619</v>
      </c>
      <c r="AD454" t="s">
        <v>34738</v>
      </c>
      <c r="AE454">
        <v>3</v>
      </c>
      <c r="AF454" t="s">
        <v>45547</v>
      </c>
      <c r="AG454" t="s">
        <v>45562</v>
      </c>
      <c r="AH454">
        <v>3</v>
      </c>
      <c r="AI454">
        <v>1</v>
      </c>
      <c r="AJ454">
        <v>5</v>
      </c>
      <c r="AK454">
        <v>40.46</v>
      </c>
      <c r="AN454" t="s">
        <v>7439</v>
      </c>
      <c r="AO454">
        <v>13650</v>
      </c>
      <c r="AQ454" t="s">
        <v>46362</v>
      </c>
      <c r="AR454" t="s">
        <v>26530</v>
      </c>
      <c r="AS454" t="s">
        <v>46499</v>
      </c>
      <c r="AT454" t="s">
        <v>46564</v>
      </c>
      <c r="AU454">
        <v>31.2</v>
      </c>
      <c r="AV454" t="s">
        <v>687</v>
      </c>
      <c r="AW454" t="s">
        <v>112</v>
      </c>
    </row>
    <row r="455" spans="1:50">
      <c r="A455" s="1">
        <f>HYPERLINK("https://lsnyc.legalserver.org/matter/dynamic-profile/view/1873138","18-1873138")</f>
        <v>0</v>
      </c>
      <c r="B455" t="s">
        <v>141</v>
      </c>
      <c r="C455" t="s">
        <v>341</v>
      </c>
      <c r="D455" t="s">
        <v>410</v>
      </c>
      <c r="E455" t="s">
        <v>515</v>
      </c>
      <c r="F455" t="s">
        <v>1108</v>
      </c>
      <c r="G455" t="s">
        <v>5405</v>
      </c>
      <c r="H455" t="s">
        <v>10038</v>
      </c>
      <c r="I455" t="s">
        <v>17416</v>
      </c>
      <c r="J455" t="s">
        <v>18898</v>
      </c>
      <c r="K455">
        <v>11691</v>
      </c>
      <c r="L455" t="s">
        <v>18958</v>
      </c>
      <c r="M455" t="s">
        <v>18958</v>
      </c>
      <c r="N455" t="s">
        <v>19304</v>
      </c>
      <c r="O455" t="s">
        <v>26524</v>
      </c>
      <c r="P455" t="s">
        <v>26560</v>
      </c>
      <c r="Q455" t="s">
        <v>26568</v>
      </c>
      <c r="R455" t="s">
        <v>26578</v>
      </c>
      <c r="S455" t="s">
        <v>18959</v>
      </c>
      <c r="U455" t="s">
        <v>26604</v>
      </c>
      <c r="V455" t="s">
        <v>26610</v>
      </c>
      <c r="W455" t="s">
        <v>410</v>
      </c>
      <c r="X455">
        <v>1500</v>
      </c>
      <c r="Y455" t="s">
        <v>26653</v>
      </c>
      <c r="Z455" t="s">
        <v>26663</v>
      </c>
      <c r="AA455" t="s">
        <v>26678</v>
      </c>
      <c r="AB455" t="s">
        <v>27128</v>
      </c>
      <c r="AC455" t="s">
        <v>19330</v>
      </c>
      <c r="AD455" t="s">
        <v>37208</v>
      </c>
      <c r="AE455">
        <v>2</v>
      </c>
      <c r="AF455" t="s">
        <v>45547</v>
      </c>
      <c r="AG455" t="s">
        <v>45556</v>
      </c>
      <c r="AH455">
        <v>2</v>
      </c>
      <c r="AI455">
        <v>1</v>
      </c>
      <c r="AJ455">
        <v>2</v>
      </c>
      <c r="AK455">
        <v>48.8</v>
      </c>
      <c r="AN455" t="s">
        <v>7439</v>
      </c>
      <c r="AO455">
        <v>10140</v>
      </c>
      <c r="AQ455" t="s">
        <v>46359</v>
      </c>
      <c r="AR455" t="s">
        <v>46379</v>
      </c>
      <c r="AS455" t="s">
        <v>46499</v>
      </c>
      <c r="AT455" t="s">
        <v>46547</v>
      </c>
      <c r="AU455">
        <v>14.65</v>
      </c>
      <c r="AV455" t="s">
        <v>515</v>
      </c>
      <c r="AW455" t="s">
        <v>161</v>
      </c>
    </row>
    <row r="456" spans="1:50">
      <c r="A456" s="1">
        <f>HYPERLINK("https://lsnyc.legalserver.org/matter/dynamic-profile/view/1873208","18-1873208")</f>
        <v>0</v>
      </c>
      <c r="B456" t="s">
        <v>141</v>
      </c>
      <c r="C456" t="s">
        <v>341</v>
      </c>
      <c r="D456" t="s">
        <v>410</v>
      </c>
      <c r="E456" t="s">
        <v>505</v>
      </c>
      <c r="F456" t="s">
        <v>1196</v>
      </c>
      <c r="G456" t="s">
        <v>5406</v>
      </c>
      <c r="H456" t="s">
        <v>10039</v>
      </c>
      <c r="J456" t="s">
        <v>18924</v>
      </c>
      <c r="K456">
        <v>11411</v>
      </c>
      <c r="L456" t="s">
        <v>18958</v>
      </c>
      <c r="M456" t="s">
        <v>18958</v>
      </c>
      <c r="N456" t="s">
        <v>19305</v>
      </c>
      <c r="O456" t="s">
        <v>26524</v>
      </c>
      <c r="P456" t="s">
        <v>26564</v>
      </c>
      <c r="Q456" t="s">
        <v>26570</v>
      </c>
      <c r="R456" t="s">
        <v>26578</v>
      </c>
      <c r="S456" t="s">
        <v>18959</v>
      </c>
      <c r="U456" t="s">
        <v>26604</v>
      </c>
      <c r="V456" t="s">
        <v>26614</v>
      </c>
      <c r="W456" t="s">
        <v>410</v>
      </c>
      <c r="X456">
        <v>200</v>
      </c>
      <c r="Y456" t="s">
        <v>26653</v>
      </c>
      <c r="Z456" t="s">
        <v>26664</v>
      </c>
      <c r="AA456" t="s">
        <v>26683</v>
      </c>
      <c r="AB456" t="s">
        <v>27129</v>
      </c>
      <c r="AC456" t="s">
        <v>34620</v>
      </c>
      <c r="AD456" t="s">
        <v>37209</v>
      </c>
      <c r="AE456">
        <v>1</v>
      </c>
      <c r="AF456" t="s">
        <v>45547</v>
      </c>
      <c r="AG456" t="s">
        <v>19330</v>
      </c>
      <c r="AH456">
        <v>20</v>
      </c>
      <c r="AI456">
        <v>1</v>
      </c>
      <c r="AJ456">
        <v>0</v>
      </c>
      <c r="AK456">
        <v>51.7</v>
      </c>
      <c r="AN456" t="s">
        <v>7439</v>
      </c>
      <c r="AO456">
        <v>6276</v>
      </c>
      <c r="AU456">
        <v>1</v>
      </c>
      <c r="AV456" t="s">
        <v>505</v>
      </c>
      <c r="AW456" t="s">
        <v>208</v>
      </c>
    </row>
    <row r="457" spans="1:50">
      <c r="A457" s="1">
        <f>HYPERLINK("https://lsnyc.legalserver.org/matter/dynamic-profile/view/1873265","18-1873265")</f>
        <v>0</v>
      </c>
      <c r="B457" t="s">
        <v>141</v>
      </c>
      <c r="C457" t="s">
        <v>341</v>
      </c>
      <c r="D457" t="s">
        <v>410</v>
      </c>
      <c r="E457" t="s">
        <v>505</v>
      </c>
      <c r="F457" t="s">
        <v>1224</v>
      </c>
      <c r="G457" t="s">
        <v>5407</v>
      </c>
      <c r="H457" t="s">
        <v>10040</v>
      </c>
      <c r="I457" t="s">
        <v>17416</v>
      </c>
      <c r="J457" t="s">
        <v>18901</v>
      </c>
      <c r="K457">
        <v>11436</v>
      </c>
      <c r="L457" t="s">
        <v>18958</v>
      </c>
      <c r="M457" t="s">
        <v>18958</v>
      </c>
      <c r="N457" t="s">
        <v>19306</v>
      </c>
      <c r="O457" t="s">
        <v>26524</v>
      </c>
      <c r="P457" t="s">
        <v>26564</v>
      </c>
      <c r="Q457" t="s">
        <v>26570</v>
      </c>
      <c r="R457" t="s">
        <v>26578</v>
      </c>
      <c r="S457" t="s">
        <v>18959</v>
      </c>
      <c r="U457" t="s">
        <v>26604</v>
      </c>
      <c r="V457" t="s">
        <v>26610</v>
      </c>
      <c r="W457" t="s">
        <v>410</v>
      </c>
      <c r="X457">
        <v>1600</v>
      </c>
      <c r="Y457" t="s">
        <v>26653</v>
      </c>
      <c r="Z457" t="s">
        <v>26664</v>
      </c>
      <c r="AA457" t="s">
        <v>26683</v>
      </c>
      <c r="AB457" t="s">
        <v>27130</v>
      </c>
      <c r="AC457" t="s">
        <v>19330</v>
      </c>
      <c r="AD457" t="s">
        <v>37210</v>
      </c>
      <c r="AE457">
        <v>2</v>
      </c>
      <c r="AF457" t="s">
        <v>45547</v>
      </c>
      <c r="AG457" t="s">
        <v>19330</v>
      </c>
      <c r="AH457">
        <v>5</v>
      </c>
      <c r="AI457">
        <v>4</v>
      </c>
      <c r="AJ457">
        <v>0</v>
      </c>
      <c r="AK457">
        <v>175.3</v>
      </c>
      <c r="AN457" t="s">
        <v>7439</v>
      </c>
      <c r="AO457">
        <v>44000</v>
      </c>
      <c r="AU457">
        <v>1.2</v>
      </c>
      <c r="AV457" t="s">
        <v>505</v>
      </c>
      <c r="AW457" t="s">
        <v>161</v>
      </c>
    </row>
    <row r="458" spans="1:50">
      <c r="A458" s="1">
        <f>HYPERLINK("https://lsnyc.legalserver.org/matter/dynamic-profile/view/1873145","18-1873145")</f>
        <v>0</v>
      </c>
      <c r="B458" t="s">
        <v>93</v>
      </c>
      <c r="C458" t="s">
        <v>341</v>
      </c>
      <c r="D458" t="s">
        <v>410</v>
      </c>
      <c r="E458" t="s">
        <v>712</v>
      </c>
      <c r="F458" t="s">
        <v>1225</v>
      </c>
      <c r="G458" t="s">
        <v>5408</v>
      </c>
      <c r="H458" t="s">
        <v>10041</v>
      </c>
      <c r="J458" t="s">
        <v>18925</v>
      </c>
      <c r="K458">
        <v>11357</v>
      </c>
      <c r="L458" t="s">
        <v>18958</v>
      </c>
      <c r="M458" t="s">
        <v>18958</v>
      </c>
      <c r="N458" t="s">
        <v>19307</v>
      </c>
      <c r="O458" t="s">
        <v>26524</v>
      </c>
      <c r="P458" t="s">
        <v>26564</v>
      </c>
      <c r="Q458" t="s">
        <v>26570</v>
      </c>
      <c r="R458" t="s">
        <v>26584</v>
      </c>
      <c r="S458" t="s">
        <v>18959</v>
      </c>
      <c r="U458" t="s">
        <v>26604</v>
      </c>
      <c r="V458" t="s">
        <v>26610</v>
      </c>
      <c r="W458" t="s">
        <v>410</v>
      </c>
      <c r="X458">
        <v>2600</v>
      </c>
      <c r="Y458" t="s">
        <v>26653</v>
      </c>
      <c r="Z458" t="s">
        <v>26664</v>
      </c>
      <c r="AA458" t="s">
        <v>26683</v>
      </c>
      <c r="AB458" t="s">
        <v>27131</v>
      </c>
      <c r="AC458" t="s">
        <v>34621</v>
      </c>
      <c r="AD458" t="s">
        <v>37211</v>
      </c>
      <c r="AE458">
        <v>1</v>
      </c>
      <c r="AF458" t="s">
        <v>45547</v>
      </c>
      <c r="AG458" t="s">
        <v>19330</v>
      </c>
      <c r="AH458">
        <v>1</v>
      </c>
      <c r="AI458">
        <v>2</v>
      </c>
      <c r="AJ458">
        <v>5</v>
      </c>
      <c r="AK458">
        <v>95.56999999999999</v>
      </c>
      <c r="AN458" t="s">
        <v>7439</v>
      </c>
      <c r="AO458">
        <v>36374</v>
      </c>
      <c r="AU458">
        <v>1.25</v>
      </c>
      <c r="AV458" t="s">
        <v>476</v>
      </c>
      <c r="AW458" t="s">
        <v>208</v>
      </c>
    </row>
    <row r="459" spans="1:50">
      <c r="A459" s="1">
        <f>HYPERLINK("https://lsnyc.legalserver.org/matter/dynamic-profile/view/1873220","18-1873220")</f>
        <v>0</v>
      </c>
      <c r="B459" t="s">
        <v>110</v>
      </c>
      <c r="C459" t="s">
        <v>341</v>
      </c>
      <c r="D459" t="s">
        <v>410</v>
      </c>
      <c r="E459" t="s">
        <v>494</v>
      </c>
      <c r="F459" t="s">
        <v>1226</v>
      </c>
      <c r="G459" t="s">
        <v>5409</v>
      </c>
      <c r="H459" t="s">
        <v>10042</v>
      </c>
      <c r="I459" t="s">
        <v>17416</v>
      </c>
      <c r="J459" t="s">
        <v>18926</v>
      </c>
      <c r="K459">
        <v>11378</v>
      </c>
      <c r="L459" t="s">
        <v>18958</v>
      </c>
      <c r="M459" t="s">
        <v>18958</v>
      </c>
      <c r="N459" t="s">
        <v>19308</v>
      </c>
      <c r="O459" t="s">
        <v>26523</v>
      </c>
      <c r="P459" t="s">
        <v>26560</v>
      </c>
      <c r="Q459" t="s">
        <v>26568</v>
      </c>
      <c r="R459" t="s">
        <v>26584</v>
      </c>
      <c r="S459" t="s">
        <v>18959</v>
      </c>
      <c r="U459" t="s">
        <v>26604</v>
      </c>
      <c r="V459" t="s">
        <v>26610</v>
      </c>
      <c r="W459" t="s">
        <v>410</v>
      </c>
      <c r="X459">
        <v>1625</v>
      </c>
      <c r="Y459" t="s">
        <v>26653</v>
      </c>
      <c r="Z459" t="s">
        <v>26664</v>
      </c>
      <c r="AA459" t="s">
        <v>26678</v>
      </c>
      <c r="AB459" t="s">
        <v>27132</v>
      </c>
      <c r="AC459" t="s">
        <v>34622</v>
      </c>
      <c r="AD459" t="s">
        <v>37212</v>
      </c>
      <c r="AE459">
        <v>3</v>
      </c>
      <c r="AF459" t="s">
        <v>45547</v>
      </c>
      <c r="AG459" t="s">
        <v>19330</v>
      </c>
      <c r="AH459">
        <v>3</v>
      </c>
      <c r="AI459">
        <v>2</v>
      </c>
      <c r="AJ459">
        <v>2</v>
      </c>
      <c r="AK459">
        <v>108.76</v>
      </c>
      <c r="AN459" t="s">
        <v>7439</v>
      </c>
      <c r="AO459">
        <v>27300</v>
      </c>
      <c r="AR459" t="s">
        <v>46379</v>
      </c>
      <c r="AS459" t="s">
        <v>46499</v>
      </c>
      <c r="AT459" t="s">
        <v>46620</v>
      </c>
      <c r="AU459">
        <v>14.2</v>
      </c>
      <c r="AV459" t="s">
        <v>413</v>
      </c>
      <c r="AW459" t="s">
        <v>161</v>
      </c>
    </row>
    <row r="460" spans="1:50">
      <c r="A460" s="1">
        <f>HYPERLINK("https://lsnyc.legalserver.org/matter/dynamic-profile/view/1873288","18-1873288")</f>
        <v>0</v>
      </c>
      <c r="B460" t="s">
        <v>161</v>
      </c>
      <c r="C460" t="s">
        <v>341</v>
      </c>
      <c r="D460" t="s">
        <v>410</v>
      </c>
      <c r="E460" t="s">
        <v>586</v>
      </c>
      <c r="F460" t="s">
        <v>1227</v>
      </c>
      <c r="G460" t="s">
        <v>5410</v>
      </c>
      <c r="H460" t="s">
        <v>10043</v>
      </c>
      <c r="I460" t="s">
        <v>17448</v>
      </c>
      <c r="J460" t="s">
        <v>7026</v>
      </c>
      <c r="K460">
        <v>11368</v>
      </c>
      <c r="L460" t="s">
        <v>18958</v>
      </c>
      <c r="M460" t="s">
        <v>18958</v>
      </c>
      <c r="N460" t="s">
        <v>19309</v>
      </c>
      <c r="O460" t="s">
        <v>26523</v>
      </c>
      <c r="P460" t="s">
        <v>26564</v>
      </c>
      <c r="Q460" t="s">
        <v>26570</v>
      </c>
      <c r="R460" t="s">
        <v>26584</v>
      </c>
      <c r="S460" t="s">
        <v>18959</v>
      </c>
      <c r="U460" t="s">
        <v>26604</v>
      </c>
      <c r="W460" t="s">
        <v>410</v>
      </c>
      <c r="X460">
        <v>2324</v>
      </c>
      <c r="Y460" t="s">
        <v>26653</v>
      </c>
      <c r="Z460" t="s">
        <v>26664</v>
      </c>
      <c r="AA460" t="s">
        <v>26683</v>
      </c>
      <c r="AB460" t="s">
        <v>27133</v>
      </c>
      <c r="AC460" t="s">
        <v>19045</v>
      </c>
      <c r="AD460" t="s">
        <v>37213</v>
      </c>
      <c r="AE460">
        <v>232</v>
      </c>
      <c r="AF460" t="s">
        <v>45541</v>
      </c>
      <c r="AG460" t="s">
        <v>19330</v>
      </c>
      <c r="AH460">
        <v>3</v>
      </c>
      <c r="AI460">
        <v>4</v>
      </c>
      <c r="AJ460">
        <v>2</v>
      </c>
      <c r="AK460">
        <v>163.01</v>
      </c>
      <c r="AN460" t="s">
        <v>7439</v>
      </c>
      <c r="AO460">
        <v>55000</v>
      </c>
      <c r="AU460">
        <v>0.6</v>
      </c>
      <c r="AV460" t="s">
        <v>464</v>
      </c>
      <c r="AW460" t="s">
        <v>161</v>
      </c>
    </row>
    <row r="461" spans="1:50">
      <c r="A461" s="1">
        <f>HYPERLINK("https://lsnyc.legalserver.org/matter/dynamic-profile/view/1873212","18-1873212")</f>
        <v>0</v>
      </c>
      <c r="B461" t="s">
        <v>122</v>
      </c>
      <c r="C461" t="s">
        <v>341</v>
      </c>
      <c r="D461" t="s">
        <v>410</v>
      </c>
      <c r="E461" t="s">
        <v>422</v>
      </c>
      <c r="F461" t="s">
        <v>1228</v>
      </c>
      <c r="G461" t="s">
        <v>5401</v>
      </c>
      <c r="H461" t="s">
        <v>10044</v>
      </c>
      <c r="I461" t="s">
        <v>17316</v>
      </c>
      <c r="J461" t="s">
        <v>18904</v>
      </c>
      <c r="K461">
        <v>11421</v>
      </c>
      <c r="L461" t="s">
        <v>18958</v>
      </c>
      <c r="M461" t="s">
        <v>18958</v>
      </c>
      <c r="N461" t="s">
        <v>19310</v>
      </c>
      <c r="O461" t="s">
        <v>26524</v>
      </c>
      <c r="P461" t="s">
        <v>26564</v>
      </c>
      <c r="Q461" t="s">
        <v>26570</v>
      </c>
      <c r="R461" t="s">
        <v>26584</v>
      </c>
      <c r="U461" t="s">
        <v>26604</v>
      </c>
      <c r="W461" t="s">
        <v>410</v>
      </c>
      <c r="X461">
        <v>0</v>
      </c>
      <c r="Y461" t="s">
        <v>26653</v>
      </c>
      <c r="Z461" t="s">
        <v>26664</v>
      </c>
      <c r="AA461" t="s">
        <v>26683</v>
      </c>
      <c r="AB461" t="s">
        <v>27134</v>
      </c>
      <c r="AD461" t="s">
        <v>37214</v>
      </c>
      <c r="AE461">
        <v>65</v>
      </c>
      <c r="AF461" t="s">
        <v>45541</v>
      </c>
      <c r="AG461" t="s">
        <v>19330</v>
      </c>
      <c r="AH461">
        <v>4</v>
      </c>
      <c r="AI461">
        <v>4</v>
      </c>
      <c r="AJ461">
        <v>3</v>
      </c>
      <c r="AK461">
        <v>42.04</v>
      </c>
      <c r="AN461" t="s">
        <v>45581</v>
      </c>
      <c r="AO461">
        <v>16000</v>
      </c>
      <c r="AU461">
        <v>1.75</v>
      </c>
      <c r="AV461" t="s">
        <v>422</v>
      </c>
      <c r="AW461" t="s">
        <v>122</v>
      </c>
      <c r="AX461" t="s">
        <v>46897</v>
      </c>
    </row>
    <row r="462" spans="1:50">
      <c r="A462" s="1">
        <f>HYPERLINK("https://lsnyc.legalserver.org/matter/dynamic-profile/view/1873287","18-1873287")</f>
        <v>0</v>
      </c>
      <c r="B462" t="s">
        <v>91</v>
      </c>
      <c r="C462" t="s">
        <v>341</v>
      </c>
      <c r="D462" t="s">
        <v>410</v>
      </c>
      <c r="E462" t="s">
        <v>688</v>
      </c>
      <c r="F462" t="s">
        <v>1229</v>
      </c>
      <c r="G462" t="s">
        <v>5411</v>
      </c>
      <c r="H462" t="s">
        <v>10045</v>
      </c>
      <c r="I462" t="s">
        <v>17333</v>
      </c>
      <c r="J462" t="s">
        <v>18927</v>
      </c>
      <c r="K462">
        <v>11419</v>
      </c>
      <c r="L462" t="s">
        <v>18958</v>
      </c>
      <c r="M462" t="s">
        <v>18958</v>
      </c>
      <c r="N462" t="s">
        <v>19311</v>
      </c>
      <c r="O462" t="s">
        <v>26524</v>
      </c>
      <c r="P462" t="s">
        <v>26564</v>
      </c>
      <c r="Q462" t="s">
        <v>26570</v>
      </c>
      <c r="R462" t="s">
        <v>26584</v>
      </c>
      <c r="S462" t="s">
        <v>18959</v>
      </c>
      <c r="U462" t="s">
        <v>26604</v>
      </c>
      <c r="V462" t="s">
        <v>26614</v>
      </c>
      <c r="W462" t="s">
        <v>410</v>
      </c>
      <c r="X462">
        <v>0</v>
      </c>
      <c r="Y462" t="s">
        <v>26653</v>
      </c>
      <c r="Z462" t="s">
        <v>26664</v>
      </c>
      <c r="AA462" t="s">
        <v>26683</v>
      </c>
      <c r="AB462" t="s">
        <v>27135</v>
      </c>
      <c r="AD462" t="s">
        <v>37215</v>
      </c>
      <c r="AE462">
        <v>8</v>
      </c>
      <c r="AF462" t="s">
        <v>45547</v>
      </c>
      <c r="AG462" t="s">
        <v>19330</v>
      </c>
      <c r="AH462">
        <v>4</v>
      </c>
      <c r="AI462">
        <v>1</v>
      </c>
      <c r="AJ462">
        <v>0</v>
      </c>
      <c r="AK462">
        <v>0</v>
      </c>
      <c r="AN462" t="s">
        <v>7439</v>
      </c>
      <c r="AO462">
        <v>0</v>
      </c>
      <c r="AU462">
        <v>1.1</v>
      </c>
      <c r="AV462" t="s">
        <v>697</v>
      </c>
      <c r="AW462" t="s">
        <v>161</v>
      </c>
    </row>
    <row r="463" spans="1:50">
      <c r="A463" s="1">
        <f>HYPERLINK("https://lsnyc.legalserver.org/matter/dynamic-profile/view/1873283","18-1873283")</f>
        <v>0</v>
      </c>
      <c r="B463" t="s">
        <v>91</v>
      </c>
      <c r="C463" t="s">
        <v>341</v>
      </c>
      <c r="D463" t="s">
        <v>410</v>
      </c>
      <c r="E463" t="s">
        <v>494</v>
      </c>
      <c r="F463" t="s">
        <v>1230</v>
      </c>
      <c r="G463" t="s">
        <v>5412</v>
      </c>
      <c r="H463" t="s">
        <v>10046</v>
      </c>
      <c r="I463" t="s">
        <v>17410</v>
      </c>
      <c r="J463" t="s">
        <v>18928</v>
      </c>
      <c r="K463">
        <v>11365</v>
      </c>
      <c r="L463" t="s">
        <v>18958</v>
      </c>
      <c r="M463" t="s">
        <v>18958</v>
      </c>
      <c r="N463" t="s">
        <v>19312</v>
      </c>
      <c r="O463" t="s">
        <v>26523</v>
      </c>
      <c r="P463" t="s">
        <v>26564</v>
      </c>
      <c r="Q463" t="s">
        <v>26570</v>
      </c>
      <c r="R463" t="s">
        <v>26584</v>
      </c>
      <c r="S463" t="s">
        <v>18959</v>
      </c>
      <c r="U463" t="s">
        <v>26604</v>
      </c>
      <c r="V463" t="s">
        <v>26609</v>
      </c>
      <c r="W463" t="s">
        <v>410</v>
      </c>
      <c r="X463">
        <v>800</v>
      </c>
      <c r="Y463" t="s">
        <v>26653</v>
      </c>
      <c r="Z463" t="s">
        <v>26664</v>
      </c>
      <c r="AA463" t="s">
        <v>26683</v>
      </c>
      <c r="AB463" t="s">
        <v>27136</v>
      </c>
      <c r="AD463" t="s">
        <v>37216</v>
      </c>
      <c r="AE463">
        <v>4</v>
      </c>
      <c r="AF463" t="s">
        <v>45547</v>
      </c>
      <c r="AG463" t="s">
        <v>19330</v>
      </c>
      <c r="AH463">
        <v>1</v>
      </c>
      <c r="AI463">
        <v>1</v>
      </c>
      <c r="AJ463">
        <v>0</v>
      </c>
      <c r="AK463">
        <v>90.44</v>
      </c>
      <c r="AN463" t="s">
        <v>7439</v>
      </c>
      <c r="AO463">
        <v>10980</v>
      </c>
      <c r="AU463">
        <v>1.5</v>
      </c>
      <c r="AV463" t="s">
        <v>699</v>
      </c>
      <c r="AW463" t="s">
        <v>161</v>
      </c>
    </row>
    <row r="464" spans="1:50">
      <c r="A464" s="1">
        <f>HYPERLINK("https://lsnyc.legalserver.org/matter/dynamic-profile/view/1873179","18-1873179")</f>
        <v>0</v>
      </c>
      <c r="B464" t="s">
        <v>69</v>
      </c>
      <c r="C464" t="s">
        <v>341</v>
      </c>
      <c r="D464" t="s">
        <v>410</v>
      </c>
      <c r="E464" t="s">
        <v>664</v>
      </c>
      <c r="F464" t="s">
        <v>1231</v>
      </c>
      <c r="G464" t="s">
        <v>5158</v>
      </c>
      <c r="H464" t="s">
        <v>10047</v>
      </c>
      <c r="I464" t="s">
        <v>17449</v>
      </c>
      <c r="J464" t="s">
        <v>18892</v>
      </c>
      <c r="K464">
        <v>10454</v>
      </c>
      <c r="L464" t="s">
        <v>18958</v>
      </c>
      <c r="M464" t="s">
        <v>18958</v>
      </c>
      <c r="N464" t="s">
        <v>19313</v>
      </c>
      <c r="O464" t="s">
        <v>26523</v>
      </c>
      <c r="P464" t="s">
        <v>26564</v>
      </c>
      <c r="Q464" t="s">
        <v>26570</v>
      </c>
      <c r="R464" t="s">
        <v>26577</v>
      </c>
      <c r="S464" t="s">
        <v>18959</v>
      </c>
      <c r="U464" t="s">
        <v>26604</v>
      </c>
      <c r="V464" t="s">
        <v>26609</v>
      </c>
      <c r="W464" t="s">
        <v>410</v>
      </c>
      <c r="X464">
        <v>1493</v>
      </c>
      <c r="Y464" t="s">
        <v>26650</v>
      </c>
      <c r="Z464" t="s">
        <v>26664</v>
      </c>
      <c r="AA464" t="s">
        <v>26683</v>
      </c>
      <c r="AB464" t="s">
        <v>27137</v>
      </c>
      <c r="AC464" t="s">
        <v>34623</v>
      </c>
      <c r="AD464" t="s">
        <v>37217</v>
      </c>
      <c r="AE464">
        <v>191</v>
      </c>
      <c r="AF464" t="s">
        <v>45551</v>
      </c>
      <c r="AG464" t="s">
        <v>19330</v>
      </c>
      <c r="AH464">
        <v>33</v>
      </c>
      <c r="AI464">
        <v>2</v>
      </c>
      <c r="AJ464">
        <v>0</v>
      </c>
      <c r="AK464">
        <v>149.45</v>
      </c>
      <c r="AN464" t="s">
        <v>45581</v>
      </c>
      <c r="AO464">
        <v>24600</v>
      </c>
      <c r="AP464" t="s">
        <v>45621</v>
      </c>
      <c r="AU464">
        <v>3.5</v>
      </c>
      <c r="AV464" t="s">
        <v>528</v>
      </c>
      <c r="AW464" t="s">
        <v>46837</v>
      </c>
    </row>
    <row r="465" spans="1:49">
      <c r="A465" s="1">
        <f>HYPERLINK("https://lsnyc.legalserver.org/matter/dynamic-profile/view/1873178","18-1873178")</f>
        <v>0</v>
      </c>
      <c r="B465" t="s">
        <v>61</v>
      </c>
      <c r="C465" t="s">
        <v>340</v>
      </c>
      <c r="D465" t="s">
        <v>410</v>
      </c>
      <c r="F465" t="s">
        <v>1232</v>
      </c>
      <c r="G465" t="s">
        <v>5413</v>
      </c>
      <c r="H465" t="s">
        <v>9757</v>
      </c>
      <c r="I465" t="s">
        <v>17390</v>
      </c>
      <c r="J465" t="s">
        <v>18893</v>
      </c>
      <c r="K465">
        <v>10034</v>
      </c>
      <c r="L465" t="s">
        <v>18958</v>
      </c>
      <c r="M465" t="s">
        <v>18958</v>
      </c>
      <c r="N465" t="s">
        <v>19058</v>
      </c>
      <c r="O465" t="s">
        <v>26526</v>
      </c>
      <c r="P465" t="s">
        <v>26560</v>
      </c>
      <c r="R465" t="s">
        <v>26578</v>
      </c>
      <c r="S465" t="s">
        <v>18958</v>
      </c>
      <c r="U465" t="s">
        <v>26604</v>
      </c>
      <c r="W465" t="s">
        <v>410</v>
      </c>
      <c r="X465">
        <v>1585</v>
      </c>
      <c r="Y465" t="s">
        <v>26651</v>
      </c>
      <c r="Z465" t="s">
        <v>26661</v>
      </c>
      <c r="AB465" t="s">
        <v>26811</v>
      </c>
      <c r="AD465" t="s">
        <v>37218</v>
      </c>
      <c r="AE465">
        <v>67</v>
      </c>
      <c r="AF465" t="s">
        <v>45541</v>
      </c>
      <c r="AG465" t="s">
        <v>19330</v>
      </c>
      <c r="AH465">
        <v>2</v>
      </c>
      <c r="AI465">
        <v>2</v>
      </c>
      <c r="AJ465">
        <v>0</v>
      </c>
      <c r="AK465">
        <v>37.83</v>
      </c>
      <c r="AN465" t="s">
        <v>7439</v>
      </c>
      <c r="AO465">
        <v>6227</v>
      </c>
      <c r="AU465">
        <v>1.3</v>
      </c>
      <c r="AV465" t="s">
        <v>411</v>
      </c>
      <c r="AW465" t="s">
        <v>46840</v>
      </c>
    </row>
    <row r="466" spans="1:49">
      <c r="A466" s="1">
        <f>HYPERLINK("https://lsnyc.legalserver.org/matter/dynamic-profile/view/1873224","18-1873224")</f>
        <v>0</v>
      </c>
      <c r="B466" t="s">
        <v>61</v>
      </c>
      <c r="C466" t="s">
        <v>340</v>
      </c>
      <c r="D466" t="s">
        <v>410</v>
      </c>
      <c r="F466" t="s">
        <v>1034</v>
      </c>
      <c r="G466" t="s">
        <v>5400</v>
      </c>
      <c r="H466" t="s">
        <v>10033</v>
      </c>
      <c r="I466">
        <v>46</v>
      </c>
      <c r="J466" t="s">
        <v>18893</v>
      </c>
      <c r="K466">
        <v>10040</v>
      </c>
      <c r="L466" t="s">
        <v>18958</v>
      </c>
      <c r="M466" t="s">
        <v>18958</v>
      </c>
      <c r="O466" t="s">
        <v>26529</v>
      </c>
      <c r="P466" t="s">
        <v>26562</v>
      </c>
      <c r="R466" t="s">
        <v>26578</v>
      </c>
      <c r="S466" t="s">
        <v>18959</v>
      </c>
      <c r="U466" t="s">
        <v>26604</v>
      </c>
      <c r="W466" t="s">
        <v>410</v>
      </c>
      <c r="X466">
        <v>824.09</v>
      </c>
      <c r="Y466" t="s">
        <v>26651</v>
      </c>
      <c r="Z466" t="s">
        <v>26659</v>
      </c>
      <c r="AB466" t="s">
        <v>27121</v>
      </c>
      <c r="AD466" t="s">
        <v>37202</v>
      </c>
      <c r="AE466">
        <v>80</v>
      </c>
      <c r="AF466" t="s">
        <v>45541</v>
      </c>
      <c r="AG466" t="s">
        <v>19330</v>
      </c>
      <c r="AH466">
        <v>37</v>
      </c>
      <c r="AI466">
        <v>2</v>
      </c>
      <c r="AJ466">
        <v>0</v>
      </c>
      <c r="AK466">
        <v>175.65</v>
      </c>
      <c r="AN466" t="s">
        <v>45581</v>
      </c>
      <c r="AO466">
        <v>28911.6</v>
      </c>
      <c r="AU466">
        <v>5.7</v>
      </c>
      <c r="AV466" t="s">
        <v>687</v>
      </c>
      <c r="AW466" t="s">
        <v>46840</v>
      </c>
    </row>
    <row r="467" spans="1:49">
      <c r="A467" s="1">
        <f>HYPERLINK("https://lsnyc.legalserver.org/matter/dynamic-profile/view/1873232","18-1873232")</f>
        <v>0</v>
      </c>
      <c r="B467" t="s">
        <v>133</v>
      </c>
      <c r="C467" t="s">
        <v>340</v>
      </c>
      <c r="D467" t="s">
        <v>410</v>
      </c>
      <c r="F467" t="s">
        <v>1233</v>
      </c>
      <c r="G467" t="s">
        <v>5414</v>
      </c>
      <c r="H467" t="s">
        <v>10048</v>
      </c>
      <c r="I467" t="s">
        <v>17327</v>
      </c>
      <c r="J467" t="s">
        <v>18892</v>
      </c>
      <c r="K467">
        <v>10457</v>
      </c>
      <c r="L467" t="s">
        <v>18958</v>
      </c>
      <c r="M467" t="s">
        <v>18958</v>
      </c>
      <c r="N467" t="s">
        <v>19314</v>
      </c>
      <c r="O467" t="s">
        <v>26523</v>
      </c>
      <c r="P467" t="s">
        <v>26560</v>
      </c>
      <c r="R467" t="s">
        <v>26579</v>
      </c>
      <c r="S467" t="s">
        <v>18959</v>
      </c>
      <c r="U467" t="s">
        <v>26604</v>
      </c>
      <c r="V467" t="s">
        <v>26610</v>
      </c>
      <c r="W467" t="s">
        <v>410</v>
      </c>
      <c r="X467">
        <v>214</v>
      </c>
      <c r="Y467" t="s">
        <v>26650</v>
      </c>
      <c r="AB467" t="s">
        <v>27138</v>
      </c>
      <c r="AD467" t="s">
        <v>37219</v>
      </c>
      <c r="AE467">
        <v>0</v>
      </c>
      <c r="AF467" t="s">
        <v>45544</v>
      </c>
      <c r="AG467" t="s">
        <v>45556</v>
      </c>
      <c r="AH467">
        <v>20</v>
      </c>
      <c r="AI467">
        <v>1</v>
      </c>
      <c r="AJ467">
        <v>0</v>
      </c>
      <c r="AK467">
        <v>74.14</v>
      </c>
      <c r="AN467" t="s">
        <v>7439</v>
      </c>
      <c r="AO467">
        <v>9000</v>
      </c>
      <c r="AU467">
        <v>13</v>
      </c>
      <c r="AV467" t="s">
        <v>710</v>
      </c>
      <c r="AW467" t="s">
        <v>46837</v>
      </c>
    </row>
    <row r="468" spans="1:49">
      <c r="A468" s="1">
        <f>HYPERLINK("https://lsnyc.legalserver.org/matter/dynamic-profile/view/1873286","18-1873286")</f>
        <v>0</v>
      </c>
      <c r="B468" t="s">
        <v>167</v>
      </c>
      <c r="C468" t="s">
        <v>340</v>
      </c>
      <c r="D468" t="s">
        <v>410</v>
      </c>
      <c r="F468" t="s">
        <v>1234</v>
      </c>
      <c r="G468" t="s">
        <v>2489</v>
      </c>
      <c r="H468" t="s">
        <v>10049</v>
      </c>
      <c r="J468" t="s">
        <v>18901</v>
      </c>
      <c r="K468">
        <v>11436</v>
      </c>
      <c r="L468" t="s">
        <v>18958</v>
      </c>
      <c r="M468" t="s">
        <v>18958</v>
      </c>
      <c r="N468" t="s">
        <v>19315</v>
      </c>
      <c r="O468" t="s">
        <v>26524</v>
      </c>
      <c r="P468" t="s">
        <v>26564</v>
      </c>
      <c r="R468" t="s">
        <v>26584</v>
      </c>
      <c r="S468" t="s">
        <v>18959</v>
      </c>
      <c r="U468" t="s">
        <v>26604</v>
      </c>
      <c r="V468" t="s">
        <v>26611</v>
      </c>
      <c r="W468" t="s">
        <v>410</v>
      </c>
      <c r="X468">
        <v>1700</v>
      </c>
      <c r="Y468" t="s">
        <v>26653</v>
      </c>
      <c r="Z468" t="s">
        <v>26664</v>
      </c>
      <c r="AB468" t="s">
        <v>27139</v>
      </c>
      <c r="AC468" t="s">
        <v>34624</v>
      </c>
      <c r="AD468" t="s">
        <v>37220</v>
      </c>
      <c r="AE468">
        <v>1</v>
      </c>
      <c r="AF468" t="s">
        <v>45547</v>
      </c>
      <c r="AG468" t="s">
        <v>19330</v>
      </c>
      <c r="AH468">
        <v>3</v>
      </c>
      <c r="AI468">
        <v>5</v>
      </c>
      <c r="AJ468">
        <v>3</v>
      </c>
      <c r="AK468">
        <v>15.09</v>
      </c>
      <c r="AN468" t="s">
        <v>7439</v>
      </c>
      <c r="AO468">
        <v>6396</v>
      </c>
      <c r="AU468">
        <v>4.8</v>
      </c>
      <c r="AV468" t="s">
        <v>512</v>
      </c>
      <c r="AW468" t="s">
        <v>161</v>
      </c>
    </row>
    <row r="469" spans="1:49">
      <c r="A469" s="1">
        <f>HYPERLINK("https://lsnyc.legalserver.org/matter/dynamic-profile/view/1873251","18-1873251")</f>
        <v>0</v>
      </c>
      <c r="B469" t="s">
        <v>91</v>
      </c>
      <c r="C469" t="s">
        <v>340</v>
      </c>
      <c r="D469" t="s">
        <v>410</v>
      </c>
      <c r="F469" t="s">
        <v>1235</v>
      </c>
      <c r="G469" t="s">
        <v>5415</v>
      </c>
      <c r="H469" t="s">
        <v>10050</v>
      </c>
      <c r="I469" t="s">
        <v>17302</v>
      </c>
      <c r="J469" t="s">
        <v>18906</v>
      </c>
      <c r="K469">
        <v>11373</v>
      </c>
      <c r="L469" t="s">
        <v>18958</v>
      </c>
      <c r="M469" t="s">
        <v>18958</v>
      </c>
      <c r="N469" t="s">
        <v>19316</v>
      </c>
      <c r="O469" t="s">
        <v>26523</v>
      </c>
      <c r="P469" t="s">
        <v>26560</v>
      </c>
      <c r="R469" t="s">
        <v>26585</v>
      </c>
      <c r="S469" t="s">
        <v>18959</v>
      </c>
      <c r="U469" t="s">
        <v>26604</v>
      </c>
      <c r="V469" t="s">
        <v>26610</v>
      </c>
      <c r="W469" t="s">
        <v>410</v>
      </c>
      <c r="X469">
        <v>1680</v>
      </c>
      <c r="Y469" t="s">
        <v>26653</v>
      </c>
      <c r="Z469" t="s">
        <v>26664</v>
      </c>
      <c r="AB469" t="s">
        <v>27140</v>
      </c>
      <c r="AC469" t="s">
        <v>34625</v>
      </c>
      <c r="AD469" t="s">
        <v>37221</v>
      </c>
      <c r="AE469">
        <v>165</v>
      </c>
      <c r="AF469" t="s">
        <v>45541</v>
      </c>
      <c r="AG469" t="s">
        <v>19330</v>
      </c>
      <c r="AH469">
        <v>4</v>
      </c>
      <c r="AI469">
        <v>3</v>
      </c>
      <c r="AJ469">
        <v>3</v>
      </c>
      <c r="AK469">
        <v>133.37</v>
      </c>
      <c r="AN469" t="s">
        <v>7439</v>
      </c>
      <c r="AO469">
        <v>45000</v>
      </c>
      <c r="AU469">
        <v>21.1</v>
      </c>
      <c r="AV469" t="s">
        <v>814</v>
      </c>
      <c r="AW469" t="s">
        <v>161</v>
      </c>
    </row>
    <row r="470" spans="1:49">
      <c r="A470" s="1">
        <f>HYPERLINK("https://lsnyc.legalserver.org/matter/dynamic-profile/view/1873162","18-1873162")</f>
        <v>0</v>
      </c>
      <c r="B470" t="s">
        <v>114</v>
      </c>
      <c r="C470" t="s">
        <v>340</v>
      </c>
      <c r="D470" t="s">
        <v>410</v>
      </c>
      <c r="F470" t="s">
        <v>1018</v>
      </c>
      <c r="G470" t="s">
        <v>994</v>
      </c>
      <c r="H470" t="s">
        <v>10051</v>
      </c>
      <c r="I470" t="s">
        <v>17450</v>
      </c>
      <c r="J470" t="s">
        <v>18905</v>
      </c>
      <c r="K470">
        <v>11692</v>
      </c>
      <c r="L470" t="s">
        <v>18958</v>
      </c>
      <c r="M470" t="s">
        <v>18958</v>
      </c>
      <c r="N470" t="s">
        <v>19317</v>
      </c>
      <c r="O470" t="s">
        <v>26523</v>
      </c>
      <c r="P470" t="s">
        <v>26560</v>
      </c>
      <c r="R470" t="s">
        <v>26578</v>
      </c>
      <c r="S470" t="s">
        <v>18959</v>
      </c>
      <c r="U470" t="s">
        <v>26604</v>
      </c>
      <c r="V470" t="s">
        <v>26611</v>
      </c>
      <c r="W470" t="s">
        <v>410</v>
      </c>
      <c r="X470">
        <v>1515</v>
      </c>
      <c r="Y470" t="s">
        <v>26653</v>
      </c>
      <c r="Z470" t="s">
        <v>26664</v>
      </c>
      <c r="AB470" t="s">
        <v>27141</v>
      </c>
      <c r="AC470" t="s">
        <v>34626</v>
      </c>
      <c r="AD470" t="s">
        <v>37222</v>
      </c>
      <c r="AE470">
        <v>132</v>
      </c>
      <c r="AF470" t="s">
        <v>20460</v>
      </c>
      <c r="AG470" t="s">
        <v>19330</v>
      </c>
      <c r="AH470">
        <v>4</v>
      </c>
      <c r="AI470">
        <v>1</v>
      </c>
      <c r="AJ470">
        <v>3</v>
      </c>
      <c r="AK470">
        <v>20.72</v>
      </c>
      <c r="AN470" t="s">
        <v>7439</v>
      </c>
      <c r="AO470">
        <v>5200</v>
      </c>
      <c r="AQ470" t="s">
        <v>46365</v>
      </c>
      <c r="AR470" t="s">
        <v>46410</v>
      </c>
      <c r="AS470" t="s">
        <v>46499</v>
      </c>
      <c r="AT470" t="s">
        <v>46535</v>
      </c>
      <c r="AU470">
        <v>18.85</v>
      </c>
      <c r="AV470" t="s">
        <v>665</v>
      </c>
      <c r="AW470" t="s">
        <v>208</v>
      </c>
    </row>
    <row r="471" spans="1:49">
      <c r="A471" s="1">
        <f>HYPERLINK("https://lsnyc.legalserver.org/matter/dynamic-profile/view/1874661","18-1874661")</f>
        <v>0</v>
      </c>
      <c r="B471" t="s">
        <v>95</v>
      </c>
      <c r="C471" t="s">
        <v>341</v>
      </c>
      <c r="D471" t="s">
        <v>461</v>
      </c>
      <c r="E471" t="s">
        <v>600</v>
      </c>
      <c r="F471" t="s">
        <v>1236</v>
      </c>
      <c r="G471" t="s">
        <v>5416</v>
      </c>
      <c r="H471" t="s">
        <v>9778</v>
      </c>
      <c r="I471" t="s">
        <v>17301</v>
      </c>
      <c r="J471" t="s">
        <v>18894</v>
      </c>
      <c r="K471">
        <v>11213</v>
      </c>
      <c r="L471" t="s">
        <v>18958</v>
      </c>
      <c r="M471" t="s">
        <v>18959</v>
      </c>
      <c r="N471" t="s">
        <v>19318</v>
      </c>
      <c r="O471" t="s">
        <v>26523</v>
      </c>
      <c r="P471" t="s">
        <v>26560</v>
      </c>
      <c r="Q471" t="s">
        <v>26568</v>
      </c>
      <c r="R471" t="s">
        <v>26578</v>
      </c>
      <c r="S471" t="s">
        <v>18958</v>
      </c>
      <c r="U471" t="s">
        <v>26604</v>
      </c>
      <c r="W471" t="s">
        <v>410</v>
      </c>
      <c r="X471">
        <v>590.58</v>
      </c>
      <c r="Y471" t="s">
        <v>26652</v>
      </c>
      <c r="Z471" t="s">
        <v>26659</v>
      </c>
      <c r="AA471" t="s">
        <v>26678</v>
      </c>
      <c r="AB471" t="s">
        <v>27142</v>
      </c>
      <c r="AD471" t="s">
        <v>37223</v>
      </c>
      <c r="AE471">
        <v>23</v>
      </c>
      <c r="AF471" t="s">
        <v>45541</v>
      </c>
      <c r="AH471">
        <v>45</v>
      </c>
      <c r="AI471">
        <v>1</v>
      </c>
      <c r="AJ471">
        <v>0</v>
      </c>
      <c r="AK471">
        <v>83.03</v>
      </c>
      <c r="AN471" t="s">
        <v>45581</v>
      </c>
      <c r="AO471">
        <v>10080</v>
      </c>
      <c r="AR471" t="s">
        <v>46381</v>
      </c>
      <c r="AS471" t="s">
        <v>46499</v>
      </c>
      <c r="AT471" t="s">
        <v>46621</v>
      </c>
      <c r="AU471">
        <v>1.3</v>
      </c>
      <c r="AV471" t="s">
        <v>600</v>
      </c>
      <c r="AW471" t="s">
        <v>73</v>
      </c>
    </row>
    <row r="472" spans="1:49">
      <c r="A472" s="1">
        <f>HYPERLINK("https://lsnyc.legalserver.org/matter/dynamic-profile/view/1856429","18-1856429")</f>
        <v>0</v>
      </c>
      <c r="B472" t="s">
        <v>179</v>
      </c>
      <c r="C472" t="s">
        <v>341</v>
      </c>
      <c r="D472" t="s">
        <v>462</v>
      </c>
      <c r="E472" t="s">
        <v>464</v>
      </c>
      <c r="F472" t="s">
        <v>1237</v>
      </c>
      <c r="G472" t="s">
        <v>5417</v>
      </c>
      <c r="H472" t="s">
        <v>10052</v>
      </c>
      <c r="I472" t="s">
        <v>17451</v>
      </c>
      <c r="J472" t="s">
        <v>18894</v>
      </c>
      <c r="K472">
        <v>11214</v>
      </c>
      <c r="L472" t="s">
        <v>18958</v>
      </c>
      <c r="M472" t="s">
        <v>18958</v>
      </c>
      <c r="N472" t="s">
        <v>19319</v>
      </c>
      <c r="O472" t="s">
        <v>26523</v>
      </c>
      <c r="P472" t="s">
        <v>26560</v>
      </c>
      <c r="Q472" t="s">
        <v>26568</v>
      </c>
      <c r="R472" t="s">
        <v>26586</v>
      </c>
      <c r="U472" t="s">
        <v>26604</v>
      </c>
      <c r="W472" t="s">
        <v>464</v>
      </c>
      <c r="X472">
        <v>1081</v>
      </c>
      <c r="Y472" t="s">
        <v>26652</v>
      </c>
      <c r="Z472" t="s">
        <v>26656</v>
      </c>
      <c r="AA472" t="s">
        <v>26678</v>
      </c>
      <c r="AB472" t="s">
        <v>27143</v>
      </c>
      <c r="AD472" t="s">
        <v>37224</v>
      </c>
      <c r="AE472">
        <v>60</v>
      </c>
      <c r="AH472">
        <v>35</v>
      </c>
      <c r="AI472">
        <v>1</v>
      </c>
      <c r="AJ472">
        <v>0</v>
      </c>
      <c r="AK472">
        <v>83.58</v>
      </c>
      <c r="AN472" t="s">
        <v>7439</v>
      </c>
      <c r="AO472">
        <v>10080</v>
      </c>
      <c r="AQ472" t="s">
        <v>46359</v>
      </c>
      <c r="AR472" t="s">
        <v>46385</v>
      </c>
      <c r="AS472" t="s">
        <v>46499</v>
      </c>
      <c r="AT472" t="s">
        <v>46622</v>
      </c>
      <c r="AU472">
        <v>29.2</v>
      </c>
      <c r="AV472" t="s">
        <v>464</v>
      </c>
      <c r="AW472" t="s">
        <v>46861</v>
      </c>
    </row>
    <row r="473" spans="1:49">
      <c r="A473" s="1">
        <f>HYPERLINK("https://lsnyc.legalserver.org/matter/dynamic-profile/view/1869405","18-1869405")</f>
        <v>0</v>
      </c>
      <c r="B473" t="s">
        <v>95</v>
      </c>
      <c r="C473" t="s">
        <v>341</v>
      </c>
      <c r="D473" t="s">
        <v>463</v>
      </c>
      <c r="E473" t="s">
        <v>464</v>
      </c>
      <c r="F473" t="s">
        <v>1068</v>
      </c>
      <c r="G473" t="s">
        <v>5073</v>
      </c>
      <c r="H473" t="s">
        <v>10053</v>
      </c>
      <c r="I473">
        <v>1</v>
      </c>
      <c r="J473" t="s">
        <v>18894</v>
      </c>
      <c r="K473">
        <v>11208</v>
      </c>
      <c r="L473" t="s">
        <v>18958</v>
      </c>
      <c r="M473" t="s">
        <v>18958</v>
      </c>
      <c r="N473" t="s">
        <v>19320</v>
      </c>
      <c r="O473" t="s">
        <v>26533</v>
      </c>
      <c r="P473" t="s">
        <v>26560</v>
      </c>
      <c r="Q473" t="s">
        <v>26569</v>
      </c>
      <c r="R473" t="s">
        <v>26578</v>
      </c>
      <c r="S473" t="s">
        <v>18959</v>
      </c>
      <c r="U473" t="s">
        <v>26604</v>
      </c>
      <c r="W473" t="s">
        <v>464</v>
      </c>
      <c r="X473">
        <v>405</v>
      </c>
      <c r="Y473" t="s">
        <v>26652</v>
      </c>
      <c r="Z473" t="s">
        <v>26663</v>
      </c>
      <c r="AA473" t="s">
        <v>26683</v>
      </c>
      <c r="AB473" t="s">
        <v>27144</v>
      </c>
      <c r="AD473" t="s">
        <v>37225</v>
      </c>
      <c r="AE473">
        <v>4</v>
      </c>
      <c r="AF473" t="s">
        <v>45547</v>
      </c>
      <c r="AG473" t="s">
        <v>19330</v>
      </c>
      <c r="AH473">
        <v>-1</v>
      </c>
      <c r="AI473">
        <v>1</v>
      </c>
      <c r="AJ473">
        <v>0</v>
      </c>
      <c r="AK473">
        <v>74.14</v>
      </c>
      <c r="AN473" t="s">
        <v>7439</v>
      </c>
      <c r="AO473">
        <v>9000</v>
      </c>
      <c r="AU473">
        <v>15.1</v>
      </c>
      <c r="AV473" t="s">
        <v>443</v>
      </c>
      <c r="AW473" t="s">
        <v>237</v>
      </c>
    </row>
    <row r="474" spans="1:49">
      <c r="A474" s="1">
        <f>HYPERLINK("https://lsnyc.legalserver.org/matter/dynamic-profile/view/1871872","18-1871872")</f>
        <v>0</v>
      </c>
      <c r="B474" t="s">
        <v>180</v>
      </c>
      <c r="C474" t="s">
        <v>341</v>
      </c>
      <c r="D474" t="s">
        <v>431</v>
      </c>
      <c r="E474" t="s">
        <v>671</v>
      </c>
      <c r="F474" t="s">
        <v>1032</v>
      </c>
      <c r="G474" t="s">
        <v>1008</v>
      </c>
      <c r="H474" t="s">
        <v>10054</v>
      </c>
      <c r="I474" t="s">
        <v>17452</v>
      </c>
      <c r="J474" t="s">
        <v>18894</v>
      </c>
      <c r="K474">
        <v>11231</v>
      </c>
      <c r="L474" t="s">
        <v>18958</v>
      </c>
      <c r="M474" t="s">
        <v>18960</v>
      </c>
      <c r="N474" t="s">
        <v>19321</v>
      </c>
      <c r="O474" t="s">
        <v>26523</v>
      </c>
      <c r="P474" t="s">
        <v>26565</v>
      </c>
      <c r="Q474" t="s">
        <v>26571</v>
      </c>
      <c r="R474" t="s">
        <v>26586</v>
      </c>
      <c r="S474" t="s">
        <v>18959</v>
      </c>
      <c r="U474" t="s">
        <v>26605</v>
      </c>
      <c r="V474" t="s">
        <v>26610</v>
      </c>
      <c r="W474" t="s">
        <v>464</v>
      </c>
      <c r="X474">
        <v>202</v>
      </c>
      <c r="Y474" t="s">
        <v>26652</v>
      </c>
      <c r="Z474" t="s">
        <v>26657</v>
      </c>
      <c r="AA474" t="s">
        <v>26682</v>
      </c>
      <c r="AB474" t="s">
        <v>27145</v>
      </c>
      <c r="AC474" t="s">
        <v>34627</v>
      </c>
      <c r="AD474" t="s">
        <v>37226</v>
      </c>
      <c r="AE474">
        <v>112</v>
      </c>
      <c r="AF474" t="s">
        <v>45542</v>
      </c>
      <c r="AG474" t="s">
        <v>26530</v>
      </c>
      <c r="AH474">
        <v>1</v>
      </c>
      <c r="AI474">
        <v>1</v>
      </c>
      <c r="AJ474">
        <v>0</v>
      </c>
      <c r="AK474">
        <v>74.14</v>
      </c>
      <c r="AN474" t="s">
        <v>7439</v>
      </c>
      <c r="AO474">
        <v>9000</v>
      </c>
      <c r="AU474">
        <v>7.9</v>
      </c>
      <c r="AV474" t="s">
        <v>671</v>
      </c>
      <c r="AW474" t="s">
        <v>46851</v>
      </c>
    </row>
    <row r="475" spans="1:49">
      <c r="A475" s="1">
        <f>HYPERLINK("https://lsnyc.legalserver.org/matter/dynamic-profile/view/1871971","18-1871971")</f>
        <v>0</v>
      </c>
      <c r="B475" t="s">
        <v>167</v>
      </c>
      <c r="C475" t="s">
        <v>341</v>
      </c>
      <c r="D475" t="s">
        <v>434</v>
      </c>
      <c r="E475" t="s">
        <v>697</v>
      </c>
      <c r="F475" t="s">
        <v>1238</v>
      </c>
      <c r="G475" t="s">
        <v>5418</v>
      </c>
      <c r="H475" t="s">
        <v>10055</v>
      </c>
      <c r="I475" t="s">
        <v>17366</v>
      </c>
      <c r="J475" t="s">
        <v>18906</v>
      </c>
      <c r="K475">
        <v>11373</v>
      </c>
      <c r="L475" t="s">
        <v>18958</v>
      </c>
      <c r="M475" t="s">
        <v>18958</v>
      </c>
      <c r="N475" t="s">
        <v>19322</v>
      </c>
      <c r="O475" t="s">
        <v>26524</v>
      </c>
      <c r="P475" t="s">
        <v>26564</v>
      </c>
      <c r="Q475" t="s">
        <v>26570</v>
      </c>
      <c r="R475" t="s">
        <v>26583</v>
      </c>
      <c r="S475" t="s">
        <v>18959</v>
      </c>
      <c r="U475" t="s">
        <v>26604</v>
      </c>
      <c r="W475" t="s">
        <v>464</v>
      </c>
      <c r="X475">
        <v>1351.25</v>
      </c>
      <c r="Y475" t="s">
        <v>26653</v>
      </c>
      <c r="Z475" t="s">
        <v>26664</v>
      </c>
      <c r="AA475" t="s">
        <v>26683</v>
      </c>
      <c r="AB475" t="s">
        <v>27146</v>
      </c>
      <c r="AD475" t="s">
        <v>37227</v>
      </c>
      <c r="AE475">
        <v>54</v>
      </c>
      <c r="AF475" t="s">
        <v>45541</v>
      </c>
      <c r="AG475" t="s">
        <v>19330</v>
      </c>
      <c r="AH475">
        <v>3</v>
      </c>
      <c r="AI475">
        <v>1</v>
      </c>
      <c r="AJ475">
        <v>0</v>
      </c>
      <c r="AK475">
        <v>0</v>
      </c>
      <c r="AN475" t="s">
        <v>7439</v>
      </c>
      <c r="AO475">
        <v>0</v>
      </c>
      <c r="AU475">
        <v>3.1</v>
      </c>
      <c r="AV475" t="s">
        <v>464</v>
      </c>
      <c r="AW475" t="s">
        <v>161</v>
      </c>
    </row>
    <row r="476" spans="1:49">
      <c r="A476" s="1">
        <f>HYPERLINK("https://lsnyc.legalserver.org/matter/dynamic-profile/view/1873605","18-1873605")</f>
        <v>0</v>
      </c>
      <c r="B476" t="s">
        <v>136</v>
      </c>
      <c r="C476" t="s">
        <v>341</v>
      </c>
      <c r="D476" t="s">
        <v>464</v>
      </c>
      <c r="E476" t="s">
        <v>494</v>
      </c>
      <c r="F476" t="s">
        <v>1239</v>
      </c>
      <c r="G476" t="s">
        <v>5419</v>
      </c>
      <c r="H476" t="s">
        <v>10056</v>
      </c>
      <c r="I476" t="s">
        <v>17360</v>
      </c>
      <c r="J476" t="s">
        <v>18892</v>
      </c>
      <c r="K476">
        <v>10462</v>
      </c>
      <c r="L476" t="s">
        <v>18958</v>
      </c>
      <c r="M476" t="s">
        <v>18958</v>
      </c>
      <c r="N476" t="s">
        <v>19323</v>
      </c>
      <c r="O476" t="s">
        <v>26524</v>
      </c>
      <c r="P476" t="s">
        <v>26564</v>
      </c>
      <c r="Q476" t="s">
        <v>26570</v>
      </c>
      <c r="R476" t="s">
        <v>26579</v>
      </c>
      <c r="S476" t="s">
        <v>18959</v>
      </c>
      <c r="U476" t="s">
        <v>26604</v>
      </c>
      <c r="W476" t="s">
        <v>464</v>
      </c>
      <c r="X476">
        <v>1315.8</v>
      </c>
      <c r="Y476" t="s">
        <v>26650</v>
      </c>
      <c r="Z476" t="s">
        <v>26662</v>
      </c>
      <c r="AA476" t="s">
        <v>26683</v>
      </c>
      <c r="AB476" t="s">
        <v>27147</v>
      </c>
      <c r="AC476" t="s">
        <v>34628</v>
      </c>
      <c r="AD476" t="s">
        <v>37228</v>
      </c>
      <c r="AE476">
        <v>0</v>
      </c>
      <c r="AF476" t="s">
        <v>45541</v>
      </c>
      <c r="AG476" t="s">
        <v>45563</v>
      </c>
      <c r="AH476">
        <v>8</v>
      </c>
      <c r="AI476">
        <v>1</v>
      </c>
      <c r="AJ476">
        <v>0</v>
      </c>
      <c r="AK476">
        <v>108.43</v>
      </c>
      <c r="AO476">
        <v>13164</v>
      </c>
      <c r="AP476" t="s">
        <v>45627</v>
      </c>
      <c r="AU476">
        <v>5.38</v>
      </c>
      <c r="AV476" t="s">
        <v>596</v>
      </c>
      <c r="AW476" t="s">
        <v>46848</v>
      </c>
    </row>
    <row r="477" spans="1:49">
      <c r="A477" s="1">
        <f>HYPERLINK("https://lsnyc.legalserver.org/matter/dynamic-profile/view/1873421","18-1873421")</f>
        <v>0</v>
      </c>
      <c r="B477" t="s">
        <v>163</v>
      </c>
      <c r="C477" t="s">
        <v>341</v>
      </c>
      <c r="D477" t="s">
        <v>464</v>
      </c>
      <c r="E477" t="s">
        <v>441</v>
      </c>
      <c r="F477" t="s">
        <v>1240</v>
      </c>
      <c r="G477" t="s">
        <v>5420</v>
      </c>
      <c r="H477" t="s">
        <v>10057</v>
      </c>
      <c r="I477" t="s">
        <v>17291</v>
      </c>
      <c r="J477" t="s">
        <v>7026</v>
      </c>
      <c r="K477">
        <v>11368</v>
      </c>
      <c r="L477" t="s">
        <v>18958</v>
      </c>
      <c r="M477" t="s">
        <v>18958</v>
      </c>
      <c r="N477" t="s">
        <v>19324</v>
      </c>
      <c r="O477" t="s">
        <v>26523</v>
      </c>
      <c r="P477" t="s">
        <v>26564</v>
      </c>
      <c r="Q477" t="s">
        <v>26570</v>
      </c>
      <c r="R477" t="s">
        <v>26584</v>
      </c>
      <c r="S477" t="s">
        <v>18959</v>
      </c>
      <c r="U477" t="s">
        <v>26604</v>
      </c>
      <c r="V477" t="s">
        <v>26610</v>
      </c>
      <c r="W477" t="s">
        <v>464</v>
      </c>
      <c r="X477">
        <v>1950</v>
      </c>
      <c r="Y477" t="s">
        <v>26653</v>
      </c>
      <c r="Z477" t="s">
        <v>26664</v>
      </c>
      <c r="AA477" t="s">
        <v>26683</v>
      </c>
      <c r="AB477" t="s">
        <v>27148</v>
      </c>
      <c r="AC477" t="s">
        <v>34629</v>
      </c>
      <c r="AD477" t="s">
        <v>37229</v>
      </c>
      <c r="AE477">
        <v>928</v>
      </c>
      <c r="AF477" t="s">
        <v>45541</v>
      </c>
      <c r="AG477" t="s">
        <v>19330</v>
      </c>
      <c r="AH477">
        <v>15</v>
      </c>
      <c r="AI477">
        <v>2</v>
      </c>
      <c r="AJ477">
        <v>1</v>
      </c>
      <c r="AK477">
        <v>178.9</v>
      </c>
      <c r="AN477" t="s">
        <v>45581</v>
      </c>
      <c r="AO477">
        <v>37176</v>
      </c>
      <c r="AU477">
        <v>1.65</v>
      </c>
      <c r="AV477" t="s">
        <v>533</v>
      </c>
      <c r="AW477" t="s">
        <v>161</v>
      </c>
    </row>
    <row r="478" spans="1:49">
      <c r="A478" s="1">
        <f>HYPERLINK("https://lsnyc.legalserver.org/matter/dynamic-profile/view/1873368","18-1873368")</f>
        <v>0</v>
      </c>
      <c r="B478" t="s">
        <v>156</v>
      </c>
      <c r="C478" t="s">
        <v>341</v>
      </c>
      <c r="D478" t="s">
        <v>464</v>
      </c>
      <c r="E478" t="s">
        <v>712</v>
      </c>
      <c r="F478" t="s">
        <v>1191</v>
      </c>
      <c r="G478" t="s">
        <v>5421</v>
      </c>
      <c r="H478" t="s">
        <v>10058</v>
      </c>
      <c r="I478">
        <v>4</v>
      </c>
      <c r="J478" t="s">
        <v>18893</v>
      </c>
      <c r="K478">
        <v>10009</v>
      </c>
      <c r="L478" t="s">
        <v>18958</v>
      </c>
      <c r="M478" t="s">
        <v>18958</v>
      </c>
      <c r="N478" t="s">
        <v>19325</v>
      </c>
      <c r="O478" t="s">
        <v>26526</v>
      </c>
      <c r="P478" t="s">
        <v>26564</v>
      </c>
      <c r="Q478" t="s">
        <v>26570</v>
      </c>
      <c r="R478" t="s">
        <v>26582</v>
      </c>
      <c r="S478" t="s">
        <v>18959</v>
      </c>
      <c r="U478" t="s">
        <v>26604</v>
      </c>
      <c r="W478" t="s">
        <v>464</v>
      </c>
      <c r="X478">
        <v>800</v>
      </c>
      <c r="Y478" t="s">
        <v>26651</v>
      </c>
      <c r="Z478" t="s">
        <v>26664</v>
      </c>
      <c r="AA478" t="s">
        <v>26683</v>
      </c>
      <c r="AB478" t="s">
        <v>27149</v>
      </c>
      <c r="AC478" t="s">
        <v>34630</v>
      </c>
      <c r="AD478" t="s">
        <v>37230</v>
      </c>
      <c r="AE478">
        <v>9</v>
      </c>
      <c r="AF478" t="s">
        <v>45541</v>
      </c>
      <c r="AG478" t="s">
        <v>19330</v>
      </c>
      <c r="AH478">
        <v>7</v>
      </c>
      <c r="AI478">
        <v>1</v>
      </c>
      <c r="AJ478">
        <v>0</v>
      </c>
      <c r="AK478">
        <v>81.75</v>
      </c>
      <c r="AN478" t="s">
        <v>7439</v>
      </c>
      <c r="AO478">
        <v>9924</v>
      </c>
      <c r="AU478">
        <v>0.2</v>
      </c>
      <c r="AV478" t="s">
        <v>497</v>
      </c>
      <c r="AW478" t="s">
        <v>46840</v>
      </c>
    </row>
    <row r="479" spans="1:49">
      <c r="A479" s="1">
        <f>HYPERLINK("https://lsnyc.legalserver.org/matter/dynamic-profile/view/1873351","18-1873351")</f>
        <v>0</v>
      </c>
      <c r="B479" t="s">
        <v>156</v>
      </c>
      <c r="C479" t="s">
        <v>341</v>
      </c>
      <c r="D479" t="s">
        <v>464</v>
      </c>
      <c r="E479" t="s">
        <v>699</v>
      </c>
      <c r="F479" t="s">
        <v>1241</v>
      </c>
      <c r="G479" t="s">
        <v>5422</v>
      </c>
      <c r="H479" t="s">
        <v>10059</v>
      </c>
      <c r="I479">
        <v>2</v>
      </c>
      <c r="J479" t="s">
        <v>18893</v>
      </c>
      <c r="K479">
        <v>10033</v>
      </c>
      <c r="L479" t="s">
        <v>18958</v>
      </c>
      <c r="M479" t="s">
        <v>18958</v>
      </c>
      <c r="N479" t="s">
        <v>19326</v>
      </c>
      <c r="O479" t="s">
        <v>26523</v>
      </c>
      <c r="P479" t="s">
        <v>26564</v>
      </c>
      <c r="Q479" t="s">
        <v>26570</v>
      </c>
      <c r="R479" t="s">
        <v>26582</v>
      </c>
      <c r="S479" t="s">
        <v>18959</v>
      </c>
      <c r="U479" t="s">
        <v>26604</v>
      </c>
      <c r="W479" t="s">
        <v>464</v>
      </c>
      <c r="X479">
        <v>1206.05</v>
      </c>
      <c r="Y479" t="s">
        <v>26651</v>
      </c>
      <c r="Z479" t="s">
        <v>26664</v>
      </c>
      <c r="AA479" t="s">
        <v>26683</v>
      </c>
      <c r="AB479" t="s">
        <v>27150</v>
      </c>
      <c r="AC479" t="s">
        <v>34631</v>
      </c>
      <c r="AD479" t="s">
        <v>37231</v>
      </c>
      <c r="AE479">
        <v>20</v>
      </c>
      <c r="AF479" t="s">
        <v>45541</v>
      </c>
      <c r="AG479" t="s">
        <v>45559</v>
      </c>
      <c r="AH479">
        <v>33</v>
      </c>
      <c r="AI479">
        <v>2</v>
      </c>
      <c r="AJ479">
        <v>0</v>
      </c>
      <c r="AK479">
        <v>117.45</v>
      </c>
      <c r="AN479" t="s">
        <v>45581</v>
      </c>
      <c r="AO479">
        <v>19332</v>
      </c>
      <c r="AU479">
        <v>0.7</v>
      </c>
      <c r="AV479" t="s">
        <v>497</v>
      </c>
      <c r="AW479" t="s">
        <v>46840</v>
      </c>
    </row>
    <row r="480" spans="1:49">
      <c r="A480" s="1">
        <f>HYPERLINK("https://lsnyc.legalserver.org/matter/dynamic-profile/view/1873630","18-1873630")</f>
        <v>0</v>
      </c>
      <c r="B480" t="s">
        <v>70</v>
      </c>
      <c r="C480" t="s">
        <v>341</v>
      </c>
      <c r="D480" t="s">
        <v>464</v>
      </c>
      <c r="E480" t="s">
        <v>697</v>
      </c>
      <c r="F480" t="s">
        <v>1242</v>
      </c>
      <c r="G480" t="s">
        <v>5283</v>
      </c>
      <c r="H480" t="s">
        <v>10060</v>
      </c>
      <c r="I480" t="s">
        <v>17313</v>
      </c>
      <c r="J480" t="s">
        <v>18892</v>
      </c>
      <c r="K480">
        <v>10457</v>
      </c>
      <c r="L480" t="s">
        <v>18958</v>
      </c>
      <c r="M480" t="s">
        <v>18958</v>
      </c>
      <c r="N480" t="s">
        <v>19327</v>
      </c>
      <c r="O480" t="s">
        <v>26523</v>
      </c>
      <c r="P480" t="s">
        <v>26560</v>
      </c>
      <c r="Q480" t="s">
        <v>26568</v>
      </c>
      <c r="R480" t="s">
        <v>26579</v>
      </c>
      <c r="S480" t="s">
        <v>18959</v>
      </c>
      <c r="U480" t="s">
        <v>26604</v>
      </c>
      <c r="V480" t="s">
        <v>26609</v>
      </c>
      <c r="W480" t="s">
        <v>464</v>
      </c>
      <c r="X480">
        <v>1012.27</v>
      </c>
      <c r="Y480" t="s">
        <v>26650</v>
      </c>
      <c r="Z480" t="s">
        <v>26662</v>
      </c>
      <c r="AA480" t="s">
        <v>26678</v>
      </c>
      <c r="AB480" t="s">
        <v>27151</v>
      </c>
      <c r="AC480" t="s">
        <v>34632</v>
      </c>
      <c r="AD480" t="s">
        <v>37232</v>
      </c>
      <c r="AE480">
        <v>88</v>
      </c>
      <c r="AF480" t="s">
        <v>45541</v>
      </c>
      <c r="AG480" t="s">
        <v>19330</v>
      </c>
      <c r="AH480">
        <v>10</v>
      </c>
      <c r="AI480">
        <v>2</v>
      </c>
      <c r="AJ480">
        <v>1</v>
      </c>
      <c r="AK480">
        <v>192.49</v>
      </c>
      <c r="AN480" t="s">
        <v>7439</v>
      </c>
      <c r="AO480">
        <v>40000</v>
      </c>
      <c r="AP480" t="s">
        <v>45621</v>
      </c>
      <c r="AQ480" t="s">
        <v>46361</v>
      </c>
      <c r="AR480" t="s">
        <v>46380</v>
      </c>
      <c r="AS480" t="s">
        <v>46499</v>
      </c>
      <c r="AT480" t="s">
        <v>46618</v>
      </c>
      <c r="AU480">
        <v>13.3</v>
      </c>
      <c r="AV480" t="s">
        <v>637</v>
      </c>
      <c r="AW480" t="s">
        <v>334</v>
      </c>
    </row>
    <row r="481" spans="1:49">
      <c r="A481" s="1">
        <f>HYPERLINK("https://lsnyc.legalserver.org/matter/dynamic-profile/view/1873392","18-1873392")</f>
        <v>0</v>
      </c>
      <c r="B481" t="s">
        <v>169</v>
      </c>
      <c r="C481" t="s">
        <v>341</v>
      </c>
      <c r="D481" t="s">
        <v>464</v>
      </c>
      <c r="E481" t="s">
        <v>789</v>
      </c>
      <c r="F481" t="s">
        <v>871</v>
      </c>
      <c r="G481" t="s">
        <v>5423</v>
      </c>
      <c r="H481" t="s">
        <v>10061</v>
      </c>
      <c r="I481" t="s">
        <v>17352</v>
      </c>
      <c r="J481" t="s">
        <v>18892</v>
      </c>
      <c r="K481">
        <v>10459</v>
      </c>
      <c r="L481" t="s">
        <v>18958</v>
      </c>
      <c r="M481" t="s">
        <v>18958</v>
      </c>
      <c r="N481" t="s">
        <v>19328</v>
      </c>
      <c r="O481" t="s">
        <v>26523</v>
      </c>
      <c r="P481" t="s">
        <v>26560</v>
      </c>
      <c r="Q481" t="s">
        <v>26568</v>
      </c>
      <c r="R481" t="s">
        <v>26577</v>
      </c>
      <c r="S481" t="s">
        <v>18959</v>
      </c>
      <c r="U481" t="s">
        <v>26604</v>
      </c>
      <c r="V481" t="s">
        <v>26610</v>
      </c>
      <c r="W481" t="s">
        <v>464</v>
      </c>
      <c r="X481">
        <v>1550</v>
      </c>
      <c r="Y481" t="s">
        <v>26650</v>
      </c>
      <c r="Z481" t="s">
        <v>26659</v>
      </c>
      <c r="AA481" t="s">
        <v>26678</v>
      </c>
      <c r="AB481" t="s">
        <v>27152</v>
      </c>
      <c r="AC481" t="s">
        <v>34633</v>
      </c>
      <c r="AD481" t="s">
        <v>37233</v>
      </c>
      <c r="AE481">
        <v>0</v>
      </c>
      <c r="AF481" t="s">
        <v>45541</v>
      </c>
      <c r="AG481" t="s">
        <v>45557</v>
      </c>
      <c r="AH481">
        <v>2</v>
      </c>
      <c r="AI481">
        <v>2</v>
      </c>
      <c r="AJ481">
        <v>1</v>
      </c>
      <c r="AK481">
        <v>0</v>
      </c>
      <c r="AN481" t="s">
        <v>45581</v>
      </c>
      <c r="AO481">
        <v>0</v>
      </c>
      <c r="AQ481" t="s">
        <v>46361</v>
      </c>
      <c r="AR481" t="s">
        <v>46411</v>
      </c>
      <c r="AS481" t="s">
        <v>46499</v>
      </c>
      <c r="AT481" t="s">
        <v>46623</v>
      </c>
      <c r="AU481">
        <v>43.1</v>
      </c>
      <c r="AV481" t="s">
        <v>789</v>
      </c>
      <c r="AW481" t="s">
        <v>284</v>
      </c>
    </row>
    <row r="482" spans="1:49">
      <c r="A482" s="1">
        <f>HYPERLINK("https://lsnyc.legalserver.org/matter/dynamic-profile/view/1873340","18-1873340")</f>
        <v>0</v>
      </c>
      <c r="B482" t="s">
        <v>130</v>
      </c>
      <c r="C482" t="s">
        <v>341</v>
      </c>
      <c r="D482" t="s">
        <v>464</v>
      </c>
      <c r="E482" t="s">
        <v>675</v>
      </c>
      <c r="F482" t="s">
        <v>1243</v>
      </c>
      <c r="G482" t="s">
        <v>5424</v>
      </c>
      <c r="H482" t="s">
        <v>10062</v>
      </c>
      <c r="I482" t="s">
        <v>17453</v>
      </c>
      <c r="J482" t="s">
        <v>18920</v>
      </c>
      <c r="K482">
        <v>11370</v>
      </c>
      <c r="L482" t="s">
        <v>18958</v>
      </c>
      <c r="M482" t="s">
        <v>18958</v>
      </c>
      <c r="N482" t="s">
        <v>19329</v>
      </c>
      <c r="O482" t="s">
        <v>26523</v>
      </c>
      <c r="P482" t="s">
        <v>26560</v>
      </c>
      <c r="Q482" t="s">
        <v>26568</v>
      </c>
      <c r="R482" t="s">
        <v>26584</v>
      </c>
      <c r="S482" t="s">
        <v>18959</v>
      </c>
      <c r="U482" t="s">
        <v>26604</v>
      </c>
      <c r="V482" t="s">
        <v>26610</v>
      </c>
      <c r="W482" t="s">
        <v>464</v>
      </c>
      <c r="X482">
        <v>1418</v>
      </c>
      <c r="Y482" t="s">
        <v>26653</v>
      </c>
      <c r="Z482" t="s">
        <v>26664</v>
      </c>
      <c r="AA482" t="s">
        <v>26678</v>
      </c>
      <c r="AB482" t="s">
        <v>27153</v>
      </c>
      <c r="AD482" t="s">
        <v>37234</v>
      </c>
      <c r="AE482">
        <v>24</v>
      </c>
      <c r="AF482" t="s">
        <v>45541</v>
      </c>
      <c r="AG482" t="s">
        <v>19330</v>
      </c>
      <c r="AH482">
        <v>20</v>
      </c>
      <c r="AI482">
        <v>2</v>
      </c>
      <c r="AJ482">
        <v>0</v>
      </c>
      <c r="AK482">
        <v>120.05</v>
      </c>
      <c r="AN482" t="s">
        <v>45581</v>
      </c>
      <c r="AO482">
        <v>19760</v>
      </c>
      <c r="AQ482" t="s">
        <v>46359</v>
      </c>
      <c r="AR482" t="s">
        <v>46379</v>
      </c>
      <c r="AS482" t="s">
        <v>46499</v>
      </c>
      <c r="AT482" t="s">
        <v>46528</v>
      </c>
      <c r="AU482">
        <v>17.6</v>
      </c>
      <c r="AV482" t="s">
        <v>675</v>
      </c>
      <c r="AW482" t="s">
        <v>208</v>
      </c>
    </row>
    <row r="483" spans="1:49">
      <c r="A483" s="1">
        <f>HYPERLINK("https://lsnyc.legalserver.org/matter/dynamic-profile/view/1873362","18-1873362")</f>
        <v>0</v>
      </c>
      <c r="B483" t="s">
        <v>181</v>
      </c>
      <c r="C483" t="s">
        <v>341</v>
      </c>
      <c r="D483" t="s">
        <v>464</v>
      </c>
      <c r="E483" t="s">
        <v>512</v>
      </c>
      <c r="F483" t="s">
        <v>1244</v>
      </c>
      <c r="G483" t="s">
        <v>5425</v>
      </c>
      <c r="H483" t="s">
        <v>10063</v>
      </c>
      <c r="J483" t="s">
        <v>7026</v>
      </c>
      <c r="K483">
        <v>11368</v>
      </c>
      <c r="L483" t="s">
        <v>18958</v>
      </c>
      <c r="M483" t="s">
        <v>18958</v>
      </c>
      <c r="N483" t="s">
        <v>19330</v>
      </c>
      <c r="O483" t="s">
        <v>18997</v>
      </c>
      <c r="P483" t="s">
        <v>26564</v>
      </c>
      <c r="Q483" t="s">
        <v>26570</v>
      </c>
      <c r="R483" t="s">
        <v>26589</v>
      </c>
      <c r="S483" t="s">
        <v>18959</v>
      </c>
      <c r="U483" t="s">
        <v>26604</v>
      </c>
      <c r="V483" t="s">
        <v>26610</v>
      </c>
      <c r="W483" t="s">
        <v>464</v>
      </c>
      <c r="X483">
        <v>1603.78</v>
      </c>
      <c r="Y483" t="s">
        <v>26653</v>
      </c>
      <c r="Z483" t="s">
        <v>26671</v>
      </c>
      <c r="AA483" t="s">
        <v>26683</v>
      </c>
      <c r="AB483" t="s">
        <v>27154</v>
      </c>
      <c r="AD483" t="s">
        <v>37235</v>
      </c>
      <c r="AE483">
        <v>216</v>
      </c>
      <c r="AF483" t="s">
        <v>45541</v>
      </c>
      <c r="AG483" t="s">
        <v>19330</v>
      </c>
      <c r="AH483">
        <v>9</v>
      </c>
      <c r="AI483">
        <v>2</v>
      </c>
      <c r="AJ483">
        <v>0</v>
      </c>
      <c r="AK483">
        <v>189.68</v>
      </c>
      <c r="AL483" t="s">
        <v>45567</v>
      </c>
      <c r="AM483" t="s">
        <v>45577</v>
      </c>
      <c r="AN483" t="s">
        <v>45581</v>
      </c>
      <c r="AO483">
        <v>31222.1</v>
      </c>
      <c r="AU483">
        <v>1.2</v>
      </c>
      <c r="AV483" t="s">
        <v>464</v>
      </c>
      <c r="AW483" t="s">
        <v>181</v>
      </c>
    </row>
    <row r="484" spans="1:49">
      <c r="A484" s="1">
        <f>HYPERLINK("https://lsnyc.legalserver.org/matter/dynamic-profile/view/1873301","18-1873301")</f>
        <v>0</v>
      </c>
      <c r="B484" t="s">
        <v>85</v>
      </c>
      <c r="C484" t="s">
        <v>341</v>
      </c>
      <c r="D484" t="s">
        <v>464</v>
      </c>
      <c r="E484" t="s">
        <v>703</v>
      </c>
      <c r="F484" t="s">
        <v>1245</v>
      </c>
      <c r="G484" t="s">
        <v>5426</v>
      </c>
      <c r="H484" t="s">
        <v>10064</v>
      </c>
      <c r="I484" t="s">
        <v>17423</v>
      </c>
      <c r="J484" t="s">
        <v>7026</v>
      </c>
      <c r="K484">
        <v>11368</v>
      </c>
      <c r="L484" t="s">
        <v>18958</v>
      </c>
      <c r="M484" t="s">
        <v>18958</v>
      </c>
      <c r="N484" t="s">
        <v>19331</v>
      </c>
      <c r="O484" t="s">
        <v>26524</v>
      </c>
      <c r="P484" t="s">
        <v>26564</v>
      </c>
      <c r="Q484" t="s">
        <v>26570</v>
      </c>
      <c r="R484" t="s">
        <v>26584</v>
      </c>
      <c r="S484" t="s">
        <v>18959</v>
      </c>
      <c r="U484" t="s">
        <v>26604</v>
      </c>
      <c r="V484" t="s">
        <v>26610</v>
      </c>
      <c r="W484" t="s">
        <v>464</v>
      </c>
      <c r="X484">
        <v>2500</v>
      </c>
      <c r="Y484" t="s">
        <v>26653</v>
      </c>
      <c r="Z484" t="s">
        <v>26664</v>
      </c>
      <c r="AA484" t="s">
        <v>26683</v>
      </c>
      <c r="AB484" t="s">
        <v>27155</v>
      </c>
      <c r="AD484" t="s">
        <v>37236</v>
      </c>
      <c r="AE484">
        <v>2</v>
      </c>
      <c r="AF484" t="s">
        <v>45547</v>
      </c>
      <c r="AG484" t="s">
        <v>19330</v>
      </c>
      <c r="AH484">
        <v>7</v>
      </c>
      <c r="AI484">
        <v>4</v>
      </c>
      <c r="AJ484">
        <v>4</v>
      </c>
      <c r="AK484">
        <v>92.02</v>
      </c>
      <c r="AM484" t="s">
        <v>45576</v>
      </c>
      <c r="AN484" t="s">
        <v>45581</v>
      </c>
      <c r="AO484">
        <v>39000</v>
      </c>
      <c r="AU484">
        <v>0.3</v>
      </c>
      <c r="AV484" t="s">
        <v>703</v>
      </c>
      <c r="AW484" t="s">
        <v>208</v>
      </c>
    </row>
    <row r="485" spans="1:49">
      <c r="A485" s="1">
        <f>HYPERLINK("https://lsnyc.legalserver.org/matter/dynamic-profile/view/1873346","18-1873346")</f>
        <v>0</v>
      </c>
      <c r="B485" t="s">
        <v>85</v>
      </c>
      <c r="C485" t="s">
        <v>341</v>
      </c>
      <c r="D485" t="s">
        <v>464</v>
      </c>
      <c r="E485" t="s">
        <v>703</v>
      </c>
      <c r="F485" t="s">
        <v>1244</v>
      </c>
      <c r="G485" t="s">
        <v>5199</v>
      </c>
      <c r="H485" t="s">
        <v>10065</v>
      </c>
      <c r="I485" t="s">
        <v>17334</v>
      </c>
      <c r="J485" t="s">
        <v>7026</v>
      </c>
      <c r="K485">
        <v>11368</v>
      </c>
      <c r="L485" t="s">
        <v>18958</v>
      </c>
      <c r="M485" t="s">
        <v>18958</v>
      </c>
      <c r="N485" t="s">
        <v>19332</v>
      </c>
      <c r="O485" t="s">
        <v>26524</v>
      </c>
      <c r="P485" t="s">
        <v>26564</v>
      </c>
      <c r="Q485" t="s">
        <v>26570</v>
      </c>
      <c r="R485" t="s">
        <v>26584</v>
      </c>
      <c r="S485" t="s">
        <v>18959</v>
      </c>
      <c r="U485" t="s">
        <v>26604</v>
      </c>
      <c r="V485" t="s">
        <v>26610</v>
      </c>
      <c r="W485" t="s">
        <v>464</v>
      </c>
      <c r="X485">
        <v>1520</v>
      </c>
      <c r="Y485" t="s">
        <v>26653</v>
      </c>
      <c r="Z485" t="s">
        <v>26664</v>
      </c>
      <c r="AA485" t="s">
        <v>26683</v>
      </c>
      <c r="AB485" t="s">
        <v>27156</v>
      </c>
      <c r="AC485" t="s">
        <v>19330</v>
      </c>
      <c r="AD485" t="s">
        <v>34738</v>
      </c>
      <c r="AE485">
        <v>4</v>
      </c>
      <c r="AF485" t="s">
        <v>45541</v>
      </c>
      <c r="AG485" t="s">
        <v>19330</v>
      </c>
      <c r="AH485">
        <v>22</v>
      </c>
      <c r="AI485">
        <v>3</v>
      </c>
      <c r="AJ485">
        <v>0</v>
      </c>
      <c r="AK485">
        <v>124.16</v>
      </c>
      <c r="AM485" t="s">
        <v>45576</v>
      </c>
      <c r="AN485" t="s">
        <v>45581</v>
      </c>
      <c r="AO485">
        <v>25800</v>
      </c>
      <c r="AU485">
        <v>0.1</v>
      </c>
      <c r="AV485" t="s">
        <v>464</v>
      </c>
      <c r="AW485" t="s">
        <v>208</v>
      </c>
    </row>
    <row r="486" spans="1:49">
      <c r="A486" s="1">
        <f>HYPERLINK("https://lsnyc.legalserver.org/matter/dynamic-profile/view/1873358","18-1873358")</f>
        <v>0</v>
      </c>
      <c r="B486" t="s">
        <v>77</v>
      </c>
      <c r="C486" t="s">
        <v>341</v>
      </c>
      <c r="D486" t="s">
        <v>464</v>
      </c>
      <c r="E486" t="s">
        <v>494</v>
      </c>
      <c r="F486" t="s">
        <v>887</v>
      </c>
      <c r="G486" t="s">
        <v>5427</v>
      </c>
      <c r="H486" t="s">
        <v>10066</v>
      </c>
      <c r="I486">
        <v>34</v>
      </c>
      <c r="J486" t="s">
        <v>18893</v>
      </c>
      <c r="K486">
        <v>10025</v>
      </c>
      <c r="L486" t="s">
        <v>18958</v>
      </c>
      <c r="M486" t="s">
        <v>18958</v>
      </c>
      <c r="N486" t="s">
        <v>19333</v>
      </c>
      <c r="O486" t="s">
        <v>26523</v>
      </c>
      <c r="P486" t="s">
        <v>26560</v>
      </c>
      <c r="Q486" t="s">
        <v>26568</v>
      </c>
      <c r="R486" t="s">
        <v>26580</v>
      </c>
      <c r="S486" t="s">
        <v>18959</v>
      </c>
      <c r="U486" t="s">
        <v>26604</v>
      </c>
      <c r="V486" t="s">
        <v>26610</v>
      </c>
      <c r="W486" t="s">
        <v>464</v>
      </c>
      <c r="X486">
        <v>855.47</v>
      </c>
      <c r="Y486" t="s">
        <v>26651</v>
      </c>
      <c r="Z486" t="s">
        <v>26662</v>
      </c>
      <c r="AA486" t="s">
        <v>26678</v>
      </c>
      <c r="AB486" t="s">
        <v>27157</v>
      </c>
      <c r="AD486" t="s">
        <v>37237</v>
      </c>
      <c r="AE486">
        <v>39</v>
      </c>
      <c r="AF486" t="s">
        <v>45541</v>
      </c>
      <c r="AG486" t="s">
        <v>19330</v>
      </c>
      <c r="AH486">
        <v>36</v>
      </c>
      <c r="AI486">
        <v>2</v>
      </c>
      <c r="AJ486">
        <v>0</v>
      </c>
      <c r="AK486">
        <v>125.76</v>
      </c>
      <c r="AN486" t="s">
        <v>7439</v>
      </c>
      <c r="AO486">
        <v>20700</v>
      </c>
      <c r="AR486" t="s">
        <v>46381</v>
      </c>
      <c r="AS486" t="s">
        <v>46499</v>
      </c>
      <c r="AT486" t="s">
        <v>46517</v>
      </c>
      <c r="AU486">
        <v>9.5</v>
      </c>
      <c r="AV486" t="s">
        <v>494</v>
      </c>
      <c r="AW486" t="s">
        <v>314</v>
      </c>
    </row>
    <row r="487" spans="1:49">
      <c r="A487" s="1">
        <f>HYPERLINK("https://lsnyc.legalserver.org/matter/dynamic-profile/view/1873382","18-1873382")</f>
        <v>0</v>
      </c>
      <c r="B487" t="s">
        <v>77</v>
      </c>
      <c r="C487" t="s">
        <v>341</v>
      </c>
      <c r="D487" t="s">
        <v>464</v>
      </c>
      <c r="E487" t="s">
        <v>670</v>
      </c>
      <c r="F487" t="s">
        <v>1246</v>
      </c>
      <c r="G487" t="s">
        <v>5189</v>
      </c>
      <c r="H487" t="s">
        <v>10067</v>
      </c>
      <c r="I487" t="s">
        <v>17428</v>
      </c>
      <c r="J487" t="s">
        <v>18893</v>
      </c>
      <c r="K487">
        <v>10026</v>
      </c>
      <c r="L487" t="s">
        <v>18958</v>
      </c>
      <c r="M487" t="s">
        <v>18958</v>
      </c>
      <c r="N487" t="s">
        <v>19334</v>
      </c>
      <c r="O487" t="s">
        <v>26524</v>
      </c>
      <c r="P487" t="s">
        <v>26564</v>
      </c>
      <c r="Q487" t="s">
        <v>26570</v>
      </c>
      <c r="R487" t="s">
        <v>26580</v>
      </c>
      <c r="S487" t="s">
        <v>18959</v>
      </c>
      <c r="U487" t="s">
        <v>26604</v>
      </c>
      <c r="V487" t="s">
        <v>26610</v>
      </c>
      <c r="W487" t="s">
        <v>464</v>
      </c>
      <c r="X487">
        <v>0</v>
      </c>
      <c r="Y487" t="s">
        <v>26651</v>
      </c>
      <c r="Z487" t="s">
        <v>26664</v>
      </c>
      <c r="AA487" t="s">
        <v>26683</v>
      </c>
      <c r="AB487" t="s">
        <v>27158</v>
      </c>
      <c r="AE487">
        <v>527</v>
      </c>
      <c r="AF487" t="s">
        <v>45541</v>
      </c>
      <c r="AG487" t="s">
        <v>19330</v>
      </c>
      <c r="AH487">
        <v>0</v>
      </c>
      <c r="AI487">
        <v>1</v>
      </c>
      <c r="AJ487">
        <v>0</v>
      </c>
      <c r="AK487">
        <v>171.33</v>
      </c>
      <c r="AN487" t="s">
        <v>7439</v>
      </c>
      <c r="AO487">
        <v>20800</v>
      </c>
      <c r="AU487">
        <v>2.2</v>
      </c>
      <c r="AV487" t="s">
        <v>670</v>
      </c>
      <c r="AW487" t="s">
        <v>46840</v>
      </c>
    </row>
    <row r="488" spans="1:49">
      <c r="A488" s="1">
        <f>HYPERLINK("https://lsnyc.legalserver.org/matter/dynamic-profile/view/1873418","18-1873418")</f>
        <v>0</v>
      </c>
      <c r="B488" t="s">
        <v>176</v>
      </c>
      <c r="C488" t="s">
        <v>341</v>
      </c>
      <c r="D488" t="s">
        <v>464</v>
      </c>
      <c r="E488" t="s">
        <v>494</v>
      </c>
      <c r="F488" t="s">
        <v>1013</v>
      </c>
      <c r="G488" t="s">
        <v>5428</v>
      </c>
      <c r="H488" t="s">
        <v>9775</v>
      </c>
      <c r="I488" t="s">
        <v>17436</v>
      </c>
      <c r="J488" t="s">
        <v>18894</v>
      </c>
      <c r="K488">
        <v>11206</v>
      </c>
      <c r="L488" t="s">
        <v>18958</v>
      </c>
      <c r="M488" t="s">
        <v>18958</v>
      </c>
      <c r="N488" t="s">
        <v>19335</v>
      </c>
      <c r="O488" t="s">
        <v>26523</v>
      </c>
      <c r="P488" t="s">
        <v>26560</v>
      </c>
      <c r="Q488" t="s">
        <v>26573</v>
      </c>
      <c r="R488" t="s">
        <v>26578</v>
      </c>
      <c r="S488" t="s">
        <v>18959</v>
      </c>
      <c r="U488" t="s">
        <v>26604</v>
      </c>
      <c r="W488" t="s">
        <v>464</v>
      </c>
      <c r="X488">
        <v>1157.82</v>
      </c>
      <c r="Y488" t="s">
        <v>26652</v>
      </c>
      <c r="Z488" t="s">
        <v>26659</v>
      </c>
      <c r="AA488" t="s">
        <v>26678</v>
      </c>
      <c r="AB488" t="s">
        <v>27159</v>
      </c>
      <c r="AD488" t="s">
        <v>37238</v>
      </c>
      <c r="AE488">
        <v>25</v>
      </c>
      <c r="AF488" t="s">
        <v>45544</v>
      </c>
      <c r="AG488" t="s">
        <v>19330</v>
      </c>
      <c r="AH488">
        <v>25</v>
      </c>
      <c r="AI488">
        <v>1</v>
      </c>
      <c r="AJ488">
        <v>0</v>
      </c>
      <c r="AK488">
        <v>197.69</v>
      </c>
      <c r="AN488" t="s">
        <v>7439</v>
      </c>
      <c r="AO488">
        <v>24000</v>
      </c>
      <c r="AP488" t="s">
        <v>45651</v>
      </c>
      <c r="AU488">
        <v>11.9</v>
      </c>
      <c r="AV488" t="s">
        <v>652</v>
      </c>
      <c r="AW488" t="s">
        <v>279</v>
      </c>
    </row>
    <row r="489" spans="1:49">
      <c r="A489" s="1">
        <f>HYPERLINK("https://lsnyc.legalserver.org/matter/dynamic-profile/view/1873570","18-1873570")</f>
        <v>0</v>
      </c>
      <c r="B489" t="s">
        <v>56</v>
      </c>
      <c r="C489" t="s">
        <v>341</v>
      </c>
      <c r="D489" t="s">
        <v>464</v>
      </c>
      <c r="E489" t="s">
        <v>835</v>
      </c>
      <c r="F489" t="s">
        <v>1136</v>
      </c>
      <c r="G489" t="s">
        <v>5048</v>
      </c>
      <c r="H489" t="s">
        <v>10068</v>
      </c>
      <c r="I489" t="s">
        <v>17454</v>
      </c>
      <c r="J489" t="s">
        <v>18892</v>
      </c>
      <c r="K489">
        <v>10467</v>
      </c>
      <c r="L489" t="s">
        <v>18958</v>
      </c>
      <c r="M489" t="s">
        <v>18958</v>
      </c>
      <c r="N489" t="s">
        <v>19336</v>
      </c>
      <c r="O489" t="s">
        <v>26523</v>
      </c>
      <c r="P489" t="s">
        <v>26560</v>
      </c>
      <c r="Q489" t="s">
        <v>26568</v>
      </c>
      <c r="R489" t="s">
        <v>26579</v>
      </c>
      <c r="U489" t="s">
        <v>26604</v>
      </c>
      <c r="V489" t="s">
        <v>26610</v>
      </c>
      <c r="W489" t="s">
        <v>464</v>
      </c>
      <c r="X489">
        <v>1475</v>
      </c>
      <c r="Y489" t="s">
        <v>26650</v>
      </c>
      <c r="Z489" t="s">
        <v>26662</v>
      </c>
      <c r="AA489" t="s">
        <v>26678</v>
      </c>
      <c r="AB489" t="s">
        <v>27160</v>
      </c>
      <c r="AC489" t="s">
        <v>34634</v>
      </c>
      <c r="AD489" t="s">
        <v>37239</v>
      </c>
      <c r="AE489">
        <v>0</v>
      </c>
      <c r="AF489" t="s">
        <v>45541</v>
      </c>
      <c r="AG489" t="s">
        <v>45557</v>
      </c>
      <c r="AH489">
        <v>1</v>
      </c>
      <c r="AI489">
        <v>1</v>
      </c>
      <c r="AJ489">
        <v>0</v>
      </c>
      <c r="AK489">
        <v>38.55</v>
      </c>
      <c r="AO489">
        <v>4680</v>
      </c>
      <c r="AP489" t="s">
        <v>45621</v>
      </c>
      <c r="AS489" t="s">
        <v>46499</v>
      </c>
      <c r="AU489">
        <v>10.25</v>
      </c>
      <c r="AV489" t="s">
        <v>665</v>
      </c>
      <c r="AW489" t="s">
        <v>46848</v>
      </c>
    </row>
    <row r="490" spans="1:49">
      <c r="A490" s="1">
        <f>HYPERLINK("https://lsnyc.legalserver.org/matter/dynamic-profile/view/1873331","18-1873331")</f>
        <v>0</v>
      </c>
      <c r="B490" t="s">
        <v>110</v>
      </c>
      <c r="C490" t="s">
        <v>341</v>
      </c>
      <c r="D490" t="s">
        <v>464</v>
      </c>
      <c r="E490" t="s">
        <v>691</v>
      </c>
      <c r="F490" t="s">
        <v>1247</v>
      </c>
      <c r="G490" t="s">
        <v>5429</v>
      </c>
      <c r="H490" t="s">
        <v>10069</v>
      </c>
      <c r="I490" t="s">
        <v>17300</v>
      </c>
      <c r="J490" t="s">
        <v>18926</v>
      </c>
      <c r="K490">
        <v>11378</v>
      </c>
      <c r="L490" t="s">
        <v>18958</v>
      </c>
      <c r="M490" t="s">
        <v>18958</v>
      </c>
      <c r="N490" t="s">
        <v>19337</v>
      </c>
      <c r="O490" t="s">
        <v>26524</v>
      </c>
      <c r="P490" t="s">
        <v>26560</v>
      </c>
      <c r="Q490" t="s">
        <v>26568</v>
      </c>
      <c r="R490" t="s">
        <v>26584</v>
      </c>
      <c r="S490" t="s">
        <v>18959</v>
      </c>
      <c r="U490" t="s">
        <v>26604</v>
      </c>
      <c r="V490" t="s">
        <v>26610</v>
      </c>
      <c r="W490" t="s">
        <v>464</v>
      </c>
      <c r="X490">
        <v>1500</v>
      </c>
      <c r="Y490" t="s">
        <v>26653</v>
      </c>
      <c r="Z490" t="s">
        <v>26664</v>
      </c>
      <c r="AA490" t="s">
        <v>26679</v>
      </c>
      <c r="AB490" t="s">
        <v>26903</v>
      </c>
      <c r="AC490" t="s">
        <v>19045</v>
      </c>
      <c r="AD490" t="s">
        <v>37240</v>
      </c>
      <c r="AE490">
        <v>1</v>
      </c>
      <c r="AF490" t="s">
        <v>45547</v>
      </c>
      <c r="AG490" t="s">
        <v>19330</v>
      </c>
      <c r="AH490">
        <v>1</v>
      </c>
      <c r="AI490">
        <v>1</v>
      </c>
      <c r="AJ490">
        <v>1</v>
      </c>
      <c r="AK490">
        <v>109.36</v>
      </c>
      <c r="AM490" t="s">
        <v>45576</v>
      </c>
      <c r="AN490" t="s">
        <v>7439</v>
      </c>
      <c r="AO490">
        <v>18000</v>
      </c>
      <c r="AR490" t="s">
        <v>46381</v>
      </c>
      <c r="AS490" t="s">
        <v>46500</v>
      </c>
      <c r="AT490" t="s">
        <v>46624</v>
      </c>
      <c r="AU490">
        <v>44.5</v>
      </c>
      <c r="AV490" t="s">
        <v>687</v>
      </c>
      <c r="AW490" t="s">
        <v>208</v>
      </c>
    </row>
    <row r="491" spans="1:49">
      <c r="A491" s="1">
        <f>HYPERLINK("https://lsnyc.legalserver.org/matter/dynamic-profile/view/1873369","18-1873369")</f>
        <v>0</v>
      </c>
      <c r="B491" t="s">
        <v>110</v>
      </c>
      <c r="C491" t="s">
        <v>341</v>
      </c>
      <c r="D491" t="s">
        <v>464</v>
      </c>
      <c r="E491" t="s">
        <v>494</v>
      </c>
      <c r="F491" t="s">
        <v>1248</v>
      </c>
      <c r="G491" t="s">
        <v>5430</v>
      </c>
      <c r="H491" t="s">
        <v>10070</v>
      </c>
      <c r="I491" t="s">
        <v>17407</v>
      </c>
      <c r="J491" t="s">
        <v>18906</v>
      </c>
      <c r="K491">
        <v>11373</v>
      </c>
      <c r="L491" t="s">
        <v>18958</v>
      </c>
      <c r="M491" t="s">
        <v>18958</v>
      </c>
      <c r="N491" t="s">
        <v>19338</v>
      </c>
      <c r="O491" t="s">
        <v>26523</v>
      </c>
      <c r="P491" t="s">
        <v>26560</v>
      </c>
      <c r="Q491" t="s">
        <v>26568</v>
      </c>
      <c r="R491" t="s">
        <v>26585</v>
      </c>
      <c r="S491" t="s">
        <v>18959</v>
      </c>
      <c r="U491" t="s">
        <v>26604</v>
      </c>
      <c r="V491" t="s">
        <v>26610</v>
      </c>
      <c r="W491" t="s">
        <v>464</v>
      </c>
      <c r="X491">
        <v>1088</v>
      </c>
      <c r="Y491" t="s">
        <v>26653</v>
      </c>
      <c r="Z491" t="s">
        <v>26664</v>
      </c>
      <c r="AA491" t="s">
        <v>26678</v>
      </c>
      <c r="AB491" t="s">
        <v>27161</v>
      </c>
      <c r="AC491" t="s">
        <v>34635</v>
      </c>
      <c r="AD491" t="s">
        <v>37241</v>
      </c>
      <c r="AE491">
        <v>36</v>
      </c>
      <c r="AF491" t="s">
        <v>45541</v>
      </c>
      <c r="AG491" t="s">
        <v>19330</v>
      </c>
      <c r="AH491">
        <v>5</v>
      </c>
      <c r="AI491">
        <v>1</v>
      </c>
      <c r="AJ491">
        <v>2</v>
      </c>
      <c r="AK491">
        <v>62.56</v>
      </c>
      <c r="AM491" t="s">
        <v>45576</v>
      </c>
      <c r="AN491" t="s">
        <v>7439</v>
      </c>
      <c r="AO491">
        <v>13000</v>
      </c>
      <c r="AR491" t="s">
        <v>46379</v>
      </c>
      <c r="AS491" t="s">
        <v>46499</v>
      </c>
      <c r="AT491" t="s">
        <v>46625</v>
      </c>
      <c r="AU491">
        <v>11.7</v>
      </c>
      <c r="AV491" t="s">
        <v>664</v>
      </c>
      <c r="AW491" t="s">
        <v>208</v>
      </c>
    </row>
    <row r="492" spans="1:49">
      <c r="A492" s="1">
        <f>HYPERLINK("https://lsnyc.legalserver.org/matter/dynamic-profile/view/1873321","18-1873321")</f>
        <v>0</v>
      </c>
      <c r="B492" t="s">
        <v>182</v>
      </c>
      <c r="C492" t="s">
        <v>341</v>
      </c>
      <c r="D492" t="s">
        <v>464</v>
      </c>
      <c r="E492" t="s">
        <v>740</v>
      </c>
      <c r="F492" t="s">
        <v>1249</v>
      </c>
      <c r="G492" t="s">
        <v>5431</v>
      </c>
      <c r="H492" t="s">
        <v>10071</v>
      </c>
      <c r="I492" t="s">
        <v>17355</v>
      </c>
      <c r="J492" t="s">
        <v>18892</v>
      </c>
      <c r="K492">
        <v>10467</v>
      </c>
      <c r="L492" t="s">
        <v>18958</v>
      </c>
      <c r="M492" t="s">
        <v>18958</v>
      </c>
      <c r="N492" t="s">
        <v>19339</v>
      </c>
      <c r="O492" t="s">
        <v>26523</v>
      </c>
      <c r="P492" t="s">
        <v>26560</v>
      </c>
      <c r="Q492" t="s">
        <v>26569</v>
      </c>
      <c r="R492" t="s">
        <v>26579</v>
      </c>
      <c r="S492" t="s">
        <v>18959</v>
      </c>
      <c r="U492" t="s">
        <v>26604</v>
      </c>
      <c r="V492" t="s">
        <v>26610</v>
      </c>
      <c r="W492" t="s">
        <v>464</v>
      </c>
      <c r="X492">
        <v>1500</v>
      </c>
      <c r="Y492" t="s">
        <v>26650</v>
      </c>
      <c r="Z492" t="s">
        <v>26664</v>
      </c>
      <c r="AA492" t="s">
        <v>26678</v>
      </c>
      <c r="AB492" t="s">
        <v>27162</v>
      </c>
      <c r="AC492" t="s">
        <v>34636</v>
      </c>
      <c r="AD492" t="s">
        <v>37242</v>
      </c>
      <c r="AE492">
        <v>0</v>
      </c>
      <c r="AF492" t="s">
        <v>45541</v>
      </c>
      <c r="AG492" t="s">
        <v>45557</v>
      </c>
      <c r="AH492">
        <v>4</v>
      </c>
      <c r="AI492">
        <v>3</v>
      </c>
      <c r="AJ492">
        <v>1</v>
      </c>
      <c r="AK492">
        <v>59.76</v>
      </c>
      <c r="AN492" t="s">
        <v>45592</v>
      </c>
      <c r="AO492">
        <v>15000</v>
      </c>
      <c r="AP492" t="s">
        <v>45652</v>
      </c>
      <c r="AQ492" t="s">
        <v>46361</v>
      </c>
      <c r="AR492" t="s">
        <v>46380</v>
      </c>
      <c r="AS492" t="s">
        <v>46499</v>
      </c>
      <c r="AT492" t="s">
        <v>46577</v>
      </c>
      <c r="AU492">
        <v>13.2</v>
      </c>
      <c r="AV492" t="s">
        <v>732</v>
      </c>
      <c r="AW492" t="s">
        <v>46854</v>
      </c>
    </row>
    <row r="493" spans="1:49">
      <c r="A493" s="1">
        <f>HYPERLINK("https://lsnyc.legalserver.org/matter/dynamic-profile/view/1873355","18-1873355")</f>
        <v>0</v>
      </c>
      <c r="B493" t="s">
        <v>142</v>
      </c>
      <c r="C493" t="s">
        <v>341</v>
      </c>
      <c r="D493" t="s">
        <v>464</v>
      </c>
      <c r="E493" t="s">
        <v>494</v>
      </c>
      <c r="F493" t="s">
        <v>1005</v>
      </c>
      <c r="G493" t="s">
        <v>5432</v>
      </c>
      <c r="H493" t="s">
        <v>10072</v>
      </c>
      <c r="J493" t="s">
        <v>18923</v>
      </c>
      <c r="K493">
        <v>11418</v>
      </c>
      <c r="L493" t="s">
        <v>18958</v>
      </c>
      <c r="M493" t="s">
        <v>18958</v>
      </c>
      <c r="N493" t="s">
        <v>19340</v>
      </c>
      <c r="O493" t="s">
        <v>26524</v>
      </c>
      <c r="P493" t="s">
        <v>26560</v>
      </c>
      <c r="Q493" t="s">
        <v>26568</v>
      </c>
      <c r="R493" t="s">
        <v>26584</v>
      </c>
      <c r="S493" t="s">
        <v>18959</v>
      </c>
      <c r="U493" t="s">
        <v>26604</v>
      </c>
      <c r="V493" t="s">
        <v>26610</v>
      </c>
      <c r="W493" t="s">
        <v>464</v>
      </c>
      <c r="X493">
        <v>900</v>
      </c>
      <c r="Y493" t="s">
        <v>26653</v>
      </c>
      <c r="Z493" t="s">
        <v>26664</v>
      </c>
      <c r="AA493" t="s">
        <v>26678</v>
      </c>
      <c r="AB493" t="s">
        <v>27163</v>
      </c>
      <c r="AC493" t="s">
        <v>34637</v>
      </c>
      <c r="AD493" t="s">
        <v>37243</v>
      </c>
      <c r="AE493">
        <v>1</v>
      </c>
      <c r="AF493" t="s">
        <v>45547</v>
      </c>
      <c r="AG493" t="s">
        <v>19330</v>
      </c>
      <c r="AH493">
        <v>1</v>
      </c>
      <c r="AI493">
        <v>2</v>
      </c>
      <c r="AJ493">
        <v>1</v>
      </c>
      <c r="AK493">
        <v>87.43000000000001</v>
      </c>
      <c r="AM493" t="s">
        <v>45576</v>
      </c>
      <c r="AN493" t="s">
        <v>7439</v>
      </c>
      <c r="AO493">
        <v>18168</v>
      </c>
      <c r="AQ493" t="s">
        <v>46359</v>
      </c>
      <c r="AR493" t="s">
        <v>46379</v>
      </c>
      <c r="AS493" t="s">
        <v>46499</v>
      </c>
      <c r="AT493" t="s">
        <v>46595</v>
      </c>
      <c r="AU493">
        <v>13.15</v>
      </c>
      <c r="AV493" t="s">
        <v>635</v>
      </c>
      <c r="AW493" t="s">
        <v>208</v>
      </c>
    </row>
    <row r="494" spans="1:49">
      <c r="A494" s="1">
        <f>HYPERLINK("https://lsnyc.legalserver.org/matter/dynamic-profile/view/1873350","18-1873350")</f>
        <v>0</v>
      </c>
      <c r="B494" t="s">
        <v>121</v>
      </c>
      <c r="C494" t="s">
        <v>341</v>
      </c>
      <c r="D494" t="s">
        <v>464</v>
      </c>
      <c r="E494" t="s">
        <v>665</v>
      </c>
      <c r="F494" t="s">
        <v>1250</v>
      </c>
      <c r="G494" t="s">
        <v>5433</v>
      </c>
      <c r="H494" t="s">
        <v>10073</v>
      </c>
      <c r="I494" t="s">
        <v>17293</v>
      </c>
      <c r="J494" t="s">
        <v>18892</v>
      </c>
      <c r="K494">
        <v>10452</v>
      </c>
      <c r="L494" t="s">
        <v>18958</v>
      </c>
      <c r="M494" t="s">
        <v>18958</v>
      </c>
      <c r="N494" t="s">
        <v>19341</v>
      </c>
      <c r="O494" t="s">
        <v>26523</v>
      </c>
      <c r="P494" t="s">
        <v>26560</v>
      </c>
      <c r="Q494" t="s">
        <v>26568</v>
      </c>
      <c r="R494" t="s">
        <v>26577</v>
      </c>
      <c r="S494" t="s">
        <v>18959</v>
      </c>
      <c r="U494" t="s">
        <v>26604</v>
      </c>
      <c r="V494" t="s">
        <v>26614</v>
      </c>
      <c r="W494" t="s">
        <v>464</v>
      </c>
      <c r="X494">
        <v>1252.64</v>
      </c>
      <c r="Y494" t="s">
        <v>26650</v>
      </c>
      <c r="Z494" t="s">
        <v>26661</v>
      </c>
      <c r="AA494" t="s">
        <v>26678</v>
      </c>
      <c r="AB494" t="s">
        <v>27164</v>
      </c>
      <c r="AC494" t="s">
        <v>34638</v>
      </c>
      <c r="AD494" t="s">
        <v>37244</v>
      </c>
      <c r="AE494">
        <v>0</v>
      </c>
      <c r="AF494" t="s">
        <v>45541</v>
      </c>
      <c r="AG494" t="s">
        <v>19330</v>
      </c>
      <c r="AH494">
        <v>10</v>
      </c>
      <c r="AI494">
        <v>1</v>
      </c>
      <c r="AJ494">
        <v>4</v>
      </c>
      <c r="AK494">
        <v>38.75</v>
      </c>
      <c r="AN494" t="s">
        <v>45581</v>
      </c>
      <c r="AO494">
        <v>11400</v>
      </c>
      <c r="AP494" t="s">
        <v>45627</v>
      </c>
      <c r="AQ494" t="s">
        <v>46365</v>
      </c>
      <c r="AR494" t="s">
        <v>46380</v>
      </c>
      <c r="AS494" t="s">
        <v>46499</v>
      </c>
      <c r="AT494" t="s">
        <v>46626</v>
      </c>
      <c r="AU494">
        <v>7.3</v>
      </c>
      <c r="AV494" t="s">
        <v>469</v>
      </c>
      <c r="AW494" t="s">
        <v>46854</v>
      </c>
    </row>
    <row r="495" spans="1:49">
      <c r="A495" s="1">
        <f>HYPERLINK("https://lsnyc.legalserver.org/matter/dynamic-profile/view/1873393","18-1873393")</f>
        <v>0</v>
      </c>
      <c r="B495" t="s">
        <v>122</v>
      </c>
      <c r="C495" t="s">
        <v>341</v>
      </c>
      <c r="D495" t="s">
        <v>464</v>
      </c>
      <c r="E495" t="s">
        <v>582</v>
      </c>
      <c r="F495" t="s">
        <v>1251</v>
      </c>
      <c r="G495" t="s">
        <v>5434</v>
      </c>
      <c r="H495" t="s">
        <v>10074</v>
      </c>
      <c r="I495" t="s">
        <v>17278</v>
      </c>
      <c r="J495" t="s">
        <v>18904</v>
      </c>
      <c r="K495">
        <v>11421</v>
      </c>
      <c r="L495" t="s">
        <v>18958</v>
      </c>
      <c r="M495" t="s">
        <v>18958</v>
      </c>
      <c r="N495" t="s">
        <v>19342</v>
      </c>
      <c r="O495" t="s">
        <v>26523</v>
      </c>
      <c r="P495" t="s">
        <v>26563</v>
      </c>
      <c r="Q495" t="s">
        <v>26570</v>
      </c>
      <c r="R495" t="s">
        <v>26584</v>
      </c>
      <c r="S495" t="s">
        <v>18959</v>
      </c>
      <c r="U495" t="s">
        <v>26604</v>
      </c>
      <c r="W495" t="s">
        <v>464</v>
      </c>
      <c r="X495">
        <v>1095</v>
      </c>
      <c r="Y495" t="s">
        <v>26653</v>
      </c>
      <c r="Z495" t="s">
        <v>26664</v>
      </c>
      <c r="AA495" t="s">
        <v>26683</v>
      </c>
      <c r="AB495" t="s">
        <v>27165</v>
      </c>
      <c r="AC495" t="s">
        <v>19330</v>
      </c>
      <c r="AD495" t="s">
        <v>37245</v>
      </c>
      <c r="AE495">
        <v>31</v>
      </c>
      <c r="AF495" t="s">
        <v>45541</v>
      </c>
      <c r="AG495" t="s">
        <v>19330</v>
      </c>
      <c r="AH495">
        <v>6</v>
      </c>
      <c r="AI495">
        <v>1</v>
      </c>
      <c r="AJ495">
        <v>2</v>
      </c>
      <c r="AK495">
        <v>12.99</v>
      </c>
      <c r="AN495" t="s">
        <v>45581</v>
      </c>
      <c r="AO495">
        <v>2700</v>
      </c>
      <c r="AU495">
        <v>0.5</v>
      </c>
      <c r="AV495" t="s">
        <v>464</v>
      </c>
      <c r="AW495" t="s">
        <v>161</v>
      </c>
    </row>
    <row r="496" spans="1:49">
      <c r="A496" s="1">
        <f>HYPERLINK("https://lsnyc.legalserver.org/matter/dynamic-profile/view/1873401","18-1873401")</f>
        <v>0</v>
      </c>
      <c r="B496" t="s">
        <v>122</v>
      </c>
      <c r="C496" t="s">
        <v>341</v>
      </c>
      <c r="D496" t="s">
        <v>464</v>
      </c>
      <c r="E496" t="s">
        <v>500</v>
      </c>
      <c r="F496" t="s">
        <v>1252</v>
      </c>
      <c r="G496" t="s">
        <v>5435</v>
      </c>
      <c r="H496" t="s">
        <v>10075</v>
      </c>
      <c r="I496" t="s">
        <v>17416</v>
      </c>
      <c r="J496" t="s">
        <v>18929</v>
      </c>
      <c r="K496">
        <v>11379</v>
      </c>
      <c r="L496" t="s">
        <v>18958</v>
      </c>
      <c r="M496" t="s">
        <v>18958</v>
      </c>
      <c r="N496" t="s">
        <v>19343</v>
      </c>
      <c r="O496" t="s">
        <v>26524</v>
      </c>
      <c r="P496" t="s">
        <v>26564</v>
      </c>
      <c r="Q496" t="s">
        <v>26570</v>
      </c>
      <c r="R496" t="s">
        <v>26584</v>
      </c>
      <c r="S496" t="s">
        <v>18959</v>
      </c>
      <c r="U496" t="s">
        <v>26604</v>
      </c>
      <c r="W496" t="s">
        <v>464</v>
      </c>
      <c r="X496">
        <v>1350</v>
      </c>
      <c r="Y496" t="s">
        <v>26653</v>
      </c>
      <c r="Z496" t="s">
        <v>26664</v>
      </c>
      <c r="AA496" t="s">
        <v>26683</v>
      </c>
      <c r="AB496" t="s">
        <v>27166</v>
      </c>
      <c r="AC496" t="s">
        <v>34639</v>
      </c>
      <c r="AD496" t="s">
        <v>37246</v>
      </c>
      <c r="AE496">
        <v>2</v>
      </c>
      <c r="AF496" t="s">
        <v>45547</v>
      </c>
      <c r="AG496" t="s">
        <v>19330</v>
      </c>
      <c r="AH496">
        <v>7</v>
      </c>
      <c r="AI496">
        <v>2</v>
      </c>
      <c r="AJ496">
        <v>2</v>
      </c>
      <c r="AK496">
        <v>219.12</v>
      </c>
      <c r="AN496" t="s">
        <v>7439</v>
      </c>
      <c r="AO496">
        <v>55000</v>
      </c>
      <c r="AU496">
        <v>0.95</v>
      </c>
      <c r="AV496" t="s">
        <v>524</v>
      </c>
      <c r="AW496" t="s">
        <v>161</v>
      </c>
    </row>
    <row r="497" spans="1:50">
      <c r="A497" s="1">
        <f>HYPERLINK("https://lsnyc.legalserver.org/matter/dynamic-profile/view/1873385","18-1873385")</f>
        <v>0</v>
      </c>
      <c r="B497" t="s">
        <v>118</v>
      </c>
      <c r="C497" t="s">
        <v>341</v>
      </c>
      <c r="D497" t="s">
        <v>464</v>
      </c>
      <c r="E497" t="s">
        <v>452</v>
      </c>
      <c r="F497" t="s">
        <v>1253</v>
      </c>
      <c r="G497" t="s">
        <v>5436</v>
      </c>
      <c r="H497" t="s">
        <v>10076</v>
      </c>
      <c r="I497">
        <v>2</v>
      </c>
      <c r="J497" t="s">
        <v>18893</v>
      </c>
      <c r="K497">
        <v>10029</v>
      </c>
      <c r="L497" t="s">
        <v>18958</v>
      </c>
      <c r="M497" t="s">
        <v>18958</v>
      </c>
      <c r="N497" t="s">
        <v>19344</v>
      </c>
      <c r="O497" t="s">
        <v>26523</v>
      </c>
      <c r="P497" t="s">
        <v>26564</v>
      </c>
      <c r="Q497" t="s">
        <v>26570</v>
      </c>
      <c r="R497" t="s">
        <v>26582</v>
      </c>
      <c r="S497" t="s">
        <v>18959</v>
      </c>
      <c r="U497" t="s">
        <v>26604</v>
      </c>
      <c r="V497" t="s">
        <v>26610</v>
      </c>
      <c r="W497" t="s">
        <v>464</v>
      </c>
      <c r="X497">
        <v>1020</v>
      </c>
      <c r="Y497" t="s">
        <v>26651</v>
      </c>
      <c r="Z497" t="s">
        <v>26664</v>
      </c>
      <c r="AA497" t="s">
        <v>26683</v>
      </c>
      <c r="AB497" t="s">
        <v>27167</v>
      </c>
      <c r="AE497">
        <v>10</v>
      </c>
      <c r="AF497" t="s">
        <v>45544</v>
      </c>
      <c r="AG497" t="s">
        <v>19330</v>
      </c>
      <c r="AH497">
        <v>4</v>
      </c>
      <c r="AI497">
        <v>1</v>
      </c>
      <c r="AJ497">
        <v>0</v>
      </c>
      <c r="AK497">
        <v>0</v>
      </c>
      <c r="AN497" t="s">
        <v>7439</v>
      </c>
      <c r="AO497">
        <v>0</v>
      </c>
      <c r="AU497">
        <v>0.2</v>
      </c>
      <c r="AV497" t="s">
        <v>578</v>
      </c>
      <c r="AW497" t="s">
        <v>46840</v>
      </c>
    </row>
    <row r="498" spans="1:50">
      <c r="A498" s="1">
        <f>HYPERLINK("https://lsnyc.legalserver.org/matter/dynamic-profile/view/1873426","18-1873426")</f>
        <v>0</v>
      </c>
      <c r="B498" t="s">
        <v>157</v>
      </c>
      <c r="C498" t="s">
        <v>341</v>
      </c>
      <c r="D498" t="s">
        <v>464</v>
      </c>
      <c r="E498" t="s">
        <v>635</v>
      </c>
      <c r="F498" t="s">
        <v>881</v>
      </c>
      <c r="G498" t="s">
        <v>5437</v>
      </c>
      <c r="H498" t="s">
        <v>10077</v>
      </c>
      <c r="I498" t="s">
        <v>17274</v>
      </c>
      <c r="J498" t="s">
        <v>18893</v>
      </c>
      <c r="K498">
        <v>10034</v>
      </c>
      <c r="L498" t="s">
        <v>18958</v>
      </c>
      <c r="M498" t="s">
        <v>18959</v>
      </c>
      <c r="O498" t="s">
        <v>26524</v>
      </c>
      <c r="P498" t="s">
        <v>26560</v>
      </c>
      <c r="Q498" t="s">
        <v>26568</v>
      </c>
      <c r="R498" t="s">
        <v>26578</v>
      </c>
      <c r="S498" t="s">
        <v>18959</v>
      </c>
      <c r="U498" t="s">
        <v>26604</v>
      </c>
      <c r="W498" t="s">
        <v>464</v>
      </c>
      <c r="X498">
        <v>1286</v>
      </c>
      <c r="Y498" t="s">
        <v>26651</v>
      </c>
      <c r="Z498" t="s">
        <v>26670</v>
      </c>
      <c r="AA498" t="s">
        <v>26678</v>
      </c>
      <c r="AB498" t="s">
        <v>27168</v>
      </c>
      <c r="AE498">
        <v>0</v>
      </c>
      <c r="AF498" t="s">
        <v>45541</v>
      </c>
      <c r="AH498">
        <v>23</v>
      </c>
      <c r="AI498">
        <v>3</v>
      </c>
      <c r="AJ498">
        <v>1</v>
      </c>
      <c r="AK498">
        <v>269.32</v>
      </c>
      <c r="AL498" t="s">
        <v>614</v>
      </c>
      <c r="AM498" t="s">
        <v>45575</v>
      </c>
      <c r="AN498" t="s">
        <v>45581</v>
      </c>
      <c r="AO498">
        <v>67600</v>
      </c>
      <c r="AU498">
        <v>9.050000000000001</v>
      </c>
      <c r="AV498" t="s">
        <v>635</v>
      </c>
      <c r="AW498" t="s">
        <v>157</v>
      </c>
    </row>
    <row r="499" spans="1:50">
      <c r="A499" s="1">
        <f>HYPERLINK("https://lsnyc.legalserver.org/matter/dynamic-profile/view/1873403","18-1873403")</f>
        <v>0</v>
      </c>
      <c r="B499" t="s">
        <v>173</v>
      </c>
      <c r="C499" t="s">
        <v>341</v>
      </c>
      <c r="D499" t="s">
        <v>464</v>
      </c>
      <c r="E499" t="s">
        <v>651</v>
      </c>
      <c r="F499" t="s">
        <v>1254</v>
      </c>
      <c r="G499" t="s">
        <v>5438</v>
      </c>
      <c r="H499" t="s">
        <v>10078</v>
      </c>
      <c r="I499" t="s">
        <v>17455</v>
      </c>
      <c r="J499" t="s">
        <v>18893</v>
      </c>
      <c r="K499">
        <v>10030</v>
      </c>
      <c r="L499" t="s">
        <v>18958</v>
      </c>
      <c r="M499" t="s">
        <v>18958</v>
      </c>
      <c r="N499" t="s">
        <v>19345</v>
      </c>
      <c r="O499" t="s">
        <v>26523</v>
      </c>
      <c r="P499" t="s">
        <v>26564</v>
      </c>
      <c r="Q499" t="s">
        <v>26570</v>
      </c>
      <c r="R499" t="s">
        <v>26582</v>
      </c>
      <c r="S499" t="s">
        <v>18959</v>
      </c>
      <c r="U499" t="s">
        <v>26604</v>
      </c>
      <c r="V499" t="s">
        <v>26610</v>
      </c>
      <c r="W499" t="s">
        <v>464</v>
      </c>
      <c r="X499">
        <v>2100</v>
      </c>
      <c r="Y499" t="s">
        <v>26651</v>
      </c>
      <c r="Z499" t="s">
        <v>26664</v>
      </c>
      <c r="AA499" t="s">
        <v>26683</v>
      </c>
      <c r="AB499" t="s">
        <v>27169</v>
      </c>
      <c r="AC499" t="s">
        <v>34640</v>
      </c>
      <c r="AE499">
        <v>247</v>
      </c>
      <c r="AF499" t="s">
        <v>45549</v>
      </c>
      <c r="AG499" t="s">
        <v>45563</v>
      </c>
      <c r="AH499">
        <v>3</v>
      </c>
      <c r="AI499">
        <v>3</v>
      </c>
      <c r="AJ499">
        <v>3</v>
      </c>
      <c r="AK499">
        <v>41.49</v>
      </c>
      <c r="AN499" t="s">
        <v>7439</v>
      </c>
      <c r="AO499">
        <v>14000</v>
      </c>
      <c r="AU499">
        <v>0.1</v>
      </c>
      <c r="AV499" t="s">
        <v>651</v>
      </c>
      <c r="AW499" t="s">
        <v>46840</v>
      </c>
    </row>
    <row r="500" spans="1:50">
      <c r="A500" s="1">
        <f>HYPERLINK("https://lsnyc.legalserver.org/matter/dynamic-profile/view/1873318","18-1873318")</f>
        <v>0</v>
      </c>
      <c r="B500" t="s">
        <v>173</v>
      </c>
      <c r="C500" t="s">
        <v>341</v>
      </c>
      <c r="D500" t="s">
        <v>464</v>
      </c>
      <c r="E500" t="s">
        <v>670</v>
      </c>
      <c r="F500" t="s">
        <v>1255</v>
      </c>
      <c r="G500" t="s">
        <v>5439</v>
      </c>
      <c r="H500" t="s">
        <v>10079</v>
      </c>
      <c r="I500" t="s">
        <v>17309</v>
      </c>
      <c r="J500" t="s">
        <v>18893</v>
      </c>
      <c r="K500">
        <v>10040</v>
      </c>
      <c r="L500" t="s">
        <v>18958</v>
      </c>
      <c r="M500" t="s">
        <v>18958</v>
      </c>
      <c r="N500" t="s">
        <v>19346</v>
      </c>
      <c r="O500" t="s">
        <v>26526</v>
      </c>
      <c r="P500" t="s">
        <v>26564</v>
      </c>
      <c r="Q500" t="s">
        <v>26570</v>
      </c>
      <c r="R500" t="s">
        <v>26582</v>
      </c>
      <c r="S500" t="s">
        <v>18959</v>
      </c>
      <c r="U500" t="s">
        <v>26604</v>
      </c>
      <c r="W500" t="s">
        <v>464</v>
      </c>
      <c r="X500">
        <v>2021.9</v>
      </c>
      <c r="Y500" t="s">
        <v>26651</v>
      </c>
      <c r="Z500" t="s">
        <v>26664</v>
      </c>
      <c r="AA500" t="s">
        <v>26683</v>
      </c>
      <c r="AB500" t="s">
        <v>27170</v>
      </c>
      <c r="AD500" t="s">
        <v>37247</v>
      </c>
      <c r="AE500">
        <v>40</v>
      </c>
      <c r="AF500" t="s">
        <v>45541</v>
      </c>
      <c r="AG500" t="s">
        <v>19330</v>
      </c>
      <c r="AH500">
        <v>3</v>
      </c>
      <c r="AI500">
        <v>1</v>
      </c>
      <c r="AJ500">
        <v>0</v>
      </c>
      <c r="AK500">
        <v>69.19</v>
      </c>
      <c r="AN500" t="s">
        <v>7439</v>
      </c>
      <c r="AO500">
        <v>8400</v>
      </c>
      <c r="AU500">
        <v>0.1</v>
      </c>
      <c r="AV500" t="s">
        <v>670</v>
      </c>
      <c r="AW500" t="s">
        <v>300</v>
      </c>
    </row>
    <row r="501" spans="1:50">
      <c r="A501" s="1">
        <f>HYPERLINK("https://lsnyc.legalserver.org/matter/dynamic-profile/view/1873359","18-1873359")</f>
        <v>0</v>
      </c>
      <c r="B501" t="s">
        <v>173</v>
      </c>
      <c r="C501" t="s">
        <v>341</v>
      </c>
      <c r="D501" t="s">
        <v>464</v>
      </c>
      <c r="E501" t="s">
        <v>517</v>
      </c>
      <c r="F501" t="s">
        <v>1256</v>
      </c>
      <c r="G501" t="s">
        <v>5440</v>
      </c>
      <c r="H501" t="s">
        <v>10080</v>
      </c>
      <c r="I501">
        <v>12</v>
      </c>
      <c r="J501" t="s">
        <v>18893</v>
      </c>
      <c r="K501">
        <v>10032</v>
      </c>
      <c r="L501" t="s">
        <v>18958</v>
      </c>
      <c r="M501" t="s">
        <v>18958</v>
      </c>
      <c r="N501" t="s">
        <v>19347</v>
      </c>
      <c r="O501" t="s">
        <v>26524</v>
      </c>
      <c r="P501" t="s">
        <v>26564</v>
      </c>
      <c r="Q501" t="s">
        <v>26570</v>
      </c>
      <c r="R501" t="s">
        <v>26582</v>
      </c>
      <c r="S501" t="s">
        <v>18959</v>
      </c>
      <c r="U501" t="s">
        <v>26604</v>
      </c>
      <c r="W501" t="s">
        <v>464</v>
      </c>
      <c r="X501">
        <v>1550</v>
      </c>
      <c r="Y501" t="s">
        <v>26651</v>
      </c>
      <c r="Z501" t="s">
        <v>26664</v>
      </c>
      <c r="AA501" t="s">
        <v>26683</v>
      </c>
      <c r="AB501" t="s">
        <v>27171</v>
      </c>
      <c r="AC501" t="s">
        <v>34641</v>
      </c>
      <c r="AE501">
        <v>22</v>
      </c>
      <c r="AF501" t="s">
        <v>45541</v>
      </c>
      <c r="AG501" t="s">
        <v>26530</v>
      </c>
      <c r="AH501">
        <v>3</v>
      </c>
      <c r="AI501">
        <v>1</v>
      </c>
      <c r="AJ501">
        <v>0</v>
      </c>
      <c r="AK501">
        <v>167.55</v>
      </c>
      <c r="AN501" t="s">
        <v>7439</v>
      </c>
      <c r="AO501">
        <v>20340</v>
      </c>
      <c r="AU501">
        <v>1.5</v>
      </c>
      <c r="AV501" t="s">
        <v>498</v>
      </c>
      <c r="AW501" t="s">
        <v>46840</v>
      </c>
    </row>
    <row r="502" spans="1:50">
      <c r="A502" s="1">
        <f>HYPERLINK("https://lsnyc.legalserver.org/matter/dynamic-profile/view/1873581","18-1873581")</f>
        <v>0</v>
      </c>
      <c r="B502" t="s">
        <v>136</v>
      </c>
      <c r="C502" t="s">
        <v>340</v>
      </c>
      <c r="D502" t="s">
        <v>464</v>
      </c>
      <c r="F502" t="s">
        <v>1257</v>
      </c>
      <c r="G502" t="s">
        <v>5441</v>
      </c>
      <c r="H502" t="s">
        <v>10081</v>
      </c>
      <c r="I502" t="s">
        <v>17456</v>
      </c>
      <c r="J502" t="s">
        <v>18892</v>
      </c>
      <c r="K502">
        <v>10468</v>
      </c>
      <c r="L502" t="s">
        <v>18958</v>
      </c>
      <c r="M502" t="s">
        <v>18958</v>
      </c>
      <c r="N502" t="s">
        <v>19348</v>
      </c>
      <c r="O502" t="s">
        <v>26524</v>
      </c>
      <c r="P502" t="s">
        <v>26560</v>
      </c>
      <c r="R502" t="s">
        <v>26579</v>
      </c>
      <c r="S502" t="s">
        <v>18959</v>
      </c>
      <c r="U502" t="s">
        <v>26604</v>
      </c>
      <c r="V502" t="s">
        <v>26610</v>
      </c>
      <c r="W502" t="s">
        <v>464</v>
      </c>
      <c r="X502">
        <v>957.58</v>
      </c>
      <c r="Y502" t="s">
        <v>26650</v>
      </c>
      <c r="Z502" t="s">
        <v>26662</v>
      </c>
      <c r="AB502" t="s">
        <v>27172</v>
      </c>
      <c r="AD502" t="s">
        <v>37248</v>
      </c>
      <c r="AE502">
        <v>36</v>
      </c>
      <c r="AF502" t="s">
        <v>45541</v>
      </c>
      <c r="AG502" t="s">
        <v>45556</v>
      </c>
      <c r="AH502">
        <v>40</v>
      </c>
      <c r="AI502">
        <v>1</v>
      </c>
      <c r="AJ502">
        <v>0</v>
      </c>
      <c r="AK502">
        <v>138.78</v>
      </c>
      <c r="AO502">
        <v>16848</v>
      </c>
      <c r="AP502" t="s">
        <v>45627</v>
      </c>
      <c r="AU502">
        <v>11</v>
      </c>
      <c r="AV502" t="s">
        <v>577</v>
      </c>
      <c r="AW502" t="s">
        <v>46848</v>
      </c>
      <c r="AX502" t="s">
        <v>46897</v>
      </c>
    </row>
    <row r="503" spans="1:50">
      <c r="A503" s="1">
        <f>HYPERLINK("https://lsnyc.legalserver.org/matter/dynamic-profile/view/1873624","18-1873624")</f>
        <v>0</v>
      </c>
      <c r="B503" t="s">
        <v>136</v>
      </c>
      <c r="C503" t="s">
        <v>340</v>
      </c>
      <c r="D503" t="s">
        <v>464</v>
      </c>
      <c r="F503" t="s">
        <v>1258</v>
      </c>
      <c r="G503" t="s">
        <v>5442</v>
      </c>
      <c r="H503" t="s">
        <v>10082</v>
      </c>
      <c r="I503" t="s">
        <v>17332</v>
      </c>
      <c r="J503" t="s">
        <v>18892</v>
      </c>
      <c r="K503">
        <v>10467</v>
      </c>
      <c r="L503" t="s">
        <v>18958</v>
      </c>
      <c r="M503" t="s">
        <v>18958</v>
      </c>
      <c r="N503" t="s">
        <v>19349</v>
      </c>
      <c r="O503" t="s">
        <v>26523</v>
      </c>
      <c r="P503" t="s">
        <v>26560</v>
      </c>
      <c r="R503" t="s">
        <v>26579</v>
      </c>
      <c r="U503" t="s">
        <v>26604</v>
      </c>
      <c r="V503" t="s">
        <v>26610</v>
      </c>
      <c r="W503" t="s">
        <v>464</v>
      </c>
      <c r="X503">
        <v>1350</v>
      </c>
      <c r="Y503" t="s">
        <v>26650</v>
      </c>
      <c r="Z503" t="s">
        <v>26662</v>
      </c>
      <c r="AB503" t="s">
        <v>26998</v>
      </c>
      <c r="AC503" t="s">
        <v>34642</v>
      </c>
      <c r="AD503" t="s">
        <v>37249</v>
      </c>
      <c r="AE503">
        <v>0</v>
      </c>
      <c r="AG503" t="s">
        <v>19330</v>
      </c>
      <c r="AH503">
        <v>7</v>
      </c>
      <c r="AI503">
        <v>2</v>
      </c>
      <c r="AJ503">
        <v>1</v>
      </c>
      <c r="AK503">
        <v>149.18</v>
      </c>
      <c r="AO503">
        <v>31000</v>
      </c>
      <c r="AP503" t="s">
        <v>45627</v>
      </c>
      <c r="AU503">
        <v>4.25</v>
      </c>
      <c r="AV503" t="s">
        <v>582</v>
      </c>
      <c r="AW503" t="s">
        <v>46848</v>
      </c>
    </row>
    <row r="504" spans="1:50">
      <c r="A504" s="1">
        <f>HYPERLINK("https://lsnyc.legalserver.org/matter/dynamic-profile/view/1873389","18-1873389")</f>
        <v>0</v>
      </c>
      <c r="B504" t="s">
        <v>183</v>
      </c>
      <c r="C504" t="s">
        <v>340</v>
      </c>
      <c r="D504" t="s">
        <v>464</v>
      </c>
      <c r="F504" t="s">
        <v>1259</v>
      </c>
      <c r="G504" t="s">
        <v>5443</v>
      </c>
      <c r="H504" t="s">
        <v>10083</v>
      </c>
      <c r="I504" t="s">
        <v>17457</v>
      </c>
      <c r="J504" t="s">
        <v>18893</v>
      </c>
      <c r="K504">
        <v>10027</v>
      </c>
      <c r="L504" t="s">
        <v>18958</v>
      </c>
      <c r="M504" t="s">
        <v>18958</v>
      </c>
      <c r="N504" t="s">
        <v>19350</v>
      </c>
      <c r="O504" t="s">
        <v>26543</v>
      </c>
      <c r="P504" t="s">
        <v>26560</v>
      </c>
      <c r="R504" t="s">
        <v>26582</v>
      </c>
      <c r="S504" t="s">
        <v>18959</v>
      </c>
      <c r="U504" t="s">
        <v>26604</v>
      </c>
      <c r="V504" t="s">
        <v>26610</v>
      </c>
      <c r="W504" t="s">
        <v>464</v>
      </c>
      <c r="X504">
        <v>535</v>
      </c>
      <c r="Y504" t="s">
        <v>26651</v>
      </c>
      <c r="Z504" t="s">
        <v>26664</v>
      </c>
      <c r="AB504" t="s">
        <v>27173</v>
      </c>
      <c r="AD504" t="s">
        <v>37250</v>
      </c>
      <c r="AE504">
        <v>813</v>
      </c>
      <c r="AF504" t="s">
        <v>45549</v>
      </c>
      <c r="AG504" t="s">
        <v>19330</v>
      </c>
      <c r="AH504">
        <v>42</v>
      </c>
      <c r="AI504">
        <v>1</v>
      </c>
      <c r="AJ504">
        <v>0</v>
      </c>
      <c r="AK504">
        <v>164.74</v>
      </c>
      <c r="AN504" t="s">
        <v>7439</v>
      </c>
      <c r="AO504">
        <v>20000</v>
      </c>
      <c r="AQ504" t="s">
        <v>46365</v>
      </c>
      <c r="AU504">
        <v>46.53</v>
      </c>
      <c r="AV504" t="s">
        <v>784</v>
      </c>
      <c r="AW504" t="s">
        <v>46840</v>
      </c>
    </row>
    <row r="505" spans="1:50">
      <c r="A505" s="1">
        <f>HYPERLINK("https://lsnyc.legalserver.org/matter/dynamic-profile/view/1873328","18-1873328")</f>
        <v>0</v>
      </c>
      <c r="B505" t="s">
        <v>183</v>
      </c>
      <c r="C505" t="s">
        <v>340</v>
      </c>
      <c r="D505" t="s">
        <v>464</v>
      </c>
      <c r="F505" t="s">
        <v>1107</v>
      </c>
      <c r="G505" t="s">
        <v>5444</v>
      </c>
      <c r="H505" t="s">
        <v>10084</v>
      </c>
      <c r="I505" t="s">
        <v>17458</v>
      </c>
      <c r="J505" t="s">
        <v>18893</v>
      </c>
      <c r="K505">
        <v>10026</v>
      </c>
      <c r="L505" t="s">
        <v>18958</v>
      </c>
      <c r="M505" t="s">
        <v>18958</v>
      </c>
      <c r="N505" t="s">
        <v>19351</v>
      </c>
      <c r="O505" t="s">
        <v>26523</v>
      </c>
      <c r="P505" t="s">
        <v>26560</v>
      </c>
      <c r="R505" t="s">
        <v>26580</v>
      </c>
      <c r="S505" t="s">
        <v>18959</v>
      </c>
      <c r="U505" t="s">
        <v>26604</v>
      </c>
      <c r="W505" t="s">
        <v>464</v>
      </c>
      <c r="X505">
        <v>1100</v>
      </c>
      <c r="Y505" t="s">
        <v>26651</v>
      </c>
      <c r="Z505" t="s">
        <v>26662</v>
      </c>
      <c r="AB505" t="s">
        <v>27174</v>
      </c>
      <c r="AD505" t="s">
        <v>37251</v>
      </c>
      <c r="AE505">
        <v>10</v>
      </c>
      <c r="AF505" t="s">
        <v>20460</v>
      </c>
      <c r="AG505" t="s">
        <v>45559</v>
      </c>
      <c r="AH505">
        <v>40</v>
      </c>
      <c r="AI505">
        <v>1</v>
      </c>
      <c r="AJ505">
        <v>0</v>
      </c>
      <c r="AK505">
        <v>76.11</v>
      </c>
      <c r="AN505" t="s">
        <v>7439</v>
      </c>
      <c r="AO505">
        <v>9240</v>
      </c>
      <c r="AU505">
        <v>70.65000000000001</v>
      </c>
      <c r="AV505" t="s">
        <v>839</v>
      </c>
      <c r="AW505" t="s">
        <v>314</v>
      </c>
    </row>
    <row r="506" spans="1:50">
      <c r="A506" s="1">
        <f>HYPERLINK("https://lsnyc.legalserver.org/matter/dynamic-profile/view/1873597","18-1873597")</f>
        <v>0</v>
      </c>
      <c r="B506" t="s">
        <v>70</v>
      </c>
      <c r="C506" t="s">
        <v>340</v>
      </c>
      <c r="D506" t="s">
        <v>464</v>
      </c>
      <c r="F506" t="s">
        <v>1260</v>
      </c>
      <c r="G506" t="s">
        <v>1345</v>
      </c>
      <c r="H506" t="s">
        <v>10085</v>
      </c>
      <c r="I506" t="s">
        <v>17459</v>
      </c>
      <c r="J506" t="s">
        <v>18892</v>
      </c>
      <c r="K506">
        <v>10468</v>
      </c>
      <c r="L506" t="s">
        <v>18958</v>
      </c>
      <c r="M506" t="s">
        <v>18958</v>
      </c>
      <c r="N506" t="s">
        <v>19352</v>
      </c>
      <c r="O506" t="s">
        <v>26523</v>
      </c>
      <c r="P506" t="s">
        <v>26560</v>
      </c>
      <c r="R506" t="s">
        <v>26579</v>
      </c>
      <c r="S506" t="s">
        <v>18959</v>
      </c>
      <c r="U506" t="s">
        <v>26604</v>
      </c>
      <c r="V506" t="s">
        <v>26609</v>
      </c>
      <c r="W506" t="s">
        <v>464</v>
      </c>
      <c r="X506">
        <v>1224</v>
      </c>
      <c r="Y506" t="s">
        <v>26650</v>
      </c>
      <c r="Z506" t="s">
        <v>26662</v>
      </c>
      <c r="AB506" t="s">
        <v>27175</v>
      </c>
      <c r="AC506" t="s">
        <v>34643</v>
      </c>
      <c r="AD506" t="s">
        <v>37252</v>
      </c>
      <c r="AE506">
        <v>57</v>
      </c>
      <c r="AF506" t="s">
        <v>45541</v>
      </c>
      <c r="AG506" t="s">
        <v>19330</v>
      </c>
      <c r="AH506">
        <v>3</v>
      </c>
      <c r="AI506">
        <v>2</v>
      </c>
      <c r="AJ506">
        <v>0</v>
      </c>
      <c r="AK506">
        <v>157.96</v>
      </c>
      <c r="AN506" t="s">
        <v>45581</v>
      </c>
      <c r="AO506">
        <v>26000</v>
      </c>
      <c r="AP506" t="s">
        <v>45627</v>
      </c>
      <c r="AU506">
        <v>27</v>
      </c>
      <c r="AV506" t="s">
        <v>788</v>
      </c>
      <c r="AW506" t="s">
        <v>334</v>
      </c>
    </row>
    <row r="507" spans="1:50">
      <c r="A507" s="1">
        <f>HYPERLINK("https://lsnyc.legalserver.org/matter/dynamic-profile/view/1873424","18-1873424")</f>
        <v>0</v>
      </c>
      <c r="B507" t="s">
        <v>94</v>
      </c>
      <c r="C507" t="s">
        <v>340</v>
      </c>
      <c r="D507" t="s">
        <v>464</v>
      </c>
      <c r="F507" t="s">
        <v>871</v>
      </c>
      <c r="G507" t="s">
        <v>5445</v>
      </c>
      <c r="H507" t="s">
        <v>10086</v>
      </c>
      <c r="I507">
        <v>35</v>
      </c>
      <c r="J507" t="s">
        <v>18893</v>
      </c>
      <c r="K507">
        <v>10031</v>
      </c>
      <c r="L507" t="s">
        <v>18958</v>
      </c>
      <c r="M507" t="s">
        <v>18958</v>
      </c>
      <c r="N507" t="s">
        <v>19353</v>
      </c>
      <c r="O507" t="s">
        <v>26523</v>
      </c>
      <c r="P507" t="s">
        <v>26560</v>
      </c>
      <c r="R507" t="s">
        <v>26580</v>
      </c>
      <c r="S507" t="s">
        <v>18959</v>
      </c>
      <c r="U507" t="s">
        <v>26604</v>
      </c>
      <c r="W507" t="s">
        <v>464</v>
      </c>
      <c r="X507">
        <v>1071.1</v>
      </c>
      <c r="Y507" t="s">
        <v>26651</v>
      </c>
      <c r="Z507" t="s">
        <v>26664</v>
      </c>
      <c r="AB507" t="s">
        <v>27176</v>
      </c>
      <c r="AD507" t="s">
        <v>37253</v>
      </c>
      <c r="AE507">
        <v>36</v>
      </c>
      <c r="AF507" t="s">
        <v>45541</v>
      </c>
      <c r="AG507" t="s">
        <v>45559</v>
      </c>
      <c r="AH507">
        <v>35</v>
      </c>
      <c r="AI507">
        <v>1</v>
      </c>
      <c r="AJ507">
        <v>0</v>
      </c>
      <c r="AK507">
        <v>72.84999999999999</v>
      </c>
      <c r="AN507" t="s">
        <v>45581</v>
      </c>
      <c r="AO507">
        <v>8844</v>
      </c>
      <c r="AU507">
        <v>25.6</v>
      </c>
      <c r="AV507" t="s">
        <v>825</v>
      </c>
      <c r="AW507" t="s">
        <v>46840</v>
      </c>
    </row>
    <row r="508" spans="1:50">
      <c r="A508" s="1">
        <f>HYPERLINK("https://lsnyc.legalserver.org/matter/dynamic-profile/view/1873307","18-1873307")</f>
        <v>0</v>
      </c>
      <c r="B508" t="s">
        <v>109</v>
      </c>
      <c r="C508" t="s">
        <v>340</v>
      </c>
      <c r="D508" t="s">
        <v>464</v>
      </c>
      <c r="F508" t="s">
        <v>1261</v>
      </c>
      <c r="G508" t="s">
        <v>5446</v>
      </c>
      <c r="H508" t="s">
        <v>10087</v>
      </c>
      <c r="J508" t="s">
        <v>18902</v>
      </c>
      <c r="K508">
        <v>10303</v>
      </c>
      <c r="L508" t="s">
        <v>18958</v>
      </c>
      <c r="M508" t="s">
        <v>18958</v>
      </c>
      <c r="N508" t="s">
        <v>19354</v>
      </c>
      <c r="O508" t="s">
        <v>26524</v>
      </c>
      <c r="P508" t="s">
        <v>26560</v>
      </c>
      <c r="R508" t="s">
        <v>26590</v>
      </c>
      <c r="S508" t="s">
        <v>18959</v>
      </c>
      <c r="U508" t="s">
        <v>26604</v>
      </c>
      <c r="V508" t="s">
        <v>26610</v>
      </c>
      <c r="W508" t="s">
        <v>464</v>
      </c>
      <c r="X508">
        <v>800</v>
      </c>
      <c r="Y508" t="s">
        <v>26654</v>
      </c>
      <c r="Z508" t="s">
        <v>26656</v>
      </c>
      <c r="AB508" t="s">
        <v>27177</v>
      </c>
      <c r="AD508" t="s">
        <v>37254</v>
      </c>
      <c r="AE508">
        <v>1</v>
      </c>
      <c r="AF508" t="s">
        <v>45547</v>
      </c>
      <c r="AG508" t="s">
        <v>19330</v>
      </c>
      <c r="AH508">
        <v>26</v>
      </c>
      <c r="AI508">
        <v>2</v>
      </c>
      <c r="AJ508">
        <v>0</v>
      </c>
      <c r="AK508">
        <v>131.23</v>
      </c>
      <c r="AN508" t="s">
        <v>7439</v>
      </c>
      <c r="AO508">
        <v>21600</v>
      </c>
      <c r="AU508">
        <v>5.21</v>
      </c>
      <c r="AV508" t="s">
        <v>694</v>
      </c>
      <c r="AW508" t="s">
        <v>190</v>
      </c>
    </row>
    <row r="509" spans="1:50">
      <c r="A509" s="1">
        <f>HYPERLINK("https://lsnyc.legalserver.org/matter/dynamic-profile/view/1873743","18-1873743")</f>
        <v>0</v>
      </c>
      <c r="B509" t="s">
        <v>182</v>
      </c>
      <c r="C509" t="s">
        <v>340</v>
      </c>
      <c r="D509" t="s">
        <v>464</v>
      </c>
      <c r="F509" t="s">
        <v>1262</v>
      </c>
      <c r="G509" t="s">
        <v>5095</v>
      </c>
      <c r="H509" t="s">
        <v>10088</v>
      </c>
      <c r="I509">
        <v>611</v>
      </c>
      <c r="J509" t="s">
        <v>18892</v>
      </c>
      <c r="K509">
        <v>10457</v>
      </c>
      <c r="L509" t="s">
        <v>18958</v>
      </c>
      <c r="M509" t="s">
        <v>18958</v>
      </c>
      <c r="N509" t="s">
        <v>19355</v>
      </c>
      <c r="O509" t="s">
        <v>26523</v>
      </c>
      <c r="P509" t="s">
        <v>26560</v>
      </c>
      <c r="R509" t="s">
        <v>26579</v>
      </c>
      <c r="S509" t="s">
        <v>18959</v>
      </c>
      <c r="U509" t="s">
        <v>26604</v>
      </c>
      <c r="V509" t="s">
        <v>26611</v>
      </c>
      <c r="W509" t="s">
        <v>464</v>
      </c>
      <c r="X509">
        <v>988.79</v>
      </c>
      <c r="Y509" t="s">
        <v>26650</v>
      </c>
      <c r="Z509" t="s">
        <v>26662</v>
      </c>
      <c r="AB509" t="s">
        <v>27178</v>
      </c>
      <c r="AC509" t="s">
        <v>34644</v>
      </c>
      <c r="AD509" t="s">
        <v>37255</v>
      </c>
      <c r="AE509">
        <v>0</v>
      </c>
      <c r="AF509" t="s">
        <v>45541</v>
      </c>
      <c r="AG509" t="s">
        <v>45557</v>
      </c>
      <c r="AH509">
        <v>5</v>
      </c>
      <c r="AI509">
        <v>3</v>
      </c>
      <c r="AJ509">
        <v>1</v>
      </c>
      <c r="AK509">
        <v>21.32</v>
      </c>
      <c r="AN509" t="s">
        <v>7439</v>
      </c>
      <c r="AO509">
        <v>5352</v>
      </c>
      <c r="AP509" t="s">
        <v>45621</v>
      </c>
      <c r="AU509">
        <v>17.4</v>
      </c>
      <c r="AV509" t="s">
        <v>794</v>
      </c>
      <c r="AW509" t="s">
        <v>334</v>
      </c>
    </row>
    <row r="510" spans="1:50">
      <c r="A510" s="1">
        <f>HYPERLINK("https://lsnyc.legalserver.org/matter/dynamic-profile/view/1873303","18-1873303")</f>
        <v>0</v>
      </c>
      <c r="B510" t="s">
        <v>142</v>
      </c>
      <c r="C510" t="s">
        <v>340</v>
      </c>
      <c r="D510" t="s">
        <v>464</v>
      </c>
      <c r="F510" t="s">
        <v>881</v>
      </c>
      <c r="G510" t="s">
        <v>5447</v>
      </c>
      <c r="H510" t="s">
        <v>10089</v>
      </c>
      <c r="I510" t="s">
        <v>17273</v>
      </c>
      <c r="J510" t="s">
        <v>18900</v>
      </c>
      <c r="K510">
        <v>11355</v>
      </c>
      <c r="L510" t="s">
        <v>18958</v>
      </c>
      <c r="M510" t="s">
        <v>18958</v>
      </c>
      <c r="N510" t="s">
        <v>19356</v>
      </c>
      <c r="O510" t="s">
        <v>26524</v>
      </c>
      <c r="P510" t="s">
        <v>26564</v>
      </c>
      <c r="R510" t="s">
        <v>26584</v>
      </c>
      <c r="S510" t="s">
        <v>18959</v>
      </c>
      <c r="U510" t="s">
        <v>26604</v>
      </c>
      <c r="V510" t="s">
        <v>26610</v>
      </c>
      <c r="W510" t="s">
        <v>464</v>
      </c>
      <c r="X510">
        <v>2000</v>
      </c>
      <c r="Y510" t="s">
        <v>26653</v>
      </c>
      <c r="Z510" t="s">
        <v>26664</v>
      </c>
      <c r="AB510" t="s">
        <v>27179</v>
      </c>
      <c r="AC510" t="s">
        <v>34645</v>
      </c>
      <c r="AD510" t="s">
        <v>37256</v>
      </c>
      <c r="AE510">
        <v>97</v>
      </c>
      <c r="AF510" t="s">
        <v>45553</v>
      </c>
      <c r="AG510" t="s">
        <v>19330</v>
      </c>
      <c r="AH510">
        <v>20</v>
      </c>
      <c r="AI510">
        <v>3</v>
      </c>
      <c r="AJ510">
        <v>0</v>
      </c>
      <c r="AK510">
        <v>73.31999999999999</v>
      </c>
      <c r="AN510" t="s">
        <v>7439</v>
      </c>
      <c r="AO510">
        <v>15236</v>
      </c>
      <c r="AU510">
        <v>1.25</v>
      </c>
      <c r="AV510" t="s">
        <v>505</v>
      </c>
      <c r="AW510" t="s">
        <v>142</v>
      </c>
    </row>
    <row r="511" spans="1:50">
      <c r="A511" s="1">
        <f>HYPERLINK("https://lsnyc.legalserver.org/matter/dynamic-profile/view/1873320","18-1873320")</f>
        <v>0</v>
      </c>
      <c r="B511" t="s">
        <v>142</v>
      </c>
      <c r="C511" t="s">
        <v>340</v>
      </c>
      <c r="D511" t="s">
        <v>464</v>
      </c>
      <c r="F511" t="s">
        <v>1263</v>
      </c>
      <c r="G511" t="s">
        <v>5448</v>
      </c>
      <c r="H511" t="s">
        <v>10090</v>
      </c>
      <c r="J511" t="s">
        <v>18930</v>
      </c>
      <c r="K511">
        <v>11413</v>
      </c>
      <c r="L511" t="s">
        <v>18958</v>
      </c>
      <c r="M511" t="s">
        <v>18958</v>
      </c>
      <c r="N511" t="s">
        <v>19357</v>
      </c>
      <c r="O511" t="s">
        <v>26524</v>
      </c>
      <c r="P511" t="s">
        <v>26560</v>
      </c>
      <c r="R511" t="s">
        <v>26584</v>
      </c>
      <c r="S511" t="s">
        <v>18959</v>
      </c>
      <c r="U511" t="s">
        <v>26604</v>
      </c>
      <c r="W511" t="s">
        <v>464</v>
      </c>
      <c r="X511">
        <v>812</v>
      </c>
      <c r="Y511" t="s">
        <v>26653</v>
      </c>
      <c r="Z511" t="s">
        <v>26664</v>
      </c>
      <c r="AB511" t="s">
        <v>27180</v>
      </c>
      <c r="AC511" t="s">
        <v>34646</v>
      </c>
      <c r="AD511" t="s">
        <v>37257</v>
      </c>
      <c r="AE511">
        <v>2</v>
      </c>
      <c r="AF511" t="s">
        <v>45547</v>
      </c>
      <c r="AG511" t="s">
        <v>45560</v>
      </c>
      <c r="AH511">
        <v>2</v>
      </c>
      <c r="AI511">
        <v>1</v>
      </c>
      <c r="AJ511">
        <v>0</v>
      </c>
      <c r="AK511">
        <v>82.37</v>
      </c>
      <c r="AM511" t="s">
        <v>45576</v>
      </c>
      <c r="AN511" t="s">
        <v>7439</v>
      </c>
      <c r="AO511">
        <v>10000</v>
      </c>
      <c r="AU511">
        <v>1</v>
      </c>
      <c r="AV511" t="s">
        <v>464</v>
      </c>
      <c r="AW511" t="s">
        <v>208</v>
      </c>
    </row>
    <row r="512" spans="1:50">
      <c r="A512" s="1">
        <f>HYPERLINK("https://lsnyc.legalserver.org/matter/dynamic-profile/view/1873352","18-1873352")</f>
        <v>0</v>
      </c>
      <c r="B512" t="s">
        <v>142</v>
      </c>
      <c r="C512" t="s">
        <v>340</v>
      </c>
      <c r="D512" t="s">
        <v>464</v>
      </c>
      <c r="F512" t="s">
        <v>1264</v>
      </c>
      <c r="G512" t="s">
        <v>5449</v>
      </c>
      <c r="H512" t="s">
        <v>10091</v>
      </c>
      <c r="J512" t="s">
        <v>18900</v>
      </c>
      <c r="K512">
        <v>11355</v>
      </c>
      <c r="L512" t="s">
        <v>18958</v>
      </c>
      <c r="M512" t="s">
        <v>18958</v>
      </c>
      <c r="N512" t="s">
        <v>19358</v>
      </c>
      <c r="O512" t="s">
        <v>26524</v>
      </c>
      <c r="P512" t="s">
        <v>26564</v>
      </c>
      <c r="R512" t="s">
        <v>26584</v>
      </c>
      <c r="S512" t="s">
        <v>18959</v>
      </c>
      <c r="U512" t="s">
        <v>26604</v>
      </c>
      <c r="V512" t="s">
        <v>26610</v>
      </c>
      <c r="W512" t="s">
        <v>464</v>
      </c>
      <c r="X512">
        <v>1500</v>
      </c>
      <c r="Y512" t="s">
        <v>26653</v>
      </c>
      <c r="Z512" t="s">
        <v>26664</v>
      </c>
      <c r="AB512" t="s">
        <v>27181</v>
      </c>
      <c r="AD512" t="s">
        <v>37258</v>
      </c>
      <c r="AE512">
        <v>1</v>
      </c>
      <c r="AF512" t="s">
        <v>45547</v>
      </c>
      <c r="AG512" t="s">
        <v>19330</v>
      </c>
      <c r="AH512">
        <v>3</v>
      </c>
      <c r="AI512">
        <v>1</v>
      </c>
      <c r="AJ512">
        <v>1</v>
      </c>
      <c r="AK512">
        <v>145.81</v>
      </c>
      <c r="AM512" t="s">
        <v>45576</v>
      </c>
      <c r="AN512" t="s">
        <v>7439</v>
      </c>
      <c r="AO512">
        <v>24000</v>
      </c>
      <c r="AU512">
        <v>1</v>
      </c>
      <c r="AV512" t="s">
        <v>464</v>
      </c>
      <c r="AW512" t="s">
        <v>208</v>
      </c>
    </row>
    <row r="513" spans="1:49">
      <c r="A513" s="1">
        <f>HYPERLINK("https://lsnyc.legalserver.org/matter/dynamic-profile/view/1873375","18-1873375")</f>
        <v>0</v>
      </c>
      <c r="B513" t="s">
        <v>122</v>
      </c>
      <c r="C513" t="s">
        <v>340</v>
      </c>
      <c r="D513" t="s">
        <v>464</v>
      </c>
      <c r="F513" t="s">
        <v>1265</v>
      </c>
      <c r="G513" t="s">
        <v>5450</v>
      </c>
      <c r="H513" t="s">
        <v>10092</v>
      </c>
      <c r="I513" t="s">
        <v>17416</v>
      </c>
      <c r="J513" t="s">
        <v>18917</v>
      </c>
      <c r="K513">
        <v>11356</v>
      </c>
      <c r="L513" t="s">
        <v>18958</v>
      </c>
      <c r="M513" t="s">
        <v>18958</v>
      </c>
      <c r="N513" t="s">
        <v>19359</v>
      </c>
      <c r="O513" t="s">
        <v>26524</v>
      </c>
      <c r="P513" t="s">
        <v>26564</v>
      </c>
      <c r="R513" t="s">
        <v>26584</v>
      </c>
      <c r="S513" t="s">
        <v>18959</v>
      </c>
      <c r="U513" t="s">
        <v>26604</v>
      </c>
      <c r="V513" t="s">
        <v>26610</v>
      </c>
      <c r="W513" t="s">
        <v>464</v>
      </c>
      <c r="X513">
        <v>2500</v>
      </c>
      <c r="Y513" t="s">
        <v>26653</v>
      </c>
      <c r="Z513" t="s">
        <v>26664</v>
      </c>
      <c r="AB513" t="s">
        <v>27182</v>
      </c>
      <c r="AC513" t="s">
        <v>19330</v>
      </c>
      <c r="AD513" t="s">
        <v>37259</v>
      </c>
      <c r="AE513">
        <v>2</v>
      </c>
      <c r="AF513" t="s">
        <v>45547</v>
      </c>
      <c r="AG513" t="s">
        <v>19330</v>
      </c>
      <c r="AH513">
        <v>1</v>
      </c>
      <c r="AI513">
        <v>1</v>
      </c>
      <c r="AJ513">
        <v>3</v>
      </c>
      <c r="AK513">
        <v>0</v>
      </c>
      <c r="AN513" t="s">
        <v>45581</v>
      </c>
      <c r="AO513">
        <v>0</v>
      </c>
      <c r="AU513">
        <v>0.95</v>
      </c>
      <c r="AV513" t="s">
        <v>476</v>
      </c>
      <c r="AW513" t="s">
        <v>161</v>
      </c>
    </row>
    <row r="514" spans="1:49">
      <c r="A514" s="1">
        <f>HYPERLINK("https://lsnyc.legalserver.org/matter/dynamic-profile/view/1873379","18-1873379")</f>
        <v>0</v>
      </c>
      <c r="B514" t="s">
        <v>112</v>
      </c>
      <c r="C514" t="s">
        <v>340</v>
      </c>
      <c r="D514" t="s">
        <v>464</v>
      </c>
      <c r="F514" t="s">
        <v>1079</v>
      </c>
      <c r="G514" t="s">
        <v>5230</v>
      </c>
      <c r="H514" t="s">
        <v>10093</v>
      </c>
      <c r="I514" t="s">
        <v>17416</v>
      </c>
      <c r="J514" t="s">
        <v>18905</v>
      </c>
      <c r="K514">
        <v>11692</v>
      </c>
      <c r="L514" t="s">
        <v>18958</v>
      </c>
      <c r="M514" t="s">
        <v>18958</v>
      </c>
      <c r="N514" t="s">
        <v>19360</v>
      </c>
      <c r="O514" t="s">
        <v>26524</v>
      </c>
      <c r="P514" t="s">
        <v>26564</v>
      </c>
      <c r="R514" t="s">
        <v>26578</v>
      </c>
      <c r="S514" t="s">
        <v>18959</v>
      </c>
      <c r="U514" t="s">
        <v>26604</v>
      </c>
      <c r="V514" t="s">
        <v>26614</v>
      </c>
      <c r="W514" t="s">
        <v>464</v>
      </c>
      <c r="X514">
        <v>2000</v>
      </c>
      <c r="Y514" t="s">
        <v>26653</v>
      </c>
      <c r="Z514" t="s">
        <v>26664</v>
      </c>
      <c r="AB514" t="s">
        <v>27183</v>
      </c>
      <c r="AC514" t="s">
        <v>19330</v>
      </c>
      <c r="AD514" t="s">
        <v>37260</v>
      </c>
      <c r="AE514">
        <v>2</v>
      </c>
      <c r="AF514" t="s">
        <v>45547</v>
      </c>
      <c r="AG514" t="s">
        <v>19330</v>
      </c>
      <c r="AH514">
        <v>3</v>
      </c>
      <c r="AI514">
        <v>3</v>
      </c>
      <c r="AJ514">
        <v>1</v>
      </c>
      <c r="AK514">
        <v>0</v>
      </c>
      <c r="AN514" t="s">
        <v>7439</v>
      </c>
      <c r="AO514">
        <v>0</v>
      </c>
      <c r="AU514">
        <v>1.5</v>
      </c>
      <c r="AV514" t="s">
        <v>458</v>
      </c>
      <c r="AW514" t="s">
        <v>161</v>
      </c>
    </row>
    <row r="515" spans="1:49">
      <c r="A515" s="1">
        <f>HYPERLINK("https://lsnyc.legalserver.org/matter/dynamic-profile/view/1873414","18-1873414")</f>
        <v>0</v>
      </c>
      <c r="B515" t="s">
        <v>112</v>
      </c>
      <c r="C515" t="s">
        <v>340</v>
      </c>
      <c r="D515" t="s">
        <v>464</v>
      </c>
      <c r="F515" t="s">
        <v>1266</v>
      </c>
      <c r="G515" t="s">
        <v>5451</v>
      </c>
      <c r="H515" t="s">
        <v>10094</v>
      </c>
      <c r="I515" t="s">
        <v>17360</v>
      </c>
      <c r="J515" t="s">
        <v>18907</v>
      </c>
      <c r="K515">
        <v>11377</v>
      </c>
      <c r="L515" t="s">
        <v>18958</v>
      </c>
      <c r="M515" t="s">
        <v>18958</v>
      </c>
      <c r="N515" t="s">
        <v>19361</v>
      </c>
      <c r="O515" t="s">
        <v>26523</v>
      </c>
      <c r="P515" t="s">
        <v>26564</v>
      </c>
      <c r="R515" t="s">
        <v>26584</v>
      </c>
      <c r="S515" t="s">
        <v>18959</v>
      </c>
      <c r="U515" t="s">
        <v>26604</v>
      </c>
      <c r="V515" t="s">
        <v>26610</v>
      </c>
      <c r="W515" t="s">
        <v>464</v>
      </c>
      <c r="X515">
        <v>1100.8</v>
      </c>
      <c r="Y515" t="s">
        <v>26653</v>
      </c>
      <c r="Z515" t="s">
        <v>26664</v>
      </c>
      <c r="AB515" t="s">
        <v>27184</v>
      </c>
      <c r="AC515" t="s">
        <v>34647</v>
      </c>
      <c r="AD515" t="s">
        <v>37261</v>
      </c>
      <c r="AE515">
        <v>16</v>
      </c>
      <c r="AF515" t="s">
        <v>45541</v>
      </c>
      <c r="AG515" t="s">
        <v>19330</v>
      </c>
      <c r="AH515">
        <v>1</v>
      </c>
      <c r="AI515">
        <v>1</v>
      </c>
      <c r="AJ515">
        <v>0</v>
      </c>
      <c r="AK515">
        <v>52.59</v>
      </c>
      <c r="AN515" t="s">
        <v>7439</v>
      </c>
      <c r="AO515">
        <v>6384</v>
      </c>
      <c r="AU515">
        <v>2.1</v>
      </c>
      <c r="AV515" t="s">
        <v>781</v>
      </c>
      <c r="AW515" t="s">
        <v>161</v>
      </c>
    </row>
    <row r="516" spans="1:49">
      <c r="A516" s="1">
        <f>HYPERLINK("https://lsnyc.legalserver.org/matter/dynamic-profile/view/1873429","18-1873429")</f>
        <v>0</v>
      </c>
      <c r="B516" t="s">
        <v>112</v>
      </c>
      <c r="C516" t="s">
        <v>340</v>
      </c>
      <c r="D516" t="s">
        <v>464</v>
      </c>
      <c r="F516" t="s">
        <v>1114</v>
      </c>
      <c r="G516" t="s">
        <v>5452</v>
      </c>
      <c r="H516" t="s">
        <v>10095</v>
      </c>
      <c r="I516" t="s">
        <v>17425</v>
      </c>
      <c r="J516" t="s">
        <v>18897</v>
      </c>
      <c r="K516">
        <v>11415</v>
      </c>
      <c r="L516" t="s">
        <v>18958</v>
      </c>
      <c r="M516" t="s">
        <v>18958</v>
      </c>
      <c r="N516" t="s">
        <v>19362</v>
      </c>
      <c r="O516" t="s">
        <v>26523</v>
      </c>
      <c r="P516" t="s">
        <v>26564</v>
      </c>
      <c r="R516" t="s">
        <v>26584</v>
      </c>
      <c r="S516" t="s">
        <v>18959</v>
      </c>
      <c r="U516" t="s">
        <v>26604</v>
      </c>
      <c r="V516" t="s">
        <v>26611</v>
      </c>
      <c r="W516" t="s">
        <v>464</v>
      </c>
      <c r="X516">
        <v>1350</v>
      </c>
      <c r="Y516" t="s">
        <v>26653</v>
      </c>
      <c r="Z516" t="s">
        <v>26664</v>
      </c>
      <c r="AB516" t="s">
        <v>27185</v>
      </c>
      <c r="AC516" t="s">
        <v>34648</v>
      </c>
      <c r="AD516" t="s">
        <v>37262</v>
      </c>
      <c r="AE516">
        <v>53</v>
      </c>
      <c r="AF516" t="s">
        <v>45541</v>
      </c>
      <c r="AG516" t="s">
        <v>19330</v>
      </c>
      <c r="AH516">
        <v>1</v>
      </c>
      <c r="AI516">
        <v>1</v>
      </c>
      <c r="AJ516">
        <v>0</v>
      </c>
      <c r="AK516">
        <v>181.19</v>
      </c>
      <c r="AN516" t="s">
        <v>7439</v>
      </c>
      <c r="AO516">
        <v>21996</v>
      </c>
      <c r="AU516">
        <v>1.2</v>
      </c>
      <c r="AV516" t="s">
        <v>415</v>
      </c>
      <c r="AW516" t="s">
        <v>161</v>
      </c>
    </row>
    <row r="517" spans="1:49">
      <c r="A517" s="1">
        <f>HYPERLINK("https://lsnyc.legalserver.org/matter/dynamic-profile/view/1873371","18-1873371")</f>
        <v>0</v>
      </c>
      <c r="B517" t="s">
        <v>112</v>
      </c>
      <c r="C517" t="s">
        <v>340</v>
      </c>
      <c r="D517" t="s">
        <v>464</v>
      </c>
      <c r="F517" t="s">
        <v>1267</v>
      </c>
      <c r="G517" t="s">
        <v>5269</v>
      </c>
      <c r="H517" t="s">
        <v>10096</v>
      </c>
      <c r="I517">
        <v>2</v>
      </c>
      <c r="J517" t="s">
        <v>18931</v>
      </c>
      <c r="K517">
        <v>11412</v>
      </c>
      <c r="L517" t="s">
        <v>18958</v>
      </c>
      <c r="M517" t="s">
        <v>18958</v>
      </c>
      <c r="N517" t="s">
        <v>19363</v>
      </c>
      <c r="O517" t="s">
        <v>26524</v>
      </c>
      <c r="P517" t="s">
        <v>26564</v>
      </c>
      <c r="R517" t="s">
        <v>26584</v>
      </c>
      <c r="S517" t="s">
        <v>18959</v>
      </c>
      <c r="U517" t="s">
        <v>26604</v>
      </c>
      <c r="V517" t="s">
        <v>26610</v>
      </c>
      <c r="W517" t="s">
        <v>464</v>
      </c>
      <c r="X517">
        <v>1200</v>
      </c>
      <c r="Y517" t="s">
        <v>26653</v>
      </c>
      <c r="Z517" t="s">
        <v>26664</v>
      </c>
      <c r="AB517" t="s">
        <v>27186</v>
      </c>
      <c r="AD517" t="s">
        <v>37263</v>
      </c>
      <c r="AE517">
        <v>2</v>
      </c>
      <c r="AF517" t="s">
        <v>45547</v>
      </c>
      <c r="AG517" t="s">
        <v>19330</v>
      </c>
      <c r="AH517">
        <v>4</v>
      </c>
      <c r="AI517">
        <v>4</v>
      </c>
      <c r="AJ517">
        <v>1</v>
      </c>
      <c r="AK517">
        <v>183.55</v>
      </c>
      <c r="AM517" t="s">
        <v>45576</v>
      </c>
      <c r="AN517" t="s">
        <v>7439</v>
      </c>
      <c r="AO517">
        <v>54000</v>
      </c>
      <c r="AU517">
        <v>1.2</v>
      </c>
      <c r="AV517" t="s">
        <v>415</v>
      </c>
      <c r="AW517" t="s">
        <v>208</v>
      </c>
    </row>
    <row r="518" spans="1:49">
      <c r="A518" s="1">
        <f>HYPERLINK("https://lsnyc.legalserver.org/matter/dynamic-profile/view/1873364","18-1873364")</f>
        <v>0</v>
      </c>
      <c r="B518" t="s">
        <v>125</v>
      </c>
      <c r="C518" t="s">
        <v>340</v>
      </c>
      <c r="D518" t="s">
        <v>464</v>
      </c>
      <c r="F518" t="s">
        <v>1268</v>
      </c>
      <c r="G518" t="s">
        <v>5376</v>
      </c>
      <c r="H518" t="s">
        <v>10097</v>
      </c>
      <c r="I518" t="s">
        <v>17460</v>
      </c>
      <c r="J518" t="s">
        <v>18894</v>
      </c>
      <c r="K518">
        <v>11208</v>
      </c>
      <c r="L518" t="s">
        <v>18958</v>
      </c>
      <c r="M518" t="s">
        <v>18958</v>
      </c>
      <c r="N518" t="s">
        <v>19364</v>
      </c>
      <c r="O518" t="s">
        <v>26523</v>
      </c>
      <c r="P518" t="s">
        <v>26560</v>
      </c>
      <c r="R518" t="s">
        <v>26578</v>
      </c>
      <c r="S518" t="s">
        <v>18959</v>
      </c>
      <c r="U518" t="s">
        <v>26604</v>
      </c>
      <c r="W518" t="s">
        <v>464</v>
      </c>
      <c r="X518">
        <v>1600</v>
      </c>
      <c r="Y518" t="s">
        <v>26652</v>
      </c>
      <c r="Z518" t="s">
        <v>26530</v>
      </c>
      <c r="AB518" t="s">
        <v>27187</v>
      </c>
      <c r="AD518" t="s">
        <v>37264</v>
      </c>
      <c r="AE518">
        <v>7</v>
      </c>
      <c r="AF518" t="s">
        <v>45541</v>
      </c>
      <c r="AG518" t="s">
        <v>45556</v>
      </c>
      <c r="AH518">
        <v>15</v>
      </c>
      <c r="AI518">
        <v>2</v>
      </c>
      <c r="AJ518">
        <v>1</v>
      </c>
      <c r="AK518">
        <v>235.8</v>
      </c>
      <c r="AL518" t="s">
        <v>574</v>
      </c>
      <c r="AM518" t="s">
        <v>45575</v>
      </c>
      <c r="AN518" t="s">
        <v>7439</v>
      </c>
      <c r="AO518">
        <v>49000</v>
      </c>
      <c r="AU518">
        <v>59.9</v>
      </c>
      <c r="AV518" t="s">
        <v>836</v>
      </c>
      <c r="AW518" t="s">
        <v>46849</v>
      </c>
    </row>
    <row r="519" spans="1:49">
      <c r="A519" s="1">
        <f>HYPERLINK("https://lsnyc.legalserver.org/matter/dynamic-profile/view/1873440","18-1873440")</f>
        <v>0</v>
      </c>
      <c r="B519" t="s">
        <v>106</v>
      </c>
      <c r="C519" t="s">
        <v>341</v>
      </c>
      <c r="D519" t="s">
        <v>465</v>
      </c>
      <c r="E519" t="s">
        <v>428</v>
      </c>
      <c r="F519" t="s">
        <v>1269</v>
      </c>
      <c r="G519" t="s">
        <v>4966</v>
      </c>
      <c r="H519" t="s">
        <v>10098</v>
      </c>
      <c r="I519" t="s">
        <v>17284</v>
      </c>
      <c r="J519" t="s">
        <v>18894</v>
      </c>
      <c r="K519">
        <v>11216</v>
      </c>
      <c r="L519" t="s">
        <v>18958</v>
      </c>
      <c r="M519" t="s">
        <v>18958</v>
      </c>
      <c r="N519" t="s">
        <v>19365</v>
      </c>
      <c r="O519" t="s">
        <v>26523</v>
      </c>
      <c r="P519" t="s">
        <v>26560</v>
      </c>
      <c r="Q519" t="s">
        <v>26573</v>
      </c>
      <c r="R519" t="s">
        <v>26588</v>
      </c>
      <c r="S519" t="s">
        <v>18959</v>
      </c>
      <c r="U519" t="s">
        <v>26604</v>
      </c>
      <c r="V519" t="s">
        <v>26610</v>
      </c>
      <c r="W519" t="s">
        <v>464</v>
      </c>
      <c r="X519">
        <v>1487</v>
      </c>
      <c r="Y519" t="s">
        <v>26652</v>
      </c>
      <c r="Z519" t="s">
        <v>26669</v>
      </c>
      <c r="AA519" t="s">
        <v>26678</v>
      </c>
      <c r="AB519" t="s">
        <v>27188</v>
      </c>
      <c r="AD519" t="s">
        <v>37265</v>
      </c>
      <c r="AE519">
        <v>16</v>
      </c>
      <c r="AF519" t="s">
        <v>45541</v>
      </c>
      <c r="AG519" t="s">
        <v>19330</v>
      </c>
      <c r="AH519">
        <v>7</v>
      </c>
      <c r="AI519">
        <v>3</v>
      </c>
      <c r="AJ519">
        <v>1</v>
      </c>
      <c r="AK519">
        <v>79.68000000000001</v>
      </c>
      <c r="AN519" t="s">
        <v>7439</v>
      </c>
      <c r="AO519">
        <v>20000</v>
      </c>
      <c r="AQ519" t="s">
        <v>46359</v>
      </c>
      <c r="AR519" t="s">
        <v>46412</v>
      </c>
      <c r="AS519" t="s">
        <v>46500</v>
      </c>
      <c r="AT519" t="s">
        <v>46551</v>
      </c>
      <c r="AU519">
        <v>26.6</v>
      </c>
      <c r="AV519" t="s">
        <v>428</v>
      </c>
      <c r="AW519" t="s">
        <v>46853</v>
      </c>
    </row>
    <row r="520" spans="1:49">
      <c r="A520" s="1">
        <f>HYPERLINK("https://lsnyc.legalserver.org/matter/dynamic-profile/view/1873507","18-1873507")</f>
        <v>0</v>
      </c>
      <c r="B520" t="s">
        <v>161</v>
      </c>
      <c r="C520" t="s">
        <v>341</v>
      </c>
      <c r="D520" t="s">
        <v>447</v>
      </c>
      <c r="E520" t="s">
        <v>850</v>
      </c>
      <c r="F520" t="s">
        <v>1270</v>
      </c>
      <c r="G520" t="s">
        <v>5453</v>
      </c>
      <c r="H520" t="s">
        <v>10099</v>
      </c>
      <c r="I520" t="s">
        <v>17424</v>
      </c>
      <c r="J520" t="s">
        <v>18900</v>
      </c>
      <c r="K520">
        <v>11355</v>
      </c>
      <c r="L520" t="s">
        <v>18958</v>
      </c>
      <c r="M520" t="s">
        <v>18958</v>
      </c>
      <c r="N520" t="s">
        <v>19366</v>
      </c>
      <c r="O520" t="s">
        <v>26524</v>
      </c>
      <c r="P520" t="s">
        <v>26564</v>
      </c>
      <c r="Q520" t="s">
        <v>26570</v>
      </c>
      <c r="R520" t="s">
        <v>26584</v>
      </c>
      <c r="S520" t="s">
        <v>18959</v>
      </c>
      <c r="U520" t="s">
        <v>26604</v>
      </c>
      <c r="V520" t="s">
        <v>26612</v>
      </c>
      <c r="W520" t="s">
        <v>464</v>
      </c>
      <c r="X520">
        <v>600</v>
      </c>
      <c r="Y520" t="s">
        <v>26653</v>
      </c>
      <c r="Z520" t="s">
        <v>26670</v>
      </c>
      <c r="AA520" t="s">
        <v>26683</v>
      </c>
      <c r="AB520" t="s">
        <v>27189</v>
      </c>
      <c r="AC520" t="s">
        <v>19079</v>
      </c>
      <c r="AD520" t="s">
        <v>37266</v>
      </c>
      <c r="AE520">
        <v>85</v>
      </c>
      <c r="AF520" t="s">
        <v>45547</v>
      </c>
      <c r="AG520" t="s">
        <v>19330</v>
      </c>
      <c r="AH520">
        <v>4</v>
      </c>
      <c r="AI520">
        <v>1</v>
      </c>
      <c r="AJ520">
        <v>0</v>
      </c>
      <c r="AK520">
        <v>49.42</v>
      </c>
      <c r="AN520" t="s">
        <v>45593</v>
      </c>
      <c r="AO520">
        <v>6000</v>
      </c>
      <c r="AU520">
        <v>3.5</v>
      </c>
      <c r="AV520" t="s">
        <v>505</v>
      </c>
      <c r="AW520" t="s">
        <v>161</v>
      </c>
    </row>
    <row r="521" spans="1:49">
      <c r="A521" s="1">
        <f>HYPERLINK("https://lsnyc.legalserver.org/matter/dynamic-profile/view/1873736","18-1873736")</f>
        <v>0</v>
      </c>
      <c r="B521" t="s">
        <v>161</v>
      </c>
      <c r="C521" t="s">
        <v>341</v>
      </c>
      <c r="D521" t="s">
        <v>466</v>
      </c>
      <c r="E521" t="s">
        <v>516</v>
      </c>
      <c r="F521" t="s">
        <v>1271</v>
      </c>
      <c r="G521" t="s">
        <v>5454</v>
      </c>
      <c r="H521" t="s">
        <v>10100</v>
      </c>
      <c r="I521" t="s">
        <v>17324</v>
      </c>
      <c r="J521" t="s">
        <v>18901</v>
      </c>
      <c r="K521">
        <v>11433</v>
      </c>
      <c r="L521" t="s">
        <v>18958</v>
      </c>
      <c r="M521" t="s">
        <v>18958</v>
      </c>
      <c r="N521" t="s">
        <v>19367</v>
      </c>
      <c r="O521" t="s">
        <v>26526</v>
      </c>
      <c r="P521" t="s">
        <v>26564</v>
      </c>
      <c r="Q521" t="s">
        <v>26570</v>
      </c>
      <c r="R521" t="s">
        <v>26584</v>
      </c>
      <c r="S521" t="s">
        <v>18959</v>
      </c>
      <c r="U521" t="s">
        <v>26604</v>
      </c>
      <c r="V521" t="s">
        <v>26610</v>
      </c>
      <c r="W521" t="s">
        <v>464</v>
      </c>
      <c r="X521">
        <v>1800</v>
      </c>
      <c r="Y521" t="s">
        <v>26653</v>
      </c>
      <c r="Z521" t="s">
        <v>26664</v>
      </c>
      <c r="AA521" t="s">
        <v>26683</v>
      </c>
      <c r="AB521" t="s">
        <v>27190</v>
      </c>
      <c r="AC521" t="s">
        <v>34649</v>
      </c>
      <c r="AD521" t="s">
        <v>37267</v>
      </c>
      <c r="AE521">
        <v>2</v>
      </c>
      <c r="AF521" t="s">
        <v>45547</v>
      </c>
      <c r="AG521" t="s">
        <v>45562</v>
      </c>
      <c r="AH521">
        <v>1</v>
      </c>
      <c r="AI521">
        <v>2</v>
      </c>
      <c r="AJ521">
        <v>6</v>
      </c>
      <c r="AK521">
        <v>25.48</v>
      </c>
      <c r="AN521" t="s">
        <v>7439</v>
      </c>
      <c r="AO521">
        <v>10800</v>
      </c>
      <c r="AU521">
        <v>1.1</v>
      </c>
      <c r="AV521" t="s">
        <v>516</v>
      </c>
      <c r="AW521" t="s">
        <v>161</v>
      </c>
    </row>
    <row r="522" spans="1:49">
      <c r="A522" s="1">
        <f>HYPERLINK("https://lsnyc.legalserver.org/matter/dynamic-profile/view/1866767","18-1866767")</f>
        <v>0</v>
      </c>
      <c r="B522" t="s">
        <v>92</v>
      </c>
      <c r="C522" t="s">
        <v>341</v>
      </c>
      <c r="D522" t="s">
        <v>467</v>
      </c>
      <c r="E522" t="s">
        <v>545</v>
      </c>
      <c r="F522" t="s">
        <v>1272</v>
      </c>
      <c r="G522" t="s">
        <v>5455</v>
      </c>
      <c r="H522" t="s">
        <v>10101</v>
      </c>
      <c r="I522" t="s">
        <v>17461</v>
      </c>
      <c r="J522" t="s">
        <v>18894</v>
      </c>
      <c r="K522">
        <v>11239</v>
      </c>
      <c r="L522" t="s">
        <v>18958</v>
      </c>
      <c r="M522" t="s">
        <v>18958</v>
      </c>
      <c r="N522" t="s">
        <v>19037</v>
      </c>
      <c r="O522" t="s">
        <v>18997</v>
      </c>
      <c r="P522" t="s">
        <v>26564</v>
      </c>
      <c r="Q522" t="s">
        <v>26570</v>
      </c>
      <c r="R522" t="s">
        <v>26578</v>
      </c>
      <c r="S522" t="s">
        <v>18958</v>
      </c>
      <c r="U522" t="s">
        <v>26604</v>
      </c>
      <c r="W522" t="s">
        <v>465</v>
      </c>
      <c r="X522">
        <v>2800</v>
      </c>
      <c r="Y522" t="s">
        <v>26652</v>
      </c>
      <c r="Z522" t="s">
        <v>26660</v>
      </c>
      <c r="AA522" t="s">
        <v>26683</v>
      </c>
      <c r="AB522" t="s">
        <v>27191</v>
      </c>
      <c r="AC522" t="s">
        <v>34650</v>
      </c>
      <c r="AD522" t="s">
        <v>37268</v>
      </c>
      <c r="AE522">
        <v>136</v>
      </c>
      <c r="AF522" t="s">
        <v>45543</v>
      </c>
      <c r="AG522" t="s">
        <v>45563</v>
      </c>
      <c r="AH522">
        <v>15</v>
      </c>
      <c r="AI522">
        <v>1</v>
      </c>
      <c r="AJ522">
        <v>3</v>
      </c>
      <c r="AK522">
        <v>51.01</v>
      </c>
      <c r="AN522" t="s">
        <v>7439</v>
      </c>
      <c r="AO522">
        <v>12804</v>
      </c>
      <c r="AP522" t="s">
        <v>45624</v>
      </c>
      <c r="AU522">
        <v>3.75</v>
      </c>
      <c r="AV522" t="s">
        <v>545</v>
      </c>
      <c r="AW522" t="s">
        <v>46858</v>
      </c>
    </row>
    <row r="523" spans="1:49">
      <c r="A523" s="1">
        <f>HYPERLINK("https://lsnyc.legalserver.org/matter/dynamic-profile/view/1867236","18-1867236")</f>
        <v>0</v>
      </c>
      <c r="B523" t="s">
        <v>184</v>
      </c>
      <c r="C523" t="s">
        <v>341</v>
      </c>
      <c r="D523" t="s">
        <v>468</v>
      </c>
      <c r="E523" t="s">
        <v>465</v>
      </c>
      <c r="F523" t="s">
        <v>1273</v>
      </c>
      <c r="G523" t="s">
        <v>5456</v>
      </c>
      <c r="H523" t="s">
        <v>10102</v>
      </c>
      <c r="I523" t="s">
        <v>17374</v>
      </c>
      <c r="J523" t="s">
        <v>18894</v>
      </c>
      <c r="K523">
        <v>11234</v>
      </c>
      <c r="L523" t="s">
        <v>18958</v>
      </c>
      <c r="M523" t="s">
        <v>18958</v>
      </c>
      <c r="N523" t="s">
        <v>19368</v>
      </c>
      <c r="O523" t="s">
        <v>26523</v>
      </c>
      <c r="P523" t="s">
        <v>26563</v>
      </c>
      <c r="Q523" t="s">
        <v>26571</v>
      </c>
      <c r="R523" t="s">
        <v>26586</v>
      </c>
      <c r="S523" t="s">
        <v>18959</v>
      </c>
      <c r="U523" t="s">
        <v>26604</v>
      </c>
      <c r="W523" t="s">
        <v>465</v>
      </c>
      <c r="X523">
        <v>1150</v>
      </c>
      <c r="Y523" t="s">
        <v>26652</v>
      </c>
      <c r="Z523" t="s">
        <v>26662</v>
      </c>
      <c r="AA523" t="s">
        <v>26683</v>
      </c>
      <c r="AB523" t="s">
        <v>27192</v>
      </c>
      <c r="AD523" t="s">
        <v>37269</v>
      </c>
      <c r="AE523">
        <v>2</v>
      </c>
      <c r="AF523" t="s">
        <v>45547</v>
      </c>
      <c r="AH523">
        <v>2</v>
      </c>
      <c r="AI523">
        <v>1</v>
      </c>
      <c r="AJ523">
        <v>0</v>
      </c>
      <c r="AK523">
        <v>0</v>
      </c>
      <c r="AN523" t="s">
        <v>7439</v>
      </c>
      <c r="AO523">
        <v>0</v>
      </c>
      <c r="AU523">
        <v>2.2</v>
      </c>
      <c r="AV523" t="s">
        <v>475</v>
      </c>
      <c r="AW523" t="s">
        <v>281</v>
      </c>
    </row>
    <row r="524" spans="1:49">
      <c r="A524" s="1">
        <f>HYPERLINK("https://lsnyc.legalserver.org/matter/dynamic-profile/view/1867220","18-1867220")</f>
        <v>0</v>
      </c>
      <c r="B524" t="s">
        <v>184</v>
      </c>
      <c r="C524" t="s">
        <v>341</v>
      </c>
      <c r="D524" t="s">
        <v>468</v>
      </c>
      <c r="E524" t="s">
        <v>465</v>
      </c>
      <c r="F524" t="s">
        <v>1274</v>
      </c>
      <c r="G524" t="s">
        <v>5457</v>
      </c>
      <c r="H524" t="s">
        <v>10103</v>
      </c>
      <c r="I524">
        <v>3</v>
      </c>
      <c r="J524" t="s">
        <v>18894</v>
      </c>
      <c r="K524">
        <v>11233</v>
      </c>
      <c r="L524" t="s">
        <v>18958</v>
      </c>
      <c r="M524" t="s">
        <v>18958</v>
      </c>
      <c r="N524" t="s">
        <v>19369</v>
      </c>
      <c r="O524" t="s">
        <v>26524</v>
      </c>
      <c r="P524" t="s">
        <v>26564</v>
      </c>
      <c r="Q524" t="s">
        <v>26571</v>
      </c>
      <c r="R524" t="s">
        <v>26588</v>
      </c>
      <c r="S524" t="s">
        <v>18959</v>
      </c>
      <c r="U524" t="s">
        <v>26604</v>
      </c>
      <c r="W524" t="s">
        <v>465</v>
      </c>
      <c r="X524">
        <v>1500</v>
      </c>
      <c r="Y524" t="s">
        <v>26652</v>
      </c>
      <c r="Z524" t="s">
        <v>26669</v>
      </c>
      <c r="AA524" t="s">
        <v>26683</v>
      </c>
      <c r="AB524" t="s">
        <v>27193</v>
      </c>
      <c r="AE524">
        <v>3</v>
      </c>
      <c r="AF524" t="s">
        <v>45547</v>
      </c>
      <c r="AH524">
        <v>4</v>
      </c>
      <c r="AI524">
        <v>1</v>
      </c>
      <c r="AJ524">
        <v>3</v>
      </c>
      <c r="AK524">
        <v>55.46</v>
      </c>
      <c r="AN524" t="s">
        <v>7439</v>
      </c>
      <c r="AO524">
        <v>13920</v>
      </c>
      <c r="AU524">
        <v>8.1</v>
      </c>
      <c r="AV524" t="s">
        <v>396</v>
      </c>
      <c r="AW524" t="s">
        <v>281</v>
      </c>
    </row>
    <row r="525" spans="1:49">
      <c r="A525" s="1">
        <f>HYPERLINK("https://lsnyc.legalserver.org/matter/dynamic-profile/view/1870630","18-1870630")</f>
        <v>0</v>
      </c>
      <c r="B525" t="s">
        <v>118</v>
      </c>
      <c r="C525" t="s">
        <v>341</v>
      </c>
      <c r="D525" t="s">
        <v>433</v>
      </c>
      <c r="E525" t="s">
        <v>416</v>
      </c>
      <c r="F525" t="s">
        <v>1275</v>
      </c>
      <c r="G525" t="s">
        <v>5366</v>
      </c>
      <c r="H525" t="s">
        <v>10104</v>
      </c>
      <c r="I525" t="s">
        <v>17462</v>
      </c>
      <c r="J525" t="s">
        <v>18893</v>
      </c>
      <c r="K525">
        <v>10029</v>
      </c>
      <c r="L525" t="s">
        <v>18958</v>
      </c>
      <c r="M525" t="s">
        <v>18958</v>
      </c>
      <c r="N525" t="s">
        <v>19370</v>
      </c>
      <c r="O525" t="s">
        <v>26523</v>
      </c>
      <c r="P525" t="s">
        <v>26560</v>
      </c>
      <c r="Q525" t="s">
        <v>26568</v>
      </c>
      <c r="R525" t="s">
        <v>26578</v>
      </c>
      <c r="S525" t="s">
        <v>18959</v>
      </c>
      <c r="U525" t="s">
        <v>26604</v>
      </c>
      <c r="V525" t="s">
        <v>26610</v>
      </c>
      <c r="W525" t="s">
        <v>465</v>
      </c>
      <c r="X525">
        <v>1335</v>
      </c>
      <c r="Y525" t="s">
        <v>26651</v>
      </c>
      <c r="Z525" t="s">
        <v>26665</v>
      </c>
      <c r="AA525" t="s">
        <v>26678</v>
      </c>
      <c r="AB525" t="s">
        <v>27194</v>
      </c>
      <c r="AD525" t="s">
        <v>37270</v>
      </c>
      <c r="AE525">
        <v>42</v>
      </c>
      <c r="AF525" t="s">
        <v>20460</v>
      </c>
      <c r="AG525" t="s">
        <v>45556</v>
      </c>
      <c r="AH525">
        <v>3</v>
      </c>
      <c r="AI525">
        <v>1</v>
      </c>
      <c r="AJ525">
        <v>0</v>
      </c>
      <c r="AK525">
        <v>237.23</v>
      </c>
      <c r="AL525" t="s">
        <v>614</v>
      </c>
      <c r="AM525" t="s">
        <v>45575</v>
      </c>
      <c r="AN525" t="s">
        <v>7439</v>
      </c>
      <c r="AO525">
        <v>28800</v>
      </c>
      <c r="AU525">
        <v>17.38</v>
      </c>
      <c r="AV525" t="s">
        <v>668</v>
      </c>
      <c r="AW525" t="s">
        <v>46850</v>
      </c>
    </row>
    <row r="526" spans="1:49">
      <c r="A526" s="1">
        <f>HYPERLINK("https://lsnyc.legalserver.org/matter/dynamic-profile/view/1870714","18-1870714")</f>
        <v>0</v>
      </c>
      <c r="B526" t="s">
        <v>184</v>
      </c>
      <c r="C526" t="s">
        <v>341</v>
      </c>
      <c r="D526" t="s">
        <v>402</v>
      </c>
      <c r="E526" t="s">
        <v>465</v>
      </c>
      <c r="F526" t="s">
        <v>1043</v>
      </c>
      <c r="G526" t="s">
        <v>5458</v>
      </c>
      <c r="H526" t="s">
        <v>10105</v>
      </c>
      <c r="I526" t="s">
        <v>17463</v>
      </c>
      <c r="J526" t="s">
        <v>18894</v>
      </c>
      <c r="K526">
        <v>11224</v>
      </c>
      <c r="L526" t="s">
        <v>18958</v>
      </c>
      <c r="M526" t="s">
        <v>18958</v>
      </c>
      <c r="N526" t="s">
        <v>19371</v>
      </c>
      <c r="O526" t="s">
        <v>26524</v>
      </c>
      <c r="P526" t="s">
        <v>26563</v>
      </c>
      <c r="Q526" t="s">
        <v>26570</v>
      </c>
      <c r="R526" t="s">
        <v>26586</v>
      </c>
      <c r="S526" t="s">
        <v>18959</v>
      </c>
      <c r="U526" t="s">
        <v>26604</v>
      </c>
      <c r="W526" t="s">
        <v>465</v>
      </c>
      <c r="X526">
        <v>1855</v>
      </c>
      <c r="Y526" t="s">
        <v>26652</v>
      </c>
      <c r="Z526" t="s">
        <v>26663</v>
      </c>
      <c r="AA526" t="s">
        <v>26683</v>
      </c>
      <c r="AB526" t="s">
        <v>27195</v>
      </c>
      <c r="AC526" t="s">
        <v>34651</v>
      </c>
      <c r="AD526" t="s">
        <v>37271</v>
      </c>
      <c r="AE526">
        <v>0</v>
      </c>
      <c r="AF526" t="s">
        <v>45541</v>
      </c>
      <c r="AG526" t="s">
        <v>45556</v>
      </c>
      <c r="AH526">
        <v>10</v>
      </c>
      <c r="AI526">
        <v>1</v>
      </c>
      <c r="AJ526">
        <v>0</v>
      </c>
      <c r="AK526">
        <v>0</v>
      </c>
      <c r="AN526" t="s">
        <v>7439</v>
      </c>
      <c r="AO526">
        <v>0</v>
      </c>
      <c r="AU526">
        <v>3.7</v>
      </c>
      <c r="AV526" t="s">
        <v>465</v>
      </c>
      <c r="AW526" t="s">
        <v>237</v>
      </c>
    </row>
    <row r="527" spans="1:49">
      <c r="A527" s="1">
        <f>HYPERLINK("https://lsnyc.legalserver.org/matter/dynamic-profile/view/1870794","18-1870794")</f>
        <v>0</v>
      </c>
      <c r="B527" t="s">
        <v>184</v>
      </c>
      <c r="C527" t="s">
        <v>341</v>
      </c>
      <c r="D527" t="s">
        <v>403</v>
      </c>
      <c r="E527" t="s">
        <v>465</v>
      </c>
      <c r="F527" t="s">
        <v>1276</v>
      </c>
      <c r="G527" t="s">
        <v>5459</v>
      </c>
      <c r="H527" t="s">
        <v>10106</v>
      </c>
      <c r="I527">
        <v>1</v>
      </c>
      <c r="J527" t="s">
        <v>18894</v>
      </c>
      <c r="K527">
        <v>11236</v>
      </c>
      <c r="L527" t="s">
        <v>18958</v>
      </c>
      <c r="M527" t="s">
        <v>18958</v>
      </c>
      <c r="N527" t="s">
        <v>19372</v>
      </c>
      <c r="O527" t="s">
        <v>26524</v>
      </c>
      <c r="P527" t="s">
        <v>26563</v>
      </c>
      <c r="Q527" t="s">
        <v>26570</v>
      </c>
      <c r="R527" t="s">
        <v>26586</v>
      </c>
      <c r="U527" t="s">
        <v>26604</v>
      </c>
      <c r="W527" t="s">
        <v>465</v>
      </c>
      <c r="X527">
        <v>1375</v>
      </c>
      <c r="Y527" t="s">
        <v>26652</v>
      </c>
      <c r="Z527" t="s">
        <v>26662</v>
      </c>
      <c r="AA527" t="s">
        <v>26683</v>
      </c>
      <c r="AB527" t="s">
        <v>27196</v>
      </c>
      <c r="AD527" t="s">
        <v>37272</v>
      </c>
      <c r="AE527">
        <v>3</v>
      </c>
      <c r="AF527" t="s">
        <v>45547</v>
      </c>
      <c r="AH527">
        <v>13</v>
      </c>
      <c r="AI527">
        <v>2</v>
      </c>
      <c r="AJ527">
        <v>3</v>
      </c>
      <c r="AK527">
        <v>135.96</v>
      </c>
      <c r="AN527" t="s">
        <v>7439</v>
      </c>
      <c r="AO527">
        <v>40000</v>
      </c>
      <c r="AU527">
        <v>2.1</v>
      </c>
      <c r="AV527" t="s">
        <v>404</v>
      </c>
      <c r="AW527" t="s">
        <v>281</v>
      </c>
    </row>
    <row r="528" spans="1:49">
      <c r="A528" s="1">
        <f>HYPERLINK("https://lsnyc.legalserver.org/matter/dynamic-profile/view/1871584","18-1871584")</f>
        <v>0</v>
      </c>
      <c r="B528" t="s">
        <v>70</v>
      </c>
      <c r="C528" t="s">
        <v>341</v>
      </c>
      <c r="D528" t="s">
        <v>420</v>
      </c>
      <c r="E528" t="s">
        <v>498</v>
      </c>
      <c r="F528" t="s">
        <v>887</v>
      </c>
      <c r="G528" t="s">
        <v>5460</v>
      </c>
      <c r="H528" t="s">
        <v>10107</v>
      </c>
      <c r="I528" t="s">
        <v>17278</v>
      </c>
      <c r="J528" t="s">
        <v>18892</v>
      </c>
      <c r="K528">
        <v>10468</v>
      </c>
      <c r="L528" t="s">
        <v>18958</v>
      </c>
      <c r="M528" t="s">
        <v>18958</v>
      </c>
      <c r="N528" t="s">
        <v>19045</v>
      </c>
      <c r="O528" t="s">
        <v>26529</v>
      </c>
      <c r="P528" t="s">
        <v>26564</v>
      </c>
      <c r="Q528" t="s">
        <v>26570</v>
      </c>
      <c r="R528" t="s">
        <v>26578</v>
      </c>
      <c r="S528" t="s">
        <v>18959</v>
      </c>
      <c r="U528" t="s">
        <v>26604</v>
      </c>
      <c r="V528" t="s">
        <v>26610</v>
      </c>
      <c r="W528" t="s">
        <v>465</v>
      </c>
      <c r="X528">
        <v>1073.4</v>
      </c>
      <c r="Y528" t="s">
        <v>26650</v>
      </c>
      <c r="Z528" t="s">
        <v>26663</v>
      </c>
      <c r="AA528" t="s">
        <v>26683</v>
      </c>
      <c r="AB528" t="s">
        <v>27197</v>
      </c>
      <c r="AC528" t="s">
        <v>19045</v>
      </c>
      <c r="AE528">
        <v>47</v>
      </c>
      <c r="AF528" t="s">
        <v>45541</v>
      </c>
      <c r="AG528" t="s">
        <v>19330</v>
      </c>
      <c r="AH528">
        <v>28</v>
      </c>
      <c r="AI528">
        <v>4</v>
      </c>
      <c r="AJ528">
        <v>0</v>
      </c>
      <c r="AK528">
        <v>0</v>
      </c>
      <c r="AN528" t="s">
        <v>45581</v>
      </c>
      <c r="AO528">
        <v>0</v>
      </c>
      <c r="AP528" t="s">
        <v>45653</v>
      </c>
      <c r="AU528">
        <v>0.2</v>
      </c>
      <c r="AV528" t="s">
        <v>410</v>
      </c>
      <c r="AW528" t="s">
        <v>336</v>
      </c>
    </row>
    <row r="529" spans="1:50">
      <c r="A529" s="1">
        <f>HYPERLINK("https://lsnyc.legalserver.org/matter/dynamic-profile/view/1871817","18-1871817")</f>
        <v>0</v>
      </c>
      <c r="B529" t="s">
        <v>52</v>
      </c>
      <c r="C529" t="s">
        <v>340</v>
      </c>
      <c r="D529" t="s">
        <v>431</v>
      </c>
      <c r="F529" t="s">
        <v>1277</v>
      </c>
      <c r="G529" t="s">
        <v>5461</v>
      </c>
      <c r="H529" t="s">
        <v>10108</v>
      </c>
      <c r="I529" t="s">
        <v>17277</v>
      </c>
      <c r="J529" t="s">
        <v>18892</v>
      </c>
      <c r="K529">
        <v>10456</v>
      </c>
      <c r="L529" t="s">
        <v>18958</v>
      </c>
      <c r="M529" t="s">
        <v>18958</v>
      </c>
      <c r="N529" t="s">
        <v>19373</v>
      </c>
      <c r="O529" t="s">
        <v>26524</v>
      </c>
      <c r="P529" t="s">
        <v>26560</v>
      </c>
      <c r="R529" t="s">
        <v>26577</v>
      </c>
      <c r="S529" t="s">
        <v>18959</v>
      </c>
      <c r="U529" t="s">
        <v>26604</v>
      </c>
      <c r="V529" t="s">
        <v>26610</v>
      </c>
      <c r="W529" t="s">
        <v>465</v>
      </c>
      <c r="X529">
        <v>1048.42</v>
      </c>
      <c r="Y529" t="s">
        <v>26650</v>
      </c>
      <c r="Z529" t="s">
        <v>26673</v>
      </c>
      <c r="AB529" t="s">
        <v>27198</v>
      </c>
      <c r="AD529" t="s">
        <v>37273</v>
      </c>
      <c r="AE529">
        <v>49</v>
      </c>
      <c r="AF529" t="s">
        <v>45541</v>
      </c>
      <c r="AG529" t="s">
        <v>19330</v>
      </c>
      <c r="AH529">
        <v>18</v>
      </c>
      <c r="AI529">
        <v>2</v>
      </c>
      <c r="AJ529">
        <v>3</v>
      </c>
      <c r="AK529">
        <v>160.11</v>
      </c>
      <c r="AN529" t="s">
        <v>7439</v>
      </c>
      <c r="AO529">
        <v>47103</v>
      </c>
      <c r="AU529">
        <v>22.35</v>
      </c>
      <c r="AV529" t="s">
        <v>773</v>
      </c>
      <c r="AW529" t="s">
        <v>46861</v>
      </c>
    </row>
    <row r="530" spans="1:50">
      <c r="A530" s="1">
        <f>HYPERLINK("https://lsnyc.legalserver.org/matter/dynamic-profile/view/1872413","18-1872413")</f>
        <v>0</v>
      </c>
      <c r="B530" t="s">
        <v>136</v>
      </c>
      <c r="C530" t="s">
        <v>340</v>
      </c>
      <c r="D530" t="s">
        <v>439</v>
      </c>
      <c r="F530" t="s">
        <v>1278</v>
      </c>
      <c r="G530" t="s">
        <v>5462</v>
      </c>
      <c r="H530" t="s">
        <v>10109</v>
      </c>
      <c r="I530" t="s">
        <v>17360</v>
      </c>
      <c r="J530" t="s">
        <v>18892</v>
      </c>
      <c r="K530">
        <v>10457</v>
      </c>
      <c r="L530" t="s">
        <v>18958</v>
      </c>
      <c r="M530" t="s">
        <v>18958</v>
      </c>
      <c r="N530" t="s">
        <v>19374</v>
      </c>
      <c r="O530" t="s">
        <v>26523</v>
      </c>
      <c r="P530" t="s">
        <v>26560</v>
      </c>
      <c r="R530" t="s">
        <v>26579</v>
      </c>
      <c r="U530" t="s">
        <v>26604</v>
      </c>
      <c r="V530" t="s">
        <v>26610</v>
      </c>
      <c r="W530" t="s">
        <v>465</v>
      </c>
      <c r="X530">
        <v>1700</v>
      </c>
      <c r="Y530" t="s">
        <v>26650</v>
      </c>
      <c r="Z530" t="s">
        <v>26662</v>
      </c>
      <c r="AB530" t="s">
        <v>27199</v>
      </c>
      <c r="AD530" t="s">
        <v>37274</v>
      </c>
      <c r="AE530">
        <v>0</v>
      </c>
      <c r="AF530" t="s">
        <v>45541</v>
      </c>
      <c r="AG530" t="s">
        <v>19330</v>
      </c>
      <c r="AH530">
        <v>1</v>
      </c>
      <c r="AI530">
        <v>2</v>
      </c>
      <c r="AJ530">
        <v>0</v>
      </c>
      <c r="AK530">
        <v>164.26</v>
      </c>
      <c r="AN530" t="s">
        <v>45581</v>
      </c>
      <c r="AO530">
        <v>27037.92</v>
      </c>
      <c r="AP530" t="s">
        <v>45654</v>
      </c>
      <c r="AQ530" t="s">
        <v>46362</v>
      </c>
      <c r="AR530" t="s">
        <v>46379</v>
      </c>
      <c r="AS530" t="s">
        <v>46499</v>
      </c>
      <c r="AT530" t="s">
        <v>46518</v>
      </c>
      <c r="AU530">
        <v>11</v>
      </c>
      <c r="AV530" t="s">
        <v>651</v>
      </c>
      <c r="AW530" t="s">
        <v>46848</v>
      </c>
    </row>
    <row r="531" spans="1:50">
      <c r="A531" s="1">
        <f>HYPERLINK("https://lsnyc.legalserver.org/matter/dynamic-profile/view/1873442","18-1873442")</f>
        <v>0</v>
      </c>
      <c r="B531" t="s">
        <v>143</v>
      </c>
      <c r="C531" t="s">
        <v>341</v>
      </c>
      <c r="D531" t="s">
        <v>465</v>
      </c>
      <c r="E531" t="s">
        <v>412</v>
      </c>
      <c r="F531" t="s">
        <v>974</v>
      </c>
      <c r="G531" t="s">
        <v>5463</v>
      </c>
      <c r="H531" t="s">
        <v>10110</v>
      </c>
      <c r="I531" t="s">
        <v>17316</v>
      </c>
      <c r="J531" t="s">
        <v>18892</v>
      </c>
      <c r="K531">
        <v>10457</v>
      </c>
      <c r="L531" t="s">
        <v>18958</v>
      </c>
      <c r="M531" t="s">
        <v>18958</v>
      </c>
      <c r="N531" t="s">
        <v>19375</v>
      </c>
      <c r="O531" t="s">
        <v>26523</v>
      </c>
      <c r="P531" t="s">
        <v>26560</v>
      </c>
      <c r="Q531" t="s">
        <v>26568</v>
      </c>
      <c r="R531" t="s">
        <v>26579</v>
      </c>
      <c r="S531" t="s">
        <v>18959</v>
      </c>
      <c r="U531" t="s">
        <v>26604</v>
      </c>
      <c r="V531" t="s">
        <v>26610</v>
      </c>
      <c r="W531" t="s">
        <v>465</v>
      </c>
      <c r="X531">
        <v>1518.75</v>
      </c>
      <c r="Y531" t="s">
        <v>26650</v>
      </c>
      <c r="Z531" t="s">
        <v>26662</v>
      </c>
      <c r="AA531" t="s">
        <v>26678</v>
      </c>
      <c r="AB531" t="s">
        <v>27200</v>
      </c>
      <c r="AC531" t="s">
        <v>34652</v>
      </c>
      <c r="AD531" t="s">
        <v>37275</v>
      </c>
      <c r="AE531">
        <v>38</v>
      </c>
      <c r="AF531" t="s">
        <v>45541</v>
      </c>
      <c r="AG531" t="s">
        <v>19330</v>
      </c>
      <c r="AH531">
        <v>2</v>
      </c>
      <c r="AI531">
        <v>2</v>
      </c>
      <c r="AJ531">
        <v>0</v>
      </c>
      <c r="AK531">
        <v>89.73999999999999</v>
      </c>
      <c r="AN531" t="s">
        <v>7439</v>
      </c>
      <c r="AO531">
        <v>14772</v>
      </c>
      <c r="AQ531" t="s">
        <v>46362</v>
      </c>
      <c r="AR531" t="s">
        <v>46381</v>
      </c>
      <c r="AS531" t="s">
        <v>46499</v>
      </c>
      <c r="AT531" t="s">
        <v>46534</v>
      </c>
      <c r="AU531">
        <v>16.1</v>
      </c>
      <c r="AV531" t="s">
        <v>529</v>
      </c>
      <c r="AW531" t="s">
        <v>46836</v>
      </c>
    </row>
    <row r="532" spans="1:50">
      <c r="A532" s="1">
        <f>HYPERLINK("https://lsnyc.legalserver.org/matter/dynamic-profile/view/1874223","18-1874223")</f>
        <v>0</v>
      </c>
      <c r="B532" t="s">
        <v>101</v>
      </c>
      <c r="C532" t="s">
        <v>340</v>
      </c>
      <c r="D532" t="s">
        <v>465</v>
      </c>
      <c r="F532" t="s">
        <v>1228</v>
      </c>
      <c r="G532" t="s">
        <v>5464</v>
      </c>
      <c r="H532" t="s">
        <v>10111</v>
      </c>
      <c r="I532" t="s">
        <v>17331</v>
      </c>
      <c r="J532" t="s">
        <v>18894</v>
      </c>
      <c r="K532">
        <v>11218</v>
      </c>
      <c r="L532" t="s">
        <v>18958</v>
      </c>
      <c r="M532" t="s">
        <v>18960</v>
      </c>
      <c r="N532" t="s">
        <v>19376</v>
      </c>
      <c r="O532" t="s">
        <v>26523</v>
      </c>
      <c r="P532" t="s">
        <v>26560</v>
      </c>
      <c r="R532" t="s">
        <v>26586</v>
      </c>
      <c r="S532" t="s">
        <v>18959</v>
      </c>
      <c r="U532" t="s">
        <v>26604</v>
      </c>
      <c r="W532" t="s">
        <v>465</v>
      </c>
      <c r="X532">
        <v>915</v>
      </c>
      <c r="Y532" t="s">
        <v>26652</v>
      </c>
      <c r="Z532" t="s">
        <v>26660</v>
      </c>
      <c r="AB532" t="s">
        <v>27201</v>
      </c>
      <c r="AD532" t="s">
        <v>37276</v>
      </c>
      <c r="AE532">
        <v>6</v>
      </c>
      <c r="AF532" t="s">
        <v>45541</v>
      </c>
      <c r="AH532">
        <v>20</v>
      </c>
      <c r="AI532">
        <v>1</v>
      </c>
      <c r="AJ532">
        <v>1</v>
      </c>
      <c r="AK532">
        <v>145.81</v>
      </c>
      <c r="AN532" t="s">
        <v>7439</v>
      </c>
      <c r="AO532">
        <v>24000</v>
      </c>
      <c r="AU532">
        <v>31.5</v>
      </c>
      <c r="AV532" t="s">
        <v>831</v>
      </c>
      <c r="AW532" t="s">
        <v>46851</v>
      </c>
    </row>
    <row r="533" spans="1:50">
      <c r="A533" s="1">
        <f>HYPERLINK("https://lsnyc.legalserver.org/matter/dynamic-profile/view/1873537","18-1873537")</f>
        <v>0</v>
      </c>
      <c r="B533" t="s">
        <v>163</v>
      </c>
      <c r="C533" t="s">
        <v>341</v>
      </c>
      <c r="D533" t="s">
        <v>447</v>
      </c>
      <c r="E533" t="s">
        <v>702</v>
      </c>
      <c r="F533" t="s">
        <v>1279</v>
      </c>
      <c r="G533" t="s">
        <v>2514</v>
      </c>
      <c r="H533" t="s">
        <v>10112</v>
      </c>
      <c r="J533" t="s">
        <v>18901</v>
      </c>
      <c r="K533">
        <v>11432</v>
      </c>
      <c r="L533" t="s">
        <v>18958</v>
      </c>
      <c r="M533" t="s">
        <v>18958</v>
      </c>
      <c r="N533" t="s">
        <v>19377</v>
      </c>
      <c r="O533" t="s">
        <v>26523</v>
      </c>
      <c r="P533" t="s">
        <v>26560</v>
      </c>
      <c r="Q533" t="s">
        <v>26573</v>
      </c>
      <c r="R533" t="s">
        <v>26584</v>
      </c>
      <c r="S533" t="s">
        <v>18959</v>
      </c>
      <c r="U533" t="s">
        <v>26604</v>
      </c>
      <c r="V533" t="s">
        <v>26610</v>
      </c>
      <c r="W533" t="s">
        <v>465</v>
      </c>
      <c r="X533">
        <v>1268</v>
      </c>
      <c r="Y533" t="s">
        <v>26653</v>
      </c>
      <c r="Z533" t="s">
        <v>26661</v>
      </c>
      <c r="AA533" t="s">
        <v>26678</v>
      </c>
      <c r="AB533" t="s">
        <v>27202</v>
      </c>
      <c r="AC533" t="s">
        <v>34653</v>
      </c>
      <c r="AD533" t="s">
        <v>37277</v>
      </c>
      <c r="AE533">
        <v>72</v>
      </c>
      <c r="AF533" t="s">
        <v>45541</v>
      </c>
      <c r="AG533" t="s">
        <v>19330</v>
      </c>
      <c r="AH533">
        <v>21</v>
      </c>
      <c r="AI533">
        <v>2</v>
      </c>
      <c r="AJ533">
        <v>0</v>
      </c>
      <c r="AK533">
        <v>56.21</v>
      </c>
      <c r="AN533" t="s">
        <v>45585</v>
      </c>
      <c r="AO533">
        <v>9252</v>
      </c>
      <c r="AQ533" t="s">
        <v>46359</v>
      </c>
      <c r="AR533" t="s">
        <v>46410</v>
      </c>
      <c r="AS533" t="s">
        <v>46499</v>
      </c>
      <c r="AT533" t="s">
        <v>46506</v>
      </c>
      <c r="AU533">
        <v>21.35</v>
      </c>
      <c r="AV533" t="s">
        <v>735</v>
      </c>
      <c r="AW533" t="s">
        <v>161</v>
      </c>
    </row>
    <row r="534" spans="1:50">
      <c r="A534" s="1">
        <f>HYPERLINK("https://lsnyc.legalserver.org/matter/dynamic-profile/view/1873909","18-1873909")</f>
        <v>0</v>
      </c>
      <c r="B534" t="s">
        <v>161</v>
      </c>
      <c r="C534" t="s">
        <v>341</v>
      </c>
      <c r="D534" t="s">
        <v>469</v>
      </c>
      <c r="E534" t="s">
        <v>510</v>
      </c>
      <c r="F534" t="s">
        <v>1280</v>
      </c>
      <c r="G534" t="s">
        <v>5465</v>
      </c>
      <c r="H534" t="s">
        <v>10113</v>
      </c>
      <c r="I534" t="s">
        <v>17427</v>
      </c>
      <c r="J534" t="s">
        <v>18916</v>
      </c>
      <c r="K534">
        <v>11693</v>
      </c>
      <c r="L534" t="s">
        <v>18958</v>
      </c>
      <c r="M534" t="s">
        <v>18958</v>
      </c>
      <c r="N534" t="s">
        <v>19378</v>
      </c>
      <c r="O534" t="s">
        <v>26526</v>
      </c>
      <c r="P534" t="s">
        <v>26564</v>
      </c>
      <c r="Q534" t="s">
        <v>26570</v>
      </c>
      <c r="R534" t="s">
        <v>26578</v>
      </c>
      <c r="S534" t="s">
        <v>18959</v>
      </c>
      <c r="U534" t="s">
        <v>26604</v>
      </c>
      <c r="V534" t="s">
        <v>26610</v>
      </c>
      <c r="W534" t="s">
        <v>465</v>
      </c>
      <c r="X534">
        <v>1515</v>
      </c>
      <c r="Y534" t="s">
        <v>26653</v>
      </c>
      <c r="Z534" t="s">
        <v>26664</v>
      </c>
      <c r="AA534" t="s">
        <v>26683</v>
      </c>
      <c r="AB534" t="s">
        <v>27203</v>
      </c>
      <c r="AC534" t="s">
        <v>34654</v>
      </c>
      <c r="AD534" t="s">
        <v>37278</v>
      </c>
      <c r="AE534">
        <v>2</v>
      </c>
      <c r="AF534" t="s">
        <v>45547</v>
      </c>
      <c r="AG534" t="s">
        <v>45562</v>
      </c>
      <c r="AH534">
        <v>3</v>
      </c>
      <c r="AI534">
        <v>1</v>
      </c>
      <c r="AJ534">
        <v>2</v>
      </c>
      <c r="AK534">
        <v>0</v>
      </c>
      <c r="AN534" t="s">
        <v>7439</v>
      </c>
      <c r="AO534">
        <v>0</v>
      </c>
      <c r="AU534">
        <v>1.85</v>
      </c>
      <c r="AV534" t="s">
        <v>510</v>
      </c>
      <c r="AW534" t="s">
        <v>161</v>
      </c>
    </row>
    <row r="535" spans="1:50">
      <c r="A535" s="1">
        <f>HYPERLINK("https://lsnyc.legalserver.org/matter/dynamic-profile/view/1841904","17-1841904")</f>
        <v>0</v>
      </c>
      <c r="B535" t="s">
        <v>52</v>
      </c>
      <c r="C535" t="s">
        <v>341</v>
      </c>
      <c r="D535" t="s">
        <v>470</v>
      </c>
      <c r="E535" t="s">
        <v>428</v>
      </c>
      <c r="F535" t="s">
        <v>1281</v>
      </c>
      <c r="G535" t="s">
        <v>5265</v>
      </c>
      <c r="H535" t="s">
        <v>10114</v>
      </c>
      <c r="I535" t="s">
        <v>17424</v>
      </c>
      <c r="J535" t="s">
        <v>18892</v>
      </c>
      <c r="K535">
        <v>10458</v>
      </c>
      <c r="L535" t="s">
        <v>18958</v>
      </c>
      <c r="M535" t="s">
        <v>18958</v>
      </c>
      <c r="N535" t="s">
        <v>19379</v>
      </c>
      <c r="O535" t="s">
        <v>26523</v>
      </c>
      <c r="P535" t="s">
        <v>26560</v>
      </c>
      <c r="Q535" t="s">
        <v>26568</v>
      </c>
      <c r="R535" t="s">
        <v>26577</v>
      </c>
      <c r="S535" t="s">
        <v>18959</v>
      </c>
      <c r="U535" t="s">
        <v>26604</v>
      </c>
      <c r="V535" t="s">
        <v>26612</v>
      </c>
      <c r="W535" t="s">
        <v>447</v>
      </c>
      <c r="X535">
        <v>1022.83</v>
      </c>
      <c r="Y535" t="s">
        <v>26650</v>
      </c>
      <c r="Z535" t="s">
        <v>26662</v>
      </c>
      <c r="AA535" t="s">
        <v>26678</v>
      </c>
      <c r="AB535" t="s">
        <v>27204</v>
      </c>
      <c r="AC535" t="s">
        <v>34655</v>
      </c>
      <c r="AD535" t="s">
        <v>37279</v>
      </c>
      <c r="AE535">
        <v>49</v>
      </c>
      <c r="AF535" t="s">
        <v>45541</v>
      </c>
      <c r="AG535" t="s">
        <v>19330</v>
      </c>
      <c r="AH535">
        <v>20</v>
      </c>
      <c r="AI535">
        <v>1</v>
      </c>
      <c r="AJ535">
        <v>1</v>
      </c>
      <c r="AK535">
        <v>53.35</v>
      </c>
      <c r="AN535" t="s">
        <v>7439</v>
      </c>
      <c r="AO535">
        <v>8664</v>
      </c>
      <c r="AP535" t="s">
        <v>45621</v>
      </c>
      <c r="AQ535" t="s">
        <v>46364</v>
      </c>
      <c r="AR535" t="s">
        <v>46408</v>
      </c>
      <c r="AS535" t="s">
        <v>46499</v>
      </c>
      <c r="AT535" t="s">
        <v>46627</v>
      </c>
      <c r="AU535">
        <v>44.55</v>
      </c>
      <c r="AV535" t="s">
        <v>579</v>
      </c>
      <c r="AW535" t="s">
        <v>46839</v>
      </c>
    </row>
    <row r="536" spans="1:50">
      <c r="A536" s="1">
        <f>HYPERLINK("https://lsnyc.legalserver.org/matter/dynamic-profile/view/1842015","17-1842015")</f>
        <v>0</v>
      </c>
      <c r="B536" t="s">
        <v>65</v>
      </c>
      <c r="C536" t="s">
        <v>340</v>
      </c>
      <c r="D536" t="s">
        <v>470</v>
      </c>
      <c r="F536" t="s">
        <v>1282</v>
      </c>
      <c r="G536" t="s">
        <v>5466</v>
      </c>
      <c r="H536" t="s">
        <v>10115</v>
      </c>
      <c r="I536" t="s">
        <v>17380</v>
      </c>
      <c r="J536" t="s">
        <v>18892</v>
      </c>
      <c r="K536">
        <v>10456</v>
      </c>
      <c r="L536" t="s">
        <v>18958</v>
      </c>
      <c r="M536" t="s">
        <v>18960</v>
      </c>
      <c r="N536" t="s">
        <v>19380</v>
      </c>
      <c r="O536" t="s">
        <v>26524</v>
      </c>
      <c r="P536" t="s">
        <v>26560</v>
      </c>
      <c r="R536" t="s">
        <v>26577</v>
      </c>
      <c r="S536" t="s">
        <v>18959</v>
      </c>
      <c r="U536" t="s">
        <v>26604</v>
      </c>
      <c r="V536" t="s">
        <v>26610</v>
      </c>
      <c r="W536" t="s">
        <v>447</v>
      </c>
      <c r="X536">
        <v>805</v>
      </c>
      <c r="Y536" t="s">
        <v>26650</v>
      </c>
      <c r="Z536" t="s">
        <v>26656</v>
      </c>
      <c r="AB536" t="s">
        <v>27205</v>
      </c>
      <c r="AC536" t="s">
        <v>34656</v>
      </c>
      <c r="AD536" t="s">
        <v>37280</v>
      </c>
      <c r="AE536">
        <v>0</v>
      </c>
      <c r="AF536" t="s">
        <v>45541</v>
      </c>
      <c r="AG536" t="s">
        <v>19330</v>
      </c>
      <c r="AH536">
        <v>4</v>
      </c>
      <c r="AI536">
        <v>1</v>
      </c>
      <c r="AJ536">
        <v>0</v>
      </c>
      <c r="AK536">
        <v>73.13</v>
      </c>
      <c r="AN536" t="s">
        <v>7439</v>
      </c>
      <c r="AO536">
        <v>8820</v>
      </c>
      <c r="AP536" t="s">
        <v>45620</v>
      </c>
      <c r="AU536">
        <v>139.45</v>
      </c>
      <c r="AV536" t="s">
        <v>720</v>
      </c>
      <c r="AW536" t="s">
        <v>284</v>
      </c>
      <c r="AX536" t="s">
        <v>46898</v>
      </c>
    </row>
    <row r="537" spans="1:50">
      <c r="A537" s="1">
        <f>HYPERLINK("https://lsnyc.legalserver.org/matter/dynamic-profile/view/1871914","18-1871914")</f>
        <v>0</v>
      </c>
      <c r="B537" t="s">
        <v>67</v>
      </c>
      <c r="C537" t="s">
        <v>340</v>
      </c>
      <c r="D537" t="s">
        <v>434</v>
      </c>
      <c r="F537" t="s">
        <v>1283</v>
      </c>
      <c r="G537" t="s">
        <v>5467</v>
      </c>
      <c r="H537" t="s">
        <v>10116</v>
      </c>
      <c r="I537" t="s">
        <v>17309</v>
      </c>
      <c r="J537" t="s">
        <v>18892</v>
      </c>
      <c r="K537">
        <v>10459</v>
      </c>
      <c r="L537" t="s">
        <v>18958</v>
      </c>
      <c r="M537" t="s">
        <v>18958</v>
      </c>
      <c r="N537" t="s">
        <v>19381</v>
      </c>
      <c r="O537" t="s">
        <v>26524</v>
      </c>
      <c r="P537" t="s">
        <v>26560</v>
      </c>
      <c r="R537" t="s">
        <v>26578</v>
      </c>
      <c r="S537" t="s">
        <v>18959</v>
      </c>
      <c r="U537" t="s">
        <v>26604</v>
      </c>
      <c r="V537" t="s">
        <v>26610</v>
      </c>
      <c r="W537" t="s">
        <v>447</v>
      </c>
      <c r="X537">
        <v>1451</v>
      </c>
      <c r="Y537" t="s">
        <v>26650</v>
      </c>
      <c r="Z537" t="s">
        <v>26656</v>
      </c>
      <c r="AB537" t="s">
        <v>27206</v>
      </c>
      <c r="AC537" t="s">
        <v>34657</v>
      </c>
      <c r="AD537" t="s">
        <v>37281</v>
      </c>
      <c r="AE537">
        <v>39</v>
      </c>
      <c r="AF537" t="s">
        <v>45552</v>
      </c>
      <c r="AG537" t="s">
        <v>45563</v>
      </c>
      <c r="AH537">
        <v>14</v>
      </c>
      <c r="AI537">
        <v>2</v>
      </c>
      <c r="AJ537">
        <v>0</v>
      </c>
      <c r="AK537">
        <v>58.32</v>
      </c>
      <c r="AN537" t="s">
        <v>45581</v>
      </c>
      <c r="AO537">
        <v>9600</v>
      </c>
      <c r="AU537">
        <v>35.4</v>
      </c>
      <c r="AV537" t="s">
        <v>704</v>
      </c>
      <c r="AW537" t="s">
        <v>336</v>
      </c>
    </row>
    <row r="538" spans="1:50">
      <c r="A538" s="1">
        <f>HYPERLINK("https://lsnyc.legalserver.org/matter/dynamic-profile/view/1873125","18-1873125")</f>
        <v>0</v>
      </c>
      <c r="B538" t="s">
        <v>126</v>
      </c>
      <c r="C538" t="s">
        <v>340</v>
      </c>
      <c r="D538" t="s">
        <v>440</v>
      </c>
      <c r="F538" t="s">
        <v>1284</v>
      </c>
      <c r="G538" t="s">
        <v>994</v>
      </c>
      <c r="H538" t="s">
        <v>10117</v>
      </c>
      <c r="I538" t="s">
        <v>17464</v>
      </c>
      <c r="J538" t="s">
        <v>18894</v>
      </c>
      <c r="K538">
        <v>11233</v>
      </c>
      <c r="L538" t="s">
        <v>18958</v>
      </c>
      <c r="M538" t="s">
        <v>18958</v>
      </c>
      <c r="N538" t="s">
        <v>19382</v>
      </c>
      <c r="O538" t="s">
        <v>26524</v>
      </c>
      <c r="P538" t="s">
        <v>26560</v>
      </c>
      <c r="R538" t="s">
        <v>26578</v>
      </c>
      <c r="S538" t="s">
        <v>18959</v>
      </c>
      <c r="U538" t="s">
        <v>26604</v>
      </c>
      <c r="W538" t="s">
        <v>447</v>
      </c>
      <c r="X538">
        <v>1029.2</v>
      </c>
      <c r="Y538" t="s">
        <v>26652</v>
      </c>
      <c r="Z538" t="s">
        <v>26661</v>
      </c>
      <c r="AB538" t="s">
        <v>27207</v>
      </c>
      <c r="AD538" t="s">
        <v>37282</v>
      </c>
      <c r="AE538">
        <v>151</v>
      </c>
      <c r="AF538" t="s">
        <v>45541</v>
      </c>
      <c r="AG538" t="s">
        <v>19330</v>
      </c>
      <c r="AH538">
        <v>10</v>
      </c>
      <c r="AI538">
        <v>1</v>
      </c>
      <c r="AJ538">
        <v>1</v>
      </c>
      <c r="AK538">
        <v>243.01</v>
      </c>
      <c r="AL538" t="s">
        <v>415</v>
      </c>
      <c r="AM538" t="s">
        <v>45575</v>
      </c>
      <c r="AN538" t="s">
        <v>7439</v>
      </c>
      <c r="AO538">
        <v>40000</v>
      </c>
      <c r="AU538">
        <v>50.5</v>
      </c>
      <c r="AV538" t="s">
        <v>709</v>
      </c>
      <c r="AW538" t="s">
        <v>279</v>
      </c>
    </row>
    <row r="539" spans="1:50">
      <c r="A539" s="1">
        <f>HYPERLINK("https://lsnyc.legalserver.org/matter/dynamic-profile/view/1873135","18-1873135")</f>
        <v>0</v>
      </c>
      <c r="B539" t="s">
        <v>54</v>
      </c>
      <c r="C539" t="s">
        <v>341</v>
      </c>
      <c r="D539" t="s">
        <v>410</v>
      </c>
      <c r="E539" t="s">
        <v>576</v>
      </c>
      <c r="F539" t="s">
        <v>1285</v>
      </c>
      <c r="G539" t="s">
        <v>5208</v>
      </c>
      <c r="H539" t="s">
        <v>10118</v>
      </c>
      <c r="I539" t="s">
        <v>17273</v>
      </c>
      <c r="J539" t="s">
        <v>18892</v>
      </c>
      <c r="K539">
        <v>10466</v>
      </c>
      <c r="L539" t="s">
        <v>18958</v>
      </c>
      <c r="M539" t="s">
        <v>18960</v>
      </c>
      <c r="N539" t="s">
        <v>19383</v>
      </c>
      <c r="O539" t="s">
        <v>26523</v>
      </c>
      <c r="P539" t="s">
        <v>26560</v>
      </c>
      <c r="Q539" t="s">
        <v>26568</v>
      </c>
      <c r="R539" t="s">
        <v>26577</v>
      </c>
      <c r="U539" t="s">
        <v>26604</v>
      </c>
      <c r="V539" t="s">
        <v>26609</v>
      </c>
      <c r="W539" t="s">
        <v>447</v>
      </c>
      <c r="X539">
        <v>1050</v>
      </c>
      <c r="Y539" t="s">
        <v>26650</v>
      </c>
      <c r="Z539" t="s">
        <v>26659</v>
      </c>
      <c r="AA539" t="s">
        <v>26678</v>
      </c>
      <c r="AB539" t="s">
        <v>27208</v>
      </c>
      <c r="AC539" t="s">
        <v>34658</v>
      </c>
      <c r="AD539" t="s">
        <v>37283</v>
      </c>
      <c r="AE539">
        <v>30</v>
      </c>
      <c r="AF539" t="s">
        <v>45541</v>
      </c>
      <c r="AG539" t="s">
        <v>45557</v>
      </c>
      <c r="AH539">
        <v>10</v>
      </c>
      <c r="AI539">
        <v>1</v>
      </c>
      <c r="AJ539">
        <v>2</v>
      </c>
      <c r="AK539">
        <v>19.63</v>
      </c>
      <c r="AN539" t="s">
        <v>45581</v>
      </c>
      <c r="AO539">
        <v>4080</v>
      </c>
      <c r="AQ539" t="s">
        <v>46362</v>
      </c>
      <c r="AR539" t="s">
        <v>46380</v>
      </c>
      <c r="AS539" t="s">
        <v>46499</v>
      </c>
      <c r="AT539" t="s">
        <v>46579</v>
      </c>
      <c r="AU539">
        <v>1.75</v>
      </c>
      <c r="AV539" t="s">
        <v>422</v>
      </c>
      <c r="AW539" t="s">
        <v>336</v>
      </c>
      <c r="AX539" t="s">
        <v>46898</v>
      </c>
    </row>
    <row r="540" spans="1:50">
      <c r="A540" s="1">
        <f>HYPERLINK("https://lsnyc.legalserver.org/matter/dynamic-profile/view/1873566","18-1873566")</f>
        <v>0</v>
      </c>
      <c r="B540" t="s">
        <v>163</v>
      </c>
      <c r="C540" t="s">
        <v>341</v>
      </c>
      <c r="D540" t="s">
        <v>447</v>
      </c>
      <c r="E540" t="s">
        <v>512</v>
      </c>
      <c r="F540" t="s">
        <v>1286</v>
      </c>
      <c r="G540" t="s">
        <v>5468</v>
      </c>
      <c r="H540" t="s">
        <v>10119</v>
      </c>
      <c r="I540" t="s">
        <v>17465</v>
      </c>
      <c r="J540" t="s">
        <v>18900</v>
      </c>
      <c r="K540">
        <v>11355</v>
      </c>
      <c r="L540" t="s">
        <v>18958</v>
      </c>
      <c r="M540" t="s">
        <v>18958</v>
      </c>
      <c r="N540" t="s">
        <v>19384</v>
      </c>
      <c r="O540" t="s">
        <v>26533</v>
      </c>
      <c r="P540" t="s">
        <v>26560</v>
      </c>
      <c r="Q540" t="s">
        <v>26568</v>
      </c>
      <c r="R540" t="s">
        <v>26584</v>
      </c>
      <c r="S540" t="s">
        <v>18959</v>
      </c>
      <c r="U540" t="s">
        <v>26604</v>
      </c>
      <c r="V540" t="s">
        <v>26610</v>
      </c>
      <c r="W540" t="s">
        <v>447</v>
      </c>
      <c r="X540">
        <v>2600</v>
      </c>
      <c r="Y540" t="s">
        <v>26653</v>
      </c>
      <c r="Z540" t="s">
        <v>26670</v>
      </c>
      <c r="AA540" t="s">
        <v>26686</v>
      </c>
      <c r="AB540" t="s">
        <v>27209</v>
      </c>
      <c r="AC540" t="s">
        <v>19330</v>
      </c>
      <c r="AD540" t="s">
        <v>37284</v>
      </c>
      <c r="AE540">
        <v>99</v>
      </c>
      <c r="AF540" t="s">
        <v>20460</v>
      </c>
      <c r="AG540" t="s">
        <v>19330</v>
      </c>
      <c r="AH540">
        <v>1</v>
      </c>
      <c r="AI540">
        <v>1</v>
      </c>
      <c r="AJ540">
        <v>0</v>
      </c>
      <c r="AK540">
        <v>164.74</v>
      </c>
      <c r="AN540" t="s">
        <v>45594</v>
      </c>
      <c r="AO540">
        <v>20000</v>
      </c>
      <c r="AQ540" t="s">
        <v>46365</v>
      </c>
      <c r="AR540" t="s">
        <v>46379</v>
      </c>
      <c r="AS540" t="s">
        <v>46499</v>
      </c>
      <c r="AT540" t="s">
        <v>46628</v>
      </c>
      <c r="AU540">
        <v>6.75</v>
      </c>
      <c r="AV540" t="s">
        <v>512</v>
      </c>
      <c r="AW540" t="s">
        <v>161</v>
      </c>
    </row>
    <row r="541" spans="1:50">
      <c r="A541" s="1">
        <f>HYPERLINK("https://lsnyc.legalserver.org/matter/dynamic-profile/view/1873474","18-1873474")</f>
        <v>0</v>
      </c>
      <c r="B541" t="s">
        <v>58</v>
      </c>
      <c r="C541" t="s">
        <v>341</v>
      </c>
      <c r="D541" t="s">
        <v>447</v>
      </c>
      <c r="E541" t="s">
        <v>772</v>
      </c>
      <c r="F541" t="s">
        <v>1287</v>
      </c>
      <c r="G541" t="s">
        <v>5469</v>
      </c>
      <c r="H541" t="s">
        <v>10120</v>
      </c>
      <c r="I541" t="s">
        <v>17274</v>
      </c>
      <c r="J541" t="s">
        <v>18892</v>
      </c>
      <c r="K541">
        <v>10467</v>
      </c>
      <c r="L541" t="s">
        <v>18958</v>
      </c>
      <c r="M541" t="s">
        <v>18958</v>
      </c>
      <c r="N541" t="s">
        <v>19385</v>
      </c>
      <c r="O541" t="s">
        <v>26523</v>
      </c>
      <c r="P541" t="s">
        <v>26560</v>
      </c>
      <c r="Q541" t="s">
        <v>26568</v>
      </c>
      <c r="R541" t="s">
        <v>26579</v>
      </c>
      <c r="U541" t="s">
        <v>26604</v>
      </c>
      <c r="V541" t="s">
        <v>26612</v>
      </c>
      <c r="W541" t="s">
        <v>447</v>
      </c>
      <c r="X541">
        <v>1170</v>
      </c>
      <c r="Y541" t="s">
        <v>26650</v>
      </c>
      <c r="Z541" t="s">
        <v>26530</v>
      </c>
      <c r="AA541" t="s">
        <v>26678</v>
      </c>
      <c r="AB541" t="s">
        <v>27210</v>
      </c>
      <c r="AC541" t="s">
        <v>34659</v>
      </c>
      <c r="AD541" t="s">
        <v>37285</v>
      </c>
      <c r="AE541">
        <v>0</v>
      </c>
      <c r="AF541" t="s">
        <v>45541</v>
      </c>
      <c r="AG541" t="s">
        <v>19330</v>
      </c>
      <c r="AH541">
        <v>4</v>
      </c>
      <c r="AI541">
        <v>2</v>
      </c>
      <c r="AJ541">
        <v>0</v>
      </c>
      <c r="AK541">
        <v>154.8</v>
      </c>
      <c r="AN541" t="s">
        <v>7439</v>
      </c>
      <c r="AO541">
        <v>25480</v>
      </c>
      <c r="AP541" t="s">
        <v>45621</v>
      </c>
      <c r="AQ541" t="s">
        <v>46365</v>
      </c>
      <c r="AR541" t="s">
        <v>46379</v>
      </c>
      <c r="AS541" t="s">
        <v>46499</v>
      </c>
      <c r="AT541" t="s">
        <v>46511</v>
      </c>
      <c r="AU541">
        <v>9</v>
      </c>
      <c r="AV541" t="s">
        <v>772</v>
      </c>
      <c r="AW541" t="s">
        <v>284</v>
      </c>
    </row>
    <row r="542" spans="1:50">
      <c r="A542" s="1">
        <f>HYPERLINK("https://lsnyc.legalserver.org/matter/dynamic-profile/view/1873404","18-1873404")</f>
        <v>0</v>
      </c>
      <c r="B542" t="s">
        <v>109</v>
      </c>
      <c r="C542" t="s">
        <v>341</v>
      </c>
      <c r="D542" t="s">
        <v>447</v>
      </c>
      <c r="E542" t="s">
        <v>848</v>
      </c>
      <c r="F542" t="s">
        <v>1288</v>
      </c>
      <c r="G542" t="s">
        <v>5470</v>
      </c>
      <c r="H542" t="s">
        <v>10121</v>
      </c>
      <c r="I542" t="s">
        <v>17274</v>
      </c>
      <c r="J542" t="s">
        <v>18902</v>
      </c>
      <c r="K542">
        <v>10301</v>
      </c>
      <c r="L542" t="s">
        <v>18958</v>
      </c>
      <c r="M542" t="s">
        <v>18958</v>
      </c>
      <c r="N542" t="s">
        <v>19386</v>
      </c>
      <c r="O542" t="s">
        <v>26523</v>
      </c>
      <c r="P542" t="s">
        <v>26560</v>
      </c>
      <c r="Q542" t="s">
        <v>26568</v>
      </c>
      <c r="R542" t="s">
        <v>26578</v>
      </c>
      <c r="S542" t="s">
        <v>18959</v>
      </c>
      <c r="U542" t="s">
        <v>26604</v>
      </c>
      <c r="V542" t="s">
        <v>26610</v>
      </c>
      <c r="W542" t="s">
        <v>447</v>
      </c>
      <c r="X542">
        <v>1350</v>
      </c>
      <c r="Y542" t="s">
        <v>26654</v>
      </c>
      <c r="Z542" t="s">
        <v>26663</v>
      </c>
      <c r="AA542" t="s">
        <v>26678</v>
      </c>
      <c r="AB542" t="s">
        <v>27211</v>
      </c>
      <c r="AD542" t="s">
        <v>37286</v>
      </c>
      <c r="AE542">
        <v>80</v>
      </c>
      <c r="AF542" t="s">
        <v>45541</v>
      </c>
      <c r="AG542" t="s">
        <v>19330</v>
      </c>
      <c r="AH542">
        <v>-1</v>
      </c>
      <c r="AI542">
        <v>2</v>
      </c>
      <c r="AJ542">
        <v>1</v>
      </c>
      <c r="AK542">
        <v>40.04</v>
      </c>
      <c r="AN542" t="s">
        <v>7439</v>
      </c>
      <c r="AO542">
        <v>8320</v>
      </c>
      <c r="AQ542" t="s">
        <v>46365</v>
      </c>
      <c r="AR542" t="s">
        <v>26530</v>
      </c>
      <c r="AS542" t="s">
        <v>46499</v>
      </c>
      <c r="AT542" t="s">
        <v>46582</v>
      </c>
      <c r="AU542">
        <v>5.95</v>
      </c>
      <c r="AV542" t="s">
        <v>848</v>
      </c>
      <c r="AW542" t="s">
        <v>190</v>
      </c>
    </row>
    <row r="543" spans="1:50">
      <c r="A543" s="1">
        <f>HYPERLINK("https://lsnyc.legalserver.org/matter/dynamic-profile/view/1873594","18-1873594")</f>
        <v>0</v>
      </c>
      <c r="B543" t="s">
        <v>185</v>
      </c>
      <c r="C543" t="s">
        <v>341</v>
      </c>
      <c r="D543" t="s">
        <v>447</v>
      </c>
      <c r="E543" t="s">
        <v>712</v>
      </c>
      <c r="F543" t="s">
        <v>1028</v>
      </c>
      <c r="G543" t="s">
        <v>5471</v>
      </c>
      <c r="H543" t="s">
        <v>10122</v>
      </c>
      <c r="I543" t="s">
        <v>17306</v>
      </c>
      <c r="J543" t="s">
        <v>18902</v>
      </c>
      <c r="K543">
        <v>10304</v>
      </c>
      <c r="L543" t="s">
        <v>18958</v>
      </c>
      <c r="M543" t="s">
        <v>18958</v>
      </c>
      <c r="N543" t="s">
        <v>19037</v>
      </c>
      <c r="O543" t="s">
        <v>26525</v>
      </c>
      <c r="P543" t="s">
        <v>26561</v>
      </c>
      <c r="Q543" t="s">
        <v>26572</v>
      </c>
      <c r="R543" t="s">
        <v>26578</v>
      </c>
      <c r="S543" t="s">
        <v>18959</v>
      </c>
      <c r="U543" t="s">
        <v>26604</v>
      </c>
      <c r="V543" t="s">
        <v>26610</v>
      </c>
      <c r="W543" t="s">
        <v>447</v>
      </c>
      <c r="X543">
        <v>890</v>
      </c>
      <c r="Y543" t="s">
        <v>26654</v>
      </c>
      <c r="Z543" t="s">
        <v>26659</v>
      </c>
      <c r="AA543" t="s">
        <v>26686</v>
      </c>
      <c r="AB543" t="s">
        <v>27212</v>
      </c>
      <c r="AD543" t="s">
        <v>37287</v>
      </c>
      <c r="AE543">
        <v>104</v>
      </c>
      <c r="AF543" t="s">
        <v>45541</v>
      </c>
      <c r="AG543" t="s">
        <v>45556</v>
      </c>
      <c r="AH543">
        <v>30</v>
      </c>
      <c r="AI543">
        <v>1</v>
      </c>
      <c r="AJ543">
        <v>0</v>
      </c>
      <c r="AK543">
        <v>72.55</v>
      </c>
      <c r="AN543" t="s">
        <v>7439</v>
      </c>
      <c r="AO543">
        <v>8808</v>
      </c>
      <c r="AR543" t="s">
        <v>26530</v>
      </c>
      <c r="AS543" t="s">
        <v>46499</v>
      </c>
      <c r="AT543" t="s">
        <v>46550</v>
      </c>
      <c r="AU543">
        <v>7.8</v>
      </c>
      <c r="AV543" t="s">
        <v>712</v>
      </c>
      <c r="AW543" t="s">
        <v>185</v>
      </c>
    </row>
    <row r="544" spans="1:50">
      <c r="A544" s="1">
        <f>HYPERLINK("https://lsnyc.legalserver.org/matter/dynamic-profile/view/1873434","18-1873434")</f>
        <v>0</v>
      </c>
      <c r="B544" t="s">
        <v>71</v>
      </c>
      <c r="C544" t="s">
        <v>341</v>
      </c>
      <c r="D544" t="s">
        <v>447</v>
      </c>
      <c r="E544" t="s">
        <v>606</v>
      </c>
      <c r="F544" t="s">
        <v>1289</v>
      </c>
      <c r="G544" t="s">
        <v>5472</v>
      </c>
      <c r="H544" t="s">
        <v>10123</v>
      </c>
      <c r="I544" t="s">
        <v>17466</v>
      </c>
      <c r="J544" t="s">
        <v>18892</v>
      </c>
      <c r="K544">
        <v>10467</v>
      </c>
      <c r="L544" t="s">
        <v>18958</v>
      </c>
      <c r="M544" t="s">
        <v>18958</v>
      </c>
      <c r="N544" t="s">
        <v>19387</v>
      </c>
      <c r="O544" t="s">
        <v>26523</v>
      </c>
      <c r="P544" t="s">
        <v>26560</v>
      </c>
      <c r="Q544" t="s">
        <v>26568</v>
      </c>
      <c r="R544" t="s">
        <v>26579</v>
      </c>
      <c r="S544" t="s">
        <v>18959</v>
      </c>
      <c r="U544" t="s">
        <v>26604</v>
      </c>
      <c r="V544" t="s">
        <v>26614</v>
      </c>
      <c r="W544" t="s">
        <v>447</v>
      </c>
      <c r="X544">
        <v>1172.82</v>
      </c>
      <c r="Y544" t="s">
        <v>26650</v>
      </c>
      <c r="Z544" t="s">
        <v>26656</v>
      </c>
      <c r="AA544" t="s">
        <v>26678</v>
      </c>
      <c r="AC544" t="s">
        <v>34660</v>
      </c>
      <c r="AE544">
        <v>17</v>
      </c>
      <c r="AF544" t="s">
        <v>45541</v>
      </c>
      <c r="AG544" t="s">
        <v>19330</v>
      </c>
      <c r="AH544">
        <v>30</v>
      </c>
      <c r="AI544">
        <v>1</v>
      </c>
      <c r="AJ544">
        <v>1</v>
      </c>
      <c r="AK544">
        <v>54.68</v>
      </c>
      <c r="AN544" t="s">
        <v>7439</v>
      </c>
      <c r="AO544">
        <v>9000</v>
      </c>
      <c r="AR544" t="s">
        <v>46379</v>
      </c>
      <c r="AS544" t="s">
        <v>46499</v>
      </c>
      <c r="AT544" t="s">
        <v>46508</v>
      </c>
      <c r="AU544">
        <v>13.1</v>
      </c>
      <c r="AV544" t="s">
        <v>522</v>
      </c>
      <c r="AW544" t="s">
        <v>71</v>
      </c>
    </row>
    <row r="545" spans="1:50">
      <c r="A545" s="1">
        <f>HYPERLINK("https://lsnyc.legalserver.org/matter/dynamic-profile/view/1873521","18-1873521")</f>
        <v>0</v>
      </c>
      <c r="B545" t="s">
        <v>80</v>
      </c>
      <c r="C545" t="s">
        <v>341</v>
      </c>
      <c r="D545" t="s">
        <v>447</v>
      </c>
      <c r="E545" t="s">
        <v>596</v>
      </c>
      <c r="F545" t="s">
        <v>1290</v>
      </c>
      <c r="G545" t="s">
        <v>5419</v>
      </c>
      <c r="H545" t="s">
        <v>10124</v>
      </c>
      <c r="I545" t="s">
        <v>17467</v>
      </c>
      <c r="J545" t="s">
        <v>18893</v>
      </c>
      <c r="K545">
        <v>10030</v>
      </c>
      <c r="L545" t="s">
        <v>18958</v>
      </c>
      <c r="M545" t="s">
        <v>18958</v>
      </c>
      <c r="N545" t="s">
        <v>19388</v>
      </c>
      <c r="O545" t="s">
        <v>26523</v>
      </c>
      <c r="P545" t="s">
        <v>26564</v>
      </c>
      <c r="Q545" t="s">
        <v>26570</v>
      </c>
      <c r="R545" t="s">
        <v>26578</v>
      </c>
      <c r="S545" t="s">
        <v>18959</v>
      </c>
      <c r="U545" t="s">
        <v>26604</v>
      </c>
      <c r="W545" t="s">
        <v>447</v>
      </c>
      <c r="X545">
        <v>939</v>
      </c>
      <c r="Y545" t="s">
        <v>26651</v>
      </c>
      <c r="Z545" t="s">
        <v>26661</v>
      </c>
      <c r="AA545" t="s">
        <v>26683</v>
      </c>
      <c r="AB545" t="s">
        <v>27213</v>
      </c>
      <c r="AD545" t="s">
        <v>37288</v>
      </c>
      <c r="AE545">
        <v>0</v>
      </c>
      <c r="AF545" t="s">
        <v>20460</v>
      </c>
      <c r="AG545" t="s">
        <v>19330</v>
      </c>
      <c r="AH545">
        <v>2</v>
      </c>
      <c r="AI545">
        <v>1</v>
      </c>
      <c r="AJ545">
        <v>0</v>
      </c>
      <c r="AK545">
        <v>214.17</v>
      </c>
      <c r="AL545" t="s">
        <v>614</v>
      </c>
      <c r="AM545" t="s">
        <v>45575</v>
      </c>
      <c r="AN545" t="s">
        <v>7439</v>
      </c>
      <c r="AO545">
        <v>26000</v>
      </c>
      <c r="AU545">
        <v>0.1</v>
      </c>
      <c r="AV545" t="s">
        <v>596</v>
      </c>
      <c r="AW545" t="s">
        <v>314</v>
      </c>
    </row>
    <row r="546" spans="1:50">
      <c r="A546" s="1">
        <f>HYPERLINK("https://lsnyc.legalserver.org/matter/dynamic-profile/view/1873488","18-1873488")</f>
        <v>0</v>
      </c>
      <c r="B546" t="s">
        <v>80</v>
      </c>
      <c r="C546" t="s">
        <v>341</v>
      </c>
      <c r="D546" t="s">
        <v>447</v>
      </c>
      <c r="E546" t="s">
        <v>583</v>
      </c>
      <c r="F546" t="s">
        <v>1106</v>
      </c>
      <c r="G546" t="s">
        <v>4309</v>
      </c>
      <c r="H546" t="s">
        <v>10125</v>
      </c>
      <c r="I546" t="s">
        <v>17272</v>
      </c>
      <c r="J546" t="s">
        <v>18893</v>
      </c>
      <c r="K546">
        <v>10022</v>
      </c>
      <c r="L546" t="s">
        <v>18958</v>
      </c>
      <c r="M546" t="s">
        <v>18958</v>
      </c>
      <c r="N546" t="s">
        <v>19389</v>
      </c>
      <c r="O546" t="s">
        <v>26524</v>
      </c>
      <c r="P546" t="s">
        <v>26564</v>
      </c>
      <c r="Q546" t="s">
        <v>26570</v>
      </c>
      <c r="R546" t="s">
        <v>26582</v>
      </c>
      <c r="S546" t="s">
        <v>18959</v>
      </c>
      <c r="U546" t="s">
        <v>26604</v>
      </c>
      <c r="W546" t="s">
        <v>447</v>
      </c>
      <c r="X546">
        <v>1850</v>
      </c>
      <c r="Y546" t="s">
        <v>26651</v>
      </c>
      <c r="Z546" t="s">
        <v>26661</v>
      </c>
      <c r="AA546" t="s">
        <v>26683</v>
      </c>
      <c r="AB546" t="s">
        <v>27214</v>
      </c>
      <c r="AD546" t="s">
        <v>37289</v>
      </c>
      <c r="AE546">
        <v>9</v>
      </c>
      <c r="AF546" t="s">
        <v>20460</v>
      </c>
      <c r="AG546" t="s">
        <v>19330</v>
      </c>
      <c r="AH546">
        <v>13</v>
      </c>
      <c r="AI546">
        <v>1</v>
      </c>
      <c r="AJ546">
        <v>0</v>
      </c>
      <c r="AK546">
        <v>97.2</v>
      </c>
      <c r="AN546" t="s">
        <v>7439</v>
      </c>
      <c r="AO546">
        <v>11800</v>
      </c>
      <c r="AU546">
        <v>1.1</v>
      </c>
      <c r="AV546" t="s">
        <v>461</v>
      </c>
      <c r="AW546" t="s">
        <v>314</v>
      </c>
    </row>
    <row r="547" spans="1:50">
      <c r="A547" s="1">
        <f>HYPERLINK("https://lsnyc.legalserver.org/matter/dynamic-profile/view/1873217","18-1873217")</f>
        <v>0</v>
      </c>
      <c r="B547" t="s">
        <v>114</v>
      </c>
      <c r="C547" t="s">
        <v>340</v>
      </c>
      <c r="D547" t="s">
        <v>447</v>
      </c>
      <c r="F547" t="s">
        <v>1211</v>
      </c>
      <c r="G547" t="s">
        <v>5473</v>
      </c>
      <c r="H547" t="s">
        <v>10126</v>
      </c>
      <c r="I547" t="s">
        <v>17465</v>
      </c>
      <c r="J547" t="s">
        <v>18931</v>
      </c>
      <c r="K547">
        <v>11412</v>
      </c>
      <c r="L547" t="s">
        <v>18958</v>
      </c>
      <c r="M547" t="s">
        <v>18958</v>
      </c>
      <c r="N547" t="s">
        <v>18993</v>
      </c>
      <c r="O547" t="s">
        <v>26533</v>
      </c>
      <c r="P547" t="s">
        <v>26562</v>
      </c>
      <c r="R547" t="s">
        <v>26589</v>
      </c>
      <c r="S547" t="s">
        <v>18959</v>
      </c>
      <c r="U547" t="s">
        <v>26604</v>
      </c>
      <c r="V547" t="s">
        <v>26610</v>
      </c>
      <c r="W547" t="s">
        <v>447</v>
      </c>
      <c r="X547">
        <v>1200</v>
      </c>
      <c r="Y547" t="s">
        <v>26653</v>
      </c>
      <c r="Z547" t="s">
        <v>26671</v>
      </c>
      <c r="AB547" t="s">
        <v>27215</v>
      </c>
      <c r="AD547" t="s">
        <v>37290</v>
      </c>
      <c r="AE547">
        <v>20</v>
      </c>
      <c r="AF547" t="s">
        <v>45554</v>
      </c>
      <c r="AG547" t="s">
        <v>19330</v>
      </c>
      <c r="AH547">
        <v>1</v>
      </c>
      <c r="AI547">
        <v>1</v>
      </c>
      <c r="AJ547">
        <v>0</v>
      </c>
      <c r="AK547">
        <v>74.14</v>
      </c>
      <c r="AL547" t="s">
        <v>45567</v>
      </c>
      <c r="AM547" t="s">
        <v>45577</v>
      </c>
      <c r="AN547" t="s">
        <v>7439</v>
      </c>
      <c r="AO547">
        <v>9000</v>
      </c>
      <c r="AQ547" t="s">
        <v>46359</v>
      </c>
      <c r="AR547" t="s">
        <v>46379</v>
      </c>
      <c r="AS547" t="s">
        <v>46500</v>
      </c>
      <c r="AT547" t="s">
        <v>46629</v>
      </c>
      <c r="AU547">
        <v>23.64</v>
      </c>
      <c r="AV547" t="s">
        <v>814</v>
      </c>
      <c r="AW547" t="s">
        <v>161</v>
      </c>
    </row>
    <row r="548" spans="1:50">
      <c r="A548" s="1">
        <f>HYPERLINK("https://lsnyc.legalserver.org/matter/dynamic-profile/view/1852159","17-1852159")</f>
        <v>0</v>
      </c>
      <c r="B548" t="s">
        <v>186</v>
      </c>
      <c r="C548" t="s">
        <v>341</v>
      </c>
      <c r="D548" t="s">
        <v>471</v>
      </c>
      <c r="E548" t="s">
        <v>851</v>
      </c>
      <c r="F548" t="s">
        <v>1148</v>
      </c>
      <c r="G548" t="s">
        <v>5474</v>
      </c>
      <c r="H548" t="s">
        <v>10127</v>
      </c>
      <c r="I548" t="s">
        <v>17358</v>
      </c>
      <c r="J548" t="s">
        <v>18894</v>
      </c>
      <c r="K548">
        <v>11220</v>
      </c>
      <c r="L548" t="s">
        <v>18958</v>
      </c>
      <c r="M548" t="s">
        <v>18960</v>
      </c>
      <c r="N548" t="s">
        <v>19390</v>
      </c>
      <c r="O548" t="s">
        <v>26523</v>
      </c>
      <c r="P548" t="s">
        <v>26565</v>
      </c>
      <c r="Q548" t="s">
        <v>26569</v>
      </c>
      <c r="R548" t="s">
        <v>26586</v>
      </c>
      <c r="S548" t="s">
        <v>18959</v>
      </c>
      <c r="U548" t="s">
        <v>26604</v>
      </c>
      <c r="W548" t="s">
        <v>851</v>
      </c>
      <c r="X548">
        <v>1335.96</v>
      </c>
      <c r="Y548" t="s">
        <v>26652</v>
      </c>
      <c r="Z548" t="s">
        <v>26659</v>
      </c>
      <c r="AA548" t="s">
        <v>26683</v>
      </c>
      <c r="AB548" t="s">
        <v>27216</v>
      </c>
      <c r="AC548" t="s">
        <v>34661</v>
      </c>
      <c r="AD548" t="s">
        <v>37291</v>
      </c>
      <c r="AE548">
        <v>88</v>
      </c>
      <c r="AF548" t="s">
        <v>45541</v>
      </c>
      <c r="AG548" t="s">
        <v>19330</v>
      </c>
      <c r="AH548">
        <v>12</v>
      </c>
      <c r="AI548">
        <v>1</v>
      </c>
      <c r="AJ548">
        <v>0</v>
      </c>
      <c r="AK548">
        <v>57.41</v>
      </c>
      <c r="AN548" t="s">
        <v>7439</v>
      </c>
      <c r="AO548">
        <v>6924</v>
      </c>
      <c r="AQ548" t="s">
        <v>46366</v>
      </c>
      <c r="AR548" t="s">
        <v>26530</v>
      </c>
      <c r="AS548" t="s">
        <v>46501</v>
      </c>
      <c r="AT548" t="s">
        <v>46630</v>
      </c>
      <c r="AU548">
        <v>20.7</v>
      </c>
      <c r="AV548" t="s">
        <v>539</v>
      </c>
      <c r="AW548" t="s">
        <v>237</v>
      </c>
    </row>
    <row r="549" spans="1:50">
      <c r="A549" s="1">
        <f>HYPERLINK("https://lsnyc.legalserver.org/matter/dynamic-profile/view/1861098","18-1861098")</f>
        <v>0</v>
      </c>
      <c r="B549" t="s">
        <v>186</v>
      </c>
      <c r="C549" t="s">
        <v>341</v>
      </c>
      <c r="D549" t="s">
        <v>472</v>
      </c>
      <c r="E549" t="s">
        <v>851</v>
      </c>
      <c r="F549" t="s">
        <v>1291</v>
      </c>
      <c r="G549" t="s">
        <v>5475</v>
      </c>
      <c r="H549" t="s">
        <v>10128</v>
      </c>
      <c r="I549" t="s">
        <v>17468</v>
      </c>
      <c r="J549" t="s">
        <v>18894</v>
      </c>
      <c r="K549">
        <v>11213</v>
      </c>
      <c r="L549" t="s">
        <v>18958</v>
      </c>
      <c r="M549" t="s">
        <v>18958</v>
      </c>
      <c r="N549" t="s">
        <v>19391</v>
      </c>
      <c r="O549" t="s">
        <v>26523</v>
      </c>
      <c r="P549" t="s">
        <v>26564</v>
      </c>
      <c r="Q549" t="s">
        <v>26570</v>
      </c>
      <c r="R549" t="s">
        <v>26586</v>
      </c>
      <c r="S549" t="s">
        <v>18959</v>
      </c>
      <c r="U549" t="s">
        <v>26604</v>
      </c>
      <c r="W549" t="s">
        <v>851</v>
      </c>
      <c r="X549">
        <v>1500</v>
      </c>
      <c r="Y549" t="s">
        <v>26652</v>
      </c>
      <c r="Z549" t="s">
        <v>26662</v>
      </c>
      <c r="AA549" t="s">
        <v>26683</v>
      </c>
      <c r="AB549" t="s">
        <v>27217</v>
      </c>
      <c r="AD549" t="s">
        <v>37292</v>
      </c>
      <c r="AE549">
        <v>0</v>
      </c>
      <c r="AF549" t="s">
        <v>45541</v>
      </c>
      <c r="AH549">
        <v>7</v>
      </c>
      <c r="AI549">
        <v>2</v>
      </c>
      <c r="AJ549">
        <v>0</v>
      </c>
      <c r="AK549">
        <v>13.34</v>
      </c>
      <c r="AN549" t="s">
        <v>7439</v>
      </c>
      <c r="AO549">
        <v>2196</v>
      </c>
      <c r="AU549">
        <v>2.5</v>
      </c>
      <c r="AV549" t="s">
        <v>430</v>
      </c>
      <c r="AW549" t="s">
        <v>281</v>
      </c>
    </row>
    <row r="550" spans="1:50">
      <c r="A550" s="1">
        <f>HYPERLINK("https://lsnyc.legalserver.org/matter/dynamic-profile/view/1868178","18-1868178")</f>
        <v>0</v>
      </c>
      <c r="B550" t="s">
        <v>121</v>
      </c>
      <c r="C550" t="s">
        <v>341</v>
      </c>
      <c r="D550" t="s">
        <v>393</v>
      </c>
      <c r="E550" t="s">
        <v>416</v>
      </c>
      <c r="F550" t="s">
        <v>990</v>
      </c>
      <c r="G550" t="s">
        <v>1128</v>
      </c>
      <c r="H550" t="s">
        <v>10129</v>
      </c>
      <c r="I550" t="s">
        <v>17272</v>
      </c>
      <c r="J550" t="s">
        <v>18892</v>
      </c>
      <c r="K550">
        <v>10466</v>
      </c>
      <c r="L550" t="s">
        <v>18958</v>
      </c>
      <c r="M550" t="s">
        <v>18958</v>
      </c>
      <c r="N550" t="s">
        <v>19392</v>
      </c>
      <c r="O550" t="s">
        <v>26523</v>
      </c>
      <c r="P550" t="s">
        <v>26560</v>
      </c>
      <c r="Q550" t="s">
        <v>26568</v>
      </c>
      <c r="R550" t="s">
        <v>26577</v>
      </c>
      <c r="U550" t="s">
        <v>26604</v>
      </c>
      <c r="V550" t="s">
        <v>26610</v>
      </c>
      <c r="W550" t="s">
        <v>851</v>
      </c>
      <c r="X550">
        <v>1108</v>
      </c>
      <c r="Y550" t="s">
        <v>26650</v>
      </c>
      <c r="Z550" t="s">
        <v>26656</v>
      </c>
      <c r="AA550" t="s">
        <v>26680</v>
      </c>
      <c r="AB550" t="s">
        <v>27218</v>
      </c>
      <c r="AD550" t="s">
        <v>37293</v>
      </c>
      <c r="AE550">
        <v>0</v>
      </c>
      <c r="AF550" t="s">
        <v>45542</v>
      </c>
      <c r="AG550" t="s">
        <v>19330</v>
      </c>
      <c r="AH550">
        <v>11</v>
      </c>
      <c r="AI550">
        <v>4</v>
      </c>
      <c r="AJ550">
        <v>0</v>
      </c>
      <c r="AK550">
        <v>199.2</v>
      </c>
      <c r="AN550" t="s">
        <v>7439</v>
      </c>
      <c r="AO550">
        <v>50000</v>
      </c>
      <c r="AR550" t="s">
        <v>46413</v>
      </c>
      <c r="AS550" t="s">
        <v>46499</v>
      </c>
      <c r="AT550" t="s">
        <v>46609</v>
      </c>
      <c r="AU550">
        <v>9.699999999999999</v>
      </c>
      <c r="AV550" t="s">
        <v>416</v>
      </c>
      <c r="AW550" t="s">
        <v>46836</v>
      </c>
    </row>
    <row r="551" spans="1:50">
      <c r="A551" s="1">
        <f>HYPERLINK("https://lsnyc.legalserver.org/matter/dynamic-profile/view/1873446","18-1873446")</f>
        <v>0</v>
      </c>
      <c r="B551" t="s">
        <v>186</v>
      </c>
      <c r="C551" t="s">
        <v>341</v>
      </c>
      <c r="D551" t="s">
        <v>465</v>
      </c>
      <c r="E551" t="s">
        <v>851</v>
      </c>
      <c r="F551" t="s">
        <v>1113</v>
      </c>
      <c r="G551" t="s">
        <v>5419</v>
      </c>
      <c r="H551" t="s">
        <v>10130</v>
      </c>
      <c r="I551" t="s">
        <v>17469</v>
      </c>
      <c r="J551" t="s">
        <v>18894</v>
      </c>
      <c r="K551">
        <v>11221</v>
      </c>
      <c r="L551" t="s">
        <v>18958</v>
      </c>
      <c r="M551" t="s">
        <v>18958</v>
      </c>
      <c r="N551" t="s">
        <v>19393</v>
      </c>
      <c r="O551" t="s">
        <v>26524</v>
      </c>
      <c r="P551" t="s">
        <v>26565</v>
      </c>
      <c r="Q551" t="s">
        <v>26571</v>
      </c>
      <c r="R551" t="s">
        <v>26588</v>
      </c>
      <c r="U551" t="s">
        <v>26604</v>
      </c>
      <c r="W551" t="s">
        <v>851</v>
      </c>
      <c r="X551">
        <v>1500</v>
      </c>
      <c r="Y551" t="s">
        <v>26652</v>
      </c>
      <c r="Z551" t="s">
        <v>26669</v>
      </c>
      <c r="AA551" t="s">
        <v>26679</v>
      </c>
      <c r="AB551" t="s">
        <v>27219</v>
      </c>
      <c r="AD551" t="s">
        <v>37294</v>
      </c>
      <c r="AE551">
        <v>0</v>
      </c>
      <c r="AH551">
        <v>-1</v>
      </c>
      <c r="AI551">
        <v>2</v>
      </c>
      <c r="AJ551">
        <v>0</v>
      </c>
      <c r="AK551">
        <v>194.41</v>
      </c>
      <c r="AN551" t="s">
        <v>7439</v>
      </c>
      <c r="AO551">
        <v>32000</v>
      </c>
      <c r="AU551">
        <v>1.5</v>
      </c>
      <c r="AV551" t="s">
        <v>464</v>
      </c>
      <c r="AW551" t="s">
        <v>46853</v>
      </c>
    </row>
    <row r="552" spans="1:50">
      <c r="A552" s="1">
        <f>HYPERLINK("https://lsnyc.legalserver.org/matter/dynamic-profile/view/1861350","18-1861350")</f>
        <v>0</v>
      </c>
      <c r="B552" t="s">
        <v>69</v>
      </c>
      <c r="C552" t="s">
        <v>340</v>
      </c>
      <c r="D552" t="s">
        <v>473</v>
      </c>
      <c r="F552" t="s">
        <v>968</v>
      </c>
      <c r="G552" t="s">
        <v>5476</v>
      </c>
      <c r="H552" t="s">
        <v>10131</v>
      </c>
      <c r="I552" t="s">
        <v>17470</v>
      </c>
      <c r="J552" t="s">
        <v>18892</v>
      </c>
      <c r="K552">
        <v>10468</v>
      </c>
      <c r="L552" t="s">
        <v>18958</v>
      </c>
      <c r="M552" t="s">
        <v>18958</v>
      </c>
      <c r="N552" t="s">
        <v>19394</v>
      </c>
      <c r="O552" t="s">
        <v>26524</v>
      </c>
      <c r="P552" t="s">
        <v>26560</v>
      </c>
      <c r="R552" t="s">
        <v>26579</v>
      </c>
      <c r="U552" t="s">
        <v>26604</v>
      </c>
      <c r="W552" t="s">
        <v>476</v>
      </c>
      <c r="X552">
        <v>1052.71</v>
      </c>
      <c r="Y552" t="s">
        <v>26650</v>
      </c>
      <c r="Z552" t="s">
        <v>26657</v>
      </c>
      <c r="AB552" t="s">
        <v>27220</v>
      </c>
      <c r="AD552" t="s">
        <v>37295</v>
      </c>
      <c r="AE552">
        <v>56</v>
      </c>
      <c r="AF552" t="s">
        <v>45541</v>
      </c>
      <c r="AG552" t="s">
        <v>19330</v>
      </c>
      <c r="AH552">
        <v>24</v>
      </c>
      <c r="AI552">
        <v>1</v>
      </c>
      <c r="AJ552">
        <v>0</v>
      </c>
      <c r="AK552">
        <v>171.33</v>
      </c>
      <c r="AN552" t="s">
        <v>7439</v>
      </c>
      <c r="AO552">
        <v>20800</v>
      </c>
      <c r="AU552">
        <v>31.35</v>
      </c>
      <c r="AV552" t="s">
        <v>833</v>
      </c>
      <c r="AW552" t="s">
        <v>46858</v>
      </c>
    </row>
    <row r="553" spans="1:50">
      <c r="A553" s="1">
        <f>HYPERLINK("https://lsnyc.legalserver.org/matter/dynamic-profile/view/1862504","18-1862504")</f>
        <v>0</v>
      </c>
      <c r="B553" t="s">
        <v>81</v>
      </c>
      <c r="C553" t="s">
        <v>341</v>
      </c>
      <c r="D553" t="s">
        <v>474</v>
      </c>
      <c r="E553" t="s">
        <v>449</v>
      </c>
      <c r="F553" t="s">
        <v>1028</v>
      </c>
      <c r="G553" t="s">
        <v>4239</v>
      </c>
      <c r="H553" t="s">
        <v>10132</v>
      </c>
      <c r="I553" t="s">
        <v>17420</v>
      </c>
      <c r="J553" t="s">
        <v>18892</v>
      </c>
      <c r="K553">
        <v>10457</v>
      </c>
      <c r="L553" t="s">
        <v>18958</v>
      </c>
      <c r="M553" t="s">
        <v>18958</v>
      </c>
      <c r="N553" t="s">
        <v>19395</v>
      </c>
      <c r="O553" t="s">
        <v>26523</v>
      </c>
      <c r="P553" t="s">
        <v>26560</v>
      </c>
      <c r="Q553" t="s">
        <v>26568</v>
      </c>
      <c r="R553" t="s">
        <v>26579</v>
      </c>
      <c r="S553" t="s">
        <v>18959</v>
      </c>
      <c r="U553" t="s">
        <v>26604</v>
      </c>
      <c r="V553" t="s">
        <v>26610</v>
      </c>
      <c r="W553" t="s">
        <v>476</v>
      </c>
      <c r="X553">
        <v>871.63</v>
      </c>
      <c r="Y553" t="s">
        <v>26650</v>
      </c>
      <c r="Z553" t="s">
        <v>26656</v>
      </c>
      <c r="AA553" t="s">
        <v>26678</v>
      </c>
      <c r="AB553" t="s">
        <v>27221</v>
      </c>
      <c r="AE553">
        <v>20</v>
      </c>
      <c r="AF553" t="s">
        <v>45541</v>
      </c>
      <c r="AG553" t="s">
        <v>19330</v>
      </c>
      <c r="AH553">
        <v>2</v>
      </c>
      <c r="AI553">
        <v>2</v>
      </c>
      <c r="AJ553">
        <v>3</v>
      </c>
      <c r="AK553">
        <v>148.07</v>
      </c>
      <c r="AN553" t="s">
        <v>7439</v>
      </c>
      <c r="AO553">
        <v>43561</v>
      </c>
      <c r="AP553" t="s">
        <v>45655</v>
      </c>
      <c r="AQ553" t="s">
        <v>46362</v>
      </c>
      <c r="AR553" t="s">
        <v>46414</v>
      </c>
      <c r="AS553" t="s">
        <v>46499</v>
      </c>
      <c r="AT553" t="s">
        <v>46511</v>
      </c>
      <c r="AU553">
        <v>3.05</v>
      </c>
      <c r="AV553" t="s">
        <v>715</v>
      </c>
      <c r="AW553" t="s">
        <v>334</v>
      </c>
      <c r="AX553" t="s">
        <v>46897</v>
      </c>
    </row>
    <row r="554" spans="1:50">
      <c r="A554" s="1">
        <f>HYPERLINK("https://lsnyc.legalserver.org/matter/dynamic-profile/view/1864344","18-1864344")</f>
        <v>0</v>
      </c>
      <c r="B554" t="s">
        <v>187</v>
      </c>
      <c r="C554" t="s">
        <v>341</v>
      </c>
      <c r="D554" t="s">
        <v>442</v>
      </c>
      <c r="E554" t="s">
        <v>758</v>
      </c>
      <c r="F554" t="s">
        <v>1292</v>
      </c>
      <c r="G554" t="s">
        <v>5147</v>
      </c>
      <c r="H554" t="s">
        <v>10133</v>
      </c>
      <c r="I554" t="s">
        <v>17327</v>
      </c>
      <c r="J554" t="s">
        <v>18892</v>
      </c>
      <c r="K554">
        <v>10467</v>
      </c>
      <c r="L554" t="s">
        <v>18958</v>
      </c>
      <c r="M554" t="s">
        <v>18958</v>
      </c>
      <c r="N554" t="s">
        <v>19396</v>
      </c>
      <c r="O554" t="s">
        <v>26524</v>
      </c>
      <c r="P554" t="s">
        <v>26560</v>
      </c>
      <c r="Q554" t="s">
        <v>26568</v>
      </c>
      <c r="R554" t="s">
        <v>26579</v>
      </c>
      <c r="S554" t="s">
        <v>18959</v>
      </c>
      <c r="U554" t="s">
        <v>26606</v>
      </c>
      <c r="V554" t="s">
        <v>26609</v>
      </c>
      <c r="W554" t="s">
        <v>476</v>
      </c>
      <c r="X554">
        <v>1326</v>
      </c>
      <c r="Y554" t="s">
        <v>26650</v>
      </c>
      <c r="Z554" t="s">
        <v>26662</v>
      </c>
      <c r="AA554" t="s">
        <v>26680</v>
      </c>
      <c r="AB554" t="s">
        <v>27222</v>
      </c>
      <c r="AD554" t="s">
        <v>37296</v>
      </c>
      <c r="AE554">
        <v>43</v>
      </c>
      <c r="AF554" t="s">
        <v>45541</v>
      </c>
      <c r="AG554" t="s">
        <v>45556</v>
      </c>
      <c r="AH554">
        <v>16</v>
      </c>
      <c r="AI554">
        <v>1</v>
      </c>
      <c r="AJ554">
        <v>0</v>
      </c>
      <c r="AK554">
        <v>167.04</v>
      </c>
      <c r="AN554" t="s">
        <v>45581</v>
      </c>
      <c r="AO554">
        <v>20278.44</v>
      </c>
      <c r="AQ554" t="s">
        <v>46359</v>
      </c>
      <c r="AS554" t="s">
        <v>46499</v>
      </c>
      <c r="AT554" t="s">
        <v>46574</v>
      </c>
      <c r="AU554">
        <v>13.6</v>
      </c>
      <c r="AV554" t="s">
        <v>403</v>
      </c>
      <c r="AW554" t="s">
        <v>336</v>
      </c>
    </row>
    <row r="555" spans="1:50">
      <c r="A555" s="1">
        <f>HYPERLINK("https://lsnyc.legalserver.org/matter/dynamic-profile/view/1864586","18-1864586")</f>
        <v>0</v>
      </c>
      <c r="B555" t="s">
        <v>152</v>
      </c>
      <c r="C555" t="s">
        <v>341</v>
      </c>
      <c r="D555" t="s">
        <v>437</v>
      </c>
      <c r="E555" t="s">
        <v>804</v>
      </c>
      <c r="F555" t="s">
        <v>1293</v>
      </c>
      <c r="G555" t="s">
        <v>923</v>
      </c>
      <c r="H555" t="s">
        <v>10134</v>
      </c>
      <c r="I555" t="s">
        <v>17378</v>
      </c>
      <c r="J555" t="s">
        <v>18892</v>
      </c>
      <c r="K555">
        <v>10453</v>
      </c>
      <c r="L555" t="s">
        <v>18958</v>
      </c>
      <c r="M555" t="s">
        <v>18958</v>
      </c>
      <c r="N555" t="s">
        <v>19397</v>
      </c>
      <c r="O555" t="s">
        <v>26524</v>
      </c>
      <c r="P555" t="s">
        <v>26560</v>
      </c>
      <c r="Q555" t="s">
        <v>26568</v>
      </c>
      <c r="R555" t="s">
        <v>26578</v>
      </c>
      <c r="S555" t="s">
        <v>18959</v>
      </c>
      <c r="U555" t="s">
        <v>26604</v>
      </c>
      <c r="V555" t="s">
        <v>26610</v>
      </c>
      <c r="W555" t="s">
        <v>476</v>
      </c>
      <c r="X555">
        <v>1300</v>
      </c>
      <c r="Y555" t="s">
        <v>26650</v>
      </c>
      <c r="Z555" t="s">
        <v>26656</v>
      </c>
      <c r="AA555" t="s">
        <v>26678</v>
      </c>
      <c r="AB555" t="s">
        <v>27223</v>
      </c>
      <c r="AC555" t="s">
        <v>34662</v>
      </c>
      <c r="AD555" t="s">
        <v>37297</v>
      </c>
      <c r="AE555">
        <v>103</v>
      </c>
      <c r="AF555" t="s">
        <v>45541</v>
      </c>
      <c r="AG555" t="s">
        <v>45556</v>
      </c>
      <c r="AH555">
        <v>5</v>
      </c>
      <c r="AI555">
        <v>1</v>
      </c>
      <c r="AJ555">
        <v>0</v>
      </c>
      <c r="AK555">
        <v>59.31</v>
      </c>
      <c r="AN555" t="s">
        <v>7439</v>
      </c>
      <c r="AO555">
        <v>7200</v>
      </c>
      <c r="AU555">
        <v>57.6</v>
      </c>
      <c r="AV555" t="s">
        <v>759</v>
      </c>
      <c r="AW555" t="s">
        <v>46842</v>
      </c>
    </row>
    <row r="556" spans="1:50">
      <c r="A556" s="1">
        <f>HYPERLINK("https://lsnyc.legalserver.org/matter/dynamic-profile/view/1866254","18-1866254")</f>
        <v>0</v>
      </c>
      <c r="B556" t="s">
        <v>100</v>
      </c>
      <c r="C556" t="s">
        <v>340</v>
      </c>
      <c r="D556" t="s">
        <v>385</v>
      </c>
      <c r="F556" t="s">
        <v>1294</v>
      </c>
      <c r="G556" t="s">
        <v>5477</v>
      </c>
      <c r="H556" t="s">
        <v>10135</v>
      </c>
      <c r="I556" t="s">
        <v>17465</v>
      </c>
      <c r="J556" t="s">
        <v>18892</v>
      </c>
      <c r="K556">
        <v>10452</v>
      </c>
      <c r="L556" t="s">
        <v>18958</v>
      </c>
      <c r="M556" t="s">
        <v>18958</v>
      </c>
      <c r="N556" t="s">
        <v>19398</v>
      </c>
      <c r="O556" t="s">
        <v>26538</v>
      </c>
      <c r="P556" t="s">
        <v>26561</v>
      </c>
      <c r="R556" t="s">
        <v>26578</v>
      </c>
      <c r="S556" t="s">
        <v>18958</v>
      </c>
      <c r="T556" t="s">
        <v>26578</v>
      </c>
      <c r="U556" t="s">
        <v>26604</v>
      </c>
      <c r="V556" t="s">
        <v>26610</v>
      </c>
      <c r="W556" t="s">
        <v>476</v>
      </c>
      <c r="X556">
        <v>1600</v>
      </c>
      <c r="Y556" t="s">
        <v>26650</v>
      </c>
      <c r="Z556" t="s">
        <v>26663</v>
      </c>
      <c r="AB556" t="s">
        <v>27224</v>
      </c>
      <c r="AC556" t="s">
        <v>34663</v>
      </c>
      <c r="AD556" t="s">
        <v>37298</v>
      </c>
      <c r="AE556">
        <v>53</v>
      </c>
      <c r="AF556" t="s">
        <v>45541</v>
      </c>
      <c r="AG556" t="s">
        <v>45557</v>
      </c>
      <c r="AH556">
        <v>3</v>
      </c>
      <c r="AI556">
        <v>1</v>
      </c>
      <c r="AJ556">
        <v>2</v>
      </c>
      <c r="AK556">
        <v>40.42</v>
      </c>
      <c r="AN556" t="s">
        <v>7439</v>
      </c>
      <c r="AO556">
        <v>8400</v>
      </c>
      <c r="AU556">
        <v>94.25</v>
      </c>
      <c r="AV556" t="s">
        <v>770</v>
      </c>
      <c r="AW556" t="s">
        <v>46847</v>
      </c>
    </row>
    <row r="557" spans="1:50">
      <c r="A557" s="1">
        <f>HYPERLINK("https://lsnyc.legalserver.org/matter/dynamic-profile/view/1868191","18-1868191")</f>
        <v>0</v>
      </c>
      <c r="B557" t="s">
        <v>121</v>
      </c>
      <c r="C557" t="s">
        <v>341</v>
      </c>
      <c r="D557" t="s">
        <v>393</v>
      </c>
      <c r="E557" t="s">
        <v>416</v>
      </c>
      <c r="F557" t="s">
        <v>936</v>
      </c>
      <c r="G557" t="s">
        <v>5434</v>
      </c>
      <c r="H557" t="s">
        <v>10133</v>
      </c>
      <c r="I557" t="s">
        <v>17344</v>
      </c>
      <c r="J557" t="s">
        <v>18892</v>
      </c>
      <c r="K557">
        <v>10467</v>
      </c>
      <c r="L557" t="s">
        <v>18958</v>
      </c>
      <c r="M557" t="s">
        <v>18958</v>
      </c>
      <c r="N557" t="s">
        <v>19399</v>
      </c>
      <c r="O557" t="s">
        <v>26523</v>
      </c>
      <c r="P557" t="s">
        <v>26560</v>
      </c>
      <c r="Q557" t="s">
        <v>26568</v>
      </c>
      <c r="R557" t="s">
        <v>26579</v>
      </c>
      <c r="U557" t="s">
        <v>26604</v>
      </c>
      <c r="V557" t="s">
        <v>26610</v>
      </c>
      <c r="W557" t="s">
        <v>476</v>
      </c>
      <c r="X557">
        <v>1101.42</v>
      </c>
      <c r="Y557" t="s">
        <v>26650</v>
      </c>
      <c r="Z557" t="s">
        <v>26656</v>
      </c>
      <c r="AA557" t="s">
        <v>26678</v>
      </c>
      <c r="AB557" t="s">
        <v>27225</v>
      </c>
      <c r="AD557" t="s">
        <v>37299</v>
      </c>
      <c r="AE557">
        <v>0</v>
      </c>
      <c r="AF557" t="s">
        <v>45547</v>
      </c>
      <c r="AG557" t="s">
        <v>19330</v>
      </c>
      <c r="AH557">
        <v>13</v>
      </c>
      <c r="AI557">
        <v>2</v>
      </c>
      <c r="AJ557">
        <v>1</v>
      </c>
      <c r="AK557">
        <v>0</v>
      </c>
      <c r="AN557" t="s">
        <v>7439</v>
      </c>
      <c r="AO557">
        <v>0</v>
      </c>
      <c r="AP557" t="s">
        <v>45656</v>
      </c>
      <c r="AR557" t="s">
        <v>46380</v>
      </c>
      <c r="AS557" t="s">
        <v>46499</v>
      </c>
      <c r="AT557" t="s">
        <v>46509</v>
      </c>
      <c r="AU557">
        <v>8.85</v>
      </c>
      <c r="AV557" t="s">
        <v>630</v>
      </c>
      <c r="AW557" t="s">
        <v>46854</v>
      </c>
    </row>
    <row r="558" spans="1:50">
      <c r="A558" s="1">
        <f>HYPERLINK("https://lsnyc.legalserver.org/matter/dynamic-profile/view/1868183","18-1868183")</f>
        <v>0</v>
      </c>
      <c r="B558" t="s">
        <v>135</v>
      </c>
      <c r="C558" t="s">
        <v>340</v>
      </c>
      <c r="D558" t="s">
        <v>393</v>
      </c>
      <c r="F558" t="s">
        <v>1295</v>
      </c>
      <c r="G558" t="s">
        <v>5125</v>
      </c>
      <c r="H558" t="s">
        <v>10136</v>
      </c>
      <c r="I558" t="s">
        <v>17273</v>
      </c>
      <c r="J558" t="s">
        <v>18892</v>
      </c>
      <c r="K558">
        <v>10463</v>
      </c>
      <c r="L558" t="s">
        <v>18958</v>
      </c>
      <c r="M558" t="s">
        <v>18958</v>
      </c>
      <c r="N558" t="s">
        <v>19400</v>
      </c>
      <c r="O558" t="s">
        <v>26529</v>
      </c>
      <c r="P558" t="s">
        <v>26560</v>
      </c>
      <c r="R558" t="s">
        <v>26578</v>
      </c>
      <c r="S558" t="s">
        <v>18959</v>
      </c>
      <c r="U558" t="s">
        <v>26604</v>
      </c>
      <c r="W558" t="s">
        <v>476</v>
      </c>
      <c r="X558">
        <v>948</v>
      </c>
      <c r="Y558" t="s">
        <v>26650</v>
      </c>
      <c r="Z558" t="s">
        <v>26663</v>
      </c>
      <c r="AB558" t="s">
        <v>27226</v>
      </c>
      <c r="AD558" t="s">
        <v>37300</v>
      </c>
      <c r="AE558">
        <v>55</v>
      </c>
      <c r="AF558" t="s">
        <v>45541</v>
      </c>
      <c r="AG558" t="s">
        <v>19330</v>
      </c>
      <c r="AH558">
        <v>10</v>
      </c>
      <c r="AI558">
        <v>1</v>
      </c>
      <c r="AJ558">
        <v>0</v>
      </c>
      <c r="AK558">
        <v>214.17</v>
      </c>
      <c r="AL558" t="s">
        <v>614</v>
      </c>
      <c r="AN558" t="s">
        <v>45581</v>
      </c>
      <c r="AO558">
        <v>26000</v>
      </c>
      <c r="AP558" t="s">
        <v>45657</v>
      </c>
      <c r="AU558">
        <v>117.5</v>
      </c>
      <c r="AV558" t="s">
        <v>834</v>
      </c>
      <c r="AW558" t="s">
        <v>46832</v>
      </c>
    </row>
    <row r="559" spans="1:50">
      <c r="A559" s="1">
        <f>HYPERLINK("https://lsnyc.legalserver.org/matter/dynamic-profile/view/1868430","18-1868430")</f>
        <v>0</v>
      </c>
      <c r="B559" t="s">
        <v>55</v>
      </c>
      <c r="C559" t="s">
        <v>341</v>
      </c>
      <c r="D559" t="s">
        <v>475</v>
      </c>
      <c r="E559" t="s">
        <v>494</v>
      </c>
      <c r="F559" t="s">
        <v>1296</v>
      </c>
      <c r="G559" t="s">
        <v>5478</v>
      </c>
      <c r="H559" t="s">
        <v>10137</v>
      </c>
      <c r="I559" t="s">
        <v>17325</v>
      </c>
      <c r="J559" t="s">
        <v>18892</v>
      </c>
      <c r="K559">
        <v>10452</v>
      </c>
      <c r="L559" t="s">
        <v>18958</v>
      </c>
      <c r="M559" t="s">
        <v>18958</v>
      </c>
      <c r="N559" t="s">
        <v>19401</v>
      </c>
      <c r="O559" t="s">
        <v>26524</v>
      </c>
      <c r="P559" t="s">
        <v>26564</v>
      </c>
      <c r="Q559" t="s">
        <v>26570</v>
      </c>
      <c r="R559" t="s">
        <v>26578</v>
      </c>
      <c r="S559" t="s">
        <v>18959</v>
      </c>
      <c r="U559" t="s">
        <v>26604</v>
      </c>
      <c r="W559" t="s">
        <v>476</v>
      </c>
      <c r="X559">
        <v>865.22</v>
      </c>
      <c r="Y559" t="s">
        <v>26650</v>
      </c>
      <c r="Z559" t="s">
        <v>26663</v>
      </c>
      <c r="AA559" t="s">
        <v>26683</v>
      </c>
      <c r="AB559" t="s">
        <v>27227</v>
      </c>
      <c r="AD559" t="s">
        <v>37301</v>
      </c>
      <c r="AE559">
        <v>70</v>
      </c>
      <c r="AF559" t="s">
        <v>20460</v>
      </c>
      <c r="AG559" t="s">
        <v>19330</v>
      </c>
      <c r="AH559">
        <v>35</v>
      </c>
      <c r="AI559">
        <v>1</v>
      </c>
      <c r="AJ559">
        <v>0</v>
      </c>
      <c r="AK559">
        <v>132.72</v>
      </c>
      <c r="AN559" t="s">
        <v>45581</v>
      </c>
      <c r="AO559">
        <v>16112</v>
      </c>
      <c r="AU559">
        <v>0.5</v>
      </c>
      <c r="AV559" t="s">
        <v>475</v>
      </c>
      <c r="AW559" t="s">
        <v>46829</v>
      </c>
    </row>
    <row r="560" spans="1:50">
      <c r="A560" s="1">
        <f>HYPERLINK("https://lsnyc.legalserver.org/matter/dynamic-profile/view/1869042","18-1869042")</f>
        <v>0</v>
      </c>
      <c r="B560" t="s">
        <v>121</v>
      </c>
      <c r="C560" t="s">
        <v>341</v>
      </c>
      <c r="D560" t="s">
        <v>395</v>
      </c>
      <c r="E560" t="s">
        <v>413</v>
      </c>
      <c r="F560" t="s">
        <v>1246</v>
      </c>
      <c r="G560" t="s">
        <v>5479</v>
      </c>
      <c r="H560" t="s">
        <v>10138</v>
      </c>
      <c r="I560">
        <v>307</v>
      </c>
      <c r="J560" t="s">
        <v>18892</v>
      </c>
      <c r="K560">
        <v>10457</v>
      </c>
      <c r="L560" t="s">
        <v>18958</v>
      </c>
      <c r="M560" t="s">
        <v>18960</v>
      </c>
      <c r="N560" t="s">
        <v>19402</v>
      </c>
      <c r="O560" t="s">
        <v>26523</v>
      </c>
      <c r="P560" t="s">
        <v>26560</v>
      </c>
      <c r="Q560" t="s">
        <v>26568</v>
      </c>
      <c r="R560" t="s">
        <v>26583</v>
      </c>
      <c r="U560" t="s">
        <v>26604</v>
      </c>
      <c r="W560" t="s">
        <v>476</v>
      </c>
      <c r="X560">
        <v>1300</v>
      </c>
      <c r="Y560" t="s">
        <v>26650</v>
      </c>
      <c r="Z560" t="s">
        <v>26656</v>
      </c>
      <c r="AA560" t="s">
        <v>26678</v>
      </c>
      <c r="AB560" t="s">
        <v>27228</v>
      </c>
      <c r="AC560" t="s">
        <v>34664</v>
      </c>
      <c r="AD560" t="s">
        <v>37302</v>
      </c>
      <c r="AE560">
        <v>0</v>
      </c>
      <c r="AF560" t="s">
        <v>45541</v>
      </c>
      <c r="AH560">
        <v>5</v>
      </c>
      <c r="AI560">
        <v>1</v>
      </c>
      <c r="AJ560">
        <v>0</v>
      </c>
      <c r="AK560">
        <v>342.67</v>
      </c>
      <c r="AN560" t="s">
        <v>7439</v>
      </c>
      <c r="AO560">
        <v>41600</v>
      </c>
      <c r="AP560" t="s">
        <v>45658</v>
      </c>
      <c r="AU560">
        <v>4.9</v>
      </c>
      <c r="AV560" t="s">
        <v>399</v>
      </c>
      <c r="AW560" t="s">
        <v>334</v>
      </c>
    </row>
    <row r="561" spans="1:49">
      <c r="A561" s="1">
        <f>HYPERLINK("https://lsnyc.legalserver.org/matter/dynamic-profile/view/1869551","18-1869551")</f>
        <v>0</v>
      </c>
      <c r="B561" t="s">
        <v>188</v>
      </c>
      <c r="C561" t="s">
        <v>340</v>
      </c>
      <c r="D561" t="s">
        <v>396</v>
      </c>
      <c r="F561" t="s">
        <v>1297</v>
      </c>
      <c r="G561" t="s">
        <v>5128</v>
      </c>
      <c r="H561" t="s">
        <v>10139</v>
      </c>
      <c r="I561" t="s">
        <v>17284</v>
      </c>
      <c r="J561" t="s">
        <v>18892</v>
      </c>
      <c r="K561">
        <v>10462</v>
      </c>
      <c r="L561" t="s">
        <v>18958</v>
      </c>
      <c r="M561" t="s">
        <v>18958</v>
      </c>
      <c r="N561" t="s">
        <v>19403</v>
      </c>
      <c r="O561" t="s">
        <v>26523</v>
      </c>
      <c r="P561" t="s">
        <v>26560</v>
      </c>
      <c r="R561" t="s">
        <v>26578</v>
      </c>
      <c r="S561" t="s">
        <v>18959</v>
      </c>
      <c r="U561" t="s">
        <v>26604</v>
      </c>
      <c r="V561" t="s">
        <v>26610</v>
      </c>
      <c r="W561" t="s">
        <v>476</v>
      </c>
      <c r="X561">
        <v>1100</v>
      </c>
      <c r="Y561" t="s">
        <v>26650</v>
      </c>
      <c r="Z561" t="s">
        <v>26668</v>
      </c>
      <c r="AB561" t="s">
        <v>27229</v>
      </c>
      <c r="AC561" t="s">
        <v>34665</v>
      </c>
      <c r="AD561" t="s">
        <v>37303</v>
      </c>
      <c r="AE561">
        <v>10</v>
      </c>
      <c r="AF561" t="s">
        <v>45541</v>
      </c>
      <c r="AG561" t="s">
        <v>19330</v>
      </c>
      <c r="AH561">
        <v>4</v>
      </c>
      <c r="AI561">
        <v>1</v>
      </c>
      <c r="AJ561">
        <v>0</v>
      </c>
      <c r="AK561">
        <v>163.75</v>
      </c>
      <c r="AN561" t="s">
        <v>7439</v>
      </c>
      <c r="AO561">
        <v>19879.08</v>
      </c>
      <c r="AU561">
        <v>24.75</v>
      </c>
      <c r="AV561" t="s">
        <v>574</v>
      </c>
      <c r="AW561" t="s">
        <v>46847</v>
      </c>
    </row>
    <row r="562" spans="1:49">
      <c r="A562" s="1">
        <f>HYPERLINK("https://lsnyc.legalserver.org/matter/dynamic-profile/view/1869957","18-1869957")</f>
        <v>0</v>
      </c>
      <c r="B562" t="s">
        <v>100</v>
      </c>
      <c r="C562" t="s">
        <v>341</v>
      </c>
      <c r="D562" t="s">
        <v>432</v>
      </c>
      <c r="E562" t="s">
        <v>494</v>
      </c>
      <c r="F562" t="s">
        <v>954</v>
      </c>
      <c r="G562" t="s">
        <v>5103</v>
      </c>
      <c r="H562" t="s">
        <v>10135</v>
      </c>
      <c r="I562" t="s">
        <v>17356</v>
      </c>
      <c r="J562" t="s">
        <v>18892</v>
      </c>
      <c r="K562">
        <v>10452</v>
      </c>
      <c r="L562" t="s">
        <v>18958</v>
      </c>
      <c r="M562" t="s">
        <v>18958</v>
      </c>
      <c r="O562" t="s">
        <v>26529</v>
      </c>
      <c r="P562" t="s">
        <v>26564</v>
      </c>
      <c r="Q562" t="s">
        <v>26570</v>
      </c>
      <c r="R562" t="s">
        <v>26578</v>
      </c>
      <c r="S562" t="s">
        <v>18958</v>
      </c>
      <c r="U562" t="s">
        <v>26604</v>
      </c>
      <c r="V562" t="s">
        <v>26610</v>
      </c>
      <c r="W562" t="s">
        <v>476</v>
      </c>
      <c r="X562">
        <v>1515</v>
      </c>
      <c r="Y562" t="s">
        <v>26650</v>
      </c>
      <c r="Z562" t="s">
        <v>26663</v>
      </c>
      <c r="AA562" t="s">
        <v>26683</v>
      </c>
      <c r="AB562" t="s">
        <v>27230</v>
      </c>
      <c r="AC562" t="s">
        <v>34666</v>
      </c>
      <c r="AD562" t="s">
        <v>37304</v>
      </c>
      <c r="AE562">
        <v>53</v>
      </c>
      <c r="AF562" t="s">
        <v>45541</v>
      </c>
      <c r="AG562" t="s">
        <v>45558</v>
      </c>
      <c r="AH562">
        <v>2</v>
      </c>
      <c r="AI562">
        <v>1</v>
      </c>
      <c r="AJ562">
        <v>2</v>
      </c>
      <c r="AK562">
        <v>37.25</v>
      </c>
      <c r="AN562" t="s">
        <v>7439</v>
      </c>
      <c r="AO562">
        <v>7740</v>
      </c>
      <c r="AU562">
        <v>1.05</v>
      </c>
      <c r="AV562" t="s">
        <v>476</v>
      </c>
      <c r="AW562" t="s">
        <v>46847</v>
      </c>
    </row>
    <row r="563" spans="1:49">
      <c r="A563" s="1">
        <f>HYPERLINK("https://lsnyc.legalserver.org/matter/dynamic-profile/view/1869983","18-1869983")</f>
        <v>0</v>
      </c>
      <c r="B563" t="s">
        <v>115</v>
      </c>
      <c r="C563" t="s">
        <v>341</v>
      </c>
      <c r="D563" t="s">
        <v>432</v>
      </c>
      <c r="E563" t="s">
        <v>494</v>
      </c>
      <c r="F563" t="s">
        <v>1298</v>
      </c>
      <c r="G563" t="s">
        <v>5177</v>
      </c>
      <c r="H563" t="s">
        <v>10135</v>
      </c>
      <c r="I563" t="s">
        <v>17347</v>
      </c>
      <c r="J563" t="s">
        <v>18892</v>
      </c>
      <c r="K563">
        <v>10452</v>
      </c>
      <c r="L563" t="s">
        <v>18958</v>
      </c>
      <c r="M563" t="s">
        <v>18960</v>
      </c>
      <c r="O563" t="s">
        <v>26529</v>
      </c>
      <c r="P563" t="s">
        <v>26564</v>
      </c>
      <c r="Q563" t="s">
        <v>26570</v>
      </c>
      <c r="R563" t="s">
        <v>26578</v>
      </c>
      <c r="S563" t="s">
        <v>18958</v>
      </c>
      <c r="U563" t="s">
        <v>26604</v>
      </c>
      <c r="W563" t="s">
        <v>476</v>
      </c>
      <c r="X563">
        <v>1518</v>
      </c>
      <c r="Y563" t="s">
        <v>26650</v>
      </c>
      <c r="Z563" t="s">
        <v>26663</v>
      </c>
      <c r="AA563" t="s">
        <v>26683</v>
      </c>
      <c r="AB563" t="s">
        <v>27231</v>
      </c>
      <c r="AC563" t="s">
        <v>34667</v>
      </c>
      <c r="AD563" t="s">
        <v>37305</v>
      </c>
      <c r="AE563">
        <v>53</v>
      </c>
      <c r="AF563" t="s">
        <v>45541</v>
      </c>
      <c r="AG563" t="s">
        <v>45557</v>
      </c>
      <c r="AH563">
        <v>3</v>
      </c>
      <c r="AI563">
        <v>1</v>
      </c>
      <c r="AJ563">
        <v>2</v>
      </c>
      <c r="AK563">
        <v>18.31</v>
      </c>
      <c r="AO563">
        <v>3804</v>
      </c>
      <c r="AU563">
        <v>1.05</v>
      </c>
      <c r="AV563" t="s">
        <v>476</v>
      </c>
      <c r="AW563" t="s">
        <v>46847</v>
      </c>
    </row>
    <row r="564" spans="1:49">
      <c r="A564" s="1">
        <f>HYPERLINK("https://lsnyc.legalserver.org/matter/dynamic-profile/view/1870035","18-1870035")</f>
        <v>0</v>
      </c>
      <c r="B564" t="s">
        <v>100</v>
      </c>
      <c r="C564" t="s">
        <v>340</v>
      </c>
      <c r="D564" t="s">
        <v>432</v>
      </c>
      <c r="F564" t="s">
        <v>1299</v>
      </c>
      <c r="G564" t="s">
        <v>5078</v>
      </c>
      <c r="H564" t="s">
        <v>10135</v>
      </c>
      <c r="I564" t="s">
        <v>17355</v>
      </c>
      <c r="J564" t="s">
        <v>18892</v>
      </c>
      <c r="K564">
        <v>10452</v>
      </c>
      <c r="L564" t="s">
        <v>18958</v>
      </c>
      <c r="M564" t="s">
        <v>18958</v>
      </c>
      <c r="O564" t="s">
        <v>26529</v>
      </c>
      <c r="P564" t="s">
        <v>26564</v>
      </c>
      <c r="R564" t="s">
        <v>26578</v>
      </c>
      <c r="S564" t="s">
        <v>18958</v>
      </c>
      <c r="U564" t="s">
        <v>26604</v>
      </c>
      <c r="V564" t="s">
        <v>26610</v>
      </c>
      <c r="W564" t="s">
        <v>476</v>
      </c>
      <c r="X564">
        <v>1946</v>
      </c>
      <c r="Y564" t="s">
        <v>26650</v>
      </c>
      <c r="Z564" t="s">
        <v>26663</v>
      </c>
      <c r="AB564" t="s">
        <v>27232</v>
      </c>
      <c r="AC564" t="s">
        <v>34668</v>
      </c>
      <c r="AD564" t="s">
        <v>37306</v>
      </c>
      <c r="AE564">
        <v>53</v>
      </c>
      <c r="AF564" t="s">
        <v>45541</v>
      </c>
      <c r="AG564" t="s">
        <v>45562</v>
      </c>
      <c r="AH564">
        <v>1</v>
      </c>
      <c r="AI564">
        <v>1</v>
      </c>
      <c r="AJ564">
        <v>3</v>
      </c>
      <c r="AK564">
        <v>18.74</v>
      </c>
      <c r="AN564" t="s">
        <v>7439</v>
      </c>
      <c r="AO564">
        <v>4704</v>
      </c>
      <c r="AU564">
        <v>0.95</v>
      </c>
      <c r="AV564" t="s">
        <v>476</v>
      </c>
      <c r="AW564" t="s">
        <v>46847</v>
      </c>
    </row>
    <row r="565" spans="1:49">
      <c r="A565" s="1">
        <f>HYPERLINK("https://lsnyc.legalserver.org/matter/dynamic-profile/view/1871119","18-1871119")</f>
        <v>0</v>
      </c>
      <c r="B565" t="s">
        <v>169</v>
      </c>
      <c r="C565" t="s">
        <v>341</v>
      </c>
      <c r="D565" t="s">
        <v>401</v>
      </c>
      <c r="E565" t="s">
        <v>795</v>
      </c>
      <c r="F565" t="s">
        <v>1300</v>
      </c>
      <c r="G565" t="s">
        <v>5480</v>
      </c>
      <c r="H565" t="s">
        <v>10140</v>
      </c>
      <c r="I565" t="s">
        <v>17298</v>
      </c>
      <c r="J565" t="s">
        <v>18892</v>
      </c>
      <c r="K565">
        <v>10466</v>
      </c>
      <c r="L565" t="s">
        <v>18958</v>
      </c>
      <c r="M565" t="s">
        <v>18958</v>
      </c>
      <c r="N565" t="s">
        <v>19404</v>
      </c>
      <c r="O565" t="s">
        <v>26523</v>
      </c>
      <c r="P565" t="s">
        <v>26560</v>
      </c>
      <c r="Q565" t="s">
        <v>26568</v>
      </c>
      <c r="R565" t="s">
        <v>26577</v>
      </c>
      <c r="S565" t="s">
        <v>18959</v>
      </c>
      <c r="U565" t="s">
        <v>26604</v>
      </c>
      <c r="V565" t="s">
        <v>26610</v>
      </c>
      <c r="W565" t="s">
        <v>476</v>
      </c>
      <c r="X565">
        <v>251</v>
      </c>
      <c r="Y565" t="s">
        <v>26650</v>
      </c>
      <c r="Z565" t="s">
        <v>26662</v>
      </c>
      <c r="AA565" t="s">
        <v>26680</v>
      </c>
      <c r="AB565" t="s">
        <v>27233</v>
      </c>
      <c r="AC565" t="s">
        <v>34669</v>
      </c>
      <c r="AD565" t="s">
        <v>37307</v>
      </c>
      <c r="AE565">
        <v>100</v>
      </c>
      <c r="AF565" t="s">
        <v>45549</v>
      </c>
      <c r="AG565" t="s">
        <v>45556</v>
      </c>
      <c r="AH565">
        <v>2</v>
      </c>
      <c r="AI565">
        <v>1</v>
      </c>
      <c r="AJ565">
        <v>0</v>
      </c>
      <c r="AK565">
        <v>74.14</v>
      </c>
      <c r="AN565" t="s">
        <v>7439</v>
      </c>
      <c r="AO565">
        <v>9000</v>
      </c>
      <c r="AP565" t="s">
        <v>45627</v>
      </c>
      <c r="AQ565" t="s">
        <v>46361</v>
      </c>
      <c r="AR565" t="s">
        <v>46385</v>
      </c>
      <c r="AS565" t="s">
        <v>46499</v>
      </c>
      <c r="AT565" t="s">
        <v>46631</v>
      </c>
      <c r="AU565">
        <v>42.6</v>
      </c>
      <c r="AV565" t="s">
        <v>795</v>
      </c>
      <c r="AW565" t="s">
        <v>46848</v>
      </c>
    </row>
    <row r="566" spans="1:49">
      <c r="A566" s="1">
        <f>HYPERLINK("https://lsnyc.legalserver.org/matter/dynamic-profile/view/1870778","18-1870778")</f>
        <v>0</v>
      </c>
      <c r="B566" t="s">
        <v>75</v>
      </c>
      <c r="C566" t="s">
        <v>341</v>
      </c>
      <c r="D566" t="s">
        <v>401</v>
      </c>
      <c r="E566" t="s">
        <v>614</v>
      </c>
      <c r="F566" t="s">
        <v>1301</v>
      </c>
      <c r="G566" t="s">
        <v>5481</v>
      </c>
      <c r="H566" t="s">
        <v>10141</v>
      </c>
      <c r="I566">
        <v>216</v>
      </c>
      <c r="J566" t="s">
        <v>18892</v>
      </c>
      <c r="K566">
        <v>10457</v>
      </c>
      <c r="L566" t="s">
        <v>18958</v>
      </c>
      <c r="M566" t="s">
        <v>18958</v>
      </c>
      <c r="N566" t="s">
        <v>19405</v>
      </c>
      <c r="O566" t="s">
        <v>26523</v>
      </c>
      <c r="P566" t="s">
        <v>26560</v>
      </c>
      <c r="Q566" t="s">
        <v>26568</v>
      </c>
      <c r="R566" t="s">
        <v>26579</v>
      </c>
      <c r="U566" t="s">
        <v>26604</v>
      </c>
      <c r="W566" t="s">
        <v>476</v>
      </c>
      <c r="X566">
        <v>0</v>
      </c>
      <c r="Y566" t="s">
        <v>26650</v>
      </c>
      <c r="AA566" t="s">
        <v>26678</v>
      </c>
      <c r="AB566" t="s">
        <v>27234</v>
      </c>
      <c r="AC566" t="s">
        <v>34670</v>
      </c>
      <c r="AD566" t="s">
        <v>37308</v>
      </c>
      <c r="AE566">
        <v>0</v>
      </c>
      <c r="AH566">
        <v>0</v>
      </c>
      <c r="AI566">
        <v>1</v>
      </c>
      <c r="AJ566">
        <v>2</v>
      </c>
      <c r="AK566">
        <v>5.77</v>
      </c>
      <c r="AO566">
        <v>1200</v>
      </c>
      <c r="AS566" t="s">
        <v>46499</v>
      </c>
      <c r="AT566" t="s">
        <v>46632</v>
      </c>
      <c r="AU566">
        <v>19.15</v>
      </c>
      <c r="AV566" t="s">
        <v>533</v>
      </c>
      <c r="AW566" t="s">
        <v>46847</v>
      </c>
    </row>
    <row r="567" spans="1:49">
      <c r="A567" s="1">
        <f>HYPERLINK("https://lsnyc.legalserver.org/matter/dynamic-profile/view/1870489","18-1870489")</f>
        <v>0</v>
      </c>
      <c r="B567" t="s">
        <v>70</v>
      </c>
      <c r="C567" t="s">
        <v>340</v>
      </c>
      <c r="D567" t="s">
        <v>401</v>
      </c>
      <c r="F567" t="s">
        <v>1235</v>
      </c>
      <c r="G567" t="s">
        <v>1339</v>
      </c>
      <c r="H567" t="s">
        <v>10142</v>
      </c>
      <c r="I567" t="s">
        <v>17471</v>
      </c>
      <c r="J567" t="s">
        <v>18892</v>
      </c>
      <c r="K567">
        <v>10472</v>
      </c>
      <c r="L567" t="s">
        <v>18958</v>
      </c>
      <c r="M567" t="s">
        <v>18958</v>
      </c>
      <c r="N567" t="s">
        <v>19406</v>
      </c>
      <c r="O567" t="s">
        <v>26523</v>
      </c>
      <c r="P567" t="s">
        <v>26560</v>
      </c>
      <c r="R567" t="s">
        <v>26577</v>
      </c>
      <c r="S567" t="s">
        <v>18959</v>
      </c>
      <c r="U567" t="s">
        <v>26605</v>
      </c>
      <c r="V567" t="s">
        <v>26612</v>
      </c>
      <c r="W567" t="s">
        <v>476</v>
      </c>
      <c r="X567">
        <v>1439</v>
      </c>
      <c r="Y567" t="s">
        <v>26650</v>
      </c>
      <c r="Z567" t="s">
        <v>26656</v>
      </c>
      <c r="AB567" t="s">
        <v>27235</v>
      </c>
      <c r="AC567" t="s">
        <v>34671</v>
      </c>
      <c r="AD567" t="s">
        <v>37309</v>
      </c>
      <c r="AE567">
        <v>594</v>
      </c>
      <c r="AF567" t="s">
        <v>45549</v>
      </c>
      <c r="AG567" t="s">
        <v>19330</v>
      </c>
      <c r="AH567">
        <v>25</v>
      </c>
      <c r="AI567">
        <v>2</v>
      </c>
      <c r="AJ567">
        <v>0</v>
      </c>
      <c r="AK567">
        <v>246.42</v>
      </c>
      <c r="AL567" t="s">
        <v>641</v>
      </c>
      <c r="AM567" t="s">
        <v>45575</v>
      </c>
      <c r="AN567" t="s">
        <v>7439</v>
      </c>
      <c r="AO567">
        <v>40560</v>
      </c>
      <c r="AP567" t="s">
        <v>45659</v>
      </c>
      <c r="AU567">
        <v>105.6</v>
      </c>
      <c r="AV567" t="s">
        <v>814</v>
      </c>
      <c r="AW567" t="s">
        <v>46837</v>
      </c>
    </row>
    <row r="568" spans="1:49">
      <c r="A568" s="1">
        <f>HYPERLINK("https://lsnyc.legalserver.org/matter/dynamic-profile/view/1870732","18-1870732")</f>
        <v>0</v>
      </c>
      <c r="B568" t="s">
        <v>69</v>
      </c>
      <c r="C568" t="s">
        <v>340</v>
      </c>
      <c r="D568" t="s">
        <v>401</v>
      </c>
      <c r="F568" t="s">
        <v>1302</v>
      </c>
      <c r="G568" t="s">
        <v>5185</v>
      </c>
      <c r="H568" t="s">
        <v>10143</v>
      </c>
      <c r="I568" t="s">
        <v>17436</v>
      </c>
      <c r="J568" t="s">
        <v>18892</v>
      </c>
      <c r="K568">
        <v>10457</v>
      </c>
      <c r="L568" t="s">
        <v>18958</v>
      </c>
      <c r="M568" t="s">
        <v>18960</v>
      </c>
      <c r="N568" t="s">
        <v>19407</v>
      </c>
      <c r="O568" t="s">
        <v>26523</v>
      </c>
      <c r="P568" t="s">
        <v>26560</v>
      </c>
      <c r="R568" t="s">
        <v>26579</v>
      </c>
      <c r="U568" t="s">
        <v>26604</v>
      </c>
      <c r="V568" t="s">
        <v>26610</v>
      </c>
      <c r="W568" t="s">
        <v>476</v>
      </c>
      <c r="X568">
        <v>1116.82</v>
      </c>
      <c r="Y568" t="s">
        <v>26650</v>
      </c>
      <c r="Z568" t="s">
        <v>26662</v>
      </c>
      <c r="AB568" t="s">
        <v>27236</v>
      </c>
      <c r="AC568" t="s">
        <v>34672</v>
      </c>
      <c r="AD568" t="s">
        <v>37310</v>
      </c>
      <c r="AE568">
        <v>0</v>
      </c>
      <c r="AF568" t="s">
        <v>45541</v>
      </c>
      <c r="AG568" t="s">
        <v>45556</v>
      </c>
      <c r="AH568">
        <v>1</v>
      </c>
      <c r="AI568">
        <v>2</v>
      </c>
      <c r="AJ568">
        <v>1</v>
      </c>
      <c r="AK568">
        <v>21.25</v>
      </c>
      <c r="AN568" t="s">
        <v>7439</v>
      </c>
      <c r="AO568">
        <v>4416</v>
      </c>
      <c r="AP568" t="s">
        <v>45621</v>
      </c>
      <c r="AU568">
        <v>8.5</v>
      </c>
      <c r="AV568" t="s">
        <v>451</v>
      </c>
      <c r="AW568" t="s">
        <v>46848</v>
      </c>
    </row>
    <row r="569" spans="1:49">
      <c r="A569" s="1">
        <f>HYPERLINK("https://lsnyc.legalserver.org/matter/dynamic-profile/view/1870838","18-1870838")</f>
        <v>0</v>
      </c>
      <c r="B569" t="s">
        <v>63</v>
      </c>
      <c r="C569" t="s">
        <v>341</v>
      </c>
      <c r="D569" t="s">
        <v>403</v>
      </c>
      <c r="E569" t="s">
        <v>494</v>
      </c>
      <c r="F569" t="s">
        <v>903</v>
      </c>
      <c r="G569" t="s">
        <v>5241</v>
      </c>
      <c r="H569" t="s">
        <v>10144</v>
      </c>
      <c r="I569" t="s">
        <v>17435</v>
      </c>
      <c r="J569" t="s">
        <v>18892</v>
      </c>
      <c r="K569">
        <v>10459</v>
      </c>
      <c r="L569" t="s">
        <v>18958</v>
      </c>
      <c r="M569" t="s">
        <v>18958</v>
      </c>
      <c r="O569" t="s">
        <v>26529</v>
      </c>
      <c r="P569" t="s">
        <v>26564</v>
      </c>
      <c r="Q569" t="s">
        <v>26570</v>
      </c>
      <c r="R569" t="s">
        <v>26578</v>
      </c>
      <c r="S569" t="s">
        <v>18959</v>
      </c>
      <c r="U569" t="s">
        <v>26604</v>
      </c>
      <c r="W569" t="s">
        <v>476</v>
      </c>
      <c r="X569">
        <v>1600</v>
      </c>
      <c r="Y569" t="s">
        <v>26650</v>
      </c>
      <c r="Z569" t="s">
        <v>26661</v>
      </c>
      <c r="AA569" t="s">
        <v>26683</v>
      </c>
      <c r="AB569" t="s">
        <v>27237</v>
      </c>
      <c r="AC569" t="s">
        <v>34673</v>
      </c>
      <c r="AD569" t="s">
        <v>37311</v>
      </c>
      <c r="AE569">
        <v>2</v>
      </c>
      <c r="AF569" t="s">
        <v>45547</v>
      </c>
      <c r="AG569" t="s">
        <v>45557</v>
      </c>
      <c r="AH569">
        <v>15</v>
      </c>
      <c r="AI569">
        <v>1</v>
      </c>
      <c r="AJ569">
        <v>1</v>
      </c>
      <c r="AK569">
        <v>53.95</v>
      </c>
      <c r="AN569" t="s">
        <v>7439</v>
      </c>
      <c r="AO569">
        <v>8880</v>
      </c>
      <c r="AU569">
        <v>2.6</v>
      </c>
      <c r="AV569" t="s">
        <v>699</v>
      </c>
      <c r="AW569" t="s">
        <v>46843</v>
      </c>
    </row>
    <row r="570" spans="1:49">
      <c r="A570" s="1">
        <f>HYPERLINK("https://lsnyc.legalserver.org/matter/dynamic-profile/view/1871917","18-1871917")</f>
        <v>0</v>
      </c>
      <c r="B570" t="s">
        <v>67</v>
      </c>
      <c r="C570" t="s">
        <v>341</v>
      </c>
      <c r="D570" t="s">
        <v>405</v>
      </c>
      <c r="E570" t="s">
        <v>534</v>
      </c>
      <c r="F570" t="s">
        <v>1303</v>
      </c>
      <c r="G570" t="s">
        <v>5481</v>
      </c>
      <c r="H570" t="s">
        <v>10145</v>
      </c>
      <c r="I570">
        <v>36</v>
      </c>
      <c r="J570" t="s">
        <v>18892</v>
      </c>
      <c r="K570">
        <v>10460</v>
      </c>
      <c r="L570" t="s">
        <v>18958</v>
      </c>
      <c r="M570" t="s">
        <v>18958</v>
      </c>
      <c r="N570" t="s">
        <v>19408</v>
      </c>
      <c r="O570" t="s">
        <v>26523</v>
      </c>
      <c r="P570" t="s">
        <v>26564</v>
      </c>
      <c r="Q570" t="s">
        <v>26570</v>
      </c>
      <c r="R570" t="s">
        <v>26578</v>
      </c>
      <c r="S570" t="s">
        <v>18959</v>
      </c>
      <c r="U570" t="s">
        <v>26604</v>
      </c>
      <c r="V570" t="s">
        <v>26612</v>
      </c>
      <c r="W570" t="s">
        <v>476</v>
      </c>
      <c r="X570">
        <v>1200</v>
      </c>
      <c r="Y570" t="s">
        <v>26650</v>
      </c>
      <c r="Z570" t="s">
        <v>26672</v>
      </c>
      <c r="AA570" t="s">
        <v>26683</v>
      </c>
      <c r="AB570" t="s">
        <v>27238</v>
      </c>
      <c r="AE570">
        <v>36</v>
      </c>
      <c r="AF570" t="s">
        <v>45541</v>
      </c>
      <c r="AG570" t="s">
        <v>45558</v>
      </c>
      <c r="AH570">
        <v>2</v>
      </c>
      <c r="AI570">
        <v>1</v>
      </c>
      <c r="AJ570">
        <v>2</v>
      </c>
      <c r="AK570">
        <v>0</v>
      </c>
      <c r="AN570" t="s">
        <v>7439</v>
      </c>
      <c r="AO570">
        <v>0</v>
      </c>
      <c r="AP570" t="s">
        <v>45627</v>
      </c>
      <c r="AR570" t="s">
        <v>26530</v>
      </c>
      <c r="AT570" t="s">
        <v>46520</v>
      </c>
      <c r="AU570">
        <v>2.85</v>
      </c>
      <c r="AV570" t="s">
        <v>440</v>
      </c>
      <c r="AW570" t="s">
        <v>336</v>
      </c>
    </row>
    <row r="571" spans="1:49">
      <c r="A571" s="1">
        <f>HYPERLINK("https://lsnyc.legalserver.org/matter/dynamic-profile/view/1871218","18-1871218")</f>
        <v>0</v>
      </c>
      <c r="B571" t="s">
        <v>187</v>
      </c>
      <c r="C571" t="s">
        <v>341</v>
      </c>
      <c r="D571" t="s">
        <v>405</v>
      </c>
      <c r="E571" t="s">
        <v>758</v>
      </c>
      <c r="F571" t="s">
        <v>1304</v>
      </c>
      <c r="G571" t="s">
        <v>5482</v>
      </c>
      <c r="H571" t="s">
        <v>10146</v>
      </c>
      <c r="I571" t="s">
        <v>17293</v>
      </c>
      <c r="J571" t="s">
        <v>18892</v>
      </c>
      <c r="K571">
        <v>10467</v>
      </c>
      <c r="L571" t="s">
        <v>18958</v>
      </c>
      <c r="M571" t="s">
        <v>18958</v>
      </c>
      <c r="N571" t="s">
        <v>19409</v>
      </c>
      <c r="O571" t="s">
        <v>26523</v>
      </c>
      <c r="P571" t="s">
        <v>26560</v>
      </c>
      <c r="Q571" t="s">
        <v>26573</v>
      </c>
      <c r="R571" t="s">
        <v>26579</v>
      </c>
      <c r="S571" t="s">
        <v>18959</v>
      </c>
      <c r="U571" t="s">
        <v>26604</v>
      </c>
      <c r="V571" t="s">
        <v>26609</v>
      </c>
      <c r="W571" t="s">
        <v>476</v>
      </c>
      <c r="X571">
        <v>1181.91</v>
      </c>
      <c r="Y571" t="s">
        <v>26650</v>
      </c>
      <c r="Z571" t="s">
        <v>26662</v>
      </c>
      <c r="AA571" t="s">
        <v>26680</v>
      </c>
      <c r="AB571" t="s">
        <v>27239</v>
      </c>
      <c r="AD571" t="s">
        <v>37312</v>
      </c>
      <c r="AE571">
        <v>0</v>
      </c>
      <c r="AF571" t="s">
        <v>45541</v>
      </c>
      <c r="AG571" t="s">
        <v>19330</v>
      </c>
      <c r="AH571">
        <v>12</v>
      </c>
      <c r="AI571">
        <v>3</v>
      </c>
      <c r="AJ571">
        <v>2</v>
      </c>
      <c r="AK571">
        <v>176.75</v>
      </c>
      <c r="AO571">
        <v>52000</v>
      </c>
      <c r="AS571" t="s">
        <v>46499</v>
      </c>
      <c r="AT571" t="s">
        <v>46633</v>
      </c>
      <c r="AU571">
        <v>8.449999999999999</v>
      </c>
      <c r="AV571" t="s">
        <v>571</v>
      </c>
      <c r="AW571" t="s">
        <v>46847</v>
      </c>
    </row>
    <row r="572" spans="1:49">
      <c r="A572" s="1">
        <f>HYPERLINK("https://lsnyc.legalserver.org/matter/dynamic-profile/view/1871016","18-1871016")</f>
        <v>0</v>
      </c>
      <c r="B572" t="s">
        <v>63</v>
      </c>
      <c r="C572" t="s">
        <v>340</v>
      </c>
      <c r="D572" t="s">
        <v>405</v>
      </c>
      <c r="F572" t="s">
        <v>1221</v>
      </c>
      <c r="G572" t="s">
        <v>1203</v>
      </c>
      <c r="H572" t="s">
        <v>10147</v>
      </c>
      <c r="I572" t="s">
        <v>17472</v>
      </c>
      <c r="J572" t="s">
        <v>18892</v>
      </c>
      <c r="K572">
        <v>10460</v>
      </c>
      <c r="L572" t="s">
        <v>18958</v>
      </c>
      <c r="M572" t="s">
        <v>18960</v>
      </c>
      <c r="N572" t="s">
        <v>19410</v>
      </c>
      <c r="O572" t="s">
        <v>26523</v>
      </c>
      <c r="P572" t="s">
        <v>26560</v>
      </c>
      <c r="R572" t="s">
        <v>26578</v>
      </c>
      <c r="U572" t="s">
        <v>26604</v>
      </c>
      <c r="V572" t="s">
        <v>26610</v>
      </c>
      <c r="W572" t="s">
        <v>476</v>
      </c>
      <c r="X572">
        <v>1250</v>
      </c>
      <c r="Y572" t="s">
        <v>26650</v>
      </c>
      <c r="Z572" t="s">
        <v>26530</v>
      </c>
      <c r="AB572" t="s">
        <v>27240</v>
      </c>
      <c r="AD572" t="s">
        <v>37313</v>
      </c>
      <c r="AE572">
        <v>25</v>
      </c>
      <c r="AF572" t="s">
        <v>45541</v>
      </c>
      <c r="AG572" t="s">
        <v>19330</v>
      </c>
      <c r="AH572">
        <v>4</v>
      </c>
      <c r="AI572">
        <v>1</v>
      </c>
      <c r="AJ572">
        <v>0</v>
      </c>
      <c r="AK572">
        <v>197.69</v>
      </c>
      <c r="AN572" t="s">
        <v>7439</v>
      </c>
      <c r="AO572">
        <v>24000</v>
      </c>
      <c r="AU572">
        <v>49.2</v>
      </c>
      <c r="AV572" t="s">
        <v>828</v>
      </c>
      <c r="AW572" t="s">
        <v>46843</v>
      </c>
    </row>
    <row r="573" spans="1:49">
      <c r="A573" s="1">
        <f>HYPERLINK("https://lsnyc.legalserver.org/matter/dynamic-profile/view/1871396","18-1871396")</f>
        <v>0</v>
      </c>
      <c r="B573" t="s">
        <v>100</v>
      </c>
      <c r="C573" t="s">
        <v>340</v>
      </c>
      <c r="D573" t="s">
        <v>419</v>
      </c>
      <c r="F573" t="s">
        <v>967</v>
      </c>
      <c r="G573" t="s">
        <v>5153</v>
      </c>
      <c r="H573" t="s">
        <v>9724</v>
      </c>
      <c r="I573" t="s">
        <v>17344</v>
      </c>
      <c r="J573" t="s">
        <v>18892</v>
      </c>
      <c r="K573">
        <v>10468</v>
      </c>
      <c r="L573" t="s">
        <v>18958</v>
      </c>
      <c r="M573" t="s">
        <v>18958</v>
      </c>
      <c r="O573" t="s">
        <v>26527</v>
      </c>
      <c r="P573" t="s">
        <v>26561</v>
      </c>
      <c r="R573" t="s">
        <v>26578</v>
      </c>
      <c r="S573" t="s">
        <v>18958</v>
      </c>
      <c r="U573" t="s">
        <v>26604</v>
      </c>
      <c r="W573" t="s">
        <v>476</v>
      </c>
      <c r="X573">
        <v>1613.2</v>
      </c>
      <c r="Y573" t="s">
        <v>26650</v>
      </c>
      <c r="Z573" t="s">
        <v>26663</v>
      </c>
      <c r="AB573" t="s">
        <v>26805</v>
      </c>
      <c r="AD573" t="s">
        <v>36911</v>
      </c>
      <c r="AE573">
        <v>58</v>
      </c>
      <c r="AF573" t="s">
        <v>45541</v>
      </c>
      <c r="AG573" t="s">
        <v>19330</v>
      </c>
      <c r="AH573">
        <v>20</v>
      </c>
      <c r="AI573">
        <v>1</v>
      </c>
      <c r="AJ573">
        <v>0</v>
      </c>
      <c r="AK573">
        <v>535.42</v>
      </c>
      <c r="AN573" t="s">
        <v>45581</v>
      </c>
      <c r="AO573">
        <v>65000</v>
      </c>
      <c r="AU573">
        <v>0.5</v>
      </c>
      <c r="AV573" t="s">
        <v>419</v>
      </c>
      <c r="AW573" t="s">
        <v>46847</v>
      </c>
    </row>
    <row r="574" spans="1:49">
      <c r="A574" s="1">
        <f>HYPERLINK("https://lsnyc.legalserver.org/matter/dynamic-profile/view/1871581","18-1871581")</f>
        <v>0</v>
      </c>
      <c r="B574" t="s">
        <v>70</v>
      </c>
      <c r="C574" t="s">
        <v>341</v>
      </c>
      <c r="D574" t="s">
        <v>420</v>
      </c>
      <c r="E574" t="s">
        <v>498</v>
      </c>
      <c r="F574" t="s">
        <v>948</v>
      </c>
      <c r="G574" t="s">
        <v>5483</v>
      </c>
      <c r="H574" t="s">
        <v>10148</v>
      </c>
      <c r="I574">
        <v>42</v>
      </c>
      <c r="J574" t="s">
        <v>18892</v>
      </c>
      <c r="K574">
        <v>10468</v>
      </c>
      <c r="L574" t="s">
        <v>18958</v>
      </c>
      <c r="M574" t="s">
        <v>18958</v>
      </c>
      <c r="N574" t="s">
        <v>19045</v>
      </c>
      <c r="O574" t="s">
        <v>26529</v>
      </c>
      <c r="P574" t="s">
        <v>26564</v>
      </c>
      <c r="Q574" t="s">
        <v>26570</v>
      </c>
      <c r="R574" t="s">
        <v>26578</v>
      </c>
      <c r="S574" t="s">
        <v>18959</v>
      </c>
      <c r="U574" t="s">
        <v>26604</v>
      </c>
      <c r="V574" t="s">
        <v>26610</v>
      </c>
      <c r="W574" t="s">
        <v>476</v>
      </c>
      <c r="X574">
        <v>1200</v>
      </c>
      <c r="Y574" t="s">
        <v>26650</v>
      </c>
      <c r="Z574" t="s">
        <v>26663</v>
      </c>
      <c r="AA574" t="s">
        <v>26683</v>
      </c>
      <c r="AB574" t="s">
        <v>27241</v>
      </c>
      <c r="AC574" t="s">
        <v>34674</v>
      </c>
      <c r="AD574" t="s">
        <v>37314</v>
      </c>
      <c r="AE574">
        <v>27</v>
      </c>
      <c r="AF574" t="s">
        <v>20460</v>
      </c>
      <c r="AG574" t="s">
        <v>45556</v>
      </c>
      <c r="AH574">
        <v>35</v>
      </c>
      <c r="AI574">
        <v>1</v>
      </c>
      <c r="AJ574">
        <v>2</v>
      </c>
      <c r="AK574">
        <v>193.28</v>
      </c>
      <c r="AN574" t="s">
        <v>7439</v>
      </c>
      <c r="AO574">
        <v>40162.8</v>
      </c>
      <c r="AP574" t="s">
        <v>45660</v>
      </c>
      <c r="AU574">
        <v>0.2</v>
      </c>
      <c r="AV574" t="s">
        <v>410</v>
      </c>
      <c r="AW574" t="s">
        <v>336</v>
      </c>
    </row>
    <row r="575" spans="1:49">
      <c r="A575" s="1">
        <f>HYPERLINK("https://lsnyc.legalserver.org/matter/dynamic-profile/view/1871579","18-1871579")</f>
        <v>0</v>
      </c>
      <c r="B575" t="s">
        <v>70</v>
      </c>
      <c r="C575" t="s">
        <v>341</v>
      </c>
      <c r="D575" t="s">
        <v>420</v>
      </c>
      <c r="E575" t="s">
        <v>498</v>
      </c>
      <c r="F575" t="s">
        <v>1305</v>
      </c>
      <c r="G575" t="s">
        <v>5341</v>
      </c>
      <c r="H575" t="s">
        <v>10149</v>
      </c>
      <c r="I575" t="s">
        <v>17473</v>
      </c>
      <c r="J575" t="s">
        <v>18892</v>
      </c>
      <c r="K575">
        <v>10458</v>
      </c>
      <c r="L575" t="s">
        <v>18958</v>
      </c>
      <c r="M575" t="s">
        <v>18960</v>
      </c>
      <c r="N575" t="s">
        <v>19411</v>
      </c>
      <c r="O575" t="s">
        <v>26523</v>
      </c>
      <c r="P575" t="s">
        <v>26564</v>
      </c>
      <c r="Q575" t="s">
        <v>26570</v>
      </c>
      <c r="R575" t="s">
        <v>26583</v>
      </c>
      <c r="S575" t="s">
        <v>18959</v>
      </c>
      <c r="U575" t="s">
        <v>26604</v>
      </c>
      <c r="V575" t="s">
        <v>26609</v>
      </c>
      <c r="W575" t="s">
        <v>476</v>
      </c>
      <c r="X575">
        <v>1072.25</v>
      </c>
      <c r="Y575" t="s">
        <v>26650</v>
      </c>
      <c r="Z575" t="s">
        <v>26667</v>
      </c>
      <c r="AA575" t="s">
        <v>26683</v>
      </c>
      <c r="AB575" t="s">
        <v>27242</v>
      </c>
      <c r="AC575" t="s">
        <v>19045</v>
      </c>
      <c r="AD575" t="s">
        <v>37315</v>
      </c>
      <c r="AE575">
        <v>136</v>
      </c>
      <c r="AF575" t="s">
        <v>45541</v>
      </c>
      <c r="AG575" t="s">
        <v>19330</v>
      </c>
      <c r="AH575">
        <v>10</v>
      </c>
      <c r="AI575">
        <v>1</v>
      </c>
      <c r="AJ575">
        <v>0</v>
      </c>
      <c r="AK575">
        <v>267.18</v>
      </c>
      <c r="AN575" t="s">
        <v>45581</v>
      </c>
      <c r="AO575">
        <v>32436</v>
      </c>
      <c r="AP575" t="s">
        <v>45661</v>
      </c>
      <c r="AU575">
        <v>0.5</v>
      </c>
      <c r="AV575" t="s">
        <v>410</v>
      </c>
      <c r="AW575" t="s">
        <v>336</v>
      </c>
    </row>
    <row r="576" spans="1:49">
      <c r="A576" s="1">
        <f>HYPERLINK("https://lsnyc.legalserver.org/matter/dynamic-profile/view/1871612","18-1871612")</f>
        <v>0</v>
      </c>
      <c r="B576" t="s">
        <v>82</v>
      </c>
      <c r="C576" t="s">
        <v>341</v>
      </c>
      <c r="D576" t="s">
        <v>425</v>
      </c>
      <c r="E576" t="s">
        <v>675</v>
      </c>
      <c r="F576" t="s">
        <v>1066</v>
      </c>
      <c r="G576" t="s">
        <v>5169</v>
      </c>
      <c r="H576" t="s">
        <v>10150</v>
      </c>
      <c r="I576" t="s">
        <v>17299</v>
      </c>
      <c r="J576" t="s">
        <v>18892</v>
      </c>
      <c r="K576">
        <v>10456</v>
      </c>
      <c r="L576" t="s">
        <v>18958</v>
      </c>
      <c r="M576" t="s">
        <v>18958</v>
      </c>
      <c r="N576" t="s">
        <v>19412</v>
      </c>
      <c r="O576" t="s">
        <v>26523</v>
      </c>
      <c r="P576" t="s">
        <v>26564</v>
      </c>
      <c r="Q576" t="s">
        <v>26570</v>
      </c>
      <c r="R576" t="s">
        <v>26577</v>
      </c>
      <c r="S576" t="s">
        <v>18959</v>
      </c>
      <c r="U576" t="s">
        <v>26604</v>
      </c>
      <c r="W576" t="s">
        <v>476</v>
      </c>
      <c r="X576">
        <v>542</v>
      </c>
      <c r="Y576" t="s">
        <v>26650</v>
      </c>
      <c r="Z576" t="s">
        <v>26662</v>
      </c>
      <c r="AA576" t="s">
        <v>26683</v>
      </c>
      <c r="AB576" t="s">
        <v>27243</v>
      </c>
      <c r="AC576" t="s">
        <v>34675</v>
      </c>
      <c r="AD576" t="s">
        <v>37316</v>
      </c>
      <c r="AE576">
        <v>0</v>
      </c>
      <c r="AF576" t="s">
        <v>45549</v>
      </c>
      <c r="AG576" t="s">
        <v>45556</v>
      </c>
      <c r="AH576">
        <v>29</v>
      </c>
      <c r="AI576">
        <v>4</v>
      </c>
      <c r="AJ576">
        <v>0</v>
      </c>
      <c r="AK576">
        <v>72.29000000000001</v>
      </c>
      <c r="AN576" t="s">
        <v>45581</v>
      </c>
      <c r="AO576">
        <v>18144</v>
      </c>
      <c r="AP576" t="s">
        <v>45627</v>
      </c>
      <c r="AU576">
        <v>3.85</v>
      </c>
      <c r="AV576" t="s">
        <v>492</v>
      </c>
      <c r="AW576" t="s">
        <v>46848</v>
      </c>
    </row>
    <row r="577" spans="1:50">
      <c r="A577" s="1">
        <f>HYPERLINK("https://lsnyc.legalserver.org/matter/dynamic-profile/view/1871877","18-1871877")</f>
        <v>0</v>
      </c>
      <c r="B577" t="s">
        <v>149</v>
      </c>
      <c r="C577" t="s">
        <v>341</v>
      </c>
      <c r="D577" t="s">
        <v>431</v>
      </c>
      <c r="E577" t="s">
        <v>670</v>
      </c>
      <c r="F577" t="s">
        <v>1306</v>
      </c>
      <c r="G577" t="s">
        <v>5269</v>
      </c>
      <c r="H577" t="s">
        <v>10151</v>
      </c>
      <c r="I577">
        <v>2</v>
      </c>
      <c r="J577" t="s">
        <v>18892</v>
      </c>
      <c r="K577">
        <v>10453</v>
      </c>
      <c r="L577" t="s">
        <v>18958</v>
      </c>
      <c r="M577" t="s">
        <v>18958</v>
      </c>
      <c r="N577" t="s">
        <v>19413</v>
      </c>
      <c r="O577" t="s">
        <v>26524</v>
      </c>
      <c r="P577" t="s">
        <v>26560</v>
      </c>
      <c r="Q577" t="s">
        <v>26568</v>
      </c>
      <c r="R577" t="s">
        <v>26578</v>
      </c>
      <c r="S577" t="s">
        <v>18959</v>
      </c>
      <c r="U577" t="s">
        <v>26604</v>
      </c>
      <c r="V577" t="s">
        <v>26610</v>
      </c>
      <c r="W577" t="s">
        <v>476</v>
      </c>
      <c r="X577">
        <v>1801</v>
      </c>
      <c r="Y577" t="s">
        <v>26650</v>
      </c>
      <c r="Z577" t="s">
        <v>26660</v>
      </c>
      <c r="AA577" t="s">
        <v>26678</v>
      </c>
      <c r="AB577" t="s">
        <v>27244</v>
      </c>
      <c r="AC577" t="s">
        <v>34676</v>
      </c>
      <c r="AD577" t="s">
        <v>37317</v>
      </c>
      <c r="AE577">
        <v>3</v>
      </c>
      <c r="AF577" t="s">
        <v>20460</v>
      </c>
      <c r="AG577" t="s">
        <v>45556</v>
      </c>
      <c r="AH577">
        <v>5</v>
      </c>
      <c r="AI577">
        <v>1</v>
      </c>
      <c r="AJ577">
        <v>3</v>
      </c>
      <c r="AK577">
        <v>62.15</v>
      </c>
      <c r="AN577" t="s">
        <v>7439</v>
      </c>
      <c r="AO577">
        <v>15600</v>
      </c>
      <c r="AQ577" t="s">
        <v>46361</v>
      </c>
      <c r="AR577" t="s">
        <v>46380</v>
      </c>
      <c r="AS577" t="s">
        <v>46499</v>
      </c>
      <c r="AT577" t="s">
        <v>46587</v>
      </c>
      <c r="AU577">
        <v>27.65</v>
      </c>
      <c r="AV577" t="s">
        <v>670</v>
      </c>
      <c r="AW577" t="s">
        <v>46846</v>
      </c>
    </row>
    <row r="578" spans="1:50">
      <c r="A578" s="1">
        <f>HYPERLINK("https://lsnyc.legalserver.org/matter/dynamic-profile/view/1871800","18-1871800")</f>
        <v>0</v>
      </c>
      <c r="B578" t="s">
        <v>75</v>
      </c>
      <c r="C578" t="s">
        <v>340</v>
      </c>
      <c r="D578" t="s">
        <v>431</v>
      </c>
      <c r="F578" t="s">
        <v>1072</v>
      </c>
      <c r="G578" t="s">
        <v>5484</v>
      </c>
      <c r="H578" t="s">
        <v>10152</v>
      </c>
      <c r="I578" t="s">
        <v>17274</v>
      </c>
      <c r="J578" t="s">
        <v>18892</v>
      </c>
      <c r="K578">
        <v>10456</v>
      </c>
      <c r="L578" t="s">
        <v>18958</v>
      </c>
      <c r="M578" t="s">
        <v>18958</v>
      </c>
      <c r="N578" t="s">
        <v>19414</v>
      </c>
      <c r="O578" t="s">
        <v>26523</v>
      </c>
      <c r="P578" t="s">
        <v>26560</v>
      </c>
      <c r="R578" t="s">
        <v>26577</v>
      </c>
      <c r="S578" t="s">
        <v>18959</v>
      </c>
      <c r="U578" t="s">
        <v>26604</v>
      </c>
      <c r="W578" t="s">
        <v>476</v>
      </c>
      <c r="X578">
        <v>797</v>
      </c>
      <c r="Y578" t="s">
        <v>26650</v>
      </c>
      <c r="Z578" t="s">
        <v>26656</v>
      </c>
      <c r="AB578" t="s">
        <v>27245</v>
      </c>
      <c r="AD578" t="s">
        <v>37318</v>
      </c>
      <c r="AE578">
        <v>20</v>
      </c>
      <c r="AF578" t="s">
        <v>20460</v>
      </c>
      <c r="AG578" t="s">
        <v>45556</v>
      </c>
      <c r="AH578">
        <v>26</v>
      </c>
      <c r="AI578">
        <v>1</v>
      </c>
      <c r="AJ578">
        <v>0</v>
      </c>
      <c r="AK578">
        <v>192.75</v>
      </c>
      <c r="AN578" t="s">
        <v>7439</v>
      </c>
      <c r="AO578">
        <v>23400</v>
      </c>
      <c r="AU578">
        <v>9</v>
      </c>
      <c r="AV578" t="s">
        <v>813</v>
      </c>
      <c r="AW578" t="s">
        <v>46858</v>
      </c>
    </row>
    <row r="579" spans="1:50">
      <c r="A579" s="1">
        <f>HYPERLINK("https://lsnyc.legalserver.org/matter/dynamic-profile/view/1871940","18-1871940")</f>
        <v>0</v>
      </c>
      <c r="B579" t="s">
        <v>149</v>
      </c>
      <c r="C579" t="s">
        <v>340</v>
      </c>
      <c r="D579" t="s">
        <v>434</v>
      </c>
      <c r="F579" t="s">
        <v>1145</v>
      </c>
      <c r="G579" t="s">
        <v>5475</v>
      </c>
      <c r="H579" t="s">
        <v>10153</v>
      </c>
      <c r="I579">
        <v>3</v>
      </c>
      <c r="J579" t="s">
        <v>18892</v>
      </c>
      <c r="K579">
        <v>10459</v>
      </c>
      <c r="L579" t="s">
        <v>18958</v>
      </c>
      <c r="M579" t="s">
        <v>18958</v>
      </c>
      <c r="N579" t="s">
        <v>19415</v>
      </c>
      <c r="O579" t="s">
        <v>26524</v>
      </c>
      <c r="P579" t="s">
        <v>26560</v>
      </c>
      <c r="R579" t="s">
        <v>26578</v>
      </c>
      <c r="S579" t="s">
        <v>18959</v>
      </c>
      <c r="U579" t="s">
        <v>26604</v>
      </c>
      <c r="V579" t="s">
        <v>26610</v>
      </c>
      <c r="W579" t="s">
        <v>476</v>
      </c>
      <c r="X579">
        <v>1400</v>
      </c>
      <c r="Y579" t="s">
        <v>26650</v>
      </c>
      <c r="Z579" t="s">
        <v>26664</v>
      </c>
      <c r="AB579" t="s">
        <v>27246</v>
      </c>
      <c r="AC579" t="s">
        <v>34677</v>
      </c>
      <c r="AD579" t="s">
        <v>37319</v>
      </c>
      <c r="AE579">
        <v>3</v>
      </c>
      <c r="AF579" t="s">
        <v>45541</v>
      </c>
      <c r="AG579" t="s">
        <v>45561</v>
      </c>
      <c r="AH579">
        <v>7</v>
      </c>
      <c r="AI579">
        <v>1</v>
      </c>
      <c r="AJ579">
        <v>0</v>
      </c>
      <c r="AK579">
        <v>69.19</v>
      </c>
      <c r="AN579" t="s">
        <v>7439</v>
      </c>
      <c r="AO579">
        <v>8400</v>
      </c>
      <c r="AQ579" t="s">
        <v>46362</v>
      </c>
      <c r="AR579" t="s">
        <v>46379</v>
      </c>
      <c r="AS579" t="s">
        <v>46499</v>
      </c>
      <c r="AT579" t="s">
        <v>46553</v>
      </c>
      <c r="AU579">
        <v>7.35</v>
      </c>
      <c r="AV579" t="s">
        <v>727</v>
      </c>
      <c r="AW579" t="s">
        <v>336</v>
      </c>
    </row>
    <row r="580" spans="1:50">
      <c r="A580" s="1">
        <f>HYPERLINK("https://lsnyc.legalserver.org/matter/dynamic-profile/view/1872082","18-1872082")</f>
        <v>0</v>
      </c>
      <c r="B580" t="s">
        <v>68</v>
      </c>
      <c r="C580" t="s">
        <v>340</v>
      </c>
      <c r="D580" t="s">
        <v>435</v>
      </c>
      <c r="F580" t="s">
        <v>1307</v>
      </c>
      <c r="G580" t="s">
        <v>5431</v>
      </c>
      <c r="H580" t="s">
        <v>10154</v>
      </c>
      <c r="I580" t="s">
        <v>17474</v>
      </c>
      <c r="J580" t="s">
        <v>18892</v>
      </c>
      <c r="K580">
        <v>10456</v>
      </c>
      <c r="L580" t="s">
        <v>18958</v>
      </c>
      <c r="M580" t="s">
        <v>18958</v>
      </c>
      <c r="N580" t="s">
        <v>19416</v>
      </c>
      <c r="O580" t="s">
        <v>26526</v>
      </c>
      <c r="P580" t="s">
        <v>26560</v>
      </c>
      <c r="R580" t="s">
        <v>26577</v>
      </c>
      <c r="S580" t="s">
        <v>18959</v>
      </c>
      <c r="U580" t="s">
        <v>26604</v>
      </c>
      <c r="W580" t="s">
        <v>476</v>
      </c>
      <c r="X580">
        <v>2050</v>
      </c>
      <c r="Y580" t="s">
        <v>26650</v>
      </c>
      <c r="Z580" t="s">
        <v>26661</v>
      </c>
      <c r="AB580" t="s">
        <v>27247</v>
      </c>
      <c r="AD580" t="s">
        <v>37320</v>
      </c>
      <c r="AE580">
        <v>101</v>
      </c>
      <c r="AF580" t="s">
        <v>45541</v>
      </c>
      <c r="AG580" t="s">
        <v>19330</v>
      </c>
      <c r="AH580">
        <v>15</v>
      </c>
      <c r="AI580">
        <v>5</v>
      </c>
      <c r="AJ580">
        <v>2</v>
      </c>
      <c r="AK580">
        <v>119.81</v>
      </c>
      <c r="AN580" t="s">
        <v>45592</v>
      </c>
      <c r="AO580">
        <v>45600</v>
      </c>
      <c r="AP580" t="s">
        <v>45662</v>
      </c>
      <c r="AU580">
        <v>28.2</v>
      </c>
      <c r="AV580" t="s">
        <v>682</v>
      </c>
      <c r="AW580" t="s">
        <v>46836</v>
      </c>
    </row>
    <row r="581" spans="1:50">
      <c r="A581" s="1">
        <f>HYPERLINK("https://lsnyc.legalserver.org/matter/dynamic-profile/view/1872274","18-1872274")</f>
        <v>0</v>
      </c>
      <c r="B581" t="s">
        <v>96</v>
      </c>
      <c r="C581" t="s">
        <v>341</v>
      </c>
      <c r="D581" t="s">
        <v>439</v>
      </c>
      <c r="E581" t="s">
        <v>703</v>
      </c>
      <c r="F581" t="s">
        <v>1308</v>
      </c>
      <c r="G581" t="s">
        <v>5485</v>
      </c>
      <c r="H581" t="s">
        <v>10155</v>
      </c>
      <c r="I581" t="s">
        <v>17309</v>
      </c>
      <c r="J581" t="s">
        <v>18892</v>
      </c>
      <c r="K581">
        <v>10461</v>
      </c>
      <c r="L581" t="s">
        <v>18958</v>
      </c>
      <c r="M581" t="s">
        <v>18958</v>
      </c>
      <c r="N581" t="s">
        <v>19417</v>
      </c>
      <c r="O581" t="s">
        <v>26523</v>
      </c>
      <c r="P581" t="s">
        <v>26560</v>
      </c>
      <c r="Q581" t="s">
        <v>26568</v>
      </c>
      <c r="R581" t="s">
        <v>26577</v>
      </c>
      <c r="U581" t="s">
        <v>26604</v>
      </c>
      <c r="V581" t="s">
        <v>26612</v>
      </c>
      <c r="W581" t="s">
        <v>476</v>
      </c>
      <c r="X581">
        <v>1064</v>
      </c>
      <c r="Y581" t="s">
        <v>26650</v>
      </c>
      <c r="Z581" t="s">
        <v>26656</v>
      </c>
      <c r="AA581" t="s">
        <v>26678</v>
      </c>
      <c r="AB581" t="s">
        <v>27248</v>
      </c>
      <c r="AC581" t="s">
        <v>34678</v>
      </c>
      <c r="AD581" t="s">
        <v>37321</v>
      </c>
      <c r="AE581">
        <v>60</v>
      </c>
      <c r="AF581" t="s">
        <v>45541</v>
      </c>
      <c r="AG581" t="s">
        <v>19330</v>
      </c>
      <c r="AH581">
        <v>2</v>
      </c>
      <c r="AI581">
        <v>1</v>
      </c>
      <c r="AJ581">
        <v>1</v>
      </c>
      <c r="AK581">
        <v>10.21</v>
      </c>
      <c r="AN581" t="s">
        <v>45584</v>
      </c>
      <c r="AO581">
        <v>1680</v>
      </c>
      <c r="AR581" t="s">
        <v>46415</v>
      </c>
      <c r="AS581" t="s">
        <v>46499</v>
      </c>
      <c r="AT581" t="s">
        <v>46508</v>
      </c>
      <c r="AU581">
        <v>5.3</v>
      </c>
      <c r="AV581" t="s">
        <v>522</v>
      </c>
      <c r="AW581" t="s">
        <v>46847</v>
      </c>
    </row>
    <row r="582" spans="1:50">
      <c r="A582" s="1">
        <f>HYPERLINK("https://lsnyc.legalserver.org/matter/dynamic-profile/view/1872283","18-1872283")</f>
        <v>0</v>
      </c>
      <c r="B582" t="s">
        <v>67</v>
      </c>
      <c r="C582" t="s">
        <v>341</v>
      </c>
      <c r="D582" t="s">
        <v>439</v>
      </c>
      <c r="E582" t="s">
        <v>494</v>
      </c>
      <c r="F582" t="s">
        <v>1036</v>
      </c>
      <c r="G582" t="s">
        <v>5113</v>
      </c>
      <c r="H582" t="s">
        <v>10156</v>
      </c>
      <c r="I582" t="s">
        <v>17312</v>
      </c>
      <c r="J582" t="s">
        <v>18892</v>
      </c>
      <c r="K582">
        <v>10456</v>
      </c>
      <c r="L582" t="s">
        <v>18958</v>
      </c>
      <c r="M582" t="s">
        <v>18958</v>
      </c>
      <c r="O582" t="s">
        <v>26527</v>
      </c>
      <c r="P582" t="s">
        <v>26564</v>
      </c>
      <c r="Q582" t="s">
        <v>26570</v>
      </c>
      <c r="R582" t="s">
        <v>26578</v>
      </c>
      <c r="S582" t="s">
        <v>18958</v>
      </c>
      <c r="U582" t="s">
        <v>26604</v>
      </c>
      <c r="V582" t="s">
        <v>26610</v>
      </c>
      <c r="W582" t="s">
        <v>476</v>
      </c>
      <c r="X582">
        <v>589</v>
      </c>
      <c r="Y582" t="s">
        <v>26650</v>
      </c>
      <c r="Z582" t="s">
        <v>26663</v>
      </c>
      <c r="AA582" t="s">
        <v>26683</v>
      </c>
      <c r="AB582" t="s">
        <v>27249</v>
      </c>
      <c r="AC582" t="s">
        <v>34679</v>
      </c>
      <c r="AE582">
        <v>131</v>
      </c>
      <c r="AF582" t="s">
        <v>45548</v>
      </c>
      <c r="AG582" t="s">
        <v>45556</v>
      </c>
      <c r="AH582">
        <v>23</v>
      </c>
      <c r="AI582">
        <v>1</v>
      </c>
      <c r="AJ582">
        <v>0</v>
      </c>
      <c r="AK582">
        <v>83.03</v>
      </c>
      <c r="AN582" t="s">
        <v>7439</v>
      </c>
      <c r="AO582">
        <v>10080</v>
      </c>
      <c r="AR582" t="s">
        <v>26530</v>
      </c>
      <c r="AU582">
        <v>0.2</v>
      </c>
      <c r="AV582" t="s">
        <v>458</v>
      </c>
      <c r="AW582" t="s">
        <v>336</v>
      </c>
    </row>
    <row r="583" spans="1:50">
      <c r="A583" s="1">
        <f>HYPERLINK("https://lsnyc.legalserver.org/matter/dynamic-profile/view/1872406","18-1872406")</f>
        <v>0</v>
      </c>
      <c r="B583" t="s">
        <v>136</v>
      </c>
      <c r="C583" t="s">
        <v>340</v>
      </c>
      <c r="D583" t="s">
        <v>439</v>
      </c>
      <c r="F583" t="s">
        <v>977</v>
      </c>
      <c r="G583" t="s">
        <v>5486</v>
      </c>
      <c r="H583" t="s">
        <v>10157</v>
      </c>
      <c r="I583" t="s">
        <v>17421</v>
      </c>
      <c r="J583" t="s">
        <v>18892</v>
      </c>
      <c r="K583">
        <v>10468</v>
      </c>
      <c r="L583" t="s">
        <v>18958</v>
      </c>
      <c r="M583" t="s">
        <v>18958</v>
      </c>
      <c r="N583" t="s">
        <v>19418</v>
      </c>
      <c r="O583" t="s">
        <v>26523</v>
      </c>
      <c r="P583" t="s">
        <v>26560</v>
      </c>
      <c r="R583" t="s">
        <v>26579</v>
      </c>
      <c r="S583" t="s">
        <v>18959</v>
      </c>
      <c r="U583" t="s">
        <v>26604</v>
      </c>
      <c r="V583" t="s">
        <v>26610</v>
      </c>
      <c r="W583" t="s">
        <v>476</v>
      </c>
      <c r="X583">
        <v>874.12</v>
      </c>
      <c r="Y583" t="s">
        <v>26650</v>
      </c>
      <c r="Z583" t="s">
        <v>26662</v>
      </c>
      <c r="AB583" t="s">
        <v>27250</v>
      </c>
      <c r="AC583" t="s">
        <v>34680</v>
      </c>
      <c r="AE583">
        <v>65</v>
      </c>
      <c r="AF583" t="s">
        <v>45541</v>
      </c>
      <c r="AH583">
        <v>23</v>
      </c>
      <c r="AI583">
        <v>2</v>
      </c>
      <c r="AJ583">
        <v>3</v>
      </c>
      <c r="AK583">
        <v>63.51</v>
      </c>
      <c r="AO583">
        <v>18684</v>
      </c>
      <c r="AU583">
        <v>40.33</v>
      </c>
      <c r="AV583" t="s">
        <v>833</v>
      </c>
      <c r="AW583" t="s">
        <v>46848</v>
      </c>
      <c r="AX583" t="s">
        <v>46898</v>
      </c>
    </row>
    <row r="584" spans="1:50">
      <c r="A584" s="1">
        <f>HYPERLINK("https://lsnyc.legalserver.org/matter/dynamic-profile/view/1872300","18-1872300")</f>
        <v>0</v>
      </c>
      <c r="B584" t="s">
        <v>149</v>
      </c>
      <c r="C584" t="s">
        <v>341</v>
      </c>
      <c r="D584" t="s">
        <v>446</v>
      </c>
      <c r="E584" t="s">
        <v>494</v>
      </c>
      <c r="F584" t="s">
        <v>1215</v>
      </c>
      <c r="G584" t="s">
        <v>5147</v>
      </c>
      <c r="H584" t="s">
        <v>10158</v>
      </c>
      <c r="I584" t="s">
        <v>17348</v>
      </c>
      <c r="J584" t="s">
        <v>18892</v>
      </c>
      <c r="K584">
        <v>10459</v>
      </c>
      <c r="L584" t="s">
        <v>18958</v>
      </c>
      <c r="M584" t="s">
        <v>18958</v>
      </c>
      <c r="O584" t="s">
        <v>18997</v>
      </c>
      <c r="P584" t="s">
        <v>26565</v>
      </c>
      <c r="Q584" t="s">
        <v>26571</v>
      </c>
      <c r="R584" t="s">
        <v>26578</v>
      </c>
      <c r="S584" t="s">
        <v>18959</v>
      </c>
      <c r="U584" t="s">
        <v>26604</v>
      </c>
      <c r="W584" t="s">
        <v>476</v>
      </c>
      <c r="X584">
        <v>1520</v>
      </c>
      <c r="Y584" t="s">
        <v>26650</v>
      </c>
      <c r="Z584" t="s">
        <v>26663</v>
      </c>
      <c r="AA584" t="s">
        <v>26683</v>
      </c>
      <c r="AB584" t="s">
        <v>27251</v>
      </c>
      <c r="AD584" t="s">
        <v>37322</v>
      </c>
      <c r="AE584">
        <v>30</v>
      </c>
      <c r="AF584" t="s">
        <v>45543</v>
      </c>
      <c r="AG584" t="s">
        <v>26530</v>
      </c>
      <c r="AH584">
        <v>34</v>
      </c>
      <c r="AI584">
        <v>2</v>
      </c>
      <c r="AJ584">
        <v>0</v>
      </c>
      <c r="AK584">
        <v>63.57</v>
      </c>
      <c r="AN584" t="s">
        <v>7439</v>
      </c>
      <c r="AO584">
        <v>10464</v>
      </c>
      <c r="AP584" t="s">
        <v>45655</v>
      </c>
      <c r="AQ584" t="s">
        <v>46362</v>
      </c>
      <c r="AU584">
        <v>1.75</v>
      </c>
      <c r="AV584" t="s">
        <v>449</v>
      </c>
      <c r="AW584" t="s">
        <v>46859</v>
      </c>
    </row>
    <row r="585" spans="1:50">
      <c r="A585" s="1">
        <f>HYPERLINK("https://lsnyc.legalserver.org/matter/dynamic-profile/view/1872317","18-1872317")</f>
        <v>0</v>
      </c>
      <c r="B585" t="s">
        <v>121</v>
      </c>
      <c r="C585" t="s">
        <v>341</v>
      </c>
      <c r="D585" t="s">
        <v>446</v>
      </c>
      <c r="E585" t="s">
        <v>781</v>
      </c>
      <c r="F585" t="s">
        <v>1309</v>
      </c>
      <c r="G585" t="s">
        <v>5487</v>
      </c>
      <c r="H585" t="s">
        <v>10159</v>
      </c>
      <c r="I585" t="s">
        <v>17475</v>
      </c>
      <c r="J585" t="s">
        <v>18892</v>
      </c>
      <c r="K585">
        <v>10468</v>
      </c>
      <c r="L585" t="s">
        <v>18958</v>
      </c>
      <c r="M585" t="s">
        <v>18958</v>
      </c>
      <c r="N585" t="s">
        <v>19419</v>
      </c>
      <c r="O585" t="s">
        <v>26523</v>
      </c>
      <c r="P585" t="s">
        <v>26560</v>
      </c>
      <c r="Q585" t="s">
        <v>26568</v>
      </c>
      <c r="R585" t="s">
        <v>26579</v>
      </c>
      <c r="S585" t="s">
        <v>18959</v>
      </c>
      <c r="U585" t="s">
        <v>26604</v>
      </c>
      <c r="V585" t="s">
        <v>26612</v>
      </c>
      <c r="W585" t="s">
        <v>476</v>
      </c>
      <c r="X585">
        <v>443</v>
      </c>
      <c r="Y585" t="s">
        <v>26650</v>
      </c>
      <c r="Z585" t="s">
        <v>26656</v>
      </c>
      <c r="AA585" t="s">
        <v>26678</v>
      </c>
      <c r="AB585" t="s">
        <v>27252</v>
      </c>
      <c r="AD585" t="s">
        <v>37323</v>
      </c>
      <c r="AE585">
        <v>0</v>
      </c>
      <c r="AF585" t="s">
        <v>45541</v>
      </c>
      <c r="AG585" t="s">
        <v>45556</v>
      </c>
      <c r="AH585">
        <v>15</v>
      </c>
      <c r="AI585">
        <v>1</v>
      </c>
      <c r="AJ585">
        <v>0</v>
      </c>
      <c r="AK585">
        <v>171.33</v>
      </c>
      <c r="AN585" t="s">
        <v>45581</v>
      </c>
      <c r="AO585">
        <v>20800</v>
      </c>
      <c r="AP585" t="s">
        <v>45621</v>
      </c>
      <c r="AQ585" t="s">
        <v>46365</v>
      </c>
      <c r="AR585" t="s">
        <v>26530</v>
      </c>
      <c r="AS585" t="s">
        <v>46499</v>
      </c>
      <c r="AT585" t="s">
        <v>46526</v>
      </c>
      <c r="AU585">
        <v>9.1</v>
      </c>
      <c r="AV585" t="s">
        <v>494</v>
      </c>
      <c r="AW585" t="s">
        <v>46854</v>
      </c>
    </row>
    <row r="586" spans="1:50">
      <c r="A586" s="1">
        <f>HYPERLINK("https://lsnyc.legalserver.org/matter/dynamic-profile/view/1872536","18-1872536")</f>
        <v>0</v>
      </c>
      <c r="B586" t="s">
        <v>135</v>
      </c>
      <c r="C586" t="s">
        <v>341</v>
      </c>
      <c r="D586" t="s">
        <v>408</v>
      </c>
      <c r="E586" t="s">
        <v>852</v>
      </c>
      <c r="F586" t="s">
        <v>936</v>
      </c>
      <c r="G586" t="s">
        <v>5360</v>
      </c>
      <c r="H586" t="s">
        <v>10160</v>
      </c>
      <c r="I586" t="s">
        <v>17476</v>
      </c>
      <c r="J586" t="s">
        <v>18892</v>
      </c>
      <c r="K586">
        <v>10453</v>
      </c>
      <c r="L586" t="s">
        <v>18958</v>
      </c>
      <c r="M586" t="s">
        <v>18958</v>
      </c>
      <c r="O586" t="s">
        <v>26531</v>
      </c>
      <c r="P586" t="s">
        <v>26565</v>
      </c>
      <c r="Q586" t="s">
        <v>26571</v>
      </c>
      <c r="R586" t="s">
        <v>26578</v>
      </c>
      <c r="S586" t="s">
        <v>18959</v>
      </c>
      <c r="U586" t="s">
        <v>26604</v>
      </c>
      <c r="W586" t="s">
        <v>476</v>
      </c>
      <c r="X586">
        <v>700</v>
      </c>
      <c r="Y586" t="s">
        <v>26650</v>
      </c>
      <c r="AA586" t="s">
        <v>26685</v>
      </c>
      <c r="AB586" t="s">
        <v>27253</v>
      </c>
      <c r="AD586" t="s">
        <v>37324</v>
      </c>
      <c r="AE586">
        <v>58</v>
      </c>
      <c r="AF586" t="s">
        <v>45541</v>
      </c>
      <c r="AG586" t="s">
        <v>19330</v>
      </c>
      <c r="AH586">
        <v>33</v>
      </c>
      <c r="AI586">
        <v>1</v>
      </c>
      <c r="AJ586">
        <v>0</v>
      </c>
      <c r="AK586">
        <v>103.29</v>
      </c>
      <c r="AN586" t="s">
        <v>45581</v>
      </c>
      <c r="AO586">
        <v>12540</v>
      </c>
      <c r="AU586">
        <v>1.5</v>
      </c>
      <c r="AV586" t="s">
        <v>466</v>
      </c>
      <c r="AW586" t="s">
        <v>46847</v>
      </c>
    </row>
    <row r="587" spans="1:50">
      <c r="A587" s="1">
        <f>HYPERLINK("https://lsnyc.legalserver.org/matter/dynamic-profile/view/1872542","18-1872542")</f>
        <v>0</v>
      </c>
      <c r="B587" t="s">
        <v>135</v>
      </c>
      <c r="C587" t="s">
        <v>341</v>
      </c>
      <c r="D587" t="s">
        <v>408</v>
      </c>
      <c r="E587" t="s">
        <v>852</v>
      </c>
      <c r="F587" t="s">
        <v>1310</v>
      </c>
      <c r="G587" t="s">
        <v>3036</v>
      </c>
      <c r="H587" t="s">
        <v>10161</v>
      </c>
      <c r="I587" t="s">
        <v>17278</v>
      </c>
      <c r="J587" t="s">
        <v>18892</v>
      </c>
      <c r="K587">
        <v>10452</v>
      </c>
      <c r="L587" t="s">
        <v>18958</v>
      </c>
      <c r="M587" t="s">
        <v>18958</v>
      </c>
      <c r="O587" t="s">
        <v>26529</v>
      </c>
      <c r="P587" t="s">
        <v>26564</v>
      </c>
      <c r="Q587" t="s">
        <v>26570</v>
      </c>
      <c r="R587" t="s">
        <v>26578</v>
      </c>
      <c r="S587" t="s">
        <v>18959</v>
      </c>
      <c r="U587" t="s">
        <v>26604</v>
      </c>
      <c r="W587" t="s">
        <v>476</v>
      </c>
      <c r="X587">
        <v>600</v>
      </c>
      <c r="Y587" t="s">
        <v>26650</v>
      </c>
      <c r="Z587" t="s">
        <v>26663</v>
      </c>
      <c r="AA587" t="s">
        <v>26683</v>
      </c>
      <c r="AB587" t="s">
        <v>27254</v>
      </c>
      <c r="AD587" t="s">
        <v>37325</v>
      </c>
      <c r="AE587">
        <v>70</v>
      </c>
      <c r="AF587" t="s">
        <v>45547</v>
      </c>
      <c r="AG587" t="s">
        <v>19330</v>
      </c>
      <c r="AH587">
        <v>26</v>
      </c>
      <c r="AI587">
        <v>1</v>
      </c>
      <c r="AJ587">
        <v>0</v>
      </c>
      <c r="AK587">
        <v>115.32</v>
      </c>
      <c r="AN587" t="s">
        <v>7439</v>
      </c>
      <c r="AO587">
        <v>14000</v>
      </c>
      <c r="AU587">
        <v>1.5</v>
      </c>
      <c r="AV587" t="s">
        <v>466</v>
      </c>
      <c r="AW587" t="s">
        <v>46847</v>
      </c>
    </row>
    <row r="588" spans="1:50">
      <c r="A588" s="1">
        <f>HYPERLINK("https://lsnyc.legalserver.org/matter/dynamic-profile/view/1872990","18-1872990")</f>
        <v>0</v>
      </c>
      <c r="B588" t="s">
        <v>137</v>
      </c>
      <c r="C588" t="s">
        <v>341</v>
      </c>
      <c r="D588" t="s">
        <v>409</v>
      </c>
      <c r="E588" t="s">
        <v>706</v>
      </c>
      <c r="F588" t="s">
        <v>1311</v>
      </c>
      <c r="G588" t="s">
        <v>5147</v>
      </c>
      <c r="H588" t="s">
        <v>10162</v>
      </c>
      <c r="I588" t="s">
        <v>17477</v>
      </c>
      <c r="J588" t="s">
        <v>18892</v>
      </c>
      <c r="K588">
        <v>10457</v>
      </c>
      <c r="L588" t="s">
        <v>18958</v>
      </c>
      <c r="M588" t="s">
        <v>18958</v>
      </c>
      <c r="N588" t="s">
        <v>19420</v>
      </c>
      <c r="O588" t="s">
        <v>26523</v>
      </c>
      <c r="P588" t="s">
        <v>26560</v>
      </c>
      <c r="Q588" t="s">
        <v>26568</v>
      </c>
      <c r="R588" t="s">
        <v>26579</v>
      </c>
      <c r="U588" t="s">
        <v>26604</v>
      </c>
      <c r="V588" t="s">
        <v>26609</v>
      </c>
      <c r="W588" t="s">
        <v>476</v>
      </c>
      <c r="X588">
        <v>1600</v>
      </c>
      <c r="Y588" t="s">
        <v>26650</v>
      </c>
      <c r="Z588" t="s">
        <v>26662</v>
      </c>
      <c r="AA588" t="s">
        <v>26678</v>
      </c>
      <c r="AB588" t="s">
        <v>27255</v>
      </c>
      <c r="AD588" t="s">
        <v>37326</v>
      </c>
      <c r="AE588">
        <v>167</v>
      </c>
      <c r="AF588" t="s">
        <v>45542</v>
      </c>
      <c r="AG588" t="s">
        <v>45556</v>
      </c>
      <c r="AH588">
        <v>9</v>
      </c>
      <c r="AI588">
        <v>2</v>
      </c>
      <c r="AJ588">
        <v>2</v>
      </c>
      <c r="AK588">
        <v>143.64</v>
      </c>
      <c r="AO588">
        <v>36053.8</v>
      </c>
      <c r="AP588" t="s">
        <v>45621</v>
      </c>
      <c r="AR588" t="s">
        <v>46379</v>
      </c>
      <c r="AS588" t="s">
        <v>46499</v>
      </c>
      <c r="AT588" t="s">
        <v>46576</v>
      </c>
      <c r="AU588">
        <v>11.25</v>
      </c>
      <c r="AV588" t="s">
        <v>428</v>
      </c>
      <c r="AW588" t="s">
        <v>334</v>
      </c>
    </row>
    <row r="589" spans="1:50">
      <c r="A589" s="1">
        <f>HYPERLINK("https://lsnyc.legalserver.org/matter/dynamic-profile/view/1872859","18-1872859")</f>
        <v>0</v>
      </c>
      <c r="B589" t="s">
        <v>55</v>
      </c>
      <c r="C589" t="s">
        <v>341</v>
      </c>
      <c r="D589" t="s">
        <v>449</v>
      </c>
      <c r="E589" t="s">
        <v>494</v>
      </c>
      <c r="F589" t="s">
        <v>1312</v>
      </c>
      <c r="G589" t="s">
        <v>5488</v>
      </c>
      <c r="H589" t="s">
        <v>10163</v>
      </c>
      <c r="I589" t="s">
        <v>17276</v>
      </c>
      <c r="J589" t="s">
        <v>18892</v>
      </c>
      <c r="K589">
        <v>10468</v>
      </c>
      <c r="L589" t="s">
        <v>18958</v>
      </c>
      <c r="M589" t="s">
        <v>18958</v>
      </c>
      <c r="O589" t="s">
        <v>26523</v>
      </c>
      <c r="P589" t="s">
        <v>26560</v>
      </c>
      <c r="Q589" t="s">
        <v>26568</v>
      </c>
      <c r="R589" t="s">
        <v>26589</v>
      </c>
      <c r="S589" t="s">
        <v>18959</v>
      </c>
      <c r="U589" t="s">
        <v>26604</v>
      </c>
      <c r="W589" t="s">
        <v>476</v>
      </c>
      <c r="X589">
        <v>871</v>
      </c>
      <c r="Y589" t="s">
        <v>26650</v>
      </c>
      <c r="Z589" t="s">
        <v>26671</v>
      </c>
      <c r="AA589" t="s">
        <v>26678</v>
      </c>
      <c r="AB589" t="s">
        <v>27256</v>
      </c>
      <c r="AC589" t="s">
        <v>34681</v>
      </c>
      <c r="AD589" t="s">
        <v>37327</v>
      </c>
      <c r="AE589">
        <v>6</v>
      </c>
      <c r="AF589" t="s">
        <v>45541</v>
      </c>
      <c r="AG589" t="s">
        <v>19330</v>
      </c>
      <c r="AH589">
        <v>15</v>
      </c>
      <c r="AI589">
        <v>1</v>
      </c>
      <c r="AJ589">
        <v>2</v>
      </c>
      <c r="AK589">
        <v>142.29</v>
      </c>
      <c r="AL589" t="s">
        <v>45567</v>
      </c>
      <c r="AM589" t="s">
        <v>45577</v>
      </c>
      <c r="AN589" t="s">
        <v>7439</v>
      </c>
      <c r="AO589">
        <v>29568</v>
      </c>
      <c r="AQ589" t="s">
        <v>46359</v>
      </c>
      <c r="AR589" t="s">
        <v>46416</v>
      </c>
      <c r="AS589" t="s">
        <v>46499</v>
      </c>
      <c r="AT589" t="s">
        <v>46544</v>
      </c>
      <c r="AU589">
        <v>16.2</v>
      </c>
      <c r="AV589" t="s">
        <v>526</v>
      </c>
      <c r="AW589" t="s">
        <v>248</v>
      </c>
    </row>
    <row r="590" spans="1:50">
      <c r="A590" s="1">
        <f>HYPERLINK("https://lsnyc.legalserver.org/matter/dynamic-profile/view/1872737","18-1872737")</f>
        <v>0</v>
      </c>
      <c r="B590" t="s">
        <v>189</v>
      </c>
      <c r="C590" t="s">
        <v>341</v>
      </c>
      <c r="D590" t="s">
        <v>449</v>
      </c>
      <c r="E590" t="s">
        <v>519</v>
      </c>
      <c r="F590" t="s">
        <v>874</v>
      </c>
      <c r="G590" t="s">
        <v>5375</v>
      </c>
      <c r="H590" t="s">
        <v>10164</v>
      </c>
      <c r="I590" t="s">
        <v>17388</v>
      </c>
      <c r="J590" t="s">
        <v>18892</v>
      </c>
      <c r="K590">
        <v>10459</v>
      </c>
      <c r="L590" t="s">
        <v>18958</v>
      </c>
      <c r="M590" t="s">
        <v>18958</v>
      </c>
      <c r="N590" t="s">
        <v>19421</v>
      </c>
      <c r="O590" t="s">
        <v>26524</v>
      </c>
      <c r="P590" t="s">
        <v>26560</v>
      </c>
      <c r="Q590" t="s">
        <v>26574</v>
      </c>
      <c r="R590" t="s">
        <v>26578</v>
      </c>
      <c r="S590" t="s">
        <v>18959</v>
      </c>
      <c r="U590" t="s">
        <v>26604</v>
      </c>
      <c r="V590" t="s">
        <v>26614</v>
      </c>
      <c r="W590" t="s">
        <v>476</v>
      </c>
      <c r="X590">
        <v>605</v>
      </c>
      <c r="Y590" t="s">
        <v>26650</v>
      </c>
      <c r="Z590" t="s">
        <v>26656</v>
      </c>
      <c r="AA590" t="s">
        <v>26687</v>
      </c>
      <c r="AB590" t="s">
        <v>27257</v>
      </c>
      <c r="AD590" t="s">
        <v>37328</v>
      </c>
      <c r="AE590">
        <v>44</v>
      </c>
      <c r="AF590" t="s">
        <v>45541</v>
      </c>
      <c r="AH590">
        <v>34</v>
      </c>
      <c r="AI590">
        <v>2</v>
      </c>
      <c r="AJ590">
        <v>0</v>
      </c>
      <c r="AK590">
        <v>63.18</v>
      </c>
      <c r="AN590" t="s">
        <v>7439</v>
      </c>
      <c r="AO590">
        <v>10400</v>
      </c>
      <c r="AP590" t="s">
        <v>45621</v>
      </c>
      <c r="AQ590" t="s">
        <v>46371</v>
      </c>
      <c r="AR590" t="s">
        <v>46417</v>
      </c>
      <c r="AS590" t="s">
        <v>46500</v>
      </c>
      <c r="AT590" t="s">
        <v>46634</v>
      </c>
      <c r="AU590">
        <v>134.15</v>
      </c>
      <c r="AV590" t="s">
        <v>519</v>
      </c>
      <c r="AW590" t="s">
        <v>46854</v>
      </c>
    </row>
    <row r="591" spans="1:50">
      <c r="A591" s="1">
        <f>HYPERLINK("https://lsnyc.legalserver.org/matter/dynamic-profile/view/1873016","18-1873016")</f>
        <v>0</v>
      </c>
      <c r="B591" t="s">
        <v>149</v>
      </c>
      <c r="C591" t="s">
        <v>341</v>
      </c>
      <c r="D591" t="s">
        <v>440</v>
      </c>
      <c r="E591" t="s">
        <v>428</v>
      </c>
      <c r="F591" t="s">
        <v>1313</v>
      </c>
      <c r="G591" t="s">
        <v>5489</v>
      </c>
      <c r="H591" t="s">
        <v>10165</v>
      </c>
      <c r="I591" t="s">
        <v>17436</v>
      </c>
      <c r="J591" t="s">
        <v>18892</v>
      </c>
      <c r="K591">
        <v>10451</v>
      </c>
      <c r="L591" t="s">
        <v>18958</v>
      </c>
      <c r="M591" t="s">
        <v>18958</v>
      </c>
      <c r="N591" t="s">
        <v>19422</v>
      </c>
      <c r="O591" t="s">
        <v>26523</v>
      </c>
      <c r="P591" t="s">
        <v>26560</v>
      </c>
      <c r="Q591" t="s">
        <v>26568</v>
      </c>
      <c r="R591" t="s">
        <v>26578</v>
      </c>
      <c r="S591" t="s">
        <v>18959</v>
      </c>
      <c r="U591" t="s">
        <v>26604</v>
      </c>
      <c r="V591" t="s">
        <v>26612</v>
      </c>
      <c r="W591" t="s">
        <v>476</v>
      </c>
      <c r="X591">
        <v>927.1799999999999</v>
      </c>
      <c r="Y591" t="s">
        <v>26650</v>
      </c>
      <c r="Z591" t="s">
        <v>26673</v>
      </c>
      <c r="AA591" t="s">
        <v>26678</v>
      </c>
      <c r="AB591" t="s">
        <v>27258</v>
      </c>
      <c r="AD591" t="s">
        <v>37329</v>
      </c>
      <c r="AE591">
        <v>30</v>
      </c>
      <c r="AF591" t="s">
        <v>45541</v>
      </c>
      <c r="AG591" t="s">
        <v>19330</v>
      </c>
      <c r="AH591">
        <v>4</v>
      </c>
      <c r="AI591">
        <v>2</v>
      </c>
      <c r="AJ591">
        <v>0</v>
      </c>
      <c r="AK591">
        <v>115.14</v>
      </c>
      <c r="AN591" t="s">
        <v>45581</v>
      </c>
      <c r="AO591">
        <v>18952</v>
      </c>
      <c r="AQ591" t="s">
        <v>46365</v>
      </c>
      <c r="AR591" t="s">
        <v>46379</v>
      </c>
      <c r="AS591" t="s">
        <v>46499</v>
      </c>
      <c r="AT591" t="s">
        <v>46551</v>
      </c>
      <c r="AU591">
        <v>27.65</v>
      </c>
      <c r="AV591" t="s">
        <v>645</v>
      </c>
      <c r="AW591" t="s">
        <v>46846</v>
      </c>
    </row>
    <row r="592" spans="1:50">
      <c r="A592" s="1">
        <f>HYPERLINK("https://lsnyc.legalserver.org/matter/dynamic-profile/view/1873297","18-1873297")</f>
        <v>0</v>
      </c>
      <c r="B592" t="s">
        <v>169</v>
      </c>
      <c r="C592" t="s">
        <v>341</v>
      </c>
      <c r="D592" t="s">
        <v>464</v>
      </c>
      <c r="E592" t="s">
        <v>631</v>
      </c>
      <c r="F592" t="s">
        <v>1314</v>
      </c>
      <c r="G592" t="s">
        <v>5490</v>
      </c>
      <c r="H592" t="s">
        <v>10166</v>
      </c>
      <c r="I592" t="s">
        <v>17293</v>
      </c>
      <c r="J592" t="s">
        <v>18892</v>
      </c>
      <c r="K592">
        <v>10457</v>
      </c>
      <c r="L592" t="s">
        <v>18958</v>
      </c>
      <c r="M592" t="s">
        <v>18958</v>
      </c>
      <c r="N592" t="s">
        <v>19423</v>
      </c>
      <c r="O592" t="s">
        <v>26523</v>
      </c>
      <c r="P592" t="s">
        <v>26560</v>
      </c>
      <c r="Q592" t="s">
        <v>26568</v>
      </c>
      <c r="R592" t="s">
        <v>26579</v>
      </c>
      <c r="S592" t="s">
        <v>18959</v>
      </c>
      <c r="U592" t="s">
        <v>26604</v>
      </c>
      <c r="V592" t="s">
        <v>26610</v>
      </c>
      <c r="W592" t="s">
        <v>476</v>
      </c>
      <c r="X592">
        <v>879</v>
      </c>
      <c r="Y592" t="s">
        <v>26650</v>
      </c>
      <c r="Z592" t="s">
        <v>26664</v>
      </c>
      <c r="AA592" t="s">
        <v>26678</v>
      </c>
      <c r="AB592" t="s">
        <v>27259</v>
      </c>
      <c r="AD592" t="s">
        <v>37330</v>
      </c>
      <c r="AE592">
        <v>0</v>
      </c>
      <c r="AF592" t="s">
        <v>45541</v>
      </c>
      <c r="AG592" t="s">
        <v>45556</v>
      </c>
      <c r="AH592">
        <v>12</v>
      </c>
      <c r="AI592">
        <v>3</v>
      </c>
      <c r="AJ592">
        <v>0</v>
      </c>
      <c r="AK592">
        <v>117.11</v>
      </c>
      <c r="AN592" t="s">
        <v>45581</v>
      </c>
      <c r="AO592">
        <v>24336</v>
      </c>
      <c r="AQ592" t="s">
        <v>46362</v>
      </c>
      <c r="AR592" t="s">
        <v>46380</v>
      </c>
      <c r="AS592" t="s">
        <v>46499</v>
      </c>
      <c r="AT592" t="s">
        <v>46635</v>
      </c>
      <c r="AU592">
        <v>13.7</v>
      </c>
      <c r="AV592" t="s">
        <v>631</v>
      </c>
      <c r="AW592" t="s">
        <v>46854</v>
      </c>
    </row>
    <row r="593" spans="1:50">
      <c r="A593" s="1">
        <f>HYPERLINK("https://lsnyc.legalserver.org/matter/dynamic-profile/view/1873300","18-1873300")</f>
        <v>0</v>
      </c>
      <c r="B593" t="s">
        <v>57</v>
      </c>
      <c r="C593" t="s">
        <v>340</v>
      </c>
      <c r="D593" t="s">
        <v>464</v>
      </c>
      <c r="F593" t="s">
        <v>871</v>
      </c>
      <c r="G593" t="s">
        <v>4092</v>
      </c>
      <c r="H593" t="s">
        <v>10167</v>
      </c>
      <c r="I593">
        <v>501</v>
      </c>
      <c r="J593" t="s">
        <v>18892</v>
      </c>
      <c r="K593">
        <v>10467</v>
      </c>
      <c r="L593" t="s">
        <v>18958</v>
      </c>
      <c r="M593" t="s">
        <v>18958</v>
      </c>
      <c r="N593" t="s">
        <v>19424</v>
      </c>
      <c r="O593" t="s">
        <v>26523</v>
      </c>
      <c r="P593" t="s">
        <v>26560</v>
      </c>
      <c r="R593" t="s">
        <v>26579</v>
      </c>
      <c r="S593" t="s">
        <v>18959</v>
      </c>
      <c r="U593" t="s">
        <v>26604</v>
      </c>
      <c r="V593" t="s">
        <v>26610</v>
      </c>
      <c r="W593" t="s">
        <v>476</v>
      </c>
      <c r="X593">
        <v>1854</v>
      </c>
      <c r="Y593" t="s">
        <v>26650</v>
      </c>
      <c r="Z593" t="s">
        <v>26664</v>
      </c>
      <c r="AB593" t="s">
        <v>27260</v>
      </c>
      <c r="AC593" t="s">
        <v>34682</v>
      </c>
      <c r="AD593" t="s">
        <v>37331</v>
      </c>
      <c r="AE593">
        <v>512</v>
      </c>
      <c r="AF593" t="s">
        <v>45541</v>
      </c>
      <c r="AG593" t="s">
        <v>19330</v>
      </c>
      <c r="AH593">
        <v>1</v>
      </c>
      <c r="AI593">
        <v>1</v>
      </c>
      <c r="AJ593">
        <v>1</v>
      </c>
      <c r="AK593">
        <v>0</v>
      </c>
      <c r="AN593" t="s">
        <v>45581</v>
      </c>
      <c r="AO593">
        <v>0</v>
      </c>
      <c r="AU593">
        <v>48.8</v>
      </c>
      <c r="AV593" t="s">
        <v>822</v>
      </c>
      <c r="AW593" t="s">
        <v>46837</v>
      </c>
    </row>
    <row r="594" spans="1:50">
      <c r="A594" s="1">
        <f>HYPERLINK("https://lsnyc.legalserver.org/matter/dynamic-profile/view/1873154","18-1873154")</f>
        <v>0</v>
      </c>
      <c r="B594" t="s">
        <v>153</v>
      </c>
      <c r="C594" t="s">
        <v>341</v>
      </c>
      <c r="D594" t="s">
        <v>447</v>
      </c>
      <c r="E594" t="s">
        <v>762</v>
      </c>
      <c r="F594" t="s">
        <v>1082</v>
      </c>
      <c r="G594" t="s">
        <v>5147</v>
      </c>
      <c r="H594" t="s">
        <v>10168</v>
      </c>
      <c r="I594" t="s">
        <v>17408</v>
      </c>
      <c r="J594" t="s">
        <v>18902</v>
      </c>
      <c r="K594">
        <v>10310</v>
      </c>
      <c r="L594" t="s">
        <v>18958</v>
      </c>
      <c r="M594" t="s">
        <v>18958</v>
      </c>
      <c r="N594" t="s">
        <v>19425</v>
      </c>
      <c r="O594" t="s">
        <v>26524</v>
      </c>
      <c r="P594" t="s">
        <v>26560</v>
      </c>
      <c r="Q594" t="s">
        <v>26568</v>
      </c>
      <c r="R594" t="s">
        <v>26578</v>
      </c>
      <c r="S594" t="s">
        <v>18959</v>
      </c>
      <c r="U594" t="s">
        <v>26604</v>
      </c>
      <c r="V594" t="s">
        <v>26610</v>
      </c>
      <c r="W594" t="s">
        <v>476</v>
      </c>
      <c r="X594">
        <v>2168</v>
      </c>
      <c r="Y594" t="s">
        <v>26654</v>
      </c>
      <c r="Z594" t="s">
        <v>26663</v>
      </c>
      <c r="AA594" t="s">
        <v>26679</v>
      </c>
      <c r="AB594" t="s">
        <v>27261</v>
      </c>
      <c r="AD594" t="s">
        <v>37332</v>
      </c>
      <c r="AE594">
        <v>2</v>
      </c>
      <c r="AF594" t="s">
        <v>45547</v>
      </c>
      <c r="AG594" t="s">
        <v>45556</v>
      </c>
      <c r="AH594">
        <v>10</v>
      </c>
      <c r="AI594">
        <v>3</v>
      </c>
      <c r="AJ594">
        <v>0</v>
      </c>
      <c r="AK594">
        <v>41.29</v>
      </c>
      <c r="AN594" t="s">
        <v>45581</v>
      </c>
      <c r="AO594">
        <v>8580</v>
      </c>
      <c r="AU594">
        <v>5.6</v>
      </c>
      <c r="AV594" t="s">
        <v>757</v>
      </c>
      <c r="AW594" t="s">
        <v>190</v>
      </c>
    </row>
    <row r="595" spans="1:50">
      <c r="A595" s="1">
        <f>HYPERLINK("https://lsnyc.legalserver.org/matter/dynamic-profile/view/1873573","18-1873573")</f>
        <v>0</v>
      </c>
      <c r="B595" t="s">
        <v>115</v>
      </c>
      <c r="C595" t="s">
        <v>340</v>
      </c>
      <c r="D595" t="s">
        <v>447</v>
      </c>
      <c r="F595" t="s">
        <v>1000</v>
      </c>
      <c r="G595" t="s">
        <v>5186</v>
      </c>
      <c r="H595" t="s">
        <v>9760</v>
      </c>
      <c r="I595" t="s">
        <v>17358</v>
      </c>
      <c r="J595" t="s">
        <v>18892</v>
      </c>
      <c r="K595">
        <v>10452</v>
      </c>
      <c r="L595" t="s">
        <v>18958</v>
      </c>
      <c r="M595" t="s">
        <v>18958</v>
      </c>
      <c r="N595" t="s">
        <v>19426</v>
      </c>
      <c r="O595" t="s">
        <v>26526</v>
      </c>
      <c r="P595" t="s">
        <v>26560</v>
      </c>
      <c r="R595" t="s">
        <v>26578</v>
      </c>
      <c r="S595" t="s">
        <v>18958</v>
      </c>
      <c r="U595" t="s">
        <v>26604</v>
      </c>
      <c r="W595" t="s">
        <v>476</v>
      </c>
      <c r="X595">
        <v>177</v>
      </c>
      <c r="Y595" t="s">
        <v>26650</v>
      </c>
      <c r="Z595" t="s">
        <v>26663</v>
      </c>
      <c r="AB595" t="s">
        <v>26843</v>
      </c>
      <c r="AE595">
        <v>149</v>
      </c>
      <c r="AF595" t="s">
        <v>45541</v>
      </c>
      <c r="AG595" t="s">
        <v>45559</v>
      </c>
      <c r="AH595">
        <v>11</v>
      </c>
      <c r="AI595">
        <v>1</v>
      </c>
      <c r="AJ595">
        <v>0</v>
      </c>
      <c r="AK595">
        <v>83.62</v>
      </c>
      <c r="AN595" t="s">
        <v>7439</v>
      </c>
      <c r="AO595">
        <v>10152</v>
      </c>
      <c r="AU595">
        <v>33.4</v>
      </c>
      <c r="AV595" t="s">
        <v>827</v>
      </c>
      <c r="AW595" t="s">
        <v>46832</v>
      </c>
    </row>
    <row r="596" spans="1:50">
      <c r="A596" s="1">
        <f>HYPERLINK("https://lsnyc.legalserver.org/matter/dynamic-profile/view/1873635","18-1873635")</f>
        <v>0</v>
      </c>
      <c r="B596" t="s">
        <v>149</v>
      </c>
      <c r="C596" t="s">
        <v>341</v>
      </c>
      <c r="D596" t="s">
        <v>476</v>
      </c>
      <c r="E596" t="s">
        <v>605</v>
      </c>
      <c r="F596" t="s">
        <v>1116</v>
      </c>
      <c r="G596" t="s">
        <v>5300</v>
      </c>
      <c r="H596" t="s">
        <v>9900</v>
      </c>
      <c r="I596" t="s">
        <v>17306</v>
      </c>
      <c r="J596" t="s">
        <v>18892</v>
      </c>
      <c r="K596">
        <v>10457</v>
      </c>
      <c r="L596" t="s">
        <v>18958</v>
      </c>
      <c r="M596" t="s">
        <v>18958</v>
      </c>
      <c r="O596" t="s">
        <v>26524</v>
      </c>
      <c r="P596" t="s">
        <v>26565</v>
      </c>
      <c r="Q596" t="s">
        <v>26571</v>
      </c>
      <c r="R596" t="s">
        <v>26578</v>
      </c>
      <c r="S596" t="s">
        <v>18959</v>
      </c>
      <c r="U596" t="s">
        <v>26604</v>
      </c>
      <c r="V596" t="s">
        <v>26610</v>
      </c>
      <c r="W596" t="s">
        <v>476</v>
      </c>
      <c r="X596">
        <v>931</v>
      </c>
      <c r="Y596" t="s">
        <v>26650</v>
      </c>
      <c r="Z596" t="s">
        <v>26663</v>
      </c>
      <c r="AA596" t="s">
        <v>26682</v>
      </c>
      <c r="AB596" t="s">
        <v>26987</v>
      </c>
      <c r="AD596" t="s">
        <v>37078</v>
      </c>
      <c r="AE596">
        <v>36</v>
      </c>
      <c r="AF596" t="s">
        <v>45543</v>
      </c>
      <c r="AG596" t="s">
        <v>45556</v>
      </c>
      <c r="AH596">
        <v>30</v>
      </c>
      <c r="AI596">
        <v>2</v>
      </c>
      <c r="AJ596">
        <v>0</v>
      </c>
      <c r="AK596">
        <v>54.68</v>
      </c>
      <c r="AN596" t="s">
        <v>7439</v>
      </c>
      <c r="AO596">
        <v>9000</v>
      </c>
      <c r="AQ596" t="s">
        <v>46362</v>
      </c>
      <c r="AR596" t="s">
        <v>46415</v>
      </c>
      <c r="AS596" t="s">
        <v>46499</v>
      </c>
      <c r="AT596" t="s">
        <v>46621</v>
      </c>
      <c r="AU596">
        <v>0.5</v>
      </c>
      <c r="AV596" t="s">
        <v>466</v>
      </c>
      <c r="AW596" t="s">
        <v>336</v>
      </c>
    </row>
    <row r="597" spans="1:50">
      <c r="A597" s="1">
        <f>HYPERLINK("https://lsnyc.legalserver.org/matter/dynamic-profile/view/1872507","18-1872507")</f>
        <v>0</v>
      </c>
      <c r="B597" t="s">
        <v>131</v>
      </c>
      <c r="C597" t="s">
        <v>341</v>
      </c>
      <c r="D597" t="s">
        <v>476</v>
      </c>
      <c r="E597" t="s">
        <v>805</v>
      </c>
      <c r="F597" t="s">
        <v>895</v>
      </c>
      <c r="G597" t="s">
        <v>5491</v>
      </c>
      <c r="H597" t="s">
        <v>10169</v>
      </c>
      <c r="J597" t="s">
        <v>18902</v>
      </c>
      <c r="K597">
        <v>10312</v>
      </c>
      <c r="L597" t="s">
        <v>18958</v>
      </c>
      <c r="M597" t="s">
        <v>18958</v>
      </c>
      <c r="N597" t="s">
        <v>19427</v>
      </c>
      <c r="O597" t="s">
        <v>26524</v>
      </c>
      <c r="P597" t="s">
        <v>26560</v>
      </c>
      <c r="Q597" t="s">
        <v>26568</v>
      </c>
      <c r="R597" t="s">
        <v>26589</v>
      </c>
      <c r="S597" t="s">
        <v>18959</v>
      </c>
      <c r="U597" t="s">
        <v>26604</v>
      </c>
      <c r="V597" t="s">
        <v>26610</v>
      </c>
      <c r="W597" t="s">
        <v>476</v>
      </c>
      <c r="X597">
        <v>0</v>
      </c>
      <c r="Y597" t="s">
        <v>26654</v>
      </c>
      <c r="Z597" t="s">
        <v>26671</v>
      </c>
      <c r="AA597" t="s">
        <v>26678</v>
      </c>
      <c r="AB597" t="s">
        <v>27262</v>
      </c>
      <c r="AD597" t="s">
        <v>37333</v>
      </c>
      <c r="AE597">
        <v>44</v>
      </c>
      <c r="AF597" t="s">
        <v>45547</v>
      </c>
      <c r="AG597" t="s">
        <v>19330</v>
      </c>
      <c r="AH597">
        <v>4</v>
      </c>
      <c r="AI597">
        <v>1</v>
      </c>
      <c r="AJ597">
        <v>0</v>
      </c>
      <c r="AK597">
        <v>80.26000000000001</v>
      </c>
      <c r="AL597" t="s">
        <v>45567</v>
      </c>
      <c r="AM597" t="s">
        <v>45577</v>
      </c>
      <c r="AN597" t="s">
        <v>7439</v>
      </c>
      <c r="AO597">
        <v>9744</v>
      </c>
      <c r="AQ597" t="s">
        <v>46362</v>
      </c>
      <c r="AR597" t="s">
        <v>26530</v>
      </c>
      <c r="AU597">
        <v>5.9</v>
      </c>
      <c r="AV597" t="s">
        <v>805</v>
      </c>
      <c r="AW597" t="s">
        <v>210</v>
      </c>
      <c r="AX597" t="s">
        <v>46897</v>
      </c>
    </row>
    <row r="598" spans="1:50">
      <c r="A598" s="1">
        <f>HYPERLINK("https://lsnyc.legalserver.org/matter/dynamic-profile/view/1873640","18-1873640")</f>
        <v>0</v>
      </c>
      <c r="B598" t="s">
        <v>56</v>
      </c>
      <c r="C598" t="s">
        <v>341</v>
      </c>
      <c r="D598" t="s">
        <v>476</v>
      </c>
      <c r="E598" t="s">
        <v>712</v>
      </c>
      <c r="F598" t="s">
        <v>1315</v>
      </c>
      <c r="G598" t="s">
        <v>5492</v>
      </c>
      <c r="H598" t="s">
        <v>10170</v>
      </c>
      <c r="I598" t="s">
        <v>17430</v>
      </c>
      <c r="J598" t="s">
        <v>18892</v>
      </c>
      <c r="K598">
        <v>10453</v>
      </c>
      <c r="L598" t="s">
        <v>18958</v>
      </c>
      <c r="M598" t="s">
        <v>18958</v>
      </c>
      <c r="N598" t="s">
        <v>19428</v>
      </c>
      <c r="O598" t="s">
        <v>26523</v>
      </c>
      <c r="P598" t="s">
        <v>26564</v>
      </c>
      <c r="Q598" t="s">
        <v>26570</v>
      </c>
      <c r="R598" t="s">
        <v>26577</v>
      </c>
      <c r="U598" t="s">
        <v>26604</v>
      </c>
      <c r="V598" t="s">
        <v>26610</v>
      </c>
      <c r="W598" t="s">
        <v>476</v>
      </c>
      <c r="X598">
        <v>1384</v>
      </c>
      <c r="Y598" t="s">
        <v>26650</v>
      </c>
      <c r="Z598" t="s">
        <v>26656</v>
      </c>
      <c r="AA598" t="s">
        <v>26683</v>
      </c>
      <c r="AB598" t="s">
        <v>27263</v>
      </c>
      <c r="AD598" t="s">
        <v>37334</v>
      </c>
      <c r="AE598">
        <v>3</v>
      </c>
      <c r="AF598" t="s">
        <v>20460</v>
      </c>
      <c r="AG598" t="s">
        <v>45556</v>
      </c>
      <c r="AH598">
        <v>6</v>
      </c>
      <c r="AI598">
        <v>1</v>
      </c>
      <c r="AJ598">
        <v>0</v>
      </c>
      <c r="AK598">
        <v>74.14</v>
      </c>
      <c r="AN598" t="s">
        <v>45581</v>
      </c>
      <c r="AO598">
        <v>9000</v>
      </c>
      <c r="AU598">
        <v>1</v>
      </c>
      <c r="AV598" t="s">
        <v>476</v>
      </c>
      <c r="AW598" t="s">
        <v>46836</v>
      </c>
    </row>
    <row r="599" spans="1:50">
      <c r="A599" s="1">
        <f>HYPERLINK("https://lsnyc.legalserver.org/matter/dynamic-profile/view/1873583","18-1873583")</f>
        <v>0</v>
      </c>
      <c r="B599" t="s">
        <v>190</v>
      </c>
      <c r="C599" t="s">
        <v>341</v>
      </c>
      <c r="D599" t="s">
        <v>476</v>
      </c>
      <c r="E599" t="s">
        <v>582</v>
      </c>
      <c r="F599" t="s">
        <v>948</v>
      </c>
      <c r="G599" t="s">
        <v>5493</v>
      </c>
      <c r="H599" t="s">
        <v>10171</v>
      </c>
      <c r="I599">
        <v>1</v>
      </c>
      <c r="J599" t="s">
        <v>18902</v>
      </c>
      <c r="K599">
        <v>10303</v>
      </c>
      <c r="L599" t="s">
        <v>18958</v>
      </c>
      <c r="M599" t="s">
        <v>18958</v>
      </c>
      <c r="N599" t="s">
        <v>19429</v>
      </c>
      <c r="O599" t="s">
        <v>26523</v>
      </c>
      <c r="P599" t="s">
        <v>26560</v>
      </c>
      <c r="Q599" t="s">
        <v>26570</v>
      </c>
      <c r="R599" t="s">
        <v>26590</v>
      </c>
      <c r="S599" t="s">
        <v>18959</v>
      </c>
      <c r="U599" t="s">
        <v>26604</v>
      </c>
      <c r="V599" t="s">
        <v>26610</v>
      </c>
      <c r="W599" t="s">
        <v>476</v>
      </c>
      <c r="X599">
        <v>227</v>
      </c>
      <c r="Y599" t="s">
        <v>26654</v>
      </c>
      <c r="Z599" t="s">
        <v>26656</v>
      </c>
      <c r="AA599" t="s">
        <v>26678</v>
      </c>
      <c r="AB599" t="s">
        <v>27264</v>
      </c>
      <c r="AD599" t="s">
        <v>37335</v>
      </c>
      <c r="AE599">
        <v>2</v>
      </c>
      <c r="AF599" t="s">
        <v>45547</v>
      </c>
      <c r="AG599" t="s">
        <v>45562</v>
      </c>
      <c r="AH599">
        <v>2</v>
      </c>
      <c r="AI599">
        <v>1</v>
      </c>
      <c r="AJ599">
        <v>0</v>
      </c>
      <c r="AK599">
        <v>72.65000000000001</v>
      </c>
      <c r="AN599" t="s">
        <v>7439</v>
      </c>
      <c r="AO599">
        <v>8820</v>
      </c>
      <c r="AU599">
        <v>0.2</v>
      </c>
      <c r="AV599" t="s">
        <v>596</v>
      </c>
      <c r="AW599" t="s">
        <v>190</v>
      </c>
    </row>
    <row r="600" spans="1:50">
      <c r="A600" s="1">
        <f>HYPERLINK("https://lsnyc.legalserver.org/matter/dynamic-profile/view/1873604","18-1873604")</f>
        <v>0</v>
      </c>
      <c r="B600" t="s">
        <v>121</v>
      </c>
      <c r="C600" t="s">
        <v>341</v>
      </c>
      <c r="D600" t="s">
        <v>476</v>
      </c>
      <c r="E600" t="s">
        <v>829</v>
      </c>
      <c r="F600" t="s">
        <v>1316</v>
      </c>
      <c r="G600" t="s">
        <v>5494</v>
      </c>
      <c r="H600" t="s">
        <v>10172</v>
      </c>
      <c r="I600" t="s">
        <v>17275</v>
      </c>
      <c r="J600" t="s">
        <v>18892</v>
      </c>
      <c r="K600">
        <v>10467</v>
      </c>
      <c r="L600" t="s">
        <v>18958</v>
      </c>
      <c r="M600" t="s">
        <v>18958</v>
      </c>
      <c r="N600" t="s">
        <v>19430</v>
      </c>
      <c r="O600" t="s">
        <v>26523</v>
      </c>
      <c r="P600" t="s">
        <v>26560</v>
      </c>
      <c r="Q600" t="s">
        <v>26568</v>
      </c>
      <c r="R600" t="s">
        <v>26579</v>
      </c>
      <c r="S600" t="s">
        <v>18959</v>
      </c>
      <c r="U600" t="s">
        <v>26604</v>
      </c>
      <c r="V600" t="s">
        <v>26610</v>
      </c>
      <c r="W600" t="s">
        <v>476</v>
      </c>
      <c r="X600">
        <v>1183</v>
      </c>
      <c r="Y600" t="s">
        <v>26650</v>
      </c>
      <c r="Z600" t="s">
        <v>26661</v>
      </c>
      <c r="AA600" t="s">
        <v>26678</v>
      </c>
      <c r="AB600" t="s">
        <v>27265</v>
      </c>
      <c r="AC600" t="s">
        <v>34683</v>
      </c>
      <c r="AD600" t="s">
        <v>37336</v>
      </c>
      <c r="AE600">
        <v>0</v>
      </c>
      <c r="AF600" t="s">
        <v>45541</v>
      </c>
      <c r="AG600" t="s">
        <v>19330</v>
      </c>
      <c r="AH600">
        <v>19</v>
      </c>
      <c r="AI600">
        <v>4</v>
      </c>
      <c r="AJ600">
        <v>3</v>
      </c>
      <c r="AK600">
        <v>74.16</v>
      </c>
      <c r="AN600" t="s">
        <v>45584</v>
      </c>
      <c r="AO600">
        <v>28224</v>
      </c>
      <c r="AP600" t="s">
        <v>45621</v>
      </c>
      <c r="AR600" t="s">
        <v>46405</v>
      </c>
      <c r="AS600" t="s">
        <v>46499</v>
      </c>
      <c r="AT600" t="s">
        <v>46636</v>
      </c>
      <c r="AU600">
        <v>9.800000000000001</v>
      </c>
      <c r="AV600" t="s">
        <v>704</v>
      </c>
      <c r="AW600" t="s">
        <v>46854</v>
      </c>
    </row>
    <row r="601" spans="1:50">
      <c r="A601" s="1">
        <f>HYPERLINK("https://lsnyc.legalserver.org/matter/dynamic-profile/view/1873610","18-1873610")</f>
        <v>0</v>
      </c>
      <c r="B601" t="s">
        <v>122</v>
      </c>
      <c r="C601" t="s">
        <v>341</v>
      </c>
      <c r="D601" t="s">
        <v>476</v>
      </c>
      <c r="E601" t="s">
        <v>498</v>
      </c>
      <c r="F601" t="s">
        <v>1317</v>
      </c>
      <c r="G601" t="s">
        <v>5495</v>
      </c>
      <c r="H601" t="s">
        <v>10173</v>
      </c>
      <c r="I601" t="s">
        <v>17435</v>
      </c>
      <c r="J601" t="s">
        <v>18928</v>
      </c>
      <c r="K601">
        <v>11365</v>
      </c>
      <c r="L601" t="s">
        <v>18958</v>
      </c>
      <c r="M601" t="s">
        <v>18958</v>
      </c>
      <c r="N601" t="s">
        <v>19431</v>
      </c>
      <c r="O601" t="s">
        <v>26526</v>
      </c>
      <c r="P601" t="s">
        <v>26564</v>
      </c>
      <c r="Q601" t="s">
        <v>26570</v>
      </c>
      <c r="R601" t="s">
        <v>26584</v>
      </c>
      <c r="S601" t="s">
        <v>18959</v>
      </c>
      <c r="U601" t="s">
        <v>26604</v>
      </c>
      <c r="V601" t="s">
        <v>26610</v>
      </c>
      <c r="W601" t="s">
        <v>476</v>
      </c>
      <c r="X601">
        <v>1150</v>
      </c>
      <c r="Y601" t="s">
        <v>26653</v>
      </c>
      <c r="Z601" t="s">
        <v>26530</v>
      </c>
      <c r="AA601" t="s">
        <v>26683</v>
      </c>
      <c r="AB601" t="s">
        <v>27266</v>
      </c>
      <c r="AD601" t="s">
        <v>37337</v>
      </c>
      <c r="AE601">
        <v>2</v>
      </c>
      <c r="AF601" t="s">
        <v>45547</v>
      </c>
      <c r="AG601" t="s">
        <v>19330</v>
      </c>
      <c r="AH601">
        <v>1</v>
      </c>
      <c r="AI601">
        <v>1</v>
      </c>
      <c r="AJ601">
        <v>2</v>
      </c>
      <c r="AK601">
        <v>44.75</v>
      </c>
      <c r="AN601" t="s">
        <v>45595</v>
      </c>
      <c r="AO601">
        <v>9300</v>
      </c>
      <c r="AU601">
        <v>2.95</v>
      </c>
      <c r="AV601" t="s">
        <v>498</v>
      </c>
      <c r="AW601" t="s">
        <v>122</v>
      </c>
    </row>
    <row r="602" spans="1:50">
      <c r="A602" s="1">
        <f>HYPERLINK("https://lsnyc.legalserver.org/matter/dynamic-profile/view/1873627","18-1873627")</f>
        <v>0</v>
      </c>
      <c r="B602" t="s">
        <v>54</v>
      </c>
      <c r="C602" t="s">
        <v>341</v>
      </c>
      <c r="D602" t="s">
        <v>476</v>
      </c>
      <c r="E602" t="s">
        <v>683</v>
      </c>
      <c r="F602" t="s">
        <v>887</v>
      </c>
      <c r="G602" t="s">
        <v>5360</v>
      </c>
      <c r="H602" t="s">
        <v>9949</v>
      </c>
      <c r="I602" t="s">
        <v>17277</v>
      </c>
      <c r="J602" t="s">
        <v>18892</v>
      </c>
      <c r="K602">
        <v>10457</v>
      </c>
      <c r="L602" t="s">
        <v>18958</v>
      </c>
      <c r="M602" t="s">
        <v>18958</v>
      </c>
      <c r="N602" t="s">
        <v>19432</v>
      </c>
      <c r="O602" t="s">
        <v>26523</v>
      </c>
      <c r="P602" t="s">
        <v>26560</v>
      </c>
      <c r="Q602" t="s">
        <v>26568</v>
      </c>
      <c r="R602" t="s">
        <v>26579</v>
      </c>
      <c r="S602" t="s">
        <v>18959</v>
      </c>
      <c r="U602" t="s">
        <v>26604</v>
      </c>
      <c r="V602" t="s">
        <v>26609</v>
      </c>
      <c r="W602" t="s">
        <v>476</v>
      </c>
      <c r="X602">
        <v>1169.78</v>
      </c>
      <c r="Y602" t="s">
        <v>26650</v>
      </c>
      <c r="Z602" t="s">
        <v>26662</v>
      </c>
      <c r="AA602" t="s">
        <v>26678</v>
      </c>
      <c r="AB602" t="s">
        <v>27267</v>
      </c>
      <c r="AC602" t="s">
        <v>34684</v>
      </c>
      <c r="AD602" t="s">
        <v>37338</v>
      </c>
      <c r="AE602">
        <v>32</v>
      </c>
      <c r="AF602" t="s">
        <v>45541</v>
      </c>
      <c r="AG602" t="s">
        <v>45561</v>
      </c>
      <c r="AH602">
        <v>18</v>
      </c>
      <c r="AI602">
        <v>1</v>
      </c>
      <c r="AJ602">
        <v>0</v>
      </c>
      <c r="AK602">
        <v>82.54000000000001</v>
      </c>
      <c r="AN602" t="s">
        <v>7439</v>
      </c>
      <c r="AO602">
        <v>10020</v>
      </c>
      <c r="AP602" t="s">
        <v>45627</v>
      </c>
      <c r="AQ602" t="s">
        <v>46362</v>
      </c>
      <c r="AR602" t="s">
        <v>46380</v>
      </c>
      <c r="AS602" t="s">
        <v>46499</v>
      </c>
      <c r="AT602" t="s">
        <v>46529</v>
      </c>
      <c r="AU602">
        <v>3.7</v>
      </c>
      <c r="AV602" t="s">
        <v>683</v>
      </c>
      <c r="AW602" t="s">
        <v>46832</v>
      </c>
    </row>
    <row r="603" spans="1:50">
      <c r="A603" s="1">
        <f>HYPERLINK("https://lsnyc.legalserver.org/matter/dynamic-profile/view/1873600","18-1873600")</f>
        <v>0</v>
      </c>
      <c r="B603" t="s">
        <v>191</v>
      </c>
      <c r="C603" t="s">
        <v>340</v>
      </c>
      <c r="D603" t="s">
        <v>476</v>
      </c>
      <c r="F603" t="s">
        <v>1318</v>
      </c>
      <c r="G603" t="s">
        <v>5496</v>
      </c>
      <c r="H603" t="s">
        <v>10174</v>
      </c>
      <c r="I603">
        <v>402</v>
      </c>
      <c r="J603" t="s">
        <v>18893</v>
      </c>
      <c r="K603">
        <v>10029</v>
      </c>
      <c r="L603" t="s">
        <v>18958</v>
      </c>
      <c r="M603" t="s">
        <v>18958</v>
      </c>
      <c r="N603" t="s">
        <v>19433</v>
      </c>
      <c r="O603" t="s">
        <v>26523</v>
      </c>
      <c r="P603" t="s">
        <v>26560</v>
      </c>
      <c r="R603" t="s">
        <v>26578</v>
      </c>
      <c r="S603" t="s">
        <v>18959</v>
      </c>
      <c r="U603" t="s">
        <v>26604</v>
      </c>
      <c r="W603" t="s">
        <v>476</v>
      </c>
      <c r="X603">
        <v>0</v>
      </c>
      <c r="Y603" t="s">
        <v>26651</v>
      </c>
      <c r="Z603" t="s">
        <v>26667</v>
      </c>
      <c r="AB603" t="s">
        <v>27268</v>
      </c>
      <c r="AE603">
        <v>108</v>
      </c>
      <c r="AF603" t="s">
        <v>45543</v>
      </c>
      <c r="AG603" t="s">
        <v>45556</v>
      </c>
      <c r="AH603">
        <v>4</v>
      </c>
      <c r="AI603">
        <v>1</v>
      </c>
      <c r="AJ603">
        <v>1</v>
      </c>
      <c r="AK603">
        <v>233.29</v>
      </c>
      <c r="AL603" t="s">
        <v>614</v>
      </c>
      <c r="AM603" t="s">
        <v>45575</v>
      </c>
      <c r="AN603" t="s">
        <v>7439</v>
      </c>
      <c r="AO603">
        <v>38400</v>
      </c>
      <c r="AU603">
        <v>5.55</v>
      </c>
      <c r="AV603" t="s">
        <v>819</v>
      </c>
      <c r="AW603" t="s">
        <v>46835</v>
      </c>
    </row>
    <row r="604" spans="1:50">
      <c r="A604" s="1">
        <f>HYPERLINK("https://lsnyc.legalserver.org/matter/dynamic-profile/view/1873585","18-1873585")</f>
        <v>0</v>
      </c>
      <c r="B604" t="s">
        <v>79</v>
      </c>
      <c r="C604" t="s">
        <v>340</v>
      </c>
      <c r="D604" t="s">
        <v>476</v>
      </c>
      <c r="F604" t="s">
        <v>1319</v>
      </c>
      <c r="G604" t="s">
        <v>5497</v>
      </c>
      <c r="H604" t="s">
        <v>9854</v>
      </c>
      <c r="I604" t="s">
        <v>17478</v>
      </c>
      <c r="J604" t="s">
        <v>18893</v>
      </c>
      <c r="K604">
        <v>10033</v>
      </c>
      <c r="L604" t="s">
        <v>18958</v>
      </c>
      <c r="M604" t="s">
        <v>18958</v>
      </c>
      <c r="O604" t="s">
        <v>26526</v>
      </c>
      <c r="P604" t="s">
        <v>26560</v>
      </c>
      <c r="R604" t="s">
        <v>26578</v>
      </c>
      <c r="S604" t="s">
        <v>18958</v>
      </c>
      <c r="U604" t="s">
        <v>26604</v>
      </c>
      <c r="W604" t="s">
        <v>476</v>
      </c>
      <c r="X604">
        <v>1429.45</v>
      </c>
      <c r="Y604" t="s">
        <v>26651</v>
      </c>
      <c r="Z604" t="s">
        <v>26667</v>
      </c>
      <c r="AB604" t="s">
        <v>27269</v>
      </c>
      <c r="AD604" t="s">
        <v>37339</v>
      </c>
      <c r="AE604">
        <v>232</v>
      </c>
      <c r="AF604" t="s">
        <v>45541</v>
      </c>
      <c r="AG604" t="s">
        <v>45556</v>
      </c>
      <c r="AH604">
        <v>24</v>
      </c>
      <c r="AI604">
        <v>1</v>
      </c>
      <c r="AJ604">
        <v>1</v>
      </c>
      <c r="AK604">
        <v>260.47</v>
      </c>
      <c r="AN604" t="s">
        <v>45581</v>
      </c>
      <c r="AO604">
        <v>42873</v>
      </c>
      <c r="AU604">
        <v>0.7</v>
      </c>
      <c r="AV604" t="s">
        <v>827</v>
      </c>
      <c r="AW604" t="s">
        <v>46840</v>
      </c>
    </row>
    <row r="605" spans="1:50">
      <c r="A605" s="1">
        <f>HYPERLINK("https://lsnyc.legalserver.org/matter/dynamic-profile/view/1872295","18-1872295")</f>
        <v>0</v>
      </c>
      <c r="B605" t="s">
        <v>110</v>
      </c>
      <c r="C605" t="s">
        <v>340</v>
      </c>
      <c r="D605" t="s">
        <v>476</v>
      </c>
      <c r="F605" t="s">
        <v>1320</v>
      </c>
      <c r="G605" t="s">
        <v>5498</v>
      </c>
      <c r="H605" t="s">
        <v>10175</v>
      </c>
      <c r="J605" t="s">
        <v>18901</v>
      </c>
      <c r="K605">
        <v>11433</v>
      </c>
      <c r="L605" t="s">
        <v>18958</v>
      </c>
      <c r="M605" t="s">
        <v>18958</v>
      </c>
      <c r="N605" t="s">
        <v>19434</v>
      </c>
      <c r="O605" t="s">
        <v>26524</v>
      </c>
      <c r="P605" t="s">
        <v>26564</v>
      </c>
      <c r="R605" t="s">
        <v>26585</v>
      </c>
      <c r="S605" t="s">
        <v>18959</v>
      </c>
      <c r="U605" t="s">
        <v>26604</v>
      </c>
      <c r="W605" t="s">
        <v>476</v>
      </c>
      <c r="X605">
        <v>670</v>
      </c>
      <c r="Y605" t="s">
        <v>26653</v>
      </c>
      <c r="Z605" t="s">
        <v>26664</v>
      </c>
      <c r="AB605" t="s">
        <v>27270</v>
      </c>
      <c r="AC605" t="s">
        <v>19330</v>
      </c>
      <c r="AD605" t="s">
        <v>37340</v>
      </c>
      <c r="AE605">
        <v>1</v>
      </c>
      <c r="AF605" t="s">
        <v>45547</v>
      </c>
      <c r="AG605" t="s">
        <v>19330</v>
      </c>
      <c r="AH605">
        <v>1</v>
      </c>
      <c r="AI605">
        <v>2</v>
      </c>
      <c r="AJ605">
        <v>0</v>
      </c>
      <c r="AK605">
        <v>182.26</v>
      </c>
      <c r="AN605" t="s">
        <v>7439</v>
      </c>
      <c r="AO605">
        <v>30000</v>
      </c>
      <c r="AU605">
        <v>12.5</v>
      </c>
      <c r="AV605" t="s">
        <v>504</v>
      </c>
      <c r="AW605" t="s">
        <v>161</v>
      </c>
    </row>
    <row r="606" spans="1:50">
      <c r="A606" s="1">
        <f>HYPERLINK("https://lsnyc.legalserver.org/matter/dynamic-profile/view/1873754","18-1873754")</f>
        <v>0</v>
      </c>
      <c r="B606" t="s">
        <v>98</v>
      </c>
      <c r="C606" t="s">
        <v>341</v>
      </c>
      <c r="D606" t="s">
        <v>466</v>
      </c>
      <c r="E606" t="s">
        <v>466</v>
      </c>
      <c r="F606" t="s">
        <v>1321</v>
      </c>
      <c r="G606" t="s">
        <v>5499</v>
      </c>
      <c r="H606" t="s">
        <v>10176</v>
      </c>
      <c r="I606">
        <v>1</v>
      </c>
      <c r="J606" t="s">
        <v>18892</v>
      </c>
      <c r="K606">
        <v>10459</v>
      </c>
      <c r="L606" t="s">
        <v>18958</v>
      </c>
      <c r="M606" t="s">
        <v>18958</v>
      </c>
      <c r="O606" t="s">
        <v>18997</v>
      </c>
      <c r="P606" t="s">
        <v>26564</v>
      </c>
      <c r="Q606" t="s">
        <v>26570</v>
      </c>
      <c r="R606" t="s">
        <v>26578</v>
      </c>
      <c r="S606" t="s">
        <v>18959</v>
      </c>
      <c r="U606" t="s">
        <v>26607</v>
      </c>
      <c r="W606" t="s">
        <v>476</v>
      </c>
      <c r="X606">
        <v>1599.75</v>
      </c>
      <c r="Y606" t="s">
        <v>26650</v>
      </c>
      <c r="Z606" t="s">
        <v>26659</v>
      </c>
      <c r="AA606" t="s">
        <v>26683</v>
      </c>
      <c r="AB606" t="s">
        <v>27271</v>
      </c>
      <c r="AC606" t="s">
        <v>34685</v>
      </c>
      <c r="AD606" t="s">
        <v>37341</v>
      </c>
      <c r="AE606">
        <v>53</v>
      </c>
      <c r="AF606" t="s">
        <v>45541</v>
      </c>
      <c r="AG606" t="s">
        <v>19330</v>
      </c>
      <c r="AH606">
        <v>5</v>
      </c>
      <c r="AI606">
        <v>3</v>
      </c>
      <c r="AJ606">
        <v>2</v>
      </c>
      <c r="AK606">
        <v>184.41</v>
      </c>
      <c r="AN606" t="s">
        <v>45581</v>
      </c>
      <c r="AO606">
        <v>54254.2</v>
      </c>
      <c r="AU606">
        <v>1</v>
      </c>
      <c r="AV606" t="s">
        <v>466</v>
      </c>
      <c r="AW606" t="s">
        <v>98</v>
      </c>
    </row>
    <row r="607" spans="1:50">
      <c r="A607" s="1">
        <f>HYPERLINK("https://lsnyc.legalserver.org/matter/dynamic-profile/view/1874834","18-1874834")</f>
        <v>0</v>
      </c>
      <c r="B607" t="s">
        <v>157</v>
      </c>
      <c r="C607" t="s">
        <v>341</v>
      </c>
      <c r="D607" t="s">
        <v>477</v>
      </c>
      <c r="E607" t="s">
        <v>692</v>
      </c>
      <c r="F607" t="s">
        <v>1322</v>
      </c>
      <c r="G607" t="s">
        <v>5500</v>
      </c>
      <c r="H607" t="s">
        <v>10174</v>
      </c>
      <c r="I607">
        <v>311</v>
      </c>
      <c r="J607" t="s">
        <v>18893</v>
      </c>
      <c r="K607">
        <v>10029</v>
      </c>
      <c r="L607" t="s">
        <v>18958</v>
      </c>
      <c r="M607" t="s">
        <v>18959</v>
      </c>
      <c r="N607" t="s">
        <v>19435</v>
      </c>
      <c r="O607" t="s">
        <v>26523</v>
      </c>
      <c r="P607" t="s">
        <v>26560</v>
      </c>
      <c r="Q607" t="s">
        <v>26568</v>
      </c>
      <c r="R607" t="s">
        <v>26578</v>
      </c>
      <c r="S607" t="s">
        <v>18959</v>
      </c>
      <c r="U607" t="s">
        <v>26604</v>
      </c>
      <c r="W607" t="s">
        <v>476</v>
      </c>
      <c r="X607">
        <v>0</v>
      </c>
      <c r="Y607" t="s">
        <v>26651</v>
      </c>
      <c r="Z607" t="s">
        <v>26659</v>
      </c>
      <c r="AA607" t="s">
        <v>26680</v>
      </c>
      <c r="AB607" t="s">
        <v>27272</v>
      </c>
      <c r="AE607">
        <v>108</v>
      </c>
      <c r="AF607" t="s">
        <v>45543</v>
      </c>
      <c r="AG607" t="s">
        <v>45556</v>
      </c>
      <c r="AH607">
        <v>8</v>
      </c>
      <c r="AI607">
        <v>1</v>
      </c>
      <c r="AJ607">
        <v>2</v>
      </c>
      <c r="AK607">
        <v>236.7</v>
      </c>
      <c r="AL607" t="s">
        <v>614</v>
      </c>
      <c r="AM607" t="s">
        <v>45575</v>
      </c>
      <c r="AN607" t="s">
        <v>7439</v>
      </c>
      <c r="AO607">
        <v>49187</v>
      </c>
      <c r="AP607" t="s">
        <v>45663</v>
      </c>
      <c r="AU607">
        <v>12.7</v>
      </c>
      <c r="AV607" t="s">
        <v>652</v>
      </c>
      <c r="AW607" t="s">
        <v>46835</v>
      </c>
    </row>
    <row r="608" spans="1:50">
      <c r="A608" s="1">
        <f>HYPERLINK("https://lsnyc.legalserver.org/matter/dynamic-profile/view/1857538","18-1857538")</f>
        <v>0</v>
      </c>
      <c r="B608" t="s">
        <v>60</v>
      </c>
      <c r="C608" t="s">
        <v>340</v>
      </c>
      <c r="D608" t="s">
        <v>375</v>
      </c>
      <c r="F608" t="s">
        <v>1251</v>
      </c>
      <c r="G608" t="s">
        <v>5501</v>
      </c>
      <c r="H608" t="s">
        <v>9648</v>
      </c>
      <c r="I608" t="s">
        <v>17479</v>
      </c>
      <c r="J608" t="s">
        <v>18892</v>
      </c>
      <c r="K608">
        <v>10452</v>
      </c>
      <c r="L608" t="s">
        <v>18958</v>
      </c>
      <c r="M608" t="s">
        <v>18960</v>
      </c>
      <c r="N608" t="s">
        <v>18990</v>
      </c>
      <c r="O608" t="s">
        <v>26527</v>
      </c>
      <c r="P608" t="s">
        <v>26561</v>
      </c>
      <c r="R608" t="s">
        <v>26578</v>
      </c>
      <c r="S608" t="s">
        <v>18958</v>
      </c>
      <c r="U608" t="s">
        <v>26604</v>
      </c>
      <c r="W608" t="s">
        <v>466</v>
      </c>
      <c r="X608">
        <v>799.6</v>
      </c>
      <c r="Y608" t="s">
        <v>26650</v>
      </c>
      <c r="Z608" t="s">
        <v>26663</v>
      </c>
      <c r="AB608" t="s">
        <v>27273</v>
      </c>
      <c r="AD608" t="s">
        <v>37342</v>
      </c>
      <c r="AE608">
        <v>122</v>
      </c>
      <c r="AF608" t="s">
        <v>45541</v>
      </c>
      <c r="AG608" t="s">
        <v>19330</v>
      </c>
      <c r="AH608">
        <v>24</v>
      </c>
      <c r="AI608">
        <v>1</v>
      </c>
      <c r="AJ608">
        <v>0</v>
      </c>
      <c r="AK608">
        <v>254.13</v>
      </c>
      <c r="AN608" t="s">
        <v>7439</v>
      </c>
      <c r="AO608">
        <v>30648</v>
      </c>
      <c r="AP608" t="s">
        <v>45623</v>
      </c>
      <c r="AU608">
        <v>0</v>
      </c>
      <c r="AW608" t="s">
        <v>46832</v>
      </c>
    </row>
    <row r="609" spans="1:49">
      <c r="A609" s="1">
        <f>HYPERLINK("https://lsnyc.legalserver.org/matter/dynamic-profile/view/1873098","18-1873098")</f>
        <v>0</v>
      </c>
      <c r="B609" t="s">
        <v>146</v>
      </c>
      <c r="C609" t="s">
        <v>341</v>
      </c>
      <c r="D609" t="s">
        <v>440</v>
      </c>
      <c r="E609" t="s">
        <v>524</v>
      </c>
      <c r="F609" t="s">
        <v>1323</v>
      </c>
      <c r="G609" t="s">
        <v>5502</v>
      </c>
      <c r="H609" t="s">
        <v>10177</v>
      </c>
      <c r="I609" t="s">
        <v>17300</v>
      </c>
      <c r="J609" t="s">
        <v>18893</v>
      </c>
      <c r="K609">
        <v>10034</v>
      </c>
      <c r="L609" t="s">
        <v>18958</v>
      </c>
      <c r="M609" t="s">
        <v>18958</v>
      </c>
      <c r="N609" t="s">
        <v>19436</v>
      </c>
      <c r="O609" t="s">
        <v>26523</v>
      </c>
      <c r="P609" t="s">
        <v>26564</v>
      </c>
      <c r="Q609" t="s">
        <v>26570</v>
      </c>
      <c r="R609" t="s">
        <v>26578</v>
      </c>
      <c r="S609" t="s">
        <v>18959</v>
      </c>
      <c r="U609" t="s">
        <v>26604</v>
      </c>
      <c r="W609" t="s">
        <v>466</v>
      </c>
      <c r="X609">
        <v>1320</v>
      </c>
      <c r="Y609" t="s">
        <v>26651</v>
      </c>
      <c r="Z609" t="s">
        <v>26661</v>
      </c>
      <c r="AA609" t="s">
        <v>26683</v>
      </c>
      <c r="AB609" t="s">
        <v>27274</v>
      </c>
      <c r="AD609" t="s">
        <v>37343</v>
      </c>
      <c r="AE609">
        <v>200</v>
      </c>
      <c r="AF609" t="s">
        <v>45541</v>
      </c>
      <c r="AG609" t="s">
        <v>19330</v>
      </c>
      <c r="AH609">
        <v>20</v>
      </c>
      <c r="AI609">
        <v>1</v>
      </c>
      <c r="AJ609">
        <v>0</v>
      </c>
      <c r="AK609">
        <v>128.5</v>
      </c>
      <c r="AN609" t="s">
        <v>7439</v>
      </c>
      <c r="AO609">
        <v>15600</v>
      </c>
      <c r="AU609">
        <v>2.5</v>
      </c>
      <c r="AV609" t="s">
        <v>531</v>
      </c>
      <c r="AW609" t="s">
        <v>46857</v>
      </c>
    </row>
    <row r="610" spans="1:49">
      <c r="A610" s="1">
        <f>HYPERLINK("https://lsnyc.legalserver.org/matter/dynamic-profile/view/1873775","18-1873775")</f>
        <v>0</v>
      </c>
      <c r="B610" t="s">
        <v>107</v>
      </c>
      <c r="C610" t="s">
        <v>341</v>
      </c>
      <c r="D610" t="s">
        <v>466</v>
      </c>
      <c r="E610" t="s">
        <v>441</v>
      </c>
      <c r="F610" t="s">
        <v>1324</v>
      </c>
      <c r="G610" t="s">
        <v>5503</v>
      </c>
      <c r="H610" t="s">
        <v>10178</v>
      </c>
      <c r="I610" t="s">
        <v>17480</v>
      </c>
      <c r="J610" t="s">
        <v>18900</v>
      </c>
      <c r="K610">
        <v>11355</v>
      </c>
      <c r="L610" t="s">
        <v>18958</v>
      </c>
      <c r="M610" t="s">
        <v>18958</v>
      </c>
      <c r="N610" t="s">
        <v>19437</v>
      </c>
      <c r="O610" t="s">
        <v>26523</v>
      </c>
      <c r="P610" t="s">
        <v>26564</v>
      </c>
      <c r="Q610" t="s">
        <v>26570</v>
      </c>
      <c r="R610" t="s">
        <v>26584</v>
      </c>
      <c r="S610" t="s">
        <v>18959</v>
      </c>
      <c r="U610" t="s">
        <v>26604</v>
      </c>
      <c r="V610" t="s">
        <v>26610</v>
      </c>
      <c r="W610" t="s">
        <v>466</v>
      </c>
      <c r="X610">
        <v>2000</v>
      </c>
      <c r="Y610" t="s">
        <v>26653</v>
      </c>
      <c r="Z610" t="s">
        <v>26664</v>
      </c>
      <c r="AA610" t="s">
        <v>26683</v>
      </c>
      <c r="AB610" t="s">
        <v>27275</v>
      </c>
      <c r="AC610" t="s">
        <v>19045</v>
      </c>
      <c r="AD610" t="s">
        <v>37344</v>
      </c>
      <c r="AE610">
        <v>23</v>
      </c>
      <c r="AF610" t="s">
        <v>20460</v>
      </c>
      <c r="AG610" t="s">
        <v>19330</v>
      </c>
      <c r="AH610">
        <v>1</v>
      </c>
      <c r="AI610">
        <v>1</v>
      </c>
      <c r="AJ610">
        <v>0</v>
      </c>
      <c r="AK610">
        <v>197.69</v>
      </c>
      <c r="AN610" t="s">
        <v>45595</v>
      </c>
      <c r="AO610">
        <v>24000</v>
      </c>
      <c r="AU610">
        <v>1.7</v>
      </c>
      <c r="AV610" t="s">
        <v>441</v>
      </c>
      <c r="AW610" t="s">
        <v>161</v>
      </c>
    </row>
    <row r="611" spans="1:49">
      <c r="A611" s="1">
        <f>HYPERLINK("https://lsnyc.legalserver.org/matter/dynamic-profile/view/1873821","18-1873821")</f>
        <v>0</v>
      </c>
      <c r="B611" t="s">
        <v>107</v>
      </c>
      <c r="C611" t="s">
        <v>341</v>
      </c>
      <c r="D611" t="s">
        <v>466</v>
      </c>
      <c r="E611" t="s">
        <v>441</v>
      </c>
      <c r="F611" t="s">
        <v>1325</v>
      </c>
      <c r="G611" t="s">
        <v>5504</v>
      </c>
      <c r="H611" t="s">
        <v>10179</v>
      </c>
      <c r="I611" t="s">
        <v>17481</v>
      </c>
      <c r="J611" t="s">
        <v>18899</v>
      </c>
      <c r="K611">
        <v>11385</v>
      </c>
      <c r="L611" t="s">
        <v>18958</v>
      </c>
      <c r="M611" t="s">
        <v>18958</v>
      </c>
      <c r="N611" t="s">
        <v>19438</v>
      </c>
      <c r="O611" t="s">
        <v>26524</v>
      </c>
      <c r="P611" t="s">
        <v>26564</v>
      </c>
      <c r="Q611" t="s">
        <v>26570</v>
      </c>
      <c r="R611" t="s">
        <v>26585</v>
      </c>
      <c r="S611" t="s">
        <v>18959</v>
      </c>
      <c r="U611" t="s">
        <v>26604</v>
      </c>
      <c r="V611" t="s">
        <v>26612</v>
      </c>
      <c r="W611" t="s">
        <v>466</v>
      </c>
      <c r="X611">
        <v>577</v>
      </c>
      <c r="Y611" t="s">
        <v>26653</v>
      </c>
      <c r="Z611" t="s">
        <v>26664</v>
      </c>
      <c r="AA611" t="s">
        <v>26683</v>
      </c>
      <c r="AB611" t="s">
        <v>27276</v>
      </c>
      <c r="AC611" t="s">
        <v>34686</v>
      </c>
      <c r="AD611" t="s">
        <v>37345</v>
      </c>
      <c r="AE611">
        <v>1</v>
      </c>
      <c r="AF611" t="s">
        <v>45547</v>
      </c>
      <c r="AG611" t="s">
        <v>19330</v>
      </c>
      <c r="AH611">
        <v>2</v>
      </c>
      <c r="AI611">
        <v>1</v>
      </c>
      <c r="AJ611">
        <v>0</v>
      </c>
      <c r="AK611">
        <v>0</v>
      </c>
      <c r="AN611" t="s">
        <v>7439</v>
      </c>
      <c r="AO611">
        <v>0</v>
      </c>
      <c r="AU611">
        <v>2.65</v>
      </c>
      <c r="AV611" t="s">
        <v>618</v>
      </c>
      <c r="AW611" t="s">
        <v>161</v>
      </c>
    </row>
    <row r="612" spans="1:49">
      <c r="A612" s="1">
        <f>HYPERLINK("https://lsnyc.legalserver.org/matter/dynamic-profile/view/1873838","18-1873838")</f>
        <v>0</v>
      </c>
      <c r="B612" t="s">
        <v>85</v>
      </c>
      <c r="C612" t="s">
        <v>341</v>
      </c>
      <c r="D612" t="s">
        <v>466</v>
      </c>
      <c r="E612" t="s">
        <v>703</v>
      </c>
      <c r="F612" t="s">
        <v>1326</v>
      </c>
      <c r="G612" t="s">
        <v>5505</v>
      </c>
      <c r="H612" t="s">
        <v>10180</v>
      </c>
      <c r="I612" t="s">
        <v>17374</v>
      </c>
      <c r="J612" t="s">
        <v>18896</v>
      </c>
      <c r="K612">
        <v>11419</v>
      </c>
      <c r="L612" t="s">
        <v>18958</v>
      </c>
      <c r="M612" t="s">
        <v>18958</v>
      </c>
      <c r="N612" t="s">
        <v>19439</v>
      </c>
      <c r="O612" t="s">
        <v>26524</v>
      </c>
      <c r="P612" t="s">
        <v>26564</v>
      </c>
      <c r="Q612" t="s">
        <v>26570</v>
      </c>
      <c r="R612" t="s">
        <v>26584</v>
      </c>
      <c r="S612" t="s">
        <v>18959</v>
      </c>
      <c r="U612" t="s">
        <v>26604</v>
      </c>
      <c r="V612" t="s">
        <v>26612</v>
      </c>
      <c r="W612" t="s">
        <v>466</v>
      </c>
      <c r="X612">
        <v>800</v>
      </c>
      <c r="Y612" t="s">
        <v>26653</v>
      </c>
      <c r="Z612" t="s">
        <v>26664</v>
      </c>
      <c r="AA612" t="s">
        <v>26683</v>
      </c>
      <c r="AB612" t="s">
        <v>27277</v>
      </c>
      <c r="AC612" t="s">
        <v>34687</v>
      </c>
      <c r="AD612" t="s">
        <v>37346</v>
      </c>
      <c r="AE612">
        <v>2</v>
      </c>
      <c r="AF612" t="s">
        <v>45547</v>
      </c>
      <c r="AG612" t="s">
        <v>19330</v>
      </c>
      <c r="AH612">
        <v>3</v>
      </c>
      <c r="AI612">
        <v>1</v>
      </c>
      <c r="AJ612">
        <v>0</v>
      </c>
      <c r="AK612">
        <v>0</v>
      </c>
      <c r="AN612" t="s">
        <v>7439</v>
      </c>
      <c r="AO612">
        <v>0</v>
      </c>
      <c r="AU612">
        <v>0.4</v>
      </c>
      <c r="AV612" t="s">
        <v>500</v>
      </c>
      <c r="AW612" t="s">
        <v>161</v>
      </c>
    </row>
    <row r="613" spans="1:49">
      <c r="A613" s="1">
        <f>HYPERLINK("https://lsnyc.legalserver.org/matter/dynamic-profile/view/1873827","18-1873827")</f>
        <v>0</v>
      </c>
      <c r="B613" t="s">
        <v>85</v>
      </c>
      <c r="C613" t="s">
        <v>341</v>
      </c>
      <c r="D613" t="s">
        <v>466</v>
      </c>
      <c r="E613" t="s">
        <v>703</v>
      </c>
      <c r="F613" t="s">
        <v>1113</v>
      </c>
      <c r="G613" t="s">
        <v>5506</v>
      </c>
      <c r="H613" t="s">
        <v>10181</v>
      </c>
      <c r="I613" t="s">
        <v>17366</v>
      </c>
      <c r="J613" t="s">
        <v>18925</v>
      </c>
      <c r="K613">
        <v>11357</v>
      </c>
      <c r="L613" t="s">
        <v>18958</v>
      </c>
      <c r="M613" t="s">
        <v>18958</v>
      </c>
      <c r="N613" t="s">
        <v>19440</v>
      </c>
      <c r="O613" t="s">
        <v>26523</v>
      </c>
      <c r="P613" t="s">
        <v>26564</v>
      </c>
      <c r="Q613" t="s">
        <v>26570</v>
      </c>
      <c r="R613" t="s">
        <v>26584</v>
      </c>
      <c r="S613" t="s">
        <v>18959</v>
      </c>
      <c r="U613" t="s">
        <v>26604</v>
      </c>
      <c r="V613" t="s">
        <v>26610</v>
      </c>
      <c r="W613" t="s">
        <v>466</v>
      </c>
      <c r="X613">
        <v>1349</v>
      </c>
      <c r="Y613" t="s">
        <v>26653</v>
      </c>
      <c r="Z613" t="s">
        <v>26664</v>
      </c>
      <c r="AA613" t="s">
        <v>26683</v>
      </c>
      <c r="AB613" t="s">
        <v>27278</v>
      </c>
      <c r="AC613" t="s">
        <v>34688</v>
      </c>
      <c r="AD613" t="s">
        <v>37347</v>
      </c>
      <c r="AE613">
        <v>32</v>
      </c>
      <c r="AF613" t="s">
        <v>45541</v>
      </c>
      <c r="AG613" t="s">
        <v>45559</v>
      </c>
      <c r="AH613">
        <v>51</v>
      </c>
      <c r="AI613">
        <v>1</v>
      </c>
      <c r="AJ613">
        <v>0</v>
      </c>
      <c r="AK613">
        <v>50.51</v>
      </c>
      <c r="AO613">
        <v>6132</v>
      </c>
      <c r="AU613">
        <v>0.2</v>
      </c>
      <c r="AV613" t="s">
        <v>576</v>
      </c>
      <c r="AW613" t="s">
        <v>122</v>
      </c>
    </row>
    <row r="614" spans="1:49">
      <c r="A614" s="1">
        <f>HYPERLINK("https://lsnyc.legalserver.org/matter/dynamic-profile/view/1873809","18-1873809")</f>
        <v>0</v>
      </c>
      <c r="B614" t="s">
        <v>85</v>
      </c>
      <c r="C614" t="s">
        <v>341</v>
      </c>
      <c r="D614" t="s">
        <v>466</v>
      </c>
      <c r="E614" t="s">
        <v>703</v>
      </c>
      <c r="F614" t="s">
        <v>1327</v>
      </c>
      <c r="G614" t="s">
        <v>5507</v>
      </c>
      <c r="H614" t="s">
        <v>10182</v>
      </c>
      <c r="I614" t="s">
        <v>17322</v>
      </c>
      <c r="J614" t="s">
        <v>18896</v>
      </c>
      <c r="K614">
        <v>11419</v>
      </c>
      <c r="L614" t="s">
        <v>18958</v>
      </c>
      <c r="M614" t="s">
        <v>18958</v>
      </c>
      <c r="N614" t="s">
        <v>19441</v>
      </c>
      <c r="O614" t="s">
        <v>26524</v>
      </c>
      <c r="P614" t="s">
        <v>26564</v>
      </c>
      <c r="Q614" t="s">
        <v>26570</v>
      </c>
      <c r="R614" t="s">
        <v>26584</v>
      </c>
      <c r="S614" t="s">
        <v>18959</v>
      </c>
      <c r="U614" t="s">
        <v>26604</v>
      </c>
      <c r="V614" t="s">
        <v>26610</v>
      </c>
      <c r="W614" t="s">
        <v>466</v>
      </c>
      <c r="X614">
        <v>1100</v>
      </c>
      <c r="Y614" t="s">
        <v>26653</v>
      </c>
      <c r="Z614" t="s">
        <v>26664</v>
      </c>
      <c r="AA614" t="s">
        <v>26683</v>
      </c>
      <c r="AB614" t="s">
        <v>27279</v>
      </c>
      <c r="AC614" t="s">
        <v>34689</v>
      </c>
      <c r="AD614" t="s">
        <v>37348</v>
      </c>
      <c r="AE614">
        <v>4</v>
      </c>
      <c r="AF614" t="s">
        <v>45547</v>
      </c>
      <c r="AG614" t="s">
        <v>19330</v>
      </c>
      <c r="AH614">
        <v>20</v>
      </c>
      <c r="AI614">
        <v>3</v>
      </c>
      <c r="AJ614">
        <v>2</v>
      </c>
      <c r="AK614">
        <v>70.7</v>
      </c>
      <c r="AN614" t="s">
        <v>7439</v>
      </c>
      <c r="AO614">
        <v>20800</v>
      </c>
      <c r="AU614">
        <v>0.15</v>
      </c>
      <c r="AV614" t="s">
        <v>500</v>
      </c>
      <c r="AW614" t="s">
        <v>161</v>
      </c>
    </row>
    <row r="615" spans="1:49">
      <c r="A615" s="1">
        <f>HYPERLINK("https://lsnyc.legalserver.org/matter/dynamic-profile/view/1873740","18-1873740")</f>
        <v>0</v>
      </c>
      <c r="B615" t="s">
        <v>192</v>
      </c>
      <c r="C615" t="s">
        <v>341</v>
      </c>
      <c r="D615" t="s">
        <v>466</v>
      </c>
      <c r="E615" t="s">
        <v>500</v>
      </c>
      <c r="F615" t="s">
        <v>1328</v>
      </c>
      <c r="G615" t="s">
        <v>5508</v>
      </c>
      <c r="H615" t="s">
        <v>10183</v>
      </c>
      <c r="I615" t="s">
        <v>17327</v>
      </c>
      <c r="J615" t="s">
        <v>18893</v>
      </c>
      <c r="K615">
        <v>10034</v>
      </c>
      <c r="L615" t="s">
        <v>18958</v>
      </c>
      <c r="M615" t="s">
        <v>18958</v>
      </c>
      <c r="O615" t="s">
        <v>26523</v>
      </c>
      <c r="P615" t="s">
        <v>26564</v>
      </c>
      <c r="Q615" t="s">
        <v>26570</v>
      </c>
      <c r="R615" t="s">
        <v>26578</v>
      </c>
      <c r="S615" t="s">
        <v>18959</v>
      </c>
      <c r="U615" t="s">
        <v>26604</v>
      </c>
      <c r="W615" t="s">
        <v>466</v>
      </c>
      <c r="X615">
        <v>1275</v>
      </c>
      <c r="Y615" t="s">
        <v>26651</v>
      </c>
      <c r="Z615" t="s">
        <v>26659</v>
      </c>
      <c r="AA615" t="s">
        <v>26683</v>
      </c>
      <c r="AB615" t="s">
        <v>27280</v>
      </c>
      <c r="AD615" t="s">
        <v>37349</v>
      </c>
      <c r="AE615">
        <v>44</v>
      </c>
      <c r="AF615" t="s">
        <v>45541</v>
      </c>
      <c r="AG615" t="s">
        <v>19330</v>
      </c>
      <c r="AH615">
        <v>15</v>
      </c>
      <c r="AI615">
        <v>3</v>
      </c>
      <c r="AJ615">
        <v>2</v>
      </c>
      <c r="AK615">
        <v>61.86</v>
      </c>
      <c r="AN615" t="s">
        <v>45581</v>
      </c>
      <c r="AO615">
        <v>18200</v>
      </c>
      <c r="AU615">
        <v>1</v>
      </c>
      <c r="AV615" t="s">
        <v>500</v>
      </c>
      <c r="AW615" t="s">
        <v>46840</v>
      </c>
    </row>
    <row r="616" spans="1:49">
      <c r="A616" s="1">
        <f>HYPERLINK("https://lsnyc.legalserver.org/matter/dynamic-profile/view/1873805","18-1873805")</f>
        <v>0</v>
      </c>
      <c r="B616" t="s">
        <v>74</v>
      </c>
      <c r="C616" t="s">
        <v>341</v>
      </c>
      <c r="D616" t="s">
        <v>466</v>
      </c>
      <c r="E616" t="s">
        <v>575</v>
      </c>
      <c r="F616" t="s">
        <v>985</v>
      </c>
      <c r="G616" t="s">
        <v>5125</v>
      </c>
      <c r="H616" t="s">
        <v>9749</v>
      </c>
      <c r="I616" t="s">
        <v>17290</v>
      </c>
      <c r="J616" t="s">
        <v>18893</v>
      </c>
      <c r="K616">
        <v>10034</v>
      </c>
      <c r="L616" t="s">
        <v>18958</v>
      </c>
      <c r="M616" t="s">
        <v>18958</v>
      </c>
      <c r="O616" t="s">
        <v>26526</v>
      </c>
      <c r="P616" t="s">
        <v>26565</v>
      </c>
      <c r="Q616" t="s">
        <v>26570</v>
      </c>
      <c r="R616" t="s">
        <v>26578</v>
      </c>
      <c r="S616" t="s">
        <v>18959</v>
      </c>
      <c r="U616" t="s">
        <v>26604</v>
      </c>
      <c r="W616" t="s">
        <v>466</v>
      </c>
      <c r="X616">
        <v>1200</v>
      </c>
      <c r="Y616" t="s">
        <v>26651</v>
      </c>
      <c r="Z616" t="s">
        <v>26659</v>
      </c>
      <c r="AA616" t="s">
        <v>26683</v>
      </c>
      <c r="AB616" t="s">
        <v>26826</v>
      </c>
      <c r="AD616" t="s">
        <v>36930</v>
      </c>
      <c r="AE616">
        <v>46</v>
      </c>
      <c r="AF616" t="s">
        <v>45541</v>
      </c>
      <c r="AG616" t="s">
        <v>19330</v>
      </c>
      <c r="AH616">
        <v>30</v>
      </c>
      <c r="AI616">
        <v>3</v>
      </c>
      <c r="AJ616">
        <v>1</v>
      </c>
      <c r="AK616">
        <v>61.25</v>
      </c>
      <c r="AN616" t="s">
        <v>45581</v>
      </c>
      <c r="AO616">
        <v>15374.46</v>
      </c>
      <c r="AU616">
        <v>0.5</v>
      </c>
      <c r="AV616" t="s">
        <v>575</v>
      </c>
      <c r="AW616" t="s">
        <v>46840</v>
      </c>
    </row>
    <row r="617" spans="1:49">
      <c r="A617" s="1">
        <f>HYPERLINK("https://lsnyc.legalserver.org/matter/dynamic-profile/view/1873755","18-1873755")</f>
        <v>0</v>
      </c>
      <c r="B617" t="s">
        <v>141</v>
      </c>
      <c r="C617" t="s">
        <v>341</v>
      </c>
      <c r="D617" t="s">
        <v>466</v>
      </c>
      <c r="E617" t="s">
        <v>505</v>
      </c>
      <c r="F617" t="s">
        <v>1329</v>
      </c>
      <c r="G617" t="s">
        <v>5509</v>
      </c>
      <c r="H617" t="s">
        <v>10184</v>
      </c>
      <c r="J617" t="s">
        <v>18898</v>
      </c>
      <c r="K617">
        <v>11694</v>
      </c>
      <c r="L617" t="s">
        <v>18958</v>
      </c>
      <c r="M617" t="s">
        <v>18958</v>
      </c>
      <c r="N617" t="s">
        <v>19442</v>
      </c>
      <c r="O617" t="s">
        <v>26523</v>
      </c>
      <c r="P617" t="s">
        <v>26564</v>
      </c>
      <c r="Q617" t="s">
        <v>26570</v>
      </c>
      <c r="R617" t="s">
        <v>26578</v>
      </c>
      <c r="S617" t="s">
        <v>18959</v>
      </c>
      <c r="U617" t="s">
        <v>26604</v>
      </c>
      <c r="V617" t="s">
        <v>26612</v>
      </c>
      <c r="W617" t="s">
        <v>466</v>
      </c>
      <c r="X617">
        <v>950</v>
      </c>
      <c r="Y617" t="s">
        <v>26653</v>
      </c>
      <c r="Z617" t="s">
        <v>26664</v>
      </c>
      <c r="AA617" t="s">
        <v>26683</v>
      </c>
      <c r="AB617" t="s">
        <v>27281</v>
      </c>
      <c r="AC617" t="s">
        <v>19330</v>
      </c>
      <c r="AD617" t="s">
        <v>37350</v>
      </c>
      <c r="AE617">
        <v>1</v>
      </c>
      <c r="AF617" t="s">
        <v>45547</v>
      </c>
      <c r="AG617" t="s">
        <v>19330</v>
      </c>
      <c r="AH617">
        <v>6</v>
      </c>
      <c r="AI617">
        <v>1</v>
      </c>
      <c r="AJ617">
        <v>0</v>
      </c>
      <c r="AK617">
        <v>116.94</v>
      </c>
      <c r="AN617" t="s">
        <v>7439</v>
      </c>
      <c r="AO617">
        <v>14196</v>
      </c>
      <c r="AU617">
        <v>1</v>
      </c>
      <c r="AV617" t="s">
        <v>505</v>
      </c>
      <c r="AW617" t="s">
        <v>208</v>
      </c>
    </row>
    <row r="618" spans="1:49">
      <c r="A618" s="1">
        <f>HYPERLINK("https://lsnyc.legalserver.org/matter/dynamic-profile/view/1873746","18-1873746")</f>
        <v>0</v>
      </c>
      <c r="B618" t="s">
        <v>141</v>
      </c>
      <c r="C618" t="s">
        <v>341</v>
      </c>
      <c r="D618" t="s">
        <v>466</v>
      </c>
      <c r="E618" t="s">
        <v>515</v>
      </c>
      <c r="F618" t="s">
        <v>1330</v>
      </c>
      <c r="G618" t="s">
        <v>5510</v>
      </c>
      <c r="H618" t="s">
        <v>10185</v>
      </c>
      <c r="I618" t="s">
        <v>17402</v>
      </c>
      <c r="J618" t="s">
        <v>18898</v>
      </c>
      <c r="K618">
        <v>11693</v>
      </c>
      <c r="L618" t="s">
        <v>18958</v>
      </c>
      <c r="M618" t="s">
        <v>18958</v>
      </c>
      <c r="N618" t="s">
        <v>19443</v>
      </c>
      <c r="O618" t="s">
        <v>26524</v>
      </c>
      <c r="P618" t="s">
        <v>26564</v>
      </c>
      <c r="Q618" t="s">
        <v>26570</v>
      </c>
      <c r="R618" t="s">
        <v>26578</v>
      </c>
      <c r="S618" t="s">
        <v>18959</v>
      </c>
      <c r="U618" t="s">
        <v>26604</v>
      </c>
      <c r="V618" t="s">
        <v>26611</v>
      </c>
      <c r="W618" t="s">
        <v>466</v>
      </c>
      <c r="X618">
        <v>600</v>
      </c>
      <c r="Y618" t="s">
        <v>26653</v>
      </c>
      <c r="Z618" t="s">
        <v>26664</v>
      </c>
      <c r="AA618" t="s">
        <v>26683</v>
      </c>
      <c r="AB618" t="s">
        <v>27282</v>
      </c>
      <c r="AC618" t="s">
        <v>19330</v>
      </c>
      <c r="AD618" t="s">
        <v>37351</v>
      </c>
      <c r="AE618">
        <v>2</v>
      </c>
      <c r="AF618" t="s">
        <v>45547</v>
      </c>
      <c r="AG618" t="s">
        <v>19330</v>
      </c>
      <c r="AH618">
        <v>4</v>
      </c>
      <c r="AI618">
        <v>1</v>
      </c>
      <c r="AJ618">
        <v>0</v>
      </c>
      <c r="AK618">
        <v>171.33</v>
      </c>
      <c r="AN618" t="s">
        <v>7439</v>
      </c>
      <c r="AO618">
        <v>20800</v>
      </c>
      <c r="AU618">
        <v>0.9</v>
      </c>
      <c r="AV618" t="s">
        <v>515</v>
      </c>
      <c r="AW618" t="s">
        <v>208</v>
      </c>
    </row>
    <row r="619" spans="1:49">
      <c r="A619" s="1">
        <f>HYPERLINK("https://lsnyc.legalserver.org/matter/dynamic-profile/view/1873768","18-1873768")</f>
        <v>0</v>
      </c>
      <c r="B619" t="s">
        <v>141</v>
      </c>
      <c r="C619" t="s">
        <v>341</v>
      </c>
      <c r="D619" t="s">
        <v>466</v>
      </c>
      <c r="E619" t="s">
        <v>582</v>
      </c>
      <c r="F619" t="s">
        <v>1331</v>
      </c>
      <c r="G619" t="s">
        <v>5511</v>
      </c>
      <c r="H619" t="s">
        <v>10186</v>
      </c>
      <c r="I619" t="s">
        <v>17316</v>
      </c>
      <c r="J619" t="s">
        <v>18910</v>
      </c>
      <c r="K619">
        <v>11420</v>
      </c>
      <c r="L619" t="s">
        <v>18958</v>
      </c>
      <c r="M619" t="s">
        <v>18958</v>
      </c>
      <c r="N619" t="s">
        <v>19444</v>
      </c>
      <c r="O619" t="s">
        <v>26523</v>
      </c>
      <c r="P619" t="s">
        <v>26564</v>
      </c>
      <c r="Q619" t="s">
        <v>26570</v>
      </c>
      <c r="R619" t="s">
        <v>26584</v>
      </c>
      <c r="S619" t="s">
        <v>18959</v>
      </c>
      <c r="U619" t="s">
        <v>26604</v>
      </c>
      <c r="V619" t="s">
        <v>26610</v>
      </c>
      <c r="W619" t="s">
        <v>466</v>
      </c>
      <c r="X619">
        <v>1136</v>
      </c>
      <c r="Y619" t="s">
        <v>26653</v>
      </c>
      <c r="Z619" t="s">
        <v>26664</v>
      </c>
      <c r="AA619" t="s">
        <v>26683</v>
      </c>
      <c r="AB619" t="s">
        <v>27283</v>
      </c>
      <c r="AD619" t="s">
        <v>37352</v>
      </c>
      <c r="AE619">
        <v>48</v>
      </c>
      <c r="AF619" t="s">
        <v>45541</v>
      </c>
      <c r="AG619" t="s">
        <v>19330</v>
      </c>
      <c r="AH619">
        <v>17</v>
      </c>
      <c r="AI619">
        <v>1</v>
      </c>
      <c r="AJ619">
        <v>0</v>
      </c>
      <c r="AK619">
        <v>115.06</v>
      </c>
      <c r="AM619" t="s">
        <v>45576</v>
      </c>
      <c r="AN619" t="s">
        <v>7439</v>
      </c>
      <c r="AO619">
        <v>13968</v>
      </c>
      <c r="AU619">
        <v>1.9</v>
      </c>
      <c r="AV619" t="s">
        <v>582</v>
      </c>
      <c r="AW619" t="s">
        <v>208</v>
      </c>
    </row>
    <row r="620" spans="1:49">
      <c r="A620" s="1">
        <f>HYPERLINK("https://lsnyc.legalserver.org/matter/dynamic-profile/view/1873783","18-1873783")</f>
        <v>0</v>
      </c>
      <c r="B620" t="s">
        <v>64</v>
      </c>
      <c r="C620" t="s">
        <v>341</v>
      </c>
      <c r="D620" t="s">
        <v>466</v>
      </c>
      <c r="E620" t="s">
        <v>411</v>
      </c>
      <c r="F620" t="s">
        <v>1332</v>
      </c>
      <c r="G620" t="s">
        <v>5512</v>
      </c>
      <c r="H620" t="s">
        <v>10187</v>
      </c>
      <c r="I620" t="s">
        <v>17482</v>
      </c>
      <c r="J620" t="s">
        <v>18892</v>
      </c>
      <c r="K620">
        <v>10467</v>
      </c>
      <c r="L620" t="s">
        <v>18958</v>
      </c>
      <c r="M620" t="s">
        <v>18958</v>
      </c>
      <c r="N620" t="s">
        <v>19445</v>
      </c>
      <c r="O620" t="s">
        <v>26523</v>
      </c>
      <c r="P620" t="s">
        <v>26560</v>
      </c>
      <c r="Q620" t="s">
        <v>26568</v>
      </c>
      <c r="R620" t="s">
        <v>26579</v>
      </c>
      <c r="S620" t="s">
        <v>18959</v>
      </c>
      <c r="U620" t="s">
        <v>26604</v>
      </c>
      <c r="V620" t="s">
        <v>26609</v>
      </c>
      <c r="W620" t="s">
        <v>466</v>
      </c>
      <c r="X620">
        <v>960.62</v>
      </c>
      <c r="Y620" t="s">
        <v>26650</v>
      </c>
      <c r="Z620" t="s">
        <v>26659</v>
      </c>
      <c r="AA620" t="s">
        <v>26678</v>
      </c>
      <c r="AB620" t="s">
        <v>27284</v>
      </c>
      <c r="AC620" t="s">
        <v>34690</v>
      </c>
      <c r="AD620" t="s">
        <v>37353</v>
      </c>
      <c r="AE620">
        <v>0</v>
      </c>
      <c r="AF620" t="s">
        <v>45541</v>
      </c>
      <c r="AG620" t="s">
        <v>19330</v>
      </c>
      <c r="AH620">
        <v>34</v>
      </c>
      <c r="AI620">
        <v>3</v>
      </c>
      <c r="AJ620">
        <v>0</v>
      </c>
      <c r="AK620">
        <v>59.04</v>
      </c>
      <c r="AN620" t="s">
        <v>7439</v>
      </c>
      <c r="AO620">
        <v>12267.52</v>
      </c>
      <c r="AP620" t="s">
        <v>45621</v>
      </c>
      <c r="AQ620" t="s">
        <v>46362</v>
      </c>
      <c r="AR620" t="s">
        <v>46380</v>
      </c>
      <c r="AS620" t="s">
        <v>46499</v>
      </c>
      <c r="AT620" t="s">
        <v>46637</v>
      </c>
      <c r="AU620">
        <v>4.4</v>
      </c>
      <c r="AV620" t="s">
        <v>582</v>
      </c>
      <c r="AW620" t="s">
        <v>46831</v>
      </c>
    </row>
    <row r="621" spans="1:49">
      <c r="A621" s="1">
        <f>HYPERLINK("https://lsnyc.legalserver.org/matter/dynamic-profile/view/1873741","18-1873741")</f>
        <v>0</v>
      </c>
      <c r="B621" t="s">
        <v>142</v>
      </c>
      <c r="C621" t="s">
        <v>341</v>
      </c>
      <c r="D621" t="s">
        <v>466</v>
      </c>
      <c r="E621" t="s">
        <v>571</v>
      </c>
      <c r="F621" t="s">
        <v>947</v>
      </c>
      <c r="G621" t="s">
        <v>1725</v>
      </c>
      <c r="H621" t="s">
        <v>10188</v>
      </c>
      <c r="I621" t="s">
        <v>17272</v>
      </c>
      <c r="J621" t="s">
        <v>18901</v>
      </c>
      <c r="K621">
        <v>11435</v>
      </c>
      <c r="L621" t="s">
        <v>18958</v>
      </c>
      <c r="M621" t="s">
        <v>18958</v>
      </c>
      <c r="N621" t="s">
        <v>19446</v>
      </c>
      <c r="O621" t="s">
        <v>26523</v>
      </c>
      <c r="P621" t="s">
        <v>26564</v>
      </c>
      <c r="Q621" t="s">
        <v>26570</v>
      </c>
      <c r="R621" t="s">
        <v>26584</v>
      </c>
      <c r="S621" t="s">
        <v>18959</v>
      </c>
      <c r="U621" t="s">
        <v>26604</v>
      </c>
      <c r="V621" t="s">
        <v>26612</v>
      </c>
      <c r="W621" t="s">
        <v>466</v>
      </c>
      <c r="X621">
        <v>1288</v>
      </c>
      <c r="Y621" t="s">
        <v>26653</v>
      </c>
      <c r="Z621" t="s">
        <v>26664</v>
      </c>
      <c r="AA621" t="s">
        <v>26683</v>
      </c>
      <c r="AB621" t="s">
        <v>27285</v>
      </c>
      <c r="AC621" t="s">
        <v>34691</v>
      </c>
      <c r="AD621" t="s">
        <v>37354</v>
      </c>
      <c r="AE621">
        <v>8</v>
      </c>
      <c r="AF621" t="s">
        <v>45547</v>
      </c>
      <c r="AG621" t="s">
        <v>19330</v>
      </c>
      <c r="AH621">
        <v>7</v>
      </c>
      <c r="AI621">
        <v>1</v>
      </c>
      <c r="AJ621">
        <v>2</v>
      </c>
      <c r="AK621">
        <v>37.54</v>
      </c>
      <c r="AM621" t="s">
        <v>45576</v>
      </c>
      <c r="AN621" t="s">
        <v>7439</v>
      </c>
      <c r="AO621">
        <v>7800</v>
      </c>
      <c r="AU621">
        <v>1.8</v>
      </c>
      <c r="AV621" t="s">
        <v>516</v>
      </c>
      <c r="AW621" t="s">
        <v>208</v>
      </c>
    </row>
    <row r="622" spans="1:49">
      <c r="A622" s="1">
        <f>HYPERLINK("https://lsnyc.legalserver.org/matter/dynamic-profile/view/1873800","18-1873800")</f>
        <v>0</v>
      </c>
      <c r="B622" t="s">
        <v>161</v>
      </c>
      <c r="C622" t="s">
        <v>341</v>
      </c>
      <c r="D622" t="s">
        <v>466</v>
      </c>
      <c r="E622" t="s">
        <v>428</v>
      </c>
      <c r="F622" t="s">
        <v>1333</v>
      </c>
      <c r="G622" t="s">
        <v>5513</v>
      </c>
      <c r="H622" t="s">
        <v>10189</v>
      </c>
      <c r="I622" t="s">
        <v>17272</v>
      </c>
      <c r="J622" t="s">
        <v>7026</v>
      </c>
      <c r="K622">
        <v>11368</v>
      </c>
      <c r="L622" t="s">
        <v>18958</v>
      </c>
      <c r="M622" t="s">
        <v>18958</v>
      </c>
      <c r="N622" t="s">
        <v>19447</v>
      </c>
      <c r="O622" t="s">
        <v>26523</v>
      </c>
      <c r="P622" t="s">
        <v>26563</v>
      </c>
      <c r="Q622" t="s">
        <v>26570</v>
      </c>
      <c r="R622" t="s">
        <v>26584</v>
      </c>
      <c r="S622" t="s">
        <v>18959</v>
      </c>
      <c r="U622" t="s">
        <v>26604</v>
      </c>
      <c r="V622" t="s">
        <v>26614</v>
      </c>
      <c r="W622" t="s">
        <v>466</v>
      </c>
      <c r="X622">
        <v>670</v>
      </c>
      <c r="Y622" t="s">
        <v>26653</v>
      </c>
      <c r="Z622" t="s">
        <v>26664</v>
      </c>
      <c r="AA622" t="s">
        <v>26683</v>
      </c>
      <c r="AB622" t="s">
        <v>27286</v>
      </c>
      <c r="AC622" t="s">
        <v>19045</v>
      </c>
      <c r="AD622" t="s">
        <v>37355</v>
      </c>
      <c r="AE622">
        <v>9</v>
      </c>
      <c r="AF622" t="s">
        <v>45541</v>
      </c>
      <c r="AG622" t="s">
        <v>19330</v>
      </c>
      <c r="AH622">
        <v>5</v>
      </c>
      <c r="AI622">
        <v>1</v>
      </c>
      <c r="AJ622">
        <v>2</v>
      </c>
      <c r="AK622">
        <v>144.37</v>
      </c>
      <c r="AN622" t="s">
        <v>7439</v>
      </c>
      <c r="AO622">
        <v>30000</v>
      </c>
      <c r="AU622">
        <v>0.75</v>
      </c>
      <c r="AV622" t="s">
        <v>469</v>
      </c>
      <c r="AW622" t="s">
        <v>161</v>
      </c>
    </row>
    <row r="623" spans="1:49">
      <c r="A623" s="1">
        <f>HYPERLINK("https://lsnyc.legalserver.org/matter/dynamic-profile/view/1873757","18-1873757")</f>
        <v>0</v>
      </c>
      <c r="B623" t="s">
        <v>65</v>
      </c>
      <c r="C623" t="s">
        <v>341</v>
      </c>
      <c r="D623" t="s">
        <v>466</v>
      </c>
      <c r="E623" t="s">
        <v>451</v>
      </c>
      <c r="F623" t="s">
        <v>1028</v>
      </c>
      <c r="G623" t="s">
        <v>5514</v>
      </c>
      <c r="H623" t="s">
        <v>10190</v>
      </c>
      <c r="I623" t="s">
        <v>17423</v>
      </c>
      <c r="J623" t="s">
        <v>18892</v>
      </c>
      <c r="K623">
        <v>10466</v>
      </c>
      <c r="L623" t="s">
        <v>18958</v>
      </c>
      <c r="M623" t="s">
        <v>18958</v>
      </c>
      <c r="N623" t="s">
        <v>19448</v>
      </c>
      <c r="O623" t="s">
        <v>26524</v>
      </c>
      <c r="P623" t="s">
        <v>26564</v>
      </c>
      <c r="Q623" t="s">
        <v>26570</v>
      </c>
      <c r="R623" t="s">
        <v>26577</v>
      </c>
      <c r="S623" t="s">
        <v>18959</v>
      </c>
      <c r="U623" t="s">
        <v>26604</v>
      </c>
      <c r="W623" t="s">
        <v>466</v>
      </c>
      <c r="X623">
        <v>875</v>
      </c>
      <c r="Y623" t="s">
        <v>26650</v>
      </c>
      <c r="Z623" t="s">
        <v>26656</v>
      </c>
      <c r="AA623" t="s">
        <v>26683</v>
      </c>
      <c r="AB623" t="s">
        <v>27287</v>
      </c>
      <c r="AD623" t="s">
        <v>37356</v>
      </c>
      <c r="AE623">
        <v>3</v>
      </c>
      <c r="AF623" t="s">
        <v>45547</v>
      </c>
      <c r="AG623" t="s">
        <v>19330</v>
      </c>
      <c r="AH623">
        <v>41</v>
      </c>
      <c r="AI623">
        <v>1</v>
      </c>
      <c r="AJ623">
        <v>0</v>
      </c>
      <c r="AK623">
        <v>153.51</v>
      </c>
      <c r="AN623" t="s">
        <v>7439</v>
      </c>
      <c r="AO623">
        <v>18636</v>
      </c>
      <c r="AU623">
        <v>4.2</v>
      </c>
      <c r="AV623" t="s">
        <v>451</v>
      </c>
      <c r="AW623" t="s">
        <v>46841</v>
      </c>
    </row>
    <row r="624" spans="1:49">
      <c r="A624" s="1">
        <f>HYPERLINK("https://lsnyc.legalserver.org/matter/dynamic-profile/view/1873728","18-1873728")</f>
        <v>0</v>
      </c>
      <c r="B624" t="s">
        <v>111</v>
      </c>
      <c r="C624" t="s">
        <v>341</v>
      </c>
      <c r="D624" t="s">
        <v>466</v>
      </c>
      <c r="E624" t="s">
        <v>853</v>
      </c>
      <c r="F624" t="s">
        <v>1228</v>
      </c>
      <c r="G624" t="s">
        <v>5515</v>
      </c>
      <c r="H624" t="s">
        <v>10191</v>
      </c>
      <c r="I624" t="s">
        <v>17313</v>
      </c>
      <c r="J624" t="s">
        <v>18906</v>
      </c>
      <c r="K624">
        <v>11373</v>
      </c>
      <c r="L624" t="s">
        <v>18958</v>
      </c>
      <c r="M624" t="s">
        <v>18958</v>
      </c>
      <c r="N624" t="s">
        <v>19449</v>
      </c>
      <c r="O624" t="s">
        <v>26523</v>
      </c>
      <c r="P624" t="s">
        <v>26564</v>
      </c>
      <c r="Q624" t="s">
        <v>26570</v>
      </c>
      <c r="R624" t="s">
        <v>26585</v>
      </c>
      <c r="S624" t="s">
        <v>18959</v>
      </c>
      <c r="U624" t="s">
        <v>26604</v>
      </c>
      <c r="V624" t="s">
        <v>26611</v>
      </c>
      <c r="W624" t="s">
        <v>466</v>
      </c>
      <c r="X624">
        <v>1582</v>
      </c>
      <c r="Y624" t="s">
        <v>26653</v>
      </c>
      <c r="Z624" t="s">
        <v>26664</v>
      </c>
      <c r="AA624" t="s">
        <v>26683</v>
      </c>
      <c r="AB624" t="s">
        <v>27288</v>
      </c>
      <c r="AC624" t="s">
        <v>34692</v>
      </c>
      <c r="AD624" t="s">
        <v>37357</v>
      </c>
      <c r="AE624">
        <v>66</v>
      </c>
      <c r="AF624" t="s">
        <v>45541</v>
      </c>
      <c r="AG624" t="s">
        <v>19330</v>
      </c>
      <c r="AH624">
        <v>14</v>
      </c>
      <c r="AI624">
        <v>3</v>
      </c>
      <c r="AJ624">
        <v>2</v>
      </c>
      <c r="AK624">
        <v>19.88</v>
      </c>
      <c r="AM624" t="s">
        <v>45576</v>
      </c>
      <c r="AN624" t="s">
        <v>45581</v>
      </c>
      <c r="AO624">
        <v>5850</v>
      </c>
      <c r="AU624">
        <v>4.91</v>
      </c>
      <c r="AV624" t="s">
        <v>853</v>
      </c>
      <c r="AW624" t="s">
        <v>208</v>
      </c>
    </row>
    <row r="625" spans="1:50">
      <c r="A625" s="1">
        <f>HYPERLINK("https://lsnyc.legalserver.org/matter/dynamic-profile/view/1873780","18-1873780")</f>
        <v>0</v>
      </c>
      <c r="B625" t="s">
        <v>193</v>
      </c>
      <c r="C625" t="s">
        <v>341</v>
      </c>
      <c r="D625" t="s">
        <v>466</v>
      </c>
      <c r="E625" t="s">
        <v>727</v>
      </c>
      <c r="F625" t="s">
        <v>881</v>
      </c>
      <c r="G625" t="s">
        <v>1685</v>
      </c>
      <c r="H625" t="s">
        <v>10192</v>
      </c>
      <c r="I625" t="s">
        <v>17331</v>
      </c>
      <c r="J625" t="s">
        <v>18894</v>
      </c>
      <c r="K625">
        <v>11220</v>
      </c>
      <c r="L625" t="s">
        <v>18958</v>
      </c>
      <c r="M625" t="s">
        <v>18958</v>
      </c>
      <c r="N625" t="s">
        <v>19450</v>
      </c>
      <c r="O625" t="s">
        <v>26523</v>
      </c>
      <c r="P625" t="s">
        <v>26560</v>
      </c>
      <c r="Q625" t="s">
        <v>26568</v>
      </c>
      <c r="R625" t="s">
        <v>26586</v>
      </c>
      <c r="U625" t="s">
        <v>26604</v>
      </c>
      <c r="V625" t="s">
        <v>26610</v>
      </c>
      <c r="W625" t="s">
        <v>466</v>
      </c>
      <c r="X625">
        <v>437.81</v>
      </c>
      <c r="Y625" t="s">
        <v>26652</v>
      </c>
      <c r="Z625" t="s">
        <v>26659</v>
      </c>
      <c r="AA625" t="s">
        <v>26678</v>
      </c>
      <c r="AB625" t="s">
        <v>27289</v>
      </c>
      <c r="AD625" t="s">
        <v>37358</v>
      </c>
      <c r="AE625">
        <v>6</v>
      </c>
      <c r="AF625" t="s">
        <v>20460</v>
      </c>
      <c r="AH625">
        <v>37</v>
      </c>
      <c r="AI625">
        <v>2</v>
      </c>
      <c r="AJ625">
        <v>1</v>
      </c>
      <c r="AK625">
        <v>60.81</v>
      </c>
      <c r="AN625" t="s">
        <v>45581</v>
      </c>
      <c r="AO625">
        <v>12636</v>
      </c>
      <c r="AQ625" t="s">
        <v>46362</v>
      </c>
      <c r="AR625" t="s">
        <v>46381</v>
      </c>
      <c r="AS625" t="s">
        <v>46499</v>
      </c>
      <c r="AT625" t="s">
        <v>46612</v>
      </c>
      <c r="AU625">
        <v>7.5</v>
      </c>
      <c r="AV625" t="s">
        <v>461</v>
      </c>
      <c r="AW625" t="s">
        <v>46856</v>
      </c>
    </row>
    <row r="626" spans="1:50">
      <c r="A626" s="1">
        <f>HYPERLINK("https://lsnyc.legalserver.org/matter/dynamic-profile/view/1873823","18-1873823")</f>
        <v>0</v>
      </c>
      <c r="B626" t="s">
        <v>69</v>
      </c>
      <c r="C626" t="s">
        <v>341</v>
      </c>
      <c r="D626" t="s">
        <v>466</v>
      </c>
      <c r="E626" t="s">
        <v>786</v>
      </c>
      <c r="F626" t="s">
        <v>1165</v>
      </c>
      <c r="G626" t="s">
        <v>5516</v>
      </c>
      <c r="H626" t="s">
        <v>10193</v>
      </c>
      <c r="J626" t="s">
        <v>18892</v>
      </c>
      <c r="K626">
        <v>10466</v>
      </c>
      <c r="L626" t="s">
        <v>18958</v>
      </c>
      <c r="M626" t="s">
        <v>18958</v>
      </c>
      <c r="N626" t="s">
        <v>19451</v>
      </c>
      <c r="O626" t="s">
        <v>26533</v>
      </c>
      <c r="P626" t="s">
        <v>26560</v>
      </c>
      <c r="Q626" t="s">
        <v>26568</v>
      </c>
      <c r="R626" t="s">
        <v>26577</v>
      </c>
      <c r="S626" t="s">
        <v>18959</v>
      </c>
      <c r="U626" t="s">
        <v>26604</v>
      </c>
      <c r="W626" t="s">
        <v>466</v>
      </c>
      <c r="X626">
        <v>1300.39</v>
      </c>
      <c r="Y626" t="s">
        <v>26650</v>
      </c>
      <c r="AA626" t="s">
        <v>26686</v>
      </c>
      <c r="AB626" t="s">
        <v>27290</v>
      </c>
      <c r="AD626" t="s">
        <v>37359</v>
      </c>
      <c r="AE626">
        <v>0</v>
      </c>
      <c r="AF626" t="s">
        <v>45541</v>
      </c>
      <c r="AG626" t="s">
        <v>45556</v>
      </c>
      <c r="AH626">
        <v>7</v>
      </c>
      <c r="AI626">
        <v>1</v>
      </c>
      <c r="AJ626">
        <v>0</v>
      </c>
      <c r="AK626">
        <v>187.81</v>
      </c>
      <c r="AN626" t="s">
        <v>7439</v>
      </c>
      <c r="AO626">
        <v>22800</v>
      </c>
      <c r="AP626" t="s">
        <v>45621</v>
      </c>
      <c r="AU626">
        <v>36.5</v>
      </c>
      <c r="AV626" t="s">
        <v>586</v>
      </c>
      <c r="AW626" t="s">
        <v>46854</v>
      </c>
    </row>
    <row r="627" spans="1:50">
      <c r="A627" s="1">
        <f>HYPERLINK("https://lsnyc.legalserver.org/matter/dynamic-profile/view/1873831","18-1873831")</f>
        <v>0</v>
      </c>
      <c r="B627" t="s">
        <v>157</v>
      </c>
      <c r="C627" t="s">
        <v>341</v>
      </c>
      <c r="D627" t="s">
        <v>466</v>
      </c>
      <c r="E627" t="s">
        <v>689</v>
      </c>
      <c r="F627" t="s">
        <v>1334</v>
      </c>
      <c r="G627" t="s">
        <v>5385</v>
      </c>
      <c r="H627" t="s">
        <v>10194</v>
      </c>
      <c r="I627" t="s">
        <v>17290</v>
      </c>
      <c r="J627" t="s">
        <v>18893</v>
      </c>
      <c r="K627">
        <v>10032</v>
      </c>
      <c r="L627" t="s">
        <v>18958</v>
      </c>
      <c r="M627" t="s">
        <v>18958</v>
      </c>
      <c r="O627" t="s">
        <v>26523</v>
      </c>
      <c r="P627" t="s">
        <v>26564</v>
      </c>
      <c r="Q627" t="s">
        <v>26570</v>
      </c>
      <c r="R627" t="s">
        <v>26578</v>
      </c>
      <c r="S627" t="s">
        <v>18959</v>
      </c>
      <c r="U627" t="s">
        <v>26604</v>
      </c>
      <c r="W627" t="s">
        <v>466</v>
      </c>
      <c r="X627">
        <v>787.17</v>
      </c>
      <c r="Y627" t="s">
        <v>26651</v>
      </c>
      <c r="Z627" t="s">
        <v>26661</v>
      </c>
      <c r="AA627" t="s">
        <v>26683</v>
      </c>
      <c r="AB627" t="s">
        <v>27291</v>
      </c>
      <c r="AD627" t="s">
        <v>37360</v>
      </c>
      <c r="AE627">
        <v>54</v>
      </c>
      <c r="AF627" t="s">
        <v>45541</v>
      </c>
      <c r="AG627" t="s">
        <v>19330</v>
      </c>
      <c r="AH627">
        <v>35</v>
      </c>
      <c r="AI627">
        <v>1</v>
      </c>
      <c r="AJ627">
        <v>0</v>
      </c>
      <c r="AK627">
        <v>148.27</v>
      </c>
      <c r="AN627" t="s">
        <v>7439</v>
      </c>
      <c r="AO627">
        <v>18000</v>
      </c>
      <c r="AU627">
        <v>5.3</v>
      </c>
      <c r="AV627" t="s">
        <v>689</v>
      </c>
      <c r="AW627" t="s">
        <v>46840</v>
      </c>
    </row>
    <row r="628" spans="1:50">
      <c r="A628" s="1">
        <f>HYPERLINK("https://lsnyc.legalserver.org/matter/dynamic-profile/view/1873763","18-1873763")</f>
        <v>0</v>
      </c>
      <c r="B628" t="s">
        <v>107</v>
      </c>
      <c r="C628" t="s">
        <v>340</v>
      </c>
      <c r="D628" t="s">
        <v>466</v>
      </c>
      <c r="F628" t="s">
        <v>1335</v>
      </c>
      <c r="G628" t="s">
        <v>5517</v>
      </c>
      <c r="H628" t="s">
        <v>10195</v>
      </c>
      <c r="J628" t="s">
        <v>18901</v>
      </c>
      <c r="K628">
        <v>11433</v>
      </c>
      <c r="L628" t="s">
        <v>18958</v>
      </c>
      <c r="M628" t="s">
        <v>18958</v>
      </c>
      <c r="N628" t="s">
        <v>19452</v>
      </c>
      <c r="O628" t="s">
        <v>26524</v>
      </c>
      <c r="P628" t="s">
        <v>26560</v>
      </c>
      <c r="R628" t="s">
        <v>26585</v>
      </c>
      <c r="S628" t="s">
        <v>18959</v>
      </c>
      <c r="T628" t="s">
        <v>26585</v>
      </c>
      <c r="U628" t="s">
        <v>26604</v>
      </c>
      <c r="V628" t="s">
        <v>26610</v>
      </c>
      <c r="W628" t="s">
        <v>466</v>
      </c>
      <c r="X628">
        <v>1250</v>
      </c>
      <c r="Y628" t="s">
        <v>26653</v>
      </c>
      <c r="Z628" t="s">
        <v>26664</v>
      </c>
      <c r="AB628" t="s">
        <v>27292</v>
      </c>
      <c r="AC628" t="s">
        <v>34693</v>
      </c>
      <c r="AD628" t="s">
        <v>37361</v>
      </c>
      <c r="AE628">
        <v>1</v>
      </c>
      <c r="AF628" t="s">
        <v>45547</v>
      </c>
      <c r="AG628" t="s">
        <v>45561</v>
      </c>
      <c r="AH628">
        <v>5</v>
      </c>
      <c r="AI628">
        <v>1</v>
      </c>
      <c r="AJ628">
        <v>1</v>
      </c>
      <c r="AK628">
        <v>37.28</v>
      </c>
      <c r="AM628" t="s">
        <v>45576</v>
      </c>
      <c r="AN628" t="s">
        <v>7439</v>
      </c>
      <c r="AO628">
        <v>6136</v>
      </c>
      <c r="AU628">
        <v>7.35</v>
      </c>
      <c r="AV628" t="s">
        <v>588</v>
      </c>
      <c r="AW628" t="s">
        <v>208</v>
      </c>
    </row>
    <row r="629" spans="1:50">
      <c r="A629" s="1">
        <f>HYPERLINK("https://lsnyc.legalserver.org/matter/dynamic-profile/view/1873786","18-1873786")</f>
        <v>0</v>
      </c>
      <c r="B629" t="s">
        <v>61</v>
      </c>
      <c r="C629" t="s">
        <v>340</v>
      </c>
      <c r="D629" t="s">
        <v>466</v>
      </c>
      <c r="F629" t="s">
        <v>1336</v>
      </c>
      <c r="G629" t="s">
        <v>5100</v>
      </c>
      <c r="H629" t="s">
        <v>10196</v>
      </c>
      <c r="I629" t="s">
        <v>17277</v>
      </c>
      <c r="J629" t="s">
        <v>18893</v>
      </c>
      <c r="K629">
        <v>10033</v>
      </c>
      <c r="L629" t="s">
        <v>18958</v>
      </c>
      <c r="M629" t="s">
        <v>18958</v>
      </c>
      <c r="N629" t="s">
        <v>19453</v>
      </c>
      <c r="O629" t="s">
        <v>26523</v>
      </c>
      <c r="P629" t="s">
        <v>26560</v>
      </c>
      <c r="R629" t="s">
        <v>26578</v>
      </c>
      <c r="S629" t="s">
        <v>18959</v>
      </c>
      <c r="U629" t="s">
        <v>26604</v>
      </c>
      <c r="W629" t="s">
        <v>466</v>
      </c>
      <c r="X629">
        <v>787.03</v>
      </c>
      <c r="Y629" t="s">
        <v>26651</v>
      </c>
      <c r="Z629" t="s">
        <v>26661</v>
      </c>
      <c r="AB629" t="s">
        <v>27293</v>
      </c>
      <c r="AC629" t="s">
        <v>34694</v>
      </c>
      <c r="AD629" t="s">
        <v>37362</v>
      </c>
      <c r="AE629">
        <v>16</v>
      </c>
      <c r="AF629" t="s">
        <v>45541</v>
      </c>
      <c r="AG629" t="s">
        <v>45559</v>
      </c>
      <c r="AH629">
        <v>10</v>
      </c>
      <c r="AI629">
        <v>2</v>
      </c>
      <c r="AJ629">
        <v>0</v>
      </c>
      <c r="AK629">
        <v>142.75</v>
      </c>
      <c r="AN629" t="s">
        <v>7439</v>
      </c>
      <c r="AO629">
        <v>23496</v>
      </c>
      <c r="AU629">
        <v>26.4</v>
      </c>
      <c r="AV629" t="s">
        <v>838</v>
      </c>
      <c r="AW629" t="s">
        <v>46840</v>
      </c>
      <c r="AX629" t="s">
        <v>46897</v>
      </c>
    </row>
    <row r="630" spans="1:50">
      <c r="A630" s="1">
        <f>HYPERLINK("https://lsnyc.legalserver.org/matter/dynamic-profile/view/1873802","18-1873802")</f>
        <v>0</v>
      </c>
      <c r="B630" t="s">
        <v>79</v>
      </c>
      <c r="C630" t="s">
        <v>340</v>
      </c>
      <c r="D630" t="s">
        <v>466</v>
      </c>
      <c r="F630" t="s">
        <v>1337</v>
      </c>
      <c r="G630" t="s">
        <v>5518</v>
      </c>
      <c r="H630" t="s">
        <v>9854</v>
      </c>
      <c r="I630" t="s">
        <v>17483</v>
      </c>
      <c r="J630" t="s">
        <v>18893</v>
      </c>
      <c r="K630">
        <v>10033</v>
      </c>
      <c r="L630" t="s">
        <v>18958</v>
      </c>
      <c r="M630" t="s">
        <v>18958</v>
      </c>
      <c r="O630" t="s">
        <v>26526</v>
      </c>
      <c r="P630" t="s">
        <v>26565</v>
      </c>
      <c r="R630" t="s">
        <v>26578</v>
      </c>
      <c r="S630" t="s">
        <v>18958</v>
      </c>
      <c r="U630" t="s">
        <v>26604</v>
      </c>
      <c r="W630" t="s">
        <v>466</v>
      </c>
      <c r="X630">
        <v>0</v>
      </c>
      <c r="Y630" t="s">
        <v>26651</v>
      </c>
      <c r="Z630" t="s">
        <v>26667</v>
      </c>
      <c r="AB630" t="s">
        <v>27294</v>
      </c>
      <c r="AE630">
        <v>232</v>
      </c>
      <c r="AF630" t="s">
        <v>45541</v>
      </c>
      <c r="AG630" t="s">
        <v>19330</v>
      </c>
      <c r="AH630">
        <v>15</v>
      </c>
      <c r="AI630">
        <v>3</v>
      </c>
      <c r="AJ630">
        <v>2</v>
      </c>
      <c r="AK630">
        <v>47.59</v>
      </c>
      <c r="AN630" t="s">
        <v>45581</v>
      </c>
      <c r="AO630">
        <v>14000</v>
      </c>
      <c r="AU630">
        <v>0</v>
      </c>
      <c r="AW630" t="s">
        <v>46840</v>
      </c>
    </row>
    <row r="631" spans="1:50">
      <c r="A631" s="1">
        <f>HYPERLINK("https://lsnyc.legalserver.org/matter/dynamic-profile/view/1873840","18-1873840")</f>
        <v>0</v>
      </c>
      <c r="B631" t="s">
        <v>79</v>
      </c>
      <c r="C631" t="s">
        <v>340</v>
      </c>
      <c r="D631" t="s">
        <v>466</v>
      </c>
      <c r="F631" t="s">
        <v>1338</v>
      </c>
      <c r="G631" t="s">
        <v>5138</v>
      </c>
      <c r="H631" t="s">
        <v>9854</v>
      </c>
      <c r="I631" t="s">
        <v>17314</v>
      </c>
      <c r="J631" t="s">
        <v>18893</v>
      </c>
      <c r="K631">
        <v>10033</v>
      </c>
      <c r="L631" t="s">
        <v>18958</v>
      </c>
      <c r="M631" t="s">
        <v>18958</v>
      </c>
      <c r="O631" t="s">
        <v>26526</v>
      </c>
      <c r="P631" t="s">
        <v>26565</v>
      </c>
      <c r="R631" t="s">
        <v>26578</v>
      </c>
      <c r="S631" t="s">
        <v>18958</v>
      </c>
      <c r="U631" t="s">
        <v>26604</v>
      </c>
      <c r="W631" t="s">
        <v>466</v>
      </c>
      <c r="X631">
        <v>1375.8</v>
      </c>
      <c r="Y631" t="s">
        <v>26651</v>
      </c>
      <c r="Z631" t="s">
        <v>26667</v>
      </c>
      <c r="AB631" t="s">
        <v>27295</v>
      </c>
      <c r="AD631" t="s">
        <v>37363</v>
      </c>
      <c r="AE631">
        <v>232</v>
      </c>
      <c r="AF631" t="s">
        <v>45541</v>
      </c>
      <c r="AG631" t="s">
        <v>19330</v>
      </c>
      <c r="AH631">
        <v>10</v>
      </c>
      <c r="AI631">
        <v>2</v>
      </c>
      <c r="AJ631">
        <v>0</v>
      </c>
      <c r="AK631">
        <v>55.55</v>
      </c>
      <c r="AN631" t="s">
        <v>45581</v>
      </c>
      <c r="AO631">
        <v>9144</v>
      </c>
      <c r="AU631">
        <v>0.9</v>
      </c>
      <c r="AV631" t="s">
        <v>818</v>
      </c>
      <c r="AW631" t="s">
        <v>46840</v>
      </c>
    </row>
    <row r="632" spans="1:50">
      <c r="A632" s="1">
        <f>HYPERLINK("https://lsnyc.legalserver.org/matter/dynamic-profile/view/1873798","18-1873798")</f>
        <v>0</v>
      </c>
      <c r="B632" t="s">
        <v>79</v>
      </c>
      <c r="C632" t="s">
        <v>340</v>
      </c>
      <c r="D632" t="s">
        <v>466</v>
      </c>
      <c r="F632" t="s">
        <v>939</v>
      </c>
      <c r="G632" t="s">
        <v>5313</v>
      </c>
      <c r="H632" t="s">
        <v>9854</v>
      </c>
      <c r="I632" t="s">
        <v>17484</v>
      </c>
      <c r="J632" t="s">
        <v>18893</v>
      </c>
      <c r="K632">
        <v>10033</v>
      </c>
      <c r="L632" t="s">
        <v>18958</v>
      </c>
      <c r="M632" t="s">
        <v>18958</v>
      </c>
      <c r="O632" t="s">
        <v>26526</v>
      </c>
      <c r="P632" t="s">
        <v>26565</v>
      </c>
      <c r="R632" t="s">
        <v>26578</v>
      </c>
      <c r="S632" t="s">
        <v>18958</v>
      </c>
      <c r="U632" t="s">
        <v>26604</v>
      </c>
      <c r="W632" t="s">
        <v>466</v>
      </c>
      <c r="X632">
        <v>1180</v>
      </c>
      <c r="Y632" t="s">
        <v>26651</v>
      </c>
      <c r="Z632" t="s">
        <v>26667</v>
      </c>
      <c r="AB632" t="s">
        <v>27296</v>
      </c>
      <c r="AD632" t="s">
        <v>37364</v>
      </c>
      <c r="AE632">
        <v>232</v>
      </c>
      <c r="AF632" t="s">
        <v>45541</v>
      </c>
      <c r="AG632" t="s">
        <v>45556</v>
      </c>
      <c r="AH632">
        <v>21</v>
      </c>
      <c r="AI632">
        <v>1</v>
      </c>
      <c r="AJ632">
        <v>0</v>
      </c>
      <c r="AK632">
        <v>85.67</v>
      </c>
      <c r="AN632" t="s">
        <v>45581</v>
      </c>
      <c r="AO632">
        <v>10400</v>
      </c>
      <c r="AU632">
        <v>0.8</v>
      </c>
      <c r="AV632" t="s">
        <v>720</v>
      </c>
      <c r="AW632" t="s">
        <v>46840</v>
      </c>
    </row>
    <row r="633" spans="1:50">
      <c r="A633" s="1">
        <f>HYPERLINK("https://lsnyc.legalserver.org/matter/dynamic-profile/view/1873845","18-1873845")</f>
        <v>0</v>
      </c>
      <c r="B633" t="s">
        <v>79</v>
      </c>
      <c r="C633" t="s">
        <v>340</v>
      </c>
      <c r="D633" t="s">
        <v>466</v>
      </c>
      <c r="F633" t="s">
        <v>1339</v>
      </c>
      <c r="G633" t="s">
        <v>5121</v>
      </c>
      <c r="H633" t="s">
        <v>9854</v>
      </c>
      <c r="I633" t="s">
        <v>17362</v>
      </c>
      <c r="J633" t="s">
        <v>18893</v>
      </c>
      <c r="K633">
        <v>10033</v>
      </c>
      <c r="L633" t="s">
        <v>18958</v>
      </c>
      <c r="M633" t="s">
        <v>18958</v>
      </c>
      <c r="O633" t="s">
        <v>26526</v>
      </c>
      <c r="P633" t="s">
        <v>26565</v>
      </c>
      <c r="R633" t="s">
        <v>26578</v>
      </c>
      <c r="S633" t="s">
        <v>18958</v>
      </c>
      <c r="U633" t="s">
        <v>26604</v>
      </c>
      <c r="W633" t="s">
        <v>466</v>
      </c>
      <c r="X633">
        <v>1096.72</v>
      </c>
      <c r="Y633" t="s">
        <v>26651</v>
      </c>
      <c r="Z633" t="s">
        <v>26667</v>
      </c>
      <c r="AB633" t="s">
        <v>27297</v>
      </c>
      <c r="AD633" t="s">
        <v>37365</v>
      </c>
      <c r="AE633">
        <v>232</v>
      </c>
      <c r="AF633" t="s">
        <v>45541</v>
      </c>
      <c r="AG633" t="s">
        <v>19330</v>
      </c>
      <c r="AH633">
        <v>27</v>
      </c>
      <c r="AI633">
        <v>2</v>
      </c>
      <c r="AJ633">
        <v>0</v>
      </c>
      <c r="AK633">
        <v>112.73</v>
      </c>
      <c r="AN633" t="s">
        <v>45581</v>
      </c>
      <c r="AO633">
        <v>18556</v>
      </c>
      <c r="AU633">
        <v>0.3</v>
      </c>
      <c r="AV633" t="s">
        <v>818</v>
      </c>
      <c r="AW633" t="s">
        <v>46840</v>
      </c>
    </row>
    <row r="634" spans="1:50">
      <c r="A634" s="1">
        <f>HYPERLINK("https://lsnyc.legalserver.org/matter/dynamic-profile/view/1873835","18-1873835")</f>
        <v>0</v>
      </c>
      <c r="B634" t="s">
        <v>79</v>
      </c>
      <c r="C634" t="s">
        <v>340</v>
      </c>
      <c r="D634" t="s">
        <v>466</v>
      </c>
      <c r="F634" t="s">
        <v>1340</v>
      </c>
      <c r="G634" t="s">
        <v>4588</v>
      </c>
      <c r="H634" t="s">
        <v>9854</v>
      </c>
      <c r="I634" t="s">
        <v>17485</v>
      </c>
      <c r="J634" t="s">
        <v>18893</v>
      </c>
      <c r="K634">
        <v>10033</v>
      </c>
      <c r="L634" t="s">
        <v>18958</v>
      </c>
      <c r="M634" t="s">
        <v>18958</v>
      </c>
      <c r="O634" t="s">
        <v>26526</v>
      </c>
      <c r="P634" t="s">
        <v>26565</v>
      </c>
      <c r="R634" t="s">
        <v>26578</v>
      </c>
      <c r="S634" t="s">
        <v>18958</v>
      </c>
      <c r="U634" t="s">
        <v>26604</v>
      </c>
      <c r="W634" t="s">
        <v>466</v>
      </c>
      <c r="X634">
        <v>1454.57</v>
      </c>
      <c r="Y634" t="s">
        <v>26651</v>
      </c>
      <c r="Z634" t="s">
        <v>26667</v>
      </c>
      <c r="AB634" t="s">
        <v>27298</v>
      </c>
      <c r="AD634" t="s">
        <v>37366</v>
      </c>
      <c r="AE634">
        <v>232</v>
      </c>
      <c r="AF634" t="s">
        <v>45541</v>
      </c>
      <c r="AG634" t="s">
        <v>19330</v>
      </c>
      <c r="AH634">
        <v>10</v>
      </c>
      <c r="AI634">
        <v>1</v>
      </c>
      <c r="AJ634">
        <v>0</v>
      </c>
      <c r="AK634">
        <v>123.56</v>
      </c>
      <c r="AN634" t="s">
        <v>45581</v>
      </c>
      <c r="AO634">
        <v>15000</v>
      </c>
      <c r="AU634">
        <v>0.2</v>
      </c>
      <c r="AV634" t="s">
        <v>827</v>
      </c>
      <c r="AW634" t="s">
        <v>46840</v>
      </c>
    </row>
    <row r="635" spans="1:50">
      <c r="A635" s="1">
        <f>HYPERLINK("https://lsnyc.legalserver.org/matter/dynamic-profile/view/1873795","18-1873795")</f>
        <v>0</v>
      </c>
      <c r="B635" t="s">
        <v>79</v>
      </c>
      <c r="C635" t="s">
        <v>340</v>
      </c>
      <c r="D635" t="s">
        <v>466</v>
      </c>
      <c r="F635" t="s">
        <v>1341</v>
      </c>
      <c r="G635" t="s">
        <v>5481</v>
      </c>
      <c r="H635" t="s">
        <v>9854</v>
      </c>
      <c r="I635" t="s">
        <v>17486</v>
      </c>
      <c r="J635" t="s">
        <v>18893</v>
      </c>
      <c r="K635">
        <v>10033</v>
      </c>
      <c r="L635" t="s">
        <v>18958</v>
      </c>
      <c r="M635" t="s">
        <v>18958</v>
      </c>
      <c r="O635" t="s">
        <v>26526</v>
      </c>
      <c r="P635" t="s">
        <v>26565</v>
      </c>
      <c r="R635" t="s">
        <v>26578</v>
      </c>
      <c r="S635" t="s">
        <v>18958</v>
      </c>
      <c r="U635" t="s">
        <v>26604</v>
      </c>
      <c r="W635" t="s">
        <v>466</v>
      </c>
      <c r="X635">
        <v>1495</v>
      </c>
      <c r="Y635" t="s">
        <v>26651</v>
      </c>
      <c r="Z635" t="s">
        <v>26667</v>
      </c>
      <c r="AB635" t="s">
        <v>27299</v>
      </c>
      <c r="AD635" t="s">
        <v>37367</v>
      </c>
      <c r="AE635">
        <v>232</v>
      </c>
      <c r="AF635" t="s">
        <v>45541</v>
      </c>
      <c r="AG635" t="s">
        <v>19330</v>
      </c>
      <c r="AH635">
        <v>15</v>
      </c>
      <c r="AI635">
        <v>3</v>
      </c>
      <c r="AJ635">
        <v>0</v>
      </c>
      <c r="AK635">
        <v>175.17</v>
      </c>
      <c r="AN635" t="s">
        <v>45581</v>
      </c>
      <c r="AO635">
        <v>36400</v>
      </c>
      <c r="AU635">
        <v>1</v>
      </c>
      <c r="AV635" t="s">
        <v>835</v>
      </c>
      <c r="AW635" t="s">
        <v>46840</v>
      </c>
    </row>
    <row r="636" spans="1:50">
      <c r="A636" s="1">
        <f>HYPERLINK("https://lsnyc.legalserver.org/matter/dynamic-profile/view/1873837","18-1873837")</f>
        <v>0</v>
      </c>
      <c r="B636" t="s">
        <v>79</v>
      </c>
      <c r="C636" t="s">
        <v>340</v>
      </c>
      <c r="D636" t="s">
        <v>466</v>
      </c>
      <c r="F636" t="s">
        <v>1342</v>
      </c>
      <c r="G636" t="s">
        <v>5515</v>
      </c>
      <c r="H636" t="s">
        <v>9854</v>
      </c>
      <c r="I636" t="s">
        <v>17487</v>
      </c>
      <c r="J636" t="s">
        <v>18893</v>
      </c>
      <c r="K636">
        <v>10033</v>
      </c>
      <c r="L636" t="s">
        <v>18958</v>
      </c>
      <c r="M636" t="s">
        <v>18958</v>
      </c>
      <c r="O636" t="s">
        <v>26526</v>
      </c>
      <c r="P636" t="s">
        <v>26565</v>
      </c>
      <c r="R636" t="s">
        <v>26578</v>
      </c>
      <c r="S636" t="s">
        <v>18958</v>
      </c>
      <c r="U636" t="s">
        <v>26604</v>
      </c>
      <c r="W636" t="s">
        <v>466</v>
      </c>
      <c r="X636">
        <v>1431.7</v>
      </c>
      <c r="Y636" t="s">
        <v>26651</v>
      </c>
      <c r="Z636" t="s">
        <v>26667</v>
      </c>
      <c r="AB636" t="s">
        <v>27300</v>
      </c>
      <c r="AD636" t="s">
        <v>37368</v>
      </c>
      <c r="AE636">
        <v>232</v>
      </c>
      <c r="AF636" t="s">
        <v>45541</v>
      </c>
      <c r="AG636" t="s">
        <v>19330</v>
      </c>
      <c r="AH636">
        <v>24</v>
      </c>
      <c r="AI636">
        <v>3</v>
      </c>
      <c r="AJ636">
        <v>0</v>
      </c>
      <c r="AK636">
        <v>241.1</v>
      </c>
      <c r="AN636" t="s">
        <v>7439</v>
      </c>
      <c r="AO636">
        <v>50100</v>
      </c>
      <c r="AU636">
        <v>29.5</v>
      </c>
      <c r="AV636" t="s">
        <v>835</v>
      </c>
      <c r="AW636" t="s">
        <v>46840</v>
      </c>
    </row>
    <row r="637" spans="1:50">
      <c r="A637" s="1">
        <f>HYPERLINK("https://lsnyc.legalserver.org/matter/dynamic-profile/view/1873518","18-1873518")</f>
        <v>0</v>
      </c>
      <c r="B637" t="s">
        <v>161</v>
      </c>
      <c r="C637" t="s">
        <v>341</v>
      </c>
      <c r="D637" t="s">
        <v>469</v>
      </c>
      <c r="E637" t="s">
        <v>500</v>
      </c>
      <c r="F637" t="s">
        <v>1266</v>
      </c>
      <c r="G637" t="s">
        <v>1748</v>
      </c>
      <c r="H637" t="s">
        <v>10197</v>
      </c>
      <c r="J637" t="s">
        <v>18904</v>
      </c>
      <c r="K637">
        <v>11421</v>
      </c>
      <c r="L637" t="s">
        <v>18958</v>
      </c>
      <c r="M637" t="s">
        <v>18958</v>
      </c>
      <c r="N637" t="s">
        <v>19330</v>
      </c>
      <c r="O637" t="s">
        <v>18997</v>
      </c>
      <c r="P637" t="s">
        <v>26564</v>
      </c>
      <c r="Q637" t="s">
        <v>26570</v>
      </c>
      <c r="R637" t="s">
        <v>26589</v>
      </c>
      <c r="S637" t="s">
        <v>18959</v>
      </c>
      <c r="U637" t="s">
        <v>26604</v>
      </c>
      <c r="V637" t="s">
        <v>26610</v>
      </c>
      <c r="W637" t="s">
        <v>466</v>
      </c>
      <c r="X637">
        <v>2100</v>
      </c>
      <c r="Y637" t="s">
        <v>26653</v>
      </c>
      <c r="Z637" t="s">
        <v>26671</v>
      </c>
      <c r="AA637" t="s">
        <v>26683</v>
      </c>
      <c r="AB637" t="s">
        <v>27301</v>
      </c>
      <c r="AC637" t="s">
        <v>19330</v>
      </c>
      <c r="AD637" t="s">
        <v>34738</v>
      </c>
      <c r="AE637">
        <v>2</v>
      </c>
      <c r="AF637" t="s">
        <v>45547</v>
      </c>
      <c r="AG637" t="s">
        <v>19330</v>
      </c>
      <c r="AH637">
        <v>18</v>
      </c>
      <c r="AI637">
        <v>1</v>
      </c>
      <c r="AJ637">
        <v>4</v>
      </c>
      <c r="AK637">
        <v>61.86</v>
      </c>
      <c r="AL637" t="s">
        <v>45568</v>
      </c>
      <c r="AM637" t="s">
        <v>45577</v>
      </c>
      <c r="AN637" t="s">
        <v>45581</v>
      </c>
      <c r="AO637">
        <v>18200</v>
      </c>
      <c r="AU637">
        <v>1.1</v>
      </c>
      <c r="AV637" t="s">
        <v>500</v>
      </c>
      <c r="AW637" t="s">
        <v>161</v>
      </c>
    </row>
    <row r="638" spans="1:50">
      <c r="A638" s="1">
        <f>HYPERLINK("https://lsnyc.legalserver.org/matter/dynamic-profile/view/0822498","16-0822498")</f>
        <v>0</v>
      </c>
      <c r="B638" t="s">
        <v>194</v>
      </c>
      <c r="C638" t="s">
        <v>340</v>
      </c>
      <c r="D638" t="s">
        <v>478</v>
      </c>
      <c r="F638" t="s">
        <v>1036</v>
      </c>
      <c r="G638" t="s">
        <v>5519</v>
      </c>
      <c r="H638" t="s">
        <v>10198</v>
      </c>
      <c r="I638" t="s">
        <v>17410</v>
      </c>
      <c r="J638" t="s">
        <v>18893</v>
      </c>
      <c r="K638">
        <v>10032</v>
      </c>
      <c r="L638" t="s">
        <v>18958</v>
      </c>
      <c r="M638" t="s">
        <v>18958</v>
      </c>
      <c r="O638" t="s">
        <v>26523</v>
      </c>
      <c r="P638" t="s">
        <v>26560</v>
      </c>
      <c r="R638" t="s">
        <v>26582</v>
      </c>
      <c r="T638" t="s">
        <v>26600</v>
      </c>
      <c r="U638" t="s">
        <v>26604</v>
      </c>
      <c r="W638" t="s">
        <v>469</v>
      </c>
      <c r="X638">
        <v>0</v>
      </c>
      <c r="Y638" t="s">
        <v>26651</v>
      </c>
      <c r="AB638" t="s">
        <v>27302</v>
      </c>
      <c r="AC638" t="s">
        <v>34695</v>
      </c>
      <c r="AD638" t="s">
        <v>37369</v>
      </c>
      <c r="AE638">
        <v>0</v>
      </c>
      <c r="AF638" t="s">
        <v>45541</v>
      </c>
      <c r="AH638">
        <v>0</v>
      </c>
      <c r="AI638">
        <v>4</v>
      </c>
      <c r="AJ638">
        <v>1</v>
      </c>
      <c r="AK638">
        <v>144.91</v>
      </c>
      <c r="AO638">
        <v>41212</v>
      </c>
      <c r="AU638">
        <v>135.12</v>
      </c>
      <c r="AV638" t="s">
        <v>797</v>
      </c>
      <c r="AW638" t="s">
        <v>317</v>
      </c>
    </row>
    <row r="639" spans="1:50">
      <c r="A639" s="1">
        <f>HYPERLINK("https://lsnyc.legalserver.org/matter/dynamic-profile/view/1838512","17-1838512")</f>
        <v>0</v>
      </c>
      <c r="B639" t="s">
        <v>195</v>
      </c>
      <c r="C639" t="s">
        <v>340</v>
      </c>
      <c r="D639" t="s">
        <v>479</v>
      </c>
      <c r="F639" t="s">
        <v>1343</v>
      </c>
      <c r="G639" t="s">
        <v>5394</v>
      </c>
      <c r="H639" t="s">
        <v>10199</v>
      </c>
      <c r="I639" t="s">
        <v>17488</v>
      </c>
      <c r="J639" t="s">
        <v>18893</v>
      </c>
      <c r="K639">
        <v>10031</v>
      </c>
      <c r="L639" t="s">
        <v>18958</v>
      </c>
      <c r="M639" t="s">
        <v>18958</v>
      </c>
      <c r="N639" t="s">
        <v>19454</v>
      </c>
      <c r="O639" t="s">
        <v>26524</v>
      </c>
      <c r="P639" t="s">
        <v>26560</v>
      </c>
      <c r="R639" t="s">
        <v>26580</v>
      </c>
      <c r="S639" t="s">
        <v>18959</v>
      </c>
      <c r="U639" t="s">
        <v>26604</v>
      </c>
      <c r="W639" t="s">
        <v>469</v>
      </c>
      <c r="X639">
        <v>1300</v>
      </c>
      <c r="Y639" t="s">
        <v>26651</v>
      </c>
      <c r="Z639" t="s">
        <v>26661</v>
      </c>
      <c r="AB639" t="s">
        <v>27303</v>
      </c>
      <c r="AD639" t="s">
        <v>37370</v>
      </c>
      <c r="AE639">
        <v>98</v>
      </c>
      <c r="AF639" t="s">
        <v>20460</v>
      </c>
      <c r="AH639">
        <v>18</v>
      </c>
      <c r="AI639">
        <v>3</v>
      </c>
      <c r="AJ639">
        <v>0</v>
      </c>
      <c r="AK639">
        <v>36.24</v>
      </c>
      <c r="AN639" t="s">
        <v>7439</v>
      </c>
      <c r="AO639">
        <v>7400</v>
      </c>
      <c r="AU639">
        <v>103.25</v>
      </c>
      <c r="AV639" t="s">
        <v>833</v>
      </c>
      <c r="AW639" t="s">
        <v>46833</v>
      </c>
    </row>
    <row r="640" spans="1:50">
      <c r="A640" s="1">
        <f>HYPERLINK("https://lsnyc.legalserver.org/matter/dynamic-profile/view/1839710","17-1839710")</f>
        <v>0</v>
      </c>
      <c r="B640" t="s">
        <v>104</v>
      </c>
      <c r="C640" t="s">
        <v>340</v>
      </c>
      <c r="D640" t="s">
        <v>421</v>
      </c>
      <c r="F640" t="s">
        <v>1344</v>
      </c>
      <c r="G640" t="s">
        <v>5520</v>
      </c>
      <c r="H640" t="s">
        <v>10200</v>
      </c>
      <c r="I640" t="s">
        <v>17489</v>
      </c>
      <c r="J640" t="s">
        <v>18902</v>
      </c>
      <c r="K640">
        <v>10301</v>
      </c>
      <c r="L640" t="s">
        <v>18958</v>
      </c>
      <c r="M640" t="s">
        <v>18958</v>
      </c>
      <c r="N640" t="s">
        <v>19037</v>
      </c>
      <c r="O640" t="s">
        <v>26524</v>
      </c>
      <c r="P640" t="s">
        <v>26562</v>
      </c>
      <c r="R640" t="s">
        <v>26578</v>
      </c>
      <c r="S640" t="s">
        <v>18959</v>
      </c>
      <c r="U640" t="s">
        <v>26604</v>
      </c>
      <c r="V640" t="s">
        <v>26610</v>
      </c>
      <c r="W640" t="s">
        <v>469</v>
      </c>
      <c r="X640">
        <v>1532</v>
      </c>
      <c r="Y640" t="s">
        <v>26654</v>
      </c>
      <c r="Z640" t="s">
        <v>26668</v>
      </c>
      <c r="AB640" t="s">
        <v>27304</v>
      </c>
      <c r="AC640" t="s">
        <v>19045</v>
      </c>
      <c r="AD640" t="s">
        <v>37371</v>
      </c>
      <c r="AE640">
        <v>200</v>
      </c>
      <c r="AF640" t="s">
        <v>45541</v>
      </c>
      <c r="AG640" t="s">
        <v>19330</v>
      </c>
      <c r="AH640">
        <v>22</v>
      </c>
      <c r="AI640">
        <v>2</v>
      </c>
      <c r="AJ640">
        <v>0</v>
      </c>
      <c r="AK640">
        <v>238.52</v>
      </c>
      <c r="AL640" t="s">
        <v>45569</v>
      </c>
      <c r="AM640" t="s">
        <v>45575</v>
      </c>
      <c r="AN640" t="s">
        <v>7439</v>
      </c>
      <c r="AO640">
        <v>53988</v>
      </c>
      <c r="AP640" t="s">
        <v>45664</v>
      </c>
      <c r="AR640" t="s">
        <v>46398</v>
      </c>
      <c r="AS640" t="s">
        <v>46499</v>
      </c>
      <c r="AT640" t="s">
        <v>46523</v>
      </c>
      <c r="AU640">
        <v>2.3</v>
      </c>
      <c r="AV640" t="s">
        <v>408</v>
      </c>
      <c r="AW640" t="s">
        <v>46852</v>
      </c>
    </row>
    <row r="641" spans="1:49">
      <c r="A641" s="1">
        <f>HYPERLINK("https://lsnyc.legalserver.org/matter/dynamic-profile/view/1840606","17-1840606")</f>
        <v>0</v>
      </c>
      <c r="B641" t="s">
        <v>137</v>
      </c>
      <c r="C641" t="s">
        <v>341</v>
      </c>
      <c r="D641" t="s">
        <v>445</v>
      </c>
      <c r="E641" t="s">
        <v>815</v>
      </c>
      <c r="F641" t="s">
        <v>1047</v>
      </c>
      <c r="G641" t="s">
        <v>5475</v>
      </c>
      <c r="H641" t="s">
        <v>10201</v>
      </c>
      <c r="I641" t="s">
        <v>17272</v>
      </c>
      <c r="J641" t="s">
        <v>18892</v>
      </c>
      <c r="K641">
        <v>10467</v>
      </c>
      <c r="L641" t="s">
        <v>18958</v>
      </c>
      <c r="M641" t="s">
        <v>18958</v>
      </c>
      <c r="N641" t="s">
        <v>19455</v>
      </c>
      <c r="O641" t="s">
        <v>26523</v>
      </c>
      <c r="P641" t="s">
        <v>26560</v>
      </c>
      <c r="Q641" t="s">
        <v>26568</v>
      </c>
      <c r="R641" t="s">
        <v>26579</v>
      </c>
      <c r="S641" t="s">
        <v>18959</v>
      </c>
      <c r="U641" t="s">
        <v>26604</v>
      </c>
      <c r="V641" t="s">
        <v>26609</v>
      </c>
      <c r="W641" t="s">
        <v>469</v>
      </c>
      <c r="X641">
        <v>1525</v>
      </c>
      <c r="Y641" t="s">
        <v>26650</v>
      </c>
      <c r="Z641" t="s">
        <v>26662</v>
      </c>
      <c r="AA641" t="s">
        <v>26679</v>
      </c>
      <c r="AB641" t="s">
        <v>27305</v>
      </c>
      <c r="AC641" t="s">
        <v>34696</v>
      </c>
      <c r="AD641" t="s">
        <v>37372</v>
      </c>
      <c r="AE641">
        <v>7</v>
      </c>
      <c r="AF641" t="s">
        <v>45541</v>
      </c>
      <c r="AG641" t="s">
        <v>19330</v>
      </c>
      <c r="AH641">
        <v>6</v>
      </c>
      <c r="AI641">
        <v>2</v>
      </c>
      <c r="AJ641">
        <v>2</v>
      </c>
      <c r="AK641">
        <v>155.28</v>
      </c>
      <c r="AN641" t="s">
        <v>7439</v>
      </c>
      <c r="AO641">
        <v>38200</v>
      </c>
      <c r="AP641" t="s">
        <v>45620</v>
      </c>
      <c r="AQ641" t="s">
        <v>46368</v>
      </c>
      <c r="AR641" t="s">
        <v>46418</v>
      </c>
      <c r="AS641" t="s">
        <v>46500</v>
      </c>
      <c r="AT641" t="s">
        <v>46638</v>
      </c>
      <c r="AU641">
        <v>85.25</v>
      </c>
      <c r="AV641" t="s">
        <v>800</v>
      </c>
      <c r="AW641" t="s">
        <v>46839</v>
      </c>
    </row>
    <row r="642" spans="1:49">
      <c r="A642" s="1">
        <f>HYPERLINK("https://lsnyc.legalserver.org/matter/dynamic-profile/view/1841802","17-1841802")</f>
        <v>0</v>
      </c>
      <c r="B642" t="s">
        <v>173</v>
      </c>
      <c r="C642" t="s">
        <v>341</v>
      </c>
      <c r="D642" t="s">
        <v>480</v>
      </c>
      <c r="E642" t="s">
        <v>494</v>
      </c>
      <c r="F642" t="s">
        <v>1345</v>
      </c>
      <c r="G642" t="s">
        <v>5147</v>
      </c>
      <c r="H642" t="s">
        <v>10202</v>
      </c>
      <c r="I642">
        <v>372</v>
      </c>
      <c r="J642" t="s">
        <v>18893</v>
      </c>
      <c r="K642">
        <v>10031</v>
      </c>
      <c r="L642" t="s">
        <v>18958</v>
      </c>
      <c r="M642" t="s">
        <v>18958</v>
      </c>
      <c r="N642" t="s">
        <v>19456</v>
      </c>
      <c r="O642" t="s">
        <v>26524</v>
      </c>
      <c r="P642" t="s">
        <v>26564</v>
      </c>
      <c r="Q642" t="s">
        <v>26570</v>
      </c>
      <c r="R642" t="s">
        <v>26580</v>
      </c>
      <c r="S642" t="s">
        <v>18959</v>
      </c>
      <c r="U642" t="s">
        <v>26604</v>
      </c>
      <c r="W642" t="s">
        <v>469</v>
      </c>
      <c r="X642">
        <v>620.65</v>
      </c>
      <c r="Y642" t="s">
        <v>26651</v>
      </c>
      <c r="Z642" t="s">
        <v>26661</v>
      </c>
      <c r="AA642" t="s">
        <v>26683</v>
      </c>
      <c r="AB642" t="s">
        <v>27306</v>
      </c>
      <c r="AD642" t="s">
        <v>37373</v>
      </c>
      <c r="AE642">
        <v>28</v>
      </c>
      <c r="AF642" t="s">
        <v>20460</v>
      </c>
      <c r="AG642" t="s">
        <v>19330</v>
      </c>
      <c r="AH642">
        <v>39</v>
      </c>
      <c r="AI642">
        <v>3</v>
      </c>
      <c r="AJ642">
        <v>0</v>
      </c>
      <c r="AK642">
        <v>67.58</v>
      </c>
      <c r="AN642" t="s">
        <v>45581</v>
      </c>
      <c r="AO642">
        <v>13800</v>
      </c>
      <c r="AU642">
        <v>0.25</v>
      </c>
      <c r="AV642" t="s">
        <v>585</v>
      </c>
      <c r="AW642" t="s">
        <v>46838</v>
      </c>
    </row>
    <row r="643" spans="1:49">
      <c r="A643" s="1">
        <f>HYPERLINK("https://lsnyc.legalserver.org/matter/dynamic-profile/view/1845585","17-1845585")</f>
        <v>0</v>
      </c>
      <c r="B643" t="s">
        <v>196</v>
      </c>
      <c r="C643" t="s">
        <v>341</v>
      </c>
      <c r="D643" t="s">
        <v>481</v>
      </c>
      <c r="E643" t="s">
        <v>605</v>
      </c>
      <c r="F643" t="s">
        <v>1346</v>
      </c>
      <c r="G643" t="s">
        <v>3846</v>
      </c>
      <c r="H643" t="s">
        <v>10203</v>
      </c>
      <c r="I643">
        <v>12</v>
      </c>
      <c r="J643" t="s">
        <v>18893</v>
      </c>
      <c r="K643">
        <v>10029</v>
      </c>
      <c r="L643" t="s">
        <v>18958</v>
      </c>
      <c r="M643" t="s">
        <v>18958</v>
      </c>
      <c r="O643" t="s">
        <v>18997</v>
      </c>
      <c r="P643" t="s">
        <v>26564</v>
      </c>
      <c r="Q643" t="s">
        <v>26570</v>
      </c>
      <c r="R643" t="s">
        <v>26578</v>
      </c>
      <c r="S643" t="s">
        <v>18958</v>
      </c>
      <c r="U643" t="s">
        <v>26604</v>
      </c>
      <c r="V643" t="s">
        <v>26610</v>
      </c>
      <c r="W643" t="s">
        <v>469</v>
      </c>
      <c r="X643">
        <v>2500</v>
      </c>
      <c r="Y643" t="s">
        <v>26651</v>
      </c>
      <c r="Z643" t="s">
        <v>26667</v>
      </c>
      <c r="AA643" t="s">
        <v>26683</v>
      </c>
      <c r="AB643" t="s">
        <v>27307</v>
      </c>
      <c r="AD643" t="s">
        <v>37374</v>
      </c>
      <c r="AE643">
        <v>24</v>
      </c>
      <c r="AF643" t="s">
        <v>20460</v>
      </c>
      <c r="AG643" t="s">
        <v>19330</v>
      </c>
      <c r="AH643">
        <v>4</v>
      </c>
      <c r="AI643">
        <v>2</v>
      </c>
      <c r="AJ643">
        <v>0</v>
      </c>
      <c r="AK643">
        <v>646.55</v>
      </c>
      <c r="AN643" t="s">
        <v>7439</v>
      </c>
      <c r="AO643">
        <v>105000</v>
      </c>
      <c r="AU643">
        <v>1.7</v>
      </c>
      <c r="AV643" t="s">
        <v>642</v>
      </c>
      <c r="AW643" t="s">
        <v>46835</v>
      </c>
    </row>
    <row r="644" spans="1:49">
      <c r="A644" s="1">
        <f>HYPERLINK("https://lsnyc.legalserver.org/matter/dynamic-profile/view/1855924","18-1855924")</f>
        <v>0</v>
      </c>
      <c r="B644" t="s">
        <v>76</v>
      </c>
      <c r="C644" t="s">
        <v>341</v>
      </c>
      <c r="D644" t="s">
        <v>373</v>
      </c>
      <c r="E644" t="s">
        <v>523</v>
      </c>
      <c r="F644" t="s">
        <v>1347</v>
      </c>
      <c r="G644" t="s">
        <v>5521</v>
      </c>
      <c r="H644" t="s">
        <v>10204</v>
      </c>
      <c r="I644" t="s">
        <v>17272</v>
      </c>
      <c r="J644" t="s">
        <v>18893</v>
      </c>
      <c r="K644">
        <v>10039</v>
      </c>
      <c r="L644" t="s">
        <v>18958</v>
      </c>
      <c r="M644" t="s">
        <v>18958</v>
      </c>
      <c r="O644" t="s">
        <v>26524</v>
      </c>
      <c r="P644" t="s">
        <v>26564</v>
      </c>
      <c r="Q644" t="s">
        <v>26570</v>
      </c>
      <c r="R644" t="s">
        <v>26582</v>
      </c>
      <c r="S644" t="s">
        <v>18959</v>
      </c>
      <c r="T644" t="s">
        <v>26600</v>
      </c>
      <c r="U644" t="s">
        <v>26604</v>
      </c>
      <c r="W644" t="s">
        <v>469</v>
      </c>
      <c r="X644">
        <v>1407.45</v>
      </c>
      <c r="Y644" t="s">
        <v>26651</v>
      </c>
      <c r="Z644" t="s">
        <v>26667</v>
      </c>
      <c r="AA644" t="s">
        <v>26683</v>
      </c>
      <c r="AB644" t="s">
        <v>27308</v>
      </c>
      <c r="AD644" t="s">
        <v>37375</v>
      </c>
      <c r="AE644">
        <v>0</v>
      </c>
      <c r="AF644" t="s">
        <v>45541</v>
      </c>
      <c r="AG644" t="s">
        <v>19330</v>
      </c>
      <c r="AH644">
        <v>22</v>
      </c>
      <c r="AI644">
        <v>3</v>
      </c>
      <c r="AJ644">
        <v>0</v>
      </c>
      <c r="AK644">
        <v>129.91</v>
      </c>
      <c r="AO644">
        <v>26527</v>
      </c>
      <c r="AU644">
        <v>1.5</v>
      </c>
      <c r="AV644" t="s">
        <v>564</v>
      </c>
      <c r="AW644" t="s">
        <v>317</v>
      </c>
    </row>
    <row r="645" spans="1:49">
      <c r="A645" s="1">
        <f>HYPERLINK("https://lsnyc.legalserver.org/matter/dynamic-profile/view/1856011","18-1856011")</f>
        <v>0</v>
      </c>
      <c r="B645" t="s">
        <v>105</v>
      </c>
      <c r="C645" t="s">
        <v>341</v>
      </c>
      <c r="D645" t="s">
        <v>482</v>
      </c>
      <c r="E645" t="s">
        <v>767</v>
      </c>
      <c r="F645" t="s">
        <v>1348</v>
      </c>
      <c r="G645" t="s">
        <v>5522</v>
      </c>
      <c r="H645" t="s">
        <v>10205</v>
      </c>
      <c r="I645" t="s">
        <v>17490</v>
      </c>
      <c r="J645" t="s">
        <v>18913</v>
      </c>
      <c r="K645">
        <v>11106</v>
      </c>
      <c r="L645" t="s">
        <v>18958</v>
      </c>
      <c r="M645" t="s">
        <v>18958</v>
      </c>
      <c r="N645" t="s">
        <v>19457</v>
      </c>
      <c r="O645" t="s">
        <v>26524</v>
      </c>
      <c r="P645" t="s">
        <v>26560</v>
      </c>
      <c r="Q645" t="s">
        <v>26568</v>
      </c>
      <c r="R645" t="s">
        <v>26584</v>
      </c>
      <c r="S645" t="s">
        <v>18959</v>
      </c>
      <c r="U645" t="s">
        <v>26604</v>
      </c>
      <c r="V645" t="s">
        <v>26610</v>
      </c>
      <c r="W645" t="s">
        <v>469</v>
      </c>
      <c r="X645">
        <v>1086</v>
      </c>
      <c r="Y645" t="s">
        <v>26653</v>
      </c>
      <c r="Z645" t="s">
        <v>26664</v>
      </c>
      <c r="AA645" t="s">
        <v>26678</v>
      </c>
      <c r="AB645" t="s">
        <v>27309</v>
      </c>
      <c r="AD645" t="s">
        <v>37376</v>
      </c>
      <c r="AE645">
        <v>108</v>
      </c>
      <c r="AF645" t="s">
        <v>45541</v>
      </c>
      <c r="AG645" t="s">
        <v>19330</v>
      </c>
      <c r="AH645">
        <v>21</v>
      </c>
      <c r="AI645">
        <v>1</v>
      </c>
      <c r="AJ645">
        <v>0</v>
      </c>
      <c r="AK645">
        <v>0</v>
      </c>
      <c r="AM645" t="s">
        <v>45576</v>
      </c>
      <c r="AN645" t="s">
        <v>7439</v>
      </c>
      <c r="AO645">
        <v>0</v>
      </c>
      <c r="AQ645" t="s">
        <v>46362</v>
      </c>
      <c r="AR645" t="s">
        <v>46379</v>
      </c>
      <c r="AS645" t="s">
        <v>46499</v>
      </c>
      <c r="AT645" t="s">
        <v>46593</v>
      </c>
      <c r="AU645">
        <v>10.3</v>
      </c>
      <c r="AV645" t="s">
        <v>767</v>
      </c>
      <c r="AW645" t="s">
        <v>208</v>
      </c>
    </row>
    <row r="646" spans="1:49">
      <c r="A646" s="1">
        <f>HYPERLINK("https://lsnyc.legalserver.org/matter/dynamic-profile/view/1856711","18-1856711")</f>
        <v>0</v>
      </c>
      <c r="B646" t="s">
        <v>99</v>
      </c>
      <c r="C646" t="s">
        <v>341</v>
      </c>
      <c r="D646" t="s">
        <v>483</v>
      </c>
      <c r="E646" t="s">
        <v>510</v>
      </c>
      <c r="F646" t="s">
        <v>1036</v>
      </c>
      <c r="G646" t="s">
        <v>5523</v>
      </c>
      <c r="H646" t="s">
        <v>10206</v>
      </c>
      <c r="I646" t="s">
        <v>17491</v>
      </c>
      <c r="J646" t="s">
        <v>18902</v>
      </c>
      <c r="K646">
        <v>10302</v>
      </c>
      <c r="L646" t="s">
        <v>18958</v>
      </c>
      <c r="M646" t="s">
        <v>18958</v>
      </c>
      <c r="N646" t="s">
        <v>19458</v>
      </c>
      <c r="O646" t="s">
        <v>26524</v>
      </c>
      <c r="P646" t="s">
        <v>26560</v>
      </c>
      <c r="Q646" t="s">
        <v>26568</v>
      </c>
      <c r="R646" t="s">
        <v>26590</v>
      </c>
      <c r="S646" t="s">
        <v>18959</v>
      </c>
      <c r="U646" t="s">
        <v>26604</v>
      </c>
      <c r="V646" t="s">
        <v>26611</v>
      </c>
      <c r="W646" t="s">
        <v>469</v>
      </c>
      <c r="X646">
        <v>1796</v>
      </c>
      <c r="Y646" t="s">
        <v>26654</v>
      </c>
      <c r="Z646" t="s">
        <v>26656</v>
      </c>
      <c r="AA646" t="s">
        <v>26679</v>
      </c>
      <c r="AB646" t="s">
        <v>27310</v>
      </c>
      <c r="AD646" t="s">
        <v>37377</v>
      </c>
      <c r="AE646">
        <v>2</v>
      </c>
      <c r="AF646" t="s">
        <v>45547</v>
      </c>
      <c r="AG646" t="s">
        <v>45556</v>
      </c>
      <c r="AH646">
        <v>5</v>
      </c>
      <c r="AI646">
        <v>3</v>
      </c>
      <c r="AJ646">
        <v>0</v>
      </c>
      <c r="AK646">
        <v>122.76</v>
      </c>
      <c r="AN646" t="s">
        <v>45581</v>
      </c>
      <c r="AO646">
        <v>25068</v>
      </c>
      <c r="AQ646" t="s">
        <v>46365</v>
      </c>
      <c r="AR646" t="s">
        <v>46384</v>
      </c>
      <c r="AS646" t="s">
        <v>46500</v>
      </c>
      <c r="AT646" t="s">
        <v>46522</v>
      </c>
      <c r="AU646">
        <v>14.3</v>
      </c>
      <c r="AV646" t="s">
        <v>510</v>
      </c>
      <c r="AW646" t="s">
        <v>210</v>
      </c>
    </row>
    <row r="647" spans="1:49">
      <c r="A647" s="1">
        <f>HYPERLINK("https://lsnyc.legalserver.org/matter/dynamic-profile/view/1860068","18-1860068")</f>
        <v>0</v>
      </c>
      <c r="B647" t="s">
        <v>142</v>
      </c>
      <c r="C647" t="s">
        <v>341</v>
      </c>
      <c r="D647" t="s">
        <v>484</v>
      </c>
      <c r="E647" t="s">
        <v>712</v>
      </c>
      <c r="F647" t="s">
        <v>891</v>
      </c>
      <c r="G647" t="s">
        <v>5524</v>
      </c>
      <c r="H647" t="s">
        <v>10207</v>
      </c>
      <c r="I647">
        <v>2</v>
      </c>
      <c r="J647" t="s">
        <v>18932</v>
      </c>
      <c r="K647">
        <v>11385</v>
      </c>
      <c r="L647" t="s">
        <v>18958</v>
      </c>
      <c r="M647" t="s">
        <v>18958</v>
      </c>
      <c r="N647" t="s">
        <v>19459</v>
      </c>
      <c r="O647" t="s">
        <v>26524</v>
      </c>
      <c r="P647" t="s">
        <v>26560</v>
      </c>
      <c r="Q647" t="s">
        <v>26568</v>
      </c>
      <c r="R647" t="s">
        <v>26585</v>
      </c>
      <c r="S647" t="s">
        <v>18959</v>
      </c>
      <c r="U647" t="s">
        <v>26604</v>
      </c>
      <c r="V647" t="s">
        <v>26610</v>
      </c>
      <c r="W647" t="s">
        <v>469</v>
      </c>
      <c r="X647">
        <v>1650</v>
      </c>
      <c r="Y647" t="s">
        <v>26653</v>
      </c>
      <c r="Z647" t="s">
        <v>26656</v>
      </c>
      <c r="AA647" t="s">
        <v>26679</v>
      </c>
      <c r="AB647" t="s">
        <v>27311</v>
      </c>
      <c r="AC647" t="s">
        <v>19045</v>
      </c>
      <c r="AD647" t="s">
        <v>37378</v>
      </c>
      <c r="AE647">
        <v>2</v>
      </c>
      <c r="AF647" t="s">
        <v>45547</v>
      </c>
      <c r="AG647" t="s">
        <v>45556</v>
      </c>
      <c r="AH647">
        <v>8</v>
      </c>
      <c r="AI647">
        <v>2</v>
      </c>
      <c r="AJ647">
        <v>0</v>
      </c>
      <c r="AK647">
        <v>176.99</v>
      </c>
      <c r="AN647" t="s">
        <v>7439</v>
      </c>
      <c r="AO647">
        <v>29132</v>
      </c>
      <c r="AQ647" t="s">
        <v>46365</v>
      </c>
      <c r="AR647" t="s">
        <v>26530</v>
      </c>
      <c r="AS647" t="s">
        <v>46500</v>
      </c>
      <c r="AT647" t="s">
        <v>46588</v>
      </c>
      <c r="AU647">
        <v>11.3</v>
      </c>
      <c r="AV647" t="s">
        <v>511</v>
      </c>
      <c r="AW647" t="s">
        <v>85</v>
      </c>
    </row>
    <row r="648" spans="1:49">
      <c r="A648" s="1">
        <f>HYPERLINK("https://lsnyc.legalserver.org/matter/dynamic-profile/view/1861778","18-1861778")</f>
        <v>0</v>
      </c>
      <c r="B648" t="s">
        <v>173</v>
      </c>
      <c r="C648" t="s">
        <v>341</v>
      </c>
      <c r="D648" t="s">
        <v>485</v>
      </c>
      <c r="E648" t="s">
        <v>703</v>
      </c>
      <c r="F648" t="s">
        <v>1349</v>
      </c>
      <c r="G648" t="s">
        <v>5079</v>
      </c>
      <c r="H648" t="s">
        <v>10208</v>
      </c>
      <c r="I648" t="s">
        <v>17492</v>
      </c>
      <c r="J648" t="s">
        <v>18893</v>
      </c>
      <c r="K648">
        <v>10027</v>
      </c>
      <c r="L648" t="s">
        <v>18958</v>
      </c>
      <c r="M648" t="s">
        <v>18958</v>
      </c>
      <c r="O648" t="s">
        <v>18997</v>
      </c>
      <c r="P648" t="s">
        <v>26564</v>
      </c>
      <c r="Q648" t="s">
        <v>26570</v>
      </c>
      <c r="R648" t="s">
        <v>26592</v>
      </c>
      <c r="T648" t="s">
        <v>26600</v>
      </c>
      <c r="U648" t="s">
        <v>26605</v>
      </c>
      <c r="W648" t="s">
        <v>469</v>
      </c>
      <c r="X648">
        <v>0</v>
      </c>
      <c r="Y648" t="s">
        <v>26651</v>
      </c>
      <c r="AA648" t="s">
        <v>26683</v>
      </c>
      <c r="AB648" t="s">
        <v>27312</v>
      </c>
      <c r="AD648" t="s">
        <v>37379</v>
      </c>
      <c r="AE648">
        <v>0</v>
      </c>
      <c r="AH648">
        <v>0</v>
      </c>
      <c r="AI648">
        <v>1</v>
      </c>
      <c r="AJ648">
        <v>0</v>
      </c>
      <c r="AK648">
        <v>69.19</v>
      </c>
      <c r="AN648" t="s">
        <v>7439</v>
      </c>
      <c r="AO648">
        <v>8400</v>
      </c>
      <c r="AU648">
        <v>0.25</v>
      </c>
      <c r="AV648" t="s">
        <v>493</v>
      </c>
      <c r="AW648" t="s">
        <v>46838</v>
      </c>
    </row>
    <row r="649" spans="1:49">
      <c r="A649" s="1">
        <f>HYPERLINK("https://lsnyc.legalserver.org/matter/dynamic-profile/view/1862225","18-1862225")</f>
        <v>0</v>
      </c>
      <c r="B649" t="s">
        <v>144</v>
      </c>
      <c r="C649" t="s">
        <v>341</v>
      </c>
      <c r="D649" t="s">
        <v>486</v>
      </c>
      <c r="E649" t="s">
        <v>582</v>
      </c>
      <c r="F649" t="s">
        <v>1350</v>
      </c>
      <c r="G649" t="s">
        <v>5385</v>
      </c>
      <c r="H649" t="s">
        <v>10209</v>
      </c>
      <c r="I649" t="s">
        <v>17493</v>
      </c>
      <c r="J649" t="s">
        <v>18893</v>
      </c>
      <c r="K649">
        <v>10031</v>
      </c>
      <c r="L649" t="s">
        <v>18958</v>
      </c>
      <c r="M649" t="s">
        <v>18958</v>
      </c>
      <c r="N649" t="s">
        <v>19460</v>
      </c>
      <c r="O649" t="s">
        <v>26524</v>
      </c>
      <c r="P649" t="s">
        <v>26564</v>
      </c>
      <c r="Q649" t="s">
        <v>26570</v>
      </c>
      <c r="R649" t="s">
        <v>26580</v>
      </c>
      <c r="S649" t="s">
        <v>18959</v>
      </c>
      <c r="U649" t="s">
        <v>26604</v>
      </c>
      <c r="W649" t="s">
        <v>469</v>
      </c>
      <c r="X649">
        <v>2031</v>
      </c>
      <c r="Y649" t="s">
        <v>26651</v>
      </c>
      <c r="Z649" t="s">
        <v>26656</v>
      </c>
      <c r="AA649" t="s">
        <v>26683</v>
      </c>
      <c r="AB649" t="s">
        <v>27313</v>
      </c>
      <c r="AC649" t="s">
        <v>34697</v>
      </c>
      <c r="AD649" t="s">
        <v>37380</v>
      </c>
      <c r="AE649">
        <v>1200</v>
      </c>
      <c r="AF649" t="s">
        <v>45541</v>
      </c>
      <c r="AG649" t="s">
        <v>45556</v>
      </c>
      <c r="AH649">
        <v>5</v>
      </c>
      <c r="AI649">
        <v>1</v>
      </c>
      <c r="AJ649">
        <v>0</v>
      </c>
      <c r="AK649">
        <v>74.14</v>
      </c>
      <c r="AN649" t="s">
        <v>45581</v>
      </c>
      <c r="AO649">
        <v>9000</v>
      </c>
      <c r="AU649">
        <v>3.45</v>
      </c>
      <c r="AV649" t="s">
        <v>497</v>
      </c>
      <c r="AW649" t="s">
        <v>46845</v>
      </c>
    </row>
    <row r="650" spans="1:49">
      <c r="A650" s="1">
        <f>HYPERLINK("https://lsnyc.legalserver.org/matter/dynamic-profile/view/1862947","18-1862947")</f>
        <v>0</v>
      </c>
      <c r="B650" t="s">
        <v>156</v>
      </c>
      <c r="C650" t="s">
        <v>341</v>
      </c>
      <c r="D650" t="s">
        <v>430</v>
      </c>
      <c r="E650" t="s">
        <v>522</v>
      </c>
      <c r="F650" t="s">
        <v>1070</v>
      </c>
      <c r="G650" t="s">
        <v>5525</v>
      </c>
      <c r="H650" t="s">
        <v>9664</v>
      </c>
      <c r="I650">
        <v>54</v>
      </c>
      <c r="J650" t="s">
        <v>18893</v>
      </c>
      <c r="K650">
        <v>10033</v>
      </c>
      <c r="L650" t="s">
        <v>18958</v>
      </c>
      <c r="M650" t="s">
        <v>18958</v>
      </c>
      <c r="N650" t="s">
        <v>19461</v>
      </c>
      <c r="O650" t="s">
        <v>26524</v>
      </c>
      <c r="P650" t="s">
        <v>26564</v>
      </c>
      <c r="Q650" t="s">
        <v>26570</v>
      </c>
      <c r="R650" t="s">
        <v>26582</v>
      </c>
      <c r="S650" t="s">
        <v>18959</v>
      </c>
      <c r="U650" t="s">
        <v>26604</v>
      </c>
      <c r="W650" t="s">
        <v>469</v>
      </c>
      <c r="X650">
        <v>1300</v>
      </c>
      <c r="Y650" t="s">
        <v>26651</v>
      </c>
      <c r="Z650" t="s">
        <v>26656</v>
      </c>
      <c r="AA650" t="s">
        <v>26683</v>
      </c>
      <c r="AB650" t="s">
        <v>27314</v>
      </c>
      <c r="AD650" t="s">
        <v>37381</v>
      </c>
      <c r="AE650">
        <v>33</v>
      </c>
      <c r="AF650" t="s">
        <v>45541</v>
      </c>
      <c r="AG650" t="s">
        <v>19330</v>
      </c>
      <c r="AH650">
        <v>5</v>
      </c>
      <c r="AI650">
        <v>1</v>
      </c>
      <c r="AJ650">
        <v>0</v>
      </c>
      <c r="AK650">
        <v>107.08</v>
      </c>
      <c r="AN650" t="s">
        <v>45581</v>
      </c>
      <c r="AO650">
        <v>13000</v>
      </c>
      <c r="AU650">
        <v>0.7</v>
      </c>
      <c r="AV650" t="s">
        <v>430</v>
      </c>
      <c r="AW650" t="s">
        <v>46845</v>
      </c>
    </row>
    <row r="651" spans="1:49">
      <c r="A651" s="1">
        <f>HYPERLINK("https://lsnyc.legalserver.org/matter/dynamic-profile/view/1860498","18-1860498")</f>
        <v>0</v>
      </c>
      <c r="B651" t="s">
        <v>173</v>
      </c>
      <c r="C651" t="s">
        <v>341</v>
      </c>
      <c r="D651" t="s">
        <v>430</v>
      </c>
      <c r="E651" t="s">
        <v>670</v>
      </c>
      <c r="F651" t="s">
        <v>1351</v>
      </c>
      <c r="G651" t="s">
        <v>5121</v>
      </c>
      <c r="H651" t="s">
        <v>10210</v>
      </c>
      <c r="I651" t="s">
        <v>17306</v>
      </c>
      <c r="J651" t="s">
        <v>18893</v>
      </c>
      <c r="K651">
        <v>10027</v>
      </c>
      <c r="L651" t="s">
        <v>18958</v>
      </c>
      <c r="M651" t="s">
        <v>18958</v>
      </c>
      <c r="O651" t="s">
        <v>18997</v>
      </c>
      <c r="P651" t="s">
        <v>26564</v>
      </c>
      <c r="Q651" t="s">
        <v>26570</v>
      </c>
      <c r="R651" t="s">
        <v>26578</v>
      </c>
      <c r="T651" t="s">
        <v>26600</v>
      </c>
      <c r="U651" t="s">
        <v>26604</v>
      </c>
      <c r="W651" t="s">
        <v>469</v>
      </c>
      <c r="X651">
        <v>1124</v>
      </c>
      <c r="Y651" t="s">
        <v>26651</v>
      </c>
      <c r="Z651" t="s">
        <v>26659</v>
      </c>
      <c r="AA651" t="s">
        <v>26683</v>
      </c>
      <c r="AB651" t="s">
        <v>27315</v>
      </c>
      <c r="AD651" t="s">
        <v>37382</v>
      </c>
      <c r="AE651">
        <v>36</v>
      </c>
      <c r="AG651" t="s">
        <v>45563</v>
      </c>
      <c r="AH651">
        <v>0</v>
      </c>
      <c r="AI651">
        <v>4</v>
      </c>
      <c r="AJ651">
        <v>0</v>
      </c>
      <c r="AK651">
        <v>26.77</v>
      </c>
      <c r="AN651" t="s">
        <v>7439</v>
      </c>
      <c r="AO651">
        <v>6720</v>
      </c>
      <c r="AU651">
        <v>0.25</v>
      </c>
      <c r="AV651" t="s">
        <v>493</v>
      </c>
      <c r="AW651" t="s">
        <v>317</v>
      </c>
    </row>
    <row r="652" spans="1:49">
      <c r="A652" s="1">
        <f>HYPERLINK("https://lsnyc.legalserver.org/matter/dynamic-profile/view/1863454","18-1863454")</f>
        <v>0</v>
      </c>
      <c r="B652" t="s">
        <v>197</v>
      </c>
      <c r="C652" t="s">
        <v>341</v>
      </c>
      <c r="D652" t="s">
        <v>487</v>
      </c>
      <c r="E652" t="s">
        <v>469</v>
      </c>
      <c r="F652" t="s">
        <v>1352</v>
      </c>
      <c r="G652" t="s">
        <v>1049</v>
      </c>
      <c r="H652" t="s">
        <v>10211</v>
      </c>
      <c r="I652">
        <v>731</v>
      </c>
      <c r="J652" t="s">
        <v>18894</v>
      </c>
      <c r="K652">
        <v>11207</v>
      </c>
      <c r="L652" t="s">
        <v>18958</v>
      </c>
      <c r="M652" t="s">
        <v>18958</v>
      </c>
      <c r="N652" t="s">
        <v>19462</v>
      </c>
      <c r="O652" t="s">
        <v>26524</v>
      </c>
      <c r="P652" t="s">
        <v>26565</v>
      </c>
      <c r="Q652" t="s">
        <v>26571</v>
      </c>
      <c r="R652" t="s">
        <v>26578</v>
      </c>
      <c r="U652" t="s">
        <v>26604</v>
      </c>
      <c r="W652" t="s">
        <v>469</v>
      </c>
      <c r="X652">
        <v>650</v>
      </c>
      <c r="Y652" t="s">
        <v>26652</v>
      </c>
      <c r="Z652" t="s">
        <v>26662</v>
      </c>
      <c r="AA652" t="s">
        <v>26688</v>
      </c>
      <c r="AB652" t="s">
        <v>27316</v>
      </c>
      <c r="AD652" t="s">
        <v>37383</v>
      </c>
      <c r="AE652">
        <v>3</v>
      </c>
      <c r="AH652">
        <v>5</v>
      </c>
      <c r="AI652">
        <v>1</v>
      </c>
      <c r="AJ652">
        <v>0</v>
      </c>
      <c r="AK652">
        <v>64.25</v>
      </c>
      <c r="AN652" t="s">
        <v>7439</v>
      </c>
      <c r="AO652">
        <v>7800</v>
      </c>
      <c r="AU652">
        <v>0.5</v>
      </c>
      <c r="AV652" t="s">
        <v>469</v>
      </c>
      <c r="AW652" t="s">
        <v>46856</v>
      </c>
    </row>
    <row r="653" spans="1:49">
      <c r="A653" s="1">
        <f>HYPERLINK("https://lsnyc.legalserver.org/matter/dynamic-profile/view/1863643","18-1863643")</f>
        <v>0</v>
      </c>
      <c r="B653" t="s">
        <v>198</v>
      </c>
      <c r="C653" t="s">
        <v>340</v>
      </c>
      <c r="D653" t="s">
        <v>488</v>
      </c>
      <c r="F653" t="s">
        <v>1353</v>
      </c>
      <c r="G653" t="s">
        <v>5526</v>
      </c>
      <c r="H653" t="s">
        <v>10212</v>
      </c>
      <c r="I653" t="s">
        <v>17494</v>
      </c>
      <c r="J653" t="s">
        <v>18894</v>
      </c>
      <c r="K653">
        <v>11225</v>
      </c>
      <c r="L653" t="s">
        <v>18958</v>
      </c>
      <c r="M653" t="s">
        <v>18958</v>
      </c>
      <c r="O653" t="s">
        <v>26529</v>
      </c>
      <c r="P653" t="s">
        <v>26562</v>
      </c>
      <c r="R653" t="s">
        <v>26578</v>
      </c>
      <c r="U653" t="s">
        <v>26604</v>
      </c>
      <c r="W653" t="s">
        <v>469</v>
      </c>
      <c r="X653">
        <v>1151.62</v>
      </c>
      <c r="Y653" t="s">
        <v>26652</v>
      </c>
      <c r="Z653" t="s">
        <v>26663</v>
      </c>
      <c r="AB653" t="s">
        <v>27317</v>
      </c>
      <c r="AD653" t="s">
        <v>37384</v>
      </c>
      <c r="AE653">
        <v>21</v>
      </c>
      <c r="AF653" t="s">
        <v>45548</v>
      </c>
      <c r="AG653" t="s">
        <v>19330</v>
      </c>
      <c r="AH653">
        <v>33</v>
      </c>
      <c r="AI653">
        <v>3</v>
      </c>
      <c r="AJ653">
        <v>0</v>
      </c>
      <c r="AK653">
        <v>129.07</v>
      </c>
      <c r="AN653" t="s">
        <v>7439</v>
      </c>
      <c r="AO653">
        <v>26820</v>
      </c>
      <c r="AU653">
        <v>1.7</v>
      </c>
      <c r="AV653" t="s">
        <v>497</v>
      </c>
      <c r="AW653" t="s">
        <v>237</v>
      </c>
    </row>
    <row r="654" spans="1:49">
      <c r="A654" s="1">
        <f>HYPERLINK("https://lsnyc.legalserver.org/matter/dynamic-profile/view/1864975","18-1864975")</f>
        <v>0</v>
      </c>
      <c r="B654" t="s">
        <v>173</v>
      </c>
      <c r="C654" t="s">
        <v>341</v>
      </c>
      <c r="D654" t="s">
        <v>489</v>
      </c>
      <c r="E654" t="s">
        <v>670</v>
      </c>
      <c r="F654" t="s">
        <v>1228</v>
      </c>
      <c r="G654" t="s">
        <v>5340</v>
      </c>
      <c r="H654" t="s">
        <v>10213</v>
      </c>
      <c r="I654" t="s">
        <v>17411</v>
      </c>
      <c r="J654" t="s">
        <v>18893</v>
      </c>
      <c r="K654">
        <v>10030</v>
      </c>
      <c r="L654" t="s">
        <v>18958</v>
      </c>
      <c r="M654" t="s">
        <v>18958</v>
      </c>
      <c r="N654" t="s">
        <v>19463</v>
      </c>
      <c r="O654" t="s">
        <v>26523</v>
      </c>
      <c r="P654" t="s">
        <v>26564</v>
      </c>
      <c r="Q654" t="s">
        <v>26570</v>
      </c>
      <c r="R654" t="s">
        <v>26582</v>
      </c>
      <c r="S654" t="s">
        <v>18959</v>
      </c>
      <c r="U654" t="s">
        <v>26605</v>
      </c>
      <c r="W654" t="s">
        <v>469</v>
      </c>
      <c r="X654">
        <v>501</v>
      </c>
      <c r="Y654" t="s">
        <v>26651</v>
      </c>
      <c r="Z654" t="s">
        <v>26664</v>
      </c>
      <c r="AA654" t="s">
        <v>26683</v>
      </c>
      <c r="AB654" t="s">
        <v>27318</v>
      </c>
      <c r="AD654" t="s">
        <v>37385</v>
      </c>
      <c r="AE654">
        <v>238</v>
      </c>
      <c r="AF654" t="s">
        <v>45549</v>
      </c>
      <c r="AG654" t="s">
        <v>19330</v>
      </c>
      <c r="AH654">
        <v>6</v>
      </c>
      <c r="AI654">
        <v>2</v>
      </c>
      <c r="AJ654">
        <v>0</v>
      </c>
      <c r="AK654">
        <v>130.96</v>
      </c>
      <c r="AN654" t="s">
        <v>45581</v>
      </c>
      <c r="AO654">
        <v>21555.6</v>
      </c>
      <c r="AU654">
        <v>0.05</v>
      </c>
      <c r="AV654" t="s">
        <v>670</v>
      </c>
      <c r="AW654" t="s">
        <v>46845</v>
      </c>
    </row>
    <row r="655" spans="1:49">
      <c r="A655" s="1">
        <f>HYPERLINK("https://lsnyc.legalserver.org/matter/dynamic-profile/view/1865042","18-1865042")</f>
        <v>0</v>
      </c>
      <c r="B655" t="s">
        <v>56</v>
      </c>
      <c r="C655" t="s">
        <v>341</v>
      </c>
      <c r="D655" t="s">
        <v>490</v>
      </c>
      <c r="E655" t="s">
        <v>838</v>
      </c>
      <c r="F655" t="s">
        <v>1354</v>
      </c>
      <c r="G655" t="s">
        <v>5147</v>
      </c>
      <c r="H655" t="s">
        <v>10214</v>
      </c>
      <c r="I655" t="s">
        <v>17290</v>
      </c>
      <c r="J655" t="s">
        <v>18892</v>
      </c>
      <c r="K655">
        <v>10457</v>
      </c>
      <c r="L655" t="s">
        <v>18958</v>
      </c>
      <c r="M655" t="s">
        <v>18958</v>
      </c>
      <c r="N655" t="s">
        <v>19464</v>
      </c>
      <c r="O655" t="s">
        <v>26523</v>
      </c>
      <c r="P655" t="s">
        <v>26560</v>
      </c>
      <c r="Q655" t="s">
        <v>26568</v>
      </c>
      <c r="R655" t="s">
        <v>26579</v>
      </c>
      <c r="U655" t="s">
        <v>26604</v>
      </c>
      <c r="V655" t="s">
        <v>26609</v>
      </c>
      <c r="W655" t="s">
        <v>469</v>
      </c>
      <c r="X655">
        <v>1325</v>
      </c>
      <c r="Y655" t="s">
        <v>26650</v>
      </c>
      <c r="Z655" t="s">
        <v>26659</v>
      </c>
      <c r="AA655" t="s">
        <v>26678</v>
      </c>
      <c r="AB655" t="s">
        <v>27319</v>
      </c>
      <c r="AC655" t="s">
        <v>34698</v>
      </c>
      <c r="AE655">
        <v>0</v>
      </c>
      <c r="AF655" t="s">
        <v>45541</v>
      </c>
      <c r="AG655" t="s">
        <v>19330</v>
      </c>
      <c r="AH655">
        <v>1</v>
      </c>
      <c r="AI655">
        <v>2</v>
      </c>
      <c r="AJ655">
        <v>1</v>
      </c>
      <c r="AK655">
        <v>192.49</v>
      </c>
      <c r="AN655" t="s">
        <v>7439</v>
      </c>
      <c r="AO655">
        <v>40000</v>
      </c>
      <c r="AP655" t="s">
        <v>45665</v>
      </c>
      <c r="AS655" t="s">
        <v>46499</v>
      </c>
      <c r="AU655">
        <v>10.1</v>
      </c>
      <c r="AV655" t="s">
        <v>540</v>
      </c>
      <c r="AW655" t="s">
        <v>46836</v>
      </c>
    </row>
    <row r="656" spans="1:49">
      <c r="A656" s="1">
        <f>HYPERLINK("https://lsnyc.legalserver.org/matter/dynamic-profile/view/1865636","18-1865636")</f>
        <v>0</v>
      </c>
      <c r="B656" t="s">
        <v>77</v>
      </c>
      <c r="C656" t="s">
        <v>340</v>
      </c>
      <c r="D656" t="s">
        <v>383</v>
      </c>
      <c r="F656" t="s">
        <v>1355</v>
      </c>
      <c r="G656" t="s">
        <v>5527</v>
      </c>
      <c r="H656" t="s">
        <v>10215</v>
      </c>
      <c r="J656" t="s">
        <v>18893</v>
      </c>
      <c r="K656">
        <v>10027</v>
      </c>
      <c r="L656" t="s">
        <v>18958</v>
      </c>
      <c r="M656" t="s">
        <v>18958</v>
      </c>
      <c r="N656" t="s">
        <v>19465</v>
      </c>
      <c r="O656" t="s">
        <v>26523</v>
      </c>
      <c r="P656" t="s">
        <v>26560</v>
      </c>
      <c r="R656" t="s">
        <v>26580</v>
      </c>
      <c r="U656" t="s">
        <v>26605</v>
      </c>
      <c r="W656" t="s">
        <v>469</v>
      </c>
      <c r="X656">
        <v>1057.43</v>
      </c>
      <c r="Y656" t="s">
        <v>26651</v>
      </c>
      <c r="AA656" t="s">
        <v>26678</v>
      </c>
      <c r="AB656" t="s">
        <v>27320</v>
      </c>
      <c r="AC656" t="s">
        <v>34699</v>
      </c>
      <c r="AD656" t="s">
        <v>37386</v>
      </c>
      <c r="AE656">
        <v>0</v>
      </c>
      <c r="AG656" t="s">
        <v>45556</v>
      </c>
      <c r="AH656">
        <v>9</v>
      </c>
      <c r="AI656">
        <v>2</v>
      </c>
      <c r="AJ656">
        <v>1</v>
      </c>
      <c r="AK656">
        <v>138.59</v>
      </c>
      <c r="AN656" t="s">
        <v>7439</v>
      </c>
      <c r="AO656">
        <v>28800</v>
      </c>
      <c r="AU656">
        <v>9</v>
      </c>
      <c r="AV656" t="s">
        <v>838</v>
      </c>
      <c r="AW656" t="s">
        <v>264</v>
      </c>
    </row>
    <row r="657" spans="1:50">
      <c r="A657" s="1">
        <f>HYPERLINK("https://lsnyc.legalserver.org/matter/dynamic-profile/view/1865643","18-1865643")</f>
        <v>0</v>
      </c>
      <c r="B657" t="s">
        <v>173</v>
      </c>
      <c r="C657" t="s">
        <v>340</v>
      </c>
      <c r="D657" t="s">
        <v>383</v>
      </c>
      <c r="F657" t="s">
        <v>1356</v>
      </c>
      <c r="G657" t="s">
        <v>5528</v>
      </c>
      <c r="H657" t="s">
        <v>10216</v>
      </c>
      <c r="I657" t="s">
        <v>17495</v>
      </c>
      <c r="J657" t="s">
        <v>18893</v>
      </c>
      <c r="K657">
        <v>10025</v>
      </c>
      <c r="L657" t="s">
        <v>18958</v>
      </c>
      <c r="M657" t="s">
        <v>18958</v>
      </c>
      <c r="N657" t="s">
        <v>19466</v>
      </c>
      <c r="O657" t="s">
        <v>26524</v>
      </c>
      <c r="P657" t="s">
        <v>26560</v>
      </c>
      <c r="R657" t="s">
        <v>26580</v>
      </c>
      <c r="S657" t="s">
        <v>18959</v>
      </c>
      <c r="U657" t="s">
        <v>26604</v>
      </c>
      <c r="W657" t="s">
        <v>469</v>
      </c>
      <c r="X657">
        <v>0</v>
      </c>
      <c r="Y657" t="s">
        <v>26651</v>
      </c>
      <c r="AB657" t="s">
        <v>27321</v>
      </c>
      <c r="AD657" t="s">
        <v>37387</v>
      </c>
      <c r="AE657">
        <v>0</v>
      </c>
      <c r="AH657">
        <v>0</v>
      </c>
      <c r="AI657">
        <v>1</v>
      </c>
      <c r="AJ657">
        <v>0</v>
      </c>
      <c r="AK657">
        <v>105.17</v>
      </c>
      <c r="AN657" t="s">
        <v>7439</v>
      </c>
      <c r="AO657">
        <v>12768</v>
      </c>
      <c r="AQ657" t="s">
        <v>46362</v>
      </c>
      <c r="AR657" t="s">
        <v>46381</v>
      </c>
      <c r="AU657">
        <v>25.12</v>
      </c>
      <c r="AV657" t="s">
        <v>831</v>
      </c>
      <c r="AW657" t="s">
        <v>264</v>
      </c>
    </row>
    <row r="658" spans="1:50">
      <c r="A658" s="1">
        <f>HYPERLINK("https://lsnyc.legalserver.org/matter/dynamic-profile/view/1866374","18-1866374")</f>
        <v>0</v>
      </c>
      <c r="B658" t="s">
        <v>81</v>
      </c>
      <c r="C658" t="s">
        <v>341</v>
      </c>
      <c r="D658" t="s">
        <v>385</v>
      </c>
      <c r="E658" t="s">
        <v>413</v>
      </c>
      <c r="F658" t="s">
        <v>1197</v>
      </c>
      <c r="G658" t="s">
        <v>4160</v>
      </c>
      <c r="H658" t="s">
        <v>10132</v>
      </c>
      <c r="I658" t="s">
        <v>17274</v>
      </c>
      <c r="J658" t="s">
        <v>18892</v>
      </c>
      <c r="K658">
        <v>10457</v>
      </c>
      <c r="L658" t="s">
        <v>18958</v>
      </c>
      <c r="M658" t="s">
        <v>18958</v>
      </c>
      <c r="N658" t="s">
        <v>19467</v>
      </c>
      <c r="O658" t="s">
        <v>26523</v>
      </c>
      <c r="P658" t="s">
        <v>26560</v>
      </c>
      <c r="Q658" t="s">
        <v>26568</v>
      </c>
      <c r="R658" t="s">
        <v>26579</v>
      </c>
      <c r="S658" t="s">
        <v>18959</v>
      </c>
      <c r="U658" t="s">
        <v>26604</v>
      </c>
      <c r="V658" t="s">
        <v>26610</v>
      </c>
      <c r="W658" t="s">
        <v>469</v>
      </c>
      <c r="X658">
        <v>1482.52</v>
      </c>
      <c r="Y658" t="s">
        <v>26650</v>
      </c>
      <c r="Z658" t="s">
        <v>26662</v>
      </c>
      <c r="AA658" t="s">
        <v>26678</v>
      </c>
      <c r="AB658" t="s">
        <v>27322</v>
      </c>
      <c r="AC658" t="s">
        <v>34700</v>
      </c>
      <c r="AD658" t="s">
        <v>37388</v>
      </c>
      <c r="AE658">
        <v>20</v>
      </c>
      <c r="AF658" t="s">
        <v>45541</v>
      </c>
      <c r="AG658" t="s">
        <v>45556</v>
      </c>
      <c r="AH658">
        <v>11</v>
      </c>
      <c r="AI658">
        <v>1</v>
      </c>
      <c r="AJ658">
        <v>0</v>
      </c>
      <c r="AK658">
        <v>84.31999999999999</v>
      </c>
      <c r="AN658" t="s">
        <v>7439</v>
      </c>
      <c r="AO658">
        <v>10236</v>
      </c>
      <c r="AR658" t="s">
        <v>46380</v>
      </c>
      <c r="AS658" t="s">
        <v>46499</v>
      </c>
      <c r="AT658" t="s">
        <v>46510</v>
      </c>
      <c r="AU658">
        <v>4.55</v>
      </c>
      <c r="AV658" t="s">
        <v>526</v>
      </c>
      <c r="AW658" t="s">
        <v>336</v>
      </c>
      <c r="AX658" t="s">
        <v>46898</v>
      </c>
    </row>
    <row r="659" spans="1:50">
      <c r="A659" s="1">
        <f>HYPERLINK("https://lsnyc.legalserver.org/matter/dynamic-profile/view/1866461","18-1866461")</f>
        <v>0</v>
      </c>
      <c r="B659" t="s">
        <v>76</v>
      </c>
      <c r="C659" t="s">
        <v>341</v>
      </c>
      <c r="D659" t="s">
        <v>491</v>
      </c>
      <c r="E659" t="s">
        <v>571</v>
      </c>
      <c r="F659" t="s">
        <v>1357</v>
      </c>
      <c r="G659" t="s">
        <v>5529</v>
      </c>
      <c r="H659" t="s">
        <v>10217</v>
      </c>
      <c r="I659">
        <v>4</v>
      </c>
      <c r="J659" t="s">
        <v>18893</v>
      </c>
      <c r="K659">
        <v>10030</v>
      </c>
      <c r="L659" t="s">
        <v>18958</v>
      </c>
      <c r="M659" t="s">
        <v>18958</v>
      </c>
      <c r="N659" t="s">
        <v>19468</v>
      </c>
      <c r="O659" t="s">
        <v>26523</v>
      </c>
      <c r="P659" t="s">
        <v>26564</v>
      </c>
      <c r="Q659" t="s">
        <v>26570</v>
      </c>
      <c r="R659" t="s">
        <v>26582</v>
      </c>
      <c r="S659" t="s">
        <v>18959</v>
      </c>
      <c r="U659" t="s">
        <v>26604</v>
      </c>
      <c r="W659" t="s">
        <v>469</v>
      </c>
      <c r="X659">
        <v>2700</v>
      </c>
      <c r="Y659" t="s">
        <v>26651</v>
      </c>
      <c r="Z659" t="s">
        <v>26661</v>
      </c>
      <c r="AA659" t="s">
        <v>26683</v>
      </c>
      <c r="AB659" t="s">
        <v>27323</v>
      </c>
      <c r="AD659" t="s">
        <v>37389</v>
      </c>
      <c r="AE659">
        <v>0</v>
      </c>
      <c r="AF659" t="s">
        <v>45544</v>
      </c>
      <c r="AG659" t="s">
        <v>19330</v>
      </c>
      <c r="AH659">
        <v>2</v>
      </c>
      <c r="AI659">
        <v>2</v>
      </c>
      <c r="AJ659">
        <v>3</v>
      </c>
      <c r="AK659">
        <v>163.15</v>
      </c>
      <c r="AO659">
        <v>48000</v>
      </c>
      <c r="AU659">
        <v>1.5</v>
      </c>
      <c r="AV659" t="s">
        <v>440</v>
      </c>
      <c r="AW659" t="s">
        <v>46845</v>
      </c>
    </row>
    <row r="660" spans="1:50">
      <c r="A660" s="1">
        <f>HYPERLINK("https://lsnyc.legalserver.org/matter/dynamic-profile/view/1866708","18-1866708")</f>
        <v>0</v>
      </c>
      <c r="B660" t="s">
        <v>78</v>
      </c>
      <c r="C660" t="s">
        <v>340</v>
      </c>
      <c r="D660" t="s">
        <v>467</v>
      </c>
      <c r="F660" t="s">
        <v>1042</v>
      </c>
      <c r="G660" t="s">
        <v>5224</v>
      </c>
      <c r="H660" t="s">
        <v>9809</v>
      </c>
      <c r="I660" t="s">
        <v>17274</v>
      </c>
      <c r="J660" t="s">
        <v>18894</v>
      </c>
      <c r="K660">
        <v>11233</v>
      </c>
      <c r="L660" t="s">
        <v>18958</v>
      </c>
      <c r="M660" t="s">
        <v>18958</v>
      </c>
      <c r="N660" t="s">
        <v>19330</v>
      </c>
      <c r="O660" t="s">
        <v>26531</v>
      </c>
      <c r="P660" t="s">
        <v>26565</v>
      </c>
      <c r="R660" t="s">
        <v>26578</v>
      </c>
      <c r="S660" t="s">
        <v>18959</v>
      </c>
      <c r="U660" t="s">
        <v>26604</v>
      </c>
      <c r="W660" t="s">
        <v>469</v>
      </c>
      <c r="X660">
        <v>647</v>
      </c>
      <c r="Y660" t="s">
        <v>26652</v>
      </c>
      <c r="Z660" t="s">
        <v>26673</v>
      </c>
      <c r="AB660" t="s">
        <v>26894</v>
      </c>
      <c r="AC660" t="s">
        <v>34544</v>
      </c>
      <c r="AD660" t="s">
        <v>36989</v>
      </c>
      <c r="AE660">
        <v>23</v>
      </c>
      <c r="AF660" t="s">
        <v>45541</v>
      </c>
      <c r="AG660" t="s">
        <v>45560</v>
      </c>
      <c r="AH660">
        <v>4</v>
      </c>
      <c r="AI660">
        <v>1</v>
      </c>
      <c r="AJ660">
        <v>0</v>
      </c>
      <c r="AK660">
        <v>192.75</v>
      </c>
      <c r="AN660" t="s">
        <v>7439</v>
      </c>
      <c r="AO660">
        <v>23400</v>
      </c>
      <c r="AP660" t="s">
        <v>45666</v>
      </c>
      <c r="AU660">
        <v>5.5</v>
      </c>
      <c r="AV660" t="s">
        <v>575</v>
      </c>
      <c r="AW660" t="s">
        <v>46861</v>
      </c>
    </row>
    <row r="661" spans="1:50">
      <c r="A661" s="1">
        <f>HYPERLINK("https://lsnyc.legalserver.org/matter/dynamic-profile/view/1867583","18-1867583")</f>
        <v>0</v>
      </c>
      <c r="B661" t="s">
        <v>76</v>
      </c>
      <c r="C661" t="s">
        <v>341</v>
      </c>
      <c r="D661" t="s">
        <v>389</v>
      </c>
      <c r="E661" t="s">
        <v>582</v>
      </c>
      <c r="F661" t="s">
        <v>1358</v>
      </c>
      <c r="G661" t="s">
        <v>5530</v>
      </c>
      <c r="H661" t="s">
        <v>10218</v>
      </c>
      <c r="I661" t="s">
        <v>17477</v>
      </c>
      <c r="J661" t="s">
        <v>18893</v>
      </c>
      <c r="K661">
        <v>10280</v>
      </c>
      <c r="L661" t="s">
        <v>18958</v>
      </c>
      <c r="M661" t="s">
        <v>18959</v>
      </c>
      <c r="N661" t="s">
        <v>19469</v>
      </c>
      <c r="O661" t="s">
        <v>26524</v>
      </c>
      <c r="P661" t="s">
        <v>26565</v>
      </c>
      <c r="Q661" t="s">
        <v>26571</v>
      </c>
      <c r="R661" t="s">
        <v>26582</v>
      </c>
      <c r="S661" t="s">
        <v>18959</v>
      </c>
      <c r="U661" t="s">
        <v>26604</v>
      </c>
      <c r="W661" t="s">
        <v>469</v>
      </c>
      <c r="X661">
        <v>0</v>
      </c>
      <c r="Y661" t="s">
        <v>26651</v>
      </c>
      <c r="Z661" t="s">
        <v>26664</v>
      </c>
      <c r="AA661" t="s">
        <v>26682</v>
      </c>
      <c r="AB661" t="s">
        <v>27324</v>
      </c>
      <c r="AC661" t="s">
        <v>34701</v>
      </c>
      <c r="AD661" t="s">
        <v>37390</v>
      </c>
      <c r="AE661">
        <v>294</v>
      </c>
      <c r="AF661" t="s">
        <v>20460</v>
      </c>
      <c r="AG661" t="s">
        <v>19330</v>
      </c>
      <c r="AH661">
        <v>13</v>
      </c>
      <c r="AI661">
        <v>1</v>
      </c>
      <c r="AJ661">
        <v>0</v>
      </c>
      <c r="AK661">
        <v>0</v>
      </c>
      <c r="AN661" t="s">
        <v>7439</v>
      </c>
      <c r="AO661">
        <v>0</v>
      </c>
      <c r="AU661">
        <v>2.25</v>
      </c>
      <c r="AV661" t="s">
        <v>440</v>
      </c>
      <c r="AW661" t="s">
        <v>314</v>
      </c>
    </row>
    <row r="662" spans="1:50">
      <c r="A662" s="1">
        <f>HYPERLINK("https://lsnyc.legalserver.org/matter/dynamic-profile/view/1868605","18-1868605")</f>
        <v>0</v>
      </c>
      <c r="B662" t="s">
        <v>144</v>
      </c>
      <c r="C662" t="s">
        <v>340</v>
      </c>
      <c r="D662" t="s">
        <v>394</v>
      </c>
      <c r="F662" t="s">
        <v>1206</v>
      </c>
      <c r="G662" t="s">
        <v>4588</v>
      </c>
      <c r="H662" t="s">
        <v>10219</v>
      </c>
      <c r="I662">
        <v>7</v>
      </c>
      <c r="J662" t="s">
        <v>18893</v>
      </c>
      <c r="K662">
        <v>10002</v>
      </c>
      <c r="L662" t="s">
        <v>18958</v>
      </c>
      <c r="M662" t="s">
        <v>18958</v>
      </c>
      <c r="N662" t="s">
        <v>19470</v>
      </c>
      <c r="O662" t="s">
        <v>26524</v>
      </c>
      <c r="P662" t="s">
        <v>26560</v>
      </c>
      <c r="R662" t="s">
        <v>26582</v>
      </c>
      <c r="S662" t="s">
        <v>18959</v>
      </c>
      <c r="U662" t="s">
        <v>26605</v>
      </c>
      <c r="W662" t="s">
        <v>469</v>
      </c>
      <c r="X662">
        <v>751.3099999999999</v>
      </c>
      <c r="Y662" t="s">
        <v>26651</v>
      </c>
      <c r="AB662" t="s">
        <v>27325</v>
      </c>
      <c r="AD662" t="s">
        <v>37391</v>
      </c>
      <c r="AE662">
        <v>22</v>
      </c>
      <c r="AF662" t="s">
        <v>45541</v>
      </c>
      <c r="AG662" t="s">
        <v>19330</v>
      </c>
      <c r="AH662">
        <v>50</v>
      </c>
      <c r="AI662">
        <v>3</v>
      </c>
      <c r="AJ662">
        <v>1</v>
      </c>
      <c r="AK662">
        <v>155.56</v>
      </c>
      <c r="AN662" t="s">
        <v>45581</v>
      </c>
      <c r="AO662">
        <v>39046</v>
      </c>
      <c r="AU662">
        <v>53.65</v>
      </c>
      <c r="AV662" t="s">
        <v>766</v>
      </c>
      <c r="AW662" t="s">
        <v>314</v>
      </c>
    </row>
    <row r="663" spans="1:50">
      <c r="A663" s="1">
        <f>HYPERLINK("https://lsnyc.legalserver.org/matter/dynamic-profile/view/1869217","18-1869217")</f>
        <v>0</v>
      </c>
      <c r="B663" t="s">
        <v>156</v>
      </c>
      <c r="C663" t="s">
        <v>340</v>
      </c>
      <c r="D663" t="s">
        <v>396</v>
      </c>
      <c r="F663" t="s">
        <v>990</v>
      </c>
      <c r="G663" t="s">
        <v>5531</v>
      </c>
      <c r="H663" t="s">
        <v>10220</v>
      </c>
      <c r="I663" t="s">
        <v>17496</v>
      </c>
      <c r="J663" t="s">
        <v>18893</v>
      </c>
      <c r="K663">
        <v>10026</v>
      </c>
      <c r="L663" t="s">
        <v>18958</v>
      </c>
      <c r="M663" t="s">
        <v>18959</v>
      </c>
      <c r="N663" t="s">
        <v>19471</v>
      </c>
      <c r="O663" t="s">
        <v>26523</v>
      </c>
      <c r="P663" t="s">
        <v>26560</v>
      </c>
      <c r="R663" t="s">
        <v>26580</v>
      </c>
      <c r="S663" t="s">
        <v>18959</v>
      </c>
      <c r="U663" t="s">
        <v>26604</v>
      </c>
      <c r="W663" t="s">
        <v>469</v>
      </c>
      <c r="X663">
        <v>2000</v>
      </c>
      <c r="Y663" t="s">
        <v>26651</v>
      </c>
      <c r="Z663" t="s">
        <v>26662</v>
      </c>
      <c r="AB663" t="s">
        <v>27326</v>
      </c>
      <c r="AC663" t="s">
        <v>34702</v>
      </c>
      <c r="AD663" t="s">
        <v>37392</v>
      </c>
      <c r="AE663">
        <v>0</v>
      </c>
      <c r="AF663" t="s">
        <v>20460</v>
      </c>
      <c r="AG663" t="s">
        <v>45556</v>
      </c>
      <c r="AH663">
        <v>19</v>
      </c>
      <c r="AI663">
        <v>2</v>
      </c>
      <c r="AJ663">
        <v>3</v>
      </c>
      <c r="AK663">
        <v>119.04</v>
      </c>
      <c r="AO663">
        <v>35022</v>
      </c>
      <c r="AU663">
        <v>21.6</v>
      </c>
      <c r="AV663" t="s">
        <v>646</v>
      </c>
      <c r="AW663" t="s">
        <v>46845</v>
      </c>
    </row>
    <row r="664" spans="1:50">
      <c r="A664" s="1">
        <f>HYPERLINK("https://lsnyc.legalserver.org/matter/dynamic-profile/view/1869936","18-1869936")</f>
        <v>0</v>
      </c>
      <c r="B664" t="s">
        <v>181</v>
      </c>
      <c r="C664" t="s">
        <v>341</v>
      </c>
      <c r="D664" t="s">
        <v>399</v>
      </c>
      <c r="E664" t="s">
        <v>515</v>
      </c>
      <c r="F664" t="s">
        <v>1359</v>
      </c>
      <c r="G664" t="s">
        <v>5532</v>
      </c>
      <c r="H664" t="s">
        <v>10221</v>
      </c>
      <c r="I664" t="s">
        <v>17360</v>
      </c>
      <c r="J664" t="s">
        <v>18905</v>
      </c>
      <c r="K664">
        <v>11692</v>
      </c>
      <c r="L664" t="s">
        <v>18958</v>
      </c>
      <c r="M664" t="s">
        <v>18958</v>
      </c>
      <c r="N664" t="s">
        <v>19472</v>
      </c>
      <c r="O664" t="s">
        <v>26523</v>
      </c>
      <c r="P664" t="s">
        <v>26564</v>
      </c>
      <c r="Q664" t="s">
        <v>26570</v>
      </c>
      <c r="R664" t="s">
        <v>26578</v>
      </c>
      <c r="S664" t="s">
        <v>18959</v>
      </c>
      <c r="U664" t="s">
        <v>26604</v>
      </c>
      <c r="V664" t="s">
        <v>26610</v>
      </c>
      <c r="W664" t="s">
        <v>469</v>
      </c>
      <c r="X664">
        <v>1200</v>
      </c>
      <c r="Y664" t="s">
        <v>26653</v>
      </c>
      <c r="Z664" t="s">
        <v>26664</v>
      </c>
      <c r="AA664" t="s">
        <v>26683</v>
      </c>
      <c r="AB664" t="s">
        <v>27327</v>
      </c>
      <c r="AC664" t="s">
        <v>19045</v>
      </c>
      <c r="AD664" t="s">
        <v>37393</v>
      </c>
      <c r="AE664">
        <v>60</v>
      </c>
      <c r="AF664" t="s">
        <v>20460</v>
      </c>
      <c r="AG664" t="s">
        <v>45556</v>
      </c>
      <c r="AH664">
        <v>3</v>
      </c>
      <c r="AI664">
        <v>1</v>
      </c>
      <c r="AJ664">
        <v>1</v>
      </c>
      <c r="AK664">
        <v>97.93000000000001</v>
      </c>
      <c r="AN664" t="s">
        <v>7439</v>
      </c>
      <c r="AO664">
        <v>16120</v>
      </c>
      <c r="AU664">
        <v>1.2</v>
      </c>
      <c r="AV664" t="s">
        <v>515</v>
      </c>
      <c r="AW664" t="s">
        <v>208</v>
      </c>
    </row>
    <row r="665" spans="1:50">
      <c r="A665" s="1">
        <f>HYPERLINK("https://lsnyc.legalserver.org/matter/dynamic-profile/view/1870133","18-1870133")</f>
        <v>0</v>
      </c>
      <c r="B665" t="s">
        <v>136</v>
      </c>
      <c r="C665" t="s">
        <v>340</v>
      </c>
      <c r="D665" t="s">
        <v>399</v>
      </c>
      <c r="F665" t="s">
        <v>1072</v>
      </c>
      <c r="G665" t="s">
        <v>5533</v>
      </c>
      <c r="H665" t="s">
        <v>10222</v>
      </c>
      <c r="I665" t="s">
        <v>17316</v>
      </c>
      <c r="J665" t="s">
        <v>18892</v>
      </c>
      <c r="K665">
        <v>10471</v>
      </c>
      <c r="L665" t="s">
        <v>18958</v>
      </c>
      <c r="M665" t="s">
        <v>18958</v>
      </c>
      <c r="N665" t="s">
        <v>19473</v>
      </c>
      <c r="O665" t="s">
        <v>26523</v>
      </c>
      <c r="P665" t="s">
        <v>26560</v>
      </c>
      <c r="R665" t="s">
        <v>26577</v>
      </c>
      <c r="S665" t="s">
        <v>18959</v>
      </c>
      <c r="U665" t="s">
        <v>26604</v>
      </c>
      <c r="V665" t="s">
        <v>26611</v>
      </c>
      <c r="W665" t="s">
        <v>469</v>
      </c>
      <c r="X665">
        <v>1351.69</v>
      </c>
      <c r="Y665" t="s">
        <v>26650</v>
      </c>
      <c r="Z665" t="s">
        <v>26656</v>
      </c>
      <c r="AB665" t="s">
        <v>27328</v>
      </c>
      <c r="AD665" t="s">
        <v>37394</v>
      </c>
      <c r="AE665">
        <v>270</v>
      </c>
      <c r="AF665" t="s">
        <v>45541</v>
      </c>
      <c r="AG665" t="s">
        <v>26530</v>
      </c>
      <c r="AH665">
        <v>2</v>
      </c>
      <c r="AI665">
        <v>1</v>
      </c>
      <c r="AJ665">
        <v>0</v>
      </c>
      <c r="AK665">
        <v>237.23</v>
      </c>
      <c r="AL665" t="s">
        <v>641</v>
      </c>
      <c r="AM665" t="s">
        <v>45575</v>
      </c>
      <c r="AO665">
        <v>28800</v>
      </c>
      <c r="AP665" t="s">
        <v>45667</v>
      </c>
      <c r="AR665" t="s">
        <v>46379</v>
      </c>
      <c r="AS665" t="s">
        <v>46499</v>
      </c>
      <c r="AT665" t="s">
        <v>46544</v>
      </c>
      <c r="AU665">
        <v>11.85</v>
      </c>
      <c r="AV665" t="s">
        <v>515</v>
      </c>
      <c r="AW665" t="s">
        <v>46848</v>
      </c>
    </row>
    <row r="666" spans="1:50">
      <c r="A666" s="1">
        <f>HYPERLINK("https://lsnyc.legalserver.org/matter/dynamic-profile/view/1869862","18-1869862")</f>
        <v>0</v>
      </c>
      <c r="B666" t="s">
        <v>156</v>
      </c>
      <c r="C666" t="s">
        <v>340</v>
      </c>
      <c r="D666" t="s">
        <v>399</v>
      </c>
      <c r="F666" t="s">
        <v>1360</v>
      </c>
      <c r="G666" t="s">
        <v>5534</v>
      </c>
      <c r="H666" t="s">
        <v>10223</v>
      </c>
      <c r="I666" t="s">
        <v>17343</v>
      </c>
      <c r="J666" t="s">
        <v>18893</v>
      </c>
      <c r="K666">
        <v>10002</v>
      </c>
      <c r="L666" t="s">
        <v>18958</v>
      </c>
      <c r="M666" t="s">
        <v>18958</v>
      </c>
      <c r="N666" t="s">
        <v>19474</v>
      </c>
      <c r="O666" t="s">
        <v>26523</v>
      </c>
      <c r="P666" t="s">
        <v>26564</v>
      </c>
      <c r="R666" t="s">
        <v>26582</v>
      </c>
      <c r="S666" t="s">
        <v>18959</v>
      </c>
      <c r="U666" t="s">
        <v>26605</v>
      </c>
      <c r="W666" t="s">
        <v>469</v>
      </c>
      <c r="X666">
        <v>1054</v>
      </c>
      <c r="Y666" t="s">
        <v>26651</v>
      </c>
      <c r="Z666" t="s">
        <v>26664</v>
      </c>
      <c r="AB666" t="s">
        <v>27329</v>
      </c>
      <c r="AD666" t="s">
        <v>37395</v>
      </c>
      <c r="AE666">
        <v>0</v>
      </c>
      <c r="AF666" t="s">
        <v>45549</v>
      </c>
      <c r="AG666" t="s">
        <v>19330</v>
      </c>
      <c r="AH666">
        <v>20</v>
      </c>
      <c r="AI666">
        <v>1</v>
      </c>
      <c r="AJ666">
        <v>0</v>
      </c>
      <c r="AK666">
        <v>228.3</v>
      </c>
      <c r="AN666" t="s">
        <v>7439</v>
      </c>
      <c r="AO666">
        <v>27716</v>
      </c>
      <c r="AU666">
        <v>0.2</v>
      </c>
      <c r="AV666" t="s">
        <v>401</v>
      </c>
      <c r="AW666" t="s">
        <v>314</v>
      </c>
    </row>
    <row r="667" spans="1:50">
      <c r="A667" s="1">
        <f>HYPERLINK("https://lsnyc.legalserver.org/matter/dynamic-profile/view/1870452","18-1870452")</f>
        <v>0</v>
      </c>
      <c r="B667" t="s">
        <v>144</v>
      </c>
      <c r="C667" t="s">
        <v>341</v>
      </c>
      <c r="D667" t="s">
        <v>401</v>
      </c>
      <c r="E667" t="s">
        <v>521</v>
      </c>
      <c r="F667" t="s">
        <v>1361</v>
      </c>
      <c r="G667" t="s">
        <v>5535</v>
      </c>
      <c r="H667" t="s">
        <v>10224</v>
      </c>
      <c r="I667" t="s">
        <v>17471</v>
      </c>
      <c r="J667" t="s">
        <v>18893</v>
      </c>
      <c r="K667">
        <v>10034</v>
      </c>
      <c r="L667" t="s">
        <v>18958</v>
      </c>
      <c r="M667" t="s">
        <v>18958</v>
      </c>
      <c r="N667" t="s">
        <v>19475</v>
      </c>
      <c r="O667" t="s">
        <v>26524</v>
      </c>
      <c r="P667" t="s">
        <v>26564</v>
      </c>
      <c r="Q667" t="s">
        <v>26570</v>
      </c>
      <c r="R667" t="s">
        <v>26582</v>
      </c>
      <c r="S667" t="s">
        <v>18959</v>
      </c>
      <c r="U667" t="s">
        <v>26604</v>
      </c>
      <c r="W667" t="s">
        <v>469</v>
      </c>
      <c r="X667">
        <v>300</v>
      </c>
      <c r="Y667" t="s">
        <v>26651</v>
      </c>
      <c r="Z667" t="s">
        <v>26664</v>
      </c>
      <c r="AA667" t="s">
        <v>26683</v>
      </c>
      <c r="AB667" t="s">
        <v>27330</v>
      </c>
      <c r="AD667" t="s">
        <v>37396</v>
      </c>
      <c r="AE667">
        <v>1167</v>
      </c>
      <c r="AF667" t="s">
        <v>45549</v>
      </c>
      <c r="AG667" t="s">
        <v>19330</v>
      </c>
      <c r="AH667">
        <v>7</v>
      </c>
      <c r="AI667">
        <v>2</v>
      </c>
      <c r="AJ667">
        <v>2</v>
      </c>
      <c r="AK667">
        <v>22.74</v>
      </c>
      <c r="AN667" t="s">
        <v>7439</v>
      </c>
      <c r="AO667">
        <v>5707</v>
      </c>
      <c r="AU667">
        <v>1.1</v>
      </c>
      <c r="AV667" t="s">
        <v>497</v>
      </c>
      <c r="AW667" t="s">
        <v>46845</v>
      </c>
    </row>
    <row r="668" spans="1:50">
      <c r="A668" s="1">
        <f>HYPERLINK("https://lsnyc.legalserver.org/matter/dynamic-profile/view/1870521","18-1870521")</f>
        <v>0</v>
      </c>
      <c r="B668" t="s">
        <v>76</v>
      </c>
      <c r="C668" t="s">
        <v>341</v>
      </c>
      <c r="D668" t="s">
        <v>401</v>
      </c>
      <c r="E668" t="s">
        <v>521</v>
      </c>
      <c r="F668" t="s">
        <v>1021</v>
      </c>
      <c r="G668" t="s">
        <v>5536</v>
      </c>
      <c r="H668" t="s">
        <v>10225</v>
      </c>
      <c r="I668" t="s">
        <v>17410</v>
      </c>
      <c r="J668" t="s">
        <v>18893</v>
      </c>
      <c r="K668">
        <v>10031</v>
      </c>
      <c r="L668" t="s">
        <v>18958</v>
      </c>
      <c r="M668" t="s">
        <v>18958</v>
      </c>
      <c r="N668" t="s">
        <v>19476</v>
      </c>
      <c r="O668" t="s">
        <v>26523</v>
      </c>
      <c r="P668" t="s">
        <v>26564</v>
      </c>
      <c r="Q668" t="s">
        <v>26570</v>
      </c>
      <c r="R668" t="s">
        <v>26580</v>
      </c>
      <c r="S668" t="s">
        <v>18959</v>
      </c>
      <c r="U668" t="s">
        <v>26604</v>
      </c>
      <c r="W668" t="s">
        <v>469</v>
      </c>
      <c r="X668">
        <v>2300</v>
      </c>
      <c r="Y668" t="s">
        <v>26651</v>
      </c>
      <c r="Z668" t="s">
        <v>26664</v>
      </c>
      <c r="AA668" t="s">
        <v>26683</v>
      </c>
      <c r="AB668" t="s">
        <v>27331</v>
      </c>
      <c r="AD668" t="s">
        <v>37397</v>
      </c>
      <c r="AE668">
        <v>0</v>
      </c>
      <c r="AF668" t="s">
        <v>45541</v>
      </c>
      <c r="AG668" t="s">
        <v>19330</v>
      </c>
      <c r="AH668">
        <v>1</v>
      </c>
      <c r="AI668">
        <v>1</v>
      </c>
      <c r="AJ668">
        <v>0</v>
      </c>
      <c r="AK668">
        <v>0</v>
      </c>
      <c r="AO668">
        <v>0</v>
      </c>
      <c r="AU668">
        <v>1.5</v>
      </c>
      <c r="AV668" t="s">
        <v>440</v>
      </c>
      <c r="AW668" t="s">
        <v>46845</v>
      </c>
    </row>
    <row r="669" spans="1:50">
      <c r="A669" s="1">
        <f>HYPERLINK("https://lsnyc.legalserver.org/matter/dynamic-profile/view/1870467","18-1870467")</f>
        <v>0</v>
      </c>
      <c r="B669" t="s">
        <v>173</v>
      </c>
      <c r="C669" t="s">
        <v>341</v>
      </c>
      <c r="D669" t="s">
        <v>401</v>
      </c>
      <c r="E669" t="s">
        <v>494</v>
      </c>
      <c r="F669" t="s">
        <v>1362</v>
      </c>
      <c r="G669" t="s">
        <v>5537</v>
      </c>
      <c r="H669" t="s">
        <v>10226</v>
      </c>
      <c r="I669">
        <v>14</v>
      </c>
      <c r="J669" t="s">
        <v>18893</v>
      </c>
      <c r="K669">
        <v>10002</v>
      </c>
      <c r="L669" t="s">
        <v>18958</v>
      </c>
      <c r="M669" t="s">
        <v>18958</v>
      </c>
      <c r="N669" t="s">
        <v>19477</v>
      </c>
      <c r="O669" t="s">
        <v>26523</v>
      </c>
      <c r="P669" t="s">
        <v>26564</v>
      </c>
      <c r="Q669" t="s">
        <v>26570</v>
      </c>
      <c r="R669" t="s">
        <v>26582</v>
      </c>
      <c r="S669" t="s">
        <v>18959</v>
      </c>
      <c r="U669" t="s">
        <v>26604</v>
      </c>
      <c r="W669" t="s">
        <v>469</v>
      </c>
      <c r="X669">
        <v>1100</v>
      </c>
      <c r="Y669" t="s">
        <v>26651</v>
      </c>
      <c r="Z669" t="s">
        <v>26664</v>
      </c>
      <c r="AA669" t="s">
        <v>26683</v>
      </c>
      <c r="AB669" t="s">
        <v>27332</v>
      </c>
      <c r="AC669" t="s">
        <v>34703</v>
      </c>
      <c r="AD669" t="s">
        <v>37398</v>
      </c>
      <c r="AE669">
        <v>15</v>
      </c>
      <c r="AF669" t="s">
        <v>45541</v>
      </c>
      <c r="AG669" t="s">
        <v>19330</v>
      </c>
      <c r="AH669">
        <v>9</v>
      </c>
      <c r="AI669">
        <v>3</v>
      </c>
      <c r="AJ669">
        <v>0</v>
      </c>
      <c r="AK669">
        <v>19.87</v>
      </c>
      <c r="AN669" t="s">
        <v>45594</v>
      </c>
      <c r="AO669">
        <v>4128</v>
      </c>
      <c r="AU669">
        <v>0.25</v>
      </c>
      <c r="AV669" t="s">
        <v>716</v>
      </c>
      <c r="AW669" t="s">
        <v>46845</v>
      </c>
    </row>
    <row r="670" spans="1:50">
      <c r="A670" s="1">
        <f>HYPERLINK("https://lsnyc.legalserver.org/matter/dynamic-profile/view/1870504","18-1870504")</f>
        <v>0</v>
      </c>
      <c r="B670" t="s">
        <v>144</v>
      </c>
      <c r="C670" t="s">
        <v>340</v>
      </c>
      <c r="D670" t="s">
        <v>401</v>
      </c>
      <c r="F670" t="s">
        <v>1363</v>
      </c>
      <c r="G670" t="s">
        <v>5538</v>
      </c>
      <c r="H670" t="s">
        <v>10224</v>
      </c>
      <c r="I670" t="s">
        <v>17289</v>
      </c>
      <c r="J670" t="s">
        <v>18893</v>
      </c>
      <c r="K670">
        <v>10034</v>
      </c>
      <c r="L670" t="s">
        <v>18958</v>
      </c>
      <c r="M670" t="s">
        <v>18959</v>
      </c>
      <c r="N670" t="s">
        <v>19478</v>
      </c>
      <c r="O670" t="s">
        <v>26523</v>
      </c>
      <c r="P670" t="s">
        <v>26564</v>
      </c>
      <c r="R670" t="s">
        <v>26582</v>
      </c>
      <c r="S670" t="s">
        <v>18959</v>
      </c>
      <c r="U670" t="s">
        <v>26605</v>
      </c>
      <c r="W670" t="s">
        <v>469</v>
      </c>
      <c r="X670">
        <v>620</v>
      </c>
      <c r="Y670" t="s">
        <v>26651</v>
      </c>
      <c r="Z670" t="s">
        <v>26664</v>
      </c>
      <c r="AB670" t="s">
        <v>27333</v>
      </c>
      <c r="AC670" t="s">
        <v>34704</v>
      </c>
      <c r="AD670" t="s">
        <v>37399</v>
      </c>
      <c r="AE670">
        <v>1167</v>
      </c>
      <c r="AF670" t="s">
        <v>45549</v>
      </c>
      <c r="AG670" t="s">
        <v>19330</v>
      </c>
      <c r="AH670">
        <v>20</v>
      </c>
      <c r="AI670">
        <v>3</v>
      </c>
      <c r="AJ670">
        <v>2</v>
      </c>
      <c r="AK670">
        <v>59.55</v>
      </c>
      <c r="AN670" t="s">
        <v>45581</v>
      </c>
      <c r="AO670">
        <v>17520</v>
      </c>
      <c r="AU670">
        <v>1.5</v>
      </c>
      <c r="AV670" t="s">
        <v>836</v>
      </c>
      <c r="AW670" t="s">
        <v>46845</v>
      </c>
    </row>
    <row r="671" spans="1:50">
      <c r="A671" s="1">
        <f>HYPERLINK("https://lsnyc.legalserver.org/matter/dynamic-profile/view/1870422","18-1870422")</f>
        <v>0</v>
      </c>
      <c r="B671" t="s">
        <v>144</v>
      </c>
      <c r="C671" t="s">
        <v>340</v>
      </c>
      <c r="D671" t="s">
        <v>401</v>
      </c>
      <c r="F671" t="s">
        <v>1364</v>
      </c>
      <c r="G671" t="s">
        <v>5103</v>
      </c>
      <c r="H671" t="s">
        <v>10227</v>
      </c>
      <c r="I671" t="s">
        <v>17497</v>
      </c>
      <c r="J671" t="s">
        <v>18893</v>
      </c>
      <c r="K671">
        <v>10031</v>
      </c>
      <c r="L671" t="s">
        <v>18958</v>
      </c>
      <c r="M671" t="s">
        <v>18958</v>
      </c>
      <c r="N671" t="s">
        <v>19479</v>
      </c>
      <c r="O671" t="s">
        <v>26523</v>
      </c>
      <c r="P671" t="s">
        <v>26564</v>
      </c>
      <c r="R671" t="s">
        <v>26580</v>
      </c>
      <c r="S671" t="s">
        <v>18959</v>
      </c>
      <c r="U671" t="s">
        <v>26604</v>
      </c>
      <c r="W671" t="s">
        <v>469</v>
      </c>
      <c r="X671">
        <v>881</v>
      </c>
      <c r="Y671" t="s">
        <v>26651</v>
      </c>
      <c r="Z671" t="s">
        <v>26664</v>
      </c>
      <c r="AB671" t="s">
        <v>27334</v>
      </c>
      <c r="AD671" t="s">
        <v>37400</v>
      </c>
      <c r="AE671">
        <v>40</v>
      </c>
      <c r="AF671" t="s">
        <v>45541</v>
      </c>
      <c r="AG671" t="s">
        <v>19330</v>
      </c>
      <c r="AH671">
        <v>27</v>
      </c>
      <c r="AI671">
        <v>2</v>
      </c>
      <c r="AJ671">
        <v>1</v>
      </c>
      <c r="AK671">
        <v>25.29</v>
      </c>
      <c r="AN671" t="s">
        <v>45581</v>
      </c>
      <c r="AO671">
        <v>5256</v>
      </c>
      <c r="AU671">
        <v>2.4</v>
      </c>
      <c r="AV671" t="s">
        <v>836</v>
      </c>
      <c r="AW671" t="s">
        <v>46845</v>
      </c>
    </row>
    <row r="672" spans="1:50">
      <c r="A672" s="1">
        <f>HYPERLINK("https://lsnyc.legalserver.org/matter/dynamic-profile/view/1870886","18-1870886")</f>
        <v>0</v>
      </c>
      <c r="B672" t="s">
        <v>57</v>
      </c>
      <c r="C672" t="s">
        <v>340</v>
      </c>
      <c r="D672" t="s">
        <v>401</v>
      </c>
      <c r="F672" t="s">
        <v>1365</v>
      </c>
      <c r="G672" t="s">
        <v>5539</v>
      </c>
      <c r="H672" t="s">
        <v>10228</v>
      </c>
      <c r="I672" t="s">
        <v>17316</v>
      </c>
      <c r="J672" t="s">
        <v>18892</v>
      </c>
      <c r="K672">
        <v>10454</v>
      </c>
      <c r="L672" t="s">
        <v>18958</v>
      </c>
      <c r="M672" t="s">
        <v>18958</v>
      </c>
      <c r="N672" t="s">
        <v>19480</v>
      </c>
      <c r="O672" t="s">
        <v>26523</v>
      </c>
      <c r="P672" t="s">
        <v>26560</v>
      </c>
      <c r="R672" t="s">
        <v>26577</v>
      </c>
      <c r="S672" t="s">
        <v>18959</v>
      </c>
      <c r="U672" t="s">
        <v>26604</v>
      </c>
      <c r="V672" t="s">
        <v>26610</v>
      </c>
      <c r="W672" t="s">
        <v>469</v>
      </c>
      <c r="X672">
        <v>1484.74</v>
      </c>
      <c r="Y672" t="s">
        <v>26650</v>
      </c>
      <c r="Z672" t="s">
        <v>26656</v>
      </c>
      <c r="AB672" t="s">
        <v>27335</v>
      </c>
      <c r="AC672" t="s">
        <v>34705</v>
      </c>
      <c r="AD672" t="s">
        <v>37401</v>
      </c>
      <c r="AE672">
        <v>14</v>
      </c>
      <c r="AF672" t="s">
        <v>45541</v>
      </c>
      <c r="AG672" t="s">
        <v>19330</v>
      </c>
      <c r="AH672">
        <v>14</v>
      </c>
      <c r="AI672">
        <v>1</v>
      </c>
      <c r="AJ672">
        <v>2</v>
      </c>
      <c r="AK672">
        <v>115.5</v>
      </c>
      <c r="AN672" t="s">
        <v>7439</v>
      </c>
      <c r="AO672">
        <v>24000</v>
      </c>
      <c r="AP672" t="s">
        <v>45621</v>
      </c>
      <c r="AQ672" t="s">
        <v>46359</v>
      </c>
      <c r="AR672" t="s">
        <v>46380</v>
      </c>
      <c r="AS672" t="s">
        <v>46499</v>
      </c>
      <c r="AT672" t="s">
        <v>46553</v>
      </c>
      <c r="AU672">
        <v>25.5</v>
      </c>
      <c r="AV672" t="s">
        <v>690</v>
      </c>
      <c r="AW672" t="s">
        <v>46848</v>
      </c>
    </row>
    <row r="673" spans="1:50">
      <c r="A673" s="1">
        <f>HYPERLINK("https://lsnyc.legalserver.org/matter/dynamic-profile/view/1870608","18-1870608")</f>
        <v>0</v>
      </c>
      <c r="B673" t="s">
        <v>58</v>
      </c>
      <c r="C673" t="s">
        <v>341</v>
      </c>
      <c r="D673" t="s">
        <v>433</v>
      </c>
      <c r="E673" t="s">
        <v>830</v>
      </c>
      <c r="F673" t="s">
        <v>968</v>
      </c>
      <c r="G673" t="s">
        <v>5283</v>
      </c>
      <c r="H673" t="s">
        <v>10229</v>
      </c>
      <c r="I673">
        <v>2</v>
      </c>
      <c r="J673" t="s">
        <v>18892</v>
      </c>
      <c r="K673">
        <v>10458</v>
      </c>
      <c r="L673" t="s">
        <v>18958</v>
      </c>
      <c r="M673" t="s">
        <v>18958</v>
      </c>
      <c r="N673" t="s">
        <v>19481</v>
      </c>
      <c r="O673" t="s">
        <v>26523</v>
      </c>
      <c r="P673" t="s">
        <v>26560</v>
      </c>
      <c r="Q673" t="s">
        <v>26568</v>
      </c>
      <c r="R673" t="s">
        <v>26577</v>
      </c>
      <c r="S673" t="s">
        <v>18959</v>
      </c>
      <c r="U673" t="s">
        <v>26604</v>
      </c>
      <c r="V673" t="s">
        <v>26612</v>
      </c>
      <c r="W673" t="s">
        <v>469</v>
      </c>
      <c r="X673">
        <v>2197</v>
      </c>
      <c r="Y673" t="s">
        <v>26650</v>
      </c>
      <c r="Z673" t="s">
        <v>26674</v>
      </c>
      <c r="AA673" t="s">
        <v>26678</v>
      </c>
      <c r="AB673" t="s">
        <v>27336</v>
      </c>
      <c r="AD673" t="s">
        <v>37402</v>
      </c>
      <c r="AE673">
        <v>3</v>
      </c>
      <c r="AF673" t="s">
        <v>20460</v>
      </c>
      <c r="AG673" t="s">
        <v>19330</v>
      </c>
      <c r="AH673">
        <v>3</v>
      </c>
      <c r="AI673">
        <v>2</v>
      </c>
      <c r="AJ673">
        <v>5</v>
      </c>
      <c r="AK673">
        <v>245.45</v>
      </c>
      <c r="AL673" t="s">
        <v>787</v>
      </c>
      <c r="AM673" t="s">
        <v>45575</v>
      </c>
      <c r="AN673" t="s">
        <v>7439</v>
      </c>
      <c r="AO673">
        <v>93418</v>
      </c>
      <c r="AP673" t="s">
        <v>45641</v>
      </c>
      <c r="AS673" t="s">
        <v>46499</v>
      </c>
      <c r="AU673">
        <v>12.15</v>
      </c>
      <c r="AV673" t="s">
        <v>830</v>
      </c>
      <c r="AW673" t="s">
        <v>46860</v>
      </c>
    </row>
    <row r="674" spans="1:50">
      <c r="A674" s="1">
        <f>HYPERLINK("https://lsnyc.legalserver.org/matter/dynamic-profile/view/1870934","18-1870934")</f>
        <v>0</v>
      </c>
      <c r="B674" t="s">
        <v>199</v>
      </c>
      <c r="C674" t="s">
        <v>341</v>
      </c>
      <c r="D674" t="s">
        <v>404</v>
      </c>
      <c r="E674" t="s">
        <v>811</v>
      </c>
      <c r="F674" t="s">
        <v>1091</v>
      </c>
      <c r="G674" t="s">
        <v>5540</v>
      </c>
      <c r="H674" t="s">
        <v>10230</v>
      </c>
      <c r="I674" t="s">
        <v>17498</v>
      </c>
      <c r="J674" t="s">
        <v>18894</v>
      </c>
      <c r="K674">
        <v>11226</v>
      </c>
      <c r="L674" t="s">
        <v>18958</v>
      </c>
      <c r="M674" t="s">
        <v>18958</v>
      </c>
      <c r="N674" t="s">
        <v>19482</v>
      </c>
      <c r="O674" t="s">
        <v>26523</v>
      </c>
      <c r="P674" t="s">
        <v>26560</v>
      </c>
      <c r="Q674" t="s">
        <v>26568</v>
      </c>
      <c r="R674" t="s">
        <v>26578</v>
      </c>
      <c r="S674" t="s">
        <v>18958</v>
      </c>
      <c r="U674" t="s">
        <v>26604</v>
      </c>
      <c r="V674" t="s">
        <v>26609</v>
      </c>
      <c r="W674" t="s">
        <v>469</v>
      </c>
      <c r="X674">
        <v>1293.81</v>
      </c>
      <c r="Y674" t="s">
        <v>26652</v>
      </c>
      <c r="Z674" t="s">
        <v>26659</v>
      </c>
      <c r="AA674" t="s">
        <v>26678</v>
      </c>
      <c r="AB674" t="s">
        <v>27337</v>
      </c>
      <c r="AC674" t="s">
        <v>34706</v>
      </c>
      <c r="AD674" t="s">
        <v>37403</v>
      </c>
      <c r="AE674">
        <v>34</v>
      </c>
      <c r="AF674" t="s">
        <v>45541</v>
      </c>
      <c r="AG674" t="s">
        <v>19330</v>
      </c>
      <c r="AH674">
        <v>12</v>
      </c>
      <c r="AI674">
        <v>2</v>
      </c>
      <c r="AJ674">
        <v>0</v>
      </c>
      <c r="AK674">
        <v>0</v>
      </c>
      <c r="AN674" t="s">
        <v>45585</v>
      </c>
      <c r="AO674">
        <v>0</v>
      </c>
      <c r="AR674" t="s">
        <v>46407</v>
      </c>
      <c r="AS674" t="s">
        <v>46499</v>
      </c>
      <c r="AT674" t="s">
        <v>46639</v>
      </c>
      <c r="AU674">
        <v>6.2</v>
      </c>
      <c r="AV674" t="s">
        <v>720</v>
      </c>
      <c r="AW674" t="s">
        <v>237</v>
      </c>
      <c r="AX674" t="s">
        <v>46897</v>
      </c>
    </row>
    <row r="675" spans="1:50">
      <c r="A675" s="1">
        <f>HYPERLINK("https://lsnyc.legalserver.org/matter/dynamic-profile/view/1870867","18-1870867")</f>
        <v>0</v>
      </c>
      <c r="B675" t="s">
        <v>195</v>
      </c>
      <c r="C675" t="s">
        <v>340</v>
      </c>
      <c r="D675" t="s">
        <v>404</v>
      </c>
      <c r="F675" t="s">
        <v>1366</v>
      </c>
      <c r="G675" t="s">
        <v>5121</v>
      </c>
      <c r="H675" t="s">
        <v>10231</v>
      </c>
      <c r="I675">
        <v>15</v>
      </c>
      <c r="J675" t="s">
        <v>18893</v>
      </c>
      <c r="K675">
        <v>10033</v>
      </c>
      <c r="L675" t="s">
        <v>18958</v>
      </c>
      <c r="M675" t="s">
        <v>18958</v>
      </c>
      <c r="N675" t="s">
        <v>19483</v>
      </c>
      <c r="O675" t="s">
        <v>26524</v>
      </c>
      <c r="P675" t="s">
        <v>26565</v>
      </c>
      <c r="R675" t="s">
        <v>26582</v>
      </c>
      <c r="S675" t="s">
        <v>18959</v>
      </c>
      <c r="U675" t="s">
        <v>26604</v>
      </c>
      <c r="W675" t="s">
        <v>469</v>
      </c>
      <c r="X675">
        <v>725</v>
      </c>
      <c r="Y675" t="s">
        <v>26651</v>
      </c>
      <c r="Z675" t="s">
        <v>26660</v>
      </c>
      <c r="AB675" t="s">
        <v>27338</v>
      </c>
      <c r="AD675" t="s">
        <v>37404</v>
      </c>
      <c r="AE675">
        <v>20</v>
      </c>
      <c r="AF675" t="s">
        <v>45541</v>
      </c>
      <c r="AG675" t="s">
        <v>19330</v>
      </c>
      <c r="AH675">
        <v>15</v>
      </c>
      <c r="AI675">
        <v>1</v>
      </c>
      <c r="AJ675">
        <v>0</v>
      </c>
      <c r="AK675">
        <v>0</v>
      </c>
      <c r="AN675" t="s">
        <v>7439</v>
      </c>
      <c r="AO675">
        <v>0</v>
      </c>
      <c r="AU675">
        <v>6.31</v>
      </c>
      <c r="AV675" t="s">
        <v>523</v>
      </c>
      <c r="AW675" t="s">
        <v>314</v>
      </c>
    </row>
    <row r="676" spans="1:50">
      <c r="A676" s="1">
        <f>HYPERLINK("https://lsnyc.legalserver.org/matter/dynamic-profile/view/1871057","18-1871057")</f>
        <v>0</v>
      </c>
      <c r="B676" t="s">
        <v>141</v>
      </c>
      <c r="C676" t="s">
        <v>341</v>
      </c>
      <c r="D676" t="s">
        <v>405</v>
      </c>
      <c r="E676" t="s">
        <v>675</v>
      </c>
      <c r="F676" t="s">
        <v>1367</v>
      </c>
      <c r="G676" t="s">
        <v>5541</v>
      </c>
      <c r="H676" t="s">
        <v>10232</v>
      </c>
      <c r="I676">
        <v>1611</v>
      </c>
      <c r="J676" t="s">
        <v>18905</v>
      </c>
      <c r="K676">
        <v>11692</v>
      </c>
      <c r="L676" t="s">
        <v>18958</v>
      </c>
      <c r="M676" t="s">
        <v>18958</v>
      </c>
      <c r="N676" t="s">
        <v>19484</v>
      </c>
      <c r="O676" t="s">
        <v>26523</v>
      </c>
      <c r="P676" t="s">
        <v>26560</v>
      </c>
      <c r="Q676" t="s">
        <v>26573</v>
      </c>
      <c r="R676" t="s">
        <v>26578</v>
      </c>
      <c r="S676" t="s">
        <v>18959</v>
      </c>
      <c r="U676" t="s">
        <v>26604</v>
      </c>
      <c r="V676" t="s">
        <v>26610</v>
      </c>
      <c r="W676" t="s">
        <v>469</v>
      </c>
      <c r="X676">
        <v>1400</v>
      </c>
      <c r="Y676" t="s">
        <v>26653</v>
      </c>
      <c r="Z676" t="s">
        <v>26664</v>
      </c>
      <c r="AA676" t="s">
        <v>26678</v>
      </c>
      <c r="AB676" t="s">
        <v>27339</v>
      </c>
      <c r="AD676" t="s">
        <v>37405</v>
      </c>
      <c r="AE676">
        <v>40</v>
      </c>
      <c r="AF676" t="s">
        <v>20460</v>
      </c>
      <c r="AG676" t="s">
        <v>45556</v>
      </c>
      <c r="AH676">
        <v>10</v>
      </c>
      <c r="AI676">
        <v>1</v>
      </c>
      <c r="AJ676">
        <v>0</v>
      </c>
      <c r="AK676">
        <v>84.02</v>
      </c>
      <c r="AN676" t="s">
        <v>7439</v>
      </c>
      <c r="AO676">
        <v>10200</v>
      </c>
      <c r="AQ676" t="s">
        <v>46362</v>
      </c>
      <c r="AR676" t="s">
        <v>46379</v>
      </c>
      <c r="AS676" t="s">
        <v>46499</v>
      </c>
      <c r="AT676" t="s">
        <v>46640</v>
      </c>
      <c r="AU676">
        <v>14.1</v>
      </c>
      <c r="AV676" t="s">
        <v>666</v>
      </c>
      <c r="AW676" t="s">
        <v>122</v>
      </c>
    </row>
    <row r="677" spans="1:50">
      <c r="A677" s="1">
        <f>HYPERLINK("https://lsnyc.legalserver.org/matter/dynamic-profile/view/1871258","18-1871258")</f>
        <v>0</v>
      </c>
      <c r="B677" t="s">
        <v>86</v>
      </c>
      <c r="C677" t="s">
        <v>341</v>
      </c>
      <c r="D677" t="s">
        <v>407</v>
      </c>
      <c r="E677" t="s">
        <v>461</v>
      </c>
      <c r="F677" t="s">
        <v>1368</v>
      </c>
      <c r="G677" t="s">
        <v>5542</v>
      </c>
      <c r="H677" t="s">
        <v>10233</v>
      </c>
      <c r="I677" t="s">
        <v>17274</v>
      </c>
      <c r="J677" t="s">
        <v>18893</v>
      </c>
      <c r="K677">
        <v>10014</v>
      </c>
      <c r="L677" t="s">
        <v>18958</v>
      </c>
      <c r="M677" t="s">
        <v>18958</v>
      </c>
      <c r="N677" t="s">
        <v>19485</v>
      </c>
      <c r="O677" t="s">
        <v>26524</v>
      </c>
      <c r="P677" t="s">
        <v>26564</v>
      </c>
      <c r="Q677" t="s">
        <v>26570</v>
      </c>
      <c r="R677" t="s">
        <v>26582</v>
      </c>
      <c r="S677" t="s">
        <v>18959</v>
      </c>
      <c r="U677" t="s">
        <v>26604</v>
      </c>
      <c r="W677" t="s">
        <v>469</v>
      </c>
      <c r="X677">
        <v>1828</v>
      </c>
      <c r="Y677" t="s">
        <v>26651</v>
      </c>
      <c r="Z677" t="s">
        <v>26661</v>
      </c>
      <c r="AA677" t="s">
        <v>26683</v>
      </c>
      <c r="AB677" t="s">
        <v>27340</v>
      </c>
      <c r="AD677" t="s">
        <v>37406</v>
      </c>
      <c r="AE677">
        <v>0</v>
      </c>
      <c r="AF677" t="s">
        <v>45546</v>
      </c>
      <c r="AG677" t="s">
        <v>19330</v>
      </c>
      <c r="AH677">
        <v>5</v>
      </c>
      <c r="AI677">
        <v>1</v>
      </c>
      <c r="AJ677">
        <v>0</v>
      </c>
      <c r="AK677">
        <v>98.84999999999999</v>
      </c>
      <c r="AO677">
        <v>12000</v>
      </c>
      <c r="AU677">
        <v>1.3</v>
      </c>
      <c r="AV677" t="s">
        <v>426</v>
      </c>
      <c r="AW677" t="s">
        <v>46845</v>
      </c>
    </row>
    <row r="678" spans="1:50">
      <c r="A678" s="1">
        <f>HYPERLINK("https://lsnyc.legalserver.org/matter/dynamic-profile/view/1871555","18-1871555")</f>
        <v>0</v>
      </c>
      <c r="B678" t="s">
        <v>166</v>
      </c>
      <c r="C678" t="s">
        <v>341</v>
      </c>
      <c r="D678" t="s">
        <v>420</v>
      </c>
      <c r="E678" t="s">
        <v>768</v>
      </c>
      <c r="F678" t="s">
        <v>1369</v>
      </c>
      <c r="G678" t="s">
        <v>5543</v>
      </c>
      <c r="H678" t="s">
        <v>10234</v>
      </c>
      <c r="I678" t="s">
        <v>17342</v>
      </c>
      <c r="J678" t="s">
        <v>18892</v>
      </c>
      <c r="K678">
        <v>10472</v>
      </c>
      <c r="L678" t="s">
        <v>18958</v>
      </c>
      <c r="M678" t="s">
        <v>18958</v>
      </c>
      <c r="N678" t="s">
        <v>19486</v>
      </c>
      <c r="O678" t="s">
        <v>26524</v>
      </c>
      <c r="P678" t="s">
        <v>26560</v>
      </c>
      <c r="Q678" t="s">
        <v>26568</v>
      </c>
      <c r="R678" t="s">
        <v>26577</v>
      </c>
      <c r="S678" t="s">
        <v>18959</v>
      </c>
      <c r="U678" t="s">
        <v>26604</v>
      </c>
      <c r="V678" t="s">
        <v>26610</v>
      </c>
      <c r="W678" t="s">
        <v>469</v>
      </c>
      <c r="X678">
        <v>1900</v>
      </c>
      <c r="Y678" t="s">
        <v>26650</v>
      </c>
      <c r="Z678" t="s">
        <v>26655</v>
      </c>
      <c r="AA678" t="s">
        <v>26678</v>
      </c>
      <c r="AB678" t="s">
        <v>27341</v>
      </c>
      <c r="AC678" t="s">
        <v>34707</v>
      </c>
      <c r="AD678" t="s">
        <v>37407</v>
      </c>
      <c r="AE678">
        <v>30</v>
      </c>
      <c r="AF678" t="s">
        <v>45541</v>
      </c>
      <c r="AG678" t="s">
        <v>19330</v>
      </c>
      <c r="AH678">
        <v>2</v>
      </c>
      <c r="AI678">
        <v>3</v>
      </c>
      <c r="AJ678">
        <v>2</v>
      </c>
      <c r="AK678">
        <v>106.53</v>
      </c>
      <c r="AN678" t="s">
        <v>45581</v>
      </c>
      <c r="AO678">
        <v>31340</v>
      </c>
      <c r="AS678" t="s">
        <v>46499</v>
      </c>
      <c r="AT678" t="s">
        <v>46641</v>
      </c>
      <c r="AU678">
        <v>31.5</v>
      </c>
      <c r="AV678" t="s">
        <v>801</v>
      </c>
      <c r="AW678" t="s">
        <v>46832</v>
      </c>
    </row>
    <row r="679" spans="1:50">
      <c r="A679" s="1">
        <f>HYPERLINK("https://lsnyc.legalserver.org/matter/dynamic-profile/view/1871668","18-1871668")</f>
        <v>0</v>
      </c>
      <c r="B679" t="s">
        <v>200</v>
      </c>
      <c r="C679" t="s">
        <v>340</v>
      </c>
      <c r="D679" t="s">
        <v>425</v>
      </c>
      <c r="F679" t="s">
        <v>1370</v>
      </c>
      <c r="G679" t="s">
        <v>5544</v>
      </c>
      <c r="H679" t="s">
        <v>10235</v>
      </c>
      <c r="I679" t="s">
        <v>17499</v>
      </c>
      <c r="J679" t="s">
        <v>18894</v>
      </c>
      <c r="K679">
        <v>11239</v>
      </c>
      <c r="L679" t="s">
        <v>18958</v>
      </c>
      <c r="M679" t="s">
        <v>18958</v>
      </c>
      <c r="N679" t="s">
        <v>19487</v>
      </c>
      <c r="O679" t="s">
        <v>26524</v>
      </c>
      <c r="P679" t="s">
        <v>26560</v>
      </c>
      <c r="R679" t="s">
        <v>26578</v>
      </c>
      <c r="S679" t="s">
        <v>18959</v>
      </c>
      <c r="U679" t="s">
        <v>26604</v>
      </c>
      <c r="W679" t="s">
        <v>469</v>
      </c>
      <c r="X679">
        <v>0</v>
      </c>
      <c r="Y679" t="s">
        <v>26652</v>
      </c>
      <c r="Z679" t="s">
        <v>26664</v>
      </c>
      <c r="AB679" t="s">
        <v>27342</v>
      </c>
      <c r="AD679" t="s">
        <v>37408</v>
      </c>
      <c r="AE679">
        <v>1463</v>
      </c>
      <c r="AF679" t="s">
        <v>45543</v>
      </c>
      <c r="AG679" t="s">
        <v>45556</v>
      </c>
      <c r="AH679">
        <v>43</v>
      </c>
      <c r="AI679">
        <v>1</v>
      </c>
      <c r="AJ679">
        <v>0</v>
      </c>
      <c r="AK679">
        <v>84.70999999999999</v>
      </c>
      <c r="AN679" t="s">
        <v>7439</v>
      </c>
      <c r="AO679">
        <v>10284</v>
      </c>
      <c r="AP679" t="s">
        <v>45666</v>
      </c>
      <c r="AU679">
        <v>38.92</v>
      </c>
      <c r="AV679" t="s">
        <v>832</v>
      </c>
      <c r="AW679" t="s">
        <v>237</v>
      </c>
    </row>
    <row r="680" spans="1:50">
      <c r="A680" s="1">
        <f>HYPERLINK("https://lsnyc.legalserver.org/matter/dynamic-profile/view/1871741","18-1871741")</f>
        <v>0</v>
      </c>
      <c r="B680" t="s">
        <v>68</v>
      </c>
      <c r="C680" t="s">
        <v>341</v>
      </c>
      <c r="D680" t="s">
        <v>426</v>
      </c>
      <c r="E680" t="s">
        <v>494</v>
      </c>
      <c r="F680" t="s">
        <v>1371</v>
      </c>
      <c r="G680" t="s">
        <v>5545</v>
      </c>
      <c r="H680" t="s">
        <v>10236</v>
      </c>
      <c r="I680" t="s">
        <v>17436</v>
      </c>
      <c r="J680" t="s">
        <v>18892</v>
      </c>
      <c r="K680">
        <v>10454</v>
      </c>
      <c r="L680" t="s">
        <v>18958</v>
      </c>
      <c r="M680" t="s">
        <v>18958</v>
      </c>
      <c r="N680" t="s">
        <v>19488</v>
      </c>
      <c r="O680" t="s">
        <v>26523</v>
      </c>
      <c r="P680" t="s">
        <v>26560</v>
      </c>
      <c r="Q680" t="s">
        <v>26568</v>
      </c>
      <c r="R680" t="s">
        <v>26577</v>
      </c>
      <c r="S680" t="s">
        <v>18959</v>
      </c>
      <c r="U680" t="s">
        <v>26604</v>
      </c>
      <c r="V680" t="s">
        <v>26610</v>
      </c>
      <c r="W680" t="s">
        <v>469</v>
      </c>
      <c r="X680">
        <v>635</v>
      </c>
      <c r="Y680" t="s">
        <v>26650</v>
      </c>
      <c r="Z680" t="s">
        <v>26673</v>
      </c>
      <c r="AA680" t="s">
        <v>26680</v>
      </c>
      <c r="AB680" t="s">
        <v>27343</v>
      </c>
      <c r="AD680" t="s">
        <v>37409</v>
      </c>
      <c r="AE680">
        <v>17</v>
      </c>
      <c r="AF680" t="s">
        <v>45549</v>
      </c>
      <c r="AG680" t="s">
        <v>19330</v>
      </c>
      <c r="AH680">
        <v>22</v>
      </c>
      <c r="AI680">
        <v>3</v>
      </c>
      <c r="AJ680">
        <v>3</v>
      </c>
      <c r="AK680">
        <v>112.89</v>
      </c>
      <c r="AN680" t="s">
        <v>45581</v>
      </c>
      <c r="AO680">
        <v>38088</v>
      </c>
      <c r="AR680" t="s">
        <v>46379</v>
      </c>
      <c r="AS680" t="s">
        <v>46499</v>
      </c>
      <c r="AT680" t="s">
        <v>46535</v>
      </c>
      <c r="AU680">
        <v>9.5</v>
      </c>
      <c r="AV680" t="s">
        <v>519</v>
      </c>
      <c r="AW680" t="s">
        <v>46861</v>
      </c>
    </row>
    <row r="681" spans="1:50">
      <c r="A681" s="1">
        <f>HYPERLINK("https://lsnyc.legalserver.org/matter/dynamic-profile/view/1871691","18-1871691")</f>
        <v>0</v>
      </c>
      <c r="B681" t="s">
        <v>201</v>
      </c>
      <c r="C681" t="s">
        <v>341</v>
      </c>
      <c r="D681" t="s">
        <v>426</v>
      </c>
      <c r="E681" t="s">
        <v>752</v>
      </c>
      <c r="F681" t="s">
        <v>994</v>
      </c>
      <c r="G681" t="s">
        <v>5546</v>
      </c>
      <c r="H681" t="s">
        <v>10237</v>
      </c>
      <c r="I681" t="s">
        <v>17500</v>
      </c>
      <c r="J681" t="s">
        <v>18894</v>
      </c>
      <c r="K681">
        <v>11233</v>
      </c>
      <c r="L681" t="s">
        <v>18958</v>
      </c>
      <c r="M681" t="s">
        <v>18958</v>
      </c>
      <c r="N681" t="s">
        <v>19489</v>
      </c>
      <c r="O681" t="s">
        <v>26523</v>
      </c>
      <c r="P681" t="s">
        <v>26560</v>
      </c>
      <c r="Q681" t="s">
        <v>26568</v>
      </c>
      <c r="R681" t="s">
        <v>26578</v>
      </c>
      <c r="S681" t="s">
        <v>18959</v>
      </c>
      <c r="U681" t="s">
        <v>26604</v>
      </c>
      <c r="W681" t="s">
        <v>469</v>
      </c>
      <c r="X681">
        <v>1500</v>
      </c>
      <c r="Y681" t="s">
        <v>26652</v>
      </c>
      <c r="Z681" t="s">
        <v>26530</v>
      </c>
      <c r="AA681" t="s">
        <v>26679</v>
      </c>
      <c r="AB681" t="s">
        <v>27344</v>
      </c>
      <c r="AC681" t="s">
        <v>34708</v>
      </c>
      <c r="AD681" t="s">
        <v>37410</v>
      </c>
      <c r="AE681">
        <v>4</v>
      </c>
      <c r="AH681">
        <v>10</v>
      </c>
      <c r="AI681">
        <v>1</v>
      </c>
      <c r="AJ681">
        <v>0</v>
      </c>
      <c r="AK681">
        <v>37.17</v>
      </c>
      <c r="AN681" t="s">
        <v>7439</v>
      </c>
      <c r="AO681">
        <v>4512</v>
      </c>
      <c r="AU681">
        <v>9.449999999999999</v>
      </c>
      <c r="AV681" t="s">
        <v>752</v>
      </c>
      <c r="AW681" t="s">
        <v>46850</v>
      </c>
    </row>
    <row r="682" spans="1:50">
      <c r="A682" s="1">
        <f>HYPERLINK("https://lsnyc.legalserver.org/matter/dynamic-profile/view/1871753","18-1871753")</f>
        <v>0</v>
      </c>
      <c r="B682" t="s">
        <v>123</v>
      </c>
      <c r="C682" t="s">
        <v>341</v>
      </c>
      <c r="D682" t="s">
        <v>426</v>
      </c>
      <c r="E682" t="s">
        <v>815</v>
      </c>
      <c r="F682" t="s">
        <v>1024</v>
      </c>
      <c r="G682" t="s">
        <v>3368</v>
      </c>
      <c r="H682" t="s">
        <v>10238</v>
      </c>
      <c r="I682" t="s">
        <v>17501</v>
      </c>
      <c r="J682" t="s">
        <v>18894</v>
      </c>
      <c r="K682">
        <v>11225</v>
      </c>
      <c r="L682" t="s">
        <v>18958</v>
      </c>
      <c r="M682" t="s">
        <v>18958</v>
      </c>
      <c r="N682" t="s">
        <v>19490</v>
      </c>
      <c r="O682" t="s">
        <v>26523</v>
      </c>
      <c r="P682" t="s">
        <v>26560</v>
      </c>
      <c r="Q682" t="s">
        <v>26568</v>
      </c>
      <c r="R682" t="s">
        <v>26588</v>
      </c>
      <c r="S682" t="s">
        <v>18959</v>
      </c>
      <c r="U682" t="s">
        <v>26604</v>
      </c>
      <c r="V682" t="s">
        <v>26610</v>
      </c>
      <c r="W682" t="s">
        <v>469</v>
      </c>
      <c r="X682">
        <v>805</v>
      </c>
      <c r="Y682" t="s">
        <v>26652</v>
      </c>
      <c r="Z682" t="s">
        <v>26669</v>
      </c>
      <c r="AA682" t="s">
        <v>26678</v>
      </c>
      <c r="AB682" t="s">
        <v>27345</v>
      </c>
      <c r="AE682">
        <v>0</v>
      </c>
      <c r="AF682" t="s">
        <v>45541</v>
      </c>
      <c r="AH682">
        <v>22</v>
      </c>
      <c r="AI682">
        <v>2</v>
      </c>
      <c r="AJ682">
        <v>0</v>
      </c>
      <c r="AK682">
        <v>195.87</v>
      </c>
      <c r="AN682" t="s">
        <v>7439</v>
      </c>
      <c r="AO682">
        <v>32240</v>
      </c>
      <c r="AQ682" t="s">
        <v>46362</v>
      </c>
      <c r="AR682" t="s">
        <v>46381</v>
      </c>
      <c r="AS682" t="s">
        <v>46499</v>
      </c>
      <c r="AT682" t="s">
        <v>46541</v>
      </c>
      <c r="AU682">
        <v>16.65</v>
      </c>
      <c r="AV682" t="s">
        <v>704</v>
      </c>
      <c r="AW682" t="s">
        <v>46853</v>
      </c>
    </row>
    <row r="683" spans="1:50">
      <c r="A683" s="1">
        <f>HYPERLINK("https://lsnyc.legalserver.org/matter/dynamic-profile/view/1871711","18-1871711")</f>
        <v>0</v>
      </c>
      <c r="B683" t="s">
        <v>123</v>
      </c>
      <c r="C683" t="s">
        <v>340</v>
      </c>
      <c r="D683" t="s">
        <v>426</v>
      </c>
      <c r="F683" t="s">
        <v>1075</v>
      </c>
      <c r="G683" t="s">
        <v>5547</v>
      </c>
      <c r="H683" t="s">
        <v>10239</v>
      </c>
      <c r="I683" t="s">
        <v>17306</v>
      </c>
      <c r="J683" t="s">
        <v>18894</v>
      </c>
      <c r="K683">
        <v>11216</v>
      </c>
      <c r="L683" t="s">
        <v>18958</v>
      </c>
      <c r="M683" t="s">
        <v>18958</v>
      </c>
      <c r="N683" t="s">
        <v>19491</v>
      </c>
      <c r="O683" t="s">
        <v>26523</v>
      </c>
      <c r="P683" t="s">
        <v>26560</v>
      </c>
      <c r="R683" t="s">
        <v>26588</v>
      </c>
      <c r="S683" t="s">
        <v>18959</v>
      </c>
      <c r="U683" t="s">
        <v>26604</v>
      </c>
      <c r="V683" t="s">
        <v>26610</v>
      </c>
      <c r="W683" t="s">
        <v>469</v>
      </c>
      <c r="X683">
        <v>768</v>
      </c>
      <c r="Y683" t="s">
        <v>26652</v>
      </c>
      <c r="Z683" t="s">
        <v>26669</v>
      </c>
      <c r="AB683" t="s">
        <v>27346</v>
      </c>
      <c r="AC683" t="s">
        <v>34709</v>
      </c>
      <c r="AD683" t="s">
        <v>37411</v>
      </c>
      <c r="AE683">
        <v>50</v>
      </c>
      <c r="AF683" t="s">
        <v>45541</v>
      </c>
      <c r="AG683" t="s">
        <v>45556</v>
      </c>
      <c r="AH683">
        <v>5</v>
      </c>
      <c r="AI683">
        <v>2</v>
      </c>
      <c r="AJ683">
        <v>4</v>
      </c>
      <c r="AK683">
        <v>98.26000000000001</v>
      </c>
      <c r="AN683" t="s">
        <v>7439</v>
      </c>
      <c r="AO683">
        <v>33152</v>
      </c>
      <c r="AQ683" t="s">
        <v>46359</v>
      </c>
      <c r="AU683">
        <v>29.13</v>
      </c>
      <c r="AV683" t="s">
        <v>773</v>
      </c>
      <c r="AW683" t="s">
        <v>46853</v>
      </c>
      <c r="AX683" t="s">
        <v>46897</v>
      </c>
    </row>
    <row r="684" spans="1:50">
      <c r="A684" s="1">
        <f>HYPERLINK("https://lsnyc.legalserver.org/matter/dynamic-profile/view/1871842","18-1871842")</f>
        <v>0</v>
      </c>
      <c r="B684" t="s">
        <v>57</v>
      </c>
      <c r="C684" t="s">
        <v>340</v>
      </c>
      <c r="D684" t="s">
        <v>431</v>
      </c>
      <c r="F684" t="s">
        <v>1372</v>
      </c>
      <c r="G684" t="s">
        <v>5548</v>
      </c>
      <c r="H684" t="s">
        <v>10240</v>
      </c>
      <c r="I684" t="s">
        <v>17323</v>
      </c>
      <c r="J684" t="s">
        <v>18892</v>
      </c>
      <c r="K684">
        <v>10475</v>
      </c>
      <c r="L684" t="s">
        <v>18958</v>
      </c>
      <c r="M684" t="s">
        <v>18958</v>
      </c>
      <c r="N684" t="s">
        <v>19492</v>
      </c>
      <c r="O684" t="s">
        <v>26523</v>
      </c>
      <c r="P684" t="s">
        <v>26560</v>
      </c>
      <c r="R684" t="s">
        <v>26577</v>
      </c>
      <c r="S684" t="s">
        <v>18959</v>
      </c>
      <c r="U684" t="s">
        <v>26604</v>
      </c>
      <c r="V684" t="s">
        <v>26611</v>
      </c>
      <c r="W684" t="s">
        <v>469</v>
      </c>
      <c r="X684">
        <v>1500</v>
      </c>
      <c r="Y684" t="s">
        <v>26650</v>
      </c>
      <c r="Z684" t="s">
        <v>26657</v>
      </c>
      <c r="AB684" t="s">
        <v>27347</v>
      </c>
      <c r="AC684" t="s">
        <v>34710</v>
      </c>
      <c r="AD684" t="s">
        <v>37412</v>
      </c>
      <c r="AE684">
        <v>10914</v>
      </c>
      <c r="AF684" t="s">
        <v>45550</v>
      </c>
      <c r="AG684" t="s">
        <v>45557</v>
      </c>
      <c r="AH684">
        <v>18</v>
      </c>
      <c r="AI684">
        <v>1</v>
      </c>
      <c r="AJ684">
        <v>3</v>
      </c>
      <c r="AK684">
        <v>76.02</v>
      </c>
      <c r="AN684" t="s">
        <v>7439</v>
      </c>
      <c r="AO684">
        <v>19080</v>
      </c>
      <c r="AQ684" t="s">
        <v>46366</v>
      </c>
      <c r="AR684" t="s">
        <v>46415</v>
      </c>
      <c r="AS684" t="s">
        <v>46499</v>
      </c>
      <c r="AT684" t="s">
        <v>46518</v>
      </c>
      <c r="AU684">
        <v>49.9</v>
      </c>
      <c r="AV684" t="s">
        <v>767</v>
      </c>
      <c r="AW684" t="s">
        <v>46842</v>
      </c>
    </row>
    <row r="685" spans="1:50">
      <c r="A685" s="1">
        <f>HYPERLINK("https://lsnyc.legalserver.org/matter/dynamic-profile/view/1872000","18-1872000")</f>
        <v>0</v>
      </c>
      <c r="B685" t="s">
        <v>125</v>
      </c>
      <c r="C685" t="s">
        <v>341</v>
      </c>
      <c r="D685" t="s">
        <v>434</v>
      </c>
      <c r="E685" t="s">
        <v>697</v>
      </c>
      <c r="F685" t="s">
        <v>1373</v>
      </c>
      <c r="G685" t="s">
        <v>5199</v>
      </c>
      <c r="H685" t="s">
        <v>10241</v>
      </c>
      <c r="I685">
        <v>3</v>
      </c>
      <c r="J685" t="s">
        <v>18894</v>
      </c>
      <c r="K685">
        <v>11208</v>
      </c>
      <c r="L685" t="s">
        <v>18958</v>
      </c>
      <c r="M685" t="s">
        <v>18958</v>
      </c>
      <c r="O685" t="s">
        <v>18997</v>
      </c>
      <c r="P685" t="s">
        <v>26564</v>
      </c>
      <c r="Q685" t="s">
        <v>26570</v>
      </c>
      <c r="R685" t="s">
        <v>26578</v>
      </c>
      <c r="U685" t="s">
        <v>26604</v>
      </c>
      <c r="W685" t="s">
        <v>469</v>
      </c>
      <c r="X685">
        <v>0</v>
      </c>
      <c r="Y685" t="s">
        <v>26652</v>
      </c>
      <c r="AA685" t="s">
        <v>26683</v>
      </c>
      <c r="AB685" t="s">
        <v>27348</v>
      </c>
      <c r="AD685" t="s">
        <v>37413</v>
      </c>
      <c r="AE685">
        <v>0</v>
      </c>
      <c r="AH685">
        <v>0</v>
      </c>
      <c r="AI685">
        <v>2</v>
      </c>
      <c r="AJ685">
        <v>0</v>
      </c>
      <c r="AK685">
        <v>55.41</v>
      </c>
      <c r="AN685" t="s">
        <v>45581</v>
      </c>
      <c r="AO685">
        <v>9120</v>
      </c>
      <c r="AU685">
        <v>3.5</v>
      </c>
      <c r="AV685" t="s">
        <v>439</v>
      </c>
      <c r="AW685" t="s">
        <v>125</v>
      </c>
    </row>
    <row r="686" spans="1:50">
      <c r="A686" s="1">
        <f>HYPERLINK("https://lsnyc.legalserver.org/matter/dynamic-profile/view/1872230","18-1872230")</f>
        <v>0</v>
      </c>
      <c r="B686" t="s">
        <v>166</v>
      </c>
      <c r="C686" t="s">
        <v>341</v>
      </c>
      <c r="D686" t="s">
        <v>438</v>
      </c>
      <c r="E686" t="s">
        <v>767</v>
      </c>
      <c r="F686" t="s">
        <v>1374</v>
      </c>
      <c r="G686" t="s">
        <v>5549</v>
      </c>
      <c r="H686" t="s">
        <v>10242</v>
      </c>
      <c r="I686" t="s">
        <v>17299</v>
      </c>
      <c r="J686" t="s">
        <v>18892</v>
      </c>
      <c r="K686">
        <v>10456</v>
      </c>
      <c r="L686" t="s">
        <v>18958</v>
      </c>
      <c r="M686" t="s">
        <v>18958</v>
      </c>
      <c r="N686" t="s">
        <v>19493</v>
      </c>
      <c r="O686" t="s">
        <v>26523</v>
      </c>
      <c r="P686" t="s">
        <v>26560</v>
      </c>
      <c r="Q686" t="s">
        <v>26568</v>
      </c>
      <c r="R686" t="s">
        <v>26577</v>
      </c>
      <c r="S686" t="s">
        <v>18959</v>
      </c>
      <c r="U686" t="s">
        <v>26604</v>
      </c>
      <c r="V686" t="s">
        <v>26612</v>
      </c>
      <c r="W686" t="s">
        <v>469</v>
      </c>
      <c r="X686">
        <v>1600</v>
      </c>
      <c r="Y686" t="s">
        <v>26650</v>
      </c>
      <c r="Z686" t="s">
        <v>26662</v>
      </c>
      <c r="AA686" t="s">
        <v>26678</v>
      </c>
      <c r="AB686" t="s">
        <v>26703</v>
      </c>
      <c r="AC686" t="s">
        <v>34711</v>
      </c>
      <c r="AD686" t="s">
        <v>37414</v>
      </c>
      <c r="AE686">
        <v>50</v>
      </c>
      <c r="AF686" t="s">
        <v>45548</v>
      </c>
      <c r="AG686" t="s">
        <v>45562</v>
      </c>
      <c r="AH686">
        <v>4</v>
      </c>
      <c r="AI686">
        <v>1</v>
      </c>
      <c r="AJ686">
        <v>0</v>
      </c>
      <c r="AK686">
        <v>9</v>
      </c>
      <c r="AN686" t="s">
        <v>7439</v>
      </c>
      <c r="AO686">
        <v>1092</v>
      </c>
      <c r="AP686" t="s">
        <v>45654</v>
      </c>
      <c r="AS686" t="s">
        <v>46499</v>
      </c>
      <c r="AT686" t="s">
        <v>46601</v>
      </c>
      <c r="AU686">
        <v>18.32</v>
      </c>
      <c r="AV686" t="s">
        <v>767</v>
      </c>
      <c r="AW686" t="s">
        <v>46847</v>
      </c>
    </row>
    <row r="687" spans="1:50">
      <c r="A687" s="1">
        <f>HYPERLINK("https://lsnyc.legalserver.org/matter/dynamic-profile/view/1872210","18-1872210")</f>
        <v>0</v>
      </c>
      <c r="B687" t="s">
        <v>51</v>
      </c>
      <c r="C687" t="s">
        <v>341</v>
      </c>
      <c r="D687" t="s">
        <v>438</v>
      </c>
      <c r="E687" t="s">
        <v>739</v>
      </c>
      <c r="F687" t="s">
        <v>1336</v>
      </c>
      <c r="G687" t="s">
        <v>5313</v>
      </c>
      <c r="H687" t="s">
        <v>10243</v>
      </c>
      <c r="I687" t="s">
        <v>17298</v>
      </c>
      <c r="J687" t="s">
        <v>18892</v>
      </c>
      <c r="K687">
        <v>10457</v>
      </c>
      <c r="L687" t="s">
        <v>18958</v>
      </c>
      <c r="M687" t="s">
        <v>18960</v>
      </c>
      <c r="N687" t="s">
        <v>19494</v>
      </c>
      <c r="O687" t="s">
        <v>26523</v>
      </c>
      <c r="P687" t="s">
        <v>26560</v>
      </c>
      <c r="Q687" t="s">
        <v>26569</v>
      </c>
      <c r="R687" t="s">
        <v>26579</v>
      </c>
      <c r="S687" t="s">
        <v>18959</v>
      </c>
      <c r="U687" t="s">
        <v>26604</v>
      </c>
      <c r="V687" t="s">
        <v>26610</v>
      </c>
      <c r="W687" t="s">
        <v>469</v>
      </c>
      <c r="X687">
        <v>1121</v>
      </c>
      <c r="Y687" t="s">
        <v>26650</v>
      </c>
      <c r="Z687" t="s">
        <v>26662</v>
      </c>
      <c r="AA687" t="s">
        <v>26687</v>
      </c>
      <c r="AB687" t="s">
        <v>27349</v>
      </c>
      <c r="AC687" t="s">
        <v>34712</v>
      </c>
      <c r="AD687" t="s">
        <v>37415</v>
      </c>
      <c r="AE687">
        <v>0</v>
      </c>
      <c r="AF687" t="s">
        <v>45541</v>
      </c>
      <c r="AG687" t="s">
        <v>19330</v>
      </c>
      <c r="AH687">
        <v>5</v>
      </c>
      <c r="AI687">
        <v>1</v>
      </c>
      <c r="AJ687">
        <v>2</v>
      </c>
      <c r="AK687">
        <v>77.29000000000001</v>
      </c>
      <c r="AN687" t="s">
        <v>45581</v>
      </c>
      <c r="AO687">
        <v>16060</v>
      </c>
      <c r="AQ687" t="s">
        <v>46359</v>
      </c>
      <c r="AR687" t="s">
        <v>26530</v>
      </c>
      <c r="AS687" t="s">
        <v>46501</v>
      </c>
      <c r="AT687" t="s">
        <v>46551</v>
      </c>
      <c r="AU687">
        <v>13.42</v>
      </c>
      <c r="AV687" t="s">
        <v>645</v>
      </c>
      <c r="AW687" t="s">
        <v>46847</v>
      </c>
    </row>
    <row r="688" spans="1:50">
      <c r="A688" s="1">
        <f>HYPERLINK("https://lsnyc.legalserver.org/matter/dynamic-profile/view/1872239","18-1872239")</f>
        <v>0</v>
      </c>
      <c r="B688" t="s">
        <v>144</v>
      </c>
      <c r="C688" t="s">
        <v>341</v>
      </c>
      <c r="D688" t="s">
        <v>439</v>
      </c>
      <c r="E688" t="s">
        <v>578</v>
      </c>
      <c r="F688" t="s">
        <v>953</v>
      </c>
      <c r="G688" t="s">
        <v>5550</v>
      </c>
      <c r="H688" t="s">
        <v>10244</v>
      </c>
      <c r="I688">
        <v>644</v>
      </c>
      <c r="J688" t="s">
        <v>18893</v>
      </c>
      <c r="K688">
        <v>10010</v>
      </c>
      <c r="L688" t="s">
        <v>18958</v>
      </c>
      <c r="M688" t="s">
        <v>18958</v>
      </c>
      <c r="N688" t="s">
        <v>19495</v>
      </c>
      <c r="O688" t="s">
        <v>26523</v>
      </c>
      <c r="P688" t="s">
        <v>26565</v>
      </c>
      <c r="Q688" t="s">
        <v>26570</v>
      </c>
      <c r="R688" t="s">
        <v>26582</v>
      </c>
      <c r="S688" t="s">
        <v>18959</v>
      </c>
      <c r="U688" t="s">
        <v>26604</v>
      </c>
      <c r="W688" t="s">
        <v>469</v>
      </c>
      <c r="X688">
        <v>1822</v>
      </c>
      <c r="Y688" t="s">
        <v>26651</v>
      </c>
      <c r="Z688" t="s">
        <v>26661</v>
      </c>
      <c r="AA688" t="s">
        <v>26683</v>
      </c>
      <c r="AB688" t="s">
        <v>27350</v>
      </c>
      <c r="AD688" t="s">
        <v>37416</v>
      </c>
      <c r="AE688">
        <v>1</v>
      </c>
      <c r="AF688" t="s">
        <v>20460</v>
      </c>
      <c r="AG688" t="s">
        <v>19330</v>
      </c>
      <c r="AH688">
        <v>2</v>
      </c>
      <c r="AI688">
        <v>1</v>
      </c>
      <c r="AJ688">
        <v>0</v>
      </c>
      <c r="AK688">
        <v>0</v>
      </c>
      <c r="AN688" t="s">
        <v>7439</v>
      </c>
      <c r="AO688">
        <v>0</v>
      </c>
      <c r="AU688">
        <v>3.5</v>
      </c>
      <c r="AV688" t="s">
        <v>449</v>
      </c>
      <c r="AW688" t="s">
        <v>46845</v>
      </c>
      <c r="AX688" t="s">
        <v>46897</v>
      </c>
    </row>
    <row r="689" spans="1:49">
      <c r="A689" s="1">
        <f>HYPERLINK("https://lsnyc.legalserver.org/matter/dynamic-profile/view/1872244","18-1872244")</f>
        <v>0</v>
      </c>
      <c r="B689" t="s">
        <v>144</v>
      </c>
      <c r="C689" t="s">
        <v>341</v>
      </c>
      <c r="D689" t="s">
        <v>439</v>
      </c>
      <c r="E689" t="s">
        <v>688</v>
      </c>
      <c r="F689" t="s">
        <v>1375</v>
      </c>
      <c r="G689" t="s">
        <v>5551</v>
      </c>
      <c r="H689" t="s">
        <v>10245</v>
      </c>
      <c r="I689">
        <v>35</v>
      </c>
      <c r="J689" t="s">
        <v>18893</v>
      </c>
      <c r="K689">
        <v>10031</v>
      </c>
      <c r="L689" t="s">
        <v>18958</v>
      </c>
      <c r="M689" t="s">
        <v>18958</v>
      </c>
      <c r="N689" t="s">
        <v>19496</v>
      </c>
      <c r="O689" t="s">
        <v>26523</v>
      </c>
      <c r="P689" t="s">
        <v>26565</v>
      </c>
      <c r="Q689" t="s">
        <v>26571</v>
      </c>
      <c r="R689" t="s">
        <v>26580</v>
      </c>
      <c r="S689" t="s">
        <v>18959</v>
      </c>
      <c r="U689" t="s">
        <v>26604</v>
      </c>
      <c r="W689" t="s">
        <v>469</v>
      </c>
      <c r="X689">
        <v>1800</v>
      </c>
      <c r="Y689" t="s">
        <v>26651</v>
      </c>
      <c r="Z689" t="s">
        <v>26661</v>
      </c>
      <c r="AA689" t="s">
        <v>26683</v>
      </c>
      <c r="AB689" t="s">
        <v>27351</v>
      </c>
      <c r="AD689" t="s">
        <v>37417</v>
      </c>
      <c r="AE689">
        <v>43</v>
      </c>
      <c r="AF689" t="s">
        <v>20460</v>
      </c>
      <c r="AG689" t="s">
        <v>19330</v>
      </c>
      <c r="AH689">
        <v>8</v>
      </c>
      <c r="AI689">
        <v>1</v>
      </c>
      <c r="AJ689">
        <v>0</v>
      </c>
      <c r="AK689">
        <v>98.84999999999999</v>
      </c>
      <c r="AN689" t="s">
        <v>7439</v>
      </c>
      <c r="AO689">
        <v>12000</v>
      </c>
      <c r="AU689">
        <v>3.65</v>
      </c>
      <c r="AV689" t="s">
        <v>579</v>
      </c>
      <c r="AW689" t="s">
        <v>46845</v>
      </c>
    </row>
    <row r="690" spans="1:49">
      <c r="A690" s="1">
        <f>HYPERLINK("https://lsnyc.legalserver.org/matter/dynamic-profile/view/1872209","18-1872209")</f>
        <v>0</v>
      </c>
      <c r="B690" t="s">
        <v>128</v>
      </c>
      <c r="C690" t="s">
        <v>341</v>
      </c>
      <c r="D690" t="s">
        <v>439</v>
      </c>
      <c r="E690" t="s">
        <v>635</v>
      </c>
      <c r="F690" t="s">
        <v>1233</v>
      </c>
      <c r="G690" t="s">
        <v>5552</v>
      </c>
      <c r="H690" t="s">
        <v>10246</v>
      </c>
      <c r="I690" t="s">
        <v>17502</v>
      </c>
      <c r="J690" t="s">
        <v>18894</v>
      </c>
      <c r="K690">
        <v>11225</v>
      </c>
      <c r="L690" t="s">
        <v>18958</v>
      </c>
      <c r="M690" t="s">
        <v>18958</v>
      </c>
      <c r="N690" t="s">
        <v>19497</v>
      </c>
      <c r="O690" t="s">
        <v>26523</v>
      </c>
      <c r="P690" t="s">
        <v>26560</v>
      </c>
      <c r="Q690" t="s">
        <v>26568</v>
      </c>
      <c r="R690" t="s">
        <v>26588</v>
      </c>
      <c r="S690" t="s">
        <v>18959</v>
      </c>
      <c r="U690" t="s">
        <v>26604</v>
      </c>
      <c r="V690" t="s">
        <v>26610</v>
      </c>
      <c r="W690" t="s">
        <v>469</v>
      </c>
      <c r="X690">
        <v>538</v>
      </c>
      <c r="Y690" t="s">
        <v>26652</v>
      </c>
      <c r="Z690" t="s">
        <v>26669</v>
      </c>
      <c r="AA690" t="s">
        <v>26678</v>
      </c>
      <c r="AB690" t="s">
        <v>27352</v>
      </c>
      <c r="AD690" t="s">
        <v>37418</v>
      </c>
      <c r="AE690">
        <v>40</v>
      </c>
      <c r="AF690" t="s">
        <v>45541</v>
      </c>
      <c r="AG690" t="s">
        <v>19330</v>
      </c>
      <c r="AH690">
        <v>46</v>
      </c>
      <c r="AI690">
        <v>1</v>
      </c>
      <c r="AJ690">
        <v>0</v>
      </c>
      <c r="AK690">
        <v>125.83</v>
      </c>
      <c r="AN690" t="s">
        <v>7439</v>
      </c>
      <c r="AO690">
        <v>15276</v>
      </c>
      <c r="AQ690" t="s">
        <v>46359</v>
      </c>
      <c r="AR690" t="s">
        <v>46380</v>
      </c>
      <c r="AS690" t="s">
        <v>46499</v>
      </c>
      <c r="AT690" t="s">
        <v>46610</v>
      </c>
      <c r="AU690">
        <v>8.9</v>
      </c>
      <c r="AV690" t="s">
        <v>635</v>
      </c>
      <c r="AW690" t="s">
        <v>46853</v>
      </c>
    </row>
    <row r="691" spans="1:49">
      <c r="A691" s="1">
        <f>HYPERLINK("https://lsnyc.legalserver.org/matter/dynamic-profile/view/1872276","18-1872276")</f>
        <v>0</v>
      </c>
      <c r="B691" t="s">
        <v>202</v>
      </c>
      <c r="C691" t="s">
        <v>341</v>
      </c>
      <c r="D691" t="s">
        <v>439</v>
      </c>
      <c r="E691" t="s">
        <v>692</v>
      </c>
      <c r="F691" t="s">
        <v>1120</v>
      </c>
      <c r="G691" t="s">
        <v>5553</v>
      </c>
      <c r="H691" t="s">
        <v>10247</v>
      </c>
      <c r="I691" t="s">
        <v>17307</v>
      </c>
      <c r="J691" t="s">
        <v>18894</v>
      </c>
      <c r="K691">
        <v>11225</v>
      </c>
      <c r="L691" t="s">
        <v>18958</v>
      </c>
      <c r="M691" t="s">
        <v>18958</v>
      </c>
      <c r="N691" t="s">
        <v>19498</v>
      </c>
      <c r="O691" t="s">
        <v>26523</v>
      </c>
      <c r="P691" t="s">
        <v>26560</v>
      </c>
      <c r="Q691" t="s">
        <v>26568</v>
      </c>
      <c r="R691" t="s">
        <v>26588</v>
      </c>
      <c r="S691" t="s">
        <v>18959</v>
      </c>
      <c r="U691" t="s">
        <v>26604</v>
      </c>
      <c r="V691" t="s">
        <v>26610</v>
      </c>
      <c r="W691" t="s">
        <v>469</v>
      </c>
      <c r="X691">
        <v>1487</v>
      </c>
      <c r="Y691" t="s">
        <v>26652</v>
      </c>
      <c r="Z691" t="s">
        <v>26669</v>
      </c>
      <c r="AA691" t="s">
        <v>26678</v>
      </c>
      <c r="AB691" t="s">
        <v>27353</v>
      </c>
      <c r="AD691" t="s">
        <v>37419</v>
      </c>
      <c r="AE691">
        <v>20</v>
      </c>
      <c r="AF691" t="s">
        <v>45541</v>
      </c>
      <c r="AG691" t="s">
        <v>19330</v>
      </c>
      <c r="AH691">
        <v>9</v>
      </c>
      <c r="AI691">
        <v>2</v>
      </c>
      <c r="AJ691">
        <v>0</v>
      </c>
      <c r="AK691">
        <v>66.83</v>
      </c>
      <c r="AN691" t="s">
        <v>7439</v>
      </c>
      <c r="AO691">
        <v>11000</v>
      </c>
      <c r="AQ691" t="s">
        <v>46362</v>
      </c>
      <c r="AR691" t="s">
        <v>46381</v>
      </c>
      <c r="AS691" t="s">
        <v>46499</v>
      </c>
      <c r="AT691" t="s">
        <v>46642</v>
      </c>
      <c r="AU691">
        <v>4.35</v>
      </c>
      <c r="AV691" t="s">
        <v>692</v>
      </c>
      <c r="AW691" t="s">
        <v>281</v>
      </c>
    </row>
    <row r="692" spans="1:49">
      <c r="A692" s="1">
        <f>HYPERLINK("https://lsnyc.legalserver.org/matter/dynamic-profile/view/1872234","18-1872234")</f>
        <v>0</v>
      </c>
      <c r="B692" t="s">
        <v>180</v>
      </c>
      <c r="C692" t="s">
        <v>341</v>
      </c>
      <c r="D692" t="s">
        <v>439</v>
      </c>
      <c r="E692" t="s">
        <v>789</v>
      </c>
      <c r="F692" t="s">
        <v>1376</v>
      </c>
      <c r="G692" t="s">
        <v>3353</v>
      </c>
      <c r="H692" t="s">
        <v>10248</v>
      </c>
      <c r="I692" t="s">
        <v>17453</v>
      </c>
      <c r="J692" t="s">
        <v>18894</v>
      </c>
      <c r="K692">
        <v>11225</v>
      </c>
      <c r="L692" t="s">
        <v>18958</v>
      </c>
      <c r="M692" t="s">
        <v>18958</v>
      </c>
      <c r="N692" t="s">
        <v>19499</v>
      </c>
      <c r="O692" t="s">
        <v>26523</v>
      </c>
      <c r="P692" t="s">
        <v>26560</v>
      </c>
      <c r="Q692" t="s">
        <v>26568</v>
      </c>
      <c r="R692" t="s">
        <v>26588</v>
      </c>
      <c r="U692" t="s">
        <v>26604</v>
      </c>
      <c r="V692" t="s">
        <v>26611</v>
      </c>
      <c r="W692" t="s">
        <v>469</v>
      </c>
      <c r="X692">
        <v>864</v>
      </c>
      <c r="Y692" t="s">
        <v>26652</v>
      </c>
      <c r="Z692" t="s">
        <v>26669</v>
      </c>
      <c r="AA692" t="s">
        <v>26678</v>
      </c>
      <c r="AB692" t="s">
        <v>27354</v>
      </c>
      <c r="AD692" t="s">
        <v>37420</v>
      </c>
      <c r="AE692">
        <v>20</v>
      </c>
      <c r="AG692" t="s">
        <v>19330</v>
      </c>
      <c r="AH692">
        <v>36</v>
      </c>
      <c r="AI692">
        <v>1</v>
      </c>
      <c r="AJ692">
        <v>0</v>
      </c>
      <c r="AK692">
        <v>189.46</v>
      </c>
      <c r="AN692" t="s">
        <v>7439</v>
      </c>
      <c r="AO692">
        <v>23000</v>
      </c>
      <c r="AS692" t="s">
        <v>46499</v>
      </c>
      <c r="AT692" t="s">
        <v>46643</v>
      </c>
      <c r="AU692">
        <v>30.6</v>
      </c>
      <c r="AV692" t="s">
        <v>789</v>
      </c>
      <c r="AW692" t="s">
        <v>46853</v>
      </c>
    </row>
    <row r="693" spans="1:49">
      <c r="A693" s="1">
        <f>HYPERLINK("https://lsnyc.legalserver.org/matter/dynamic-profile/view/1872212","18-1872212")</f>
        <v>0</v>
      </c>
      <c r="B693" t="s">
        <v>162</v>
      </c>
      <c r="C693" t="s">
        <v>341</v>
      </c>
      <c r="D693" t="s">
        <v>439</v>
      </c>
      <c r="E693" t="s">
        <v>666</v>
      </c>
      <c r="F693" t="s">
        <v>1377</v>
      </c>
      <c r="G693" t="s">
        <v>5554</v>
      </c>
      <c r="H693" t="s">
        <v>10249</v>
      </c>
      <c r="I693" t="s">
        <v>17503</v>
      </c>
      <c r="J693" t="s">
        <v>18894</v>
      </c>
      <c r="K693">
        <v>11216</v>
      </c>
      <c r="L693" t="s">
        <v>18958</v>
      </c>
      <c r="M693" t="s">
        <v>18958</v>
      </c>
      <c r="N693" t="s">
        <v>19500</v>
      </c>
      <c r="O693" t="s">
        <v>26523</v>
      </c>
      <c r="P693" t="s">
        <v>26560</v>
      </c>
      <c r="Q693" t="s">
        <v>26568</v>
      </c>
      <c r="R693" t="s">
        <v>26588</v>
      </c>
      <c r="S693" t="s">
        <v>18959</v>
      </c>
      <c r="U693" t="s">
        <v>26604</v>
      </c>
      <c r="V693" t="s">
        <v>26610</v>
      </c>
      <c r="W693" t="s">
        <v>469</v>
      </c>
      <c r="X693">
        <v>1422</v>
      </c>
      <c r="Y693" t="s">
        <v>26652</v>
      </c>
      <c r="Z693" t="s">
        <v>26669</v>
      </c>
      <c r="AA693" t="s">
        <v>26678</v>
      </c>
      <c r="AB693" t="s">
        <v>27355</v>
      </c>
      <c r="AD693" t="s">
        <v>37421</v>
      </c>
      <c r="AE693">
        <v>24</v>
      </c>
      <c r="AF693" t="s">
        <v>45541</v>
      </c>
      <c r="AG693" t="s">
        <v>45556</v>
      </c>
      <c r="AH693">
        <v>9</v>
      </c>
      <c r="AI693">
        <v>1</v>
      </c>
      <c r="AJ693">
        <v>1</v>
      </c>
      <c r="AK693">
        <v>54.68</v>
      </c>
      <c r="AN693" t="s">
        <v>7439</v>
      </c>
      <c r="AO693">
        <v>9000</v>
      </c>
      <c r="AQ693" t="s">
        <v>46359</v>
      </c>
      <c r="AR693" t="s">
        <v>46380</v>
      </c>
      <c r="AS693" t="s">
        <v>46499</v>
      </c>
      <c r="AT693" t="s">
        <v>46518</v>
      </c>
      <c r="AU693">
        <v>9.1</v>
      </c>
      <c r="AV693" t="s">
        <v>666</v>
      </c>
      <c r="AW693" t="s">
        <v>46853</v>
      </c>
    </row>
    <row r="694" spans="1:49">
      <c r="A694" s="1">
        <f>HYPERLINK("https://lsnyc.legalserver.org/matter/dynamic-profile/view/1872235","18-1872235")</f>
        <v>0</v>
      </c>
      <c r="B694" t="s">
        <v>203</v>
      </c>
      <c r="C694" t="s">
        <v>341</v>
      </c>
      <c r="D694" t="s">
        <v>439</v>
      </c>
      <c r="E694" t="s">
        <v>494</v>
      </c>
      <c r="F694" t="s">
        <v>1378</v>
      </c>
      <c r="G694" t="s">
        <v>5555</v>
      </c>
      <c r="H694" t="s">
        <v>10250</v>
      </c>
      <c r="I694">
        <v>104</v>
      </c>
      <c r="J694" t="s">
        <v>18894</v>
      </c>
      <c r="K694">
        <v>11221</v>
      </c>
      <c r="L694" t="s">
        <v>18958</v>
      </c>
      <c r="M694" t="s">
        <v>18958</v>
      </c>
      <c r="N694" t="s">
        <v>19501</v>
      </c>
      <c r="O694" t="s">
        <v>26523</v>
      </c>
      <c r="P694" t="s">
        <v>26560</v>
      </c>
      <c r="Q694" t="s">
        <v>26568</v>
      </c>
      <c r="R694" t="s">
        <v>26588</v>
      </c>
      <c r="S694" t="s">
        <v>18959</v>
      </c>
      <c r="U694" t="s">
        <v>26604</v>
      </c>
      <c r="W694" t="s">
        <v>469</v>
      </c>
      <c r="X694">
        <v>800</v>
      </c>
      <c r="Y694" t="s">
        <v>26652</v>
      </c>
      <c r="Z694" t="s">
        <v>26669</v>
      </c>
      <c r="AA694" t="s">
        <v>26678</v>
      </c>
      <c r="AB694" t="s">
        <v>27356</v>
      </c>
      <c r="AD694" t="s">
        <v>37422</v>
      </c>
      <c r="AE694">
        <v>15</v>
      </c>
      <c r="AG694" t="s">
        <v>45562</v>
      </c>
      <c r="AH694">
        <v>2</v>
      </c>
      <c r="AI694">
        <v>1</v>
      </c>
      <c r="AJ694">
        <v>0</v>
      </c>
      <c r="AK694">
        <v>103.2</v>
      </c>
      <c r="AN694" t="s">
        <v>7439</v>
      </c>
      <c r="AO694">
        <v>12528</v>
      </c>
      <c r="AR694" t="s">
        <v>46381</v>
      </c>
      <c r="AS694" t="s">
        <v>46499</v>
      </c>
      <c r="AT694" t="s">
        <v>46644</v>
      </c>
      <c r="AU694">
        <v>4.6</v>
      </c>
      <c r="AV694" t="s">
        <v>583</v>
      </c>
      <c r="AW694" t="s">
        <v>281</v>
      </c>
    </row>
    <row r="695" spans="1:49">
      <c r="A695" s="1">
        <f>HYPERLINK("https://lsnyc.legalserver.org/matter/dynamic-profile/view/1872216","18-1872216")</f>
        <v>0</v>
      </c>
      <c r="B695" t="s">
        <v>204</v>
      </c>
      <c r="C695" t="s">
        <v>341</v>
      </c>
      <c r="D695" t="s">
        <v>439</v>
      </c>
      <c r="E695" t="s">
        <v>728</v>
      </c>
      <c r="F695" t="s">
        <v>1068</v>
      </c>
      <c r="G695" t="s">
        <v>5230</v>
      </c>
      <c r="H695" t="s">
        <v>10251</v>
      </c>
      <c r="I695" t="s">
        <v>17272</v>
      </c>
      <c r="J695" t="s">
        <v>18894</v>
      </c>
      <c r="K695">
        <v>11216</v>
      </c>
      <c r="L695" t="s">
        <v>18958</v>
      </c>
      <c r="M695" t="s">
        <v>18958</v>
      </c>
      <c r="N695" t="s">
        <v>19502</v>
      </c>
      <c r="O695" t="s">
        <v>26524</v>
      </c>
      <c r="P695" t="s">
        <v>26560</v>
      </c>
      <c r="Q695" t="s">
        <v>26573</v>
      </c>
      <c r="R695" t="s">
        <v>26588</v>
      </c>
      <c r="S695" t="s">
        <v>18959</v>
      </c>
      <c r="U695" t="s">
        <v>26604</v>
      </c>
      <c r="W695" t="s">
        <v>469</v>
      </c>
      <c r="X695">
        <v>766</v>
      </c>
      <c r="Y695" t="s">
        <v>26652</v>
      </c>
      <c r="Z695" t="s">
        <v>26669</v>
      </c>
      <c r="AA695" t="s">
        <v>26678</v>
      </c>
      <c r="AB695" t="s">
        <v>27357</v>
      </c>
      <c r="AD695" t="s">
        <v>37423</v>
      </c>
      <c r="AE695">
        <v>16</v>
      </c>
      <c r="AF695" t="s">
        <v>45541</v>
      </c>
      <c r="AG695" t="s">
        <v>19330</v>
      </c>
      <c r="AH695">
        <v>43</v>
      </c>
      <c r="AI695">
        <v>1</v>
      </c>
      <c r="AJ695">
        <v>2</v>
      </c>
      <c r="AK695">
        <v>192.49</v>
      </c>
      <c r="AN695" t="s">
        <v>7439</v>
      </c>
      <c r="AO695">
        <v>40000</v>
      </c>
      <c r="AQ695" t="s">
        <v>46361</v>
      </c>
      <c r="AR695" t="s">
        <v>46379</v>
      </c>
      <c r="AS695" t="s">
        <v>46499</v>
      </c>
      <c r="AT695" t="s">
        <v>46645</v>
      </c>
      <c r="AU695">
        <v>32.8</v>
      </c>
      <c r="AV695" t="s">
        <v>458</v>
      </c>
      <c r="AW695" t="s">
        <v>281</v>
      </c>
    </row>
    <row r="696" spans="1:49">
      <c r="A696" s="1">
        <f>HYPERLINK("https://lsnyc.legalserver.org/matter/dynamic-profile/view/1872251","18-1872251")</f>
        <v>0</v>
      </c>
      <c r="B696" t="s">
        <v>205</v>
      </c>
      <c r="C696" t="s">
        <v>341</v>
      </c>
      <c r="D696" t="s">
        <v>439</v>
      </c>
      <c r="E696" t="s">
        <v>440</v>
      </c>
      <c r="F696" t="s">
        <v>1197</v>
      </c>
      <c r="G696" t="s">
        <v>5556</v>
      </c>
      <c r="H696" t="s">
        <v>10252</v>
      </c>
      <c r="I696" t="s">
        <v>17393</v>
      </c>
      <c r="J696" t="s">
        <v>18894</v>
      </c>
      <c r="K696">
        <v>11233</v>
      </c>
      <c r="L696" t="s">
        <v>18958</v>
      </c>
      <c r="M696" t="s">
        <v>18958</v>
      </c>
      <c r="N696" t="s">
        <v>19503</v>
      </c>
      <c r="O696" t="s">
        <v>26524</v>
      </c>
      <c r="P696" t="s">
        <v>26564</v>
      </c>
      <c r="Q696" t="s">
        <v>26570</v>
      </c>
      <c r="R696" t="s">
        <v>26578</v>
      </c>
      <c r="S696" t="s">
        <v>18959</v>
      </c>
      <c r="U696" t="s">
        <v>26604</v>
      </c>
      <c r="W696" t="s">
        <v>469</v>
      </c>
      <c r="X696">
        <v>1300</v>
      </c>
      <c r="Y696" t="s">
        <v>26652</v>
      </c>
      <c r="Z696" t="s">
        <v>26662</v>
      </c>
      <c r="AA696" t="s">
        <v>26683</v>
      </c>
      <c r="AB696" t="s">
        <v>27358</v>
      </c>
      <c r="AC696" t="s">
        <v>34713</v>
      </c>
      <c r="AD696" t="s">
        <v>37424</v>
      </c>
      <c r="AE696">
        <v>2</v>
      </c>
      <c r="AG696" t="s">
        <v>19330</v>
      </c>
      <c r="AH696">
        <v>12</v>
      </c>
      <c r="AI696">
        <v>2</v>
      </c>
      <c r="AJ696">
        <v>2</v>
      </c>
      <c r="AK696">
        <v>132.57</v>
      </c>
      <c r="AN696" t="s">
        <v>45581</v>
      </c>
      <c r="AO696">
        <v>33276</v>
      </c>
      <c r="AP696" t="s">
        <v>45666</v>
      </c>
      <c r="AU696">
        <v>2.5</v>
      </c>
      <c r="AV696" t="s">
        <v>505</v>
      </c>
      <c r="AW696" t="s">
        <v>46853</v>
      </c>
    </row>
    <row r="697" spans="1:49">
      <c r="A697" s="1">
        <f>HYPERLINK("https://lsnyc.legalserver.org/matter/dynamic-profile/view/1872324","18-1872324")</f>
        <v>0</v>
      </c>
      <c r="B697" t="s">
        <v>56</v>
      </c>
      <c r="C697" t="s">
        <v>340</v>
      </c>
      <c r="D697" t="s">
        <v>439</v>
      </c>
      <c r="F697" t="s">
        <v>1200</v>
      </c>
      <c r="G697" t="s">
        <v>5121</v>
      </c>
      <c r="H697" t="s">
        <v>10253</v>
      </c>
      <c r="I697">
        <v>2</v>
      </c>
      <c r="J697" t="s">
        <v>18892</v>
      </c>
      <c r="K697">
        <v>10470</v>
      </c>
      <c r="L697" t="s">
        <v>18958</v>
      </c>
      <c r="M697" t="s">
        <v>18958</v>
      </c>
      <c r="N697" t="s">
        <v>19504</v>
      </c>
      <c r="O697" t="s">
        <v>26523</v>
      </c>
      <c r="P697" t="s">
        <v>26560</v>
      </c>
      <c r="R697" t="s">
        <v>26577</v>
      </c>
      <c r="U697" t="s">
        <v>26604</v>
      </c>
      <c r="V697" t="s">
        <v>26612</v>
      </c>
      <c r="W697" t="s">
        <v>469</v>
      </c>
      <c r="X697">
        <v>1956</v>
      </c>
      <c r="Y697" t="s">
        <v>26650</v>
      </c>
      <c r="Z697" t="s">
        <v>26662</v>
      </c>
      <c r="AB697" t="s">
        <v>27359</v>
      </c>
      <c r="AC697" t="s">
        <v>34714</v>
      </c>
      <c r="AD697" t="s">
        <v>37425</v>
      </c>
      <c r="AE697">
        <v>0</v>
      </c>
      <c r="AF697" t="s">
        <v>20460</v>
      </c>
      <c r="AG697" t="s">
        <v>45562</v>
      </c>
      <c r="AH697">
        <v>1</v>
      </c>
      <c r="AI697">
        <v>2</v>
      </c>
      <c r="AJ697">
        <v>3</v>
      </c>
      <c r="AK697">
        <v>40.79</v>
      </c>
      <c r="AO697">
        <v>12000</v>
      </c>
      <c r="AP697" t="s">
        <v>45668</v>
      </c>
      <c r="AR697" t="s">
        <v>46379</v>
      </c>
      <c r="AS697" t="s">
        <v>46499</v>
      </c>
      <c r="AT697" t="s">
        <v>46523</v>
      </c>
      <c r="AU697">
        <v>6.25</v>
      </c>
      <c r="AV697" t="s">
        <v>469</v>
      </c>
      <c r="AW697" t="s">
        <v>46848</v>
      </c>
    </row>
    <row r="698" spans="1:49">
      <c r="A698" s="1">
        <f>HYPERLINK("https://lsnyc.legalserver.org/matter/dynamic-profile/view/1872305","18-1872305")</f>
        <v>0</v>
      </c>
      <c r="B698" t="s">
        <v>144</v>
      </c>
      <c r="C698" t="s">
        <v>340</v>
      </c>
      <c r="D698" t="s">
        <v>446</v>
      </c>
      <c r="F698" t="s">
        <v>1379</v>
      </c>
      <c r="G698" t="s">
        <v>5557</v>
      </c>
      <c r="H698" t="s">
        <v>10254</v>
      </c>
      <c r="I698" t="s">
        <v>17362</v>
      </c>
      <c r="J698" t="s">
        <v>18893</v>
      </c>
      <c r="K698">
        <v>10030</v>
      </c>
      <c r="L698" t="s">
        <v>18958</v>
      </c>
      <c r="M698" t="s">
        <v>18958</v>
      </c>
      <c r="N698" t="s">
        <v>19505</v>
      </c>
      <c r="O698" t="s">
        <v>26524</v>
      </c>
      <c r="P698" t="s">
        <v>26564</v>
      </c>
      <c r="R698" t="s">
        <v>26582</v>
      </c>
      <c r="S698" t="s">
        <v>18959</v>
      </c>
      <c r="U698" t="s">
        <v>26604</v>
      </c>
      <c r="W698" t="s">
        <v>469</v>
      </c>
      <c r="X698">
        <v>1538</v>
      </c>
      <c r="Y698" t="s">
        <v>26651</v>
      </c>
      <c r="Z698" t="s">
        <v>26664</v>
      </c>
      <c r="AB698" t="s">
        <v>27360</v>
      </c>
      <c r="AD698" t="s">
        <v>37426</v>
      </c>
      <c r="AE698">
        <v>20</v>
      </c>
      <c r="AF698" t="s">
        <v>45541</v>
      </c>
      <c r="AG698" t="s">
        <v>19330</v>
      </c>
      <c r="AH698">
        <v>17</v>
      </c>
      <c r="AI698">
        <v>1</v>
      </c>
      <c r="AJ698">
        <v>2</v>
      </c>
      <c r="AK698">
        <v>75.45</v>
      </c>
      <c r="AN698" t="s">
        <v>7439</v>
      </c>
      <c r="AO698">
        <v>15678</v>
      </c>
      <c r="AU698">
        <v>1.25</v>
      </c>
      <c r="AV698" t="s">
        <v>836</v>
      </c>
      <c r="AW698" t="s">
        <v>314</v>
      </c>
    </row>
    <row r="699" spans="1:49">
      <c r="A699" s="1">
        <f>HYPERLINK("https://lsnyc.legalserver.org/matter/dynamic-profile/view/1872351","18-1872351")</f>
        <v>0</v>
      </c>
      <c r="B699" t="s">
        <v>144</v>
      </c>
      <c r="C699" t="s">
        <v>340</v>
      </c>
      <c r="D699" t="s">
        <v>446</v>
      </c>
      <c r="F699" t="s">
        <v>1380</v>
      </c>
      <c r="G699" t="s">
        <v>5347</v>
      </c>
      <c r="H699" t="s">
        <v>10255</v>
      </c>
      <c r="I699" t="s">
        <v>17504</v>
      </c>
      <c r="J699" t="s">
        <v>18893</v>
      </c>
      <c r="K699">
        <v>10027</v>
      </c>
      <c r="L699" t="s">
        <v>18958</v>
      </c>
      <c r="M699" t="s">
        <v>18958</v>
      </c>
      <c r="N699" t="s">
        <v>19506</v>
      </c>
      <c r="O699" t="s">
        <v>26523</v>
      </c>
      <c r="P699" t="s">
        <v>26560</v>
      </c>
      <c r="R699" t="s">
        <v>26580</v>
      </c>
      <c r="S699" t="s">
        <v>18959</v>
      </c>
      <c r="U699" t="s">
        <v>26605</v>
      </c>
      <c r="W699" t="s">
        <v>469</v>
      </c>
      <c r="X699">
        <v>988</v>
      </c>
      <c r="Y699" t="s">
        <v>26651</v>
      </c>
      <c r="Z699" t="s">
        <v>26662</v>
      </c>
      <c r="AB699" t="s">
        <v>27361</v>
      </c>
      <c r="AD699" t="s">
        <v>37427</v>
      </c>
      <c r="AE699">
        <v>1128</v>
      </c>
      <c r="AF699" t="s">
        <v>45549</v>
      </c>
      <c r="AG699" t="s">
        <v>19330</v>
      </c>
      <c r="AH699">
        <v>3</v>
      </c>
      <c r="AI699">
        <v>2</v>
      </c>
      <c r="AJ699">
        <v>1</v>
      </c>
      <c r="AK699">
        <v>187.68</v>
      </c>
      <c r="AN699" t="s">
        <v>7439</v>
      </c>
      <c r="AO699">
        <v>39000</v>
      </c>
      <c r="AU699">
        <v>18.7</v>
      </c>
      <c r="AV699" t="s">
        <v>704</v>
      </c>
      <c r="AW699" t="s">
        <v>314</v>
      </c>
    </row>
    <row r="700" spans="1:49">
      <c r="A700" s="1">
        <f>HYPERLINK("https://lsnyc.legalserver.org/matter/dynamic-profile/view/1872430","18-1872430")</f>
        <v>0</v>
      </c>
      <c r="B700" t="s">
        <v>56</v>
      </c>
      <c r="C700" t="s">
        <v>341</v>
      </c>
      <c r="D700" t="s">
        <v>408</v>
      </c>
      <c r="E700" t="s">
        <v>828</v>
      </c>
      <c r="F700" t="s">
        <v>1381</v>
      </c>
      <c r="G700" t="s">
        <v>5269</v>
      </c>
      <c r="H700" t="s">
        <v>10256</v>
      </c>
      <c r="I700" t="s">
        <v>17505</v>
      </c>
      <c r="J700" t="s">
        <v>18892</v>
      </c>
      <c r="K700">
        <v>10458</v>
      </c>
      <c r="L700" t="s">
        <v>18958</v>
      </c>
      <c r="M700" t="s">
        <v>18958</v>
      </c>
      <c r="N700" t="s">
        <v>19507</v>
      </c>
      <c r="O700" t="s">
        <v>26523</v>
      </c>
      <c r="P700" t="s">
        <v>26560</v>
      </c>
      <c r="Q700" t="s">
        <v>26568</v>
      </c>
      <c r="R700" t="s">
        <v>26577</v>
      </c>
      <c r="U700" t="s">
        <v>26604</v>
      </c>
      <c r="V700" t="s">
        <v>26612</v>
      </c>
      <c r="W700" t="s">
        <v>469</v>
      </c>
      <c r="X700">
        <v>1341</v>
      </c>
      <c r="Y700" t="s">
        <v>26650</v>
      </c>
      <c r="Z700" t="s">
        <v>26659</v>
      </c>
      <c r="AA700" t="s">
        <v>26678</v>
      </c>
      <c r="AB700" t="s">
        <v>27362</v>
      </c>
      <c r="AC700" t="s">
        <v>34715</v>
      </c>
      <c r="AD700" t="s">
        <v>37428</v>
      </c>
      <c r="AE700">
        <v>0</v>
      </c>
      <c r="AF700" t="s">
        <v>45541</v>
      </c>
      <c r="AG700" t="s">
        <v>45557</v>
      </c>
      <c r="AH700">
        <v>10</v>
      </c>
      <c r="AI700">
        <v>1</v>
      </c>
      <c r="AJ700">
        <v>2</v>
      </c>
      <c r="AK700">
        <v>84.83</v>
      </c>
      <c r="AN700" t="s">
        <v>7439</v>
      </c>
      <c r="AO700">
        <v>17628</v>
      </c>
      <c r="AS700" t="s">
        <v>46499</v>
      </c>
      <c r="AT700" t="s">
        <v>46646</v>
      </c>
      <c r="AU700">
        <v>13.7</v>
      </c>
      <c r="AV700" t="s">
        <v>451</v>
      </c>
      <c r="AW700" t="s">
        <v>46836</v>
      </c>
    </row>
    <row r="701" spans="1:49">
      <c r="A701" s="1">
        <f>HYPERLINK("https://lsnyc.legalserver.org/matter/dynamic-profile/view/1872729","18-1872729")</f>
        <v>0</v>
      </c>
      <c r="B701" t="s">
        <v>101</v>
      </c>
      <c r="C701" t="s">
        <v>341</v>
      </c>
      <c r="D701" t="s">
        <v>409</v>
      </c>
      <c r="E701" t="s">
        <v>469</v>
      </c>
      <c r="F701" t="s">
        <v>1091</v>
      </c>
      <c r="G701" t="s">
        <v>5558</v>
      </c>
      <c r="H701" t="s">
        <v>10257</v>
      </c>
      <c r="I701" t="s">
        <v>17282</v>
      </c>
      <c r="J701" t="s">
        <v>18894</v>
      </c>
      <c r="K701">
        <v>11206</v>
      </c>
      <c r="L701" t="s">
        <v>18958</v>
      </c>
      <c r="M701" t="s">
        <v>18958</v>
      </c>
      <c r="N701" t="s">
        <v>19508</v>
      </c>
      <c r="O701" t="s">
        <v>26523</v>
      </c>
      <c r="P701" t="s">
        <v>26560</v>
      </c>
      <c r="Q701" t="s">
        <v>26568</v>
      </c>
      <c r="R701" t="s">
        <v>26586</v>
      </c>
      <c r="S701" t="s">
        <v>18959</v>
      </c>
      <c r="U701" t="s">
        <v>26605</v>
      </c>
      <c r="W701" t="s">
        <v>469</v>
      </c>
      <c r="X701">
        <v>318</v>
      </c>
      <c r="Y701" t="s">
        <v>26652</v>
      </c>
      <c r="Z701" t="s">
        <v>26662</v>
      </c>
      <c r="AA701" t="s">
        <v>26680</v>
      </c>
      <c r="AB701" t="s">
        <v>27363</v>
      </c>
      <c r="AC701" t="s">
        <v>34716</v>
      </c>
      <c r="AD701" t="s">
        <v>37429</v>
      </c>
      <c r="AE701">
        <v>70</v>
      </c>
      <c r="AF701" t="s">
        <v>45542</v>
      </c>
      <c r="AG701" t="s">
        <v>26530</v>
      </c>
      <c r="AH701">
        <v>34</v>
      </c>
      <c r="AI701">
        <v>1</v>
      </c>
      <c r="AJ701">
        <v>0</v>
      </c>
      <c r="AK701">
        <v>59.31</v>
      </c>
      <c r="AN701" t="s">
        <v>7439</v>
      </c>
      <c r="AO701">
        <v>7200</v>
      </c>
      <c r="AS701" t="s">
        <v>46499</v>
      </c>
      <c r="AT701" t="s">
        <v>46523</v>
      </c>
      <c r="AU701">
        <v>1</v>
      </c>
      <c r="AV701" t="s">
        <v>447</v>
      </c>
      <c r="AW701" t="s">
        <v>46851</v>
      </c>
    </row>
    <row r="702" spans="1:49">
      <c r="A702" s="1">
        <f>HYPERLINK("https://lsnyc.legalserver.org/matter/dynamic-profile/view/1872574","18-1872574")</f>
        <v>0</v>
      </c>
      <c r="B702" t="s">
        <v>206</v>
      </c>
      <c r="C702" t="s">
        <v>341</v>
      </c>
      <c r="D702" t="s">
        <v>409</v>
      </c>
      <c r="E702" t="s">
        <v>854</v>
      </c>
      <c r="F702" t="s">
        <v>901</v>
      </c>
      <c r="G702" t="s">
        <v>5094</v>
      </c>
      <c r="H702" t="s">
        <v>10258</v>
      </c>
      <c r="I702" t="s">
        <v>17333</v>
      </c>
      <c r="J702" t="s">
        <v>18894</v>
      </c>
      <c r="K702">
        <v>11221</v>
      </c>
      <c r="L702" t="s">
        <v>18958</v>
      </c>
      <c r="M702" t="s">
        <v>18958</v>
      </c>
      <c r="N702" t="s">
        <v>19509</v>
      </c>
      <c r="O702" t="s">
        <v>26523</v>
      </c>
      <c r="P702" t="s">
        <v>26560</v>
      </c>
      <c r="Q702" t="s">
        <v>26568</v>
      </c>
      <c r="R702" t="s">
        <v>26588</v>
      </c>
      <c r="S702" t="s">
        <v>18959</v>
      </c>
      <c r="U702" t="s">
        <v>26604</v>
      </c>
      <c r="W702" t="s">
        <v>469</v>
      </c>
      <c r="X702">
        <v>1384</v>
      </c>
      <c r="Y702" t="s">
        <v>26652</v>
      </c>
      <c r="Z702" t="s">
        <v>26669</v>
      </c>
      <c r="AA702" t="s">
        <v>26678</v>
      </c>
      <c r="AB702" t="s">
        <v>27364</v>
      </c>
      <c r="AD702" t="s">
        <v>37430</v>
      </c>
      <c r="AE702">
        <v>59</v>
      </c>
      <c r="AF702" t="s">
        <v>45541</v>
      </c>
      <c r="AG702" t="s">
        <v>45556</v>
      </c>
      <c r="AH702">
        <v>11</v>
      </c>
      <c r="AI702">
        <v>1</v>
      </c>
      <c r="AJ702">
        <v>0</v>
      </c>
      <c r="AK702">
        <v>69</v>
      </c>
      <c r="AN702" t="s">
        <v>45581</v>
      </c>
      <c r="AO702">
        <v>8376</v>
      </c>
      <c r="AQ702" t="s">
        <v>46359</v>
      </c>
      <c r="AR702" t="s">
        <v>46379</v>
      </c>
      <c r="AS702" t="s">
        <v>46499</v>
      </c>
      <c r="AT702" t="s">
        <v>46647</v>
      </c>
      <c r="AU702">
        <v>13</v>
      </c>
      <c r="AV702" t="s">
        <v>26628</v>
      </c>
      <c r="AW702" t="s">
        <v>281</v>
      </c>
    </row>
    <row r="703" spans="1:49">
      <c r="A703" s="1">
        <f>HYPERLINK("https://lsnyc.legalserver.org/matter/dynamic-profile/view/1872688","18-1872688")</f>
        <v>0</v>
      </c>
      <c r="B703" t="s">
        <v>80</v>
      </c>
      <c r="C703" t="s">
        <v>341</v>
      </c>
      <c r="D703" t="s">
        <v>409</v>
      </c>
      <c r="E703" t="s">
        <v>583</v>
      </c>
      <c r="F703" t="s">
        <v>1163</v>
      </c>
      <c r="G703" t="s">
        <v>5559</v>
      </c>
      <c r="H703" t="s">
        <v>10259</v>
      </c>
      <c r="I703" t="s">
        <v>17506</v>
      </c>
      <c r="J703" t="s">
        <v>18893</v>
      </c>
      <c r="K703">
        <v>10002</v>
      </c>
      <c r="L703" t="s">
        <v>18958</v>
      </c>
      <c r="M703" t="s">
        <v>18958</v>
      </c>
      <c r="N703" t="s">
        <v>19510</v>
      </c>
      <c r="O703" t="s">
        <v>26523</v>
      </c>
      <c r="P703" t="s">
        <v>26564</v>
      </c>
      <c r="Q703" t="s">
        <v>26570</v>
      </c>
      <c r="R703" t="s">
        <v>26582</v>
      </c>
      <c r="U703" t="s">
        <v>26604</v>
      </c>
      <c r="V703" t="s">
        <v>26610</v>
      </c>
      <c r="W703" t="s">
        <v>469</v>
      </c>
      <c r="X703">
        <v>1097</v>
      </c>
      <c r="Y703" t="s">
        <v>26651</v>
      </c>
      <c r="Z703" t="s">
        <v>26664</v>
      </c>
      <c r="AA703" t="s">
        <v>26683</v>
      </c>
      <c r="AB703" t="s">
        <v>27365</v>
      </c>
      <c r="AC703" t="s">
        <v>34717</v>
      </c>
      <c r="AD703" t="s">
        <v>37431</v>
      </c>
      <c r="AE703">
        <v>1607</v>
      </c>
      <c r="AF703" t="s">
        <v>20460</v>
      </c>
      <c r="AG703" t="s">
        <v>19330</v>
      </c>
      <c r="AH703">
        <v>32</v>
      </c>
      <c r="AI703">
        <v>1</v>
      </c>
      <c r="AJ703">
        <v>1</v>
      </c>
      <c r="AK703">
        <v>18.32</v>
      </c>
      <c r="AN703" t="s">
        <v>7439</v>
      </c>
      <c r="AO703">
        <v>3016</v>
      </c>
      <c r="AU703">
        <v>0.1</v>
      </c>
      <c r="AV703" t="s">
        <v>583</v>
      </c>
      <c r="AW703" t="s">
        <v>46845</v>
      </c>
    </row>
    <row r="704" spans="1:49">
      <c r="A704" s="1">
        <f>HYPERLINK("https://lsnyc.legalserver.org/matter/dynamic-profile/view/1872795","18-1872795")</f>
        <v>0</v>
      </c>
      <c r="B704" t="s">
        <v>200</v>
      </c>
      <c r="C704" t="s">
        <v>341</v>
      </c>
      <c r="D704" t="s">
        <v>449</v>
      </c>
      <c r="E704" t="s">
        <v>697</v>
      </c>
      <c r="F704" t="s">
        <v>1382</v>
      </c>
      <c r="G704" t="s">
        <v>5560</v>
      </c>
      <c r="H704" t="s">
        <v>10260</v>
      </c>
      <c r="I704" t="s">
        <v>17507</v>
      </c>
      <c r="J704" t="s">
        <v>18894</v>
      </c>
      <c r="K704">
        <v>11207</v>
      </c>
      <c r="L704" t="s">
        <v>18958</v>
      </c>
      <c r="M704" t="s">
        <v>18958</v>
      </c>
      <c r="N704" t="s">
        <v>19511</v>
      </c>
      <c r="O704" t="s">
        <v>26523</v>
      </c>
      <c r="P704" t="s">
        <v>26560</v>
      </c>
      <c r="Q704" t="s">
        <v>26568</v>
      </c>
      <c r="R704" t="s">
        <v>26578</v>
      </c>
      <c r="S704" t="s">
        <v>18959</v>
      </c>
      <c r="U704" t="s">
        <v>26604</v>
      </c>
      <c r="V704" t="s">
        <v>26611</v>
      </c>
      <c r="W704" t="s">
        <v>469</v>
      </c>
      <c r="X704">
        <v>906</v>
      </c>
      <c r="Y704" t="s">
        <v>26652</v>
      </c>
      <c r="Z704" t="s">
        <v>26656</v>
      </c>
      <c r="AA704" t="s">
        <v>26678</v>
      </c>
      <c r="AB704" t="s">
        <v>27366</v>
      </c>
      <c r="AC704" t="s">
        <v>34718</v>
      </c>
      <c r="AD704" t="s">
        <v>37432</v>
      </c>
      <c r="AE704">
        <v>7</v>
      </c>
      <c r="AF704" t="s">
        <v>45541</v>
      </c>
      <c r="AG704" t="s">
        <v>19330</v>
      </c>
      <c r="AH704">
        <v>3</v>
      </c>
      <c r="AI704">
        <v>2</v>
      </c>
      <c r="AJ704">
        <v>1</v>
      </c>
      <c r="AK704">
        <v>63.73</v>
      </c>
      <c r="AN704" t="s">
        <v>7439</v>
      </c>
      <c r="AO704">
        <v>13244</v>
      </c>
      <c r="AP704" t="s">
        <v>45666</v>
      </c>
      <c r="AU704">
        <v>23.5</v>
      </c>
      <c r="AV704" t="s">
        <v>678</v>
      </c>
      <c r="AW704" t="s">
        <v>237</v>
      </c>
    </row>
    <row r="705" spans="1:50">
      <c r="A705" s="1">
        <f>HYPERLINK("https://lsnyc.legalserver.org/matter/dynamic-profile/view/1872981","18-1872981")</f>
        <v>0</v>
      </c>
      <c r="B705" t="s">
        <v>156</v>
      </c>
      <c r="C705" t="s">
        <v>341</v>
      </c>
      <c r="D705" t="s">
        <v>436</v>
      </c>
      <c r="E705" t="s">
        <v>477</v>
      </c>
      <c r="F705" t="s">
        <v>1383</v>
      </c>
      <c r="G705" t="s">
        <v>3100</v>
      </c>
      <c r="H705" t="s">
        <v>10261</v>
      </c>
      <c r="I705">
        <v>3</v>
      </c>
      <c r="J705" t="s">
        <v>18893</v>
      </c>
      <c r="K705">
        <v>10027</v>
      </c>
      <c r="L705" t="s">
        <v>18958</v>
      </c>
      <c r="M705" t="s">
        <v>18958</v>
      </c>
      <c r="N705" t="s">
        <v>19512</v>
      </c>
      <c r="O705" t="s">
        <v>26524</v>
      </c>
      <c r="P705" t="s">
        <v>26564</v>
      </c>
      <c r="Q705" t="s">
        <v>26570</v>
      </c>
      <c r="R705" t="s">
        <v>26578</v>
      </c>
      <c r="S705" t="s">
        <v>18959</v>
      </c>
      <c r="U705" t="s">
        <v>26604</v>
      </c>
      <c r="W705" t="s">
        <v>469</v>
      </c>
      <c r="X705">
        <v>1090</v>
      </c>
      <c r="Y705" t="s">
        <v>26651</v>
      </c>
      <c r="Z705" t="s">
        <v>26656</v>
      </c>
      <c r="AA705" t="s">
        <v>26683</v>
      </c>
      <c r="AB705" t="s">
        <v>27367</v>
      </c>
      <c r="AD705" t="s">
        <v>37433</v>
      </c>
      <c r="AE705">
        <v>0</v>
      </c>
      <c r="AF705" t="s">
        <v>45544</v>
      </c>
      <c r="AG705" t="s">
        <v>19330</v>
      </c>
      <c r="AH705">
        <v>4</v>
      </c>
      <c r="AI705">
        <v>2</v>
      </c>
      <c r="AJ705">
        <v>0</v>
      </c>
      <c r="AK705">
        <v>126.37</v>
      </c>
      <c r="AN705" t="s">
        <v>7439</v>
      </c>
      <c r="AO705">
        <v>20800</v>
      </c>
      <c r="AU705">
        <v>0.3</v>
      </c>
      <c r="AV705" t="s">
        <v>476</v>
      </c>
      <c r="AW705" t="s">
        <v>314</v>
      </c>
    </row>
    <row r="706" spans="1:50">
      <c r="A706" s="1">
        <f>HYPERLINK("https://lsnyc.legalserver.org/matter/dynamic-profile/view/1872944","18-1872944")</f>
        <v>0</v>
      </c>
      <c r="B706" t="s">
        <v>204</v>
      </c>
      <c r="C706" t="s">
        <v>341</v>
      </c>
      <c r="D706" t="s">
        <v>436</v>
      </c>
      <c r="E706" t="s">
        <v>577</v>
      </c>
      <c r="F706" t="s">
        <v>1384</v>
      </c>
      <c r="G706" t="s">
        <v>5561</v>
      </c>
      <c r="H706" t="s">
        <v>10262</v>
      </c>
      <c r="I706">
        <v>9</v>
      </c>
      <c r="J706" t="s">
        <v>18894</v>
      </c>
      <c r="K706">
        <v>11216</v>
      </c>
      <c r="L706" t="s">
        <v>18958</v>
      </c>
      <c r="M706" t="s">
        <v>18958</v>
      </c>
      <c r="N706" t="s">
        <v>19513</v>
      </c>
      <c r="O706" t="s">
        <v>26524</v>
      </c>
      <c r="P706" t="s">
        <v>26560</v>
      </c>
      <c r="Q706" t="s">
        <v>26568</v>
      </c>
      <c r="R706" t="s">
        <v>26588</v>
      </c>
      <c r="S706" t="s">
        <v>18959</v>
      </c>
      <c r="U706" t="s">
        <v>26604</v>
      </c>
      <c r="W706" t="s">
        <v>469</v>
      </c>
      <c r="X706">
        <v>913.71</v>
      </c>
      <c r="Y706" t="s">
        <v>26652</v>
      </c>
      <c r="Z706" t="s">
        <v>26659</v>
      </c>
      <c r="AA706" t="s">
        <v>26678</v>
      </c>
      <c r="AB706" t="s">
        <v>27368</v>
      </c>
      <c r="AC706" t="s">
        <v>34719</v>
      </c>
      <c r="AD706" t="s">
        <v>37434</v>
      </c>
      <c r="AE706">
        <v>23</v>
      </c>
      <c r="AF706" t="s">
        <v>45541</v>
      </c>
      <c r="AG706" t="s">
        <v>19330</v>
      </c>
      <c r="AH706">
        <v>18</v>
      </c>
      <c r="AI706">
        <v>4</v>
      </c>
      <c r="AJ706">
        <v>2</v>
      </c>
      <c r="AK706">
        <v>121.28</v>
      </c>
      <c r="AN706" t="s">
        <v>7439</v>
      </c>
      <c r="AO706">
        <v>40920</v>
      </c>
      <c r="AQ706" t="s">
        <v>46372</v>
      </c>
      <c r="AR706" t="s">
        <v>46419</v>
      </c>
      <c r="AS706" t="s">
        <v>46499</v>
      </c>
      <c r="AT706" t="s">
        <v>46536</v>
      </c>
      <c r="AU706">
        <v>27.7</v>
      </c>
      <c r="AV706" t="s">
        <v>577</v>
      </c>
      <c r="AW706" t="s">
        <v>237</v>
      </c>
    </row>
    <row r="707" spans="1:50">
      <c r="A707" s="1">
        <f>HYPERLINK("https://lsnyc.legalserver.org/matter/dynamic-profile/view/1872878","18-1872878")</f>
        <v>0</v>
      </c>
      <c r="B707" t="s">
        <v>200</v>
      </c>
      <c r="C707" t="s">
        <v>341</v>
      </c>
      <c r="D707" t="s">
        <v>436</v>
      </c>
      <c r="E707" t="s">
        <v>572</v>
      </c>
      <c r="F707" t="s">
        <v>1385</v>
      </c>
      <c r="G707" t="s">
        <v>5562</v>
      </c>
      <c r="H707" t="s">
        <v>10263</v>
      </c>
      <c r="I707" t="s">
        <v>17508</v>
      </c>
      <c r="J707" t="s">
        <v>18894</v>
      </c>
      <c r="K707">
        <v>11212</v>
      </c>
      <c r="L707" t="s">
        <v>18958</v>
      </c>
      <c r="M707" t="s">
        <v>18958</v>
      </c>
      <c r="N707" t="s">
        <v>19514</v>
      </c>
      <c r="O707" t="s">
        <v>26524</v>
      </c>
      <c r="P707" t="s">
        <v>26564</v>
      </c>
      <c r="Q707" t="s">
        <v>26570</v>
      </c>
      <c r="R707" t="s">
        <v>26578</v>
      </c>
      <c r="S707" t="s">
        <v>18959</v>
      </c>
      <c r="U707" t="s">
        <v>26604</v>
      </c>
      <c r="W707" t="s">
        <v>469</v>
      </c>
      <c r="X707">
        <v>850</v>
      </c>
      <c r="Y707" t="s">
        <v>26652</v>
      </c>
      <c r="Z707" t="s">
        <v>26656</v>
      </c>
      <c r="AA707" t="s">
        <v>26683</v>
      </c>
      <c r="AB707" t="s">
        <v>27369</v>
      </c>
      <c r="AC707" t="s">
        <v>34720</v>
      </c>
      <c r="AD707" t="s">
        <v>37435</v>
      </c>
      <c r="AE707">
        <v>2</v>
      </c>
      <c r="AF707" t="s">
        <v>45541</v>
      </c>
      <c r="AG707" t="s">
        <v>19330</v>
      </c>
      <c r="AH707">
        <v>1</v>
      </c>
      <c r="AI707">
        <v>1</v>
      </c>
      <c r="AJ707">
        <v>1</v>
      </c>
      <c r="AK707">
        <v>0</v>
      </c>
      <c r="AN707" t="s">
        <v>7439</v>
      </c>
      <c r="AO707">
        <v>0</v>
      </c>
      <c r="AP707" t="s">
        <v>45666</v>
      </c>
      <c r="AU707">
        <v>2.4</v>
      </c>
      <c r="AV707" t="s">
        <v>436</v>
      </c>
      <c r="AW707" t="s">
        <v>237</v>
      </c>
    </row>
    <row r="708" spans="1:50">
      <c r="A708" s="1">
        <f>HYPERLINK("https://lsnyc.legalserver.org/matter/dynamic-profile/view/1872958","18-1872958")</f>
        <v>0</v>
      </c>
      <c r="B708" t="s">
        <v>207</v>
      </c>
      <c r="C708" t="s">
        <v>341</v>
      </c>
      <c r="D708" t="s">
        <v>436</v>
      </c>
      <c r="E708" t="s">
        <v>635</v>
      </c>
      <c r="F708" t="s">
        <v>1163</v>
      </c>
      <c r="G708" t="s">
        <v>5563</v>
      </c>
      <c r="H708" t="s">
        <v>10264</v>
      </c>
      <c r="I708">
        <v>3</v>
      </c>
      <c r="J708" t="s">
        <v>18894</v>
      </c>
      <c r="K708">
        <v>11221</v>
      </c>
      <c r="L708" t="s">
        <v>18958</v>
      </c>
      <c r="M708" t="s">
        <v>18958</v>
      </c>
      <c r="N708" t="s">
        <v>19515</v>
      </c>
      <c r="O708" t="s">
        <v>26523</v>
      </c>
      <c r="P708" t="s">
        <v>26560</v>
      </c>
      <c r="Q708" t="s">
        <v>26573</v>
      </c>
      <c r="R708" t="s">
        <v>26588</v>
      </c>
      <c r="U708" t="s">
        <v>26604</v>
      </c>
      <c r="W708" t="s">
        <v>469</v>
      </c>
      <c r="X708">
        <v>2500</v>
      </c>
      <c r="Y708" t="s">
        <v>26652</v>
      </c>
      <c r="Z708" t="s">
        <v>26669</v>
      </c>
      <c r="AA708" t="s">
        <v>26678</v>
      </c>
      <c r="AB708" t="s">
        <v>27370</v>
      </c>
      <c r="AD708" t="s">
        <v>37436</v>
      </c>
      <c r="AE708">
        <v>9</v>
      </c>
      <c r="AG708" t="s">
        <v>19330</v>
      </c>
      <c r="AH708">
        <v>4</v>
      </c>
      <c r="AI708">
        <v>1</v>
      </c>
      <c r="AJ708">
        <v>0</v>
      </c>
      <c r="AK708">
        <v>85.40000000000001</v>
      </c>
      <c r="AN708" t="s">
        <v>7439</v>
      </c>
      <c r="AO708">
        <v>10368</v>
      </c>
      <c r="AQ708" t="s">
        <v>46359</v>
      </c>
      <c r="AR708" t="s">
        <v>46380</v>
      </c>
      <c r="AS708" t="s">
        <v>46499</v>
      </c>
      <c r="AT708" t="s">
        <v>46505</v>
      </c>
      <c r="AU708">
        <v>4.65</v>
      </c>
      <c r="AV708" t="s">
        <v>579</v>
      </c>
      <c r="AW708" t="s">
        <v>281</v>
      </c>
    </row>
    <row r="709" spans="1:50">
      <c r="A709" s="1">
        <f>HYPERLINK("https://lsnyc.legalserver.org/matter/dynamic-profile/view/1872932","18-1872932")</f>
        <v>0</v>
      </c>
      <c r="B709" t="s">
        <v>129</v>
      </c>
      <c r="C709" t="s">
        <v>340</v>
      </c>
      <c r="D709" t="s">
        <v>436</v>
      </c>
      <c r="F709" t="s">
        <v>1386</v>
      </c>
      <c r="G709" t="s">
        <v>5564</v>
      </c>
      <c r="H709" t="s">
        <v>10265</v>
      </c>
      <c r="I709" t="s">
        <v>17509</v>
      </c>
      <c r="J709" t="s">
        <v>18894</v>
      </c>
      <c r="K709">
        <v>11221</v>
      </c>
      <c r="L709" t="s">
        <v>18958</v>
      </c>
      <c r="M709" t="s">
        <v>18958</v>
      </c>
      <c r="N709" t="s">
        <v>19516</v>
      </c>
      <c r="O709" t="s">
        <v>26523</v>
      </c>
      <c r="P709" t="s">
        <v>26560</v>
      </c>
      <c r="R709" t="s">
        <v>26588</v>
      </c>
      <c r="S709" t="s">
        <v>18959</v>
      </c>
      <c r="U709" t="s">
        <v>26604</v>
      </c>
      <c r="V709" t="s">
        <v>26610</v>
      </c>
      <c r="W709" t="s">
        <v>469</v>
      </c>
      <c r="X709">
        <v>1250</v>
      </c>
      <c r="Y709" t="s">
        <v>26652</v>
      </c>
      <c r="Z709" t="s">
        <v>26669</v>
      </c>
      <c r="AB709" t="s">
        <v>27371</v>
      </c>
      <c r="AD709" t="s">
        <v>37437</v>
      </c>
      <c r="AE709">
        <v>7</v>
      </c>
      <c r="AH709">
        <v>2</v>
      </c>
      <c r="AI709">
        <v>1</v>
      </c>
      <c r="AJ709">
        <v>1</v>
      </c>
      <c r="AK709">
        <v>0</v>
      </c>
      <c r="AN709" t="s">
        <v>7439</v>
      </c>
      <c r="AO709">
        <v>0</v>
      </c>
      <c r="AQ709" t="s">
        <v>46362</v>
      </c>
      <c r="AR709" t="s">
        <v>46406</v>
      </c>
      <c r="AS709" t="s">
        <v>46500</v>
      </c>
      <c r="AT709" t="s">
        <v>46518</v>
      </c>
      <c r="AU709">
        <v>11.75</v>
      </c>
      <c r="AV709" t="s">
        <v>704</v>
      </c>
      <c r="AW709" t="s">
        <v>46853</v>
      </c>
      <c r="AX709" t="s">
        <v>46897</v>
      </c>
    </row>
    <row r="710" spans="1:50">
      <c r="A710" s="1">
        <f>HYPERLINK("https://lsnyc.legalserver.org/matter/dynamic-profile/view/1873011","18-1873011")</f>
        <v>0</v>
      </c>
      <c r="B710" t="s">
        <v>149</v>
      </c>
      <c r="C710" t="s">
        <v>340</v>
      </c>
      <c r="D710" t="s">
        <v>440</v>
      </c>
      <c r="F710" t="s">
        <v>1119</v>
      </c>
      <c r="G710" t="s">
        <v>5565</v>
      </c>
      <c r="H710" t="s">
        <v>10266</v>
      </c>
      <c r="I710" t="s">
        <v>17362</v>
      </c>
      <c r="J710" t="s">
        <v>18892</v>
      </c>
      <c r="K710">
        <v>10460</v>
      </c>
      <c r="L710" t="s">
        <v>18958</v>
      </c>
      <c r="M710" t="s">
        <v>18958</v>
      </c>
      <c r="N710" t="s">
        <v>19517</v>
      </c>
      <c r="O710" t="s">
        <v>26523</v>
      </c>
      <c r="P710" t="s">
        <v>26560</v>
      </c>
      <c r="R710" t="s">
        <v>26578</v>
      </c>
      <c r="S710" t="s">
        <v>18959</v>
      </c>
      <c r="U710" t="s">
        <v>26604</v>
      </c>
      <c r="V710" t="s">
        <v>26610</v>
      </c>
      <c r="W710" t="s">
        <v>469</v>
      </c>
      <c r="X710">
        <v>1379.07</v>
      </c>
      <c r="Y710" t="s">
        <v>26650</v>
      </c>
      <c r="Z710" t="s">
        <v>26656</v>
      </c>
      <c r="AB710" t="s">
        <v>27372</v>
      </c>
      <c r="AC710" t="s">
        <v>34721</v>
      </c>
      <c r="AD710" t="s">
        <v>37438</v>
      </c>
      <c r="AE710">
        <v>34</v>
      </c>
      <c r="AF710" t="s">
        <v>45541</v>
      </c>
      <c r="AG710" t="s">
        <v>45556</v>
      </c>
      <c r="AH710">
        <v>10</v>
      </c>
      <c r="AI710">
        <v>1</v>
      </c>
      <c r="AJ710">
        <v>0</v>
      </c>
      <c r="AK710">
        <v>84.12</v>
      </c>
      <c r="AN710" t="s">
        <v>7439</v>
      </c>
      <c r="AO710">
        <v>10212</v>
      </c>
      <c r="AQ710" t="s">
        <v>46362</v>
      </c>
      <c r="AU710">
        <v>51.55</v>
      </c>
      <c r="AV710" t="s">
        <v>797</v>
      </c>
      <c r="AW710" t="s">
        <v>46842</v>
      </c>
    </row>
    <row r="711" spans="1:50">
      <c r="A711" s="1">
        <f>HYPERLINK("https://lsnyc.legalserver.org/matter/dynamic-profile/view/1873195","18-1873195")</f>
        <v>0</v>
      </c>
      <c r="B711" t="s">
        <v>122</v>
      </c>
      <c r="C711" t="s">
        <v>341</v>
      </c>
      <c r="D711" t="s">
        <v>410</v>
      </c>
      <c r="E711" t="s">
        <v>533</v>
      </c>
      <c r="F711" t="s">
        <v>1387</v>
      </c>
      <c r="G711" t="s">
        <v>5566</v>
      </c>
      <c r="H711" t="s">
        <v>10267</v>
      </c>
      <c r="I711">
        <v>2</v>
      </c>
      <c r="J711" t="s">
        <v>18898</v>
      </c>
      <c r="K711">
        <v>11691</v>
      </c>
      <c r="L711" t="s">
        <v>18958</v>
      </c>
      <c r="M711" t="s">
        <v>18958</v>
      </c>
      <c r="N711" t="s">
        <v>19518</v>
      </c>
      <c r="O711" t="s">
        <v>26524</v>
      </c>
      <c r="P711" t="s">
        <v>26564</v>
      </c>
      <c r="Q711" t="s">
        <v>26570</v>
      </c>
      <c r="R711" t="s">
        <v>26578</v>
      </c>
      <c r="S711" t="s">
        <v>18959</v>
      </c>
      <c r="U711" t="s">
        <v>26604</v>
      </c>
      <c r="V711" t="s">
        <v>26610</v>
      </c>
      <c r="W711" t="s">
        <v>469</v>
      </c>
      <c r="X711">
        <v>1515</v>
      </c>
      <c r="Y711" t="s">
        <v>26653</v>
      </c>
      <c r="Z711" t="s">
        <v>26664</v>
      </c>
      <c r="AA711" t="s">
        <v>26689</v>
      </c>
      <c r="AB711" t="s">
        <v>27373</v>
      </c>
      <c r="AC711" t="s">
        <v>34722</v>
      </c>
      <c r="AD711" t="s">
        <v>37439</v>
      </c>
      <c r="AE711">
        <v>2</v>
      </c>
      <c r="AF711" t="s">
        <v>45547</v>
      </c>
      <c r="AG711" t="s">
        <v>45557</v>
      </c>
      <c r="AH711">
        <v>3</v>
      </c>
      <c r="AI711">
        <v>1</v>
      </c>
      <c r="AJ711">
        <v>2</v>
      </c>
      <c r="AK711">
        <v>68.81999999999999</v>
      </c>
      <c r="AN711" t="s">
        <v>7439</v>
      </c>
      <c r="AO711">
        <v>14300</v>
      </c>
      <c r="AU711">
        <v>1.4</v>
      </c>
      <c r="AV711" t="s">
        <v>533</v>
      </c>
      <c r="AW711" t="s">
        <v>122</v>
      </c>
    </row>
    <row r="712" spans="1:50">
      <c r="A712" s="1">
        <f>HYPERLINK("https://lsnyc.legalserver.org/matter/dynamic-profile/view/1873252","18-1873252")</f>
        <v>0</v>
      </c>
      <c r="B712" t="s">
        <v>206</v>
      </c>
      <c r="C712" t="s">
        <v>341</v>
      </c>
      <c r="D712" t="s">
        <v>410</v>
      </c>
      <c r="E712" t="s">
        <v>735</v>
      </c>
      <c r="F712" t="s">
        <v>886</v>
      </c>
      <c r="G712" t="s">
        <v>5567</v>
      </c>
      <c r="H712" t="s">
        <v>10268</v>
      </c>
      <c r="I712" t="s">
        <v>17307</v>
      </c>
      <c r="J712" t="s">
        <v>18894</v>
      </c>
      <c r="K712">
        <v>11221</v>
      </c>
      <c r="L712" t="s">
        <v>18958</v>
      </c>
      <c r="M712" t="s">
        <v>18958</v>
      </c>
      <c r="N712" t="s">
        <v>19519</v>
      </c>
      <c r="O712" t="s">
        <v>26523</v>
      </c>
      <c r="P712" t="s">
        <v>26560</v>
      </c>
      <c r="Q712" t="s">
        <v>26573</v>
      </c>
      <c r="R712" t="s">
        <v>26588</v>
      </c>
      <c r="S712" t="s">
        <v>18959</v>
      </c>
      <c r="U712" t="s">
        <v>26604</v>
      </c>
      <c r="W712" t="s">
        <v>469</v>
      </c>
      <c r="X712">
        <v>1419</v>
      </c>
      <c r="Y712" t="s">
        <v>26652</v>
      </c>
      <c r="Z712" t="s">
        <v>26669</v>
      </c>
      <c r="AA712" t="s">
        <v>26678</v>
      </c>
      <c r="AB712" t="s">
        <v>26887</v>
      </c>
      <c r="AD712" t="s">
        <v>37440</v>
      </c>
      <c r="AE712">
        <v>35</v>
      </c>
      <c r="AF712" t="s">
        <v>45541</v>
      </c>
      <c r="AG712" t="s">
        <v>19330</v>
      </c>
      <c r="AH712">
        <v>7</v>
      </c>
      <c r="AI712">
        <v>2</v>
      </c>
      <c r="AJ712">
        <v>3</v>
      </c>
      <c r="AK712">
        <v>48.99</v>
      </c>
      <c r="AN712" t="s">
        <v>7439</v>
      </c>
      <c r="AO712">
        <v>14412</v>
      </c>
      <c r="AS712" t="s">
        <v>46499</v>
      </c>
      <c r="AT712" t="s">
        <v>46506</v>
      </c>
      <c r="AU712">
        <v>14.25</v>
      </c>
      <c r="AV712" t="s">
        <v>618</v>
      </c>
      <c r="AW712" t="s">
        <v>281</v>
      </c>
    </row>
    <row r="713" spans="1:50">
      <c r="A713" s="1">
        <f>HYPERLINK("https://lsnyc.legalserver.org/matter/dynamic-profile/view/1873803","18-1873803")</f>
        <v>0</v>
      </c>
      <c r="B713" t="s">
        <v>149</v>
      </c>
      <c r="C713" t="s">
        <v>341</v>
      </c>
      <c r="D713" t="s">
        <v>464</v>
      </c>
      <c r="E713" t="s">
        <v>494</v>
      </c>
      <c r="F713" t="s">
        <v>1388</v>
      </c>
      <c r="G713" t="s">
        <v>5568</v>
      </c>
      <c r="H713" t="s">
        <v>10269</v>
      </c>
      <c r="I713">
        <v>409</v>
      </c>
      <c r="J713" t="s">
        <v>18892</v>
      </c>
      <c r="K713">
        <v>10460</v>
      </c>
      <c r="L713" t="s">
        <v>18958</v>
      </c>
      <c r="M713" t="s">
        <v>18958</v>
      </c>
      <c r="O713" t="s">
        <v>18997</v>
      </c>
      <c r="P713" t="s">
        <v>26564</v>
      </c>
      <c r="Q713" t="s">
        <v>26570</v>
      </c>
      <c r="R713" t="s">
        <v>26589</v>
      </c>
      <c r="S713" t="s">
        <v>18959</v>
      </c>
      <c r="U713" t="s">
        <v>26604</v>
      </c>
      <c r="W713" t="s">
        <v>469</v>
      </c>
      <c r="X713">
        <v>1479</v>
      </c>
      <c r="Y713" t="s">
        <v>26650</v>
      </c>
      <c r="Z713" t="s">
        <v>26671</v>
      </c>
      <c r="AA713" t="s">
        <v>26683</v>
      </c>
      <c r="AB713" t="s">
        <v>27374</v>
      </c>
      <c r="AC713" t="s">
        <v>34723</v>
      </c>
      <c r="AD713" t="s">
        <v>37441</v>
      </c>
      <c r="AE713">
        <v>6</v>
      </c>
      <c r="AF713" t="s">
        <v>45548</v>
      </c>
      <c r="AG713" t="s">
        <v>45557</v>
      </c>
      <c r="AH713">
        <v>2</v>
      </c>
      <c r="AI713">
        <v>1</v>
      </c>
      <c r="AJ713">
        <v>3</v>
      </c>
      <c r="AK713">
        <v>76.48999999999999</v>
      </c>
      <c r="AL713" t="s">
        <v>45567</v>
      </c>
      <c r="AM713" t="s">
        <v>45577</v>
      </c>
      <c r="AN713" t="s">
        <v>45581</v>
      </c>
      <c r="AO713">
        <v>19200</v>
      </c>
      <c r="AU713">
        <v>3.3</v>
      </c>
      <c r="AV713" t="s">
        <v>637</v>
      </c>
      <c r="AW713" t="s">
        <v>248</v>
      </c>
    </row>
    <row r="714" spans="1:50">
      <c r="A714" s="1">
        <f>HYPERLINK("https://lsnyc.legalserver.org/matter/dynamic-profile/view/1873395","18-1873395")</f>
        <v>0</v>
      </c>
      <c r="B714" t="s">
        <v>204</v>
      </c>
      <c r="C714" t="s">
        <v>341</v>
      </c>
      <c r="D714" t="s">
        <v>464</v>
      </c>
      <c r="E714" t="s">
        <v>813</v>
      </c>
      <c r="F714" t="s">
        <v>1389</v>
      </c>
      <c r="G714" t="s">
        <v>5569</v>
      </c>
      <c r="H714" t="s">
        <v>10270</v>
      </c>
      <c r="I714" t="s">
        <v>17301</v>
      </c>
      <c r="J714" t="s">
        <v>18894</v>
      </c>
      <c r="K714">
        <v>11221</v>
      </c>
      <c r="L714" t="s">
        <v>18958</v>
      </c>
      <c r="M714" t="s">
        <v>18958</v>
      </c>
      <c r="N714" t="s">
        <v>19520</v>
      </c>
      <c r="O714" t="s">
        <v>26523</v>
      </c>
      <c r="P714" t="s">
        <v>26560</v>
      </c>
      <c r="Q714" t="s">
        <v>26573</v>
      </c>
      <c r="R714" t="s">
        <v>26588</v>
      </c>
      <c r="U714" t="s">
        <v>26604</v>
      </c>
      <c r="V714" t="s">
        <v>26610</v>
      </c>
      <c r="W714" t="s">
        <v>469</v>
      </c>
      <c r="X714">
        <v>1428</v>
      </c>
      <c r="Y714" t="s">
        <v>26652</v>
      </c>
      <c r="Z714" t="s">
        <v>26669</v>
      </c>
      <c r="AA714" t="s">
        <v>26678</v>
      </c>
      <c r="AB714" t="s">
        <v>27375</v>
      </c>
      <c r="AD714" t="s">
        <v>37442</v>
      </c>
      <c r="AE714">
        <v>36</v>
      </c>
      <c r="AF714" t="s">
        <v>45541</v>
      </c>
      <c r="AG714" t="s">
        <v>45556</v>
      </c>
      <c r="AH714">
        <v>8</v>
      </c>
      <c r="AI714">
        <v>1</v>
      </c>
      <c r="AJ714">
        <v>2</v>
      </c>
      <c r="AK714">
        <v>0</v>
      </c>
      <c r="AN714" t="s">
        <v>7439</v>
      </c>
      <c r="AO714">
        <v>0</v>
      </c>
      <c r="AQ714" t="s">
        <v>46359</v>
      </c>
      <c r="AR714" t="s">
        <v>46379</v>
      </c>
      <c r="AS714" t="s">
        <v>46499</v>
      </c>
      <c r="AT714" t="s">
        <v>46648</v>
      </c>
      <c r="AU714">
        <v>16.8</v>
      </c>
      <c r="AV714" t="s">
        <v>813</v>
      </c>
      <c r="AW714" t="s">
        <v>281</v>
      </c>
    </row>
    <row r="715" spans="1:50">
      <c r="A715" s="1">
        <f>HYPERLINK("https://lsnyc.legalserver.org/matter/dynamic-profile/view/1873388","18-1873388")</f>
        <v>0</v>
      </c>
      <c r="B715" t="s">
        <v>173</v>
      </c>
      <c r="C715" t="s">
        <v>341</v>
      </c>
      <c r="D715" t="s">
        <v>464</v>
      </c>
      <c r="E715" t="s">
        <v>494</v>
      </c>
      <c r="F715" t="s">
        <v>1390</v>
      </c>
      <c r="G715" t="s">
        <v>5570</v>
      </c>
      <c r="H715" t="s">
        <v>10271</v>
      </c>
      <c r="I715">
        <v>43</v>
      </c>
      <c r="J715" t="s">
        <v>18893</v>
      </c>
      <c r="K715">
        <v>10032</v>
      </c>
      <c r="L715" t="s">
        <v>18958</v>
      </c>
      <c r="M715" t="s">
        <v>18958</v>
      </c>
      <c r="N715" t="s">
        <v>19521</v>
      </c>
      <c r="O715" t="s">
        <v>26523</v>
      </c>
      <c r="P715" t="s">
        <v>26564</v>
      </c>
      <c r="Q715" t="s">
        <v>26570</v>
      </c>
      <c r="R715" t="s">
        <v>26582</v>
      </c>
      <c r="S715" t="s">
        <v>18959</v>
      </c>
      <c r="U715" t="s">
        <v>26604</v>
      </c>
      <c r="W715" t="s">
        <v>469</v>
      </c>
      <c r="X715">
        <v>1600</v>
      </c>
      <c r="Y715" t="s">
        <v>26651</v>
      </c>
      <c r="Z715" t="s">
        <v>26664</v>
      </c>
      <c r="AA715" t="s">
        <v>26683</v>
      </c>
      <c r="AB715" t="s">
        <v>27376</v>
      </c>
      <c r="AD715" t="s">
        <v>37443</v>
      </c>
      <c r="AE715">
        <v>30</v>
      </c>
      <c r="AF715" t="s">
        <v>45544</v>
      </c>
      <c r="AG715" t="s">
        <v>19330</v>
      </c>
      <c r="AH715">
        <v>4</v>
      </c>
      <c r="AI715">
        <v>1</v>
      </c>
      <c r="AJ715">
        <v>0</v>
      </c>
      <c r="AK715">
        <v>52.72</v>
      </c>
      <c r="AN715" t="s">
        <v>7439</v>
      </c>
      <c r="AO715">
        <v>6400</v>
      </c>
      <c r="AU715">
        <v>0.25</v>
      </c>
      <c r="AV715" t="s">
        <v>26637</v>
      </c>
      <c r="AW715" t="s">
        <v>300</v>
      </c>
    </row>
    <row r="716" spans="1:50">
      <c r="A716" s="1">
        <f>HYPERLINK("https://lsnyc.legalserver.org/matter/dynamic-profile/view/1873425","18-1873425")</f>
        <v>0</v>
      </c>
      <c r="B716" t="s">
        <v>173</v>
      </c>
      <c r="C716" t="s">
        <v>341</v>
      </c>
      <c r="D716" t="s">
        <v>464</v>
      </c>
      <c r="E716" t="s">
        <v>494</v>
      </c>
      <c r="F716" t="s">
        <v>1391</v>
      </c>
      <c r="G716" t="s">
        <v>5571</v>
      </c>
      <c r="H716" t="s">
        <v>10272</v>
      </c>
      <c r="I716" t="s">
        <v>17510</v>
      </c>
      <c r="J716" t="s">
        <v>18893</v>
      </c>
      <c r="K716">
        <v>10033</v>
      </c>
      <c r="L716" t="s">
        <v>18958</v>
      </c>
      <c r="M716" t="s">
        <v>18958</v>
      </c>
      <c r="N716" t="s">
        <v>19522</v>
      </c>
      <c r="O716" t="s">
        <v>26523</v>
      </c>
      <c r="P716" t="s">
        <v>26564</v>
      </c>
      <c r="Q716" t="s">
        <v>26570</v>
      </c>
      <c r="R716" t="s">
        <v>26582</v>
      </c>
      <c r="S716" t="s">
        <v>18959</v>
      </c>
      <c r="U716" t="s">
        <v>26604</v>
      </c>
      <c r="W716" t="s">
        <v>469</v>
      </c>
      <c r="X716">
        <v>1482.47</v>
      </c>
      <c r="Y716" t="s">
        <v>26651</v>
      </c>
      <c r="Z716" t="s">
        <v>26664</v>
      </c>
      <c r="AA716" t="s">
        <v>26683</v>
      </c>
      <c r="AB716" t="s">
        <v>27377</v>
      </c>
      <c r="AD716" t="s">
        <v>37444</v>
      </c>
      <c r="AE716">
        <v>485</v>
      </c>
      <c r="AF716" t="s">
        <v>45541</v>
      </c>
      <c r="AG716" t="s">
        <v>19330</v>
      </c>
      <c r="AH716">
        <v>13</v>
      </c>
      <c r="AI716">
        <v>1</v>
      </c>
      <c r="AJ716">
        <v>0</v>
      </c>
      <c r="AK716">
        <v>172.98</v>
      </c>
      <c r="AN716" t="s">
        <v>45581</v>
      </c>
      <c r="AO716">
        <v>21000</v>
      </c>
      <c r="AU716">
        <v>0.1</v>
      </c>
      <c r="AV716" t="s">
        <v>458</v>
      </c>
      <c r="AW716" t="s">
        <v>314</v>
      </c>
    </row>
    <row r="717" spans="1:50">
      <c r="A717" s="1">
        <f>HYPERLINK("https://lsnyc.legalserver.org/matter/dynamic-profile/view/1873452","18-1873452")</f>
        <v>0</v>
      </c>
      <c r="B717" t="s">
        <v>125</v>
      </c>
      <c r="C717" t="s">
        <v>340</v>
      </c>
      <c r="D717" t="s">
        <v>465</v>
      </c>
      <c r="F717" t="s">
        <v>1392</v>
      </c>
      <c r="G717" t="s">
        <v>5572</v>
      </c>
      <c r="H717" t="s">
        <v>10273</v>
      </c>
      <c r="I717" t="s">
        <v>17390</v>
      </c>
      <c r="J717" t="s">
        <v>18894</v>
      </c>
      <c r="K717">
        <v>11208</v>
      </c>
      <c r="L717" t="s">
        <v>18958</v>
      </c>
      <c r="M717" t="s">
        <v>18958</v>
      </c>
      <c r="N717" t="s">
        <v>19523</v>
      </c>
      <c r="O717" t="s">
        <v>26523</v>
      </c>
      <c r="P717" t="s">
        <v>26560</v>
      </c>
      <c r="R717" t="s">
        <v>26578</v>
      </c>
      <c r="U717" t="s">
        <v>26604</v>
      </c>
      <c r="W717" t="s">
        <v>469</v>
      </c>
      <c r="X717">
        <v>1020</v>
      </c>
      <c r="Y717" t="s">
        <v>26652</v>
      </c>
      <c r="Z717" t="s">
        <v>26662</v>
      </c>
      <c r="AB717" t="s">
        <v>27378</v>
      </c>
      <c r="AC717" t="s">
        <v>34724</v>
      </c>
      <c r="AD717" t="s">
        <v>37445</v>
      </c>
      <c r="AE717">
        <v>20</v>
      </c>
      <c r="AG717" t="s">
        <v>19330</v>
      </c>
      <c r="AH717">
        <v>12</v>
      </c>
      <c r="AI717">
        <v>4</v>
      </c>
      <c r="AJ717">
        <v>1</v>
      </c>
      <c r="AK717">
        <v>81.58</v>
      </c>
      <c r="AN717" t="s">
        <v>7439</v>
      </c>
      <c r="AO717">
        <v>24000</v>
      </c>
      <c r="AU717">
        <v>24.35</v>
      </c>
      <c r="AV717" t="s">
        <v>754</v>
      </c>
      <c r="AW717" t="s">
        <v>46853</v>
      </c>
    </row>
    <row r="718" spans="1:50">
      <c r="A718" s="1">
        <f>HYPERLINK("https://lsnyc.legalserver.org/matter/dynamic-profile/view/1873500","18-1873500")</f>
        <v>0</v>
      </c>
      <c r="B718" t="s">
        <v>77</v>
      </c>
      <c r="C718" t="s">
        <v>341</v>
      </c>
      <c r="D718" t="s">
        <v>447</v>
      </c>
      <c r="E718" t="s">
        <v>461</v>
      </c>
      <c r="F718" t="s">
        <v>1393</v>
      </c>
      <c r="G718" t="s">
        <v>5573</v>
      </c>
      <c r="H718" t="s">
        <v>10274</v>
      </c>
      <c r="I718" t="s">
        <v>17379</v>
      </c>
      <c r="J718" t="s">
        <v>18893</v>
      </c>
      <c r="K718">
        <v>10031</v>
      </c>
      <c r="L718" t="s">
        <v>18958</v>
      </c>
      <c r="M718" t="s">
        <v>18958</v>
      </c>
      <c r="N718" t="s">
        <v>19524</v>
      </c>
      <c r="O718" t="s">
        <v>26523</v>
      </c>
      <c r="P718" t="s">
        <v>26564</v>
      </c>
      <c r="Q718" t="s">
        <v>26570</v>
      </c>
      <c r="R718" t="s">
        <v>26578</v>
      </c>
      <c r="S718" t="s">
        <v>18959</v>
      </c>
      <c r="U718" t="s">
        <v>26604</v>
      </c>
      <c r="W718" t="s">
        <v>469</v>
      </c>
      <c r="X718">
        <v>1279.77</v>
      </c>
      <c r="Y718" t="s">
        <v>26651</v>
      </c>
      <c r="Z718" t="s">
        <v>26659</v>
      </c>
      <c r="AA718" t="s">
        <v>26683</v>
      </c>
      <c r="AB718" t="s">
        <v>27379</v>
      </c>
      <c r="AD718" t="s">
        <v>37446</v>
      </c>
      <c r="AE718">
        <v>74</v>
      </c>
      <c r="AF718" t="s">
        <v>45548</v>
      </c>
      <c r="AG718" t="s">
        <v>45559</v>
      </c>
      <c r="AH718">
        <v>40</v>
      </c>
      <c r="AI718">
        <v>1</v>
      </c>
      <c r="AJ718">
        <v>2</v>
      </c>
      <c r="AK718">
        <v>93.31999999999999</v>
      </c>
      <c r="AN718" t="s">
        <v>7439</v>
      </c>
      <c r="AO718">
        <v>19392</v>
      </c>
      <c r="AU718">
        <v>0.8</v>
      </c>
      <c r="AV718" t="s">
        <v>461</v>
      </c>
      <c r="AW718" t="s">
        <v>314</v>
      </c>
    </row>
    <row r="719" spans="1:50">
      <c r="A719" s="1">
        <f>HYPERLINK("https://lsnyc.legalserver.org/matter/dynamic-profile/view/1873469","18-1873469")</f>
        <v>0</v>
      </c>
      <c r="B719" t="s">
        <v>204</v>
      </c>
      <c r="C719" t="s">
        <v>341</v>
      </c>
      <c r="D719" t="s">
        <v>447</v>
      </c>
      <c r="E719" t="s">
        <v>667</v>
      </c>
      <c r="F719" t="s">
        <v>1394</v>
      </c>
      <c r="G719" t="s">
        <v>5574</v>
      </c>
      <c r="H719" t="s">
        <v>10275</v>
      </c>
      <c r="I719">
        <v>1</v>
      </c>
      <c r="J719" t="s">
        <v>18894</v>
      </c>
      <c r="K719">
        <v>11221</v>
      </c>
      <c r="L719" t="s">
        <v>18958</v>
      </c>
      <c r="M719" t="s">
        <v>18958</v>
      </c>
      <c r="N719" t="s">
        <v>19525</v>
      </c>
      <c r="O719" t="s">
        <v>26524</v>
      </c>
      <c r="P719" t="s">
        <v>26560</v>
      </c>
      <c r="Q719" t="s">
        <v>26575</v>
      </c>
      <c r="R719" t="s">
        <v>26588</v>
      </c>
      <c r="U719" t="s">
        <v>26604</v>
      </c>
      <c r="W719" t="s">
        <v>469</v>
      </c>
      <c r="X719">
        <v>1000</v>
      </c>
      <c r="Y719" t="s">
        <v>26652</v>
      </c>
      <c r="Z719" t="s">
        <v>26669</v>
      </c>
      <c r="AA719" t="s">
        <v>26678</v>
      </c>
      <c r="AB719" t="s">
        <v>27380</v>
      </c>
      <c r="AD719" t="s">
        <v>37447</v>
      </c>
      <c r="AE719">
        <v>0</v>
      </c>
      <c r="AF719" t="s">
        <v>45547</v>
      </c>
      <c r="AG719" t="s">
        <v>19330</v>
      </c>
      <c r="AH719">
        <v>1</v>
      </c>
      <c r="AI719">
        <v>1</v>
      </c>
      <c r="AJ719">
        <v>0</v>
      </c>
      <c r="AK719">
        <v>181.22</v>
      </c>
      <c r="AN719" t="s">
        <v>7439</v>
      </c>
      <c r="AO719">
        <v>22000</v>
      </c>
      <c r="AS719" t="s">
        <v>46499</v>
      </c>
      <c r="AT719" t="s">
        <v>46535</v>
      </c>
      <c r="AU719">
        <v>28.7</v>
      </c>
      <c r="AV719" t="s">
        <v>623</v>
      </c>
      <c r="AW719" t="s">
        <v>281</v>
      </c>
    </row>
    <row r="720" spans="1:50">
      <c r="A720" s="1">
        <f>HYPERLINK("https://lsnyc.legalserver.org/matter/dynamic-profile/view/1873571","18-1873571")</f>
        <v>0</v>
      </c>
      <c r="B720" t="s">
        <v>167</v>
      </c>
      <c r="C720" t="s">
        <v>340</v>
      </c>
      <c r="D720" t="s">
        <v>447</v>
      </c>
      <c r="F720" t="s">
        <v>1282</v>
      </c>
      <c r="G720" t="s">
        <v>5575</v>
      </c>
      <c r="H720" t="s">
        <v>10276</v>
      </c>
      <c r="I720" t="s">
        <v>17511</v>
      </c>
      <c r="J720" t="s">
        <v>18894</v>
      </c>
      <c r="K720">
        <v>11225</v>
      </c>
      <c r="L720" t="s">
        <v>18958</v>
      </c>
      <c r="M720" t="s">
        <v>18958</v>
      </c>
      <c r="N720" t="s">
        <v>19526</v>
      </c>
      <c r="O720" t="s">
        <v>26524</v>
      </c>
      <c r="P720" t="s">
        <v>26560</v>
      </c>
      <c r="R720" t="s">
        <v>26588</v>
      </c>
      <c r="S720" t="s">
        <v>18959</v>
      </c>
      <c r="U720" t="s">
        <v>26604</v>
      </c>
      <c r="V720" t="s">
        <v>26610</v>
      </c>
      <c r="W720" t="s">
        <v>469</v>
      </c>
      <c r="X720">
        <v>1314</v>
      </c>
      <c r="Y720" t="s">
        <v>26652</v>
      </c>
      <c r="Z720" t="s">
        <v>26669</v>
      </c>
      <c r="AB720" t="s">
        <v>27381</v>
      </c>
      <c r="AC720" t="s">
        <v>34725</v>
      </c>
      <c r="AE720">
        <v>165</v>
      </c>
      <c r="AH720">
        <v>6</v>
      </c>
      <c r="AI720">
        <v>1</v>
      </c>
      <c r="AJ720">
        <v>0</v>
      </c>
      <c r="AK720">
        <v>41.52</v>
      </c>
      <c r="AN720" t="s">
        <v>7439</v>
      </c>
      <c r="AO720">
        <v>5040</v>
      </c>
      <c r="AQ720" t="s">
        <v>46362</v>
      </c>
      <c r="AR720" t="s">
        <v>46381</v>
      </c>
      <c r="AS720" t="s">
        <v>46499</v>
      </c>
      <c r="AT720" t="s">
        <v>46528</v>
      </c>
      <c r="AU720">
        <v>31.2</v>
      </c>
      <c r="AV720" t="s">
        <v>452</v>
      </c>
      <c r="AW720" t="s">
        <v>46862</v>
      </c>
    </row>
    <row r="721" spans="1:49">
      <c r="A721" s="1">
        <f>HYPERLINK("https://lsnyc.legalserver.org/matter/dynamic-profile/view/1873617","18-1873617")</f>
        <v>0</v>
      </c>
      <c r="B721" t="s">
        <v>134</v>
      </c>
      <c r="C721" t="s">
        <v>341</v>
      </c>
      <c r="D721" t="s">
        <v>476</v>
      </c>
      <c r="E721" t="s">
        <v>526</v>
      </c>
      <c r="F721" t="s">
        <v>1395</v>
      </c>
      <c r="G721" t="s">
        <v>5169</v>
      </c>
      <c r="H721" t="s">
        <v>10277</v>
      </c>
      <c r="I721">
        <v>2</v>
      </c>
      <c r="J721" t="s">
        <v>18894</v>
      </c>
      <c r="K721">
        <v>11208</v>
      </c>
      <c r="L721" t="s">
        <v>18958</v>
      </c>
      <c r="M721" t="s">
        <v>18958</v>
      </c>
      <c r="N721" t="s">
        <v>19527</v>
      </c>
      <c r="O721" t="s">
        <v>26524</v>
      </c>
      <c r="P721" t="s">
        <v>26564</v>
      </c>
      <c r="Q721" t="s">
        <v>26570</v>
      </c>
      <c r="R721" t="s">
        <v>26578</v>
      </c>
      <c r="S721" t="s">
        <v>18959</v>
      </c>
      <c r="U721" t="s">
        <v>26604</v>
      </c>
      <c r="W721" t="s">
        <v>469</v>
      </c>
      <c r="X721">
        <v>2000</v>
      </c>
      <c r="Y721" t="s">
        <v>26652</v>
      </c>
      <c r="Z721" t="s">
        <v>26662</v>
      </c>
      <c r="AA721" t="s">
        <v>26683</v>
      </c>
      <c r="AB721" t="s">
        <v>27382</v>
      </c>
      <c r="AC721" t="s">
        <v>34726</v>
      </c>
      <c r="AE721">
        <v>3</v>
      </c>
      <c r="AF721" t="s">
        <v>45547</v>
      </c>
      <c r="AG721" t="s">
        <v>19330</v>
      </c>
      <c r="AH721">
        <v>-1</v>
      </c>
      <c r="AI721">
        <v>2</v>
      </c>
      <c r="AJ721">
        <v>2</v>
      </c>
      <c r="AK721">
        <v>107.73</v>
      </c>
      <c r="AN721" t="s">
        <v>45581</v>
      </c>
      <c r="AO721">
        <v>27040</v>
      </c>
      <c r="AU721">
        <v>11.3</v>
      </c>
      <c r="AV721" t="s">
        <v>515</v>
      </c>
      <c r="AW721" t="s">
        <v>281</v>
      </c>
    </row>
    <row r="722" spans="1:49">
      <c r="A722" s="1">
        <f>HYPERLINK("https://lsnyc.legalserver.org/matter/dynamic-profile/view/1873770","18-1873770")</f>
        <v>0</v>
      </c>
      <c r="B722" t="s">
        <v>208</v>
      </c>
      <c r="C722" t="s">
        <v>341</v>
      </c>
      <c r="D722" t="s">
        <v>466</v>
      </c>
      <c r="E722" t="s">
        <v>533</v>
      </c>
      <c r="F722" t="s">
        <v>1039</v>
      </c>
      <c r="G722" t="s">
        <v>5576</v>
      </c>
      <c r="H722" t="s">
        <v>10278</v>
      </c>
      <c r="I722">
        <v>102</v>
      </c>
      <c r="J722" t="s">
        <v>18905</v>
      </c>
      <c r="K722">
        <v>11692</v>
      </c>
      <c r="L722" t="s">
        <v>18958</v>
      </c>
      <c r="M722" t="s">
        <v>18958</v>
      </c>
      <c r="N722" t="s">
        <v>19528</v>
      </c>
      <c r="O722" t="s">
        <v>26523</v>
      </c>
      <c r="P722" t="s">
        <v>26564</v>
      </c>
      <c r="Q722" t="s">
        <v>26570</v>
      </c>
      <c r="R722" t="s">
        <v>26578</v>
      </c>
      <c r="S722" t="s">
        <v>18959</v>
      </c>
      <c r="U722" t="s">
        <v>26604</v>
      </c>
      <c r="V722" t="s">
        <v>26610</v>
      </c>
      <c r="W722" t="s">
        <v>469</v>
      </c>
      <c r="X722">
        <v>2350</v>
      </c>
      <c r="Y722" t="s">
        <v>26653</v>
      </c>
      <c r="Z722" t="s">
        <v>26664</v>
      </c>
      <c r="AA722" t="s">
        <v>26683</v>
      </c>
      <c r="AB722" t="s">
        <v>27383</v>
      </c>
      <c r="AC722" t="s">
        <v>34727</v>
      </c>
      <c r="AD722" t="s">
        <v>37448</v>
      </c>
      <c r="AE722">
        <v>1091</v>
      </c>
      <c r="AF722" t="s">
        <v>45550</v>
      </c>
      <c r="AG722" t="s">
        <v>45556</v>
      </c>
      <c r="AH722">
        <v>26</v>
      </c>
      <c r="AI722">
        <v>1</v>
      </c>
      <c r="AJ722">
        <v>2</v>
      </c>
      <c r="AK722">
        <v>87.58</v>
      </c>
      <c r="AN722" t="s">
        <v>7439</v>
      </c>
      <c r="AO722">
        <v>18200</v>
      </c>
      <c r="AU722">
        <v>0.3</v>
      </c>
      <c r="AV722" t="s">
        <v>533</v>
      </c>
      <c r="AW722" t="s">
        <v>208</v>
      </c>
    </row>
    <row r="723" spans="1:49">
      <c r="A723" s="1">
        <f>HYPERLINK("https://lsnyc.legalserver.org/matter/dynamic-profile/view/1873710","18-1873710")</f>
        <v>0</v>
      </c>
      <c r="B723" t="s">
        <v>121</v>
      </c>
      <c r="C723" t="s">
        <v>341</v>
      </c>
      <c r="D723" t="s">
        <v>466</v>
      </c>
      <c r="E723" t="s">
        <v>683</v>
      </c>
      <c r="F723" t="s">
        <v>1396</v>
      </c>
      <c r="G723" t="s">
        <v>5138</v>
      </c>
      <c r="H723" t="s">
        <v>10279</v>
      </c>
      <c r="I723" t="s">
        <v>17512</v>
      </c>
      <c r="J723" t="s">
        <v>18892</v>
      </c>
      <c r="K723">
        <v>10451</v>
      </c>
      <c r="L723" t="s">
        <v>18958</v>
      </c>
      <c r="M723" t="s">
        <v>18958</v>
      </c>
      <c r="N723" t="s">
        <v>19529</v>
      </c>
      <c r="O723" t="s">
        <v>26523</v>
      </c>
      <c r="P723" t="s">
        <v>26564</v>
      </c>
      <c r="Q723" t="s">
        <v>26570</v>
      </c>
      <c r="R723" t="s">
        <v>26577</v>
      </c>
      <c r="U723" t="s">
        <v>26604</v>
      </c>
      <c r="V723" t="s">
        <v>26612</v>
      </c>
      <c r="W723" t="s">
        <v>469</v>
      </c>
      <c r="X723">
        <v>1078</v>
      </c>
      <c r="Y723" t="s">
        <v>26650</v>
      </c>
      <c r="AA723" t="s">
        <v>26683</v>
      </c>
      <c r="AB723" t="s">
        <v>27384</v>
      </c>
      <c r="AD723" t="s">
        <v>37449</v>
      </c>
      <c r="AE723">
        <v>60</v>
      </c>
      <c r="AF723" t="s">
        <v>45541</v>
      </c>
      <c r="AG723" t="s">
        <v>19330</v>
      </c>
      <c r="AH723">
        <v>28</v>
      </c>
      <c r="AI723">
        <v>2</v>
      </c>
      <c r="AJ723">
        <v>0</v>
      </c>
      <c r="AK723">
        <v>11.22</v>
      </c>
      <c r="AN723" t="s">
        <v>45581</v>
      </c>
      <c r="AO723">
        <v>1846</v>
      </c>
      <c r="AU723">
        <v>4.8</v>
      </c>
      <c r="AV723" t="s">
        <v>645</v>
      </c>
      <c r="AW723" t="s">
        <v>46849</v>
      </c>
    </row>
    <row r="724" spans="1:49">
      <c r="A724" s="1">
        <f>HYPERLINK("https://lsnyc.legalserver.org/matter/dynamic-profile/view/1873918","18-1873918")</f>
        <v>0</v>
      </c>
      <c r="B724" t="s">
        <v>107</v>
      </c>
      <c r="C724" t="s">
        <v>341</v>
      </c>
      <c r="D724" t="s">
        <v>469</v>
      </c>
      <c r="E724" t="s">
        <v>512</v>
      </c>
      <c r="F724" t="s">
        <v>1128</v>
      </c>
      <c r="G724" t="s">
        <v>5577</v>
      </c>
      <c r="H724" t="s">
        <v>10280</v>
      </c>
      <c r="I724" t="s">
        <v>17309</v>
      </c>
      <c r="J724" t="s">
        <v>18913</v>
      </c>
      <c r="K724">
        <v>11102</v>
      </c>
      <c r="L724" t="s">
        <v>18958</v>
      </c>
      <c r="M724" t="s">
        <v>18958</v>
      </c>
      <c r="N724" t="s">
        <v>19530</v>
      </c>
      <c r="O724" t="s">
        <v>26523</v>
      </c>
      <c r="P724" t="s">
        <v>26564</v>
      </c>
      <c r="Q724" t="s">
        <v>26570</v>
      </c>
      <c r="R724" t="s">
        <v>26584</v>
      </c>
      <c r="S724" t="s">
        <v>18959</v>
      </c>
      <c r="U724" t="s">
        <v>26604</v>
      </c>
      <c r="V724" t="s">
        <v>26610</v>
      </c>
      <c r="W724" t="s">
        <v>469</v>
      </c>
      <c r="X724">
        <v>1268</v>
      </c>
      <c r="Y724" t="s">
        <v>26653</v>
      </c>
      <c r="Z724" t="s">
        <v>26656</v>
      </c>
      <c r="AA724" t="s">
        <v>26683</v>
      </c>
      <c r="AB724" t="s">
        <v>27385</v>
      </c>
      <c r="AC724" t="s">
        <v>34728</v>
      </c>
      <c r="AD724" t="s">
        <v>37450</v>
      </c>
      <c r="AE724">
        <v>6</v>
      </c>
      <c r="AF724" t="s">
        <v>45541</v>
      </c>
      <c r="AG724" t="s">
        <v>45562</v>
      </c>
      <c r="AH724">
        <v>3</v>
      </c>
      <c r="AI724">
        <v>2</v>
      </c>
      <c r="AJ724">
        <v>0</v>
      </c>
      <c r="AK724">
        <v>68.09</v>
      </c>
      <c r="AO724">
        <v>11208</v>
      </c>
      <c r="AU724">
        <v>1.7</v>
      </c>
      <c r="AV724" t="s">
        <v>651</v>
      </c>
      <c r="AW724" t="s">
        <v>107</v>
      </c>
    </row>
    <row r="725" spans="1:49">
      <c r="A725" s="1">
        <f>HYPERLINK("https://lsnyc.legalserver.org/matter/dynamic-profile/view/1873964","18-1873964")</f>
        <v>0</v>
      </c>
      <c r="B725" t="s">
        <v>156</v>
      </c>
      <c r="C725" t="s">
        <v>341</v>
      </c>
      <c r="D725" t="s">
        <v>469</v>
      </c>
      <c r="E725" t="s">
        <v>521</v>
      </c>
      <c r="F725" t="s">
        <v>1397</v>
      </c>
      <c r="G725" t="s">
        <v>5578</v>
      </c>
      <c r="H725" t="s">
        <v>9674</v>
      </c>
      <c r="I725" t="s">
        <v>17307</v>
      </c>
      <c r="J725" t="s">
        <v>18893</v>
      </c>
      <c r="K725">
        <v>10036</v>
      </c>
      <c r="L725" t="s">
        <v>18958</v>
      </c>
      <c r="M725" t="s">
        <v>18958</v>
      </c>
      <c r="N725" t="s">
        <v>19531</v>
      </c>
      <c r="O725" t="s">
        <v>26524</v>
      </c>
      <c r="P725" t="s">
        <v>26564</v>
      </c>
      <c r="Q725" t="s">
        <v>26570</v>
      </c>
      <c r="R725" t="s">
        <v>26582</v>
      </c>
      <c r="S725" t="s">
        <v>18959</v>
      </c>
      <c r="U725" t="s">
        <v>26604</v>
      </c>
      <c r="W725" t="s">
        <v>469</v>
      </c>
      <c r="X725">
        <v>1356</v>
      </c>
      <c r="Y725" t="s">
        <v>26651</v>
      </c>
      <c r="Z725" t="s">
        <v>26664</v>
      </c>
      <c r="AA725" t="s">
        <v>26683</v>
      </c>
      <c r="AB725" t="s">
        <v>27386</v>
      </c>
      <c r="AD725" t="s">
        <v>37451</v>
      </c>
      <c r="AE725">
        <v>0</v>
      </c>
      <c r="AG725" t="s">
        <v>19330</v>
      </c>
      <c r="AH725">
        <v>8</v>
      </c>
      <c r="AI725">
        <v>1</v>
      </c>
      <c r="AJ725">
        <v>0</v>
      </c>
      <c r="AK725">
        <v>0</v>
      </c>
      <c r="AM725" t="s">
        <v>45576</v>
      </c>
      <c r="AO725">
        <v>0</v>
      </c>
      <c r="AU725">
        <v>0.4</v>
      </c>
      <c r="AV725" t="s">
        <v>497</v>
      </c>
      <c r="AW725" t="s">
        <v>317</v>
      </c>
    </row>
    <row r="726" spans="1:49">
      <c r="A726" s="1">
        <f>HYPERLINK("https://lsnyc.legalserver.org/matter/dynamic-profile/view/1873980","18-1873980")</f>
        <v>0</v>
      </c>
      <c r="B726" t="s">
        <v>156</v>
      </c>
      <c r="C726" t="s">
        <v>341</v>
      </c>
      <c r="D726" t="s">
        <v>469</v>
      </c>
      <c r="E726" t="s">
        <v>688</v>
      </c>
      <c r="F726" t="s">
        <v>1398</v>
      </c>
      <c r="G726" t="s">
        <v>5579</v>
      </c>
      <c r="H726" t="s">
        <v>10281</v>
      </c>
      <c r="I726" t="s">
        <v>17388</v>
      </c>
      <c r="J726" t="s">
        <v>18893</v>
      </c>
      <c r="K726">
        <v>10033</v>
      </c>
      <c r="L726" t="s">
        <v>18958</v>
      </c>
      <c r="M726" t="s">
        <v>18958</v>
      </c>
      <c r="N726" t="s">
        <v>19532</v>
      </c>
      <c r="O726" t="s">
        <v>26524</v>
      </c>
      <c r="P726" t="s">
        <v>26564</v>
      </c>
      <c r="Q726" t="s">
        <v>26570</v>
      </c>
      <c r="R726" t="s">
        <v>26582</v>
      </c>
      <c r="S726" t="s">
        <v>18959</v>
      </c>
      <c r="U726" t="s">
        <v>26604</v>
      </c>
      <c r="W726" t="s">
        <v>469</v>
      </c>
      <c r="X726">
        <v>2000</v>
      </c>
      <c r="Y726" t="s">
        <v>26651</v>
      </c>
      <c r="Z726" t="s">
        <v>26664</v>
      </c>
      <c r="AA726" t="s">
        <v>26683</v>
      </c>
      <c r="AB726" t="s">
        <v>27387</v>
      </c>
      <c r="AC726" t="s">
        <v>34729</v>
      </c>
      <c r="AD726" t="s">
        <v>37452</v>
      </c>
      <c r="AE726">
        <v>58</v>
      </c>
      <c r="AF726" t="s">
        <v>20460</v>
      </c>
      <c r="AG726" t="s">
        <v>19330</v>
      </c>
      <c r="AH726">
        <v>5</v>
      </c>
      <c r="AI726">
        <v>3</v>
      </c>
      <c r="AJ726">
        <v>0</v>
      </c>
      <c r="AK726">
        <v>163.66</v>
      </c>
      <c r="AM726" t="s">
        <v>45576</v>
      </c>
      <c r="AN726" t="s">
        <v>7439</v>
      </c>
      <c r="AO726">
        <v>34008</v>
      </c>
      <c r="AU726">
        <v>0.3</v>
      </c>
      <c r="AV726" t="s">
        <v>497</v>
      </c>
      <c r="AW726" t="s">
        <v>317</v>
      </c>
    </row>
    <row r="727" spans="1:49">
      <c r="A727" s="1">
        <f>HYPERLINK("https://lsnyc.legalserver.org/matter/dynamic-profile/view/1873894","18-1873894")</f>
        <v>0</v>
      </c>
      <c r="B727" t="s">
        <v>149</v>
      </c>
      <c r="C727" t="s">
        <v>341</v>
      </c>
      <c r="D727" t="s">
        <v>469</v>
      </c>
      <c r="E727" t="s">
        <v>428</v>
      </c>
      <c r="F727" t="s">
        <v>1399</v>
      </c>
      <c r="G727" t="s">
        <v>5580</v>
      </c>
      <c r="H727" t="s">
        <v>10282</v>
      </c>
      <c r="I727" t="s">
        <v>17354</v>
      </c>
      <c r="J727" t="s">
        <v>18892</v>
      </c>
      <c r="K727">
        <v>10453</v>
      </c>
      <c r="L727" t="s">
        <v>18958</v>
      </c>
      <c r="M727" t="s">
        <v>18958</v>
      </c>
      <c r="N727" t="s">
        <v>19533</v>
      </c>
      <c r="O727" t="s">
        <v>26523</v>
      </c>
      <c r="P727" t="s">
        <v>26560</v>
      </c>
      <c r="Q727" t="s">
        <v>26568</v>
      </c>
      <c r="R727" t="s">
        <v>26578</v>
      </c>
      <c r="S727" t="s">
        <v>18959</v>
      </c>
      <c r="U727" t="s">
        <v>26604</v>
      </c>
      <c r="V727" t="s">
        <v>26610</v>
      </c>
      <c r="W727" t="s">
        <v>469</v>
      </c>
      <c r="X727">
        <v>1530</v>
      </c>
      <c r="Y727" t="s">
        <v>26650</v>
      </c>
      <c r="Z727" t="s">
        <v>26662</v>
      </c>
      <c r="AA727" t="s">
        <v>26678</v>
      </c>
      <c r="AB727" t="s">
        <v>27388</v>
      </c>
      <c r="AC727" t="s">
        <v>34730</v>
      </c>
      <c r="AD727" t="s">
        <v>37453</v>
      </c>
      <c r="AE727">
        <v>21</v>
      </c>
      <c r="AF727" t="s">
        <v>20460</v>
      </c>
      <c r="AG727" t="s">
        <v>45558</v>
      </c>
      <c r="AH727">
        <v>3</v>
      </c>
      <c r="AI727">
        <v>1</v>
      </c>
      <c r="AJ727">
        <v>3</v>
      </c>
      <c r="AK727">
        <v>31.44</v>
      </c>
      <c r="AN727" t="s">
        <v>45581</v>
      </c>
      <c r="AO727">
        <v>7892</v>
      </c>
      <c r="AQ727" t="s">
        <v>46362</v>
      </c>
      <c r="AR727" t="s">
        <v>46397</v>
      </c>
      <c r="AS727" t="s">
        <v>46499</v>
      </c>
      <c r="AT727" t="s">
        <v>46649</v>
      </c>
      <c r="AU727">
        <v>11.9</v>
      </c>
      <c r="AV727" t="s">
        <v>428</v>
      </c>
      <c r="AW727" t="s">
        <v>292</v>
      </c>
    </row>
    <row r="728" spans="1:49">
      <c r="A728" s="1">
        <f>HYPERLINK("https://lsnyc.legalserver.org/matter/dynamic-profile/view/1873972","18-1873972")</f>
        <v>0</v>
      </c>
      <c r="B728" t="s">
        <v>181</v>
      </c>
      <c r="C728" t="s">
        <v>341</v>
      </c>
      <c r="D728" t="s">
        <v>469</v>
      </c>
      <c r="E728" t="s">
        <v>505</v>
      </c>
      <c r="F728" t="s">
        <v>1400</v>
      </c>
      <c r="G728" t="s">
        <v>5581</v>
      </c>
      <c r="H728" t="s">
        <v>10283</v>
      </c>
      <c r="I728">
        <v>18</v>
      </c>
      <c r="J728" t="s">
        <v>18913</v>
      </c>
      <c r="K728">
        <v>11103</v>
      </c>
      <c r="L728" t="s">
        <v>18958</v>
      </c>
      <c r="M728" t="s">
        <v>18958</v>
      </c>
      <c r="N728" t="s">
        <v>19079</v>
      </c>
      <c r="O728" t="s">
        <v>18997</v>
      </c>
      <c r="P728" t="s">
        <v>26564</v>
      </c>
      <c r="Q728" t="s">
        <v>26570</v>
      </c>
      <c r="R728" t="s">
        <v>26589</v>
      </c>
      <c r="S728" t="s">
        <v>18959</v>
      </c>
      <c r="U728" t="s">
        <v>26604</v>
      </c>
      <c r="V728" t="s">
        <v>26610</v>
      </c>
      <c r="W728" t="s">
        <v>469</v>
      </c>
      <c r="X728">
        <v>1300</v>
      </c>
      <c r="Y728" t="s">
        <v>26653</v>
      </c>
      <c r="Z728" t="s">
        <v>26671</v>
      </c>
      <c r="AA728" t="s">
        <v>26683</v>
      </c>
      <c r="AB728" t="s">
        <v>27389</v>
      </c>
      <c r="AD728" t="s">
        <v>37454</v>
      </c>
      <c r="AE728">
        <v>24</v>
      </c>
      <c r="AF728" t="s">
        <v>45541</v>
      </c>
      <c r="AG728" t="s">
        <v>19330</v>
      </c>
      <c r="AH728">
        <v>1</v>
      </c>
      <c r="AI728">
        <v>1</v>
      </c>
      <c r="AJ728">
        <v>1</v>
      </c>
      <c r="AK728">
        <v>0</v>
      </c>
      <c r="AL728" t="s">
        <v>45567</v>
      </c>
      <c r="AM728" t="s">
        <v>45577</v>
      </c>
      <c r="AN728" t="s">
        <v>45582</v>
      </c>
      <c r="AO728">
        <v>0</v>
      </c>
      <c r="AU728">
        <v>1.3</v>
      </c>
      <c r="AV728" t="s">
        <v>505</v>
      </c>
      <c r="AW728" t="s">
        <v>181</v>
      </c>
    </row>
    <row r="729" spans="1:49">
      <c r="A729" s="1">
        <f>HYPERLINK("https://lsnyc.legalserver.org/matter/dynamic-profile/view/1873900","18-1873900")</f>
        <v>0</v>
      </c>
      <c r="B729" t="s">
        <v>108</v>
      </c>
      <c r="C729" t="s">
        <v>341</v>
      </c>
      <c r="D729" t="s">
        <v>469</v>
      </c>
      <c r="E729" t="s">
        <v>691</v>
      </c>
      <c r="F729" t="s">
        <v>1401</v>
      </c>
      <c r="G729" t="s">
        <v>5582</v>
      </c>
      <c r="H729" t="s">
        <v>10284</v>
      </c>
      <c r="I729" t="s">
        <v>17328</v>
      </c>
      <c r="J729" t="s">
        <v>18899</v>
      </c>
      <c r="K729">
        <v>11385</v>
      </c>
      <c r="L729" t="s">
        <v>18958</v>
      </c>
      <c r="M729" t="s">
        <v>18958</v>
      </c>
      <c r="N729" t="s">
        <v>19534</v>
      </c>
      <c r="O729" t="s">
        <v>26524</v>
      </c>
      <c r="P729" t="s">
        <v>26560</v>
      </c>
      <c r="Q729" t="s">
        <v>26568</v>
      </c>
      <c r="R729" t="s">
        <v>26585</v>
      </c>
      <c r="S729" t="s">
        <v>18959</v>
      </c>
      <c r="U729" t="s">
        <v>26604</v>
      </c>
      <c r="V729" t="s">
        <v>26610</v>
      </c>
      <c r="W729" t="s">
        <v>469</v>
      </c>
      <c r="X729">
        <v>1200</v>
      </c>
      <c r="Y729" t="s">
        <v>26653</v>
      </c>
      <c r="Z729" t="s">
        <v>26664</v>
      </c>
      <c r="AA729" t="s">
        <v>26679</v>
      </c>
      <c r="AB729" t="s">
        <v>27390</v>
      </c>
      <c r="AD729" t="s">
        <v>37455</v>
      </c>
      <c r="AE729">
        <v>2</v>
      </c>
      <c r="AF729" t="s">
        <v>45547</v>
      </c>
      <c r="AG729" t="s">
        <v>19330</v>
      </c>
      <c r="AH729">
        <v>1</v>
      </c>
      <c r="AI729">
        <v>1</v>
      </c>
      <c r="AJ729">
        <v>0</v>
      </c>
      <c r="AK729">
        <v>0</v>
      </c>
      <c r="AN729" t="s">
        <v>7439</v>
      </c>
      <c r="AO729">
        <v>0</v>
      </c>
      <c r="AQ729" t="s">
        <v>46362</v>
      </c>
      <c r="AR729" t="s">
        <v>26530</v>
      </c>
      <c r="AS729" t="s">
        <v>46500</v>
      </c>
      <c r="AT729" t="s">
        <v>46650</v>
      </c>
      <c r="AU729">
        <v>6.1</v>
      </c>
      <c r="AV729" t="s">
        <v>510</v>
      </c>
      <c r="AW729" t="s">
        <v>122</v>
      </c>
    </row>
    <row r="730" spans="1:49">
      <c r="A730" s="1">
        <f>HYPERLINK("https://lsnyc.legalserver.org/matter/dynamic-profile/view/1873911","18-1873911")</f>
        <v>0</v>
      </c>
      <c r="B730" t="s">
        <v>85</v>
      </c>
      <c r="C730" t="s">
        <v>341</v>
      </c>
      <c r="D730" t="s">
        <v>469</v>
      </c>
      <c r="E730" t="s">
        <v>703</v>
      </c>
      <c r="F730" t="s">
        <v>974</v>
      </c>
      <c r="G730" t="s">
        <v>5583</v>
      </c>
      <c r="H730" t="s">
        <v>10285</v>
      </c>
      <c r="I730" t="s">
        <v>17513</v>
      </c>
      <c r="J730" t="s">
        <v>18913</v>
      </c>
      <c r="K730">
        <v>11103</v>
      </c>
      <c r="L730" t="s">
        <v>18958</v>
      </c>
      <c r="M730" t="s">
        <v>18958</v>
      </c>
      <c r="N730" t="s">
        <v>19535</v>
      </c>
      <c r="O730" t="s">
        <v>26523</v>
      </c>
      <c r="P730" t="s">
        <v>26564</v>
      </c>
      <c r="Q730" t="s">
        <v>26570</v>
      </c>
      <c r="R730" t="s">
        <v>26584</v>
      </c>
      <c r="S730" t="s">
        <v>18958</v>
      </c>
      <c r="U730" t="s">
        <v>26604</v>
      </c>
      <c r="V730" t="s">
        <v>26609</v>
      </c>
      <c r="W730" t="s">
        <v>469</v>
      </c>
      <c r="X730">
        <v>806</v>
      </c>
      <c r="Y730" t="s">
        <v>26653</v>
      </c>
      <c r="Z730" t="s">
        <v>26664</v>
      </c>
      <c r="AA730" t="s">
        <v>26683</v>
      </c>
      <c r="AB730" t="s">
        <v>27391</v>
      </c>
      <c r="AD730" t="s">
        <v>37456</v>
      </c>
      <c r="AE730">
        <v>6</v>
      </c>
      <c r="AF730" t="s">
        <v>45541</v>
      </c>
      <c r="AG730" t="s">
        <v>19330</v>
      </c>
      <c r="AH730">
        <v>11</v>
      </c>
      <c r="AI730">
        <v>1</v>
      </c>
      <c r="AJ730">
        <v>0</v>
      </c>
      <c r="AK730">
        <v>97.17</v>
      </c>
      <c r="AO730">
        <v>11796</v>
      </c>
      <c r="AU730">
        <v>0.3</v>
      </c>
      <c r="AV730" t="s">
        <v>588</v>
      </c>
      <c r="AW730" t="s">
        <v>122</v>
      </c>
    </row>
    <row r="731" spans="1:49">
      <c r="A731" s="1">
        <f>HYPERLINK("https://lsnyc.legalserver.org/matter/dynamic-profile/view/1873917","18-1873917")</f>
        <v>0</v>
      </c>
      <c r="B731" t="s">
        <v>85</v>
      </c>
      <c r="C731" t="s">
        <v>341</v>
      </c>
      <c r="D731" t="s">
        <v>469</v>
      </c>
      <c r="E731" t="s">
        <v>662</v>
      </c>
      <c r="F731" t="s">
        <v>1402</v>
      </c>
      <c r="G731" t="s">
        <v>5584</v>
      </c>
      <c r="H731" t="s">
        <v>10286</v>
      </c>
      <c r="I731" t="s">
        <v>17514</v>
      </c>
      <c r="J731" t="s">
        <v>18933</v>
      </c>
      <c r="K731">
        <v>11422</v>
      </c>
      <c r="L731" t="s">
        <v>18958</v>
      </c>
      <c r="M731" t="s">
        <v>18958</v>
      </c>
      <c r="N731" t="s">
        <v>19536</v>
      </c>
      <c r="O731" t="s">
        <v>26524</v>
      </c>
      <c r="P731" t="s">
        <v>26564</v>
      </c>
      <c r="Q731" t="s">
        <v>26570</v>
      </c>
      <c r="R731" t="s">
        <v>26584</v>
      </c>
      <c r="S731" t="s">
        <v>18959</v>
      </c>
      <c r="T731" t="s">
        <v>26584</v>
      </c>
      <c r="U731" t="s">
        <v>26604</v>
      </c>
      <c r="V731" t="s">
        <v>26610</v>
      </c>
      <c r="W731" t="s">
        <v>469</v>
      </c>
      <c r="X731">
        <v>670</v>
      </c>
      <c r="Y731" t="s">
        <v>26653</v>
      </c>
      <c r="Z731" t="s">
        <v>26664</v>
      </c>
      <c r="AA731" t="s">
        <v>26683</v>
      </c>
      <c r="AB731" t="s">
        <v>27392</v>
      </c>
      <c r="AD731" t="s">
        <v>37457</v>
      </c>
      <c r="AE731">
        <v>1</v>
      </c>
      <c r="AF731" t="s">
        <v>45547</v>
      </c>
      <c r="AG731" t="s">
        <v>19330</v>
      </c>
      <c r="AH731">
        <v>13</v>
      </c>
      <c r="AI731">
        <v>1</v>
      </c>
      <c r="AJ731">
        <v>0</v>
      </c>
      <c r="AK731">
        <v>121.09</v>
      </c>
      <c r="AN731" t="s">
        <v>7439</v>
      </c>
      <c r="AO731">
        <v>14700</v>
      </c>
      <c r="AU731">
        <v>0.8</v>
      </c>
      <c r="AV731" t="s">
        <v>540</v>
      </c>
      <c r="AW731" t="s">
        <v>122</v>
      </c>
    </row>
    <row r="732" spans="1:49">
      <c r="A732" s="1">
        <f>HYPERLINK("https://lsnyc.legalserver.org/matter/dynamic-profile/view/1873866","18-1873866")</f>
        <v>0</v>
      </c>
      <c r="B732" t="s">
        <v>209</v>
      </c>
      <c r="C732" t="s">
        <v>341</v>
      </c>
      <c r="D732" t="s">
        <v>469</v>
      </c>
      <c r="E732" t="s">
        <v>469</v>
      </c>
      <c r="F732" t="s">
        <v>1403</v>
      </c>
      <c r="G732" t="s">
        <v>5585</v>
      </c>
      <c r="H732" t="s">
        <v>10287</v>
      </c>
      <c r="I732" t="s">
        <v>17324</v>
      </c>
      <c r="J732" t="s">
        <v>18900</v>
      </c>
      <c r="K732">
        <v>11358</v>
      </c>
      <c r="L732" t="s">
        <v>18958</v>
      </c>
      <c r="M732" t="s">
        <v>18958</v>
      </c>
      <c r="N732" t="s">
        <v>19045</v>
      </c>
      <c r="O732" t="s">
        <v>18997</v>
      </c>
      <c r="P732" t="s">
        <v>26564</v>
      </c>
      <c r="Q732" t="s">
        <v>26570</v>
      </c>
      <c r="R732" t="s">
        <v>26578</v>
      </c>
      <c r="S732" t="s">
        <v>18959</v>
      </c>
      <c r="U732" t="s">
        <v>26604</v>
      </c>
      <c r="V732" t="s">
        <v>26610</v>
      </c>
      <c r="W732" t="s">
        <v>469</v>
      </c>
      <c r="X732">
        <v>2300</v>
      </c>
      <c r="Y732" t="s">
        <v>26653</v>
      </c>
      <c r="Z732" t="s">
        <v>26530</v>
      </c>
      <c r="AA732" t="s">
        <v>26683</v>
      </c>
      <c r="AB732" t="s">
        <v>27393</v>
      </c>
      <c r="AC732" t="s">
        <v>19045</v>
      </c>
      <c r="AD732" t="s">
        <v>37458</v>
      </c>
      <c r="AE732">
        <v>2</v>
      </c>
      <c r="AF732" t="s">
        <v>45547</v>
      </c>
      <c r="AG732" t="s">
        <v>19330</v>
      </c>
      <c r="AH732">
        <v>4</v>
      </c>
      <c r="AI732">
        <v>1</v>
      </c>
      <c r="AJ732">
        <v>0</v>
      </c>
      <c r="AK732">
        <v>0</v>
      </c>
      <c r="AN732" t="s">
        <v>7439</v>
      </c>
      <c r="AO732">
        <v>0</v>
      </c>
      <c r="AU732">
        <v>0.9</v>
      </c>
      <c r="AV732" t="s">
        <v>469</v>
      </c>
      <c r="AW732" t="s">
        <v>46841</v>
      </c>
    </row>
    <row r="733" spans="1:49">
      <c r="A733" s="1">
        <f>HYPERLINK("https://lsnyc.legalserver.org/matter/dynamic-profile/view/1873954","18-1873954")</f>
        <v>0</v>
      </c>
      <c r="B733" t="s">
        <v>141</v>
      </c>
      <c r="C733" t="s">
        <v>341</v>
      </c>
      <c r="D733" t="s">
        <v>469</v>
      </c>
      <c r="E733" t="s">
        <v>675</v>
      </c>
      <c r="F733" t="s">
        <v>1404</v>
      </c>
      <c r="G733" t="s">
        <v>992</v>
      </c>
      <c r="H733" t="s">
        <v>10288</v>
      </c>
      <c r="I733" t="s">
        <v>17427</v>
      </c>
      <c r="J733" t="s">
        <v>18898</v>
      </c>
      <c r="K733">
        <v>11691</v>
      </c>
      <c r="L733" t="s">
        <v>18958</v>
      </c>
      <c r="M733" t="s">
        <v>18958</v>
      </c>
      <c r="N733" t="s">
        <v>19537</v>
      </c>
      <c r="O733" t="s">
        <v>26523</v>
      </c>
      <c r="P733" t="s">
        <v>26560</v>
      </c>
      <c r="Q733" t="s">
        <v>26568</v>
      </c>
      <c r="R733" t="s">
        <v>26578</v>
      </c>
      <c r="S733" t="s">
        <v>18959</v>
      </c>
      <c r="U733" t="s">
        <v>26604</v>
      </c>
      <c r="V733" t="s">
        <v>26611</v>
      </c>
      <c r="W733" t="s">
        <v>469</v>
      </c>
      <c r="X733">
        <v>2221</v>
      </c>
      <c r="Y733" t="s">
        <v>26653</v>
      </c>
      <c r="Z733" t="s">
        <v>26664</v>
      </c>
      <c r="AA733" t="s">
        <v>26678</v>
      </c>
      <c r="AB733" t="s">
        <v>27394</v>
      </c>
      <c r="AC733" t="s">
        <v>34731</v>
      </c>
      <c r="AD733" t="s">
        <v>37459</v>
      </c>
      <c r="AE733">
        <v>1</v>
      </c>
      <c r="AF733" t="s">
        <v>45547</v>
      </c>
      <c r="AG733" t="s">
        <v>45564</v>
      </c>
      <c r="AH733">
        <v>3</v>
      </c>
      <c r="AI733">
        <v>2</v>
      </c>
      <c r="AJ733">
        <v>2</v>
      </c>
      <c r="AK733">
        <v>31.08</v>
      </c>
      <c r="AN733" t="s">
        <v>7439</v>
      </c>
      <c r="AO733">
        <v>7800</v>
      </c>
      <c r="AQ733" t="s">
        <v>46365</v>
      </c>
      <c r="AR733" t="s">
        <v>46379</v>
      </c>
      <c r="AS733" t="s">
        <v>46499</v>
      </c>
      <c r="AT733" t="s">
        <v>46651</v>
      </c>
      <c r="AU733">
        <v>35.8</v>
      </c>
      <c r="AV733" t="s">
        <v>666</v>
      </c>
      <c r="AW733" t="s">
        <v>161</v>
      </c>
    </row>
    <row r="734" spans="1:49">
      <c r="A734" s="1">
        <f>HYPERLINK("https://lsnyc.legalserver.org/matter/dynamic-profile/view/1873979","18-1873979")</f>
        <v>0</v>
      </c>
      <c r="B734" t="s">
        <v>76</v>
      </c>
      <c r="C734" t="s">
        <v>341</v>
      </c>
      <c r="D734" t="s">
        <v>469</v>
      </c>
      <c r="E734" t="s">
        <v>441</v>
      </c>
      <c r="F734" t="s">
        <v>1405</v>
      </c>
      <c r="G734" t="s">
        <v>5586</v>
      </c>
      <c r="H734" t="s">
        <v>10289</v>
      </c>
      <c r="I734">
        <v>22</v>
      </c>
      <c r="J734" t="s">
        <v>18893</v>
      </c>
      <c r="K734">
        <v>10024</v>
      </c>
      <c r="L734" t="s">
        <v>18958</v>
      </c>
      <c r="M734" t="s">
        <v>18959</v>
      </c>
      <c r="N734" t="s">
        <v>19538</v>
      </c>
      <c r="O734" t="s">
        <v>26523</v>
      </c>
      <c r="P734" t="s">
        <v>26564</v>
      </c>
      <c r="Q734" t="s">
        <v>26570</v>
      </c>
      <c r="R734" t="s">
        <v>26582</v>
      </c>
      <c r="S734" t="s">
        <v>18959</v>
      </c>
      <c r="U734" t="s">
        <v>26604</v>
      </c>
      <c r="W734" t="s">
        <v>469</v>
      </c>
      <c r="X734">
        <v>1677.11</v>
      </c>
      <c r="Y734" t="s">
        <v>26651</v>
      </c>
      <c r="Z734" t="s">
        <v>26664</v>
      </c>
      <c r="AA734" t="s">
        <v>26683</v>
      </c>
      <c r="AB734" t="s">
        <v>27395</v>
      </c>
      <c r="AC734" t="s">
        <v>34732</v>
      </c>
      <c r="AD734" t="s">
        <v>37460</v>
      </c>
      <c r="AE734">
        <v>36</v>
      </c>
      <c r="AF734" t="s">
        <v>45548</v>
      </c>
      <c r="AG734" t="s">
        <v>19330</v>
      </c>
      <c r="AH734">
        <v>40</v>
      </c>
      <c r="AI734">
        <v>2</v>
      </c>
      <c r="AJ734">
        <v>2</v>
      </c>
      <c r="AK734">
        <v>50.43</v>
      </c>
      <c r="AN734" t="s">
        <v>7439</v>
      </c>
      <c r="AO734">
        <v>12657</v>
      </c>
      <c r="AU734">
        <v>1.6</v>
      </c>
      <c r="AV734" t="s">
        <v>533</v>
      </c>
      <c r="AW734" t="s">
        <v>314</v>
      </c>
    </row>
    <row r="735" spans="1:49">
      <c r="A735" s="1">
        <f>HYPERLINK("https://lsnyc.legalserver.org/matter/dynamic-profile/view/1873967","18-1873967")</f>
        <v>0</v>
      </c>
      <c r="B735" t="s">
        <v>76</v>
      </c>
      <c r="C735" t="s">
        <v>341</v>
      </c>
      <c r="D735" t="s">
        <v>469</v>
      </c>
      <c r="E735" t="s">
        <v>523</v>
      </c>
      <c r="F735" t="s">
        <v>875</v>
      </c>
      <c r="G735" t="s">
        <v>2564</v>
      </c>
      <c r="H735" t="s">
        <v>10290</v>
      </c>
      <c r="I735" t="s">
        <v>17377</v>
      </c>
      <c r="J735" t="s">
        <v>18893</v>
      </c>
      <c r="K735">
        <v>10032</v>
      </c>
      <c r="L735" t="s">
        <v>18958</v>
      </c>
      <c r="M735" t="s">
        <v>18958</v>
      </c>
      <c r="N735" t="s">
        <v>19539</v>
      </c>
      <c r="O735" t="s">
        <v>26523</v>
      </c>
      <c r="P735" t="s">
        <v>26564</v>
      </c>
      <c r="Q735" t="s">
        <v>26570</v>
      </c>
      <c r="R735" t="s">
        <v>26582</v>
      </c>
      <c r="S735" t="s">
        <v>18959</v>
      </c>
      <c r="U735" t="s">
        <v>26604</v>
      </c>
      <c r="W735" t="s">
        <v>469</v>
      </c>
      <c r="X735">
        <v>1558.3</v>
      </c>
      <c r="Y735" t="s">
        <v>26651</v>
      </c>
      <c r="Z735" t="s">
        <v>26664</v>
      </c>
      <c r="AA735" t="s">
        <v>26683</v>
      </c>
      <c r="AB735" t="s">
        <v>27396</v>
      </c>
      <c r="AC735" t="s">
        <v>34733</v>
      </c>
      <c r="AE735">
        <v>0</v>
      </c>
      <c r="AF735" t="s">
        <v>20460</v>
      </c>
      <c r="AG735" t="s">
        <v>26530</v>
      </c>
      <c r="AH735">
        <v>13</v>
      </c>
      <c r="AI735">
        <v>3</v>
      </c>
      <c r="AJ735">
        <v>5</v>
      </c>
      <c r="AK735">
        <v>54.42</v>
      </c>
      <c r="AN735" t="s">
        <v>45581</v>
      </c>
      <c r="AO735">
        <v>23064</v>
      </c>
      <c r="AU735">
        <v>1.25</v>
      </c>
      <c r="AV735" t="s">
        <v>533</v>
      </c>
      <c r="AW735" t="s">
        <v>314</v>
      </c>
    </row>
    <row r="736" spans="1:49">
      <c r="A736" s="1">
        <f>HYPERLINK("https://lsnyc.legalserver.org/matter/dynamic-profile/view/1873902","18-1873902")</f>
        <v>0</v>
      </c>
      <c r="B736" t="s">
        <v>76</v>
      </c>
      <c r="C736" t="s">
        <v>341</v>
      </c>
      <c r="D736" t="s">
        <v>469</v>
      </c>
      <c r="E736" t="s">
        <v>441</v>
      </c>
      <c r="F736" t="s">
        <v>1406</v>
      </c>
      <c r="G736" t="s">
        <v>5103</v>
      </c>
      <c r="H736" t="s">
        <v>10291</v>
      </c>
      <c r="I736" t="s">
        <v>17515</v>
      </c>
      <c r="J736" t="s">
        <v>18893</v>
      </c>
      <c r="K736">
        <v>10029</v>
      </c>
      <c r="L736" t="s">
        <v>18958</v>
      </c>
      <c r="M736" t="s">
        <v>18958</v>
      </c>
      <c r="N736" t="s">
        <v>19540</v>
      </c>
      <c r="O736" t="s">
        <v>26524</v>
      </c>
      <c r="P736" t="s">
        <v>26564</v>
      </c>
      <c r="Q736" t="s">
        <v>26570</v>
      </c>
      <c r="R736" t="s">
        <v>26582</v>
      </c>
      <c r="S736" t="s">
        <v>18959</v>
      </c>
      <c r="U736" t="s">
        <v>26605</v>
      </c>
      <c r="W736" t="s">
        <v>469</v>
      </c>
      <c r="X736">
        <v>283</v>
      </c>
      <c r="Y736" t="s">
        <v>26651</v>
      </c>
      <c r="Z736" t="s">
        <v>26664</v>
      </c>
      <c r="AA736" t="s">
        <v>26683</v>
      </c>
      <c r="AB736" t="s">
        <v>27397</v>
      </c>
      <c r="AD736" t="s">
        <v>37461</v>
      </c>
      <c r="AE736">
        <v>0</v>
      </c>
      <c r="AF736" t="s">
        <v>45542</v>
      </c>
      <c r="AH736">
        <v>4</v>
      </c>
      <c r="AI736">
        <v>1</v>
      </c>
      <c r="AJ736">
        <v>3</v>
      </c>
      <c r="AK736">
        <v>113.94</v>
      </c>
      <c r="AM736" t="s">
        <v>45576</v>
      </c>
      <c r="AO736">
        <v>28600</v>
      </c>
      <c r="AU736">
        <v>1.25</v>
      </c>
      <c r="AV736" t="s">
        <v>533</v>
      </c>
      <c r="AW736" t="s">
        <v>317</v>
      </c>
    </row>
    <row r="737" spans="1:50">
      <c r="A737" s="1">
        <f>HYPERLINK("https://lsnyc.legalserver.org/matter/dynamic-profile/view/1873899","18-1873899")</f>
        <v>0</v>
      </c>
      <c r="B737" t="s">
        <v>76</v>
      </c>
      <c r="C737" t="s">
        <v>341</v>
      </c>
      <c r="D737" t="s">
        <v>469</v>
      </c>
      <c r="E737" t="s">
        <v>441</v>
      </c>
      <c r="F737" t="s">
        <v>953</v>
      </c>
      <c r="G737" t="s">
        <v>5587</v>
      </c>
      <c r="H737" t="s">
        <v>10292</v>
      </c>
      <c r="I737" t="s">
        <v>17307</v>
      </c>
      <c r="J737" t="s">
        <v>18893</v>
      </c>
      <c r="K737">
        <v>10002</v>
      </c>
      <c r="L737" t="s">
        <v>18958</v>
      </c>
      <c r="M737" t="s">
        <v>18958</v>
      </c>
      <c r="N737" t="s">
        <v>19541</v>
      </c>
      <c r="O737" t="s">
        <v>26524</v>
      </c>
      <c r="P737" t="s">
        <v>26564</v>
      </c>
      <c r="Q737" t="s">
        <v>26570</v>
      </c>
      <c r="R737" t="s">
        <v>26582</v>
      </c>
      <c r="S737" t="s">
        <v>18959</v>
      </c>
      <c r="U737" t="s">
        <v>26604</v>
      </c>
      <c r="W737" t="s">
        <v>469</v>
      </c>
      <c r="X737">
        <v>791</v>
      </c>
      <c r="Y737" t="s">
        <v>26651</v>
      </c>
      <c r="Z737" t="s">
        <v>26656</v>
      </c>
      <c r="AA737" t="s">
        <v>26683</v>
      </c>
      <c r="AB737" t="s">
        <v>27398</v>
      </c>
      <c r="AD737" t="s">
        <v>37462</v>
      </c>
      <c r="AE737">
        <v>0</v>
      </c>
      <c r="AF737" t="s">
        <v>20460</v>
      </c>
      <c r="AG737" t="s">
        <v>19330</v>
      </c>
      <c r="AH737">
        <v>5</v>
      </c>
      <c r="AI737">
        <v>1</v>
      </c>
      <c r="AJ737">
        <v>0</v>
      </c>
      <c r="AK737">
        <v>148.27</v>
      </c>
      <c r="AM737" t="s">
        <v>45576</v>
      </c>
      <c r="AN737" t="s">
        <v>7439</v>
      </c>
      <c r="AO737">
        <v>18000</v>
      </c>
      <c r="AU737">
        <v>1.6</v>
      </c>
      <c r="AV737" t="s">
        <v>533</v>
      </c>
      <c r="AW737" t="s">
        <v>317</v>
      </c>
    </row>
    <row r="738" spans="1:50">
      <c r="A738" s="1">
        <f>HYPERLINK("https://lsnyc.legalserver.org/matter/dynamic-profile/view/1873863","18-1873863")</f>
        <v>0</v>
      </c>
      <c r="B738" t="s">
        <v>76</v>
      </c>
      <c r="C738" t="s">
        <v>341</v>
      </c>
      <c r="D738" t="s">
        <v>469</v>
      </c>
      <c r="E738" t="s">
        <v>511</v>
      </c>
      <c r="F738" t="s">
        <v>887</v>
      </c>
      <c r="G738" t="s">
        <v>5447</v>
      </c>
      <c r="H738" t="s">
        <v>10293</v>
      </c>
      <c r="I738" t="s">
        <v>17421</v>
      </c>
      <c r="J738" t="s">
        <v>18893</v>
      </c>
      <c r="K738">
        <v>10029</v>
      </c>
      <c r="L738" t="s">
        <v>18958</v>
      </c>
      <c r="M738" t="s">
        <v>18958</v>
      </c>
      <c r="N738" t="s">
        <v>19542</v>
      </c>
      <c r="O738" t="s">
        <v>26524</v>
      </c>
      <c r="P738" t="s">
        <v>26564</v>
      </c>
      <c r="Q738" t="s">
        <v>26570</v>
      </c>
      <c r="R738" t="s">
        <v>26582</v>
      </c>
      <c r="S738" t="s">
        <v>18959</v>
      </c>
      <c r="U738" t="s">
        <v>26604</v>
      </c>
      <c r="W738" t="s">
        <v>469</v>
      </c>
      <c r="X738">
        <v>2462</v>
      </c>
      <c r="Y738" t="s">
        <v>26651</v>
      </c>
      <c r="Z738" t="s">
        <v>26656</v>
      </c>
      <c r="AA738" t="s">
        <v>26683</v>
      </c>
      <c r="AB738" t="s">
        <v>27399</v>
      </c>
      <c r="AC738" t="s">
        <v>34734</v>
      </c>
      <c r="AD738" t="s">
        <v>37463</v>
      </c>
      <c r="AE738">
        <v>0</v>
      </c>
      <c r="AF738" t="s">
        <v>45543</v>
      </c>
      <c r="AH738">
        <v>13</v>
      </c>
      <c r="AI738">
        <v>1</v>
      </c>
      <c r="AJ738">
        <v>0</v>
      </c>
      <c r="AK738">
        <v>148.63</v>
      </c>
      <c r="AM738" t="s">
        <v>45576</v>
      </c>
      <c r="AO738">
        <v>18044</v>
      </c>
      <c r="AU738">
        <v>1</v>
      </c>
      <c r="AV738" t="s">
        <v>469</v>
      </c>
      <c r="AW738" t="s">
        <v>317</v>
      </c>
    </row>
    <row r="739" spans="1:50">
      <c r="A739" s="1">
        <f>HYPERLINK("https://lsnyc.legalserver.org/matter/dynamic-profile/view/1873886","18-1873886")</f>
        <v>0</v>
      </c>
      <c r="B739" t="s">
        <v>76</v>
      </c>
      <c r="C739" t="s">
        <v>341</v>
      </c>
      <c r="D739" t="s">
        <v>469</v>
      </c>
      <c r="E739" t="s">
        <v>511</v>
      </c>
      <c r="F739" t="s">
        <v>1111</v>
      </c>
      <c r="G739" t="s">
        <v>5588</v>
      </c>
      <c r="H739" t="s">
        <v>10294</v>
      </c>
      <c r="I739" t="s">
        <v>17516</v>
      </c>
      <c r="J739" t="s">
        <v>18893</v>
      </c>
      <c r="K739">
        <v>10022</v>
      </c>
      <c r="L739" t="s">
        <v>18958</v>
      </c>
      <c r="M739" t="s">
        <v>18958</v>
      </c>
      <c r="N739" t="s">
        <v>19543</v>
      </c>
      <c r="O739" t="s">
        <v>26523</v>
      </c>
      <c r="P739" t="s">
        <v>26564</v>
      </c>
      <c r="Q739" t="s">
        <v>26570</v>
      </c>
      <c r="R739" t="s">
        <v>26582</v>
      </c>
      <c r="S739" t="s">
        <v>18959</v>
      </c>
      <c r="U739" t="s">
        <v>26604</v>
      </c>
      <c r="W739" t="s">
        <v>469</v>
      </c>
      <c r="X739">
        <v>1650</v>
      </c>
      <c r="Y739" t="s">
        <v>26651</v>
      </c>
      <c r="Z739" t="s">
        <v>26659</v>
      </c>
      <c r="AA739" t="s">
        <v>26683</v>
      </c>
      <c r="AB739" t="s">
        <v>27400</v>
      </c>
      <c r="AC739" t="s">
        <v>34735</v>
      </c>
      <c r="AD739" t="s">
        <v>37464</v>
      </c>
      <c r="AE739">
        <v>0</v>
      </c>
      <c r="AF739" t="s">
        <v>45541</v>
      </c>
      <c r="AG739" t="s">
        <v>45559</v>
      </c>
      <c r="AH739">
        <v>26</v>
      </c>
      <c r="AI739">
        <v>1</v>
      </c>
      <c r="AJ739">
        <v>0</v>
      </c>
      <c r="AK739">
        <v>197.79</v>
      </c>
      <c r="AM739" t="s">
        <v>45576</v>
      </c>
      <c r="AN739" t="s">
        <v>7439</v>
      </c>
      <c r="AO739">
        <v>24012</v>
      </c>
      <c r="AU739">
        <v>1.5</v>
      </c>
      <c r="AV739" t="s">
        <v>533</v>
      </c>
      <c r="AW739" t="s">
        <v>317</v>
      </c>
    </row>
    <row r="740" spans="1:50">
      <c r="A740" s="1">
        <f>HYPERLINK("https://lsnyc.legalserver.org/matter/dynamic-profile/view/1873907","18-1873907")</f>
        <v>0</v>
      </c>
      <c r="B740" t="s">
        <v>122</v>
      </c>
      <c r="C740" t="s">
        <v>341</v>
      </c>
      <c r="D740" t="s">
        <v>469</v>
      </c>
      <c r="E740" t="s">
        <v>573</v>
      </c>
      <c r="F740" t="s">
        <v>1407</v>
      </c>
      <c r="G740" t="s">
        <v>5206</v>
      </c>
      <c r="H740" t="s">
        <v>10295</v>
      </c>
      <c r="I740" t="s">
        <v>17436</v>
      </c>
      <c r="J740" t="s">
        <v>18898</v>
      </c>
      <c r="K740">
        <v>11691</v>
      </c>
      <c r="L740" t="s">
        <v>18958</v>
      </c>
      <c r="M740" t="s">
        <v>18958</v>
      </c>
      <c r="N740" t="s">
        <v>19544</v>
      </c>
      <c r="O740" t="s">
        <v>26523</v>
      </c>
      <c r="P740" t="s">
        <v>26564</v>
      </c>
      <c r="Q740" t="s">
        <v>26570</v>
      </c>
      <c r="R740" t="s">
        <v>26578</v>
      </c>
      <c r="S740" t="s">
        <v>18959</v>
      </c>
      <c r="U740" t="s">
        <v>26604</v>
      </c>
      <c r="V740" t="s">
        <v>26611</v>
      </c>
      <c r="W740" t="s">
        <v>469</v>
      </c>
      <c r="X740">
        <v>1625</v>
      </c>
      <c r="Y740" t="s">
        <v>26653</v>
      </c>
      <c r="Z740" t="s">
        <v>26664</v>
      </c>
      <c r="AA740" t="s">
        <v>26683</v>
      </c>
      <c r="AB740" t="s">
        <v>27401</v>
      </c>
      <c r="AC740" t="s">
        <v>34736</v>
      </c>
      <c r="AD740" t="s">
        <v>37465</v>
      </c>
      <c r="AE740">
        <v>65</v>
      </c>
      <c r="AF740" t="s">
        <v>45541</v>
      </c>
      <c r="AG740" t="s">
        <v>19330</v>
      </c>
      <c r="AH740">
        <v>1</v>
      </c>
      <c r="AI740">
        <v>1</v>
      </c>
      <c r="AJ740">
        <v>1</v>
      </c>
      <c r="AK740">
        <v>162.82</v>
      </c>
      <c r="AN740" t="s">
        <v>7439</v>
      </c>
      <c r="AO740">
        <v>26800</v>
      </c>
      <c r="AU740">
        <v>1.5</v>
      </c>
      <c r="AV740" t="s">
        <v>497</v>
      </c>
      <c r="AW740" t="s">
        <v>122</v>
      </c>
      <c r="AX740" t="s">
        <v>46897</v>
      </c>
    </row>
    <row r="741" spans="1:50">
      <c r="A741" s="1">
        <f>HYPERLINK("https://lsnyc.legalserver.org/matter/dynamic-profile/view/1873470","18-1873470")</f>
        <v>0</v>
      </c>
      <c r="B741" t="s">
        <v>103</v>
      </c>
      <c r="C741" t="s">
        <v>341</v>
      </c>
      <c r="D741" t="s">
        <v>469</v>
      </c>
      <c r="E741" t="s">
        <v>688</v>
      </c>
      <c r="F741" t="s">
        <v>1408</v>
      </c>
      <c r="G741" t="s">
        <v>5589</v>
      </c>
      <c r="H741" t="s">
        <v>10296</v>
      </c>
      <c r="I741" t="s">
        <v>17301</v>
      </c>
      <c r="J741" t="s">
        <v>18902</v>
      </c>
      <c r="K741">
        <v>10304</v>
      </c>
      <c r="L741" t="s">
        <v>18958</v>
      </c>
      <c r="M741" t="s">
        <v>18958</v>
      </c>
      <c r="N741" t="s">
        <v>19037</v>
      </c>
      <c r="O741" t="s">
        <v>26531</v>
      </c>
      <c r="P741" t="s">
        <v>26565</v>
      </c>
      <c r="Q741" t="s">
        <v>26571</v>
      </c>
      <c r="R741" t="s">
        <v>26578</v>
      </c>
      <c r="S741" t="s">
        <v>18959</v>
      </c>
      <c r="U741" t="s">
        <v>26606</v>
      </c>
      <c r="V741" t="s">
        <v>26610</v>
      </c>
      <c r="W741" t="s">
        <v>469</v>
      </c>
      <c r="X741">
        <v>673</v>
      </c>
      <c r="Y741" t="s">
        <v>26654</v>
      </c>
      <c r="Z741" t="s">
        <v>26659</v>
      </c>
      <c r="AA741" t="s">
        <v>26683</v>
      </c>
      <c r="AB741" t="s">
        <v>27402</v>
      </c>
      <c r="AD741" t="s">
        <v>37466</v>
      </c>
      <c r="AE741">
        <v>150</v>
      </c>
      <c r="AF741" t="s">
        <v>45543</v>
      </c>
      <c r="AG741" t="s">
        <v>45556</v>
      </c>
      <c r="AH741">
        <v>31</v>
      </c>
      <c r="AI741">
        <v>2</v>
      </c>
      <c r="AJ741">
        <v>0</v>
      </c>
      <c r="AK741">
        <v>78.98</v>
      </c>
      <c r="AN741" t="s">
        <v>7439</v>
      </c>
      <c r="AO741">
        <v>13000</v>
      </c>
      <c r="AU741">
        <v>2.1</v>
      </c>
      <c r="AV741" t="s">
        <v>688</v>
      </c>
      <c r="AW741" t="s">
        <v>190</v>
      </c>
    </row>
    <row r="742" spans="1:50">
      <c r="A742" s="1">
        <f>HYPERLINK("https://lsnyc.legalserver.org/matter/dynamic-profile/view/1873543","18-1873543")</f>
        <v>0</v>
      </c>
      <c r="B742" t="s">
        <v>103</v>
      </c>
      <c r="C742" t="s">
        <v>341</v>
      </c>
      <c r="D742" t="s">
        <v>469</v>
      </c>
      <c r="E742" t="s">
        <v>670</v>
      </c>
      <c r="F742" t="s">
        <v>1079</v>
      </c>
      <c r="G742" t="s">
        <v>5147</v>
      </c>
      <c r="H742" t="s">
        <v>10297</v>
      </c>
      <c r="I742" t="s">
        <v>17334</v>
      </c>
      <c r="J742" t="s">
        <v>18902</v>
      </c>
      <c r="K742">
        <v>10306</v>
      </c>
      <c r="L742" t="s">
        <v>18958</v>
      </c>
      <c r="M742" t="s">
        <v>18958</v>
      </c>
      <c r="N742" t="s">
        <v>19545</v>
      </c>
      <c r="O742" t="s">
        <v>26524</v>
      </c>
      <c r="P742" t="s">
        <v>26560</v>
      </c>
      <c r="Q742" t="s">
        <v>26568</v>
      </c>
      <c r="R742" t="s">
        <v>26587</v>
      </c>
      <c r="S742" t="s">
        <v>18959</v>
      </c>
      <c r="U742" t="s">
        <v>26604</v>
      </c>
      <c r="V742" t="s">
        <v>26610</v>
      </c>
      <c r="W742" t="s">
        <v>469</v>
      </c>
      <c r="X742">
        <v>1200</v>
      </c>
      <c r="Y742" t="s">
        <v>26654</v>
      </c>
      <c r="Z742" t="s">
        <v>26663</v>
      </c>
      <c r="AA742" t="s">
        <v>26679</v>
      </c>
      <c r="AB742" t="s">
        <v>27403</v>
      </c>
      <c r="AD742" t="s">
        <v>37467</v>
      </c>
      <c r="AE742">
        <v>2</v>
      </c>
      <c r="AF742" t="s">
        <v>45547</v>
      </c>
      <c r="AG742" t="s">
        <v>19330</v>
      </c>
      <c r="AH742">
        <v>1</v>
      </c>
      <c r="AI742">
        <v>1</v>
      </c>
      <c r="AJ742">
        <v>1</v>
      </c>
      <c r="AK742">
        <v>0</v>
      </c>
      <c r="AN742" t="s">
        <v>7439</v>
      </c>
      <c r="AO742">
        <v>0</v>
      </c>
      <c r="AQ742" t="s">
        <v>46365</v>
      </c>
      <c r="AR742" t="s">
        <v>46410</v>
      </c>
      <c r="AS742" t="s">
        <v>46500</v>
      </c>
      <c r="AT742" t="s">
        <v>46652</v>
      </c>
      <c r="AU742">
        <v>20.8</v>
      </c>
      <c r="AV742" t="s">
        <v>718</v>
      </c>
      <c r="AW742" t="s">
        <v>190</v>
      </c>
    </row>
    <row r="743" spans="1:50">
      <c r="A743" s="1">
        <f>HYPERLINK("https://lsnyc.legalserver.org/matter/dynamic-profile/view/1873931","18-1873931")</f>
        <v>0</v>
      </c>
      <c r="B743" t="s">
        <v>112</v>
      </c>
      <c r="C743" t="s">
        <v>341</v>
      </c>
      <c r="D743" t="s">
        <v>469</v>
      </c>
      <c r="E743" t="s">
        <v>771</v>
      </c>
      <c r="F743" t="s">
        <v>1409</v>
      </c>
      <c r="G743" t="s">
        <v>5478</v>
      </c>
      <c r="H743" t="s">
        <v>10298</v>
      </c>
      <c r="I743" t="s">
        <v>17276</v>
      </c>
      <c r="J743" t="s">
        <v>18911</v>
      </c>
      <c r="K743">
        <v>11375</v>
      </c>
      <c r="L743" t="s">
        <v>18958</v>
      </c>
      <c r="M743" t="s">
        <v>18958</v>
      </c>
      <c r="N743" t="s">
        <v>19546</v>
      </c>
      <c r="O743" t="s">
        <v>26523</v>
      </c>
      <c r="P743" t="s">
        <v>26560</v>
      </c>
      <c r="Q743" t="s">
        <v>26568</v>
      </c>
      <c r="R743" t="s">
        <v>26584</v>
      </c>
      <c r="S743" t="s">
        <v>18959</v>
      </c>
      <c r="U743" t="s">
        <v>26604</v>
      </c>
      <c r="V743" t="s">
        <v>26610</v>
      </c>
      <c r="W743" t="s">
        <v>469</v>
      </c>
      <c r="X743">
        <v>2200</v>
      </c>
      <c r="Y743" t="s">
        <v>26653</v>
      </c>
      <c r="Z743" t="s">
        <v>26664</v>
      </c>
      <c r="AA743" t="s">
        <v>26678</v>
      </c>
      <c r="AB743" t="s">
        <v>27404</v>
      </c>
      <c r="AC743" t="s">
        <v>34737</v>
      </c>
      <c r="AD743" t="s">
        <v>37468</v>
      </c>
      <c r="AE743">
        <v>70</v>
      </c>
      <c r="AF743" t="s">
        <v>45541</v>
      </c>
      <c r="AG743" t="s">
        <v>19330</v>
      </c>
      <c r="AH743">
        <v>2</v>
      </c>
      <c r="AI743">
        <v>1</v>
      </c>
      <c r="AJ743">
        <v>3</v>
      </c>
      <c r="AK743">
        <v>106.71</v>
      </c>
      <c r="AM743" t="s">
        <v>45576</v>
      </c>
      <c r="AN743" t="s">
        <v>7439</v>
      </c>
      <c r="AO743">
        <v>26785.2</v>
      </c>
      <c r="AQ743" t="s">
        <v>46361</v>
      </c>
      <c r="AR743" t="s">
        <v>46381</v>
      </c>
      <c r="AS743" t="s">
        <v>46499</v>
      </c>
      <c r="AT743" t="s">
        <v>46506</v>
      </c>
      <c r="AU743">
        <v>36.45</v>
      </c>
      <c r="AV743" t="s">
        <v>780</v>
      </c>
      <c r="AW743" t="s">
        <v>208</v>
      </c>
    </row>
    <row r="744" spans="1:50">
      <c r="A744" s="1">
        <f>HYPERLINK("https://lsnyc.legalserver.org/matter/dynamic-profile/view/1873975","18-1873975")</f>
        <v>0</v>
      </c>
      <c r="B744" t="s">
        <v>91</v>
      </c>
      <c r="C744" t="s">
        <v>341</v>
      </c>
      <c r="D744" t="s">
        <v>469</v>
      </c>
      <c r="E744" t="s">
        <v>697</v>
      </c>
      <c r="F744" t="s">
        <v>1087</v>
      </c>
      <c r="G744" t="s">
        <v>5590</v>
      </c>
      <c r="H744" t="s">
        <v>10299</v>
      </c>
      <c r="I744" t="s">
        <v>17465</v>
      </c>
      <c r="J744" t="s">
        <v>18909</v>
      </c>
      <c r="K744">
        <v>11101</v>
      </c>
      <c r="L744" t="s">
        <v>18958</v>
      </c>
      <c r="M744" t="s">
        <v>18958</v>
      </c>
      <c r="N744" t="s">
        <v>19547</v>
      </c>
      <c r="O744" t="s">
        <v>26524</v>
      </c>
      <c r="P744" t="s">
        <v>26564</v>
      </c>
      <c r="Q744" t="s">
        <v>26570</v>
      </c>
      <c r="R744" t="s">
        <v>26578</v>
      </c>
      <c r="S744" t="s">
        <v>18959</v>
      </c>
      <c r="U744" t="s">
        <v>26604</v>
      </c>
      <c r="V744" t="s">
        <v>26610</v>
      </c>
      <c r="W744" t="s">
        <v>469</v>
      </c>
      <c r="X744">
        <v>652</v>
      </c>
      <c r="Y744" t="s">
        <v>26653</v>
      </c>
      <c r="Z744" t="s">
        <v>26664</v>
      </c>
      <c r="AA744" t="s">
        <v>26683</v>
      </c>
      <c r="AB744" t="s">
        <v>26784</v>
      </c>
      <c r="AC744" t="s">
        <v>34738</v>
      </c>
      <c r="AD744" t="s">
        <v>37469</v>
      </c>
      <c r="AE744">
        <v>306</v>
      </c>
      <c r="AF744" t="s">
        <v>45551</v>
      </c>
      <c r="AG744" t="s">
        <v>19330</v>
      </c>
      <c r="AH744">
        <v>1</v>
      </c>
      <c r="AI744">
        <v>1</v>
      </c>
      <c r="AJ744">
        <v>0</v>
      </c>
      <c r="AK744">
        <v>0</v>
      </c>
      <c r="AN744" t="s">
        <v>7439</v>
      </c>
      <c r="AO744">
        <v>0</v>
      </c>
      <c r="AU744">
        <v>1</v>
      </c>
      <c r="AV744" t="s">
        <v>697</v>
      </c>
      <c r="AW744" t="s">
        <v>161</v>
      </c>
    </row>
    <row r="745" spans="1:50">
      <c r="A745" s="1">
        <f>HYPERLINK("https://lsnyc.legalserver.org/matter/dynamic-profile/view/1873965","18-1873965")</f>
        <v>0</v>
      </c>
      <c r="B745" t="s">
        <v>91</v>
      </c>
      <c r="C745" t="s">
        <v>341</v>
      </c>
      <c r="D745" t="s">
        <v>469</v>
      </c>
      <c r="E745" t="s">
        <v>494</v>
      </c>
      <c r="F745" t="s">
        <v>1265</v>
      </c>
      <c r="G745" t="s">
        <v>5416</v>
      </c>
      <c r="H745" t="s">
        <v>10300</v>
      </c>
      <c r="I745" t="s">
        <v>17361</v>
      </c>
      <c r="J745" t="s">
        <v>18907</v>
      </c>
      <c r="K745">
        <v>11377</v>
      </c>
      <c r="L745" t="s">
        <v>18958</v>
      </c>
      <c r="M745" t="s">
        <v>18958</v>
      </c>
      <c r="N745" t="s">
        <v>19548</v>
      </c>
      <c r="O745" t="s">
        <v>26523</v>
      </c>
      <c r="P745" t="s">
        <v>26564</v>
      </c>
      <c r="Q745" t="s">
        <v>26570</v>
      </c>
      <c r="R745" t="s">
        <v>26584</v>
      </c>
      <c r="S745" t="s">
        <v>18959</v>
      </c>
      <c r="U745" t="s">
        <v>26604</v>
      </c>
      <c r="V745" t="s">
        <v>26614</v>
      </c>
      <c r="W745" t="s">
        <v>469</v>
      </c>
      <c r="X745">
        <v>1900</v>
      </c>
      <c r="Y745" t="s">
        <v>26653</v>
      </c>
      <c r="Z745" t="s">
        <v>26664</v>
      </c>
      <c r="AA745" t="s">
        <v>26683</v>
      </c>
      <c r="AB745" t="s">
        <v>27405</v>
      </c>
      <c r="AD745" t="s">
        <v>37470</v>
      </c>
      <c r="AE745">
        <v>10</v>
      </c>
      <c r="AF745" t="s">
        <v>45541</v>
      </c>
      <c r="AG745" t="s">
        <v>45556</v>
      </c>
      <c r="AH745">
        <v>30</v>
      </c>
      <c r="AI745">
        <v>1</v>
      </c>
      <c r="AJ745">
        <v>3</v>
      </c>
      <c r="AK745">
        <v>35.86</v>
      </c>
      <c r="AN745" t="s">
        <v>7439</v>
      </c>
      <c r="AO745">
        <v>9000</v>
      </c>
      <c r="AU745">
        <v>1.6</v>
      </c>
      <c r="AV745" t="s">
        <v>668</v>
      </c>
      <c r="AW745" t="s">
        <v>208</v>
      </c>
    </row>
    <row r="746" spans="1:50">
      <c r="A746" s="1">
        <f>HYPERLINK("https://lsnyc.legalserver.org/matter/dynamic-profile/view/1873948","18-1873948")</f>
        <v>0</v>
      </c>
      <c r="B746" t="s">
        <v>54</v>
      </c>
      <c r="C746" t="s">
        <v>341</v>
      </c>
      <c r="D746" t="s">
        <v>469</v>
      </c>
      <c r="E746" t="s">
        <v>683</v>
      </c>
      <c r="F746" t="s">
        <v>1410</v>
      </c>
      <c r="G746" t="s">
        <v>5591</v>
      </c>
      <c r="H746" t="s">
        <v>10301</v>
      </c>
      <c r="I746" t="s">
        <v>17343</v>
      </c>
      <c r="J746" t="s">
        <v>18892</v>
      </c>
      <c r="K746">
        <v>10472</v>
      </c>
      <c r="L746" t="s">
        <v>18958</v>
      </c>
      <c r="M746" t="s">
        <v>18960</v>
      </c>
      <c r="N746" t="s">
        <v>19549</v>
      </c>
      <c r="O746" t="s">
        <v>26523</v>
      </c>
      <c r="P746" t="s">
        <v>26560</v>
      </c>
      <c r="Q746" t="s">
        <v>26568</v>
      </c>
      <c r="R746" t="s">
        <v>26577</v>
      </c>
      <c r="S746" t="s">
        <v>18959</v>
      </c>
      <c r="U746" t="s">
        <v>26604</v>
      </c>
      <c r="V746" t="s">
        <v>26612</v>
      </c>
      <c r="W746" t="s">
        <v>469</v>
      </c>
      <c r="X746">
        <v>1094</v>
      </c>
      <c r="Y746" t="s">
        <v>26650</v>
      </c>
      <c r="Z746" t="s">
        <v>26662</v>
      </c>
      <c r="AA746" t="s">
        <v>26678</v>
      </c>
      <c r="AB746" t="s">
        <v>27406</v>
      </c>
      <c r="AC746" t="s">
        <v>34739</v>
      </c>
      <c r="AD746" t="s">
        <v>37471</v>
      </c>
      <c r="AE746">
        <v>83</v>
      </c>
      <c r="AF746" t="s">
        <v>45541</v>
      </c>
      <c r="AG746" t="s">
        <v>19330</v>
      </c>
      <c r="AH746">
        <v>2</v>
      </c>
      <c r="AI746">
        <v>2</v>
      </c>
      <c r="AJ746">
        <v>1</v>
      </c>
      <c r="AK746">
        <v>22.81</v>
      </c>
      <c r="AN746" t="s">
        <v>7439</v>
      </c>
      <c r="AO746">
        <v>4740</v>
      </c>
      <c r="AQ746" t="s">
        <v>46365</v>
      </c>
      <c r="AR746" t="s">
        <v>46408</v>
      </c>
      <c r="AS746" t="s">
        <v>46499</v>
      </c>
      <c r="AT746" t="s">
        <v>46553</v>
      </c>
      <c r="AU746">
        <v>11.3</v>
      </c>
      <c r="AV746" t="s">
        <v>441</v>
      </c>
      <c r="AW746" t="s">
        <v>46832</v>
      </c>
      <c r="AX746" t="s">
        <v>46898</v>
      </c>
    </row>
    <row r="747" spans="1:50">
      <c r="A747" s="1">
        <f>HYPERLINK("https://lsnyc.legalserver.org/matter/dynamic-profile/view/1873873","18-1873873")</f>
        <v>0</v>
      </c>
      <c r="B747" t="s">
        <v>210</v>
      </c>
      <c r="C747" t="s">
        <v>340</v>
      </c>
      <c r="D747" t="s">
        <v>469</v>
      </c>
      <c r="F747" t="s">
        <v>1411</v>
      </c>
      <c r="G747" t="s">
        <v>5177</v>
      </c>
      <c r="H747" t="s">
        <v>10302</v>
      </c>
      <c r="I747">
        <v>1</v>
      </c>
      <c r="J747" t="s">
        <v>18902</v>
      </c>
      <c r="K747">
        <v>10301</v>
      </c>
      <c r="L747" t="s">
        <v>18959</v>
      </c>
      <c r="M747" t="s">
        <v>18959</v>
      </c>
      <c r="N747" t="s">
        <v>19330</v>
      </c>
      <c r="O747" t="s">
        <v>18997</v>
      </c>
      <c r="P747" t="s">
        <v>26564</v>
      </c>
      <c r="R747" t="s">
        <v>26578</v>
      </c>
      <c r="S747" t="s">
        <v>18959</v>
      </c>
      <c r="U747" t="s">
        <v>26604</v>
      </c>
      <c r="V747" t="s">
        <v>26610</v>
      </c>
      <c r="W747" t="s">
        <v>469</v>
      </c>
      <c r="X747">
        <v>504</v>
      </c>
      <c r="Y747" t="s">
        <v>26654</v>
      </c>
      <c r="Z747" t="s">
        <v>26663</v>
      </c>
      <c r="AB747" t="s">
        <v>27407</v>
      </c>
      <c r="AD747" t="s">
        <v>37472</v>
      </c>
      <c r="AE747">
        <v>3</v>
      </c>
      <c r="AF747" t="s">
        <v>45548</v>
      </c>
      <c r="AG747" t="s">
        <v>45556</v>
      </c>
      <c r="AH747">
        <v>3</v>
      </c>
      <c r="AI747">
        <v>1</v>
      </c>
      <c r="AJ747">
        <v>2</v>
      </c>
      <c r="AK747">
        <v>0</v>
      </c>
      <c r="AN747" t="s">
        <v>7439</v>
      </c>
      <c r="AO747">
        <v>0</v>
      </c>
      <c r="AR747" t="s">
        <v>26530</v>
      </c>
      <c r="AT747" t="s">
        <v>46617</v>
      </c>
      <c r="AU747">
        <v>1</v>
      </c>
      <c r="AV747" t="s">
        <v>469</v>
      </c>
      <c r="AW747" t="s">
        <v>46843</v>
      </c>
    </row>
    <row r="748" spans="1:50">
      <c r="A748" s="1">
        <f>HYPERLINK("https://lsnyc.legalserver.org/matter/dynamic-profile/view/1873865","18-1873865")</f>
        <v>0</v>
      </c>
      <c r="B748" t="s">
        <v>82</v>
      </c>
      <c r="C748" t="s">
        <v>340</v>
      </c>
      <c r="D748" t="s">
        <v>469</v>
      </c>
      <c r="F748" t="s">
        <v>1021</v>
      </c>
      <c r="G748" t="s">
        <v>5592</v>
      </c>
      <c r="H748" t="s">
        <v>10303</v>
      </c>
      <c r="I748">
        <v>5</v>
      </c>
      <c r="J748" t="s">
        <v>18892</v>
      </c>
      <c r="K748">
        <v>10457</v>
      </c>
      <c r="L748" t="s">
        <v>18958</v>
      </c>
      <c r="M748" t="s">
        <v>18958</v>
      </c>
      <c r="N748" t="s">
        <v>19550</v>
      </c>
      <c r="O748" t="s">
        <v>26524</v>
      </c>
      <c r="P748" t="s">
        <v>26560</v>
      </c>
      <c r="R748" t="s">
        <v>26579</v>
      </c>
      <c r="S748" t="s">
        <v>18959</v>
      </c>
      <c r="U748" t="s">
        <v>26604</v>
      </c>
      <c r="V748" t="s">
        <v>26610</v>
      </c>
      <c r="W748" t="s">
        <v>469</v>
      </c>
      <c r="X748">
        <v>1321.11</v>
      </c>
      <c r="Y748" t="s">
        <v>26650</v>
      </c>
      <c r="Z748" t="s">
        <v>26662</v>
      </c>
      <c r="AB748" t="s">
        <v>27408</v>
      </c>
      <c r="AD748" t="s">
        <v>37473</v>
      </c>
      <c r="AE748">
        <v>60</v>
      </c>
      <c r="AF748" t="s">
        <v>45541</v>
      </c>
      <c r="AG748" t="s">
        <v>19330</v>
      </c>
      <c r="AH748">
        <v>2</v>
      </c>
      <c r="AI748">
        <v>1</v>
      </c>
      <c r="AJ748">
        <v>0</v>
      </c>
      <c r="AK748">
        <v>76.41</v>
      </c>
      <c r="AN748" t="s">
        <v>7439</v>
      </c>
      <c r="AO748">
        <v>9276</v>
      </c>
      <c r="AP748" t="s">
        <v>45621</v>
      </c>
      <c r="AU748">
        <v>18.55</v>
      </c>
      <c r="AV748" t="s">
        <v>773</v>
      </c>
      <c r="AW748" t="s">
        <v>46837</v>
      </c>
    </row>
    <row r="749" spans="1:50">
      <c r="A749" s="1">
        <f>HYPERLINK("https://lsnyc.legalserver.org/matter/dynamic-profile/view/1873891","18-1873891")</f>
        <v>0</v>
      </c>
      <c r="B749" t="s">
        <v>111</v>
      </c>
      <c r="C749" t="s">
        <v>340</v>
      </c>
      <c r="D749" t="s">
        <v>469</v>
      </c>
      <c r="F749" t="s">
        <v>1412</v>
      </c>
      <c r="G749" t="s">
        <v>5593</v>
      </c>
      <c r="H749" t="s">
        <v>10304</v>
      </c>
      <c r="I749">
        <v>510</v>
      </c>
      <c r="J749" t="s">
        <v>18906</v>
      </c>
      <c r="K749">
        <v>11373</v>
      </c>
      <c r="L749" t="s">
        <v>18958</v>
      </c>
      <c r="M749" t="s">
        <v>18958</v>
      </c>
      <c r="N749" t="s">
        <v>19551</v>
      </c>
      <c r="O749" t="s">
        <v>26523</v>
      </c>
      <c r="P749" t="s">
        <v>26564</v>
      </c>
      <c r="R749" t="s">
        <v>26585</v>
      </c>
      <c r="S749" t="s">
        <v>18959</v>
      </c>
      <c r="U749" t="s">
        <v>26604</v>
      </c>
      <c r="V749" t="s">
        <v>26610</v>
      </c>
      <c r="W749" t="s">
        <v>469</v>
      </c>
      <c r="X749">
        <v>1417</v>
      </c>
      <c r="Y749" t="s">
        <v>26653</v>
      </c>
      <c r="Z749" t="s">
        <v>26664</v>
      </c>
      <c r="AB749" t="s">
        <v>27409</v>
      </c>
      <c r="AD749" t="s">
        <v>37474</v>
      </c>
      <c r="AE749">
        <v>75</v>
      </c>
      <c r="AF749" t="s">
        <v>45541</v>
      </c>
      <c r="AG749" t="s">
        <v>19330</v>
      </c>
      <c r="AH749">
        <v>24</v>
      </c>
      <c r="AI749">
        <v>1</v>
      </c>
      <c r="AJ749">
        <v>1</v>
      </c>
      <c r="AK749">
        <v>170.11</v>
      </c>
      <c r="AO749">
        <v>28000</v>
      </c>
      <c r="AU749">
        <v>0.15</v>
      </c>
      <c r="AV749" t="s">
        <v>497</v>
      </c>
      <c r="AW749" t="s">
        <v>122</v>
      </c>
    </row>
    <row r="750" spans="1:50">
      <c r="A750" s="1">
        <f>HYPERLINK("https://lsnyc.legalserver.org/matter/dynamic-profile/view/1873875","18-1873875")</f>
        <v>0</v>
      </c>
      <c r="B750" t="s">
        <v>112</v>
      </c>
      <c r="C750" t="s">
        <v>340</v>
      </c>
      <c r="D750" t="s">
        <v>469</v>
      </c>
      <c r="F750" t="s">
        <v>1413</v>
      </c>
      <c r="G750" t="s">
        <v>5147</v>
      </c>
      <c r="H750" t="s">
        <v>10305</v>
      </c>
      <c r="I750" t="s">
        <v>17491</v>
      </c>
      <c r="J750" t="s">
        <v>18918</v>
      </c>
      <c r="K750">
        <v>11416</v>
      </c>
      <c r="L750" t="s">
        <v>18958</v>
      </c>
      <c r="M750" t="s">
        <v>18958</v>
      </c>
      <c r="N750" t="s">
        <v>19552</v>
      </c>
      <c r="O750" t="s">
        <v>26524</v>
      </c>
      <c r="P750" t="s">
        <v>26560</v>
      </c>
      <c r="R750" t="s">
        <v>26584</v>
      </c>
      <c r="S750" t="s">
        <v>18959</v>
      </c>
      <c r="U750" t="s">
        <v>26604</v>
      </c>
      <c r="V750" t="s">
        <v>26610</v>
      </c>
      <c r="W750" t="s">
        <v>469</v>
      </c>
      <c r="X750">
        <v>1980</v>
      </c>
      <c r="Y750" t="s">
        <v>26653</v>
      </c>
      <c r="Z750" t="s">
        <v>26664</v>
      </c>
      <c r="AB750" t="s">
        <v>26946</v>
      </c>
      <c r="AC750" t="s">
        <v>34740</v>
      </c>
      <c r="AD750" t="s">
        <v>37475</v>
      </c>
      <c r="AE750">
        <v>3</v>
      </c>
      <c r="AF750" t="s">
        <v>45547</v>
      </c>
      <c r="AG750" t="s">
        <v>45557</v>
      </c>
      <c r="AH750">
        <v>1</v>
      </c>
      <c r="AI750">
        <v>1</v>
      </c>
      <c r="AJ750">
        <v>5</v>
      </c>
      <c r="AK750">
        <v>52.64</v>
      </c>
      <c r="AO750">
        <v>17760</v>
      </c>
      <c r="AQ750" t="s">
        <v>46369</v>
      </c>
      <c r="AR750" t="s">
        <v>46379</v>
      </c>
      <c r="AS750" t="s">
        <v>46499</v>
      </c>
      <c r="AT750" t="s">
        <v>46543</v>
      </c>
      <c r="AU750">
        <v>85</v>
      </c>
      <c r="AV750" t="s">
        <v>780</v>
      </c>
      <c r="AW750" t="s">
        <v>122</v>
      </c>
    </row>
    <row r="751" spans="1:50">
      <c r="A751" s="1">
        <f>HYPERLINK("https://lsnyc.legalserver.org/matter/dynamic-profile/view/1873882","18-1873882")</f>
        <v>0</v>
      </c>
      <c r="B751" t="s">
        <v>91</v>
      </c>
      <c r="C751" t="s">
        <v>340</v>
      </c>
      <c r="D751" t="s">
        <v>469</v>
      </c>
      <c r="F751" t="s">
        <v>1414</v>
      </c>
      <c r="G751" t="s">
        <v>5594</v>
      </c>
      <c r="H751" t="s">
        <v>10306</v>
      </c>
      <c r="I751" t="s">
        <v>17517</v>
      </c>
      <c r="J751" t="s">
        <v>18914</v>
      </c>
      <c r="K751">
        <v>11104</v>
      </c>
      <c r="L751" t="s">
        <v>18958</v>
      </c>
      <c r="M751" t="s">
        <v>18958</v>
      </c>
      <c r="N751" t="s">
        <v>19553</v>
      </c>
      <c r="O751" t="s">
        <v>26523</v>
      </c>
      <c r="P751" t="s">
        <v>26560</v>
      </c>
      <c r="R751" t="s">
        <v>26584</v>
      </c>
      <c r="U751" t="s">
        <v>26604</v>
      </c>
      <c r="V751" t="s">
        <v>26610</v>
      </c>
      <c r="W751" t="s">
        <v>469</v>
      </c>
      <c r="X751">
        <v>1050</v>
      </c>
      <c r="Y751" t="s">
        <v>26653</v>
      </c>
      <c r="Z751" t="s">
        <v>26664</v>
      </c>
      <c r="AB751" t="s">
        <v>27410</v>
      </c>
      <c r="AD751" t="s">
        <v>37476</v>
      </c>
      <c r="AE751">
        <v>10</v>
      </c>
      <c r="AF751" t="s">
        <v>45541</v>
      </c>
      <c r="AG751" t="s">
        <v>45557</v>
      </c>
      <c r="AH751">
        <v>8</v>
      </c>
      <c r="AI751">
        <v>1</v>
      </c>
      <c r="AJ751">
        <v>2</v>
      </c>
      <c r="AK751">
        <v>20.33</v>
      </c>
      <c r="AO751">
        <v>4224</v>
      </c>
      <c r="AU751">
        <v>25</v>
      </c>
      <c r="AV751" t="s">
        <v>781</v>
      </c>
      <c r="AW751" t="s">
        <v>122</v>
      </c>
    </row>
    <row r="752" spans="1:50">
      <c r="A752" s="1">
        <f>HYPERLINK("https://lsnyc.legalserver.org/matter/dynamic-profile/view/1873969","18-1873969")</f>
        <v>0</v>
      </c>
      <c r="B752" t="s">
        <v>114</v>
      </c>
      <c r="C752" t="s">
        <v>340</v>
      </c>
      <c r="D752" t="s">
        <v>469</v>
      </c>
      <c r="F752" t="s">
        <v>1415</v>
      </c>
      <c r="G752" t="s">
        <v>5595</v>
      </c>
      <c r="H752" t="s">
        <v>10307</v>
      </c>
      <c r="I752" t="s">
        <v>17332</v>
      </c>
      <c r="J752" t="s">
        <v>18918</v>
      </c>
      <c r="K752">
        <v>11416</v>
      </c>
      <c r="L752" t="s">
        <v>18958</v>
      </c>
      <c r="M752" t="s">
        <v>18958</v>
      </c>
      <c r="N752" t="s">
        <v>19554</v>
      </c>
      <c r="O752" t="s">
        <v>26523</v>
      </c>
      <c r="P752" t="s">
        <v>26560</v>
      </c>
      <c r="R752" t="s">
        <v>26584</v>
      </c>
      <c r="S752" t="s">
        <v>18959</v>
      </c>
      <c r="U752" t="s">
        <v>26604</v>
      </c>
      <c r="V752" t="s">
        <v>26610</v>
      </c>
      <c r="W752" t="s">
        <v>469</v>
      </c>
      <c r="X752">
        <v>1580</v>
      </c>
      <c r="Y752" t="s">
        <v>26653</v>
      </c>
      <c r="Z752" t="s">
        <v>26664</v>
      </c>
      <c r="AB752" t="s">
        <v>27411</v>
      </c>
      <c r="AC752" t="s">
        <v>19330</v>
      </c>
      <c r="AD752" t="s">
        <v>37477</v>
      </c>
      <c r="AE752">
        <v>6</v>
      </c>
      <c r="AF752" t="s">
        <v>45541</v>
      </c>
      <c r="AG752" t="s">
        <v>19330</v>
      </c>
      <c r="AH752">
        <v>6</v>
      </c>
      <c r="AI752">
        <v>2</v>
      </c>
      <c r="AJ752">
        <v>1</v>
      </c>
      <c r="AK752">
        <v>40.25</v>
      </c>
      <c r="AN752" t="s">
        <v>7439</v>
      </c>
      <c r="AO752">
        <v>8364</v>
      </c>
      <c r="AU752">
        <v>26.45</v>
      </c>
      <c r="AV752" t="s">
        <v>801</v>
      </c>
      <c r="AW752" t="s">
        <v>161</v>
      </c>
    </row>
    <row r="753" spans="1:49">
      <c r="A753" s="1">
        <f>HYPERLINK("https://lsnyc.legalserver.org/matter/dynamic-profile/view/1873928","18-1873928")</f>
        <v>0</v>
      </c>
      <c r="B753" t="s">
        <v>114</v>
      </c>
      <c r="C753" t="s">
        <v>340</v>
      </c>
      <c r="D753" t="s">
        <v>469</v>
      </c>
      <c r="F753" t="s">
        <v>1416</v>
      </c>
      <c r="G753" t="s">
        <v>5596</v>
      </c>
      <c r="H753" t="s">
        <v>10308</v>
      </c>
      <c r="J753" t="s">
        <v>18922</v>
      </c>
      <c r="K753">
        <v>11694</v>
      </c>
      <c r="L753" t="s">
        <v>18958</v>
      </c>
      <c r="M753" t="s">
        <v>18958</v>
      </c>
      <c r="N753" t="s">
        <v>19555</v>
      </c>
      <c r="O753" t="s">
        <v>26524</v>
      </c>
      <c r="P753" t="s">
        <v>26564</v>
      </c>
      <c r="R753" t="s">
        <v>26584</v>
      </c>
      <c r="S753" t="s">
        <v>18959</v>
      </c>
      <c r="U753" t="s">
        <v>26604</v>
      </c>
      <c r="V753" t="s">
        <v>26611</v>
      </c>
      <c r="W753" t="s">
        <v>469</v>
      </c>
      <c r="X753">
        <v>1050</v>
      </c>
      <c r="Y753" t="s">
        <v>26653</v>
      </c>
      <c r="Z753" t="s">
        <v>26664</v>
      </c>
      <c r="AB753" t="s">
        <v>27412</v>
      </c>
      <c r="AD753" t="s">
        <v>37478</v>
      </c>
      <c r="AE753">
        <v>2</v>
      </c>
      <c r="AF753" t="s">
        <v>45547</v>
      </c>
      <c r="AG753" t="s">
        <v>19330</v>
      </c>
      <c r="AH753">
        <v>3</v>
      </c>
      <c r="AI753">
        <v>1</v>
      </c>
      <c r="AJ753">
        <v>0</v>
      </c>
      <c r="AK753">
        <v>156.51</v>
      </c>
      <c r="AM753" t="s">
        <v>45576</v>
      </c>
      <c r="AN753" t="s">
        <v>7439</v>
      </c>
      <c r="AO753">
        <v>19000</v>
      </c>
      <c r="AU753">
        <v>1.7</v>
      </c>
      <c r="AV753" t="s">
        <v>545</v>
      </c>
      <c r="AW753" t="s">
        <v>208</v>
      </c>
    </row>
    <row r="754" spans="1:49">
      <c r="A754" s="1">
        <f>HYPERLINK("https://lsnyc.legalserver.org/matter/dynamic-profile/view/1873958","18-1873958")</f>
        <v>0</v>
      </c>
      <c r="B754" t="s">
        <v>114</v>
      </c>
      <c r="C754" t="s">
        <v>340</v>
      </c>
      <c r="D754" t="s">
        <v>469</v>
      </c>
      <c r="F754" t="s">
        <v>1417</v>
      </c>
      <c r="G754" t="s">
        <v>5597</v>
      </c>
      <c r="H754" t="s">
        <v>10309</v>
      </c>
      <c r="I754" t="s">
        <v>17387</v>
      </c>
      <c r="J754" t="s">
        <v>18899</v>
      </c>
      <c r="K754">
        <v>11385</v>
      </c>
      <c r="L754" t="s">
        <v>18958</v>
      </c>
      <c r="M754" t="s">
        <v>18958</v>
      </c>
      <c r="N754" t="s">
        <v>19556</v>
      </c>
      <c r="O754" t="s">
        <v>26523</v>
      </c>
      <c r="P754" t="s">
        <v>26564</v>
      </c>
      <c r="R754" t="s">
        <v>26585</v>
      </c>
      <c r="S754" t="s">
        <v>18959</v>
      </c>
      <c r="U754" t="s">
        <v>26604</v>
      </c>
      <c r="V754" t="s">
        <v>26610</v>
      </c>
      <c r="W754" t="s">
        <v>469</v>
      </c>
      <c r="X754">
        <v>1900</v>
      </c>
      <c r="Y754" t="s">
        <v>26653</v>
      </c>
      <c r="Z754" t="s">
        <v>26664</v>
      </c>
      <c r="AB754" t="s">
        <v>27413</v>
      </c>
      <c r="AC754" t="s">
        <v>34507</v>
      </c>
      <c r="AD754" t="s">
        <v>37479</v>
      </c>
      <c r="AE754">
        <v>2</v>
      </c>
      <c r="AF754" t="s">
        <v>45547</v>
      </c>
      <c r="AG754" t="s">
        <v>19330</v>
      </c>
      <c r="AH754">
        <v>3</v>
      </c>
      <c r="AI754">
        <v>2</v>
      </c>
      <c r="AJ754">
        <v>3</v>
      </c>
      <c r="AK754">
        <v>81.58</v>
      </c>
      <c r="AM754" t="s">
        <v>45576</v>
      </c>
      <c r="AN754" t="s">
        <v>7439</v>
      </c>
      <c r="AO754">
        <v>24000</v>
      </c>
      <c r="AU754">
        <v>3.15</v>
      </c>
      <c r="AV754" t="s">
        <v>574</v>
      </c>
      <c r="AW754" t="s">
        <v>208</v>
      </c>
    </row>
    <row r="755" spans="1:49">
      <c r="A755" s="1">
        <f>HYPERLINK("https://lsnyc.legalserver.org/matter/dynamic-profile/view/1873920","18-1873920")</f>
        <v>0</v>
      </c>
      <c r="B755" t="s">
        <v>59</v>
      </c>
      <c r="C755" t="s">
        <v>340</v>
      </c>
      <c r="D755" t="s">
        <v>469</v>
      </c>
      <c r="F755" t="s">
        <v>1081</v>
      </c>
      <c r="G755" t="s">
        <v>5598</v>
      </c>
      <c r="H755" t="s">
        <v>10310</v>
      </c>
      <c r="I755" t="s">
        <v>17518</v>
      </c>
      <c r="J755" t="s">
        <v>18893</v>
      </c>
      <c r="K755">
        <v>10036</v>
      </c>
      <c r="L755" t="s">
        <v>18958</v>
      </c>
      <c r="M755" t="s">
        <v>18958</v>
      </c>
      <c r="N755" t="s">
        <v>19557</v>
      </c>
      <c r="O755" t="s">
        <v>26523</v>
      </c>
      <c r="P755" t="s">
        <v>26560</v>
      </c>
      <c r="R755" t="s">
        <v>26582</v>
      </c>
      <c r="S755" t="s">
        <v>18959</v>
      </c>
      <c r="U755" t="s">
        <v>26604</v>
      </c>
      <c r="W755" t="s">
        <v>469</v>
      </c>
      <c r="X755">
        <v>969</v>
      </c>
      <c r="Y755" t="s">
        <v>26651</v>
      </c>
      <c r="Z755" t="s">
        <v>26664</v>
      </c>
      <c r="AB755" t="s">
        <v>27414</v>
      </c>
      <c r="AC755" t="s">
        <v>34741</v>
      </c>
      <c r="AD755" t="s">
        <v>37480</v>
      </c>
      <c r="AE755">
        <v>0</v>
      </c>
      <c r="AH755">
        <v>25</v>
      </c>
      <c r="AI755">
        <v>1</v>
      </c>
      <c r="AJ755">
        <v>0</v>
      </c>
      <c r="AK755">
        <v>21.42</v>
      </c>
      <c r="AM755" t="s">
        <v>45576</v>
      </c>
      <c r="AN755" t="s">
        <v>7439</v>
      </c>
      <c r="AO755">
        <v>2600</v>
      </c>
      <c r="AU755">
        <v>20.85</v>
      </c>
      <c r="AV755" t="s">
        <v>427</v>
      </c>
      <c r="AW755" t="s">
        <v>317</v>
      </c>
    </row>
    <row r="756" spans="1:49">
      <c r="A756" s="1">
        <f>HYPERLINK("https://lsnyc.legalserver.org/matter/dynamic-profile/view/1874088","18-1874088")</f>
        <v>0</v>
      </c>
      <c r="B756" t="s">
        <v>172</v>
      </c>
      <c r="C756" t="s">
        <v>341</v>
      </c>
      <c r="D756" t="s">
        <v>492</v>
      </c>
      <c r="E756" t="s">
        <v>493</v>
      </c>
      <c r="F756" t="s">
        <v>1352</v>
      </c>
      <c r="G756" t="s">
        <v>5599</v>
      </c>
      <c r="H756" t="s">
        <v>10311</v>
      </c>
      <c r="I756" t="s">
        <v>17298</v>
      </c>
      <c r="J756" t="s">
        <v>18894</v>
      </c>
      <c r="K756">
        <v>11206</v>
      </c>
      <c r="L756" t="s">
        <v>18958</v>
      </c>
      <c r="M756" t="s">
        <v>18960</v>
      </c>
      <c r="N756" t="s">
        <v>19558</v>
      </c>
      <c r="O756" t="s">
        <v>26523</v>
      </c>
      <c r="P756" t="s">
        <v>26560</v>
      </c>
      <c r="Q756" t="s">
        <v>26568</v>
      </c>
      <c r="R756" t="s">
        <v>26586</v>
      </c>
      <c r="S756" t="s">
        <v>18959</v>
      </c>
      <c r="U756" t="s">
        <v>26604</v>
      </c>
      <c r="W756" t="s">
        <v>469</v>
      </c>
      <c r="X756">
        <v>907.4299999999999</v>
      </c>
      <c r="Y756" t="s">
        <v>26652</v>
      </c>
      <c r="AA756" t="s">
        <v>26678</v>
      </c>
      <c r="AB756" t="s">
        <v>27415</v>
      </c>
      <c r="AD756" t="s">
        <v>37481</v>
      </c>
      <c r="AE756">
        <v>0</v>
      </c>
      <c r="AF756" t="s">
        <v>45541</v>
      </c>
      <c r="AH756">
        <v>12</v>
      </c>
      <c r="AI756">
        <v>1</v>
      </c>
      <c r="AJ756">
        <v>0</v>
      </c>
      <c r="AK756">
        <v>113.67</v>
      </c>
      <c r="AN756" t="s">
        <v>7439</v>
      </c>
      <c r="AO756">
        <v>13800</v>
      </c>
      <c r="AQ756" t="s">
        <v>46359</v>
      </c>
      <c r="AR756" t="s">
        <v>46379</v>
      </c>
      <c r="AS756" t="s">
        <v>46499</v>
      </c>
      <c r="AT756" t="s">
        <v>46628</v>
      </c>
      <c r="AU756">
        <v>9.800000000000001</v>
      </c>
      <c r="AV756" t="s">
        <v>493</v>
      </c>
      <c r="AW756" t="s">
        <v>172</v>
      </c>
    </row>
    <row r="757" spans="1:49">
      <c r="A757" s="1">
        <f>HYPERLINK("https://lsnyc.legalserver.org/matter/dynamic-profile/view/1876370","18-1876370")</f>
        <v>0</v>
      </c>
      <c r="B757" t="s">
        <v>80</v>
      </c>
      <c r="C757" t="s">
        <v>341</v>
      </c>
      <c r="D757" t="s">
        <v>493</v>
      </c>
      <c r="E757" t="s">
        <v>624</v>
      </c>
      <c r="F757" t="s">
        <v>1418</v>
      </c>
      <c r="G757" t="s">
        <v>5600</v>
      </c>
      <c r="H757" t="s">
        <v>10312</v>
      </c>
      <c r="I757" t="s">
        <v>17343</v>
      </c>
      <c r="J757" t="s">
        <v>18893</v>
      </c>
      <c r="K757">
        <v>10033</v>
      </c>
      <c r="L757" t="s">
        <v>18958</v>
      </c>
      <c r="M757" t="s">
        <v>18958</v>
      </c>
      <c r="N757" t="s">
        <v>19559</v>
      </c>
      <c r="O757" t="s">
        <v>26524</v>
      </c>
      <c r="P757" t="s">
        <v>26564</v>
      </c>
      <c r="Q757" t="s">
        <v>26570</v>
      </c>
      <c r="R757" t="s">
        <v>26582</v>
      </c>
      <c r="S757" t="s">
        <v>18959</v>
      </c>
      <c r="U757" t="s">
        <v>26604</v>
      </c>
      <c r="V757" t="s">
        <v>26610</v>
      </c>
      <c r="W757" t="s">
        <v>469</v>
      </c>
      <c r="X757">
        <v>600</v>
      </c>
      <c r="Y757" t="s">
        <v>26651</v>
      </c>
      <c r="Z757" t="s">
        <v>26664</v>
      </c>
      <c r="AA757" t="s">
        <v>26683</v>
      </c>
      <c r="AB757" t="s">
        <v>27416</v>
      </c>
      <c r="AD757" t="s">
        <v>37482</v>
      </c>
      <c r="AE757">
        <v>42</v>
      </c>
      <c r="AF757" t="s">
        <v>20460</v>
      </c>
      <c r="AG757" t="s">
        <v>19330</v>
      </c>
      <c r="AH757">
        <v>-1</v>
      </c>
      <c r="AI757">
        <v>1</v>
      </c>
      <c r="AJ757">
        <v>0</v>
      </c>
      <c r="AK757">
        <v>42.83</v>
      </c>
      <c r="AN757" t="s">
        <v>7439</v>
      </c>
      <c r="AO757">
        <v>5200</v>
      </c>
      <c r="AU757">
        <v>1.3</v>
      </c>
      <c r="AV757" t="s">
        <v>589</v>
      </c>
      <c r="AW757" t="s">
        <v>314</v>
      </c>
    </row>
    <row r="758" spans="1:49">
      <c r="A758" s="1">
        <f>HYPERLINK("https://lsnyc.legalserver.org/matter/dynamic-profile/view/1876369","18-1876369")</f>
        <v>0</v>
      </c>
      <c r="B758" t="s">
        <v>157</v>
      </c>
      <c r="C758" t="s">
        <v>341</v>
      </c>
      <c r="D758" t="s">
        <v>493</v>
      </c>
      <c r="E758" t="s">
        <v>707</v>
      </c>
      <c r="F758" t="s">
        <v>1107</v>
      </c>
      <c r="G758" t="s">
        <v>5601</v>
      </c>
      <c r="H758" t="s">
        <v>10313</v>
      </c>
      <c r="I758" t="s">
        <v>17284</v>
      </c>
      <c r="J758" t="s">
        <v>18893</v>
      </c>
      <c r="K758">
        <v>10033</v>
      </c>
      <c r="L758" t="s">
        <v>18958</v>
      </c>
      <c r="M758" t="s">
        <v>18958</v>
      </c>
      <c r="N758" t="s">
        <v>19560</v>
      </c>
      <c r="O758" t="s">
        <v>26523</v>
      </c>
      <c r="P758" t="s">
        <v>26564</v>
      </c>
      <c r="Q758" t="s">
        <v>26570</v>
      </c>
      <c r="R758" t="s">
        <v>26582</v>
      </c>
      <c r="S758" t="s">
        <v>18959</v>
      </c>
      <c r="U758" t="s">
        <v>26604</v>
      </c>
      <c r="V758" t="s">
        <v>26610</v>
      </c>
      <c r="W758" t="s">
        <v>469</v>
      </c>
      <c r="X758">
        <v>1519</v>
      </c>
      <c r="Y758" t="s">
        <v>26651</v>
      </c>
      <c r="Z758" t="s">
        <v>26664</v>
      </c>
      <c r="AA758" t="s">
        <v>26683</v>
      </c>
      <c r="AB758" t="s">
        <v>27417</v>
      </c>
      <c r="AD758" t="s">
        <v>37483</v>
      </c>
      <c r="AE758">
        <v>60</v>
      </c>
      <c r="AF758" t="s">
        <v>45541</v>
      </c>
      <c r="AG758" t="s">
        <v>19330</v>
      </c>
      <c r="AH758">
        <v>10</v>
      </c>
      <c r="AI758">
        <v>1</v>
      </c>
      <c r="AJ758">
        <v>0</v>
      </c>
      <c r="AK758">
        <v>130.68</v>
      </c>
      <c r="AN758" t="s">
        <v>7439</v>
      </c>
      <c r="AO758">
        <v>15864</v>
      </c>
      <c r="AU758">
        <v>2</v>
      </c>
      <c r="AV758" t="s">
        <v>614</v>
      </c>
      <c r="AW758" t="s">
        <v>317</v>
      </c>
    </row>
    <row r="759" spans="1:49">
      <c r="A759" s="1">
        <f>HYPERLINK("https://lsnyc.legalserver.org/matter/dynamic-profile/view/1876269","18-1876269")</f>
        <v>0</v>
      </c>
      <c r="B759" t="s">
        <v>144</v>
      </c>
      <c r="C759" t="s">
        <v>340</v>
      </c>
      <c r="D759" t="s">
        <v>493</v>
      </c>
      <c r="F759" t="s">
        <v>1419</v>
      </c>
      <c r="G759" t="s">
        <v>4612</v>
      </c>
      <c r="H759" t="s">
        <v>10314</v>
      </c>
      <c r="I759" t="s">
        <v>17277</v>
      </c>
      <c r="J759" t="s">
        <v>18893</v>
      </c>
      <c r="K759">
        <v>10026</v>
      </c>
      <c r="L759" t="s">
        <v>18958</v>
      </c>
      <c r="M759" t="s">
        <v>18958</v>
      </c>
      <c r="N759" t="s">
        <v>19561</v>
      </c>
      <c r="O759" t="s">
        <v>26523</v>
      </c>
      <c r="P759" t="s">
        <v>26560</v>
      </c>
      <c r="R759" t="s">
        <v>26580</v>
      </c>
      <c r="S759" t="s">
        <v>18959</v>
      </c>
      <c r="U759" t="s">
        <v>26606</v>
      </c>
      <c r="W759" t="s">
        <v>469</v>
      </c>
      <c r="X759">
        <v>3358</v>
      </c>
      <c r="Y759" t="s">
        <v>26651</v>
      </c>
      <c r="Z759" t="s">
        <v>26659</v>
      </c>
      <c r="AB759" t="s">
        <v>27418</v>
      </c>
      <c r="AD759" t="s">
        <v>37484</v>
      </c>
      <c r="AE759">
        <v>48</v>
      </c>
      <c r="AF759" t="s">
        <v>45543</v>
      </c>
      <c r="AG759" t="s">
        <v>45556</v>
      </c>
      <c r="AH759">
        <v>35</v>
      </c>
      <c r="AI759">
        <v>4</v>
      </c>
      <c r="AJ759">
        <v>1</v>
      </c>
      <c r="AK759">
        <v>152.96</v>
      </c>
      <c r="AN759" t="s">
        <v>7439</v>
      </c>
      <c r="AO759">
        <v>45000</v>
      </c>
      <c r="AU759">
        <v>7.1</v>
      </c>
      <c r="AV759" t="s">
        <v>632</v>
      </c>
      <c r="AW759" t="s">
        <v>314</v>
      </c>
    </row>
    <row r="760" spans="1:49">
      <c r="A760" s="1">
        <f>HYPERLINK("https://lsnyc.legalserver.org/matter/dynamic-profile/view/1839675","17-1839675")</f>
        <v>0</v>
      </c>
      <c r="B760" t="s">
        <v>73</v>
      </c>
      <c r="C760" t="s">
        <v>341</v>
      </c>
      <c r="D760" t="s">
        <v>428</v>
      </c>
      <c r="E760" t="s">
        <v>646</v>
      </c>
      <c r="F760" t="s">
        <v>1420</v>
      </c>
      <c r="G760" t="s">
        <v>2564</v>
      </c>
      <c r="H760" t="s">
        <v>9779</v>
      </c>
      <c r="I760">
        <v>2</v>
      </c>
      <c r="J760" t="s">
        <v>18894</v>
      </c>
      <c r="K760">
        <v>11208</v>
      </c>
      <c r="L760" t="s">
        <v>18958</v>
      </c>
      <c r="M760" t="s">
        <v>18958</v>
      </c>
      <c r="O760" t="s">
        <v>26531</v>
      </c>
      <c r="P760" t="s">
        <v>26562</v>
      </c>
      <c r="Q760" t="s">
        <v>26573</v>
      </c>
      <c r="R760" t="s">
        <v>26578</v>
      </c>
      <c r="S760" t="s">
        <v>18958</v>
      </c>
      <c r="U760" t="s">
        <v>26604</v>
      </c>
      <c r="W760" t="s">
        <v>469</v>
      </c>
      <c r="X760">
        <v>900</v>
      </c>
      <c r="Y760" t="s">
        <v>26652</v>
      </c>
      <c r="AA760" t="s">
        <v>26682</v>
      </c>
      <c r="AB760" t="s">
        <v>27419</v>
      </c>
      <c r="AE760">
        <v>7</v>
      </c>
      <c r="AF760" t="s">
        <v>45547</v>
      </c>
      <c r="AH760">
        <v>0</v>
      </c>
      <c r="AI760">
        <v>2</v>
      </c>
      <c r="AJ760">
        <v>3</v>
      </c>
      <c r="AK760">
        <v>62.54</v>
      </c>
      <c r="AN760" t="s">
        <v>45581</v>
      </c>
      <c r="AO760">
        <v>18000</v>
      </c>
      <c r="AU760">
        <v>0.6</v>
      </c>
      <c r="AV760" t="s">
        <v>646</v>
      </c>
      <c r="AW760" t="s">
        <v>46863</v>
      </c>
    </row>
    <row r="761" spans="1:49">
      <c r="A761" s="1">
        <f>HYPERLINK("https://lsnyc.legalserver.org/matter/dynamic-profile/view/1872630","18-1872630")</f>
        <v>0</v>
      </c>
      <c r="B761" t="s">
        <v>103</v>
      </c>
      <c r="C761" t="s">
        <v>341</v>
      </c>
      <c r="D761" t="s">
        <v>494</v>
      </c>
      <c r="E761" t="s">
        <v>494</v>
      </c>
      <c r="F761" t="s">
        <v>1421</v>
      </c>
      <c r="G761" t="s">
        <v>5121</v>
      </c>
      <c r="H761" t="s">
        <v>10315</v>
      </c>
      <c r="I761" t="s">
        <v>17298</v>
      </c>
      <c r="J761" t="s">
        <v>18902</v>
      </c>
      <c r="K761">
        <v>10305</v>
      </c>
      <c r="L761" t="s">
        <v>18958</v>
      </c>
      <c r="M761" t="s">
        <v>18958</v>
      </c>
      <c r="N761" t="s">
        <v>19037</v>
      </c>
      <c r="O761" t="s">
        <v>18997</v>
      </c>
      <c r="P761" t="s">
        <v>26565</v>
      </c>
      <c r="Q761" t="s">
        <v>26571</v>
      </c>
      <c r="R761" t="s">
        <v>26587</v>
      </c>
      <c r="S761" t="s">
        <v>18959</v>
      </c>
      <c r="U761" t="s">
        <v>26604</v>
      </c>
      <c r="V761" t="s">
        <v>26610</v>
      </c>
      <c r="W761" t="s">
        <v>469</v>
      </c>
      <c r="X761">
        <v>0</v>
      </c>
      <c r="Y761" t="s">
        <v>26654</v>
      </c>
      <c r="Z761" t="s">
        <v>26661</v>
      </c>
      <c r="AA761" t="s">
        <v>26683</v>
      </c>
      <c r="AB761" t="s">
        <v>27420</v>
      </c>
      <c r="AD761" t="s">
        <v>37485</v>
      </c>
      <c r="AE761">
        <v>277</v>
      </c>
      <c r="AF761" t="s">
        <v>45549</v>
      </c>
      <c r="AG761" t="s">
        <v>19330</v>
      </c>
      <c r="AH761">
        <v>1</v>
      </c>
      <c r="AI761">
        <v>2</v>
      </c>
      <c r="AJ761">
        <v>0</v>
      </c>
      <c r="AK761">
        <v>182.19</v>
      </c>
      <c r="AN761" t="s">
        <v>45581</v>
      </c>
      <c r="AO761">
        <v>29988</v>
      </c>
      <c r="AU761">
        <v>0.7</v>
      </c>
      <c r="AV761" t="s">
        <v>494</v>
      </c>
      <c r="AW761" t="s">
        <v>46855</v>
      </c>
    </row>
    <row r="762" spans="1:49">
      <c r="A762" s="1">
        <f>HYPERLINK("https://lsnyc.legalserver.org/matter/dynamic-profile/view/0810812","16-0810812")</f>
        <v>0</v>
      </c>
      <c r="B762" t="s">
        <v>69</v>
      </c>
      <c r="C762" t="s">
        <v>340</v>
      </c>
      <c r="D762" t="s">
        <v>495</v>
      </c>
      <c r="F762" t="s">
        <v>1422</v>
      </c>
      <c r="G762" t="s">
        <v>5079</v>
      </c>
      <c r="H762" t="s">
        <v>10316</v>
      </c>
      <c r="I762">
        <v>14</v>
      </c>
      <c r="J762" t="s">
        <v>18892</v>
      </c>
      <c r="K762">
        <v>10454</v>
      </c>
      <c r="L762" t="s">
        <v>18958</v>
      </c>
      <c r="M762" t="s">
        <v>18960</v>
      </c>
      <c r="N762" t="s">
        <v>19562</v>
      </c>
      <c r="O762" t="s">
        <v>26524</v>
      </c>
      <c r="P762" t="s">
        <v>26560</v>
      </c>
      <c r="R762" t="s">
        <v>26577</v>
      </c>
      <c r="U762" t="s">
        <v>26605</v>
      </c>
      <c r="V762" t="s">
        <v>26610</v>
      </c>
      <c r="W762" t="s">
        <v>492</v>
      </c>
      <c r="X762">
        <v>351</v>
      </c>
      <c r="Y762" t="s">
        <v>26650</v>
      </c>
      <c r="Z762" t="s">
        <v>26661</v>
      </c>
      <c r="AB762" t="s">
        <v>27421</v>
      </c>
      <c r="AD762" t="s">
        <v>37486</v>
      </c>
      <c r="AE762">
        <v>128</v>
      </c>
      <c r="AF762" t="s">
        <v>45542</v>
      </c>
      <c r="AG762" t="s">
        <v>19330</v>
      </c>
      <c r="AH762">
        <v>12</v>
      </c>
      <c r="AI762">
        <v>2</v>
      </c>
      <c r="AJ762">
        <v>0</v>
      </c>
      <c r="AK762">
        <v>164.79</v>
      </c>
      <c r="AN762" t="s">
        <v>7439</v>
      </c>
      <c r="AO762">
        <v>26400</v>
      </c>
      <c r="AP762" t="s">
        <v>45617</v>
      </c>
      <c r="AU762">
        <v>46</v>
      </c>
      <c r="AV762" t="s">
        <v>779</v>
      </c>
      <c r="AW762" t="s">
        <v>46857</v>
      </c>
    </row>
    <row r="763" spans="1:49">
      <c r="A763" s="1">
        <f>HYPERLINK("https://lsnyc.legalserver.org/matter/dynamic-profile/view/1872231","18-1872231")</f>
        <v>0</v>
      </c>
      <c r="B763" t="s">
        <v>211</v>
      </c>
      <c r="C763" t="s">
        <v>341</v>
      </c>
      <c r="D763" t="s">
        <v>439</v>
      </c>
      <c r="E763" t="s">
        <v>624</v>
      </c>
      <c r="F763" t="s">
        <v>948</v>
      </c>
      <c r="G763" t="s">
        <v>5086</v>
      </c>
      <c r="H763" t="s">
        <v>10317</v>
      </c>
      <c r="I763" t="s">
        <v>17519</v>
      </c>
      <c r="J763" t="s">
        <v>18894</v>
      </c>
      <c r="K763">
        <v>11208</v>
      </c>
      <c r="L763" t="s">
        <v>18958</v>
      </c>
      <c r="M763" t="s">
        <v>18958</v>
      </c>
      <c r="N763" t="s">
        <v>19563</v>
      </c>
      <c r="O763" t="s">
        <v>26524</v>
      </c>
      <c r="P763" t="s">
        <v>26560</v>
      </c>
      <c r="Q763" t="s">
        <v>26568</v>
      </c>
      <c r="R763" t="s">
        <v>26578</v>
      </c>
      <c r="U763" t="s">
        <v>26604</v>
      </c>
      <c r="W763" t="s">
        <v>492</v>
      </c>
      <c r="X763">
        <v>400</v>
      </c>
      <c r="Y763" t="s">
        <v>26652</v>
      </c>
      <c r="Z763" t="s">
        <v>26662</v>
      </c>
      <c r="AA763" t="s">
        <v>26678</v>
      </c>
      <c r="AB763" t="s">
        <v>27422</v>
      </c>
      <c r="AD763" t="s">
        <v>37487</v>
      </c>
      <c r="AE763">
        <v>9</v>
      </c>
      <c r="AG763" t="s">
        <v>19330</v>
      </c>
      <c r="AH763">
        <v>0</v>
      </c>
      <c r="AI763">
        <v>1</v>
      </c>
      <c r="AJ763">
        <v>0</v>
      </c>
      <c r="AK763">
        <v>84.02</v>
      </c>
      <c r="AN763" t="s">
        <v>7439</v>
      </c>
      <c r="AO763">
        <v>10200</v>
      </c>
      <c r="AP763" t="s">
        <v>45669</v>
      </c>
      <c r="AQ763" t="s">
        <v>46362</v>
      </c>
      <c r="AR763" t="s">
        <v>46381</v>
      </c>
      <c r="AS763" t="s">
        <v>46499</v>
      </c>
      <c r="AT763" t="s">
        <v>46559</v>
      </c>
      <c r="AU763">
        <v>53.2</v>
      </c>
      <c r="AV763" t="s">
        <v>657</v>
      </c>
      <c r="AW763" t="s">
        <v>46853</v>
      </c>
    </row>
    <row r="764" spans="1:49">
      <c r="A764" s="1">
        <f>HYPERLINK("https://lsnyc.legalserver.org/matter/dynamic-profile/view/1872605","18-1872605")</f>
        <v>0</v>
      </c>
      <c r="B764" t="s">
        <v>135</v>
      </c>
      <c r="C764" t="s">
        <v>341</v>
      </c>
      <c r="D764" t="s">
        <v>409</v>
      </c>
      <c r="E764" t="s">
        <v>494</v>
      </c>
      <c r="F764" t="s">
        <v>1423</v>
      </c>
      <c r="G764" t="s">
        <v>5330</v>
      </c>
      <c r="H764" t="s">
        <v>10318</v>
      </c>
      <c r="I764" t="s">
        <v>17360</v>
      </c>
      <c r="J764" t="s">
        <v>18892</v>
      </c>
      <c r="K764">
        <v>10457</v>
      </c>
      <c r="L764" t="s">
        <v>18958</v>
      </c>
      <c r="M764" t="s">
        <v>18959</v>
      </c>
      <c r="O764" t="s">
        <v>18997</v>
      </c>
      <c r="P764" t="s">
        <v>26564</v>
      </c>
      <c r="Q764" t="s">
        <v>26570</v>
      </c>
      <c r="R764" t="s">
        <v>26578</v>
      </c>
      <c r="S764" t="s">
        <v>18959</v>
      </c>
      <c r="U764" t="s">
        <v>26604</v>
      </c>
      <c r="W764" t="s">
        <v>492</v>
      </c>
      <c r="X764">
        <v>850</v>
      </c>
      <c r="Y764" t="s">
        <v>26650</v>
      </c>
      <c r="Z764" t="s">
        <v>26663</v>
      </c>
      <c r="AA764" t="s">
        <v>26683</v>
      </c>
      <c r="AB764" t="s">
        <v>27423</v>
      </c>
      <c r="AD764" t="s">
        <v>37488</v>
      </c>
      <c r="AE764">
        <v>36</v>
      </c>
      <c r="AF764" t="s">
        <v>20460</v>
      </c>
      <c r="AG764" t="s">
        <v>45559</v>
      </c>
      <c r="AH764">
        <v>20</v>
      </c>
      <c r="AI764">
        <v>1</v>
      </c>
      <c r="AJ764">
        <v>0</v>
      </c>
      <c r="AK764">
        <v>76.11</v>
      </c>
      <c r="AN764" t="s">
        <v>45581</v>
      </c>
      <c r="AO764">
        <v>9240</v>
      </c>
      <c r="AU764">
        <v>1.5</v>
      </c>
      <c r="AV764" t="s">
        <v>492</v>
      </c>
      <c r="AW764" t="s">
        <v>46847</v>
      </c>
    </row>
    <row r="765" spans="1:49">
      <c r="A765" s="1">
        <f>HYPERLINK("https://lsnyc.legalserver.org/matter/dynamic-profile/view/1873550","18-1873550")</f>
        <v>0</v>
      </c>
      <c r="B765" t="s">
        <v>177</v>
      </c>
      <c r="C765" t="s">
        <v>340</v>
      </c>
      <c r="D765" t="s">
        <v>447</v>
      </c>
      <c r="F765" t="s">
        <v>1424</v>
      </c>
      <c r="G765" t="s">
        <v>5461</v>
      </c>
      <c r="H765" t="s">
        <v>9658</v>
      </c>
      <c r="I765" t="s">
        <v>17288</v>
      </c>
      <c r="J765" t="s">
        <v>18892</v>
      </c>
      <c r="K765">
        <v>10457</v>
      </c>
      <c r="L765" t="s">
        <v>18958</v>
      </c>
      <c r="M765" t="s">
        <v>18958</v>
      </c>
      <c r="N765" t="s">
        <v>19564</v>
      </c>
      <c r="O765" t="s">
        <v>26523</v>
      </c>
      <c r="P765" t="s">
        <v>26560</v>
      </c>
      <c r="R765" t="s">
        <v>26578</v>
      </c>
      <c r="S765" t="s">
        <v>18959</v>
      </c>
      <c r="U765" t="s">
        <v>26604</v>
      </c>
      <c r="V765" t="s">
        <v>26610</v>
      </c>
      <c r="W765" t="s">
        <v>492</v>
      </c>
      <c r="X765">
        <v>1840</v>
      </c>
      <c r="Y765" t="s">
        <v>26650</v>
      </c>
      <c r="Z765" t="s">
        <v>26656</v>
      </c>
      <c r="AB765" t="s">
        <v>27424</v>
      </c>
      <c r="AC765" t="s">
        <v>34742</v>
      </c>
      <c r="AD765" t="s">
        <v>37489</v>
      </c>
      <c r="AE765">
        <v>120</v>
      </c>
      <c r="AF765" t="s">
        <v>45551</v>
      </c>
      <c r="AG765" t="s">
        <v>19330</v>
      </c>
      <c r="AH765">
        <v>2</v>
      </c>
      <c r="AI765">
        <v>3</v>
      </c>
      <c r="AJ765">
        <v>2</v>
      </c>
      <c r="AK765">
        <v>171.64</v>
      </c>
      <c r="AN765" t="s">
        <v>7439</v>
      </c>
      <c r="AO765">
        <v>50496</v>
      </c>
      <c r="AU765">
        <v>74.8</v>
      </c>
      <c r="AV765" t="s">
        <v>833</v>
      </c>
      <c r="AW765" t="s">
        <v>46864</v>
      </c>
    </row>
    <row r="766" spans="1:49">
      <c r="A766" s="1">
        <f>HYPERLINK("https://lsnyc.legalserver.org/matter/dynamic-profile/view/1874056","18-1874056")</f>
        <v>0</v>
      </c>
      <c r="B766" t="s">
        <v>149</v>
      </c>
      <c r="C766" t="s">
        <v>341</v>
      </c>
      <c r="D766" t="s">
        <v>492</v>
      </c>
      <c r="E766" t="s">
        <v>494</v>
      </c>
      <c r="F766" t="s">
        <v>1133</v>
      </c>
      <c r="G766" t="s">
        <v>5602</v>
      </c>
      <c r="H766" t="s">
        <v>10319</v>
      </c>
      <c r="J766" t="s">
        <v>18892</v>
      </c>
      <c r="K766">
        <v>10456</v>
      </c>
      <c r="L766" t="s">
        <v>18958</v>
      </c>
      <c r="M766" t="s">
        <v>18958</v>
      </c>
      <c r="O766" t="s">
        <v>26539</v>
      </c>
      <c r="P766" t="s">
        <v>26565</v>
      </c>
      <c r="Q766" t="s">
        <v>26571</v>
      </c>
      <c r="R766" t="s">
        <v>26578</v>
      </c>
      <c r="S766" t="s">
        <v>18959</v>
      </c>
      <c r="U766" t="s">
        <v>26604</v>
      </c>
      <c r="W766" t="s">
        <v>492</v>
      </c>
      <c r="X766">
        <v>1159</v>
      </c>
      <c r="Y766" t="s">
        <v>26650</v>
      </c>
      <c r="Z766" t="s">
        <v>26663</v>
      </c>
      <c r="AA766" t="s">
        <v>26681</v>
      </c>
      <c r="AB766" t="s">
        <v>27425</v>
      </c>
      <c r="AD766" t="s">
        <v>37490</v>
      </c>
      <c r="AE766">
        <v>35</v>
      </c>
      <c r="AF766" t="s">
        <v>45541</v>
      </c>
      <c r="AG766" t="s">
        <v>45559</v>
      </c>
      <c r="AH766">
        <v>30</v>
      </c>
      <c r="AI766">
        <v>1</v>
      </c>
      <c r="AJ766">
        <v>0</v>
      </c>
      <c r="AK766">
        <v>118.62</v>
      </c>
      <c r="AN766" t="s">
        <v>45581</v>
      </c>
      <c r="AO766">
        <v>14400</v>
      </c>
      <c r="AU766">
        <v>1</v>
      </c>
      <c r="AV766" t="s">
        <v>492</v>
      </c>
      <c r="AW766" t="s">
        <v>149</v>
      </c>
    </row>
    <row r="767" spans="1:49">
      <c r="A767" s="1">
        <f>HYPERLINK("https://lsnyc.legalserver.org/matter/dynamic-profile/view/1874089","18-1874089")</f>
        <v>0</v>
      </c>
      <c r="B767" t="s">
        <v>180</v>
      </c>
      <c r="C767" t="s">
        <v>341</v>
      </c>
      <c r="D767" t="s">
        <v>492</v>
      </c>
      <c r="E767" t="s">
        <v>422</v>
      </c>
      <c r="F767" t="s">
        <v>1425</v>
      </c>
      <c r="G767" t="s">
        <v>5603</v>
      </c>
      <c r="H767" t="s">
        <v>10320</v>
      </c>
      <c r="I767" t="s">
        <v>17520</v>
      </c>
      <c r="J767" t="s">
        <v>18894</v>
      </c>
      <c r="K767">
        <v>11225</v>
      </c>
      <c r="L767" t="s">
        <v>18958</v>
      </c>
      <c r="M767" t="s">
        <v>18958</v>
      </c>
      <c r="N767" t="s">
        <v>19565</v>
      </c>
      <c r="O767" t="s">
        <v>26523</v>
      </c>
      <c r="P767" t="s">
        <v>26560</v>
      </c>
      <c r="Q767" t="s">
        <v>26568</v>
      </c>
      <c r="R767" t="s">
        <v>26588</v>
      </c>
      <c r="U767" t="s">
        <v>26604</v>
      </c>
      <c r="W767" t="s">
        <v>492</v>
      </c>
      <c r="X767">
        <v>1275</v>
      </c>
      <c r="Y767" t="s">
        <v>26652</v>
      </c>
      <c r="Z767" t="s">
        <v>26669</v>
      </c>
      <c r="AA767" t="s">
        <v>26679</v>
      </c>
      <c r="AB767" t="s">
        <v>27426</v>
      </c>
      <c r="AD767" t="s">
        <v>37491</v>
      </c>
      <c r="AE767">
        <v>44</v>
      </c>
      <c r="AF767" t="s">
        <v>45541</v>
      </c>
      <c r="AG767" t="s">
        <v>19330</v>
      </c>
      <c r="AH767">
        <v>3</v>
      </c>
      <c r="AI767">
        <v>1</v>
      </c>
      <c r="AJ767">
        <v>0</v>
      </c>
      <c r="AK767">
        <v>0</v>
      </c>
      <c r="AN767" t="s">
        <v>7439</v>
      </c>
      <c r="AO767">
        <v>0</v>
      </c>
      <c r="AQ767" t="s">
        <v>46359</v>
      </c>
      <c r="AR767" t="s">
        <v>46420</v>
      </c>
      <c r="AS767" t="s">
        <v>46500</v>
      </c>
      <c r="AT767" t="s">
        <v>46626</v>
      </c>
      <c r="AU767">
        <v>2.6</v>
      </c>
      <c r="AV767" t="s">
        <v>531</v>
      </c>
      <c r="AW767" t="s">
        <v>281</v>
      </c>
    </row>
    <row r="768" spans="1:49">
      <c r="A768" s="1">
        <f>HYPERLINK("https://lsnyc.legalserver.org/matter/dynamic-profile/view/1873996","18-1873996")</f>
        <v>0</v>
      </c>
      <c r="B768" t="s">
        <v>143</v>
      </c>
      <c r="C768" t="s">
        <v>341</v>
      </c>
      <c r="D768" t="s">
        <v>492</v>
      </c>
      <c r="E768" t="s">
        <v>705</v>
      </c>
      <c r="F768" t="s">
        <v>1032</v>
      </c>
      <c r="G768" t="s">
        <v>2975</v>
      </c>
      <c r="H768" t="s">
        <v>10321</v>
      </c>
      <c r="I768">
        <v>19</v>
      </c>
      <c r="J768" t="s">
        <v>18892</v>
      </c>
      <c r="K768">
        <v>10458</v>
      </c>
      <c r="L768" t="s">
        <v>18958</v>
      </c>
      <c r="M768" t="s">
        <v>18958</v>
      </c>
      <c r="N768" t="s">
        <v>19566</v>
      </c>
      <c r="O768" t="s">
        <v>26523</v>
      </c>
      <c r="P768" t="s">
        <v>26560</v>
      </c>
      <c r="Q768" t="s">
        <v>26568</v>
      </c>
      <c r="R768" t="s">
        <v>26577</v>
      </c>
      <c r="S768" t="s">
        <v>18959</v>
      </c>
      <c r="U768" t="s">
        <v>26604</v>
      </c>
      <c r="V768" t="s">
        <v>26614</v>
      </c>
      <c r="W768" t="s">
        <v>492</v>
      </c>
      <c r="X768">
        <v>568</v>
      </c>
      <c r="Y768" t="s">
        <v>26650</v>
      </c>
      <c r="Z768" t="s">
        <v>26664</v>
      </c>
      <c r="AA768" t="s">
        <v>26678</v>
      </c>
      <c r="AB768" t="s">
        <v>27427</v>
      </c>
      <c r="AC768" t="s">
        <v>34743</v>
      </c>
      <c r="AD768" t="s">
        <v>37492</v>
      </c>
      <c r="AE768">
        <v>0</v>
      </c>
      <c r="AF768" t="s">
        <v>45541</v>
      </c>
      <c r="AG768" t="s">
        <v>19330</v>
      </c>
      <c r="AH768">
        <v>43</v>
      </c>
      <c r="AI768">
        <v>2</v>
      </c>
      <c r="AJ768">
        <v>0</v>
      </c>
      <c r="AK768">
        <v>55.19</v>
      </c>
      <c r="AN768" t="s">
        <v>7439</v>
      </c>
      <c r="AO768">
        <v>9084</v>
      </c>
      <c r="AQ768" t="s">
        <v>46359</v>
      </c>
      <c r="AR768" t="s">
        <v>26530</v>
      </c>
      <c r="AS768" t="s">
        <v>46499</v>
      </c>
      <c r="AT768" t="s">
        <v>46571</v>
      </c>
      <c r="AU768">
        <v>19.4</v>
      </c>
      <c r="AV768" t="s">
        <v>606</v>
      </c>
      <c r="AW768" t="s">
        <v>46837</v>
      </c>
    </row>
    <row r="769" spans="1:50">
      <c r="A769" s="1">
        <f>HYPERLINK("https://lsnyc.legalserver.org/matter/dynamic-profile/view/1874027","18-1874027")</f>
        <v>0</v>
      </c>
      <c r="B769" t="s">
        <v>153</v>
      </c>
      <c r="C769" t="s">
        <v>341</v>
      </c>
      <c r="D769" t="s">
        <v>492</v>
      </c>
      <c r="E769" t="s">
        <v>664</v>
      </c>
      <c r="F769" t="s">
        <v>1426</v>
      </c>
      <c r="G769" t="s">
        <v>5604</v>
      </c>
      <c r="H769" t="s">
        <v>10322</v>
      </c>
      <c r="J769" t="s">
        <v>18902</v>
      </c>
      <c r="K769">
        <v>10314</v>
      </c>
      <c r="L769" t="s">
        <v>18958</v>
      </c>
      <c r="M769" t="s">
        <v>18958</v>
      </c>
      <c r="N769" t="s">
        <v>19567</v>
      </c>
      <c r="O769" t="s">
        <v>26524</v>
      </c>
      <c r="P769" t="s">
        <v>26560</v>
      </c>
      <c r="Q769" t="s">
        <v>26568</v>
      </c>
      <c r="R769" t="s">
        <v>26590</v>
      </c>
      <c r="S769" t="s">
        <v>18959</v>
      </c>
      <c r="U769" t="s">
        <v>26604</v>
      </c>
      <c r="V769" t="s">
        <v>26610</v>
      </c>
      <c r="W769" t="s">
        <v>492</v>
      </c>
      <c r="X769">
        <v>1200</v>
      </c>
      <c r="Y769" t="s">
        <v>26654</v>
      </c>
      <c r="Z769" t="s">
        <v>26656</v>
      </c>
      <c r="AA769" t="s">
        <v>26679</v>
      </c>
      <c r="AB769" t="s">
        <v>27428</v>
      </c>
      <c r="AD769" t="s">
        <v>37493</v>
      </c>
      <c r="AE769">
        <v>3</v>
      </c>
      <c r="AG769" t="s">
        <v>19330</v>
      </c>
      <c r="AH769">
        <v>7</v>
      </c>
      <c r="AI769">
        <v>2</v>
      </c>
      <c r="AJ769">
        <v>0</v>
      </c>
      <c r="AK769">
        <v>14.37</v>
      </c>
      <c r="AN769" t="s">
        <v>7439</v>
      </c>
      <c r="AO769">
        <v>2366</v>
      </c>
      <c r="AU769">
        <v>3.9</v>
      </c>
      <c r="AV769" t="s">
        <v>428</v>
      </c>
      <c r="AW769" t="s">
        <v>190</v>
      </c>
    </row>
    <row r="770" spans="1:50">
      <c r="A770" s="1">
        <f>HYPERLINK("https://lsnyc.legalserver.org/matter/dynamic-profile/view/1874095","18-1874095")</f>
        <v>0</v>
      </c>
      <c r="B770" t="s">
        <v>200</v>
      </c>
      <c r="C770" t="s">
        <v>341</v>
      </c>
      <c r="D770" t="s">
        <v>492</v>
      </c>
      <c r="E770" t="s">
        <v>572</v>
      </c>
      <c r="F770" t="s">
        <v>1427</v>
      </c>
      <c r="G770" t="s">
        <v>5605</v>
      </c>
      <c r="H770" t="s">
        <v>10323</v>
      </c>
      <c r="I770" t="s">
        <v>17423</v>
      </c>
      <c r="J770" t="s">
        <v>18894</v>
      </c>
      <c r="K770">
        <v>11208</v>
      </c>
      <c r="L770" t="s">
        <v>18958</v>
      </c>
      <c r="M770" t="s">
        <v>18960</v>
      </c>
      <c r="N770" t="s">
        <v>19568</v>
      </c>
      <c r="O770" t="s">
        <v>26523</v>
      </c>
      <c r="P770" t="s">
        <v>26564</v>
      </c>
      <c r="Q770" t="s">
        <v>26570</v>
      </c>
      <c r="R770" t="s">
        <v>26578</v>
      </c>
      <c r="S770" t="s">
        <v>18959</v>
      </c>
      <c r="U770" t="s">
        <v>26604</v>
      </c>
      <c r="V770" t="s">
        <v>26612</v>
      </c>
      <c r="W770" t="s">
        <v>492</v>
      </c>
      <c r="X770">
        <v>1534</v>
      </c>
      <c r="Y770" t="s">
        <v>26652</v>
      </c>
      <c r="Z770" t="s">
        <v>26657</v>
      </c>
      <c r="AA770" t="s">
        <v>26683</v>
      </c>
      <c r="AB770" t="s">
        <v>27429</v>
      </c>
      <c r="AC770">
        <v>34246674</v>
      </c>
      <c r="AD770" t="s">
        <v>37494</v>
      </c>
      <c r="AE770">
        <v>3</v>
      </c>
      <c r="AF770" t="s">
        <v>45547</v>
      </c>
      <c r="AG770" t="s">
        <v>45558</v>
      </c>
      <c r="AH770">
        <v>1</v>
      </c>
      <c r="AI770">
        <v>1</v>
      </c>
      <c r="AJ770">
        <v>3</v>
      </c>
      <c r="AK770">
        <v>40.64</v>
      </c>
      <c r="AN770" t="s">
        <v>7439</v>
      </c>
      <c r="AO770">
        <v>10200</v>
      </c>
      <c r="AU770">
        <v>4.1</v>
      </c>
      <c r="AV770" t="s">
        <v>523</v>
      </c>
      <c r="AW770" t="s">
        <v>46858</v>
      </c>
      <c r="AX770" t="s">
        <v>46898</v>
      </c>
    </row>
    <row r="771" spans="1:50">
      <c r="A771" s="1">
        <f>HYPERLINK("https://lsnyc.legalserver.org/matter/dynamic-profile/view/1873992","18-1873992")</f>
        <v>0</v>
      </c>
      <c r="B771" t="s">
        <v>65</v>
      </c>
      <c r="C771" t="s">
        <v>341</v>
      </c>
      <c r="D771" t="s">
        <v>492</v>
      </c>
      <c r="E771" t="s">
        <v>494</v>
      </c>
      <c r="F771" t="s">
        <v>1297</v>
      </c>
      <c r="G771" t="s">
        <v>5606</v>
      </c>
      <c r="H771" t="s">
        <v>10324</v>
      </c>
      <c r="I771" t="s">
        <v>17316</v>
      </c>
      <c r="J771" t="s">
        <v>18892</v>
      </c>
      <c r="K771">
        <v>10459</v>
      </c>
      <c r="L771" t="s">
        <v>18958</v>
      </c>
      <c r="M771" t="s">
        <v>18958</v>
      </c>
      <c r="N771" t="s">
        <v>19569</v>
      </c>
      <c r="O771" t="s">
        <v>26523</v>
      </c>
      <c r="P771" t="s">
        <v>26560</v>
      </c>
      <c r="Q771" t="s">
        <v>26568</v>
      </c>
      <c r="R771" t="s">
        <v>26577</v>
      </c>
      <c r="U771" t="s">
        <v>26604</v>
      </c>
      <c r="V771" t="s">
        <v>26613</v>
      </c>
      <c r="W771" t="s">
        <v>492</v>
      </c>
      <c r="X771">
        <v>0</v>
      </c>
      <c r="Y771" t="s">
        <v>26650</v>
      </c>
      <c r="Z771" t="s">
        <v>26664</v>
      </c>
      <c r="AA771" t="s">
        <v>26678</v>
      </c>
      <c r="AB771" t="s">
        <v>27430</v>
      </c>
      <c r="AC771" t="s">
        <v>34744</v>
      </c>
      <c r="AD771" t="s">
        <v>37495</v>
      </c>
      <c r="AE771">
        <v>0</v>
      </c>
      <c r="AF771" t="s">
        <v>45545</v>
      </c>
      <c r="AG771" t="s">
        <v>19330</v>
      </c>
      <c r="AH771">
        <v>0</v>
      </c>
      <c r="AI771">
        <v>1</v>
      </c>
      <c r="AJ771">
        <v>0</v>
      </c>
      <c r="AK771">
        <v>81.94</v>
      </c>
      <c r="AN771" t="s">
        <v>7439</v>
      </c>
      <c r="AO771">
        <v>9948</v>
      </c>
      <c r="AP771" t="s">
        <v>45621</v>
      </c>
      <c r="AQ771" t="s">
        <v>46362</v>
      </c>
      <c r="AR771" t="s">
        <v>46380</v>
      </c>
      <c r="AS771" t="s">
        <v>46499</v>
      </c>
      <c r="AT771" t="s">
        <v>46647</v>
      </c>
      <c r="AU771">
        <v>13.35</v>
      </c>
      <c r="AV771" t="s">
        <v>457</v>
      </c>
      <c r="AW771" t="s">
        <v>46854</v>
      </c>
    </row>
    <row r="772" spans="1:50">
      <c r="A772" s="1">
        <f>HYPERLINK("https://lsnyc.legalserver.org/matter/dynamic-profile/view/1874057","18-1874057")</f>
        <v>0</v>
      </c>
      <c r="B772" t="s">
        <v>65</v>
      </c>
      <c r="C772" t="s">
        <v>341</v>
      </c>
      <c r="D772" t="s">
        <v>492</v>
      </c>
      <c r="E772" t="s">
        <v>586</v>
      </c>
      <c r="F772" t="s">
        <v>1428</v>
      </c>
      <c r="G772" t="s">
        <v>5607</v>
      </c>
      <c r="H772" t="s">
        <v>10325</v>
      </c>
      <c r="I772" t="s">
        <v>17521</v>
      </c>
      <c r="J772" t="s">
        <v>18892</v>
      </c>
      <c r="K772">
        <v>10457</v>
      </c>
      <c r="L772" t="s">
        <v>18958</v>
      </c>
      <c r="M772" t="s">
        <v>18958</v>
      </c>
      <c r="N772" t="s">
        <v>19570</v>
      </c>
      <c r="O772" t="s">
        <v>26523</v>
      </c>
      <c r="P772" t="s">
        <v>26560</v>
      </c>
      <c r="Q772" t="s">
        <v>26568</v>
      </c>
      <c r="R772" t="s">
        <v>26579</v>
      </c>
      <c r="U772" t="s">
        <v>26604</v>
      </c>
      <c r="V772" t="s">
        <v>26612</v>
      </c>
      <c r="W772" t="s">
        <v>492</v>
      </c>
      <c r="X772">
        <v>795.95</v>
      </c>
      <c r="Y772" t="s">
        <v>26650</v>
      </c>
      <c r="Z772" t="s">
        <v>26656</v>
      </c>
      <c r="AA772" t="s">
        <v>26678</v>
      </c>
      <c r="AB772" t="s">
        <v>27431</v>
      </c>
      <c r="AC772" t="s">
        <v>34745</v>
      </c>
      <c r="AD772" t="s">
        <v>37496</v>
      </c>
      <c r="AE772">
        <v>0</v>
      </c>
      <c r="AF772" t="s">
        <v>45541</v>
      </c>
      <c r="AG772" t="s">
        <v>19330</v>
      </c>
      <c r="AH772">
        <v>18</v>
      </c>
      <c r="AI772">
        <v>1</v>
      </c>
      <c r="AJ772">
        <v>0</v>
      </c>
      <c r="AK772">
        <v>82.73</v>
      </c>
      <c r="AN772" t="s">
        <v>45581</v>
      </c>
      <c r="AO772">
        <v>10044</v>
      </c>
      <c r="AR772" t="s">
        <v>46379</v>
      </c>
      <c r="AS772" t="s">
        <v>46499</v>
      </c>
      <c r="AT772" t="s">
        <v>46611</v>
      </c>
      <c r="AU772">
        <v>3.15</v>
      </c>
      <c r="AV772" t="s">
        <v>528</v>
      </c>
      <c r="AW772" t="s">
        <v>46831</v>
      </c>
    </row>
    <row r="773" spans="1:50">
      <c r="A773" s="1">
        <f>HYPERLINK("https://lsnyc.legalserver.org/matter/dynamic-profile/view/1874052","18-1874052")</f>
        <v>0</v>
      </c>
      <c r="B773" t="s">
        <v>103</v>
      </c>
      <c r="C773" t="s">
        <v>341</v>
      </c>
      <c r="D773" t="s">
        <v>492</v>
      </c>
      <c r="E773" t="s">
        <v>664</v>
      </c>
      <c r="F773" t="s">
        <v>1429</v>
      </c>
      <c r="G773" t="s">
        <v>5086</v>
      </c>
      <c r="H773" t="s">
        <v>10326</v>
      </c>
      <c r="I773" t="s">
        <v>17522</v>
      </c>
      <c r="J773" t="s">
        <v>18902</v>
      </c>
      <c r="K773">
        <v>10304</v>
      </c>
      <c r="L773" t="s">
        <v>18958</v>
      </c>
      <c r="M773" t="s">
        <v>18958</v>
      </c>
      <c r="N773" t="s">
        <v>19571</v>
      </c>
      <c r="O773" t="s">
        <v>26523</v>
      </c>
      <c r="P773" t="s">
        <v>26560</v>
      </c>
      <c r="Q773" t="s">
        <v>26568</v>
      </c>
      <c r="R773" t="s">
        <v>26578</v>
      </c>
      <c r="S773" t="s">
        <v>18959</v>
      </c>
      <c r="U773" t="s">
        <v>26604</v>
      </c>
      <c r="V773" t="s">
        <v>26612</v>
      </c>
      <c r="W773" t="s">
        <v>492</v>
      </c>
      <c r="X773">
        <v>1550</v>
      </c>
      <c r="Y773" t="s">
        <v>26654</v>
      </c>
      <c r="Z773" t="s">
        <v>26530</v>
      </c>
      <c r="AA773" t="s">
        <v>26679</v>
      </c>
      <c r="AB773" t="s">
        <v>27432</v>
      </c>
      <c r="AC773" t="s">
        <v>34746</v>
      </c>
      <c r="AD773" t="s">
        <v>37497</v>
      </c>
      <c r="AE773">
        <v>85</v>
      </c>
      <c r="AF773" t="s">
        <v>45541</v>
      </c>
      <c r="AG773" t="s">
        <v>45557</v>
      </c>
      <c r="AH773">
        <v>4</v>
      </c>
      <c r="AI773">
        <v>1</v>
      </c>
      <c r="AJ773">
        <v>4</v>
      </c>
      <c r="AK773">
        <v>35.47</v>
      </c>
      <c r="AN773" t="s">
        <v>7439</v>
      </c>
      <c r="AO773">
        <v>10434</v>
      </c>
      <c r="AQ773" t="s">
        <v>46362</v>
      </c>
      <c r="AR773" t="s">
        <v>26530</v>
      </c>
      <c r="AS773" t="s">
        <v>46500</v>
      </c>
      <c r="AT773" t="s">
        <v>46589</v>
      </c>
      <c r="AU773">
        <v>13.5</v>
      </c>
      <c r="AV773" t="s">
        <v>664</v>
      </c>
      <c r="AW773" t="s">
        <v>190</v>
      </c>
    </row>
    <row r="774" spans="1:50">
      <c r="A774" s="1">
        <f>HYPERLINK("https://lsnyc.legalserver.org/matter/dynamic-profile/view/1874040","18-1874040")</f>
        <v>0</v>
      </c>
      <c r="B774" t="s">
        <v>103</v>
      </c>
      <c r="C774" t="s">
        <v>341</v>
      </c>
      <c r="D774" t="s">
        <v>492</v>
      </c>
      <c r="E774" t="s">
        <v>672</v>
      </c>
      <c r="F774" t="s">
        <v>1018</v>
      </c>
      <c r="G774" t="s">
        <v>5211</v>
      </c>
      <c r="H774" t="s">
        <v>10327</v>
      </c>
      <c r="I774">
        <v>11</v>
      </c>
      <c r="J774" t="s">
        <v>18902</v>
      </c>
      <c r="K774">
        <v>10301</v>
      </c>
      <c r="L774" t="s">
        <v>18958</v>
      </c>
      <c r="M774" t="s">
        <v>18958</v>
      </c>
      <c r="N774" t="s">
        <v>19572</v>
      </c>
      <c r="O774" t="s">
        <v>26523</v>
      </c>
      <c r="P774" t="s">
        <v>26560</v>
      </c>
      <c r="Q774" t="s">
        <v>26568</v>
      </c>
      <c r="R774" t="s">
        <v>26587</v>
      </c>
      <c r="S774" t="s">
        <v>18959</v>
      </c>
      <c r="U774" t="s">
        <v>26605</v>
      </c>
      <c r="V774" t="s">
        <v>26610</v>
      </c>
      <c r="W774" t="s">
        <v>492</v>
      </c>
      <c r="X774">
        <v>526</v>
      </c>
      <c r="Y774" t="s">
        <v>26654</v>
      </c>
      <c r="Z774" t="s">
        <v>26530</v>
      </c>
      <c r="AA774" t="s">
        <v>26680</v>
      </c>
      <c r="AB774" t="s">
        <v>27433</v>
      </c>
      <c r="AD774" t="s">
        <v>37498</v>
      </c>
      <c r="AE774">
        <v>17</v>
      </c>
      <c r="AF774" t="s">
        <v>45543</v>
      </c>
      <c r="AG774" t="s">
        <v>45556</v>
      </c>
      <c r="AH774">
        <v>5</v>
      </c>
      <c r="AI774">
        <v>2</v>
      </c>
      <c r="AJ774">
        <v>0</v>
      </c>
      <c r="AK774">
        <v>54.68</v>
      </c>
      <c r="AN774" t="s">
        <v>7439</v>
      </c>
      <c r="AO774">
        <v>9000</v>
      </c>
      <c r="AQ774" t="s">
        <v>46361</v>
      </c>
      <c r="AR774" t="s">
        <v>46419</v>
      </c>
      <c r="AS774" t="s">
        <v>46499</v>
      </c>
      <c r="AT774" t="s">
        <v>46556</v>
      </c>
      <c r="AU774">
        <v>42</v>
      </c>
      <c r="AV774" t="s">
        <v>672</v>
      </c>
      <c r="AW774" t="s">
        <v>190</v>
      </c>
    </row>
    <row r="775" spans="1:50">
      <c r="A775" s="1">
        <f>HYPERLINK("https://lsnyc.legalserver.org/matter/dynamic-profile/view/1873990","18-1873990")</f>
        <v>0</v>
      </c>
      <c r="B775" t="s">
        <v>69</v>
      </c>
      <c r="C775" t="s">
        <v>341</v>
      </c>
      <c r="D775" t="s">
        <v>492</v>
      </c>
      <c r="E775" t="s">
        <v>517</v>
      </c>
      <c r="F775" t="s">
        <v>1026</v>
      </c>
      <c r="G775" t="s">
        <v>5608</v>
      </c>
      <c r="H775" t="s">
        <v>10328</v>
      </c>
      <c r="I775">
        <v>23</v>
      </c>
      <c r="J775" t="s">
        <v>18892</v>
      </c>
      <c r="K775">
        <v>10452</v>
      </c>
      <c r="L775" t="s">
        <v>18958</v>
      </c>
      <c r="M775" t="s">
        <v>18958</v>
      </c>
      <c r="N775" t="s">
        <v>19573</v>
      </c>
      <c r="O775" t="s">
        <v>26523</v>
      </c>
      <c r="P775" t="s">
        <v>26560</v>
      </c>
      <c r="Q775" t="s">
        <v>26568</v>
      </c>
      <c r="R775" t="s">
        <v>26577</v>
      </c>
      <c r="S775" t="s">
        <v>18959</v>
      </c>
      <c r="U775" t="s">
        <v>26604</v>
      </c>
      <c r="V775" t="s">
        <v>26614</v>
      </c>
      <c r="W775" t="s">
        <v>492</v>
      </c>
      <c r="X775">
        <v>185.95</v>
      </c>
      <c r="Y775" t="s">
        <v>26650</v>
      </c>
      <c r="Z775" t="s">
        <v>26656</v>
      </c>
      <c r="AA775" t="s">
        <v>26686</v>
      </c>
      <c r="AB775" t="s">
        <v>27434</v>
      </c>
      <c r="AD775" t="s">
        <v>37499</v>
      </c>
      <c r="AE775">
        <v>0</v>
      </c>
      <c r="AG775" t="s">
        <v>45556</v>
      </c>
      <c r="AH775">
        <v>5</v>
      </c>
      <c r="AI775">
        <v>1</v>
      </c>
      <c r="AJ775">
        <v>0</v>
      </c>
      <c r="AK775">
        <v>82.93000000000001</v>
      </c>
      <c r="AN775" t="s">
        <v>7439</v>
      </c>
      <c r="AO775">
        <v>10068</v>
      </c>
      <c r="AQ775" t="s">
        <v>46365</v>
      </c>
      <c r="AR775" t="s">
        <v>46399</v>
      </c>
      <c r="AS775" t="s">
        <v>46499</v>
      </c>
      <c r="AT775" t="s">
        <v>46553</v>
      </c>
      <c r="AU775">
        <v>16.1</v>
      </c>
      <c r="AV775" t="s">
        <v>583</v>
      </c>
      <c r="AW775" t="s">
        <v>46837</v>
      </c>
    </row>
    <row r="776" spans="1:50">
      <c r="A776" s="1">
        <f>HYPERLINK("https://lsnyc.legalserver.org/matter/dynamic-profile/view/1874003","18-1874003")</f>
        <v>0</v>
      </c>
      <c r="B776" t="s">
        <v>153</v>
      </c>
      <c r="C776" t="s">
        <v>340</v>
      </c>
      <c r="D776" t="s">
        <v>492</v>
      </c>
      <c r="F776" t="s">
        <v>1430</v>
      </c>
      <c r="G776" t="s">
        <v>5609</v>
      </c>
      <c r="H776" t="s">
        <v>10329</v>
      </c>
      <c r="J776" t="s">
        <v>18902</v>
      </c>
      <c r="K776">
        <v>10303</v>
      </c>
      <c r="L776" t="s">
        <v>18958</v>
      </c>
      <c r="M776" t="s">
        <v>18958</v>
      </c>
      <c r="N776" t="s">
        <v>19574</v>
      </c>
      <c r="O776" t="s">
        <v>26524</v>
      </c>
      <c r="P776" t="s">
        <v>26560</v>
      </c>
      <c r="R776" t="s">
        <v>26590</v>
      </c>
      <c r="S776" t="s">
        <v>18959</v>
      </c>
      <c r="U776" t="s">
        <v>26604</v>
      </c>
      <c r="V776" t="s">
        <v>26610</v>
      </c>
      <c r="W776" t="s">
        <v>492</v>
      </c>
      <c r="X776">
        <v>1534</v>
      </c>
      <c r="Y776" t="s">
        <v>26654</v>
      </c>
      <c r="Z776" t="s">
        <v>26656</v>
      </c>
      <c r="AB776" t="s">
        <v>27435</v>
      </c>
      <c r="AE776">
        <v>2</v>
      </c>
      <c r="AG776" t="s">
        <v>45557</v>
      </c>
      <c r="AH776">
        <v>3</v>
      </c>
      <c r="AI776">
        <v>1</v>
      </c>
      <c r="AJ776">
        <v>2</v>
      </c>
      <c r="AK776">
        <v>0</v>
      </c>
      <c r="AN776" t="s">
        <v>7439</v>
      </c>
      <c r="AO776">
        <v>0</v>
      </c>
      <c r="AU776">
        <v>14.4</v>
      </c>
      <c r="AV776" t="s">
        <v>817</v>
      </c>
      <c r="AW776" t="s">
        <v>190</v>
      </c>
    </row>
    <row r="777" spans="1:50">
      <c r="A777" s="1">
        <f>HYPERLINK("https://lsnyc.legalserver.org/matter/dynamic-profile/view/1873991","18-1873991")</f>
        <v>0</v>
      </c>
      <c r="B777" t="s">
        <v>182</v>
      </c>
      <c r="C777" t="s">
        <v>340</v>
      </c>
      <c r="D777" t="s">
        <v>492</v>
      </c>
      <c r="F777" t="s">
        <v>1431</v>
      </c>
      <c r="G777" t="s">
        <v>5086</v>
      </c>
      <c r="H777" t="s">
        <v>10330</v>
      </c>
      <c r="I777" t="s">
        <v>17410</v>
      </c>
      <c r="J777" t="s">
        <v>18892</v>
      </c>
      <c r="K777">
        <v>10466</v>
      </c>
      <c r="L777" t="s">
        <v>18958</v>
      </c>
      <c r="M777" t="s">
        <v>18958</v>
      </c>
      <c r="N777" t="s">
        <v>19575</v>
      </c>
      <c r="O777" t="s">
        <v>26524</v>
      </c>
      <c r="P777" t="s">
        <v>26560</v>
      </c>
      <c r="R777" t="s">
        <v>26577</v>
      </c>
      <c r="S777" t="s">
        <v>18959</v>
      </c>
      <c r="U777" t="s">
        <v>26604</v>
      </c>
      <c r="V777" t="s">
        <v>26610</v>
      </c>
      <c r="W777" t="s">
        <v>492</v>
      </c>
      <c r="X777">
        <v>975</v>
      </c>
      <c r="Y777" t="s">
        <v>26650</v>
      </c>
      <c r="Z777" t="s">
        <v>26664</v>
      </c>
      <c r="AB777" t="s">
        <v>27436</v>
      </c>
      <c r="AD777" t="s">
        <v>37500</v>
      </c>
      <c r="AE777">
        <v>6</v>
      </c>
      <c r="AF777" t="s">
        <v>45541</v>
      </c>
      <c r="AG777" t="s">
        <v>19330</v>
      </c>
      <c r="AH777">
        <v>5</v>
      </c>
      <c r="AI777">
        <v>3</v>
      </c>
      <c r="AJ777">
        <v>1</v>
      </c>
      <c r="AK777">
        <v>117.86</v>
      </c>
      <c r="AN777" t="s">
        <v>7439</v>
      </c>
      <c r="AO777">
        <v>29584</v>
      </c>
      <c r="AP777" t="s">
        <v>45627</v>
      </c>
      <c r="AU777">
        <v>76.7</v>
      </c>
      <c r="AV777" t="s">
        <v>773</v>
      </c>
      <c r="AW777" t="s">
        <v>334</v>
      </c>
    </row>
    <row r="778" spans="1:50">
      <c r="A778" s="1">
        <f>HYPERLINK("https://lsnyc.legalserver.org/matter/dynamic-profile/view/1873702","18-1873702")</f>
        <v>0</v>
      </c>
      <c r="B778" t="s">
        <v>102</v>
      </c>
      <c r="C778" t="s">
        <v>340</v>
      </c>
      <c r="D778" t="s">
        <v>492</v>
      </c>
      <c r="F778" t="s">
        <v>1432</v>
      </c>
      <c r="G778" t="s">
        <v>5219</v>
      </c>
      <c r="H778" t="s">
        <v>10331</v>
      </c>
      <c r="I778" t="s">
        <v>17523</v>
      </c>
      <c r="J778" t="s">
        <v>18902</v>
      </c>
      <c r="K778">
        <v>10305</v>
      </c>
      <c r="L778" t="s">
        <v>18958</v>
      </c>
      <c r="M778" t="s">
        <v>18958</v>
      </c>
      <c r="N778" t="s">
        <v>19576</v>
      </c>
      <c r="O778" t="s">
        <v>26524</v>
      </c>
      <c r="P778" t="s">
        <v>26560</v>
      </c>
      <c r="R778" t="s">
        <v>26587</v>
      </c>
      <c r="S778" t="s">
        <v>18958</v>
      </c>
      <c r="U778" t="s">
        <v>26604</v>
      </c>
      <c r="V778" t="s">
        <v>26610</v>
      </c>
      <c r="W778" t="s">
        <v>492</v>
      </c>
      <c r="X778">
        <v>1800</v>
      </c>
      <c r="Y778" t="s">
        <v>26654</v>
      </c>
      <c r="Z778" t="s">
        <v>26663</v>
      </c>
      <c r="AB778" t="s">
        <v>27437</v>
      </c>
      <c r="AD778" t="s">
        <v>37501</v>
      </c>
      <c r="AE778">
        <v>2</v>
      </c>
      <c r="AF778" t="s">
        <v>45547</v>
      </c>
      <c r="AG778" t="s">
        <v>19330</v>
      </c>
      <c r="AH778">
        <v>2</v>
      </c>
      <c r="AI778">
        <v>3</v>
      </c>
      <c r="AJ778">
        <v>1</v>
      </c>
      <c r="AK778">
        <v>67.33</v>
      </c>
      <c r="AO778">
        <v>16900</v>
      </c>
      <c r="AU778">
        <v>23.55</v>
      </c>
      <c r="AV778" t="s">
        <v>767</v>
      </c>
      <c r="AW778" t="s">
        <v>190</v>
      </c>
    </row>
    <row r="779" spans="1:50">
      <c r="A779" s="1">
        <f>HYPERLINK("https://lsnyc.legalserver.org/matter/dynamic-profile/view/1874054","18-1874054")</f>
        <v>0</v>
      </c>
      <c r="B779" t="s">
        <v>121</v>
      </c>
      <c r="C779" t="s">
        <v>340</v>
      </c>
      <c r="D779" t="s">
        <v>492</v>
      </c>
      <c r="F779" t="s">
        <v>1433</v>
      </c>
      <c r="G779" t="s">
        <v>4309</v>
      </c>
      <c r="H779" t="s">
        <v>10332</v>
      </c>
      <c r="I779">
        <v>6</v>
      </c>
      <c r="J779" t="s">
        <v>18892</v>
      </c>
      <c r="K779">
        <v>10458</v>
      </c>
      <c r="L779" t="s">
        <v>18958</v>
      </c>
      <c r="M779" t="s">
        <v>18958</v>
      </c>
      <c r="N779" t="s">
        <v>19577</v>
      </c>
      <c r="O779" t="s">
        <v>26524</v>
      </c>
      <c r="P779" t="s">
        <v>26560</v>
      </c>
      <c r="R779" t="s">
        <v>26577</v>
      </c>
      <c r="U779" t="s">
        <v>26604</v>
      </c>
      <c r="V779" t="s">
        <v>26610</v>
      </c>
      <c r="W779" t="s">
        <v>492</v>
      </c>
      <c r="X779">
        <v>1125</v>
      </c>
      <c r="Y779" t="s">
        <v>26650</v>
      </c>
      <c r="Z779" t="s">
        <v>26664</v>
      </c>
      <c r="AB779" t="s">
        <v>27438</v>
      </c>
      <c r="AC779" t="s">
        <v>34747</v>
      </c>
      <c r="AD779" t="s">
        <v>37502</v>
      </c>
      <c r="AE779">
        <v>0</v>
      </c>
      <c r="AF779" t="s">
        <v>45541</v>
      </c>
      <c r="AG779" t="s">
        <v>45556</v>
      </c>
      <c r="AH779">
        <v>0</v>
      </c>
      <c r="AI779">
        <v>1</v>
      </c>
      <c r="AJ779">
        <v>0</v>
      </c>
      <c r="AK779">
        <v>82.44</v>
      </c>
      <c r="AN779" t="s">
        <v>7439</v>
      </c>
      <c r="AO779">
        <v>10008</v>
      </c>
      <c r="AU779">
        <v>9.199999999999999</v>
      </c>
      <c r="AV779" t="s">
        <v>829</v>
      </c>
      <c r="AW779" t="s">
        <v>46854</v>
      </c>
    </row>
    <row r="780" spans="1:50">
      <c r="A780" s="1">
        <f>HYPERLINK("https://lsnyc.legalserver.org/matter/dynamic-profile/view/1874045","18-1874045")</f>
        <v>0</v>
      </c>
      <c r="B780" t="s">
        <v>121</v>
      </c>
      <c r="C780" t="s">
        <v>340</v>
      </c>
      <c r="D780" t="s">
        <v>492</v>
      </c>
      <c r="F780" t="s">
        <v>1434</v>
      </c>
      <c r="G780" t="s">
        <v>5610</v>
      </c>
      <c r="H780" t="s">
        <v>10333</v>
      </c>
      <c r="I780">
        <v>3</v>
      </c>
      <c r="J780" t="s">
        <v>18892</v>
      </c>
      <c r="K780">
        <v>10453</v>
      </c>
      <c r="L780" t="s">
        <v>18958</v>
      </c>
      <c r="M780" t="s">
        <v>18958</v>
      </c>
      <c r="N780" t="s">
        <v>19578</v>
      </c>
      <c r="O780" t="s">
        <v>26524</v>
      </c>
      <c r="P780" t="s">
        <v>26560</v>
      </c>
      <c r="R780" t="s">
        <v>26577</v>
      </c>
      <c r="S780" t="s">
        <v>18959</v>
      </c>
      <c r="U780" t="s">
        <v>26604</v>
      </c>
      <c r="V780" t="s">
        <v>26610</v>
      </c>
      <c r="W780" t="s">
        <v>492</v>
      </c>
      <c r="X780">
        <v>1700</v>
      </c>
      <c r="Y780" t="s">
        <v>26650</v>
      </c>
      <c r="Z780" t="s">
        <v>26662</v>
      </c>
      <c r="AB780" t="s">
        <v>27439</v>
      </c>
      <c r="AD780" t="s">
        <v>37503</v>
      </c>
      <c r="AE780">
        <v>0</v>
      </c>
      <c r="AF780" t="s">
        <v>20460</v>
      </c>
      <c r="AG780" t="s">
        <v>19330</v>
      </c>
      <c r="AH780">
        <v>15</v>
      </c>
      <c r="AI780">
        <v>4</v>
      </c>
      <c r="AJ780">
        <v>0</v>
      </c>
      <c r="AK780">
        <v>151.39</v>
      </c>
      <c r="AN780" t="s">
        <v>7439</v>
      </c>
      <c r="AO780">
        <v>38000</v>
      </c>
      <c r="AP780" t="s">
        <v>45670</v>
      </c>
      <c r="AU780">
        <v>29.3</v>
      </c>
      <c r="AV780" t="s">
        <v>835</v>
      </c>
      <c r="AW780" t="s">
        <v>46832</v>
      </c>
    </row>
    <row r="781" spans="1:50">
      <c r="A781" s="1">
        <f>HYPERLINK("https://lsnyc.legalserver.org/matter/dynamic-profile/view/1839432","17-1839432")</f>
        <v>0</v>
      </c>
      <c r="B781" t="s">
        <v>137</v>
      </c>
      <c r="C781" t="s">
        <v>341</v>
      </c>
      <c r="D781" t="s">
        <v>496</v>
      </c>
      <c r="E781" t="s">
        <v>452</v>
      </c>
      <c r="F781" t="s">
        <v>1191</v>
      </c>
      <c r="G781" t="s">
        <v>5611</v>
      </c>
      <c r="H781" t="s">
        <v>10334</v>
      </c>
      <c r="I781" t="s">
        <v>17524</v>
      </c>
      <c r="J781" t="s">
        <v>18892</v>
      </c>
      <c r="K781">
        <v>10467</v>
      </c>
      <c r="L781" t="s">
        <v>18958</v>
      </c>
      <c r="M781" t="s">
        <v>18960</v>
      </c>
      <c r="N781" t="s">
        <v>19579</v>
      </c>
      <c r="O781" t="s">
        <v>26523</v>
      </c>
      <c r="P781" t="s">
        <v>26560</v>
      </c>
      <c r="Q781" t="s">
        <v>26568</v>
      </c>
      <c r="R781" t="s">
        <v>26579</v>
      </c>
      <c r="U781" t="s">
        <v>26604</v>
      </c>
      <c r="W781" t="s">
        <v>497</v>
      </c>
      <c r="X781">
        <v>1032</v>
      </c>
      <c r="Y781" t="s">
        <v>26650</v>
      </c>
      <c r="Z781" t="s">
        <v>26662</v>
      </c>
      <c r="AA781" t="s">
        <v>26678</v>
      </c>
      <c r="AB781" t="s">
        <v>27440</v>
      </c>
      <c r="AC781" t="s">
        <v>34748</v>
      </c>
      <c r="AE781">
        <v>0</v>
      </c>
      <c r="AF781" t="s">
        <v>45541</v>
      </c>
      <c r="AG781" t="s">
        <v>45558</v>
      </c>
      <c r="AH781">
        <v>3</v>
      </c>
      <c r="AI781">
        <v>2</v>
      </c>
      <c r="AJ781">
        <v>1</v>
      </c>
      <c r="AK781">
        <v>0</v>
      </c>
      <c r="AN781" t="s">
        <v>7439</v>
      </c>
      <c r="AO781">
        <v>0</v>
      </c>
      <c r="AP781" t="s">
        <v>45621</v>
      </c>
      <c r="AQ781" t="s">
        <v>46365</v>
      </c>
      <c r="AR781" t="s">
        <v>46415</v>
      </c>
      <c r="AS781" t="s">
        <v>46499</v>
      </c>
      <c r="AT781" t="s">
        <v>46572</v>
      </c>
      <c r="AU781">
        <v>34.2</v>
      </c>
      <c r="AV781" t="s">
        <v>540</v>
      </c>
      <c r="AW781" t="s">
        <v>46839</v>
      </c>
    </row>
    <row r="782" spans="1:50">
      <c r="A782" s="1">
        <f>HYPERLINK("https://lsnyc.legalserver.org/matter/dynamic-profile/view/1866238","18-1866238")</f>
        <v>0</v>
      </c>
      <c r="B782" t="s">
        <v>54</v>
      </c>
      <c r="C782" t="s">
        <v>341</v>
      </c>
      <c r="D782" t="s">
        <v>385</v>
      </c>
      <c r="E782" t="s">
        <v>833</v>
      </c>
      <c r="F782" t="s">
        <v>872</v>
      </c>
      <c r="G782" t="s">
        <v>5075</v>
      </c>
      <c r="H782" t="s">
        <v>9640</v>
      </c>
      <c r="I782">
        <v>417</v>
      </c>
      <c r="J782" t="s">
        <v>18892</v>
      </c>
      <c r="K782">
        <v>10455</v>
      </c>
      <c r="L782" t="s">
        <v>18958</v>
      </c>
      <c r="M782" t="s">
        <v>18958</v>
      </c>
      <c r="N782" t="s">
        <v>19580</v>
      </c>
      <c r="O782" t="s">
        <v>26544</v>
      </c>
      <c r="P782" t="s">
        <v>26560</v>
      </c>
      <c r="Q782" t="s">
        <v>26575</v>
      </c>
      <c r="R782" t="s">
        <v>26577</v>
      </c>
      <c r="S782" t="s">
        <v>18959</v>
      </c>
      <c r="U782" t="s">
        <v>26604</v>
      </c>
      <c r="V782" t="s">
        <v>26612</v>
      </c>
      <c r="W782" t="s">
        <v>497</v>
      </c>
      <c r="X782">
        <v>501</v>
      </c>
      <c r="Y782" t="s">
        <v>26650</v>
      </c>
      <c r="Z782" t="s">
        <v>26659</v>
      </c>
      <c r="AA782" t="s">
        <v>26677</v>
      </c>
      <c r="AB782" t="s">
        <v>26700</v>
      </c>
      <c r="AC782" t="s">
        <v>34749</v>
      </c>
      <c r="AD782" t="s">
        <v>36815</v>
      </c>
      <c r="AE782">
        <v>109</v>
      </c>
      <c r="AF782" t="s">
        <v>45543</v>
      </c>
      <c r="AG782" t="s">
        <v>45556</v>
      </c>
      <c r="AH782">
        <v>18</v>
      </c>
      <c r="AI782">
        <v>2</v>
      </c>
      <c r="AJ782">
        <v>0</v>
      </c>
      <c r="AK782">
        <v>36.45</v>
      </c>
      <c r="AN782" t="s">
        <v>45581</v>
      </c>
      <c r="AO782">
        <v>6000</v>
      </c>
      <c r="AP782" t="s">
        <v>45671</v>
      </c>
      <c r="AQ782" t="s">
        <v>46370</v>
      </c>
      <c r="AR782" t="s">
        <v>26530</v>
      </c>
      <c r="AS782" t="s">
        <v>46499</v>
      </c>
      <c r="AT782" t="s">
        <v>46653</v>
      </c>
      <c r="AU782">
        <v>171.55</v>
      </c>
      <c r="AV782" t="s">
        <v>414</v>
      </c>
      <c r="AW782" t="s">
        <v>46832</v>
      </c>
    </row>
    <row r="783" spans="1:50">
      <c r="A783" s="1">
        <f>HYPERLINK("https://lsnyc.legalserver.org/matter/dynamic-profile/view/1871697","18-1871697")</f>
        <v>0</v>
      </c>
      <c r="B783" t="s">
        <v>140</v>
      </c>
      <c r="C783" t="s">
        <v>341</v>
      </c>
      <c r="D783" t="s">
        <v>426</v>
      </c>
      <c r="E783" t="s">
        <v>497</v>
      </c>
      <c r="F783" t="s">
        <v>1435</v>
      </c>
      <c r="G783" t="s">
        <v>5612</v>
      </c>
      <c r="H783" t="s">
        <v>10335</v>
      </c>
      <c r="I783" t="s">
        <v>17525</v>
      </c>
      <c r="J783" t="s">
        <v>18894</v>
      </c>
      <c r="K783">
        <v>11221</v>
      </c>
      <c r="L783" t="s">
        <v>18958</v>
      </c>
      <c r="M783" t="s">
        <v>18958</v>
      </c>
      <c r="N783" t="s">
        <v>19581</v>
      </c>
      <c r="O783" t="s">
        <v>26524</v>
      </c>
      <c r="P783" t="s">
        <v>26564</v>
      </c>
      <c r="Q783" t="s">
        <v>26570</v>
      </c>
      <c r="R783" t="s">
        <v>26588</v>
      </c>
      <c r="S783" t="s">
        <v>18959</v>
      </c>
      <c r="U783" t="s">
        <v>26604</v>
      </c>
      <c r="W783" t="s">
        <v>497</v>
      </c>
      <c r="X783">
        <v>0</v>
      </c>
      <c r="Y783" t="s">
        <v>26652</v>
      </c>
      <c r="Z783" t="s">
        <v>26669</v>
      </c>
      <c r="AA783" t="s">
        <v>26683</v>
      </c>
      <c r="AB783" t="s">
        <v>27441</v>
      </c>
      <c r="AD783" t="s">
        <v>37504</v>
      </c>
      <c r="AE783">
        <v>5</v>
      </c>
      <c r="AH783">
        <v>1</v>
      </c>
      <c r="AI783">
        <v>1</v>
      </c>
      <c r="AJ783">
        <v>0</v>
      </c>
      <c r="AK783">
        <v>0</v>
      </c>
      <c r="AN783" t="s">
        <v>7439</v>
      </c>
      <c r="AO783">
        <v>0</v>
      </c>
      <c r="AU783">
        <v>5.4</v>
      </c>
      <c r="AV783" t="s">
        <v>497</v>
      </c>
      <c r="AW783" t="s">
        <v>46853</v>
      </c>
    </row>
    <row r="784" spans="1:50">
      <c r="A784" s="1">
        <f>HYPERLINK("https://lsnyc.legalserver.org/matter/dynamic-profile/view/1872111","18-1872111")</f>
        <v>0</v>
      </c>
      <c r="B784" t="s">
        <v>90</v>
      </c>
      <c r="C784" t="s">
        <v>340</v>
      </c>
      <c r="D784" t="s">
        <v>435</v>
      </c>
      <c r="F784" t="s">
        <v>1436</v>
      </c>
      <c r="G784" t="s">
        <v>3036</v>
      </c>
      <c r="H784" t="s">
        <v>10336</v>
      </c>
      <c r="I784" t="s">
        <v>17322</v>
      </c>
      <c r="J784" t="s">
        <v>18893</v>
      </c>
      <c r="K784">
        <v>10029</v>
      </c>
      <c r="L784" t="s">
        <v>18958</v>
      </c>
      <c r="M784" t="s">
        <v>18958</v>
      </c>
      <c r="N784" t="s">
        <v>19582</v>
      </c>
      <c r="O784" t="s">
        <v>26523</v>
      </c>
      <c r="P784" t="s">
        <v>26560</v>
      </c>
      <c r="R784" t="s">
        <v>26578</v>
      </c>
      <c r="S784" t="s">
        <v>18959</v>
      </c>
      <c r="U784" t="s">
        <v>26604</v>
      </c>
      <c r="V784" t="s">
        <v>26610</v>
      </c>
      <c r="W784" t="s">
        <v>497</v>
      </c>
      <c r="X784">
        <v>981</v>
      </c>
      <c r="Y784" t="s">
        <v>26651</v>
      </c>
      <c r="Z784" t="s">
        <v>26673</v>
      </c>
      <c r="AB784" t="s">
        <v>27442</v>
      </c>
      <c r="AD784" t="s">
        <v>37505</v>
      </c>
      <c r="AE784">
        <v>30</v>
      </c>
      <c r="AF784" t="s">
        <v>45541</v>
      </c>
      <c r="AG784" t="s">
        <v>19330</v>
      </c>
      <c r="AH784">
        <v>19</v>
      </c>
      <c r="AI784">
        <v>1</v>
      </c>
      <c r="AJ784">
        <v>0</v>
      </c>
      <c r="AK784">
        <v>19.77</v>
      </c>
      <c r="AN784" t="s">
        <v>7439</v>
      </c>
      <c r="AO784">
        <v>2400</v>
      </c>
      <c r="AP784" t="s">
        <v>45672</v>
      </c>
      <c r="AU784">
        <v>24.55</v>
      </c>
      <c r="AV784" t="s">
        <v>771</v>
      </c>
      <c r="AW784" t="s">
        <v>46861</v>
      </c>
    </row>
    <row r="785" spans="1:50">
      <c r="A785" s="1">
        <f>HYPERLINK("https://lsnyc.legalserver.org/matter/dynamic-profile/view/1873294","18-1873294")</f>
        <v>0</v>
      </c>
      <c r="B785" t="s">
        <v>90</v>
      </c>
      <c r="C785" t="s">
        <v>340</v>
      </c>
      <c r="D785" t="s">
        <v>464</v>
      </c>
      <c r="F785" t="s">
        <v>1437</v>
      </c>
      <c r="G785" t="s">
        <v>5110</v>
      </c>
      <c r="H785" t="s">
        <v>10337</v>
      </c>
      <c r="I785" t="s">
        <v>17526</v>
      </c>
      <c r="J785" t="s">
        <v>18893</v>
      </c>
      <c r="K785">
        <v>10035</v>
      </c>
      <c r="L785" t="s">
        <v>18958</v>
      </c>
      <c r="M785" t="s">
        <v>18958</v>
      </c>
      <c r="O785" t="s">
        <v>26525</v>
      </c>
      <c r="P785" t="s">
        <v>26561</v>
      </c>
      <c r="R785" t="s">
        <v>26578</v>
      </c>
      <c r="S785" t="s">
        <v>18959</v>
      </c>
      <c r="U785" t="s">
        <v>26604</v>
      </c>
      <c r="V785" t="s">
        <v>26610</v>
      </c>
      <c r="W785" t="s">
        <v>497</v>
      </c>
      <c r="X785">
        <v>1293</v>
      </c>
      <c r="Y785" t="s">
        <v>26651</v>
      </c>
      <c r="Z785" t="s">
        <v>26530</v>
      </c>
      <c r="AB785" t="s">
        <v>27443</v>
      </c>
      <c r="AD785" t="s">
        <v>37506</v>
      </c>
      <c r="AE785">
        <v>91</v>
      </c>
      <c r="AF785" t="s">
        <v>45541</v>
      </c>
      <c r="AG785" t="s">
        <v>45556</v>
      </c>
      <c r="AH785">
        <v>11</v>
      </c>
      <c r="AI785">
        <v>1</v>
      </c>
      <c r="AJ785">
        <v>0</v>
      </c>
      <c r="AK785">
        <v>82.73</v>
      </c>
      <c r="AN785" t="s">
        <v>7439</v>
      </c>
      <c r="AO785">
        <v>10044</v>
      </c>
      <c r="AP785" t="s">
        <v>45673</v>
      </c>
      <c r="AU785">
        <v>29</v>
      </c>
      <c r="AV785" t="s">
        <v>815</v>
      </c>
      <c r="AW785" t="s">
        <v>46850</v>
      </c>
    </row>
    <row r="786" spans="1:50">
      <c r="A786" s="1">
        <f>HYPERLINK("https://lsnyc.legalserver.org/matter/dynamic-profile/view/1873450","18-1873450")</f>
        <v>0</v>
      </c>
      <c r="B786" t="s">
        <v>170</v>
      </c>
      <c r="C786" t="s">
        <v>341</v>
      </c>
      <c r="D786" t="s">
        <v>465</v>
      </c>
      <c r="E786" t="s">
        <v>497</v>
      </c>
      <c r="F786" t="s">
        <v>1438</v>
      </c>
      <c r="G786" t="s">
        <v>5613</v>
      </c>
      <c r="H786" t="s">
        <v>10338</v>
      </c>
      <c r="I786" t="s">
        <v>17374</v>
      </c>
      <c r="J786" t="s">
        <v>18894</v>
      </c>
      <c r="K786">
        <v>11236</v>
      </c>
      <c r="L786" t="s">
        <v>18958</v>
      </c>
      <c r="M786" t="s">
        <v>18960</v>
      </c>
      <c r="N786" t="s">
        <v>19583</v>
      </c>
      <c r="O786" t="s">
        <v>26524</v>
      </c>
      <c r="P786" t="s">
        <v>26564</v>
      </c>
      <c r="Q786" t="s">
        <v>26570</v>
      </c>
      <c r="R786" t="s">
        <v>26588</v>
      </c>
      <c r="U786" t="s">
        <v>26604</v>
      </c>
      <c r="W786" t="s">
        <v>497</v>
      </c>
      <c r="X786">
        <v>675</v>
      </c>
      <c r="Y786" t="s">
        <v>26652</v>
      </c>
      <c r="Z786" t="s">
        <v>26669</v>
      </c>
      <c r="AA786" t="s">
        <v>26683</v>
      </c>
      <c r="AB786" t="s">
        <v>27444</v>
      </c>
      <c r="AD786" t="s">
        <v>37507</v>
      </c>
      <c r="AE786">
        <v>7</v>
      </c>
      <c r="AG786" t="s">
        <v>45562</v>
      </c>
      <c r="AH786">
        <v>3</v>
      </c>
      <c r="AI786">
        <v>1</v>
      </c>
      <c r="AJ786">
        <v>0</v>
      </c>
      <c r="AK786">
        <v>26.59</v>
      </c>
      <c r="AN786" t="s">
        <v>7439</v>
      </c>
      <c r="AO786">
        <v>3228</v>
      </c>
      <c r="AU786">
        <v>1</v>
      </c>
      <c r="AV786" t="s">
        <v>497</v>
      </c>
      <c r="AW786" t="s">
        <v>46853</v>
      </c>
    </row>
    <row r="787" spans="1:50">
      <c r="A787" s="1">
        <f>HYPERLINK("https://lsnyc.legalserver.org/matter/dynamic-profile/view/1874180","18-1874180")</f>
        <v>0</v>
      </c>
      <c r="B787" t="s">
        <v>99</v>
      </c>
      <c r="C787" t="s">
        <v>341</v>
      </c>
      <c r="D787" t="s">
        <v>497</v>
      </c>
      <c r="E787" t="s">
        <v>692</v>
      </c>
      <c r="F787" t="s">
        <v>1429</v>
      </c>
      <c r="G787" t="s">
        <v>4284</v>
      </c>
      <c r="H787" t="s">
        <v>10339</v>
      </c>
      <c r="I787" t="s">
        <v>17312</v>
      </c>
      <c r="J787" t="s">
        <v>18894</v>
      </c>
      <c r="K787">
        <v>11221</v>
      </c>
      <c r="L787" t="s">
        <v>18958</v>
      </c>
      <c r="M787" t="s">
        <v>18958</v>
      </c>
      <c r="N787" t="s">
        <v>19584</v>
      </c>
      <c r="O787" t="s">
        <v>26524</v>
      </c>
      <c r="P787" t="s">
        <v>26560</v>
      </c>
      <c r="Q787" t="s">
        <v>26568</v>
      </c>
      <c r="R787" t="s">
        <v>26588</v>
      </c>
      <c r="S787" t="s">
        <v>18959</v>
      </c>
      <c r="U787" t="s">
        <v>26604</v>
      </c>
      <c r="V787" t="s">
        <v>26610</v>
      </c>
      <c r="W787" t="s">
        <v>497</v>
      </c>
      <c r="X787">
        <v>1800</v>
      </c>
      <c r="Y787" t="s">
        <v>26652</v>
      </c>
      <c r="Z787" t="s">
        <v>26662</v>
      </c>
      <c r="AA787" t="s">
        <v>26679</v>
      </c>
      <c r="AB787" t="s">
        <v>27445</v>
      </c>
      <c r="AC787" t="s">
        <v>34750</v>
      </c>
      <c r="AE787">
        <v>3</v>
      </c>
      <c r="AF787" t="s">
        <v>45547</v>
      </c>
      <c r="AG787" t="s">
        <v>19330</v>
      </c>
      <c r="AH787">
        <v>9</v>
      </c>
      <c r="AI787">
        <v>1</v>
      </c>
      <c r="AJ787">
        <v>3</v>
      </c>
      <c r="AK787">
        <v>62.15</v>
      </c>
      <c r="AN787" t="s">
        <v>45581</v>
      </c>
      <c r="AO787">
        <v>15600</v>
      </c>
      <c r="AQ787" t="s">
        <v>46361</v>
      </c>
      <c r="AR787" t="s">
        <v>46379</v>
      </c>
      <c r="AS787" t="s">
        <v>46500</v>
      </c>
      <c r="AT787" t="s">
        <v>46605</v>
      </c>
      <c r="AU787">
        <v>41.1</v>
      </c>
      <c r="AV787" t="s">
        <v>692</v>
      </c>
      <c r="AW787" t="s">
        <v>281</v>
      </c>
    </row>
    <row r="788" spans="1:50">
      <c r="A788" s="1">
        <f>HYPERLINK("https://lsnyc.legalserver.org/matter/dynamic-profile/view/1873978","18-1873978")</f>
        <v>0</v>
      </c>
      <c r="B788" t="s">
        <v>109</v>
      </c>
      <c r="C788" t="s">
        <v>341</v>
      </c>
      <c r="D788" t="s">
        <v>497</v>
      </c>
      <c r="E788" t="s">
        <v>706</v>
      </c>
      <c r="F788" t="s">
        <v>903</v>
      </c>
      <c r="G788" t="s">
        <v>5614</v>
      </c>
      <c r="H788" t="s">
        <v>10340</v>
      </c>
      <c r="I788">
        <v>239</v>
      </c>
      <c r="J788" t="s">
        <v>18902</v>
      </c>
      <c r="K788">
        <v>10304</v>
      </c>
      <c r="L788" t="s">
        <v>18958</v>
      </c>
      <c r="M788" t="s">
        <v>18958</v>
      </c>
      <c r="N788" t="s">
        <v>19585</v>
      </c>
      <c r="O788" t="s">
        <v>26523</v>
      </c>
      <c r="P788" t="s">
        <v>26560</v>
      </c>
      <c r="Q788" t="s">
        <v>26568</v>
      </c>
      <c r="R788" t="s">
        <v>26587</v>
      </c>
      <c r="S788" t="s">
        <v>18959</v>
      </c>
      <c r="U788" t="s">
        <v>26605</v>
      </c>
      <c r="V788" t="s">
        <v>26610</v>
      </c>
      <c r="W788" t="s">
        <v>497</v>
      </c>
      <c r="X788">
        <v>1950</v>
      </c>
      <c r="Y788" t="s">
        <v>26654</v>
      </c>
      <c r="Z788" t="s">
        <v>26666</v>
      </c>
      <c r="AA788" t="s">
        <v>26680</v>
      </c>
      <c r="AB788" t="s">
        <v>27446</v>
      </c>
      <c r="AD788" t="s">
        <v>37508</v>
      </c>
      <c r="AE788">
        <v>0</v>
      </c>
      <c r="AF788" t="s">
        <v>45543</v>
      </c>
      <c r="AG788" t="s">
        <v>45556</v>
      </c>
      <c r="AH788">
        <v>15</v>
      </c>
      <c r="AI788">
        <v>1</v>
      </c>
      <c r="AJ788">
        <v>3</v>
      </c>
      <c r="AK788">
        <v>0</v>
      </c>
      <c r="AN788" t="s">
        <v>7439</v>
      </c>
      <c r="AO788">
        <v>0</v>
      </c>
      <c r="AR788" t="s">
        <v>46379</v>
      </c>
      <c r="AS788" t="s">
        <v>46499</v>
      </c>
      <c r="AT788" t="s">
        <v>46578</v>
      </c>
      <c r="AU788">
        <v>6.85</v>
      </c>
      <c r="AV788" t="s">
        <v>706</v>
      </c>
      <c r="AW788" t="s">
        <v>46855</v>
      </c>
    </row>
    <row r="789" spans="1:50">
      <c r="A789" s="1">
        <f>HYPERLINK("https://lsnyc.legalserver.org/matter/dynamic-profile/view/1874194","18-1874194")</f>
        <v>0</v>
      </c>
      <c r="B789" t="s">
        <v>90</v>
      </c>
      <c r="C789" t="s">
        <v>341</v>
      </c>
      <c r="D789" t="s">
        <v>497</v>
      </c>
      <c r="E789" t="s">
        <v>836</v>
      </c>
      <c r="F789" t="s">
        <v>1439</v>
      </c>
      <c r="G789" t="s">
        <v>5205</v>
      </c>
      <c r="H789" t="s">
        <v>10341</v>
      </c>
      <c r="I789" t="s">
        <v>17277</v>
      </c>
      <c r="J789" t="s">
        <v>18893</v>
      </c>
      <c r="K789">
        <v>10035</v>
      </c>
      <c r="L789" t="s">
        <v>18958</v>
      </c>
      <c r="M789" t="s">
        <v>18958</v>
      </c>
      <c r="N789" t="s">
        <v>19586</v>
      </c>
      <c r="O789" t="s">
        <v>26523</v>
      </c>
      <c r="P789" t="s">
        <v>26560</v>
      </c>
      <c r="Q789" t="s">
        <v>26568</v>
      </c>
      <c r="R789" t="s">
        <v>26578</v>
      </c>
      <c r="S789" t="s">
        <v>18959</v>
      </c>
      <c r="U789" t="s">
        <v>26604</v>
      </c>
      <c r="V789" t="s">
        <v>26610</v>
      </c>
      <c r="W789" t="s">
        <v>497</v>
      </c>
      <c r="X789">
        <v>953.39</v>
      </c>
      <c r="Y789" t="s">
        <v>26651</v>
      </c>
      <c r="Z789" t="s">
        <v>26661</v>
      </c>
      <c r="AA789" t="s">
        <v>26678</v>
      </c>
      <c r="AB789" t="s">
        <v>27447</v>
      </c>
      <c r="AD789" t="s">
        <v>37509</v>
      </c>
      <c r="AE789">
        <v>9</v>
      </c>
      <c r="AF789" t="s">
        <v>45541</v>
      </c>
      <c r="AG789" t="s">
        <v>45561</v>
      </c>
      <c r="AH789">
        <v>3</v>
      </c>
      <c r="AI789">
        <v>1</v>
      </c>
      <c r="AJ789">
        <v>0</v>
      </c>
      <c r="AK789">
        <v>39.84</v>
      </c>
      <c r="AN789" t="s">
        <v>7439</v>
      </c>
      <c r="AO789">
        <v>4836</v>
      </c>
      <c r="AQ789" t="s">
        <v>46362</v>
      </c>
      <c r="AR789" t="s">
        <v>46421</v>
      </c>
      <c r="AS789" t="s">
        <v>46499</v>
      </c>
      <c r="AT789" t="s">
        <v>46654</v>
      </c>
      <c r="AU789">
        <v>42.65</v>
      </c>
      <c r="AV789" t="s">
        <v>724</v>
      </c>
      <c r="AW789" t="s">
        <v>46835</v>
      </c>
      <c r="AX789" t="s">
        <v>46897</v>
      </c>
    </row>
    <row r="790" spans="1:50">
      <c r="A790" s="1">
        <f>HYPERLINK("https://lsnyc.legalserver.org/matter/dynamic-profile/view/1874185","18-1874185")</f>
        <v>0</v>
      </c>
      <c r="B790" t="s">
        <v>146</v>
      </c>
      <c r="C790" t="s">
        <v>341</v>
      </c>
      <c r="D790" t="s">
        <v>497</v>
      </c>
      <c r="E790" t="s">
        <v>578</v>
      </c>
      <c r="F790" t="s">
        <v>1440</v>
      </c>
      <c r="G790" t="s">
        <v>5615</v>
      </c>
      <c r="H790" t="s">
        <v>10342</v>
      </c>
      <c r="I790" t="s">
        <v>17278</v>
      </c>
      <c r="J790" t="s">
        <v>18893</v>
      </c>
      <c r="K790">
        <v>10025</v>
      </c>
      <c r="L790" t="s">
        <v>18958</v>
      </c>
      <c r="M790" t="s">
        <v>18958</v>
      </c>
      <c r="O790" t="s">
        <v>18997</v>
      </c>
      <c r="P790" t="s">
        <v>26564</v>
      </c>
      <c r="Q790" t="s">
        <v>26570</v>
      </c>
      <c r="R790" t="s">
        <v>26578</v>
      </c>
      <c r="S790" t="s">
        <v>18959</v>
      </c>
      <c r="U790" t="s">
        <v>26604</v>
      </c>
      <c r="W790" t="s">
        <v>497</v>
      </c>
      <c r="X790">
        <v>723.04</v>
      </c>
      <c r="Y790" t="s">
        <v>26651</v>
      </c>
      <c r="Z790" t="s">
        <v>26667</v>
      </c>
      <c r="AA790" t="s">
        <v>26683</v>
      </c>
      <c r="AB790" t="s">
        <v>27448</v>
      </c>
      <c r="AE790">
        <v>403</v>
      </c>
      <c r="AF790" t="s">
        <v>45541</v>
      </c>
      <c r="AG790" t="s">
        <v>19330</v>
      </c>
      <c r="AH790">
        <v>50</v>
      </c>
      <c r="AI790">
        <v>2</v>
      </c>
      <c r="AJ790">
        <v>0</v>
      </c>
      <c r="AK790">
        <v>0</v>
      </c>
      <c r="AN790" t="s">
        <v>7439</v>
      </c>
      <c r="AO790">
        <v>0</v>
      </c>
      <c r="AU790">
        <v>0.9</v>
      </c>
      <c r="AV790" t="s">
        <v>530</v>
      </c>
      <c r="AW790" t="s">
        <v>46840</v>
      </c>
    </row>
    <row r="791" spans="1:50">
      <c r="A791" s="1">
        <f>HYPERLINK("https://lsnyc.legalserver.org/matter/dynamic-profile/view/1874233","18-1874233")</f>
        <v>0</v>
      </c>
      <c r="B791" t="s">
        <v>74</v>
      </c>
      <c r="C791" t="s">
        <v>341</v>
      </c>
      <c r="D791" t="s">
        <v>497</v>
      </c>
      <c r="E791" t="s">
        <v>623</v>
      </c>
      <c r="F791" t="s">
        <v>1441</v>
      </c>
      <c r="G791" t="s">
        <v>5616</v>
      </c>
      <c r="H791" t="s">
        <v>10343</v>
      </c>
      <c r="I791" t="s">
        <v>17464</v>
      </c>
      <c r="J791" t="s">
        <v>18893</v>
      </c>
      <c r="K791">
        <v>10033</v>
      </c>
      <c r="L791" t="s">
        <v>18958</v>
      </c>
      <c r="M791" t="s">
        <v>18958</v>
      </c>
      <c r="O791" t="s">
        <v>26534</v>
      </c>
      <c r="P791" t="s">
        <v>26565</v>
      </c>
      <c r="Q791" t="s">
        <v>26571</v>
      </c>
      <c r="R791" t="s">
        <v>26578</v>
      </c>
      <c r="S791" t="s">
        <v>18959</v>
      </c>
      <c r="U791" t="s">
        <v>26604</v>
      </c>
      <c r="W791" t="s">
        <v>497</v>
      </c>
      <c r="X791">
        <v>857.13</v>
      </c>
      <c r="Y791" t="s">
        <v>26651</v>
      </c>
      <c r="Z791" t="s">
        <v>26661</v>
      </c>
      <c r="AA791" t="s">
        <v>26682</v>
      </c>
      <c r="AB791" t="s">
        <v>27449</v>
      </c>
      <c r="AD791" t="s">
        <v>37510</v>
      </c>
      <c r="AE791">
        <v>78</v>
      </c>
      <c r="AF791" t="s">
        <v>45541</v>
      </c>
      <c r="AG791" t="s">
        <v>19330</v>
      </c>
      <c r="AH791">
        <v>39</v>
      </c>
      <c r="AI791">
        <v>2</v>
      </c>
      <c r="AJ791">
        <v>0</v>
      </c>
      <c r="AK791">
        <v>176.18</v>
      </c>
      <c r="AN791" t="s">
        <v>7439</v>
      </c>
      <c r="AO791">
        <v>29000</v>
      </c>
      <c r="AU791">
        <v>2</v>
      </c>
      <c r="AV791" t="s">
        <v>623</v>
      </c>
      <c r="AW791" t="s">
        <v>46840</v>
      </c>
    </row>
    <row r="792" spans="1:50">
      <c r="A792" s="1">
        <f>HYPERLINK("https://lsnyc.legalserver.org/matter/dynamic-profile/view/1874172","18-1874172")</f>
        <v>0</v>
      </c>
      <c r="B792" t="s">
        <v>79</v>
      </c>
      <c r="C792" t="s">
        <v>341</v>
      </c>
      <c r="D792" t="s">
        <v>497</v>
      </c>
      <c r="E792" t="s">
        <v>600</v>
      </c>
      <c r="F792" t="s">
        <v>887</v>
      </c>
      <c r="G792" t="s">
        <v>5617</v>
      </c>
      <c r="H792" t="s">
        <v>10344</v>
      </c>
      <c r="I792" t="s">
        <v>17284</v>
      </c>
      <c r="J792" t="s">
        <v>18893</v>
      </c>
      <c r="K792">
        <v>10034</v>
      </c>
      <c r="L792" t="s">
        <v>18958</v>
      </c>
      <c r="M792" t="s">
        <v>18958</v>
      </c>
      <c r="O792" t="s">
        <v>26523</v>
      </c>
      <c r="P792" t="s">
        <v>26564</v>
      </c>
      <c r="Q792" t="s">
        <v>26570</v>
      </c>
      <c r="R792" t="s">
        <v>26578</v>
      </c>
      <c r="S792" t="s">
        <v>18959</v>
      </c>
      <c r="U792" t="s">
        <v>26604</v>
      </c>
      <c r="W792" t="s">
        <v>497</v>
      </c>
      <c r="X792">
        <v>828.3099999999999</v>
      </c>
      <c r="Y792" t="s">
        <v>26651</v>
      </c>
      <c r="Z792" t="s">
        <v>26661</v>
      </c>
      <c r="AA792" t="s">
        <v>26683</v>
      </c>
      <c r="AB792" t="s">
        <v>27450</v>
      </c>
      <c r="AD792" t="s">
        <v>37511</v>
      </c>
      <c r="AE792">
        <v>40</v>
      </c>
      <c r="AF792" t="s">
        <v>45541</v>
      </c>
      <c r="AG792" t="s">
        <v>45559</v>
      </c>
      <c r="AH792">
        <v>44</v>
      </c>
      <c r="AI792">
        <v>1</v>
      </c>
      <c r="AJ792">
        <v>0</v>
      </c>
      <c r="AK792">
        <v>50.33</v>
      </c>
      <c r="AN792" t="s">
        <v>7439</v>
      </c>
      <c r="AO792">
        <v>6110.4</v>
      </c>
      <c r="AU792">
        <v>0.1</v>
      </c>
      <c r="AV792" t="s">
        <v>576</v>
      </c>
      <c r="AW792" t="s">
        <v>46840</v>
      </c>
    </row>
    <row r="793" spans="1:50">
      <c r="A793" s="1">
        <f>HYPERLINK("https://lsnyc.legalserver.org/matter/dynamic-profile/view/1874207","18-1874207")</f>
        <v>0</v>
      </c>
      <c r="B793" t="s">
        <v>132</v>
      </c>
      <c r="C793" t="s">
        <v>341</v>
      </c>
      <c r="D793" t="s">
        <v>497</v>
      </c>
      <c r="E793" t="s">
        <v>697</v>
      </c>
      <c r="F793" t="s">
        <v>1442</v>
      </c>
      <c r="G793" t="s">
        <v>5618</v>
      </c>
      <c r="H793" t="s">
        <v>10345</v>
      </c>
      <c r="I793" t="s">
        <v>17316</v>
      </c>
      <c r="J793" t="s">
        <v>18894</v>
      </c>
      <c r="K793">
        <v>11225</v>
      </c>
      <c r="L793" t="s">
        <v>18958</v>
      </c>
      <c r="M793" t="s">
        <v>18958</v>
      </c>
      <c r="N793" t="s">
        <v>19587</v>
      </c>
      <c r="O793" t="s">
        <v>26523</v>
      </c>
      <c r="P793" t="s">
        <v>26560</v>
      </c>
      <c r="Q793" t="s">
        <v>26573</v>
      </c>
      <c r="R793" t="s">
        <v>26588</v>
      </c>
      <c r="S793" t="s">
        <v>18959</v>
      </c>
      <c r="U793" t="s">
        <v>26604</v>
      </c>
      <c r="V793" t="s">
        <v>26610</v>
      </c>
      <c r="W793" t="s">
        <v>497</v>
      </c>
      <c r="X793">
        <v>874.97</v>
      </c>
      <c r="Y793" t="s">
        <v>26652</v>
      </c>
      <c r="Z793" t="s">
        <v>26669</v>
      </c>
      <c r="AA793" t="s">
        <v>26678</v>
      </c>
      <c r="AB793" t="s">
        <v>27451</v>
      </c>
      <c r="AD793" t="s">
        <v>37512</v>
      </c>
      <c r="AE793">
        <v>40</v>
      </c>
      <c r="AF793" t="s">
        <v>45541</v>
      </c>
      <c r="AG793" t="s">
        <v>45559</v>
      </c>
      <c r="AH793">
        <v>38</v>
      </c>
      <c r="AI793">
        <v>2</v>
      </c>
      <c r="AJ793">
        <v>0</v>
      </c>
      <c r="AK793">
        <v>177.45</v>
      </c>
      <c r="AN793" t="s">
        <v>7439</v>
      </c>
      <c r="AO793">
        <v>29208</v>
      </c>
      <c r="AR793" t="s">
        <v>46379</v>
      </c>
      <c r="AS793" t="s">
        <v>46499</v>
      </c>
      <c r="AT793" t="s">
        <v>46628</v>
      </c>
      <c r="AU793">
        <v>0.5</v>
      </c>
      <c r="AV793" t="s">
        <v>510</v>
      </c>
      <c r="AW793" t="s">
        <v>281</v>
      </c>
    </row>
    <row r="794" spans="1:50">
      <c r="A794" s="1">
        <f>HYPERLINK("https://lsnyc.legalserver.org/matter/dynamic-profile/view/1874186","18-1874186")</f>
        <v>0</v>
      </c>
      <c r="B794" t="s">
        <v>101</v>
      </c>
      <c r="C794" t="s">
        <v>341</v>
      </c>
      <c r="D794" t="s">
        <v>497</v>
      </c>
      <c r="E794" t="s">
        <v>854</v>
      </c>
      <c r="F794" t="s">
        <v>1443</v>
      </c>
      <c r="G794" t="s">
        <v>5619</v>
      </c>
      <c r="H794" t="s">
        <v>10346</v>
      </c>
      <c r="I794" t="s">
        <v>17272</v>
      </c>
      <c r="J794" t="s">
        <v>18894</v>
      </c>
      <c r="K794">
        <v>11218</v>
      </c>
      <c r="L794" t="s">
        <v>18958</v>
      </c>
      <c r="M794" t="s">
        <v>18958</v>
      </c>
      <c r="N794" t="s">
        <v>19588</v>
      </c>
      <c r="O794" t="s">
        <v>26524</v>
      </c>
      <c r="P794" t="s">
        <v>26565</v>
      </c>
      <c r="Q794" t="s">
        <v>26571</v>
      </c>
      <c r="R794" t="s">
        <v>26586</v>
      </c>
      <c r="S794" t="s">
        <v>18959</v>
      </c>
      <c r="U794" t="s">
        <v>26604</v>
      </c>
      <c r="V794" t="s">
        <v>26610</v>
      </c>
      <c r="W794" t="s">
        <v>497</v>
      </c>
      <c r="X794">
        <v>0</v>
      </c>
      <c r="Y794" t="s">
        <v>26652</v>
      </c>
      <c r="Z794" t="s">
        <v>26664</v>
      </c>
      <c r="AA794" t="s">
        <v>26679</v>
      </c>
      <c r="AB794" t="s">
        <v>27452</v>
      </c>
      <c r="AD794" t="s">
        <v>37513</v>
      </c>
      <c r="AE794">
        <v>58</v>
      </c>
      <c r="AH794">
        <v>14</v>
      </c>
      <c r="AI794">
        <v>2</v>
      </c>
      <c r="AJ794">
        <v>0</v>
      </c>
      <c r="AK794">
        <v>36.45</v>
      </c>
      <c r="AN794" t="s">
        <v>7439</v>
      </c>
      <c r="AO794">
        <v>6000</v>
      </c>
      <c r="AU794">
        <v>10.7</v>
      </c>
      <c r="AV794" t="s">
        <v>606</v>
      </c>
      <c r="AW794" t="s">
        <v>281</v>
      </c>
    </row>
    <row r="795" spans="1:50">
      <c r="A795" s="1">
        <f>HYPERLINK("https://lsnyc.legalserver.org/matter/dynamic-profile/view/1874170","18-1874170")</f>
        <v>0</v>
      </c>
      <c r="B795" t="s">
        <v>101</v>
      </c>
      <c r="C795" t="s">
        <v>341</v>
      </c>
      <c r="D795" t="s">
        <v>497</v>
      </c>
      <c r="E795" t="s">
        <v>855</v>
      </c>
      <c r="F795" t="s">
        <v>1444</v>
      </c>
      <c r="G795" t="s">
        <v>5620</v>
      </c>
      <c r="H795" t="s">
        <v>10347</v>
      </c>
      <c r="I795" t="s">
        <v>17527</v>
      </c>
      <c r="J795" t="s">
        <v>18894</v>
      </c>
      <c r="K795">
        <v>11208</v>
      </c>
      <c r="L795" t="s">
        <v>18958</v>
      </c>
      <c r="M795" t="s">
        <v>18958</v>
      </c>
      <c r="N795" t="s">
        <v>19589</v>
      </c>
      <c r="O795" t="s">
        <v>26523</v>
      </c>
      <c r="P795" t="s">
        <v>26560</v>
      </c>
      <c r="Q795" t="s">
        <v>26568</v>
      </c>
      <c r="R795" t="s">
        <v>26586</v>
      </c>
      <c r="U795" t="s">
        <v>26605</v>
      </c>
      <c r="V795" t="s">
        <v>26610</v>
      </c>
      <c r="W795" t="s">
        <v>497</v>
      </c>
      <c r="X795">
        <v>1065</v>
      </c>
      <c r="Y795" t="s">
        <v>26652</v>
      </c>
      <c r="Z795" t="s">
        <v>26662</v>
      </c>
      <c r="AA795" t="s">
        <v>26680</v>
      </c>
      <c r="AB795" t="s">
        <v>27453</v>
      </c>
      <c r="AD795" t="s">
        <v>37514</v>
      </c>
      <c r="AE795">
        <v>78</v>
      </c>
      <c r="AF795" t="s">
        <v>45549</v>
      </c>
      <c r="AH795">
        <v>24</v>
      </c>
      <c r="AI795">
        <v>3</v>
      </c>
      <c r="AJ795">
        <v>0</v>
      </c>
      <c r="AK795">
        <v>142.11</v>
      </c>
      <c r="AN795" t="s">
        <v>7439</v>
      </c>
      <c r="AO795">
        <v>29530</v>
      </c>
      <c r="AR795" t="s">
        <v>46385</v>
      </c>
      <c r="AS795" t="s">
        <v>46499</v>
      </c>
      <c r="AT795" t="s">
        <v>46651</v>
      </c>
      <c r="AU795">
        <v>18.8</v>
      </c>
      <c r="AV795" t="s">
        <v>664</v>
      </c>
      <c r="AW795" t="s">
        <v>281</v>
      </c>
    </row>
    <row r="796" spans="1:50">
      <c r="A796" s="1">
        <f>HYPERLINK("https://lsnyc.legalserver.org/matter/dynamic-profile/view/1874200","18-1874200")</f>
        <v>0</v>
      </c>
      <c r="B796" t="s">
        <v>101</v>
      </c>
      <c r="C796" t="s">
        <v>341</v>
      </c>
      <c r="D796" t="s">
        <v>497</v>
      </c>
      <c r="E796" t="s">
        <v>593</v>
      </c>
      <c r="F796" t="s">
        <v>1445</v>
      </c>
      <c r="G796" t="s">
        <v>5621</v>
      </c>
      <c r="H796" t="s">
        <v>10348</v>
      </c>
      <c r="I796" t="s">
        <v>17291</v>
      </c>
      <c r="J796" t="s">
        <v>18894</v>
      </c>
      <c r="K796">
        <v>11221</v>
      </c>
      <c r="L796" t="s">
        <v>18958</v>
      </c>
      <c r="M796" t="s">
        <v>18958</v>
      </c>
      <c r="N796" t="s">
        <v>19590</v>
      </c>
      <c r="O796" t="s">
        <v>26523</v>
      </c>
      <c r="P796" t="s">
        <v>26564</v>
      </c>
      <c r="Q796" t="s">
        <v>26570</v>
      </c>
      <c r="R796" t="s">
        <v>26588</v>
      </c>
      <c r="U796" t="s">
        <v>26604</v>
      </c>
      <c r="W796" t="s">
        <v>497</v>
      </c>
      <c r="X796">
        <v>3550</v>
      </c>
      <c r="Y796" t="s">
        <v>26652</v>
      </c>
      <c r="Z796" t="s">
        <v>26669</v>
      </c>
      <c r="AA796" t="s">
        <v>26683</v>
      </c>
      <c r="AB796" t="s">
        <v>27454</v>
      </c>
      <c r="AD796" t="s">
        <v>37515</v>
      </c>
      <c r="AE796">
        <v>10</v>
      </c>
      <c r="AH796">
        <v>2</v>
      </c>
      <c r="AI796">
        <v>1</v>
      </c>
      <c r="AJ796">
        <v>0</v>
      </c>
      <c r="AK796">
        <v>156.51</v>
      </c>
      <c r="AN796" t="s">
        <v>7439</v>
      </c>
      <c r="AO796">
        <v>19000</v>
      </c>
      <c r="AU796">
        <v>1.35</v>
      </c>
      <c r="AV796" t="s">
        <v>516</v>
      </c>
      <c r="AW796" t="s">
        <v>281</v>
      </c>
    </row>
    <row r="797" spans="1:50">
      <c r="A797" s="1">
        <f>HYPERLINK("https://lsnyc.legalserver.org/matter/dynamic-profile/view/1874255","18-1874255")</f>
        <v>0</v>
      </c>
      <c r="B797" t="s">
        <v>120</v>
      </c>
      <c r="C797" t="s">
        <v>341</v>
      </c>
      <c r="D797" t="s">
        <v>497</v>
      </c>
      <c r="E797" t="s">
        <v>652</v>
      </c>
      <c r="F797" t="s">
        <v>1446</v>
      </c>
      <c r="G797" t="s">
        <v>1685</v>
      </c>
      <c r="H797" t="s">
        <v>10349</v>
      </c>
      <c r="I797" t="s">
        <v>17528</v>
      </c>
      <c r="J797" t="s">
        <v>18892</v>
      </c>
      <c r="K797">
        <v>10457</v>
      </c>
      <c r="L797" t="s">
        <v>18958</v>
      </c>
      <c r="M797" t="s">
        <v>18958</v>
      </c>
      <c r="N797" t="s">
        <v>19591</v>
      </c>
      <c r="O797" t="s">
        <v>26523</v>
      </c>
      <c r="P797" t="s">
        <v>26560</v>
      </c>
      <c r="Q797" t="s">
        <v>26568</v>
      </c>
      <c r="R797" t="s">
        <v>26579</v>
      </c>
      <c r="S797" t="s">
        <v>18959</v>
      </c>
      <c r="U797" t="s">
        <v>26604</v>
      </c>
      <c r="V797" t="s">
        <v>26611</v>
      </c>
      <c r="W797" t="s">
        <v>497</v>
      </c>
      <c r="X797">
        <v>1789</v>
      </c>
      <c r="Y797" t="s">
        <v>26650</v>
      </c>
      <c r="Z797" t="s">
        <v>26662</v>
      </c>
      <c r="AA797" t="s">
        <v>26678</v>
      </c>
      <c r="AB797" t="s">
        <v>27455</v>
      </c>
      <c r="AC797" t="s">
        <v>34751</v>
      </c>
      <c r="AD797" t="s">
        <v>37516</v>
      </c>
      <c r="AE797">
        <v>50</v>
      </c>
      <c r="AF797" t="s">
        <v>45543</v>
      </c>
      <c r="AG797" t="s">
        <v>45556</v>
      </c>
      <c r="AH797">
        <v>2</v>
      </c>
      <c r="AI797">
        <v>1</v>
      </c>
      <c r="AJ797">
        <v>0</v>
      </c>
      <c r="AK797">
        <v>0</v>
      </c>
      <c r="AN797" t="s">
        <v>7439</v>
      </c>
      <c r="AO797">
        <v>0</v>
      </c>
      <c r="AQ797" t="s">
        <v>46364</v>
      </c>
      <c r="AR797" t="s">
        <v>46381</v>
      </c>
      <c r="AS797" t="s">
        <v>46499</v>
      </c>
      <c r="AT797" t="s">
        <v>46632</v>
      </c>
      <c r="AU797">
        <v>6.7</v>
      </c>
      <c r="AV797" t="s">
        <v>594</v>
      </c>
      <c r="AW797" t="s">
        <v>46832</v>
      </c>
    </row>
    <row r="798" spans="1:50">
      <c r="A798" s="1">
        <f>HYPERLINK("https://lsnyc.legalserver.org/matter/dynamic-profile/view/1874162","18-1874162")</f>
        <v>0</v>
      </c>
      <c r="B798" t="s">
        <v>103</v>
      </c>
      <c r="C798" t="s">
        <v>341</v>
      </c>
      <c r="D798" t="s">
        <v>497</v>
      </c>
      <c r="E798" t="s">
        <v>672</v>
      </c>
      <c r="F798" t="s">
        <v>1447</v>
      </c>
      <c r="G798" t="s">
        <v>5100</v>
      </c>
      <c r="H798" t="s">
        <v>10350</v>
      </c>
      <c r="J798" t="s">
        <v>18902</v>
      </c>
      <c r="K798">
        <v>10310</v>
      </c>
      <c r="L798" t="s">
        <v>18958</v>
      </c>
      <c r="M798" t="s">
        <v>18958</v>
      </c>
      <c r="N798" t="s">
        <v>19592</v>
      </c>
      <c r="O798" t="s">
        <v>26523</v>
      </c>
      <c r="P798" t="s">
        <v>26560</v>
      </c>
      <c r="Q798" t="s">
        <v>26568</v>
      </c>
      <c r="R798" t="s">
        <v>26590</v>
      </c>
      <c r="S798" t="s">
        <v>18959</v>
      </c>
      <c r="U798" t="s">
        <v>26604</v>
      </c>
      <c r="V798" t="s">
        <v>26610</v>
      </c>
      <c r="W798" t="s">
        <v>497</v>
      </c>
      <c r="X798">
        <v>1500</v>
      </c>
      <c r="Y798" t="s">
        <v>26654</v>
      </c>
      <c r="Z798" t="s">
        <v>26659</v>
      </c>
      <c r="AA798" t="s">
        <v>26679</v>
      </c>
      <c r="AB798" t="s">
        <v>27456</v>
      </c>
      <c r="AD798" t="s">
        <v>37517</v>
      </c>
      <c r="AE798">
        <v>2</v>
      </c>
      <c r="AF798" t="s">
        <v>45547</v>
      </c>
      <c r="AG798" t="s">
        <v>19330</v>
      </c>
      <c r="AH798">
        <v>8</v>
      </c>
      <c r="AI798">
        <v>4</v>
      </c>
      <c r="AJ798">
        <v>0</v>
      </c>
      <c r="AK798">
        <v>80.14</v>
      </c>
      <c r="AN798" t="s">
        <v>7439</v>
      </c>
      <c r="AO798">
        <v>20116</v>
      </c>
      <c r="AQ798" t="s">
        <v>46365</v>
      </c>
      <c r="AR798" t="s">
        <v>46384</v>
      </c>
      <c r="AS798" t="s">
        <v>46500</v>
      </c>
      <c r="AT798" t="s">
        <v>46655</v>
      </c>
      <c r="AU798">
        <v>23.2</v>
      </c>
      <c r="AV798" t="s">
        <v>672</v>
      </c>
      <c r="AW798" t="s">
        <v>103</v>
      </c>
    </row>
    <row r="799" spans="1:50">
      <c r="A799" s="1">
        <f>HYPERLINK("https://lsnyc.legalserver.org/matter/dynamic-profile/view/1874167","18-1874167")</f>
        <v>0</v>
      </c>
      <c r="B799" t="s">
        <v>125</v>
      </c>
      <c r="C799" t="s">
        <v>341</v>
      </c>
      <c r="D799" t="s">
        <v>497</v>
      </c>
      <c r="E799" t="s">
        <v>697</v>
      </c>
      <c r="F799" t="s">
        <v>1448</v>
      </c>
      <c r="G799" t="s">
        <v>5086</v>
      </c>
      <c r="H799" t="s">
        <v>10351</v>
      </c>
      <c r="I799" t="s">
        <v>17306</v>
      </c>
      <c r="J799" t="s">
        <v>18894</v>
      </c>
      <c r="K799">
        <v>11206</v>
      </c>
      <c r="L799" t="s">
        <v>18958</v>
      </c>
      <c r="M799" t="s">
        <v>18958</v>
      </c>
      <c r="N799" t="s">
        <v>19593</v>
      </c>
      <c r="O799" t="s">
        <v>26524</v>
      </c>
      <c r="P799" t="s">
        <v>26560</v>
      </c>
      <c r="Q799" t="s">
        <v>26573</v>
      </c>
      <c r="R799" t="s">
        <v>26578</v>
      </c>
      <c r="S799" t="s">
        <v>18959</v>
      </c>
      <c r="U799" t="s">
        <v>26604</v>
      </c>
      <c r="W799" t="s">
        <v>497</v>
      </c>
      <c r="X799">
        <v>0</v>
      </c>
      <c r="Y799" t="s">
        <v>26652</v>
      </c>
      <c r="AA799" t="s">
        <v>26678</v>
      </c>
      <c r="AB799" t="s">
        <v>27457</v>
      </c>
      <c r="AD799" t="s">
        <v>37518</v>
      </c>
      <c r="AE799">
        <v>0</v>
      </c>
      <c r="AH799">
        <v>0</v>
      </c>
      <c r="AI799">
        <v>1</v>
      </c>
      <c r="AJ799">
        <v>4</v>
      </c>
      <c r="AK799">
        <v>48.95</v>
      </c>
      <c r="AN799" t="s">
        <v>7439</v>
      </c>
      <c r="AO799">
        <v>14400</v>
      </c>
      <c r="AU799">
        <v>22.75</v>
      </c>
      <c r="AV799" t="s">
        <v>697</v>
      </c>
      <c r="AW799" t="s">
        <v>125</v>
      </c>
    </row>
    <row r="800" spans="1:50">
      <c r="A800" s="1">
        <f>HYPERLINK("https://lsnyc.legalserver.org/matter/dynamic-profile/view/1874310","18-1874310")</f>
        <v>0</v>
      </c>
      <c r="B800" t="s">
        <v>153</v>
      </c>
      <c r="C800" t="s">
        <v>340</v>
      </c>
      <c r="D800" t="s">
        <v>497</v>
      </c>
      <c r="F800" t="s">
        <v>1292</v>
      </c>
      <c r="G800" t="s">
        <v>2098</v>
      </c>
      <c r="H800" t="s">
        <v>10352</v>
      </c>
      <c r="I800" t="s">
        <v>17465</v>
      </c>
      <c r="J800" t="s">
        <v>18902</v>
      </c>
      <c r="K800">
        <v>10302</v>
      </c>
      <c r="L800" t="s">
        <v>18958</v>
      </c>
      <c r="M800" t="s">
        <v>18958</v>
      </c>
      <c r="N800" t="s">
        <v>18993</v>
      </c>
      <c r="O800" t="s">
        <v>26539</v>
      </c>
      <c r="P800" t="s">
        <v>26562</v>
      </c>
      <c r="R800" t="s">
        <v>26587</v>
      </c>
      <c r="S800" t="s">
        <v>18959</v>
      </c>
      <c r="U800" t="s">
        <v>26604</v>
      </c>
      <c r="V800" t="s">
        <v>26610</v>
      </c>
      <c r="W800" t="s">
        <v>497</v>
      </c>
      <c r="X800">
        <v>824.6900000000001</v>
      </c>
      <c r="Y800" t="s">
        <v>26654</v>
      </c>
      <c r="Z800" t="s">
        <v>26659</v>
      </c>
      <c r="AB800" t="s">
        <v>27458</v>
      </c>
      <c r="AD800" t="s">
        <v>37519</v>
      </c>
      <c r="AE800">
        <v>44</v>
      </c>
      <c r="AF800" t="s">
        <v>45541</v>
      </c>
      <c r="AG800" t="s">
        <v>19330</v>
      </c>
      <c r="AH800">
        <v>9</v>
      </c>
      <c r="AI800">
        <v>1</v>
      </c>
      <c r="AJ800">
        <v>0</v>
      </c>
      <c r="AK800">
        <v>179.31</v>
      </c>
      <c r="AN800" t="s">
        <v>7439</v>
      </c>
      <c r="AO800">
        <v>21768</v>
      </c>
      <c r="AU800">
        <v>2.2</v>
      </c>
      <c r="AV800" t="s">
        <v>823</v>
      </c>
      <c r="AW800" t="s">
        <v>185</v>
      </c>
    </row>
    <row r="801" spans="1:50">
      <c r="A801" s="1">
        <f>HYPERLINK("https://lsnyc.legalserver.org/matter/dynamic-profile/view/1874199","18-1874199")</f>
        <v>0</v>
      </c>
      <c r="B801" t="s">
        <v>79</v>
      </c>
      <c r="C801" t="s">
        <v>340</v>
      </c>
      <c r="D801" t="s">
        <v>497</v>
      </c>
      <c r="F801" t="s">
        <v>1046</v>
      </c>
      <c r="G801" t="s">
        <v>1495</v>
      </c>
      <c r="H801" t="s">
        <v>9854</v>
      </c>
      <c r="I801" t="s">
        <v>17529</v>
      </c>
      <c r="J801" t="s">
        <v>18893</v>
      </c>
      <c r="K801">
        <v>10033</v>
      </c>
      <c r="L801" t="s">
        <v>18958</v>
      </c>
      <c r="M801" t="s">
        <v>18958</v>
      </c>
      <c r="O801" t="s">
        <v>26526</v>
      </c>
      <c r="P801" t="s">
        <v>26560</v>
      </c>
      <c r="R801" t="s">
        <v>26578</v>
      </c>
      <c r="S801" t="s">
        <v>18958</v>
      </c>
      <c r="U801" t="s">
        <v>26604</v>
      </c>
      <c r="W801" t="s">
        <v>497</v>
      </c>
      <c r="X801">
        <v>2595</v>
      </c>
      <c r="Y801" t="s">
        <v>26651</v>
      </c>
      <c r="Z801" t="s">
        <v>26667</v>
      </c>
      <c r="AB801" t="s">
        <v>27459</v>
      </c>
      <c r="AD801" t="s">
        <v>37520</v>
      </c>
      <c r="AE801">
        <v>232</v>
      </c>
      <c r="AF801" t="s">
        <v>45541</v>
      </c>
      <c r="AG801" t="s">
        <v>19330</v>
      </c>
      <c r="AH801">
        <v>1</v>
      </c>
      <c r="AI801">
        <v>1</v>
      </c>
      <c r="AJ801">
        <v>0</v>
      </c>
      <c r="AK801">
        <v>535.42</v>
      </c>
      <c r="AN801" t="s">
        <v>7439</v>
      </c>
      <c r="AO801">
        <v>65000</v>
      </c>
      <c r="AU801">
        <v>0.1</v>
      </c>
      <c r="AV801" t="s">
        <v>771</v>
      </c>
      <c r="AW801" t="s">
        <v>46840</v>
      </c>
    </row>
    <row r="802" spans="1:50">
      <c r="A802" s="1">
        <f>HYPERLINK("https://lsnyc.legalserver.org/matter/dynamic-profile/view/1874267","18-1874267")</f>
        <v>0</v>
      </c>
      <c r="B802" t="s">
        <v>188</v>
      </c>
      <c r="C802" t="s">
        <v>340</v>
      </c>
      <c r="D802" t="s">
        <v>497</v>
      </c>
      <c r="F802" t="s">
        <v>1283</v>
      </c>
      <c r="G802" t="s">
        <v>5008</v>
      </c>
      <c r="H802" t="s">
        <v>10353</v>
      </c>
      <c r="I802" t="s">
        <v>17464</v>
      </c>
      <c r="J802" t="s">
        <v>18892</v>
      </c>
      <c r="K802">
        <v>10451</v>
      </c>
      <c r="L802" t="s">
        <v>18958</v>
      </c>
      <c r="M802" t="s">
        <v>18960</v>
      </c>
      <c r="O802" t="s">
        <v>26531</v>
      </c>
      <c r="P802" t="s">
        <v>26562</v>
      </c>
      <c r="R802" t="s">
        <v>26578</v>
      </c>
      <c r="S802" t="s">
        <v>18958</v>
      </c>
      <c r="U802" t="s">
        <v>26604</v>
      </c>
      <c r="W802" t="s">
        <v>497</v>
      </c>
      <c r="X802">
        <v>947</v>
      </c>
      <c r="Y802" t="s">
        <v>26650</v>
      </c>
      <c r="Z802" t="s">
        <v>26663</v>
      </c>
      <c r="AB802" t="s">
        <v>27460</v>
      </c>
      <c r="AD802" t="s">
        <v>37521</v>
      </c>
      <c r="AE802">
        <v>81</v>
      </c>
      <c r="AF802" t="s">
        <v>45541</v>
      </c>
      <c r="AG802" t="s">
        <v>19330</v>
      </c>
      <c r="AH802">
        <v>0</v>
      </c>
      <c r="AI802">
        <v>1</v>
      </c>
      <c r="AJ802">
        <v>0</v>
      </c>
      <c r="AK802">
        <v>469.52</v>
      </c>
      <c r="AL802" t="s">
        <v>45570</v>
      </c>
      <c r="AM802" t="s">
        <v>45575</v>
      </c>
      <c r="AN802" t="s">
        <v>7439</v>
      </c>
      <c r="AO802">
        <v>57000</v>
      </c>
      <c r="AU802">
        <v>1.6</v>
      </c>
      <c r="AV802" t="s">
        <v>791</v>
      </c>
      <c r="AW802" t="s">
        <v>226</v>
      </c>
    </row>
    <row r="803" spans="1:50">
      <c r="A803" s="1">
        <f>HYPERLINK("https://lsnyc.legalserver.org/matter/dynamic-profile/view/1874137","18-1874137")</f>
        <v>0</v>
      </c>
      <c r="B803" t="s">
        <v>63</v>
      </c>
      <c r="C803" t="s">
        <v>340</v>
      </c>
      <c r="D803" t="s">
        <v>497</v>
      </c>
      <c r="F803" t="s">
        <v>1449</v>
      </c>
      <c r="G803" t="s">
        <v>5394</v>
      </c>
      <c r="H803" t="s">
        <v>10354</v>
      </c>
      <c r="I803" t="s">
        <v>17273</v>
      </c>
      <c r="J803" t="s">
        <v>18892</v>
      </c>
      <c r="K803">
        <v>10460</v>
      </c>
      <c r="L803" t="s">
        <v>18958</v>
      </c>
      <c r="M803" t="s">
        <v>18958</v>
      </c>
      <c r="N803" t="s">
        <v>19594</v>
      </c>
      <c r="O803" t="s">
        <v>26523</v>
      </c>
      <c r="P803" t="s">
        <v>26560</v>
      </c>
      <c r="R803" t="s">
        <v>26578</v>
      </c>
      <c r="S803" t="s">
        <v>18959</v>
      </c>
      <c r="U803" t="s">
        <v>26604</v>
      </c>
      <c r="W803" t="s">
        <v>497</v>
      </c>
      <c r="X803">
        <v>0</v>
      </c>
      <c r="Y803" t="s">
        <v>26650</v>
      </c>
      <c r="Z803" t="s">
        <v>26662</v>
      </c>
      <c r="AB803" t="s">
        <v>27461</v>
      </c>
      <c r="AC803" t="s">
        <v>34752</v>
      </c>
      <c r="AD803" t="s">
        <v>37522</v>
      </c>
      <c r="AE803">
        <v>200</v>
      </c>
      <c r="AG803" t="s">
        <v>45556</v>
      </c>
      <c r="AH803">
        <v>10</v>
      </c>
      <c r="AI803">
        <v>3</v>
      </c>
      <c r="AJ803">
        <v>3</v>
      </c>
      <c r="AK803">
        <v>71.28</v>
      </c>
      <c r="AN803" t="s">
        <v>7439</v>
      </c>
      <c r="AO803">
        <v>24050</v>
      </c>
      <c r="AU803">
        <v>56</v>
      </c>
      <c r="AV803" t="s">
        <v>762</v>
      </c>
      <c r="AW803" t="s">
        <v>46832</v>
      </c>
    </row>
    <row r="804" spans="1:50">
      <c r="A804" s="1">
        <f>HYPERLINK("https://lsnyc.legalserver.org/matter/dynamic-profile/view/1874174","18-1874174")</f>
        <v>0</v>
      </c>
      <c r="B804" t="s">
        <v>125</v>
      </c>
      <c r="C804" t="s">
        <v>340</v>
      </c>
      <c r="D804" t="s">
        <v>497</v>
      </c>
      <c r="F804" t="s">
        <v>1450</v>
      </c>
      <c r="G804" t="s">
        <v>5094</v>
      </c>
      <c r="H804" t="s">
        <v>10355</v>
      </c>
      <c r="I804" t="s">
        <v>17291</v>
      </c>
      <c r="J804" t="s">
        <v>18894</v>
      </c>
      <c r="K804">
        <v>11208</v>
      </c>
      <c r="L804" t="s">
        <v>18958</v>
      </c>
      <c r="M804" t="s">
        <v>18958</v>
      </c>
      <c r="N804" t="s">
        <v>19595</v>
      </c>
      <c r="O804" t="s">
        <v>26523</v>
      </c>
      <c r="P804" t="s">
        <v>26560</v>
      </c>
      <c r="R804" t="s">
        <v>26578</v>
      </c>
      <c r="U804" t="s">
        <v>26604</v>
      </c>
      <c r="W804" t="s">
        <v>497</v>
      </c>
      <c r="X804">
        <v>180</v>
      </c>
      <c r="Y804" t="s">
        <v>26652</v>
      </c>
      <c r="Z804" t="s">
        <v>26662</v>
      </c>
      <c r="AB804" t="s">
        <v>27462</v>
      </c>
      <c r="AE804">
        <v>4</v>
      </c>
      <c r="AH804">
        <v>15</v>
      </c>
      <c r="AI804">
        <v>1</v>
      </c>
      <c r="AJ804">
        <v>0</v>
      </c>
      <c r="AK804">
        <v>77.09999999999999</v>
      </c>
      <c r="AN804" t="s">
        <v>7439</v>
      </c>
      <c r="AO804">
        <v>9360</v>
      </c>
      <c r="AU804">
        <v>61.75</v>
      </c>
      <c r="AV804" t="s">
        <v>791</v>
      </c>
      <c r="AW804" t="s">
        <v>46862</v>
      </c>
    </row>
    <row r="805" spans="1:50">
      <c r="A805" s="1">
        <f>HYPERLINK("https://lsnyc.legalserver.org/matter/dynamic-profile/view/1874178","18-1874178")</f>
        <v>0</v>
      </c>
      <c r="B805" t="s">
        <v>90</v>
      </c>
      <c r="C805" t="s">
        <v>341</v>
      </c>
      <c r="D805" t="s">
        <v>498</v>
      </c>
      <c r="E805" t="s">
        <v>836</v>
      </c>
      <c r="F805" t="s">
        <v>1234</v>
      </c>
      <c r="G805" t="s">
        <v>5622</v>
      </c>
      <c r="H805" t="s">
        <v>10356</v>
      </c>
      <c r="I805">
        <v>207</v>
      </c>
      <c r="J805" t="s">
        <v>18893</v>
      </c>
      <c r="K805">
        <v>10029</v>
      </c>
      <c r="L805" t="s">
        <v>18958</v>
      </c>
      <c r="M805" t="s">
        <v>18958</v>
      </c>
      <c r="N805" t="s">
        <v>19596</v>
      </c>
      <c r="O805" t="s">
        <v>26523</v>
      </c>
      <c r="P805" t="s">
        <v>26560</v>
      </c>
      <c r="Q805" t="s">
        <v>26568</v>
      </c>
      <c r="R805" t="s">
        <v>26589</v>
      </c>
      <c r="S805" t="s">
        <v>18959</v>
      </c>
      <c r="U805" t="s">
        <v>26604</v>
      </c>
      <c r="V805" t="s">
        <v>26610</v>
      </c>
      <c r="W805" t="s">
        <v>497</v>
      </c>
      <c r="X805">
        <v>50</v>
      </c>
      <c r="Y805" t="s">
        <v>26651</v>
      </c>
      <c r="Z805" t="s">
        <v>26671</v>
      </c>
      <c r="AA805" t="s">
        <v>26678</v>
      </c>
      <c r="AB805" t="s">
        <v>27463</v>
      </c>
      <c r="AD805" t="s">
        <v>37523</v>
      </c>
      <c r="AE805">
        <v>33</v>
      </c>
      <c r="AF805" t="s">
        <v>45543</v>
      </c>
      <c r="AG805" t="s">
        <v>45556</v>
      </c>
      <c r="AH805">
        <v>10</v>
      </c>
      <c r="AI805">
        <v>1</v>
      </c>
      <c r="AJ805">
        <v>0</v>
      </c>
      <c r="AK805">
        <v>247.12</v>
      </c>
      <c r="AL805" t="s">
        <v>45567</v>
      </c>
      <c r="AM805" t="s">
        <v>45577</v>
      </c>
      <c r="AN805" t="s">
        <v>7439</v>
      </c>
      <c r="AO805">
        <v>30000</v>
      </c>
      <c r="AQ805" t="s">
        <v>46362</v>
      </c>
      <c r="AR805" t="s">
        <v>46380</v>
      </c>
      <c r="AS805" t="s">
        <v>46499</v>
      </c>
      <c r="AT805" t="s">
        <v>46507</v>
      </c>
      <c r="AU805">
        <v>12.65</v>
      </c>
      <c r="AV805" t="s">
        <v>685</v>
      </c>
      <c r="AW805" t="s">
        <v>249</v>
      </c>
      <c r="AX805" t="s">
        <v>46897</v>
      </c>
    </row>
    <row r="806" spans="1:50">
      <c r="A806" s="1">
        <f>HYPERLINK("https://lsnyc.legalserver.org/matter/dynamic-profile/view/1874587","18-1874587")</f>
        <v>0</v>
      </c>
      <c r="B806" t="s">
        <v>118</v>
      </c>
      <c r="C806" t="s">
        <v>341</v>
      </c>
      <c r="D806" t="s">
        <v>461</v>
      </c>
      <c r="E806" t="s">
        <v>416</v>
      </c>
      <c r="F806" t="s">
        <v>1171</v>
      </c>
      <c r="G806" t="s">
        <v>5623</v>
      </c>
      <c r="H806" t="s">
        <v>10357</v>
      </c>
      <c r="I806" t="s">
        <v>17530</v>
      </c>
      <c r="J806" t="s">
        <v>18893</v>
      </c>
      <c r="K806">
        <v>10029</v>
      </c>
      <c r="L806" t="s">
        <v>18958</v>
      </c>
      <c r="M806" t="s">
        <v>18958</v>
      </c>
      <c r="N806" t="s">
        <v>19597</v>
      </c>
      <c r="O806" t="s">
        <v>26523</v>
      </c>
      <c r="P806" t="s">
        <v>26560</v>
      </c>
      <c r="Q806" t="s">
        <v>26569</v>
      </c>
      <c r="R806" t="s">
        <v>26578</v>
      </c>
      <c r="S806" t="s">
        <v>18958</v>
      </c>
      <c r="U806" t="s">
        <v>26604</v>
      </c>
      <c r="V806" t="s">
        <v>26610</v>
      </c>
      <c r="W806" t="s">
        <v>497</v>
      </c>
      <c r="X806">
        <v>2200</v>
      </c>
      <c r="Y806" t="s">
        <v>26651</v>
      </c>
      <c r="Z806" t="s">
        <v>26659</v>
      </c>
      <c r="AA806" t="s">
        <v>26683</v>
      </c>
      <c r="AB806" t="s">
        <v>27464</v>
      </c>
      <c r="AD806" t="s">
        <v>37524</v>
      </c>
      <c r="AE806">
        <v>323</v>
      </c>
      <c r="AF806" t="s">
        <v>45541</v>
      </c>
      <c r="AG806" t="s">
        <v>45556</v>
      </c>
      <c r="AH806">
        <v>18</v>
      </c>
      <c r="AI806">
        <v>2</v>
      </c>
      <c r="AJ806">
        <v>2</v>
      </c>
      <c r="AK806">
        <v>33.9</v>
      </c>
      <c r="AN806" t="s">
        <v>7439</v>
      </c>
      <c r="AO806">
        <v>8508</v>
      </c>
      <c r="AU806">
        <v>37.4</v>
      </c>
      <c r="AV806" t="s">
        <v>664</v>
      </c>
      <c r="AW806" t="s">
        <v>46835</v>
      </c>
    </row>
    <row r="807" spans="1:50">
      <c r="A807" s="1">
        <f>HYPERLINK("https://lsnyc.legalserver.org/matter/dynamic-profile/view/0811340","16-0811340")</f>
        <v>0</v>
      </c>
      <c r="B807" t="s">
        <v>50</v>
      </c>
      <c r="C807" t="s">
        <v>340</v>
      </c>
      <c r="D807" t="s">
        <v>499</v>
      </c>
      <c r="F807" t="s">
        <v>1451</v>
      </c>
      <c r="G807" t="s">
        <v>5141</v>
      </c>
      <c r="H807" t="s">
        <v>10358</v>
      </c>
      <c r="I807" t="s">
        <v>17432</v>
      </c>
      <c r="J807" t="s">
        <v>18892</v>
      </c>
      <c r="K807">
        <v>10454</v>
      </c>
      <c r="L807" t="s">
        <v>18958</v>
      </c>
      <c r="M807" t="s">
        <v>18960</v>
      </c>
      <c r="N807" t="s">
        <v>19598</v>
      </c>
      <c r="O807" t="s">
        <v>26523</v>
      </c>
      <c r="P807" t="s">
        <v>26560</v>
      </c>
      <c r="R807" t="s">
        <v>26577</v>
      </c>
      <c r="U807" t="s">
        <v>26604</v>
      </c>
      <c r="V807" t="s">
        <v>26610</v>
      </c>
      <c r="W807" t="s">
        <v>500</v>
      </c>
      <c r="X807">
        <v>1629.01</v>
      </c>
      <c r="Y807" t="s">
        <v>26650</v>
      </c>
      <c r="Z807" t="s">
        <v>26661</v>
      </c>
      <c r="AB807" t="s">
        <v>27465</v>
      </c>
      <c r="AC807" t="s">
        <v>34753</v>
      </c>
      <c r="AD807" t="s">
        <v>37525</v>
      </c>
      <c r="AE807">
        <v>35</v>
      </c>
      <c r="AF807" t="s">
        <v>45541</v>
      </c>
      <c r="AG807" t="s">
        <v>45557</v>
      </c>
      <c r="AH807">
        <v>6</v>
      </c>
      <c r="AI807">
        <v>1</v>
      </c>
      <c r="AJ807">
        <v>2</v>
      </c>
      <c r="AK807">
        <v>54.94</v>
      </c>
      <c r="AN807" t="s">
        <v>7439</v>
      </c>
      <c r="AO807">
        <v>11076</v>
      </c>
      <c r="AP807" t="s">
        <v>45617</v>
      </c>
      <c r="AU807">
        <v>82.65000000000001</v>
      </c>
      <c r="AV807" t="s">
        <v>741</v>
      </c>
      <c r="AW807" t="s">
        <v>271</v>
      </c>
    </row>
    <row r="808" spans="1:50">
      <c r="A808" s="1">
        <f>HYPERLINK("https://lsnyc.legalserver.org/matter/dynamic-profile/view/1870806","18-1870806")</f>
        <v>0</v>
      </c>
      <c r="B808" t="s">
        <v>93</v>
      </c>
      <c r="C808" t="s">
        <v>341</v>
      </c>
      <c r="D808" t="s">
        <v>403</v>
      </c>
      <c r="E808" t="s">
        <v>494</v>
      </c>
      <c r="F808" t="s">
        <v>1452</v>
      </c>
      <c r="G808" t="s">
        <v>5624</v>
      </c>
      <c r="H808" t="s">
        <v>10359</v>
      </c>
      <c r="I808" t="s">
        <v>17531</v>
      </c>
      <c r="J808" t="s">
        <v>18900</v>
      </c>
      <c r="K808">
        <v>11354</v>
      </c>
      <c r="L808" t="s">
        <v>18958</v>
      </c>
      <c r="M808" t="s">
        <v>18958</v>
      </c>
      <c r="N808" t="s">
        <v>19599</v>
      </c>
      <c r="O808" t="s">
        <v>26526</v>
      </c>
      <c r="P808" t="s">
        <v>26560</v>
      </c>
      <c r="Q808" t="s">
        <v>26568</v>
      </c>
      <c r="R808" t="s">
        <v>26578</v>
      </c>
      <c r="S808" t="s">
        <v>18958</v>
      </c>
      <c r="U808" t="s">
        <v>26604</v>
      </c>
      <c r="V808" t="s">
        <v>26610</v>
      </c>
      <c r="W808" t="s">
        <v>500</v>
      </c>
      <c r="X808">
        <v>1100</v>
      </c>
      <c r="Y808" t="s">
        <v>26653</v>
      </c>
      <c r="Z808" t="s">
        <v>26664</v>
      </c>
      <c r="AA808" t="s">
        <v>26685</v>
      </c>
      <c r="AB808" t="s">
        <v>27466</v>
      </c>
      <c r="AC808" t="s">
        <v>34754</v>
      </c>
      <c r="AD808" t="s">
        <v>37526</v>
      </c>
      <c r="AE808">
        <v>200</v>
      </c>
      <c r="AF808" t="s">
        <v>45541</v>
      </c>
      <c r="AG808" t="s">
        <v>45559</v>
      </c>
      <c r="AH808">
        <v>58</v>
      </c>
      <c r="AI808">
        <v>1</v>
      </c>
      <c r="AJ808">
        <v>0</v>
      </c>
      <c r="AK808">
        <v>63.06</v>
      </c>
      <c r="AN808" t="s">
        <v>45581</v>
      </c>
      <c r="AO808">
        <v>7656</v>
      </c>
      <c r="AQ808" t="s">
        <v>46362</v>
      </c>
      <c r="AR808" t="s">
        <v>46395</v>
      </c>
      <c r="AS808" t="s">
        <v>46499</v>
      </c>
      <c r="AT808" t="s">
        <v>46644</v>
      </c>
      <c r="AU808">
        <v>18.4</v>
      </c>
      <c r="AV808" t="s">
        <v>805</v>
      </c>
      <c r="AW808" t="s">
        <v>122</v>
      </c>
    </row>
    <row r="809" spans="1:50">
      <c r="A809" s="1">
        <f>HYPERLINK("https://lsnyc.legalserver.org/matter/dynamic-profile/view/1871528","18-1871528")</f>
        <v>0</v>
      </c>
      <c r="B809" t="s">
        <v>167</v>
      </c>
      <c r="C809" t="s">
        <v>341</v>
      </c>
      <c r="D809" t="s">
        <v>420</v>
      </c>
      <c r="E809" t="s">
        <v>705</v>
      </c>
      <c r="F809" t="s">
        <v>1453</v>
      </c>
      <c r="G809" t="s">
        <v>5625</v>
      </c>
      <c r="H809" t="s">
        <v>10360</v>
      </c>
      <c r="I809">
        <v>706</v>
      </c>
      <c r="J809" t="s">
        <v>18906</v>
      </c>
      <c r="K809">
        <v>11373</v>
      </c>
      <c r="L809" t="s">
        <v>18958</v>
      </c>
      <c r="M809" t="s">
        <v>18958</v>
      </c>
      <c r="N809" t="s">
        <v>19600</v>
      </c>
      <c r="O809" t="s">
        <v>26523</v>
      </c>
      <c r="P809" t="s">
        <v>26560</v>
      </c>
      <c r="Q809" t="s">
        <v>26568</v>
      </c>
      <c r="R809" t="s">
        <v>26585</v>
      </c>
      <c r="S809" t="s">
        <v>18959</v>
      </c>
      <c r="U809" t="s">
        <v>26604</v>
      </c>
      <c r="V809" t="s">
        <v>26610</v>
      </c>
      <c r="W809" t="s">
        <v>500</v>
      </c>
      <c r="X809">
        <v>2680</v>
      </c>
      <c r="Y809" t="s">
        <v>26653</v>
      </c>
      <c r="Z809" t="s">
        <v>26664</v>
      </c>
      <c r="AA809" t="s">
        <v>26679</v>
      </c>
      <c r="AB809" t="s">
        <v>27467</v>
      </c>
      <c r="AC809" t="s">
        <v>19330</v>
      </c>
      <c r="AD809" t="s">
        <v>37527</v>
      </c>
      <c r="AE809">
        <v>276</v>
      </c>
      <c r="AF809" t="s">
        <v>45541</v>
      </c>
      <c r="AG809" t="s">
        <v>19330</v>
      </c>
      <c r="AH809">
        <v>3</v>
      </c>
      <c r="AI809">
        <v>3</v>
      </c>
      <c r="AJ809">
        <v>1</v>
      </c>
      <c r="AK809">
        <v>167.33</v>
      </c>
      <c r="AN809" t="s">
        <v>7439</v>
      </c>
      <c r="AO809">
        <v>42000</v>
      </c>
      <c r="AR809" t="s">
        <v>26530</v>
      </c>
      <c r="AS809" t="s">
        <v>46500</v>
      </c>
      <c r="AT809" t="s">
        <v>46612</v>
      </c>
      <c r="AU809">
        <v>4.1</v>
      </c>
      <c r="AV809" t="s">
        <v>498</v>
      </c>
      <c r="AW809" t="s">
        <v>208</v>
      </c>
    </row>
    <row r="810" spans="1:50">
      <c r="A810" s="1">
        <f>HYPERLINK("https://lsnyc.legalserver.org/matter/dynamic-profile/view/1873451","18-1873451")</f>
        <v>0</v>
      </c>
      <c r="B810" t="s">
        <v>170</v>
      </c>
      <c r="C810" t="s">
        <v>341</v>
      </c>
      <c r="D810" t="s">
        <v>465</v>
      </c>
      <c r="E810" t="s">
        <v>500</v>
      </c>
      <c r="F810" t="s">
        <v>1454</v>
      </c>
      <c r="G810" t="s">
        <v>5626</v>
      </c>
      <c r="H810" t="s">
        <v>10361</v>
      </c>
      <c r="I810" t="s">
        <v>17281</v>
      </c>
      <c r="J810" t="s">
        <v>18894</v>
      </c>
      <c r="K810">
        <v>11201</v>
      </c>
      <c r="L810" t="s">
        <v>18958</v>
      </c>
      <c r="M810" t="s">
        <v>18958</v>
      </c>
      <c r="N810" t="s">
        <v>19601</v>
      </c>
      <c r="O810" t="s">
        <v>26524</v>
      </c>
      <c r="P810" t="s">
        <v>26564</v>
      </c>
      <c r="Q810" t="s">
        <v>26570</v>
      </c>
      <c r="R810" t="s">
        <v>26586</v>
      </c>
      <c r="U810" t="s">
        <v>26605</v>
      </c>
      <c r="W810" t="s">
        <v>500</v>
      </c>
      <c r="X810">
        <v>237</v>
      </c>
      <c r="Y810" t="s">
        <v>26652</v>
      </c>
      <c r="Z810" t="s">
        <v>26662</v>
      </c>
      <c r="AA810" t="s">
        <v>26683</v>
      </c>
      <c r="AB810" t="s">
        <v>27468</v>
      </c>
      <c r="AD810" t="s">
        <v>37528</v>
      </c>
      <c r="AE810">
        <v>140</v>
      </c>
      <c r="AG810" t="s">
        <v>19330</v>
      </c>
      <c r="AH810">
        <v>2</v>
      </c>
      <c r="AI810">
        <v>1</v>
      </c>
      <c r="AJ810">
        <v>2</v>
      </c>
      <c r="AK810">
        <v>10.57</v>
      </c>
      <c r="AN810" t="s">
        <v>7439</v>
      </c>
      <c r="AO810">
        <v>2196</v>
      </c>
      <c r="AU810">
        <v>1.2</v>
      </c>
      <c r="AV810" t="s">
        <v>500</v>
      </c>
      <c r="AW810" t="s">
        <v>46853</v>
      </c>
    </row>
    <row r="811" spans="1:50">
      <c r="A811" s="1">
        <f>HYPERLINK("https://lsnyc.legalserver.org/matter/dynamic-profile/view/1873579","18-1873579")</f>
        <v>0</v>
      </c>
      <c r="B811" t="s">
        <v>211</v>
      </c>
      <c r="C811" t="s">
        <v>341</v>
      </c>
      <c r="D811" t="s">
        <v>476</v>
      </c>
      <c r="E811" t="s">
        <v>699</v>
      </c>
      <c r="F811" t="s">
        <v>1025</v>
      </c>
      <c r="G811" t="s">
        <v>5627</v>
      </c>
      <c r="H811" t="s">
        <v>10362</v>
      </c>
      <c r="I811" t="s">
        <v>17332</v>
      </c>
      <c r="J811" t="s">
        <v>18894</v>
      </c>
      <c r="K811">
        <v>11233</v>
      </c>
      <c r="L811" t="s">
        <v>18958</v>
      </c>
      <c r="M811" t="s">
        <v>18958</v>
      </c>
      <c r="N811" t="s">
        <v>19602</v>
      </c>
      <c r="O811" t="s">
        <v>26524</v>
      </c>
      <c r="P811" t="s">
        <v>26560</v>
      </c>
      <c r="Q811" t="s">
        <v>26568</v>
      </c>
      <c r="R811" t="s">
        <v>26578</v>
      </c>
      <c r="S811" t="s">
        <v>18959</v>
      </c>
      <c r="U811" t="s">
        <v>26604</v>
      </c>
      <c r="W811" t="s">
        <v>500</v>
      </c>
      <c r="X811">
        <v>623</v>
      </c>
      <c r="Y811" t="s">
        <v>26652</v>
      </c>
      <c r="Z811" t="s">
        <v>26661</v>
      </c>
      <c r="AA811" t="s">
        <v>26678</v>
      </c>
      <c r="AB811" t="s">
        <v>27469</v>
      </c>
      <c r="AD811" t="s">
        <v>37529</v>
      </c>
      <c r="AE811">
        <v>6</v>
      </c>
      <c r="AF811" t="s">
        <v>45541</v>
      </c>
      <c r="AG811" t="s">
        <v>19330</v>
      </c>
      <c r="AH811">
        <v>38</v>
      </c>
      <c r="AI811">
        <v>1</v>
      </c>
      <c r="AJ811">
        <v>0</v>
      </c>
      <c r="AK811">
        <v>304.78</v>
      </c>
      <c r="AL811" t="s">
        <v>614</v>
      </c>
      <c r="AM811" t="s">
        <v>45575</v>
      </c>
      <c r="AN811" t="s">
        <v>7439</v>
      </c>
      <c r="AO811">
        <v>37000</v>
      </c>
      <c r="AP811" t="s">
        <v>45674</v>
      </c>
      <c r="AU811">
        <v>54.9</v>
      </c>
      <c r="AV811" t="s">
        <v>699</v>
      </c>
      <c r="AW811" t="s">
        <v>279</v>
      </c>
    </row>
    <row r="812" spans="1:50">
      <c r="A812" s="1">
        <f>HYPERLINK("https://lsnyc.legalserver.org/matter/dynamic-profile/view/1873676","18-1873676")</f>
        <v>0</v>
      </c>
      <c r="B812" t="s">
        <v>120</v>
      </c>
      <c r="C812" t="s">
        <v>341</v>
      </c>
      <c r="D812" t="s">
        <v>476</v>
      </c>
      <c r="E812" t="s">
        <v>575</v>
      </c>
      <c r="F812" t="s">
        <v>1256</v>
      </c>
      <c r="G812" t="s">
        <v>2749</v>
      </c>
      <c r="H812" t="s">
        <v>10363</v>
      </c>
      <c r="I812" t="s">
        <v>17360</v>
      </c>
      <c r="J812" t="s">
        <v>18892</v>
      </c>
      <c r="K812">
        <v>10451</v>
      </c>
      <c r="L812" t="s">
        <v>18958</v>
      </c>
      <c r="M812" t="s">
        <v>18958</v>
      </c>
      <c r="N812" t="s">
        <v>19603</v>
      </c>
      <c r="O812" t="s">
        <v>26524</v>
      </c>
      <c r="P812" t="s">
        <v>26564</v>
      </c>
      <c r="Q812" t="s">
        <v>26570</v>
      </c>
      <c r="R812" t="s">
        <v>26577</v>
      </c>
      <c r="S812" t="s">
        <v>18959</v>
      </c>
      <c r="U812" t="s">
        <v>26604</v>
      </c>
      <c r="V812" t="s">
        <v>26610</v>
      </c>
      <c r="W812" t="s">
        <v>500</v>
      </c>
      <c r="X812">
        <v>1182</v>
      </c>
      <c r="Y812" t="s">
        <v>26650</v>
      </c>
      <c r="Z812" t="s">
        <v>26661</v>
      </c>
      <c r="AA812" t="s">
        <v>26683</v>
      </c>
      <c r="AB812" t="s">
        <v>27470</v>
      </c>
      <c r="AC812" t="s">
        <v>34755</v>
      </c>
      <c r="AD812" t="s">
        <v>37530</v>
      </c>
      <c r="AE812">
        <v>49</v>
      </c>
      <c r="AF812" t="s">
        <v>45541</v>
      </c>
      <c r="AG812" t="s">
        <v>19330</v>
      </c>
      <c r="AH812">
        <v>3</v>
      </c>
      <c r="AI812">
        <v>2</v>
      </c>
      <c r="AJ812">
        <v>0</v>
      </c>
      <c r="AK812">
        <v>195.09</v>
      </c>
      <c r="AN812" t="s">
        <v>7439</v>
      </c>
      <c r="AO812">
        <v>32112</v>
      </c>
      <c r="AU812">
        <v>2.9</v>
      </c>
      <c r="AV812" t="s">
        <v>422</v>
      </c>
      <c r="AW812" t="s">
        <v>46842</v>
      </c>
    </row>
    <row r="813" spans="1:50">
      <c r="A813" s="1">
        <f>HYPERLINK("https://lsnyc.legalserver.org/matter/dynamic-profile/view/1873910","18-1873910")</f>
        <v>0</v>
      </c>
      <c r="B813" t="s">
        <v>120</v>
      </c>
      <c r="C813" t="s">
        <v>340</v>
      </c>
      <c r="D813" t="s">
        <v>469</v>
      </c>
      <c r="F813" t="s">
        <v>875</v>
      </c>
      <c r="G813" t="s">
        <v>5628</v>
      </c>
      <c r="H813" t="s">
        <v>10364</v>
      </c>
      <c r="I813">
        <v>8</v>
      </c>
      <c r="J813" t="s">
        <v>18892</v>
      </c>
      <c r="K813">
        <v>10458</v>
      </c>
      <c r="L813" t="s">
        <v>18958</v>
      </c>
      <c r="M813" t="s">
        <v>18958</v>
      </c>
      <c r="N813" t="s">
        <v>19604</v>
      </c>
      <c r="O813" t="s">
        <v>26523</v>
      </c>
      <c r="P813" t="s">
        <v>26560</v>
      </c>
      <c r="R813" t="s">
        <v>26577</v>
      </c>
      <c r="S813" t="s">
        <v>18959</v>
      </c>
      <c r="U813" t="s">
        <v>26604</v>
      </c>
      <c r="V813" t="s">
        <v>26610</v>
      </c>
      <c r="W813" t="s">
        <v>500</v>
      </c>
      <c r="X813">
        <v>1400</v>
      </c>
      <c r="Y813" t="s">
        <v>26650</v>
      </c>
      <c r="Z813" t="s">
        <v>26662</v>
      </c>
      <c r="AB813" t="s">
        <v>27471</v>
      </c>
      <c r="AC813" t="s">
        <v>34756</v>
      </c>
      <c r="AD813" t="s">
        <v>37531</v>
      </c>
      <c r="AE813">
        <v>50</v>
      </c>
      <c r="AF813" t="s">
        <v>45541</v>
      </c>
      <c r="AG813" t="s">
        <v>45558</v>
      </c>
      <c r="AH813">
        <v>5</v>
      </c>
      <c r="AI813">
        <v>2</v>
      </c>
      <c r="AJ813">
        <v>1</v>
      </c>
      <c r="AK813">
        <v>51.97</v>
      </c>
      <c r="AN813" t="s">
        <v>45581</v>
      </c>
      <c r="AO813">
        <v>10800</v>
      </c>
      <c r="AP813" t="s">
        <v>45627</v>
      </c>
      <c r="AU813">
        <v>42.7</v>
      </c>
      <c r="AV813" t="s">
        <v>772</v>
      </c>
      <c r="AW813" t="s">
        <v>46832</v>
      </c>
    </row>
    <row r="814" spans="1:50">
      <c r="A814" s="1">
        <f>HYPERLINK("https://lsnyc.legalserver.org/matter/dynamic-profile/view/1874269","18-1874269")</f>
        <v>0</v>
      </c>
      <c r="B814" t="s">
        <v>133</v>
      </c>
      <c r="C814" t="s">
        <v>341</v>
      </c>
      <c r="D814" t="s">
        <v>500</v>
      </c>
      <c r="E814" t="s">
        <v>826</v>
      </c>
      <c r="F814" t="s">
        <v>1455</v>
      </c>
      <c r="G814" t="s">
        <v>879</v>
      </c>
      <c r="H814" t="s">
        <v>10365</v>
      </c>
      <c r="I814">
        <v>707</v>
      </c>
      <c r="J814" t="s">
        <v>18892</v>
      </c>
      <c r="K814">
        <v>10457</v>
      </c>
      <c r="L814" t="s">
        <v>18958</v>
      </c>
      <c r="M814" t="s">
        <v>18958</v>
      </c>
      <c r="N814" t="s">
        <v>19605</v>
      </c>
      <c r="O814" t="s">
        <v>26523</v>
      </c>
      <c r="P814" t="s">
        <v>26560</v>
      </c>
      <c r="Q814" t="s">
        <v>26568</v>
      </c>
      <c r="R814" t="s">
        <v>26579</v>
      </c>
      <c r="S814" t="s">
        <v>18959</v>
      </c>
      <c r="U814" t="s">
        <v>26604</v>
      </c>
      <c r="V814" t="s">
        <v>26610</v>
      </c>
      <c r="W814" t="s">
        <v>500</v>
      </c>
      <c r="X814">
        <v>843.6799999999999</v>
      </c>
      <c r="Y814" t="s">
        <v>26650</v>
      </c>
      <c r="Z814" t="s">
        <v>26662</v>
      </c>
      <c r="AA814" t="s">
        <v>26678</v>
      </c>
      <c r="AB814" t="s">
        <v>27472</v>
      </c>
      <c r="AC814" t="s">
        <v>34757</v>
      </c>
      <c r="AD814" t="s">
        <v>37532</v>
      </c>
      <c r="AE814">
        <v>0</v>
      </c>
      <c r="AF814" t="s">
        <v>20460</v>
      </c>
      <c r="AG814" t="s">
        <v>19330</v>
      </c>
      <c r="AH814">
        <v>12</v>
      </c>
      <c r="AI814">
        <v>1</v>
      </c>
      <c r="AJ814">
        <v>1</v>
      </c>
      <c r="AK814">
        <v>0</v>
      </c>
      <c r="AN814" t="s">
        <v>7439</v>
      </c>
      <c r="AO814">
        <v>0</v>
      </c>
      <c r="AS814" t="s">
        <v>46499</v>
      </c>
      <c r="AU814">
        <v>13.05</v>
      </c>
      <c r="AV814" t="s">
        <v>826</v>
      </c>
      <c r="AW814" t="s">
        <v>46837</v>
      </c>
    </row>
    <row r="815" spans="1:50">
      <c r="A815" s="1">
        <f>HYPERLINK("https://lsnyc.legalserver.org/matter/dynamic-profile/view/1874373","18-1874373")</f>
        <v>0</v>
      </c>
      <c r="B815" t="s">
        <v>133</v>
      </c>
      <c r="C815" t="s">
        <v>341</v>
      </c>
      <c r="D815" t="s">
        <v>500</v>
      </c>
      <c r="E815" t="s">
        <v>703</v>
      </c>
      <c r="F815" t="s">
        <v>875</v>
      </c>
      <c r="G815" t="s">
        <v>5629</v>
      </c>
      <c r="H815" t="s">
        <v>10366</v>
      </c>
      <c r="I815" t="s">
        <v>17306</v>
      </c>
      <c r="J815" t="s">
        <v>18892</v>
      </c>
      <c r="K815">
        <v>10468</v>
      </c>
      <c r="L815" t="s">
        <v>18958</v>
      </c>
      <c r="M815" t="s">
        <v>18958</v>
      </c>
      <c r="N815" t="s">
        <v>19606</v>
      </c>
      <c r="O815" t="s">
        <v>26523</v>
      </c>
      <c r="P815" t="s">
        <v>26564</v>
      </c>
      <c r="Q815" t="s">
        <v>26570</v>
      </c>
      <c r="R815" t="s">
        <v>26579</v>
      </c>
      <c r="S815" t="s">
        <v>18959</v>
      </c>
      <c r="U815" t="s">
        <v>26604</v>
      </c>
      <c r="W815" t="s">
        <v>500</v>
      </c>
      <c r="X815">
        <v>1030</v>
      </c>
      <c r="Y815" t="s">
        <v>26650</v>
      </c>
      <c r="AA815" t="s">
        <v>26683</v>
      </c>
      <c r="AB815" t="s">
        <v>27473</v>
      </c>
      <c r="AD815" t="s">
        <v>37533</v>
      </c>
      <c r="AE815">
        <v>0</v>
      </c>
      <c r="AF815" t="s">
        <v>45541</v>
      </c>
      <c r="AH815">
        <v>16</v>
      </c>
      <c r="AI815">
        <v>1</v>
      </c>
      <c r="AJ815">
        <v>0</v>
      </c>
      <c r="AK815">
        <v>128.48</v>
      </c>
      <c r="AN815" t="s">
        <v>45581</v>
      </c>
      <c r="AO815">
        <v>15598</v>
      </c>
      <c r="AU815">
        <v>0.85</v>
      </c>
      <c r="AV815" t="s">
        <v>684</v>
      </c>
      <c r="AW815" t="s">
        <v>46837</v>
      </c>
    </row>
    <row r="816" spans="1:50">
      <c r="A816" s="1">
        <f>HYPERLINK("https://lsnyc.legalserver.org/matter/dynamic-profile/view/1874289","18-1874289")</f>
        <v>0</v>
      </c>
      <c r="B816" t="s">
        <v>150</v>
      </c>
      <c r="C816" t="s">
        <v>341</v>
      </c>
      <c r="D816" t="s">
        <v>500</v>
      </c>
      <c r="E816" t="s">
        <v>528</v>
      </c>
      <c r="F816" t="s">
        <v>1456</v>
      </c>
      <c r="G816" t="s">
        <v>5199</v>
      </c>
      <c r="H816" t="s">
        <v>10367</v>
      </c>
      <c r="I816" t="s">
        <v>17274</v>
      </c>
      <c r="J816" t="s">
        <v>18892</v>
      </c>
      <c r="K816">
        <v>10459</v>
      </c>
      <c r="L816" t="s">
        <v>18958</v>
      </c>
      <c r="M816" t="s">
        <v>18958</v>
      </c>
      <c r="N816" t="s">
        <v>19607</v>
      </c>
      <c r="O816" t="s">
        <v>26523</v>
      </c>
      <c r="P816" t="s">
        <v>26564</v>
      </c>
      <c r="Q816" t="s">
        <v>26570</v>
      </c>
      <c r="R816" t="s">
        <v>26578</v>
      </c>
      <c r="S816" t="s">
        <v>18959</v>
      </c>
      <c r="U816" t="s">
        <v>26604</v>
      </c>
      <c r="V816" t="s">
        <v>26610</v>
      </c>
      <c r="W816" t="s">
        <v>500</v>
      </c>
      <c r="X816">
        <v>1854</v>
      </c>
      <c r="Y816" t="s">
        <v>26650</v>
      </c>
      <c r="Z816" t="s">
        <v>26673</v>
      </c>
      <c r="AA816" t="s">
        <v>26683</v>
      </c>
      <c r="AB816" t="s">
        <v>27474</v>
      </c>
      <c r="AD816" t="s">
        <v>37534</v>
      </c>
      <c r="AE816">
        <v>37</v>
      </c>
      <c r="AF816" t="s">
        <v>45543</v>
      </c>
      <c r="AG816" t="s">
        <v>45556</v>
      </c>
      <c r="AH816">
        <v>26</v>
      </c>
      <c r="AI816">
        <v>1</v>
      </c>
      <c r="AJ816">
        <v>0</v>
      </c>
      <c r="AK816">
        <v>128.5</v>
      </c>
      <c r="AN816" t="s">
        <v>7439</v>
      </c>
      <c r="AO816">
        <v>15600</v>
      </c>
      <c r="AU816">
        <v>2</v>
      </c>
      <c r="AV816" t="s">
        <v>526</v>
      </c>
      <c r="AW816" t="s">
        <v>46861</v>
      </c>
    </row>
    <row r="817" spans="1:49">
      <c r="A817" s="1">
        <f>HYPERLINK("https://lsnyc.legalserver.org/matter/dynamic-profile/view/1872097","18-1872097")</f>
        <v>0</v>
      </c>
      <c r="B817" t="s">
        <v>99</v>
      </c>
      <c r="C817" t="s">
        <v>341</v>
      </c>
      <c r="D817" t="s">
        <v>500</v>
      </c>
      <c r="E817" t="s">
        <v>605</v>
      </c>
      <c r="F817" t="s">
        <v>1457</v>
      </c>
      <c r="G817" t="s">
        <v>5630</v>
      </c>
      <c r="H817" t="s">
        <v>10368</v>
      </c>
      <c r="I817" t="s">
        <v>17362</v>
      </c>
      <c r="J817" t="s">
        <v>18902</v>
      </c>
      <c r="K817">
        <v>10305</v>
      </c>
      <c r="L817" t="s">
        <v>18958</v>
      </c>
      <c r="M817" t="s">
        <v>18958</v>
      </c>
      <c r="N817" t="s">
        <v>19608</v>
      </c>
      <c r="O817" t="s">
        <v>26523</v>
      </c>
      <c r="P817" t="s">
        <v>26560</v>
      </c>
      <c r="Q817" t="s">
        <v>26568</v>
      </c>
      <c r="R817" t="s">
        <v>26587</v>
      </c>
      <c r="S817" t="s">
        <v>18959</v>
      </c>
      <c r="U817" t="s">
        <v>26605</v>
      </c>
      <c r="V817" t="s">
        <v>26610</v>
      </c>
      <c r="W817" t="s">
        <v>500</v>
      </c>
      <c r="X817">
        <v>1378.6</v>
      </c>
      <c r="Y817" t="s">
        <v>26654</v>
      </c>
      <c r="Z817" t="s">
        <v>26663</v>
      </c>
      <c r="AA817" t="s">
        <v>26680</v>
      </c>
      <c r="AB817" t="s">
        <v>27475</v>
      </c>
      <c r="AC817" t="s">
        <v>34758</v>
      </c>
      <c r="AD817" t="s">
        <v>37535</v>
      </c>
      <c r="AE817">
        <v>56</v>
      </c>
      <c r="AF817" t="s">
        <v>45549</v>
      </c>
      <c r="AG817" t="s">
        <v>19330</v>
      </c>
      <c r="AH817">
        <v>22</v>
      </c>
      <c r="AI817">
        <v>4</v>
      </c>
      <c r="AJ817">
        <v>0</v>
      </c>
      <c r="AK817">
        <v>101.82</v>
      </c>
      <c r="AN817" t="s">
        <v>7439</v>
      </c>
      <c r="AO817">
        <v>25556</v>
      </c>
      <c r="AR817" t="s">
        <v>46379</v>
      </c>
      <c r="AS817" t="s">
        <v>46499</v>
      </c>
      <c r="AT817" t="s">
        <v>46610</v>
      </c>
      <c r="AU817">
        <v>7.8</v>
      </c>
      <c r="AV817" t="s">
        <v>605</v>
      </c>
      <c r="AW817" t="s">
        <v>46852</v>
      </c>
    </row>
    <row r="818" spans="1:49">
      <c r="A818" s="1">
        <f>HYPERLINK("https://lsnyc.legalserver.org/matter/dynamic-profile/view/1874280","18-1874280")</f>
        <v>0</v>
      </c>
      <c r="B818" t="s">
        <v>99</v>
      </c>
      <c r="C818" t="s">
        <v>341</v>
      </c>
      <c r="D818" t="s">
        <v>500</v>
      </c>
      <c r="E818" t="s">
        <v>643</v>
      </c>
      <c r="F818" t="s">
        <v>1458</v>
      </c>
      <c r="G818" t="s">
        <v>5086</v>
      </c>
      <c r="H818" t="s">
        <v>10369</v>
      </c>
      <c r="I818" t="s">
        <v>17349</v>
      </c>
      <c r="J818" t="s">
        <v>18894</v>
      </c>
      <c r="K818">
        <v>11233</v>
      </c>
      <c r="L818" t="s">
        <v>18958</v>
      </c>
      <c r="M818" t="s">
        <v>18958</v>
      </c>
      <c r="N818" t="s">
        <v>19609</v>
      </c>
      <c r="O818" t="s">
        <v>26523</v>
      </c>
      <c r="P818" t="s">
        <v>26560</v>
      </c>
      <c r="Q818" t="s">
        <v>26569</v>
      </c>
      <c r="R818" t="s">
        <v>26586</v>
      </c>
      <c r="S818" t="s">
        <v>18959</v>
      </c>
      <c r="U818" t="s">
        <v>26604</v>
      </c>
      <c r="V818" t="s">
        <v>26609</v>
      </c>
      <c r="W818" t="s">
        <v>500</v>
      </c>
      <c r="X818">
        <v>1524.9</v>
      </c>
      <c r="Y818" t="s">
        <v>26652</v>
      </c>
      <c r="Z818" t="s">
        <v>26664</v>
      </c>
      <c r="AA818" t="s">
        <v>26677</v>
      </c>
      <c r="AB818" t="s">
        <v>27476</v>
      </c>
      <c r="AD818" t="s">
        <v>37536</v>
      </c>
      <c r="AE818">
        <v>107</v>
      </c>
      <c r="AF818" t="s">
        <v>45543</v>
      </c>
      <c r="AG818" t="s">
        <v>45556</v>
      </c>
      <c r="AH818">
        <v>4</v>
      </c>
      <c r="AI818">
        <v>2</v>
      </c>
      <c r="AJ818">
        <v>1</v>
      </c>
      <c r="AK818">
        <v>130.13</v>
      </c>
      <c r="AN818" t="s">
        <v>7439</v>
      </c>
      <c r="AO818">
        <v>27040</v>
      </c>
      <c r="AQ818" t="s">
        <v>46359</v>
      </c>
      <c r="AR818" t="s">
        <v>46380</v>
      </c>
      <c r="AS818" t="s">
        <v>46499</v>
      </c>
      <c r="AT818" t="s">
        <v>46551</v>
      </c>
      <c r="AU818">
        <v>9.300000000000001</v>
      </c>
      <c r="AV818" t="s">
        <v>643</v>
      </c>
      <c r="AW818" t="s">
        <v>46862</v>
      </c>
    </row>
    <row r="819" spans="1:49">
      <c r="A819" s="1">
        <f>HYPERLINK("https://lsnyc.legalserver.org/matter/dynamic-profile/view/1874322","18-1874322")</f>
        <v>0</v>
      </c>
      <c r="B819" t="s">
        <v>58</v>
      </c>
      <c r="C819" t="s">
        <v>341</v>
      </c>
      <c r="D819" t="s">
        <v>500</v>
      </c>
      <c r="E819" t="s">
        <v>772</v>
      </c>
      <c r="F819" t="s">
        <v>1459</v>
      </c>
      <c r="G819" t="s">
        <v>5631</v>
      </c>
      <c r="H819" t="s">
        <v>10370</v>
      </c>
      <c r="J819" t="s">
        <v>18892</v>
      </c>
      <c r="K819">
        <v>10467</v>
      </c>
      <c r="L819" t="s">
        <v>18958</v>
      </c>
      <c r="M819" t="s">
        <v>18958</v>
      </c>
      <c r="N819" t="s">
        <v>19610</v>
      </c>
      <c r="O819" t="s">
        <v>26524</v>
      </c>
      <c r="P819" t="s">
        <v>26560</v>
      </c>
      <c r="Q819" t="s">
        <v>26568</v>
      </c>
      <c r="R819" t="s">
        <v>26579</v>
      </c>
      <c r="U819" t="s">
        <v>26604</v>
      </c>
      <c r="V819" t="s">
        <v>26610</v>
      </c>
      <c r="W819" t="s">
        <v>500</v>
      </c>
      <c r="X819">
        <v>1800</v>
      </c>
      <c r="Y819" t="s">
        <v>26650</v>
      </c>
      <c r="Z819" t="s">
        <v>26656</v>
      </c>
      <c r="AA819" t="s">
        <v>26679</v>
      </c>
      <c r="AB819" t="s">
        <v>27477</v>
      </c>
      <c r="AE819">
        <v>3</v>
      </c>
      <c r="AF819" t="s">
        <v>45547</v>
      </c>
      <c r="AG819" t="s">
        <v>19330</v>
      </c>
      <c r="AH819">
        <v>10</v>
      </c>
      <c r="AI819">
        <v>2</v>
      </c>
      <c r="AJ819">
        <v>1</v>
      </c>
      <c r="AK819">
        <v>28.87</v>
      </c>
      <c r="AN819" t="s">
        <v>7439</v>
      </c>
      <c r="AO819">
        <v>6000</v>
      </c>
      <c r="AQ819" t="s">
        <v>46365</v>
      </c>
      <c r="AR819" t="s">
        <v>46384</v>
      </c>
      <c r="AS819" t="s">
        <v>46502</v>
      </c>
      <c r="AT819" t="s">
        <v>46607</v>
      </c>
      <c r="AU819">
        <v>14.55</v>
      </c>
      <c r="AV819" t="s">
        <v>720</v>
      </c>
      <c r="AW819" t="s">
        <v>46850</v>
      </c>
    </row>
    <row r="820" spans="1:49">
      <c r="A820" s="1">
        <f>HYPERLINK("https://lsnyc.legalserver.org/matter/dynamic-profile/view/1873214","18-1873214")</f>
        <v>0</v>
      </c>
      <c r="B820" t="s">
        <v>109</v>
      </c>
      <c r="C820" t="s">
        <v>341</v>
      </c>
      <c r="D820" t="s">
        <v>500</v>
      </c>
      <c r="E820" t="s">
        <v>856</v>
      </c>
      <c r="F820" t="s">
        <v>1460</v>
      </c>
      <c r="G820" t="s">
        <v>5632</v>
      </c>
      <c r="H820" t="s">
        <v>10326</v>
      </c>
      <c r="I820" t="s">
        <v>17339</v>
      </c>
      <c r="J820" t="s">
        <v>18902</v>
      </c>
      <c r="K820">
        <v>10304</v>
      </c>
      <c r="L820" t="s">
        <v>18958</v>
      </c>
      <c r="M820" t="s">
        <v>18958</v>
      </c>
      <c r="N820" t="s">
        <v>19611</v>
      </c>
      <c r="O820" t="s">
        <v>26523</v>
      </c>
      <c r="P820" t="s">
        <v>26560</v>
      </c>
      <c r="Q820" t="s">
        <v>26568</v>
      </c>
      <c r="R820" t="s">
        <v>26578</v>
      </c>
      <c r="S820" t="s">
        <v>18959</v>
      </c>
      <c r="U820" t="s">
        <v>26604</v>
      </c>
      <c r="V820" t="s">
        <v>26610</v>
      </c>
      <c r="W820" t="s">
        <v>500</v>
      </c>
      <c r="X820">
        <v>1307.97</v>
      </c>
      <c r="Y820" t="s">
        <v>26654</v>
      </c>
      <c r="Z820" t="s">
        <v>26659</v>
      </c>
      <c r="AA820" t="s">
        <v>26678</v>
      </c>
      <c r="AB820" t="s">
        <v>27478</v>
      </c>
      <c r="AD820" t="s">
        <v>37537</v>
      </c>
      <c r="AE820">
        <v>85</v>
      </c>
      <c r="AF820" t="s">
        <v>45541</v>
      </c>
      <c r="AG820" t="s">
        <v>19330</v>
      </c>
      <c r="AH820">
        <v>6</v>
      </c>
      <c r="AI820">
        <v>2</v>
      </c>
      <c r="AJ820">
        <v>0</v>
      </c>
      <c r="AK820">
        <v>166.71</v>
      </c>
      <c r="AN820" t="s">
        <v>7439</v>
      </c>
      <c r="AO820">
        <v>27441.2</v>
      </c>
      <c r="AQ820" t="s">
        <v>46362</v>
      </c>
      <c r="AR820" t="s">
        <v>46410</v>
      </c>
      <c r="AS820" t="s">
        <v>46499</v>
      </c>
      <c r="AT820" t="s">
        <v>46533</v>
      </c>
      <c r="AU820">
        <v>14.6</v>
      </c>
      <c r="AV820" t="s">
        <v>668</v>
      </c>
      <c r="AW820" t="s">
        <v>190</v>
      </c>
    </row>
    <row r="821" spans="1:49">
      <c r="A821" s="1">
        <f>HYPERLINK("https://lsnyc.legalserver.org/matter/dynamic-profile/view/1874347","18-1874347")</f>
        <v>0</v>
      </c>
      <c r="B821" t="s">
        <v>72</v>
      </c>
      <c r="C821" t="s">
        <v>341</v>
      </c>
      <c r="D821" t="s">
        <v>500</v>
      </c>
      <c r="E821" t="s">
        <v>500</v>
      </c>
      <c r="F821" t="s">
        <v>1461</v>
      </c>
      <c r="G821" t="s">
        <v>5633</v>
      </c>
      <c r="H821" t="s">
        <v>10371</v>
      </c>
      <c r="I821">
        <v>55</v>
      </c>
      <c r="J821" t="s">
        <v>18893</v>
      </c>
      <c r="K821">
        <v>10034</v>
      </c>
      <c r="L821" t="s">
        <v>18958</v>
      </c>
      <c r="M821" t="s">
        <v>18958</v>
      </c>
      <c r="O821" t="s">
        <v>26523</v>
      </c>
      <c r="P821" t="s">
        <v>26565</v>
      </c>
      <c r="Q821" t="s">
        <v>26571</v>
      </c>
      <c r="R821" t="s">
        <v>26578</v>
      </c>
      <c r="S821" t="s">
        <v>18959</v>
      </c>
      <c r="U821" t="s">
        <v>26604</v>
      </c>
      <c r="W821" t="s">
        <v>500</v>
      </c>
      <c r="X821">
        <v>0</v>
      </c>
      <c r="Y821" t="s">
        <v>26651</v>
      </c>
      <c r="Z821" t="s">
        <v>26661</v>
      </c>
      <c r="AA821" t="s">
        <v>26683</v>
      </c>
      <c r="AB821" t="s">
        <v>27479</v>
      </c>
      <c r="AD821" t="s">
        <v>37538</v>
      </c>
      <c r="AE821">
        <v>70</v>
      </c>
      <c r="AF821" t="s">
        <v>45541</v>
      </c>
      <c r="AG821" t="s">
        <v>19330</v>
      </c>
      <c r="AH821">
        <v>8</v>
      </c>
      <c r="AI821">
        <v>1</v>
      </c>
      <c r="AJ821">
        <v>0</v>
      </c>
      <c r="AK821">
        <v>263.59</v>
      </c>
      <c r="AL821" t="s">
        <v>614</v>
      </c>
      <c r="AM821" t="s">
        <v>45575</v>
      </c>
      <c r="AN821" t="s">
        <v>45581</v>
      </c>
      <c r="AO821">
        <v>32000</v>
      </c>
      <c r="AU821">
        <v>0.2</v>
      </c>
      <c r="AV821" t="s">
        <v>500</v>
      </c>
      <c r="AW821" t="s">
        <v>46840</v>
      </c>
    </row>
    <row r="822" spans="1:49">
      <c r="A822" s="1">
        <f>HYPERLINK("https://lsnyc.legalserver.org/matter/dynamic-profile/view/1874329","18-1874329")</f>
        <v>0</v>
      </c>
      <c r="B822" t="s">
        <v>146</v>
      </c>
      <c r="C822" t="s">
        <v>341</v>
      </c>
      <c r="D822" t="s">
        <v>500</v>
      </c>
      <c r="E822" t="s">
        <v>524</v>
      </c>
      <c r="F822" t="s">
        <v>1462</v>
      </c>
      <c r="G822" t="s">
        <v>5634</v>
      </c>
      <c r="H822" t="s">
        <v>10372</v>
      </c>
      <c r="I822" t="s">
        <v>17445</v>
      </c>
      <c r="J822" t="s">
        <v>18893</v>
      </c>
      <c r="K822">
        <v>10040</v>
      </c>
      <c r="L822" t="s">
        <v>18958</v>
      </c>
      <c r="M822" t="s">
        <v>18958</v>
      </c>
      <c r="O822" t="s">
        <v>26531</v>
      </c>
      <c r="P822" t="s">
        <v>26564</v>
      </c>
      <c r="Q822" t="s">
        <v>26570</v>
      </c>
      <c r="R822" t="s">
        <v>26578</v>
      </c>
      <c r="S822" t="s">
        <v>18959</v>
      </c>
      <c r="U822" t="s">
        <v>26604</v>
      </c>
      <c r="W822" t="s">
        <v>500</v>
      </c>
      <c r="X822">
        <v>1023.42</v>
      </c>
      <c r="Y822" t="s">
        <v>26651</v>
      </c>
      <c r="Z822" t="s">
        <v>26661</v>
      </c>
      <c r="AA822" t="s">
        <v>26683</v>
      </c>
      <c r="AB822" t="s">
        <v>27480</v>
      </c>
      <c r="AD822" t="s">
        <v>37539</v>
      </c>
      <c r="AE822">
        <v>185</v>
      </c>
      <c r="AF822" t="s">
        <v>45541</v>
      </c>
      <c r="AG822" t="s">
        <v>19330</v>
      </c>
      <c r="AH822">
        <v>21</v>
      </c>
      <c r="AI822">
        <v>2</v>
      </c>
      <c r="AJ822">
        <v>0</v>
      </c>
      <c r="AK822">
        <v>95.81999999999999</v>
      </c>
      <c r="AN822" t="s">
        <v>45581</v>
      </c>
      <c r="AO822">
        <v>15772</v>
      </c>
      <c r="AU822">
        <v>3.5</v>
      </c>
      <c r="AV822" t="s">
        <v>422</v>
      </c>
      <c r="AW822" t="s">
        <v>46840</v>
      </c>
    </row>
    <row r="823" spans="1:49">
      <c r="A823" s="1">
        <f>HYPERLINK("https://lsnyc.legalserver.org/matter/dynamic-profile/view/1874324","18-1874324")</f>
        <v>0</v>
      </c>
      <c r="B823" t="s">
        <v>146</v>
      </c>
      <c r="C823" t="s">
        <v>341</v>
      </c>
      <c r="D823" t="s">
        <v>500</v>
      </c>
      <c r="E823" t="s">
        <v>461</v>
      </c>
      <c r="F823" t="s">
        <v>1256</v>
      </c>
      <c r="G823" t="s">
        <v>5147</v>
      </c>
      <c r="H823" t="s">
        <v>10373</v>
      </c>
      <c r="I823" t="s">
        <v>17283</v>
      </c>
      <c r="J823" t="s">
        <v>18893</v>
      </c>
      <c r="K823">
        <v>10032</v>
      </c>
      <c r="L823" t="s">
        <v>18958</v>
      </c>
      <c r="M823" t="s">
        <v>18958</v>
      </c>
      <c r="O823" t="s">
        <v>26526</v>
      </c>
      <c r="P823" t="s">
        <v>26564</v>
      </c>
      <c r="Q823" t="s">
        <v>26570</v>
      </c>
      <c r="R823" t="s">
        <v>26578</v>
      </c>
      <c r="S823" t="s">
        <v>18959</v>
      </c>
      <c r="U823" t="s">
        <v>26604</v>
      </c>
      <c r="W823" t="s">
        <v>500</v>
      </c>
      <c r="X823">
        <v>457.5</v>
      </c>
      <c r="Y823" t="s">
        <v>26651</v>
      </c>
      <c r="Z823" t="s">
        <v>26661</v>
      </c>
      <c r="AA823" t="s">
        <v>26683</v>
      </c>
      <c r="AB823" t="s">
        <v>27481</v>
      </c>
      <c r="AD823" t="s">
        <v>37540</v>
      </c>
      <c r="AE823">
        <v>20</v>
      </c>
      <c r="AF823" t="s">
        <v>45548</v>
      </c>
      <c r="AG823" t="s">
        <v>19330</v>
      </c>
      <c r="AH823">
        <v>14</v>
      </c>
      <c r="AI823">
        <v>2</v>
      </c>
      <c r="AJ823">
        <v>1</v>
      </c>
      <c r="AK823">
        <v>243.98</v>
      </c>
      <c r="AL823" t="s">
        <v>614</v>
      </c>
      <c r="AM823" t="s">
        <v>45575</v>
      </c>
      <c r="AN823" t="s">
        <v>7439</v>
      </c>
      <c r="AO823">
        <v>50700</v>
      </c>
      <c r="AU823">
        <v>0.3</v>
      </c>
      <c r="AV823" t="s">
        <v>461</v>
      </c>
      <c r="AW823" t="s">
        <v>46840</v>
      </c>
    </row>
    <row r="824" spans="1:49">
      <c r="A824" s="1">
        <f>HYPERLINK("https://lsnyc.legalserver.org/matter/dynamic-profile/view/1874321","18-1874321")</f>
        <v>0</v>
      </c>
      <c r="B824" t="s">
        <v>146</v>
      </c>
      <c r="C824" t="s">
        <v>341</v>
      </c>
      <c r="D824" t="s">
        <v>500</v>
      </c>
      <c r="E824" t="s">
        <v>526</v>
      </c>
      <c r="F824" t="s">
        <v>1397</v>
      </c>
      <c r="G824" t="s">
        <v>5121</v>
      </c>
      <c r="H824" t="s">
        <v>10374</v>
      </c>
      <c r="I824">
        <v>4</v>
      </c>
      <c r="J824" t="s">
        <v>18893</v>
      </c>
      <c r="K824">
        <v>10034</v>
      </c>
      <c r="L824" t="s">
        <v>18958</v>
      </c>
      <c r="M824" t="s">
        <v>18958</v>
      </c>
      <c r="N824" t="s">
        <v>19612</v>
      </c>
      <c r="O824" t="s">
        <v>26524</v>
      </c>
      <c r="P824" t="s">
        <v>26565</v>
      </c>
      <c r="Q824" t="s">
        <v>26571</v>
      </c>
      <c r="R824" t="s">
        <v>26578</v>
      </c>
      <c r="S824" t="s">
        <v>18959</v>
      </c>
      <c r="U824" t="s">
        <v>26604</v>
      </c>
      <c r="W824" t="s">
        <v>500</v>
      </c>
      <c r="X824">
        <v>1100</v>
      </c>
      <c r="Y824" t="s">
        <v>26651</v>
      </c>
      <c r="Z824" t="s">
        <v>26661</v>
      </c>
      <c r="AA824" t="s">
        <v>26682</v>
      </c>
      <c r="AB824" t="s">
        <v>27482</v>
      </c>
      <c r="AD824" t="s">
        <v>37541</v>
      </c>
      <c r="AE824">
        <v>25</v>
      </c>
      <c r="AF824" t="s">
        <v>45541</v>
      </c>
      <c r="AG824" t="s">
        <v>19330</v>
      </c>
      <c r="AH824">
        <v>10</v>
      </c>
      <c r="AI824">
        <v>3</v>
      </c>
      <c r="AJ824">
        <v>1</v>
      </c>
      <c r="AK824">
        <v>247.01</v>
      </c>
      <c r="AL824" t="s">
        <v>614</v>
      </c>
      <c r="AM824" t="s">
        <v>45575</v>
      </c>
      <c r="AN824" t="s">
        <v>45581</v>
      </c>
      <c r="AO824">
        <v>62000</v>
      </c>
      <c r="AU824">
        <v>1</v>
      </c>
      <c r="AV824" t="s">
        <v>505</v>
      </c>
      <c r="AW824" t="s">
        <v>46840</v>
      </c>
    </row>
    <row r="825" spans="1:49">
      <c r="A825" s="1">
        <f>HYPERLINK("https://lsnyc.legalserver.org/matter/dynamic-profile/view/1874301","18-1874301")</f>
        <v>0</v>
      </c>
      <c r="B825" t="s">
        <v>74</v>
      </c>
      <c r="C825" t="s">
        <v>341</v>
      </c>
      <c r="D825" t="s">
        <v>500</v>
      </c>
      <c r="E825" t="s">
        <v>739</v>
      </c>
      <c r="F825" t="s">
        <v>1463</v>
      </c>
      <c r="G825" t="s">
        <v>5635</v>
      </c>
      <c r="H825" t="s">
        <v>10375</v>
      </c>
      <c r="I825" t="s">
        <v>17349</v>
      </c>
      <c r="J825" t="s">
        <v>18893</v>
      </c>
      <c r="K825">
        <v>10032</v>
      </c>
      <c r="L825" t="s">
        <v>18958</v>
      </c>
      <c r="M825" t="s">
        <v>18958</v>
      </c>
      <c r="N825" t="s">
        <v>19613</v>
      </c>
      <c r="O825" t="s">
        <v>26524</v>
      </c>
      <c r="P825" t="s">
        <v>26560</v>
      </c>
      <c r="Q825" t="s">
        <v>26575</v>
      </c>
      <c r="R825" t="s">
        <v>26578</v>
      </c>
      <c r="S825" t="s">
        <v>18959</v>
      </c>
      <c r="U825" t="s">
        <v>26604</v>
      </c>
      <c r="W825" t="s">
        <v>500</v>
      </c>
      <c r="X825">
        <v>799.9</v>
      </c>
      <c r="Y825" t="s">
        <v>26651</v>
      </c>
      <c r="Z825" t="s">
        <v>26661</v>
      </c>
      <c r="AA825" t="s">
        <v>26678</v>
      </c>
      <c r="AB825" t="s">
        <v>27483</v>
      </c>
      <c r="AD825" t="s">
        <v>37542</v>
      </c>
      <c r="AE825">
        <v>115</v>
      </c>
      <c r="AF825" t="s">
        <v>45541</v>
      </c>
      <c r="AG825" t="s">
        <v>19330</v>
      </c>
      <c r="AH825">
        <v>28</v>
      </c>
      <c r="AI825">
        <v>4</v>
      </c>
      <c r="AJ825">
        <v>0</v>
      </c>
      <c r="AK825">
        <v>294.82</v>
      </c>
      <c r="AL825" t="s">
        <v>441</v>
      </c>
      <c r="AM825" t="s">
        <v>45575</v>
      </c>
      <c r="AN825" t="s">
        <v>45581</v>
      </c>
      <c r="AO825">
        <v>74000</v>
      </c>
      <c r="AU825">
        <v>37.95</v>
      </c>
      <c r="AV825" t="s">
        <v>698</v>
      </c>
      <c r="AW825" t="s">
        <v>46840</v>
      </c>
    </row>
    <row r="826" spans="1:49">
      <c r="A826" s="1">
        <f>HYPERLINK("https://lsnyc.legalserver.org/matter/dynamic-profile/view/1874345","18-1874345")</f>
        <v>0</v>
      </c>
      <c r="B826" t="s">
        <v>86</v>
      </c>
      <c r="C826" t="s">
        <v>341</v>
      </c>
      <c r="D826" t="s">
        <v>500</v>
      </c>
      <c r="E826" t="s">
        <v>662</v>
      </c>
      <c r="F826" t="s">
        <v>1464</v>
      </c>
      <c r="G826" t="s">
        <v>5636</v>
      </c>
      <c r="H826" t="s">
        <v>10174</v>
      </c>
      <c r="I826">
        <v>511</v>
      </c>
      <c r="J826" t="s">
        <v>18893</v>
      </c>
      <c r="K826">
        <v>10029</v>
      </c>
      <c r="L826" t="s">
        <v>18958</v>
      </c>
      <c r="M826" t="s">
        <v>18958</v>
      </c>
      <c r="N826" t="s">
        <v>19614</v>
      </c>
      <c r="O826" t="s">
        <v>26523</v>
      </c>
      <c r="P826" t="s">
        <v>26565</v>
      </c>
      <c r="Q826" t="s">
        <v>26571</v>
      </c>
      <c r="R826" t="s">
        <v>26578</v>
      </c>
      <c r="S826" t="s">
        <v>18959</v>
      </c>
      <c r="U826" t="s">
        <v>26604</v>
      </c>
      <c r="W826" t="s">
        <v>500</v>
      </c>
      <c r="X826">
        <v>0</v>
      </c>
      <c r="Y826" t="s">
        <v>26651</v>
      </c>
      <c r="Z826" t="s">
        <v>26661</v>
      </c>
      <c r="AA826" t="s">
        <v>26683</v>
      </c>
      <c r="AB826" t="s">
        <v>27484</v>
      </c>
      <c r="AD826" t="s">
        <v>37543</v>
      </c>
      <c r="AE826">
        <v>108</v>
      </c>
      <c r="AF826" t="s">
        <v>45543</v>
      </c>
      <c r="AG826" t="s">
        <v>45556</v>
      </c>
      <c r="AH826">
        <v>33</v>
      </c>
      <c r="AI826">
        <v>2</v>
      </c>
      <c r="AJ826">
        <v>1</v>
      </c>
      <c r="AK826">
        <v>81.81</v>
      </c>
      <c r="AN826" t="s">
        <v>7439</v>
      </c>
      <c r="AO826">
        <v>17000</v>
      </c>
      <c r="AU826">
        <v>3.2</v>
      </c>
      <c r="AV826" t="s">
        <v>631</v>
      </c>
      <c r="AW826" t="s">
        <v>46835</v>
      </c>
    </row>
    <row r="827" spans="1:49">
      <c r="A827" s="1">
        <f>HYPERLINK("https://lsnyc.legalserver.org/matter/dynamic-profile/view/1874388","18-1874388")</f>
        <v>0</v>
      </c>
      <c r="B827" t="s">
        <v>158</v>
      </c>
      <c r="C827" t="s">
        <v>340</v>
      </c>
      <c r="D827" t="s">
        <v>500</v>
      </c>
      <c r="F827" t="s">
        <v>1465</v>
      </c>
      <c r="G827" t="s">
        <v>5637</v>
      </c>
      <c r="H827" t="s">
        <v>10376</v>
      </c>
      <c r="I827">
        <v>1</v>
      </c>
      <c r="J827" t="s">
        <v>18894</v>
      </c>
      <c r="K827">
        <v>11234</v>
      </c>
      <c r="L827" t="s">
        <v>18958</v>
      </c>
      <c r="M827" t="s">
        <v>18958</v>
      </c>
      <c r="N827" t="s">
        <v>19615</v>
      </c>
      <c r="O827" t="s">
        <v>26526</v>
      </c>
      <c r="P827" t="s">
        <v>26560</v>
      </c>
      <c r="R827" t="s">
        <v>26586</v>
      </c>
      <c r="S827" t="s">
        <v>18959</v>
      </c>
      <c r="U827" t="s">
        <v>26604</v>
      </c>
      <c r="W827" t="s">
        <v>500</v>
      </c>
      <c r="X827">
        <v>2550</v>
      </c>
      <c r="Y827" t="s">
        <v>26652</v>
      </c>
      <c r="Z827" t="s">
        <v>26659</v>
      </c>
      <c r="AB827" t="s">
        <v>27485</v>
      </c>
      <c r="AE827">
        <v>3</v>
      </c>
      <c r="AF827" t="s">
        <v>45547</v>
      </c>
      <c r="AG827" t="s">
        <v>19330</v>
      </c>
      <c r="AH827">
        <v>2</v>
      </c>
      <c r="AI827">
        <v>1</v>
      </c>
      <c r="AJ827">
        <v>2</v>
      </c>
      <c r="AK827">
        <v>0</v>
      </c>
      <c r="AN827" t="s">
        <v>7439</v>
      </c>
      <c r="AO827">
        <v>0</v>
      </c>
      <c r="AU827">
        <v>12</v>
      </c>
      <c r="AV827" t="s">
        <v>857</v>
      </c>
      <c r="AW827" t="s">
        <v>140</v>
      </c>
    </row>
    <row r="828" spans="1:49">
      <c r="A828" s="1">
        <f>HYPERLINK("https://lsnyc.legalserver.org/matter/dynamic-profile/view/1874297","18-1874297")</f>
        <v>0</v>
      </c>
      <c r="B828" t="s">
        <v>90</v>
      </c>
      <c r="C828" t="s">
        <v>340</v>
      </c>
      <c r="D828" t="s">
        <v>500</v>
      </c>
      <c r="F828" t="s">
        <v>1466</v>
      </c>
      <c r="G828" t="s">
        <v>5292</v>
      </c>
      <c r="H828" t="s">
        <v>10377</v>
      </c>
      <c r="I828" t="s">
        <v>17299</v>
      </c>
      <c r="J828" t="s">
        <v>18893</v>
      </c>
      <c r="K828">
        <v>10031</v>
      </c>
      <c r="L828" t="s">
        <v>18958</v>
      </c>
      <c r="M828" t="s">
        <v>18958</v>
      </c>
      <c r="N828" t="s">
        <v>19616</v>
      </c>
      <c r="O828" t="s">
        <v>26526</v>
      </c>
      <c r="P828" t="s">
        <v>26560</v>
      </c>
      <c r="R828" t="s">
        <v>26578</v>
      </c>
      <c r="S828" t="s">
        <v>18958</v>
      </c>
      <c r="U828" t="s">
        <v>26604</v>
      </c>
      <c r="V828" t="s">
        <v>26610</v>
      </c>
      <c r="W828" t="s">
        <v>500</v>
      </c>
      <c r="X828">
        <v>2050</v>
      </c>
      <c r="Y828" t="s">
        <v>26651</v>
      </c>
      <c r="Z828" t="s">
        <v>26667</v>
      </c>
      <c r="AB828" t="s">
        <v>27486</v>
      </c>
      <c r="AD828" t="s">
        <v>37544</v>
      </c>
      <c r="AE828">
        <v>44</v>
      </c>
      <c r="AF828" t="s">
        <v>45543</v>
      </c>
      <c r="AG828" t="s">
        <v>45556</v>
      </c>
      <c r="AH828">
        <v>22</v>
      </c>
      <c r="AI828">
        <v>2</v>
      </c>
      <c r="AJ828">
        <v>0</v>
      </c>
      <c r="AK828">
        <v>94.78</v>
      </c>
      <c r="AN828" t="s">
        <v>45581</v>
      </c>
      <c r="AO828">
        <v>15600</v>
      </c>
      <c r="AQ828" t="s">
        <v>46359</v>
      </c>
      <c r="AU828">
        <v>2.25</v>
      </c>
      <c r="AV828" t="s">
        <v>762</v>
      </c>
      <c r="AW828" t="s">
        <v>46835</v>
      </c>
    </row>
    <row r="829" spans="1:49">
      <c r="A829" s="1">
        <f>HYPERLINK("https://lsnyc.legalserver.org/matter/dynamic-profile/view/1842786","17-1842786")</f>
        <v>0</v>
      </c>
      <c r="B829" t="s">
        <v>82</v>
      </c>
      <c r="C829" t="s">
        <v>340</v>
      </c>
      <c r="D829" t="s">
        <v>501</v>
      </c>
      <c r="F829" t="s">
        <v>1467</v>
      </c>
      <c r="G829" t="s">
        <v>5089</v>
      </c>
      <c r="H829" t="s">
        <v>10378</v>
      </c>
      <c r="I829" t="s">
        <v>17532</v>
      </c>
      <c r="J829" t="s">
        <v>18892</v>
      </c>
      <c r="K829">
        <v>10451</v>
      </c>
      <c r="L829" t="s">
        <v>18958</v>
      </c>
      <c r="M829" t="s">
        <v>18960</v>
      </c>
      <c r="N829" t="s">
        <v>19617</v>
      </c>
      <c r="O829" t="s">
        <v>26523</v>
      </c>
      <c r="P829" t="s">
        <v>26560</v>
      </c>
      <c r="R829" t="s">
        <v>26577</v>
      </c>
      <c r="S829" t="s">
        <v>18959</v>
      </c>
      <c r="U829" t="s">
        <v>26604</v>
      </c>
      <c r="V829" t="s">
        <v>26610</v>
      </c>
      <c r="W829" t="s">
        <v>498</v>
      </c>
      <c r="X829">
        <v>1340</v>
      </c>
      <c r="Y829" t="s">
        <v>26650</v>
      </c>
      <c r="Z829" t="s">
        <v>26659</v>
      </c>
      <c r="AB829" t="s">
        <v>27487</v>
      </c>
      <c r="AC829">
        <v>4416580</v>
      </c>
      <c r="AD829" t="s">
        <v>37545</v>
      </c>
      <c r="AE829">
        <v>0</v>
      </c>
      <c r="AF829" t="s">
        <v>45552</v>
      </c>
      <c r="AG829" t="s">
        <v>45556</v>
      </c>
      <c r="AH829">
        <v>29</v>
      </c>
      <c r="AI829">
        <v>2</v>
      </c>
      <c r="AJ829">
        <v>0</v>
      </c>
      <c r="AK829">
        <v>121.03</v>
      </c>
      <c r="AN829" t="s">
        <v>7439</v>
      </c>
      <c r="AO829">
        <v>19656</v>
      </c>
      <c r="AP829" t="s">
        <v>45617</v>
      </c>
      <c r="AU829">
        <v>57.05</v>
      </c>
      <c r="AV829" t="s">
        <v>838</v>
      </c>
      <c r="AW829" t="s">
        <v>46836</v>
      </c>
    </row>
    <row r="830" spans="1:49">
      <c r="A830" s="1">
        <f>HYPERLINK("https://lsnyc.legalserver.org/matter/dynamic-profile/view/1842707","17-1842707")</f>
        <v>0</v>
      </c>
      <c r="B830" t="s">
        <v>82</v>
      </c>
      <c r="C830" t="s">
        <v>340</v>
      </c>
      <c r="D830" t="s">
        <v>501</v>
      </c>
      <c r="F830" t="s">
        <v>1468</v>
      </c>
      <c r="G830" t="s">
        <v>2975</v>
      </c>
      <c r="H830" t="s">
        <v>10379</v>
      </c>
      <c r="I830" t="s">
        <v>17298</v>
      </c>
      <c r="J830" t="s">
        <v>18892</v>
      </c>
      <c r="K830">
        <v>10457</v>
      </c>
      <c r="L830" t="s">
        <v>18958</v>
      </c>
      <c r="M830" t="s">
        <v>18960</v>
      </c>
      <c r="N830" t="s">
        <v>19618</v>
      </c>
      <c r="O830" t="s">
        <v>26524</v>
      </c>
      <c r="P830" t="s">
        <v>26560</v>
      </c>
      <c r="R830" t="s">
        <v>26579</v>
      </c>
      <c r="S830" t="s">
        <v>18959</v>
      </c>
      <c r="T830" t="s">
        <v>26579</v>
      </c>
      <c r="U830" t="s">
        <v>26604</v>
      </c>
      <c r="V830" t="s">
        <v>26609</v>
      </c>
      <c r="W830" t="s">
        <v>498</v>
      </c>
      <c r="X830">
        <v>880.72</v>
      </c>
      <c r="Y830" t="s">
        <v>26650</v>
      </c>
      <c r="Z830" t="s">
        <v>26662</v>
      </c>
      <c r="AB830" t="s">
        <v>27488</v>
      </c>
      <c r="AC830" t="s">
        <v>34759</v>
      </c>
      <c r="AD830" t="s">
        <v>37546</v>
      </c>
      <c r="AE830">
        <v>0</v>
      </c>
      <c r="AF830" t="s">
        <v>45541</v>
      </c>
      <c r="AG830" t="s">
        <v>19330</v>
      </c>
      <c r="AH830">
        <v>28</v>
      </c>
      <c r="AI830">
        <v>2</v>
      </c>
      <c r="AJ830">
        <v>2</v>
      </c>
      <c r="AK830">
        <v>132.68</v>
      </c>
      <c r="AN830" t="s">
        <v>45581</v>
      </c>
      <c r="AO830">
        <v>32640</v>
      </c>
      <c r="AP830" t="s">
        <v>45620</v>
      </c>
      <c r="AU830">
        <v>16.4</v>
      </c>
      <c r="AV830" t="s">
        <v>415</v>
      </c>
      <c r="AW830" t="s">
        <v>46848</v>
      </c>
    </row>
    <row r="831" spans="1:49">
      <c r="A831" s="1">
        <f>HYPERLINK("https://lsnyc.legalserver.org/matter/dynamic-profile/view/1861899","18-1861899")</f>
        <v>0</v>
      </c>
      <c r="B831" t="s">
        <v>141</v>
      </c>
      <c r="C831" t="s">
        <v>341</v>
      </c>
      <c r="D831" t="s">
        <v>502</v>
      </c>
      <c r="E831" t="s">
        <v>516</v>
      </c>
      <c r="F831" t="s">
        <v>1469</v>
      </c>
      <c r="G831" t="s">
        <v>4381</v>
      </c>
      <c r="H831" t="s">
        <v>10380</v>
      </c>
      <c r="I831" t="s">
        <v>17533</v>
      </c>
      <c r="J831" t="s">
        <v>18901</v>
      </c>
      <c r="K831">
        <v>11435</v>
      </c>
      <c r="L831" t="s">
        <v>18958</v>
      </c>
      <c r="M831" t="s">
        <v>18958</v>
      </c>
      <c r="N831" t="s">
        <v>19619</v>
      </c>
      <c r="O831" t="s">
        <v>26524</v>
      </c>
      <c r="P831" t="s">
        <v>26564</v>
      </c>
      <c r="Q831" t="s">
        <v>26570</v>
      </c>
      <c r="R831" t="s">
        <v>26578</v>
      </c>
      <c r="S831" t="s">
        <v>18959</v>
      </c>
      <c r="U831" t="s">
        <v>26607</v>
      </c>
      <c r="V831" t="s">
        <v>26610</v>
      </c>
      <c r="W831" t="s">
        <v>498</v>
      </c>
      <c r="X831">
        <v>550</v>
      </c>
      <c r="Y831" t="s">
        <v>26653</v>
      </c>
      <c r="Z831" t="s">
        <v>26664</v>
      </c>
      <c r="AA831" t="s">
        <v>26683</v>
      </c>
      <c r="AB831" t="s">
        <v>27489</v>
      </c>
      <c r="AC831" t="s">
        <v>34760</v>
      </c>
      <c r="AD831" t="s">
        <v>37547</v>
      </c>
      <c r="AE831">
        <v>1</v>
      </c>
      <c r="AF831" t="s">
        <v>45547</v>
      </c>
      <c r="AG831" t="s">
        <v>19330</v>
      </c>
      <c r="AH831">
        <v>10</v>
      </c>
      <c r="AI831">
        <v>1</v>
      </c>
      <c r="AJ831">
        <v>0</v>
      </c>
      <c r="AK831">
        <v>173.57</v>
      </c>
      <c r="AN831" t="s">
        <v>7439</v>
      </c>
      <c r="AO831">
        <v>21072</v>
      </c>
      <c r="AU831">
        <v>1.75</v>
      </c>
      <c r="AV831" t="s">
        <v>516</v>
      </c>
      <c r="AW831" t="s">
        <v>46865</v>
      </c>
    </row>
    <row r="832" spans="1:49">
      <c r="A832" s="1">
        <f>HYPERLINK("https://lsnyc.legalserver.org/matter/dynamic-profile/view/1873596","18-1873596")</f>
        <v>0</v>
      </c>
      <c r="B832" t="s">
        <v>184</v>
      </c>
      <c r="C832" t="s">
        <v>341</v>
      </c>
      <c r="D832" t="s">
        <v>476</v>
      </c>
      <c r="E832" t="s">
        <v>498</v>
      </c>
      <c r="F832" t="s">
        <v>992</v>
      </c>
      <c r="G832" t="s">
        <v>5638</v>
      </c>
      <c r="H832" t="s">
        <v>10381</v>
      </c>
      <c r="J832" t="s">
        <v>18894</v>
      </c>
      <c r="K832">
        <v>11204</v>
      </c>
      <c r="L832" t="s">
        <v>18958</v>
      </c>
      <c r="M832" t="s">
        <v>18958</v>
      </c>
      <c r="N832" t="s">
        <v>19620</v>
      </c>
      <c r="O832" t="s">
        <v>26524</v>
      </c>
      <c r="P832" t="s">
        <v>26563</v>
      </c>
      <c r="Q832" t="s">
        <v>26571</v>
      </c>
      <c r="R832" t="s">
        <v>26586</v>
      </c>
      <c r="U832" t="s">
        <v>26604</v>
      </c>
      <c r="W832" t="s">
        <v>498</v>
      </c>
      <c r="X832">
        <v>3300</v>
      </c>
      <c r="Y832" t="s">
        <v>26652</v>
      </c>
      <c r="Z832" t="s">
        <v>26662</v>
      </c>
      <c r="AA832" t="s">
        <v>26683</v>
      </c>
      <c r="AB832" t="s">
        <v>27490</v>
      </c>
      <c r="AD832" t="s">
        <v>37548</v>
      </c>
      <c r="AE832">
        <v>2</v>
      </c>
      <c r="AF832" t="s">
        <v>45547</v>
      </c>
      <c r="AH832">
        <v>2</v>
      </c>
      <c r="AI832">
        <v>4</v>
      </c>
      <c r="AJ832">
        <v>6</v>
      </c>
      <c r="AK832">
        <v>58.8</v>
      </c>
      <c r="AN832" t="s">
        <v>7439</v>
      </c>
      <c r="AO832">
        <v>30000</v>
      </c>
      <c r="AU832">
        <v>2.3</v>
      </c>
      <c r="AV832" t="s">
        <v>498</v>
      </c>
      <c r="AW832" t="s">
        <v>281</v>
      </c>
    </row>
    <row r="833" spans="1:50">
      <c r="A833" s="1">
        <f>HYPERLINK("https://lsnyc.legalserver.org/matter/dynamic-profile/view/1874452","18-1874452")</f>
        <v>0</v>
      </c>
      <c r="B833" t="s">
        <v>108</v>
      </c>
      <c r="C833" t="s">
        <v>341</v>
      </c>
      <c r="D833" t="s">
        <v>498</v>
      </c>
      <c r="E833" t="s">
        <v>662</v>
      </c>
      <c r="F833" t="s">
        <v>1470</v>
      </c>
      <c r="G833" t="s">
        <v>5639</v>
      </c>
      <c r="H833" t="s">
        <v>10382</v>
      </c>
      <c r="I833" t="s">
        <v>17427</v>
      </c>
      <c r="J833" t="s">
        <v>18934</v>
      </c>
      <c r="K833">
        <v>11413</v>
      </c>
      <c r="L833" t="s">
        <v>18958</v>
      </c>
      <c r="M833" t="s">
        <v>18958</v>
      </c>
      <c r="N833" t="s">
        <v>19621</v>
      </c>
      <c r="O833" t="s">
        <v>26523</v>
      </c>
      <c r="P833" t="s">
        <v>26560</v>
      </c>
      <c r="Q833" t="s">
        <v>26568</v>
      </c>
      <c r="R833" t="s">
        <v>26584</v>
      </c>
      <c r="S833" t="s">
        <v>18959</v>
      </c>
      <c r="U833" t="s">
        <v>26604</v>
      </c>
      <c r="V833" t="s">
        <v>26610</v>
      </c>
      <c r="W833" t="s">
        <v>498</v>
      </c>
      <c r="X833">
        <v>1247</v>
      </c>
      <c r="Y833" t="s">
        <v>26653</v>
      </c>
      <c r="Z833" t="s">
        <v>26664</v>
      </c>
      <c r="AA833" t="s">
        <v>26678</v>
      </c>
      <c r="AB833" t="s">
        <v>27491</v>
      </c>
      <c r="AC833" t="s">
        <v>34761</v>
      </c>
      <c r="AD833" t="s">
        <v>37549</v>
      </c>
      <c r="AE833">
        <v>2</v>
      </c>
      <c r="AF833" t="s">
        <v>45547</v>
      </c>
      <c r="AG833" t="s">
        <v>19330</v>
      </c>
      <c r="AH833">
        <v>16</v>
      </c>
      <c r="AI833">
        <v>2</v>
      </c>
      <c r="AJ833">
        <v>3</v>
      </c>
      <c r="AK833">
        <v>37.91</v>
      </c>
      <c r="AN833" t="s">
        <v>7439</v>
      </c>
      <c r="AO833">
        <v>11154</v>
      </c>
      <c r="AQ833" t="s">
        <v>46359</v>
      </c>
      <c r="AR833" t="s">
        <v>46380</v>
      </c>
      <c r="AS833" t="s">
        <v>46499</v>
      </c>
      <c r="AT833" t="s">
        <v>46621</v>
      </c>
      <c r="AU833">
        <v>23.6</v>
      </c>
      <c r="AV833" t="s">
        <v>630</v>
      </c>
      <c r="AW833" t="s">
        <v>161</v>
      </c>
    </row>
    <row r="834" spans="1:50">
      <c r="A834" s="1">
        <f>HYPERLINK("https://lsnyc.legalserver.org/matter/dynamic-profile/view/1874508","18-1874508")</f>
        <v>0</v>
      </c>
      <c r="B834" t="s">
        <v>108</v>
      </c>
      <c r="C834" t="s">
        <v>341</v>
      </c>
      <c r="D834" t="s">
        <v>498</v>
      </c>
      <c r="E834" t="s">
        <v>578</v>
      </c>
      <c r="F834" t="s">
        <v>1471</v>
      </c>
      <c r="G834" t="s">
        <v>5438</v>
      </c>
      <c r="H834" t="s">
        <v>10383</v>
      </c>
      <c r="I834" t="s">
        <v>17293</v>
      </c>
      <c r="J834" t="s">
        <v>18901</v>
      </c>
      <c r="K834">
        <v>11433</v>
      </c>
      <c r="L834" t="s">
        <v>18958</v>
      </c>
      <c r="M834" t="s">
        <v>18958</v>
      </c>
      <c r="N834" t="s">
        <v>19622</v>
      </c>
      <c r="O834" t="s">
        <v>26526</v>
      </c>
      <c r="P834" t="s">
        <v>26564</v>
      </c>
      <c r="Q834" t="s">
        <v>26570</v>
      </c>
      <c r="R834" t="s">
        <v>26584</v>
      </c>
      <c r="S834" t="s">
        <v>18959</v>
      </c>
      <c r="T834" t="s">
        <v>26584</v>
      </c>
      <c r="U834" t="s">
        <v>26605</v>
      </c>
      <c r="V834" t="s">
        <v>26610</v>
      </c>
      <c r="W834" t="s">
        <v>498</v>
      </c>
      <c r="X834">
        <v>561</v>
      </c>
      <c r="Y834" t="s">
        <v>26653</v>
      </c>
      <c r="Z834" t="s">
        <v>26664</v>
      </c>
      <c r="AA834" t="s">
        <v>26683</v>
      </c>
      <c r="AB834" t="s">
        <v>27492</v>
      </c>
      <c r="AC834" t="s">
        <v>34762</v>
      </c>
      <c r="AD834" t="s">
        <v>37550</v>
      </c>
      <c r="AE834">
        <v>56</v>
      </c>
      <c r="AF834" t="s">
        <v>45541</v>
      </c>
      <c r="AG834" t="s">
        <v>19330</v>
      </c>
      <c r="AH834">
        <v>10</v>
      </c>
      <c r="AI834">
        <v>1</v>
      </c>
      <c r="AJ834">
        <v>2</v>
      </c>
      <c r="AK834">
        <v>90.28</v>
      </c>
      <c r="AM834" t="s">
        <v>45576</v>
      </c>
      <c r="AN834" t="s">
        <v>7439</v>
      </c>
      <c r="AO834">
        <v>18760</v>
      </c>
      <c r="AU834">
        <v>0.5</v>
      </c>
      <c r="AV834" t="s">
        <v>498</v>
      </c>
      <c r="AW834" t="s">
        <v>208</v>
      </c>
    </row>
    <row r="835" spans="1:50">
      <c r="A835" s="1">
        <f>HYPERLINK("https://lsnyc.legalserver.org/matter/dynamic-profile/view/1874410","18-1874410")</f>
        <v>0</v>
      </c>
      <c r="B835" t="s">
        <v>143</v>
      </c>
      <c r="C835" t="s">
        <v>341</v>
      </c>
      <c r="D835" t="s">
        <v>498</v>
      </c>
      <c r="E835" t="s">
        <v>522</v>
      </c>
      <c r="F835" t="s">
        <v>1021</v>
      </c>
      <c r="G835" t="s">
        <v>1995</v>
      </c>
      <c r="H835" t="s">
        <v>10384</v>
      </c>
      <c r="I835" t="s">
        <v>17278</v>
      </c>
      <c r="J835" t="s">
        <v>18892</v>
      </c>
      <c r="K835">
        <v>10451</v>
      </c>
      <c r="L835" t="s">
        <v>18958</v>
      </c>
      <c r="M835" t="s">
        <v>18958</v>
      </c>
      <c r="N835" t="s">
        <v>19623</v>
      </c>
      <c r="O835" t="s">
        <v>26524</v>
      </c>
      <c r="P835" t="s">
        <v>26564</v>
      </c>
      <c r="Q835" t="s">
        <v>26570</v>
      </c>
      <c r="R835" t="s">
        <v>26577</v>
      </c>
      <c r="S835" t="s">
        <v>18959</v>
      </c>
      <c r="U835" t="s">
        <v>26604</v>
      </c>
      <c r="V835" t="s">
        <v>26610</v>
      </c>
      <c r="W835" t="s">
        <v>498</v>
      </c>
      <c r="X835">
        <v>927.51</v>
      </c>
      <c r="Y835" t="s">
        <v>26650</v>
      </c>
      <c r="Z835" t="s">
        <v>26668</v>
      </c>
      <c r="AA835" t="s">
        <v>26683</v>
      </c>
      <c r="AB835" t="s">
        <v>27493</v>
      </c>
      <c r="AD835" t="s">
        <v>37551</v>
      </c>
      <c r="AE835">
        <v>94</v>
      </c>
      <c r="AF835" t="s">
        <v>45541</v>
      </c>
      <c r="AG835" t="s">
        <v>19330</v>
      </c>
      <c r="AH835">
        <v>4</v>
      </c>
      <c r="AI835">
        <v>1</v>
      </c>
      <c r="AJ835">
        <v>0</v>
      </c>
      <c r="AK835">
        <v>160.72</v>
      </c>
      <c r="AN835" t="s">
        <v>7439</v>
      </c>
      <c r="AO835">
        <v>19512</v>
      </c>
      <c r="AU835">
        <v>4.9</v>
      </c>
      <c r="AV835" t="s">
        <v>526</v>
      </c>
      <c r="AW835" t="s">
        <v>46854</v>
      </c>
    </row>
    <row r="836" spans="1:50">
      <c r="A836" s="1">
        <f>HYPERLINK("https://lsnyc.legalserver.org/matter/dynamic-profile/view/1874433","18-1874433")</f>
        <v>0</v>
      </c>
      <c r="B836" t="s">
        <v>143</v>
      </c>
      <c r="C836" t="s">
        <v>341</v>
      </c>
      <c r="D836" t="s">
        <v>498</v>
      </c>
      <c r="E836" t="s">
        <v>428</v>
      </c>
      <c r="F836" t="s">
        <v>1166</v>
      </c>
      <c r="G836" t="s">
        <v>5640</v>
      </c>
      <c r="H836" t="s">
        <v>10385</v>
      </c>
      <c r="I836" t="s">
        <v>17534</v>
      </c>
      <c r="J836" t="s">
        <v>18892</v>
      </c>
      <c r="K836">
        <v>10462</v>
      </c>
      <c r="L836" t="s">
        <v>18958</v>
      </c>
      <c r="M836" t="s">
        <v>18958</v>
      </c>
      <c r="N836" t="s">
        <v>19624</v>
      </c>
      <c r="O836" t="s">
        <v>26524</v>
      </c>
      <c r="P836" t="s">
        <v>26564</v>
      </c>
      <c r="Q836" t="s">
        <v>26570</v>
      </c>
      <c r="R836" t="s">
        <v>26579</v>
      </c>
      <c r="S836" t="s">
        <v>18959</v>
      </c>
      <c r="U836" t="s">
        <v>26604</v>
      </c>
      <c r="V836" t="s">
        <v>26610</v>
      </c>
      <c r="W836" t="s">
        <v>498</v>
      </c>
      <c r="X836">
        <v>0</v>
      </c>
      <c r="Y836" t="s">
        <v>26650</v>
      </c>
      <c r="Z836" t="s">
        <v>26668</v>
      </c>
      <c r="AA836" t="s">
        <v>26683</v>
      </c>
      <c r="AB836" t="s">
        <v>27494</v>
      </c>
      <c r="AD836" t="s">
        <v>37552</v>
      </c>
      <c r="AE836">
        <v>92</v>
      </c>
      <c r="AF836" t="s">
        <v>45541</v>
      </c>
      <c r="AG836" t="s">
        <v>19330</v>
      </c>
      <c r="AH836">
        <v>20</v>
      </c>
      <c r="AI836">
        <v>1</v>
      </c>
      <c r="AJ836">
        <v>0</v>
      </c>
      <c r="AK836">
        <v>0</v>
      </c>
      <c r="AN836" t="s">
        <v>7439</v>
      </c>
      <c r="AO836">
        <v>0</v>
      </c>
      <c r="AU836">
        <v>5.2</v>
      </c>
      <c r="AV836" t="s">
        <v>635</v>
      </c>
      <c r="AW836" t="s">
        <v>46854</v>
      </c>
    </row>
    <row r="837" spans="1:50">
      <c r="A837" s="1">
        <f>HYPERLINK("https://lsnyc.legalserver.org/matter/dynamic-profile/view/1874484","18-1874484")</f>
        <v>0</v>
      </c>
      <c r="B837" t="s">
        <v>167</v>
      </c>
      <c r="C837" t="s">
        <v>341</v>
      </c>
      <c r="D837" t="s">
        <v>498</v>
      </c>
      <c r="E837" t="s">
        <v>658</v>
      </c>
      <c r="F837" t="s">
        <v>1472</v>
      </c>
      <c r="G837" t="s">
        <v>5631</v>
      </c>
      <c r="H837" t="s">
        <v>10386</v>
      </c>
      <c r="I837" t="s">
        <v>17387</v>
      </c>
      <c r="J837" t="s">
        <v>18901</v>
      </c>
      <c r="K837">
        <v>11435</v>
      </c>
      <c r="L837" t="s">
        <v>18958</v>
      </c>
      <c r="M837" t="s">
        <v>18958</v>
      </c>
      <c r="N837" t="s">
        <v>19625</v>
      </c>
      <c r="O837" t="s">
        <v>26524</v>
      </c>
      <c r="P837" t="s">
        <v>26564</v>
      </c>
      <c r="Q837" t="s">
        <v>26570</v>
      </c>
      <c r="R837" t="s">
        <v>26584</v>
      </c>
      <c r="S837" t="s">
        <v>18959</v>
      </c>
      <c r="T837" t="s">
        <v>26584</v>
      </c>
      <c r="U837" t="s">
        <v>26604</v>
      </c>
      <c r="V837" t="s">
        <v>26610</v>
      </c>
      <c r="W837" t="s">
        <v>498</v>
      </c>
      <c r="X837">
        <v>1200</v>
      </c>
      <c r="Y837" t="s">
        <v>26653</v>
      </c>
      <c r="Z837" t="s">
        <v>26664</v>
      </c>
      <c r="AA837" t="s">
        <v>26683</v>
      </c>
      <c r="AB837" t="s">
        <v>27495</v>
      </c>
      <c r="AD837" t="s">
        <v>37553</v>
      </c>
      <c r="AE837">
        <v>3</v>
      </c>
      <c r="AF837" t="s">
        <v>45547</v>
      </c>
      <c r="AG837" t="s">
        <v>19330</v>
      </c>
      <c r="AH837">
        <v>2</v>
      </c>
      <c r="AI837">
        <v>2</v>
      </c>
      <c r="AJ837">
        <v>0</v>
      </c>
      <c r="AK837">
        <v>91.13</v>
      </c>
      <c r="AM837" t="s">
        <v>45576</v>
      </c>
      <c r="AN837" t="s">
        <v>7439</v>
      </c>
      <c r="AO837">
        <v>15000</v>
      </c>
      <c r="AU837">
        <v>1.1</v>
      </c>
      <c r="AV837" t="s">
        <v>441</v>
      </c>
      <c r="AW837" t="s">
        <v>208</v>
      </c>
    </row>
    <row r="838" spans="1:50">
      <c r="A838" s="1">
        <f>HYPERLINK("https://lsnyc.legalserver.org/matter/dynamic-profile/view/1874425","18-1874425")</f>
        <v>0</v>
      </c>
      <c r="B838" t="s">
        <v>109</v>
      </c>
      <c r="C838" t="s">
        <v>341</v>
      </c>
      <c r="D838" t="s">
        <v>498</v>
      </c>
      <c r="E838" t="s">
        <v>848</v>
      </c>
      <c r="F838" t="s">
        <v>1074</v>
      </c>
      <c r="G838" t="s">
        <v>5641</v>
      </c>
      <c r="H838" t="s">
        <v>10387</v>
      </c>
      <c r="I838" t="s">
        <v>17275</v>
      </c>
      <c r="J838" t="s">
        <v>18902</v>
      </c>
      <c r="K838">
        <v>10314</v>
      </c>
      <c r="L838" t="s">
        <v>18958</v>
      </c>
      <c r="M838" t="s">
        <v>18958</v>
      </c>
      <c r="N838" t="s">
        <v>19626</v>
      </c>
      <c r="O838" t="s">
        <v>26523</v>
      </c>
      <c r="P838" t="s">
        <v>26560</v>
      </c>
      <c r="Q838" t="s">
        <v>26568</v>
      </c>
      <c r="R838" t="s">
        <v>26590</v>
      </c>
      <c r="S838" t="s">
        <v>18959</v>
      </c>
      <c r="U838" t="s">
        <v>26605</v>
      </c>
      <c r="V838" t="s">
        <v>26610</v>
      </c>
      <c r="W838" t="s">
        <v>498</v>
      </c>
      <c r="X838">
        <v>239</v>
      </c>
      <c r="Y838" t="s">
        <v>26654</v>
      </c>
      <c r="Z838" t="s">
        <v>26668</v>
      </c>
      <c r="AA838" t="s">
        <v>26680</v>
      </c>
      <c r="AB838" t="s">
        <v>27496</v>
      </c>
      <c r="AD838" t="s">
        <v>37554</v>
      </c>
      <c r="AE838">
        <v>75</v>
      </c>
      <c r="AF838" t="s">
        <v>45549</v>
      </c>
      <c r="AG838" t="s">
        <v>19330</v>
      </c>
      <c r="AH838">
        <v>5</v>
      </c>
      <c r="AI838">
        <v>1</v>
      </c>
      <c r="AJ838">
        <v>2</v>
      </c>
      <c r="AK838">
        <v>49.6</v>
      </c>
      <c r="AN838" t="s">
        <v>7439</v>
      </c>
      <c r="AO838">
        <v>10306.56</v>
      </c>
      <c r="AQ838" t="s">
        <v>46362</v>
      </c>
      <c r="AR838" t="s">
        <v>46379</v>
      </c>
      <c r="AS838" t="s">
        <v>46499</v>
      </c>
      <c r="AT838" t="s">
        <v>46582</v>
      </c>
      <c r="AU838">
        <v>8.75</v>
      </c>
      <c r="AV838" t="s">
        <v>848</v>
      </c>
      <c r="AW838" t="s">
        <v>190</v>
      </c>
    </row>
    <row r="839" spans="1:50">
      <c r="A839" s="1">
        <f>HYPERLINK("https://lsnyc.legalserver.org/matter/dynamic-profile/view/1874477","18-1874477")</f>
        <v>0</v>
      </c>
      <c r="B839" t="s">
        <v>109</v>
      </c>
      <c r="C839" t="s">
        <v>341</v>
      </c>
      <c r="D839" t="s">
        <v>498</v>
      </c>
      <c r="E839" t="s">
        <v>699</v>
      </c>
      <c r="F839" t="s">
        <v>1473</v>
      </c>
      <c r="G839" t="s">
        <v>5269</v>
      </c>
      <c r="H839" t="s">
        <v>10388</v>
      </c>
      <c r="I839" t="s">
        <v>17436</v>
      </c>
      <c r="J839" t="s">
        <v>18902</v>
      </c>
      <c r="K839">
        <v>10303</v>
      </c>
      <c r="L839" t="s">
        <v>18958</v>
      </c>
      <c r="M839" t="s">
        <v>18958</v>
      </c>
      <c r="N839" t="s">
        <v>19627</v>
      </c>
      <c r="O839" t="s">
        <v>26523</v>
      </c>
      <c r="P839" t="s">
        <v>26560</v>
      </c>
      <c r="Q839" t="s">
        <v>26568</v>
      </c>
      <c r="R839" t="s">
        <v>26590</v>
      </c>
      <c r="S839" t="s">
        <v>18959</v>
      </c>
      <c r="U839" t="s">
        <v>26605</v>
      </c>
      <c r="V839" t="s">
        <v>26610</v>
      </c>
      <c r="W839" t="s">
        <v>498</v>
      </c>
      <c r="X839">
        <v>235</v>
      </c>
      <c r="Y839" t="s">
        <v>26654</v>
      </c>
      <c r="Z839" t="s">
        <v>26668</v>
      </c>
      <c r="AA839" t="s">
        <v>26680</v>
      </c>
      <c r="AB839" t="s">
        <v>27497</v>
      </c>
      <c r="AD839" t="s">
        <v>37555</v>
      </c>
      <c r="AE839">
        <v>35</v>
      </c>
      <c r="AF839" t="s">
        <v>45549</v>
      </c>
      <c r="AH839">
        <v>20</v>
      </c>
      <c r="AI839">
        <v>1</v>
      </c>
      <c r="AJ839">
        <v>0</v>
      </c>
      <c r="AK839">
        <v>73.64</v>
      </c>
      <c r="AN839" t="s">
        <v>7439</v>
      </c>
      <c r="AO839">
        <v>8940</v>
      </c>
      <c r="AS839" t="s">
        <v>46499</v>
      </c>
      <c r="AT839" t="s">
        <v>46653</v>
      </c>
      <c r="AU839">
        <v>1.5</v>
      </c>
      <c r="AV839" t="s">
        <v>699</v>
      </c>
      <c r="AW839" t="s">
        <v>190</v>
      </c>
    </row>
    <row r="840" spans="1:50">
      <c r="A840" s="1">
        <f>HYPERLINK("https://lsnyc.legalserver.org/matter/dynamic-profile/view/1874474","18-1874474")</f>
        <v>0</v>
      </c>
      <c r="B840" t="s">
        <v>131</v>
      </c>
      <c r="C840" t="s">
        <v>341</v>
      </c>
      <c r="D840" t="s">
        <v>498</v>
      </c>
      <c r="E840" t="s">
        <v>713</v>
      </c>
      <c r="F840" t="s">
        <v>1283</v>
      </c>
      <c r="G840" t="s">
        <v>973</v>
      </c>
      <c r="H840" t="s">
        <v>10389</v>
      </c>
      <c r="I840" t="s">
        <v>17300</v>
      </c>
      <c r="J840" t="s">
        <v>18902</v>
      </c>
      <c r="K840">
        <v>10305</v>
      </c>
      <c r="L840" t="s">
        <v>18958</v>
      </c>
      <c r="M840" t="s">
        <v>18958</v>
      </c>
      <c r="N840" t="s">
        <v>19628</v>
      </c>
      <c r="O840" t="s">
        <v>26523</v>
      </c>
      <c r="P840" t="s">
        <v>26560</v>
      </c>
      <c r="Q840" t="s">
        <v>26568</v>
      </c>
      <c r="R840" t="s">
        <v>26587</v>
      </c>
      <c r="S840" t="s">
        <v>18959</v>
      </c>
      <c r="U840" t="s">
        <v>26604</v>
      </c>
      <c r="V840" t="s">
        <v>26610</v>
      </c>
      <c r="W840" t="s">
        <v>498</v>
      </c>
      <c r="X840">
        <v>1213</v>
      </c>
      <c r="Y840" t="s">
        <v>26654</v>
      </c>
      <c r="Z840" t="s">
        <v>26659</v>
      </c>
      <c r="AA840" t="s">
        <v>26678</v>
      </c>
      <c r="AB840" t="s">
        <v>27498</v>
      </c>
      <c r="AD840" t="s">
        <v>37556</v>
      </c>
      <c r="AE840">
        <v>2</v>
      </c>
      <c r="AF840" t="s">
        <v>45547</v>
      </c>
      <c r="AG840" t="s">
        <v>45562</v>
      </c>
      <c r="AH840">
        <v>1</v>
      </c>
      <c r="AI840">
        <v>1</v>
      </c>
      <c r="AJ840">
        <v>0</v>
      </c>
      <c r="AK840">
        <v>0</v>
      </c>
      <c r="AN840" t="s">
        <v>7439</v>
      </c>
      <c r="AO840">
        <v>0</v>
      </c>
      <c r="AQ840" t="s">
        <v>46362</v>
      </c>
      <c r="AR840" t="s">
        <v>46379</v>
      </c>
      <c r="AS840" t="s">
        <v>46499</v>
      </c>
      <c r="AT840" t="s">
        <v>46656</v>
      </c>
      <c r="AU840">
        <v>16.9</v>
      </c>
      <c r="AV840" t="s">
        <v>815</v>
      </c>
      <c r="AW840" t="s">
        <v>46852</v>
      </c>
    </row>
    <row r="841" spans="1:50">
      <c r="A841" s="1">
        <f>HYPERLINK("https://lsnyc.legalserver.org/matter/dynamic-profile/view/1874408","18-1874408")</f>
        <v>0</v>
      </c>
      <c r="B841" t="s">
        <v>131</v>
      </c>
      <c r="C841" t="s">
        <v>341</v>
      </c>
      <c r="D841" t="s">
        <v>498</v>
      </c>
      <c r="E841" t="s">
        <v>458</v>
      </c>
      <c r="F841" t="s">
        <v>1148</v>
      </c>
      <c r="G841" t="s">
        <v>5341</v>
      </c>
      <c r="H841" t="s">
        <v>10388</v>
      </c>
      <c r="I841" t="s">
        <v>17390</v>
      </c>
      <c r="J841" t="s">
        <v>18902</v>
      </c>
      <c r="K841">
        <v>10303</v>
      </c>
      <c r="L841" t="s">
        <v>18958</v>
      </c>
      <c r="M841" t="s">
        <v>18958</v>
      </c>
      <c r="N841" t="s">
        <v>19629</v>
      </c>
      <c r="O841" t="s">
        <v>26523</v>
      </c>
      <c r="P841" t="s">
        <v>26560</v>
      </c>
      <c r="Q841" t="s">
        <v>26568</v>
      </c>
      <c r="R841" t="s">
        <v>26590</v>
      </c>
      <c r="S841" t="s">
        <v>18959</v>
      </c>
      <c r="U841" t="s">
        <v>26605</v>
      </c>
      <c r="V841" t="s">
        <v>26610</v>
      </c>
      <c r="W841" t="s">
        <v>498</v>
      </c>
      <c r="X841">
        <v>1137</v>
      </c>
      <c r="Y841" t="s">
        <v>26654</v>
      </c>
      <c r="Z841" t="s">
        <v>26656</v>
      </c>
      <c r="AA841" t="s">
        <v>26680</v>
      </c>
      <c r="AB841" t="s">
        <v>27499</v>
      </c>
      <c r="AD841" t="s">
        <v>37557</v>
      </c>
      <c r="AE841">
        <v>35</v>
      </c>
      <c r="AF841" t="s">
        <v>45549</v>
      </c>
      <c r="AG841" t="s">
        <v>19330</v>
      </c>
      <c r="AH841">
        <v>6</v>
      </c>
      <c r="AI841">
        <v>2</v>
      </c>
      <c r="AJ841">
        <v>2</v>
      </c>
      <c r="AK841">
        <v>119.52</v>
      </c>
      <c r="AN841" t="s">
        <v>7439</v>
      </c>
      <c r="AO841">
        <v>30000</v>
      </c>
      <c r="AR841" t="s">
        <v>46381</v>
      </c>
      <c r="AS841" t="s">
        <v>46499</v>
      </c>
      <c r="AT841" t="s">
        <v>46508</v>
      </c>
      <c r="AU841">
        <v>11.6</v>
      </c>
      <c r="AV841" t="s">
        <v>458</v>
      </c>
      <c r="AW841" t="s">
        <v>190</v>
      </c>
    </row>
    <row r="842" spans="1:50">
      <c r="A842" s="1">
        <f>HYPERLINK("https://lsnyc.legalserver.org/matter/dynamic-profile/view/1874465","18-1874465")</f>
        <v>0</v>
      </c>
      <c r="B842" t="s">
        <v>146</v>
      </c>
      <c r="C842" t="s">
        <v>341</v>
      </c>
      <c r="D842" t="s">
        <v>498</v>
      </c>
      <c r="E842" t="s">
        <v>524</v>
      </c>
      <c r="F842" t="s">
        <v>887</v>
      </c>
      <c r="G842" t="s">
        <v>5607</v>
      </c>
      <c r="H842" t="s">
        <v>10390</v>
      </c>
      <c r="I842" t="s">
        <v>17414</v>
      </c>
      <c r="J842" t="s">
        <v>18893</v>
      </c>
      <c r="K842">
        <v>10040</v>
      </c>
      <c r="L842" t="s">
        <v>18958</v>
      </c>
      <c r="M842" t="s">
        <v>18958</v>
      </c>
      <c r="N842" t="s">
        <v>19630</v>
      </c>
      <c r="O842" t="s">
        <v>26523</v>
      </c>
      <c r="P842" t="s">
        <v>26565</v>
      </c>
      <c r="Q842" t="s">
        <v>26570</v>
      </c>
      <c r="R842" t="s">
        <v>26578</v>
      </c>
      <c r="S842" t="s">
        <v>18959</v>
      </c>
      <c r="U842" t="s">
        <v>26604</v>
      </c>
      <c r="W842" t="s">
        <v>498</v>
      </c>
      <c r="X842">
        <v>1270.06</v>
      </c>
      <c r="Y842" t="s">
        <v>26651</v>
      </c>
      <c r="Z842" t="s">
        <v>26661</v>
      </c>
      <c r="AA842" t="s">
        <v>26683</v>
      </c>
      <c r="AB842" t="s">
        <v>27500</v>
      </c>
      <c r="AD842" t="s">
        <v>37558</v>
      </c>
      <c r="AE842">
        <v>48</v>
      </c>
      <c r="AF842" t="s">
        <v>45541</v>
      </c>
      <c r="AG842" t="s">
        <v>45556</v>
      </c>
      <c r="AH842">
        <v>30</v>
      </c>
      <c r="AI842">
        <v>1</v>
      </c>
      <c r="AJ842">
        <v>0</v>
      </c>
      <c r="AK842">
        <v>74.14</v>
      </c>
      <c r="AN842" t="s">
        <v>7439</v>
      </c>
      <c r="AO842">
        <v>9000</v>
      </c>
      <c r="AU842">
        <v>4.4</v>
      </c>
      <c r="AV842" t="s">
        <v>588</v>
      </c>
      <c r="AW842" t="s">
        <v>46840</v>
      </c>
    </row>
    <row r="843" spans="1:50">
      <c r="A843" s="1">
        <f>HYPERLINK("https://lsnyc.legalserver.org/matter/dynamic-profile/view/1874460","18-1874460")</f>
        <v>0</v>
      </c>
      <c r="B843" t="s">
        <v>146</v>
      </c>
      <c r="C843" t="s">
        <v>341</v>
      </c>
      <c r="D843" t="s">
        <v>498</v>
      </c>
      <c r="E843" t="s">
        <v>524</v>
      </c>
      <c r="F843" t="s">
        <v>1474</v>
      </c>
      <c r="G843" t="s">
        <v>3103</v>
      </c>
      <c r="H843" t="s">
        <v>10391</v>
      </c>
      <c r="I843" t="s">
        <v>17389</v>
      </c>
      <c r="J843" t="s">
        <v>18893</v>
      </c>
      <c r="K843">
        <v>10033</v>
      </c>
      <c r="L843" t="s">
        <v>18958</v>
      </c>
      <c r="M843" t="s">
        <v>18958</v>
      </c>
      <c r="O843" t="s">
        <v>18997</v>
      </c>
      <c r="P843" t="s">
        <v>26564</v>
      </c>
      <c r="Q843" t="s">
        <v>26570</v>
      </c>
      <c r="R843" t="s">
        <v>26578</v>
      </c>
      <c r="S843" t="s">
        <v>18959</v>
      </c>
      <c r="U843" t="s">
        <v>26604</v>
      </c>
      <c r="W843" t="s">
        <v>498</v>
      </c>
      <c r="X843">
        <v>934.15</v>
      </c>
      <c r="Y843" t="s">
        <v>26651</v>
      </c>
      <c r="Z843" t="s">
        <v>26661</v>
      </c>
      <c r="AA843" t="s">
        <v>26683</v>
      </c>
      <c r="AB843" t="s">
        <v>27501</v>
      </c>
      <c r="AD843" t="s">
        <v>37559</v>
      </c>
      <c r="AE843">
        <v>39</v>
      </c>
      <c r="AF843" t="s">
        <v>45541</v>
      </c>
      <c r="AG843" t="s">
        <v>19330</v>
      </c>
      <c r="AH843">
        <v>6</v>
      </c>
      <c r="AI843">
        <v>1</v>
      </c>
      <c r="AJ843">
        <v>0</v>
      </c>
      <c r="AK843">
        <v>137.4</v>
      </c>
      <c r="AN843" t="s">
        <v>45581</v>
      </c>
      <c r="AO843">
        <v>16680</v>
      </c>
      <c r="AU843">
        <v>4.4</v>
      </c>
      <c r="AV843" t="s">
        <v>572</v>
      </c>
      <c r="AW843" t="s">
        <v>46840</v>
      </c>
    </row>
    <row r="844" spans="1:50">
      <c r="A844" s="1">
        <f>HYPERLINK("https://lsnyc.legalserver.org/matter/dynamic-profile/view/1874439","18-1874439")</f>
        <v>0</v>
      </c>
      <c r="B844" t="s">
        <v>146</v>
      </c>
      <c r="C844" t="s">
        <v>341</v>
      </c>
      <c r="D844" t="s">
        <v>498</v>
      </c>
      <c r="E844" t="s">
        <v>524</v>
      </c>
      <c r="F844" t="s">
        <v>887</v>
      </c>
      <c r="G844" t="s">
        <v>5642</v>
      </c>
      <c r="H844" t="s">
        <v>10392</v>
      </c>
      <c r="I844" t="s">
        <v>17535</v>
      </c>
      <c r="J844" t="s">
        <v>18893</v>
      </c>
      <c r="K844">
        <v>10034</v>
      </c>
      <c r="L844" t="s">
        <v>18958</v>
      </c>
      <c r="M844" t="s">
        <v>18958</v>
      </c>
      <c r="O844" t="s">
        <v>26529</v>
      </c>
      <c r="P844" t="s">
        <v>26564</v>
      </c>
      <c r="Q844" t="s">
        <v>26570</v>
      </c>
      <c r="R844" t="s">
        <v>26578</v>
      </c>
      <c r="S844" t="s">
        <v>18959</v>
      </c>
      <c r="U844" t="s">
        <v>26604</v>
      </c>
      <c r="W844" t="s">
        <v>498</v>
      </c>
      <c r="X844">
        <v>1450</v>
      </c>
      <c r="Y844" t="s">
        <v>26651</v>
      </c>
      <c r="Z844" t="s">
        <v>26663</v>
      </c>
      <c r="AA844" t="s">
        <v>26683</v>
      </c>
      <c r="AB844" t="s">
        <v>27502</v>
      </c>
      <c r="AE844">
        <v>57</v>
      </c>
      <c r="AF844" t="s">
        <v>45541</v>
      </c>
      <c r="AG844" t="s">
        <v>19330</v>
      </c>
      <c r="AH844">
        <v>6</v>
      </c>
      <c r="AI844">
        <v>4</v>
      </c>
      <c r="AJ844">
        <v>1</v>
      </c>
      <c r="AK844">
        <v>156.52</v>
      </c>
      <c r="AN844" t="s">
        <v>45581</v>
      </c>
      <c r="AO844">
        <v>46048</v>
      </c>
      <c r="AU844">
        <v>2.3</v>
      </c>
      <c r="AV844" t="s">
        <v>531</v>
      </c>
      <c r="AW844" t="s">
        <v>46840</v>
      </c>
    </row>
    <row r="845" spans="1:50">
      <c r="A845" s="1">
        <f>HYPERLINK("https://lsnyc.legalserver.org/matter/dynamic-profile/view/1874407","18-1874407")</f>
        <v>0</v>
      </c>
      <c r="B845" t="s">
        <v>146</v>
      </c>
      <c r="C845" t="s">
        <v>341</v>
      </c>
      <c r="D845" t="s">
        <v>498</v>
      </c>
      <c r="E845" t="s">
        <v>461</v>
      </c>
      <c r="F845" t="s">
        <v>1206</v>
      </c>
      <c r="G845" t="s">
        <v>5643</v>
      </c>
      <c r="H845" t="s">
        <v>10393</v>
      </c>
      <c r="I845" t="s">
        <v>17536</v>
      </c>
      <c r="J845" t="s">
        <v>18893</v>
      </c>
      <c r="K845">
        <v>10040</v>
      </c>
      <c r="L845" t="s">
        <v>18958</v>
      </c>
      <c r="M845" t="s">
        <v>18958</v>
      </c>
      <c r="N845" t="s">
        <v>19631</v>
      </c>
      <c r="O845" t="s">
        <v>26524</v>
      </c>
      <c r="P845" t="s">
        <v>26564</v>
      </c>
      <c r="Q845" t="s">
        <v>26570</v>
      </c>
      <c r="R845" t="s">
        <v>26578</v>
      </c>
      <c r="S845" t="s">
        <v>18959</v>
      </c>
      <c r="U845" t="s">
        <v>26604</v>
      </c>
      <c r="W845" t="s">
        <v>498</v>
      </c>
      <c r="X845">
        <v>1238.12</v>
      </c>
      <c r="Y845" t="s">
        <v>26651</v>
      </c>
      <c r="Z845" t="s">
        <v>26661</v>
      </c>
      <c r="AA845" t="s">
        <v>26683</v>
      </c>
      <c r="AB845" t="s">
        <v>27503</v>
      </c>
      <c r="AD845" t="s">
        <v>37560</v>
      </c>
      <c r="AE845">
        <v>25</v>
      </c>
      <c r="AF845" t="s">
        <v>45541</v>
      </c>
      <c r="AG845" t="s">
        <v>19330</v>
      </c>
      <c r="AH845">
        <v>4</v>
      </c>
      <c r="AI845">
        <v>2</v>
      </c>
      <c r="AJ845">
        <v>0</v>
      </c>
      <c r="AK845">
        <v>199.37</v>
      </c>
      <c r="AN845" t="s">
        <v>45581</v>
      </c>
      <c r="AO845">
        <v>32816</v>
      </c>
      <c r="AU845">
        <v>1.2</v>
      </c>
      <c r="AV845" t="s">
        <v>461</v>
      </c>
      <c r="AW845" t="s">
        <v>46840</v>
      </c>
    </row>
    <row r="846" spans="1:50">
      <c r="A846" s="1">
        <f>HYPERLINK("https://lsnyc.legalserver.org/matter/dynamic-profile/view/1874426","18-1874426")</f>
        <v>0</v>
      </c>
      <c r="B846" t="s">
        <v>204</v>
      </c>
      <c r="C846" t="s">
        <v>341</v>
      </c>
      <c r="D846" t="s">
        <v>498</v>
      </c>
      <c r="E846" t="s">
        <v>667</v>
      </c>
      <c r="F846" t="s">
        <v>1475</v>
      </c>
      <c r="G846" t="s">
        <v>5644</v>
      </c>
      <c r="H846" t="s">
        <v>10275</v>
      </c>
      <c r="I846" t="s">
        <v>17537</v>
      </c>
      <c r="J846" t="s">
        <v>18894</v>
      </c>
      <c r="K846">
        <v>11221</v>
      </c>
      <c r="L846" t="s">
        <v>18958</v>
      </c>
      <c r="M846" t="s">
        <v>18958</v>
      </c>
      <c r="N846" t="s">
        <v>19632</v>
      </c>
      <c r="O846" t="s">
        <v>26524</v>
      </c>
      <c r="P846" t="s">
        <v>26560</v>
      </c>
      <c r="Q846" t="s">
        <v>26574</v>
      </c>
      <c r="R846" t="s">
        <v>26588</v>
      </c>
      <c r="U846" t="s">
        <v>26604</v>
      </c>
      <c r="W846" t="s">
        <v>498</v>
      </c>
      <c r="X846">
        <v>0</v>
      </c>
      <c r="Y846" t="s">
        <v>26652</v>
      </c>
      <c r="Z846" t="s">
        <v>26530</v>
      </c>
      <c r="AA846" t="s">
        <v>26680</v>
      </c>
      <c r="AB846" t="s">
        <v>26773</v>
      </c>
      <c r="AC846" t="s">
        <v>34763</v>
      </c>
      <c r="AD846" t="s">
        <v>37561</v>
      </c>
      <c r="AE846">
        <v>7</v>
      </c>
      <c r="AH846">
        <v>13</v>
      </c>
      <c r="AI846">
        <v>1</v>
      </c>
      <c r="AJ846">
        <v>1</v>
      </c>
      <c r="AK846">
        <v>40.83</v>
      </c>
      <c r="AN846" t="s">
        <v>7439</v>
      </c>
      <c r="AO846">
        <v>6720</v>
      </c>
      <c r="AS846" t="s">
        <v>46499</v>
      </c>
      <c r="AT846" t="s">
        <v>46535</v>
      </c>
      <c r="AU846">
        <v>26.85</v>
      </c>
      <c r="AV846" t="s">
        <v>723</v>
      </c>
      <c r="AW846" t="s">
        <v>281</v>
      </c>
      <c r="AX846" t="s">
        <v>46897</v>
      </c>
    </row>
    <row r="847" spans="1:50">
      <c r="A847" s="1">
        <f>HYPERLINK("https://lsnyc.legalserver.org/matter/dynamic-profile/view/1874519","18-1874519")</f>
        <v>0</v>
      </c>
      <c r="B847" t="s">
        <v>141</v>
      </c>
      <c r="C847" t="s">
        <v>341</v>
      </c>
      <c r="D847" t="s">
        <v>498</v>
      </c>
      <c r="E847" t="s">
        <v>515</v>
      </c>
      <c r="F847" t="s">
        <v>1476</v>
      </c>
      <c r="G847" t="s">
        <v>5645</v>
      </c>
      <c r="H847" t="s">
        <v>10394</v>
      </c>
      <c r="I847" t="s">
        <v>17324</v>
      </c>
      <c r="J847" t="s">
        <v>18931</v>
      </c>
      <c r="K847">
        <v>11412</v>
      </c>
      <c r="L847" t="s">
        <v>18958</v>
      </c>
      <c r="M847" t="s">
        <v>18958</v>
      </c>
      <c r="N847" t="s">
        <v>19633</v>
      </c>
      <c r="O847" t="s">
        <v>26524</v>
      </c>
      <c r="P847" t="s">
        <v>26564</v>
      </c>
      <c r="Q847" t="s">
        <v>26570</v>
      </c>
      <c r="R847" t="s">
        <v>26578</v>
      </c>
      <c r="S847" t="s">
        <v>18959</v>
      </c>
      <c r="U847" t="s">
        <v>26604</v>
      </c>
      <c r="V847" t="s">
        <v>26611</v>
      </c>
      <c r="W847" t="s">
        <v>498</v>
      </c>
      <c r="X847">
        <v>1900</v>
      </c>
      <c r="Y847" t="s">
        <v>26653</v>
      </c>
      <c r="Z847" t="s">
        <v>26664</v>
      </c>
      <c r="AA847" t="s">
        <v>26683</v>
      </c>
      <c r="AB847" t="s">
        <v>27504</v>
      </c>
      <c r="AC847" t="s">
        <v>19330</v>
      </c>
      <c r="AD847" t="s">
        <v>37562</v>
      </c>
      <c r="AE847">
        <v>3</v>
      </c>
      <c r="AF847" t="s">
        <v>45547</v>
      </c>
      <c r="AG847" t="s">
        <v>19330</v>
      </c>
      <c r="AH847">
        <v>2</v>
      </c>
      <c r="AI847">
        <v>2</v>
      </c>
      <c r="AJ847">
        <v>5</v>
      </c>
      <c r="AK847">
        <v>55.18</v>
      </c>
      <c r="AN847" t="s">
        <v>7439</v>
      </c>
      <c r="AO847">
        <v>21000</v>
      </c>
      <c r="AU847">
        <v>0.4</v>
      </c>
      <c r="AV847" t="s">
        <v>515</v>
      </c>
      <c r="AW847" t="s">
        <v>141</v>
      </c>
    </row>
    <row r="848" spans="1:50">
      <c r="A848" s="1">
        <f>HYPERLINK("https://lsnyc.legalserver.org/matter/dynamic-profile/view/1874446","18-1874446")</f>
        <v>0</v>
      </c>
      <c r="B848" t="s">
        <v>110</v>
      </c>
      <c r="C848" t="s">
        <v>341</v>
      </c>
      <c r="D848" t="s">
        <v>498</v>
      </c>
      <c r="E848" t="s">
        <v>712</v>
      </c>
      <c r="F848" t="s">
        <v>1477</v>
      </c>
      <c r="G848" t="s">
        <v>5646</v>
      </c>
      <c r="H848" t="s">
        <v>10395</v>
      </c>
      <c r="I848" t="s">
        <v>17538</v>
      </c>
      <c r="J848" t="s">
        <v>18900</v>
      </c>
      <c r="K848">
        <v>11355</v>
      </c>
      <c r="L848" t="s">
        <v>18958</v>
      </c>
      <c r="M848" t="s">
        <v>18958</v>
      </c>
      <c r="N848" t="s">
        <v>19634</v>
      </c>
      <c r="O848" t="s">
        <v>26524</v>
      </c>
      <c r="P848" t="s">
        <v>26564</v>
      </c>
      <c r="Q848" t="s">
        <v>26570</v>
      </c>
      <c r="R848" t="s">
        <v>26584</v>
      </c>
      <c r="S848" t="s">
        <v>18959</v>
      </c>
      <c r="U848" t="s">
        <v>26604</v>
      </c>
      <c r="V848" t="s">
        <v>26610</v>
      </c>
      <c r="W848" t="s">
        <v>498</v>
      </c>
      <c r="X848">
        <v>438</v>
      </c>
      <c r="Y848" t="s">
        <v>26653</v>
      </c>
      <c r="Z848" t="s">
        <v>26664</v>
      </c>
      <c r="AA848" t="s">
        <v>26683</v>
      </c>
      <c r="AB848" t="s">
        <v>27505</v>
      </c>
      <c r="AC848" t="s">
        <v>19330</v>
      </c>
      <c r="AD848" t="s">
        <v>37563</v>
      </c>
      <c r="AE848">
        <v>191</v>
      </c>
      <c r="AF848" t="s">
        <v>45543</v>
      </c>
      <c r="AG848" t="s">
        <v>19330</v>
      </c>
      <c r="AH848">
        <v>1</v>
      </c>
      <c r="AI848">
        <v>1</v>
      </c>
      <c r="AJ848">
        <v>0</v>
      </c>
      <c r="AK848">
        <v>0</v>
      </c>
      <c r="AN848" t="s">
        <v>7439</v>
      </c>
      <c r="AO848">
        <v>0</v>
      </c>
      <c r="AU848">
        <v>0.5</v>
      </c>
      <c r="AV848" t="s">
        <v>579</v>
      </c>
      <c r="AW848" t="s">
        <v>161</v>
      </c>
    </row>
    <row r="849" spans="1:50">
      <c r="A849" s="1">
        <f>HYPERLINK("https://lsnyc.legalserver.org/matter/dynamic-profile/view/1874512","18-1874512")</f>
        <v>0</v>
      </c>
      <c r="B849" t="s">
        <v>110</v>
      </c>
      <c r="C849" t="s">
        <v>341</v>
      </c>
      <c r="D849" t="s">
        <v>498</v>
      </c>
      <c r="E849" t="s">
        <v>712</v>
      </c>
      <c r="F849" t="s">
        <v>1478</v>
      </c>
      <c r="G849" t="s">
        <v>5647</v>
      </c>
      <c r="H849" t="s">
        <v>10396</v>
      </c>
      <c r="I849" t="s">
        <v>17328</v>
      </c>
      <c r="J849" t="s">
        <v>18921</v>
      </c>
      <c r="K849">
        <v>11426</v>
      </c>
      <c r="L849" t="s">
        <v>18958</v>
      </c>
      <c r="M849" t="s">
        <v>18958</v>
      </c>
      <c r="N849" t="s">
        <v>19635</v>
      </c>
      <c r="O849" t="s">
        <v>26523</v>
      </c>
      <c r="P849" t="s">
        <v>26560</v>
      </c>
      <c r="Q849" t="s">
        <v>26568</v>
      </c>
      <c r="R849" t="s">
        <v>26584</v>
      </c>
      <c r="S849" t="s">
        <v>18959</v>
      </c>
      <c r="U849" t="s">
        <v>26604</v>
      </c>
      <c r="V849" t="s">
        <v>26610</v>
      </c>
      <c r="W849" t="s">
        <v>498</v>
      </c>
      <c r="X849">
        <v>1000</v>
      </c>
      <c r="Y849" t="s">
        <v>26653</v>
      </c>
      <c r="Z849" t="s">
        <v>26664</v>
      </c>
      <c r="AA849" t="s">
        <v>26678</v>
      </c>
      <c r="AB849" t="s">
        <v>27506</v>
      </c>
      <c r="AC849" t="s">
        <v>19045</v>
      </c>
      <c r="AD849" t="s">
        <v>37564</v>
      </c>
      <c r="AE849">
        <v>2</v>
      </c>
      <c r="AF849" t="s">
        <v>45547</v>
      </c>
      <c r="AG849" t="s">
        <v>19330</v>
      </c>
      <c r="AH849">
        <v>2</v>
      </c>
      <c r="AI849">
        <v>1</v>
      </c>
      <c r="AJ849">
        <v>0</v>
      </c>
      <c r="AK849">
        <v>181.22</v>
      </c>
      <c r="AM849" t="s">
        <v>45576</v>
      </c>
      <c r="AN849" t="s">
        <v>7439</v>
      </c>
      <c r="AO849">
        <v>22000</v>
      </c>
      <c r="AQ849" t="s">
        <v>46359</v>
      </c>
      <c r="AR849" t="s">
        <v>46379</v>
      </c>
      <c r="AS849" t="s">
        <v>46499</v>
      </c>
      <c r="AT849" t="s">
        <v>46637</v>
      </c>
      <c r="AU849">
        <v>14.8</v>
      </c>
      <c r="AV849" t="s">
        <v>411</v>
      </c>
      <c r="AW849" t="s">
        <v>208</v>
      </c>
    </row>
    <row r="850" spans="1:50">
      <c r="A850" s="1">
        <f>HYPERLINK("https://lsnyc.legalserver.org/matter/dynamic-profile/view/1874445","18-1874445")</f>
        <v>0</v>
      </c>
      <c r="B850" t="s">
        <v>64</v>
      </c>
      <c r="C850" t="s">
        <v>341</v>
      </c>
      <c r="D850" t="s">
        <v>498</v>
      </c>
      <c r="E850" t="s">
        <v>646</v>
      </c>
      <c r="F850" t="s">
        <v>1479</v>
      </c>
      <c r="G850" t="s">
        <v>5648</v>
      </c>
      <c r="H850" t="s">
        <v>10397</v>
      </c>
      <c r="I850" t="s">
        <v>17539</v>
      </c>
      <c r="J850" t="s">
        <v>18892</v>
      </c>
      <c r="K850">
        <v>10451</v>
      </c>
      <c r="L850" t="s">
        <v>18958</v>
      </c>
      <c r="M850" t="s">
        <v>18958</v>
      </c>
      <c r="N850" t="s">
        <v>19636</v>
      </c>
      <c r="O850" t="s">
        <v>26523</v>
      </c>
      <c r="P850" t="s">
        <v>26560</v>
      </c>
      <c r="Q850" t="s">
        <v>26568</v>
      </c>
      <c r="R850" t="s">
        <v>26577</v>
      </c>
      <c r="S850" t="s">
        <v>18959</v>
      </c>
      <c r="U850" t="s">
        <v>26604</v>
      </c>
      <c r="V850" t="s">
        <v>26610</v>
      </c>
      <c r="W850" t="s">
        <v>498</v>
      </c>
      <c r="X850">
        <v>773.4299999999999</v>
      </c>
      <c r="Y850" t="s">
        <v>26650</v>
      </c>
      <c r="Z850" t="s">
        <v>26664</v>
      </c>
      <c r="AA850" t="s">
        <v>26678</v>
      </c>
      <c r="AB850" t="s">
        <v>27507</v>
      </c>
      <c r="AD850" t="s">
        <v>37565</v>
      </c>
      <c r="AE850">
        <v>0</v>
      </c>
      <c r="AF850" t="s">
        <v>45553</v>
      </c>
      <c r="AG850" t="s">
        <v>19330</v>
      </c>
      <c r="AH850">
        <v>3</v>
      </c>
      <c r="AI850">
        <v>1</v>
      </c>
      <c r="AJ850">
        <v>0</v>
      </c>
      <c r="AK850">
        <v>80.26000000000001</v>
      </c>
      <c r="AN850" t="s">
        <v>7439</v>
      </c>
      <c r="AO850">
        <v>9744</v>
      </c>
      <c r="AQ850" t="s">
        <v>46362</v>
      </c>
      <c r="AR850" t="s">
        <v>26530</v>
      </c>
      <c r="AS850" t="s">
        <v>46499</v>
      </c>
      <c r="AT850" t="s">
        <v>46518</v>
      </c>
      <c r="AU850">
        <v>8.300000000000001</v>
      </c>
      <c r="AV850" t="s">
        <v>427</v>
      </c>
      <c r="AW850" t="s">
        <v>46831</v>
      </c>
    </row>
    <row r="851" spans="1:50">
      <c r="A851" s="1">
        <f>HYPERLINK("https://lsnyc.legalserver.org/matter/dynamic-profile/view/1874416","18-1874416")</f>
        <v>0</v>
      </c>
      <c r="B851" t="s">
        <v>103</v>
      </c>
      <c r="C851" t="s">
        <v>341</v>
      </c>
      <c r="D851" t="s">
        <v>498</v>
      </c>
      <c r="E851" t="s">
        <v>670</v>
      </c>
      <c r="F851" t="s">
        <v>1480</v>
      </c>
      <c r="G851" t="s">
        <v>5649</v>
      </c>
      <c r="H851" t="s">
        <v>9912</v>
      </c>
      <c r="I851" t="s">
        <v>17348</v>
      </c>
      <c r="J851" t="s">
        <v>18902</v>
      </c>
      <c r="K851">
        <v>10314</v>
      </c>
      <c r="L851" t="s">
        <v>18958</v>
      </c>
      <c r="M851" t="s">
        <v>18958</v>
      </c>
      <c r="N851" t="s">
        <v>19637</v>
      </c>
      <c r="O851" t="s">
        <v>26523</v>
      </c>
      <c r="P851" t="s">
        <v>26560</v>
      </c>
      <c r="Q851" t="s">
        <v>26568</v>
      </c>
      <c r="R851" t="s">
        <v>26590</v>
      </c>
      <c r="S851" t="s">
        <v>18959</v>
      </c>
      <c r="U851" t="s">
        <v>26605</v>
      </c>
      <c r="V851" t="s">
        <v>26610</v>
      </c>
      <c r="W851" t="s">
        <v>498</v>
      </c>
      <c r="X851">
        <v>1319</v>
      </c>
      <c r="Y851" t="s">
        <v>26654</v>
      </c>
      <c r="Z851" t="s">
        <v>26656</v>
      </c>
      <c r="AA851" t="s">
        <v>26679</v>
      </c>
      <c r="AB851" t="s">
        <v>27508</v>
      </c>
      <c r="AD851" t="s">
        <v>37566</v>
      </c>
      <c r="AE851">
        <v>72</v>
      </c>
      <c r="AF851" t="s">
        <v>45549</v>
      </c>
      <c r="AG851" t="s">
        <v>19330</v>
      </c>
      <c r="AH851">
        <v>21</v>
      </c>
      <c r="AI851">
        <v>1</v>
      </c>
      <c r="AJ851">
        <v>0</v>
      </c>
      <c r="AK851">
        <v>49.69</v>
      </c>
      <c r="AN851" t="s">
        <v>7439</v>
      </c>
      <c r="AO851">
        <v>6032</v>
      </c>
      <c r="AQ851" t="s">
        <v>46362</v>
      </c>
      <c r="AR851" t="s">
        <v>46381</v>
      </c>
      <c r="AS851" t="s">
        <v>46499</v>
      </c>
      <c r="AT851" t="s">
        <v>46585</v>
      </c>
      <c r="AU851">
        <v>14.65</v>
      </c>
      <c r="AV851" t="s">
        <v>670</v>
      </c>
      <c r="AW851" t="s">
        <v>190</v>
      </c>
    </row>
    <row r="852" spans="1:50">
      <c r="A852" s="1">
        <f>HYPERLINK("https://lsnyc.legalserver.org/matter/dynamic-profile/view/1874491","18-1874491")</f>
        <v>0</v>
      </c>
      <c r="B852" t="s">
        <v>112</v>
      </c>
      <c r="C852" t="s">
        <v>341</v>
      </c>
      <c r="D852" t="s">
        <v>498</v>
      </c>
      <c r="E852" t="s">
        <v>632</v>
      </c>
      <c r="F852" t="s">
        <v>1062</v>
      </c>
      <c r="G852" t="s">
        <v>5639</v>
      </c>
      <c r="H852" t="s">
        <v>10398</v>
      </c>
      <c r="I852" t="s">
        <v>17540</v>
      </c>
      <c r="J852" t="s">
        <v>18901</v>
      </c>
      <c r="K852">
        <v>11434</v>
      </c>
      <c r="L852" t="s">
        <v>18958</v>
      </c>
      <c r="M852" t="s">
        <v>18958</v>
      </c>
      <c r="N852" t="s">
        <v>19638</v>
      </c>
      <c r="O852" t="s">
        <v>26524</v>
      </c>
      <c r="P852" t="s">
        <v>26560</v>
      </c>
      <c r="Q852" t="s">
        <v>26575</v>
      </c>
      <c r="R852" t="s">
        <v>26585</v>
      </c>
      <c r="S852" t="s">
        <v>18959</v>
      </c>
      <c r="U852" t="s">
        <v>26604</v>
      </c>
      <c r="V852" t="s">
        <v>26611</v>
      </c>
      <c r="W852" t="s">
        <v>498</v>
      </c>
      <c r="X852">
        <v>1800</v>
      </c>
      <c r="Y852" t="s">
        <v>26653</v>
      </c>
      <c r="Z852" t="s">
        <v>26664</v>
      </c>
      <c r="AA852" t="s">
        <v>26678</v>
      </c>
      <c r="AB852" t="s">
        <v>27509</v>
      </c>
      <c r="AD852" t="s">
        <v>37567</v>
      </c>
      <c r="AE852">
        <v>293</v>
      </c>
      <c r="AF852" t="s">
        <v>45550</v>
      </c>
      <c r="AG852" t="s">
        <v>19330</v>
      </c>
      <c r="AH852">
        <v>3</v>
      </c>
      <c r="AI852">
        <v>3</v>
      </c>
      <c r="AJ852">
        <v>1</v>
      </c>
      <c r="AK852">
        <v>140.88</v>
      </c>
      <c r="AN852" t="s">
        <v>7439</v>
      </c>
      <c r="AO852">
        <v>35360</v>
      </c>
      <c r="AQ852" t="s">
        <v>46365</v>
      </c>
      <c r="AR852" t="s">
        <v>46380</v>
      </c>
      <c r="AS852" t="s">
        <v>46499</v>
      </c>
      <c r="AT852" t="s">
        <v>46541</v>
      </c>
      <c r="AU852">
        <v>14.25</v>
      </c>
      <c r="AV852" t="s">
        <v>624</v>
      </c>
      <c r="AW852" t="s">
        <v>161</v>
      </c>
    </row>
    <row r="853" spans="1:50">
      <c r="A853" s="1">
        <f>HYPERLINK("https://lsnyc.legalserver.org/matter/dynamic-profile/view/1874400","18-1874400")</f>
        <v>0</v>
      </c>
      <c r="B853" t="s">
        <v>91</v>
      </c>
      <c r="C853" t="s">
        <v>341</v>
      </c>
      <c r="D853" t="s">
        <v>498</v>
      </c>
      <c r="E853" t="s">
        <v>692</v>
      </c>
      <c r="F853" t="s">
        <v>1206</v>
      </c>
      <c r="G853" t="s">
        <v>5650</v>
      </c>
      <c r="H853" t="s">
        <v>10399</v>
      </c>
      <c r="J853" t="s">
        <v>18898</v>
      </c>
      <c r="K853">
        <v>11691</v>
      </c>
      <c r="L853" t="s">
        <v>18958</v>
      </c>
      <c r="M853" t="s">
        <v>18958</v>
      </c>
      <c r="N853" t="s">
        <v>19639</v>
      </c>
      <c r="O853" t="s">
        <v>26524</v>
      </c>
      <c r="P853" t="s">
        <v>26564</v>
      </c>
      <c r="Q853" t="s">
        <v>26570</v>
      </c>
      <c r="R853" t="s">
        <v>26578</v>
      </c>
      <c r="S853" t="s">
        <v>18959</v>
      </c>
      <c r="U853" t="s">
        <v>26604</v>
      </c>
      <c r="V853" t="s">
        <v>26610</v>
      </c>
      <c r="W853" t="s">
        <v>498</v>
      </c>
      <c r="X853">
        <v>800</v>
      </c>
      <c r="Y853" t="s">
        <v>26653</v>
      </c>
      <c r="Z853" t="s">
        <v>26664</v>
      </c>
      <c r="AA853" t="s">
        <v>26683</v>
      </c>
      <c r="AB853" t="s">
        <v>27510</v>
      </c>
      <c r="AC853" t="s">
        <v>34764</v>
      </c>
      <c r="AD853" t="s">
        <v>37568</v>
      </c>
      <c r="AE853">
        <v>2</v>
      </c>
      <c r="AF853" t="s">
        <v>45547</v>
      </c>
      <c r="AG853" t="s">
        <v>45562</v>
      </c>
      <c r="AH853">
        <v>4</v>
      </c>
      <c r="AI853">
        <v>1</v>
      </c>
      <c r="AJ853">
        <v>0</v>
      </c>
      <c r="AK853">
        <v>74.14</v>
      </c>
      <c r="AN853" t="s">
        <v>45581</v>
      </c>
      <c r="AO853">
        <v>9000</v>
      </c>
      <c r="AU853">
        <v>1.7</v>
      </c>
      <c r="AV853" t="s">
        <v>692</v>
      </c>
      <c r="AW853" t="s">
        <v>161</v>
      </c>
    </row>
    <row r="854" spans="1:50">
      <c r="A854" s="1">
        <f>HYPERLINK("https://lsnyc.legalserver.org/matter/dynamic-profile/view/1874440","18-1874440")</f>
        <v>0</v>
      </c>
      <c r="B854" t="s">
        <v>91</v>
      </c>
      <c r="C854" t="s">
        <v>341</v>
      </c>
      <c r="D854" t="s">
        <v>498</v>
      </c>
      <c r="E854" t="s">
        <v>530</v>
      </c>
      <c r="F854" t="s">
        <v>1481</v>
      </c>
      <c r="G854" t="s">
        <v>5322</v>
      </c>
      <c r="H854" t="s">
        <v>10400</v>
      </c>
      <c r="I854" t="s">
        <v>17541</v>
      </c>
      <c r="J854" t="s">
        <v>18901</v>
      </c>
      <c r="K854">
        <v>11435</v>
      </c>
      <c r="L854" t="s">
        <v>18958</v>
      </c>
      <c r="M854" t="s">
        <v>18958</v>
      </c>
      <c r="N854" t="s">
        <v>19640</v>
      </c>
      <c r="O854" t="s">
        <v>26523</v>
      </c>
      <c r="P854" t="s">
        <v>26564</v>
      </c>
      <c r="Q854" t="s">
        <v>26570</v>
      </c>
      <c r="R854" t="s">
        <v>26584</v>
      </c>
      <c r="S854" t="s">
        <v>18959</v>
      </c>
      <c r="U854" t="s">
        <v>26604</v>
      </c>
      <c r="V854" t="s">
        <v>26610</v>
      </c>
      <c r="W854" t="s">
        <v>498</v>
      </c>
      <c r="X854">
        <v>841</v>
      </c>
      <c r="Y854" t="s">
        <v>26653</v>
      </c>
      <c r="Z854" t="s">
        <v>26664</v>
      </c>
      <c r="AA854" t="s">
        <v>26683</v>
      </c>
      <c r="AB854" t="s">
        <v>27511</v>
      </c>
      <c r="AC854" t="s">
        <v>34765</v>
      </c>
      <c r="AD854" t="s">
        <v>37569</v>
      </c>
      <c r="AE854">
        <v>17</v>
      </c>
      <c r="AF854" t="s">
        <v>45541</v>
      </c>
      <c r="AG854" t="s">
        <v>45559</v>
      </c>
      <c r="AH854">
        <v>37</v>
      </c>
      <c r="AI854">
        <v>2</v>
      </c>
      <c r="AJ854">
        <v>0</v>
      </c>
      <c r="AK854">
        <v>39.51</v>
      </c>
      <c r="AN854" t="s">
        <v>45581</v>
      </c>
      <c r="AO854">
        <v>6504</v>
      </c>
      <c r="AU854">
        <v>2.5</v>
      </c>
      <c r="AV854" t="s">
        <v>530</v>
      </c>
      <c r="AW854" t="s">
        <v>161</v>
      </c>
    </row>
    <row r="855" spans="1:50">
      <c r="A855" s="1">
        <f>HYPERLINK("https://lsnyc.legalserver.org/matter/dynamic-profile/view/1874390","18-1874390")</f>
        <v>0</v>
      </c>
      <c r="B855" t="s">
        <v>202</v>
      </c>
      <c r="C855" t="s">
        <v>340</v>
      </c>
      <c r="D855" t="s">
        <v>498</v>
      </c>
      <c r="F855" t="s">
        <v>1482</v>
      </c>
      <c r="G855" t="s">
        <v>5164</v>
      </c>
      <c r="H855" t="s">
        <v>10401</v>
      </c>
      <c r="I855" t="s">
        <v>17541</v>
      </c>
      <c r="J855" t="s">
        <v>18894</v>
      </c>
      <c r="K855">
        <v>11225</v>
      </c>
      <c r="L855" t="s">
        <v>18958</v>
      </c>
      <c r="M855" t="s">
        <v>18958</v>
      </c>
      <c r="N855" t="s">
        <v>19641</v>
      </c>
      <c r="O855" t="s">
        <v>26524</v>
      </c>
      <c r="P855" t="s">
        <v>26560</v>
      </c>
      <c r="R855" t="s">
        <v>26588</v>
      </c>
      <c r="U855" t="s">
        <v>26604</v>
      </c>
      <c r="V855" t="s">
        <v>26610</v>
      </c>
      <c r="W855" t="s">
        <v>498</v>
      </c>
      <c r="X855">
        <v>2000</v>
      </c>
      <c r="Y855" t="s">
        <v>26652</v>
      </c>
      <c r="Z855" t="s">
        <v>26669</v>
      </c>
      <c r="AB855" t="s">
        <v>27512</v>
      </c>
      <c r="AD855" t="s">
        <v>37570</v>
      </c>
      <c r="AE855">
        <v>24</v>
      </c>
      <c r="AF855" t="s">
        <v>45541</v>
      </c>
      <c r="AG855" t="s">
        <v>19330</v>
      </c>
      <c r="AH855">
        <v>10</v>
      </c>
      <c r="AI855">
        <v>3</v>
      </c>
      <c r="AJ855">
        <v>1</v>
      </c>
      <c r="AK855">
        <v>124.3</v>
      </c>
      <c r="AN855" t="s">
        <v>7439</v>
      </c>
      <c r="AO855">
        <v>31200</v>
      </c>
      <c r="AQ855" t="s">
        <v>46359</v>
      </c>
      <c r="AR855" t="s">
        <v>26530</v>
      </c>
      <c r="AU855">
        <v>83.55</v>
      </c>
      <c r="AV855" t="s">
        <v>834</v>
      </c>
      <c r="AW855" t="s">
        <v>281</v>
      </c>
    </row>
    <row r="856" spans="1:50">
      <c r="A856" s="1">
        <f>HYPERLINK("https://lsnyc.legalserver.org/matter/dynamic-profile/view/1874507","18-1874507")</f>
        <v>0</v>
      </c>
      <c r="B856" t="s">
        <v>56</v>
      </c>
      <c r="C856" t="s">
        <v>340</v>
      </c>
      <c r="D856" t="s">
        <v>498</v>
      </c>
      <c r="F856" t="s">
        <v>933</v>
      </c>
      <c r="G856" t="s">
        <v>5651</v>
      </c>
      <c r="H856" t="s">
        <v>10402</v>
      </c>
      <c r="I856" t="s">
        <v>17542</v>
      </c>
      <c r="J856" t="s">
        <v>18892</v>
      </c>
      <c r="K856">
        <v>10473</v>
      </c>
      <c r="L856" t="s">
        <v>18958</v>
      </c>
      <c r="M856" t="s">
        <v>18958</v>
      </c>
      <c r="N856" t="s">
        <v>19642</v>
      </c>
      <c r="O856" t="s">
        <v>26523</v>
      </c>
      <c r="P856" t="s">
        <v>26560</v>
      </c>
      <c r="R856" t="s">
        <v>26577</v>
      </c>
      <c r="U856" t="s">
        <v>26604</v>
      </c>
      <c r="V856" t="s">
        <v>26610</v>
      </c>
      <c r="W856" t="s">
        <v>498</v>
      </c>
      <c r="X856">
        <v>696</v>
      </c>
      <c r="Y856" t="s">
        <v>26650</v>
      </c>
      <c r="Z856" t="s">
        <v>26659</v>
      </c>
      <c r="AB856" t="s">
        <v>27513</v>
      </c>
      <c r="AD856" t="s">
        <v>37571</v>
      </c>
      <c r="AE856">
        <v>0</v>
      </c>
      <c r="AF856" t="s">
        <v>45541</v>
      </c>
      <c r="AG856" t="s">
        <v>19330</v>
      </c>
      <c r="AH856">
        <v>40</v>
      </c>
      <c r="AI856">
        <v>2</v>
      </c>
      <c r="AJ856">
        <v>0</v>
      </c>
      <c r="AK856">
        <v>0</v>
      </c>
      <c r="AN856" t="s">
        <v>45581</v>
      </c>
      <c r="AO856">
        <v>0</v>
      </c>
      <c r="AU856">
        <v>23.5</v>
      </c>
      <c r="AV856" t="s">
        <v>763</v>
      </c>
      <c r="AW856" t="s">
        <v>46836</v>
      </c>
    </row>
    <row r="857" spans="1:50">
      <c r="A857" s="1">
        <f>HYPERLINK("https://lsnyc.legalserver.org/matter/dynamic-profile/view/1874497","18-1874497")</f>
        <v>0</v>
      </c>
      <c r="B857" t="s">
        <v>56</v>
      </c>
      <c r="C857" t="s">
        <v>340</v>
      </c>
      <c r="D857" t="s">
        <v>498</v>
      </c>
      <c r="F857" t="s">
        <v>1483</v>
      </c>
      <c r="G857" t="s">
        <v>5078</v>
      </c>
      <c r="H857" t="s">
        <v>10403</v>
      </c>
      <c r="I857" t="s">
        <v>17316</v>
      </c>
      <c r="J857" t="s">
        <v>18892</v>
      </c>
      <c r="K857">
        <v>10455</v>
      </c>
      <c r="L857" t="s">
        <v>18958</v>
      </c>
      <c r="M857" t="s">
        <v>18958</v>
      </c>
      <c r="N857" t="s">
        <v>19643</v>
      </c>
      <c r="O857" t="s">
        <v>26523</v>
      </c>
      <c r="P857" t="s">
        <v>26560</v>
      </c>
      <c r="R857" t="s">
        <v>26577</v>
      </c>
      <c r="S857" t="s">
        <v>18959</v>
      </c>
      <c r="U857" t="s">
        <v>26604</v>
      </c>
      <c r="V857" t="s">
        <v>26612</v>
      </c>
      <c r="W857" t="s">
        <v>498</v>
      </c>
      <c r="X857">
        <v>1233</v>
      </c>
      <c r="Y857" t="s">
        <v>26650</v>
      </c>
      <c r="Z857" t="s">
        <v>26668</v>
      </c>
      <c r="AB857" t="s">
        <v>27514</v>
      </c>
      <c r="AD857" t="s">
        <v>37572</v>
      </c>
      <c r="AE857">
        <v>15</v>
      </c>
      <c r="AF857" t="s">
        <v>45541</v>
      </c>
      <c r="AG857" t="s">
        <v>45556</v>
      </c>
      <c r="AH857">
        <v>7</v>
      </c>
      <c r="AI857">
        <v>1</v>
      </c>
      <c r="AJ857">
        <v>0</v>
      </c>
      <c r="AK857">
        <v>0</v>
      </c>
      <c r="AN857" t="s">
        <v>7439</v>
      </c>
      <c r="AO857">
        <v>0</v>
      </c>
      <c r="AU857">
        <v>13.28</v>
      </c>
      <c r="AV857" t="s">
        <v>788</v>
      </c>
      <c r="AW857" t="s">
        <v>46860</v>
      </c>
    </row>
    <row r="858" spans="1:50">
      <c r="A858" s="1">
        <f>HYPERLINK("https://lsnyc.legalserver.org/matter/dynamic-profile/view/1874480","18-1874480")</f>
        <v>0</v>
      </c>
      <c r="B858" t="s">
        <v>212</v>
      </c>
      <c r="C858" t="s">
        <v>340</v>
      </c>
      <c r="D858" t="s">
        <v>498</v>
      </c>
      <c r="F858" t="s">
        <v>1484</v>
      </c>
      <c r="G858" t="s">
        <v>5385</v>
      </c>
      <c r="H858" t="s">
        <v>10051</v>
      </c>
      <c r="I858">
        <v>1110</v>
      </c>
      <c r="J858" t="s">
        <v>18905</v>
      </c>
      <c r="K858">
        <v>11692</v>
      </c>
      <c r="L858" t="s">
        <v>18958</v>
      </c>
      <c r="M858" t="s">
        <v>18958</v>
      </c>
      <c r="N858" t="s">
        <v>19644</v>
      </c>
      <c r="O858" t="s">
        <v>26523</v>
      </c>
      <c r="P858" t="s">
        <v>26560</v>
      </c>
      <c r="R858" t="s">
        <v>26578</v>
      </c>
      <c r="S858" t="s">
        <v>18959</v>
      </c>
      <c r="U858" t="s">
        <v>26604</v>
      </c>
      <c r="V858" t="s">
        <v>26610</v>
      </c>
      <c r="W858" t="s">
        <v>498</v>
      </c>
      <c r="X858">
        <v>1500</v>
      </c>
      <c r="Y858" t="s">
        <v>26653</v>
      </c>
      <c r="Z858" t="s">
        <v>26664</v>
      </c>
      <c r="AB858" t="s">
        <v>27515</v>
      </c>
      <c r="AC858" t="s">
        <v>34766</v>
      </c>
      <c r="AD858" t="s">
        <v>37573</v>
      </c>
      <c r="AE858">
        <v>217</v>
      </c>
      <c r="AF858" t="s">
        <v>20460</v>
      </c>
      <c r="AG858" t="s">
        <v>45562</v>
      </c>
      <c r="AH858">
        <v>3</v>
      </c>
      <c r="AI858">
        <v>2</v>
      </c>
      <c r="AJ858">
        <v>2</v>
      </c>
      <c r="AK858">
        <v>35.86</v>
      </c>
      <c r="AN858" t="s">
        <v>7439</v>
      </c>
      <c r="AO858">
        <v>9000</v>
      </c>
      <c r="AQ858" t="s">
        <v>46368</v>
      </c>
      <c r="AR858" t="s">
        <v>46422</v>
      </c>
      <c r="AS858" t="s">
        <v>46499</v>
      </c>
      <c r="AT858" t="s">
        <v>46621</v>
      </c>
      <c r="AU858">
        <v>12.75</v>
      </c>
      <c r="AV858" t="s">
        <v>784</v>
      </c>
      <c r="AW858" t="s">
        <v>161</v>
      </c>
    </row>
    <row r="859" spans="1:50">
      <c r="A859" s="1">
        <f>HYPERLINK("https://lsnyc.legalserver.org/matter/dynamic-profile/view/1874396","18-1874396")</f>
        <v>0</v>
      </c>
      <c r="B859" t="s">
        <v>74</v>
      </c>
      <c r="C859" t="s">
        <v>340</v>
      </c>
      <c r="D859" t="s">
        <v>498</v>
      </c>
      <c r="F859" t="s">
        <v>1485</v>
      </c>
      <c r="G859" t="s">
        <v>5652</v>
      </c>
      <c r="H859" t="s">
        <v>10375</v>
      </c>
      <c r="I859" t="s">
        <v>17275</v>
      </c>
      <c r="J859" t="s">
        <v>18893</v>
      </c>
      <c r="K859">
        <v>10032</v>
      </c>
      <c r="L859" t="s">
        <v>18958</v>
      </c>
      <c r="M859" t="s">
        <v>18958</v>
      </c>
      <c r="O859" t="s">
        <v>26524</v>
      </c>
      <c r="P859" t="s">
        <v>26560</v>
      </c>
      <c r="R859" t="s">
        <v>26578</v>
      </c>
      <c r="S859" t="s">
        <v>18959</v>
      </c>
      <c r="U859" t="s">
        <v>26604</v>
      </c>
      <c r="W859" t="s">
        <v>498</v>
      </c>
      <c r="X859">
        <v>2116.65</v>
      </c>
      <c r="Y859" t="s">
        <v>26651</v>
      </c>
      <c r="Z859" t="s">
        <v>26661</v>
      </c>
      <c r="AB859" t="s">
        <v>27516</v>
      </c>
      <c r="AD859" t="s">
        <v>37574</v>
      </c>
      <c r="AE859">
        <v>115</v>
      </c>
      <c r="AF859" t="s">
        <v>45541</v>
      </c>
      <c r="AG859" t="s">
        <v>19330</v>
      </c>
      <c r="AH859">
        <v>7</v>
      </c>
      <c r="AI859">
        <v>2</v>
      </c>
      <c r="AJ859">
        <v>0</v>
      </c>
      <c r="AK859">
        <v>178.54</v>
      </c>
      <c r="AN859" t="s">
        <v>45581</v>
      </c>
      <c r="AO859">
        <v>29388</v>
      </c>
      <c r="AU859">
        <v>13.71</v>
      </c>
      <c r="AV859" t="s">
        <v>832</v>
      </c>
      <c r="AW859" t="s">
        <v>46840</v>
      </c>
    </row>
    <row r="860" spans="1:50">
      <c r="A860" s="1">
        <f>HYPERLINK("https://lsnyc.legalserver.org/matter/dynamic-profile/view/1874436","18-1874436")</f>
        <v>0</v>
      </c>
      <c r="B860" t="s">
        <v>213</v>
      </c>
      <c r="C860" t="s">
        <v>340</v>
      </c>
      <c r="D860" t="s">
        <v>498</v>
      </c>
      <c r="F860" t="s">
        <v>886</v>
      </c>
      <c r="G860" t="s">
        <v>5653</v>
      </c>
      <c r="H860" t="s">
        <v>10404</v>
      </c>
      <c r="I860" t="s">
        <v>17339</v>
      </c>
      <c r="J860" t="s">
        <v>18892</v>
      </c>
      <c r="K860">
        <v>10468</v>
      </c>
      <c r="L860" t="s">
        <v>18958</v>
      </c>
      <c r="M860" t="s">
        <v>18958</v>
      </c>
      <c r="N860" t="s">
        <v>19645</v>
      </c>
      <c r="O860" t="s">
        <v>26523</v>
      </c>
      <c r="P860" t="s">
        <v>26560</v>
      </c>
      <c r="R860" t="s">
        <v>26579</v>
      </c>
      <c r="S860" t="s">
        <v>18959</v>
      </c>
      <c r="U860" t="s">
        <v>26604</v>
      </c>
      <c r="V860" t="s">
        <v>26610</v>
      </c>
      <c r="W860" t="s">
        <v>498</v>
      </c>
      <c r="X860">
        <v>830</v>
      </c>
      <c r="Y860" t="s">
        <v>26650</v>
      </c>
      <c r="Z860" t="s">
        <v>26664</v>
      </c>
      <c r="AB860" t="s">
        <v>27517</v>
      </c>
      <c r="AC860" t="s">
        <v>34767</v>
      </c>
      <c r="AD860" t="s">
        <v>37575</v>
      </c>
      <c r="AE860">
        <v>84</v>
      </c>
      <c r="AF860" t="s">
        <v>45541</v>
      </c>
      <c r="AG860" t="s">
        <v>45559</v>
      </c>
      <c r="AH860">
        <v>43</v>
      </c>
      <c r="AI860">
        <v>1</v>
      </c>
      <c r="AJ860">
        <v>0</v>
      </c>
      <c r="AK860">
        <v>138.39</v>
      </c>
      <c r="AN860" t="s">
        <v>7439</v>
      </c>
      <c r="AO860">
        <v>16800</v>
      </c>
      <c r="AU860">
        <v>17.15</v>
      </c>
      <c r="AV860" t="s">
        <v>835</v>
      </c>
      <c r="AW860" t="s">
        <v>46832</v>
      </c>
    </row>
    <row r="861" spans="1:50">
      <c r="A861" s="1">
        <f>HYPERLINK("https://lsnyc.legalserver.org/matter/dynamic-profile/view/1874432","18-1874432")</f>
        <v>0</v>
      </c>
      <c r="B861" t="s">
        <v>91</v>
      </c>
      <c r="C861" t="s">
        <v>340</v>
      </c>
      <c r="D861" t="s">
        <v>498</v>
      </c>
      <c r="F861" t="s">
        <v>1486</v>
      </c>
      <c r="G861" t="s">
        <v>5654</v>
      </c>
      <c r="H861" t="s">
        <v>10405</v>
      </c>
      <c r="I861" t="s">
        <v>17416</v>
      </c>
      <c r="J861" t="s">
        <v>18898</v>
      </c>
      <c r="K861">
        <v>11692</v>
      </c>
      <c r="L861" t="s">
        <v>18958</v>
      </c>
      <c r="M861" t="s">
        <v>18958</v>
      </c>
      <c r="N861" t="s">
        <v>19646</v>
      </c>
      <c r="O861" t="s">
        <v>26523</v>
      </c>
      <c r="P861" t="s">
        <v>26564</v>
      </c>
      <c r="R861" t="s">
        <v>26578</v>
      </c>
      <c r="S861" t="s">
        <v>18959</v>
      </c>
      <c r="U861" t="s">
        <v>26604</v>
      </c>
      <c r="V861" t="s">
        <v>26612</v>
      </c>
      <c r="W861" t="s">
        <v>498</v>
      </c>
      <c r="X861">
        <v>1930</v>
      </c>
      <c r="Y861" t="s">
        <v>26653</v>
      </c>
      <c r="Z861" t="s">
        <v>26664</v>
      </c>
      <c r="AB861" t="s">
        <v>27518</v>
      </c>
      <c r="AD861" t="s">
        <v>37576</v>
      </c>
      <c r="AE861">
        <v>3</v>
      </c>
      <c r="AF861" t="s">
        <v>20460</v>
      </c>
      <c r="AG861" t="s">
        <v>45556</v>
      </c>
      <c r="AH861">
        <v>5</v>
      </c>
      <c r="AI861">
        <v>3</v>
      </c>
      <c r="AJ861">
        <v>4</v>
      </c>
      <c r="AK861">
        <v>0</v>
      </c>
      <c r="AN861" t="s">
        <v>7439</v>
      </c>
      <c r="AO861">
        <v>0</v>
      </c>
      <c r="AU861">
        <v>0.1</v>
      </c>
      <c r="AV861" t="s">
        <v>779</v>
      </c>
      <c r="AW861" t="s">
        <v>91</v>
      </c>
    </row>
    <row r="862" spans="1:50">
      <c r="A862" s="1">
        <f>HYPERLINK("https://lsnyc.legalserver.org/matter/dynamic-profile/view/1874501","18-1874501")</f>
        <v>0</v>
      </c>
      <c r="B862" t="s">
        <v>103</v>
      </c>
      <c r="C862" t="s">
        <v>340</v>
      </c>
      <c r="D862" t="s">
        <v>461</v>
      </c>
      <c r="F862" t="s">
        <v>1480</v>
      </c>
      <c r="G862" t="s">
        <v>5649</v>
      </c>
      <c r="H862" t="s">
        <v>9912</v>
      </c>
      <c r="I862" t="s">
        <v>17348</v>
      </c>
      <c r="J862" t="s">
        <v>18902</v>
      </c>
      <c r="K862">
        <v>10314</v>
      </c>
      <c r="L862" t="s">
        <v>18958</v>
      </c>
      <c r="M862" t="s">
        <v>18958</v>
      </c>
      <c r="N862" t="s">
        <v>19647</v>
      </c>
      <c r="O862" t="s">
        <v>26525</v>
      </c>
      <c r="P862" t="s">
        <v>26561</v>
      </c>
      <c r="R862" t="s">
        <v>26590</v>
      </c>
      <c r="S862" t="s">
        <v>18959</v>
      </c>
      <c r="U862" t="s">
        <v>26605</v>
      </c>
      <c r="V862" t="s">
        <v>26610</v>
      </c>
      <c r="W862" t="s">
        <v>498</v>
      </c>
      <c r="X862">
        <v>1319</v>
      </c>
      <c r="Y862" t="s">
        <v>26654</v>
      </c>
      <c r="Z862" t="s">
        <v>26530</v>
      </c>
      <c r="AB862" t="s">
        <v>27508</v>
      </c>
      <c r="AD862" t="s">
        <v>37566</v>
      </c>
      <c r="AE862">
        <v>72</v>
      </c>
      <c r="AF862" t="s">
        <v>45549</v>
      </c>
      <c r="AG862" t="s">
        <v>19330</v>
      </c>
      <c r="AH862">
        <v>21</v>
      </c>
      <c r="AI862">
        <v>1</v>
      </c>
      <c r="AJ862">
        <v>0</v>
      </c>
      <c r="AK862">
        <v>135.35</v>
      </c>
      <c r="AN862" t="s">
        <v>7439</v>
      </c>
      <c r="AO862">
        <v>16432</v>
      </c>
      <c r="AU862">
        <v>14.4</v>
      </c>
      <c r="AV862" t="s">
        <v>836</v>
      </c>
      <c r="AW862" t="s">
        <v>190</v>
      </c>
      <c r="AX862" t="s">
        <v>46897</v>
      </c>
    </row>
    <row r="863" spans="1:50">
      <c r="A863" s="1">
        <f>HYPERLINK("https://lsnyc.legalserver.org/matter/dynamic-profile/view/1874441","18-1874441")</f>
        <v>0</v>
      </c>
      <c r="B863" t="s">
        <v>91</v>
      </c>
      <c r="C863" t="s">
        <v>341</v>
      </c>
      <c r="D863" t="s">
        <v>477</v>
      </c>
      <c r="E863" t="s">
        <v>530</v>
      </c>
      <c r="F863" t="s">
        <v>1487</v>
      </c>
      <c r="G863" t="s">
        <v>5515</v>
      </c>
      <c r="H863" t="s">
        <v>10406</v>
      </c>
      <c r="I863" t="s">
        <v>17316</v>
      </c>
      <c r="J863" t="s">
        <v>18901</v>
      </c>
      <c r="K863">
        <v>11435</v>
      </c>
      <c r="L863" t="s">
        <v>18958</v>
      </c>
      <c r="M863" t="s">
        <v>18958</v>
      </c>
      <c r="N863" t="s">
        <v>19648</v>
      </c>
      <c r="O863" t="s">
        <v>26523</v>
      </c>
      <c r="P863" t="s">
        <v>26560</v>
      </c>
      <c r="Q863" t="s">
        <v>26568</v>
      </c>
      <c r="R863" t="s">
        <v>26584</v>
      </c>
      <c r="S863" t="s">
        <v>18959</v>
      </c>
      <c r="U863" t="s">
        <v>26604</v>
      </c>
      <c r="V863" t="s">
        <v>26610</v>
      </c>
      <c r="W863" t="s">
        <v>498</v>
      </c>
      <c r="X863">
        <v>802.8</v>
      </c>
      <c r="Y863" t="s">
        <v>26653</v>
      </c>
      <c r="Z863" t="s">
        <v>26664</v>
      </c>
      <c r="AA863" t="s">
        <v>26678</v>
      </c>
      <c r="AB863" t="s">
        <v>27519</v>
      </c>
      <c r="AD863" t="s">
        <v>37577</v>
      </c>
      <c r="AE863">
        <v>20</v>
      </c>
      <c r="AF863" t="s">
        <v>45541</v>
      </c>
      <c r="AG863" t="s">
        <v>45559</v>
      </c>
      <c r="AH863">
        <v>45</v>
      </c>
      <c r="AI863">
        <v>1</v>
      </c>
      <c r="AJ863">
        <v>0</v>
      </c>
      <c r="AK863">
        <v>172.98</v>
      </c>
      <c r="AN863" t="s">
        <v>45581</v>
      </c>
      <c r="AO863">
        <v>21000</v>
      </c>
      <c r="AR863" t="s">
        <v>46379</v>
      </c>
      <c r="AS863" t="s">
        <v>46499</v>
      </c>
      <c r="AT863" t="s">
        <v>46547</v>
      </c>
      <c r="AU863">
        <v>1.6</v>
      </c>
      <c r="AV863" t="s">
        <v>530</v>
      </c>
      <c r="AW863" t="s">
        <v>91</v>
      </c>
    </row>
    <row r="864" spans="1:50">
      <c r="A864" s="1">
        <f>HYPERLINK("https://lsnyc.legalserver.org/matter/dynamic-profile/view/1855354","18-1855354")</f>
        <v>0</v>
      </c>
      <c r="B864" t="s">
        <v>124</v>
      </c>
      <c r="C864" t="s">
        <v>341</v>
      </c>
      <c r="D864" t="s">
        <v>503</v>
      </c>
      <c r="E864" t="s">
        <v>461</v>
      </c>
      <c r="F864" t="s">
        <v>1488</v>
      </c>
      <c r="G864" t="s">
        <v>5655</v>
      </c>
      <c r="H864" t="s">
        <v>10407</v>
      </c>
      <c r="I864" t="s">
        <v>17277</v>
      </c>
      <c r="J864" t="s">
        <v>18894</v>
      </c>
      <c r="K864">
        <v>11221</v>
      </c>
      <c r="L864" t="s">
        <v>18958</v>
      </c>
      <c r="M864" t="s">
        <v>18958</v>
      </c>
      <c r="N864" t="s">
        <v>19649</v>
      </c>
      <c r="O864" t="s">
        <v>26523</v>
      </c>
      <c r="Q864" t="s">
        <v>26568</v>
      </c>
      <c r="R864" t="s">
        <v>26588</v>
      </c>
      <c r="S864" t="s">
        <v>18958</v>
      </c>
      <c r="U864" t="s">
        <v>26604</v>
      </c>
      <c r="W864" t="s">
        <v>461</v>
      </c>
      <c r="X864">
        <v>987</v>
      </c>
      <c r="Y864" t="s">
        <v>26652</v>
      </c>
      <c r="AA864" t="s">
        <v>26678</v>
      </c>
      <c r="AB864" t="s">
        <v>27520</v>
      </c>
      <c r="AD864" t="s">
        <v>37578</v>
      </c>
      <c r="AE864">
        <v>15</v>
      </c>
      <c r="AF864" t="s">
        <v>45541</v>
      </c>
      <c r="AH864">
        <v>8</v>
      </c>
      <c r="AI864">
        <v>1</v>
      </c>
      <c r="AJ864">
        <v>0</v>
      </c>
      <c r="AK864">
        <v>110.25</v>
      </c>
      <c r="AN864" t="s">
        <v>7439</v>
      </c>
      <c r="AO864">
        <v>13296</v>
      </c>
      <c r="AQ864" t="s">
        <v>46359</v>
      </c>
      <c r="AR864" t="s">
        <v>46380</v>
      </c>
      <c r="AS864" t="s">
        <v>46499</v>
      </c>
      <c r="AT864" t="s">
        <v>46657</v>
      </c>
      <c r="AU864">
        <v>2.45</v>
      </c>
      <c r="AV864" t="s">
        <v>461</v>
      </c>
      <c r="AW864" t="s">
        <v>323</v>
      </c>
    </row>
    <row r="865" spans="1:50">
      <c r="A865" s="1">
        <f>HYPERLINK("https://lsnyc.legalserver.org/matter/dynamic-profile/view/1871938","18-1871938")</f>
        <v>0</v>
      </c>
      <c r="B865" t="s">
        <v>167</v>
      </c>
      <c r="C865" t="s">
        <v>341</v>
      </c>
      <c r="D865" t="s">
        <v>434</v>
      </c>
      <c r="E865" t="s">
        <v>658</v>
      </c>
      <c r="F865" t="s">
        <v>1489</v>
      </c>
      <c r="G865" t="s">
        <v>5656</v>
      </c>
      <c r="H865" t="s">
        <v>10408</v>
      </c>
      <c r="I865" t="s">
        <v>17543</v>
      </c>
      <c r="J865" t="s">
        <v>18907</v>
      </c>
      <c r="K865">
        <v>11377</v>
      </c>
      <c r="L865" t="s">
        <v>18958</v>
      </c>
      <c r="M865" t="s">
        <v>18958</v>
      </c>
      <c r="N865" t="s">
        <v>19650</v>
      </c>
      <c r="O865" t="s">
        <v>26523</v>
      </c>
      <c r="P865" t="s">
        <v>26560</v>
      </c>
      <c r="Q865" t="s">
        <v>26568</v>
      </c>
      <c r="R865" t="s">
        <v>26584</v>
      </c>
      <c r="S865" t="s">
        <v>18959</v>
      </c>
      <c r="U865" t="s">
        <v>26604</v>
      </c>
      <c r="V865" t="s">
        <v>26610</v>
      </c>
      <c r="W865" t="s">
        <v>461</v>
      </c>
      <c r="X865">
        <v>1051.69</v>
      </c>
      <c r="Y865" t="s">
        <v>26653</v>
      </c>
      <c r="Z865" t="s">
        <v>26664</v>
      </c>
      <c r="AA865" t="s">
        <v>26678</v>
      </c>
      <c r="AB865" t="s">
        <v>27521</v>
      </c>
      <c r="AD865" t="s">
        <v>37579</v>
      </c>
      <c r="AE865">
        <v>144</v>
      </c>
      <c r="AF865" t="s">
        <v>45547</v>
      </c>
      <c r="AG865" t="s">
        <v>19330</v>
      </c>
      <c r="AH865">
        <v>6</v>
      </c>
      <c r="AI865">
        <v>2</v>
      </c>
      <c r="AJ865">
        <v>2</v>
      </c>
      <c r="AK865">
        <v>199.2</v>
      </c>
      <c r="AO865">
        <v>50000</v>
      </c>
      <c r="AR865" t="s">
        <v>46381</v>
      </c>
      <c r="AS865" t="s">
        <v>46499</v>
      </c>
      <c r="AT865" t="s">
        <v>46658</v>
      </c>
      <c r="AU865">
        <v>7.75</v>
      </c>
      <c r="AV865" t="s">
        <v>578</v>
      </c>
      <c r="AW865" t="s">
        <v>122</v>
      </c>
    </row>
    <row r="866" spans="1:50">
      <c r="A866" s="1">
        <f>HYPERLINK("https://lsnyc.legalserver.org/matter/dynamic-profile/view/1873672","18-1873672")</f>
        <v>0</v>
      </c>
      <c r="B866" t="s">
        <v>54</v>
      </c>
      <c r="C866" t="s">
        <v>341</v>
      </c>
      <c r="D866" t="s">
        <v>464</v>
      </c>
      <c r="E866" t="s">
        <v>683</v>
      </c>
      <c r="F866" t="s">
        <v>1237</v>
      </c>
      <c r="G866" t="s">
        <v>5657</v>
      </c>
      <c r="H866" t="s">
        <v>10409</v>
      </c>
      <c r="I866" t="s">
        <v>17425</v>
      </c>
      <c r="J866" t="s">
        <v>18892</v>
      </c>
      <c r="K866">
        <v>10468</v>
      </c>
      <c r="L866" t="s">
        <v>18958</v>
      </c>
      <c r="M866" t="s">
        <v>18960</v>
      </c>
      <c r="N866" t="s">
        <v>19651</v>
      </c>
      <c r="O866" t="s">
        <v>26523</v>
      </c>
      <c r="P866" t="s">
        <v>26560</v>
      </c>
      <c r="Q866" t="s">
        <v>26568</v>
      </c>
      <c r="R866" t="s">
        <v>26579</v>
      </c>
      <c r="S866" t="s">
        <v>18959</v>
      </c>
      <c r="U866" t="s">
        <v>26604</v>
      </c>
      <c r="V866" t="s">
        <v>26612</v>
      </c>
      <c r="W866" t="s">
        <v>461</v>
      </c>
      <c r="X866">
        <v>945</v>
      </c>
      <c r="Y866" t="s">
        <v>26650</v>
      </c>
      <c r="Z866" t="s">
        <v>26656</v>
      </c>
      <c r="AA866" t="s">
        <v>26678</v>
      </c>
      <c r="AB866" t="s">
        <v>27522</v>
      </c>
      <c r="AC866" t="s">
        <v>34768</v>
      </c>
      <c r="AD866" t="s">
        <v>37580</v>
      </c>
      <c r="AE866">
        <v>47</v>
      </c>
      <c r="AF866" t="s">
        <v>20460</v>
      </c>
      <c r="AG866" t="s">
        <v>19330</v>
      </c>
      <c r="AH866">
        <v>1</v>
      </c>
      <c r="AI866">
        <v>1</v>
      </c>
      <c r="AJ866">
        <v>0</v>
      </c>
      <c r="AK866">
        <v>176.47</v>
      </c>
      <c r="AN866" t="s">
        <v>7439</v>
      </c>
      <c r="AO866">
        <v>21424</v>
      </c>
      <c r="AQ866" t="s">
        <v>46365</v>
      </c>
      <c r="AR866" t="s">
        <v>46399</v>
      </c>
      <c r="AS866" t="s">
        <v>46499</v>
      </c>
      <c r="AT866" t="s">
        <v>46585</v>
      </c>
      <c r="AU866">
        <v>7.8</v>
      </c>
      <c r="AV866" t="s">
        <v>683</v>
      </c>
      <c r="AW866" t="s">
        <v>46832</v>
      </c>
      <c r="AX866" t="s">
        <v>46897</v>
      </c>
    </row>
    <row r="867" spans="1:50">
      <c r="A867" s="1">
        <f>HYPERLINK("https://lsnyc.legalserver.org/matter/dynamic-profile/view/1874548","18-1874548")</f>
        <v>0</v>
      </c>
      <c r="B867" t="s">
        <v>164</v>
      </c>
      <c r="C867" t="s">
        <v>341</v>
      </c>
      <c r="D867" t="s">
        <v>461</v>
      </c>
      <c r="E867" t="s">
        <v>578</v>
      </c>
      <c r="F867" t="s">
        <v>900</v>
      </c>
      <c r="G867" t="s">
        <v>5447</v>
      </c>
      <c r="H867" t="s">
        <v>10410</v>
      </c>
      <c r="I867">
        <v>1</v>
      </c>
      <c r="J867" t="s">
        <v>18899</v>
      </c>
      <c r="K867">
        <v>11385</v>
      </c>
      <c r="L867" t="s">
        <v>18958</v>
      </c>
      <c r="M867" t="s">
        <v>18958</v>
      </c>
      <c r="N867" t="s">
        <v>19652</v>
      </c>
      <c r="O867" t="s">
        <v>26524</v>
      </c>
      <c r="P867" t="s">
        <v>26564</v>
      </c>
      <c r="Q867" t="s">
        <v>26570</v>
      </c>
      <c r="R867" t="s">
        <v>26585</v>
      </c>
      <c r="S867" t="s">
        <v>18959</v>
      </c>
      <c r="U867" t="s">
        <v>26604</v>
      </c>
      <c r="V867" t="s">
        <v>26610</v>
      </c>
      <c r="W867" t="s">
        <v>461</v>
      </c>
      <c r="X867">
        <v>1400</v>
      </c>
      <c r="Y867" t="s">
        <v>26653</v>
      </c>
      <c r="Z867" t="s">
        <v>26664</v>
      </c>
      <c r="AA867" t="s">
        <v>26683</v>
      </c>
      <c r="AB867" t="s">
        <v>27523</v>
      </c>
      <c r="AC867" t="s">
        <v>34769</v>
      </c>
      <c r="AD867" t="s">
        <v>37581</v>
      </c>
      <c r="AE867">
        <v>2</v>
      </c>
      <c r="AF867" t="s">
        <v>45547</v>
      </c>
      <c r="AG867" t="s">
        <v>19330</v>
      </c>
      <c r="AH867">
        <v>32</v>
      </c>
      <c r="AI867">
        <v>1</v>
      </c>
      <c r="AJ867">
        <v>0</v>
      </c>
      <c r="AK867">
        <v>132.95</v>
      </c>
      <c r="AN867" t="s">
        <v>7439</v>
      </c>
      <c r="AO867">
        <v>16140</v>
      </c>
      <c r="AU867">
        <v>1.85</v>
      </c>
      <c r="AV867" t="s">
        <v>572</v>
      </c>
      <c r="AW867" t="s">
        <v>208</v>
      </c>
    </row>
    <row r="868" spans="1:50">
      <c r="A868" s="1">
        <f>HYPERLINK("https://lsnyc.legalserver.org/matter/dynamic-profile/view/1874539","18-1874539")</f>
        <v>0</v>
      </c>
      <c r="B868" t="s">
        <v>165</v>
      </c>
      <c r="C868" t="s">
        <v>341</v>
      </c>
      <c r="D868" t="s">
        <v>461</v>
      </c>
      <c r="E868" t="s">
        <v>810</v>
      </c>
      <c r="F868" t="s">
        <v>998</v>
      </c>
      <c r="G868" t="s">
        <v>5199</v>
      </c>
      <c r="H868" t="s">
        <v>10411</v>
      </c>
      <c r="I868">
        <v>210</v>
      </c>
      <c r="J868" t="s">
        <v>18893</v>
      </c>
      <c r="K868">
        <v>10026</v>
      </c>
      <c r="L868" t="s">
        <v>18958</v>
      </c>
      <c r="M868" t="s">
        <v>18958</v>
      </c>
      <c r="N868" t="s">
        <v>19653</v>
      </c>
      <c r="O868" t="s">
        <v>26523</v>
      </c>
      <c r="P868" t="s">
        <v>26560</v>
      </c>
      <c r="Q868" t="s">
        <v>26568</v>
      </c>
      <c r="R868" t="s">
        <v>26580</v>
      </c>
      <c r="S868" t="s">
        <v>18959</v>
      </c>
      <c r="U868" t="s">
        <v>26604</v>
      </c>
      <c r="V868" t="s">
        <v>26609</v>
      </c>
      <c r="W868" t="s">
        <v>461</v>
      </c>
      <c r="X868">
        <v>567</v>
      </c>
      <c r="Y868" t="s">
        <v>26651</v>
      </c>
      <c r="Z868" t="s">
        <v>26664</v>
      </c>
      <c r="AA868" t="s">
        <v>26678</v>
      </c>
      <c r="AB868" t="s">
        <v>27524</v>
      </c>
      <c r="AD868" t="s">
        <v>37582</v>
      </c>
      <c r="AE868">
        <v>0</v>
      </c>
      <c r="AF868" t="s">
        <v>45552</v>
      </c>
      <c r="AG868" t="s">
        <v>19330</v>
      </c>
      <c r="AH868">
        <v>2</v>
      </c>
      <c r="AI868">
        <v>2</v>
      </c>
      <c r="AJ868">
        <v>2</v>
      </c>
      <c r="AK868">
        <v>0</v>
      </c>
      <c r="AN868" t="s">
        <v>45581</v>
      </c>
      <c r="AO868">
        <v>0</v>
      </c>
      <c r="AS868" t="s">
        <v>46499</v>
      </c>
      <c r="AT868" t="s">
        <v>46616</v>
      </c>
      <c r="AU868">
        <v>2.05</v>
      </c>
      <c r="AV868" t="s">
        <v>760</v>
      </c>
      <c r="AW868" t="s">
        <v>314</v>
      </c>
    </row>
    <row r="869" spans="1:50">
      <c r="A869" s="1">
        <f>HYPERLINK("https://lsnyc.legalserver.org/matter/dynamic-profile/view/1874549","18-1874549")</f>
        <v>0</v>
      </c>
      <c r="B869" t="s">
        <v>130</v>
      </c>
      <c r="C869" t="s">
        <v>341</v>
      </c>
      <c r="D869" t="s">
        <v>461</v>
      </c>
      <c r="E869" t="s">
        <v>505</v>
      </c>
      <c r="F869" t="s">
        <v>1111</v>
      </c>
      <c r="G869" t="s">
        <v>5658</v>
      </c>
      <c r="H869" t="s">
        <v>10412</v>
      </c>
      <c r="J869" t="s">
        <v>18901</v>
      </c>
      <c r="K869">
        <v>11434</v>
      </c>
      <c r="L869" t="s">
        <v>18958</v>
      </c>
      <c r="M869" t="s">
        <v>18958</v>
      </c>
      <c r="N869" t="s">
        <v>19654</v>
      </c>
      <c r="O869" t="s">
        <v>26524</v>
      </c>
      <c r="P869" t="s">
        <v>26560</v>
      </c>
      <c r="Q869" t="s">
        <v>26568</v>
      </c>
      <c r="R869" t="s">
        <v>26585</v>
      </c>
      <c r="S869" t="s">
        <v>18959</v>
      </c>
      <c r="U869" t="s">
        <v>26604</v>
      </c>
      <c r="V869" t="s">
        <v>26610</v>
      </c>
      <c r="W869" t="s">
        <v>461</v>
      </c>
      <c r="X869">
        <v>0</v>
      </c>
      <c r="Y869" t="s">
        <v>26653</v>
      </c>
      <c r="Z869" t="s">
        <v>26668</v>
      </c>
      <c r="AA869" t="s">
        <v>26678</v>
      </c>
      <c r="AB869" t="s">
        <v>27525</v>
      </c>
      <c r="AC869" t="s">
        <v>19045</v>
      </c>
      <c r="AD869" t="s">
        <v>37583</v>
      </c>
      <c r="AE869">
        <v>2</v>
      </c>
      <c r="AF869" t="s">
        <v>45547</v>
      </c>
      <c r="AG869" t="s">
        <v>19330</v>
      </c>
      <c r="AH869">
        <v>2</v>
      </c>
      <c r="AI869">
        <v>2</v>
      </c>
      <c r="AJ869">
        <v>1</v>
      </c>
      <c r="AK869">
        <v>144.37</v>
      </c>
      <c r="AN869" t="s">
        <v>7439</v>
      </c>
      <c r="AO869">
        <v>30000</v>
      </c>
      <c r="AQ869" t="s">
        <v>46359</v>
      </c>
      <c r="AR869" t="s">
        <v>46379</v>
      </c>
      <c r="AS869" t="s">
        <v>46499</v>
      </c>
      <c r="AT869" t="s">
        <v>46522</v>
      </c>
      <c r="AU869">
        <v>1.45</v>
      </c>
      <c r="AV869" t="s">
        <v>505</v>
      </c>
      <c r="AW869" t="s">
        <v>85</v>
      </c>
    </row>
    <row r="870" spans="1:50">
      <c r="A870" s="1">
        <f>HYPERLINK("https://lsnyc.legalserver.org/matter/dynamic-profile/view/1875092","18-1875092")</f>
        <v>0</v>
      </c>
      <c r="B870" t="s">
        <v>100</v>
      </c>
      <c r="C870" t="s">
        <v>341</v>
      </c>
      <c r="D870" t="s">
        <v>461</v>
      </c>
      <c r="E870" t="s">
        <v>505</v>
      </c>
      <c r="F870" t="s">
        <v>872</v>
      </c>
      <c r="G870" t="s">
        <v>5659</v>
      </c>
      <c r="H870" t="s">
        <v>10413</v>
      </c>
      <c r="J870" t="s">
        <v>18892</v>
      </c>
      <c r="K870">
        <v>10467</v>
      </c>
      <c r="L870" t="s">
        <v>18958</v>
      </c>
      <c r="M870" t="s">
        <v>18958</v>
      </c>
      <c r="N870" t="s">
        <v>19655</v>
      </c>
      <c r="O870" t="s">
        <v>26523</v>
      </c>
      <c r="P870" t="s">
        <v>26564</v>
      </c>
      <c r="Q870" t="s">
        <v>26570</v>
      </c>
      <c r="R870" t="s">
        <v>26578</v>
      </c>
      <c r="S870" t="s">
        <v>18959</v>
      </c>
      <c r="U870" t="s">
        <v>26604</v>
      </c>
      <c r="V870" t="s">
        <v>26611</v>
      </c>
      <c r="W870" t="s">
        <v>461</v>
      </c>
      <c r="X870">
        <v>1500.03</v>
      </c>
      <c r="Y870" t="s">
        <v>26650</v>
      </c>
      <c r="Z870" t="s">
        <v>26663</v>
      </c>
      <c r="AA870" t="s">
        <v>26683</v>
      </c>
      <c r="AB870" t="s">
        <v>27526</v>
      </c>
      <c r="AC870">
        <v>4043580</v>
      </c>
      <c r="AD870" t="s">
        <v>37584</v>
      </c>
      <c r="AE870">
        <v>0</v>
      </c>
      <c r="AF870" t="s">
        <v>45541</v>
      </c>
      <c r="AG870" t="s">
        <v>45556</v>
      </c>
      <c r="AH870">
        <v>14</v>
      </c>
      <c r="AI870">
        <v>2</v>
      </c>
      <c r="AJ870">
        <v>0</v>
      </c>
      <c r="AK870">
        <v>67.52</v>
      </c>
      <c r="AN870" t="s">
        <v>7439</v>
      </c>
      <c r="AO870">
        <v>11114</v>
      </c>
      <c r="AU870">
        <v>0.1</v>
      </c>
      <c r="AV870" t="s">
        <v>505</v>
      </c>
      <c r="AW870" t="s">
        <v>100</v>
      </c>
      <c r="AX870" t="s">
        <v>46898</v>
      </c>
    </row>
    <row r="871" spans="1:50">
      <c r="A871" s="1">
        <f>HYPERLINK("https://lsnyc.legalserver.org/matter/dynamic-profile/view/1874614","18-1874614")</f>
        <v>0</v>
      </c>
      <c r="B871" t="s">
        <v>57</v>
      </c>
      <c r="C871" t="s">
        <v>341</v>
      </c>
      <c r="D871" t="s">
        <v>461</v>
      </c>
      <c r="E871" t="s">
        <v>606</v>
      </c>
      <c r="F871" t="s">
        <v>1490</v>
      </c>
      <c r="G871" t="s">
        <v>5660</v>
      </c>
      <c r="H871" t="s">
        <v>10414</v>
      </c>
      <c r="J871" t="s">
        <v>18892</v>
      </c>
      <c r="K871">
        <v>10461</v>
      </c>
      <c r="L871" t="s">
        <v>18958</v>
      </c>
      <c r="M871" t="s">
        <v>18958</v>
      </c>
      <c r="N871" t="s">
        <v>19656</v>
      </c>
      <c r="O871" t="s">
        <v>26523</v>
      </c>
      <c r="P871" t="s">
        <v>26564</v>
      </c>
      <c r="Q871" t="s">
        <v>26570</v>
      </c>
      <c r="R871" t="s">
        <v>26577</v>
      </c>
      <c r="S871" t="s">
        <v>18959</v>
      </c>
      <c r="U871" t="s">
        <v>26604</v>
      </c>
      <c r="V871" t="s">
        <v>26610</v>
      </c>
      <c r="W871" t="s">
        <v>461</v>
      </c>
      <c r="X871">
        <v>1200</v>
      </c>
      <c r="Y871" t="s">
        <v>26650</v>
      </c>
      <c r="Z871" t="s">
        <v>26668</v>
      </c>
      <c r="AA871" t="s">
        <v>26683</v>
      </c>
      <c r="AB871" t="s">
        <v>27527</v>
      </c>
      <c r="AD871" t="s">
        <v>37585</v>
      </c>
      <c r="AE871">
        <v>54</v>
      </c>
      <c r="AF871" t="s">
        <v>45541</v>
      </c>
      <c r="AG871" t="s">
        <v>19330</v>
      </c>
      <c r="AH871">
        <v>2</v>
      </c>
      <c r="AI871">
        <v>2</v>
      </c>
      <c r="AJ871">
        <v>0</v>
      </c>
      <c r="AK871">
        <v>0</v>
      </c>
      <c r="AN871" t="s">
        <v>45581</v>
      </c>
      <c r="AO871">
        <v>0</v>
      </c>
      <c r="AU871">
        <v>4.67</v>
      </c>
      <c r="AV871" t="s">
        <v>545</v>
      </c>
      <c r="AW871" t="s">
        <v>46854</v>
      </c>
    </row>
    <row r="872" spans="1:50">
      <c r="A872" s="1">
        <f>HYPERLINK("https://lsnyc.legalserver.org/matter/dynamic-profile/view/1874565","18-1874565")</f>
        <v>0</v>
      </c>
      <c r="B872" t="s">
        <v>180</v>
      </c>
      <c r="C872" t="s">
        <v>341</v>
      </c>
      <c r="D872" t="s">
        <v>461</v>
      </c>
      <c r="E872" t="s">
        <v>524</v>
      </c>
      <c r="F872" t="s">
        <v>1491</v>
      </c>
      <c r="G872" t="s">
        <v>5269</v>
      </c>
      <c r="H872" t="s">
        <v>10415</v>
      </c>
      <c r="I872" t="s">
        <v>17307</v>
      </c>
      <c r="J872" t="s">
        <v>18894</v>
      </c>
      <c r="K872">
        <v>11216</v>
      </c>
      <c r="L872" t="s">
        <v>18958</v>
      </c>
      <c r="M872" t="s">
        <v>18958</v>
      </c>
      <c r="N872" t="s">
        <v>19657</v>
      </c>
      <c r="O872" t="s">
        <v>26523</v>
      </c>
      <c r="P872" t="s">
        <v>26560</v>
      </c>
      <c r="Q872" t="s">
        <v>26575</v>
      </c>
      <c r="R872" t="s">
        <v>26588</v>
      </c>
      <c r="U872" t="s">
        <v>26604</v>
      </c>
      <c r="W872" t="s">
        <v>461</v>
      </c>
      <c r="X872">
        <v>1456</v>
      </c>
      <c r="Y872" t="s">
        <v>26652</v>
      </c>
      <c r="Z872" t="s">
        <v>26669</v>
      </c>
      <c r="AA872" t="s">
        <v>26679</v>
      </c>
      <c r="AB872" t="s">
        <v>27528</v>
      </c>
      <c r="AD872" t="s">
        <v>37586</v>
      </c>
      <c r="AE872">
        <v>8</v>
      </c>
      <c r="AG872" t="s">
        <v>45561</v>
      </c>
      <c r="AH872">
        <v>8</v>
      </c>
      <c r="AI872">
        <v>1</v>
      </c>
      <c r="AJ872">
        <v>0</v>
      </c>
      <c r="AK872">
        <v>149.4</v>
      </c>
      <c r="AN872" t="s">
        <v>7439</v>
      </c>
      <c r="AO872">
        <v>18137</v>
      </c>
      <c r="AQ872" t="s">
        <v>46359</v>
      </c>
      <c r="AR872" t="s">
        <v>46420</v>
      </c>
      <c r="AS872" t="s">
        <v>46500</v>
      </c>
      <c r="AT872" t="s">
        <v>46659</v>
      </c>
      <c r="AU872">
        <v>4.2</v>
      </c>
      <c r="AV872" t="s">
        <v>512</v>
      </c>
      <c r="AW872" t="s">
        <v>281</v>
      </c>
    </row>
    <row r="873" spans="1:50">
      <c r="A873" s="1">
        <f>HYPERLINK("https://lsnyc.legalserver.org/matter/dynamic-profile/view/1874584","18-1874584")</f>
        <v>0</v>
      </c>
      <c r="B873" t="s">
        <v>66</v>
      </c>
      <c r="C873" t="s">
        <v>341</v>
      </c>
      <c r="D873" t="s">
        <v>461</v>
      </c>
      <c r="E873" t="s">
        <v>832</v>
      </c>
      <c r="F873" t="s">
        <v>1492</v>
      </c>
      <c r="G873" t="s">
        <v>1725</v>
      </c>
      <c r="H873" t="s">
        <v>10416</v>
      </c>
      <c r="I873" t="s">
        <v>17349</v>
      </c>
      <c r="J873" t="s">
        <v>18893</v>
      </c>
      <c r="K873">
        <v>10025</v>
      </c>
      <c r="L873" t="s">
        <v>18958</v>
      </c>
      <c r="M873" t="s">
        <v>18960</v>
      </c>
      <c r="N873" t="s">
        <v>19658</v>
      </c>
      <c r="O873" t="s">
        <v>26523</v>
      </c>
      <c r="P873" t="s">
        <v>26560</v>
      </c>
      <c r="Q873" t="s">
        <v>26568</v>
      </c>
      <c r="R873" t="s">
        <v>26592</v>
      </c>
      <c r="S873" t="s">
        <v>18959</v>
      </c>
      <c r="U873" t="s">
        <v>26604</v>
      </c>
      <c r="W873" t="s">
        <v>461</v>
      </c>
      <c r="X873">
        <v>720.15</v>
      </c>
      <c r="Y873" t="s">
        <v>26651</v>
      </c>
      <c r="Z873" t="s">
        <v>26664</v>
      </c>
      <c r="AA873" t="s">
        <v>26678</v>
      </c>
      <c r="AB873" t="s">
        <v>27529</v>
      </c>
      <c r="AD873" t="s">
        <v>37587</v>
      </c>
      <c r="AE873">
        <v>0</v>
      </c>
      <c r="AF873" t="s">
        <v>45541</v>
      </c>
      <c r="AG873" t="s">
        <v>19330</v>
      </c>
      <c r="AH873">
        <v>40</v>
      </c>
      <c r="AI873">
        <v>1</v>
      </c>
      <c r="AJ873">
        <v>0</v>
      </c>
      <c r="AK873">
        <v>0</v>
      </c>
      <c r="AN873" t="s">
        <v>45581</v>
      </c>
      <c r="AO873">
        <v>0</v>
      </c>
      <c r="AU873">
        <v>62.5</v>
      </c>
      <c r="AV873" t="s">
        <v>415</v>
      </c>
      <c r="AW873" t="s">
        <v>314</v>
      </c>
    </row>
    <row r="874" spans="1:50">
      <c r="A874" s="1">
        <f>HYPERLINK("https://lsnyc.legalserver.org/matter/dynamic-profile/view/1874611","18-1874611")</f>
        <v>0</v>
      </c>
      <c r="B874" t="s">
        <v>72</v>
      </c>
      <c r="C874" t="s">
        <v>341</v>
      </c>
      <c r="D874" t="s">
        <v>461</v>
      </c>
      <c r="E874" t="s">
        <v>614</v>
      </c>
      <c r="F874" t="s">
        <v>968</v>
      </c>
      <c r="G874" t="s">
        <v>5661</v>
      </c>
      <c r="H874" t="s">
        <v>10417</v>
      </c>
      <c r="J874" t="s">
        <v>18893</v>
      </c>
      <c r="K874">
        <v>10034</v>
      </c>
      <c r="L874" t="s">
        <v>18958</v>
      </c>
      <c r="M874" t="s">
        <v>18959</v>
      </c>
      <c r="O874" t="s">
        <v>26534</v>
      </c>
      <c r="P874" t="s">
        <v>26565</v>
      </c>
      <c r="Q874" t="s">
        <v>26571</v>
      </c>
      <c r="R874" t="s">
        <v>26578</v>
      </c>
      <c r="S874" t="s">
        <v>18959</v>
      </c>
      <c r="U874" t="s">
        <v>26604</v>
      </c>
      <c r="W874" t="s">
        <v>461</v>
      </c>
      <c r="X874">
        <v>900</v>
      </c>
      <c r="Y874" t="s">
        <v>26651</v>
      </c>
      <c r="Z874" t="s">
        <v>26667</v>
      </c>
      <c r="AA874" t="s">
        <v>26682</v>
      </c>
      <c r="AB874" t="s">
        <v>27530</v>
      </c>
      <c r="AD874" t="s">
        <v>37588</v>
      </c>
      <c r="AE874">
        <v>74</v>
      </c>
      <c r="AF874" t="s">
        <v>45541</v>
      </c>
      <c r="AG874" t="s">
        <v>19330</v>
      </c>
      <c r="AH874">
        <v>38</v>
      </c>
      <c r="AI874">
        <v>4</v>
      </c>
      <c r="AJ874">
        <v>0</v>
      </c>
      <c r="AK874">
        <v>139.7</v>
      </c>
      <c r="AN874" t="s">
        <v>7439</v>
      </c>
      <c r="AO874">
        <v>35064</v>
      </c>
      <c r="AU874">
        <v>0.1</v>
      </c>
      <c r="AV874" t="s">
        <v>614</v>
      </c>
      <c r="AW874" t="s">
        <v>46840</v>
      </c>
    </row>
    <row r="875" spans="1:50">
      <c r="A875" s="1">
        <f>HYPERLINK("https://lsnyc.legalserver.org/matter/dynamic-profile/view/1874591","18-1874591")</f>
        <v>0</v>
      </c>
      <c r="B875" t="s">
        <v>204</v>
      </c>
      <c r="C875" t="s">
        <v>341</v>
      </c>
      <c r="D875" t="s">
        <v>461</v>
      </c>
      <c r="E875" t="s">
        <v>667</v>
      </c>
      <c r="F875" t="s">
        <v>1493</v>
      </c>
      <c r="G875" t="s">
        <v>5662</v>
      </c>
      <c r="H875" t="s">
        <v>10275</v>
      </c>
      <c r="I875" t="s">
        <v>17415</v>
      </c>
      <c r="J875" t="s">
        <v>18894</v>
      </c>
      <c r="K875">
        <v>11221</v>
      </c>
      <c r="L875" t="s">
        <v>18958</v>
      </c>
      <c r="M875" t="s">
        <v>18958</v>
      </c>
      <c r="N875" t="s">
        <v>19659</v>
      </c>
      <c r="O875" t="s">
        <v>26524</v>
      </c>
      <c r="P875" t="s">
        <v>26560</v>
      </c>
      <c r="Q875" t="s">
        <v>26574</v>
      </c>
      <c r="R875" t="s">
        <v>26588</v>
      </c>
      <c r="U875" t="s">
        <v>26604</v>
      </c>
      <c r="W875" t="s">
        <v>461</v>
      </c>
      <c r="X875">
        <v>750</v>
      </c>
      <c r="Y875" t="s">
        <v>26652</v>
      </c>
      <c r="Z875" t="s">
        <v>26530</v>
      </c>
      <c r="AA875" t="s">
        <v>26678</v>
      </c>
      <c r="AB875" t="s">
        <v>27531</v>
      </c>
      <c r="AD875" t="s">
        <v>37589</v>
      </c>
      <c r="AE875">
        <v>7</v>
      </c>
      <c r="AG875" t="s">
        <v>19330</v>
      </c>
      <c r="AH875">
        <v>23</v>
      </c>
      <c r="AI875">
        <v>1</v>
      </c>
      <c r="AJ875">
        <v>0</v>
      </c>
      <c r="AK875">
        <v>164.05</v>
      </c>
      <c r="AN875" t="s">
        <v>7439</v>
      </c>
      <c r="AO875">
        <v>19916</v>
      </c>
      <c r="AQ875" t="s">
        <v>46361</v>
      </c>
      <c r="AR875" t="s">
        <v>26530</v>
      </c>
      <c r="AS875" t="s">
        <v>46499</v>
      </c>
      <c r="AT875" t="s">
        <v>46553</v>
      </c>
      <c r="AU875">
        <v>2.5</v>
      </c>
      <c r="AV875" t="s">
        <v>441</v>
      </c>
      <c r="AW875" t="s">
        <v>281</v>
      </c>
    </row>
    <row r="876" spans="1:50">
      <c r="A876" s="1">
        <f>HYPERLINK("https://lsnyc.legalserver.org/matter/dynamic-profile/view/1874583","18-1874583")</f>
        <v>0</v>
      </c>
      <c r="B876" t="s">
        <v>204</v>
      </c>
      <c r="C876" t="s">
        <v>341</v>
      </c>
      <c r="D876" t="s">
        <v>461</v>
      </c>
      <c r="E876" t="s">
        <v>667</v>
      </c>
      <c r="F876" t="s">
        <v>1494</v>
      </c>
      <c r="G876" t="s">
        <v>994</v>
      </c>
      <c r="H876" t="s">
        <v>10275</v>
      </c>
      <c r="I876" t="s">
        <v>17415</v>
      </c>
      <c r="J876" t="s">
        <v>18894</v>
      </c>
      <c r="K876">
        <v>11221</v>
      </c>
      <c r="L876" t="s">
        <v>18958</v>
      </c>
      <c r="M876" t="s">
        <v>18958</v>
      </c>
      <c r="N876" t="s">
        <v>19660</v>
      </c>
      <c r="O876" t="s">
        <v>26524</v>
      </c>
      <c r="P876" t="s">
        <v>26560</v>
      </c>
      <c r="Q876" t="s">
        <v>26574</v>
      </c>
      <c r="R876" t="s">
        <v>26588</v>
      </c>
      <c r="S876" t="s">
        <v>18958</v>
      </c>
      <c r="U876" t="s">
        <v>26604</v>
      </c>
      <c r="W876" t="s">
        <v>461</v>
      </c>
      <c r="X876">
        <v>130</v>
      </c>
      <c r="Y876" t="s">
        <v>26652</v>
      </c>
      <c r="Z876" t="s">
        <v>26530</v>
      </c>
      <c r="AA876" t="s">
        <v>26678</v>
      </c>
      <c r="AB876" t="s">
        <v>27016</v>
      </c>
      <c r="AD876" t="s">
        <v>37590</v>
      </c>
      <c r="AE876">
        <v>7</v>
      </c>
      <c r="AG876" t="s">
        <v>19330</v>
      </c>
      <c r="AH876">
        <v>31</v>
      </c>
      <c r="AI876">
        <v>1</v>
      </c>
      <c r="AJ876">
        <v>0</v>
      </c>
      <c r="AK876">
        <v>197.03</v>
      </c>
      <c r="AN876" t="s">
        <v>7439</v>
      </c>
      <c r="AO876">
        <v>23920</v>
      </c>
      <c r="AQ876" t="s">
        <v>46359</v>
      </c>
      <c r="AR876" t="s">
        <v>26530</v>
      </c>
      <c r="AS876" t="s">
        <v>46500</v>
      </c>
      <c r="AT876" t="s">
        <v>46526</v>
      </c>
      <c r="AU876">
        <v>3.6</v>
      </c>
      <c r="AV876" t="s">
        <v>606</v>
      </c>
      <c r="AW876" t="s">
        <v>281</v>
      </c>
    </row>
    <row r="877" spans="1:50">
      <c r="A877" s="1">
        <f>HYPERLINK("https://lsnyc.legalserver.org/matter/dynamic-profile/view/1874602","18-1874602")</f>
        <v>0</v>
      </c>
      <c r="B877" t="s">
        <v>141</v>
      </c>
      <c r="C877" t="s">
        <v>341</v>
      </c>
      <c r="D877" t="s">
        <v>461</v>
      </c>
      <c r="E877" t="s">
        <v>805</v>
      </c>
      <c r="F877" t="s">
        <v>1495</v>
      </c>
      <c r="G877" t="s">
        <v>5663</v>
      </c>
      <c r="H877" t="s">
        <v>9891</v>
      </c>
      <c r="I877" t="s">
        <v>17325</v>
      </c>
      <c r="J877" t="s">
        <v>18905</v>
      </c>
      <c r="K877">
        <v>11692</v>
      </c>
      <c r="L877" t="s">
        <v>18958</v>
      </c>
      <c r="M877" t="s">
        <v>18958</v>
      </c>
      <c r="N877" t="s">
        <v>19661</v>
      </c>
      <c r="O877" t="s">
        <v>26523</v>
      </c>
      <c r="P877" t="s">
        <v>26560</v>
      </c>
      <c r="Q877" t="s">
        <v>26568</v>
      </c>
      <c r="R877" t="s">
        <v>26578</v>
      </c>
      <c r="S877" t="s">
        <v>18959</v>
      </c>
      <c r="U877" t="s">
        <v>26604</v>
      </c>
      <c r="V877" t="s">
        <v>26610</v>
      </c>
      <c r="W877" t="s">
        <v>461</v>
      </c>
      <c r="X877">
        <v>1468</v>
      </c>
      <c r="Y877" t="s">
        <v>26653</v>
      </c>
      <c r="Z877" t="s">
        <v>26664</v>
      </c>
      <c r="AA877" t="s">
        <v>26678</v>
      </c>
      <c r="AB877" t="s">
        <v>27532</v>
      </c>
      <c r="AC877" t="s">
        <v>34770</v>
      </c>
      <c r="AD877" t="s">
        <v>37591</v>
      </c>
      <c r="AE877">
        <v>53</v>
      </c>
      <c r="AF877" t="s">
        <v>45543</v>
      </c>
      <c r="AG877" t="s">
        <v>45556</v>
      </c>
      <c r="AH877">
        <v>32</v>
      </c>
      <c r="AI877">
        <v>2</v>
      </c>
      <c r="AJ877">
        <v>0</v>
      </c>
      <c r="AK877">
        <v>0</v>
      </c>
      <c r="AN877" t="s">
        <v>7439</v>
      </c>
      <c r="AO877">
        <v>0</v>
      </c>
      <c r="AQ877" t="s">
        <v>46361</v>
      </c>
      <c r="AR877" t="s">
        <v>46420</v>
      </c>
      <c r="AS877" t="s">
        <v>46499</v>
      </c>
      <c r="AT877" t="s">
        <v>46623</v>
      </c>
      <c r="AU877">
        <v>110.4</v>
      </c>
      <c r="AV877" t="s">
        <v>836</v>
      </c>
      <c r="AW877" t="s">
        <v>161</v>
      </c>
      <c r="AX877" t="s">
        <v>46897</v>
      </c>
    </row>
    <row r="878" spans="1:50">
      <c r="A878" s="1">
        <f>HYPERLINK("https://lsnyc.legalserver.org/matter/dynamic-profile/view/1874650","18-1874650")</f>
        <v>0</v>
      </c>
      <c r="B878" t="s">
        <v>141</v>
      </c>
      <c r="C878" t="s">
        <v>341</v>
      </c>
      <c r="D878" t="s">
        <v>461</v>
      </c>
      <c r="E878" t="s">
        <v>819</v>
      </c>
      <c r="F878" t="s">
        <v>1091</v>
      </c>
      <c r="G878" t="s">
        <v>3117</v>
      </c>
      <c r="H878" t="s">
        <v>10418</v>
      </c>
      <c r="I878" t="s">
        <v>17544</v>
      </c>
      <c r="J878" t="s">
        <v>18898</v>
      </c>
      <c r="K878">
        <v>11691</v>
      </c>
      <c r="L878" t="s">
        <v>18958</v>
      </c>
      <c r="M878" t="s">
        <v>18958</v>
      </c>
      <c r="N878" t="s">
        <v>19662</v>
      </c>
      <c r="O878" t="s">
        <v>26523</v>
      </c>
      <c r="P878" t="s">
        <v>26560</v>
      </c>
      <c r="Q878" t="s">
        <v>26569</v>
      </c>
      <c r="R878" t="s">
        <v>26578</v>
      </c>
      <c r="S878" t="s">
        <v>18959</v>
      </c>
      <c r="U878" t="s">
        <v>26604</v>
      </c>
      <c r="V878" t="s">
        <v>26610</v>
      </c>
      <c r="W878" t="s">
        <v>461</v>
      </c>
      <c r="X878">
        <v>770</v>
      </c>
      <c r="Y878" t="s">
        <v>26653</v>
      </c>
      <c r="Z878" t="s">
        <v>26664</v>
      </c>
      <c r="AA878" t="s">
        <v>26678</v>
      </c>
      <c r="AB878" t="s">
        <v>27533</v>
      </c>
      <c r="AC878" t="s">
        <v>34771</v>
      </c>
      <c r="AD878" t="s">
        <v>37592</v>
      </c>
      <c r="AE878">
        <v>256</v>
      </c>
      <c r="AF878" t="s">
        <v>45550</v>
      </c>
      <c r="AG878" t="s">
        <v>19330</v>
      </c>
      <c r="AH878">
        <v>1</v>
      </c>
      <c r="AI878">
        <v>2</v>
      </c>
      <c r="AJ878">
        <v>0</v>
      </c>
      <c r="AK878">
        <v>103.6</v>
      </c>
      <c r="AN878" t="s">
        <v>7439</v>
      </c>
      <c r="AO878">
        <v>17052</v>
      </c>
      <c r="AR878" t="s">
        <v>26530</v>
      </c>
      <c r="AS878" t="s">
        <v>46499</v>
      </c>
      <c r="AT878" t="s">
        <v>46660</v>
      </c>
      <c r="AU878">
        <v>20.15</v>
      </c>
      <c r="AV878" t="s">
        <v>784</v>
      </c>
      <c r="AW878" t="s">
        <v>161</v>
      </c>
    </row>
    <row r="879" spans="1:50">
      <c r="A879" s="1">
        <f>HYPERLINK("https://lsnyc.legalserver.org/matter/dynamic-profile/view/1874586","18-1874586")</f>
        <v>0</v>
      </c>
      <c r="B879" t="s">
        <v>141</v>
      </c>
      <c r="C879" t="s">
        <v>341</v>
      </c>
      <c r="D879" t="s">
        <v>461</v>
      </c>
      <c r="E879" t="s">
        <v>789</v>
      </c>
      <c r="F879" t="s">
        <v>1496</v>
      </c>
      <c r="G879" t="s">
        <v>5008</v>
      </c>
      <c r="H879" t="s">
        <v>10419</v>
      </c>
      <c r="I879">
        <v>402</v>
      </c>
      <c r="J879" t="s">
        <v>18905</v>
      </c>
      <c r="K879">
        <v>11692</v>
      </c>
      <c r="L879" t="s">
        <v>18958</v>
      </c>
      <c r="M879" t="s">
        <v>18958</v>
      </c>
      <c r="N879" t="s">
        <v>19663</v>
      </c>
      <c r="O879" t="s">
        <v>26523</v>
      </c>
      <c r="P879" t="s">
        <v>26560</v>
      </c>
      <c r="Q879" t="s">
        <v>26568</v>
      </c>
      <c r="R879" t="s">
        <v>26578</v>
      </c>
      <c r="S879" t="s">
        <v>18959</v>
      </c>
      <c r="U879" t="s">
        <v>26604</v>
      </c>
      <c r="V879" t="s">
        <v>26611</v>
      </c>
      <c r="W879" t="s">
        <v>461</v>
      </c>
      <c r="X879">
        <v>2300</v>
      </c>
      <c r="Y879" t="s">
        <v>26653</v>
      </c>
      <c r="Z879" t="s">
        <v>26664</v>
      </c>
      <c r="AA879" t="s">
        <v>26678</v>
      </c>
      <c r="AB879" t="s">
        <v>27534</v>
      </c>
      <c r="AC879" t="s">
        <v>34738</v>
      </c>
      <c r="AD879" t="s">
        <v>37593</v>
      </c>
      <c r="AE879">
        <v>8</v>
      </c>
      <c r="AF879" t="s">
        <v>45550</v>
      </c>
      <c r="AG879" t="s">
        <v>45556</v>
      </c>
      <c r="AH879">
        <v>2</v>
      </c>
      <c r="AI879">
        <v>3</v>
      </c>
      <c r="AJ879">
        <v>1</v>
      </c>
      <c r="AK879">
        <v>164.18</v>
      </c>
      <c r="AN879" t="s">
        <v>7439</v>
      </c>
      <c r="AO879">
        <v>41210</v>
      </c>
      <c r="AQ879" t="s">
        <v>46365</v>
      </c>
      <c r="AR879" t="s">
        <v>46379</v>
      </c>
      <c r="AS879" t="s">
        <v>46499</v>
      </c>
      <c r="AT879" t="s">
        <v>46609</v>
      </c>
      <c r="AU879">
        <v>29.65</v>
      </c>
      <c r="AV879" t="s">
        <v>416</v>
      </c>
      <c r="AW879" t="s">
        <v>208</v>
      </c>
    </row>
    <row r="880" spans="1:50">
      <c r="A880" s="1">
        <f>HYPERLINK("https://lsnyc.legalserver.org/matter/dynamic-profile/view/1874628","18-1874628")</f>
        <v>0</v>
      </c>
      <c r="B880" t="s">
        <v>214</v>
      </c>
      <c r="C880" t="s">
        <v>341</v>
      </c>
      <c r="D880" t="s">
        <v>461</v>
      </c>
      <c r="E880" t="s">
        <v>572</v>
      </c>
      <c r="F880" t="s">
        <v>1497</v>
      </c>
      <c r="G880" t="s">
        <v>5664</v>
      </c>
      <c r="H880" t="s">
        <v>10420</v>
      </c>
      <c r="I880" t="s">
        <v>17545</v>
      </c>
      <c r="J880" t="s">
        <v>18898</v>
      </c>
      <c r="K880">
        <v>11691</v>
      </c>
      <c r="L880" t="s">
        <v>18958</v>
      </c>
      <c r="M880" t="s">
        <v>18958</v>
      </c>
      <c r="N880" t="s">
        <v>19664</v>
      </c>
      <c r="O880" t="s">
        <v>26523</v>
      </c>
      <c r="P880" t="s">
        <v>26560</v>
      </c>
      <c r="Q880" t="s">
        <v>26568</v>
      </c>
      <c r="R880" t="s">
        <v>26578</v>
      </c>
      <c r="S880" t="s">
        <v>18959</v>
      </c>
      <c r="U880" t="s">
        <v>26604</v>
      </c>
      <c r="V880" t="s">
        <v>26610</v>
      </c>
      <c r="W880" t="s">
        <v>461</v>
      </c>
      <c r="X880">
        <v>1301.06</v>
      </c>
      <c r="Y880" t="s">
        <v>26653</v>
      </c>
      <c r="Z880" t="s">
        <v>26664</v>
      </c>
      <c r="AA880" t="s">
        <v>26678</v>
      </c>
      <c r="AB880" t="s">
        <v>27535</v>
      </c>
      <c r="AC880" t="s">
        <v>34772</v>
      </c>
      <c r="AD880" t="s">
        <v>37594</v>
      </c>
      <c r="AE880">
        <v>917</v>
      </c>
      <c r="AF880" t="s">
        <v>20460</v>
      </c>
      <c r="AG880" t="s">
        <v>45560</v>
      </c>
      <c r="AH880">
        <v>1</v>
      </c>
      <c r="AI880">
        <v>1</v>
      </c>
      <c r="AJ880">
        <v>0</v>
      </c>
      <c r="AK880">
        <v>76.41</v>
      </c>
      <c r="AN880" t="s">
        <v>7439</v>
      </c>
      <c r="AO880">
        <v>9276</v>
      </c>
      <c r="AQ880" t="s">
        <v>46361</v>
      </c>
      <c r="AR880" t="s">
        <v>46379</v>
      </c>
      <c r="AS880" t="s">
        <v>46499</v>
      </c>
      <c r="AT880" t="s">
        <v>46579</v>
      </c>
      <c r="AU880">
        <v>18.48</v>
      </c>
      <c r="AV880" t="s">
        <v>457</v>
      </c>
      <c r="AW880" t="s">
        <v>161</v>
      </c>
    </row>
    <row r="881" spans="1:49">
      <c r="A881" s="1">
        <f>HYPERLINK("https://lsnyc.legalserver.org/matter/dynamic-profile/view/1874577","18-1874577")</f>
        <v>0</v>
      </c>
      <c r="B881" t="s">
        <v>93</v>
      </c>
      <c r="C881" t="s">
        <v>341</v>
      </c>
      <c r="D881" t="s">
        <v>461</v>
      </c>
      <c r="E881" t="s">
        <v>712</v>
      </c>
      <c r="F881" t="s">
        <v>1498</v>
      </c>
      <c r="G881" t="s">
        <v>5665</v>
      </c>
      <c r="H881" t="s">
        <v>10421</v>
      </c>
      <c r="I881" t="s">
        <v>17328</v>
      </c>
      <c r="J881" t="s">
        <v>18912</v>
      </c>
      <c r="K881">
        <v>11374</v>
      </c>
      <c r="L881" t="s">
        <v>18958</v>
      </c>
      <c r="M881" t="s">
        <v>18958</v>
      </c>
      <c r="N881" t="s">
        <v>19665</v>
      </c>
      <c r="O881" t="s">
        <v>26523</v>
      </c>
      <c r="P881" t="s">
        <v>26564</v>
      </c>
      <c r="Q881" t="s">
        <v>26570</v>
      </c>
      <c r="R881" t="s">
        <v>26584</v>
      </c>
      <c r="S881" t="s">
        <v>18959</v>
      </c>
      <c r="U881" t="s">
        <v>26604</v>
      </c>
      <c r="V881" t="s">
        <v>26610</v>
      </c>
      <c r="W881" t="s">
        <v>461</v>
      </c>
      <c r="X881">
        <v>1200</v>
      </c>
      <c r="Y881" t="s">
        <v>26653</v>
      </c>
      <c r="Z881" t="s">
        <v>26664</v>
      </c>
      <c r="AA881" t="s">
        <v>26683</v>
      </c>
      <c r="AB881" t="s">
        <v>27536</v>
      </c>
      <c r="AC881" t="s">
        <v>34507</v>
      </c>
      <c r="AD881" t="s">
        <v>34738</v>
      </c>
      <c r="AE881">
        <v>3</v>
      </c>
      <c r="AF881" t="s">
        <v>45547</v>
      </c>
      <c r="AG881" t="s">
        <v>19330</v>
      </c>
      <c r="AH881">
        <v>2</v>
      </c>
      <c r="AI881">
        <v>1</v>
      </c>
      <c r="AJ881">
        <v>2</v>
      </c>
      <c r="AK881">
        <v>37.54</v>
      </c>
      <c r="AM881" t="s">
        <v>45576</v>
      </c>
      <c r="AN881" t="s">
        <v>45582</v>
      </c>
      <c r="AO881">
        <v>7800</v>
      </c>
      <c r="AU881">
        <v>1.5</v>
      </c>
      <c r="AV881" t="s">
        <v>516</v>
      </c>
      <c r="AW881" t="s">
        <v>208</v>
      </c>
    </row>
    <row r="882" spans="1:49">
      <c r="A882" s="1">
        <f>HYPERLINK("https://lsnyc.legalserver.org/matter/dynamic-profile/view/1874655","18-1874655")</f>
        <v>0</v>
      </c>
      <c r="B882" t="s">
        <v>161</v>
      </c>
      <c r="C882" t="s">
        <v>341</v>
      </c>
      <c r="D882" t="s">
        <v>461</v>
      </c>
      <c r="E882" t="s">
        <v>705</v>
      </c>
      <c r="F882" t="s">
        <v>1352</v>
      </c>
      <c r="G882" t="s">
        <v>5666</v>
      </c>
      <c r="H882" t="s">
        <v>10422</v>
      </c>
      <c r="I882" t="s">
        <v>17546</v>
      </c>
      <c r="J882" t="s">
        <v>7026</v>
      </c>
      <c r="K882">
        <v>11368</v>
      </c>
      <c r="L882" t="s">
        <v>18958</v>
      </c>
      <c r="M882" t="s">
        <v>18958</v>
      </c>
      <c r="N882" t="s">
        <v>19666</v>
      </c>
      <c r="O882" t="s">
        <v>26523</v>
      </c>
      <c r="P882" t="s">
        <v>26564</v>
      </c>
      <c r="Q882" t="s">
        <v>26570</v>
      </c>
      <c r="R882" t="s">
        <v>26584</v>
      </c>
      <c r="S882" t="s">
        <v>18959</v>
      </c>
      <c r="U882" t="s">
        <v>26604</v>
      </c>
      <c r="V882" t="s">
        <v>26611</v>
      </c>
      <c r="W882" t="s">
        <v>461</v>
      </c>
      <c r="X882">
        <v>1743</v>
      </c>
      <c r="Y882" t="s">
        <v>26653</v>
      </c>
      <c r="Z882" t="s">
        <v>26664</v>
      </c>
      <c r="AA882" t="s">
        <v>26683</v>
      </c>
      <c r="AB882" t="s">
        <v>27537</v>
      </c>
      <c r="AC882" t="s">
        <v>34773</v>
      </c>
      <c r="AD882" t="s">
        <v>37595</v>
      </c>
      <c r="AE882">
        <v>226</v>
      </c>
      <c r="AF882" t="s">
        <v>45541</v>
      </c>
      <c r="AG882" t="s">
        <v>19330</v>
      </c>
      <c r="AH882">
        <v>1</v>
      </c>
      <c r="AI882">
        <v>2</v>
      </c>
      <c r="AJ882">
        <v>2</v>
      </c>
      <c r="AK882">
        <v>0</v>
      </c>
      <c r="AN882" t="s">
        <v>45581</v>
      </c>
      <c r="AO882">
        <v>0</v>
      </c>
      <c r="AU882">
        <v>0.2</v>
      </c>
      <c r="AV882" t="s">
        <v>705</v>
      </c>
      <c r="AW882" t="s">
        <v>161</v>
      </c>
    </row>
    <row r="883" spans="1:49">
      <c r="A883" s="1">
        <f>HYPERLINK("https://lsnyc.legalserver.org/matter/dynamic-profile/view/1874637","18-1874637")</f>
        <v>0</v>
      </c>
      <c r="B883" t="s">
        <v>161</v>
      </c>
      <c r="C883" t="s">
        <v>341</v>
      </c>
      <c r="D883" t="s">
        <v>461</v>
      </c>
      <c r="E883" t="s">
        <v>850</v>
      </c>
      <c r="F883" t="s">
        <v>1499</v>
      </c>
      <c r="G883" t="s">
        <v>5667</v>
      </c>
      <c r="H883" t="s">
        <v>10423</v>
      </c>
      <c r="I883" t="s">
        <v>17547</v>
      </c>
      <c r="J883" t="s">
        <v>18901</v>
      </c>
      <c r="K883">
        <v>11435</v>
      </c>
      <c r="L883" t="s">
        <v>18958</v>
      </c>
      <c r="M883" t="s">
        <v>18958</v>
      </c>
      <c r="N883" t="s">
        <v>19667</v>
      </c>
      <c r="O883" t="s">
        <v>26524</v>
      </c>
      <c r="P883" t="s">
        <v>26564</v>
      </c>
      <c r="Q883" t="s">
        <v>26570</v>
      </c>
      <c r="R883" t="s">
        <v>26584</v>
      </c>
      <c r="S883" t="s">
        <v>18959</v>
      </c>
      <c r="U883" t="s">
        <v>26604</v>
      </c>
      <c r="V883" t="s">
        <v>26610</v>
      </c>
      <c r="W883" t="s">
        <v>461</v>
      </c>
      <c r="X883">
        <v>1500</v>
      </c>
      <c r="Y883" t="s">
        <v>26653</v>
      </c>
      <c r="Z883" t="s">
        <v>26664</v>
      </c>
      <c r="AA883" t="s">
        <v>26683</v>
      </c>
      <c r="AB883" t="s">
        <v>27538</v>
      </c>
      <c r="AC883" t="s">
        <v>19330</v>
      </c>
      <c r="AD883" t="s">
        <v>37596</v>
      </c>
      <c r="AE883">
        <v>2</v>
      </c>
      <c r="AF883" t="s">
        <v>45547</v>
      </c>
      <c r="AG883" t="s">
        <v>19330</v>
      </c>
      <c r="AH883">
        <v>1</v>
      </c>
      <c r="AI883">
        <v>2</v>
      </c>
      <c r="AJ883">
        <v>1</v>
      </c>
      <c r="AK883">
        <v>138.59</v>
      </c>
      <c r="AN883" t="s">
        <v>7439</v>
      </c>
      <c r="AO883">
        <v>28800</v>
      </c>
      <c r="AU883">
        <v>1.5</v>
      </c>
      <c r="AV883" t="s">
        <v>511</v>
      </c>
      <c r="AW883" t="s">
        <v>161</v>
      </c>
    </row>
    <row r="884" spans="1:49">
      <c r="A884" s="1">
        <f>HYPERLINK("https://lsnyc.legalserver.org/matter/dynamic-profile/view/1874571","18-1874571")</f>
        <v>0</v>
      </c>
      <c r="B884" t="s">
        <v>122</v>
      </c>
      <c r="C884" t="s">
        <v>341</v>
      </c>
      <c r="D884" t="s">
        <v>461</v>
      </c>
      <c r="E884" t="s">
        <v>428</v>
      </c>
      <c r="F884" t="s">
        <v>1500</v>
      </c>
      <c r="G884" t="s">
        <v>5668</v>
      </c>
      <c r="H884" t="s">
        <v>10424</v>
      </c>
      <c r="I884" t="s">
        <v>17427</v>
      </c>
      <c r="J884" t="s">
        <v>18906</v>
      </c>
      <c r="K884">
        <v>11373</v>
      </c>
      <c r="L884" t="s">
        <v>18958</v>
      </c>
      <c r="M884" t="s">
        <v>18958</v>
      </c>
      <c r="N884" t="s">
        <v>19668</v>
      </c>
      <c r="O884" t="s">
        <v>26524</v>
      </c>
      <c r="P884" t="s">
        <v>26564</v>
      </c>
      <c r="Q884" t="s">
        <v>26570</v>
      </c>
      <c r="R884" t="s">
        <v>26585</v>
      </c>
      <c r="S884" t="s">
        <v>18959</v>
      </c>
      <c r="U884" t="s">
        <v>26604</v>
      </c>
      <c r="V884" t="s">
        <v>26610</v>
      </c>
      <c r="W884" t="s">
        <v>461</v>
      </c>
      <c r="X884">
        <v>1300</v>
      </c>
      <c r="Y884" t="s">
        <v>26653</v>
      </c>
      <c r="Z884" t="s">
        <v>26664</v>
      </c>
      <c r="AA884" t="s">
        <v>26683</v>
      </c>
      <c r="AB884" t="s">
        <v>27539</v>
      </c>
      <c r="AC884" t="s">
        <v>19330</v>
      </c>
      <c r="AD884" t="s">
        <v>34738</v>
      </c>
      <c r="AE884">
        <v>2</v>
      </c>
      <c r="AF884" t="s">
        <v>45547</v>
      </c>
      <c r="AG884" t="s">
        <v>19330</v>
      </c>
      <c r="AH884">
        <v>8</v>
      </c>
      <c r="AI884">
        <v>1</v>
      </c>
      <c r="AJ884">
        <v>0</v>
      </c>
      <c r="AK884">
        <v>0</v>
      </c>
      <c r="AN884" t="s">
        <v>45582</v>
      </c>
      <c r="AO884">
        <v>0</v>
      </c>
      <c r="AU884">
        <v>1</v>
      </c>
      <c r="AV884" t="s">
        <v>461</v>
      </c>
      <c r="AW884" t="s">
        <v>161</v>
      </c>
    </row>
    <row r="885" spans="1:49">
      <c r="A885" s="1">
        <f>HYPERLINK("https://lsnyc.legalserver.org/matter/dynamic-profile/view/1874398","18-1874398")</f>
        <v>0</v>
      </c>
      <c r="B885" t="s">
        <v>103</v>
      </c>
      <c r="C885" t="s">
        <v>341</v>
      </c>
      <c r="D885" t="s">
        <v>461</v>
      </c>
      <c r="E885" t="s">
        <v>605</v>
      </c>
      <c r="F885" t="s">
        <v>1501</v>
      </c>
      <c r="G885" t="s">
        <v>5669</v>
      </c>
      <c r="H885" t="s">
        <v>10425</v>
      </c>
      <c r="I885" t="s">
        <v>17435</v>
      </c>
      <c r="J885" t="s">
        <v>18902</v>
      </c>
      <c r="K885">
        <v>10305</v>
      </c>
      <c r="L885" t="s">
        <v>18958</v>
      </c>
      <c r="M885" t="s">
        <v>18958</v>
      </c>
      <c r="N885" t="s">
        <v>19669</v>
      </c>
      <c r="O885" t="s">
        <v>26523</v>
      </c>
      <c r="P885" t="s">
        <v>26564</v>
      </c>
      <c r="Q885" t="s">
        <v>26570</v>
      </c>
      <c r="R885" t="s">
        <v>26587</v>
      </c>
      <c r="S885" t="s">
        <v>18959</v>
      </c>
      <c r="U885" t="s">
        <v>26604</v>
      </c>
      <c r="V885" t="s">
        <v>26610</v>
      </c>
      <c r="W885" t="s">
        <v>461</v>
      </c>
      <c r="X885">
        <v>3000</v>
      </c>
      <c r="Y885" t="s">
        <v>26654</v>
      </c>
      <c r="Z885" t="s">
        <v>26668</v>
      </c>
      <c r="AA885" t="s">
        <v>26683</v>
      </c>
      <c r="AB885" t="s">
        <v>27540</v>
      </c>
      <c r="AC885" t="s">
        <v>19045</v>
      </c>
      <c r="AD885" t="s">
        <v>37597</v>
      </c>
      <c r="AE885">
        <v>2</v>
      </c>
      <c r="AF885" t="s">
        <v>45547</v>
      </c>
      <c r="AG885" t="s">
        <v>19330</v>
      </c>
      <c r="AH885">
        <v>1</v>
      </c>
      <c r="AI885">
        <v>2</v>
      </c>
      <c r="AJ885">
        <v>4</v>
      </c>
      <c r="AK885">
        <v>181.4</v>
      </c>
      <c r="AN885" t="s">
        <v>7439</v>
      </c>
      <c r="AO885">
        <v>61204</v>
      </c>
      <c r="AU885">
        <v>2.3</v>
      </c>
      <c r="AV885" t="s">
        <v>669</v>
      </c>
      <c r="AW885" t="s">
        <v>46852</v>
      </c>
    </row>
    <row r="886" spans="1:49">
      <c r="A886" s="1">
        <f>HYPERLINK("https://lsnyc.legalserver.org/matter/dynamic-profile/view/1874524","18-1874524")</f>
        <v>0</v>
      </c>
      <c r="B886" t="s">
        <v>149</v>
      </c>
      <c r="C886" t="s">
        <v>340</v>
      </c>
      <c r="D886" t="s">
        <v>461</v>
      </c>
      <c r="F886" t="s">
        <v>1119</v>
      </c>
      <c r="G886" t="s">
        <v>5565</v>
      </c>
      <c r="H886" t="s">
        <v>10266</v>
      </c>
      <c r="I886" t="s">
        <v>17362</v>
      </c>
      <c r="J886" t="s">
        <v>18892</v>
      </c>
      <c r="K886">
        <v>10460</v>
      </c>
      <c r="L886" t="s">
        <v>18958</v>
      </c>
      <c r="M886" t="s">
        <v>18958</v>
      </c>
      <c r="O886" t="s">
        <v>26537</v>
      </c>
      <c r="P886" t="s">
        <v>26562</v>
      </c>
      <c r="R886" t="s">
        <v>26578</v>
      </c>
      <c r="S886" t="s">
        <v>18959</v>
      </c>
      <c r="U886" t="s">
        <v>26606</v>
      </c>
      <c r="W886" t="s">
        <v>461</v>
      </c>
      <c r="X886">
        <v>1379.07</v>
      </c>
      <c r="Y886" t="s">
        <v>26650</v>
      </c>
      <c r="Z886" t="s">
        <v>26668</v>
      </c>
      <c r="AB886" t="s">
        <v>27372</v>
      </c>
      <c r="AC886" t="s">
        <v>34721</v>
      </c>
      <c r="AD886" t="s">
        <v>37438</v>
      </c>
      <c r="AE886">
        <v>34</v>
      </c>
      <c r="AF886" t="s">
        <v>45541</v>
      </c>
      <c r="AG886" t="s">
        <v>45556</v>
      </c>
      <c r="AH886">
        <v>10</v>
      </c>
      <c r="AI886">
        <v>1</v>
      </c>
      <c r="AJ886">
        <v>0</v>
      </c>
      <c r="AK886">
        <v>84.12</v>
      </c>
      <c r="AN886" t="s">
        <v>7439</v>
      </c>
      <c r="AO886">
        <v>10212</v>
      </c>
      <c r="AU886">
        <v>10.3</v>
      </c>
      <c r="AV886" t="s">
        <v>740</v>
      </c>
      <c r="AW886" t="s">
        <v>292</v>
      </c>
    </row>
    <row r="887" spans="1:49">
      <c r="A887" s="1">
        <f>HYPERLINK("https://lsnyc.legalserver.org/matter/dynamic-profile/view/1874538","18-1874538")</f>
        <v>0</v>
      </c>
      <c r="B887" t="s">
        <v>81</v>
      </c>
      <c r="C887" t="s">
        <v>340</v>
      </c>
      <c r="D887" t="s">
        <v>461</v>
      </c>
      <c r="F887" t="s">
        <v>1502</v>
      </c>
      <c r="G887" t="s">
        <v>5143</v>
      </c>
      <c r="H887" t="s">
        <v>10426</v>
      </c>
      <c r="I887" t="s">
        <v>17316</v>
      </c>
      <c r="J887" t="s">
        <v>18892</v>
      </c>
      <c r="K887">
        <v>10457</v>
      </c>
      <c r="L887" t="s">
        <v>18958</v>
      </c>
      <c r="M887" t="s">
        <v>18958</v>
      </c>
      <c r="N887" t="s">
        <v>19670</v>
      </c>
      <c r="O887" t="s">
        <v>26523</v>
      </c>
      <c r="P887" t="s">
        <v>26560</v>
      </c>
      <c r="R887" t="s">
        <v>26579</v>
      </c>
      <c r="S887" t="s">
        <v>18959</v>
      </c>
      <c r="U887" t="s">
        <v>26604</v>
      </c>
      <c r="V887" t="s">
        <v>26609</v>
      </c>
      <c r="W887" t="s">
        <v>461</v>
      </c>
      <c r="X887">
        <v>1546</v>
      </c>
      <c r="Y887" t="s">
        <v>26650</v>
      </c>
      <c r="Z887" t="s">
        <v>26530</v>
      </c>
      <c r="AB887" t="s">
        <v>27541</v>
      </c>
      <c r="AC887" t="s">
        <v>34774</v>
      </c>
      <c r="AD887" t="s">
        <v>37598</v>
      </c>
      <c r="AE887">
        <v>17</v>
      </c>
      <c r="AF887" t="s">
        <v>45543</v>
      </c>
      <c r="AG887" t="s">
        <v>45556</v>
      </c>
      <c r="AH887">
        <v>3</v>
      </c>
      <c r="AI887">
        <v>1</v>
      </c>
      <c r="AJ887">
        <v>2</v>
      </c>
      <c r="AK887">
        <v>129.61</v>
      </c>
      <c r="AN887" t="s">
        <v>7439</v>
      </c>
      <c r="AO887">
        <v>26933.92</v>
      </c>
      <c r="AP887" t="s">
        <v>45675</v>
      </c>
      <c r="AU887">
        <v>14.25</v>
      </c>
      <c r="AV887" t="s">
        <v>814</v>
      </c>
      <c r="AW887" t="s">
        <v>46832</v>
      </c>
    </row>
    <row r="888" spans="1:49">
      <c r="A888" s="1">
        <f>HYPERLINK("https://lsnyc.legalserver.org/matter/dynamic-profile/view/1874579","18-1874579")</f>
        <v>0</v>
      </c>
      <c r="B888" t="s">
        <v>74</v>
      </c>
      <c r="C888" t="s">
        <v>340</v>
      </c>
      <c r="D888" t="s">
        <v>461</v>
      </c>
      <c r="F888" t="s">
        <v>1412</v>
      </c>
      <c r="G888" t="s">
        <v>5670</v>
      </c>
      <c r="H888" t="s">
        <v>10427</v>
      </c>
      <c r="I888" t="s">
        <v>17316</v>
      </c>
      <c r="J888" t="s">
        <v>18893</v>
      </c>
      <c r="K888">
        <v>10034</v>
      </c>
      <c r="L888" t="s">
        <v>18958</v>
      </c>
      <c r="M888" t="s">
        <v>18958</v>
      </c>
      <c r="O888" t="s">
        <v>26526</v>
      </c>
      <c r="P888" t="s">
        <v>26560</v>
      </c>
      <c r="R888" t="s">
        <v>26578</v>
      </c>
      <c r="S888" t="s">
        <v>18958</v>
      </c>
      <c r="U888" t="s">
        <v>26604</v>
      </c>
      <c r="W888" t="s">
        <v>461</v>
      </c>
      <c r="X888">
        <v>257</v>
      </c>
      <c r="Y888" t="s">
        <v>26651</v>
      </c>
      <c r="Z888" t="s">
        <v>26661</v>
      </c>
      <c r="AB888" t="s">
        <v>27542</v>
      </c>
      <c r="AD888" t="s">
        <v>37599</v>
      </c>
      <c r="AE888">
        <v>63</v>
      </c>
      <c r="AF888" t="s">
        <v>45541</v>
      </c>
      <c r="AG888" t="s">
        <v>19330</v>
      </c>
      <c r="AH888">
        <v>18</v>
      </c>
      <c r="AI888">
        <v>1</v>
      </c>
      <c r="AJ888">
        <v>0</v>
      </c>
      <c r="AK888">
        <v>106.75</v>
      </c>
      <c r="AN888" t="s">
        <v>7439</v>
      </c>
      <c r="AO888">
        <v>12960</v>
      </c>
      <c r="AU888">
        <v>1.25</v>
      </c>
      <c r="AV888" t="s">
        <v>808</v>
      </c>
      <c r="AW888" t="s">
        <v>46840</v>
      </c>
    </row>
    <row r="889" spans="1:49">
      <c r="A889" s="1">
        <f>HYPERLINK("https://lsnyc.legalserver.org/matter/dynamic-profile/view/1874642","18-1874642")</f>
        <v>0</v>
      </c>
      <c r="B889" t="s">
        <v>142</v>
      </c>
      <c r="C889" t="s">
        <v>340</v>
      </c>
      <c r="D889" t="s">
        <v>461</v>
      </c>
      <c r="F889" t="s">
        <v>953</v>
      </c>
      <c r="G889" t="s">
        <v>5473</v>
      </c>
      <c r="H889" t="s">
        <v>10428</v>
      </c>
      <c r="I889" t="s">
        <v>17334</v>
      </c>
      <c r="J889" t="s">
        <v>18901</v>
      </c>
      <c r="K889">
        <v>11435</v>
      </c>
      <c r="L889" t="s">
        <v>18958</v>
      </c>
      <c r="M889" t="s">
        <v>18960</v>
      </c>
      <c r="N889" t="s">
        <v>19671</v>
      </c>
      <c r="O889" t="s">
        <v>26524</v>
      </c>
      <c r="P889" t="s">
        <v>26564</v>
      </c>
      <c r="R889" t="s">
        <v>26584</v>
      </c>
      <c r="S889" t="s">
        <v>18959</v>
      </c>
      <c r="U889" t="s">
        <v>26604</v>
      </c>
      <c r="V889" t="s">
        <v>26611</v>
      </c>
      <c r="W889" t="s">
        <v>461</v>
      </c>
      <c r="X889">
        <v>1150</v>
      </c>
      <c r="Y889" t="s">
        <v>26653</v>
      </c>
      <c r="Z889" t="s">
        <v>26664</v>
      </c>
      <c r="AB889" t="s">
        <v>27543</v>
      </c>
      <c r="AC889" t="s">
        <v>34775</v>
      </c>
      <c r="AD889" t="s">
        <v>37600</v>
      </c>
      <c r="AE889">
        <v>2</v>
      </c>
      <c r="AF889" t="s">
        <v>45547</v>
      </c>
      <c r="AG889" t="s">
        <v>45557</v>
      </c>
      <c r="AH889">
        <v>5</v>
      </c>
      <c r="AI889">
        <v>2</v>
      </c>
      <c r="AJ889">
        <v>0</v>
      </c>
      <c r="AK889">
        <v>53.51</v>
      </c>
      <c r="AN889" t="s">
        <v>7439</v>
      </c>
      <c r="AO889">
        <v>8808</v>
      </c>
      <c r="AU889">
        <v>1</v>
      </c>
      <c r="AV889" t="s">
        <v>461</v>
      </c>
      <c r="AW889" t="s">
        <v>161</v>
      </c>
    </row>
    <row r="890" spans="1:49">
      <c r="A890" s="1">
        <f>HYPERLINK("https://lsnyc.legalserver.org/matter/dynamic-profile/view/1874580","18-1874580")</f>
        <v>0</v>
      </c>
      <c r="B890" t="s">
        <v>142</v>
      </c>
      <c r="C890" t="s">
        <v>340</v>
      </c>
      <c r="D890" t="s">
        <v>461</v>
      </c>
      <c r="F890" t="s">
        <v>1397</v>
      </c>
      <c r="G890" t="s">
        <v>5671</v>
      </c>
      <c r="H890" t="s">
        <v>10429</v>
      </c>
      <c r="J890" t="s">
        <v>18914</v>
      </c>
      <c r="K890">
        <v>11104</v>
      </c>
      <c r="L890" t="s">
        <v>18958</v>
      </c>
      <c r="M890" t="s">
        <v>18960</v>
      </c>
      <c r="N890" t="s">
        <v>19672</v>
      </c>
      <c r="O890" t="s">
        <v>26524</v>
      </c>
      <c r="P890" t="s">
        <v>26564</v>
      </c>
      <c r="R890" t="s">
        <v>26584</v>
      </c>
      <c r="S890" t="s">
        <v>18959</v>
      </c>
      <c r="U890" t="s">
        <v>26604</v>
      </c>
      <c r="V890" t="s">
        <v>26610</v>
      </c>
      <c r="W890" t="s">
        <v>461</v>
      </c>
      <c r="X890">
        <v>1000</v>
      </c>
      <c r="Y890" t="s">
        <v>26653</v>
      </c>
      <c r="Z890" t="s">
        <v>26664</v>
      </c>
      <c r="AB890" t="s">
        <v>27544</v>
      </c>
      <c r="AD890" t="s">
        <v>37601</v>
      </c>
      <c r="AE890">
        <v>0</v>
      </c>
      <c r="AG890" t="s">
        <v>19330</v>
      </c>
      <c r="AH890">
        <v>10</v>
      </c>
      <c r="AI890">
        <v>1</v>
      </c>
      <c r="AJ890">
        <v>0</v>
      </c>
      <c r="AK890">
        <v>54.37</v>
      </c>
      <c r="AM890" t="s">
        <v>45576</v>
      </c>
      <c r="AN890" t="s">
        <v>7439</v>
      </c>
      <c r="AO890">
        <v>6600</v>
      </c>
      <c r="AU890">
        <v>1</v>
      </c>
      <c r="AV890" t="s">
        <v>461</v>
      </c>
      <c r="AW890" t="s">
        <v>208</v>
      </c>
    </row>
    <row r="891" spans="1:49">
      <c r="A891" s="1">
        <f>HYPERLINK("https://lsnyc.legalserver.org/matter/dynamic-profile/view/1874652","18-1874652")</f>
        <v>0</v>
      </c>
      <c r="B891" t="s">
        <v>142</v>
      </c>
      <c r="C891" t="s">
        <v>340</v>
      </c>
      <c r="D891" t="s">
        <v>461</v>
      </c>
      <c r="F891" t="s">
        <v>928</v>
      </c>
      <c r="G891" t="s">
        <v>2053</v>
      </c>
      <c r="H891" t="s">
        <v>10430</v>
      </c>
      <c r="I891" t="s">
        <v>17312</v>
      </c>
      <c r="J891" t="s">
        <v>18919</v>
      </c>
      <c r="K891">
        <v>11429</v>
      </c>
      <c r="L891" t="s">
        <v>18958</v>
      </c>
      <c r="M891" t="s">
        <v>18958</v>
      </c>
      <c r="N891" t="s">
        <v>19673</v>
      </c>
      <c r="O891" t="s">
        <v>26533</v>
      </c>
      <c r="P891" t="s">
        <v>26564</v>
      </c>
      <c r="R891" t="s">
        <v>26584</v>
      </c>
      <c r="S891" t="s">
        <v>18959</v>
      </c>
      <c r="U891" t="s">
        <v>26604</v>
      </c>
      <c r="V891" t="s">
        <v>26610</v>
      </c>
      <c r="W891" t="s">
        <v>461</v>
      </c>
      <c r="X891">
        <v>800</v>
      </c>
      <c r="Y891" t="s">
        <v>26653</v>
      </c>
      <c r="Z891" t="s">
        <v>26664</v>
      </c>
      <c r="AB891" t="s">
        <v>27026</v>
      </c>
      <c r="AC891" t="s">
        <v>19330</v>
      </c>
      <c r="AD891" t="s">
        <v>37602</v>
      </c>
      <c r="AE891">
        <v>2</v>
      </c>
      <c r="AF891" t="s">
        <v>45547</v>
      </c>
      <c r="AG891" t="s">
        <v>19330</v>
      </c>
      <c r="AH891">
        <v>1</v>
      </c>
      <c r="AI891">
        <v>1</v>
      </c>
      <c r="AJ891">
        <v>2</v>
      </c>
      <c r="AK891">
        <v>1790.18</v>
      </c>
      <c r="AN891" t="s">
        <v>7439</v>
      </c>
      <c r="AO891">
        <v>372000</v>
      </c>
      <c r="AU891">
        <v>0.2</v>
      </c>
      <c r="AV891" t="s">
        <v>461</v>
      </c>
      <c r="AW891" t="s">
        <v>161</v>
      </c>
    </row>
    <row r="892" spans="1:49">
      <c r="A892" s="1">
        <f>HYPERLINK("https://lsnyc.legalserver.org/matter/dynamic-profile/view/1874592","18-1874592")</f>
        <v>0</v>
      </c>
      <c r="B892" t="s">
        <v>142</v>
      </c>
      <c r="C892" t="s">
        <v>340</v>
      </c>
      <c r="D892" t="s">
        <v>461</v>
      </c>
      <c r="F892" t="s">
        <v>1414</v>
      </c>
      <c r="G892" t="s">
        <v>5672</v>
      </c>
      <c r="H892" t="s">
        <v>10431</v>
      </c>
      <c r="J892" t="s">
        <v>18901</v>
      </c>
      <c r="K892">
        <v>11433</v>
      </c>
      <c r="L892" t="s">
        <v>18958</v>
      </c>
      <c r="M892" t="s">
        <v>18958</v>
      </c>
      <c r="N892" t="s">
        <v>19674</v>
      </c>
      <c r="O892" t="s">
        <v>26524</v>
      </c>
      <c r="P892" t="s">
        <v>26560</v>
      </c>
      <c r="R892" t="s">
        <v>26585</v>
      </c>
      <c r="S892" t="s">
        <v>18959</v>
      </c>
      <c r="U892" t="s">
        <v>26604</v>
      </c>
      <c r="W892" t="s">
        <v>461</v>
      </c>
      <c r="X892">
        <v>740</v>
      </c>
      <c r="Y892" t="s">
        <v>26653</v>
      </c>
      <c r="Z892" t="s">
        <v>26664</v>
      </c>
      <c r="AB892" t="s">
        <v>27545</v>
      </c>
      <c r="AC892" t="s">
        <v>34507</v>
      </c>
      <c r="AD892" t="s">
        <v>37603</v>
      </c>
      <c r="AE892">
        <v>1</v>
      </c>
      <c r="AF892" t="s">
        <v>45547</v>
      </c>
      <c r="AG892" t="s">
        <v>19330</v>
      </c>
      <c r="AH892">
        <v>2</v>
      </c>
      <c r="AI892">
        <v>1</v>
      </c>
      <c r="AJ892">
        <v>3</v>
      </c>
      <c r="AK892">
        <v>139.44</v>
      </c>
      <c r="AN892" t="s">
        <v>7439</v>
      </c>
      <c r="AO892">
        <v>35000</v>
      </c>
      <c r="AU892">
        <v>9.85</v>
      </c>
      <c r="AV892" t="s">
        <v>675</v>
      </c>
      <c r="AW892" t="s">
        <v>208</v>
      </c>
    </row>
    <row r="893" spans="1:49">
      <c r="A893" s="1">
        <f>HYPERLINK("https://lsnyc.legalserver.org/matter/dynamic-profile/view/1874522","18-1874522")</f>
        <v>0</v>
      </c>
      <c r="B893" t="s">
        <v>122</v>
      </c>
      <c r="C893" t="s">
        <v>340</v>
      </c>
      <c r="D893" t="s">
        <v>461</v>
      </c>
      <c r="F893" t="s">
        <v>1053</v>
      </c>
      <c r="G893" t="s">
        <v>5234</v>
      </c>
      <c r="H893" t="s">
        <v>9822</v>
      </c>
      <c r="I893" t="s">
        <v>17347</v>
      </c>
      <c r="J893" t="s">
        <v>18913</v>
      </c>
      <c r="K893">
        <v>11106</v>
      </c>
      <c r="L893" t="s">
        <v>18958</v>
      </c>
      <c r="M893" t="s">
        <v>18958</v>
      </c>
      <c r="N893" t="s">
        <v>19109</v>
      </c>
      <c r="O893" t="s">
        <v>26534</v>
      </c>
      <c r="P893" t="s">
        <v>26561</v>
      </c>
      <c r="R893" t="s">
        <v>26589</v>
      </c>
      <c r="S893" t="s">
        <v>18959</v>
      </c>
      <c r="U893" t="s">
        <v>26604</v>
      </c>
      <c r="V893" t="s">
        <v>26610</v>
      </c>
      <c r="W893" t="s">
        <v>461</v>
      </c>
      <c r="X893">
        <v>1100</v>
      </c>
      <c r="Y893" t="s">
        <v>26653</v>
      </c>
      <c r="Z893" t="s">
        <v>26671</v>
      </c>
      <c r="AB893" t="s">
        <v>26908</v>
      </c>
      <c r="AD893" t="s">
        <v>37003</v>
      </c>
      <c r="AE893">
        <v>40</v>
      </c>
      <c r="AF893" t="s">
        <v>45541</v>
      </c>
      <c r="AG893" t="s">
        <v>19330</v>
      </c>
      <c r="AH893">
        <v>25</v>
      </c>
      <c r="AI893">
        <v>6</v>
      </c>
      <c r="AJ893">
        <v>4</v>
      </c>
      <c r="AK893">
        <v>16.11</v>
      </c>
      <c r="AL893" t="s">
        <v>45567</v>
      </c>
      <c r="AM893" t="s">
        <v>45577</v>
      </c>
      <c r="AN893" t="s">
        <v>45582</v>
      </c>
      <c r="AO893">
        <v>8220</v>
      </c>
      <c r="AU893">
        <v>10.4</v>
      </c>
      <c r="AV893" t="s">
        <v>781</v>
      </c>
      <c r="AW893" t="s">
        <v>208</v>
      </c>
    </row>
    <row r="894" spans="1:49">
      <c r="A894" s="1">
        <f>HYPERLINK("https://lsnyc.legalserver.org/matter/dynamic-profile/view/1875220","18-1875220")</f>
        <v>0</v>
      </c>
      <c r="B894" t="s">
        <v>112</v>
      </c>
      <c r="C894" t="s">
        <v>340</v>
      </c>
      <c r="D894" t="s">
        <v>461</v>
      </c>
      <c r="F894" t="s">
        <v>948</v>
      </c>
      <c r="G894" t="s">
        <v>5673</v>
      </c>
      <c r="H894" t="s">
        <v>10432</v>
      </c>
      <c r="J894" t="s">
        <v>18906</v>
      </c>
      <c r="K894">
        <v>11373</v>
      </c>
      <c r="L894" t="s">
        <v>18958</v>
      </c>
      <c r="M894" t="s">
        <v>18958</v>
      </c>
      <c r="N894" t="s">
        <v>19675</v>
      </c>
      <c r="O894" t="s">
        <v>26523</v>
      </c>
      <c r="P894" t="s">
        <v>26564</v>
      </c>
      <c r="R894" t="s">
        <v>26585</v>
      </c>
      <c r="S894" t="s">
        <v>18959</v>
      </c>
      <c r="U894" t="s">
        <v>26604</v>
      </c>
      <c r="V894" t="s">
        <v>26611</v>
      </c>
      <c r="W894" t="s">
        <v>461</v>
      </c>
      <c r="X894">
        <v>1399</v>
      </c>
      <c r="Y894" t="s">
        <v>26653</v>
      </c>
      <c r="Z894" t="s">
        <v>26530</v>
      </c>
      <c r="AB894" t="s">
        <v>27546</v>
      </c>
      <c r="AD894" t="s">
        <v>37604</v>
      </c>
      <c r="AE894">
        <v>192</v>
      </c>
      <c r="AF894" t="s">
        <v>45541</v>
      </c>
      <c r="AG894" t="s">
        <v>19330</v>
      </c>
      <c r="AH894">
        <v>24</v>
      </c>
      <c r="AI894">
        <v>1</v>
      </c>
      <c r="AJ894">
        <v>1</v>
      </c>
      <c r="AK894">
        <v>194.41</v>
      </c>
      <c r="AN894" t="s">
        <v>45581</v>
      </c>
      <c r="AO894">
        <v>32000</v>
      </c>
      <c r="AU894">
        <v>1.4</v>
      </c>
      <c r="AV894" t="s">
        <v>703</v>
      </c>
      <c r="AW894" t="s">
        <v>112</v>
      </c>
    </row>
    <row r="895" spans="1:49">
      <c r="A895" s="1">
        <f>HYPERLINK("https://lsnyc.legalserver.org/matter/dynamic-profile/view/1874606","18-1874606")</f>
        <v>0</v>
      </c>
      <c r="B895" t="s">
        <v>114</v>
      </c>
      <c r="C895" t="s">
        <v>340</v>
      </c>
      <c r="D895" t="s">
        <v>461</v>
      </c>
      <c r="F895" t="s">
        <v>1503</v>
      </c>
      <c r="G895" t="s">
        <v>5674</v>
      </c>
      <c r="H895" t="s">
        <v>10433</v>
      </c>
      <c r="I895">
        <v>1001</v>
      </c>
      <c r="J895" t="s">
        <v>18905</v>
      </c>
      <c r="K895">
        <v>11692</v>
      </c>
      <c r="L895" t="s">
        <v>18958</v>
      </c>
      <c r="M895" t="s">
        <v>18958</v>
      </c>
      <c r="N895" t="s">
        <v>19676</v>
      </c>
      <c r="O895" t="s">
        <v>26523</v>
      </c>
      <c r="P895" t="s">
        <v>26560</v>
      </c>
      <c r="R895" t="s">
        <v>26578</v>
      </c>
      <c r="S895" t="s">
        <v>18959</v>
      </c>
      <c r="U895" t="s">
        <v>26604</v>
      </c>
      <c r="V895" t="s">
        <v>26611</v>
      </c>
      <c r="W895" t="s">
        <v>461</v>
      </c>
      <c r="X895">
        <v>1820</v>
      </c>
      <c r="Y895" t="s">
        <v>26653</v>
      </c>
      <c r="Z895" t="s">
        <v>26664</v>
      </c>
      <c r="AB895" t="s">
        <v>27547</v>
      </c>
      <c r="AC895" t="s">
        <v>19330</v>
      </c>
      <c r="AD895" t="s">
        <v>37605</v>
      </c>
      <c r="AE895">
        <v>103</v>
      </c>
      <c r="AF895" t="s">
        <v>45543</v>
      </c>
      <c r="AG895" t="s">
        <v>45556</v>
      </c>
      <c r="AH895">
        <v>14</v>
      </c>
      <c r="AI895">
        <v>1</v>
      </c>
      <c r="AJ895">
        <v>2</v>
      </c>
      <c r="AK895">
        <v>82.58</v>
      </c>
      <c r="AN895" t="s">
        <v>7439</v>
      </c>
      <c r="AO895">
        <v>17160</v>
      </c>
      <c r="AQ895" t="s">
        <v>46365</v>
      </c>
      <c r="AR895" t="s">
        <v>26530</v>
      </c>
      <c r="AS895" t="s">
        <v>46499</v>
      </c>
      <c r="AT895" t="s">
        <v>46506</v>
      </c>
      <c r="AU895">
        <v>29.8</v>
      </c>
      <c r="AV895" t="s">
        <v>767</v>
      </c>
      <c r="AW895" t="s">
        <v>161</v>
      </c>
    </row>
    <row r="896" spans="1:49">
      <c r="A896" s="1">
        <f>HYPERLINK("https://lsnyc.legalserver.org/matter/dynamic-profile/view/1874564","18-1874564")</f>
        <v>0</v>
      </c>
      <c r="B896" t="s">
        <v>114</v>
      </c>
      <c r="C896" t="s">
        <v>340</v>
      </c>
      <c r="D896" t="s">
        <v>461</v>
      </c>
      <c r="F896" t="s">
        <v>1504</v>
      </c>
      <c r="G896" t="s">
        <v>5675</v>
      </c>
      <c r="H896" t="s">
        <v>10434</v>
      </c>
      <c r="I896" t="s">
        <v>17548</v>
      </c>
      <c r="J896" t="s">
        <v>18913</v>
      </c>
      <c r="K896">
        <v>11106</v>
      </c>
      <c r="L896" t="s">
        <v>18958</v>
      </c>
      <c r="M896" t="s">
        <v>18958</v>
      </c>
      <c r="N896" t="s">
        <v>19677</v>
      </c>
      <c r="O896" t="s">
        <v>26524</v>
      </c>
      <c r="P896" t="s">
        <v>26560</v>
      </c>
      <c r="R896" t="s">
        <v>26584</v>
      </c>
      <c r="S896" t="s">
        <v>18959</v>
      </c>
      <c r="U896" t="s">
        <v>26604</v>
      </c>
      <c r="V896" t="s">
        <v>26610</v>
      </c>
      <c r="W896" t="s">
        <v>461</v>
      </c>
      <c r="X896">
        <v>2600</v>
      </c>
      <c r="Y896" t="s">
        <v>26653</v>
      </c>
      <c r="Z896" t="s">
        <v>26664</v>
      </c>
      <c r="AB896" t="s">
        <v>27548</v>
      </c>
      <c r="AD896" t="s">
        <v>37606</v>
      </c>
      <c r="AE896">
        <v>2</v>
      </c>
      <c r="AF896" t="s">
        <v>45547</v>
      </c>
      <c r="AG896" t="s">
        <v>19330</v>
      </c>
      <c r="AH896">
        <v>11</v>
      </c>
      <c r="AI896">
        <v>3</v>
      </c>
      <c r="AJ896">
        <v>2</v>
      </c>
      <c r="AK896">
        <v>108.7</v>
      </c>
      <c r="AM896" t="s">
        <v>45576</v>
      </c>
      <c r="AN896" t="s">
        <v>7439</v>
      </c>
      <c r="AO896">
        <v>31980</v>
      </c>
      <c r="AU896">
        <v>13</v>
      </c>
      <c r="AV896" t="s">
        <v>518</v>
      </c>
      <c r="AW896" t="s">
        <v>208</v>
      </c>
    </row>
    <row r="897" spans="1:49">
      <c r="A897" s="1">
        <f>HYPERLINK("https://lsnyc.legalserver.org/matter/dynamic-profile/view/1874645","18-1874645")</f>
        <v>0</v>
      </c>
      <c r="B897" t="s">
        <v>173</v>
      </c>
      <c r="C897" t="s">
        <v>340</v>
      </c>
      <c r="D897" t="s">
        <v>461</v>
      </c>
      <c r="F897" t="s">
        <v>1505</v>
      </c>
      <c r="G897" t="s">
        <v>5676</v>
      </c>
      <c r="H897" t="s">
        <v>10435</v>
      </c>
      <c r="I897" t="s">
        <v>17356</v>
      </c>
      <c r="J897" t="s">
        <v>18893</v>
      </c>
      <c r="K897">
        <v>10025</v>
      </c>
      <c r="L897" t="s">
        <v>18958</v>
      </c>
      <c r="M897" t="s">
        <v>18958</v>
      </c>
      <c r="N897" t="s">
        <v>19678</v>
      </c>
      <c r="O897" t="s">
        <v>26523</v>
      </c>
      <c r="P897" t="s">
        <v>26560</v>
      </c>
      <c r="R897" t="s">
        <v>26580</v>
      </c>
      <c r="S897" t="s">
        <v>18959</v>
      </c>
      <c r="U897" t="s">
        <v>26604</v>
      </c>
      <c r="W897" t="s">
        <v>461</v>
      </c>
      <c r="X897">
        <v>901</v>
      </c>
      <c r="Y897" t="s">
        <v>26651</v>
      </c>
      <c r="Z897" t="s">
        <v>26661</v>
      </c>
      <c r="AB897" t="s">
        <v>27549</v>
      </c>
      <c r="AD897" t="s">
        <v>37607</v>
      </c>
      <c r="AE897">
        <v>20</v>
      </c>
      <c r="AF897" t="s">
        <v>20460</v>
      </c>
      <c r="AG897" t="s">
        <v>19330</v>
      </c>
      <c r="AH897">
        <v>17</v>
      </c>
      <c r="AI897">
        <v>3</v>
      </c>
      <c r="AJ897">
        <v>1</v>
      </c>
      <c r="AK897">
        <v>59.67</v>
      </c>
      <c r="AN897" t="s">
        <v>7439</v>
      </c>
      <c r="AO897">
        <v>14976</v>
      </c>
      <c r="AU897">
        <v>13.3</v>
      </c>
      <c r="AV897" t="s">
        <v>693</v>
      </c>
      <c r="AW897" t="s">
        <v>314</v>
      </c>
    </row>
    <row r="898" spans="1:49">
      <c r="A898" s="1">
        <f>HYPERLINK("https://lsnyc.legalserver.org/matter/dynamic-profile/view/1874552","18-1874552")</f>
        <v>0</v>
      </c>
      <c r="B898" t="s">
        <v>173</v>
      </c>
      <c r="C898" t="s">
        <v>340</v>
      </c>
      <c r="D898" t="s">
        <v>461</v>
      </c>
      <c r="F898" t="s">
        <v>1506</v>
      </c>
      <c r="G898" t="s">
        <v>5677</v>
      </c>
      <c r="H898" t="s">
        <v>10436</v>
      </c>
      <c r="I898" t="s">
        <v>17272</v>
      </c>
      <c r="J898" t="s">
        <v>18893</v>
      </c>
      <c r="K898">
        <v>10027</v>
      </c>
      <c r="L898" t="s">
        <v>18958</v>
      </c>
      <c r="M898" t="s">
        <v>18958</v>
      </c>
      <c r="N898" t="s">
        <v>19679</v>
      </c>
      <c r="O898" t="s">
        <v>26523</v>
      </c>
      <c r="P898" t="s">
        <v>26560</v>
      </c>
      <c r="R898" t="s">
        <v>26580</v>
      </c>
      <c r="S898" t="s">
        <v>18959</v>
      </c>
      <c r="U898" t="s">
        <v>26604</v>
      </c>
      <c r="V898" t="s">
        <v>26610</v>
      </c>
      <c r="W898" t="s">
        <v>461</v>
      </c>
      <c r="X898">
        <v>762.16</v>
      </c>
      <c r="Y898" t="s">
        <v>26651</v>
      </c>
      <c r="Z898" t="s">
        <v>26664</v>
      </c>
      <c r="AB898" t="s">
        <v>27550</v>
      </c>
      <c r="AD898" t="s">
        <v>37608</v>
      </c>
      <c r="AE898">
        <v>10</v>
      </c>
      <c r="AF898" t="s">
        <v>45552</v>
      </c>
      <c r="AG898" t="s">
        <v>45556</v>
      </c>
      <c r="AH898">
        <v>10</v>
      </c>
      <c r="AI898">
        <v>1</v>
      </c>
      <c r="AJ898">
        <v>0</v>
      </c>
      <c r="AK898">
        <v>80.66</v>
      </c>
      <c r="AN898" t="s">
        <v>7439</v>
      </c>
      <c r="AO898">
        <v>9792</v>
      </c>
      <c r="AU898">
        <v>14.35</v>
      </c>
      <c r="AV898" t="s">
        <v>519</v>
      </c>
      <c r="AW898" t="s">
        <v>314</v>
      </c>
    </row>
    <row r="899" spans="1:49">
      <c r="A899" s="1">
        <f>HYPERLINK("https://lsnyc.legalserver.org/matter/dynamic-profile/view/1874710","18-1874710")</f>
        <v>0</v>
      </c>
      <c r="B899" t="s">
        <v>215</v>
      </c>
      <c r="C899" t="s">
        <v>341</v>
      </c>
      <c r="D899" t="s">
        <v>504</v>
      </c>
      <c r="E899" t="s">
        <v>504</v>
      </c>
      <c r="F899" t="s">
        <v>1507</v>
      </c>
      <c r="G899" t="s">
        <v>1901</v>
      </c>
      <c r="H899" t="s">
        <v>10437</v>
      </c>
      <c r="I899">
        <v>12</v>
      </c>
      <c r="J899" t="s">
        <v>18893</v>
      </c>
      <c r="K899">
        <v>10002</v>
      </c>
      <c r="L899" t="s">
        <v>18958</v>
      </c>
      <c r="M899" t="s">
        <v>18958</v>
      </c>
      <c r="O899" t="s">
        <v>18997</v>
      </c>
      <c r="P899" t="s">
        <v>26565</v>
      </c>
      <c r="Q899" t="s">
        <v>26571</v>
      </c>
      <c r="R899" t="s">
        <v>26578</v>
      </c>
      <c r="S899" t="s">
        <v>18959</v>
      </c>
      <c r="U899" t="s">
        <v>26604</v>
      </c>
      <c r="W899" t="s">
        <v>461</v>
      </c>
      <c r="X899">
        <v>0</v>
      </c>
      <c r="Y899" t="s">
        <v>26651</v>
      </c>
      <c r="Z899" t="s">
        <v>26667</v>
      </c>
      <c r="AA899" t="s">
        <v>26683</v>
      </c>
      <c r="AD899" t="s">
        <v>37609</v>
      </c>
      <c r="AE899">
        <v>0</v>
      </c>
      <c r="AF899" t="s">
        <v>20460</v>
      </c>
      <c r="AG899" t="s">
        <v>19330</v>
      </c>
      <c r="AH899">
        <v>0</v>
      </c>
      <c r="AI899">
        <v>2</v>
      </c>
      <c r="AJ899">
        <v>0</v>
      </c>
      <c r="AK899">
        <v>94.78</v>
      </c>
      <c r="AO899">
        <v>15600</v>
      </c>
      <c r="AU899">
        <v>0.1</v>
      </c>
      <c r="AV899" t="s">
        <v>504</v>
      </c>
      <c r="AW899" t="s">
        <v>314</v>
      </c>
    </row>
    <row r="900" spans="1:49">
      <c r="A900" s="1">
        <f>HYPERLINK("https://lsnyc.legalserver.org/matter/dynamic-profile/view/1875090","18-1875090")</f>
        <v>0</v>
      </c>
      <c r="B900" t="s">
        <v>100</v>
      </c>
      <c r="C900" t="s">
        <v>341</v>
      </c>
      <c r="D900" t="s">
        <v>505</v>
      </c>
      <c r="E900" t="s">
        <v>505</v>
      </c>
      <c r="F900" t="s">
        <v>1233</v>
      </c>
      <c r="G900" t="s">
        <v>5678</v>
      </c>
      <c r="H900" t="s">
        <v>10438</v>
      </c>
      <c r="I900" t="s">
        <v>17349</v>
      </c>
      <c r="J900" t="s">
        <v>18892</v>
      </c>
      <c r="K900">
        <v>10459</v>
      </c>
      <c r="L900" t="s">
        <v>18958</v>
      </c>
      <c r="M900" t="s">
        <v>18958</v>
      </c>
      <c r="O900" t="s">
        <v>18997</v>
      </c>
      <c r="P900" t="s">
        <v>26564</v>
      </c>
      <c r="Q900" t="s">
        <v>26570</v>
      </c>
      <c r="R900" t="s">
        <v>26578</v>
      </c>
      <c r="S900" t="s">
        <v>18959</v>
      </c>
      <c r="T900" t="s">
        <v>26578</v>
      </c>
      <c r="U900" t="s">
        <v>26604</v>
      </c>
      <c r="V900" t="s">
        <v>26610</v>
      </c>
      <c r="W900" t="s">
        <v>461</v>
      </c>
      <c r="X900">
        <v>1300</v>
      </c>
      <c r="Y900" t="s">
        <v>26650</v>
      </c>
      <c r="Z900" t="s">
        <v>26663</v>
      </c>
      <c r="AA900" t="s">
        <v>26683</v>
      </c>
      <c r="AB900" t="s">
        <v>27551</v>
      </c>
      <c r="AD900" t="s">
        <v>37610</v>
      </c>
      <c r="AE900">
        <v>27</v>
      </c>
      <c r="AF900" t="s">
        <v>45543</v>
      </c>
      <c r="AH900">
        <v>19</v>
      </c>
      <c r="AI900">
        <v>1</v>
      </c>
      <c r="AJ900">
        <v>0</v>
      </c>
      <c r="AK900">
        <v>74.14</v>
      </c>
      <c r="AN900" t="s">
        <v>7439</v>
      </c>
      <c r="AO900">
        <v>9000</v>
      </c>
      <c r="AU900">
        <v>0.1</v>
      </c>
      <c r="AV900" t="s">
        <v>505</v>
      </c>
      <c r="AW900" t="s">
        <v>100</v>
      </c>
    </row>
    <row r="901" spans="1:49">
      <c r="A901" s="1">
        <f>HYPERLINK("https://lsnyc.legalserver.org/matter/dynamic-profile/view/1876808","18-1876808")</f>
        <v>0</v>
      </c>
      <c r="B901" t="s">
        <v>134</v>
      </c>
      <c r="C901" t="s">
        <v>340</v>
      </c>
      <c r="D901" t="s">
        <v>422</v>
      </c>
      <c r="F901" t="s">
        <v>1508</v>
      </c>
      <c r="G901" t="s">
        <v>5679</v>
      </c>
      <c r="H901" t="s">
        <v>10439</v>
      </c>
      <c r="I901" t="s">
        <v>17309</v>
      </c>
      <c r="J901" t="s">
        <v>18894</v>
      </c>
      <c r="K901">
        <v>11216</v>
      </c>
      <c r="L901" t="s">
        <v>18958</v>
      </c>
      <c r="M901" t="s">
        <v>18958</v>
      </c>
      <c r="O901" t="s">
        <v>26528</v>
      </c>
      <c r="P901" t="s">
        <v>26560</v>
      </c>
      <c r="R901" t="s">
        <v>26578</v>
      </c>
      <c r="S901" t="s">
        <v>18958</v>
      </c>
      <c r="U901" t="s">
        <v>26604</v>
      </c>
      <c r="W901" t="s">
        <v>461</v>
      </c>
      <c r="X901">
        <v>1350</v>
      </c>
      <c r="Y901" t="s">
        <v>26652</v>
      </c>
      <c r="Z901" t="s">
        <v>26667</v>
      </c>
      <c r="AB901" t="s">
        <v>27552</v>
      </c>
      <c r="AD901" t="s">
        <v>37611</v>
      </c>
      <c r="AE901">
        <v>82</v>
      </c>
      <c r="AF901" t="s">
        <v>45541</v>
      </c>
      <c r="AG901" t="s">
        <v>19330</v>
      </c>
      <c r="AH901">
        <v>1</v>
      </c>
      <c r="AI901">
        <v>1</v>
      </c>
      <c r="AJ901">
        <v>0</v>
      </c>
      <c r="AK901">
        <v>577.11</v>
      </c>
      <c r="AN901" t="s">
        <v>7439</v>
      </c>
      <c r="AO901">
        <v>70061</v>
      </c>
      <c r="AP901" t="s">
        <v>45635</v>
      </c>
      <c r="AU901">
        <v>0</v>
      </c>
      <c r="AW901" t="s">
        <v>279</v>
      </c>
    </row>
    <row r="902" spans="1:49">
      <c r="A902" s="1">
        <f>HYPERLINK("https://lsnyc.legalserver.org/matter/dynamic-profile/view/1876806","18-1876806")</f>
        <v>0</v>
      </c>
      <c r="B902" t="s">
        <v>134</v>
      </c>
      <c r="C902" t="s">
        <v>340</v>
      </c>
      <c r="D902" t="s">
        <v>422</v>
      </c>
      <c r="F902" t="s">
        <v>1508</v>
      </c>
      <c r="G902" t="s">
        <v>5679</v>
      </c>
      <c r="H902" t="s">
        <v>10439</v>
      </c>
      <c r="I902" t="s">
        <v>17309</v>
      </c>
      <c r="J902" t="s">
        <v>18894</v>
      </c>
      <c r="K902">
        <v>11216</v>
      </c>
      <c r="L902" t="s">
        <v>18958</v>
      </c>
      <c r="M902" t="s">
        <v>18958</v>
      </c>
      <c r="O902" t="s">
        <v>18997</v>
      </c>
      <c r="P902" t="s">
        <v>26565</v>
      </c>
      <c r="R902" t="s">
        <v>26578</v>
      </c>
      <c r="S902" t="s">
        <v>18958</v>
      </c>
      <c r="U902" t="s">
        <v>26604</v>
      </c>
      <c r="W902" t="s">
        <v>461</v>
      </c>
      <c r="X902">
        <v>1350</v>
      </c>
      <c r="Y902" t="s">
        <v>26652</v>
      </c>
      <c r="Z902" t="s">
        <v>26667</v>
      </c>
      <c r="AB902" t="s">
        <v>27552</v>
      </c>
      <c r="AD902" t="s">
        <v>37611</v>
      </c>
      <c r="AE902">
        <v>82</v>
      </c>
      <c r="AF902" t="s">
        <v>45541</v>
      </c>
      <c r="AG902" t="s">
        <v>19330</v>
      </c>
      <c r="AH902">
        <v>1</v>
      </c>
      <c r="AI902">
        <v>1</v>
      </c>
      <c r="AJ902">
        <v>0</v>
      </c>
      <c r="AK902">
        <v>577.11</v>
      </c>
      <c r="AN902" t="s">
        <v>7439</v>
      </c>
      <c r="AO902">
        <v>70061</v>
      </c>
      <c r="AP902" t="s">
        <v>45635</v>
      </c>
      <c r="AU902">
        <v>0.1</v>
      </c>
      <c r="AV902" t="s">
        <v>769</v>
      </c>
      <c r="AW902" t="s">
        <v>279</v>
      </c>
    </row>
    <row r="903" spans="1:49">
      <c r="A903" s="1">
        <f>HYPERLINK("https://lsnyc.legalserver.org/matter/dynamic-profile/view/1868757","18-1868757")</f>
        <v>0</v>
      </c>
      <c r="B903" t="s">
        <v>175</v>
      </c>
      <c r="C903" t="s">
        <v>341</v>
      </c>
      <c r="D903" t="s">
        <v>506</v>
      </c>
      <c r="E903" t="s">
        <v>504</v>
      </c>
      <c r="F903" t="s">
        <v>1194</v>
      </c>
      <c r="G903" t="s">
        <v>5680</v>
      </c>
      <c r="H903" t="s">
        <v>10440</v>
      </c>
      <c r="I903" t="s">
        <v>17549</v>
      </c>
      <c r="J903" t="s">
        <v>18894</v>
      </c>
      <c r="K903">
        <v>11218</v>
      </c>
      <c r="L903" t="s">
        <v>18958</v>
      </c>
      <c r="M903" t="s">
        <v>18958</v>
      </c>
      <c r="N903" t="s">
        <v>19680</v>
      </c>
      <c r="O903" t="s">
        <v>26524</v>
      </c>
      <c r="P903" t="s">
        <v>26564</v>
      </c>
      <c r="Q903" t="s">
        <v>26570</v>
      </c>
      <c r="R903" t="s">
        <v>26586</v>
      </c>
      <c r="S903" t="s">
        <v>18959</v>
      </c>
      <c r="U903" t="s">
        <v>26604</v>
      </c>
      <c r="W903" t="s">
        <v>504</v>
      </c>
      <c r="X903">
        <v>950</v>
      </c>
      <c r="Y903" t="s">
        <v>26652</v>
      </c>
      <c r="Z903" t="s">
        <v>26662</v>
      </c>
      <c r="AA903" t="s">
        <v>26683</v>
      </c>
      <c r="AB903" t="s">
        <v>27553</v>
      </c>
      <c r="AC903" t="s">
        <v>34776</v>
      </c>
      <c r="AD903" t="s">
        <v>37612</v>
      </c>
      <c r="AE903">
        <v>150</v>
      </c>
      <c r="AF903" t="s">
        <v>45541</v>
      </c>
      <c r="AG903" t="s">
        <v>19330</v>
      </c>
      <c r="AH903">
        <v>30</v>
      </c>
      <c r="AI903">
        <v>1</v>
      </c>
      <c r="AJ903">
        <v>2</v>
      </c>
      <c r="AK903">
        <v>23.1</v>
      </c>
      <c r="AN903" t="s">
        <v>45582</v>
      </c>
      <c r="AO903">
        <v>4800</v>
      </c>
      <c r="AU903">
        <v>6</v>
      </c>
      <c r="AV903" t="s">
        <v>504</v>
      </c>
      <c r="AW903" t="s">
        <v>237</v>
      </c>
    </row>
    <row r="904" spans="1:49">
      <c r="A904" s="1">
        <f>HYPERLINK("https://lsnyc.legalserver.org/matter/dynamic-profile/view/1872328","18-1872328")</f>
        <v>0</v>
      </c>
      <c r="B904" t="s">
        <v>118</v>
      </c>
      <c r="C904" t="s">
        <v>341</v>
      </c>
      <c r="D904" t="s">
        <v>446</v>
      </c>
      <c r="E904" t="s">
        <v>416</v>
      </c>
      <c r="F904" t="s">
        <v>1250</v>
      </c>
      <c r="G904" t="s">
        <v>5681</v>
      </c>
      <c r="H904" t="s">
        <v>10441</v>
      </c>
      <c r="I904" t="s">
        <v>17274</v>
      </c>
      <c r="J904" t="s">
        <v>18893</v>
      </c>
      <c r="K904">
        <v>10029</v>
      </c>
      <c r="L904" t="s">
        <v>18958</v>
      </c>
      <c r="M904" t="s">
        <v>18958</v>
      </c>
      <c r="N904" t="s">
        <v>19681</v>
      </c>
      <c r="O904" t="s">
        <v>26523</v>
      </c>
      <c r="P904" t="s">
        <v>26560</v>
      </c>
      <c r="Q904" t="s">
        <v>26573</v>
      </c>
      <c r="R904" t="s">
        <v>26578</v>
      </c>
      <c r="S904" t="s">
        <v>18959</v>
      </c>
      <c r="U904" t="s">
        <v>26604</v>
      </c>
      <c r="V904" t="s">
        <v>26610</v>
      </c>
      <c r="W904" t="s">
        <v>504</v>
      </c>
      <c r="X904">
        <v>964.5</v>
      </c>
      <c r="Y904" t="s">
        <v>26651</v>
      </c>
      <c r="Z904" t="s">
        <v>26673</v>
      </c>
      <c r="AA904" t="s">
        <v>26678</v>
      </c>
      <c r="AB904" t="s">
        <v>27554</v>
      </c>
      <c r="AE904">
        <v>11</v>
      </c>
      <c r="AF904" t="s">
        <v>45541</v>
      </c>
      <c r="AG904" t="s">
        <v>19330</v>
      </c>
      <c r="AH904">
        <v>12</v>
      </c>
      <c r="AI904">
        <v>1</v>
      </c>
      <c r="AJ904">
        <v>0</v>
      </c>
      <c r="AK904">
        <v>172.78</v>
      </c>
      <c r="AN904" t="s">
        <v>7439</v>
      </c>
      <c r="AO904">
        <v>20976</v>
      </c>
      <c r="AP904" t="s">
        <v>45663</v>
      </c>
      <c r="AU904">
        <v>5</v>
      </c>
      <c r="AV904" t="s">
        <v>545</v>
      </c>
      <c r="AW904" t="s">
        <v>46861</v>
      </c>
    </row>
    <row r="905" spans="1:49">
      <c r="A905" s="1">
        <f>HYPERLINK("https://lsnyc.legalserver.org/matter/dynamic-profile/view/1872340","18-1872340")</f>
        <v>0</v>
      </c>
      <c r="B905" t="s">
        <v>118</v>
      </c>
      <c r="C905" t="s">
        <v>340</v>
      </c>
      <c r="D905" t="s">
        <v>446</v>
      </c>
      <c r="F905" t="s">
        <v>1008</v>
      </c>
      <c r="G905" t="s">
        <v>5078</v>
      </c>
      <c r="H905" t="s">
        <v>10442</v>
      </c>
      <c r="I905">
        <v>65</v>
      </c>
      <c r="J905" t="s">
        <v>18893</v>
      </c>
      <c r="K905">
        <v>10029</v>
      </c>
      <c r="L905" t="s">
        <v>18958</v>
      </c>
      <c r="M905" t="s">
        <v>18958</v>
      </c>
      <c r="N905" t="s">
        <v>19682</v>
      </c>
      <c r="O905" t="s">
        <v>26523</v>
      </c>
      <c r="P905" t="s">
        <v>26560</v>
      </c>
      <c r="R905" t="s">
        <v>26578</v>
      </c>
      <c r="S905" t="s">
        <v>18959</v>
      </c>
      <c r="U905" t="s">
        <v>26604</v>
      </c>
      <c r="V905" t="s">
        <v>26613</v>
      </c>
      <c r="W905" t="s">
        <v>504</v>
      </c>
      <c r="X905">
        <v>1029.07</v>
      </c>
      <c r="Y905" t="s">
        <v>26651</v>
      </c>
      <c r="Z905" t="s">
        <v>26674</v>
      </c>
      <c r="AB905" t="s">
        <v>27555</v>
      </c>
      <c r="AE905">
        <v>65</v>
      </c>
      <c r="AF905" t="s">
        <v>20460</v>
      </c>
      <c r="AG905" t="s">
        <v>19330</v>
      </c>
      <c r="AH905">
        <v>21</v>
      </c>
      <c r="AI905">
        <v>2</v>
      </c>
      <c r="AJ905">
        <v>0</v>
      </c>
      <c r="AK905">
        <v>54.68</v>
      </c>
      <c r="AN905" t="s">
        <v>7439</v>
      </c>
      <c r="AO905">
        <v>9000</v>
      </c>
      <c r="AP905" t="s">
        <v>45676</v>
      </c>
      <c r="AU905">
        <v>19</v>
      </c>
      <c r="AV905" t="s">
        <v>667</v>
      </c>
      <c r="AW905" t="s">
        <v>314</v>
      </c>
    </row>
    <row r="906" spans="1:49">
      <c r="A906" s="1">
        <f>HYPERLINK("https://lsnyc.legalserver.org/matter/dynamic-profile/view/1872492","18-1872492")</f>
        <v>0</v>
      </c>
      <c r="B906" t="s">
        <v>118</v>
      </c>
      <c r="C906" t="s">
        <v>341</v>
      </c>
      <c r="D906" t="s">
        <v>408</v>
      </c>
      <c r="E906" t="s">
        <v>452</v>
      </c>
      <c r="F906" t="s">
        <v>1509</v>
      </c>
      <c r="G906" t="s">
        <v>5682</v>
      </c>
      <c r="H906" t="s">
        <v>10443</v>
      </c>
      <c r="I906" t="s">
        <v>17550</v>
      </c>
      <c r="J906" t="s">
        <v>18893</v>
      </c>
      <c r="K906">
        <v>10029</v>
      </c>
      <c r="L906" t="s">
        <v>18958</v>
      </c>
      <c r="M906" t="s">
        <v>18958</v>
      </c>
      <c r="N906" t="s">
        <v>19683</v>
      </c>
      <c r="O906" t="s">
        <v>26523</v>
      </c>
      <c r="P906" t="s">
        <v>26564</v>
      </c>
      <c r="Q906" t="s">
        <v>26570</v>
      </c>
      <c r="R906" t="s">
        <v>26578</v>
      </c>
      <c r="S906" t="s">
        <v>18959</v>
      </c>
      <c r="U906" t="s">
        <v>26604</v>
      </c>
      <c r="V906" t="s">
        <v>26610</v>
      </c>
      <c r="W906" t="s">
        <v>504</v>
      </c>
      <c r="X906">
        <v>2200</v>
      </c>
      <c r="Y906" t="s">
        <v>26651</v>
      </c>
      <c r="Z906" t="s">
        <v>26530</v>
      </c>
      <c r="AA906" t="s">
        <v>26683</v>
      </c>
      <c r="AB906" t="s">
        <v>27556</v>
      </c>
      <c r="AD906" t="s">
        <v>37613</v>
      </c>
      <c r="AE906">
        <v>6</v>
      </c>
      <c r="AF906" t="s">
        <v>45547</v>
      </c>
      <c r="AG906" t="s">
        <v>19330</v>
      </c>
      <c r="AH906">
        <v>3</v>
      </c>
      <c r="AI906">
        <v>2</v>
      </c>
      <c r="AJ906">
        <v>0</v>
      </c>
      <c r="AK906">
        <v>291.62</v>
      </c>
      <c r="AL906" t="s">
        <v>614</v>
      </c>
      <c r="AM906" t="s">
        <v>45575</v>
      </c>
      <c r="AN906" t="s">
        <v>7439</v>
      </c>
      <c r="AO906">
        <v>48000</v>
      </c>
      <c r="AU906">
        <v>1.2</v>
      </c>
      <c r="AV906" t="s">
        <v>588</v>
      </c>
      <c r="AW906" t="s">
        <v>46846</v>
      </c>
    </row>
    <row r="907" spans="1:49">
      <c r="A907" s="1">
        <f>HYPERLINK("https://lsnyc.legalserver.org/matter/dynamic-profile/view/1873682","18-1873682")</f>
        <v>0</v>
      </c>
      <c r="B907" t="s">
        <v>216</v>
      </c>
      <c r="C907" t="s">
        <v>341</v>
      </c>
      <c r="D907" t="s">
        <v>476</v>
      </c>
      <c r="E907" t="s">
        <v>707</v>
      </c>
      <c r="F907" t="s">
        <v>1510</v>
      </c>
      <c r="G907" t="s">
        <v>5683</v>
      </c>
      <c r="H907" t="s">
        <v>10444</v>
      </c>
      <c r="I907" t="s">
        <v>17551</v>
      </c>
      <c r="J907" t="s">
        <v>18894</v>
      </c>
      <c r="K907">
        <v>11233</v>
      </c>
      <c r="L907" t="s">
        <v>18958</v>
      </c>
      <c r="M907" t="s">
        <v>18958</v>
      </c>
      <c r="N907" t="s">
        <v>19684</v>
      </c>
      <c r="O907" t="s">
        <v>26523</v>
      </c>
      <c r="P907" t="s">
        <v>26560</v>
      </c>
      <c r="Q907" t="s">
        <v>26568</v>
      </c>
      <c r="R907" t="s">
        <v>26578</v>
      </c>
      <c r="S907" t="s">
        <v>18959</v>
      </c>
      <c r="U907" t="s">
        <v>26604</v>
      </c>
      <c r="W907" t="s">
        <v>504</v>
      </c>
      <c r="X907">
        <v>1758</v>
      </c>
      <c r="Y907" t="s">
        <v>26652</v>
      </c>
      <c r="Z907" t="s">
        <v>26656</v>
      </c>
      <c r="AA907" t="s">
        <v>26678</v>
      </c>
      <c r="AB907" t="s">
        <v>27557</v>
      </c>
      <c r="AC907" t="s">
        <v>34777</v>
      </c>
      <c r="AE907">
        <v>6</v>
      </c>
      <c r="AF907" t="s">
        <v>45541</v>
      </c>
      <c r="AG907" t="s">
        <v>45561</v>
      </c>
      <c r="AH907">
        <v>8</v>
      </c>
      <c r="AI907">
        <v>1</v>
      </c>
      <c r="AJ907">
        <v>0</v>
      </c>
      <c r="AK907">
        <v>157.76</v>
      </c>
      <c r="AN907" t="s">
        <v>7439</v>
      </c>
      <c r="AO907">
        <v>19152</v>
      </c>
      <c r="AU907">
        <v>36.4</v>
      </c>
      <c r="AV907" t="s">
        <v>704</v>
      </c>
      <c r="AW907" t="s">
        <v>46841</v>
      </c>
    </row>
    <row r="908" spans="1:49">
      <c r="A908" s="1">
        <f>HYPERLINK("https://lsnyc.legalserver.org/matter/dynamic-profile/view/1873869","18-1873869")</f>
        <v>0</v>
      </c>
      <c r="B908" t="s">
        <v>86</v>
      </c>
      <c r="C908" t="s">
        <v>341</v>
      </c>
      <c r="D908" t="s">
        <v>469</v>
      </c>
      <c r="E908" t="s">
        <v>687</v>
      </c>
      <c r="F908" t="s">
        <v>1345</v>
      </c>
      <c r="G908" t="s">
        <v>5313</v>
      </c>
      <c r="H908" t="s">
        <v>10445</v>
      </c>
      <c r="I908" t="s">
        <v>17275</v>
      </c>
      <c r="J908" t="s">
        <v>18893</v>
      </c>
      <c r="K908">
        <v>10026</v>
      </c>
      <c r="L908" t="s">
        <v>18958</v>
      </c>
      <c r="M908" t="s">
        <v>18958</v>
      </c>
      <c r="N908" t="s">
        <v>19685</v>
      </c>
      <c r="O908" t="s">
        <v>26523</v>
      </c>
      <c r="P908" t="s">
        <v>26560</v>
      </c>
      <c r="Q908" t="s">
        <v>26568</v>
      </c>
      <c r="R908" t="s">
        <v>26580</v>
      </c>
      <c r="S908" t="s">
        <v>18959</v>
      </c>
      <c r="U908" t="s">
        <v>26604</v>
      </c>
      <c r="W908" t="s">
        <v>504</v>
      </c>
      <c r="X908">
        <v>2400</v>
      </c>
      <c r="Y908" t="s">
        <v>26651</v>
      </c>
      <c r="Z908" t="s">
        <v>26662</v>
      </c>
      <c r="AA908" t="s">
        <v>26678</v>
      </c>
      <c r="AB908" t="s">
        <v>27558</v>
      </c>
      <c r="AD908" t="s">
        <v>37614</v>
      </c>
      <c r="AE908">
        <v>0</v>
      </c>
      <c r="AF908" t="s">
        <v>20460</v>
      </c>
      <c r="AG908" t="s">
        <v>45556</v>
      </c>
      <c r="AH908">
        <v>15</v>
      </c>
      <c r="AI908">
        <v>1</v>
      </c>
      <c r="AJ908">
        <v>0</v>
      </c>
      <c r="AK908">
        <v>79.08</v>
      </c>
      <c r="AN908" t="s">
        <v>7439</v>
      </c>
      <c r="AO908">
        <v>9600</v>
      </c>
      <c r="AS908" t="s">
        <v>46499</v>
      </c>
      <c r="AT908" t="s">
        <v>46624</v>
      </c>
      <c r="AU908">
        <v>15.95</v>
      </c>
      <c r="AV908" t="s">
        <v>652</v>
      </c>
      <c r="AW908" t="s">
        <v>314</v>
      </c>
    </row>
    <row r="909" spans="1:49">
      <c r="A909" s="1">
        <f>HYPERLINK("https://lsnyc.legalserver.org/matter/dynamic-profile/view/1873860","18-1873860")</f>
        <v>0</v>
      </c>
      <c r="B909" t="s">
        <v>191</v>
      </c>
      <c r="C909" t="s">
        <v>340</v>
      </c>
      <c r="D909" t="s">
        <v>469</v>
      </c>
      <c r="F909" t="s">
        <v>1197</v>
      </c>
      <c r="G909" t="s">
        <v>5684</v>
      </c>
      <c r="H909" t="s">
        <v>10446</v>
      </c>
      <c r="I909" t="s">
        <v>17380</v>
      </c>
      <c r="J909" t="s">
        <v>18893</v>
      </c>
      <c r="K909">
        <v>10026</v>
      </c>
      <c r="L909" t="s">
        <v>18958</v>
      </c>
      <c r="M909" t="s">
        <v>18958</v>
      </c>
      <c r="N909" t="s">
        <v>19686</v>
      </c>
      <c r="O909" t="s">
        <v>26523</v>
      </c>
      <c r="P909" t="s">
        <v>26560</v>
      </c>
      <c r="R909" t="s">
        <v>26580</v>
      </c>
      <c r="S909" t="s">
        <v>18959</v>
      </c>
      <c r="U909" t="s">
        <v>26604</v>
      </c>
      <c r="W909" t="s">
        <v>504</v>
      </c>
      <c r="X909">
        <v>1250</v>
      </c>
      <c r="Y909" t="s">
        <v>26651</v>
      </c>
      <c r="Z909" t="s">
        <v>26662</v>
      </c>
      <c r="AB909" t="s">
        <v>27559</v>
      </c>
      <c r="AD909" t="s">
        <v>37615</v>
      </c>
      <c r="AE909">
        <v>0</v>
      </c>
      <c r="AF909" t="s">
        <v>45552</v>
      </c>
      <c r="AG909" t="s">
        <v>19330</v>
      </c>
      <c r="AH909">
        <v>15</v>
      </c>
      <c r="AI909">
        <v>3</v>
      </c>
      <c r="AJ909">
        <v>0</v>
      </c>
      <c r="AK909">
        <v>161.02</v>
      </c>
      <c r="AN909" t="s">
        <v>7439</v>
      </c>
      <c r="AO909">
        <v>33460</v>
      </c>
      <c r="AU909">
        <v>49.28</v>
      </c>
      <c r="AV909" t="s">
        <v>826</v>
      </c>
      <c r="AW909" t="s">
        <v>314</v>
      </c>
    </row>
    <row r="910" spans="1:49">
      <c r="A910" s="1">
        <f>HYPERLINK("https://lsnyc.legalserver.org/matter/dynamic-profile/view/1874450","18-1874450")</f>
        <v>0</v>
      </c>
      <c r="B910" t="s">
        <v>113</v>
      </c>
      <c r="C910" t="s">
        <v>341</v>
      </c>
      <c r="D910" t="s">
        <v>498</v>
      </c>
      <c r="E910" t="s">
        <v>670</v>
      </c>
      <c r="F910" t="s">
        <v>1511</v>
      </c>
      <c r="G910" t="s">
        <v>5208</v>
      </c>
      <c r="H910" t="s">
        <v>10447</v>
      </c>
      <c r="I910" t="s">
        <v>17489</v>
      </c>
      <c r="J910" t="s">
        <v>18892</v>
      </c>
      <c r="K910">
        <v>10453</v>
      </c>
      <c r="L910" t="s">
        <v>18958</v>
      </c>
      <c r="M910" t="s">
        <v>18958</v>
      </c>
      <c r="N910" t="s">
        <v>19687</v>
      </c>
      <c r="O910" t="s">
        <v>26523</v>
      </c>
      <c r="P910" t="s">
        <v>26565</v>
      </c>
      <c r="Q910" t="s">
        <v>26571</v>
      </c>
      <c r="R910" t="s">
        <v>26578</v>
      </c>
      <c r="S910" t="s">
        <v>18959</v>
      </c>
      <c r="U910" t="s">
        <v>26604</v>
      </c>
      <c r="W910" t="s">
        <v>504</v>
      </c>
      <c r="X910">
        <v>1600</v>
      </c>
      <c r="Y910" t="s">
        <v>26650</v>
      </c>
      <c r="Z910" t="s">
        <v>26673</v>
      </c>
      <c r="AA910" t="s">
        <v>26682</v>
      </c>
      <c r="AB910" t="s">
        <v>27560</v>
      </c>
      <c r="AD910" t="s">
        <v>37616</v>
      </c>
      <c r="AE910">
        <v>43</v>
      </c>
      <c r="AF910" t="s">
        <v>45543</v>
      </c>
      <c r="AG910" t="s">
        <v>45556</v>
      </c>
      <c r="AH910">
        <v>4</v>
      </c>
      <c r="AI910">
        <v>1</v>
      </c>
      <c r="AJ910">
        <v>0</v>
      </c>
      <c r="AK910">
        <v>68.01000000000001</v>
      </c>
      <c r="AN910" t="s">
        <v>45581</v>
      </c>
      <c r="AO910">
        <v>8256</v>
      </c>
      <c r="AU910">
        <v>2</v>
      </c>
      <c r="AV910" t="s">
        <v>504</v>
      </c>
      <c r="AW910" t="s">
        <v>46861</v>
      </c>
    </row>
    <row r="911" spans="1:49">
      <c r="A911" s="1">
        <f>HYPERLINK("https://lsnyc.legalserver.org/matter/dynamic-profile/view/1874714","18-1874714")</f>
        <v>0</v>
      </c>
      <c r="B911" t="s">
        <v>61</v>
      </c>
      <c r="C911" t="s">
        <v>341</v>
      </c>
      <c r="D911" t="s">
        <v>504</v>
      </c>
      <c r="E911" t="s">
        <v>847</v>
      </c>
      <c r="F911" t="s">
        <v>1512</v>
      </c>
      <c r="G911" t="s">
        <v>5685</v>
      </c>
      <c r="H911" t="s">
        <v>10374</v>
      </c>
      <c r="I911">
        <v>2</v>
      </c>
      <c r="J911" t="s">
        <v>18893</v>
      </c>
      <c r="K911">
        <v>10034</v>
      </c>
      <c r="L911" t="s">
        <v>18958</v>
      </c>
      <c r="M911" t="s">
        <v>18958</v>
      </c>
      <c r="O911" t="s">
        <v>26539</v>
      </c>
      <c r="P911" t="s">
        <v>26565</v>
      </c>
      <c r="Q911" t="s">
        <v>26571</v>
      </c>
      <c r="R911" t="s">
        <v>26578</v>
      </c>
      <c r="S911" t="s">
        <v>18959</v>
      </c>
      <c r="U911" t="s">
        <v>26604</v>
      </c>
      <c r="W911" t="s">
        <v>504</v>
      </c>
      <c r="X911">
        <v>817.5700000000001</v>
      </c>
      <c r="Y911" t="s">
        <v>26651</v>
      </c>
      <c r="Z911" t="s">
        <v>26659</v>
      </c>
      <c r="AA911" t="s">
        <v>26681</v>
      </c>
      <c r="AB911" t="s">
        <v>27561</v>
      </c>
      <c r="AC911" t="s">
        <v>34778</v>
      </c>
      <c r="AD911" t="s">
        <v>37617</v>
      </c>
      <c r="AE911">
        <v>25</v>
      </c>
      <c r="AF911" t="s">
        <v>45541</v>
      </c>
      <c r="AG911" t="s">
        <v>45559</v>
      </c>
      <c r="AH911">
        <v>12</v>
      </c>
      <c r="AI911">
        <v>1</v>
      </c>
      <c r="AJ911">
        <v>1</v>
      </c>
      <c r="AK911">
        <v>111.26</v>
      </c>
      <c r="AN911" t="s">
        <v>45581</v>
      </c>
      <c r="AO911">
        <v>18312.78</v>
      </c>
      <c r="AU911">
        <v>2.5</v>
      </c>
      <c r="AV911" t="s">
        <v>847</v>
      </c>
      <c r="AW911" t="s">
        <v>46840</v>
      </c>
    </row>
    <row r="912" spans="1:49">
      <c r="A912" s="1">
        <f>HYPERLINK("https://lsnyc.legalserver.org/matter/dynamic-profile/view/1874760","18-1874760")</f>
        <v>0</v>
      </c>
      <c r="B912" t="s">
        <v>169</v>
      </c>
      <c r="C912" t="s">
        <v>341</v>
      </c>
      <c r="D912" t="s">
        <v>504</v>
      </c>
      <c r="E912" t="s">
        <v>624</v>
      </c>
      <c r="F912" t="s">
        <v>881</v>
      </c>
      <c r="G912" t="s">
        <v>5686</v>
      </c>
      <c r="H912" t="s">
        <v>10448</v>
      </c>
      <c r="I912">
        <v>509</v>
      </c>
      <c r="J912" t="s">
        <v>18892</v>
      </c>
      <c r="K912">
        <v>10457</v>
      </c>
      <c r="L912" t="s">
        <v>18958</v>
      </c>
      <c r="M912" t="s">
        <v>18958</v>
      </c>
      <c r="N912" t="s">
        <v>19688</v>
      </c>
      <c r="O912" t="s">
        <v>26523</v>
      </c>
      <c r="P912" t="s">
        <v>26560</v>
      </c>
      <c r="Q912" t="s">
        <v>26568</v>
      </c>
      <c r="R912" t="s">
        <v>26579</v>
      </c>
      <c r="S912" t="s">
        <v>18959</v>
      </c>
      <c r="U912" t="s">
        <v>26604</v>
      </c>
      <c r="V912" t="s">
        <v>26610</v>
      </c>
      <c r="W912" t="s">
        <v>504</v>
      </c>
      <c r="X912">
        <v>655</v>
      </c>
      <c r="Y912" t="s">
        <v>26650</v>
      </c>
      <c r="Z912" t="s">
        <v>26664</v>
      </c>
      <c r="AA912" t="s">
        <v>26678</v>
      </c>
      <c r="AB912" t="s">
        <v>504</v>
      </c>
      <c r="AC912" t="s">
        <v>34779</v>
      </c>
      <c r="AD912" t="s">
        <v>37618</v>
      </c>
      <c r="AE912">
        <v>0</v>
      </c>
      <c r="AF912" t="s">
        <v>45541</v>
      </c>
      <c r="AG912" t="s">
        <v>19330</v>
      </c>
      <c r="AH912">
        <v>7</v>
      </c>
      <c r="AI912">
        <v>2</v>
      </c>
      <c r="AJ912">
        <v>4</v>
      </c>
      <c r="AK912">
        <v>144.99</v>
      </c>
      <c r="AN912" t="s">
        <v>45581</v>
      </c>
      <c r="AO912">
        <v>48920.82</v>
      </c>
      <c r="AR912" t="s">
        <v>46385</v>
      </c>
      <c r="AS912" t="s">
        <v>46499</v>
      </c>
      <c r="AT912" t="s">
        <v>46561</v>
      </c>
      <c r="AU912">
        <v>11.1</v>
      </c>
      <c r="AV912" t="s">
        <v>582</v>
      </c>
      <c r="AW912" t="s">
        <v>46854</v>
      </c>
    </row>
    <row r="913" spans="1:50">
      <c r="A913" s="1">
        <f>HYPERLINK("https://lsnyc.legalserver.org/matter/dynamic-profile/view/1874719","18-1874719")</f>
        <v>0</v>
      </c>
      <c r="B913" t="s">
        <v>113</v>
      </c>
      <c r="C913" t="s">
        <v>341</v>
      </c>
      <c r="D913" t="s">
        <v>504</v>
      </c>
      <c r="E913" t="s">
        <v>670</v>
      </c>
      <c r="F913" t="s">
        <v>1513</v>
      </c>
      <c r="G913" t="s">
        <v>5664</v>
      </c>
      <c r="H913" t="s">
        <v>10449</v>
      </c>
      <c r="I913" t="s">
        <v>17299</v>
      </c>
      <c r="J913" t="s">
        <v>18892</v>
      </c>
      <c r="K913">
        <v>10457</v>
      </c>
      <c r="L913" t="s">
        <v>18958</v>
      </c>
      <c r="M913" t="s">
        <v>18958</v>
      </c>
      <c r="N913" t="s">
        <v>19330</v>
      </c>
      <c r="O913" t="s">
        <v>18997</v>
      </c>
      <c r="P913" t="s">
        <v>26564</v>
      </c>
      <c r="Q913" t="s">
        <v>26570</v>
      </c>
      <c r="R913" t="s">
        <v>26578</v>
      </c>
      <c r="S913" t="s">
        <v>18959</v>
      </c>
      <c r="U913" t="s">
        <v>26604</v>
      </c>
      <c r="W913" t="s">
        <v>504</v>
      </c>
      <c r="X913">
        <v>679.25</v>
      </c>
      <c r="Y913" t="s">
        <v>26650</v>
      </c>
      <c r="Z913" t="s">
        <v>26661</v>
      </c>
      <c r="AA913" t="s">
        <v>26683</v>
      </c>
      <c r="AB913" t="s">
        <v>27562</v>
      </c>
      <c r="AD913" t="s">
        <v>37619</v>
      </c>
      <c r="AE913">
        <v>25</v>
      </c>
      <c r="AF913" t="s">
        <v>45541</v>
      </c>
      <c r="AG913" t="s">
        <v>45559</v>
      </c>
      <c r="AH913">
        <v>47</v>
      </c>
      <c r="AI913">
        <v>1</v>
      </c>
      <c r="AJ913">
        <v>0</v>
      </c>
      <c r="AK913">
        <v>128.5</v>
      </c>
      <c r="AN913" t="s">
        <v>7439</v>
      </c>
      <c r="AO913">
        <v>15600</v>
      </c>
      <c r="AU913">
        <v>0.7</v>
      </c>
      <c r="AV913" t="s">
        <v>504</v>
      </c>
      <c r="AW913" t="s">
        <v>113</v>
      </c>
    </row>
    <row r="914" spans="1:50">
      <c r="A914" s="1">
        <f>HYPERLINK("https://lsnyc.legalserver.org/matter/dynamic-profile/view/1874704","18-1874704")</f>
        <v>0</v>
      </c>
      <c r="B914" t="s">
        <v>217</v>
      </c>
      <c r="C914" t="s">
        <v>341</v>
      </c>
      <c r="D914" t="s">
        <v>504</v>
      </c>
      <c r="E914" t="s">
        <v>510</v>
      </c>
      <c r="F914" t="s">
        <v>875</v>
      </c>
      <c r="G914" t="s">
        <v>5490</v>
      </c>
      <c r="H914" t="s">
        <v>10450</v>
      </c>
      <c r="J914" t="s">
        <v>18892</v>
      </c>
      <c r="K914">
        <v>10456</v>
      </c>
      <c r="L914" t="s">
        <v>18958</v>
      </c>
      <c r="M914" t="s">
        <v>18958</v>
      </c>
      <c r="O914" t="s">
        <v>26545</v>
      </c>
      <c r="P914" t="s">
        <v>26564</v>
      </c>
      <c r="Q914" t="s">
        <v>26570</v>
      </c>
      <c r="R914" t="s">
        <v>26578</v>
      </c>
      <c r="S914" t="s">
        <v>18959</v>
      </c>
      <c r="U914" t="s">
        <v>26604</v>
      </c>
      <c r="W914" t="s">
        <v>504</v>
      </c>
      <c r="X914">
        <v>612</v>
      </c>
      <c r="Y914" t="s">
        <v>26650</v>
      </c>
      <c r="Z914" t="s">
        <v>26663</v>
      </c>
      <c r="AA914" t="s">
        <v>26683</v>
      </c>
      <c r="AB914" t="s">
        <v>27563</v>
      </c>
      <c r="AD914" t="s">
        <v>37620</v>
      </c>
      <c r="AE914">
        <v>0</v>
      </c>
      <c r="AF914" t="s">
        <v>45541</v>
      </c>
      <c r="AH914">
        <v>10</v>
      </c>
      <c r="AI914">
        <v>2</v>
      </c>
      <c r="AJ914">
        <v>0</v>
      </c>
      <c r="AK914">
        <v>107.09</v>
      </c>
      <c r="AN914" t="s">
        <v>45581</v>
      </c>
      <c r="AO914">
        <v>17626.24</v>
      </c>
      <c r="AU914">
        <v>1</v>
      </c>
      <c r="AV914" t="s">
        <v>510</v>
      </c>
      <c r="AW914" t="s">
        <v>217</v>
      </c>
    </row>
    <row r="915" spans="1:50">
      <c r="A915" s="1">
        <f>HYPERLINK("https://lsnyc.legalserver.org/matter/dynamic-profile/view/1874742","18-1874742")</f>
        <v>0</v>
      </c>
      <c r="B915" t="s">
        <v>81</v>
      </c>
      <c r="C915" t="s">
        <v>341</v>
      </c>
      <c r="D915" t="s">
        <v>504</v>
      </c>
      <c r="E915" t="s">
        <v>752</v>
      </c>
      <c r="F915" t="s">
        <v>1136</v>
      </c>
      <c r="G915" t="s">
        <v>5687</v>
      </c>
      <c r="H915" t="s">
        <v>10451</v>
      </c>
      <c r="I915" t="s">
        <v>17552</v>
      </c>
      <c r="J915" t="s">
        <v>18892</v>
      </c>
      <c r="K915">
        <v>10467</v>
      </c>
      <c r="L915" t="s">
        <v>18958</v>
      </c>
      <c r="M915" t="s">
        <v>18958</v>
      </c>
      <c r="N915" t="s">
        <v>19689</v>
      </c>
      <c r="O915" t="s">
        <v>26523</v>
      </c>
      <c r="P915" t="s">
        <v>26560</v>
      </c>
      <c r="Q915" t="s">
        <v>26568</v>
      </c>
      <c r="R915" t="s">
        <v>26579</v>
      </c>
      <c r="S915" t="s">
        <v>18959</v>
      </c>
      <c r="U915" t="s">
        <v>26604</v>
      </c>
      <c r="V915" t="s">
        <v>26610</v>
      </c>
      <c r="W915" t="s">
        <v>504</v>
      </c>
      <c r="X915">
        <v>1207.96</v>
      </c>
      <c r="Y915" t="s">
        <v>26650</v>
      </c>
      <c r="Z915" t="s">
        <v>26659</v>
      </c>
      <c r="AA915" t="s">
        <v>26678</v>
      </c>
      <c r="AB915" t="s">
        <v>27564</v>
      </c>
      <c r="AC915" t="s">
        <v>34780</v>
      </c>
      <c r="AD915" t="s">
        <v>37621</v>
      </c>
      <c r="AE915">
        <v>29</v>
      </c>
      <c r="AF915" t="s">
        <v>45541</v>
      </c>
      <c r="AG915" t="s">
        <v>19330</v>
      </c>
      <c r="AH915">
        <v>12</v>
      </c>
      <c r="AI915">
        <v>1</v>
      </c>
      <c r="AJ915">
        <v>2</v>
      </c>
      <c r="AK915">
        <v>47.55</v>
      </c>
      <c r="AN915" t="s">
        <v>7439</v>
      </c>
      <c r="AO915">
        <v>9880</v>
      </c>
      <c r="AR915" t="s">
        <v>26530</v>
      </c>
      <c r="AS915" t="s">
        <v>46499</v>
      </c>
      <c r="AT915" t="s">
        <v>46661</v>
      </c>
      <c r="AU915">
        <v>4</v>
      </c>
      <c r="AV915" t="s">
        <v>540</v>
      </c>
      <c r="AW915" t="s">
        <v>46832</v>
      </c>
      <c r="AX915" t="s">
        <v>46898</v>
      </c>
    </row>
    <row r="916" spans="1:50">
      <c r="A916" s="1">
        <f>HYPERLINK("https://lsnyc.legalserver.org/matter/dynamic-profile/view/1874705","18-1874705")</f>
        <v>0</v>
      </c>
      <c r="B916" t="s">
        <v>146</v>
      </c>
      <c r="C916" t="s">
        <v>341</v>
      </c>
      <c r="D916" t="s">
        <v>504</v>
      </c>
      <c r="E916" t="s">
        <v>493</v>
      </c>
      <c r="F916" t="s">
        <v>1514</v>
      </c>
      <c r="G916" t="s">
        <v>5266</v>
      </c>
      <c r="H916" t="s">
        <v>10452</v>
      </c>
      <c r="I916">
        <v>48</v>
      </c>
      <c r="J916" t="s">
        <v>18893</v>
      </c>
      <c r="K916">
        <v>10032</v>
      </c>
      <c r="L916" t="s">
        <v>18958</v>
      </c>
      <c r="M916" t="s">
        <v>18958</v>
      </c>
      <c r="O916" t="s">
        <v>18997</v>
      </c>
      <c r="P916" t="s">
        <v>26562</v>
      </c>
      <c r="Q916" t="s">
        <v>26570</v>
      </c>
      <c r="R916" t="s">
        <v>26578</v>
      </c>
      <c r="S916" t="s">
        <v>18959</v>
      </c>
      <c r="U916" t="s">
        <v>26604</v>
      </c>
      <c r="W916" t="s">
        <v>504</v>
      </c>
      <c r="X916">
        <v>419.6</v>
      </c>
      <c r="Y916" t="s">
        <v>26651</v>
      </c>
      <c r="Z916" t="s">
        <v>26661</v>
      </c>
      <c r="AA916" t="s">
        <v>26683</v>
      </c>
      <c r="AB916" t="s">
        <v>27565</v>
      </c>
      <c r="AD916" t="s">
        <v>37622</v>
      </c>
      <c r="AE916">
        <v>71</v>
      </c>
      <c r="AF916" t="s">
        <v>45548</v>
      </c>
      <c r="AG916" t="s">
        <v>19330</v>
      </c>
      <c r="AH916">
        <v>56</v>
      </c>
      <c r="AI916">
        <v>1</v>
      </c>
      <c r="AJ916">
        <v>0</v>
      </c>
      <c r="AK916">
        <v>163.69</v>
      </c>
      <c r="AN916" t="s">
        <v>7439</v>
      </c>
      <c r="AO916">
        <v>19872</v>
      </c>
      <c r="AU916">
        <v>1.5</v>
      </c>
      <c r="AV916" t="s">
        <v>493</v>
      </c>
      <c r="AW916" t="s">
        <v>46840</v>
      </c>
    </row>
    <row r="917" spans="1:50">
      <c r="A917" s="1">
        <f>HYPERLINK("https://lsnyc.legalserver.org/matter/dynamic-profile/view/1874683","18-1874683")</f>
        <v>0</v>
      </c>
      <c r="B917" t="s">
        <v>146</v>
      </c>
      <c r="C917" t="s">
        <v>341</v>
      </c>
      <c r="D917" t="s">
        <v>504</v>
      </c>
      <c r="E917" t="s">
        <v>477</v>
      </c>
      <c r="F917" t="s">
        <v>1366</v>
      </c>
      <c r="G917" t="s">
        <v>5688</v>
      </c>
      <c r="H917" t="s">
        <v>10453</v>
      </c>
      <c r="I917" t="s">
        <v>17274</v>
      </c>
      <c r="J917" t="s">
        <v>18893</v>
      </c>
      <c r="K917">
        <v>10033</v>
      </c>
      <c r="L917" t="s">
        <v>18958</v>
      </c>
      <c r="M917" t="s">
        <v>18958</v>
      </c>
      <c r="O917" t="s">
        <v>26534</v>
      </c>
      <c r="P917" t="s">
        <v>26564</v>
      </c>
      <c r="Q917" t="s">
        <v>26570</v>
      </c>
      <c r="R917" t="s">
        <v>26578</v>
      </c>
      <c r="S917" t="s">
        <v>18959</v>
      </c>
      <c r="U917" t="s">
        <v>26604</v>
      </c>
      <c r="W917" t="s">
        <v>504</v>
      </c>
      <c r="X917">
        <v>848.26</v>
      </c>
      <c r="Y917" t="s">
        <v>26651</v>
      </c>
      <c r="Z917" t="s">
        <v>26661</v>
      </c>
      <c r="AA917" t="s">
        <v>26683</v>
      </c>
      <c r="AB917" t="s">
        <v>27566</v>
      </c>
      <c r="AD917" t="s">
        <v>37623</v>
      </c>
      <c r="AE917">
        <v>20</v>
      </c>
      <c r="AF917" t="s">
        <v>45548</v>
      </c>
      <c r="AG917" t="s">
        <v>19330</v>
      </c>
      <c r="AH917">
        <v>50</v>
      </c>
      <c r="AI917">
        <v>1</v>
      </c>
      <c r="AJ917">
        <v>0</v>
      </c>
      <c r="AK917">
        <v>380.56</v>
      </c>
      <c r="AL917" t="s">
        <v>614</v>
      </c>
      <c r="AM917" t="s">
        <v>45575</v>
      </c>
      <c r="AN917" t="s">
        <v>7439</v>
      </c>
      <c r="AO917">
        <v>46200</v>
      </c>
      <c r="AU917">
        <v>1.2</v>
      </c>
      <c r="AV917" t="s">
        <v>504</v>
      </c>
      <c r="AW917" t="s">
        <v>46840</v>
      </c>
    </row>
    <row r="918" spans="1:50">
      <c r="A918" s="1">
        <f>HYPERLINK("https://lsnyc.legalserver.org/matter/dynamic-profile/view/1874679","18-1874679")</f>
        <v>0</v>
      </c>
      <c r="B918" t="s">
        <v>74</v>
      </c>
      <c r="C918" t="s">
        <v>341</v>
      </c>
      <c r="D918" t="s">
        <v>504</v>
      </c>
      <c r="E918" t="s">
        <v>524</v>
      </c>
      <c r="F918" t="s">
        <v>871</v>
      </c>
      <c r="G918" t="s">
        <v>5199</v>
      </c>
      <c r="H918" t="s">
        <v>10391</v>
      </c>
      <c r="I918" t="s">
        <v>17283</v>
      </c>
      <c r="J918" t="s">
        <v>18893</v>
      </c>
      <c r="K918">
        <v>10033</v>
      </c>
      <c r="L918" t="s">
        <v>18958</v>
      </c>
      <c r="M918" t="s">
        <v>18958</v>
      </c>
      <c r="O918" t="s">
        <v>18997</v>
      </c>
      <c r="P918" t="s">
        <v>26564</v>
      </c>
      <c r="Q918" t="s">
        <v>26570</v>
      </c>
      <c r="R918" t="s">
        <v>26578</v>
      </c>
      <c r="S918" t="s">
        <v>18959</v>
      </c>
      <c r="U918" t="s">
        <v>26604</v>
      </c>
      <c r="W918" t="s">
        <v>504</v>
      </c>
      <c r="X918">
        <v>841.77</v>
      </c>
      <c r="Y918" t="s">
        <v>26651</v>
      </c>
      <c r="Z918" t="s">
        <v>26661</v>
      </c>
      <c r="AA918" t="s">
        <v>26683</v>
      </c>
      <c r="AB918" t="s">
        <v>27567</v>
      </c>
      <c r="AE918">
        <v>39</v>
      </c>
      <c r="AF918" t="s">
        <v>45541</v>
      </c>
      <c r="AG918" t="s">
        <v>45556</v>
      </c>
      <c r="AH918">
        <v>25</v>
      </c>
      <c r="AI918">
        <v>4</v>
      </c>
      <c r="AJ918">
        <v>0</v>
      </c>
      <c r="AK918">
        <v>41.59</v>
      </c>
      <c r="AN918" t="s">
        <v>45581</v>
      </c>
      <c r="AO918">
        <v>10440</v>
      </c>
      <c r="AU918">
        <v>1</v>
      </c>
      <c r="AV918" t="s">
        <v>524</v>
      </c>
      <c r="AW918" t="s">
        <v>46840</v>
      </c>
    </row>
    <row r="919" spans="1:50">
      <c r="A919" s="1">
        <f>HYPERLINK("https://lsnyc.legalserver.org/matter/dynamic-profile/view/1874671","18-1874671")</f>
        <v>0</v>
      </c>
      <c r="B919" t="s">
        <v>74</v>
      </c>
      <c r="C919" t="s">
        <v>341</v>
      </c>
      <c r="D919" t="s">
        <v>504</v>
      </c>
      <c r="E919" t="s">
        <v>678</v>
      </c>
      <c r="F919" t="s">
        <v>1515</v>
      </c>
      <c r="G919" t="s">
        <v>5121</v>
      </c>
      <c r="H919" t="s">
        <v>10454</v>
      </c>
      <c r="I919" t="s">
        <v>17274</v>
      </c>
      <c r="J919" t="s">
        <v>18893</v>
      </c>
      <c r="K919">
        <v>10034</v>
      </c>
      <c r="L919" t="s">
        <v>18958</v>
      </c>
      <c r="M919" t="s">
        <v>18958</v>
      </c>
      <c r="O919" t="s">
        <v>26538</v>
      </c>
      <c r="P919" t="s">
        <v>26564</v>
      </c>
      <c r="Q919" t="s">
        <v>26570</v>
      </c>
      <c r="R919" t="s">
        <v>26578</v>
      </c>
      <c r="S919" t="s">
        <v>18959</v>
      </c>
      <c r="U919" t="s">
        <v>26604</v>
      </c>
      <c r="W919" t="s">
        <v>504</v>
      </c>
      <c r="X919">
        <v>1450</v>
      </c>
      <c r="Y919" t="s">
        <v>26651</v>
      </c>
      <c r="Z919" t="s">
        <v>26661</v>
      </c>
      <c r="AA919" t="s">
        <v>26683</v>
      </c>
      <c r="AB919" t="s">
        <v>26702</v>
      </c>
      <c r="AD919" t="s">
        <v>37624</v>
      </c>
      <c r="AE919">
        <v>73</v>
      </c>
      <c r="AF919" t="s">
        <v>45541</v>
      </c>
      <c r="AG919" t="s">
        <v>19330</v>
      </c>
      <c r="AH919">
        <v>9</v>
      </c>
      <c r="AI919">
        <v>1</v>
      </c>
      <c r="AJ919">
        <v>0</v>
      </c>
      <c r="AK919">
        <v>86.48999999999999</v>
      </c>
      <c r="AN919" t="s">
        <v>45581</v>
      </c>
      <c r="AO919">
        <v>10500</v>
      </c>
      <c r="AU919">
        <v>0.4</v>
      </c>
      <c r="AV919" t="s">
        <v>526</v>
      </c>
      <c r="AW919" t="s">
        <v>46840</v>
      </c>
    </row>
    <row r="920" spans="1:50">
      <c r="A920" s="1">
        <f>HYPERLINK("https://lsnyc.legalserver.org/matter/dynamic-profile/view/1874688","18-1874688")</f>
        <v>0</v>
      </c>
      <c r="B920" t="s">
        <v>74</v>
      </c>
      <c r="C920" t="s">
        <v>341</v>
      </c>
      <c r="D920" t="s">
        <v>504</v>
      </c>
      <c r="E920" t="s">
        <v>524</v>
      </c>
      <c r="F920" t="s">
        <v>1516</v>
      </c>
      <c r="G920" t="s">
        <v>5689</v>
      </c>
      <c r="H920" t="s">
        <v>10455</v>
      </c>
      <c r="I920" t="s">
        <v>17553</v>
      </c>
      <c r="J920" t="s">
        <v>18893</v>
      </c>
      <c r="K920">
        <v>10034</v>
      </c>
      <c r="L920" t="s">
        <v>18958</v>
      </c>
      <c r="M920" t="s">
        <v>18958</v>
      </c>
      <c r="O920" t="s">
        <v>18997</v>
      </c>
      <c r="P920" t="s">
        <v>26564</v>
      </c>
      <c r="Q920" t="s">
        <v>26570</v>
      </c>
      <c r="R920" t="s">
        <v>26578</v>
      </c>
      <c r="S920" t="s">
        <v>18959</v>
      </c>
      <c r="U920" t="s">
        <v>26604</v>
      </c>
      <c r="W920" t="s">
        <v>504</v>
      </c>
      <c r="X920">
        <v>1200</v>
      </c>
      <c r="Y920" t="s">
        <v>26651</v>
      </c>
      <c r="Z920" t="s">
        <v>26661</v>
      </c>
      <c r="AA920" t="s">
        <v>26683</v>
      </c>
      <c r="AB920" t="s">
        <v>27568</v>
      </c>
      <c r="AD920" t="s">
        <v>37625</v>
      </c>
      <c r="AE920">
        <v>0</v>
      </c>
      <c r="AF920" t="s">
        <v>45541</v>
      </c>
      <c r="AG920" t="s">
        <v>19330</v>
      </c>
      <c r="AH920">
        <v>17</v>
      </c>
      <c r="AI920">
        <v>3</v>
      </c>
      <c r="AJ920">
        <v>2</v>
      </c>
      <c r="AK920">
        <v>168.79</v>
      </c>
      <c r="AN920" t="s">
        <v>7439</v>
      </c>
      <c r="AO920">
        <v>49657</v>
      </c>
      <c r="AU920">
        <v>0.5</v>
      </c>
      <c r="AV920" t="s">
        <v>524</v>
      </c>
      <c r="AW920" t="s">
        <v>46840</v>
      </c>
    </row>
    <row r="921" spans="1:50">
      <c r="A921" s="1">
        <f>HYPERLINK("https://lsnyc.legalserver.org/matter/dynamic-profile/view/1874670","18-1874670")</f>
        <v>0</v>
      </c>
      <c r="B921" t="s">
        <v>74</v>
      </c>
      <c r="C921" t="s">
        <v>341</v>
      </c>
      <c r="D921" t="s">
        <v>504</v>
      </c>
      <c r="E921" t="s">
        <v>524</v>
      </c>
      <c r="F921" t="s">
        <v>1195</v>
      </c>
      <c r="G921" t="s">
        <v>5690</v>
      </c>
      <c r="H921" t="s">
        <v>10456</v>
      </c>
      <c r="I921" t="s">
        <v>17347</v>
      </c>
      <c r="J921" t="s">
        <v>18893</v>
      </c>
      <c r="K921">
        <v>10032</v>
      </c>
      <c r="L921" t="s">
        <v>18958</v>
      </c>
      <c r="M921" t="s">
        <v>18958</v>
      </c>
      <c r="O921" t="s">
        <v>18997</v>
      </c>
      <c r="P921" t="s">
        <v>26565</v>
      </c>
      <c r="Q921" t="s">
        <v>26571</v>
      </c>
      <c r="R921" t="s">
        <v>26578</v>
      </c>
      <c r="S921" t="s">
        <v>18959</v>
      </c>
      <c r="U921" t="s">
        <v>26604</v>
      </c>
      <c r="W921" t="s">
        <v>504</v>
      </c>
      <c r="X921">
        <v>2861.25</v>
      </c>
      <c r="Y921" t="s">
        <v>26651</v>
      </c>
      <c r="Z921" t="s">
        <v>26661</v>
      </c>
      <c r="AA921" t="s">
        <v>26682</v>
      </c>
      <c r="AB921" t="s">
        <v>27099</v>
      </c>
      <c r="AD921" t="s">
        <v>37626</v>
      </c>
      <c r="AE921">
        <v>38</v>
      </c>
      <c r="AF921" t="s">
        <v>45541</v>
      </c>
      <c r="AG921" t="s">
        <v>19330</v>
      </c>
      <c r="AH921">
        <v>3</v>
      </c>
      <c r="AI921">
        <v>1</v>
      </c>
      <c r="AJ921">
        <v>0</v>
      </c>
      <c r="AK921">
        <v>733.11</v>
      </c>
      <c r="AN921" t="s">
        <v>7439</v>
      </c>
      <c r="AO921">
        <v>89000</v>
      </c>
      <c r="AU921">
        <v>1.5</v>
      </c>
      <c r="AV921" t="s">
        <v>524</v>
      </c>
      <c r="AW921" t="s">
        <v>46840</v>
      </c>
    </row>
    <row r="922" spans="1:50">
      <c r="A922" s="1">
        <f>HYPERLINK("https://lsnyc.legalserver.org/matter/dynamic-profile/view/1874695","18-1874695")</f>
        <v>0</v>
      </c>
      <c r="B922" t="s">
        <v>82</v>
      </c>
      <c r="C922" t="s">
        <v>341</v>
      </c>
      <c r="D922" t="s">
        <v>504</v>
      </c>
      <c r="E922" t="s">
        <v>427</v>
      </c>
      <c r="F922" t="s">
        <v>887</v>
      </c>
      <c r="G922" t="s">
        <v>5103</v>
      </c>
      <c r="H922" t="s">
        <v>10457</v>
      </c>
      <c r="I922" t="s">
        <v>17306</v>
      </c>
      <c r="J922" t="s">
        <v>18892</v>
      </c>
      <c r="K922">
        <v>10468</v>
      </c>
      <c r="L922" t="s">
        <v>18958</v>
      </c>
      <c r="M922" t="s">
        <v>18958</v>
      </c>
      <c r="N922" t="s">
        <v>19690</v>
      </c>
      <c r="O922" t="s">
        <v>26523</v>
      </c>
      <c r="P922" t="s">
        <v>26560</v>
      </c>
      <c r="Q922" t="s">
        <v>26568</v>
      </c>
      <c r="R922" t="s">
        <v>26579</v>
      </c>
      <c r="S922" t="s">
        <v>18959</v>
      </c>
      <c r="T922" t="s">
        <v>26579</v>
      </c>
      <c r="U922" t="s">
        <v>26604</v>
      </c>
      <c r="V922" t="s">
        <v>26613</v>
      </c>
      <c r="W922" t="s">
        <v>504</v>
      </c>
      <c r="X922">
        <v>1567.68</v>
      </c>
      <c r="Y922" t="s">
        <v>26650</v>
      </c>
      <c r="Z922" t="s">
        <v>26530</v>
      </c>
      <c r="AA922" t="s">
        <v>26678</v>
      </c>
      <c r="AB922" t="s">
        <v>27119</v>
      </c>
      <c r="AD922" t="s">
        <v>37627</v>
      </c>
      <c r="AE922">
        <v>51</v>
      </c>
      <c r="AF922" t="s">
        <v>20460</v>
      </c>
      <c r="AG922" t="s">
        <v>19330</v>
      </c>
      <c r="AH922">
        <v>15</v>
      </c>
      <c r="AI922">
        <v>2</v>
      </c>
      <c r="AJ922">
        <v>0</v>
      </c>
      <c r="AK922">
        <v>196.55</v>
      </c>
      <c r="AN922" t="s">
        <v>45581</v>
      </c>
      <c r="AO922">
        <v>32352</v>
      </c>
      <c r="AR922" t="s">
        <v>46385</v>
      </c>
      <c r="AS922" t="s">
        <v>46499</v>
      </c>
      <c r="AT922" t="s">
        <v>46558</v>
      </c>
      <c r="AU922">
        <v>5.14</v>
      </c>
      <c r="AV922" t="s">
        <v>618</v>
      </c>
      <c r="AW922" t="s">
        <v>46860</v>
      </c>
    </row>
    <row r="923" spans="1:50">
      <c r="A923" s="1">
        <f>HYPERLINK("https://lsnyc.legalserver.org/matter/dynamic-profile/view/1874724","18-1874724")</f>
        <v>0</v>
      </c>
      <c r="B923" t="s">
        <v>218</v>
      </c>
      <c r="C923" t="s">
        <v>341</v>
      </c>
      <c r="D923" t="s">
        <v>504</v>
      </c>
      <c r="E923" t="s">
        <v>684</v>
      </c>
      <c r="F923" t="s">
        <v>1328</v>
      </c>
      <c r="G923" t="s">
        <v>5639</v>
      </c>
      <c r="H923" t="s">
        <v>10458</v>
      </c>
      <c r="I923" t="s">
        <v>17323</v>
      </c>
      <c r="J923" t="s">
        <v>18893</v>
      </c>
      <c r="K923">
        <v>10032</v>
      </c>
      <c r="L923" t="s">
        <v>18958</v>
      </c>
      <c r="M923" t="s">
        <v>18958</v>
      </c>
      <c r="N923" t="s">
        <v>19691</v>
      </c>
      <c r="O923" t="s">
        <v>26523</v>
      </c>
      <c r="P923" t="s">
        <v>26564</v>
      </c>
      <c r="Q923" t="s">
        <v>26570</v>
      </c>
      <c r="R923" t="s">
        <v>26578</v>
      </c>
      <c r="S923" t="s">
        <v>18959</v>
      </c>
      <c r="U923" t="s">
        <v>26604</v>
      </c>
      <c r="V923" t="s">
        <v>26610</v>
      </c>
      <c r="W923" t="s">
        <v>504</v>
      </c>
      <c r="X923">
        <v>1726.98</v>
      </c>
      <c r="Y923" t="s">
        <v>26651</v>
      </c>
      <c r="Z923" t="s">
        <v>26659</v>
      </c>
      <c r="AA923" t="s">
        <v>26683</v>
      </c>
      <c r="AB923" t="s">
        <v>27569</v>
      </c>
      <c r="AC923" t="s">
        <v>34781</v>
      </c>
      <c r="AD923" t="s">
        <v>37628</v>
      </c>
      <c r="AE923">
        <v>127</v>
      </c>
      <c r="AF923" t="s">
        <v>45541</v>
      </c>
      <c r="AH923">
        <v>24</v>
      </c>
      <c r="AI923">
        <v>1</v>
      </c>
      <c r="AJ923">
        <v>0</v>
      </c>
      <c r="AK923">
        <v>0</v>
      </c>
      <c r="AN923" t="s">
        <v>7439</v>
      </c>
      <c r="AO923">
        <v>0</v>
      </c>
      <c r="AU923">
        <v>3.15</v>
      </c>
      <c r="AV923" t="s">
        <v>583</v>
      </c>
      <c r="AW923" t="s">
        <v>46840</v>
      </c>
    </row>
    <row r="924" spans="1:50">
      <c r="A924" s="1">
        <f>HYPERLINK("https://lsnyc.legalserver.org/matter/dynamic-profile/view/1874696","18-1874696")</f>
        <v>0</v>
      </c>
      <c r="B924" t="s">
        <v>118</v>
      </c>
      <c r="C924" t="s">
        <v>341</v>
      </c>
      <c r="D924" t="s">
        <v>504</v>
      </c>
      <c r="E924" t="s">
        <v>689</v>
      </c>
      <c r="F924" t="s">
        <v>900</v>
      </c>
      <c r="G924" t="s">
        <v>5691</v>
      </c>
      <c r="H924" t="s">
        <v>10459</v>
      </c>
      <c r="I924" t="s">
        <v>17284</v>
      </c>
      <c r="J924" t="s">
        <v>18893</v>
      </c>
      <c r="K924">
        <v>10029</v>
      </c>
      <c r="L924" t="s">
        <v>18958</v>
      </c>
      <c r="M924" t="s">
        <v>18958</v>
      </c>
      <c r="N924" t="s">
        <v>19692</v>
      </c>
      <c r="O924" t="s">
        <v>26523</v>
      </c>
      <c r="P924" t="s">
        <v>26560</v>
      </c>
      <c r="Q924" t="s">
        <v>26568</v>
      </c>
      <c r="R924" t="s">
        <v>26578</v>
      </c>
      <c r="S924" t="s">
        <v>18959</v>
      </c>
      <c r="U924" t="s">
        <v>26604</v>
      </c>
      <c r="V924" t="s">
        <v>26610</v>
      </c>
      <c r="W924" t="s">
        <v>504</v>
      </c>
      <c r="X924">
        <v>968</v>
      </c>
      <c r="Y924" t="s">
        <v>26651</v>
      </c>
      <c r="Z924" t="s">
        <v>26675</v>
      </c>
      <c r="AA924" t="s">
        <v>26678</v>
      </c>
      <c r="AB924" t="s">
        <v>27570</v>
      </c>
      <c r="AD924" t="s">
        <v>37629</v>
      </c>
      <c r="AE924">
        <v>20</v>
      </c>
      <c r="AF924" t="s">
        <v>45541</v>
      </c>
      <c r="AG924" t="s">
        <v>19330</v>
      </c>
      <c r="AH924">
        <v>18</v>
      </c>
      <c r="AI924">
        <v>1</v>
      </c>
      <c r="AJ924">
        <v>0</v>
      </c>
      <c r="AK924">
        <v>74.14</v>
      </c>
      <c r="AN924" t="s">
        <v>7439</v>
      </c>
      <c r="AO924">
        <v>9000</v>
      </c>
      <c r="AU924">
        <v>4.5</v>
      </c>
      <c r="AV924" t="s">
        <v>526</v>
      </c>
      <c r="AW924" t="s">
        <v>46835</v>
      </c>
    </row>
    <row r="925" spans="1:50">
      <c r="A925" s="1">
        <f>HYPERLINK("https://lsnyc.legalserver.org/matter/dynamic-profile/view/1874687","18-1874687")</f>
        <v>0</v>
      </c>
      <c r="B925" t="s">
        <v>56</v>
      </c>
      <c r="C925" t="s">
        <v>340</v>
      </c>
      <c r="D925" t="s">
        <v>504</v>
      </c>
      <c r="F925" t="s">
        <v>887</v>
      </c>
      <c r="G925" t="s">
        <v>5692</v>
      </c>
      <c r="H925" t="s">
        <v>10460</v>
      </c>
      <c r="I925" t="s">
        <v>17277</v>
      </c>
      <c r="J925" t="s">
        <v>18892</v>
      </c>
      <c r="K925">
        <v>10457</v>
      </c>
      <c r="L925" t="s">
        <v>18958</v>
      </c>
      <c r="M925" t="s">
        <v>18958</v>
      </c>
      <c r="N925" t="s">
        <v>19693</v>
      </c>
      <c r="O925" t="s">
        <v>26523</v>
      </c>
      <c r="P925" t="s">
        <v>26560</v>
      </c>
      <c r="R925" t="s">
        <v>26579</v>
      </c>
      <c r="S925" t="s">
        <v>18959</v>
      </c>
      <c r="U925" t="s">
        <v>26604</v>
      </c>
      <c r="V925" t="s">
        <v>26609</v>
      </c>
      <c r="W925" t="s">
        <v>504</v>
      </c>
      <c r="X925">
        <v>1571.75</v>
      </c>
      <c r="Y925" t="s">
        <v>26650</v>
      </c>
      <c r="Z925" t="s">
        <v>26664</v>
      </c>
      <c r="AB925" t="s">
        <v>27571</v>
      </c>
      <c r="AD925" t="s">
        <v>37630</v>
      </c>
      <c r="AE925">
        <v>0</v>
      </c>
      <c r="AF925" t="s">
        <v>45541</v>
      </c>
      <c r="AG925" t="s">
        <v>19330</v>
      </c>
      <c r="AH925">
        <v>10</v>
      </c>
      <c r="AI925">
        <v>3</v>
      </c>
      <c r="AJ925">
        <v>1</v>
      </c>
      <c r="AK925">
        <v>188.84</v>
      </c>
      <c r="AN925" t="s">
        <v>45581</v>
      </c>
      <c r="AO925">
        <v>47398.2</v>
      </c>
      <c r="AU925">
        <v>17.5</v>
      </c>
      <c r="AV925" t="s">
        <v>828</v>
      </c>
      <c r="AW925" t="s">
        <v>46837</v>
      </c>
    </row>
    <row r="926" spans="1:50">
      <c r="A926" s="1">
        <f>HYPERLINK("https://lsnyc.legalserver.org/matter/dynamic-profile/view/1874697","18-1874697")</f>
        <v>0</v>
      </c>
      <c r="B926" t="s">
        <v>79</v>
      </c>
      <c r="C926" t="s">
        <v>340</v>
      </c>
      <c r="D926" t="s">
        <v>504</v>
      </c>
      <c r="F926" t="s">
        <v>916</v>
      </c>
      <c r="G926" t="s">
        <v>2749</v>
      </c>
      <c r="H926" t="s">
        <v>9854</v>
      </c>
      <c r="I926" t="s">
        <v>17410</v>
      </c>
      <c r="J926" t="s">
        <v>18893</v>
      </c>
      <c r="K926">
        <v>10033</v>
      </c>
      <c r="L926" t="s">
        <v>18958</v>
      </c>
      <c r="M926" t="s">
        <v>18958</v>
      </c>
      <c r="O926" t="s">
        <v>26526</v>
      </c>
      <c r="P926" t="s">
        <v>26565</v>
      </c>
      <c r="R926" t="s">
        <v>26578</v>
      </c>
      <c r="S926" t="s">
        <v>18958</v>
      </c>
      <c r="U926" t="s">
        <v>26604</v>
      </c>
      <c r="W926" t="s">
        <v>504</v>
      </c>
      <c r="X926">
        <v>1198.63</v>
      </c>
      <c r="Y926" t="s">
        <v>26651</v>
      </c>
      <c r="Z926" t="s">
        <v>26667</v>
      </c>
      <c r="AB926" t="s">
        <v>27572</v>
      </c>
      <c r="AD926" t="s">
        <v>37631</v>
      </c>
      <c r="AE926">
        <v>232</v>
      </c>
      <c r="AF926" t="s">
        <v>45541</v>
      </c>
      <c r="AG926" t="s">
        <v>45559</v>
      </c>
      <c r="AH926">
        <v>38</v>
      </c>
      <c r="AI926">
        <v>1</v>
      </c>
      <c r="AJ926">
        <v>0</v>
      </c>
      <c r="AK926">
        <v>118.62</v>
      </c>
      <c r="AN926" t="s">
        <v>45581</v>
      </c>
      <c r="AO926">
        <v>14400</v>
      </c>
      <c r="AU926">
        <v>1.7</v>
      </c>
      <c r="AV926" t="s">
        <v>828</v>
      </c>
      <c r="AW926" t="s">
        <v>46840</v>
      </c>
    </row>
    <row r="927" spans="1:50">
      <c r="A927" s="1">
        <f>HYPERLINK("https://lsnyc.legalserver.org/matter/dynamic-profile/view/1891139","19-1891139")</f>
        <v>0</v>
      </c>
      <c r="B927" t="s">
        <v>219</v>
      </c>
      <c r="C927" t="s">
        <v>340</v>
      </c>
      <c r="D927" t="s">
        <v>507</v>
      </c>
      <c r="F927" t="s">
        <v>1517</v>
      </c>
      <c r="G927" t="s">
        <v>5693</v>
      </c>
      <c r="H927" t="s">
        <v>10461</v>
      </c>
      <c r="I927" t="s">
        <v>17376</v>
      </c>
      <c r="J927" t="s">
        <v>18894</v>
      </c>
      <c r="K927">
        <v>11226</v>
      </c>
      <c r="L927" t="s">
        <v>18958</v>
      </c>
      <c r="M927" t="s">
        <v>18958</v>
      </c>
      <c r="R927" t="s">
        <v>26578</v>
      </c>
      <c r="U927" t="s">
        <v>26604</v>
      </c>
      <c r="W927" t="s">
        <v>504</v>
      </c>
      <c r="X927">
        <v>1106.76</v>
      </c>
      <c r="Y927" t="s">
        <v>26652</v>
      </c>
      <c r="AB927" t="s">
        <v>27573</v>
      </c>
      <c r="AE927">
        <v>0</v>
      </c>
      <c r="AH927">
        <v>25</v>
      </c>
      <c r="AI927">
        <v>2</v>
      </c>
      <c r="AJ927">
        <v>0</v>
      </c>
      <c r="AK927">
        <v>76.88</v>
      </c>
      <c r="AN927" t="s">
        <v>7439</v>
      </c>
      <c r="AO927">
        <v>13000</v>
      </c>
      <c r="AU927">
        <v>0.2</v>
      </c>
      <c r="AV927" t="s">
        <v>729</v>
      </c>
      <c r="AW927" t="s">
        <v>219</v>
      </c>
    </row>
    <row r="928" spans="1:50">
      <c r="A928" s="1">
        <f>HYPERLINK("https://lsnyc.legalserver.org/matter/dynamic-profile/view/1891140","19-1891140")</f>
        <v>0</v>
      </c>
      <c r="B928" t="s">
        <v>219</v>
      </c>
      <c r="C928" t="s">
        <v>340</v>
      </c>
      <c r="D928" t="s">
        <v>507</v>
      </c>
      <c r="F928" t="s">
        <v>1106</v>
      </c>
      <c r="G928" t="s">
        <v>5118</v>
      </c>
      <c r="H928" t="s">
        <v>10461</v>
      </c>
      <c r="I928" t="s">
        <v>17554</v>
      </c>
      <c r="J928" t="s">
        <v>18894</v>
      </c>
      <c r="K928">
        <v>11226</v>
      </c>
      <c r="L928" t="s">
        <v>18958</v>
      </c>
      <c r="M928" t="s">
        <v>18958</v>
      </c>
      <c r="P928" t="s">
        <v>26565</v>
      </c>
      <c r="R928" t="s">
        <v>26578</v>
      </c>
      <c r="U928" t="s">
        <v>26604</v>
      </c>
      <c r="W928" t="s">
        <v>504</v>
      </c>
      <c r="X928">
        <v>835.4299999999999</v>
      </c>
      <c r="Y928" t="s">
        <v>26652</v>
      </c>
      <c r="AB928" t="s">
        <v>27574</v>
      </c>
      <c r="AD928" t="s">
        <v>37632</v>
      </c>
      <c r="AE928">
        <v>0</v>
      </c>
      <c r="AH928">
        <v>38</v>
      </c>
      <c r="AI928">
        <v>1</v>
      </c>
      <c r="AJ928">
        <v>0</v>
      </c>
      <c r="AK928">
        <v>112.89</v>
      </c>
      <c r="AO928">
        <v>14100</v>
      </c>
      <c r="AU928">
        <v>0</v>
      </c>
      <c r="AW928" t="s">
        <v>219</v>
      </c>
    </row>
    <row r="929" spans="1:50">
      <c r="A929" s="1">
        <f>HYPERLINK("https://lsnyc.legalserver.org/matter/dynamic-profile/view/1891141","19-1891141")</f>
        <v>0</v>
      </c>
      <c r="B929" t="s">
        <v>219</v>
      </c>
      <c r="C929" t="s">
        <v>340</v>
      </c>
      <c r="D929" t="s">
        <v>508</v>
      </c>
      <c r="F929" t="s">
        <v>1518</v>
      </c>
      <c r="G929" t="s">
        <v>5694</v>
      </c>
      <c r="H929" t="s">
        <v>10461</v>
      </c>
      <c r="I929" t="s">
        <v>17555</v>
      </c>
      <c r="J929" t="s">
        <v>18894</v>
      </c>
      <c r="K929">
        <v>11226</v>
      </c>
      <c r="L929" t="s">
        <v>18958</v>
      </c>
      <c r="M929" t="s">
        <v>18958</v>
      </c>
      <c r="P929" t="s">
        <v>26565</v>
      </c>
      <c r="R929" t="s">
        <v>26578</v>
      </c>
      <c r="U929" t="s">
        <v>26604</v>
      </c>
      <c r="W929" t="s">
        <v>504</v>
      </c>
      <c r="X929">
        <v>968</v>
      </c>
      <c r="Y929" t="s">
        <v>26652</v>
      </c>
      <c r="AB929" t="s">
        <v>27575</v>
      </c>
      <c r="AD929" t="s">
        <v>37633</v>
      </c>
      <c r="AE929">
        <v>0</v>
      </c>
      <c r="AH929">
        <v>31</v>
      </c>
      <c r="AI929">
        <v>3</v>
      </c>
      <c r="AJ929">
        <v>0</v>
      </c>
      <c r="AK929">
        <v>226.43</v>
      </c>
      <c r="AO929">
        <v>48298</v>
      </c>
      <c r="AU929">
        <v>0.2</v>
      </c>
      <c r="AV929" t="s">
        <v>729</v>
      </c>
      <c r="AW929" t="s">
        <v>219</v>
      </c>
    </row>
    <row r="930" spans="1:50">
      <c r="A930" s="1">
        <f>HYPERLINK("https://lsnyc.legalserver.org/matter/dynamic-profile/view/0811947","16-0811947")</f>
        <v>0</v>
      </c>
      <c r="B930" t="s">
        <v>181</v>
      </c>
      <c r="C930" t="s">
        <v>341</v>
      </c>
      <c r="D930" t="s">
        <v>509</v>
      </c>
      <c r="E930" t="s">
        <v>457</v>
      </c>
      <c r="F930" t="s">
        <v>1339</v>
      </c>
      <c r="G930" t="s">
        <v>5695</v>
      </c>
      <c r="H930" t="s">
        <v>10462</v>
      </c>
      <c r="I930" t="s">
        <v>17352</v>
      </c>
      <c r="J930" t="s">
        <v>18907</v>
      </c>
      <c r="K930">
        <v>11377</v>
      </c>
      <c r="L930" t="s">
        <v>18958</v>
      </c>
      <c r="M930" t="s">
        <v>18959</v>
      </c>
      <c r="O930" t="s">
        <v>26525</v>
      </c>
      <c r="P930" t="s">
        <v>26561</v>
      </c>
      <c r="Q930" t="s">
        <v>26572</v>
      </c>
      <c r="R930" t="s">
        <v>26593</v>
      </c>
      <c r="S930" t="s">
        <v>18959</v>
      </c>
      <c r="U930" t="s">
        <v>26605</v>
      </c>
      <c r="W930" t="s">
        <v>510</v>
      </c>
      <c r="X930">
        <v>949</v>
      </c>
      <c r="Y930" t="s">
        <v>26653</v>
      </c>
      <c r="Z930" t="s">
        <v>26657</v>
      </c>
      <c r="AA930" t="s">
        <v>26679</v>
      </c>
      <c r="AB930" t="s">
        <v>27576</v>
      </c>
      <c r="AC930" t="s">
        <v>19045</v>
      </c>
      <c r="AD930" t="s">
        <v>37634</v>
      </c>
      <c r="AE930">
        <v>22</v>
      </c>
      <c r="AF930" t="s">
        <v>45543</v>
      </c>
      <c r="AG930" t="s">
        <v>19330</v>
      </c>
      <c r="AH930">
        <v>18</v>
      </c>
      <c r="AI930">
        <v>1</v>
      </c>
      <c r="AJ930">
        <v>0</v>
      </c>
      <c r="AK930">
        <v>135.05</v>
      </c>
      <c r="AO930">
        <v>16044</v>
      </c>
      <c r="AU930">
        <v>9.5</v>
      </c>
      <c r="AV930" t="s">
        <v>615</v>
      </c>
      <c r="AW930" t="s">
        <v>142</v>
      </c>
    </row>
    <row r="931" spans="1:50">
      <c r="A931" s="1">
        <f>HYPERLINK("https://lsnyc.legalserver.org/matter/dynamic-profile/view/1872573","18-1872573")</f>
        <v>0</v>
      </c>
      <c r="B931" t="s">
        <v>187</v>
      </c>
      <c r="C931" t="s">
        <v>341</v>
      </c>
      <c r="D931" t="s">
        <v>439</v>
      </c>
      <c r="E931" t="s">
        <v>477</v>
      </c>
      <c r="F931" t="s">
        <v>900</v>
      </c>
      <c r="G931" t="s">
        <v>5696</v>
      </c>
      <c r="H931" t="s">
        <v>10463</v>
      </c>
      <c r="I931" t="s">
        <v>17556</v>
      </c>
      <c r="J931" t="s">
        <v>18892</v>
      </c>
      <c r="K931">
        <v>10474</v>
      </c>
      <c r="L931" t="s">
        <v>18958</v>
      </c>
      <c r="M931" t="s">
        <v>18958</v>
      </c>
      <c r="N931" t="s">
        <v>19694</v>
      </c>
      <c r="O931" t="s">
        <v>26524</v>
      </c>
      <c r="P931" t="s">
        <v>26564</v>
      </c>
      <c r="Q931" t="s">
        <v>26570</v>
      </c>
      <c r="R931" t="s">
        <v>26577</v>
      </c>
      <c r="S931" t="s">
        <v>18959</v>
      </c>
      <c r="U931" t="s">
        <v>26604</v>
      </c>
      <c r="W931" t="s">
        <v>510</v>
      </c>
      <c r="X931">
        <v>800</v>
      </c>
      <c r="Y931" t="s">
        <v>26650</v>
      </c>
      <c r="Z931" t="s">
        <v>26656</v>
      </c>
      <c r="AA931" t="s">
        <v>26683</v>
      </c>
      <c r="AB931" t="s">
        <v>27577</v>
      </c>
      <c r="AD931" t="s">
        <v>37635</v>
      </c>
      <c r="AE931">
        <v>3</v>
      </c>
      <c r="AF931" t="s">
        <v>45545</v>
      </c>
      <c r="AG931" t="s">
        <v>19330</v>
      </c>
      <c r="AH931">
        <v>3</v>
      </c>
      <c r="AI931">
        <v>2</v>
      </c>
      <c r="AJ931">
        <v>0</v>
      </c>
      <c r="AK931">
        <v>36.45</v>
      </c>
      <c r="AN931" t="s">
        <v>7439</v>
      </c>
      <c r="AO931">
        <v>6000</v>
      </c>
      <c r="AP931" t="s">
        <v>45654</v>
      </c>
      <c r="AT931" t="s">
        <v>46628</v>
      </c>
      <c r="AU931">
        <v>2.3</v>
      </c>
      <c r="AV931" t="s">
        <v>477</v>
      </c>
      <c r="AW931" t="s">
        <v>336</v>
      </c>
    </row>
    <row r="932" spans="1:50">
      <c r="A932" s="1">
        <f>HYPERLINK("https://lsnyc.legalserver.org/matter/dynamic-profile/view/1874049","18-1874049")</f>
        <v>0</v>
      </c>
      <c r="B932" t="s">
        <v>217</v>
      </c>
      <c r="C932" t="s">
        <v>341</v>
      </c>
      <c r="D932" t="s">
        <v>492</v>
      </c>
      <c r="E932" t="s">
        <v>510</v>
      </c>
      <c r="F932" t="s">
        <v>1379</v>
      </c>
      <c r="G932" t="s">
        <v>1685</v>
      </c>
      <c r="H932" t="s">
        <v>10464</v>
      </c>
      <c r="I932" t="s">
        <v>17274</v>
      </c>
      <c r="J932" t="s">
        <v>18892</v>
      </c>
      <c r="K932">
        <v>10459</v>
      </c>
      <c r="L932" t="s">
        <v>18958</v>
      </c>
      <c r="M932" t="s">
        <v>18958</v>
      </c>
      <c r="O932" t="s">
        <v>26529</v>
      </c>
      <c r="P932" t="s">
        <v>26565</v>
      </c>
      <c r="Q932" t="s">
        <v>26571</v>
      </c>
      <c r="R932" t="s">
        <v>26578</v>
      </c>
      <c r="S932" t="s">
        <v>18959</v>
      </c>
      <c r="U932" t="s">
        <v>26604</v>
      </c>
      <c r="W932" t="s">
        <v>510</v>
      </c>
      <c r="X932">
        <v>0</v>
      </c>
      <c r="Y932" t="s">
        <v>26650</v>
      </c>
      <c r="Z932" t="s">
        <v>26663</v>
      </c>
      <c r="AA932" t="s">
        <v>26683</v>
      </c>
      <c r="AB932" t="s">
        <v>27578</v>
      </c>
      <c r="AD932" t="s">
        <v>37636</v>
      </c>
      <c r="AE932">
        <v>40</v>
      </c>
      <c r="AF932" t="s">
        <v>45543</v>
      </c>
      <c r="AH932">
        <v>20</v>
      </c>
      <c r="AI932">
        <v>1</v>
      </c>
      <c r="AJ932">
        <v>0</v>
      </c>
      <c r="AK932">
        <v>128.5</v>
      </c>
      <c r="AN932" t="s">
        <v>7439</v>
      </c>
      <c r="AO932">
        <v>15600</v>
      </c>
      <c r="AU932">
        <v>2</v>
      </c>
      <c r="AV932" t="s">
        <v>510</v>
      </c>
      <c r="AW932" t="s">
        <v>217</v>
      </c>
    </row>
    <row r="933" spans="1:50">
      <c r="A933" s="1">
        <f>HYPERLINK("https://lsnyc.legalserver.org/matter/dynamic-profile/view/1874395","18-1874395")</f>
        <v>0</v>
      </c>
      <c r="B933" t="s">
        <v>116</v>
      </c>
      <c r="C933" t="s">
        <v>340</v>
      </c>
      <c r="D933" t="s">
        <v>498</v>
      </c>
      <c r="F933" t="s">
        <v>1416</v>
      </c>
      <c r="G933" t="s">
        <v>1725</v>
      </c>
      <c r="H933" t="s">
        <v>10465</v>
      </c>
      <c r="I933" t="s">
        <v>17275</v>
      </c>
      <c r="J933" t="s">
        <v>18894</v>
      </c>
      <c r="K933">
        <v>11212</v>
      </c>
      <c r="L933" t="s">
        <v>18958</v>
      </c>
      <c r="M933" t="s">
        <v>18958</v>
      </c>
      <c r="N933" t="s">
        <v>19695</v>
      </c>
      <c r="O933" t="s">
        <v>26523</v>
      </c>
      <c r="P933" t="s">
        <v>26560</v>
      </c>
      <c r="R933" t="s">
        <v>26578</v>
      </c>
      <c r="S933" t="s">
        <v>18959</v>
      </c>
      <c r="U933" t="s">
        <v>26604</v>
      </c>
      <c r="V933" t="s">
        <v>26610</v>
      </c>
      <c r="W933" t="s">
        <v>510</v>
      </c>
      <c r="X933">
        <v>873</v>
      </c>
      <c r="Y933" t="s">
        <v>26652</v>
      </c>
      <c r="Z933" t="s">
        <v>26657</v>
      </c>
      <c r="AB933" t="s">
        <v>27579</v>
      </c>
      <c r="AC933" t="s">
        <v>34782</v>
      </c>
      <c r="AD933" t="s">
        <v>37637</v>
      </c>
      <c r="AE933">
        <v>10</v>
      </c>
      <c r="AF933" t="s">
        <v>45541</v>
      </c>
      <c r="AG933" t="s">
        <v>45560</v>
      </c>
      <c r="AH933">
        <v>1</v>
      </c>
      <c r="AI933">
        <v>1</v>
      </c>
      <c r="AJ933">
        <v>0</v>
      </c>
      <c r="AK933">
        <v>16.71</v>
      </c>
      <c r="AN933" t="s">
        <v>7439</v>
      </c>
      <c r="AO933">
        <v>2028</v>
      </c>
      <c r="AP933" t="s">
        <v>45677</v>
      </c>
      <c r="AQ933" t="s">
        <v>46362</v>
      </c>
      <c r="AR933" t="s">
        <v>26530</v>
      </c>
      <c r="AS933" t="s">
        <v>46499</v>
      </c>
      <c r="AU933">
        <v>45.75</v>
      </c>
      <c r="AV933" t="s">
        <v>833</v>
      </c>
      <c r="AW933" t="s">
        <v>279</v>
      </c>
    </row>
    <row r="934" spans="1:50">
      <c r="A934" s="1">
        <f>HYPERLINK("https://lsnyc.legalserver.org/matter/dynamic-profile/view/1874723","18-1874723")</f>
        <v>0</v>
      </c>
      <c r="B934" t="s">
        <v>137</v>
      </c>
      <c r="C934" t="s">
        <v>341</v>
      </c>
      <c r="D934" t="s">
        <v>510</v>
      </c>
      <c r="E934" t="s">
        <v>683</v>
      </c>
      <c r="F934" t="s">
        <v>1519</v>
      </c>
      <c r="G934" t="s">
        <v>5697</v>
      </c>
      <c r="H934" t="s">
        <v>10466</v>
      </c>
      <c r="I934" t="s">
        <v>17380</v>
      </c>
      <c r="J934" t="s">
        <v>18892</v>
      </c>
      <c r="K934">
        <v>10462</v>
      </c>
      <c r="L934" t="s">
        <v>18958</v>
      </c>
      <c r="M934" t="s">
        <v>18958</v>
      </c>
      <c r="N934" t="s">
        <v>19696</v>
      </c>
      <c r="O934" t="s">
        <v>26523</v>
      </c>
      <c r="P934" t="s">
        <v>26560</v>
      </c>
      <c r="Q934" t="s">
        <v>26568</v>
      </c>
      <c r="R934" t="s">
        <v>26579</v>
      </c>
      <c r="S934" t="s">
        <v>18959</v>
      </c>
      <c r="U934" t="s">
        <v>26604</v>
      </c>
      <c r="V934" t="s">
        <v>26611</v>
      </c>
      <c r="W934" t="s">
        <v>510</v>
      </c>
      <c r="X934">
        <v>1428</v>
      </c>
      <c r="Y934" t="s">
        <v>26650</v>
      </c>
      <c r="Z934" t="s">
        <v>26668</v>
      </c>
      <c r="AA934" t="s">
        <v>26678</v>
      </c>
      <c r="AB934" t="s">
        <v>27580</v>
      </c>
      <c r="AC934" t="s">
        <v>34783</v>
      </c>
      <c r="AD934" t="s">
        <v>37638</v>
      </c>
      <c r="AE934">
        <v>67</v>
      </c>
      <c r="AF934" t="s">
        <v>45541</v>
      </c>
      <c r="AG934" t="s">
        <v>19330</v>
      </c>
      <c r="AH934">
        <v>4</v>
      </c>
      <c r="AI934">
        <v>3</v>
      </c>
      <c r="AJ934">
        <v>0</v>
      </c>
      <c r="AK934">
        <v>181.23</v>
      </c>
      <c r="AN934" t="s">
        <v>45581</v>
      </c>
      <c r="AO934">
        <v>37660</v>
      </c>
      <c r="AQ934" t="s">
        <v>46365</v>
      </c>
      <c r="AR934" t="s">
        <v>46379</v>
      </c>
      <c r="AS934" t="s">
        <v>46499</v>
      </c>
      <c r="AT934" t="s">
        <v>46591</v>
      </c>
      <c r="AU934">
        <v>9.949999999999999</v>
      </c>
      <c r="AV934" t="s">
        <v>428</v>
      </c>
      <c r="AW934" t="s">
        <v>46832</v>
      </c>
    </row>
    <row r="935" spans="1:50">
      <c r="A935" s="1">
        <f>HYPERLINK("https://lsnyc.legalserver.org/matter/dynamic-profile/view/1874809","18-1874809")</f>
        <v>0</v>
      </c>
      <c r="B935" t="s">
        <v>146</v>
      </c>
      <c r="C935" t="s">
        <v>341</v>
      </c>
      <c r="D935" t="s">
        <v>510</v>
      </c>
      <c r="E935" t="s">
        <v>477</v>
      </c>
      <c r="F935" t="s">
        <v>979</v>
      </c>
      <c r="G935" t="s">
        <v>1725</v>
      </c>
      <c r="H935" t="s">
        <v>10467</v>
      </c>
      <c r="I935" t="s">
        <v>17277</v>
      </c>
      <c r="J935" t="s">
        <v>18893</v>
      </c>
      <c r="K935">
        <v>10032</v>
      </c>
      <c r="L935" t="s">
        <v>18958</v>
      </c>
      <c r="M935" t="s">
        <v>18960</v>
      </c>
      <c r="O935" t="s">
        <v>18997</v>
      </c>
      <c r="P935" t="s">
        <v>26564</v>
      </c>
      <c r="Q935" t="s">
        <v>26570</v>
      </c>
      <c r="R935" t="s">
        <v>26578</v>
      </c>
      <c r="S935" t="s">
        <v>18959</v>
      </c>
      <c r="U935" t="s">
        <v>26604</v>
      </c>
      <c r="V935" t="s">
        <v>26610</v>
      </c>
      <c r="W935" t="s">
        <v>510</v>
      </c>
      <c r="X935">
        <v>1136.19</v>
      </c>
      <c r="Y935" t="s">
        <v>26651</v>
      </c>
      <c r="Z935" t="s">
        <v>26661</v>
      </c>
      <c r="AA935" t="s">
        <v>26683</v>
      </c>
      <c r="AB935" t="s">
        <v>27581</v>
      </c>
      <c r="AD935" t="s">
        <v>37639</v>
      </c>
      <c r="AE935">
        <v>53</v>
      </c>
      <c r="AF935" t="s">
        <v>45541</v>
      </c>
      <c r="AG935" t="s">
        <v>19330</v>
      </c>
      <c r="AH935">
        <v>40</v>
      </c>
      <c r="AI935">
        <v>3</v>
      </c>
      <c r="AJ935">
        <v>0</v>
      </c>
      <c r="AK935">
        <v>503.37</v>
      </c>
      <c r="AN935" t="s">
        <v>7439</v>
      </c>
      <c r="AO935">
        <v>104600</v>
      </c>
      <c r="AU935">
        <v>1</v>
      </c>
      <c r="AV935" t="s">
        <v>510</v>
      </c>
      <c r="AW935" t="s">
        <v>46840</v>
      </c>
    </row>
    <row r="936" spans="1:50">
      <c r="A936" s="1">
        <f>HYPERLINK("https://lsnyc.legalserver.org/matter/dynamic-profile/view/1874776","18-1874776")</f>
        <v>0</v>
      </c>
      <c r="B936" t="s">
        <v>64</v>
      </c>
      <c r="C936" t="s">
        <v>341</v>
      </c>
      <c r="D936" t="s">
        <v>510</v>
      </c>
      <c r="E936" t="s">
        <v>411</v>
      </c>
      <c r="F936" t="s">
        <v>1520</v>
      </c>
      <c r="G936" t="s">
        <v>2409</v>
      </c>
      <c r="H936" t="s">
        <v>10468</v>
      </c>
      <c r="I936" t="s">
        <v>17557</v>
      </c>
      <c r="J936" t="s">
        <v>18892</v>
      </c>
      <c r="K936">
        <v>10467</v>
      </c>
      <c r="L936" t="s">
        <v>18958</v>
      </c>
      <c r="M936" t="s">
        <v>18958</v>
      </c>
      <c r="N936" t="s">
        <v>19697</v>
      </c>
      <c r="O936" t="s">
        <v>26523</v>
      </c>
      <c r="P936" t="s">
        <v>26560</v>
      </c>
      <c r="Q936" t="s">
        <v>26568</v>
      </c>
      <c r="R936" t="s">
        <v>26579</v>
      </c>
      <c r="U936" t="s">
        <v>26604</v>
      </c>
      <c r="V936" t="s">
        <v>26610</v>
      </c>
      <c r="W936" t="s">
        <v>510</v>
      </c>
      <c r="X936">
        <v>335</v>
      </c>
      <c r="Y936" t="s">
        <v>26650</v>
      </c>
      <c r="Z936" t="s">
        <v>26659</v>
      </c>
      <c r="AA936" t="s">
        <v>26678</v>
      </c>
      <c r="AB936" t="s">
        <v>27582</v>
      </c>
      <c r="AC936" t="s">
        <v>34784</v>
      </c>
      <c r="AD936" t="s">
        <v>37640</v>
      </c>
      <c r="AE936">
        <v>0</v>
      </c>
      <c r="AF936" t="s">
        <v>45541</v>
      </c>
      <c r="AG936" t="s">
        <v>19330</v>
      </c>
      <c r="AH936">
        <v>8</v>
      </c>
      <c r="AI936">
        <v>1</v>
      </c>
      <c r="AJ936">
        <v>0</v>
      </c>
      <c r="AK936">
        <v>107.08</v>
      </c>
      <c r="AN936" t="s">
        <v>7439</v>
      </c>
      <c r="AO936">
        <v>13000</v>
      </c>
      <c r="AQ936" t="s">
        <v>46362</v>
      </c>
      <c r="AR936" t="s">
        <v>46380</v>
      </c>
      <c r="AS936" t="s">
        <v>46499</v>
      </c>
      <c r="AT936" t="s">
        <v>46637</v>
      </c>
      <c r="AU936">
        <v>11.95</v>
      </c>
      <c r="AV936" t="s">
        <v>583</v>
      </c>
      <c r="AW936" t="s">
        <v>46831</v>
      </c>
    </row>
    <row r="937" spans="1:50">
      <c r="A937" s="1">
        <f>HYPERLINK("https://lsnyc.legalserver.org/matter/dynamic-profile/view/1874829","18-1874829")</f>
        <v>0</v>
      </c>
      <c r="B937" t="s">
        <v>65</v>
      </c>
      <c r="C937" t="s">
        <v>341</v>
      </c>
      <c r="D937" t="s">
        <v>510</v>
      </c>
      <c r="E937" t="s">
        <v>857</v>
      </c>
      <c r="F937" t="s">
        <v>1521</v>
      </c>
      <c r="G937" t="s">
        <v>5100</v>
      </c>
      <c r="H937" t="s">
        <v>10469</v>
      </c>
      <c r="I937" t="s">
        <v>17274</v>
      </c>
      <c r="J937" t="s">
        <v>18892</v>
      </c>
      <c r="K937">
        <v>10457</v>
      </c>
      <c r="L937" t="s">
        <v>18958</v>
      </c>
      <c r="M937" t="s">
        <v>18958</v>
      </c>
      <c r="N937" t="s">
        <v>19698</v>
      </c>
      <c r="O937" t="s">
        <v>26523</v>
      </c>
      <c r="P937" t="s">
        <v>26560</v>
      </c>
      <c r="Q937" t="s">
        <v>26568</v>
      </c>
      <c r="R937" t="s">
        <v>26579</v>
      </c>
      <c r="S937" t="s">
        <v>18959</v>
      </c>
      <c r="U937" t="s">
        <v>26604</v>
      </c>
      <c r="V937" t="s">
        <v>26609</v>
      </c>
      <c r="W937" t="s">
        <v>510</v>
      </c>
      <c r="X937">
        <v>1175</v>
      </c>
      <c r="Y937" t="s">
        <v>26650</v>
      </c>
      <c r="AA937" t="s">
        <v>26681</v>
      </c>
      <c r="AB937" t="s">
        <v>27117</v>
      </c>
      <c r="AC937" t="s">
        <v>34785</v>
      </c>
      <c r="AD937" t="s">
        <v>37641</v>
      </c>
      <c r="AE937">
        <v>0</v>
      </c>
      <c r="AF937" t="s">
        <v>45541</v>
      </c>
      <c r="AG937" t="s">
        <v>19330</v>
      </c>
      <c r="AH937">
        <v>5</v>
      </c>
      <c r="AI937">
        <v>1</v>
      </c>
      <c r="AJ937">
        <v>3</v>
      </c>
      <c r="AK937">
        <v>183.1</v>
      </c>
      <c r="AN937" t="s">
        <v>7439</v>
      </c>
      <c r="AO937">
        <v>45958.36</v>
      </c>
      <c r="AR937" t="s">
        <v>46383</v>
      </c>
      <c r="AS937" t="s">
        <v>46500</v>
      </c>
      <c r="AT937" t="s">
        <v>46662</v>
      </c>
      <c r="AU937">
        <v>19.5</v>
      </c>
      <c r="AV937" t="s">
        <v>702</v>
      </c>
      <c r="AW937" t="s">
        <v>46837</v>
      </c>
    </row>
    <row r="938" spans="1:50">
      <c r="A938" s="1">
        <f>HYPERLINK("https://lsnyc.legalserver.org/matter/dynamic-profile/view/1874798","18-1874798")</f>
        <v>0</v>
      </c>
      <c r="B938" t="s">
        <v>76</v>
      </c>
      <c r="C938" t="s">
        <v>341</v>
      </c>
      <c r="D938" t="s">
        <v>510</v>
      </c>
      <c r="E938" t="s">
        <v>511</v>
      </c>
      <c r="F938" t="s">
        <v>1522</v>
      </c>
      <c r="G938" t="s">
        <v>5698</v>
      </c>
      <c r="H938" t="s">
        <v>10470</v>
      </c>
      <c r="I938" t="s">
        <v>17273</v>
      </c>
      <c r="J938" t="s">
        <v>18893</v>
      </c>
      <c r="K938">
        <v>10031</v>
      </c>
      <c r="L938" t="s">
        <v>18958</v>
      </c>
      <c r="M938" t="s">
        <v>18958</v>
      </c>
      <c r="O938" t="s">
        <v>18997</v>
      </c>
      <c r="P938" t="s">
        <v>26564</v>
      </c>
      <c r="Q938" t="s">
        <v>26570</v>
      </c>
      <c r="R938" t="s">
        <v>26582</v>
      </c>
      <c r="S938" t="s">
        <v>18959</v>
      </c>
      <c r="T938" t="s">
        <v>26600</v>
      </c>
      <c r="U938" t="s">
        <v>26604</v>
      </c>
      <c r="W938" t="s">
        <v>510</v>
      </c>
      <c r="X938">
        <v>814.2</v>
      </c>
      <c r="Y938" t="s">
        <v>26651</v>
      </c>
      <c r="Z938" t="s">
        <v>26661</v>
      </c>
      <c r="AA938" t="s">
        <v>26683</v>
      </c>
      <c r="AB938" t="s">
        <v>27583</v>
      </c>
      <c r="AD938" t="s">
        <v>37642</v>
      </c>
      <c r="AE938">
        <v>0</v>
      </c>
      <c r="AF938" t="s">
        <v>45541</v>
      </c>
      <c r="AG938" t="s">
        <v>19330</v>
      </c>
      <c r="AH938">
        <v>11</v>
      </c>
      <c r="AI938">
        <v>1</v>
      </c>
      <c r="AJ938">
        <v>0</v>
      </c>
      <c r="AK938">
        <v>0</v>
      </c>
      <c r="AN938" t="s">
        <v>7439</v>
      </c>
      <c r="AO938">
        <v>0</v>
      </c>
      <c r="AU938">
        <v>1.5</v>
      </c>
      <c r="AV938" t="s">
        <v>441</v>
      </c>
      <c r="AW938" t="s">
        <v>46838</v>
      </c>
    </row>
    <row r="939" spans="1:50">
      <c r="A939" s="1">
        <f>HYPERLINK("https://lsnyc.legalserver.org/matter/dynamic-profile/view/1874784","18-1874784")</f>
        <v>0</v>
      </c>
      <c r="B939" t="s">
        <v>103</v>
      </c>
      <c r="C939" t="s">
        <v>341</v>
      </c>
      <c r="D939" t="s">
        <v>510</v>
      </c>
      <c r="E939" t="s">
        <v>709</v>
      </c>
      <c r="F939" t="s">
        <v>1402</v>
      </c>
      <c r="G939" t="s">
        <v>5699</v>
      </c>
      <c r="H939" t="s">
        <v>10471</v>
      </c>
      <c r="I939" t="s">
        <v>17558</v>
      </c>
      <c r="J939" t="s">
        <v>18902</v>
      </c>
      <c r="K939">
        <v>10314</v>
      </c>
      <c r="L939" t="s">
        <v>18958</v>
      </c>
      <c r="M939" t="s">
        <v>18958</v>
      </c>
      <c r="N939" t="s">
        <v>19699</v>
      </c>
      <c r="O939" t="s">
        <v>26523</v>
      </c>
      <c r="P939" t="s">
        <v>26560</v>
      </c>
      <c r="Q939" t="s">
        <v>26568</v>
      </c>
      <c r="R939" t="s">
        <v>26590</v>
      </c>
      <c r="S939" t="s">
        <v>18959</v>
      </c>
      <c r="U939" t="s">
        <v>26604</v>
      </c>
      <c r="V939" t="s">
        <v>26610</v>
      </c>
      <c r="W939" t="s">
        <v>510</v>
      </c>
      <c r="X939">
        <v>1200</v>
      </c>
      <c r="Y939" t="s">
        <v>26654</v>
      </c>
      <c r="Z939" t="s">
        <v>26668</v>
      </c>
      <c r="AA939" t="s">
        <v>26679</v>
      </c>
      <c r="AB939" t="s">
        <v>27584</v>
      </c>
      <c r="AD939" t="s">
        <v>37643</v>
      </c>
      <c r="AE939">
        <v>2</v>
      </c>
      <c r="AF939" t="s">
        <v>45547</v>
      </c>
      <c r="AG939" t="s">
        <v>19330</v>
      </c>
      <c r="AH939">
        <v>2</v>
      </c>
      <c r="AI939">
        <v>2</v>
      </c>
      <c r="AJ939">
        <v>1</v>
      </c>
      <c r="AK939">
        <v>91.47</v>
      </c>
      <c r="AN939" t="s">
        <v>7439</v>
      </c>
      <c r="AO939">
        <v>19008</v>
      </c>
      <c r="AQ939" t="s">
        <v>46365</v>
      </c>
      <c r="AR939" t="s">
        <v>26530</v>
      </c>
      <c r="AS939" t="s">
        <v>46500</v>
      </c>
      <c r="AT939" t="s">
        <v>46663</v>
      </c>
      <c r="AU939">
        <v>24.2</v>
      </c>
      <c r="AV939" t="s">
        <v>709</v>
      </c>
      <c r="AW939" t="s">
        <v>190</v>
      </c>
    </row>
    <row r="940" spans="1:50">
      <c r="A940" s="1">
        <f>HYPERLINK("https://lsnyc.legalserver.org/matter/dynamic-profile/view/1874832","18-1874832")</f>
        <v>0</v>
      </c>
      <c r="B940" t="s">
        <v>51</v>
      </c>
      <c r="C940" t="s">
        <v>341</v>
      </c>
      <c r="D940" t="s">
        <v>510</v>
      </c>
      <c r="E940" t="s">
        <v>494</v>
      </c>
      <c r="F940" t="s">
        <v>1523</v>
      </c>
      <c r="G940" t="s">
        <v>5700</v>
      </c>
      <c r="H940" t="s">
        <v>9819</v>
      </c>
      <c r="I940" t="s">
        <v>17559</v>
      </c>
      <c r="J940" t="s">
        <v>18892</v>
      </c>
      <c r="K940">
        <v>10468</v>
      </c>
      <c r="L940" t="s">
        <v>18958</v>
      </c>
      <c r="M940" t="s">
        <v>18958</v>
      </c>
      <c r="N940" t="s">
        <v>19700</v>
      </c>
      <c r="O940" t="s">
        <v>26523</v>
      </c>
      <c r="P940" t="s">
        <v>26560</v>
      </c>
      <c r="Q940" t="s">
        <v>26568</v>
      </c>
      <c r="R940" t="s">
        <v>26579</v>
      </c>
      <c r="S940" t="s">
        <v>18959</v>
      </c>
      <c r="U940" t="s">
        <v>26604</v>
      </c>
      <c r="V940" t="s">
        <v>26610</v>
      </c>
      <c r="W940" t="s">
        <v>510</v>
      </c>
      <c r="X940">
        <v>1058.38</v>
      </c>
      <c r="Y940" t="s">
        <v>26650</v>
      </c>
      <c r="AA940" t="s">
        <v>26678</v>
      </c>
      <c r="AB940" t="s">
        <v>27585</v>
      </c>
      <c r="AD940" t="s">
        <v>37644</v>
      </c>
      <c r="AE940">
        <v>0</v>
      </c>
      <c r="AF940" t="s">
        <v>45541</v>
      </c>
      <c r="AG940" t="s">
        <v>45563</v>
      </c>
      <c r="AH940">
        <v>8</v>
      </c>
      <c r="AI940">
        <v>1</v>
      </c>
      <c r="AJ940">
        <v>0</v>
      </c>
      <c r="AK940">
        <v>108.73</v>
      </c>
      <c r="AN940" t="s">
        <v>7439</v>
      </c>
      <c r="AO940">
        <v>13200</v>
      </c>
      <c r="AQ940" t="s">
        <v>46362</v>
      </c>
      <c r="AR940" t="s">
        <v>46385</v>
      </c>
      <c r="AS940" t="s">
        <v>46499</v>
      </c>
      <c r="AT940" t="s">
        <v>46605</v>
      </c>
      <c r="AU940">
        <v>7.5</v>
      </c>
      <c r="AV940" t="s">
        <v>652</v>
      </c>
      <c r="AW940" t="s">
        <v>46832</v>
      </c>
    </row>
    <row r="941" spans="1:50">
      <c r="A941" s="1">
        <f>HYPERLINK("https://lsnyc.legalserver.org/matter/dynamic-profile/view/1874826","18-1874826")</f>
        <v>0</v>
      </c>
      <c r="B941" t="s">
        <v>64</v>
      </c>
      <c r="C941" t="s">
        <v>340</v>
      </c>
      <c r="D941" t="s">
        <v>510</v>
      </c>
      <c r="F941" t="s">
        <v>1524</v>
      </c>
      <c r="G941" t="s">
        <v>5701</v>
      </c>
      <c r="H941" t="s">
        <v>10472</v>
      </c>
      <c r="I941" t="s">
        <v>17273</v>
      </c>
      <c r="J941" t="s">
        <v>18892</v>
      </c>
      <c r="K941">
        <v>10473</v>
      </c>
      <c r="L941" t="s">
        <v>18958</v>
      </c>
      <c r="M941" t="s">
        <v>18958</v>
      </c>
      <c r="N941" t="s">
        <v>19701</v>
      </c>
      <c r="O941" t="s">
        <v>26523</v>
      </c>
      <c r="P941" t="s">
        <v>26560</v>
      </c>
      <c r="R941" t="s">
        <v>26577</v>
      </c>
      <c r="U941" t="s">
        <v>26604</v>
      </c>
      <c r="V941" t="s">
        <v>26610</v>
      </c>
      <c r="W941" t="s">
        <v>510</v>
      </c>
      <c r="X941">
        <v>1544</v>
      </c>
      <c r="Y941" t="s">
        <v>26650</v>
      </c>
      <c r="Z941" t="s">
        <v>26668</v>
      </c>
      <c r="AB941" t="s">
        <v>27586</v>
      </c>
      <c r="AD941" t="s">
        <v>37645</v>
      </c>
      <c r="AE941">
        <v>0</v>
      </c>
      <c r="AF941" t="s">
        <v>45543</v>
      </c>
      <c r="AG941" t="s">
        <v>45556</v>
      </c>
      <c r="AH941">
        <v>28</v>
      </c>
      <c r="AI941">
        <v>2</v>
      </c>
      <c r="AJ941">
        <v>0</v>
      </c>
      <c r="AK941">
        <v>157.95</v>
      </c>
      <c r="AN941" t="s">
        <v>7439</v>
      </c>
      <c r="AO941">
        <v>25998</v>
      </c>
      <c r="AU941">
        <v>19.15</v>
      </c>
      <c r="AV941" t="s">
        <v>804</v>
      </c>
      <c r="AW941" t="s">
        <v>46854</v>
      </c>
    </row>
    <row r="942" spans="1:50">
      <c r="A942" s="1">
        <f>HYPERLINK("https://lsnyc.legalserver.org/matter/dynamic-profile/view/1874728","18-1874728")</f>
        <v>0</v>
      </c>
      <c r="B942" t="s">
        <v>190</v>
      </c>
      <c r="C942" t="s">
        <v>341</v>
      </c>
      <c r="D942" t="s">
        <v>477</v>
      </c>
      <c r="E942" t="s">
        <v>477</v>
      </c>
      <c r="F942" t="s">
        <v>1525</v>
      </c>
      <c r="G942" t="s">
        <v>5702</v>
      </c>
      <c r="H942" t="s">
        <v>10473</v>
      </c>
      <c r="J942" t="s">
        <v>18902</v>
      </c>
      <c r="K942">
        <v>10305</v>
      </c>
      <c r="L942" t="s">
        <v>18958</v>
      </c>
      <c r="M942" t="s">
        <v>18959</v>
      </c>
      <c r="N942" t="s">
        <v>19330</v>
      </c>
      <c r="O942" t="s">
        <v>18997</v>
      </c>
      <c r="P942" t="s">
        <v>26564</v>
      </c>
      <c r="Q942" t="s">
        <v>26571</v>
      </c>
      <c r="R942" t="s">
        <v>26587</v>
      </c>
      <c r="S942" t="s">
        <v>18959</v>
      </c>
      <c r="U942" t="s">
        <v>26604</v>
      </c>
      <c r="V942" t="s">
        <v>26610</v>
      </c>
      <c r="W942" t="s">
        <v>510</v>
      </c>
      <c r="X942">
        <v>1000</v>
      </c>
      <c r="Y942" t="s">
        <v>26654</v>
      </c>
      <c r="Z942" t="s">
        <v>26661</v>
      </c>
      <c r="AA942" t="s">
        <v>26681</v>
      </c>
      <c r="AB942" t="s">
        <v>27587</v>
      </c>
      <c r="AE942">
        <v>0</v>
      </c>
      <c r="AF942" t="s">
        <v>45547</v>
      </c>
      <c r="AG942" t="s">
        <v>19330</v>
      </c>
      <c r="AH942">
        <v>0</v>
      </c>
      <c r="AI942">
        <v>2</v>
      </c>
      <c r="AJ942">
        <v>0</v>
      </c>
      <c r="AK942">
        <v>218.71</v>
      </c>
      <c r="AN942" t="s">
        <v>45581</v>
      </c>
      <c r="AO942">
        <v>36000</v>
      </c>
      <c r="AR942" t="s">
        <v>46395</v>
      </c>
      <c r="AU942">
        <v>0.4</v>
      </c>
      <c r="AV942" t="s">
        <v>477</v>
      </c>
      <c r="AW942" t="s">
        <v>46855</v>
      </c>
    </row>
    <row r="943" spans="1:50">
      <c r="A943" s="1">
        <f>HYPERLINK("https://lsnyc.legalserver.org/matter/dynamic-profile/view/1875921","18-1875921")</f>
        <v>0</v>
      </c>
      <c r="B943" t="s">
        <v>88</v>
      </c>
      <c r="C943" t="s">
        <v>340</v>
      </c>
      <c r="D943" t="s">
        <v>511</v>
      </c>
      <c r="F943" t="s">
        <v>1502</v>
      </c>
      <c r="G943" t="s">
        <v>5703</v>
      </c>
      <c r="H943" t="s">
        <v>10474</v>
      </c>
      <c r="I943" t="s">
        <v>17560</v>
      </c>
      <c r="J943" t="s">
        <v>18894</v>
      </c>
      <c r="K943">
        <v>11225</v>
      </c>
      <c r="L943" t="s">
        <v>18958</v>
      </c>
      <c r="M943" t="s">
        <v>18958</v>
      </c>
      <c r="N943" t="s">
        <v>18997</v>
      </c>
      <c r="O943" t="s">
        <v>18997</v>
      </c>
      <c r="P943" t="s">
        <v>26565</v>
      </c>
      <c r="R943" t="s">
        <v>26578</v>
      </c>
      <c r="S943" t="s">
        <v>18959</v>
      </c>
      <c r="U943" t="s">
        <v>26604</v>
      </c>
      <c r="W943" t="s">
        <v>510</v>
      </c>
      <c r="X943">
        <v>795.52</v>
      </c>
      <c r="Y943" t="s">
        <v>26652</v>
      </c>
      <c r="Z943" t="s">
        <v>26663</v>
      </c>
      <c r="AB943" t="s">
        <v>27588</v>
      </c>
      <c r="AD943" t="s">
        <v>37646</v>
      </c>
      <c r="AE943">
        <v>89</v>
      </c>
      <c r="AF943" t="s">
        <v>45541</v>
      </c>
      <c r="AG943" t="s">
        <v>45556</v>
      </c>
      <c r="AH943">
        <v>35</v>
      </c>
      <c r="AI943">
        <v>2</v>
      </c>
      <c r="AJ943">
        <v>0</v>
      </c>
      <c r="AK943">
        <v>60.66</v>
      </c>
      <c r="AN943" t="s">
        <v>7439</v>
      </c>
      <c r="AO943">
        <v>9984</v>
      </c>
      <c r="AP943" t="s">
        <v>45624</v>
      </c>
      <c r="AU943">
        <v>0</v>
      </c>
      <c r="AW943" t="s">
        <v>279</v>
      </c>
    </row>
    <row r="944" spans="1:50">
      <c r="A944" s="1">
        <f>HYPERLINK("https://lsnyc.legalserver.org/matter/dynamic-profile/view/1875924","18-1875924")</f>
        <v>0</v>
      </c>
      <c r="B944" t="s">
        <v>155</v>
      </c>
      <c r="C944" t="s">
        <v>340</v>
      </c>
      <c r="D944" t="s">
        <v>511</v>
      </c>
      <c r="F944" t="s">
        <v>1502</v>
      </c>
      <c r="G944" t="s">
        <v>5703</v>
      </c>
      <c r="H944" t="s">
        <v>10474</v>
      </c>
      <c r="I944" t="s">
        <v>17560</v>
      </c>
      <c r="J944" t="s">
        <v>18894</v>
      </c>
      <c r="K944">
        <v>11225</v>
      </c>
      <c r="L944" t="s">
        <v>18958</v>
      </c>
      <c r="M944" t="s">
        <v>18958</v>
      </c>
      <c r="N944" t="s">
        <v>19702</v>
      </c>
      <c r="O944" t="s">
        <v>26524</v>
      </c>
      <c r="P944" t="s">
        <v>26560</v>
      </c>
      <c r="R944" t="s">
        <v>26588</v>
      </c>
      <c r="S944" t="s">
        <v>18959</v>
      </c>
      <c r="U944" t="s">
        <v>26604</v>
      </c>
      <c r="V944" t="s">
        <v>26610</v>
      </c>
      <c r="W944" t="s">
        <v>510</v>
      </c>
      <c r="X944">
        <v>795.52</v>
      </c>
      <c r="Y944" t="s">
        <v>26652</v>
      </c>
      <c r="Z944" t="s">
        <v>26663</v>
      </c>
      <c r="AB944" t="s">
        <v>27589</v>
      </c>
      <c r="AD944" t="s">
        <v>37646</v>
      </c>
      <c r="AE944">
        <v>89</v>
      </c>
      <c r="AF944" t="s">
        <v>45541</v>
      </c>
      <c r="AG944" t="s">
        <v>45556</v>
      </c>
      <c r="AH944">
        <v>35</v>
      </c>
      <c r="AI944">
        <v>2</v>
      </c>
      <c r="AJ944">
        <v>0</v>
      </c>
      <c r="AK944">
        <v>60.66</v>
      </c>
      <c r="AN944" t="s">
        <v>7439</v>
      </c>
      <c r="AO944">
        <v>9984</v>
      </c>
      <c r="AU944">
        <v>38.85</v>
      </c>
      <c r="AV944" t="s">
        <v>820</v>
      </c>
      <c r="AW944" t="s">
        <v>279</v>
      </c>
      <c r="AX944" t="s">
        <v>46897</v>
      </c>
    </row>
    <row r="945" spans="1:49">
      <c r="A945" s="1">
        <f>HYPERLINK("https://lsnyc.legalserver.org/matter/dynamic-profile/view/1876016","18-1876016")</f>
        <v>0</v>
      </c>
      <c r="B945" t="s">
        <v>88</v>
      </c>
      <c r="C945" t="s">
        <v>340</v>
      </c>
      <c r="D945" t="s">
        <v>512</v>
      </c>
      <c r="F945" t="s">
        <v>1165</v>
      </c>
      <c r="G945" t="s">
        <v>1263</v>
      </c>
      <c r="H945" t="s">
        <v>10474</v>
      </c>
      <c r="I945" t="s">
        <v>17451</v>
      </c>
      <c r="J945" t="s">
        <v>18894</v>
      </c>
      <c r="K945">
        <v>11225</v>
      </c>
      <c r="L945" t="s">
        <v>18958</v>
      </c>
      <c r="M945" t="s">
        <v>18958</v>
      </c>
      <c r="P945" t="s">
        <v>26565</v>
      </c>
      <c r="R945" t="s">
        <v>26578</v>
      </c>
      <c r="S945" t="s">
        <v>18959</v>
      </c>
      <c r="U945" t="s">
        <v>26604</v>
      </c>
      <c r="W945" t="s">
        <v>510</v>
      </c>
      <c r="X945">
        <v>978.0700000000001</v>
      </c>
      <c r="Y945" t="s">
        <v>26652</v>
      </c>
      <c r="AB945" t="s">
        <v>27590</v>
      </c>
      <c r="AD945" t="s">
        <v>37647</v>
      </c>
      <c r="AE945">
        <v>89</v>
      </c>
      <c r="AF945" t="s">
        <v>45541</v>
      </c>
      <c r="AG945" t="s">
        <v>19330</v>
      </c>
      <c r="AH945">
        <v>28</v>
      </c>
      <c r="AI945">
        <v>1</v>
      </c>
      <c r="AJ945">
        <v>0</v>
      </c>
      <c r="AK945">
        <v>0</v>
      </c>
      <c r="AN945" t="s">
        <v>7439</v>
      </c>
      <c r="AO945">
        <v>0</v>
      </c>
      <c r="AP945" t="s">
        <v>45624</v>
      </c>
      <c r="AU945">
        <v>0</v>
      </c>
      <c r="AW945" t="s">
        <v>279</v>
      </c>
    </row>
    <row r="946" spans="1:49">
      <c r="A946" s="1">
        <f>HYPERLINK("https://lsnyc.legalserver.org/matter/dynamic-profile/view/1887838","19-1887838")</f>
        <v>0</v>
      </c>
      <c r="B946" t="s">
        <v>88</v>
      </c>
      <c r="C946" t="s">
        <v>340</v>
      </c>
      <c r="D946" t="s">
        <v>458</v>
      </c>
      <c r="F946" t="s">
        <v>1165</v>
      </c>
      <c r="G946" t="s">
        <v>1263</v>
      </c>
      <c r="H946" t="s">
        <v>10474</v>
      </c>
      <c r="I946" t="s">
        <v>17451</v>
      </c>
      <c r="J946" t="s">
        <v>18894</v>
      </c>
      <c r="K946">
        <v>11225</v>
      </c>
      <c r="L946" t="s">
        <v>18958</v>
      </c>
      <c r="M946" t="s">
        <v>18958</v>
      </c>
      <c r="O946" t="s">
        <v>26534</v>
      </c>
      <c r="P946" t="s">
        <v>26561</v>
      </c>
      <c r="R946" t="s">
        <v>26578</v>
      </c>
      <c r="S946" t="s">
        <v>18958</v>
      </c>
      <c r="U946" t="s">
        <v>26604</v>
      </c>
      <c r="W946" t="s">
        <v>510</v>
      </c>
      <c r="X946">
        <v>978.0700000000001</v>
      </c>
      <c r="Y946" t="s">
        <v>26652</v>
      </c>
      <c r="AB946" t="s">
        <v>27590</v>
      </c>
      <c r="AD946" t="s">
        <v>37647</v>
      </c>
      <c r="AE946">
        <v>89</v>
      </c>
      <c r="AF946" t="s">
        <v>45541</v>
      </c>
      <c r="AG946" t="s">
        <v>19330</v>
      </c>
      <c r="AH946">
        <v>28</v>
      </c>
      <c r="AI946">
        <v>1</v>
      </c>
      <c r="AJ946">
        <v>0</v>
      </c>
      <c r="AK946">
        <v>0</v>
      </c>
      <c r="AN946" t="s">
        <v>7439</v>
      </c>
      <c r="AO946">
        <v>0</v>
      </c>
      <c r="AU946">
        <v>2</v>
      </c>
      <c r="AV946" t="s">
        <v>818</v>
      </c>
      <c r="AW946" t="s">
        <v>286</v>
      </c>
    </row>
    <row r="947" spans="1:49">
      <c r="A947" s="1">
        <f>HYPERLINK("https://lsnyc.legalserver.org/matter/dynamic-profile/view/1887831","19-1887831")</f>
        <v>0</v>
      </c>
      <c r="B947" t="s">
        <v>88</v>
      </c>
      <c r="C947" t="s">
        <v>340</v>
      </c>
      <c r="D947" t="s">
        <v>458</v>
      </c>
      <c r="F947" t="s">
        <v>1502</v>
      </c>
      <c r="G947" t="s">
        <v>5703</v>
      </c>
      <c r="H947" t="s">
        <v>10474</v>
      </c>
      <c r="I947" t="s">
        <v>17560</v>
      </c>
      <c r="J947" t="s">
        <v>18894</v>
      </c>
      <c r="K947">
        <v>11225</v>
      </c>
      <c r="L947" t="s">
        <v>18958</v>
      </c>
      <c r="M947" t="s">
        <v>18958</v>
      </c>
      <c r="O947" t="s">
        <v>26534</v>
      </c>
      <c r="P947" t="s">
        <v>26561</v>
      </c>
      <c r="R947" t="s">
        <v>26578</v>
      </c>
      <c r="S947" t="s">
        <v>18958</v>
      </c>
      <c r="U947" t="s">
        <v>26604</v>
      </c>
      <c r="W947" t="s">
        <v>510</v>
      </c>
      <c r="X947">
        <v>795.52</v>
      </c>
      <c r="Y947" t="s">
        <v>26652</v>
      </c>
      <c r="Z947" t="s">
        <v>26663</v>
      </c>
      <c r="AB947" t="s">
        <v>27588</v>
      </c>
      <c r="AD947" t="s">
        <v>37646</v>
      </c>
      <c r="AE947">
        <v>89</v>
      </c>
      <c r="AF947" t="s">
        <v>45541</v>
      </c>
      <c r="AG947" t="s">
        <v>45556</v>
      </c>
      <c r="AH947">
        <v>35</v>
      </c>
      <c r="AI947">
        <v>2</v>
      </c>
      <c r="AJ947">
        <v>0</v>
      </c>
      <c r="AK947">
        <v>60.66</v>
      </c>
      <c r="AN947" t="s">
        <v>7439</v>
      </c>
      <c r="AO947">
        <v>9984</v>
      </c>
      <c r="AU947">
        <v>0</v>
      </c>
      <c r="AW947" t="s">
        <v>286</v>
      </c>
    </row>
    <row r="948" spans="1:49">
      <c r="A948" s="1">
        <f>HYPERLINK("https://lsnyc.legalserver.org/matter/dynamic-profile/view/1843245","17-1843245")</f>
        <v>0</v>
      </c>
      <c r="B948" t="s">
        <v>121</v>
      </c>
      <c r="C948" t="s">
        <v>341</v>
      </c>
      <c r="D948" t="s">
        <v>480</v>
      </c>
      <c r="E948" t="s">
        <v>494</v>
      </c>
      <c r="F948" t="s">
        <v>1189</v>
      </c>
      <c r="G948" t="s">
        <v>5704</v>
      </c>
      <c r="H948" t="s">
        <v>10475</v>
      </c>
      <c r="I948" t="s">
        <v>17293</v>
      </c>
      <c r="J948" t="s">
        <v>18892</v>
      </c>
      <c r="K948">
        <v>10457</v>
      </c>
      <c r="L948" t="s">
        <v>18958</v>
      </c>
      <c r="M948" t="s">
        <v>18960</v>
      </c>
      <c r="N948" t="s">
        <v>19703</v>
      </c>
      <c r="O948" t="s">
        <v>26524</v>
      </c>
      <c r="P948" t="s">
        <v>26560</v>
      </c>
      <c r="Q948" t="s">
        <v>26574</v>
      </c>
      <c r="R948" t="s">
        <v>26579</v>
      </c>
      <c r="U948" t="s">
        <v>26604</v>
      </c>
      <c r="V948" t="s">
        <v>26610</v>
      </c>
      <c r="W948" t="s">
        <v>26623</v>
      </c>
      <c r="X948">
        <v>600</v>
      </c>
      <c r="Y948" t="s">
        <v>26650</v>
      </c>
      <c r="Z948" t="s">
        <v>26662</v>
      </c>
      <c r="AA948" t="s">
        <v>26679</v>
      </c>
      <c r="AB948" t="s">
        <v>27591</v>
      </c>
      <c r="AD948" t="s">
        <v>37648</v>
      </c>
      <c r="AE948">
        <v>0</v>
      </c>
      <c r="AF948" t="s">
        <v>45552</v>
      </c>
      <c r="AG948" t="s">
        <v>19330</v>
      </c>
      <c r="AH948">
        <v>1</v>
      </c>
      <c r="AI948">
        <v>3</v>
      </c>
      <c r="AJ948">
        <v>0</v>
      </c>
      <c r="AK948">
        <v>63.66</v>
      </c>
      <c r="AN948" t="s">
        <v>7439</v>
      </c>
      <c r="AO948">
        <v>13000</v>
      </c>
      <c r="AP948" t="s">
        <v>45621</v>
      </c>
      <c r="AQ948" t="s">
        <v>46366</v>
      </c>
      <c r="AR948" t="s">
        <v>46384</v>
      </c>
      <c r="AS948" t="s">
        <v>46500</v>
      </c>
      <c r="AT948" t="s">
        <v>46575</v>
      </c>
      <c r="AU948">
        <v>30.6</v>
      </c>
      <c r="AV948" t="s">
        <v>540</v>
      </c>
      <c r="AW948" t="s">
        <v>46848</v>
      </c>
    </row>
    <row r="949" spans="1:49">
      <c r="A949" s="1">
        <f>HYPERLINK("https://lsnyc.legalserver.org/matter/dynamic-profile/view/1872313","18-1872313")</f>
        <v>0</v>
      </c>
      <c r="B949" t="s">
        <v>82</v>
      </c>
      <c r="C949" t="s">
        <v>340</v>
      </c>
      <c r="D949" t="s">
        <v>446</v>
      </c>
      <c r="F949" t="s">
        <v>1457</v>
      </c>
      <c r="G949" t="s">
        <v>5138</v>
      </c>
      <c r="H949" t="s">
        <v>10476</v>
      </c>
      <c r="I949" t="s">
        <v>17398</v>
      </c>
      <c r="J949" t="s">
        <v>18892</v>
      </c>
      <c r="K949">
        <v>10471</v>
      </c>
      <c r="L949" t="s">
        <v>18958</v>
      </c>
      <c r="M949" t="s">
        <v>18958</v>
      </c>
      <c r="N949" t="s">
        <v>19704</v>
      </c>
      <c r="O949" t="s">
        <v>26523</v>
      </c>
      <c r="P949" t="s">
        <v>26560</v>
      </c>
      <c r="R949" t="s">
        <v>26577</v>
      </c>
      <c r="S949" t="s">
        <v>18959</v>
      </c>
      <c r="U949" t="s">
        <v>26605</v>
      </c>
      <c r="V949" t="s">
        <v>26611</v>
      </c>
      <c r="W949" t="s">
        <v>26623</v>
      </c>
      <c r="X949">
        <v>1300</v>
      </c>
      <c r="Y949" t="s">
        <v>26650</v>
      </c>
      <c r="AB949" t="s">
        <v>27592</v>
      </c>
      <c r="AC949" t="s">
        <v>34786</v>
      </c>
      <c r="AD949" t="s">
        <v>37649</v>
      </c>
      <c r="AE949">
        <v>0</v>
      </c>
      <c r="AF949" t="s">
        <v>45541</v>
      </c>
      <c r="AG949" t="s">
        <v>19330</v>
      </c>
      <c r="AH949">
        <v>20</v>
      </c>
      <c r="AI949">
        <v>2</v>
      </c>
      <c r="AJ949">
        <v>0</v>
      </c>
      <c r="AK949">
        <v>58.32</v>
      </c>
      <c r="AN949" t="s">
        <v>7439</v>
      </c>
      <c r="AO949">
        <v>9600</v>
      </c>
      <c r="AU949">
        <v>6.9</v>
      </c>
      <c r="AV949" t="s">
        <v>515</v>
      </c>
      <c r="AW949" t="s">
        <v>46837</v>
      </c>
    </row>
    <row r="950" spans="1:49">
      <c r="A950" s="1">
        <f>HYPERLINK("https://lsnyc.legalserver.org/matter/dynamic-profile/view/1849832","17-1849832")</f>
        <v>0</v>
      </c>
      <c r="B950" t="s">
        <v>170</v>
      </c>
      <c r="C950" t="s">
        <v>341</v>
      </c>
      <c r="D950" t="s">
        <v>513</v>
      </c>
      <c r="E950" t="s">
        <v>477</v>
      </c>
      <c r="F950" t="s">
        <v>1526</v>
      </c>
      <c r="G950" t="s">
        <v>5705</v>
      </c>
      <c r="H950" t="s">
        <v>10477</v>
      </c>
      <c r="I950" t="s">
        <v>17349</v>
      </c>
      <c r="J950" t="s">
        <v>18894</v>
      </c>
      <c r="K950">
        <v>11225</v>
      </c>
      <c r="L950" t="s">
        <v>18958</v>
      </c>
      <c r="M950" t="s">
        <v>18960</v>
      </c>
      <c r="N950" t="s">
        <v>19705</v>
      </c>
      <c r="O950" t="s">
        <v>26524</v>
      </c>
      <c r="P950" t="s">
        <v>26560</v>
      </c>
      <c r="Q950" t="s">
        <v>26568</v>
      </c>
      <c r="R950" t="s">
        <v>26588</v>
      </c>
      <c r="U950" t="s">
        <v>26604</v>
      </c>
      <c r="W950" t="s">
        <v>477</v>
      </c>
      <c r="X950">
        <v>1316</v>
      </c>
      <c r="Y950" t="s">
        <v>26652</v>
      </c>
      <c r="Z950" t="s">
        <v>26659</v>
      </c>
      <c r="AA950" t="s">
        <v>26678</v>
      </c>
      <c r="AB950" t="s">
        <v>27593</v>
      </c>
      <c r="AD950" t="s">
        <v>37650</v>
      </c>
      <c r="AE950">
        <v>35</v>
      </c>
      <c r="AG950" t="s">
        <v>19330</v>
      </c>
      <c r="AH950">
        <v>30</v>
      </c>
      <c r="AI950">
        <v>1</v>
      </c>
      <c r="AJ950">
        <v>0</v>
      </c>
      <c r="AK950">
        <v>189.5</v>
      </c>
      <c r="AN950" t="s">
        <v>7439</v>
      </c>
      <c r="AO950">
        <v>22854</v>
      </c>
      <c r="AQ950" t="s">
        <v>46359</v>
      </c>
      <c r="AR950" t="s">
        <v>46380</v>
      </c>
      <c r="AS950" t="s">
        <v>46499</v>
      </c>
      <c r="AT950" t="s">
        <v>46628</v>
      </c>
      <c r="AU950">
        <v>38.4</v>
      </c>
      <c r="AV950" t="s">
        <v>664</v>
      </c>
      <c r="AW950" t="s">
        <v>46861</v>
      </c>
    </row>
    <row r="951" spans="1:49">
      <c r="A951" s="1">
        <f>HYPERLINK("https://lsnyc.legalserver.org/matter/dynamic-profile/view/1872248","18-1872248")</f>
        <v>0</v>
      </c>
      <c r="B951" t="s">
        <v>80</v>
      </c>
      <c r="C951" t="s">
        <v>341</v>
      </c>
      <c r="D951" t="s">
        <v>439</v>
      </c>
      <c r="E951" t="s">
        <v>477</v>
      </c>
      <c r="F951" t="s">
        <v>1144</v>
      </c>
      <c r="G951" t="s">
        <v>5706</v>
      </c>
      <c r="H951" t="s">
        <v>10478</v>
      </c>
      <c r="I951" t="s">
        <v>17316</v>
      </c>
      <c r="J951" t="s">
        <v>18893</v>
      </c>
      <c r="K951">
        <v>10024</v>
      </c>
      <c r="L951" t="s">
        <v>18958</v>
      </c>
      <c r="M951" t="s">
        <v>18958</v>
      </c>
      <c r="N951" t="s">
        <v>19706</v>
      </c>
      <c r="O951" t="s">
        <v>26523</v>
      </c>
      <c r="P951" t="s">
        <v>26564</v>
      </c>
      <c r="Q951" t="s">
        <v>26570</v>
      </c>
      <c r="R951" t="s">
        <v>26582</v>
      </c>
      <c r="S951" t="s">
        <v>18959</v>
      </c>
      <c r="U951" t="s">
        <v>26605</v>
      </c>
      <c r="V951" t="s">
        <v>26609</v>
      </c>
      <c r="W951" t="s">
        <v>477</v>
      </c>
      <c r="X951">
        <v>223</v>
      </c>
      <c r="Y951" t="s">
        <v>26651</v>
      </c>
      <c r="Z951" t="s">
        <v>26659</v>
      </c>
      <c r="AA951" t="s">
        <v>26683</v>
      </c>
      <c r="AB951" t="s">
        <v>27594</v>
      </c>
      <c r="AD951" t="s">
        <v>37651</v>
      </c>
      <c r="AE951">
        <v>0</v>
      </c>
      <c r="AF951" t="s">
        <v>45549</v>
      </c>
      <c r="AG951" t="s">
        <v>19330</v>
      </c>
      <c r="AH951">
        <v>30</v>
      </c>
      <c r="AI951">
        <v>2</v>
      </c>
      <c r="AJ951">
        <v>0</v>
      </c>
      <c r="AK951">
        <v>0</v>
      </c>
      <c r="AN951" t="s">
        <v>7439</v>
      </c>
      <c r="AO951">
        <v>0</v>
      </c>
      <c r="AU951">
        <v>0.1</v>
      </c>
      <c r="AV951" t="s">
        <v>476</v>
      </c>
      <c r="AW951" t="s">
        <v>46845</v>
      </c>
    </row>
    <row r="952" spans="1:49">
      <c r="A952" s="1">
        <f>HYPERLINK("https://lsnyc.legalserver.org/matter/dynamic-profile/view/1873737","18-1873737")</f>
        <v>0</v>
      </c>
      <c r="B952" t="s">
        <v>220</v>
      </c>
      <c r="C952" t="s">
        <v>340</v>
      </c>
      <c r="D952" t="s">
        <v>466</v>
      </c>
      <c r="F952" t="s">
        <v>1527</v>
      </c>
      <c r="G952" t="s">
        <v>5707</v>
      </c>
      <c r="H952" t="s">
        <v>10479</v>
      </c>
      <c r="I952" t="s">
        <v>17360</v>
      </c>
      <c r="J952" t="s">
        <v>18900</v>
      </c>
      <c r="K952">
        <v>11355</v>
      </c>
      <c r="L952" t="s">
        <v>18958</v>
      </c>
      <c r="M952" t="s">
        <v>18958</v>
      </c>
      <c r="N952" t="s">
        <v>19707</v>
      </c>
      <c r="O952" t="s">
        <v>26523</v>
      </c>
      <c r="P952" t="s">
        <v>26560</v>
      </c>
      <c r="R952" t="s">
        <v>26584</v>
      </c>
      <c r="S952" t="s">
        <v>18959</v>
      </c>
      <c r="U952" t="s">
        <v>26604</v>
      </c>
      <c r="V952" t="s">
        <v>26610</v>
      </c>
      <c r="W952" t="s">
        <v>477</v>
      </c>
      <c r="X952">
        <v>810.1900000000001</v>
      </c>
      <c r="Y952" t="s">
        <v>26653</v>
      </c>
      <c r="Z952" t="s">
        <v>26664</v>
      </c>
      <c r="AB952" t="s">
        <v>27595</v>
      </c>
      <c r="AD952" t="s">
        <v>37652</v>
      </c>
      <c r="AE952">
        <v>65</v>
      </c>
      <c r="AF952" t="s">
        <v>45541</v>
      </c>
      <c r="AG952" t="s">
        <v>19330</v>
      </c>
      <c r="AH952">
        <v>8</v>
      </c>
      <c r="AI952">
        <v>1</v>
      </c>
      <c r="AJ952">
        <v>0</v>
      </c>
      <c r="AK952">
        <v>51.4</v>
      </c>
      <c r="AM952" t="s">
        <v>45576</v>
      </c>
      <c r="AN952" t="s">
        <v>7439</v>
      </c>
      <c r="AO952">
        <v>6240</v>
      </c>
      <c r="AU952">
        <v>48.18</v>
      </c>
      <c r="AV952" t="s">
        <v>806</v>
      </c>
      <c r="AW952" t="s">
        <v>208</v>
      </c>
    </row>
    <row r="953" spans="1:49">
      <c r="A953" s="1">
        <f>HYPERLINK("https://lsnyc.legalserver.org/matter/dynamic-profile/view/1874133","18-1874133")</f>
        <v>0</v>
      </c>
      <c r="B953" t="s">
        <v>97</v>
      </c>
      <c r="C953" t="s">
        <v>341</v>
      </c>
      <c r="D953" t="s">
        <v>497</v>
      </c>
      <c r="E953" t="s">
        <v>534</v>
      </c>
      <c r="F953" t="s">
        <v>1377</v>
      </c>
      <c r="G953" t="s">
        <v>5708</v>
      </c>
      <c r="H953" t="s">
        <v>10480</v>
      </c>
      <c r="J953" t="s">
        <v>18894</v>
      </c>
      <c r="K953">
        <v>11233</v>
      </c>
      <c r="L953" t="s">
        <v>18958</v>
      </c>
      <c r="M953" t="s">
        <v>18958</v>
      </c>
      <c r="N953" t="s">
        <v>19708</v>
      </c>
      <c r="O953" t="s">
        <v>26524</v>
      </c>
      <c r="P953" t="s">
        <v>26564</v>
      </c>
      <c r="Q953" t="s">
        <v>26570</v>
      </c>
      <c r="R953" t="s">
        <v>26578</v>
      </c>
      <c r="S953" t="s">
        <v>18959</v>
      </c>
      <c r="U953" t="s">
        <v>26604</v>
      </c>
      <c r="W953" t="s">
        <v>477</v>
      </c>
      <c r="X953">
        <v>0</v>
      </c>
      <c r="Y953" t="s">
        <v>26652</v>
      </c>
      <c r="Z953" t="s">
        <v>26662</v>
      </c>
      <c r="AA953" t="s">
        <v>26681</v>
      </c>
      <c r="AB953" t="s">
        <v>27596</v>
      </c>
      <c r="AD953" t="s">
        <v>37653</v>
      </c>
      <c r="AE953">
        <v>3</v>
      </c>
      <c r="AG953" t="s">
        <v>19330</v>
      </c>
      <c r="AH953">
        <v>5</v>
      </c>
      <c r="AI953">
        <v>1</v>
      </c>
      <c r="AJ953">
        <v>0</v>
      </c>
      <c r="AK953">
        <v>21.75</v>
      </c>
      <c r="AN953" t="s">
        <v>7439</v>
      </c>
      <c r="AO953">
        <v>2640</v>
      </c>
      <c r="AR953" t="s">
        <v>26530</v>
      </c>
      <c r="AS953" t="s">
        <v>46500</v>
      </c>
      <c r="AT953" t="s">
        <v>46628</v>
      </c>
      <c r="AU953">
        <v>1.9</v>
      </c>
      <c r="AV953" t="s">
        <v>578</v>
      </c>
      <c r="AW953" t="s">
        <v>46862</v>
      </c>
    </row>
    <row r="954" spans="1:49">
      <c r="A954" s="1">
        <f>HYPERLINK("https://lsnyc.legalserver.org/matter/dynamic-profile/view/1873824","18-1873824")</f>
        <v>0</v>
      </c>
      <c r="B954" t="s">
        <v>99</v>
      </c>
      <c r="C954" t="s">
        <v>341</v>
      </c>
      <c r="D954" t="s">
        <v>477</v>
      </c>
      <c r="E954" t="s">
        <v>441</v>
      </c>
      <c r="F954" t="s">
        <v>893</v>
      </c>
      <c r="G954" t="s">
        <v>5709</v>
      </c>
      <c r="H954" t="s">
        <v>10481</v>
      </c>
      <c r="I954" t="s">
        <v>17390</v>
      </c>
      <c r="J954" t="s">
        <v>18902</v>
      </c>
      <c r="K954">
        <v>10304</v>
      </c>
      <c r="L954" t="s">
        <v>18958</v>
      </c>
      <c r="M954" t="s">
        <v>18958</v>
      </c>
      <c r="N954" t="s">
        <v>19709</v>
      </c>
      <c r="O954" t="s">
        <v>26523</v>
      </c>
      <c r="P954" t="s">
        <v>26564</v>
      </c>
      <c r="Q954" t="s">
        <v>26570</v>
      </c>
      <c r="R954" t="s">
        <v>26578</v>
      </c>
      <c r="S954" t="s">
        <v>18959</v>
      </c>
      <c r="U954" t="s">
        <v>26604</v>
      </c>
      <c r="V954" t="s">
        <v>26610</v>
      </c>
      <c r="W954" t="s">
        <v>477</v>
      </c>
      <c r="X954">
        <v>1575</v>
      </c>
      <c r="Y954" t="s">
        <v>26654</v>
      </c>
      <c r="Z954" t="s">
        <v>26663</v>
      </c>
      <c r="AA954" t="s">
        <v>26683</v>
      </c>
      <c r="AB954" t="s">
        <v>27597</v>
      </c>
      <c r="AD954" t="s">
        <v>37654</v>
      </c>
      <c r="AE954">
        <v>147</v>
      </c>
      <c r="AF954" t="s">
        <v>45541</v>
      </c>
      <c r="AG954" t="s">
        <v>19330</v>
      </c>
      <c r="AH954">
        <v>4</v>
      </c>
      <c r="AI954">
        <v>2</v>
      </c>
      <c r="AJ954">
        <v>2</v>
      </c>
      <c r="AK954">
        <v>0</v>
      </c>
      <c r="AN954" t="s">
        <v>7439</v>
      </c>
      <c r="AO954">
        <v>0</v>
      </c>
      <c r="AS954" t="s">
        <v>46500</v>
      </c>
      <c r="AT954" t="s">
        <v>46553</v>
      </c>
      <c r="AU954">
        <v>2.3</v>
      </c>
      <c r="AV954" t="s">
        <v>441</v>
      </c>
      <c r="AW954" t="s">
        <v>190</v>
      </c>
    </row>
    <row r="955" spans="1:49">
      <c r="A955" s="1">
        <f>HYPERLINK("https://lsnyc.legalserver.org/matter/dynamic-profile/view/1874916","18-1874916")</f>
        <v>0</v>
      </c>
      <c r="B955" t="s">
        <v>143</v>
      </c>
      <c r="C955" t="s">
        <v>341</v>
      </c>
      <c r="D955" t="s">
        <v>477</v>
      </c>
      <c r="E955" t="s">
        <v>422</v>
      </c>
      <c r="F955" t="s">
        <v>1528</v>
      </c>
      <c r="G955" t="s">
        <v>5710</v>
      </c>
      <c r="H955" t="s">
        <v>10482</v>
      </c>
      <c r="I955" t="s">
        <v>17284</v>
      </c>
      <c r="J955" t="s">
        <v>18892</v>
      </c>
      <c r="K955">
        <v>10458</v>
      </c>
      <c r="L955" t="s">
        <v>18958</v>
      </c>
      <c r="M955" t="s">
        <v>18958</v>
      </c>
      <c r="N955" t="s">
        <v>19710</v>
      </c>
      <c r="O955" t="s">
        <v>26523</v>
      </c>
      <c r="P955" t="s">
        <v>26560</v>
      </c>
      <c r="Q955" t="s">
        <v>26568</v>
      </c>
      <c r="R955" t="s">
        <v>26577</v>
      </c>
      <c r="S955" t="s">
        <v>18959</v>
      </c>
      <c r="U955" t="s">
        <v>26604</v>
      </c>
      <c r="V955" t="s">
        <v>26614</v>
      </c>
      <c r="W955" t="s">
        <v>477</v>
      </c>
      <c r="X955">
        <v>1284.82</v>
      </c>
      <c r="Y955" t="s">
        <v>26650</v>
      </c>
      <c r="Z955" t="s">
        <v>26668</v>
      </c>
      <c r="AA955" t="s">
        <v>26678</v>
      </c>
      <c r="AB955" t="s">
        <v>27598</v>
      </c>
      <c r="AC955" t="s">
        <v>34787</v>
      </c>
      <c r="AD955" t="s">
        <v>37655</v>
      </c>
      <c r="AE955">
        <v>33</v>
      </c>
      <c r="AF955" t="s">
        <v>45541</v>
      </c>
      <c r="AG955" t="s">
        <v>19330</v>
      </c>
      <c r="AH955">
        <v>1</v>
      </c>
      <c r="AI955">
        <v>1</v>
      </c>
      <c r="AJ955">
        <v>0</v>
      </c>
      <c r="AK955">
        <v>128.5</v>
      </c>
      <c r="AN955" t="s">
        <v>45581</v>
      </c>
      <c r="AO955">
        <v>15600</v>
      </c>
      <c r="AR955" t="s">
        <v>26530</v>
      </c>
      <c r="AS955" t="s">
        <v>46499</v>
      </c>
      <c r="AT955" t="s">
        <v>46541</v>
      </c>
      <c r="AU955">
        <v>12.25</v>
      </c>
      <c r="AV955" t="s">
        <v>521</v>
      </c>
      <c r="AW955" t="s">
        <v>46854</v>
      </c>
    </row>
    <row r="956" spans="1:49">
      <c r="A956" s="1">
        <f>HYPERLINK("https://lsnyc.legalserver.org/matter/dynamic-profile/view/1874887","18-1874887")</f>
        <v>0</v>
      </c>
      <c r="B956" t="s">
        <v>187</v>
      </c>
      <c r="C956" t="s">
        <v>341</v>
      </c>
      <c r="D956" t="s">
        <v>477</v>
      </c>
      <c r="E956" t="s">
        <v>441</v>
      </c>
      <c r="F956" t="s">
        <v>1529</v>
      </c>
      <c r="G956" t="s">
        <v>5086</v>
      </c>
      <c r="H956" t="s">
        <v>10483</v>
      </c>
      <c r="I956" t="s">
        <v>17561</v>
      </c>
      <c r="J956" t="s">
        <v>18892</v>
      </c>
      <c r="K956">
        <v>10457</v>
      </c>
      <c r="L956" t="s">
        <v>18958</v>
      </c>
      <c r="M956" t="s">
        <v>18958</v>
      </c>
      <c r="N956" t="s">
        <v>19711</v>
      </c>
      <c r="O956" t="s">
        <v>26523</v>
      </c>
      <c r="P956" t="s">
        <v>26560</v>
      </c>
      <c r="Q956" t="s">
        <v>26573</v>
      </c>
      <c r="R956" t="s">
        <v>26579</v>
      </c>
      <c r="S956" t="s">
        <v>18959</v>
      </c>
      <c r="U956" t="s">
        <v>26604</v>
      </c>
      <c r="V956" t="s">
        <v>26614</v>
      </c>
      <c r="W956" t="s">
        <v>477</v>
      </c>
      <c r="X956">
        <v>750</v>
      </c>
      <c r="Y956" t="s">
        <v>26650</v>
      </c>
      <c r="Z956" t="s">
        <v>26668</v>
      </c>
      <c r="AA956" t="s">
        <v>26678</v>
      </c>
      <c r="AB956" t="s">
        <v>27599</v>
      </c>
      <c r="AD956" t="s">
        <v>37656</v>
      </c>
      <c r="AE956">
        <v>7</v>
      </c>
      <c r="AF956" t="s">
        <v>45541</v>
      </c>
      <c r="AG956" t="s">
        <v>19330</v>
      </c>
      <c r="AH956">
        <v>7</v>
      </c>
      <c r="AI956">
        <v>1</v>
      </c>
      <c r="AJ956">
        <v>0</v>
      </c>
      <c r="AK956">
        <v>179.9</v>
      </c>
      <c r="AN956" t="s">
        <v>7439</v>
      </c>
      <c r="AO956">
        <v>21840</v>
      </c>
      <c r="AR956" t="s">
        <v>46422</v>
      </c>
      <c r="AS956" t="s">
        <v>46499</v>
      </c>
      <c r="AT956" t="s">
        <v>46553</v>
      </c>
      <c r="AU956">
        <v>12.9</v>
      </c>
      <c r="AV956" t="s">
        <v>522</v>
      </c>
      <c r="AW956" t="s">
        <v>46854</v>
      </c>
    </row>
    <row r="957" spans="1:49">
      <c r="A957" s="1">
        <f>HYPERLINK("https://lsnyc.legalserver.org/matter/dynamic-profile/view/1874848","18-1874848")</f>
        <v>0</v>
      </c>
      <c r="B957" t="s">
        <v>122</v>
      </c>
      <c r="C957" t="s">
        <v>341</v>
      </c>
      <c r="D957" t="s">
        <v>477</v>
      </c>
      <c r="E957" t="s">
        <v>441</v>
      </c>
      <c r="F957" t="s">
        <v>887</v>
      </c>
      <c r="G957" t="s">
        <v>5711</v>
      </c>
      <c r="H957" t="s">
        <v>10484</v>
      </c>
      <c r="I957" t="s">
        <v>17562</v>
      </c>
      <c r="J957" t="s">
        <v>18915</v>
      </c>
      <c r="K957">
        <v>11372</v>
      </c>
      <c r="L957" t="s">
        <v>18958</v>
      </c>
      <c r="M957" t="s">
        <v>18958</v>
      </c>
      <c r="N957" t="s">
        <v>19712</v>
      </c>
      <c r="O957" t="s">
        <v>26523</v>
      </c>
      <c r="P957" t="s">
        <v>26564</v>
      </c>
      <c r="Q957" t="s">
        <v>26570</v>
      </c>
      <c r="R957" t="s">
        <v>26584</v>
      </c>
      <c r="S957" t="s">
        <v>18959</v>
      </c>
      <c r="U957" t="s">
        <v>26604</v>
      </c>
      <c r="W957" t="s">
        <v>477</v>
      </c>
      <c r="X957">
        <v>1500</v>
      </c>
      <c r="Y957" t="s">
        <v>26653</v>
      </c>
      <c r="Z957" t="s">
        <v>26659</v>
      </c>
      <c r="AA957" t="s">
        <v>26683</v>
      </c>
      <c r="AB957" t="s">
        <v>27600</v>
      </c>
      <c r="AC957" t="s">
        <v>34788</v>
      </c>
      <c r="AD957" t="s">
        <v>37657</v>
      </c>
      <c r="AE957">
        <v>12</v>
      </c>
      <c r="AF957" t="s">
        <v>45541</v>
      </c>
      <c r="AG957" t="s">
        <v>19330</v>
      </c>
      <c r="AH957">
        <v>5</v>
      </c>
      <c r="AI957">
        <v>1</v>
      </c>
      <c r="AJ957">
        <v>2</v>
      </c>
      <c r="AK957">
        <v>138.59</v>
      </c>
      <c r="AN957" t="s">
        <v>45581</v>
      </c>
      <c r="AO957">
        <v>28800</v>
      </c>
      <c r="AU957">
        <v>1.5</v>
      </c>
      <c r="AV957" t="s">
        <v>441</v>
      </c>
      <c r="AW957" t="s">
        <v>122</v>
      </c>
    </row>
    <row r="958" spans="1:49">
      <c r="A958" s="1">
        <f>HYPERLINK("https://lsnyc.legalserver.org/matter/dynamic-profile/view/1874867","18-1874867")</f>
        <v>0</v>
      </c>
      <c r="B958" t="s">
        <v>123</v>
      </c>
      <c r="C958" t="s">
        <v>341</v>
      </c>
      <c r="D958" t="s">
        <v>477</v>
      </c>
      <c r="E958" t="s">
        <v>858</v>
      </c>
      <c r="F958" t="s">
        <v>1530</v>
      </c>
      <c r="G958" t="s">
        <v>5330</v>
      </c>
      <c r="H958" t="s">
        <v>10485</v>
      </c>
      <c r="I958" t="s">
        <v>17563</v>
      </c>
      <c r="J958" t="s">
        <v>18894</v>
      </c>
      <c r="K958">
        <v>11221</v>
      </c>
      <c r="L958" t="s">
        <v>18958</v>
      </c>
      <c r="M958" t="s">
        <v>18958</v>
      </c>
      <c r="N958" t="s">
        <v>19713</v>
      </c>
      <c r="O958" t="s">
        <v>26523</v>
      </c>
      <c r="P958" t="s">
        <v>26560</v>
      </c>
      <c r="Q958" t="s">
        <v>26568</v>
      </c>
      <c r="R958" t="s">
        <v>26588</v>
      </c>
      <c r="S958" t="s">
        <v>18959</v>
      </c>
      <c r="U958" t="s">
        <v>26604</v>
      </c>
      <c r="V958" t="s">
        <v>26611</v>
      </c>
      <c r="W958" t="s">
        <v>477</v>
      </c>
      <c r="X958">
        <v>750</v>
      </c>
      <c r="Y958" t="s">
        <v>26652</v>
      </c>
      <c r="Z958" t="s">
        <v>26669</v>
      </c>
      <c r="AA958" t="s">
        <v>26678</v>
      </c>
      <c r="AB958" t="s">
        <v>27601</v>
      </c>
      <c r="AD958" t="s">
        <v>37658</v>
      </c>
      <c r="AE958">
        <v>70</v>
      </c>
      <c r="AG958" t="s">
        <v>45556</v>
      </c>
      <c r="AH958">
        <v>25</v>
      </c>
      <c r="AI958">
        <v>2</v>
      </c>
      <c r="AJ958">
        <v>1</v>
      </c>
      <c r="AK958">
        <v>161.69</v>
      </c>
      <c r="AN958" t="s">
        <v>7439</v>
      </c>
      <c r="AO958">
        <v>33600</v>
      </c>
      <c r="AQ958" t="s">
        <v>46359</v>
      </c>
      <c r="AR958" t="s">
        <v>46381</v>
      </c>
      <c r="AS958" t="s">
        <v>46499</v>
      </c>
      <c r="AT958" t="s">
        <v>46637</v>
      </c>
      <c r="AU958">
        <v>25.65</v>
      </c>
      <c r="AV958" t="s">
        <v>690</v>
      </c>
      <c r="AW958" t="s">
        <v>281</v>
      </c>
    </row>
    <row r="959" spans="1:49">
      <c r="A959" s="1">
        <f>HYPERLINK("https://lsnyc.legalserver.org/matter/dynamic-profile/view/1874876","18-1874876")</f>
        <v>0</v>
      </c>
      <c r="B959" t="s">
        <v>125</v>
      </c>
      <c r="C959" t="s">
        <v>341</v>
      </c>
      <c r="D959" t="s">
        <v>477</v>
      </c>
      <c r="E959" t="s">
        <v>697</v>
      </c>
      <c r="F959" t="s">
        <v>1531</v>
      </c>
      <c r="G959" t="s">
        <v>5712</v>
      </c>
      <c r="H959" t="s">
        <v>10486</v>
      </c>
      <c r="I959" t="s">
        <v>17309</v>
      </c>
      <c r="J959" t="s">
        <v>18894</v>
      </c>
      <c r="K959">
        <v>11212</v>
      </c>
      <c r="L959" t="s">
        <v>18958</v>
      </c>
      <c r="M959" t="s">
        <v>18958</v>
      </c>
      <c r="N959" t="s">
        <v>19714</v>
      </c>
      <c r="O959" t="s">
        <v>26524</v>
      </c>
      <c r="P959" t="s">
        <v>26564</v>
      </c>
      <c r="Q959" t="s">
        <v>26570</v>
      </c>
      <c r="R959" t="s">
        <v>26578</v>
      </c>
      <c r="U959" t="s">
        <v>26604</v>
      </c>
      <c r="W959" t="s">
        <v>477</v>
      </c>
      <c r="X959">
        <v>200</v>
      </c>
      <c r="Y959" t="s">
        <v>26652</v>
      </c>
      <c r="Z959" t="s">
        <v>26664</v>
      </c>
      <c r="AA959" t="s">
        <v>26683</v>
      </c>
      <c r="AB959" t="s">
        <v>27602</v>
      </c>
      <c r="AD959" t="s">
        <v>37659</v>
      </c>
      <c r="AE959">
        <v>4</v>
      </c>
      <c r="AH959">
        <v>5</v>
      </c>
      <c r="AI959">
        <v>1</v>
      </c>
      <c r="AJ959">
        <v>0</v>
      </c>
      <c r="AK959">
        <v>19.77</v>
      </c>
      <c r="AN959" t="s">
        <v>7439</v>
      </c>
      <c r="AO959">
        <v>2400</v>
      </c>
      <c r="AU959">
        <v>3.3</v>
      </c>
      <c r="AV959" t="s">
        <v>545</v>
      </c>
      <c r="AW959" t="s">
        <v>46862</v>
      </c>
    </row>
    <row r="960" spans="1:49">
      <c r="A960" s="1">
        <f>HYPERLINK("https://lsnyc.legalserver.org/matter/dynamic-profile/view/1874938","18-1874938")</f>
        <v>0</v>
      </c>
      <c r="B960" t="s">
        <v>105</v>
      </c>
      <c r="C960" t="s">
        <v>340</v>
      </c>
      <c r="D960" t="s">
        <v>477</v>
      </c>
      <c r="F960" t="s">
        <v>891</v>
      </c>
      <c r="G960" t="s">
        <v>5713</v>
      </c>
      <c r="H960" t="s">
        <v>10487</v>
      </c>
      <c r="I960" t="s">
        <v>17564</v>
      </c>
      <c r="J960" t="s">
        <v>18901</v>
      </c>
      <c r="K960">
        <v>11433</v>
      </c>
      <c r="L960" t="s">
        <v>18958</v>
      </c>
      <c r="M960" t="s">
        <v>18958</v>
      </c>
      <c r="N960" t="s">
        <v>19715</v>
      </c>
      <c r="O960" t="s">
        <v>26524</v>
      </c>
      <c r="P960" t="s">
        <v>26560</v>
      </c>
      <c r="R960" t="s">
        <v>26585</v>
      </c>
      <c r="S960" t="s">
        <v>18958</v>
      </c>
      <c r="U960" t="s">
        <v>26604</v>
      </c>
      <c r="V960" t="s">
        <v>26610</v>
      </c>
      <c r="W960" t="s">
        <v>477</v>
      </c>
      <c r="X960">
        <v>600</v>
      </c>
      <c r="Y960" t="s">
        <v>26653</v>
      </c>
      <c r="Z960" t="s">
        <v>26664</v>
      </c>
      <c r="AB960" t="s">
        <v>27603</v>
      </c>
      <c r="AD960" t="s">
        <v>37660</v>
      </c>
      <c r="AE960">
        <v>4</v>
      </c>
      <c r="AF960" t="s">
        <v>45547</v>
      </c>
      <c r="AG960" t="s">
        <v>19330</v>
      </c>
      <c r="AH960">
        <v>4</v>
      </c>
      <c r="AI960">
        <v>2</v>
      </c>
      <c r="AJ960">
        <v>0</v>
      </c>
      <c r="AK960">
        <v>0</v>
      </c>
      <c r="AN960" t="s">
        <v>7439</v>
      </c>
      <c r="AO960">
        <v>0</v>
      </c>
      <c r="AS960" t="s">
        <v>46500</v>
      </c>
      <c r="AT960" t="s">
        <v>46664</v>
      </c>
      <c r="AU960">
        <v>16</v>
      </c>
      <c r="AV960" t="s">
        <v>758</v>
      </c>
      <c r="AW960" t="s">
        <v>208</v>
      </c>
    </row>
    <row r="961" spans="1:50">
      <c r="A961" s="1">
        <f>HYPERLINK("https://lsnyc.legalserver.org/matter/dynamic-profile/view/1874939","18-1874939")</f>
        <v>0</v>
      </c>
      <c r="B961" t="s">
        <v>108</v>
      </c>
      <c r="C961" t="s">
        <v>340</v>
      </c>
      <c r="D961" t="s">
        <v>477</v>
      </c>
      <c r="F961" t="s">
        <v>1532</v>
      </c>
      <c r="G961" t="s">
        <v>5714</v>
      </c>
      <c r="H961" t="s">
        <v>10488</v>
      </c>
      <c r="J961" t="s">
        <v>18901</v>
      </c>
      <c r="K961">
        <v>11433</v>
      </c>
      <c r="L961" t="s">
        <v>18958</v>
      </c>
      <c r="M961" t="s">
        <v>18958</v>
      </c>
      <c r="N961" t="s">
        <v>19716</v>
      </c>
      <c r="O961" t="s">
        <v>26524</v>
      </c>
      <c r="P961" t="s">
        <v>26560</v>
      </c>
      <c r="R961" t="s">
        <v>26585</v>
      </c>
      <c r="S961" t="s">
        <v>18959</v>
      </c>
      <c r="U961" t="s">
        <v>26604</v>
      </c>
      <c r="V961" t="s">
        <v>26609</v>
      </c>
      <c r="W961" t="s">
        <v>477</v>
      </c>
      <c r="X961">
        <v>1400</v>
      </c>
      <c r="Y961" t="s">
        <v>26653</v>
      </c>
      <c r="Z961" t="s">
        <v>26661</v>
      </c>
      <c r="AB961" t="s">
        <v>27604</v>
      </c>
      <c r="AC961" t="s">
        <v>34789</v>
      </c>
      <c r="AD961" t="s">
        <v>37661</v>
      </c>
      <c r="AE961">
        <v>2</v>
      </c>
      <c r="AF961" t="s">
        <v>45547</v>
      </c>
      <c r="AG961" t="s">
        <v>45556</v>
      </c>
      <c r="AH961">
        <v>10</v>
      </c>
      <c r="AI961">
        <v>2</v>
      </c>
      <c r="AJ961">
        <v>0</v>
      </c>
      <c r="AK961">
        <v>78.73999999999999</v>
      </c>
      <c r="AM961" t="s">
        <v>45580</v>
      </c>
      <c r="AN961" t="s">
        <v>7439</v>
      </c>
      <c r="AO961">
        <v>12960</v>
      </c>
      <c r="AQ961" t="s">
        <v>46368</v>
      </c>
      <c r="AR961" t="s">
        <v>46418</v>
      </c>
      <c r="AS961" t="s">
        <v>46500</v>
      </c>
      <c r="AT961" t="s">
        <v>46665</v>
      </c>
      <c r="AU961">
        <v>29.57</v>
      </c>
      <c r="AV961" t="s">
        <v>835</v>
      </c>
      <c r="AW961" t="s">
        <v>108</v>
      </c>
      <c r="AX961" t="s">
        <v>46897</v>
      </c>
    </row>
    <row r="962" spans="1:50">
      <c r="A962" s="1">
        <f>HYPERLINK("https://lsnyc.legalserver.org/matter/dynamic-profile/view/1874690","18-1874690")</f>
        <v>0</v>
      </c>
      <c r="B962" t="s">
        <v>103</v>
      </c>
      <c r="C962" t="s">
        <v>340</v>
      </c>
      <c r="D962" t="s">
        <v>477</v>
      </c>
      <c r="F962" t="s">
        <v>1533</v>
      </c>
      <c r="G962" t="s">
        <v>5715</v>
      </c>
      <c r="H962" t="s">
        <v>9725</v>
      </c>
      <c r="I962" t="s">
        <v>17565</v>
      </c>
      <c r="J962" t="s">
        <v>18902</v>
      </c>
      <c r="K962">
        <v>10305</v>
      </c>
      <c r="L962" t="s">
        <v>18958</v>
      </c>
      <c r="M962" t="s">
        <v>18958</v>
      </c>
      <c r="N962" t="s">
        <v>19717</v>
      </c>
      <c r="O962" t="s">
        <v>26523</v>
      </c>
      <c r="P962" t="s">
        <v>26560</v>
      </c>
      <c r="R962" t="s">
        <v>26587</v>
      </c>
      <c r="S962" t="s">
        <v>18959</v>
      </c>
      <c r="U962" t="s">
        <v>26604</v>
      </c>
      <c r="V962" t="s">
        <v>26610</v>
      </c>
      <c r="W962" t="s">
        <v>477</v>
      </c>
      <c r="X962">
        <v>1050</v>
      </c>
      <c r="Y962" t="s">
        <v>26654</v>
      </c>
      <c r="Z962" t="s">
        <v>26663</v>
      </c>
      <c r="AB962" t="s">
        <v>27605</v>
      </c>
      <c r="AE962">
        <v>136</v>
      </c>
      <c r="AF962" t="s">
        <v>45541</v>
      </c>
      <c r="AH962">
        <v>4</v>
      </c>
      <c r="AI962">
        <v>2</v>
      </c>
      <c r="AJ962">
        <v>0</v>
      </c>
      <c r="AK962">
        <v>104.35</v>
      </c>
      <c r="AO962">
        <v>17176</v>
      </c>
      <c r="AU962">
        <v>20.9</v>
      </c>
      <c r="AV962" t="s">
        <v>839</v>
      </c>
      <c r="AW962" t="s">
        <v>190</v>
      </c>
    </row>
    <row r="963" spans="1:50">
      <c r="A963" s="1">
        <f>HYPERLINK("https://lsnyc.legalserver.org/matter/dynamic-profile/view/1874884","18-1874884")</f>
        <v>0</v>
      </c>
      <c r="B963" t="s">
        <v>221</v>
      </c>
      <c r="C963" t="s">
        <v>340</v>
      </c>
      <c r="D963" t="s">
        <v>477</v>
      </c>
      <c r="F963" t="s">
        <v>1454</v>
      </c>
      <c r="G963" t="s">
        <v>5716</v>
      </c>
      <c r="H963" t="s">
        <v>10175</v>
      </c>
      <c r="I963" t="s">
        <v>17328</v>
      </c>
      <c r="J963" t="s">
        <v>18901</v>
      </c>
      <c r="K963">
        <v>11433</v>
      </c>
      <c r="L963" t="s">
        <v>18958</v>
      </c>
      <c r="M963" t="s">
        <v>18958</v>
      </c>
      <c r="N963" t="s">
        <v>19434</v>
      </c>
      <c r="O963" t="s">
        <v>26524</v>
      </c>
      <c r="P963" t="s">
        <v>26560</v>
      </c>
      <c r="R963" t="s">
        <v>26585</v>
      </c>
      <c r="S963" t="s">
        <v>18959</v>
      </c>
      <c r="U963" t="s">
        <v>26604</v>
      </c>
      <c r="V963" t="s">
        <v>26610</v>
      </c>
      <c r="W963" t="s">
        <v>477</v>
      </c>
      <c r="X963">
        <v>300</v>
      </c>
      <c r="Y963" t="s">
        <v>26653</v>
      </c>
      <c r="Z963" t="s">
        <v>26664</v>
      </c>
      <c r="AB963" t="s">
        <v>27606</v>
      </c>
      <c r="AC963" t="s">
        <v>34790</v>
      </c>
      <c r="AD963" t="s">
        <v>37662</v>
      </c>
      <c r="AE963">
        <v>4</v>
      </c>
      <c r="AF963" t="s">
        <v>45547</v>
      </c>
      <c r="AG963" t="s">
        <v>19330</v>
      </c>
      <c r="AH963">
        <v>4</v>
      </c>
      <c r="AI963">
        <v>1</v>
      </c>
      <c r="AJ963">
        <v>0</v>
      </c>
      <c r="AK963">
        <v>0</v>
      </c>
      <c r="AN963" t="s">
        <v>45594</v>
      </c>
      <c r="AO963">
        <v>0</v>
      </c>
      <c r="AU963">
        <v>27.95</v>
      </c>
      <c r="AV963" t="s">
        <v>764</v>
      </c>
      <c r="AW963" t="s">
        <v>208</v>
      </c>
    </row>
    <row r="964" spans="1:50">
      <c r="A964" s="1">
        <f>HYPERLINK("https://lsnyc.legalserver.org/matter/dynamic-profile/view/1878637","18-1878637")</f>
        <v>0</v>
      </c>
      <c r="B964" t="s">
        <v>88</v>
      </c>
      <c r="C964" t="s">
        <v>341</v>
      </c>
      <c r="D964" t="s">
        <v>451</v>
      </c>
      <c r="E964" t="s">
        <v>782</v>
      </c>
      <c r="F964" t="s">
        <v>1510</v>
      </c>
      <c r="G964" t="s">
        <v>5717</v>
      </c>
      <c r="H964" t="s">
        <v>10024</v>
      </c>
      <c r="I964" t="s">
        <v>17283</v>
      </c>
      <c r="J964" t="s">
        <v>18894</v>
      </c>
      <c r="K964">
        <v>11221</v>
      </c>
      <c r="L964" t="s">
        <v>18958</v>
      </c>
      <c r="M964" t="s">
        <v>18958</v>
      </c>
      <c r="O964" t="s">
        <v>26531</v>
      </c>
      <c r="P964" t="s">
        <v>26565</v>
      </c>
      <c r="Q964" t="s">
        <v>26571</v>
      </c>
      <c r="R964" t="s">
        <v>26578</v>
      </c>
      <c r="U964" t="s">
        <v>26604</v>
      </c>
      <c r="W964" t="s">
        <v>477</v>
      </c>
      <c r="X964">
        <v>1091.22</v>
      </c>
      <c r="Y964" t="s">
        <v>26652</v>
      </c>
      <c r="Z964" t="s">
        <v>26663</v>
      </c>
      <c r="AA964" t="s">
        <v>26685</v>
      </c>
      <c r="AB964" t="s">
        <v>27607</v>
      </c>
      <c r="AC964" t="s">
        <v>34508</v>
      </c>
      <c r="AD964" t="s">
        <v>37663</v>
      </c>
      <c r="AE964">
        <v>12</v>
      </c>
      <c r="AF964" t="s">
        <v>45541</v>
      </c>
      <c r="AG964" t="s">
        <v>45556</v>
      </c>
      <c r="AH964">
        <v>12</v>
      </c>
      <c r="AI964">
        <v>1</v>
      </c>
      <c r="AJ964">
        <v>0</v>
      </c>
      <c r="AK964">
        <v>152.2</v>
      </c>
      <c r="AN964" t="s">
        <v>7439</v>
      </c>
      <c r="AO964">
        <v>18476.9</v>
      </c>
      <c r="AU964">
        <v>0.08</v>
      </c>
      <c r="AV964" t="s">
        <v>685</v>
      </c>
      <c r="AW964" t="s">
        <v>279</v>
      </c>
    </row>
    <row r="965" spans="1:50">
      <c r="A965" s="1">
        <f>HYPERLINK("https://lsnyc.legalserver.org/matter/dynamic-profile/view/1878647","18-1878647")</f>
        <v>0</v>
      </c>
      <c r="B965" t="s">
        <v>88</v>
      </c>
      <c r="C965" t="s">
        <v>340</v>
      </c>
      <c r="D965" t="s">
        <v>451</v>
      </c>
      <c r="F965" t="s">
        <v>1510</v>
      </c>
      <c r="G965" t="s">
        <v>5717</v>
      </c>
      <c r="H965" t="s">
        <v>10024</v>
      </c>
      <c r="I965" t="s">
        <v>17283</v>
      </c>
      <c r="J965" t="s">
        <v>18894</v>
      </c>
      <c r="K965">
        <v>11221</v>
      </c>
      <c r="L965" t="s">
        <v>18958</v>
      </c>
      <c r="M965" t="s">
        <v>18958</v>
      </c>
      <c r="O965" t="s">
        <v>26534</v>
      </c>
      <c r="P965" t="s">
        <v>26561</v>
      </c>
      <c r="R965" t="s">
        <v>26578</v>
      </c>
      <c r="U965" t="s">
        <v>26604</v>
      </c>
      <c r="W965" t="s">
        <v>477</v>
      </c>
      <c r="X965">
        <v>1091.82</v>
      </c>
      <c r="Y965" t="s">
        <v>26652</v>
      </c>
      <c r="Z965" t="s">
        <v>26663</v>
      </c>
      <c r="AB965" t="s">
        <v>27607</v>
      </c>
      <c r="AC965" t="s">
        <v>34508</v>
      </c>
      <c r="AD965" t="s">
        <v>37663</v>
      </c>
      <c r="AE965">
        <v>12</v>
      </c>
      <c r="AF965" t="s">
        <v>45541</v>
      </c>
      <c r="AG965" t="s">
        <v>45556</v>
      </c>
      <c r="AH965">
        <v>12</v>
      </c>
      <c r="AI965">
        <v>1</v>
      </c>
      <c r="AJ965">
        <v>0</v>
      </c>
      <c r="AK965">
        <v>152.2</v>
      </c>
      <c r="AN965" t="s">
        <v>7439</v>
      </c>
      <c r="AO965">
        <v>18476.9</v>
      </c>
      <c r="AP965" t="s">
        <v>45678</v>
      </c>
      <c r="AU965">
        <v>0</v>
      </c>
      <c r="AW965" t="s">
        <v>279</v>
      </c>
    </row>
    <row r="966" spans="1:50">
      <c r="A966" s="1">
        <f>HYPERLINK("https://lsnyc.legalserver.org/matter/dynamic-profile/view/1878651","18-1878651")</f>
        <v>0</v>
      </c>
      <c r="B966" t="s">
        <v>88</v>
      </c>
      <c r="C966" t="s">
        <v>340</v>
      </c>
      <c r="D966" t="s">
        <v>451</v>
      </c>
      <c r="F966" t="s">
        <v>1510</v>
      </c>
      <c r="G966" t="s">
        <v>5717</v>
      </c>
      <c r="H966" t="s">
        <v>10024</v>
      </c>
      <c r="I966" t="s">
        <v>17283</v>
      </c>
      <c r="J966" t="s">
        <v>18894</v>
      </c>
      <c r="K966">
        <v>11221</v>
      </c>
      <c r="L966" t="s">
        <v>18958</v>
      </c>
      <c r="M966" t="s">
        <v>18958</v>
      </c>
      <c r="O966" t="s">
        <v>26526</v>
      </c>
      <c r="P966" t="s">
        <v>26560</v>
      </c>
      <c r="R966" t="s">
        <v>26578</v>
      </c>
      <c r="S966" t="s">
        <v>18958</v>
      </c>
      <c r="U966" t="s">
        <v>26604</v>
      </c>
      <c r="W966" t="s">
        <v>477</v>
      </c>
      <c r="X966">
        <v>1091.82</v>
      </c>
      <c r="Y966" t="s">
        <v>26652</v>
      </c>
      <c r="Z966" t="s">
        <v>26663</v>
      </c>
      <c r="AB966" t="s">
        <v>27607</v>
      </c>
      <c r="AC966" t="s">
        <v>34508</v>
      </c>
      <c r="AD966" t="s">
        <v>37663</v>
      </c>
      <c r="AE966">
        <v>12</v>
      </c>
      <c r="AF966" t="s">
        <v>45541</v>
      </c>
      <c r="AG966" t="s">
        <v>45556</v>
      </c>
      <c r="AH966">
        <v>12</v>
      </c>
      <c r="AI966">
        <v>1</v>
      </c>
      <c r="AJ966">
        <v>0</v>
      </c>
      <c r="AK966">
        <v>152.2</v>
      </c>
      <c r="AN966" t="s">
        <v>7439</v>
      </c>
      <c r="AO966">
        <v>18476.9</v>
      </c>
      <c r="AP966" t="s">
        <v>45678</v>
      </c>
      <c r="AU966">
        <v>0</v>
      </c>
      <c r="AW966" t="s">
        <v>279</v>
      </c>
    </row>
    <row r="967" spans="1:50">
      <c r="A967" s="1">
        <f>HYPERLINK("https://lsnyc.legalserver.org/matter/dynamic-profile/view/1841941","17-1841941")</f>
        <v>0</v>
      </c>
      <c r="B967" t="s">
        <v>121</v>
      </c>
      <c r="C967" t="s">
        <v>341</v>
      </c>
      <c r="D967" t="s">
        <v>470</v>
      </c>
      <c r="E967" t="s">
        <v>416</v>
      </c>
      <c r="F967" t="s">
        <v>1534</v>
      </c>
      <c r="G967" t="s">
        <v>5295</v>
      </c>
      <c r="H967" t="s">
        <v>10489</v>
      </c>
      <c r="I967" t="s">
        <v>17348</v>
      </c>
      <c r="J967" t="s">
        <v>18892</v>
      </c>
      <c r="K967">
        <v>10453</v>
      </c>
      <c r="L967" t="s">
        <v>18958</v>
      </c>
      <c r="M967" t="s">
        <v>18960</v>
      </c>
      <c r="N967" t="s">
        <v>19718</v>
      </c>
      <c r="O967" t="s">
        <v>26524</v>
      </c>
      <c r="P967" t="s">
        <v>26560</v>
      </c>
      <c r="Q967" t="s">
        <v>26568</v>
      </c>
      <c r="R967" t="s">
        <v>26577</v>
      </c>
      <c r="U967" t="s">
        <v>26604</v>
      </c>
      <c r="V967" t="s">
        <v>26612</v>
      </c>
      <c r="W967" t="s">
        <v>505</v>
      </c>
      <c r="X967">
        <v>1016.7</v>
      </c>
      <c r="Y967" t="s">
        <v>26650</v>
      </c>
      <c r="Z967" t="s">
        <v>26656</v>
      </c>
      <c r="AA967" t="s">
        <v>26678</v>
      </c>
      <c r="AB967" t="s">
        <v>27608</v>
      </c>
      <c r="AC967" t="s">
        <v>34791</v>
      </c>
      <c r="AD967" t="s">
        <v>37664</v>
      </c>
      <c r="AE967">
        <v>0</v>
      </c>
      <c r="AF967" t="s">
        <v>20460</v>
      </c>
      <c r="AG967" t="s">
        <v>19330</v>
      </c>
      <c r="AH967">
        <v>26</v>
      </c>
      <c r="AI967">
        <v>3</v>
      </c>
      <c r="AJ967">
        <v>1</v>
      </c>
      <c r="AK967">
        <v>53.18</v>
      </c>
      <c r="AN967" t="s">
        <v>7439</v>
      </c>
      <c r="AO967">
        <v>13081.2</v>
      </c>
      <c r="AP967" t="s">
        <v>45621</v>
      </c>
      <c r="AQ967" t="s">
        <v>46365</v>
      </c>
      <c r="AR967" t="s">
        <v>46423</v>
      </c>
      <c r="AS967" t="s">
        <v>46499</v>
      </c>
      <c r="AT967" t="s">
        <v>46587</v>
      </c>
      <c r="AU967">
        <v>33.55</v>
      </c>
      <c r="AV967" t="s">
        <v>603</v>
      </c>
      <c r="AW967" t="s">
        <v>284</v>
      </c>
    </row>
    <row r="968" spans="1:50">
      <c r="A968" s="1">
        <f>HYPERLINK("https://lsnyc.legalserver.org/matter/dynamic-profile/view/1868289","18-1868289")</f>
        <v>0</v>
      </c>
      <c r="B968" t="s">
        <v>75</v>
      </c>
      <c r="C968" t="s">
        <v>341</v>
      </c>
      <c r="D968" t="s">
        <v>392</v>
      </c>
      <c r="E968" t="s">
        <v>577</v>
      </c>
      <c r="F968" t="s">
        <v>1323</v>
      </c>
      <c r="G968" t="s">
        <v>3790</v>
      </c>
      <c r="H968" t="s">
        <v>10490</v>
      </c>
      <c r="I968" t="s">
        <v>17566</v>
      </c>
      <c r="J968" t="s">
        <v>18892</v>
      </c>
      <c r="K968">
        <v>10467</v>
      </c>
      <c r="L968" t="s">
        <v>18958</v>
      </c>
      <c r="M968" t="s">
        <v>18958</v>
      </c>
      <c r="N968" t="s">
        <v>19719</v>
      </c>
      <c r="O968" t="s">
        <v>26523</v>
      </c>
      <c r="P968" t="s">
        <v>26560</v>
      </c>
      <c r="Q968" t="s">
        <v>26568</v>
      </c>
      <c r="R968" t="s">
        <v>26579</v>
      </c>
      <c r="S968" t="s">
        <v>18959</v>
      </c>
      <c r="U968" t="s">
        <v>26604</v>
      </c>
      <c r="W968" t="s">
        <v>505</v>
      </c>
      <c r="X968">
        <v>980</v>
      </c>
      <c r="Y968" t="s">
        <v>26650</v>
      </c>
      <c r="AA968" t="s">
        <v>26678</v>
      </c>
      <c r="AB968" t="s">
        <v>27609</v>
      </c>
      <c r="AC968" t="s">
        <v>34792</v>
      </c>
      <c r="AD968" t="s">
        <v>37665</v>
      </c>
      <c r="AE968">
        <v>0</v>
      </c>
      <c r="AF968" t="s">
        <v>45541</v>
      </c>
      <c r="AG968" t="s">
        <v>45561</v>
      </c>
      <c r="AH968">
        <v>1</v>
      </c>
      <c r="AI968">
        <v>1</v>
      </c>
      <c r="AJ968">
        <v>0</v>
      </c>
      <c r="AK968">
        <v>74.73</v>
      </c>
      <c r="AN968" t="s">
        <v>7439</v>
      </c>
      <c r="AO968">
        <v>9072</v>
      </c>
      <c r="AP968" t="s">
        <v>45627</v>
      </c>
      <c r="AS968" t="s">
        <v>46499</v>
      </c>
      <c r="AT968" t="s">
        <v>46640</v>
      </c>
      <c r="AU968">
        <v>4.55</v>
      </c>
      <c r="AV968" t="s">
        <v>577</v>
      </c>
      <c r="AW968" t="s">
        <v>46847</v>
      </c>
    </row>
    <row r="969" spans="1:50">
      <c r="A969" s="1">
        <f>HYPERLINK("https://lsnyc.legalserver.org/matter/dynamic-profile/view/1869596","18-1869596")</f>
        <v>0</v>
      </c>
      <c r="B969" t="s">
        <v>101</v>
      </c>
      <c r="C969" t="s">
        <v>341</v>
      </c>
      <c r="D969" t="s">
        <v>514</v>
      </c>
      <c r="E969" t="s">
        <v>505</v>
      </c>
      <c r="F969" t="s">
        <v>1535</v>
      </c>
      <c r="G969" t="s">
        <v>5718</v>
      </c>
      <c r="H969" t="s">
        <v>10491</v>
      </c>
      <c r="I969" t="s">
        <v>17567</v>
      </c>
      <c r="J969" t="s">
        <v>18894</v>
      </c>
      <c r="K969">
        <v>11208</v>
      </c>
      <c r="L969" t="s">
        <v>18958</v>
      </c>
      <c r="M969" t="s">
        <v>18958</v>
      </c>
      <c r="N969" t="s">
        <v>19720</v>
      </c>
      <c r="O969" t="s">
        <v>26524</v>
      </c>
      <c r="P969" t="s">
        <v>26564</v>
      </c>
      <c r="Q969" t="s">
        <v>26570</v>
      </c>
      <c r="R969" t="s">
        <v>26586</v>
      </c>
      <c r="S969" t="s">
        <v>18959</v>
      </c>
      <c r="U969" t="s">
        <v>26605</v>
      </c>
      <c r="V969" t="s">
        <v>26610</v>
      </c>
      <c r="W969" t="s">
        <v>505</v>
      </c>
      <c r="X969">
        <v>215</v>
      </c>
      <c r="Y969" t="s">
        <v>26652</v>
      </c>
      <c r="Z969" t="s">
        <v>26664</v>
      </c>
      <c r="AA969" t="s">
        <v>26683</v>
      </c>
      <c r="AB969" t="s">
        <v>27610</v>
      </c>
      <c r="AD969" t="s">
        <v>37666</v>
      </c>
      <c r="AE969">
        <v>0</v>
      </c>
      <c r="AF969" t="s">
        <v>45549</v>
      </c>
      <c r="AH969">
        <v>17</v>
      </c>
      <c r="AI969">
        <v>1</v>
      </c>
      <c r="AJ969">
        <v>0</v>
      </c>
      <c r="AK969">
        <v>0</v>
      </c>
      <c r="AN969" t="s">
        <v>7439</v>
      </c>
      <c r="AO969">
        <v>0</v>
      </c>
      <c r="AU969">
        <v>2.1</v>
      </c>
      <c r="AV969" t="s">
        <v>504</v>
      </c>
      <c r="AW969" t="s">
        <v>281</v>
      </c>
    </row>
    <row r="970" spans="1:50">
      <c r="A970" s="1">
        <f>HYPERLINK("https://lsnyc.legalserver.org/matter/dynamic-profile/view/1873121","18-1873121")</f>
        <v>0</v>
      </c>
      <c r="B970" t="s">
        <v>85</v>
      </c>
      <c r="C970" t="s">
        <v>341</v>
      </c>
      <c r="D970" t="s">
        <v>440</v>
      </c>
      <c r="E970" t="s">
        <v>697</v>
      </c>
      <c r="F970" t="s">
        <v>1016</v>
      </c>
      <c r="G970" t="s">
        <v>5719</v>
      </c>
      <c r="H970" t="s">
        <v>10492</v>
      </c>
      <c r="I970" t="s">
        <v>17425</v>
      </c>
      <c r="J970" t="s">
        <v>18906</v>
      </c>
      <c r="K970">
        <v>11373</v>
      </c>
      <c r="L970" t="s">
        <v>18958</v>
      </c>
      <c r="M970" t="s">
        <v>18958</v>
      </c>
      <c r="N970" t="s">
        <v>19330</v>
      </c>
      <c r="O970" t="s">
        <v>18997</v>
      </c>
      <c r="P970" t="s">
        <v>26564</v>
      </c>
      <c r="Q970" t="s">
        <v>26570</v>
      </c>
      <c r="R970" t="s">
        <v>26578</v>
      </c>
      <c r="S970" t="s">
        <v>18959</v>
      </c>
      <c r="U970" t="s">
        <v>26604</v>
      </c>
      <c r="V970" t="s">
        <v>26610</v>
      </c>
      <c r="W970" t="s">
        <v>505</v>
      </c>
      <c r="X970">
        <v>849</v>
      </c>
      <c r="Y970" t="s">
        <v>26653</v>
      </c>
      <c r="Z970" t="s">
        <v>26670</v>
      </c>
      <c r="AA970" t="s">
        <v>26683</v>
      </c>
      <c r="AB970" t="s">
        <v>27611</v>
      </c>
      <c r="AC970" t="s">
        <v>34738</v>
      </c>
      <c r="AD970" t="s">
        <v>34738</v>
      </c>
      <c r="AE970">
        <v>66</v>
      </c>
      <c r="AF970" t="s">
        <v>45541</v>
      </c>
      <c r="AG970" t="s">
        <v>45559</v>
      </c>
      <c r="AH970">
        <v>40</v>
      </c>
      <c r="AI970">
        <v>2</v>
      </c>
      <c r="AJ970">
        <v>0</v>
      </c>
      <c r="AK970">
        <v>63.06</v>
      </c>
      <c r="AN970" t="s">
        <v>7439</v>
      </c>
      <c r="AO970">
        <v>10380</v>
      </c>
      <c r="AU970">
        <v>4.9</v>
      </c>
      <c r="AV970" t="s">
        <v>515</v>
      </c>
      <c r="AW970" t="s">
        <v>161</v>
      </c>
    </row>
    <row r="971" spans="1:50">
      <c r="A971" s="1">
        <f>HYPERLINK("https://lsnyc.legalserver.org/matter/dynamic-profile/view/1874392","18-1874392")</f>
        <v>0</v>
      </c>
      <c r="B971" t="s">
        <v>172</v>
      </c>
      <c r="C971" t="s">
        <v>341</v>
      </c>
      <c r="D971" t="s">
        <v>498</v>
      </c>
      <c r="E971" t="s">
        <v>505</v>
      </c>
      <c r="F971" t="s">
        <v>1536</v>
      </c>
      <c r="G971" t="s">
        <v>5720</v>
      </c>
      <c r="H971" t="s">
        <v>10493</v>
      </c>
      <c r="I971">
        <v>1</v>
      </c>
      <c r="J971" t="s">
        <v>18894</v>
      </c>
      <c r="K971">
        <v>11234</v>
      </c>
      <c r="L971" t="s">
        <v>18958</v>
      </c>
      <c r="M971" t="s">
        <v>18958</v>
      </c>
      <c r="N971" t="s">
        <v>19721</v>
      </c>
      <c r="O971" t="s">
        <v>26526</v>
      </c>
      <c r="P971" t="s">
        <v>26564</v>
      </c>
      <c r="Q971" t="s">
        <v>26570</v>
      </c>
      <c r="R971" t="s">
        <v>26586</v>
      </c>
      <c r="U971" t="s">
        <v>26604</v>
      </c>
      <c r="W971" t="s">
        <v>505</v>
      </c>
      <c r="X971">
        <v>1600</v>
      </c>
      <c r="Y971" t="s">
        <v>26652</v>
      </c>
      <c r="Z971" t="s">
        <v>26662</v>
      </c>
      <c r="AA971" t="s">
        <v>26683</v>
      </c>
      <c r="AB971" t="s">
        <v>27612</v>
      </c>
      <c r="AD971" t="s">
        <v>37667</v>
      </c>
      <c r="AE971">
        <v>2</v>
      </c>
      <c r="AF971" t="s">
        <v>45547</v>
      </c>
      <c r="AG971" t="s">
        <v>19330</v>
      </c>
      <c r="AH971">
        <v>2</v>
      </c>
      <c r="AI971">
        <v>1</v>
      </c>
      <c r="AJ971">
        <v>0</v>
      </c>
      <c r="AK971">
        <v>91.73</v>
      </c>
      <c r="AN971" t="s">
        <v>7439</v>
      </c>
      <c r="AO971">
        <v>11136</v>
      </c>
      <c r="AU971">
        <v>2</v>
      </c>
      <c r="AV971" t="s">
        <v>505</v>
      </c>
      <c r="AW971" t="s">
        <v>281</v>
      </c>
    </row>
    <row r="972" spans="1:50">
      <c r="A972" s="1">
        <f>HYPERLINK("https://lsnyc.legalserver.org/matter/dynamic-profile/view/1874841","18-1874841")</f>
        <v>0</v>
      </c>
      <c r="B972" t="s">
        <v>141</v>
      </c>
      <c r="C972" t="s">
        <v>341</v>
      </c>
      <c r="D972" t="s">
        <v>477</v>
      </c>
      <c r="E972" t="s">
        <v>594</v>
      </c>
      <c r="F972" t="s">
        <v>1537</v>
      </c>
      <c r="G972" t="s">
        <v>5721</v>
      </c>
      <c r="H972" t="s">
        <v>10494</v>
      </c>
      <c r="I972" t="s">
        <v>17355</v>
      </c>
      <c r="J972" t="s">
        <v>18900</v>
      </c>
      <c r="K972">
        <v>11354</v>
      </c>
      <c r="L972" t="s">
        <v>18958</v>
      </c>
      <c r="M972" t="s">
        <v>18958</v>
      </c>
      <c r="N972" t="s">
        <v>19722</v>
      </c>
      <c r="O972" t="s">
        <v>26523</v>
      </c>
      <c r="P972" t="s">
        <v>26560</v>
      </c>
      <c r="Q972" t="s">
        <v>26568</v>
      </c>
      <c r="R972" t="s">
        <v>26578</v>
      </c>
      <c r="S972" t="s">
        <v>18959</v>
      </c>
      <c r="U972" t="s">
        <v>26604</v>
      </c>
      <c r="V972" t="s">
        <v>26610</v>
      </c>
      <c r="W972" t="s">
        <v>505</v>
      </c>
      <c r="X972">
        <v>2278.13</v>
      </c>
      <c r="Y972" t="s">
        <v>26653</v>
      </c>
      <c r="Z972" t="s">
        <v>26661</v>
      </c>
      <c r="AA972" t="s">
        <v>26678</v>
      </c>
      <c r="AB972" t="s">
        <v>27613</v>
      </c>
      <c r="AD972" t="s">
        <v>37668</v>
      </c>
      <c r="AE972">
        <v>60</v>
      </c>
      <c r="AF972" t="s">
        <v>45541</v>
      </c>
      <c r="AG972" t="s">
        <v>19330</v>
      </c>
      <c r="AH972">
        <v>2</v>
      </c>
      <c r="AI972">
        <v>1</v>
      </c>
      <c r="AJ972">
        <v>0</v>
      </c>
      <c r="AK972">
        <v>0</v>
      </c>
      <c r="AN972" t="s">
        <v>7439</v>
      </c>
      <c r="AO972">
        <v>0</v>
      </c>
      <c r="AQ972" t="s">
        <v>46362</v>
      </c>
      <c r="AR972" t="s">
        <v>46379</v>
      </c>
      <c r="AS972" t="s">
        <v>46499</v>
      </c>
      <c r="AT972" t="s">
        <v>46594</v>
      </c>
      <c r="AU972">
        <v>7.45</v>
      </c>
      <c r="AV972" t="s">
        <v>575</v>
      </c>
      <c r="AW972" t="s">
        <v>46858</v>
      </c>
    </row>
    <row r="973" spans="1:50">
      <c r="A973" s="1">
        <f>HYPERLINK("https://lsnyc.legalserver.org/matter/dynamic-profile/view/1874893","18-1874893")</f>
        <v>0</v>
      </c>
      <c r="B973" t="s">
        <v>161</v>
      </c>
      <c r="C973" t="s">
        <v>341</v>
      </c>
      <c r="D973" t="s">
        <v>477</v>
      </c>
      <c r="E973" t="s">
        <v>697</v>
      </c>
      <c r="F973" t="s">
        <v>1538</v>
      </c>
      <c r="G973" t="s">
        <v>5722</v>
      </c>
      <c r="H973" t="s">
        <v>10495</v>
      </c>
      <c r="I973" t="s">
        <v>17439</v>
      </c>
      <c r="J973" t="s">
        <v>18912</v>
      </c>
      <c r="K973">
        <v>11374</v>
      </c>
      <c r="L973" t="s">
        <v>18958</v>
      </c>
      <c r="M973" t="s">
        <v>18958</v>
      </c>
      <c r="N973" t="s">
        <v>19723</v>
      </c>
      <c r="O973" t="s">
        <v>26524</v>
      </c>
      <c r="P973" t="s">
        <v>26564</v>
      </c>
      <c r="Q973" t="s">
        <v>26570</v>
      </c>
      <c r="R973" t="s">
        <v>26589</v>
      </c>
      <c r="S973" t="s">
        <v>18959</v>
      </c>
      <c r="U973" t="s">
        <v>26604</v>
      </c>
      <c r="V973" t="s">
        <v>26610</v>
      </c>
      <c r="W973" t="s">
        <v>505</v>
      </c>
      <c r="X973">
        <v>1800</v>
      </c>
      <c r="Y973" t="s">
        <v>26653</v>
      </c>
      <c r="Z973" t="s">
        <v>26671</v>
      </c>
      <c r="AA973" t="s">
        <v>26683</v>
      </c>
      <c r="AB973" t="s">
        <v>27614</v>
      </c>
      <c r="AC973" t="s">
        <v>19330</v>
      </c>
      <c r="AD973" t="s">
        <v>37669</v>
      </c>
      <c r="AE973">
        <v>15</v>
      </c>
      <c r="AF973" t="s">
        <v>45547</v>
      </c>
      <c r="AG973" t="s">
        <v>19330</v>
      </c>
      <c r="AH973">
        <v>6</v>
      </c>
      <c r="AI973">
        <v>1</v>
      </c>
      <c r="AJ973">
        <v>2</v>
      </c>
      <c r="AK973">
        <v>230.99</v>
      </c>
      <c r="AL973" t="s">
        <v>45567</v>
      </c>
      <c r="AM973" t="s">
        <v>45577</v>
      </c>
      <c r="AN973" t="s">
        <v>45586</v>
      </c>
      <c r="AO973">
        <v>48000</v>
      </c>
      <c r="AU973">
        <v>1</v>
      </c>
      <c r="AV973" t="s">
        <v>477</v>
      </c>
      <c r="AW973" t="s">
        <v>161</v>
      </c>
    </row>
    <row r="974" spans="1:50">
      <c r="A974" s="1">
        <f>HYPERLINK("https://lsnyc.legalserver.org/matter/dynamic-profile/view/1875043","18-1875043")</f>
        <v>0</v>
      </c>
      <c r="B974" t="s">
        <v>107</v>
      </c>
      <c r="C974" t="s">
        <v>341</v>
      </c>
      <c r="D974" t="s">
        <v>505</v>
      </c>
      <c r="E974" t="s">
        <v>662</v>
      </c>
      <c r="F974" t="s">
        <v>1539</v>
      </c>
      <c r="G974" t="s">
        <v>5723</v>
      </c>
      <c r="H974" t="s">
        <v>10496</v>
      </c>
      <c r="J974" t="s">
        <v>18898</v>
      </c>
      <c r="K974">
        <v>11691</v>
      </c>
      <c r="L974" t="s">
        <v>18958</v>
      </c>
      <c r="M974" t="s">
        <v>18958</v>
      </c>
      <c r="N974" t="s">
        <v>19724</v>
      </c>
      <c r="O974" t="s">
        <v>26523</v>
      </c>
      <c r="P974" t="s">
        <v>26564</v>
      </c>
      <c r="Q974" t="s">
        <v>26570</v>
      </c>
      <c r="R974" t="s">
        <v>26578</v>
      </c>
      <c r="S974" t="s">
        <v>18959</v>
      </c>
      <c r="U974" t="s">
        <v>26604</v>
      </c>
      <c r="V974" t="s">
        <v>26610</v>
      </c>
      <c r="W974" t="s">
        <v>505</v>
      </c>
      <c r="X974">
        <v>1515</v>
      </c>
      <c r="Y974" t="s">
        <v>26653</v>
      </c>
      <c r="Z974" t="s">
        <v>26664</v>
      </c>
      <c r="AA974" t="s">
        <v>26683</v>
      </c>
      <c r="AB974" t="s">
        <v>27615</v>
      </c>
      <c r="AC974" t="s">
        <v>34793</v>
      </c>
      <c r="AD974" t="s">
        <v>37670</v>
      </c>
      <c r="AE974">
        <v>2</v>
      </c>
      <c r="AF974" t="s">
        <v>45547</v>
      </c>
      <c r="AG974" t="s">
        <v>19330</v>
      </c>
      <c r="AH974">
        <v>7</v>
      </c>
      <c r="AI974">
        <v>1</v>
      </c>
      <c r="AJ974">
        <v>2</v>
      </c>
      <c r="AK974">
        <v>21.08</v>
      </c>
      <c r="AN974" t="s">
        <v>7439</v>
      </c>
      <c r="AO974">
        <v>4380</v>
      </c>
      <c r="AU974">
        <v>1.4</v>
      </c>
      <c r="AV974" t="s">
        <v>583</v>
      </c>
      <c r="AW974" t="s">
        <v>161</v>
      </c>
    </row>
    <row r="975" spans="1:50">
      <c r="A975" s="1">
        <f>HYPERLINK("https://lsnyc.legalserver.org/matter/dynamic-profile/view/1874987","18-1874987")</f>
        <v>0</v>
      </c>
      <c r="B975" t="s">
        <v>107</v>
      </c>
      <c r="C975" t="s">
        <v>341</v>
      </c>
      <c r="D975" t="s">
        <v>505</v>
      </c>
      <c r="E975" t="s">
        <v>793</v>
      </c>
      <c r="F975" t="s">
        <v>1540</v>
      </c>
      <c r="G975" t="s">
        <v>5147</v>
      </c>
      <c r="H975" t="s">
        <v>10497</v>
      </c>
      <c r="I975" t="s">
        <v>17375</v>
      </c>
      <c r="J975" t="s">
        <v>18901</v>
      </c>
      <c r="K975">
        <v>11434</v>
      </c>
      <c r="L975" t="s">
        <v>18958</v>
      </c>
      <c r="M975" t="s">
        <v>18958</v>
      </c>
      <c r="N975" t="s">
        <v>19725</v>
      </c>
      <c r="O975" t="s">
        <v>26523</v>
      </c>
      <c r="P975" t="s">
        <v>26560</v>
      </c>
      <c r="Q975" t="s">
        <v>26568</v>
      </c>
      <c r="R975" t="s">
        <v>26585</v>
      </c>
      <c r="S975" t="s">
        <v>18959</v>
      </c>
      <c r="U975" t="s">
        <v>26604</v>
      </c>
      <c r="V975" t="s">
        <v>26610</v>
      </c>
      <c r="W975" t="s">
        <v>505</v>
      </c>
      <c r="X975">
        <v>1600</v>
      </c>
      <c r="Y975" t="s">
        <v>26653</v>
      </c>
      <c r="Z975" t="s">
        <v>26664</v>
      </c>
      <c r="AA975" t="s">
        <v>26678</v>
      </c>
      <c r="AB975" t="s">
        <v>27616</v>
      </c>
      <c r="AC975" t="s">
        <v>34794</v>
      </c>
      <c r="AD975" t="s">
        <v>37671</v>
      </c>
      <c r="AE975">
        <v>2</v>
      </c>
      <c r="AF975" t="s">
        <v>45547</v>
      </c>
      <c r="AG975" t="s">
        <v>45557</v>
      </c>
      <c r="AH975">
        <v>9</v>
      </c>
      <c r="AI975">
        <v>2</v>
      </c>
      <c r="AJ975">
        <v>4</v>
      </c>
      <c r="AK975">
        <v>46.18</v>
      </c>
      <c r="AN975" t="s">
        <v>45581</v>
      </c>
      <c r="AO975">
        <v>15580</v>
      </c>
      <c r="AQ975" t="s">
        <v>46365</v>
      </c>
      <c r="AR975" t="s">
        <v>26530</v>
      </c>
      <c r="AS975" t="s">
        <v>46499</v>
      </c>
      <c r="AT975" t="s">
        <v>46666</v>
      </c>
      <c r="AU975">
        <v>21.9</v>
      </c>
      <c r="AV975" t="s">
        <v>793</v>
      </c>
      <c r="AW975" t="s">
        <v>208</v>
      </c>
    </row>
    <row r="976" spans="1:50">
      <c r="A976" s="1">
        <f>HYPERLINK("https://lsnyc.legalserver.org/matter/dynamic-profile/view/1875085","18-1875085")</f>
        <v>0</v>
      </c>
      <c r="B976" t="s">
        <v>107</v>
      </c>
      <c r="C976" t="s">
        <v>341</v>
      </c>
      <c r="D976" t="s">
        <v>505</v>
      </c>
      <c r="E976" t="s">
        <v>697</v>
      </c>
      <c r="F976" t="s">
        <v>1379</v>
      </c>
      <c r="G976" t="s">
        <v>5724</v>
      </c>
      <c r="H976" t="s">
        <v>10498</v>
      </c>
      <c r="I976" t="s">
        <v>17568</v>
      </c>
      <c r="J976" t="s">
        <v>18901</v>
      </c>
      <c r="K976">
        <v>11434</v>
      </c>
      <c r="L976" t="s">
        <v>18958</v>
      </c>
      <c r="M976" t="s">
        <v>18958</v>
      </c>
      <c r="N976" t="s">
        <v>19726</v>
      </c>
      <c r="O976" t="s">
        <v>26523</v>
      </c>
      <c r="P976" t="s">
        <v>26560</v>
      </c>
      <c r="Q976" t="s">
        <v>26568</v>
      </c>
      <c r="R976" t="s">
        <v>26585</v>
      </c>
      <c r="S976" t="s">
        <v>18959</v>
      </c>
      <c r="U976" t="s">
        <v>26604</v>
      </c>
      <c r="V976" t="s">
        <v>26610</v>
      </c>
      <c r="W976" t="s">
        <v>505</v>
      </c>
      <c r="X976">
        <v>1300</v>
      </c>
      <c r="Y976" t="s">
        <v>26653</v>
      </c>
      <c r="Z976" t="s">
        <v>26664</v>
      </c>
      <c r="AA976" t="s">
        <v>26678</v>
      </c>
      <c r="AB976" t="s">
        <v>27617</v>
      </c>
      <c r="AC976" t="s">
        <v>34795</v>
      </c>
      <c r="AD976" t="s">
        <v>37672</v>
      </c>
      <c r="AE976">
        <v>151</v>
      </c>
      <c r="AF976" t="s">
        <v>45541</v>
      </c>
      <c r="AG976" t="s">
        <v>19330</v>
      </c>
      <c r="AH976">
        <v>34</v>
      </c>
      <c r="AI976">
        <v>2</v>
      </c>
      <c r="AJ976">
        <v>1</v>
      </c>
      <c r="AK976">
        <v>90.09</v>
      </c>
      <c r="AN976" t="s">
        <v>7439</v>
      </c>
      <c r="AO976">
        <v>18720</v>
      </c>
      <c r="AQ976" t="s">
        <v>46362</v>
      </c>
      <c r="AR976" t="s">
        <v>46381</v>
      </c>
      <c r="AS976" t="s">
        <v>46499</v>
      </c>
      <c r="AT976" t="s">
        <v>46621</v>
      </c>
      <c r="AU976">
        <v>6.1</v>
      </c>
      <c r="AV976" t="s">
        <v>662</v>
      </c>
      <c r="AW976" t="s">
        <v>161</v>
      </c>
    </row>
    <row r="977" spans="1:50">
      <c r="A977" s="1">
        <f>HYPERLINK("https://lsnyc.legalserver.org/matter/dynamic-profile/view/1875004","18-1875004")</f>
        <v>0</v>
      </c>
      <c r="B977" t="s">
        <v>164</v>
      </c>
      <c r="C977" t="s">
        <v>341</v>
      </c>
      <c r="D977" t="s">
        <v>505</v>
      </c>
      <c r="E977" t="s">
        <v>578</v>
      </c>
      <c r="F977" t="s">
        <v>1541</v>
      </c>
      <c r="G977" t="s">
        <v>5725</v>
      </c>
      <c r="H977" t="s">
        <v>10499</v>
      </c>
      <c r="I977" t="s">
        <v>17569</v>
      </c>
      <c r="J977" t="s">
        <v>18901</v>
      </c>
      <c r="K977">
        <v>11432</v>
      </c>
      <c r="L977" t="s">
        <v>18958</v>
      </c>
      <c r="M977" t="s">
        <v>18958</v>
      </c>
      <c r="N977" t="s">
        <v>19727</v>
      </c>
      <c r="O977" t="s">
        <v>26523</v>
      </c>
      <c r="P977" t="s">
        <v>26564</v>
      </c>
      <c r="Q977" t="s">
        <v>26570</v>
      </c>
      <c r="R977" t="s">
        <v>26584</v>
      </c>
      <c r="S977" t="s">
        <v>18959</v>
      </c>
      <c r="U977" t="s">
        <v>26604</v>
      </c>
      <c r="V977" t="s">
        <v>26610</v>
      </c>
      <c r="W977" t="s">
        <v>505</v>
      </c>
      <c r="X977">
        <v>1328</v>
      </c>
      <c r="Y977" t="s">
        <v>26653</v>
      </c>
      <c r="Z977" t="s">
        <v>26664</v>
      </c>
      <c r="AA977" t="s">
        <v>26683</v>
      </c>
      <c r="AB977" t="s">
        <v>27618</v>
      </c>
      <c r="AC977" t="s">
        <v>19079</v>
      </c>
      <c r="AD977" t="s">
        <v>37673</v>
      </c>
      <c r="AE977">
        <v>84</v>
      </c>
      <c r="AF977" t="s">
        <v>20460</v>
      </c>
      <c r="AG977" t="s">
        <v>19330</v>
      </c>
      <c r="AH977">
        <v>13</v>
      </c>
      <c r="AI977">
        <v>2</v>
      </c>
      <c r="AJ977">
        <v>2</v>
      </c>
      <c r="AK977">
        <v>4.05</v>
      </c>
      <c r="AN977" t="s">
        <v>7439</v>
      </c>
      <c r="AO977">
        <v>1016</v>
      </c>
      <c r="AU977">
        <v>1.7</v>
      </c>
      <c r="AV977" t="s">
        <v>578</v>
      </c>
      <c r="AW977" t="s">
        <v>208</v>
      </c>
    </row>
    <row r="978" spans="1:50">
      <c r="A978" s="1">
        <f>HYPERLINK("https://lsnyc.legalserver.org/matter/dynamic-profile/view/1875086","18-1875086")</f>
        <v>0</v>
      </c>
      <c r="B978" t="s">
        <v>169</v>
      </c>
      <c r="C978" t="s">
        <v>341</v>
      </c>
      <c r="D978" t="s">
        <v>505</v>
      </c>
      <c r="E978" t="s">
        <v>586</v>
      </c>
      <c r="F978" t="s">
        <v>881</v>
      </c>
      <c r="G978" t="s">
        <v>5686</v>
      </c>
      <c r="H978" t="s">
        <v>10448</v>
      </c>
      <c r="I978">
        <v>509</v>
      </c>
      <c r="J978" t="s">
        <v>18892</v>
      </c>
      <c r="K978">
        <v>10457</v>
      </c>
      <c r="L978" t="s">
        <v>18958</v>
      </c>
      <c r="M978" t="s">
        <v>18958</v>
      </c>
      <c r="N978" t="s">
        <v>19045</v>
      </c>
      <c r="O978" t="s">
        <v>26531</v>
      </c>
      <c r="P978" t="s">
        <v>26565</v>
      </c>
      <c r="Q978" t="s">
        <v>26571</v>
      </c>
      <c r="R978" t="s">
        <v>26578</v>
      </c>
      <c r="S978" t="s">
        <v>18959</v>
      </c>
      <c r="U978" t="s">
        <v>26604</v>
      </c>
      <c r="W978" t="s">
        <v>505</v>
      </c>
      <c r="X978">
        <v>1529.46</v>
      </c>
      <c r="Y978" t="s">
        <v>26650</v>
      </c>
      <c r="Z978" t="s">
        <v>26655</v>
      </c>
      <c r="AA978" t="s">
        <v>26682</v>
      </c>
      <c r="AB978" t="s">
        <v>504</v>
      </c>
      <c r="AD978" t="s">
        <v>37618</v>
      </c>
      <c r="AE978">
        <v>0</v>
      </c>
      <c r="AF978" t="s">
        <v>45541</v>
      </c>
      <c r="AG978" t="s">
        <v>19330</v>
      </c>
      <c r="AH978">
        <v>7</v>
      </c>
      <c r="AI978">
        <v>2</v>
      </c>
      <c r="AJ978">
        <v>4</v>
      </c>
      <c r="AK978">
        <v>144.99</v>
      </c>
      <c r="AN978" t="s">
        <v>45581</v>
      </c>
      <c r="AO978">
        <v>48920.82</v>
      </c>
      <c r="AT978" t="s">
        <v>46526</v>
      </c>
      <c r="AU978">
        <v>1</v>
      </c>
      <c r="AV978" t="s">
        <v>523</v>
      </c>
      <c r="AW978" t="s">
        <v>46836</v>
      </c>
    </row>
    <row r="979" spans="1:50">
      <c r="A979" s="1">
        <f>HYPERLINK("https://lsnyc.legalserver.org/matter/dynamic-profile/view/1874975","18-1874975")</f>
        <v>0</v>
      </c>
      <c r="B979" t="s">
        <v>130</v>
      </c>
      <c r="C979" t="s">
        <v>341</v>
      </c>
      <c r="D979" t="s">
        <v>505</v>
      </c>
      <c r="E979" t="s">
        <v>521</v>
      </c>
      <c r="F979" t="s">
        <v>1542</v>
      </c>
      <c r="G979" t="s">
        <v>5726</v>
      </c>
      <c r="H979" t="s">
        <v>10500</v>
      </c>
      <c r="I979">
        <v>905</v>
      </c>
      <c r="J979" t="s">
        <v>18897</v>
      </c>
      <c r="K979">
        <v>11415</v>
      </c>
      <c r="L979" t="s">
        <v>18958</v>
      </c>
      <c r="M979" t="s">
        <v>18958</v>
      </c>
      <c r="N979" t="s">
        <v>19728</v>
      </c>
      <c r="O979" t="s">
        <v>26524</v>
      </c>
      <c r="P979" t="s">
        <v>26564</v>
      </c>
      <c r="Q979" t="s">
        <v>26570</v>
      </c>
      <c r="R979" t="s">
        <v>26578</v>
      </c>
      <c r="S979" t="s">
        <v>18959</v>
      </c>
      <c r="U979" t="s">
        <v>26604</v>
      </c>
      <c r="V979" t="s">
        <v>26612</v>
      </c>
      <c r="W979" t="s">
        <v>505</v>
      </c>
      <c r="X979">
        <v>633</v>
      </c>
      <c r="Y979" t="s">
        <v>26653</v>
      </c>
      <c r="Z979" t="s">
        <v>26664</v>
      </c>
      <c r="AA979" t="s">
        <v>26683</v>
      </c>
      <c r="AB979" t="s">
        <v>27619</v>
      </c>
      <c r="AC979" t="s">
        <v>34796</v>
      </c>
      <c r="AD979" t="s">
        <v>37674</v>
      </c>
      <c r="AE979">
        <v>100</v>
      </c>
      <c r="AF979" t="s">
        <v>45550</v>
      </c>
      <c r="AG979" t="s">
        <v>19330</v>
      </c>
      <c r="AH979">
        <v>29</v>
      </c>
      <c r="AI979">
        <v>1</v>
      </c>
      <c r="AJ979">
        <v>0</v>
      </c>
      <c r="AK979">
        <v>84.42</v>
      </c>
      <c r="AN979" t="s">
        <v>7439</v>
      </c>
      <c r="AO979">
        <v>10248</v>
      </c>
      <c r="AU979">
        <v>1.75</v>
      </c>
      <c r="AV979" t="s">
        <v>521</v>
      </c>
      <c r="AW979" t="s">
        <v>208</v>
      </c>
    </row>
    <row r="980" spans="1:50">
      <c r="A980" s="1">
        <f>HYPERLINK("https://lsnyc.legalserver.org/matter/dynamic-profile/view/1874996","18-1874996")</f>
        <v>0</v>
      </c>
      <c r="B980" t="s">
        <v>130</v>
      </c>
      <c r="C980" t="s">
        <v>341</v>
      </c>
      <c r="D980" t="s">
        <v>505</v>
      </c>
      <c r="E980" t="s">
        <v>528</v>
      </c>
      <c r="F980" t="s">
        <v>990</v>
      </c>
      <c r="G980" t="s">
        <v>5269</v>
      </c>
      <c r="H980" t="s">
        <v>10501</v>
      </c>
      <c r="I980" t="s">
        <v>17570</v>
      </c>
      <c r="J980" t="s">
        <v>7026</v>
      </c>
      <c r="K980">
        <v>11368</v>
      </c>
      <c r="L980" t="s">
        <v>18958</v>
      </c>
      <c r="M980" t="s">
        <v>18958</v>
      </c>
      <c r="N980" t="s">
        <v>19729</v>
      </c>
      <c r="O980" t="s">
        <v>26523</v>
      </c>
      <c r="P980" t="s">
        <v>26564</v>
      </c>
      <c r="Q980" t="s">
        <v>26570</v>
      </c>
      <c r="R980" t="s">
        <v>26584</v>
      </c>
      <c r="S980" t="s">
        <v>18959</v>
      </c>
      <c r="U980" t="s">
        <v>26604</v>
      </c>
      <c r="V980" t="s">
        <v>26610</v>
      </c>
      <c r="W980" t="s">
        <v>505</v>
      </c>
      <c r="X980">
        <v>1530.78</v>
      </c>
      <c r="Y980" t="s">
        <v>26653</v>
      </c>
      <c r="Z980" t="s">
        <v>26664</v>
      </c>
      <c r="AA980" t="s">
        <v>26683</v>
      </c>
      <c r="AB980" t="s">
        <v>27620</v>
      </c>
      <c r="AC980" t="s">
        <v>34797</v>
      </c>
      <c r="AD980" t="s">
        <v>37675</v>
      </c>
      <c r="AE980">
        <v>324</v>
      </c>
      <c r="AF980" t="s">
        <v>45547</v>
      </c>
      <c r="AG980" t="s">
        <v>26530</v>
      </c>
      <c r="AH980">
        <v>27</v>
      </c>
      <c r="AI980">
        <v>2</v>
      </c>
      <c r="AJ980">
        <v>1</v>
      </c>
      <c r="AK980">
        <v>113.09</v>
      </c>
      <c r="AN980" t="s">
        <v>7439</v>
      </c>
      <c r="AO980">
        <v>23500</v>
      </c>
      <c r="AU980">
        <v>1.1</v>
      </c>
      <c r="AV980" t="s">
        <v>528</v>
      </c>
      <c r="AW980" t="s">
        <v>208</v>
      </c>
    </row>
    <row r="981" spans="1:50">
      <c r="A981" s="1">
        <f>HYPERLINK("https://lsnyc.legalserver.org/matter/dynamic-profile/view/1875032","18-1875032")</f>
        <v>0</v>
      </c>
      <c r="B981" t="s">
        <v>130</v>
      </c>
      <c r="C981" t="s">
        <v>341</v>
      </c>
      <c r="D981" t="s">
        <v>505</v>
      </c>
      <c r="E981" t="s">
        <v>521</v>
      </c>
      <c r="F981" t="s">
        <v>1543</v>
      </c>
      <c r="G981" t="s">
        <v>2736</v>
      </c>
      <c r="H981" t="s">
        <v>10502</v>
      </c>
      <c r="I981" t="s">
        <v>17571</v>
      </c>
      <c r="J981" t="s">
        <v>18928</v>
      </c>
      <c r="K981">
        <v>11365</v>
      </c>
      <c r="L981" t="s">
        <v>18958</v>
      </c>
      <c r="M981" t="s">
        <v>18958</v>
      </c>
      <c r="N981" t="s">
        <v>19730</v>
      </c>
      <c r="O981" t="s">
        <v>26524</v>
      </c>
      <c r="P981" t="s">
        <v>26564</v>
      </c>
      <c r="Q981" t="s">
        <v>26570</v>
      </c>
      <c r="R981" t="s">
        <v>26584</v>
      </c>
      <c r="S981" t="s">
        <v>18959</v>
      </c>
      <c r="U981" t="s">
        <v>26604</v>
      </c>
      <c r="V981" t="s">
        <v>26610</v>
      </c>
      <c r="W981" t="s">
        <v>505</v>
      </c>
      <c r="X981">
        <v>2000</v>
      </c>
      <c r="Y981" t="s">
        <v>26653</v>
      </c>
      <c r="Z981" t="s">
        <v>26664</v>
      </c>
      <c r="AA981" t="s">
        <v>26683</v>
      </c>
      <c r="AB981" t="s">
        <v>27621</v>
      </c>
      <c r="AC981" t="s">
        <v>19045</v>
      </c>
      <c r="AD981" t="s">
        <v>37676</v>
      </c>
      <c r="AE981">
        <v>3</v>
      </c>
      <c r="AF981" t="s">
        <v>45547</v>
      </c>
      <c r="AG981" t="s">
        <v>19330</v>
      </c>
      <c r="AH981">
        <v>1</v>
      </c>
      <c r="AI981">
        <v>2</v>
      </c>
      <c r="AJ981">
        <v>3</v>
      </c>
      <c r="AK981">
        <v>163.15</v>
      </c>
      <c r="AN981" t="s">
        <v>7439</v>
      </c>
      <c r="AO981">
        <v>48000</v>
      </c>
      <c r="AU981">
        <v>0.8</v>
      </c>
      <c r="AV981" t="s">
        <v>521</v>
      </c>
      <c r="AW981" t="s">
        <v>208</v>
      </c>
    </row>
    <row r="982" spans="1:50">
      <c r="A982" s="1">
        <f>HYPERLINK("https://lsnyc.legalserver.org/matter/dynamic-profile/view/1875011","18-1875011")</f>
        <v>0</v>
      </c>
      <c r="B982" t="s">
        <v>162</v>
      </c>
      <c r="C982" t="s">
        <v>341</v>
      </c>
      <c r="D982" t="s">
        <v>505</v>
      </c>
      <c r="E982" t="s">
        <v>493</v>
      </c>
      <c r="F982" t="s">
        <v>1209</v>
      </c>
      <c r="G982" t="s">
        <v>5388</v>
      </c>
      <c r="H982" t="s">
        <v>10021</v>
      </c>
      <c r="I982">
        <v>320</v>
      </c>
      <c r="J982" t="s">
        <v>18894</v>
      </c>
      <c r="K982">
        <v>11224</v>
      </c>
      <c r="L982" t="s">
        <v>18958</v>
      </c>
      <c r="M982" t="s">
        <v>18960</v>
      </c>
      <c r="N982" t="s">
        <v>19289</v>
      </c>
      <c r="O982" t="s">
        <v>26523</v>
      </c>
      <c r="P982" t="s">
        <v>26565</v>
      </c>
      <c r="Q982" t="s">
        <v>26571</v>
      </c>
      <c r="R982" t="s">
        <v>26586</v>
      </c>
      <c r="S982" t="s">
        <v>18959</v>
      </c>
      <c r="U982" t="s">
        <v>26604</v>
      </c>
      <c r="V982" t="s">
        <v>26610</v>
      </c>
      <c r="W982" t="s">
        <v>505</v>
      </c>
      <c r="X982">
        <v>1400</v>
      </c>
      <c r="Y982" t="s">
        <v>26652</v>
      </c>
      <c r="Z982" t="s">
        <v>26655</v>
      </c>
      <c r="AA982" t="s">
        <v>26681</v>
      </c>
      <c r="AB982" t="s">
        <v>27108</v>
      </c>
      <c r="AD982" t="s">
        <v>37190</v>
      </c>
      <c r="AE982">
        <v>73</v>
      </c>
      <c r="AF982" t="s">
        <v>45543</v>
      </c>
      <c r="AG982" t="s">
        <v>45556</v>
      </c>
      <c r="AH982">
        <v>7</v>
      </c>
      <c r="AI982">
        <v>1</v>
      </c>
      <c r="AJ982">
        <v>0</v>
      </c>
      <c r="AK982">
        <v>84.02</v>
      </c>
      <c r="AN982" t="s">
        <v>45586</v>
      </c>
      <c r="AO982">
        <v>10200</v>
      </c>
      <c r="AU982">
        <v>5.8</v>
      </c>
      <c r="AV982" t="s">
        <v>683</v>
      </c>
      <c r="AW982" t="s">
        <v>46862</v>
      </c>
    </row>
    <row r="983" spans="1:50">
      <c r="A983" s="1">
        <f>HYPERLINK("https://lsnyc.legalserver.org/matter/dynamic-profile/view/1874990","18-1874990")</f>
        <v>0</v>
      </c>
      <c r="B983" t="s">
        <v>79</v>
      </c>
      <c r="C983" t="s">
        <v>341</v>
      </c>
      <c r="D983" t="s">
        <v>505</v>
      </c>
      <c r="E983" t="s">
        <v>839</v>
      </c>
      <c r="F983" t="s">
        <v>916</v>
      </c>
      <c r="G983" t="s">
        <v>1685</v>
      </c>
      <c r="H983" t="s">
        <v>10503</v>
      </c>
      <c r="I983">
        <v>3</v>
      </c>
      <c r="J983" t="s">
        <v>18893</v>
      </c>
      <c r="K983">
        <v>10034</v>
      </c>
      <c r="L983" t="s">
        <v>18958</v>
      </c>
      <c r="M983" t="s">
        <v>18958</v>
      </c>
      <c r="O983" t="s">
        <v>26526</v>
      </c>
      <c r="P983" t="s">
        <v>26564</v>
      </c>
      <c r="Q983" t="s">
        <v>26570</v>
      </c>
      <c r="R983" t="s">
        <v>26578</v>
      </c>
      <c r="S983" t="s">
        <v>18959</v>
      </c>
      <c r="U983" t="s">
        <v>26604</v>
      </c>
      <c r="W983" t="s">
        <v>505</v>
      </c>
      <c r="X983">
        <v>865.62</v>
      </c>
      <c r="Y983" t="s">
        <v>26651</v>
      </c>
      <c r="Z983" t="s">
        <v>26659</v>
      </c>
      <c r="AA983" t="s">
        <v>26683</v>
      </c>
      <c r="AB983" t="s">
        <v>27622</v>
      </c>
      <c r="AD983" t="s">
        <v>37677</v>
      </c>
      <c r="AE983">
        <v>29</v>
      </c>
      <c r="AF983" t="s">
        <v>45541</v>
      </c>
      <c r="AG983" t="s">
        <v>19330</v>
      </c>
      <c r="AH983">
        <v>38</v>
      </c>
      <c r="AI983">
        <v>3</v>
      </c>
      <c r="AJ983">
        <v>0</v>
      </c>
      <c r="AK983">
        <v>45.62</v>
      </c>
      <c r="AN983" t="s">
        <v>45581</v>
      </c>
      <c r="AO983">
        <v>9480</v>
      </c>
      <c r="AU983">
        <v>0.9</v>
      </c>
      <c r="AV983" t="s">
        <v>413</v>
      </c>
      <c r="AW983" t="s">
        <v>46840</v>
      </c>
      <c r="AX983" t="s">
        <v>46897</v>
      </c>
    </row>
    <row r="984" spans="1:50">
      <c r="A984" s="1">
        <f>HYPERLINK("https://lsnyc.legalserver.org/matter/dynamic-profile/view/1875020","18-1875020")</f>
        <v>0</v>
      </c>
      <c r="B984" t="s">
        <v>214</v>
      </c>
      <c r="C984" t="s">
        <v>341</v>
      </c>
      <c r="D984" t="s">
        <v>505</v>
      </c>
      <c r="E984" t="s">
        <v>413</v>
      </c>
      <c r="F984" t="s">
        <v>1544</v>
      </c>
      <c r="G984" t="s">
        <v>5727</v>
      </c>
      <c r="H984" t="s">
        <v>10504</v>
      </c>
      <c r="I984">
        <v>2</v>
      </c>
      <c r="J984" t="s">
        <v>18898</v>
      </c>
      <c r="K984">
        <v>11691</v>
      </c>
      <c r="L984" t="s">
        <v>18958</v>
      </c>
      <c r="M984" t="s">
        <v>18958</v>
      </c>
      <c r="N984" t="s">
        <v>19731</v>
      </c>
      <c r="O984" t="s">
        <v>26523</v>
      </c>
      <c r="P984" t="s">
        <v>26560</v>
      </c>
      <c r="Q984" t="s">
        <v>26568</v>
      </c>
      <c r="R984" t="s">
        <v>26578</v>
      </c>
      <c r="S984" t="s">
        <v>18959</v>
      </c>
      <c r="U984" t="s">
        <v>26604</v>
      </c>
      <c r="V984" t="s">
        <v>26612</v>
      </c>
      <c r="W984" t="s">
        <v>505</v>
      </c>
      <c r="X984">
        <v>1428</v>
      </c>
      <c r="Y984" t="s">
        <v>26653</v>
      </c>
      <c r="Z984" t="s">
        <v>26664</v>
      </c>
      <c r="AA984" t="s">
        <v>26678</v>
      </c>
      <c r="AB984" t="s">
        <v>27623</v>
      </c>
      <c r="AC984" t="s">
        <v>34798</v>
      </c>
      <c r="AD984" t="s">
        <v>37678</v>
      </c>
      <c r="AE984">
        <v>2</v>
      </c>
      <c r="AF984" t="s">
        <v>45552</v>
      </c>
      <c r="AG984" t="s">
        <v>45556</v>
      </c>
      <c r="AH984">
        <v>6</v>
      </c>
      <c r="AI984">
        <v>1</v>
      </c>
      <c r="AJ984">
        <v>2</v>
      </c>
      <c r="AK984">
        <v>24.27</v>
      </c>
      <c r="AN984" t="s">
        <v>7439</v>
      </c>
      <c r="AO984">
        <v>5044</v>
      </c>
      <c r="AQ984" t="s">
        <v>46359</v>
      </c>
      <c r="AR984" t="s">
        <v>46424</v>
      </c>
      <c r="AS984" t="s">
        <v>46499</v>
      </c>
      <c r="AT984" t="s">
        <v>46620</v>
      </c>
      <c r="AU984">
        <v>6.85</v>
      </c>
      <c r="AV984" t="s">
        <v>413</v>
      </c>
      <c r="AW984" t="s">
        <v>208</v>
      </c>
    </row>
    <row r="985" spans="1:50">
      <c r="A985" s="1">
        <f>HYPERLINK("https://lsnyc.legalserver.org/matter/dynamic-profile/view/1875015","18-1875015")</f>
        <v>0</v>
      </c>
      <c r="B985" t="s">
        <v>93</v>
      </c>
      <c r="C985" t="s">
        <v>341</v>
      </c>
      <c r="D985" t="s">
        <v>505</v>
      </c>
      <c r="E985" t="s">
        <v>712</v>
      </c>
      <c r="F985" t="s">
        <v>1191</v>
      </c>
      <c r="G985" t="s">
        <v>1820</v>
      </c>
      <c r="H985" t="s">
        <v>10505</v>
      </c>
      <c r="J985" t="s">
        <v>18901</v>
      </c>
      <c r="K985">
        <v>11436</v>
      </c>
      <c r="L985" t="s">
        <v>18958</v>
      </c>
      <c r="M985" t="s">
        <v>18958</v>
      </c>
      <c r="N985" t="s">
        <v>19732</v>
      </c>
      <c r="O985" t="s">
        <v>26524</v>
      </c>
      <c r="P985" t="s">
        <v>26564</v>
      </c>
      <c r="Q985" t="s">
        <v>26570</v>
      </c>
      <c r="R985" t="s">
        <v>26584</v>
      </c>
      <c r="S985" t="s">
        <v>18958</v>
      </c>
      <c r="U985" t="s">
        <v>26604</v>
      </c>
      <c r="V985" t="s">
        <v>26610</v>
      </c>
      <c r="W985" t="s">
        <v>505</v>
      </c>
      <c r="X985">
        <v>1500</v>
      </c>
      <c r="Y985" t="s">
        <v>26653</v>
      </c>
      <c r="Z985" t="s">
        <v>26664</v>
      </c>
      <c r="AA985" t="s">
        <v>26683</v>
      </c>
      <c r="AB985" t="s">
        <v>27624</v>
      </c>
      <c r="AC985" t="s">
        <v>34799</v>
      </c>
      <c r="AD985" t="s">
        <v>37679</v>
      </c>
      <c r="AE985">
        <v>1</v>
      </c>
      <c r="AF985" t="s">
        <v>45547</v>
      </c>
      <c r="AG985" t="s">
        <v>19330</v>
      </c>
      <c r="AH985">
        <v>4</v>
      </c>
      <c r="AI985">
        <v>6</v>
      </c>
      <c r="AJ985">
        <v>4</v>
      </c>
      <c r="AK985">
        <v>39.2</v>
      </c>
      <c r="AN985" t="s">
        <v>7439</v>
      </c>
      <c r="AO985">
        <v>20000</v>
      </c>
      <c r="AU985">
        <v>0.5</v>
      </c>
      <c r="AV985" t="s">
        <v>706</v>
      </c>
      <c r="AW985" t="s">
        <v>208</v>
      </c>
    </row>
    <row r="986" spans="1:50">
      <c r="A986" s="1">
        <f>HYPERLINK("https://lsnyc.legalserver.org/matter/dynamic-profile/view/1875022","18-1875022")</f>
        <v>0</v>
      </c>
      <c r="B986" t="s">
        <v>161</v>
      </c>
      <c r="C986" t="s">
        <v>341</v>
      </c>
      <c r="D986" t="s">
        <v>505</v>
      </c>
      <c r="E986" t="s">
        <v>505</v>
      </c>
      <c r="F986" t="s">
        <v>979</v>
      </c>
      <c r="G986" t="s">
        <v>5728</v>
      </c>
      <c r="H986" t="s">
        <v>10506</v>
      </c>
      <c r="I986" t="s">
        <v>17427</v>
      </c>
      <c r="J986" t="s">
        <v>18926</v>
      </c>
      <c r="K986">
        <v>11378</v>
      </c>
      <c r="L986" t="s">
        <v>18958</v>
      </c>
      <c r="M986" t="s">
        <v>18958</v>
      </c>
      <c r="N986" t="s">
        <v>19733</v>
      </c>
      <c r="O986" t="s">
        <v>26526</v>
      </c>
      <c r="P986" t="s">
        <v>26564</v>
      </c>
      <c r="Q986" t="s">
        <v>26570</v>
      </c>
      <c r="R986" t="s">
        <v>26578</v>
      </c>
      <c r="S986" t="s">
        <v>18959</v>
      </c>
      <c r="U986" t="s">
        <v>26604</v>
      </c>
      <c r="V986" t="s">
        <v>26610</v>
      </c>
      <c r="W986" t="s">
        <v>505</v>
      </c>
      <c r="X986">
        <v>1850</v>
      </c>
      <c r="Y986" t="s">
        <v>26653</v>
      </c>
      <c r="Z986" t="s">
        <v>26664</v>
      </c>
      <c r="AA986" t="s">
        <v>26683</v>
      </c>
      <c r="AB986" t="s">
        <v>27625</v>
      </c>
      <c r="AC986" t="s">
        <v>34800</v>
      </c>
      <c r="AD986" t="s">
        <v>34738</v>
      </c>
      <c r="AE986">
        <v>3</v>
      </c>
      <c r="AF986" t="s">
        <v>45547</v>
      </c>
      <c r="AG986" t="s">
        <v>19330</v>
      </c>
      <c r="AH986">
        <v>7</v>
      </c>
      <c r="AI986">
        <v>1</v>
      </c>
      <c r="AJ986">
        <v>1</v>
      </c>
      <c r="AK986">
        <v>0</v>
      </c>
      <c r="AN986" t="s">
        <v>7439</v>
      </c>
      <c r="AO986">
        <v>0</v>
      </c>
      <c r="AU986">
        <v>1.45</v>
      </c>
      <c r="AV986" t="s">
        <v>511</v>
      </c>
      <c r="AW986" t="s">
        <v>161</v>
      </c>
    </row>
    <row r="987" spans="1:50">
      <c r="A987" s="1">
        <f>HYPERLINK("https://lsnyc.legalserver.org/matter/dynamic-profile/view/1875002","18-1875002")</f>
        <v>0</v>
      </c>
      <c r="B987" t="s">
        <v>187</v>
      </c>
      <c r="C987" t="s">
        <v>341</v>
      </c>
      <c r="D987" t="s">
        <v>505</v>
      </c>
      <c r="E987" t="s">
        <v>732</v>
      </c>
      <c r="F987" t="s">
        <v>1545</v>
      </c>
      <c r="G987" t="s">
        <v>5208</v>
      </c>
      <c r="H987" t="s">
        <v>10507</v>
      </c>
      <c r="I987" t="s">
        <v>17572</v>
      </c>
      <c r="J987" t="s">
        <v>18892</v>
      </c>
      <c r="K987">
        <v>10468</v>
      </c>
      <c r="L987" t="s">
        <v>18958</v>
      </c>
      <c r="M987" t="s">
        <v>18958</v>
      </c>
      <c r="N987" t="s">
        <v>19734</v>
      </c>
      <c r="O987" t="s">
        <v>26523</v>
      </c>
      <c r="P987" t="s">
        <v>26560</v>
      </c>
      <c r="Q987" t="s">
        <v>26568</v>
      </c>
      <c r="R987" t="s">
        <v>26579</v>
      </c>
      <c r="S987" t="s">
        <v>18959</v>
      </c>
      <c r="U987" t="s">
        <v>26604</v>
      </c>
      <c r="V987" t="s">
        <v>26610</v>
      </c>
      <c r="W987" t="s">
        <v>505</v>
      </c>
      <c r="X987">
        <v>1490.63</v>
      </c>
      <c r="Y987" t="s">
        <v>26650</v>
      </c>
      <c r="Z987" t="s">
        <v>26664</v>
      </c>
      <c r="AA987" t="s">
        <v>26680</v>
      </c>
      <c r="AB987" t="s">
        <v>27626</v>
      </c>
      <c r="AC987" t="s">
        <v>34801</v>
      </c>
      <c r="AD987" t="s">
        <v>37680</v>
      </c>
      <c r="AE987">
        <v>0</v>
      </c>
      <c r="AF987" t="s">
        <v>45543</v>
      </c>
      <c r="AG987" t="s">
        <v>45556</v>
      </c>
      <c r="AH987">
        <v>9</v>
      </c>
      <c r="AI987">
        <v>2</v>
      </c>
      <c r="AJ987">
        <v>2</v>
      </c>
      <c r="AK987">
        <v>87.48999999999999</v>
      </c>
      <c r="AN987" t="s">
        <v>7439</v>
      </c>
      <c r="AO987">
        <v>21960</v>
      </c>
      <c r="AQ987" t="s">
        <v>46361</v>
      </c>
      <c r="AR987" t="s">
        <v>46379</v>
      </c>
      <c r="AS987" t="s">
        <v>46499</v>
      </c>
      <c r="AT987" t="s">
        <v>46577</v>
      </c>
      <c r="AU987">
        <v>24</v>
      </c>
      <c r="AV987" t="s">
        <v>761</v>
      </c>
      <c r="AW987" t="s">
        <v>46832</v>
      </c>
      <c r="AX987" t="s">
        <v>46897</v>
      </c>
    </row>
    <row r="988" spans="1:50">
      <c r="A988" s="1">
        <f>HYPERLINK("https://lsnyc.legalserver.org/matter/dynamic-profile/view/1873947","18-1873947")</f>
        <v>0</v>
      </c>
      <c r="B988" t="s">
        <v>103</v>
      </c>
      <c r="C988" t="s">
        <v>341</v>
      </c>
      <c r="D988" t="s">
        <v>505</v>
      </c>
      <c r="E988" t="s">
        <v>664</v>
      </c>
      <c r="F988" t="s">
        <v>1546</v>
      </c>
      <c r="G988" t="s">
        <v>5729</v>
      </c>
      <c r="H988" t="s">
        <v>10508</v>
      </c>
      <c r="J988" t="s">
        <v>18902</v>
      </c>
      <c r="K988">
        <v>10314</v>
      </c>
      <c r="L988" t="s">
        <v>18958</v>
      </c>
      <c r="M988" t="s">
        <v>18958</v>
      </c>
      <c r="N988" t="s">
        <v>19037</v>
      </c>
      <c r="O988" t="s">
        <v>26524</v>
      </c>
      <c r="P988" t="s">
        <v>26565</v>
      </c>
      <c r="Q988" t="s">
        <v>26571</v>
      </c>
      <c r="R988" t="s">
        <v>26590</v>
      </c>
      <c r="S988" t="s">
        <v>18959</v>
      </c>
      <c r="U988" t="s">
        <v>26604</v>
      </c>
      <c r="V988" t="s">
        <v>26610</v>
      </c>
      <c r="W988" t="s">
        <v>505</v>
      </c>
      <c r="X988">
        <v>2200</v>
      </c>
      <c r="Y988" t="s">
        <v>26654</v>
      </c>
      <c r="Z988" t="s">
        <v>26671</v>
      </c>
      <c r="AA988" t="s">
        <v>26683</v>
      </c>
      <c r="AB988" t="s">
        <v>27627</v>
      </c>
      <c r="AE988">
        <v>1</v>
      </c>
      <c r="AF988" t="s">
        <v>45547</v>
      </c>
      <c r="AG988" t="s">
        <v>19330</v>
      </c>
      <c r="AH988">
        <v>1</v>
      </c>
      <c r="AI988">
        <v>1</v>
      </c>
      <c r="AJ988">
        <v>3</v>
      </c>
      <c r="AK988">
        <v>77.90000000000001</v>
      </c>
      <c r="AN988" t="s">
        <v>45581</v>
      </c>
      <c r="AO988">
        <v>19552</v>
      </c>
      <c r="AU988">
        <v>2.3</v>
      </c>
      <c r="AV988" t="s">
        <v>664</v>
      </c>
      <c r="AW988" t="s">
        <v>190</v>
      </c>
    </row>
    <row r="989" spans="1:50">
      <c r="A989" s="1">
        <f>HYPERLINK("https://lsnyc.legalserver.org/matter/dynamic-profile/view/1875067","18-1875067")</f>
        <v>0</v>
      </c>
      <c r="B989" t="s">
        <v>111</v>
      </c>
      <c r="C989" t="s">
        <v>341</v>
      </c>
      <c r="D989" t="s">
        <v>505</v>
      </c>
      <c r="E989" t="s">
        <v>678</v>
      </c>
      <c r="F989" t="s">
        <v>1547</v>
      </c>
      <c r="G989" t="s">
        <v>5730</v>
      </c>
      <c r="H989" t="s">
        <v>10509</v>
      </c>
      <c r="I989" t="s">
        <v>17573</v>
      </c>
      <c r="J989" t="s">
        <v>18915</v>
      </c>
      <c r="K989">
        <v>11372</v>
      </c>
      <c r="L989" t="s">
        <v>18958</v>
      </c>
      <c r="M989" t="s">
        <v>18958</v>
      </c>
      <c r="N989" t="s">
        <v>19735</v>
      </c>
      <c r="O989" t="s">
        <v>26523</v>
      </c>
      <c r="P989" t="s">
        <v>26560</v>
      </c>
      <c r="Q989" t="s">
        <v>26568</v>
      </c>
      <c r="R989" t="s">
        <v>26584</v>
      </c>
      <c r="S989" t="s">
        <v>18959</v>
      </c>
      <c r="U989" t="s">
        <v>26604</v>
      </c>
      <c r="V989" t="s">
        <v>26610</v>
      </c>
      <c r="W989" t="s">
        <v>505</v>
      </c>
      <c r="X989">
        <v>1346</v>
      </c>
      <c r="Y989" t="s">
        <v>26653</v>
      </c>
      <c r="Z989" t="s">
        <v>26664</v>
      </c>
      <c r="AA989" t="s">
        <v>26678</v>
      </c>
      <c r="AB989" t="s">
        <v>27628</v>
      </c>
      <c r="AC989" t="s">
        <v>34802</v>
      </c>
      <c r="AD989" t="s">
        <v>37681</v>
      </c>
      <c r="AE989">
        <v>83</v>
      </c>
      <c r="AF989" t="s">
        <v>45548</v>
      </c>
      <c r="AG989" t="s">
        <v>19330</v>
      </c>
      <c r="AH989">
        <v>24</v>
      </c>
      <c r="AI989">
        <v>1</v>
      </c>
      <c r="AJ989">
        <v>0</v>
      </c>
      <c r="AK989">
        <v>140.03</v>
      </c>
      <c r="AN989" t="s">
        <v>7439</v>
      </c>
      <c r="AO989">
        <v>17000</v>
      </c>
      <c r="AQ989" t="s">
        <v>46362</v>
      </c>
      <c r="AR989" t="s">
        <v>46379</v>
      </c>
      <c r="AS989" t="s">
        <v>46499</v>
      </c>
      <c r="AT989" t="s">
        <v>46661</v>
      </c>
      <c r="AU989">
        <v>21</v>
      </c>
      <c r="AV989" t="s">
        <v>693</v>
      </c>
      <c r="AW989" t="s">
        <v>161</v>
      </c>
    </row>
    <row r="990" spans="1:50">
      <c r="A990" s="1">
        <f>HYPERLINK("https://lsnyc.legalserver.org/matter/dynamic-profile/view/1875021","18-1875021")</f>
        <v>0</v>
      </c>
      <c r="B990" t="s">
        <v>130</v>
      </c>
      <c r="C990" t="s">
        <v>340</v>
      </c>
      <c r="D990" t="s">
        <v>505</v>
      </c>
      <c r="F990" t="s">
        <v>1548</v>
      </c>
      <c r="G990" t="s">
        <v>5731</v>
      </c>
      <c r="H990" t="s">
        <v>10510</v>
      </c>
      <c r="I990" t="s">
        <v>17449</v>
      </c>
      <c r="J990" t="s">
        <v>18901</v>
      </c>
      <c r="K990">
        <v>11435</v>
      </c>
      <c r="L990" t="s">
        <v>18958</v>
      </c>
      <c r="M990" t="s">
        <v>18958</v>
      </c>
      <c r="N990" t="s">
        <v>19736</v>
      </c>
      <c r="O990" t="s">
        <v>26524</v>
      </c>
      <c r="P990" t="s">
        <v>26560</v>
      </c>
      <c r="R990" t="s">
        <v>26584</v>
      </c>
      <c r="S990" t="s">
        <v>18959</v>
      </c>
      <c r="U990" t="s">
        <v>26604</v>
      </c>
      <c r="V990" t="s">
        <v>26609</v>
      </c>
      <c r="W990" t="s">
        <v>505</v>
      </c>
      <c r="X990">
        <v>1200</v>
      </c>
      <c r="Y990" t="s">
        <v>26653</v>
      </c>
      <c r="Z990" t="s">
        <v>26664</v>
      </c>
      <c r="AB990" t="s">
        <v>27629</v>
      </c>
      <c r="AC990" t="s">
        <v>34803</v>
      </c>
      <c r="AD990" t="s">
        <v>37682</v>
      </c>
      <c r="AE990">
        <v>84</v>
      </c>
      <c r="AF990" t="s">
        <v>45541</v>
      </c>
      <c r="AG990" t="s">
        <v>19330</v>
      </c>
      <c r="AH990">
        <v>32</v>
      </c>
      <c r="AI990">
        <v>2</v>
      </c>
      <c r="AJ990">
        <v>3</v>
      </c>
      <c r="AK990">
        <v>103.33</v>
      </c>
      <c r="AN990" t="s">
        <v>7439</v>
      </c>
      <c r="AO990">
        <v>30400</v>
      </c>
      <c r="AU990">
        <v>22</v>
      </c>
      <c r="AV990" t="s">
        <v>843</v>
      </c>
      <c r="AW990" t="s">
        <v>208</v>
      </c>
      <c r="AX990" t="s">
        <v>46897</v>
      </c>
    </row>
    <row r="991" spans="1:50">
      <c r="A991" s="1">
        <f>HYPERLINK("https://lsnyc.legalserver.org/matter/dynamic-profile/view/1875076","18-1875076")</f>
        <v>0</v>
      </c>
      <c r="B991" t="s">
        <v>112</v>
      </c>
      <c r="C991" t="s">
        <v>340</v>
      </c>
      <c r="D991" t="s">
        <v>505</v>
      </c>
      <c r="F991" t="s">
        <v>1549</v>
      </c>
      <c r="G991" t="s">
        <v>5732</v>
      </c>
      <c r="H991" t="s">
        <v>10511</v>
      </c>
      <c r="I991" t="s">
        <v>17307</v>
      </c>
      <c r="J991" t="s">
        <v>18898</v>
      </c>
      <c r="K991">
        <v>11691</v>
      </c>
      <c r="L991" t="s">
        <v>18958</v>
      </c>
      <c r="M991" t="s">
        <v>18958</v>
      </c>
      <c r="N991" t="s">
        <v>19737</v>
      </c>
      <c r="O991" t="s">
        <v>26524</v>
      </c>
      <c r="P991" t="s">
        <v>26564</v>
      </c>
      <c r="R991" t="s">
        <v>26578</v>
      </c>
      <c r="S991" t="s">
        <v>18959</v>
      </c>
      <c r="U991" t="s">
        <v>26604</v>
      </c>
      <c r="V991" t="s">
        <v>26610</v>
      </c>
      <c r="W991" t="s">
        <v>505</v>
      </c>
      <c r="X991">
        <v>940</v>
      </c>
      <c r="Y991" t="s">
        <v>26653</v>
      </c>
      <c r="Z991" t="s">
        <v>26664</v>
      </c>
      <c r="AB991" t="s">
        <v>27630</v>
      </c>
      <c r="AC991" t="s">
        <v>19330</v>
      </c>
      <c r="AD991" t="s">
        <v>37683</v>
      </c>
      <c r="AE991">
        <v>68</v>
      </c>
      <c r="AF991" t="s">
        <v>45541</v>
      </c>
      <c r="AG991" t="s">
        <v>19330</v>
      </c>
      <c r="AH991">
        <v>6</v>
      </c>
      <c r="AI991">
        <v>1</v>
      </c>
      <c r="AJ991">
        <v>0</v>
      </c>
      <c r="AK991">
        <v>115.32</v>
      </c>
      <c r="AN991" t="s">
        <v>7439</v>
      </c>
      <c r="AO991">
        <v>14000</v>
      </c>
      <c r="AU991">
        <v>2.25</v>
      </c>
      <c r="AV991" t="s">
        <v>458</v>
      </c>
      <c r="AW991" t="s">
        <v>161</v>
      </c>
    </row>
    <row r="992" spans="1:50">
      <c r="A992" s="1">
        <f>HYPERLINK("https://lsnyc.legalserver.org/matter/dynamic-profile/view/1875061","18-1875061")</f>
        <v>0</v>
      </c>
      <c r="B992" t="s">
        <v>112</v>
      </c>
      <c r="C992" t="s">
        <v>340</v>
      </c>
      <c r="D992" t="s">
        <v>505</v>
      </c>
      <c r="F992" t="s">
        <v>1550</v>
      </c>
      <c r="G992" t="s">
        <v>5733</v>
      </c>
      <c r="H992" t="s">
        <v>10512</v>
      </c>
      <c r="I992" t="s">
        <v>17574</v>
      </c>
      <c r="J992" t="s">
        <v>18923</v>
      </c>
      <c r="K992">
        <v>11418</v>
      </c>
      <c r="L992" t="s">
        <v>18958</v>
      </c>
      <c r="M992" t="s">
        <v>18958</v>
      </c>
      <c r="N992" t="s">
        <v>19738</v>
      </c>
      <c r="O992" t="s">
        <v>26523</v>
      </c>
      <c r="P992" t="s">
        <v>26564</v>
      </c>
      <c r="R992" t="s">
        <v>26584</v>
      </c>
      <c r="S992" t="s">
        <v>18959</v>
      </c>
      <c r="U992" t="s">
        <v>26604</v>
      </c>
      <c r="V992" t="s">
        <v>26610</v>
      </c>
      <c r="W992" t="s">
        <v>505</v>
      </c>
      <c r="X992">
        <v>1175</v>
      </c>
      <c r="Y992" t="s">
        <v>26653</v>
      </c>
      <c r="Z992" t="s">
        <v>26664</v>
      </c>
      <c r="AB992" t="s">
        <v>27631</v>
      </c>
      <c r="AC992" t="s">
        <v>19330</v>
      </c>
      <c r="AD992" t="s">
        <v>37684</v>
      </c>
      <c r="AE992">
        <v>35</v>
      </c>
      <c r="AF992" t="s">
        <v>45541</v>
      </c>
      <c r="AG992" t="s">
        <v>19330</v>
      </c>
      <c r="AH992">
        <v>13</v>
      </c>
      <c r="AI992">
        <v>2</v>
      </c>
      <c r="AJ992">
        <v>0</v>
      </c>
      <c r="AK992">
        <v>91.13</v>
      </c>
      <c r="AN992" t="s">
        <v>7439</v>
      </c>
      <c r="AO992">
        <v>15000</v>
      </c>
      <c r="AU992">
        <v>1.35</v>
      </c>
      <c r="AV992" t="s">
        <v>458</v>
      </c>
      <c r="AW992" t="s">
        <v>161</v>
      </c>
    </row>
    <row r="993" spans="1:50">
      <c r="A993" s="1">
        <f>HYPERLINK("https://lsnyc.legalserver.org/matter/dynamic-profile/view/1875012","18-1875012")</f>
        <v>0</v>
      </c>
      <c r="B993" t="s">
        <v>91</v>
      </c>
      <c r="C993" t="s">
        <v>340</v>
      </c>
      <c r="D993" t="s">
        <v>505</v>
      </c>
      <c r="F993" t="s">
        <v>1022</v>
      </c>
      <c r="G993" t="s">
        <v>5147</v>
      </c>
      <c r="H993" t="s">
        <v>10513</v>
      </c>
      <c r="I993" t="s">
        <v>17575</v>
      </c>
      <c r="J993" t="s">
        <v>18920</v>
      </c>
      <c r="K993">
        <v>11370</v>
      </c>
      <c r="L993" t="s">
        <v>18958</v>
      </c>
      <c r="M993" t="s">
        <v>18958</v>
      </c>
      <c r="N993" t="s">
        <v>19739</v>
      </c>
      <c r="O993" t="s">
        <v>26523</v>
      </c>
      <c r="P993" t="s">
        <v>26560</v>
      </c>
      <c r="R993" t="s">
        <v>26584</v>
      </c>
      <c r="S993" t="s">
        <v>18959</v>
      </c>
      <c r="U993" t="s">
        <v>26604</v>
      </c>
      <c r="V993" t="s">
        <v>26610</v>
      </c>
      <c r="W993" t="s">
        <v>505</v>
      </c>
      <c r="X993">
        <v>1000</v>
      </c>
      <c r="Y993" t="s">
        <v>26653</v>
      </c>
      <c r="Z993" t="s">
        <v>26664</v>
      </c>
      <c r="AB993" t="s">
        <v>27632</v>
      </c>
      <c r="AC993" t="s">
        <v>34804</v>
      </c>
      <c r="AD993" t="s">
        <v>37685</v>
      </c>
      <c r="AE993">
        <v>3</v>
      </c>
      <c r="AF993" t="s">
        <v>45547</v>
      </c>
      <c r="AG993" t="s">
        <v>19330</v>
      </c>
      <c r="AH993">
        <v>10</v>
      </c>
      <c r="AI993">
        <v>1</v>
      </c>
      <c r="AJ993">
        <v>0</v>
      </c>
      <c r="AK993">
        <v>94.89</v>
      </c>
      <c r="AN993" t="s">
        <v>7439</v>
      </c>
      <c r="AO993">
        <v>11520</v>
      </c>
      <c r="AU993">
        <v>27.62</v>
      </c>
      <c r="AV993" t="s">
        <v>831</v>
      </c>
      <c r="AW993" t="s">
        <v>208</v>
      </c>
    </row>
    <row r="994" spans="1:50">
      <c r="A994" s="1">
        <f>HYPERLINK("https://lsnyc.legalserver.org/matter/dynamic-profile/view/1875069","18-1875069")</f>
        <v>0</v>
      </c>
      <c r="B994" t="s">
        <v>125</v>
      </c>
      <c r="C994" t="s">
        <v>340</v>
      </c>
      <c r="D994" t="s">
        <v>505</v>
      </c>
      <c r="F994" t="s">
        <v>1244</v>
      </c>
      <c r="G994" t="s">
        <v>5734</v>
      </c>
      <c r="H994" t="s">
        <v>10514</v>
      </c>
      <c r="I994" t="s">
        <v>17313</v>
      </c>
      <c r="J994" t="s">
        <v>18894</v>
      </c>
      <c r="K994">
        <v>11233</v>
      </c>
      <c r="L994" t="s">
        <v>18958</v>
      </c>
      <c r="M994" t="s">
        <v>18958</v>
      </c>
      <c r="O994" t="s">
        <v>26523</v>
      </c>
      <c r="P994" t="s">
        <v>26560</v>
      </c>
      <c r="R994" t="s">
        <v>26578</v>
      </c>
      <c r="S994" t="s">
        <v>18959</v>
      </c>
      <c r="U994" t="s">
        <v>26604</v>
      </c>
      <c r="W994" t="s">
        <v>505</v>
      </c>
      <c r="X994">
        <v>925</v>
      </c>
      <c r="Y994" t="s">
        <v>26652</v>
      </c>
      <c r="Z994" t="s">
        <v>26660</v>
      </c>
      <c r="AB994" t="s">
        <v>27633</v>
      </c>
      <c r="AD994" t="s">
        <v>37686</v>
      </c>
      <c r="AE994">
        <v>101</v>
      </c>
      <c r="AF994" t="s">
        <v>20460</v>
      </c>
      <c r="AG994" t="s">
        <v>19330</v>
      </c>
      <c r="AH994">
        <v>1</v>
      </c>
      <c r="AI994">
        <v>2</v>
      </c>
      <c r="AJ994">
        <v>1</v>
      </c>
      <c r="AK994">
        <v>64.97</v>
      </c>
      <c r="AN994" t="s">
        <v>45581</v>
      </c>
      <c r="AO994">
        <v>13500</v>
      </c>
      <c r="AU994">
        <v>36</v>
      </c>
      <c r="AV994" t="s">
        <v>833</v>
      </c>
      <c r="AW994" t="s">
        <v>279</v>
      </c>
    </row>
    <row r="995" spans="1:50">
      <c r="A995" s="1">
        <f>HYPERLINK("https://lsnyc.legalserver.org/matter/dynamic-profile/view/1875151","18-1875151")</f>
        <v>0</v>
      </c>
      <c r="B995" t="s">
        <v>91</v>
      </c>
      <c r="C995" t="s">
        <v>341</v>
      </c>
      <c r="D995" t="s">
        <v>515</v>
      </c>
      <c r="E995" t="s">
        <v>692</v>
      </c>
      <c r="F995" t="s">
        <v>1551</v>
      </c>
      <c r="G995" t="s">
        <v>5308</v>
      </c>
      <c r="H995" t="s">
        <v>10515</v>
      </c>
      <c r="I995" t="s">
        <v>17374</v>
      </c>
      <c r="J995" t="s">
        <v>18901</v>
      </c>
      <c r="K995">
        <v>11435</v>
      </c>
      <c r="L995" t="s">
        <v>18958</v>
      </c>
      <c r="M995" t="s">
        <v>18958</v>
      </c>
      <c r="N995" t="s">
        <v>19740</v>
      </c>
      <c r="O995" t="s">
        <v>26524</v>
      </c>
      <c r="P995" t="s">
        <v>26564</v>
      </c>
      <c r="Q995" t="s">
        <v>26570</v>
      </c>
      <c r="R995" t="s">
        <v>26584</v>
      </c>
      <c r="S995" t="s">
        <v>18959</v>
      </c>
      <c r="U995" t="s">
        <v>26604</v>
      </c>
      <c r="V995" t="s">
        <v>26610</v>
      </c>
      <c r="W995" t="s">
        <v>505</v>
      </c>
      <c r="X995">
        <v>1000</v>
      </c>
      <c r="Y995" t="s">
        <v>26653</v>
      </c>
      <c r="Z995" t="s">
        <v>26664</v>
      </c>
      <c r="AA995" t="s">
        <v>26683</v>
      </c>
      <c r="AB995" t="s">
        <v>27634</v>
      </c>
      <c r="AD995" t="s">
        <v>37687</v>
      </c>
      <c r="AE995">
        <v>2</v>
      </c>
      <c r="AF995" t="s">
        <v>45547</v>
      </c>
      <c r="AG995" t="s">
        <v>19330</v>
      </c>
      <c r="AH995">
        <v>3</v>
      </c>
      <c r="AI995">
        <v>2</v>
      </c>
      <c r="AJ995">
        <v>1</v>
      </c>
      <c r="AK995">
        <v>96.25</v>
      </c>
      <c r="AN995" t="s">
        <v>7439</v>
      </c>
      <c r="AO995">
        <v>20000</v>
      </c>
      <c r="AU995">
        <v>1.2</v>
      </c>
      <c r="AV995" t="s">
        <v>692</v>
      </c>
      <c r="AW995" t="s">
        <v>161</v>
      </c>
    </row>
    <row r="996" spans="1:50">
      <c r="A996" s="1">
        <f>HYPERLINK("https://lsnyc.legalserver.org/matter/dynamic-profile/view/1875189","18-1875189")</f>
        <v>0</v>
      </c>
      <c r="B996" t="s">
        <v>205</v>
      </c>
      <c r="C996" t="s">
        <v>341</v>
      </c>
      <c r="D996" t="s">
        <v>515</v>
      </c>
      <c r="E996" t="s">
        <v>494</v>
      </c>
      <c r="F996" t="s">
        <v>1552</v>
      </c>
      <c r="G996" t="s">
        <v>5735</v>
      </c>
      <c r="H996" t="s">
        <v>10516</v>
      </c>
      <c r="I996" t="s">
        <v>17284</v>
      </c>
      <c r="J996" t="s">
        <v>18894</v>
      </c>
      <c r="K996">
        <v>11213</v>
      </c>
      <c r="L996" t="s">
        <v>18958</v>
      </c>
      <c r="M996" t="s">
        <v>18958</v>
      </c>
      <c r="O996" t="s">
        <v>26531</v>
      </c>
      <c r="P996" t="s">
        <v>26565</v>
      </c>
      <c r="Q996" t="s">
        <v>26571</v>
      </c>
      <c r="R996" t="s">
        <v>26578</v>
      </c>
      <c r="S996" t="s">
        <v>18958</v>
      </c>
      <c r="U996" t="s">
        <v>26604</v>
      </c>
      <c r="W996" t="s">
        <v>505</v>
      </c>
      <c r="X996">
        <v>1507.16</v>
      </c>
      <c r="Y996" t="s">
        <v>26652</v>
      </c>
      <c r="Z996" t="s">
        <v>26663</v>
      </c>
      <c r="AA996" t="s">
        <v>26685</v>
      </c>
      <c r="AB996" t="s">
        <v>27635</v>
      </c>
      <c r="AC996" t="s">
        <v>34805</v>
      </c>
      <c r="AD996" t="s">
        <v>37688</v>
      </c>
      <c r="AE996">
        <v>19</v>
      </c>
      <c r="AF996" t="s">
        <v>45541</v>
      </c>
      <c r="AG996" t="s">
        <v>45556</v>
      </c>
      <c r="AH996">
        <v>22</v>
      </c>
      <c r="AI996">
        <v>4</v>
      </c>
      <c r="AJ996">
        <v>0</v>
      </c>
      <c r="AK996">
        <v>127.13</v>
      </c>
      <c r="AM996" t="s">
        <v>45580</v>
      </c>
      <c r="AN996" t="s">
        <v>7439</v>
      </c>
      <c r="AO996">
        <v>31909.8</v>
      </c>
      <c r="AP996" t="s">
        <v>45624</v>
      </c>
      <c r="AU996">
        <v>141.4</v>
      </c>
      <c r="AV996" t="s">
        <v>494</v>
      </c>
      <c r="AW996" t="s">
        <v>279</v>
      </c>
    </row>
    <row r="997" spans="1:50">
      <c r="A997" s="1">
        <f>HYPERLINK("https://lsnyc.legalserver.org/matter/dynamic-profile/view/1875519","18-1875519")</f>
        <v>0</v>
      </c>
      <c r="B997" t="s">
        <v>110</v>
      </c>
      <c r="C997" t="s">
        <v>341</v>
      </c>
      <c r="D997" t="s">
        <v>516</v>
      </c>
      <c r="E997" t="s">
        <v>494</v>
      </c>
      <c r="F997" t="s">
        <v>1417</v>
      </c>
      <c r="G997" t="s">
        <v>5736</v>
      </c>
      <c r="H997" t="s">
        <v>10517</v>
      </c>
      <c r="I997" t="s">
        <v>17290</v>
      </c>
      <c r="J997" t="s">
        <v>18907</v>
      </c>
      <c r="K997">
        <v>11377</v>
      </c>
      <c r="L997" t="s">
        <v>18958</v>
      </c>
      <c r="M997" t="s">
        <v>18958</v>
      </c>
      <c r="N997" t="s">
        <v>19741</v>
      </c>
      <c r="O997" t="s">
        <v>26523</v>
      </c>
      <c r="P997" t="s">
        <v>26560</v>
      </c>
      <c r="Q997" t="s">
        <v>26568</v>
      </c>
      <c r="R997" t="s">
        <v>26584</v>
      </c>
      <c r="S997" t="s">
        <v>18959</v>
      </c>
      <c r="U997" t="s">
        <v>26604</v>
      </c>
      <c r="V997" t="s">
        <v>26610</v>
      </c>
      <c r="W997" t="s">
        <v>505</v>
      </c>
      <c r="X997">
        <v>1604</v>
      </c>
      <c r="Y997" t="s">
        <v>26653</v>
      </c>
      <c r="Z997" t="s">
        <v>26664</v>
      </c>
      <c r="AA997" t="s">
        <v>26678</v>
      </c>
      <c r="AB997" t="s">
        <v>27636</v>
      </c>
      <c r="AC997" t="s">
        <v>34806</v>
      </c>
      <c r="AD997" t="s">
        <v>37689</v>
      </c>
      <c r="AE997">
        <v>31</v>
      </c>
      <c r="AF997" t="s">
        <v>45541</v>
      </c>
      <c r="AG997" t="s">
        <v>19330</v>
      </c>
      <c r="AH997">
        <v>8</v>
      </c>
      <c r="AI997">
        <v>1</v>
      </c>
      <c r="AJ997">
        <v>0</v>
      </c>
      <c r="AK997">
        <v>153.21</v>
      </c>
      <c r="AN997" t="s">
        <v>7439</v>
      </c>
      <c r="AO997">
        <v>18600</v>
      </c>
      <c r="AR997" t="s">
        <v>46381</v>
      </c>
      <c r="AS997" t="s">
        <v>46499</v>
      </c>
      <c r="AT997" t="s">
        <v>46555</v>
      </c>
      <c r="AU997">
        <v>4</v>
      </c>
      <c r="AV997" t="s">
        <v>545</v>
      </c>
      <c r="AW997" t="s">
        <v>161</v>
      </c>
    </row>
    <row r="998" spans="1:50">
      <c r="A998" s="1">
        <f>HYPERLINK("https://lsnyc.legalserver.org/matter/dynamic-profile/view/1876323","18-1876323")</f>
        <v>0</v>
      </c>
      <c r="B998" t="s">
        <v>126</v>
      </c>
      <c r="C998" t="s">
        <v>340</v>
      </c>
      <c r="D998" t="s">
        <v>493</v>
      </c>
      <c r="F998" t="s">
        <v>1553</v>
      </c>
      <c r="G998" t="s">
        <v>5737</v>
      </c>
      <c r="H998" t="s">
        <v>10518</v>
      </c>
      <c r="I998" t="s">
        <v>17520</v>
      </c>
      <c r="J998" t="s">
        <v>18894</v>
      </c>
      <c r="K998">
        <v>11212</v>
      </c>
      <c r="L998" t="s">
        <v>18958</v>
      </c>
      <c r="M998" t="s">
        <v>18960</v>
      </c>
      <c r="N998" t="s">
        <v>19742</v>
      </c>
      <c r="O998" t="s">
        <v>26523</v>
      </c>
      <c r="P998" t="s">
        <v>26560</v>
      </c>
      <c r="R998" t="s">
        <v>26578</v>
      </c>
      <c r="S998" t="s">
        <v>18959</v>
      </c>
      <c r="U998" t="s">
        <v>26604</v>
      </c>
      <c r="V998" t="s">
        <v>26610</v>
      </c>
      <c r="W998" t="s">
        <v>505</v>
      </c>
      <c r="X998">
        <v>1268.75</v>
      </c>
      <c r="Y998" t="s">
        <v>26652</v>
      </c>
      <c r="AB998" t="s">
        <v>27139</v>
      </c>
      <c r="AD998" t="s">
        <v>37690</v>
      </c>
      <c r="AE998">
        <v>0</v>
      </c>
      <c r="AF998" t="s">
        <v>45541</v>
      </c>
      <c r="AH998">
        <v>6</v>
      </c>
      <c r="AI998">
        <v>2</v>
      </c>
      <c r="AJ998">
        <v>0</v>
      </c>
      <c r="AK998">
        <v>139.73</v>
      </c>
      <c r="AN998" t="s">
        <v>7439</v>
      </c>
      <c r="AO998">
        <v>23000</v>
      </c>
      <c r="AU998">
        <v>19.3</v>
      </c>
      <c r="AV998" t="s">
        <v>800</v>
      </c>
      <c r="AW998" t="s">
        <v>279</v>
      </c>
      <c r="AX998" t="s">
        <v>46897</v>
      </c>
    </row>
    <row r="999" spans="1:50">
      <c r="A999" s="1">
        <f>HYPERLINK("https://lsnyc.legalserver.org/matter/dynamic-profile/view/1874735","18-1874735")</f>
        <v>0</v>
      </c>
      <c r="B999" t="s">
        <v>222</v>
      </c>
      <c r="C999" t="s">
        <v>341</v>
      </c>
      <c r="D999" t="s">
        <v>517</v>
      </c>
      <c r="E999" t="s">
        <v>517</v>
      </c>
      <c r="F999" t="s">
        <v>1554</v>
      </c>
      <c r="G999" t="s">
        <v>5461</v>
      </c>
      <c r="H999" t="s">
        <v>10519</v>
      </c>
      <c r="I999" t="s">
        <v>17576</v>
      </c>
      <c r="J999" t="s">
        <v>18894</v>
      </c>
      <c r="K999">
        <v>11216</v>
      </c>
      <c r="L999" t="s">
        <v>18958</v>
      </c>
      <c r="M999" t="s">
        <v>18958</v>
      </c>
      <c r="N999" t="s">
        <v>19743</v>
      </c>
      <c r="O999" t="s">
        <v>26524</v>
      </c>
      <c r="P999" t="s">
        <v>26564</v>
      </c>
      <c r="Q999" t="s">
        <v>26570</v>
      </c>
      <c r="R999" t="s">
        <v>26588</v>
      </c>
      <c r="S999" t="s">
        <v>18959</v>
      </c>
      <c r="U999" t="s">
        <v>26604</v>
      </c>
      <c r="V999" t="s">
        <v>26612</v>
      </c>
      <c r="W999" t="s">
        <v>505</v>
      </c>
      <c r="X999">
        <v>2000</v>
      </c>
      <c r="Y999" t="s">
        <v>26652</v>
      </c>
      <c r="Z999" t="s">
        <v>26663</v>
      </c>
      <c r="AA999" t="s">
        <v>26683</v>
      </c>
      <c r="AB999" t="s">
        <v>27637</v>
      </c>
      <c r="AC999" t="s">
        <v>25800</v>
      </c>
      <c r="AD999" t="s">
        <v>37691</v>
      </c>
      <c r="AE999">
        <v>4</v>
      </c>
      <c r="AF999" t="s">
        <v>45547</v>
      </c>
      <c r="AG999" t="s">
        <v>45558</v>
      </c>
      <c r="AH999">
        <v>26</v>
      </c>
      <c r="AI999">
        <v>3</v>
      </c>
      <c r="AJ999">
        <v>2</v>
      </c>
      <c r="AK999">
        <v>36.76</v>
      </c>
      <c r="AN999" t="s">
        <v>26530</v>
      </c>
      <c r="AO999">
        <v>10816</v>
      </c>
      <c r="AU999">
        <v>5</v>
      </c>
      <c r="AV999" t="s">
        <v>505</v>
      </c>
      <c r="AW999" t="s">
        <v>279</v>
      </c>
      <c r="AX999" t="s">
        <v>46897</v>
      </c>
    </row>
    <row r="1000" spans="1:50">
      <c r="A1000" s="1">
        <f>HYPERLINK("https://lsnyc.legalserver.org/matter/dynamic-profile/view/1885029","18-1885029")</f>
        <v>0</v>
      </c>
      <c r="B1000" t="s">
        <v>88</v>
      </c>
      <c r="C1000" t="s">
        <v>341</v>
      </c>
      <c r="D1000" t="s">
        <v>518</v>
      </c>
      <c r="E1000" t="s">
        <v>782</v>
      </c>
      <c r="F1000" t="s">
        <v>1082</v>
      </c>
      <c r="G1000" t="s">
        <v>5657</v>
      </c>
      <c r="H1000" t="s">
        <v>10516</v>
      </c>
      <c r="I1000" t="s">
        <v>17283</v>
      </c>
      <c r="J1000" t="s">
        <v>18894</v>
      </c>
      <c r="K1000">
        <v>11213</v>
      </c>
      <c r="L1000" t="s">
        <v>18958</v>
      </c>
      <c r="M1000" t="s">
        <v>18958</v>
      </c>
      <c r="O1000" t="s">
        <v>26531</v>
      </c>
      <c r="P1000" t="s">
        <v>26565</v>
      </c>
      <c r="Q1000" t="s">
        <v>26571</v>
      </c>
      <c r="R1000" t="s">
        <v>26578</v>
      </c>
      <c r="S1000" t="s">
        <v>18958</v>
      </c>
      <c r="U1000" t="s">
        <v>26604</v>
      </c>
      <c r="W1000" t="s">
        <v>505</v>
      </c>
      <c r="X1000">
        <v>412</v>
      </c>
      <c r="Y1000" t="s">
        <v>26652</v>
      </c>
      <c r="Z1000" t="s">
        <v>26665</v>
      </c>
      <c r="AA1000" t="s">
        <v>26685</v>
      </c>
      <c r="AB1000" t="s">
        <v>27638</v>
      </c>
      <c r="AD1000" t="s">
        <v>37692</v>
      </c>
      <c r="AE1000">
        <v>19</v>
      </c>
      <c r="AF1000" t="s">
        <v>45541</v>
      </c>
      <c r="AH1000">
        <v>12</v>
      </c>
      <c r="AI1000">
        <v>3</v>
      </c>
      <c r="AJ1000">
        <v>0</v>
      </c>
      <c r="AK1000">
        <v>50.05</v>
      </c>
      <c r="AN1000" t="s">
        <v>7439</v>
      </c>
      <c r="AO1000">
        <v>10400</v>
      </c>
      <c r="AU1000">
        <v>0.08</v>
      </c>
      <c r="AV1000" t="s">
        <v>573</v>
      </c>
      <c r="AW1000" t="s">
        <v>286</v>
      </c>
    </row>
    <row r="1001" spans="1:50">
      <c r="A1001" s="1">
        <f>HYPERLINK("https://lsnyc.legalserver.org/matter/dynamic-profile/view/1885024","18-1885024")</f>
        <v>0</v>
      </c>
      <c r="B1001" t="s">
        <v>88</v>
      </c>
      <c r="C1001" t="s">
        <v>340</v>
      </c>
      <c r="D1001" t="s">
        <v>518</v>
      </c>
      <c r="F1001" t="s">
        <v>1082</v>
      </c>
      <c r="G1001" t="s">
        <v>5657</v>
      </c>
      <c r="H1001" t="s">
        <v>10516</v>
      </c>
      <c r="I1001" t="s">
        <v>17283</v>
      </c>
      <c r="J1001" t="s">
        <v>18894</v>
      </c>
      <c r="K1001">
        <v>11213</v>
      </c>
      <c r="L1001" t="s">
        <v>18958</v>
      </c>
      <c r="M1001" t="s">
        <v>18958</v>
      </c>
      <c r="N1001" t="s">
        <v>19744</v>
      </c>
      <c r="O1001" t="s">
        <v>26526</v>
      </c>
      <c r="P1001" t="s">
        <v>26560</v>
      </c>
      <c r="R1001" t="s">
        <v>26578</v>
      </c>
      <c r="S1001" t="s">
        <v>18958</v>
      </c>
      <c r="U1001" t="s">
        <v>26604</v>
      </c>
      <c r="W1001" t="s">
        <v>505</v>
      </c>
      <c r="X1001">
        <v>412</v>
      </c>
      <c r="Y1001" t="s">
        <v>26652</v>
      </c>
      <c r="Z1001" t="s">
        <v>26665</v>
      </c>
      <c r="AB1001" t="s">
        <v>27638</v>
      </c>
      <c r="AD1001" t="s">
        <v>37692</v>
      </c>
      <c r="AE1001">
        <v>19</v>
      </c>
      <c r="AF1001" t="s">
        <v>45541</v>
      </c>
      <c r="AH1001">
        <v>12</v>
      </c>
      <c r="AI1001">
        <v>3</v>
      </c>
      <c r="AJ1001">
        <v>0</v>
      </c>
      <c r="AK1001">
        <v>50.05</v>
      </c>
      <c r="AN1001" t="s">
        <v>7439</v>
      </c>
      <c r="AO1001">
        <v>10400</v>
      </c>
      <c r="AU1001">
        <v>0</v>
      </c>
      <c r="AW1001" t="s">
        <v>286</v>
      </c>
    </row>
    <row r="1002" spans="1:50">
      <c r="A1002" s="1">
        <f>HYPERLINK("https://lsnyc.legalserver.org/matter/dynamic-profile/view/1885020","18-1885020")</f>
        <v>0</v>
      </c>
      <c r="B1002" t="s">
        <v>88</v>
      </c>
      <c r="C1002" t="s">
        <v>340</v>
      </c>
      <c r="D1002" t="s">
        <v>518</v>
      </c>
      <c r="F1002" t="s">
        <v>1552</v>
      </c>
      <c r="G1002" t="s">
        <v>5735</v>
      </c>
      <c r="H1002" t="s">
        <v>10516</v>
      </c>
      <c r="I1002" t="s">
        <v>17284</v>
      </c>
      <c r="J1002" t="s">
        <v>18894</v>
      </c>
      <c r="K1002">
        <v>11213</v>
      </c>
      <c r="L1002" t="s">
        <v>18958</v>
      </c>
      <c r="M1002" t="s">
        <v>18958</v>
      </c>
      <c r="N1002" t="s">
        <v>19744</v>
      </c>
      <c r="O1002" t="s">
        <v>26526</v>
      </c>
      <c r="P1002" t="s">
        <v>26560</v>
      </c>
      <c r="R1002" t="s">
        <v>26578</v>
      </c>
      <c r="S1002" t="s">
        <v>18959</v>
      </c>
      <c r="U1002" t="s">
        <v>26604</v>
      </c>
      <c r="V1002" t="s">
        <v>26610</v>
      </c>
      <c r="W1002" t="s">
        <v>505</v>
      </c>
      <c r="X1002">
        <v>1507.16</v>
      </c>
      <c r="Y1002" t="s">
        <v>26652</v>
      </c>
      <c r="Z1002" t="s">
        <v>26665</v>
      </c>
      <c r="AB1002" t="s">
        <v>27639</v>
      </c>
      <c r="AC1002" t="s">
        <v>34807</v>
      </c>
      <c r="AD1002" t="s">
        <v>37688</v>
      </c>
      <c r="AE1002">
        <v>19</v>
      </c>
      <c r="AF1002" t="s">
        <v>45541</v>
      </c>
      <c r="AG1002" t="s">
        <v>45556</v>
      </c>
      <c r="AH1002">
        <v>22</v>
      </c>
      <c r="AI1002">
        <v>4</v>
      </c>
      <c r="AJ1002">
        <v>0</v>
      </c>
      <c r="AK1002">
        <v>190.88</v>
      </c>
      <c r="AN1002" t="s">
        <v>7439</v>
      </c>
      <c r="AO1002">
        <v>47909.8</v>
      </c>
      <c r="AU1002">
        <v>82.05</v>
      </c>
      <c r="AV1002" t="s">
        <v>811</v>
      </c>
      <c r="AW1002" t="s">
        <v>279</v>
      </c>
    </row>
    <row r="1003" spans="1:50">
      <c r="A1003" s="1">
        <f>HYPERLINK("https://lsnyc.legalserver.org/matter/dynamic-profile/view/1885048","18-1885048")</f>
        <v>0</v>
      </c>
      <c r="B1003" t="s">
        <v>88</v>
      </c>
      <c r="C1003" t="s">
        <v>340</v>
      </c>
      <c r="D1003" t="s">
        <v>519</v>
      </c>
      <c r="F1003" t="s">
        <v>1082</v>
      </c>
      <c r="G1003" t="s">
        <v>5657</v>
      </c>
      <c r="H1003" t="s">
        <v>10516</v>
      </c>
      <c r="I1003" t="s">
        <v>17283</v>
      </c>
      <c r="J1003" t="s">
        <v>18894</v>
      </c>
      <c r="K1003">
        <v>11213</v>
      </c>
      <c r="L1003" t="s">
        <v>18958</v>
      </c>
      <c r="M1003" t="s">
        <v>18958</v>
      </c>
      <c r="O1003" t="s">
        <v>26534</v>
      </c>
      <c r="P1003" t="s">
        <v>26561</v>
      </c>
      <c r="R1003" t="s">
        <v>26578</v>
      </c>
      <c r="S1003" t="s">
        <v>18958</v>
      </c>
      <c r="U1003" t="s">
        <v>26604</v>
      </c>
      <c r="W1003" t="s">
        <v>505</v>
      </c>
      <c r="X1003">
        <v>412</v>
      </c>
      <c r="Y1003" t="s">
        <v>26652</v>
      </c>
      <c r="Z1003" t="s">
        <v>26665</v>
      </c>
      <c r="AB1003" t="s">
        <v>27638</v>
      </c>
      <c r="AD1003" t="s">
        <v>37692</v>
      </c>
      <c r="AE1003">
        <v>19</v>
      </c>
      <c r="AF1003" t="s">
        <v>45541</v>
      </c>
      <c r="AH1003">
        <v>12</v>
      </c>
      <c r="AI1003">
        <v>3</v>
      </c>
      <c r="AJ1003">
        <v>0</v>
      </c>
      <c r="AK1003">
        <v>50.05</v>
      </c>
      <c r="AN1003" t="s">
        <v>7439</v>
      </c>
      <c r="AO1003">
        <v>10400</v>
      </c>
      <c r="AU1003">
        <v>0</v>
      </c>
      <c r="AW1003" t="s">
        <v>286</v>
      </c>
    </row>
    <row r="1004" spans="1:50">
      <c r="A1004" s="1">
        <f>HYPERLINK("https://lsnyc.legalserver.org/matter/dynamic-profile/view/1841410","17-1841410")</f>
        <v>0</v>
      </c>
      <c r="B1004" t="s">
        <v>110</v>
      </c>
      <c r="C1004" t="s">
        <v>340</v>
      </c>
      <c r="D1004" t="s">
        <v>520</v>
      </c>
      <c r="F1004" t="s">
        <v>1555</v>
      </c>
      <c r="G1004" t="s">
        <v>5189</v>
      </c>
      <c r="H1004" t="s">
        <v>10520</v>
      </c>
      <c r="I1004" t="s">
        <v>17293</v>
      </c>
      <c r="J1004" t="s">
        <v>18901</v>
      </c>
      <c r="K1004">
        <v>11433</v>
      </c>
      <c r="L1004" t="s">
        <v>18958</v>
      </c>
      <c r="M1004" t="s">
        <v>18958</v>
      </c>
      <c r="N1004" t="s">
        <v>19745</v>
      </c>
      <c r="O1004" t="s">
        <v>26523</v>
      </c>
      <c r="P1004" t="s">
        <v>26560</v>
      </c>
      <c r="R1004" t="s">
        <v>26585</v>
      </c>
      <c r="S1004" t="s">
        <v>18959</v>
      </c>
      <c r="U1004" t="s">
        <v>26606</v>
      </c>
      <c r="V1004" t="s">
        <v>26612</v>
      </c>
      <c r="W1004" t="s">
        <v>515</v>
      </c>
      <c r="X1004">
        <v>1075</v>
      </c>
      <c r="Y1004" t="s">
        <v>26653</v>
      </c>
      <c r="Z1004" t="s">
        <v>26656</v>
      </c>
      <c r="AB1004" t="s">
        <v>27640</v>
      </c>
      <c r="AC1004" t="s">
        <v>34808</v>
      </c>
      <c r="AD1004" t="s">
        <v>37693</v>
      </c>
      <c r="AE1004">
        <v>200</v>
      </c>
      <c r="AF1004" t="s">
        <v>45549</v>
      </c>
      <c r="AG1004" t="s">
        <v>19330</v>
      </c>
      <c r="AH1004">
        <v>8</v>
      </c>
      <c r="AI1004">
        <v>2</v>
      </c>
      <c r="AJ1004">
        <v>0</v>
      </c>
      <c r="AK1004">
        <v>147.78</v>
      </c>
      <c r="AN1004" t="s">
        <v>7439</v>
      </c>
      <c r="AO1004">
        <v>24000</v>
      </c>
      <c r="AR1004" t="s">
        <v>46379</v>
      </c>
      <c r="AS1004" t="s">
        <v>46499</v>
      </c>
      <c r="AT1004" t="s">
        <v>46667</v>
      </c>
      <c r="AU1004">
        <v>8.699999999999999</v>
      </c>
      <c r="AV1004" t="s">
        <v>586</v>
      </c>
      <c r="AW1004" t="s">
        <v>159</v>
      </c>
    </row>
    <row r="1005" spans="1:50">
      <c r="A1005" s="1">
        <f>HYPERLINK("https://lsnyc.legalserver.org/matter/dynamic-profile/view/1872674","18-1872674")</f>
        <v>0</v>
      </c>
      <c r="B1005" t="s">
        <v>187</v>
      </c>
      <c r="C1005" t="s">
        <v>341</v>
      </c>
      <c r="D1005" t="s">
        <v>409</v>
      </c>
      <c r="E1005" t="s">
        <v>806</v>
      </c>
      <c r="F1005" t="s">
        <v>1300</v>
      </c>
      <c r="G1005" t="s">
        <v>5738</v>
      </c>
      <c r="H1005" t="s">
        <v>10521</v>
      </c>
      <c r="I1005" t="s">
        <v>17577</v>
      </c>
      <c r="J1005" t="s">
        <v>18892</v>
      </c>
      <c r="K1005">
        <v>10466</v>
      </c>
      <c r="L1005" t="s">
        <v>18958</v>
      </c>
      <c r="M1005" t="s">
        <v>18958</v>
      </c>
      <c r="N1005" t="s">
        <v>19746</v>
      </c>
      <c r="O1005" t="s">
        <v>26523</v>
      </c>
      <c r="P1005" t="s">
        <v>26560</v>
      </c>
      <c r="Q1005" t="s">
        <v>26573</v>
      </c>
      <c r="R1005" t="s">
        <v>26577</v>
      </c>
      <c r="S1005" t="s">
        <v>18959</v>
      </c>
      <c r="U1005" t="s">
        <v>26604</v>
      </c>
      <c r="V1005" t="s">
        <v>26609</v>
      </c>
      <c r="W1005" t="s">
        <v>515</v>
      </c>
      <c r="X1005">
        <v>1175</v>
      </c>
      <c r="Y1005" t="s">
        <v>26650</v>
      </c>
      <c r="Z1005" t="s">
        <v>26656</v>
      </c>
      <c r="AA1005" t="s">
        <v>26680</v>
      </c>
      <c r="AB1005" t="s">
        <v>27641</v>
      </c>
      <c r="AD1005" t="s">
        <v>37694</v>
      </c>
      <c r="AE1005">
        <v>35</v>
      </c>
      <c r="AF1005" t="s">
        <v>45541</v>
      </c>
      <c r="AG1005" t="s">
        <v>19330</v>
      </c>
      <c r="AH1005">
        <v>4</v>
      </c>
      <c r="AI1005">
        <v>3</v>
      </c>
      <c r="AJ1005">
        <v>1</v>
      </c>
      <c r="AK1005">
        <v>179.28</v>
      </c>
      <c r="AN1005" t="s">
        <v>7439</v>
      </c>
      <c r="AO1005">
        <v>45000</v>
      </c>
      <c r="AP1005" t="s">
        <v>45654</v>
      </c>
      <c r="AQ1005" t="s">
        <v>46362</v>
      </c>
      <c r="AR1005" t="s">
        <v>46379</v>
      </c>
      <c r="AS1005" t="s">
        <v>46499</v>
      </c>
      <c r="AT1005" t="s">
        <v>46668</v>
      </c>
      <c r="AU1005">
        <v>20.2</v>
      </c>
      <c r="AV1005" t="s">
        <v>810</v>
      </c>
      <c r="AW1005" t="s">
        <v>336</v>
      </c>
    </row>
    <row r="1006" spans="1:50">
      <c r="A1006" s="1">
        <f>HYPERLINK("https://lsnyc.legalserver.org/matter/dynamic-profile/view/1875207","18-1875207")</f>
        <v>0</v>
      </c>
      <c r="B1006" t="s">
        <v>164</v>
      </c>
      <c r="C1006" t="s">
        <v>341</v>
      </c>
      <c r="D1006" t="s">
        <v>515</v>
      </c>
      <c r="E1006" t="s">
        <v>576</v>
      </c>
      <c r="F1006" t="s">
        <v>1104</v>
      </c>
      <c r="G1006" t="s">
        <v>5739</v>
      </c>
      <c r="H1006" t="s">
        <v>10522</v>
      </c>
      <c r="I1006">
        <v>2</v>
      </c>
      <c r="J1006" t="s">
        <v>18934</v>
      </c>
      <c r="K1006">
        <v>11413</v>
      </c>
      <c r="L1006" t="s">
        <v>18958</v>
      </c>
      <c r="M1006" t="s">
        <v>18958</v>
      </c>
      <c r="N1006" t="s">
        <v>19747</v>
      </c>
      <c r="O1006" t="s">
        <v>26524</v>
      </c>
      <c r="P1006" t="s">
        <v>26564</v>
      </c>
      <c r="Q1006" t="s">
        <v>26570</v>
      </c>
      <c r="R1006" t="s">
        <v>26578</v>
      </c>
      <c r="S1006" t="s">
        <v>18959</v>
      </c>
      <c r="U1006" t="s">
        <v>26604</v>
      </c>
      <c r="V1006" t="s">
        <v>26610</v>
      </c>
      <c r="W1006" t="s">
        <v>515</v>
      </c>
      <c r="X1006">
        <v>1600</v>
      </c>
      <c r="Y1006" t="s">
        <v>26653</v>
      </c>
      <c r="Z1006" t="s">
        <v>26664</v>
      </c>
      <c r="AA1006" t="s">
        <v>26683</v>
      </c>
      <c r="AB1006" t="s">
        <v>27642</v>
      </c>
      <c r="AD1006" t="s">
        <v>37695</v>
      </c>
      <c r="AE1006">
        <v>2</v>
      </c>
      <c r="AF1006" t="s">
        <v>45547</v>
      </c>
      <c r="AG1006" t="s">
        <v>19330</v>
      </c>
      <c r="AH1006">
        <v>4</v>
      </c>
      <c r="AI1006">
        <v>1</v>
      </c>
      <c r="AJ1006">
        <v>1</v>
      </c>
      <c r="AK1006">
        <v>121.61</v>
      </c>
      <c r="AN1006" t="s">
        <v>7439</v>
      </c>
      <c r="AO1006">
        <v>20017.4</v>
      </c>
      <c r="AU1006">
        <v>1.1</v>
      </c>
      <c r="AV1006" t="s">
        <v>576</v>
      </c>
      <c r="AW1006" t="s">
        <v>208</v>
      </c>
    </row>
    <row r="1007" spans="1:50">
      <c r="A1007" s="1">
        <f>HYPERLINK("https://lsnyc.legalserver.org/matter/dynamic-profile/view/1875216","18-1875216")</f>
        <v>0</v>
      </c>
      <c r="B1007" t="s">
        <v>149</v>
      </c>
      <c r="C1007" t="s">
        <v>341</v>
      </c>
      <c r="D1007" t="s">
        <v>515</v>
      </c>
      <c r="E1007" t="s">
        <v>530</v>
      </c>
      <c r="F1007" t="s">
        <v>1036</v>
      </c>
      <c r="G1007" t="s">
        <v>5740</v>
      </c>
      <c r="H1007" t="s">
        <v>10523</v>
      </c>
      <c r="J1007" t="s">
        <v>18892</v>
      </c>
      <c r="K1007">
        <v>10457</v>
      </c>
      <c r="L1007" t="s">
        <v>18958</v>
      </c>
      <c r="M1007" t="s">
        <v>18958</v>
      </c>
      <c r="N1007" t="s">
        <v>19748</v>
      </c>
      <c r="O1007" t="s">
        <v>26523</v>
      </c>
      <c r="P1007" t="s">
        <v>26560</v>
      </c>
      <c r="Q1007" t="s">
        <v>26568</v>
      </c>
      <c r="R1007" t="s">
        <v>26578</v>
      </c>
      <c r="S1007" t="s">
        <v>18959</v>
      </c>
      <c r="U1007" t="s">
        <v>26604</v>
      </c>
      <c r="V1007" t="s">
        <v>26614</v>
      </c>
      <c r="W1007" t="s">
        <v>515</v>
      </c>
      <c r="X1007">
        <v>2294</v>
      </c>
      <c r="Y1007" t="s">
        <v>26650</v>
      </c>
      <c r="Z1007" t="s">
        <v>26668</v>
      </c>
      <c r="AA1007" t="s">
        <v>26678</v>
      </c>
      <c r="AB1007" t="s">
        <v>27643</v>
      </c>
      <c r="AD1007" t="s">
        <v>37696</v>
      </c>
      <c r="AE1007">
        <v>186</v>
      </c>
      <c r="AF1007" t="s">
        <v>45541</v>
      </c>
      <c r="AG1007" t="s">
        <v>45556</v>
      </c>
      <c r="AH1007">
        <v>27</v>
      </c>
      <c r="AI1007">
        <v>3</v>
      </c>
      <c r="AJ1007">
        <v>0</v>
      </c>
      <c r="AK1007">
        <v>103.95</v>
      </c>
      <c r="AN1007" t="s">
        <v>7439</v>
      </c>
      <c r="AO1007">
        <v>21600</v>
      </c>
      <c r="AQ1007" t="s">
        <v>46365</v>
      </c>
      <c r="AR1007" t="s">
        <v>46379</v>
      </c>
      <c r="AS1007" t="s">
        <v>46499</v>
      </c>
      <c r="AT1007" t="s">
        <v>46659</v>
      </c>
      <c r="AU1007">
        <v>15.65</v>
      </c>
      <c r="AV1007" t="s">
        <v>512</v>
      </c>
      <c r="AW1007" t="s">
        <v>46854</v>
      </c>
    </row>
    <row r="1008" spans="1:50">
      <c r="A1008" s="1">
        <f>HYPERLINK("https://lsnyc.legalserver.org/matter/dynamic-profile/view/1875214","18-1875214")</f>
        <v>0</v>
      </c>
      <c r="B1008" t="s">
        <v>108</v>
      </c>
      <c r="C1008" t="s">
        <v>341</v>
      </c>
      <c r="D1008" t="s">
        <v>515</v>
      </c>
      <c r="E1008" t="s">
        <v>712</v>
      </c>
      <c r="F1008" t="s">
        <v>1556</v>
      </c>
      <c r="G1008" t="s">
        <v>5741</v>
      </c>
      <c r="H1008" t="s">
        <v>10524</v>
      </c>
      <c r="I1008" t="s">
        <v>17564</v>
      </c>
      <c r="J1008" t="s">
        <v>18933</v>
      </c>
      <c r="K1008">
        <v>11422</v>
      </c>
      <c r="L1008" t="s">
        <v>18958</v>
      </c>
      <c r="M1008" t="s">
        <v>18958</v>
      </c>
      <c r="N1008" t="s">
        <v>19749</v>
      </c>
      <c r="O1008" t="s">
        <v>26524</v>
      </c>
      <c r="P1008" t="s">
        <v>26560</v>
      </c>
      <c r="Q1008" t="s">
        <v>26568</v>
      </c>
      <c r="R1008" t="s">
        <v>26591</v>
      </c>
      <c r="S1008" t="s">
        <v>18959</v>
      </c>
      <c r="U1008" t="s">
        <v>26604</v>
      </c>
      <c r="V1008" t="s">
        <v>26610</v>
      </c>
      <c r="W1008" t="s">
        <v>515</v>
      </c>
      <c r="X1008">
        <v>1550</v>
      </c>
      <c r="Y1008" t="s">
        <v>26653</v>
      </c>
      <c r="Z1008" t="s">
        <v>26664</v>
      </c>
      <c r="AA1008" t="s">
        <v>26678</v>
      </c>
      <c r="AB1008" t="s">
        <v>27644</v>
      </c>
      <c r="AC1008" t="s">
        <v>34809</v>
      </c>
      <c r="AD1008" t="s">
        <v>37697</v>
      </c>
      <c r="AE1008">
        <v>0</v>
      </c>
      <c r="AF1008" t="s">
        <v>45547</v>
      </c>
      <c r="AG1008" t="s">
        <v>45557</v>
      </c>
      <c r="AH1008">
        <v>2</v>
      </c>
      <c r="AI1008">
        <v>1</v>
      </c>
      <c r="AJ1008">
        <v>1</v>
      </c>
      <c r="AK1008">
        <v>29.16</v>
      </c>
      <c r="AN1008" t="s">
        <v>7439</v>
      </c>
      <c r="AO1008">
        <v>4800</v>
      </c>
      <c r="AQ1008" t="s">
        <v>46361</v>
      </c>
      <c r="AR1008" t="s">
        <v>46380</v>
      </c>
      <c r="AS1008" t="s">
        <v>46499</v>
      </c>
      <c r="AT1008" t="s">
        <v>46513</v>
      </c>
      <c r="AU1008">
        <v>8.1</v>
      </c>
      <c r="AV1008" t="s">
        <v>596</v>
      </c>
      <c r="AW1008" t="s">
        <v>208</v>
      </c>
    </row>
    <row r="1009" spans="1:50">
      <c r="A1009" s="1">
        <f>HYPERLINK("https://lsnyc.legalserver.org/matter/dynamic-profile/view/1875170","18-1875170")</f>
        <v>0</v>
      </c>
      <c r="B1009" t="s">
        <v>108</v>
      </c>
      <c r="C1009" t="s">
        <v>341</v>
      </c>
      <c r="D1009" t="s">
        <v>515</v>
      </c>
      <c r="E1009" t="s">
        <v>662</v>
      </c>
      <c r="F1009" t="s">
        <v>1178</v>
      </c>
      <c r="G1009" t="s">
        <v>5742</v>
      </c>
      <c r="H1009" t="s">
        <v>10525</v>
      </c>
      <c r="I1009" t="s">
        <v>17491</v>
      </c>
      <c r="J1009" t="s">
        <v>18901</v>
      </c>
      <c r="K1009">
        <v>11435</v>
      </c>
      <c r="L1009" t="s">
        <v>18958</v>
      </c>
      <c r="M1009" t="s">
        <v>18960</v>
      </c>
      <c r="N1009" t="s">
        <v>19750</v>
      </c>
      <c r="O1009" t="s">
        <v>26524</v>
      </c>
      <c r="P1009" t="s">
        <v>26564</v>
      </c>
      <c r="Q1009" t="s">
        <v>26570</v>
      </c>
      <c r="R1009" t="s">
        <v>26591</v>
      </c>
      <c r="S1009" t="s">
        <v>18959</v>
      </c>
      <c r="U1009" t="s">
        <v>26604</v>
      </c>
      <c r="W1009" t="s">
        <v>515</v>
      </c>
      <c r="X1009">
        <v>1550</v>
      </c>
      <c r="Y1009" t="s">
        <v>26653</v>
      </c>
      <c r="Z1009" t="s">
        <v>26664</v>
      </c>
      <c r="AA1009" t="s">
        <v>26683</v>
      </c>
      <c r="AB1009" t="s">
        <v>26838</v>
      </c>
      <c r="AC1009" t="s">
        <v>34810</v>
      </c>
      <c r="AD1009" t="s">
        <v>34738</v>
      </c>
      <c r="AE1009">
        <v>0</v>
      </c>
      <c r="AG1009" t="s">
        <v>26530</v>
      </c>
      <c r="AH1009">
        <v>10</v>
      </c>
      <c r="AI1009">
        <v>1</v>
      </c>
      <c r="AJ1009">
        <v>1</v>
      </c>
      <c r="AK1009">
        <v>36.45</v>
      </c>
      <c r="AN1009" t="s">
        <v>7439</v>
      </c>
      <c r="AO1009">
        <v>6000</v>
      </c>
      <c r="AU1009">
        <v>0.6</v>
      </c>
      <c r="AV1009" t="s">
        <v>441</v>
      </c>
      <c r="AW1009" t="s">
        <v>208</v>
      </c>
    </row>
    <row r="1010" spans="1:50">
      <c r="A1010" s="1">
        <f>HYPERLINK("https://lsnyc.legalserver.org/matter/dynamic-profile/view/1875211","18-1875211")</f>
        <v>0</v>
      </c>
      <c r="B1010" t="s">
        <v>108</v>
      </c>
      <c r="C1010" t="s">
        <v>341</v>
      </c>
      <c r="D1010" t="s">
        <v>515</v>
      </c>
      <c r="E1010" t="s">
        <v>662</v>
      </c>
      <c r="F1010" t="s">
        <v>1300</v>
      </c>
      <c r="G1010" t="s">
        <v>4005</v>
      </c>
      <c r="H1010" t="s">
        <v>10526</v>
      </c>
      <c r="J1010" t="s">
        <v>18929</v>
      </c>
      <c r="K1010">
        <v>11379</v>
      </c>
      <c r="L1010" t="s">
        <v>18958</v>
      </c>
      <c r="M1010" t="s">
        <v>18960</v>
      </c>
      <c r="N1010" t="s">
        <v>19751</v>
      </c>
      <c r="O1010" t="s">
        <v>26524</v>
      </c>
      <c r="P1010" t="s">
        <v>26563</v>
      </c>
      <c r="Q1010" t="s">
        <v>26570</v>
      </c>
      <c r="R1010" t="s">
        <v>26591</v>
      </c>
      <c r="S1010" t="s">
        <v>18959</v>
      </c>
      <c r="U1010" t="s">
        <v>26604</v>
      </c>
      <c r="W1010" t="s">
        <v>515</v>
      </c>
      <c r="X1010">
        <v>1700</v>
      </c>
      <c r="Y1010" t="s">
        <v>26653</v>
      </c>
      <c r="Z1010" t="s">
        <v>26664</v>
      </c>
      <c r="AA1010" t="s">
        <v>26683</v>
      </c>
      <c r="AB1010" t="s">
        <v>27645</v>
      </c>
      <c r="AC1010" t="s">
        <v>34811</v>
      </c>
      <c r="AD1010" t="s">
        <v>37698</v>
      </c>
      <c r="AE1010">
        <v>0</v>
      </c>
      <c r="AG1010" t="s">
        <v>19330</v>
      </c>
      <c r="AH1010">
        <v>3</v>
      </c>
      <c r="AI1010">
        <v>2</v>
      </c>
      <c r="AJ1010">
        <v>0</v>
      </c>
      <c r="AK1010">
        <v>288.58</v>
      </c>
      <c r="AN1010" t="s">
        <v>7439</v>
      </c>
      <c r="AO1010">
        <v>47500</v>
      </c>
      <c r="AU1010">
        <v>0.5</v>
      </c>
      <c r="AV1010" t="s">
        <v>515</v>
      </c>
      <c r="AW1010" t="s">
        <v>208</v>
      </c>
    </row>
    <row r="1011" spans="1:50">
      <c r="A1011" s="1">
        <f>HYPERLINK("https://lsnyc.legalserver.org/matter/dynamic-profile/view/1875204","18-1875204")</f>
        <v>0</v>
      </c>
      <c r="B1011" t="s">
        <v>108</v>
      </c>
      <c r="C1011" t="s">
        <v>341</v>
      </c>
      <c r="D1011" t="s">
        <v>515</v>
      </c>
      <c r="E1011" t="s">
        <v>512</v>
      </c>
      <c r="F1011" t="s">
        <v>1557</v>
      </c>
      <c r="G1011" t="s">
        <v>5743</v>
      </c>
      <c r="H1011" t="s">
        <v>10527</v>
      </c>
      <c r="I1011" t="s">
        <v>17578</v>
      </c>
      <c r="J1011" t="s">
        <v>18923</v>
      </c>
      <c r="K1011">
        <v>11418</v>
      </c>
      <c r="L1011" t="s">
        <v>18958</v>
      </c>
      <c r="M1011" t="s">
        <v>18958</v>
      </c>
      <c r="N1011" t="s">
        <v>19752</v>
      </c>
      <c r="O1011" t="s">
        <v>26524</v>
      </c>
      <c r="P1011" t="s">
        <v>26564</v>
      </c>
      <c r="Q1011" t="s">
        <v>26570</v>
      </c>
      <c r="R1011" t="s">
        <v>26584</v>
      </c>
      <c r="S1011" t="s">
        <v>18959</v>
      </c>
      <c r="U1011" t="s">
        <v>26604</v>
      </c>
      <c r="V1011" t="s">
        <v>26610</v>
      </c>
      <c r="W1011" t="s">
        <v>515</v>
      </c>
      <c r="X1011">
        <v>1450</v>
      </c>
      <c r="Y1011" t="s">
        <v>26653</v>
      </c>
      <c r="Z1011" t="s">
        <v>26664</v>
      </c>
      <c r="AA1011" t="s">
        <v>26683</v>
      </c>
      <c r="AB1011" t="s">
        <v>27646</v>
      </c>
      <c r="AC1011" t="s">
        <v>34812</v>
      </c>
      <c r="AD1011" t="s">
        <v>37699</v>
      </c>
      <c r="AE1011">
        <v>2</v>
      </c>
      <c r="AG1011" t="s">
        <v>19330</v>
      </c>
      <c r="AH1011">
        <v>10</v>
      </c>
      <c r="AI1011">
        <v>1</v>
      </c>
      <c r="AJ1011">
        <v>0</v>
      </c>
      <c r="AK1011">
        <v>37.17</v>
      </c>
      <c r="AN1011" t="s">
        <v>7439</v>
      </c>
      <c r="AO1011">
        <v>4512</v>
      </c>
      <c r="AU1011">
        <v>0.75</v>
      </c>
      <c r="AV1011" t="s">
        <v>441</v>
      </c>
      <c r="AW1011" t="s">
        <v>208</v>
      </c>
    </row>
    <row r="1012" spans="1:50">
      <c r="A1012" s="1">
        <f>HYPERLINK("https://lsnyc.legalserver.org/matter/dynamic-profile/view/1875147","18-1875147")</f>
        <v>0</v>
      </c>
      <c r="B1012" t="s">
        <v>66</v>
      </c>
      <c r="C1012" t="s">
        <v>341</v>
      </c>
      <c r="D1012" t="s">
        <v>515</v>
      </c>
      <c r="E1012" t="s">
        <v>832</v>
      </c>
      <c r="F1012" t="s">
        <v>1031</v>
      </c>
      <c r="G1012" t="s">
        <v>5269</v>
      </c>
      <c r="H1012" t="s">
        <v>10528</v>
      </c>
      <c r="I1012" t="s">
        <v>17579</v>
      </c>
      <c r="J1012" t="s">
        <v>18893</v>
      </c>
      <c r="K1012">
        <v>10025</v>
      </c>
      <c r="L1012" t="s">
        <v>18958</v>
      </c>
      <c r="M1012" t="s">
        <v>18960</v>
      </c>
      <c r="N1012" t="s">
        <v>19753</v>
      </c>
      <c r="O1012" t="s">
        <v>26523</v>
      </c>
      <c r="P1012" t="s">
        <v>26560</v>
      </c>
      <c r="Q1012" t="s">
        <v>26568</v>
      </c>
      <c r="R1012" t="s">
        <v>26592</v>
      </c>
      <c r="S1012" t="s">
        <v>18959</v>
      </c>
      <c r="U1012" t="s">
        <v>26604</v>
      </c>
      <c r="V1012" t="s">
        <v>26610</v>
      </c>
      <c r="W1012" t="s">
        <v>515</v>
      </c>
      <c r="X1012">
        <v>580</v>
      </c>
      <c r="Y1012" t="s">
        <v>26651</v>
      </c>
      <c r="Z1012" t="s">
        <v>26664</v>
      </c>
      <c r="AA1012" t="s">
        <v>26678</v>
      </c>
      <c r="AB1012" t="s">
        <v>27647</v>
      </c>
      <c r="AC1012" t="s">
        <v>34813</v>
      </c>
      <c r="AD1012" t="s">
        <v>37700</v>
      </c>
      <c r="AE1012">
        <v>0</v>
      </c>
      <c r="AF1012" t="s">
        <v>45544</v>
      </c>
      <c r="AG1012" t="s">
        <v>19330</v>
      </c>
      <c r="AH1012">
        <v>24</v>
      </c>
      <c r="AI1012">
        <v>1</v>
      </c>
      <c r="AJ1012">
        <v>0</v>
      </c>
      <c r="AK1012">
        <v>106.26</v>
      </c>
      <c r="AN1012" t="s">
        <v>7439</v>
      </c>
      <c r="AO1012">
        <v>12900</v>
      </c>
      <c r="AQ1012" t="s">
        <v>46362</v>
      </c>
      <c r="AR1012" t="s">
        <v>46383</v>
      </c>
      <c r="AS1012" t="s">
        <v>46499</v>
      </c>
      <c r="AT1012" t="s">
        <v>46589</v>
      </c>
      <c r="AU1012">
        <v>16.5</v>
      </c>
      <c r="AV1012" t="s">
        <v>797</v>
      </c>
      <c r="AW1012" t="s">
        <v>46840</v>
      </c>
    </row>
    <row r="1013" spans="1:50">
      <c r="A1013" s="1">
        <f>HYPERLINK("https://lsnyc.legalserver.org/matter/dynamic-profile/view/1875192","18-1875192")</f>
        <v>0</v>
      </c>
      <c r="B1013" t="s">
        <v>66</v>
      </c>
      <c r="C1013" t="s">
        <v>341</v>
      </c>
      <c r="D1013" t="s">
        <v>515</v>
      </c>
      <c r="E1013" t="s">
        <v>706</v>
      </c>
      <c r="F1013" t="s">
        <v>993</v>
      </c>
      <c r="G1013" t="s">
        <v>5744</v>
      </c>
      <c r="H1013" t="s">
        <v>10529</v>
      </c>
      <c r="I1013" t="s">
        <v>17458</v>
      </c>
      <c r="J1013" t="s">
        <v>18893</v>
      </c>
      <c r="K1013">
        <v>10011</v>
      </c>
      <c r="L1013" t="s">
        <v>18958</v>
      </c>
      <c r="M1013" t="s">
        <v>18958</v>
      </c>
      <c r="N1013" t="s">
        <v>19754</v>
      </c>
      <c r="O1013" t="s">
        <v>26524</v>
      </c>
      <c r="P1013" t="s">
        <v>26564</v>
      </c>
      <c r="Q1013" t="s">
        <v>26570</v>
      </c>
      <c r="R1013" t="s">
        <v>26594</v>
      </c>
      <c r="S1013" t="s">
        <v>18959</v>
      </c>
      <c r="U1013" t="s">
        <v>26604</v>
      </c>
      <c r="W1013" t="s">
        <v>515</v>
      </c>
      <c r="X1013">
        <v>329</v>
      </c>
      <c r="Y1013" t="s">
        <v>26651</v>
      </c>
      <c r="Z1013" t="s">
        <v>26664</v>
      </c>
      <c r="AA1013" t="s">
        <v>26683</v>
      </c>
      <c r="AB1013" t="s">
        <v>27648</v>
      </c>
      <c r="AD1013" t="s">
        <v>37701</v>
      </c>
      <c r="AE1013">
        <v>11</v>
      </c>
      <c r="AF1013" t="s">
        <v>45544</v>
      </c>
      <c r="AG1013" t="s">
        <v>19330</v>
      </c>
      <c r="AH1013">
        <v>25</v>
      </c>
      <c r="AI1013">
        <v>1</v>
      </c>
      <c r="AJ1013">
        <v>0</v>
      </c>
      <c r="AK1013">
        <v>113.67</v>
      </c>
      <c r="AN1013" t="s">
        <v>7439</v>
      </c>
      <c r="AO1013">
        <v>13800</v>
      </c>
      <c r="AU1013">
        <v>3.65</v>
      </c>
      <c r="AV1013" t="s">
        <v>703</v>
      </c>
      <c r="AW1013" t="s">
        <v>46840</v>
      </c>
    </row>
    <row r="1014" spans="1:50">
      <c r="A1014" s="1">
        <f>HYPERLINK("https://lsnyc.legalserver.org/matter/dynamic-profile/view/1875206","18-1875206")</f>
        <v>0</v>
      </c>
      <c r="B1014" t="s">
        <v>77</v>
      </c>
      <c r="C1014" t="s">
        <v>341</v>
      </c>
      <c r="D1014" t="s">
        <v>515</v>
      </c>
      <c r="E1014" t="s">
        <v>684</v>
      </c>
      <c r="F1014" t="s">
        <v>1558</v>
      </c>
      <c r="G1014" t="s">
        <v>5745</v>
      </c>
      <c r="H1014" t="s">
        <v>10530</v>
      </c>
      <c r="I1014" t="s">
        <v>17361</v>
      </c>
      <c r="J1014" t="s">
        <v>18893</v>
      </c>
      <c r="K1014">
        <v>10039</v>
      </c>
      <c r="L1014" t="s">
        <v>18958</v>
      </c>
      <c r="M1014" t="s">
        <v>18958</v>
      </c>
      <c r="N1014" t="s">
        <v>19755</v>
      </c>
      <c r="O1014" t="s">
        <v>26524</v>
      </c>
      <c r="P1014" t="s">
        <v>26560</v>
      </c>
      <c r="Q1014" t="s">
        <v>26568</v>
      </c>
      <c r="R1014" t="s">
        <v>26582</v>
      </c>
      <c r="S1014" t="s">
        <v>18959</v>
      </c>
      <c r="U1014" t="s">
        <v>26604</v>
      </c>
      <c r="V1014" t="s">
        <v>26610</v>
      </c>
      <c r="W1014" t="s">
        <v>515</v>
      </c>
      <c r="X1014">
        <v>886</v>
      </c>
      <c r="Y1014" t="s">
        <v>26651</v>
      </c>
      <c r="Z1014" t="s">
        <v>26664</v>
      </c>
      <c r="AA1014" t="s">
        <v>26678</v>
      </c>
      <c r="AB1014" t="s">
        <v>27649</v>
      </c>
      <c r="AD1014" t="s">
        <v>37702</v>
      </c>
      <c r="AE1014">
        <v>78</v>
      </c>
      <c r="AF1014" t="s">
        <v>45541</v>
      </c>
      <c r="AG1014" t="s">
        <v>19330</v>
      </c>
      <c r="AH1014">
        <v>8</v>
      </c>
      <c r="AI1014">
        <v>1</v>
      </c>
      <c r="AJ1014">
        <v>0</v>
      </c>
      <c r="AK1014">
        <v>42.83</v>
      </c>
      <c r="AN1014" t="s">
        <v>7439</v>
      </c>
      <c r="AO1014">
        <v>5200</v>
      </c>
      <c r="AS1014" t="s">
        <v>46499</v>
      </c>
      <c r="AT1014" t="s">
        <v>46598</v>
      </c>
      <c r="AU1014">
        <v>9.4</v>
      </c>
      <c r="AV1014" t="s">
        <v>529</v>
      </c>
      <c r="AW1014" t="s">
        <v>46840</v>
      </c>
    </row>
    <row r="1015" spans="1:50">
      <c r="A1015" s="1">
        <f>HYPERLINK("https://lsnyc.legalserver.org/matter/dynamic-profile/view/1875133","18-1875133")</f>
        <v>0</v>
      </c>
      <c r="B1015" t="s">
        <v>77</v>
      </c>
      <c r="C1015" t="s">
        <v>341</v>
      </c>
      <c r="D1015" t="s">
        <v>515</v>
      </c>
      <c r="E1015" t="s">
        <v>694</v>
      </c>
      <c r="F1015" t="s">
        <v>1093</v>
      </c>
      <c r="G1015" t="s">
        <v>5746</v>
      </c>
      <c r="H1015" t="s">
        <v>10531</v>
      </c>
      <c r="I1015">
        <v>36</v>
      </c>
      <c r="J1015" t="s">
        <v>18893</v>
      </c>
      <c r="K1015">
        <v>10026</v>
      </c>
      <c r="L1015" t="s">
        <v>18958</v>
      </c>
      <c r="M1015" t="s">
        <v>18958</v>
      </c>
      <c r="N1015" t="s">
        <v>19756</v>
      </c>
      <c r="O1015" t="s">
        <v>26523</v>
      </c>
      <c r="P1015" t="s">
        <v>26560</v>
      </c>
      <c r="Q1015" t="s">
        <v>26568</v>
      </c>
      <c r="R1015" t="s">
        <v>26580</v>
      </c>
      <c r="S1015" t="s">
        <v>18959</v>
      </c>
      <c r="U1015" t="s">
        <v>26604</v>
      </c>
      <c r="V1015" t="s">
        <v>26610</v>
      </c>
      <c r="W1015" t="s">
        <v>515</v>
      </c>
      <c r="X1015">
        <v>750</v>
      </c>
      <c r="Y1015" t="s">
        <v>26651</v>
      </c>
      <c r="Z1015" t="s">
        <v>26664</v>
      </c>
      <c r="AA1015" t="s">
        <v>26678</v>
      </c>
      <c r="AB1015" t="s">
        <v>26928</v>
      </c>
      <c r="AD1015" t="s">
        <v>37703</v>
      </c>
      <c r="AE1015">
        <v>52</v>
      </c>
      <c r="AF1015" t="s">
        <v>45541</v>
      </c>
      <c r="AG1015" t="s">
        <v>26530</v>
      </c>
      <c r="AH1015">
        <v>8</v>
      </c>
      <c r="AI1015">
        <v>2</v>
      </c>
      <c r="AJ1015">
        <v>1</v>
      </c>
      <c r="AK1015">
        <v>163.62</v>
      </c>
      <c r="AN1015" t="s">
        <v>7439</v>
      </c>
      <c r="AO1015">
        <v>34000</v>
      </c>
      <c r="AS1015" t="s">
        <v>46499</v>
      </c>
      <c r="AT1015" t="s">
        <v>46669</v>
      </c>
      <c r="AU1015">
        <v>5.1</v>
      </c>
      <c r="AV1015" t="s">
        <v>624</v>
      </c>
      <c r="AW1015" t="s">
        <v>46840</v>
      </c>
      <c r="AX1015" t="s">
        <v>46897</v>
      </c>
    </row>
    <row r="1016" spans="1:50">
      <c r="A1016" s="1">
        <f>HYPERLINK("https://lsnyc.legalserver.org/matter/dynamic-profile/view/1875119","18-1875119")</f>
        <v>0</v>
      </c>
      <c r="B1016" t="s">
        <v>151</v>
      </c>
      <c r="C1016" t="s">
        <v>341</v>
      </c>
      <c r="D1016" t="s">
        <v>515</v>
      </c>
      <c r="E1016" t="s">
        <v>764</v>
      </c>
      <c r="F1016" t="s">
        <v>1559</v>
      </c>
      <c r="G1016" t="s">
        <v>5747</v>
      </c>
      <c r="H1016" t="s">
        <v>10532</v>
      </c>
      <c r="I1016">
        <v>9</v>
      </c>
      <c r="J1016" t="s">
        <v>18893</v>
      </c>
      <c r="K1016">
        <v>10025</v>
      </c>
      <c r="L1016" t="s">
        <v>18958</v>
      </c>
      <c r="M1016" t="s">
        <v>18958</v>
      </c>
      <c r="N1016" t="s">
        <v>19757</v>
      </c>
      <c r="O1016" t="s">
        <v>26524</v>
      </c>
      <c r="P1016" t="s">
        <v>26560</v>
      </c>
      <c r="Q1016" t="s">
        <v>26568</v>
      </c>
      <c r="R1016" t="s">
        <v>26594</v>
      </c>
      <c r="S1016" t="s">
        <v>18959</v>
      </c>
      <c r="U1016" t="s">
        <v>26604</v>
      </c>
      <c r="V1016" t="s">
        <v>26610</v>
      </c>
      <c r="W1016" t="s">
        <v>515</v>
      </c>
      <c r="X1016">
        <v>1700</v>
      </c>
      <c r="Y1016" t="s">
        <v>26651</v>
      </c>
      <c r="Z1016" t="s">
        <v>26664</v>
      </c>
      <c r="AA1016" t="s">
        <v>26679</v>
      </c>
      <c r="AB1016" t="s">
        <v>27650</v>
      </c>
      <c r="AE1016">
        <v>0</v>
      </c>
      <c r="AF1016" t="s">
        <v>45541</v>
      </c>
      <c r="AG1016" t="s">
        <v>19330</v>
      </c>
      <c r="AH1016">
        <v>1</v>
      </c>
      <c r="AI1016">
        <v>1</v>
      </c>
      <c r="AJ1016">
        <v>0</v>
      </c>
      <c r="AK1016">
        <v>0</v>
      </c>
      <c r="AN1016" t="s">
        <v>7439</v>
      </c>
      <c r="AO1016">
        <v>0</v>
      </c>
      <c r="AU1016">
        <v>73.89</v>
      </c>
      <c r="AV1016" t="s">
        <v>764</v>
      </c>
      <c r="AW1016" t="s">
        <v>46840</v>
      </c>
    </row>
    <row r="1017" spans="1:50">
      <c r="A1017" s="1">
        <f>HYPERLINK("https://lsnyc.legalserver.org/matter/dynamic-profile/view/1875141","18-1875141")</f>
        <v>0</v>
      </c>
      <c r="B1017" t="s">
        <v>167</v>
      </c>
      <c r="C1017" t="s">
        <v>341</v>
      </c>
      <c r="D1017" t="s">
        <v>515</v>
      </c>
      <c r="E1017" t="s">
        <v>511</v>
      </c>
      <c r="F1017" t="s">
        <v>1560</v>
      </c>
      <c r="G1017" t="s">
        <v>5748</v>
      </c>
      <c r="H1017" t="s">
        <v>10533</v>
      </c>
      <c r="I1017" t="s">
        <v>17374</v>
      </c>
      <c r="J1017" t="s">
        <v>18904</v>
      </c>
      <c r="K1017">
        <v>11421</v>
      </c>
      <c r="L1017" t="s">
        <v>18958</v>
      </c>
      <c r="M1017" t="s">
        <v>18958</v>
      </c>
      <c r="N1017" t="s">
        <v>19758</v>
      </c>
      <c r="O1017" t="s">
        <v>26524</v>
      </c>
      <c r="P1017" t="s">
        <v>26564</v>
      </c>
      <c r="Q1017" t="s">
        <v>26570</v>
      </c>
      <c r="R1017" t="s">
        <v>26584</v>
      </c>
      <c r="S1017" t="s">
        <v>18959</v>
      </c>
      <c r="U1017" t="s">
        <v>26604</v>
      </c>
      <c r="V1017" t="s">
        <v>26610</v>
      </c>
      <c r="W1017" t="s">
        <v>515</v>
      </c>
      <c r="X1017">
        <v>1400</v>
      </c>
      <c r="Y1017" t="s">
        <v>26653</v>
      </c>
      <c r="Z1017" t="s">
        <v>26664</v>
      </c>
      <c r="AA1017" t="s">
        <v>26683</v>
      </c>
      <c r="AB1017" t="s">
        <v>27651</v>
      </c>
      <c r="AC1017" t="s">
        <v>34814</v>
      </c>
      <c r="AD1017" t="s">
        <v>37704</v>
      </c>
      <c r="AE1017">
        <v>2</v>
      </c>
      <c r="AF1017" t="s">
        <v>45547</v>
      </c>
      <c r="AG1017" t="s">
        <v>19330</v>
      </c>
      <c r="AH1017">
        <v>1</v>
      </c>
      <c r="AI1017">
        <v>1</v>
      </c>
      <c r="AJ1017">
        <v>2</v>
      </c>
      <c r="AK1017">
        <v>0</v>
      </c>
      <c r="AO1017">
        <v>0</v>
      </c>
      <c r="AU1017">
        <v>1.65</v>
      </c>
      <c r="AV1017" t="s">
        <v>511</v>
      </c>
      <c r="AW1017" t="s">
        <v>122</v>
      </c>
    </row>
    <row r="1018" spans="1:50">
      <c r="A1018" s="1">
        <f>HYPERLINK("https://lsnyc.legalserver.org/matter/dynamic-profile/view/1875125","18-1875125")</f>
        <v>0</v>
      </c>
      <c r="B1018" t="s">
        <v>167</v>
      </c>
      <c r="C1018" t="s">
        <v>341</v>
      </c>
      <c r="D1018" t="s">
        <v>515</v>
      </c>
      <c r="E1018" t="s">
        <v>658</v>
      </c>
      <c r="F1018" t="s">
        <v>1368</v>
      </c>
      <c r="G1018" t="s">
        <v>5749</v>
      </c>
      <c r="H1018" t="s">
        <v>10534</v>
      </c>
      <c r="I1018" t="s">
        <v>17312</v>
      </c>
      <c r="J1018" t="s">
        <v>18917</v>
      </c>
      <c r="K1018">
        <v>11356</v>
      </c>
      <c r="L1018" t="s">
        <v>18958</v>
      </c>
      <c r="M1018" t="s">
        <v>18958</v>
      </c>
      <c r="N1018" t="s">
        <v>19759</v>
      </c>
      <c r="O1018" t="s">
        <v>26524</v>
      </c>
      <c r="P1018" t="s">
        <v>26564</v>
      </c>
      <c r="Q1018" t="s">
        <v>26570</v>
      </c>
      <c r="R1018" t="s">
        <v>26584</v>
      </c>
      <c r="S1018" t="s">
        <v>18959</v>
      </c>
      <c r="U1018" t="s">
        <v>26604</v>
      </c>
      <c r="V1018" t="s">
        <v>26610</v>
      </c>
      <c r="W1018" t="s">
        <v>515</v>
      </c>
      <c r="X1018">
        <v>1400</v>
      </c>
      <c r="Y1018" t="s">
        <v>26653</v>
      </c>
      <c r="Z1018" t="s">
        <v>26664</v>
      </c>
      <c r="AA1018" t="s">
        <v>26683</v>
      </c>
      <c r="AB1018" t="s">
        <v>27652</v>
      </c>
      <c r="AC1018" t="s">
        <v>34815</v>
      </c>
      <c r="AD1018" t="s">
        <v>37705</v>
      </c>
      <c r="AE1018">
        <v>3</v>
      </c>
      <c r="AF1018" t="s">
        <v>45547</v>
      </c>
      <c r="AG1018" t="s">
        <v>19330</v>
      </c>
      <c r="AH1018">
        <v>11</v>
      </c>
      <c r="AI1018">
        <v>2</v>
      </c>
      <c r="AJ1018">
        <v>0</v>
      </c>
      <c r="AK1018">
        <v>0</v>
      </c>
      <c r="AN1018" t="s">
        <v>7439</v>
      </c>
      <c r="AO1018">
        <v>0</v>
      </c>
      <c r="AU1018">
        <v>1</v>
      </c>
      <c r="AV1018" t="s">
        <v>441</v>
      </c>
      <c r="AW1018" t="s">
        <v>161</v>
      </c>
    </row>
    <row r="1019" spans="1:50">
      <c r="A1019" s="1">
        <f>HYPERLINK("https://lsnyc.legalserver.org/matter/dynamic-profile/view/1875199","18-1875199")</f>
        <v>0</v>
      </c>
      <c r="B1019" t="s">
        <v>167</v>
      </c>
      <c r="C1019" t="s">
        <v>341</v>
      </c>
      <c r="D1019" t="s">
        <v>515</v>
      </c>
      <c r="E1019" t="s">
        <v>658</v>
      </c>
      <c r="F1019" t="s">
        <v>1561</v>
      </c>
      <c r="G1019" t="s">
        <v>5750</v>
      </c>
      <c r="H1019" t="s">
        <v>10535</v>
      </c>
      <c r="I1019" t="s">
        <v>17387</v>
      </c>
      <c r="J1019" t="s">
        <v>18904</v>
      </c>
      <c r="K1019">
        <v>11421</v>
      </c>
      <c r="L1019" t="s">
        <v>18958</v>
      </c>
      <c r="M1019" t="s">
        <v>18958</v>
      </c>
      <c r="N1019" t="s">
        <v>19760</v>
      </c>
      <c r="O1019" t="s">
        <v>26524</v>
      </c>
      <c r="P1019" t="s">
        <v>26564</v>
      </c>
      <c r="Q1019" t="s">
        <v>26570</v>
      </c>
      <c r="R1019" t="s">
        <v>26584</v>
      </c>
      <c r="S1019" t="s">
        <v>18959</v>
      </c>
      <c r="U1019" t="s">
        <v>26604</v>
      </c>
      <c r="V1019" t="s">
        <v>26610</v>
      </c>
      <c r="W1019" t="s">
        <v>515</v>
      </c>
      <c r="X1019">
        <v>1425</v>
      </c>
      <c r="Y1019" t="s">
        <v>26653</v>
      </c>
      <c r="Z1019" t="s">
        <v>26664</v>
      </c>
      <c r="AA1019" t="s">
        <v>26683</v>
      </c>
      <c r="AB1019" t="s">
        <v>515</v>
      </c>
      <c r="AC1019" t="s">
        <v>34816</v>
      </c>
      <c r="AD1019" t="s">
        <v>37706</v>
      </c>
      <c r="AE1019">
        <v>2</v>
      </c>
      <c r="AG1019" t="s">
        <v>45556</v>
      </c>
      <c r="AH1019">
        <v>2</v>
      </c>
      <c r="AI1019">
        <v>1</v>
      </c>
      <c r="AJ1019">
        <v>2</v>
      </c>
      <c r="AK1019">
        <v>50.05</v>
      </c>
      <c r="AN1019" t="s">
        <v>7439</v>
      </c>
      <c r="AO1019">
        <v>10400</v>
      </c>
      <c r="AU1019">
        <v>1.2</v>
      </c>
      <c r="AV1019" t="s">
        <v>441</v>
      </c>
      <c r="AW1019" t="s">
        <v>208</v>
      </c>
    </row>
    <row r="1020" spans="1:50">
      <c r="A1020" s="1">
        <f>HYPERLINK("https://lsnyc.legalserver.org/matter/dynamic-profile/view/1875440","18-1875440")</f>
        <v>0</v>
      </c>
      <c r="B1020" t="s">
        <v>68</v>
      </c>
      <c r="C1020" t="s">
        <v>341</v>
      </c>
      <c r="D1020" t="s">
        <v>515</v>
      </c>
      <c r="E1020" t="s">
        <v>859</v>
      </c>
      <c r="F1020" t="s">
        <v>1562</v>
      </c>
      <c r="G1020" t="s">
        <v>5751</v>
      </c>
      <c r="H1020" t="s">
        <v>10536</v>
      </c>
      <c r="I1020" t="s">
        <v>17424</v>
      </c>
      <c r="J1020" t="s">
        <v>18892</v>
      </c>
      <c r="K1020">
        <v>10467</v>
      </c>
      <c r="L1020" t="s">
        <v>18958</v>
      </c>
      <c r="M1020" t="s">
        <v>18958</v>
      </c>
      <c r="N1020" t="s">
        <v>19761</v>
      </c>
      <c r="O1020" t="s">
        <v>26523</v>
      </c>
      <c r="P1020" t="s">
        <v>26560</v>
      </c>
      <c r="Q1020" t="s">
        <v>26568</v>
      </c>
      <c r="R1020" t="s">
        <v>26579</v>
      </c>
      <c r="S1020" t="s">
        <v>18959</v>
      </c>
      <c r="U1020" t="s">
        <v>26604</v>
      </c>
      <c r="V1020" t="s">
        <v>26612</v>
      </c>
      <c r="W1020" t="s">
        <v>515</v>
      </c>
      <c r="X1020">
        <v>1650</v>
      </c>
      <c r="Y1020" t="s">
        <v>26650</v>
      </c>
      <c r="Z1020" t="s">
        <v>26664</v>
      </c>
      <c r="AA1020" t="s">
        <v>26678</v>
      </c>
      <c r="AB1020" t="s">
        <v>27653</v>
      </c>
      <c r="AC1020">
        <v>37322021</v>
      </c>
      <c r="AD1020" t="s">
        <v>37707</v>
      </c>
      <c r="AE1020">
        <v>62</v>
      </c>
      <c r="AF1020" t="s">
        <v>45541</v>
      </c>
      <c r="AG1020" t="s">
        <v>19330</v>
      </c>
      <c r="AH1020">
        <v>1</v>
      </c>
      <c r="AI1020">
        <v>1</v>
      </c>
      <c r="AJ1020">
        <v>2</v>
      </c>
      <c r="AK1020">
        <v>185.95</v>
      </c>
      <c r="AN1020" t="s">
        <v>7439</v>
      </c>
      <c r="AO1020">
        <v>38640</v>
      </c>
      <c r="AP1020" t="s">
        <v>45654</v>
      </c>
      <c r="AQ1020" t="s">
        <v>46365</v>
      </c>
      <c r="AR1020" t="s">
        <v>46379</v>
      </c>
      <c r="AS1020" t="s">
        <v>46499</v>
      </c>
      <c r="AT1020" t="s">
        <v>46595</v>
      </c>
      <c r="AU1020">
        <v>7.7</v>
      </c>
      <c r="AV1020" t="s">
        <v>631</v>
      </c>
      <c r="AW1020" t="s">
        <v>334</v>
      </c>
    </row>
    <row r="1021" spans="1:50">
      <c r="A1021" s="1">
        <f>HYPERLINK("https://lsnyc.legalserver.org/matter/dynamic-profile/view/1875223","18-1875223")</f>
        <v>0</v>
      </c>
      <c r="B1021" t="s">
        <v>141</v>
      </c>
      <c r="C1021" t="s">
        <v>341</v>
      </c>
      <c r="D1021" t="s">
        <v>515</v>
      </c>
      <c r="E1021" t="s">
        <v>524</v>
      </c>
      <c r="F1021" t="s">
        <v>1563</v>
      </c>
      <c r="G1021" t="s">
        <v>5752</v>
      </c>
      <c r="H1021" t="s">
        <v>10537</v>
      </c>
      <c r="J1021" t="s">
        <v>18935</v>
      </c>
      <c r="K1021">
        <v>11364</v>
      </c>
      <c r="L1021" t="s">
        <v>18958</v>
      </c>
      <c r="M1021" t="s">
        <v>18958</v>
      </c>
      <c r="N1021" t="s">
        <v>19762</v>
      </c>
      <c r="O1021" t="s">
        <v>26523</v>
      </c>
      <c r="P1021" t="s">
        <v>26564</v>
      </c>
      <c r="Q1021" t="s">
        <v>26570</v>
      </c>
      <c r="R1021" t="s">
        <v>26589</v>
      </c>
      <c r="S1021" t="s">
        <v>18959</v>
      </c>
      <c r="U1021" t="s">
        <v>26604</v>
      </c>
      <c r="V1021" t="s">
        <v>26610</v>
      </c>
      <c r="W1021" t="s">
        <v>515</v>
      </c>
      <c r="X1021">
        <v>3400</v>
      </c>
      <c r="Y1021" t="s">
        <v>26653</v>
      </c>
      <c r="Z1021" t="s">
        <v>26671</v>
      </c>
      <c r="AA1021" t="s">
        <v>26683</v>
      </c>
      <c r="AB1021" t="s">
        <v>27654</v>
      </c>
      <c r="AC1021" t="s">
        <v>19330</v>
      </c>
      <c r="AD1021" t="s">
        <v>37708</v>
      </c>
      <c r="AE1021">
        <v>1</v>
      </c>
      <c r="AF1021" t="s">
        <v>45547</v>
      </c>
      <c r="AG1021" t="s">
        <v>19330</v>
      </c>
      <c r="AH1021">
        <v>1</v>
      </c>
      <c r="AI1021">
        <v>1</v>
      </c>
      <c r="AJ1021">
        <v>4</v>
      </c>
      <c r="AK1021">
        <v>30.59</v>
      </c>
      <c r="AL1021" t="s">
        <v>45567</v>
      </c>
      <c r="AM1021" t="s">
        <v>45577</v>
      </c>
      <c r="AN1021" t="s">
        <v>7439</v>
      </c>
      <c r="AO1021">
        <v>9000</v>
      </c>
      <c r="AU1021">
        <v>1.3</v>
      </c>
      <c r="AV1021" t="s">
        <v>524</v>
      </c>
      <c r="AW1021" t="s">
        <v>141</v>
      </c>
    </row>
    <row r="1022" spans="1:50">
      <c r="A1022" s="1">
        <f>HYPERLINK("https://lsnyc.legalserver.org/matter/dynamic-profile/view/1875102","18-1875102")</f>
        <v>0</v>
      </c>
      <c r="B1022" t="s">
        <v>214</v>
      </c>
      <c r="C1022" t="s">
        <v>341</v>
      </c>
      <c r="D1022" t="s">
        <v>515</v>
      </c>
      <c r="E1022" t="s">
        <v>624</v>
      </c>
      <c r="F1022" t="s">
        <v>1564</v>
      </c>
      <c r="G1022" t="s">
        <v>5753</v>
      </c>
      <c r="H1022" t="s">
        <v>10538</v>
      </c>
      <c r="I1022">
        <v>5</v>
      </c>
      <c r="J1022" t="s">
        <v>18913</v>
      </c>
      <c r="K1022">
        <v>11102</v>
      </c>
      <c r="L1022" t="s">
        <v>18958</v>
      </c>
      <c r="M1022" t="s">
        <v>18958</v>
      </c>
      <c r="N1022" t="s">
        <v>19763</v>
      </c>
      <c r="O1022" t="s">
        <v>26523</v>
      </c>
      <c r="P1022" t="s">
        <v>26560</v>
      </c>
      <c r="Q1022" t="s">
        <v>26568</v>
      </c>
      <c r="R1022" t="s">
        <v>26589</v>
      </c>
      <c r="S1022" t="s">
        <v>18959</v>
      </c>
      <c r="U1022" t="s">
        <v>26604</v>
      </c>
      <c r="V1022" t="s">
        <v>26610</v>
      </c>
      <c r="W1022" t="s">
        <v>515</v>
      </c>
      <c r="X1022">
        <v>1518.75</v>
      </c>
      <c r="Y1022" t="s">
        <v>26653</v>
      </c>
      <c r="Z1022" t="s">
        <v>26671</v>
      </c>
      <c r="AA1022" t="s">
        <v>26678</v>
      </c>
      <c r="AB1022" t="s">
        <v>27655</v>
      </c>
      <c r="AC1022" t="s">
        <v>34817</v>
      </c>
      <c r="AD1022" t="s">
        <v>37709</v>
      </c>
      <c r="AE1022">
        <v>8</v>
      </c>
      <c r="AF1022" t="s">
        <v>45541</v>
      </c>
      <c r="AG1022" t="s">
        <v>19330</v>
      </c>
      <c r="AH1022">
        <v>3</v>
      </c>
      <c r="AI1022">
        <v>1</v>
      </c>
      <c r="AJ1022">
        <v>2</v>
      </c>
      <c r="AK1022">
        <v>45.56</v>
      </c>
      <c r="AL1022" t="s">
        <v>45567</v>
      </c>
      <c r="AM1022" t="s">
        <v>45577</v>
      </c>
      <c r="AN1022" t="s">
        <v>45592</v>
      </c>
      <c r="AO1022">
        <v>9468</v>
      </c>
      <c r="AQ1022" t="s">
        <v>46361</v>
      </c>
      <c r="AR1022" t="s">
        <v>46380</v>
      </c>
      <c r="AS1022" t="s">
        <v>46499</v>
      </c>
      <c r="AT1022" t="s">
        <v>46559</v>
      </c>
      <c r="AU1022">
        <v>20.18</v>
      </c>
      <c r="AV1022" t="s">
        <v>624</v>
      </c>
      <c r="AW1022" t="s">
        <v>141</v>
      </c>
    </row>
    <row r="1023" spans="1:50">
      <c r="A1023" s="1">
        <f>HYPERLINK("https://lsnyc.legalserver.org/matter/dynamic-profile/view/1875117","18-1875117")</f>
        <v>0</v>
      </c>
      <c r="B1023" t="s">
        <v>110</v>
      </c>
      <c r="C1023" t="s">
        <v>341</v>
      </c>
      <c r="D1023" t="s">
        <v>515</v>
      </c>
      <c r="E1023" t="s">
        <v>712</v>
      </c>
      <c r="F1023" t="s">
        <v>1534</v>
      </c>
      <c r="G1023" t="s">
        <v>2348</v>
      </c>
      <c r="H1023" t="s">
        <v>10539</v>
      </c>
      <c r="I1023" t="s">
        <v>17347</v>
      </c>
      <c r="J1023" t="s">
        <v>18901</v>
      </c>
      <c r="K1023">
        <v>11434</v>
      </c>
      <c r="L1023" t="s">
        <v>18958</v>
      </c>
      <c r="M1023" t="s">
        <v>18958</v>
      </c>
      <c r="N1023" t="s">
        <v>19764</v>
      </c>
      <c r="O1023" t="s">
        <v>26523</v>
      </c>
      <c r="P1023" t="s">
        <v>26564</v>
      </c>
      <c r="Q1023" t="s">
        <v>26570</v>
      </c>
      <c r="R1023" t="s">
        <v>26585</v>
      </c>
      <c r="S1023" t="s">
        <v>18959</v>
      </c>
      <c r="U1023" t="s">
        <v>26604</v>
      </c>
      <c r="V1023" t="s">
        <v>26610</v>
      </c>
      <c r="W1023" t="s">
        <v>515</v>
      </c>
      <c r="X1023">
        <v>672</v>
      </c>
      <c r="Y1023" t="s">
        <v>26653</v>
      </c>
      <c r="Z1023" t="s">
        <v>26664</v>
      </c>
      <c r="AA1023" t="s">
        <v>26683</v>
      </c>
      <c r="AB1023" t="s">
        <v>27656</v>
      </c>
      <c r="AC1023" t="s">
        <v>19330</v>
      </c>
      <c r="AD1023" t="s">
        <v>37710</v>
      </c>
      <c r="AE1023">
        <v>293</v>
      </c>
      <c r="AF1023" t="s">
        <v>45547</v>
      </c>
      <c r="AG1023" t="s">
        <v>19330</v>
      </c>
      <c r="AH1023">
        <v>8</v>
      </c>
      <c r="AI1023">
        <v>1</v>
      </c>
      <c r="AJ1023">
        <v>2</v>
      </c>
      <c r="AK1023">
        <v>103.95</v>
      </c>
      <c r="AN1023" t="s">
        <v>7439</v>
      </c>
      <c r="AO1023">
        <v>21600</v>
      </c>
      <c r="AU1023">
        <v>6.5</v>
      </c>
      <c r="AV1023" t="s">
        <v>534</v>
      </c>
      <c r="AW1023" t="s">
        <v>161</v>
      </c>
    </row>
    <row r="1024" spans="1:50">
      <c r="A1024" s="1">
        <f>HYPERLINK("https://lsnyc.legalserver.org/matter/dynamic-profile/view/0827777","17-0827777")</f>
        <v>0</v>
      </c>
      <c r="B1024" t="s">
        <v>73</v>
      </c>
      <c r="C1024" t="s">
        <v>341</v>
      </c>
      <c r="D1024" t="s">
        <v>515</v>
      </c>
      <c r="E1024" t="s">
        <v>494</v>
      </c>
      <c r="F1024" t="s">
        <v>1565</v>
      </c>
      <c r="G1024" t="s">
        <v>5754</v>
      </c>
      <c r="H1024" t="s">
        <v>10540</v>
      </c>
      <c r="I1024">
        <v>3</v>
      </c>
      <c r="J1024" t="s">
        <v>18894</v>
      </c>
      <c r="K1024">
        <v>11225</v>
      </c>
      <c r="L1024" t="s">
        <v>18958</v>
      </c>
      <c r="M1024" t="s">
        <v>18958</v>
      </c>
      <c r="O1024" t="s">
        <v>26531</v>
      </c>
      <c r="P1024" t="s">
        <v>26565</v>
      </c>
      <c r="Q1024" t="s">
        <v>26571</v>
      </c>
      <c r="R1024" t="s">
        <v>26578</v>
      </c>
      <c r="S1024" t="s">
        <v>18958</v>
      </c>
      <c r="U1024" t="s">
        <v>26604</v>
      </c>
      <c r="W1024" t="s">
        <v>515</v>
      </c>
      <c r="X1024">
        <v>468.21</v>
      </c>
      <c r="Y1024" t="s">
        <v>26652</v>
      </c>
      <c r="Z1024" t="s">
        <v>26666</v>
      </c>
      <c r="AA1024" t="s">
        <v>26682</v>
      </c>
      <c r="AB1024" t="s">
        <v>27657</v>
      </c>
      <c r="AC1024" t="s">
        <v>34818</v>
      </c>
      <c r="AD1024" t="s">
        <v>37711</v>
      </c>
      <c r="AE1024">
        <v>2</v>
      </c>
      <c r="AF1024" t="s">
        <v>45541</v>
      </c>
      <c r="AH1024">
        <v>19</v>
      </c>
      <c r="AI1024">
        <v>2</v>
      </c>
      <c r="AJ1024">
        <v>1</v>
      </c>
      <c r="AK1024">
        <v>54.83</v>
      </c>
      <c r="AN1024" t="s">
        <v>7439</v>
      </c>
      <c r="AO1024">
        <v>11196</v>
      </c>
      <c r="AT1024" t="s">
        <v>46522</v>
      </c>
      <c r="AU1024">
        <v>0.7</v>
      </c>
      <c r="AV1024" t="s">
        <v>415</v>
      </c>
      <c r="AW1024" t="s">
        <v>279</v>
      </c>
    </row>
    <row r="1025" spans="1:49">
      <c r="A1025" s="1">
        <f>HYPERLINK("https://lsnyc.legalserver.org/matter/dynamic-profile/view/1875136","18-1875136")</f>
        <v>0</v>
      </c>
      <c r="B1025" t="s">
        <v>161</v>
      </c>
      <c r="C1025" t="s">
        <v>341</v>
      </c>
      <c r="D1025" t="s">
        <v>515</v>
      </c>
      <c r="E1025" t="s">
        <v>850</v>
      </c>
      <c r="F1025" t="s">
        <v>1566</v>
      </c>
      <c r="G1025" t="s">
        <v>1185</v>
      </c>
      <c r="H1025" t="s">
        <v>10541</v>
      </c>
      <c r="I1025" t="s">
        <v>17580</v>
      </c>
      <c r="J1025" t="s">
        <v>18934</v>
      </c>
      <c r="K1025">
        <v>11413</v>
      </c>
      <c r="L1025" t="s">
        <v>18958</v>
      </c>
      <c r="M1025" t="s">
        <v>18958</v>
      </c>
      <c r="N1025" t="s">
        <v>19765</v>
      </c>
      <c r="O1025" t="s">
        <v>26524</v>
      </c>
      <c r="P1025" t="s">
        <v>26564</v>
      </c>
      <c r="Q1025" t="s">
        <v>26570</v>
      </c>
      <c r="R1025" t="s">
        <v>26584</v>
      </c>
      <c r="S1025" t="s">
        <v>18959</v>
      </c>
      <c r="U1025" t="s">
        <v>26604</v>
      </c>
      <c r="V1025" t="s">
        <v>26610</v>
      </c>
      <c r="W1025" t="s">
        <v>515</v>
      </c>
      <c r="X1025">
        <v>1500</v>
      </c>
      <c r="Y1025" t="s">
        <v>26653</v>
      </c>
      <c r="Z1025" t="s">
        <v>26664</v>
      </c>
      <c r="AA1025" t="s">
        <v>26683</v>
      </c>
      <c r="AB1025" t="s">
        <v>27658</v>
      </c>
      <c r="AC1025" t="s">
        <v>34819</v>
      </c>
      <c r="AD1025" t="s">
        <v>37712</v>
      </c>
      <c r="AE1025">
        <v>2</v>
      </c>
      <c r="AF1025" t="s">
        <v>45547</v>
      </c>
      <c r="AG1025" t="s">
        <v>19330</v>
      </c>
      <c r="AH1025">
        <v>2</v>
      </c>
      <c r="AI1025">
        <v>4</v>
      </c>
      <c r="AJ1025">
        <v>1</v>
      </c>
      <c r="AK1025">
        <v>50.99</v>
      </c>
      <c r="AN1025" t="s">
        <v>7439</v>
      </c>
      <c r="AO1025">
        <v>15000</v>
      </c>
      <c r="AU1025">
        <v>2.45</v>
      </c>
      <c r="AV1025" t="s">
        <v>781</v>
      </c>
      <c r="AW1025" t="s">
        <v>161</v>
      </c>
    </row>
    <row r="1026" spans="1:49">
      <c r="A1026" s="1">
        <f>HYPERLINK("https://lsnyc.legalserver.org/matter/dynamic-profile/view/1875452","18-1875452")</f>
        <v>0</v>
      </c>
      <c r="B1026" t="s">
        <v>76</v>
      </c>
      <c r="C1026" t="s">
        <v>341</v>
      </c>
      <c r="D1026" t="s">
        <v>515</v>
      </c>
      <c r="E1026" t="s">
        <v>522</v>
      </c>
      <c r="F1026" t="s">
        <v>900</v>
      </c>
      <c r="G1026" t="s">
        <v>5147</v>
      </c>
      <c r="H1026" t="s">
        <v>10542</v>
      </c>
      <c r="I1026" t="s">
        <v>17309</v>
      </c>
      <c r="J1026" t="s">
        <v>18893</v>
      </c>
      <c r="K1026">
        <v>10002</v>
      </c>
      <c r="L1026" t="s">
        <v>18958</v>
      </c>
      <c r="M1026" t="s">
        <v>18958</v>
      </c>
      <c r="N1026" t="s">
        <v>19766</v>
      </c>
      <c r="O1026" t="s">
        <v>26523</v>
      </c>
      <c r="P1026" t="s">
        <v>26564</v>
      </c>
      <c r="Q1026" t="s">
        <v>26570</v>
      </c>
      <c r="R1026" t="s">
        <v>26582</v>
      </c>
      <c r="S1026" t="s">
        <v>18959</v>
      </c>
      <c r="U1026" t="s">
        <v>26605</v>
      </c>
      <c r="W1026" t="s">
        <v>515</v>
      </c>
      <c r="X1026">
        <v>400</v>
      </c>
      <c r="Y1026" t="s">
        <v>26651</v>
      </c>
      <c r="AA1026" t="s">
        <v>26683</v>
      </c>
      <c r="AB1026" t="s">
        <v>27659</v>
      </c>
      <c r="AD1026" t="s">
        <v>37713</v>
      </c>
      <c r="AE1026">
        <v>0</v>
      </c>
      <c r="AF1026" t="s">
        <v>45549</v>
      </c>
      <c r="AH1026">
        <v>1</v>
      </c>
      <c r="AI1026">
        <v>1</v>
      </c>
      <c r="AJ1026">
        <v>0</v>
      </c>
      <c r="AK1026">
        <v>102.8</v>
      </c>
      <c r="AN1026" t="s">
        <v>7439</v>
      </c>
      <c r="AO1026">
        <v>12480</v>
      </c>
      <c r="AR1026" t="s">
        <v>26530</v>
      </c>
      <c r="AU1026">
        <v>1.25</v>
      </c>
      <c r="AV1026" t="s">
        <v>533</v>
      </c>
      <c r="AW1026" t="s">
        <v>46838</v>
      </c>
    </row>
    <row r="1027" spans="1:49">
      <c r="A1027" s="1">
        <f>HYPERLINK("https://lsnyc.legalserver.org/matter/dynamic-profile/view/1875224","18-1875224")</f>
        <v>0</v>
      </c>
      <c r="B1027" t="s">
        <v>122</v>
      </c>
      <c r="C1027" t="s">
        <v>341</v>
      </c>
      <c r="D1027" t="s">
        <v>515</v>
      </c>
      <c r="E1027" t="s">
        <v>599</v>
      </c>
      <c r="F1027" t="s">
        <v>1567</v>
      </c>
      <c r="G1027" t="s">
        <v>5755</v>
      </c>
      <c r="H1027" t="s">
        <v>10543</v>
      </c>
      <c r="I1027">
        <v>1704</v>
      </c>
      <c r="J1027" t="s">
        <v>18909</v>
      </c>
      <c r="K1027">
        <v>11101</v>
      </c>
      <c r="L1027" t="s">
        <v>18958</v>
      </c>
      <c r="M1027" t="s">
        <v>18958</v>
      </c>
      <c r="N1027" t="s">
        <v>19045</v>
      </c>
      <c r="O1027" t="s">
        <v>18997</v>
      </c>
      <c r="P1027" t="s">
        <v>26564</v>
      </c>
      <c r="Q1027" t="s">
        <v>26570</v>
      </c>
      <c r="R1027" t="s">
        <v>26589</v>
      </c>
      <c r="S1027" t="s">
        <v>18959</v>
      </c>
      <c r="U1027" t="s">
        <v>26607</v>
      </c>
      <c r="V1027" t="s">
        <v>26610</v>
      </c>
      <c r="W1027" t="s">
        <v>515</v>
      </c>
      <c r="X1027">
        <v>3000</v>
      </c>
      <c r="Y1027" t="s">
        <v>26653</v>
      </c>
      <c r="Z1027" t="s">
        <v>26671</v>
      </c>
      <c r="AA1027" t="s">
        <v>26683</v>
      </c>
      <c r="AB1027" t="s">
        <v>27660</v>
      </c>
      <c r="AD1027" t="s">
        <v>37714</v>
      </c>
      <c r="AE1027">
        <v>60</v>
      </c>
      <c r="AF1027" t="s">
        <v>45541</v>
      </c>
      <c r="AG1027" t="s">
        <v>19330</v>
      </c>
      <c r="AH1027">
        <v>5</v>
      </c>
      <c r="AI1027">
        <v>1</v>
      </c>
      <c r="AJ1027">
        <v>0</v>
      </c>
      <c r="AK1027">
        <v>576.61</v>
      </c>
      <c r="AL1027" t="s">
        <v>45567</v>
      </c>
      <c r="AM1027" t="s">
        <v>45577</v>
      </c>
      <c r="AN1027" t="s">
        <v>7439</v>
      </c>
      <c r="AO1027">
        <v>70000</v>
      </c>
      <c r="AU1027">
        <v>2.05</v>
      </c>
      <c r="AV1027" t="s">
        <v>605</v>
      </c>
      <c r="AW1027" t="s">
        <v>122</v>
      </c>
    </row>
    <row r="1028" spans="1:49">
      <c r="A1028" s="1">
        <f>HYPERLINK("https://lsnyc.legalserver.org/matter/dynamic-profile/view/1874997","18-1874997")</f>
        <v>0</v>
      </c>
      <c r="B1028" t="s">
        <v>103</v>
      </c>
      <c r="C1028" t="s">
        <v>341</v>
      </c>
      <c r="D1028" t="s">
        <v>515</v>
      </c>
      <c r="E1028" t="s">
        <v>745</v>
      </c>
      <c r="F1028" t="s">
        <v>1568</v>
      </c>
      <c r="G1028" t="s">
        <v>5266</v>
      </c>
      <c r="H1028" t="s">
        <v>10544</v>
      </c>
      <c r="I1028">
        <v>2</v>
      </c>
      <c r="J1028" t="s">
        <v>18902</v>
      </c>
      <c r="K1028">
        <v>10301</v>
      </c>
      <c r="L1028" t="s">
        <v>18958</v>
      </c>
      <c r="M1028" t="s">
        <v>18958</v>
      </c>
      <c r="N1028" t="s">
        <v>19767</v>
      </c>
      <c r="O1028" t="s">
        <v>26524</v>
      </c>
      <c r="P1028" t="s">
        <v>26560</v>
      </c>
      <c r="Q1028" t="s">
        <v>26568</v>
      </c>
      <c r="R1028" t="s">
        <v>26578</v>
      </c>
      <c r="S1028" t="s">
        <v>18959</v>
      </c>
      <c r="U1028" t="s">
        <v>26604</v>
      </c>
      <c r="V1028" t="s">
        <v>26610</v>
      </c>
      <c r="W1028" t="s">
        <v>515</v>
      </c>
      <c r="X1028">
        <v>975</v>
      </c>
      <c r="Y1028" t="s">
        <v>26654</v>
      </c>
      <c r="Z1028" t="s">
        <v>26661</v>
      </c>
      <c r="AA1028" t="s">
        <v>26679</v>
      </c>
      <c r="AB1028" t="s">
        <v>27661</v>
      </c>
      <c r="AD1028" t="s">
        <v>37715</v>
      </c>
      <c r="AE1028">
        <v>2</v>
      </c>
      <c r="AF1028" t="s">
        <v>45547</v>
      </c>
      <c r="AG1028" t="s">
        <v>19330</v>
      </c>
      <c r="AH1028">
        <v>1</v>
      </c>
      <c r="AI1028">
        <v>1</v>
      </c>
      <c r="AJ1028">
        <v>2</v>
      </c>
      <c r="AK1028">
        <v>136.63</v>
      </c>
      <c r="AN1028" t="s">
        <v>7439</v>
      </c>
      <c r="AO1028">
        <v>28392</v>
      </c>
      <c r="AQ1028" t="s">
        <v>46365</v>
      </c>
      <c r="AR1028" t="s">
        <v>26530</v>
      </c>
      <c r="AS1028" t="s">
        <v>46500</v>
      </c>
      <c r="AT1028" t="s">
        <v>46506</v>
      </c>
      <c r="AU1028">
        <v>26.9</v>
      </c>
      <c r="AV1028" t="s">
        <v>745</v>
      </c>
      <c r="AW1028" t="s">
        <v>190</v>
      </c>
    </row>
    <row r="1029" spans="1:49">
      <c r="A1029" s="1">
        <f>HYPERLINK("https://lsnyc.legalserver.org/matter/dynamic-profile/view/1875144","18-1875144")</f>
        <v>0</v>
      </c>
      <c r="B1029" t="s">
        <v>111</v>
      </c>
      <c r="C1029" t="s">
        <v>341</v>
      </c>
      <c r="D1029" t="s">
        <v>515</v>
      </c>
      <c r="E1029" t="s">
        <v>675</v>
      </c>
      <c r="F1029" t="s">
        <v>1079</v>
      </c>
      <c r="G1029" t="s">
        <v>5756</v>
      </c>
      <c r="H1029" t="s">
        <v>10545</v>
      </c>
      <c r="I1029" t="s">
        <v>17581</v>
      </c>
      <c r="J1029" t="s">
        <v>18910</v>
      </c>
      <c r="K1029">
        <v>11420</v>
      </c>
      <c r="L1029" t="s">
        <v>18958</v>
      </c>
      <c r="M1029" t="s">
        <v>18959</v>
      </c>
      <c r="N1029" t="s">
        <v>19768</v>
      </c>
      <c r="O1029" t="s">
        <v>26524</v>
      </c>
      <c r="P1029" t="s">
        <v>26560</v>
      </c>
      <c r="Q1029" t="s">
        <v>26568</v>
      </c>
      <c r="R1029" t="s">
        <v>26584</v>
      </c>
      <c r="S1029" t="s">
        <v>18959</v>
      </c>
      <c r="U1029" t="s">
        <v>26604</v>
      </c>
      <c r="V1029" t="s">
        <v>26614</v>
      </c>
      <c r="W1029" t="s">
        <v>515</v>
      </c>
      <c r="X1029">
        <v>500</v>
      </c>
      <c r="Y1029" t="s">
        <v>26653</v>
      </c>
      <c r="Z1029" t="s">
        <v>26664</v>
      </c>
      <c r="AA1029" t="s">
        <v>26686</v>
      </c>
      <c r="AB1029" t="s">
        <v>27662</v>
      </c>
      <c r="AC1029" t="s">
        <v>34820</v>
      </c>
      <c r="AD1029" t="s">
        <v>37716</v>
      </c>
      <c r="AE1029">
        <v>5</v>
      </c>
      <c r="AF1029" t="s">
        <v>45547</v>
      </c>
      <c r="AG1029" t="s">
        <v>19330</v>
      </c>
      <c r="AH1029">
        <v>2</v>
      </c>
      <c r="AI1029">
        <v>1</v>
      </c>
      <c r="AJ1029">
        <v>0</v>
      </c>
      <c r="AK1029">
        <v>84.02</v>
      </c>
      <c r="AN1029" t="s">
        <v>7439</v>
      </c>
      <c r="AO1029">
        <v>10200</v>
      </c>
      <c r="AQ1029" t="s">
        <v>46359</v>
      </c>
      <c r="AS1029" t="s">
        <v>46500</v>
      </c>
      <c r="AT1029" t="s">
        <v>46611</v>
      </c>
      <c r="AU1029">
        <v>14.95</v>
      </c>
      <c r="AV1029" t="s">
        <v>528</v>
      </c>
      <c r="AW1029" t="s">
        <v>161</v>
      </c>
    </row>
    <row r="1030" spans="1:49">
      <c r="A1030" s="1">
        <f>HYPERLINK("https://lsnyc.legalserver.org/matter/dynamic-profile/view/1875799","18-1875799")</f>
        <v>0</v>
      </c>
      <c r="B1030" t="s">
        <v>133</v>
      </c>
      <c r="C1030" t="s">
        <v>340</v>
      </c>
      <c r="D1030" t="s">
        <v>515</v>
      </c>
      <c r="F1030" t="s">
        <v>1569</v>
      </c>
      <c r="G1030" t="s">
        <v>5757</v>
      </c>
      <c r="H1030" t="s">
        <v>10546</v>
      </c>
      <c r="I1030" t="s">
        <v>17301</v>
      </c>
      <c r="J1030" t="s">
        <v>18892</v>
      </c>
      <c r="K1030">
        <v>10467</v>
      </c>
      <c r="L1030" t="s">
        <v>18958</v>
      </c>
      <c r="M1030" t="s">
        <v>18958</v>
      </c>
      <c r="N1030" t="s">
        <v>19769</v>
      </c>
      <c r="O1030" t="s">
        <v>26523</v>
      </c>
      <c r="P1030" t="s">
        <v>26560</v>
      </c>
      <c r="R1030" t="s">
        <v>26579</v>
      </c>
      <c r="S1030" t="s">
        <v>18959</v>
      </c>
      <c r="U1030" t="s">
        <v>26604</v>
      </c>
      <c r="V1030" t="s">
        <v>26610</v>
      </c>
      <c r="W1030" t="s">
        <v>515</v>
      </c>
      <c r="X1030">
        <v>1924.39</v>
      </c>
      <c r="Y1030" t="s">
        <v>26650</v>
      </c>
      <c r="Z1030" t="s">
        <v>26664</v>
      </c>
      <c r="AB1030" t="s">
        <v>27663</v>
      </c>
      <c r="AC1030" t="s">
        <v>34821</v>
      </c>
      <c r="AD1030" t="s">
        <v>37717</v>
      </c>
      <c r="AE1030">
        <v>0</v>
      </c>
      <c r="AF1030" t="s">
        <v>45541</v>
      </c>
      <c r="AG1030" t="s">
        <v>45556</v>
      </c>
      <c r="AH1030">
        <v>9</v>
      </c>
      <c r="AI1030">
        <v>3</v>
      </c>
      <c r="AJ1030">
        <v>0</v>
      </c>
      <c r="AK1030">
        <v>131.26</v>
      </c>
      <c r="AO1030">
        <v>27276</v>
      </c>
      <c r="AP1030" t="s">
        <v>45654</v>
      </c>
      <c r="AU1030">
        <v>15.4</v>
      </c>
      <c r="AV1030" t="s">
        <v>811</v>
      </c>
      <c r="AW1030" t="s">
        <v>334</v>
      </c>
    </row>
    <row r="1031" spans="1:49">
      <c r="A1031" s="1">
        <f>HYPERLINK("https://lsnyc.legalserver.org/matter/dynamic-profile/view/1875109","18-1875109")</f>
        <v>0</v>
      </c>
      <c r="B1031" t="s">
        <v>131</v>
      </c>
      <c r="C1031" t="s">
        <v>340</v>
      </c>
      <c r="D1031" t="s">
        <v>515</v>
      </c>
      <c r="F1031" t="s">
        <v>1570</v>
      </c>
      <c r="G1031" t="s">
        <v>5269</v>
      </c>
      <c r="H1031" t="s">
        <v>10547</v>
      </c>
      <c r="I1031" t="s">
        <v>17487</v>
      </c>
      <c r="J1031" t="s">
        <v>18902</v>
      </c>
      <c r="K1031">
        <v>10303</v>
      </c>
      <c r="L1031" t="s">
        <v>18958</v>
      </c>
      <c r="M1031" t="s">
        <v>18958</v>
      </c>
      <c r="N1031" t="s">
        <v>19770</v>
      </c>
      <c r="O1031" t="s">
        <v>26523</v>
      </c>
      <c r="P1031" t="s">
        <v>26560</v>
      </c>
      <c r="R1031" t="s">
        <v>26590</v>
      </c>
      <c r="S1031" t="s">
        <v>18959</v>
      </c>
      <c r="U1031" t="s">
        <v>26606</v>
      </c>
      <c r="V1031" t="s">
        <v>26610</v>
      </c>
      <c r="W1031" t="s">
        <v>515</v>
      </c>
      <c r="X1031">
        <v>400</v>
      </c>
      <c r="Y1031" t="s">
        <v>26654</v>
      </c>
      <c r="Z1031" t="s">
        <v>26668</v>
      </c>
      <c r="AB1031" t="s">
        <v>27664</v>
      </c>
      <c r="AD1031" t="s">
        <v>37718</v>
      </c>
      <c r="AE1031">
        <v>0</v>
      </c>
      <c r="AF1031" t="s">
        <v>45543</v>
      </c>
      <c r="AG1031" t="s">
        <v>45556</v>
      </c>
      <c r="AH1031">
        <v>13</v>
      </c>
      <c r="AI1031">
        <v>1</v>
      </c>
      <c r="AJ1031">
        <v>2</v>
      </c>
      <c r="AK1031">
        <v>86.39</v>
      </c>
      <c r="AN1031" t="s">
        <v>7439</v>
      </c>
      <c r="AO1031">
        <v>17952</v>
      </c>
      <c r="AU1031">
        <v>11.55</v>
      </c>
      <c r="AV1031" t="s">
        <v>744</v>
      </c>
      <c r="AW1031" t="s">
        <v>190</v>
      </c>
    </row>
    <row r="1032" spans="1:49">
      <c r="A1032" s="1">
        <f>HYPERLINK("https://lsnyc.legalserver.org/matter/dynamic-profile/view/1875111","18-1875111")</f>
        <v>0</v>
      </c>
      <c r="B1032" t="s">
        <v>84</v>
      </c>
      <c r="C1032" t="s">
        <v>340</v>
      </c>
      <c r="D1032" t="s">
        <v>515</v>
      </c>
      <c r="F1032" t="s">
        <v>1571</v>
      </c>
      <c r="G1032" t="s">
        <v>5758</v>
      </c>
      <c r="H1032" t="s">
        <v>10548</v>
      </c>
      <c r="I1032">
        <v>801</v>
      </c>
      <c r="J1032" t="s">
        <v>18893</v>
      </c>
      <c r="K1032">
        <v>10027</v>
      </c>
      <c r="L1032" t="s">
        <v>18958</v>
      </c>
      <c r="M1032" t="s">
        <v>18960</v>
      </c>
      <c r="O1032" t="s">
        <v>26523</v>
      </c>
      <c r="P1032" t="s">
        <v>26560</v>
      </c>
      <c r="R1032" t="s">
        <v>26592</v>
      </c>
      <c r="S1032" t="s">
        <v>18959</v>
      </c>
      <c r="U1032" t="s">
        <v>26604</v>
      </c>
      <c r="W1032" t="s">
        <v>515</v>
      </c>
      <c r="X1032">
        <v>958</v>
      </c>
      <c r="Y1032" t="s">
        <v>26651</v>
      </c>
      <c r="Z1032" t="s">
        <v>26664</v>
      </c>
      <c r="AB1032" t="s">
        <v>26782</v>
      </c>
      <c r="AD1032" t="s">
        <v>37719</v>
      </c>
      <c r="AE1032">
        <v>0</v>
      </c>
      <c r="AF1032" t="s">
        <v>45541</v>
      </c>
      <c r="AG1032" t="s">
        <v>19330</v>
      </c>
      <c r="AH1032">
        <v>2</v>
      </c>
      <c r="AI1032">
        <v>1</v>
      </c>
      <c r="AJ1032">
        <v>1</v>
      </c>
      <c r="AK1032">
        <v>0</v>
      </c>
      <c r="AN1032" t="s">
        <v>7439</v>
      </c>
      <c r="AO1032">
        <v>0</v>
      </c>
      <c r="AU1032">
        <v>34.7</v>
      </c>
      <c r="AV1032" t="s">
        <v>805</v>
      </c>
      <c r="AW1032" t="s">
        <v>46840</v>
      </c>
    </row>
    <row r="1033" spans="1:49">
      <c r="A1033" s="1">
        <f>HYPERLINK("https://lsnyc.legalserver.org/matter/dynamic-profile/view/1875112","18-1875112")</f>
        <v>0</v>
      </c>
      <c r="B1033" t="s">
        <v>90</v>
      </c>
      <c r="C1033" t="s">
        <v>340</v>
      </c>
      <c r="D1033" t="s">
        <v>515</v>
      </c>
      <c r="F1033" t="s">
        <v>1119</v>
      </c>
      <c r="G1033" t="s">
        <v>5191</v>
      </c>
      <c r="H1033" t="s">
        <v>10377</v>
      </c>
      <c r="J1033" t="s">
        <v>18893</v>
      </c>
      <c r="K1033">
        <v>10031</v>
      </c>
      <c r="L1033" t="s">
        <v>18958</v>
      </c>
      <c r="M1033" t="s">
        <v>18958</v>
      </c>
      <c r="N1033" t="s">
        <v>19616</v>
      </c>
      <c r="O1033" t="s">
        <v>26526</v>
      </c>
      <c r="P1033" t="s">
        <v>26564</v>
      </c>
      <c r="R1033" t="s">
        <v>26578</v>
      </c>
      <c r="S1033" t="s">
        <v>18958</v>
      </c>
      <c r="U1033" t="s">
        <v>26604</v>
      </c>
      <c r="V1033" t="s">
        <v>26610</v>
      </c>
      <c r="W1033" t="s">
        <v>515</v>
      </c>
      <c r="X1033">
        <v>1712</v>
      </c>
      <c r="Y1033" t="s">
        <v>26651</v>
      </c>
      <c r="Z1033" t="s">
        <v>26667</v>
      </c>
      <c r="AB1033" t="s">
        <v>27665</v>
      </c>
      <c r="AC1033" t="s">
        <v>34822</v>
      </c>
      <c r="AE1033">
        <v>44</v>
      </c>
      <c r="AF1033" t="s">
        <v>45543</v>
      </c>
      <c r="AG1033" t="s">
        <v>45556</v>
      </c>
      <c r="AH1033">
        <v>14</v>
      </c>
      <c r="AI1033">
        <v>2</v>
      </c>
      <c r="AJ1033">
        <v>1</v>
      </c>
      <c r="AK1033">
        <v>25.52</v>
      </c>
      <c r="AN1033" t="s">
        <v>45581</v>
      </c>
      <c r="AO1033">
        <v>5304</v>
      </c>
      <c r="AU1033">
        <v>0</v>
      </c>
      <c r="AW1033" t="s">
        <v>46835</v>
      </c>
    </row>
    <row r="1034" spans="1:49">
      <c r="A1034" s="1">
        <f>HYPERLINK("https://lsnyc.legalserver.org/matter/dynamic-profile/view/1875101","18-1875101")</f>
        <v>0</v>
      </c>
      <c r="B1034" t="s">
        <v>90</v>
      </c>
      <c r="C1034" t="s">
        <v>340</v>
      </c>
      <c r="D1034" t="s">
        <v>515</v>
      </c>
      <c r="F1034" t="s">
        <v>1572</v>
      </c>
      <c r="G1034" t="s">
        <v>5008</v>
      </c>
      <c r="H1034" t="s">
        <v>10549</v>
      </c>
      <c r="I1034" t="s">
        <v>17378</v>
      </c>
      <c r="J1034" t="s">
        <v>18893</v>
      </c>
      <c r="K1034">
        <v>10031</v>
      </c>
      <c r="L1034" t="s">
        <v>18958</v>
      </c>
      <c r="M1034" t="s">
        <v>18958</v>
      </c>
      <c r="N1034" t="s">
        <v>19771</v>
      </c>
      <c r="O1034" t="s">
        <v>26526</v>
      </c>
      <c r="P1034" t="s">
        <v>26560</v>
      </c>
      <c r="R1034" t="s">
        <v>26578</v>
      </c>
      <c r="S1034" t="s">
        <v>18958</v>
      </c>
      <c r="U1034" t="s">
        <v>26604</v>
      </c>
      <c r="V1034" t="s">
        <v>26610</v>
      </c>
      <c r="W1034" t="s">
        <v>515</v>
      </c>
      <c r="X1034">
        <v>0</v>
      </c>
      <c r="Y1034" t="s">
        <v>26651</v>
      </c>
      <c r="Z1034" t="s">
        <v>26667</v>
      </c>
      <c r="AB1034" t="s">
        <v>27666</v>
      </c>
      <c r="AE1034">
        <v>42</v>
      </c>
      <c r="AF1034" t="s">
        <v>45543</v>
      </c>
      <c r="AG1034" t="s">
        <v>45556</v>
      </c>
      <c r="AH1034">
        <v>31</v>
      </c>
      <c r="AI1034">
        <v>1</v>
      </c>
      <c r="AJ1034">
        <v>0</v>
      </c>
      <c r="AK1034">
        <v>77.27</v>
      </c>
      <c r="AN1034" t="s">
        <v>7439</v>
      </c>
      <c r="AO1034">
        <v>9380.040000000001</v>
      </c>
      <c r="AQ1034" t="s">
        <v>46359</v>
      </c>
      <c r="AU1034">
        <v>0.75</v>
      </c>
      <c r="AV1034" t="s">
        <v>635</v>
      </c>
      <c r="AW1034" t="s">
        <v>46835</v>
      </c>
    </row>
    <row r="1035" spans="1:49">
      <c r="A1035" s="1">
        <f>HYPERLINK("https://lsnyc.legalserver.org/matter/dynamic-profile/view/1875414","18-1875414")</f>
        <v>0</v>
      </c>
      <c r="B1035" t="s">
        <v>68</v>
      </c>
      <c r="C1035" t="s">
        <v>340</v>
      </c>
      <c r="D1035" t="s">
        <v>515</v>
      </c>
      <c r="F1035" t="s">
        <v>1573</v>
      </c>
      <c r="G1035" t="s">
        <v>5759</v>
      </c>
      <c r="H1035" t="s">
        <v>10550</v>
      </c>
      <c r="I1035" t="s">
        <v>17312</v>
      </c>
      <c r="J1035" t="s">
        <v>18892</v>
      </c>
      <c r="K1035">
        <v>10467</v>
      </c>
      <c r="L1035" t="s">
        <v>18958</v>
      </c>
      <c r="M1035" t="s">
        <v>18958</v>
      </c>
      <c r="N1035" t="s">
        <v>19772</v>
      </c>
      <c r="O1035" t="s">
        <v>26524</v>
      </c>
      <c r="P1035" t="s">
        <v>26560</v>
      </c>
      <c r="R1035" t="s">
        <v>26579</v>
      </c>
      <c r="S1035" t="s">
        <v>18959</v>
      </c>
      <c r="U1035" t="s">
        <v>26604</v>
      </c>
      <c r="V1035" t="s">
        <v>26610</v>
      </c>
      <c r="W1035" t="s">
        <v>515</v>
      </c>
      <c r="X1035">
        <v>1213</v>
      </c>
      <c r="Y1035" t="s">
        <v>26650</v>
      </c>
      <c r="Z1035" t="s">
        <v>26664</v>
      </c>
      <c r="AB1035" t="s">
        <v>27667</v>
      </c>
      <c r="AC1035" t="s">
        <v>34823</v>
      </c>
      <c r="AD1035" t="s">
        <v>37720</v>
      </c>
      <c r="AE1035">
        <v>3</v>
      </c>
      <c r="AF1035" t="s">
        <v>45547</v>
      </c>
      <c r="AG1035" t="s">
        <v>45560</v>
      </c>
      <c r="AH1035">
        <v>2</v>
      </c>
      <c r="AI1035">
        <v>1</v>
      </c>
      <c r="AJ1035">
        <v>0</v>
      </c>
      <c r="AK1035">
        <v>21.25</v>
      </c>
      <c r="AN1035" t="s">
        <v>7439</v>
      </c>
      <c r="AO1035">
        <v>2580</v>
      </c>
      <c r="AR1035" t="s">
        <v>46425</v>
      </c>
      <c r="AS1035" t="s">
        <v>46499</v>
      </c>
      <c r="AT1035" t="s">
        <v>46619</v>
      </c>
      <c r="AU1035">
        <v>26.75</v>
      </c>
      <c r="AV1035" t="s">
        <v>806</v>
      </c>
      <c r="AW1035" t="s">
        <v>334</v>
      </c>
    </row>
    <row r="1036" spans="1:49">
      <c r="A1036" s="1">
        <f>HYPERLINK("https://lsnyc.legalserver.org/matter/dynamic-profile/view/1875209","18-1875209")</f>
        <v>0</v>
      </c>
      <c r="B1036" t="s">
        <v>127</v>
      </c>
      <c r="C1036" t="s">
        <v>340</v>
      </c>
      <c r="D1036" t="s">
        <v>515</v>
      </c>
      <c r="F1036" t="s">
        <v>1574</v>
      </c>
      <c r="G1036" t="s">
        <v>5760</v>
      </c>
      <c r="H1036" t="s">
        <v>10551</v>
      </c>
      <c r="I1036" t="s">
        <v>17333</v>
      </c>
      <c r="J1036" t="s">
        <v>18894</v>
      </c>
      <c r="K1036">
        <v>11233</v>
      </c>
      <c r="L1036" t="s">
        <v>18958</v>
      </c>
      <c r="M1036" t="s">
        <v>18958</v>
      </c>
      <c r="N1036" t="s">
        <v>19773</v>
      </c>
      <c r="O1036" t="s">
        <v>26524</v>
      </c>
      <c r="P1036" t="s">
        <v>26565</v>
      </c>
      <c r="R1036" t="s">
        <v>26578</v>
      </c>
      <c r="S1036" t="s">
        <v>18959</v>
      </c>
      <c r="U1036" t="s">
        <v>26604</v>
      </c>
      <c r="W1036" t="s">
        <v>515</v>
      </c>
      <c r="X1036">
        <v>650</v>
      </c>
      <c r="Y1036" t="s">
        <v>26652</v>
      </c>
      <c r="Z1036" t="s">
        <v>26660</v>
      </c>
      <c r="AB1036" t="s">
        <v>27668</v>
      </c>
      <c r="AC1036" t="s">
        <v>20460</v>
      </c>
      <c r="AD1036" t="s">
        <v>37721</v>
      </c>
      <c r="AE1036">
        <v>6</v>
      </c>
      <c r="AF1036" t="s">
        <v>45541</v>
      </c>
      <c r="AG1036" t="s">
        <v>19330</v>
      </c>
      <c r="AH1036">
        <v>31</v>
      </c>
      <c r="AI1036">
        <v>2</v>
      </c>
      <c r="AJ1036">
        <v>0</v>
      </c>
      <c r="AK1036">
        <v>190.47</v>
      </c>
      <c r="AN1036" t="s">
        <v>7439</v>
      </c>
      <c r="AO1036">
        <v>31352</v>
      </c>
      <c r="AP1036" t="s">
        <v>45679</v>
      </c>
      <c r="AU1036">
        <v>7.75</v>
      </c>
      <c r="AV1036" t="s">
        <v>589</v>
      </c>
      <c r="AW1036" t="s">
        <v>279</v>
      </c>
    </row>
    <row r="1037" spans="1:49">
      <c r="A1037" s="1">
        <f>HYPERLINK("https://lsnyc.legalserver.org/matter/dynamic-profile/view/1875131","18-1875131")</f>
        <v>0</v>
      </c>
      <c r="B1037" t="s">
        <v>111</v>
      </c>
      <c r="C1037" t="s">
        <v>340</v>
      </c>
      <c r="D1037" t="s">
        <v>515</v>
      </c>
      <c r="F1037" t="s">
        <v>928</v>
      </c>
      <c r="G1037" t="s">
        <v>5761</v>
      </c>
      <c r="H1037" t="s">
        <v>10552</v>
      </c>
      <c r="I1037" t="s">
        <v>17582</v>
      </c>
      <c r="J1037" t="s">
        <v>18901</v>
      </c>
      <c r="K1037">
        <v>11435</v>
      </c>
      <c r="L1037" t="s">
        <v>18958</v>
      </c>
      <c r="M1037" t="s">
        <v>18958</v>
      </c>
      <c r="N1037" t="s">
        <v>19774</v>
      </c>
      <c r="O1037" t="s">
        <v>26524</v>
      </c>
      <c r="P1037" t="s">
        <v>26564</v>
      </c>
      <c r="R1037" t="s">
        <v>26584</v>
      </c>
      <c r="S1037" t="s">
        <v>18958</v>
      </c>
      <c r="U1037" t="s">
        <v>26604</v>
      </c>
      <c r="V1037" t="s">
        <v>26610</v>
      </c>
      <c r="W1037" t="s">
        <v>515</v>
      </c>
      <c r="X1037">
        <v>100</v>
      </c>
      <c r="Y1037" t="s">
        <v>26653</v>
      </c>
      <c r="Z1037" t="s">
        <v>26664</v>
      </c>
      <c r="AB1037" t="s">
        <v>27669</v>
      </c>
      <c r="AD1037" t="s">
        <v>37722</v>
      </c>
      <c r="AE1037">
        <v>2</v>
      </c>
      <c r="AF1037" t="s">
        <v>45547</v>
      </c>
      <c r="AG1037" t="s">
        <v>19330</v>
      </c>
      <c r="AH1037">
        <v>7</v>
      </c>
      <c r="AI1037">
        <v>1</v>
      </c>
      <c r="AJ1037">
        <v>0</v>
      </c>
      <c r="AK1037">
        <v>107.84</v>
      </c>
      <c r="AN1037" t="s">
        <v>7439</v>
      </c>
      <c r="AO1037">
        <v>13092</v>
      </c>
      <c r="AU1037">
        <v>7.5</v>
      </c>
      <c r="AV1037" t="s">
        <v>511</v>
      </c>
      <c r="AW1037" t="s">
        <v>122</v>
      </c>
    </row>
    <row r="1038" spans="1:49">
      <c r="A1038" s="1">
        <f>HYPERLINK("https://lsnyc.legalserver.org/matter/dynamic-profile/view/1875194","18-1875194")</f>
        <v>0</v>
      </c>
      <c r="B1038" t="s">
        <v>114</v>
      </c>
      <c r="C1038" t="s">
        <v>340</v>
      </c>
      <c r="D1038" t="s">
        <v>515</v>
      </c>
      <c r="F1038" t="s">
        <v>1125</v>
      </c>
      <c r="G1038" t="s">
        <v>5095</v>
      </c>
      <c r="H1038" t="s">
        <v>10553</v>
      </c>
      <c r="I1038" t="s">
        <v>17328</v>
      </c>
      <c r="J1038" t="s">
        <v>18921</v>
      </c>
      <c r="K1038">
        <v>11426</v>
      </c>
      <c r="L1038" t="s">
        <v>18958</v>
      </c>
      <c r="M1038" t="s">
        <v>18958</v>
      </c>
      <c r="N1038" t="s">
        <v>19775</v>
      </c>
      <c r="O1038" t="s">
        <v>26524</v>
      </c>
      <c r="P1038" t="s">
        <v>26560</v>
      </c>
      <c r="R1038" t="s">
        <v>26578</v>
      </c>
      <c r="S1038" t="s">
        <v>18959</v>
      </c>
      <c r="U1038" t="s">
        <v>26604</v>
      </c>
      <c r="V1038" t="s">
        <v>26610</v>
      </c>
      <c r="W1038" t="s">
        <v>515</v>
      </c>
      <c r="X1038">
        <v>850</v>
      </c>
      <c r="Y1038" t="s">
        <v>26653</v>
      </c>
      <c r="Z1038" t="s">
        <v>26664</v>
      </c>
      <c r="AB1038" t="s">
        <v>27670</v>
      </c>
      <c r="AC1038" t="s">
        <v>34824</v>
      </c>
      <c r="AD1038" t="s">
        <v>37723</v>
      </c>
      <c r="AE1038">
        <v>3</v>
      </c>
      <c r="AF1038" t="s">
        <v>45547</v>
      </c>
      <c r="AG1038" t="s">
        <v>19330</v>
      </c>
      <c r="AH1038">
        <v>8</v>
      </c>
      <c r="AI1038">
        <v>1</v>
      </c>
      <c r="AJ1038">
        <v>0</v>
      </c>
      <c r="AK1038">
        <v>57.53</v>
      </c>
      <c r="AN1038" t="s">
        <v>7439</v>
      </c>
      <c r="AO1038">
        <v>6984</v>
      </c>
      <c r="AQ1038" t="s">
        <v>46359</v>
      </c>
      <c r="AR1038" t="s">
        <v>46379</v>
      </c>
      <c r="AS1038" t="s">
        <v>46499</v>
      </c>
      <c r="AT1038" t="s">
        <v>46670</v>
      </c>
      <c r="AU1038">
        <v>1.2</v>
      </c>
      <c r="AV1038" t="s">
        <v>545</v>
      </c>
      <c r="AW1038" t="s">
        <v>208</v>
      </c>
    </row>
    <row r="1039" spans="1:49">
      <c r="A1039" s="1">
        <f>HYPERLINK("https://lsnyc.legalserver.org/matter/dynamic-profile/view/1875098","18-1875098")</f>
        <v>0</v>
      </c>
      <c r="B1039" t="s">
        <v>211</v>
      </c>
      <c r="C1039" t="s">
        <v>340</v>
      </c>
      <c r="D1039" t="s">
        <v>521</v>
      </c>
      <c r="F1039" t="s">
        <v>1575</v>
      </c>
      <c r="G1039" t="s">
        <v>5303</v>
      </c>
      <c r="H1039" t="s">
        <v>10317</v>
      </c>
      <c r="J1039" t="s">
        <v>18894</v>
      </c>
      <c r="K1039">
        <v>11208</v>
      </c>
      <c r="L1039" t="s">
        <v>18958</v>
      </c>
      <c r="M1039" t="s">
        <v>18958</v>
      </c>
      <c r="O1039" t="s">
        <v>26524</v>
      </c>
      <c r="P1039" t="s">
        <v>26560</v>
      </c>
      <c r="R1039" t="s">
        <v>26578</v>
      </c>
      <c r="S1039" t="s">
        <v>18958</v>
      </c>
      <c r="U1039" t="s">
        <v>26604</v>
      </c>
      <c r="W1039" t="s">
        <v>515</v>
      </c>
      <c r="X1039">
        <v>0</v>
      </c>
      <c r="Y1039" t="s">
        <v>26652</v>
      </c>
      <c r="AB1039" t="s">
        <v>27671</v>
      </c>
      <c r="AD1039" t="s">
        <v>37724</v>
      </c>
      <c r="AE1039">
        <v>9</v>
      </c>
      <c r="AH1039">
        <v>0</v>
      </c>
      <c r="AI1039">
        <v>2</v>
      </c>
      <c r="AJ1039">
        <v>0</v>
      </c>
      <c r="AK1039">
        <v>221.14</v>
      </c>
      <c r="AL1039" t="s">
        <v>515</v>
      </c>
      <c r="AM1039" t="s">
        <v>45575</v>
      </c>
      <c r="AN1039" t="s">
        <v>7439</v>
      </c>
      <c r="AO1039">
        <v>36400</v>
      </c>
      <c r="AP1039" t="s">
        <v>45680</v>
      </c>
      <c r="AU1039">
        <v>5.3</v>
      </c>
      <c r="AV1039" t="s">
        <v>451</v>
      </c>
      <c r="AW1039" t="s">
        <v>211</v>
      </c>
    </row>
    <row r="1040" spans="1:49">
      <c r="A1040" s="1">
        <f>HYPERLINK("https://lsnyc.legalserver.org/matter/dynamic-profile/view/1874152","18-1874152")</f>
        <v>0</v>
      </c>
      <c r="B1040" t="s">
        <v>211</v>
      </c>
      <c r="C1040" t="s">
        <v>341</v>
      </c>
      <c r="D1040" t="s">
        <v>522</v>
      </c>
      <c r="E1040" t="s">
        <v>594</v>
      </c>
      <c r="F1040" t="s">
        <v>1287</v>
      </c>
      <c r="G1040" t="s">
        <v>5762</v>
      </c>
      <c r="H1040" t="s">
        <v>10317</v>
      </c>
      <c r="J1040" t="s">
        <v>18894</v>
      </c>
      <c r="K1040">
        <v>11208</v>
      </c>
      <c r="L1040" t="s">
        <v>18958</v>
      </c>
      <c r="M1040" t="s">
        <v>18958</v>
      </c>
      <c r="N1040" t="s">
        <v>19563</v>
      </c>
      <c r="O1040" t="s">
        <v>26524</v>
      </c>
      <c r="P1040" t="s">
        <v>26560</v>
      </c>
      <c r="Q1040" t="s">
        <v>26568</v>
      </c>
      <c r="R1040" t="s">
        <v>26578</v>
      </c>
      <c r="S1040" t="s">
        <v>18958</v>
      </c>
      <c r="U1040" t="s">
        <v>26604</v>
      </c>
      <c r="W1040" t="s">
        <v>515</v>
      </c>
      <c r="X1040">
        <v>400</v>
      </c>
      <c r="Y1040" t="s">
        <v>26652</v>
      </c>
      <c r="AA1040" t="s">
        <v>26678</v>
      </c>
      <c r="AB1040" t="s">
        <v>27672</v>
      </c>
      <c r="AE1040">
        <v>0</v>
      </c>
      <c r="AH1040">
        <v>3</v>
      </c>
      <c r="AI1040">
        <v>1</v>
      </c>
      <c r="AJ1040">
        <v>0</v>
      </c>
      <c r="AK1040">
        <v>288.3</v>
      </c>
      <c r="AL1040" t="s">
        <v>515</v>
      </c>
      <c r="AM1040" t="s">
        <v>45575</v>
      </c>
      <c r="AO1040">
        <v>35000</v>
      </c>
      <c r="AP1040" t="s">
        <v>45680</v>
      </c>
      <c r="AQ1040" t="s">
        <v>46362</v>
      </c>
      <c r="AR1040" t="s">
        <v>46381</v>
      </c>
      <c r="AS1040" t="s">
        <v>46499</v>
      </c>
      <c r="AT1040" t="s">
        <v>46671</v>
      </c>
      <c r="AU1040">
        <v>2.9</v>
      </c>
      <c r="AV1040" t="s">
        <v>524</v>
      </c>
      <c r="AW1040" t="s">
        <v>211</v>
      </c>
    </row>
    <row r="1041" spans="1:49">
      <c r="A1041" s="1">
        <f>HYPERLINK("https://lsnyc.legalserver.org/matter/dynamic-profile/view/1876389","18-1876389")</f>
        <v>0</v>
      </c>
      <c r="B1041" t="s">
        <v>134</v>
      </c>
      <c r="C1041" t="s">
        <v>340</v>
      </c>
      <c r="D1041" t="s">
        <v>523</v>
      </c>
      <c r="F1041" t="s">
        <v>1576</v>
      </c>
      <c r="G1041" t="s">
        <v>5763</v>
      </c>
      <c r="H1041" t="s">
        <v>10439</v>
      </c>
      <c r="I1041" t="s">
        <v>17338</v>
      </c>
      <c r="J1041" t="s">
        <v>18894</v>
      </c>
      <c r="K1041">
        <v>11216</v>
      </c>
      <c r="L1041" t="s">
        <v>18958</v>
      </c>
      <c r="M1041" t="s">
        <v>18958</v>
      </c>
      <c r="N1041" t="s">
        <v>19776</v>
      </c>
      <c r="O1041" t="s">
        <v>26528</v>
      </c>
      <c r="P1041" t="s">
        <v>26560</v>
      </c>
      <c r="R1041" t="s">
        <v>26578</v>
      </c>
      <c r="S1041" t="s">
        <v>18958</v>
      </c>
      <c r="U1041" t="s">
        <v>26604</v>
      </c>
      <c r="V1041" t="s">
        <v>26610</v>
      </c>
      <c r="W1041" t="s">
        <v>515</v>
      </c>
      <c r="X1041">
        <v>952.42</v>
      </c>
      <c r="Y1041" t="s">
        <v>26652</v>
      </c>
      <c r="Z1041" t="s">
        <v>26659</v>
      </c>
      <c r="AB1041" t="s">
        <v>27673</v>
      </c>
      <c r="AD1041" t="s">
        <v>37725</v>
      </c>
      <c r="AE1041">
        <v>82</v>
      </c>
      <c r="AF1041" t="s">
        <v>45541</v>
      </c>
      <c r="AG1041" t="s">
        <v>19330</v>
      </c>
      <c r="AH1041">
        <v>7</v>
      </c>
      <c r="AI1041">
        <v>1</v>
      </c>
      <c r="AJ1041">
        <v>0</v>
      </c>
      <c r="AK1041">
        <v>82.37</v>
      </c>
      <c r="AN1041" t="s">
        <v>7439</v>
      </c>
      <c r="AO1041">
        <v>10000</v>
      </c>
      <c r="AP1041" t="s">
        <v>45669</v>
      </c>
      <c r="AU1041">
        <v>220.85</v>
      </c>
      <c r="AV1041" t="s">
        <v>821</v>
      </c>
      <c r="AW1041" t="s">
        <v>134</v>
      </c>
    </row>
    <row r="1042" spans="1:49">
      <c r="A1042" s="1">
        <f>HYPERLINK("https://lsnyc.legalserver.org/matter/dynamic-profile/view/1876947","18-1876947")</f>
        <v>0</v>
      </c>
      <c r="B1042" t="s">
        <v>134</v>
      </c>
      <c r="C1042" t="s">
        <v>340</v>
      </c>
      <c r="D1042" t="s">
        <v>524</v>
      </c>
      <c r="F1042" t="s">
        <v>1577</v>
      </c>
      <c r="G1042" t="s">
        <v>5764</v>
      </c>
      <c r="H1042" t="s">
        <v>10439</v>
      </c>
      <c r="I1042" t="s">
        <v>17277</v>
      </c>
      <c r="J1042" t="s">
        <v>18894</v>
      </c>
      <c r="K1042">
        <v>11216</v>
      </c>
      <c r="L1042" t="s">
        <v>18958</v>
      </c>
      <c r="M1042" t="s">
        <v>18958</v>
      </c>
      <c r="O1042" t="s">
        <v>26528</v>
      </c>
      <c r="P1042" t="s">
        <v>26560</v>
      </c>
      <c r="R1042" t="s">
        <v>26578</v>
      </c>
      <c r="S1042" t="s">
        <v>18958</v>
      </c>
      <c r="U1042" t="s">
        <v>26604</v>
      </c>
      <c r="W1042" t="s">
        <v>515</v>
      </c>
      <c r="X1042">
        <v>2450</v>
      </c>
      <c r="Y1042" t="s">
        <v>26652</v>
      </c>
      <c r="Z1042" t="s">
        <v>26667</v>
      </c>
      <c r="AB1042" t="s">
        <v>27674</v>
      </c>
      <c r="AD1042" t="s">
        <v>37726</v>
      </c>
      <c r="AE1042">
        <v>82</v>
      </c>
      <c r="AF1042" t="s">
        <v>45541</v>
      </c>
      <c r="AG1042" t="s">
        <v>19330</v>
      </c>
      <c r="AH1042">
        <v>3</v>
      </c>
      <c r="AI1042">
        <v>1</v>
      </c>
      <c r="AJ1042">
        <v>0</v>
      </c>
      <c r="AK1042">
        <v>1087.31</v>
      </c>
      <c r="AN1042" t="s">
        <v>7439</v>
      </c>
      <c r="AO1042">
        <v>132000</v>
      </c>
      <c r="AP1042" t="s">
        <v>45681</v>
      </c>
      <c r="AU1042">
        <v>0.5</v>
      </c>
      <c r="AV1042" t="s">
        <v>605</v>
      </c>
      <c r="AW1042" t="s">
        <v>279</v>
      </c>
    </row>
    <row r="1043" spans="1:49">
      <c r="A1043" s="1">
        <f>HYPERLINK("https://lsnyc.legalserver.org/matter/dynamic-profile/view/1876941","18-1876941")</f>
        <v>0</v>
      </c>
      <c r="B1043" t="s">
        <v>134</v>
      </c>
      <c r="C1043" t="s">
        <v>340</v>
      </c>
      <c r="D1043" t="s">
        <v>524</v>
      </c>
      <c r="F1043" t="s">
        <v>1577</v>
      </c>
      <c r="G1043" t="s">
        <v>5764</v>
      </c>
      <c r="H1043" t="s">
        <v>10439</v>
      </c>
      <c r="I1043" t="s">
        <v>17277</v>
      </c>
      <c r="J1043" t="s">
        <v>18894</v>
      </c>
      <c r="K1043">
        <v>11216</v>
      </c>
      <c r="L1043" t="s">
        <v>18958</v>
      </c>
      <c r="M1043" t="s">
        <v>18958</v>
      </c>
      <c r="O1043" t="s">
        <v>18997</v>
      </c>
      <c r="P1043" t="s">
        <v>26565</v>
      </c>
      <c r="R1043" t="s">
        <v>26578</v>
      </c>
      <c r="S1043" t="s">
        <v>18958</v>
      </c>
      <c r="U1043" t="s">
        <v>26604</v>
      </c>
      <c r="W1043" t="s">
        <v>515</v>
      </c>
      <c r="X1043">
        <v>2450</v>
      </c>
      <c r="Y1043" t="s">
        <v>26652</v>
      </c>
      <c r="Z1043" t="s">
        <v>26667</v>
      </c>
      <c r="AB1043" t="s">
        <v>27674</v>
      </c>
      <c r="AD1043" t="s">
        <v>37726</v>
      </c>
      <c r="AE1043">
        <v>82</v>
      </c>
      <c r="AF1043" t="s">
        <v>45541</v>
      </c>
      <c r="AG1043" t="s">
        <v>19330</v>
      </c>
      <c r="AH1043">
        <v>3</v>
      </c>
      <c r="AI1043">
        <v>1</v>
      </c>
      <c r="AJ1043">
        <v>0</v>
      </c>
      <c r="AK1043">
        <v>1087.31</v>
      </c>
      <c r="AN1043" t="s">
        <v>7439</v>
      </c>
      <c r="AO1043">
        <v>132000</v>
      </c>
      <c r="AP1043" t="s">
        <v>45624</v>
      </c>
      <c r="AU1043">
        <v>0</v>
      </c>
      <c r="AW1043" t="s">
        <v>279</v>
      </c>
    </row>
    <row r="1044" spans="1:49">
      <c r="A1044" s="1">
        <f>HYPERLINK("https://lsnyc.legalserver.org/matter/dynamic-profile/view/1878600","18-1878600")</f>
        <v>0</v>
      </c>
      <c r="B1044" t="s">
        <v>118</v>
      </c>
      <c r="C1044" t="s">
        <v>341</v>
      </c>
      <c r="D1044" t="s">
        <v>451</v>
      </c>
      <c r="E1044" t="s">
        <v>416</v>
      </c>
      <c r="F1044" t="s">
        <v>1315</v>
      </c>
      <c r="G1044" t="s">
        <v>5691</v>
      </c>
      <c r="H1044" t="s">
        <v>10554</v>
      </c>
      <c r="I1044" t="s">
        <v>17272</v>
      </c>
      <c r="J1044" t="s">
        <v>18893</v>
      </c>
      <c r="K1044">
        <v>10035</v>
      </c>
      <c r="L1044" t="s">
        <v>18958</v>
      </c>
      <c r="M1044" t="s">
        <v>18958</v>
      </c>
      <c r="N1044" t="s">
        <v>19777</v>
      </c>
      <c r="O1044" t="s">
        <v>26524</v>
      </c>
      <c r="P1044" t="s">
        <v>26560</v>
      </c>
      <c r="Q1044" t="s">
        <v>26568</v>
      </c>
      <c r="R1044" t="s">
        <v>26578</v>
      </c>
      <c r="S1044" t="s">
        <v>18959</v>
      </c>
      <c r="U1044" t="s">
        <v>26604</v>
      </c>
      <c r="V1044" t="s">
        <v>26610</v>
      </c>
      <c r="W1044" t="s">
        <v>515</v>
      </c>
      <c r="X1044">
        <v>0</v>
      </c>
      <c r="Y1044" t="s">
        <v>26651</v>
      </c>
      <c r="Z1044" t="s">
        <v>26663</v>
      </c>
      <c r="AA1044" t="s">
        <v>26678</v>
      </c>
      <c r="AB1044" t="s">
        <v>27675</v>
      </c>
      <c r="AE1044">
        <v>24</v>
      </c>
      <c r="AF1044" t="s">
        <v>45541</v>
      </c>
      <c r="AG1044" t="s">
        <v>45556</v>
      </c>
      <c r="AH1044">
        <v>22</v>
      </c>
      <c r="AI1044">
        <v>3</v>
      </c>
      <c r="AJ1044">
        <v>0</v>
      </c>
      <c r="AK1044">
        <v>67.56</v>
      </c>
      <c r="AN1044" t="s">
        <v>7439</v>
      </c>
      <c r="AO1044">
        <v>14040</v>
      </c>
      <c r="AU1044">
        <v>6.5</v>
      </c>
      <c r="AV1044" t="s">
        <v>637</v>
      </c>
      <c r="AW1044" t="s">
        <v>46835</v>
      </c>
    </row>
    <row r="1045" spans="1:49">
      <c r="A1045" s="1">
        <f>HYPERLINK("https://lsnyc.legalserver.org/matter/dynamic-profile/view/1883130","18-1883130")</f>
        <v>0</v>
      </c>
      <c r="B1045" t="s">
        <v>134</v>
      </c>
      <c r="C1045" t="s">
        <v>340</v>
      </c>
      <c r="D1045" t="s">
        <v>525</v>
      </c>
      <c r="F1045" t="s">
        <v>1576</v>
      </c>
      <c r="G1045" t="s">
        <v>5763</v>
      </c>
      <c r="H1045" t="s">
        <v>10439</v>
      </c>
      <c r="I1045" t="s">
        <v>17338</v>
      </c>
      <c r="J1045" t="s">
        <v>18894</v>
      </c>
      <c r="K1045">
        <v>11216</v>
      </c>
      <c r="L1045" t="s">
        <v>18958</v>
      </c>
      <c r="M1045" t="s">
        <v>18958</v>
      </c>
      <c r="N1045" t="s">
        <v>19778</v>
      </c>
      <c r="O1045" t="s">
        <v>26526</v>
      </c>
      <c r="P1045" t="s">
        <v>26560</v>
      </c>
      <c r="R1045" t="s">
        <v>26578</v>
      </c>
      <c r="S1045" t="s">
        <v>18959</v>
      </c>
      <c r="U1045" t="s">
        <v>26604</v>
      </c>
      <c r="V1045" t="s">
        <v>26610</v>
      </c>
      <c r="W1045" t="s">
        <v>515</v>
      </c>
      <c r="X1045">
        <v>952.42</v>
      </c>
      <c r="Y1045" t="s">
        <v>26652</v>
      </c>
      <c r="Z1045" t="s">
        <v>26659</v>
      </c>
      <c r="AB1045" t="s">
        <v>27673</v>
      </c>
      <c r="AD1045" t="s">
        <v>37725</v>
      </c>
      <c r="AE1045">
        <v>82</v>
      </c>
      <c r="AF1045" t="s">
        <v>45541</v>
      </c>
      <c r="AG1045" t="s">
        <v>19330</v>
      </c>
      <c r="AH1045">
        <v>7</v>
      </c>
      <c r="AI1045">
        <v>1</v>
      </c>
      <c r="AJ1045">
        <v>0</v>
      </c>
      <c r="AK1045">
        <v>82.37</v>
      </c>
      <c r="AN1045" t="s">
        <v>7439</v>
      </c>
      <c r="AO1045">
        <v>10000</v>
      </c>
      <c r="AU1045">
        <v>47.5</v>
      </c>
      <c r="AV1045" t="s">
        <v>821</v>
      </c>
      <c r="AW1045" t="s">
        <v>286</v>
      </c>
    </row>
    <row r="1046" spans="1:49">
      <c r="A1046" s="1">
        <f>HYPERLINK("https://lsnyc.legalserver.org/matter/dynamic-profile/view/1883103","18-1883103")</f>
        <v>0</v>
      </c>
      <c r="B1046" t="s">
        <v>134</v>
      </c>
      <c r="C1046" t="s">
        <v>340</v>
      </c>
      <c r="D1046" t="s">
        <v>525</v>
      </c>
      <c r="F1046" t="s">
        <v>1576</v>
      </c>
      <c r="G1046" t="s">
        <v>5763</v>
      </c>
      <c r="H1046" t="s">
        <v>10439</v>
      </c>
      <c r="I1046" t="s">
        <v>17338</v>
      </c>
      <c r="J1046" t="s">
        <v>18894</v>
      </c>
      <c r="K1046">
        <v>11216</v>
      </c>
      <c r="L1046" t="s">
        <v>18958</v>
      </c>
      <c r="M1046" t="s">
        <v>18958</v>
      </c>
      <c r="O1046" t="s">
        <v>26531</v>
      </c>
      <c r="P1046" t="s">
        <v>26565</v>
      </c>
      <c r="R1046" t="s">
        <v>26578</v>
      </c>
      <c r="S1046" t="s">
        <v>18958</v>
      </c>
      <c r="U1046" t="s">
        <v>26604</v>
      </c>
      <c r="V1046" t="s">
        <v>26610</v>
      </c>
      <c r="W1046" t="s">
        <v>515</v>
      </c>
      <c r="X1046">
        <v>952.42</v>
      </c>
      <c r="Y1046" t="s">
        <v>26652</v>
      </c>
      <c r="Z1046" t="s">
        <v>26659</v>
      </c>
      <c r="AB1046" t="s">
        <v>27673</v>
      </c>
      <c r="AD1046" t="s">
        <v>37725</v>
      </c>
      <c r="AE1046">
        <v>82</v>
      </c>
      <c r="AF1046" t="s">
        <v>45541</v>
      </c>
      <c r="AG1046" t="s">
        <v>19330</v>
      </c>
      <c r="AH1046">
        <v>7</v>
      </c>
      <c r="AI1046">
        <v>1</v>
      </c>
      <c r="AJ1046">
        <v>0</v>
      </c>
      <c r="AK1046">
        <v>82.37</v>
      </c>
      <c r="AN1046" t="s">
        <v>7439</v>
      </c>
      <c r="AO1046">
        <v>10000</v>
      </c>
      <c r="AU1046">
        <v>0</v>
      </c>
      <c r="AW1046" t="s">
        <v>286</v>
      </c>
    </row>
    <row r="1047" spans="1:49">
      <c r="A1047" s="1">
        <f>HYPERLINK("https://lsnyc.legalserver.org/matter/dynamic-profile/view/1871671","18-1871671")</f>
        <v>0</v>
      </c>
      <c r="B1047" t="s">
        <v>140</v>
      </c>
      <c r="C1047" t="s">
        <v>341</v>
      </c>
      <c r="D1047" t="s">
        <v>425</v>
      </c>
      <c r="E1047" t="s">
        <v>526</v>
      </c>
      <c r="F1047" t="s">
        <v>1372</v>
      </c>
      <c r="G1047" t="s">
        <v>3540</v>
      </c>
      <c r="H1047" t="s">
        <v>10555</v>
      </c>
      <c r="I1047" t="s">
        <v>17583</v>
      </c>
      <c r="J1047" t="s">
        <v>18894</v>
      </c>
      <c r="K1047">
        <v>11238</v>
      </c>
      <c r="L1047" t="s">
        <v>18958</v>
      </c>
      <c r="M1047" t="s">
        <v>18958</v>
      </c>
      <c r="N1047" t="s">
        <v>19779</v>
      </c>
      <c r="O1047" t="s">
        <v>26523</v>
      </c>
      <c r="P1047" t="s">
        <v>26560</v>
      </c>
      <c r="Q1047" t="s">
        <v>26568</v>
      </c>
      <c r="R1047" t="s">
        <v>26586</v>
      </c>
      <c r="S1047" t="s">
        <v>18959</v>
      </c>
      <c r="U1047" t="s">
        <v>26605</v>
      </c>
      <c r="W1047" t="s">
        <v>526</v>
      </c>
      <c r="X1047">
        <v>1390</v>
      </c>
      <c r="Y1047" t="s">
        <v>26652</v>
      </c>
      <c r="Z1047" t="s">
        <v>26662</v>
      </c>
      <c r="AA1047" t="s">
        <v>26680</v>
      </c>
      <c r="AB1047" t="s">
        <v>27676</v>
      </c>
      <c r="AD1047" t="s">
        <v>37727</v>
      </c>
      <c r="AE1047">
        <v>7</v>
      </c>
      <c r="AF1047" t="s">
        <v>45549</v>
      </c>
      <c r="AH1047">
        <v>13</v>
      </c>
      <c r="AI1047">
        <v>3</v>
      </c>
      <c r="AJ1047">
        <v>1</v>
      </c>
      <c r="AK1047">
        <v>201.72</v>
      </c>
      <c r="AL1047" t="s">
        <v>662</v>
      </c>
      <c r="AM1047" t="s">
        <v>45575</v>
      </c>
      <c r="AN1047" t="s">
        <v>7439</v>
      </c>
      <c r="AO1047">
        <v>50632</v>
      </c>
      <c r="AQ1047" t="s">
        <v>46359</v>
      </c>
      <c r="AR1047" t="s">
        <v>46426</v>
      </c>
      <c r="AS1047" t="s">
        <v>46499</v>
      </c>
      <c r="AT1047" t="s">
        <v>46657</v>
      </c>
      <c r="AU1047">
        <v>6.3</v>
      </c>
      <c r="AV1047" t="s">
        <v>526</v>
      </c>
      <c r="AW1047" t="s">
        <v>46853</v>
      </c>
    </row>
    <row r="1048" spans="1:49">
      <c r="A1048" s="1">
        <f>HYPERLINK("https://lsnyc.legalserver.org/matter/dynamic-profile/view/1872358","18-1872358")</f>
        <v>0</v>
      </c>
      <c r="B1048" t="s">
        <v>223</v>
      </c>
      <c r="C1048" t="s">
        <v>341</v>
      </c>
      <c r="D1048" t="s">
        <v>446</v>
      </c>
      <c r="E1048" t="s">
        <v>706</v>
      </c>
      <c r="F1048" t="s">
        <v>1578</v>
      </c>
      <c r="G1048" t="s">
        <v>5266</v>
      </c>
      <c r="H1048" t="s">
        <v>10556</v>
      </c>
      <c r="I1048">
        <v>8</v>
      </c>
      <c r="J1048" t="s">
        <v>18893</v>
      </c>
      <c r="K1048">
        <v>10029</v>
      </c>
      <c r="L1048" t="s">
        <v>18958</v>
      </c>
      <c r="M1048" t="s">
        <v>18958</v>
      </c>
      <c r="N1048" t="s">
        <v>19780</v>
      </c>
      <c r="O1048" t="s">
        <v>26523</v>
      </c>
      <c r="P1048" t="s">
        <v>26565</v>
      </c>
      <c r="Q1048" t="s">
        <v>26571</v>
      </c>
      <c r="R1048" t="s">
        <v>26578</v>
      </c>
      <c r="S1048" t="s">
        <v>18959</v>
      </c>
      <c r="U1048" t="s">
        <v>26604</v>
      </c>
      <c r="V1048" t="s">
        <v>26610</v>
      </c>
      <c r="W1048" t="s">
        <v>526</v>
      </c>
      <c r="X1048">
        <v>1250</v>
      </c>
      <c r="Y1048" t="s">
        <v>26651</v>
      </c>
      <c r="Z1048" t="s">
        <v>26664</v>
      </c>
      <c r="AA1048" t="s">
        <v>26682</v>
      </c>
      <c r="AB1048" t="s">
        <v>27677</v>
      </c>
      <c r="AD1048" t="s">
        <v>37728</v>
      </c>
      <c r="AE1048">
        <v>25</v>
      </c>
      <c r="AF1048" t="s">
        <v>20460</v>
      </c>
      <c r="AG1048" t="s">
        <v>45556</v>
      </c>
      <c r="AH1048">
        <v>16</v>
      </c>
      <c r="AI1048">
        <v>1</v>
      </c>
      <c r="AJ1048">
        <v>0</v>
      </c>
      <c r="AK1048">
        <v>81.05</v>
      </c>
      <c r="AN1048" t="s">
        <v>7439</v>
      </c>
      <c r="AO1048">
        <v>9840</v>
      </c>
      <c r="AU1048">
        <v>2.65</v>
      </c>
      <c r="AV1048" t="s">
        <v>534</v>
      </c>
      <c r="AW1048" t="s">
        <v>314</v>
      </c>
    </row>
    <row r="1049" spans="1:49">
      <c r="A1049" s="1">
        <f>HYPERLINK("https://lsnyc.legalserver.org/matter/dynamic-profile/view/1872562","18-1872562")</f>
        <v>0</v>
      </c>
      <c r="B1049" t="s">
        <v>118</v>
      </c>
      <c r="C1049" t="s">
        <v>340</v>
      </c>
      <c r="D1049" t="s">
        <v>408</v>
      </c>
      <c r="F1049" t="s">
        <v>887</v>
      </c>
      <c r="G1049" t="s">
        <v>5765</v>
      </c>
      <c r="H1049" t="s">
        <v>10557</v>
      </c>
      <c r="I1049" t="s">
        <v>17584</v>
      </c>
      <c r="J1049" t="s">
        <v>18893</v>
      </c>
      <c r="K1049">
        <v>10029</v>
      </c>
      <c r="L1049" t="s">
        <v>18958</v>
      </c>
      <c r="M1049" t="s">
        <v>18958</v>
      </c>
      <c r="N1049" t="s">
        <v>19781</v>
      </c>
      <c r="O1049" t="s">
        <v>26523</v>
      </c>
      <c r="P1049" t="s">
        <v>26565</v>
      </c>
      <c r="R1049" t="s">
        <v>26578</v>
      </c>
      <c r="S1049" t="s">
        <v>18959</v>
      </c>
      <c r="U1049" t="s">
        <v>26604</v>
      </c>
      <c r="V1049" t="s">
        <v>26610</v>
      </c>
      <c r="W1049" t="s">
        <v>526</v>
      </c>
      <c r="X1049">
        <v>900</v>
      </c>
      <c r="Y1049" t="s">
        <v>26651</v>
      </c>
      <c r="Z1049" t="s">
        <v>26665</v>
      </c>
      <c r="AB1049" t="s">
        <v>27678</v>
      </c>
      <c r="AD1049" t="s">
        <v>37729</v>
      </c>
      <c r="AE1049">
        <v>51</v>
      </c>
      <c r="AF1049" t="s">
        <v>45541</v>
      </c>
      <c r="AG1049" t="s">
        <v>19330</v>
      </c>
      <c r="AH1049">
        <v>26</v>
      </c>
      <c r="AI1049">
        <v>2</v>
      </c>
      <c r="AJ1049">
        <v>0</v>
      </c>
      <c r="AK1049">
        <v>153.27</v>
      </c>
      <c r="AN1049" t="s">
        <v>45581</v>
      </c>
      <c r="AO1049">
        <v>25228</v>
      </c>
      <c r="AU1049">
        <v>4.7</v>
      </c>
      <c r="AV1049" t="s">
        <v>523</v>
      </c>
      <c r="AW1049" t="s">
        <v>46857</v>
      </c>
    </row>
    <row r="1050" spans="1:49">
      <c r="A1050" s="1">
        <f>HYPERLINK("https://lsnyc.legalserver.org/matter/dynamic-profile/view/1874904","18-1874904")</f>
        <v>0</v>
      </c>
      <c r="B1050" t="s">
        <v>58</v>
      </c>
      <c r="C1050" t="s">
        <v>341</v>
      </c>
      <c r="D1050" t="s">
        <v>477</v>
      </c>
      <c r="E1050" t="s">
        <v>813</v>
      </c>
      <c r="F1050" t="s">
        <v>1399</v>
      </c>
      <c r="G1050" t="s">
        <v>5706</v>
      </c>
      <c r="H1050" t="s">
        <v>10558</v>
      </c>
      <c r="I1050" t="s">
        <v>17585</v>
      </c>
      <c r="J1050" t="s">
        <v>18892</v>
      </c>
      <c r="K1050">
        <v>10456</v>
      </c>
      <c r="L1050" t="s">
        <v>18958</v>
      </c>
      <c r="M1050" t="s">
        <v>18958</v>
      </c>
      <c r="N1050" t="s">
        <v>19782</v>
      </c>
      <c r="O1050" t="s">
        <v>26523</v>
      </c>
      <c r="P1050" t="s">
        <v>26564</v>
      </c>
      <c r="Q1050" t="s">
        <v>26570</v>
      </c>
      <c r="R1050" t="s">
        <v>26577</v>
      </c>
      <c r="U1050" t="s">
        <v>26604</v>
      </c>
      <c r="W1050" t="s">
        <v>526</v>
      </c>
      <c r="X1050">
        <v>400</v>
      </c>
      <c r="Y1050" t="s">
        <v>26650</v>
      </c>
      <c r="Z1050" t="s">
        <v>26668</v>
      </c>
      <c r="AA1050" t="s">
        <v>26683</v>
      </c>
      <c r="AB1050" t="s">
        <v>27679</v>
      </c>
      <c r="AC1050" t="s">
        <v>34825</v>
      </c>
      <c r="AD1050" t="s">
        <v>37730</v>
      </c>
      <c r="AE1050">
        <v>0</v>
      </c>
      <c r="AF1050" t="s">
        <v>45549</v>
      </c>
      <c r="AH1050">
        <v>10</v>
      </c>
      <c r="AI1050">
        <v>3</v>
      </c>
      <c r="AJ1050">
        <v>0</v>
      </c>
      <c r="AK1050">
        <v>112.51</v>
      </c>
      <c r="AN1050" t="s">
        <v>45581</v>
      </c>
      <c r="AO1050">
        <v>23380</v>
      </c>
      <c r="AU1050">
        <v>2</v>
      </c>
      <c r="AV1050" t="s">
        <v>415</v>
      </c>
      <c r="AW1050" t="s">
        <v>334</v>
      </c>
    </row>
    <row r="1051" spans="1:49">
      <c r="A1051" s="1">
        <f>HYPERLINK("https://lsnyc.legalserver.org/matter/dynamic-profile/view/1875239","18-1875239")</f>
        <v>0</v>
      </c>
      <c r="B1051" t="s">
        <v>211</v>
      </c>
      <c r="C1051" t="s">
        <v>341</v>
      </c>
      <c r="D1051" t="s">
        <v>526</v>
      </c>
      <c r="E1051" t="s">
        <v>699</v>
      </c>
      <c r="F1051" t="s">
        <v>1494</v>
      </c>
      <c r="G1051" t="s">
        <v>5143</v>
      </c>
      <c r="H1051" t="s">
        <v>10362</v>
      </c>
      <c r="I1051" t="s">
        <v>17331</v>
      </c>
      <c r="J1051" t="s">
        <v>18894</v>
      </c>
      <c r="K1051">
        <v>11233</v>
      </c>
      <c r="L1051" t="s">
        <v>18958</v>
      </c>
      <c r="M1051" t="s">
        <v>18958</v>
      </c>
      <c r="N1051" t="s">
        <v>19783</v>
      </c>
      <c r="O1051" t="s">
        <v>26524</v>
      </c>
      <c r="P1051" t="s">
        <v>26560</v>
      </c>
      <c r="Q1051" t="s">
        <v>26568</v>
      </c>
      <c r="R1051" t="s">
        <v>26578</v>
      </c>
      <c r="S1051" t="s">
        <v>18958</v>
      </c>
      <c r="U1051" t="s">
        <v>26604</v>
      </c>
      <c r="V1051" t="s">
        <v>26610</v>
      </c>
      <c r="W1051" t="s">
        <v>526</v>
      </c>
      <c r="X1051">
        <v>1290</v>
      </c>
      <c r="Y1051" t="s">
        <v>26652</v>
      </c>
      <c r="Z1051" t="s">
        <v>26668</v>
      </c>
      <c r="AA1051" t="s">
        <v>26678</v>
      </c>
      <c r="AB1051" t="s">
        <v>27061</v>
      </c>
      <c r="AC1051" t="s">
        <v>34805</v>
      </c>
      <c r="AD1051" t="s">
        <v>37731</v>
      </c>
      <c r="AE1051">
        <v>6</v>
      </c>
      <c r="AF1051" t="s">
        <v>45541</v>
      </c>
      <c r="AG1051" t="s">
        <v>45557</v>
      </c>
      <c r="AH1051">
        <v>13</v>
      </c>
      <c r="AI1051">
        <v>3</v>
      </c>
      <c r="AJ1051">
        <v>4</v>
      </c>
      <c r="AK1051">
        <v>81.98</v>
      </c>
      <c r="AN1051" t="s">
        <v>7439</v>
      </c>
      <c r="AO1051">
        <v>31200</v>
      </c>
      <c r="AU1051">
        <v>13.05</v>
      </c>
      <c r="AV1051" t="s">
        <v>699</v>
      </c>
      <c r="AW1051" t="s">
        <v>279</v>
      </c>
    </row>
    <row r="1052" spans="1:49">
      <c r="A1052" s="1">
        <f>HYPERLINK("https://lsnyc.legalserver.org/matter/dynamic-profile/view/1875252","18-1875252")</f>
        <v>0</v>
      </c>
      <c r="B1052" t="s">
        <v>92</v>
      </c>
      <c r="C1052" t="s">
        <v>341</v>
      </c>
      <c r="D1052" t="s">
        <v>526</v>
      </c>
      <c r="E1052" t="s">
        <v>451</v>
      </c>
      <c r="F1052" t="s">
        <v>1457</v>
      </c>
      <c r="G1052" t="s">
        <v>5766</v>
      </c>
      <c r="H1052" t="s">
        <v>10559</v>
      </c>
      <c r="I1052">
        <v>7</v>
      </c>
      <c r="J1052" t="s">
        <v>18894</v>
      </c>
      <c r="K1052">
        <v>11219</v>
      </c>
      <c r="L1052" t="s">
        <v>18958</v>
      </c>
      <c r="M1052" t="s">
        <v>18960</v>
      </c>
      <c r="O1052" t="s">
        <v>26539</v>
      </c>
      <c r="P1052" t="s">
        <v>26565</v>
      </c>
      <c r="Q1052" t="s">
        <v>26571</v>
      </c>
      <c r="R1052" t="s">
        <v>26578</v>
      </c>
      <c r="S1052" t="s">
        <v>18959</v>
      </c>
      <c r="U1052" t="s">
        <v>26604</v>
      </c>
      <c r="W1052" t="s">
        <v>526</v>
      </c>
      <c r="X1052">
        <v>857.3</v>
      </c>
      <c r="Y1052" t="s">
        <v>26652</v>
      </c>
      <c r="Z1052" t="s">
        <v>26667</v>
      </c>
      <c r="AA1052" t="s">
        <v>26683</v>
      </c>
      <c r="AB1052" t="s">
        <v>27680</v>
      </c>
      <c r="AD1052" t="s">
        <v>37732</v>
      </c>
      <c r="AE1052">
        <v>14</v>
      </c>
      <c r="AF1052" t="s">
        <v>45541</v>
      </c>
      <c r="AH1052">
        <v>0</v>
      </c>
      <c r="AI1052">
        <v>2</v>
      </c>
      <c r="AJ1052">
        <v>0</v>
      </c>
      <c r="AK1052">
        <v>175.99</v>
      </c>
      <c r="AN1052" t="s">
        <v>45581</v>
      </c>
      <c r="AO1052">
        <v>28968</v>
      </c>
      <c r="AU1052">
        <v>1.75</v>
      </c>
      <c r="AV1052" t="s">
        <v>451</v>
      </c>
      <c r="AW1052" t="s">
        <v>92</v>
      </c>
    </row>
    <row r="1053" spans="1:49">
      <c r="A1053" s="1">
        <f>HYPERLINK("https://lsnyc.legalserver.org/matter/dynamic-profile/view/1875248","18-1875248")</f>
        <v>0</v>
      </c>
      <c r="B1053" t="s">
        <v>185</v>
      </c>
      <c r="C1053" t="s">
        <v>341</v>
      </c>
      <c r="D1053" t="s">
        <v>526</v>
      </c>
      <c r="E1053" t="s">
        <v>712</v>
      </c>
      <c r="F1053" t="s">
        <v>1579</v>
      </c>
      <c r="G1053" t="s">
        <v>5291</v>
      </c>
      <c r="H1053" t="s">
        <v>10560</v>
      </c>
      <c r="J1053" t="s">
        <v>18902</v>
      </c>
      <c r="K1053">
        <v>10309</v>
      </c>
      <c r="L1053" t="s">
        <v>18958</v>
      </c>
      <c r="M1053" t="s">
        <v>18958</v>
      </c>
      <c r="N1053" t="s">
        <v>18993</v>
      </c>
      <c r="O1053" t="s">
        <v>26542</v>
      </c>
      <c r="P1053" t="s">
        <v>26562</v>
      </c>
      <c r="Q1053" t="s">
        <v>26572</v>
      </c>
      <c r="R1053" t="s">
        <v>26587</v>
      </c>
      <c r="S1053" t="s">
        <v>18959</v>
      </c>
      <c r="U1053" t="s">
        <v>26607</v>
      </c>
      <c r="V1053" t="s">
        <v>26610</v>
      </c>
      <c r="W1053" t="s">
        <v>526</v>
      </c>
      <c r="X1053">
        <v>0</v>
      </c>
      <c r="Y1053" t="s">
        <v>26654</v>
      </c>
      <c r="Z1053" t="s">
        <v>26659</v>
      </c>
      <c r="AA1053" t="s">
        <v>26681</v>
      </c>
      <c r="AB1053" t="s">
        <v>27681</v>
      </c>
      <c r="AD1053" t="s">
        <v>37733</v>
      </c>
      <c r="AE1053">
        <v>2</v>
      </c>
      <c r="AF1053" t="s">
        <v>45547</v>
      </c>
      <c r="AG1053" t="s">
        <v>45556</v>
      </c>
      <c r="AH1053">
        <v>-1</v>
      </c>
      <c r="AI1053">
        <v>2</v>
      </c>
      <c r="AJ1053">
        <v>0</v>
      </c>
      <c r="AK1053">
        <v>54.68</v>
      </c>
      <c r="AN1053" t="s">
        <v>7439</v>
      </c>
      <c r="AO1053">
        <v>9000</v>
      </c>
      <c r="AR1053" t="s">
        <v>26530</v>
      </c>
      <c r="AS1053" t="s">
        <v>46499</v>
      </c>
      <c r="AT1053" t="s">
        <v>46509</v>
      </c>
      <c r="AU1053">
        <v>10.05</v>
      </c>
      <c r="AV1053" t="s">
        <v>712</v>
      </c>
      <c r="AW1053" t="s">
        <v>185</v>
      </c>
    </row>
    <row r="1054" spans="1:49">
      <c r="A1054" s="1">
        <f>HYPERLINK("https://lsnyc.legalserver.org/matter/dynamic-profile/view/1875261","18-1875261")</f>
        <v>0</v>
      </c>
      <c r="B1054" t="s">
        <v>152</v>
      </c>
      <c r="C1054" t="s">
        <v>341</v>
      </c>
      <c r="D1054" t="s">
        <v>526</v>
      </c>
      <c r="E1054" t="s">
        <v>804</v>
      </c>
      <c r="F1054" t="s">
        <v>1066</v>
      </c>
      <c r="G1054" t="s">
        <v>4147</v>
      </c>
      <c r="H1054" t="s">
        <v>10561</v>
      </c>
      <c r="I1054" t="s">
        <v>17528</v>
      </c>
      <c r="J1054" t="s">
        <v>18892</v>
      </c>
      <c r="K1054">
        <v>10460</v>
      </c>
      <c r="L1054" t="s">
        <v>18958</v>
      </c>
      <c r="M1054" t="s">
        <v>18958</v>
      </c>
      <c r="N1054" t="s">
        <v>19784</v>
      </c>
      <c r="O1054" t="s">
        <v>26523</v>
      </c>
      <c r="P1054" t="s">
        <v>26560</v>
      </c>
      <c r="Q1054" t="s">
        <v>26568</v>
      </c>
      <c r="R1054" t="s">
        <v>26578</v>
      </c>
      <c r="S1054" t="s">
        <v>18959</v>
      </c>
      <c r="U1054" t="s">
        <v>26604</v>
      </c>
      <c r="V1054" t="s">
        <v>26610</v>
      </c>
      <c r="W1054" t="s">
        <v>526</v>
      </c>
      <c r="X1054">
        <v>918</v>
      </c>
      <c r="Y1054" t="s">
        <v>26650</v>
      </c>
      <c r="Z1054" t="s">
        <v>26668</v>
      </c>
      <c r="AA1054" t="s">
        <v>26678</v>
      </c>
      <c r="AB1054" t="s">
        <v>27682</v>
      </c>
      <c r="AC1054" t="s">
        <v>34826</v>
      </c>
      <c r="AD1054" t="s">
        <v>37734</v>
      </c>
      <c r="AE1054">
        <v>6</v>
      </c>
      <c r="AF1054" t="s">
        <v>20460</v>
      </c>
      <c r="AG1054" t="s">
        <v>19330</v>
      </c>
      <c r="AH1054">
        <v>5</v>
      </c>
      <c r="AI1054">
        <v>2</v>
      </c>
      <c r="AJ1054">
        <v>0</v>
      </c>
      <c r="AK1054">
        <v>11.96</v>
      </c>
      <c r="AN1054" t="s">
        <v>7439</v>
      </c>
      <c r="AO1054">
        <v>1968</v>
      </c>
      <c r="AQ1054" t="s">
        <v>46362</v>
      </c>
      <c r="AU1054">
        <v>32.2</v>
      </c>
      <c r="AV1054" t="s">
        <v>769</v>
      </c>
      <c r="AW1054" t="s">
        <v>46832</v>
      </c>
    </row>
    <row r="1055" spans="1:49">
      <c r="A1055" s="1">
        <f>HYPERLINK("https://lsnyc.legalserver.org/matter/dynamic-profile/view/1875272","18-1875272")</f>
        <v>0</v>
      </c>
      <c r="B1055" t="s">
        <v>127</v>
      </c>
      <c r="C1055" t="s">
        <v>341</v>
      </c>
      <c r="D1055" t="s">
        <v>526</v>
      </c>
      <c r="E1055" t="s">
        <v>745</v>
      </c>
      <c r="F1055" t="s">
        <v>900</v>
      </c>
      <c r="G1055" t="s">
        <v>5435</v>
      </c>
      <c r="H1055" t="s">
        <v>10562</v>
      </c>
      <c r="I1055" t="s">
        <v>17275</v>
      </c>
      <c r="J1055" t="s">
        <v>18894</v>
      </c>
      <c r="K1055">
        <v>11233</v>
      </c>
      <c r="L1055" t="s">
        <v>18958</v>
      </c>
      <c r="M1055" t="s">
        <v>18958</v>
      </c>
      <c r="N1055" t="s">
        <v>19785</v>
      </c>
      <c r="O1055" t="s">
        <v>26523</v>
      </c>
      <c r="P1055" t="s">
        <v>26560</v>
      </c>
      <c r="Q1055" t="s">
        <v>26568</v>
      </c>
      <c r="R1055" t="s">
        <v>26578</v>
      </c>
      <c r="S1055" t="s">
        <v>18959</v>
      </c>
      <c r="U1055" t="s">
        <v>26604</v>
      </c>
      <c r="W1055" t="s">
        <v>526</v>
      </c>
      <c r="X1055">
        <v>1034</v>
      </c>
      <c r="Y1055" t="s">
        <v>26652</v>
      </c>
      <c r="Z1055" t="s">
        <v>26668</v>
      </c>
      <c r="AA1055" t="s">
        <v>26678</v>
      </c>
      <c r="AB1055" t="s">
        <v>27683</v>
      </c>
      <c r="AC1055" t="s">
        <v>34827</v>
      </c>
      <c r="AD1055" t="s">
        <v>37735</v>
      </c>
      <c r="AE1055">
        <v>18</v>
      </c>
      <c r="AF1055" t="s">
        <v>20460</v>
      </c>
      <c r="AG1055" t="s">
        <v>45558</v>
      </c>
      <c r="AH1055">
        <v>2</v>
      </c>
      <c r="AI1055">
        <v>1</v>
      </c>
      <c r="AJ1055">
        <v>0</v>
      </c>
      <c r="AK1055">
        <v>192.75</v>
      </c>
      <c r="AN1055" t="s">
        <v>7439</v>
      </c>
      <c r="AO1055">
        <v>23400</v>
      </c>
      <c r="AP1055" t="s">
        <v>45624</v>
      </c>
      <c r="AU1055">
        <v>15.25</v>
      </c>
      <c r="AV1055" t="s">
        <v>572</v>
      </c>
      <c r="AW1055" t="s">
        <v>279</v>
      </c>
    </row>
    <row r="1056" spans="1:49">
      <c r="A1056" s="1">
        <f>HYPERLINK("https://lsnyc.legalserver.org/matter/dynamic-profile/view/1875308","18-1875308")</f>
        <v>0</v>
      </c>
      <c r="B1056" t="s">
        <v>121</v>
      </c>
      <c r="C1056" t="s">
        <v>341</v>
      </c>
      <c r="D1056" t="s">
        <v>526</v>
      </c>
      <c r="E1056" t="s">
        <v>781</v>
      </c>
      <c r="F1056" t="s">
        <v>916</v>
      </c>
      <c r="G1056" t="s">
        <v>5767</v>
      </c>
      <c r="H1056" t="s">
        <v>10563</v>
      </c>
      <c r="I1056">
        <v>104</v>
      </c>
      <c r="J1056" t="s">
        <v>18892</v>
      </c>
      <c r="K1056">
        <v>10457</v>
      </c>
      <c r="L1056" t="s">
        <v>18958</v>
      </c>
      <c r="M1056" t="s">
        <v>18958</v>
      </c>
      <c r="N1056" t="s">
        <v>19786</v>
      </c>
      <c r="O1056" t="s">
        <v>26523</v>
      </c>
      <c r="P1056" t="s">
        <v>26560</v>
      </c>
      <c r="Q1056" t="s">
        <v>26568</v>
      </c>
      <c r="R1056" t="s">
        <v>26579</v>
      </c>
      <c r="U1056" t="s">
        <v>26604</v>
      </c>
      <c r="V1056" t="s">
        <v>26611</v>
      </c>
      <c r="W1056" t="s">
        <v>526</v>
      </c>
      <c r="X1056">
        <v>863</v>
      </c>
      <c r="Y1056" t="s">
        <v>26650</v>
      </c>
      <c r="Z1056" t="s">
        <v>26664</v>
      </c>
      <c r="AA1056" t="s">
        <v>26679</v>
      </c>
      <c r="AB1056" t="s">
        <v>27684</v>
      </c>
      <c r="AD1056" t="s">
        <v>37736</v>
      </c>
      <c r="AE1056">
        <v>0</v>
      </c>
      <c r="AF1056" t="s">
        <v>45543</v>
      </c>
      <c r="AG1056" t="s">
        <v>45556</v>
      </c>
      <c r="AH1056">
        <v>2</v>
      </c>
      <c r="AI1056">
        <v>1</v>
      </c>
      <c r="AJ1056">
        <v>0</v>
      </c>
      <c r="AK1056">
        <v>0</v>
      </c>
      <c r="AN1056" t="s">
        <v>7439</v>
      </c>
      <c r="AO1056">
        <v>0</v>
      </c>
      <c r="AR1056" t="s">
        <v>46380</v>
      </c>
      <c r="AS1056" t="s">
        <v>46500</v>
      </c>
      <c r="AT1056" t="s">
        <v>46581</v>
      </c>
      <c r="AU1056">
        <v>12.7</v>
      </c>
      <c r="AV1056" t="s">
        <v>652</v>
      </c>
      <c r="AW1056" t="s">
        <v>46854</v>
      </c>
    </row>
    <row r="1057" spans="1:49">
      <c r="A1057" s="1">
        <f>HYPERLINK("https://lsnyc.legalserver.org/matter/dynamic-profile/view/1875266","18-1875266")</f>
        <v>0</v>
      </c>
      <c r="B1057" t="s">
        <v>223</v>
      </c>
      <c r="C1057" t="s">
        <v>341</v>
      </c>
      <c r="D1057" t="s">
        <v>526</v>
      </c>
      <c r="E1057" t="s">
        <v>685</v>
      </c>
      <c r="F1057" t="s">
        <v>1580</v>
      </c>
      <c r="G1057" t="s">
        <v>5768</v>
      </c>
      <c r="H1057" t="s">
        <v>10564</v>
      </c>
      <c r="I1057">
        <v>12</v>
      </c>
      <c r="J1057" t="s">
        <v>18893</v>
      </c>
      <c r="K1057">
        <v>10029</v>
      </c>
      <c r="L1057" t="s">
        <v>18958</v>
      </c>
      <c r="M1057" t="s">
        <v>18958</v>
      </c>
      <c r="O1057" t="s">
        <v>18997</v>
      </c>
      <c r="P1057" t="s">
        <v>26565</v>
      </c>
      <c r="Q1057" t="s">
        <v>26571</v>
      </c>
      <c r="R1057" t="s">
        <v>26578</v>
      </c>
      <c r="S1057" t="s">
        <v>18959</v>
      </c>
      <c r="U1057" t="s">
        <v>26604</v>
      </c>
      <c r="V1057" t="s">
        <v>26610</v>
      </c>
      <c r="W1057" t="s">
        <v>526</v>
      </c>
      <c r="X1057">
        <v>1700</v>
      </c>
      <c r="Y1057" t="s">
        <v>26651</v>
      </c>
      <c r="Z1057" t="s">
        <v>26661</v>
      </c>
      <c r="AA1057" t="s">
        <v>26682</v>
      </c>
      <c r="AB1057" t="s">
        <v>27685</v>
      </c>
      <c r="AD1057" t="s">
        <v>37737</v>
      </c>
      <c r="AE1057">
        <v>16</v>
      </c>
      <c r="AF1057" t="s">
        <v>20460</v>
      </c>
      <c r="AG1057" t="s">
        <v>19330</v>
      </c>
      <c r="AH1057">
        <v>31</v>
      </c>
      <c r="AI1057">
        <v>2</v>
      </c>
      <c r="AJ1057">
        <v>0</v>
      </c>
      <c r="AK1057">
        <v>94.78</v>
      </c>
      <c r="AN1057" t="s">
        <v>7439</v>
      </c>
      <c r="AO1057">
        <v>15600</v>
      </c>
      <c r="AU1057">
        <v>3.7</v>
      </c>
      <c r="AV1057" t="s">
        <v>575</v>
      </c>
      <c r="AW1057" t="s">
        <v>46835</v>
      </c>
    </row>
    <row r="1058" spans="1:49">
      <c r="A1058" s="1">
        <f>HYPERLINK("https://lsnyc.legalserver.org/matter/dynamic-profile/view/1875260","18-1875260")</f>
        <v>0</v>
      </c>
      <c r="B1058" t="s">
        <v>61</v>
      </c>
      <c r="C1058" t="s">
        <v>340</v>
      </c>
      <c r="D1058" t="s">
        <v>526</v>
      </c>
      <c r="F1058" t="s">
        <v>1581</v>
      </c>
      <c r="G1058" t="s">
        <v>5313</v>
      </c>
      <c r="H1058" t="s">
        <v>10565</v>
      </c>
      <c r="I1058" t="s">
        <v>17363</v>
      </c>
      <c r="J1058" t="s">
        <v>18893</v>
      </c>
      <c r="K1058">
        <v>10034</v>
      </c>
      <c r="L1058" t="s">
        <v>18958</v>
      </c>
      <c r="M1058" t="s">
        <v>18958</v>
      </c>
      <c r="O1058" t="s">
        <v>18997</v>
      </c>
      <c r="P1058" t="s">
        <v>26565</v>
      </c>
      <c r="R1058" t="s">
        <v>26578</v>
      </c>
      <c r="S1058" t="s">
        <v>18959</v>
      </c>
      <c r="U1058" t="s">
        <v>26604</v>
      </c>
      <c r="W1058" t="s">
        <v>526</v>
      </c>
      <c r="X1058">
        <v>1044.25</v>
      </c>
      <c r="Y1058" t="s">
        <v>26651</v>
      </c>
      <c r="Z1058" t="s">
        <v>26659</v>
      </c>
      <c r="AB1058" t="s">
        <v>27686</v>
      </c>
      <c r="AD1058" t="s">
        <v>37738</v>
      </c>
      <c r="AE1058">
        <v>73</v>
      </c>
      <c r="AF1058" t="s">
        <v>45541</v>
      </c>
      <c r="AG1058" t="s">
        <v>19330</v>
      </c>
      <c r="AH1058">
        <v>43</v>
      </c>
      <c r="AI1058">
        <v>2</v>
      </c>
      <c r="AJ1058">
        <v>0</v>
      </c>
      <c r="AK1058">
        <v>98.56999999999999</v>
      </c>
      <c r="AN1058" t="s">
        <v>45581</v>
      </c>
      <c r="AO1058">
        <v>16224</v>
      </c>
      <c r="AU1058">
        <v>1.6</v>
      </c>
      <c r="AV1058" t="s">
        <v>505</v>
      </c>
      <c r="AW1058" t="s">
        <v>46840</v>
      </c>
    </row>
    <row r="1059" spans="1:49">
      <c r="A1059" s="1">
        <f>HYPERLINK("https://lsnyc.legalserver.org/matter/dynamic-profile/view/1875244","18-1875244")</f>
        <v>0</v>
      </c>
      <c r="B1059" t="s">
        <v>224</v>
      </c>
      <c r="C1059" t="s">
        <v>340</v>
      </c>
      <c r="D1059" t="s">
        <v>526</v>
      </c>
      <c r="F1059" t="s">
        <v>1208</v>
      </c>
      <c r="G1059" t="s">
        <v>5664</v>
      </c>
      <c r="H1059" t="s">
        <v>10566</v>
      </c>
      <c r="I1059" t="s">
        <v>17291</v>
      </c>
      <c r="J1059" t="s">
        <v>18894</v>
      </c>
      <c r="K1059">
        <v>11208</v>
      </c>
      <c r="L1059" t="s">
        <v>18958</v>
      </c>
      <c r="M1059" t="s">
        <v>18959</v>
      </c>
      <c r="N1059" t="s">
        <v>19787</v>
      </c>
      <c r="O1059" t="s">
        <v>26523</v>
      </c>
      <c r="P1059" t="s">
        <v>26560</v>
      </c>
      <c r="R1059" t="s">
        <v>26578</v>
      </c>
      <c r="U1059" t="s">
        <v>26604</v>
      </c>
      <c r="W1059" t="s">
        <v>526</v>
      </c>
      <c r="X1059">
        <v>1515</v>
      </c>
      <c r="Y1059" t="s">
        <v>26652</v>
      </c>
      <c r="Z1059" t="s">
        <v>26659</v>
      </c>
      <c r="AB1059" t="s">
        <v>27687</v>
      </c>
      <c r="AC1059" t="s">
        <v>34828</v>
      </c>
      <c r="AD1059" t="s">
        <v>37739</v>
      </c>
      <c r="AE1059">
        <v>6</v>
      </c>
      <c r="AF1059" t="s">
        <v>45541</v>
      </c>
      <c r="AG1059" t="s">
        <v>45558</v>
      </c>
      <c r="AH1059">
        <v>3</v>
      </c>
      <c r="AI1059">
        <v>1</v>
      </c>
      <c r="AJ1059">
        <v>2</v>
      </c>
      <c r="AK1059">
        <v>13.74</v>
      </c>
      <c r="AN1059" t="s">
        <v>7439</v>
      </c>
      <c r="AO1059">
        <v>2856</v>
      </c>
      <c r="AU1059">
        <v>12.5</v>
      </c>
      <c r="AV1059" t="s">
        <v>770</v>
      </c>
      <c r="AW1059" t="s">
        <v>279</v>
      </c>
    </row>
    <row r="1060" spans="1:49">
      <c r="A1060" s="1">
        <f>HYPERLINK("https://lsnyc.legalserver.org/matter/dynamic-profile/view/1875314","18-1875314")</f>
        <v>0</v>
      </c>
      <c r="B1060" t="s">
        <v>200</v>
      </c>
      <c r="C1060" t="s">
        <v>340</v>
      </c>
      <c r="D1060" t="s">
        <v>526</v>
      </c>
      <c r="F1060" t="s">
        <v>1582</v>
      </c>
      <c r="G1060" t="s">
        <v>5769</v>
      </c>
      <c r="H1060" t="s">
        <v>10567</v>
      </c>
      <c r="I1060">
        <v>2</v>
      </c>
      <c r="J1060" t="s">
        <v>18894</v>
      </c>
      <c r="K1060">
        <v>11208</v>
      </c>
      <c r="L1060" t="s">
        <v>18958</v>
      </c>
      <c r="M1060" t="s">
        <v>18958</v>
      </c>
      <c r="O1060" t="s">
        <v>26523</v>
      </c>
      <c r="P1060" t="s">
        <v>26560</v>
      </c>
      <c r="R1060" t="s">
        <v>26589</v>
      </c>
      <c r="S1060" t="s">
        <v>18959</v>
      </c>
      <c r="U1060" t="s">
        <v>26604</v>
      </c>
      <c r="W1060" t="s">
        <v>526</v>
      </c>
      <c r="X1060">
        <v>1956</v>
      </c>
      <c r="Y1060" t="s">
        <v>26652</v>
      </c>
      <c r="Z1060" t="s">
        <v>26671</v>
      </c>
      <c r="AB1060" t="s">
        <v>27688</v>
      </c>
      <c r="AC1060" t="s">
        <v>34829</v>
      </c>
      <c r="AD1060" t="s">
        <v>37740</v>
      </c>
      <c r="AE1060">
        <v>2</v>
      </c>
      <c r="AF1060" t="s">
        <v>45547</v>
      </c>
      <c r="AG1060" t="s">
        <v>45557</v>
      </c>
      <c r="AH1060">
        <v>-2</v>
      </c>
      <c r="AI1060">
        <v>1</v>
      </c>
      <c r="AJ1060">
        <v>3</v>
      </c>
      <c r="AK1060">
        <v>23.31</v>
      </c>
      <c r="AL1060" t="s">
        <v>45567</v>
      </c>
      <c r="AM1060" t="s">
        <v>45577</v>
      </c>
      <c r="AN1060" t="s">
        <v>45581</v>
      </c>
      <c r="AO1060">
        <v>5850</v>
      </c>
      <c r="AU1060">
        <v>14.55</v>
      </c>
      <c r="AV1060" t="s">
        <v>687</v>
      </c>
      <c r="AW1060" t="s">
        <v>237</v>
      </c>
    </row>
    <row r="1061" spans="1:49">
      <c r="A1061" s="1">
        <f>HYPERLINK("https://lsnyc.legalserver.org/matter/dynamic-profile/view/1876927","18-1876927")</f>
        <v>0</v>
      </c>
      <c r="B1061" t="s">
        <v>134</v>
      </c>
      <c r="C1061" t="s">
        <v>340</v>
      </c>
      <c r="D1061" t="s">
        <v>524</v>
      </c>
      <c r="F1061" t="s">
        <v>1328</v>
      </c>
      <c r="G1061" t="s">
        <v>5770</v>
      </c>
      <c r="H1061" t="s">
        <v>10439</v>
      </c>
      <c r="I1061" t="s">
        <v>17445</v>
      </c>
      <c r="J1061" t="s">
        <v>18894</v>
      </c>
      <c r="K1061">
        <v>11216</v>
      </c>
      <c r="L1061" t="s">
        <v>18958</v>
      </c>
      <c r="M1061" t="s">
        <v>18958</v>
      </c>
      <c r="O1061" t="s">
        <v>26528</v>
      </c>
      <c r="P1061" t="s">
        <v>26560</v>
      </c>
      <c r="R1061" t="s">
        <v>26578</v>
      </c>
      <c r="S1061" t="s">
        <v>18958</v>
      </c>
      <c r="U1061" t="s">
        <v>26604</v>
      </c>
      <c r="W1061" t="s">
        <v>526</v>
      </c>
      <c r="X1061">
        <v>1450</v>
      </c>
      <c r="Y1061" t="s">
        <v>26652</v>
      </c>
      <c r="Z1061" t="s">
        <v>26667</v>
      </c>
      <c r="AB1061" t="s">
        <v>27689</v>
      </c>
      <c r="AE1061">
        <v>82</v>
      </c>
      <c r="AF1061" t="s">
        <v>45541</v>
      </c>
      <c r="AG1061" t="s">
        <v>19330</v>
      </c>
      <c r="AH1061">
        <v>1</v>
      </c>
      <c r="AI1061">
        <v>1</v>
      </c>
      <c r="AJ1061">
        <v>0</v>
      </c>
      <c r="AK1061">
        <v>453.05</v>
      </c>
      <c r="AL1061" t="s">
        <v>641</v>
      </c>
      <c r="AM1061" t="s">
        <v>45575</v>
      </c>
      <c r="AN1061" t="s">
        <v>7439</v>
      </c>
      <c r="AO1061">
        <v>55000</v>
      </c>
      <c r="AP1061" t="s">
        <v>45682</v>
      </c>
      <c r="AU1061">
        <v>0</v>
      </c>
      <c r="AW1061" t="s">
        <v>279</v>
      </c>
    </row>
    <row r="1062" spans="1:49">
      <c r="A1062" s="1">
        <f>HYPERLINK("https://lsnyc.legalserver.org/matter/dynamic-profile/view/1876925","18-1876925")</f>
        <v>0</v>
      </c>
      <c r="B1062" t="s">
        <v>134</v>
      </c>
      <c r="C1062" t="s">
        <v>340</v>
      </c>
      <c r="D1062" t="s">
        <v>524</v>
      </c>
      <c r="F1062" t="s">
        <v>1328</v>
      </c>
      <c r="G1062" t="s">
        <v>5770</v>
      </c>
      <c r="H1062" t="s">
        <v>10439</v>
      </c>
      <c r="I1062" t="s">
        <v>17445</v>
      </c>
      <c r="J1062" t="s">
        <v>18894</v>
      </c>
      <c r="K1062">
        <v>11216</v>
      </c>
      <c r="L1062" t="s">
        <v>18958</v>
      </c>
      <c r="M1062" t="s">
        <v>18958</v>
      </c>
      <c r="O1062" t="s">
        <v>18997</v>
      </c>
      <c r="P1062" t="s">
        <v>26565</v>
      </c>
      <c r="R1062" t="s">
        <v>26578</v>
      </c>
      <c r="S1062" t="s">
        <v>18958</v>
      </c>
      <c r="U1062" t="s">
        <v>26604</v>
      </c>
      <c r="W1062" t="s">
        <v>526</v>
      </c>
      <c r="X1062">
        <v>1450</v>
      </c>
      <c r="Y1062" t="s">
        <v>26652</v>
      </c>
      <c r="Z1062" t="s">
        <v>26667</v>
      </c>
      <c r="AB1062" t="s">
        <v>27689</v>
      </c>
      <c r="AE1062">
        <v>82</v>
      </c>
      <c r="AF1062" t="s">
        <v>45541</v>
      </c>
      <c r="AG1062" t="s">
        <v>19330</v>
      </c>
      <c r="AH1062">
        <v>1</v>
      </c>
      <c r="AI1062">
        <v>1</v>
      </c>
      <c r="AJ1062">
        <v>0</v>
      </c>
      <c r="AK1062">
        <v>453.05</v>
      </c>
      <c r="AL1062" t="s">
        <v>641</v>
      </c>
      <c r="AM1062" t="s">
        <v>45575</v>
      </c>
      <c r="AN1062" t="s">
        <v>7439</v>
      </c>
      <c r="AO1062">
        <v>55000</v>
      </c>
      <c r="AP1062" t="s">
        <v>45624</v>
      </c>
      <c r="AU1062">
        <v>0</v>
      </c>
      <c r="AW1062" t="s">
        <v>279</v>
      </c>
    </row>
    <row r="1063" spans="1:49">
      <c r="A1063" s="1">
        <f>HYPERLINK("https://lsnyc.legalserver.org/matter/dynamic-profile/view/1843834","17-1843834")</f>
        <v>0</v>
      </c>
      <c r="B1063" t="s">
        <v>96</v>
      </c>
      <c r="C1063" t="s">
        <v>341</v>
      </c>
      <c r="D1063" t="s">
        <v>527</v>
      </c>
      <c r="E1063" t="s">
        <v>807</v>
      </c>
      <c r="F1063" t="s">
        <v>900</v>
      </c>
      <c r="G1063" t="s">
        <v>5657</v>
      </c>
      <c r="H1063" t="s">
        <v>10568</v>
      </c>
      <c r="I1063" t="s">
        <v>17586</v>
      </c>
      <c r="J1063" t="s">
        <v>18892</v>
      </c>
      <c r="K1063">
        <v>10456</v>
      </c>
      <c r="L1063" t="s">
        <v>18958</v>
      </c>
      <c r="M1063" t="s">
        <v>18960</v>
      </c>
      <c r="N1063" t="s">
        <v>19788</v>
      </c>
      <c r="O1063" t="s">
        <v>26523</v>
      </c>
      <c r="P1063" t="s">
        <v>26560</v>
      </c>
      <c r="Q1063" t="s">
        <v>26568</v>
      </c>
      <c r="R1063" t="s">
        <v>26577</v>
      </c>
      <c r="U1063" t="s">
        <v>26604</v>
      </c>
      <c r="V1063" t="s">
        <v>26610</v>
      </c>
      <c r="W1063" t="s">
        <v>528</v>
      </c>
      <c r="X1063">
        <v>745</v>
      </c>
      <c r="Y1063" t="s">
        <v>26650</v>
      </c>
      <c r="Z1063" t="s">
        <v>26656</v>
      </c>
      <c r="AA1063" t="s">
        <v>26678</v>
      </c>
      <c r="AB1063" t="s">
        <v>27690</v>
      </c>
      <c r="AC1063" t="s">
        <v>34830</v>
      </c>
      <c r="AD1063" t="s">
        <v>37741</v>
      </c>
      <c r="AE1063">
        <v>0</v>
      </c>
      <c r="AF1063" t="s">
        <v>45550</v>
      </c>
      <c r="AG1063" t="s">
        <v>45559</v>
      </c>
      <c r="AH1063">
        <v>3</v>
      </c>
      <c r="AI1063">
        <v>2</v>
      </c>
      <c r="AJ1063">
        <v>0</v>
      </c>
      <c r="AK1063">
        <v>87.93000000000001</v>
      </c>
      <c r="AN1063" t="s">
        <v>45581</v>
      </c>
      <c r="AO1063">
        <v>14280</v>
      </c>
      <c r="AP1063" t="s">
        <v>45620</v>
      </c>
      <c r="AR1063" t="s">
        <v>46427</v>
      </c>
      <c r="AS1063" t="s">
        <v>46499</v>
      </c>
      <c r="AT1063" t="s">
        <v>46596</v>
      </c>
      <c r="AU1063">
        <v>21.9</v>
      </c>
      <c r="AV1063" t="s">
        <v>697</v>
      </c>
      <c r="AW1063" t="s">
        <v>46848</v>
      </c>
    </row>
    <row r="1064" spans="1:49">
      <c r="A1064" s="1">
        <f>HYPERLINK("https://lsnyc.legalserver.org/matter/dynamic-profile/view/1874495","18-1874495")</f>
        <v>0</v>
      </c>
      <c r="B1064" t="s">
        <v>56</v>
      </c>
      <c r="C1064" t="s">
        <v>340</v>
      </c>
      <c r="D1064" t="s">
        <v>498</v>
      </c>
      <c r="F1064" t="s">
        <v>933</v>
      </c>
      <c r="G1064" t="s">
        <v>5651</v>
      </c>
      <c r="H1064" t="s">
        <v>10569</v>
      </c>
      <c r="J1064" t="s">
        <v>18892</v>
      </c>
      <c r="K1064">
        <v>10473</v>
      </c>
      <c r="L1064" t="s">
        <v>18958</v>
      </c>
      <c r="M1064" t="s">
        <v>18958</v>
      </c>
      <c r="N1064" t="s">
        <v>19789</v>
      </c>
      <c r="O1064" t="s">
        <v>26523</v>
      </c>
      <c r="P1064" t="s">
        <v>26560</v>
      </c>
      <c r="R1064" t="s">
        <v>26577</v>
      </c>
      <c r="U1064" t="s">
        <v>26604</v>
      </c>
      <c r="V1064" t="s">
        <v>26610</v>
      </c>
      <c r="W1064" t="s">
        <v>528</v>
      </c>
      <c r="X1064">
        <v>695</v>
      </c>
      <c r="Y1064" t="s">
        <v>26650</v>
      </c>
      <c r="Z1064" t="s">
        <v>26659</v>
      </c>
      <c r="AB1064" t="s">
        <v>27691</v>
      </c>
      <c r="AD1064" t="s">
        <v>37742</v>
      </c>
      <c r="AE1064">
        <v>0</v>
      </c>
      <c r="AF1064" t="s">
        <v>45541</v>
      </c>
      <c r="AG1064" t="s">
        <v>19330</v>
      </c>
      <c r="AH1064">
        <v>40</v>
      </c>
      <c r="AI1064">
        <v>2</v>
      </c>
      <c r="AJ1064">
        <v>0</v>
      </c>
      <c r="AK1064">
        <v>300.12</v>
      </c>
      <c r="AL1064" t="s">
        <v>641</v>
      </c>
      <c r="AM1064" t="s">
        <v>45575</v>
      </c>
      <c r="AO1064">
        <v>49400</v>
      </c>
      <c r="AP1064" t="s">
        <v>45683</v>
      </c>
      <c r="AU1064">
        <v>15</v>
      </c>
      <c r="AV1064" t="s">
        <v>767</v>
      </c>
      <c r="AW1064" t="s">
        <v>46836</v>
      </c>
    </row>
    <row r="1065" spans="1:49">
      <c r="A1065" s="1">
        <f>HYPERLINK("https://lsnyc.legalserver.org/matter/dynamic-profile/view/1874545","18-1874545")</f>
        <v>0</v>
      </c>
      <c r="B1065" t="s">
        <v>105</v>
      </c>
      <c r="C1065" t="s">
        <v>341</v>
      </c>
      <c r="D1065" t="s">
        <v>461</v>
      </c>
      <c r="E1065" t="s">
        <v>739</v>
      </c>
      <c r="F1065" t="s">
        <v>1583</v>
      </c>
      <c r="G1065" t="s">
        <v>5771</v>
      </c>
      <c r="H1065" t="s">
        <v>10570</v>
      </c>
      <c r="I1065" t="s">
        <v>17582</v>
      </c>
      <c r="J1065" t="s">
        <v>18901</v>
      </c>
      <c r="K1065">
        <v>11434</v>
      </c>
      <c r="L1065" t="s">
        <v>18958</v>
      </c>
      <c r="M1065" t="s">
        <v>18958</v>
      </c>
      <c r="N1065" t="s">
        <v>19790</v>
      </c>
      <c r="O1065" t="s">
        <v>26524</v>
      </c>
      <c r="P1065" t="s">
        <v>26560</v>
      </c>
      <c r="Q1065" t="s">
        <v>26568</v>
      </c>
      <c r="R1065" t="s">
        <v>26585</v>
      </c>
      <c r="S1065" t="s">
        <v>18959</v>
      </c>
      <c r="U1065" t="s">
        <v>26604</v>
      </c>
      <c r="V1065" t="s">
        <v>26610</v>
      </c>
      <c r="W1065" t="s">
        <v>528</v>
      </c>
      <c r="X1065">
        <v>500</v>
      </c>
      <c r="Y1065" t="s">
        <v>26653</v>
      </c>
      <c r="Z1065" t="s">
        <v>26668</v>
      </c>
      <c r="AA1065" t="s">
        <v>26679</v>
      </c>
      <c r="AB1065" t="s">
        <v>27692</v>
      </c>
      <c r="AC1065" t="s">
        <v>19045</v>
      </c>
      <c r="AD1065" t="s">
        <v>37743</v>
      </c>
      <c r="AE1065">
        <v>2</v>
      </c>
      <c r="AF1065" t="s">
        <v>45547</v>
      </c>
      <c r="AG1065" t="s">
        <v>19330</v>
      </c>
      <c r="AH1065">
        <v>5</v>
      </c>
      <c r="AI1065">
        <v>1</v>
      </c>
      <c r="AJ1065">
        <v>0</v>
      </c>
      <c r="AK1065">
        <v>172.49</v>
      </c>
      <c r="AN1065" t="s">
        <v>7439</v>
      </c>
      <c r="AO1065">
        <v>20940</v>
      </c>
      <c r="AS1065" t="s">
        <v>46500</v>
      </c>
      <c r="AT1065" t="s">
        <v>46672</v>
      </c>
      <c r="AU1065">
        <v>7.3</v>
      </c>
      <c r="AV1065" t="s">
        <v>739</v>
      </c>
      <c r="AW1065" t="s">
        <v>85</v>
      </c>
    </row>
    <row r="1066" spans="1:49">
      <c r="A1066" s="1">
        <f>HYPERLINK("https://lsnyc.legalserver.org/matter/dynamic-profile/view/1875330","18-1875330")</f>
        <v>0</v>
      </c>
      <c r="B1066" t="s">
        <v>156</v>
      </c>
      <c r="C1066" t="s">
        <v>341</v>
      </c>
      <c r="D1066" t="s">
        <v>528</v>
      </c>
      <c r="E1066" t="s">
        <v>786</v>
      </c>
      <c r="F1066" t="s">
        <v>1584</v>
      </c>
      <c r="G1066" t="s">
        <v>5772</v>
      </c>
      <c r="H1066" t="s">
        <v>10571</v>
      </c>
      <c r="I1066" t="s">
        <v>17587</v>
      </c>
      <c r="J1066" t="s">
        <v>18893</v>
      </c>
      <c r="K1066">
        <v>10025</v>
      </c>
      <c r="L1066" t="s">
        <v>18958</v>
      </c>
      <c r="M1066" t="s">
        <v>18958</v>
      </c>
      <c r="N1066" t="s">
        <v>19791</v>
      </c>
      <c r="O1066" t="s">
        <v>26546</v>
      </c>
      <c r="P1066" t="s">
        <v>26564</v>
      </c>
      <c r="Q1066" t="s">
        <v>26570</v>
      </c>
      <c r="R1066" t="s">
        <v>26582</v>
      </c>
      <c r="S1066" t="s">
        <v>18959</v>
      </c>
      <c r="U1066" t="s">
        <v>26604</v>
      </c>
      <c r="W1066" t="s">
        <v>528</v>
      </c>
      <c r="X1066">
        <v>759.7</v>
      </c>
      <c r="Y1066" t="s">
        <v>26651</v>
      </c>
      <c r="Z1066" t="s">
        <v>26661</v>
      </c>
      <c r="AA1066" t="s">
        <v>26683</v>
      </c>
      <c r="AB1066" t="s">
        <v>27693</v>
      </c>
      <c r="AD1066" t="s">
        <v>37744</v>
      </c>
      <c r="AE1066">
        <v>160</v>
      </c>
      <c r="AF1066" t="s">
        <v>45541</v>
      </c>
      <c r="AG1066" t="s">
        <v>19330</v>
      </c>
      <c r="AH1066">
        <v>29</v>
      </c>
      <c r="AI1066">
        <v>1</v>
      </c>
      <c r="AJ1066">
        <v>0</v>
      </c>
      <c r="AK1066">
        <v>16.47</v>
      </c>
      <c r="AN1066" t="s">
        <v>7439</v>
      </c>
      <c r="AO1066">
        <v>2000</v>
      </c>
      <c r="AU1066">
        <v>5.9</v>
      </c>
      <c r="AV1066" t="s">
        <v>830</v>
      </c>
      <c r="AW1066" t="s">
        <v>46835</v>
      </c>
    </row>
    <row r="1067" spans="1:49">
      <c r="A1067" s="1">
        <f>HYPERLINK("https://lsnyc.legalserver.org/matter/dynamic-profile/view/1875349","18-1875349")</f>
        <v>0</v>
      </c>
      <c r="B1067" t="s">
        <v>200</v>
      </c>
      <c r="C1067" t="s">
        <v>341</v>
      </c>
      <c r="D1067" t="s">
        <v>528</v>
      </c>
      <c r="E1067" t="s">
        <v>588</v>
      </c>
      <c r="F1067" t="s">
        <v>1072</v>
      </c>
      <c r="G1067" t="s">
        <v>5295</v>
      </c>
      <c r="H1067" t="s">
        <v>10572</v>
      </c>
      <c r="I1067">
        <v>1</v>
      </c>
      <c r="J1067" t="s">
        <v>18894</v>
      </c>
      <c r="K1067">
        <v>11208</v>
      </c>
      <c r="L1067" t="s">
        <v>18958</v>
      </c>
      <c r="M1067" t="s">
        <v>18958</v>
      </c>
      <c r="N1067" t="s">
        <v>19792</v>
      </c>
      <c r="O1067" t="s">
        <v>26524</v>
      </c>
      <c r="P1067" t="s">
        <v>26564</v>
      </c>
      <c r="Q1067" t="s">
        <v>26570</v>
      </c>
      <c r="R1067" t="s">
        <v>26578</v>
      </c>
      <c r="U1067" t="s">
        <v>26604</v>
      </c>
      <c r="W1067" t="s">
        <v>528</v>
      </c>
      <c r="X1067">
        <v>1350</v>
      </c>
      <c r="Y1067" t="s">
        <v>26652</v>
      </c>
      <c r="Z1067" t="s">
        <v>26664</v>
      </c>
      <c r="AA1067" t="s">
        <v>26683</v>
      </c>
      <c r="AB1067" t="s">
        <v>27694</v>
      </c>
      <c r="AD1067" t="s">
        <v>37745</v>
      </c>
      <c r="AE1067">
        <v>2</v>
      </c>
      <c r="AF1067" t="s">
        <v>45543</v>
      </c>
      <c r="AG1067" t="s">
        <v>45556</v>
      </c>
      <c r="AH1067">
        <v>7</v>
      </c>
      <c r="AI1067">
        <v>1</v>
      </c>
      <c r="AJ1067">
        <v>0</v>
      </c>
      <c r="AK1067">
        <v>74.14</v>
      </c>
      <c r="AN1067" t="s">
        <v>7439</v>
      </c>
      <c r="AO1067">
        <v>9000</v>
      </c>
      <c r="AU1067">
        <v>3.6</v>
      </c>
      <c r="AV1067" t="s">
        <v>571</v>
      </c>
      <c r="AW1067" t="s">
        <v>46862</v>
      </c>
    </row>
    <row r="1068" spans="1:49">
      <c r="A1068" s="1">
        <f>HYPERLINK("https://lsnyc.legalserver.org/matter/dynamic-profile/view/1875333","18-1875333")</f>
        <v>0</v>
      </c>
      <c r="B1068" t="s">
        <v>144</v>
      </c>
      <c r="C1068" t="s">
        <v>340</v>
      </c>
      <c r="D1068" t="s">
        <v>528</v>
      </c>
      <c r="F1068" t="s">
        <v>1585</v>
      </c>
      <c r="G1068" t="s">
        <v>5773</v>
      </c>
      <c r="H1068" t="s">
        <v>10573</v>
      </c>
      <c r="I1068" t="s">
        <v>17588</v>
      </c>
      <c r="J1068" t="s">
        <v>18893</v>
      </c>
      <c r="K1068">
        <v>10039</v>
      </c>
      <c r="L1068" t="s">
        <v>18958</v>
      </c>
      <c r="M1068" t="s">
        <v>18958</v>
      </c>
      <c r="N1068" t="s">
        <v>19793</v>
      </c>
      <c r="O1068" t="s">
        <v>26526</v>
      </c>
      <c r="P1068" t="s">
        <v>26564</v>
      </c>
      <c r="R1068" t="s">
        <v>26578</v>
      </c>
      <c r="S1068" t="s">
        <v>18959</v>
      </c>
      <c r="U1068" t="s">
        <v>26604</v>
      </c>
      <c r="W1068" t="s">
        <v>528</v>
      </c>
      <c r="X1068">
        <v>831</v>
      </c>
      <c r="Y1068" t="s">
        <v>26651</v>
      </c>
      <c r="Z1068" t="s">
        <v>26661</v>
      </c>
      <c r="AB1068" t="s">
        <v>27182</v>
      </c>
      <c r="AD1068" t="s">
        <v>37746</v>
      </c>
      <c r="AE1068">
        <v>312</v>
      </c>
      <c r="AF1068" t="s">
        <v>45550</v>
      </c>
      <c r="AG1068" t="s">
        <v>19330</v>
      </c>
      <c r="AH1068">
        <v>29</v>
      </c>
      <c r="AI1068">
        <v>1</v>
      </c>
      <c r="AJ1068">
        <v>0</v>
      </c>
      <c r="AK1068">
        <v>15.33</v>
      </c>
      <c r="AN1068" t="s">
        <v>7439</v>
      </c>
      <c r="AO1068">
        <v>1861.6</v>
      </c>
      <c r="AU1068">
        <v>1.5</v>
      </c>
      <c r="AV1068" t="s">
        <v>528</v>
      </c>
      <c r="AW1068" t="s">
        <v>46835</v>
      </c>
    </row>
    <row r="1069" spans="1:49">
      <c r="A1069" s="1">
        <f>HYPERLINK("https://lsnyc.legalserver.org/matter/dynamic-profile/view/1875337","18-1875337")</f>
        <v>0</v>
      </c>
      <c r="B1069" t="s">
        <v>144</v>
      </c>
      <c r="C1069" t="s">
        <v>340</v>
      </c>
      <c r="D1069" t="s">
        <v>528</v>
      </c>
      <c r="F1069" t="s">
        <v>1586</v>
      </c>
      <c r="G1069" t="s">
        <v>5774</v>
      </c>
      <c r="H1069" t="s">
        <v>10574</v>
      </c>
      <c r="I1069" t="s">
        <v>17316</v>
      </c>
      <c r="J1069" t="s">
        <v>18893</v>
      </c>
      <c r="K1069">
        <v>10037</v>
      </c>
      <c r="L1069" t="s">
        <v>18958</v>
      </c>
      <c r="M1069" t="s">
        <v>18958</v>
      </c>
      <c r="N1069" t="s">
        <v>19794</v>
      </c>
      <c r="O1069" t="s">
        <v>26523</v>
      </c>
      <c r="P1069" t="s">
        <v>26564</v>
      </c>
      <c r="R1069" t="s">
        <v>26582</v>
      </c>
      <c r="S1069" t="s">
        <v>18959</v>
      </c>
      <c r="U1069" t="s">
        <v>26604</v>
      </c>
      <c r="W1069" t="s">
        <v>528</v>
      </c>
      <c r="X1069">
        <v>1610</v>
      </c>
      <c r="Y1069" t="s">
        <v>26651</v>
      </c>
      <c r="Z1069" t="s">
        <v>26661</v>
      </c>
      <c r="AB1069" t="s">
        <v>27695</v>
      </c>
      <c r="AD1069" t="s">
        <v>37747</v>
      </c>
      <c r="AE1069">
        <v>179</v>
      </c>
      <c r="AF1069" t="s">
        <v>45543</v>
      </c>
      <c r="AG1069" t="s">
        <v>45556</v>
      </c>
      <c r="AH1069">
        <v>5</v>
      </c>
      <c r="AI1069">
        <v>1</v>
      </c>
      <c r="AJ1069">
        <v>0</v>
      </c>
      <c r="AK1069">
        <v>98.84999999999999</v>
      </c>
      <c r="AN1069" t="s">
        <v>7439</v>
      </c>
      <c r="AO1069">
        <v>12000</v>
      </c>
      <c r="AU1069">
        <v>1.5</v>
      </c>
      <c r="AV1069" t="s">
        <v>528</v>
      </c>
      <c r="AW1069" t="s">
        <v>314</v>
      </c>
    </row>
    <row r="1070" spans="1:49">
      <c r="A1070" s="1">
        <f>HYPERLINK("https://lsnyc.legalserver.org/matter/dynamic-profile/view/1875355","18-1875355")</f>
        <v>0</v>
      </c>
      <c r="B1070" t="s">
        <v>156</v>
      </c>
      <c r="C1070" t="s">
        <v>340</v>
      </c>
      <c r="D1070" t="s">
        <v>528</v>
      </c>
      <c r="F1070" t="s">
        <v>1527</v>
      </c>
      <c r="G1070" t="s">
        <v>4381</v>
      </c>
      <c r="H1070" t="s">
        <v>10575</v>
      </c>
      <c r="I1070" t="s">
        <v>17589</v>
      </c>
      <c r="J1070" t="s">
        <v>18893</v>
      </c>
      <c r="K1070">
        <v>10029</v>
      </c>
      <c r="L1070" t="s">
        <v>18958</v>
      </c>
      <c r="M1070" t="s">
        <v>18960</v>
      </c>
      <c r="N1070" t="s">
        <v>19795</v>
      </c>
      <c r="O1070" t="s">
        <v>26523</v>
      </c>
      <c r="P1070" t="s">
        <v>26564</v>
      </c>
      <c r="R1070" t="s">
        <v>26582</v>
      </c>
      <c r="S1070" t="s">
        <v>18959</v>
      </c>
      <c r="U1070" t="s">
        <v>26605</v>
      </c>
      <c r="W1070" t="s">
        <v>528</v>
      </c>
      <c r="X1070">
        <v>254.6</v>
      </c>
      <c r="Y1070" t="s">
        <v>26651</v>
      </c>
      <c r="Z1070" t="s">
        <v>26659</v>
      </c>
      <c r="AB1070" t="s">
        <v>27696</v>
      </c>
      <c r="AD1070" t="s">
        <v>37748</v>
      </c>
      <c r="AE1070">
        <v>248</v>
      </c>
      <c r="AF1070" t="s">
        <v>45549</v>
      </c>
      <c r="AG1070" t="s">
        <v>19330</v>
      </c>
      <c r="AH1070">
        <v>3</v>
      </c>
      <c r="AI1070">
        <v>1</v>
      </c>
      <c r="AJ1070">
        <v>0</v>
      </c>
      <c r="AK1070">
        <v>84.51000000000001</v>
      </c>
      <c r="AN1070" t="s">
        <v>7439</v>
      </c>
      <c r="AO1070">
        <v>10260</v>
      </c>
      <c r="AU1070">
        <v>1.25</v>
      </c>
      <c r="AV1070" t="s">
        <v>588</v>
      </c>
      <c r="AW1070" t="s">
        <v>46835</v>
      </c>
    </row>
    <row r="1071" spans="1:49">
      <c r="A1071" s="1">
        <f>HYPERLINK("https://lsnyc.legalserver.org/matter/dynamic-profile/view/1875348","18-1875348")</f>
        <v>0</v>
      </c>
      <c r="B1071" t="s">
        <v>84</v>
      </c>
      <c r="C1071" t="s">
        <v>340</v>
      </c>
      <c r="D1071" t="s">
        <v>528</v>
      </c>
      <c r="F1071" t="s">
        <v>1397</v>
      </c>
      <c r="G1071" t="s">
        <v>5775</v>
      </c>
      <c r="H1071" t="s">
        <v>10576</v>
      </c>
      <c r="I1071" t="s">
        <v>17590</v>
      </c>
      <c r="J1071" t="s">
        <v>18893</v>
      </c>
      <c r="K1071">
        <v>10011</v>
      </c>
      <c r="L1071" t="s">
        <v>18958</v>
      </c>
      <c r="M1071" t="s">
        <v>18958</v>
      </c>
      <c r="N1071" t="s">
        <v>19796</v>
      </c>
      <c r="O1071" t="s">
        <v>26524</v>
      </c>
      <c r="P1071" t="s">
        <v>26564</v>
      </c>
      <c r="R1071" t="s">
        <v>26582</v>
      </c>
      <c r="S1071" t="s">
        <v>18959</v>
      </c>
      <c r="U1071" t="s">
        <v>26604</v>
      </c>
      <c r="W1071" t="s">
        <v>528</v>
      </c>
      <c r="X1071">
        <v>1069</v>
      </c>
      <c r="Y1071" t="s">
        <v>26651</v>
      </c>
      <c r="Z1071" t="s">
        <v>26661</v>
      </c>
      <c r="AB1071" t="s">
        <v>27697</v>
      </c>
      <c r="AD1071" t="s">
        <v>37749</v>
      </c>
      <c r="AE1071">
        <v>138</v>
      </c>
      <c r="AF1071" t="s">
        <v>45541</v>
      </c>
      <c r="AG1071" t="s">
        <v>19330</v>
      </c>
      <c r="AH1071">
        <v>24</v>
      </c>
      <c r="AI1071">
        <v>1</v>
      </c>
      <c r="AJ1071">
        <v>0</v>
      </c>
      <c r="AK1071">
        <v>131.97</v>
      </c>
      <c r="AN1071" t="s">
        <v>7439</v>
      </c>
      <c r="AO1071">
        <v>16021</v>
      </c>
      <c r="AU1071">
        <v>3.08</v>
      </c>
      <c r="AV1071" t="s">
        <v>579</v>
      </c>
      <c r="AW1071" t="s">
        <v>314</v>
      </c>
    </row>
    <row r="1072" spans="1:49">
      <c r="A1072" s="1">
        <f>HYPERLINK("https://lsnyc.legalserver.org/matter/dynamic-profile/view/1875342","18-1875342")</f>
        <v>0</v>
      </c>
      <c r="B1072" t="s">
        <v>84</v>
      </c>
      <c r="C1072" t="s">
        <v>340</v>
      </c>
      <c r="D1072" t="s">
        <v>528</v>
      </c>
      <c r="F1072" t="s">
        <v>1587</v>
      </c>
      <c r="G1072" t="s">
        <v>5776</v>
      </c>
      <c r="H1072" t="s">
        <v>10577</v>
      </c>
      <c r="I1072" t="s">
        <v>17355</v>
      </c>
      <c r="J1072" t="s">
        <v>18893</v>
      </c>
      <c r="K1072">
        <v>10027</v>
      </c>
      <c r="L1072" t="s">
        <v>18958</v>
      </c>
      <c r="M1072" t="s">
        <v>18958</v>
      </c>
      <c r="N1072" t="s">
        <v>19797</v>
      </c>
      <c r="O1072" t="s">
        <v>26523</v>
      </c>
      <c r="P1072" t="s">
        <v>26560</v>
      </c>
      <c r="R1072" t="s">
        <v>26580</v>
      </c>
      <c r="S1072" t="s">
        <v>18959</v>
      </c>
      <c r="U1072" t="s">
        <v>26604</v>
      </c>
      <c r="V1072" t="s">
        <v>26610</v>
      </c>
      <c r="W1072" t="s">
        <v>528</v>
      </c>
      <c r="X1072">
        <v>1473</v>
      </c>
      <c r="Y1072" t="s">
        <v>26651</v>
      </c>
      <c r="Z1072" t="s">
        <v>26661</v>
      </c>
      <c r="AB1072" t="s">
        <v>27698</v>
      </c>
      <c r="AD1072" t="s">
        <v>37750</v>
      </c>
      <c r="AE1072">
        <v>24</v>
      </c>
      <c r="AF1072" t="s">
        <v>45541</v>
      </c>
      <c r="AG1072" t="s">
        <v>45556</v>
      </c>
      <c r="AH1072">
        <v>3</v>
      </c>
      <c r="AI1072">
        <v>1</v>
      </c>
      <c r="AJ1072">
        <v>1</v>
      </c>
      <c r="AK1072">
        <v>40.61</v>
      </c>
      <c r="AN1072" t="s">
        <v>7439</v>
      </c>
      <c r="AO1072">
        <v>6684</v>
      </c>
      <c r="AU1072">
        <v>46.2</v>
      </c>
      <c r="AV1072" t="s">
        <v>791</v>
      </c>
      <c r="AW1072" t="s">
        <v>46835</v>
      </c>
    </row>
    <row r="1073" spans="1:50">
      <c r="A1073" s="1">
        <f>HYPERLINK("https://lsnyc.legalserver.org/matter/dynamic-profile/view/1875609","18-1875609")</f>
        <v>0</v>
      </c>
      <c r="B1073" t="s">
        <v>73</v>
      </c>
      <c r="C1073" t="s">
        <v>341</v>
      </c>
      <c r="D1073" t="s">
        <v>521</v>
      </c>
      <c r="E1073" t="s">
        <v>827</v>
      </c>
      <c r="F1073" t="s">
        <v>1299</v>
      </c>
      <c r="G1073" t="s">
        <v>5086</v>
      </c>
      <c r="H1073" t="s">
        <v>10578</v>
      </c>
      <c r="I1073" t="s">
        <v>17591</v>
      </c>
      <c r="J1073" t="s">
        <v>18894</v>
      </c>
      <c r="K1073">
        <v>11221</v>
      </c>
      <c r="L1073" t="s">
        <v>18958</v>
      </c>
      <c r="M1073" t="s">
        <v>18958</v>
      </c>
      <c r="O1073" t="s">
        <v>18997</v>
      </c>
      <c r="P1073" t="s">
        <v>26562</v>
      </c>
      <c r="Q1073" t="s">
        <v>26571</v>
      </c>
      <c r="R1073" t="s">
        <v>26578</v>
      </c>
      <c r="S1073" t="s">
        <v>18958</v>
      </c>
      <c r="U1073" t="s">
        <v>26604</v>
      </c>
      <c r="W1073" t="s">
        <v>528</v>
      </c>
      <c r="X1073">
        <v>538.37</v>
      </c>
      <c r="Y1073" t="s">
        <v>26652</v>
      </c>
      <c r="Z1073" t="s">
        <v>26665</v>
      </c>
      <c r="AA1073" t="s">
        <v>26682</v>
      </c>
      <c r="AB1073" t="s">
        <v>27699</v>
      </c>
      <c r="AC1073">
        <v>4449660</v>
      </c>
      <c r="AD1073" t="s">
        <v>37751</v>
      </c>
      <c r="AE1073">
        <v>54</v>
      </c>
      <c r="AF1073" t="s">
        <v>45541</v>
      </c>
      <c r="AH1073">
        <v>19</v>
      </c>
      <c r="AI1073">
        <v>1</v>
      </c>
      <c r="AJ1073">
        <v>0</v>
      </c>
      <c r="AK1073">
        <v>79.08</v>
      </c>
      <c r="AN1073" t="s">
        <v>7439</v>
      </c>
      <c r="AO1073">
        <v>9600</v>
      </c>
      <c r="AP1073" t="s">
        <v>45624</v>
      </c>
      <c r="AU1073">
        <v>0.1</v>
      </c>
      <c r="AV1073" t="s">
        <v>827</v>
      </c>
      <c r="AW1073" t="s">
        <v>46851</v>
      </c>
      <c r="AX1073" t="s">
        <v>46897</v>
      </c>
    </row>
    <row r="1074" spans="1:50">
      <c r="A1074" s="1">
        <f>HYPERLINK("https://lsnyc.legalserver.org/matter/dynamic-profile/view/1879530","18-1879530")</f>
        <v>0</v>
      </c>
      <c r="B1074" t="s">
        <v>134</v>
      </c>
      <c r="C1074" t="s">
        <v>340</v>
      </c>
      <c r="D1074" t="s">
        <v>529</v>
      </c>
      <c r="F1074" t="s">
        <v>1588</v>
      </c>
      <c r="G1074" t="s">
        <v>4668</v>
      </c>
      <c r="H1074" t="s">
        <v>10439</v>
      </c>
      <c r="I1074" t="s">
        <v>17276</v>
      </c>
      <c r="J1074" t="s">
        <v>18894</v>
      </c>
      <c r="K1074">
        <v>11216</v>
      </c>
      <c r="L1074" t="s">
        <v>18958</v>
      </c>
      <c r="M1074" t="s">
        <v>18958</v>
      </c>
      <c r="N1074" t="s">
        <v>19776</v>
      </c>
      <c r="O1074" t="s">
        <v>26528</v>
      </c>
      <c r="P1074" t="s">
        <v>26560</v>
      </c>
      <c r="R1074" t="s">
        <v>26578</v>
      </c>
      <c r="S1074" t="s">
        <v>18958</v>
      </c>
      <c r="U1074" t="s">
        <v>26604</v>
      </c>
      <c r="V1074" t="s">
        <v>26610</v>
      </c>
      <c r="W1074" t="s">
        <v>528</v>
      </c>
      <c r="X1074">
        <v>2200</v>
      </c>
      <c r="Y1074" t="s">
        <v>26652</v>
      </c>
      <c r="Z1074" t="s">
        <v>26667</v>
      </c>
      <c r="AB1074" t="s">
        <v>27700</v>
      </c>
      <c r="AD1074" t="s">
        <v>37752</v>
      </c>
      <c r="AE1074">
        <v>82</v>
      </c>
      <c r="AF1074" t="s">
        <v>45541</v>
      </c>
      <c r="AG1074" t="s">
        <v>19330</v>
      </c>
      <c r="AH1074">
        <v>5</v>
      </c>
      <c r="AI1074">
        <v>2</v>
      </c>
      <c r="AJ1074">
        <v>5</v>
      </c>
      <c r="AK1074">
        <v>315.29</v>
      </c>
      <c r="AL1074" t="s">
        <v>641</v>
      </c>
      <c r="AM1074" t="s">
        <v>45575</v>
      </c>
      <c r="AN1074" t="s">
        <v>7439</v>
      </c>
      <c r="AO1074">
        <v>120000</v>
      </c>
      <c r="AP1074" t="s">
        <v>45635</v>
      </c>
      <c r="AU1074">
        <v>0</v>
      </c>
      <c r="AW1074" t="s">
        <v>279</v>
      </c>
    </row>
    <row r="1075" spans="1:50">
      <c r="A1075" s="1">
        <f>HYPERLINK("https://lsnyc.legalserver.org/matter/dynamic-profile/view/1879525","18-1879525")</f>
        <v>0</v>
      </c>
      <c r="B1075" t="s">
        <v>134</v>
      </c>
      <c r="C1075" t="s">
        <v>340</v>
      </c>
      <c r="D1075" t="s">
        <v>529</v>
      </c>
      <c r="F1075" t="s">
        <v>1588</v>
      </c>
      <c r="G1075" t="s">
        <v>4668</v>
      </c>
      <c r="H1075" t="s">
        <v>10439</v>
      </c>
      <c r="I1075" t="s">
        <v>17276</v>
      </c>
      <c r="J1075" t="s">
        <v>18894</v>
      </c>
      <c r="K1075">
        <v>11216</v>
      </c>
      <c r="L1075" t="s">
        <v>18958</v>
      </c>
      <c r="M1075" t="s">
        <v>18958</v>
      </c>
      <c r="N1075" t="s">
        <v>18997</v>
      </c>
      <c r="O1075" t="s">
        <v>26531</v>
      </c>
      <c r="P1075" t="s">
        <v>26565</v>
      </c>
      <c r="R1075" t="s">
        <v>26578</v>
      </c>
      <c r="S1075" t="s">
        <v>18958</v>
      </c>
      <c r="U1075" t="s">
        <v>26604</v>
      </c>
      <c r="W1075" t="s">
        <v>528</v>
      </c>
      <c r="X1075">
        <v>2200</v>
      </c>
      <c r="Y1075" t="s">
        <v>26652</v>
      </c>
      <c r="Z1075" t="s">
        <v>26667</v>
      </c>
      <c r="AB1075" t="s">
        <v>27700</v>
      </c>
      <c r="AD1075" t="s">
        <v>37752</v>
      </c>
      <c r="AE1075">
        <v>82</v>
      </c>
      <c r="AF1075" t="s">
        <v>45541</v>
      </c>
      <c r="AG1075" t="s">
        <v>19330</v>
      </c>
      <c r="AH1075">
        <v>5</v>
      </c>
      <c r="AI1075">
        <v>2</v>
      </c>
      <c r="AJ1075">
        <v>5</v>
      </c>
      <c r="AK1075">
        <v>315.29</v>
      </c>
      <c r="AL1075" t="s">
        <v>641</v>
      </c>
      <c r="AM1075" t="s">
        <v>45575</v>
      </c>
      <c r="AN1075" t="s">
        <v>7439</v>
      </c>
      <c r="AO1075">
        <v>120000</v>
      </c>
      <c r="AP1075" t="s">
        <v>45635</v>
      </c>
      <c r="AU1075">
        <v>0</v>
      </c>
      <c r="AW1075" t="s">
        <v>279</v>
      </c>
    </row>
    <row r="1076" spans="1:50">
      <c r="A1076" s="1">
        <f>HYPERLINK("https://lsnyc.legalserver.org/matter/dynamic-profile/view/1843886","17-1843886")</f>
        <v>0</v>
      </c>
      <c r="B1076" t="s">
        <v>82</v>
      </c>
      <c r="C1076" t="s">
        <v>341</v>
      </c>
      <c r="D1076" t="s">
        <v>527</v>
      </c>
      <c r="E1076" t="s">
        <v>427</v>
      </c>
      <c r="F1076" t="s">
        <v>1165</v>
      </c>
      <c r="G1076" t="s">
        <v>5419</v>
      </c>
      <c r="H1076" t="s">
        <v>10579</v>
      </c>
      <c r="I1076" t="s">
        <v>17333</v>
      </c>
      <c r="J1076" t="s">
        <v>18892</v>
      </c>
      <c r="K1076">
        <v>10467</v>
      </c>
      <c r="L1076" t="s">
        <v>18958</v>
      </c>
      <c r="M1076" t="s">
        <v>18960</v>
      </c>
      <c r="N1076" t="s">
        <v>19798</v>
      </c>
      <c r="O1076" t="s">
        <v>26523</v>
      </c>
      <c r="P1076" t="s">
        <v>26560</v>
      </c>
      <c r="Q1076" t="s">
        <v>26568</v>
      </c>
      <c r="R1076" t="s">
        <v>26579</v>
      </c>
      <c r="S1076" t="s">
        <v>18959</v>
      </c>
      <c r="U1076" t="s">
        <v>26604</v>
      </c>
      <c r="V1076" t="s">
        <v>26610</v>
      </c>
      <c r="W1076" t="s">
        <v>26624</v>
      </c>
      <c r="X1076">
        <v>1573.02</v>
      </c>
      <c r="Y1076" t="s">
        <v>26650</v>
      </c>
      <c r="Z1076" t="s">
        <v>26662</v>
      </c>
      <c r="AA1076" t="s">
        <v>26678</v>
      </c>
      <c r="AB1076" t="s">
        <v>27701</v>
      </c>
      <c r="AC1076" t="s">
        <v>34831</v>
      </c>
      <c r="AD1076" t="s">
        <v>37753</v>
      </c>
      <c r="AE1076">
        <v>8</v>
      </c>
      <c r="AF1076" t="s">
        <v>45541</v>
      </c>
      <c r="AG1076" t="s">
        <v>45556</v>
      </c>
      <c r="AH1076">
        <v>14</v>
      </c>
      <c r="AI1076">
        <v>2</v>
      </c>
      <c r="AJ1076">
        <v>0</v>
      </c>
      <c r="AK1076">
        <v>120.44</v>
      </c>
      <c r="AN1076" t="s">
        <v>7439</v>
      </c>
      <c r="AO1076">
        <v>19560</v>
      </c>
      <c r="AP1076" t="s">
        <v>45621</v>
      </c>
      <c r="AQ1076" t="s">
        <v>46364</v>
      </c>
      <c r="AR1076" t="s">
        <v>46399</v>
      </c>
      <c r="AS1076" t="s">
        <v>46499</v>
      </c>
      <c r="AT1076" t="s">
        <v>46559</v>
      </c>
      <c r="AU1076">
        <v>16.55</v>
      </c>
      <c r="AV1076" t="s">
        <v>624</v>
      </c>
      <c r="AW1076" t="s">
        <v>46848</v>
      </c>
    </row>
    <row r="1077" spans="1:50">
      <c r="A1077" s="1">
        <f>HYPERLINK("https://lsnyc.legalserver.org/matter/dynamic-profile/view/1876539","18-1876539")</f>
        <v>0</v>
      </c>
      <c r="B1077" t="s">
        <v>134</v>
      </c>
      <c r="C1077" t="s">
        <v>340</v>
      </c>
      <c r="D1077" t="s">
        <v>530</v>
      </c>
      <c r="F1077" t="s">
        <v>1589</v>
      </c>
      <c r="G1077" t="s">
        <v>5777</v>
      </c>
      <c r="H1077" t="s">
        <v>10439</v>
      </c>
      <c r="I1077" t="s">
        <v>17380</v>
      </c>
      <c r="J1077" t="s">
        <v>18894</v>
      </c>
      <c r="K1077">
        <v>11216</v>
      </c>
      <c r="L1077" t="s">
        <v>18958</v>
      </c>
      <c r="M1077" t="s">
        <v>18958</v>
      </c>
      <c r="N1077" t="s">
        <v>18997</v>
      </c>
      <c r="O1077" t="s">
        <v>18997</v>
      </c>
      <c r="P1077" t="s">
        <v>26565</v>
      </c>
      <c r="R1077" t="s">
        <v>26578</v>
      </c>
      <c r="S1077" t="s">
        <v>18958</v>
      </c>
      <c r="U1077" t="s">
        <v>26604</v>
      </c>
      <c r="W1077" t="s">
        <v>681</v>
      </c>
      <c r="X1077">
        <v>2300</v>
      </c>
      <c r="Y1077" t="s">
        <v>26652</v>
      </c>
      <c r="Z1077" t="s">
        <v>26667</v>
      </c>
      <c r="AB1077" t="s">
        <v>27323</v>
      </c>
      <c r="AD1077" t="s">
        <v>37754</v>
      </c>
      <c r="AE1077">
        <v>8</v>
      </c>
      <c r="AF1077" t="s">
        <v>45541</v>
      </c>
      <c r="AG1077" t="s">
        <v>19330</v>
      </c>
      <c r="AH1077">
        <v>2</v>
      </c>
      <c r="AI1077">
        <v>2</v>
      </c>
      <c r="AJ1077">
        <v>2</v>
      </c>
      <c r="AK1077">
        <v>537.85</v>
      </c>
      <c r="AL1077" t="s">
        <v>641</v>
      </c>
      <c r="AM1077" t="s">
        <v>45575</v>
      </c>
      <c r="AN1077" t="s">
        <v>7439</v>
      </c>
      <c r="AO1077">
        <v>135000</v>
      </c>
      <c r="AP1077" t="s">
        <v>45635</v>
      </c>
      <c r="AU1077">
        <v>0</v>
      </c>
      <c r="AW1077" t="s">
        <v>279</v>
      </c>
    </row>
    <row r="1078" spans="1:50">
      <c r="A1078" s="1">
        <f>HYPERLINK("https://lsnyc.legalserver.org/matter/dynamic-profile/view/1876541","18-1876541")</f>
        <v>0</v>
      </c>
      <c r="B1078" t="s">
        <v>134</v>
      </c>
      <c r="C1078" t="s">
        <v>340</v>
      </c>
      <c r="D1078" t="s">
        <v>530</v>
      </c>
      <c r="F1078" t="s">
        <v>1589</v>
      </c>
      <c r="G1078" t="s">
        <v>5777</v>
      </c>
      <c r="H1078" t="s">
        <v>10439</v>
      </c>
      <c r="I1078" t="s">
        <v>17380</v>
      </c>
      <c r="J1078" t="s">
        <v>18894</v>
      </c>
      <c r="K1078">
        <v>11216</v>
      </c>
      <c r="L1078" t="s">
        <v>18958</v>
      </c>
      <c r="M1078" t="s">
        <v>18958</v>
      </c>
      <c r="N1078" t="s">
        <v>18997</v>
      </c>
      <c r="O1078" t="s">
        <v>26528</v>
      </c>
      <c r="P1078" t="s">
        <v>26560</v>
      </c>
      <c r="R1078" t="s">
        <v>26578</v>
      </c>
      <c r="S1078" t="s">
        <v>18958</v>
      </c>
      <c r="U1078" t="s">
        <v>26604</v>
      </c>
      <c r="W1078" t="s">
        <v>681</v>
      </c>
      <c r="X1078">
        <v>2300</v>
      </c>
      <c r="Y1078" t="s">
        <v>26652</v>
      </c>
      <c r="Z1078" t="s">
        <v>26667</v>
      </c>
      <c r="AB1078" t="s">
        <v>27323</v>
      </c>
      <c r="AD1078" t="s">
        <v>37754</v>
      </c>
      <c r="AE1078">
        <v>8</v>
      </c>
      <c r="AF1078" t="s">
        <v>45541</v>
      </c>
      <c r="AG1078" t="s">
        <v>19330</v>
      </c>
      <c r="AH1078">
        <v>2</v>
      </c>
      <c r="AI1078">
        <v>2</v>
      </c>
      <c r="AJ1078">
        <v>0</v>
      </c>
      <c r="AK1078">
        <v>820.17</v>
      </c>
      <c r="AL1078" t="s">
        <v>641</v>
      </c>
      <c r="AM1078" t="s">
        <v>45575</v>
      </c>
      <c r="AN1078" t="s">
        <v>7439</v>
      </c>
      <c r="AO1078">
        <v>135000</v>
      </c>
      <c r="AP1078" t="s">
        <v>45635</v>
      </c>
      <c r="AU1078">
        <v>0</v>
      </c>
      <c r="AW1078" t="s">
        <v>279</v>
      </c>
    </row>
    <row r="1079" spans="1:50">
      <c r="A1079" s="1">
        <f>HYPERLINK("https://lsnyc.legalserver.org/matter/dynamic-profile/view/1873622","18-1873622")</f>
        <v>0</v>
      </c>
      <c r="B1079" t="s">
        <v>200</v>
      </c>
      <c r="C1079" t="s">
        <v>341</v>
      </c>
      <c r="D1079" t="s">
        <v>476</v>
      </c>
      <c r="E1079" t="s">
        <v>697</v>
      </c>
      <c r="F1079" t="s">
        <v>1590</v>
      </c>
      <c r="G1079" t="s">
        <v>5778</v>
      </c>
      <c r="H1079" t="s">
        <v>10580</v>
      </c>
      <c r="I1079" t="s">
        <v>17333</v>
      </c>
      <c r="J1079" t="s">
        <v>18894</v>
      </c>
      <c r="K1079">
        <v>11212</v>
      </c>
      <c r="L1079" t="s">
        <v>18958</v>
      </c>
      <c r="M1079" t="s">
        <v>18958</v>
      </c>
      <c r="N1079" t="s">
        <v>19799</v>
      </c>
      <c r="O1079" t="s">
        <v>26523</v>
      </c>
      <c r="P1079" t="s">
        <v>26560</v>
      </c>
      <c r="Q1079" t="s">
        <v>26568</v>
      </c>
      <c r="R1079" t="s">
        <v>26578</v>
      </c>
      <c r="S1079" t="s">
        <v>18959</v>
      </c>
      <c r="U1079" t="s">
        <v>26604</v>
      </c>
      <c r="V1079" t="s">
        <v>26612</v>
      </c>
      <c r="W1079" t="s">
        <v>516</v>
      </c>
      <c r="X1079">
        <v>950</v>
      </c>
      <c r="Y1079" t="s">
        <v>26652</v>
      </c>
      <c r="Z1079" t="s">
        <v>26660</v>
      </c>
      <c r="AA1079" t="s">
        <v>26678</v>
      </c>
      <c r="AB1079" t="s">
        <v>27702</v>
      </c>
      <c r="AC1079" t="s">
        <v>34832</v>
      </c>
      <c r="AD1079" t="s">
        <v>37755</v>
      </c>
      <c r="AE1079">
        <v>6</v>
      </c>
      <c r="AF1079" t="s">
        <v>45541</v>
      </c>
      <c r="AG1079" t="s">
        <v>45557</v>
      </c>
      <c r="AH1079">
        <v>10</v>
      </c>
      <c r="AI1079">
        <v>1</v>
      </c>
      <c r="AJ1079">
        <v>3</v>
      </c>
      <c r="AK1079">
        <v>71.70999999999999</v>
      </c>
      <c r="AN1079" t="s">
        <v>7439</v>
      </c>
      <c r="AO1079">
        <v>18000</v>
      </c>
      <c r="AU1079">
        <v>12.4</v>
      </c>
      <c r="AV1079" t="s">
        <v>658</v>
      </c>
      <c r="AW1079" t="s">
        <v>279</v>
      </c>
    </row>
    <row r="1080" spans="1:50">
      <c r="A1080" s="1">
        <f>HYPERLINK("https://lsnyc.legalserver.org/matter/dynamic-profile/view/1875522","18-1875522")</f>
        <v>0</v>
      </c>
      <c r="B1080" t="s">
        <v>145</v>
      </c>
      <c r="C1080" t="s">
        <v>341</v>
      </c>
      <c r="D1080" t="s">
        <v>516</v>
      </c>
      <c r="E1080" t="s">
        <v>531</v>
      </c>
      <c r="F1080" t="s">
        <v>1366</v>
      </c>
      <c r="G1080" t="s">
        <v>5208</v>
      </c>
      <c r="H1080" t="s">
        <v>10581</v>
      </c>
      <c r="I1080">
        <v>1</v>
      </c>
      <c r="J1080" t="s">
        <v>18902</v>
      </c>
      <c r="K1080">
        <v>10304</v>
      </c>
      <c r="L1080" t="s">
        <v>18958</v>
      </c>
      <c r="M1080" t="s">
        <v>18958</v>
      </c>
      <c r="O1080" t="s">
        <v>18997</v>
      </c>
      <c r="P1080" t="s">
        <v>26564</v>
      </c>
      <c r="Q1080" t="s">
        <v>26570</v>
      </c>
      <c r="R1080" t="s">
        <v>26587</v>
      </c>
      <c r="S1080" t="s">
        <v>18959</v>
      </c>
      <c r="U1080" t="s">
        <v>26604</v>
      </c>
      <c r="W1080" t="s">
        <v>516</v>
      </c>
      <c r="X1080">
        <v>1150</v>
      </c>
      <c r="Y1080" t="s">
        <v>26654</v>
      </c>
      <c r="Z1080" t="s">
        <v>26661</v>
      </c>
      <c r="AA1080" t="s">
        <v>26683</v>
      </c>
      <c r="AB1080" t="s">
        <v>27703</v>
      </c>
      <c r="AE1080">
        <v>0</v>
      </c>
      <c r="AF1080" t="s">
        <v>45547</v>
      </c>
      <c r="AG1080" t="s">
        <v>45556</v>
      </c>
      <c r="AH1080">
        <v>3</v>
      </c>
      <c r="AI1080">
        <v>1</v>
      </c>
      <c r="AJ1080">
        <v>0</v>
      </c>
      <c r="AK1080">
        <v>98.84999999999999</v>
      </c>
      <c r="AN1080" t="s">
        <v>7439</v>
      </c>
      <c r="AO1080">
        <v>12000</v>
      </c>
      <c r="AU1080">
        <v>2</v>
      </c>
      <c r="AV1080" t="s">
        <v>664</v>
      </c>
      <c r="AW1080" t="s">
        <v>46842</v>
      </c>
    </row>
    <row r="1081" spans="1:50">
      <c r="A1081" s="1">
        <f>HYPERLINK("https://lsnyc.legalserver.org/matter/dynamic-profile/view/1874022","18-1874022")</f>
        <v>0</v>
      </c>
      <c r="B1081" t="s">
        <v>149</v>
      </c>
      <c r="C1081" t="s">
        <v>341</v>
      </c>
      <c r="D1081" t="s">
        <v>516</v>
      </c>
      <c r="E1081" t="s">
        <v>494</v>
      </c>
      <c r="F1081" t="s">
        <v>1113</v>
      </c>
      <c r="G1081" t="s">
        <v>5779</v>
      </c>
      <c r="H1081" t="s">
        <v>10582</v>
      </c>
      <c r="J1081" t="s">
        <v>18892</v>
      </c>
      <c r="K1081">
        <v>10460</v>
      </c>
      <c r="L1081" t="s">
        <v>18958</v>
      </c>
      <c r="M1081" t="s">
        <v>18958</v>
      </c>
      <c r="O1081" t="s">
        <v>26526</v>
      </c>
      <c r="P1081" t="s">
        <v>26565</v>
      </c>
      <c r="Q1081" t="s">
        <v>26571</v>
      </c>
      <c r="R1081" t="s">
        <v>26578</v>
      </c>
      <c r="S1081" t="s">
        <v>18959</v>
      </c>
      <c r="U1081" t="s">
        <v>26604</v>
      </c>
      <c r="W1081" t="s">
        <v>516</v>
      </c>
      <c r="X1081">
        <v>1070</v>
      </c>
      <c r="Y1081" t="s">
        <v>26650</v>
      </c>
      <c r="AA1081" t="s">
        <v>26682</v>
      </c>
      <c r="AB1081" t="s">
        <v>27704</v>
      </c>
      <c r="AD1081" t="s">
        <v>37756</v>
      </c>
      <c r="AE1081">
        <v>0</v>
      </c>
      <c r="AF1081" t="s">
        <v>45541</v>
      </c>
      <c r="AG1081" t="s">
        <v>45561</v>
      </c>
      <c r="AH1081">
        <v>3</v>
      </c>
      <c r="AI1081">
        <v>1</v>
      </c>
      <c r="AJ1081">
        <v>0</v>
      </c>
      <c r="AK1081">
        <v>74.14</v>
      </c>
      <c r="AN1081" t="s">
        <v>7439</v>
      </c>
      <c r="AO1081">
        <v>9000</v>
      </c>
      <c r="AU1081">
        <v>1</v>
      </c>
      <c r="AV1081" t="s">
        <v>492</v>
      </c>
      <c r="AW1081" t="s">
        <v>149</v>
      </c>
    </row>
    <row r="1082" spans="1:50">
      <c r="A1082" s="1">
        <f>HYPERLINK("https://lsnyc.legalserver.org/matter/dynamic-profile/view/1875487","18-1875487")</f>
        <v>0</v>
      </c>
      <c r="B1082" t="s">
        <v>200</v>
      </c>
      <c r="C1082" t="s">
        <v>341</v>
      </c>
      <c r="D1082" t="s">
        <v>516</v>
      </c>
      <c r="E1082" t="s">
        <v>572</v>
      </c>
      <c r="F1082" t="s">
        <v>1591</v>
      </c>
      <c r="G1082" t="s">
        <v>5780</v>
      </c>
      <c r="H1082" t="s">
        <v>10583</v>
      </c>
      <c r="I1082" t="s">
        <v>17331</v>
      </c>
      <c r="J1082" t="s">
        <v>18894</v>
      </c>
      <c r="K1082">
        <v>11212</v>
      </c>
      <c r="L1082" t="s">
        <v>18958</v>
      </c>
      <c r="M1082" t="s">
        <v>18958</v>
      </c>
      <c r="N1082" t="s">
        <v>19800</v>
      </c>
      <c r="O1082" t="s">
        <v>26523</v>
      </c>
      <c r="P1082" t="s">
        <v>26564</v>
      </c>
      <c r="Q1082" t="s">
        <v>26570</v>
      </c>
      <c r="R1082" t="s">
        <v>26578</v>
      </c>
      <c r="U1082" t="s">
        <v>26604</v>
      </c>
      <c r="W1082" t="s">
        <v>516</v>
      </c>
      <c r="X1082">
        <v>1200</v>
      </c>
      <c r="Y1082" t="s">
        <v>26652</v>
      </c>
      <c r="Z1082" t="s">
        <v>26664</v>
      </c>
      <c r="AA1082" t="s">
        <v>26683</v>
      </c>
      <c r="AB1082" t="s">
        <v>27705</v>
      </c>
      <c r="AD1082" t="s">
        <v>37757</v>
      </c>
      <c r="AE1082">
        <v>0</v>
      </c>
      <c r="AG1082" t="s">
        <v>19330</v>
      </c>
      <c r="AH1082">
        <v>4</v>
      </c>
      <c r="AI1082">
        <v>1</v>
      </c>
      <c r="AJ1082">
        <v>0</v>
      </c>
      <c r="AK1082">
        <v>70.38</v>
      </c>
      <c r="AN1082" t="s">
        <v>7439</v>
      </c>
      <c r="AO1082">
        <v>8544</v>
      </c>
      <c r="AP1082" t="s">
        <v>45666</v>
      </c>
      <c r="AU1082">
        <v>5.1</v>
      </c>
      <c r="AV1082" t="s">
        <v>534</v>
      </c>
      <c r="AW1082" t="s">
        <v>46862</v>
      </c>
    </row>
    <row r="1083" spans="1:50">
      <c r="A1083" s="1">
        <f>HYPERLINK("https://lsnyc.legalserver.org/matter/dynamic-profile/view/1875468","18-1875468")</f>
        <v>0</v>
      </c>
      <c r="B1083" t="s">
        <v>120</v>
      </c>
      <c r="C1083" t="s">
        <v>341</v>
      </c>
      <c r="D1083" t="s">
        <v>516</v>
      </c>
      <c r="E1083" t="s">
        <v>703</v>
      </c>
      <c r="F1083" t="s">
        <v>1592</v>
      </c>
      <c r="G1083" t="s">
        <v>5781</v>
      </c>
      <c r="H1083" t="s">
        <v>10584</v>
      </c>
      <c r="I1083" t="s">
        <v>17592</v>
      </c>
      <c r="J1083" t="s">
        <v>18892</v>
      </c>
      <c r="K1083">
        <v>10468</v>
      </c>
      <c r="L1083" t="s">
        <v>18958</v>
      </c>
      <c r="M1083" t="s">
        <v>18958</v>
      </c>
      <c r="N1083" t="s">
        <v>19801</v>
      </c>
      <c r="O1083" t="s">
        <v>26523</v>
      </c>
      <c r="P1083" t="s">
        <v>26560</v>
      </c>
      <c r="Q1083" t="s">
        <v>26568</v>
      </c>
      <c r="R1083" t="s">
        <v>26579</v>
      </c>
      <c r="S1083" t="s">
        <v>18959</v>
      </c>
      <c r="U1083" t="s">
        <v>26604</v>
      </c>
      <c r="V1083" t="s">
        <v>26611</v>
      </c>
      <c r="W1083" t="s">
        <v>516</v>
      </c>
      <c r="X1083">
        <v>1524</v>
      </c>
      <c r="Y1083" t="s">
        <v>26650</v>
      </c>
      <c r="Z1083" t="s">
        <v>26668</v>
      </c>
      <c r="AA1083" t="s">
        <v>26678</v>
      </c>
      <c r="AB1083" t="s">
        <v>27706</v>
      </c>
      <c r="AD1083" t="s">
        <v>37758</v>
      </c>
      <c r="AE1083">
        <v>40</v>
      </c>
      <c r="AF1083" t="s">
        <v>45541</v>
      </c>
      <c r="AG1083" t="s">
        <v>45556</v>
      </c>
      <c r="AH1083">
        <v>16</v>
      </c>
      <c r="AI1083">
        <v>1</v>
      </c>
      <c r="AJ1083">
        <v>0</v>
      </c>
      <c r="AK1083">
        <v>74.14</v>
      </c>
      <c r="AN1083" t="s">
        <v>7439</v>
      </c>
      <c r="AO1083">
        <v>9000</v>
      </c>
      <c r="AP1083" t="s">
        <v>45684</v>
      </c>
      <c r="AQ1083" t="s">
        <v>46365</v>
      </c>
      <c r="AR1083" t="s">
        <v>46381</v>
      </c>
      <c r="AS1083" t="s">
        <v>46499</v>
      </c>
      <c r="AT1083" t="s">
        <v>46521</v>
      </c>
      <c r="AU1083">
        <v>37.7</v>
      </c>
      <c r="AV1083" t="s">
        <v>703</v>
      </c>
      <c r="AW1083" t="s">
        <v>46847</v>
      </c>
    </row>
    <row r="1084" spans="1:50">
      <c r="A1084" s="1">
        <f>HYPERLINK("https://lsnyc.legalserver.org/matter/dynamic-profile/view/1875529","18-1875529")</f>
        <v>0</v>
      </c>
      <c r="B1084" t="s">
        <v>133</v>
      </c>
      <c r="C1084" t="s">
        <v>340</v>
      </c>
      <c r="D1084" t="s">
        <v>516</v>
      </c>
      <c r="F1084" t="s">
        <v>1593</v>
      </c>
      <c r="G1084" t="s">
        <v>5782</v>
      </c>
      <c r="H1084" t="s">
        <v>10585</v>
      </c>
      <c r="I1084" t="s">
        <v>17322</v>
      </c>
      <c r="J1084" t="s">
        <v>18892</v>
      </c>
      <c r="K1084">
        <v>10457</v>
      </c>
      <c r="L1084" t="s">
        <v>18958</v>
      </c>
      <c r="M1084" t="s">
        <v>18958</v>
      </c>
      <c r="N1084" t="s">
        <v>19802</v>
      </c>
      <c r="O1084" t="s">
        <v>26523</v>
      </c>
      <c r="P1084" t="s">
        <v>26560</v>
      </c>
      <c r="R1084" t="s">
        <v>26579</v>
      </c>
      <c r="S1084" t="s">
        <v>18959</v>
      </c>
      <c r="U1084" t="s">
        <v>26604</v>
      </c>
      <c r="V1084" t="s">
        <v>26610</v>
      </c>
      <c r="W1084" t="s">
        <v>516</v>
      </c>
      <c r="X1084">
        <v>0</v>
      </c>
      <c r="Y1084" t="s">
        <v>26650</v>
      </c>
      <c r="Z1084" t="s">
        <v>26664</v>
      </c>
      <c r="AB1084" t="s">
        <v>27707</v>
      </c>
      <c r="AC1084" t="s">
        <v>34833</v>
      </c>
      <c r="AD1084" t="s">
        <v>37759</v>
      </c>
      <c r="AE1084">
        <v>0</v>
      </c>
      <c r="AF1084" t="s">
        <v>45541</v>
      </c>
      <c r="AG1084" t="s">
        <v>19330</v>
      </c>
      <c r="AH1084">
        <v>32</v>
      </c>
      <c r="AI1084">
        <v>1</v>
      </c>
      <c r="AJ1084">
        <v>0</v>
      </c>
      <c r="AK1084">
        <v>58.1</v>
      </c>
      <c r="AN1084" t="s">
        <v>7439</v>
      </c>
      <c r="AO1084">
        <v>7053.2</v>
      </c>
      <c r="AU1084">
        <v>22.4</v>
      </c>
      <c r="AV1084" t="s">
        <v>807</v>
      </c>
      <c r="AW1084" t="s">
        <v>46854</v>
      </c>
    </row>
    <row r="1085" spans="1:50">
      <c r="A1085" s="1">
        <f>HYPERLINK("https://lsnyc.legalserver.org/matter/dynamic-profile/view/1875504","18-1875504")</f>
        <v>0</v>
      </c>
      <c r="B1085" t="s">
        <v>225</v>
      </c>
      <c r="C1085" t="s">
        <v>340</v>
      </c>
      <c r="D1085" t="s">
        <v>516</v>
      </c>
      <c r="F1085" t="s">
        <v>1594</v>
      </c>
      <c r="G1085" t="s">
        <v>5783</v>
      </c>
      <c r="H1085" t="s">
        <v>10174</v>
      </c>
      <c r="I1085">
        <v>801</v>
      </c>
      <c r="J1085" t="s">
        <v>18893</v>
      </c>
      <c r="K1085">
        <v>10029</v>
      </c>
      <c r="L1085" t="s">
        <v>18958</v>
      </c>
      <c r="M1085" t="s">
        <v>18958</v>
      </c>
      <c r="N1085" t="s">
        <v>19803</v>
      </c>
      <c r="O1085" t="s">
        <v>26523</v>
      </c>
      <c r="P1085" t="s">
        <v>26560</v>
      </c>
      <c r="R1085" t="s">
        <v>26578</v>
      </c>
      <c r="S1085" t="s">
        <v>18959</v>
      </c>
      <c r="U1085" t="s">
        <v>26604</v>
      </c>
      <c r="V1085" t="s">
        <v>26610</v>
      </c>
      <c r="W1085" t="s">
        <v>516</v>
      </c>
      <c r="X1085">
        <v>987</v>
      </c>
      <c r="Y1085" t="s">
        <v>26651</v>
      </c>
      <c r="Z1085" t="s">
        <v>26659</v>
      </c>
      <c r="AB1085" t="s">
        <v>27708</v>
      </c>
      <c r="AD1085" t="s">
        <v>37760</v>
      </c>
      <c r="AE1085">
        <v>108</v>
      </c>
      <c r="AF1085" t="s">
        <v>45543</v>
      </c>
      <c r="AG1085" t="s">
        <v>45556</v>
      </c>
      <c r="AH1085">
        <v>20</v>
      </c>
      <c r="AI1085">
        <v>1</v>
      </c>
      <c r="AJ1085">
        <v>0</v>
      </c>
      <c r="AK1085">
        <v>350.08</v>
      </c>
      <c r="AL1085" t="s">
        <v>614</v>
      </c>
      <c r="AM1085" t="s">
        <v>45575</v>
      </c>
      <c r="AN1085" t="s">
        <v>7439</v>
      </c>
      <c r="AO1085">
        <v>42500</v>
      </c>
      <c r="AU1085">
        <v>27.7</v>
      </c>
      <c r="AV1085" t="s">
        <v>843</v>
      </c>
      <c r="AW1085" t="s">
        <v>46835</v>
      </c>
      <c r="AX1085" t="s">
        <v>46897</v>
      </c>
    </row>
    <row r="1086" spans="1:50">
      <c r="A1086" s="1">
        <f>HYPERLINK("https://lsnyc.legalserver.org/matter/dynamic-profile/view/1876259","18-1876259")</f>
        <v>0</v>
      </c>
      <c r="B1086" t="s">
        <v>197</v>
      </c>
      <c r="C1086" t="s">
        <v>340</v>
      </c>
      <c r="D1086" t="s">
        <v>522</v>
      </c>
      <c r="F1086" t="s">
        <v>1178</v>
      </c>
      <c r="G1086" t="s">
        <v>3798</v>
      </c>
      <c r="H1086" t="s">
        <v>10024</v>
      </c>
      <c r="I1086" t="s">
        <v>17322</v>
      </c>
      <c r="J1086" t="s">
        <v>18894</v>
      </c>
      <c r="K1086">
        <v>11221</v>
      </c>
      <c r="L1086" t="s">
        <v>18958</v>
      </c>
      <c r="M1086" t="s">
        <v>18958</v>
      </c>
      <c r="N1086" t="s">
        <v>19804</v>
      </c>
      <c r="O1086" t="s">
        <v>26523</v>
      </c>
      <c r="P1086" t="s">
        <v>26560</v>
      </c>
      <c r="R1086" t="s">
        <v>26588</v>
      </c>
      <c r="S1086" t="s">
        <v>18959</v>
      </c>
      <c r="U1086" t="s">
        <v>26604</v>
      </c>
      <c r="V1086" t="s">
        <v>26609</v>
      </c>
      <c r="W1086" t="s">
        <v>516</v>
      </c>
      <c r="X1086">
        <v>880.65</v>
      </c>
      <c r="Y1086" t="s">
        <v>26652</v>
      </c>
      <c r="Z1086" t="s">
        <v>26663</v>
      </c>
      <c r="AB1086" t="s">
        <v>27709</v>
      </c>
      <c r="AD1086" t="s">
        <v>37761</v>
      </c>
      <c r="AE1086">
        <v>12</v>
      </c>
      <c r="AF1086" t="s">
        <v>45541</v>
      </c>
      <c r="AG1086" t="s">
        <v>19330</v>
      </c>
      <c r="AH1086">
        <v>17</v>
      </c>
      <c r="AI1086">
        <v>1</v>
      </c>
      <c r="AJ1086">
        <v>1</v>
      </c>
      <c r="AK1086">
        <v>243.01</v>
      </c>
      <c r="AL1086" t="s">
        <v>794</v>
      </c>
      <c r="AM1086" t="s">
        <v>45575</v>
      </c>
      <c r="AN1086" t="s">
        <v>7439</v>
      </c>
      <c r="AO1086">
        <v>40000</v>
      </c>
      <c r="AP1086" t="s">
        <v>45685</v>
      </c>
      <c r="AU1086">
        <v>16</v>
      </c>
      <c r="AV1086" t="s">
        <v>797</v>
      </c>
      <c r="AW1086" t="s">
        <v>279</v>
      </c>
    </row>
    <row r="1087" spans="1:50">
      <c r="A1087" s="1">
        <f>HYPERLINK("https://lsnyc.legalserver.org/matter/dynamic-profile/view/1876272","18-1876272")</f>
        <v>0</v>
      </c>
      <c r="B1087" t="s">
        <v>88</v>
      </c>
      <c r="C1087" t="s">
        <v>341</v>
      </c>
      <c r="D1087" t="s">
        <v>493</v>
      </c>
      <c r="E1087" t="s">
        <v>782</v>
      </c>
      <c r="F1087" t="s">
        <v>1178</v>
      </c>
      <c r="G1087" t="s">
        <v>3798</v>
      </c>
      <c r="H1087" t="s">
        <v>10024</v>
      </c>
      <c r="I1087" t="s">
        <v>17322</v>
      </c>
      <c r="J1087" t="s">
        <v>18894</v>
      </c>
      <c r="K1087">
        <v>11221</v>
      </c>
      <c r="L1087" t="s">
        <v>18958</v>
      </c>
      <c r="M1087" t="s">
        <v>18958</v>
      </c>
      <c r="P1087" t="s">
        <v>26565</v>
      </c>
      <c r="Q1087" t="s">
        <v>26571</v>
      </c>
      <c r="R1087" t="s">
        <v>26578</v>
      </c>
      <c r="U1087" t="s">
        <v>26604</v>
      </c>
      <c r="W1087" t="s">
        <v>516</v>
      </c>
      <c r="X1087">
        <v>880.65</v>
      </c>
      <c r="Y1087" t="s">
        <v>26652</v>
      </c>
      <c r="Z1087" t="s">
        <v>26663</v>
      </c>
      <c r="AA1087" t="s">
        <v>26684</v>
      </c>
      <c r="AB1087" t="s">
        <v>27709</v>
      </c>
      <c r="AD1087" t="s">
        <v>37761</v>
      </c>
      <c r="AE1087">
        <v>12</v>
      </c>
      <c r="AF1087" t="s">
        <v>45541</v>
      </c>
      <c r="AG1087" t="s">
        <v>19330</v>
      </c>
      <c r="AH1087">
        <v>17</v>
      </c>
      <c r="AI1087">
        <v>1</v>
      </c>
      <c r="AJ1087">
        <v>1</v>
      </c>
      <c r="AK1087">
        <v>243.01</v>
      </c>
      <c r="AN1087" t="s">
        <v>7439</v>
      </c>
      <c r="AO1087">
        <v>40000</v>
      </c>
      <c r="AU1087">
        <v>3</v>
      </c>
      <c r="AV1087" t="s">
        <v>576</v>
      </c>
      <c r="AW1087" t="s">
        <v>279</v>
      </c>
    </row>
    <row r="1088" spans="1:50">
      <c r="A1088" s="1">
        <f>HYPERLINK("https://lsnyc.legalserver.org/matter/dynamic-profile/view/1876570","18-1876570")</f>
        <v>0</v>
      </c>
      <c r="B1088" t="s">
        <v>134</v>
      </c>
      <c r="C1088" t="s">
        <v>340</v>
      </c>
      <c r="D1088" t="s">
        <v>531</v>
      </c>
      <c r="F1088" t="s">
        <v>1283</v>
      </c>
      <c r="G1088" t="s">
        <v>5784</v>
      </c>
      <c r="H1088" t="s">
        <v>10439</v>
      </c>
      <c r="I1088" t="s">
        <v>17380</v>
      </c>
      <c r="J1088" t="s">
        <v>18894</v>
      </c>
      <c r="K1088">
        <v>11216</v>
      </c>
      <c r="L1088" t="s">
        <v>18958</v>
      </c>
      <c r="M1088" t="s">
        <v>18958</v>
      </c>
      <c r="O1088" t="s">
        <v>26528</v>
      </c>
      <c r="P1088" t="s">
        <v>26560</v>
      </c>
      <c r="R1088" t="s">
        <v>26578</v>
      </c>
      <c r="S1088" t="s">
        <v>18958</v>
      </c>
      <c r="U1088" t="s">
        <v>26604</v>
      </c>
      <c r="W1088" t="s">
        <v>516</v>
      </c>
      <c r="X1088">
        <v>2300</v>
      </c>
      <c r="Y1088" t="s">
        <v>26652</v>
      </c>
      <c r="Z1088" t="s">
        <v>26667</v>
      </c>
      <c r="AB1088" t="s">
        <v>27710</v>
      </c>
      <c r="AD1088" t="s">
        <v>37762</v>
      </c>
      <c r="AE1088">
        <v>8</v>
      </c>
      <c r="AF1088" t="s">
        <v>45541</v>
      </c>
      <c r="AG1088" t="s">
        <v>19330</v>
      </c>
      <c r="AH1088">
        <v>2</v>
      </c>
      <c r="AI1088">
        <v>2</v>
      </c>
      <c r="AJ1088">
        <v>0</v>
      </c>
      <c r="AK1088">
        <v>212.64</v>
      </c>
      <c r="AL1088" t="s">
        <v>641</v>
      </c>
      <c r="AM1088" t="s">
        <v>45575</v>
      </c>
      <c r="AN1088" t="s">
        <v>7439</v>
      </c>
      <c r="AO1088">
        <v>35000</v>
      </c>
      <c r="AP1088" t="s">
        <v>45635</v>
      </c>
      <c r="AU1088">
        <v>0</v>
      </c>
      <c r="AW1088" t="s">
        <v>279</v>
      </c>
    </row>
    <row r="1089" spans="1:50">
      <c r="A1089" s="1">
        <f>HYPERLINK("https://lsnyc.legalserver.org/matter/dynamic-profile/view/1876567","18-1876567")</f>
        <v>0</v>
      </c>
      <c r="B1089" t="s">
        <v>134</v>
      </c>
      <c r="C1089" t="s">
        <v>340</v>
      </c>
      <c r="D1089" t="s">
        <v>531</v>
      </c>
      <c r="F1089" t="s">
        <v>1283</v>
      </c>
      <c r="G1089" t="s">
        <v>5784</v>
      </c>
      <c r="H1089" t="s">
        <v>10439</v>
      </c>
      <c r="I1089" t="s">
        <v>17380</v>
      </c>
      <c r="J1089" t="s">
        <v>18894</v>
      </c>
      <c r="K1089">
        <v>11216</v>
      </c>
      <c r="L1089" t="s">
        <v>18958</v>
      </c>
      <c r="M1089" t="s">
        <v>18958</v>
      </c>
      <c r="N1089" t="s">
        <v>18997</v>
      </c>
      <c r="P1089" t="s">
        <v>26565</v>
      </c>
      <c r="R1089" t="s">
        <v>26578</v>
      </c>
      <c r="S1089" t="s">
        <v>18958</v>
      </c>
      <c r="U1089" t="s">
        <v>26604</v>
      </c>
      <c r="W1089" t="s">
        <v>516</v>
      </c>
      <c r="X1089">
        <v>2300</v>
      </c>
      <c r="Y1089" t="s">
        <v>26652</v>
      </c>
      <c r="Z1089" t="s">
        <v>26667</v>
      </c>
      <c r="AB1089" t="s">
        <v>27710</v>
      </c>
      <c r="AD1089" t="s">
        <v>37762</v>
      </c>
      <c r="AE1089">
        <v>8</v>
      </c>
      <c r="AF1089" t="s">
        <v>45541</v>
      </c>
      <c r="AG1089" t="s">
        <v>19330</v>
      </c>
      <c r="AH1089">
        <v>2</v>
      </c>
      <c r="AI1089">
        <v>2</v>
      </c>
      <c r="AJ1089">
        <v>0</v>
      </c>
      <c r="AK1089">
        <v>212.64</v>
      </c>
      <c r="AL1089" t="s">
        <v>641</v>
      </c>
      <c r="AM1089" t="s">
        <v>45575</v>
      </c>
      <c r="AN1089" t="s">
        <v>7439</v>
      </c>
      <c r="AO1089">
        <v>35000</v>
      </c>
      <c r="AP1089" t="s">
        <v>45635</v>
      </c>
      <c r="AU1089">
        <v>0</v>
      </c>
      <c r="AW1089" t="s">
        <v>279</v>
      </c>
    </row>
    <row r="1090" spans="1:50">
      <c r="A1090" s="1">
        <f>HYPERLINK("https://lsnyc.legalserver.org/matter/dynamic-profile/view/1876591","18-1876591")</f>
        <v>0</v>
      </c>
      <c r="B1090" t="s">
        <v>134</v>
      </c>
      <c r="C1090" t="s">
        <v>340</v>
      </c>
      <c r="D1090" t="s">
        <v>531</v>
      </c>
      <c r="F1090" t="s">
        <v>1595</v>
      </c>
      <c r="G1090" t="s">
        <v>5557</v>
      </c>
      <c r="H1090" t="s">
        <v>10439</v>
      </c>
      <c r="I1090" t="s">
        <v>17343</v>
      </c>
      <c r="J1090" t="s">
        <v>18894</v>
      </c>
      <c r="K1090">
        <v>11216</v>
      </c>
      <c r="L1090" t="s">
        <v>18958</v>
      </c>
      <c r="M1090" t="s">
        <v>18958</v>
      </c>
      <c r="O1090" t="s">
        <v>26528</v>
      </c>
      <c r="P1090" t="s">
        <v>26560</v>
      </c>
      <c r="R1090" t="s">
        <v>26578</v>
      </c>
      <c r="S1090" t="s">
        <v>18958</v>
      </c>
      <c r="U1090" t="s">
        <v>26604</v>
      </c>
      <c r="W1090" t="s">
        <v>516</v>
      </c>
      <c r="X1090">
        <v>1500</v>
      </c>
      <c r="Y1090" t="s">
        <v>26652</v>
      </c>
      <c r="Z1090" t="s">
        <v>26667</v>
      </c>
      <c r="AB1090" t="s">
        <v>27711</v>
      </c>
      <c r="AE1090">
        <v>8</v>
      </c>
      <c r="AF1090" t="s">
        <v>45541</v>
      </c>
      <c r="AG1090" t="s">
        <v>19330</v>
      </c>
      <c r="AH1090">
        <v>1</v>
      </c>
      <c r="AI1090">
        <v>1</v>
      </c>
      <c r="AJ1090">
        <v>0</v>
      </c>
      <c r="AK1090">
        <v>576.61</v>
      </c>
      <c r="AN1090" t="s">
        <v>7439</v>
      </c>
      <c r="AO1090">
        <v>70000</v>
      </c>
      <c r="AP1090" t="s">
        <v>45635</v>
      </c>
      <c r="AU1090">
        <v>0</v>
      </c>
      <c r="AW1090" t="s">
        <v>279</v>
      </c>
    </row>
    <row r="1091" spans="1:50">
      <c r="A1091" s="1">
        <f>HYPERLINK("https://lsnyc.legalserver.org/matter/dynamic-profile/view/1876587","18-1876587")</f>
        <v>0</v>
      </c>
      <c r="B1091" t="s">
        <v>134</v>
      </c>
      <c r="C1091" t="s">
        <v>340</v>
      </c>
      <c r="D1091" t="s">
        <v>531</v>
      </c>
      <c r="F1091" t="s">
        <v>1595</v>
      </c>
      <c r="G1091" t="s">
        <v>5557</v>
      </c>
      <c r="H1091" t="s">
        <v>10439</v>
      </c>
      <c r="I1091" t="s">
        <v>17343</v>
      </c>
      <c r="J1091" t="s">
        <v>18894</v>
      </c>
      <c r="K1091">
        <v>11216</v>
      </c>
      <c r="L1091" t="s">
        <v>18958</v>
      </c>
      <c r="M1091" t="s">
        <v>18958</v>
      </c>
      <c r="O1091" t="s">
        <v>18997</v>
      </c>
      <c r="P1091" t="s">
        <v>26565</v>
      </c>
      <c r="R1091" t="s">
        <v>26578</v>
      </c>
      <c r="S1091" t="s">
        <v>18958</v>
      </c>
      <c r="U1091" t="s">
        <v>26604</v>
      </c>
      <c r="W1091" t="s">
        <v>516</v>
      </c>
      <c r="X1091">
        <v>1500</v>
      </c>
      <c r="Y1091" t="s">
        <v>26652</v>
      </c>
      <c r="Z1091" t="s">
        <v>26667</v>
      </c>
      <c r="AB1091" t="s">
        <v>27711</v>
      </c>
      <c r="AE1091">
        <v>8</v>
      </c>
      <c r="AF1091" t="s">
        <v>45541</v>
      </c>
      <c r="AG1091" t="s">
        <v>19330</v>
      </c>
      <c r="AH1091">
        <v>1</v>
      </c>
      <c r="AI1091">
        <v>1</v>
      </c>
      <c r="AJ1091">
        <v>0</v>
      </c>
      <c r="AK1091">
        <v>576.61</v>
      </c>
      <c r="AN1091" t="s">
        <v>7439</v>
      </c>
      <c r="AO1091">
        <v>70000</v>
      </c>
      <c r="AP1091" t="s">
        <v>45635</v>
      </c>
      <c r="AU1091">
        <v>0</v>
      </c>
      <c r="AW1091" t="s">
        <v>279</v>
      </c>
    </row>
    <row r="1092" spans="1:50">
      <c r="A1092" s="1">
        <f>HYPERLINK("https://lsnyc.legalserver.org/matter/dynamic-profile/view/1878601","18-1878601")</f>
        <v>0</v>
      </c>
      <c r="B1092" t="s">
        <v>88</v>
      </c>
      <c r="C1092" t="s">
        <v>340</v>
      </c>
      <c r="D1092" t="s">
        <v>451</v>
      </c>
      <c r="F1092" t="s">
        <v>1178</v>
      </c>
      <c r="G1092" t="s">
        <v>3798</v>
      </c>
      <c r="H1092" t="s">
        <v>10024</v>
      </c>
      <c r="I1092" t="s">
        <v>17322</v>
      </c>
      <c r="J1092" t="s">
        <v>18894</v>
      </c>
      <c r="K1092">
        <v>11221</v>
      </c>
      <c r="L1092" t="s">
        <v>18958</v>
      </c>
      <c r="M1092" t="s">
        <v>18958</v>
      </c>
      <c r="O1092" t="s">
        <v>26534</v>
      </c>
      <c r="P1092" t="s">
        <v>26561</v>
      </c>
      <c r="R1092" t="s">
        <v>26578</v>
      </c>
      <c r="U1092" t="s">
        <v>26604</v>
      </c>
      <c r="W1092" t="s">
        <v>516</v>
      </c>
      <c r="X1092">
        <v>880.65</v>
      </c>
      <c r="Y1092" t="s">
        <v>26652</v>
      </c>
      <c r="Z1092" t="s">
        <v>26663</v>
      </c>
      <c r="AB1092" t="s">
        <v>27709</v>
      </c>
      <c r="AD1092" t="s">
        <v>37761</v>
      </c>
      <c r="AE1092">
        <v>12</v>
      </c>
      <c r="AF1092" t="s">
        <v>45541</v>
      </c>
      <c r="AG1092" t="s">
        <v>19330</v>
      </c>
      <c r="AH1092">
        <v>17</v>
      </c>
      <c r="AI1092">
        <v>1</v>
      </c>
      <c r="AJ1092">
        <v>1</v>
      </c>
      <c r="AK1092">
        <v>243.01</v>
      </c>
      <c r="AN1092" t="s">
        <v>7439</v>
      </c>
      <c r="AO1092">
        <v>40000</v>
      </c>
      <c r="AP1092" t="s">
        <v>45686</v>
      </c>
      <c r="AU1092">
        <v>6.5</v>
      </c>
      <c r="AV1092" t="s">
        <v>643</v>
      </c>
      <c r="AW1092" t="s">
        <v>279</v>
      </c>
    </row>
    <row r="1093" spans="1:50">
      <c r="A1093" s="1">
        <f>HYPERLINK("https://lsnyc.legalserver.org/matter/dynamic-profile/view/1878609","18-1878609")</f>
        <v>0</v>
      </c>
      <c r="B1093" t="s">
        <v>88</v>
      </c>
      <c r="C1093" t="s">
        <v>340</v>
      </c>
      <c r="D1093" t="s">
        <v>451</v>
      </c>
      <c r="F1093" t="s">
        <v>1178</v>
      </c>
      <c r="G1093" t="s">
        <v>3798</v>
      </c>
      <c r="H1093" t="s">
        <v>10024</v>
      </c>
      <c r="I1093" t="s">
        <v>17322</v>
      </c>
      <c r="J1093" t="s">
        <v>18894</v>
      </c>
      <c r="K1093">
        <v>11221</v>
      </c>
      <c r="L1093" t="s">
        <v>18958</v>
      </c>
      <c r="M1093" t="s">
        <v>18958</v>
      </c>
      <c r="O1093" t="s">
        <v>26526</v>
      </c>
      <c r="P1093" t="s">
        <v>26560</v>
      </c>
      <c r="R1093" t="s">
        <v>26578</v>
      </c>
      <c r="U1093" t="s">
        <v>26604</v>
      </c>
      <c r="W1093" t="s">
        <v>516</v>
      </c>
      <c r="X1093">
        <v>880.65</v>
      </c>
      <c r="Y1093" t="s">
        <v>26652</v>
      </c>
      <c r="Z1093" t="s">
        <v>26663</v>
      </c>
      <c r="AB1093" t="s">
        <v>27709</v>
      </c>
      <c r="AD1093" t="s">
        <v>37761</v>
      </c>
      <c r="AE1093">
        <v>12</v>
      </c>
      <c r="AF1093" t="s">
        <v>45541</v>
      </c>
      <c r="AG1093" t="s">
        <v>19330</v>
      </c>
      <c r="AH1093">
        <v>17</v>
      </c>
      <c r="AI1093">
        <v>1</v>
      </c>
      <c r="AJ1093">
        <v>1</v>
      </c>
      <c r="AK1093">
        <v>243.01</v>
      </c>
      <c r="AN1093" t="s">
        <v>7439</v>
      </c>
      <c r="AO1093">
        <v>40000</v>
      </c>
      <c r="AP1093" t="s">
        <v>45686</v>
      </c>
      <c r="AU1093">
        <v>12.08</v>
      </c>
      <c r="AV1093" t="s">
        <v>657</v>
      </c>
      <c r="AW1093" t="s">
        <v>279</v>
      </c>
    </row>
    <row r="1094" spans="1:50">
      <c r="A1094" s="1">
        <f>HYPERLINK("https://lsnyc.legalserver.org/matter/dynamic-profile/view/1862554","18-1862554")</f>
        <v>0</v>
      </c>
      <c r="B1094" t="s">
        <v>54</v>
      </c>
      <c r="C1094" t="s">
        <v>341</v>
      </c>
      <c r="D1094" t="s">
        <v>532</v>
      </c>
      <c r="E1094" t="s">
        <v>420</v>
      </c>
      <c r="F1094" t="s">
        <v>1051</v>
      </c>
      <c r="G1094" t="s">
        <v>1000</v>
      </c>
      <c r="H1094" t="s">
        <v>10586</v>
      </c>
      <c r="I1094">
        <v>2</v>
      </c>
      <c r="J1094" t="s">
        <v>18892</v>
      </c>
      <c r="K1094">
        <v>10473</v>
      </c>
      <c r="L1094" t="s">
        <v>18958</v>
      </c>
      <c r="M1094" t="s">
        <v>18958</v>
      </c>
      <c r="N1094" t="s">
        <v>19805</v>
      </c>
      <c r="O1094" t="s">
        <v>26540</v>
      </c>
      <c r="P1094" t="s">
        <v>26564</v>
      </c>
      <c r="Q1094" t="s">
        <v>26570</v>
      </c>
      <c r="R1094" t="s">
        <v>26591</v>
      </c>
      <c r="S1094" t="s">
        <v>18959</v>
      </c>
      <c r="U1094" t="s">
        <v>26604</v>
      </c>
      <c r="W1094" t="s">
        <v>521</v>
      </c>
      <c r="X1094">
        <v>2150</v>
      </c>
      <c r="Y1094" t="s">
        <v>26650</v>
      </c>
      <c r="Z1094" t="s">
        <v>26656</v>
      </c>
      <c r="AA1094" t="s">
        <v>26683</v>
      </c>
      <c r="AB1094" t="s">
        <v>27712</v>
      </c>
      <c r="AC1094" t="s">
        <v>34834</v>
      </c>
      <c r="AD1094" t="s">
        <v>37763</v>
      </c>
      <c r="AE1094">
        <v>0</v>
      </c>
      <c r="AF1094" t="s">
        <v>45545</v>
      </c>
      <c r="AG1094" t="s">
        <v>45556</v>
      </c>
      <c r="AH1094">
        <v>1</v>
      </c>
      <c r="AI1094">
        <v>3</v>
      </c>
      <c r="AJ1094">
        <v>2</v>
      </c>
      <c r="AK1094">
        <v>79.78</v>
      </c>
      <c r="AN1094" t="s">
        <v>7439</v>
      </c>
      <c r="AO1094">
        <v>23472</v>
      </c>
      <c r="AP1094" t="s">
        <v>45687</v>
      </c>
      <c r="AU1094">
        <v>2.75</v>
      </c>
      <c r="AV1094" t="s">
        <v>488</v>
      </c>
      <c r="AW1094" t="s">
        <v>46843</v>
      </c>
    </row>
    <row r="1095" spans="1:50">
      <c r="A1095" s="1">
        <f>HYPERLINK("https://lsnyc.legalserver.org/matter/dynamic-profile/view/1870091","18-1870091")</f>
        <v>0</v>
      </c>
      <c r="B1095" t="s">
        <v>205</v>
      </c>
      <c r="C1095" t="s">
        <v>341</v>
      </c>
      <c r="D1095" t="s">
        <v>400</v>
      </c>
      <c r="E1095" t="s">
        <v>521</v>
      </c>
      <c r="F1095" t="s">
        <v>1596</v>
      </c>
      <c r="G1095" t="s">
        <v>5419</v>
      </c>
      <c r="H1095" t="s">
        <v>10587</v>
      </c>
      <c r="I1095" t="s">
        <v>17593</v>
      </c>
      <c r="J1095" t="s">
        <v>18894</v>
      </c>
      <c r="K1095">
        <v>11207</v>
      </c>
      <c r="L1095" t="s">
        <v>18958</v>
      </c>
      <c r="M1095" t="s">
        <v>18958</v>
      </c>
      <c r="N1095" t="s">
        <v>19806</v>
      </c>
      <c r="O1095" t="s">
        <v>26524</v>
      </c>
      <c r="P1095" t="s">
        <v>26564</v>
      </c>
      <c r="Q1095" t="s">
        <v>26570</v>
      </c>
      <c r="R1095" t="s">
        <v>26578</v>
      </c>
      <c r="U1095" t="s">
        <v>26604</v>
      </c>
      <c r="W1095" t="s">
        <v>521</v>
      </c>
      <c r="X1095">
        <v>650</v>
      </c>
      <c r="Y1095" t="s">
        <v>26652</v>
      </c>
      <c r="Z1095" t="s">
        <v>26662</v>
      </c>
      <c r="AA1095" t="s">
        <v>26683</v>
      </c>
      <c r="AB1095" t="s">
        <v>27713</v>
      </c>
      <c r="AD1095" t="s">
        <v>37764</v>
      </c>
      <c r="AE1095">
        <v>3</v>
      </c>
      <c r="AH1095">
        <v>8</v>
      </c>
      <c r="AI1095">
        <v>1</v>
      </c>
      <c r="AJ1095">
        <v>3</v>
      </c>
      <c r="AK1095">
        <v>41.43</v>
      </c>
      <c r="AN1095" t="s">
        <v>7439</v>
      </c>
      <c r="AO1095">
        <v>10400</v>
      </c>
      <c r="AP1095" t="s">
        <v>45624</v>
      </c>
      <c r="AU1095">
        <v>4.1</v>
      </c>
      <c r="AV1095" t="s">
        <v>521</v>
      </c>
      <c r="AW1095" t="s">
        <v>46853</v>
      </c>
    </row>
    <row r="1096" spans="1:50">
      <c r="A1096" s="1">
        <f>HYPERLINK("https://lsnyc.legalserver.org/matter/dynamic-profile/view/1872513","18-1872513")</f>
        <v>0</v>
      </c>
      <c r="B1096" t="s">
        <v>111</v>
      </c>
      <c r="C1096" t="s">
        <v>341</v>
      </c>
      <c r="D1096" t="s">
        <v>409</v>
      </c>
      <c r="E1096" t="s">
        <v>521</v>
      </c>
      <c r="F1096" t="s">
        <v>1095</v>
      </c>
      <c r="G1096" t="s">
        <v>5785</v>
      </c>
      <c r="H1096" t="s">
        <v>10588</v>
      </c>
      <c r="I1096">
        <v>2</v>
      </c>
      <c r="J1096" t="s">
        <v>18898</v>
      </c>
      <c r="K1096">
        <v>11691</v>
      </c>
      <c r="L1096" t="s">
        <v>18958</v>
      </c>
      <c r="M1096" t="s">
        <v>18958</v>
      </c>
      <c r="N1096" t="s">
        <v>19807</v>
      </c>
      <c r="O1096" t="s">
        <v>26524</v>
      </c>
      <c r="P1096" t="s">
        <v>26560</v>
      </c>
      <c r="Q1096" t="s">
        <v>26573</v>
      </c>
      <c r="R1096" t="s">
        <v>26578</v>
      </c>
      <c r="S1096" t="s">
        <v>18959</v>
      </c>
      <c r="U1096" t="s">
        <v>26604</v>
      </c>
      <c r="V1096" t="s">
        <v>26610</v>
      </c>
      <c r="W1096" t="s">
        <v>521</v>
      </c>
      <c r="X1096">
        <v>1230</v>
      </c>
      <c r="Y1096" t="s">
        <v>26653</v>
      </c>
      <c r="Z1096" t="s">
        <v>26664</v>
      </c>
      <c r="AA1096" t="s">
        <v>26681</v>
      </c>
      <c r="AB1096" t="s">
        <v>27714</v>
      </c>
      <c r="AC1096" t="s">
        <v>34835</v>
      </c>
      <c r="AD1096" t="s">
        <v>37765</v>
      </c>
      <c r="AE1096">
        <v>2</v>
      </c>
      <c r="AF1096" t="s">
        <v>45547</v>
      </c>
      <c r="AG1096" t="s">
        <v>45556</v>
      </c>
      <c r="AH1096">
        <v>9</v>
      </c>
      <c r="AI1096">
        <v>2</v>
      </c>
      <c r="AJ1096">
        <v>3</v>
      </c>
      <c r="AK1096">
        <v>0</v>
      </c>
      <c r="AN1096" t="s">
        <v>7439</v>
      </c>
      <c r="AO1096">
        <v>0</v>
      </c>
      <c r="AQ1096" t="s">
        <v>46362</v>
      </c>
      <c r="AR1096" t="s">
        <v>46379</v>
      </c>
      <c r="AS1096" t="s">
        <v>46500</v>
      </c>
      <c r="AT1096" t="s">
        <v>46547</v>
      </c>
      <c r="AU1096">
        <v>10.3</v>
      </c>
      <c r="AV1096" t="s">
        <v>505</v>
      </c>
      <c r="AW1096" t="s">
        <v>161</v>
      </c>
    </row>
    <row r="1097" spans="1:50">
      <c r="A1097" s="1">
        <f>HYPERLINK("https://lsnyc.legalserver.org/matter/dynamic-profile/view/1874270","18-1874270")</f>
        <v>0</v>
      </c>
      <c r="B1097" t="s">
        <v>202</v>
      </c>
      <c r="C1097" t="s">
        <v>341</v>
      </c>
      <c r="D1097" t="s">
        <v>500</v>
      </c>
      <c r="E1097" t="s">
        <v>521</v>
      </c>
      <c r="F1097" t="s">
        <v>1473</v>
      </c>
      <c r="G1097" t="s">
        <v>5786</v>
      </c>
      <c r="H1097" t="s">
        <v>10589</v>
      </c>
      <c r="I1097" t="s">
        <v>17277</v>
      </c>
      <c r="J1097" t="s">
        <v>18894</v>
      </c>
      <c r="K1097">
        <v>11214</v>
      </c>
      <c r="L1097" t="s">
        <v>18958</v>
      </c>
      <c r="M1097" t="s">
        <v>18958</v>
      </c>
      <c r="N1097" t="s">
        <v>19808</v>
      </c>
      <c r="O1097" t="s">
        <v>26526</v>
      </c>
      <c r="P1097" t="s">
        <v>26564</v>
      </c>
      <c r="Q1097" t="s">
        <v>26570</v>
      </c>
      <c r="R1097" t="s">
        <v>26586</v>
      </c>
      <c r="S1097" t="s">
        <v>18959</v>
      </c>
      <c r="U1097" t="s">
        <v>26604</v>
      </c>
      <c r="V1097" t="s">
        <v>26610</v>
      </c>
      <c r="W1097" t="s">
        <v>521</v>
      </c>
      <c r="X1097">
        <v>1006.21</v>
      </c>
      <c r="Y1097" t="s">
        <v>26652</v>
      </c>
      <c r="Z1097" t="s">
        <v>26662</v>
      </c>
      <c r="AA1097" t="s">
        <v>26683</v>
      </c>
      <c r="AB1097" t="s">
        <v>27715</v>
      </c>
      <c r="AD1097" t="s">
        <v>37766</v>
      </c>
      <c r="AE1097">
        <v>42</v>
      </c>
      <c r="AF1097" t="s">
        <v>20460</v>
      </c>
      <c r="AG1097" t="s">
        <v>19330</v>
      </c>
      <c r="AH1097">
        <v>44</v>
      </c>
      <c r="AI1097">
        <v>1</v>
      </c>
      <c r="AJ1097">
        <v>0</v>
      </c>
      <c r="AK1097">
        <v>188.22</v>
      </c>
      <c r="AN1097" t="s">
        <v>7439</v>
      </c>
      <c r="AO1097">
        <v>22850</v>
      </c>
      <c r="AU1097">
        <v>2.7</v>
      </c>
      <c r="AV1097" t="s">
        <v>526</v>
      </c>
      <c r="AW1097" t="s">
        <v>281</v>
      </c>
    </row>
    <row r="1098" spans="1:50">
      <c r="A1098" s="1">
        <f>HYPERLINK("https://lsnyc.legalserver.org/matter/dynamic-profile/view/1874681","18-1874681")</f>
        <v>0</v>
      </c>
      <c r="B1098" t="s">
        <v>69</v>
      </c>
      <c r="C1098" t="s">
        <v>341</v>
      </c>
      <c r="D1098" t="s">
        <v>504</v>
      </c>
      <c r="E1098" t="s">
        <v>517</v>
      </c>
      <c r="F1098" t="s">
        <v>1494</v>
      </c>
      <c r="G1098" t="s">
        <v>5787</v>
      </c>
      <c r="H1098" t="s">
        <v>10590</v>
      </c>
      <c r="J1098" t="s">
        <v>18892</v>
      </c>
      <c r="K1098">
        <v>10463</v>
      </c>
      <c r="L1098" t="s">
        <v>18958</v>
      </c>
      <c r="M1098" t="s">
        <v>18958</v>
      </c>
      <c r="N1098" t="s">
        <v>19809</v>
      </c>
      <c r="O1098" t="s">
        <v>26541</v>
      </c>
      <c r="P1098" t="s">
        <v>26564</v>
      </c>
      <c r="Q1098" t="s">
        <v>26570</v>
      </c>
      <c r="R1098" t="s">
        <v>26577</v>
      </c>
      <c r="U1098" t="s">
        <v>26605</v>
      </c>
      <c r="W1098" t="s">
        <v>521</v>
      </c>
      <c r="X1098">
        <v>0</v>
      </c>
      <c r="Y1098" t="s">
        <v>26650</v>
      </c>
      <c r="AA1098" t="s">
        <v>26683</v>
      </c>
      <c r="AB1098" t="s">
        <v>27716</v>
      </c>
      <c r="AD1098" t="s">
        <v>37767</v>
      </c>
      <c r="AE1098">
        <v>0</v>
      </c>
      <c r="AF1098" t="s">
        <v>45542</v>
      </c>
      <c r="AH1098">
        <v>3</v>
      </c>
      <c r="AI1098">
        <v>1</v>
      </c>
      <c r="AJ1098">
        <v>0</v>
      </c>
      <c r="AK1098">
        <v>79.28</v>
      </c>
      <c r="AN1098" t="s">
        <v>7439</v>
      </c>
      <c r="AO1098">
        <v>9624</v>
      </c>
      <c r="AU1098">
        <v>2.2</v>
      </c>
      <c r="AV1098" t="s">
        <v>504</v>
      </c>
      <c r="AW1098" t="s">
        <v>46854</v>
      </c>
    </row>
    <row r="1099" spans="1:50">
      <c r="A1099" s="1">
        <f>HYPERLINK("https://lsnyc.legalserver.org/matter/dynamic-profile/view/1874764","18-1874764")</f>
        <v>0</v>
      </c>
      <c r="B1099" t="s">
        <v>51</v>
      </c>
      <c r="C1099" t="s">
        <v>341</v>
      </c>
      <c r="D1099" t="s">
        <v>504</v>
      </c>
      <c r="E1099" t="s">
        <v>428</v>
      </c>
      <c r="F1099" t="s">
        <v>1021</v>
      </c>
      <c r="G1099" t="s">
        <v>5788</v>
      </c>
      <c r="H1099" t="s">
        <v>10591</v>
      </c>
      <c r="I1099">
        <v>212</v>
      </c>
      <c r="J1099" t="s">
        <v>18892</v>
      </c>
      <c r="K1099">
        <v>10457</v>
      </c>
      <c r="L1099" t="s">
        <v>18958</v>
      </c>
      <c r="M1099" t="s">
        <v>18958</v>
      </c>
      <c r="N1099" t="s">
        <v>19810</v>
      </c>
      <c r="O1099" t="s">
        <v>26523</v>
      </c>
      <c r="P1099" t="s">
        <v>26560</v>
      </c>
      <c r="Q1099" t="s">
        <v>26568</v>
      </c>
      <c r="R1099" t="s">
        <v>26579</v>
      </c>
      <c r="S1099" t="s">
        <v>18959</v>
      </c>
      <c r="U1099" t="s">
        <v>26604</v>
      </c>
      <c r="V1099" t="s">
        <v>26610</v>
      </c>
      <c r="W1099" t="s">
        <v>521</v>
      </c>
      <c r="X1099">
        <v>874.45</v>
      </c>
      <c r="Y1099" t="s">
        <v>26650</v>
      </c>
      <c r="Z1099" t="s">
        <v>26664</v>
      </c>
      <c r="AA1099" t="s">
        <v>26678</v>
      </c>
      <c r="AB1099" t="s">
        <v>27717</v>
      </c>
      <c r="AC1099" t="s">
        <v>34836</v>
      </c>
      <c r="AD1099" t="s">
        <v>37768</v>
      </c>
      <c r="AE1099">
        <v>0</v>
      </c>
      <c r="AF1099" t="s">
        <v>45541</v>
      </c>
      <c r="AG1099" t="s">
        <v>45561</v>
      </c>
      <c r="AH1099">
        <v>0</v>
      </c>
      <c r="AI1099">
        <v>1</v>
      </c>
      <c r="AJ1099">
        <v>0</v>
      </c>
      <c r="AK1099">
        <v>76.17</v>
      </c>
      <c r="AN1099" t="s">
        <v>7439</v>
      </c>
      <c r="AO1099">
        <v>9247.200000000001</v>
      </c>
      <c r="AQ1099" t="s">
        <v>46362</v>
      </c>
      <c r="AR1099" t="s">
        <v>46380</v>
      </c>
      <c r="AS1099" t="s">
        <v>46499</v>
      </c>
      <c r="AT1099" t="s">
        <v>46673</v>
      </c>
      <c r="AU1099">
        <v>8.1</v>
      </c>
      <c r="AV1099" t="s">
        <v>428</v>
      </c>
      <c r="AW1099" t="s">
        <v>46832</v>
      </c>
    </row>
    <row r="1100" spans="1:50">
      <c r="A1100" s="1">
        <f>HYPERLINK("https://lsnyc.legalserver.org/matter/dynamic-profile/view/1875257","18-1875257")</f>
        <v>0</v>
      </c>
      <c r="B1100" t="s">
        <v>226</v>
      </c>
      <c r="C1100" t="s">
        <v>341</v>
      </c>
      <c r="D1100" t="s">
        <v>526</v>
      </c>
      <c r="E1100" t="s">
        <v>635</v>
      </c>
      <c r="F1100" t="s">
        <v>1276</v>
      </c>
      <c r="G1100" t="s">
        <v>5789</v>
      </c>
      <c r="H1100" t="s">
        <v>10592</v>
      </c>
      <c r="I1100" t="s">
        <v>17594</v>
      </c>
      <c r="J1100" t="s">
        <v>18892</v>
      </c>
      <c r="K1100">
        <v>10451</v>
      </c>
      <c r="L1100" t="s">
        <v>18958</v>
      </c>
      <c r="M1100" t="s">
        <v>18958</v>
      </c>
      <c r="O1100" t="s">
        <v>26539</v>
      </c>
      <c r="P1100" t="s">
        <v>26564</v>
      </c>
      <c r="Q1100" t="s">
        <v>26570</v>
      </c>
      <c r="R1100" t="s">
        <v>26578</v>
      </c>
      <c r="S1100" t="s">
        <v>18959</v>
      </c>
      <c r="U1100" t="s">
        <v>26604</v>
      </c>
      <c r="W1100" t="s">
        <v>521</v>
      </c>
      <c r="X1100">
        <v>1051.83</v>
      </c>
      <c r="Y1100" t="s">
        <v>26650</v>
      </c>
      <c r="Z1100" t="s">
        <v>26663</v>
      </c>
      <c r="AA1100" t="s">
        <v>26683</v>
      </c>
      <c r="AB1100" t="s">
        <v>27718</v>
      </c>
      <c r="AD1100" t="s">
        <v>37769</v>
      </c>
      <c r="AE1100">
        <v>110</v>
      </c>
      <c r="AF1100" t="s">
        <v>45541</v>
      </c>
      <c r="AG1100" t="s">
        <v>19330</v>
      </c>
      <c r="AH1100">
        <v>7</v>
      </c>
      <c r="AI1100">
        <v>2</v>
      </c>
      <c r="AJ1100">
        <v>0</v>
      </c>
      <c r="AK1100">
        <v>247.31</v>
      </c>
      <c r="AN1100" t="s">
        <v>45581</v>
      </c>
      <c r="AO1100">
        <v>40707.37</v>
      </c>
      <c r="AP1100" t="s">
        <v>45688</v>
      </c>
      <c r="AU1100">
        <v>3.4</v>
      </c>
      <c r="AV1100" t="s">
        <v>635</v>
      </c>
      <c r="AW1100" t="s">
        <v>226</v>
      </c>
    </row>
    <row r="1101" spans="1:50">
      <c r="A1101" s="1">
        <f>HYPERLINK("https://lsnyc.legalserver.org/matter/dynamic-profile/view/1875545","18-1875545")</f>
        <v>0</v>
      </c>
      <c r="B1101" t="s">
        <v>107</v>
      </c>
      <c r="C1101" t="s">
        <v>341</v>
      </c>
      <c r="D1101" t="s">
        <v>521</v>
      </c>
      <c r="E1101" t="s">
        <v>805</v>
      </c>
      <c r="F1101" t="s">
        <v>1597</v>
      </c>
      <c r="G1101" t="s">
        <v>5790</v>
      </c>
      <c r="H1101" t="s">
        <v>10593</v>
      </c>
      <c r="I1101" t="s">
        <v>17595</v>
      </c>
      <c r="J1101" t="s">
        <v>18922</v>
      </c>
      <c r="K1101">
        <v>11694</v>
      </c>
      <c r="L1101" t="s">
        <v>18958</v>
      </c>
      <c r="M1101" t="s">
        <v>18958</v>
      </c>
      <c r="N1101" t="s">
        <v>19811</v>
      </c>
      <c r="O1101" t="s">
        <v>26523</v>
      </c>
      <c r="P1101" t="s">
        <v>26560</v>
      </c>
      <c r="Q1101" t="s">
        <v>26568</v>
      </c>
      <c r="R1101" t="s">
        <v>26584</v>
      </c>
      <c r="S1101" t="s">
        <v>18959</v>
      </c>
      <c r="U1101" t="s">
        <v>26604</v>
      </c>
      <c r="V1101" t="s">
        <v>26610</v>
      </c>
      <c r="W1101" t="s">
        <v>521</v>
      </c>
      <c r="X1101">
        <v>1515</v>
      </c>
      <c r="Y1101" t="s">
        <v>26653</v>
      </c>
      <c r="Z1101" t="s">
        <v>26664</v>
      </c>
      <c r="AA1101" t="s">
        <v>26678</v>
      </c>
      <c r="AB1101" t="s">
        <v>27719</v>
      </c>
      <c r="AC1101" t="s">
        <v>34837</v>
      </c>
      <c r="AD1101" t="s">
        <v>37770</v>
      </c>
      <c r="AE1101">
        <v>2</v>
      </c>
      <c r="AF1101" t="s">
        <v>45547</v>
      </c>
      <c r="AG1101" t="s">
        <v>45562</v>
      </c>
      <c r="AH1101">
        <v>4</v>
      </c>
      <c r="AI1101">
        <v>4</v>
      </c>
      <c r="AJ1101">
        <v>0</v>
      </c>
      <c r="AK1101">
        <v>38.25</v>
      </c>
      <c r="AN1101" t="s">
        <v>7439</v>
      </c>
      <c r="AO1101">
        <v>9600</v>
      </c>
      <c r="AQ1101" t="s">
        <v>46365</v>
      </c>
      <c r="AR1101" t="s">
        <v>26530</v>
      </c>
      <c r="AS1101" t="s">
        <v>46499</v>
      </c>
      <c r="AT1101" t="s">
        <v>46615</v>
      </c>
      <c r="AU1101">
        <v>25.05</v>
      </c>
      <c r="AV1101" t="s">
        <v>805</v>
      </c>
      <c r="AW1101" t="s">
        <v>161</v>
      </c>
      <c r="AX1101" t="s">
        <v>46897</v>
      </c>
    </row>
    <row r="1102" spans="1:50">
      <c r="A1102" s="1">
        <f>HYPERLINK("https://lsnyc.legalserver.org/matter/dynamic-profile/view/1875673","18-1875673")</f>
        <v>0</v>
      </c>
      <c r="B1102" t="s">
        <v>163</v>
      </c>
      <c r="C1102" t="s">
        <v>341</v>
      </c>
      <c r="D1102" t="s">
        <v>521</v>
      </c>
      <c r="E1102" t="s">
        <v>427</v>
      </c>
      <c r="F1102" t="s">
        <v>1598</v>
      </c>
      <c r="G1102" t="s">
        <v>5791</v>
      </c>
      <c r="H1102" t="s">
        <v>10594</v>
      </c>
      <c r="I1102">
        <v>41</v>
      </c>
      <c r="J1102" t="s">
        <v>18901</v>
      </c>
      <c r="K1102">
        <v>11432</v>
      </c>
      <c r="L1102" t="s">
        <v>18958</v>
      </c>
      <c r="M1102" t="s">
        <v>18958</v>
      </c>
      <c r="N1102" t="s">
        <v>19812</v>
      </c>
      <c r="O1102" t="s">
        <v>26523</v>
      </c>
      <c r="P1102" t="s">
        <v>26560</v>
      </c>
      <c r="Q1102" t="s">
        <v>26575</v>
      </c>
      <c r="R1102" t="s">
        <v>26584</v>
      </c>
      <c r="S1102" t="s">
        <v>18959</v>
      </c>
      <c r="T1102" t="s">
        <v>26584</v>
      </c>
      <c r="U1102" t="s">
        <v>26604</v>
      </c>
      <c r="V1102" t="s">
        <v>26612</v>
      </c>
      <c r="W1102" t="s">
        <v>521</v>
      </c>
      <c r="X1102">
        <v>1421.57</v>
      </c>
      <c r="Y1102" t="s">
        <v>26653</v>
      </c>
      <c r="Z1102" t="s">
        <v>26664</v>
      </c>
      <c r="AA1102" t="s">
        <v>26681</v>
      </c>
      <c r="AB1102" t="s">
        <v>27720</v>
      </c>
      <c r="AC1102" t="s">
        <v>19079</v>
      </c>
      <c r="AD1102" t="s">
        <v>37771</v>
      </c>
      <c r="AE1102">
        <v>36</v>
      </c>
      <c r="AF1102" t="s">
        <v>45541</v>
      </c>
      <c r="AG1102" t="s">
        <v>19330</v>
      </c>
      <c r="AH1102">
        <v>26</v>
      </c>
      <c r="AI1102">
        <v>2</v>
      </c>
      <c r="AJ1102">
        <v>0</v>
      </c>
      <c r="AK1102">
        <v>85.05</v>
      </c>
      <c r="AN1102" t="s">
        <v>7439</v>
      </c>
      <c r="AO1102">
        <v>14000</v>
      </c>
      <c r="AR1102" t="s">
        <v>46379</v>
      </c>
      <c r="AS1102" t="s">
        <v>46499</v>
      </c>
      <c r="AT1102" t="s">
        <v>46508</v>
      </c>
      <c r="AU1102">
        <v>8.050000000000001</v>
      </c>
      <c r="AV1102" t="s">
        <v>756</v>
      </c>
      <c r="AW1102" t="s">
        <v>208</v>
      </c>
    </row>
    <row r="1103" spans="1:50">
      <c r="A1103" s="1">
        <f>HYPERLINK("https://lsnyc.legalserver.org/matter/dynamic-profile/view/1875565","18-1875565")</f>
        <v>0</v>
      </c>
      <c r="B1103" t="s">
        <v>150</v>
      </c>
      <c r="C1103" t="s">
        <v>341</v>
      </c>
      <c r="D1103" t="s">
        <v>521</v>
      </c>
      <c r="E1103" t="s">
        <v>521</v>
      </c>
      <c r="F1103" t="s">
        <v>1599</v>
      </c>
      <c r="G1103" t="s">
        <v>5792</v>
      </c>
      <c r="H1103" t="s">
        <v>10595</v>
      </c>
      <c r="I1103" t="s">
        <v>17322</v>
      </c>
      <c r="J1103" t="s">
        <v>18892</v>
      </c>
      <c r="K1103">
        <v>10453</v>
      </c>
      <c r="L1103" t="s">
        <v>18958</v>
      </c>
      <c r="M1103" t="s">
        <v>18958</v>
      </c>
      <c r="O1103" t="s">
        <v>26523</v>
      </c>
      <c r="P1103" t="s">
        <v>26564</v>
      </c>
      <c r="Q1103" t="s">
        <v>26570</v>
      </c>
      <c r="R1103" t="s">
        <v>26578</v>
      </c>
      <c r="S1103" t="s">
        <v>18959</v>
      </c>
      <c r="U1103" t="s">
        <v>26604</v>
      </c>
      <c r="W1103" t="s">
        <v>521</v>
      </c>
      <c r="X1103">
        <v>344.22</v>
      </c>
      <c r="Y1103" t="s">
        <v>26650</v>
      </c>
      <c r="Z1103" t="s">
        <v>26663</v>
      </c>
      <c r="AA1103" t="s">
        <v>26683</v>
      </c>
      <c r="AB1103" t="s">
        <v>27721</v>
      </c>
      <c r="AD1103" t="s">
        <v>37772</v>
      </c>
      <c r="AE1103">
        <v>32</v>
      </c>
      <c r="AF1103" t="s">
        <v>45548</v>
      </c>
      <c r="AG1103" t="s">
        <v>19330</v>
      </c>
      <c r="AH1103">
        <v>50</v>
      </c>
      <c r="AI1103">
        <v>1</v>
      </c>
      <c r="AJ1103">
        <v>0</v>
      </c>
      <c r="AK1103">
        <v>66.92</v>
      </c>
      <c r="AN1103" t="s">
        <v>7439</v>
      </c>
      <c r="AO1103">
        <v>8124</v>
      </c>
      <c r="AU1103">
        <v>0.2</v>
      </c>
      <c r="AV1103" t="s">
        <v>521</v>
      </c>
      <c r="AW1103" t="s">
        <v>46847</v>
      </c>
    </row>
    <row r="1104" spans="1:50">
      <c r="A1104" s="1">
        <f>HYPERLINK("https://lsnyc.legalserver.org/matter/dynamic-profile/view/1875536","18-1875536")</f>
        <v>0</v>
      </c>
      <c r="B1104" t="s">
        <v>150</v>
      </c>
      <c r="C1104" t="s">
        <v>341</v>
      </c>
      <c r="D1104" t="s">
        <v>521</v>
      </c>
      <c r="E1104" t="s">
        <v>521</v>
      </c>
      <c r="F1104" t="s">
        <v>871</v>
      </c>
      <c r="G1104" t="s">
        <v>5793</v>
      </c>
      <c r="H1104" t="s">
        <v>10596</v>
      </c>
      <c r="I1104" t="s">
        <v>17596</v>
      </c>
      <c r="J1104" t="s">
        <v>18892</v>
      </c>
      <c r="K1104">
        <v>10453</v>
      </c>
      <c r="L1104" t="s">
        <v>18958</v>
      </c>
      <c r="M1104" t="s">
        <v>18958</v>
      </c>
      <c r="O1104" t="s">
        <v>18997</v>
      </c>
      <c r="P1104" t="s">
        <v>26564</v>
      </c>
      <c r="Q1104" t="s">
        <v>26570</v>
      </c>
      <c r="R1104" t="s">
        <v>26578</v>
      </c>
      <c r="S1104" t="s">
        <v>18959</v>
      </c>
      <c r="U1104" t="s">
        <v>26604</v>
      </c>
      <c r="W1104" t="s">
        <v>521</v>
      </c>
      <c r="X1104">
        <v>875.8</v>
      </c>
      <c r="Y1104" t="s">
        <v>26650</v>
      </c>
      <c r="Z1104" t="s">
        <v>26663</v>
      </c>
      <c r="AA1104" t="s">
        <v>26683</v>
      </c>
      <c r="AB1104" t="s">
        <v>27722</v>
      </c>
      <c r="AD1104" t="s">
        <v>37773</v>
      </c>
      <c r="AE1104">
        <v>38</v>
      </c>
      <c r="AF1104" t="s">
        <v>45541</v>
      </c>
      <c r="AG1104" t="s">
        <v>19330</v>
      </c>
      <c r="AH1104">
        <v>39</v>
      </c>
      <c r="AI1104">
        <v>1</v>
      </c>
      <c r="AJ1104">
        <v>0</v>
      </c>
      <c r="AK1104">
        <v>72.45</v>
      </c>
      <c r="AN1104" t="s">
        <v>45581</v>
      </c>
      <c r="AO1104">
        <v>8796</v>
      </c>
      <c r="AU1104">
        <v>0.4</v>
      </c>
      <c r="AV1104" t="s">
        <v>531</v>
      </c>
      <c r="AW1104" t="s">
        <v>46847</v>
      </c>
    </row>
    <row r="1105" spans="1:50">
      <c r="A1105" s="1">
        <f>HYPERLINK("https://lsnyc.legalserver.org/matter/dynamic-profile/view/1875542","18-1875542")</f>
        <v>0</v>
      </c>
      <c r="B1105" t="s">
        <v>150</v>
      </c>
      <c r="C1105" t="s">
        <v>341</v>
      </c>
      <c r="D1105" t="s">
        <v>521</v>
      </c>
      <c r="E1105" t="s">
        <v>521</v>
      </c>
      <c r="F1105" t="s">
        <v>1600</v>
      </c>
      <c r="G1105" t="s">
        <v>5731</v>
      </c>
      <c r="H1105" t="s">
        <v>10597</v>
      </c>
      <c r="I1105" t="s">
        <v>17597</v>
      </c>
      <c r="J1105" t="s">
        <v>18892</v>
      </c>
      <c r="K1105">
        <v>10453</v>
      </c>
      <c r="L1105" t="s">
        <v>18958</v>
      </c>
      <c r="M1105" t="s">
        <v>18958</v>
      </c>
      <c r="N1105" t="s">
        <v>19813</v>
      </c>
      <c r="O1105" t="s">
        <v>26524</v>
      </c>
      <c r="P1105" t="s">
        <v>26564</v>
      </c>
      <c r="Q1105" t="s">
        <v>26570</v>
      </c>
      <c r="R1105" t="s">
        <v>26578</v>
      </c>
      <c r="S1105" t="s">
        <v>18959</v>
      </c>
      <c r="U1105" t="s">
        <v>26604</v>
      </c>
      <c r="W1105" t="s">
        <v>521</v>
      </c>
      <c r="X1105">
        <v>995</v>
      </c>
      <c r="Y1105" t="s">
        <v>26650</v>
      </c>
      <c r="Z1105" t="s">
        <v>26663</v>
      </c>
      <c r="AA1105" t="s">
        <v>26683</v>
      </c>
      <c r="AB1105" t="s">
        <v>27723</v>
      </c>
      <c r="AE1105">
        <v>32</v>
      </c>
      <c r="AF1105" t="s">
        <v>45541</v>
      </c>
      <c r="AG1105" t="s">
        <v>19330</v>
      </c>
      <c r="AH1105">
        <v>23</v>
      </c>
      <c r="AI1105">
        <v>3</v>
      </c>
      <c r="AJ1105">
        <v>0</v>
      </c>
      <c r="AK1105">
        <v>100.1</v>
      </c>
      <c r="AN1105" t="s">
        <v>7439</v>
      </c>
      <c r="AO1105">
        <v>20800</v>
      </c>
      <c r="AU1105">
        <v>0.2</v>
      </c>
      <c r="AV1105" t="s">
        <v>521</v>
      </c>
      <c r="AW1105" t="s">
        <v>46847</v>
      </c>
    </row>
    <row r="1106" spans="1:50">
      <c r="A1106" s="1">
        <f>HYPERLINK("https://lsnyc.legalserver.org/matter/dynamic-profile/view/1875570","18-1875570")</f>
        <v>0</v>
      </c>
      <c r="B1106" t="s">
        <v>150</v>
      </c>
      <c r="C1106" t="s">
        <v>341</v>
      </c>
      <c r="D1106" t="s">
        <v>521</v>
      </c>
      <c r="E1106" t="s">
        <v>521</v>
      </c>
      <c r="F1106" t="s">
        <v>1133</v>
      </c>
      <c r="G1106" t="s">
        <v>5602</v>
      </c>
      <c r="H1106" t="s">
        <v>10319</v>
      </c>
      <c r="I1106" t="s">
        <v>17388</v>
      </c>
      <c r="J1106" t="s">
        <v>18892</v>
      </c>
      <c r="K1106">
        <v>10456</v>
      </c>
      <c r="L1106" t="s">
        <v>18958</v>
      </c>
      <c r="M1106" t="s">
        <v>18958</v>
      </c>
      <c r="O1106" t="s">
        <v>18997</v>
      </c>
      <c r="P1106" t="s">
        <v>26565</v>
      </c>
      <c r="Q1106" t="s">
        <v>26571</v>
      </c>
      <c r="R1106" t="s">
        <v>26578</v>
      </c>
      <c r="S1106" t="s">
        <v>18959</v>
      </c>
      <c r="U1106" t="s">
        <v>26604</v>
      </c>
      <c r="W1106" t="s">
        <v>521</v>
      </c>
      <c r="X1106">
        <v>879</v>
      </c>
      <c r="Y1106" t="s">
        <v>26650</v>
      </c>
      <c r="Z1106" t="s">
        <v>26663</v>
      </c>
      <c r="AA1106" t="s">
        <v>26683</v>
      </c>
      <c r="AB1106" t="s">
        <v>27425</v>
      </c>
      <c r="AD1106" t="s">
        <v>37490</v>
      </c>
      <c r="AE1106">
        <v>35</v>
      </c>
      <c r="AF1106" t="s">
        <v>45541</v>
      </c>
      <c r="AG1106" t="s">
        <v>45559</v>
      </c>
      <c r="AH1106">
        <v>30</v>
      </c>
      <c r="AI1106">
        <v>1</v>
      </c>
      <c r="AJ1106">
        <v>0</v>
      </c>
      <c r="AK1106">
        <v>118.62</v>
      </c>
      <c r="AN1106" t="s">
        <v>45581</v>
      </c>
      <c r="AO1106">
        <v>14400</v>
      </c>
      <c r="AU1106">
        <v>0.2</v>
      </c>
      <c r="AV1106" t="s">
        <v>521</v>
      </c>
      <c r="AW1106" t="s">
        <v>46847</v>
      </c>
    </row>
    <row r="1107" spans="1:50">
      <c r="A1107" s="1">
        <f>HYPERLINK("https://lsnyc.legalserver.org/matter/dynamic-profile/view/1875562","18-1875562")</f>
        <v>0</v>
      </c>
      <c r="B1107" t="s">
        <v>150</v>
      </c>
      <c r="C1107" t="s">
        <v>341</v>
      </c>
      <c r="D1107" t="s">
        <v>521</v>
      </c>
      <c r="E1107" t="s">
        <v>521</v>
      </c>
      <c r="F1107" t="s">
        <v>1601</v>
      </c>
      <c r="G1107" t="s">
        <v>5794</v>
      </c>
      <c r="H1107" t="s">
        <v>10598</v>
      </c>
      <c r="I1107" t="s">
        <v>17411</v>
      </c>
      <c r="J1107" t="s">
        <v>18892</v>
      </c>
      <c r="K1107">
        <v>10473</v>
      </c>
      <c r="L1107" t="s">
        <v>18958</v>
      </c>
      <c r="M1107" t="s">
        <v>18958</v>
      </c>
      <c r="O1107" t="s">
        <v>26525</v>
      </c>
      <c r="P1107" t="s">
        <v>26564</v>
      </c>
      <c r="Q1107" t="s">
        <v>26570</v>
      </c>
      <c r="R1107" t="s">
        <v>26578</v>
      </c>
      <c r="S1107" t="s">
        <v>18959</v>
      </c>
      <c r="U1107" t="s">
        <v>26604</v>
      </c>
      <c r="W1107" t="s">
        <v>521</v>
      </c>
      <c r="X1107">
        <v>272</v>
      </c>
      <c r="Y1107" t="s">
        <v>26650</v>
      </c>
      <c r="Z1107" t="s">
        <v>26663</v>
      </c>
      <c r="AA1107" t="s">
        <v>26683</v>
      </c>
      <c r="AB1107" t="s">
        <v>27724</v>
      </c>
      <c r="AD1107" t="s">
        <v>37774</v>
      </c>
      <c r="AE1107">
        <v>775</v>
      </c>
      <c r="AF1107" t="s">
        <v>45549</v>
      </c>
      <c r="AG1107" t="s">
        <v>19330</v>
      </c>
      <c r="AH1107">
        <v>6</v>
      </c>
      <c r="AI1107">
        <v>1</v>
      </c>
      <c r="AJ1107">
        <v>0</v>
      </c>
      <c r="AK1107">
        <v>186</v>
      </c>
      <c r="AN1107" t="s">
        <v>7439</v>
      </c>
      <c r="AO1107">
        <v>22580</v>
      </c>
      <c r="AU1107">
        <v>0.2</v>
      </c>
      <c r="AV1107" t="s">
        <v>521</v>
      </c>
      <c r="AW1107" t="s">
        <v>46847</v>
      </c>
    </row>
    <row r="1108" spans="1:50">
      <c r="A1108" s="1">
        <f>HYPERLINK("https://lsnyc.legalserver.org/matter/dynamic-profile/view/1875591","18-1875591")</f>
        <v>0</v>
      </c>
      <c r="B1108" t="s">
        <v>130</v>
      </c>
      <c r="C1108" t="s">
        <v>341</v>
      </c>
      <c r="D1108" t="s">
        <v>521</v>
      </c>
      <c r="E1108" t="s">
        <v>441</v>
      </c>
      <c r="F1108" t="s">
        <v>1523</v>
      </c>
      <c r="G1108" t="s">
        <v>5795</v>
      </c>
      <c r="H1108" t="s">
        <v>10599</v>
      </c>
      <c r="J1108" t="s">
        <v>18905</v>
      </c>
      <c r="K1108">
        <v>11692</v>
      </c>
      <c r="L1108" t="s">
        <v>18958</v>
      </c>
      <c r="M1108" t="s">
        <v>18958</v>
      </c>
      <c r="N1108" t="s">
        <v>19814</v>
      </c>
      <c r="O1108" t="s">
        <v>26524</v>
      </c>
      <c r="P1108" t="s">
        <v>26564</v>
      </c>
      <c r="Q1108" t="s">
        <v>26570</v>
      </c>
      <c r="R1108" t="s">
        <v>26578</v>
      </c>
      <c r="S1108" t="s">
        <v>18959</v>
      </c>
      <c r="U1108" t="s">
        <v>26604</v>
      </c>
      <c r="V1108" t="s">
        <v>26611</v>
      </c>
      <c r="W1108" t="s">
        <v>521</v>
      </c>
      <c r="X1108">
        <v>1000</v>
      </c>
      <c r="Y1108" t="s">
        <v>26653</v>
      </c>
      <c r="Z1108" t="s">
        <v>26664</v>
      </c>
      <c r="AA1108" t="s">
        <v>26683</v>
      </c>
      <c r="AB1108" t="s">
        <v>26852</v>
      </c>
      <c r="AC1108" t="s">
        <v>19330</v>
      </c>
      <c r="AD1108" t="s">
        <v>37775</v>
      </c>
      <c r="AE1108">
        <v>1</v>
      </c>
      <c r="AF1108" t="s">
        <v>45547</v>
      </c>
      <c r="AG1108" t="s">
        <v>19330</v>
      </c>
      <c r="AH1108">
        <v>3</v>
      </c>
      <c r="AI1108">
        <v>1</v>
      </c>
      <c r="AJ1108">
        <v>0</v>
      </c>
      <c r="AK1108">
        <v>0</v>
      </c>
      <c r="AN1108" t="s">
        <v>7439</v>
      </c>
      <c r="AO1108">
        <v>0</v>
      </c>
      <c r="AU1108">
        <v>1.6</v>
      </c>
      <c r="AV1108" t="s">
        <v>441</v>
      </c>
      <c r="AW1108" t="s">
        <v>161</v>
      </c>
    </row>
    <row r="1109" spans="1:50">
      <c r="A1109" s="1">
        <f>HYPERLINK("https://lsnyc.legalserver.org/matter/dynamic-profile/view/1875623","18-1875623")</f>
        <v>0</v>
      </c>
      <c r="B1109" t="s">
        <v>130</v>
      </c>
      <c r="C1109" t="s">
        <v>341</v>
      </c>
      <c r="D1109" t="s">
        <v>521</v>
      </c>
      <c r="E1109" t="s">
        <v>769</v>
      </c>
      <c r="F1109" t="s">
        <v>1080</v>
      </c>
      <c r="G1109" t="s">
        <v>5796</v>
      </c>
      <c r="H1109" t="s">
        <v>10600</v>
      </c>
      <c r="I1109" t="s">
        <v>17322</v>
      </c>
      <c r="J1109" t="s">
        <v>18914</v>
      </c>
      <c r="K1109">
        <v>11104</v>
      </c>
      <c r="L1109" t="s">
        <v>18958</v>
      </c>
      <c r="M1109" t="s">
        <v>18958</v>
      </c>
      <c r="N1109" t="s">
        <v>19815</v>
      </c>
      <c r="O1109" t="s">
        <v>26523</v>
      </c>
      <c r="P1109" t="s">
        <v>26560</v>
      </c>
      <c r="Q1109" t="s">
        <v>26568</v>
      </c>
      <c r="R1109" t="s">
        <v>26584</v>
      </c>
      <c r="S1109" t="s">
        <v>18959</v>
      </c>
      <c r="U1109" t="s">
        <v>26604</v>
      </c>
      <c r="V1109" t="s">
        <v>26610</v>
      </c>
      <c r="W1109" t="s">
        <v>521</v>
      </c>
      <c r="X1109">
        <v>1106.95</v>
      </c>
      <c r="Y1109" t="s">
        <v>26653</v>
      </c>
      <c r="Z1109" t="s">
        <v>26664</v>
      </c>
      <c r="AA1109" t="s">
        <v>26678</v>
      </c>
      <c r="AB1109" t="s">
        <v>27725</v>
      </c>
      <c r="AC1109" t="s">
        <v>34838</v>
      </c>
      <c r="AD1109" t="s">
        <v>37776</v>
      </c>
      <c r="AE1109">
        <v>7</v>
      </c>
      <c r="AF1109" t="s">
        <v>45541</v>
      </c>
      <c r="AG1109" t="s">
        <v>19330</v>
      </c>
      <c r="AH1109">
        <v>25</v>
      </c>
      <c r="AI1109">
        <v>1</v>
      </c>
      <c r="AJ1109">
        <v>0</v>
      </c>
      <c r="AK1109">
        <v>30.36</v>
      </c>
      <c r="AN1109" t="s">
        <v>7439</v>
      </c>
      <c r="AO1109">
        <v>3686</v>
      </c>
      <c r="AQ1109" t="s">
        <v>46359</v>
      </c>
      <c r="AR1109" t="s">
        <v>46379</v>
      </c>
      <c r="AS1109" t="s">
        <v>46499</v>
      </c>
      <c r="AT1109" t="s">
        <v>46674</v>
      </c>
      <c r="AU1109">
        <v>22.05</v>
      </c>
      <c r="AV1109" t="s">
        <v>761</v>
      </c>
      <c r="AW1109" t="s">
        <v>208</v>
      </c>
    </row>
    <row r="1110" spans="1:50">
      <c r="A1110" s="1">
        <f>HYPERLINK("https://lsnyc.legalserver.org/matter/dynamic-profile/view/1875568","18-1875568")</f>
        <v>0</v>
      </c>
      <c r="B1110" t="s">
        <v>134</v>
      </c>
      <c r="C1110" t="s">
        <v>341</v>
      </c>
      <c r="D1110" t="s">
        <v>521</v>
      </c>
      <c r="E1110" t="s">
        <v>827</v>
      </c>
      <c r="F1110" t="s">
        <v>1602</v>
      </c>
      <c r="G1110" t="s">
        <v>5797</v>
      </c>
      <c r="H1110" t="s">
        <v>10578</v>
      </c>
      <c r="I1110" t="s">
        <v>17598</v>
      </c>
      <c r="J1110" t="s">
        <v>18894</v>
      </c>
      <c r="K1110">
        <v>11221</v>
      </c>
      <c r="L1110" t="s">
        <v>18958</v>
      </c>
      <c r="M1110" t="s">
        <v>18958</v>
      </c>
      <c r="O1110" t="s">
        <v>26531</v>
      </c>
      <c r="P1110" t="s">
        <v>26565</v>
      </c>
      <c r="Q1110" t="s">
        <v>26571</v>
      </c>
      <c r="R1110" t="s">
        <v>26578</v>
      </c>
      <c r="S1110" t="s">
        <v>18958</v>
      </c>
      <c r="U1110" t="s">
        <v>26604</v>
      </c>
      <c r="W1110" t="s">
        <v>521</v>
      </c>
      <c r="X1110">
        <v>168</v>
      </c>
      <c r="Y1110" t="s">
        <v>26652</v>
      </c>
      <c r="Z1110" t="s">
        <v>26665</v>
      </c>
      <c r="AA1110" t="s">
        <v>26682</v>
      </c>
      <c r="AB1110" t="s">
        <v>27726</v>
      </c>
      <c r="AD1110" t="s">
        <v>37777</v>
      </c>
      <c r="AE1110">
        <v>54</v>
      </c>
      <c r="AF1110" t="s">
        <v>45541</v>
      </c>
      <c r="AG1110" t="s">
        <v>45556</v>
      </c>
      <c r="AH1110">
        <v>13</v>
      </c>
      <c r="AI1110">
        <v>1</v>
      </c>
      <c r="AJ1110">
        <v>0</v>
      </c>
      <c r="AK1110">
        <v>79.08</v>
      </c>
      <c r="AN1110" t="s">
        <v>7439</v>
      </c>
      <c r="AO1110">
        <v>9600</v>
      </c>
      <c r="AP1110" t="s">
        <v>45669</v>
      </c>
      <c r="AU1110">
        <v>56</v>
      </c>
      <c r="AV1110" t="s">
        <v>819</v>
      </c>
      <c r="AW1110" t="s">
        <v>46851</v>
      </c>
    </row>
    <row r="1111" spans="1:50">
      <c r="A1111" s="1">
        <f>HYPERLINK("https://lsnyc.legalserver.org/matter/dynamic-profile/view/1875602","18-1875602")</f>
        <v>0</v>
      </c>
      <c r="B1111" t="s">
        <v>167</v>
      </c>
      <c r="C1111" t="s">
        <v>341</v>
      </c>
      <c r="D1111" t="s">
        <v>521</v>
      </c>
      <c r="E1111" t="s">
        <v>441</v>
      </c>
      <c r="F1111" t="s">
        <v>1603</v>
      </c>
      <c r="G1111" t="s">
        <v>5224</v>
      </c>
      <c r="H1111" t="s">
        <v>10051</v>
      </c>
      <c r="I1111">
        <v>605</v>
      </c>
      <c r="J1111" t="s">
        <v>18905</v>
      </c>
      <c r="K1111">
        <v>11692</v>
      </c>
      <c r="L1111" t="s">
        <v>18958</v>
      </c>
      <c r="M1111" t="s">
        <v>18958</v>
      </c>
      <c r="N1111" t="s">
        <v>19816</v>
      </c>
      <c r="O1111" t="s">
        <v>26523</v>
      </c>
      <c r="P1111" t="s">
        <v>26564</v>
      </c>
      <c r="Q1111" t="s">
        <v>26570</v>
      </c>
      <c r="R1111" t="s">
        <v>26578</v>
      </c>
      <c r="S1111" t="s">
        <v>18959</v>
      </c>
      <c r="U1111" t="s">
        <v>26604</v>
      </c>
      <c r="V1111" t="s">
        <v>26612</v>
      </c>
      <c r="W1111" t="s">
        <v>521</v>
      </c>
      <c r="X1111">
        <v>1400</v>
      </c>
      <c r="Y1111" t="s">
        <v>26653</v>
      </c>
      <c r="Z1111" t="s">
        <v>26664</v>
      </c>
      <c r="AA1111" t="s">
        <v>26683</v>
      </c>
      <c r="AB1111" t="s">
        <v>27727</v>
      </c>
      <c r="AC1111" t="s">
        <v>19330</v>
      </c>
      <c r="AD1111" t="s">
        <v>37778</v>
      </c>
      <c r="AE1111">
        <v>217</v>
      </c>
      <c r="AF1111" t="s">
        <v>20460</v>
      </c>
      <c r="AG1111" t="s">
        <v>19330</v>
      </c>
      <c r="AH1111">
        <v>4</v>
      </c>
      <c r="AI1111">
        <v>1</v>
      </c>
      <c r="AJ1111">
        <v>0</v>
      </c>
      <c r="AK1111">
        <v>185.54</v>
      </c>
      <c r="AN1111" t="s">
        <v>7439</v>
      </c>
      <c r="AO1111">
        <v>22524</v>
      </c>
      <c r="AU1111">
        <v>2.3</v>
      </c>
      <c r="AV1111" t="s">
        <v>441</v>
      </c>
      <c r="AW1111" t="s">
        <v>161</v>
      </c>
    </row>
    <row r="1112" spans="1:50">
      <c r="A1112" s="1">
        <f>HYPERLINK("https://lsnyc.legalserver.org/matter/dynamic-profile/view/1875581","18-1875581")</f>
        <v>0</v>
      </c>
      <c r="B1112" t="s">
        <v>116</v>
      </c>
      <c r="C1112" t="s">
        <v>341</v>
      </c>
      <c r="D1112" t="s">
        <v>521</v>
      </c>
      <c r="E1112" t="s">
        <v>575</v>
      </c>
      <c r="F1112" t="s">
        <v>1604</v>
      </c>
      <c r="G1112" t="s">
        <v>5798</v>
      </c>
      <c r="H1112" t="s">
        <v>10601</v>
      </c>
      <c r="I1112">
        <v>1</v>
      </c>
      <c r="J1112" t="s">
        <v>18894</v>
      </c>
      <c r="K1112">
        <v>11208</v>
      </c>
      <c r="L1112" t="s">
        <v>18958</v>
      </c>
      <c r="M1112" t="s">
        <v>18958</v>
      </c>
      <c r="O1112" t="s">
        <v>26526</v>
      </c>
      <c r="P1112" t="s">
        <v>26565</v>
      </c>
      <c r="Q1112" t="s">
        <v>26571</v>
      </c>
      <c r="R1112" t="s">
        <v>26578</v>
      </c>
      <c r="S1112" t="s">
        <v>18959</v>
      </c>
      <c r="U1112" t="s">
        <v>26604</v>
      </c>
      <c r="W1112" t="s">
        <v>521</v>
      </c>
      <c r="X1112">
        <v>1956</v>
      </c>
      <c r="Y1112" t="s">
        <v>26652</v>
      </c>
      <c r="Z1112" t="s">
        <v>26663</v>
      </c>
      <c r="AA1112" t="s">
        <v>26689</v>
      </c>
      <c r="AB1112" t="s">
        <v>27728</v>
      </c>
      <c r="AD1112" t="s">
        <v>37779</v>
      </c>
      <c r="AE1112">
        <v>2</v>
      </c>
      <c r="AF1112" t="s">
        <v>45547</v>
      </c>
      <c r="AG1112" t="s">
        <v>45557</v>
      </c>
      <c r="AH1112">
        <v>2</v>
      </c>
      <c r="AI1112">
        <v>1</v>
      </c>
      <c r="AJ1112">
        <v>5</v>
      </c>
      <c r="AK1112">
        <v>35.57</v>
      </c>
      <c r="AN1112" t="s">
        <v>7439</v>
      </c>
      <c r="AO1112">
        <v>12000</v>
      </c>
      <c r="AP1112" t="s">
        <v>45677</v>
      </c>
      <c r="AU1112">
        <v>1.2</v>
      </c>
      <c r="AV1112" t="s">
        <v>582</v>
      </c>
      <c r="AW1112" t="s">
        <v>116</v>
      </c>
    </row>
    <row r="1113" spans="1:50">
      <c r="A1113" s="1">
        <f>HYPERLINK("https://lsnyc.legalserver.org/matter/dynamic-profile/view/1875618","18-1875618")</f>
        <v>0</v>
      </c>
      <c r="B1113" t="s">
        <v>116</v>
      </c>
      <c r="C1113" t="s">
        <v>341</v>
      </c>
      <c r="D1113" t="s">
        <v>521</v>
      </c>
      <c r="E1113" t="s">
        <v>697</v>
      </c>
      <c r="F1113" t="s">
        <v>1495</v>
      </c>
      <c r="G1113" t="s">
        <v>5110</v>
      </c>
      <c r="H1113" t="s">
        <v>10602</v>
      </c>
      <c r="I1113">
        <v>3</v>
      </c>
      <c r="J1113" t="s">
        <v>18894</v>
      </c>
      <c r="K1113">
        <v>11212</v>
      </c>
      <c r="L1113" t="s">
        <v>18958</v>
      </c>
      <c r="M1113" t="s">
        <v>18958</v>
      </c>
      <c r="O1113" t="s">
        <v>26547</v>
      </c>
      <c r="P1113" t="s">
        <v>26565</v>
      </c>
      <c r="Q1113" t="s">
        <v>26571</v>
      </c>
      <c r="R1113" t="s">
        <v>26578</v>
      </c>
      <c r="S1113" t="s">
        <v>18959</v>
      </c>
      <c r="U1113" t="s">
        <v>26604</v>
      </c>
      <c r="V1113" t="s">
        <v>26610</v>
      </c>
      <c r="W1113" t="s">
        <v>521</v>
      </c>
      <c r="X1113">
        <v>1446.65</v>
      </c>
      <c r="Y1113" t="s">
        <v>26652</v>
      </c>
      <c r="Z1113" t="s">
        <v>26659</v>
      </c>
      <c r="AA1113" t="s">
        <v>26681</v>
      </c>
      <c r="AB1113" t="s">
        <v>27729</v>
      </c>
      <c r="AD1113" t="s">
        <v>37780</v>
      </c>
      <c r="AE1113">
        <v>16</v>
      </c>
      <c r="AF1113" t="s">
        <v>45541</v>
      </c>
      <c r="AG1113" t="s">
        <v>45556</v>
      </c>
      <c r="AH1113">
        <v>12</v>
      </c>
      <c r="AI1113">
        <v>1</v>
      </c>
      <c r="AJ1113">
        <v>0</v>
      </c>
      <c r="AK1113">
        <v>44.48</v>
      </c>
      <c r="AN1113" t="s">
        <v>7439</v>
      </c>
      <c r="AO1113">
        <v>5400</v>
      </c>
      <c r="AR1113" t="s">
        <v>46410</v>
      </c>
      <c r="AU1113">
        <v>1.4</v>
      </c>
      <c r="AV1113" t="s">
        <v>697</v>
      </c>
      <c r="AW1113" t="s">
        <v>116</v>
      </c>
    </row>
    <row r="1114" spans="1:50">
      <c r="A1114" s="1">
        <f>HYPERLINK("https://lsnyc.legalserver.org/matter/dynamic-profile/view/1875543","18-1875543")</f>
        <v>0</v>
      </c>
      <c r="B1114" t="s">
        <v>153</v>
      </c>
      <c r="C1114" t="s">
        <v>341</v>
      </c>
      <c r="D1114" t="s">
        <v>521</v>
      </c>
      <c r="E1114" t="s">
        <v>712</v>
      </c>
      <c r="F1114" t="s">
        <v>1110</v>
      </c>
      <c r="G1114" t="s">
        <v>5294</v>
      </c>
      <c r="H1114" t="s">
        <v>9892</v>
      </c>
      <c r="I1114" t="s">
        <v>17408</v>
      </c>
      <c r="J1114" t="s">
        <v>18902</v>
      </c>
      <c r="K1114">
        <v>10305</v>
      </c>
      <c r="L1114" t="s">
        <v>18958</v>
      </c>
      <c r="M1114" t="s">
        <v>18958</v>
      </c>
      <c r="N1114" t="s">
        <v>19817</v>
      </c>
      <c r="O1114" t="s">
        <v>26532</v>
      </c>
      <c r="P1114" t="s">
        <v>26562</v>
      </c>
      <c r="Q1114" t="s">
        <v>26569</v>
      </c>
      <c r="R1114" t="s">
        <v>26587</v>
      </c>
      <c r="S1114" t="s">
        <v>18959</v>
      </c>
      <c r="U1114" t="s">
        <v>26604</v>
      </c>
      <c r="V1114" t="s">
        <v>26610</v>
      </c>
      <c r="W1114" t="s">
        <v>521</v>
      </c>
      <c r="X1114">
        <v>850</v>
      </c>
      <c r="Y1114" t="s">
        <v>26654</v>
      </c>
      <c r="Z1114" t="s">
        <v>26661</v>
      </c>
      <c r="AA1114" t="s">
        <v>26682</v>
      </c>
      <c r="AB1114" t="s">
        <v>26979</v>
      </c>
      <c r="AD1114" t="s">
        <v>37070</v>
      </c>
      <c r="AE1114">
        <v>2</v>
      </c>
      <c r="AF1114" t="s">
        <v>45547</v>
      </c>
      <c r="AG1114" t="s">
        <v>19330</v>
      </c>
      <c r="AH1114">
        <v>-1</v>
      </c>
      <c r="AI1114">
        <v>1</v>
      </c>
      <c r="AJ1114">
        <v>0</v>
      </c>
      <c r="AK1114">
        <v>65.90000000000001</v>
      </c>
      <c r="AN1114" t="s">
        <v>45582</v>
      </c>
      <c r="AO1114">
        <v>8000</v>
      </c>
      <c r="AU1114">
        <v>8.1</v>
      </c>
      <c r="AV1114" t="s">
        <v>624</v>
      </c>
      <c r="AW1114" t="s">
        <v>190</v>
      </c>
    </row>
    <row r="1115" spans="1:50">
      <c r="A1115" s="1">
        <f>HYPERLINK("https://lsnyc.legalserver.org/matter/dynamic-profile/view/1875575","18-1875575")</f>
        <v>0</v>
      </c>
      <c r="B1115" t="s">
        <v>74</v>
      </c>
      <c r="C1115" t="s">
        <v>341</v>
      </c>
      <c r="D1115" t="s">
        <v>521</v>
      </c>
      <c r="E1115" t="s">
        <v>524</v>
      </c>
      <c r="F1115" t="s">
        <v>1319</v>
      </c>
      <c r="G1115" t="s">
        <v>5497</v>
      </c>
      <c r="H1115" t="s">
        <v>9854</v>
      </c>
      <c r="I1115" t="s">
        <v>17478</v>
      </c>
      <c r="J1115" t="s">
        <v>18893</v>
      </c>
      <c r="K1115">
        <v>10033</v>
      </c>
      <c r="L1115" t="s">
        <v>18958</v>
      </c>
      <c r="M1115" t="s">
        <v>18960</v>
      </c>
      <c r="O1115" t="s">
        <v>26523</v>
      </c>
      <c r="P1115" t="s">
        <v>26564</v>
      </c>
      <c r="Q1115" t="s">
        <v>26570</v>
      </c>
      <c r="R1115" t="s">
        <v>26594</v>
      </c>
      <c r="S1115" t="s">
        <v>18959</v>
      </c>
      <c r="U1115" t="s">
        <v>26604</v>
      </c>
      <c r="W1115" t="s">
        <v>521</v>
      </c>
      <c r="X1115">
        <v>1429.45</v>
      </c>
      <c r="Y1115" t="s">
        <v>26651</v>
      </c>
      <c r="Z1115" t="s">
        <v>26659</v>
      </c>
      <c r="AA1115" t="s">
        <v>26683</v>
      </c>
      <c r="AB1115" t="s">
        <v>27269</v>
      </c>
      <c r="AD1115" t="s">
        <v>37339</v>
      </c>
      <c r="AE1115">
        <v>0</v>
      </c>
      <c r="AF1115" t="s">
        <v>45541</v>
      </c>
      <c r="AG1115" t="s">
        <v>45556</v>
      </c>
      <c r="AH1115">
        <v>24</v>
      </c>
      <c r="AI1115">
        <v>1</v>
      </c>
      <c r="AJ1115">
        <v>1</v>
      </c>
      <c r="AK1115">
        <v>260.47</v>
      </c>
      <c r="AN1115" t="s">
        <v>45581</v>
      </c>
      <c r="AO1115">
        <v>42873</v>
      </c>
      <c r="AU1115">
        <v>1.4</v>
      </c>
      <c r="AV1115" t="s">
        <v>521</v>
      </c>
      <c r="AW1115" t="s">
        <v>46840</v>
      </c>
    </row>
    <row r="1116" spans="1:50">
      <c r="A1116" s="1">
        <f>HYPERLINK("https://lsnyc.legalserver.org/matter/dynamic-profile/view/1875475","18-1875475")</f>
        <v>0</v>
      </c>
      <c r="B1116" t="s">
        <v>227</v>
      </c>
      <c r="C1116" t="s">
        <v>341</v>
      </c>
      <c r="D1116" t="s">
        <v>521</v>
      </c>
      <c r="E1116" t="s">
        <v>511</v>
      </c>
      <c r="F1116" t="s">
        <v>1605</v>
      </c>
      <c r="G1116" t="s">
        <v>5799</v>
      </c>
      <c r="H1116" t="s">
        <v>10603</v>
      </c>
      <c r="I1116" t="s">
        <v>17309</v>
      </c>
      <c r="J1116" t="s">
        <v>18894</v>
      </c>
      <c r="K1116">
        <v>11221</v>
      </c>
      <c r="L1116" t="s">
        <v>18958</v>
      </c>
      <c r="M1116" t="s">
        <v>18958</v>
      </c>
      <c r="N1116" t="s">
        <v>19818</v>
      </c>
      <c r="O1116" t="s">
        <v>26524</v>
      </c>
      <c r="P1116" t="s">
        <v>26564</v>
      </c>
      <c r="Q1116" t="s">
        <v>26571</v>
      </c>
      <c r="R1116" t="s">
        <v>26588</v>
      </c>
      <c r="U1116" t="s">
        <v>26604</v>
      </c>
      <c r="W1116" t="s">
        <v>521</v>
      </c>
      <c r="X1116">
        <v>0</v>
      </c>
      <c r="Y1116" t="s">
        <v>26652</v>
      </c>
      <c r="Z1116" t="s">
        <v>26669</v>
      </c>
      <c r="AA1116" t="s">
        <v>26683</v>
      </c>
      <c r="AB1116" t="s">
        <v>27730</v>
      </c>
      <c r="AD1116" t="s">
        <v>37781</v>
      </c>
      <c r="AE1116">
        <v>0</v>
      </c>
      <c r="AG1116" t="s">
        <v>19330</v>
      </c>
      <c r="AH1116">
        <v>1</v>
      </c>
      <c r="AI1116">
        <v>1</v>
      </c>
      <c r="AJ1116">
        <v>0</v>
      </c>
      <c r="AK1116">
        <v>138.39</v>
      </c>
      <c r="AN1116" t="s">
        <v>7439</v>
      </c>
      <c r="AO1116">
        <v>16800</v>
      </c>
      <c r="AU1116">
        <v>1.2</v>
      </c>
      <c r="AV1116" t="s">
        <v>521</v>
      </c>
      <c r="AW1116" t="s">
        <v>46862</v>
      </c>
    </row>
    <row r="1117" spans="1:50">
      <c r="A1117" s="1">
        <f>HYPERLINK("https://lsnyc.legalserver.org/matter/dynamic-profile/view/1875590","18-1875590")</f>
        <v>0</v>
      </c>
      <c r="B1117" t="s">
        <v>209</v>
      </c>
      <c r="C1117" t="s">
        <v>341</v>
      </c>
      <c r="D1117" t="s">
        <v>521</v>
      </c>
      <c r="E1117" t="s">
        <v>744</v>
      </c>
      <c r="F1117" t="s">
        <v>1606</v>
      </c>
      <c r="G1117" t="s">
        <v>1000</v>
      </c>
      <c r="H1117" t="s">
        <v>10604</v>
      </c>
      <c r="J1117" t="s">
        <v>18898</v>
      </c>
      <c r="K1117">
        <v>11691</v>
      </c>
      <c r="L1117" t="s">
        <v>18958</v>
      </c>
      <c r="M1117" t="s">
        <v>18958</v>
      </c>
      <c r="N1117" t="s">
        <v>19819</v>
      </c>
      <c r="O1117" t="s">
        <v>26548</v>
      </c>
      <c r="P1117" t="s">
        <v>26566</v>
      </c>
      <c r="Q1117" t="s">
        <v>26568</v>
      </c>
      <c r="R1117" t="s">
        <v>26578</v>
      </c>
      <c r="S1117" t="s">
        <v>18959</v>
      </c>
      <c r="U1117" t="s">
        <v>26604</v>
      </c>
      <c r="V1117" t="s">
        <v>26610</v>
      </c>
      <c r="W1117" t="s">
        <v>521</v>
      </c>
      <c r="X1117">
        <v>1184</v>
      </c>
      <c r="Y1117" t="s">
        <v>26653</v>
      </c>
      <c r="Z1117" t="s">
        <v>26659</v>
      </c>
      <c r="AA1117" t="s">
        <v>26690</v>
      </c>
      <c r="AB1117" t="s">
        <v>27731</v>
      </c>
      <c r="AC1117" t="s">
        <v>34839</v>
      </c>
      <c r="AD1117" t="s">
        <v>37782</v>
      </c>
      <c r="AE1117">
        <v>284</v>
      </c>
      <c r="AF1117" t="s">
        <v>45543</v>
      </c>
      <c r="AG1117" t="s">
        <v>45556</v>
      </c>
      <c r="AH1117">
        <v>2</v>
      </c>
      <c r="AI1117">
        <v>1</v>
      </c>
      <c r="AJ1117">
        <v>2</v>
      </c>
      <c r="AK1117">
        <v>71.2</v>
      </c>
      <c r="AN1117" t="s">
        <v>7439</v>
      </c>
      <c r="AO1117">
        <v>14796</v>
      </c>
      <c r="AQ1117" t="s">
        <v>46369</v>
      </c>
      <c r="AR1117" t="s">
        <v>26530</v>
      </c>
      <c r="AS1117" t="s">
        <v>46499</v>
      </c>
      <c r="AT1117" t="s">
        <v>46672</v>
      </c>
      <c r="AU1117">
        <v>59.8</v>
      </c>
      <c r="AV1117" t="s">
        <v>744</v>
      </c>
      <c r="AW1117" t="s">
        <v>208</v>
      </c>
    </row>
    <row r="1118" spans="1:50">
      <c r="A1118" s="1">
        <f>HYPERLINK("https://lsnyc.legalserver.org/matter/dynamic-profile/view/1875677","18-1875677")</f>
        <v>0</v>
      </c>
      <c r="B1118" t="s">
        <v>141</v>
      </c>
      <c r="C1118" t="s">
        <v>341</v>
      </c>
      <c r="D1118" t="s">
        <v>521</v>
      </c>
      <c r="E1118" t="s">
        <v>524</v>
      </c>
      <c r="F1118" t="s">
        <v>1607</v>
      </c>
      <c r="G1118" t="s">
        <v>5048</v>
      </c>
      <c r="H1118" t="s">
        <v>10605</v>
      </c>
      <c r="I1118" t="s">
        <v>17491</v>
      </c>
      <c r="J1118" t="s">
        <v>18936</v>
      </c>
      <c r="K1118">
        <v>11361</v>
      </c>
      <c r="L1118" t="s">
        <v>18958</v>
      </c>
      <c r="M1118" t="s">
        <v>18958</v>
      </c>
      <c r="N1118" t="s">
        <v>19820</v>
      </c>
      <c r="O1118" t="s">
        <v>26523</v>
      </c>
      <c r="P1118" t="s">
        <v>26564</v>
      </c>
      <c r="Q1118" t="s">
        <v>26570</v>
      </c>
      <c r="R1118" t="s">
        <v>26578</v>
      </c>
      <c r="S1118" t="s">
        <v>18959</v>
      </c>
      <c r="U1118" t="s">
        <v>26604</v>
      </c>
      <c r="V1118" t="s">
        <v>26611</v>
      </c>
      <c r="W1118" t="s">
        <v>521</v>
      </c>
      <c r="X1118">
        <v>2200</v>
      </c>
      <c r="Y1118" t="s">
        <v>26653</v>
      </c>
      <c r="Z1118" t="s">
        <v>26664</v>
      </c>
      <c r="AA1118" t="s">
        <v>26683</v>
      </c>
      <c r="AB1118" t="s">
        <v>27732</v>
      </c>
      <c r="AC1118" t="s">
        <v>19330</v>
      </c>
      <c r="AD1118" t="s">
        <v>37783</v>
      </c>
      <c r="AE1118">
        <v>2</v>
      </c>
      <c r="AF1118" t="s">
        <v>45547</v>
      </c>
      <c r="AG1118" t="s">
        <v>19330</v>
      </c>
      <c r="AH1118">
        <v>2</v>
      </c>
      <c r="AI1118">
        <v>3</v>
      </c>
      <c r="AJ1118">
        <v>2</v>
      </c>
      <c r="AK1118">
        <v>0</v>
      </c>
      <c r="AN1118" t="s">
        <v>7439</v>
      </c>
      <c r="AO1118">
        <v>0</v>
      </c>
      <c r="AU1118">
        <v>0.9</v>
      </c>
      <c r="AV1118" t="s">
        <v>524</v>
      </c>
      <c r="AW1118" t="s">
        <v>208</v>
      </c>
    </row>
    <row r="1119" spans="1:50">
      <c r="A1119" s="1">
        <f>HYPERLINK("https://lsnyc.legalserver.org/matter/dynamic-profile/view/1875572","18-1875572")</f>
        <v>0</v>
      </c>
      <c r="B1119" t="s">
        <v>171</v>
      </c>
      <c r="C1119" t="s">
        <v>341</v>
      </c>
      <c r="D1119" t="s">
        <v>521</v>
      </c>
      <c r="E1119" t="s">
        <v>786</v>
      </c>
      <c r="F1119" t="s">
        <v>1608</v>
      </c>
      <c r="G1119" t="s">
        <v>5800</v>
      </c>
      <c r="H1119" t="s">
        <v>10606</v>
      </c>
      <c r="I1119" t="s">
        <v>17570</v>
      </c>
      <c r="J1119" t="s">
        <v>18893</v>
      </c>
      <c r="K1119">
        <v>10026</v>
      </c>
      <c r="L1119" t="s">
        <v>18958</v>
      </c>
      <c r="M1119" t="s">
        <v>18958</v>
      </c>
      <c r="N1119" t="s">
        <v>19821</v>
      </c>
      <c r="O1119" t="s">
        <v>26541</v>
      </c>
      <c r="P1119" t="s">
        <v>26561</v>
      </c>
      <c r="Q1119" t="s">
        <v>26575</v>
      </c>
      <c r="R1119" t="s">
        <v>26582</v>
      </c>
      <c r="S1119" t="s">
        <v>18959</v>
      </c>
      <c r="U1119" t="s">
        <v>26605</v>
      </c>
      <c r="W1119" t="s">
        <v>521</v>
      </c>
      <c r="X1119">
        <v>119</v>
      </c>
      <c r="Y1119" t="s">
        <v>26651</v>
      </c>
      <c r="Z1119" t="s">
        <v>26659</v>
      </c>
      <c r="AA1119" t="s">
        <v>26679</v>
      </c>
      <c r="AB1119" t="s">
        <v>27674</v>
      </c>
      <c r="AC1119" t="s">
        <v>34840</v>
      </c>
      <c r="AD1119" t="s">
        <v>37784</v>
      </c>
      <c r="AE1119">
        <v>527</v>
      </c>
      <c r="AF1119" t="s">
        <v>45549</v>
      </c>
      <c r="AG1119" t="s">
        <v>19330</v>
      </c>
      <c r="AH1119">
        <v>7</v>
      </c>
      <c r="AI1119">
        <v>1</v>
      </c>
      <c r="AJ1119">
        <v>2</v>
      </c>
      <c r="AK1119">
        <v>0</v>
      </c>
      <c r="AN1119" t="s">
        <v>7439</v>
      </c>
      <c r="AO1119">
        <v>0</v>
      </c>
      <c r="AT1119" t="s">
        <v>46539</v>
      </c>
      <c r="AU1119">
        <v>27.05</v>
      </c>
      <c r="AV1119" t="s">
        <v>785</v>
      </c>
      <c r="AW1119" t="s">
        <v>314</v>
      </c>
    </row>
    <row r="1120" spans="1:50">
      <c r="A1120" s="1">
        <f>HYPERLINK("https://lsnyc.legalserver.org/matter/dynamic-profile/view/1875612","18-1875612")</f>
        <v>0</v>
      </c>
      <c r="B1120" t="s">
        <v>73</v>
      </c>
      <c r="C1120" t="s">
        <v>341</v>
      </c>
      <c r="D1120" t="s">
        <v>521</v>
      </c>
      <c r="E1120" t="s">
        <v>827</v>
      </c>
      <c r="F1120" t="s">
        <v>1609</v>
      </c>
      <c r="G1120" t="s">
        <v>5801</v>
      </c>
      <c r="H1120" t="s">
        <v>10578</v>
      </c>
      <c r="I1120" t="s">
        <v>17598</v>
      </c>
      <c r="J1120" t="s">
        <v>18894</v>
      </c>
      <c r="K1120">
        <v>11221</v>
      </c>
      <c r="L1120" t="s">
        <v>18958</v>
      </c>
      <c r="M1120" t="s">
        <v>18958</v>
      </c>
      <c r="O1120" t="s">
        <v>26531</v>
      </c>
      <c r="P1120" t="s">
        <v>26565</v>
      </c>
      <c r="Q1120" t="s">
        <v>26571</v>
      </c>
      <c r="R1120" t="s">
        <v>26578</v>
      </c>
      <c r="S1120" t="s">
        <v>18958</v>
      </c>
      <c r="U1120" t="s">
        <v>26604</v>
      </c>
      <c r="W1120" t="s">
        <v>521</v>
      </c>
      <c r="X1120">
        <v>0</v>
      </c>
      <c r="Y1120" t="s">
        <v>26652</v>
      </c>
      <c r="Z1120" t="s">
        <v>26665</v>
      </c>
      <c r="AA1120" t="s">
        <v>26682</v>
      </c>
      <c r="AB1120" t="s">
        <v>27726</v>
      </c>
      <c r="AD1120" t="s">
        <v>37777</v>
      </c>
      <c r="AE1120">
        <v>54</v>
      </c>
      <c r="AF1120" t="s">
        <v>45541</v>
      </c>
      <c r="AH1120">
        <v>7</v>
      </c>
      <c r="AI1120">
        <v>1</v>
      </c>
      <c r="AJ1120">
        <v>0</v>
      </c>
      <c r="AK1120">
        <v>79.08</v>
      </c>
      <c r="AN1120" t="s">
        <v>7439</v>
      </c>
      <c r="AO1120">
        <v>9600</v>
      </c>
      <c r="AP1120" t="s">
        <v>45624</v>
      </c>
      <c r="AU1120">
        <v>0.1</v>
      </c>
      <c r="AV1120" t="s">
        <v>827</v>
      </c>
      <c r="AW1120" t="s">
        <v>46851</v>
      </c>
      <c r="AX1120" t="s">
        <v>46897</v>
      </c>
    </row>
    <row r="1121" spans="1:50">
      <c r="A1121" s="1">
        <f>HYPERLINK("https://lsnyc.legalserver.org/matter/dynamic-profile/view/1875578","18-1875578")</f>
        <v>0</v>
      </c>
      <c r="B1121" t="s">
        <v>95</v>
      </c>
      <c r="C1121" t="s">
        <v>341</v>
      </c>
      <c r="D1121" t="s">
        <v>521</v>
      </c>
      <c r="E1121" t="s">
        <v>416</v>
      </c>
      <c r="F1121" t="s">
        <v>1610</v>
      </c>
      <c r="G1121" t="s">
        <v>5138</v>
      </c>
      <c r="H1121" t="s">
        <v>10607</v>
      </c>
      <c r="I1121" t="s">
        <v>17458</v>
      </c>
      <c r="J1121" t="s">
        <v>18894</v>
      </c>
      <c r="K1121">
        <v>11212</v>
      </c>
      <c r="L1121" t="s">
        <v>18958</v>
      </c>
      <c r="M1121" t="s">
        <v>18958</v>
      </c>
      <c r="N1121" t="s">
        <v>19822</v>
      </c>
      <c r="O1121" t="s">
        <v>26524</v>
      </c>
      <c r="P1121" t="s">
        <v>26560</v>
      </c>
      <c r="Q1121" t="s">
        <v>26568</v>
      </c>
      <c r="R1121" t="s">
        <v>26578</v>
      </c>
      <c r="S1121" t="s">
        <v>18959</v>
      </c>
      <c r="U1121" t="s">
        <v>26604</v>
      </c>
      <c r="W1121" t="s">
        <v>521</v>
      </c>
      <c r="X1121">
        <v>1116.59</v>
      </c>
      <c r="Y1121" t="s">
        <v>26652</v>
      </c>
      <c r="Z1121" t="s">
        <v>26530</v>
      </c>
      <c r="AA1121" t="s">
        <v>26678</v>
      </c>
      <c r="AB1121" t="s">
        <v>27733</v>
      </c>
      <c r="AD1121" t="s">
        <v>37785</v>
      </c>
      <c r="AE1121">
        <v>0</v>
      </c>
      <c r="AF1121" t="s">
        <v>45541</v>
      </c>
      <c r="AH1121">
        <v>25</v>
      </c>
      <c r="AI1121">
        <v>4</v>
      </c>
      <c r="AJ1121">
        <v>0</v>
      </c>
      <c r="AK1121">
        <v>205.34</v>
      </c>
      <c r="AL1121" t="s">
        <v>614</v>
      </c>
      <c r="AM1121" t="s">
        <v>45575</v>
      </c>
      <c r="AN1121" t="s">
        <v>7439</v>
      </c>
      <c r="AO1121">
        <v>51540</v>
      </c>
      <c r="AU1121">
        <v>17.2</v>
      </c>
      <c r="AV1121" t="s">
        <v>677</v>
      </c>
      <c r="AW1121" t="s">
        <v>95</v>
      </c>
    </row>
    <row r="1122" spans="1:50">
      <c r="A1122" s="1">
        <f>HYPERLINK("https://lsnyc.legalserver.org/matter/dynamic-profile/view/1875664","18-1875664")</f>
        <v>0</v>
      </c>
      <c r="B1122" t="s">
        <v>122</v>
      </c>
      <c r="C1122" t="s">
        <v>341</v>
      </c>
      <c r="D1122" t="s">
        <v>521</v>
      </c>
      <c r="E1122" t="s">
        <v>422</v>
      </c>
      <c r="F1122" t="s">
        <v>1611</v>
      </c>
      <c r="G1122" t="s">
        <v>5802</v>
      </c>
      <c r="H1122" t="s">
        <v>10608</v>
      </c>
      <c r="I1122" t="s">
        <v>17334</v>
      </c>
      <c r="J1122" t="s">
        <v>18915</v>
      </c>
      <c r="K1122">
        <v>11372</v>
      </c>
      <c r="L1122" t="s">
        <v>18958</v>
      </c>
      <c r="M1122" t="s">
        <v>18958</v>
      </c>
      <c r="N1122" t="s">
        <v>19823</v>
      </c>
      <c r="O1122" t="s">
        <v>26523</v>
      </c>
      <c r="P1122" t="s">
        <v>26564</v>
      </c>
      <c r="Q1122" t="s">
        <v>26570</v>
      </c>
      <c r="R1122" t="s">
        <v>26584</v>
      </c>
      <c r="S1122" t="s">
        <v>18959</v>
      </c>
      <c r="U1122" t="s">
        <v>26604</v>
      </c>
      <c r="W1122" t="s">
        <v>521</v>
      </c>
      <c r="X1122">
        <v>1300</v>
      </c>
      <c r="Y1122" t="s">
        <v>26653</v>
      </c>
      <c r="Z1122" t="s">
        <v>26664</v>
      </c>
      <c r="AA1122" t="s">
        <v>26683</v>
      </c>
      <c r="AB1122" t="s">
        <v>27734</v>
      </c>
      <c r="AC1122" t="s">
        <v>34841</v>
      </c>
      <c r="AD1122" t="s">
        <v>37786</v>
      </c>
      <c r="AE1122">
        <v>1</v>
      </c>
      <c r="AF1122" t="s">
        <v>45545</v>
      </c>
      <c r="AG1122" t="s">
        <v>19330</v>
      </c>
      <c r="AH1122">
        <v>6</v>
      </c>
      <c r="AI1122">
        <v>2</v>
      </c>
      <c r="AJ1122">
        <v>1</v>
      </c>
      <c r="AK1122">
        <v>43.79</v>
      </c>
      <c r="AN1122" t="s">
        <v>45581</v>
      </c>
      <c r="AO1122">
        <v>9100</v>
      </c>
      <c r="AU1122">
        <v>1</v>
      </c>
      <c r="AV1122" t="s">
        <v>422</v>
      </c>
      <c r="AW1122" t="s">
        <v>122</v>
      </c>
      <c r="AX1122" t="s">
        <v>46897</v>
      </c>
    </row>
    <row r="1123" spans="1:50">
      <c r="A1123" s="1">
        <f>HYPERLINK("https://lsnyc.legalserver.org/matter/dynamic-profile/view/1875663","18-1875663")</f>
        <v>0</v>
      </c>
      <c r="B1123" t="s">
        <v>91</v>
      </c>
      <c r="C1123" t="s">
        <v>341</v>
      </c>
      <c r="D1123" t="s">
        <v>521</v>
      </c>
      <c r="E1123" t="s">
        <v>494</v>
      </c>
      <c r="F1123" t="s">
        <v>1612</v>
      </c>
      <c r="G1123" t="s">
        <v>5269</v>
      </c>
      <c r="H1123" t="s">
        <v>10609</v>
      </c>
      <c r="J1123" t="s">
        <v>18901</v>
      </c>
      <c r="K1123">
        <v>11434</v>
      </c>
      <c r="L1123" t="s">
        <v>18958</v>
      </c>
      <c r="M1123" t="s">
        <v>18958</v>
      </c>
      <c r="N1123" t="s">
        <v>19824</v>
      </c>
      <c r="O1123" t="s">
        <v>26524</v>
      </c>
      <c r="P1123" t="s">
        <v>26560</v>
      </c>
      <c r="Q1123" t="s">
        <v>26568</v>
      </c>
      <c r="R1123" t="s">
        <v>26585</v>
      </c>
      <c r="S1123" t="s">
        <v>18959</v>
      </c>
      <c r="U1123" t="s">
        <v>26604</v>
      </c>
      <c r="V1123" t="s">
        <v>26610</v>
      </c>
      <c r="W1123" t="s">
        <v>521</v>
      </c>
      <c r="X1123">
        <v>1400</v>
      </c>
      <c r="Y1123" t="s">
        <v>26653</v>
      </c>
      <c r="Z1123" t="s">
        <v>26664</v>
      </c>
      <c r="AA1123" t="s">
        <v>26679</v>
      </c>
      <c r="AB1123" t="s">
        <v>27735</v>
      </c>
      <c r="AC1123" t="s">
        <v>19330</v>
      </c>
      <c r="AD1123" t="s">
        <v>37787</v>
      </c>
      <c r="AE1123">
        <v>2</v>
      </c>
      <c r="AF1123" t="s">
        <v>45547</v>
      </c>
      <c r="AG1123" t="s">
        <v>19330</v>
      </c>
      <c r="AH1123">
        <v>5</v>
      </c>
      <c r="AI1123">
        <v>3</v>
      </c>
      <c r="AJ1123">
        <v>1</v>
      </c>
      <c r="AK1123">
        <v>198.88</v>
      </c>
      <c r="AN1123" t="s">
        <v>7439</v>
      </c>
      <c r="AO1123">
        <v>49920</v>
      </c>
      <c r="AR1123" t="s">
        <v>26530</v>
      </c>
      <c r="AS1123" t="s">
        <v>46500</v>
      </c>
      <c r="AT1123" t="s">
        <v>46581</v>
      </c>
      <c r="AU1123">
        <v>8.699999999999999</v>
      </c>
      <c r="AV1123" t="s">
        <v>713</v>
      </c>
      <c r="AW1123" t="s">
        <v>208</v>
      </c>
    </row>
    <row r="1124" spans="1:50">
      <c r="A1124" s="1">
        <f>HYPERLINK("https://lsnyc.legalserver.org/matter/dynamic-profile/view/1875683","18-1875683")</f>
        <v>0</v>
      </c>
      <c r="B1124" t="s">
        <v>125</v>
      </c>
      <c r="C1124" t="s">
        <v>341</v>
      </c>
      <c r="D1124" t="s">
        <v>521</v>
      </c>
      <c r="E1124" t="s">
        <v>689</v>
      </c>
      <c r="F1124" t="s">
        <v>1613</v>
      </c>
      <c r="G1124" t="s">
        <v>4777</v>
      </c>
      <c r="H1124" t="s">
        <v>10610</v>
      </c>
      <c r="I1124" t="s">
        <v>17277</v>
      </c>
      <c r="J1124" t="s">
        <v>18894</v>
      </c>
      <c r="K1124">
        <v>11233</v>
      </c>
      <c r="L1124" t="s">
        <v>18958</v>
      </c>
      <c r="M1124" t="s">
        <v>18958</v>
      </c>
      <c r="N1124" t="s">
        <v>19825</v>
      </c>
      <c r="O1124" t="s">
        <v>26523</v>
      </c>
      <c r="P1124" t="s">
        <v>26564</v>
      </c>
      <c r="Q1124" t="s">
        <v>26570</v>
      </c>
      <c r="R1124" t="s">
        <v>26578</v>
      </c>
      <c r="S1124" t="s">
        <v>18959</v>
      </c>
      <c r="U1124" t="s">
        <v>26604</v>
      </c>
      <c r="W1124" t="s">
        <v>521</v>
      </c>
      <c r="X1124">
        <v>941</v>
      </c>
      <c r="Y1124" t="s">
        <v>26652</v>
      </c>
      <c r="Z1124" t="s">
        <v>26530</v>
      </c>
      <c r="AA1124" t="s">
        <v>26683</v>
      </c>
      <c r="AB1124" t="s">
        <v>27736</v>
      </c>
      <c r="AD1124" t="s">
        <v>37788</v>
      </c>
      <c r="AE1124">
        <v>8</v>
      </c>
      <c r="AF1124" t="s">
        <v>45541</v>
      </c>
      <c r="AG1124" t="s">
        <v>45556</v>
      </c>
      <c r="AH1124">
        <v>15</v>
      </c>
      <c r="AI1124">
        <v>3</v>
      </c>
      <c r="AJ1124">
        <v>0</v>
      </c>
      <c r="AK1124">
        <v>191.97</v>
      </c>
      <c r="AN1124" t="s">
        <v>7439</v>
      </c>
      <c r="AO1124">
        <v>39892</v>
      </c>
      <c r="AU1124">
        <v>2.5</v>
      </c>
      <c r="AV1124" t="s">
        <v>529</v>
      </c>
      <c r="AW1124" t="s">
        <v>279</v>
      </c>
    </row>
    <row r="1125" spans="1:50">
      <c r="A1125" s="1">
        <f>HYPERLINK("https://lsnyc.legalserver.org/matter/dynamic-profile/view/1875686","18-1875686")</f>
        <v>0</v>
      </c>
      <c r="B1125" t="s">
        <v>116</v>
      </c>
      <c r="C1125" t="s">
        <v>340</v>
      </c>
      <c r="D1125" t="s">
        <v>521</v>
      </c>
      <c r="F1125" t="s">
        <v>1614</v>
      </c>
      <c r="G1125" t="s">
        <v>5761</v>
      </c>
      <c r="H1125" t="s">
        <v>10611</v>
      </c>
      <c r="I1125" t="s">
        <v>17277</v>
      </c>
      <c r="J1125" t="s">
        <v>18894</v>
      </c>
      <c r="K1125">
        <v>11212</v>
      </c>
      <c r="L1125" t="s">
        <v>18958</v>
      </c>
      <c r="M1125" t="s">
        <v>18958</v>
      </c>
      <c r="O1125" t="s">
        <v>18997</v>
      </c>
      <c r="P1125" t="s">
        <v>26563</v>
      </c>
      <c r="R1125" t="s">
        <v>26578</v>
      </c>
      <c r="S1125" t="s">
        <v>18958</v>
      </c>
      <c r="U1125" t="s">
        <v>26604</v>
      </c>
      <c r="W1125" t="s">
        <v>521</v>
      </c>
      <c r="X1125">
        <v>839.77</v>
      </c>
      <c r="Y1125" t="s">
        <v>26652</v>
      </c>
      <c r="Z1125" t="s">
        <v>26667</v>
      </c>
      <c r="AB1125" t="s">
        <v>27737</v>
      </c>
      <c r="AD1125" t="s">
        <v>37789</v>
      </c>
      <c r="AE1125">
        <v>8</v>
      </c>
      <c r="AF1125" t="s">
        <v>45541</v>
      </c>
      <c r="AG1125" t="s">
        <v>19330</v>
      </c>
      <c r="AH1125">
        <v>24</v>
      </c>
      <c r="AI1125">
        <v>1</v>
      </c>
      <c r="AJ1125">
        <v>0</v>
      </c>
      <c r="AK1125">
        <v>255.63</v>
      </c>
      <c r="AN1125" t="s">
        <v>7439</v>
      </c>
      <c r="AO1125">
        <v>31033.6</v>
      </c>
      <c r="AU1125">
        <v>22.55</v>
      </c>
      <c r="AV1125" t="s">
        <v>785</v>
      </c>
      <c r="AW1125" t="s">
        <v>92</v>
      </c>
    </row>
    <row r="1126" spans="1:50">
      <c r="A1126" s="1">
        <f>HYPERLINK("https://lsnyc.legalserver.org/matter/dynamic-profile/view/1875631","18-1875631")</f>
        <v>0</v>
      </c>
      <c r="B1126" t="s">
        <v>74</v>
      </c>
      <c r="C1126" t="s">
        <v>340</v>
      </c>
      <c r="D1126" t="s">
        <v>521</v>
      </c>
      <c r="F1126" t="s">
        <v>1615</v>
      </c>
      <c r="G1126" t="s">
        <v>5199</v>
      </c>
      <c r="H1126" t="s">
        <v>10612</v>
      </c>
      <c r="I1126">
        <v>49</v>
      </c>
      <c r="J1126" t="s">
        <v>18893</v>
      </c>
      <c r="K1126">
        <v>10033</v>
      </c>
      <c r="L1126" t="s">
        <v>18958</v>
      </c>
      <c r="M1126" t="s">
        <v>18958</v>
      </c>
      <c r="O1126" t="s">
        <v>26523</v>
      </c>
      <c r="P1126" t="s">
        <v>26562</v>
      </c>
      <c r="R1126" t="s">
        <v>26578</v>
      </c>
      <c r="S1126" t="s">
        <v>18959</v>
      </c>
      <c r="U1126" t="s">
        <v>26604</v>
      </c>
      <c r="W1126" t="s">
        <v>521</v>
      </c>
      <c r="X1126">
        <v>1756.71</v>
      </c>
      <c r="Y1126" t="s">
        <v>26651</v>
      </c>
      <c r="Z1126" t="s">
        <v>26661</v>
      </c>
      <c r="AB1126" t="s">
        <v>27738</v>
      </c>
      <c r="AD1126" t="s">
        <v>37790</v>
      </c>
      <c r="AE1126">
        <v>50</v>
      </c>
      <c r="AF1126" t="s">
        <v>45541</v>
      </c>
      <c r="AG1126" t="s">
        <v>45556</v>
      </c>
      <c r="AH1126">
        <v>25</v>
      </c>
      <c r="AI1126">
        <v>2</v>
      </c>
      <c r="AJ1126">
        <v>0</v>
      </c>
      <c r="AK1126">
        <v>71.23</v>
      </c>
      <c r="AN1126" t="s">
        <v>7439</v>
      </c>
      <c r="AO1126">
        <v>11724</v>
      </c>
      <c r="AU1126">
        <v>4.25</v>
      </c>
      <c r="AV1126" t="s">
        <v>831</v>
      </c>
      <c r="AW1126" t="s">
        <v>46840</v>
      </c>
    </row>
    <row r="1127" spans="1:50">
      <c r="A1127" s="1">
        <f>HYPERLINK("https://lsnyc.legalserver.org/matter/dynamic-profile/view/1875696","18-1875696")</f>
        <v>0</v>
      </c>
      <c r="B1127" t="s">
        <v>110</v>
      </c>
      <c r="C1127" t="s">
        <v>341</v>
      </c>
      <c r="D1127" t="s">
        <v>533</v>
      </c>
      <c r="E1127" t="s">
        <v>699</v>
      </c>
      <c r="F1127" t="s">
        <v>964</v>
      </c>
      <c r="G1127" t="s">
        <v>5803</v>
      </c>
      <c r="H1127" t="s">
        <v>10613</v>
      </c>
      <c r="I1127" t="s">
        <v>17273</v>
      </c>
      <c r="J1127" t="s">
        <v>18913</v>
      </c>
      <c r="K1127">
        <v>11102</v>
      </c>
      <c r="L1127" t="s">
        <v>18958</v>
      </c>
      <c r="M1127" t="s">
        <v>18958</v>
      </c>
      <c r="N1127" t="s">
        <v>19826</v>
      </c>
      <c r="O1127" t="s">
        <v>26523</v>
      </c>
      <c r="P1127" t="s">
        <v>26564</v>
      </c>
      <c r="Q1127" t="s">
        <v>26570</v>
      </c>
      <c r="R1127" t="s">
        <v>26591</v>
      </c>
      <c r="S1127" t="s">
        <v>26598</v>
      </c>
      <c r="U1127" t="s">
        <v>26604</v>
      </c>
      <c r="V1127" t="s">
        <v>26610</v>
      </c>
      <c r="W1127" t="s">
        <v>521</v>
      </c>
      <c r="X1127">
        <v>439</v>
      </c>
      <c r="Y1127" t="s">
        <v>26653</v>
      </c>
      <c r="Z1127" t="s">
        <v>26664</v>
      </c>
      <c r="AA1127" t="s">
        <v>26683</v>
      </c>
      <c r="AB1127" t="s">
        <v>27739</v>
      </c>
      <c r="AC1127" t="s">
        <v>19045</v>
      </c>
      <c r="AD1127" t="s">
        <v>37791</v>
      </c>
      <c r="AE1127">
        <v>48</v>
      </c>
      <c r="AF1127" t="s">
        <v>45549</v>
      </c>
      <c r="AG1127" t="s">
        <v>19330</v>
      </c>
      <c r="AH1127">
        <v>4</v>
      </c>
      <c r="AI1127">
        <v>3</v>
      </c>
      <c r="AJ1127">
        <v>3</v>
      </c>
      <c r="AK1127">
        <v>59.87</v>
      </c>
      <c r="AN1127" t="s">
        <v>7439</v>
      </c>
      <c r="AO1127">
        <v>20200</v>
      </c>
      <c r="AU1127">
        <v>1</v>
      </c>
      <c r="AV1127" t="s">
        <v>533</v>
      </c>
      <c r="AW1127" t="s">
        <v>122</v>
      </c>
    </row>
    <row r="1128" spans="1:50">
      <c r="A1128" s="1">
        <f>HYPERLINK("https://lsnyc.legalserver.org/matter/dynamic-profile/view/1876630","18-1876630")</f>
        <v>0</v>
      </c>
      <c r="B1128" t="s">
        <v>134</v>
      </c>
      <c r="C1128" t="s">
        <v>340</v>
      </c>
      <c r="D1128" t="s">
        <v>531</v>
      </c>
      <c r="F1128" t="s">
        <v>928</v>
      </c>
      <c r="G1128" t="s">
        <v>5804</v>
      </c>
      <c r="H1128" t="s">
        <v>10439</v>
      </c>
      <c r="I1128" t="s">
        <v>17449</v>
      </c>
      <c r="J1128" t="s">
        <v>18894</v>
      </c>
      <c r="K1128">
        <v>11216</v>
      </c>
      <c r="L1128" t="s">
        <v>18958</v>
      </c>
      <c r="M1128" t="s">
        <v>18960</v>
      </c>
      <c r="O1128" t="s">
        <v>26528</v>
      </c>
      <c r="P1128" t="s">
        <v>26560</v>
      </c>
      <c r="R1128" t="s">
        <v>26578</v>
      </c>
      <c r="S1128" t="s">
        <v>18958</v>
      </c>
      <c r="U1128" t="s">
        <v>26604</v>
      </c>
      <c r="W1128" t="s">
        <v>521</v>
      </c>
      <c r="X1128">
        <v>2450</v>
      </c>
      <c r="Y1128" t="s">
        <v>26652</v>
      </c>
      <c r="Z1128" t="s">
        <v>26667</v>
      </c>
      <c r="AB1128" t="s">
        <v>27728</v>
      </c>
      <c r="AD1128" t="s">
        <v>37792</v>
      </c>
      <c r="AE1128">
        <v>82</v>
      </c>
      <c r="AF1128" t="s">
        <v>45541</v>
      </c>
      <c r="AG1128" t="s">
        <v>19330</v>
      </c>
      <c r="AH1128">
        <v>1</v>
      </c>
      <c r="AI1128">
        <v>1</v>
      </c>
      <c r="AJ1128">
        <v>0</v>
      </c>
      <c r="AK1128">
        <v>373.9</v>
      </c>
      <c r="AL1128" t="s">
        <v>641</v>
      </c>
      <c r="AM1128" t="s">
        <v>45575</v>
      </c>
      <c r="AN1128" t="s">
        <v>7439</v>
      </c>
      <c r="AO1128">
        <v>45392</v>
      </c>
      <c r="AU1128">
        <v>0</v>
      </c>
      <c r="AW1128" t="s">
        <v>279</v>
      </c>
    </row>
    <row r="1129" spans="1:50">
      <c r="A1129" s="1">
        <f>HYPERLINK("https://lsnyc.legalserver.org/matter/dynamic-profile/view/1876621","18-1876621")</f>
        <v>0</v>
      </c>
      <c r="B1129" t="s">
        <v>134</v>
      </c>
      <c r="C1129" t="s">
        <v>340</v>
      </c>
      <c r="D1129" t="s">
        <v>531</v>
      </c>
      <c r="F1129" t="s">
        <v>928</v>
      </c>
      <c r="G1129" t="s">
        <v>5804</v>
      </c>
      <c r="H1129" t="s">
        <v>10439</v>
      </c>
      <c r="I1129" t="s">
        <v>17449</v>
      </c>
      <c r="J1129" t="s">
        <v>18894</v>
      </c>
      <c r="K1129">
        <v>11216</v>
      </c>
      <c r="L1129" t="s">
        <v>18958</v>
      </c>
      <c r="M1129" t="s">
        <v>18958</v>
      </c>
      <c r="O1129" t="s">
        <v>18997</v>
      </c>
      <c r="P1129" t="s">
        <v>26565</v>
      </c>
      <c r="R1129" t="s">
        <v>26578</v>
      </c>
      <c r="U1129" t="s">
        <v>26604</v>
      </c>
      <c r="W1129" t="s">
        <v>521</v>
      </c>
      <c r="X1129">
        <v>2450</v>
      </c>
      <c r="Y1129" t="s">
        <v>26652</v>
      </c>
      <c r="Z1129" t="s">
        <v>26667</v>
      </c>
      <c r="AB1129" t="s">
        <v>27728</v>
      </c>
      <c r="AD1129" t="s">
        <v>37792</v>
      </c>
      <c r="AE1129">
        <v>82</v>
      </c>
      <c r="AF1129" t="s">
        <v>45541</v>
      </c>
      <c r="AG1129" t="s">
        <v>19330</v>
      </c>
      <c r="AH1129">
        <v>1</v>
      </c>
      <c r="AI1129">
        <v>1</v>
      </c>
      <c r="AJ1129">
        <v>0</v>
      </c>
      <c r="AK1129">
        <v>373.9</v>
      </c>
      <c r="AL1129" t="s">
        <v>641</v>
      </c>
      <c r="AM1129" t="s">
        <v>45575</v>
      </c>
      <c r="AN1129" t="s">
        <v>7439</v>
      </c>
      <c r="AO1129">
        <v>45392</v>
      </c>
      <c r="AP1129" t="s">
        <v>45635</v>
      </c>
      <c r="AU1129">
        <v>0</v>
      </c>
      <c r="AW1129" t="s">
        <v>279</v>
      </c>
    </row>
    <row r="1130" spans="1:50">
      <c r="A1130" s="1">
        <f>HYPERLINK("https://lsnyc.legalserver.org/matter/dynamic-profile/view/1876618","18-1876618")</f>
        <v>0</v>
      </c>
      <c r="B1130" t="s">
        <v>134</v>
      </c>
      <c r="C1130" t="s">
        <v>340</v>
      </c>
      <c r="D1130" t="s">
        <v>531</v>
      </c>
      <c r="F1130" t="s">
        <v>1021</v>
      </c>
      <c r="G1130" t="s">
        <v>5376</v>
      </c>
      <c r="H1130" t="s">
        <v>10439</v>
      </c>
      <c r="I1130" t="s">
        <v>17584</v>
      </c>
      <c r="J1130" t="s">
        <v>18894</v>
      </c>
      <c r="K1130">
        <v>11216</v>
      </c>
      <c r="L1130" t="s">
        <v>18958</v>
      </c>
      <c r="M1130" t="s">
        <v>18958</v>
      </c>
      <c r="O1130" t="s">
        <v>26528</v>
      </c>
      <c r="P1130" t="s">
        <v>26560</v>
      </c>
      <c r="R1130" t="s">
        <v>26578</v>
      </c>
      <c r="S1130" t="s">
        <v>18958</v>
      </c>
      <c r="U1130" t="s">
        <v>26604</v>
      </c>
      <c r="W1130" t="s">
        <v>521</v>
      </c>
      <c r="X1130">
        <v>2100</v>
      </c>
      <c r="Y1130" t="s">
        <v>26652</v>
      </c>
      <c r="Z1130" t="s">
        <v>26667</v>
      </c>
      <c r="AB1130" t="s">
        <v>27740</v>
      </c>
      <c r="AD1130" t="s">
        <v>37793</v>
      </c>
      <c r="AE1130">
        <v>82</v>
      </c>
      <c r="AF1130" t="s">
        <v>45541</v>
      </c>
      <c r="AG1130" t="s">
        <v>19330</v>
      </c>
      <c r="AH1130">
        <v>4</v>
      </c>
      <c r="AI1130">
        <v>2</v>
      </c>
      <c r="AJ1130">
        <v>0</v>
      </c>
      <c r="AK1130">
        <v>543.74</v>
      </c>
      <c r="AN1130" t="s">
        <v>7439</v>
      </c>
      <c r="AO1130">
        <v>89500</v>
      </c>
      <c r="AP1130" t="s">
        <v>45635</v>
      </c>
      <c r="AU1130">
        <v>0</v>
      </c>
      <c r="AW1130" t="s">
        <v>279</v>
      </c>
    </row>
    <row r="1131" spans="1:50">
      <c r="A1131" s="1">
        <f>HYPERLINK("https://lsnyc.legalserver.org/matter/dynamic-profile/view/1876613","18-1876613")</f>
        <v>0</v>
      </c>
      <c r="B1131" t="s">
        <v>134</v>
      </c>
      <c r="C1131" t="s">
        <v>340</v>
      </c>
      <c r="D1131" t="s">
        <v>531</v>
      </c>
      <c r="F1131" t="s">
        <v>1021</v>
      </c>
      <c r="G1131" t="s">
        <v>5376</v>
      </c>
      <c r="H1131" t="s">
        <v>10439</v>
      </c>
      <c r="I1131" t="s">
        <v>17584</v>
      </c>
      <c r="J1131" t="s">
        <v>18894</v>
      </c>
      <c r="K1131">
        <v>11216</v>
      </c>
      <c r="L1131" t="s">
        <v>18958</v>
      </c>
      <c r="M1131" t="s">
        <v>18958</v>
      </c>
      <c r="O1131" t="s">
        <v>18997</v>
      </c>
      <c r="P1131" t="s">
        <v>26565</v>
      </c>
      <c r="R1131" t="s">
        <v>26578</v>
      </c>
      <c r="U1131" t="s">
        <v>26604</v>
      </c>
      <c r="W1131" t="s">
        <v>521</v>
      </c>
      <c r="X1131">
        <v>2100</v>
      </c>
      <c r="Y1131" t="s">
        <v>26652</v>
      </c>
      <c r="Z1131" t="s">
        <v>26667</v>
      </c>
      <c r="AB1131" t="s">
        <v>27740</v>
      </c>
      <c r="AD1131" t="s">
        <v>37793</v>
      </c>
      <c r="AE1131">
        <v>82</v>
      </c>
      <c r="AF1131" t="s">
        <v>45541</v>
      </c>
      <c r="AG1131" t="s">
        <v>19330</v>
      </c>
      <c r="AH1131">
        <v>4</v>
      </c>
      <c r="AI1131">
        <v>2</v>
      </c>
      <c r="AJ1131">
        <v>0</v>
      </c>
      <c r="AK1131">
        <v>543.74</v>
      </c>
      <c r="AN1131" t="s">
        <v>7439</v>
      </c>
      <c r="AO1131">
        <v>89500</v>
      </c>
      <c r="AP1131" t="s">
        <v>45635</v>
      </c>
      <c r="AU1131">
        <v>0</v>
      </c>
      <c r="AW1131" t="s">
        <v>279</v>
      </c>
    </row>
    <row r="1132" spans="1:50">
      <c r="A1132" s="1">
        <f>HYPERLINK("https://lsnyc.legalserver.org/matter/dynamic-profile/view/1876606","18-1876606")</f>
        <v>0</v>
      </c>
      <c r="B1132" t="s">
        <v>134</v>
      </c>
      <c r="C1132" t="s">
        <v>340</v>
      </c>
      <c r="D1132" t="s">
        <v>531</v>
      </c>
      <c r="F1132" t="s">
        <v>993</v>
      </c>
      <c r="G1132" t="s">
        <v>5805</v>
      </c>
      <c r="H1132" t="s">
        <v>10439</v>
      </c>
      <c r="I1132" t="s">
        <v>17584</v>
      </c>
      <c r="J1132" t="s">
        <v>18894</v>
      </c>
      <c r="K1132">
        <v>11216</v>
      </c>
      <c r="L1132" t="s">
        <v>18958</v>
      </c>
      <c r="M1132" t="s">
        <v>18958</v>
      </c>
      <c r="O1132" t="s">
        <v>26528</v>
      </c>
      <c r="P1132" t="s">
        <v>26560</v>
      </c>
      <c r="R1132" t="s">
        <v>26578</v>
      </c>
      <c r="S1132" t="s">
        <v>18958</v>
      </c>
      <c r="U1132" t="s">
        <v>26604</v>
      </c>
      <c r="W1132" t="s">
        <v>521</v>
      </c>
      <c r="X1132">
        <v>2100</v>
      </c>
      <c r="Y1132" t="s">
        <v>26652</v>
      </c>
      <c r="Z1132" t="s">
        <v>26667</v>
      </c>
      <c r="AB1132" t="s">
        <v>27741</v>
      </c>
      <c r="AD1132" t="s">
        <v>37794</v>
      </c>
      <c r="AE1132">
        <v>82</v>
      </c>
      <c r="AF1132" t="s">
        <v>45541</v>
      </c>
      <c r="AG1132" t="s">
        <v>19330</v>
      </c>
      <c r="AH1132">
        <v>4</v>
      </c>
      <c r="AI1132">
        <v>2</v>
      </c>
      <c r="AJ1132">
        <v>0</v>
      </c>
      <c r="AK1132">
        <v>546.78</v>
      </c>
      <c r="AN1132" t="s">
        <v>7439</v>
      </c>
      <c r="AO1132">
        <v>90000</v>
      </c>
      <c r="AP1132" t="s">
        <v>45635</v>
      </c>
      <c r="AU1132">
        <v>0</v>
      </c>
      <c r="AW1132" t="s">
        <v>279</v>
      </c>
    </row>
    <row r="1133" spans="1:50">
      <c r="A1133" s="1">
        <f>HYPERLINK("https://lsnyc.legalserver.org/matter/dynamic-profile/view/1876602","18-1876602")</f>
        <v>0</v>
      </c>
      <c r="B1133" t="s">
        <v>134</v>
      </c>
      <c r="C1133" t="s">
        <v>340</v>
      </c>
      <c r="D1133" t="s">
        <v>531</v>
      </c>
      <c r="F1133" t="s">
        <v>993</v>
      </c>
      <c r="G1133" t="s">
        <v>5805</v>
      </c>
      <c r="H1133" t="s">
        <v>10439</v>
      </c>
      <c r="I1133" t="s">
        <v>17584</v>
      </c>
      <c r="J1133" t="s">
        <v>18894</v>
      </c>
      <c r="K1133">
        <v>11216</v>
      </c>
      <c r="L1133" t="s">
        <v>18958</v>
      </c>
      <c r="M1133" t="s">
        <v>18958</v>
      </c>
      <c r="O1133" t="s">
        <v>18997</v>
      </c>
      <c r="P1133" t="s">
        <v>26565</v>
      </c>
      <c r="R1133" t="s">
        <v>26578</v>
      </c>
      <c r="S1133" t="s">
        <v>18958</v>
      </c>
      <c r="U1133" t="s">
        <v>26604</v>
      </c>
      <c r="W1133" t="s">
        <v>521</v>
      </c>
      <c r="X1133">
        <v>2100</v>
      </c>
      <c r="Y1133" t="s">
        <v>26652</v>
      </c>
      <c r="Z1133" t="s">
        <v>26667</v>
      </c>
      <c r="AB1133" t="s">
        <v>27741</v>
      </c>
      <c r="AD1133" t="s">
        <v>37794</v>
      </c>
      <c r="AE1133">
        <v>82</v>
      </c>
      <c r="AF1133" t="s">
        <v>45541</v>
      </c>
      <c r="AG1133" t="s">
        <v>19330</v>
      </c>
      <c r="AH1133">
        <v>4</v>
      </c>
      <c r="AI1133">
        <v>2</v>
      </c>
      <c r="AJ1133">
        <v>0</v>
      </c>
      <c r="AK1133">
        <v>546.78</v>
      </c>
      <c r="AN1133" t="s">
        <v>7439</v>
      </c>
      <c r="AO1133">
        <v>90000</v>
      </c>
      <c r="AP1133" t="s">
        <v>45635</v>
      </c>
      <c r="AU1133">
        <v>0</v>
      </c>
      <c r="AW1133" t="s">
        <v>279</v>
      </c>
    </row>
    <row r="1134" spans="1:50">
      <c r="A1134" s="1">
        <f>HYPERLINK("https://lsnyc.legalserver.org/matter/dynamic-profile/view/1876814","18-1876814")</f>
        <v>0</v>
      </c>
      <c r="B1134" t="s">
        <v>134</v>
      </c>
      <c r="C1134" t="s">
        <v>340</v>
      </c>
      <c r="D1134" t="s">
        <v>422</v>
      </c>
      <c r="F1134" t="s">
        <v>1616</v>
      </c>
      <c r="G1134" t="s">
        <v>5806</v>
      </c>
      <c r="H1134" t="s">
        <v>10439</v>
      </c>
      <c r="I1134" t="s">
        <v>17347</v>
      </c>
      <c r="J1134" t="s">
        <v>18894</v>
      </c>
      <c r="K1134">
        <v>11216</v>
      </c>
      <c r="L1134" t="s">
        <v>18958</v>
      </c>
      <c r="M1134" t="s">
        <v>18958</v>
      </c>
      <c r="O1134" t="s">
        <v>26528</v>
      </c>
      <c r="P1134" t="s">
        <v>26560</v>
      </c>
      <c r="R1134" t="s">
        <v>26578</v>
      </c>
      <c r="S1134" t="s">
        <v>18958</v>
      </c>
      <c r="U1134" t="s">
        <v>26604</v>
      </c>
      <c r="W1134" t="s">
        <v>521</v>
      </c>
      <c r="X1134">
        <v>2350</v>
      </c>
      <c r="Y1134" t="s">
        <v>26652</v>
      </c>
      <c r="Z1134" t="s">
        <v>26667</v>
      </c>
      <c r="AB1134" t="s">
        <v>27742</v>
      </c>
      <c r="AD1134" t="s">
        <v>37795</v>
      </c>
      <c r="AE1134">
        <v>82</v>
      </c>
      <c r="AF1134" t="s">
        <v>45541</v>
      </c>
      <c r="AG1134" t="s">
        <v>19330</v>
      </c>
      <c r="AH1134">
        <v>4</v>
      </c>
      <c r="AI1134">
        <v>2</v>
      </c>
      <c r="AJ1134">
        <v>2</v>
      </c>
      <c r="AK1134">
        <v>378.49</v>
      </c>
      <c r="AL1134" t="s">
        <v>641</v>
      </c>
      <c r="AM1134" t="s">
        <v>45575</v>
      </c>
      <c r="AN1134" t="s">
        <v>7439</v>
      </c>
      <c r="AO1134">
        <v>95000</v>
      </c>
      <c r="AP1134" t="s">
        <v>45635</v>
      </c>
      <c r="AU1134">
        <v>0</v>
      </c>
      <c r="AW1134" t="s">
        <v>279</v>
      </c>
    </row>
    <row r="1135" spans="1:50">
      <c r="A1135" s="1">
        <f>HYPERLINK("https://lsnyc.legalserver.org/matter/dynamic-profile/view/1876812","18-1876812")</f>
        <v>0</v>
      </c>
      <c r="B1135" t="s">
        <v>134</v>
      </c>
      <c r="C1135" t="s">
        <v>340</v>
      </c>
      <c r="D1135" t="s">
        <v>422</v>
      </c>
      <c r="F1135" t="s">
        <v>1616</v>
      </c>
      <c r="G1135" t="s">
        <v>5806</v>
      </c>
      <c r="H1135" t="s">
        <v>10439</v>
      </c>
      <c r="I1135" t="s">
        <v>17347</v>
      </c>
      <c r="J1135" t="s">
        <v>18894</v>
      </c>
      <c r="K1135">
        <v>11216</v>
      </c>
      <c r="L1135" t="s">
        <v>18958</v>
      </c>
      <c r="M1135" t="s">
        <v>18958</v>
      </c>
      <c r="O1135" t="s">
        <v>18997</v>
      </c>
      <c r="P1135" t="s">
        <v>26565</v>
      </c>
      <c r="R1135" t="s">
        <v>26578</v>
      </c>
      <c r="S1135" t="s">
        <v>18958</v>
      </c>
      <c r="U1135" t="s">
        <v>26604</v>
      </c>
      <c r="W1135" t="s">
        <v>521</v>
      </c>
      <c r="X1135">
        <v>2350</v>
      </c>
      <c r="Y1135" t="s">
        <v>26652</v>
      </c>
      <c r="Z1135" t="s">
        <v>26667</v>
      </c>
      <c r="AB1135" t="s">
        <v>27742</v>
      </c>
      <c r="AD1135" t="s">
        <v>37795</v>
      </c>
      <c r="AE1135">
        <v>82</v>
      </c>
      <c r="AF1135" t="s">
        <v>45541</v>
      </c>
      <c r="AG1135" t="s">
        <v>19330</v>
      </c>
      <c r="AH1135">
        <v>4</v>
      </c>
      <c r="AI1135">
        <v>2</v>
      </c>
      <c r="AJ1135">
        <v>2</v>
      </c>
      <c r="AK1135">
        <v>378.49</v>
      </c>
      <c r="AL1135" t="s">
        <v>641</v>
      </c>
      <c r="AM1135" t="s">
        <v>45575</v>
      </c>
      <c r="AN1135" t="s">
        <v>7439</v>
      </c>
      <c r="AO1135">
        <v>95000</v>
      </c>
      <c r="AP1135" t="s">
        <v>45624</v>
      </c>
      <c r="AU1135">
        <v>0</v>
      </c>
      <c r="AW1135" t="s">
        <v>279</v>
      </c>
    </row>
    <row r="1136" spans="1:50">
      <c r="A1136" s="1">
        <f>HYPERLINK("https://lsnyc.legalserver.org/matter/dynamic-profile/view/1876766","18-1876766")</f>
        <v>0</v>
      </c>
      <c r="B1136" t="s">
        <v>134</v>
      </c>
      <c r="C1136" t="s">
        <v>340</v>
      </c>
      <c r="D1136" t="s">
        <v>422</v>
      </c>
      <c r="F1136" t="s">
        <v>1225</v>
      </c>
      <c r="G1136" t="s">
        <v>5807</v>
      </c>
      <c r="H1136" t="s">
        <v>10439</v>
      </c>
      <c r="I1136" t="s">
        <v>17449</v>
      </c>
      <c r="J1136" t="s">
        <v>18894</v>
      </c>
      <c r="K1136">
        <v>11216</v>
      </c>
      <c r="L1136" t="s">
        <v>18958</v>
      </c>
      <c r="M1136" t="s">
        <v>18958</v>
      </c>
      <c r="O1136" t="s">
        <v>26528</v>
      </c>
      <c r="P1136" t="s">
        <v>26560</v>
      </c>
      <c r="R1136" t="s">
        <v>26578</v>
      </c>
      <c r="S1136" t="s">
        <v>18958</v>
      </c>
      <c r="U1136" t="s">
        <v>26604</v>
      </c>
      <c r="W1136" t="s">
        <v>521</v>
      </c>
      <c r="X1136">
        <v>2450</v>
      </c>
      <c r="Y1136" t="s">
        <v>26652</v>
      </c>
      <c r="Z1136" t="s">
        <v>26667</v>
      </c>
      <c r="AB1136" t="s">
        <v>27743</v>
      </c>
      <c r="AE1136">
        <v>82</v>
      </c>
      <c r="AF1136" t="s">
        <v>45541</v>
      </c>
      <c r="AG1136" t="s">
        <v>19330</v>
      </c>
      <c r="AH1136">
        <v>1</v>
      </c>
      <c r="AI1136">
        <v>1</v>
      </c>
      <c r="AJ1136">
        <v>0</v>
      </c>
      <c r="AK1136">
        <v>535.42</v>
      </c>
      <c r="AL1136" t="s">
        <v>641</v>
      </c>
      <c r="AM1136" t="s">
        <v>45575</v>
      </c>
      <c r="AN1136" t="s">
        <v>7439</v>
      </c>
      <c r="AO1136">
        <v>65000</v>
      </c>
      <c r="AP1136" t="s">
        <v>45635</v>
      </c>
      <c r="AU1136">
        <v>0</v>
      </c>
      <c r="AW1136" t="s">
        <v>279</v>
      </c>
    </row>
    <row r="1137" spans="1:49">
      <c r="A1137" s="1">
        <f>HYPERLINK("https://lsnyc.legalserver.org/matter/dynamic-profile/view/1876749","18-1876749")</f>
        <v>0</v>
      </c>
      <c r="B1137" t="s">
        <v>134</v>
      </c>
      <c r="C1137" t="s">
        <v>340</v>
      </c>
      <c r="D1137" t="s">
        <v>422</v>
      </c>
      <c r="F1137" t="s">
        <v>1225</v>
      </c>
      <c r="G1137" t="s">
        <v>5807</v>
      </c>
      <c r="H1137" t="s">
        <v>10439</v>
      </c>
      <c r="I1137" t="s">
        <v>17449</v>
      </c>
      <c r="J1137" t="s">
        <v>18894</v>
      </c>
      <c r="K1137">
        <v>11216</v>
      </c>
      <c r="L1137" t="s">
        <v>18958</v>
      </c>
      <c r="M1137" t="s">
        <v>18958</v>
      </c>
      <c r="O1137" t="s">
        <v>18997</v>
      </c>
      <c r="P1137" t="s">
        <v>26565</v>
      </c>
      <c r="R1137" t="s">
        <v>26578</v>
      </c>
      <c r="U1137" t="s">
        <v>26604</v>
      </c>
      <c r="W1137" t="s">
        <v>521</v>
      </c>
      <c r="X1137">
        <v>2450</v>
      </c>
      <c r="Y1137" t="s">
        <v>26652</v>
      </c>
      <c r="Z1137" t="s">
        <v>26667</v>
      </c>
      <c r="AB1137" t="s">
        <v>27743</v>
      </c>
      <c r="AE1137">
        <v>82</v>
      </c>
      <c r="AF1137" t="s">
        <v>45541</v>
      </c>
      <c r="AG1137" t="s">
        <v>19330</v>
      </c>
      <c r="AH1137">
        <v>1</v>
      </c>
      <c r="AI1137">
        <v>1</v>
      </c>
      <c r="AJ1137">
        <v>0</v>
      </c>
      <c r="AK1137">
        <v>535.42</v>
      </c>
      <c r="AL1137" t="s">
        <v>641</v>
      </c>
      <c r="AM1137" t="s">
        <v>45575</v>
      </c>
      <c r="AN1137" t="s">
        <v>7439</v>
      </c>
      <c r="AO1137">
        <v>65000</v>
      </c>
      <c r="AP1137" t="s">
        <v>45635</v>
      </c>
      <c r="AU1137">
        <v>0</v>
      </c>
      <c r="AW1137" t="s">
        <v>279</v>
      </c>
    </row>
    <row r="1138" spans="1:49">
      <c r="A1138" s="1">
        <f>HYPERLINK("https://lsnyc.legalserver.org/matter/dynamic-profile/view/1876746","18-1876746")</f>
        <v>0</v>
      </c>
      <c r="B1138" t="s">
        <v>134</v>
      </c>
      <c r="C1138" t="s">
        <v>340</v>
      </c>
      <c r="D1138" t="s">
        <v>422</v>
      </c>
      <c r="F1138" t="s">
        <v>1617</v>
      </c>
      <c r="G1138" t="s">
        <v>5808</v>
      </c>
      <c r="H1138" t="s">
        <v>10439</v>
      </c>
      <c r="I1138" t="s">
        <v>17599</v>
      </c>
      <c r="J1138" t="s">
        <v>18894</v>
      </c>
      <c r="K1138">
        <v>11216</v>
      </c>
      <c r="L1138" t="s">
        <v>18958</v>
      </c>
      <c r="M1138" t="s">
        <v>18958</v>
      </c>
      <c r="O1138" t="s">
        <v>26528</v>
      </c>
      <c r="P1138" t="s">
        <v>26560</v>
      </c>
      <c r="R1138" t="s">
        <v>26578</v>
      </c>
      <c r="S1138" t="s">
        <v>18958</v>
      </c>
      <c r="U1138" t="s">
        <v>26604</v>
      </c>
      <c r="W1138" t="s">
        <v>521</v>
      </c>
      <c r="X1138">
        <v>1575</v>
      </c>
      <c r="Y1138" t="s">
        <v>26652</v>
      </c>
      <c r="Z1138" t="s">
        <v>26667</v>
      </c>
      <c r="AB1138" t="s">
        <v>27744</v>
      </c>
      <c r="AD1138" t="s">
        <v>37796</v>
      </c>
      <c r="AE1138">
        <v>82</v>
      </c>
      <c r="AF1138" t="s">
        <v>45541</v>
      </c>
      <c r="AG1138" t="s">
        <v>19330</v>
      </c>
      <c r="AH1138">
        <v>2</v>
      </c>
      <c r="AI1138">
        <v>1</v>
      </c>
      <c r="AJ1138">
        <v>0</v>
      </c>
      <c r="AK1138">
        <v>543.66</v>
      </c>
      <c r="AL1138" t="s">
        <v>641</v>
      </c>
      <c r="AM1138" t="s">
        <v>45575</v>
      </c>
      <c r="AN1138" t="s">
        <v>7439</v>
      </c>
      <c r="AO1138">
        <v>66000</v>
      </c>
      <c r="AP1138" t="s">
        <v>45635</v>
      </c>
      <c r="AU1138">
        <v>0</v>
      </c>
      <c r="AW1138" t="s">
        <v>279</v>
      </c>
    </row>
    <row r="1139" spans="1:49">
      <c r="A1139" s="1">
        <f>HYPERLINK("https://lsnyc.legalserver.org/matter/dynamic-profile/view/1876744","18-1876744")</f>
        <v>0</v>
      </c>
      <c r="B1139" t="s">
        <v>134</v>
      </c>
      <c r="C1139" t="s">
        <v>340</v>
      </c>
      <c r="D1139" t="s">
        <v>422</v>
      </c>
      <c r="F1139" t="s">
        <v>1617</v>
      </c>
      <c r="G1139" t="s">
        <v>5808</v>
      </c>
      <c r="H1139" t="s">
        <v>10439</v>
      </c>
      <c r="I1139" t="s">
        <v>17599</v>
      </c>
      <c r="J1139" t="s">
        <v>18894</v>
      </c>
      <c r="K1139">
        <v>11216</v>
      </c>
      <c r="L1139" t="s">
        <v>18958</v>
      </c>
      <c r="M1139" t="s">
        <v>18958</v>
      </c>
      <c r="O1139" t="s">
        <v>18997</v>
      </c>
      <c r="P1139" t="s">
        <v>26565</v>
      </c>
      <c r="R1139" t="s">
        <v>26578</v>
      </c>
      <c r="U1139" t="s">
        <v>26604</v>
      </c>
      <c r="W1139" t="s">
        <v>521</v>
      </c>
      <c r="X1139">
        <v>1575</v>
      </c>
      <c r="Y1139" t="s">
        <v>26652</v>
      </c>
      <c r="Z1139" t="s">
        <v>26667</v>
      </c>
      <c r="AB1139" t="s">
        <v>27744</v>
      </c>
      <c r="AD1139" t="s">
        <v>37796</v>
      </c>
      <c r="AE1139">
        <v>82</v>
      </c>
      <c r="AF1139" t="s">
        <v>45541</v>
      </c>
      <c r="AG1139" t="s">
        <v>19330</v>
      </c>
      <c r="AH1139">
        <v>2</v>
      </c>
      <c r="AI1139">
        <v>1</v>
      </c>
      <c r="AJ1139">
        <v>0</v>
      </c>
      <c r="AK1139">
        <v>543.66</v>
      </c>
      <c r="AL1139" t="s">
        <v>641</v>
      </c>
      <c r="AM1139" t="s">
        <v>45575</v>
      </c>
      <c r="AN1139" t="s">
        <v>7439</v>
      </c>
      <c r="AO1139">
        <v>66000</v>
      </c>
      <c r="AP1139" t="s">
        <v>45635</v>
      </c>
      <c r="AU1139">
        <v>0</v>
      </c>
      <c r="AW1139" t="s">
        <v>279</v>
      </c>
    </row>
    <row r="1140" spans="1:49">
      <c r="A1140" s="1">
        <f>HYPERLINK("https://lsnyc.legalserver.org/matter/dynamic-profile/view/1876838","18-1876838")</f>
        <v>0</v>
      </c>
      <c r="B1140" t="s">
        <v>134</v>
      </c>
      <c r="C1140" t="s">
        <v>340</v>
      </c>
      <c r="D1140" t="s">
        <v>422</v>
      </c>
      <c r="F1140" t="s">
        <v>1618</v>
      </c>
      <c r="G1140" t="s">
        <v>3283</v>
      </c>
      <c r="H1140" t="s">
        <v>10439</v>
      </c>
      <c r="I1140" t="s">
        <v>17346</v>
      </c>
      <c r="J1140" t="s">
        <v>18894</v>
      </c>
      <c r="K1140">
        <v>11216</v>
      </c>
      <c r="L1140" t="s">
        <v>18958</v>
      </c>
      <c r="M1140" t="s">
        <v>18958</v>
      </c>
      <c r="O1140" t="s">
        <v>26528</v>
      </c>
      <c r="P1140" t="s">
        <v>26560</v>
      </c>
      <c r="R1140" t="s">
        <v>26578</v>
      </c>
      <c r="S1140" t="s">
        <v>18958</v>
      </c>
      <c r="U1140" t="s">
        <v>26604</v>
      </c>
      <c r="W1140" t="s">
        <v>521</v>
      </c>
      <c r="X1140">
        <v>2200</v>
      </c>
      <c r="Y1140" t="s">
        <v>26652</v>
      </c>
      <c r="Z1140" t="s">
        <v>26667</v>
      </c>
      <c r="AB1140" t="s">
        <v>27745</v>
      </c>
      <c r="AD1140" t="s">
        <v>37797</v>
      </c>
      <c r="AE1140">
        <v>82</v>
      </c>
      <c r="AF1140" t="s">
        <v>45541</v>
      </c>
      <c r="AG1140" t="s">
        <v>19330</v>
      </c>
      <c r="AH1140">
        <v>1</v>
      </c>
      <c r="AI1140">
        <v>1</v>
      </c>
      <c r="AJ1140">
        <v>0</v>
      </c>
      <c r="AK1140">
        <v>568.37</v>
      </c>
      <c r="AN1140" t="s">
        <v>7439</v>
      </c>
      <c r="AO1140">
        <v>69000</v>
      </c>
      <c r="AP1140" t="s">
        <v>45635</v>
      </c>
      <c r="AU1140">
        <v>0</v>
      </c>
      <c r="AW1140" t="s">
        <v>279</v>
      </c>
    </row>
    <row r="1141" spans="1:49">
      <c r="A1141" s="1">
        <f>HYPERLINK("https://lsnyc.legalserver.org/matter/dynamic-profile/view/1876837","18-1876837")</f>
        <v>0</v>
      </c>
      <c r="B1141" t="s">
        <v>134</v>
      </c>
      <c r="C1141" t="s">
        <v>340</v>
      </c>
      <c r="D1141" t="s">
        <v>422</v>
      </c>
      <c r="F1141" t="s">
        <v>1618</v>
      </c>
      <c r="G1141" t="s">
        <v>3283</v>
      </c>
      <c r="H1141" t="s">
        <v>10439</v>
      </c>
      <c r="I1141" t="s">
        <v>17346</v>
      </c>
      <c r="J1141" t="s">
        <v>18894</v>
      </c>
      <c r="K1141">
        <v>11216</v>
      </c>
      <c r="L1141" t="s">
        <v>18958</v>
      </c>
      <c r="M1141" t="s">
        <v>18958</v>
      </c>
      <c r="O1141" t="s">
        <v>18997</v>
      </c>
      <c r="P1141" t="s">
        <v>26565</v>
      </c>
      <c r="R1141" t="s">
        <v>26578</v>
      </c>
      <c r="S1141" t="s">
        <v>18958</v>
      </c>
      <c r="U1141" t="s">
        <v>26604</v>
      </c>
      <c r="W1141" t="s">
        <v>521</v>
      </c>
      <c r="X1141">
        <v>2200</v>
      </c>
      <c r="Y1141" t="s">
        <v>26652</v>
      </c>
      <c r="Z1141" t="s">
        <v>26667</v>
      </c>
      <c r="AB1141" t="s">
        <v>27745</v>
      </c>
      <c r="AD1141" t="s">
        <v>37797</v>
      </c>
      <c r="AE1141">
        <v>82</v>
      </c>
      <c r="AF1141" t="s">
        <v>45541</v>
      </c>
      <c r="AG1141" t="s">
        <v>19330</v>
      </c>
      <c r="AH1141">
        <v>1</v>
      </c>
      <c r="AI1141">
        <v>1</v>
      </c>
      <c r="AJ1141">
        <v>0</v>
      </c>
      <c r="AK1141">
        <v>568.37</v>
      </c>
      <c r="AN1141" t="s">
        <v>7439</v>
      </c>
      <c r="AO1141">
        <v>69000</v>
      </c>
      <c r="AP1141" t="s">
        <v>45624</v>
      </c>
      <c r="AU1141">
        <v>0</v>
      </c>
      <c r="AW1141" t="s">
        <v>279</v>
      </c>
    </row>
    <row r="1142" spans="1:49">
      <c r="A1142" s="1">
        <f>HYPERLINK("https://lsnyc.legalserver.org/matter/dynamic-profile/view/1876803","18-1876803")</f>
        <v>0</v>
      </c>
      <c r="B1142" t="s">
        <v>134</v>
      </c>
      <c r="C1142" t="s">
        <v>340</v>
      </c>
      <c r="D1142" t="s">
        <v>422</v>
      </c>
      <c r="F1142" t="s">
        <v>1619</v>
      </c>
      <c r="G1142" t="s">
        <v>5809</v>
      </c>
      <c r="H1142" t="s">
        <v>10439</v>
      </c>
      <c r="I1142" t="s">
        <v>17348</v>
      </c>
      <c r="J1142" t="s">
        <v>18894</v>
      </c>
      <c r="K1142">
        <v>11216</v>
      </c>
      <c r="L1142" t="s">
        <v>18958</v>
      </c>
      <c r="M1142" t="s">
        <v>18958</v>
      </c>
      <c r="O1142" t="s">
        <v>26528</v>
      </c>
      <c r="P1142" t="s">
        <v>26560</v>
      </c>
      <c r="R1142" t="s">
        <v>26578</v>
      </c>
      <c r="S1142" t="s">
        <v>18958</v>
      </c>
      <c r="U1142" t="s">
        <v>26604</v>
      </c>
      <c r="W1142" t="s">
        <v>521</v>
      </c>
      <c r="X1142">
        <v>1550</v>
      </c>
      <c r="Y1142" t="s">
        <v>26652</v>
      </c>
      <c r="Z1142" t="s">
        <v>26667</v>
      </c>
      <c r="AB1142" t="s">
        <v>27746</v>
      </c>
      <c r="AE1142">
        <v>82</v>
      </c>
      <c r="AF1142" t="s">
        <v>45541</v>
      </c>
      <c r="AG1142" t="s">
        <v>19330</v>
      </c>
      <c r="AH1142">
        <v>1</v>
      </c>
      <c r="AI1142">
        <v>1</v>
      </c>
      <c r="AJ1142">
        <v>0</v>
      </c>
      <c r="AK1142">
        <v>823.72</v>
      </c>
      <c r="AN1142" t="s">
        <v>7439</v>
      </c>
      <c r="AO1142">
        <v>100000</v>
      </c>
      <c r="AP1142" t="s">
        <v>45689</v>
      </c>
      <c r="AU1142">
        <v>0</v>
      </c>
      <c r="AW1142" t="s">
        <v>279</v>
      </c>
    </row>
    <row r="1143" spans="1:49">
      <c r="A1143" s="1">
        <f>HYPERLINK("https://lsnyc.legalserver.org/matter/dynamic-profile/view/1876799","18-1876799")</f>
        <v>0</v>
      </c>
      <c r="B1143" t="s">
        <v>134</v>
      </c>
      <c r="C1143" t="s">
        <v>340</v>
      </c>
      <c r="D1143" t="s">
        <v>422</v>
      </c>
      <c r="F1143" t="s">
        <v>1619</v>
      </c>
      <c r="G1143" t="s">
        <v>5809</v>
      </c>
      <c r="H1143" t="s">
        <v>10439</v>
      </c>
      <c r="I1143" t="s">
        <v>17348</v>
      </c>
      <c r="J1143" t="s">
        <v>18894</v>
      </c>
      <c r="K1143">
        <v>11216</v>
      </c>
      <c r="L1143" t="s">
        <v>18958</v>
      </c>
      <c r="M1143" t="s">
        <v>18958</v>
      </c>
      <c r="O1143" t="s">
        <v>18997</v>
      </c>
      <c r="P1143" t="s">
        <v>26565</v>
      </c>
      <c r="R1143" t="s">
        <v>26578</v>
      </c>
      <c r="S1143" t="s">
        <v>18958</v>
      </c>
      <c r="U1143" t="s">
        <v>26604</v>
      </c>
      <c r="W1143" t="s">
        <v>521</v>
      </c>
      <c r="X1143">
        <v>1550</v>
      </c>
      <c r="Y1143" t="s">
        <v>26652</v>
      </c>
      <c r="Z1143" t="s">
        <v>26667</v>
      </c>
      <c r="AB1143" t="s">
        <v>27746</v>
      </c>
      <c r="AE1143">
        <v>82</v>
      </c>
      <c r="AF1143" t="s">
        <v>45541</v>
      </c>
      <c r="AG1143" t="s">
        <v>19330</v>
      </c>
      <c r="AH1143">
        <v>1</v>
      </c>
      <c r="AI1143">
        <v>1</v>
      </c>
      <c r="AJ1143">
        <v>0</v>
      </c>
      <c r="AK1143">
        <v>823.72</v>
      </c>
      <c r="AN1143" t="s">
        <v>7439</v>
      </c>
      <c r="AO1143">
        <v>100000</v>
      </c>
      <c r="AP1143" t="s">
        <v>45624</v>
      </c>
      <c r="AU1143">
        <v>0</v>
      </c>
      <c r="AW1143" t="s">
        <v>279</v>
      </c>
    </row>
    <row r="1144" spans="1:49">
      <c r="A1144" s="1">
        <f>HYPERLINK("https://lsnyc.legalserver.org/matter/dynamic-profile/view/1876833","18-1876833")</f>
        <v>0</v>
      </c>
      <c r="B1144" t="s">
        <v>134</v>
      </c>
      <c r="C1144" t="s">
        <v>340</v>
      </c>
      <c r="D1144" t="s">
        <v>422</v>
      </c>
      <c r="F1144" t="s">
        <v>1620</v>
      </c>
      <c r="G1144" t="s">
        <v>5810</v>
      </c>
      <c r="H1144" t="s">
        <v>10439</v>
      </c>
      <c r="I1144" t="s">
        <v>17390</v>
      </c>
      <c r="J1144" t="s">
        <v>18894</v>
      </c>
      <c r="K1144">
        <v>11216</v>
      </c>
      <c r="L1144" t="s">
        <v>18958</v>
      </c>
      <c r="M1144" t="s">
        <v>18958</v>
      </c>
      <c r="O1144" t="s">
        <v>26528</v>
      </c>
      <c r="P1144" t="s">
        <v>26560</v>
      </c>
      <c r="R1144" t="s">
        <v>26578</v>
      </c>
      <c r="S1144" t="s">
        <v>18958</v>
      </c>
      <c r="U1144" t="s">
        <v>26604</v>
      </c>
      <c r="W1144" t="s">
        <v>521</v>
      </c>
      <c r="X1144">
        <v>1400</v>
      </c>
      <c r="Y1144" t="s">
        <v>26652</v>
      </c>
      <c r="Z1144" t="s">
        <v>26667</v>
      </c>
      <c r="AB1144" t="s">
        <v>27747</v>
      </c>
      <c r="AD1144" t="s">
        <v>37798</v>
      </c>
      <c r="AE1144">
        <v>82</v>
      </c>
      <c r="AF1144" t="s">
        <v>45541</v>
      </c>
      <c r="AG1144" t="s">
        <v>19330</v>
      </c>
      <c r="AH1144">
        <v>2</v>
      </c>
      <c r="AI1144">
        <v>1</v>
      </c>
      <c r="AJ1144">
        <v>0</v>
      </c>
      <c r="AK1144">
        <v>838.59</v>
      </c>
      <c r="AN1144" t="s">
        <v>7439</v>
      </c>
      <c r="AO1144">
        <v>101805</v>
      </c>
      <c r="AP1144" t="s">
        <v>45690</v>
      </c>
      <c r="AU1144">
        <v>0</v>
      </c>
      <c r="AW1144" t="s">
        <v>279</v>
      </c>
    </row>
    <row r="1145" spans="1:49">
      <c r="A1145" s="1">
        <f>HYPERLINK("https://lsnyc.legalserver.org/matter/dynamic-profile/view/1876828","18-1876828")</f>
        <v>0</v>
      </c>
      <c r="B1145" t="s">
        <v>134</v>
      </c>
      <c r="C1145" t="s">
        <v>340</v>
      </c>
      <c r="D1145" t="s">
        <v>422</v>
      </c>
      <c r="F1145" t="s">
        <v>1620</v>
      </c>
      <c r="G1145" t="s">
        <v>5810</v>
      </c>
      <c r="H1145" t="s">
        <v>10439</v>
      </c>
      <c r="I1145" t="s">
        <v>17390</v>
      </c>
      <c r="J1145" t="s">
        <v>18894</v>
      </c>
      <c r="K1145">
        <v>11216</v>
      </c>
      <c r="L1145" t="s">
        <v>18958</v>
      </c>
      <c r="M1145" t="s">
        <v>18958</v>
      </c>
      <c r="O1145" t="s">
        <v>18997</v>
      </c>
      <c r="P1145" t="s">
        <v>26565</v>
      </c>
      <c r="R1145" t="s">
        <v>26578</v>
      </c>
      <c r="S1145" t="s">
        <v>18958</v>
      </c>
      <c r="U1145" t="s">
        <v>26604</v>
      </c>
      <c r="W1145" t="s">
        <v>521</v>
      </c>
      <c r="X1145">
        <v>1400</v>
      </c>
      <c r="Y1145" t="s">
        <v>26652</v>
      </c>
      <c r="Z1145" t="s">
        <v>26667</v>
      </c>
      <c r="AB1145" t="s">
        <v>27747</v>
      </c>
      <c r="AD1145" t="s">
        <v>37798</v>
      </c>
      <c r="AE1145">
        <v>82</v>
      </c>
      <c r="AF1145" t="s">
        <v>45541</v>
      </c>
      <c r="AG1145" t="s">
        <v>19330</v>
      </c>
      <c r="AH1145">
        <v>2</v>
      </c>
      <c r="AI1145">
        <v>1</v>
      </c>
      <c r="AJ1145">
        <v>0</v>
      </c>
      <c r="AK1145">
        <v>838.59</v>
      </c>
      <c r="AN1145" t="s">
        <v>7439</v>
      </c>
      <c r="AO1145">
        <v>101805</v>
      </c>
      <c r="AP1145" t="s">
        <v>45624</v>
      </c>
      <c r="AU1145">
        <v>0</v>
      </c>
      <c r="AW1145" t="s">
        <v>279</v>
      </c>
    </row>
    <row r="1146" spans="1:49">
      <c r="A1146" s="1">
        <f>HYPERLINK("https://lsnyc.legalserver.org/matter/dynamic-profile/view/1876797","18-1876797")</f>
        <v>0</v>
      </c>
      <c r="B1146" t="s">
        <v>134</v>
      </c>
      <c r="C1146" t="s">
        <v>340</v>
      </c>
      <c r="D1146" t="s">
        <v>422</v>
      </c>
      <c r="F1146" t="s">
        <v>1621</v>
      </c>
      <c r="G1146" t="s">
        <v>5811</v>
      </c>
      <c r="H1146" t="s">
        <v>10439</v>
      </c>
      <c r="I1146" t="s">
        <v>17600</v>
      </c>
      <c r="J1146" t="s">
        <v>18894</v>
      </c>
      <c r="K1146">
        <v>11216</v>
      </c>
      <c r="L1146" t="s">
        <v>18958</v>
      </c>
      <c r="M1146" t="s">
        <v>18958</v>
      </c>
      <c r="O1146" t="s">
        <v>26528</v>
      </c>
      <c r="P1146" t="s">
        <v>26560</v>
      </c>
      <c r="R1146" t="s">
        <v>26578</v>
      </c>
      <c r="S1146" t="s">
        <v>18958</v>
      </c>
      <c r="U1146" t="s">
        <v>26604</v>
      </c>
      <c r="W1146" t="s">
        <v>521</v>
      </c>
      <c r="X1146">
        <v>1450</v>
      </c>
      <c r="Y1146" t="s">
        <v>26652</v>
      </c>
      <c r="Z1146" t="s">
        <v>26667</v>
      </c>
      <c r="AB1146" t="s">
        <v>27748</v>
      </c>
      <c r="AD1146" t="s">
        <v>37799</v>
      </c>
      <c r="AE1146">
        <v>0</v>
      </c>
      <c r="AF1146" t="s">
        <v>45541</v>
      </c>
      <c r="AG1146" t="s">
        <v>19330</v>
      </c>
      <c r="AH1146">
        <v>0</v>
      </c>
      <c r="AI1146">
        <v>1</v>
      </c>
      <c r="AJ1146">
        <v>0</v>
      </c>
      <c r="AK1146">
        <v>873.15</v>
      </c>
      <c r="AN1146" t="s">
        <v>45590</v>
      </c>
      <c r="AO1146">
        <v>106000</v>
      </c>
      <c r="AP1146" t="s">
        <v>45691</v>
      </c>
      <c r="AU1146">
        <v>0</v>
      </c>
      <c r="AW1146" t="s">
        <v>279</v>
      </c>
    </row>
    <row r="1147" spans="1:49">
      <c r="A1147" s="1">
        <f>HYPERLINK("https://lsnyc.legalserver.org/matter/dynamic-profile/view/1876793","18-1876793")</f>
        <v>0</v>
      </c>
      <c r="B1147" t="s">
        <v>134</v>
      </c>
      <c r="C1147" t="s">
        <v>340</v>
      </c>
      <c r="D1147" t="s">
        <v>422</v>
      </c>
      <c r="F1147" t="s">
        <v>1621</v>
      </c>
      <c r="G1147" t="s">
        <v>5811</v>
      </c>
      <c r="H1147" t="s">
        <v>10439</v>
      </c>
      <c r="I1147" t="s">
        <v>17600</v>
      </c>
      <c r="J1147" t="s">
        <v>18894</v>
      </c>
      <c r="K1147">
        <v>11216</v>
      </c>
      <c r="L1147" t="s">
        <v>18958</v>
      </c>
      <c r="M1147" t="s">
        <v>18958</v>
      </c>
      <c r="O1147" t="s">
        <v>18997</v>
      </c>
      <c r="P1147" t="s">
        <v>26565</v>
      </c>
      <c r="R1147" t="s">
        <v>26578</v>
      </c>
      <c r="S1147" t="s">
        <v>18958</v>
      </c>
      <c r="U1147" t="s">
        <v>26604</v>
      </c>
      <c r="W1147" t="s">
        <v>521</v>
      </c>
      <c r="X1147">
        <v>1450</v>
      </c>
      <c r="Y1147" t="s">
        <v>26652</v>
      </c>
      <c r="Z1147" t="s">
        <v>26667</v>
      </c>
      <c r="AB1147" t="s">
        <v>27748</v>
      </c>
      <c r="AD1147" t="s">
        <v>37799</v>
      </c>
      <c r="AE1147">
        <v>82</v>
      </c>
      <c r="AF1147" t="s">
        <v>45541</v>
      </c>
      <c r="AG1147" t="s">
        <v>19330</v>
      </c>
      <c r="AH1147">
        <v>0</v>
      </c>
      <c r="AI1147">
        <v>1</v>
      </c>
      <c r="AJ1147">
        <v>0</v>
      </c>
      <c r="AK1147">
        <v>873.15</v>
      </c>
      <c r="AN1147" t="s">
        <v>45590</v>
      </c>
      <c r="AO1147">
        <v>106000</v>
      </c>
      <c r="AP1147" t="s">
        <v>45624</v>
      </c>
      <c r="AU1147">
        <v>0</v>
      </c>
      <c r="AW1147" t="s">
        <v>279</v>
      </c>
    </row>
    <row r="1148" spans="1:49">
      <c r="A1148" s="1">
        <f>HYPERLINK("https://lsnyc.legalserver.org/matter/dynamic-profile/view/1876918","18-1876918")</f>
        <v>0</v>
      </c>
      <c r="B1148" t="s">
        <v>134</v>
      </c>
      <c r="C1148" t="s">
        <v>341</v>
      </c>
      <c r="D1148" t="s">
        <v>524</v>
      </c>
      <c r="E1148" t="s">
        <v>744</v>
      </c>
      <c r="F1148" t="s">
        <v>948</v>
      </c>
      <c r="G1148" t="s">
        <v>5812</v>
      </c>
      <c r="H1148" t="s">
        <v>10439</v>
      </c>
      <c r="I1148" t="s">
        <v>17332</v>
      </c>
      <c r="J1148" t="s">
        <v>18894</v>
      </c>
      <c r="K1148">
        <v>11216</v>
      </c>
      <c r="L1148" t="s">
        <v>18958</v>
      </c>
      <c r="M1148" t="s">
        <v>18958</v>
      </c>
      <c r="O1148" t="s">
        <v>18997</v>
      </c>
      <c r="P1148" t="s">
        <v>26565</v>
      </c>
      <c r="Q1148" t="s">
        <v>26570</v>
      </c>
      <c r="R1148" t="s">
        <v>26578</v>
      </c>
      <c r="S1148" t="s">
        <v>18958</v>
      </c>
      <c r="U1148" t="s">
        <v>26604</v>
      </c>
      <c r="W1148" t="s">
        <v>521</v>
      </c>
      <c r="X1148">
        <v>1600</v>
      </c>
      <c r="Y1148" t="s">
        <v>26652</v>
      </c>
      <c r="Z1148" t="s">
        <v>26667</v>
      </c>
      <c r="AA1148" t="s">
        <v>26683</v>
      </c>
      <c r="AB1148" t="s">
        <v>27749</v>
      </c>
      <c r="AE1148">
        <v>82</v>
      </c>
      <c r="AF1148" t="s">
        <v>45541</v>
      </c>
      <c r="AG1148" t="s">
        <v>19330</v>
      </c>
      <c r="AH1148">
        <v>4</v>
      </c>
      <c r="AI1148">
        <v>1</v>
      </c>
      <c r="AJ1148">
        <v>0</v>
      </c>
      <c r="AK1148">
        <v>741.35</v>
      </c>
      <c r="AN1148" t="s">
        <v>7439</v>
      </c>
      <c r="AO1148">
        <v>90000</v>
      </c>
      <c r="AU1148">
        <v>0.1</v>
      </c>
      <c r="AV1148" t="s">
        <v>744</v>
      </c>
      <c r="AW1148" t="s">
        <v>279</v>
      </c>
    </row>
    <row r="1149" spans="1:49">
      <c r="A1149" s="1">
        <f>HYPERLINK("https://lsnyc.legalserver.org/matter/dynamic-profile/view/1876914","18-1876914")</f>
        <v>0</v>
      </c>
      <c r="B1149" t="s">
        <v>134</v>
      </c>
      <c r="C1149" t="s">
        <v>340</v>
      </c>
      <c r="D1149" t="s">
        <v>524</v>
      </c>
      <c r="F1149" t="s">
        <v>1622</v>
      </c>
      <c r="G1149" t="s">
        <v>5813</v>
      </c>
      <c r="H1149" t="s">
        <v>10439</v>
      </c>
      <c r="I1149" t="s">
        <v>17346</v>
      </c>
      <c r="J1149" t="s">
        <v>18894</v>
      </c>
      <c r="K1149">
        <v>11216</v>
      </c>
      <c r="L1149" t="s">
        <v>18958</v>
      </c>
      <c r="M1149" t="s">
        <v>18958</v>
      </c>
      <c r="O1149" t="s">
        <v>26528</v>
      </c>
      <c r="P1149" t="s">
        <v>26560</v>
      </c>
      <c r="R1149" t="s">
        <v>26578</v>
      </c>
      <c r="S1149" t="s">
        <v>18958</v>
      </c>
      <c r="U1149" t="s">
        <v>26604</v>
      </c>
      <c r="W1149" t="s">
        <v>521</v>
      </c>
      <c r="X1149">
        <v>2200</v>
      </c>
      <c r="Y1149" t="s">
        <v>26652</v>
      </c>
      <c r="Z1149" t="s">
        <v>26667</v>
      </c>
      <c r="AB1149" t="s">
        <v>27750</v>
      </c>
      <c r="AD1149" t="s">
        <v>37800</v>
      </c>
      <c r="AE1149">
        <v>82</v>
      </c>
      <c r="AF1149" t="s">
        <v>45541</v>
      </c>
      <c r="AG1149" t="s">
        <v>19330</v>
      </c>
      <c r="AH1149">
        <v>1</v>
      </c>
      <c r="AI1149">
        <v>1</v>
      </c>
      <c r="AJ1149">
        <v>0</v>
      </c>
      <c r="AK1149">
        <v>494.23</v>
      </c>
      <c r="AL1149" t="s">
        <v>641</v>
      </c>
      <c r="AM1149" t="s">
        <v>45575</v>
      </c>
      <c r="AN1149" t="s">
        <v>7439</v>
      </c>
      <c r="AO1149">
        <v>60000</v>
      </c>
      <c r="AP1149" t="s">
        <v>45692</v>
      </c>
      <c r="AU1149">
        <v>0</v>
      </c>
      <c r="AW1149" t="s">
        <v>279</v>
      </c>
    </row>
    <row r="1150" spans="1:49">
      <c r="A1150" s="1">
        <f>HYPERLINK("https://lsnyc.legalserver.org/matter/dynamic-profile/view/1876913","18-1876913")</f>
        <v>0</v>
      </c>
      <c r="B1150" t="s">
        <v>134</v>
      </c>
      <c r="C1150" t="s">
        <v>340</v>
      </c>
      <c r="D1150" t="s">
        <v>524</v>
      </c>
      <c r="F1150" t="s">
        <v>1622</v>
      </c>
      <c r="G1150" t="s">
        <v>5813</v>
      </c>
      <c r="H1150" t="s">
        <v>10439</v>
      </c>
      <c r="I1150" t="s">
        <v>17346</v>
      </c>
      <c r="J1150" t="s">
        <v>18894</v>
      </c>
      <c r="K1150">
        <v>11216</v>
      </c>
      <c r="L1150" t="s">
        <v>18958</v>
      </c>
      <c r="M1150" t="s">
        <v>18958</v>
      </c>
      <c r="O1150" t="s">
        <v>18997</v>
      </c>
      <c r="P1150" t="s">
        <v>26565</v>
      </c>
      <c r="R1150" t="s">
        <v>26578</v>
      </c>
      <c r="S1150" t="s">
        <v>18958</v>
      </c>
      <c r="U1150" t="s">
        <v>26604</v>
      </c>
      <c r="W1150" t="s">
        <v>521</v>
      </c>
      <c r="X1150">
        <v>2200</v>
      </c>
      <c r="Y1150" t="s">
        <v>26652</v>
      </c>
      <c r="Z1150" t="s">
        <v>26667</v>
      </c>
      <c r="AB1150" t="s">
        <v>27750</v>
      </c>
      <c r="AD1150" t="s">
        <v>37800</v>
      </c>
      <c r="AE1150">
        <v>82</v>
      </c>
      <c r="AF1150" t="s">
        <v>45541</v>
      </c>
      <c r="AG1150" t="s">
        <v>19330</v>
      </c>
      <c r="AH1150">
        <v>1</v>
      </c>
      <c r="AI1150">
        <v>1</v>
      </c>
      <c r="AJ1150">
        <v>0</v>
      </c>
      <c r="AK1150">
        <v>494.23</v>
      </c>
      <c r="AL1150" t="s">
        <v>641</v>
      </c>
      <c r="AM1150" t="s">
        <v>45575</v>
      </c>
      <c r="AN1150" t="s">
        <v>7439</v>
      </c>
      <c r="AO1150">
        <v>60000</v>
      </c>
      <c r="AP1150" t="s">
        <v>45624</v>
      </c>
      <c r="AU1150">
        <v>0</v>
      </c>
      <c r="AW1150" t="s">
        <v>279</v>
      </c>
    </row>
    <row r="1151" spans="1:49">
      <c r="A1151" s="1">
        <f>HYPERLINK("https://lsnyc.legalserver.org/matter/dynamic-profile/view/1878081","18-1878081")</f>
        <v>0</v>
      </c>
      <c r="B1151" t="s">
        <v>134</v>
      </c>
      <c r="C1151" t="s">
        <v>340</v>
      </c>
      <c r="D1151" t="s">
        <v>534</v>
      </c>
      <c r="F1151" t="s">
        <v>1623</v>
      </c>
      <c r="G1151" t="s">
        <v>5814</v>
      </c>
      <c r="H1151" t="s">
        <v>10439</v>
      </c>
      <c r="I1151" t="s">
        <v>17601</v>
      </c>
      <c r="J1151" t="s">
        <v>18894</v>
      </c>
      <c r="K1151">
        <v>11216</v>
      </c>
      <c r="L1151" t="s">
        <v>18958</v>
      </c>
      <c r="M1151" t="s">
        <v>18958</v>
      </c>
      <c r="O1151" t="s">
        <v>26528</v>
      </c>
      <c r="P1151" t="s">
        <v>26560</v>
      </c>
      <c r="R1151" t="s">
        <v>26578</v>
      </c>
      <c r="S1151" t="s">
        <v>18958</v>
      </c>
      <c r="U1151" t="s">
        <v>26604</v>
      </c>
      <c r="W1151" t="s">
        <v>521</v>
      </c>
      <c r="X1151">
        <v>2300</v>
      </c>
      <c r="Y1151" t="s">
        <v>26652</v>
      </c>
      <c r="Z1151" t="s">
        <v>26667</v>
      </c>
      <c r="AB1151" t="s">
        <v>27751</v>
      </c>
      <c r="AD1151" t="s">
        <v>37801</v>
      </c>
      <c r="AE1151">
        <v>82</v>
      </c>
      <c r="AF1151" t="s">
        <v>45541</v>
      </c>
      <c r="AG1151" t="s">
        <v>19330</v>
      </c>
      <c r="AH1151">
        <v>3</v>
      </c>
      <c r="AI1151">
        <v>2</v>
      </c>
      <c r="AJ1151">
        <v>0</v>
      </c>
      <c r="AK1151">
        <v>607.53</v>
      </c>
      <c r="AN1151" t="s">
        <v>7439</v>
      </c>
      <c r="AO1151">
        <v>100000</v>
      </c>
      <c r="AP1151" t="s">
        <v>45649</v>
      </c>
      <c r="AU1151">
        <v>0</v>
      </c>
      <c r="AW1151" t="s">
        <v>279</v>
      </c>
    </row>
    <row r="1152" spans="1:49">
      <c r="A1152" s="1">
        <f>HYPERLINK("https://lsnyc.legalserver.org/matter/dynamic-profile/view/1878074","18-1878074")</f>
        <v>0</v>
      </c>
      <c r="B1152" t="s">
        <v>134</v>
      </c>
      <c r="C1152" t="s">
        <v>340</v>
      </c>
      <c r="D1152" t="s">
        <v>534</v>
      </c>
      <c r="F1152" t="s">
        <v>1623</v>
      </c>
      <c r="G1152" t="s">
        <v>5814</v>
      </c>
      <c r="H1152" t="s">
        <v>10439</v>
      </c>
      <c r="I1152" t="s">
        <v>17601</v>
      </c>
      <c r="J1152" t="s">
        <v>18894</v>
      </c>
      <c r="K1152">
        <v>11216</v>
      </c>
      <c r="L1152" t="s">
        <v>18958</v>
      </c>
      <c r="M1152" t="s">
        <v>18958</v>
      </c>
      <c r="O1152" t="s">
        <v>26531</v>
      </c>
      <c r="P1152" t="s">
        <v>26565</v>
      </c>
      <c r="R1152" t="s">
        <v>26578</v>
      </c>
      <c r="S1152" t="s">
        <v>18958</v>
      </c>
      <c r="U1152" t="s">
        <v>26604</v>
      </c>
      <c r="W1152" t="s">
        <v>521</v>
      </c>
      <c r="X1152">
        <v>2300</v>
      </c>
      <c r="Y1152" t="s">
        <v>26652</v>
      </c>
      <c r="Z1152" t="s">
        <v>26667</v>
      </c>
      <c r="AB1152" t="s">
        <v>27751</v>
      </c>
      <c r="AD1152" t="s">
        <v>37801</v>
      </c>
      <c r="AE1152">
        <v>82</v>
      </c>
      <c r="AF1152" t="s">
        <v>45541</v>
      </c>
      <c r="AG1152" t="s">
        <v>19330</v>
      </c>
      <c r="AH1152">
        <v>3</v>
      </c>
      <c r="AI1152">
        <v>2</v>
      </c>
      <c r="AJ1152">
        <v>0</v>
      </c>
      <c r="AK1152">
        <v>607.53</v>
      </c>
      <c r="AN1152" t="s">
        <v>7439</v>
      </c>
      <c r="AO1152">
        <v>100000</v>
      </c>
      <c r="AP1152" t="s">
        <v>45635</v>
      </c>
      <c r="AU1152">
        <v>0</v>
      </c>
      <c r="AW1152" t="s">
        <v>279</v>
      </c>
    </row>
    <row r="1153" spans="1:49">
      <c r="A1153" s="1">
        <f>HYPERLINK("https://lsnyc.legalserver.org/matter/dynamic-profile/view/1878669","18-1878669")</f>
        <v>0</v>
      </c>
      <c r="B1153" t="s">
        <v>88</v>
      </c>
      <c r="C1153" t="s">
        <v>341</v>
      </c>
      <c r="D1153" t="s">
        <v>451</v>
      </c>
      <c r="E1153" t="s">
        <v>782</v>
      </c>
      <c r="F1153" t="s">
        <v>1081</v>
      </c>
      <c r="G1153" t="s">
        <v>5815</v>
      </c>
      <c r="H1153" t="s">
        <v>10024</v>
      </c>
      <c r="I1153" t="s">
        <v>17274</v>
      </c>
      <c r="J1153" t="s">
        <v>18894</v>
      </c>
      <c r="K1153">
        <v>11221</v>
      </c>
      <c r="L1153" t="s">
        <v>18958</v>
      </c>
      <c r="M1153" t="s">
        <v>18958</v>
      </c>
      <c r="O1153" t="s">
        <v>26531</v>
      </c>
      <c r="P1153" t="s">
        <v>26565</v>
      </c>
      <c r="Q1153" t="s">
        <v>26571</v>
      </c>
      <c r="R1153" t="s">
        <v>26578</v>
      </c>
      <c r="S1153" t="s">
        <v>18958</v>
      </c>
      <c r="U1153" t="s">
        <v>26604</v>
      </c>
      <c r="W1153" t="s">
        <v>521</v>
      </c>
      <c r="X1153">
        <v>780</v>
      </c>
      <c r="Y1153" t="s">
        <v>26652</v>
      </c>
      <c r="Z1153" t="s">
        <v>26663</v>
      </c>
      <c r="AA1153" t="s">
        <v>26685</v>
      </c>
      <c r="AB1153" t="s">
        <v>27752</v>
      </c>
      <c r="AD1153" t="s">
        <v>37802</v>
      </c>
      <c r="AE1153">
        <v>12</v>
      </c>
      <c r="AF1153" t="s">
        <v>45541</v>
      </c>
      <c r="AG1153" t="s">
        <v>19330</v>
      </c>
      <c r="AH1153">
        <v>15</v>
      </c>
      <c r="AI1153">
        <v>1</v>
      </c>
      <c r="AJ1153">
        <v>0</v>
      </c>
      <c r="AK1153">
        <v>395.39</v>
      </c>
      <c r="AN1153" t="s">
        <v>7439</v>
      </c>
      <c r="AO1153">
        <v>48000</v>
      </c>
      <c r="AP1153" t="s">
        <v>45669</v>
      </c>
      <c r="AU1153">
        <v>0.08</v>
      </c>
      <c r="AV1153" t="s">
        <v>685</v>
      </c>
      <c r="AW1153" t="s">
        <v>279</v>
      </c>
    </row>
    <row r="1154" spans="1:49">
      <c r="A1154" s="1">
        <f>HYPERLINK("https://lsnyc.legalserver.org/matter/dynamic-profile/view/1878674","18-1878674")</f>
        <v>0</v>
      </c>
      <c r="B1154" t="s">
        <v>88</v>
      </c>
      <c r="C1154" t="s">
        <v>340</v>
      </c>
      <c r="D1154" t="s">
        <v>451</v>
      </c>
      <c r="F1154" t="s">
        <v>1081</v>
      </c>
      <c r="G1154" t="s">
        <v>5815</v>
      </c>
      <c r="H1154" t="s">
        <v>10024</v>
      </c>
      <c r="I1154" t="s">
        <v>17274</v>
      </c>
      <c r="J1154" t="s">
        <v>18894</v>
      </c>
      <c r="K1154">
        <v>11221</v>
      </c>
      <c r="L1154" t="s">
        <v>18958</v>
      </c>
      <c r="M1154" t="s">
        <v>18958</v>
      </c>
      <c r="O1154" t="s">
        <v>26534</v>
      </c>
      <c r="P1154" t="s">
        <v>26561</v>
      </c>
      <c r="R1154" t="s">
        <v>26578</v>
      </c>
      <c r="S1154" t="s">
        <v>18958</v>
      </c>
      <c r="U1154" t="s">
        <v>26604</v>
      </c>
      <c r="W1154" t="s">
        <v>521</v>
      </c>
      <c r="X1154">
        <v>780</v>
      </c>
      <c r="Y1154" t="s">
        <v>26652</v>
      </c>
      <c r="Z1154" t="s">
        <v>26663</v>
      </c>
      <c r="AB1154" t="s">
        <v>27752</v>
      </c>
      <c r="AD1154" t="s">
        <v>37802</v>
      </c>
      <c r="AE1154">
        <v>12</v>
      </c>
      <c r="AF1154" t="s">
        <v>45541</v>
      </c>
      <c r="AG1154" t="s">
        <v>19330</v>
      </c>
      <c r="AH1154">
        <v>15</v>
      </c>
      <c r="AI1154">
        <v>1</v>
      </c>
      <c r="AJ1154">
        <v>0</v>
      </c>
      <c r="AK1154">
        <v>395.39</v>
      </c>
      <c r="AN1154" t="s">
        <v>7439</v>
      </c>
      <c r="AO1154">
        <v>48000</v>
      </c>
      <c r="AP1154" t="s">
        <v>45693</v>
      </c>
      <c r="AU1154">
        <v>0.2</v>
      </c>
      <c r="AV1154" t="s">
        <v>822</v>
      </c>
      <c r="AW1154" t="s">
        <v>279</v>
      </c>
    </row>
    <row r="1155" spans="1:49">
      <c r="A1155" s="1">
        <f>HYPERLINK("https://lsnyc.legalserver.org/matter/dynamic-profile/view/1853699","17-1853699")</f>
        <v>0</v>
      </c>
      <c r="B1155" t="s">
        <v>228</v>
      </c>
      <c r="C1155" t="s">
        <v>341</v>
      </c>
      <c r="D1155" t="s">
        <v>535</v>
      </c>
      <c r="E1155" t="s">
        <v>533</v>
      </c>
      <c r="F1155" t="s">
        <v>1033</v>
      </c>
      <c r="G1155" t="s">
        <v>5816</v>
      </c>
      <c r="H1155" t="s">
        <v>9761</v>
      </c>
      <c r="I1155" t="s">
        <v>17272</v>
      </c>
      <c r="J1155" t="s">
        <v>18894</v>
      </c>
      <c r="K1155">
        <v>11206</v>
      </c>
      <c r="L1155" t="s">
        <v>18958</v>
      </c>
      <c r="M1155" t="s">
        <v>18958</v>
      </c>
      <c r="N1155" t="s">
        <v>19827</v>
      </c>
      <c r="O1155" t="s">
        <v>26524</v>
      </c>
      <c r="P1155" t="s">
        <v>26563</v>
      </c>
      <c r="Q1155" t="s">
        <v>26571</v>
      </c>
      <c r="R1155" t="s">
        <v>26586</v>
      </c>
      <c r="S1155" t="s">
        <v>18959</v>
      </c>
      <c r="U1155" t="s">
        <v>26605</v>
      </c>
      <c r="W1155" t="s">
        <v>533</v>
      </c>
      <c r="X1155">
        <v>1200</v>
      </c>
      <c r="Y1155" t="s">
        <v>26652</v>
      </c>
      <c r="Z1155" t="s">
        <v>26656</v>
      </c>
      <c r="AA1155" t="s">
        <v>26681</v>
      </c>
      <c r="AB1155" t="s">
        <v>27753</v>
      </c>
      <c r="AD1155" t="s">
        <v>37803</v>
      </c>
      <c r="AE1155">
        <v>8</v>
      </c>
      <c r="AF1155" t="s">
        <v>45541</v>
      </c>
      <c r="AG1155" t="s">
        <v>19330</v>
      </c>
      <c r="AH1155">
        <v>7</v>
      </c>
      <c r="AI1155">
        <v>2</v>
      </c>
      <c r="AJ1155">
        <v>0</v>
      </c>
      <c r="AK1155">
        <v>127.76</v>
      </c>
      <c r="AN1155" t="s">
        <v>7439</v>
      </c>
      <c r="AO1155">
        <v>20748</v>
      </c>
      <c r="AU1155">
        <v>4.5</v>
      </c>
      <c r="AV1155" t="s">
        <v>385</v>
      </c>
      <c r="AW1155" t="s">
        <v>46851</v>
      </c>
    </row>
    <row r="1156" spans="1:49">
      <c r="A1156" s="1">
        <f>HYPERLINK("https://lsnyc.legalserver.org/matter/dynamic-profile/view/1855696","18-1855696")</f>
        <v>0</v>
      </c>
      <c r="B1156" t="s">
        <v>229</v>
      </c>
      <c r="C1156" t="s">
        <v>341</v>
      </c>
      <c r="D1156" t="s">
        <v>373</v>
      </c>
      <c r="E1156" t="s">
        <v>533</v>
      </c>
      <c r="F1156" t="s">
        <v>1624</v>
      </c>
      <c r="G1156" t="s">
        <v>5817</v>
      </c>
      <c r="H1156" t="s">
        <v>10614</v>
      </c>
      <c r="I1156" t="s">
        <v>17602</v>
      </c>
      <c r="J1156" t="s">
        <v>18937</v>
      </c>
      <c r="K1156">
        <v>11226</v>
      </c>
      <c r="L1156" t="s">
        <v>18958</v>
      </c>
      <c r="M1156" t="s">
        <v>18958</v>
      </c>
      <c r="N1156" t="s">
        <v>19828</v>
      </c>
      <c r="O1156" t="s">
        <v>26523</v>
      </c>
      <c r="P1156" t="s">
        <v>26563</v>
      </c>
      <c r="Q1156" t="s">
        <v>26570</v>
      </c>
      <c r="R1156" t="s">
        <v>26588</v>
      </c>
      <c r="U1156" t="s">
        <v>26604</v>
      </c>
      <c r="W1156" t="s">
        <v>533</v>
      </c>
      <c r="X1156">
        <v>1525</v>
      </c>
      <c r="Y1156" t="s">
        <v>26652</v>
      </c>
      <c r="Z1156" t="s">
        <v>26659</v>
      </c>
      <c r="AA1156" t="s">
        <v>26683</v>
      </c>
      <c r="AB1156" t="s">
        <v>27754</v>
      </c>
      <c r="AC1156">
        <v>1365086</v>
      </c>
      <c r="AD1156" t="s">
        <v>37804</v>
      </c>
      <c r="AE1156">
        <v>16</v>
      </c>
      <c r="AG1156" t="s">
        <v>19330</v>
      </c>
      <c r="AH1156">
        <v>9</v>
      </c>
      <c r="AI1156">
        <v>2</v>
      </c>
      <c r="AJ1156">
        <v>1</v>
      </c>
      <c r="AK1156">
        <v>112.56</v>
      </c>
      <c r="AN1156" t="s">
        <v>7439</v>
      </c>
      <c r="AO1156">
        <v>22984</v>
      </c>
      <c r="AU1156">
        <v>2.2</v>
      </c>
      <c r="AV1156" t="s">
        <v>46815</v>
      </c>
      <c r="AW1156" t="s">
        <v>237</v>
      </c>
    </row>
    <row r="1157" spans="1:49">
      <c r="A1157" s="1">
        <f>HYPERLINK("https://lsnyc.legalserver.org/matter/dynamic-profile/view/1863554","18-1863554")</f>
        <v>0</v>
      </c>
      <c r="B1157" t="s">
        <v>77</v>
      </c>
      <c r="C1157" t="s">
        <v>341</v>
      </c>
      <c r="D1157" t="s">
        <v>536</v>
      </c>
      <c r="E1157" t="s">
        <v>670</v>
      </c>
      <c r="F1157" t="s">
        <v>886</v>
      </c>
      <c r="G1157" t="s">
        <v>989</v>
      </c>
      <c r="H1157" t="s">
        <v>10615</v>
      </c>
      <c r="I1157" t="s">
        <v>17347</v>
      </c>
      <c r="J1157" t="s">
        <v>18893</v>
      </c>
      <c r="K1157">
        <v>10032</v>
      </c>
      <c r="L1157" t="s">
        <v>18958</v>
      </c>
      <c r="M1157" t="s">
        <v>18960</v>
      </c>
      <c r="N1157" t="s">
        <v>19829</v>
      </c>
      <c r="O1157" t="s">
        <v>26524</v>
      </c>
      <c r="P1157" t="s">
        <v>26564</v>
      </c>
      <c r="Q1157" t="s">
        <v>26570</v>
      </c>
      <c r="R1157" t="s">
        <v>26582</v>
      </c>
      <c r="S1157" t="s">
        <v>18959</v>
      </c>
      <c r="U1157" t="s">
        <v>26604</v>
      </c>
      <c r="W1157" t="s">
        <v>533</v>
      </c>
      <c r="X1157">
        <v>1233</v>
      </c>
      <c r="Y1157" t="s">
        <v>26651</v>
      </c>
      <c r="Z1157" t="s">
        <v>26664</v>
      </c>
      <c r="AA1157" t="s">
        <v>26683</v>
      </c>
      <c r="AB1157" t="s">
        <v>27755</v>
      </c>
      <c r="AD1157" t="s">
        <v>37805</v>
      </c>
      <c r="AE1157">
        <v>48</v>
      </c>
      <c r="AF1157" t="s">
        <v>20460</v>
      </c>
      <c r="AG1157" t="s">
        <v>19330</v>
      </c>
      <c r="AH1157">
        <v>40</v>
      </c>
      <c r="AI1157">
        <v>3</v>
      </c>
      <c r="AJ1157">
        <v>0</v>
      </c>
      <c r="AK1157">
        <v>196.34</v>
      </c>
      <c r="AN1157" t="s">
        <v>7439</v>
      </c>
      <c r="AO1157">
        <v>40800</v>
      </c>
      <c r="AU1157">
        <v>3.3</v>
      </c>
      <c r="AV1157" t="s">
        <v>534</v>
      </c>
      <c r="AW1157" t="s">
        <v>314</v>
      </c>
    </row>
    <row r="1158" spans="1:49">
      <c r="A1158" s="1">
        <f>HYPERLINK("https://lsnyc.legalserver.org/matter/dynamic-profile/view/1874258","18-1874258")</f>
        <v>0</v>
      </c>
      <c r="B1158" t="s">
        <v>57</v>
      </c>
      <c r="C1158" t="s">
        <v>340</v>
      </c>
      <c r="D1158" t="s">
        <v>497</v>
      </c>
      <c r="F1158" t="s">
        <v>1232</v>
      </c>
      <c r="G1158" t="s">
        <v>1203</v>
      </c>
      <c r="H1158" t="s">
        <v>10616</v>
      </c>
      <c r="I1158" t="s">
        <v>17603</v>
      </c>
      <c r="J1158" t="s">
        <v>18892</v>
      </c>
      <c r="K1158">
        <v>10457</v>
      </c>
      <c r="L1158" t="s">
        <v>18958</v>
      </c>
      <c r="M1158" t="s">
        <v>18958</v>
      </c>
      <c r="N1158" t="s">
        <v>19830</v>
      </c>
      <c r="O1158" t="s">
        <v>26523</v>
      </c>
      <c r="P1158" t="s">
        <v>26560</v>
      </c>
      <c r="R1158" t="s">
        <v>26579</v>
      </c>
      <c r="S1158" t="s">
        <v>18959</v>
      </c>
      <c r="U1158" t="s">
        <v>26604</v>
      </c>
      <c r="V1158" t="s">
        <v>26610</v>
      </c>
      <c r="W1158" t="s">
        <v>533</v>
      </c>
      <c r="X1158">
        <v>1350</v>
      </c>
      <c r="Y1158" t="s">
        <v>26650</v>
      </c>
      <c r="Z1158" t="s">
        <v>26664</v>
      </c>
      <c r="AB1158" t="s">
        <v>27756</v>
      </c>
      <c r="AC1158" t="s">
        <v>34842</v>
      </c>
      <c r="AD1158" t="s">
        <v>37806</v>
      </c>
      <c r="AE1158">
        <v>152</v>
      </c>
      <c r="AF1158" t="s">
        <v>45541</v>
      </c>
      <c r="AG1158" t="s">
        <v>45556</v>
      </c>
      <c r="AH1158">
        <v>19</v>
      </c>
      <c r="AI1158">
        <v>2</v>
      </c>
      <c r="AJ1158">
        <v>0</v>
      </c>
      <c r="AK1158">
        <v>47.53</v>
      </c>
      <c r="AN1158" t="s">
        <v>7439</v>
      </c>
      <c r="AO1158">
        <v>7824</v>
      </c>
      <c r="AQ1158" t="s">
        <v>46362</v>
      </c>
      <c r="AR1158" t="s">
        <v>46428</v>
      </c>
      <c r="AS1158" t="s">
        <v>46499</v>
      </c>
      <c r="AU1158">
        <v>13.9</v>
      </c>
      <c r="AV1158" t="s">
        <v>703</v>
      </c>
      <c r="AW1158" t="s">
        <v>46837</v>
      </c>
    </row>
    <row r="1159" spans="1:49">
      <c r="A1159" s="1">
        <f>HYPERLINK("https://lsnyc.legalserver.org/matter/dynamic-profile/view/1874510","18-1874510")</f>
        <v>0</v>
      </c>
      <c r="B1159" t="s">
        <v>56</v>
      </c>
      <c r="C1159" t="s">
        <v>341</v>
      </c>
      <c r="D1159" t="s">
        <v>498</v>
      </c>
      <c r="E1159" t="s">
        <v>802</v>
      </c>
      <c r="F1159" t="s">
        <v>1562</v>
      </c>
      <c r="G1159" t="s">
        <v>5740</v>
      </c>
      <c r="H1159" t="s">
        <v>10617</v>
      </c>
      <c r="I1159">
        <v>16</v>
      </c>
      <c r="J1159" t="s">
        <v>18892</v>
      </c>
      <c r="K1159">
        <v>10467</v>
      </c>
      <c r="L1159" t="s">
        <v>18958</v>
      </c>
      <c r="M1159" t="s">
        <v>18958</v>
      </c>
      <c r="N1159" t="s">
        <v>19831</v>
      </c>
      <c r="O1159" t="s">
        <v>26523</v>
      </c>
      <c r="P1159" t="s">
        <v>26560</v>
      </c>
      <c r="Q1159" t="s">
        <v>26568</v>
      </c>
      <c r="R1159" t="s">
        <v>26579</v>
      </c>
      <c r="S1159" t="s">
        <v>18959</v>
      </c>
      <c r="U1159" t="s">
        <v>26604</v>
      </c>
      <c r="V1159" t="s">
        <v>26610</v>
      </c>
      <c r="W1159" t="s">
        <v>533</v>
      </c>
      <c r="X1159">
        <v>1375</v>
      </c>
      <c r="Y1159" t="s">
        <v>26650</v>
      </c>
      <c r="Z1159" t="s">
        <v>26659</v>
      </c>
      <c r="AA1159" t="s">
        <v>26678</v>
      </c>
      <c r="AB1159" t="s">
        <v>27757</v>
      </c>
      <c r="AD1159" t="s">
        <v>37807</v>
      </c>
      <c r="AE1159">
        <v>0</v>
      </c>
      <c r="AF1159" t="s">
        <v>45541</v>
      </c>
      <c r="AG1159" t="s">
        <v>19330</v>
      </c>
      <c r="AH1159">
        <v>4</v>
      </c>
      <c r="AI1159">
        <v>1</v>
      </c>
      <c r="AJ1159">
        <v>2</v>
      </c>
      <c r="AK1159">
        <v>47.26</v>
      </c>
      <c r="AN1159" t="s">
        <v>7439</v>
      </c>
      <c r="AO1159">
        <v>9820</v>
      </c>
      <c r="AS1159" t="s">
        <v>46499</v>
      </c>
      <c r="AT1159" t="s">
        <v>46655</v>
      </c>
      <c r="AU1159">
        <v>20.75</v>
      </c>
      <c r="AV1159" t="s">
        <v>603</v>
      </c>
      <c r="AW1159" t="s">
        <v>46836</v>
      </c>
    </row>
    <row r="1160" spans="1:49">
      <c r="A1160" s="1">
        <f>HYPERLINK("https://lsnyc.legalserver.org/matter/dynamic-profile/view/1875723","18-1875723")</f>
        <v>0</v>
      </c>
      <c r="B1160" t="s">
        <v>163</v>
      </c>
      <c r="C1160" t="s">
        <v>341</v>
      </c>
      <c r="D1160" t="s">
        <v>533</v>
      </c>
      <c r="E1160" t="s">
        <v>726</v>
      </c>
      <c r="F1160" t="s">
        <v>1510</v>
      </c>
      <c r="G1160" t="s">
        <v>5818</v>
      </c>
      <c r="H1160" t="s">
        <v>10618</v>
      </c>
      <c r="I1160" t="s">
        <v>17333</v>
      </c>
      <c r="J1160" t="s">
        <v>18906</v>
      </c>
      <c r="K1160">
        <v>11373</v>
      </c>
      <c r="L1160" t="s">
        <v>18958</v>
      </c>
      <c r="M1160" t="s">
        <v>18958</v>
      </c>
      <c r="N1160" t="s">
        <v>19832</v>
      </c>
      <c r="O1160" t="s">
        <v>26524</v>
      </c>
      <c r="P1160" t="s">
        <v>26560</v>
      </c>
      <c r="Q1160" t="s">
        <v>26568</v>
      </c>
      <c r="R1160" t="s">
        <v>26585</v>
      </c>
      <c r="S1160" t="s">
        <v>18959</v>
      </c>
      <c r="U1160" t="s">
        <v>26604</v>
      </c>
      <c r="V1160" t="s">
        <v>26610</v>
      </c>
      <c r="W1160" t="s">
        <v>533</v>
      </c>
      <c r="X1160">
        <v>640</v>
      </c>
      <c r="Y1160" t="s">
        <v>26653</v>
      </c>
      <c r="Z1160" t="s">
        <v>26663</v>
      </c>
      <c r="AA1160" t="s">
        <v>26679</v>
      </c>
      <c r="AB1160" t="s">
        <v>27758</v>
      </c>
      <c r="AC1160" t="s">
        <v>19045</v>
      </c>
      <c r="AD1160" t="s">
        <v>37808</v>
      </c>
      <c r="AE1160">
        <v>3</v>
      </c>
      <c r="AF1160" t="s">
        <v>45547</v>
      </c>
      <c r="AG1160" t="s">
        <v>19330</v>
      </c>
      <c r="AH1160">
        <v>1</v>
      </c>
      <c r="AI1160">
        <v>2</v>
      </c>
      <c r="AJ1160">
        <v>0</v>
      </c>
      <c r="AK1160">
        <v>109.36</v>
      </c>
      <c r="AN1160" t="s">
        <v>45594</v>
      </c>
      <c r="AO1160">
        <v>18000</v>
      </c>
      <c r="AQ1160" t="s">
        <v>46362</v>
      </c>
      <c r="AR1160" t="s">
        <v>46379</v>
      </c>
      <c r="AS1160" t="s">
        <v>46500</v>
      </c>
      <c r="AT1160" t="s">
        <v>46645</v>
      </c>
      <c r="AU1160">
        <v>12.9</v>
      </c>
      <c r="AV1160" t="s">
        <v>726</v>
      </c>
      <c r="AW1160" t="s">
        <v>163</v>
      </c>
    </row>
    <row r="1161" spans="1:49">
      <c r="A1161" s="1">
        <f>HYPERLINK("https://lsnyc.legalserver.org/matter/dynamic-profile/view/1875781","18-1875781")</f>
        <v>0</v>
      </c>
      <c r="B1161" t="s">
        <v>156</v>
      </c>
      <c r="C1161" t="s">
        <v>341</v>
      </c>
      <c r="D1161" t="s">
        <v>533</v>
      </c>
      <c r="E1161" t="s">
        <v>699</v>
      </c>
      <c r="F1161" t="s">
        <v>886</v>
      </c>
      <c r="G1161" t="s">
        <v>5819</v>
      </c>
      <c r="H1161" t="s">
        <v>10619</v>
      </c>
      <c r="I1161" t="s">
        <v>17600</v>
      </c>
      <c r="J1161" t="s">
        <v>18893</v>
      </c>
      <c r="K1161">
        <v>10009</v>
      </c>
      <c r="L1161" t="s">
        <v>18958</v>
      </c>
      <c r="M1161" t="s">
        <v>18958</v>
      </c>
      <c r="N1161" t="s">
        <v>19833</v>
      </c>
      <c r="O1161" t="s">
        <v>26524</v>
      </c>
      <c r="P1161" t="s">
        <v>26564</v>
      </c>
      <c r="Q1161" t="s">
        <v>26570</v>
      </c>
      <c r="R1161" t="s">
        <v>26582</v>
      </c>
      <c r="S1161" t="s">
        <v>18959</v>
      </c>
      <c r="U1161" t="s">
        <v>26604</v>
      </c>
      <c r="W1161" t="s">
        <v>533</v>
      </c>
      <c r="X1161">
        <v>871.5</v>
      </c>
      <c r="Y1161" t="s">
        <v>26651</v>
      </c>
      <c r="Z1161" t="s">
        <v>26664</v>
      </c>
      <c r="AA1161" t="s">
        <v>26683</v>
      </c>
      <c r="AB1161" t="s">
        <v>26951</v>
      </c>
      <c r="AC1161" t="s">
        <v>34843</v>
      </c>
      <c r="AD1161" t="s">
        <v>37809</v>
      </c>
      <c r="AE1161">
        <v>79</v>
      </c>
      <c r="AF1161" t="s">
        <v>45541</v>
      </c>
      <c r="AG1161" t="s">
        <v>19330</v>
      </c>
      <c r="AH1161">
        <v>30</v>
      </c>
      <c r="AI1161">
        <v>1</v>
      </c>
      <c r="AJ1161">
        <v>0</v>
      </c>
      <c r="AK1161">
        <v>14.83</v>
      </c>
      <c r="AN1161" t="s">
        <v>7439</v>
      </c>
      <c r="AO1161">
        <v>1800</v>
      </c>
      <c r="AU1161">
        <v>0.86</v>
      </c>
      <c r="AV1161" t="s">
        <v>524</v>
      </c>
      <c r="AW1161" t="s">
        <v>46835</v>
      </c>
    </row>
    <row r="1162" spans="1:49">
      <c r="A1162" s="1">
        <f>HYPERLINK("https://lsnyc.legalserver.org/matter/dynamic-profile/view/1875728","18-1875728")</f>
        <v>0</v>
      </c>
      <c r="B1162" t="s">
        <v>156</v>
      </c>
      <c r="C1162" t="s">
        <v>341</v>
      </c>
      <c r="D1162" t="s">
        <v>533</v>
      </c>
      <c r="E1162" t="s">
        <v>631</v>
      </c>
      <c r="F1162" t="s">
        <v>1625</v>
      </c>
      <c r="G1162" t="s">
        <v>5820</v>
      </c>
      <c r="H1162" t="s">
        <v>10620</v>
      </c>
      <c r="I1162" t="s">
        <v>17316</v>
      </c>
      <c r="J1162" t="s">
        <v>18893</v>
      </c>
      <c r="K1162">
        <v>10032</v>
      </c>
      <c r="L1162" t="s">
        <v>18958</v>
      </c>
      <c r="M1162" t="s">
        <v>18960</v>
      </c>
      <c r="N1162" t="s">
        <v>19834</v>
      </c>
      <c r="O1162" t="s">
        <v>26524</v>
      </c>
      <c r="P1162" t="s">
        <v>26564</v>
      </c>
      <c r="Q1162" t="s">
        <v>26570</v>
      </c>
      <c r="R1162" t="s">
        <v>26582</v>
      </c>
      <c r="S1162" t="s">
        <v>18959</v>
      </c>
      <c r="U1162" t="s">
        <v>26604</v>
      </c>
      <c r="W1162" t="s">
        <v>533</v>
      </c>
      <c r="X1162">
        <v>348.21</v>
      </c>
      <c r="Y1162" t="s">
        <v>26651</v>
      </c>
      <c r="Z1162" t="s">
        <v>26664</v>
      </c>
      <c r="AA1162" t="s">
        <v>26683</v>
      </c>
      <c r="AB1162" t="s">
        <v>27759</v>
      </c>
      <c r="AC1162" t="s">
        <v>34844</v>
      </c>
      <c r="AD1162" t="s">
        <v>37810</v>
      </c>
      <c r="AE1162">
        <v>15</v>
      </c>
      <c r="AF1162" t="s">
        <v>45554</v>
      </c>
      <c r="AG1162" t="s">
        <v>19330</v>
      </c>
      <c r="AH1162">
        <v>8</v>
      </c>
      <c r="AI1162">
        <v>2</v>
      </c>
      <c r="AJ1162">
        <v>1</v>
      </c>
      <c r="AK1162">
        <v>53.63</v>
      </c>
      <c r="AN1162" t="s">
        <v>7439</v>
      </c>
      <c r="AO1162">
        <v>11144</v>
      </c>
      <c r="AU1162">
        <v>1.3</v>
      </c>
      <c r="AV1162" t="s">
        <v>631</v>
      </c>
      <c r="AW1162" t="s">
        <v>46835</v>
      </c>
    </row>
    <row r="1163" spans="1:49">
      <c r="A1163" s="1">
        <f>HYPERLINK("https://lsnyc.legalserver.org/matter/dynamic-profile/view/1875787","18-1875787")</f>
        <v>0</v>
      </c>
      <c r="B1163" t="s">
        <v>156</v>
      </c>
      <c r="C1163" t="s">
        <v>341</v>
      </c>
      <c r="D1163" t="s">
        <v>533</v>
      </c>
      <c r="E1163" t="s">
        <v>699</v>
      </c>
      <c r="F1163" t="s">
        <v>1417</v>
      </c>
      <c r="G1163" t="s">
        <v>5821</v>
      </c>
      <c r="H1163" t="s">
        <v>10621</v>
      </c>
      <c r="I1163" t="s">
        <v>17347</v>
      </c>
      <c r="J1163" t="s">
        <v>18893</v>
      </c>
      <c r="K1163">
        <v>10021</v>
      </c>
      <c r="L1163" t="s">
        <v>18958</v>
      </c>
      <c r="M1163" t="s">
        <v>18960</v>
      </c>
      <c r="N1163" t="s">
        <v>19835</v>
      </c>
      <c r="O1163" t="s">
        <v>26524</v>
      </c>
      <c r="P1163" t="s">
        <v>26564</v>
      </c>
      <c r="Q1163" t="s">
        <v>26570</v>
      </c>
      <c r="R1163" t="s">
        <v>26582</v>
      </c>
      <c r="S1163" t="s">
        <v>18959</v>
      </c>
      <c r="U1163" t="s">
        <v>26604</v>
      </c>
      <c r="W1163" t="s">
        <v>533</v>
      </c>
      <c r="X1163">
        <v>2043.07</v>
      </c>
      <c r="Y1163" t="s">
        <v>26651</v>
      </c>
      <c r="Z1163" t="s">
        <v>26664</v>
      </c>
      <c r="AA1163" t="s">
        <v>26683</v>
      </c>
      <c r="AB1163" t="s">
        <v>27760</v>
      </c>
      <c r="AC1163" t="s">
        <v>34845</v>
      </c>
      <c r="AD1163" t="s">
        <v>37811</v>
      </c>
      <c r="AE1163">
        <v>42</v>
      </c>
      <c r="AF1163" t="s">
        <v>45541</v>
      </c>
      <c r="AG1163" t="s">
        <v>45559</v>
      </c>
      <c r="AH1163">
        <v>0</v>
      </c>
      <c r="AI1163">
        <v>1</v>
      </c>
      <c r="AJ1163">
        <v>0</v>
      </c>
      <c r="AK1163">
        <v>81.05</v>
      </c>
      <c r="AN1163" t="s">
        <v>7439</v>
      </c>
      <c r="AO1163">
        <v>9840</v>
      </c>
      <c r="AU1163">
        <v>1.9</v>
      </c>
      <c r="AV1163" t="s">
        <v>493</v>
      </c>
      <c r="AW1163" t="s">
        <v>46835</v>
      </c>
    </row>
    <row r="1164" spans="1:49">
      <c r="A1164" s="1">
        <f>HYPERLINK("https://lsnyc.legalserver.org/matter/dynamic-profile/view/1875770","18-1875770")</f>
        <v>0</v>
      </c>
      <c r="B1164" t="s">
        <v>108</v>
      </c>
      <c r="C1164" t="s">
        <v>341</v>
      </c>
      <c r="D1164" t="s">
        <v>533</v>
      </c>
      <c r="E1164" t="s">
        <v>494</v>
      </c>
      <c r="F1164" t="s">
        <v>1626</v>
      </c>
      <c r="G1164" t="s">
        <v>5822</v>
      </c>
      <c r="H1164" t="s">
        <v>10622</v>
      </c>
      <c r="I1164" t="s">
        <v>17604</v>
      </c>
      <c r="J1164" t="s">
        <v>7026</v>
      </c>
      <c r="K1164">
        <v>11368</v>
      </c>
      <c r="L1164" t="s">
        <v>18958</v>
      </c>
      <c r="M1164" t="s">
        <v>18958</v>
      </c>
      <c r="N1164" t="s">
        <v>19836</v>
      </c>
      <c r="O1164" t="s">
        <v>26523</v>
      </c>
      <c r="P1164" t="s">
        <v>26564</v>
      </c>
      <c r="Q1164" t="s">
        <v>26570</v>
      </c>
      <c r="R1164" t="s">
        <v>26591</v>
      </c>
      <c r="S1164" t="s">
        <v>18959</v>
      </c>
      <c r="U1164" t="s">
        <v>26604</v>
      </c>
      <c r="V1164" t="s">
        <v>26610</v>
      </c>
      <c r="W1164" t="s">
        <v>533</v>
      </c>
      <c r="X1164">
        <v>2230</v>
      </c>
      <c r="Y1164" t="s">
        <v>26653</v>
      </c>
      <c r="Z1164" t="s">
        <v>26664</v>
      </c>
      <c r="AA1164" t="s">
        <v>26683</v>
      </c>
      <c r="AB1164" t="s">
        <v>27761</v>
      </c>
      <c r="AC1164" t="s">
        <v>34846</v>
      </c>
      <c r="AD1164" t="s">
        <v>37812</v>
      </c>
      <c r="AE1164">
        <v>255</v>
      </c>
      <c r="AF1164" t="s">
        <v>45550</v>
      </c>
      <c r="AG1164" t="s">
        <v>19330</v>
      </c>
      <c r="AH1164">
        <v>6</v>
      </c>
      <c r="AI1164">
        <v>2</v>
      </c>
      <c r="AJ1164">
        <v>0</v>
      </c>
      <c r="AK1164">
        <v>81.87</v>
      </c>
      <c r="AN1164" t="s">
        <v>7439</v>
      </c>
      <c r="AO1164">
        <v>13475</v>
      </c>
      <c r="AU1164">
        <v>0.5</v>
      </c>
      <c r="AV1164" t="s">
        <v>533</v>
      </c>
      <c r="AW1164" t="s">
        <v>208</v>
      </c>
    </row>
    <row r="1165" spans="1:49">
      <c r="A1165" s="1">
        <f>HYPERLINK("https://lsnyc.legalserver.org/matter/dynamic-profile/view/1875794","18-1875794")</f>
        <v>0</v>
      </c>
      <c r="B1165" t="s">
        <v>108</v>
      </c>
      <c r="C1165" t="s">
        <v>341</v>
      </c>
      <c r="D1165" t="s">
        <v>533</v>
      </c>
      <c r="E1165" t="s">
        <v>662</v>
      </c>
      <c r="F1165" t="s">
        <v>1627</v>
      </c>
      <c r="G1165" t="s">
        <v>5823</v>
      </c>
      <c r="H1165" t="s">
        <v>10623</v>
      </c>
      <c r="I1165" t="s">
        <v>17309</v>
      </c>
      <c r="J1165" t="s">
        <v>18906</v>
      </c>
      <c r="K1165">
        <v>11373</v>
      </c>
      <c r="L1165" t="s">
        <v>18958</v>
      </c>
      <c r="M1165" t="s">
        <v>18958</v>
      </c>
      <c r="N1165" t="s">
        <v>19837</v>
      </c>
      <c r="O1165" t="s">
        <v>26524</v>
      </c>
      <c r="P1165" t="s">
        <v>26564</v>
      </c>
      <c r="Q1165" t="s">
        <v>26570</v>
      </c>
      <c r="R1165" t="s">
        <v>26583</v>
      </c>
      <c r="S1165" t="s">
        <v>18959</v>
      </c>
      <c r="U1165" t="s">
        <v>26604</v>
      </c>
      <c r="V1165" t="s">
        <v>26611</v>
      </c>
      <c r="W1165" t="s">
        <v>533</v>
      </c>
      <c r="X1165">
        <v>1000</v>
      </c>
      <c r="Y1165" t="s">
        <v>26653</v>
      </c>
      <c r="Z1165" t="s">
        <v>26664</v>
      </c>
      <c r="AA1165" t="s">
        <v>26683</v>
      </c>
      <c r="AB1165" t="s">
        <v>27745</v>
      </c>
      <c r="AD1165" t="s">
        <v>37813</v>
      </c>
      <c r="AE1165">
        <v>3</v>
      </c>
      <c r="AF1165" t="s">
        <v>45547</v>
      </c>
      <c r="AG1165" t="s">
        <v>19330</v>
      </c>
      <c r="AH1165">
        <v>2</v>
      </c>
      <c r="AI1165">
        <v>1</v>
      </c>
      <c r="AJ1165">
        <v>0</v>
      </c>
      <c r="AK1165">
        <v>0</v>
      </c>
      <c r="AN1165" t="s">
        <v>7439</v>
      </c>
      <c r="AO1165">
        <v>0</v>
      </c>
      <c r="AU1165">
        <v>1.45</v>
      </c>
      <c r="AV1165" t="s">
        <v>441</v>
      </c>
      <c r="AW1165" t="s">
        <v>208</v>
      </c>
    </row>
    <row r="1166" spans="1:49">
      <c r="A1166" s="1">
        <f>HYPERLINK("https://lsnyc.legalserver.org/matter/dynamic-profile/view/1875748","18-1875748")</f>
        <v>0</v>
      </c>
      <c r="B1166" t="s">
        <v>108</v>
      </c>
      <c r="C1166" t="s">
        <v>341</v>
      </c>
      <c r="D1166" t="s">
        <v>533</v>
      </c>
      <c r="E1166" t="s">
        <v>531</v>
      </c>
      <c r="F1166" t="s">
        <v>1628</v>
      </c>
      <c r="G1166" t="s">
        <v>5147</v>
      </c>
      <c r="H1166" t="s">
        <v>10624</v>
      </c>
      <c r="J1166" t="s">
        <v>18913</v>
      </c>
      <c r="K1166">
        <v>11102</v>
      </c>
      <c r="L1166" t="s">
        <v>18958</v>
      </c>
      <c r="M1166" t="s">
        <v>18958</v>
      </c>
      <c r="N1166" t="s">
        <v>19838</v>
      </c>
      <c r="O1166" t="s">
        <v>26524</v>
      </c>
      <c r="P1166" t="s">
        <v>26564</v>
      </c>
      <c r="Q1166" t="s">
        <v>26570</v>
      </c>
      <c r="R1166" t="s">
        <v>26584</v>
      </c>
      <c r="S1166" t="s">
        <v>18959</v>
      </c>
      <c r="U1166" t="s">
        <v>26604</v>
      </c>
      <c r="V1166" t="s">
        <v>26610</v>
      </c>
      <c r="W1166" t="s">
        <v>533</v>
      </c>
      <c r="X1166">
        <v>600</v>
      </c>
      <c r="Y1166" t="s">
        <v>26653</v>
      </c>
      <c r="Z1166" t="s">
        <v>26664</v>
      </c>
      <c r="AA1166" t="s">
        <v>26683</v>
      </c>
      <c r="AB1166" t="s">
        <v>27719</v>
      </c>
      <c r="AC1166" t="s">
        <v>34847</v>
      </c>
      <c r="AD1166" t="s">
        <v>37814</v>
      </c>
      <c r="AE1166">
        <v>6</v>
      </c>
      <c r="AG1166" t="s">
        <v>19330</v>
      </c>
      <c r="AH1166">
        <v>33</v>
      </c>
      <c r="AI1166">
        <v>2</v>
      </c>
      <c r="AJ1166">
        <v>0</v>
      </c>
      <c r="AK1166">
        <v>0</v>
      </c>
      <c r="AN1166" t="s">
        <v>7439</v>
      </c>
      <c r="AO1166">
        <v>0</v>
      </c>
      <c r="AU1166">
        <v>1</v>
      </c>
      <c r="AV1166" t="s">
        <v>545</v>
      </c>
      <c r="AW1166" t="s">
        <v>208</v>
      </c>
    </row>
    <row r="1167" spans="1:49">
      <c r="A1167" s="1">
        <f>HYPERLINK("https://lsnyc.legalserver.org/matter/dynamic-profile/view/1875756","18-1875756")</f>
        <v>0</v>
      </c>
      <c r="B1167" t="s">
        <v>116</v>
      </c>
      <c r="C1167" t="s">
        <v>341</v>
      </c>
      <c r="D1167" t="s">
        <v>533</v>
      </c>
      <c r="E1167" t="s">
        <v>665</v>
      </c>
      <c r="F1167" t="s">
        <v>1629</v>
      </c>
      <c r="G1167" t="s">
        <v>5265</v>
      </c>
      <c r="H1167" t="s">
        <v>10625</v>
      </c>
      <c r="I1167">
        <v>5</v>
      </c>
      <c r="J1167" t="s">
        <v>18894</v>
      </c>
      <c r="K1167">
        <v>11207</v>
      </c>
      <c r="L1167" t="s">
        <v>18958</v>
      </c>
      <c r="M1167" t="s">
        <v>18958</v>
      </c>
      <c r="O1167" t="s">
        <v>26526</v>
      </c>
      <c r="P1167" t="s">
        <v>26565</v>
      </c>
      <c r="Q1167" t="s">
        <v>26571</v>
      </c>
      <c r="R1167" t="s">
        <v>26578</v>
      </c>
      <c r="S1167" t="s">
        <v>18959</v>
      </c>
      <c r="U1167" t="s">
        <v>26604</v>
      </c>
      <c r="V1167" t="s">
        <v>26610</v>
      </c>
      <c r="W1167" t="s">
        <v>533</v>
      </c>
      <c r="X1167">
        <v>1000</v>
      </c>
      <c r="Y1167" t="s">
        <v>26652</v>
      </c>
      <c r="Z1167" t="s">
        <v>26663</v>
      </c>
      <c r="AA1167" t="s">
        <v>26689</v>
      </c>
      <c r="AB1167" t="s">
        <v>27762</v>
      </c>
      <c r="AC1167" t="s">
        <v>34848</v>
      </c>
      <c r="AD1167" t="s">
        <v>37815</v>
      </c>
      <c r="AE1167">
        <v>6</v>
      </c>
      <c r="AF1167" t="s">
        <v>45541</v>
      </c>
      <c r="AG1167" t="s">
        <v>45557</v>
      </c>
      <c r="AH1167">
        <v>11</v>
      </c>
      <c r="AI1167">
        <v>1</v>
      </c>
      <c r="AJ1167">
        <v>3</v>
      </c>
      <c r="AK1167">
        <v>28.72</v>
      </c>
      <c r="AN1167" t="s">
        <v>45581</v>
      </c>
      <c r="AO1167">
        <v>7209</v>
      </c>
      <c r="AU1167">
        <v>1.7</v>
      </c>
      <c r="AV1167" t="s">
        <v>413</v>
      </c>
      <c r="AW1167" t="s">
        <v>116</v>
      </c>
    </row>
    <row r="1168" spans="1:49">
      <c r="A1168" s="1">
        <f>HYPERLINK("https://lsnyc.legalserver.org/matter/dynamic-profile/view/1875691","18-1875691")</f>
        <v>0</v>
      </c>
      <c r="B1168" t="s">
        <v>74</v>
      </c>
      <c r="C1168" t="s">
        <v>341</v>
      </c>
      <c r="D1168" t="s">
        <v>533</v>
      </c>
      <c r="E1168" t="s">
        <v>695</v>
      </c>
      <c r="F1168" t="s">
        <v>1026</v>
      </c>
      <c r="G1168" t="s">
        <v>5824</v>
      </c>
      <c r="H1168" t="s">
        <v>10626</v>
      </c>
      <c r="I1168" t="s">
        <v>17569</v>
      </c>
      <c r="J1168" t="s">
        <v>18893</v>
      </c>
      <c r="K1168">
        <v>10040</v>
      </c>
      <c r="L1168" t="s">
        <v>18958</v>
      </c>
      <c r="M1168" t="s">
        <v>18958</v>
      </c>
      <c r="N1168" t="s">
        <v>19839</v>
      </c>
      <c r="O1168" t="s">
        <v>26523</v>
      </c>
      <c r="P1168" t="s">
        <v>26560</v>
      </c>
      <c r="Q1168" t="s">
        <v>26568</v>
      </c>
      <c r="R1168" t="s">
        <v>26578</v>
      </c>
      <c r="S1168" t="s">
        <v>18959</v>
      </c>
      <c r="U1168" t="s">
        <v>26604</v>
      </c>
      <c r="W1168" t="s">
        <v>533</v>
      </c>
      <c r="X1168">
        <v>874.96</v>
      </c>
      <c r="Y1168" t="s">
        <v>26651</v>
      </c>
      <c r="Z1168" t="s">
        <v>26661</v>
      </c>
      <c r="AA1168" t="s">
        <v>26678</v>
      </c>
      <c r="AB1168" t="s">
        <v>27763</v>
      </c>
      <c r="AD1168" t="s">
        <v>37816</v>
      </c>
      <c r="AE1168">
        <v>116</v>
      </c>
      <c r="AF1168" t="s">
        <v>45541</v>
      </c>
      <c r="AG1168" t="s">
        <v>45559</v>
      </c>
      <c r="AH1168">
        <v>47</v>
      </c>
      <c r="AI1168">
        <v>1</v>
      </c>
      <c r="AJ1168">
        <v>0</v>
      </c>
      <c r="AK1168">
        <v>202.64</v>
      </c>
      <c r="AL1168" t="s">
        <v>614</v>
      </c>
      <c r="AM1168" t="s">
        <v>45575</v>
      </c>
      <c r="AN1168" t="s">
        <v>7439</v>
      </c>
      <c r="AO1168">
        <v>24600</v>
      </c>
      <c r="AU1168">
        <v>33</v>
      </c>
      <c r="AV1168" t="s">
        <v>800</v>
      </c>
      <c r="AW1168" t="s">
        <v>46840</v>
      </c>
    </row>
    <row r="1169" spans="1:50">
      <c r="A1169" s="1">
        <f>HYPERLINK("https://lsnyc.legalserver.org/matter/dynamic-profile/view/1875714","18-1875714")</f>
        <v>0</v>
      </c>
      <c r="B1169" t="s">
        <v>214</v>
      </c>
      <c r="C1169" t="s">
        <v>341</v>
      </c>
      <c r="D1169" t="s">
        <v>533</v>
      </c>
      <c r="E1169" t="s">
        <v>533</v>
      </c>
      <c r="F1169" t="s">
        <v>1009</v>
      </c>
      <c r="G1169" t="s">
        <v>5825</v>
      </c>
      <c r="H1169" t="s">
        <v>10627</v>
      </c>
      <c r="I1169" t="s">
        <v>17277</v>
      </c>
      <c r="J1169" t="s">
        <v>18915</v>
      </c>
      <c r="K1169">
        <v>11372</v>
      </c>
      <c r="L1169" t="s">
        <v>18958</v>
      </c>
      <c r="M1169" t="s">
        <v>18958</v>
      </c>
      <c r="N1169" t="s">
        <v>19840</v>
      </c>
      <c r="O1169" t="s">
        <v>18997</v>
      </c>
      <c r="P1169" t="s">
        <v>26564</v>
      </c>
      <c r="Q1169" t="s">
        <v>26570</v>
      </c>
      <c r="R1169" t="s">
        <v>26589</v>
      </c>
      <c r="S1169" t="s">
        <v>18959</v>
      </c>
      <c r="U1169" t="s">
        <v>26604</v>
      </c>
      <c r="V1169" t="s">
        <v>26610</v>
      </c>
      <c r="W1169" t="s">
        <v>533</v>
      </c>
      <c r="X1169">
        <v>1117.52</v>
      </c>
      <c r="Y1169" t="s">
        <v>26653</v>
      </c>
      <c r="Z1169" t="s">
        <v>26671</v>
      </c>
      <c r="AA1169" t="s">
        <v>26683</v>
      </c>
      <c r="AB1169" t="s">
        <v>27764</v>
      </c>
      <c r="AC1169" t="s">
        <v>19045</v>
      </c>
      <c r="AD1169" t="s">
        <v>34738</v>
      </c>
      <c r="AE1169">
        <v>20</v>
      </c>
      <c r="AF1169" t="s">
        <v>45547</v>
      </c>
      <c r="AG1169" t="s">
        <v>19330</v>
      </c>
      <c r="AH1169">
        <v>1</v>
      </c>
      <c r="AI1169">
        <v>1</v>
      </c>
      <c r="AJ1169">
        <v>1</v>
      </c>
      <c r="AK1169">
        <v>164.28</v>
      </c>
      <c r="AL1169" t="s">
        <v>45567</v>
      </c>
      <c r="AM1169" t="s">
        <v>45577</v>
      </c>
      <c r="AN1169" t="s">
        <v>45581</v>
      </c>
      <c r="AO1169">
        <v>27040</v>
      </c>
      <c r="AU1169">
        <v>1.9</v>
      </c>
      <c r="AV1169" t="s">
        <v>533</v>
      </c>
      <c r="AW1169" t="s">
        <v>214</v>
      </c>
    </row>
    <row r="1170" spans="1:50">
      <c r="A1170" s="1">
        <f>HYPERLINK("https://lsnyc.legalserver.org/matter/dynamic-profile/view/1875711","18-1875711")</f>
        <v>0</v>
      </c>
      <c r="B1170" t="s">
        <v>110</v>
      </c>
      <c r="C1170" t="s">
        <v>341</v>
      </c>
      <c r="D1170" t="s">
        <v>533</v>
      </c>
      <c r="E1170" t="s">
        <v>705</v>
      </c>
      <c r="F1170" t="s">
        <v>1630</v>
      </c>
      <c r="G1170" t="s">
        <v>5285</v>
      </c>
      <c r="H1170" t="s">
        <v>10628</v>
      </c>
      <c r="I1170">
        <v>2</v>
      </c>
      <c r="J1170" t="s">
        <v>18904</v>
      </c>
      <c r="K1170">
        <v>11421</v>
      </c>
      <c r="L1170" t="s">
        <v>18958</v>
      </c>
      <c r="M1170" t="s">
        <v>18958</v>
      </c>
      <c r="N1170" t="s">
        <v>19841</v>
      </c>
      <c r="O1170" t="s">
        <v>26524</v>
      </c>
      <c r="P1170" t="s">
        <v>26564</v>
      </c>
      <c r="Q1170" t="s">
        <v>26570</v>
      </c>
      <c r="R1170" t="s">
        <v>26591</v>
      </c>
      <c r="S1170" t="s">
        <v>18959</v>
      </c>
      <c r="U1170" t="s">
        <v>26604</v>
      </c>
      <c r="V1170" t="s">
        <v>26610</v>
      </c>
      <c r="W1170" t="s">
        <v>533</v>
      </c>
      <c r="X1170">
        <v>1600</v>
      </c>
      <c r="Y1170" t="s">
        <v>26653</v>
      </c>
      <c r="Z1170" t="s">
        <v>26664</v>
      </c>
      <c r="AA1170" t="s">
        <v>26683</v>
      </c>
      <c r="AB1170" t="s">
        <v>27765</v>
      </c>
      <c r="AD1170" t="s">
        <v>37817</v>
      </c>
      <c r="AE1170">
        <v>3</v>
      </c>
      <c r="AF1170" t="s">
        <v>45547</v>
      </c>
      <c r="AG1170" t="s">
        <v>19330</v>
      </c>
      <c r="AH1170">
        <v>13</v>
      </c>
      <c r="AI1170">
        <v>2</v>
      </c>
      <c r="AJ1170">
        <v>1</v>
      </c>
      <c r="AK1170">
        <v>110.68</v>
      </c>
      <c r="AO1170">
        <v>23000</v>
      </c>
      <c r="AU1170">
        <v>1.25</v>
      </c>
      <c r="AV1170" t="s">
        <v>533</v>
      </c>
      <c r="AW1170" t="s">
        <v>122</v>
      </c>
    </row>
    <row r="1171" spans="1:50">
      <c r="A1171" s="1">
        <f>HYPERLINK("https://lsnyc.legalserver.org/matter/dynamic-profile/view/1875747","18-1875747")</f>
        <v>0</v>
      </c>
      <c r="B1171" t="s">
        <v>161</v>
      </c>
      <c r="C1171" t="s">
        <v>341</v>
      </c>
      <c r="D1171" t="s">
        <v>533</v>
      </c>
      <c r="E1171" t="s">
        <v>685</v>
      </c>
      <c r="F1171" t="s">
        <v>1631</v>
      </c>
      <c r="G1171" t="s">
        <v>5826</v>
      </c>
      <c r="H1171" t="s">
        <v>10629</v>
      </c>
      <c r="I1171" t="s">
        <v>17605</v>
      </c>
      <c r="J1171" t="s">
        <v>18933</v>
      </c>
      <c r="K1171">
        <v>11422</v>
      </c>
      <c r="L1171" t="s">
        <v>18958</v>
      </c>
      <c r="M1171" t="s">
        <v>18958</v>
      </c>
      <c r="N1171" t="s">
        <v>19842</v>
      </c>
      <c r="O1171" t="s">
        <v>26524</v>
      </c>
      <c r="P1171" t="s">
        <v>26564</v>
      </c>
      <c r="Q1171" t="s">
        <v>26570</v>
      </c>
      <c r="R1171" t="s">
        <v>26584</v>
      </c>
      <c r="S1171" t="s">
        <v>18959</v>
      </c>
      <c r="U1171" t="s">
        <v>26604</v>
      </c>
      <c r="V1171" t="s">
        <v>26610</v>
      </c>
      <c r="W1171" t="s">
        <v>533</v>
      </c>
      <c r="X1171">
        <v>800</v>
      </c>
      <c r="Y1171" t="s">
        <v>26653</v>
      </c>
      <c r="Z1171" t="s">
        <v>26664</v>
      </c>
      <c r="AA1171" t="s">
        <v>26683</v>
      </c>
      <c r="AB1171" t="s">
        <v>27766</v>
      </c>
      <c r="AC1171" t="s">
        <v>34849</v>
      </c>
      <c r="AD1171" t="s">
        <v>37818</v>
      </c>
      <c r="AE1171">
        <v>3</v>
      </c>
      <c r="AF1171" t="s">
        <v>45547</v>
      </c>
      <c r="AG1171" t="s">
        <v>45562</v>
      </c>
      <c r="AH1171">
        <v>1</v>
      </c>
      <c r="AI1171">
        <v>1</v>
      </c>
      <c r="AJ1171">
        <v>0</v>
      </c>
      <c r="AK1171">
        <v>89.56</v>
      </c>
      <c r="AN1171" t="s">
        <v>7439</v>
      </c>
      <c r="AO1171">
        <v>10872</v>
      </c>
      <c r="AU1171">
        <v>0.25</v>
      </c>
      <c r="AV1171" t="s">
        <v>441</v>
      </c>
      <c r="AW1171" t="s">
        <v>161</v>
      </c>
    </row>
    <row r="1172" spans="1:50">
      <c r="A1172" s="1">
        <f>HYPERLINK("https://lsnyc.legalserver.org/matter/dynamic-profile/view/1876242","18-1876242")</f>
        <v>0</v>
      </c>
      <c r="B1172" t="s">
        <v>187</v>
      </c>
      <c r="C1172" t="s">
        <v>341</v>
      </c>
      <c r="D1172" t="s">
        <v>533</v>
      </c>
      <c r="E1172" t="s">
        <v>784</v>
      </c>
      <c r="F1172" t="s">
        <v>1632</v>
      </c>
      <c r="G1172" t="s">
        <v>5827</v>
      </c>
      <c r="H1172" t="s">
        <v>10630</v>
      </c>
      <c r="I1172" t="s">
        <v>17347</v>
      </c>
      <c r="J1172" t="s">
        <v>18892</v>
      </c>
      <c r="K1172">
        <v>10468</v>
      </c>
      <c r="L1172" t="s">
        <v>18958</v>
      </c>
      <c r="M1172" t="s">
        <v>18958</v>
      </c>
      <c r="N1172" t="s">
        <v>19843</v>
      </c>
      <c r="O1172" t="s">
        <v>26523</v>
      </c>
      <c r="P1172" t="s">
        <v>26560</v>
      </c>
      <c r="Q1172" t="s">
        <v>26573</v>
      </c>
      <c r="R1172" t="s">
        <v>26579</v>
      </c>
      <c r="S1172" t="s">
        <v>18959</v>
      </c>
      <c r="U1172" t="s">
        <v>26604</v>
      </c>
      <c r="V1172" t="s">
        <v>26610</v>
      </c>
      <c r="W1172" t="s">
        <v>533</v>
      </c>
      <c r="X1172">
        <v>1700</v>
      </c>
      <c r="Y1172" t="s">
        <v>26650</v>
      </c>
      <c r="Z1172" t="s">
        <v>26664</v>
      </c>
      <c r="AA1172" t="s">
        <v>26680</v>
      </c>
      <c r="AB1172" t="s">
        <v>27767</v>
      </c>
      <c r="AC1172" t="s">
        <v>34850</v>
      </c>
      <c r="AE1172">
        <v>25</v>
      </c>
      <c r="AF1172" t="s">
        <v>45541</v>
      </c>
      <c r="AG1172" t="s">
        <v>19330</v>
      </c>
      <c r="AH1172">
        <v>4</v>
      </c>
      <c r="AI1172">
        <v>2</v>
      </c>
      <c r="AJ1172">
        <v>3</v>
      </c>
      <c r="AK1172">
        <v>101.97</v>
      </c>
      <c r="AN1172" t="s">
        <v>45581</v>
      </c>
      <c r="AO1172">
        <v>30000</v>
      </c>
      <c r="AQ1172" t="s">
        <v>46362</v>
      </c>
      <c r="AR1172" t="s">
        <v>46379</v>
      </c>
      <c r="AS1172" t="s">
        <v>46499</v>
      </c>
      <c r="AT1172" t="s">
        <v>46531</v>
      </c>
      <c r="AU1172">
        <v>16.1</v>
      </c>
      <c r="AV1172" t="s">
        <v>784</v>
      </c>
      <c r="AW1172" t="s">
        <v>336</v>
      </c>
      <c r="AX1172" t="s">
        <v>46897</v>
      </c>
    </row>
    <row r="1173" spans="1:50">
      <c r="A1173" s="1">
        <f>HYPERLINK("https://lsnyc.legalserver.org/matter/dynamic-profile/view/1875727","18-1875727")</f>
        <v>0</v>
      </c>
      <c r="B1173" t="s">
        <v>122</v>
      </c>
      <c r="C1173" t="s">
        <v>341</v>
      </c>
      <c r="D1173" t="s">
        <v>533</v>
      </c>
      <c r="E1173" t="s">
        <v>705</v>
      </c>
      <c r="F1173" t="s">
        <v>1191</v>
      </c>
      <c r="G1173" t="s">
        <v>5300</v>
      </c>
      <c r="H1173" t="s">
        <v>10631</v>
      </c>
      <c r="I1173" t="s">
        <v>17606</v>
      </c>
      <c r="J1173" t="s">
        <v>18908</v>
      </c>
      <c r="K1173">
        <v>11411</v>
      </c>
      <c r="L1173" t="s">
        <v>18958</v>
      </c>
      <c r="M1173" t="s">
        <v>18958</v>
      </c>
      <c r="N1173" t="s">
        <v>19844</v>
      </c>
      <c r="O1173" t="s">
        <v>26524</v>
      </c>
      <c r="P1173" t="s">
        <v>26564</v>
      </c>
      <c r="Q1173" t="s">
        <v>26570</v>
      </c>
      <c r="R1173" t="s">
        <v>26584</v>
      </c>
      <c r="S1173" t="s">
        <v>18959</v>
      </c>
      <c r="U1173" t="s">
        <v>26604</v>
      </c>
      <c r="W1173" t="s">
        <v>533</v>
      </c>
      <c r="X1173">
        <v>1800</v>
      </c>
      <c r="Y1173" t="s">
        <v>26653</v>
      </c>
      <c r="Z1173" t="s">
        <v>26664</v>
      </c>
      <c r="AA1173" t="s">
        <v>26683</v>
      </c>
      <c r="AB1173" t="s">
        <v>27768</v>
      </c>
      <c r="AC1173" t="s">
        <v>34851</v>
      </c>
      <c r="AD1173" t="s">
        <v>37819</v>
      </c>
      <c r="AE1173">
        <v>1</v>
      </c>
      <c r="AF1173" t="s">
        <v>45547</v>
      </c>
      <c r="AG1173" t="s">
        <v>19330</v>
      </c>
      <c r="AH1173">
        <v>6</v>
      </c>
      <c r="AI1173">
        <v>2</v>
      </c>
      <c r="AJ1173">
        <v>3</v>
      </c>
      <c r="AK1173">
        <v>86.73999999999999</v>
      </c>
      <c r="AO1173">
        <v>25520</v>
      </c>
      <c r="AU1173">
        <v>0.5</v>
      </c>
      <c r="AV1173" t="s">
        <v>533</v>
      </c>
      <c r="AW1173" t="s">
        <v>122</v>
      </c>
    </row>
    <row r="1174" spans="1:50">
      <c r="A1174" s="1">
        <f>HYPERLINK("https://lsnyc.legalserver.org/matter/dynamic-profile/view/1875740","18-1875740")</f>
        <v>0</v>
      </c>
      <c r="B1174" t="s">
        <v>91</v>
      </c>
      <c r="C1174" t="s">
        <v>341</v>
      </c>
      <c r="D1174" t="s">
        <v>533</v>
      </c>
      <c r="E1174" t="s">
        <v>614</v>
      </c>
      <c r="F1174" t="s">
        <v>1426</v>
      </c>
      <c r="G1174" t="s">
        <v>5275</v>
      </c>
      <c r="H1174" t="s">
        <v>10632</v>
      </c>
      <c r="I1174" t="s">
        <v>17402</v>
      </c>
      <c r="J1174" t="s">
        <v>18901</v>
      </c>
      <c r="K1174">
        <v>11433</v>
      </c>
      <c r="L1174" t="s">
        <v>18958</v>
      </c>
      <c r="M1174" t="s">
        <v>18958</v>
      </c>
      <c r="N1174" t="s">
        <v>19845</v>
      </c>
      <c r="O1174" t="s">
        <v>26524</v>
      </c>
      <c r="P1174" t="s">
        <v>26560</v>
      </c>
      <c r="Q1174" t="s">
        <v>26568</v>
      </c>
      <c r="R1174" t="s">
        <v>26585</v>
      </c>
      <c r="S1174" t="s">
        <v>18958</v>
      </c>
      <c r="U1174" t="s">
        <v>26604</v>
      </c>
      <c r="V1174" t="s">
        <v>26610</v>
      </c>
      <c r="W1174" t="s">
        <v>533</v>
      </c>
      <c r="X1174">
        <v>2200</v>
      </c>
      <c r="Y1174" t="s">
        <v>26653</v>
      </c>
      <c r="Z1174" t="s">
        <v>26664</v>
      </c>
      <c r="AA1174" t="s">
        <v>26679</v>
      </c>
      <c r="AB1174" t="s">
        <v>533</v>
      </c>
      <c r="AD1174" t="s">
        <v>37820</v>
      </c>
      <c r="AE1174">
        <v>4</v>
      </c>
      <c r="AF1174" t="s">
        <v>45547</v>
      </c>
      <c r="AG1174" t="s">
        <v>19330</v>
      </c>
      <c r="AH1174">
        <v>3</v>
      </c>
      <c r="AI1174">
        <v>2</v>
      </c>
      <c r="AJ1174">
        <v>0</v>
      </c>
      <c r="AK1174">
        <v>151.88</v>
      </c>
      <c r="AN1174" t="s">
        <v>7439</v>
      </c>
      <c r="AO1174">
        <v>25000</v>
      </c>
      <c r="AR1174" t="s">
        <v>26530</v>
      </c>
      <c r="AS1174" t="s">
        <v>46500</v>
      </c>
      <c r="AT1174" t="s">
        <v>46555</v>
      </c>
      <c r="AU1174">
        <v>5.8</v>
      </c>
      <c r="AV1174" t="s">
        <v>594</v>
      </c>
      <c r="AW1174" t="s">
        <v>122</v>
      </c>
    </row>
    <row r="1175" spans="1:50">
      <c r="A1175" s="1">
        <f>HYPERLINK("https://lsnyc.legalserver.org/matter/dynamic-profile/view/1875544","18-1875544")</f>
        <v>0</v>
      </c>
      <c r="B1175" t="s">
        <v>133</v>
      </c>
      <c r="C1175" t="s">
        <v>340</v>
      </c>
      <c r="D1175" t="s">
        <v>533</v>
      </c>
      <c r="F1175" t="s">
        <v>1083</v>
      </c>
      <c r="G1175" t="s">
        <v>5828</v>
      </c>
      <c r="H1175" t="s">
        <v>10633</v>
      </c>
      <c r="I1175" t="s">
        <v>17327</v>
      </c>
      <c r="J1175" t="s">
        <v>18892</v>
      </c>
      <c r="K1175">
        <v>10457</v>
      </c>
      <c r="L1175" t="s">
        <v>18958</v>
      </c>
      <c r="M1175" t="s">
        <v>18958</v>
      </c>
      <c r="N1175" t="s">
        <v>19846</v>
      </c>
      <c r="O1175" t="s">
        <v>26523</v>
      </c>
      <c r="P1175" t="s">
        <v>26560</v>
      </c>
      <c r="R1175" t="s">
        <v>26579</v>
      </c>
      <c r="S1175" t="s">
        <v>18959</v>
      </c>
      <c r="U1175" t="s">
        <v>26604</v>
      </c>
      <c r="V1175" t="s">
        <v>26610</v>
      </c>
      <c r="W1175" t="s">
        <v>533</v>
      </c>
      <c r="X1175">
        <v>891</v>
      </c>
      <c r="Y1175" t="s">
        <v>26650</v>
      </c>
      <c r="Z1175" t="s">
        <v>26664</v>
      </c>
      <c r="AB1175" t="s">
        <v>27769</v>
      </c>
      <c r="AC1175" t="s">
        <v>34852</v>
      </c>
      <c r="AD1175" t="s">
        <v>37821</v>
      </c>
      <c r="AE1175">
        <v>0</v>
      </c>
      <c r="AF1175" t="s">
        <v>45543</v>
      </c>
      <c r="AG1175" t="s">
        <v>45556</v>
      </c>
      <c r="AH1175">
        <v>12</v>
      </c>
      <c r="AI1175">
        <v>1</v>
      </c>
      <c r="AJ1175">
        <v>0</v>
      </c>
      <c r="AK1175">
        <v>0</v>
      </c>
      <c r="AN1175" t="s">
        <v>45581</v>
      </c>
      <c r="AO1175">
        <v>0</v>
      </c>
      <c r="AU1175">
        <v>32.4</v>
      </c>
      <c r="AV1175" t="s">
        <v>825</v>
      </c>
      <c r="AW1175" t="s">
        <v>46854</v>
      </c>
    </row>
    <row r="1176" spans="1:50">
      <c r="A1176" s="1">
        <f>HYPERLINK("https://lsnyc.legalserver.org/matter/dynamic-profile/view/1875771","18-1875771")</f>
        <v>0</v>
      </c>
      <c r="B1176" t="s">
        <v>230</v>
      </c>
      <c r="C1176" t="s">
        <v>340</v>
      </c>
      <c r="D1176" t="s">
        <v>533</v>
      </c>
      <c r="F1176" t="s">
        <v>1633</v>
      </c>
      <c r="G1176" t="s">
        <v>5008</v>
      </c>
      <c r="H1176" t="s">
        <v>10634</v>
      </c>
      <c r="I1176" t="s">
        <v>17339</v>
      </c>
      <c r="J1176" t="s">
        <v>18894</v>
      </c>
      <c r="K1176">
        <v>11217</v>
      </c>
      <c r="L1176" t="s">
        <v>18958</v>
      </c>
      <c r="M1176" t="s">
        <v>18960</v>
      </c>
      <c r="N1176" t="s">
        <v>19847</v>
      </c>
      <c r="O1176" t="s">
        <v>26523</v>
      </c>
      <c r="P1176" t="s">
        <v>26560</v>
      </c>
      <c r="R1176" t="s">
        <v>26586</v>
      </c>
      <c r="S1176" t="s">
        <v>18959</v>
      </c>
      <c r="U1176" t="s">
        <v>26605</v>
      </c>
      <c r="V1176" t="s">
        <v>26610</v>
      </c>
      <c r="W1176" t="s">
        <v>533</v>
      </c>
      <c r="X1176">
        <v>0</v>
      </c>
      <c r="Y1176" t="s">
        <v>26652</v>
      </c>
      <c r="Z1176" t="s">
        <v>26659</v>
      </c>
      <c r="AB1176" t="s">
        <v>26700</v>
      </c>
      <c r="AD1176" t="s">
        <v>37822</v>
      </c>
      <c r="AE1176">
        <v>64</v>
      </c>
      <c r="AF1176" t="s">
        <v>45541</v>
      </c>
      <c r="AG1176" t="s">
        <v>19330</v>
      </c>
      <c r="AH1176">
        <v>16</v>
      </c>
      <c r="AI1176">
        <v>1</v>
      </c>
      <c r="AJ1176">
        <v>0</v>
      </c>
      <c r="AK1176">
        <v>108.73</v>
      </c>
      <c r="AN1176" t="s">
        <v>7439</v>
      </c>
      <c r="AO1176">
        <v>13200</v>
      </c>
      <c r="AU1176">
        <v>12</v>
      </c>
      <c r="AV1176" t="s">
        <v>719</v>
      </c>
      <c r="AW1176" t="s">
        <v>46856</v>
      </c>
    </row>
    <row r="1177" spans="1:50">
      <c r="A1177" s="1">
        <f>HYPERLINK("https://lsnyc.legalserver.org/matter/dynamic-profile/view/1875766","18-1875766")</f>
        <v>0</v>
      </c>
      <c r="B1177" t="s">
        <v>116</v>
      </c>
      <c r="C1177" t="s">
        <v>340</v>
      </c>
      <c r="D1177" t="s">
        <v>533</v>
      </c>
      <c r="F1177" t="s">
        <v>1587</v>
      </c>
      <c r="G1177" t="s">
        <v>923</v>
      </c>
      <c r="H1177" t="s">
        <v>10465</v>
      </c>
      <c r="J1177" t="s">
        <v>18894</v>
      </c>
      <c r="K1177">
        <v>11212</v>
      </c>
      <c r="L1177" t="s">
        <v>18958</v>
      </c>
      <c r="M1177" t="s">
        <v>18958</v>
      </c>
      <c r="O1177" t="s">
        <v>18997</v>
      </c>
      <c r="P1177" t="s">
        <v>26565</v>
      </c>
      <c r="R1177" t="s">
        <v>26578</v>
      </c>
      <c r="S1177" t="s">
        <v>18958</v>
      </c>
      <c r="U1177" t="s">
        <v>26604</v>
      </c>
      <c r="W1177" t="s">
        <v>533</v>
      </c>
      <c r="X1177">
        <v>770.47</v>
      </c>
      <c r="Y1177" t="s">
        <v>26652</v>
      </c>
      <c r="Z1177" t="s">
        <v>26667</v>
      </c>
      <c r="AB1177" t="s">
        <v>27770</v>
      </c>
      <c r="AD1177" t="s">
        <v>37823</v>
      </c>
      <c r="AE1177">
        <v>19</v>
      </c>
      <c r="AF1177" t="s">
        <v>45541</v>
      </c>
      <c r="AG1177" t="s">
        <v>19330</v>
      </c>
      <c r="AH1177">
        <v>21</v>
      </c>
      <c r="AI1177">
        <v>2</v>
      </c>
      <c r="AJ1177">
        <v>0</v>
      </c>
      <c r="AK1177">
        <v>364.52</v>
      </c>
      <c r="AN1177" t="s">
        <v>7439</v>
      </c>
      <c r="AO1177">
        <v>60000</v>
      </c>
      <c r="AP1177" t="s">
        <v>45677</v>
      </c>
      <c r="AU1177">
        <v>10</v>
      </c>
      <c r="AV1177" t="s">
        <v>684</v>
      </c>
      <c r="AW1177" t="s">
        <v>92</v>
      </c>
    </row>
    <row r="1178" spans="1:50">
      <c r="A1178" s="1">
        <f>HYPERLINK("https://lsnyc.legalserver.org/matter/dynamic-profile/view/1876192","18-1876192")</f>
        <v>0</v>
      </c>
      <c r="B1178" t="s">
        <v>82</v>
      </c>
      <c r="C1178" t="s">
        <v>340</v>
      </c>
      <c r="D1178" t="s">
        <v>533</v>
      </c>
      <c r="F1178" t="s">
        <v>1076</v>
      </c>
      <c r="G1178" t="s">
        <v>5829</v>
      </c>
      <c r="H1178" t="s">
        <v>9658</v>
      </c>
      <c r="I1178" t="s">
        <v>17607</v>
      </c>
      <c r="J1178" t="s">
        <v>18892</v>
      </c>
      <c r="K1178">
        <v>10457</v>
      </c>
      <c r="L1178" t="s">
        <v>18958</v>
      </c>
      <c r="M1178" t="s">
        <v>18958</v>
      </c>
      <c r="N1178" t="s">
        <v>19848</v>
      </c>
      <c r="O1178" t="s">
        <v>26523</v>
      </c>
      <c r="P1178" t="s">
        <v>26560</v>
      </c>
      <c r="R1178" t="s">
        <v>26579</v>
      </c>
      <c r="U1178" t="s">
        <v>26604</v>
      </c>
      <c r="V1178" t="s">
        <v>26610</v>
      </c>
      <c r="W1178" t="s">
        <v>533</v>
      </c>
      <c r="X1178">
        <v>1796</v>
      </c>
      <c r="Y1178" t="s">
        <v>26650</v>
      </c>
      <c r="Z1178" t="s">
        <v>26664</v>
      </c>
      <c r="AB1178" t="s">
        <v>27771</v>
      </c>
      <c r="AC1178" t="s">
        <v>34853</v>
      </c>
      <c r="AD1178" t="s">
        <v>37824</v>
      </c>
      <c r="AE1178">
        <v>0</v>
      </c>
      <c r="AF1178" t="s">
        <v>45541</v>
      </c>
      <c r="AG1178" t="s">
        <v>19330</v>
      </c>
      <c r="AH1178">
        <v>9</v>
      </c>
      <c r="AI1178">
        <v>1</v>
      </c>
      <c r="AJ1178">
        <v>1</v>
      </c>
      <c r="AK1178">
        <v>55.41</v>
      </c>
      <c r="AO1178">
        <v>9120</v>
      </c>
      <c r="AQ1178" t="s">
        <v>46362</v>
      </c>
      <c r="AR1178" t="s">
        <v>46379</v>
      </c>
      <c r="AS1178" t="s">
        <v>46499</v>
      </c>
      <c r="AT1178" t="s">
        <v>46545</v>
      </c>
      <c r="AU1178">
        <v>9</v>
      </c>
      <c r="AV1178" t="s">
        <v>786</v>
      </c>
      <c r="AW1178" t="s">
        <v>334</v>
      </c>
    </row>
    <row r="1179" spans="1:50">
      <c r="A1179" s="1">
        <f>HYPERLINK("https://lsnyc.legalserver.org/matter/dynamic-profile/view/1875690","18-1875690")</f>
        <v>0</v>
      </c>
      <c r="B1179" t="s">
        <v>64</v>
      </c>
      <c r="C1179" t="s">
        <v>340</v>
      </c>
      <c r="D1179" t="s">
        <v>533</v>
      </c>
      <c r="F1179" t="s">
        <v>1634</v>
      </c>
      <c r="G1179" t="s">
        <v>5830</v>
      </c>
      <c r="H1179" t="s">
        <v>10635</v>
      </c>
      <c r="I1179">
        <v>3</v>
      </c>
      <c r="J1179" t="s">
        <v>18892</v>
      </c>
      <c r="K1179">
        <v>10455</v>
      </c>
      <c r="L1179" t="s">
        <v>18958</v>
      </c>
      <c r="M1179" t="s">
        <v>18958</v>
      </c>
      <c r="N1179" t="s">
        <v>19849</v>
      </c>
      <c r="O1179" t="s">
        <v>26524</v>
      </c>
      <c r="P1179" t="s">
        <v>26560</v>
      </c>
      <c r="R1179" t="s">
        <v>26577</v>
      </c>
      <c r="U1179" t="s">
        <v>26604</v>
      </c>
      <c r="V1179" t="s">
        <v>26610</v>
      </c>
      <c r="W1179" t="s">
        <v>533</v>
      </c>
      <c r="X1179">
        <v>1038</v>
      </c>
      <c r="Y1179" t="s">
        <v>26650</v>
      </c>
      <c r="Z1179" t="s">
        <v>26659</v>
      </c>
      <c r="AB1179" t="s">
        <v>27772</v>
      </c>
      <c r="AC1179" t="s">
        <v>34854</v>
      </c>
      <c r="AD1179" t="s">
        <v>37825</v>
      </c>
      <c r="AE1179">
        <v>0</v>
      </c>
      <c r="AF1179" t="s">
        <v>45541</v>
      </c>
      <c r="AG1179" t="s">
        <v>45557</v>
      </c>
      <c r="AH1179">
        <v>27</v>
      </c>
      <c r="AI1179">
        <v>3</v>
      </c>
      <c r="AJ1179">
        <v>2</v>
      </c>
      <c r="AK1179">
        <v>20.39</v>
      </c>
      <c r="AO1179">
        <v>6000</v>
      </c>
      <c r="AU1179">
        <v>16.05</v>
      </c>
      <c r="AV1179" t="s">
        <v>816</v>
      </c>
      <c r="AW1179" t="s">
        <v>46854</v>
      </c>
    </row>
    <row r="1180" spans="1:50">
      <c r="A1180" s="1">
        <f>HYPERLINK("https://lsnyc.legalserver.org/matter/dynamic-profile/view/1875724","18-1875724")</f>
        <v>0</v>
      </c>
      <c r="B1180" t="s">
        <v>64</v>
      </c>
      <c r="C1180" t="s">
        <v>340</v>
      </c>
      <c r="D1180" t="s">
        <v>533</v>
      </c>
      <c r="F1180" t="s">
        <v>1635</v>
      </c>
      <c r="G1180" t="s">
        <v>5831</v>
      </c>
      <c r="H1180" t="s">
        <v>10636</v>
      </c>
      <c r="I1180" t="s">
        <v>17608</v>
      </c>
      <c r="J1180" t="s">
        <v>18892</v>
      </c>
      <c r="K1180">
        <v>10467</v>
      </c>
      <c r="L1180" t="s">
        <v>18958</v>
      </c>
      <c r="M1180" t="s">
        <v>18958</v>
      </c>
      <c r="N1180" t="s">
        <v>19850</v>
      </c>
      <c r="O1180" t="s">
        <v>26523</v>
      </c>
      <c r="P1180" t="s">
        <v>26560</v>
      </c>
      <c r="R1180" t="s">
        <v>26579</v>
      </c>
      <c r="S1180" t="s">
        <v>18959</v>
      </c>
      <c r="U1180" t="s">
        <v>26604</v>
      </c>
      <c r="V1180" t="s">
        <v>26610</v>
      </c>
      <c r="W1180" t="s">
        <v>533</v>
      </c>
      <c r="X1180">
        <v>1450</v>
      </c>
      <c r="Y1180" t="s">
        <v>26650</v>
      </c>
      <c r="Z1180" t="s">
        <v>26668</v>
      </c>
      <c r="AB1180" t="s">
        <v>27773</v>
      </c>
      <c r="AC1180" t="s">
        <v>34855</v>
      </c>
      <c r="AD1180" t="s">
        <v>34738</v>
      </c>
      <c r="AE1180">
        <v>0</v>
      </c>
      <c r="AF1180" t="s">
        <v>45541</v>
      </c>
      <c r="AG1180" t="s">
        <v>45561</v>
      </c>
      <c r="AH1180">
        <v>2</v>
      </c>
      <c r="AI1180">
        <v>2</v>
      </c>
      <c r="AJ1180">
        <v>0</v>
      </c>
      <c r="AK1180">
        <v>25.52</v>
      </c>
      <c r="AN1180" t="s">
        <v>7439</v>
      </c>
      <c r="AO1180">
        <v>4200</v>
      </c>
      <c r="AU1180">
        <v>22.6</v>
      </c>
      <c r="AV1180" t="s">
        <v>773</v>
      </c>
      <c r="AW1180" t="s">
        <v>46831</v>
      </c>
    </row>
    <row r="1181" spans="1:50">
      <c r="A1181" s="1">
        <f>HYPERLINK("https://lsnyc.legalserver.org/matter/dynamic-profile/view/1876156","18-1876156")</f>
        <v>0</v>
      </c>
      <c r="B1181" t="s">
        <v>187</v>
      </c>
      <c r="C1181" t="s">
        <v>340</v>
      </c>
      <c r="D1181" t="s">
        <v>533</v>
      </c>
      <c r="F1181" t="s">
        <v>899</v>
      </c>
      <c r="G1181" t="s">
        <v>5832</v>
      </c>
      <c r="H1181" t="s">
        <v>10637</v>
      </c>
      <c r="I1181" t="s">
        <v>17282</v>
      </c>
      <c r="J1181" t="s">
        <v>18892</v>
      </c>
      <c r="K1181">
        <v>10457</v>
      </c>
      <c r="L1181" t="s">
        <v>18958</v>
      </c>
      <c r="M1181" t="s">
        <v>18958</v>
      </c>
      <c r="N1181" t="s">
        <v>19851</v>
      </c>
      <c r="O1181" t="s">
        <v>26523</v>
      </c>
      <c r="P1181" t="s">
        <v>26560</v>
      </c>
      <c r="R1181" t="s">
        <v>26579</v>
      </c>
      <c r="S1181" t="s">
        <v>18959</v>
      </c>
      <c r="U1181" t="s">
        <v>26604</v>
      </c>
      <c r="V1181" t="s">
        <v>26610</v>
      </c>
      <c r="W1181" t="s">
        <v>533</v>
      </c>
      <c r="X1181">
        <v>998.03</v>
      </c>
      <c r="Y1181" t="s">
        <v>26650</v>
      </c>
      <c r="Z1181" t="s">
        <v>26664</v>
      </c>
      <c r="AB1181" t="s">
        <v>27774</v>
      </c>
      <c r="AC1181" t="s">
        <v>34856</v>
      </c>
      <c r="AD1181" t="s">
        <v>37826</v>
      </c>
      <c r="AE1181">
        <v>59</v>
      </c>
      <c r="AF1181" t="s">
        <v>45541</v>
      </c>
      <c r="AG1181" t="s">
        <v>19330</v>
      </c>
      <c r="AH1181">
        <v>7</v>
      </c>
      <c r="AI1181">
        <v>1</v>
      </c>
      <c r="AJ1181">
        <v>1</v>
      </c>
      <c r="AK1181">
        <v>0</v>
      </c>
      <c r="AO1181">
        <v>0</v>
      </c>
      <c r="AU1181">
        <v>12.5</v>
      </c>
      <c r="AV1181" t="s">
        <v>772</v>
      </c>
      <c r="AW1181" t="s">
        <v>336</v>
      </c>
    </row>
    <row r="1182" spans="1:50">
      <c r="A1182" s="1">
        <f>HYPERLINK("https://lsnyc.legalserver.org/matter/dynamic-profile/view/1876138","18-1876138")</f>
        <v>0</v>
      </c>
      <c r="B1182" t="s">
        <v>187</v>
      </c>
      <c r="C1182" t="s">
        <v>340</v>
      </c>
      <c r="D1182" t="s">
        <v>533</v>
      </c>
      <c r="F1182" t="s">
        <v>1636</v>
      </c>
      <c r="G1182" t="s">
        <v>4269</v>
      </c>
      <c r="H1182" t="s">
        <v>10638</v>
      </c>
      <c r="I1182">
        <v>3</v>
      </c>
      <c r="J1182" t="s">
        <v>18892</v>
      </c>
      <c r="K1182">
        <v>10467</v>
      </c>
      <c r="L1182" t="s">
        <v>18958</v>
      </c>
      <c r="M1182" t="s">
        <v>18958</v>
      </c>
      <c r="N1182" t="s">
        <v>19852</v>
      </c>
      <c r="O1182" t="s">
        <v>26524</v>
      </c>
      <c r="P1182" t="s">
        <v>26560</v>
      </c>
      <c r="R1182" t="s">
        <v>26579</v>
      </c>
      <c r="S1182" t="s">
        <v>18959</v>
      </c>
      <c r="U1182" t="s">
        <v>26604</v>
      </c>
      <c r="W1182" t="s">
        <v>533</v>
      </c>
      <c r="X1182">
        <v>0</v>
      </c>
      <c r="Y1182" t="s">
        <v>26650</v>
      </c>
      <c r="Z1182" t="s">
        <v>26664</v>
      </c>
      <c r="AB1182" t="s">
        <v>27775</v>
      </c>
      <c r="AC1182" t="s">
        <v>34857</v>
      </c>
      <c r="AD1182" t="s">
        <v>37827</v>
      </c>
      <c r="AE1182">
        <v>3</v>
      </c>
      <c r="AF1182" t="s">
        <v>45552</v>
      </c>
      <c r="AG1182" t="s">
        <v>45556</v>
      </c>
      <c r="AH1182">
        <v>7</v>
      </c>
      <c r="AI1182">
        <v>2</v>
      </c>
      <c r="AJ1182">
        <v>2</v>
      </c>
      <c r="AK1182">
        <v>13.86</v>
      </c>
      <c r="AN1182" t="s">
        <v>7439</v>
      </c>
      <c r="AO1182">
        <v>3480</v>
      </c>
      <c r="AU1182">
        <v>22</v>
      </c>
      <c r="AV1182" t="s">
        <v>766</v>
      </c>
      <c r="AW1182" t="s">
        <v>336</v>
      </c>
    </row>
    <row r="1183" spans="1:50">
      <c r="A1183" s="1">
        <f>HYPERLINK("https://lsnyc.legalserver.org/matter/dynamic-profile/view/1875721","18-1875721")</f>
        <v>0</v>
      </c>
      <c r="B1183" t="s">
        <v>122</v>
      </c>
      <c r="C1183" t="s">
        <v>340</v>
      </c>
      <c r="D1183" t="s">
        <v>533</v>
      </c>
      <c r="F1183" t="s">
        <v>1637</v>
      </c>
      <c r="G1183" t="s">
        <v>5833</v>
      </c>
      <c r="H1183" t="s">
        <v>10639</v>
      </c>
      <c r="I1183" t="s">
        <v>17323</v>
      </c>
      <c r="J1183" t="s">
        <v>18900</v>
      </c>
      <c r="K1183">
        <v>11354</v>
      </c>
      <c r="L1183" t="s">
        <v>18959</v>
      </c>
      <c r="M1183" t="s">
        <v>18960</v>
      </c>
      <c r="N1183" t="s">
        <v>19853</v>
      </c>
      <c r="O1183" t="s">
        <v>26523</v>
      </c>
      <c r="P1183" t="s">
        <v>26564</v>
      </c>
      <c r="R1183" t="s">
        <v>26584</v>
      </c>
      <c r="S1183" t="s">
        <v>26598</v>
      </c>
      <c r="U1183" t="s">
        <v>26604</v>
      </c>
      <c r="W1183" t="s">
        <v>533</v>
      </c>
      <c r="X1183">
        <v>535</v>
      </c>
      <c r="Y1183" t="s">
        <v>26653</v>
      </c>
      <c r="Z1183" t="s">
        <v>26664</v>
      </c>
      <c r="AB1183" t="s">
        <v>27776</v>
      </c>
      <c r="AC1183" t="s">
        <v>34858</v>
      </c>
      <c r="AD1183" t="s">
        <v>37828</v>
      </c>
      <c r="AE1183">
        <v>80</v>
      </c>
      <c r="AF1183" t="s">
        <v>45549</v>
      </c>
      <c r="AG1183" t="s">
        <v>19330</v>
      </c>
      <c r="AH1183">
        <v>40</v>
      </c>
      <c r="AI1183">
        <v>2</v>
      </c>
      <c r="AJ1183">
        <v>0</v>
      </c>
      <c r="AK1183">
        <v>29.53</v>
      </c>
      <c r="AO1183">
        <v>4860</v>
      </c>
      <c r="AU1183">
        <v>1.5</v>
      </c>
      <c r="AV1183" t="s">
        <v>644</v>
      </c>
      <c r="AW1183" t="s">
        <v>122</v>
      </c>
    </row>
    <row r="1184" spans="1:50">
      <c r="A1184" s="1">
        <f>HYPERLINK("https://lsnyc.legalserver.org/matter/dynamic-profile/view/1875703","18-1875703")</f>
        <v>0</v>
      </c>
      <c r="B1184" t="s">
        <v>91</v>
      </c>
      <c r="C1184" t="s">
        <v>340</v>
      </c>
      <c r="D1184" t="s">
        <v>533</v>
      </c>
      <c r="F1184" t="s">
        <v>1638</v>
      </c>
      <c r="G1184" t="s">
        <v>4253</v>
      </c>
      <c r="H1184" t="s">
        <v>10640</v>
      </c>
      <c r="I1184" t="s">
        <v>17316</v>
      </c>
      <c r="J1184" t="s">
        <v>18898</v>
      </c>
      <c r="K1184">
        <v>11691</v>
      </c>
      <c r="L1184" t="s">
        <v>18958</v>
      </c>
      <c r="M1184" t="s">
        <v>18958</v>
      </c>
      <c r="N1184" t="s">
        <v>19854</v>
      </c>
      <c r="O1184" t="s">
        <v>26523</v>
      </c>
      <c r="P1184" t="s">
        <v>26564</v>
      </c>
      <c r="R1184" t="s">
        <v>26578</v>
      </c>
      <c r="S1184" t="s">
        <v>18959</v>
      </c>
      <c r="T1184" t="s">
        <v>26578</v>
      </c>
      <c r="U1184" t="s">
        <v>26604</v>
      </c>
      <c r="V1184" t="s">
        <v>26610</v>
      </c>
      <c r="W1184" t="s">
        <v>533</v>
      </c>
      <c r="X1184">
        <v>1461</v>
      </c>
      <c r="Y1184" t="s">
        <v>26653</v>
      </c>
      <c r="Z1184" t="s">
        <v>26664</v>
      </c>
      <c r="AB1184" t="s">
        <v>27777</v>
      </c>
      <c r="AC1184" t="s">
        <v>34859</v>
      </c>
      <c r="AD1184" t="s">
        <v>37829</v>
      </c>
      <c r="AE1184">
        <v>60</v>
      </c>
      <c r="AF1184" t="s">
        <v>45541</v>
      </c>
      <c r="AG1184" t="s">
        <v>19330</v>
      </c>
      <c r="AH1184">
        <v>6</v>
      </c>
      <c r="AI1184">
        <v>3</v>
      </c>
      <c r="AJ1184">
        <v>0</v>
      </c>
      <c r="AK1184">
        <v>136.63</v>
      </c>
      <c r="AN1184" t="s">
        <v>7439</v>
      </c>
      <c r="AO1184">
        <v>28392</v>
      </c>
      <c r="AU1184">
        <v>1.2</v>
      </c>
      <c r="AV1184" t="s">
        <v>511</v>
      </c>
      <c r="AW1184" t="s">
        <v>122</v>
      </c>
    </row>
    <row r="1185" spans="1:50">
      <c r="A1185" s="1">
        <f>HYPERLINK("https://lsnyc.legalserver.org/matter/dynamic-profile/view/1875722","18-1875722")</f>
        <v>0</v>
      </c>
      <c r="B1185" t="s">
        <v>62</v>
      </c>
      <c r="C1185" t="s">
        <v>340</v>
      </c>
      <c r="D1185" t="s">
        <v>533</v>
      </c>
      <c r="F1185" t="s">
        <v>1639</v>
      </c>
      <c r="G1185" t="s">
        <v>5635</v>
      </c>
      <c r="H1185" t="s">
        <v>10641</v>
      </c>
      <c r="I1185" t="s">
        <v>17316</v>
      </c>
      <c r="J1185" t="s">
        <v>18893</v>
      </c>
      <c r="K1185">
        <v>10030</v>
      </c>
      <c r="L1185" t="s">
        <v>18958</v>
      </c>
      <c r="M1185" t="s">
        <v>18960</v>
      </c>
      <c r="N1185" t="s">
        <v>19855</v>
      </c>
      <c r="O1185" t="s">
        <v>26523</v>
      </c>
      <c r="P1185" t="s">
        <v>26560</v>
      </c>
      <c r="R1185" t="s">
        <v>26582</v>
      </c>
      <c r="S1185" t="s">
        <v>18959</v>
      </c>
      <c r="U1185" t="s">
        <v>26604</v>
      </c>
      <c r="W1185" t="s">
        <v>533</v>
      </c>
      <c r="X1185">
        <v>1659</v>
      </c>
      <c r="Y1185" t="s">
        <v>26651</v>
      </c>
      <c r="Z1185" t="s">
        <v>26664</v>
      </c>
      <c r="AB1185" t="s">
        <v>27778</v>
      </c>
      <c r="AD1185" t="s">
        <v>37830</v>
      </c>
      <c r="AE1185">
        <v>117</v>
      </c>
      <c r="AF1185" t="s">
        <v>20460</v>
      </c>
      <c r="AG1185" t="s">
        <v>19330</v>
      </c>
      <c r="AH1185">
        <v>23</v>
      </c>
      <c r="AI1185">
        <v>2</v>
      </c>
      <c r="AJ1185">
        <v>0</v>
      </c>
      <c r="AK1185">
        <v>91.42</v>
      </c>
      <c r="AN1185" t="s">
        <v>45581</v>
      </c>
      <c r="AO1185">
        <v>15048</v>
      </c>
      <c r="AU1185">
        <v>6.2</v>
      </c>
      <c r="AV1185" t="s">
        <v>771</v>
      </c>
      <c r="AW1185" t="s">
        <v>46835</v>
      </c>
    </row>
    <row r="1186" spans="1:50">
      <c r="A1186" s="1">
        <f>HYPERLINK("https://lsnyc.legalserver.org/matter/dynamic-profile/view/1875730","18-1875730")</f>
        <v>0</v>
      </c>
      <c r="B1186" t="s">
        <v>62</v>
      </c>
      <c r="C1186" t="s">
        <v>340</v>
      </c>
      <c r="D1186" t="s">
        <v>533</v>
      </c>
      <c r="F1186" t="s">
        <v>1640</v>
      </c>
      <c r="G1186" t="s">
        <v>5103</v>
      </c>
      <c r="H1186" t="s">
        <v>10642</v>
      </c>
      <c r="I1186" t="s">
        <v>17290</v>
      </c>
      <c r="J1186" t="s">
        <v>18893</v>
      </c>
      <c r="K1186">
        <v>10031</v>
      </c>
      <c r="L1186" t="s">
        <v>18958</v>
      </c>
      <c r="M1186" t="s">
        <v>18958</v>
      </c>
      <c r="N1186" t="s">
        <v>19856</v>
      </c>
      <c r="O1186" t="s">
        <v>26523</v>
      </c>
      <c r="P1186" t="s">
        <v>26563</v>
      </c>
      <c r="R1186" t="s">
        <v>26580</v>
      </c>
      <c r="S1186" t="s">
        <v>18959</v>
      </c>
      <c r="U1186" t="s">
        <v>26604</v>
      </c>
      <c r="W1186" t="s">
        <v>533</v>
      </c>
      <c r="X1186">
        <v>798.52</v>
      </c>
      <c r="Y1186" t="s">
        <v>26651</v>
      </c>
      <c r="Z1186" t="s">
        <v>26664</v>
      </c>
      <c r="AB1186" t="s">
        <v>27779</v>
      </c>
      <c r="AD1186" t="s">
        <v>37831</v>
      </c>
      <c r="AE1186">
        <v>58</v>
      </c>
      <c r="AF1186" t="s">
        <v>20460</v>
      </c>
      <c r="AG1186" t="s">
        <v>19330</v>
      </c>
      <c r="AH1186">
        <v>34</v>
      </c>
      <c r="AI1186">
        <v>2</v>
      </c>
      <c r="AJ1186">
        <v>0</v>
      </c>
      <c r="AK1186">
        <v>0</v>
      </c>
      <c r="AN1186" t="s">
        <v>45581</v>
      </c>
      <c r="AO1186">
        <v>0</v>
      </c>
      <c r="AU1186">
        <v>0</v>
      </c>
      <c r="AW1186" t="s">
        <v>314</v>
      </c>
    </row>
    <row r="1187" spans="1:50">
      <c r="A1187" s="1">
        <f>HYPERLINK("https://lsnyc.legalserver.org/matter/dynamic-profile/view/1875708","18-1875708")</f>
        <v>0</v>
      </c>
      <c r="B1187" t="s">
        <v>109</v>
      </c>
      <c r="C1187" t="s">
        <v>341</v>
      </c>
      <c r="D1187" t="s">
        <v>512</v>
      </c>
      <c r="E1187" t="s">
        <v>494</v>
      </c>
      <c r="F1187" t="s">
        <v>1282</v>
      </c>
      <c r="G1187" t="s">
        <v>5739</v>
      </c>
      <c r="H1187" t="s">
        <v>10643</v>
      </c>
      <c r="I1187" t="s">
        <v>17609</v>
      </c>
      <c r="J1187" t="s">
        <v>18902</v>
      </c>
      <c r="K1187">
        <v>10307</v>
      </c>
      <c r="L1187" t="s">
        <v>18958</v>
      </c>
      <c r="M1187" t="s">
        <v>18958</v>
      </c>
      <c r="N1187" t="s">
        <v>19857</v>
      </c>
      <c r="O1187" t="s">
        <v>26524</v>
      </c>
      <c r="P1187" t="s">
        <v>26564</v>
      </c>
      <c r="Q1187" t="s">
        <v>26570</v>
      </c>
      <c r="R1187" t="s">
        <v>26587</v>
      </c>
      <c r="S1187" t="s">
        <v>18959</v>
      </c>
      <c r="U1187" t="s">
        <v>26604</v>
      </c>
      <c r="V1187" t="s">
        <v>26612</v>
      </c>
      <c r="W1187" t="s">
        <v>533</v>
      </c>
      <c r="X1187">
        <v>1300</v>
      </c>
      <c r="Y1187" t="s">
        <v>26654</v>
      </c>
      <c r="Z1187" t="s">
        <v>26671</v>
      </c>
      <c r="AA1187" t="s">
        <v>26683</v>
      </c>
      <c r="AB1187" t="s">
        <v>27780</v>
      </c>
      <c r="AE1187">
        <v>2</v>
      </c>
      <c r="AG1187" t="s">
        <v>19330</v>
      </c>
      <c r="AH1187">
        <v>2</v>
      </c>
      <c r="AI1187">
        <v>1</v>
      </c>
      <c r="AJ1187">
        <v>1</v>
      </c>
      <c r="AK1187">
        <v>243.01</v>
      </c>
      <c r="AN1187" t="s">
        <v>7439</v>
      </c>
      <c r="AO1187">
        <v>40000</v>
      </c>
      <c r="AS1187" t="s">
        <v>46500</v>
      </c>
      <c r="AT1187" t="s">
        <v>46675</v>
      </c>
      <c r="AU1187">
        <v>0.25</v>
      </c>
      <c r="AV1187" t="s">
        <v>512</v>
      </c>
      <c r="AW1187" t="s">
        <v>190</v>
      </c>
    </row>
    <row r="1188" spans="1:50">
      <c r="A1188" s="1">
        <f>HYPERLINK("https://lsnyc.legalserver.org/matter/dynamic-profile/view/1885168","18-1885168")</f>
        <v>0</v>
      </c>
      <c r="B1188" t="s">
        <v>88</v>
      </c>
      <c r="C1188" t="s">
        <v>341</v>
      </c>
      <c r="D1188" t="s">
        <v>519</v>
      </c>
      <c r="E1188" t="s">
        <v>782</v>
      </c>
      <c r="F1188" t="s">
        <v>1641</v>
      </c>
      <c r="G1188" t="s">
        <v>5717</v>
      </c>
      <c r="H1188" t="s">
        <v>10516</v>
      </c>
      <c r="I1188" t="s">
        <v>17388</v>
      </c>
      <c r="J1188" t="s">
        <v>18894</v>
      </c>
      <c r="K1188">
        <v>11213</v>
      </c>
      <c r="L1188" t="s">
        <v>18958</v>
      </c>
      <c r="M1188" t="s">
        <v>18958</v>
      </c>
      <c r="N1188" t="s">
        <v>18997</v>
      </c>
      <c r="O1188" t="s">
        <v>26531</v>
      </c>
      <c r="P1188" t="s">
        <v>26565</v>
      </c>
      <c r="Q1188" t="s">
        <v>26571</v>
      </c>
      <c r="R1188" t="s">
        <v>26578</v>
      </c>
      <c r="S1188" t="s">
        <v>18958</v>
      </c>
      <c r="U1188" t="s">
        <v>26604</v>
      </c>
      <c r="V1188" t="s">
        <v>26610</v>
      </c>
      <c r="W1188" t="s">
        <v>533</v>
      </c>
      <c r="X1188">
        <v>951</v>
      </c>
      <c r="Y1188" t="s">
        <v>26652</v>
      </c>
      <c r="Z1188" t="s">
        <v>26665</v>
      </c>
      <c r="AA1188" t="s">
        <v>26685</v>
      </c>
      <c r="AB1188" t="s">
        <v>27781</v>
      </c>
      <c r="AC1188" t="s">
        <v>19330</v>
      </c>
      <c r="AD1188" t="s">
        <v>37832</v>
      </c>
      <c r="AE1188">
        <v>19</v>
      </c>
      <c r="AF1188" t="s">
        <v>45541</v>
      </c>
      <c r="AG1188" t="s">
        <v>45559</v>
      </c>
      <c r="AH1188">
        <v>16</v>
      </c>
      <c r="AI1188">
        <v>3</v>
      </c>
      <c r="AJ1188">
        <v>3</v>
      </c>
      <c r="AK1188">
        <v>53.94</v>
      </c>
      <c r="AN1188" t="s">
        <v>7439</v>
      </c>
      <c r="AO1188">
        <v>18200</v>
      </c>
      <c r="AU1188">
        <v>0.08</v>
      </c>
      <c r="AV1188" t="s">
        <v>573</v>
      </c>
      <c r="AW1188" t="s">
        <v>279</v>
      </c>
    </row>
    <row r="1189" spans="1:50">
      <c r="A1189" s="1">
        <f>HYPERLINK("https://lsnyc.legalserver.org/matter/dynamic-profile/view/1885176","18-1885176")</f>
        <v>0</v>
      </c>
      <c r="B1189" t="s">
        <v>88</v>
      </c>
      <c r="C1189" t="s">
        <v>340</v>
      </c>
      <c r="D1189" t="s">
        <v>519</v>
      </c>
      <c r="F1189" t="s">
        <v>1641</v>
      </c>
      <c r="G1189" t="s">
        <v>5717</v>
      </c>
      <c r="H1189" t="s">
        <v>10516</v>
      </c>
      <c r="I1189" t="s">
        <v>17388</v>
      </c>
      <c r="J1189" t="s">
        <v>18894</v>
      </c>
      <c r="K1189">
        <v>11213</v>
      </c>
      <c r="L1189" t="s">
        <v>18958</v>
      </c>
      <c r="M1189" t="s">
        <v>18958</v>
      </c>
      <c r="N1189" t="s">
        <v>18997</v>
      </c>
      <c r="O1189" t="s">
        <v>26534</v>
      </c>
      <c r="P1189" t="s">
        <v>26561</v>
      </c>
      <c r="R1189" t="s">
        <v>26578</v>
      </c>
      <c r="S1189" t="s">
        <v>18958</v>
      </c>
      <c r="U1189" t="s">
        <v>26604</v>
      </c>
      <c r="V1189" t="s">
        <v>26610</v>
      </c>
      <c r="W1189" t="s">
        <v>533</v>
      </c>
      <c r="X1189">
        <v>951</v>
      </c>
      <c r="Y1189" t="s">
        <v>26652</v>
      </c>
      <c r="Z1189" t="s">
        <v>26665</v>
      </c>
      <c r="AB1189" t="s">
        <v>27781</v>
      </c>
      <c r="AC1189" t="s">
        <v>19330</v>
      </c>
      <c r="AD1189" t="s">
        <v>37832</v>
      </c>
      <c r="AE1189">
        <v>19</v>
      </c>
      <c r="AF1189" t="s">
        <v>45541</v>
      </c>
      <c r="AG1189" t="s">
        <v>45559</v>
      </c>
      <c r="AH1189">
        <v>16</v>
      </c>
      <c r="AI1189">
        <v>3</v>
      </c>
      <c r="AJ1189">
        <v>3</v>
      </c>
      <c r="AK1189">
        <v>53.94</v>
      </c>
      <c r="AN1189" t="s">
        <v>7439</v>
      </c>
      <c r="AO1189">
        <v>18200</v>
      </c>
      <c r="AP1189" t="s">
        <v>45694</v>
      </c>
      <c r="AU1189">
        <v>0</v>
      </c>
      <c r="AW1189" t="s">
        <v>279</v>
      </c>
    </row>
    <row r="1190" spans="1:50">
      <c r="A1190" s="1">
        <f>HYPERLINK("https://lsnyc.legalserver.org/matter/dynamic-profile/view/1885174","18-1885174")</f>
        <v>0</v>
      </c>
      <c r="B1190" t="s">
        <v>88</v>
      </c>
      <c r="C1190" t="s">
        <v>340</v>
      </c>
      <c r="D1190" t="s">
        <v>519</v>
      </c>
      <c r="F1190" t="s">
        <v>1641</v>
      </c>
      <c r="G1190" t="s">
        <v>5717</v>
      </c>
      <c r="H1190" t="s">
        <v>10516</v>
      </c>
      <c r="I1190" t="s">
        <v>17388</v>
      </c>
      <c r="J1190" t="s">
        <v>18894</v>
      </c>
      <c r="K1190">
        <v>11213</v>
      </c>
      <c r="L1190" t="s">
        <v>18958</v>
      </c>
      <c r="M1190" t="s">
        <v>18958</v>
      </c>
      <c r="N1190" t="s">
        <v>19744</v>
      </c>
      <c r="O1190" t="s">
        <v>26526</v>
      </c>
      <c r="P1190" t="s">
        <v>26560</v>
      </c>
      <c r="R1190" t="s">
        <v>26578</v>
      </c>
      <c r="S1190" t="s">
        <v>18958</v>
      </c>
      <c r="U1190" t="s">
        <v>26604</v>
      </c>
      <c r="V1190" t="s">
        <v>26610</v>
      </c>
      <c r="W1190" t="s">
        <v>533</v>
      </c>
      <c r="X1190">
        <v>951</v>
      </c>
      <c r="Y1190" t="s">
        <v>26652</v>
      </c>
      <c r="Z1190" t="s">
        <v>26665</v>
      </c>
      <c r="AB1190" t="s">
        <v>27781</v>
      </c>
      <c r="AC1190" t="s">
        <v>19330</v>
      </c>
      <c r="AD1190" t="s">
        <v>37832</v>
      </c>
      <c r="AE1190">
        <v>19</v>
      </c>
      <c r="AF1190" t="s">
        <v>45541</v>
      </c>
      <c r="AG1190" t="s">
        <v>45559</v>
      </c>
      <c r="AH1190">
        <v>16</v>
      </c>
      <c r="AI1190">
        <v>3</v>
      </c>
      <c r="AJ1190">
        <v>3</v>
      </c>
      <c r="AK1190">
        <v>53.94</v>
      </c>
      <c r="AN1190" t="s">
        <v>7439</v>
      </c>
      <c r="AO1190">
        <v>18200</v>
      </c>
      <c r="AP1190" t="s">
        <v>45695</v>
      </c>
      <c r="AU1190">
        <v>0</v>
      </c>
      <c r="AW1190" t="s">
        <v>279</v>
      </c>
    </row>
    <row r="1191" spans="1:50">
      <c r="A1191" s="1">
        <f>HYPERLINK("https://lsnyc.legalserver.org/matter/dynamic-profile/view/1844220","17-1844220")</f>
        <v>0</v>
      </c>
      <c r="B1191" t="s">
        <v>82</v>
      </c>
      <c r="C1191" t="s">
        <v>340</v>
      </c>
      <c r="D1191" t="s">
        <v>537</v>
      </c>
      <c r="F1191" t="s">
        <v>890</v>
      </c>
      <c r="G1191" t="s">
        <v>3283</v>
      </c>
      <c r="H1191" t="s">
        <v>10644</v>
      </c>
      <c r="I1191" t="s">
        <v>17378</v>
      </c>
      <c r="J1191" t="s">
        <v>18892</v>
      </c>
      <c r="K1191">
        <v>10460</v>
      </c>
      <c r="L1191" t="s">
        <v>18958</v>
      </c>
      <c r="M1191" t="s">
        <v>18958</v>
      </c>
      <c r="N1191" t="s">
        <v>19858</v>
      </c>
      <c r="O1191" t="s">
        <v>26524</v>
      </c>
      <c r="P1191" t="s">
        <v>26560</v>
      </c>
      <c r="R1191" t="s">
        <v>26577</v>
      </c>
      <c r="S1191" t="s">
        <v>18959</v>
      </c>
      <c r="U1191" t="s">
        <v>26604</v>
      </c>
      <c r="V1191" t="s">
        <v>26610</v>
      </c>
      <c r="W1191" t="s">
        <v>441</v>
      </c>
      <c r="X1191">
        <v>162</v>
      </c>
      <c r="Y1191" t="s">
        <v>26650</v>
      </c>
      <c r="Z1191" t="s">
        <v>26664</v>
      </c>
      <c r="AB1191" t="s">
        <v>27782</v>
      </c>
      <c r="AC1191" t="s">
        <v>34860</v>
      </c>
      <c r="AD1191" t="s">
        <v>37833</v>
      </c>
      <c r="AE1191">
        <v>0</v>
      </c>
      <c r="AF1191" t="s">
        <v>45543</v>
      </c>
      <c r="AG1191" t="s">
        <v>45556</v>
      </c>
      <c r="AH1191">
        <v>30</v>
      </c>
      <c r="AI1191">
        <v>1</v>
      </c>
      <c r="AJ1191">
        <v>0</v>
      </c>
      <c r="AK1191">
        <v>56.12</v>
      </c>
      <c r="AN1191" t="s">
        <v>7439</v>
      </c>
      <c r="AO1191">
        <v>6768</v>
      </c>
      <c r="AP1191" t="s">
        <v>45620</v>
      </c>
      <c r="AU1191">
        <v>34.25</v>
      </c>
      <c r="AV1191" t="s">
        <v>834</v>
      </c>
      <c r="AW1191" t="s">
        <v>46831</v>
      </c>
    </row>
    <row r="1192" spans="1:50">
      <c r="A1192" s="1">
        <f>HYPERLINK("https://lsnyc.legalserver.org/matter/dynamic-profile/view/1863136","18-1863136")</f>
        <v>0</v>
      </c>
      <c r="B1192" t="s">
        <v>229</v>
      </c>
      <c r="C1192" t="s">
        <v>341</v>
      </c>
      <c r="D1192" t="s">
        <v>538</v>
      </c>
      <c r="E1192" t="s">
        <v>441</v>
      </c>
      <c r="F1192" t="s">
        <v>1642</v>
      </c>
      <c r="G1192" t="s">
        <v>5834</v>
      </c>
      <c r="H1192" t="s">
        <v>10645</v>
      </c>
      <c r="I1192" t="s">
        <v>17610</v>
      </c>
      <c r="J1192" t="s">
        <v>18894</v>
      </c>
      <c r="K1192">
        <v>11233</v>
      </c>
      <c r="L1192" t="s">
        <v>18958</v>
      </c>
      <c r="M1192" t="s">
        <v>18958</v>
      </c>
      <c r="N1192" t="s">
        <v>19859</v>
      </c>
      <c r="O1192" t="s">
        <v>26523</v>
      </c>
      <c r="P1192" t="s">
        <v>26560</v>
      </c>
      <c r="Q1192" t="s">
        <v>26568</v>
      </c>
      <c r="R1192" t="s">
        <v>26586</v>
      </c>
      <c r="U1192" t="s">
        <v>26605</v>
      </c>
      <c r="W1192" t="s">
        <v>441</v>
      </c>
      <c r="X1192">
        <v>216</v>
      </c>
      <c r="Y1192" t="s">
        <v>26652</v>
      </c>
      <c r="Z1192" t="s">
        <v>26664</v>
      </c>
      <c r="AA1192" t="s">
        <v>26678</v>
      </c>
      <c r="AB1192" t="s">
        <v>27783</v>
      </c>
      <c r="AC1192" t="s">
        <v>34861</v>
      </c>
      <c r="AD1192" t="s">
        <v>37834</v>
      </c>
      <c r="AE1192">
        <v>7</v>
      </c>
      <c r="AF1192" t="s">
        <v>45549</v>
      </c>
      <c r="AG1192" t="s">
        <v>19330</v>
      </c>
      <c r="AH1192">
        <v>15</v>
      </c>
      <c r="AI1192">
        <v>1</v>
      </c>
      <c r="AJ1192">
        <v>0</v>
      </c>
      <c r="AK1192">
        <v>79.08</v>
      </c>
      <c r="AN1192" t="s">
        <v>7439</v>
      </c>
      <c r="AO1192">
        <v>9600</v>
      </c>
      <c r="AQ1192" t="s">
        <v>46359</v>
      </c>
      <c r="AR1192" t="s">
        <v>46380</v>
      </c>
      <c r="AS1192" t="s">
        <v>46499</v>
      </c>
      <c r="AT1192" t="s">
        <v>46676</v>
      </c>
      <c r="AU1192">
        <v>1.6</v>
      </c>
      <c r="AV1192" t="s">
        <v>542</v>
      </c>
      <c r="AW1192" t="s">
        <v>46853</v>
      </c>
    </row>
    <row r="1193" spans="1:50">
      <c r="A1193" s="1">
        <f>HYPERLINK("https://lsnyc.legalserver.org/matter/dynamic-profile/view/1865219","18-1865219")</f>
        <v>0</v>
      </c>
      <c r="B1193" t="s">
        <v>229</v>
      </c>
      <c r="C1193" t="s">
        <v>341</v>
      </c>
      <c r="D1193" t="s">
        <v>539</v>
      </c>
      <c r="E1193" t="s">
        <v>441</v>
      </c>
      <c r="F1193" t="s">
        <v>1643</v>
      </c>
      <c r="G1193" t="s">
        <v>5835</v>
      </c>
      <c r="H1193" t="s">
        <v>10646</v>
      </c>
      <c r="I1193" t="s">
        <v>17312</v>
      </c>
      <c r="J1193" t="s">
        <v>18894</v>
      </c>
      <c r="K1193">
        <v>11236</v>
      </c>
      <c r="L1193" t="s">
        <v>18958</v>
      </c>
      <c r="M1193" t="s">
        <v>18958</v>
      </c>
      <c r="N1193" t="s">
        <v>19860</v>
      </c>
      <c r="O1193" t="s">
        <v>26524</v>
      </c>
      <c r="Q1193" t="s">
        <v>26570</v>
      </c>
      <c r="R1193" t="s">
        <v>26586</v>
      </c>
      <c r="S1193" t="s">
        <v>18959</v>
      </c>
      <c r="U1193" t="s">
        <v>26604</v>
      </c>
      <c r="W1193" t="s">
        <v>441</v>
      </c>
      <c r="X1193">
        <v>1800</v>
      </c>
      <c r="Y1193" t="s">
        <v>26652</v>
      </c>
      <c r="Z1193" t="s">
        <v>26662</v>
      </c>
      <c r="AA1193" t="s">
        <v>26683</v>
      </c>
      <c r="AB1193" t="s">
        <v>27784</v>
      </c>
      <c r="AD1193" t="s">
        <v>37835</v>
      </c>
      <c r="AE1193">
        <v>4</v>
      </c>
      <c r="AG1193" t="s">
        <v>19330</v>
      </c>
      <c r="AH1193">
        <v>1</v>
      </c>
      <c r="AI1193">
        <v>2</v>
      </c>
      <c r="AJ1193">
        <v>6</v>
      </c>
      <c r="AK1193">
        <v>82.59</v>
      </c>
      <c r="AN1193" t="s">
        <v>7439</v>
      </c>
      <c r="AO1193">
        <v>35000</v>
      </c>
      <c r="AU1193">
        <v>2.9</v>
      </c>
      <c r="AV1193" t="s">
        <v>383</v>
      </c>
      <c r="AW1193" t="s">
        <v>281</v>
      </c>
    </row>
    <row r="1194" spans="1:50">
      <c r="A1194" s="1">
        <f>HYPERLINK("https://lsnyc.legalserver.org/matter/dynamic-profile/view/1868150","18-1868150")</f>
        <v>0</v>
      </c>
      <c r="B1194" t="s">
        <v>138</v>
      </c>
      <c r="C1194" t="s">
        <v>340</v>
      </c>
      <c r="D1194" t="s">
        <v>393</v>
      </c>
      <c r="F1194" t="s">
        <v>938</v>
      </c>
      <c r="G1194" t="s">
        <v>5836</v>
      </c>
      <c r="H1194" t="s">
        <v>10647</v>
      </c>
      <c r="I1194" t="s">
        <v>17509</v>
      </c>
      <c r="J1194" t="s">
        <v>18893</v>
      </c>
      <c r="K1194">
        <v>10016</v>
      </c>
      <c r="L1194" t="s">
        <v>18958</v>
      </c>
      <c r="M1194" t="s">
        <v>18958</v>
      </c>
      <c r="O1194" t="s">
        <v>18997</v>
      </c>
      <c r="P1194" t="s">
        <v>26562</v>
      </c>
      <c r="R1194" t="s">
        <v>26578</v>
      </c>
      <c r="S1194" t="s">
        <v>18959</v>
      </c>
      <c r="U1194" t="s">
        <v>26604</v>
      </c>
      <c r="W1194" t="s">
        <v>441</v>
      </c>
      <c r="X1194">
        <v>1205</v>
      </c>
      <c r="Y1194" t="s">
        <v>26651</v>
      </c>
      <c r="Z1194" t="s">
        <v>26657</v>
      </c>
      <c r="AB1194" t="s">
        <v>27785</v>
      </c>
      <c r="AD1194" t="s">
        <v>37836</v>
      </c>
      <c r="AE1194">
        <v>8</v>
      </c>
      <c r="AF1194" t="s">
        <v>45541</v>
      </c>
      <c r="AG1194" t="s">
        <v>19330</v>
      </c>
      <c r="AH1194">
        <v>30</v>
      </c>
      <c r="AI1194">
        <v>2</v>
      </c>
      <c r="AJ1194">
        <v>1</v>
      </c>
      <c r="AK1194">
        <v>250.24</v>
      </c>
      <c r="AL1194" t="s">
        <v>441</v>
      </c>
      <c r="AM1194" t="s">
        <v>45575</v>
      </c>
      <c r="AN1194" t="s">
        <v>7439</v>
      </c>
      <c r="AO1194">
        <v>52000</v>
      </c>
      <c r="AU1194">
        <v>89.90000000000001</v>
      </c>
      <c r="AV1194" t="s">
        <v>832</v>
      </c>
      <c r="AW1194" t="s">
        <v>46835</v>
      </c>
    </row>
    <row r="1195" spans="1:50">
      <c r="A1195" s="1">
        <f>HYPERLINK("https://lsnyc.legalserver.org/matter/dynamic-profile/view/1870570","18-1870570")</f>
        <v>0</v>
      </c>
      <c r="B1195" t="s">
        <v>65</v>
      </c>
      <c r="C1195" t="s">
        <v>341</v>
      </c>
      <c r="D1195" t="s">
        <v>433</v>
      </c>
      <c r="E1195" t="s">
        <v>709</v>
      </c>
      <c r="F1195" t="s">
        <v>1083</v>
      </c>
      <c r="G1195" t="s">
        <v>5515</v>
      </c>
      <c r="H1195" t="s">
        <v>10648</v>
      </c>
      <c r="I1195">
        <v>13</v>
      </c>
      <c r="J1195" t="s">
        <v>18892</v>
      </c>
      <c r="K1195">
        <v>10451</v>
      </c>
      <c r="L1195" t="s">
        <v>18958</v>
      </c>
      <c r="M1195" t="s">
        <v>18958</v>
      </c>
      <c r="N1195" t="s">
        <v>19861</v>
      </c>
      <c r="O1195" t="s">
        <v>26523</v>
      </c>
      <c r="P1195" t="s">
        <v>26560</v>
      </c>
      <c r="Q1195" t="s">
        <v>26568</v>
      </c>
      <c r="R1195" t="s">
        <v>26577</v>
      </c>
      <c r="U1195" t="s">
        <v>26604</v>
      </c>
      <c r="V1195" t="s">
        <v>26609</v>
      </c>
      <c r="W1195" t="s">
        <v>441</v>
      </c>
      <c r="X1195">
        <v>1707.6</v>
      </c>
      <c r="Y1195" t="s">
        <v>26650</v>
      </c>
      <c r="Z1195" t="s">
        <v>26656</v>
      </c>
      <c r="AA1195" t="s">
        <v>26678</v>
      </c>
      <c r="AB1195" t="s">
        <v>27786</v>
      </c>
      <c r="AC1195" t="s">
        <v>34862</v>
      </c>
      <c r="AD1195" t="s">
        <v>37837</v>
      </c>
      <c r="AE1195">
        <v>0</v>
      </c>
      <c r="AF1195" t="s">
        <v>45541</v>
      </c>
      <c r="AG1195" t="s">
        <v>19330</v>
      </c>
      <c r="AH1195">
        <v>9</v>
      </c>
      <c r="AI1195">
        <v>2</v>
      </c>
      <c r="AJ1195">
        <v>0</v>
      </c>
      <c r="AK1195">
        <v>159.85</v>
      </c>
      <c r="AN1195" t="s">
        <v>45581</v>
      </c>
      <c r="AO1195">
        <v>26312</v>
      </c>
      <c r="AP1195" t="s">
        <v>45621</v>
      </c>
      <c r="AQ1195" t="s">
        <v>46362</v>
      </c>
      <c r="AR1195" t="s">
        <v>46429</v>
      </c>
      <c r="AS1195" t="s">
        <v>46499</v>
      </c>
      <c r="AT1195" t="s">
        <v>46559</v>
      </c>
      <c r="AU1195">
        <v>13.95</v>
      </c>
      <c r="AV1195" t="s">
        <v>632</v>
      </c>
      <c r="AW1195" t="s">
        <v>46854</v>
      </c>
    </row>
    <row r="1196" spans="1:50">
      <c r="A1196" s="1">
        <f>HYPERLINK("https://lsnyc.legalserver.org/matter/dynamic-profile/view/1872408","18-1872408")</f>
        <v>0</v>
      </c>
      <c r="B1196" t="s">
        <v>223</v>
      </c>
      <c r="C1196" t="s">
        <v>341</v>
      </c>
      <c r="D1196" t="s">
        <v>446</v>
      </c>
      <c r="E1196" t="s">
        <v>685</v>
      </c>
      <c r="F1196" t="s">
        <v>1644</v>
      </c>
      <c r="G1196" t="s">
        <v>5837</v>
      </c>
      <c r="H1196" t="s">
        <v>10649</v>
      </c>
      <c r="I1196">
        <v>606</v>
      </c>
      <c r="J1196" t="s">
        <v>18893</v>
      </c>
      <c r="K1196">
        <v>10029</v>
      </c>
      <c r="L1196" t="s">
        <v>18958</v>
      </c>
      <c r="M1196" t="s">
        <v>18958</v>
      </c>
      <c r="N1196" t="s">
        <v>19862</v>
      </c>
      <c r="O1196" t="s">
        <v>26524</v>
      </c>
      <c r="P1196" t="s">
        <v>26564</v>
      </c>
      <c r="Q1196" t="s">
        <v>26570</v>
      </c>
      <c r="R1196" t="s">
        <v>26578</v>
      </c>
      <c r="S1196" t="s">
        <v>18959</v>
      </c>
      <c r="U1196" t="s">
        <v>26604</v>
      </c>
      <c r="V1196" t="s">
        <v>26610</v>
      </c>
      <c r="W1196" t="s">
        <v>441</v>
      </c>
      <c r="X1196">
        <v>4000</v>
      </c>
      <c r="Y1196" t="s">
        <v>26651</v>
      </c>
      <c r="Z1196" t="s">
        <v>26664</v>
      </c>
      <c r="AA1196" t="s">
        <v>26683</v>
      </c>
      <c r="AB1196" t="s">
        <v>27787</v>
      </c>
      <c r="AD1196" t="s">
        <v>37838</v>
      </c>
      <c r="AE1196">
        <v>54</v>
      </c>
      <c r="AF1196" t="s">
        <v>45547</v>
      </c>
      <c r="AG1196" t="s">
        <v>19330</v>
      </c>
      <c r="AH1196">
        <v>9</v>
      </c>
      <c r="AI1196">
        <v>1</v>
      </c>
      <c r="AJ1196">
        <v>0</v>
      </c>
      <c r="AK1196">
        <v>120.59</v>
      </c>
      <c r="AN1196" t="s">
        <v>45596</v>
      </c>
      <c r="AO1196">
        <v>14640</v>
      </c>
      <c r="AU1196">
        <v>6.3</v>
      </c>
      <c r="AV1196" t="s">
        <v>525</v>
      </c>
      <c r="AW1196" t="s">
        <v>314</v>
      </c>
      <c r="AX1196" t="s">
        <v>46897</v>
      </c>
    </row>
    <row r="1197" spans="1:50">
      <c r="A1197" s="1">
        <f>HYPERLINK("https://lsnyc.legalserver.org/matter/dynamic-profile/view/1872510","18-1872510")</f>
        <v>0</v>
      </c>
      <c r="B1197" t="s">
        <v>108</v>
      </c>
      <c r="C1197" t="s">
        <v>341</v>
      </c>
      <c r="D1197" t="s">
        <v>408</v>
      </c>
      <c r="E1197" t="s">
        <v>662</v>
      </c>
      <c r="F1197" t="s">
        <v>1253</v>
      </c>
      <c r="G1197" t="s">
        <v>5164</v>
      </c>
      <c r="H1197" t="s">
        <v>10650</v>
      </c>
      <c r="I1197" t="s">
        <v>17278</v>
      </c>
      <c r="J1197" t="s">
        <v>18911</v>
      </c>
      <c r="K1197">
        <v>11375</v>
      </c>
      <c r="L1197" t="s">
        <v>18958</v>
      </c>
      <c r="M1197" t="s">
        <v>18958</v>
      </c>
      <c r="N1197" t="s">
        <v>19863</v>
      </c>
      <c r="O1197" t="s">
        <v>26524</v>
      </c>
      <c r="P1197" t="s">
        <v>26564</v>
      </c>
      <c r="Q1197" t="s">
        <v>26570</v>
      </c>
      <c r="R1197" t="s">
        <v>26584</v>
      </c>
      <c r="S1197" t="s">
        <v>18959</v>
      </c>
      <c r="U1197" t="s">
        <v>26604</v>
      </c>
      <c r="V1197" t="s">
        <v>26610</v>
      </c>
      <c r="W1197" t="s">
        <v>441</v>
      </c>
      <c r="X1197">
        <v>2100</v>
      </c>
      <c r="Y1197" t="s">
        <v>26653</v>
      </c>
      <c r="Z1197" t="s">
        <v>26664</v>
      </c>
      <c r="AA1197" t="s">
        <v>26683</v>
      </c>
      <c r="AB1197" t="s">
        <v>27788</v>
      </c>
      <c r="AC1197" t="s">
        <v>34863</v>
      </c>
      <c r="AD1197" t="s">
        <v>37839</v>
      </c>
      <c r="AE1197">
        <v>37</v>
      </c>
      <c r="AF1197" t="s">
        <v>45541</v>
      </c>
      <c r="AG1197" t="s">
        <v>19330</v>
      </c>
      <c r="AH1197">
        <v>1</v>
      </c>
      <c r="AI1197">
        <v>2</v>
      </c>
      <c r="AJ1197">
        <v>2</v>
      </c>
      <c r="AK1197">
        <v>0</v>
      </c>
      <c r="AM1197" t="s">
        <v>45576</v>
      </c>
      <c r="AN1197" t="s">
        <v>7439</v>
      </c>
      <c r="AO1197">
        <v>0</v>
      </c>
      <c r="AU1197">
        <v>0.1</v>
      </c>
      <c r="AV1197" t="s">
        <v>441</v>
      </c>
      <c r="AW1197" t="s">
        <v>208</v>
      </c>
    </row>
    <row r="1198" spans="1:50">
      <c r="A1198" s="1">
        <f>HYPERLINK("https://lsnyc.legalserver.org/matter/dynamic-profile/view/1872924","18-1872924")</f>
        <v>0</v>
      </c>
      <c r="B1198" t="s">
        <v>77</v>
      </c>
      <c r="C1198" t="s">
        <v>341</v>
      </c>
      <c r="D1198" t="s">
        <v>436</v>
      </c>
      <c r="E1198" t="s">
        <v>687</v>
      </c>
      <c r="F1198" t="s">
        <v>939</v>
      </c>
      <c r="G1198" t="s">
        <v>5633</v>
      </c>
      <c r="H1198" t="s">
        <v>10651</v>
      </c>
      <c r="I1198" t="s">
        <v>17389</v>
      </c>
      <c r="J1198" t="s">
        <v>18893</v>
      </c>
      <c r="K1198">
        <v>10030</v>
      </c>
      <c r="L1198" t="s">
        <v>18958</v>
      </c>
      <c r="M1198" t="s">
        <v>18959</v>
      </c>
      <c r="N1198" t="s">
        <v>19864</v>
      </c>
      <c r="O1198" t="s">
        <v>26523</v>
      </c>
      <c r="P1198" t="s">
        <v>26564</v>
      </c>
      <c r="Q1198" t="s">
        <v>26570</v>
      </c>
      <c r="R1198" t="s">
        <v>26578</v>
      </c>
      <c r="S1198" t="s">
        <v>18959</v>
      </c>
      <c r="U1198" t="s">
        <v>26604</v>
      </c>
      <c r="W1198" t="s">
        <v>441</v>
      </c>
      <c r="X1198">
        <v>988.66</v>
      </c>
      <c r="Y1198" t="s">
        <v>26651</v>
      </c>
      <c r="Z1198" t="s">
        <v>26661</v>
      </c>
      <c r="AA1198" t="s">
        <v>26683</v>
      </c>
      <c r="AB1198" t="s">
        <v>27789</v>
      </c>
      <c r="AD1198" t="s">
        <v>37840</v>
      </c>
      <c r="AE1198">
        <v>52</v>
      </c>
      <c r="AF1198" t="s">
        <v>45541</v>
      </c>
      <c r="AH1198">
        <v>18</v>
      </c>
      <c r="AI1198">
        <v>1</v>
      </c>
      <c r="AJ1198">
        <v>0</v>
      </c>
      <c r="AK1198">
        <v>14.99</v>
      </c>
      <c r="AN1198" t="s">
        <v>7439</v>
      </c>
      <c r="AO1198">
        <v>1820</v>
      </c>
      <c r="AU1198">
        <v>1.4</v>
      </c>
      <c r="AV1198" t="s">
        <v>687</v>
      </c>
      <c r="AW1198" t="s">
        <v>46866</v>
      </c>
    </row>
    <row r="1199" spans="1:50">
      <c r="A1199" s="1">
        <f>HYPERLINK("https://lsnyc.legalserver.org/matter/dynamic-profile/view/1873258","18-1873258")</f>
        <v>0</v>
      </c>
      <c r="B1199" t="s">
        <v>79</v>
      </c>
      <c r="C1199" t="s">
        <v>341</v>
      </c>
      <c r="D1199" t="s">
        <v>410</v>
      </c>
      <c r="E1199" t="s">
        <v>709</v>
      </c>
      <c r="F1199" t="s">
        <v>1174</v>
      </c>
      <c r="G1199" t="s">
        <v>1205</v>
      </c>
      <c r="H1199" t="s">
        <v>10652</v>
      </c>
      <c r="I1199" t="s">
        <v>17611</v>
      </c>
      <c r="J1199" t="s">
        <v>18893</v>
      </c>
      <c r="K1199">
        <v>10029</v>
      </c>
      <c r="L1199" t="s">
        <v>18958</v>
      </c>
      <c r="M1199" t="s">
        <v>18958</v>
      </c>
      <c r="O1199" t="s">
        <v>18997</v>
      </c>
      <c r="P1199" t="s">
        <v>26564</v>
      </c>
      <c r="Q1199" t="s">
        <v>26570</v>
      </c>
      <c r="R1199" t="s">
        <v>26578</v>
      </c>
      <c r="S1199" t="s">
        <v>18959</v>
      </c>
      <c r="U1199" t="s">
        <v>26604</v>
      </c>
      <c r="W1199" t="s">
        <v>441</v>
      </c>
      <c r="X1199">
        <v>2913</v>
      </c>
      <c r="Y1199" t="s">
        <v>26651</v>
      </c>
      <c r="Z1199" t="s">
        <v>26665</v>
      </c>
      <c r="AA1199" t="s">
        <v>26683</v>
      </c>
      <c r="AB1199" t="s">
        <v>27790</v>
      </c>
      <c r="AD1199" t="s">
        <v>37841</v>
      </c>
      <c r="AE1199">
        <v>600</v>
      </c>
      <c r="AF1199" t="s">
        <v>20460</v>
      </c>
      <c r="AG1199" t="s">
        <v>45556</v>
      </c>
      <c r="AH1199">
        <v>43</v>
      </c>
      <c r="AI1199">
        <v>2</v>
      </c>
      <c r="AJ1199">
        <v>0</v>
      </c>
      <c r="AK1199">
        <v>170.52</v>
      </c>
      <c r="AN1199" t="s">
        <v>7439</v>
      </c>
      <c r="AO1199">
        <v>28068</v>
      </c>
      <c r="AU1199">
        <v>5</v>
      </c>
      <c r="AV1199" t="s">
        <v>709</v>
      </c>
      <c r="AW1199" t="s">
        <v>46859</v>
      </c>
    </row>
    <row r="1200" spans="1:50">
      <c r="A1200" s="1">
        <f>HYPERLINK("https://lsnyc.legalserver.org/matter/dynamic-profile/view/1874030","18-1874030")</f>
        <v>0</v>
      </c>
      <c r="B1200" t="s">
        <v>196</v>
      </c>
      <c r="C1200" t="s">
        <v>341</v>
      </c>
      <c r="D1200" t="s">
        <v>492</v>
      </c>
      <c r="E1200" t="s">
        <v>630</v>
      </c>
      <c r="F1200" t="s">
        <v>937</v>
      </c>
      <c r="G1200" t="s">
        <v>5078</v>
      </c>
      <c r="H1200" t="s">
        <v>10653</v>
      </c>
      <c r="I1200">
        <v>31</v>
      </c>
      <c r="J1200" t="s">
        <v>18893</v>
      </c>
      <c r="K1200">
        <v>10029</v>
      </c>
      <c r="L1200" t="s">
        <v>18958</v>
      </c>
      <c r="M1200" t="s">
        <v>18958</v>
      </c>
      <c r="O1200" t="s">
        <v>18997</v>
      </c>
      <c r="P1200" t="s">
        <v>26564</v>
      </c>
      <c r="Q1200" t="s">
        <v>26570</v>
      </c>
      <c r="R1200" t="s">
        <v>26578</v>
      </c>
      <c r="S1200" t="s">
        <v>18959</v>
      </c>
      <c r="U1200" t="s">
        <v>26604</v>
      </c>
      <c r="V1200" t="s">
        <v>26610</v>
      </c>
      <c r="W1200" t="s">
        <v>441</v>
      </c>
      <c r="X1200">
        <v>196.64</v>
      </c>
      <c r="Y1200" t="s">
        <v>26651</v>
      </c>
      <c r="Z1200" t="s">
        <v>26665</v>
      </c>
      <c r="AA1200" t="s">
        <v>26683</v>
      </c>
      <c r="AB1200" t="s">
        <v>27791</v>
      </c>
      <c r="AD1200" t="s">
        <v>37842</v>
      </c>
      <c r="AE1200">
        <v>33</v>
      </c>
      <c r="AF1200" t="s">
        <v>45548</v>
      </c>
      <c r="AG1200" t="s">
        <v>19330</v>
      </c>
      <c r="AH1200">
        <v>55</v>
      </c>
      <c r="AI1200">
        <v>2</v>
      </c>
      <c r="AJ1200">
        <v>0</v>
      </c>
      <c r="AK1200">
        <v>126.34</v>
      </c>
      <c r="AN1200" t="s">
        <v>45581</v>
      </c>
      <c r="AO1200">
        <v>20796</v>
      </c>
      <c r="AU1200">
        <v>1.7</v>
      </c>
      <c r="AV1200" t="s">
        <v>441</v>
      </c>
      <c r="AW1200" t="s">
        <v>46841</v>
      </c>
    </row>
    <row r="1201" spans="1:50">
      <c r="A1201" s="1">
        <f>HYPERLINK("https://lsnyc.legalserver.org/matter/dynamic-profile/view/1874036","18-1874036")</f>
        <v>0</v>
      </c>
      <c r="B1201" t="s">
        <v>216</v>
      </c>
      <c r="C1201" t="s">
        <v>341</v>
      </c>
      <c r="D1201" t="s">
        <v>492</v>
      </c>
      <c r="E1201" t="s">
        <v>494</v>
      </c>
      <c r="F1201" t="s">
        <v>1467</v>
      </c>
      <c r="G1201" t="s">
        <v>5838</v>
      </c>
      <c r="H1201" t="s">
        <v>10654</v>
      </c>
      <c r="I1201" t="s">
        <v>17360</v>
      </c>
      <c r="J1201" t="s">
        <v>18894</v>
      </c>
      <c r="K1201">
        <v>11212</v>
      </c>
      <c r="L1201" t="s">
        <v>18958</v>
      </c>
      <c r="M1201" t="s">
        <v>18958</v>
      </c>
      <c r="N1201" t="s">
        <v>19865</v>
      </c>
      <c r="O1201" t="s">
        <v>26523</v>
      </c>
      <c r="P1201" t="s">
        <v>26560</v>
      </c>
      <c r="Q1201" t="s">
        <v>26570</v>
      </c>
      <c r="R1201" t="s">
        <v>26578</v>
      </c>
      <c r="S1201" t="s">
        <v>18959</v>
      </c>
      <c r="U1201" t="s">
        <v>26604</v>
      </c>
      <c r="W1201" t="s">
        <v>441</v>
      </c>
      <c r="X1201">
        <v>950</v>
      </c>
      <c r="Y1201" t="s">
        <v>26652</v>
      </c>
      <c r="Z1201" t="s">
        <v>26659</v>
      </c>
      <c r="AA1201" t="s">
        <v>26683</v>
      </c>
      <c r="AB1201" t="s">
        <v>27792</v>
      </c>
      <c r="AC1201" t="s">
        <v>34864</v>
      </c>
      <c r="AD1201" t="s">
        <v>37843</v>
      </c>
      <c r="AE1201">
        <v>23</v>
      </c>
      <c r="AF1201" t="s">
        <v>45541</v>
      </c>
      <c r="AG1201" t="s">
        <v>45561</v>
      </c>
      <c r="AH1201">
        <v>8</v>
      </c>
      <c r="AI1201">
        <v>2</v>
      </c>
      <c r="AJ1201">
        <v>0</v>
      </c>
      <c r="AK1201">
        <v>138.15</v>
      </c>
      <c r="AN1201" t="s">
        <v>7439</v>
      </c>
      <c r="AO1201">
        <v>22740</v>
      </c>
      <c r="AU1201">
        <v>6.85</v>
      </c>
      <c r="AV1201" t="s">
        <v>664</v>
      </c>
      <c r="AW1201" t="s">
        <v>279</v>
      </c>
    </row>
    <row r="1202" spans="1:50">
      <c r="A1202" s="1">
        <f>HYPERLINK("https://lsnyc.legalserver.org/matter/dynamic-profile/view/1875521","18-1875521")</f>
        <v>0</v>
      </c>
      <c r="B1202" t="s">
        <v>120</v>
      </c>
      <c r="C1202" t="s">
        <v>340</v>
      </c>
      <c r="D1202" t="s">
        <v>516</v>
      </c>
      <c r="F1202" t="s">
        <v>1645</v>
      </c>
      <c r="G1202" t="s">
        <v>5839</v>
      </c>
      <c r="H1202" t="s">
        <v>10655</v>
      </c>
      <c r="I1202" t="s">
        <v>17496</v>
      </c>
      <c r="J1202" t="s">
        <v>18892</v>
      </c>
      <c r="K1202">
        <v>10468</v>
      </c>
      <c r="L1202" t="s">
        <v>18958</v>
      </c>
      <c r="M1202" t="s">
        <v>18958</v>
      </c>
      <c r="N1202" t="s">
        <v>19866</v>
      </c>
      <c r="O1202" t="s">
        <v>26523</v>
      </c>
      <c r="P1202" t="s">
        <v>26560</v>
      </c>
      <c r="R1202" t="s">
        <v>26579</v>
      </c>
      <c r="S1202" t="s">
        <v>18959</v>
      </c>
      <c r="U1202" t="s">
        <v>26604</v>
      </c>
      <c r="V1202" t="s">
        <v>26610</v>
      </c>
      <c r="W1202" t="s">
        <v>441</v>
      </c>
      <c r="X1202">
        <v>1200</v>
      </c>
      <c r="Y1202" t="s">
        <v>26650</v>
      </c>
      <c r="Z1202" t="s">
        <v>26669</v>
      </c>
      <c r="AB1202" t="s">
        <v>27793</v>
      </c>
      <c r="AC1202" t="s">
        <v>34865</v>
      </c>
      <c r="AD1202" t="s">
        <v>37844</v>
      </c>
      <c r="AE1202">
        <v>40</v>
      </c>
      <c r="AF1202" t="s">
        <v>45541</v>
      </c>
      <c r="AG1202" t="s">
        <v>45556</v>
      </c>
      <c r="AH1202">
        <v>1</v>
      </c>
      <c r="AI1202">
        <v>1</v>
      </c>
      <c r="AJ1202">
        <v>1</v>
      </c>
      <c r="AK1202">
        <v>31.59</v>
      </c>
      <c r="AN1202" t="s">
        <v>45596</v>
      </c>
      <c r="AO1202">
        <v>5200</v>
      </c>
      <c r="AQ1202" t="s">
        <v>46361</v>
      </c>
      <c r="AR1202" t="s">
        <v>46430</v>
      </c>
      <c r="AS1202" t="s">
        <v>46499</v>
      </c>
      <c r="AT1202" t="s">
        <v>46677</v>
      </c>
      <c r="AU1202">
        <v>12.4</v>
      </c>
      <c r="AV1202" t="s">
        <v>659</v>
      </c>
      <c r="AW1202" t="s">
        <v>46847</v>
      </c>
    </row>
    <row r="1203" spans="1:50">
      <c r="A1203" s="1">
        <f>HYPERLINK("https://lsnyc.legalserver.org/matter/dynamic-profile/view/1875697","18-1875697")</f>
        <v>0</v>
      </c>
      <c r="B1203" t="s">
        <v>77</v>
      </c>
      <c r="C1203" t="s">
        <v>341</v>
      </c>
      <c r="D1203" t="s">
        <v>533</v>
      </c>
      <c r="E1203" t="s">
        <v>687</v>
      </c>
      <c r="F1203" t="s">
        <v>1062</v>
      </c>
      <c r="G1203" t="s">
        <v>5840</v>
      </c>
      <c r="H1203" t="s">
        <v>10656</v>
      </c>
      <c r="I1203" t="s">
        <v>17306</v>
      </c>
      <c r="J1203" t="s">
        <v>18893</v>
      </c>
      <c r="K1203">
        <v>10027</v>
      </c>
      <c r="L1203" t="s">
        <v>18958</v>
      </c>
      <c r="M1203" t="s">
        <v>18958</v>
      </c>
      <c r="N1203" t="s">
        <v>19867</v>
      </c>
      <c r="O1203" t="s">
        <v>26523</v>
      </c>
      <c r="P1203" t="s">
        <v>26560</v>
      </c>
      <c r="Q1203" t="s">
        <v>26568</v>
      </c>
      <c r="R1203" t="s">
        <v>26595</v>
      </c>
      <c r="S1203" t="s">
        <v>18959</v>
      </c>
      <c r="U1203" t="s">
        <v>26604</v>
      </c>
      <c r="W1203" t="s">
        <v>441</v>
      </c>
      <c r="X1203">
        <v>783.27</v>
      </c>
      <c r="Y1203" t="s">
        <v>26651</v>
      </c>
      <c r="Z1203" t="s">
        <v>26664</v>
      </c>
      <c r="AA1203" t="s">
        <v>26678</v>
      </c>
      <c r="AB1203" t="s">
        <v>27794</v>
      </c>
      <c r="AD1203" t="s">
        <v>37845</v>
      </c>
      <c r="AE1203">
        <v>0</v>
      </c>
      <c r="AF1203" t="s">
        <v>45541</v>
      </c>
      <c r="AG1203" t="s">
        <v>19330</v>
      </c>
      <c r="AH1203">
        <v>18</v>
      </c>
      <c r="AI1203">
        <v>2</v>
      </c>
      <c r="AJ1203">
        <v>0</v>
      </c>
      <c r="AK1203">
        <v>200.17</v>
      </c>
      <c r="AN1203" t="s">
        <v>7439</v>
      </c>
      <c r="AO1203">
        <v>32947.2</v>
      </c>
      <c r="AR1203" t="s">
        <v>46381</v>
      </c>
      <c r="AS1203" t="s">
        <v>46499</v>
      </c>
      <c r="AT1203" t="s">
        <v>46678</v>
      </c>
      <c r="AU1203">
        <v>4.9</v>
      </c>
      <c r="AV1203" t="s">
        <v>643</v>
      </c>
      <c r="AW1203" t="s">
        <v>314</v>
      </c>
    </row>
    <row r="1204" spans="1:50">
      <c r="A1204" s="1">
        <f>HYPERLINK("https://lsnyc.legalserver.org/matter/dynamic-profile/view/1875263","18-1875263")</f>
        <v>0</v>
      </c>
      <c r="B1204" t="s">
        <v>145</v>
      </c>
      <c r="C1204" t="s">
        <v>341</v>
      </c>
      <c r="D1204" t="s">
        <v>441</v>
      </c>
      <c r="E1204" t="s">
        <v>660</v>
      </c>
      <c r="F1204" t="s">
        <v>1646</v>
      </c>
      <c r="G1204" t="s">
        <v>5841</v>
      </c>
      <c r="H1204" t="s">
        <v>10657</v>
      </c>
      <c r="I1204" t="s">
        <v>17374</v>
      </c>
      <c r="J1204" t="s">
        <v>18902</v>
      </c>
      <c r="K1204">
        <v>10305</v>
      </c>
      <c r="L1204" t="s">
        <v>18958</v>
      </c>
      <c r="M1204" t="s">
        <v>18958</v>
      </c>
      <c r="N1204" t="s">
        <v>19868</v>
      </c>
      <c r="O1204" t="s">
        <v>26524</v>
      </c>
      <c r="P1204" t="s">
        <v>26560</v>
      </c>
      <c r="Q1204" t="s">
        <v>26568</v>
      </c>
      <c r="R1204" t="s">
        <v>26587</v>
      </c>
      <c r="S1204" t="s">
        <v>18959</v>
      </c>
      <c r="U1204" t="s">
        <v>26604</v>
      </c>
      <c r="V1204" t="s">
        <v>26610</v>
      </c>
      <c r="W1204" t="s">
        <v>441</v>
      </c>
      <c r="X1204">
        <v>850</v>
      </c>
      <c r="Y1204" t="s">
        <v>26654</v>
      </c>
      <c r="Z1204" t="s">
        <v>26663</v>
      </c>
      <c r="AA1204" t="s">
        <v>26679</v>
      </c>
      <c r="AB1204" t="s">
        <v>27795</v>
      </c>
      <c r="AD1204" t="s">
        <v>37846</v>
      </c>
      <c r="AE1204">
        <v>3</v>
      </c>
      <c r="AF1204" t="s">
        <v>45547</v>
      </c>
      <c r="AG1204" t="s">
        <v>19330</v>
      </c>
      <c r="AH1204">
        <v>8</v>
      </c>
      <c r="AI1204">
        <v>1</v>
      </c>
      <c r="AJ1204">
        <v>0</v>
      </c>
      <c r="AK1204">
        <v>84.02</v>
      </c>
      <c r="AO1204">
        <v>10200</v>
      </c>
      <c r="AQ1204" t="s">
        <v>46365</v>
      </c>
      <c r="AS1204" t="s">
        <v>46499</v>
      </c>
      <c r="AT1204" t="s">
        <v>46679</v>
      </c>
      <c r="AU1204">
        <v>9.9</v>
      </c>
      <c r="AV1204" t="s">
        <v>751</v>
      </c>
      <c r="AW1204" t="s">
        <v>190</v>
      </c>
    </row>
    <row r="1205" spans="1:50">
      <c r="A1205" s="1">
        <f>HYPERLINK("https://lsnyc.legalserver.org/matter/dynamic-profile/view/1875902","18-1875902")</f>
        <v>0</v>
      </c>
      <c r="B1205" t="s">
        <v>98</v>
      </c>
      <c r="C1205" t="s">
        <v>341</v>
      </c>
      <c r="D1205" t="s">
        <v>441</v>
      </c>
      <c r="E1205" t="s">
        <v>703</v>
      </c>
      <c r="F1205" t="s">
        <v>1647</v>
      </c>
      <c r="G1205" t="s">
        <v>5143</v>
      </c>
      <c r="H1205" t="s">
        <v>10658</v>
      </c>
      <c r="I1205" t="s">
        <v>17288</v>
      </c>
      <c r="J1205" t="s">
        <v>18892</v>
      </c>
      <c r="K1205">
        <v>10453</v>
      </c>
      <c r="L1205" t="s">
        <v>18958</v>
      </c>
      <c r="M1205" t="s">
        <v>18958</v>
      </c>
      <c r="O1205" t="s">
        <v>18997</v>
      </c>
      <c r="P1205" t="s">
        <v>26564</v>
      </c>
      <c r="Q1205" t="s">
        <v>26570</v>
      </c>
      <c r="R1205" t="s">
        <v>26578</v>
      </c>
      <c r="S1205" t="s">
        <v>18959</v>
      </c>
      <c r="U1205" t="s">
        <v>26604</v>
      </c>
      <c r="W1205" t="s">
        <v>441</v>
      </c>
      <c r="X1205">
        <v>1380.6</v>
      </c>
      <c r="Y1205" t="s">
        <v>26650</v>
      </c>
      <c r="Z1205" t="s">
        <v>26661</v>
      </c>
      <c r="AA1205" t="s">
        <v>26683</v>
      </c>
      <c r="AB1205" t="s">
        <v>27796</v>
      </c>
      <c r="AD1205" t="s">
        <v>37847</v>
      </c>
      <c r="AE1205">
        <v>278</v>
      </c>
      <c r="AF1205" t="s">
        <v>45541</v>
      </c>
      <c r="AG1205" t="s">
        <v>45556</v>
      </c>
      <c r="AH1205">
        <v>26</v>
      </c>
      <c r="AI1205">
        <v>1</v>
      </c>
      <c r="AJ1205">
        <v>0</v>
      </c>
      <c r="AK1205">
        <v>74.14</v>
      </c>
      <c r="AN1205" t="s">
        <v>45581</v>
      </c>
      <c r="AO1205">
        <v>9000</v>
      </c>
      <c r="AU1205">
        <v>1.5</v>
      </c>
      <c r="AV1205" t="s">
        <v>703</v>
      </c>
      <c r="AW1205" t="s">
        <v>98</v>
      </c>
    </row>
    <row r="1206" spans="1:50">
      <c r="A1206" s="1">
        <f>HYPERLINK("https://lsnyc.legalserver.org/matter/dynamic-profile/view/1875835","18-1875835")</f>
        <v>0</v>
      </c>
      <c r="B1206" t="s">
        <v>98</v>
      </c>
      <c r="C1206" t="s">
        <v>341</v>
      </c>
      <c r="D1206" t="s">
        <v>441</v>
      </c>
      <c r="E1206" t="s">
        <v>684</v>
      </c>
      <c r="F1206" t="s">
        <v>1648</v>
      </c>
      <c r="G1206" t="s">
        <v>5842</v>
      </c>
      <c r="H1206" t="s">
        <v>10659</v>
      </c>
      <c r="I1206" t="s">
        <v>17612</v>
      </c>
      <c r="J1206" t="s">
        <v>18892</v>
      </c>
      <c r="K1206">
        <v>10453</v>
      </c>
      <c r="L1206" t="s">
        <v>18958</v>
      </c>
      <c r="M1206" t="s">
        <v>18958</v>
      </c>
      <c r="O1206" t="s">
        <v>18997</v>
      </c>
      <c r="P1206" t="s">
        <v>26564</v>
      </c>
      <c r="Q1206" t="s">
        <v>26570</v>
      </c>
      <c r="R1206" t="s">
        <v>26578</v>
      </c>
      <c r="S1206" t="s">
        <v>18959</v>
      </c>
      <c r="U1206" t="s">
        <v>26604</v>
      </c>
      <c r="W1206" t="s">
        <v>441</v>
      </c>
      <c r="X1206">
        <v>621.6900000000001</v>
      </c>
      <c r="Y1206" t="s">
        <v>26650</v>
      </c>
      <c r="Z1206" t="s">
        <v>26661</v>
      </c>
      <c r="AA1206" t="s">
        <v>26683</v>
      </c>
      <c r="AB1206" t="s">
        <v>27797</v>
      </c>
      <c r="AD1206" t="s">
        <v>37848</v>
      </c>
      <c r="AE1206">
        <v>49</v>
      </c>
      <c r="AF1206" t="s">
        <v>45541</v>
      </c>
      <c r="AG1206" t="s">
        <v>45559</v>
      </c>
      <c r="AH1206">
        <v>41</v>
      </c>
      <c r="AI1206">
        <v>2</v>
      </c>
      <c r="AJ1206">
        <v>0</v>
      </c>
      <c r="AK1206">
        <v>134.87</v>
      </c>
      <c r="AN1206" t="s">
        <v>45581</v>
      </c>
      <c r="AO1206">
        <v>22200</v>
      </c>
      <c r="AU1206">
        <v>2</v>
      </c>
      <c r="AV1206" t="s">
        <v>684</v>
      </c>
      <c r="AW1206" t="s">
        <v>98</v>
      </c>
    </row>
    <row r="1207" spans="1:50">
      <c r="A1207" s="1">
        <f>HYPERLINK("https://lsnyc.legalserver.org/matter/dynamic-profile/view/1875882","18-1875882")</f>
        <v>0</v>
      </c>
      <c r="B1207" t="s">
        <v>98</v>
      </c>
      <c r="C1207" t="s">
        <v>341</v>
      </c>
      <c r="D1207" t="s">
        <v>441</v>
      </c>
      <c r="E1207" t="s">
        <v>684</v>
      </c>
      <c r="F1207" t="s">
        <v>1649</v>
      </c>
      <c r="G1207" t="s">
        <v>5843</v>
      </c>
      <c r="H1207" t="s">
        <v>10660</v>
      </c>
      <c r="I1207" t="s">
        <v>17344</v>
      </c>
      <c r="J1207" t="s">
        <v>18892</v>
      </c>
      <c r="K1207">
        <v>10453</v>
      </c>
      <c r="L1207" t="s">
        <v>18958</v>
      </c>
      <c r="M1207" t="s">
        <v>18958</v>
      </c>
      <c r="O1207" t="s">
        <v>18997</v>
      </c>
      <c r="P1207" t="s">
        <v>26564</v>
      </c>
      <c r="Q1207" t="s">
        <v>26570</v>
      </c>
      <c r="R1207" t="s">
        <v>26578</v>
      </c>
      <c r="S1207" t="s">
        <v>18959</v>
      </c>
      <c r="U1207" t="s">
        <v>26604</v>
      </c>
      <c r="W1207" t="s">
        <v>441</v>
      </c>
      <c r="X1207">
        <v>1275</v>
      </c>
      <c r="Y1207" t="s">
        <v>26650</v>
      </c>
      <c r="Z1207" t="s">
        <v>26661</v>
      </c>
      <c r="AA1207" t="s">
        <v>26683</v>
      </c>
      <c r="AB1207" t="s">
        <v>27798</v>
      </c>
      <c r="AD1207" t="s">
        <v>37849</v>
      </c>
      <c r="AE1207">
        <v>111</v>
      </c>
      <c r="AF1207" t="s">
        <v>45541</v>
      </c>
      <c r="AG1207" t="s">
        <v>19330</v>
      </c>
      <c r="AH1207">
        <v>17</v>
      </c>
      <c r="AI1207">
        <v>2</v>
      </c>
      <c r="AJ1207">
        <v>0</v>
      </c>
      <c r="AK1207">
        <v>145.81</v>
      </c>
      <c r="AN1207" t="s">
        <v>7439</v>
      </c>
      <c r="AO1207">
        <v>24000</v>
      </c>
      <c r="AU1207">
        <v>1.5</v>
      </c>
      <c r="AV1207" t="s">
        <v>684</v>
      </c>
      <c r="AW1207" t="s">
        <v>98</v>
      </c>
    </row>
    <row r="1208" spans="1:50">
      <c r="A1208" s="1">
        <f>HYPERLINK("https://lsnyc.legalserver.org/matter/dynamic-profile/view/1875810","18-1875810")</f>
        <v>0</v>
      </c>
      <c r="B1208" t="s">
        <v>109</v>
      </c>
      <c r="C1208" t="s">
        <v>341</v>
      </c>
      <c r="D1208" t="s">
        <v>441</v>
      </c>
      <c r="E1208" t="s">
        <v>846</v>
      </c>
      <c r="F1208" t="s">
        <v>1650</v>
      </c>
      <c r="G1208" t="s">
        <v>5844</v>
      </c>
      <c r="H1208" t="s">
        <v>10661</v>
      </c>
      <c r="I1208" t="s">
        <v>17558</v>
      </c>
      <c r="J1208" t="s">
        <v>18902</v>
      </c>
      <c r="K1208">
        <v>10314</v>
      </c>
      <c r="L1208" t="s">
        <v>18958</v>
      </c>
      <c r="M1208" t="s">
        <v>18958</v>
      </c>
      <c r="N1208" t="s">
        <v>19869</v>
      </c>
      <c r="O1208" t="s">
        <v>26523</v>
      </c>
      <c r="P1208" t="s">
        <v>26560</v>
      </c>
      <c r="Q1208" t="s">
        <v>26568</v>
      </c>
      <c r="R1208" t="s">
        <v>26590</v>
      </c>
      <c r="S1208" t="s">
        <v>18959</v>
      </c>
      <c r="U1208" t="s">
        <v>26604</v>
      </c>
      <c r="V1208" t="s">
        <v>26614</v>
      </c>
      <c r="W1208" t="s">
        <v>441</v>
      </c>
      <c r="X1208">
        <v>1500</v>
      </c>
      <c r="Y1208" t="s">
        <v>26654</v>
      </c>
      <c r="Z1208" t="s">
        <v>26668</v>
      </c>
      <c r="AA1208" t="s">
        <v>26678</v>
      </c>
      <c r="AB1208" t="s">
        <v>27799</v>
      </c>
      <c r="AD1208" t="s">
        <v>37850</v>
      </c>
      <c r="AE1208">
        <v>2</v>
      </c>
      <c r="AF1208" t="s">
        <v>45547</v>
      </c>
      <c r="AG1208" t="s">
        <v>19330</v>
      </c>
      <c r="AH1208">
        <v>1</v>
      </c>
      <c r="AI1208">
        <v>2</v>
      </c>
      <c r="AJ1208">
        <v>2</v>
      </c>
      <c r="AK1208">
        <v>106.07</v>
      </c>
      <c r="AO1208">
        <v>26624</v>
      </c>
      <c r="AQ1208" t="s">
        <v>46362</v>
      </c>
      <c r="AR1208" t="s">
        <v>46379</v>
      </c>
      <c r="AS1208" t="s">
        <v>46499</v>
      </c>
      <c r="AT1208" t="s">
        <v>46579</v>
      </c>
      <c r="AU1208">
        <v>8.199999999999999</v>
      </c>
      <c r="AV1208" t="s">
        <v>846</v>
      </c>
      <c r="AW1208" t="s">
        <v>190</v>
      </c>
    </row>
    <row r="1209" spans="1:50">
      <c r="A1209" s="1">
        <f>HYPERLINK("https://lsnyc.legalserver.org/matter/dynamic-profile/view/1875891","18-1875891")</f>
        <v>0</v>
      </c>
      <c r="B1209" t="s">
        <v>131</v>
      </c>
      <c r="C1209" t="s">
        <v>341</v>
      </c>
      <c r="D1209" t="s">
        <v>441</v>
      </c>
      <c r="E1209" t="s">
        <v>809</v>
      </c>
      <c r="F1209" t="s">
        <v>1253</v>
      </c>
      <c r="G1209" t="s">
        <v>5845</v>
      </c>
      <c r="H1209" t="s">
        <v>10662</v>
      </c>
      <c r="J1209" t="s">
        <v>18902</v>
      </c>
      <c r="K1209">
        <v>10314</v>
      </c>
      <c r="L1209" t="s">
        <v>18958</v>
      </c>
      <c r="M1209" t="s">
        <v>18958</v>
      </c>
      <c r="N1209" t="s">
        <v>19870</v>
      </c>
      <c r="O1209" t="s">
        <v>26523</v>
      </c>
      <c r="P1209" t="s">
        <v>26560</v>
      </c>
      <c r="Q1209" t="s">
        <v>26568</v>
      </c>
      <c r="R1209" t="s">
        <v>26590</v>
      </c>
      <c r="S1209" t="s">
        <v>18959</v>
      </c>
      <c r="U1209" t="s">
        <v>26604</v>
      </c>
      <c r="V1209" t="s">
        <v>26610</v>
      </c>
      <c r="W1209" t="s">
        <v>441</v>
      </c>
      <c r="X1209">
        <v>1900</v>
      </c>
      <c r="Y1209" t="s">
        <v>26654</v>
      </c>
      <c r="Z1209" t="s">
        <v>26530</v>
      </c>
      <c r="AA1209" t="s">
        <v>26679</v>
      </c>
      <c r="AB1209" t="s">
        <v>27800</v>
      </c>
      <c r="AD1209" t="s">
        <v>37851</v>
      </c>
      <c r="AE1209">
        <v>2</v>
      </c>
      <c r="AF1209" t="s">
        <v>45547</v>
      </c>
      <c r="AG1209" t="s">
        <v>19330</v>
      </c>
      <c r="AH1209">
        <v>3</v>
      </c>
      <c r="AI1209">
        <v>3</v>
      </c>
      <c r="AJ1209">
        <v>3</v>
      </c>
      <c r="AK1209">
        <v>197.04</v>
      </c>
      <c r="AN1209" t="s">
        <v>7439</v>
      </c>
      <c r="AO1209">
        <v>66480</v>
      </c>
      <c r="AQ1209" t="s">
        <v>46365</v>
      </c>
      <c r="AR1209" t="s">
        <v>26530</v>
      </c>
      <c r="AS1209" t="s">
        <v>46500</v>
      </c>
      <c r="AU1209">
        <v>17.65</v>
      </c>
      <c r="AV1209" t="s">
        <v>808</v>
      </c>
      <c r="AW1209" t="s">
        <v>190</v>
      </c>
    </row>
    <row r="1210" spans="1:50">
      <c r="A1210" s="1">
        <f>HYPERLINK("https://lsnyc.legalserver.org/matter/dynamic-profile/view/1875822","18-1875822")</f>
        <v>0</v>
      </c>
      <c r="B1210" t="s">
        <v>153</v>
      </c>
      <c r="C1210" t="s">
        <v>341</v>
      </c>
      <c r="D1210" t="s">
        <v>441</v>
      </c>
      <c r="E1210" t="s">
        <v>762</v>
      </c>
      <c r="F1210" t="s">
        <v>1651</v>
      </c>
      <c r="G1210" t="s">
        <v>5846</v>
      </c>
      <c r="H1210" t="s">
        <v>10663</v>
      </c>
      <c r="J1210" t="s">
        <v>18902</v>
      </c>
      <c r="K1210">
        <v>10302</v>
      </c>
      <c r="L1210" t="s">
        <v>18958</v>
      </c>
      <c r="M1210" t="s">
        <v>18958</v>
      </c>
      <c r="N1210" t="s">
        <v>19871</v>
      </c>
      <c r="O1210" t="s">
        <v>26523</v>
      </c>
      <c r="P1210" t="s">
        <v>26560</v>
      </c>
      <c r="Q1210" t="s">
        <v>26573</v>
      </c>
      <c r="R1210" t="s">
        <v>26590</v>
      </c>
      <c r="S1210" t="s">
        <v>18959</v>
      </c>
      <c r="U1210" t="s">
        <v>26604</v>
      </c>
      <c r="V1210" t="s">
        <v>26610</v>
      </c>
      <c r="W1210" t="s">
        <v>441</v>
      </c>
      <c r="X1210">
        <v>2200</v>
      </c>
      <c r="Y1210" t="s">
        <v>26654</v>
      </c>
      <c r="Z1210" t="s">
        <v>26668</v>
      </c>
      <c r="AA1210" t="s">
        <v>26679</v>
      </c>
      <c r="AB1210" t="s">
        <v>27390</v>
      </c>
      <c r="AD1210" t="s">
        <v>37852</v>
      </c>
      <c r="AE1210">
        <v>0</v>
      </c>
      <c r="AH1210">
        <v>2</v>
      </c>
      <c r="AI1210">
        <v>4</v>
      </c>
      <c r="AJ1210">
        <v>4</v>
      </c>
      <c r="AK1210">
        <v>55.75</v>
      </c>
      <c r="AN1210" t="s">
        <v>7439</v>
      </c>
      <c r="AO1210">
        <v>23628</v>
      </c>
      <c r="AU1210">
        <v>16.95</v>
      </c>
      <c r="AV1210" t="s">
        <v>574</v>
      </c>
      <c r="AW1210" t="s">
        <v>190</v>
      </c>
    </row>
    <row r="1211" spans="1:50">
      <c r="A1211" s="1">
        <f>HYPERLINK("https://lsnyc.legalserver.org/matter/dynamic-profile/view/1875864","18-1875864")</f>
        <v>0</v>
      </c>
      <c r="B1211" t="s">
        <v>153</v>
      </c>
      <c r="C1211" t="s">
        <v>341</v>
      </c>
      <c r="D1211" t="s">
        <v>441</v>
      </c>
      <c r="E1211" t="s">
        <v>575</v>
      </c>
      <c r="F1211" t="s">
        <v>1652</v>
      </c>
      <c r="G1211" t="s">
        <v>5847</v>
      </c>
      <c r="H1211" t="s">
        <v>10664</v>
      </c>
      <c r="I1211" t="s">
        <v>17613</v>
      </c>
      <c r="J1211" t="s">
        <v>18902</v>
      </c>
      <c r="K1211">
        <v>10303</v>
      </c>
      <c r="L1211" t="s">
        <v>18958</v>
      </c>
      <c r="M1211" t="s">
        <v>18958</v>
      </c>
      <c r="N1211" t="s">
        <v>19872</v>
      </c>
      <c r="O1211" t="s">
        <v>26524</v>
      </c>
      <c r="P1211" t="s">
        <v>26560</v>
      </c>
      <c r="Q1211" t="s">
        <v>26568</v>
      </c>
      <c r="R1211" t="s">
        <v>26590</v>
      </c>
      <c r="S1211" t="s">
        <v>18959</v>
      </c>
      <c r="U1211" t="s">
        <v>26604</v>
      </c>
      <c r="V1211" t="s">
        <v>26610</v>
      </c>
      <c r="W1211" t="s">
        <v>441</v>
      </c>
      <c r="X1211">
        <v>1800</v>
      </c>
      <c r="Y1211" t="s">
        <v>26654</v>
      </c>
      <c r="Z1211" t="s">
        <v>26668</v>
      </c>
      <c r="AA1211" t="s">
        <v>26679</v>
      </c>
      <c r="AB1211" t="s">
        <v>27801</v>
      </c>
      <c r="AE1211">
        <v>2</v>
      </c>
      <c r="AF1211" t="s">
        <v>45547</v>
      </c>
      <c r="AG1211" t="s">
        <v>19330</v>
      </c>
      <c r="AH1211">
        <v>2</v>
      </c>
      <c r="AI1211">
        <v>2</v>
      </c>
      <c r="AJ1211">
        <v>3</v>
      </c>
      <c r="AK1211">
        <v>147.52</v>
      </c>
      <c r="AO1211">
        <v>43400</v>
      </c>
      <c r="AU1211">
        <v>2.5</v>
      </c>
      <c r="AV1211" t="s">
        <v>575</v>
      </c>
      <c r="AW1211" t="s">
        <v>190</v>
      </c>
    </row>
    <row r="1212" spans="1:50">
      <c r="A1212" s="1">
        <f>HYPERLINK("https://lsnyc.legalserver.org/matter/dynamic-profile/view/1875885","18-1875885")</f>
        <v>0</v>
      </c>
      <c r="B1212" t="s">
        <v>93</v>
      </c>
      <c r="C1212" t="s">
        <v>341</v>
      </c>
      <c r="D1212" t="s">
        <v>441</v>
      </c>
      <c r="E1212" t="s">
        <v>494</v>
      </c>
      <c r="F1212" t="s">
        <v>1653</v>
      </c>
      <c r="G1212" t="s">
        <v>5848</v>
      </c>
      <c r="H1212" t="s">
        <v>10665</v>
      </c>
      <c r="I1212" t="s">
        <v>17316</v>
      </c>
      <c r="J1212" t="s">
        <v>18928</v>
      </c>
      <c r="K1212">
        <v>11365</v>
      </c>
      <c r="L1212" t="s">
        <v>18958</v>
      </c>
      <c r="M1212" t="s">
        <v>18958</v>
      </c>
      <c r="N1212" t="s">
        <v>19873</v>
      </c>
      <c r="O1212" t="s">
        <v>26523</v>
      </c>
      <c r="P1212" t="s">
        <v>26560</v>
      </c>
      <c r="Q1212" t="s">
        <v>26568</v>
      </c>
      <c r="R1212" t="s">
        <v>26589</v>
      </c>
      <c r="S1212" t="s">
        <v>18959</v>
      </c>
      <c r="U1212" t="s">
        <v>26605</v>
      </c>
      <c r="V1212" t="s">
        <v>26610</v>
      </c>
      <c r="W1212" t="s">
        <v>441</v>
      </c>
      <c r="X1212">
        <v>521</v>
      </c>
      <c r="Y1212" t="s">
        <v>26653</v>
      </c>
      <c r="Z1212" t="s">
        <v>26671</v>
      </c>
      <c r="AA1212" t="s">
        <v>26680</v>
      </c>
      <c r="AB1212" t="s">
        <v>27802</v>
      </c>
      <c r="AC1212" t="s">
        <v>34866</v>
      </c>
      <c r="AD1212" t="s">
        <v>37853</v>
      </c>
      <c r="AE1212">
        <v>100</v>
      </c>
      <c r="AF1212" t="s">
        <v>45549</v>
      </c>
      <c r="AG1212" t="s">
        <v>19330</v>
      </c>
      <c r="AH1212">
        <v>13</v>
      </c>
      <c r="AI1212">
        <v>1</v>
      </c>
      <c r="AJ1212">
        <v>2</v>
      </c>
      <c r="AK1212">
        <v>36.38</v>
      </c>
      <c r="AL1212" t="s">
        <v>45567</v>
      </c>
      <c r="AM1212" t="s">
        <v>45577</v>
      </c>
      <c r="AN1212" t="s">
        <v>7439</v>
      </c>
      <c r="AO1212">
        <v>7560</v>
      </c>
      <c r="AQ1212" t="s">
        <v>46359</v>
      </c>
      <c r="AR1212" t="s">
        <v>46420</v>
      </c>
      <c r="AS1212" t="s">
        <v>46499</v>
      </c>
      <c r="AT1212" t="s">
        <v>46680</v>
      </c>
      <c r="AU1212">
        <v>9.85</v>
      </c>
      <c r="AV1212" t="s">
        <v>737</v>
      </c>
      <c r="AW1212" t="s">
        <v>208</v>
      </c>
    </row>
    <row r="1213" spans="1:50">
      <c r="A1213" s="1">
        <f>HYPERLINK("https://lsnyc.legalserver.org/matter/dynamic-profile/view/1875801","18-1875801")</f>
        <v>0</v>
      </c>
      <c r="B1213" t="s">
        <v>135</v>
      </c>
      <c r="C1213" t="s">
        <v>341</v>
      </c>
      <c r="D1213" t="s">
        <v>441</v>
      </c>
      <c r="E1213" t="s">
        <v>494</v>
      </c>
      <c r="F1213" t="s">
        <v>990</v>
      </c>
      <c r="G1213" t="s">
        <v>5849</v>
      </c>
      <c r="H1213" t="s">
        <v>10666</v>
      </c>
      <c r="I1213" t="s">
        <v>17360</v>
      </c>
      <c r="J1213" t="s">
        <v>18892</v>
      </c>
      <c r="K1213">
        <v>10470</v>
      </c>
      <c r="L1213" t="s">
        <v>18958</v>
      </c>
      <c r="M1213" t="s">
        <v>18958</v>
      </c>
      <c r="N1213" t="s">
        <v>19874</v>
      </c>
      <c r="O1213" t="s">
        <v>26523</v>
      </c>
      <c r="P1213" t="s">
        <v>26564</v>
      </c>
      <c r="Q1213" t="s">
        <v>26570</v>
      </c>
      <c r="R1213" t="s">
        <v>26577</v>
      </c>
      <c r="S1213" t="s">
        <v>18959</v>
      </c>
      <c r="U1213" t="s">
        <v>26604</v>
      </c>
      <c r="V1213" t="s">
        <v>26612</v>
      </c>
      <c r="W1213" t="s">
        <v>441</v>
      </c>
      <c r="X1213">
        <v>1350</v>
      </c>
      <c r="Y1213" t="s">
        <v>26650</v>
      </c>
      <c r="Z1213" t="s">
        <v>26661</v>
      </c>
      <c r="AA1213" t="s">
        <v>26683</v>
      </c>
      <c r="AB1213" t="s">
        <v>27803</v>
      </c>
      <c r="AD1213" t="s">
        <v>37854</v>
      </c>
      <c r="AE1213">
        <v>65</v>
      </c>
      <c r="AF1213" t="s">
        <v>45541</v>
      </c>
      <c r="AG1213" t="s">
        <v>19330</v>
      </c>
      <c r="AH1213">
        <v>0</v>
      </c>
      <c r="AI1213">
        <v>2</v>
      </c>
      <c r="AJ1213">
        <v>1</v>
      </c>
      <c r="AK1213">
        <v>115.5</v>
      </c>
      <c r="AN1213" t="s">
        <v>7439</v>
      </c>
      <c r="AO1213">
        <v>24000</v>
      </c>
      <c r="AP1213" t="s">
        <v>45696</v>
      </c>
      <c r="AU1213">
        <v>10.15</v>
      </c>
      <c r="AV1213" t="s">
        <v>413</v>
      </c>
      <c r="AW1213" t="s">
        <v>284</v>
      </c>
    </row>
    <row r="1214" spans="1:50">
      <c r="A1214" s="1">
        <f>HYPERLINK("https://lsnyc.legalserver.org/matter/dynamic-profile/view/1875800","18-1875800")</f>
        <v>0</v>
      </c>
      <c r="B1214" t="s">
        <v>64</v>
      </c>
      <c r="C1214" t="s">
        <v>341</v>
      </c>
      <c r="D1214" t="s">
        <v>441</v>
      </c>
      <c r="E1214" t="s">
        <v>664</v>
      </c>
      <c r="F1214" t="s">
        <v>1654</v>
      </c>
      <c r="G1214" t="s">
        <v>5850</v>
      </c>
      <c r="H1214" t="s">
        <v>10667</v>
      </c>
      <c r="I1214" t="s">
        <v>17309</v>
      </c>
      <c r="J1214" t="s">
        <v>18892</v>
      </c>
      <c r="K1214">
        <v>10459</v>
      </c>
      <c r="L1214" t="s">
        <v>18958</v>
      </c>
      <c r="M1214" t="s">
        <v>18958</v>
      </c>
      <c r="N1214" t="s">
        <v>19875</v>
      </c>
      <c r="O1214" t="s">
        <v>26523</v>
      </c>
      <c r="P1214" t="s">
        <v>26560</v>
      </c>
      <c r="Q1214" t="s">
        <v>26575</v>
      </c>
      <c r="R1214" t="s">
        <v>26577</v>
      </c>
      <c r="U1214" t="s">
        <v>26604</v>
      </c>
      <c r="V1214" t="s">
        <v>26612</v>
      </c>
      <c r="W1214" t="s">
        <v>441</v>
      </c>
      <c r="X1214">
        <v>1111.55</v>
      </c>
      <c r="Y1214" t="s">
        <v>26650</v>
      </c>
      <c r="Z1214" t="s">
        <v>26657</v>
      </c>
      <c r="AA1214" t="s">
        <v>26678</v>
      </c>
      <c r="AB1214" t="s">
        <v>27804</v>
      </c>
      <c r="AC1214" t="s">
        <v>34867</v>
      </c>
      <c r="AD1214" t="s">
        <v>37855</v>
      </c>
      <c r="AE1214">
        <v>0</v>
      </c>
      <c r="AF1214" t="s">
        <v>45541</v>
      </c>
      <c r="AG1214" t="s">
        <v>45557</v>
      </c>
      <c r="AH1214">
        <v>10</v>
      </c>
      <c r="AI1214">
        <v>2</v>
      </c>
      <c r="AJ1214">
        <v>6</v>
      </c>
      <c r="AK1214">
        <v>12.27</v>
      </c>
      <c r="AN1214" t="s">
        <v>45581</v>
      </c>
      <c r="AO1214">
        <v>5200</v>
      </c>
      <c r="AQ1214" t="s">
        <v>46366</v>
      </c>
      <c r="AR1214" t="s">
        <v>46431</v>
      </c>
      <c r="AS1214" t="s">
        <v>46499</v>
      </c>
      <c r="AT1214" t="s">
        <v>46651</v>
      </c>
      <c r="AU1214">
        <v>21.2</v>
      </c>
      <c r="AV1214" t="s">
        <v>525</v>
      </c>
      <c r="AW1214" t="s">
        <v>334</v>
      </c>
    </row>
    <row r="1215" spans="1:50">
      <c r="A1215" s="1">
        <f>HYPERLINK("https://lsnyc.legalserver.org/matter/dynamic-profile/view/1875802","18-1875802")</f>
        <v>0</v>
      </c>
      <c r="B1215" t="s">
        <v>103</v>
      </c>
      <c r="C1215" t="s">
        <v>341</v>
      </c>
      <c r="D1215" t="s">
        <v>441</v>
      </c>
      <c r="E1215" t="s">
        <v>834</v>
      </c>
      <c r="F1215" t="s">
        <v>903</v>
      </c>
      <c r="G1215" t="s">
        <v>5655</v>
      </c>
      <c r="H1215" t="s">
        <v>10668</v>
      </c>
      <c r="I1215" t="s">
        <v>17374</v>
      </c>
      <c r="J1215" t="s">
        <v>18902</v>
      </c>
      <c r="K1215">
        <v>10303</v>
      </c>
      <c r="L1215" t="s">
        <v>18958</v>
      </c>
      <c r="M1215" t="s">
        <v>18958</v>
      </c>
      <c r="N1215" t="s">
        <v>19876</v>
      </c>
      <c r="O1215" t="s">
        <v>26524</v>
      </c>
      <c r="P1215" t="s">
        <v>26560</v>
      </c>
      <c r="Q1215" t="s">
        <v>26568</v>
      </c>
      <c r="R1215" t="s">
        <v>26590</v>
      </c>
      <c r="S1215" t="s">
        <v>18959</v>
      </c>
      <c r="U1215" t="s">
        <v>26604</v>
      </c>
      <c r="V1215" t="s">
        <v>26610</v>
      </c>
      <c r="W1215" t="s">
        <v>441</v>
      </c>
      <c r="X1215">
        <v>1100</v>
      </c>
      <c r="Y1215" t="s">
        <v>26654</v>
      </c>
      <c r="Z1215" t="s">
        <v>26668</v>
      </c>
      <c r="AA1215" t="s">
        <v>26679</v>
      </c>
      <c r="AB1215" t="s">
        <v>27805</v>
      </c>
      <c r="AD1215" t="s">
        <v>37856</v>
      </c>
      <c r="AE1215">
        <v>3</v>
      </c>
      <c r="AF1215" t="s">
        <v>45547</v>
      </c>
      <c r="AG1215" t="s">
        <v>19330</v>
      </c>
      <c r="AH1215">
        <v>-1</v>
      </c>
      <c r="AI1215">
        <v>1</v>
      </c>
      <c r="AJ1215">
        <v>2</v>
      </c>
      <c r="AK1215">
        <v>0</v>
      </c>
      <c r="AN1215" t="s">
        <v>7439</v>
      </c>
      <c r="AO1215">
        <v>0</v>
      </c>
      <c r="AQ1215" t="s">
        <v>46365</v>
      </c>
      <c r="AR1215" t="s">
        <v>46432</v>
      </c>
      <c r="AS1215" t="s">
        <v>46500</v>
      </c>
      <c r="AT1215" t="s">
        <v>46668</v>
      </c>
      <c r="AU1215">
        <v>22.9</v>
      </c>
      <c r="AV1215" t="s">
        <v>834</v>
      </c>
      <c r="AW1215" t="s">
        <v>190</v>
      </c>
      <c r="AX1215" t="s">
        <v>46897</v>
      </c>
    </row>
    <row r="1216" spans="1:50">
      <c r="A1216" s="1">
        <f>HYPERLINK("https://lsnyc.legalserver.org/matter/dynamic-profile/view/1875865","18-1875865")</f>
        <v>0</v>
      </c>
      <c r="B1216" t="s">
        <v>157</v>
      </c>
      <c r="C1216" t="s">
        <v>341</v>
      </c>
      <c r="D1216" t="s">
        <v>441</v>
      </c>
      <c r="E1216" t="s">
        <v>697</v>
      </c>
      <c r="F1216" t="s">
        <v>1655</v>
      </c>
      <c r="G1216" t="s">
        <v>5851</v>
      </c>
      <c r="H1216" t="s">
        <v>10669</v>
      </c>
      <c r="I1216" t="s">
        <v>17417</v>
      </c>
      <c r="J1216" t="s">
        <v>18893</v>
      </c>
      <c r="K1216">
        <v>10033</v>
      </c>
      <c r="L1216" t="s">
        <v>18958</v>
      </c>
      <c r="M1216" t="s">
        <v>18958</v>
      </c>
      <c r="P1216" t="s">
        <v>26565</v>
      </c>
      <c r="Q1216" t="s">
        <v>26571</v>
      </c>
      <c r="R1216" t="s">
        <v>26578</v>
      </c>
      <c r="S1216" t="s">
        <v>18959</v>
      </c>
      <c r="U1216" t="s">
        <v>26604</v>
      </c>
      <c r="W1216" t="s">
        <v>441</v>
      </c>
      <c r="X1216">
        <v>1468</v>
      </c>
      <c r="Y1216" t="s">
        <v>26651</v>
      </c>
      <c r="Z1216" t="s">
        <v>26661</v>
      </c>
      <c r="AA1216" t="s">
        <v>26683</v>
      </c>
      <c r="AB1216" t="s">
        <v>27806</v>
      </c>
      <c r="AD1216" t="s">
        <v>37857</v>
      </c>
      <c r="AE1216">
        <v>22</v>
      </c>
      <c r="AF1216" t="s">
        <v>45541</v>
      </c>
      <c r="AG1216" t="s">
        <v>45559</v>
      </c>
      <c r="AH1216">
        <v>24</v>
      </c>
      <c r="AI1216">
        <v>2</v>
      </c>
      <c r="AJ1216">
        <v>0</v>
      </c>
      <c r="AK1216">
        <v>141.94</v>
      </c>
      <c r="AN1216" t="s">
        <v>45581</v>
      </c>
      <c r="AO1216">
        <v>23364</v>
      </c>
      <c r="AU1216">
        <v>6.75</v>
      </c>
      <c r="AV1216" t="s">
        <v>697</v>
      </c>
      <c r="AW1216" t="s">
        <v>46840</v>
      </c>
    </row>
    <row r="1217" spans="1:49">
      <c r="A1217" s="1">
        <f>HYPERLINK("https://lsnyc.legalserver.org/matter/dynamic-profile/view/1875858","18-1875858")</f>
        <v>0</v>
      </c>
      <c r="B1217" t="s">
        <v>157</v>
      </c>
      <c r="C1217" t="s">
        <v>341</v>
      </c>
      <c r="D1217" t="s">
        <v>441</v>
      </c>
      <c r="E1217" t="s">
        <v>531</v>
      </c>
      <c r="F1217" t="s">
        <v>1093</v>
      </c>
      <c r="G1217" t="s">
        <v>5706</v>
      </c>
      <c r="H1217" t="s">
        <v>10391</v>
      </c>
      <c r="I1217" t="s">
        <v>17293</v>
      </c>
      <c r="J1217" t="s">
        <v>18893</v>
      </c>
      <c r="K1217">
        <v>10033</v>
      </c>
      <c r="L1217" t="s">
        <v>18958</v>
      </c>
      <c r="M1217" t="s">
        <v>18960</v>
      </c>
      <c r="O1217" t="s">
        <v>18997</v>
      </c>
      <c r="P1217" t="s">
        <v>26564</v>
      </c>
      <c r="Q1217" t="s">
        <v>26570</v>
      </c>
      <c r="R1217" t="s">
        <v>26578</v>
      </c>
      <c r="S1217" t="s">
        <v>18959</v>
      </c>
      <c r="U1217" t="s">
        <v>26604</v>
      </c>
      <c r="W1217" t="s">
        <v>441</v>
      </c>
      <c r="X1217">
        <v>918.28</v>
      </c>
      <c r="Y1217" t="s">
        <v>26651</v>
      </c>
      <c r="Z1217" t="s">
        <v>26661</v>
      </c>
      <c r="AA1217" t="s">
        <v>26683</v>
      </c>
      <c r="AB1217" t="s">
        <v>27807</v>
      </c>
      <c r="AD1217" t="s">
        <v>37858</v>
      </c>
      <c r="AE1217">
        <v>39</v>
      </c>
      <c r="AF1217" t="s">
        <v>45541</v>
      </c>
      <c r="AG1217" t="s">
        <v>19330</v>
      </c>
      <c r="AH1217">
        <v>4</v>
      </c>
      <c r="AI1217">
        <v>2</v>
      </c>
      <c r="AJ1217">
        <v>0</v>
      </c>
      <c r="AK1217">
        <v>161.85</v>
      </c>
      <c r="AN1217" t="s">
        <v>45581</v>
      </c>
      <c r="AO1217">
        <v>26640</v>
      </c>
      <c r="AU1217">
        <v>0.3</v>
      </c>
      <c r="AV1217" t="s">
        <v>531</v>
      </c>
      <c r="AW1217" t="s">
        <v>46840</v>
      </c>
    </row>
    <row r="1218" spans="1:49">
      <c r="A1218" s="1">
        <f>HYPERLINK("https://lsnyc.legalserver.org/matter/dynamic-profile/view/1875857","18-1875857")</f>
        <v>0</v>
      </c>
      <c r="B1218" t="s">
        <v>157</v>
      </c>
      <c r="C1218" t="s">
        <v>341</v>
      </c>
      <c r="D1218" t="s">
        <v>441</v>
      </c>
      <c r="E1218" t="s">
        <v>531</v>
      </c>
      <c r="F1218" t="s">
        <v>871</v>
      </c>
      <c r="G1218" t="s">
        <v>5852</v>
      </c>
      <c r="H1218" t="s">
        <v>10670</v>
      </c>
      <c r="I1218" t="s">
        <v>17355</v>
      </c>
      <c r="J1218" t="s">
        <v>18893</v>
      </c>
      <c r="K1218">
        <v>10032</v>
      </c>
      <c r="L1218" t="s">
        <v>18958</v>
      </c>
      <c r="M1218" t="s">
        <v>18958</v>
      </c>
      <c r="O1218" t="s">
        <v>18997</v>
      </c>
      <c r="P1218" t="s">
        <v>26565</v>
      </c>
      <c r="Q1218" t="s">
        <v>26570</v>
      </c>
      <c r="R1218" t="s">
        <v>26578</v>
      </c>
      <c r="S1218" t="s">
        <v>18959</v>
      </c>
      <c r="U1218" t="s">
        <v>26604</v>
      </c>
      <c r="W1218" t="s">
        <v>441</v>
      </c>
      <c r="X1218">
        <v>1537.34</v>
      </c>
      <c r="Y1218" t="s">
        <v>26651</v>
      </c>
      <c r="Z1218" t="s">
        <v>26661</v>
      </c>
      <c r="AA1218" t="s">
        <v>26683</v>
      </c>
      <c r="AB1218" t="s">
        <v>27808</v>
      </c>
      <c r="AD1218" t="s">
        <v>37859</v>
      </c>
      <c r="AE1218">
        <v>74</v>
      </c>
      <c r="AF1218" t="s">
        <v>45541</v>
      </c>
      <c r="AG1218" t="s">
        <v>19330</v>
      </c>
      <c r="AH1218">
        <v>14</v>
      </c>
      <c r="AI1218">
        <v>2</v>
      </c>
      <c r="AJ1218">
        <v>0</v>
      </c>
      <c r="AK1218">
        <v>182.26</v>
      </c>
      <c r="AN1218" t="s">
        <v>45581</v>
      </c>
      <c r="AO1218">
        <v>30000</v>
      </c>
      <c r="AU1218">
        <v>0.3</v>
      </c>
      <c r="AV1218" t="s">
        <v>531</v>
      </c>
      <c r="AW1218" t="s">
        <v>46840</v>
      </c>
    </row>
    <row r="1219" spans="1:49">
      <c r="A1219" s="1">
        <f>HYPERLINK("https://lsnyc.legalserver.org/matter/dynamic-profile/view/1875825","18-1875825")</f>
        <v>0</v>
      </c>
      <c r="B1219" t="s">
        <v>125</v>
      </c>
      <c r="C1219" t="s">
        <v>341</v>
      </c>
      <c r="D1219" t="s">
        <v>441</v>
      </c>
      <c r="E1219" t="s">
        <v>689</v>
      </c>
      <c r="F1219" t="s">
        <v>938</v>
      </c>
      <c r="G1219" t="s">
        <v>5121</v>
      </c>
      <c r="H1219" t="s">
        <v>10028</v>
      </c>
      <c r="I1219" t="s">
        <v>17614</v>
      </c>
      <c r="J1219" t="s">
        <v>18894</v>
      </c>
      <c r="K1219">
        <v>11207</v>
      </c>
      <c r="L1219" t="s">
        <v>18958</v>
      </c>
      <c r="M1219" t="s">
        <v>18958</v>
      </c>
      <c r="N1219" t="s">
        <v>19877</v>
      </c>
      <c r="O1219" t="s">
        <v>26523</v>
      </c>
      <c r="P1219" t="s">
        <v>26564</v>
      </c>
      <c r="Q1219" t="s">
        <v>26570</v>
      </c>
      <c r="R1219" t="s">
        <v>26578</v>
      </c>
      <c r="S1219" t="s">
        <v>18959</v>
      </c>
      <c r="U1219" t="s">
        <v>26604</v>
      </c>
      <c r="W1219" t="s">
        <v>441</v>
      </c>
      <c r="X1219">
        <v>1514</v>
      </c>
      <c r="Y1219" t="s">
        <v>26652</v>
      </c>
      <c r="AA1219" t="s">
        <v>26683</v>
      </c>
      <c r="AB1219" t="s">
        <v>27809</v>
      </c>
      <c r="AD1219" t="s">
        <v>37860</v>
      </c>
      <c r="AE1219">
        <v>23</v>
      </c>
      <c r="AF1219" t="s">
        <v>45541</v>
      </c>
      <c r="AH1219">
        <v>4</v>
      </c>
      <c r="AI1219">
        <v>2</v>
      </c>
      <c r="AJ1219">
        <v>2</v>
      </c>
      <c r="AK1219">
        <v>28.69</v>
      </c>
      <c r="AN1219" t="s">
        <v>7439</v>
      </c>
      <c r="AO1219">
        <v>7200</v>
      </c>
      <c r="AU1219">
        <v>1.25</v>
      </c>
      <c r="AV1219" t="s">
        <v>579</v>
      </c>
      <c r="AW1219" t="s">
        <v>279</v>
      </c>
    </row>
    <row r="1220" spans="1:49">
      <c r="A1220" s="1">
        <f>HYPERLINK("https://lsnyc.legalserver.org/matter/dynamic-profile/view/1875867","18-1875867")</f>
        <v>0</v>
      </c>
      <c r="B1220" t="s">
        <v>99</v>
      </c>
      <c r="C1220" t="s">
        <v>340</v>
      </c>
      <c r="D1220" t="s">
        <v>441</v>
      </c>
      <c r="F1220" t="s">
        <v>916</v>
      </c>
      <c r="G1220" t="s">
        <v>5292</v>
      </c>
      <c r="H1220" t="s">
        <v>10671</v>
      </c>
      <c r="I1220" t="s">
        <v>17576</v>
      </c>
      <c r="J1220" t="s">
        <v>18894</v>
      </c>
      <c r="K1220">
        <v>11205</v>
      </c>
      <c r="L1220" t="s">
        <v>18958</v>
      </c>
      <c r="M1220" t="s">
        <v>18958</v>
      </c>
      <c r="N1220" t="s">
        <v>19878</v>
      </c>
      <c r="O1220" t="s">
        <v>26533</v>
      </c>
      <c r="P1220" t="s">
        <v>26560</v>
      </c>
      <c r="R1220" t="s">
        <v>26586</v>
      </c>
      <c r="S1220" t="s">
        <v>18959</v>
      </c>
      <c r="U1220" t="s">
        <v>26607</v>
      </c>
      <c r="V1220" t="s">
        <v>26610</v>
      </c>
      <c r="W1220" t="s">
        <v>441</v>
      </c>
      <c r="X1220">
        <v>429.37</v>
      </c>
      <c r="Y1220" t="s">
        <v>26652</v>
      </c>
      <c r="Z1220" t="s">
        <v>26661</v>
      </c>
      <c r="AB1220" t="s">
        <v>27810</v>
      </c>
      <c r="AD1220" t="s">
        <v>37861</v>
      </c>
      <c r="AE1220">
        <v>6</v>
      </c>
      <c r="AF1220" t="s">
        <v>45541</v>
      </c>
      <c r="AG1220" t="s">
        <v>19330</v>
      </c>
      <c r="AH1220">
        <v>40</v>
      </c>
      <c r="AI1220">
        <v>2</v>
      </c>
      <c r="AJ1220">
        <v>0</v>
      </c>
      <c r="AK1220">
        <v>46</v>
      </c>
      <c r="AN1220" t="s">
        <v>45581</v>
      </c>
      <c r="AO1220">
        <v>7572</v>
      </c>
      <c r="AQ1220" t="s">
        <v>46359</v>
      </c>
      <c r="AU1220">
        <v>38.7</v>
      </c>
      <c r="AV1220" t="s">
        <v>773</v>
      </c>
      <c r="AW1220" t="s">
        <v>46853</v>
      </c>
    </row>
    <row r="1221" spans="1:49">
      <c r="A1221" s="1">
        <f>HYPERLINK("https://lsnyc.legalserver.org/matter/dynamic-profile/view/1875830","18-1875830")</f>
        <v>0</v>
      </c>
      <c r="B1221" t="s">
        <v>231</v>
      </c>
      <c r="C1221" t="s">
        <v>340</v>
      </c>
      <c r="D1221" t="s">
        <v>441</v>
      </c>
      <c r="F1221" t="s">
        <v>1656</v>
      </c>
      <c r="G1221" t="s">
        <v>5297</v>
      </c>
      <c r="H1221" t="s">
        <v>10672</v>
      </c>
      <c r="I1221" t="s">
        <v>17615</v>
      </c>
      <c r="J1221" t="s">
        <v>18892</v>
      </c>
      <c r="K1221">
        <v>10455</v>
      </c>
      <c r="L1221" t="s">
        <v>18958</v>
      </c>
      <c r="M1221" t="s">
        <v>18958</v>
      </c>
      <c r="O1221" t="s">
        <v>26539</v>
      </c>
      <c r="P1221" t="s">
        <v>26562</v>
      </c>
      <c r="R1221" t="s">
        <v>26578</v>
      </c>
      <c r="S1221" t="s">
        <v>18959</v>
      </c>
      <c r="U1221" t="s">
        <v>26607</v>
      </c>
      <c r="W1221" t="s">
        <v>441</v>
      </c>
      <c r="X1221">
        <v>1172.53</v>
      </c>
      <c r="Y1221" t="s">
        <v>26650</v>
      </c>
      <c r="Z1221" t="s">
        <v>26659</v>
      </c>
      <c r="AB1221" t="s">
        <v>27811</v>
      </c>
      <c r="AC1221" t="s">
        <v>34868</v>
      </c>
      <c r="AD1221" t="s">
        <v>37862</v>
      </c>
      <c r="AE1221">
        <v>44</v>
      </c>
      <c r="AF1221" t="s">
        <v>45541</v>
      </c>
      <c r="AG1221" t="s">
        <v>19330</v>
      </c>
      <c r="AH1221">
        <v>18</v>
      </c>
      <c r="AI1221">
        <v>2</v>
      </c>
      <c r="AJ1221">
        <v>4</v>
      </c>
      <c r="AK1221">
        <v>46.85</v>
      </c>
      <c r="AN1221" t="s">
        <v>7439</v>
      </c>
      <c r="AO1221">
        <v>15808</v>
      </c>
      <c r="AU1221">
        <v>2.25</v>
      </c>
      <c r="AV1221" t="s">
        <v>763</v>
      </c>
      <c r="AW1221" t="s">
        <v>46847</v>
      </c>
    </row>
    <row r="1222" spans="1:49">
      <c r="A1222" s="1">
        <f>HYPERLINK("https://lsnyc.legalserver.org/matter/dynamic-profile/view/1875849","18-1875849")</f>
        <v>0</v>
      </c>
      <c r="B1222" t="s">
        <v>64</v>
      </c>
      <c r="C1222" t="s">
        <v>340</v>
      </c>
      <c r="D1222" t="s">
        <v>441</v>
      </c>
      <c r="F1222" t="s">
        <v>1657</v>
      </c>
      <c r="G1222" t="s">
        <v>5853</v>
      </c>
      <c r="H1222" t="s">
        <v>10673</v>
      </c>
      <c r="I1222" t="s">
        <v>17539</v>
      </c>
      <c r="J1222" t="s">
        <v>18892</v>
      </c>
      <c r="K1222">
        <v>10467</v>
      </c>
      <c r="L1222" t="s">
        <v>18958</v>
      </c>
      <c r="M1222" t="s">
        <v>18958</v>
      </c>
      <c r="N1222" t="s">
        <v>19879</v>
      </c>
      <c r="O1222" t="s">
        <v>26523</v>
      </c>
      <c r="P1222" t="s">
        <v>26560</v>
      </c>
      <c r="R1222" t="s">
        <v>26579</v>
      </c>
      <c r="T1222" t="s">
        <v>26579</v>
      </c>
      <c r="U1222" t="s">
        <v>26604</v>
      </c>
      <c r="V1222" t="s">
        <v>26610</v>
      </c>
      <c r="W1222" t="s">
        <v>441</v>
      </c>
      <c r="X1222">
        <v>1451</v>
      </c>
      <c r="Y1222" t="s">
        <v>26650</v>
      </c>
      <c r="Z1222" t="s">
        <v>26668</v>
      </c>
      <c r="AB1222" t="s">
        <v>27350</v>
      </c>
      <c r="AC1222" t="s">
        <v>34869</v>
      </c>
      <c r="AD1222" t="s">
        <v>37863</v>
      </c>
      <c r="AE1222">
        <v>0</v>
      </c>
      <c r="AF1222" t="s">
        <v>45541</v>
      </c>
      <c r="AG1222" t="s">
        <v>45556</v>
      </c>
      <c r="AH1222">
        <v>4</v>
      </c>
      <c r="AI1222">
        <v>1</v>
      </c>
      <c r="AJ1222">
        <v>2</v>
      </c>
      <c r="AK1222">
        <v>62.56</v>
      </c>
      <c r="AN1222" t="s">
        <v>7439</v>
      </c>
      <c r="AO1222">
        <v>13000</v>
      </c>
      <c r="AP1222" t="s">
        <v>45697</v>
      </c>
      <c r="AU1222">
        <v>14.65</v>
      </c>
      <c r="AV1222" t="s">
        <v>826</v>
      </c>
      <c r="AW1222" t="s">
        <v>46831</v>
      </c>
    </row>
    <row r="1223" spans="1:49">
      <c r="A1223" s="1">
        <f>HYPERLINK("https://lsnyc.legalserver.org/matter/dynamic-profile/view/1874960","18-1874960")</f>
        <v>0</v>
      </c>
      <c r="B1223" t="s">
        <v>103</v>
      </c>
      <c r="C1223" t="s">
        <v>340</v>
      </c>
      <c r="D1223" t="s">
        <v>441</v>
      </c>
      <c r="F1223" t="s">
        <v>1658</v>
      </c>
      <c r="G1223" t="s">
        <v>5854</v>
      </c>
      <c r="H1223" t="s">
        <v>10674</v>
      </c>
      <c r="I1223" t="s">
        <v>17360</v>
      </c>
      <c r="J1223" t="s">
        <v>18902</v>
      </c>
      <c r="K1223">
        <v>10304</v>
      </c>
      <c r="L1223" t="s">
        <v>18958</v>
      </c>
      <c r="M1223" t="s">
        <v>18958</v>
      </c>
      <c r="N1223" t="s">
        <v>19880</v>
      </c>
      <c r="O1223" t="s">
        <v>26523</v>
      </c>
      <c r="P1223" t="s">
        <v>26560</v>
      </c>
      <c r="R1223" t="s">
        <v>26587</v>
      </c>
      <c r="S1223" t="s">
        <v>18959</v>
      </c>
      <c r="U1223" t="s">
        <v>26606</v>
      </c>
      <c r="V1223" t="s">
        <v>26610</v>
      </c>
      <c r="W1223" t="s">
        <v>441</v>
      </c>
      <c r="X1223">
        <v>694</v>
      </c>
      <c r="Y1223" t="s">
        <v>26654</v>
      </c>
      <c r="Z1223" t="s">
        <v>26661</v>
      </c>
      <c r="AB1223" t="s">
        <v>27812</v>
      </c>
      <c r="AD1223" t="s">
        <v>37864</v>
      </c>
      <c r="AE1223">
        <v>120</v>
      </c>
      <c r="AF1223" t="s">
        <v>45549</v>
      </c>
      <c r="AH1223">
        <v>7</v>
      </c>
      <c r="AI1223">
        <v>2</v>
      </c>
      <c r="AJ1223">
        <v>0</v>
      </c>
      <c r="AK1223">
        <v>131.23</v>
      </c>
      <c r="AN1223" t="s">
        <v>7439</v>
      </c>
      <c r="AO1223">
        <v>21600</v>
      </c>
      <c r="AU1223">
        <v>13.75</v>
      </c>
      <c r="AV1223" t="s">
        <v>821</v>
      </c>
      <c r="AW1223" t="s">
        <v>190</v>
      </c>
    </row>
    <row r="1224" spans="1:49">
      <c r="A1224" s="1">
        <f>HYPERLINK("https://lsnyc.legalserver.org/matter/dynamic-profile/view/1876040","18-1876040")</f>
        <v>0</v>
      </c>
      <c r="B1224" t="s">
        <v>232</v>
      </c>
      <c r="C1224" t="s">
        <v>341</v>
      </c>
      <c r="D1224" t="s">
        <v>512</v>
      </c>
      <c r="E1224" t="s">
        <v>457</v>
      </c>
      <c r="F1224" t="s">
        <v>1659</v>
      </c>
      <c r="G1224" t="s">
        <v>5855</v>
      </c>
      <c r="H1224" t="s">
        <v>10675</v>
      </c>
      <c r="I1224" t="s">
        <v>17299</v>
      </c>
      <c r="J1224" t="s">
        <v>18894</v>
      </c>
      <c r="K1224">
        <v>11230</v>
      </c>
      <c r="L1224" t="s">
        <v>18958</v>
      </c>
      <c r="M1224" t="s">
        <v>18958</v>
      </c>
      <c r="N1224" t="s">
        <v>19881</v>
      </c>
      <c r="O1224" t="s">
        <v>26523</v>
      </c>
      <c r="P1224" t="s">
        <v>26565</v>
      </c>
      <c r="Q1224" t="s">
        <v>26570</v>
      </c>
      <c r="R1224" t="s">
        <v>26586</v>
      </c>
      <c r="S1224" t="s">
        <v>18959</v>
      </c>
      <c r="U1224" t="s">
        <v>26604</v>
      </c>
      <c r="V1224" t="s">
        <v>26611</v>
      </c>
      <c r="W1224" t="s">
        <v>441</v>
      </c>
      <c r="X1224">
        <v>1750</v>
      </c>
      <c r="Y1224" t="s">
        <v>26652</v>
      </c>
      <c r="Z1224" t="s">
        <v>26664</v>
      </c>
      <c r="AA1224" t="s">
        <v>26683</v>
      </c>
      <c r="AB1224" t="s">
        <v>27813</v>
      </c>
      <c r="AD1224" t="s">
        <v>37865</v>
      </c>
      <c r="AE1224">
        <v>12</v>
      </c>
      <c r="AF1224" t="s">
        <v>45541</v>
      </c>
      <c r="AG1224" t="s">
        <v>19330</v>
      </c>
      <c r="AH1224">
        <v>1</v>
      </c>
      <c r="AI1224">
        <v>1</v>
      </c>
      <c r="AJ1224">
        <v>0</v>
      </c>
      <c r="AK1224">
        <v>0</v>
      </c>
      <c r="AN1224" t="s">
        <v>7439</v>
      </c>
      <c r="AO1224">
        <v>0</v>
      </c>
      <c r="AU1224">
        <v>2.15</v>
      </c>
      <c r="AV1224" t="s">
        <v>457</v>
      </c>
      <c r="AW1224" t="s">
        <v>46862</v>
      </c>
    </row>
    <row r="1225" spans="1:49">
      <c r="A1225" s="1">
        <f>HYPERLINK("https://lsnyc.legalserver.org/matter/dynamic-profile/view/1878659","18-1878659")</f>
        <v>0</v>
      </c>
      <c r="B1225" t="s">
        <v>88</v>
      </c>
      <c r="C1225" t="s">
        <v>340</v>
      </c>
      <c r="D1225" t="s">
        <v>451</v>
      </c>
      <c r="F1225" t="s">
        <v>1390</v>
      </c>
      <c r="G1225" t="s">
        <v>3372</v>
      </c>
      <c r="H1225" t="s">
        <v>10024</v>
      </c>
      <c r="I1225" t="s">
        <v>17355</v>
      </c>
      <c r="J1225" t="s">
        <v>18894</v>
      </c>
      <c r="K1225">
        <v>11221</v>
      </c>
      <c r="L1225" t="s">
        <v>18958</v>
      </c>
      <c r="M1225" t="s">
        <v>18958</v>
      </c>
      <c r="O1225" t="s">
        <v>26526</v>
      </c>
      <c r="P1225" t="s">
        <v>26560</v>
      </c>
      <c r="R1225" t="s">
        <v>26578</v>
      </c>
      <c r="S1225" t="s">
        <v>18958</v>
      </c>
      <c r="U1225" t="s">
        <v>26604</v>
      </c>
      <c r="W1225" t="s">
        <v>441</v>
      </c>
      <c r="X1225">
        <v>793</v>
      </c>
      <c r="Y1225" t="s">
        <v>26652</v>
      </c>
      <c r="Z1225" t="s">
        <v>26663</v>
      </c>
      <c r="AB1225" t="s">
        <v>27814</v>
      </c>
      <c r="AD1225" t="s">
        <v>37866</v>
      </c>
      <c r="AE1225">
        <v>12</v>
      </c>
      <c r="AF1225" t="s">
        <v>45541</v>
      </c>
      <c r="AG1225" t="s">
        <v>19330</v>
      </c>
      <c r="AH1225">
        <v>15</v>
      </c>
      <c r="AI1225">
        <v>1</v>
      </c>
      <c r="AJ1225">
        <v>0</v>
      </c>
      <c r="AK1225">
        <v>74.95999999999999</v>
      </c>
      <c r="AN1225" t="s">
        <v>7439</v>
      </c>
      <c r="AO1225">
        <v>9100</v>
      </c>
      <c r="AP1225" t="s">
        <v>45698</v>
      </c>
      <c r="AU1225">
        <v>0</v>
      </c>
      <c r="AW1225" t="s">
        <v>279</v>
      </c>
    </row>
    <row r="1226" spans="1:49">
      <c r="A1226" s="1">
        <f>HYPERLINK("https://lsnyc.legalserver.org/matter/dynamic-profile/view/1879056","18-1879056")</f>
        <v>0</v>
      </c>
      <c r="B1226" t="s">
        <v>88</v>
      </c>
      <c r="C1226" t="s">
        <v>341</v>
      </c>
      <c r="D1226" t="s">
        <v>540</v>
      </c>
      <c r="E1226" t="s">
        <v>782</v>
      </c>
      <c r="F1226" t="s">
        <v>1266</v>
      </c>
      <c r="G1226" t="s">
        <v>5856</v>
      </c>
      <c r="H1226" t="s">
        <v>10676</v>
      </c>
      <c r="I1226" t="s">
        <v>17283</v>
      </c>
      <c r="J1226" t="s">
        <v>18894</v>
      </c>
      <c r="K1226">
        <v>11221</v>
      </c>
      <c r="L1226" t="s">
        <v>18958</v>
      </c>
      <c r="M1226" t="s">
        <v>18958</v>
      </c>
      <c r="O1226" t="s">
        <v>26531</v>
      </c>
      <c r="P1226" t="s">
        <v>26565</v>
      </c>
      <c r="Q1226" t="s">
        <v>26571</v>
      </c>
      <c r="R1226" t="s">
        <v>26578</v>
      </c>
      <c r="S1226" t="s">
        <v>18958</v>
      </c>
      <c r="U1226" t="s">
        <v>26604</v>
      </c>
      <c r="W1226" t="s">
        <v>441</v>
      </c>
      <c r="X1226">
        <v>732</v>
      </c>
      <c r="Y1226" t="s">
        <v>26652</v>
      </c>
      <c r="Z1226" t="s">
        <v>26663</v>
      </c>
      <c r="AA1226" t="s">
        <v>26685</v>
      </c>
      <c r="AB1226" t="s">
        <v>27815</v>
      </c>
      <c r="AD1226" t="s">
        <v>37867</v>
      </c>
      <c r="AE1226">
        <v>13</v>
      </c>
      <c r="AF1226" t="s">
        <v>45541</v>
      </c>
      <c r="AG1226" t="s">
        <v>19330</v>
      </c>
      <c r="AH1226">
        <v>25</v>
      </c>
      <c r="AI1226">
        <v>3</v>
      </c>
      <c r="AJ1226">
        <v>2</v>
      </c>
      <c r="AK1226">
        <v>271.92</v>
      </c>
      <c r="AN1226" t="s">
        <v>7439</v>
      </c>
      <c r="AO1226">
        <v>80000</v>
      </c>
      <c r="AP1226" t="s">
        <v>45624</v>
      </c>
      <c r="AU1226">
        <v>0.08</v>
      </c>
      <c r="AV1226" t="s">
        <v>685</v>
      </c>
      <c r="AW1226" t="s">
        <v>279</v>
      </c>
    </row>
    <row r="1227" spans="1:49">
      <c r="A1227" s="1">
        <f>HYPERLINK("https://lsnyc.legalserver.org/matter/dynamic-profile/view/1879059","18-1879059")</f>
        <v>0</v>
      </c>
      <c r="B1227" t="s">
        <v>88</v>
      </c>
      <c r="C1227" t="s">
        <v>340</v>
      </c>
      <c r="D1227" t="s">
        <v>540</v>
      </c>
      <c r="F1227" t="s">
        <v>1266</v>
      </c>
      <c r="G1227" t="s">
        <v>5856</v>
      </c>
      <c r="H1227" t="s">
        <v>10676</v>
      </c>
      <c r="I1227" t="s">
        <v>17283</v>
      </c>
      <c r="J1227" t="s">
        <v>18894</v>
      </c>
      <c r="K1227">
        <v>11221</v>
      </c>
      <c r="L1227" t="s">
        <v>18958</v>
      </c>
      <c r="M1227" t="s">
        <v>18958</v>
      </c>
      <c r="O1227" t="s">
        <v>26534</v>
      </c>
      <c r="P1227" t="s">
        <v>26561</v>
      </c>
      <c r="R1227" t="s">
        <v>26578</v>
      </c>
      <c r="S1227" t="s">
        <v>18958</v>
      </c>
      <c r="U1227" t="s">
        <v>26604</v>
      </c>
      <c r="W1227" t="s">
        <v>441</v>
      </c>
      <c r="X1227">
        <v>732</v>
      </c>
      <c r="Y1227" t="s">
        <v>26652</v>
      </c>
      <c r="Z1227" t="s">
        <v>26663</v>
      </c>
      <c r="AB1227" t="s">
        <v>27815</v>
      </c>
      <c r="AD1227" t="s">
        <v>37867</v>
      </c>
      <c r="AE1227">
        <v>13</v>
      </c>
      <c r="AF1227" t="s">
        <v>45541</v>
      </c>
      <c r="AG1227" t="s">
        <v>19330</v>
      </c>
      <c r="AH1227">
        <v>25</v>
      </c>
      <c r="AI1227">
        <v>3</v>
      </c>
      <c r="AJ1227">
        <v>2</v>
      </c>
      <c r="AK1227">
        <v>271.92</v>
      </c>
      <c r="AN1227" t="s">
        <v>7439</v>
      </c>
      <c r="AO1227">
        <v>80000</v>
      </c>
      <c r="AP1227" t="s">
        <v>45699</v>
      </c>
      <c r="AU1227">
        <v>0</v>
      </c>
      <c r="AW1227" t="s">
        <v>279</v>
      </c>
    </row>
    <row r="1228" spans="1:49">
      <c r="A1228" s="1">
        <f>HYPERLINK("https://lsnyc.legalserver.org/matter/dynamic-profile/view/1879060","18-1879060")</f>
        <v>0</v>
      </c>
      <c r="B1228" t="s">
        <v>88</v>
      </c>
      <c r="C1228" t="s">
        <v>340</v>
      </c>
      <c r="D1228" t="s">
        <v>540</v>
      </c>
      <c r="F1228" t="s">
        <v>1266</v>
      </c>
      <c r="G1228" t="s">
        <v>5856</v>
      </c>
      <c r="H1228" t="s">
        <v>10676</v>
      </c>
      <c r="I1228" t="s">
        <v>17283</v>
      </c>
      <c r="J1228" t="s">
        <v>18894</v>
      </c>
      <c r="K1228">
        <v>11221</v>
      </c>
      <c r="L1228" t="s">
        <v>18958</v>
      </c>
      <c r="M1228" t="s">
        <v>18958</v>
      </c>
      <c r="O1228" t="s">
        <v>26526</v>
      </c>
      <c r="P1228" t="s">
        <v>26560</v>
      </c>
      <c r="R1228" t="s">
        <v>26578</v>
      </c>
      <c r="S1228" t="s">
        <v>18958</v>
      </c>
      <c r="U1228" t="s">
        <v>26604</v>
      </c>
      <c r="W1228" t="s">
        <v>441</v>
      </c>
      <c r="X1228">
        <v>732</v>
      </c>
      <c r="Y1228" t="s">
        <v>26652</v>
      </c>
      <c r="Z1228" t="s">
        <v>26663</v>
      </c>
      <c r="AB1228" t="s">
        <v>27815</v>
      </c>
      <c r="AD1228" t="s">
        <v>37867</v>
      </c>
      <c r="AE1228">
        <v>13</v>
      </c>
      <c r="AF1228" t="s">
        <v>45541</v>
      </c>
      <c r="AG1228" t="s">
        <v>19330</v>
      </c>
      <c r="AH1228">
        <v>25</v>
      </c>
      <c r="AI1228">
        <v>3</v>
      </c>
      <c r="AJ1228">
        <v>2</v>
      </c>
      <c r="AK1228">
        <v>271.92</v>
      </c>
      <c r="AN1228" t="s">
        <v>7439</v>
      </c>
      <c r="AO1228">
        <v>80000</v>
      </c>
      <c r="AP1228" t="s">
        <v>45699</v>
      </c>
      <c r="AU1228">
        <v>0</v>
      </c>
      <c r="AW1228" t="s">
        <v>279</v>
      </c>
    </row>
    <row r="1229" spans="1:49">
      <c r="A1229" s="1">
        <f>HYPERLINK("https://lsnyc.legalserver.org/matter/dynamic-profile/view/1862144","18-1862144")</f>
        <v>0</v>
      </c>
      <c r="B1229" t="s">
        <v>108</v>
      </c>
      <c r="C1229" t="s">
        <v>341</v>
      </c>
      <c r="D1229" t="s">
        <v>541</v>
      </c>
      <c r="E1229" t="s">
        <v>531</v>
      </c>
      <c r="F1229" t="s">
        <v>1660</v>
      </c>
      <c r="G1229" t="s">
        <v>5473</v>
      </c>
      <c r="H1229" t="s">
        <v>10677</v>
      </c>
      <c r="J1229" t="s">
        <v>18901</v>
      </c>
      <c r="K1229">
        <v>11436</v>
      </c>
      <c r="L1229" t="s">
        <v>18958</v>
      </c>
      <c r="M1229" t="s">
        <v>18958</v>
      </c>
      <c r="O1229" t="s">
        <v>26523</v>
      </c>
      <c r="P1229" t="s">
        <v>26564</v>
      </c>
      <c r="Q1229" t="s">
        <v>26570</v>
      </c>
      <c r="R1229" t="s">
        <v>26592</v>
      </c>
      <c r="S1229" t="s">
        <v>18959</v>
      </c>
      <c r="U1229" t="s">
        <v>26604</v>
      </c>
      <c r="V1229" t="s">
        <v>26610</v>
      </c>
      <c r="W1229" t="s">
        <v>511</v>
      </c>
      <c r="X1229">
        <v>1650</v>
      </c>
      <c r="Y1229" t="s">
        <v>26653</v>
      </c>
      <c r="Z1229" t="s">
        <v>26661</v>
      </c>
      <c r="AA1229" t="s">
        <v>26683</v>
      </c>
      <c r="AB1229" t="s">
        <v>27816</v>
      </c>
      <c r="AD1229" t="s">
        <v>37868</v>
      </c>
      <c r="AE1229">
        <v>2</v>
      </c>
      <c r="AF1229" t="s">
        <v>45547</v>
      </c>
      <c r="AG1229" t="s">
        <v>19330</v>
      </c>
      <c r="AH1229">
        <v>2</v>
      </c>
      <c r="AI1229">
        <v>1</v>
      </c>
      <c r="AJ1229">
        <v>0</v>
      </c>
      <c r="AK1229">
        <v>286.66</v>
      </c>
      <c r="AN1229" t="s">
        <v>7439</v>
      </c>
      <c r="AO1229">
        <v>34800</v>
      </c>
      <c r="AU1229">
        <v>1.2</v>
      </c>
      <c r="AV1229" t="s">
        <v>530</v>
      </c>
      <c r="AW1229" t="s">
        <v>108</v>
      </c>
    </row>
    <row r="1230" spans="1:49">
      <c r="A1230" s="1">
        <f>HYPERLINK("https://lsnyc.legalserver.org/matter/dynamic-profile/view/1864212","18-1864212")</f>
        <v>0</v>
      </c>
      <c r="B1230" t="s">
        <v>108</v>
      </c>
      <c r="C1230" t="s">
        <v>341</v>
      </c>
      <c r="D1230" t="s">
        <v>542</v>
      </c>
      <c r="E1230" t="s">
        <v>662</v>
      </c>
      <c r="F1230" t="s">
        <v>1661</v>
      </c>
      <c r="G1230" t="s">
        <v>3846</v>
      </c>
      <c r="H1230" t="s">
        <v>9904</v>
      </c>
      <c r="I1230" t="s">
        <v>17322</v>
      </c>
      <c r="J1230" t="s">
        <v>18901</v>
      </c>
      <c r="K1230">
        <v>11432</v>
      </c>
      <c r="L1230" t="s">
        <v>18958</v>
      </c>
      <c r="M1230" t="s">
        <v>18958</v>
      </c>
      <c r="N1230" t="s">
        <v>19882</v>
      </c>
      <c r="O1230" t="s">
        <v>26523</v>
      </c>
      <c r="P1230" t="s">
        <v>26560</v>
      </c>
      <c r="Q1230" t="s">
        <v>26570</v>
      </c>
      <c r="R1230" t="s">
        <v>26593</v>
      </c>
      <c r="S1230" t="s">
        <v>18959</v>
      </c>
      <c r="U1230" t="s">
        <v>26604</v>
      </c>
      <c r="V1230" t="s">
        <v>26612</v>
      </c>
      <c r="W1230" t="s">
        <v>511</v>
      </c>
      <c r="X1230">
        <v>1945</v>
      </c>
      <c r="Y1230" t="s">
        <v>26653</v>
      </c>
      <c r="Z1230" t="s">
        <v>26661</v>
      </c>
      <c r="AA1230" t="s">
        <v>26685</v>
      </c>
      <c r="AB1230" t="s">
        <v>27817</v>
      </c>
      <c r="AD1230" t="s">
        <v>37869</v>
      </c>
      <c r="AE1230">
        <v>125</v>
      </c>
      <c r="AF1230" t="s">
        <v>45541</v>
      </c>
      <c r="AG1230" t="s">
        <v>19330</v>
      </c>
      <c r="AH1230">
        <v>1</v>
      </c>
      <c r="AI1230">
        <v>2</v>
      </c>
      <c r="AJ1230">
        <v>2</v>
      </c>
      <c r="AK1230">
        <v>155.38</v>
      </c>
      <c r="AN1230" t="s">
        <v>7439</v>
      </c>
      <c r="AO1230">
        <v>39000</v>
      </c>
      <c r="AQ1230" t="s">
        <v>46362</v>
      </c>
      <c r="AR1230" t="s">
        <v>46389</v>
      </c>
      <c r="AS1230" t="s">
        <v>46499</v>
      </c>
      <c r="AT1230" t="s">
        <v>46681</v>
      </c>
      <c r="AU1230">
        <v>12</v>
      </c>
      <c r="AV1230" t="s">
        <v>511</v>
      </c>
      <c r="AW1230" t="s">
        <v>108</v>
      </c>
    </row>
    <row r="1231" spans="1:49">
      <c r="A1231" s="1">
        <f>HYPERLINK("https://lsnyc.legalserver.org/matter/dynamic-profile/view/1871557","18-1871557")</f>
        <v>0</v>
      </c>
      <c r="B1231" t="s">
        <v>111</v>
      </c>
      <c r="C1231" t="s">
        <v>341</v>
      </c>
      <c r="D1231" t="s">
        <v>420</v>
      </c>
      <c r="E1231" t="s">
        <v>850</v>
      </c>
      <c r="F1231" t="s">
        <v>1662</v>
      </c>
      <c r="G1231" t="s">
        <v>5177</v>
      </c>
      <c r="H1231" t="s">
        <v>10678</v>
      </c>
      <c r="I1231" t="s">
        <v>17387</v>
      </c>
      <c r="J1231" t="s">
        <v>18901</v>
      </c>
      <c r="K1231">
        <v>11435</v>
      </c>
      <c r="L1231" t="s">
        <v>18958</v>
      </c>
      <c r="M1231" t="s">
        <v>18958</v>
      </c>
      <c r="N1231" t="s">
        <v>19883</v>
      </c>
      <c r="O1231" t="s">
        <v>26524</v>
      </c>
      <c r="P1231" t="s">
        <v>26564</v>
      </c>
      <c r="Q1231" t="s">
        <v>26570</v>
      </c>
      <c r="R1231" t="s">
        <v>26584</v>
      </c>
      <c r="S1231" t="s">
        <v>18959</v>
      </c>
      <c r="U1231" t="s">
        <v>26604</v>
      </c>
      <c r="V1231" t="s">
        <v>26610</v>
      </c>
      <c r="W1231" t="s">
        <v>511</v>
      </c>
      <c r="X1231">
        <v>0</v>
      </c>
      <c r="Y1231" t="s">
        <v>26653</v>
      </c>
      <c r="Z1231" t="s">
        <v>26664</v>
      </c>
      <c r="AA1231" t="s">
        <v>26683</v>
      </c>
      <c r="AB1231" t="s">
        <v>27818</v>
      </c>
      <c r="AC1231" t="s">
        <v>19330</v>
      </c>
      <c r="AD1231" t="s">
        <v>37870</v>
      </c>
      <c r="AE1231">
        <v>1</v>
      </c>
      <c r="AF1231" t="s">
        <v>45547</v>
      </c>
      <c r="AG1231" t="s">
        <v>19330</v>
      </c>
      <c r="AH1231">
        <v>1</v>
      </c>
      <c r="AI1231">
        <v>3</v>
      </c>
      <c r="AJ1231">
        <v>3</v>
      </c>
      <c r="AK1231">
        <v>21.34</v>
      </c>
      <c r="AN1231" t="s">
        <v>7439</v>
      </c>
      <c r="AO1231">
        <v>7200</v>
      </c>
      <c r="AU1231">
        <v>0.7</v>
      </c>
      <c r="AV1231" t="s">
        <v>420</v>
      </c>
      <c r="AW1231" t="s">
        <v>208</v>
      </c>
    </row>
    <row r="1232" spans="1:49">
      <c r="A1232" s="1">
        <f>HYPERLINK("https://lsnyc.legalserver.org/matter/dynamic-profile/view/1875548","18-1875548")</f>
        <v>0</v>
      </c>
      <c r="B1232" t="s">
        <v>233</v>
      </c>
      <c r="C1232" t="s">
        <v>340</v>
      </c>
      <c r="D1232" t="s">
        <v>521</v>
      </c>
      <c r="F1232" t="s">
        <v>1663</v>
      </c>
      <c r="G1232" t="s">
        <v>5857</v>
      </c>
      <c r="H1232" t="s">
        <v>10679</v>
      </c>
      <c r="I1232">
        <v>405</v>
      </c>
      <c r="J1232" t="s">
        <v>18892</v>
      </c>
      <c r="K1232">
        <v>10473</v>
      </c>
      <c r="L1232" t="s">
        <v>18958</v>
      </c>
      <c r="M1232" t="s">
        <v>18958</v>
      </c>
      <c r="N1232" t="s">
        <v>19884</v>
      </c>
      <c r="O1232" t="s">
        <v>26524</v>
      </c>
      <c r="P1232" t="s">
        <v>26560</v>
      </c>
      <c r="R1232" t="s">
        <v>26577</v>
      </c>
      <c r="S1232" t="s">
        <v>18959</v>
      </c>
      <c r="U1232" t="s">
        <v>26604</v>
      </c>
      <c r="V1232" t="s">
        <v>26610</v>
      </c>
      <c r="W1232" t="s">
        <v>511</v>
      </c>
      <c r="X1232">
        <v>1000</v>
      </c>
      <c r="Y1232" t="s">
        <v>26650</v>
      </c>
      <c r="AB1232" t="s">
        <v>27819</v>
      </c>
      <c r="AC1232" t="s">
        <v>34870</v>
      </c>
      <c r="AD1232" t="s">
        <v>37871</v>
      </c>
      <c r="AE1232">
        <v>0</v>
      </c>
      <c r="AF1232" t="s">
        <v>45550</v>
      </c>
      <c r="AG1232" t="s">
        <v>45559</v>
      </c>
      <c r="AH1232">
        <v>38</v>
      </c>
      <c r="AI1232">
        <v>1</v>
      </c>
      <c r="AJ1232">
        <v>0</v>
      </c>
      <c r="AK1232">
        <v>120.59</v>
      </c>
      <c r="AN1232" t="s">
        <v>7439</v>
      </c>
      <c r="AO1232">
        <v>14640</v>
      </c>
      <c r="AU1232">
        <v>33.3</v>
      </c>
      <c r="AV1232" t="s">
        <v>832</v>
      </c>
      <c r="AW1232" t="s">
        <v>336</v>
      </c>
    </row>
    <row r="1233" spans="1:50">
      <c r="A1233" s="1">
        <f>HYPERLINK("https://lsnyc.legalserver.org/matter/dynamic-profile/view/1875938","18-1875938")</f>
        <v>0</v>
      </c>
      <c r="B1233" t="s">
        <v>200</v>
      </c>
      <c r="C1233" t="s">
        <v>341</v>
      </c>
      <c r="D1233" t="s">
        <v>511</v>
      </c>
      <c r="E1233" t="s">
        <v>588</v>
      </c>
      <c r="F1233" t="s">
        <v>1328</v>
      </c>
      <c r="G1233" t="s">
        <v>5858</v>
      </c>
      <c r="H1233" t="s">
        <v>10680</v>
      </c>
      <c r="I1233" t="s">
        <v>17616</v>
      </c>
      <c r="J1233" t="s">
        <v>18894</v>
      </c>
      <c r="K1233">
        <v>11207</v>
      </c>
      <c r="L1233" t="s">
        <v>18958</v>
      </c>
      <c r="M1233" t="s">
        <v>18958</v>
      </c>
      <c r="N1233" t="s">
        <v>19885</v>
      </c>
      <c r="O1233" t="s">
        <v>26523</v>
      </c>
      <c r="P1233" t="s">
        <v>26564</v>
      </c>
      <c r="Q1233" t="s">
        <v>26570</v>
      </c>
      <c r="R1233" t="s">
        <v>26578</v>
      </c>
      <c r="S1233" t="s">
        <v>18959</v>
      </c>
      <c r="U1233" t="s">
        <v>26604</v>
      </c>
      <c r="V1233" t="s">
        <v>26613</v>
      </c>
      <c r="W1233" t="s">
        <v>511</v>
      </c>
      <c r="X1233">
        <v>1500</v>
      </c>
      <c r="Y1233" t="s">
        <v>26652</v>
      </c>
      <c r="Z1233" t="s">
        <v>26657</v>
      </c>
      <c r="AA1233" t="s">
        <v>26683</v>
      </c>
      <c r="AB1233" t="s">
        <v>27820</v>
      </c>
      <c r="AD1233" t="s">
        <v>37872</v>
      </c>
      <c r="AE1233">
        <v>22</v>
      </c>
      <c r="AF1233" t="s">
        <v>45541</v>
      </c>
      <c r="AG1233" t="s">
        <v>45562</v>
      </c>
      <c r="AH1233">
        <v>3</v>
      </c>
      <c r="AI1233">
        <v>2</v>
      </c>
      <c r="AJ1233">
        <v>1</v>
      </c>
      <c r="AK1233">
        <v>0</v>
      </c>
      <c r="AN1233" t="s">
        <v>7439</v>
      </c>
      <c r="AO1233">
        <v>0</v>
      </c>
      <c r="AU1233">
        <v>2.8</v>
      </c>
      <c r="AV1233" t="s">
        <v>588</v>
      </c>
      <c r="AW1233" t="s">
        <v>46849</v>
      </c>
    </row>
    <row r="1234" spans="1:50">
      <c r="A1234" s="1">
        <f>HYPERLINK("https://lsnyc.legalserver.org/matter/dynamic-profile/view/1875971","18-1875971")</f>
        <v>0</v>
      </c>
      <c r="B1234" t="s">
        <v>125</v>
      </c>
      <c r="C1234" t="s">
        <v>341</v>
      </c>
      <c r="D1234" t="s">
        <v>511</v>
      </c>
      <c r="E1234" t="s">
        <v>697</v>
      </c>
      <c r="F1234" t="s">
        <v>1447</v>
      </c>
      <c r="G1234" t="s">
        <v>5859</v>
      </c>
      <c r="H1234" t="s">
        <v>10681</v>
      </c>
      <c r="I1234" t="s">
        <v>17306</v>
      </c>
      <c r="J1234" t="s">
        <v>18894</v>
      </c>
      <c r="K1234">
        <v>11239</v>
      </c>
      <c r="L1234" t="s">
        <v>18958</v>
      </c>
      <c r="M1234" t="s">
        <v>18958</v>
      </c>
      <c r="N1234" t="s">
        <v>19886</v>
      </c>
      <c r="O1234" t="s">
        <v>26523</v>
      </c>
      <c r="P1234" t="s">
        <v>26560</v>
      </c>
      <c r="Q1234" t="s">
        <v>26573</v>
      </c>
      <c r="R1234" t="s">
        <v>26578</v>
      </c>
      <c r="U1234" t="s">
        <v>26604</v>
      </c>
      <c r="W1234" t="s">
        <v>511</v>
      </c>
      <c r="X1234">
        <v>968</v>
      </c>
      <c r="Y1234" t="s">
        <v>26652</v>
      </c>
      <c r="Z1234" t="s">
        <v>26530</v>
      </c>
      <c r="AA1234" t="s">
        <v>26678</v>
      </c>
      <c r="AB1234" t="s">
        <v>27821</v>
      </c>
      <c r="AD1234" t="s">
        <v>37873</v>
      </c>
      <c r="AE1234">
        <v>136</v>
      </c>
      <c r="AF1234" t="s">
        <v>45543</v>
      </c>
      <c r="AG1234" t="s">
        <v>19330</v>
      </c>
      <c r="AH1234">
        <v>2</v>
      </c>
      <c r="AI1234">
        <v>1</v>
      </c>
      <c r="AJ1234">
        <v>0</v>
      </c>
      <c r="AK1234">
        <v>154.57</v>
      </c>
      <c r="AN1234" t="s">
        <v>45581</v>
      </c>
      <c r="AO1234">
        <v>18765.24</v>
      </c>
      <c r="AU1234">
        <v>7.25</v>
      </c>
      <c r="AV1234" t="s">
        <v>589</v>
      </c>
      <c r="AW1234" t="s">
        <v>46846</v>
      </c>
    </row>
    <row r="1235" spans="1:50">
      <c r="A1235" s="1">
        <f>HYPERLINK("https://lsnyc.legalserver.org/matter/dynamic-profile/view/1875398","18-1875398")</f>
        <v>0</v>
      </c>
      <c r="B1235" t="s">
        <v>109</v>
      </c>
      <c r="C1235" t="s">
        <v>340</v>
      </c>
      <c r="D1235" t="s">
        <v>511</v>
      </c>
      <c r="F1235" t="s">
        <v>1664</v>
      </c>
      <c r="G1235" t="s">
        <v>5860</v>
      </c>
      <c r="H1235" t="s">
        <v>10682</v>
      </c>
      <c r="J1235" t="s">
        <v>18902</v>
      </c>
      <c r="K1235">
        <v>10303</v>
      </c>
      <c r="L1235" t="s">
        <v>18958</v>
      </c>
      <c r="M1235" t="s">
        <v>18958</v>
      </c>
      <c r="N1235" t="s">
        <v>19887</v>
      </c>
      <c r="O1235" t="s">
        <v>26524</v>
      </c>
      <c r="P1235" t="s">
        <v>26560</v>
      </c>
      <c r="R1235" t="s">
        <v>26590</v>
      </c>
      <c r="S1235" t="s">
        <v>18959</v>
      </c>
      <c r="U1235" t="s">
        <v>26604</v>
      </c>
      <c r="V1235" t="s">
        <v>26610</v>
      </c>
      <c r="W1235" t="s">
        <v>511</v>
      </c>
      <c r="X1235">
        <v>1600</v>
      </c>
      <c r="Y1235" t="s">
        <v>26654</v>
      </c>
      <c r="Z1235" t="s">
        <v>26659</v>
      </c>
      <c r="AB1235" t="s">
        <v>27822</v>
      </c>
      <c r="AD1235" t="s">
        <v>37874</v>
      </c>
      <c r="AE1235">
        <v>1</v>
      </c>
      <c r="AF1235" t="s">
        <v>45547</v>
      </c>
      <c r="AG1235" t="s">
        <v>45556</v>
      </c>
      <c r="AH1235">
        <v>11</v>
      </c>
      <c r="AI1235">
        <v>1</v>
      </c>
      <c r="AJ1235">
        <v>0</v>
      </c>
      <c r="AK1235">
        <v>62.77</v>
      </c>
      <c r="AN1235" t="s">
        <v>7439</v>
      </c>
      <c r="AO1235">
        <v>7620</v>
      </c>
      <c r="AU1235">
        <v>15.5</v>
      </c>
      <c r="AV1235" t="s">
        <v>755</v>
      </c>
      <c r="AW1235" t="s">
        <v>210</v>
      </c>
    </row>
    <row r="1236" spans="1:50">
      <c r="A1236" s="1">
        <f>HYPERLINK("https://lsnyc.legalserver.org/matter/dynamic-profile/view/1849980","17-1849980")</f>
        <v>0</v>
      </c>
      <c r="B1236" t="s">
        <v>75</v>
      </c>
      <c r="C1236" t="s">
        <v>341</v>
      </c>
      <c r="D1236" t="s">
        <v>543</v>
      </c>
      <c r="E1236" t="s">
        <v>525</v>
      </c>
      <c r="F1236" t="s">
        <v>1665</v>
      </c>
      <c r="G1236" t="s">
        <v>4938</v>
      </c>
      <c r="H1236" t="s">
        <v>10683</v>
      </c>
      <c r="I1236">
        <v>3</v>
      </c>
      <c r="J1236" t="s">
        <v>18892</v>
      </c>
      <c r="K1236">
        <v>10458</v>
      </c>
      <c r="L1236" t="s">
        <v>18958</v>
      </c>
      <c r="M1236" t="s">
        <v>18960</v>
      </c>
      <c r="N1236" t="s">
        <v>19888</v>
      </c>
      <c r="O1236" t="s">
        <v>26524</v>
      </c>
      <c r="P1236" t="s">
        <v>26560</v>
      </c>
      <c r="Q1236" t="s">
        <v>26568</v>
      </c>
      <c r="R1236" t="s">
        <v>26577</v>
      </c>
      <c r="S1236" t="s">
        <v>18959</v>
      </c>
      <c r="U1236" t="s">
        <v>26604</v>
      </c>
      <c r="V1236" t="s">
        <v>26612</v>
      </c>
      <c r="W1236" t="s">
        <v>26625</v>
      </c>
      <c r="X1236">
        <v>1900</v>
      </c>
      <c r="Y1236" t="s">
        <v>26650</v>
      </c>
      <c r="Z1236" t="s">
        <v>26655</v>
      </c>
      <c r="AA1236" t="s">
        <v>26678</v>
      </c>
      <c r="AB1236" t="s">
        <v>27823</v>
      </c>
      <c r="AC1236" t="s">
        <v>34871</v>
      </c>
      <c r="AD1236" t="s">
        <v>37875</v>
      </c>
      <c r="AE1236">
        <v>3</v>
      </c>
      <c r="AF1236" t="s">
        <v>45547</v>
      </c>
      <c r="AG1236" t="s">
        <v>45556</v>
      </c>
      <c r="AH1236">
        <v>5</v>
      </c>
      <c r="AI1236">
        <v>2</v>
      </c>
      <c r="AJ1236">
        <v>2</v>
      </c>
      <c r="AK1236">
        <v>36.98</v>
      </c>
      <c r="AN1236" t="s">
        <v>45581</v>
      </c>
      <c r="AO1236">
        <v>9096</v>
      </c>
      <c r="AS1236" t="s">
        <v>46499</v>
      </c>
      <c r="AT1236" t="s">
        <v>46578</v>
      </c>
      <c r="AU1236">
        <v>107.66</v>
      </c>
      <c r="AV1236" t="s">
        <v>427</v>
      </c>
      <c r="AW1236" t="s">
        <v>75</v>
      </c>
    </row>
    <row r="1237" spans="1:50">
      <c r="A1237" s="1">
        <f>HYPERLINK("https://lsnyc.legalserver.org/matter/dynamic-profile/view/0813552","16-0813552")</f>
        <v>0</v>
      </c>
      <c r="B1237" t="s">
        <v>50</v>
      </c>
      <c r="C1237" t="s">
        <v>341</v>
      </c>
      <c r="D1237" t="s">
        <v>544</v>
      </c>
      <c r="E1237" t="s">
        <v>737</v>
      </c>
      <c r="F1237" t="s">
        <v>1451</v>
      </c>
      <c r="G1237" t="s">
        <v>5141</v>
      </c>
      <c r="H1237" t="s">
        <v>10358</v>
      </c>
      <c r="I1237" t="s">
        <v>17432</v>
      </c>
      <c r="J1237" t="s">
        <v>18892</v>
      </c>
      <c r="K1237">
        <v>10454</v>
      </c>
      <c r="L1237" t="s">
        <v>18958</v>
      </c>
      <c r="M1237" t="s">
        <v>18960</v>
      </c>
      <c r="N1237" t="s">
        <v>19889</v>
      </c>
      <c r="O1237" t="s">
        <v>26548</v>
      </c>
      <c r="P1237" t="s">
        <v>26566</v>
      </c>
      <c r="Q1237" t="s">
        <v>26575</v>
      </c>
      <c r="R1237" t="s">
        <v>26577</v>
      </c>
      <c r="S1237" t="s">
        <v>18958</v>
      </c>
      <c r="U1237" t="s">
        <v>26604</v>
      </c>
      <c r="W1237" t="s">
        <v>512</v>
      </c>
      <c r="X1237">
        <v>1629.01</v>
      </c>
      <c r="Y1237" t="s">
        <v>26650</v>
      </c>
      <c r="Z1237" t="s">
        <v>26661</v>
      </c>
      <c r="AA1237" t="s">
        <v>26687</v>
      </c>
      <c r="AB1237" t="s">
        <v>27465</v>
      </c>
      <c r="AC1237" t="s">
        <v>34753</v>
      </c>
      <c r="AD1237" t="s">
        <v>37525</v>
      </c>
      <c r="AE1237">
        <v>35</v>
      </c>
      <c r="AF1237" t="s">
        <v>45541</v>
      </c>
      <c r="AG1237" t="s">
        <v>45557</v>
      </c>
      <c r="AH1237">
        <v>6</v>
      </c>
      <c r="AI1237">
        <v>1</v>
      </c>
      <c r="AJ1237">
        <v>2</v>
      </c>
      <c r="AK1237">
        <v>54.94</v>
      </c>
      <c r="AN1237" t="s">
        <v>7439</v>
      </c>
      <c r="AO1237">
        <v>13476</v>
      </c>
      <c r="AQ1237" t="s">
        <v>46359</v>
      </c>
      <c r="AR1237" t="s">
        <v>46433</v>
      </c>
      <c r="AS1237" t="s">
        <v>46499</v>
      </c>
      <c r="AT1237" t="s">
        <v>46577</v>
      </c>
      <c r="AU1237">
        <v>48.25</v>
      </c>
      <c r="AV1237" t="s">
        <v>745</v>
      </c>
      <c r="AW1237" t="s">
        <v>46837</v>
      </c>
    </row>
    <row r="1238" spans="1:50">
      <c r="A1238" s="1">
        <f>HYPERLINK("https://lsnyc.legalserver.org/matter/dynamic-profile/view/1864327","18-1864327")</f>
        <v>0</v>
      </c>
      <c r="B1238" t="s">
        <v>163</v>
      </c>
      <c r="C1238" t="s">
        <v>341</v>
      </c>
      <c r="D1238" t="s">
        <v>442</v>
      </c>
      <c r="E1238" t="s">
        <v>512</v>
      </c>
      <c r="F1238" t="s">
        <v>1666</v>
      </c>
      <c r="G1238" t="s">
        <v>5447</v>
      </c>
      <c r="H1238" t="s">
        <v>10684</v>
      </c>
      <c r="I1238">
        <v>28</v>
      </c>
      <c r="J1238" t="s">
        <v>18913</v>
      </c>
      <c r="K1238">
        <v>11103</v>
      </c>
      <c r="L1238" t="s">
        <v>18958</v>
      </c>
      <c r="M1238" t="s">
        <v>18958</v>
      </c>
      <c r="N1238" t="s">
        <v>19890</v>
      </c>
      <c r="O1238" t="s">
        <v>26523</v>
      </c>
      <c r="P1238" t="s">
        <v>26560</v>
      </c>
      <c r="Q1238" t="s">
        <v>26568</v>
      </c>
      <c r="R1238" t="s">
        <v>26584</v>
      </c>
      <c r="S1238" t="s">
        <v>18959</v>
      </c>
      <c r="U1238" t="s">
        <v>26604</v>
      </c>
      <c r="V1238" t="s">
        <v>26611</v>
      </c>
      <c r="W1238" t="s">
        <v>512</v>
      </c>
      <c r="X1238">
        <v>885.01</v>
      </c>
      <c r="Y1238" t="s">
        <v>26653</v>
      </c>
      <c r="Z1238" t="s">
        <v>26664</v>
      </c>
      <c r="AA1238" t="s">
        <v>26678</v>
      </c>
      <c r="AB1238" t="s">
        <v>27824</v>
      </c>
      <c r="AC1238" t="s">
        <v>34872</v>
      </c>
      <c r="AD1238" t="s">
        <v>37876</v>
      </c>
      <c r="AE1238">
        <v>30</v>
      </c>
      <c r="AF1238" t="s">
        <v>45541</v>
      </c>
      <c r="AG1238" t="s">
        <v>45558</v>
      </c>
      <c r="AH1238">
        <v>38</v>
      </c>
      <c r="AI1238">
        <v>1</v>
      </c>
      <c r="AJ1238">
        <v>3</v>
      </c>
      <c r="AK1238">
        <v>0</v>
      </c>
      <c r="AN1238" t="s">
        <v>7439</v>
      </c>
      <c r="AO1238">
        <v>0</v>
      </c>
      <c r="AQ1238" t="s">
        <v>46365</v>
      </c>
      <c r="AR1238" t="s">
        <v>46434</v>
      </c>
      <c r="AS1238" t="s">
        <v>46499</v>
      </c>
      <c r="AT1238" t="s">
        <v>46541</v>
      </c>
      <c r="AU1238">
        <v>11.5</v>
      </c>
      <c r="AV1238" t="s">
        <v>512</v>
      </c>
      <c r="AW1238" t="s">
        <v>85</v>
      </c>
    </row>
    <row r="1239" spans="1:50">
      <c r="A1239" s="1">
        <f>HYPERLINK("https://lsnyc.legalserver.org/matter/dynamic-profile/view/1870118","18-1870118")</f>
        <v>0</v>
      </c>
      <c r="B1239" t="s">
        <v>140</v>
      </c>
      <c r="C1239" t="s">
        <v>341</v>
      </c>
      <c r="D1239" t="s">
        <v>400</v>
      </c>
      <c r="E1239" t="s">
        <v>512</v>
      </c>
      <c r="F1239" t="s">
        <v>1667</v>
      </c>
      <c r="G1239" t="s">
        <v>5861</v>
      </c>
      <c r="H1239" t="s">
        <v>10685</v>
      </c>
      <c r="I1239" t="s">
        <v>17334</v>
      </c>
      <c r="J1239" t="s">
        <v>18894</v>
      </c>
      <c r="K1239">
        <v>11234</v>
      </c>
      <c r="L1239" t="s">
        <v>18958</v>
      </c>
      <c r="M1239" t="s">
        <v>18958</v>
      </c>
      <c r="N1239" t="s">
        <v>19891</v>
      </c>
      <c r="O1239" t="s">
        <v>26524</v>
      </c>
      <c r="P1239" t="s">
        <v>26560</v>
      </c>
      <c r="Q1239" t="s">
        <v>26568</v>
      </c>
      <c r="R1239" t="s">
        <v>26586</v>
      </c>
      <c r="U1239" t="s">
        <v>26604</v>
      </c>
      <c r="W1239" t="s">
        <v>512</v>
      </c>
      <c r="X1239">
        <v>1400</v>
      </c>
      <c r="Y1239" t="s">
        <v>26652</v>
      </c>
      <c r="Z1239" t="s">
        <v>26662</v>
      </c>
      <c r="AA1239" t="s">
        <v>26679</v>
      </c>
      <c r="AB1239" t="s">
        <v>27825</v>
      </c>
      <c r="AD1239" t="s">
        <v>37877</v>
      </c>
      <c r="AE1239">
        <v>4</v>
      </c>
      <c r="AH1239">
        <v>-1</v>
      </c>
      <c r="AI1239">
        <v>1</v>
      </c>
      <c r="AJ1239">
        <v>0</v>
      </c>
      <c r="AK1239">
        <v>0</v>
      </c>
      <c r="AN1239" t="s">
        <v>7439</v>
      </c>
      <c r="AO1239">
        <v>0</v>
      </c>
      <c r="AQ1239" t="s">
        <v>46359</v>
      </c>
      <c r="AR1239" t="s">
        <v>26530</v>
      </c>
      <c r="AS1239" t="s">
        <v>46500</v>
      </c>
      <c r="AT1239" t="s">
        <v>46650</v>
      </c>
      <c r="AU1239">
        <v>10</v>
      </c>
      <c r="AV1239" t="s">
        <v>515</v>
      </c>
      <c r="AW1239" t="s">
        <v>46853</v>
      </c>
    </row>
    <row r="1240" spans="1:50">
      <c r="A1240" s="1">
        <f>HYPERLINK("https://lsnyc.legalserver.org/matter/dynamic-profile/view/1873275","18-1873275")</f>
        <v>0</v>
      </c>
      <c r="B1240" t="s">
        <v>206</v>
      </c>
      <c r="C1240" t="s">
        <v>341</v>
      </c>
      <c r="D1240" t="s">
        <v>410</v>
      </c>
      <c r="E1240" t="s">
        <v>512</v>
      </c>
      <c r="F1240" t="s">
        <v>1081</v>
      </c>
      <c r="G1240" t="s">
        <v>5862</v>
      </c>
      <c r="H1240" t="s">
        <v>10686</v>
      </c>
      <c r="I1240" t="s">
        <v>17283</v>
      </c>
      <c r="J1240" t="s">
        <v>18894</v>
      </c>
      <c r="K1240">
        <v>11238</v>
      </c>
      <c r="L1240" t="s">
        <v>18958</v>
      </c>
      <c r="M1240" t="s">
        <v>18958</v>
      </c>
      <c r="N1240" t="s">
        <v>19892</v>
      </c>
      <c r="O1240" t="s">
        <v>26523</v>
      </c>
      <c r="P1240" t="s">
        <v>26563</v>
      </c>
      <c r="Q1240" t="s">
        <v>26568</v>
      </c>
      <c r="R1240" t="s">
        <v>26586</v>
      </c>
      <c r="S1240" t="s">
        <v>18959</v>
      </c>
      <c r="U1240" t="s">
        <v>26604</v>
      </c>
      <c r="W1240" t="s">
        <v>512</v>
      </c>
      <c r="X1240">
        <v>1400.53</v>
      </c>
      <c r="Y1240" t="s">
        <v>26652</v>
      </c>
      <c r="Z1240" t="s">
        <v>26662</v>
      </c>
      <c r="AA1240" t="s">
        <v>26678</v>
      </c>
      <c r="AB1240" t="s">
        <v>27826</v>
      </c>
      <c r="AD1240" t="s">
        <v>37878</v>
      </c>
      <c r="AE1240">
        <v>12</v>
      </c>
      <c r="AG1240" t="s">
        <v>19330</v>
      </c>
      <c r="AH1240">
        <v>18</v>
      </c>
      <c r="AI1240">
        <v>1</v>
      </c>
      <c r="AJ1240">
        <v>0</v>
      </c>
      <c r="AK1240">
        <v>39.54</v>
      </c>
      <c r="AN1240" t="s">
        <v>7439</v>
      </c>
      <c r="AO1240">
        <v>4800</v>
      </c>
      <c r="AQ1240" t="s">
        <v>46359</v>
      </c>
      <c r="AR1240" t="s">
        <v>46381</v>
      </c>
      <c r="AS1240" t="s">
        <v>46499</v>
      </c>
      <c r="AT1240" t="s">
        <v>46583</v>
      </c>
      <c r="AU1240">
        <v>7.25</v>
      </c>
      <c r="AV1240" t="s">
        <v>512</v>
      </c>
      <c r="AW1240" t="s">
        <v>281</v>
      </c>
    </row>
    <row r="1241" spans="1:50">
      <c r="A1241" s="1">
        <f>HYPERLINK("https://lsnyc.legalserver.org/matter/dynamic-profile/view/1874553","18-1874553")</f>
        <v>0</v>
      </c>
      <c r="B1241" t="s">
        <v>174</v>
      </c>
      <c r="C1241" t="s">
        <v>341</v>
      </c>
      <c r="D1241" t="s">
        <v>461</v>
      </c>
      <c r="E1241" t="s">
        <v>826</v>
      </c>
      <c r="F1241" t="s">
        <v>1668</v>
      </c>
      <c r="G1241" t="s">
        <v>5269</v>
      </c>
      <c r="H1241" t="s">
        <v>10687</v>
      </c>
      <c r="I1241" t="s">
        <v>17312</v>
      </c>
      <c r="J1241" t="s">
        <v>18894</v>
      </c>
      <c r="K1241">
        <v>11208</v>
      </c>
      <c r="L1241" t="s">
        <v>18958</v>
      </c>
      <c r="M1241" t="s">
        <v>18958</v>
      </c>
      <c r="N1241" t="s">
        <v>19893</v>
      </c>
      <c r="O1241" t="s">
        <v>26524</v>
      </c>
      <c r="P1241" t="s">
        <v>26560</v>
      </c>
      <c r="Q1241" t="s">
        <v>26568</v>
      </c>
      <c r="R1241" t="s">
        <v>26578</v>
      </c>
      <c r="U1241" t="s">
        <v>26604</v>
      </c>
      <c r="W1241" t="s">
        <v>512</v>
      </c>
      <c r="X1241">
        <v>1650</v>
      </c>
      <c r="Y1241" t="s">
        <v>26652</v>
      </c>
      <c r="Z1241" t="s">
        <v>26657</v>
      </c>
      <c r="AA1241" t="s">
        <v>26679</v>
      </c>
      <c r="AB1241" t="s">
        <v>27827</v>
      </c>
      <c r="AC1241" t="s">
        <v>34873</v>
      </c>
      <c r="AD1241" t="s">
        <v>37879</v>
      </c>
      <c r="AE1241">
        <v>4</v>
      </c>
      <c r="AG1241" t="s">
        <v>45561</v>
      </c>
      <c r="AH1241">
        <v>6</v>
      </c>
      <c r="AI1241">
        <v>1</v>
      </c>
      <c r="AJ1241">
        <v>0</v>
      </c>
      <c r="AK1241">
        <v>27.28</v>
      </c>
      <c r="AN1241" t="s">
        <v>7439</v>
      </c>
      <c r="AO1241">
        <v>3312</v>
      </c>
      <c r="AU1241">
        <v>47.35</v>
      </c>
      <c r="AV1241" t="s">
        <v>820</v>
      </c>
      <c r="AW1241" t="s">
        <v>46858</v>
      </c>
    </row>
    <row r="1242" spans="1:50">
      <c r="A1242" s="1">
        <f>HYPERLINK("https://lsnyc.legalserver.org/matter/dynamic-profile/view/1875390","18-1875390")</f>
        <v>0</v>
      </c>
      <c r="B1242" t="s">
        <v>126</v>
      </c>
      <c r="C1242" t="s">
        <v>341</v>
      </c>
      <c r="D1242" t="s">
        <v>528</v>
      </c>
      <c r="E1242" t="s">
        <v>732</v>
      </c>
      <c r="F1242" t="s">
        <v>1241</v>
      </c>
      <c r="G1242" t="s">
        <v>5863</v>
      </c>
      <c r="H1242" t="s">
        <v>10688</v>
      </c>
      <c r="I1242">
        <v>1</v>
      </c>
      <c r="J1242" t="s">
        <v>18894</v>
      </c>
      <c r="K1242">
        <v>11208</v>
      </c>
      <c r="L1242" t="s">
        <v>18958</v>
      </c>
      <c r="M1242" t="s">
        <v>18958</v>
      </c>
      <c r="N1242" t="s">
        <v>19894</v>
      </c>
      <c r="O1242" t="s">
        <v>26523</v>
      </c>
      <c r="P1242" t="s">
        <v>26560</v>
      </c>
      <c r="Q1242" t="s">
        <v>26568</v>
      </c>
      <c r="R1242" t="s">
        <v>26578</v>
      </c>
      <c r="U1242" t="s">
        <v>26604</v>
      </c>
      <c r="W1242" t="s">
        <v>512</v>
      </c>
      <c r="X1242">
        <v>1600</v>
      </c>
      <c r="Y1242" t="s">
        <v>26652</v>
      </c>
      <c r="Z1242" t="s">
        <v>26664</v>
      </c>
      <c r="AA1242" t="s">
        <v>26685</v>
      </c>
      <c r="AB1242" t="s">
        <v>27828</v>
      </c>
      <c r="AC1242" t="s">
        <v>34874</v>
      </c>
      <c r="AD1242" t="s">
        <v>37880</v>
      </c>
      <c r="AE1242">
        <v>2</v>
      </c>
      <c r="AH1242">
        <v>4</v>
      </c>
      <c r="AI1242">
        <v>2</v>
      </c>
      <c r="AJ1242">
        <v>2</v>
      </c>
      <c r="AK1242">
        <v>113.25</v>
      </c>
      <c r="AN1242" t="s">
        <v>7439</v>
      </c>
      <c r="AO1242">
        <v>28426.6</v>
      </c>
      <c r="AU1242">
        <v>24.1</v>
      </c>
      <c r="AV1242" t="s">
        <v>732</v>
      </c>
      <c r="AW1242" t="s">
        <v>46862</v>
      </c>
    </row>
    <row r="1243" spans="1:50">
      <c r="A1243" s="1">
        <f>HYPERLINK("https://lsnyc.legalserver.org/matter/dynamic-profile/view/1876034","18-1876034")</f>
        <v>0</v>
      </c>
      <c r="B1243" t="s">
        <v>89</v>
      </c>
      <c r="C1243" t="s">
        <v>341</v>
      </c>
      <c r="D1243" t="s">
        <v>512</v>
      </c>
      <c r="E1243" t="s">
        <v>820</v>
      </c>
      <c r="F1243" t="s">
        <v>1669</v>
      </c>
      <c r="G1243" t="s">
        <v>5864</v>
      </c>
      <c r="H1243" t="s">
        <v>10689</v>
      </c>
      <c r="I1243" t="s">
        <v>17617</v>
      </c>
      <c r="J1243" t="s">
        <v>18893</v>
      </c>
      <c r="K1243">
        <v>10002</v>
      </c>
      <c r="L1243" t="s">
        <v>18958</v>
      </c>
      <c r="M1243" t="s">
        <v>18958</v>
      </c>
      <c r="O1243" t="s">
        <v>26526</v>
      </c>
      <c r="P1243" t="s">
        <v>26564</v>
      </c>
      <c r="Q1243" t="s">
        <v>26570</v>
      </c>
      <c r="R1243" t="s">
        <v>26582</v>
      </c>
      <c r="S1243" t="s">
        <v>18959</v>
      </c>
      <c r="U1243" t="s">
        <v>26604</v>
      </c>
      <c r="W1243" t="s">
        <v>512</v>
      </c>
      <c r="X1243">
        <v>574</v>
      </c>
      <c r="Y1243" t="s">
        <v>26651</v>
      </c>
      <c r="Z1243" t="s">
        <v>26659</v>
      </c>
      <c r="AA1243" t="s">
        <v>26683</v>
      </c>
      <c r="AB1243" t="s">
        <v>27829</v>
      </c>
      <c r="AD1243" t="s">
        <v>37881</v>
      </c>
      <c r="AE1243">
        <v>0</v>
      </c>
      <c r="AF1243" t="s">
        <v>45541</v>
      </c>
      <c r="AG1243" t="s">
        <v>45559</v>
      </c>
      <c r="AH1243">
        <v>40</v>
      </c>
      <c r="AI1243">
        <v>3</v>
      </c>
      <c r="AJ1243">
        <v>0</v>
      </c>
      <c r="AK1243">
        <v>108.9</v>
      </c>
      <c r="AN1243" t="s">
        <v>45581</v>
      </c>
      <c r="AO1243">
        <v>22628.4</v>
      </c>
      <c r="AU1243">
        <v>5</v>
      </c>
      <c r="AV1243" t="s">
        <v>694</v>
      </c>
      <c r="AW1243" t="s">
        <v>314</v>
      </c>
    </row>
    <row r="1244" spans="1:50">
      <c r="A1244" s="1">
        <f>HYPERLINK("https://lsnyc.legalserver.org/matter/dynamic-profile/view/1876104","18-1876104")</f>
        <v>0</v>
      </c>
      <c r="B1244" t="s">
        <v>122</v>
      </c>
      <c r="C1244" t="s">
        <v>341</v>
      </c>
      <c r="D1244" t="s">
        <v>512</v>
      </c>
      <c r="E1244" t="s">
        <v>422</v>
      </c>
      <c r="F1244" t="s">
        <v>1670</v>
      </c>
      <c r="G1244" t="s">
        <v>5126</v>
      </c>
      <c r="H1244" t="s">
        <v>10690</v>
      </c>
      <c r="I1244" t="s">
        <v>17375</v>
      </c>
      <c r="J1244" t="s">
        <v>18920</v>
      </c>
      <c r="K1244">
        <v>11369</v>
      </c>
      <c r="L1244" t="s">
        <v>18958</v>
      </c>
      <c r="M1244" t="s">
        <v>18958</v>
      </c>
      <c r="N1244" t="s">
        <v>19895</v>
      </c>
      <c r="O1244" t="s">
        <v>26526</v>
      </c>
      <c r="P1244" t="s">
        <v>26564</v>
      </c>
      <c r="Q1244" t="s">
        <v>26570</v>
      </c>
      <c r="R1244" t="s">
        <v>26584</v>
      </c>
      <c r="S1244" t="s">
        <v>18958</v>
      </c>
      <c r="U1244" t="s">
        <v>26604</v>
      </c>
      <c r="W1244" t="s">
        <v>512</v>
      </c>
      <c r="X1244">
        <v>3200</v>
      </c>
      <c r="Y1244" t="s">
        <v>26653</v>
      </c>
      <c r="Z1244" t="s">
        <v>26664</v>
      </c>
      <c r="AA1244" t="s">
        <v>26683</v>
      </c>
      <c r="AB1244" t="s">
        <v>27830</v>
      </c>
      <c r="AC1244" t="s">
        <v>34841</v>
      </c>
      <c r="AD1244" t="s">
        <v>37882</v>
      </c>
      <c r="AE1244">
        <v>3</v>
      </c>
      <c r="AF1244" t="s">
        <v>45547</v>
      </c>
      <c r="AG1244" t="s">
        <v>19330</v>
      </c>
      <c r="AH1244">
        <v>2</v>
      </c>
      <c r="AI1244">
        <v>2</v>
      </c>
      <c r="AJ1244">
        <v>2</v>
      </c>
      <c r="AK1244">
        <v>207.17</v>
      </c>
      <c r="AN1244" t="s">
        <v>7439</v>
      </c>
      <c r="AO1244">
        <v>52000</v>
      </c>
      <c r="AU1244">
        <v>1.7</v>
      </c>
      <c r="AV1244" t="s">
        <v>422</v>
      </c>
      <c r="AW1244" t="s">
        <v>122</v>
      </c>
    </row>
    <row r="1245" spans="1:50">
      <c r="A1245" s="1">
        <f>HYPERLINK("https://lsnyc.legalserver.org/matter/dynamic-profile/view/1876050","18-1876050")</f>
        <v>0</v>
      </c>
      <c r="B1245" t="s">
        <v>103</v>
      </c>
      <c r="C1245" t="s">
        <v>341</v>
      </c>
      <c r="D1245" t="s">
        <v>512</v>
      </c>
      <c r="E1245" t="s">
        <v>582</v>
      </c>
      <c r="F1245" t="s">
        <v>1025</v>
      </c>
      <c r="G1245" t="s">
        <v>5865</v>
      </c>
      <c r="H1245" t="s">
        <v>10691</v>
      </c>
      <c r="I1245" t="s">
        <v>17618</v>
      </c>
      <c r="J1245" t="s">
        <v>18902</v>
      </c>
      <c r="K1245">
        <v>10301</v>
      </c>
      <c r="L1245" t="s">
        <v>18958</v>
      </c>
      <c r="M1245" t="s">
        <v>18958</v>
      </c>
      <c r="N1245" t="s">
        <v>19037</v>
      </c>
      <c r="O1245" t="s">
        <v>26542</v>
      </c>
      <c r="P1245" t="s">
        <v>26565</v>
      </c>
      <c r="Q1245" t="s">
        <v>26571</v>
      </c>
      <c r="R1245" t="s">
        <v>26578</v>
      </c>
      <c r="S1245" t="s">
        <v>18959</v>
      </c>
      <c r="U1245" t="s">
        <v>26604</v>
      </c>
      <c r="V1245" t="s">
        <v>26610</v>
      </c>
      <c r="W1245" t="s">
        <v>512</v>
      </c>
      <c r="X1245">
        <v>1995.5</v>
      </c>
      <c r="Y1245" t="s">
        <v>26654</v>
      </c>
      <c r="Z1245" t="s">
        <v>26657</v>
      </c>
      <c r="AA1245" t="s">
        <v>26683</v>
      </c>
      <c r="AB1245" t="s">
        <v>27831</v>
      </c>
      <c r="AD1245" t="s">
        <v>37883</v>
      </c>
      <c r="AE1245">
        <v>227</v>
      </c>
      <c r="AF1245" t="s">
        <v>45547</v>
      </c>
      <c r="AG1245" t="s">
        <v>45556</v>
      </c>
      <c r="AH1245">
        <v>27</v>
      </c>
      <c r="AI1245">
        <v>1</v>
      </c>
      <c r="AJ1245">
        <v>0</v>
      </c>
      <c r="AK1245">
        <v>81.05</v>
      </c>
      <c r="AN1245" t="s">
        <v>7439</v>
      </c>
      <c r="AO1245">
        <v>9840</v>
      </c>
      <c r="AU1245">
        <v>3.3</v>
      </c>
      <c r="AV1245" t="s">
        <v>665</v>
      </c>
      <c r="AW1245" t="s">
        <v>46858</v>
      </c>
    </row>
    <row r="1246" spans="1:50">
      <c r="A1246" s="1">
        <f>HYPERLINK("https://lsnyc.legalserver.org/matter/dynamic-profile/view/1876004","18-1876004")</f>
        <v>0</v>
      </c>
      <c r="B1246" t="s">
        <v>136</v>
      </c>
      <c r="C1246" t="s">
        <v>340</v>
      </c>
      <c r="D1246" t="s">
        <v>512</v>
      </c>
      <c r="F1246" t="s">
        <v>1671</v>
      </c>
      <c r="G1246" t="s">
        <v>1685</v>
      </c>
      <c r="H1246" t="s">
        <v>10692</v>
      </c>
      <c r="I1246">
        <v>504</v>
      </c>
      <c r="J1246" t="s">
        <v>18892</v>
      </c>
      <c r="K1246">
        <v>10468</v>
      </c>
      <c r="L1246" t="s">
        <v>18958</v>
      </c>
      <c r="M1246" t="s">
        <v>18958</v>
      </c>
      <c r="N1246" t="s">
        <v>19896</v>
      </c>
      <c r="O1246" t="s">
        <v>26523</v>
      </c>
      <c r="P1246" t="s">
        <v>26560</v>
      </c>
      <c r="R1246" t="s">
        <v>26579</v>
      </c>
      <c r="S1246" t="s">
        <v>18959</v>
      </c>
      <c r="U1246" t="s">
        <v>26604</v>
      </c>
      <c r="V1246" t="s">
        <v>26610</v>
      </c>
      <c r="W1246" t="s">
        <v>512</v>
      </c>
      <c r="X1246">
        <v>1228</v>
      </c>
      <c r="Y1246" t="s">
        <v>26650</v>
      </c>
      <c r="Z1246" t="s">
        <v>26664</v>
      </c>
      <c r="AB1246" t="s">
        <v>27832</v>
      </c>
      <c r="AC1246" t="s">
        <v>34875</v>
      </c>
      <c r="AD1246" t="s">
        <v>37884</v>
      </c>
      <c r="AE1246">
        <v>24</v>
      </c>
      <c r="AF1246" t="s">
        <v>45541</v>
      </c>
      <c r="AG1246" t="s">
        <v>45559</v>
      </c>
      <c r="AH1246">
        <v>4</v>
      </c>
      <c r="AI1246">
        <v>2</v>
      </c>
      <c r="AJ1246">
        <v>1</v>
      </c>
      <c r="AK1246">
        <v>194.38</v>
      </c>
      <c r="AO1246">
        <v>40392</v>
      </c>
      <c r="AU1246">
        <v>15.4</v>
      </c>
      <c r="AV1246" t="s">
        <v>697</v>
      </c>
      <c r="AW1246" t="s">
        <v>334</v>
      </c>
      <c r="AX1246" t="s">
        <v>46898</v>
      </c>
    </row>
    <row r="1247" spans="1:50">
      <c r="A1247" s="1">
        <f>HYPERLINK("https://lsnyc.legalserver.org/matter/dynamic-profile/view/1876577","18-1876577")</f>
        <v>0</v>
      </c>
      <c r="B1247" t="s">
        <v>134</v>
      </c>
      <c r="C1247" t="s">
        <v>341</v>
      </c>
      <c r="D1247" t="s">
        <v>531</v>
      </c>
      <c r="E1247" t="s">
        <v>739</v>
      </c>
      <c r="F1247" t="s">
        <v>1672</v>
      </c>
      <c r="G1247" t="s">
        <v>5866</v>
      </c>
      <c r="H1247" t="s">
        <v>10439</v>
      </c>
      <c r="I1247" t="s">
        <v>17290</v>
      </c>
      <c r="J1247" t="s">
        <v>18894</v>
      </c>
      <c r="K1247">
        <v>11216</v>
      </c>
      <c r="L1247" t="s">
        <v>18958</v>
      </c>
      <c r="M1247" t="s">
        <v>18958</v>
      </c>
      <c r="O1247" t="s">
        <v>18997</v>
      </c>
      <c r="P1247" t="s">
        <v>26565</v>
      </c>
      <c r="Q1247" t="s">
        <v>26571</v>
      </c>
      <c r="R1247" t="s">
        <v>26578</v>
      </c>
      <c r="U1247" t="s">
        <v>26604</v>
      </c>
      <c r="W1247" t="s">
        <v>512</v>
      </c>
      <c r="X1247">
        <v>1630</v>
      </c>
      <c r="Y1247" t="s">
        <v>26652</v>
      </c>
      <c r="Z1247" t="s">
        <v>26667</v>
      </c>
      <c r="AA1247" t="s">
        <v>26683</v>
      </c>
      <c r="AB1247" t="s">
        <v>27833</v>
      </c>
      <c r="AD1247" t="s">
        <v>37885</v>
      </c>
      <c r="AE1247">
        <v>8</v>
      </c>
      <c r="AF1247" t="s">
        <v>45541</v>
      </c>
      <c r="AG1247" t="s">
        <v>19330</v>
      </c>
      <c r="AH1247">
        <v>2</v>
      </c>
      <c r="AI1247">
        <v>1</v>
      </c>
      <c r="AJ1247">
        <v>0</v>
      </c>
      <c r="AK1247">
        <v>535.42</v>
      </c>
      <c r="AL1247" t="s">
        <v>641</v>
      </c>
      <c r="AM1247" t="s">
        <v>45575</v>
      </c>
      <c r="AN1247" t="s">
        <v>7439</v>
      </c>
      <c r="AO1247">
        <v>65000</v>
      </c>
      <c r="AP1247" t="s">
        <v>45635</v>
      </c>
      <c r="AU1247">
        <v>0.2</v>
      </c>
      <c r="AV1247" t="s">
        <v>735</v>
      </c>
      <c r="AW1247" t="s">
        <v>279</v>
      </c>
    </row>
    <row r="1248" spans="1:50">
      <c r="A1248" s="1">
        <f>HYPERLINK("https://lsnyc.legalserver.org/matter/dynamic-profile/view/1876080","18-1876080")</f>
        <v>0</v>
      </c>
      <c r="B1248" t="s">
        <v>88</v>
      </c>
      <c r="C1248" t="s">
        <v>340</v>
      </c>
      <c r="D1248" t="s">
        <v>545</v>
      </c>
      <c r="F1248" t="s">
        <v>1673</v>
      </c>
      <c r="G1248" t="s">
        <v>5867</v>
      </c>
      <c r="H1248" t="s">
        <v>10516</v>
      </c>
      <c r="I1248" t="s">
        <v>17436</v>
      </c>
      <c r="J1248" t="s">
        <v>18894</v>
      </c>
      <c r="K1248">
        <v>11213</v>
      </c>
      <c r="L1248" t="s">
        <v>18958</v>
      </c>
      <c r="M1248" t="s">
        <v>18958</v>
      </c>
      <c r="N1248" t="s">
        <v>19744</v>
      </c>
      <c r="O1248" t="s">
        <v>26526</v>
      </c>
      <c r="P1248" t="s">
        <v>26560</v>
      </c>
      <c r="R1248" t="s">
        <v>26578</v>
      </c>
      <c r="S1248" t="s">
        <v>18958</v>
      </c>
      <c r="U1248" t="s">
        <v>26604</v>
      </c>
      <c r="W1248" t="s">
        <v>512</v>
      </c>
      <c r="X1248">
        <v>693</v>
      </c>
      <c r="Y1248" t="s">
        <v>26652</v>
      </c>
      <c r="Z1248" t="s">
        <v>26665</v>
      </c>
      <c r="AB1248" t="s">
        <v>27834</v>
      </c>
      <c r="AD1248" t="s">
        <v>37886</v>
      </c>
      <c r="AE1248">
        <v>19</v>
      </c>
      <c r="AF1248" t="s">
        <v>45541</v>
      </c>
      <c r="AG1248" t="s">
        <v>19330</v>
      </c>
      <c r="AH1248">
        <v>20</v>
      </c>
      <c r="AI1248">
        <v>2</v>
      </c>
      <c r="AJ1248">
        <v>1</v>
      </c>
      <c r="AK1248">
        <v>240.62</v>
      </c>
      <c r="AN1248" t="s">
        <v>7439</v>
      </c>
      <c r="AO1248">
        <v>50000</v>
      </c>
      <c r="AU1248">
        <v>0</v>
      </c>
      <c r="AW1248" t="s">
        <v>205</v>
      </c>
    </row>
    <row r="1249" spans="1:50">
      <c r="A1249" s="1">
        <f>HYPERLINK("https://lsnyc.legalserver.org/matter/dynamic-profile/view/1878653","18-1878653")</f>
        <v>0</v>
      </c>
      <c r="B1249" t="s">
        <v>88</v>
      </c>
      <c r="C1249" t="s">
        <v>341</v>
      </c>
      <c r="D1249" t="s">
        <v>451</v>
      </c>
      <c r="E1249" t="s">
        <v>782</v>
      </c>
      <c r="F1249" t="s">
        <v>1390</v>
      </c>
      <c r="G1249" t="s">
        <v>3372</v>
      </c>
      <c r="H1249" t="s">
        <v>10024</v>
      </c>
      <c r="I1249" t="s">
        <v>17355</v>
      </c>
      <c r="J1249" t="s">
        <v>18894</v>
      </c>
      <c r="K1249">
        <v>11221</v>
      </c>
      <c r="L1249" t="s">
        <v>18958</v>
      </c>
      <c r="M1249" t="s">
        <v>18958</v>
      </c>
      <c r="O1249" t="s">
        <v>26531</v>
      </c>
      <c r="P1249" t="s">
        <v>26565</v>
      </c>
      <c r="Q1249" t="s">
        <v>26571</v>
      </c>
      <c r="R1249" t="s">
        <v>26578</v>
      </c>
      <c r="S1249" t="s">
        <v>18958</v>
      </c>
      <c r="U1249" t="s">
        <v>26604</v>
      </c>
      <c r="W1249" t="s">
        <v>512</v>
      </c>
      <c r="X1249">
        <v>793</v>
      </c>
      <c r="Y1249" t="s">
        <v>26652</v>
      </c>
      <c r="Z1249" t="s">
        <v>26663</v>
      </c>
      <c r="AA1249" t="s">
        <v>26685</v>
      </c>
      <c r="AB1249" t="s">
        <v>27814</v>
      </c>
      <c r="AC1249" t="s">
        <v>19330</v>
      </c>
      <c r="AD1249" t="s">
        <v>37866</v>
      </c>
      <c r="AE1249">
        <v>12</v>
      </c>
      <c r="AF1249" t="s">
        <v>45541</v>
      </c>
      <c r="AG1249" t="s">
        <v>19330</v>
      </c>
      <c r="AH1249">
        <v>15</v>
      </c>
      <c r="AI1249">
        <v>1</v>
      </c>
      <c r="AJ1249">
        <v>0</v>
      </c>
      <c r="AK1249">
        <v>74.95999999999999</v>
      </c>
      <c r="AN1249" t="s">
        <v>7439</v>
      </c>
      <c r="AO1249">
        <v>9100</v>
      </c>
      <c r="AP1249" t="s">
        <v>45669</v>
      </c>
      <c r="AU1249">
        <v>0.08</v>
      </c>
      <c r="AV1249" t="s">
        <v>685</v>
      </c>
      <c r="AW1249" t="s">
        <v>279</v>
      </c>
    </row>
    <row r="1250" spans="1:50">
      <c r="A1250" s="1">
        <f>HYPERLINK("https://lsnyc.legalserver.org/matter/dynamic-profile/view/1878656","18-1878656")</f>
        <v>0</v>
      </c>
      <c r="B1250" t="s">
        <v>88</v>
      </c>
      <c r="C1250" t="s">
        <v>340</v>
      </c>
      <c r="D1250" t="s">
        <v>451</v>
      </c>
      <c r="F1250" t="s">
        <v>1390</v>
      </c>
      <c r="G1250" t="s">
        <v>3372</v>
      </c>
      <c r="H1250" t="s">
        <v>10024</v>
      </c>
      <c r="I1250" t="s">
        <v>17355</v>
      </c>
      <c r="J1250" t="s">
        <v>18894</v>
      </c>
      <c r="K1250">
        <v>11221</v>
      </c>
      <c r="L1250" t="s">
        <v>18958</v>
      </c>
      <c r="M1250" t="s">
        <v>18958</v>
      </c>
      <c r="O1250" t="s">
        <v>26534</v>
      </c>
      <c r="P1250" t="s">
        <v>26561</v>
      </c>
      <c r="R1250" t="s">
        <v>26578</v>
      </c>
      <c r="S1250" t="s">
        <v>18958</v>
      </c>
      <c r="U1250" t="s">
        <v>26604</v>
      </c>
      <c r="W1250" t="s">
        <v>512</v>
      </c>
      <c r="X1250">
        <v>793</v>
      </c>
      <c r="Y1250" t="s">
        <v>26652</v>
      </c>
      <c r="Z1250" t="s">
        <v>26663</v>
      </c>
      <c r="AB1250" t="s">
        <v>27814</v>
      </c>
      <c r="AD1250" t="s">
        <v>37866</v>
      </c>
      <c r="AE1250">
        <v>12</v>
      </c>
      <c r="AF1250" t="s">
        <v>45541</v>
      </c>
      <c r="AG1250" t="s">
        <v>19330</v>
      </c>
      <c r="AH1250">
        <v>15</v>
      </c>
      <c r="AI1250">
        <v>1</v>
      </c>
      <c r="AJ1250">
        <v>0</v>
      </c>
      <c r="AK1250">
        <v>74.95999999999999</v>
      </c>
      <c r="AN1250" t="s">
        <v>7439</v>
      </c>
      <c r="AO1250">
        <v>9100</v>
      </c>
      <c r="AP1250" t="s">
        <v>45698</v>
      </c>
      <c r="AU1250">
        <v>0</v>
      </c>
      <c r="AW1250" t="s">
        <v>279</v>
      </c>
    </row>
    <row r="1251" spans="1:50">
      <c r="A1251" s="1">
        <f>HYPERLINK("https://lsnyc.legalserver.org/matter/dynamic-profile/view/1878953","18-1878953")</f>
        <v>0</v>
      </c>
      <c r="B1251" t="s">
        <v>88</v>
      </c>
      <c r="C1251" t="s">
        <v>340</v>
      </c>
      <c r="D1251" t="s">
        <v>457</v>
      </c>
      <c r="F1251" t="s">
        <v>1212</v>
      </c>
      <c r="G1251" t="s">
        <v>5390</v>
      </c>
      <c r="H1251" t="s">
        <v>10024</v>
      </c>
      <c r="I1251" t="s">
        <v>17306</v>
      </c>
      <c r="J1251" t="s">
        <v>18894</v>
      </c>
      <c r="K1251">
        <v>11221</v>
      </c>
      <c r="L1251" t="s">
        <v>18958</v>
      </c>
      <c r="M1251" t="s">
        <v>18958</v>
      </c>
      <c r="O1251" t="s">
        <v>26526</v>
      </c>
      <c r="P1251" t="s">
        <v>26560</v>
      </c>
      <c r="R1251" t="s">
        <v>26578</v>
      </c>
      <c r="S1251" t="s">
        <v>18958</v>
      </c>
      <c r="U1251" t="s">
        <v>26604</v>
      </c>
      <c r="W1251" t="s">
        <v>512</v>
      </c>
      <c r="X1251">
        <v>632.48</v>
      </c>
      <c r="Y1251" t="s">
        <v>26652</v>
      </c>
      <c r="Z1251" t="s">
        <v>26663</v>
      </c>
      <c r="AB1251" t="s">
        <v>27111</v>
      </c>
      <c r="AD1251" t="s">
        <v>37192</v>
      </c>
      <c r="AE1251">
        <v>12</v>
      </c>
      <c r="AF1251" t="s">
        <v>45541</v>
      </c>
      <c r="AG1251" t="s">
        <v>19330</v>
      </c>
      <c r="AH1251">
        <v>18</v>
      </c>
      <c r="AI1251">
        <v>3</v>
      </c>
      <c r="AJ1251">
        <v>0</v>
      </c>
      <c r="AK1251">
        <v>409.05</v>
      </c>
      <c r="AN1251" t="s">
        <v>7439</v>
      </c>
      <c r="AO1251">
        <v>85000</v>
      </c>
      <c r="AP1251" t="s">
        <v>45624</v>
      </c>
      <c r="AU1251">
        <v>0</v>
      </c>
      <c r="AW1251" t="s">
        <v>279</v>
      </c>
    </row>
    <row r="1252" spans="1:50">
      <c r="A1252" s="1">
        <f>HYPERLINK("https://lsnyc.legalserver.org/matter/dynamic-profile/view/1885016","18-1885016")</f>
        <v>0</v>
      </c>
      <c r="B1252" t="s">
        <v>88</v>
      </c>
      <c r="C1252" t="s">
        <v>341</v>
      </c>
      <c r="D1252" t="s">
        <v>518</v>
      </c>
      <c r="E1252" t="s">
        <v>458</v>
      </c>
      <c r="F1252" t="s">
        <v>1673</v>
      </c>
      <c r="G1252" t="s">
        <v>5867</v>
      </c>
      <c r="H1252" t="s">
        <v>10516</v>
      </c>
      <c r="I1252" t="s">
        <v>17436</v>
      </c>
      <c r="J1252" t="s">
        <v>18894</v>
      </c>
      <c r="K1252">
        <v>11213</v>
      </c>
      <c r="L1252" t="s">
        <v>18958</v>
      </c>
      <c r="M1252" t="s">
        <v>18958</v>
      </c>
      <c r="O1252" t="s">
        <v>26531</v>
      </c>
      <c r="P1252" t="s">
        <v>26565</v>
      </c>
      <c r="Q1252" t="s">
        <v>26571</v>
      </c>
      <c r="R1252" t="s">
        <v>26578</v>
      </c>
      <c r="S1252" t="s">
        <v>18958</v>
      </c>
      <c r="U1252" t="s">
        <v>26604</v>
      </c>
      <c r="W1252" t="s">
        <v>512</v>
      </c>
      <c r="X1252">
        <v>693</v>
      </c>
      <c r="Y1252" t="s">
        <v>26652</v>
      </c>
      <c r="Z1252" t="s">
        <v>26665</v>
      </c>
      <c r="AA1252" t="s">
        <v>26685</v>
      </c>
      <c r="AB1252" t="s">
        <v>27834</v>
      </c>
      <c r="AD1252" t="s">
        <v>37886</v>
      </c>
      <c r="AE1252">
        <v>19</v>
      </c>
      <c r="AF1252" t="s">
        <v>45541</v>
      </c>
      <c r="AG1252" t="s">
        <v>19330</v>
      </c>
      <c r="AH1252">
        <v>20</v>
      </c>
      <c r="AI1252">
        <v>2</v>
      </c>
      <c r="AJ1252">
        <v>1</v>
      </c>
      <c r="AK1252">
        <v>240.62</v>
      </c>
      <c r="AN1252" t="s">
        <v>7439</v>
      </c>
      <c r="AO1252">
        <v>50000</v>
      </c>
      <c r="AU1252">
        <v>0.08</v>
      </c>
      <c r="AV1252" t="s">
        <v>573</v>
      </c>
      <c r="AW1252" t="s">
        <v>286</v>
      </c>
    </row>
    <row r="1253" spans="1:50">
      <c r="A1253" s="1">
        <f>HYPERLINK("https://lsnyc.legalserver.org/matter/dynamic-profile/view/1885019","18-1885019")</f>
        <v>0</v>
      </c>
      <c r="B1253" t="s">
        <v>88</v>
      </c>
      <c r="C1253" t="s">
        <v>340</v>
      </c>
      <c r="D1253" t="s">
        <v>518</v>
      </c>
      <c r="F1253" t="s">
        <v>1673</v>
      </c>
      <c r="G1253" t="s">
        <v>5867</v>
      </c>
      <c r="H1253" t="s">
        <v>10516</v>
      </c>
      <c r="I1253" t="s">
        <v>17436</v>
      </c>
      <c r="J1253" t="s">
        <v>18894</v>
      </c>
      <c r="K1253">
        <v>11213</v>
      </c>
      <c r="L1253" t="s">
        <v>18958</v>
      </c>
      <c r="M1253" t="s">
        <v>18958</v>
      </c>
      <c r="O1253" t="s">
        <v>26534</v>
      </c>
      <c r="P1253" t="s">
        <v>26561</v>
      </c>
      <c r="R1253" t="s">
        <v>26578</v>
      </c>
      <c r="S1253" t="s">
        <v>18958</v>
      </c>
      <c r="U1253" t="s">
        <v>26604</v>
      </c>
      <c r="W1253" t="s">
        <v>512</v>
      </c>
      <c r="X1253">
        <v>693</v>
      </c>
      <c r="Y1253" t="s">
        <v>26652</v>
      </c>
      <c r="Z1253" t="s">
        <v>26665</v>
      </c>
      <c r="AB1253" t="s">
        <v>27834</v>
      </c>
      <c r="AD1253" t="s">
        <v>37886</v>
      </c>
      <c r="AE1253">
        <v>19</v>
      </c>
      <c r="AF1253" t="s">
        <v>45541</v>
      </c>
      <c r="AG1253" t="s">
        <v>19330</v>
      </c>
      <c r="AH1253">
        <v>20</v>
      </c>
      <c r="AI1253">
        <v>2</v>
      </c>
      <c r="AJ1253">
        <v>1</v>
      </c>
      <c r="AK1253">
        <v>240.62</v>
      </c>
      <c r="AN1253" t="s">
        <v>7439</v>
      </c>
      <c r="AO1253">
        <v>50000</v>
      </c>
      <c r="AU1253">
        <v>0</v>
      </c>
      <c r="AW1253" t="s">
        <v>286</v>
      </c>
    </row>
    <row r="1254" spans="1:50">
      <c r="A1254" s="1">
        <f>HYPERLINK("https://lsnyc.legalserver.org/matter/dynamic-profile/view/1844554","17-1844554")</f>
        <v>0</v>
      </c>
      <c r="B1254" t="s">
        <v>136</v>
      </c>
      <c r="C1254" t="s">
        <v>340</v>
      </c>
      <c r="D1254" t="s">
        <v>546</v>
      </c>
      <c r="F1254" t="s">
        <v>1674</v>
      </c>
      <c r="G1254" t="s">
        <v>5868</v>
      </c>
      <c r="H1254" t="s">
        <v>10693</v>
      </c>
      <c r="I1254" t="s">
        <v>17619</v>
      </c>
      <c r="J1254" t="s">
        <v>18892</v>
      </c>
      <c r="K1254">
        <v>10456</v>
      </c>
      <c r="L1254" t="s">
        <v>18958</v>
      </c>
      <c r="M1254" t="s">
        <v>18960</v>
      </c>
      <c r="N1254" t="s">
        <v>19897</v>
      </c>
      <c r="O1254" t="s">
        <v>26523</v>
      </c>
      <c r="P1254" t="s">
        <v>26560</v>
      </c>
      <c r="R1254" t="s">
        <v>26577</v>
      </c>
      <c r="U1254" t="s">
        <v>26604</v>
      </c>
      <c r="V1254" t="s">
        <v>26610</v>
      </c>
      <c r="W1254" t="s">
        <v>522</v>
      </c>
      <c r="X1254">
        <v>1200</v>
      </c>
      <c r="Y1254" t="s">
        <v>26650</v>
      </c>
      <c r="Z1254" t="s">
        <v>26659</v>
      </c>
      <c r="AB1254" t="s">
        <v>27835</v>
      </c>
      <c r="AC1254" t="s">
        <v>34876</v>
      </c>
      <c r="AD1254" t="s">
        <v>37887</v>
      </c>
      <c r="AE1254">
        <v>0</v>
      </c>
      <c r="AF1254" t="s">
        <v>45541</v>
      </c>
      <c r="AG1254" t="s">
        <v>45557</v>
      </c>
      <c r="AH1254">
        <v>7</v>
      </c>
      <c r="AI1254">
        <v>1</v>
      </c>
      <c r="AJ1254">
        <v>2</v>
      </c>
      <c r="AK1254">
        <v>90.84999999999999</v>
      </c>
      <c r="AN1254" t="s">
        <v>7439</v>
      </c>
      <c r="AO1254">
        <v>29268</v>
      </c>
      <c r="AQ1254" t="s">
        <v>46362</v>
      </c>
      <c r="AR1254" t="s">
        <v>46435</v>
      </c>
      <c r="AS1254" t="s">
        <v>46500</v>
      </c>
      <c r="AT1254" t="s">
        <v>46682</v>
      </c>
      <c r="AU1254">
        <v>36.8</v>
      </c>
      <c r="AV1254" t="s">
        <v>599</v>
      </c>
      <c r="AW1254" t="s">
        <v>46831</v>
      </c>
      <c r="AX1254" t="s">
        <v>46898</v>
      </c>
    </row>
    <row r="1255" spans="1:50">
      <c r="A1255" s="1">
        <f>HYPERLINK("https://lsnyc.legalserver.org/matter/dynamic-profile/view/1855553","18-1855553")</f>
        <v>0</v>
      </c>
      <c r="B1255" t="s">
        <v>171</v>
      </c>
      <c r="C1255" t="s">
        <v>341</v>
      </c>
      <c r="D1255" t="s">
        <v>547</v>
      </c>
      <c r="E1255" t="s">
        <v>667</v>
      </c>
      <c r="F1255" t="s">
        <v>1675</v>
      </c>
      <c r="G1255" t="s">
        <v>5869</v>
      </c>
      <c r="H1255" t="s">
        <v>10694</v>
      </c>
      <c r="I1255" t="s">
        <v>17321</v>
      </c>
      <c r="J1255" t="s">
        <v>18893</v>
      </c>
      <c r="K1255">
        <v>10029</v>
      </c>
      <c r="L1255" t="s">
        <v>18958</v>
      </c>
      <c r="M1255" t="s">
        <v>18958</v>
      </c>
      <c r="N1255" t="s">
        <v>19898</v>
      </c>
      <c r="O1255" t="s">
        <v>26523</v>
      </c>
      <c r="P1255" t="s">
        <v>26560</v>
      </c>
      <c r="Q1255" t="s">
        <v>26568</v>
      </c>
      <c r="R1255" t="s">
        <v>26578</v>
      </c>
      <c r="S1255" t="s">
        <v>18959</v>
      </c>
      <c r="U1255" t="s">
        <v>26604</v>
      </c>
      <c r="V1255" t="s">
        <v>26610</v>
      </c>
      <c r="W1255" t="s">
        <v>522</v>
      </c>
      <c r="X1255">
        <v>1146</v>
      </c>
      <c r="Y1255" t="s">
        <v>26651</v>
      </c>
      <c r="Z1255" t="s">
        <v>26530</v>
      </c>
      <c r="AA1255" t="s">
        <v>26678</v>
      </c>
      <c r="AB1255" t="s">
        <v>27836</v>
      </c>
      <c r="AD1255" t="s">
        <v>34738</v>
      </c>
      <c r="AE1255">
        <v>400</v>
      </c>
      <c r="AF1255" t="s">
        <v>45550</v>
      </c>
      <c r="AG1255" t="s">
        <v>45559</v>
      </c>
      <c r="AH1255">
        <v>41</v>
      </c>
      <c r="AI1255">
        <v>1</v>
      </c>
      <c r="AJ1255">
        <v>0</v>
      </c>
      <c r="AK1255">
        <v>79.59999999999999</v>
      </c>
      <c r="AN1255" t="s">
        <v>7439</v>
      </c>
      <c r="AO1255">
        <v>9600</v>
      </c>
      <c r="AP1255" t="s">
        <v>45700</v>
      </c>
      <c r="AU1255">
        <v>30.7</v>
      </c>
      <c r="AV1255" t="s">
        <v>820</v>
      </c>
      <c r="AW1255" t="s">
        <v>46850</v>
      </c>
    </row>
    <row r="1256" spans="1:50">
      <c r="A1256" s="1">
        <f>HYPERLINK("https://lsnyc.legalserver.org/matter/dynamic-profile/view/1871590","18-1871590")</f>
        <v>0</v>
      </c>
      <c r="B1256" t="s">
        <v>54</v>
      </c>
      <c r="C1256" t="s">
        <v>341</v>
      </c>
      <c r="D1256" t="s">
        <v>405</v>
      </c>
      <c r="E1256" t="s">
        <v>809</v>
      </c>
      <c r="F1256" t="s">
        <v>1676</v>
      </c>
      <c r="G1256" t="s">
        <v>5870</v>
      </c>
      <c r="H1256" t="s">
        <v>10695</v>
      </c>
      <c r="I1256" t="s">
        <v>17275</v>
      </c>
      <c r="J1256" t="s">
        <v>18892</v>
      </c>
      <c r="K1256">
        <v>10468</v>
      </c>
      <c r="L1256" t="s">
        <v>18958</v>
      </c>
      <c r="M1256" t="s">
        <v>18958</v>
      </c>
      <c r="N1256" t="s">
        <v>19899</v>
      </c>
      <c r="O1256" t="s">
        <v>26523</v>
      </c>
      <c r="P1256" t="s">
        <v>26560</v>
      </c>
      <c r="Q1256" t="s">
        <v>26575</v>
      </c>
      <c r="R1256" t="s">
        <v>26579</v>
      </c>
      <c r="S1256" t="s">
        <v>18959</v>
      </c>
      <c r="U1256" t="s">
        <v>26604</v>
      </c>
      <c r="V1256" t="s">
        <v>26610</v>
      </c>
      <c r="W1256" t="s">
        <v>522</v>
      </c>
      <c r="X1256">
        <v>1075</v>
      </c>
      <c r="Y1256" t="s">
        <v>26650</v>
      </c>
      <c r="Z1256" t="s">
        <v>26662</v>
      </c>
      <c r="AA1256" t="s">
        <v>26679</v>
      </c>
      <c r="AB1256" t="s">
        <v>27837</v>
      </c>
      <c r="AD1256" t="s">
        <v>37888</v>
      </c>
      <c r="AE1256">
        <v>25</v>
      </c>
      <c r="AF1256" t="s">
        <v>45541</v>
      </c>
      <c r="AG1256" t="s">
        <v>19330</v>
      </c>
      <c r="AH1256">
        <v>3</v>
      </c>
      <c r="AI1256">
        <v>1</v>
      </c>
      <c r="AJ1256">
        <v>0</v>
      </c>
      <c r="AK1256">
        <v>0</v>
      </c>
      <c r="AN1256" t="s">
        <v>45581</v>
      </c>
      <c r="AO1256">
        <v>0</v>
      </c>
      <c r="AQ1256" t="s">
        <v>46361</v>
      </c>
      <c r="AR1256" t="s">
        <v>46379</v>
      </c>
      <c r="AS1256" t="s">
        <v>46500</v>
      </c>
      <c r="AT1256" t="s">
        <v>46683</v>
      </c>
      <c r="AU1256">
        <v>13.4</v>
      </c>
      <c r="AV1256" t="s">
        <v>415</v>
      </c>
      <c r="AW1256" t="s">
        <v>46832</v>
      </c>
      <c r="AX1256" t="s">
        <v>46897</v>
      </c>
    </row>
    <row r="1257" spans="1:50">
      <c r="A1257" s="1">
        <f>HYPERLINK("https://lsnyc.legalserver.org/matter/dynamic-profile/view/1871559","18-1871559")</f>
        <v>0</v>
      </c>
      <c r="B1257" t="s">
        <v>106</v>
      </c>
      <c r="C1257" t="s">
        <v>341</v>
      </c>
      <c r="D1257" t="s">
        <v>420</v>
      </c>
      <c r="E1257" t="s">
        <v>522</v>
      </c>
      <c r="F1257" t="s">
        <v>1677</v>
      </c>
      <c r="G1257" t="s">
        <v>5762</v>
      </c>
      <c r="H1257" t="s">
        <v>10696</v>
      </c>
      <c r="I1257" t="s">
        <v>17430</v>
      </c>
      <c r="J1257" t="s">
        <v>18894</v>
      </c>
      <c r="K1257">
        <v>11221</v>
      </c>
      <c r="L1257" t="s">
        <v>18958</v>
      </c>
      <c r="M1257" t="s">
        <v>18960</v>
      </c>
      <c r="N1257" t="s">
        <v>19900</v>
      </c>
      <c r="O1257" t="s">
        <v>26524</v>
      </c>
      <c r="P1257" t="s">
        <v>26560</v>
      </c>
      <c r="Q1257" t="s">
        <v>26568</v>
      </c>
      <c r="R1257" t="s">
        <v>26588</v>
      </c>
      <c r="S1257" t="s">
        <v>18959</v>
      </c>
      <c r="U1257" t="s">
        <v>26604</v>
      </c>
      <c r="V1257" t="s">
        <v>26610</v>
      </c>
      <c r="W1257" t="s">
        <v>522</v>
      </c>
      <c r="X1257">
        <v>800</v>
      </c>
      <c r="Y1257" t="s">
        <v>26652</v>
      </c>
      <c r="Z1257" t="s">
        <v>26669</v>
      </c>
      <c r="AA1257" t="s">
        <v>26678</v>
      </c>
      <c r="AB1257" t="s">
        <v>27838</v>
      </c>
      <c r="AD1257" t="s">
        <v>37889</v>
      </c>
      <c r="AE1257">
        <v>10</v>
      </c>
      <c r="AF1257" t="s">
        <v>45547</v>
      </c>
      <c r="AG1257" t="s">
        <v>19330</v>
      </c>
      <c r="AH1257">
        <v>6</v>
      </c>
      <c r="AI1257">
        <v>2</v>
      </c>
      <c r="AJ1257">
        <v>0</v>
      </c>
      <c r="AK1257">
        <v>246.66</v>
      </c>
      <c r="AL1257" t="s">
        <v>574</v>
      </c>
      <c r="AM1257" t="s">
        <v>45575</v>
      </c>
      <c r="AN1257" t="s">
        <v>7439</v>
      </c>
      <c r="AO1257">
        <v>40600</v>
      </c>
      <c r="AQ1257" t="s">
        <v>46366</v>
      </c>
      <c r="AR1257" t="s">
        <v>46379</v>
      </c>
      <c r="AS1257" t="s">
        <v>46499</v>
      </c>
      <c r="AT1257" t="s">
        <v>46508</v>
      </c>
      <c r="AU1257">
        <v>14.4</v>
      </c>
      <c r="AV1257" t="s">
        <v>522</v>
      </c>
      <c r="AW1257" t="s">
        <v>46853</v>
      </c>
    </row>
    <row r="1258" spans="1:50">
      <c r="A1258" s="1">
        <f>HYPERLINK("https://lsnyc.legalserver.org/matter/dynamic-profile/view/1872461","18-1872461")</f>
        <v>0</v>
      </c>
      <c r="B1258" t="s">
        <v>207</v>
      </c>
      <c r="C1258" t="s">
        <v>341</v>
      </c>
      <c r="D1258" t="s">
        <v>408</v>
      </c>
      <c r="E1258" t="s">
        <v>522</v>
      </c>
      <c r="F1258" t="s">
        <v>1163</v>
      </c>
      <c r="G1258" t="s">
        <v>1031</v>
      </c>
      <c r="H1258" t="s">
        <v>10697</v>
      </c>
      <c r="I1258">
        <v>1</v>
      </c>
      <c r="J1258" t="s">
        <v>18894</v>
      </c>
      <c r="K1258">
        <v>11236</v>
      </c>
      <c r="L1258" t="s">
        <v>18958</v>
      </c>
      <c r="M1258" t="s">
        <v>18958</v>
      </c>
      <c r="N1258" t="s">
        <v>19901</v>
      </c>
      <c r="O1258" t="s">
        <v>26524</v>
      </c>
      <c r="P1258" t="s">
        <v>26563</v>
      </c>
      <c r="Q1258" t="s">
        <v>26574</v>
      </c>
      <c r="R1258" t="s">
        <v>26586</v>
      </c>
      <c r="U1258" t="s">
        <v>26604</v>
      </c>
      <c r="W1258" t="s">
        <v>522</v>
      </c>
      <c r="X1258">
        <v>1395</v>
      </c>
      <c r="Y1258" t="s">
        <v>26652</v>
      </c>
      <c r="Z1258" t="s">
        <v>26662</v>
      </c>
      <c r="AA1258" t="s">
        <v>26678</v>
      </c>
      <c r="AB1258" t="s">
        <v>27839</v>
      </c>
      <c r="AD1258" t="s">
        <v>37890</v>
      </c>
      <c r="AE1258">
        <v>4</v>
      </c>
      <c r="AG1258" t="s">
        <v>19330</v>
      </c>
      <c r="AH1258">
        <v>5</v>
      </c>
      <c r="AI1258">
        <v>1</v>
      </c>
      <c r="AJ1258">
        <v>2</v>
      </c>
      <c r="AK1258">
        <v>0</v>
      </c>
      <c r="AN1258" t="s">
        <v>7439</v>
      </c>
      <c r="AO1258">
        <v>0</v>
      </c>
      <c r="AQ1258" t="s">
        <v>46361</v>
      </c>
      <c r="AR1258" t="s">
        <v>46379</v>
      </c>
      <c r="AS1258" t="s">
        <v>46499</v>
      </c>
      <c r="AT1258" t="s">
        <v>46536</v>
      </c>
      <c r="AU1258">
        <v>18.8</v>
      </c>
      <c r="AV1258" t="s">
        <v>516</v>
      </c>
      <c r="AW1258" t="s">
        <v>281</v>
      </c>
    </row>
    <row r="1259" spans="1:50">
      <c r="A1259" s="1">
        <f>HYPERLINK("https://lsnyc.legalserver.org/matter/dynamic-profile/view/1876054","18-1876054")</f>
        <v>0</v>
      </c>
      <c r="B1259" t="s">
        <v>112</v>
      </c>
      <c r="C1259" t="s">
        <v>340</v>
      </c>
      <c r="D1259" t="s">
        <v>512</v>
      </c>
      <c r="F1259" t="s">
        <v>1617</v>
      </c>
      <c r="G1259" t="s">
        <v>5871</v>
      </c>
      <c r="H1259" t="s">
        <v>10698</v>
      </c>
      <c r="I1259" t="s">
        <v>17620</v>
      </c>
      <c r="J1259" t="s">
        <v>18898</v>
      </c>
      <c r="K1259">
        <v>11691</v>
      </c>
      <c r="L1259" t="s">
        <v>18958</v>
      </c>
      <c r="M1259" t="s">
        <v>18958</v>
      </c>
      <c r="N1259" t="s">
        <v>19902</v>
      </c>
      <c r="O1259" t="s">
        <v>26523</v>
      </c>
      <c r="P1259" t="s">
        <v>26564</v>
      </c>
      <c r="R1259" t="s">
        <v>26583</v>
      </c>
      <c r="S1259" t="s">
        <v>18958</v>
      </c>
      <c r="U1259" t="s">
        <v>26604</v>
      </c>
      <c r="W1259" t="s">
        <v>522</v>
      </c>
      <c r="X1259">
        <v>1550</v>
      </c>
      <c r="Y1259" t="s">
        <v>26653</v>
      </c>
      <c r="Z1259" t="s">
        <v>26664</v>
      </c>
      <c r="AB1259" t="s">
        <v>27840</v>
      </c>
      <c r="AC1259" t="s">
        <v>34877</v>
      </c>
      <c r="AD1259" t="s">
        <v>37891</v>
      </c>
      <c r="AE1259">
        <v>150</v>
      </c>
      <c r="AF1259" t="s">
        <v>20460</v>
      </c>
      <c r="AG1259" t="s">
        <v>19330</v>
      </c>
      <c r="AH1259">
        <v>4</v>
      </c>
      <c r="AI1259">
        <v>2</v>
      </c>
      <c r="AJ1259">
        <v>1</v>
      </c>
      <c r="AK1259">
        <v>225.22</v>
      </c>
      <c r="AN1259" t="s">
        <v>7439</v>
      </c>
      <c r="AO1259">
        <v>46800</v>
      </c>
      <c r="AU1259">
        <v>2.3</v>
      </c>
      <c r="AV1259" t="s">
        <v>458</v>
      </c>
      <c r="AW1259" t="s">
        <v>46829</v>
      </c>
    </row>
    <row r="1260" spans="1:50">
      <c r="A1260" s="1">
        <f>HYPERLINK("https://lsnyc.legalserver.org/matter/dynamic-profile/view/1876230","18-1876230")</f>
        <v>0</v>
      </c>
      <c r="B1260" t="s">
        <v>107</v>
      </c>
      <c r="C1260" t="s">
        <v>341</v>
      </c>
      <c r="D1260" t="s">
        <v>522</v>
      </c>
      <c r="E1260" t="s">
        <v>586</v>
      </c>
      <c r="F1260" t="s">
        <v>1678</v>
      </c>
      <c r="G1260" t="s">
        <v>5872</v>
      </c>
      <c r="H1260" t="s">
        <v>10699</v>
      </c>
      <c r="I1260" t="s">
        <v>17328</v>
      </c>
      <c r="J1260" t="s">
        <v>18901</v>
      </c>
      <c r="K1260">
        <v>11435</v>
      </c>
      <c r="L1260" t="s">
        <v>18958</v>
      </c>
      <c r="M1260" t="s">
        <v>18958</v>
      </c>
      <c r="N1260" t="s">
        <v>19903</v>
      </c>
      <c r="O1260" t="s">
        <v>26523</v>
      </c>
      <c r="P1260" t="s">
        <v>26564</v>
      </c>
      <c r="Q1260" t="s">
        <v>26570</v>
      </c>
      <c r="R1260" t="s">
        <v>26591</v>
      </c>
      <c r="S1260" t="s">
        <v>18959</v>
      </c>
      <c r="U1260" t="s">
        <v>26604</v>
      </c>
      <c r="V1260" t="s">
        <v>26610</v>
      </c>
      <c r="W1260" t="s">
        <v>522</v>
      </c>
      <c r="X1260">
        <v>650</v>
      </c>
      <c r="Y1260" t="s">
        <v>26653</v>
      </c>
      <c r="Z1260" t="s">
        <v>26664</v>
      </c>
      <c r="AA1260" t="s">
        <v>26683</v>
      </c>
      <c r="AB1260" t="s">
        <v>27841</v>
      </c>
      <c r="AC1260" t="s">
        <v>19045</v>
      </c>
      <c r="AD1260" t="s">
        <v>37892</v>
      </c>
      <c r="AE1260">
        <v>1</v>
      </c>
      <c r="AF1260" t="s">
        <v>20460</v>
      </c>
      <c r="AG1260" t="s">
        <v>19330</v>
      </c>
      <c r="AH1260">
        <v>9</v>
      </c>
      <c r="AI1260">
        <v>2</v>
      </c>
      <c r="AJ1260">
        <v>0</v>
      </c>
      <c r="AK1260">
        <v>108.48</v>
      </c>
      <c r="AN1260" t="s">
        <v>7439</v>
      </c>
      <c r="AO1260">
        <v>17856</v>
      </c>
      <c r="AU1260">
        <v>1.1</v>
      </c>
      <c r="AV1260" t="s">
        <v>576</v>
      </c>
      <c r="AW1260" t="s">
        <v>208</v>
      </c>
    </row>
    <row r="1261" spans="1:50">
      <c r="A1261" s="1">
        <f>HYPERLINK("https://lsnyc.legalserver.org/matter/dynamic-profile/view/1876128","18-1876128")</f>
        <v>0</v>
      </c>
      <c r="B1261" t="s">
        <v>145</v>
      </c>
      <c r="C1261" t="s">
        <v>341</v>
      </c>
      <c r="D1261" t="s">
        <v>522</v>
      </c>
      <c r="E1261" t="s">
        <v>779</v>
      </c>
      <c r="F1261" t="s">
        <v>1679</v>
      </c>
      <c r="G1261" t="s">
        <v>5376</v>
      </c>
      <c r="H1261" t="s">
        <v>10700</v>
      </c>
      <c r="J1261" t="s">
        <v>18902</v>
      </c>
      <c r="K1261">
        <v>10302</v>
      </c>
      <c r="L1261" t="s">
        <v>18958</v>
      </c>
      <c r="M1261" t="s">
        <v>18958</v>
      </c>
      <c r="N1261" t="s">
        <v>19904</v>
      </c>
      <c r="O1261" t="s">
        <v>26523</v>
      </c>
      <c r="P1261" t="s">
        <v>26560</v>
      </c>
      <c r="Q1261" t="s">
        <v>26568</v>
      </c>
      <c r="R1261" t="s">
        <v>26590</v>
      </c>
      <c r="S1261" t="s">
        <v>18959</v>
      </c>
      <c r="U1261" t="s">
        <v>26604</v>
      </c>
      <c r="V1261" t="s">
        <v>26610</v>
      </c>
      <c r="W1261" t="s">
        <v>522</v>
      </c>
      <c r="X1261">
        <v>1450</v>
      </c>
      <c r="Y1261" t="s">
        <v>26654</v>
      </c>
      <c r="Z1261" t="s">
        <v>26668</v>
      </c>
      <c r="AA1261" t="s">
        <v>26678</v>
      </c>
      <c r="AB1261" t="s">
        <v>27842</v>
      </c>
      <c r="AD1261" t="s">
        <v>37893</v>
      </c>
      <c r="AE1261">
        <v>0</v>
      </c>
      <c r="AF1261" t="s">
        <v>45541</v>
      </c>
      <c r="AG1261" t="s">
        <v>19330</v>
      </c>
      <c r="AH1261">
        <v>1</v>
      </c>
      <c r="AI1261">
        <v>1</v>
      </c>
      <c r="AJ1261">
        <v>0</v>
      </c>
      <c r="AK1261">
        <v>230.64</v>
      </c>
      <c r="AL1261" t="s">
        <v>781</v>
      </c>
      <c r="AM1261" t="s">
        <v>45575</v>
      </c>
      <c r="AO1261">
        <v>28000</v>
      </c>
      <c r="AS1261" t="s">
        <v>46499</v>
      </c>
      <c r="AT1261" t="s">
        <v>46615</v>
      </c>
      <c r="AU1261">
        <v>9.1</v>
      </c>
      <c r="AV1261" t="s">
        <v>787</v>
      </c>
      <c r="AW1261" t="s">
        <v>190</v>
      </c>
    </row>
    <row r="1262" spans="1:50">
      <c r="A1262" s="1">
        <f>HYPERLINK("https://lsnyc.legalserver.org/matter/dynamic-profile/view/1876215","18-1876215")</f>
        <v>0</v>
      </c>
      <c r="B1262" t="s">
        <v>61</v>
      </c>
      <c r="C1262" t="s">
        <v>341</v>
      </c>
      <c r="D1262" t="s">
        <v>522</v>
      </c>
      <c r="E1262" t="s">
        <v>522</v>
      </c>
      <c r="F1262" t="s">
        <v>1680</v>
      </c>
      <c r="G1262" t="s">
        <v>2405</v>
      </c>
      <c r="H1262" t="s">
        <v>10701</v>
      </c>
      <c r="I1262" t="s">
        <v>17390</v>
      </c>
      <c r="J1262" t="s">
        <v>18893</v>
      </c>
      <c r="K1262">
        <v>10040</v>
      </c>
      <c r="L1262" t="s">
        <v>18958</v>
      </c>
      <c r="M1262" t="s">
        <v>18958</v>
      </c>
      <c r="O1262" t="s">
        <v>26534</v>
      </c>
      <c r="P1262" t="s">
        <v>26564</v>
      </c>
      <c r="Q1262" t="s">
        <v>26570</v>
      </c>
      <c r="R1262" t="s">
        <v>26578</v>
      </c>
      <c r="S1262" t="s">
        <v>18959</v>
      </c>
      <c r="U1262" t="s">
        <v>26604</v>
      </c>
      <c r="W1262" t="s">
        <v>522</v>
      </c>
      <c r="X1262">
        <v>1550</v>
      </c>
      <c r="Y1262" t="s">
        <v>26651</v>
      </c>
      <c r="Z1262" t="s">
        <v>26661</v>
      </c>
      <c r="AA1262" t="s">
        <v>26683</v>
      </c>
      <c r="AB1262" t="s">
        <v>27843</v>
      </c>
      <c r="AD1262" t="s">
        <v>37894</v>
      </c>
      <c r="AE1262">
        <v>39</v>
      </c>
      <c r="AF1262" t="s">
        <v>45541</v>
      </c>
      <c r="AG1262" t="s">
        <v>19330</v>
      </c>
      <c r="AH1262">
        <v>7</v>
      </c>
      <c r="AI1262">
        <v>1</v>
      </c>
      <c r="AJ1262">
        <v>0</v>
      </c>
      <c r="AK1262">
        <v>556.84</v>
      </c>
      <c r="AN1262" t="s">
        <v>7439</v>
      </c>
      <c r="AO1262">
        <v>67600</v>
      </c>
      <c r="AU1262">
        <v>2.1</v>
      </c>
      <c r="AV1262" t="s">
        <v>522</v>
      </c>
      <c r="AW1262" t="s">
        <v>46840</v>
      </c>
      <c r="AX1262" t="s">
        <v>46897</v>
      </c>
    </row>
    <row r="1263" spans="1:50">
      <c r="A1263" s="1">
        <f>HYPERLINK("https://lsnyc.legalserver.org/matter/dynamic-profile/view/1876140","18-1876140")</f>
        <v>0</v>
      </c>
      <c r="B1263" t="s">
        <v>89</v>
      </c>
      <c r="C1263" t="s">
        <v>341</v>
      </c>
      <c r="D1263" t="s">
        <v>522</v>
      </c>
      <c r="E1263" t="s">
        <v>494</v>
      </c>
      <c r="F1263" t="s">
        <v>1681</v>
      </c>
      <c r="G1263" t="s">
        <v>5480</v>
      </c>
      <c r="H1263" t="s">
        <v>10702</v>
      </c>
      <c r="I1263" t="s">
        <v>17579</v>
      </c>
      <c r="J1263" t="s">
        <v>18893</v>
      </c>
      <c r="K1263">
        <v>10038</v>
      </c>
      <c r="L1263" t="s">
        <v>18958</v>
      </c>
      <c r="M1263" t="s">
        <v>18958</v>
      </c>
      <c r="O1263" t="s">
        <v>18997</v>
      </c>
      <c r="P1263" t="s">
        <v>26564</v>
      </c>
      <c r="Q1263" t="s">
        <v>26570</v>
      </c>
      <c r="R1263" t="s">
        <v>26582</v>
      </c>
      <c r="S1263" t="s">
        <v>18959</v>
      </c>
      <c r="U1263" t="s">
        <v>26605</v>
      </c>
      <c r="W1263" t="s">
        <v>522</v>
      </c>
      <c r="X1263">
        <v>946</v>
      </c>
      <c r="Y1263" t="s">
        <v>26651</v>
      </c>
      <c r="Z1263" t="s">
        <v>26667</v>
      </c>
      <c r="AA1263" t="s">
        <v>26683</v>
      </c>
      <c r="AB1263" t="s">
        <v>27844</v>
      </c>
      <c r="AE1263">
        <v>0</v>
      </c>
      <c r="AF1263" t="s">
        <v>45549</v>
      </c>
      <c r="AG1263" t="s">
        <v>19330</v>
      </c>
      <c r="AH1263">
        <v>3</v>
      </c>
      <c r="AI1263">
        <v>1</v>
      </c>
      <c r="AJ1263">
        <v>1</v>
      </c>
      <c r="AK1263">
        <v>95.41</v>
      </c>
      <c r="AN1263" t="s">
        <v>8151</v>
      </c>
      <c r="AO1263">
        <v>15704</v>
      </c>
      <c r="AU1263">
        <v>4.25</v>
      </c>
      <c r="AV1263" t="s">
        <v>704</v>
      </c>
      <c r="AW1263" t="s">
        <v>314</v>
      </c>
    </row>
    <row r="1264" spans="1:50">
      <c r="A1264" s="1">
        <f>HYPERLINK("https://lsnyc.legalserver.org/matter/dynamic-profile/view/1876143","18-1876143")</f>
        <v>0</v>
      </c>
      <c r="B1264" t="s">
        <v>210</v>
      </c>
      <c r="C1264" t="s">
        <v>341</v>
      </c>
      <c r="D1264" t="s">
        <v>522</v>
      </c>
      <c r="E1264" t="s">
        <v>706</v>
      </c>
      <c r="F1264" t="s">
        <v>1682</v>
      </c>
      <c r="G1264" t="s">
        <v>5873</v>
      </c>
      <c r="H1264" t="s">
        <v>10703</v>
      </c>
      <c r="I1264" t="s">
        <v>17423</v>
      </c>
      <c r="J1264" t="s">
        <v>18902</v>
      </c>
      <c r="K1264">
        <v>10304</v>
      </c>
      <c r="L1264" t="s">
        <v>18958</v>
      </c>
      <c r="M1264" t="s">
        <v>18958</v>
      </c>
      <c r="N1264" t="s">
        <v>19330</v>
      </c>
      <c r="O1264" t="s">
        <v>26537</v>
      </c>
      <c r="P1264" t="s">
        <v>26564</v>
      </c>
      <c r="Q1264" t="s">
        <v>26570</v>
      </c>
      <c r="R1264" t="s">
        <v>26578</v>
      </c>
      <c r="S1264" t="s">
        <v>18959</v>
      </c>
      <c r="U1264" t="s">
        <v>26604</v>
      </c>
      <c r="W1264" t="s">
        <v>522</v>
      </c>
      <c r="X1264">
        <v>1238</v>
      </c>
      <c r="Y1264" t="s">
        <v>26654</v>
      </c>
      <c r="Z1264" t="s">
        <v>26657</v>
      </c>
      <c r="AA1264" t="s">
        <v>26683</v>
      </c>
      <c r="AB1264" t="s">
        <v>27845</v>
      </c>
      <c r="AC1264" t="s">
        <v>19330</v>
      </c>
      <c r="AD1264" t="s">
        <v>37895</v>
      </c>
      <c r="AE1264">
        <v>2</v>
      </c>
      <c r="AF1264" t="s">
        <v>45547</v>
      </c>
      <c r="AG1264" t="s">
        <v>45556</v>
      </c>
      <c r="AH1264">
        <v>6</v>
      </c>
      <c r="AI1264">
        <v>2</v>
      </c>
      <c r="AJ1264">
        <v>0</v>
      </c>
      <c r="AK1264">
        <v>188.29</v>
      </c>
      <c r="AN1264" t="s">
        <v>45581</v>
      </c>
      <c r="AO1264">
        <v>30992</v>
      </c>
      <c r="AU1264">
        <v>4.25</v>
      </c>
      <c r="AV1264" t="s">
        <v>705</v>
      </c>
      <c r="AW1264" t="s">
        <v>46850</v>
      </c>
    </row>
    <row r="1265" spans="1:50">
      <c r="A1265" s="1">
        <f>HYPERLINK("https://lsnyc.legalserver.org/matter/dynamic-profile/view/1876125","18-1876125")</f>
        <v>0</v>
      </c>
      <c r="B1265" t="s">
        <v>109</v>
      </c>
      <c r="C1265" t="s">
        <v>341</v>
      </c>
      <c r="D1265" t="s">
        <v>522</v>
      </c>
      <c r="E1265" t="s">
        <v>848</v>
      </c>
      <c r="F1265" t="s">
        <v>1683</v>
      </c>
      <c r="G1265" t="s">
        <v>5874</v>
      </c>
      <c r="H1265" t="s">
        <v>10704</v>
      </c>
      <c r="I1265" t="s">
        <v>17307</v>
      </c>
      <c r="J1265" t="s">
        <v>18902</v>
      </c>
      <c r="K1265">
        <v>10303</v>
      </c>
      <c r="L1265" t="s">
        <v>18958</v>
      </c>
      <c r="M1265" t="s">
        <v>18958</v>
      </c>
      <c r="N1265" t="s">
        <v>19905</v>
      </c>
      <c r="O1265" t="s">
        <v>26523</v>
      </c>
      <c r="P1265" t="s">
        <v>26560</v>
      </c>
      <c r="Q1265" t="s">
        <v>26568</v>
      </c>
      <c r="R1265" t="s">
        <v>26590</v>
      </c>
      <c r="S1265" t="s">
        <v>18959</v>
      </c>
      <c r="U1265" t="s">
        <v>26605</v>
      </c>
      <c r="V1265" t="s">
        <v>26611</v>
      </c>
      <c r="W1265" t="s">
        <v>522</v>
      </c>
      <c r="X1265">
        <v>894</v>
      </c>
      <c r="Y1265" t="s">
        <v>26654</v>
      </c>
      <c r="Z1265" t="s">
        <v>26668</v>
      </c>
      <c r="AA1265" t="s">
        <v>26680</v>
      </c>
      <c r="AB1265" t="s">
        <v>27846</v>
      </c>
      <c r="AD1265" t="s">
        <v>37896</v>
      </c>
      <c r="AE1265">
        <v>35</v>
      </c>
      <c r="AF1265" t="s">
        <v>45549</v>
      </c>
      <c r="AH1265">
        <v>38</v>
      </c>
      <c r="AI1265">
        <v>2</v>
      </c>
      <c r="AJ1265">
        <v>0</v>
      </c>
      <c r="AK1265">
        <v>212.64</v>
      </c>
      <c r="AL1265" t="s">
        <v>781</v>
      </c>
      <c r="AM1265" t="s">
        <v>45575</v>
      </c>
      <c r="AN1265" t="s">
        <v>7439</v>
      </c>
      <c r="AO1265">
        <v>35000</v>
      </c>
      <c r="AQ1265" t="s">
        <v>46362</v>
      </c>
      <c r="AR1265" t="s">
        <v>46379</v>
      </c>
      <c r="AS1265" t="s">
        <v>46499</v>
      </c>
      <c r="AT1265" t="s">
        <v>46568</v>
      </c>
      <c r="AU1265">
        <v>3</v>
      </c>
      <c r="AV1265" t="s">
        <v>848</v>
      </c>
      <c r="AW1265" t="s">
        <v>190</v>
      </c>
    </row>
    <row r="1266" spans="1:50">
      <c r="A1266" s="1">
        <f>HYPERLINK("https://lsnyc.legalserver.org/matter/dynamic-profile/view/1876042","18-1876042")</f>
        <v>0</v>
      </c>
      <c r="B1266" t="s">
        <v>153</v>
      </c>
      <c r="C1266" t="s">
        <v>341</v>
      </c>
      <c r="D1266" t="s">
        <v>522</v>
      </c>
      <c r="E1266" t="s">
        <v>806</v>
      </c>
      <c r="F1266" t="s">
        <v>1684</v>
      </c>
      <c r="G1266" t="s">
        <v>5875</v>
      </c>
      <c r="H1266" t="s">
        <v>10674</v>
      </c>
      <c r="I1266" t="s">
        <v>17380</v>
      </c>
      <c r="J1266" t="s">
        <v>18902</v>
      </c>
      <c r="K1266">
        <v>10304</v>
      </c>
      <c r="L1266" t="s">
        <v>18958</v>
      </c>
      <c r="M1266" t="s">
        <v>18958</v>
      </c>
      <c r="N1266" t="s">
        <v>19906</v>
      </c>
      <c r="O1266" t="s">
        <v>26523</v>
      </c>
      <c r="P1266" t="s">
        <v>26560</v>
      </c>
      <c r="Q1266" t="s">
        <v>26568</v>
      </c>
      <c r="R1266" t="s">
        <v>26587</v>
      </c>
      <c r="S1266" t="s">
        <v>18959</v>
      </c>
      <c r="U1266" t="s">
        <v>26605</v>
      </c>
      <c r="V1266" t="s">
        <v>26610</v>
      </c>
      <c r="W1266" t="s">
        <v>522</v>
      </c>
      <c r="X1266">
        <v>250</v>
      </c>
      <c r="Y1266" t="s">
        <v>26654</v>
      </c>
      <c r="Z1266" t="s">
        <v>26659</v>
      </c>
      <c r="AA1266" t="s">
        <v>26680</v>
      </c>
      <c r="AB1266" t="s">
        <v>27847</v>
      </c>
      <c r="AD1266" t="s">
        <v>37897</v>
      </c>
      <c r="AE1266">
        <v>120</v>
      </c>
      <c r="AG1266" t="s">
        <v>45556</v>
      </c>
      <c r="AH1266">
        <v>3</v>
      </c>
      <c r="AI1266">
        <v>1</v>
      </c>
      <c r="AJ1266">
        <v>0</v>
      </c>
      <c r="AK1266">
        <v>71.27</v>
      </c>
      <c r="AN1266" t="s">
        <v>7439</v>
      </c>
      <c r="AO1266">
        <v>8652</v>
      </c>
      <c r="AS1266" t="s">
        <v>46499</v>
      </c>
      <c r="AT1266" t="s">
        <v>46619</v>
      </c>
      <c r="AU1266">
        <v>19.9</v>
      </c>
      <c r="AV1266" t="s">
        <v>806</v>
      </c>
      <c r="AW1266" t="s">
        <v>190</v>
      </c>
    </row>
    <row r="1267" spans="1:50">
      <c r="A1267" s="1">
        <f>HYPERLINK("https://lsnyc.legalserver.org/matter/dynamic-profile/view/1876135","18-1876135")</f>
        <v>0</v>
      </c>
      <c r="B1267" t="s">
        <v>110</v>
      </c>
      <c r="C1267" t="s">
        <v>341</v>
      </c>
      <c r="D1267" t="s">
        <v>522</v>
      </c>
      <c r="E1267" t="s">
        <v>712</v>
      </c>
      <c r="F1267" t="s">
        <v>1685</v>
      </c>
      <c r="G1267" t="s">
        <v>5876</v>
      </c>
      <c r="H1267" t="s">
        <v>10705</v>
      </c>
      <c r="I1267" t="s">
        <v>17621</v>
      </c>
      <c r="J1267" t="s">
        <v>18898</v>
      </c>
      <c r="K1267">
        <v>11691</v>
      </c>
      <c r="L1267" t="s">
        <v>18958</v>
      </c>
      <c r="M1267" t="s">
        <v>18958</v>
      </c>
      <c r="N1267" t="s">
        <v>19907</v>
      </c>
      <c r="O1267" t="s">
        <v>26524</v>
      </c>
      <c r="P1267" t="s">
        <v>26564</v>
      </c>
      <c r="Q1267" t="s">
        <v>26570</v>
      </c>
      <c r="R1267" t="s">
        <v>26578</v>
      </c>
      <c r="S1267" t="s">
        <v>18959</v>
      </c>
      <c r="U1267" t="s">
        <v>26604</v>
      </c>
      <c r="V1267" t="s">
        <v>26610</v>
      </c>
      <c r="W1267" t="s">
        <v>522</v>
      </c>
      <c r="X1267">
        <v>550</v>
      </c>
      <c r="Y1267" t="s">
        <v>26653</v>
      </c>
      <c r="Z1267" t="s">
        <v>26664</v>
      </c>
      <c r="AA1267" t="s">
        <v>26683</v>
      </c>
      <c r="AB1267" t="s">
        <v>27848</v>
      </c>
      <c r="AC1267" t="s">
        <v>19330</v>
      </c>
      <c r="AD1267" t="s">
        <v>37898</v>
      </c>
      <c r="AE1267">
        <v>3</v>
      </c>
      <c r="AF1267" t="s">
        <v>45547</v>
      </c>
      <c r="AG1267" t="s">
        <v>19330</v>
      </c>
      <c r="AH1267">
        <v>4</v>
      </c>
      <c r="AI1267">
        <v>2</v>
      </c>
      <c r="AJ1267">
        <v>0</v>
      </c>
      <c r="AK1267">
        <v>145.81</v>
      </c>
      <c r="AN1267" t="s">
        <v>7439</v>
      </c>
      <c r="AO1267">
        <v>24000</v>
      </c>
      <c r="AU1267">
        <v>1</v>
      </c>
      <c r="AV1267" t="s">
        <v>523</v>
      </c>
      <c r="AW1267" t="s">
        <v>161</v>
      </c>
    </row>
    <row r="1268" spans="1:50">
      <c r="A1268" s="1">
        <f>HYPERLINK("https://lsnyc.legalserver.org/matter/dynamic-profile/view/1876179","18-1876179")</f>
        <v>0</v>
      </c>
      <c r="B1268" t="s">
        <v>110</v>
      </c>
      <c r="C1268" t="s">
        <v>341</v>
      </c>
      <c r="D1268" t="s">
        <v>522</v>
      </c>
      <c r="E1268" t="s">
        <v>662</v>
      </c>
      <c r="F1268" t="s">
        <v>1686</v>
      </c>
      <c r="G1268" t="s">
        <v>5877</v>
      </c>
      <c r="H1268" t="s">
        <v>10706</v>
      </c>
      <c r="I1268">
        <v>5</v>
      </c>
      <c r="J1268" t="s">
        <v>18913</v>
      </c>
      <c r="K1268">
        <v>11103</v>
      </c>
      <c r="L1268" t="s">
        <v>18958</v>
      </c>
      <c r="M1268" t="s">
        <v>18958</v>
      </c>
      <c r="N1268" t="s">
        <v>19908</v>
      </c>
      <c r="O1268" t="s">
        <v>26523</v>
      </c>
      <c r="P1268" t="s">
        <v>26560</v>
      </c>
      <c r="Q1268" t="s">
        <v>26568</v>
      </c>
      <c r="R1268" t="s">
        <v>26584</v>
      </c>
      <c r="S1268" t="s">
        <v>18959</v>
      </c>
      <c r="U1268" t="s">
        <v>26604</v>
      </c>
      <c r="V1268" t="s">
        <v>26612</v>
      </c>
      <c r="W1268" t="s">
        <v>522</v>
      </c>
      <c r="X1268">
        <v>1051</v>
      </c>
      <c r="Y1268" t="s">
        <v>26653</v>
      </c>
      <c r="Z1268" t="s">
        <v>26664</v>
      </c>
      <c r="AA1268" t="s">
        <v>26678</v>
      </c>
      <c r="AB1268" t="s">
        <v>27849</v>
      </c>
      <c r="AC1268" t="s">
        <v>34878</v>
      </c>
      <c r="AD1268" t="s">
        <v>37899</v>
      </c>
      <c r="AE1268">
        <v>25</v>
      </c>
      <c r="AF1268" t="s">
        <v>45541</v>
      </c>
      <c r="AG1268" t="s">
        <v>19330</v>
      </c>
      <c r="AH1268">
        <v>20</v>
      </c>
      <c r="AI1268">
        <v>2</v>
      </c>
      <c r="AJ1268">
        <v>3</v>
      </c>
      <c r="AK1268">
        <v>0</v>
      </c>
      <c r="AN1268" t="s">
        <v>7439</v>
      </c>
      <c r="AO1268">
        <v>0</v>
      </c>
      <c r="AR1268" t="s">
        <v>46410</v>
      </c>
      <c r="AS1268" t="s">
        <v>46499</v>
      </c>
      <c r="AT1268" t="s">
        <v>46633</v>
      </c>
      <c r="AU1268">
        <v>8.25</v>
      </c>
      <c r="AV1268" t="s">
        <v>534</v>
      </c>
      <c r="AW1268" t="s">
        <v>161</v>
      </c>
    </row>
    <row r="1269" spans="1:50">
      <c r="A1269" s="1">
        <f>HYPERLINK("https://lsnyc.legalserver.org/matter/dynamic-profile/view/1876228","18-1876228")</f>
        <v>0</v>
      </c>
      <c r="B1269" t="s">
        <v>65</v>
      </c>
      <c r="C1269" t="s">
        <v>341</v>
      </c>
      <c r="D1269" t="s">
        <v>522</v>
      </c>
      <c r="E1269" t="s">
        <v>728</v>
      </c>
      <c r="F1269" t="s">
        <v>1510</v>
      </c>
      <c r="G1269" t="s">
        <v>2128</v>
      </c>
      <c r="H1269" t="s">
        <v>10707</v>
      </c>
      <c r="I1269" t="s">
        <v>17293</v>
      </c>
      <c r="J1269" t="s">
        <v>18892</v>
      </c>
      <c r="K1269">
        <v>10467</v>
      </c>
      <c r="L1269" t="s">
        <v>18958</v>
      </c>
      <c r="M1269" t="s">
        <v>18958</v>
      </c>
      <c r="N1269" t="s">
        <v>19909</v>
      </c>
      <c r="O1269" t="s">
        <v>26524</v>
      </c>
      <c r="P1269" t="s">
        <v>26560</v>
      </c>
      <c r="Q1269" t="s">
        <v>26568</v>
      </c>
      <c r="R1269" t="s">
        <v>26579</v>
      </c>
      <c r="U1269" t="s">
        <v>26604</v>
      </c>
      <c r="V1269" t="s">
        <v>26610</v>
      </c>
      <c r="W1269" t="s">
        <v>522</v>
      </c>
      <c r="X1269">
        <v>215</v>
      </c>
      <c r="Y1269" t="s">
        <v>26650</v>
      </c>
      <c r="Z1269" t="s">
        <v>26668</v>
      </c>
      <c r="AA1269" t="s">
        <v>26678</v>
      </c>
      <c r="AB1269" t="s">
        <v>27850</v>
      </c>
      <c r="AD1269" t="s">
        <v>37900</v>
      </c>
      <c r="AE1269">
        <v>0</v>
      </c>
      <c r="AF1269" t="s">
        <v>45554</v>
      </c>
      <c r="AG1269" t="s">
        <v>19330</v>
      </c>
      <c r="AH1269">
        <v>5</v>
      </c>
      <c r="AI1269">
        <v>1</v>
      </c>
      <c r="AJ1269">
        <v>0</v>
      </c>
      <c r="AK1269">
        <v>21.25</v>
      </c>
      <c r="AN1269" t="s">
        <v>7439</v>
      </c>
      <c r="AO1269">
        <v>2580</v>
      </c>
      <c r="AQ1269" t="s">
        <v>46359</v>
      </c>
      <c r="AR1269" t="s">
        <v>46379</v>
      </c>
      <c r="AS1269" t="s">
        <v>46499</v>
      </c>
      <c r="AT1269" t="s">
        <v>46666</v>
      </c>
      <c r="AU1269">
        <v>19.55</v>
      </c>
      <c r="AV1269" t="s">
        <v>757</v>
      </c>
      <c r="AW1269" t="s">
        <v>46831</v>
      </c>
    </row>
    <row r="1270" spans="1:50">
      <c r="A1270" s="1">
        <f>HYPERLINK("https://lsnyc.legalserver.org/matter/dynamic-profile/view/1876137","18-1876137")</f>
        <v>0</v>
      </c>
      <c r="B1270" t="s">
        <v>112</v>
      </c>
      <c r="C1270" t="s">
        <v>341</v>
      </c>
      <c r="D1270" t="s">
        <v>522</v>
      </c>
      <c r="E1270" t="s">
        <v>769</v>
      </c>
      <c r="F1270" t="s">
        <v>1328</v>
      </c>
      <c r="G1270" t="s">
        <v>2564</v>
      </c>
      <c r="H1270" t="s">
        <v>10708</v>
      </c>
      <c r="I1270" t="s">
        <v>17275</v>
      </c>
      <c r="J1270" t="s">
        <v>7026</v>
      </c>
      <c r="K1270">
        <v>11368</v>
      </c>
      <c r="L1270" t="s">
        <v>18958</v>
      </c>
      <c r="M1270" t="s">
        <v>18958</v>
      </c>
      <c r="N1270" t="s">
        <v>19910</v>
      </c>
      <c r="O1270" t="s">
        <v>26523</v>
      </c>
      <c r="P1270" t="s">
        <v>26560</v>
      </c>
      <c r="Q1270" t="s">
        <v>26568</v>
      </c>
      <c r="R1270" t="s">
        <v>26584</v>
      </c>
      <c r="S1270" t="s">
        <v>18959</v>
      </c>
      <c r="U1270" t="s">
        <v>26604</v>
      </c>
      <c r="V1270" t="s">
        <v>26610</v>
      </c>
      <c r="W1270" t="s">
        <v>522</v>
      </c>
      <c r="X1270">
        <v>1650</v>
      </c>
      <c r="Y1270" t="s">
        <v>26653</v>
      </c>
      <c r="Z1270" t="s">
        <v>26664</v>
      </c>
      <c r="AA1270" t="s">
        <v>26678</v>
      </c>
      <c r="AB1270" t="s">
        <v>27851</v>
      </c>
      <c r="AC1270" t="s">
        <v>34879</v>
      </c>
      <c r="AD1270" t="s">
        <v>37901</v>
      </c>
      <c r="AE1270">
        <v>16</v>
      </c>
      <c r="AF1270" t="s">
        <v>45541</v>
      </c>
      <c r="AG1270" t="s">
        <v>19330</v>
      </c>
      <c r="AH1270">
        <v>1</v>
      </c>
      <c r="AI1270">
        <v>1</v>
      </c>
      <c r="AJ1270">
        <v>1</v>
      </c>
      <c r="AK1270">
        <v>62.7</v>
      </c>
      <c r="AN1270" t="s">
        <v>7439</v>
      </c>
      <c r="AO1270">
        <v>10320</v>
      </c>
      <c r="AQ1270" t="s">
        <v>46365</v>
      </c>
      <c r="AR1270" t="s">
        <v>26530</v>
      </c>
      <c r="AS1270" t="s">
        <v>46499</v>
      </c>
      <c r="AT1270" t="s">
        <v>46684</v>
      </c>
      <c r="AU1270">
        <v>21.65</v>
      </c>
      <c r="AV1270" t="s">
        <v>780</v>
      </c>
      <c r="AW1270" t="s">
        <v>122</v>
      </c>
    </row>
    <row r="1271" spans="1:50">
      <c r="A1271" s="1">
        <f>HYPERLINK("https://lsnyc.legalserver.org/matter/dynamic-profile/view/1876183","18-1876183")</f>
        <v>0</v>
      </c>
      <c r="B1271" t="s">
        <v>112</v>
      </c>
      <c r="C1271" t="s">
        <v>341</v>
      </c>
      <c r="D1271" t="s">
        <v>522</v>
      </c>
      <c r="E1271" t="s">
        <v>769</v>
      </c>
      <c r="F1271" t="s">
        <v>1252</v>
      </c>
      <c r="G1271" t="s">
        <v>5878</v>
      </c>
      <c r="H1271" t="s">
        <v>10709</v>
      </c>
      <c r="I1271" t="s">
        <v>17622</v>
      </c>
      <c r="J1271" t="s">
        <v>18907</v>
      </c>
      <c r="K1271">
        <v>11377</v>
      </c>
      <c r="L1271" t="s">
        <v>18958</v>
      </c>
      <c r="M1271" t="s">
        <v>18958</v>
      </c>
      <c r="N1271" t="s">
        <v>19911</v>
      </c>
      <c r="O1271" t="s">
        <v>26523</v>
      </c>
      <c r="P1271" t="s">
        <v>26560</v>
      </c>
      <c r="Q1271" t="s">
        <v>26568</v>
      </c>
      <c r="R1271" t="s">
        <v>26584</v>
      </c>
      <c r="S1271" t="s">
        <v>18959</v>
      </c>
      <c r="U1271" t="s">
        <v>26604</v>
      </c>
      <c r="V1271" t="s">
        <v>26611</v>
      </c>
      <c r="W1271" t="s">
        <v>522</v>
      </c>
      <c r="X1271">
        <v>1085</v>
      </c>
      <c r="Y1271" t="s">
        <v>26653</v>
      </c>
      <c r="Z1271" t="s">
        <v>26664</v>
      </c>
      <c r="AA1271" t="s">
        <v>26678</v>
      </c>
      <c r="AB1271" t="s">
        <v>27852</v>
      </c>
      <c r="AC1271" t="s">
        <v>34880</v>
      </c>
      <c r="AD1271" t="s">
        <v>37902</v>
      </c>
      <c r="AE1271">
        <v>23</v>
      </c>
      <c r="AF1271" t="s">
        <v>45541</v>
      </c>
      <c r="AG1271" t="s">
        <v>19330</v>
      </c>
      <c r="AH1271">
        <v>9</v>
      </c>
      <c r="AI1271">
        <v>1</v>
      </c>
      <c r="AJ1271">
        <v>3</v>
      </c>
      <c r="AK1271">
        <v>87.65000000000001</v>
      </c>
      <c r="AN1271" t="s">
        <v>45581</v>
      </c>
      <c r="AO1271">
        <v>22000</v>
      </c>
      <c r="AQ1271" t="s">
        <v>46365</v>
      </c>
      <c r="AR1271" t="s">
        <v>46379</v>
      </c>
      <c r="AS1271" t="s">
        <v>46499</v>
      </c>
      <c r="AT1271" t="s">
        <v>46685</v>
      </c>
      <c r="AU1271">
        <v>28.65</v>
      </c>
      <c r="AV1271" t="s">
        <v>780</v>
      </c>
      <c r="AW1271" t="s">
        <v>161</v>
      </c>
    </row>
    <row r="1272" spans="1:50">
      <c r="A1272" s="1">
        <f>HYPERLINK("https://lsnyc.legalserver.org/matter/dynamic-profile/view/1876176","18-1876176")</f>
        <v>0</v>
      </c>
      <c r="B1272" t="s">
        <v>54</v>
      </c>
      <c r="C1272" t="s">
        <v>341</v>
      </c>
      <c r="D1272" t="s">
        <v>522</v>
      </c>
      <c r="E1272" t="s">
        <v>744</v>
      </c>
      <c r="F1272" t="s">
        <v>1687</v>
      </c>
      <c r="G1272" t="s">
        <v>5879</v>
      </c>
      <c r="H1272" t="s">
        <v>10710</v>
      </c>
      <c r="I1272" t="s">
        <v>17293</v>
      </c>
      <c r="J1272" t="s">
        <v>18892</v>
      </c>
      <c r="K1272">
        <v>10458</v>
      </c>
      <c r="L1272" t="s">
        <v>18958</v>
      </c>
      <c r="M1272" t="s">
        <v>18958</v>
      </c>
      <c r="N1272" t="s">
        <v>19912</v>
      </c>
      <c r="O1272" t="s">
        <v>26523</v>
      </c>
      <c r="P1272" t="s">
        <v>26560</v>
      </c>
      <c r="Q1272" t="s">
        <v>26568</v>
      </c>
      <c r="R1272" t="s">
        <v>26577</v>
      </c>
      <c r="S1272" t="s">
        <v>18959</v>
      </c>
      <c r="U1272" t="s">
        <v>26604</v>
      </c>
      <c r="V1272" t="s">
        <v>26609</v>
      </c>
      <c r="W1272" t="s">
        <v>522</v>
      </c>
      <c r="X1272">
        <v>1989</v>
      </c>
      <c r="Y1272" t="s">
        <v>26650</v>
      </c>
      <c r="Z1272" t="s">
        <v>26664</v>
      </c>
      <c r="AA1272" t="s">
        <v>26678</v>
      </c>
      <c r="AB1272" t="s">
        <v>27853</v>
      </c>
      <c r="AC1272" t="s">
        <v>34881</v>
      </c>
      <c r="AD1272" t="s">
        <v>37903</v>
      </c>
      <c r="AE1272">
        <v>17</v>
      </c>
      <c r="AF1272" t="s">
        <v>45541</v>
      </c>
      <c r="AG1272" t="s">
        <v>45556</v>
      </c>
      <c r="AH1272">
        <v>7</v>
      </c>
      <c r="AI1272">
        <v>3</v>
      </c>
      <c r="AJ1272">
        <v>1</v>
      </c>
      <c r="AK1272">
        <v>72.5</v>
      </c>
      <c r="AN1272" t="s">
        <v>45581</v>
      </c>
      <c r="AO1272">
        <v>18198.6</v>
      </c>
      <c r="AQ1272" t="s">
        <v>46362</v>
      </c>
      <c r="AR1272" t="s">
        <v>46383</v>
      </c>
      <c r="AS1272" t="s">
        <v>46499</v>
      </c>
      <c r="AT1272" t="s">
        <v>46686</v>
      </c>
      <c r="AU1272">
        <v>18</v>
      </c>
      <c r="AV1272" t="s">
        <v>744</v>
      </c>
      <c r="AW1272" t="s">
        <v>46832</v>
      </c>
    </row>
    <row r="1273" spans="1:50">
      <c r="A1273" s="1">
        <f>HYPERLINK("https://lsnyc.legalserver.org/matter/dynamic-profile/view/1876188","18-1876188")</f>
        <v>0</v>
      </c>
      <c r="B1273" t="s">
        <v>54</v>
      </c>
      <c r="C1273" t="s">
        <v>341</v>
      </c>
      <c r="D1273" t="s">
        <v>522</v>
      </c>
      <c r="E1273" t="s">
        <v>614</v>
      </c>
      <c r="F1273" t="s">
        <v>938</v>
      </c>
      <c r="G1273" t="s">
        <v>5880</v>
      </c>
      <c r="H1273" t="s">
        <v>10711</v>
      </c>
      <c r="I1273" t="s">
        <v>17623</v>
      </c>
      <c r="J1273" t="s">
        <v>18892</v>
      </c>
      <c r="K1273">
        <v>10465</v>
      </c>
      <c r="L1273" t="s">
        <v>18958</v>
      </c>
      <c r="M1273" t="s">
        <v>18958</v>
      </c>
      <c r="N1273" t="s">
        <v>19913</v>
      </c>
      <c r="O1273" t="s">
        <v>26524</v>
      </c>
      <c r="P1273" t="s">
        <v>26564</v>
      </c>
      <c r="Q1273" t="s">
        <v>26570</v>
      </c>
      <c r="R1273" t="s">
        <v>26577</v>
      </c>
      <c r="S1273" t="s">
        <v>18959</v>
      </c>
      <c r="U1273" t="s">
        <v>26604</v>
      </c>
      <c r="W1273" t="s">
        <v>522</v>
      </c>
      <c r="X1273">
        <v>0</v>
      </c>
      <c r="Y1273" t="s">
        <v>26650</v>
      </c>
      <c r="Z1273" t="s">
        <v>26664</v>
      </c>
      <c r="AA1273" t="s">
        <v>26683</v>
      </c>
      <c r="AB1273" t="s">
        <v>27854</v>
      </c>
      <c r="AC1273" t="s">
        <v>34882</v>
      </c>
      <c r="AD1273" t="s">
        <v>37904</v>
      </c>
      <c r="AE1273">
        <v>1</v>
      </c>
      <c r="AF1273" t="s">
        <v>20460</v>
      </c>
      <c r="AG1273" t="s">
        <v>19330</v>
      </c>
      <c r="AH1273">
        <v>18</v>
      </c>
      <c r="AI1273">
        <v>2</v>
      </c>
      <c r="AJ1273">
        <v>0</v>
      </c>
      <c r="AK1273">
        <v>149.27</v>
      </c>
      <c r="AN1273" t="s">
        <v>7439</v>
      </c>
      <c r="AO1273">
        <v>24570</v>
      </c>
      <c r="AP1273" t="s">
        <v>45654</v>
      </c>
      <c r="AU1273">
        <v>0.5</v>
      </c>
      <c r="AV1273" t="s">
        <v>493</v>
      </c>
      <c r="AW1273" t="s">
        <v>46832</v>
      </c>
    </row>
    <row r="1274" spans="1:50">
      <c r="A1274" s="1">
        <f>HYPERLINK("https://lsnyc.legalserver.org/matter/dynamic-profile/view/1876220","18-1876220")</f>
        <v>0</v>
      </c>
      <c r="B1274" t="s">
        <v>136</v>
      </c>
      <c r="C1274" t="s">
        <v>340</v>
      </c>
      <c r="D1274" t="s">
        <v>522</v>
      </c>
      <c r="F1274" t="s">
        <v>1145</v>
      </c>
      <c r="G1274" t="s">
        <v>5881</v>
      </c>
      <c r="H1274" t="s">
        <v>10712</v>
      </c>
      <c r="I1274" t="s">
        <v>17306</v>
      </c>
      <c r="J1274" t="s">
        <v>18892</v>
      </c>
      <c r="K1274">
        <v>10461</v>
      </c>
      <c r="L1274" t="s">
        <v>18958</v>
      </c>
      <c r="M1274" t="s">
        <v>18958</v>
      </c>
      <c r="N1274" t="s">
        <v>19914</v>
      </c>
      <c r="O1274" t="s">
        <v>26524</v>
      </c>
      <c r="P1274" t="s">
        <v>26560</v>
      </c>
      <c r="R1274" t="s">
        <v>26577</v>
      </c>
      <c r="U1274" t="s">
        <v>26604</v>
      </c>
      <c r="V1274" t="s">
        <v>26610</v>
      </c>
      <c r="W1274" t="s">
        <v>522</v>
      </c>
      <c r="X1274">
        <v>600</v>
      </c>
      <c r="Y1274" t="s">
        <v>26650</v>
      </c>
      <c r="Z1274" t="s">
        <v>26668</v>
      </c>
      <c r="AB1274" t="s">
        <v>27855</v>
      </c>
      <c r="AD1274" t="s">
        <v>37905</v>
      </c>
      <c r="AE1274">
        <v>0</v>
      </c>
      <c r="AH1274">
        <v>2</v>
      </c>
      <c r="AI1274">
        <v>1</v>
      </c>
      <c r="AJ1274">
        <v>0</v>
      </c>
      <c r="AK1274">
        <v>123.56</v>
      </c>
      <c r="AO1274">
        <v>15000</v>
      </c>
      <c r="AU1274">
        <v>10.7</v>
      </c>
      <c r="AV1274" t="s">
        <v>603</v>
      </c>
      <c r="AW1274" t="s">
        <v>334</v>
      </c>
    </row>
    <row r="1275" spans="1:50">
      <c r="A1275" s="1">
        <f>HYPERLINK("https://lsnyc.legalserver.org/matter/dynamic-profile/view/1876150","18-1876150")</f>
        <v>0</v>
      </c>
      <c r="B1275" t="s">
        <v>61</v>
      </c>
      <c r="C1275" t="s">
        <v>340</v>
      </c>
      <c r="D1275" t="s">
        <v>522</v>
      </c>
      <c r="F1275" t="s">
        <v>897</v>
      </c>
      <c r="G1275" t="s">
        <v>2412</v>
      </c>
      <c r="H1275" t="s">
        <v>10713</v>
      </c>
      <c r="I1275" t="s">
        <v>17349</v>
      </c>
      <c r="J1275" t="s">
        <v>18893</v>
      </c>
      <c r="K1275">
        <v>10033</v>
      </c>
      <c r="L1275" t="s">
        <v>18958</v>
      </c>
      <c r="M1275" t="s">
        <v>18958</v>
      </c>
      <c r="N1275" t="s">
        <v>19915</v>
      </c>
      <c r="O1275" t="s">
        <v>26523</v>
      </c>
      <c r="P1275" t="s">
        <v>26560</v>
      </c>
      <c r="R1275" t="s">
        <v>26578</v>
      </c>
      <c r="S1275" t="s">
        <v>18959</v>
      </c>
      <c r="U1275" t="s">
        <v>26604</v>
      </c>
      <c r="W1275" t="s">
        <v>522</v>
      </c>
      <c r="X1275">
        <v>1244</v>
      </c>
      <c r="Y1275" t="s">
        <v>26651</v>
      </c>
      <c r="Z1275" t="s">
        <v>26661</v>
      </c>
      <c r="AB1275" t="s">
        <v>27856</v>
      </c>
      <c r="AD1275" t="s">
        <v>37906</v>
      </c>
      <c r="AE1275">
        <v>37</v>
      </c>
      <c r="AF1275" t="s">
        <v>45541</v>
      </c>
      <c r="AG1275" t="s">
        <v>19330</v>
      </c>
      <c r="AH1275">
        <v>30</v>
      </c>
      <c r="AI1275">
        <v>1</v>
      </c>
      <c r="AJ1275">
        <v>0</v>
      </c>
      <c r="AK1275">
        <v>0</v>
      </c>
      <c r="AN1275" t="s">
        <v>45581</v>
      </c>
      <c r="AO1275">
        <v>0</v>
      </c>
      <c r="AU1275">
        <v>38.35</v>
      </c>
      <c r="AV1275" t="s">
        <v>831</v>
      </c>
      <c r="AW1275" t="s">
        <v>46840</v>
      </c>
      <c r="AX1275" t="s">
        <v>46897</v>
      </c>
    </row>
    <row r="1276" spans="1:50">
      <c r="A1276" s="1">
        <f>HYPERLINK("https://lsnyc.legalserver.org/matter/dynamic-profile/view/1876131","18-1876131")</f>
        <v>0</v>
      </c>
      <c r="B1276" t="s">
        <v>90</v>
      </c>
      <c r="C1276" t="s">
        <v>340</v>
      </c>
      <c r="D1276" t="s">
        <v>522</v>
      </c>
      <c r="F1276" t="s">
        <v>916</v>
      </c>
      <c r="G1276" t="s">
        <v>5882</v>
      </c>
      <c r="H1276" t="s">
        <v>10549</v>
      </c>
      <c r="I1276" t="s">
        <v>17410</v>
      </c>
      <c r="J1276" t="s">
        <v>18893</v>
      </c>
      <c r="K1276">
        <v>10031</v>
      </c>
      <c r="L1276" t="s">
        <v>18958</v>
      </c>
      <c r="M1276" t="s">
        <v>18958</v>
      </c>
      <c r="O1276" t="s">
        <v>18997</v>
      </c>
      <c r="P1276" t="s">
        <v>26564</v>
      </c>
      <c r="R1276" t="s">
        <v>26578</v>
      </c>
      <c r="S1276" t="s">
        <v>18958</v>
      </c>
      <c r="U1276" t="s">
        <v>26604</v>
      </c>
      <c r="V1276" t="s">
        <v>26610</v>
      </c>
      <c r="W1276" t="s">
        <v>522</v>
      </c>
      <c r="X1276">
        <v>144</v>
      </c>
      <c r="Y1276" t="s">
        <v>26651</v>
      </c>
      <c r="Z1276" t="s">
        <v>26667</v>
      </c>
      <c r="AB1276" t="s">
        <v>27857</v>
      </c>
      <c r="AE1276">
        <v>42</v>
      </c>
      <c r="AF1276" t="s">
        <v>45543</v>
      </c>
      <c r="AG1276" t="s">
        <v>45556</v>
      </c>
      <c r="AH1276">
        <v>23</v>
      </c>
      <c r="AI1276">
        <v>1</v>
      </c>
      <c r="AJ1276">
        <v>0</v>
      </c>
      <c r="AK1276">
        <v>77.09999999999999</v>
      </c>
      <c r="AN1276" t="s">
        <v>7439</v>
      </c>
      <c r="AO1276">
        <v>9360</v>
      </c>
      <c r="AP1276" t="s">
        <v>45663</v>
      </c>
      <c r="AU1276">
        <v>0.2</v>
      </c>
      <c r="AV1276" t="s">
        <v>683</v>
      </c>
      <c r="AW1276" t="s">
        <v>46835</v>
      </c>
    </row>
    <row r="1277" spans="1:50">
      <c r="A1277" s="1">
        <f>HYPERLINK("https://lsnyc.legalserver.org/matter/dynamic-profile/view/1876234","18-1876234")</f>
        <v>0</v>
      </c>
      <c r="B1277" t="s">
        <v>79</v>
      </c>
      <c r="C1277" t="s">
        <v>340</v>
      </c>
      <c r="D1277" t="s">
        <v>522</v>
      </c>
      <c r="F1277" t="s">
        <v>1688</v>
      </c>
      <c r="G1277" t="s">
        <v>5008</v>
      </c>
      <c r="H1277" t="s">
        <v>9854</v>
      </c>
      <c r="I1277" t="s">
        <v>17348</v>
      </c>
      <c r="J1277" t="s">
        <v>18893</v>
      </c>
      <c r="K1277">
        <v>10033</v>
      </c>
      <c r="L1277" t="s">
        <v>18958</v>
      </c>
      <c r="M1277" t="s">
        <v>18958</v>
      </c>
      <c r="O1277" t="s">
        <v>26526</v>
      </c>
      <c r="P1277" t="s">
        <v>26565</v>
      </c>
      <c r="R1277" t="s">
        <v>26578</v>
      </c>
      <c r="S1277" t="s">
        <v>18958</v>
      </c>
      <c r="U1277" t="s">
        <v>26604</v>
      </c>
      <c r="W1277" t="s">
        <v>522</v>
      </c>
      <c r="X1277">
        <v>1295.41</v>
      </c>
      <c r="Y1277" t="s">
        <v>26651</v>
      </c>
      <c r="Z1277" t="s">
        <v>26661</v>
      </c>
      <c r="AB1277" t="s">
        <v>27858</v>
      </c>
      <c r="AD1277" t="s">
        <v>37907</v>
      </c>
      <c r="AE1277">
        <v>232</v>
      </c>
      <c r="AF1277" t="s">
        <v>45541</v>
      </c>
      <c r="AG1277" t="s">
        <v>45559</v>
      </c>
      <c r="AH1277">
        <v>50</v>
      </c>
      <c r="AI1277">
        <v>1</v>
      </c>
      <c r="AJ1277">
        <v>0</v>
      </c>
      <c r="AK1277">
        <v>146.59</v>
      </c>
      <c r="AN1277" t="s">
        <v>7439</v>
      </c>
      <c r="AO1277">
        <v>17796</v>
      </c>
      <c r="AU1277">
        <v>1.7</v>
      </c>
      <c r="AV1277" t="s">
        <v>827</v>
      </c>
      <c r="AW1277" t="s">
        <v>46840</v>
      </c>
    </row>
    <row r="1278" spans="1:50">
      <c r="A1278" s="1">
        <f>HYPERLINK("https://lsnyc.legalserver.org/matter/dynamic-profile/view/1876167","18-1876167")</f>
        <v>0</v>
      </c>
      <c r="B1278" t="s">
        <v>142</v>
      </c>
      <c r="C1278" t="s">
        <v>340</v>
      </c>
      <c r="D1278" t="s">
        <v>522</v>
      </c>
      <c r="F1278" t="s">
        <v>1689</v>
      </c>
      <c r="G1278" t="s">
        <v>5883</v>
      </c>
      <c r="H1278" t="s">
        <v>10714</v>
      </c>
      <c r="I1278" t="s">
        <v>17430</v>
      </c>
      <c r="J1278" t="s">
        <v>18918</v>
      </c>
      <c r="K1278">
        <v>11416</v>
      </c>
      <c r="L1278" t="s">
        <v>18958</v>
      </c>
      <c r="M1278" t="s">
        <v>18958</v>
      </c>
      <c r="N1278" t="s">
        <v>19916</v>
      </c>
      <c r="O1278" t="s">
        <v>26524</v>
      </c>
      <c r="P1278" t="s">
        <v>26564</v>
      </c>
      <c r="R1278" t="s">
        <v>26584</v>
      </c>
      <c r="S1278" t="s">
        <v>18959</v>
      </c>
      <c r="U1278" t="s">
        <v>26604</v>
      </c>
      <c r="V1278" t="s">
        <v>26612</v>
      </c>
      <c r="W1278" t="s">
        <v>522</v>
      </c>
      <c r="X1278">
        <v>1200</v>
      </c>
      <c r="Y1278" t="s">
        <v>26653</v>
      </c>
      <c r="Z1278" t="s">
        <v>26664</v>
      </c>
      <c r="AB1278" t="s">
        <v>27859</v>
      </c>
      <c r="AC1278" t="s">
        <v>19330</v>
      </c>
      <c r="AD1278" t="s">
        <v>37908</v>
      </c>
      <c r="AE1278">
        <v>1</v>
      </c>
      <c r="AF1278" t="s">
        <v>45547</v>
      </c>
      <c r="AG1278" t="s">
        <v>19330</v>
      </c>
      <c r="AH1278">
        <v>11</v>
      </c>
      <c r="AI1278">
        <v>1</v>
      </c>
      <c r="AJ1278">
        <v>0</v>
      </c>
      <c r="AK1278">
        <v>38.25</v>
      </c>
      <c r="AN1278" t="s">
        <v>45597</v>
      </c>
      <c r="AO1278">
        <v>4644</v>
      </c>
      <c r="AU1278">
        <v>1.75</v>
      </c>
      <c r="AV1278" t="s">
        <v>523</v>
      </c>
      <c r="AW1278" t="s">
        <v>161</v>
      </c>
    </row>
    <row r="1279" spans="1:50">
      <c r="A1279" s="1">
        <f>HYPERLINK("https://lsnyc.legalserver.org/matter/dynamic-profile/view/1876119","18-1876119")</f>
        <v>0</v>
      </c>
      <c r="B1279" t="s">
        <v>142</v>
      </c>
      <c r="C1279" t="s">
        <v>340</v>
      </c>
      <c r="D1279" t="s">
        <v>522</v>
      </c>
      <c r="F1279" t="s">
        <v>1690</v>
      </c>
      <c r="G1279" t="s">
        <v>5026</v>
      </c>
      <c r="H1279" t="s">
        <v>10715</v>
      </c>
      <c r="J1279" t="s">
        <v>18931</v>
      </c>
      <c r="K1279">
        <v>11412</v>
      </c>
      <c r="L1279" t="s">
        <v>18958</v>
      </c>
      <c r="M1279" t="s">
        <v>18958</v>
      </c>
      <c r="N1279" t="s">
        <v>19917</v>
      </c>
      <c r="O1279" t="s">
        <v>26524</v>
      </c>
      <c r="P1279" t="s">
        <v>26564</v>
      </c>
      <c r="R1279" t="s">
        <v>26584</v>
      </c>
      <c r="S1279" t="s">
        <v>18959</v>
      </c>
      <c r="U1279" t="s">
        <v>26604</v>
      </c>
      <c r="V1279" t="s">
        <v>26610</v>
      </c>
      <c r="W1279" t="s">
        <v>522</v>
      </c>
      <c r="X1279">
        <v>0</v>
      </c>
      <c r="Y1279" t="s">
        <v>26653</v>
      </c>
      <c r="Z1279" t="s">
        <v>26664</v>
      </c>
      <c r="AB1279" t="s">
        <v>27860</v>
      </c>
      <c r="AC1279" t="s">
        <v>19330</v>
      </c>
      <c r="AD1279" t="s">
        <v>37909</v>
      </c>
      <c r="AE1279">
        <v>1</v>
      </c>
      <c r="AF1279" t="s">
        <v>45541</v>
      </c>
      <c r="AG1279" t="s">
        <v>19330</v>
      </c>
      <c r="AH1279">
        <v>8</v>
      </c>
      <c r="AI1279">
        <v>2</v>
      </c>
      <c r="AJ1279">
        <v>2</v>
      </c>
      <c r="AK1279">
        <v>179.28</v>
      </c>
      <c r="AN1279" t="s">
        <v>7439</v>
      </c>
      <c r="AO1279">
        <v>45000</v>
      </c>
      <c r="AU1279">
        <v>1.25</v>
      </c>
      <c r="AV1279" t="s">
        <v>522</v>
      </c>
      <c r="AW1279" t="s">
        <v>161</v>
      </c>
    </row>
    <row r="1280" spans="1:50">
      <c r="A1280" s="1">
        <f>HYPERLINK("https://lsnyc.legalserver.org/matter/dynamic-profile/view/1876117","18-1876117")</f>
        <v>0</v>
      </c>
      <c r="B1280" t="s">
        <v>121</v>
      </c>
      <c r="C1280" t="s">
        <v>340</v>
      </c>
      <c r="D1280" t="s">
        <v>522</v>
      </c>
      <c r="F1280" t="s">
        <v>1228</v>
      </c>
      <c r="G1280" t="s">
        <v>5884</v>
      </c>
      <c r="H1280" t="s">
        <v>10716</v>
      </c>
      <c r="I1280" t="s">
        <v>17624</v>
      </c>
      <c r="J1280" t="s">
        <v>18892</v>
      </c>
      <c r="K1280">
        <v>10467</v>
      </c>
      <c r="L1280" t="s">
        <v>18958</v>
      </c>
      <c r="M1280" t="s">
        <v>18958</v>
      </c>
      <c r="N1280" t="s">
        <v>19918</v>
      </c>
      <c r="O1280" t="s">
        <v>26523</v>
      </c>
      <c r="P1280" t="s">
        <v>26560</v>
      </c>
      <c r="R1280" t="s">
        <v>26579</v>
      </c>
      <c r="U1280" t="s">
        <v>26604</v>
      </c>
      <c r="V1280" t="s">
        <v>26610</v>
      </c>
      <c r="W1280" t="s">
        <v>522</v>
      </c>
      <c r="X1280">
        <v>800</v>
      </c>
      <c r="Y1280" t="s">
        <v>26650</v>
      </c>
      <c r="Z1280" t="s">
        <v>26661</v>
      </c>
      <c r="AB1280" t="s">
        <v>27861</v>
      </c>
      <c r="AC1280" t="s">
        <v>34883</v>
      </c>
      <c r="AD1280" t="s">
        <v>37910</v>
      </c>
      <c r="AE1280">
        <v>6</v>
      </c>
      <c r="AF1280" t="s">
        <v>20460</v>
      </c>
      <c r="AG1280" t="s">
        <v>45560</v>
      </c>
      <c r="AH1280">
        <v>1</v>
      </c>
      <c r="AI1280">
        <v>1</v>
      </c>
      <c r="AJ1280">
        <v>0</v>
      </c>
      <c r="AK1280">
        <v>111.3</v>
      </c>
      <c r="AN1280" t="s">
        <v>7439</v>
      </c>
      <c r="AO1280">
        <v>13512</v>
      </c>
      <c r="AU1280">
        <v>43.3</v>
      </c>
      <c r="AV1280" t="s">
        <v>695</v>
      </c>
      <c r="AW1280" t="s">
        <v>46849</v>
      </c>
    </row>
    <row r="1281" spans="1:50">
      <c r="A1281" s="1">
        <f>HYPERLINK("https://lsnyc.legalserver.org/matter/dynamic-profile/view/1876321","18-1876321")</f>
        <v>0</v>
      </c>
      <c r="B1281" t="s">
        <v>122</v>
      </c>
      <c r="C1281" t="s">
        <v>341</v>
      </c>
      <c r="D1281" t="s">
        <v>493</v>
      </c>
      <c r="E1281" t="s">
        <v>643</v>
      </c>
      <c r="F1281" t="s">
        <v>1691</v>
      </c>
      <c r="G1281" t="s">
        <v>5121</v>
      </c>
      <c r="H1281" t="s">
        <v>10717</v>
      </c>
      <c r="J1281" t="s">
        <v>18898</v>
      </c>
      <c r="K1281">
        <v>11691</v>
      </c>
      <c r="L1281" t="s">
        <v>18958</v>
      </c>
      <c r="M1281" t="s">
        <v>18958</v>
      </c>
      <c r="N1281" t="s">
        <v>19919</v>
      </c>
      <c r="O1281" t="s">
        <v>26524</v>
      </c>
      <c r="P1281" t="s">
        <v>26564</v>
      </c>
      <c r="Q1281" t="s">
        <v>26570</v>
      </c>
      <c r="R1281" t="s">
        <v>26578</v>
      </c>
      <c r="S1281" t="s">
        <v>18959</v>
      </c>
      <c r="U1281" t="s">
        <v>26604</v>
      </c>
      <c r="V1281" t="s">
        <v>26609</v>
      </c>
      <c r="W1281" t="s">
        <v>522</v>
      </c>
      <c r="X1281">
        <v>1600</v>
      </c>
      <c r="Y1281" t="s">
        <v>26653</v>
      </c>
      <c r="Z1281" t="s">
        <v>26664</v>
      </c>
      <c r="AA1281" t="s">
        <v>26683</v>
      </c>
      <c r="AB1281" t="s">
        <v>27862</v>
      </c>
      <c r="AD1281" t="s">
        <v>37911</v>
      </c>
      <c r="AE1281">
        <v>2</v>
      </c>
      <c r="AF1281" t="s">
        <v>45547</v>
      </c>
      <c r="AG1281" t="s">
        <v>19330</v>
      </c>
      <c r="AH1281">
        <v>1</v>
      </c>
      <c r="AI1281">
        <v>4</v>
      </c>
      <c r="AJ1281">
        <v>1</v>
      </c>
      <c r="AK1281">
        <v>169.95</v>
      </c>
      <c r="AN1281" t="s">
        <v>7439</v>
      </c>
      <c r="AO1281">
        <v>50000</v>
      </c>
      <c r="AU1281">
        <v>0.5</v>
      </c>
      <c r="AV1281" t="s">
        <v>493</v>
      </c>
      <c r="AW1281" t="s">
        <v>208</v>
      </c>
    </row>
    <row r="1282" spans="1:50">
      <c r="A1282" s="1">
        <f>HYPERLINK("https://lsnyc.legalserver.org/matter/dynamic-profile/view/1870755","18-1870755")</f>
        <v>0</v>
      </c>
      <c r="B1282" t="s">
        <v>162</v>
      </c>
      <c r="C1282" t="s">
        <v>341</v>
      </c>
      <c r="D1282" t="s">
        <v>548</v>
      </c>
      <c r="E1282" t="s">
        <v>493</v>
      </c>
      <c r="F1282" t="s">
        <v>900</v>
      </c>
      <c r="G1282" t="s">
        <v>5103</v>
      </c>
      <c r="H1282" t="s">
        <v>10718</v>
      </c>
      <c r="I1282" t="s">
        <v>17299</v>
      </c>
      <c r="J1282" t="s">
        <v>18894</v>
      </c>
      <c r="K1282">
        <v>11216</v>
      </c>
      <c r="L1282" t="s">
        <v>18958</v>
      </c>
      <c r="M1282" t="s">
        <v>18958</v>
      </c>
      <c r="N1282" t="s">
        <v>19920</v>
      </c>
      <c r="O1282" t="s">
        <v>26523</v>
      </c>
      <c r="P1282" t="s">
        <v>26560</v>
      </c>
      <c r="Q1282" t="s">
        <v>26573</v>
      </c>
      <c r="R1282" t="s">
        <v>26588</v>
      </c>
      <c r="S1282" t="s">
        <v>18959</v>
      </c>
      <c r="U1282" t="s">
        <v>26604</v>
      </c>
      <c r="V1282" t="s">
        <v>26610</v>
      </c>
      <c r="W1282" t="s">
        <v>493</v>
      </c>
      <c r="X1282">
        <v>1183</v>
      </c>
      <c r="Y1282" t="s">
        <v>26652</v>
      </c>
      <c r="Z1282" t="s">
        <v>26669</v>
      </c>
      <c r="AA1282" t="s">
        <v>26678</v>
      </c>
      <c r="AB1282" t="s">
        <v>27786</v>
      </c>
      <c r="AD1282" t="s">
        <v>37912</v>
      </c>
      <c r="AE1282">
        <v>6</v>
      </c>
      <c r="AF1282" t="s">
        <v>45541</v>
      </c>
      <c r="AG1282" t="s">
        <v>19330</v>
      </c>
      <c r="AH1282">
        <v>15</v>
      </c>
      <c r="AI1282">
        <v>1</v>
      </c>
      <c r="AJ1282">
        <v>1</v>
      </c>
      <c r="AK1282">
        <v>116.65</v>
      </c>
      <c r="AN1282" t="s">
        <v>7439</v>
      </c>
      <c r="AO1282">
        <v>19200</v>
      </c>
      <c r="AQ1282" t="s">
        <v>46359</v>
      </c>
      <c r="AR1282" t="s">
        <v>46380</v>
      </c>
      <c r="AS1282" t="s">
        <v>46499</v>
      </c>
      <c r="AT1282" t="s">
        <v>46659</v>
      </c>
      <c r="AU1282">
        <v>8.6</v>
      </c>
      <c r="AV1282" t="s">
        <v>512</v>
      </c>
      <c r="AW1282" t="s">
        <v>46853</v>
      </c>
    </row>
    <row r="1283" spans="1:50">
      <c r="A1283" s="1">
        <f>HYPERLINK("https://lsnyc.legalserver.org/matter/dynamic-profile/view/1873919","18-1873919")</f>
        <v>0</v>
      </c>
      <c r="B1283" t="s">
        <v>223</v>
      </c>
      <c r="C1283" t="s">
        <v>341</v>
      </c>
      <c r="D1283" t="s">
        <v>469</v>
      </c>
      <c r="E1283" t="s">
        <v>494</v>
      </c>
      <c r="F1283" t="s">
        <v>1692</v>
      </c>
      <c r="G1283" t="s">
        <v>5885</v>
      </c>
      <c r="H1283" t="s">
        <v>10719</v>
      </c>
      <c r="I1283">
        <v>6</v>
      </c>
      <c r="J1283" t="s">
        <v>18893</v>
      </c>
      <c r="K1283">
        <v>10029</v>
      </c>
      <c r="L1283" t="s">
        <v>18958</v>
      </c>
      <c r="M1283" t="s">
        <v>18958</v>
      </c>
      <c r="O1283" t="s">
        <v>18997</v>
      </c>
      <c r="P1283" t="s">
        <v>26564</v>
      </c>
      <c r="Q1283" t="s">
        <v>26570</v>
      </c>
      <c r="R1283" t="s">
        <v>26578</v>
      </c>
      <c r="S1283" t="s">
        <v>18959</v>
      </c>
      <c r="U1283" t="s">
        <v>26604</v>
      </c>
      <c r="V1283" t="s">
        <v>26610</v>
      </c>
      <c r="W1283" t="s">
        <v>493</v>
      </c>
      <c r="X1283">
        <v>1108</v>
      </c>
      <c r="Y1283" t="s">
        <v>26651</v>
      </c>
      <c r="Z1283" t="s">
        <v>26667</v>
      </c>
      <c r="AA1283" t="s">
        <v>26683</v>
      </c>
      <c r="AB1283" t="s">
        <v>27863</v>
      </c>
      <c r="AD1283" t="s">
        <v>37913</v>
      </c>
      <c r="AE1283">
        <v>15</v>
      </c>
      <c r="AF1283" t="s">
        <v>45541</v>
      </c>
      <c r="AG1283" t="s">
        <v>45556</v>
      </c>
      <c r="AH1283">
        <v>11</v>
      </c>
      <c r="AI1283">
        <v>1</v>
      </c>
      <c r="AJ1283">
        <v>1</v>
      </c>
      <c r="AK1283">
        <v>67.91</v>
      </c>
      <c r="AN1283" t="s">
        <v>45581</v>
      </c>
      <c r="AO1283">
        <v>11178</v>
      </c>
      <c r="AU1283">
        <v>3.1</v>
      </c>
      <c r="AV1283" t="s">
        <v>441</v>
      </c>
      <c r="AW1283" t="s">
        <v>46849</v>
      </c>
    </row>
    <row r="1284" spans="1:50">
      <c r="A1284" s="1">
        <f>HYPERLINK("https://lsnyc.legalserver.org/matter/dynamic-profile/view/1874122","18-1874122")</f>
        <v>0</v>
      </c>
      <c r="B1284" t="s">
        <v>172</v>
      </c>
      <c r="C1284" t="s">
        <v>341</v>
      </c>
      <c r="D1284" t="s">
        <v>492</v>
      </c>
      <c r="E1284" t="s">
        <v>452</v>
      </c>
      <c r="F1284" t="s">
        <v>1693</v>
      </c>
      <c r="G1284" t="s">
        <v>5886</v>
      </c>
      <c r="H1284" t="s">
        <v>10720</v>
      </c>
      <c r="I1284" t="s">
        <v>17625</v>
      </c>
      <c r="J1284" t="s">
        <v>18894</v>
      </c>
      <c r="K1284">
        <v>11236</v>
      </c>
      <c r="L1284" t="s">
        <v>18958</v>
      </c>
      <c r="M1284" t="s">
        <v>18958</v>
      </c>
      <c r="N1284" t="s">
        <v>19921</v>
      </c>
      <c r="O1284" t="s">
        <v>26524</v>
      </c>
      <c r="P1284" t="s">
        <v>26560</v>
      </c>
      <c r="Q1284" t="s">
        <v>26575</v>
      </c>
      <c r="R1284" t="s">
        <v>26586</v>
      </c>
      <c r="S1284" t="s">
        <v>18959</v>
      </c>
      <c r="U1284" t="s">
        <v>26604</v>
      </c>
      <c r="W1284" t="s">
        <v>493</v>
      </c>
      <c r="X1284">
        <v>700</v>
      </c>
      <c r="Y1284" t="s">
        <v>26652</v>
      </c>
      <c r="Z1284" t="s">
        <v>26664</v>
      </c>
      <c r="AA1284" t="s">
        <v>26678</v>
      </c>
      <c r="AB1284" t="s">
        <v>27864</v>
      </c>
      <c r="AC1284" t="s">
        <v>34884</v>
      </c>
      <c r="AD1284" t="s">
        <v>37914</v>
      </c>
      <c r="AE1284">
        <v>7</v>
      </c>
      <c r="AF1284" t="s">
        <v>45547</v>
      </c>
      <c r="AG1284" t="s">
        <v>19330</v>
      </c>
      <c r="AH1284">
        <v>-1</v>
      </c>
      <c r="AI1284">
        <v>1</v>
      </c>
      <c r="AJ1284">
        <v>0</v>
      </c>
      <c r="AK1284">
        <v>0</v>
      </c>
      <c r="AN1284" t="s">
        <v>7439</v>
      </c>
      <c r="AO1284">
        <v>0</v>
      </c>
      <c r="AS1284" t="s">
        <v>46499</v>
      </c>
      <c r="AT1284" t="s">
        <v>46685</v>
      </c>
      <c r="AU1284">
        <v>29.5</v>
      </c>
      <c r="AV1284" t="s">
        <v>517</v>
      </c>
      <c r="AW1284" t="s">
        <v>237</v>
      </c>
    </row>
    <row r="1285" spans="1:50">
      <c r="A1285" s="1">
        <f>HYPERLINK("https://lsnyc.legalserver.org/matter/dynamic-profile/view/1874292","18-1874292")</f>
        <v>0</v>
      </c>
      <c r="B1285" t="s">
        <v>143</v>
      </c>
      <c r="C1285" t="s">
        <v>341</v>
      </c>
      <c r="D1285" t="s">
        <v>500</v>
      </c>
      <c r="E1285" t="s">
        <v>606</v>
      </c>
      <c r="F1285" t="s">
        <v>1080</v>
      </c>
      <c r="G1285" t="s">
        <v>5191</v>
      </c>
      <c r="H1285" t="s">
        <v>10721</v>
      </c>
      <c r="I1285">
        <v>2</v>
      </c>
      <c r="J1285" t="s">
        <v>18892</v>
      </c>
      <c r="K1285">
        <v>10459</v>
      </c>
      <c r="L1285" t="s">
        <v>18958</v>
      </c>
      <c r="M1285" t="s">
        <v>18958</v>
      </c>
      <c r="N1285" t="s">
        <v>19922</v>
      </c>
      <c r="O1285" t="s">
        <v>26523</v>
      </c>
      <c r="P1285" t="s">
        <v>26564</v>
      </c>
      <c r="Q1285" t="s">
        <v>26570</v>
      </c>
      <c r="R1285" t="s">
        <v>26577</v>
      </c>
      <c r="S1285" t="s">
        <v>18959</v>
      </c>
      <c r="U1285" t="s">
        <v>26604</v>
      </c>
      <c r="V1285" t="s">
        <v>26610</v>
      </c>
      <c r="W1285" t="s">
        <v>493</v>
      </c>
      <c r="X1285">
        <v>1900</v>
      </c>
      <c r="Y1285" t="s">
        <v>26650</v>
      </c>
      <c r="Z1285" t="s">
        <v>26656</v>
      </c>
      <c r="AA1285" t="s">
        <v>26683</v>
      </c>
      <c r="AB1285" t="s">
        <v>27865</v>
      </c>
      <c r="AD1285" t="s">
        <v>37915</v>
      </c>
      <c r="AE1285">
        <v>3</v>
      </c>
      <c r="AF1285" t="s">
        <v>45545</v>
      </c>
      <c r="AG1285" t="s">
        <v>19330</v>
      </c>
      <c r="AH1285">
        <v>3</v>
      </c>
      <c r="AI1285">
        <v>6</v>
      </c>
      <c r="AJ1285">
        <v>1</v>
      </c>
      <c r="AK1285">
        <v>197.58</v>
      </c>
      <c r="AN1285" t="s">
        <v>45581</v>
      </c>
      <c r="AO1285">
        <v>75200</v>
      </c>
      <c r="AU1285">
        <v>5.2</v>
      </c>
      <c r="AV1285" t="s">
        <v>583</v>
      </c>
      <c r="AW1285" t="s">
        <v>46836</v>
      </c>
    </row>
    <row r="1286" spans="1:50">
      <c r="A1286" s="1">
        <f>HYPERLINK("https://lsnyc.legalserver.org/matter/dynamic-profile/view/1876149","18-1876149")</f>
        <v>0</v>
      </c>
      <c r="B1286" t="s">
        <v>170</v>
      </c>
      <c r="C1286" t="s">
        <v>341</v>
      </c>
      <c r="D1286" t="s">
        <v>522</v>
      </c>
      <c r="E1286" t="s">
        <v>493</v>
      </c>
      <c r="F1286" t="s">
        <v>1694</v>
      </c>
      <c r="G1286" t="s">
        <v>5887</v>
      </c>
      <c r="H1286" t="s">
        <v>10722</v>
      </c>
      <c r="I1286">
        <v>3</v>
      </c>
      <c r="J1286" t="s">
        <v>18894</v>
      </c>
      <c r="K1286">
        <v>11216</v>
      </c>
      <c r="L1286" t="s">
        <v>18958</v>
      </c>
      <c r="M1286" t="s">
        <v>18958</v>
      </c>
      <c r="N1286" t="s">
        <v>19923</v>
      </c>
      <c r="O1286" t="s">
        <v>26523</v>
      </c>
      <c r="P1286" t="s">
        <v>26564</v>
      </c>
      <c r="Q1286" t="s">
        <v>26570</v>
      </c>
      <c r="R1286" t="s">
        <v>26588</v>
      </c>
      <c r="U1286" t="s">
        <v>26604</v>
      </c>
      <c r="W1286" t="s">
        <v>493</v>
      </c>
      <c r="X1286">
        <v>1300</v>
      </c>
      <c r="Y1286" t="s">
        <v>26652</v>
      </c>
      <c r="Z1286" t="s">
        <v>26664</v>
      </c>
      <c r="AA1286" t="s">
        <v>26683</v>
      </c>
      <c r="AB1286" t="s">
        <v>27389</v>
      </c>
      <c r="AD1286" t="s">
        <v>37916</v>
      </c>
      <c r="AE1286">
        <v>3</v>
      </c>
      <c r="AH1286">
        <v>10</v>
      </c>
      <c r="AI1286">
        <v>2</v>
      </c>
      <c r="AJ1286">
        <v>0</v>
      </c>
      <c r="AK1286">
        <v>0</v>
      </c>
      <c r="AN1286" t="s">
        <v>7439</v>
      </c>
      <c r="AO1286">
        <v>0</v>
      </c>
      <c r="AU1286">
        <v>3</v>
      </c>
      <c r="AV1286" t="s">
        <v>493</v>
      </c>
      <c r="AW1286" t="s">
        <v>46862</v>
      </c>
    </row>
    <row r="1287" spans="1:50">
      <c r="A1287" s="1">
        <f>HYPERLINK("https://lsnyc.legalserver.org/matter/dynamic-profile/view/1876342","18-1876342")</f>
        <v>0</v>
      </c>
      <c r="B1287" t="s">
        <v>61</v>
      </c>
      <c r="C1287" t="s">
        <v>341</v>
      </c>
      <c r="D1287" t="s">
        <v>493</v>
      </c>
      <c r="E1287" t="s">
        <v>847</v>
      </c>
      <c r="F1287" t="s">
        <v>1650</v>
      </c>
      <c r="G1287" t="s">
        <v>5888</v>
      </c>
      <c r="H1287" t="s">
        <v>10723</v>
      </c>
      <c r="I1287" t="s">
        <v>17274</v>
      </c>
      <c r="J1287" t="s">
        <v>18893</v>
      </c>
      <c r="K1287">
        <v>10034</v>
      </c>
      <c r="L1287" t="s">
        <v>18958</v>
      </c>
      <c r="M1287" t="s">
        <v>18958</v>
      </c>
      <c r="P1287" t="s">
        <v>26564</v>
      </c>
      <c r="Q1287" t="s">
        <v>26570</v>
      </c>
      <c r="R1287" t="s">
        <v>26578</v>
      </c>
      <c r="S1287" t="s">
        <v>18959</v>
      </c>
      <c r="U1287" t="s">
        <v>26604</v>
      </c>
      <c r="W1287" t="s">
        <v>493</v>
      </c>
      <c r="X1287">
        <v>1795</v>
      </c>
      <c r="Y1287" t="s">
        <v>26651</v>
      </c>
      <c r="Z1287" t="s">
        <v>26661</v>
      </c>
      <c r="AA1287" t="s">
        <v>26683</v>
      </c>
      <c r="AB1287" t="s">
        <v>27866</v>
      </c>
      <c r="AD1287" t="s">
        <v>37917</v>
      </c>
      <c r="AE1287">
        <v>28</v>
      </c>
      <c r="AF1287" t="s">
        <v>45541</v>
      </c>
      <c r="AG1287" t="s">
        <v>19330</v>
      </c>
      <c r="AH1287">
        <v>2</v>
      </c>
      <c r="AI1287">
        <v>2</v>
      </c>
      <c r="AJ1287">
        <v>0</v>
      </c>
      <c r="AK1287">
        <v>413.12</v>
      </c>
      <c r="AN1287" t="s">
        <v>7439</v>
      </c>
      <c r="AO1287">
        <v>68000</v>
      </c>
      <c r="AU1287">
        <v>2.3</v>
      </c>
      <c r="AV1287" t="s">
        <v>847</v>
      </c>
      <c r="AW1287" t="s">
        <v>46840</v>
      </c>
      <c r="AX1287" t="s">
        <v>46897</v>
      </c>
    </row>
    <row r="1288" spans="1:50">
      <c r="A1288" s="1">
        <f>HYPERLINK("https://lsnyc.legalserver.org/matter/dynamic-profile/view/1876295","18-1876295")</f>
        <v>0</v>
      </c>
      <c r="B1288" t="s">
        <v>169</v>
      </c>
      <c r="C1288" t="s">
        <v>341</v>
      </c>
      <c r="D1288" t="s">
        <v>493</v>
      </c>
      <c r="E1288" t="s">
        <v>493</v>
      </c>
      <c r="F1288" t="s">
        <v>1111</v>
      </c>
      <c r="G1288" t="s">
        <v>5473</v>
      </c>
      <c r="H1288" t="s">
        <v>10724</v>
      </c>
      <c r="I1288" t="s">
        <v>17293</v>
      </c>
      <c r="J1288" t="s">
        <v>18892</v>
      </c>
      <c r="K1288">
        <v>10459</v>
      </c>
      <c r="L1288" t="s">
        <v>18958</v>
      </c>
      <c r="M1288" t="s">
        <v>18958</v>
      </c>
      <c r="N1288" t="s">
        <v>19924</v>
      </c>
      <c r="O1288" t="s">
        <v>26524</v>
      </c>
      <c r="P1288" t="s">
        <v>26565</v>
      </c>
      <c r="Q1288" t="s">
        <v>26571</v>
      </c>
      <c r="R1288" t="s">
        <v>26578</v>
      </c>
      <c r="S1288" t="s">
        <v>18959</v>
      </c>
      <c r="U1288" t="s">
        <v>26604</v>
      </c>
      <c r="V1288" t="s">
        <v>26610</v>
      </c>
      <c r="W1288" t="s">
        <v>493</v>
      </c>
      <c r="X1288">
        <v>909.48</v>
      </c>
      <c r="Y1288" t="s">
        <v>26650</v>
      </c>
      <c r="Z1288" t="s">
        <v>26659</v>
      </c>
      <c r="AA1288" t="s">
        <v>26683</v>
      </c>
      <c r="AB1288" t="s">
        <v>27867</v>
      </c>
      <c r="AC1288" t="s">
        <v>34885</v>
      </c>
      <c r="AD1288" t="s">
        <v>37918</v>
      </c>
      <c r="AE1288">
        <v>20</v>
      </c>
      <c r="AF1288" t="s">
        <v>45541</v>
      </c>
      <c r="AG1288" t="s">
        <v>45556</v>
      </c>
      <c r="AH1288">
        <v>11</v>
      </c>
      <c r="AI1288">
        <v>1</v>
      </c>
      <c r="AJ1288">
        <v>1</v>
      </c>
      <c r="AK1288">
        <v>69.11</v>
      </c>
      <c r="AN1288" t="s">
        <v>7439</v>
      </c>
      <c r="AO1288">
        <v>11376</v>
      </c>
      <c r="AP1288" t="s">
        <v>45701</v>
      </c>
      <c r="AU1288">
        <v>1</v>
      </c>
      <c r="AV1288" t="s">
        <v>493</v>
      </c>
      <c r="AW1288" t="s">
        <v>46836</v>
      </c>
    </row>
    <row r="1289" spans="1:50">
      <c r="A1289" s="1">
        <f>HYPERLINK("https://lsnyc.legalserver.org/matter/dynamic-profile/view/1876355","18-1876355")</f>
        <v>0</v>
      </c>
      <c r="B1289" t="s">
        <v>130</v>
      </c>
      <c r="C1289" t="s">
        <v>341</v>
      </c>
      <c r="D1289" t="s">
        <v>493</v>
      </c>
      <c r="E1289" t="s">
        <v>414</v>
      </c>
      <c r="F1289" t="s">
        <v>1587</v>
      </c>
      <c r="G1289" t="s">
        <v>5889</v>
      </c>
      <c r="H1289" t="s">
        <v>10725</v>
      </c>
      <c r="J1289" t="s">
        <v>18901</v>
      </c>
      <c r="K1289">
        <v>11433</v>
      </c>
      <c r="L1289" t="s">
        <v>18958</v>
      </c>
      <c r="M1289" t="s">
        <v>18958</v>
      </c>
      <c r="N1289" t="s">
        <v>19925</v>
      </c>
      <c r="O1289" t="s">
        <v>26524</v>
      </c>
      <c r="P1289" t="s">
        <v>26560</v>
      </c>
      <c r="Q1289" t="s">
        <v>26568</v>
      </c>
      <c r="R1289" t="s">
        <v>26585</v>
      </c>
      <c r="S1289" t="s">
        <v>18959</v>
      </c>
      <c r="U1289" t="s">
        <v>26604</v>
      </c>
      <c r="V1289" t="s">
        <v>26610</v>
      </c>
      <c r="W1289" t="s">
        <v>493</v>
      </c>
      <c r="X1289">
        <v>865</v>
      </c>
      <c r="Y1289" t="s">
        <v>26653</v>
      </c>
      <c r="Z1289" t="s">
        <v>26668</v>
      </c>
      <c r="AA1289" t="s">
        <v>26679</v>
      </c>
      <c r="AB1289" t="s">
        <v>27868</v>
      </c>
      <c r="AC1289" t="s">
        <v>34886</v>
      </c>
      <c r="AD1289" t="s">
        <v>37919</v>
      </c>
      <c r="AE1289">
        <v>3</v>
      </c>
      <c r="AF1289" t="s">
        <v>45547</v>
      </c>
      <c r="AG1289" t="s">
        <v>45562</v>
      </c>
      <c r="AH1289">
        <v>1</v>
      </c>
      <c r="AI1289">
        <v>1</v>
      </c>
      <c r="AJ1289">
        <v>0</v>
      </c>
      <c r="AK1289">
        <v>17.79</v>
      </c>
      <c r="AN1289" t="s">
        <v>7439</v>
      </c>
      <c r="AO1289">
        <v>2160</v>
      </c>
      <c r="AQ1289" t="s">
        <v>46365</v>
      </c>
      <c r="AR1289" t="s">
        <v>26530</v>
      </c>
      <c r="AS1289" t="s">
        <v>46500</v>
      </c>
      <c r="AT1289" t="s">
        <v>46648</v>
      </c>
      <c r="AU1289">
        <v>14.85</v>
      </c>
      <c r="AV1289" t="s">
        <v>414</v>
      </c>
      <c r="AW1289" t="s">
        <v>208</v>
      </c>
    </row>
    <row r="1290" spans="1:50">
      <c r="A1290" s="1">
        <f>HYPERLINK("https://lsnyc.legalserver.org/matter/dynamic-profile/view/1876305","18-1876305")</f>
        <v>0</v>
      </c>
      <c r="B1290" t="s">
        <v>108</v>
      </c>
      <c r="C1290" t="s">
        <v>341</v>
      </c>
      <c r="D1290" t="s">
        <v>493</v>
      </c>
      <c r="E1290" t="s">
        <v>586</v>
      </c>
      <c r="F1290" t="s">
        <v>1695</v>
      </c>
      <c r="G1290" t="s">
        <v>5890</v>
      </c>
      <c r="H1290" t="s">
        <v>10726</v>
      </c>
      <c r="I1290">
        <v>1</v>
      </c>
      <c r="J1290" t="s">
        <v>18904</v>
      </c>
      <c r="K1290">
        <v>11421</v>
      </c>
      <c r="L1290" t="s">
        <v>18958</v>
      </c>
      <c r="M1290" t="s">
        <v>18958</v>
      </c>
      <c r="N1290" t="s">
        <v>19926</v>
      </c>
      <c r="O1290" t="s">
        <v>26523</v>
      </c>
      <c r="P1290" t="s">
        <v>26560</v>
      </c>
      <c r="Q1290" t="s">
        <v>26568</v>
      </c>
      <c r="R1290" t="s">
        <v>26584</v>
      </c>
      <c r="S1290" t="s">
        <v>18959</v>
      </c>
      <c r="U1290" t="s">
        <v>26604</v>
      </c>
      <c r="V1290" t="s">
        <v>26614</v>
      </c>
      <c r="W1290" t="s">
        <v>493</v>
      </c>
      <c r="X1290">
        <v>1800</v>
      </c>
      <c r="Y1290" t="s">
        <v>26653</v>
      </c>
      <c r="Z1290" t="s">
        <v>26664</v>
      </c>
      <c r="AA1290" t="s">
        <v>26679</v>
      </c>
      <c r="AB1290" t="s">
        <v>27869</v>
      </c>
      <c r="AD1290" t="s">
        <v>37920</v>
      </c>
      <c r="AE1290">
        <v>0</v>
      </c>
      <c r="AF1290" t="s">
        <v>45547</v>
      </c>
      <c r="AG1290" t="s">
        <v>19330</v>
      </c>
      <c r="AH1290">
        <v>3</v>
      </c>
      <c r="AI1290">
        <v>3</v>
      </c>
      <c r="AJ1290">
        <v>3</v>
      </c>
      <c r="AK1290">
        <v>171.9</v>
      </c>
      <c r="AN1290" t="s">
        <v>7439</v>
      </c>
      <c r="AO1290">
        <v>58000</v>
      </c>
      <c r="AR1290" t="s">
        <v>46417</v>
      </c>
      <c r="AS1290" t="s">
        <v>46500</v>
      </c>
      <c r="AT1290" t="s">
        <v>46634</v>
      </c>
      <c r="AU1290">
        <v>3.6</v>
      </c>
      <c r="AV1290" t="s">
        <v>412</v>
      </c>
      <c r="AW1290" t="s">
        <v>208</v>
      </c>
    </row>
    <row r="1291" spans="1:50">
      <c r="A1291" s="1">
        <f>HYPERLINK("https://lsnyc.legalserver.org/matter/dynamic-profile/view/1876345","18-1876345")</f>
        <v>0</v>
      </c>
      <c r="B1291" t="s">
        <v>167</v>
      </c>
      <c r="C1291" t="s">
        <v>341</v>
      </c>
      <c r="D1291" t="s">
        <v>493</v>
      </c>
      <c r="E1291" t="s">
        <v>576</v>
      </c>
      <c r="F1291" t="s">
        <v>1514</v>
      </c>
      <c r="G1291" t="s">
        <v>5891</v>
      </c>
      <c r="H1291" t="s">
        <v>10727</v>
      </c>
      <c r="I1291" t="s">
        <v>17416</v>
      </c>
      <c r="J1291" t="s">
        <v>18898</v>
      </c>
      <c r="K1291">
        <v>11691</v>
      </c>
      <c r="L1291" t="s">
        <v>18958</v>
      </c>
      <c r="M1291" t="s">
        <v>18958</v>
      </c>
      <c r="N1291" t="s">
        <v>19927</v>
      </c>
      <c r="O1291" t="s">
        <v>26524</v>
      </c>
      <c r="P1291" t="s">
        <v>26564</v>
      </c>
      <c r="Q1291" t="s">
        <v>26570</v>
      </c>
      <c r="R1291" t="s">
        <v>26578</v>
      </c>
      <c r="S1291" t="s">
        <v>18959</v>
      </c>
      <c r="U1291" t="s">
        <v>26604</v>
      </c>
      <c r="V1291" t="s">
        <v>26610</v>
      </c>
      <c r="W1291" t="s">
        <v>493</v>
      </c>
      <c r="X1291">
        <v>1400</v>
      </c>
      <c r="Y1291" t="s">
        <v>26653</v>
      </c>
      <c r="Z1291" t="s">
        <v>26664</v>
      </c>
      <c r="AA1291" t="s">
        <v>26683</v>
      </c>
      <c r="AB1291" t="s">
        <v>27870</v>
      </c>
      <c r="AC1291" t="s">
        <v>34887</v>
      </c>
      <c r="AD1291" t="s">
        <v>37921</v>
      </c>
      <c r="AE1291">
        <v>2</v>
      </c>
      <c r="AF1291" t="s">
        <v>45547</v>
      </c>
      <c r="AG1291" t="s">
        <v>45561</v>
      </c>
      <c r="AH1291">
        <v>5</v>
      </c>
      <c r="AI1291">
        <v>2</v>
      </c>
      <c r="AJ1291">
        <v>0</v>
      </c>
      <c r="AK1291">
        <v>54.68</v>
      </c>
      <c r="AN1291" t="s">
        <v>7439</v>
      </c>
      <c r="AO1291">
        <v>9000</v>
      </c>
      <c r="AU1291">
        <v>1.35</v>
      </c>
      <c r="AV1291" t="s">
        <v>523</v>
      </c>
      <c r="AW1291" t="s">
        <v>161</v>
      </c>
    </row>
    <row r="1292" spans="1:50">
      <c r="A1292" s="1">
        <f>HYPERLINK("https://lsnyc.legalserver.org/matter/dynamic-profile/view/1876271","18-1876271")</f>
        <v>0</v>
      </c>
      <c r="B1292" t="s">
        <v>234</v>
      </c>
      <c r="C1292" t="s">
        <v>341</v>
      </c>
      <c r="D1292" t="s">
        <v>493</v>
      </c>
      <c r="E1292" t="s">
        <v>777</v>
      </c>
      <c r="F1292" t="s">
        <v>1696</v>
      </c>
      <c r="G1292" t="s">
        <v>5375</v>
      </c>
      <c r="H1292" t="s">
        <v>10728</v>
      </c>
      <c r="I1292" t="s">
        <v>17626</v>
      </c>
      <c r="J1292" t="s">
        <v>18893</v>
      </c>
      <c r="K1292">
        <v>10027</v>
      </c>
      <c r="L1292" t="s">
        <v>18958</v>
      </c>
      <c r="M1292" t="s">
        <v>18958</v>
      </c>
      <c r="N1292" t="s">
        <v>19928</v>
      </c>
      <c r="O1292" t="s">
        <v>26523</v>
      </c>
      <c r="P1292" t="s">
        <v>26560</v>
      </c>
      <c r="Q1292" t="s">
        <v>26568</v>
      </c>
      <c r="R1292" t="s">
        <v>26580</v>
      </c>
      <c r="S1292" t="s">
        <v>18959</v>
      </c>
      <c r="U1292" t="s">
        <v>26605</v>
      </c>
      <c r="V1292" t="s">
        <v>26610</v>
      </c>
      <c r="W1292" t="s">
        <v>493</v>
      </c>
      <c r="X1292">
        <v>402</v>
      </c>
      <c r="Y1292" t="s">
        <v>26651</v>
      </c>
      <c r="Z1292" t="s">
        <v>26664</v>
      </c>
      <c r="AA1292" t="s">
        <v>26680</v>
      </c>
      <c r="AB1292" t="s">
        <v>27871</v>
      </c>
      <c r="AC1292" t="s">
        <v>34888</v>
      </c>
      <c r="AD1292" t="s">
        <v>37922</v>
      </c>
      <c r="AE1292">
        <v>0</v>
      </c>
      <c r="AF1292" t="s">
        <v>45549</v>
      </c>
      <c r="AG1292" t="s">
        <v>26530</v>
      </c>
      <c r="AH1292">
        <v>32</v>
      </c>
      <c r="AI1292">
        <v>2</v>
      </c>
      <c r="AJ1292">
        <v>1</v>
      </c>
      <c r="AK1292">
        <v>64.69</v>
      </c>
      <c r="AO1292">
        <v>13442</v>
      </c>
      <c r="AS1292" t="s">
        <v>46499</v>
      </c>
      <c r="AU1292">
        <v>16.4</v>
      </c>
      <c r="AV1292" t="s">
        <v>775</v>
      </c>
      <c r="AW1292" t="s">
        <v>317</v>
      </c>
    </row>
    <row r="1293" spans="1:50">
      <c r="A1293" s="1">
        <f>HYPERLINK("https://lsnyc.legalserver.org/matter/dynamic-profile/view/1876282","18-1876282")</f>
        <v>0</v>
      </c>
      <c r="B1293" t="s">
        <v>93</v>
      </c>
      <c r="C1293" t="s">
        <v>341</v>
      </c>
      <c r="D1293" t="s">
        <v>493</v>
      </c>
      <c r="E1293" t="s">
        <v>802</v>
      </c>
      <c r="F1293" t="s">
        <v>1697</v>
      </c>
      <c r="G1293" t="s">
        <v>5773</v>
      </c>
      <c r="H1293" t="s">
        <v>10729</v>
      </c>
      <c r="I1293">
        <v>405</v>
      </c>
      <c r="J1293" t="s">
        <v>18909</v>
      </c>
      <c r="K1293">
        <v>11101</v>
      </c>
      <c r="L1293" t="s">
        <v>18958</v>
      </c>
      <c r="M1293" t="s">
        <v>18958</v>
      </c>
      <c r="N1293" t="s">
        <v>19929</v>
      </c>
      <c r="O1293" t="s">
        <v>26523</v>
      </c>
      <c r="P1293" t="s">
        <v>26560</v>
      </c>
      <c r="Q1293" t="s">
        <v>26568</v>
      </c>
      <c r="R1293" t="s">
        <v>26578</v>
      </c>
      <c r="S1293" t="s">
        <v>18959</v>
      </c>
      <c r="U1293" t="s">
        <v>26604</v>
      </c>
      <c r="V1293" t="s">
        <v>26610</v>
      </c>
      <c r="W1293" t="s">
        <v>493</v>
      </c>
      <c r="X1293">
        <v>913</v>
      </c>
      <c r="Y1293" t="s">
        <v>26653</v>
      </c>
      <c r="Z1293" t="s">
        <v>26664</v>
      </c>
      <c r="AA1293" t="s">
        <v>26678</v>
      </c>
      <c r="AB1293" t="s">
        <v>27872</v>
      </c>
      <c r="AC1293" t="s">
        <v>34889</v>
      </c>
      <c r="AD1293" t="s">
        <v>37923</v>
      </c>
      <c r="AE1293">
        <v>143</v>
      </c>
      <c r="AF1293" t="s">
        <v>20460</v>
      </c>
      <c r="AG1293" t="s">
        <v>45562</v>
      </c>
      <c r="AH1293">
        <v>1</v>
      </c>
      <c r="AI1293">
        <v>1</v>
      </c>
      <c r="AJ1293">
        <v>2</v>
      </c>
      <c r="AK1293">
        <v>0</v>
      </c>
      <c r="AN1293" t="s">
        <v>7439</v>
      </c>
      <c r="AO1293">
        <v>0</v>
      </c>
      <c r="AQ1293" t="s">
        <v>46362</v>
      </c>
      <c r="AR1293" t="s">
        <v>46436</v>
      </c>
      <c r="AS1293" t="s">
        <v>46499</v>
      </c>
      <c r="AT1293" t="s">
        <v>46506</v>
      </c>
      <c r="AU1293">
        <v>24.05</v>
      </c>
      <c r="AV1293" t="s">
        <v>737</v>
      </c>
      <c r="AW1293" t="s">
        <v>208</v>
      </c>
    </row>
    <row r="1294" spans="1:50">
      <c r="A1294" s="1">
        <f>HYPERLINK("https://lsnyc.legalserver.org/matter/dynamic-profile/view/1876364","18-1876364")</f>
        <v>0</v>
      </c>
      <c r="B1294" t="s">
        <v>171</v>
      </c>
      <c r="C1294" t="s">
        <v>341</v>
      </c>
      <c r="D1294" t="s">
        <v>493</v>
      </c>
      <c r="E1294" t="s">
        <v>583</v>
      </c>
      <c r="F1294" t="s">
        <v>893</v>
      </c>
      <c r="G1294" t="s">
        <v>879</v>
      </c>
      <c r="H1294" t="s">
        <v>10730</v>
      </c>
      <c r="I1294" t="s">
        <v>17627</v>
      </c>
      <c r="J1294" t="s">
        <v>18893</v>
      </c>
      <c r="K1294">
        <v>10027</v>
      </c>
      <c r="L1294" t="s">
        <v>18958</v>
      </c>
      <c r="M1294" t="s">
        <v>18960</v>
      </c>
      <c r="N1294" t="s">
        <v>19930</v>
      </c>
      <c r="O1294" t="s">
        <v>26524</v>
      </c>
      <c r="P1294" t="s">
        <v>26564</v>
      </c>
      <c r="Q1294" t="s">
        <v>26570</v>
      </c>
      <c r="R1294" t="s">
        <v>26580</v>
      </c>
      <c r="S1294" t="s">
        <v>18959</v>
      </c>
      <c r="U1294" t="s">
        <v>26605</v>
      </c>
      <c r="W1294" t="s">
        <v>493</v>
      </c>
      <c r="X1294">
        <v>415</v>
      </c>
      <c r="Y1294" t="s">
        <v>26651</v>
      </c>
      <c r="Z1294" t="s">
        <v>26664</v>
      </c>
      <c r="AA1294" t="s">
        <v>26683</v>
      </c>
      <c r="AB1294" t="s">
        <v>27873</v>
      </c>
      <c r="AD1294" t="s">
        <v>37924</v>
      </c>
      <c r="AE1294">
        <v>0</v>
      </c>
      <c r="AF1294" t="s">
        <v>45549</v>
      </c>
      <c r="AG1294" t="s">
        <v>19330</v>
      </c>
      <c r="AH1294">
        <v>62</v>
      </c>
      <c r="AI1294">
        <v>2</v>
      </c>
      <c r="AJ1294">
        <v>0</v>
      </c>
      <c r="AK1294">
        <v>72.76000000000001</v>
      </c>
      <c r="AO1294">
        <v>11976</v>
      </c>
      <c r="AU1294">
        <v>0.5</v>
      </c>
      <c r="AV1294" t="s">
        <v>530</v>
      </c>
      <c r="AW1294" t="s">
        <v>317</v>
      </c>
      <c r="AX1294" t="s">
        <v>46897</v>
      </c>
    </row>
    <row r="1295" spans="1:50">
      <c r="A1295" s="1">
        <f>HYPERLINK("https://lsnyc.legalserver.org/matter/dynamic-profile/view/1876349","18-1876349")</f>
        <v>0</v>
      </c>
      <c r="B1295" t="s">
        <v>110</v>
      </c>
      <c r="C1295" t="s">
        <v>341</v>
      </c>
      <c r="D1295" t="s">
        <v>493</v>
      </c>
      <c r="E1295" t="s">
        <v>494</v>
      </c>
      <c r="F1295" t="s">
        <v>933</v>
      </c>
      <c r="G1295" t="s">
        <v>5892</v>
      </c>
      <c r="H1295" t="s">
        <v>10731</v>
      </c>
      <c r="I1295" t="s">
        <v>17628</v>
      </c>
      <c r="J1295" t="s">
        <v>18901</v>
      </c>
      <c r="K1295">
        <v>11434</v>
      </c>
      <c r="L1295" t="s">
        <v>18958</v>
      </c>
      <c r="M1295" t="s">
        <v>18958</v>
      </c>
      <c r="N1295" t="s">
        <v>19931</v>
      </c>
      <c r="O1295" t="s">
        <v>26523</v>
      </c>
      <c r="P1295" t="s">
        <v>26560</v>
      </c>
      <c r="Q1295" t="s">
        <v>26568</v>
      </c>
      <c r="R1295" t="s">
        <v>26585</v>
      </c>
      <c r="S1295" t="s">
        <v>18959</v>
      </c>
      <c r="U1295" t="s">
        <v>26604</v>
      </c>
      <c r="V1295" t="s">
        <v>26610</v>
      </c>
      <c r="W1295" t="s">
        <v>493</v>
      </c>
      <c r="X1295">
        <v>961</v>
      </c>
      <c r="Y1295" t="s">
        <v>26653</v>
      </c>
      <c r="Z1295" t="s">
        <v>26664</v>
      </c>
      <c r="AA1295" t="s">
        <v>26678</v>
      </c>
      <c r="AB1295" t="s">
        <v>26816</v>
      </c>
      <c r="AC1295" t="s">
        <v>19045</v>
      </c>
      <c r="AD1295" t="s">
        <v>37925</v>
      </c>
      <c r="AE1295">
        <v>0</v>
      </c>
      <c r="AF1295" t="s">
        <v>45550</v>
      </c>
      <c r="AG1295" t="s">
        <v>19330</v>
      </c>
      <c r="AH1295">
        <v>51</v>
      </c>
      <c r="AI1295">
        <v>1</v>
      </c>
      <c r="AJ1295">
        <v>0</v>
      </c>
      <c r="AK1295">
        <v>79.08</v>
      </c>
      <c r="AN1295" t="s">
        <v>7439</v>
      </c>
      <c r="AO1295">
        <v>9600</v>
      </c>
      <c r="AR1295" t="s">
        <v>46381</v>
      </c>
      <c r="AS1295" t="s">
        <v>46499</v>
      </c>
      <c r="AT1295" t="s">
        <v>46514</v>
      </c>
      <c r="AU1295">
        <v>2.25</v>
      </c>
      <c r="AV1295" t="s">
        <v>606</v>
      </c>
      <c r="AW1295" t="s">
        <v>208</v>
      </c>
    </row>
    <row r="1296" spans="1:50">
      <c r="A1296" s="1">
        <f>HYPERLINK("https://lsnyc.legalserver.org/matter/dynamic-profile/view/1876376","18-1876376")</f>
        <v>0</v>
      </c>
      <c r="B1296" t="s">
        <v>142</v>
      </c>
      <c r="C1296" t="s">
        <v>341</v>
      </c>
      <c r="D1296" t="s">
        <v>493</v>
      </c>
      <c r="E1296" t="s">
        <v>712</v>
      </c>
      <c r="F1296" t="s">
        <v>1096</v>
      </c>
      <c r="G1296" t="s">
        <v>5126</v>
      </c>
      <c r="H1296" t="s">
        <v>10732</v>
      </c>
      <c r="I1296" t="s">
        <v>17629</v>
      </c>
      <c r="J1296" t="s">
        <v>18938</v>
      </c>
      <c r="K1296">
        <v>11106</v>
      </c>
      <c r="L1296" t="s">
        <v>18958</v>
      </c>
      <c r="M1296" t="s">
        <v>18958</v>
      </c>
      <c r="N1296" t="s">
        <v>19932</v>
      </c>
      <c r="O1296" t="s">
        <v>26523</v>
      </c>
      <c r="P1296" t="s">
        <v>26560</v>
      </c>
      <c r="Q1296" t="s">
        <v>26568</v>
      </c>
      <c r="R1296" t="s">
        <v>26584</v>
      </c>
      <c r="S1296" t="s">
        <v>18959</v>
      </c>
      <c r="U1296" t="s">
        <v>26604</v>
      </c>
      <c r="V1296" t="s">
        <v>26610</v>
      </c>
      <c r="W1296" t="s">
        <v>493</v>
      </c>
      <c r="X1296">
        <v>233</v>
      </c>
      <c r="Y1296" t="s">
        <v>26653</v>
      </c>
      <c r="Z1296" t="s">
        <v>26664</v>
      </c>
      <c r="AA1296" t="s">
        <v>26680</v>
      </c>
      <c r="AB1296" t="s">
        <v>27874</v>
      </c>
      <c r="AC1296" t="s">
        <v>34890</v>
      </c>
      <c r="AD1296" t="s">
        <v>37926</v>
      </c>
      <c r="AE1296">
        <v>96</v>
      </c>
      <c r="AF1296" t="s">
        <v>45549</v>
      </c>
      <c r="AG1296" t="s">
        <v>19330</v>
      </c>
      <c r="AH1296">
        <v>12</v>
      </c>
      <c r="AI1296">
        <v>1</v>
      </c>
      <c r="AJ1296">
        <v>1</v>
      </c>
      <c r="AK1296">
        <v>54.68</v>
      </c>
      <c r="AN1296" t="s">
        <v>45581</v>
      </c>
      <c r="AO1296">
        <v>9000</v>
      </c>
      <c r="AQ1296" t="s">
        <v>46359</v>
      </c>
      <c r="AR1296" t="s">
        <v>46379</v>
      </c>
      <c r="AS1296" t="s">
        <v>46499</v>
      </c>
      <c r="AT1296" t="s">
        <v>46529</v>
      </c>
      <c r="AU1296">
        <v>8.949999999999999</v>
      </c>
      <c r="AV1296" t="s">
        <v>683</v>
      </c>
      <c r="AW1296" t="s">
        <v>122</v>
      </c>
    </row>
    <row r="1297" spans="1:50">
      <c r="A1297" s="1">
        <f>HYPERLINK("https://lsnyc.legalserver.org/matter/dynamic-profile/view/1876256","18-1876256")</f>
        <v>0</v>
      </c>
      <c r="B1297" t="s">
        <v>190</v>
      </c>
      <c r="C1297" t="s">
        <v>341</v>
      </c>
      <c r="D1297" t="s">
        <v>493</v>
      </c>
      <c r="E1297" t="s">
        <v>586</v>
      </c>
      <c r="F1297" t="s">
        <v>1698</v>
      </c>
      <c r="G1297" t="s">
        <v>1685</v>
      </c>
      <c r="H1297" t="s">
        <v>10733</v>
      </c>
      <c r="J1297" t="s">
        <v>18902</v>
      </c>
      <c r="K1297">
        <v>10303</v>
      </c>
      <c r="L1297" t="s">
        <v>18958</v>
      </c>
      <c r="M1297" t="s">
        <v>18958</v>
      </c>
      <c r="N1297" t="s">
        <v>18993</v>
      </c>
      <c r="O1297" t="s">
        <v>18997</v>
      </c>
      <c r="P1297" t="s">
        <v>26564</v>
      </c>
      <c r="Q1297" t="s">
        <v>26570</v>
      </c>
      <c r="R1297" t="s">
        <v>26589</v>
      </c>
      <c r="S1297" t="s">
        <v>18959</v>
      </c>
      <c r="U1297" t="s">
        <v>26604</v>
      </c>
      <c r="V1297" t="s">
        <v>26610</v>
      </c>
      <c r="W1297" t="s">
        <v>493</v>
      </c>
      <c r="X1297">
        <v>400</v>
      </c>
      <c r="Y1297" t="s">
        <v>26654</v>
      </c>
      <c r="Z1297" t="s">
        <v>26671</v>
      </c>
      <c r="AA1297" t="s">
        <v>26683</v>
      </c>
      <c r="AB1297" t="s">
        <v>27875</v>
      </c>
      <c r="AE1297">
        <v>130</v>
      </c>
      <c r="AF1297" t="s">
        <v>45547</v>
      </c>
      <c r="AG1297" t="s">
        <v>19330</v>
      </c>
      <c r="AH1297">
        <v>3</v>
      </c>
      <c r="AI1297">
        <v>1</v>
      </c>
      <c r="AJ1297">
        <v>0</v>
      </c>
      <c r="AK1297">
        <v>137.07</v>
      </c>
      <c r="AL1297" t="s">
        <v>45567</v>
      </c>
      <c r="AM1297" t="s">
        <v>45577</v>
      </c>
      <c r="AN1297" t="s">
        <v>45581</v>
      </c>
      <c r="AO1297">
        <v>16640</v>
      </c>
      <c r="AU1297">
        <v>1.3</v>
      </c>
      <c r="AV1297" t="s">
        <v>523</v>
      </c>
      <c r="AW1297" t="s">
        <v>190</v>
      </c>
    </row>
    <row r="1298" spans="1:50">
      <c r="A1298" s="1">
        <f>HYPERLINK("https://lsnyc.legalserver.org/matter/dynamic-profile/view/1875566","18-1875566")</f>
        <v>0</v>
      </c>
      <c r="B1298" t="s">
        <v>103</v>
      </c>
      <c r="C1298" t="s">
        <v>341</v>
      </c>
      <c r="D1298" t="s">
        <v>493</v>
      </c>
      <c r="E1298" t="s">
        <v>672</v>
      </c>
      <c r="F1298" t="s">
        <v>1592</v>
      </c>
      <c r="G1298" t="s">
        <v>5893</v>
      </c>
      <c r="H1298" t="s">
        <v>10734</v>
      </c>
      <c r="I1298" t="s">
        <v>17312</v>
      </c>
      <c r="J1298" t="s">
        <v>18902</v>
      </c>
      <c r="K1298">
        <v>10307</v>
      </c>
      <c r="L1298" t="s">
        <v>18958</v>
      </c>
      <c r="M1298" t="s">
        <v>18958</v>
      </c>
      <c r="N1298" t="s">
        <v>19037</v>
      </c>
      <c r="O1298" t="s">
        <v>18997</v>
      </c>
      <c r="P1298" t="s">
        <v>26565</v>
      </c>
      <c r="Q1298" t="s">
        <v>26571</v>
      </c>
      <c r="R1298" t="s">
        <v>26587</v>
      </c>
      <c r="S1298" t="s">
        <v>18959</v>
      </c>
      <c r="U1298" t="s">
        <v>26604</v>
      </c>
      <c r="V1298" t="s">
        <v>26610</v>
      </c>
      <c r="W1298" t="s">
        <v>493</v>
      </c>
      <c r="X1298">
        <v>1350</v>
      </c>
      <c r="Y1298" t="s">
        <v>26654</v>
      </c>
      <c r="Z1298" t="s">
        <v>26663</v>
      </c>
      <c r="AA1298" t="s">
        <v>26681</v>
      </c>
      <c r="AB1298" t="s">
        <v>27876</v>
      </c>
      <c r="AD1298" t="s">
        <v>37927</v>
      </c>
      <c r="AE1298">
        <v>2</v>
      </c>
      <c r="AF1298" t="s">
        <v>45547</v>
      </c>
      <c r="AG1298" t="s">
        <v>45561</v>
      </c>
      <c r="AH1298">
        <v>1</v>
      </c>
      <c r="AI1298">
        <v>1</v>
      </c>
      <c r="AJ1298">
        <v>0</v>
      </c>
      <c r="AK1298">
        <v>0</v>
      </c>
      <c r="AO1298">
        <v>0</v>
      </c>
      <c r="AU1298">
        <v>5.3</v>
      </c>
      <c r="AV1298" t="s">
        <v>816</v>
      </c>
      <c r="AW1298" t="s">
        <v>190</v>
      </c>
    </row>
    <row r="1299" spans="1:50">
      <c r="A1299" s="1">
        <f>HYPERLINK("https://lsnyc.legalserver.org/matter/dynamic-profile/view/1876297","18-1876297")</f>
        <v>0</v>
      </c>
      <c r="B1299" t="s">
        <v>111</v>
      </c>
      <c r="C1299" t="s">
        <v>341</v>
      </c>
      <c r="D1299" t="s">
        <v>493</v>
      </c>
      <c r="E1299" t="s">
        <v>850</v>
      </c>
      <c r="F1299" t="s">
        <v>1699</v>
      </c>
      <c r="G1299" t="s">
        <v>5894</v>
      </c>
      <c r="H1299" t="s">
        <v>10057</v>
      </c>
      <c r="I1299" t="s">
        <v>17630</v>
      </c>
      <c r="J1299" t="s">
        <v>7026</v>
      </c>
      <c r="K1299">
        <v>11368</v>
      </c>
      <c r="L1299" t="s">
        <v>18958</v>
      </c>
      <c r="M1299" t="s">
        <v>18958</v>
      </c>
      <c r="N1299" t="s">
        <v>19933</v>
      </c>
      <c r="O1299" t="s">
        <v>26523</v>
      </c>
      <c r="P1299" t="s">
        <v>26564</v>
      </c>
      <c r="Q1299" t="s">
        <v>26570</v>
      </c>
      <c r="R1299" t="s">
        <v>26584</v>
      </c>
      <c r="S1299" t="s">
        <v>18959</v>
      </c>
      <c r="U1299" t="s">
        <v>26604</v>
      </c>
      <c r="V1299" t="s">
        <v>26610</v>
      </c>
      <c r="W1299" t="s">
        <v>493</v>
      </c>
      <c r="X1299">
        <v>1138</v>
      </c>
      <c r="Y1299" t="s">
        <v>26653</v>
      </c>
      <c r="Z1299" t="s">
        <v>26664</v>
      </c>
      <c r="AA1299" t="s">
        <v>26683</v>
      </c>
      <c r="AB1299" t="s">
        <v>27877</v>
      </c>
      <c r="AD1299" t="s">
        <v>37928</v>
      </c>
      <c r="AE1299">
        <v>255</v>
      </c>
      <c r="AF1299" t="s">
        <v>45541</v>
      </c>
      <c r="AG1299" t="s">
        <v>45559</v>
      </c>
      <c r="AH1299">
        <v>20</v>
      </c>
      <c r="AI1299">
        <v>1</v>
      </c>
      <c r="AJ1299">
        <v>0</v>
      </c>
      <c r="AK1299">
        <v>74.14</v>
      </c>
      <c r="AN1299" t="s">
        <v>45586</v>
      </c>
      <c r="AO1299">
        <v>9000</v>
      </c>
      <c r="AU1299">
        <v>1.5</v>
      </c>
      <c r="AV1299" t="s">
        <v>534</v>
      </c>
      <c r="AW1299" t="s">
        <v>208</v>
      </c>
    </row>
    <row r="1300" spans="1:50">
      <c r="A1300" s="1">
        <f>HYPERLINK("https://lsnyc.legalserver.org/matter/dynamic-profile/view/1876338","18-1876338")</f>
        <v>0</v>
      </c>
      <c r="B1300" t="s">
        <v>226</v>
      </c>
      <c r="C1300" t="s">
        <v>341</v>
      </c>
      <c r="D1300" t="s">
        <v>493</v>
      </c>
      <c r="E1300" t="s">
        <v>684</v>
      </c>
      <c r="F1300" t="s">
        <v>1537</v>
      </c>
      <c r="G1300" t="s">
        <v>5895</v>
      </c>
      <c r="H1300" t="s">
        <v>10735</v>
      </c>
      <c r="I1300" t="s">
        <v>17307</v>
      </c>
      <c r="J1300" t="s">
        <v>18892</v>
      </c>
      <c r="K1300">
        <v>10468</v>
      </c>
      <c r="L1300" t="s">
        <v>18958</v>
      </c>
      <c r="M1300" t="s">
        <v>18958</v>
      </c>
      <c r="O1300" t="s">
        <v>18997</v>
      </c>
      <c r="P1300" t="s">
        <v>26564</v>
      </c>
      <c r="Q1300" t="s">
        <v>26570</v>
      </c>
      <c r="R1300" t="s">
        <v>26578</v>
      </c>
      <c r="S1300" t="s">
        <v>18959</v>
      </c>
      <c r="U1300" t="s">
        <v>26604</v>
      </c>
      <c r="W1300" t="s">
        <v>493</v>
      </c>
      <c r="X1300">
        <v>1299</v>
      </c>
      <c r="Y1300" t="s">
        <v>26650</v>
      </c>
      <c r="Z1300" t="s">
        <v>26663</v>
      </c>
      <c r="AA1300" t="s">
        <v>26683</v>
      </c>
      <c r="AB1300" t="s">
        <v>27878</v>
      </c>
      <c r="AD1300" t="s">
        <v>37929</v>
      </c>
      <c r="AE1300">
        <v>26</v>
      </c>
      <c r="AF1300" t="s">
        <v>45541</v>
      </c>
      <c r="AG1300" t="s">
        <v>45561</v>
      </c>
      <c r="AH1300">
        <v>14</v>
      </c>
      <c r="AI1300">
        <v>1</v>
      </c>
      <c r="AJ1300">
        <v>0</v>
      </c>
      <c r="AK1300">
        <v>69.79000000000001</v>
      </c>
      <c r="AN1300" t="s">
        <v>7439</v>
      </c>
      <c r="AO1300">
        <v>8472</v>
      </c>
      <c r="AU1300">
        <v>3</v>
      </c>
      <c r="AV1300" t="s">
        <v>684</v>
      </c>
      <c r="AW1300" t="s">
        <v>226</v>
      </c>
    </row>
    <row r="1301" spans="1:50">
      <c r="A1301" s="1">
        <f>HYPERLINK("https://lsnyc.legalserver.org/matter/dynamic-profile/view/1876257","18-1876257")</f>
        <v>0</v>
      </c>
      <c r="B1301" t="s">
        <v>91</v>
      </c>
      <c r="C1301" t="s">
        <v>341</v>
      </c>
      <c r="D1301" t="s">
        <v>493</v>
      </c>
      <c r="E1301" t="s">
        <v>494</v>
      </c>
      <c r="F1301" t="s">
        <v>1700</v>
      </c>
      <c r="G1301" t="s">
        <v>5147</v>
      </c>
      <c r="H1301" t="s">
        <v>10736</v>
      </c>
      <c r="I1301" t="s">
        <v>17455</v>
      </c>
      <c r="J1301" t="s">
        <v>7026</v>
      </c>
      <c r="K1301">
        <v>11368</v>
      </c>
      <c r="L1301" t="s">
        <v>18958</v>
      </c>
      <c r="M1301" t="s">
        <v>18958</v>
      </c>
      <c r="N1301" t="s">
        <v>19934</v>
      </c>
      <c r="O1301" t="s">
        <v>26523</v>
      </c>
      <c r="P1301" t="s">
        <v>26560</v>
      </c>
      <c r="Q1301" t="s">
        <v>26568</v>
      </c>
      <c r="R1301" t="s">
        <v>26584</v>
      </c>
      <c r="S1301" t="s">
        <v>18958</v>
      </c>
      <c r="U1301" t="s">
        <v>26604</v>
      </c>
      <c r="V1301" t="s">
        <v>26612</v>
      </c>
      <c r="W1301" t="s">
        <v>493</v>
      </c>
      <c r="X1301">
        <v>2010</v>
      </c>
      <c r="Y1301" t="s">
        <v>26653</v>
      </c>
      <c r="Z1301" t="s">
        <v>26664</v>
      </c>
      <c r="AA1301" t="s">
        <v>26678</v>
      </c>
      <c r="AB1301" t="s">
        <v>27879</v>
      </c>
      <c r="AD1301" t="s">
        <v>37930</v>
      </c>
      <c r="AE1301">
        <v>100</v>
      </c>
      <c r="AF1301" t="s">
        <v>20460</v>
      </c>
      <c r="AG1301" t="s">
        <v>19330</v>
      </c>
      <c r="AH1301">
        <v>1</v>
      </c>
      <c r="AI1301">
        <v>3</v>
      </c>
      <c r="AJ1301">
        <v>2</v>
      </c>
      <c r="AK1301">
        <v>147.27</v>
      </c>
      <c r="AN1301" t="s">
        <v>7439</v>
      </c>
      <c r="AO1301">
        <v>43326</v>
      </c>
      <c r="AQ1301" t="s">
        <v>46365</v>
      </c>
      <c r="AR1301" t="s">
        <v>46379</v>
      </c>
      <c r="AS1301" t="s">
        <v>46499</v>
      </c>
      <c r="AT1301" t="s">
        <v>46579</v>
      </c>
      <c r="AU1301">
        <v>5</v>
      </c>
      <c r="AV1301" t="s">
        <v>712</v>
      </c>
      <c r="AW1301" t="s">
        <v>208</v>
      </c>
    </row>
    <row r="1302" spans="1:50">
      <c r="A1302" s="1">
        <f>HYPERLINK("https://lsnyc.legalserver.org/matter/dynamic-profile/view/1876288","18-1876288")</f>
        <v>0</v>
      </c>
      <c r="B1302" t="s">
        <v>91</v>
      </c>
      <c r="C1302" t="s">
        <v>341</v>
      </c>
      <c r="D1302" t="s">
        <v>493</v>
      </c>
      <c r="E1302" t="s">
        <v>494</v>
      </c>
      <c r="F1302" t="s">
        <v>1417</v>
      </c>
      <c r="G1302" t="s">
        <v>5199</v>
      </c>
      <c r="H1302" t="s">
        <v>10737</v>
      </c>
      <c r="I1302" t="s">
        <v>17631</v>
      </c>
      <c r="J1302" t="s">
        <v>18901</v>
      </c>
      <c r="K1302">
        <v>11435</v>
      </c>
      <c r="L1302" t="s">
        <v>18958</v>
      </c>
      <c r="M1302" t="s">
        <v>18958</v>
      </c>
      <c r="N1302" t="s">
        <v>19935</v>
      </c>
      <c r="O1302" t="s">
        <v>26523</v>
      </c>
      <c r="P1302" t="s">
        <v>26564</v>
      </c>
      <c r="Q1302" t="s">
        <v>26570</v>
      </c>
      <c r="R1302" t="s">
        <v>26584</v>
      </c>
      <c r="S1302" t="s">
        <v>18959</v>
      </c>
      <c r="U1302" t="s">
        <v>26604</v>
      </c>
      <c r="V1302" t="s">
        <v>26610</v>
      </c>
      <c r="W1302" t="s">
        <v>493</v>
      </c>
      <c r="X1302">
        <v>1135</v>
      </c>
      <c r="Y1302" t="s">
        <v>26653</v>
      </c>
      <c r="Z1302" t="s">
        <v>26664</v>
      </c>
      <c r="AA1302" t="s">
        <v>26683</v>
      </c>
      <c r="AB1302" t="s">
        <v>27880</v>
      </c>
      <c r="AD1302" t="s">
        <v>37931</v>
      </c>
      <c r="AE1302">
        <v>67</v>
      </c>
      <c r="AF1302" t="s">
        <v>20460</v>
      </c>
      <c r="AG1302" t="s">
        <v>19330</v>
      </c>
      <c r="AH1302">
        <v>45</v>
      </c>
      <c r="AI1302">
        <v>2</v>
      </c>
      <c r="AJ1302">
        <v>0</v>
      </c>
      <c r="AK1302">
        <v>170.23</v>
      </c>
      <c r="AN1302" t="s">
        <v>7439</v>
      </c>
      <c r="AO1302">
        <v>28020</v>
      </c>
      <c r="AU1302">
        <v>0.9</v>
      </c>
      <c r="AV1302" t="s">
        <v>712</v>
      </c>
      <c r="AW1302" t="s">
        <v>208</v>
      </c>
    </row>
    <row r="1303" spans="1:50">
      <c r="A1303" s="1">
        <f>HYPERLINK("https://lsnyc.legalserver.org/matter/dynamic-profile/view/1876311","18-1876311")</f>
        <v>0</v>
      </c>
      <c r="B1303" t="s">
        <v>235</v>
      </c>
      <c r="C1303" t="s">
        <v>341</v>
      </c>
      <c r="D1303" t="s">
        <v>493</v>
      </c>
      <c r="E1303" t="s">
        <v>827</v>
      </c>
      <c r="F1303" t="s">
        <v>1701</v>
      </c>
      <c r="G1303" t="s">
        <v>879</v>
      </c>
      <c r="H1303" t="s">
        <v>10738</v>
      </c>
      <c r="I1303" t="s">
        <v>17387</v>
      </c>
      <c r="J1303" t="s">
        <v>18901</v>
      </c>
      <c r="K1303">
        <v>11434</v>
      </c>
      <c r="L1303" t="s">
        <v>18958</v>
      </c>
      <c r="M1303" t="s">
        <v>18958</v>
      </c>
      <c r="N1303" t="s">
        <v>19936</v>
      </c>
      <c r="O1303" t="s">
        <v>26523</v>
      </c>
      <c r="P1303" t="s">
        <v>26560</v>
      </c>
      <c r="Q1303" t="s">
        <v>26568</v>
      </c>
      <c r="R1303" t="s">
        <v>26585</v>
      </c>
      <c r="S1303" t="s">
        <v>18959</v>
      </c>
      <c r="U1303" t="s">
        <v>26604</v>
      </c>
      <c r="V1303" t="s">
        <v>26610</v>
      </c>
      <c r="W1303" t="s">
        <v>493</v>
      </c>
      <c r="X1303">
        <v>1800</v>
      </c>
      <c r="Y1303" t="s">
        <v>26653</v>
      </c>
      <c r="Z1303" t="s">
        <v>26664</v>
      </c>
      <c r="AA1303" t="s">
        <v>26679</v>
      </c>
      <c r="AB1303" t="s">
        <v>27881</v>
      </c>
      <c r="AD1303" t="s">
        <v>37932</v>
      </c>
      <c r="AE1303">
        <v>2</v>
      </c>
      <c r="AF1303" t="s">
        <v>45547</v>
      </c>
      <c r="AG1303" t="s">
        <v>19330</v>
      </c>
      <c r="AH1303">
        <v>1</v>
      </c>
      <c r="AI1303">
        <v>1</v>
      </c>
      <c r="AJ1303">
        <v>2</v>
      </c>
      <c r="AK1303">
        <v>72.18000000000001</v>
      </c>
      <c r="AN1303" t="s">
        <v>7439</v>
      </c>
      <c r="AO1303">
        <v>15000</v>
      </c>
      <c r="AQ1303" t="s">
        <v>46365</v>
      </c>
      <c r="AR1303" t="s">
        <v>26530</v>
      </c>
      <c r="AS1303" t="s">
        <v>46500</v>
      </c>
      <c r="AT1303" t="s">
        <v>46687</v>
      </c>
      <c r="AU1303">
        <v>23.5</v>
      </c>
      <c r="AV1303" t="s">
        <v>827</v>
      </c>
      <c r="AW1303" t="s">
        <v>208</v>
      </c>
      <c r="AX1303" t="s">
        <v>46897</v>
      </c>
    </row>
    <row r="1304" spans="1:50">
      <c r="A1304" s="1">
        <f>HYPERLINK("https://lsnyc.legalserver.org/matter/dynamic-profile/view/1876280","18-1876280")</f>
        <v>0</v>
      </c>
      <c r="B1304" t="s">
        <v>80</v>
      </c>
      <c r="C1304" t="s">
        <v>341</v>
      </c>
      <c r="D1304" t="s">
        <v>493</v>
      </c>
      <c r="E1304" t="s">
        <v>624</v>
      </c>
      <c r="F1304" t="s">
        <v>1702</v>
      </c>
      <c r="G1304" t="s">
        <v>5896</v>
      </c>
      <c r="H1304" t="s">
        <v>10739</v>
      </c>
      <c r="I1304">
        <v>47</v>
      </c>
      <c r="J1304" t="s">
        <v>18893</v>
      </c>
      <c r="K1304">
        <v>10031</v>
      </c>
      <c r="L1304" t="s">
        <v>18958</v>
      </c>
      <c r="M1304" t="s">
        <v>18958</v>
      </c>
      <c r="N1304" t="s">
        <v>19937</v>
      </c>
      <c r="O1304" t="s">
        <v>26524</v>
      </c>
      <c r="P1304" t="s">
        <v>26564</v>
      </c>
      <c r="Q1304" t="s">
        <v>26570</v>
      </c>
      <c r="R1304" t="s">
        <v>26580</v>
      </c>
      <c r="S1304" t="s">
        <v>18959</v>
      </c>
      <c r="U1304" t="s">
        <v>26604</v>
      </c>
      <c r="V1304" t="s">
        <v>26610</v>
      </c>
      <c r="W1304" t="s">
        <v>493</v>
      </c>
      <c r="X1304">
        <v>1098</v>
      </c>
      <c r="Y1304" t="s">
        <v>26651</v>
      </c>
      <c r="Z1304" t="s">
        <v>26664</v>
      </c>
      <c r="AA1304" t="s">
        <v>26683</v>
      </c>
      <c r="AB1304" t="s">
        <v>27882</v>
      </c>
      <c r="AD1304" t="s">
        <v>37933</v>
      </c>
      <c r="AE1304">
        <v>0</v>
      </c>
      <c r="AH1304">
        <v>12</v>
      </c>
      <c r="AI1304">
        <v>1</v>
      </c>
      <c r="AJ1304">
        <v>0</v>
      </c>
      <c r="AK1304">
        <v>0</v>
      </c>
      <c r="AN1304" t="s">
        <v>7439</v>
      </c>
      <c r="AO1304">
        <v>0</v>
      </c>
      <c r="AU1304">
        <v>0.7</v>
      </c>
      <c r="AV1304" t="s">
        <v>531</v>
      </c>
      <c r="AW1304" t="s">
        <v>317</v>
      </c>
    </row>
    <row r="1305" spans="1:50">
      <c r="A1305" s="1">
        <f>HYPERLINK("https://lsnyc.legalserver.org/matter/dynamic-profile/view/1876365","18-1876365")</f>
        <v>0</v>
      </c>
      <c r="B1305" t="s">
        <v>125</v>
      </c>
      <c r="C1305" t="s">
        <v>341</v>
      </c>
      <c r="D1305" t="s">
        <v>493</v>
      </c>
      <c r="E1305" t="s">
        <v>691</v>
      </c>
      <c r="F1305" t="s">
        <v>1703</v>
      </c>
      <c r="G1305" t="s">
        <v>5086</v>
      </c>
      <c r="H1305" t="s">
        <v>10740</v>
      </c>
      <c r="I1305" t="s">
        <v>17306</v>
      </c>
      <c r="J1305" t="s">
        <v>18894</v>
      </c>
      <c r="K1305">
        <v>11233</v>
      </c>
      <c r="L1305" t="s">
        <v>18958</v>
      </c>
      <c r="M1305" t="s">
        <v>18958</v>
      </c>
      <c r="N1305" t="s">
        <v>19938</v>
      </c>
      <c r="O1305" t="s">
        <v>26524</v>
      </c>
      <c r="P1305" t="s">
        <v>26564</v>
      </c>
      <c r="Q1305" t="s">
        <v>26570</v>
      </c>
      <c r="R1305" t="s">
        <v>26578</v>
      </c>
      <c r="S1305" t="s">
        <v>18959</v>
      </c>
      <c r="U1305" t="s">
        <v>26604</v>
      </c>
      <c r="W1305" t="s">
        <v>493</v>
      </c>
      <c r="X1305">
        <v>1000</v>
      </c>
      <c r="Y1305" t="s">
        <v>26652</v>
      </c>
      <c r="Z1305" t="s">
        <v>26659</v>
      </c>
      <c r="AA1305" t="s">
        <v>26683</v>
      </c>
      <c r="AB1305" t="s">
        <v>27883</v>
      </c>
      <c r="AD1305" t="s">
        <v>37934</v>
      </c>
      <c r="AE1305">
        <v>12</v>
      </c>
      <c r="AF1305" t="s">
        <v>45541</v>
      </c>
      <c r="AG1305" t="s">
        <v>45556</v>
      </c>
      <c r="AH1305">
        <v>22</v>
      </c>
      <c r="AI1305">
        <v>2</v>
      </c>
      <c r="AJ1305">
        <v>0</v>
      </c>
      <c r="AK1305">
        <v>51.76</v>
      </c>
      <c r="AN1305" t="s">
        <v>7439</v>
      </c>
      <c r="AO1305">
        <v>8520</v>
      </c>
      <c r="AU1305">
        <v>8.75</v>
      </c>
      <c r="AV1305" t="s">
        <v>605</v>
      </c>
      <c r="AW1305" t="s">
        <v>279</v>
      </c>
    </row>
    <row r="1306" spans="1:50">
      <c r="A1306" s="1">
        <f>HYPERLINK("https://lsnyc.legalserver.org/matter/dynamic-profile/view/1876377","18-1876377")</f>
        <v>0</v>
      </c>
      <c r="B1306" t="s">
        <v>144</v>
      </c>
      <c r="C1306" t="s">
        <v>340</v>
      </c>
      <c r="D1306" t="s">
        <v>493</v>
      </c>
      <c r="F1306" t="s">
        <v>977</v>
      </c>
      <c r="G1306" t="s">
        <v>5147</v>
      </c>
      <c r="H1306" t="s">
        <v>10741</v>
      </c>
      <c r="I1306" t="s">
        <v>17293</v>
      </c>
      <c r="J1306" t="s">
        <v>18893</v>
      </c>
      <c r="K1306">
        <v>10032</v>
      </c>
      <c r="L1306" t="s">
        <v>18958</v>
      </c>
      <c r="M1306" t="s">
        <v>18958</v>
      </c>
      <c r="N1306" t="s">
        <v>19939</v>
      </c>
      <c r="O1306" t="s">
        <v>26523</v>
      </c>
      <c r="P1306" t="s">
        <v>26564</v>
      </c>
      <c r="R1306" t="s">
        <v>26582</v>
      </c>
      <c r="S1306" t="s">
        <v>18959</v>
      </c>
      <c r="U1306" t="s">
        <v>26604</v>
      </c>
      <c r="W1306" t="s">
        <v>493</v>
      </c>
      <c r="X1306">
        <v>2450</v>
      </c>
      <c r="Y1306" t="s">
        <v>26651</v>
      </c>
      <c r="Z1306" t="s">
        <v>26664</v>
      </c>
      <c r="AB1306" t="s">
        <v>27884</v>
      </c>
      <c r="AD1306" t="s">
        <v>37935</v>
      </c>
      <c r="AE1306">
        <v>27</v>
      </c>
      <c r="AF1306" t="s">
        <v>20460</v>
      </c>
      <c r="AG1306" t="s">
        <v>19330</v>
      </c>
      <c r="AH1306">
        <v>4</v>
      </c>
      <c r="AI1306">
        <v>3</v>
      </c>
      <c r="AJ1306">
        <v>0</v>
      </c>
      <c r="AK1306">
        <v>128.39</v>
      </c>
      <c r="AN1306" t="s">
        <v>45581</v>
      </c>
      <c r="AO1306">
        <v>26680</v>
      </c>
      <c r="AU1306">
        <v>1.5</v>
      </c>
      <c r="AV1306" t="s">
        <v>523</v>
      </c>
      <c r="AW1306" t="s">
        <v>314</v>
      </c>
    </row>
    <row r="1307" spans="1:50">
      <c r="A1307" s="1">
        <f>HYPERLINK("https://lsnyc.legalserver.org/matter/dynamic-profile/view/1876300","18-1876300")</f>
        <v>0</v>
      </c>
      <c r="B1307" t="s">
        <v>144</v>
      </c>
      <c r="C1307" t="s">
        <v>340</v>
      </c>
      <c r="D1307" t="s">
        <v>493</v>
      </c>
      <c r="F1307" t="s">
        <v>1704</v>
      </c>
      <c r="G1307" t="s">
        <v>5308</v>
      </c>
      <c r="H1307" t="s">
        <v>10742</v>
      </c>
      <c r="I1307" t="s">
        <v>17273</v>
      </c>
      <c r="J1307" t="s">
        <v>18893</v>
      </c>
      <c r="K1307">
        <v>10025</v>
      </c>
      <c r="L1307" t="s">
        <v>18958</v>
      </c>
      <c r="M1307" t="s">
        <v>18958</v>
      </c>
      <c r="N1307" t="s">
        <v>19940</v>
      </c>
      <c r="O1307" t="s">
        <v>26523</v>
      </c>
      <c r="P1307" t="s">
        <v>26560</v>
      </c>
      <c r="R1307" t="s">
        <v>26580</v>
      </c>
      <c r="S1307" t="s">
        <v>18959</v>
      </c>
      <c r="U1307" t="s">
        <v>26604</v>
      </c>
      <c r="W1307" t="s">
        <v>493</v>
      </c>
      <c r="X1307">
        <v>2200.19</v>
      </c>
      <c r="Y1307" t="s">
        <v>26651</v>
      </c>
      <c r="Z1307" t="s">
        <v>26664</v>
      </c>
      <c r="AB1307" t="s">
        <v>27885</v>
      </c>
      <c r="AD1307" t="s">
        <v>37936</v>
      </c>
      <c r="AE1307">
        <v>124</v>
      </c>
      <c r="AF1307" t="s">
        <v>45541</v>
      </c>
      <c r="AG1307" t="s">
        <v>19330</v>
      </c>
      <c r="AH1307">
        <v>24</v>
      </c>
      <c r="AI1307">
        <v>1</v>
      </c>
      <c r="AJ1307">
        <v>1</v>
      </c>
      <c r="AK1307">
        <v>18.23</v>
      </c>
      <c r="AN1307" t="s">
        <v>7439</v>
      </c>
      <c r="AO1307">
        <v>3000</v>
      </c>
      <c r="AU1307">
        <v>45.3</v>
      </c>
      <c r="AV1307" t="s">
        <v>678</v>
      </c>
      <c r="AW1307" t="s">
        <v>314</v>
      </c>
    </row>
    <row r="1308" spans="1:50">
      <c r="A1308" s="1">
        <f>HYPERLINK("https://lsnyc.legalserver.org/matter/dynamic-profile/view/1876629","18-1876629")</f>
        <v>0</v>
      </c>
      <c r="B1308" t="s">
        <v>57</v>
      </c>
      <c r="C1308" t="s">
        <v>340</v>
      </c>
      <c r="D1308" t="s">
        <v>493</v>
      </c>
      <c r="F1308" t="s">
        <v>1266</v>
      </c>
      <c r="G1308" t="s">
        <v>1093</v>
      </c>
      <c r="H1308" t="s">
        <v>10743</v>
      </c>
      <c r="I1308" t="s">
        <v>17436</v>
      </c>
      <c r="J1308" t="s">
        <v>18892</v>
      </c>
      <c r="K1308">
        <v>10457</v>
      </c>
      <c r="L1308" t="s">
        <v>18958</v>
      </c>
      <c r="M1308" t="s">
        <v>18958</v>
      </c>
      <c r="N1308" t="s">
        <v>19941</v>
      </c>
      <c r="O1308" t="s">
        <v>26523</v>
      </c>
      <c r="P1308" t="s">
        <v>26560</v>
      </c>
      <c r="R1308" t="s">
        <v>26579</v>
      </c>
      <c r="S1308" t="s">
        <v>18959</v>
      </c>
      <c r="U1308" t="s">
        <v>26604</v>
      </c>
      <c r="V1308" t="s">
        <v>26610</v>
      </c>
      <c r="W1308" t="s">
        <v>493</v>
      </c>
      <c r="X1308">
        <v>625</v>
      </c>
      <c r="Y1308" t="s">
        <v>26650</v>
      </c>
      <c r="Z1308" t="s">
        <v>26664</v>
      </c>
      <c r="AB1308" t="s">
        <v>27886</v>
      </c>
      <c r="AC1308" t="s">
        <v>34891</v>
      </c>
      <c r="AD1308" t="s">
        <v>37937</v>
      </c>
      <c r="AE1308">
        <v>34</v>
      </c>
      <c r="AF1308" t="s">
        <v>45541</v>
      </c>
      <c r="AG1308" t="s">
        <v>45557</v>
      </c>
      <c r="AH1308">
        <v>17</v>
      </c>
      <c r="AI1308">
        <v>2</v>
      </c>
      <c r="AJ1308">
        <v>0</v>
      </c>
      <c r="AK1308">
        <v>64.59</v>
      </c>
      <c r="AN1308" t="s">
        <v>7439</v>
      </c>
      <c r="AO1308">
        <v>10632</v>
      </c>
      <c r="AU1308">
        <v>18.8</v>
      </c>
      <c r="AV1308" t="s">
        <v>689</v>
      </c>
      <c r="AW1308" t="s">
        <v>334</v>
      </c>
    </row>
    <row r="1309" spans="1:50">
      <c r="A1309" s="1">
        <f>HYPERLINK("https://lsnyc.legalserver.org/matter/dynamic-profile/view/1876600","18-1876600")</f>
        <v>0</v>
      </c>
      <c r="B1309" t="s">
        <v>57</v>
      </c>
      <c r="C1309" t="s">
        <v>340</v>
      </c>
      <c r="D1309" t="s">
        <v>493</v>
      </c>
      <c r="F1309" t="s">
        <v>1705</v>
      </c>
      <c r="G1309" t="s">
        <v>5147</v>
      </c>
      <c r="H1309" t="s">
        <v>10744</v>
      </c>
      <c r="I1309">
        <v>55</v>
      </c>
      <c r="J1309" t="s">
        <v>18892</v>
      </c>
      <c r="K1309">
        <v>10468</v>
      </c>
      <c r="L1309" t="s">
        <v>18958</v>
      </c>
      <c r="M1309" t="s">
        <v>18958</v>
      </c>
      <c r="N1309" t="s">
        <v>19942</v>
      </c>
      <c r="O1309" t="s">
        <v>26523</v>
      </c>
      <c r="P1309" t="s">
        <v>26560</v>
      </c>
      <c r="R1309" t="s">
        <v>26579</v>
      </c>
      <c r="S1309" t="s">
        <v>18959</v>
      </c>
      <c r="U1309" t="s">
        <v>26604</v>
      </c>
      <c r="V1309" t="s">
        <v>26610</v>
      </c>
      <c r="W1309" t="s">
        <v>493</v>
      </c>
      <c r="X1309">
        <v>1535</v>
      </c>
      <c r="Y1309" t="s">
        <v>26650</v>
      </c>
      <c r="Z1309" t="s">
        <v>26664</v>
      </c>
      <c r="AB1309" t="s">
        <v>27887</v>
      </c>
      <c r="AC1309" t="s">
        <v>34892</v>
      </c>
      <c r="AD1309" t="s">
        <v>37938</v>
      </c>
      <c r="AE1309">
        <v>26</v>
      </c>
      <c r="AF1309" t="s">
        <v>45541</v>
      </c>
      <c r="AG1309" t="s">
        <v>19330</v>
      </c>
      <c r="AH1309">
        <v>6</v>
      </c>
      <c r="AI1309">
        <v>2</v>
      </c>
      <c r="AJ1309">
        <v>2</v>
      </c>
      <c r="AK1309">
        <v>65.73999999999999</v>
      </c>
      <c r="AN1309" t="s">
        <v>45581</v>
      </c>
      <c r="AO1309">
        <v>16500</v>
      </c>
      <c r="AU1309">
        <v>27.75</v>
      </c>
      <c r="AV1309" t="s">
        <v>817</v>
      </c>
      <c r="AW1309" t="s">
        <v>334</v>
      </c>
    </row>
    <row r="1310" spans="1:50">
      <c r="A1310" s="1">
        <f>HYPERLINK("https://lsnyc.legalserver.org/matter/dynamic-profile/view/1876573","18-1876573")</f>
        <v>0</v>
      </c>
      <c r="B1310" t="s">
        <v>57</v>
      </c>
      <c r="C1310" t="s">
        <v>340</v>
      </c>
      <c r="D1310" t="s">
        <v>493</v>
      </c>
      <c r="F1310" t="s">
        <v>1080</v>
      </c>
      <c r="G1310" t="s">
        <v>5147</v>
      </c>
      <c r="H1310" t="s">
        <v>10745</v>
      </c>
      <c r="I1310" t="s">
        <v>17347</v>
      </c>
      <c r="J1310" t="s">
        <v>18892</v>
      </c>
      <c r="K1310">
        <v>10467</v>
      </c>
      <c r="L1310" t="s">
        <v>18958</v>
      </c>
      <c r="M1310" t="s">
        <v>18958</v>
      </c>
      <c r="N1310" t="s">
        <v>19943</v>
      </c>
      <c r="O1310" t="s">
        <v>26523</v>
      </c>
      <c r="P1310" t="s">
        <v>26560</v>
      </c>
      <c r="R1310" t="s">
        <v>26579</v>
      </c>
      <c r="S1310" t="s">
        <v>18959</v>
      </c>
      <c r="U1310" t="s">
        <v>26604</v>
      </c>
      <c r="V1310" t="s">
        <v>26610</v>
      </c>
      <c r="W1310" t="s">
        <v>493</v>
      </c>
      <c r="X1310">
        <v>1176.02</v>
      </c>
      <c r="Y1310" t="s">
        <v>26650</v>
      </c>
      <c r="Z1310" t="s">
        <v>26664</v>
      </c>
      <c r="AB1310" t="s">
        <v>27888</v>
      </c>
      <c r="AC1310" t="s">
        <v>34893</v>
      </c>
      <c r="AD1310" t="s">
        <v>37939</v>
      </c>
      <c r="AE1310">
        <v>66</v>
      </c>
      <c r="AF1310" t="s">
        <v>45541</v>
      </c>
      <c r="AG1310" t="s">
        <v>19330</v>
      </c>
      <c r="AH1310">
        <v>4</v>
      </c>
      <c r="AI1310">
        <v>2</v>
      </c>
      <c r="AJ1310">
        <v>2</v>
      </c>
      <c r="AK1310">
        <v>72.51000000000001</v>
      </c>
      <c r="AN1310" t="s">
        <v>45581</v>
      </c>
      <c r="AO1310">
        <v>18200</v>
      </c>
      <c r="AQ1310" t="s">
        <v>46362</v>
      </c>
      <c r="AR1310" t="s">
        <v>46381</v>
      </c>
      <c r="AS1310" t="s">
        <v>46499</v>
      </c>
      <c r="AT1310" t="s">
        <v>46535</v>
      </c>
      <c r="AU1310">
        <v>9.800000000000001</v>
      </c>
      <c r="AV1310" t="s">
        <v>667</v>
      </c>
      <c r="AW1310" t="s">
        <v>334</v>
      </c>
    </row>
    <row r="1311" spans="1:50">
      <c r="A1311" s="1">
        <f>HYPERLINK("https://lsnyc.legalserver.org/matter/dynamic-profile/view/1876538","18-1876538")</f>
        <v>0</v>
      </c>
      <c r="B1311" t="s">
        <v>53</v>
      </c>
      <c r="C1311" t="s">
        <v>340</v>
      </c>
      <c r="D1311" t="s">
        <v>493</v>
      </c>
      <c r="F1311" t="s">
        <v>1706</v>
      </c>
      <c r="G1311" t="s">
        <v>5897</v>
      </c>
      <c r="H1311" t="s">
        <v>10746</v>
      </c>
      <c r="I1311" t="s">
        <v>17284</v>
      </c>
      <c r="J1311" t="s">
        <v>18892</v>
      </c>
      <c r="K1311">
        <v>10457</v>
      </c>
      <c r="L1311" t="s">
        <v>18958</v>
      </c>
      <c r="M1311" t="s">
        <v>18958</v>
      </c>
      <c r="N1311" t="s">
        <v>19944</v>
      </c>
      <c r="O1311" t="s">
        <v>26524</v>
      </c>
      <c r="P1311" t="s">
        <v>26560</v>
      </c>
      <c r="R1311" t="s">
        <v>26579</v>
      </c>
      <c r="S1311" t="s">
        <v>18959</v>
      </c>
      <c r="U1311" t="s">
        <v>26604</v>
      </c>
      <c r="V1311" t="s">
        <v>26613</v>
      </c>
      <c r="W1311" t="s">
        <v>493</v>
      </c>
      <c r="X1311">
        <v>1070</v>
      </c>
      <c r="Y1311" t="s">
        <v>26650</v>
      </c>
      <c r="Z1311" t="s">
        <v>26664</v>
      </c>
      <c r="AB1311" t="s">
        <v>27889</v>
      </c>
      <c r="AD1311" t="s">
        <v>37940</v>
      </c>
      <c r="AE1311">
        <v>47</v>
      </c>
      <c r="AF1311" t="s">
        <v>45541</v>
      </c>
      <c r="AG1311" t="s">
        <v>19330</v>
      </c>
      <c r="AH1311">
        <v>10</v>
      </c>
      <c r="AI1311">
        <v>1</v>
      </c>
      <c r="AJ1311">
        <v>0</v>
      </c>
      <c r="AK1311">
        <v>131.8</v>
      </c>
      <c r="AN1311" t="s">
        <v>45581</v>
      </c>
      <c r="AO1311">
        <v>16000</v>
      </c>
      <c r="AU1311">
        <v>22.2</v>
      </c>
      <c r="AV1311" t="s">
        <v>635</v>
      </c>
      <c r="AW1311" t="s">
        <v>334</v>
      </c>
    </row>
    <row r="1312" spans="1:50">
      <c r="A1312" s="1">
        <f>HYPERLINK("https://lsnyc.legalserver.org/matter/dynamic-profile/view/1876325","18-1876325")</f>
        <v>0</v>
      </c>
      <c r="B1312" t="s">
        <v>108</v>
      </c>
      <c r="C1312" t="s">
        <v>340</v>
      </c>
      <c r="D1312" t="s">
        <v>493</v>
      </c>
      <c r="F1312" t="s">
        <v>1056</v>
      </c>
      <c r="G1312" t="s">
        <v>5898</v>
      </c>
      <c r="H1312" t="s">
        <v>10747</v>
      </c>
      <c r="I1312" t="s">
        <v>17360</v>
      </c>
      <c r="J1312" t="s">
        <v>18913</v>
      </c>
      <c r="K1312">
        <v>11103</v>
      </c>
      <c r="L1312" t="s">
        <v>18958</v>
      </c>
      <c r="M1312" t="s">
        <v>18958</v>
      </c>
      <c r="N1312" t="s">
        <v>19945</v>
      </c>
      <c r="O1312" t="s">
        <v>26546</v>
      </c>
      <c r="P1312" t="s">
        <v>26560</v>
      </c>
      <c r="R1312" t="s">
        <v>26584</v>
      </c>
      <c r="S1312" t="s">
        <v>18959</v>
      </c>
      <c r="U1312" t="s">
        <v>26604</v>
      </c>
      <c r="V1312" t="s">
        <v>26610</v>
      </c>
      <c r="W1312" t="s">
        <v>493</v>
      </c>
      <c r="X1312">
        <v>800</v>
      </c>
      <c r="Y1312" t="s">
        <v>26653</v>
      </c>
      <c r="Z1312" t="s">
        <v>26664</v>
      </c>
      <c r="AB1312" t="s">
        <v>27890</v>
      </c>
      <c r="AC1312" t="s">
        <v>19330</v>
      </c>
      <c r="AD1312" t="s">
        <v>37941</v>
      </c>
      <c r="AE1312">
        <v>75</v>
      </c>
      <c r="AF1312" t="s">
        <v>45541</v>
      </c>
      <c r="AG1312" t="s">
        <v>19330</v>
      </c>
      <c r="AH1312">
        <v>35</v>
      </c>
      <c r="AI1312">
        <v>1</v>
      </c>
      <c r="AJ1312">
        <v>0</v>
      </c>
      <c r="AK1312">
        <v>113.28</v>
      </c>
      <c r="AN1312" t="s">
        <v>7439</v>
      </c>
      <c r="AO1312">
        <v>13752</v>
      </c>
      <c r="AU1312">
        <v>34.85</v>
      </c>
      <c r="AV1312" t="s">
        <v>753</v>
      </c>
      <c r="AW1312" t="s">
        <v>161</v>
      </c>
    </row>
    <row r="1313" spans="1:50">
      <c r="A1313" s="1">
        <f>HYPERLINK("https://lsnyc.legalserver.org/matter/dynamic-profile/view/1876378","18-1876378")</f>
        <v>0</v>
      </c>
      <c r="B1313" t="s">
        <v>108</v>
      </c>
      <c r="C1313" t="s">
        <v>340</v>
      </c>
      <c r="D1313" t="s">
        <v>493</v>
      </c>
      <c r="F1313" t="s">
        <v>1031</v>
      </c>
      <c r="G1313" t="s">
        <v>5211</v>
      </c>
      <c r="H1313" t="s">
        <v>10050</v>
      </c>
      <c r="J1313" t="s">
        <v>18906</v>
      </c>
      <c r="K1313">
        <v>11373</v>
      </c>
      <c r="L1313" t="s">
        <v>18958</v>
      </c>
      <c r="M1313" t="s">
        <v>18958</v>
      </c>
      <c r="N1313" t="s">
        <v>19946</v>
      </c>
      <c r="O1313" t="s">
        <v>26523</v>
      </c>
      <c r="P1313" t="s">
        <v>26560</v>
      </c>
      <c r="R1313" t="s">
        <v>26585</v>
      </c>
      <c r="S1313" t="s">
        <v>18959</v>
      </c>
      <c r="U1313" t="s">
        <v>26604</v>
      </c>
      <c r="V1313" t="s">
        <v>26610</v>
      </c>
      <c r="W1313" t="s">
        <v>493</v>
      </c>
      <c r="X1313">
        <v>1850</v>
      </c>
      <c r="Y1313" t="s">
        <v>26653</v>
      </c>
      <c r="Z1313" t="s">
        <v>26530</v>
      </c>
      <c r="AB1313" t="s">
        <v>27891</v>
      </c>
      <c r="AC1313" t="s">
        <v>19330</v>
      </c>
      <c r="AD1313" t="s">
        <v>37942</v>
      </c>
      <c r="AE1313">
        <v>164</v>
      </c>
      <c r="AF1313" t="s">
        <v>45541</v>
      </c>
      <c r="AG1313" t="s">
        <v>19330</v>
      </c>
      <c r="AH1313">
        <v>1</v>
      </c>
      <c r="AI1313">
        <v>2</v>
      </c>
      <c r="AJ1313">
        <v>0</v>
      </c>
      <c r="AK1313">
        <v>116.65</v>
      </c>
      <c r="AN1313" t="s">
        <v>7439</v>
      </c>
      <c r="AO1313">
        <v>19200</v>
      </c>
      <c r="AQ1313" t="s">
        <v>46365</v>
      </c>
      <c r="AR1313" t="s">
        <v>46422</v>
      </c>
      <c r="AS1313" t="s">
        <v>46499</v>
      </c>
      <c r="AT1313" t="s">
        <v>46506</v>
      </c>
      <c r="AU1313">
        <v>21</v>
      </c>
      <c r="AV1313" t="s">
        <v>744</v>
      </c>
      <c r="AW1313" t="s">
        <v>161</v>
      </c>
    </row>
    <row r="1314" spans="1:50">
      <c r="A1314" s="1">
        <f>HYPERLINK("https://lsnyc.legalserver.org/matter/dynamic-profile/view/1876331","18-1876331")</f>
        <v>0</v>
      </c>
      <c r="B1314" t="s">
        <v>167</v>
      </c>
      <c r="C1314" t="s">
        <v>340</v>
      </c>
      <c r="D1314" t="s">
        <v>493</v>
      </c>
      <c r="F1314" t="s">
        <v>1707</v>
      </c>
      <c r="G1314" t="s">
        <v>5899</v>
      </c>
      <c r="H1314" t="s">
        <v>10748</v>
      </c>
      <c r="I1314" t="s">
        <v>17410</v>
      </c>
      <c r="J1314" t="s">
        <v>18901</v>
      </c>
      <c r="K1314">
        <v>11432</v>
      </c>
      <c r="L1314" t="s">
        <v>18958</v>
      </c>
      <c r="M1314" t="s">
        <v>18958</v>
      </c>
      <c r="N1314" t="s">
        <v>19947</v>
      </c>
      <c r="O1314" t="s">
        <v>26524</v>
      </c>
      <c r="P1314" t="s">
        <v>26564</v>
      </c>
      <c r="R1314" t="s">
        <v>26584</v>
      </c>
      <c r="S1314" t="s">
        <v>18959</v>
      </c>
      <c r="U1314" t="s">
        <v>26604</v>
      </c>
      <c r="V1314" t="s">
        <v>26610</v>
      </c>
      <c r="W1314" t="s">
        <v>493</v>
      </c>
      <c r="X1314">
        <v>2200</v>
      </c>
      <c r="Y1314" t="s">
        <v>26653</v>
      </c>
      <c r="Z1314" t="s">
        <v>26664</v>
      </c>
      <c r="AB1314" t="s">
        <v>27892</v>
      </c>
      <c r="AC1314" t="s">
        <v>34894</v>
      </c>
      <c r="AD1314" t="s">
        <v>37943</v>
      </c>
      <c r="AE1314">
        <v>59</v>
      </c>
      <c r="AF1314" t="s">
        <v>45541</v>
      </c>
      <c r="AG1314" t="s">
        <v>19330</v>
      </c>
      <c r="AH1314">
        <v>4</v>
      </c>
      <c r="AI1314">
        <v>3</v>
      </c>
      <c r="AJ1314">
        <v>1</v>
      </c>
      <c r="AK1314">
        <v>163.35</v>
      </c>
      <c r="AN1314" t="s">
        <v>45592</v>
      </c>
      <c r="AO1314">
        <v>41000</v>
      </c>
      <c r="AU1314">
        <v>2.2</v>
      </c>
      <c r="AV1314" t="s">
        <v>523</v>
      </c>
      <c r="AW1314" t="s">
        <v>161</v>
      </c>
    </row>
    <row r="1315" spans="1:50">
      <c r="A1315" s="1">
        <f>HYPERLINK("https://lsnyc.legalserver.org/matter/dynamic-profile/view/1876522","18-1876522")</f>
        <v>0</v>
      </c>
      <c r="B1315" t="s">
        <v>71</v>
      </c>
      <c r="C1315" t="s">
        <v>340</v>
      </c>
      <c r="D1315" t="s">
        <v>493</v>
      </c>
      <c r="F1315" t="s">
        <v>1708</v>
      </c>
      <c r="G1315" t="s">
        <v>5900</v>
      </c>
      <c r="H1315" t="s">
        <v>9686</v>
      </c>
      <c r="I1315" t="s">
        <v>17343</v>
      </c>
      <c r="J1315" t="s">
        <v>18892</v>
      </c>
      <c r="K1315">
        <v>10468</v>
      </c>
      <c r="L1315" t="s">
        <v>18958</v>
      </c>
      <c r="M1315" t="s">
        <v>18958</v>
      </c>
      <c r="N1315" t="s">
        <v>19948</v>
      </c>
      <c r="O1315" t="s">
        <v>26523</v>
      </c>
      <c r="P1315" t="s">
        <v>26560</v>
      </c>
      <c r="R1315" t="s">
        <v>26579</v>
      </c>
      <c r="S1315" t="s">
        <v>18959</v>
      </c>
      <c r="U1315" t="s">
        <v>26604</v>
      </c>
      <c r="V1315" t="s">
        <v>26609</v>
      </c>
      <c r="W1315" t="s">
        <v>493</v>
      </c>
      <c r="X1315">
        <v>943</v>
      </c>
      <c r="Y1315" t="s">
        <v>26650</v>
      </c>
      <c r="Z1315" t="s">
        <v>26664</v>
      </c>
      <c r="AB1315" t="s">
        <v>27893</v>
      </c>
      <c r="AC1315" t="s">
        <v>34895</v>
      </c>
      <c r="AD1315" t="s">
        <v>37944</v>
      </c>
      <c r="AE1315">
        <v>111</v>
      </c>
      <c r="AF1315" t="s">
        <v>45541</v>
      </c>
      <c r="AG1315" t="s">
        <v>45561</v>
      </c>
      <c r="AH1315">
        <v>7</v>
      </c>
      <c r="AI1315">
        <v>1</v>
      </c>
      <c r="AJ1315">
        <v>0</v>
      </c>
      <c r="AK1315">
        <v>74.14</v>
      </c>
      <c r="AN1315" t="s">
        <v>45581</v>
      </c>
      <c r="AO1315">
        <v>9000</v>
      </c>
      <c r="AR1315" t="s">
        <v>46385</v>
      </c>
      <c r="AS1315" t="s">
        <v>46499</v>
      </c>
      <c r="AT1315" t="s">
        <v>46688</v>
      </c>
      <c r="AU1315">
        <v>9.1</v>
      </c>
      <c r="AV1315" t="s">
        <v>689</v>
      </c>
      <c r="AW1315" t="s">
        <v>334</v>
      </c>
    </row>
    <row r="1316" spans="1:50">
      <c r="A1316" s="1">
        <f>HYPERLINK("https://lsnyc.legalserver.org/matter/dynamic-profile/view/1876348","18-1876348")</f>
        <v>0</v>
      </c>
      <c r="B1316" t="s">
        <v>79</v>
      </c>
      <c r="C1316" t="s">
        <v>340</v>
      </c>
      <c r="D1316" t="s">
        <v>493</v>
      </c>
      <c r="F1316" t="s">
        <v>1614</v>
      </c>
      <c r="G1316" t="s">
        <v>5089</v>
      </c>
      <c r="H1316" t="s">
        <v>9854</v>
      </c>
      <c r="I1316" t="s">
        <v>17428</v>
      </c>
      <c r="J1316" t="s">
        <v>18893</v>
      </c>
      <c r="K1316">
        <v>10033</v>
      </c>
      <c r="L1316" t="s">
        <v>18958</v>
      </c>
      <c r="M1316" t="s">
        <v>18958</v>
      </c>
      <c r="O1316" t="s">
        <v>26526</v>
      </c>
      <c r="P1316" t="s">
        <v>26565</v>
      </c>
      <c r="R1316" t="s">
        <v>26578</v>
      </c>
      <c r="S1316" t="s">
        <v>18958</v>
      </c>
      <c r="U1316" t="s">
        <v>26604</v>
      </c>
      <c r="W1316" t="s">
        <v>493</v>
      </c>
      <c r="X1316">
        <v>1478.3</v>
      </c>
      <c r="Y1316" t="s">
        <v>26651</v>
      </c>
      <c r="Z1316" t="s">
        <v>26661</v>
      </c>
      <c r="AB1316" t="s">
        <v>27894</v>
      </c>
      <c r="AD1316" t="s">
        <v>37945</v>
      </c>
      <c r="AE1316">
        <v>232</v>
      </c>
      <c r="AF1316" t="s">
        <v>45541</v>
      </c>
      <c r="AG1316" t="s">
        <v>45556</v>
      </c>
      <c r="AH1316">
        <v>19</v>
      </c>
      <c r="AI1316">
        <v>2</v>
      </c>
      <c r="AJ1316">
        <v>0</v>
      </c>
      <c r="AK1316">
        <v>87.92</v>
      </c>
      <c r="AN1316" t="s">
        <v>7439</v>
      </c>
      <c r="AO1316">
        <v>14472</v>
      </c>
      <c r="AU1316">
        <v>0.6</v>
      </c>
      <c r="AV1316" t="s">
        <v>830</v>
      </c>
      <c r="AW1316" t="s">
        <v>46840</v>
      </c>
    </row>
    <row r="1317" spans="1:50">
      <c r="A1317" s="1">
        <f>HYPERLINK("https://lsnyc.legalserver.org/matter/dynamic-profile/view/1876334","18-1876334")</f>
        <v>0</v>
      </c>
      <c r="B1317" t="s">
        <v>79</v>
      </c>
      <c r="C1317" t="s">
        <v>340</v>
      </c>
      <c r="D1317" t="s">
        <v>493</v>
      </c>
      <c r="F1317" t="s">
        <v>1004</v>
      </c>
      <c r="G1317" t="s">
        <v>5901</v>
      </c>
      <c r="H1317" t="s">
        <v>9854</v>
      </c>
      <c r="I1317" t="s">
        <v>17632</v>
      </c>
      <c r="J1317" t="s">
        <v>18893</v>
      </c>
      <c r="K1317">
        <v>10033</v>
      </c>
      <c r="L1317" t="s">
        <v>18958</v>
      </c>
      <c r="M1317" t="s">
        <v>18958</v>
      </c>
      <c r="O1317" t="s">
        <v>26526</v>
      </c>
      <c r="P1317" t="s">
        <v>26565</v>
      </c>
      <c r="R1317" t="s">
        <v>26578</v>
      </c>
      <c r="S1317" t="s">
        <v>18958</v>
      </c>
      <c r="U1317" t="s">
        <v>26604</v>
      </c>
      <c r="W1317" t="s">
        <v>493</v>
      </c>
      <c r="X1317">
        <v>1145.5</v>
      </c>
      <c r="Y1317" t="s">
        <v>26651</v>
      </c>
      <c r="Z1317" t="s">
        <v>26661</v>
      </c>
      <c r="AB1317" t="s">
        <v>27895</v>
      </c>
      <c r="AD1317" t="s">
        <v>37946</v>
      </c>
      <c r="AE1317">
        <v>232</v>
      </c>
      <c r="AF1317" t="s">
        <v>45541</v>
      </c>
      <c r="AG1317" t="s">
        <v>26530</v>
      </c>
      <c r="AH1317">
        <v>50</v>
      </c>
      <c r="AI1317">
        <v>1</v>
      </c>
      <c r="AJ1317">
        <v>0</v>
      </c>
      <c r="AK1317">
        <v>107.25</v>
      </c>
      <c r="AN1317" t="s">
        <v>7439</v>
      </c>
      <c r="AO1317">
        <v>13020</v>
      </c>
      <c r="AU1317">
        <v>1.1</v>
      </c>
      <c r="AV1317" t="s">
        <v>827</v>
      </c>
      <c r="AW1317" t="s">
        <v>46840</v>
      </c>
    </row>
    <row r="1318" spans="1:50">
      <c r="A1318" s="1">
        <f>HYPERLINK("https://lsnyc.legalserver.org/matter/dynamic-profile/view/1876353","18-1876353")</f>
        <v>0</v>
      </c>
      <c r="B1318" t="s">
        <v>79</v>
      </c>
      <c r="C1318" t="s">
        <v>340</v>
      </c>
      <c r="D1318" t="s">
        <v>493</v>
      </c>
      <c r="F1318" t="s">
        <v>1709</v>
      </c>
      <c r="G1318" t="s">
        <v>5902</v>
      </c>
      <c r="H1318" t="s">
        <v>9854</v>
      </c>
      <c r="I1318" t="s">
        <v>17633</v>
      </c>
      <c r="J1318" t="s">
        <v>18893</v>
      </c>
      <c r="K1318">
        <v>10033</v>
      </c>
      <c r="L1318" t="s">
        <v>18958</v>
      </c>
      <c r="M1318" t="s">
        <v>18958</v>
      </c>
      <c r="O1318" t="s">
        <v>26526</v>
      </c>
      <c r="P1318" t="s">
        <v>26565</v>
      </c>
      <c r="R1318" t="s">
        <v>26578</v>
      </c>
      <c r="S1318" t="s">
        <v>18958</v>
      </c>
      <c r="U1318" t="s">
        <v>26604</v>
      </c>
      <c r="W1318" t="s">
        <v>493</v>
      </c>
      <c r="X1318">
        <v>1540</v>
      </c>
      <c r="Y1318" t="s">
        <v>26651</v>
      </c>
      <c r="Z1318" t="s">
        <v>26661</v>
      </c>
      <c r="AB1318" t="s">
        <v>27896</v>
      </c>
      <c r="AD1318" t="s">
        <v>37947</v>
      </c>
      <c r="AE1318">
        <v>232</v>
      </c>
      <c r="AF1318" t="s">
        <v>45541</v>
      </c>
      <c r="AG1318" t="s">
        <v>19330</v>
      </c>
      <c r="AH1318">
        <v>41</v>
      </c>
      <c r="AI1318">
        <v>2</v>
      </c>
      <c r="AJ1318">
        <v>0</v>
      </c>
      <c r="AK1318">
        <v>243.01</v>
      </c>
      <c r="AN1318" t="s">
        <v>7439</v>
      </c>
      <c r="AO1318">
        <v>40000</v>
      </c>
      <c r="AU1318">
        <v>1.1</v>
      </c>
      <c r="AV1318" t="s">
        <v>827</v>
      </c>
      <c r="AW1318" t="s">
        <v>46840</v>
      </c>
    </row>
    <row r="1319" spans="1:50">
      <c r="A1319" s="1">
        <f>HYPERLINK("https://lsnyc.legalserver.org/matter/dynamic-profile/view/1876326","18-1876326")</f>
        <v>0</v>
      </c>
      <c r="B1319" t="s">
        <v>79</v>
      </c>
      <c r="C1319" t="s">
        <v>340</v>
      </c>
      <c r="D1319" t="s">
        <v>493</v>
      </c>
      <c r="F1319" t="s">
        <v>1710</v>
      </c>
      <c r="G1319" t="s">
        <v>5091</v>
      </c>
      <c r="H1319" t="s">
        <v>9854</v>
      </c>
      <c r="I1319" t="s">
        <v>17634</v>
      </c>
      <c r="J1319" t="s">
        <v>18893</v>
      </c>
      <c r="K1319">
        <v>10033</v>
      </c>
      <c r="L1319" t="s">
        <v>18958</v>
      </c>
      <c r="M1319" t="s">
        <v>18958</v>
      </c>
      <c r="O1319" t="s">
        <v>26526</v>
      </c>
      <c r="P1319" t="s">
        <v>26565</v>
      </c>
      <c r="R1319" t="s">
        <v>26578</v>
      </c>
      <c r="S1319" t="s">
        <v>18958</v>
      </c>
      <c r="U1319" t="s">
        <v>26604</v>
      </c>
      <c r="W1319" t="s">
        <v>493</v>
      </c>
      <c r="X1319">
        <v>1546.93</v>
      </c>
      <c r="Y1319" t="s">
        <v>26651</v>
      </c>
      <c r="Z1319" t="s">
        <v>26661</v>
      </c>
      <c r="AB1319" t="s">
        <v>27897</v>
      </c>
      <c r="AD1319" t="s">
        <v>37948</v>
      </c>
      <c r="AE1319">
        <v>232</v>
      </c>
      <c r="AF1319" t="s">
        <v>45541</v>
      </c>
      <c r="AG1319" t="s">
        <v>19330</v>
      </c>
      <c r="AH1319">
        <v>14</v>
      </c>
      <c r="AI1319">
        <v>1</v>
      </c>
      <c r="AJ1319">
        <v>0</v>
      </c>
      <c r="AK1319">
        <v>397.5</v>
      </c>
      <c r="AN1319" t="s">
        <v>7439</v>
      </c>
      <c r="AO1319">
        <v>48257</v>
      </c>
      <c r="AU1319">
        <v>10</v>
      </c>
      <c r="AV1319" t="s">
        <v>826</v>
      </c>
      <c r="AW1319" t="s">
        <v>46840</v>
      </c>
    </row>
    <row r="1320" spans="1:50">
      <c r="A1320" s="1">
        <f>HYPERLINK("https://lsnyc.legalserver.org/matter/dynamic-profile/view/1876375","18-1876375")</f>
        <v>0</v>
      </c>
      <c r="B1320" t="s">
        <v>114</v>
      </c>
      <c r="C1320" t="s">
        <v>340</v>
      </c>
      <c r="D1320" t="s">
        <v>493</v>
      </c>
      <c r="F1320" t="s">
        <v>1292</v>
      </c>
      <c r="G1320" t="s">
        <v>5903</v>
      </c>
      <c r="H1320" t="s">
        <v>10749</v>
      </c>
      <c r="I1320" t="s">
        <v>17349</v>
      </c>
      <c r="J1320" t="s">
        <v>18901</v>
      </c>
      <c r="K1320">
        <v>11433</v>
      </c>
      <c r="L1320" t="s">
        <v>18958</v>
      </c>
      <c r="M1320" t="s">
        <v>18958</v>
      </c>
      <c r="N1320" t="s">
        <v>19949</v>
      </c>
      <c r="O1320" t="s">
        <v>26523</v>
      </c>
      <c r="P1320" t="s">
        <v>26563</v>
      </c>
      <c r="R1320" t="s">
        <v>26585</v>
      </c>
      <c r="S1320" t="s">
        <v>18959</v>
      </c>
      <c r="U1320" t="s">
        <v>26604</v>
      </c>
      <c r="V1320" t="s">
        <v>26610</v>
      </c>
      <c r="W1320" t="s">
        <v>493</v>
      </c>
      <c r="X1320">
        <v>717.78</v>
      </c>
      <c r="Y1320" t="s">
        <v>26653</v>
      </c>
      <c r="Z1320" t="s">
        <v>26664</v>
      </c>
      <c r="AB1320" t="s">
        <v>27898</v>
      </c>
      <c r="AC1320" t="s">
        <v>34896</v>
      </c>
      <c r="AD1320" t="s">
        <v>37949</v>
      </c>
      <c r="AE1320">
        <v>16</v>
      </c>
      <c r="AF1320" t="s">
        <v>45541</v>
      </c>
      <c r="AG1320" t="s">
        <v>19330</v>
      </c>
      <c r="AH1320">
        <v>24</v>
      </c>
      <c r="AI1320">
        <v>1</v>
      </c>
      <c r="AJ1320">
        <v>0</v>
      </c>
      <c r="AK1320">
        <v>74.14</v>
      </c>
      <c r="AN1320" t="s">
        <v>7439</v>
      </c>
      <c r="AO1320">
        <v>9000</v>
      </c>
      <c r="AU1320">
        <v>11.35</v>
      </c>
      <c r="AV1320" t="s">
        <v>784</v>
      </c>
      <c r="AW1320" t="s">
        <v>161</v>
      </c>
    </row>
    <row r="1321" spans="1:50">
      <c r="A1321" s="1">
        <f>HYPERLINK("https://lsnyc.legalserver.org/matter/dynamic-profile/view/1876468","18-1876468")</f>
        <v>0</v>
      </c>
      <c r="B1321" t="s">
        <v>221</v>
      </c>
      <c r="C1321" t="s">
        <v>340</v>
      </c>
      <c r="D1321" t="s">
        <v>523</v>
      </c>
      <c r="F1321" t="s">
        <v>1613</v>
      </c>
      <c r="G1321" t="s">
        <v>5904</v>
      </c>
      <c r="H1321" t="s">
        <v>10725</v>
      </c>
      <c r="I1321" t="s">
        <v>17635</v>
      </c>
      <c r="J1321" t="s">
        <v>18901</v>
      </c>
      <c r="K1321">
        <v>11433</v>
      </c>
      <c r="L1321" t="s">
        <v>18958</v>
      </c>
      <c r="M1321" t="s">
        <v>18958</v>
      </c>
      <c r="N1321" t="s">
        <v>19950</v>
      </c>
      <c r="O1321" t="s">
        <v>26524</v>
      </c>
      <c r="P1321" t="s">
        <v>26560</v>
      </c>
      <c r="R1321" t="s">
        <v>26585</v>
      </c>
      <c r="S1321" t="s">
        <v>18959</v>
      </c>
      <c r="U1321" t="s">
        <v>26604</v>
      </c>
      <c r="V1321" t="s">
        <v>26610</v>
      </c>
      <c r="W1321" t="s">
        <v>493</v>
      </c>
      <c r="X1321">
        <v>800</v>
      </c>
      <c r="Y1321" t="s">
        <v>26653</v>
      </c>
      <c r="Z1321" t="s">
        <v>26668</v>
      </c>
      <c r="AB1321" t="s">
        <v>27899</v>
      </c>
      <c r="AC1321" t="s">
        <v>34897</v>
      </c>
      <c r="AD1321" t="s">
        <v>37950</v>
      </c>
      <c r="AE1321">
        <v>2</v>
      </c>
      <c r="AF1321" t="s">
        <v>45547</v>
      </c>
      <c r="AG1321" t="s">
        <v>45562</v>
      </c>
      <c r="AH1321">
        <v>3</v>
      </c>
      <c r="AI1321">
        <v>1</v>
      </c>
      <c r="AJ1321">
        <v>0</v>
      </c>
      <c r="AK1321">
        <v>74.43000000000001</v>
      </c>
      <c r="AN1321" t="s">
        <v>7439</v>
      </c>
      <c r="AO1321">
        <v>9036</v>
      </c>
      <c r="AU1321">
        <v>11.45</v>
      </c>
      <c r="AV1321" t="s">
        <v>823</v>
      </c>
      <c r="AW1321" t="s">
        <v>161</v>
      </c>
    </row>
    <row r="1322" spans="1:50">
      <c r="A1322" s="1">
        <f>HYPERLINK("https://lsnyc.legalserver.org/matter/dynamic-profile/view/1876504","18-1876504")</f>
        <v>0</v>
      </c>
      <c r="B1322" t="s">
        <v>95</v>
      </c>
      <c r="C1322" t="s">
        <v>340</v>
      </c>
      <c r="D1322" t="s">
        <v>530</v>
      </c>
      <c r="F1322" t="s">
        <v>1045</v>
      </c>
      <c r="G1322" t="s">
        <v>5905</v>
      </c>
      <c r="H1322" t="s">
        <v>10750</v>
      </c>
      <c r="I1322">
        <v>24</v>
      </c>
      <c r="J1322" t="s">
        <v>18894</v>
      </c>
      <c r="K1322">
        <v>11213</v>
      </c>
      <c r="L1322" t="s">
        <v>18958</v>
      </c>
      <c r="M1322" t="s">
        <v>18958</v>
      </c>
      <c r="N1322" t="s">
        <v>19951</v>
      </c>
      <c r="O1322" t="s">
        <v>26526</v>
      </c>
      <c r="P1322" t="s">
        <v>26560</v>
      </c>
      <c r="R1322" t="s">
        <v>26578</v>
      </c>
      <c r="S1322" t="s">
        <v>18958</v>
      </c>
      <c r="U1322" t="s">
        <v>26604</v>
      </c>
      <c r="W1322" t="s">
        <v>493</v>
      </c>
      <c r="X1322">
        <v>917</v>
      </c>
      <c r="Y1322" t="s">
        <v>26652</v>
      </c>
      <c r="Z1322" t="s">
        <v>26663</v>
      </c>
      <c r="AB1322" t="s">
        <v>27900</v>
      </c>
      <c r="AD1322" t="s">
        <v>37951</v>
      </c>
      <c r="AE1322">
        <v>31</v>
      </c>
      <c r="AF1322" t="s">
        <v>45541</v>
      </c>
      <c r="AG1322" t="s">
        <v>19330</v>
      </c>
      <c r="AH1322">
        <v>18</v>
      </c>
      <c r="AI1322">
        <v>3</v>
      </c>
      <c r="AJ1322">
        <v>0</v>
      </c>
      <c r="AK1322">
        <v>203.08</v>
      </c>
      <c r="AL1322" t="s">
        <v>574</v>
      </c>
      <c r="AM1322" t="s">
        <v>45575</v>
      </c>
      <c r="AN1322" t="s">
        <v>7439</v>
      </c>
      <c r="AO1322">
        <v>42200</v>
      </c>
      <c r="AU1322">
        <v>419.05</v>
      </c>
      <c r="AV1322" t="s">
        <v>834</v>
      </c>
      <c r="AW1322" t="s">
        <v>279</v>
      </c>
    </row>
    <row r="1323" spans="1:50">
      <c r="A1323" s="1">
        <f>HYPERLINK("https://lsnyc.legalserver.org/matter/dynamic-profile/view/1876512","18-1876512")</f>
        <v>0</v>
      </c>
      <c r="B1323" t="s">
        <v>78</v>
      </c>
      <c r="C1323" t="s">
        <v>340</v>
      </c>
      <c r="D1323" t="s">
        <v>530</v>
      </c>
      <c r="F1323" t="s">
        <v>1228</v>
      </c>
      <c r="G1323" t="s">
        <v>5100</v>
      </c>
      <c r="H1323" t="s">
        <v>10751</v>
      </c>
      <c r="I1323" t="s">
        <v>17342</v>
      </c>
      <c r="J1323" t="s">
        <v>18894</v>
      </c>
      <c r="K1323">
        <v>11213</v>
      </c>
      <c r="L1323" t="s">
        <v>18958</v>
      </c>
      <c r="M1323" t="s">
        <v>18958</v>
      </c>
      <c r="N1323" t="s">
        <v>19952</v>
      </c>
      <c r="O1323" t="s">
        <v>26526</v>
      </c>
      <c r="P1323" t="s">
        <v>26560</v>
      </c>
      <c r="R1323" t="s">
        <v>26578</v>
      </c>
      <c r="S1323" t="s">
        <v>18958</v>
      </c>
      <c r="U1323" t="s">
        <v>26604</v>
      </c>
      <c r="W1323" t="s">
        <v>493</v>
      </c>
      <c r="X1323">
        <v>905.59</v>
      </c>
      <c r="Y1323" t="s">
        <v>26652</v>
      </c>
      <c r="Z1323" t="s">
        <v>26663</v>
      </c>
      <c r="AB1323" t="s">
        <v>27901</v>
      </c>
      <c r="AD1323" t="s">
        <v>37952</v>
      </c>
      <c r="AE1323">
        <v>34</v>
      </c>
      <c r="AF1323" t="s">
        <v>45541</v>
      </c>
      <c r="AG1323" t="s">
        <v>19330</v>
      </c>
      <c r="AH1323">
        <v>25</v>
      </c>
      <c r="AI1323">
        <v>2</v>
      </c>
      <c r="AJ1323">
        <v>0</v>
      </c>
      <c r="AK1323">
        <v>167.68</v>
      </c>
      <c r="AN1323" t="s">
        <v>45581</v>
      </c>
      <c r="AO1323">
        <v>27600</v>
      </c>
      <c r="AP1323" t="s">
        <v>45666</v>
      </c>
      <c r="AU1323">
        <v>0.1</v>
      </c>
      <c r="AV1323" t="s">
        <v>806</v>
      </c>
      <c r="AW1323" t="s">
        <v>279</v>
      </c>
      <c r="AX1323" t="s">
        <v>46897</v>
      </c>
    </row>
    <row r="1324" spans="1:50">
      <c r="A1324" s="1">
        <f>HYPERLINK("https://lsnyc.legalserver.org/matter/dynamic-profile/view/1876511","18-1876511")</f>
        <v>0</v>
      </c>
      <c r="B1324" t="s">
        <v>78</v>
      </c>
      <c r="C1324" t="s">
        <v>340</v>
      </c>
      <c r="D1324" t="s">
        <v>530</v>
      </c>
      <c r="F1324" t="s">
        <v>1711</v>
      </c>
      <c r="G1324" t="s">
        <v>5906</v>
      </c>
      <c r="H1324" t="s">
        <v>10751</v>
      </c>
      <c r="I1324" t="s">
        <v>17636</v>
      </c>
      <c r="J1324" t="s">
        <v>18894</v>
      </c>
      <c r="K1324">
        <v>11213</v>
      </c>
      <c r="L1324" t="s">
        <v>18958</v>
      </c>
      <c r="M1324" t="s">
        <v>18958</v>
      </c>
      <c r="N1324" t="s">
        <v>19951</v>
      </c>
      <c r="O1324" t="s">
        <v>26526</v>
      </c>
      <c r="P1324" t="s">
        <v>26560</v>
      </c>
      <c r="R1324" t="s">
        <v>26578</v>
      </c>
      <c r="S1324" t="s">
        <v>18958</v>
      </c>
      <c r="T1324" t="s">
        <v>26578</v>
      </c>
      <c r="U1324" t="s">
        <v>26604</v>
      </c>
      <c r="W1324" t="s">
        <v>493</v>
      </c>
      <c r="X1324">
        <v>756</v>
      </c>
      <c r="Y1324" t="s">
        <v>26652</v>
      </c>
      <c r="Z1324" t="s">
        <v>26663</v>
      </c>
      <c r="AB1324" t="s">
        <v>27902</v>
      </c>
      <c r="AD1324" t="s">
        <v>37953</v>
      </c>
      <c r="AE1324">
        <v>34</v>
      </c>
      <c r="AF1324" t="s">
        <v>45541</v>
      </c>
      <c r="AG1324" t="s">
        <v>19330</v>
      </c>
      <c r="AH1324">
        <v>40</v>
      </c>
      <c r="AI1324">
        <v>2</v>
      </c>
      <c r="AJ1324">
        <v>0</v>
      </c>
      <c r="AK1324">
        <v>335.36</v>
      </c>
      <c r="AN1324" t="s">
        <v>7439</v>
      </c>
      <c r="AO1324">
        <v>55200</v>
      </c>
      <c r="AU1324">
        <v>0.75</v>
      </c>
      <c r="AV1324" t="s">
        <v>758</v>
      </c>
      <c r="AW1324" t="s">
        <v>279</v>
      </c>
    </row>
    <row r="1325" spans="1:50">
      <c r="A1325" s="1">
        <f>HYPERLINK("https://lsnyc.legalserver.org/matter/dynamic-profile/view/1876516","18-1876516")</f>
        <v>0</v>
      </c>
      <c r="B1325" t="s">
        <v>78</v>
      </c>
      <c r="C1325" t="s">
        <v>340</v>
      </c>
      <c r="D1325" t="s">
        <v>530</v>
      </c>
      <c r="F1325" t="s">
        <v>1712</v>
      </c>
      <c r="G1325" t="s">
        <v>5907</v>
      </c>
      <c r="H1325" t="s">
        <v>10750</v>
      </c>
      <c r="I1325">
        <v>27</v>
      </c>
      <c r="J1325" t="s">
        <v>18894</v>
      </c>
      <c r="K1325">
        <v>11213</v>
      </c>
      <c r="L1325" t="s">
        <v>18958</v>
      </c>
      <c r="M1325" t="s">
        <v>18958</v>
      </c>
      <c r="N1325" t="s">
        <v>19951</v>
      </c>
      <c r="O1325" t="s">
        <v>26526</v>
      </c>
      <c r="P1325" t="s">
        <v>26560</v>
      </c>
      <c r="R1325" t="s">
        <v>26578</v>
      </c>
      <c r="S1325" t="s">
        <v>18958</v>
      </c>
      <c r="T1325" t="s">
        <v>26578</v>
      </c>
      <c r="U1325" t="s">
        <v>26604</v>
      </c>
      <c r="W1325" t="s">
        <v>493</v>
      </c>
      <c r="X1325">
        <v>861.2</v>
      </c>
      <c r="Y1325" t="s">
        <v>26652</v>
      </c>
      <c r="Z1325" t="s">
        <v>26663</v>
      </c>
      <c r="AB1325" t="s">
        <v>27903</v>
      </c>
      <c r="AD1325" t="s">
        <v>37954</v>
      </c>
      <c r="AE1325">
        <v>31</v>
      </c>
      <c r="AF1325" t="s">
        <v>45541</v>
      </c>
      <c r="AG1325" t="s">
        <v>19330</v>
      </c>
      <c r="AH1325">
        <v>34</v>
      </c>
      <c r="AI1325">
        <v>2</v>
      </c>
      <c r="AJ1325">
        <v>0</v>
      </c>
      <c r="AK1325">
        <v>369.38</v>
      </c>
      <c r="AN1325" t="s">
        <v>7439</v>
      </c>
      <c r="AO1325">
        <v>60800</v>
      </c>
      <c r="AU1325">
        <v>0.1</v>
      </c>
      <c r="AV1325" t="s">
        <v>758</v>
      </c>
      <c r="AW1325" t="s">
        <v>279</v>
      </c>
    </row>
    <row r="1326" spans="1:50">
      <c r="A1326" s="1">
        <f>HYPERLINK("https://lsnyc.legalserver.org/matter/dynamic-profile/view/1844804","17-1844804")</f>
        <v>0</v>
      </c>
      <c r="B1326" t="s">
        <v>56</v>
      </c>
      <c r="C1326" t="s">
        <v>340</v>
      </c>
      <c r="D1326" t="s">
        <v>549</v>
      </c>
      <c r="F1326" t="s">
        <v>1339</v>
      </c>
      <c r="G1326" t="s">
        <v>5908</v>
      </c>
      <c r="H1326" t="s">
        <v>10752</v>
      </c>
      <c r="I1326" t="s">
        <v>17293</v>
      </c>
      <c r="J1326" t="s">
        <v>18892</v>
      </c>
      <c r="K1326">
        <v>10457</v>
      </c>
      <c r="L1326" t="s">
        <v>18958</v>
      </c>
      <c r="M1326" t="s">
        <v>18960</v>
      </c>
      <c r="N1326" t="s">
        <v>19953</v>
      </c>
      <c r="O1326" t="s">
        <v>26523</v>
      </c>
      <c r="P1326" t="s">
        <v>26560</v>
      </c>
      <c r="R1326" t="s">
        <v>26579</v>
      </c>
      <c r="U1326" t="s">
        <v>26604</v>
      </c>
      <c r="V1326" t="s">
        <v>26610</v>
      </c>
      <c r="W1326" t="s">
        <v>523</v>
      </c>
      <c r="X1326">
        <v>1127.9</v>
      </c>
      <c r="Y1326" t="s">
        <v>26650</v>
      </c>
      <c r="Z1326" t="s">
        <v>26659</v>
      </c>
      <c r="AB1326" t="s">
        <v>27904</v>
      </c>
      <c r="AC1326">
        <v>14540929</v>
      </c>
      <c r="AD1326" t="s">
        <v>37955</v>
      </c>
      <c r="AE1326">
        <v>0</v>
      </c>
      <c r="AF1326" t="s">
        <v>45541</v>
      </c>
      <c r="AH1326">
        <v>30</v>
      </c>
      <c r="AI1326">
        <v>3</v>
      </c>
      <c r="AJ1326">
        <v>0</v>
      </c>
      <c r="AK1326">
        <v>130.4</v>
      </c>
      <c r="AN1326" t="s">
        <v>45581</v>
      </c>
      <c r="AO1326">
        <v>35424</v>
      </c>
      <c r="AP1326" t="s">
        <v>45620</v>
      </c>
      <c r="AU1326">
        <v>39.1</v>
      </c>
      <c r="AV1326" t="s">
        <v>828</v>
      </c>
      <c r="AW1326" t="s">
        <v>46836</v>
      </c>
    </row>
    <row r="1327" spans="1:50">
      <c r="A1327" s="1">
        <f>HYPERLINK("https://lsnyc.legalserver.org/matter/dynamic-profile/view/1872149","18-1872149")</f>
        <v>0</v>
      </c>
      <c r="B1327" t="s">
        <v>64</v>
      </c>
      <c r="C1327" t="s">
        <v>341</v>
      </c>
      <c r="D1327" t="s">
        <v>438</v>
      </c>
      <c r="E1327" t="s">
        <v>529</v>
      </c>
      <c r="F1327" t="s">
        <v>1713</v>
      </c>
      <c r="G1327" t="s">
        <v>5909</v>
      </c>
      <c r="H1327" t="s">
        <v>10753</v>
      </c>
      <c r="I1327" t="s">
        <v>17323</v>
      </c>
      <c r="J1327" t="s">
        <v>18892</v>
      </c>
      <c r="K1327">
        <v>10457</v>
      </c>
      <c r="L1327" t="s">
        <v>18958</v>
      </c>
      <c r="M1327" t="s">
        <v>18958</v>
      </c>
      <c r="N1327" t="s">
        <v>19954</v>
      </c>
      <c r="O1327" t="s">
        <v>26523</v>
      </c>
      <c r="P1327" t="s">
        <v>26560</v>
      </c>
      <c r="Q1327" t="s">
        <v>26568</v>
      </c>
      <c r="R1327" t="s">
        <v>26579</v>
      </c>
      <c r="U1327" t="s">
        <v>26604</v>
      </c>
      <c r="V1327" t="s">
        <v>26612</v>
      </c>
      <c r="W1327" t="s">
        <v>523</v>
      </c>
      <c r="X1327">
        <v>1400</v>
      </c>
      <c r="Y1327" t="s">
        <v>26650</v>
      </c>
      <c r="Z1327" t="s">
        <v>26662</v>
      </c>
      <c r="AA1327" t="s">
        <v>26678</v>
      </c>
      <c r="AB1327" t="s">
        <v>27905</v>
      </c>
      <c r="AC1327" t="s">
        <v>34898</v>
      </c>
      <c r="AD1327" t="s">
        <v>37956</v>
      </c>
      <c r="AE1327">
        <v>0</v>
      </c>
      <c r="AF1327" t="s">
        <v>45541</v>
      </c>
      <c r="AG1327" t="s">
        <v>19330</v>
      </c>
      <c r="AH1327">
        <v>6</v>
      </c>
      <c r="AI1327">
        <v>2</v>
      </c>
      <c r="AJ1327">
        <v>2</v>
      </c>
      <c r="AK1327">
        <v>67.36</v>
      </c>
      <c r="AO1327">
        <v>16908</v>
      </c>
      <c r="AP1327" t="s">
        <v>45621</v>
      </c>
      <c r="AQ1327" t="s">
        <v>46362</v>
      </c>
      <c r="AR1327" t="s">
        <v>46379</v>
      </c>
      <c r="AS1327" t="s">
        <v>46499</v>
      </c>
      <c r="AT1327" t="s">
        <v>46611</v>
      </c>
      <c r="AU1327">
        <v>8.5</v>
      </c>
      <c r="AV1327" t="s">
        <v>529</v>
      </c>
      <c r="AW1327" t="s">
        <v>334</v>
      </c>
    </row>
    <row r="1328" spans="1:50">
      <c r="A1328" s="1">
        <f>HYPERLINK("https://lsnyc.legalserver.org/matter/dynamic-profile/view/1872168","18-1872168")</f>
        <v>0</v>
      </c>
      <c r="B1328" t="s">
        <v>64</v>
      </c>
      <c r="C1328" t="s">
        <v>341</v>
      </c>
      <c r="D1328" t="s">
        <v>438</v>
      </c>
      <c r="E1328" t="s">
        <v>618</v>
      </c>
      <c r="F1328" t="s">
        <v>1714</v>
      </c>
      <c r="G1328" t="s">
        <v>5910</v>
      </c>
      <c r="H1328" t="s">
        <v>10365</v>
      </c>
      <c r="I1328">
        <v>1006</v>
      </c>
      <c r="J1328" t="s">
        <v>18892</v>
      </c>
      <c r="K1328">
        <v>10457</v>
      </c>
      <c r="L1328" t="s">
        <v>18958</v>
      </c>
      <c r="M1328" t="s">
        <v>18958</v>
      </c>
      <c r="N1328" t="s">
        <v>19955</v>
      </c>
      <c r="O1328" t="s">
        <v>26523</v>
      </c>
      <c r="P1328" t="s">
        <v>26560</v>
      </c>
      <c r="Q1328" t="s">
        <v>26568</v>
      </c>
      <c r="R1328" t="s">
        <v>26579</v>
      </c>
      <c r="U1328" t="s">
        <v>26604</v>
      </c>
      <c r="V1328" t="s">
        <v>26610</v>
      </c>
      <c r="W1328" t="s">
        <v>523</v>
      </c>
      <c r="X1328">
        <v>1058.25</v>
      </c>
      <c r="Y1328" t="s">
        <v>26650</v>
      </c>
      <c r="Z1328" t="s">
        <v>26662</v>
      </c>
      <c r="AA1328" t="s">
        <v>26678</v>
      </c>
      <c r="AB1328" t="s">
        <v>27906</v>
      </c>
      <c r="AC1328" t="s">
        <v>34899</v>
      </c>
      <c r="AD1328" t="s">
        <v>37957</v>
      </c>
      <c r="AE1328">
        <v>0</v>
      </c>
      <c r="AF1328" t="s">
        <v>45541</v>
      </c>
      <c r="AG1328" t="s">
        <v>19330</v>
      </c>
      <c r="AH1328">
        <v>7</v>
      </c>
      <c r="AI1328">
        <v>2</v>
      </c>
      <c r="AJ1328">
        <v>2</v>
      </c>
      <c r="AK1328">
        <v>191.24</v>
      </c>
      <c r="AN1328" t="s">
        <v>7439</v>
      </c>
      <c r="AO1328">
        <v>48000</v>
      </c>
      <c r="AQ1328" t="s">
        <v>46362</v>
      </c>
      <c r="AR1328" t="s">
        <v>46383</v>
      </c>
      <c r="AS1328" t="s">
        <v>46499</v>
      </c>
      <c r="AT1328" t="s">
        <v>46558</v>
      </c>
      <c r="AU1328">
        <v>8.85</v>
      </c>
      <c r="AV1328" t="s">
        <v>618</v>
      </c>
      <c r="AW1328" t="s">
        <v>46848</v>
      </c>
    </row>
    <row r="1329" spans="1:50">
      <c r="A1329" s="1">
        <f>HYPERLINK("https://lsnyc.legalserver.org/matter/dynamic-profile/view/1872158","18-1872158")</f>
        <v>0</v>
      </c>
      <c r="B1329" t="s">
        <v>81</v>
      </c>
      <c r="C1329" t="s">
        <v>340</v>
      </c>
      <c r="D1329" t="s">
        <v>438</v>
      </c>
      <c r="F1329" t="s">
        <v>991</v>
      </c>
      <c r="G1329" t="s">
        <v>4381</v>
      </c>
      <c r="H1329" t="s">
        <v>10754</v>
      </c>
      <c r="I1329" t="s">
        <v>17302</v>
      </c>
      <c r="J1329" t="s">
        <v>18892</v>
      </c>
      <c r="K1329">
        <v>10457</v>
      </c>
      <c r="L1329" t="s">
        <v>18958</v>
      </c>
      <c r="M1329" t="s">
        <v>18958</v>
      </c>
      <c r="N1329" t="s">
        <v>19956</v>
      </c>
      <c r="O1329" t="s">
        <v>26523</v>
      </c>
      <c r="P1329" t="s">
        <v>26560</v>
      </c>
      <c r="R1329" t="s">
        <v>26579</v>
      </c>
      <c r="S1329" t="s">
        <v>18959</v>
      </c>
      <c r="U1329" t="s">
        <v>26604</v>
      </c>
      <c r="V1329" t="s">
        <v>26610</v>
      </c>
      <c r="W1329" t="s">
        <v>523</v>
      </c>
      <c r="X1329">
        <v>0</v>
      </c>
      <c r="Y1329" t="s">
        <v>26650</v>
      </c>
      <c r="Z1329" t="s">
        <v>26662</v>
      </c>
      <c r="AB1329" t="s">
        <v>27907</v>
      </c>
      <c r="AC1329" t="s">
        <v>34900</v>
      </c>
      <c r="AE1329">
        <v>0</v>
      </c>
      <c r="AF1329" t="s">
        <v>45549</v>
      </c>
      <c r="AG1329" t="s">
        <v>45556</v>
      </c>
      <c r="AH1329">
        <v>11</v>
      </c>
      <c r="AI1329">
        <v>1</v>
      </c>
      <c r="AJ1329">
        <v>4</v>
      </c>
      <c r="AK1329">
        <v>88.38</v>
      </c>
      <c r="AN1329" t="s">
        <v>7439</v>
      </c>
      <c r="AO1329">
        <v>26000</v>
      </c>
      <c r="AU1329">
        <v>17.32</v>
      </c>
      <c r="AV1329" t="s">
        <v>760</v>
      </c>
      <c r="AW1329" t="s">
        <v>336</v>
      </c>
      <c r="AX1329" t="s">
        <v>46898</v>
      </c>
    </row>
    <row r="1330" spans="1:50">
      <c r="A1330" s="1">
        <f>HYPERLINK("https://lsnyc.legalserver.org/matter/dynamic-profile/view/1873898","18-1873898")</f>
        <v>0</v>
      </c>
      <c r="B1330" t="s">
        <v>87</v>
      </c>
      <c r="C1330" t="s">
        <v>341</v>
      </c>
      <c r="D1330" t="s">
        <v>469</v>
      </c>
      <c r="E1330" t="s">
        <v>639</v>
      </c>
      <c r="F1330" t="s">
        <v>1096</v>
      </c>
      <c r="G1330" t="s">
        <v>5095</v>
      </c>
      <c r="H1330" t="s">
        <v>10755</v>
      </c>
      <c r="I1330" t="s">
        <v>17272</v>
      </c>
      <c r="J1330" t="s">
        <v>18892</v>
      </c>
      <c r="K1330">
        <v>10457</v>
      </c>
      <c r="L1330" t="s">
        <v>18958</v>
      </c>
      <c r="M1330" t="s">
        <v>18958</v>
      </c>
      <c r="N1330" t="s">
        <v>19957</v>
      </c>
      <c r="O1330" t="s">
        <v>26523</v>
      </c>
      <c r="P1330" t="s">
        <v>26560</v>
      </c>
      <c r="Q1330" t="s">
        <v>26573</v>
      </c>
      <c r="R1330" t="s">
        <v>26579</v>
      </c>
      <c r="U1330" t="s">
        <v>26604</v>
      </c>
      <c r="V1330" t="s">
        <v>26610</v>
      </c>
      <c r="W1330" t="s">
        <v>523</v>
      </c>
      <c r="X1330">
        <v>731</v>
      </c>
      <c r="Y1330" t="s">
        <v>26650</v>
      </c>
      <c r="Z1330" t="s">
        <v>26664</v>
      </c>
      <c r="AA1330" t="s">
        <v>26678</v>
      </c>
      <c r="AB1330" t="s">
        <v>27908</v>
      </c>
      <c r="AC1330" t="s">
        <v>34901</v>
      </c>
      <c r="AD1330" t="s">
        <v>37958</v>
      </c>
      <c r="AE1330">
        <v>0</v>
      </c>
      <c r="AF1330" t="s">
        <v>45541</v>
      </c>
      <c r="AG1330" t="s">
        <v>19330</v>
      </c>
      <c r="AH1330">
        <v>22</v>
      </c>
      <c r="AI1330">
        <v>2</v>
      </c>
      <c r="AJ1330">
        <v>0</v>
      </c>
      <c r="AK1330">
        <v>82.02</v>
      </c>
      <c r="AN1330" t="s">
        <v>7439</v>
      </c>
      <c r="AO1330">
        <v>13500</v>
      </c>
      <c r="AR1330" t="s">
        <v>46381</v>
      </c>
      <c r="AS1330" t="s">
        <v>46499</v>
      </c>
      <c r="AT1330" t="s">
        <v>46628</v>
      </c>
      <c r="AU1330">
        <v>3.2</v>
      </c>
      <c r="AV1330" t="s">
        <v>477</v>
      </c>
      <c r="AW1330" t="s">
        <v>46854</v>
      </c>
    </row>
    <row r="1331" spans="1:50">
      <c r="A1331" s="1">
        <f>HYPERLINK("https://lsnyc.legalserver.org/matter/dynamic-profile/view/1873897","18-1873897")</f>
        <v>0</v>
      </c>
      <c r="B1331" t="s">
        <v>87</v>
      </c>
      <c r="C1331" t="s">
        <v>340</v>
      </c>
      <c r="D1331" t="s">
        <v>469</v>
      </c>
      <c r="F1331" t="s">
        <v>1715</v>
      </c>
      <c r="G1331" t="s">
        <v>5569</v>
      </c>
      <c r="H1331" t="s">
        <v>10756</v>
      </c>
      <c r="I1331">
        <v>1</v>
      </c>
      <c r="J1331" t="s">
        <v>18892</v>
      </c>
      <c r="K1331">
        <v>10457</v>
      </c>
      <c r="L1331" t="s">
        <v>18958</v>
      </c>
      <c r="M1331" t="s">
        <v>18958</v>
      </c>
      <c r="N1331" t="s">
        <v>19958</v>
      </c>
      <c r="O1331" t="s">
        <v>26524</v>
      </c>
      <c r="P1331" t="s">
        <v>26560</v>
      </c>
      <c r="R1331" t="s">
        <v>26579</v>
      </c>
      <c r="U1331" t="s">
        <v>26604</v>
      </c>
      <c r="V1331" t="s">
        <v>26610</v>
      </c>
      <c r="W1331" t="s">
        <v>523</v>
      </c>
      <c r="X1331">
        <v>0</v>
      </c>
      <c r="Y1331" t="s">
        <v>26650</v>
      </c>
      <c r="AB1331" t="s">
        <v>27909</v>
      </c>
      <c r="AC1331" t="s">
        <v>34902</v>
      </c>
      <c r="AD1331" t="s">
        <v>37959</v>
      </c>
      <c r="AE1331">
        <v>0</v>
      </c>
      <c r="AF1331" t="s">
        <v>45547</v>
      </c>
      <c r="AG1331" t="s">
        <v>45556</v>
      </c>
      <c r="AH1331">
        <v>0</v>
      </c>
      <c r="AI1331">
        <v>2</v>
      </c>
      <c r="AJ1331">
        <v>5</v>
      </c>
      <c r="AK1331">
        <v>76.2</v>
      </c>
      <c r="AN1331" t="s">
        <v>7439</v>
      </c>
      <c r="AO1331">
        <v>29000</v>
      </c>
      <c r="AU1331">
        <v>43.4</v>
      </c>
      <c r="AV1331" t="s">
        <v>832</v>
      </c>
      <c r="AW1331" t="s">
        <v>46836</v>
      </c>
    </row>
    <row r="1332" spans="1:50">
      <c r="A1332" s="1">
        <f>HYPERLINK("https://lsnyc.legalserver.org/matter/dynamic-profile/view/1874115","18-1874115")</f>
        <v>0</v>
      </c>
      <c r="B1332" t="s">
        <v>223</v>
      </c>
      <c r="C1332" t="s">
        <v>341</v>
      </c>
      <c r="D1332" t="s">
        <v>492</v>
      </c>
      <c r="E1332" t="s">
        <v>703</v>
      </c>
      <c r="F1332" t="s">
        <v>1002</v>
      </c>
      <c r="G1332" t="s">
        <v>1725</v>
      </c>
      <c r="H1332" t="s">
        <v>10757</v>
      </c>
      <c r="I1332" t="s">
        <v>17278</v>
      </c>
      <c r="J1332" t="s">
        <v>18893</v>
      </c>
      <c r="K1332">
        <v>10029</v>
      </c>
      <c r="L1332" t="s">
        <v>18958</v>
      </c>
      <c r="M1332" t="s">
        <v>18958</v>
      </c>
      <c r="N1332" t="s">
        <v>19959</v>
      </c>
      <c r="O1332" t="s">
        <v>26526</v>
      </c>
      <c r="P1332" t="s">
        <v>26560</v>
      </c>
      <c r="Q1332" t="s">
        <v>26570</v>
      </c>
      <c r="R1332" t="s">
        <v>26578</v>
      </c>
      <c r="S1332" t="s">
        <v>18958</v>
      </c>
      <c r="U1332" t="s">
        <v>26604</v>
      </c>
      <c r="V1332" t="s">
        <v>26610</v>
      </c>
      <c r="W1332" t="s">
        <v>523</v>
      </c>
      <c r="X1332">
        <v>1101</v>
      </c>
      <c r="Y1332" t="s">
        <v>26651</v>
      </c>
      <c r="Z1332" t="s">
        <v>26673</v>
      </c>
      <c r="AA1332" t="s">
        <v>26683</v>
      </c>
      <c r="AB1332" t="s">
        <v>27910</v>
      </c>
      <c r="AD1332" t="s">
        <v>37960</v>
      </c>
      <c r="AE1332">
        <v>76</v>
      </c>
      <c r="AF1332" t="s">
        <v>45541</v>
      </c>
      <c r="AG1332" t="s">
        <v>19330</v>
      </c>
      <c r="AH1332">
        <v>5</v>
      </c>
      <c r="AI1332">
        <v>1</v>
      </c>
      <c r="AJ1332">
        <v>1</v>
      </c>
      <c r="AK1332">
        <v>196.84</v>
      </c>
      <c r="AN1332" t="s">
        <v>7439</v>
      </c>
      <c r="AO1332">
        <v>32400</v>
      </c>
      <c r="AU1332">
        <v>2</v>
      </c>
      <c r="AV1332" t="s">
        <v>572</v>
      </c>
      <c r="AW1332" t="s">
        <v>46843</v>
      </c>
    </row>
    <row r="1333" spans="1:50">
      <c r="A1333" s="1">
        <f>HYPERLINK("https://lsnyc.legalserver.org/matter/dynamic-profile/view/1875541","18-1875541")</f>
        <v>0</v>
      </c>
      <c r="B1333" t="s">
        <v>70</v>
      </c>
      <c r="C1333" t="s">
        <v>341</v>
      </c>
      <c r="D1333" t="s">
        <v>461</v>
      </c>
      <c r="E1333" t="s">
        <v>684</v>
      </c>
      <c r="F1333" t="s">
        <v>1716</v>
      </c>
      <c r="G1333" t="s">
        <v>5911</v>
      </c>
      <c r="H1333" t="s">
        <v>10758</v>
      </c>
      <c r="I1333" t="s">
        <v>17360</v>
      </c>
      <c r="J1333" t="s">
        <v>18892</v>
      </c>
      <c r="K1333">
        <v>10467</v>
      </c>
      <c r="L1333" t="s">
        <v>18958</v>
      </c>
      <c r="M1333" t="s">
        <v>18958</v>
      </c>
      <c r="N1333" t="s">
        <v>19960</v>
      </c>
      <c r="O1333" t="s">
        <v>26523</v>
      </c>
      <c r="P1333" t="s">
        <v>26560</v>
      </c>
      <c r="Q1333" t="s">
        <v>26568</v>
      </c>
      <c r="R1333" t="s">
        <v>26579</v>
      </c>
      <c r="S1333" t="s">
        <v>18959</v>
      </c>
      <c r="U1333" t="s">
        <v>26604</v>
      </c>
      <c r="V1333" t="s">
        <v>26610</v>
      </c>
      <c r="W1333" t="s">
        <v>523</v>
      </c>
      <c r="X1333">
        <v>1084</v>
      </c>
      <c r="Y1333" t="s">
        <v>26650</v>
      </c>
      <c r="Z1333" t="s">
        <v>26664</v>
      </c>
      <c r="AA1333" t="s">
        <v>26678</v>
      </c>
      <c r="AB1333" t="s">
        <v>27911</v>
      </c>
      <c r="AC1333" t="s">
        <v>34903</v>
      </c>
      <c r="AD1333" t="s">
        <v>37961</v>
      </c>
      <c r="AE1333">
        <v>98</v>
      </c>
      <c r="AF1333" t="s">
        <v>45541</v>
      </c>
      <c r="AG1333" t="s">
        <v>19330</v>
      </c>
      <c r="AH1333">
        <v>12</v>
      </c>
      <c r="AI1333">
        <v>2</v>
      </c>
      <c r="AJ1333">
        <v>4</v>
      </c>
      <c r="AK1333">
        <v>89.39</v>
      </c>
      <c r="AN1333" t="s">
        <v>7439</v>
      </c>
      <c r="AO1333">
        <v>30160</v>
      </c>
      <c r="AQ1333" t="s">
        <v>46361</v>
      </c>
      <c r="AR1333" t="s">
        <v>46385</v>
      </c>
      <c r="AS1333" t="s">
        <v>46499</v>
      </c>
      <c r="AT1333" t="s">
        <v>46596</v>
      </c>
      <c r="AU1333">
        <v>8.6</v>
      </c>
      <c r="AV1333" t="s">
        <v>577</v>
      </c>
      <c r="AW1333" t="s">
        <v>334</v>
      </c>
    </row>
    <row r="1334" spans="1:50">
      <c r="A1334" s="1">
        <f>HYPERLINK("https://lsnyc.legalserver.org/matter/dynamic-profile/view/1874715","18-1874715")</f>
        <v>0</v>
      </c>
      <c r="B1334" t="s">
        <v>58</v>
      </c>
      <c r="C1334" t="s">
        <v>341</v>
      </c>
      <c r="D1334" t="s">
        <v>504</v>
      </c>
      <c r="E1334" t="s">
        <v>843</v>
      </c>
      <c r="F1334" t="s">
        <v>958</v>
      </c>
      <c r="G1334" t="s">
        <v>5147</v>
      </c>
      <c r="H1334" t="s">
        <v>10759</v>
      </c>
      <c r="I1334" t="s">
        <v>17637</v>
      </c>
      <c r="J1334" t="s">
        <v>18892</v>
      </c>
      <c r="K1334">
        <v>10456</v>
      </c>
      <c r="L1334" t="s">
        <v>18958</v>
      </c>
      <c r="M1334" t="s">
        <v>18958</v>
      </c>
      <c r="N1334" t="s">
        <v>19961</v>
      </c>
      <c r="O1334" t="s">
        <v>26523</v>
      </c>
      <c r="P1334" t="s">
        <v>26560</v>
      </c>
      <c r="Q1334" t="s">
        <v>26568</v>
      </c>
      <c r="R1334" t="s">
        <v>26577</v>
      </c>
      <c r="S1334" t="s">
        <v>18959</v>
      </c>
      <c r="U1334" t="s">
        <v>26604</v>
      </c>
      <c r="V1334" t="s">
        <v>26610</v>
      </c>
      <c r="W1334" t="s">
        <v>523</v>
      </c>
      <c r="X1334">
        <v>1200</v>
      </c>
      <c r="Y1334" t="s">
        <v>26650</v>
      </c>
      <c r="Z1334" t="s">
        <v>26666</v>
      </c>
      <c r="AA1334" t="s">
        <v>26678</v>
      </c>
      <c r="AB1334" t="s">
        <v>26989</v>
      </c>
      <c r="AC1334" t="s">
        <v>34904</v>
      </c>
      <c r="AD1334" t="s">
        <v>37962</v>
      </c>
      <c r="AE1334">
        <v>0</v>
      </c>
      <c r="AF1334" t="s">
        <v>45541</v>
      </c>
      <c r="AG1334" t="s">
        <v>19330</v>
      </c>
      <c r="AH1334">
        <v>4</v>
      </c>
      <c r="AI1334">
        <v>2</v>
      </c>
      <c r="AJ1334">
        <v>1</v>
      </c>
      <c r="AK1334">
        <v>125.12</v>
      </c>
      <c r="AN1334" t="s">
        <v>7439</v>
      </c>
      <c r="AO1334">
        <v>26000</v>
      </c>
      <c r="AS1334" t="s">
        <v>46499</v>
      </c>
      <c r="AU1334">
        <v>12.95</v>
      </c>
      <c r="AV1334" t="s">
        <v>843</v>
      </c>
      <c r="AW1334" t="s">
        <v>46837</v>
      </c>
    </row>
    <row r="1335" spans="1:50">
      <c r="A1335" s="1">
        <f>HYPERLINK("https://lsnyc.legalserver.org/matter/dynamic-profile/view/1874885","18-1874885")</f>
        <v>0</v>
      </c>
      <c r="B1335" t="s">
        <v>209</v>
      </c>
      <c r="C1335" t="s">
        <v>341</v>
      </c>
      <c r="D1335" t="s">
        <v>477</v>
      </c>
      <c r="E1335" t="s">
        <v>523</v>
      </c>
      <c r="F1335" t="s">
        <v>887</v>
      </c>
      <c r="G1335" t="s">
        <v>5122</v>
      </c>
      <c r="H1335" t="s">
        <v>10760</v>
      </c>
      <c r="J1335" t="s">
        <v>18898</v>
      </c>
      <c r="K1335">
        <v>11691</v>
      </c>
      <c r="L1335" t="s">
        <v>18958</v>
      </c>
      <c r="M1335" t="s">
        <v>18958</v>
      </c>
      <c r="N1335" t="s">
        <v>19045</v>
      </c>
      <c r="O1335" t="s">
        <v>26529</v>
      </c>
      <c r="P1335" t="s">
        <v>26564</v>
      </c>
      <c r="Q1335" t="s">
        <v>26570</v>
      </c>
      <c r="R1335" t="s">
        <v>26578</v>
      </c>
      <c r="S1335" t="s">
        <v>18959</v>
      </c>
      <c r="U1335" t="s">
        <v>26604</v>
      </c>
      <c r="V1335" t="s">
        <v>26610</v>
      </c>
      <c r="W1335" t="s">
        <v>523</v>
      </c>
      <c r="X1335">
        <v>850</v>
      </c>
      <c r="Y1335" t="s">
        <v>26653</v>
      </c>
      <c r="Z1335" t="s">
        <v>26673</v>
      </c>
      <c r="AA1335" t="s">
        <v>26683</v>
      </c>
      <c r="AB1335" t="s">
        <v>27912</v>
      </c>
      <c r="AC1335" t="s">
        <v>34905</v>
      </c>
      <c r="AD1335" t="s">
        <v>37963</v>
      </c>
      <c r="AE1335">
        <v>2</v>
      </c>
      <c r="AF1335" t="s">
        <v>45547</v>
      </c>
      <c r="AG1335" t="s">
        <v>19330</v>
      </c>
      <c r="AH1335">
        <v>1</v>
      </c>
      <c r="AI1335">
        <v>1</v>
      </c>
      <c r="AJ1335">
        <v>0</v>
      </c>
      <c r="AK1335">
        <v>197.69</v>
      </c>
      <c r="AN1335" t="s">
        <v>7439</v>
      </c>
      <c r="AO1335">
        <v>24000</v>
      </c>
      <c r="AU1335">
        <v>1.9</v>
      </c>
      <c r="AV1335" t="s">
        <v>523</v>
      </c>
      <c r="AW1335" t="s">
        <v>46843</v>
      </c>
    </row>
    <row r="1336" spans="1:50">
      <c r="A1336" s="1">
        <f>HYPERLINK("https://lsnyc.legalserver.org/matter/dynamic-profile/view/1875321","18-1875321")</f>
        <v>0</v>
      </c>
      <c r="B1336" t="s">
        <v>226</v>
      </c>
      <c r="C1336" t="s">
        <v>341</v>
      </c>
      <c r="D1336" t="s">
        <v>526</v>
      </c>
      <c r="E1336" t="s">
        <v>635</v>
      </c>
      <c r="F1336" t="s">
        <v>1717</v>
      </c>
      <c r="G1336" t="s">
        <v>5224</v>
      </c>
      <c r="H1336" t="s">
        <v>10761</v>
      </c>
      <c r="I1336" t="s">
        <v>17638</v>
      </c>
      <c r="J1336" t="s">
        <v>18892</v>
      </c>
      <c r="K1336">
        <v>10452</v>
      </c>
      <c r="L1336" t="s">
        <v>18958</v>
      </c>
      <c r="M1336" t="s">
        <v>18958</v>
      </c>
      <c r="O1336" t="s">
        <v>18997</v>
      </c>
      <c r="P1336" t="s">
        <v>26565</v>
      </c>
      <c r="Q1336" t="s">
        <v>26571</v>
      </c>
      <c r="R1336" t="s">
        <v>26578</v>
      </c>
      <c r="S1336" t="s">
        <v>18959</v>
      </c>
      <c r="U1336" t="s">
        <v>26604</v>
      </c>
      <c r="W1336" t="s">
        <v>523</v>
      </c>
      <c r="X1336">
        <v>525.26</v>
      </c>
      <c r="Y1336" t="s">
        <v>26650</v>
      </c>
      <c r="Z1336" t="s">
        <v>26663</v>
      </c>
      <c r="AA1336" t="s">
        <v>26683</v>
      </c>
      <c r="AB1336" t="s">
        <v>27913</v>
      </c>
      <c r="AE1336">
        <v>60</v>
      </c>
      <c r="AF1336" t="s">
        <v>45541</v>
      </c>
      <c r="AG1336" t="s">
        <v>19330</v>
      </c>
      <c r="AH1336">
        <v>47</v>
      </c>
      <c r="AI1336">
        <v>1</v>
      </c>
      <c r="AJ1336">
        <v>0</v>
      </c>
      <c r="AK1336">
        <v>148.27</v>
      </c>
      <c r="AN1336" t="s">
        <v>7439</v>
      </c>
      <c r="AO1336">
        <v>18000</v>
      </c>
      <c r="AU1336">
        <v>2.6</v>
      </c>
      <c r="AV1336" t="s">
        <v>635</v>
      </c>
      <c r="AW1336" t="s">
        <v>226</v>
      </c>
    </row>
    <row r="1337" spans="1:50">
      <c r="A1337" s="1">
        <f>HYPERLINK("https://lsnyc.legalserver.org/matter/dynamic-profile/view/1876116","18-1876116")</f>
        <v>0</v>
      </c>
      <c r="B1337" t="s">
        <v>70</v>
      </c>
      <c r="C1337" t="s">
        <v>341</v>
      </c>
      <c r="D1337" t="s">
        <v>533</v>
      </c>
      <c r="E1337" t="s">
        <v>709</v>
      </c>
      <c r="F1337" t="s">
        <v>1718</v>
      </c>
      <c r="G1337" t="s">
        <v>5307</v>
      </c>
      <c r="H1337" t="s">
        <v>10762</v>
      </c>
      <c r="I1337" t="s">
        <v>17639</v>
      </c>
      <c r="J1337" t="s">
        <v>18892</v>
      </c>
      <c r="K1337">
        <v>10467</v>
      </c>
      <c r="L1337" t="s">
        <v>18958</v>
      </c>
      <c r="M1337" t="s">
        <v>18958</v>
      </c>
      <c r="N1337" t="s">
        <v>19962</v>
      </c>
      <c r="O1337" t="s">
        <v>26523</v>
      </c>
      <c r="P1337" t="s">
        <v>26560</v>
      </c>
      <c r="Q1337" t="s">
        <v>26574</v>
      </c>
      <c r="R1337" t="s">
        <v>26579</v>
      </c>
      <c r="S1337" t="s">
        <v>18959</v>
      </c>
      <c r="U1337" t="s">
        <v>26604</v>
      </c>
      <c r="V1337" t="s">
        <v>26610</v>
      </c>
      <c r="W1337" t="s">
        <v>523</v>
      </c>
      <c r="X1337">
        <v>380</v>
      </c>
      <c r="Y1337" t="s">
        <v>26650</v>
      </c>
      <c r="Z1337" t="s">
        <v>26664</v>
      </c>
      <c r="AA1337" t="s">
        <v>26678</v>
      </c>
      <c r="AB1337" t="s">
        <v>27914</v>
      </c>
      <c r="AC1337" t="s">
        <v>34906</v>
      </c>
      <c r="AD1337" t="s">
        <v>37964</v>
      </c>
      <c r="AE1337">
        <v>135</v>
      </c>
      <c r="AF1337" t="s">
        <v>45541</v>
      </c>
      <c r="AG1337" t="s">
        <v>45556</v>
      </c>
      <c r="AH1337">
        <v>2</v>
      </c>
      <c r="AI1337">
        <v>1</v>
      </c>
      <c r="AJ1337">
        <v>3</v>
      </c>
      <c r="AK1337">
        <v>13.47</v>
      </c>
      <c r="AN1337" t="s">
        <v>7439</v>
      </c>
      <c r="AO1337">
        <v>3380</v>
      </c>
      <c r="AP1337" t="s">
        <v>45621</v>
      </c>
      <c r="AQ1337" t="s">
        <v>46361</v>
      </c>
      <c r="AR1337" t="s">
        <v>46383</v>
      </c>
      <c r="AS1337" t="s">
        <v>46499</v>
      </c>
      <c r="AT1337" t="s">
        <v>46663</v>
      </c>
      <c r="AU1337">
        <v>18</v>
      </c>
      <c r="AV1337" t="s">
        <v>709</v>
      </c>
      <c r="AW1337" t="s">
        <v>334</v>
      </c>
    </row>
    <row r="1338" spans="1:50">
      <c r="A1338" s="1">
        <f>HYPERLINK("https://lsnyc.legalserver.org/matter/dynamic-profile/view/1876142","18-1876142")</f>
        <v>0</v>
      </c>
      <c r="B1338" t="s">
        <v>70</v>
      </c>
      <c r="C1338" t="s">
        <v>341</v>
      </c>
      <c r="D1338" t="s">
        <v>533</v>
      </c>
      <c r="E1338" t="s">
        <v>786</v>
      </c>
      <c r="F1338" t="s">
        <v>1719</v>
      </c>
      <c r="G1338" t="s">
        <v>5191</v>
      </c>
      <c r="H1338" t="s">
        <v>10763</v>
      </c>
      <c r="I1338" t="s">
        <v>17360</v>
      </c>
      <c r="J1338" t="s">
        <v>18892</v>
      </c>
      <c r="K1338">
        <v>10468</v>
      </c>
      <c r="L1338" t="s">
        <v>18958</v>
      </c>
      <c r="M1338" t="s">
        <v>18958</v>
      </c>
      <c r="N1338" t="s">
        <v>19963</v>
      </c>
      <c r="O1338" t="s">
        <v>26523</v>
      </c>
      <c r="P1338" t="s">
        <v>26560</v>
      </c>
      <c r="Q1338" t="s">
        <v>26568</v>
      </c>
      <c r="R1338" t="s">
        <v>26579</v>
      </c>
      <c r="S1338" t="s">
        <v>18959</v>
      </c>
      <c r="U1338" t="s">
        <v>26604</v>
      </c>
      <c r="V1338" t="s">
        <v>26610</v>
      </c>
      <c r="W1338" t="s">
        <v>523</v>
      </c>
      <c r="X1338">
        <v>866</v>
      </c>
      <c r="Y1338" t="s">
        <v>26650</v>
      </c>
      <c r="Z1338" t="s">
        <v>26664</v>
      </c>
      <c r="AA1338" t="s">
        <v>26678</v>
      </c>
      <c r="AB1338" t="s">
        <v>27915</v>
      </c>
      <c r="AC1338" t="s">
        <v>34907</v>
      </c>
      <c r="AD1338" t="s">
        <v>37965</v>
      </c>
      <c r="AE1338">
        <v>43</v>
      </c>
      <c r="AF1338" t="s">
        <v>45541</v>
      </c>
      <c r="AG1338" t="s">
        <v>45557</v>
      </c>
      <c r="AH1338">
        <v>2</v>
      </c>
      <c r="AI1338">
        <v>1</v>
      </c>
      <c r="AJ1338">
        <v>2</v>
      </c>
      <c r="AK1338">
        <v>77</v>
      </c>
      <c r="AN1338" t="s">
        <v>45581</v>
      </c>
      <c r="AO1338">
        <v>16000</v>
      </c>
      <c r="AP1338" t="s">
        <v>45702</v>
      </c>
      <c r="AQ1338" t="s">
        <v>46362</v>
      </c>
      <c r="AR1338" t="s">
        <v>46385</v>
      </c>
      <c r="AS1338" t="s">
        <v>46499</v>
      </c>
      <c r="AT1338" t="s">
        <v>46689</v>
      </c>
      <c r="AU1338">
        <v>14.9</v>
      </c>
      <c r="AV1338" t="s">
        <v>709</v>
      </c>
      <c r="AW1338" t="s">
        <v>334</v>
      </c>
    </row>
    <row r="1339" spans="1:50">
      <c r="A1339" s="1">
        <f>HYPERLINK("https://lsnyc.legalserver.org/matter/dynamic-profile/view/1876035","18-1876035")</f>
        <v>0</v>
      </c>
      <c r="B1339" t="s">
        <v>143</v>
      </c>
      <c r="C1339" t="s">
        <v>341</v>
      </c>
      <c r="D1339" t="s">
        <v>533</v>
      </c>
      <c r="E1339" t="s">
        <v>703</v>
      </c>
      <c r="F1339" t="s">
        <v>1720</v>
      </c>
      <c r="G1339" t="s">
        <v>5912</v>
      </c>
      <c r="H1339" t="s">
        <v>10743</v>
      </c>
      <c r="I1339" t="s">
        <v>17348</v>
      </c>
      <c r="J1339" t="s">
        <v>18892</v>
      </c>
      <c r="K1339">
        <v>10457</v>
      </c>
      <c r="L1339" t="s">
        <v>18958</v>
      </c>
      <c r="M1339" t="s">
        <v>18958</v>
      </c>
      <c r="N1339" t="s">
        <v>19964</v>
      </c>
      <c r="O1339" t="s">
        <v>26523</v>
      </c>
      <c r="P1339" t="s">
        <v>26560</v>
      </c>
      <c r="Q1339" t="s">
        <v>26569</v>
      </c>
      <c r="R1339" t="s">
        <v>26579</v>
      </c>
      <c r="S1339" t="s">
        <v>18959</v>
      </c>
      <c r="U1339" t="s">
        <v>26604</v>
      </c>
      <c r="V1339" t="s">
        <v>26610</v>
      </c>
      <c r="W1339" t="s">
        <v>523</v>
      </c>
      <c r="X1339">
        <v>808.0599999999999</v>
      </c>
      <c r="Y1339" t="s">
        <v>26650</v>
      </c>
      <c r="Z1339" t="s">
        <v>26664</v>
      </c>
      <c r="AA1339" t="s">
        <v>26681</v>
      </c>
      <c r="AB1339" t="s">
        <v>27916</v>
      </c>
      <c r="AC1339" t="s">
        <v>34908</v>
      </c>
      <c r="AD1339" t="s">
        <v>37966</v>
      </c>
      <c r="AE1339">
        <v>34</v>
      </c>
      <c r="AF1339" t="s">
        <v>20460</v>
      </c>
      <c r="AG1339" t="s">
        <v>45557</v>
      </c>
      <c r="AH1339">
        <v>11</v>
      </c>
      <c r="AI1339">
        <v>1</v>
      </c>
      <c r="AJ1339">
        <v>2</v>
      </c>
      <c r="AK1339">
        <v>38.73</v>
      </c>
      <c r="AN1339" t="s">
        <v>7439</v>
      </c>
      <c r="AO1339">
        <v>8048</v>
      </c>
      <c r="AQ1339" t="s">
        <v>46362</v>
      </c>
      <c r="AR1339" t="s">
        <v>46379</v>
      </c>
      <c r="AS1339" t="s">
        <v>46499</v>
      </c>
      <c r="AT1339" t="s">
        <v>46624</v>
      </c>
      <c r="AU1339">
        <v>13.6</v>
      </c>
      <c r="AV1339" t="s">
        <v>670</v>
      </c>
      <c r="AW1339" t="s">
        <v>334</v>
      </c>
    </row>
    <row r="1340" spans="1:50">
      <c r="A1340" s="1">
        <f>HYPERLINK("https://lsnyc.legalserver.org/matter/dynamic-profile/view/1875806","18-1875806")</f>
        <v>0</v>
      </c>
      <c r="B1340" t="s">
        <v>236</v>
      </c>
      <c r="C1340" t="s">
        <v>341</v>
      </c>
      <c r="D1340" t="s">
        <v>441</v>
      </c>
      <c r="E1340" t="s">
        <v>699</v>
      </c>
      <c r="F1340" t="s">
        <v>1721</v>
      </c>
      <c r="G1340" t="s">
        <v>5913</v>
      </c>
      <c r="H1340" t="s">
        <v>10658</v>
      </c>
      <c r="I1340" t="s">
        <v>17640</v>
      </c>
      <c r="J1340" t="s">
        <v>18892</v>
      </c>
      <c r="K1340">
        <v>10453</v>
      </c>
      <c r="L1340" t="s">
        <v>18958</v>
      </c>
      <c r="M1340" t="s">
        <v>18958</v>
      </c>
      <c r="N1340" t="s">
        <v>19965</v>
      </c>
      <c r="O1340" t="s">
        <v>26526</v>
      </c>
      <c r="P1340" t="s">
        <v>26564</v>
      </c>
      <c r="Q1340" t="s">
        <v>26570</v>
      </c>
      <c r="R1340" t="s">
        <v>26578</v>
      </c>
      <c r="S1340" t="s">
        <v>18959</v>
      </c>
      <c r="U1340" t="s">
        <v>26604</v>
      </c>
      <c r="W1340" t="s">
        <v>523</v>
      </c>
      <c r="X1340">
        <v>1340</v>
      </c>
      <c r="Y1340" t="s">
        <v>26650</v>
      </c>
      <c r="Z1340" t="s">
        <v>26673</v>
      </c>
      <c r="AA1340" t="s">
        <v>26683</v>
      </c>
      <c r="AB1340" t="s">
        <v>27917</v>
      </c>
      <c r="AD1340" t="s">
        <v>37967</v>
      </c>
      <c r="AE1340">
        <v>278</v>
      </c>
      <c r="AF1340" t="s">
        <v>45543</v>
      </c>
      <c r="AH1340">
        <v>14</v>
      </c>
      <c r="AI1340">
        <v>1</v>
      </c>
      <c r="AJ1340">
        <v>0</v>
      </c>
      <c r="AK1340">
        <v>104.94</v>
      </c>
      <c r="AN1340" t="s">
        <v>45581</v>
      </c>
      <c r="AO1340">
        <v>12740</v>
      </c>
      <c r="AU1340">
        <v>2</v>
      </c>
      <c r="AV1340" t="s">
        <v>523</v>
      </c>
      <c r="AW1340" t="s">
        <v>46861</v>
      </c>
    </row>
    <row r="1341" spans="1:50">
      <c r="A1341" s="1">
        <f>HYPERLINK("https://lsnyc.legalserver.org/matter/dynamic-profile/view/1876078","18-1876078")</f>
        <v>0</v>
      </c>
      <c r="B1341" t="s">
        <v>56</v>
      </c>
      <c r="C1341" t="s">
        <v>341</v>
      </c>
      <c r="D1341" t="s">
        <v>512</v>
      </c>
      <c r="E1341" t="s">
        <v>820</v>
      </c>
      <c r="F1341" t="s">
        <v>871</v>
      </c>
      <c r="G1341" t="s">
        <v>1725</v>
      </c>
      <c r="H1341" t="s">
        <v>10764</v>
      </c>
      <c r="I1341">
        <v>1</v>
      </c>
      <c r="J1341" t="s">
        <v>18892</v>
      </c>
      <c r="K1341">
        <v>10458</v>
      </c>
      <c r="L1341" t="s">
        <v>18958</v>
      </c>
      <c r="M1341" t="s">
        <v>18958</v>
      </c>
      <c r="N1341" t="s">
        <v>19966</v>
      </c>
      <c r="O1341" t="s">
        <v>26523</v>
      </c>
      <c r="P1341" t="s">
        <v>26560</v>
      </c>
      <c r="Q1341" t="s">
        <v>26568</v>
      </c>
      <c r="R1341" t="s">
        <v>26577</v>
      </c>
      <c r="S1341" t="s">
        <v>18959</v>
      </c>
      <c r="U1341" t="s">
        <v>26604</v>
      </c>
      <c r="V1341" t="s">
        <v>26609</v>
      </c>
      <c r="W1341" t="s">
        <v>523</v>
      </c>
      <c r="X1341">
        <v>757</v>
      </c>
      <c r="Y1341" t="s">
        <v>26650</v>
      </c>
      <c r="Z1341" t="s">
        <v>26659</v>
      </c>
      <c r="AA1341" t="s">
        <v>26678</v>
      </c>
      <c r="AB1341" t="s">
        <v>27918</v>
      </c>
      <c r="AC1341" t="s">
        <v>34909</v>
      </c>
      <c r="AD1341" t="s">
        <v>37968</v>
      </c>
      <c r="AE1341">
        <v>0</v>
      </c>
      <c r="AF1341" t="s">
        <v>45541</v>
      </c>
      <c r="AG1341" t="s">
        <v>45557</v>
      </c>
      <c r="AH1341">
        <v>35</v>
      </c>
      <c r="AI1341">
        <v>2</v>
      </c>
      <c r="AJ1341">
        <v>2</v>
      </c>
      <c r="AK1341">
        <v>41.69</v>
      </c>
      <c r="AN1341" t="s">
        <v>7439</v>
      </c>
      <c r="AO1341">
        <v>10464</v>
      </c>
      <c r="AR1341" t="s">
        <v>46381</v>
      </c>
      <c r="AS1341" t="s">
        <v>46499</v>
      </c>
      <c r="AT1341" t="s">
        <v>46598</v>
      </c>
      <c r="AU1341">
        <v>13</v>
      </c>
      <c r="AV1341" t="s">
        <v>684</v>
      </c>
      <c r="AW1341" t="s">
        <v>46831</v>
      </c>
    </row>
    <row r="1342" spans="1:50">
      <c r="A1342" s="1">
        <f>HYPERLINK("https://lsnyc.legalserver.org/matter/dynamic-profile/view/1876363","18-1876363")</f>
        <v>0</v>
      </c>
      <c r="B1342" t="s">
        <v>167</v>
      </c>
      <c r="C1342" t="s">
        <v>340</v>
      </c>
      <c r="D1342" t="s">
        <v>493</v>
      </c>
      <c r="F1342" t="s">
        <v>1722</v>
      </c>
      <c r="G1342" t="s">
        <v>5914</v>
      </c>
      <c r="H1342" t="s">
        <v>10765</v>
      </c>
      <c r="I1342" t="s">
        <v>17641</v>
      </c>
      <c r="J1342" t="s">
        <v>18913</v>
      </c>
      <c r="K1342">
        <v>11102</v>
      </c>
      <c r="L1342" t="s">
        <v>18958</v>
      </c>
      <c r="M1342" t="s">
        <v>18958</v>
      </c>
      <c r="N1342" t="s">
        <v>19967</v>
      </c>
      <c r="O1342" t="s">
        <v>26523</v>
      </c>
      <c r="P1342" t="s">
        <v>26564</v>
      </c>
      <c r="R1342" t="s">
        <v>26584</v>
      </c>
      <c r="S1342" t="s">
        <v>18959</v>
      </c>
      <c r="U1342" t="s">
        <v>26604</v>
      </c>
      <c r="V1342" t="s">
        <v>26611</v>
      </c>
      <c r="W1342" t="s">
        <v>523</v>
      </c>
      <c r="X1342">
        <v>1800</v>
      </c>
      <c r="Y1342" t="s">
        <v>26653</v>
      </c>
      <c r="Z1342" t="s">
        <v>26664</v>
      </c>
      <c r="AB1342" t="s">
        <v>27919</v>
      </c>
      <c r="AC1342" t="s">
        <v>34910</v>
      </c>
      <c r="AD1342" t="s">
        <v>37969</v>
      </c>
      <c r="AE1342">
        <v>119</v>
      </c>
      <c r="AF1342" t="s">
        <v>45541</v>
      </c>
      <c r="AG1342" t="s">
        <v>45559</v>
      </c>
      <c r="AH1342">
        <v>8</v>
      </c>
      <c r="AI1342">
        <v>1</v>
      </c>
      <c r="AJ1342">
        <v>0</v>
      </c>
      <c r="AK1342">
        <v>61.78</v>
      </c>
      <c r="AN1342" t="s">
        <v>7439</v>
      </c>
      <c r="AO1342">
        <v>7500</v>
      </c>
      <c r="AU1342">
        <v>1.85</v>
      </c>
      <c r="AV1342" t="s">
        <v>523</v>
      </c>
      <c r="AW1342" t="s">
        <v>161</v>
      </c>
    </row>
    <row r="1343" spans="1:50">
      <c r="A1343" s="1">
        <f>HYPERLINK("https://lsnyc.legalserver.org/matter/dynamic-profile/view/1876177","18-1876177")</f>
        <v>0</v>
      </c>
      <c r="B1343" t="s">
        <v>145</v>
      </c>
      <c r="C1343" t="s">
        <v>341</v>
      </c>
      <c r="D1343" t="s">
        <v>523</v>
      </c>
      <c r="E1343" t="s">
        <v>755</v>
      </c>
      <c r="F1343" t="s">
        <v>1723</v>
      </c>
      <c r="G1343" t="s">
        <v>5300</v>
      </c>
      <c r="H1343" t="s">
        <v>10326</v>
      </c>
      <c r="I1343" t="s">
        <v>17293</v>
      </c>
      <c r="J1343" t="s">
        <v>18902</v>
      </c>
      <c r="K1343">
        <v>10304</v>
      </c>
      <c r="L1343" t="s">
        <v>18958</v>
      </c>
      <c r="M1343" t="s">
        <v>18958</v>
      </c>
      <c r="N1343" t="s">
        <v>19968</v>
      </c>
      <c r="O1343" t="s">
        <v>26523</v>
      </c>
      <c r="P1343" t="s">
        <v>26560</v>
      </c>
      <c r="Q1343" t="s">
        <v>26568</v>
      </c>
      <c r="R1343" t="s">
        <v>26587</v>
      </c>
      <c r="S1343" t="s">
        <v>18959</v>
      </c>
      <c r="U1343" t="s">
        <v>26604</v>
      </c>
      <c r="V1343" t="s">
        <v>26610</v>
      </c>
      <c r="W1343" t="s">
        <v>523</v>
      </c>
      <c r="X1343">
        <v>1250</v>
      </c>
      <c r="Y1343" t="s">
        <v>26654</v>
      </c>
      <c r="Z1343" t="s">
        <v>26661</v>
      </c>
      <c r="AA1343" t="s">
        <v>26678</v>
      </c>
      <c r="AE1343">
        <v>85</v>
      </c>
      <c r="AF1343" t="s">
        <v>45541</v>
      </c>
      <c r="AG1343" t="s">
        <v>45556</v>
      </c>
      <c r="AH1343">
        <v>3</v>
      </c>
      <c r="AI1343">
        <v>1</v>
      </c>
      <c r="AJ1343">
        <v>0</v>
      </c>
      <c r="AK1343">
        <v>184.49</v>
      </c>
      <c r="AN1343" t="s">
        <v>7439</v>
      </c>
      <c r="AO1343">
        <v>22396.92</v>
      </c>
      <c r="AR1343" t="s">
        <v>26530</v>
      </c>
      <c r="AS1343" t="s">
        <v>46499</v>
      </c>
      <c r="AT1343" t="s">
        <v>46679</v>
      </c>
      <c r="AU1343">
        <v>7</v>
      </c>
      <c r="AV1343" t="s">
        <v>662</v>
      </c>
      <c r="AW1343" t="s">
        <v>190</v>
      </c>
    </row>
    <row r="1344" spans="1:50">
      <c r="A1344" s="1">
        <f>HYPERLINK("https://lsnyc.legalserver.org/matter/dynamic-profile/view/1876385","18-1876385")</f>
        <v>0</v>
      </c>
      <c r="B1344" t="s">
        <v>99</v>
      </c>
      <c r="C1344" t="s">
        <v>341</v>
      </c>
      <c r="D1344" t="s">
        <v>523</v>
      </c>
      <c r="E1344" t="s">
        <v>531</v>
      </c>
      <c r="F1344" t="s">
        <v>1494</v>
      </c>
      <c r="G1344" t="s">
        <v>5915</v>
      </c>
      <c r="H1344" t="s">
        <v>10766</v>
      </c>
      <c r="I1344" t="s">
        <v>17284</v>
      </c>
      <c r="J1344" t="s">
        <v>18902</v>
      </c>
      <c r="K1344">
        <v>10305</v>
      </c>
      <c r="L1344" t="s">
        <v>18959</v>
      </c>
      <c r="M1344" t="s">
        <v>18959</v>
      </c>
      <c r="N1344" t="s">
        <v>19969</v>
      </c>
      <c r="O1344" t="s">
        <v>26524</v>
      </c>
      <c r="P1344" t="s">
        <v>26564</v>
      </c>
      <c r="Q1344" t="s">
        <v>26570</v>
      </c>
      <c r="R1344" t="s">
        <v>26587</v>
      </c>
      <c r="S1344" t="s">
        <v>18959</v>
      </c>
      <c r="U1344" t="s">
        <v>26604</v>
      </c>
      <c r="V1344" t="s">
        <v>26610</v>
      </c>
      <c r="W1344" t="s">
        <v>523</v>
      </c>
      <c r="X1344">
        <v>880</v>
      </c>
      <c r="Y1344" t="s">
        <v>26654</v>
      </c>
      <c r="Z1344" t="s">
        <v>26665</v>
      </c>
      <c r="AA1344" t="s">
        <v>26683</v>
      </c>
      <c r="AD1344" t="s">
        <v>37970</v>
      </c>
      <c r="AE1344">
        <v>102</v>
      </c>
      <c r="AF1344" t="s">
        <v>45547</v>
      </c>
      <c r="AG1344" t="s">
        <v>19330</v>
      </c>
      <c r="AH1344">
        <v>6</v>
      </c>
      <c r="AI1344">
        <v>1</v>
      </c>
      <c r="AJ1344">
        <v>0</v>
      </c>
      <c r="AK1344">
        <v>121.58</v>
      </c>
      <c r="AN1344" t="s">
        <v>7439</v>
      </c>
      <c r="AO1344">
        <v>14760</v>
      </c>
      <c r="AU1344">
        <v>0.5</v>
      </c>
      <c r="AV1344" t="s">
        <v>530</v>
      </c>
      <c r="AW1344" t="s">
        <v>190</v>
      </c>
    </row>
    <row r="1345" spans="1:50">
      <c r="A1345" s="1">
        <f>HYPERLINK("https://lsnyc.legalserver.org/matter/dynamic-profile/view/1876408","18-1876408")</f>
        <v>0</v>
      </c>
      <c r="B1345" t="s">
        <v>81</v>
      </c>
      <c r="C1345" t="s">
        <v>341</v>
      </c>
      <c r="D1345" t="s">
        <v>523</v>
      </c>
      <c r="E1345" t="s">
        <v>637</v>
      </c>
      <c r="F1345" t="s">
        <v>899</v>
      </c>
      <c r="G1345" t="s">
        <v>5916</v>
      </c>
      <c r="H1345" t="s">
        <v>10767</v>
      </c>
      <c r="I1345" t="s">
        <v>17284</v>
      </c>
      <c r="J1345" t="s">
        <v>18892</v>
      </c>
      <c r="K1345">
        <v>10451</v>
      </c>
      <c r="L1345" t="s">
        <v>18958</v>
      </c>
      <c r="M1345" t="s">
        <v>18958</v>
      </c>
      <c r="N1345" t="s">
        <v>19970</v>
      </c>
      <c r="O1345" t="s">
        <v>26523</v>
      </c>
      <c r="P1345" t="s">
        <v>26564</v>
      </c>
      <c r="Q1345" t="s">
        <v>26570</v>
      </c>
      <c r="R1345" t="s">
        <v>26577</v>
      </c>
      <c r="S1345" t="s">
        <v>18959</v>
      </c>
      <c r="U1345" t="s">
        <v>26604</v>
      </c>
      <c r="V1345" t="s">
        <v>26614</v>
      </c>
      <c r="W1345" t="s">
        <v>523</v>
      </c>
      <c r="X1345">
        <v>1195</v>
      </c>
      <c r="Y1345" t="s">
        <v>26650</v>
      </c>
      <c r="Z1345" t="s">
        <v>26674</v>
      </c>
      <c r="AA1345" t="s">
        <v>26683</v>
      </c>
      <c r="AB1345" t="s">
        <v>27920</v>
      </c>
      <c r="AC1345" t="s">
        <v>34911</v>
      </c>
      <c r="AD1345" t="s">
        <v>37971</v>
      </c>
      <c r="AE1345">
        <v>0</v>
      </c>
      <c r="AF1345" t="s">
        <v>45542</v>
      </c>
      <c r="AG1345" t="s">
        <v>19330</v>
      </c>
      <c r="AH1345">
        <v>8</v>
      </c>
      <c r="AI1345">
        <v>2</v>
      </c>
      <c r="AJ1345">
        <v>1</v>
      </c>
      <c r="AK1345">
        <v>0</v>
      </c>
      <c r="AN1345" t="s">
        <v>7439</v>
      </c>
      <c r="AO1345">
        <v>0</v>
      </c>
      <c r="AU1345">
        <v>1</v>
      </c>
      <c r="AV1345" t="s">
        <v>523</v>
      </c>
      <c r="AW1345" t="s">
        <v>336</v>
      </c>
    </row>
    <row r="1346" spans="1:50">
      <c r="A1346" s="1">
        <f>HYPERLINK("https://lsnyc.legalserver.org/matter/dynamic-profile/view/1876435","18-1876435")</f>
        <v>0</v>
      </c>
      <c r="B1346" t="s">
        <v>200</v>
      </c>
      <c r="C1346" t="s">
        <v>341</v>
      </c>
      <c r="D1346" t="s">
        <v>523</v>
      </c>
      <c r="E1346" t="s">
        <v>572</v>
      </c>
      <c r="F1346" t="s">
        <v>1075</v>
      </c>
      <c r="G1346" t="s">
        <v>5917</v>
      </c>
      <c r="H1346" t="s">
        <v>10768</v>
      </c>
      <c r="I1346">
        <v>1</v>
      </c>
      <c r="J1346" t="s">
        <v>18894</v>
      </c>
      <c r="K1346">
        <v>11233</v>
      </c>
      <c r="L1346" t="s">
        <v>18958</v>
      </c>
      <c r="M1346" t="s">
        <v>18958</v>
      </c>
      <c r="N1346" t="s">
        <v>19971</v>
      </c>
      <c r="O1346" t="s">
        <v>26523</v>
      </c>
      <c r="P1346" t="s">
        <v>26564</v>
      </c>
      <c r="Q1346" t="s">
        <v>26570</v>
      </c>
      <c r="R1346" t="s">
        <v>26578</v>
      </c>
      <c r="U1346" t="s">
        <v>26604</v>
      </c>
      <c r="W1346" t="s">
        <v>523</v>
      </c>
      <c r="X1346">
        <v>0</v>
      </c>
      <c r="Y1346" t="s">
        <v>26652</v>
      </c>
      <c r="Z1346" t="s">
        <v>26530</v>
      </c>
      <c r="AA1346" t="s">
        <v>26683</v>
      </c>
      <c r="AB1346" t="s">
        <v>27921</v>
      </c>
      <c r="AD1346" t="s">
        <v>37972</v>
      </c>
      <c r="AE1346">
        <v>5</v>
      </c>
      <c r="AG1346" t="s">
        <v>45561</v>
      </c>
      <c r="AH1346">
        <v>3</v>
      </c>
      <c r="AI1346">
        <v>1</v>
      </c>
      <c r="AJ1346">
        <v>0</v>
      </c>
      <c r="AK1346">
        <v>25.8</v>
      </c>
      <c r="AN1346" t="s">
        <v>7439</v>
      </c>
      <c r="AO1346">
        <v>3132</v>
      </c>
      <c r="AU1346">
        <v>0.9</v>
      </c>
      <c r="AV1346" t="s">
        <v>523</v>
      </c>
      <c r="AW1346" t="s">
        <v>46853</v>
      </c>
    </row>
    <row r="1347" spans="1:50">
      <c r="A1347" s="1">
        <f>HYPERLINK("https://lsnyc.legalserver.org/matter/dynamic-profile/view/1876382","18-1876382")</f>
        <v>0</v>
      </c>
      <c r="B1347" t="s">
        <v>65</v>
      </c>
      <c r="C1347" t="s">
        <v>341</v>
      </c>
      <c r="D1347" t="s">
        <v>523</v>
      </c>
      <c r="E1347" t="s">
        <v>857</v>
      </c>
      <c r="F1347" t="s">
        <v>1724</v>
      </c>
      <c r="G1347" t="s">
        <v>5081</v>
      </c>
      <c r="H1347" t="s">
        <v>10769</v>
      </c>
      <c r="I1347" t="s">
        <v>17642</v>
      </c>
      <c r="J1347" t="s">
        <v>18892</v>
      </c>
      <c r="K1347">
        <v>10457</v>
      </c>
      <c r="L1347" t="s">
        <v>18958</v>
      </c>
      <c r="M1347" t="s">
        <v>18958</v>
      </c>
      <c r="N1347" t="s">
        <v>19972</v>
      </c>
      <c r="O1347" t="s">
        <v>26523</v>
      </c>
      <c r="P1347" t="s">
        <v>26560</v>
      </c>
      <c r="Q1347" t="s">
        <v>26568</v>
      </c>
      <c r="R1347" t="s">
        <v>26579</v>
      </c>
      <c r="U1347" t="s">
        <v>26604</v>
      </c>
      <c r="V1347" t="s">
        <v>26610</v>
      </c>
      <c r="W1347" t="s">
        <v>523</v>
      </c>
      <c r="X1347">
        <v>949.36</v>
      </c>
      <c r="Y1347" t="s">
        <v>26650</v>
      </c>
      <c r="Z1347" t="s">
        <v>26664</v>
      </c>
      <c r="AA1347" t="s">
        <v>26678</v>
      </c>
      <c r="AB1347" t="s">
        <v>27922</v>
      </c>
      <c r="AC1347" t="s">
        <v>34912</v>
      </c>
      <c r="AD1347" t="s">
        <v>37973</v>
      </c>
      <c r="AE1347">
        <v>0</v>
      </c>
      <c r="AF1347" t="s">
        <v>45541</v>
      </c>
      <c r="AG1347" t="s">
        <v>19330</v>
      </c>
      <c r="AH1347">
        <v>25</v>
      </c>
      <c r="AI1347">
        <v>2</v>
      </c>
      <c r="AJ1347">
        <v>0</v>
      </c>
      <c r="AK1347">
        <v>181.39</v>
      </c>
      <c r="AN1347" t="s">
        <v>45581</v>
      </c>
      <c r="AO1347">
        <v>29856</v>
      </c>
      <c r="AQ1347" t="s">
        <v>46362</v>
      </c>
      <c r="AR1347" t="s">
        <v>46385</v>
      </c>
      <c r="AS1347" t="s">
        <v>46499</v>
      </c>
      <c r="AT1347" t="s">
        <v>46690</v>
      </c>
      <c r="AU1347">
        <v>19.9</v>
      </c>
      <c r="AV1347" t="s">
        <v>657</v>
      </c>
      <c r="AW1347" t="s">
        <v>46831</v>
      </c>
    </row>
    <row r="1348" spans="1:50">
      <c r="A1348" s="1">
        <f>HYPERLINK("https://lsnyc.legalserver.org/matter/dynamic-profile/view/1876457","18-1876457")</f>
        <v>0</v>
      </c>
      <c r="B1348" t="s">
        <v>236</v>
      </c>
      <c r="C1348" t="s">
        <v>341</v>
      </c>
      <c r="D1348" t="s">
        <v>523</v>
      </c>
      <c r="E1348" t="s">
        <v>699</v>
      </c>
      <c r="F1348" t="s">
        <v>887</v>
      </c>
      <c r="G1348" t="s">
        <v>5918</v>
      </c>
      <c r="H1348" t="s">
        <v>10770</v>
      </c>
      <c r="I1348" t="s">
        <v>17416</v>
      </c>
      <c r="J1348" t="s">
        <v>18892</v>
      </c>
      <c r="K1348">
        <v>10452</v>
      </c>
      <c r="L1348" t="s">
        <v>18958</v>
      </c>
      <c r="M1348" t="s">
        <v>18958</v>
      </c>
      <c r="O1348" t="s">
        <v>18997</v>
      </c>
      <c r="P1348" t="s">
        <v>26564</v>
      </c>
      <c r="Q1348" t="s">
        <v>26570</v>
      </c>
      <c r="R1348" t="s">
        <v>26578</v>
      </c>
      <c r="S1348" t="s">
        <v>18959</v>
      </c>
      <c r="U1348" t="s">
        <v>26604</v>
      </c>
      <c r="W1348" t="s">
        <v>523</v>
      </c>
      <c r="X1348">
        <v>1600</v>
      </c>
      <c r="Y1348" t="s">
        <v>26650</v>
      </c>
      <c r="Z1348" t="s">
        <v>26663</v>
      </c>
      <c r="AA1348" t="s">
        <v>26683</v>
      </c>
      <c r="AB1348" t="s">
        <v>27923</v>
      </c>
      <c r="AD1348" t="s">
        <v>37974</v>
      </c>
      <c r="AE1348">
        <v>2</v>
      </c>
      <c r="AF1348" t="s">
        <v>45547</v>
      </c>
      <c r="AH1348">
        <v>7</v>
      </c>
      <c r="AI1348">
        <v>2</v>
      </c>
      <c r="AJ1348">
        <v>0</v>
      </c>
      <c r="AK1348">
        <v>107.11</v>
      </c>
      <c r="AN1348" t="s">
        <v>45581</v>
      </c>
      <c r="AO1348">
        <v>17630</v>
      </c>
      <c r="AU1348">
        <v>0.1</v>
      </c>
      <c r="AV1348" t="s">
        <v>699</v>
      </c>
      <c r="AW1348" t="s">
        <v>236</v>
      </c>
    </row>
    <row r="1349" spans="1:50">
      <c r="A1349" s="1">
        <f>HYPERLINK("https://lsnyc.legalserver.org/matter/dynamic-profile/view/1876469","18-1876469")</f>
        <v>0</v>
      </c>
      <c r="B1349" t="s">
        <v>199</v>
      </c>
      <c r="C1349" t="s">
        <v>341</v>
      </c>
      <c r="D1349" t="s">
        <v>523</v>
      </c>
      <c r="E1349" t="s">
        <v>766</v>
      </c>
      <c r="F1349" t="s">
        <v>1076</v>
      </c>
      <c r="G1349" t="s">
        <v>5919</v>
      </c>
      <c r="H1349" t="s">
        <v>10771</v>
      </c>
      <c r="I1349" t="s">
        <v>17352</v>
      </c>
      <c r="J1349" t="s">
        <v>18894</v>
      </c>
      <c r="K1349">
        <v>11203</v>
      </c>
      <c r="L1349" t="s">
        <v>18958</v>
      </c>
      <c r="M1349" t="s">
        <v>18958</v>
      </c>
      <c r="N1349" t="s">
        <v>19973</v>
      </c>
      <c r="O1349" t="s">
        <v>26523</v>
      </c>
      <c r="P1349" t="s">
        <v>26560</v>
      </c>
      <c r="Q1349" t="s">
        <v>26568</v>
      </c>
      <c r="R1349" t="s">
        <v>26578</v>
      </c>
      <c r="S1349" t="s">
        <v>18958</v>
      </c>
      <c r="U1349" t="s">
        <v>26604</v>
      </c>
      <c r="V1349" t="s">
        <v>26610</v>
      </c>
      <c r="W1349" t="s">
        <v>523</v>
      </c>
      <c r="X1349">
        <v>1708.5</v>
      </c>
      <c r="Y1349" t="s">
        <v>26652</v>
      </c>
      <c r="Z1349" t="s">
        <v>26659</v>
      </c>
      <c r="AA1349" t="s">
        <v>26678</v>
      </c>
      <c r="AB1349" t="s">
        <v>27924</v>
      </c>
      <c r="AD1349" t="s">
        <v>37975</v>
      </c>
      <c r="AE1349">
        <v>50</v>
      </c>
      <c r="AF1349" t="s">
        <v>45541</v>
      </c>
      <c r="AG1349" t="s">
        <v>19330</v>
      </c>
      <c r="AH1349">
        <v>3</v>
      </c>
      <c r="AI1349">
        <v>1</v>
      </c>
      <c r="AJ1349">
        <v>0</v>
      </c>
      <c r="AK1349">
        <v>0</v>
      </c>
      <c r="AN1349" t="s">
        <v>7439</v>
      </c>
      <c r="AO1349">
        <v>0</v>
      </c>
      <c r="AR1349" t="s">
        <v>46407</v>
      </c>
      <c r="AS1349" t="s">
        <v>46499</v>
      </c>
      <c r="AT1349" t="s">
        <v>46587</v>
      </c>
      <c r="AU1349">
        <v>41.6</v>
      </c>
      <c r="AV1349" t="s">
        <v>720</v>
      </c>
      <c r="AW1349" t="s">
        <v>46856</v>
      </c>
    </row>
    <row r="1350" spans="1:50">
      <c r="A1350" s="1">
        <f>HYPERLINK("https://lsnyc.legalserver.org/matter/dynamic-profile/view/1876434","18-1876434")</f>
        <v>0</v>
      </c>
      <c r="B1350" t="s">
        <v>59</v>
      </c>
      <c r="C1350" t="s">
        <v>340</v>
      </c>
      <c r="D1350" t="s">
        <v>523</v>
      </c>
      <c r="F1350" t="s">
        <v>1577</v>
      </c>
      <c r="G1350" t="s">
        <v>4588</v>
      </c>
      <c r="H1350" t="s">
        <v>10772</v>
      </c>
      <c r="I1350">
        <v>30</v>
      </c>
      <c r="J1350" t="s">
        <v>18893</v>
      </c>
      <c r="K1350">
        <v>10026</v>
      </c>
      <c r="L1350" t="s">
        <v>18958</v>
      </c>
      <c r="M1350" t="s">
        <v>18958</v>
      </c>
      <c r="N1350" t="s">
        <v>19974</v>
      </c>
      <c r="O1350" t="s">
        <v>26523</v>
      </c>
      <c r="P1350" t="s">
        <v>26563</v>
      </c>
      <c r="R1350" t="s">
        <v>26578</v>
      </c>
      <c r="S1350" t="s">
        <v>18959</v>
      </c>
      <c r="U1350" t="s">
        <v>26604</v>
      </c>
      <c r="W1350" t="s">
        <v>523</v>
      </c>
      <c r="X1350">
        <v>580.51</v>
      </c>
      <c r="Y1350" t="s">
        <v>26651</v>
      </c>
      <c r="Z1350" t="s">
        <v>26667</v>
      </c>
      <c r="AB1350" t="s">
        <v>27925</v>
      </c>
      <c r="AD1350" t="s">
        <v>37976</v>
      </c>
      <c r="AE1350">
        <v>32</v>
      </c>
      <c r="AF1350" t="s">
        <v>45541</v>
      </c>
      <c r="AG1350" t="s">
        <v>19330</v>
      </c>
      <c r="AH1350">
        <v>36</v>
      </c>
      <c r="AI1350">
        <v>2</v>
      </c>
      <c r="AJ1350">
        <v>0</v>
      </c>
      <c r="AK1350">
        <v>55.33</v>
      </c>
      <c r="AN1350" t="s">
        <v>7439</v>
      </c>
      <c r="AO1350">
        <v>9108</v>
      </c>
      <c r="AU1350">
        <v>62.55</v>
      </c>
      <c r="AV1350" t="s">
        <v>828</v>
      </c>
      <c r="AW1350" t="s">
        <v>46835</v>
      </c>
    </row>
    <row r="1351" spans="1:50">
      <c r="A1351" s="1">
        <f>HYPERLINK("https://lsnyc.legalserver.org/matter/dynamic-profile/view/1876938","18-1876938")</f>
        <v>0</v>
      </c>
      <c r="B1351" t="s">
        <v>205</v>
      </c>
      <c r="C1351" t="s">
        <v>340</v>
      </c>
      <c r="D1351" t="s">
        <v>523</v>
      </c>
      <c r="F1351" t="s">
        <v>1725</v>
      </c>
      <c r="G1351" t="s">
        <v>5672</v>
      </c>
      <c r="H1351" t="s">
        <v>10750</v>
      </c>
      <c r="I1351">
        <v>28</v>
      </c>
      <c r="J1351" t="s">
        <v>18894</v>
      </c>
      <c r="K1351">
        <v>11213</v>
      </c>
      <c r="L1351" t="s">
        <v>18958</v>
      </c>
      <c r="M1351" t="s">
        <v>18958</v>
      </c>
      <c r="N1351" t="s">
        <v>19951</v>
      </c>
      <c r="O1351" t="s">
        <v>26526</v>
      </c>
      <c r="P1351" t="s">
        <v>26560</v>
      </c>
      <c r="R1351" t="s">
        <v>26578</v>
      </c>
      <c r="S1351" t="s">
        <v>18958</v>
      </c>
      <c r="T1351" t="s">
        <v>26578</v>
      </c>
      <c r="U1351" t="s">
        <v>26604</v>
      </c>
      <c r="W1351" t="s">
        <v>523</v>
      </c>
      <c r="X1351">
        <v>1326</v>
      </c>
      <c r="Y1351" t="s">
        <v>26652</v>
      </c>
      <c r="Z1351" t="s">
        <v>26663</v>
      </c>
      <c r="AB1351" t="s">
        <v>27926</v>
      </c>
      <c r="AC1351" t="s">
        <v>34913</v>
      </c>
      <c r="AD1351" t="s">
        <v>37977</v>
      </c>
      <c r="AE1351">
        <v>34</v>
      </c>
      <c r="AF1351" t="s">
        <v>45541</v>
      </c>
      <c r="AG1351" t="s">
        <v>19330</v>
      </c>
      <c r="AH1351">
        <v>2</v>
      </c>
      <c r="AI1351">
        <v>2</v>
      </c>
      <c r="AJ1351">
        <v>0</v>
      </c>
      <c r="AK1351">
        <v>395.94</v>
      </c>
      <c r="AN1351" t="s">
        <v>7439</v>
      </c>
      <c r="AO1351">
        <v>65172</v>
      </c>
      <c r="AU1351">
        <v>32</v>
      </c>
      <c r="AV1351" t="s">
        <v>786</v>
      </c>
      <c r="AW1351" t="s">
        <v>205</v>
      </c>
      <c r="AX1351" t="s">
        <v>46897</v>
      </c>
    </row>
    <row r="1352" spans="1:50">
      <c r="A1352" s="1">
        <f>HYPERLINK("https://lsnyc.legalserver.org/matter/dynamic-profile/view/1876584","18-1876584")</f>
        <v>0</v>
      </c>
      <c r="B1352" t="s">
        <v>162</v>
      </c>
      <c r="C1352" t="s">
        <v>341</v>
      </c>
      <c r="D1352" t="s">
        <v>531</v>
      </c>
      <c r="E1352" t="s">
        <v>839</v>
      </c>
      <c r="F1352" t="s">
        <v>1726</v>
      </c>
      <c r="G1352" t="s">
        <v>5920</v>
      </c>
      <c r="H1352" t="s">
        <v>10773</v>
      </c>
      <c r="I1352">
        <v>6</v>
      </c>
      <c r="J1352" t="s">
        <v>18894</v>
      </c>
      <c r="K1352">
        <v>11209</v>
      </c>
      <c r="L1352" t="s">
        <v>18958</v>
      </c>
      <c r="M1352" t="s">
        <v>18958</v>
      </c>
      <c r="N1352" t="s">
        <v>19975</v>
      </c>
      <c r="O1352" t="s">
        <v>26523</v>
      </c>
      <c r="P1352" t="s">
        <v>26560</v>
      </c>
      <c r="Q1352" t="s">
        <v>26573</v>
      </c>
      <c r="R1352" t="s">
        <v>26586</v>
      </c>
      <c r="S1352" t="s">
        <v>18959</v>
      </c>
      <c r="U1352" t="s">
        <v>26604</v>
      </c>
      <c r="V1352" t="s">
        <v>26610</v>
      </c>
      <c r="W1352" t="s">
        <v>523</v>
      </c>
      <c r="X1352">
        <v>1160</v>
      </c>
      <c r="Y1352" t="s">
        <v>26652</v>
      </c>
      <c r="Z1352" t="s">
        <v>26664</v>
      </c>
      <c r="AA1352" t="s">
        <v>26678</v>
      </c>
      <c r="AB1352" t="s">
        <v>27927</v>
      </c>
      <c r="AD1352" t="s">
        <v>37978</v>
      </c>
      <c r="AE1352">
        <v>6</v>
      </c>
      <c r="AF1352" t="s">
        <v>45541</v>
      </c>
      <c r="AG1352" t="s">
        <v>45559</v>
      </c>
      <c r="AH1352">
        <v>27</v>
      </c>
      <c r="AI1352">
        <v>1</v>
      </c>
      <c r="AJ1352">
        <v>0</v>
      </c>
      <c r="AK1352">
        <v>177.92</v>
      </c>
      <c r="AN1352" t="s">
        <v>7439</v>
      </c>
      <c r="AO1352">
        <v>21600</v>
      </c>
      <c r="AS1352" t="s">
        <v>46499</v>
      </c>
      <c r="AU1352">
        <v>44.5</v>
      </c>
      <c r="AV1352" t="s">
        <v>814</v>
      </c>
      <c r="AW1352" t="s">
        <v>281</v>
      </c>
    </row>
    <row r="1353" spans="1:50">
      <c r="A1353" s="1">
        <f>HYPERLINK("https://lsnyc.legalserver.org/matter/dynamic-profile/view/1870757","18-1870757")</f>
        <v>0</v>
      </c>
      <c r="B1353" t="s">
        <v>162</v>
      </c>
      <c r="C1353" t="s">
        <v>341</v>
      </c>
      <c r="D1353" t="s">
        <v>548</v>
      </c>
      <c r="E1353" t="s">
        <v>530</v>
      </c>
      <c r="F1353" t="s">
        <v>1727</v>
      </c>
      <c r="G1353" t="s">
        <v>5921</v>
      </c>
      <c r="H1353" t="s">
        <v>10774</v>
      </c>
      <c r="I1353" t="s">
        <v>17406</v>
      </c>
      <c r="J1353" t="s">
        <v>18894</v>
      </c>
      <c r="K1353">
        <v>11214</v>
      </c>
      <c r="L1353" t="s">
        <v>18958</v>
      </c>
      <c r="M1353" t="s">
        <v>18958</v>
      </c>
      <c r="N1353" t="s">
        <v>19976</v>
      </c>
      <c r="O1353" t="s">
        <v>26523</v>
      </c>
      <c r="P1353" t="s">
        <v>26560</v>
      </c>
      <c r="Q1353" t="s">
        <v>26573</v>
      </c>
      <c r="R1353" t="s">
        <v>26586</v>
      </c>
      <c r="S1353" t="s">
        <v>18959</v>
      </c>
      <c r="U1353" t="s">
        <v>26604</v>
      </c>
      <c r="V1353" t="s">
        <v>26610</v>
      </c>
      <c r="W1353" t="s">
        <v>530</v>
      </c>
      <c r="X1353">
        <v>1111.59</v>
      </c>
      <c r="Y1353" t="s">
        <v>26652</v>
      </c>
      <c r="Z1353" t="s">
        <v>26662</v>
      </c>
      <c r="AA1353" t="s">
        <v>26678</v>
      </c>
      <c r="AB1353" t="s">
        <v>27928</v>
      </c>
      <c r="AD1353" t="s">
        <v>37979</v>
      </c>
      <c r="AE1353">
        <v>60</v>
      </c>
      <c r="AF1353" t="s">
        <v>45541</v>
      </c>
      <c r="AG1353" t="s">
        <v>19330</v>
      </c>
      <c r="AH1353">
        <v>9</v>
      </c>
      <c r="AI1353">
        <v>1</v>
      </c>
      <c r="AJ1353">
        <v>1</v>
      </c>
      <c r="AK1353">
        <v>66.83</v>
      </c>
      <c r="AN1353" t="s">
        <v>7439</v>
      </c>
      <c r="AO1353">
        <v>11000</v>
      </c>
      <c r="AQ1353" t="s">
        <v>46359</v>
      </c>
      <c r="AR1353" t="s">
        <v>46379</v>
      </c>
      <c r="AS1353" t="s">
        <v>46499</v>
      </c>
      <c r="AT1353" t="s">
        <v>46659</v>
      </c>
      <c r="AU1353">
        <v>17.5</v>
      </c>
      <c r="AV1353" t="s">
        <v>689</v>
      </c>
      <c r="AW1353" t="s">
        <v>46853</v>
      </c>
    </row>
    <row r="1354" spans="1:50">
      <c r="A1354" s="1">
        <f>HYPERLINK("https://lsnyc.legalserver.org/matter/dynamic-profile/view/1873356","18-1873356")</f>
        <v>0</v>
      </c>
      <c r="B1354" t="s">
        <v>101</v>
      </c>
      <c r="C1354" t="s">
        <v>341</v>
      </c>
      <c r="D1354" t="s">
        <v>410</v>
      </c>
      <c r="E1354" t="s">
        <v>530</v>
      </c>
      <c r="F1354" t="s">
        <v>964</v>
      </c>
      <c r="G1354" t="s">
        <v>5370</v>
      </c>
      <c r="H1354" t="s">
        <v>9995</v>
      </c>
      <c r="I1354" t="s">
        <v>17437</v>
      </c>
      <c r="J1354" t="s">
        <v>18894</v>
      </c>
      <c r="K1354">
        <v>11203</v>
      </c>
      <c r="L1354" t="s">
        <v>18958</v>
      </c>
      <c r="M1354" t="s">
        <v>18960</v>
      </c>
      <c r="N1354" t="s">
        <v>19264</v>
      </c>
      <c r="O1354" t="s">
        <v>26524</v>
      </c>
      <c r="P1354" t="s">
        <v>26560</v>
      </c>
      <c r="Q1354" t="s">
        <v>26575</v>
      </c>
      <c r="R1354" t="s">
        <v>26586</v>
      </c>
      <c r="S1354" t="s">
        <v>18959</v>
      </c>
      <c r="U1354" t="s">
        <v>26604</v>
      </c>
      <c r="W1354" t="s">
        <v>530</v>
      </c>
      <c r="X1354">
        <v>905</v>
      </c>
      <c r="Y1354" t="s">
        <v>26652</v>
      </c>
      <c r="Z1354" t="s">
        <v>26664</v>
      </c>
      <c r="AA1354" t="s">
        <v>26678</v>
      </c>
      <c r="AB1354" t="s">
        <v>26761</v>
      </c>
      <c r="AC1354" t="s">
        <v>34605</v>
      </c>
      <c r="AD1354" t="s">
        <v>37163</v>
      </c>
      <c r="AE1354">
        <v>0</v>
      </c>
      <c r="AF1354" t="s">
        <v>45541</v>
      </c>
      <c r="AG1354" t="s">
        <v>19330</v>
      </c>
      <c r="AH1354">
        <v>27</v>
      </c>
      <c r="AI1354">
        <v>2</v>
      </c>
      <c r="AJ1354">
        <v>1</v>
      </c>
      <c r="AK1354">
        <v>56.19</v>
      </c>
      <c r="AN1354" t="s">
        <v>45587</v>
      </c>
      <c r="AO1354">
        <v>20352</v>
      </c>
      <c r="AS1354" t="s">
        <v>46499</v>
      </c>
      <c r="AT1354" t="s">
        <v>46511</v>
      </c>
      <c r="AU1354">
        <v>42.7</v>
      </c>
      <c r="AV1354" t="s">
        <v>533</v>
      </c>
      <c r="AW1354" t="s">
        <v>46851</v>
      </c>
      <c r="AX1354" t="s">
        <v>46897</v>
      </c>
    </row>
    <row r="1355" spans="1:50">
      <c r="A1355" s="1">
        <f>HYPERLINK("https://lsnyc.legalserver.org/matter/dynamic-profile/view/1874072","18-1874072")</f>
        <v>0</v>
      </c>
      <c r="B1355" t="s">
        <v>74</v>
      </c>
      <c r="C1355" t="s">
        <v>341</v>
      </c>
      <c r="D1355" t="s">
        <v>492</v>
      </c>
      <c r="E1355" t="s">
        <v>695</v>
      </c>
      <c r="F1355" t="s">
        <v>1728</v>
      </c>
      <c r="G1355" t="s">
        <v>5922</v>
      </c>
      <c r="H1355" t="s">
        <v>10775</v>
      </c>
      <c r="I1355" t="s">
        <v>17322</v>
      </c>
      <c r="J1355" t="s">
        <v>18893</v>
      </c>
      <c r="K1355">
        <v>10035</v>
      </c>
      <c r="L1355" t="s">
        <v>18958</v>
      </c>
      <c r="M1355" t="s">
        <v>18958</v>
      </c>
      <c r="O1355" t="s">
        <v>18997</v>
      </c>
      <c r="P1355" t="s">
        <v>26560</v>
      </c>
      <c r="Q1355" t="s">
        <v>26568</v>
      </c>
      <c r="R1355" t="s">
        <v>26578</v>
      </c>
      <c r="U1355" t="s">
        <v>26604</v>
      </c>
      <c r="V1355" t="s">
        <v>26610</v>
      </c>
      <c r="W1355" t="s">
        <v>530</v>
      </c>
      <c r="X1355">
        <v>1657</v>
      </c>
      <c r="Y1355" t="s">
        <v>26651</v>
      </c>
      <c r="Z1355" t="s">
        <v>26659</v>
      </c>
      <c r="AA1355" t="s">
        <v>26685</v>
      </c>
      <c r="AB1355" t="s">
        <v>27929</v>
      </c>
      <c r="AD1355" t="s">
        <v>37980</v>
      </c>
      <c r="AE1355">
        <v>16</v>
      </c>
      <c r="AF1355" t="s">
        <v>45541</v>
      </c>
      <c r="AG1355" t="s">
        <v>19330</v>
      </c>
      <c r="AH1355">
        <v>2</v>
      </c>
      <c r="AI1355">
        <v>1</v>
      </c>
      <c r="AJ1355">
        <v>0</v>
      </c>
      <c r="AK1355">
        <v>197.69</v>
      </c>
      <c r="AN1355" t="s">
        <v>7439</v>
      </c>
      <c r="AO1355">
        <v>24000</v>
      </c>
      <c r="AS1355" t="s">
        <v>46499</v>
      </c>
      <c r="AT1355" t="s">
        <v>46610</v>
      </c>
      <c r="AU1355">
        <v>26.3</v>
      </c>
      <c r="AV1355" t="s">
        <v>695</v>
      </c>
      <c r="AW1355" t="s">
        <v>46858</v>
      </c>
    </row>
    <row r="1356" spans="1:50">
      <c r="A1356" s="1">
        <f>HYPERLINK("https://lsnyc.legalserver.org/matter/dynamic-profile/view/1874429","18-1874429")</f>
        <v>0</v>
      </c>
      <c r="B1356" t="s">
        <v>118</v>
      </c>
      <c r="C1356" t="s">
        <v>340</v>
      </c>
      <c r="D1356" t="s">
        <v>498</v>
      </c>
      <c r="F1356" t="s">
        <v>1729</v>
      </c>
      <c r="G1356" t="s">
        <v>5121</v>
      </c>
      <c r="H1356" t="s">
        <v>10776</v>
      </c>
      <c r="I1356" t="s">
        <v>17458</v>
      </c>
      <c r="J1356" t="s">
        <v>18893</v>
      </c>
      <c r="K1356">
        <v>10029</v>
      </c>
      <c r="L1356" t="s">
        <v>18958</v>
      </c>
      <c r="M1356" t="s">
        <v>18958</v>
      </c>
      <c r="O1356" t="s">
        <v>18997</v>
      </c>
      <c r="P1356" t="s">
        <v>26563</v>
      </c>
      <c r="R1356" t="s">
        <v>26578</v>
      </c>
      <c r="S1356" t="s">
        <v>18959</v>
      </c>
      <c r="U1356" t="s">
        <v>26604</v>
      </c>
      <c r="V1356" t="s">
        <v>26610</v>
      </c>
      <c r="W1356" t="s">
        <v>530</v>
      </c>
      <c r="X1356">
        <v>1600</v>
      </c>
      <c r="Y1356" t="s">
        <v>26651</v>
      </c>
      <c r="AB1356" t="s">
        <v>27930</v>
      </c>
      <c r="AE1356">
        <v>10</v>
      </c>
      <c r="AF1356" t="s">
        <v>20460</v>
      </c>
      <c r="AG1356" t="s">
        <v>19330</v>
      </c>
      <c r="AH1356">
        <v>8</v>
      </c>
      <c r="AI1356">
        <v>2</v>
      </c>
      <c r="AJ1356">
        <v>2</v>
      </c>
      <c r="AK1356">
        <v>118.73</v>
      </c>
      <c r="AN1356" t="s">
        <v>45581</v>
      </c>
      <c r="AO1356">
        <v>29800</v>
      </c>
      <c r="AU1356">
        <v>4.5</v>
      </c>
      <c r="AV1356" t="s">
        <v>606</v>
      </c>
      <c r="AW1356" t="s">
        <v>46829</v>
      </c>
    </row>
    <row r="1357" spans="1:50">
      <c r="A1357" s="1">
        <f>HYPERLINK("https://lsnyc.legalserver.org/matter/dynamic-profile/view/1874883","18-1874883")</f>
        <v>0</v>
      </c>
      <c r="B1357" t="s">
        <v>174</v>
      </c>
      <c r="C1357" t="s">
        <v>341</v>
      </c>
      <c r="D1357" t="s">
        <v>477</v>
      </c>
      <c r="E1357" t="s">
        <v>827</v>
      </c>
      <c r="F1357" t="s">
        <v>1730</v>
      </c>
      <c r="G1357" t="s">
        <v>5419</v>
      </c>
      <c r="H1357" t="s">
        <v>10777</v>
      </c>
      <c r="I1357" t="s">
        <v>17353</v>
      </c>
      <c r="J1357" t="s">
        <v>18894</v>
      </c>
      <c r="K1357">
        <v>11212</v>
      </c>
      <c r="L1357" t="s">
        <v>18958</v>
      </c>
      <c r="M1357" t="s">
        <v>18958</v>
      </c>
      <c r="N1357" t="s">
        <v>19977</v>
      </c>
      <c r="O1357" t="s">
        <v>26523</v>
      </c>
      <c r="P1357" t="s">
        <v>26560</v>
      </c>
      <c r="Q1357" t="s">
        <v>26568</v>
      </c>
      <c r="R1357" t="s">
        <v>26583</v>
      </c>
      <c r="S1357" t="s">
        <v>18959</v>
      </c>
      <c r="U1357" t="s">
        <v>26604</v>
      </c>
      <c r="W1357" t="s">
        <v>530</v>
      </c>
      <c r="X1357">
        <v>0</v>
      </c>
      <c r="Y1357" t="s">
        <v>26652</v>
      </c>
      <c r="Z1357" t="s">
        <v>26657</v>
      </c>
      <c r="AA1357" t="s">
        <v>26678</v>
      </c>
      <c r="AB1357" t="s">
        <v>27931</v>
      </c>
      <c r="AC1357" t="s">
        <v>19330</v>
      </c>
      <c r="AD1357" t="s">
        <v>37981</v>
      </c>
      <c r="AE1357">
        <v>74</v>
      </c>
      <c r="AF1357" t="s">
        <v>45541</v>
      </c>
      <c r="AG1357" t="s">
        <v>26530</v>
      </c>
      <c r="AH1357">
        <v>3</v>
      </c>
      <c r="AI1357">
        <v>1</v>
      </c>
      <c r="AJ1357">
        <v>1</v>
      </c>
      <c r="AK1357">
        <v>233.07</v>
      </c>
      <c r="AN1357" t="s">
        <v>7439</v>
      </c>
      <c r="AO1357">
        <v>38364</v>
      </c>
      <c r="AP1357" t="s">
        <v>45703</v>
      </c>
      <c r="AU1357">
        <v>8</v>
      </c>
      <c r="AV1357" t="s">
        <v>816</v>
      </c>
      <c r="AW1357" t="s">
        <v>46842</v>
      </c>
    </row>
    <row r="1358" spans="1:50">
      <c r="A1358" s="1">
        <f>HYPERLINK("https://lsnyc.legalserver.org/matter/dynamic-profile/view/1875269","18-1875269")</f>
        <v>0</v>
      </c>
      <c r="B1358" t="s">
        <v>152</v>
      </c>
      <c r="C1358" t="s">
        <v>341</v>
      </c>
      <c r="D1358" t="s">
        <v>526</v>
      </c>
      <c r="E1358" t="s">
        <v>804</v>
      </c>
      <c r="F1358" t="s">
        <v>1139</v>
      </c>
      <c r="G1358" t="s">
        <v>5515</v>
      </c>
      <c r="H1358" t="s">
        <v>10778</v>
      </c>
      <c r="I1358" t="s">
        <v>17299</v>
      </c>
      <c r="J1358" t="s">
        <v>18892</v>
      </c>
      <c r="K1358">
        <v>10452</v>
      </c>
      <c r="L1358" t="s">
        <v>18958</v>
      </c>
      <c r="M1358" t="s">
        <v>18958</v>
      </c>
      <c r="N1358" t="s">
        <v>19978</v>
      </c>
      <c r="O1358" t="s">
        <v>26523</v>
      </c>
      <c r="P1358" t="s">
        <v>26560</v>
      </c>
      <c r="Q1358" t="s">
        <v>26568</v>
      </c>
      <c r="R1358" t="s">
        <v>26578</v>
      </c>
      <c r="S1358" t="s">
        <v>18959</v>
      </c>
      <c r="U1358" t="s">
        <v>26604</v>
      </c>
      <c r="V1358" t="s">
        <v>26612</v>
      </c>
      <c r="W1358" t="s">
        <v>530</v>
      </c>
      <c r="X1358">
        <v>1175</v>
      </c>
      <c r="Y1358" t="s">
        <v>26650</v>
      </c>
      <c r="Z1358" t="s">
        <v>26663</v>
      </c>
      <c r="AA1358" t="s">
        <v>26678</v>
      </c>
      <c r="AB1358" t="s">
        <v>27346</v>
      </c>
      <c r="AC1358" t="s">
        <v>34914</v>
      </c>
      <c r="AD1358" t="s">
        <v>37982</v>
      </c>
      <c r="AE1358">
        <v>60</v>
      </c>
      <c r="AF1358" t="s">
        <v>45541</v>
      </c>
      <c r="AG1358" t="s">
        <v>19330</v>
      </c>
      <c r="AH1358">
        <v>5</v>
      </c>
      <c r="AI1358">
        <v>1</v>
      </c>
      <c r="AJ1358">
        <v>1</v>
      </c>
      <c r="AK1358">
        <v>63.16</v>
      </c>
      <c r="AN1358" t="s">
        <v>45581</v>
      </c>
      <c r="AO1358">
        <v>10396</v>
      </c>
      <c r="AQ1358" t="s">
        <v>46365</v>
      </c>
      <c r="AU1358">
        <v>31.4</v>
      </c>
      <c r="AV1358" t="s">
        <v>698</v>
      </c>
      <c r="AW1358" t="s">
        <v>46832</v>
      </c>
    </row>
    <row r="1359" spans="1:50">
      <c r="A1359" s="1">
        <f>HYPERLINK("https://lsnyc.legalserver.org/matter/dynamic-profile/view/1876379","18-1876379")</f>
        <v>0</v>
      </c>
      <c r="B1359" t="s">
        <v>81</v>
      </c>
      <c r="C1359" t="s">
        <v>341</v>
      </c>
      <c r="D1359" t="s">
        <v>523</v>
      </c>
      <c r="E1359" t="s">
        <v>534</v>
      </c>
      <c r="F1359" t="s">
        <v>974</v>
      </c>
      <c r="G1359" t="s">
        <v>5923</v>
      </c>
      <c r="H1359" t="s">
        <v>10779</v>
      </c>
      <c r="I1359" t="s">
        <v>17275</v>
      </c>
      <c r="J1359" t="s">
        <v>18892</v>
      </c>
      <c r="K1359">
        <v>10457</v>
      </c>
      <c r="L1359" t="s">
        <v>18958</v>
      </c>
      <c r="M1359" t="s">
        <v>18958</v>
      </c>
      <c r="N1359" t="s">
        <v>19979</v>
      </c>
      <c r="O1359" t="s">
        <v>26523</v>
      </c>
      <c r="P1359" t="s">
        <v>26560</v>
      </c>
      <c r="Q1359" t="s">
        <v>26568</v>
      </c>
      <c r="R1359" t="s">
        <v>26579</v>
      </c>
      <c r="S1359" t="s">
        <v>18959</v>
      </c>
      <c r="U1359" t="s">
        <v>26604</v>
      </c>
      <c r="V1359" t="s">
        <v>26614</v>
      </c>
      <c r="W1359" t="s">
        <v>530</v>
      </c>
      <c r="X1359">
        <v>1250</v>
      </c>
      <c r="Y1359" t="s">
        <v>26650</v>
      </c>
      <c r="AA1359" t="s">
        <v>26691</v>
      </c>
      <c r="AB1359" t="s">
        <v>27932</v>
      </c>
      <c r="AC1359" t="s">
        <v>34915</v>
      </c>
      <c r="AD1359" t="s">
        <v>37983</v>
      </c>
      <c r="AE1359">
        <v>20</v>
      </c>
      <c r="AF1359" t="s">
        <v>45541</v>
      </c>
      <c r="AG1359" t="s">
        <v>19330</v>
      </c>
      <c r="AH1359">
        <v>3</v>
      </c>
      <c r="AI1359">
        <v>3</v>
      </c>
      <c r="AJ1359">
        <v>5</v>
      </c>
      <c r="AK1359">
        <v>92.02</v>
      </c>
      <c r="AN1359" t="s">
        <v>26530</v>
      </c>
      <c r="AO1359">
        <v>39000</v>
      </c>
      <c r="AR1359" t="s">
        <v>46437</v>
      </c>
      <c r="AS1359" t="s">
        <v>46500</v>
      </c>
      <c r="AT1359" t="s">
        <v>46675</v>
      </c>
      <c r="AU1359">
        <v>4.3</v>
      </c>
      <c r="AV1359" t="s">
        <v>571</v>
      </c>
      <c r="AW1359" t="s">
        <v>46867</v>
      </c>
      <c r="AX1359" t="s">
        <v>46898</v>
      </c>
    </row>
    <row r="1360" spans="1:50">
      <c r="A1360" s="1">
        <f>HYPERLINK("https://lsnyc.legalserver.org/matter/dynamic-profile/view/1876506","18-1876506")</f>
        <v>0</v>
      </c>
      <c r="B1360" t="s">
        <v>165</v>
      </c>
      <c r="C1360" t="s">
        <v>341</v>
      </c>
      <c r="D1360" t="s">
        <v>530</v>
      </c>
      <c r="E1360" t="s">
        <v>820</v>
      </c>
      <c r="F1360" t="s">
        <v>1731</v>
      </c>
      <c r="G1360" t="s">
        <v>5924</v>
      </c>
      <c r="H1360" t="s">
        <v>10780</v>
      </c>
      <c r="I1360" t="s">
        <v>17299</v>
      </c>
      <c r="J1360" t="s">
        <v>18893</v>
      </c>
      <c r="K1360">
        <v>10032</v>
      </c>
      <c r="L1360" t="s">
        <v>18958</v>
      </c>
      <c r="M1360" t="s">
        <v>18958</v>
      </c>
      <c r="N1360" t="s">
        <v>19980</v>
      </c>
      <c r="O1360" t="s">
        <v>26524</v>
      </c>
      <c r="P1360" t="s">
        <v>26564</v>
      </c>
      <c r="Q1360" t="s">
        <v>26570</v>
      </c>
      <c r="R1360" t="s">
        <v>26582</v>
      </c>
      <c r="S1360" t="s">
        <v>18959</v>
      </c>
      <c r="U1360" t="s">
        <v>26604</v>
      </c>
      <c r="W1360" t="s">
        <v>530</v>
      </c>
      <c r="X1360">
        <v>505</v>
      </c>
      <c r="Y1360" t="s">
        <v>26651</v>
      </c>
      <c r="Z1360" t="s">
        <v>26675</v>
      </c>
      <c r="AA1360" t="s">
        <v>26683</v>
      </c>
      <c r="AB1360" t="s">
        <v>27933</v>
      </c>
      <c r="AD1360" t="s">
        <v>37984</v>
      </c>
      <c r="AE1360">
        <v>54</v>
      </c>
      <c r="AF1360" t="s">
        <v>20460</v>
      </c>
      <c r="AG1360" t="s">
        <v>26530</v>
      </c>
      <c r="AH1360">
        <v>9</v>
      </c>
      <c r="AI1360">
        <v>2</v>
      </c>
      <c r="AJ1360">
        <v>0</v>
      </c>
      <c r="AK1360">
        <v>152.97</v>
      </c>
      <c r="AN1360" t="s">
        <v>7439</v>
      </c>
      <c r="AO1360">
        <v>25179</v>
      </c>
      <c r="AU1360">
        <v>3</v>
      </c>
      <c r="AV1360" t="s">
        <v>808</v>
      </c>
      <c r="AW1360" t="s">
        <v>314</v>
      </c>
    </row>
    <row r="1361" spans="1:49">
      <c r="A1361" s="1">
        <f>HYPERLINK("https://lsnyc.legalserver.org/matter/dynamic-profile/view/1876521","18-1876521")</f>
        <v>0</v>
      </c>
      <c r="B1361" t="s">
        <v>134</v>
      </c>
      <c r="C1361" t="s">
        <v>341</v>
      </c>
      <c r="D1361" t="s">
        <v>530</v>
      </c>
      <c r="E1361" t="s">
        <v>494</v>
      </c>
      <c r="F1361" t="s">
        <v>1732</v>
      </c>
      <c r="G1361" t="s">
        <v>994</v>
      </c>
      <c r="H1361" t="s">
        <v>10781</v>
      </c>
      <c r="I1361" t="s">
        <v>17344</v>
      </c>
      <c r="J1361" t="s">
        <v>18894</v>
      </c>
      <c r="K1361">
        <v>11212</v>
      </c>
      <c r="L1361" t="s">
        <v>18958</v>
      </c>
      <c r="M1361" t="s">
        <v>18958</v>
      </c>
      <c r="N1361" t="s">
        <v>19037</v>
      </c>
      <c r="O1361" t="s">
        <v>26542</v>
      </c>
      <c r="P1361" t="s">
        <v>26565</v>
      </c>
      <c r="Q1361" t="s">
        <v>26571</v>
      </c>
      <c r="R1361" t="s">
        <v>26578</v>
      </c>
      <c r="S1361" t="s">
        <v>18958</v>
      </c>
      <c r="U1361" t="s">
        <v>26606</v>
      </c>
      <c r="V1361" t="s">
        <v>26610</v>
      </c>
      <c r="W1361" t="s">
        <v>530</v>
      </c>
      <c r="X1361">
        <v>2150</v>
      </c>
      <c r="Y1361" t="s">
        <v>26652</v>
      </c>
      <c r="AA1361" t="s">
        <v>26677</v>
      </c>
      <c r="AB1361" t="s">
        <v>27883</v>
      </c>
      <c r="AD1361" t="s">
        <v>37985</v>
      </c>
      <c r="AE1361">
        <v>35</v>
      </c>
      <c r="AF1361" t="s">
        <v>45543</v>
      </c>
      <c r="AG1361" t="s">
        <v>45556</v>
      </c>
      <c r="AH1361">
        <v>27</v>
      </c>
      <c r="AI1361">
        <v>1</v>
      </c>
      <c r="AJ1361">
        <v>1</v>
      </c>
      <c r="AK1361">
        <v>14.37</v>
      </c>
      <c r="AN1361" t="s">
        <v>7439</v>
      </c>
      <c r="AO1361">
        <v>2366</v>
      </c>
      <c r="AP1361" t="s">
        <v>45669</v>
      </c>
      <c r="AU1361">
        <v>2.5</v>
      </c>
      <c r="AV1361" t="s">
        <v>494</v>
      </c>
      <c r="AW1361" t="s">
        <v>134</v>
      </c>
    </row>
    <row r="1362" spans="1:49">
      <c r="A1362" s="1">
        <f>HYPERLINK("https://lsnyc.legalserver.org/matter/dynamic-profile/view/1876519","18-1876519")</f>
        <v>0</v>
      </c>
      <c r="B1362" t="s">
        <v>134</v>
      </c>
      <c r="C1362" t="s">
        <v>341</v>
      </c>
      <c r="D1362" t="s">
        <v>530</v>
      </c>
      <c r="E1362" t="s">
        <v>494</v>
      </c>
      <c r="F1362" t="s">
        <v>1733</v>
      </c>
      <c r="G1362" t="s">
        <v>5925</v>
      </c>
      <c r="H1362" t="s">
        <v>10781</v>
      </c>
      <c r="I1362" t="s">
        <v>17299</v>
      </c>
      <c r="J1362" t="s">
        <v>18894</v>
      </c>
      <c r="K1362">
        <v>11212</v>
      </c>
      <c r="L1362" t="s">
        <v>18958</v>
      </c>
      <c r="M1362" t="s">
        <v>18958</v>
      </c>
      <c r="N1362" t="s">
        <v>19037</v>
      </c>
      <c r="O1362" t="s">
        <v>26542</v>
      </c>
      <c r="P1362" t="s">
        <v>26562</v>
      </c>
      <c r="Q1362" t="s">
        <v>26569</v>
      </c>
      <c r="R1362" t="s">
        <v>26578</v>
      </c>
      <c r="S1362" t="s">
        <v>18958</v>
      </c>
      <c r="U1362" t="s">
        <v>26606</v>
      </c>
      <c r="V1362" t="s">
        <v>26610</v>
      </c>
      <c r="W1362" t="s">
        <v>530</v>
      </c>
      <c r="X1362">
        <v>2152</v>
      </c>
      <c r="Y1362" t="s">
        <v>26652</v>
      </c>
      <c r="Z1362" t="s">
        <v>26659</v>
      </c>
      <c r="AA1362" t="s">
        <v>26677</v>
      </c>
      <c r="AB1362" t="s">
        <v>27934</v>
      </c>
      <c r="AD1362" t="s">
        <v>37986</v>
      </c>
      <c r="AE1362">
        <v>35</v>
      </c>
      <c r="AF1362" t="s">
        <v>45543</v>
      </c>
      <c r="AG1362" t="s">
        <v>45556</v>
      </c>
      <c r="AH1362">
        <v>16</v>
      </c>
      <c r="AI1362">
        <v>2</v>
      </c>
      <c r="AJ1362">
        <v>0</v>
      </c>
      <c r="AK1362">
        <v>256.38</v>
      </c>
      <c r="AN1362" t="s">
        <v>7439</v>
      </c>
      <c r="AO1362">
        <v>42200</v>
      </c>
      <c r="AP1362" t="s">
        <v>45669</v>
      </c>
      <c r="AU1362">
        <v>23.8</v>
      </c>
      <c r="AV1362" t="s">
        <v>781</v>
      </c>
      <c r="AW1362" t="s">
        <v>134</v>
      </c>
    </row>
    <row r="1363" spans="1:49">
      <c r="A1363" s="1">
        <f>HYPERLINK("https://lsnyc.legalserver.org/matter/dynamic-profile/view/1876488","18-1876488")</f>
        <v>0</v>
      </c>
      <c r="B1363" t="s">
        <v>109</v>
      </c>
      <c r="C1363" t="s">
        <v>341</v>
      </c>
      <c r="D1363" t="s">
        <v>530</v>
      </c>
      <c r="E1363" t="s">
        <v>671</v>
      </c>
      <c r="F1363" t="s">
        <v>1377</v>
      </c>
      <c r="G1363" t="s">
        <v>5926</v>
      </c>
      <c r="H1363" t="s">
        <v>10782</v>
      </c>
      <c r="I1363" t="s">
        <v>17435</v>
      </c>
      <c r="J1363" t="s">
        <v>18902</v>
      </c>
      <c r="K1363">
        <v>10314</v>
      </c>
      <c r="L1363" t="s">
        <v>18958</v>
      </c>
      <c r="M1363" t="s">
        <v>18958</v>
      </c>
      <c r="N1363" t="s">
        <v>19981</v>
      </c>
      <c r="O1363" t="s">
        <v>26524</v>
      </c>
      <c r="P1363" t="s">
        <v>26560</v>
      </c>
      <c r="Q1363" t="s">
        <v>26573</v>
      </c>
      <c r="R1363" t="s">
        <v>26590</v>
      </c>
      <c r="S1363" t="s">
        <v>18959</v>
      </c>
      <c r="U1363" t="s">
        <v>26604</v>
      </c>
      <c r="V1363" t="s">
        <v>26610</v>
      </c>
      <c r="W1363" t="s">
        <v>530</v>
      </c>
      <c r="X1363">
        <v>800</v>
      </c>
      <c r="Y1363" t="s">
        <v>26654</v>
      </c>
      <c r="Z1363" t="s">
        <v>26668</v>
      </c>
      <c r="AA1363" t="s">
        <v>26678</v>
      </c>
      <c r="AB1363" t="s">
        <v>27935</v>
      </c>
      <c r="AD1363" t="s">
        <v>37987</v>
      </c>
      <c r="AE1363">
        <v>2</v>
      </c>
      <c r="AF1363" t="s">
        <v>45547</v>
      </c>
      <c r="AH1363">
        <v>47</v>
      </c>
      <c r="AI1363">
        <v>1</v>
      </c>
      <c r="AJ1363">
        <v>0</v>
      </c>
      <c r="AK1363">
        <v>138.39</v>
      </c>
      <c r="AO1363">
        <v>16800</v>
      </c>
      <c r="AQ1363" t="s">
        <v>46362</v>
      </c>
      <c r="AR1363" t="s">
        <v>46379</v>
      </c>
      <c r="AS1363" t="s">
        <v>46499</v>
      </c>
      <c r="AT1363" t="s">
        <v>46569</v>
      </c>
      <c r="AU1363">
        <v>14.35</v>
      </c>
      <c r="AV1363" t="s">
        <v>815</v>
      </c>
      <c r="AW1363" t="s">
        <v>210</v>
      </c>
    </row>
    <row r="1364" spans="1:49">
      <c r="A1364" s="1">
        <f>HYPERLINK("https://lsnyc.legalserver.org/matter/dynamic-profile/view/1876482","18-1876482")</f>
        <v>0</v>
      </c>
      <c r="B1364" t="s">
        <v>64</v>
      </c>
      <c r="C1364" t="s">
        <v>341</v>
      </c>
      <c r="D1364" t="s">
        <v>530</v>
      </c>
      <c r="E1364" t="s">
        <v>529</v>
      </c>
      <c r="F1364" t="s">
        <v>1734</v>
      </c>
      <c r="G1364" t="s">
        <v>5927</v>
      </c>
      <c r="H1364" t="s">
        <v>10783</v>
      </c>
      <c r="I1364" t="s">
        <v>17356</v>
      </c>
      <c r="J1364" t="s">
        <v>18892</v>
      </c>
      <c r="K1364">
        <v>10468</v>
      </c>
      <c r="L1364" t="s">
        <v>18958</v>
      </c>
      <c r="M1364" t="s">
        <v>18958</v>
      </c>
      <c r="N1364" t="s">
        <v>19982</v>
      </c>
      <c r="O1364" t="s">
        <v>26526</v>
      </c>
      <c r="P1364" t="s">
        <v>26560</v>
      </c>
      <c r="Q1364" t="s">
        <v>26568</v>
      </c>
      <c r="R1364" t="s">
        <v>26577</v>
      </c>
      <c r="S1364" t="s">
        <v>18959</v>
      </c>
      <c r="U1364" t="s">
        <v>26604</v>
      </c>
      <c r="V1364" t="s">
        <v>26610</v>
      </c>
      <c r="W1364" t="s">
        <v>530</v>
      </c>
      <c r="X1364">
        <v>1192.18</v>
      </c>
      <c r="Y1364" t="s">
        <v>26650</v>
      </c>
      <c r="Z1364" t="s">
        <v>26664</v>
      </c>
      <c r="AA1364" t="s">
        <v>26685</v>
      </c>
      <c r="AB1364" t="s">
        <v>27936</v>
      </c>
      <c r="AD1364" t="s">
        <v>37988</v>
      </c>
      <c r="AE1364">
        <v>0</v>
      </c>
      <c r="AF1364" t="s">
        <v>45541</v>
      </c>
      <c r="AG1364" t="s">
        <v>45556</v>
      </c>
      <c r="AH1364">
        <v>12</v>
      </c>
      <c r="AI1364">
        <v>3</v>
      </c>
      <c r="AJ1364">
        <v>0</v>
      </c>
      <c r="AK1364">
        <v>45.79</v>
      </c>
      <c r="AO1364">
        <v>9516</v>
      </c>
      <c r="AP1364" t="s">
        <v>45654</v>
      </c>
      <c r="AQ1364" t="s">
        <v>46362</v>
      </c>
      <c r="AR1364" t="s">
        <v>46383</v>
      </c>
      <c r="AS1364" t="s">
        <v>46499</v>
      </c>
      <c r="AT1364" t="s">
        <v>46579</v>
      </c>
      <c r="AU1364">
        <v>10.6</v>
      </c>
      <c r="AV1364" t="s">
        <v>583</v>
      </c>
      <c r="AW1364" t="s">
        <v>334</v>
      </c>
    </row>
    <row r="1365" spans="1:49">
      <c r="A1365" s="1">
        <f>HYPERLINK("https://lsnyc.legalserver.org/matter/dynamic-profile/view/1876479","18-1876479")</f>
        <v>0</v>
      </c>
      <c r="B1365" t="s">
        <v>59</v>
      </c>
      <c r="C1365" t="s">
        <v>340</v>
      </c>
      <c r="D1365" t="s">
        <v>530</v>
      </c>
      <c r="F1365" t="s">
        <v>1288</v>
      </c>
      <c r="G1365" t="s">
        <v>5928</v>
      </c>
      <c r="H1365" t="s">
        <v>10784</v>
      </c>
      <c r="I1365" t="s">
        <v>17360</v>
      </c>
      <c r="J1365" t="s">
        <v>18893</v>
      </c>
      <c r="K1365">
        <v>10037</v>
      </c>
      <c r="L1365" t="s">
        <v>18958</v>
      </c>
      <c r="M1365" t="s">
        <v>18958</v>
      </c>
      <c r="N1365" t="s">
        <v>19983</v>
      </c>
      <c r="O1365" t="s">
        <v>26523</v>
      </c>
      <c r="P1365" t="s">
        <v>26564</v>
      </c>
      <c r="R1365" t="s">
        <v>26582</v>
      </c>
      <c r="S1365" t="s">
        <v>18959</v>
      </c>
      <c r="U1365" t="s">
        <v>26604</v>
      </c>
      <c r="W1365" t="s">
        <v>530</v>
      </c>
      <c r="X1365">
        <v>1290</v>
      </c>
      <c r="Y1365" t="s">
        <v>26651</v>
      </c>
      <c r="Z1365" t="s">
        <v>26659</v>
      </c>
      <c r="AB1365" t="s">
        <v>27937</v>
      </c>
      <c r="AD1365" t="s">
        <v>37989</v>
      </c>
      <c r="AE1365">
        <v>259</v>
      </c>
      <c r="AF1365" t="s">
        <v>45541</v>
      </c>
      <c r="AG1365" t="s">
        <v>45556</v>
      </c>
      <c r="AH1365">
        <v>28</v>
      </c>
      <c r="AI1365">
        <v>2</v>
      </c>
      <c r="AJ1365">
        <v>0</v>
      </c>
      <c r="AK1365">
        <v>49.21</v>
      </c>
      <c r="AN1365" t="s">
        <v>7439</v>
      </c>
      <c r="AO1365">
        <v>8100</v>
      </c>
      <c r="AU1365">
        <v>2.8</v>
      </c>
      <c r="AV1365" t="s">
        <v>531</v>
      </c>
      <c r="AW1365" t="s">
        <v>314</v>
      </c>
    </row>
    <row r="1366" spans="1:49">
      <c r="A1366" s="1">
        <f>HYPERLINK("https://lsnyc.legalserver.org/matter/dynamic-profile/view/1843643","17-1843643")</f>
        <v>0</v>
      </c>
      <c r="B1366" t="s">
        <v>53</v>
      </c>
      <c r="C1366" t="s">
        <v>340</v>
      </c>
      <c r="D1366" t="s">
        <v>550</v>
      </c>
      <c r="F1366" t="s">
        <v>933</v>
      </c>
      <c r="G1366" t="s">
        <v>5929</v>
      </c>
      <c r="H1366" t="s">
        <v>10785</v>
      </c>
      <c r="I1366" t="s">
        <v>17643</v>
      </c>
      <c r="J1366" t="s">
        <v>18892</v>
      </c>
      <c r="K1366">
        <v>10455</v>
      </c>
      <c r="L1366" t="s">
        <v>18958</v>
      </c>
      <c r="M1366" t="s">
        <v>18958</v>
      </c>
      <c r="N1366" t="s">
        <v>19984</v>
      </c>
      <c r="O1366" t="s">
        <v>26549</v>
      </c>
      <c r="P1366" t="s">
        <v>26560</v>
      </c>
      <c r="R1366" t="s">
        <v>26577</v>
      </c>
      <c r="S1366" t="s">
        <v>18959</v>
      </c>
      <c r="U1366" t="s">
        <v>26606</v>
      </c>
      <c r="V1366" t="s">
        <v>26610</v>
      </c>
      <c r="W1366" t="s">
        <v>593</v>
      </c>
      <c r="X1366">
        <v>1606</v>
      </c>
      <c r="Y1366" t="s">
        <v>26650</v>
      </c>
      <c r="Z1366" t="s">
        <v>26661</v>
      </c>
      <c r="AB1366" t="s">
        <v>27938</v>
      </c>
      <c r="AC1366" t="s">
        <v>34916</v>
      </c>
      <c r="AD1366" t="s">
        <v>37990</v>
      </c>
      <c r="AE1366">
        <v>222</v>
      </c>
      <c r="AF1366" t="s">
        <v>45541</v>
      </c>
      <c r="AG1366" t="s">
        <v>45556</v>
      </c>
      <c r="AH1366">
        <v>6</v>
      </c>
      <c r="AI1366">
        <v>3</v>
      </c>
      <c r="AJ1366">
        <v>1</v>
      </c>
      <c r="AK1366">
        <v>67.37</v>
      </c>
      <c r="AN1366" t="s">
        <v>7439</v>
      </c>
      <c r="AO1366">
        <v>16572</v>
      </c>
      <c r="AP1366" t="s">
        <v>45620</v>
      </c>
      <c r="AT1366" t="s">
        <v>46691</v>
      </c>
      <c r="AU1366">
        <v>39</v>
      </c>
      <c r="AV1366" t="s">
        <v>637</v>
      </c>
      <c r="AW1366" t="s">
        <v>46849</v>
      </c>
    </row>
    <row r="1367" spans="1:49">
      <c r="A1367" s="1">
        <f>HYPERLINK("https://lsnyc.legalserver.org/matter/dynamic-profile/view/1844980","17-1844980")</f>
        <v>0</v>
      </c>
      <c r="B1367" t="s">
        <v>182</v>
      </c>
      <c r="C1367" t="s">
        <v>341</v>
      </c>
      <c r="D1367" t="s">
        <v>551</v>
      </c>
      <c r="E1367" t="s">
        <v>816</v>
      </c>
      <c r="F1367" t="s">
        <v>1196</v>
      </c>
      <c r="G1367" t="s">
        <v>1000</v>
      </c>
      <c r="H1367" t="s">
        <v>10693</v>
      </c>
      <c r="I1367" t="s">
        <v>17306</v>
      </c>
      <c r="J1367" t="s">
        <v>18892</v>
      </c>
      <c r="K1367">
        <v>10456</v>
      </c>
      <c r="L1367" t="s">
        <v>18958</v>
      </c>
      <c r="M1367" t="s">
        <v>18960</v>
      </c>
      <c r="N1367" t="s">
        <v>19985</v>
      </c>
      <c r="O1367" t="s">
        <v>26524</v>
      </c>
      <c r="P1367" t="s">
        <v>26560</v>
      </c>
      <c r="Q1367" t="s">
        <v>26568</v>
      </c>
      <c r="R1367" t="s">
        <v>26577</v>
      </c>
      <c r="S1367" t="s">
        <v>18959</v>
      </c>
      <c r="U1367" t="s">
        <v>26604</v>
      </c>
      <c r="V1367" t="s">
        <v>26610</v>
      </c>
      <c r="W1367" t="s">
        <v>593</v>
      </c>
      <c r="X1367">
        <v>1001.1</v>
      </c>
      <c r="Y1367" t="s">
        <v>26650</v>
      </c>
      <c r="Z1367" t="s">
        <v>26656</v>
      </c>
      <c r="AA1367" t="s">
        <v>26678</v>
      </c>
      <c r="AB1367" t="s">
        <v>27939</v>
      </c>
      <c r="AC1367" t="s">
        <v>34917</v>
      </c>
      <c r="AD1367" t="s">
        <v>37991</v>
      </c>
      <c r="AE1367">
        <v>123</v>
      </c>
      <c r="AF1367" t="s">
        <v>45541</v>
      </c>
      <c r="AG1367" t="s">
        <v>19330</v>
      </c>
      <c r="AH1367">
        <v>33</v>
      </c>
      <c r="AI1367">
        <v>1</v>
      </c>
      <c r="AJ1367">
        <v>0</v>
      </c>
      <c r="AK1367">
        <v>17.91</v>
      </c>
      <c r="AN1367" t="s">
        <v>7439</v>
      </c>
      <c r="AO1367">
        <v>2160</v>
      </c>
      <c r="AP1367" t="s">
        <v>45621</v>
      </c>
      <c r="AQ1367" t="s">
        <v>46361</v>
      </c>
      <c r="AR1367" t="s">
        <v>46438</v>
      </c>
      <c r="AS1367" t="s">
        <v>46499</v>
      </c>
      <c r="AT1367" t="s">
        <v>46692</v>
      </c>
      <c r="AU1367">
        <v>113.7</v>
      </c>
      <c r="AV1367" t="s">
        <v>770</v>
      </c>
      <c r="AW1367" t="s">
        <v>46848</v>
      </c>
    </row>
    <row r="1368" spans="1:49">
      <c r="A1368" s="1">
        <f>HYPERLINK("https://lsnyc.legalserver.org/matter/dynamic-profile/view/1845180","17-1845180")</f>
        <v>0</v>
      </c>
      <c r="B1368" t="s">
        <v>237</v>
      </c>
      <c r="C1368" t="s">
        <v>340</v>
      </c>
      <c r="D1368" t="s">
        <v>552</v>
      </c>
      <c r="F1368" t="s">
        <v>1735</v>
      </c>
      <c r="G1368" t="s">
        <v>4195</v>
      </c>
      <c r="H1368" t="s">
        <v>10786</v>
      </c>
      <c r="I1368" t="s">
        <v>17465</v>
      </c>
      <c r="J1368" t="s">
        <v>18894</v>
      </c>
      <c r="K1368">
        <v>11208</v>
      </c>
      <c r="L1368" t="s">
        <v>18958</v>
      </c>
      <c r="M1368" t="s">
        <v>18958</v>
      </c>
      <c r="O1368" t="s">
        <v>26525</v>
      </c>
      <c r="P1368" t="s">
        <v>26564</v>
      </c>
      <c r="R1368" t="s">
        <v>26586</v>
      </c>
      <c r="U1368" t="s">
        <v>26605</v>
      </c>
      <c r="W1368" t="s">
        <v>593</v>
      </c>
      <c r="X1368">
        <v>283</v>
      </c>
      <c r="Y1368" t="s">
        <v>26652</v>
      </c>
      <c r="Z1368" t="s">
        <v>26664</v>
      </c>
      <c r="AB1368" t="s">
        <v>27940</v>
      </c>
      <c r="AC1368">
        <v>9963939</v>
      </c>
      <c r="AD1368" t="s">
        <v>37992</v>
      </c>
      <c r="AE1368">
        <v>0</v>
      </c>
      <c r="AF1368" t="s">
        <v>45542</v>
      </c>
      <c r="AG1368" t="s">
        <v>19330</v>
      </c>
      <c r="AH1368">
        <v>26</v>
      </c>
      <c r="AI1368">
        <v>1</v>
      </c>
      <c r="AJ1368">
        <v>1</v>
      </c>
      <c r="AK1368">
        <v>21.43</v>
      </c>
      <c r="AN1368" t="s">
        <v>7439</v>
      </c>
      <c r="AO1368">
        <v>3480</v>
      </c>
      <c r="AU1368">
        <v>0.5</v>
      </c>
      <c r="AV1368" t="s">
        <v>634</v>
      </c>
      <c r="AW1368" t="s">
        <v>307</v>
      </c>
    </row>
    <row r="1369" spans="1:49">
      <c r="A1369" s="1">
        <f>HYPERLINK("https://lsnyc.legalserver.org/matter/dynamic-profile/view/1850633","17-1850633")</f>
        <v>0</v>
      </c>
      <c r="B1369" t="s">
        <v>143</v>
      </c>
      <c r="C1369" t="s">
        <v>341</v>
      </c>
      <c r="D1369" t="s">
        <v>553</v>
      </c>
      <c r="E1369" t="s">
        <v>800</v>
      </c>
      <c r="F1369" t="s">
        <v>1736</v>
      </c>
      <c r="G1369" t="s">
        <v>5930</v>
      </c>
      <c r="H1369" t="s">
        <v>10787</v>
      </c>
      <c r="I1369" t="s">
        <v>17322</v>
      </c>
      <c r="J1369" t="s">
        <v>18892</v>
      </c>
      <c r="K1369">
        <v>10467</v>
      </c>
      <c r="L1369" t="s">
        <v>18958</v>
      </c>
      <c r="M1369" t="s">
        <v>18958</v>
      </c>
      <c r="N1369" t="s">
        <v>19986</v>
      </c>
      <c r="O1369" t="s">
        <v>26524</v>
      </c>
      <c r="P1369" t="s">
        <v>26560</v>
      </c>
      <c r="Q1369" t="s">
        <v>26569</v>
      </c>
      <c r="R1369" t="s">
        <v>26579</v>
      </c>
      <c r="S1369" t="s">
        <v>18959</v>
      </c>
      <c r="U1369" t="s">
        <v>26604</v>
      </c>
      <c r="V1369" t="s">
        <v>26610</v>
      </c>
      <c r="W1369" t="s">
        <v>593</v>
      </c>
      <c r="X1369">
        <v>1214</v>
      </c>
      <c r="Y1369" t="s">
        <v>26650</v>
      </c>
      <c r="Z1369" t="s">
        <v>26662</v>
      </c>
      <c r="AA1369" t="s">
        <v>26681</v>
      </c>
      <c r="AB1369" t="s">
        <v>27941</v>
      </c>
      <c r="AC1369" t="s">
        <v>34918</v>
      </c>
      <c r="AD1369" t="s">
        <v>37993</v>
      </c>
      <c r="AE1369">
        <v>6</v>
      </c>
      <c r="AF1369" t="s">
        <v>45541</v>
      </c>
      <c r="AG1369" t="s">
        <v>26530</v>
      </c>
      <c r="AH1369">
        <v>8</v>
      </c>
      <c r="AI1369">
        <v>1</v>
      </c>
      <c r="AJ1369">
        <v>0</v>
      </c>
      <c r="AK1369">
        <v>67.66</v>
      </c>
      <c r="AN1369" t="s">
        <v>7439</v>
      </c>
      <c r="AO1369">
        <v>8160</v>
      </c>
      <c r="AU1369">
        <v>19.9</v>
      </c>
      <c r="AV1369" t="s">
        <v>755</v>
      </c>
      <c r="AW1369" t="s">
        <v>46836</v>
      </c>
    </row>
    <row r="1370" spans="1:49">
      <c r="A1370" s="1">
        <f>HYPERLINK("https://lsnyc.legalserver.org/matter/dynamic-profile/view/1853765","17-1853765")</f>
        <v>0</v>
      </c>
      <c r="B1370" t="s">
        <v>50</v>
      </c>
      <c r="C1370" t="s">
        <v>341</v>
      </c>
      <c r="D1370" t="s">
        <v>554</v>
      </c>
      <c r="E1370" t="s">
        <v>606</v>
      </c>
      <c r="F1370" t="s">
        <v>916</v>
      </c>
      <c r="G1370" t="s">
        <v>5311</v>
      </c>
      <c r="H1370" t="s">
        <v>10788</v>
      </c>
      <c r="I1370" t="s">
        <v>17440</v>
      </c>
      <c r="J1370" t="s">
        <v>18892</v>
      </c>
      <c r="K1370">
        <v>10467</v>
      </c>
      <c r="L1370" t="s">
        <v>18958</v>
      </c>
      <c r="M1370" t="s">
        <v>18958</v>
      </c>
      <c r="N1370" t="s">
        <v>19987</v>
      </c>
      <c r="O1370" t="s">
        <v>26529</v>
      </c>
      <c r="P1370" t="s">
        <v>26562</v>
      </c>
      <c r="Q1370" t="s">
        <v>26570</v>
      </c>
      <c r="R1370" t="s">
        <v>26578</v>
      </c>
      <c r="S1370" t="s">
        <v>18959</v>
      </c>
      <c r="U1370" t="s">
        <v>26608</v>
      </c>
      <c r="W1370" t="s">
        <v>593</v>
      </c>
      <c r="X1370">
        <v>908.25</v>
      </c>
      <c r="Y1370" t="s">
        <v>26650</v>
      </c>
      <c r="Z1370" t="s">
        <v>26659</v>
      </c>
      <c r="AA1370" t="s">
        <v>26683</v>
      </c>
      <c r="AB1370" t="s">
        <v>27942</v>
      </c>
      <c r="AC1370" t="s">
        <v>34919</v>
      </c>
      <c r="AD1370" t="s">
        <v>37994</v>
      </c>
      <c r="AE1370">
        <v>49</v>
      </c>
      <c r="AF1370" t="s">
        <v>45541</v>
      </c>
      <c r="AG1370" t="s">
        <v>45556</v>
      </c>
      <c r="AH1370">
        <v>22</v>
      </c>
      <c r="AI1370">
        <v>2</v>
      </c>
      <c r="AJ1370">
        <v>2</v>
      </c>
      <c r="AK1370">
        <v>71.5</v>
      </c>
      <c r="AN1370" t="s">
        <v>45581</v>
      </c>
      <c r="AO1370">
        <v>17589.36</v>
      </c>
      <c r="AU1370">
        <v>0.25</v>
      </c>
      <c r="AV1370" t="s">
        <v>568</v>
      </c>
      <c r="AW1370" t="s">
        <v>46847</v>
      </c>
    </row>
    <row r="1371" spans="1:49">
      <c r="A1371" s="1">
        <f>HYPERLINK("https://lsnyc.legalserver.org/matter/dynamic-profile/view/1853722","17-1853722")</f>
        <v>0</v>
      </c>
      <c r="B1371" t="s">
        <v>238</v>
      </c>
      <c r="C1371" t="s">
        <v>341</v>
      </c>
      <c r="D1371" t="s">
        <v>554</v>
      </c>
      <c r="E1371" t="s">
        <v>494</v>
      </c>
      <c r="F1371" t="s">
        <v>1737</v>
      </c>
      <c r="G1371" t="s">
        <v>5931</v>
      </c>
      <c r="H1371" t="s">
        <v>10789</v>
      </c>
      <c r="I1371">
        <v>4</v>
      </c>
      <c r="J1371" t="s">
        <v>18894</v>
      </c>
      <c r="K1371">
        <v>11216</v>
      </c>
      <c r="L1371" t="s">
        <v>18958</v>
      </c>
      <c r="M1371" t="s">
        <v>18960</v>
      </c>
      <c r="N1371" t="s">
        <v>19988</v>
      </c>
      <c r="O1371" t="s">
        <v>26523</v>
      </c>
      <c r="P1371" t="s">
        <v>26560</v>
      </c>
      <c r="Q1371" t="s">
        <v>26568</v>
      </c>
      <c r="R1371" t="s">
        <v>26588</v>
      </c>
      <c r="S1371" t="s">
        <v>18959</v>
      </c>
      <c r="U1371" t="s">
        <v>26604</v>
      </c>
      <c r="W1371" t="s">
        <v>593</v>
      </c>
      <c r="X1371">
        <v>850</v>
      </c>
      <c r="Y1371" t="s">
        <v>26652</v>
      </c>
      <c r="Z1371" t="s">
        <v>26669</v>
      </c>
      <c r="AA1371" t="s">
        <v>26678</v>
      </c>
      <c r="AB1371" t="s">
        <v>27943</v>
      </c>
      <c r="AD1371" t="s">
        <v>37995</v>
      </c>
      <c r="AE1371">
        <v>19</v>
      </c>
      <c r="AF1371" t="s">
        <v>45541</v>
      </c>
      <c r="AG1371" t="s">
        <v>19330</v>
      </c>
      <c r="AH1371">
        <v>15</v>
      </c>
      <c r="AI1371">
        <v>2</v>
      </c>
      <c r="AJ1371">
        <v>0</v>
      </c>
      <c r="AK1371">
        <v>101.37</v>
      </c>
      <c r="AN1371" t="s">
        <v>7439</v>
      </c>
      <c r="AO1371">
        <v>16462</v>
      </c>
      <c r="AR1371" t="s">
        <v>46381</v>
      </c>
      <c r="AS1371" t="s">
        <v>46499</v>
      </c>
      <c r="AT1371" t="s">
        <v>46693</v>
      </c>
      <c r="AU1371">
        <v>1.5</v>
      </c>
      <c r="AV1371" t="s">
        <v>494</v>
      </c>
      <c r="AW1371" t="s">
        <v>237</v>
      </c>
    </row>
    <row r="1372" spans="1:49">
      <c r="A1372" s="1">
        <f>HYPERLINK("https://lsnyc.legalserver.org/matter/dynamic-profile/view/1854600","17-1854600")</f>
        <v>0</v>
      </c>
      <c r="B1372" t="s">
        <v>96</v>
      </c>
      <c r="C1372" t="s">
        <v>341</v>
      </c>
      <c r="D1372" t="s">
        <v>555</v>
      </c>
      <c r="E1372" t="s">
        <v>645</v>
      </c>
      <c r="F1372" t="s">
        <v>1095</v>
      </c>
      <c r="G1372" t="s">
        <v>4347</v>
      </c>
      <c r="H1372" t="s">
        <v>10790</v>
      </c>
      <c r="I1372" t="s">
        <v>17277</v>
      </c>
      <c r="J1372" t="s">
        <v>18892</v>
      </c>
      <c r="K1372">
        <v>10466</v>
      </c>
      <c r="L1372" t="s">
        <v>18958</v>
      </c>
      <c r="M1372" t="s">
        <v>18958</v>
      </c>
      <c r="N1372" t="s">
        <v>19989</v>
      </c>
      <c r="O1372" t="s">
        <v>26523</v>
      </c>
      <c r="P1372" t="s">
        <v>26560</v>
      </c>
      <c r="Q1372" t="s">
        <v>26568</v>
      </c>
      <c r="R1372" t="s">
        <v>26577</v>
      </c>
      <c r="U1372" t="s">
        <v>26604</v>
      </c>
      <c r="V1372" t="s">
        <v>26609</v>
      </c>
      <c r="W1372" t="s">
        <v>593</v>
      </c>
      <c r="X1372">
        <v>1215</v>
      </c>
      <c r="Y1372" t="s">
        <v>26650</v>
      </c>
      <c r="Z1372" t="s">
        <v>26659</v>
      </c>
      <c r="AA1372" t="s">
        <v>26680</v>
      </c>
      <c r="AB1372" t="s">
        <v>27944</v>
      </c>
      <c r="AD1372" t="s">
        <v>37996</v>
      </c>
      <c r="AE1372">
        <v>49</v>
      </c>
      <c r="AF1372" t="s">
        <v>45541</v>
      </c>
      <c r="AG1372" t="s">
        <v>19330</v>
      </c>
      <c r="AH1372">
        <v>10</v>
      </c>
      <c r="AI1372">
        <v>2</v>
      </c>
      <c r="AJ1372">
        <v>1</v>
      </c>
      <c r="AK1372">
        <v>116.12</v>
      </c>
      <c r="AN1372" t="s">
        <v>7439</v>
      </c>
      <c r="AO1372">
        <v>23712</v>
      </c>
      <c r="AQ1372" t="s">
        <v>46362</v>
      </c>
      <c r="AR1372" t="s">
        <v>46439</v>
      </c>
      <c r="AS1372" t="s">
        <v>46499</v>
      </c>
      <c r="AT1372" t="s">
        <v>46637</v>
      </c>
      <c r="AU1372">
        <v>10.85</v>
      </c>
      <c r="AV1372" t="s">
        <v>529</v>
      </c>
      <c r="AW1372" t="s">
        <v>284</v>
      </c>
    </row>
    <row r="1373" spans="1:49">
      <c r="A1373" s="1">
        <f>HYPERLINK("https://lsnyc.legalserver.org/matter/dynamic-profile/view/1854718","17-1854718")</f>
        <v>0</v>
      </c>
      <c r="B1373" t="s">
        <v>87</v>
      </c>
      <c r="C1373" t="s">
        <v>341</v>
      </c>
      <c r="D1373" t="s">
        <v>556</v>
      </c>
      <c r="E1373" t="s">
        <v>589</v>
      </c>
      <c r="F1373" t="s">
        <v>1018</v>
      </c>
      <c r="G1373" t="s">
        <v>5932</v>
      </c>
      <c r="H1373" t="s">
        <v>10791</v>
      </c>
      <c r="I1373" t="s">
        <v>17480</v>
      </c>
      <c r="J1373" t="s">
        <v>18892</v>
      </c>
      <c r="K1373">
        <v>10456</v>
      </c>
      <c r="L1373" t="s">
        <v>18958</v>
      </c>
      <c r="M1373" t="s">
        <v>18960</v>
      </c>
      <c r="N1373" t="s">
        <v>19990</v>
      </c>
      <c r="O1373" t="s">
        <v>26525</v>
      </c>
      <c r="P1373" t="s">
        <v>26561</v>
      </c>
      <c r="Q1373" t="s">
        <v>26568</v>
      </c>
      <c r="R1373" t="s">
        <v>26577</v>
      </c>
      <c r="U1373" t="s">
        <v>26605</v>
      </c>
      <c r="W1373" t="s">
        <v>593</v>
      </c>
      <c r="X1373">
        <v>253</v>
      </c>
      <c r="Y1373" t="s">
        <v>26650</v>
      </c>
      <c r="Z1373" t="s">
        <v>26657</v>
      </c>
      <c r="AA1373" t="s">
        <v>26680</v>
      </c>
      <c r="AB1373" t="s">
        <v>27945</v>
      </c>
      <c r="AC1373" t="s">
        <v>34920</v>
      </c>
      <c r="AD1373" t="s">
        <v>37997</v>
      </c>
      <c r="AE1373">
        <v>0</v>
      </c>
      <c r="AF1373" t="s">
        <v>45542</v>
      </c>
      <c r="AG1373" t="s">
        <v>19330</v>
      </c>
      <c r="AH1373">
        <v>26</v>
      </c>
      <c r="AI1373">
        <v>1</v>
      </c>
      <c r="AJ1373">
        <v>0</v>
      </c>
      <c r="AK1373">
        <v>73.13</v>
      </c>
      <c r="AN1373" t="s">
        <v>7439</v>
      </c>
      <c r="AO1373">
        <v>8820</v>
      </c>
      <c r="AS1373" t="s">
        <v>46499</v>
      </c>
      <c r="AT1373" t="s">
        <v>46561</v>
      </c>
      <c r="AU1373">
        <v>15.55</v>
      </c>
      <c r="AV1373" t="s">
        <v>402</v>
      </c>
      <c r="AW1373" t="s">
        <v>46842</v>
      </c>
    </row>
    <row r="1374" spans="1:49">
      <c r="A1374" s="1">
        <f>HYPERLINK("https://lsnyc.legalserver.org/matter/dynamic-profile/view/1857039","18-1857039")</f>
        <v>0</v>
      </c>
      <c r="B1374" t="s">
        <v>60</v>
      </c>
      <c r="C1374" t="s">
        <v>340</v>
      </c>
      <c r="D1374" t="s">
        <v>557</v>
      </c>
      <c r="F1374" t="s">
        <v>1738</v>
      </c>
      <c r="G1374" t="s">
        <v>5078</v>
      </c>
      <c r="H1374" t="s">
        <v>9648</v>
      </c>
      <c r="I1374" t="s">
        <v>17644</v>
      </c>
      <c r="J1374" t="s">
        <v>18892</v>
      </c>
      <c r="K1374">
        <v>10452</v>
      </c>
      <c r="L1374" t="s">
        <v>18958</v>
      </c>
      <c r="M1374" t="s">
        <v>18960</v>
      </c>
      <c r="N1374" t="s">
        <v>18973</v>
      </c>
      <c r="O1374" t="s">
        <v>26527</v>
      </c>
      <c r="P1374" t="s">
        <v>26561</v>
      </c>
      <c r="R1374" t="s">
        <v>26578</v>
      </c>
      <c r="S1374" t="s">
        <v>18958</v>
      </c>
      <c r="U1374" t="s">
        <v>26604</v>
      </c>
      <c r="W1374" t="s">
        <v>593</v>
      </c>
      <c r="X1374">
        <v>993</v>
      </c>
      <c r="Y1374" t="s">
        <v>26650</v>
      </c>
      <c r="Z1374" t="s">
        <v>26663</v>
      </c>
      <c r="AB1374" t="s">
        <v>27946</v>
      </c>
      <c r="AC1374" t="s">
        <v>34921</v>
      </c>
      <c r="AD1374" t="s">
        <v>37998</v>
      </c>
      <c r="AE1374">
        <v>122</v>
      </c>
      <c r="AF1374" t="s">
        <v>45541</v>
      </c>
      <c r="AG1374" t="s">
        <v>45559</v>
      </c>
      <c r="AH1374">
        <v>25</v>
      </c>
      <c r="AI1374">
        <v>2</v>
      </c>
      <c r="AJ1374">
        <v>0</v>
      </c>
      <c r="AK1374">
        <v>51.72</v>
      </c>
      <c r="AN1374" t="s">
        <v>45581</v>
      </c>
      <c r="AO1374">
        <v>16800</v>
      </c>
      <c r="AU1374">
        <v>0</v>
      </c>
      <c r="AW1374" t="s">
        <v>46832</v>
      </c>
    </row>
    <row r="1375" spans="1:49">
      <c r="A1375" s="1">
        <f>HYPERLINK("https://lsnyc.legalserver.org/matter/dynamic-profile/view/1857511","18-1857511")</f>
        <v>0</v>
      </c>
      <c r="B1375" t="s">
        <v>67</v>
      </c>
      <c r="C1375" t="s">
        <v>340</v>
      </c>
      <c r="D1375" t="s">
        <v>375</v>
      </c>
      <c r="F1375" t="s">
        <v>1739</v>
      </c>
      <c r="G1375" t="s">
        <v>5933</v>
      </c>
      <c r="H1375" t="s">
        <v>9648</v>
      </c>
      <c r="I1375" t="s">
        <v>17645</v>
      </c>
      <c r="J1375" t="s">
        <v>18892</v>
      </c>
      <c r="K1375">
        <v>10452</v>
      </c>
      <c r="L1375" t="s">
        <v>18958</v>
      </c>
      <c r="M1375" t="s">
        <v>18958</v>
      </c>
      <c r="N1375" t="s">
        <v>18990</v>
      </c>
      <c r="O1375" t="s">
        <v>26527</v>
      </c>
      <c r="P1375" t="s">
        <v>26561</v>
      </c>
      <c r="R1375" t="s">
        <v>26578</v>
      </c>
      <c r="S1375" t="s">
        <v>18958</v>
      </c>
      <c r="U1375" t="s">
        <v>26604</v>
      </c>
      <c r="W1375" t="s">
        <v>593</v>
      </c>
      <c r="X1375">
        <v>766.61</v>
      </c>
      <c r="Y1375" t="s">
        <v>26650</v>
      </c>
      <c r="Z1375" t="s">
        <v>26663</v>
      </c>
      <c r="AB1375" t="s">
        <v>27947</v>
      </c>
      <c r="AD1375" t="s">
        <v>37999</v>
      </c>
      <c r="AE1375">
        <v>122</v>
      </c>
      <c r="AF1375" t="s">
        <v>45541</v>
      </c>
      <c r="AG1375" t="s">
        <v>19330</v>
      </c>
      <c r="AH1375">
        <v>24</v>
      </c>
      <c r="AI1375">
        <v>2</v>
      </c>
      <c r="AJ1375">
        <v>5</v>
      </c>
      <c r="AK1375">
        <v>204.94</v>
      </c>
      <c r="AN1375" t="s">
        <v>7439</v>
      </c>
      <c r="AO1375">
        <v>78000</v>
      </c>
      <c r="AP1375" t="s">
        <v>45704</v>
      </c>
      <c r="AU1375">
        <v>0.25</v>
      </c>
      <c r="AV1375" t="s">
        <v>715</v>
      </c>
      <c r="AW1375" t="s">
        <v>46832</v>
      </c>
    </row>
    <row r="1376" spans="1:49">
      <c r="A1376" s="1">
        <f>HYPERLINK("https://lsnyc.legalserver.org/matter/dynamic-profile/view/1858691","18-1858691")</f>
        <v>0</v>
      </c>
      <c r="B1376" t="s">
        <v>124</v>
      </c>
      <c r="C1376" t="s">
        <v>341</v>
      </c>
      <c r="D1376" t="s">
        <v>558</v>
      </c>
      <c r="E1376" t="s">
        <v>819</v>
      </c>
      <c r="F1376" t="s">
        <v>1219</v>
      </c>
      <c r="G1376" t="s">
        <v>5330</v>
      </c>
      <c r="H1376" t="s">
        <v>10566</v>
      </c>
      <c r="I1376" t="s">
        <v>17333</v>
      </c>
      <c r="J1376" t="s">
        <v>18894</v>
      </c>
      <c r="K1376">
        <v>11208</v>
      </c>
      <c r="L1376" t="s">
        <v>18958</v>
      </c>
      <c r="M1376" t="s">
        <v>18960</v>
      </c>
      <c r="N1376" t="s">
        <v>19991</v>
      </c>
      <c r="O1376" t="s">
        <v>26523</v>
      </c>
      <c r="P1376" t="s">
        <v>26560</v>
      </c>
      <c r="Q1376" t="s">
        <v>26568</v>
      </c>
      <c r="R1376" t="s">
        <v>26586</v>
      </c>
      <c r="S1376" t="s">
        <v>18958</v>
      </c>
      <c r="U1376" t="s">
        <v>26604</v>
      </c>
      <c r="V1376" t="s">
        <v>26610</v>
      </c>
      <c r="W1376" t="s">
        <v>593</v>
      </c>
      <c r="X1376">
        <v>0</v>
      </c>
      <c r="Y1376" t="s">
        <v>26652</v>
      </c>
      <c r="Z1376" t="s">
        <v>26530</v>
      </c>
      <c r="AA1376" t="s">
        <v>26678</v>
      </c>
      <c r="AB1376" t="s">
        <v>27948</v>
      </c>
      <c r="AD1376" t="s">
        <v>38000</v>
      </c>
      <c r="AE1376">
        <v>6</v>
      </c>
      <c r="AF1376" t="s">
        <v>45541</v>
      </c>
      <c r="AH1376">
        <v>12</v>
      </c>
      <c r="AI1376">
        <v>1</v>
      </c>
      <c r="AJ1376">
        <v>1</v>
      </c>
      <c r="AK1376">
        <v>56.19</v>
      </c>
      <c r="AN1376" t="s">
        <v>7439</v>
      </c>
      <c r="AO1376">
        <v>9126</v>
      </c>
      <c r="AS1376" t="s">
        <v>46499</v>
      </c>
      <c r="AT1376" t="s">
        <v>46694</v>
      </c>
      <c r="AU1376">
        <v>21.2</v>
      </c>
      <c r="AV1376" t="s">
        <v>819</v>
      </c>
      <c r="AW1376" t="s">
        <v>323</v>
      </c>
    </row>
    <row r="1377" spans="1:49">
      <c r="A1377" s="1">
        <f>HYPERLINK("https://lsnyc.legalserver.org/matter/dynamic-profile/view/1861047","18-1861047")</f>
        <v>0</v>
      </c>
      <c r="B1377" t="s">
        <v>124</v>
      </c>
      <c r="C1377" t="s">
        <v>341</v>
      </c>
      <c r="D1377" t="s">
        <v>559</v>
      </c>
      <c r="E1377" t="s">
        <v>713</v>
      </c>
      <c r="F1377" t="s">
        <v>1740</v>
      </c>
      <c r="G1377" t="s">
        <v>5639</v>
      </c>
      <c r="H1377" t="s">
        <v>10792</v>
      </c>
      <c r="I1377" t="s">
        <v>17332</v>
      </c>
      <c r="J1377" t="s">
        <v>18894</v>
      </c>
      <c r="K1377">
        <v>11221</v>
      </c>
      <c r="L1377" t="s">
        <v>18958</v>
      </c>
      <c r="M1377" t="s">
        <v>18958</v>
      </c>
      <c r="N1377" t="s">
        <v>19992</v>
      </c>
      <c r="O1377" t="s">
        <v>26523</v>
      </c>
      <c r="P1377" t="s">
        <v>26560</v>
      </c>
      <c r="Q1377" t="s">
        <v>26568</v>
      </c>
      <c r="R1377" t="s">
        <v>26588</v>
      </c>
      <c r="U1377" t="s">
        <v>26604</v>
      </c>
      <c r="W1377" t="s">
        <v>593</v>
      </c>
      <c r="X1377">
        <v>0</v>
      </c>
      <c r="Y1377" t="s">
        <v>26652</v>
      </c>
      <c r="Z1377" t="s">
        <v>26661</v>
      </c>
      <c r="AA1377" t="s">
        <v>26678</v>
      </c>
      <c r="AB1377" t="s">
        <v>27949</v>
      </c>
      <c r="AD1377" t="s">
        <v>38001</v>
      </c>
      <c r="AE1377">
        <v>0</v>
      </c>
      <c r="AH1377">
        <v>7</v>
      </c>
      <c r="AI1377">
        <v>1</v>
      </c>
      <c r="AJ1377">
        <v>0</v>
      </c>
      <c r="AK1377">
        <v>40.26</v>
      </c>
      <c r="AN1377" t="s">
        <v>7439</v>
      </c>
      <c r="AO1377">
        <v>4888</v>
      </c>
      <c r="AQ1377" t="s">
        <v>46361</v>
      </c>
      <c r="AR1377" t="s">
        <v>46379</v>
      </c>
      <c r="AS1377" t="s">
        <v>46499</v>
      </c>
      <c r="AT1377" t="s">
        <v>46695</v>
      </c>
      <c r="AU1377">
        <v>11.3</v>
      </c>
      <c r="AV1377" t="s">
        <v>494</v>
      </c>
      <c r="AW1377" t="s">
        <v>323</v>
      </c>
    </row>
    <row r="1378" spans="1:49">
      <c r="A1378" s="1">
        <f>HYPERLINK("https://lsnyc.legalserver.org/matter/dynamic-profile/view/1861206","18-1861206")</f>
        <v>0</v>
      </c>
      <c r="B1378" t="s">
        <v>156</v>
      </c>
      <c r="C1378" t="s">
        <v>340</v>
      </c>
      <c r="D1378" t="s">
        <v>380</v>
      </c>
      <c r="F1378" t="s">
        <v>879</v>
      </c>
      <c r="G1378" t="s">
        <v>5295</v>
      </c>
      <c r="H1378" t="s">
        <v>10793</v>
      </c>
      <c r="I1378" t="s">
        <v>17646</v>
      </c>
      <c r="J1378" t="s">
        <v>18893</v>
      </c>
      <c r="K1378">
        <v>10026</v>
      </c>
      <c r="L1378" t="s">
        <v>18958</v>
      </c>
      <c r="M1378" t="s">
        <v>18958</v>
      </c>
      <c r="N1378" t="s">
        <v>19993</v>
      </c>
      <c r="O1378" t="s">
        <v>26523</v>
      </c>
      <c r="P1378" t="s">
        <v>26564</v>
      </c>
      <c r="R1378" t="s">
        <v>26592</v>
      </c>
      <c r="U1378" t="s">
        <v>26604</v>
      </c>
      <c r="W1378" t="s">
        <v>593</v>
      </c>
      <c r="X1378">
        <v>0</v>
      </c>
      <c r="Y1378" t="s">
        <v>26651</v>
      </c>
      <c r="Z1378" t="s">
        <v>26659</v>
      </c>
      <c r="AB1378" t="s">
        <v>27950</v>
      </c>
      <c r="AD1378" t="s">
        <v>38002</v>
      </c>
      <c r="AE1378">
        <v>0</v>
      </c>
      <c r="AG1378" t="s">
        <v>19330</v>
      </c>
      <c r="AH1378">
        <v>0</v>
      </c>
      <c r="AI1378">
        <v>1</v>
      </c>
      <c r="AJ1378">
        <v>0</v>
      </c>
      <c r="AK1378">
        <v>101.81</v>
      </c>
      <c r="AO1378">
        <v>12360</v>
      </c>
      <c r="AU1378">
        <v>0</v>
      </c>
      <c r="AW1378" t="s">
        <v>46845</v>
      </c>
    </row>
    <row r="1379" spans="1:49">
      <c r="A1379" s="1">
        <f>HYPERLINK("https://lsnyc.legalserver.org/matter/dynamic-profile/view/1862110","18-1862110")</f>
        <v>0</v>
      </c>
      <c r="B1379" t="s">
        <v>56</v>
      </c>
      <c r="C1379" t="s">
        <v>340</v>
      </c>
      <c r="D1379" t="s">
        <v>541</v>
      </c>
      <c r="F1379" t="s">
        <v>1741</v>
      </c>
      <c r="G1379" t="s">
        <v>5146</v>
      </c>
      <c r="H1379" t="s">
        <v>10447</v>
      </c>
      <c r="I1379" t="s">
        <v>17647</v>
      </c>
      <c r="J1379" t="s">
        <v>18892</v>
      </c>
      <c r="K1379">
        <v>10453</v>
      </c>
      <c r="L1379" t="s">
        <v>18958</v>
      </c>
      <c r="M1379" t="s">
        <v>18958</v>
      </c>
      <c r="N1379" t="s">
        <v>19994</v>
      </c>
      <c r="O1379" t="s">
        <v>26523</v>
      </c>
      <c r="P1379" t="s">
        <v>26560</v>
      </c>
      <c r="R1379" t="s">
        <v>26577</v>
      </c>
      <c r="U1379" t="s">
        <v>26604</v>
      </c>
      <c r="V1379" t="s">
        <v>26609</v>
      </c>
      <c r="W1379" t="s">
        <v>593</v>
      </c>
      <c r="X1379">
        <v>1102</v>
      </c>
      <c r="Y1379" t="s">
        <v>26650</v>
      </c>
      <c r="Z1379" t="s">
        <v>26659</v>
      </c>
      <c r="AB1379" t="s">
        <v>27951</v>
      </c>
      <c r="AC1379" t="s">
        <v>34922</v>
      </c>
      <c r="AD1379" t="s">
        <v>38003</v>
      </c>
      <c r="AE1379">
        <v>0</v>
      </c>
      <c r="AF1379" t="s">
        <v>45550</v>
      </c>
      <c r="AG1379" t="s">
        <v>19330</v>
      </c>
      <c r="AH1379">
        <v>3</v>
      </c>
      <c r="AI1379">
        <v>1</v>
      </c>
      <c r="AJ1379">
        <v>2</v>
      </c>
      <c r="AK1379">
        <v>99.20999999999999</v>
      </c>
      <c r="AN1379" t="s">
        <v>7439</v>
      </c>
      <c r="AO1379">
        <v>20616</v>
      </c>
      <c r="AU1379">
        <v>12</v>
      </c>
      <c r="AV1379" t="s">
        <v>789</v>
      </c>
      <c r="AW1379" t="s">
        <v>46836</v>
      </c>
    </row>
    <row r="1380" spans="1:49">
      <c r="A1380" s="1">
        <f>HYPERLINK("https://lsnyc.legalserver.org/matter/dynamic-profile/view/1863106","18-1863106")</f>
        <v>0</v>
      </c>
      <c r="B1380" t="s">
        <v>96</v>
      </c>
      <c r="C1380" t="s">
        <v>340</v>
      </c>
      <c r="D1380" t="s">
        <v>382</v>
      </c>
      <c r="F1380" t="s">
        <v>1328</v>
      </c>
      <c r="G1380" t="s">
        <v>5785</v>
      </c>
      <c r="H1380" t="s">
        <v>10794</v>
      </c>
      <c r="I1380">
        <v>37</v>
      </c>
      <c r="J1380" t="s">
        <v>18892</v>
      </c>
      <c r="K1380">
        <v>10455</v>
      </c>
      <c r="L1380" t="s">
        <v>18958</v>
      </c>
      <c r="M1380" t="s">
        <v>18958</v>
      </c>
      <c r="N1380" t="s">
        <v>19995</v>
      </c>
      <c r="O1380" t="s">
        <v>26526</v>
      </c>
      <c r="P1380" t="s">
        <v>26560</v>
      </c>
      <c r="R1380" t="s">
        <v>26577</v>
      </c>
      <c r="S1380" t="s">
        <v>18959</v>
      </c>
      <c r="U1380" t="s">
        <v>26604</v>
      </c>
      <c r="W1380" t="s">
        <v>593</v>
      </c>
      <c r="X1380">
        <v>1175</v>
      </c>
      <c r="Y1380" t="s">
        <v>26650</v>
      </c>
      <c r="Z1380" t="s">
        <v>26655</v>
      </c>
      <c r="AB1380" t="s">
        <v>27952</v>
      </c>
      <c r="AD1380" t="s">
        <v>38004</v>
      </c>
      <c r="AE1380">
        <v>42</v>
      </c>
      <c r="AF1380" t="s">
        <v>45541</v>
      </c>
      <c r="AG1380" t="s">
        <v>19330</v>
      </c>
      <c r="AH1380">
        <v>3</v>
      </c>
      <c r="AI1380">
        <v>2</v>
      </c>
      <c r="AJ1380">
        <v>2</v>
      </c>
      <c r="AK1380">
        <v>191.24</v>
      </c>
      <c r="AN1380" t="s">
        <v>7439</v>
      </c>
      <c r="AO1380">
        <v>48000</v>
      </c>
      <c r="AU1380">
        <v>29.5</v>
      </c>
      <c r="AV1380" t="s">
        <v>809</v>
      </c>
      <c r="AW1380" t="s">
        <v>46832</v>
      </c>
    </row>
    <row r="1381" spans="1:49">
      <c r="A1381" s="1">
        <f>HYPERLINK("https://lsnyc.legalserver.org/matter/dynamic-profile/view/1863116","18-1863116")</f>
        <v>0</v>
      </c>
      <c r="B1381" t="s">
        <v>65</v>
      </c>
      <c r="C1381" t="s">
        <v>340</v>
      </c>
      <c r="D1381" t="s">
        <v>382</v>
      </c>
      <c r="F1381" t="s">
        <v>1404</v>
      </c>
      <c r="G1381" t="s">
        <v>992</v>
      </c>
      <c r="H1381" t="s">
        <v>10795</v>
      </c>
      <c r="I1381" t="s">
        <v>17280</v>
      </c>
      <c r="J1381" t="s">
        <v>18892</v>
      </c>
      <c r="K1381">
        <v>10457</v>
      </c>
      <c r="L1381" t="s">
        <v>18958</v>
      </c>
      <c r="M1381" t="s">
        <v>18958</v>
      </c>
      <c r="N1381" t="s">
        <v>19996</v>
      </c>
      <c r="O1381" t="s">
        <v>26526</v>
      </c>
      <c r="P1381" t="s">
        <v>26560</v>
      </c>
      <c r="R1381" t="s">
        <v>26577</v>
      </c>
      <c r="S1381" t="s">
        <v>18959</v>
      </c>
      <c r="U1381" t="s">
        <v>26604</v>
      </c>
      <c r="W1381" t="s">
        <v>593</v>
      </c>
      <c r="X1381">
        <v>1261</v>
      </c>
      <c r="Y1381" t="s">
        <v>26650</v>
      </c>
      <c r="Z1381" t="s">
        <v>26659</v>
      </c>
      <c r="AB1381" t="s">
        <v>27953</v>
      </c>
      <c r="AC1381" t="s">
        <v>34923</v>
      </c>
      <c r="AD1381" t="s">
        <v>38005</v>
      </c>
      <c r="AE1381">
        <v>30</v>
      </c>
      <c r="AF1381" t="s">
        <v>45541</v>
      </c>
      <c r="AG1381" t="s">
        <v>45557</v>
      </c>
      <c r="AH1381">
        <v>6</v>
      </c>
      <c r="AI1381">
        <v>1</v>
      </c>
      <c r="AJ1381">
        <v>5</v>
      </c>
      <c r="AK1381">
        <v>26.07</v>
      </c>
      <c r="AN1381" t="s">
        <v>7439</v>
      </c>
      <c r="AO1381">
        <v>8796</v>
      </c>
      <c r="AU1381">
        <v>13.35</v>
      </c>
      <c r="AV1381" t="s">
        <v>828</v>
      </c>
      <c r="AW1381" t="s">
        <v>46836</v>
      </c>
    </row>
    <row r="1382" spans="1:49">
      <c r="A1382" s="1">
        <f>HYPERLINK("https://lsnyc.legalserver.org/matter/dynamic-profile/view/1863312","18-1863312")</f>
        <v>0</v>
      </c>
      <c r="B1382" t="s">
        <v>239</v>
      </c>
      <c r="C1382" t="s">
        <v>341</v>
      </c>
      <c r="D1382" t="s">
        <v>460</v>
      </c>
      <c r="E1382" t="s">
        <v>518</v>
      </c>
      <c r="F1382" t="s">
        <v>1742</v>
      </c>
      <c r="G1382" t="s">
        <v>5266</v>
      </c>
      <c r="H1382" t="s">
        <v>10796</v>
      </c>
      <c r="I1382" t="s">
        <v>17330</v>
      </c>
      <c r="J1382" t="s">
        <v>18894</v>
      </c>
      <c r="K1382">
        <v>11213</v>
      </c>
      <c r="L1382" t="s">
        <v>18958</v>
      </c>
      <c r="M1382" t="s">
        <v>18958</v>
      </c>
      <c r="N1382" t="s">
        <v>19997</v>
      </c>
      <c r="O1382" t="s">
        <v>26524</v>
      </c>
      <c r="P1382" t="s">
        <v>26564</v>
      </c>
      <c r="Q1382" t="s">
        <v>26570</v>
      </c>
      <c r="R1382" t="s">
        <v>26586</v>
      </c>
      <c r="U1382" t="s">
        <v>26604</v>
      </c>
      <c r="W1382" t="s">
        <v>593</v>
      </c>
      <c r="X1382">
        <v>1215</v>
      </c>
      <c r="Y1382" t="s">
        <v>26652</v>
      </c>
      <c r="Z1382" t="s">
        <v>26656</v>
      </c>
      <c r="AA1382" t="s">
        <v>26683</v>
      </c>
      <c r="AB1382" t="s">
        <v>27954</v>
      </c>
      <c r="AD1382" t="s">
        <v>38006</v>
      </c>
      <c r="AE1382">
        <v>6</v>
      </c>
      <c r="AF1382" t="s">
        <v>45541</v>
      </c>
      <c r="AH1382">
        <v>11</v>
      </c>
      <c r="AI1382">
        <v>1</v>
      </c>
      <c r="AJ1382">
        <v>0</v>
      </c>
      <c r="AK1382">
        <v>106.16</v>
      </c>
      <c r="AN1382" t="s">
        <v>7439</v>
      </c>
      <c r="AO1382">
        <v>12888</v>
      </c>
      <c r="AU1382">
        <v>1.5</v>
      </c>
      <c r="AV1382" t="s">
        <v>518</v>
      </c>
      <c r="AW1382" t="s">
        <v>46856</v>
      </c>
    </row>
    <row r="1383" spans="1:49">
      <c r="A1383" s="1">
        <f>HYPERLINK("https://lsnyc.legalserver.org/matter/dynamic-profile/view/1863447","18-1863447")</f>
        <v>0</v>
      </c>
      <c r="B1383" t="s">
        <v>124</v>
      </c>
      <c r="C1383" t="s">
        <v>341</v>
      </c>
      <c r="D1383" t="s">
        <v>487</v>
      </c>
      <c r="E1383" t="s">
        <v>494</v>
      </c>
      <c r="F1383" t="s">
        <v>1743</v>
      </c>
      <c r="G1383" t="s">
        <v>1360</v>
      </c>
      <c r="H1383" t="s">
        <v>10797</v>
      </c>
      <c r="I1383" t="s">
        <v>17576</v>
      </c>
      <c r="J1383" t="s">
        <v>18894</v>
      </c>
      <c r="K1383">
        <v>11221</v>
      </c>
      <c r="L1383" t="s">
        <v>18958</v>
      </c>
      <c r="M1383" t="s">
        <v>18958</v>
      </c>
      <c r="O1383" t="s">
        <v>26523</v>
      </c>
      <c r="P1383" t="s">
        <v>26560</v>
      </c>
      <c r="Q1383" t="s">
        <v>26568</v>
      </c>
      <c r="R1383" t="s">
        <v>26588</v>
      </c>
      <c r="U1383" t="s">
        <v>26604</v>
      </c>
      <c r="W1383" t="s">
        <v>593</v>
      </c>
      <c r="X1383">
        <v>0</v>
      </c>
      <c r="Y1383" t="s">
        <v>26652</v>
      </c>
      <c r="AA1383" t="s">
        <v>26678</v>
      </c>
      <c r="AB1383" t="s">
        <v>27955</v>
      </c>
      <c r="AD1383" t="s">
        <v>38007</v>
      </c>
      <c r="AE1383">
        <v>0</v>
      </c>
      <c r="AH1383">
        <v>0</v>
      </c>
      <c r="AI1383">
        <v>1</v>
      </c>
      <c r="AJ1383">
        <v>0</v>
      </c>
      <c r="AK1383">
        <v>107.45</v>
      </c>
      <c r="AN1383" t="s">
        <v>7439</v>
      </c>
      <c r="AO1383">
        <v>13044</v>
      </c>
      <c r="AS1383" t="s">
        <v>46499</v>
      </c>
      <c r="AT1383" t="s">
        <v>46517</v>
      </c>
      <c r="AU1383">
        <v>13.7</v>
      </c>
      <c r="AV1383" t="s">
        <v>494</v>
      </c>
      <c r="AW1383" t="s">
        <v>323</v>
      </c>
    </row>
    <row r="1384" spans="1:49">
      <c r="A1384" s="1">
        <f>HYPERLINK("https://lsnyc.legalserver.org/matter/dynamic-profile/view/1863761","18-1863761")</f>
        <v>0</v>
      </c>
      <c r="B1384" t="s">
        <v>56</v>
      </c>
      <c r="C1384" t="s">
        <v>340</v>
      </c>
      <c r="D1384" t="s">
        <v>560</v>
      </c>
      <c r="F1384" t="s">
        <v>1744</v>
      </c>
      <c r="G1384" t="s">
        <v>5934</v>
      </c>
      <c r="H1384" t="s">
        <v>10798</v>
      </c>
      <c r="I1384" t="s">
        <v>17272</v>
      </c>
      <c r="J1384" t="s">
        <v>18892</v>
      </c>
      <c r="K1384">
        <v>10467</v>
      </c>
      <c r="L1384" t="s">
        <v>18958</v>
      </c>
      <c r="M1384" t="s">
        <v>18958</v>
      </c>
      <c r="N1384" t="s">
        <v>19998</v>
      </c>
      <c r="O1384" t="s">
        <v>26523</v>
      </c>
      <c r="P1384" t="s">
        <v>26560</v>
      </c>
      <c r="R1384" t="s">
        <v>26579</v>
      </c>
      <c r="U1384" t="s">
        <v>26604</v>
      </c>
      <c r="V1384" t="s">
        <v>26610</v>
      </c>
      <c r="W1384" t="s">
        <v>593</v>
      </c>
      <c r="X1384">
        <v>1100</v>
      </c>
      <c r="Y1384" t="s">
        <v>26650</v>
      </c>
      <c r="Z1384" t="s">
        <v>26659</v>
      </c>
      <c r="AB1384" t="s">
        <v>27956</v>
      </c>
      <c r="AC1384" t="s">
        <v>34924</v>
      </c>
      <c r="AD1384" t="s">
        <v>38008</v>
      </c>
      <c r="AE1384">
        <v>30</v>
      </c>
      <c r="AF1384" t="s">
        <v>45541</v>
      </c>
      <c r="AG1384" t="s">
        <v>45557</v>
      </c>
      <c r="AH1384">
        <v>7</v>
      </c>
      <c r="AI1384">
        <v>3</v>
      </c>
      <c r="AJ1384">
        <v>1</v>
      </c>
      <c r="AK1384">
        <v>41.26</v>
      </c>
      <c r="AN1384" t="s">
        <v>7439</v>
      </c>
      <c r="AO1384">
        <v>19032</v>
      </c>
      <c r="AU1384">
        <v>40.15</v>
      </c>
      <c r="AV1384" t="s">
        <v>773</v>
      </c>
      <c r="AW1384" t="s">
        <v>254</v>
      </c>
    </row>
    <row r="1385" spans="1:49">
      <c r="A1385" s="1">
        <f>HYPERLINK("https://lsnyc.legalserver.org/matter/dynamic-profile/view/1863782","18-1863782")</f>
        <v>0</v>
      </c>
      <c r="B1385" t="s">
        <v>240</v>
      </c>
      <c r="C1385" t="s">
        <v>340</v>
      </c>
      <c r="D1385" t="s">
        <v>560</v>
      </c>
      <c r="F1385" t="s">
        <v>1745</v>
      </c>
      <c r="G1385" t="s">
        <v>5935</v>
      </c>
      <c r="H1385" t="s">
        <v>10799</v>
      </c>
      <c r="I1385" t="s">
        <v>17534</v>
      </c>
      <c r="J1385" t="s">
        <v>18894</v>
      </c>
      <c r="K1385">
        <v>11226</v>
      </c>
      <c r="L1385" t="s">
        <v>18958</v>
      </c>
      <c r="M1385" t="s">
        <v>18958</v>
      </c>
      <c r="O1385" t="s">
        <v>26526</v>
      </c>
      <c r="P1385" t="s">
        <v>26562</v>
      </c>
      <c r="R1385" t="s">
        <v>26578</v>
      </c>
      <c r="S1385" t="s">
        <v>18958</v>
      </c>
      <c r="T1385" t="s">
        <v>26601</v>
      </c>
      <c r="U1385" t="s">
        <v>26604</v>
      </c>
      <c r="W1385" t="s">
        <v>593</v>
      </c>
      <c r="X1385">
        <v>560</v>
      </c>
      <c r="Y1385" t="s">
        <v>26652</v>
      </c>
      <c r="Z1385" t="s">
        <v>26663</v>
      </c>
      <c r="AB1385" t="s">
        <v>26887</v>
      </c>
      <c r="AE1385">
        <v>6</v>
      </c>
      <c r="AF1385" t="s">
        <v>45541</v>
      </c>
      <c r="AG1385" t="s">
        <v>19330</v>
      </c>
      <c r="AH1385">
        <v>17</v>
      </c>
      <c r="AI1385">
        <v>1</v>
      </c>
      <c r="AJ1385">
        <v>0</v>
      </c>
      <c r="AK1385">
        <v>171.33</v>
      </c>
      <c r="AN1385" t="s">
        <v>7439</v>
      </c>
      <c r="AO1385">
        <v>20800</v>
      </c>
      <c r="AU1385">
        <v>44.75</v>
      </c>
      <c r="AV1385" t="s">
        <v>657</v>
      </c>
      <c r="AW1385" t="s">
        <v>237</v>
      </c>
    </row>
    <row r="1386" spans="1:49">
      <c r="A1386" s="1">
        <f>HYPERLINK("https://lsnyc.legalserver.org/matter/dynamic-profile/view/1864205","18-1864205")</f>
        <v>0</v>
      </c>
      <c r="B1386" t="s">
        <v>240</v>
      </c>
      <c r="C1386" t="s">
        <v>340</v>
      </c>
      <c r="D1386" t="s">
        <v>561</v>
      </c>
      <c r="F1386" t="s">
        <v>969</v>
      </c>
      <c r="G1386" t="s">
        <v>5936</v>
      </c>
      <c r="H1386" t="s">
        <v>10799</v>
      </c>
      <c r="I1386" t="s">
        <v>17648</v>
      </c>
      <c r="J1386" t="s">
        <v>18894</v>
      </c>
      <c r="K1386">
        <v>11226</v>
      </c>
      <c r="L1386" t="s">
        <v>18958</v>
      </c>
      <c r="M1386" t="s">
        <v>18958</v>
      </c>
      <c r="O1386" t="s">
        <v>26526</v>
      </c>
      <c r="P1386" t="s">
        <v>26562</v>
      </c>
      <c r="R1386" t="s">
        <v>26578</v>
      </c>
      <c r="S1386" t="s">
        <v>18958</v>
      </c>
      <c r="U1386" t="s">
        <v>26604</v>
      </c>
      <c r="W1386" t="s">
        <v>593</v>
      </c>
      <c r="X1386">
        <v>884</v>
      </c>
      <c r="Y1386" t="s">
        <v>26652</v>
      </c>
      <c r="Z1386" t="s">
        <v>26663</v>
      </c>
      <c r="AB1386" t="s">
        <v>27957</v>
      </c>
      <c r="AE1386">
        <v>6</v>
      </c>
      <c r="AF1386" t="s">
        <v>45541</v>
      </c>
      <c r="AG1386" t="s">
        <v>19330</v>
      </c>
      <c r="AH1386">
        <v>16</v>
      </c>
      <c r="AI1386">
        <v>2</v>
      </c>
      <c r="AJ1386">
        <v>1</v>
      </c>
      <c r="AK1386">
        <v>75.06999999999999</v>
      </c>
      <c r="AN1386" t="s">
        <v>7439</v>
      </c>
      <c r="AO1386">
        <v>15600</v>
      </c>
      <c r="AU1386">
        <v>2</v>
      </c>
      <c r="AV1386" t="s">
        <v>786</v>
      </c>
      <c r="AW1386" t="s">
        <v>237</v>
      </c>
    </row>
    <row r="1387" spans="1:49">
      <c r="A1387" s="1">
        <f>HYPERLINK("https://lsnyc.legalserver.org/matter/dynamic-profile/view/1864271","18-1864271")</f>
        <v>0</v>
      </c>
      <c r="B1387" t="s">
        <v>240</v>
      </c>
      <c r="C1387" t="s">
        <v>340</v>
      </c>
      <c r="D1387" t="s">
        <v>542</v>
      </c>
      <c r="F1387" t="s">
        <v>1527</v>
      </c>
      <c r="G1387" t="s">
        <v>968</v>
      </c>
      <c r="H1387" t="s">
        <v>10799</v>
      </c>
      <c r="I1387" t="s">
        <v>17386</v>
      </c>
      <c r="J1387" t="s">
        <v>18894</v>
      </c>
      <c r="K1387">
        <v>11226</v>
      </c>
      <c r="L1387" t="s">
        <v>18958</v>
      </c>
      <c r="M1387" t="s">
        <v>18958</v>
      </c>
      <c r="O1387" t="s">
        <v>26526</v>
      </c>
      <c r="P1387" t="s">
        <v>26560</v>
      </c>
      <c r="R1387" t="s">
        <v>26578</v>
      </c>
      <c r="S1387" t="s">
        <v>18958</v>
      </c>
      <c r="T1387" t="s">
        <v>26601</v>
      </c>
      <c r="U1387" t="s">
        <v>26604</v>
      </c>
      <c r="W1387" t="s">
        <v>593</v>
      </c>
      <c r="X1387">
        <v>915</v>
      </c>
      <c r="Y1387" t="s">
        <v>26652</v>
      </c>
      <c r="Z1387" t="s">
        <v>26663</v>
      </c>
      <c r="AB1387" t="s">
        <v>27958</v>
      </c>
      <c r="AD1387" t="s">
        <v>38009</v>
      </c>
      <c r="AE1387">
        <v>6</v>
      </c>
      <c r="AF1387" t="s">
        <v>45541</v>
      </c>
      <c r="AG1387" t="s">
        <v>19330</v>
      </c>
      <c r="AH1387">
        <v>9</v>
      </c>
      <c r="AI1387">
        <v>1</v>
      </c>
      <c r="AJ1387">
        <v>0</v>
      </c>
      <c r="AK1387">
        <v>102.97</v>
      </c>
      <c r="AN1387" t="s">
        <v>7439</v>
      </c>
      <c r="AO1387">
        <v>12500</v>
      </c>
      <c r="AU1387">
        <v>1</v>
      </c>
      <c r="AV1387" t="s">
        <v>389</v>
      </c>
      <c r="AW1387" t="s">
        <v>237</v>
      </c>
    </row>
    <row r="1388" spans="1:49">
      <c r="A1388" s="1">
        <f>HYPERLINK("https://lsnyc.legalserver.org/matter/dynamic-profile/view/1864743","18-1864743")</f>
        <v>0</v>
      </c>
      <c r="B1388" t="s">
        <v>240</v>
      </c>
      <c r="C1388" t="s">
        <v>340</v>
      </c>
      <c r="D1388" t="s">
        <v>562</v>
      </c>
      <c r="F1388" t="s">
        <v>1746</v>
      </c>
      <c r="G1388" t="s">
        <v>4966</v>
      </c>
      <c r="H1388" t="s">
        <v>10800</v>
      </c>
      <c r="I1388" t="s">
        <v>17649</v>
      </c>
      <c r="J1388" t="s">
        <v>18894</v>
      </c>
      <c r="K1388">
        <v>11225</v>
      </c>
      <c r="L1388" t="s">
        <v>18958</v>
      </c>
      <c r="M1388" t="s">
        <v>18958</v>
      </c>
      <c r="N1388" t="s">
        <v>19999</v>
      </c>
      <c r="O1388" t="s">
        <v>26526</v>
      </c>
      <c r="P1388" t="s">
        <v>26560</v>
      </c>
      <c r="R1388" t="s">
        <v>26578</v>
      </c>
      <c r="S1388" t="s">
        <v>18958</v>
      </c>
      <c r="U1388" t="s">
        <v>26604</v>
      </c>
      <c r="W1388" t="s">
        <v>593</v>
      </c>
      <c r="X1388">
        <v>1322.21</v>
      </c>
      <c r="Y1388" t="s">
        <v>26652</v>
      </c>
      <c r="Z1388" t="s">
        <v>26663</v>
      </c>
      <c r="AB1388" t="s">
        <v>27959</v>
      </c>
      <c r="AE1388">
        <v>47</v>
      </c>
      <c r="AF1388" t="s">
        <v>45541</v>
      </c>
      <c r="AG1388" t="s">
        <v>19330</v>
      </c>
      <c r="AH1388">
        <v>15</v>
      </c>
      <c r="AI1388">
        <v>2</v>
      </c>
      <c r="AJ1388">
        <v>3</v>
      </c>
      <c r="AK1388">
        <v>98.56999999999999</v>
      </c>
      <c r="AN1388" t="s">
        <v>7439</v>
      </c>
      <c r="AO1388">
        <v>29000</v>
      </c>
      <c r="AU1388">
        <v>59.25</v>
      </c>
      <c r="AV1388" t="s">
        <v>759</v>
      </c>
      <c r="AW1388" t="s">
        <v>237</v>
      </c>
    </row>
    <row r="1389" spans="1:49">
      <c r="A1389" s="1">
        <f>HYPERLINK("https://lsnyc.legalserver.org/matter/dynamic-profile/view/1865917","18-1865917")</f>
        <v>0</v>
      </c>
      <c r="B1389" t="s">
        <v>127</v>
      </c>
      <c r="C1389" t="s">
        <v>341</v>
      </c>
      <c r="D1389" t="s">
        <v>563</v>
      </c>
      <c r="E1389" t="s">
        <v>761</v>
      </c>
      <c r="F1389" t="s">
        <v>1747</v>
      </c>
      <c r="G1389" t="s">
        <v>3436</v>
      </c>
      <c r="H1389" t="s">
        <v>10801</v>
      </c>
      <c r="I1389" t="s">
        <v>17650</v>
      </c>
      <c r="J1389" t="s">
        <v>18894</v>
      </c>
      <c r="K1389">
        <v>11208</v>
      </c>
      <c r="L1389" t="s">
        <v>18958</v>
      </c>
      <c r="M1389" t="s">
        <v>18958</v>
      </c>
      <c r="N1389" t="s">
        <v>20000</v>
      </c>
      <c r="O1389" t="s">
        <v>26523</v>
      </c>
      <c r="P1389" t="s">
        <v>26560</v>
      </c>
      <c r="Q1389" t="s">
        <v>26568</v>
      </c>
      <c r="R1389" t="s">
        <v>26578</v>
      </c>
      <c r="U1389" t="s">
        <v>26604</v>
      </c>
      <c r="W1389" t="s">
        <v>593</v>
      </c>
      <c r="X1389">
        <v>11</v>
      </c>
      <c r="Y1389" t="s">
        <v>26652</v>
      </c>
      <c r="Z1389" t="s">
        <v>26656</v>
      </c>
      <c r="AA1389" t="s">
        <v>26680</v>
      </c>
      <c r="AB1389" t="s">
        <v>27960</v>
      </c>
      <c r="AC1389" t="s">
        <v>34925</v>
      </c>
      <c r="AD1389" t="s">
        <v>38010</v>
      </c>
      <c r="AE1389">
        <v>60</v>
      </c>
      <c r="AF1389" t="s">
        <v>45541</v>
      </c>
      <c r="AG1389" t="s">
        <v>45556</v>
      </c>
      <c r="AH1389">
        <v>22</v>
      </c>
      <c r="AI1389">
        <v>1</v>
      </c>
      <c r="AJ1389">
        <v>0</v>
      </c>
      <c r="AK1389">
        <v>238.88</v>
      </c>
      <c r="AL1389" t="s">
        <v>662</v>
      </c>
      <c r="AN1389" t="s">
        <v>7439</v>
      </c>
      <c r="AO1389">
        <v>29000</v>
      </c>
      <c r="AU1389">
        <v>10</v>
      </c>
      <c r="AV1389" t="s">
        <v>491</v>
      </c>
      <c r="AW1389" t="s">
        <v>237</v>
      </c>
    </row>
    <row r="1390" spans="1:49">
      <c r="A1390" s="1">
        <f>HYPERLINK("https://lsnyc.legalserver.org/matter/dynamic-profile/view/1866060","18-1866060")</f>
        <v>0</v>
      </c>
      <c r="B1390" t="s">
        <v>198</v>
      </c>
      <c r="C1390" t="s">
        <v>340</v>
      </c>
      <c r="D1390" t="s">
        <v>564</v>
      </c>
      <c r="F1390" t="s">
        <v>1637</v>
      </c>
      <c r="G1390" t="s">
        <v>5937</v>
      </c>
      <c r="H1390" t="s">
        <v>10802</v>
      </c>
      <c r="I1390" t="s">
        <v>17651</v>
      </c>
      <c r="J1390" t="s">
        <v>18894</v>
      </c>
      <c r="K1390">
        <v>11233</v>
      </c>
      <c r="L1390" t="s">
        <v>18958</v>
      </c>
      <c r="M1390" t="s">
        <v>18958</v>
      </c>
      <c r="N1390" t="s">
        <v>20001</v>
      </c>
      <c r="O1390" t="s">
        <v>26527</v>
      </c>
      <c r="P1390" t="s">
        <v>26562</v>
      </c>
      <c r="R1390" t="s">
        <v>26578</v>
      </c>
      <c r="S1390" t="s">
        <v>18959</v>
      </c>
      <c r="U1390" t="s">
        <v>26604</v>
      </c>
      <c r="W1390" t="s">
        <v>593</v>
      </c>
      <c r="X1390">
        <v>654</v>
      </c>
      <c r="Y1390" t="s">
        <v>26652</v>
      </c>
      <c r="Z1390" t="s">
        <v>26655</v>
      </c>
      <c r="AB1390" t="s">
        <v>26851</v>
      </c>
      <c r="AC1390" t="s">
        <v>34926</v>
      </c>
      <c r="AD1390" t="s">
        <v>38011</v>
      </c>
      <c r="AE1390">
        <v>16</v>
      </c>
      <c r="AF1390" t="s">
        <v>45541</v>
      </c>
      <c r="AG1390" t="s">
        <v>19330</v>
      </c>
      <c r="AH1390">
        <v>36</v>
      </c>
      <c r="AI1390">
        <v>1</v>
      </c>
      <c r="AJ1390">
        <v>0</v>
      </c>
      <c r="AK1390">
        <v>86.48999999999999</v>
      </c>
      <c r="AN1390" t="s">
        <v>7439</v>
      </c>
      <c r="AO1390">
        <v>10500</v>
      </c>
      <c r="AU1390">
        <v>12.1</v>
      </c>
      <c r="AV1390" t="s">
        <v>534</v>
      </c>
      <c r="AW1390" t="s">
        <v>237</v>
      </c>
    </row>
    <row r="1391" spans="1:49">
      <c r="A1391" s="1">
        <f>HYPERLINK("https://lsnyc.legalserver.org/matter/dynamic-profile/view/1866406","18-1866406")</f>
        <v>0</v>
      </c>
      <c r="B1391" t="s">
        <v>205</v>
      </c>
      <c r="C1391" t="s">
        <v>341</v>
      </c>
      <c r="D1391" t="s">
        <v>565</v>
      </c>
      <c r="E1391" t="s">
        <v>540</v>
      </c>
      <c r="F1391" t="s">
        <v>1510</v>
      </c>
      <c r="G1391" t="s">
        <v>5938</v>
      </c>
      <c r="H1391" t="s">
        <v>10803</v>
      </c>
      <c r="I1391">
        <v>1</v>
      </c>
      <c r="J1391" t="s">
        <v>18894</v>
      </c>
      <c r="K1391">
        <v>11208</v>
      </c>
      <c r="L1391" t="s">
        <v>18958</v>
      </c>
      <c r="M1391" t="s">
        <v>18958</v>
      </c>
      <c r="N1391" t="s">
        <v>20002</v>
      </c>
      <c r="O1391" t="s">
        <v>26524</v>
      </c>
      <c r="P1391" t="s">
        <v>26560</v>
      </c>
      <c r="Q1391" t="s">
        <v>26574</v>
      </c>
      <c r="R1391" t="s">
        <v>26578</v>
      </c>
      <c r="S1391" t="s">
        <v>18959</v>
      </c>
      <c r="U1391" t="s">
        <v>26604</v>
      </c>
      <c r="W1391" t="s">
        <v>593</v>
      </c>
      <c r="X1391">
        <v>1550</v>
      </c>
      <c r="Y1391" t="s">
        <v>26652</v>
      </c>
      <c r="Z1391" t="s">
        <v>26656</v>
      </c>
      <c r="AA1391" t="s">
        <v>26678</v>
      </c>
      <c r="AB1391" t="s">
        <v>27961</v>
      </c>
      <c r="AC1391" t="s">
        <v>34927</v>
      </c>
      <c r="AD1391" t="s">
        <v>38012</v>
      </c>
      <c r="AE1391">
        <v>4</v>
      </c>
      <c r="AF1391" t="s">
        <v>45547</v>
      </c>
      <c r="AG1391" t="s">
        <v>45562</v>
      </c>
      <c r="AH1391">
        <v>3</v>
      </c>
      <c r="AI1391">
        <v>1</v>
      </c>
      <c r="AJ1391">
        <v>2</v>
      </c>
      <c r="AK1391">
        <v>112.61</v>
      </c>
      <c r="AN1391" t="s">
        <v>7439</v>
      </c>
      <c r="AO1391">
        <v>23400</v>
      </c>
      <c r="AP1391" t="s">
        <v>45624</v>
      </c>
      <c r="AQ1391" t="s">
        <v>46362</v>
      </c>
      <c r="AR1391" t="s">
        <v>46381</v>
      </c>
      <c r="AS1391" t="s">
        <v>46499</v>
      </c>
      <c r="AT1391" t="s">
        <v>46597</v>
      </c>
      <c r="AU1391">
        <v>18</v>
      </c>
      <c r="AV1391" t="s">
        <v>540</v>
      </c>
      <c r="AW1391" t="s">
        <v>237</v>
      </c>
    </row>
    <row r="1392" spans="1:49">
      <c r="A1392" s="1">
        <f>HYPERLINK("https://lsnyc.legalserver.org/matter/dynamic-profile/view/1866494","18-1866494")</f>
        <v>0</v>
      </c>
      <c r="B1392" t="s">
        <v>132</v>
      </c>
      <c r="C1392" t="s">
        <v>341</v>
      </c>
      <c r="D1392" t="s">
        <v>491</v>
      </c>
      <c r="E1392" t="s">
        <v>414</v>
      </c>
      <c r="F1392" t="s">
        <v>1748</v>
      </c>
      <c r="G1392" t="s">
        <v>1031</v>
      </c>
      <c r="H1392" t="s">
        <v>10804</v>
      </c>
      <c r="I1392" t="s">
        <v>17390</v>
      </c>
      <c r="J1392" t="s">
        <v>18894</v>
      </c>
      <c r="K1392">
        <v>11249</v>
      </c>
      <c r="L1392" t="s">
        <v>18958</v>
      </c>
      <c r="M1392" t="s">
        <v>18958</v>
      </c>
      <c r="N1392" t="s">
        <v>20003</v>
      </c>
      <c r="O1392" t="s">
        <v>26523</v>
      </c>
      <c r="P1392" t="s">
        <v>26560</v>
      </c>
      <c r="Q1392" t="s">
        <v>26573</v>
      </c>
      <c r="R1392" t="s">
        <v>26586</v>
      </c>
      <c r="U1392" t="s">
        <v>26605</v>
      </c>
      <c r="V1392" t="s">
        <v>26610</v>
      </c>
      <c r="W1392" t="s">
        <v>593</v>
      </c>
      <c r="X1392">
        <v>380</v>
      </c>
      <c r="Y1392" t="s">
        <v>26652</v>
      </c>
      <c r="Z1392" t="s">
        <v>26662</v>
      </c>
      <c r="AA1392" t="s">
        <v>26680</v>
      </c>
      <c r="AB1392" t="s">
        <v>27962</v>
      </c>
      <c r="AD1392" t="s">
        <v>38013</v>
      </c>
      <c r="AE1392">
        <v>21</v>
      </c>
      <c r="AF1392" t="s">
        <v>45549</v>
      </c>
      <c r="AG1392" t="s">
        <v>19330</v>
      </c>
      <c r="AH1392">
        <v>13</v>
      </c>
      <c r="AI1392">
        <v>2</v>
      </c>
      <c r="AJ1392">
        <v>0</v>
      </c>
      <c r="AK1392">
        <v>66.83</v>
      </c>
      <c r="AN1392" t="s">
        <v>7439</v>
      </c>
      <c r="AO1392">
        <v>11000</v>
      </c>
      <c r="AQ1392" t="s">
        <v>46362</v>
      </c>
      <c r="AR1392" t="s">
        <v>46421</v>
      </c>
      <c r="AS1392" t="s">
        <v>46499</v>
      </c>
      <c r="AT1392" t="s">
        <v>46644</v>
      </c>
      <c r="AU1392">
        <v>26.1</v>
      </c>
      <c r="AV1392" t="s">
        <v>639</v>
      </c>
      <c r="AW1392" t="s">
        <v>46853</v>
      </c>
    </row>
    <row r="1393" spans="1:49">
      <c r="A1393" s="1">
        <f>HYPERLINK("https://lsnyc.legalserver.org/matter/dynamic-profile/view/1866563","18-1866563")</f>
        <v>0</v>
      </c>
      <c r="B1393" t="s">
        <v>133</v>
      </c>
      <c r="C1393" t="s">
        <v>341</v>
      </c>
      <c r="D1393" t="s">
        <v>386</v>
      </c>
      <c r="E1393" t="s">
        <v>703</v>
      </c>
      <c r="F1393" t="s">
        <v>1292</v>
      </c>
      <c r="G1393" t="s">
        <v>5939</v>
      </c>
      <c r="H1393" t="s">
        <v>10805</v>
      </c>
      <c r="I1393" t="s">
        <v>17354</v>
      </c>
      <c r="J1393" t="s">
        <v>18892</v>
      </c>
      <c r="K1393">
        <v>10473</v>
      </c>
      <c r="L1393" t="s">
        <v>18958</v>
      </c>
      <c r="M1393" t="s">
        <v>18958</v>
      </c>
      <c r="N1393" t="s">
        <v>20004</v>
      </c>
      <c r="O1393" t="s">
        <v>26524</v>
      </c>
      <c r="P1393" t="s">
        <v>26564</v>
      </c>
      <c r="Q1393" t="s">
        <v>26570</v>
      </c>
      <c r="R1393" t="s">
        <v>26577</v>
      </c>
      <c r="S1393" t="s">
        <v>18959</v>
      </c>
      <c r="U1393" t="s">
        <v>26604</v>
      </c>
      <c r="V1393" t="s">
        <v>26612</v>
      </c>
      <c r="W1393" t="s">
        <v>593</v>
      </c>
      <c r="X1393">
        <v>0</v>
      </c>
      <c r="Y1393" t="s">
        <v>26650</v>
      </c>
      <c r="AA1393" t="s">
        <v>26683</v>
      </c>
      <c r="AB1393" t="s">
        <v>27963</v>
      </c>
      <c r="AE1393">
        <v>0</v>
      </c>
      <c r="AF1393" t="s">
        <v>45549</v>
      </c>
      <c r="AH1393">
        <v>0</v>
      </c>
      <c r="AI1393">
        <v>1</v>
      </c>
      <c r="AJ1393">
        <v>0</v>
      </c>
      <c r="AK1393">
        <v>72.26000000000001</v>
      </c>
      <c r="AN1393" t="s">
        <v>7439</v>
      </c>
      <c r="AO1393">
        <v>8772</v>
      </c>
      <c r="AP1393" t="s">
        <v>45627</v>
      </c>
      <c r="AU1393">
        <v>5.95</v>
      </c>
      <c r="AV1393" t="s">
        <v>531</v>
      </c>
      <c r="AW1393" t="s">
        <v>334</v>
      </c>
    </row>
    <row r="1394" spans="1:49">
      <c r="A1394" s="1">
        <f>HYPERLINK("https://lsnyc.legalserver.org/matter/dynamic-profile/view/1866534","18-1866534")</f>
        <v>0</v>
      </c>
      <c r="B1394" t="s">
        <v>206</v>
      </c>
      <c r="C1394" t="s">
        <v>341</v>
      </c>
      <c r="D1394" t="s">
        <v>386</v>
      </c>
      <c r="E1394" t="s">
        <v>677</v>
      </c>
      <c r="F1394" t="s">
        <v>1749</v>
      </c>
      <c r="G1394" t="s">
        <v>5940</v>
      </c>
      <c r="H1394" t="s">
        <v>10806</v>
      </c>
      <c r="I1394" t="s">
        <v>17306</v>
      </c>
      <c r="J1394" t="s">
        <v>18894</v>
      </c>
      <c r="K1394">
        <v>11223</v>
      </c>
      <c r="L1394" t="s">
        <v>18958</v>
      </c>
      <c r="M1394" t="s">
        <v>18958</v>
      </c>
      <c r="N1394" t="s">
        <v>20005</v>
      </c>
      <c r="O1394" t="s">
        <v>26523</v>
      </c>
      <c r="P1394" t="s">
        <v>26564</v>
      </c>
      <c r="Q1394" t="s">
        <v>26570</v>
      </c>
      <c r="R1394" t="s">
        <v>26586</v>
      </c>
      <c r="S1394" t="s">
        <v>18959</v>
      </c>
      <c r="U1394" t="s">
        <v>26604</v>
      </c>
      <c r="W1394" t="s">
        <v>593</v>
      </c>
      <c r="X1394">
        <v>1516</v>
      </c>
      <c r="Y1394" t="s">
        <v>26652</v>
      </c>
      <c r="Z1394" t="s">
        <v>26662</v>
      </c>
      <c r="AA1394" t="s">
        <v>26683</v>
      </c>
      <c r="AB1394" t="s">
        <v>27432</v>
      </c>
      <c r="AD1394" t="s">
        <v>38014</v>
      </c>
      <c r="AE1394">
        <v>134</v>
      </c>
      <c r="AF1394" t="s">
        <v>45541</v>
      </c>
      <c r="AG1394" t="s">
        <v>19330</v>
      </c>
      <c r="AH1394">
        <v>10</v>
      </c>
      <c r="AI1394">
        <v>2</v>
      </c>
      <c r="AJ1394">
        <v>3</v>
      </c>
      <c r="AK1394">
        <v>89.08</v>
      </c>
      <c r="AN1394" t="s">
        <v>7439</v>
      </c>
      <c r="AO1394">
        <v>26208</v>
      </c>
      <c r="AU1394">
        <v>10.25</v>
      </c>
      <c r="AV1394" t="s">
        <v>436</v>
      </c>
    </row>
    <row r="1395" spans="1:49">
      <c r="A1395" s="1">
        <f>HYPERLINK("https://lsnyc.legalserver.org/matter/dynamic-profile/view/1866704","18-1866704")</f>
        <v>0</v>
      </c>
      <c r="B1395" t="s">
        <v>96</v>
      </c>
      <c r="C1395" t="s">
        <v>341</v>
      </c>
      <c r="D1395" t="s">
        <v>467</v>
      </c>
      <c r="E1395" t="s">
        <v>795</v>
      </c>
      <c r="F1395" t="s">
        <v>1366</v>
      </c>
      <c r="G1395" t="s">
        <v>5941</v>
      </c>
      <c r="H1395" t="s">
        <v>10807</v>
      </c>
      <c r="I1395" t="s">
        <v>17293</v>
      </c>
      <c r="J1395" t="s">
        <v>18892</v>
      </c>
      <c r="K1395">
        <v>10474</v>
      </c>
      <c r="L1395" t="s">
        <v>18958</v>
      </c>
      <c r="M1395" t="s">
        <v>18958</v>
      </c>
      <c r="N1395" t="s">
        <v>20006</v>
      </c>
      <c r="O1395" t="s">
        <v>26523</v>
      </c>
      <c r="P1395" t="s">
        <v>26560</v>
      </c>
      <c r="Q1395" t="s">
        <v>26568</v>
      </c>
      <c r="R1395" t="s">
        <v>26577</v>
      </c>
      <c r="U1395" t="s">
        <v>26604</v>
      </c>
      <c r="V1395" t="s">
        <v>26611</v>
      </c>
      <c r="W1395" t="s">
        <v>593</v>
      </c>
      <c r="X1395">
        <v>1345</v>
      </c>
      <c r="Y1395" t="s">
        <v>26650</v>
      </c>
      <c r="Z1395" t="s">
        <v>26657</v>
      </c>
      <c r="AA1395" t="s">
        <v>26678</v>
      </c>
      <c r="AB1395" t="s">
        <v>27964</v>
      </c>
      <c r="AC1395" t="s">
        <v>34928</v>
      </c>
      <c r="AD1395" t="s">
        <v>38015</v>
      </c>
      <c r="AE1395">
        <v>50</v>
      </c>
      <c r="AF1395" t="s">
        <v>20460</v>
      </c>
      <c r="AG1395" t="s">
        <v>45562</v>
      </c>
      <c r="AH1395">
        <v>3</v>
      </c>
      <c r="AI1395">
        <v>1</v>
      </c>
      <c r="AJ1395">
        <v>0</v>
      </c>
      <c r="AK1395">
        <v>81.05</v>
      </c>
      <c r="AN1395" t="s">
        <v>7439</v>
      </c>
      <c r="AO1395">
        <v>9840</v>
      </c>
      <c r="AQ1395" t="s">
        <v>46365</v>
      </c>
      <c r="AR1395" t="s">
        <v>46434</v>
      </c>
      <c r="AS1395" t="s">
        <v>46499</v>
      </c>
      <c r="AT1395" t="s">
        <v>46605</v>
      </c>
      <c r="AU1395">
        <v>26.54</v>
      </c>
      <c r="AV1395" t="s">
        <v>690</v>
      </c>
      <c r="AW1395" t="s">
        <v>46846</v>
      </c>
    </row>
    <row r="1396" spans="1:49">
      <c r="A1396" s="1">
        <f>HYPERLINK("https://lsnyc.legalserver.org/matter/dynamic-profile/view/1866809","18-1866809")</f>
        <v>0</v>
      </c>
      <c r="B1396" t="s">
        <v>174</v>
      </c>
      <c r="C1396" t="s">
        <v>341</v>
      </c>
      <c r="D1396" t="s">
        <v>387</v>
      </c>
      <c r="E1396" t="s">
        <v>494</v>
      </c>
      <c r="F1396" t="s">
        <v>1750</v>
      </c>
      <c r="G1396" t="s">
        <v>5942</v>
      </c>
      <c r="H1396" t="s">
        <v>10808</v>
      </c>
      <c r="I1396" t="s">
        <v>17283</v>
      </c>
      <c r="J1396" t="s">
        <v>18894</v>
      </c>
      <c r="K1396">
        <v>11208</v>
      </c>
      <c r="L1396" t="s">
        <v>18958</v>
      </c>
      <c r="M1396" t="s">
        <v>18958</v>
      </c>
      <c r="N1396" t="s">
        <v>20007</v>
      </c>
      <c r="O1396" t="s">
        <v>26524</v>
      </c>
      <c r="P1396" t="s">
        <v>26560</v>
      </c>
      <c r="Q1396" t="s">
        <v>26569</v>
      </c>
      <c r="R1396" t="s">
        <v>26578</v>
      </c>
      <c r="S1396" t="s">
        <v>18959</v>
      </c>
      <c r="U1396" t="s">
        <v>26604</v>
      </c>
      <c r="W1396" t="s">
        <v>593</v>
      </c>
      <c r="X1396">
        <v>1254</v>
      </c>
      <c r="Y1396" t="s">
        <v>26652</v>
      </c>
      <c r="Z1396" t="s">
        <v>26657</v>
      </c>
      <c r="AA1396" t="s">
        <v>26683</v>
      </c>
      <c r="AB1396" t="s">
        <v>27965</v>
      </c>
      <c r="AC1396" t="s">
        <v>23383</v>
      </c>
      <c r="AD1396" t="s">
        <v>38016</v>
      </c>
      <c r="AE1396">
        <v>3</v>
      </c>
      <c r="AF1396" t="s">
        <v>20460</v>
      </c>
      <c r="AG1396" t="s">
        <v>45556</v>
      </c>
      <c r="AH1396">
        <v>10</v>
      </c>
      <c r="AI1396">
        <v>2</v>
      </c>
      <c r="AJ1396">
        <v>1</v>
      </c>
      <c r="AK1396">
        <v>0</v>
      </c>
      <c r="AN1396" t="s">
        <v>7439</v>
      </c>
      <c r="AO1396">
        <v>0</v>
      </c>
      <c r="AU1396">
        <v>13.86</v>
      </c>
      <c r="AV1396" t="s">
        <v>428</v>
      </c>
      <c r="AW1396" t="s">
        <v>46860</v>
      </c>
    </row>
    <row r="1397" spans="1:49">
      <c r="A1397" s="1">
        <f>HYPERLINK("https://lsnyc.legalserver.org/matter/dynamic-profile/view/1867470","18-1867470")</f>
        <v>0</v>
      </c>
      <c r="B1397" t="s">
        <v>240</v>
      </c>
      <c r="C1397" t="s">
        <v>340</v>
      </c>
      <c r="D1397" t="s">
        <v>389</v>
      </c>
      <c r="F1397" t="s">
        <v>1299</v>
      </c>
      <c r="G1397" t="s">
        <v>5943</v>
      </c>
      <c r="H1397" t="s">
        <v>10800</v>
      </c>
      <c r="I1397" t="s">
        <v>17652</v>
      </c>
      <c r="J1397" t="s">
        <v>18894</v>
      </c>
      <c r="K1397">
        <v>11225</v>
      </c>
      <c r="L1397" t="s">
        <v>18958</v>
      </c>
      <c r="M1397" t="s">
        <v>18958</v>
      </c>
      <c r="O1397" t="s">
        <v>26526</v>
      </c>
      <c r="P1397" t="s">
        <v>26560</v>
      </c>
      <c r="R1397" t="s">
        <v>26578</v>
      </c>
      <c r="S1397" t="s">
        <v>18958</v>
      </c>
      <c r="U1397" t="s">
        <v>26604</v>
      </c>
      <c r="W1397" t="s">
        <v>593</v>
      </c>
      <c r="X1397">
        <v>1139.21</v>
      </c>
      <c r="Y1397" t="s">
        <v>26652</v>
      </c>
      <c r="Z1397" t="s">
        <v>26663</v>
      </c>
      <c r="AB1397" t="s">
        <v>27966</v>
      </c>
      <c r="AD1397" t="s">
        <v>38017</v>
      </c>
      <c r="AE1397">
        <v>47</v>
      </c>
      <c r="AF1397" t="s">
        <v>45541</v>
      </c>
      <c r="AG1397" t="s">
        <v>19330</v>
      </c>
      <c r="AH1397">
        <v>12</v>
      </c>
      <c r="AI1397">
        <v>4</v>
      </c>
      <c r="AJ1397">
        <v>0</v>
      </c>
      <c r="AK1397">
        <v>179.28</v>
      </c>
      <c r="AN1397" t="s">
        <v>7439</v>
      </c>
      <c r="AO1397">
        <v>45000</v>
      </c>
      <c r="AU1397">
        <v>1</v>
      </c>
      <c r="AV1397" t="s">
        <v>400</v>
      </c>
      <c r="AW1397" t="s">
        <v>237</v>
      </c>
    </row>
    <row r="1398" spans="1:49">
      <c r="A1398" s="1">
        <f>HYPERLINK("https://lsnyc.legalserver.org/matter/dynamic-profile/view/1867693","18-1867693")</f>
        <v>0</v>
      </c>
      <c r="B1398" t="s">
        <v>222</v>
      </c>
      <c r="C1398" t="s">
        <v>341</v>
      </c>
      <c r="D1398" t="s">
        <v>566</v>
      </c>
      <c r="E1398" t="s">
        <v>703</v>
      </c>
      <c r="F1398" t="s">
        <v>1447</v>
      </c>
      <c r="G1398" t="s">
        <v>5944</v>
      </c>
      <c r="H1398" t="s">
        <v>10809</v>
      </c>
      <c r="I1398">
        <v>317</v>
      </c>
      <c r="J1398" t="s">
        <v>18894</v>
      </c>
      <c r="K1398">
        <v>11221</v>
      </c>
      <c r="L1398" t="s">
        <v>18958</v>
      </c>
      <c r="M1398" t="s">
        <v>18958</v>
      </c>
      <c r="N1398" t="s">
        <v>20008</v>
      </c>
      <c r="O1398" t="s">
        <v>26523</v>
      </c>
      <c r="P1398" t="s">
        <v>26560</v>
      </c>
      <c r="Q1398" t="s">
        <v>26568</v>
      </c>
      <c r="R1398" t="s">
        <v>26588</v>
      </c>
      <c r="U1398" t="s">
        <v>26604</v>
      </c>
      <c r="V1398" t="s">
        <v>26613</v>
      </c>
      <c r="W1398" t="s">
        <v>593</v>
      </c>
      <c r="X1398">
        <v>0</v>
      </c>
      <c r="Y1398" t="s">
        <v>26652</v>
      </c>
      <c r="Z1398" t="s">
        <v>26669</v>
      </c>
      <c r="AA1398" t="s">
        <v>26678</v>
      </c>
      <c r="AB1398" t="s">
        <v>27967</v>
      </c>
      <c r="AC1398">
        <v>89242268204</v>
      </c>
      <c r="AD1398" t="s">
        <v>38018</v>
      </c>
      <c r="AE1398">
        <v>96</v>
      </c>
      <c r="AH1398">
        <v>12</v>
      </c>
      <c r="AI1398">
        <v>1</v>
      </c>
      <c r="AJ1398">
        <v>0</v>
      </c>
      <c r="AK1398">
        <v>86.98999999999999</v>
      </c>
      <c r="AN1398" t="s">
        <v>7439</v>
      </c>
      <c r="AO1398">
        <v>10560</v>
      </c>
      <c r="AS1398" t="s">
        <v>46499</v>
      </c>
      <c r="AT1398" t="s">
        <v>46521</v>
      </c>
      <c r="AU1398">
        <v>12.25</v>
      </c>
      <c r="AV1398" t="s">
        <v>443</v>
      </c>
      <c r="AW1398" t="s">
        <v>46853</v>
      </c>
    </row>
    <row r="1399" spans="1:49">
      <c r="A1399" s="1">
        <f>HYPERLINK("https://lsnyc.legalserver.org/matter/dynamic-profile/view/1868008","18-1868008")</f>
        <v>0</v>
      </c>
      <c r="B1399" t="s">
        <v>132</v>
      </c>
      <c r="C1399" t="s">
        <v>341</v>
      </c>
      <c r="D1399" t="s">
        <v>567</v>
      </c>
      <c r="E1399" t="s">
        <v>709</v>
      </c>
      <c r="F1399" t="s">
        <v>1751</v>
      </c>
      <c r="G1399" t="s">
        <v>1203</v>
      </c>
      <c r="H1399" t="s">
        <v>10810</v>
      </c>
      <c r="I1399" t="s">
        <v>17440</v>
      </c>
      <c r="J1399" t="s">
        <v>18894</v>
      </c>
      <c r="K1399">
        <v>11212</v>
      </c>
      <c r="L1399" t="s">
        <v>18958</v>
      </c>
      <c r="M1399" t="s">
        <v>18958</v>
      </c>
      <c r="O1399" t="s">
        <v>26525</v>
      </c>
      <c r="P1399" t="s">
        <v>26561</v>
      </c>
      <c r="Q1399" t="s">
        <v>26569</v>
      </c>
      <c r="R1399" t="s">
        <v>26586</v>
      </c>
      <c r="S1399" t="s">
        <v>18959</v>
      </c>
      <c r="U1399" t="s">
        <v>26605</v>
      </c>
      <c r="W1399" t="s">
        <v>593</v>
      </c>
      <c r="X1399">
        <v>448</v>
      </c>
      <c r="Y1399" t="s">
        <v>26652</v>
      </c>
      <c r="Z1399" t="s">
        <v>26673</v>
      </c>
      <c r="AA1399" t="s">
        <v>26680</v>
      </c>
      <c r="AB1399" t="s">
        <v>27968</v>
      </c>
      <c r="AC1399" t="s">
        <v>34929</v>
      </c>
      <c r="AD1399" t="s">
        <v>38019</v>
      </c>
      <c r="AE1399">
        <v>100</v>
      </c>
      <c r="AF1399" t="s">
        <v>45542</v>
      </c>
      <c r="AG1399" t="s">
        <v>19330</v>
      </c>
      <c r="AH1399">
        <v>4</v>
      </c>
      <c r="AI1399">
        <v>1</v>
      </c>
      <c r="AJ1399">
        <v>2</v>
      </c>
      <c r="AK1399">
        <v>94.59</v>
      </c>
      <c r="AN1399" t="s">
        <v>7439</v>
      </c>
      <c r="AO1399">
        <v>19656</v>
      </c>
      <c r="AR1399" t="s">
        <v>46379</v>
      </c>
      <c r="AS1399" t="s">
        <v>46499</v>
      </c>
      <c r="AT1399" t="s">
        <v>46663</v>
      </c>
      <c r="AU1399">
        <v>10.6</v>
      </c>
      <c r="AV1399" t="s">
        <v>709</v>
      </c>
      <c r="AW1399" t="s">
        <v>46851</v>
      </c>
    </row>
    <row r="1400" spans="1:49">
      <c r="A1400" s="1">
        <f>HYPERLINK("https://lsnyc.legalserver.org/matter/dynamic-profile/view/1868269","18-1868269")</f>
        <v>0</v>
      </c>
      <c r="B1400" t="s">
        <v>81</v>
      </c>
      <c r="C1400" t="s">
        <v>341</v>
      </c>
      <c r="D1400" t="s">
        <v>393</v>
      </c>
      <c r="E1400" t="s">
        <v>413</v>
      </c>
      <c r="F1400" t="s">
        <v>1752</v>
      </c>
      <c r="G1400" t="s">
        <v>5479</v>
      </c>
      <c r="H1400" t="s">
        <v>10811</v>
      </c>
      <c r="I1400" t="s">
        <v>17330</v>
      </c>
      <c r="J1400" t="s">
        <v>18892</v>
      </c>
      <c r="K1400">
        <v>10467</v>
      </c>
      <c r="L1400" t="s">
        <v>18958</v>
      </c>
      <c r="M1400" t="s">
        <v>18958</v>
      </c>
      <c r="N1400" t="s">
        <v>20009</v>
      </c>
      <c r="O1400" t="s">
        <v>26523</v>
      </c>
      <c r="P1400" t="s">
        <v>26560</v>
      </c>
      <c r="Q1400" t="s">
        <v>26568</v>
      </c>
      <c r="R1400" t="s">
        <v>26579</v>
      </c>
      <c r="S1400" t="s">
        <v>18959</v>
      </c>
      <c r="U1400" t="s">
        <v>26604</v>
      </c>
      <c r="V1400" t="s">
        <v>26610</v>
      </c>
      <c r="W1400" t="s">
        <v>593</v>
      </c>
      <c r="X1400">
        <v>1300</v>
      </c>
      <c r="Y1400" t="s">
        <v>26650</v>
      </c>
      <c r="Z1400" t="s">
        <v>26662</v>
      </c>
      <c r="AA1400" t="s">
        <v>26678</v>
      </c>
      <c r="AB1400" t="s">
        <v>27969</v>
      </c>
      <c r="AD1400" t="s">
        <v>38020</v>
      </c>
      <c r="AE1400">
        <v>70</v>
      </c>
      <c r="AF1400" t="s">
        <v>45541</v>
      </c>
      <c r="AG1400" t="s">
        <v>19330</v>
      </c>
      <c r="AH1400">
        <v>40</v>
      </c>
      <c r="AI1400">
        <v>1</v>
      </c>
      <c r="AJ1400">
        <v>0</v>
      </c>
      <c r="AK1400">
        <v>129.08</v>
      </c>
      <c r="AN1400" t="s">
        <v>7439</v>
      </c>
      <c r="AO1400">
        <v>15669.84</v>
      </c>
      <c r="AP1400" t="s">
        <v>45705</v>
      </c>
      <c r="AR1400" t="s">
        <v>46381</v>
      </c>
      <c r="AS1400" t="s">
        <v>46499</v>
      </c>
      <c r="AT1400" t="s">
        <v>46696</v>
      </c>
      <c r="AU1400">
        <v>7.05</v>
      </c>
      <c r="AV1400" t="s">
        <v>434</v>
      </c>
      <c r="AW1400" t="s">
        <v>336</v>
      </c>
    </row>
    <row r="1401" spans="1:49">
      <c r="A1401" s="1">
        <f>HYPERLINK("https://lsnyc.legalserver.org/matter/dynamic-profile/view/1868311","18-1868311")</f>
        <v>0</v>
      </c>
      <c r="B1401" t="s">
        <v>132</v>
      </c>
      <c r="C1401" t="s">
        <v>341</v>
      </c>
      <c r="D1401" t="s">
        <v>568</v>
      </c>
      <c r="E1401" t="s">
        <v>599</v>
      </c>
      <c r="F1401" t="s">
        <v>1753</v>
      </c>
      <c r="G1401" t="s">
        <v>5945</v>
      </c>
      <c r="H1401" t="s">
        <v>10812</v>
      </c>
      <c r="I1401">
        <v>5</v>
      </c>
      <c r="J1401" t="s">
        <v>18894</v>
      </c>
      <c r="K1401">
        <v>11238</v>
      </c>
      <c r="L1401" t="s">
        <v>18958</v>
      </c>
      <c r="M1401" t="s">
        <v>18958</v>
      </c>
      <c r="N1401" t="s">
        <v>20010</v>
      </c>
      <c r="O1401" t="s">
        <v>26523</v>
      </c>
      <c r="P1401" t="s">
        <v>26564</v>
      </c>
      <c r="Q1401" t="s">
        <v>26570</v>
      </c>
      <c r="R1401" t="s">
        <v>26586</v>
      </c>
      <c r="U1401" t="s">
        <v>26604</v>
      </c>
      <c r="V1401" t="s">
        <v>26610</v>
      </c>
      <c r="W1401" t="s">
        <v>593</v>
      </c>
      <c r="X1401">
        <v>2375</v>
      </c>
      <c r="Y1401" t="s">
        <v>26652</v>
      </c>
      <c r="Z1401" t="s">
        <v>26662</v>
      </c>
      <c r="AA1401" t="s">
        <v>26689</v>
      </c>
      <c r="AB1401" t="s">
        <v>27970</v>
      </c>
      <c r="AD1401" t="s">
        <v>38021</v>
      </c>
      <c r="AE1401">
        <v>17</v>
      </c>
      <c r="AF1401" t="s">
        <v>20460</v>
      </c>
      <c r="AH1401">
        <v>4</v>
      </c>
      <c r="AI1401">
        <v>1</v>
      </c>
      <c r="AJ1401">
        <v>0</v>
      </c>
      <c r="AK1401">
        <v>107.66</v>
      </c>
      <c r="AN1401" t="s">
        <v>7439</v>
      </c>
      <c r="AO1401">
        <v>13070</v>
      </c>
      <c r="AU1401">
        <v>0.8</v>
      </c>
      <c r="AV1401" t="s">
        <v>404</v>
      </c>
      <c r="AW1401" t="s">
        <v>46853</v>
      </c>
    </row>
    <row r="1402" spans="1:49">
      <c r="A1402" s="1">
        <f>HYPERLINK("https://lsnyc.legalserver.org/matter/dynamic-profile/view/1868340","18-1868340")</f>
        <v>0</v>
      </c>
      <c r="B1402" t="s">
        <v>69</v>
      </c>
      <c r="C1402" t="s">
        <v>340</v>
      </c>
      <c r="D1402" t="s">
        <v>568</v>
      </c>
      <c r="F1402" t="s">
        <v>1233</v>
      </c>
      <c r="G1402" t="s">
        <v>5946</v>
      </c>
      <c r="H1402" t="s">
        <v>10813</v>
      </c>
      <c r="I1402">
        <v>7</v>
      </c>
      <c r="J1402" t="s">
        <v>18892</v>
      </c>
      <c r="K1402">
        <v>10458</v>
      </c>
      <c r="L1402" t="s">
        <v>18958</v>
      </c>
      <c r="M1402" t="s">
        <v>18960</v>
      </c>
      <c r="N1402" t="s">
        <v>20011</v>
      </c>
      <c r="O1402" t="s">
        <v>26523</v>
      </c>
      <c r="P1402" t="s">
        <v>26560</v>
      </c>
      <c r="R1402" t="s">
        <v>26577</v>
      </c>
      <c r="S1402" t="s">
        <v>18959</v>
      </c>
      <c r="U1402" t="s">
        <v>26604</v>
      </c>
      <c r="V1402" t="s">
        <v>26610</v>
      </c>
      <c r="W1402" t="s">
        <v>593</v>
      </c>
      <c r="X1402">
        <v>983</v>
      </c>
      <c r="Y1402" t="s">
        <v>26650</v>
      </c>
      <c r="Z1402" t="s">
        <v>26662</v>
      </c>
      <c r="AB1402" t="s">
        <v>27971</v>
      </c>
      <c r="AE1402">
        <v>0</v>
      </c>
      <c r="AF1402" t="s">
        <v>45541</v>
      </c>
      <c r="AG1402" t="s">
        <v>19330</v>
      </c>
      <c r="AH1402">
        <v>15</v>
      </c>
      <c r="AI1402">
        <v>2</v>
      </c>
      <c r="AJ1402">
        <v>0</v>
      </c>
      <c r="AK1402">
        <v>53.44</v>
      </c>
      <c r="AO1402">
        <v>8796</v>
      </c>
      <c r="AU1402">
        <v>18.55</v>
      </c>
      <c r="AV1402" t="s">
        <v>710</v>
      </c>
      <c r="AW1402" t="s">
        <v>334</v>
      </c>
    </row>
    <row r="1403" spans="1:49">
      <c r="A1403" s="1">
        <f>HYPERLINK("https://lsnyc.legalserver.org/matter/dynamic-profile/view/1868551","18-1868551")</f>
        <v>0</v>
      </c>
      <c r="B1403" t="s">
        <v>206</v>
      </c>
      <c r="C1403" t="s">
        <v>341</v>
      </c>
      <c r="D1403" t="s">
        <v>394</v>
      </c>
      <c r="E1403" t="s">
        <v>854</v>
      </c>
      <c r="F1403" t="s">
        <v>1754</v>
      </c>
      <c r="G1403" t="s">
        <v>5947</v>
      </c>
      <c r="H1403" t="s">
        <v>10814</v>
      </c>
      <c r="I1403">
        <v>1</v>
      </c>
      <c r="J1403" t="s">
        <v>18894</v>
      </c>
      <c r="K1403">
        <v>11234</v>
      </c>
      <c r="L1403" t="s">
        <v>18958</v>
      </c>
      <c r="M1403" t="s">
        <v>18958</v>
      </c>
      <c r="N1403" t="s">
        <v>20012</v>
      </c>
      <c r="O1403" t="s">
        <v>26524</v>
      </c>
      <c r="P1403" t="s">
        <v>26560</v>
      </c>
      <c r="Q1403" t="s">
        <v>26568</v>
      </c>
      <c r="R1403" t="s">
        <v>26586</v>
      </c>
      <c r="S1403" t="s">
        <v>18959</v>
      </c>
      <c r="U1403" t="s">
        <v>26604</v>
      </c>
      <c r="W1403" t="s">
        <v>593</v>
      </c>
      <c r="X1403">
        <v>1515</v>
      </c>
      <c r="Y1403" t="s">
        <v>26652</v>
      </c>
      <c r="Z1403" t="s">
        <v>26662</v>
      </c>
      <c r="AA1403" t="s">
        <v>26681</v>
      </c>
      <c r="AB1403" t="s">
        <v>27972</v>
      </c>
      <c r="AC1403" t="s">
        <v>34930</v>
      </c>
      <c r="AD1403" t="s">
        <v>38022</v>
      </c>
      <c r="AE1403">
        <v>2</v>
      </c>
      <c r="AF1403" t="s">
        <v>45547</v>
      </c>
      <c r="AG1403" t="s">
        <v>45562</v>
      </c>
      <c r="AH1403">
        <v>2</v>
      </c>
      <c r="AI1403">
        <v>1</v>
      </c>
      <c r="AJ1403">
        <v>3</v>
      </c>
      <c r="AK1403">
        <v>36.57</v>
      </c>
      <c r="AN1403" t="s">
        <v>7439</v>
      </c>
      <c r="AO1403">
        <v>9180</v>
      </c>
      <c r="AU1403">
        <v>7.5</v>
      </c>
      <c r="AV1403" t="s">
        <v>589</v>
      </c>
      <c r="AW1403" t="s">
        <v>281</v>
      </c>
    </row>
    <row r="1404" spans="1:49">
      <c r="A1404" s="1">
        <f>HYPERLINK("https://lsnyc.legalserver.org/matter/dynamic-profile/view/1869425","18-1869425")</f>
        <v>0</v>
      </c>
      <c r="B1404" t="s">
        <v>149</v>
      </c>
      <c r="C1404" t="s">
        <v>340</v>
      </c>
      <c r="D1404" t="s">
        <v>394</v>
      </c>
      <c r="F1404" t="s">
        <v>1755</v>
      </c>
      <c r="G1404" t="s">
        <v>5948</v>
      </c>
      <c r="H1404" t="s">
        <v>10815</v>
      </c>
      <c r="J1404" t="s">
        <v>18892</v>
      </c>
      <c r="K1404">
        <v>10453</v>
      </c>
      <c r="L1404" t="s">
        <v>18958</v>
      </c>
      <c r="M1404" t="s">
        <v>18958</v>
      </c>
      <c r="N1404" t="s">
        <v>20013</v>
      </c>
      <c r="O1404" t="s">
        <v>26523</v>
      </c>
      <c r="P1404" t="s">
        <v>26560</v>
      </c>
      <c r="R1404" t="s">
        <v>26578</v>
      </c>
      <c r="U1404" t="s">
        <v>26604</v>
      </c>
      <c r="V1404" t="s">
        <v>26610</v>
      </c>
      <c r="W1404" t="s">
        <v>593</v>
      </c>
      <c r="X1404">
        <v>1931</v>
      </c>
      <c r="Y1404" t="s">
        <v>26650</v>
      </c>
      <c r="Z1404" t="s">
        <v>26659</v>
      </c>
      <c r="AB1404" t="s">
        <v>27973</v>
      </c>
      <c r="AC1404" t="s">
        <v>34931</v>
      </c>
      <c r="AD1404" t="s">
        <v>38023</v>
      </c>
      <c r="AE1404">
        <v>439</v>
      </c>
      <c r="AF1404" t="s">
        <v>45541</v>
      </c>
      <c r="AG1404" t="s">
        <v>45556</v>
      </c>
      <c r="AH1404">
        <v>7</v>
      </c>
      <c r="AI1404">
        <v>3</v>
      </c>
      <c r="AJ1404">
        <v>3</v>
      </c>
      <c r="AK1404">
        <v>0</v>
      </c>
      <c r="AN1404" t="s">
        <v>7439</v>
      </c>
      <c r="AO1404">
        <v>0</v>
      </c>
      <c r="AU1404">
        <v>42</v>
      </c>
      <c r="AV1404" t="s">
        <v>836</v>
      </c>
      <c r="AW1404" t="s">
        <v>336</v>
      </c>
    </row>
    <row r="1405" spans="1:49">
      <c r="A1405" s="1">
        <f>HYPERLINK("https://lsnyc.legalserver.org/matter/dynamic-profile/view/1868617","18-1868617")</f>
        <v>0</v>
      </c>
      <c r="B1405" t="s">
        <v>57</v>
      </c>
      <c r="C1405" t="s">
        <v>340</v>
      </c>
      <c r="D1405" t="s">
        <v>394</v>
      </c>
      <c r="F1405" t="s">
        <v>1756</v>
      </c>
      <c r="G1405" t="s">
        <v>1488</v>
      </c>
      <c r="H1405" t="s">
        <v>10816</v>
      </c>
      <c r="I1405" t="s">
        <v>17366</v>
      </c>
      <c r="J1405" t="s">
        <v>18892</v>
      </c>
      <c r="K1405">
        <v>10456</v>
      </c>
      <c r="L1405" t="s">
        <v>18958</v>
      </c>
      <c r="M1405" t="s">
        <v>18958</v>
      </c>
      <c r="N1405" t="s">
        <v>20014</v>
      </c>
      <c r="O1405" t="s">
        <v>26523</v>
      </c>
      <c r="P1405" t="s">
        <v>26560</v>
      </c>
      <c r="R1405" t="s">
        <v>26577</v>
      </c>
      <c r="S1405" t="s">
        <v>18959</v>
      </c>
      <c r="U1405" t="s">
        <v>26604</v>
      </c>
      <c r="V1405" t="s">
        <v>26609</v>
      </c>
      <c r="W1405" t="s">
        <v>593</v>
      </c>
      <c r="X1405">
        <v>208</v>
      </c>
      <c r="Y1405" t="s">
        <v>26650</v>
      </c>
      <c r="Z1405" t="s">
        <v>26656</v>
      </c>
      <c r="AB1405" t="s">
        <v>27974</v>
      </c>
      <c r="AD1405" t="s">
        <v>38024</v>
      </c>
      <c r="AE1405">
        <v>546</v>
      </c>
      <c r="AF1405" t="s">
        <v>45549</v>
      </c>
      <c r="AG1405" t="s">
        <v>19330</v>
      </c>
      <c r="AH1405">
        <v>64</v>
      </c>
      <c r="AI1405">
        <v>1</v>
      </c>
      <c r="AJ1405">
        <v>0</v>
      </c>
      <c r="AK1405">
        <v>46.26</v>
      </c>
      <c r="AN1405" t="s">
        <v>7439</v>
      </c>
      <c r="AO1405">
        <v>5616</v>
      </c>
      <c r="AU1405">
        <v>28.5</v>
      </c>
      <c r="AV1405" t="s">
        <v>792</v>
      </c>
      <c r="AW1405" t="s">
        <v>46854</v>
      </c>
    </row>
    <row r="1406" spans="1:49">
      <c r="A1406" s="1">
        <f>HYPERLINK("https://lsnyc.legalserver.org/matter/dynamic-profile/view/1868577","18-1868577")</f>
        <v>0</v>
      </c>
      <c r="B1406" t="s">
        <v>52</v>
      </c>
      <c r="C1406" t="s">
        <v>340</v>
      </c>
      <c r="D1406" t="s">
        <v>394</v>
      </c>
      <c r="F1406" t="s">
        <v>1009</v>
      </c>
      <c r="G1406" t="s">
        <v>5949</v>
      </c>
      <c r="H1406" t="s">
        <v>10817</v>
      </c>
      <c r="I1406" t="s">
        <v>17456</v>
      </c>
      <c r="J1406" t="s">
        <v>18892</v>
      </c>
      <c r="K1406">
        <v>10455</v>
      </c>
      <c r="L1406" t="s">
        <v>18958</v>
      </c>
      <c r="M1406" t="s">
        <v>18958</v>
      </c>
      <c r="N1406" t="s">
        <v>20015</v>
      </c>
      <c r="O1406" t="s">
        <v>26523</v>
      </c>
      <c r="P1406" t="s">
        <v>26560</v>
      </c>
      <c r="R1406" t="s">
        <v>26577</v>
      </c>
      <c r="S1406" t="s">
        <v>18959</v>
      </c>
      <c r="T1406" t="s">
        <v>26577</v>
      </c>
      <c r="U1406" t="s">
        <v>26604</v>
      </c>
      <c r="V1406" t="s">
        <v>26612</v>
      </c>
      <c r="W1406" t="s">
        <v>593</v>
      </c>
      <c r="X1406">
        <v>1515</v>
      </c>
      <c r="Y1406" t="s">
        <v>26650</v>
      </c>
      <c r="Z1406" t="s">
        <v>26659</v>
      </c>
      <c r="AB1406" t="s">
        <v>27846</v>
      </c>
      <c r="AC1406" t="s">
        <v>34932</v>
      </c>
      <c r="AD1406" t="s">
        <v>38025</v>
      </c>
      <c r="AE1406">
        <v>40</v>
      </c>
      <c r="AF1406" t="s">
        <v>45541</v>
      </c>
      <c r="AG1406" t="s">
        <v>45562</v>
      </c>
      <c r="AH1406">
        <v>3</v>
      </c>
      <c r="AI1406">
        <v>1</v>
      </c>
      <c r="AJ1406">
        <v>2</v>
      </c>
      <c r="AK1406">
        <v>12.01</v>
      </c>
      <c r="AN1406" t="s">
        <v>7439</v>
      </c>
      <c r="AO1406">
        <v>2496</v>
      </c>
      <c r="AU1406">
        <v>63.5</v>
      </c>
      <c r="AV1406" t="s">
        <v>833</v>
      </c>
      <c r="AW1406" t="s">
        <v>46861</v>
      </c>
    </row>
    <row r="1407" spans="1:49">
      <c r="A1407" s="1">
        <f>HYPERLINK("https://lsnyc.legalserver.org/matter/dynamic-profile/view/1868839","18-1868839")</f>
        <v>0</v>
      </c>
      <c r="B1407" t="s">
        <v>132</v>
      </c>
      <c r="C1407" t="s">
        <v>341</v>
      </c>
      <c r="D1407" t="s">
        <v>569</v>
      </c>
      <c r="E1407" t="s">
        <v>697</v>
      </c>
      <c r="F1407" t="s">
        <v>1688</v>
      </c>
      <c r="G1407" t="s">
        <v>5143</v>
      </c>
      <c r="H1407" t="s">
        <v>10818</v>
      </c>
      <c r="I1407" t="s">
        <v>17362</v>
      </c>
      <c r="J1407" t="s">
        <v>18894</v>
      </c>
      <c r="K1407">
        <v>11210</v>
      </c>
      <c r="L1407" t="s">
        <v>18958</v>
      </c>
      <c r="M1407" t="s">
        <v>18958</v>
      </c>
      <c r="N1407" t="s">
        <v>20016</v>
      </c>
      <c r="O1407" t="s">
        <v>26524</v>
      </c>
      <c r="P1407" t="s">
        <v>26560</v>
      </c>
      <c r="Q1407" t="s">
        <v>26573</v>
      </c>
      <c r="R1407" t="s">
        <v>26586</v>
      </c>
      <c r="U1407" t="s">
        <v>26604</v>
      </c>
      <c r="V1407" t="s">
        <v>26610</v>
      </c>
      <c r="W1407" t="s">
        <v>593</v>
      </c>
      <c r="X1407">
        <v>1470</v>
      </c>
      <c r="Y1407" t="s">
        <v>26652</v>
      </c>
      <c r="Z1407" t="s">
        <v>26662</v>
      </c>
      <c r="AA1407" t="s">
        <v>26678</v>
      </c>
      <c r="AB1407" t="s">
        <v>27975</v>
      </c>
      <c r="AC1407" t="s">
        <v>34933</v>
      </c>
      <c r="AD1407" t="s">
        <v>38026</v>
      </c>
      <c r="AE1407">
        <v>42</v>
      </c>
      <c r="AG1407" t="s">
        <v>45557</v>
      </c>
      <c r="AH1407">
        <v>2</v>
      </c>
      <c r="AI1407">
        <v>2</v>
      </c>
      <c r="AJ1407">
        <v>2</v>
      </c>
      <c r="AK1407">
        <v>119.52</v>
      </c>
      <c r="AN1407" t="s">
        <v>7439</v>
      </c>
      <c r="AO1407">
        <v>30000</v>
      </c>
      <c r="AQ1407" t="s">
        <v>46359</v>
      </c>
      <c r="AR1407" t="s">
        <v>46438</v>
      </c>
      <c r="AS1407" t="s">
        <v>46499</v>
      </c>
      <c r="AT1407" t="s">
        <v>46625</v>
      </c>
      <c r="AU1407">
        <v>49.5</v>
      </c>
      <c r="AV1407" t="s">
        <v>665</v>
      </c>
      <c r="AW1407" t="s">
        <v>281</v>
      </c>
    </row>
    <row r="1408" spans="1:49">
      <c r="A1408" s="1">
        <f>HYPERLINK("https://lsnyc.legalserver.org/matter/dynamic-profile/view/1869362","18-1869362")</f>
        <v>0</v>
      </c>
      <c r="B1408" t="s">
        <v>206</v>
      </c>
      <c r="C1408" t="s">
        <v>341</v>
      </c>
      <c r="D1408" t="s">
        <v>463</v>
      </c>
      <c r="E1408" t="s">
        <v>735</v>
      </c>
      <c r="F1408" t="s">
        <v>1757</v>
      </c>
      <c r="G1408" t="s">
        <v>5950</v>
      </c>
      <c r="H1408" t="s">
        <v>10819</v>
      </c>
      <c r="I1408" t="s">
        <v>17653</v>
      </c>
      <c r="J1408" t="s">
        <v>18894</v>
      </c>
      <c r="K1408">
        <v>11236</v>
      </c>
      <c r="L1408" t="s">
        <v>18958</v>
      </c>
      <c r="M1408" t="s">
        <v>18958</v>
      </c>
      <c r="N1408" t="s">
        <v>20017</v>
      </c>
      <c r="O1408" t="s">
        <v>26524</v>
      </c>
      <c r="P1408" t="s">
        <v>26560</v>
      </c>
      <c r="Q1408" t="s">
        <v>26568</v>
      </c>
      <c r="R1408" t="s">
        <v>26586</v>
      </c>
      <c r="S1408" t="s">
        <v>18959</v>
      </c>
      <c r="U1408" t="s">
        <v>26604</v>
      </c>
      <c r="W1408" t="s">
        <v>593</v>
      </c>
      <c r="X1408">
        <v>1275</v>
      </c>
      <c r="Y1408" t="s">
        <v>26652</v>
      </c>
      <c r="Z1408" t="s">
        <v>26662</v>
      </c>
      <c r="AA1408" t="s">
        <v>26679</v>
      </c>
      <c r="AB1408" t="s">
        <v>27976</v>
      </c>
      <c r="AC1408" t="s">
        <v>34934</v>
      </c>
      <c r="AD1408" t="s">
        <v>38027</v>
      </c>
      <c r="AE1408">
        <v>2</v>
      </c>
      <c r="AF1408" t="s">
        <v>45547</v>
      </c>
      <c r="AG1408" t="s">
        <v>19330</v>
      </c>
      <c r="AH1408">
        <v>7</v>
      </c>
      <c r="AI1408">
        <v>2</v>
      </c>
      <c r="AJ1408">
        <v>0</v>
      </c>
      <c r="AK1408">
        <v>182.26</v>
      </c>
      <c r="AN1408" t="s">
        <v>7439</v>
      </c>
      <c r="AO1408">
        <v>30000</v>
      </c>
      <c r="AU1408">
        <v>10</v>
      </c>
      <c r="AV1408" t="s">
        <v>454</v>
      </c>
      <c r="AW1408" t="s">
        <v>237</v>
      </c>
    </row>
    <row r="1409" spans="1:50">
      <c r="A1409" s="1">
        <f>HYPERLINK("https://lsnyc.legalserver.org/matter/dynamic-profile/view/1869463","18-1869463")</f>
        <v>0</v>
      </c>
      <c r="B1409" t="s">
        <v>204</v>
      </c>
      <c r="C1409" t="s">
        <v>341</v>
      </c>
      <c r="D1409" t="s">
        <v>397</v>
      </c>
      <c r="E1409" t="s">
        <v>518</v>
      </c>
      <c r="F1409" t="s">
        <v>1758</v>
      </c>
      <c r="G1409" t="s">
        <v>5951</v>
      </c>
      <c r="H1409" t="s">
        <v>9839</v>
      </c>
      <c r="I1409" t="s">
        <v>17309</v>
      </c>
      <c r="J1409" t="s">
        <v>18894</v>
      </c>
      <c r="K1409">
        <v>11224</v>
      </c>
      <c r="L1409" t="s">
        <v>18958</v>
      </c>
      <c r="M1409" t="s">
        <v>18958</v>
      </c>
      <c r="N1409" t="s">
        <v>20018</v>
      </c>
      <c r="O1409" t="s">
        <v>26523</v>
      </c>
      <c r="P1409" t="s">
        <v>26560</v>
      </c>
      <c r="Q1409" t="s">
        <v>26568</v>
      </c>
      <c r="R1409" t="s">
        <v>26586</v>
      </c>
      <c r="S1409" t="s">
        <v>18959</v>
      </c>
      <c r="U1409" t="s">
        <v>26604</v>
      </c>
      <c r="W1409" t="s">
        <v>593</v>
      </c>
      <c r="X1409">
        <v>1221</v>
      </c>
      <c r="Y1409" t="s">
        <v>26652</v>
      </c>
      <c r="Z1409" t="s">
        <v>26662</v>
      </c>
      <c r="AA1409" t="s">
        <v>26680</v>
      </c>
      <c r="AB1409" t="s">
        <v>27977</v>
      </c>
      <c r="AD1409" t="s">
        <v>38028</v>
      </c>
      <c r="AE1409">
        <v>150</v>
      </c>
      <c r="AG1409" t="s">
        <v>45556</v>
      </c>
      <c r="AH1409">
        <v>12</v>
      </c>
      <c r="AI1409">
        <v>1</v>
      </c>
      <c r="AJ1409">
        <v>0</v>
      </c>
      <c r="AK1409">
        <v>59.11</v>
      </c>
      <c r="AN1409" t="s">
        <v>7439</v>
      </c>
      <c r="AO1409">
        <v>7176</v>
      </c>
      <c r="AQ1409" t="s">
        <v>46359</v>
      </c>
      <c r="AR1409" t="s">
        <v>46379</v>
      </c>
      <c r="AS1409" t="s">
        <v>46499</v>
      </c>
      <c r="AT1409" t="s">
        <v>46560</v>
      </c>
      <c r="AU1409">
        <v>5</v>
      </c>
      <c r="AV1409" t="s">
        <v>518</v>
      </c>
      <c r="AW1409" t="s">
        <v>281</v>
      </c>
    </row>
    <row r="1410" spans="1:50">
      <c r="A1410" s="1">
        <f>HYPERLINK("https://lsnyc.legalserver.org/matter/dynamic-profile/view/1869577","18-1869577")</f>
        <v>0</v>
      </c>
      <c r="B1410" t="s">
        <v>158</v>
      </c>
      <c r="C1410" t="s">
        <v>341</v>
      </c>
      <c r="D1410" t="s">
        <v>514</v>
      </c>
      <c r="E1410" t="s">
        <v>494</v>
      </c>
      <c r="F1410" t="s">
        <v>1759</v>
      </c>
      <c r="G1410" t="s">
        <v>5952</v>
      </c>
      <c r="H1410" t="s">
        <v>10820</v>
      </c>
      <c r="J1410" t="s">
        <v>18894</v>
      </c>
      <c r="K1410">
        <v>11235</v>
      </c>
      <c r="L1410" t="s">
        <v>18958</v>
      </c>
      <c r="M1410" t="s">
        <v>18958</v>
      </c>
      <c r="N1410" t="s">
        <v>20019</v>
      </c>
      <c r="O1410" t="s">
        <v>26524</v>
      </c>
      <c r="P1410" t="s">
        <v>26564</v>
      </c>
      <c r="Q1410" t="s">
        <v>26570</v>
      </c>
      <c r="R1410" t="s">
        <v>26586</v>
      </c>
      <c r="U1410" t="s">
        <v>26604</v>
      </c>
      <c r="W1410" t="s">
        <v>593</v>
      </c>
      <c r="X1410">
        <v>0</v>
      </c>
      <c r="Y1410" t="s">
        <v>26652</v>
      </c>
      <c r="Z1410" t="s">
        <v>26662</v>
      </c>
      <c r="AA1410" t="s">
        <v>26683</v>
      </c>
      <c r="AB1410" t="s">
        <v>27978</v>
      </c>
      <c r="AD1410" t="s">
        <v>38029</v>
      </c>
      <c r="AE1410">
        <v>1</v>
      </c>
      <c r="AF1410" t="s">
        <v>45547</v>
      </c>
      <c r="AG1410" t="s">
        <v>19330</v>
      </c>
      <c r="AH1410">
        <v>16</v>
      </c>
      <c r="AI1410">
        <v>1</v>
      </c>
      <c r="AJ1410">
        <v>0</v>
      </c>
      <c r="AK1410">
        <v>74.14</v>
      </c>
      <c r="AN1410" t="s">
        <v>7439</v>
      </c>
      <c r="AO1410">
        <v>9000</v>
      </c>
      <c r="AU1410">
        <v>2.5</v>
      </c>
      <c r="AV1410" t="s">
        <v>494</v>
      </c>
      <c r="AW1410" t="s">
        <v>281</v>
      </c>
    </row>
    <row r="1411" spans="1:50">
      <c r="A1411" s="1">
        <f>HYPERLINK("https://lsnyc.legalserver.org/matter/dynamic-profile/view/1870305","18-1870305")</f>
        <v>0</v>
      </c>
      <c r="B1411" t="s">
        <v>87</v>
      </c>
      <c r="C1411" t="s">
        <v>340</v>
      </c>
      <c r="D1411" t="s">
        <v>399</v>
      </c>
      <c r="F1411" t="s">
        <v>1760</v>
      </c>
      <c r="G1411" t="s">
        <v>5953</v>
      </c>
      <c r="H1411" t="s">
        <v>10821</v>
      </c>
      <c r="I1411">
        <v>43</v>
      </c>
      <c r="J1411" t="s">
        <v>18892</v>
      </c>
      <c r="K1411">
        <v>10468</v>
      </c>
      <c r="L1411" t="s">
        <v>18958</v>
      </c>
      <c r="M1411" t="s">
        <v>18958</v>
      </c>
      <c r="N1411" t="s">
        <v>20020</v>
      </c>
      <c r="O1411" t="s">
        <v>26523</v>
      </c>
      <c r="P1411" t="s">
        <v>26560</v>
      </c>
      <c r="R1411" t="s">
        <v>26579</v>
      </c>
      <c r="U1411" t="s">
        <v>26604</v>
      </c>
      <c r="V1411" t="s">
        <v>26609</v>
      </c>
      <c r="W1411" t="s">
        <v>593</v>
      </c>
      <c r="X1411">
        <v>1515</v>
      </c>
      <c r="Y1411" t="s">
        <v>26650</v>
      </c>
      <c r="Z1411" t="s">
        <v>26662</v>
      </c>
      <c r="AB1411" t="s">
        <v>27979</v>
      </c>
      <c r="AC1411" t="s">
        <v>34935</v>
      </c>
      <c r="AD1411" t="s">
        <v>38030</v>
      </c>
      <c r="AE1411">
        <v>0</v>
      </c>
      <c r="AF1411" t="s">
        <v>45541</v>
      </c>
      <c r="AG1411" t="s">
        <v>45562</v>
      </c>
      <c r="AH1411">
        <v>3</v>
      </c>
      <c r="AI1411">
        <v>1</v>
      </c>
      <c r="AJ1411">
        <v>4</v>
      </c>
      <c r="AK1411">
        <v>39.16</v>
      </c>
      <c r="AN1411" t="s">
        <v>45581</v>
      </c>
      <c r="AO1411">
        <v>11520</v>
      </c>
      <c r="AU1411">
        <v>25.6</v>
      </c>
      <c r="AV1411" t="s">
        <v>780</v>
      </c>
      <c r="AW1411" t="s">
        <v>46848</v>
      </c>
    </row>
    <row r="1412" spans="1:50">
      <c r="A1412" s="1">
        <f>HYPERLINK("https://lsnyc.legalserver.org/matter/dynamic-profile/view/1870103","18-1870103")</f>
        <v>0</v>
      </c>
      <c r="B1412" t="s">
        <v>202</v>
      </c>
      <c r="C1412" t="s">
        <v>341</v>
      </c>
      <c r="D1412" t="s">
        <v>400</v>
      </c>
      <c r="E1412" t="s">
        <v>692</v>
      </c>
      <c r="F1412" t="s">
        <v>1761</v>
      </c>
      <c r="G1412" t="s">
        <v>5078</v>
      </c>
      <c r="H1412" t="s">
        <v>10822</v>
      </c>
      <c r="I1412">
        <v>2</v>
      </c>
      <c r="J1412" t="s">
        <v>18894</v>
      </c>
      <c r="K1412">
        <v>11235</v>
      </c>
      <c r="L1412" t="s">
        <v>18958</v>
      </c>
      <c r="M1412" t="s">
        <v>18958</v>
      </c>
      <c r="N1412" t="s">
        <v>20021</v>
      </c>
      <c r="O1412" t="s">
        <v>26524</v>
      </c>
      <c r="P1412" t="s">
        <v>26560</v>
      </c>
      <c r="Q1412" t="s">
        <v>26569</v>
      </c>
      <c r="R1412" t="s">
        <v>26586</v>
      </c>
      <c r="S1412" t="s">
        <v>18959</v>
      </c>
      <c r="U1412" t="s">
        <v>26604</v>
      </c>
      <c r="V1412" t="s">
        <v>26610</v>
      </c>
      <c r="W1412" t="s">
        <v>593</v>
      </c>
      <c r="X1412">
        <v>0</v>
      </c>
      <c r="Y1412" t="s">
        <v>26652</v>
      </c>
      <c r="Z1412" t="s">
        <v>26662</v>
      </c>
      <c r="AA1412" t="s">
        <v>26687</v>
      </c>
      <c r="AB1412" t="s">
        <v>27980</v>
      </c>
      <c r="AE1412">
        <v>3</v>
      </c>
      <c r="AF1412" t="s">
        <v>45547</v>
      </c>
      <c r="AG1412" t="s">
        <v>19330</v>
      </c>
      <c r="AH1412">
        <v>-1</v>
      </c>
      <c r="AI1412">
        <v>1</v>
      </c>
      <c r="AJ1412">
        <v>0</v>
      </c>
      <c r="AK1412">
        <v>15.82</v>
      </c>
      <c r="AN1412" t="s">
        <v>45581</v>
      </c>
      <c r="AO1412">
        <v>1920</v>
      </c>
      <c r="AQ1412" t="s">
        <v>46365</v>
      </c>
      <c r="AR1412" t="s">
        <v>26530</v>
      </c>
      <c r="AS1412" t="s">
        <v>46500</v>
      </c>
      <c r="AT1412" t="s">
        <v>46642</v>
      </c>
      <c r="AU1412">
        <v>35.1</v>
      </c>
      <c r="AV1412" t="s">
        <v>692</v>
      </c>
      <c r="AW1412" t="s">
        <v>281</v>
      </c>
    </row>
    <row r="1413" spans="1:50">
      <c r="A1413" s="1">
        <f>HYPERLINK("https://lsnyc.legalserver.org/matter/dynamic-profile/view/1870112","18-1870112")</f>
        <v>0</v>
      </c>
      <c r="B1413" t="s">
        <v>218</v>
      </c>
      <c r="C1413" t="s">
        <v>340</v>
      </c>
      <c r="D1413" t="s">
        <v>400</v>
      </c>
      <c r="F1413" t="s">
        <v>1762</v>
      </c>
      <c r="G1413" t="s">
        <v>5125</v>
      </c>
      <c r="H1413" t="s">
        <v>10823</v>
      </c>
      <c r="I1413">
        <v>54</v>
      </c>
      <c r="J1413" t="s">
        <v>18893</v>
      </c>
      <c r="K1413">
        <v>10034</v>
      </c>
      <c r="L1413" t="s">
        <v>18958</v>
      </c>
      <c r="M1413" t="s">
        <v>18960</v>
      </c>
      <c r="N1413" t="s">
        <v>20022</v>
      </c>
      <c r="O1413" t="s">
        <v>26526</v>
      </c>
      <c r="P1413" t="s">
        <v>26560</v>
      </c>
      <c r="R1413" t="s">
        <v>26578</v>
      </c>
      <c r="S1413" t="s">
        <v>18959</v>
      </c>
      <c r="U1413" t="s">
        <v>26604</v>
      </c>
      <c r="W1413" t="s">
        <v>593</v>
      </c>
      <c r="X1413">
        <v>819.0700000000001</v>
      </c>
      <c r="Y1413" t="s">
        <v>26651</v>
      </c>
      <c r="Z1413" t="s">
        <v>26659</v>
      </c>
      <c r="AB1413" t="s">
        <v>26746</v>
      </c>
      <c r="AD1413" t="s">
        <v>38031</v>
      </c>
      <c r="AE1413">
        <v>53</v>
      </c>
      <c r="AF1413" t="s">
        <v>45541</v>
      </c>
      <c r="AG1413" t="s">
        <v>19330</v>
      </c>
      <c r="AH1413">
        <v>0</v>
      </c>
      <c r="AI1413">
        <v>1</v>
      </c>
      <c r="AJ1413">
        <v>0</v>
      </c>
      <c r="AK1413">
        <v>128.5</v>
      </c>
      <c r="AN1413" t="s">
        <v>7439</v>
      </c>
      <c r="AO1413">
        <v>15600</v>
      </c>
      <c r="AU1413">
        <v>25.7</v>
      </c>
      <c r="AV1413" t="s">
        <v>807</v>
      </c>
      <c r="AW1413" t="s">
        <v>46840</v>
      </c>
    </row>
    <row r="1414" spans="1:50">
      <c r="A1414" s="1">
        <f>HYPERLINK("https://lsnyc.legalserver.org/matter/dynamic-profile/view/1870234","18-1870234")</f>
        <v>0</v>
      </c>
      <c r="B1414" t="s">
        <v>240</v>
      </c>
      <c r="C1414" t="s">
        <v>340</v>
      </c>
      <c r="D1414" t="s">
        <v>443</v>
      </c>
      <c r="F1414" t="s">
        <v>948</v>
      </c>
      <c r="G1414" t="s">
        <v>5954</v>
      </c>
      <c r="H1414" t="s">
        <v>10800</v>
      </c>
      <c r="I1414" t="s">
        <v>17654</v>
      </c>
      <c r="J1414" t="s">
        <v>18894</v>
      </c>
      <c r="K1414">
        <v>11225</v>
      </c>
      <c r="L1414" t="s">
        <v>18958</v>
      </c>
      <c r="M1414" t="s">
        <v>18958</v>
      </c>
      <c r="O1414" t="s">
        <v>26526</v>
      </c>
      <c r="P1414" t="s">
        <v>26560</v>
      </c>
      <c r="R1414" t="s">
        <v>26578</v>
      </c>
      <c r="S1414" t="s">
        <v>18958</v>
      </c>
      <c r="U1414" t="s">
        <v>26604</v>
      </c>
      <c r="W1414" t="s">
        <v>593</v>
      </c>
      <c r="X1414">
        <v>0</v>
      </c>
      <c r="Y1414" t="s">
        <v>26652</v>
      </c>
      <c r="Z1414" t="s">
        <v>26663</v>
      </c>
      <c r="AB1414" t="s">
        <v>27728</v>
      </c>
      <c r="AE1414">
        <v>47</v>
      </c>
      <c r="AF1414" t="s">
        <v>45541</v>
      </c>
      <c r="AH1414">
        <v>41</v>
      </c>
      <c r="AI1414">
        <v>3</v>
      </c>
      <c r="AJ1414">
        <v>2</v>
      </c>
      <c r="AK1414">
        <v>0</v>
      </c>
      <c r="AN1414" t="s">
        <v>7439</v>
      </c>
      <c r="AO1414">
        <v>0</v>
      </c>
      <c r="AU1414">
        <v>1.1</v>
      </c>
      <c r="AV1414" t="s">
        <v>689</v>
      </c>
      <c r="AW1414" t="s">
        <v>237</v>
      </c>
    </row>
    <row r="1415" spans="1:50">
      <c r="A1415" s="1">
        <f>HYPERLINK("https://lsnyc.legalserver.org/matter/dynamic-profile/view/1870199","18-1870199")</f>
        <v>0</v>
      </c>
      <c r="B1415" t="s">
        <v>240</v>
      </c>
      <c r="C1415" t="s">
        <v>340</v>
      </c>
      <c r="D1415" t="s">
        <v>443</v>
      </c>
      <c r="F1415" t="s">
        <v>979</v>
      </c>
      <c r="G1415" t="s">
        <v>5955</v>
      </c>
      <c r="H1415" t="s">
        <v>10800</v>
      </c>
      <c r="I1415" t="s">
        <v>17476</v>
      </c>
      <c r="J1415" t="s">
        <v>18894</v>
      </c>
      <c r="K1415">
        <v>11225</v>
      </c>
      <c r="L1415" t="s">
        <v>18958</v>
      </c>
      <c r="M1415" t="s">
        <v>18958</v>
      </c>
      <c r="O1415" t="s">
        <v>26526</v>
      </c>
      <c r="P1415" t="s">
        <v>26560</v>
      </c>
      <c r="R1415" t="s">
        <v>26578</v>
      </c>
      <c r="S1415" t="s">
        <v>18958</v>
      </c>
      <c r="T1415" t="s">
        <v>26601</v>
      </c>
      <c r="U1415" t="s">
        <v>26604</v>
      </c>
      <c r="W1415" t="s">
        <v>593</v>
      </c>
      <c r="X1415">
        <v>1214</v>
      </c>
      <c r="Y1415" t="s">
        <v>26652</v>
      </c>
      <c r="Z1415" t="s">
        <v>26663</v>
      </c>
      <c r="AB1415" t="s">
        <v>27981</v>
      </c>
      <c r="AE1415">
        <v>47</v>
      </c>
      <c r="AF1415" t="s">
        <v>45541</v>
      </c>
      <c r="AG1415" t="s">
        <v>19330</v>
      </c>
      <c r="AH1415">
        <v>30</v>
      </c>
      <c r="AI1415">
        <v>3</v>
      </c>
      <c r="AJ1415">
        <v>0</v>
      </c>
      <c r="AK1415">
        <v>192.49</v>
      </c>
      <c r="AN1415" t="s">
        <v>7439</v>
      </c>
      <c r="AO1415">
        <v>40000</v>
      </c>
      <c r="AU1415">
        <v>1</v>
      </c>
      <c r="AV1415" t="s">
        <v>443</v>
      </c>
      <c r="AW1415" t="s">
        <v>237</v>
      </c>
    </row>
    <row r="1416" spans="1:50">
      <c r="A1416" s="1">
        <f>HYPERLINK("https://lsnyc.legalserver.org/matter/dynamic-profile/view/1870722","18-1870722")</f>
        <v>0</v>
      </c>
      <c r="B1416" t="s">
        <v>68</v>
      </c>
      <c r="C1416" t="s">
        <v>341</v>
      </c>
      <c r="D1416" t="s">
        <v>401</v>
      </c>
      <c r="E1416" t="s">
        <v>816</v>
      </c>
      <c r="F1416" t="s">
        <v>1763</v>
      </c>
      <c r="G1416" t="s">
        <v>5956</v>
      </c>
      <c r="H1416" t="s">
        <v>10824</v>
      </c>
      <c r="I1416" t="s">
        <v>17344</v>
      </c>
      <c r="J1416" t="s">
        <v>18892</v>
      </c>
      <c r="K1416">
        <v>10457</v>
      </c>
      <c r="L1416" t="s">
        <v>18958</v>
      </c>
      <c r="M1416" t="s">
        <v>18958</v>
      </c>
      <c r="N1416" t="s">
        <v>20023</v>
      </c>
      <c r="O1416" t="s">
        <v>26523</v>
      </c>
      <c r="P1416" t="s">
        <v>26560</v>
      </c>
      <c r="Q1416" t="s">
        <v>26568</v>
      </c>
      <c r="R1416" t="s">
        <v>26579</v>
      </c>
      <c r="S1416" t="s">
        <v>18959</v>
      </c>
      <c r="U1416" t="s">
        <v>26604</v>
      </c>
      <c r="V1416" t="s">
        <v>26610</v>
      </c>
      <c r="W1416" t="s">
        <v>593</v>
      </c>
      <c r="X1416">
        <v>1200</v>
      </c>
      <c r="Y1416" t="s">
        <v>26650</v>
      </c>
      <c r="Z1416" t="s">
        <v>26662</v>
      </c>
      <c r="AA1416" t="s">
        <v>26678</v>
      </c>
      <c r="AB1416" t="s">
        <v>27081</v>
      </c>
      <c r="AC1416" t="s">
        <v>34936</v>
      </c>
      <c r="AD1416" t="s">
        <v>38032</v>
      </c>
      <c r="AE1416">
        <v>42</v>
      </c>
      <c r="AF1416" t="s">
        <v>20460</v>
      </c>
      <c r="AG1416" t="s">
        <v>19330</v>
      </c>
      <c r="AH1416">
        <v>4</v>
      </c>
      <c r="AI1416">
        <v>2</v>
      </c>
      <c r="AJ1416">
        <v>2</v>
      </c>
      <c r="AK1416">
        <v>75.06</v>
      </c>
      <c r="AN1416" t="s">
        <v>45581</v>
      </c>
      <c r="AO1416">
        <v>18840</v>
      </c>
      <c r="AP1416" t="s">
        <v>45627</v>
      </c>
      <c r="AR1416" t="s">
        <v>46380</v>
      </c>
      <c r="AS1416" t="s">
        <v>46499</v>
      </c>
      <c r="AT1416" t="s">
        <v>46697</v>
      </c>
      <c r="AU1416">
        <v>7.8</v>
      </c>
      <c r="AV1416" t="s">
        <v>687</v>
      </c>
      <c r="AW1416" t="s">
        <v>46848</v>
      </c>
    </row>
    <row r="1417" spans="1:50">
      <c r="A1417" s="1">
        <f>HYPERLINK("https://lsnyc.legalserver.org/matter/dynamic-profile/view/1870668","18-1870668")</f>
        <v>0</v>
      </c>
      <c r="B1417" t="s">
        <v>206</v>
      </c>
      <c r="C1417" t="s">
        <v>341</v>
      </c>
      <c r="D1417" t="s">
        <v>433</v>
      </c>
      <c r="E1417" t="s">
        <v>688</v>
      </c>
      <c r="F1417" t="s">
        <v>1206</v>
      </c>
      <c r="G1417" t="s">
        <v>5121</v>
      </c>
      <c r="H1417" t="s">
        <v>10825</v>
      </c>
      <c r="I1417" t="s">
        <v>17655</v>
      </c>
      <c r="J1417" t="s">
        <v>18894</v>
      </c>
      <c r="K1417">
        <v>11219</v>
      </c>
      <c r="L1417" t="s">
        <v>18958</v>
      </c>
      <c r="M1417" t="s">
        <v>18958</v>
      </c>
      <c r="N1417" t="s">
        <v>20024</v>
      </c>
      <c r="O1417" t="s">
        <v>26523</v>
      </c>
      <c r="P1417" t="s">
        <v>26560</v>
      </c>
      <c r="Q1417" t="s">
        <v>26568</v>
      </c>
      <c r="R1417" t="s">
        <v>26586</v>
      </c>
      <c r="S1417" t="s">
        <v>18959</v>
      </c>
      <c r="U1417" t="s">
        <v>26604</v>
      </c>
      <c r="W1417" t="s">
        <v>593</v>
      </c>
      <c r="X1417">
        <v>706.8200000000001</v>
      </c>
      <c r="Y1417" t="s">
        <v>26652</v>
      </c>
      <c r="Z1417" t="s">
        <v>26656</v>
      </c>
      <c r="AA1417" t="s">
        <v>26691</v>
      </c>
      <c r="AB1417" t="s">
        <v>27982</v>
      </c>
      <c r="AC1417" t="s">
        <v>34937</v>
      </c>
      <c r="AD1417" t="s">
        <v>38033</v>
      </c>
      <c r="AE1417">
        <v>67</v>
      </c>
      <c r="AF1417" t="s">
        <v>45541</v>
      </c>
      <c r="AH1417">
        <v>32</v>
      </c>
      <c r="AI1417">
        <v>3</v>
      </c>
      <c r="AJ1417">
        <v>1</v>
      </c>
      <c r="AK1417">
        <v>151.49</v>
      </c>
      <c r="AN1417" t="s">
        <v>7439</v>
      </c>
      <c r="AO1417">
        <v>38024</v>
      </c>
      <c r="AU1417">
        <v>28.25</v>
      </c>
      <c r="AV1417" t="s">
        <v>408</v>
      </c>
      <c r="AW1417" t="s">
        <v>237</v>
      </c>
    </row>
    <row r="1418" spans="1:50">
      <c r="A1418" s="1">
        <f>HYPERLINK("https://lsnyc.legalserver.org/matter/dynamic-profile/view/1870730","18-1870730")</f>
        <v>0</v>
      </c>
      <c r="B1418" t="s">
        <v>241</v>
      </c>
      <c r="C1418" t="s">
        <v>341</v>
      </c>
      <c r="D1418" t="s">
        <v>402</v>
      </c>
      <c r="E1418" t="s">
        <v>534</v>
      </c>
      <c r="F1418" t="s">
        <v>887</v>
      </c>
      <c r="G1418" t="s">
        <v>5957</v>
      </c>
      <c r="H1418" t="s">
        <v>10826</v>
      </c>
      <c r="I1418" t="s">
        <v>17656</v>
      </c>
      <c r="J1418" t="s">
        <v>18894</v>
      </c>
      <c r="K1418">
        <v>11213</v>
      </c>
      <c r="L1418" t="s">
        <v>18958</v>
      </c>
      <c r="M1418" t="s">
        <v>18958</v>
      </c>
      <c r="N1418" t="s">
        <v>20025</v>
      </c>
      <c r="O1418" t="s">
        <v>26526</v>
      </c>
      <c r="P1418" t="s">
        <v>26564</v>
      </c>
      <c r="Q1418" t="s">
        <v>26570</v>
      </c>
      <c r="R1418" t="s">
        <v>26586</v>
      </c>
      <c r="S1418" t="s">
        <v>18959</v>
      </c>
      <c r="U1418" t="s">
        <v>26604</v>
      </c>
      <c r="V1418" t="s">
        <v>26610</v>
      </c>
      <c r="W1418" t="s">
        <v>593</v>
      </c>
      <c r="X1418">
        <v>250</v>
      </c>
      <c r="Y1418" t="s">
        <v>26652</v>
      </c>
      <c r="Z1418" t="s">
        <v>26662</v>
      </c>
      <c r="AA1418" t="s">
        <v>26683</v>
      </c>
      <c r="AB1418" t="s">
        <v>27983</v>
      </c>
      <c r="AC1418" t="s">
        <v>34938</v>
      </c>
      <c r="AD1418" t="s">
        <v>38034</v>
      </c>
      <c r="AE1418">
        <v>97</v>
      </c>
      <c r="AF1418" t="s">
        <v>20460</v>
      </c>
      <c r="AG1418" t="s">
        <v>19330</v>
      </c>
      <c r="AH1418">
        <v>1</v>
      </c>
      <c r="AI1418">
        <v>1</v>
      </c>
      <c r="AJ1418">
        <v>0</v>
      </c>
      <c r="AK1418">
        <v>79.87</v>
      </c>
      <c r="AN1418" t="s">
        <v>45598</v>
      </c>
      <c r="AO1418">
        <v>9696</v>
      </c>
      <c r="AU1418">
        <v>1.2</v>
      </c>
      <c r="AV1418" t="s">
        <v>431</v>
      </c>
      <c r="AW1418" t="s">
        <v>281</v>
      </c>
    </row>
    <row r="1419" spans="1:50">
      <c r="A1419" s="1">
        <f>HYPERLINK("https://lsnyc.legalserver.org/matter/dynamic-profile/view/1870700","18-1870700")</f>
        <v>0</v>
      </c>
      <c r="B1419" t="s">
        <v>230</v>
      </c>
      <c r="C1419" t="s">
        <v>341</v>
      </c>
      <c r="D1419" t="s">
        <v>402</v>
      </c>
      <c r="E1419" t="s">
        <v>827</v>
      </c>
      <c r="F1419" t="s">
        <v>1764</v>
      </c>
      <c r="G1419" t="s">
        <v>5958</v>
      </c>
      <c r="H1419" t="s">
        <v>10827</v>
      </c>
      <c r="I1419" t="s">
        <v>17397</v>
      </c>
      <c r="J1419" t="s">
        <v>18894</v>
      </c>
      <c r="K1419">
        <v>11229</v>
      </c>
      <c r="L1419" t="s">
        <v>18958</v>
      </c>
      <c r="M1419" t="s">
        <v>18958</v>
      </c>
      <c r="N1419" t="s">
        <v>20026</v>
      </c>
      <c r="O1419" t="s">
        <v>26524</v>
      </c>
      <c r="P1419" t="s">
        <v>26560</v>
      </c>
      <c r="Q1419" t="s">
        <v>26568</v>
      </c>
      <c r="R1419" t="s">
        <v>26586</v>
      </c>
      <c r="S1419" t="s">
        <v>18959</v>
      </c>
      <c r="U1419" t="s">
        <v>26604</v>
      </c>
      <c r="V1419" t="s">
        <v>26610</v>
      </c>
      <c r="W1419" t="s">
        <v>593</v>
      </c>
      <c r="X1419">
        <v>1175</v>
      </c>
      <c r="Y1419" t="s">
        <v>26652</v>
      </c>
      <c r="Z1419" t="s">
        <v>26662</v>
      </c>
      <c r="AA1419" t="s">
        <v>26679</v>
      </c>
      <c r="AB1419" t="s">
        <v>27984</v>
      </c>
      <c r="AD1419" t="s">
        <v>38035</v>
      </c>
      <c r="AE1419">
        <v>76</v>
      </c>
      <c r="AG1419" t="s">
        <v>19330</v>
      </c>
      <c r="AH1419">
        <v>2</v>
      </c>
      <c r="AI1419">
        <v>1</v>
      </c>
      <c r="AJ1419">
        <v>1</v>
      </c>
      <c r="AK1419">
        <v>69.87</v>
      </c>
      <c r="AN1419" t="s">
        <v>7439</v>
      </c>
      <c r="AO1419">
        <v>11500</v>
      </c>
      <c r="AQ1419" t="s">
        <v>46366</v>
      </c>
      <c r="AR1419" t="s">
        <v>26530</v>
      </c>
      <c r="AS1419" t="s">
        <v>46500</v>
      </c>
      <c r="AT1419" t="s">
        <v>46698</v>
      </c>
      <c r="AU1419">
        <v>38.2</v>
      </c>
      <c r="AV1419" t="s">
        <v>698</v>
      </c>
      <c r="AW1419" t="s">
        <v>281</v>
      </c>
      <c r="AX1419" t="s">
        <v>46897</v>
      </c>
    </row>
    <row r="1420" spans="1:50">
      <c r="A1420" s="1">
        <f>HYPERLINK("https://lsnyc.legalserver.org/matter/dynamic-profile/view/1870754","18-1870754")</f>
        <v>0</v>
      </c>
      <c r="B1420" t="s">
        <v>128</v>
      </c>
      <c r="C1420" t="s">
        <v>341</v>
      </c>
      <c r="D1420" t="s">
        <v>548</v>
      </c>
      <c r="E1420" t="s">
        <v>646</v>
      </c>
      <c r="F1420" t="s">
        <v>1246</v>
      </c>
      <c r="G1420" t="s">
        <v>4381</v>
      </c>
      <c r="H1420" t="s">
        <v>10828</v>
      </c>
      <c r="I1420" t="s">
        <v>17657</v>
      </c>
      <c r="J1420" t="s">
        <v>18894</v>
      </c>
      <c r="K1420">
        <v>11225</v>
      </c>
      <c r="L1420" t="s">
        <v>18958</v>
      </c>
      <c r="M1420" t="s">
        <v>18958</v>
      </c>
      <c r="N1420" t="s">
        <v>20027</v>
      </c>
      <c r="O1420" t="s">
        <v>26524</v>
      </c>
      <c r="P1420" t="s">
        <v>26560</v>
      </c>
      <c r="Q1420" t="s">
        <v>26575</v>
      </c>
      <c r="R1420" t="s">
        <v>26588</v>
      </c>
      <c r="S1420" t="s">
        <v>18959</v>
      </c>
      <c r="U1420" t="s">
        <v>26604</v>
      </c>
      <c r="V1420" t="s">
        <v>26610</v>
      </c>
      <c r="W1420" t="s">
        <v>593</v>
      </c>
      <c r="X1420">
        <v>1068</v>
      </c>
      <c r="Y1420" t="s">
        <v>26652</v>
      </c>
      <c r="Z1420" t="s">
        <v>26669</v>
      </c>
      <c r="AA1420" t="s">
        <v>26678</v>
      </c>
      <c r="AB1420" t="s">
        <v>27985</v>
      </c>
      <c r="AD1420" t="s">
        <v>38036</v>
      </c>
      <c r="AE1420">
        <v>40</v>
      </c>
      <c r="AF1420" t="s">
        <v>45541</v>
      </c>
      <c r="AG1420" t="s">
        <v>19330</v>
      </c>
      <c r="AH1420">
        <v>21</v>
      </c>
      <c r="AI1420">
        <v>3</v>
      </c>
      <c r="AJ1420">
        <v>2</v>
      </c>
      <c r="AK1420">
        <v>147.04</v>
      </c>
      <c r="AN1420" t="s">
        <v>7439</v>
      </c>
      <c r="AO1420">
        <v>43260</v>
      </c>
      <c r="AQ1420" t="s">
        <v>46361</v>
      </c>
      <c r="AR1420" t="s">
        <v>26530</v>
      </c>
      <c r="AS1420" t="s">
        <v>46499</v>
      </c>
      <c r="AT1420" t="s">
        <v>46591</v>
      </c>
      <c r="AU1420">
        <v>23.8</v>
      </c>
      <c r="AV1420" t="s">
        <v>646</v>
      </c>
      <c r="AW1420" t="s">
        <v>46853</v>
      </c>
    </row>
    <row r="1421" spans="1:50">
      <c r="A1421" s="1">
        <f>HYPERLINK("https://lsnyc.legalserver.org/matter/dynamic-profile/view/1870769","18-1870769")</f>
        <v>0</v>
      </c>
      <c r="B1421" t="s">
        <v>148</v>
      </c>
      <c r="C1421" t="s">
        <v>341</v>
      </c>
      <c r="D1421" t="s">
        <v>403</v>
      </c>
      <c r="E1421" t="s">
        <v>788</v>
      </c>
      <c r="F1421" t="s">
        <v>1021</v>
      </c>
      <c r="G1421" t="s">
        <v>5959</v>
      </c>
      <c r="H1421" t="s">
        <v>10829</v>
      </c>
      <c r="I1421">
        <v>205</v>
      </c>
      <c r="J1421" t="s">
        <v>18894</v>
      </c>
      <c r="K1421">
        <v>11221</v>
      </c>
      <c r="L1421" t="s">
        <v>18958</v>
      </c>
      <c r="M1421" t="s">
        <v>18958</v>
      </c>
      <c r="N1421" t="s">
        <v>20028</v>
      </c>
      <c r="O1421" t="s">
        <v>26523</v>
      </c>
      <c r="P1421" t="s">
        <v>26560</v>
      </c>
      <c r="Q1421" t="s">
        <v>26573</v>
      </c>
      <c r="R1421" t="s">
        <v>26588</v>
      </c>
      <c r="U1421" t="s">
        <v>26604</v>
      </c>
      <c r="V1421" t="s">
        <v>26610</v>
      </c>
      <c r="W1421" t="s">
        <v>593</v>
      </c>
      <c r="X1421">
        <v>3300</v>
      </c>
      <c r="Y1421" t="s">
        <v>26652</v>
      </c>
      <c r="Z1421" t="s">
        <v>26669</v>
      </c>
      <c r="AA1421" t="s">
        <v>26679</v>
      </c>
      <c r="AB1421" t="s">
        <v>27986</v>
      </c>
      <c r="AD1421" t="s">
        <v>38037</v>
      </c>
      <c r="AE1421">
        <v>0</v>
      </c>
      <c r="AG1421" t="s">
        <v>19330</v>
      </c>
      <c r="AH1421">
        <v>1</v>
      </c>
      <c r="AI1421">
        <v>1</v>
      </c>
      <c r="AJ1421">
        <v>0</v>
      </c>
      <c r="AK1421">
        <v>0</v>
      </c>
      <c r="AN1421" t="s">
        <v>7439</v>
      </c>
      <c r="AO1421">
        <v>0</v>
      </c>
      <c r="AQ1421" t="s">
        <v>46359</v>
      </c>
      <c r="AR1421" t="s">
        <v>46381</v>
      </c>
      <c r="AS1421" t="s">
        <v>46500</v>
      </c>
      <c r="AT1421" t="s">
        <v>46544</v>
      </c>
      <c r="AU1421">
        <v>8.699999999999999</v>
      </c>
      <c r="AV1421" t="s">
        <v>451</v>
      </c>
      <c r="AW1421" t="s">
        <v>281</v>
      </c>
    </row>
    <row r="1422" spans="1:50">
      <c r="A1422" s="1">
        <f>HYPERLINK("https://lsnyc.legalserver.org/matter/dynamic-profile/view/1870805","18-1870805")</f>
        <v>0</v>
      </c>
      <c r="B1422" t="s">
        <v>148</v>
      </c>
      <c r="C1422" t="s">
        <v>340</v>
      </c>
      <c r="D1422" t="s">
        <v>403</v>
      </c>
      <c r="F1422" t="s">
        <v>1765</v>
      </c>
      <c r="G1422" t="s">
        <v>5960</v>
      </c>
      <c r="H1422" t="s">
        <v>10830</v>
      </c>
      <c r="I1422" t="s">
        <v>17566</v>
      </c>
      <c r="J1422" t="s">
        <v>18894</v>
      </c>
      <c r="K1422">
        <v>11223</v>
      </c>
      <c r="L1422" t="s">
        <v>18958</v>
      </c>
      <c r="M1422" t="s">
        <v>18958</v>
      </c>
      <c r="N1422" t="s">
        <v>20029</v>
      </c>
      <c r="O1422" t="s">
        <v>26523</v>
      </c>
      <c r="P1422" t="s">
        <v>26560</v>
      </c>
      <c r="R1422" t="s">
        <v>26586</v>
      </c>
      <c r="U1422" t="s">
        <v>26605</v>
      </c>
      <c r="V1422" t="s">
        <v>26610</v>
      </c>
      <c r="W1422" t="s">
        <v>593</v>
      </c>
      <c r="X1422">
        <v>758</v>
      </c>
      <c r="Y1422" t="s">
        <v>26652</v>
      </c>
      <c r="Z1422" t="s">
        <v>26662</v>
      </c>
      <c r="AB1422" t="s">
        <v>27987</v>
      </c>
      <c r="AD1422" t="s">
        <v>38038</v>
      </c>
      <c r="AE1422">
        <v>127</v>
      </c>
      <c r="AF1422" t="s">
        <v>45549</v>
      </c>
      <c r="AH1422">
        <v>6</v>
      </c>
      <c r="AI1422">
        <v>1</v>
      </c>
      <c r="AJ1422">
        <v>0</v>
      </c>
      <c r="AK1422">
        <v>36.67</v>
      </c>
      <c r="AN1422" t="s">
        <v>7439</v>
      </c>
      <c r="AO1422">
        <v>4452</v>
      </c>
      <c r="AQ1422" t="s">
        <v>46359</v>
      </c>
      <c r="AR1422" t="s">
        <v>26530</v>
      </c>
      <c r="AU1422">
        <v>17.3</v>
      </c>
      <c r="AV1422" t="s">
        <v>805</v>
      </c>
      <c r="AW1422" t="s">
        <v>281</v>
      </c>
    </row>
    <row r="1423" spans="1:50">
      <c r="A1423" s="1">
        <f>HYPERLINK("https://lsnyc.legalserver.org/matter/dynamic-profile/view/1870887","18-1870887")</f>
        <v>0</v>
      </c>
      <c r="B1423" t="s">
        <v>167</v>
      </c>
      <c r="C1423" t="s">
        <v>340</v>
      </c>
      <c r="D1423" t="s">
        <v>404</v>
      </c>
      <c r="F1423" t="s">
        <v>1417</v>
      </c>
      <c r="G1423" t="s">
        <v>5147</v>
      </c>
      <c r="H1423" t="s">
        <v>10831</v>
      </c>
      <c r="I1423" t="s">
        <v>17360</v>
      </c>
      <c r="J1423" t="s">
        <v>18894</v>
      </c>
      <c r="K1423">
        <v>11206</v>
      </c>
      <c r="L1423" t="s">
        <v>18958</v>
      </c>
      <c r="M1423" t="s">
        <v>18958</v>
      </c>
      <c r="N1423" t="s">
        <v>20030</v>
      </c>
      <c r="O1423" t="s">
        <v>26524</v>
      </c>
      <c r="P1423" t="s">
        <v>26560</v>
      </c>
      <c r="R1423" t="s">
        <v>26586</v>
      </c>
      <c r="S1423" t="s">
        <v>18959</v>
      </c>
      <c r="U1423" t="s">
        <v>26605</v>
      </c>
      <c r="W1423" t="s">
        <v>593</v>
      </c>
      <c r="X1423">
        <v>265.1</v>
      </c>
      <c r="Y1423" t="s">
        <v>26652</v>
      </c>
      <c r="Z1423" t="s">
        <v>26662</v>
      </c>
      <c r="AB1423" t="s">
        <v>27988</v>
      </c>
      <c r="AD1423" t="s">
        <v>38039</v>
      </c>
      <c r="AE1423">
        <v>0</v>
      </c>
      <c r="AF1423" t="s">
        <v>45549</v>
      </c>
      <c r="AG1423" t="s">
        <v>19330</v>
      </c>
      <c r="AH1423">
        <v>19</v>
      </c>
      <c r="AI1423">
        <v>2</v>
      </c>
      <c r="AJ1423">
        <v>0</v>
      </c>
      <c r="AK1423">
        <v>63.43</v>
      </c>
      <c r="AN1423" t="s">
        <v>7439</v>
      </c>
      <c r="AO1423">
        <v>10440</v>
      </c>
      <c r="AU1423">
        <v>24.9</v>
      </c>
      <c r="AV1423" t="s">
        <v>805</v>
      </c>
      <c r="AW1423" t="s">
        <v>281</v>
      </c>
    </row>
    <row r="1424" spans="1:50">
      <c r="A1424" s="1">
        <f>HYPERLINK("https://lsnyc.legalserver.org/matter/dynamic-profile/view/1870986","18-1870986")</f>
        <v>0</v>
      </c>
      <c r="B1424" t="s">
        <v>206</v>
      </c>
      <c r="C1424" t="s">
        <v>341</v>
      </c>
      <c r="D1424" t="s">
        <v>405</v>
      </c>
      <c r="E1424" t="s">
        <v>677</v>
      </c>
      <c r="F1424" t="s">
        <v>941</v>
      </c>
      <c r="G1424" t="s">
        <v>5961</v>
      </c>
      <c r="H1424" t="s">
        <v>10832</v>
      </c>
      <c r="I1424">
        <v>3</v>
      </c>
      <c r="J1424" t="s">
        <v>18894</v>
      </c>
      <c r="K1424">
        <v>11230</v>
      </c>
      <c r="L1424" t="s">
        <v>18958</v>
      </c>
      <c r="M1424" t="s">
        <v>18958</v>
      </c>
      <c r="N1424" t="s">
        <v>20031</v>
      </c>
      <c r="O1424" t="s">
        <v>26523</v>
      </c>
      <c r="P1424" t="s">
        <v>26564</v>
      </c>
      <c r="Q1424" t="s">
        <v>26570</v>
      </c>
      <c r="R1424" t="s">
        <v>26586</v>
      </c>
      <c r="U1424" t="s">
        <v>26604</v>
      </c>
      <c r="W1424" t="s">
        <v>593</v>
      </c>
      <c r="X1424">
        <v>1900</v>
      </c>
      <c r="Y1424" t="s">
        <v>26652</v>
      </c>
      <c r="Z1424" t="s">
        <v>26662</v>
      </c>
      <c r="AA1424" t="s">
        <v>26683</v>
      </c>
      <c r="AB1424" t="s">
        <v>27989</v>
      </c>
      <c r="AE1424">
        <v>0</v>
      </c>
      <c r="AG1424" t="s">
        <v>19330</v>
      </c>
      <c r="AH1424">
        <v>0</v>
      </c>
      <c r="AI1424">
        <v>3</v>
      </c>
      <c r="AJ1424">
        <v>3</v>
      </c>
      <c r="AK1424">
        <v>92.47</v>
      </c>
      <c r="AN1424" t="s">
        <v>45581</v>
      </c>
      <c r="AO1424">
        <v>31200</v>
      </c>
      <c r="AU1424">
        <v>3.75</v>
      </c>
      <c r="AV1424" t="s">
        <v>540</v>
      </c>
      <c r="AW1424" t="s">
        <v>281</v>
      </c>
      <c r="AX1424" t="s">
        <v>46897</v>
      </c>
    </row>
    <row r="1425" spans="1:50">
      <c r="A1425" s="1">
        <f>HYPERLINK("https://lsnyc.legalserver.org/matter/dynamic-profile/view/1871156","18-1871156")</f>
        <v>0</v>
      </c>
      <c r="B1425" t="s">
        <v>132</v>
      </c>
      <c r="C1425" t="s">
        <v>341</v>
      </c>
      <c r="D1425" t="s">
        <v>406</v>
      </c>
      <c r="E1425" t="s">
        <v>697</v>
      </c>
      <c r="F1425" t="s">
        <v>1766</v>
      </c>
      <c r="G1425" t="s">
        <v>5962</v>
      </c>
      <c r="H1425" t="s">
        <v>10833</v>
      </c>
      <c r="I1425" t="s">
        <v>17364</v>
      </c>
      <c r="J1425" t="s">
        <v>18894</v>
      </c>
      <c r="K1425">
        <v>11206</v>
      </c>
      <c r="L1425" t="s">
        <v>18958</v>
      </c>
      <c r="M1425" t="s">
        <v>18958</v>
      </c>
      <c r="N1425" t="s">
        <v>20032</v>
      </c>
      <c r="O1425" t="s">
        <v>26523</v>
      </c>
      <c r="P1425" t="s">
        <v>26560</v>
      </c>
      <c r="Q1425" t="s">
        <v>26573</v>
      </c>
      <c r="R1425" t="s">
        <v>26586</v>
      </c>
      <c r="S1425" t="s">
        <v>18959</v>
      </c>
      <c r="U1425" t="s">
        <v>26606</v>
      </c>
      <c r="W1425" t="s">
        <v>593</v>
      </c>
      <c r="X1425">
        <v>1134.61</v>
      </c>
      <c r="Y1425" t="s">
        <v>26652</v>
      </c>
      <c r="Z1425" t="s">
        <v>26664</v>
      </c>
      <c r="AA1425" t="s">
        <v>26678</v>
      </c>
      <c r="AB1425" t="s">
        <v>27990</v>
      </c>
      <c r="AD1425" t="s">
        <v>38040</v>
      </c>
      <c r="AE1425">
        <v>20</v>
      </c>
      <c r="AF1425" t="s">
        <v>45544</v>
      </c>
      <c r="AG1425" t="s">
        <v>45557</v>
      </c>
      <c r="AH1425">
        <v>8</v>
      </c>
      <c r="AI1425">
        <v>1</v>
      </c>
      <c r="AJ1425">
        <v>3</v>
      </c>
      <c r="AK1425">
        <v>0</v>
      </c>
      <c r="AN1425" t="s">
        <v>7439</v>
      </c>
      <c r="AO1425">
        <v>0</v>
      </c>
      <c r="AQ1425" t="s">
        <v>46365</v>
      </c>
      <c r="AR1425" t="s">
        <v>46410</v>
      </c>
      <c r="AS1425" t="s">
        <v>46499</v>
      </c>
      <c r="AT1425" t="s">
        <v>46535</v>
      </c>
      <c r="AU1425">
        <v>53.5</v>
      </c>
      <c r="AV1425" t="s">
        <v>667</v>
      </c>
      <c r="AW1425" t="s">
        <v>237</v>
      </c>
    </row>
    <row r="1426" spans="1:50">
      <c r="A1426" s="1">
        <f>HYPERLINK("https://lsnyc.legalserver.org/matter/dynamic-profile/view/1871229","18-1871229")</f>
        <v>0</v>
      </c>
      <c r="B1426" t="s">
        <v>232</v>
      </c>
      <c r="C1426" t="s">
        <v>341</v>
      </c>
      <c r="D1426" t="s">
        <v>407</v>
      </c>
      <c r="E1426" t="s">
        <v>724</v>
      </c>
      <c r="F1426" t="s">
        <v>1225</v>
      </c>
      <c r="G1426" t="s">
        <v>3599</v>
      </c>
      <c r="H1426" t="s">
        <v>10834</v>
      </c>
      <c r="I1426" t="s">
        <v>17298</v>
      </c>
      <c r="J1426" t="s">
        <v>18894</v>
      </c>
      <c r="K1426">
        <v>11216</v>
      </c>
      <c r="L1426" t="s">
        <v>18958</v>
      </c>
      <c r="M1426" t="s">
        <v>18958</v>
      </c>
      <c r="N1426" t="s">
        <v>20033</v>
      </c>
      <c r="O1426" t="s">
        <v>26523</v>
      </c>
      <c r="P1426" t="s">
        <v>26560</v>
      </c>
      <c r="Q1426" t="s">
        <v>26568</v>
      </c>
      <c r="R1426" t="s">
        <v>26588</v>
      </c>
      <c r="U1426" t="s">
        <v>26604</v>
      </c>
      <c r="W1426" t="s">
        <v>593</v>
      </c>
      <c r="X1426">
        <v>2085</v>
      </c>
      <c r="Y1426" t="s">
        <v>26652</v>
      </c>
      <c r="Z1426" t="s">
        <v>26669</v>
      </c>
      <c r="AA1426" t="s">
        <v>26678</v>
      </c>
      <c r="AB1426" t="s">
        <v>27991</v>
      </c>
      <c r="AD1426" t="s">
        <v>38041</v>
      </c>
      <c r="AE1426">
        <v>54</v>
      </c>
      <c r="AG1426" t="s">
        <v>45556</v>
      </c>
      <c r="AH1426">
        <v>34</v>
      </c>
      <c r="AI1426">
        <v>1</v>
      </c>
      <c r="AJ1426">
        <v>3</v>
      </c>
      <c r="AK1426">
        <v>115.54</v>
      </c>
      <c r="AN1426" t="s">
        <v>7439</v>
      </c>
      <c r="AO1426">
        <v>29000</v>
      </c>
      <c r="AS1426" t="s">
        <v>46499</v>
      </c>
      <c r="AT1426" t="s">
        <v>46654</v>
      </c>
      <c r="AU1426">
        <v>7.1</v>
      </c>
      <c r="AV1426" t="s">
        <v>724</v>
      </c>
      <c r="AW1426" t="s">
        <v>46853</v>
      </c>
    </row>
    <row r="1427" spans="1:50">
      <c r="A1427" s="1">
        <f>HYPERLINK("https://lsnyc.legalserver.org/matter/dynamic-profile/view/1871290","18-1871290")</f>
        <v>0</v>
      </c>
      <c r="B1427" t="s">
        <v>227</v>
      </c>
      <c r="C1427" t="s">
        <v>341</v>
      </c>
      <c r="D1427" t="s">
        <v>407</v>
      </c>
      <c r="E1427" t="s">
        <v>697</v>
      </c>
      <c r="F1427" t="s">
        <v>1767</v>
      </c>
      <c r="G1427" t="s">
        <v>5199</v>
      </c>
      <c r="H1427" t="s">
        <v>10835</v>
      </c>
      <c r="I1427" t="s">
        <v>17658</v>
      </c>
      <c r="J1427" t="s">
        <v>18894</v>
      </c>
      <c r="K1427">
        <v>11224</v>
      </c>
      <c r="L1427" t="s">
        <v>18958</v>
      </c>
      <c r="M1427" t="s">
        <v>18958</v>
      </c>
      <c r="N1427" t="s">
        <v>20034</v>
      </c>
      <c r="O1427" t="s">
        <v>26523</v>
      </c>
      <c r="P1427" t="s">
        <v>26560</v>
      </c>
      <c r="Q1427" t="s">
        <v>26568</v>
      </c>
      <c r="R1427" t="s">
        <v>26586</v>
      </c>
      <c r="U1427" t="s">
        <v>26604</v>
      </c>
      <c r="W1427" t="s">
        <v>593</v>
      </c>
      <c r="X1427">
        <v>1000</v>
      </c>
      <c r="Y1427" t="s">
        <v>26652</v>
      </c>
      <c r="Z1427" t="s">
        <v>26662</v>
      </c>
      <c r="AA1427" t="s">
        <v>26679</v>
      </c>
      <c r="AB1427" t="s">
        <v>27992</v>
      </c>
      <c r="AD1427" t="s">
        <v>38042</v>
      </c>
      <c r="AE1427">
        <v>8</v>
      </c>
      <c r="AH1427">
        <v>4</v>
      </c>
      <c r="AI1427">
        <v>3</v>
      </c>
      <c r="AJ1427">
        <v>0</v>
      </c>
      <c r="AK1427">
        <v>192.49</v>
      </c>
      <c r="AN1427" t="s">
        <v>7439</v>
      </c>
      <c r="AO1427">
        <v>40000</v>
      </c>
      <c r="AU1427">
        <v>4.5</v>
      </c>
      <c r="AV1427" t="s">
        <v>600</v>
      </c>
      <c r="AW1427" t="s">
        <v>46853</v>
      </c>
    </row>
    <row r="1428" spans="1:50">
      <c r="A1428" s="1">
        <f>HYPERLINK("https://lsnyc.legalserver.org/matter/dynamic-profile/view/1871221","18-1871221")</f>
        <v>0</v>
      </c>
      <c r="B1428" t="s">
        <v>162</v>
      </c>
      <c r="C1428" t="s">
        <v>340</v>
      </c>
      <c r="D1428" t="s">
        <v>407</v>
      </c>
      <c r="F1428" t="s">
        <v>1768</v>
      </c>
      <c r="G1428" t="s">
        <v>5963</v>
      </c>
      <c r="H1428" t="s">
        <v>10836</v>
      </c>
      <c r="I1428" t="s">
        <v>17332</v>
      </c>
      <c r="J1428" t="s">
        <v>18894</v>
      </c>
      <c r="K1428">
        <v>11213</v>
      </c>
      <c r="L1428" t="s">
        <v>18958</v>
      </c>
      <c r="M1428" t="s">
        <v>18958</v>
      </c>
      <c r="N1428" t="s">
        <v>20035</v>
      </c>
      <c r="O1428" t="s">
        <v>26524</v>
      </c>
      <c r="P1428" t="s">
        <v>26560</v>
      </c>
      <c r="R1428" t="s">
        <v>26586</v>
      </c>
      <c r="S1428" t="s">
        <v>18959</v>
      </c>
      <c r="U1428" t="s">
        <v>26604</v>
      </c>
      <c r="W1428" t="s">
        <v>593</v>
      </c>
      <c r="X1428">
        <v>1093</v>
      </c>
      <c r="Y1428" t="s">
        <v>26652</v>
      </c>
      <c r="Z1428" t="s">
        <v>26662</v>
      </c>
      <c r="AB1428" t="s">
        <v>27993</v>
      </c>
      <c r="AD1428" t="s">
        <v>38043</v>
      </c>
      <c r="AE1428">
        <v>66</v>
      </c>
      <c r="AG1428" t="s">
        <v>45557</v>
      </c>
      <c r="AH1428">
        <v>50</v>
      </c>
      <c r="AI1428">
        <v>1</v>
      </c>
      <c r="AJ1428">
        <v>0</v>
      </c>
      <c r="AK1428">
        <v>74.14</v>
      </c>
      <c r="AN1428" t="s">
        <v>7439</v>
      </c>
      <c r="AO1428">
        <v>9000</v>
      </c>
      <c r="AU1428">
        <v>76.59999999999999</v>
      </c>
      <c r="AV1428" t="s">
        <v>833</v>
      </c>
      <c r="AW1428" t="s">
        <v>281</v>
      </c>
    </row>
    <row r="1429" spans="1:50">
      <c r="A1429" s="1">
        <f>HYPERLINK("https://lsnyc.legalserver.org/matter/dynamic-profile/view/1871335","18-1871335")</f>
        <v>0</v>
      </c>
      <c r="B1429" t="s">
        <v>52</v>
      </c>
      <c r="C1429" t="s">
        <v>341</v>
      </c>
      <c r="D1429" t="s">
        <v>419</v>
      </c>
      <c r="E1429" t="s">
        <v>829</v>
      </c>
      <c r="F1429" t="s">
        <v>1283</v>
      </c>
      <c r="G1429" t="s">
        <v>5147</v>
      </c>
      <c r="H1429" t="s">
        <v>10837</v>
      </c>
      <c r="I1429">
        <v>2</v>
      </c>
      <c r="J1429" t="s">
        <v>18892</v>
      </c>
      <c r="K1429">
        <v>10457</v>
      </c>
      <c r="L1429" t="s">
        <v>18958</v>
      </c>
      <c r="M1429" t="s">
        <v>18958</v>
      </c>
      <c r="N1429" t="s">
        <v>20036</v>
      </c>
      <c r="O1429" t="s">
        <v>26528</v>
      </c>
      <c r="P1429" t="s">
        <v>26560</v>
      </c>
      <c r="Q1429" t="s">
        <v>26568</v>
      </c>
      <c r="R1429" t="s">
        <v>26577</v>
      </c>
      <c r="S1429" t="s">
        <v>18959</v>
      </c>
      <c r="U1429" t="s">
        <v>26608</v>
      </c>
      <c r="V1429" t="s">
        <v>26610</v>
      </c>
      <c r="W1429" t="s">
        <v>593</v>
      </c>
      <c r="X1429">
        <v>0</v>
      </c>
      <c r="Y1429" t="s">
        <v>26650</v>
      </c>
      <c r="Z1429" t="s">
        <v>26659</v>
      </c>
      <c r="AA1429" t="s">
        <v>26692</v>
      </c>
      <c r="AB1429" t="s">
        <v>27994</v>
      </c>
      <c r="AC1429" t="s">
        <v>34939</v>
      </c>
      <c r="AD1429" t="s">
        <v>38044</v>
      </c>
      <c r="AE1429">
        <v>28</v>
      </c>
      <c r="AF1429" t="s">
        <v>45541</v>
      </c>
      <c r="AG1429" t="s">
        <v>45556</v>
      </c>
      <c r="AH1429">
        <v>0</v>
      </c>
      <c r="AI1429">
        <v>1</v>
      </c>
      <c r="AJ1429">
        <v>1</v>
      </c>
      <c r="AK1429">
        <v>131.23</v>
      </c>
      <c r="AN1429" t="s">
        <v>7439</v>
      </c>
      <c r="AO1429">
        <v>21600</v>
      </c>
      <c r="AQ1429" t="s">
        <v>46373</v>
      </c>
      <c r="AR1429" t="s">
        <v>46440</v>
      </c>
      <c r="AT1429" t="s">
        <v>46668</v>
      </c>
      <c r="AU1429">
        <v>84.59999999999999</v>
      </c>
      <c r="AV1429" t="s">
        <v>810</v>
      </c>
      <c r="AW1429" t="s">
        <v>46854</v>
      </c>
    </row>
    <row r="1430" spans="1:50">
      <c r="A1430" s="1">
        <f>HYPERLINK("https://lsnyc.legalserver.org/matter/dynamic-profile/view/1871413","18-1871413")</f>
        <v>0</v>
      </c>
      <c r="B1430" t="s">
        <v>100</v>
      </c>
      <c r="C1430" t="s">
        <v>340</v>
      </c>
      <c r="D1430" t="s">
        <v>419</v>
      </c>
      <c r="F1430" t="s">
        <v>957</v>
      </c>
      <c r="G1430" t="s">
        <v>1725</v>
      </c>
      <c r="H1430" t="s">
        <v>9724</v>
      </c>
      <c r="I1430" t="s">
        <v>17290</v>
      </c>
      <c r="J1430" t="s">
        <v>18892</v>
      </c>
      <c r="K1430">
        <v>10468</v>
      </c>
      <c r="L1430" t="s">
        <v>18958</v>
      </c>
      <c r="M1430" t="s">
        <v>18958</v>
      </c>
      <c r="O1430" t="s">
        <v>26527</v>
      </c>
      <c r="P1430" t="s">
        <v>26562</v>
      </c>
      <c r="R1430" t="s">
        <v>26578</v>
      </c>
      <c r="S1430" t="s">
        <v>18958</v>
      </c>
      <c r="U1430" t="s">
        <v>26604</v>
      </c>
      <c r="W1430" t="s">
        <v>593</v>
      </c>
      <c r="X1430">
        <v>1440.08</v>
      </c>
      <c r="Y1430" t="s">
        <v>26650</v>
      </c>
      <c r="Z1430" t="s">
        <v>26663</v>
      </c>
      <c r="AB1430" t="s">
        <v>26795</v>
      </c>
      <c r="AD1430" t="s">
        <v>36901</v>
      </c>
      <c r="AE1430">
        <v>58</v>
      </c>
      <c r="AF1430" t="s">
        <v>20460</v>
      </c>
      <c r="AG1430" t="s">
        <v>19330</v>
      </c>
      <c r="AH1430">
        <v>2</v>
      </c>
      <c r="AI1430">
        <v>1</v>
      </c>
      <c r="AJ1430">
        <v>1</v>
      </c>
      <c r="AK1430">
        <v>109.36</v>
      </c>
      <c r="AN1430" t="s">
        <v>45581</v>
      </c>
      <c r="AO1430">
        <v>18000</v>
      </c>
      <c r="AU1430">
        <v>0.5</v>
      </c>
      <c r="AV1430" t="s">
        <v>419</v>
      </c>
      <c r="AW1430" t="s">
        <v>46847</v>
      </c>
    </row>
    <row r="1431" spans="1:50">
      <c r="A1431" s="1">
        <f>HYPERLINK("https://lsnyc.legalserver.org/matter/dynamic-profile/view/1871455","18-1871455")</f>
        <v>0</v>
      </c>
      <c r="B1431" t="s">
        <v>56</v>
      </c>
      <c r="C1431" t="s">
        <v>340</v>
      </c>
      <c r="D1431" t="s">
        <v>419</v>
      </c>
      <c r="F1431" t="s">
        <v>881</v>
      </c>
      <c r="G1431" t="s">
        <v>5707</v>
      </c>
      <c r="H1431" t="s">
        <v>10838</v>
      </c>
      <c r="I1431" t="s">
        <v>17347</v>
      </c>
      <c r="J1431" t="s">
        <v>18892</v>
      </c>
      <c r="K1431">
        <v>10455</v>
      </c>
      <c r="L1431" t="s">
        <v>18958</v>
      </c>
      <c r="M1431" t="s">
        <v>18958</v>
      </c>
      <c r="N1431" t="s">
        <v>20037</v>
      </c>
      <c r="O1431" t="s">
        <v>26523</v>
      </c>
      <c r="P1431" t="s">
        <v>26560</v>
      </c>
      <c r="R1431" t="s">
        <v>26577</v>
      </c>
      <c r="U1431" t="s">
        <v>26604</v>
      </c>
      <c r="V1431" t="s">
        <v>26609</v>
      </c>
      <c r="W1431" t="s">
        <v>593</v>
      </c>
      <c r="X1431">
        <v>438</v>
      </c>
      <c r="Y1431" t="s">
        <v>26650</v>
      </c>
      <c r="Z1431" t="s">
        <v>26656</v>
      </c>
      <c r="AB1431" t="s">
        <v>27995</v>
      </c>
      <c r="AD1431" t="s">
        <v>38045</v>
      </c>
      <c r="AE1431">
        <v>0</v>
      </c>
      <c r="AF1431" t="s">
        <v>45541</v>
      </c>
      <c r="AG1431" t="s">
        <v>19330</v>
      </c>
      <c r="AH1431">
        <v>0</v>
      </c>
      <c r="AI1431">
        <v>3</v>
      </c>
      <c r="AJ1431">
        <v>0</v>
      </c>
      <c r="AK1431">
        <v>223.66</v>
      </c>
      <c r="AL1431" t="s">
        <v>641</v>
      </c>
      <c r="AM1431" t="s">
        <v>45575</v>
      </c>
      <c r="AN1431" t="s">
        <v>45581</v>
      </c>
      <c r="AO1431">
        <v>46476</v>
      </c>
      <c r="AP1431" t="s">
        <v>45706</v>
      </c>
      <c r="AU1431">
        <v>19.5</v>
      </c>
      <c r="AV1431" t="s">
        <v>668</v>
      </c>
      <c r="AW1431" t="s">
        <v>46848</v>
      </c>
    </row>
    <row r="1432" spans="1:50">
      <c r="A1432" s="1">
        <f>HYPERLINK("https://lsnyc.legalserver.org/matter/dynamic-profile/view/1871502","18-1871502")</f>
        <v>0</v>
      </c>
      <c r="B1432" t="s">
        <v>132</v>
      </c>
      <c r="C1432" t="s">
        <v>341</v>
      </c>
      <c r="D1432" t="s">
        <v>420</v>
      </c>
      <c r="E1432" t="s">
        <v>697</v>
      </c>
      <c r="F1432" t="s">
        <v>1328</v>
      </c>
      <c r="G1432" t="s">
        <v>5964</v>
      </c>
      <c r="H1432" t="s">
        <v>10839</v>
      </c>
      <c r="I1432" t="s">
        <v>17393</v>
      </c>
      <c r="J1432" t="s">
        <v>18894</v>
      </c>
      <c r="K1432">
        <v>11203</v>
      </c>
      <c r="L1432" t="s">
        <v>18958</v>
      </c>
      <c r="M1432" t="s">
        <v>18958</v>
      </c>
      <c r="N1432" t="s">
        <v>20038</v>
      </c>
      <c r="O1432" t="s">
        <v>26524</v>
      </c>
      <c r="P1432" t="s">
        <v>26560</v>
      </c>
      <c r="Q1432" t="s">
        <v>26573</v>
      </c>
      <c r="R1432" t="s">
        <v>26586</v>
      </c>
      <c r="S1432" t="s">
        <v>18959</v>
      </c>
      <c r="U1432" t="s">
        <v>26604</v>
      </c>
      <c r="V1432" t="s">
        <v>26610</v>
      </c>
      <c r="W1432" t="s">
        <v>593</v>
      </c>
      <c r="X1432">
        <v>0</v>
      </c>
      <c r="Y1432" t="s">
        <v>26652</v>
      </c>
      <c r="Z1432" t="s">
        <v>26662</v>
      </c>
      <c r="AA1432" t="s">
        <v>26678</v>
      </c>
      <c r="AB1432" t="s">
        <v>27996</v>
      </c>
      <c r="AD1432" t="s">
        <v>38046</v>
      </c>
      <c r="AE1432">
        <v>2</v>
      </c>
      <c r="AF1432" t="s">
        <v>45547</v>
      </c>
      <c r="AG1432" t="s">
        <v>19330</v>
      </c>
      <c r="AH1432">
        <v>4</v>
      </c>
      <c r="AI1432">
        <v>1</v>
      </c>
      <c r="AJ1432">
        <v>0</v>
      </c>
      <c r="AK1432">
        <v>15.82</v>
      </c>
      <c r="AN1432" t="s">
        <v>7439</v>
      </c>
      <c r="AO1432">
        <v>1920</v>
      </c>
      <c r="AQ1432" t="s">
        <v>46362</v>
      </c>
      <c r="AR1432" t="s">
        <v>46379</v>
      </c>
      <c r="AS1432" t="s">
        <v>46499</v>
      </c>
      <c r="AT1432" t="s">
        <v>46513</v>
      </c>
      <c r="AU1432">
        <v>16.7</v>
      </c>
      <c r="AV1432" t="s">
        <v>645</v>
      </c>
      <c r="AW1432" t="s">
        <v>46853</v>
      </c>
    </row>
    <row r="1433" spans="1:50">
      <c r="A1433" s="1">
        <f>HYPERLINK("https://lsnyc.legalserver.org/matter/dynamic-profile/view/1871878","18-1871878")</f>
        <v>0</v>
      </c>
      <c r="B1433" t="s">
        <v>123</v>
      </c>
      <c r="C1433" t="s">
        <v>341</v>
      </c>
      <c r="D1433" t="s">
        <v>431</v>
      </c>
      <c r="E1433" t="s">
        <v>858</v>
      </c>
      <c r="F1433" t="s">
        <v>1013</v>
      </c>
      <c r="G1433" t="s">
        <v>5965</v>
      </c>
      <c r="H1433" t="s">
        <v>10840</v>
      </c>
      <c r="I1433" t="s">
        <v>17467</v>
      </c>
      <c r="J1433" t="s">
        <v>18894</v>
      </c>
      <c r="K1433">
        <v>11224</v>
      </c>
      <c r="L1433" t="s">
        <v>18958</v>
      </c>
      <c r="M1433" t="s">
        <v>18958</v>
      </c>
      <c r="O1433" t="s">
        <v>26531</v>
      </c>
      <c r="P1433" t="s">
        <v>26562</v>
      </c>
      <c r="Q1433" t="s">
        <v>26571</v>
      </c>
      <c r="R1433" t="s">
        <v>26586</v>
      </c>
      <c r="S1433" t="s">
        <v>18959</v>
      </c>
      <c r="U1433" t="s">
        <v>26605</v>
      </c>
      <c r="W1433" t="s">
        <v>593</v>
      </c>
      <c r="X1433">
        <v>245</v>
      </c>
      <c r="Y1433" t="s">
        <v>26652</v>
      </c>
      <c r="Z1433" t="s">
        <v>26656</v>
      </c>
      <c r="AA1433" t="s">
        <v>26681</v>
      </c>
      <c r="AB1433" t="s">
        <v>27997</v>
      </c>
      <c r="AC1433" t="s">
        <v>34940</v>
      </c>
      <c r="AD1433" t="s">
        <v>38047</v>
      </c>
      <c r="AE1433">
        <v>112</v>
      </c>
      <c r="AF1433" t="s">
        <v>45542</v>
      </c>
      <c r="AG1433" t="s">
        <v>19330</v>
      </c>
      <c r="AH1433">
        <v>4</v>
      </c>
      <c r="AI1433">
        <v>1</v>
      </c>
      <c r="AJ1433">
        <v>0</v>
      </c>
      <c r="AK1433">
        <v>33.51</v>
      </c>
      <c r="AN1433" t="s">
        <v>7439</v>
      </c>
      <c r="AO1433">
        <v>4068</v>
      </c>
      <c r="AU1433">
        <v>2.2</v>
      </c>
      <c r="AV1433" t="s">
        <v>419</v>
      </c>
      <c r="AW1433" t="s">
        <v>46851</v>
      </c>
    </row>
    <row r="1434" spans="1:50">
      <c r="A1434" s="1">
        <f>HYPERLINK("https://lsnyc.legalserver.org/matter/dynamic-profile/view/1871836","18-1871836")</f>
        <v>0</v>
      </c>
      <c r="B1434" t="s">
        <v>87</v>
      </c>
      <c r="C1434" t="s">
        <v>341</v>
      </c>
      <c r="D1434" t="s">
        <v>431</v>
      </c>
      <c r="E1434" t="s">
        <v>719</v>
      </c>
      <c r="F1434" t="s">
        <v>1219</v>
      </c>
      <c r="G1434" t="s">
        <v>1938</v>
      </c>
      <c r="H1434" t="s">
        <v>10841</v>
      </c>
      <c r="I1434" t="s">
        <v>17659</v>
      </c>
      <c r="J1434" t="s">
        <v>18892</v>
      </c>
      <c r="K1434">
        <v>10467</v>
      </c>
      <c r="L1434" t="s">
        <v>18958</v>
      </c>
      <c r="M1434" t="s">
        <v>18958</v>
      </c>
      <c r="O1434" t="s">
        <v>26529</v>
      </c>
      <c r="P1434" t="s">
        <v>26565</v>
      </c>
      <c r="Q1434" t="s">
        <v>26568</v>
      </c>
      <c r="R1434" t="s">
        <v>26578</v>
      </c>
      <c r="U1434" t="s">
        <v>26604</v>
      </c>
      <c r="W1434" t="s">
        <v>593</v>
      </c>
      <c r="X1434">
        <v>0</v>
      </c>
      <c r="Y1434" t="s">
        <v>26650</v>
      </c>
      <c r="AA1434" t="s">
        <v>26678</v>
      </c>
      <c r="AB1434" t="s">
        <v>27998</v>
      </c>
      <c r="AD1434" t="s">
        <v>38048</v>
      </c>
      <c r="AE1434">
        <v>54</v>
      </c>
      <c r="AF1434" t="s">
        <v>45541</v>
      </c>
      <c r="AG1434" t="s">
        <v>19330</v>
      </c>
      <c r="AH1434">
        <v>0</v>
      </c>
      <c r="AI1434">
        <v>1</v>
      </c>
      <c r="AJ1434">
        <v>0</v>
      </c>
      <c r="AK1434">
        <v>74.14</v>
      </c>
      <c r="AN1434" t="s">
        <v>45581</v>
      </c>
      <c r="AO1434">
        <v>9000</v>
      </c>
      <c r="AP1434" t="s">
        <v>45707</v>
      </c>
      <c r="AU1434">
        <v>6.5</v>
      </c>
      <c r="AV1434" t="s">
        <v>605</v>
      </c>
      <c r="AW1434" t="s">
        <v>334</v>
      </c>
    </row>
    <row r="1435" spans="1:50">
      <c r="A1435" s="1">
        <f>HYPERLINK("https://lsnyc.legalserver.org/matter/dynamic-profile/view/1871913","18-1871913")</f>
        <v>0</v>
      </c>
      <c r="B1435" t="s">
        <v>60</v>
      </c>
      <c r="C1435" t="s">
        <v>340</v>
      </c>
      <c r="D1435" t="s">
        <v>434</v>
      </c>
      <c r="F1435" t="s">
        <v>1769</v>
      </c>
      <c r="G1435" t="s">
        <v>5966</v>
      </c>
      <c r="H1435" t="s">
        <v>10842</v>
      </c>
      <c r="I1435" t="s">
        <v>17660</v>
      </c>
      <c r="J1435" t="s">
        <v>18892</v>
      </c>
      <c r="K1435">
        <v>10452</v>
      </c>
      <c r="L1435" t="s">
        <v>18958</v>
      </c>
      <c r="M1435" t="s">
        <v>18958</v>
      </c>
      <c r="N1435" t="s">
        <v>20039</v>
      </c>
      <c r="O1435" t="s">
        <v>26528</v>
      </c>
      <c r="P1435" t="s">
        <v>26560</v>
      </c>
      <c r="R1435" t="s">
        <v>26578</v>
      </c>
      <c r="S1435" t="s">
        <v>18959</v>
      </c>
      <c r="U1435" t="s">
        <v>26604</v>
      </c>
      <c r="W1435" t="s">
        <v>593</v>
      </c>
      <c r="X1435">
        <v>877</v>
      </c>
      <c r="Y1435" t="s">
        <v>26650</v>
      </c>
      <c r="Z1435" t="s">
        <v>26659</v>
      </c>
      <c r="AB1435" t="s">
        <v>27999</v>
      </c>
      <c r="AD1435" t="s">
        <v>38049</v>
      </c>
      <c r="AE1435">
        <v>43</v>
      </c>
      <c r="AF1435" t="s">
        <v>45541</v>
      </c>
      <c r="AG1435" t="s">
        <v>19330</v>
      </c>
      <c r="AH1435">
        <v>30</v>
      </c>
      <c r="AI1435">
        <v>2</v>
      </c>
      <c r="AJ1435">
        <v>0</v>
      </c>
      <c r="AK1435">
        <v>55.04</v>
      </c>
      <c r="AN1435" t="s">
        <v>7439</v>
      </c>
      <c r="AO1435">
        <v>9060</v>
      </c>
      <c r="AU1435">
        <v>70.09999999999999</v>
      </c>
      <c r="AV1435" t="s">
        <v>773</v>
      </c>
      <c r="AW1435" t="s">
        <v>46847</v>
      </c>
    </row>
    <row r="1436" spans="1:50">
      <c r="A1436" s="1">
        <f>HYPERLINK("https://lsnyc.legalserver.org/matter/dynamic-profile/view/1872161","18-1872161")</f>
        <v>0</v>
      </c>
      <c r="B1436" t="s">
        <v>180</v>
      </c>
      <c r="C1436" t="s">
        <v>341</v>
      </c>
      <c r="D1436" t="s">
        <v>435</v>
      </c>
      <c r="E1436" t="s">
        <v>831</v>
      </c>
      <c r="F1436" t="s">
        <v>1299</v>
      </c>
      <c r="G1436" t="s">
        <v>5308</v>
      </c>
      <c r="H1436" t="s">
        <v>10843</v>
      </c>
      <c r="I1436" t="s">
        <v>17309</v>
      </c>
      <c r="J1436" t="s">
        <v>18894</v>
      </c>
      <c r="K1436">
        <v>11232</v>
      </c>
      <c r="L1436" t="s">
        <v>18958</v>
      </c>
      <c r="M1436" t="s">
        <v>18958</v>
      </c>
      <c r="N1436" t="s">
        <v>20040</v>
      </c>
      <c r="O1436" t="s">
        <v>26524</v>
      </c>
      <c r="P1436" t="s">
        <v>26560</v>
      </c>
      <c r="Q1436" t="s">
        <v>26568</v>
      </c>
      <c r="R1436" t="s">
        <v>26586</v>
      </c>
      <c r="S1436" t="s">
        <v>18959</v>
      </c>
      <c r="U1436" t="s">
        <v>26604</v>
      </c>
      <c r="V1436" t="s">
        <v>26612</v>
      </c>
      <c r="W1436" t="s">
        <v>593</v>
      </c>
      <c r="X1436">
        <v>1232.8</v>
      </c>
      <c r="Y1436" t="s">
        <v>26652</v>
      </c>
      <c r="Z1436" t="s">
        <v>26662</v>
      </c>
      <c r="AA1436" t="s">
        <v>26679</v>
      </c>
      <c r="AB1436" t="s">
        <v>27476</v>
      </c>
      <c r="AD1436" t="s">
        <v>38050</v>
      </c>
      <c r="AE1436">
        <v>6</v>
      </c>
      <c r="AG1436" t="s">
        <v>19330</v>
      </c>
      <c r="AH1436">
        <v>8</v>
      </c>
      <c r="AI1436">
        <v>3</v>
      </c>
      <c r="AJ1436">
        <v>1</v>
      </c>
      <c r="AK1436">
        <v>93.23</v>
      </c>
      <c r="AN1436" t="s">
        <v>7439</v>
      </c>
      <c r="AO1436">
        <v>23400</v>
      </c>
      <c r="AU1436">
        <v>68.90000000000001</v>
      </c>
      <c r="AV1436" t="s">
        <v>831</v>
      </c>
      <c r="AW1436" t="s">
        <v>281</v>
      </c>
    </row>
    <row r="1437" spans="1:50">
      <c r="A1437" s="1">
        <f>HYPERLINK("https://lsnyc.legalserver.org/matter/dynamic-profile/view/1872072","18-1872072")</f>
        <v>0</v>
      </c>
      <c r="B1437" t="s">
        <v>57</v>
      </c>
      <c r="C1437" t="s">
        <v>340</v>
      </c>
      <c r="D1437" t="s">
        <v>435</v>
      </c>
      <c r="F1437" t="s">
        <v>1770</v>
      </c>
      <c r="G1437" t="s">
        <v>5634</v>
      </c>
      <c r="H1437" t="s">
        <v>10844</v>
      </c>
      <c r="I1437" t="s">
        <v>17661</v>
      </c>
      <c r="J1437" t="s">
        <v>18892</v>
      </c>
      <c r="K1437">
        <v>10454</v>
      </c>
      <c r="L1437" t="s">
        <v>18958</v>
      </c>
      <c r="M1437" t="s">
        <v>18958</v>
      </c>
      <c r="N1437" t="s">
        <v>20041</v>
      </c>
      <c r="O1437" t="s">
        <v>26523</v>
      </c>
      <c r="P1437" t="s">
        <v>26560</v>
      </c>
      <c r="R1437" t="s">
        <v>26577</v>
      </c>
      <c r="S1437" t="s">
        <v>18959</v>
      </c>
      <c r="U1437" t="s">
        <v>26604</v>
      </c>
      <c r="V1437" t="s">
        <v>26611</v>
      </c>
      <c r="W1437" t="s">
        <v>593</v>
      </c>
      <c r="X1437">
        <v>1550</v>
      </c>
      <c r="Y1437" t="s">
        <v>26650</v>
      </c>
      <c r="Z1437" t="s">
        <v>26656</v>
      </c>
      <c r="AB1437" t="s">
        <v>28000</v>
      </c>
      <c r="AC1437" t="s">
        <v>34941</v>
      </c>
      <c r="AD1437" t="s">
        <v>38051</v>
      </c>
      <c r="AE1437">
        <v>9</v>
      </c>
      <c r="AF1437" t="s">
        <v>45541</v>
      </c>
      <c r="AG1437" t="s">
        <v>19330</v>
      </c>
      <c r="AH1437">
        <v>1</v>
      </c>
      <c r="AI1437">
        <v>1</v>
      </c>
      <c r="AJ1437">
        <v>4</v>
      </c>
      <c r="AK1437">
        <v>98.56999999999999</v>
      </c>
      <c r="AN1437" t="s">
        <v>7439</v>
      </c>
      <c r="AO1437">
        <v>29000</v>
      </c>
      <c r="AU1437">
        <v>53.85</v>
      </c>
      <c r="AV1437" t="s">
        <v>773</v>
      </c>
      <c r="AW1437" t="s">
        <v>46847</v>
      </c>
      <c r="AX1437" t="s">
        <v>46897</v>
      </c>
    </row>
    <row r="1438" spans="1:50">
      <c r="A1438" s="1">
        <f>HYPERLINK("https://lsnyc.legalserver.org/matter/dynamic-profile/view/1872146","18-1872146")</f>
        <v>0</v>
      </c>
      <c r="B1438" t="s">
        <v>135</v>
      </c>
      <c r="C1438" t="s">
        <v>340</v>
      </c>
      <c r="D1438" t="s">
        <v>435</v>
      </c>
      <c r="F1438" t="s">
        <v>1406</v>
      </c>
      <c r="G1438" t="s">
        <v>5086</v>
      </c>
      <c r="H1438" t="s">
        <v>10845</v>
      </c>
      <c r="I1438" t="s">
        <v>17662</v>
      </c>
      <c r="J1438" t="s">
        <v>18892</v>
      </c>
      <c r="K1438">
        <v>10452</v>
      </c>
      <c r="L1438" t="s">
        <v>18958</v>
      </c>
      <c r="M1438" t="s">
        <v>18958</v>
      </c>
      <c r="N1438" t="s">
        <v>20042</v>
      </c>
      <c r="O1438" t="s">
        <v>26527</v>
      </c>
      <c r="P1438" t="s">
        <v>26561</v>
      </c>
      <c r="R1438" t="s">
        <v>26578</v>
      </c>
      <c r="S1438" t="s">
        <v>18958</v>
      </c>
      <c r="U1438" t="s">
        <v>26604</v>
      </c>
      <c r="V1438" t="s">
        <v>26610</v>
      </c>
      <c r="W1438" t="s">
        <v>593</v>
      </c>
      <c r="X1438">
        <v>1004.86</v>
      </c>
      <c r="Y1438" t="s">
        <v>26650</v>
      </c>
      <c r="Z1438" t="s">
        <v>26663</v>
      </c>
      <c r="AB1438" t="s">
        <v>27739</v>
      </c>
      <c r="AC1438" t="s">
        <v>34942</v>
      </c>
      <c r="AD1438" t="s">
        <v>38052</v>
      </c>
      <c r="AE1438">
        <v>70</v>
      </c>
      <c r="AF1438" t="s">
        <v>45541</v>
      </c>
      <c r="AG1438" t="s">
        <v>45557</v>
      </c>
      <c r="AH1438">
        <v>10</v>
      </c>
      <c r="AI1438">
        <v>1</v>
      </c>
      <c r="AJ1438">
        <v>3</v>
      </c>
      <c r="AK1438">
        <v>19.12</v>
      </c>
      <c r="AN1438" t="s">
        <v>7439</v>
      </c>
      <c r="AO1438">
        <v>4800</v>
      </c>
      <c r="AU1438">
        <v>0</v>
      </c>
      <c r="AW1438" t="s">
        <v>46847</v>
      </c>
    </row>
    <row r="1439" spans="1:50">
      <c r="A1439" s="1">
        <f>HYPERLINK("https://lsnyc.legalserver.org/matter/dynamic-profile/view/1872180","18-1872180")</f>
        <v>0</v>
      </c>
      <c r="B1439" t="s">
        <v>135</v>
      </c>
      <c r="C1439" t="s">
        <v>340</v>
      </c>
      <c r="D1439" t="s">
        <v>435</v>
      </c>
      <c r="F1439" t="s">
        <v>1771</v>
      </c>
      <c r="G1439" t="s">
        <v>5967</v>
      </c>
      <c r="H1439" t="s">
        <v>10845</v>
      </c>
      <c r="I1439" t="s">
        <v>17326</v>
      </c>
      <c r="J1439" t="s">
        <v>18892</v>
      </c>
      <c r="K1439">
        <v>10452</v>
      </c>
      <c r="L1439" t="s">
        <v>18958</v>
      </c>
      <c r="M1439" t="s">
        <v>18958</v>
      </c>
      <c r="N1439" t="s">
        <v>20042</v>
      </c>
      <c r="O1439" t="s">
        <v>26527</v>
      </c>
      <c r="P1439" t="s">
        <v>26561</v>
      </c>
      <c r="R1439" t="s">
        <v>26578</v>
      </c>
      <c r="S1439" t="s">
        <v>18958</v>
      </c>
      <c r="U1439" t="s">
        <v>26604</v>
      </c>
      <c r="W1439" t="s">
        <v>593</v>
      </c>
      <c r="X1439">
        <v>789</v>
      </c>
      <c r="Y1439" t="s">
        <v>26650</v>
      </c>
      <c r="Z1439" t="s">
        <v>26663</v>
      </c>
      <c r="AB1439" t="s">
        <v>28001</v>
      </c>
      <c r="AC1439" t="s">
        <v>34943</v>
      </c>
      <c r="AD1439" t="s">
        <v>38053</v>
      </c>
      <c r="AE1439">
        <v>70</v>
      </c>
      <c r="AF1439" t="s">
        <v>45541</v>
      </c>
      <c r="AH1439">
        <v>40</v>
      </c>
      <c r="AI1439">
        <v>1</v>
      </c>
      <c r="AJ1439">
        <v>0</v>
      </c>
      <c r="AK1439">
        <v>74.14</v>
      </c>
      <c r="AN1439" t="s">
        <v>7439</v>
      </c>
      <c r="AO1439">
        <v>9000</v>
      </c>
      <c r="AP1439" t="s">
        <v>45708</v>
      </c>
      <c r="AU1439">
        <v>0</v>
      </c>
      <c r="AW1439" t="s">
        <v>46847</v>
      </c>
    </row>
    <row r="1440" spans="1:50">
      <c r="A1440" s="1">
        <f>HYPERLINK("https://lsnyc.legalserver.org/matter/dynamic-profile/view/1872141","18-1872141")</f>
        <v>0</v>
      </c>
      <c r="B1440" t="s">
        <v>135</v>
      </c>
      <c r="C1440" t="s">
        <v>340</v>
      </c>
      <c r="D1440" t="s">
        <v>435</v>
      </c>
      <c r="F1440" t="s">
        <v>1772</v>
      </c>
      <c r="G1440" t="s">
        <v>5147</v>
      </c>
      <c r="H1440" t="s">
        <v>10845</v>
      </c>
      <c r="I1440" t="s">
        <v>17414</v>
      </c>
      <c r="J1440" t="s">
        <v>18892</v>
      </c>
      <c r="K1440">
        <v>10452</v>
      </c>
      <c r="L1440" t="s">
        <v>18958</v>
      </c>
      <c r="M1440" t="s">
        <v>18958</v>
      </c>
      <c r="N1440" t="s">
        <v>20042</v>
      </c>
      <c r="O1440" t="s">
        <v>26527</v>
      </c>
      <c r="P1440" t="s">
        <v>26561</v>
      </c>
      <c r="R1440" t="s">
        <v>26578</v>
      </c>
      <c r="S1440" t="s">
        <v>18958</v>
      </c>
      <c r="U1440" t="s">
        <v>26604</v>
      </c>
      <c r="W1440" t="s">
        <v>593</v>
      </c>
      <c r="X1440">
        <v>718.26</v>
      </c>
      <c r="Y1440" t="s">
        <v>26650</v>
      </c>
      <c r="Z1440" t="s">
        <v>26663</v>
      </c>
      <c r="AB1440" t="s">
        <v>28002</v>
      </c>
      <c r="AD1440" t="s">
        <v>38054</v>
      </c>
      <c r="AE1440">
        <v>70</v>
      </c>
      <c r="AF1440" t="s">
        <v>45541</v>
      </c>
      <c r="AG1440" t="s">
        <v>19330</v>
      </c>
      <c r="AH1440">
        <v>37</v>
      </c>
      <c r="AI1440">
        <v>4</v>
      </c>
      <c r="AJ1440">
        <v>0</v>
      </c>
      <c r="AK1440">
        <v>90.84</v>
      </c>
      <c r="AN1440" t="s">
        <v>45581</v>
      </c>
      <c r="AO1440">
        <v>22800</v>
      </c>
      <c r="AP1440" t="s">
        <v>45709</v>
      </c>
      <c r="AU1440">
        <v>0</v>
      </c>
      <c r="AW1440" t="s">
        <v>46847</v>
      </c>
    </row>
    <row r="1441" spans="1:50">
      <c r="A1441" s="1">
        <f>HYPERLINK("https://lsnyc.legalserver.org/matter/dynamic-profile/view/1872381","18-1872381")</f>
        <v>0</v>
      </c>
      <c r="B1441" t="s">
        <v>70</v>
      </c>
      <c r="C1441" t="s">
        <v>340</v>
      </c>
      <c r="D1441" t="s">
        <v>446</v>
      </c>
      <c r="F1441" t="s">
        <v>1106</v>
      </c>
      <c r="G1441" t="s">
        <v>5968</v>
      </c>
      <c r="H1441" t="s">
        <v>10846</v>
      </c>
      <c r="I1441" t="s">
        <v>17356</v>
      </c>
      <c r="J1441" t="s">
        <v>18892</v>
      </c>
      <c r="K1441">
        <v>10467</v>
      </c>
      <c r="L1441" t="s">
        <v>18958</v>
      </c>
      <c r="M1441" t="s">
        <v>18958</v>
      </c>
      <c r="N1441" t="s">
        <v>20043</v>
      </c>
      <c r="O1441" t="s">
        <v>26523</v>
      </c>
      <c r="P1441" t="s">
        <v>26560</v>
      </c>
      <c r="R1441" t="s">
        <v>26579</v>
      </c>
      <c r="S1441" t="s">
        <v>18959</v>
      </c>
      <c r="U1441" t="s">
        <v>26604</v>
      </c>
      <c r="V1441" t="s">
        <v>26610</v>
      </c>
      <c r="W1441" t="s">
        <v>593</v>
      </c>
      <c r="X1441">
        <v>159.56</v>
      </c>
      <c r="Y1441" t="s">
        <v>26650</v>
      </c>
      <c r="Z1441" t="s">
        <v>26662</v>
      </c>
      <c r="AB1441" t="s">
        <v>28003</v>
      </c>
      <c r="AC1441" t="s">
        <v>34944</v>
      </c>
      <c r="AD1441" t="s">
        <v>38055</v>
      </c>
      <c r="AE1441">
        <v>37</v>
      </c>
      <c r="AF1441" t="s">
        <v>45554</v>
      </c>
      <c r="AG1441" t="s">
        <v>19330</v>
      </c>
      <c r="AH1441">
        <v>4</v>
      </c>
      <c r="AI1441">
        <v>1</v>
      </c>
      <c r="AJ1441">
        <v>0</v>
      </c>
      <c r="AK1441">
        <v>45.67</v>
      </c>
      <c r="AN1441" t="s">
        <v>7439</v>
      </c>
      <c r="AO1441">
        <v>5544</v>
      </c>
      <c r="AP1441" t="s">
        <v>45634</v>
      </c>
      <c r="AU1441">
        <v>16.65</v>
      </c>
      <c r="AV1441" t="s">
        <v>677</v>
      </c>
      <c r="AW1441" t="s">
        <v>334</v>
      </c>
    </row>
    <row r="1442" spans="1:50">
      <c r="A1442" s="1">
        <f>HYPERLINK("https://lsnyc.legalserver.org/matter/dynamic-profile/view/1872505","18-1872505")</f>
        <v>0</v>
      </c>
      <c r="B1442" t="s">
        <v>179</v>
      </c>
      <c r="C1442" t="s">
        <v>341</v>
      </c>
      <c r="D1442" t="s">
        <v>408</v>
      </c>
      <c r="E1442" t="s">
        <v>623</v>
      </c>
      <c r="F1442" t="s">
        <v>1773</v>
      </c>
      <c r="G1442" t="s">
        <v>5631</v>
      </c>
      <c r="H1442" t="s">
        <v>10847</v>
      </c>
      <c r="I1442" t="s">
        <v>17342</v>
      </c>
      <c r="J1442" t="s">
        <v>18894</v>
      </c>
      <c r="K1442">
        <v>11237</v>
      </c>
      <c r="L1442" t="s">
        <v>18958</v>
      </c>
      <c r="M1442" t="s">
        <v>18958</v>
      </c>
      <c r="N1442" t="s">
        <v>20044</v>
      </c>
      <c r="O1442" t="s">
        <v>26523</v>
      </c>
      <c r="P1442" t="s">
        <v>26560</v>
      </c>
      <c r="Q1442" t="s">
        <v>26568</v>
      </c>
      <c r="R1442" t="s">
        <v>26586</v>
      </c>
      <c r="S1442" t="s">
        <v>18959</v>
      </c>
      <c r="U1442" t="s">
        <v>26604</v>
      </c>
      <c r="W1442" t="s">
        <v>593</v>
      </c>
      <c r="X1442">
        <v>0</v>
      </c>
      <c r="Y1442" t="s">
        <v>26652</v>
      </c>
      <c r="Z1442" t="s">
        <v>26659</v>
      </c>
      <c r="AA1442" t="s">
        <v>26678</v>
      </c>
      <c r="AB1442" t="s">
        <v>28004</v>
      </c>
      <c r="AD1442" t="s">
        <v>38056</v>
      </c>
      <c r="AE1442">
        <v>0</v>
      </c>
      <c r="AG1442" t="s">
        <v>45563</v>
      </c>
      <c r="AH1442">
        <v>8</v>
      </c>
      <c r="AI1442">
        <v>1</v>
      </c>
      <c r="AJ1442">
        <v>0</v>
      </c>
      <c r="AK1442">
        <v>16.28</v>
      </c>
      <c r="AN1442" t="s">
        <v>7439</v>
      </c>
      <c r="AO1442">
        <v>1976</v>
      </c>
      <c r="AQ1442" t="s">
        <v>46361</v>
      </c>
      <c r="AR1442" t="s">
        <v>46379</v>
      </c>
      <c r="AS1442" t="s">
        <v>46499</v>
      </c>
      <c r="AT1442" t="s">
        <v>46621</v>
      </c>
      <c r="AU1442">
        <v>25.8</v>
      </c>
      <c r="AV1442" t="s">
        <v>685</v>
      </c>
      <c r="AW1442" t="s">
        <v>179</v>
      </c>
    </row>
    <row r="1443" spans="1:50">
      <c r="A1443" s="1">
        <f>HYPERLINK("https://lsnyc.legalserver.org/matter/dynamic-profile/view/1872515","18-1872515")</f>
        <v>0</v>
      </c>
      <c r="B1443" t="s">
        <v>70</v>
      </c>
      <c r="C1443" t="s">
        <v>341</v>
      </c>
      <c r="D1443" t="s">
        <v>409</v>
      </c>
      <c r="E1443" t="s">
        <v>805</v>
      </c>
      <c r="F1443" t="s">
        <v>1774</v>
      </c>
      <c r="G1443" t="s">
        <v>5292</v>
      </c>
      <c r="H1443" t="s">
        <v>10848</v>
      </c>
      <c r="I1443" t="s">
        <v>17663</v>
      </c>
      <c r="J1443" t="s">
        <v>18892</v>
      </c>
      <c r="K1443">
        <v>10468</v>
      </c>
      <c r="L1443" t="s">
        <v>18958</v>
      </c>
      <c r="M1443" t="s">
        <v>18958</v>
      </c>
      <c r="N1443" t="s">
        <v>20045</v>
      </c>
      <c r="O1443" t="s">
        <v>26523</v>
      </c>
      <c r="P1443" t="s">
        <v>26560</v>
      </c>
      <c r="Q1443" t="s">
        <v>26568</v>
      </c>
      <c r="R1443" t="s">
        <v>26579</v>
      </c>
      <c r="S1443" t="s">
        <v>18959</v>
      </c>
      <c r="U1443" t="s">
        <v>26604</v>
      </c>
      <c r="V1443" t="s">
        <v>26609</v>
      </c>
      <c r="W1443" t="s">
        <v>593</v>
      </c>
      <c r="X1443">
        <v>1486</v>
      </c>
      <c r="Y1443" t="s">
        <v>26650</v>
      </c>
      <c r="Z1443" t="s">
        <v>26664</v>
      </c>
      <c r="AA1443" t="s">
        <v>26678</v>
      </c>
      <c r="AB1443" t="s">
        <v>28005</v>
      </c>
      <c r="AC1443" t="s">
        <v>25800</v>
      </c>
      <c r="AD1443" t="s">
        <v>38057</v>
      </c>
      <c r="AE1443">
        <v>41</v>
      </c>
      <c r="AF1443" t="s">
        <v>45541</v>
      </c>
      <c r="AG1443" t="s">
        <v>45556</v>
      </c>
      <c r="AH1443">
        <v>10</v>
      </c>
      <c r="AI1443">
        <v>1</v>
      </c>
      <c r="AJ1443">
        <v>1</v>
      </c>
      <c r="AK1443">
        <v>154.75</v>
      </c>
      <c r="AN1443" t="s">
        <v>7439</v>
      </c>
      <c r="AO1443">
        <v>25472</v>
      </c>
      <c r="AP1443" t="s">
        <v>45621</v>
      </c>
      <c r="AQ1443" t="s">
        <v>46361</v>
      </c>
      <c r="AR1443" t="s">
        <v>46441</v>
      </c>
      <c r="AS1443" t="s">
        <v>46499</v>
      </c>
      <c r="AT1443" t="s">
        <v>46699</v>
      </c>
      <c r="AU1443">
        <v>13.1</v>
      </c>
      <c r="AV1443" t="s">
        <v>763</v>
      </c>
      <c r="AW1443" t="s">
        <v>284</v>
      </c>
    </row>
    <row r="1444" spans="1:50">
      <c r="A1444" s="1">
        <f>HYPERLINK("https://lsnyc.legalserver.org/matter/dynamic-profile/view/1872683","18-1872683")</f>
        <v>0</v>
      </c>
      <c r="B1444" t="s">
        <v>67</v>
      </c>
      <c r="C1444" t="s">
        <v>341</v>
      </c>
      <c r="D1444" t="s">
        <v>409</v>
      </c>
      <c r="E1444" t="s">
        <v>844</v>
      </c>
      <c r="F1444" t="s">
        <v>887</v>
      </c>
      <c r="G1444" t="s">
        <v>5691</v>
      </c>
      <c r="H1444" t="s">
        <v>10849</v>
      </c>
      <c r="I1444">
        <v>19</v>
      </c>
      <c r="J1444" t="s">
        <v>18892</v>
      </c>
      <c r="K1444">
        <v>10453</v>
      </c>
      <c r="L1444" t="s">
        <v>18958</v>
      </c>
      <c r="M1444" t="s">
        <v>18958</v>
      </c>
      <c r="N1444" t="s">
        <v>20046</v>
      </c>
      <c r="O1444" t="s">
        <v>26523</v>
      </c>
      <c r="P1444" t="s">
        <v>26560</v>
      </c>
      <c r="Q1444" t="s">
        <v>26568</v>
      </c>
      <c r="R1444" t="s">
        <v>26578</v>
      </c>
      <c r="S1444" t="s">
        <v>18959</v>
      </c>
      <c r="U1444" t="s">
        <v>26604</v>
      </c>
      <c r="V1444" t="s">
        <v>26612</v>
      </c>
      <c r="W1444" t="s">
        <v>593</v>
      </c>
      <c r="X1444">
        <v>1440.37</v>
      </c>
      <c r="Y1444" t="s">
        <v>26650</v>
      </c>
      <c r="Z1444" t="s">
        <v>26656</v>
      </c>
      <c r="AA1444" t="s">
        <v>26677</v>
      </c>
      <c r="AB1444" t="s">
        <v>28006</v>
      </c>
      <c r="AC1444" t="s">
        <v>34945</v>
      </c>
      <c r="AD1444" t="s">
        <v>38058</v>
      </c>
      <c r="AE1444">
        <v>20</v>
      </c>
      <c r="AF1444" t="s">
        <v>45545</v>
      </c>
      <c r="AG1444" t="s">
        <v>45557</v>
      </c>
      <c r="AH1444">
        <v>8</v>
      </c>
      <c r="AI1444">
        <v>2</v>
      </c>
      <c r="AJ1444">
        <v>2</v>
      </c>
      <c r="AK1444">
        <v>36.96</v>
      </c>
      <c r="AN1444" t="s">
        <v>45581</v>
      </c>
      <c r="AO1444">
        <v>9276</v>
      </c>
      <c r="AQ1444" t="s">
        <v>46359</v>
      </c>
      <c r="AR1444" t="s">
        <v>46415</v>
      </c>
      <c r="AS1444" t="s">
        <v>46499</v>
      </c>
      <c r="AT1444" t="s">
        <v>46597</v>
      </c>
      <c r="AU1444">
        <v>12.25</v>
      </c>
      <c r="AV1444" t="s">
        <v>451</v>
      </c>
      <c r="AW1444" t="s">
        <v>336</v>
      </c>
    </row>
    <row r="1445" spans="1:50">
      <c r="A1445" s="1">
        <f>HYPERLINK("https://lsnyc.legalserver.org/matter/dynamic-profile/view/1872555","18-1872555")</f>
        <v>0</v>
      </c>
      <c r="B1445" t="s">
        <v>135</v>
      </c>
      <c r="C1445" t="s">
        <v>340</v>
      </c>
      <c r="D1445" t="s">
        <v>409</v>
      </c>
      <c r="F1445" t="s">
        <v>1775</v>
      </c>
      <c r="G1445" t="s">
        <v>5271</v>
      </c>
      <c r="H1445" t="s">
        <v>10850</v>
      </c>
      <c r="I1445">
        <v>5</v>
      </c>
      <c r="J1445" t="s">
        <v>18892</v>
      </c>
      <c r="K1445">
        <v>10466</v>
      </c>
      <c r="L1445" t="s">
        <v>18958</v>
      </c>
      <c r="M1445" t="s">
        <v>18959</v>
      </c>
      <c r="N1445" t="s">
        <v>20047</v>
      </c>
      <c r="O1445" t="s">
        <v>26524</v>
      </c>
      <c r="P1445" t="s">
        <v>26560</v>
      </c>
      <c r="R1445" t="s">
        <v>26577</v>
      </c>
      <c r="S1445" t="s">
        <v>18959</v>
      </c>
      <c r="U1445" t="s">
        <v>26604</v>
      </c>
      <c r="V1445" t="s">
        <v>26610</v>
      </c>
      <c r="W1445" t="s">
        <v>593</v>
      </c>
      <c r="X1445">
        <v>984</v>
      </c>
      <c r="Y1445" t="s">
        <v>26650</v>
      </c>
      <c r="Z1445" t="s">
        <v>26663</v>
      </c>
      <c r="AB1445" t="s">
        <v>28007</v>
      </c>
      <c r="AD1445" t="s">
        <v>38059</v>
      </c>
      <c r="AE1445">
        <v>6</v>
      </c>
      <c r="AF1445" t="s">
        <v>45545</v>
      </c>
      <c r="AG1445" t="s">
        <v>19330</v>
      </c>
      <c r="AH1445">
        <v>24</v>
      </c>
      <c r="AI1445">
        <v>1</v>
      </c>
      <c r="AJ1445">
        <v>0</v>
      </c>
      <c r="AK1445">
        <v>29.65</v>
      </c>
      <c r="AN1445" t="s">
        <v>45581</v>
      </c>
      <c r="AO1445">
        <v>3600</v>
      </c>
      <c r="AP1445" t="s">
        <v>45696</v>
      </c>
      <c r="AU1445">
        <v>43.9</v>
      </c>
      <c r="AV1445" t="s">
        <v>813</v>
      </c>
      <c r="AW1445" t="s">
        <v>46847</v>
      </c>
    </row>
    <row r="1446" spans="1:50">
      <c r="A1446" s="1">
        <f>HYPERLINK("https://lsnyc.legalserver.org/matter/dynamic-profile/view/1872893","18-1872893")</f>
        <v>0</v>
      </c>
      <c r="B1446" t="s">
        <v>69</v>
      </c>
      <c r="C1446" t="s">
        <v>340</v>
      </c>
      <c r="D1446" t="s">
        <v>409</v>
      </c>
      <c r="F1446" t="s">
        <v>1369</v>
      </c>
      <c r="G1446" t="s">
        <v>5969</v>
      </c>
      <c r="H1446" t="s">
        <v>10851</v>
      </c>
      <c r="I1446" t="s">
        <v>17436</v>
      </c>
      <c r="J1446" t="s">
        <v>18892</v>
      </c>
      <c r="K1446">
        <v>10455</v>
      </c>
      <c r="L1446" t="s">
        <v>18958</v>
      </c>
      <c r="M1446" t="s">
        <v>18958</v>
      </c>
      <c r="N1446" t="s">
        <v>20048</v>
      </c>
      <c r="O1446" t="s">
        <v>26523</v>
      </c>
      <c r="P1446" t="s">
        <v>26560</v>
      </c>
      <c r="R1446" t="s">
        <v>26577</v>
      </c>
      <c r="U1446" t="s">
        <v>26604</v>
      </c>
      <c r="V1446" t="s">
        <v>26613</v>
      </c>
      <c r="W1446" t="s">
        <v>593</v>
      </c>
      <c r="X1446">
        <v>1765.51</v>
      </c>
      <c r="Y1446" t="s">
        <v>26650</v>
      </c>
      <c r="Z1446" t="s">
        <v>26662</v>
      </c>
      <c r="AB1446" t="s">
        <v>28008</v>
      </c>
      <c r="AE1446">
        <v>0</v>
      </c>
      <c r="AH1446">
        <v>0</v>
      </c>
      <c r="AI1446">
        <v>3</v>
      </c>
      <c r="AJ1446">
        <v>3</v>
      </c>
      <c r="AK1446">
        <v>85.36</v>
      </c>
      <c r="AN1446" t="s">
        <v>45581</v>
      </c>
      <c r="AO1446">
        <v>28800</v>
      </c>
      <c r="AP1446" t="s">
        <v>45621</v>
      </c>
      <c r="AU1446">
        <v>17.85</v>
      </c>
      <c r="AV1446" t="s">
        <v>672</v>
      </c>
      <c r="AW1446" t="s">
        <v>46848</v>
      </c>
    </row>
    <row r="1447" spans="1:50">
      <c r="A1447" s="1">
        <f>HYPERLINK("https://lsnyc.legalserver.org/matter/dynamic-profile/view/1872575","18-1872575")</f>
        <v>0</v>
      </c>
      <c r="B1447" t="s">
        <v>63</v>
      </c>
      <c r="C1447" t="s">
        <v>340</v>
      </c>
      <c r="D1447" t="s">
        <v>409</v>
      </c>
      <c r="F1447" t="s">
        <v>1126</v>
      </c>
      <c r="G1447" t="s">
        <v>5970</v>
      </c>
      <c r="H1447" t="s">
        <v>10852</v>
      </c>
      <c r="I1447" t="s">
        <v>17664</v>
      </c>
      <c r="J1447" t="s">
        <v>18892</v>
      </c>
      <c r="K1447">
        <v>10463</v>
      </c>
      <c r="L1447" t="s">
        <v>18958</v>
      </c>
      <c r="M1447" t="s">
        <v>18958</v>
      </c>
      <c r="N1447" t="s">
        <v>20049</v>
      </c>
      <c r="O1447" t="s">
        <v>26524</v>
      </c>
      <c r="P1447" t="s">
        <v>26560</v>
      </c>
      <c r="R1447" t="s">
        <v>26578</v>
      </c>
      <c r="U1447" t="s">
        <v>26604</v>
      </c>
      <c r="W1447" t="s">
        <v>593</v>
      </c>
      <c r="X1447">
        <v>0</v>
      </c>
      <c r="Y1447" t="s">
        <v>26650</v>
      </c>
      <c r="AB1447" t="s">
        <v>28009</v>
      </c>
      <c r="AD1447" t="s">
        <v>34738</v>
      </c>
      <c r="AE1447">
        <v>145</v>
      </c>
      <c r="AH1447">
        <v>0</v>
      </c>
      <c r="AI1447">
        <v>1</v>
      </c>
      <c r="AJ1447">
        <v>0</v>
      </c>
      <c r="AK1447">
        <v>95.98</v>
      </c>
      <c r="AN1447" t="s">
        <v>45581</v>
      </c>
      <c r="AO1447">
        <v>11652</v>
      </c>
      <c r="AU1447">
        <v>15.5</v>
      </c>
      <c r="AV1447" t="s">
        <v>816</v>
      </c>
      <c r="AW1447" t="s">
        <v>336</v>
      </c>
    </row>
    <row r="1448" spans="1:50">
      <c r="A1448" s="1">
        <f>HYPERLINK("https://lsnyc.legalserver.org/matter/dynamic-profile/view/1872744","18-1872744")</f>
        <v>0</v>
      </c>
      <c r="B1448" t="s">
        <v>65</v>
      </c>
      <c r="C1448" t="s">
        <v>341</v>
      </c>
      <c r="D1448" t="s">
        <v>449</v>
      </c>
      <c r="E1448" t="s">
        <v>709</v>
      </c>
      <c r="F1448" t="s">
        <v>1776</v>
      </c>
      <c r="G1448" t="s">
        <v>5199</v>
      </c>
      <c r="H1448" t="s">
        <v>10853</v>
      </c>
      <c r="I1448" t="s">
        <v>17665</v>
      </c>
      <c r="J1448" t="s">
        <v>18892</v>
      </c>
      <c r="K1448">
        <v>10457</v>
      </c>
      <c r="L1448" t="s">
        <v>18958</v>
      </c>
      <c r="M1448" t="s">
        <v>18958</v>
      </c>
      <c r="N1448" t="s">
        <v>20050</v>
      </c>
      <c r="O1448" t="s">
        <v>26523</v>
      </c>
      <c r="P1448" t="s">
        <v>26560</v>
      </c>
      <c r="Q1448" t="s">
        <v>26568</v>
      </c>
      <c r="R1448" t="s">
        <v>26579</v>
      </c>
      <c r="S1448" t="s">
        <v>18959</v>
      </c>
      <c r="U1448" t="s">
        <v>26604</v>
      </c>
      <c r="V1448" t="s">
        <v>26609</v>
      </c>
      <c r="W1448" t="s">
        <v>593</v>
      </c>
      <c r="X1448">
        <v>1105.75</v>
      </c>
      <c r="Y1448" t="s">
        <v>26650</v>
      </c>
      <c r="Z1448" t="s">
        <v>26662</v>
      </c>
      <c r="AA1448" t="s">
        <v>26678</v>
      </c>
      <c r="AB1448" t="s">
        <v>28010</v>
      </c>
      <c r="AD1448" t="s">
        <v>38060</v>
      </c>
      <c r="AE1448">
        <v>0</v>
      </c>
      <c r="AF1448" t="s">
        <v>45541</v>
      </c>
      <c r="AG1448" t="s">
        <v>19330</v>
      </c>
      <c r="AH1448">
        <v>1</v>
      </c>
      <c r="AI1448">
        <v>1</v>
      </c>
      <c r="AJ1448">
        <v>1</v>
      </c>
      <c r="AK1448">
        <v>97.93000000000001</v>
      </c>
      <c r="AN1448" t="s">
        <v>45581</v>
      </c>
      <c r="AO1448">
        <v>16120</v>
      </c>
      <c r="AQ1448" t="s">
        <v>46362</v>
      </c>
      <c r="AR1448" t="s">
        <v>46385</v>
      </c>
      <c r="AS1448" t="s">
        <v>46499</v>
      </c>
      <c r="AT1448" t="s">
        <v>46533</v>
      </c>
      <c r="AU1448">
        <v>11.8</v>
      </c>
      <c r="AV1448" t="s">
        <v>675</v>
      </c>
      <c r="AW1448" t="s">
        <v>46831</v>
      </c>
    </row>
    <row r="1449" spans="1:50">
      <c r="A1449" s="1">
        <f>HYPERLINK("https://lsnyc.legalserver.org/matter/dynamic-profile/view/1872965","18-1872965")</f>
        <v>0</v>
      </c>
      <c r="B1449" t="s">
        <v>232</v>
      </c>
      <c r="C1449" t="s">
        <v>341</v>
      </c>
      <c r="D1449" t="s">
        <v>436</v>
      </c>
      <c r="E1449" t="s">
        <v>763</v>
      </c>
      <c r="F1449" t="s">
        <v>1777</v>
      </c>
      <c r="G1449" t="s">
        <v>5971</v>
      </c>
      <c r="H1449" t="s">
        <v>10854</v>
      </c>
      <c r="I1449" t="s">
        <v>17430</v>
      </c>
      <c r="J1449" t="s">
        <v>18894</v>
      </c>
      <c r="K1449">
        <v>11236</v>
      </c>
      <c r="L1449" t="s">
        <v>18958</v>
      </c>
      <c r="M1449" t="s">
        <v>18958</v>
      </c>
      <c r="N1449" t="s">
        <v>20051</v>
      </c>
      <c r="O1449" t="s">
        <v>26524</v>
      </c>
      <c r="P1449" t="s">
        <v>26560</v>
      </c>
      <c r="Q1449" t="s">
        <v>26575</v>
      </c>
      <c r="R1449" t="s">
        <v>26586</v>
      </c>
      <c r="S1449" t="s">
        <v>18959</v>
      </c>
      <c r="U1449" t="s">
        <v>26604</v>
      </c>
      <c r="V1449" t="s">
        <v>26610</v>
      </c>
      <c r="W1449" t="s">
        <v>593</v>
      </c>
      <c r="X1449">
        <v>2450</v>
      </c>
      <c r="Y1449" t="s">
        <v>26652</v>
      </c>
      <c r="Z1449" t="s">
        <v>26662</v>
      </c>
      <c r="AA1449" t="s">
        <v>26679</v>
      </c>
      <c r="AB1449" t="s">
        <v>28011</v>
      </c>
      <c r="AD1449" t="s">
        <v>38061</v>
      </c>
      <c r="AE1449">
        <v>2</v>
      </c>
      <c r="AF1449" t="s">
        <v>45547</v>
      </c>
      <c r="AG1449" t="s">
        <v>19330</v>
      </c>
      <c r="AH1449">
        <v>1</v>
      </c>
      <c r="AI1449">
        <v>2</v>
      </c>
      <c r="AJ1449">
        <v>0</v>
      </c>
      <c r="AK1449">
        <v>97.98</v>
      </c>
      <c r="AN1449" t="s">
        <v>7439</v>
      </c>
      <c r="AO1449">
        <v>16128</v>
      </c>
      <c r="AU1449">
        <v>37.65</v>
      </c>
      <c r="AV1449" t="s">
        <v>793</v>
      </c>
      <c r="AW1449" t="s">
        <v>46853</v>
      </c>
    </row>
    <row r="1450" spans="1:50">
      <c r="A1450" s="1">
        <f>HYPERLINK("https://lsnyc.legalserver.org/matter/dynamic-profile/view/1872879","18-1872879")</f>
        <v>0</v>
      </c>
      <c r="B1450" t="s">
        <v>227</v>
      </c>
      <c r="C1450" t="s">
        <v>341</v>
      </c>
      <c r="D1450" t="s">
        <v>436</v>
      </c>
      <c r="E1450" t="s">
        <v>697</v>
      </c>
      <c r="F1450" t="s">
        <v>1778</v>
      </c>
      <c r="G1450" t="s">
        <v>4311</v>
      </c>
      <c r="H1450" t="s">
        <v>10855</v>
      </c>
      <c r="I1450" t="s">
        <v>17374</v>
      </c>
      <c r="J1450" t="s">
        <v>18894</v>
      </c>
      <c r="K1450">
        <v>11208</v>
      </c>
      <c r="L1450" t="s">
        <v>18958</v>
      </c>
      <c r="M1450" t="s">
        <v>18958</v>
      </c>
      <c r="N1450" t="s">
        <v>20052</v>
      </c>
      <c r="O1450" t="s">
        <v>26524</v>
      </c>
      <c r="P1450" t="s">
        <v>26560</v>
      </c>
      <c r="Q1450" t="s">
        <v>26568</v>
      </c>
      <c r="R1450" t="s">
        <v>26586</v>
      </c>
      <c r="U1450" t="s">
        <v>26604</v>
      </c>
      <c r="W1450" t="s">
        <v>593</v>
      </c>
      <c r="X1450">
        <v>600</v>
      </c>
      <c r="Y1450" t="s">
        <v>26652</v>
      </c>
      <c r="Z1450" t="s">
        <v>26662</v>
      </c>
      <c r="AA1450" t="s">
        <v>26679</v>
      </c>
      <c r="AB1450" t="s">
        <v>28012</v>
      </c>
      <c r="AD1450" t="s">
        <v>38062</v>
      </c>
      <c r="AE1450">
        <v>0</v>
      </c>
      <c r="AH1450">
        <v>6</v>
      </c>
      <c r="AI1450">
        <v>1</v>
      </c>
      <c r="AJ1450">
        <v>0</v>
      </c>
      <c r="AK1450">
        <v>106.06</v>
      </c>
      <c r="AN1450" t="s">
        <v>7439</v>
      </c>
      <c r="AO1450">
        <v>12876</v>
      </c>
      <c r="AU1450">
        <v>25</v>
      </c>
      <c r="AV1450" t="s">
        <v>641</v>
      </c>
      <c r="AW1450" t="s">
        <v>46853</v>
      </c>
    </row>
    <row r="1451" spans="1:50">
      <c r="A1451" s="1">
        <f>HYPERLINK("https://lsnyc.legalserver.org/matter/dynamic-profile/view/1872872","18-1872872")</f>
        <v>0</v>
      </c>
      <c r="B1451" t="s">
        <v>227</v>
      </c>
      <c r="C1451" t="s">
        <v>341</v>
      </c>
      <c r="D1451" t="s">
        <v>436</v>
      </c>
      <c r="E1451" t="s">
        <v>735</v>
      </c>
      <c r="F1451" t="s">
        <v>1523</v>
      </c>
      <c r="G1451" t="s">
        <v>5972</v>
      </c>
      <c r="H1451" t="s">
        <v>10855</v>
      </c>
      <c r="I1451" t="s">
        <v>17374</v>
      </c>
      <c r="J1451" t="s">
        <v>18894</v>
      </c>
      <c r="K1451">
        <v>11208</v>
      </c>
      <c r="L1451" t="s">
        <v>18958</v>
      </c>
      <c r="M1451" t="s">
        <v>18958</v>
      </c>
      <c r="N1451" t="s">
        <v>20053</v>
      </c>
      <c r="O1451" t="s">
        <v>26524</v>
      </c>
      <c r="P1451" t="s">
        <v>26560</v>
      </c>
      <c r="Q1451" t="s">
        <v>26568</v>
      </c>
      <c r="R1451" t="s">
        <v>26586</v>
      </c>
      <c r="U1451" t="s">
        <v>26604</v>
      </c>
      <c r="W1451" t="s">
        <v>593</v>
      </c>
      <c r="X1451">
        <v>3200</v>
      </c>
      <c r="Y1451" t="s">
        <v>26652</v>
      </c>
      <c r="Z1451" t="s">
        <v>26662</v>
      </c>
      <c r="AA1451" t="s">
        <v>26690</v>
      </c>
      <c r="AB1451" t="s">
        <v>28013</v>
      </c>
      <c r="AD1451" t="s">
        <v>38063</v>
      </c>
      <c r="AE1451">
        <v>0</v>
      </c>
      <c r="AH1451">
        <v>7</v>
      </c>
      <c r="AI1451">
        <v>2</v>
      </c>
      <c r="AJ1451">
        <v>3</v>
      </c>
      <c r="AK1451">
        <v>135.96</v>
      </c>
      <c r="AN1451" t="s">
        <v>7439</v>
      </c>
      <c r="AO1451">
        <v>40000</v>
      </c>
      <c r="AU1451">
        <v>57.5</v>
      </c>
      <c r="AV1451" t="s">
        <v>703</v>
      </c>
      <c r="AW1451" t="s">
        <v>46853</v>
      </c>
    </row>
    <row r="1452" spans="1:50">
      <c r="A1452" s="1">
        <f>HYPERLINK("https://lsnyc.legalserver.org/matter/dynamic-profile/view/1872970","18-1872970")</f>
        <v>0</v>
      </c>
      <c r="B1452" t="s">
        <v>129</v>
      </c>
      <c r="C1452" t="s">
        <v>341</v>
      </c>
      <c r="D1452" t="s">
        <v>436</v>
      </c>
      <c r="E1452" t="s">
        <v>494</v>
      </c>
      <c r="F1452" t="s">
        <v>1779</v>
      </c>
      <c r="G1452" t="s">
        <v>5955</v>
      </c>
      <c r="H1452" t="s">
        <v>10856</v>
      </c>
      <c r="I1452" t="s">
        <v>17316</v>
      </c>
      <c r="J1452" t="s">
        <v>18894</v>
      </c>
      <c r="K1452">
        <v>11226</v>
      </c>
      <c r="L1452" t="s">
        <v>18958</v>
      </c>
      <c r="M1452" t="s">
        <v>18958</v>
      </c>
      <c r="N1452" t="s">
        <v>20054</v>
      </c>
      <c r="O1452" t="s">
        <v>26533</v>
      </c>
      <c r="P1452" t="s">
        <v>26560</v>
      </c>
      <c r="Q1452" t="s">
        <v>26571</v>
      </c>
      <c r="R1452" t="s">
        <v>26588</v>
      </c>
      <c r="U1452" t="s">
        <v>26604</v>
      </c>
      <c r="W1452" t="s">
        <v>593</v>
      </c>
      <c r="X1452">
        <v>1920</v>
      </c>
      <c r="Y1452" t="s">
        <v>26652</v>
      </c>
      <c r="Z1452" t="s">
        <v>26662</v>
      </c>
      <c r="AA1452" t="s">
        <v>26687</v>
      </c>
      <c r="AB1452" t="s">
        <v>28014</v>
      </c>
      <c r="AD1452" t="s">
        <v>38064</v>
      </c>
      <c r="AE1452">
        <v>0</v>
      </c>
      <c r="AG1452" t="s">
        <v>19330</v>
      </c>
      <c r="AH1452">
        <v>4</v>
      </c>
      <c r="AI1452">
        <v>1</v>
      </c>
      <c r="AJ1452">
        <v>0</v>
      </c>
      <c r="AK1452">
        <v>176.26</v>
      </c>
      <c r="AN1452" t="s">
        <v>7439</v>
      </c>
      <c r="AO1452">
        <v>21398</v>
      </c>
      <c r="AU1452">
        <v>0.75</v>
      </c>
      <c r="AV1452" t="s">
        <v>415</v>
      </c>
      <c r="AW1452" t="s">
        <v>46853</v>
      </c>
    </row>
    <row r="1453" spans="1:50">
      <c r="A1453" s="1">
        <f>HYPERLINK("https://lsnyc.legalserver.org/matter/dynamic-profile/view/1872929","18-1872929")</f>
        <v>0</v>
      </c>
      <c r="B1453" t="s">
        <v>158</v>
      </c>
      <c r="C1453" t="s">
        <v>340</v>
      </c>
      <c r="D1453" t="s">
        <v>436</v>
      </c>
      <c r="F1453" t="s">
        <v>999</v>
      </c>
      <c r="G1453" t="s">
        <v>5973</v>
      </c>
      <c r="H1453" t="s">
        <v>10857</v>
      </c>
      <c r="I1453" t="s">
        <v>17291</v>
      </c>
      <c r="J1453" t="s">
        <v>18894</v>
      </c>
      <c r="K1453">
        <v>11215</v>
      </c>
      <c r="L1453" t="s">
        <v>18958</v>
      </c>
      <c r="M1453" t="s">
        <v>18958</v>
      </c>
      <c r="N1453" t="s">
        <v>20055</v>
      </c>
      <c r="O1453" t="s">
        <v>26523</v>
      </c>
      <c r="P1453" t="s">
        <v>26560</v>
      </c>
      <c r="R1453" t="s">
        <v>26586</v>
      </c>
      <c r="U1453" t="s">
        <v>26604</v>
      </c>
      <c r="V1453" t="s">
        <v>26612</v>
      </c>
      <c r="W1453" t="s">
        <v>593</v>
      </c>
      <c r="X1453">
        <v>884</v>
      </c>
      <c r="Y1453" t="s">
        <v>26652</v>
      </c>
      <c r="Z1453" t="s">
        <v>26662</v>
      </c>
      <c r="AB1453" t="s">
        <v>28015</v>
      </c>
      <c r="AD1453" t="s">
        <v>38065</v>
      </c>
      <c r="AE1453">
        <v>6</v>
      </c>
      <c r="AH1453">
        <v>37</v>
      </c>
      <c r="AI1453">
        <v>3</v>
      </c>
      <c r="AJ1453">
        <v>0</v>
      </c>
      <c r="AK1453">
        <v>43.32</v>
      </c>
      <c r="AN1453" t="s">
        <v>7439</v>
      </c>
      <c r="AO1453">
        <v>9002.4</v>
      </c>
      <c r="AQ1453" t="s">
        <v>46359</v>
      </c>
      <c r="AR1453" t="s">
        <v>46381</v>
      </c>
      <c r="AS1453" t="s">
        <v>46499</v>
      </c>
      <c r="AT1453" t="s">
        <v>46637</v>
      </c>
      <c r="AU1453">
        <v>9</v>
      </c>
      <c r="AV1453" t="s">
        <v>857</v>
      </c>
      <c r="AW1453" t="s">
        <v>281</v>
      </c>
      <c r="AX1453" t="s">
        <v>46897</v>
      </c>
    </row>
    <row r="1454" spans="1:50">
      <c r="A1454" s="1">
        <f>HYPERLINK("https://lsnyc.legalserver.org/matter/dynamic-profile/view/1872940","18-1872940")</f>
        <v>0</v>
      </c>
      <c r="B1454" t="s">
        <v>158</v>
      </c>
      <c r="C1454" t="s">
        <v>340</v>
      </c>
      <c r="D1454" t="s">
        <v>436</v>
      </c>
      <c r="F1454" t="s">
        <v>1780</v>
      </c>
      <c r="G1454" t="s">
        <v>5974</v>
      </c>
      <c r="H1454" t="s">
        <v>10858</v>
      </c>
      <c r="I1454" t="s">
        <v>17468</v>
      </c>
      <c r="J1454" t="s">
        <v>18894</v>
      </c>
      <c r="K1454">
        <v>11205</v>
      </c>
      <c r="L1454" t="s">
        <v>18958</v>
      </c>
      <c r="M1454" t="s">
        <v>18958</v>
      </c>
      <c r="N1454" t="s">
        <v>20056</v>
      </c>
      <c r="O1454" t="s">
        <v>26523</v>
      </c>
      <c r="P1454" t="s">
        <v>26560</v>
      </c>
      <c r="R1454" t="s">
        <v>26586</v>
      </c>
      <c r="S1454" t="s">
        <v>18959</v>
      </c>
      <c r="U1454" t="s">
        <v>26604</v>
      </c>
      <c r="V1454" t="s">
        <v>26610</v>
      </c>
      <c r="W1454" t="s">
        <v>593</v>
      </c>
      <c r="X1454">
        <v>2285.54</v>
      </c>
      <c r="Y1454" t="s">
        <v>26652</v>
      </c>
      <c r="Z1454" t="s">
        <v>26662</v>
      </c>
      <c r="AB1454" t="s">
        <v>28016</v>
      </c>
      <c r="AD1454" t="s">
        <v>38066</v>
      </c>
      <c r="AE1454">
        <v>16</v>
      </c>
      <c r="AH1454">
        <v>14</v>
      </c>
      <c r="AI1454">
        <v>1</v>
      </c>
      <c r="AJ1454">
        <v>0</v>
      </c>
      <c r="AK1454">
        <v>65.90000000000001</v>
      </c>
      <c r="AN1454" t="s">
        <v>7439</v>
      </c>
      <c r="AO1454">
        <v>8000</v>
      </c>
      <c r="AU1454">
        <v>6.5</v>
      </c>
      <c r="AV1454" t="s">
        <v>857</v>
      </c>
      <c r="AW1454" t="s">
        <v>281</v>
      </c>
    </row>
    <row r="1455" spans="1:50">
      <c r="A1455" s="1">
        <f>HYPERLINK("https://lsnyc.legalserver.org/matter/dynamic-profile/view/1872959","18-1872959")</f>
        <v>0</v>
      </c>
      <c r="B1455" t="s">
        <v>170</v>
      </c>
      <c r="C1455" t="s">
        <v>340</v>
      </c>
      <c r="D1455" t="s">
        <v>436</v>
      </c>
      <c r="F1455" t="s">
        <v>1781</v>
      </c>
      <c r="G1455" t="s">
        <v>5975</v>
      </c>
      <c r="H1455" t="s">
        <v>10859</v>
      </c>
      <c r="I1455" t="s">
        <v>17380</v>
      </c>
      <c r="J1455" t="s">
        <v>18894</v>
      </c>
      <c r="K1455">
        <v>11210</v>
      </c>
      <c r="L1455" t="s">
        <v>18958</v>
      </c>
      <c r="M1455" t="s">
        <v>18958</v>
      </c>
      <c r="N1455" t="s">
        <v>20057</v>
      </c>
      <c r="O1455" t="s">
        <v>26524</v>
      </c>
      <c r="P1455" t="s">
        <v>26560</v>
      </c>
      <c r="R1455" t="s">
        <v>26586</v>
      </c>
      <c r="U1455" t="s">
        <v>26604</v>
      </c>
      <c r="W1455" t="s">
        <v>593</v>
      </c>
      <c r="X1455">
        <v>876.22</v>
      </c>
      <c r="Y1455" t="s">
        <v>26652</v>
      </c>
      <c r="Z1455" t="s">
        <v>26662</v>
      </c>
      <c r="AB1455" t="s">
        <v>28017</v>
      </c>
      <c r="AD1455" t="s">
        <v>38067</v>
      </c>
      <c r="AE1455">
        <v>0</v>
      </c>
      <c r="AG1455" t="s">
        <v>19330</v>
      </c>
      <c r="AH1455">
        <v>31</v>
      </c>
      <c r="AI1455">
        <v>1</v>
      </c>
      <c r="AJ1455">
        <v>0</v>
      </c>
      <c r="AK1455">
        <v>82.29000000000001</v>
      </c>
      <c r="AN1455" t="s">
        <v>7439</v>
      </c>
      <c r="AO1455">
        <v>9990</v>
      </c>
      <c r="AQ1455" t="s">
        <v>46361</v>
      </c>
      <c r="AR1455" t="s">
        <v>26530</v>
      </c>
      <c r="AU1455">
        <v>20.4</v>
      </c>
      <c r="AV1455" t="s">
        <v>735</v>
      </c>
      <c r="AW1455" t="s">
        <v>46853</v>
      </c>
    </row>
    <row r="1456" spans="1:50">
      <c r="A1456" s="1">
        <f>HYPERLINK("https://lsnyc.legalserver.org/matter/dynamic-profile/view/1873048","18-1873048")</f>
        <v>0</v>
      </c>
      <c r="B1456" t="s">
        <v>66</v>
      </c>
      <c r="C1456" t="s">
        <v>341</v>
      </c>
      <c r="D1456" t="s">
        <v>440</v>
      </c>
      <c r="E1456" t="s">
        <v>413</v>
      </c>
      <c r="F1456" t="s">
        <v>1782</v>
      </c>
      <c r="G1456" t="s">
        <v>1203</v>
      </c>
      <c r="H1456" t="s">
        <v>10860</v>
      </c>
      <c r="I1456" t="s">
        <v>17666</v>
      </c>
      <c r="J1456" t="s">
        <v>18892</v>
      </c>
      <c r="K1456">
        <v>10463</v>
      </c>
      <c r="L1456" t="s">
        <v>18959</v>
      </c>
      <c r="M1456" t="s">
        <v>18958</v>
      </c>
      <c r="N1456" t="s">
        <v>20058</v>
      </c>
      <c r="O1456" t="s">
        <v>26523</v>
      </c>
      <c r="P1456" t="s">
        <v>26564</v>
      </c>
      <c r="Q1456" t="s">
        <v>26570</v>
      </c>
      <c r="R1456" t="s">
        <v>26582</v>
      </c>
      <c r="S1456" t="s">
        <v>18959</v>
      </c>
      <c r="U1456" t="s">
        <v>26604</v>
      </c>
      <c r="W1456" t="s">
        <v>593</v>
      </c>
      <c r="X1456">
        <v>1708.84</v>
      </c>
      <c r="Y1456" t="s">
        <v>26651</v>
      </c>
      <c r="Z1456" t="s">
        <v>26664</v>
      </c>
      <c r="AA1456" t="s">
        <v>26689</v>
      </c>
      <c r="AB1456" t="s">
        <v>28018</v>
      </c>
      <c r="AD1456" t="s">
        <v>38068</v>
      </c>
      <c r="AE1456">
        <v>0</v>
      </c>
      <c r="AG1456" t="s">
        <v>19330</v>
      </c>
      <c r="AH1456">
        <v>45</v>
      </c>
      <c r="AI1456">
        <v>2</v>
      </c>
      <c r="AJ1456">
        <v>0</v>
      </c>
      <c r="AK1456">
        <v>160.53</v>
      </c>
      <c r="AO1456">
        <v>26424</v>
      </c>
      <c r="AU1456">
        <v>3.75</v>
      </c>
      <c r="AV1456" t="s">
        <v>606</v>
      </c>
      <c r="AW1456" t="s">
        <v>46845</v>
      </c>
    </row>
    <row r="1457" spans="1:50">
      <c r="A1457" s="1">
        <f>HYPERLINK("https://lsnyc.legalserver.org/matter/dynamic-profile/view/1873081","18-1873081")</f>
        <v>0</v>
      </c>
      <c r="B1457" t="s">
        <v>152</v>
      </c>
      <c r="C1457" t="s">
        <v>341</v>
      </c>
      <c r="D1457" t="s">
        <v>440</v>
      </c>
      <c r="E1457" t="s">
        <v>822</v>
      </c>
      <c r="F1457" t="s">
        <v>1783</v>
      </c>
      <c r="G1457" t="s">
        <v>4632</v>
      </c>
      <c r="H1457" t="s">
        <v>10861</v>
      </c>
      <c r="I1457" t="s">
        <v>17667</v>
      </c>
      <c r="J1457" t="s">
        <v>18903</v>
      </c>
      <c r="K1457">
        <v>10467</v>
      </c>
      <c r="L1457" t="s">
        <v>18958</v>
      </c>
      <c r="M1457" t="s">
        <v>18958</v>
      </c>
      <c r="N1457" t="s">
        <v>20059</v>
      </c>
      <c r="O1457" t="s">
        <v>26524</v>
      </c>
      <c r="P1457" t="s">
        <v>26560</v>
      </c>
      <c r="Q1457" t="s">
        <v>26575</v>
      </c>
      <c r="R1457" t="s">
        <v>26578</v>
      </c>
      <c r="S1457" t="s">
        <v>18959</v>
      </c>
      <c r="U1457" t="s">
        <v>26604</v>
      </c>
      <c r="V1457" t="s">
        <v>26612</v>
      </c>
      <c r="W1457" t="s">
        <v>593</v>
      </c>
      <c r="X1457">
        <v>840.63</v>
      </c>
      <c r="Y1457" t="s">
        <v>26650</v>
      </c>
      <c r="Z1457" t="s">
        <v>26664</v>
      </c>
      <c r="AA1457" t="s">
        <v>26679</v>
      </c>
      <c r="AB1457" t="s">
        <v>28019</v>
      </c>
      <c r="AD1457" t="s">
        <v>38069</v>
      </c>
      <c r="AE1457">
        <v>66</v>
      </c>
      <c r="AF1457" t="s">
        <v>45548</v>
      </c>
      <c r="AG1457" t="s">
        <v>19330</v>
      </c>
      <c r="AH1457">
        <v>60</v>
      </c>
      <c r="AI1457">
        <v>1</v>
      </c>
      <c r="AJ1457">
        <v>0</v>
      </c>
      <c r="AK1457">
        <v>345.07</v>
      </c>
      <c r="AL1457" t="s">
        <v>415</v>
      </c>
      <c r="AM1457" t="s">
        <v>45575</v>
      </c>
      <c r="AN1457" t="s">
        <v>7439</v>
      </c>
      <c r="AO1457">
        <v>41892</v>
      </c>
      <c r="AP1457" t="s">
        <v>45710</v>
      </c>
      <c r="AQ1457" t="s">
        <v>46365</v>
      </c>
      <c r="AR1457" t="s">
        <v>26530</v>
      </c>
      <c r="AS1457" t="s">
        <v>46500</v>
      </c>
      <c r="AT1457" t="s">
        <v>46585</v>
      </c>
      <c r="AU1457">
        <v>6.6</v>
      </c>
      <c r="AV1457" t="s">
        <v>645</v>
      </c>
      <c r="AW1457" t="s">
        <v>46847</v>
      </c>
    </row>
    <row r="1458" spans="1:50">
      <c r="A1458" s="1">
        <f>HYPERLINK("https://lsnyc.legalserver.org/matter/dynamic-profile/view/1876802","18-1876802")</f>
        <v>0</v>
      </c>
      <c r="B1458" t="s">
        <v>67</v>
      </c>
      <c r="C1458" t="s">
        <v>340</v>
      </c>
      <c r="D1458" t="s">
        <v>440</v>
      </c>
      <c r="F1458" t="s">
        <v>1784</v>
      </c>
      <c r="G1458" t="s">
        <v>5976</v>
      </c>
      <c r="H1458" t="s">
        <v>10156</v>
      </c>
      <c r="I1458" t="s">
        <v>17291</v>
      </c>
      <c r="J1458" t="s">
        <v>18892</v>
      </c>
      <c r="K1458">
        <v>10456</v>
      </c>
      <c r="L1458" t="s">
        <v>18958</v>
      </c>
      <c r="M1458" t="s">
        <v>18958</v>
      </c>
      <c r="N1458" t="s">
        <v>20060</v>
      </c>
      <c r="O1458" t="s">
        <v>26526</v>
      </c>
      <c r="P1458" t="s">
        <v>26560</v>
      </c>
      <c r="R1458" t="s">
        <v>26578</v>
      </c>
      <c r="S1458" t="s">
        <v>18958</v>
      </c>
      <c r="U1458" t="s">
        <v>26604</v>
      </c>
      <c r="W1458" t="s">
        <v>593</v>
      </c>
      <c r="X1458">
        <v>525</v>
      </c>
      <c r="Y1458" t="s">
        <v>26650</v>
      </c>
      <c r="Z1458" t="s">
        <v>26663</v>
      </c>
      <c r="AB1458" t="s">
        <v>28020</v>
      </c>
      <c r="AE1458">
        <v>131</v>
      </c>
      <c r="AF1458" t="s">
        <v>45541</v>
      </c>
      <c r="AG1458" t="s">
        <v>19330</v>
      </c>
      <c r="AH1458">
        <v>12</v>
      </c>
      <c r="AI1458">
        <v>1</v>
      </c>
      <c r="AJ1458">
        <v>0</v>
      </c>
      <c r="AK1458">
        <v>82.37</v>
      </c>
      <c r="AN1458" t="s">
        <v>7439</v>
      </c>
      <c r="AO1458">
        <v>10000</v>
      </c>
      <c r="AU1458">
        <v>0</v>
      </c>
      <c r="AW1458" t="s">
        <v>336</v>
      </c>
    </row>
    <row r="1459" spans="1:50">
      <c r="A1459" s="1">
        <f>HYPERLINK("https://lsnyc.legalserver.org/matter/dynamic-profile/view/1876811","18-1876811")</f>
        <v>0</v>
      </c>
      <c r="B1459" t="s">
        <v>67</v>
      </c>
      <c r="C1459" t="s">
        <v>340</v>
      </c>
      <c r="D1459" t="s">
        <v>440</v>
      </c>
      <c r="F1459" t="s">
        <v>990</v>
      </c>
      <c r="G1459" t="s">
        <v>5977</v>
      </c>
      <c r="H1459" t="s">
        <v>10156</v>
      </c>
      <c r="I1459" t="s">
        <v>17327</v>
      </c>
      <c r="J1459" t="s">
        <v>18892</v>
      </c>
      <c r="K1459">
        <v>10456</v>
      </c>
      <c r="L1459" t="s">
        <v>18958</v>
      </c>
      <c r="M1459" t="s">
        <v>18958</v>
      </c>
      <c r="N1459" t="s">
        <v>20061</v>
      </c>
      <c r="O1459" t="s">
        <v>26534</v>
      </c>
      <c r="P1459" t="s">
        <v>26561</v>
      </c>
      <c r="R1459" t="s">
        <v>26578</v>
      </c>
      <c r="S1459" t="s">
        <v>18958</v>
      </c>
      <c r="U1459" t="s">
        <v>26604</v>
      </c>
      <c r="W1459" t="s">
        <v>593</v>
      </c>
      <c r="X1459">
        <v>947.5</v>
      </c>
      <c r="Y1459" t="s">
        <v>26650</v>
      </c>
      <c r="Z1459" t="s">
        <v>26663</v>
      </c>
      <c r="AB1459" t="s">
        <v>28021</v>
      </c>
      <c r="AD1459" t="s">
        <v>38070</v>
      </c>
      <c r="AE1459">
        <v>131</v>
      </c>
      <c r="AF1459" t="s">
        <v>45541</v>
      </c>
      <c r="AG1459" t="s">
        <v>19330</v>
      </c>
      <c r="AH1459">
        <v>25</v>
      </c>
      <c r="AI1459">
        <v>2</v>
      </c>
      <c r="AJ1459">
        <v>0</v>
      </c>
      <c r="AK1459">
        <v>109.36</v>
      </c>
      <c r="AN1459" t="s">
        <v>7439</v>
      </c>
      <c r="AO1459">
        <v>18000</v>
      </c>
      <c r="AU1459">
        <v>0</v>
      </c>
      <c r="AW1459" t="s">
        <v>336</v>
      </c>
    </row>
    <row r="1460" spans="1:50">
      <c r="A1460" s="1">
        <f>HYPERLINK("https://lsnyc.legalserver.org/matter/dynamic-profile/view/1876839","18-1876839")</f>
        <v>0</v>
      </c>
      <c r="B1460" t="s">
        <v>67</v>
      </c>
      <c r="C1460" t="s">
        <v>340</v>
      </c>
      <c r="D1460" t="s">
        <v>440</v>
      </c>
      <c r="F1460" t="s">
        <v>1785</v>
      </c>
      <c r="G1460" t="s">
        <v>5978</v>
      </c>
      <c r="H1460" t="s">
        <v>10156</v>
      </c>
      <c r="I1460" t="s">
        <v>17301</v>
      </c>
      <c r="J1460" t="s">
        <v>18892</v>
      </c>
      <c r="K1460">
        <v>10456</v>
      </c>
      <c r="L1460" t="s">
        <v>18958</v>
      </c>
      <c r="M1460" t="s">
        <v>18958</v>
      </c>
      <c r="N1460" t="s">
        <v>20061</v>
      </c>
      <c r="O1460" t="s">
        <v>26534</v>
      </c>
      <c r="P1460" t="s">
        <v>26561</v>
      </c>
      <c r="R1460" t="s">
        <v>26578</v>
      </c>
      <c r="S1460" t="s">
        <v>18958</v>
      </c>
      <c r="U1460" t="s">
        <v>26604</v>
      </c>
      <c r="W1460" t="s">
        <v>593</v>
      </c>
      <c r="X1460">
        <v>1330.07</v>
      </c>
      <c r="Y1460" t="s">
        <v>26650</v>
      </c>
      <c r="Z1460" t="s">
        <v>26663</v>
      </c>
      <c r="AB1460" t="s">
        <v>28022</v>
      </c>
      <c r="AD1460" t="s">
        <v>38071</v>
      </c>
      <c r="AE1460">
        <v>131</v>
      </c>
      <c r="AF1460" t="s">
        <v>45541</v>
      </c>
      <c r="AG1460" t="s">
        <v>19330</v>
      </c>
      <c r="AH1460">
        <v>3</v>
      </c>
      <c r="AI1460">
        <v>1</v>
      </c>
      <c r="AJ1460">
        <v>2</v>
      </c>
      <c r="AK1460">
        <v>125.12</v>
      </c>
      <c r="AN1460" t="s">
        <v>45581</v>
      </c>
      <c r="AO1460">
        <v>26000</v>
      </c>
      <c r="AU1460">
        <v>0</v>
      </c>
      <c r="AW1460" t="s">
        <v>336</v>
      </c>
    </row>
    <row r="1461" spans="1:50">
      <c r="A1461" s="1">
        <f>HYPERLINK("https://lsnyc.legalserver.org/matter/dynamic-profile/view/1876809","18-1876809")</f>
        <v>0</v>
      </c>
      <c r="B1461" t="s">
        <v>67</v>
      </c>
      <c r="C1461" t="s">
        <v>340</v>
      </c>
      <c r="D1461" t="s">
        <v>440</v>
      </c>
      <c r="F1461" t="s">
        <v>1786</v>
      </c>
      <c r="G1461" t="s">
        <v>5026</v>
      </c>
      <c r="H1461" t="s">
        <v>10156</v>
      </c>
      <c r="I1461" t="s">
        <v>17272</v>
      </c>
      <c r="J1461" t="s">
        <v>18892</v>
      </c>
      <c r="K1461">
        <v>10456</v>
      </c>
      <c r="L1461" t="s">
        <v>18958</v>
      </c>
      <c r="M1461" t="s">
        <v>18958</v>
      </c>
      <c r="N1461" t="s">
        <v>20062</v>
      </c>
      <c r="O1461" t="s">
        <v>26534</v>
      </c>
      <c r="P1461" t="s">
        <v>26561</v>
      </c>
      <c r="R1461" t="s">
        <v>26578</v>
      </c>
      <c r="S1461" t="s">
        <v>18958</v>
      </c>
      <c r="U1461" t="s">
        <v>26604</v>
      </c>
      <c r="W1461" t="s">
        <v>593</v>
      </c>
      <c r="X1461">
        <v>886</v>
      </c>
      <c r="Y1461" t="s">
        <v>26650</v>
      </c>
      <c r="Z1461" t="s">
        <v>26663</v>
      </c>
      <c r="AB1461" t="s">
        <v>28023</v>
      </c>
      <c r="AD1461" t="s">
        <v>38072</v>
      </c>
      <c r="AE1461">
        <v>131</v>
      </c>
      <c r="AF1461" t="s">
        <v>45541</v>
      </c>
      <c r="AG1461" t="s">
        <v>19330</v>
      </c>
      <c r="AH1461">
        <v>28</v>
      </c>
      <c r="AI1461">
        <v>2</v>
      </c>
      <c r="AJ1461">
        <v>0</v>
      </c>
      <c r="AK1461">
        <v>255.16</v>
      </c>
      <c r="AN1461" t="s">
        <v>7439</v>
      </c>
      <c r="AO1461">
        <v>42000</v>
      </c>
      <c r="AU1461">
        <v>1.5</v>
      </c>
      <c r="AV1461" t="s">
        <v>741</v>
      </c>
      <c r="AW1461" t="s">
        <v>336</v>
      </c>
    </row>
    <row r="1462" spans="1:50">
      <c r="A1462" s="1">
        <f>HYPERLINK("https://lsnyc.legalserver.org/matter/dynamic-profile/view/1873142","18-1873142")</f>
        <v>0</v>
      </c>
      <c r="B1462" t="s">
        <v>81</v>
      </c>
      <c r="C1462" t="s">
        <v>341</v>
      </c>
      <c r="D1462" t="s">
        <v>410</v>
      </c>
      <c r="E1462" t="s">
        <v>759</v>
      </c>
      <c r="F1462" t="s">
        <v>1787</v>
      </c>
      <c r="G1462" t="s">
        <v>4036</v>
      </c>
      <c r="H1462" t="s">
        <v>10862</v>
      </c>
      <c r="I1462" t="s">
        <v>17355</v>
      </c>
      <c r="J1462" t="s">
        <v>18892</v>
      </c>
      <c r="K1462">
        <v>10458</v>
      </c>
      <c r="L1462" t="s">
        <v>18958</v>
      </c>
      <c r="M1462" t="s">
        <v>18958</v>
      </c>
      <c r="N1462" t="s">
        <v>20063</v>
      </c>
      <c r="O1462" t="s">
        <v>26523</v>
      </c>
      <c r="P1462" t="s">
        <v>26560</v>
      </c>
      <c r="Q1462" t="s">
        <v>26568</v>
      </c>
      <c r="R1462" t="s">
        <v>26577</v>
      </c>
      <c r="S1462" t="s">
        <v>18959</v>
      </c>
      <c r="U1462" t="s">
        <v>26604</v>
      </c>
      <c r="V1462" t="s">
        <v>26611</v>
      </c>
      <c r="W1462" t="s">
        <v>593</v>
      </c>
      <c r="X1462">
        <v>1994.77</v>
      </c>
      <c r="Y1462" t="s">
        <v>26650</v>
      </c>
      <c r="AA1462" t="s">
        <v>26678</v>
      </c>
      <c r="AB1462" t="s">
        <v>28024</v>
      </c>
      <c r="AD1462" t="s">
        <v>38073</v>
      </c>
      <c r="AE1462">
        <v>0</v>
      </c>
      <c r="AF1462" t="s">
        <v>45541</v>
      </c>
      <c r="AG1462" t="s">
        <v>45556</v>
      </c>
      <c r="AH1462">
        <v>10</v>
      </c>
      <c r="AI1462">
        <v>3</v>
      </c>
      <c r="AJ1462">
        <v>2</v>
      </c>
      <c r="AK1462">
        <v>52.05</v>
      </c>
      <c r="AN1462" t="s">
        <v>7439</v>
      </c>
      <c r="AO1462">
        <v>15312</v>
      </c>
      <c r="AP1462" t="s">
        <v>45654</v>
      </c>
      <c r="AS1462" t="s">
        <v>46499</v>
      </c>
      <c r="AT1462" t="s">
        <v>46700</v>
      </c>
      <c r="AU1462">
        <v>15.45</v>
      </c>
      <c r="AV1462" t="s">
        <v>752</v>
      </c>
      <c r="AW1462" t="s">
        <v>336</v>
      </c>
      <c r="AX1462" t="s">
        <v>46897</v>
      </c>
    </row>
    <row r="1463" spans="1:50">
      <c r="A1463" s="1">
        <f>HYPERLINK("https://lsnyc.legalserver.org/matter/dynamic-profile/view/1873218","18-1873218")</f>
        <v>0</v>
      </c>
      <c r="B1463" t="s">
        <v>133</v>
      </c>
      <c r="C1463" t="s">
        <v>340</v>
      </c>
      <c r="D1463" t="s">
        <v>410</v>
      </c>
      <c r="F1463" t="s">
        <v>1788</v>
      </c>
      <c r="G1463" t="s">
        <v>5121</v>
      </c>
      <c r="H1463" t="s">
        <v>10863</v>
      </c>
      <c r="I1463" t="s">
        <v>17307</v>
      </c>
      <c r="J1463" t="s">
        <v>18892</v>
      </c>
      <c r="K1463">
        <v>10468</v>
      </c>
      <c r="L1463" t="s">
        <v>18958</v>
      </c>
      <c r="M1463" t="s">
        <v>18958</v>
      </c>
      <c r="N1463" t="s">
        <v>20064</v>
      </c>
      <c r="O1463" t="s">
        <v>26523</v>
      </c>
      <c r="P1463" t="s">
        <v>26560</v>
      </c>
      <c r="R1463" t="s">
        <v>26579</v>
      </c>
      <c r="S1463" t="s">
        <v>18959</v>
      </c>
      <c r="U1463" t="s">
        <v>26604</v>
      </c>
      <c r="V1463" t="s">
        <v>26610</v>
      </c>
      <c r="W1463" t="s">
        <v>593</v>
      </c>
      <c r="X1463">
        <v>1275</v>
      </c>
      <c r="Y1463" t="s">
        <v>26650</v>
      </c>
      <c r="AB1463" t="s">
        <v>28025</v>
      </c>
      <c r="AD1463" t="s">
        <v>38074</v>
      </c>
      <c r="AE1463">
        <v>83</v>
      </c>
      <c r="AF1463" t="s">
        <v>45541</v>
      </c>
      <c r="AG1463" t="s">
        <v>19330</v>
      </c>
      <c r="AH1463">
        <v>8</v>
      </c>
      <c r="AI1463">
        <v>1</v>
      </c>
      <c r="AJ1463">
        <v>0</v>
      </c>
      <c r="AK1463">
        <v>107.08</v>
      </c>
      <c r="AN1463" t="s">
        <v>7439</v>
      </c>
      <c r="AO1463">
        <v>13000</v>
      </c>
      <c r="AU1463">
        <v>8.949999999999999</v>
      </c>
      <c r="AV1463" t="s">
        <v>827</v>
      </c>
      <c r="AW1463" t="s">
        <v>46837</v>
      </c>
    </row>
    <row r="1464" spans="1:50">
      <c r="A1464" s="1">
        <f>HYPERLINK("https://lsnyc.legalserver.org/matter/dynamic-profile/view/1873325","18-1873325")</f>
        <v>0</v>
      </c>
      <c r="B1464" t="s">
        <v>149</v>
      </c>
      <c r="C1464" t="s">
        <v>341</v>
      </c>
      <c r="D1464" t="s">
        <v>464</v>
      </c>
      <c r="E1464" t="s">
        <v>494</v>
      </c>
      <c r="F1464" t="s">
        <v>1789</v>
      </c>
      <c r="G1464" t="s">
        <v>2975</v>
      </c>
      <c r="H1464" t="s">
        <v>10864</v>
      </c>
      <c r="I1464" t="s">
        <v>17668</v>
      </c>
      <c r="J1464" t="s">
        <v>18892</v>
      </c>
      <c r="K1464">
        <v>10460</v>
      </c>
      <c r="L1464" t="s">
        <v>18958</v>
      </c>
      <c r="M1464" t="s">
        <v>18958</v>
      </c>
      <c r="N1464" t="s">
        <v>20065</v>
      </c>
      <c r="O1464" t="s">
        <v>26523</v>
      </c>
      <c r="P1464" t="s">
        <v>26564</v>
      </c>
      <c r="Q1464" t="s">
        <v>26570</v>
      </c>
      <c r="R1464" t="s">
        <v>26578</v>
      </c>
      <c r="U1464" t="s">
        <v>26604</v>
      </c>
      <c r="W1464" t="s">
        <v>593</v>
      </c>
      <c r="X1464">
        <v>1350</v>
      </c>
      <c r="Y1464" t="s">
        <v>26650</v>
      </c>
      <c r="Z1464" t="s">
        <v>26656</v>
      </c>
      <c r="AA1464" t="s">
        <v>26683</v>
      </c>
      <c r="AB1464" t="s">
        <v>26877</v>
      </c>
      <c r="AD1464" t="s">
        <v>38075</v>
      </c>
      <c r="AE1464">
        <v>107</v>
      </c>
      <c r="AF1464" t="s">
        <v>45541</v>
      </c>
      <c r="AG1464" t="s">
        <v>19330</v>
      </c>
      <c r="AH1464">
        <v>33</v>
      </c>
      <c r="AI1464">
        <v>2</v>
      </c>
      <c r="AJ1464">
        <v>0</v>
      </c>
      <c r="AK1464">
        <v>154.8</v>
      </c>
      <c r="AN1464" t="s">
        <v>45581</v>
      </c>
      <c r="AO1464">
        <v>25480</v>
      </c>
      <c r="AU1464">
        <v>1.8</v>
      </c>
      <c r="AV1464" t="s">
        <v>492</v>
      </c>
      <c r="AW1464" t="s">
        <v>46849</v>
      </c>
    </row>
    <row r="1465" spans="1:50">
      <c r="A1465" s="1">
        <f>HYPERLINK("https://lsnyc.legalserver.org/matter/dynamic-profile/view/1873391","18-1873391")</f>
        <v>0</v>
      </c>
      <c r="B1465" t="s">
        <v>182</v>
      </c>
      <c r="C1465" t="s">
        <v>341</v>
      </c>
      <c r="D1465" t="s">
        <v>464</v>
      </c>
      <c r="E1465" t="s">
        <v>427</v>
      </c>
      <c r="F1465" t="s">
        <v>1790</v>
      </c>
      <c r="G1465" t="s">
        <v>5832</v>
      </c>
      <c r="H1465" t="s">
        <v>10865</v>
      </c>
      <c r="I1465" t="s">
        <v>17332</v>
      </c>
      <c r="J1465" t="s">
        <v>18892</v>
      </c>
      <c r="K1465">
        <v>10452</v>
      </c>
      <c r="L1465" t="s">
        <v>18958</v>
      </c>
      <c r="M1465" t="s">
        <v>18958</v>
      </c>
      <c r="N1465" t="s">
        <v>20066</v>
      </c>
      <c r="O1465" t="s">
        <v>26523</v>
      </c>
      <c r="P1465" t="s">
        <v>26560</v>
      </c>
      <c r="Q1465" t="s">
        <v>26569</v>
      </c>
      <c r="R1465" t="s">
        <v>26577</v>
      </c>
      <c r="S1465" t="s">
        <v>18959</v>
      </c>
      <c r="U1465" t="s">
        <v>26604</v>
      </c>
      <c r="V1465" t="s">
        <v>26612</v>
      </c>
      <c r="W1465" t="s">
        <v>593</v>
      </c>
      <c r="X1465">
        <v>1142.07</v>
      </c>
      <c r="Y1465" t="s">
        <v>26650</v>
      </c>
      <c r="Z1465" t="s">
        <v>26663</v>
      </c>
      <c r="AA1465" t="s">
        <v>26678</v>
      </c>
      <c r="AB1465" t="s">
        <v>28026</v>
      </c>
      <c r="AD1465" t="s">
        <v>38076</v>
      </c>
      <c r="AE1465">
        <v>0</v>
      </c>
      <c r="AF1465" t="s">
        <v>45541</v>
      </c>
      <c r="AG1465" t="s">
        <v>45563</v>
      </c>
      <c r="AH1465">
        <v>2</v>
      </c>
      <c r="AI1465">
        <v>1</v>
      </c>
      <c r="AJ1465">
        <v>0</v>
      </c>
      <c r="AK1465">
        <v>91.14</v>
      </c>
      <c r="AN1465" t="s">
        <v>7439</v>
      </c>
      <c r="AO1465">
        <v>11064</v>
      </c>
      <c r="AQ1465" t="s">
        <v>46359</v>
      </c>
      <c r="AR1465" t="s">
        <v>46379</v>
      </c>
      <c r="AS1465" t="s">
        <v>46499</v>
      </c>
      <c r="AT1465" t="s">
        <v>46701</v>
      </c>
      <c r="AU1465">
        <v>7.55</v>
      </c>
      <c r="AV1465" t="s">
        <v>522</v>
      </c>
      <c r="AW1465" t="s">
        <v>267</v>
      </c>
    </row>
    <row r="1466" spans="1:50">
      <c r="A1466" s="1">
        <f>HYPERLINK("https://lsnyc.legalserver.org/matter/dynamic-profile/view/1873373","18-1873373")</f>
        <v>0</v>
      </c>
      <c r="B1466" t="s">
        <v>57</v>
      </c>
      <c r="C1466" t="s">
        <v>340</v>
      </c>
      <c r="D1466" t="s">
        <v>464</v>
      </c>
      <c r="F1466" t="s">
        <v>1791</v>
      </c>
      <c r="G1466" t="s">
        <v>992</v>
      </c>
      <c r="H1466" t="s">
        <v>10866</v>
      </c>
      <c r="I1466" t="s">
        <v>17389</v>
      </c>
      <c r="J1466" t="s">
        <v>18892</v>
      </c>
      <c r="K1466">
        <v>10452</v>
      </c>
      <c r="L1466" t="s">
        <v>18958</v>
      </c>
      <c r="M1466" t="s">
        <v>18958</v>
      </c>
      <c r="N1466" t="s">
        <v>20067</v>
      </c>
      <c r="O1466" t="s">
        <v>26523</v>
      </c>
      <c r="P1466" t="s">
        <v>26560</v>
      </c>
      <c r="R1466" t="s">
        <v>26577</v>
      </c>
      <c r="S1466" t="s">
        <v>18959</v>
      </c>
      <c r="U1466" t="s">
        <v>26604</v>
      </c>
      <c r="V1466" t="s">
        <v>26610</v>
      </c>
      <c r="W1466" t="s">
        <v>593</v>
      </c>
      <c r="X1466">
        <v>1293.36</v>
      </c>
      <c r="Y1466" t="s">
        <v>26650</v>
      </c>
      <c r="Z1466" t="s">
        <v>26668</v>
      </c>
      <c r="AB1466" t="s">
        <v>28027</v>
      </c>
      <c r="AC1466" t="s">
        <v>34946</v>
      </c>
      <c r="AD1466" t="s">
        <v>38077</v>
      </c>
      <c r="AE1466">
        <v>68</v>
      </c>
      <c r="AF1466" t="s">
        <v>45541</v>
      </c>
      <c r="AG1466" t="s">
        <v>45558</v>
      </c>
      <c r="AH1466">
        <v>1</v>
      </c>
      <c r="AI1466">
        <v>1</v>
      </c>
      <c r="AJ1466">
        <v>1</v>
      </c>
      <c r="AK1466">
        <v>89.40000000000001</v>
      </c>
      <c r="AN1466" t="s">
        <v>7439</v>
      </c>
      <c r="AO1466">
        <v>14716</v>
      </c>
      <c r="AP1466" t="s">
        <v>45621</v>
      </c>
      <c r="AU1466">
        <v>22.1</v>
      </c>
      <c r="AV1466" t="s">
        <v>794</v>
      </c>
      <c r="AW1466" t="s">
        <v>284</v>
      </c>
    </row>
    <row r="1467" spans="1:50">
      <c r="A1467" s="1">
        <f>HYPERLINK("https://lsnyc.legalserver.org/matter/dynamic-profile/view/1873332","18-1873332")</f>
        <v>0</v>
      </c>
      <c r="B1467" t="s">
        <v>57</v>
      </c>
      <c r="C1467" t="s">
        <v>340</v>
      </c>
      <c r="D1467" t="s">
        <v>464</v>
      </c>
      <c r="F1467" t="s">
        <v>1746</v>
      </c>
      <c r="G1467" t="s">
        <v>5979</v>
      </c>
      <c r="H1467" t="s">
        <v>10867</v>
      </c>
      <c r="I1467">
        <v>4</v>
      </c>
      <c r="J1467" t="s">
        <v>18892</v>
      </c>
      <c r="K1467">
        <v>10467</v>
      </c>
      <c r="L1467" t="s">
        <v>18958</v>
      </c>
      <c r="M1467" t="s">
        <v>18958</v>
      </c>
      <c r="N1467" t="s">
        <v>20068</v>
      </c>
      <c r="O1467" t="s">
        <v>26523</v>
      </c>
      <c r="P1467" t="s">
        <v>26560</v>
      </c>
      <c r="R1467" t="s">
        <v>26579</v>
      </c>
      <c r="S1467" t="s">
        <v>18959</v>
      </c>
      <c r="U1467" t="s">
        <v>26604</v>
      </c>
      <c r="V1467" t="s">
        <v>26610</v>
      </c>
      <c r="W1467" t="s">
        <v>593</v>
      </c>
      <c r="X1467">
        <v>1449</v>
      </c>
      <c r="Y1467" t="s">
        <v>26650</v>
      </c>
      <c r="Z1467" t="s">
        <v>26664</v>
      </c>
      <c r="AB1467" t="s">
        <v>28028</v>
      </c>
      <c r="AD1467" t="s">
        <v>38078</v>
      </c>
      <c r="AE1467">
        <v>7</v>
      </c>
      <c r="AF1467" t="s">
        <v>45541</v>
      </c>
      <c r="AG1467" t="s">
        <v>19330</v>
      </c>
      <c r="AH1467">
        <v>12</v>
      </c>
      <c r="AI1467">
        <v>3</v>
      </c>
      <c r="AJ1467">
        <v>2</v>
      </c>
      <c r="AK1467">
        <v>112.17</v>
      </c>
      <c r="AN1467" t="s">
        <v>7439</v>
      </c>
      <c r="AO1467">
        <v>33000</v>
      </c>
      <c r="AQ1467" t="s">
        <v>46362</v>
      </c>
      <c r="AR1467" t="s">
        <v>46385</v>
      </c>
      <c r="AS1467" t="s">
        <v>46499</v>
      </c>
      <c r="AT1467" t="s">
        <v>46551</v>
      </c>
      <c r="AU1467">
        <v>14</v>
      </c>
      <c r="AV1467" t="s">
        <v>643</v>
      </c>
      <c r="AW1467" t="s">
        <v>46837</v>
      </c>
    </row>
    <row r="1468" spans="1:50">
      <c r="A1468" s="1">
        <f>HYPERLINK("https://lsnyc.legalserver.org/matter/dynamic-profile/view/1873447","18-1873447")</f>
        <v>0</v>
      </c>
      <c r="B1468" t="s">
        <v>232</v>
      </c>
      <c r="C1468" t="s">
        <v>341</v>
      </c>
      <c r="D1468" t="s">
        <v>465</v>
      </c>
      <c r="E1468" t="s">
        <v>411</v>
      </c>
      <c r="F1468" t="s">
        <v>1792</v>
      </c>
      <c r="G1468" t="s">
        <v>5980</v>
      </c>
      <c r="H1468" t="s">
        <v>10868</v>
      </c>
      <c r="I1468" t="s">
        <v>17276</v>
      </c>
      <c r="J1468" t="s">
        <v>18894</v>
      </c>
      <c r="K1468">
        <v>11210</v>
      </c>
      <c r="L1468" t="s">
        <v>18958</v>
      </c>
      <c r="M1468" t="s">
        <v>18958</v>
      </c>
      <c r="N1468" t="s">
        <v>20069</v>
      </c>
      <c r="O1468" t="s">
        <v>26523</v>
      </c>
      <c r="P1468" t="s">
        <v>26560</v>
      </c>
      <c r="Q1468" t="s">
        <v>26568</v>
      </c>
      <c r="R1468" t="s">
        <v>26586</v>
      </c>
      <c r="S1468" t="s">
        <v>18959</v>
      </c>
      <c r="U1468" t="s">
        <v>26604</v>
      </c>
      <c r="V1468" t="s">
        <v>26610</v>
      </c>
      <c r="W1468" t="s">
        <v>593</v>
      </c>
      <c r="X1468">
        <v>1625</v>
      </c>
      <c r="Y1468" t="s">
        <v>26652</v>
      </c>
      <c r="Z1468" t="s">
        <v>26662</v>
      </c>
      <c r="AA1468" t="s">
        <v>26684</v>
      </c>
      <c r="AB1468" t="s">
        <v>28029</v>
      </c>
      <c r="AD1468" t="s">
        <v>38079</v>
      </c>
      <c r="AE1468">
        <v>84</v>
      </c>
      <c r="AF1468" t="s">
        <v>45541</v>
      </c>
      <c r="AG1468" t="s">
        <v>19330</v>
      </c>
      <c r="AH1468">
        <v>10</v>
      </c>
      <c r="AI1468">
        <v>5</v>
      </c>
      <c r="AJ1468">
        <v>0</v>
      </c>
      <c r="AK1468">
        <v>114.82</v>
      </c>
      <c r="AN1468" t="s">
        <v>45585</v>
      </c>
      <c r="AO1468">
        <v>33780</v>
      </c>
      <c r="AR1468" t="s">
        <v>46379</v>
      </c>
      <c r="AS1468" t="s">
        <v>46499</v>
      </c>
      <c r="AT1468" t="s">
        <v>46508</v>
      </c>
      <c r="AU1468">
        <v>1.9</v>
      </c>
      <c r="AV1468" t="s">
        <v>603</v>
      </c>
      <c r="AW1468" t="s">
        <v>46853</v>
      </c>
    </row>
    <row r="1469" spans="1:50">
      <c r="A1469" s="1">
        <f>HYPERLINK("https://lsnyc.legalserver.org/matter/dynamic-profile/view/1873439","18-1873439")</f>
        <v>0</v>
      </c>
      <c r="B1469" t="s">
        <v>132</v>
      </c>
      <c r="C1469" t="s">
        <v>341</v>
      </c>
      <c r="D1469" t="s">
        <v>465</v>
      </c>
      <c r="E1469" t="s">
        <v>599</v>
      </c>
      <c r="F1469" t="s">
        <v>1793</v>
      </c>
      <c r="G1469" t="s">
        <v>5981</v>
      </c>
      <c r="H1469" t="s">
        <v>10869</v>
      </c>
      <c r="J1469" t="s">
        <v>18894</v>
      </c>
      <c r="K1469">
        <v>11228</v>
      </c>
      <c r="L1469" t="s">
        <v>18958</v>
      </c>
      <c r="M1469" t="s">
        <v>18958</v>
      </c>
      <c r="N1469" t="s">
        <v>20070</v>
      </c>
      <c r="O1469" t="s">
        <v>26524</v>
      </c>
      <c r="P1469" t="s">
        <v>26564</v>
      </c>
      <c r="Q1469" t="s">
        <v>26570</v>
      </c>
      <c r="R1469" t="s">
        <v>26586</v>
      </c>
      <c r="S1469" t="s">
        <v>18959</v>
      </c>
      <c r="U1469" t="s">
        <v>26604</v>
      </c>
      <c r="V1469" t="s">
        <v>26610</v>
      </c>
      <c r="W1469" t="s">
        <v>593</v>
      </c>
      <c r="X1469">
        <v>1100</v>
      </c>
      <c r="Y1469" t="s">
        <v>26652</v>
      </c>
      <c r="Z1469" t="s">
        <v>26662</v>
      </c>
      <c r="AA1469" t="s">
        <v>26679</v>
      </c>
      <c r="AB1469" t="s">
        <v>28030</v>
      </c>
      <c r="AD1469" t="s">
        <v>38080</v>
      </c>
      <c r="AE1469">
        <v>6</v>
      </c>
      <c r="AF1469" t="s">
        <v>45547</v>
      </c>
      <c r="AG1469" t="s">
        <v>19330</v>
      </c>
      <c r="AH1469">
        <v>2</v>
      </c>
      <c r="AI1469">
        <v>1</v>
      </c>
      <c r="AJ1469">
        <v>0</v>
      </c>
      <c r="AK1469">
        <v>0</v>
      </c>
      <c r="AN1469" t="s">
        <v>7439</v>
      </c>
      <c r="AO1469">
        <v>0</v>
      </c>
      <c r="AU1469">
        <v>2.8</v>
      </c>
      <c r="AV1469" t="s">
        <v>511</v>
      </c>
      <c r="AW1469" t="s">
        <v>46853</v>
      </c>
    </row>
    <row r="1470" spans="1:50">
      <c r="A1470" s="1">
        <f>HYPERLINK("https://lsnyc.legalserver.org/matter/dynamic-profile/view/1873454","18-1873454")</f>
        <v>0</v>
      </c>
      <c r="B1470" t="s">
        <v>232</v>
      </c>
      <c r="C1470" t="s">
        <v>340</v>
      </c>
      <c r="D1470" t="s">
        <v>465</v>
      </c>
      <c r="F1470" t="s">
        <v>899</v>
      </c>
      <c r="G1470" t="s">
        <v>5191</v>
      </c>
      <c r="H1470" t="s">
        <v>10870</v>
      </c>
      <c r="I1470" t="s">
        <v>17480</v>
      </c>
      <c r="J1470" t="s">
        <v>18894</v>
      </c>
      <c r="K1470">
        <v>11206</v>
      </c>
      <c r="L1470" t="s">
        <v>18958</v>
      </c>
      <c r="M1470" t="s">
        <v>18958</v>
      </c>
      <c r="N1470" t="s">
        <v>20071</v>
      </c>
      <c r="O1470" t="s">
        <v>26523</v>
      </c>
      <c r="P1470" t="s">
        <v>26560</v>
      </c>
      <c r="R1470" t="s">
        <v>26586</v>
      </c>
      <c r="S1470" t="s">
        <v>18959</v>
      </c>
      <c r="U1470" t="s">
        <v>26605</v>
      </c>
      <c r="V1470" t="s">
        <v>26610</v>
      </c>
      <c r="W1470" t="s">
        <v>593</v>
      </c>
      <c r="X1470">
        <v>0</v>
      </c>
      <c r="Y1470" t="s">
        <v>26652</v>
      </c>
      <c r="Z1470" t="s">
        <v>26662</v>
      </c>
      <c r="AB1470" t="s">
        <v>28031</v>
      </c>
      <c r="AC1470" t="s">
        <v>34947</v>
      </c>
      <c r="AD1470" t="s">
        <v>38081</v>
      </c>
      <c r="AE1470">
        <v>120</v>
      </c>
      <c r="AF1470" t="s">
        <v>45549</v>
      </c>
      <c r="AG1470" t="s">
        <v>19330</v>
      </c>
      <c r="AH1470">
        <v>27</v>
      </c>
      <c r="AI1470">
        <v>1</v>
      </c>
      <c r="AJ1470">
        <v>1</v>
      </c>
      <c r="AK1470">
        <v>16.91</v>
      </c>
      <c r="AN1470" t="s">
        <v>7439</v>
      </c>
      <c r="AO1470">
        <v>2784</v>
      </c>
      <c r="AU1470">
        <v>34.3</v>
      </c>
      <c r="AV1470" t="s">
        <v>797</v>
      </c>
      <c r="AW1470" t="s">
        <v>46853</v>
      </c>
    </row>
    <row r="1471" spans="1:50">
      <c r="A1471" s="1">
        <f>HYPERLINK("https://lsnyc.legalserver.org/matter/dynamic-profile/view/1873476","18-1873476")</f>
        <v>0</v>
      </c>
      <c r="B1471" t="s">
        <v>149</v>
      </c>
      <c r="C1471" t="s">
        <v>341</v>
      </c>
      <c r="D1471" t="s">
        <v>447</v>
      </c>
      <c r="E1471" t="s">
        <v>510</v>
      </c>
      <c r="F1471" t="s">
        <v>1794</v>
      </c>
      <c r="G1471" t="s">
        <v>5982</v>
      </c>
      <c r="H1471" t="s">
        <v>10871</v>
      </c>
      <c r="I1471" t="s">
        <v>17669</v>
      </c>
      <c r="J1471" t="s">
        <v>18892</v>
      </c>
      <c r="K1471">
        <v>10460</v>
      </c>
      <c r="L1471" t="s">
        <v>18958</v>
      </c>
      <c r="M1471" t="s">
        <v>18958</v>
      </c>
      <c r="O1471" t="s">
        <v>26529</v>
      </c>
      <c r="P1471" t="s">
        <v>26564</v>
      </c>
      <c r="Q1471" t="s">
        <v>26570</v>
      </c>
      <c r="R1471" t="s">
        <v>26578</v>
      </c>
      <c r="S1471" t="s">
        <v>18959</v>
      </c>
      <c r="U1471" t="s">
        <v>26604</v>
      </c>
      <c r="W1471" t="s">
        <v>593</v>
      </c>
      <c r="X1471">
        <v>987.5</v>
      </c>
      <c r="Y1471" t="s">
        <v>26650</v>
      </c>
      <c r="Z1471" t="s">
        <v>26666</v>
      </c>
      <c r="AA1471" t="s">
        <v>26683</v>
      </c>
      <c r="AB1471" t="s">
        <v>26819</v>
      </c>
      <c r="AD1471" t="s">
        <v>38082</v>
      </c>
      <c r="AE1471">
        <v>51</v>
      </c>
      <c r="AF1471" t="s">
        <v>20460</v>
      </c>
      <c r="AG1471" t="s">
        <v>45556</v>
      </c>
      <c r="AH1471">
        <v>45</v>
      </c>
      <c r="AI1471">
        <v>2</v>
      </c>
      <c r="AJ1471">
        <v>0</v>
      </c>
      <c r="AK1471">
        <v>102.79</v>
      </c>
      <c r="AN1471" t="s">
        <v>7439</v>
      </c>
      <c r="AO1471">
        <v>16920</v>
      </c>
      <c r="AU1471">
        <v>2.6</v>
      </c>
      <c r="AV1471" t="s">
        <v>510</v>
      </c>
      <c r="AW1471" t="s">
        <v>46842</v>
      </c>
    </row>
    <row r="1472" spans="1:50">
      <c r="A1472" s="1">
        <f>HYPERLINK("https://lsnyc.legalserver.org/matter/dynamic-profile/view/1873539","18-1873539")</f>
        <v>0</v>
      </c>
      <c r="B1472" t="s">
        <v>53</v>
      </c>
      <c r="C1472" t="s">
        <v>340</v>
      </c>
      <c r="D1472" t="s">
        <v>447</v>
      </c>
      <c r="F1472" t="s">
        <v>1795</v>
      </c>
      <c r="G1472" t="s">
        <v>5243</v>
      </c>
      <c r="H1472" t="s">
        <v>10872</v>
      </c>
      <c r="I1472" t="s">
        <v>17550</v>
      </c>
      <c r="J1472" t="s">
        <v>18892</v>
      </c>
      <c r="K1472">
        <v>10459</v>
      </c>
      <c r="L1472" t="s">
        <v>18958</v>
      </c>
      <c r="M1472" t="s">
        <v>18958</v>
      </c>
      <c r="N1472" t="s">
        <v>20072</v>
      </c>
      <c r="O1472" t="s">
        <v>26523</v>
      </c>
      <c r="P1472" t="s">
        <v>26560</v>
      </c>
      <c r="R1472" t="s">
        <v>26577</v>
      </c>
      <c r="S1472" t="s">
        <v>18959</v>
      </c>
      <c r="U1472" t="s">
        <v>26604</v>
      </c>
      <c r="V1472" t="s">
        <v>26610</v>
      </c>
      <c r="W1472" t="s">
        <v>593</v>
      </c>
      <c r="X1472">
        <v>1506.56</v>
      </c>
      <c r="Y1472" t="s">
        <v>26650</v>
      </c>
      <c r="Z1472" t="s">
        <v>26667</v>
      </c>
      <c r="AB1472" t="s">
        <v>28032</v>
      </c>
      <c r="AC1472" t="s">
        <v>34948</v>
      </c>
      <c r="AD1472" t="s">
        <v>38083</v>
      </c>
      <c r="AE1472">
        <v>8</v>
      </c>
      <c r="AF1472" t="s">
        <v>45541</v>
      </c>
      <c r="AG1472" t="s">
        <v>45556</v>
      </c>
      <c r="AH1472">
        <v>15</v>
      </c>
      <c r="AI1472">
        <v>2</v>
      </c>
      <c r="AJ1472">
        <v>1</v>
      </c>
      <c r="AK1472">
        <v>72.18000000000001</v>
      </c>
      <c r="AN1472" t="s">
        <v>7439</v>
      </c>
      <c r="AO1472">
        <v>15000</v>
      </c>
      <c r="AU1472">
        <v>35.3</v>
      </c>
      <c r="AV1472" t="s">
        <v>780</v>
      </c>
      <c r="AW1472" t="s">
        <v>46829</v>
      </c>
    </row>
    <row r="1473" spans="1:50">
      <c r="A1473" s="1">
        <f>HYPERLINK("https://lsnyc.legalserver.org/matter/dynamic-profile/view/1873588","18-1873588")</f>
        <v>0</v>
      </c>
      <c r="B1473" t="s">
        <v>52</v>
      </c>
      <c r="C1473" t="s">
        <v>341</v>
      </c>
      <c r="D1473" t="s">
        <v>476</v>
      </c>
      <c r="E1473" t="s">
        <v>428</v>
      </c>
      <c r="F1473" t="s">
        <v>1796</v>
      </c>
      <c r="G1473" t="s">
        <v>5983</v>
      </c>
      <c r="H1473" t="s">
        <v>10873</v>
      </c>
      <c r="I1473">
        <v>23</v>
      </c>
      <c r="J1473" t="s">
        <v>18892</v>
      </c>
      <c r="K1473">
        <v>10458</v>
      </c>
      <c r="L1473" t="s">
        <v>18958</v>
      </c>
      <c r="M1473" t="s">
        <v>18958</v>
      </c>
      <c r="N1473" t="s">
        <v>20073</v>
      </c>
      <c r="O1473" t="s">
        <v>26523</v>
      </c>
      <c r="P1473" t="s">
        <v>26560</v>
      </c>
      <c r="Q1473" t="s">
        <v>26568</v>
      </c>
      <c r="R1473" t="s">
        <v>26577</v>
      </c>
      <c r="S1473" t="s">
        <v>18959</v>
      </c>
      <c r="U1473" t="s">
        <v>26604</v>
      </c>
      <c r="V1473" t="s">
        <v>26610</v>
      </c>
      <c r="W1473" t="s">
        <v>593</v>
      </c>
      <c r="X1473">
        <v>1350</v>
      </c>
      <c r="Y1473" t="s">
        <v>26650</v>
      </c>
      <c r="Z1473" t="s">
        <v>26659</v>
      </c>
      <c r="AA1473" t="s">
        <v>26678</v>
      </c>
      <c r="AB1473" t="s">
        <v>28033</v>
      </c>
      <c r="AD1473" t="s">
        <v>38084</v>
      </c>
      <c r="AE1473">
        <v>27</v>
      </c>
      <c r="AF1473" t="s">
        <v>45541</v>
      </c>
      <c r="AG1473" t="s">
        <v>45556</v>
      </c>
      <c r="AH1473">
        <v>6</v>
      </c>
      <c r="AI1473">
        <v>1</v>
      </c>
      <c r="AJ1473">
        <v>0</v>
      </c>
      <c r="AK1473">
        <v>32.92</v>
      </c>
      <c r="AN1473" t="s">
        <v>7439</v>
      </c>
      <c r="AO1473">
        <v>3996</v>
      </c>
      <c r="AQ1473" t="s">
        <v>46362</v>
      </c>
      <c r="AR1473" t="s">
        <v>46380</v>
      </c>
      <c r="AS1473" t="s">
        <v>46499</v>
      </c>
      <c r="AT1473" t="s">
        <v>46627</v>
      </c>
      <c r="AU1473">
        <v>10.25</v>
      </c>
      <c r="AV1473" t="s">
        <v>427</v>
      </c>
      <c r="AW1473" t="s">
        <v>46847</v>
      </c>
    </row>
    <row r="1474" spans="1:50">
      <c r="A1474" s="1">
        <f>HYPERLINK("https://lsnyc.legalserver.org/matter/dynamic-profile/view/1873657","18-1873657")</f>
        <v>0</v>
      </c>
      <c r="B1474" t="s">
        <v>121</v>
      </c>
      <c r="C1474" t="s">
        <v>340</v>
      </c>
      <c r="D1474" t="s">
        <v>476</v>
      </c>
      <c r="F1474" t="s">
        <v>1797</v>
      </c>
      <c r="G1474" t="s">
        <v>5265</v>
      </c>
      <c r="H1474" t="s">
        <v>10874</v>
      </c>
      <c r="I1474">
        <v>1</v>
      </c>
      <c r="J1474" t="s">
        <v>18892</v>
      </c>
      <c r="K1474">
        <v>10458</v>
      </c>
      <c r="L1474" t="s">
        <v>18958</v>
      </c>
      <c r="M1474" t="s">
        <v>18958</v>
      </c>
      <c r="N1474" t="s">
        <v>20074</v>
      </c>
      <c r="O1474" t="s">
        <v>26523</v>
      </c>
      <c r="P1474" t="s">
        <v>26560</v>
      </c>
      <c r="R1474" t="s">
        <v>26577</v>
      </c>
      <c r="S1474" t="s">
        <v>18959</v>
      </c>
      <c r="U1474" t="s">
        <v>26604</v>
      </c>
      <c r="V1474" t="s">
        <v>26610</v>
      </c>
      <c r="W1474" t="s">
        <v>593</v>
      </c>
      <c r="X1474">
        <v>979</v>
      </c>
      <c r="Y1474" t="s">
        <v>26650</v>
      </c>
      <c r="Z1474" t="s">
        <v>26661</v>
      </c>
      <c r="AB1474" t="s">
        <v>28034</v>
      </c>
      <c r="AD1474" t="s">
        <v>38085</v>
      </c>
      <c r="AE1474">
        <v>8</v>
      </c>
      <c r="AF1474" t="s">
        <v>45541</v>
      </c>
      <c r="AG1474" t="s">
        <v>45559</v>
      </c>
      <c r="AH1474">
        <v>30</v>
      </c>
      <c r="AI1474">
        <v>1</v>
      </c>
      <c r="AJ1474">
        <v>0</v>
      </c>
      <c r="AK1474">
        <v>69.39</v>
      </c>
      <c r="AN1474" t="s">
        <v>45581</v>
      </c>
      <c r="AO1474">
        <v>8424</v>
      </c>
      <c r="AU1474">
        <v>37.75</v>
      </c>
      <c r="AV1474" t="s">
        <v>822</v>
      </c>
      <c r="AW1474" t="s">
        <v>46829</v>
      </c>
    </row>
    <row r="1475" spans="1:50">
      <c r="A1475" s="1">
        <f>HYPERLINK("https://lsnyc.legalserver.org/matter/dynamic-profile/view/1873771","18-1873771")</f>
        <v>0</v>
      </c>
      <c r="B1475" t="s">
        <v>172</v>
      </c>
      <c r="C1475" t="s">
        <v>341</v>
      </c>
      <c r="D1475" t="s">
        <v>466</v>
      </c>
      <c r="E1475" t="s">
        <v>688</v>
      </c>
      <c r="F1475" t="s">
        <v>1798</v>
      </c>
      <c r="G1475" t="s">
        <v>5340</v>
      </c>
      <c r="H1475" t="s">
        <v>10875</v>
      </c>
      <c r="J1475" t="s">
        <v>18894</v>
      </c>
      <c r="K1475">
        <v>11207</v>
      </c>
      <c r="L1475" t="s">
        <v>18958</v>
      </c>
      <c r="M1475" t="s">
        <v>18958</v>
      </c>
      <c r="N1475" t="s">
        <v>20075</v>
      </c>
      <c r="O1475" t="s">
        <v>26523</v>
      </c>
      <c r="P1475" t="s">
        <v>26560</v>
      </c>
      <c r="Q1475" t="s">
        <v>26568</v>
      </c>
      <c r="R1475" t="s">
        <v>26586</v>
      </c>
      <c r="U1475" t="s">
        <v>26605</v>
      </c>
      <c r="W1475" t="s">
        <v>593</v>
      </c>
      <c r="X1475">
        <v>500</v>
      </c>
      <c r="Y1475" t="s">
        <v>26652</v>
      </c>
      <c r="Z1475" t="s">
        <v>26662</v>
      </c>
      <c r="AA1475" t="s">
        <v>26680</v>
      </c>
      <c r="AB1475" t="s">
        <v>28035</v>
      </c>
      <c r="AC1475" t="s">
        <v>34949</v>
      </c>
      <c r="AD1475" t="s">
        <v>38086</v>
      </c>
      <c r="AE1475">
        <v>16</v>
      </c>
      <c r="AF1475" t="s">
        <v>45549</v>
      </c>
      <c r="AG1475" t="s">
        <v>19330</v>
      </c>
      <c r="AH1475">
        <v>7</v>
      </c>
      <c r="AI1475">
        <v>1</v>
      </c>
      <c r="AJ1475">
        <v>1</v>
      </c>
      <c r="AK1475">
        <v>133.66</v>
      </c>
      <c r="AN1475" t="s">
        <v>7439</v>
      </c>
      <c r="AO1475">
        <v>22000</v>
      </c>
      <c r="AS1475" t="s">
        <v>46499</v>
      </c>
      <c r="AT1475" t="s">
        <v>46702</v>
      </c>
      <c r="AU1475">
        <v>8.15</v>
      </c>
      <c r="AV1475" t="s">
        <v>630</v>
      </c>
      <c r="AW1475" t="s">
        <v>281</v>
      </c>
    </row>
    <row r="1476" spans="1:50">
      <c r="A1476" s="1">
        <f>HYPERLINK("https://lsnyc.legalserver.org/matter/dynamic-profile/view/1873822","18-1873822")</f>
        <v>0</v>
      </c>
      <c r="B1476" t="s">
        <v>53</v>
      </c>
      <c r="C1476" t="s">
        <v>340</v>
      </c>
      <c r="D1476" t="s">
        <v>466</v>
      </c>
      <c r="F1476" t="s">
        <v>893</v>
      </c>
      <c r="G1476" t="s">
        <v>5984</v>
      </c>
      <c r="H1476" t="s">
        <v>10876</v>
      </c>
      <c r="I1476" t="s">
        <v>17349</v>
      </c>
      <c r="J1476" t="s">
        <v>18892</v>
      </c>
      <c r="K1476">
        <v>10460</v>
      </c>
      <c r="L1476" t="s">
        <v>18958</v>
      </c>
      <c r="M1476" t="s">
        <v>18958</v>
      </c>
      <c r="N1476" t="s">
        <v>20076</v>
      </c>
      <c r="O1476" t="s">
        <v>26524</v>
      </c>
      <c r="P1476" t="s">
        <v>26560</v>
      </c>
      <c r="R1476" t="s">
        <v>26577</v>
      </c>
      <c r="S1476" t="s">
        <v>18959</v>
      </c>
      <c r="U1476" t="s">
        <v>26604</v>
      </c>
      <c r="V1476" t="s">
        <v>26612</v>
      </c>
      <c r="W1476" t="s">
        <v>593</v>
      </c>
      <c r="X1476">
        <v>1300</v>
      </c>
      <c r="Y1476" t="s">
        <v>26650</v>
      </c>
      <c r="Z1476" t="s">
        <v>26663</v>
      </c>
      <c r="AB1476" t="s">
        <v>28036</v>
      </c>
      <c r="AD1476" t="s">
        <v>38087</v>
      </c>
      <c r="AE1476">
        <v>23</v>
      </c>
      <c r="AF1476" t="s">
        <v>45541</v>
      </c>
      <c r="AG1476" t="s">
        <v>45563</v>
      </c>
      <c r="AH1476">
        <v>5</v>
      </c>
      <c r="AI1476">
        <v>2</v>
      </c>
      <c r="AJ1476">
        <v>0</v>
      </c>
      <c r="AK1476">
        <v>58.32</v>
      </c>
      <c r="AN1476" t="s">
        <v>45581</v>
      </c>
      <c r="AO1476">
        <v>9600</v>
      </c>
      <c r="AU1476">
        <v>76.3</v>
      </c>
      <c r="AV1476" t="s">
        <v>773</v>
      </c>
      <c r="AW1476" t="s">
        <v>46868</v>
      </c>
    </row>
    <row r="1477" spans="1:50">
      <c r="A1477" s="1">
        <f>HYPERLINK("https://lsnyc.legalserver.org/matter/dynamic-profile/view/1873856","18-1873856")</f>
        <v>0</v>
      </c>
      <c r="B1477" t="s">
        <v>82</v>
      </c>
      <c r="C1477" t="s">
        <v>340</v>
      </c>
      <c r="D1477" t="s">
        <v>469</v>
      </c>
      <c r="F1477" t="s">
        <v>1799</v>
      </c>
      <c r="G1477" t="s">
        <v>5985</v>
      </c>
      <c r="H1477" t="s">
        <v>10877</v>
      </c>
      <c r="I1477" t="s">
        <v>17347</v>
      </c>
      <c r="J1477" t="s">
        <v>18892</v>
      </c>
      <c r="K1477">
        <v>10457</v>
      </c>
      <c r="L1477" t="s">
        <v>18958</v>
      </c>
      <c r="M1477" t="s">
        <v>18958</v>
      </c>
      <c r="N1477" t="s">
        <v>20077</v>
      </c>
      <c r="O1477" t="s">
        <v>26523</v>
      </c>
      <c r="P1477" t="s">
        <v>26560</v>
      </c>
      <c r="R1477" t="s">
        <v>26579</v>
      </c>
      <c r="S1477" t="s">
        <v>18959</v>
      </c>
      <c r="U1477" t="s">
        <v>26604</v>
      </c>
      <c r="V1477" t="s">
        <v>26612</v>
      </c>
      <c r="W1477" t="s">
        <v>593</v>
      </c>
      <c r="X1477">
        <v>1158.58</v>
      </c>
      <c r="Y1477" t="s">
        <v>26650</v>
      </c>
      <c r="AB1477" t="s">
        <v>28037</v>
      </c>
      <c r="AD1477" t="s">
        <v>38088</v>
      </c>
      <c r="AE1477">
        <v>0</v>
      </c>
      <c r="AF1477" t="s">
        <v>45541</v>
      </c>
      <c r="AG1477" t="s">
        <v>19330</v>
      </c>
      <c r="AH1477">
        <v>34</v>
      </c>
      <c r="AI1477">
        <v>2</v>
      </c>
      <c r="AJ1477">
        <v>3</v>
      </c>
      <c r="AK1477">
        <v>71.70999999999999</v>
      </c>
      <c r="AN1477" t="s">
        <v>45581</v>
      </c>
      <c r="AO1477">
        <v>21096</v>
      </c>
      <c r="AU1477">
        <v>16.85</v>
      </c>
      <c r="AV1477" t="s">
        <v>825</v>
      </c>
      <c r="AW1477" t="s">
        <v>46854</v>
      </c>
    </row>
    <row r="1478" spans="1:50">
      <c r="A1478" s="1">
        <f>HYPERLINK("https://lsnyc.legalserver.org/matter/dynamic-profile/view/1873858","18-1873858")</f>
        <v>0</v>
      </c>
      <c r="B1478" t="s">
        <v>193</v>
      </c>
      <c r="C1478" t="s">
        <v>340</v>
      </c>
      <c r="D1478" t="s">
        <v>469</v>
      </c>
      <c r="F1478" t="s">
        <v>1800</v>
      </c>
      <c r="G1478" t="s">
        <v>5986</v>
      </c>
      <c r="H1478" t="s">
        <v>10878</v>
      </c>
      <c r="I1478" t="s">
        <v>17336</v>
      </c>
      <c r="J1478" t="s">
        <v>18894</v>
      </c>
      <c r="K1478">
        <v>11217</v>
      </c>
      <c r="L1478" t="s">
        <v>18958</v>
      </c>
      <c r="M1478" t="s">
        <v>18958</v>
      </c>
      <c r="N1478" t="s">
        <v>20078</v>
      </c>
      <c r="O1478" t="s">
        <v>26525</v>
      </c>
      <c r="P1478" t="s">
        <v>26560</v>
      </c>
      <c r="R1478" t="s">
        <v>26586</v>
      </c>
      <c r="U1478" t="s">
        <v>26605</v>
      </c>
      <c r="V1478" t="s">
        <v>26610</v>
      </c>
      <c r="W1478" t="s">
        <v>593</v>
      </c>
      <c r="X1478">
        <v>321</v>
      </c>
      <c r="Y1478" t="s">
        <v>26652</v>
      </c>
      <c r="Z1478" t="s">
        <v>26659</v>
      </c>
      <c r="AB1478" t="s">
        <v>28038</v>
      </c>
      <c r="AC1478">
        <v>35030898</v>
      </c>
      <c r="AD1478" t="s">
        <v>38089</v>
      </c>
      <c r="AE1478">
        <v>126</v>
      </c>
      <c r="AF1478" t="s">
        <v>45549</v>
      </c>
      <c r="AG1478" t="s">
        <v>19330</v>
      </c>
      <c r="AH1478">
        <v>17</v>
      </c>
      <c r="AI1478">
        <v>3</v>
      </c>
      <c r="AJ1478">
        <v>0</v>
      </c>
      <c r="AK1478">
        <v>87.58</v>
      </c>
      <c r="AN1478" t="s">
        <v>7439</v>
      </c>
      <c r="AO1478">
        <v>18200</v>
      </c>
      <c r="AU1478">
        <v>13.15</v>
      </c>
      <c r="AV1478" t="s">
        <v>596</v>
      </c>
      <c r="AW1478" t="s">
        <v>46862</v>
      </c>
    </row>
    <row r="1479" spans="1:50">
      <c r="A1479" s="1">
        <f>HYPERLINK("https://lsnyc.legalserver.org/matter/dynamic-profile/view/1874078","18-1874078")</f>
        <v>0</v>
      </c>
      <c r="B1479" t="s">
        <v>149</v>
      </c>
      <c r="C1479" t="s">
        <v>341</v>
      </c>
      <c r="D1479" t="s">
        <v>492</v>
      </c>
      <c r="E1479" t="s">
        <v>494</v>
      </c>
      <c r="F1479" t="s">
        <v>1426</v>
      </c>
      <c r="G1479" t="s">
        <v>5244</v>
      </c>
      <c r="H1479" t="s">
        <v>10879</v>
      </c>
      <c r="I1479" t="s">
        <v>17670</v>
      </c>
      <c r="J1479" t="s">
        <v>18892</v>
      </c>
      <c r="K1479">
        <v>10453</v>
      </c>
      <c r="L1479" t="s">
        <v>18958</v>
      </c>
      <c r="M1479" t="s">
        <v>18958</v>
      </c>
      <c r="O1479" t="s">
        <v>18997</v>
      </c>
      <c r="P1479" t="s">
        <v>26565</v>
      </c>
      <c r="Q1479" t="s">
        <v>26571</v>
      </c>
      <c r="R1479" t="s">
        <v>26578</v>
      </c>
      <c r="S1479" t="s">
        <v>18959</v>
      </c>
      <c r="U1479" t="s">
        <v>26604</v>
      </c>
      <c r="W1479" t="s">
        <v>593</v>
      </c>
      <c r="X1479">
        <v>1347</v>
      </c>
      <c r="Y1479" t="s">
        <v>26650</v>
      </c>
      <c r="Z1479" t="s">
        <v>26663</v>
      </c>
      <c r="AA1479" t="s">
        <v>26682</v>
      </c>
      <c r="AB1479" t="s">
        <v>28039</v>
      </c>
      <c r="AD1479" t="s">
        <v>38090</v>
      </c>
      <c r="AE1479">
        <v>1654</v>
      </c>
      <c r="AF1479" t="s">
        <v>45543</v>
      </c>
      <c r="AG1479" t="s">
        <v>45556</v>
      </c>
      <c r="AH1479">
        <v>4</v>
      </c>
      <c r="AI1479">
        <v>2</v>
      </c>
      <c r="AJ1479">
        <v>0</v>
      </c>
      <c r="AK1479">
        <v>48.57</v>
      </c>
      <c r="AN1479" t="s">
        <v>7439</v>
      </c>
      <c r="AO1479">
        <v>7995</v>
      </c>
      <c r="AU1479">
        <v>1</v>
      </c>
      <c r="AV1479" t="s">
        <v>492</v>
      </c>
      <c r="AW1479" t="s">
        <v>149</v>
      </c>
    </row>
    <row r="1480" spans="1:50">
      <c r="A1480" s="1">
        <f>HYPERLINK("https://lsnyc.legalserver.org/matter/dynamic-profile/view/1874084","18-1874084")</f>
        <v>0</v>
      </c>
      <c r="B1480" t="s">
        <v>149</v>
      </c>
      <c r="C1480" t="s">
        <v>341</v>
      </c>
      <c r="D1480" t="s">
        <v>492</v>
      </c>
      <c r="E1480" t="s">
        <v>494</v>
      </c>
      <c r="F1480" t="s">
        <v>1801</v>
      </c>
      <c r="G1480" t="s">
        <v>5987</v>
      </c>
      <c r="H1480" t="s">
        <v>10880</v>
      </c>
      <c r="I1480" t="s">
        <v>17536</v>
      </c>
      <c r="J1480" t="s">
        <v>18892</v>
      </c>
      <c r="K1480">
        <v>10466</v>
      </c>
      <c r="L1480" t="s">
        <v>18958</v>
      </c>
      <c r="M1480" t="s">
        <v>18958</v>
      </c>
      <c r="O1480" t="s">
        <v>26546</v>
      </c>
      <c r="P1480" t="s">
        <v>26564</v>
      </c>
      <c r="Q1480" t="s">
        <v>26570</v>
      </c>
      <c r="R1480" t="s">
        <v>26578</v>
      </c>
      <c r="S1480" t="s">
        <v>18959</v>
      </c>
      <c r="U1480" t="s">
        <v>26604</v>
      </c>
      <c r="W1480" t="s">
        <v>593</v>
      </c>
      <c r="X1480">
        <v>700</v>
      </c>
      <c r="Y1480" t="s">
        <v>26650</v>
      </c>
      <c r="Z1480" t="s">
        <v>26663</v>
      </c>
      <c r="AA1480" t="s">
        <v>26683</v>
      </c>
      <c r="AB1480" t="s">
        <v>28040</v>
      </c>
      <c r="AD1480" t="s">
        <v>38091</v>
      </c>
      <c r="AE1480">
        <v>1</v>
      </c>
      <c r="AF1480" t="s">
        <v>45545</v>
      </c>
      <c r="AG1480" t="s">
        <v>19330</v>
      </c>
      <c r="AH1480">
        <v>3</v>
      </c>
      <c r="AI1480">
        <v>1</v>
      </c>
      <c r="AJ1480">
        <v>0</v>
      </c>
      <c r="AK1480">
        <v>107.08</v>
      </c>
      <c r="AN1480" t="s">
        <v>7439</v>
      </c>
      <c r="AO1480">
        <v>13000</v>
      </c>
      <c r="AU1480">
        <v>1</v>
      </c>
      <c r="AV1480" t="s">
        <v>492</v>
      </c>
      <c r="AW1480" t="s">
        <v>217</v>
      </c>
    </row>
    <row r="1481" spans="1:50">
      <c r="A1481" s="1">
        <f>HYPERLINK("https://lsnyc.legalserver.org/matter/dynamic-profile/view/1874074","18-1874074")</f>
        <v>0</v>
      </c>
      <c r="B1481" t="s">
        <v>99</v>
      </c>
      <c r="C1481" t="s">
        <v>341</v>
      </c>
      <c r="D1481" t="s">
        <v>492</v>
      </c>
      <c r="E1481" t="s">
        <v>786</v>
      </c>
      <c r="F1481" t="s">
        <v>1802</v>
      </c>
      <c r="G1481" t="s">
        <v>5988</v>
      </c>
      <c r="H1481" t="s">
        <v>10881</v>
      </c>
      <c r="I1481" t="s">
        <v>17507</v>
      </c>
      <c r="J1481" t="s">
        <v>18894</v>
      </c>
      <c r="K1481">
        <v>11207</v>
      </c>
      <c r="L1481" t="s">
        <v>18958</v>
      </c>
      <c r="M1481" t="s">
        <v>18958</v>
      </c>
      <c r="N1481" t="s">
        <v>20079</v>
      </c>
      <c r="O1481" t="s">
        <v>26523</v>
      </c>
      <c r="P1481" t="s">
        <v>26560</v>
      </c>
      <c r="Q1481" t="s">
        <v>26568</v>
      </c>
      <c r="R1481" t="s">
        <v>26586</v>
      </c>
      <c r="S1481" t="s">
        <v>18959</v>
      </c>
      <c r="U1481" t="s">
        <v>26604</v>
      </c>
      <c r="V1481" t="s">
        <v>26612</v>
      </c>
      <c r="W1481" t="s">
        <v>593</v>
      </c>
      <c r="X1481">
        <v>510</v>
      </c>
      <c r="Y1481" t="s">
        <v>26652</v>
      </c>
      <c r="Z1481" t="s">
        <v>26656</v>
      </c>
      <c r="AA1481" t="s">
        <v>26680</v>
      </c>
      <c r="AB1481" t="s">
        <v>28041</v>
      </c>
      <c r="AC1481" t="s">
        <v>34950</v>
      </c>
      <c r="AD1481" t="s">
        <v>38092</v>
      </c>
      <c r="AE1481">
        <v>6</v>
      </c>
      <c r="AF1481" t="s">
        <v>45542</v>
      </c>
      <c r="AG1481" t="s">
        <v>19330</v>
      </c>
      <c r="AH1481">
        <v>17</v>
      </c>
      <c r="AI1481">
        <v>5</v>
      </c>
      <c r="AJ1481">
        <v>1</v>
      </c>
      <c r="AK1481">
        <v>40.19</v>
      </c>
      <c r="AN1481" t="s">
        <v>7439</v>
      </c>
      <c r="AO1481">
        <v>13560</v>
      </c>
      <c r="AQ1481" t="s">
        <v>46365</v>
      </c>
      <c r="AR1481" t="s">
        <v>46379</v>
      </c>
      <c r="AS1481" t="s">
        <v>46499</v>
      </c>
      <c r="AT1481" t="s">
        <v>46524</v>
      </c>
      <c r="AU1481">
        <v>51.1</v>
      </c>
      <c r="AV1481" t="s">
        <v>834</v>
      </c>
      <c r="AW1481" t="s">
        <v>237</v>
      </c>
    </row>
    <row r="1482" spans="1:50">
      <c r="A1482" s="1">
        <f>HYPERLINK("https://lsnyc.legalserver.org/matter/dynamic-profile/view/1874017","18-1874017")</f>
        <v>0</v>
      </c>
      <c r="B1482" t="s">
        <v>55</v>
      </c>
      <c r="C1482" t="s">
        <v>341</v>
      </c>
      <c r="D1482" t="s">
        <v>492</v>
      </c>
      <c r="E1482" t="s">
        <v>594</v>
      </c>
      <c r="F1482" t="s">
        <v>1803</v>
      </c>
      <c r="G1482" t="s">
        <v>5989</v>
      </c>
      <c r="H1482" t="s">
        <v>10882</v>
      </c>
      <c r="I1482" t="s">
        <v>17671</v>
      </c>
      <c r="J1482" t="s">
        <v>18892</v>
      </c>
      <c r="K1482">
        <v>10453</v>
      </c>
      <c r="L1482" t="s">
        <v>18958</v>
      </c>
      <c r="M1482" t="s">
        <v>18958</v>
      </c>
      <c r="N1482" t="s">
        <v>20080</v>
      </c>
      <c r="O1482" t="s">
        <v>26523</v>
      </c>
      <c r="P1482" t="s">
        <v>26565</v>
      </c>
      <c r="Q1482" t="s">
        <v>26571</v>
      </c>
      <c r="R1482" t="s">
        <v>26578</v>
      </c>
      <c r="S1482" t="s">
        <v>18959</v>
      </c>
      <c r="U1482" t="s">
        <v>26604</v>
      </c>
      <c r="W1482" t="s">
        <v>593</v>
      </c>
      <c r="X1482">
        <v>512.0599999999999</v>
      </c>
      <c r="Y1482" t="s">
        <v>26650</v>
      </c>
      <c r="Z1482" t="s">
        <v>26656</v>
      </c>
      <c r="AA1482" t="s">
        <v>26683</v>
      </c>
      <c r="AB1482" t="s">
        <v>28042</v>
      </c>
      <c r="AD1482" t="s">
        <v>38093</v>
      </c>
      <c r="AE1482">
        <v>53</v>
      </c>
      <c r="AF1482" t="s">
        <v>20460</v>
      </c>
      <c r="AG1482" t="s">
        <v>19330</v>
      </c>
      <c r="AH1482">
        <v>7</v>
      </c>
      <c r="AI1482">
        <v>2</v>
      </c>
      <c r="AJ1482">
        <v>0</v>
      </c>
      <c r="AK1482">
        <v>135.53</v>
      </c>
      <c r="AN1482" t="s">
        <v>7439</v>
      </c>
      <c r="AO1482">
        <v>22308</v>
      </c>
      <c r="AU1482">
        <v>5.15</v>
      </c>
      <c r="AV1482" t="s">
        <v>441</v>
      </c>
      <c r="AW1482" t="s">
        <v>46831</v>
      </c>
    </row>
    <row r="1483" spans="1:50">
      <c r="A1483" s="1">
        <f>HYPERLINK("https://lsnyc.legalserver.org/matter/dynamic-profile/view/1874127","18-1874127")</f>
        <v>0</v>
      </c>
      <c r="B1483" t="s">
        <v>132</v>
      </c>
      <c r="C1483" t="s">
        <v>341</v>
      </c>
      <c r="D1483" t="s">
        <v>492</v>
      </c>
      <c r="E1483" t="s">
        <v>599</v>
      </c>
      <c r="F1483" t="s">
        <v>1804</v>
      </c>
      <c r="G1483" t="s">
        <v>5990</v>
      </c>
      <c r="H1483" t="s">
        <v>10883</v>
      </c>
      <c r="I1483" t="s">
        <v>17672</v>
      </c>
      <c r="J1483" t="s">
        <v>18894</v>
      </c>
      <c r="K1483">
        <v>11226</v>
      </c>
      <c r="L1483" t="s">
        <v>18958</v>
      </c>
      <c r="M1483" t="s">
        <v>18958</v>
      </c>
      <c r="N1483" t="s">
        <v>20081</v>
      </c>
      <c r="O1483" t="s">
        <v>26523</v>
      </c>
      <c r="P1483" t="s">
        <v>26564</v>
      </c>
      <c r="Q1483" t="s">
        <v>26570</v>
      </c>
      <c r="R1483" t="s">
        <v>26588</v>
      </c>
      <c r="S1483" t="s">
        <v>18959</v>
      </c>
      <c r="U1483" t="s">
        <v>26604</v>
      </c>
      <c r="V1483" t="s">
        <v>26612</v>
      </c>
      <c r="W1483" t="s">
        <v>593</v>
      </c>
      <c r="X1483">
        <v>1400</v>
      </c>
      <c r="Y1483" t="s">
        <v>26652</v>
      </c>
      <c r="Z1483" t="s">
        <v>26656</v>
      </c>
      <c r="AA1483" t="s">
        <v>26683</v>
      </c>
      <c r="AB1483" t="s">
        <v>28043</v>
      </c>
      <c r="AC1483" t="s">
        <v>34951</v>
      </c>
      <c r="AD1483" t="s">
        <v>38094</v>
      </c>
      <c r="AE1483">
        <v>48</v>
      </c>
      <c r="AF1483" t="s">
        <v>45541</v>
      </c>
      <c r="AG1483" t="s">
        <v>19330</v>
      </c>
      <c r="AH1483">
        <v>6</v>
      </c>
      <c r="AI1483">
        <v>2</v>
      </c>
      <c r="AJ1483">
        <v>0</v>
      </c>
      <c r="AK1483">
        <v>364.52</v>
      </c>
      <c r="AN1483" t="s">
        <v>7439</v>
      </c>
      <c r="AO1483">
        <v>60000</v>
      </c>
      <c r="AU1483">
        <v>2.8</v>
      </c>
      <c r="AV1483" t="s">
        <v>497</v>
      </c>
      <c r="AW1483" t="s">
        <v>237</v>
      </c>
    </row>
    <row r="1484" spans="1:50">
      <c r="A1484" s="1">
        <f>HYPERLINK("https://lsnyc.legalserver.org/matter/dynamic-profile/view/1874093","18-1874093")</f>
        <v>0</v>
      </c>
      <c r="B1484" t="s">
        <v>172</v>
      </c>
      <c r="C1484" t="s">
        <v>341</v>
      </c>
      <c r="D1484" t="s">
        <v>492</v>
      </c>
      <c r="E1484" t="s">
        <v>452</v>
      </c>
      <c r="F1484" t="s">
        <v>1072</v>
      </c>
      <c r="G1484" t="s">
        <v>5991</v>
      </c>
      <c r="H1484" t="s">
        <v>10884</v>
      </c>
      <c r="J1484" t="s">
        <v>18894</v>
      </c>
      <c r="K1484">
        <v>11217</v>
      </c>
      <c r="L1484" t="s">
        <v>18958</v>
      </c>
      <c r="M1484" t="s">
        <v>18958</v>
      </c>
      <c r="N1484" t="s">
        <v>20082</v>
      </c>
      <c r="O1484" t="s">
        <v>26533</v>
      </c>
      <c r="P1484" t="s">
        <v>26560</v>
      </c>
      <c r="Q1484" t="s">
        <v>26575</v>
      </c>
      <c r="R1484" t="s">
        <v>26586</v>
      </c>
      <c r="S1484" t="s">
        <v>18959</v>
      </c>
      <c r="U1484" t="s">
        <v>26604</v>
      </c>
      <c r="W1484" t="s">
        <v>593</v>
      </c>
      <c r="X1484">
        <v>400</v>
      </c>
      <c r="Y1484" t="s">
        <v>26652</v>
      </c>
      <c r="Z1484" t="s">
        <v>26663</v>
      </c>
      <c r="AA1484" t="s">
        <v>26678</v>
      </c>
      <c r="AB1484" t="s">
        <v>28044</v>
      </c>
      <c r="AC1484" t="s">
        <v>34952</v>
      </c>
      <c r="AD1484" t="s">
        <v>38095</v>
      </c>
      <c r="AE1484">
        <v>2</v>
      </c>
      <c r="AF1484" t="s">
        <v>45547</v>
      </c>
      <c r="AG1484" t="s">
        <v>19330</v>
      </c>
      <c r="AH1484">
        <v>8</v>
      </c>
      <c r="AI1484">
        <v>1</v>
      </c>
      <c r="AJ1484">
        <v>1</v>
      </c>
      <c r="AK1484">
        <v>153.83</v>
      </c>
      <c r="AN1484" t="s">
        <v>7439</v>
      </c>
      <c r="AO1484">
        <v>25320</v>
      </c>
      <c r="AS1484" t="s">
        <v>46499</v>
      </c>
      <c r="AT1484" t="s">
        <v>46685</v>
      </c>
      <c r="AU1484">
        <v>8.4</v>
      </c>
      <c r="AV1484" t="s">
        <v>630</v>
      </c>
      <c r="AW1484" t="s">
        <v>237</v>
      </c>
    </row>
    <row r="1485" spans="1:50">
      <c r="A1485" s="1">
        <f>HYPERLINK("https://lsnyc.legalserver.org/matter/dynamic-profile/view/1874151","18-1874151")</f>
        <v>0</v>
      </c>
      <c r="B1485" t="s">
        <v>242</v>
      </c>
      <c r="C1485" t="s">
        <v>340</v>
      </c>
      <c r="D1485" t="s">
        <v>497</v>
      </c>
      <c r="F1485" t="s">
        <v>1805</v>
      </c>
      <c r="G1485" t="s">
        <v>5992</v>
      </c>
      <c r="H1485" t="s">
        <v>10885</v>
      </c>
      <c r="I1485" t="s">
        <v>17276</v>
      </c>
      <c r="J1485" t="s">
        <v>18894</v>
      </c>
      <c r="K1485">
        <v>11230</v>
      </c>
      <c r="L1485" t="s">
        <v>18958</v>
      </c>
      <c r="M1485" t="s">
        <v>18958</v>
      </c>
      <c r="N1485" t="s">
        <v>20083</v>
      </c>
      <c r="O1485" t="s">
        <v>26523</v>
      </c>
      <c r="P1485" t="s">
        <v>26560</v>
      </c>
      <c r="R1485" t="s">
        <v>26586</v>
      </c>
      <c r="S1485" t="s">
        <v>18959</v>
      </c>
      <c r="U1485" t="s">
        <v>26604</v>
      </c>
      <c r="V1485" t="s">
        <v>26610</v>
      </c>
      <c r="W1485" t="s">
        <v>593</v>
      </c>
      <c r="X1485">
        <v>850</v>
      </c>
      <c r="Y1485" t="s">
        <v>26652</v>
      </c>
      <c r="Z1485" t="s">
        <v>26662</v>
      </c>
      <c r="AB1485" t="s">
        <v>28045</v>
      </c>
      <c r="AD1485" t="s">
        <v>38096</v>
      </c>
      <c r="AE1485">
        <v>50</v>
      </c>
      <c r="AF1485" t="s">
        <v>45541</v>
      </c>
      <c r="AG1485" t="s">
        <v>19330</v>
      </c>
      <c r="AH1485">
        <v>43</v>
      </c>
      <c r="AI1485">
        <v>1</v>
      </c>
      <c r="AJ1485">
        <v>0</v>
      </c>
      <c r="AK1485">
        <v>0</v>
      </c>
      <c r="AN1485" t="s">
        <v>7439</v>
      </c>
      <c r="AO1485">
        <v>0</v>
      </c>
      <c r="AU1485">
        <v>25.7</v>
      </c>
      <c r="AV1485" t="s">
        <v>832</v>
      </c>
      <c r="AW1485" t="s">
        <v>281</v>
      </c>
    </row>
    <row r="1486" spans="1:50">
      <c r="A1486" s="1">
        <f>HYPERLINK("https://lsnyc.legalserver.org/matter/dynamic-profile/view/1874222","18-1874222")</f>
        <v>0</v>
      </c>
      <c r="B1486" t="s">
        <v>155</v>
      </c>
      <c r="C1486" t="s">
        <v>340</v>
      </c>
      <c r="D1486" t="s">
        <v>497</v>
      </c>
      <c r="F1486" t="s">
        <v>1806</v>
      </c>
      <c r="G1486" t="s">
        <v>5993</v>
      </c>
      <c r="H1486" t="s">
        <v>10886</v>
      </c>
      <c r="I1486" t="s">
        <v>17673</v>
      </c>
      <c r="J1486" t="s">
        <v>18894</v>
      </c>
      <c r="K1486">
        <v>11236</v>
      </c>
      <c r="L1486" t="s">
        <v>18958</v>
      </c>
      <c r="M1486" t="s">
        <v>18958</v>
      </c>
      <c r="N1486" t="s">
        <v>20084</v>
      </c>
      <c r="O1486" t="s">
        <v>26524</v>
      </c>
      <c r="P1486" t="s">
        <v>26560</v>
      </c>
      <c r="R1486" t="s">
        <v>26586</v>
      </c>
      <c r="S1486" t="s">
        <v>18958</v>
      </c>
      <c r="U1486" t="s">
        <v>26604</v>
      </c>
      <c r="V1486" t="s">
        <v>26612</v>
      </c>
      <c r="W1486" t="s">
        <v>593</v>
      </c>
      <c r="X1486">
        <v>0</v>
      </c>
      <c r="Y1486" t="s">
        <v>26652</v>
      </c>
      <c r="Z1486" t="s">
        <v>26662</v>
      </c>
      <c r="AB1486" t="s">
        <v>28046</v>
      </c>
      <c r="AD1486" t="s">
        <v>38097</v>
      </c>
      <c r="AE1486">
        <v>6</v>
      </c>
      <c r="AF1486" t="s">
        <v>45547</v>
      </c>
      <c r="AG1486" t="s">
        <v>45560</v>
      </c>
      <c r="AH1486">
        <v>1</v>
      </c>
      <c r="AI1486">
        <v>1</v>
      </c>
      <c r="AJ1486">
        <v>0</v>
      </c>
      <c r="AK1486">
        <v>0</v>
      </c>
      <c r="AN1486" t="s">
        <v>7439</v>
      </c>
      <c r="AO1486">
        <v>0</v>
      </c>
      <c r="AU1486">
        <v>50.5</v>
      </c>
      <c r="AV1486" t="s">
        <v>765</v>
      </c>
      <c r="AW1486" t="s">
        <v>281</v>
      </c>
      <c r="AX1486" t="s">
        <v>46897</v>
      </c>
    </row>
    <row r="1487" spans="1:50">
      <c r="A1487" s="1">
        <f>HYPERLINK("https://lsnyc.legalserver.org/matter/dynamic-profile/view/1874299","18-1874299")</f>
        <v>0</v>
      </c>
      <c r="B1487" t="s">
        <v>53</v>
      </c>
      <c r="C1487" t="s">
        <v>341</v>
      </c>
      <c r="D1487" t="s">
        <v>500</v>
      </c>
      <c r="E1487" t="s">
        <v>811</v>
      </c>
      <c r="F1487" t="s">
        <v>1256</v>
      </c>
      <c r="G1487" t="s">
        <v>5994</v>
      </c>
      <c r="H1487" t="s">
        <v>10887</v>
      </c>
      <c r="I1487" t="s">
        <v>17355</v>
      </c>
      <c r="J1487" t="s">
        <v>18892</v>
      </c>
      <c r="K1487">
        <v>10457</v>
      </c>
      <c r="L1487" t="s">
        <v>18958</v>
      </c>
      <c r="M1487" t="s">
        <v>18958</v>
      </c>
      <c r="N1487" t="s">
        <v>20085</v>
      </c>
      <c r="O1487" t="s">
        <v>26523</v>
      </c>
      <c r="P1487" t="s">
        <v>26560</v>
      </c>
      <c r="Q1487" t="s">
        <v>26568</v>
      </c>
      <c r="R1487" t="s">
        <v>26579</v>
      </c>
      <c r="S1487" t="s">
        <v>18959</v>
      </c>
      <c r="U1487" t="s">
        <v>26604</v>
      </c>
      <c r="V1487" t="s">
        <v>26610</v>
      </c>
      <c r="W1487" t="s">
        <v>593</v>
      </c>
      <c r="X1487">
        <v>2000</v>
      </c>
      <c r="Y1487" t="s">
        <v>26650</v>
      </c>
      <c r="Z1487" t="s">
        <v>26664</v>
      </c>
      <c r="AA1487" t="s">
        <v>26678</v>
      </c>
      <c r="AB1487" t="s">
        <v>28047</v>
      </c>
      <c r="AC1487" t="s">
        <v>34953</v>
      </c>
      <c r="AD1487" t="s">
        <v>38098</v>
      </c>
      <c r="AE1487">
        <v>21</v>
      </c>
      <c r="AF1487" t="s">
        <v>45541</v>
      </c>
      <c r="AG1487" t="s">
        <v>45556</v>
      </c>
      <c r="AH1487">
        <v>10</v>
      </c>
      <c r="AI1487">
        <v>2</v>
      </c>
      <c r="AJ1487">
        <v>1</v>
      </c>
      <c r="AK1487">
        <v>122.62</v>
      </c>
      <c r="AN1487" t="s">
        <v>7439</v>
      </c>
      <c r="AO1487">
        <v>25480</v>
      </c>
      <c r="AR1487" t="s">
        <v>46385</v>
      </c>
      <c r="AS1487" t="s">
        <v>46499</v>
      </c>
      <c r="AT1487" t="s">
        <v>46531</v>
      </c>
      <c r="AU1487">
        <v>22.1</v>
      </c>
      <c r="AV1487" t="s">
        <v>784</v>
      </c>
      <c r="AW1487" t="s">
        <v>46854</v>
      </c>
    </row>
    <row r="1488" spans="1:50">
      <c r="A1488" s="1">
        <f>HYPERLINK("https://lsnyc.legalserver.org/matter/dynamic-profile/view/1874365","18-1874365")</f>
        <v>0</v>
      </c>
      <c r="B1488" t="s">
        <v>64</v>
      </c>
      <c r="C1488" t="s">
        <v>341</v>
      </c>
      <c r="D1488" t="s">
        <v>500</v>
      </c>
      <c r="E1488" t="s">
        <v>766</v>
      </c>
      <c r="F1488" t="s">
        <v>1807</v>
      </c>
      <c r="G1488" t="s">
        <v>5995</v>
      </c>
      <c r="H1488" t="s">
        <v>9658</v>
      </c>
      <c r="I1488" t="s">
        <v>17674</v>
      </c>
      <c r="J1488" t="s">
        <v>18892</v>
      </c>
      <c r="K1488">
        <v>10457</v>
      </c>
      <c r="L1488" t="s">
        <v>18958</v>
      </c>
      <c r="M1488" t="s">
        <v>18958</v>
      </c>
      <c r="N1488" t="s">
        <v>20086</v>
      </c>
      <c r="O1488" t="s">
        <v>26523</v>
      </c>
      <c r="P1488" t="s">
        <v>26560</v>
      </c>
      <c r="Q1488" t="s">
        <v>26568</v>
      </c>
      <c r="R1488" t="s">
        <v>26579</v>
      </c>
      <c r="S1488" t="s">
        <v>18959</v>
      </c>
      <c r="U1488" t="s">
        <v>26604</v>
      </c>
      <c r="V1488" t="s">
        <v>26610</v>
      </c>
      <c r="W1488" t="s">
        <v>593</v>
      </c>
      <c r="X1488">
        <v>1700</v>
      </c>
      <c r="Y1488" t="s">
        <v>26650</v>
      </c>
      <c r="Z1488" t="s">
        <v>26662</v>
      </c>
      <c r="AA1488" t="s">
        <v>26678</v>
      </c>
      <c r="AB1488" t="s">
        <v>28048</v>
      </c>
      <c r="AC1488" t="s">
        <v>34954</v>
      </c>
      <c r="AD1488" t="s">
        <v>34738</v>
      </c>
      <c r="AE1488">
        <v>0</v>
      </c>
      <c r="AF1488" t="s">
        <v>45552</v>
      </c>
      <c r="AG1488" t="s">
        <v>45556</v>
      </c>
      <c r="AH1488">
        <v>15</v>
      </c>
      <c r="AI1488">
        <v>1</v>
      </c>
      <c r="AJ1488">
        <v>0</v>
      </c>
      <c r="AK1488">
        <v>14.04</v>
      </c>
      <c r="AN1488" t="s">
        <v>7439</v>
      </c>
      <c r="AO1488">
        <v>1704</v>
      </c>
      <c r="AQ1488" t="s">
        <v>46362</v>
      </c>
      <c r="AR1488" t="s">
        <v>46385</v>
      </c>
      <c r="AS1488" t="s">
        <v>46499</v>
      </c>
      <c r="AT1488" t="s">
        <v>46524</v>
      </c>
      <c r="AU1488">
        <v>9.949999999999999</v>
      </c>
      <c r="AV1488" t="s">
        <v>758</v>
      </c>
      <c r="AW1488" t="s">
        <v>46831</v>
      </c>
      <c r="AX1488" t="s">
        <v>46898</v>
      </c>
    </row>
    <row r="1489" spans="1:50">
      <c r="A1489" s="1">
        <f>HYPERLINK("https://lsnyc.legalserver.org/matter/dynamic-profile/view/1874344","18-1874344")</f>
        <v>0</v>
      </c>
      <c r="B1489" t="s">
        <v>133</v>
      </c>
      <c r="C1489" t="s">
        <v>340</v>
      </c>
      <c r="D1489" t="s">
        <v>500</v>
      </c>
      <c r="F1489" t="s">
        <v>1021</v>
      </c>
      <c r="G1489" t="s">
        <v>5996</v>
      </c>
      <c r="H1489" t="s">
        <v>10888</v>
      </c>
      <c r="I1489" t="s">
        <v>17278</v>
      </c>
      <c r="J1489" t="s">
        <v>18892</v>
      </c>
      <c r="K1489">
        <v>10458</v>
      </c>
      <c r="L1489" t="s">
        <v>18958</v>
      </c>
      <c r="M1489" t="s">
        <v>18958</v>
      </c>
      <c r="N1489" t="s">
        <v>20087</v>
      </c>
      <c r="O1489" t="s">
        <v>26524</v>
      </c>
      <c r="P1489" t="s">
        <v>26560</v>
      </c>
      <c r="R1489" t="s">
        <v>26577</v>
      </c>
      <c r="S1489" t="s">
        <v>18959</v>
      </c>
      <c r="U1489" t="s">
        <v>26604</v>
      </c>
      <c r="V1489" t="s">
        <v>26610</v>
      </c>
      <c r="W1489" t="s">
        <v>593</v>
      </c>
      <c r="X1489">
        <v>1875</v>
      </c>
      <c r="Y1489" t="s">
        <v>26650</v>
      </c>
      <c r="AB1489" t="s">
        <v>28049</v>
      </c>
      <c r="AE1489">
        <v>0</v>
      </c>
      <c r="AF1489" t="s">
        <v>45547</v>
      </c>
      <c r="AG1489" t="s">
        <v>19330</v>
      </c>
      <c r="AH1489">
        <v>1</v>
      </c>
      <c r="AI1489">
        <v>4</v>
      </c>
      <c r="AJ1489">
        <v>1</v>
      </c>
      <c r="AK1489">
        <v>95.40000000000001</v>
      </c>
      <c r="AN1489" t="s">
        <v>7439</v>
      </c>
      <c r="AO1489">
        <v>28068</v>
      </c>
      <c r="AU1489">
        <v>192.3</v>
      </c>
      <c r="AV1489" t="s">
        <v>816</v>
      </c>
      <c r="AW1489" t="s">
        <v>46837</v>
      </c>
    </row>
    <row r="1490" spans="1:50">
      <c r="A1490" s="1">
        <f>HYPERLINK("https://lsnyc.legalserver.org/matter/dynamic-profile/view/1874363","18-1874363")</f>
        <v>0</v>
      </c>
      <c r="B1490" t="s">
        <v>71</v>
      </c>
      <c r="C1490" t="s">
        <v>340</v>
      </c>
      <c r="D1490" t="s">
        <v>500</v>
      </c>
      <c r="F1490" t="s">
        <v>1808</v>
      </c>
      <c r="G1490" t="s">
        <v>5086</v>
      </c>
      <c r="H1490" t="s">
        <v>10889</v>
      </c>
      <c r="I1490" t="s">
        <v>17607</v>
      </c>
      <c r="J1490" t="s">
        <v>18892</v>
      </c>
      <c r="K1490">
        <v>10467</v>
      </c>
      <c r="L1490" t="s">
        <v>18958</v>
      </c>
      <c r="M1490" t="s">
        <v>18958</v>
      </c>
      <c r="N1490" t="s">
        <v>20088</v>
      </c>
      <c r="O1490" t="s">
        <v>26523</v>
      </c>
      <c r="P1490" t="s">
        <v>26560</v>
      </c>
      <c r="R1490" t="s">
        <v>26579</v>
      </c>
      <c r="S1490" t="s">
        <v>18959</v>
      </c>
      <c r="U1490" t="s">
        <v>26604</v>
      </c>
      <c r="V1490" t="s">
        <v>26610</v>
      </c>
      <c r="W1490" t="s">
        <v>593</v>
      </c>
      <c r="X1490">
        <v>1450</v>
      </c>
      <c r="Y1490" t="s">
        <v>26650</v>
      </c>
      <c r="Z1490" t="s">
        <v>26664</v>
      </c>
      <c r="AB1490" t="s">
        <v>28050</v>
      </c>
      <c r="AC1490" t="s">
        <v>34955</v>
      </c>
      <c r="AD1490" t="s">
        <v>38099</v>
      </c>
      <c r="AE1490">
        <v>64</v>
      </c>
      <c r="AF1490" t="s">
        <v>45541</v>
      </c>
      <c r="AG1490" t="s">
        <v>19330</v>
      </c>
      <c r="AH1490">
        <v>1</v>
      </c>
      <c r="AI1490">
        <v>1</v>
      </c>
      <c r="AJ1490">
        <v>1</v>
      </c>
      <c r="AK1490">
        <v>10.94</v>
      </c>
      <c r="AN1490" t="s">
        <v>7439</v>
      </c>
      <c r="AO1490">
        <v>1800</v>
      </c>
      <c r="AU1490">
        <v>15.5</v>
      </c>
      <c r="AV1490" t="s">
        <v>724</v>
      </c>
      <c r="AW1490" t="s">
        <v>46854</v>
      </c>
    </row>
    <row r="1491" spans="1:50">
      <c r="A1491" s="1">
        <f>HYPERLINK("https://lsnyc.legalserver.org/matter/dynamic-profile/view/1874381","18-1874381")</f>
        <v>0</v>
      </c>
      <c r="B1491" t="s">
        <v>71</v>
      </c>
      <c r="C1491" t="s">
        <v>340</v>
      </c>
      <c r="D1491" t="s">
        <v>500</v>
      </c>
      <c r="F1491" t="s">
        <v>887</v>
      </c>
      <c r="G1491" t="s">
        <v>1725</v>
      </c>
      <c r="H1491" t="s">
        <v>10890</v>
      </c>
      <c r="I1491" t="s">
        <v>17322</v>
      </c>
      <c r="J1491" t="s">
        <v>18892</v>
      </c>
      <c r="K1491">
        <v>10468</v>
      </c>
      <c r="L1491" t="s">
        <v>18958</v>
      </c>
      <c r="M1491" t="s">
        <v>18958</v>
      </c>
      <c r="N1491" t="s">
        <v>20089</v>
      </c>
      <c r="O1491" t="s">
        <v>26524</v>
      </c>
      <c r="P1491" t="s">
        <v>26560</v>
      </c>
      <c r="R1491" t="s">
        <v>26579</v>
      </c>
      <c r="S1491" t="s">
        <v>18959</v>
      </c>
      <c r="U1491" t="s">
        <v>26604</v>
      </c>
      <c r="V1491" t="s">
        <v>26610</v>
      </c>
      <c r="W1491" t="s">
        <v>593</v>
      </c>
      <c r="X1491">
        <v>1495.76</v>
      </c>
      <c r="Y1491" t="s">
        <v>26650</v>
      </c>
      <c r="Z1491" t="s">
        <v>26662</v>
      </c>
      <c r="AB1491" t="s">
        <v>28051</v>
      </c>
      <c r="AD1491" t="s">
        <v>38100</v>
      </c>
      <c r="AE1491">
        <v>61</v>
      </c>
      <c r="AF1491" t="s">
        <v>45541</v>
      </c>
      <c r="AG1491" t="s">
        <v>19330</v>
      </c>
      <c r="AH1491">
        <v>11</v>
      </c>
      <c r="AI1491">
        <v>3</v>
      </c>
      <c r="AJ1491">
        <v>1</v>
      </c>
      <c r="AK1491">
        <v>129.08</v>
      </c>
      <c r="AN1491" t="s">
        <v>45581</v>
      </c>
      <c r="AO1491">
        <v>32400</v>
      </c>
      <c r="AU1491">
        <v>41.9</v>
      </c>
      <c r="AV1491" t="s">
        <v>839</v>
      </c>
      <c r="AW1491" t="s">
        <v>46836</v>
      </c>
    </row>
    <row r="1492" spans="1:50">
      <c r="A1492" s="1">
        <f>HYPERLINK("https://lsnyc.legalserver.org/matter/dynamic-profile/view/1874397","18-1874397")</f>
        <v>0</v>
      </c>
      <c r="B1492" t="s">
        <v>137</v>
      </c>
      <c r="C1492" t="s">
        <v>341</v>
      </c>
      <c r="D1492" t="s">
        <v>498</v>
      </c>
      <c r="E1492" t="s">
        <v>815</v>
      </c>
      <c r="F1492" t="s">
        <v>1045</v>
      </c>
      <c r="G1492" t="s">
        <v>5997</v>
      </c>
      <c r="H1492" t="s">
        <v>10891</v>
      </c>
      <c r="I1492" t="s">
        <v>17339</v>
      </c>
      <c r="J1492" t="s">
        <v>18892</v>
      </c>
      <c r="K1492">
        <v>10462</v>
      </c>
      <c r="L1492" t="s">
        <v>18958</v>
      </c>
      <c r="M1492" t="s">
        <v>18958</v>
      </c>
      <c r="N1492" t="s">
        <v>20090</v>
      </c>
      <c r="O1492" t="s">
        <v>26523</v>
      </c>
      <c r="P1492" t="s">
        <v>26560</v>
      </c>
      <c r="Q1492" t="s">
        <v>26568</v>
      </c>
      <c r="R1492" t="s">
        <v>26579</v>
      </c>
      <c r="S1492" t="s">
        <v>18959</v>
      </c>
      <c r="U1492" t="s">
        <v>26604</v>
      </c>
      <c r="V1492" t="s">
        <v>26609</v>
      </c>
      <c r="W1492" t="s">
        <v>593</v>
      </c>
      <c r="X1492">
        <v>1464.67</v>
      </c>
      <c r="Y1492" t="s">
        <v>26650</v>
      </c>
      <c r="Z1492" t="s">
        <v>26656</v>
      </c>
      <c r="AA1492" t="s">
        <v>26678</v>
      </c>
      <c r="AB1492" t="s">
        <v>28052</v>
      </c>
      <c r="AD1492" t="s">
        <v>38101</v>
      </c>
      <c r="AE1492">
        <v>72</v>
      </c>
      <c r="AF1492" t="s">
        <v>45541</v>
      </c>
      <c r="AG1492" t="s">
        <v>19330</v>
      </c>
      <c r="AH1492">
        <v>6</v>
      </c>
      <c r="AI1492">
        <v>4</v>
      </c>
      <c r="AJ1492">
        <v>0</v>
      </c>
      <c r="AK1492">
        <v>111.39</v>
      </c>
      <c r="AN1492" t="s">
        <v>7439</v>
      </c>
      <c r="AO1492">
        <v>27960</v>
      </c>
      <c r="AR1492" t="s">
        <v>46379</v>
      </c>
      <c r="AS1492" t="s">
        <v>46499</v>
      </c>
      <c r="AT1492" t="s">
        <v>46703</v>
      </c>
      <c r="AU1492">
        <v>17</v>
      </c>
      <c r="AV1492" t="s">
        <v>732</v>
      </c>
      <c r="AW1492" t="s">
        <v>46832</v>
      </c>
      <c r="AX1492" t="s">
        <v>46897</v>
      </c>
    </row>
    <row r="1493" spans="1:50">
      <c r="A1493" s="1">
        <f>HYPERLINK("https://lsnyc.legalserver.org/matter/dynamic-profile/view/1874420","18-1874420")</f>
        <v>0</v>
      </c>
      <c r="B1493" t="s">
        <v>71</v>
      </c>
      <c r="C1493" t="s">
        <v>341</v>
      </c>
      <c r="D1493" t="s">
        <v>498</v>
      </c>
      <c r="E1493" t="s">
        <v>726</v>
      </c>
      <c r="F1493" t="s">
        <v>1809</v>
      </c>
      <c r="G1493" t="s">
        <v>5986</v>
      </c>
      <c r="H1493" t="s">
        <v>10892</v>
      </c>
      <c r="I1493" t="s">
        <v>17675</v>
      </c>
      <c r="J1493" t="s">
        <v>18892</v>
      </c>
      <c r="K1493">
        <v>10452</v>
      </c>
      <c r="L1493" t="s">
        <v>18958</v>
      </c>
      <c r="M1493" t="s">
        <v>18958</v>
      </c>
      <c r="N1493" t="s">
        <v>20091</v>
      </c>
      <c r="O1493" t="s">
        <v>26523</v>
      </c>
      <c r="P1493" t="s">
        <v>26560</v>
      </c>
      <c r="Q1493" t="s">
        <v>26568</v>
      </c>
      <c r="R1493" t="s">
        <v>26577</v>
      </c>
      <c r="S1493" t="s">
        <v>18959</v>
      </c>
      <c r="U1493" t="s">
        <v>26604</v>
      </c>
      <c r="V1493" t="s">
        <v>26609</v>
      </c>
      <c r="W1493" t="s">
        <v>593</v>
      </c>
      <c r="X1493">
        <v>1538.95</v>
      </c>
      <c r="Y1493" t="s">
        <v>26650</v>
      </c>
      <c r="Z1493" t="s">
        <v>26668</v>
      </c>
      <c r="AA1493" t="s">
        <v>26678</v>
      </c>
      <c r="AB1493" t="s">
        <v>28053</v>
      </c>
      <c r="AC1493" t="s">
        <v>34956</v>
      </c>
      <c r="AD1493" t="s">
        <v>38102</v>
      </c>
      <c r="AE1493">
        <v>400</v>
      </c>
      <c r="AF1493" t="s">
        <v>45541</v>
      </c>
      <c r="AG1493" t="s">
        <v>19330</v>
      </c>
      <c r="AH1493">
        <v>32</v>
      </c>
      <c r="AI1493">
        <v>1</v>
      </c>
      <c r="AJ1493">
        <v>1</v>
      </c>
      <c r="AK1493">
        <v>0</v>
      </c>
      <c r="AN1493" t="s">
        <v>7439</v>
      </c>
      <c r="AO1493">
        <v>0</v>
      </c>
      <c r="AQ1493" t="s">
        <v>46366</v>
      </c>
      <c r="AR1493" t="s">
        <v>46379</v>
      </c>
      <c r="AS1493" t="s">
        <v>46499</v>
      </c>
      <c r="AT1493" t="s">
        <v>46507</v>
      </c>
      <c r="AU1493">
        <v>26.2</v>
      </c>
      <c r="AV1493" t="s">
        <v>726</v>
      </c>
      <c r="AW1493" t="s">
        <v>46831</v>
      </c>
    </row>
    <row r="1494" spans="1:50">
      <c r="A1494" s="1">
        <f>HYPERLINK("https://lsnyc.legalserver.org/matter/dynamic-profile/view/1874471","18-1874471")</f>
        <v>0</v>
      </c>
      <c r="B1494" t="s">
        <v>69</v>
      </c>
      <c r="C1494" t="s">
        <v>340</v>
      </c>
      <c r="D1494" t="s">
        <v>498</v>
      </c>
      <c r="F1494" t="s">
        <v>1391</v>
      </c>
      <c r="G1494" t="s">
        <v>5998</v>
      </c>
      <c r="H1494" t="s">
        <v>10893</v>
      </c>
      <c r="I1494" t="s">
        <v>17410</v>
      </c>
      <c r="J1494" t="s">
        <v>18892</v>
      </c>
      <c r="K1494">
        <v>10457</v>
      </c>
      <c r="L1494" t="s">
        <v>18958</v>
      </c>
      <c r="M1494" t="s">
        <v>18958</v>
      </c>
      <c r="N1494" t="s">
        <v>20092</v>
      </c>
      <c r="O1494" t="s">
        <v>26523</v>
      </c>
      <c r="P1494" t="s">
        <v>26560</v>
      </c>
      <c r="R1494" t="s">
        <v>26579</v>
      </c>
      <c r="S1494" t="s">
        <v>18959</v>
      </c>
      <c r="U1494" t="s">
        <v>26604</v>
      </c>
      <c r="W1494" t="s">
        <v>593</v>
      </c>
      <c r="X1494">
        <v>1525</v>
      </c>
      <c r="Y1494" t="s">
        <v>26650</v>
      </c>
      <c r="AB1494" t="s">
        <v>28054</v>
      </c>
      <c r="AD1494" t="s">
        <v>38103</v>
      </c>
      <c r="AE1494">
        <v>0</v>
      </c>
      <c r="AF1494" t="s">
        <v>20460</v>
      </c>
      <c r="AH1494">
        <v>0</v>
      </c>
      <c r="AI1494">
        <v>1</v>
      </c>
      <c r="AJ1494">
        <v>0</v>
      </c>
      <c r="AK1494">
        <v>74.14</v>
      </c>
      <c r="AN1494" t="s">
        <v>7439</v>
      </c>
      <c r="AO1494">
        <v>9000</v>
      </c>
      <c r="AU1494">
        <v>7.8</v>
      </c>
      <c r="AV1494" t="s">
        <v>727</v>
      </c>
      <c r="AW1494" t="s">
        <v>46837</v>
      </c>
    </row>
    <row r="1495" spans="1:50">
      <c r="A1495" s="1">
        <f>HYPERLINK("https://lsnyc.legalserver.org/matter/dynamic-profile/view/1875648","18-1875648")</f>
        <v>0</v>
      </c>
      <c r="B1495" t="s">
        <v>136</v>
      </c>
      <c r="C1495" t="s">
        <v>340</v>
      </c>
      <c r="D1495" t="s">
        <v>461</v>
      </c>
      <c r="F1495" t="s">
        <v>1579</v>
      </c>
      <c r="G1495" t="s">
        <v>5999</v>
      </c>
      <c r="H1495" t="s">
        <v>10894</v>
      </c>
      <c r="I1495" t="s">
        <v>17445</v>
      </c>
      <c r="J1495" t="s">
        <v>18892</v>
      </c>
      <c r="K1495">
        <v>10467</v>
      </c>
      <c r="L1495" t="s">
        <v>18958</v>
      </c>
      <c r="M1495" t="s">
        <v>18958</v>
      </c>
      <c r="N1495" t="s">
        <v>20093</v>
      </c>
      <c r="O1495" t="s">
        <v>26523</v>
      </c>
      <c r="P1495" t="s">
        <v>26560</v>
      </c>
      <c r="R1495" t="s">
        <v>26579</v>
      </c>
      <c r="S1495" t="s">
        <v>18959</v>
      </c>
      <c r="U1495" t="s">
        <v>26604</v>
      </c>
      <c r="V1495" t="s">
        <v>26610</v>
      </c>
      <c r="W1495" t="s">
        <v>593</v>
      </c>
      <c r="X1495">
        <v>1155</v>
      </c>
      <c r="Y1495" t="s">
        <v>26650</v>
      </c>
      <c r="Z1495" t="s">
        <v>26664</v>
      </c>
      <c r="AB1495" t="s">
        <v>28055</v>
      </c>
      <c r="AD1495" t="s">
        <v>38104</v>
      </c>
      <c r="AE1495">
        <v>0</v>
      </c>
      <c r="AF1495" t="s">
        <v>45541</v>
      </c>
      <c r="AH1495">
        <v>5</v>
      </c>
      <c r="AI1495">
        <v>1</v>
      </c>
      <c r="AJ1495">
        <v>0</v>
      </c>
      <c r="AK1495">
        <v>292.59</v>
      </c>
      <c r="AL1495" t="s">
        <v>641</v>
      </c>
      <c r="AM1495" t="s">
        <v>45575</v>
      </c>
      <c r="AO1495">
        <v>35520</v>
      </c>
      <c r="AP1495" t="s">
        <v>45711</v>
      </c>
      <c r="AU1495">
        <v>20.4</v>
      </c>
      <c r="AV1495" t="s">
        <v>724</v>
      </c>
      <c r="AW1495" t="s">
        <v>334</v>
      </c>
    </row>
    <row r="1496" spans="1:50">
      <c r="A1496" s="1">
        <f>HYPERLINK("https://lsnyc.legalserver.org/matter/dynamic-profile/view/1874651","18-1874651")</f>
        <v>0</v>
      </c>
      <c r="B1496" t="s">
        <v>57</v>
      </c>
      <c r="C1496" t="s">
        <v>340</v>
      </c>
      <c r="D1496" t="s">
        <v>461</v>
      </c>
      <c r="F1496" t="s">
        <v>1810</v>
      </c>
      <c r="G1496" t="s">
        <v>6000</v>
      </c>
      <c r="H1496" t="s">
        <v>10895</v>
      </c>
      <c r="I1496" t="s">
        <v>17676</v>
      </c>
      <c r="J1496" t="s">
        <v>18892</v>
      </c>
      <c r="K1496">
        <v>10451</v>
      </c>
      <c r="L1496" t="s">
        <v>18958</v>
      </c>
      <c r="M1496" t="s">
        <v>18958</v>
      </c>
      <c r="N1496" t="s">
        <v>20094</v>
      </c>
      <c r="O1496" t="s">
        <v>26523</v>
      </c>
      <c r="P1496" t="s">
        <v>26560</v>
      </c>
      <c r="R1496" t="s">
        <v>26577</v>
      </c>
      <c r="S1496" t="s">
        <v>18959</v>
      </c>
      <c r="T1496" t="s">
        <v>26577</v>
      </c>
      <c r="U1496" t="s">
        <v>26604</v>
      </c>
      <c r="V1496" t="s">
        <v>26609</v>
      </c>
      <c r="W1496" t="s">
        <v>593</v>
      </c>
      <c r="X1496">
        <v>1750</v>
      </c>
      <c r="Y1496" t="s">
        <v>26650</v>
      </c>
      <c r="Z1496" t="s">
        <v>26668</v>
      </c>
      <c r="AB1496" t="s">
        <v>28056</v>
      </c>
      <c r="AC1496" t="s">
        <v>34957</v>
      </c>
      <c r="AD1496" t="s">
        <v>38105</v>
      </c>
      <c r="AE1496">
        <v>120</v>
      </c>
      <c r="AF1496" t="s">
        <v>45541</v>
      </c>
      <c r="AG1496" t="s">
        <v>19330</v>
      </c>
      <c r="AH1496">
        <v>6</v>
      </c>
      <c r="AI1496">
        <v>3</v>
      </c>
      <c r="AJ1496">
        <v>2</v>
      </c>
      <c r="AK1496">
        <v>186.95</v>
      </c>
      <c r="AN1496" t="s">
        <v>7439</v>
      </c>
      <c r="AO1496">
        <v>55000</v>
      </c>
      <c r="AU1496">
        <v>36</v>
      </c>
      <c r="AV1496" t="s">
        <v>828</v>
      </c>
      <c r="AW1496" t="s">
        <v>46854</v>
      </c>
    </row>
    <row r="1497" spans="1:50">
      <c r="A1497" s="1">
        <f>HYPERLINK("https://lsnyc.legalserver.org/matter/dynamic-profile/view/1874847","18-1874847")</f>
        <v>0</v>
      </c>
      <c r="B1497" t="s">
        <v>194</v>
      </c>
      <c r="C1497" t="s">
        <v>340</v>
      </c>
      <c r="D1497" t="s">
        <v>461</v>
      </c>
      <c r="F1497" t="s">
        <v>1811</v>
      </c>
      <c r="G1497" t="s">
        <v>5611</v>
      </c>
      <c r="H1497" t="s">
        <v>10896</v>
      </c>
      <c r="I1497">
        <v>1</v>
      </c>
      <c r="J1497" t="s">
        <v>18893</v>
      </c>
      <c r="K1497">
        <v>10031</v>
      </c>
      <c r="L1497" t="s">
        <v>18958</v>
      </c>
      <c r="M1497" t="s">
        <v>18960</v>
      </c>
      <c r="N1497" t="s">
        <v>20095</v>
      </c>
      <c r="O1497" t="s">
        <v>26524</v>
      </c>
      <c r="P1497" t="s">
        <v>26560</v>
      </c>
      <c r="R1497" t="s">
        <v>26582</v>
      </c>
      <c r="T1497" t="s">
        <v>26600</v>
      </c>
      <c r="U1497" t="s">
        <v>26604</v>
      </c>
      <c r="W1497" t="s">
        <v>593</v>
      </c>
      <c r="X1497">
        <v>0</v>
      </c>
      <c r="Y1497" t="s">
        <v>26651</v>
      </c>
      <c r="Z1497" t="s">
        <v>26659</v>
      </c>
      <c r="AB1497" t="s">
        <v>28057</v>
      </c>
      <c r="AD1497" t="s">
        <v>34738</v>
      </c>
      <c r="AE1497">
        <v>0</v>
      </c>
      <c r="AH1497">
        <v>0</v>
      </c>
      <c r="AI1497">
        <v>1</v>
      </c>
      <c r="AJ1497">
        <v>0</v>
      </c>
      <c r="AK1497">
        <v>74.14</v>
      </c>
      <c r="AN1497" t="s">
        <v>7439</v>
      </c>
      <c r="AO1497">
        <v>9000</v>
      </c>
      <c r="AU1497">
        <v>125.15</v>
      </c>
      <c r="AV1497" t="s">
        <v>821</v>
      </c>
      <c r="AW1497" t="s">
        <v>317</v>
      </c>
      <c r="AX1497" t="s">
        <v>46897</v>
      </c>
    </row>
    <row r="1498" spans="1:50">
      <c r="A1498" s="1">
        <f>HYPERLINK("https://lsnyc.legalserver.org/matter/dynamic-profile/view/1876855","18-1876855")</f>
        <v>0</v>
      </c>
      <c r="B1498" t="s">
        <v>67</v>
      </c>
      <c r="C1498" t="s">
        <v>341</v>
      </c>
      <c r="D1498" t="s">
        <v>504</v>
      </c>
      <c r="E1498" t="s">
        <v>494</v>
      </c>
      <c r="F1498" t="s">
        <v>1812</v>
      </c>
      <c r="G1498" t="s">
        <v>6001</v>
      </c>
      <c r="H1498" t="s">
        <v>10156</v>
      </c>
      <c r="I1498" t="s">
        <v>17603</v>
      </c>
      <c r="J1498" t="s">
        <v>18892</v>
      </c>
      <c r="K1498">
        <v>10456</v>
      </c>
      <c r="L1498" t="s">
        <v>18958</v>
      </c>
      <c r="M1498" t="s">
        <v>18958</v>
      </c>
      <c r="O1498" t="s">
        <v>26526</v>
      </c>
      <c r="P1498" t="s">
        <v>26564</v>
      </c>
      <c r="Q1498" t="s">
        <v>26570</v>
      </c>
      <c r="R1498" t="s">
        <v>26578</v>
      </c>
      <c r="S1498" t="s">
        <v>18958</v>
      </c>
      <c r="U1498" t="s">
        <v>26604</v>
      </c>
      <c r="W1498" t="s">
        <v>593</v>
      </c>
      <c r="X1498">
        <v>1268.04</v>
      </c>
      <c r="Y1498" t="s">
        <v>26650</v>
      </c>
      <c r="Z1498" t="s">
        <v>26663</v>
      </c>
      <c r="AA1498" t="s">
        <v>26683</v>
      </c>
      <c r="AB1498" t="s">
        <v>27864</v>
      </c>
      <c r="AD1498" t="s">
        <v>38106</v>
      </c>
      <c r="AE1498">
        <v>131</v>
      </c>
      <c r="AF1498" t="s">
        <v>45541</v>
      </c>
      <c r="AG1498" t="s">
        <v>19330</v>
      </c>
      <c r="AH1498">
        <v>21</v>
      </c>
      <c r="AI1498">
        <v>3</v>
      </c>
      <c r="AJ1498">
        <v>0</v>
      </c>
      <c r="AK1498">
        <v>168.43</v>
      </c>
      <c r="AN1498" t="s">
        <v>45581</v>
      </c>
      <c r="AO1498">
        <v>35000</v>
      </c>
      <c r="AU1498">
        <v>0.4</v>
      </c>
      <c r="AV1498" t="s">
        <v>458</v>
      </c>
      <c r="AW1498" t="s">
        <v>336</v>
      </c>
    </row>
    <row r="1499" spans="1:50">
      <c r="A1499" s="1">
        <f>HYPERLINK("https://lsnyc.legalserver.org/matter/dynamic-profile/view/1874668","18-1874668")</f>
        <v>0</v>
      </c>
      <c r="B1499" t="s">
        <v>67</v>
      </c>
      <c r="C1499" t="s">
        <v>340</v>
      </c>
      <c r="D1499" t="s">
        <v>504</v>
      </c>
      <c r="F1499" t="s">
        <v>1813</v>
      </c>
      <c r="G1499" t="s">
        <v>5086</v>
      </c>
      <c r="H1499" t="s">
        <v>10897</v>
      </c>
      <c r="I1499" t="s">
        <v>17677</v>
      </c>
      <c r="J1499" t="s">
        <v>18892</v>
      </c>
      <c r="K1499">
        <v>10453</v>
      </c>
      <c r="L1499" t="s">
        <v>18958</v>
      </c>
      <c r="M1499" t="s">
        <v>18958</v>
      </c>
      <c r="N1499" t="s">
        <v>20096</v>
      </c>
      <c r="O1499" t="s">
        <v>26523</v>
      </c>
      <c r="P1499" t="s">
        <v>26560</v>
      </c>
      <c r="R1499" t="s">
        <v>26578</v>
      </c>
      <c r="S1499" t="s">
        <v>18959</v>
      </c>
      <c r="U1499" t="s">
        <v>26604</v>
      </c>
      <c r="V1499" t="s">
        <v>26612</v>
      </c>
      <c r="W1499" t="s">
        <v>593</v>
      </c>
      <c r="X1499">
        <v>784.77</v>
      </c>
      <c r="Y1499" t="s">
        <v>26650</v>
      </c>
      <c r="Z1499" t="s">
        <v>26672</v>
      </c>
      <c r="AB1499" t="s">
        <v>28058</v>
      </c>
      <c r="AD1499" t="s">
        <v>38107</v>
      </c>
      <c r="AE1499">
        <v>65</v>
      </c>
      <c r="AF1499" t="s">
        <v>45541</v>
      </c>
      <c r="AG1499" t="s">
        <v>19330</v>
      </c>
      <c r="AH1499">
        <v>46</v>
      </c>
      <c r="AI1499">
        <v>1</v>
      </c>
      <c r="AJ1499">
        <v>0</v>
      </c>
      <c r="AK1499">
        <v>39.54</v>
      </c>
      <c r="AN1499" t="s">
        <v>7439</v>
      </c>
      <c r="AO1499">
        <v>4800</v>
      </c>
      <c r="AU1499">
        <v>37.75</v>
      </c>
      <c r="AV1499" t="s">
        <v>739</v>
      </c>
      <c r="AW1499" t="s">
        <v>46837</v>
      </c>
    </row>
    <row r="1500" spans="1:50">
      <c r="A1500" s="1">
        <f>HYPERLINK("https://lsnyc.legalserver.org/matter/dynamic-profile/view/1876857","18-1876857")</f>
        <v>0</v>
      </c>
      <c r="B1500" t="s">
        <v>67</v>
      </c>
      <c r="C1500" t="s">
        <v>340</v>
      </c>
      <c r="D1500" t="s">
        <v>504</v>
      </c>
      <c r="F1500" t="s">
        <v>1812</v>
      </c>
      <c r="G1500" t="s">
        <v>6001</v>
      </c>
      <c r="H1500" t="s">
        <v>10156</v>
      </c>
      <c r="I1500" t="s">
        <v>17603</v>
      </c>
      <c r="J1500" t="s">
        <v>18892</v>
      </c>
      <c r="K1500">
        <v>10456</v>
      </c>
      <c r="L1500" t="s">
        <v>18958</v>
      </c>
      <c r="M1500" t="s">
        <v>18958</v>
      </c>
      <c r="N1500" t="s">
        <v>20061</v>
      </c>
      <c r="O1500" t="s">
        <v>26534</v>
      </c>
      <c r="P1500" t="s">
        <v>26561</v>
      </c>
      <c r="R1500" t="s">
        <v>26578</v>
      </c>
      <c r="S1500" t="s">
        <v>18958</v>
      </c>
      <c r="U1500" t="s">
        <v>26604</v>
      </c>
      <c r="W1500" t="s">
        <v>593</v>
      </c>
      <c r="X1500">
        <v>1268.04</v>
      </c>
      <c r="Y1500" t="s">
        <v>26650</v>
      </c>
      <c r="Z1500" t="s">
        <v>26663</v>
      </c>
      <c r="AB1500" t="s">
        <v>27864</v>
      </c>
      <c r="AD1500" t="s">
        <v>38106</v>
      </c>
      <c r="AE1500">
        <v>131</v>
      </c>
      <c r="AF1500" t="s">
        <v>45541</v>
      </c>
      <c r="AG1500" t="s">
        <v>19330</v>
      </c>
      <c r="AH1500">
        <v>21</v>
      </c>
      <c r="AI1500">
        <v>3</v>
      </c>
      <c r="AJ1500">
        <v>0</v>
      </c>
      <c r="AK1500">
        <v>168.43</v>
      </c>
      <c r="AN1500" t="s">
        <v>45581</v>
      </c>
      <c r="AO1500">
        <v>35000</v>
      </c>
      <c r="AU1500">
        <v>0</v>
      </c>
      <c r="AW1500" t="s">
        <v>336</v>
      </c>
    </row>
    <row r="1501" spans="1:50">
      <c r="A1501" s="1">
        <f>HYPERLINK("https://lsnyc.legalserver.org/matter/dynamic-profile/view/1874801","18-1874801")</f>
        <v>0</v>
      </c>
      <c r="B1501" t="s">
        <v>70</v>
      </c>
      <c r="C1501" t="s">
        <v>341</v>
      </c>
      <c r="D1501" t="s">
        <v>510</v>
      </c>
      <c r="E1501" t="s">
        <v>786</v>
      </c>
      <c r="F1501" t="s">
        <v>1814</v>
      </c>
      <c r="G1501" t="s">
        <v>5570</v>
      </c>
      <c r="H1501" t="s">
        <v>10898</v>
      </c>
      <c r="I1501" t="s">
        <v>17678</v>
      </c>
      <c r="J1501" t="s">
        <v>18892</v>
      </c>
      <c r="K1501">
        <v>10467</v>
      </c>
      <c r="L1501" t="s">
        <v>18958</v>
      </c>
      <c r="M1501" t="s">
        <v>18958</v>
      </c>
      <c r="N1501" t="s">
        <v>20097</v>
      </c>
      <c r="O1501" t="s">
        <v>26523</v>
      </c>
      <c r="P1501" t="s">
        <v>26560</v>
      </c>
      <c r="Q1501" t="s">
        <v>26568</v>
      </c>
      <c r="R1501" t="s">
        <v>26579</v>
      </c>
      <c r="S1501" t="s">
        <v>18959</v>
      </c>
      <c r="U1501" t="s">
        <v>26604</v>
      </c>
      <c r="V1501" t="s">
        <v>26609</v>
      </c>
      <c r="W1501" t="s">
        <v>593</v>
      </c>
      <c r="X1501">
        <v>1111</v>
      </c>
      <c r="Y1501" t="s">
        <v>26650</v>
      </c>
      <c r="Z1501" t="s">
        <v>26664</v>
      </c>
      <c r="AA1501" t="s">
        <v>26678</v>
      </c>
      <c r="AB1501" t="s">
        <v>28059</v>
      </c>
      <c r="AC1501" t="s">
        <v>19045</v>
      </c>
      <c r="AE1501">
        <v>95</v>
      </c>
      <c r="AF1501" t="s">
        <v>45541</v>
      </c>
      <c r="AG1501" t="s">
        <v>19330</v>
      </c>
      <c r="AH1501">
        <v>3</v>
      </c>
      <c r="AI1501">
        <v>1</v>
      </c>
      <c r="AJ1501">
        <v>1</v>
      </c>
      <c r="AK1501">
        <v>164.28</v>
      </c>
      <c r="AN1501" t="s">
        <v>7439</v>
      </c>
      <c r="AO1501">
        <v>27040</v>
      </c>
      <c r="AQ1501" t="s">
        <v>46362</v>
      </c>
      <c r="AR1501" t="s">
        <v>46382</v>
      </c>
      <c r="AS1501" t="s">
        <v>46499</v>
      </c>
      <c r="AT1501" t="s">
        <v>46507</v>
      </c>
      <c r="AU1501">
        <v>9.6</v>
      </c>
      <c r="AV1501" t="s">
        <v>573</v>
      </c>
      <c r="AW1501" t="s">
        <v>46837</v>
      </c>
    </row>
    <row r="1502" spans="1:50">
      <c r="A1502" s="1">
        <f>HYPERLINK("https://lsnyc.legalserver.org/matter/dynamic-profile/view/1874822","18-1874822")</f>
        <v>0</v>
      </c>
      <c r="B1502" t="s">
        <v>166</v>
      </c>
      <c r="C1502" t="s">
        <v>341</v>
      </c>
      <c r="D1502" t="s">
        <v>510</v>
      </c>
      <c r="E1502" t="s">
        <v>764</v>
      </c>
      <c r="F1502" t="s">
        <v>954</v>
      </c>
      <c r="G1502" t="s">
        <v>2975</v>
      </c>
      <c r="H1502" t="s">
        <v>10899</v>
      </c>
      <c r="I1502" t="s">
        <v>17283</v>
      </c>
      <c r="J1502" t="s">
        <v>18892</v>
      </c>
      <c r="K1502">
        <v>10468</v>
      </c>
      <c r="L1502" t="s">
        <v>18958</v>
      </c>
      <c r="M1502" t="s">
        <v>18958</v>
      </c>
      <c r="N1502" t="s">
        <v>20098</v>
      </c>
      <c r="O1502" t="s">
        <v>26524</v>
      </c>
      <c r="P1502" t="s">
        <v>26560</v>
      </c>
      <c r="Q1502" t="s">
        <v>26568</v>
      </c>
      <c r="R1502" t="s">
        <v>26579</v>
      </c>
      <c r="S1502" t="s">
        <v>18959</v>
      </c>
      <c r="U1502" t="s">
        <v>26604</v>
      </c>
      <c r="V1502" t="s">
        <v>26613</v>
      </c>
      <c r="W1502" t="s">
        <v>593</v>
      </c>
      <c r="X1502">
        <v>1475.61</v>
      </c>
      <c r="Y1502" t="s">
        <v>26650</v>
      </c>
      <c r="Z1502" t="s">
        <v>26669</v>
      </c>
      <c r="AA1502" t="s">
        <v>26678</v>
      </c>
      <c r="AB1502" t="s">
        <v>28060</v>
      </c>
      <c r="AC1502" t="s">
        <v>34958</v>
      </c>
      <c r="AD1502" t="s">
        <v>38108</v>
      </c>
      <c r="AE1502">
        <v>50</v>
      </c>
      <c r="AF1502" t="s">
        <v>45541</v>
      </c>
      <c r="AG1502" t="s">
        <v>45556</v>
      </c>
      <c r="AH1502">
        <v>8</v>
      </c>
      <c r="AI1502">
        <v>2</v>
      </c>
      <c r="AJ1502">
        <v>0</v>
      </c>
      <c r="AK1502">
        <v>241.56</v>
      </c>
      <c r="AL1502" t="s">
        <v>787</v>
      </c>
      <c r="AM1502" t="s">
        <v>45575</v>
      </c>
      <c r="AN1502" t="s">
        <v>7439</v>
      </c>
      <c r="AO1502">
        <v>39760</v>
      </c>
      <c r="AP1502" t="s">
        <v>45641</v>
      </c>
      <c r="AS1502" t="s">
        <v>46499</v>
      </c>
      <c r="AT1502" t="s">
        <v>46704</v>
      </c>
      <c r="AU1502">
        <v>36</v>
      </c>
      <c r="AV1502" t="s">
        <v>763</v>
      </c>
      <c r="AW1502" t="s">
        <v>46832</v>
      </c>
    </row>
    <row r="1503" spans="1:50">
      <c r="A1503" s="1">
        <f>HYPERLINK("https://lsnyc.legalserver.org/matter/dynamic-profile/view/1874825","18-1874825")</f>
        <v>0</v>
      </c>
      <c r="B1503" t="s">
        <v>65</v>
      </c>
      <c r="C1503" t="s">
        <v>341</v>
      </c>
      <c r="D1503" t="s">
        <v>510</v>
      </c>
      <c r="E1503" t="s">
        <v>719</v>
      </c>
      <c r="F1503" t="s">
        <v>1815</v>
      </c>
      <c r="G1503" t="s">
        <v>6002</v>
      </c>
      <c r="H1503" t="s">
        <v>10900</v>
      </c>
      <c r="I1503" t="s">
        <v>17273</v>
      </c>
      <c r="J1503" t="s">
        <v>18892</v>
      </c>
      <c r="K1503">
        <v>10467</v>
      </c>
      <c r="L1503" t="s">
        <v>18958</v>
      </c>
      <c r="M1503" t="s">
        <v>18958</v>
      </c>
      <c r="N1503" t="s">
        <v>20099</v>
      </c>
      <c r="O1503" t="s">
        <v>26523</v>
      </c>
      <c r="P1503" t="s">
        <v>26560</v>
      </c>
      <c r="Q1503" t="s">
        <v>26568</v>
      </c>
      <c r="R1503" t="s">
        <v>26579</v>
      </c>
      <c r="U1503" t="s">
        <v>26604</v>
      </c>
      <c r="V1503" t="s">
        <v>26610</v>
      </c>
      <c r="W1503" t="s">
        <v>593</v>
      </c>
      <c r="X1503">
        <v>1483.85</v>
      </c>
      <c r="Y1503" t="s">
        <v>26650</v>
      </c>
      <c r="Z1503" t="s">
        <v>26664</v>
      </c>
      <c r="AA1503" t="s">
        <v>26678</v>
      </c>
      <c r="AB1503" t="s">
        <v>28061</v>
      </c>
      <c r="AD1503" t="s">
        <v>38109</v>
      </c>
      <c r="AE1503">
        <v>0</v>
      </c>
      <c r="AF1503" t="s">
        <v>45541</v>
      </c>
      <c r="AG1503" t="s">
        <v>19330</v>
      </c>
      <c r="AH1503">
        <v>6</v>
      </c>
      <c r="AI1503">
        <v>2</v>
      </c>
      <c r="AJ1503">
        <v>0</v>
      </c>
      <c r="AK1503">
        <v>157.96</v>
      </c>
      <c r="AN1503" t="s">
        <v>7439</v>
      </c>
      <c r="AO1503">
        <v>26000</v>
      </c>
      <c r="AQ1503" t="s">
        <v>46362</v>
      </c>
      <c r="AR1503" t="s">
        <v>46379</v>
      </c>
      <c r="AS1503" t="s">
        <v>46499</v>
      </c>
      <c r="AT1503" t="s">
        <v>46653</v>
      </c>
      <c r="AU1503">
        <v>12.9</v>
      </c>
      <c r="AV1503" t="s">
        <v>415</v>
      </c>
      <c r="AW1503" t="s">
        <v>46837</v>
      </c>
    </row>
    <row r="1504" spans="1:50">
      <c r="A1504" s="1">
        <f>HYPERLINK("https://lsnyc.legalserver.org/matter/dynamic-profile/view/1874790","18-1874790")</f>
        <v>0</v>
      </c>
      <c r="B1504" t="s">
        <v>136</v>
      </c>
      <c r="C1504" t="s">
        <v>340</v>
      </c>
      <c r="D1504" t="s">
        <v>510</v>
      </c>
      <c r="F1504" t="s">
        <v>1816</v>
      </c>
      <c r="G1504" t="s">
        <v>5169</v>
      </c>
      <c r="H1504" t="s">
        <v>10901</v>
      </c>
      <c r="I1504" t="s">
        <v>17584</v>
      </c>
      <c r="J1504" t="s">
        <v>18892</v>
      </c>
      <c r="K1504">
        <v>10457</v>
      </c>
      <c r="L1504" t="s">
        <v>18958</v>
      </c>
      <c r="M1504" t="s">
        <v>18958</v>
      </c>
      <c r="N1504" t="s">
        <v>20100</v>
      </c>
      <c r="O1504" t="s">
        <v>26523</v>
      </c>
      <c r="P1504" t="s">
        <v>26560</v>
      </c>
      <c r="R1504" t="s">
        <v>26579</v>
      </c>
      <c r="S1504" t="s">
        <v>18959</v>
      </c>
      <c r="U1504" t="s">
        <v>26604</v>
      </c>
      <c r="V1504" t="s">
        <v>26610</v>
      </c>
      <c r="W1504" t="s">
        <v>593</v>
      </c>
      <c r="X1504">
        <v>1225</v>
      </c>
      <c r="Y1504" t="s">
        <v>26650</v>
      </c>
      <c r="Z1504" t="s">
        <v>26668</v>
      </c>
      <c r="AB1504" t="s">
        <v>28062</v>
      </c>
      <c r="AD1504" t="s">
        <v>38110</v>
      </c>
      <c r="AE1504">
        <v>89</v>
      </c>
      <c r="AF1504" t="s">
        <v>45541</v>
      </c>
      <c r="AG1504" t="s">
        <v>19330</v>
      </c>
      <c r="AH1504">
        <v>4</v>
      </c>
      <c r="AI1504">
        <v>1</v>
      </c>
      <c r="AJ1504">
        <v>0</v>
      </c>
      <c r="AK1504">
        <v>124.22</v>
      </c>
      <c r="AN1504" t="s">
        <v>45581</v>
      </c>
      <c r="AO1504">
        <v>15080</v>
      </c>
      <c r="AU1504">
        <v>25.89</v>
      </c>
      <c r="AV1504" t="s">
        <v>826</v>
      </c>
      <c r="AW1504" t="s">
        <v>46837</v>
      </c>
    </row>
    <row r="1505" spans="1:49">
      <c r="A1505" s="1">
        <f>HYPERLINK("https://lsnyc.legalserver.org/matter/dynamic-profile/view/1874819","18-1874819")</f>
        <v>0</v>
      </c>
      <c r="B1505" t="s">
        <v>121</v>
      </c>
      <c r="C1505" t="s">
        <v>340</v>
      </c>
      <c r="D1505" t="s">
        <v>510</v>
      </c>
      <c r="F1505" t="s">
        <v>1190</v>
      </c>
      <c r="G1505" t="s">
        <v>5208</v>
      </c>
      <c r="H1505" t="s">
        <v>10902</v>
      </c>
      <c r="I1505" t="s">
        <v>17445</v>
      </c>
      <c r="J1505" t="s">
        <v>18892</v>
      </c>
      <c r="K1505">
        <v>10457</v>
      </c>
      <c r="L1505" t="s">
        <v>18958</v>
      </c>
      <c r="M1505" t="s">
        <v>18958</v>
      </c>
      <c r="N1505" t="s">
        <v>20101</v>
      </c>
      <c r="O1505" t="s">
        <v>26523</v>
      </c>
      <c r="P1505" t="s">
        <v>26560</v>
      </c>
      <c r="R1505" t="s">
        <v>26579</v>
      </c>
      <c r="S1505" t="s">
        <v>18959</v>
      </c>
      <c r="U1505" t="s">
        <v>26604</v>
      </c>
      <c r="V1505" t="s">
        <v>26610</v>
      </c>
      <c r="W1505" t="s">
        <v>593</v>
      </c>
      <c r="X1505">
        <v>401</v>
      </c>
      <c r="Y1505" t="s">
        <v>26650</v>
      </c>
      <c r="Z1505" t="s">
        <v>26659</v>
      </c>
      <c r="AB1505" t="s">
        <v>27093</v>
      </c>
      <c r="AD1505" t="s">
        <v>38111</v>
      </c>
      <c r="AE1505">
        <v>0</v>
      </c>
      <c r="AF1505" t="s">
        <v>45543</v>
      </c>
      <c r="AG1505" t="s">
        <v>45556</v>
      </c>
      <c r="AH1505">
        <v>1</v>
      </c>
      <c r="AI1505">
        <v>1</v>
      </c>
      <c r="AJ1505">
        <v>0</v>
      </c>
      <c r="AK1505">
        <v>149.92</v>
      </c>
      <c r="AN1505" t="s">
        <v>7439</v>
      </c>
      <c r="AO1505">
        <v>18200</v>
      </c>
      <c r="AU1505">
        <v>19</v>
      </c>
      <c r="AV1505" t="s">
        <v>830</v>
      </c>
      <c r="AW1505" t="s">
        <v>46837</v>
      </c>
    </row>
    <row r="1506" spans="1:49">
      <c r="A1506" s="1">
        <f>HYPERLINK("https://lsnyc.legalserver.org/matter/dynamic-profile/view/1874782","18-1874782")</f>
        <v>0</v>
      </c>
      <c r="B1506" t="s">
        <v>172</v>
      </c>
      <c r="C1506" t="s">
        <v>340</v>
      </c>
      <c r="D1506" t="s">
        <v>510</v>
      </c>
      <c r="F1506" t="s">
        <v>1134</v>
      </c>
      <c r="G1506" t="s">
        <v>1263</v>
      </c>
      <c r="H1506" t="s">
        <v>10903</v>
      </c>
      <c r="I1506" t="s">
        <v>17679</v>
      </c>
      <c r="J1506" t="s">
        <v>18894</v>
      </c>
      <c r="K1506">
        <v>11236</v>
      </c>
      <c r="L1506" t="s">
        <v>18958</v>
      </c>
      <c r="M1506" t="s">
        <v>18958</v>
      </c>
      <c r="N1506" t="s">
        <v>20102</v>
      </c>
      <c r="O1506" t="s">
        <v>26523</v>
      </c>
      <c r="P1506" t="s">
        <v>26560</v>
      </c>
      <c r="R1506" t="s">
        <v>26586</v>
      </c>
      <c r="U1506" t="s">
        <v>26604</v>
      </c>
      <c r="W1506" t="s">
        <v>593</v>
      </c>
      <c r="X1506">
        <v>278</v>
      </c>
      <c r="Y1506" t="s">
        <v>26652</v>
      </c>
      <c r="Z1506" t="s">
        <v>26664</v>
      </c>
      <c r="AB1506" t="s">
        <v>28063</v>
      </c>
      <c r="AC1506">
        <v>1240468</v>
      </c>
      <c r="AD1506" t="s">
        <v>38112</v>
      </c>
      <c r="AE1506">
        <v>70</v>
      </c>
      <c r="AH1506">
        <v>14</v>
      </c>
      <c r="AI1506">
        <v>2</v>
      </c>
      <c r="AJ1506">
        <v>1</v>
      </c>
      <c r="AK1506">
        <v>14.51</v>
      </c>
      <c r="AN1506" t="s">
        <v>7439</v>
      </c>
      <c r="AO1506">
        <v>3016</v>
      </c>
      <c r="AU1506">
        <v>13.05</v>
      </c>
      <c r="AV1506" t="s">
        <v>773</v>
      </c>
      <c r="AW1506" t="s">
        <v>46862</v>
      </c>
    </row>
    <row r="1507" spans="1:49">
      <c r="A1507" s="1">
        <f>HYPERLINK("https://lsnyc.legalserver.org/matter/dynamic-profile/view/1874890","18-1874890")</f>
        <v>0</v>
      </c>
      <c r="B1507" t="s">
        <v>172</v>
      </c>
      <c r="C1507" t="s">
        <v>340</v>
      </c>
      <c r="D1507" t="s">
        <v>477</v>
      </c>
      <c r="F1507" t="s">
        <v>1817</v>
      </c>
      <c r="G1507" t="s">
        <v>5199</v>
      </c>
      <c r="H1507" t="s">
        <v>10904</v>
      </c>
      <c r="I1507" t="s">
        <v>17273</v>
      </c>
      <c r="J1507" t="s">
        <v>18894</v>
      </c>
      <c r="K1507">
        <v>11233</v>
      </c>
      <c r="L1507" t="s">
        <v>18958</v>
      </c>
      <c r="M1507" t="s">
        <v>18958</v>
      </c>
      <c r="N1507" t="s">
        <v>20103</v>
      </c>
      <c r="O1507" t="s">
        <v>26523</v>
      </c>
      <c r="P1507" t="s">
        <v>26560</v>
      </c>
      <c r="R1507" t="s">
        <v>26586</v>
      </c>
      <c r="U1507" t="s">
        <v>26605</v>
      </c>
      <c r="W1507" t="s">
        <v>593</v>
      </c>
      <c r="X1507">
        <v>1000</v>
      </c>
      <c r="Y1507" t="s">
        <v>26652</v>
      </c>
      <c r="Z1507" t="s">
        <v>26664</v>
      </c>
      <c r="AB1507" t="s">
        <v>28064</v>
      </c>
      <c r="AC1507" t="s">
        <v>34959</v>
      </c>
      <c r="AD1507" t="s">
        <v>38113</v>
      </c>
      <c r="AE1507">
        <v>0</v>
      </c>
      <c r="AF1507" t="s">
        <v>45549</v>
      </c>
      <c r="AG1507" t="s">
        <v>19330</v>
      </c>
      <c r="AH1507">
        <v>17</v>
      </c>
      <c r="AI1507">
        <v>3</v>
      </c>
      <c r="AJ1507">
        <v>1</v>
      </c>
      <c r="AK1507">
        <v>62.15</v>
      </c>
      <c r="AN1507" t="s">
        <v>45581</v>
      </c>
      <c r="AO1507">
        <v>15600</v>
      </c>
      <c r="AU1507">
        <v>12.2</v>
      </c>
      <c r="AV1507" t="s">
        <v>771</v>
      </c>
      <c r="AW1507" t="s">
        <v>281</v>
      </c>
    </row>
    <row r="1508" spans="1:49">
      <c r="A1508" s="1">
        <f>HYPERLINK("https://lsnyc.legalserver.org/matter/dynamic-profile/view/1874993","18-1874993")</f>
        <v>0</v>
      </c>
      <c r="B1508" t="s">
        <v>60</v>
      </c>
      <c r="C1508" t="s">
        <v>341</v>
      </c>
      <c r="D1508" t="s">
        <v>505</v>
      </c>
      <c r="E1508" t="s">
        <v>494</v>
      </c>
      <c r="F1508" t="s">
        <v>928</v>
      </c>
      <c r="G1508" t="s">
        <v>5141</v>
      </c>
      <c r="H1508" t="s">
        <v>10905</v>
      </c>
      <c r="I1508" t="s">
        <v>17272</v>
      </c>
      <c r="J1508" t="s">
        <v>18892</v>
      </c>
      <c r="K1508">
        <v>10452</v>
      </c>
      <c r="L1508" t="s">
        <v>18958</v>
      </c>
      <c r="M1508" t="s">
        <v>18958</v>
      </c>
      <c r="N1508" t="s">
        <v>20104</v>
      </c>
      <c r="O1508" t="s">
        <v>26526</v>
      </c>
      <c r="P1508" t="s">
        <v>26560</v>
      </c>
      <c r="Q1508" t="s">
        <v>26568</v>
      </c>
      <c r="R1508" t="s">
        <v>26578</v>
      </c>
      <c r="S1508" t="s">
        <v>18959</v>
      </c>
      <c r="U1508" t="s">
        <v>26604</v>
      </c>
      <c r="W1508" t="s">
        <v>593</v>
      </c>
      <c r="X1508">
        <v>530</v>
      </c>
      <c r="Y1508" t="s">
        <v>26650</v>
      </c>
      <c r="Z1508" t="s">
        <v>26659</v>
      </c>
      <c r="AA1508" t="s">
        <v>26685</v>
      </c>
      <c r="AB1508" t="s">
        <v>28065</v>
      </c>
      <c r="AC1508" t="s">
        <v>34960</v>
      </c>
      <c r="AD1508" t="s">
        <v>38114</v>
      </c>
      <c r="AE1508">
        <v>291</v>
      </c>
      <c r="AF1508" t="s">
        <v>45543</v>
      </c>
      <c r="AG1508" t="s">
        <v>45556</v>
      </c>
      <c r="AH1508">
        <v>13</v>
      </c>
      <c r="AI1508">
        <v>1</v>
      </c>
      <c r="AJ1508">
        <v>0</v>
      </c>
      <c r="AK1508">
        <v>24.71</v>
      </c>
      <c r="AN1508" t="s">
        <v>7439</v>
      </c>
      <c r="AO1508">
        <v>3000</v>
      </c>
      <c r="AQ1508" t="s">
        <v>46359</v>
      </c>
      <c r="AR1508" t="s">
        <v>46395</v>
      </c>
      <c r="AS1508" t="s">
        <v>46499</v>
      </c>
      <c r="AT1508" t="s">
        <v>46562</v>
      </c>
      <c r="AU1508">
        <v>14.1</v>
      </c>
      <c r="AV1508" t="s">
        <v>451</v>
      </c>
      <c r="AW1508" t="s">
        <v>292</v>
      </c>
    </row>
    <row r="1509" spans="1:49">
      <c r="A1509" s="1">
        <f>HYPERLINK("https://lsnyc.legalserver.org/matter/dynamic-profile/view/1875051","18-1875051")</f>
        <v>0</v>
      </c>
      <c r="B1509" t="s">
        <v>81</v>
      </c>
      <c r="C1509" t="s">
        <v>340</v>
      </c>
      <c r="D1509" t="s">
        <v>505</v>
      </c>
      <c r="F1509" t="s">
        <v>1248</v>
      </c>
      <c r="G1509" t="s">
        <v>6003</v>
      </c>
      <c r="H1509" t="s">
        <v>10906</v>
      </c>
      <c r="I1509" t="s">
        <v>17312</v>
      </c>
      <c r="J1509" t="s">
        <v>18892</v>
      </c>
      <c r="K1509">
        <v>10452</v>
      </c>
      <c r="L1509" t="s">
        <v>18958</v>
      </c>
      <c r="M1509" t="s">
        <v>18958</v>
      </c>
      <c r="N1509" t="s">
        <v>20105</v>
      </c>
      <c r="O1509" t="s">
        <v>26524</v>
      </c>
      <c r="P1509" t="s">
        <v>26560</v>
      </c>
      <c r="R1509" t="s">
        <v>26577</v>
      </c>
      <c r="S1509" t="s">
        <v>18959</v>
      </c>
      <c r="U1509" t="s">
        <v>26604</v>
      </c>
      <c r="V1509" t="s">
        <v>26610</v>
      </c>
      <c r="W1509" t="s">
        <v>593</v>
      </c>
      <c r="X1509">
        <v>1785</v>
      </c>
      <c r="Y1509" t="s">
        <v>26650</v>
      </c>
      <c r="Z1509" t="s">
        <v>26673</v>
      </c>
      <c r="AB1509" t="s">
        <v>28066</v>
      </c>
      <c r="AD1509" t="s">
        <v>38115</v>
      </c>
      <c r="AE1509">
        <v>41</v>
      </c>
      <c r="AF1509" t="s">
        <v>45541</v>
      </c>
      <c r="AG1509" t="s">
        <v>45556</v>
      </c>
      <c r="AH1509">
        <v>5</v>
      </c>
      <c r="AI1509">
        <v>1</v>
      </c>
      <c r="AJ1509">
        <v>2</v>
      </c>
      <c r="AK1509">
        <v>0</v>
      </c>
      <c r="AN1509" t="s">
        <v>45596</v>
      </c>
      <c r="AO1509">
        <v>0</v>
      </c>
      <c r="AU1509">
        <v>17.95</v>
      </c>
      <c r="AV1509" t="s">
        <v>767</v>
      </c>
      <c r="AW1509" t="s">
        <v>46843</v>
      </c>
    </row>
    <row r="1510" spans="1:49">
      <c r="A1510" s="1">
        <f>HYPERLINK("https://lsnyc.legalserver.org/matter/dynamic-profile/view/1875215","18-1875215")</f>
        <v>0</v>
      </c>
      <c r="B1510" t="s">
        <v>66</v>
      </c>
      <c r="C1510" t="s">
        <v>340</v>
      </c>
      <c r="D1510" t="s">
        <v>515</v>
      </c>
      <c r="F1510" t="s">
        <v>1818</v>
      </c>
      <c r="G1510" t="s">
        <v>5100</v>
      </c>
      <c r="H1510" t="s">
        <v>10907</v>
      </c>
      <c r="I1510" t="s">
        <v>17277</v>
      </c>
      <c r="J1510" t="s">
        <v>18893</v>
      </c>
      <c r="K1510">
        <v>10025</v>
      </c>
      <c r="L1510" t="s">
        <v>18958</v>
      </c>
      <c r="M1510" t="s">
        <v>18958</v>
      </c>
      <c r="N1510" t="s">
        <v>20106</v>
      </c>
      <c r="O1510" t="s">
        <v>26523</v>
      </c>
      <c r="P1510" t="s">
        <v>26560</v>
      </c>
      <c r="R1510" t="s">
        <v>26580</v>
      </c>
      <c r="S1510" t="s">
        <v>18959</v>
      </c>
      <c r="U1510" t="s">
        <v>26604</v>
      </c>
      <c r="W1510" t="s">
        <v>593</v>
      </c>
      <c r="X1510">
        <v>220</v>
      </c>
      <c r="Y1510" t="s">
        <v>26651</v>
      </c>
      <c r="Z1510" t="s">
        <v>26530</v>
      </c>
      <c r="AB1510" t="s">
        <v>27629</v>
      </c>
      <c r="AD1510" t="s">
        <v>38116</v>
      </c>
      <c r="AE1510">
        <v>0</v>
      </c>
      <c r="AF1510" t="s">
        <v>45549</v>
      </c>
      <c r="AG1510" t="s">
        <v>19330</v>
      </c>
      <c r="AH1510">
        <v>8</v>
      </c>
      <c r="AI1510">
        <v>1</v>
      </c>
      <c r="AJ1510">
        <v>3</v>
      </c>
      <c r="AK1510">
        <v>82.87</v>
      </c>
      <c r="AN1510" t="s">
        <v>7439</v>
      </c>
      <c r="AO1510">
        <v>20800</v>
      </c>
      <c r="AU1510">
        <v>8.1</v>
      </c>
      <c r="AV1510" t="s">
        <v>836</v>
      </c>
      <c r="AW1510" t="s">
        <v>46840</v>
      </c>
    </row>
    <row r="1511" spans="1:49">
      <c r="A1511" s="1">
        <f>HYPERLINK("https://lsnyc.legalserver.org/matter/dynamic-profile/view/1875168","18-1875168")</f>
        <v>0</v>
      </c>
      <c r="B1511" t="s">
        <v>170</v>
      </c>
      <c r="C1511" t="s">
        <v>340</v>
      </c>
      <c r="D1511" t="s">
        <v>515</v>
      </c>
      <c r="F1511" t="s">
        <v>1819</v>
      </c>
      <c r="G1511" t="s">
        <v>5121</v>
      </c>
      <c r="H1511" t="s">
        <v>10908</v>
      </c>
      <c r="I1511" t="s">
        <v>17680</v>
      </c>
      <c r="J1511" t="s">
        <v>18894</v>
      </c>
      <c r="K1511">
        <v>11213</v>
      </c>
      <c r="L1511" t="s">
        <v>18958</v>
      </c>
      <c r="M1511" t="s">
        <v>18958</v>
      </c>
      <c r="N1511" t="s">
        <v>20107</v>
      </c>
      <c r="O1511" t="s">
        <v>26523</v>
      </c>
      <c r="P1511" t="s">
        <v>26560</v>
      </c>
      <c r="R1511" t="s">
        <v>26586</v>
      </c>
      <c r="S1511" t="s">
        <v>18959</v>
      </c>
      <c r="U1511" t="s">
        <v>26604</v>
      </c>
      <c r="V1511" t="s">
        <v>26610</v>
      </c>
      <c r="W1511" t="s">
        <v>593</v>
      </c>
      <c r="X1511">
        <v>0</v>
      </c>
      <c r="Y1511" t="s">
        <v>26652</v>
      </c>
      <c r="Z1511" t="s">
        <v>26663</v>
      </c>
      <c r="AB1511" t="s">
        <v>28067</v>
      </c>
      <c r="AC1511" t="s">
        <v>34961</v>
      </c>
      <c r="AD1511" t="s">
        <v>38117</v>
      </c>
      <c r="AE1511">
        <v>40</v>
      </c>
      <c r="AF1511" t="s">
        <v>45541</v>
      </c>
      <c r="AG1511" t="s">
        <v>45561</v>
      </c>
      <c r="AH1511">
        <v>6</v>
      </c>
      <c r="AI1511">
        <v>1</v>
      </c>
      <c r="AJ1511">
        <v>0</v>
      </c>
      <c r="AK1511">
        <v>51.4</v>
      </c>
      <c r="AN1511" t="s">
        <v>45581</v>
      </c>
      <c r="AO1511">
        <v>6240</v>
      </c>
      <c r="AQ1511" t="s">
        <v>46359</v>
      </c>
      <c r="AR1511" t="s">
        <v>26530</v>
      </c>
      <c r="AU1511">
        <v>12.98</v>
      </c>
      <c r="AV1511" t="s">
        <v>766</v>
      </c>
      <c r="AW1511" t="s">
        <v>46851</v>
      </c>
    </row>
    <row r="1512" spans="1:49">
      <c r="A1512" s="1">
        <f>HYPERLINK("https://lsnyc.legalserver.org/matter/dynamic-profile/view/1875343","18-1875343")</f>
        <v>0</v>
      </c>
      <c r="B1512" t="s">
        <v>170</v>
      </c>
      <c r="C1512" t="s">
        <v>341</v>
      </c>
      <c r="D1512" t="s">
        <v>528</v>
      </c>
      <c r="E1512" t="s">
        <v>664</v>
      </c>
      <c r="F1512" t="s">
        <v>868</v>
      </c>
      <c r="G1512" t="s">
        <v>6004</v>
      </c>
      <c r="H1512" t="s">
        <v>10909</v>
      </c>
      <c r="I1512" t="s">
        <v>17490</v>
      </c>
      <c r="J1512" t="s">
        <v>18894</v>
      </c>
      <c r="K1512">
        <v>11230</v>
      </c>
      <c r="L1512" t="s">
        <v>18958</v>
      </c>
      <c r="M1512" t="s">
        <v>18958</v>
      </c>
      <c r="N1512" t="s">
        <v>20108</v>
      </c>
      <c r="O1512" t="s">
        <v>26524</v>
      </c>
      <c r="P1512" t="s">
        <v>26560</v>
      </c>
      <c r="Q1512" t="s">
        <v>26568</v>
      </c>
      <c r="R1512" t="s">
        <v>26586</v>
      </c>
      <c r="U1512" t="s">
        <v>26604</v>
      </c>
      <c r="W1512" t="s">
        <v>593</v>
      </c>
      <c r="X1512">
        <v>1159</v>
      </c>
      <c r="Y1512" t="s">
        <v>26652</v>
      </c>
      <c r="Z1512" t="s">
        <v>26668</v>
      </c>
      <c r="AA1512" t="s">
        <v>26678</v>
      </c>
      <c r="AB1512" t="s">
        <v>28068</v>
      </c>
      <c r="AD1512" t="s">
        <v>38118</v>
      </c>
      <c r="AE1512">
        <v>76</v>
      </c>
      <c r="AF1512" t="s">
        <v>45541</v>
      </c>
      <c r="AG1512" t="s">
        <v>19330</v>
      </c>
      <c r="AH1512">
        <v>4</v>
      </c>
      <c r="AI1512">
        <v>1</v>
      </c>
      <c r="AJ1512">
        <v>0</v>
      </c>
      <c r="AK1512">
        <v>0</v>
      </c>
      <c r="AN1512" t="s">
        <v>7439</v>
      </c>
      <c r="AO1512">
        <v>0</v>
      </c>
      <c r="AQ1512" t="s">
        <v>46359</v>
      </c>
      <c r="AR1512" t="s">
        <v>46442</v>
      </c>
      <c r="AS1512" t="s">
        <v>46500</v>
      </c>
      <c r="AT1512" t="s">
        <v>46640</v>
      </c>
      <c r="AU1512">
        <v>17</v>
      </c>
      <c r="AV1512" t="s">
        <v>664</v>
      </c>
      <c r="AW1512" t="s">
        <v>281</v>
      </c>
    </row>
    <row r="1513" spans="1:49">
      <c r="A1513" s="1">
        <f>HYPERLINK("https://lsnyc.legalserver.org/matter/dynamic-profile/view/1875363","18-1875363")</f>
        <v>0</v>
      </c>
      <c r="B1513" t="s">
        <v>62</v>
      </c>
      <c r="C1513" t="s">
        <v>340</v>
      </c>
      <c r="D1513" t="s">
        <v>528</v>
      </c>
      <c r="F1513" t="s">
        <v>1020</v>
      </c>
      <c r="G1513" t="s">
        <v>3283</v>
      </c>
      <c r="H1513" t="s">
        <v>10910</v>
      </c>
      <c r="I1513">
        <v>55</v>
      </c>
      <c r="J1513" t="s">
        <v>18893</v>
      </c>
      <c r="K1513">
        <v>10027</v>
      </c>
      <c r="L1513" t="s">
        <v>18958</v>
      </c>
      <c r="M1513" t="s">
        <v>18958</v>
      </c>
      <c r="N1513" t="s">
        <v>20109</v>
      </c>
      <c r="O1513" t="s">
        <v>26524</v>
      </c>
      <c r="P1513" t="s">
        <v>26560</v>
      </c>
      <c r="R1513" t="s">
        <v>26580</v>
      </c>
      <c r="S1513" t="s">
        <v>18959</v>
      </c>
      <c r="U1513" t="s">
        <v>26604</v>
      </c>
      <c r="W1513" t="s">
        <v>593</v>
      </c>
      <c r="X1513">
        <v>668.87</v>
      </c>
      <c r="Y1513" t="s">
        <v>26651</v>
      </c>
      <c r="Z1513" t="s">
        <v>26661</v>
      </c>
      <c r="AB1513" t="s">
        <v>28069</v>
      </c>
      <c r="AD1513" t="s">
        <v>38119</v>
      </c>
      <c r="AE1513">
        <v>56</v>
      </c>
      <c r="AF1513" t="s">
        <v>45541</v>
      </c>
      <c r="AG1513" t="s">
        <v>19330</v>
      </c>
      <c r="AH1513">
        <v>42</v>
      </c>
      <c r="AI1513">
        <v>1</v>
      </c>
      <c r="AJ1513">
        <v>1</v>
      </c>
      <c r="AK1513">
        <v>0</v>
      </c>
      <c r="AN1513" t="s">
        <v>7439</v>
      </c>
      <c r="AO1513">
        <v>0</v>
      </c>
      <c r="AU1513">
        <v>29.55</v>
      </c>
      <c r="AV1513" t="s">
        <v>809</v>
      </c>
      <c r="AW1513" t="s">
        <v>314</v>
      </c>
    </row>
    <row r="1514" spans="1:49">
      <c r="A1514" s="1">
        <f>HYPERLINK("https://lsnyc.legalserver.org/matter/dynamic-profile/view/1875460","18-1875460")</f>
        <v>0</v>
      </c>
      <c r="B1514" t="s">
        <v>96</v>
      </c>
      <c r="C1514" t="s">
        <v>341</v>
      </c>
      <c r="D1514" t="s">
        <v>516</v>
      </c>
      <c r="E1514" t="s">
        <v>582</v>
      </c>
      <c r="F1514" t="s">
        <v>1820</v>
      </c>
      <c r="G1514" t="s">
        <v>6005</v>
      </c>
      <c r="H1514" t="s">
        <v>10911</v>
      </c>
      <c r="I1514">
        <v>2</v>
      </c>
      <c r="J1514" t="s">
        <v>18892</v>
      </c>
      <c r="K1514">
        <v>10460</v>
      </c>
      <c r="L1514" t="s">
        <v>18958</v>
      </c>
      <c r="M1514" t="s">
        <v>18958</v>
      </c>
      <c r="N1514" t="s">
        <v>20110</v>
      </c>
      <c r="O1514" t="s">
        <v>26523</v>
      </c>
      <c r="P1514" t="s">
        <v>26560</v>
      </c>
      <c r="Q1514" t="s">
        <v>26568</v>
      </c>
      <c r="R1514" t="s">
        <v>26578</v>
      </c>
      <c r="S1514" t="s">
        <v>18959</v>
      </c>
      <c r="U1514" t="s">
        <v>26604</v>
      </c>
      <c r="V1514" t="s">
        <v>26614</v>
      </c>
      <c r="W1514" t="s">
        <v>593</v>
      </c>
      <c r="X1514">
        <v>1079</v>
      </c>
      <c r="Y1514" t="s">
        <v>26650</v>
      </c>
      <c r="Z1514" t="s">
        <v>26530</v>
      </c>
      <c r="AA1514" t="s">
        <v>26678</v>
      </c>
      <c r="AB1514" t="s">
        <v>28070</v>
      </c>
      <c r="AD1514" t="s">
        <v>38120</v>
      </c>
      <c r="AE1514">
        <v>26</v>
      </c>
      <c r="AF1514" t="s">
        <v>45541</v>
      </c>
      <c r="AG1514" t="s">
        <v>19330</v>
      </c>
      <c r="AH1514">
        <v>13</v>
      </c>
      <c r="AI1514">
        <v>3</v>
      </c>
      <c r="AJ1514">
        <v>0</v>
      </c>
      <c r="AK1514">
        <v>202.12</v>
      </c>
      <c r="AL1514" t="s">
        <v>662</v>
      </c>
      <c r="AM1514" t="s">
        <v>45575</v>
      </c>
      <c r="AN1514" t="s">
        <v>7439</v>
      </c>
      <c r="AO1514">
        <v>42000</v>
      </c>
      <c r="AP1514" t="s">
        <v>45712</v>
      </c>
      <c r="AQ1514" t="s">
        <v>46365</v>
      </c>
      <c r="AR1514" t="s">
        <v>46443</v>
      </c>
      <c r="AS1514" t="s">
        <v>46499</v>
      </c>
      <c r="AT1514" t="s">
        <v>46530</v>
      </c>
      <c r="AU1514">
        <v>9.300000000000001</v>
      </c>
      <c r="AV1514" t="s">
        <v>586</v>
      </c>
      <c r="AW1514" t="s">
        <v>334</v>
      </c>
    </row>
    <row r="1515" spans="1:49">
      <c r="A1515" s="1">
        <f>HYPERLINK("https://lsnyc.legalserver.org/matter/dynamic-profile/view/1875532","18-1875532")</f>
        <v>0</v>
      </c>
      <c r="B1515" t="s">
        <v>55</v>
      </c>
      <c r="C1515" t="s">
        <v>341</v>
      </c>
      <c r="D1515" t="s">
        <v>516</v>
      </c>
      <c r="E1515" t="s">
        <v>494</v>
      </c>
      <c r="F1515" t="s">
        <v>1136</v>
      </c>
      <c r="G1515" t="s">
        <v>5679</v>
      </c>
      <c r="H1515" t="s">
        <v>10447</v>
      </c>
      <c r="I1515" t="s">
        <v>17681</v>
      </c>
      <c r="J1515" t="s">
        <v>18892</v>
      </c>
      <c r="K1515">
        <v>10453</v>
      </c>
      <c r="L1515" t="s">
        <v>18958</v>
      </c>
      <c r="M1515" t="s">
        <v>18958</v>
      </c>
      <c r="N1515" t="s">
        <v>20111</v>
      </c>
      <c r="O1515" t="s">
        <v>26523</v>
      </c>
      <c r="P1515" t="s">
        <v>26564</v>
      </c>
      <c r="Q1515" t="s">
        <v>26570</v>
      </c>
      <c r="R1515" t="s">
        <v>26578</v>
      </c>
      <c r="S1515" t="s">
        <v>18959</v>
      </c>
      <c r="U1515" t="s">
        <v>26604</v>
      </c>
      <c r="W1515" t="s">
        <v>593</v>
      </c>
      <c r="X1515">
        <v>1114</v>
      </c>
      <c r="Y1515" t="s">
        <v>26650</v>
      </c>
      <c r="Z1515" t="s">
        <v>26664</v>
      </c>
      <c r="AA1515" t="s">
        <v>26678</v>
      </c>
      <c r="AB1515" t="s">
        <v>28071</v>
      </c>
      <c r="AD1515" t="s">
        <v>38121</v>
      </c>
      <c r="AE1515">
        <v>43</v>
      </c>
      <c r="AF1515" t="s">
        <v>45550</v>
      </c>
      <c r="AG1515" t="s">
        <v>45556</v>
      </c>
      <c r="AH1515">
        <v>6</v>
      </c>
      <c r="AI1515">
        <v>1</v>
      </c>
      <c r="AJ1515">
        <v>3</v>
      </c>
      <c r="AK1515">
        <v>91.31</v>
      </c>
      <c r="AN1515" t="s">
        <v>7439</v>
      </c>
      <c r="AO1515">
        <v>22920</v>
      </c>
      <c r="AP1515" t="s">
        <v>45713</v>
      </c>
      <c r="AU1515">
        <v>1.2</v>
      </c>
      <c r="AV1515" t="s">
        <v>606</v>
      </c>
      <c r="AW1515" t="s">
        <v>46832</v>
      </c>
    </row>
    <row r="1516" spans="1:49">
      <c r="A1516" s="1">
        <f>HYPERLINK("https://lsnyc.legalserver.org/matter/dynamic-profile/view/1875510","18-1875510")</f>
        <v>0</v>
      </c>
      <c r="B1516" t="s">
        <v>172</v>
      </c>
      <c r="C1516" t="s">
        <v>340</v>
      </c>
      <c r="D1516" t="s">
        <v>516</v>
      </c>
      <c r="F1516" t="s">
        <v>1072</v>
      </c>
      <c r="G1516" t="s">
        <v>5991</v>
      </c>
      <c r="H1516" t="s">
        <v>10884</v>
      </c>
      <c r="J1516" t="s">
        <v>18894</v>
      </c>
      <c r="K1516">
        <v>11217</v>
      </c>
      <c r="L1516" t="s">
        <v>18958</v>
      </c>
      <c r="M1516" t="s">
        <v>18958</v>
      </c>
      <c r="N1516" t="s">
        <v>20112</v>
      </c>
      <c r="O1516" t="s">
        <v>26524</v>
      </c>
      <c r="P1516" t="s">
        <v>26560</v>
      </c>
      <c r="R1516" t="s">
        <v>26586</v>
      </c>
      <c r="S1516" t="s">
        <v>18959</v>
      </c>
      <c r="U1516" t="s">
        <v>26604</v>
      </c>
      <c r="W1516" t="s">
        <v>593</v>
      </c>
      <c r="X1516">
        <v>400</v>
      </c>
      <c r="Y1516" t="s">
        <v>26652</v>
      </c>
      <c r="Z1516" t="s">
        <v>26663</v>
      </c>
      <c r="AB1516" t="s">
        <v>28044</v>
      </c>
      <c r="AC1516" t="s">
        <v>34962</v>
      </c>
      <c r="AD1516" t="s">
        <v>38095</v>
      </c>
      <c r="AE1516">
        <v>2</v>
      </c>
      <c r="AF1516" t="s">
        <v>45547</v>
      </c>
      <c r="AG1516" t="s">
        <v>19330</v>
      </c>
      <c r="AH1516">
        <v>8</v>
      </c>
      <c r="AI1516">
        <v>1</v>
      </c>
      <c r="AJ1516">
        <v>1</v>
      </c>
      <c r="AK1516">
        <v>55.41</v>
      </c>
      <c r="AN1516" t="s">
        <v>7439</v>
      </c>
      <c r="AO1516">
        <v>9120</v>
      </c>
      <c r="AU1516">
        <v>35.6</v>
      </c>
      <c r="AV1516" t="s">
        <v>830</v>
      </c>
      <c r="AW1516" t="s">
        <v>237</v>
      </c>
    </row>
    <row r="1517" spans="1:49">
      <c r="A1517" s="1">
        <f>HYPERLINK("https://lsnyc.legalserver.org/matter/dynamic-profile/view/1875605","18-1875605")</f>
        <v>0</v>
      </c>
      <c r="B1517" t="s">
        <v>227</v>
      </c>
      <c r="C1517" t="s">
        <v>341</v>
      </c>
      <c r="D1517" t="s">
        <v>521</v>
      </c>
      <c r="E1517" t="s">
        <v>697</v>
      </c>
      <c r="F1517" t="s">
        <v>1821</v>
      </c>
      <c r="G1517" t="s">
        <v>6006</v>
      </c>
      <c r="H1517" t="s">
        <v>10912</v>
      </c>
      <c r="I1517" t="s">
        <v>17332</v>
      </c>
      <c r="J1517" t="s">
        <v>18894</v>
      </c>
      <c r="K1517">
        <v>11217</v>
      </c>
      <c r="L1517" t="s">
        <v>18958</v>
      </c>
      <c r="M1517" t="s">
        <v>18958</v>
      </c>
      <c r="N1517" t="s">
        <v>20113</v>
      </c>
      <c r="O1517" t="s">
        <v>26523</v>
      </c>
      <c r="P1517" t="s">
        <v>26560</v>
      </c>
      <c r="Q1517" t="s">
        <v>26568</v>
      </c>
      <c r="R1517" t="s">
        <v>26586</v>
      </c>
      <c r="U1517" t="s">
        <v>26604</v>
      </c>
      <c r="W1517" t="s">
        <v>593</v>
      </c>
      <c r="X1517">
        <v>320</v>
      </c>
      <c r="Y1517" t="s">
        <v>26652</v>
      </c>
      <c r="Z1517" t="s">
        <v>26664</v>
      </c>
      <c r="AA1517" t="s">
        <v>26678</v>
      </c>
      <c r="AB1517" t="s">
        <v>28072</v>
      </c>
      <c r="AD1517" t="s">
        <v>38122</v>
      </c>
      <c r="AE1517">
        <v>0</v>
      </c>
      <c r="AH1517">
        <v>12</v>
      </c>
      <c r="AI1517">
        <v>1</v>
      </c>
      <c r="AJ1517">
        <v>0</v>
      </c>
      <c r="AK1517">
        <v>83.53</v>
      </c>
      <c r="AO1517">
        <v>10140</v>
      </c>
      <c r="AS1517" t="s">
        <v>46499</v>
      </c>
      <c r="AT1517" t="s">
        <v>46596</v>
      </c>
      <c r="AU1517">
        <v>12.2</v>
      </c>
      <c r="AV1517" t="s">
        <v>827</v>
      </c>
      <c r="AW1517" t="s">
        <v>46862</v>
      </c>
    </row>
    <row r="1518" spans="1:49">
      <c r="A1518" s="1">
        <f>HYPERLINK("https://lsnyc.legalserver.org/matter/dynamic-profile/view/1875679","18-1875679")</f>
        <v>0</v>
      </c>
      <c r="B1518" t="s">
        <v>69</v>
      </c>
      <c r="C1518" t="s">
        <v>341</v>
      </c>
      <c r="D1518" t="s">
        <v>521</v>
      </c>
      <c r="E1518" t="s">
        <v>786</v>
      </c>
      <c r="F1518" t="s">
        <v>1165</v>
      </c>
      <c r="G1518" t="s">
        <v>5516</v>
      </c>
      <c r="H1518" t="s">
        <v>10193</v>
      </c>
      <c r="J1518" t="s">
        <v>18892</v>
      </c>
      <c r="K1518">
        <v>10466</v>
      </c>
      <c r="L1518" t="s">
        <v>18958</v>
      </c>
      <c r="M1518" t="s">
        <v>18958</v>
      </c>
      <c r="O1518" t="s">
        <v>26537</v>
      </c>
      <c r="P1518" t="s">
        <v>26562</v>
      </c>
      <c r="Q1518" t="s">
        <v>26572</v>
      </c>
      <c r="R1518" t="s">
        <v>26578</v>
      </c>
      <c r="U1518" t="s">
        <v>26606</v>
      </c>
      <c r="W1518" t="s">
        <v>593</v>
      </c>
      <c r="X1518">
        <v>0</v>
      </c>
      <c r="Y1518" t="s">
        <v>26650</v>
      </c>
      <c r="AA1518" t="s">
        <v>26682</v>
      </c>
      <c r="AB1518" t="s">
        <v>27290</v>
      </c>
      <c r="AD1518" t="s">
        <v>37359</v>
      </c>
      <c r="AE1518">
        <v>0</v>
      </c>
      <c r="AF1518" t="s">
        <v>45541</v>
      </c>
      <c r="AG1518" t="s">
        <v>45556</v>
      </c>
      <c r="AH1518">
        <v>0</v>
      </c>
      <c r="AI1518">
        <v>1</v>
      </c>
      <c r="AJ1518">
        <v>0</v>
      </c>
      <c r="AK1518">
        <v>187.81</v>
      </c>
      <c r="AN1518" t="s">
        <v>7439</v>
      </c>
      <c r="AO1518">
        <v>22800</v>
      </c>
      <c r="AP1518" t="s">
        <v>45714</v>
      </c>
      <c r="AU1518">
        <v>8.5</v>
      </c>
      <c r="AV1518" t="s">
        <v>727</v>
      </c>
      <c r="AW1518" t="s">
        <v>69</v>
      </c>
    </row>
    <row r="1519" spans="1:49">
      <c r="A1519" s="1">
        <f>HYPERLINK("https://lsnyc.legalserver.org/matter/dynamic-profile/view/1875606","18-1875606")</f>
        <v>0</v>
      </c>
      <c r="B1519" t="s">
        <v>100</v>
      </c>
      <c r="C1519" t="s">
        <v>340</v>
      </c>
      <c r="D1519" t="s">
        <v>521</v>
      </c>
      <c r="F1519" t="s">
        <v>871</v>
      </c>
      <c r="G1519" t="s">
        <v>1685</v>
      </c>
      <c r="H1519" t="s">
        <v>9740</v>
      </c>
      <c r="I1519" t="s">
        <v>17277</v>
      </c>
      <c r="J1519" t="s">
        <v>18892</v>
      </c>
      <c r="K1519">
        <v>10468</v>
      </c>
      <c r="L1519" t="s">
        <v>18958</v>
      </c>
      <c r="M1519" t="s">
        <v>18958</v>
      </c>
      <c r="N1519" t="s">
        <v>19036</v>
      </c>
      <c r="O1519" t="s">
        <v>26526</v>
      </c>
      <c r="P1519" t="s">
        <v>26560</v>
      </c>
      <c r="R1519" t="s">
        <v>26578</v>
      </c>
      <c r="S1519" t="s">
        <v>18958</v>
      </c>
      <c r="U1519" t="s">
        <v>26604</v>
      </c>
      <c r="W1519" t="s">
        <v>593</v>
      </c>
      <c r="X1519">
        <v>1757</v>
      </c>
      <c r="Y1519" t="s">
        <v>26650</v>
      </c>
      <c r="Z1519" t="s">
        <v>26663</v>
      </c>
      <c r="AB1519" t="s">
        <v>27691</v>
      </c>
      <c r="AD1519" t="s">
        <v>38123</v>
      </c>
      <c r="AE1519">
        <v>58</v>
      </c>
      <c r="AF1519" t="s">
        <v>45541</v>
      </c>
      <c r="AG1519" t="s">
        <v>45556</v>
      </c>
      <c r="AH1519">
        <v>9</v>
      </c>
      <c r="AI1519">
        <v>1</v>
      </c>
      <c r="AJ1519">
        <v>1</v>
      </c>
      <c r="AK1519">
        <v>63.18</v>
      </c>
      <c r="AN1519" t="s">
        <v>45581</v>
      </c>
      <c r="AO1519">
        <v>10400</v>
      </c>
      <c r="AU1519">
        <v>0</v>
      </c>
      <c r="AW1519" t="s">
        <v>46847</v>
      </c>
    </row>
    <row r="1520" spans="1:49">
      <c r="A1520" s="1">
        <f>HYPERLINK("https://lsnyc.legalserver.org/matter/dynamic-profile/view/1875656","18-1875656")</f>
        <v>0</v>
      </c>
      <c r="B1520" t="s">
        <v>243</v>
      </c>
      <c r="C1520" t="s">
        <v>340</v>
      </c>
      <c r="D1520" t="s">
        <v>521</v>
      </c>
      <c r="F1520" t="s">
        <v>1450</v>
      </c>
      <c r="G1520" t="s">
        <v>5147</v>
      </c>
      <c r="H1520" t="s">
        <v>10913</v>
      </c>
      <c r="I1520">
        <v>7</v>
      </c>
      <c r="J1520" t="s">
        <v>18894</v>
      </c>
      <c r="K1520">
        <v>11215</v>
      </c>
      <c r="L1520" t="s">
        <v>18958</v>
      </c>
      <c r="M1520" t="s">
        <v>18958</v>
      </c>
      <c r="O1520" t="s">
        <v>26531</v>
      </c>
      <c r="P1520" t="s">
        <v>26562</v>
      </c>
      <c r="R1520" t="s">
        <v>26578</v>
      </c>
      <c r="U1520" t="s">
        <v>26604</v>
      </c>
      <c r="W1520" t="s">
        <v>593</v>
      </c>
      <c r="X1520">
        <v>0</v>
      </c>
      <c r="Y1520" t="s">
        <v>26652</v>
      </c>
      <c r="AB1520" t="s">
        <v>28073</v>
      </c>
      <c r="AD1520" t="s">
        <v>38124</v>
      </c>
      <c r="AE1520">
        <v>0</v>
      </c>
      <c r="AH1520">
        <v>0</v>
      </c>
      <c r="AI1520">
        <v>1</v>
      </c>
      <c r="AJ1520">
        <v>0</v>
      </c>
      <c r="AK1520">
        <v>82.73</v>
      </c>
      <c r="AN1520" t="s">
        <v>7439</v>
      </c>
      <c r="AO1520">
        <v>10044</v>
      </c>
      <c r="AP1520" t="s">
        <v>45669</v>
      </c>
      <c r="AU1520">
        <v>23.58</v>
      </c>
      <c r="AV1520" t="s">
        <v>714</v>
      </c>
      <c r="AW1520" t="s">
        <v>303</v>
      </c>
    </row>
    <row r="1521" spans="1:49">
      <c r="A1521" s="1">
        <f>HYPERLINK("https://lsnyc.legalserver.org/matter/dynamic-profile/view/1875561","18-1875561")</f>
        <v>0</v>
      </c>
      <c r="B1521" t="s">
        <v>233</v>
      </c>
      <c r="C1521" t="s">
        <v>340</v>
      </c>
      <c r="D1521" t="s">
        <v>521</v>
      </c>
      <c r="F1521" t="s">
        <v>1663</v>
      </c>
      <c r="G1521" t="s">
        <v>5857</v>
      </c>
      <c r="H1521" t="s">
        <v>10679</v>
      </c>
      <c r="I1521">
        <v>405</v>
      </c>
      <c r="J1521" t="s">
        <v>18892</v>
      </c>
      <c r="K1521">
        <v>10473</v>
      </c>
      <c r="L1521" t="s">
        <v>18958</v>
      </c>
      <c r="M1521" t="s">
        <v>18958</v>
      </c>
      <c r="N1521">
        <v>9999999</v>
      </c>
      <c r="O1521" t="s">
        <v>26538</v>
      </c>
      <c r="P1521" t="s">
        <v>26561</v>
      </c>
      <c r="R1521" t="s">
        <v>26577</v>
      </c>
      <c r="S1521" t="s">
        <v>18959</v>
      </c>
      <c r="U1521" t="s">
        <v>26606</v>
      </c>
      <c r="V1521" t="s">
        <v>26610</v>
      </c>
      <c r="W1521" t="s">
        <v>593</v>
      </c>
      <c r="X1521">
        <v>1000</v>
      </c>
      <c r="Y1521" t="s">
        <v>26650</v>
      </c>
      <c r="Z1521" t="s">
        <v>26664</v>
      </c>
      <c r="AB1521" t="s">
        <v>27819</v>
      </c>
      <c r="AC1521" t="s">
        <v>34870</v>
      </c>
      <c r="AD1521" t="s">
        <v>37871</v>
      </c>
      <c r="AE1521">
        <v>100</v>
      </c>
      <c r="AF1521" t="s">
        <v>45550</v>
      </c>
      <c r="AG1521" t="s">
        <v>45559</v>
      </c>
      <c r="AH1521">
        <v>38</v>
      </c>
      <c r="AI1521">
        <v>1</v>
      </c>
      <c r="AJ1521">
        <v>0</v>
      </c>
      <c r="AK1521">
        <v>120.59</v>
      </c>
      <c r="AN1521" t="s">
        <v>7439</v>
      </c>
      <c r="AO1521">
        <v>14640</v>
      </c>
      <c r="AU1521">
        <v>11.25</v>
      </c>
      <c r="AV1521" t="s">
        <v>682</v>
      </c>
      <c r="AW1521" t="s">
        <v>336</v>
      </c>
    </row>
    <row r="1522" spans="1:49">
      <c r="A1522" s="1">
        <f>HYPERLINK("https://lsnyc.legalserver.org/matter/dynamic-profile/view/1875754","18-1875754")</f>
        <v>0</v>
      </c>
      <c r="B1522" t="s">
        <v>149</v>
      </c>
      <c r="C1522" t="s">
        <v>341</v>
      </c>
      <c r="D1522" t="s">
        <v>533</v>
      </c>
      <c r="E1522" t="s">
        <v>605</v>
      </c>
      <c r="F1522" t="s">
        <v>1116</v>
      </c>
      <c r="G1522" t="s">
        <v>5300</v>
      </c>
      <c r="H1522" t="s">
        <v>9900</v>
      </c>
      <c r="I1522" t="s">
        <v>17306</v>
      </c>
      <c r="J1522" t="s">
        <v>18892</v>
      </c>
      <c r="K1522">
        <v>10457</v>
      </c>
      <c r="L1522" t="s">
        <v>18958</v>
      </c>
      <c r="M1522" t="s">
        <v>18958</v>
      </c>
      <c r="N1522" t="s">
        <v>20114</v>
      </c>
      <c r="O1522" t="s">
        <v>26524</v>
      </c>
      <c r="P1522" t="s">
        <v>26560</v>
      </c>
      <c r="Q1522" t="s">
        <v>26568</v>
      </c>
      <c r="R1522" t="s">
        <v>26578</v>
      </c>
      <c r="S1522" t="s">
        <v>18959</v>
      </c>
      <c r="U1522" t="s">
        <v>26604</v>
      </c>
      <c r="V1522" t="s">
        <v>26610</v>
      </c>
      <c r="W1522" t="s">
        <v>593</v>
      </c>
      <c r="X1522">
        <v>931</v>
      </c>
      <c r="Y1522" t="s">
        <v>26650</v>
      </c>
      <c r="Z1522" t="s">
        <v>26674</v>
      </c>
      <c r="AA1522" t="s">
        <v>26678</v>
      </c>
      <c r="AB1522" t="s">
        <v>26987</v>
      </c>
      <c r="AD1522" t="s">
        <v>37078</v>
      </c>
      <c r="AE1522">
        <v>27</v>
      </c>
      <c r="AF1522" t="s">
        <v>45543</v>
      </c>
      <c r="AG1522" t="s">
        <v>45556</v>
      </c>
      <c r="AH1522">
        <v>2</v>
      </c>
      <c r="AI1522">
        <v>1</v>
      </c>
      <c r="AJ1522">
        <v>0</v>
      </c>
      <c r="AK1522">
        <v>74.14</v>
      </c>
      <c r="AN1522" t="s">
        <v>7439</v>
      </c>
      <c r="AO1522">
        <v>9000</v>
      </c>
      <c r="AR1522" t="s">
        <v>46397</v>
      </c>
      <c r="AS1522" t="s">
        <v>46499</v>
      </c>
      <c r="AT1522" t="s">
        <v>46621</v>
      </c>
      <c r="AU1522">
        <v>4.3</v>
      </c>
      <c r="AV1522" t="s">
        <v>635</v>
      </c>
      <c r="AW1522" t="s">
        <v>149</v>
      </c>
    </row>
    <row r="1523" spans="1:49">
      <c r="A1523" s="1">
        <f>HYPERLINK("https://lsnyc.legalserver.org/matter/dynamic-profile/view/1876065","18-1876065")</f>
        <v>0</v>
      </c>
      <c r="B1523" t="s">
        <v>143</v>
      </c>
      <c r="C1523" t="s">
        <v>341</v>
      </c>
      <c r="D1523" t="s">
        <v>533</v>
      </c>
      <c r="E1523" t="s">
        <v>427</v>
      </c>
      <c r="F1523" t="s">
        <v>939</v>
      </c>
      <c r="G1523" t="s">
        <v>5454</v>
      </c>
      <c r="H1523" t="s">
        <v>10914</v>
      </c>
      <c r="I1523" t="s">
        <v>17284</v>
      </c>
      <c r="J1523" t="s">
        <v>18892</v>
      </c>
      <c r="K1523">
        <v>10467</v>
      </c>
      <c r="L1523" t="s">
        <v>18958</v>
      </c>
      <c r="M1523" t="s">
        <v>18958</v>
      </c>
      <c r="N1523" t="s">
        <v>20115</v>
      </c>
      <c r="O1523" t="s">
        <v>26523</v>
      </c>
      <c r="P1523" t="s">
        <v>26560</v>
      </c>
      <c r="Q1523" t="s">
        <v>26568</v>
      </c>
      <c r="R1523" t="s">
        <v>26579</v>
      </c>
      <c r="S1523" t="s">
        <v>18959</v>
      </c>
      <c r="U1523" t="s">
        <v>26604</v>
      </c>
      <c r="V1523" t="s">
        <v>26610</v>
      </c>
      <c r="W1523" t="s">
        <v>593</v>
      </c>
      <c r="X1523">
        <v>1242.16</v>
      </c>
      <c r="Y1523" t="s">
        <v>26650</v>
      </c>
      <c r="Z1523" t="s">
        <v>26664</v>
      </c>
      <c r="AA1523" t="s">
        <v>26678</v>
      </c>
      <c r="AB1523" t="s">
        <v>28074</v>
      </c>
      <c r="AE1523">
        <v>118</v>
      </c>
      <c r="AF1523" t="s">
        <v>45552</v>
      </c>
      <c r="AG1523" t="s">
        <v>45556</v>
      </c>
      <c r="AH1523">
        <v>1</v>
      </c>
      <c r="AI1523">
        <v>2</v>
      </c>
      <c r="AJ1523">
        <v>0</v>
      </c>
      <c r="AK1523">
        <v>48.77</v>
      </c>
      <c r="AO1523">
        <v>8028</v>
      </c>
      <c r="AQ1523" t="s">
        <v>46362</v>
      </c>
      <c r="AR1523" t="s">
        <v>46381</v>
      </c>
      <c r="AS1523" t="s">
        <v>46499</v>
      </c>
      <c r="AT1523" t="s">
        <v>46551</v>
      </c>
      <c r="AU1523">
        <v>12.3</v>
      </c>
      <c r="AV1523" t="s">
        <v>645</v>
      </c>
      <c r="AW1523" t="s">
        <v>334</v>
      </c>
    </row>
    <row r="1524" spans="1:49">
      <c r="A1524" s="1">
        <f>HYPERLINK("https://lsnyc.legalserver.org/matter/dynamic-profile/view/1875734","18-1875734")</f>
        <v>0</v>
      </c>
      <c r="B1524" t="s">
        <v>158</v>
      </c>
      <c r="C1524" t="s">
        <v>341</v>
      </c>
      <c r="D1524" t="s">
        <v>533</v>
      </c>
      <c r="E1524" t="s">
        <v>494</v>
      </c>
      <c r="F1524" t="s">
        <v>1013</v>
      </c>
      <c r="G1524" t="s">
        <v>6007</v>
      </c>
      <c r="H1524" t="s">
        <v>10915</v>
      </c>
      <c r="I1524">
        <v>3</v>
      </c>
      <c r="J1524" t="s">
        <v>18894</v>
      </c>
      <c r="K1524">
        <v>11206</v>
      </c>
      <c r="L1524" t="s">
        <v>18958</v>
      </c>
      <c r="M1524" t="s">
        <v>18958</v>
      </c>
      <c r="N1524" t="s">
        <v>20116</v>
      </c>
      <c r="O1524" t="s">
        <v>26524</v>
      </c>
      <c r="P1524" t="s">
        <v>26564</v>
      </c>
      <c r="Q1524" t="s">
        <v>26570</v>
      </c>
      <c r="R1524" t="s">
        <v>26586</v>
      </c>
      <c r="U1524" t="s">
        <v>26604</v>
      </c>
      <c r="W1524" t="s">
        <v>593</v>
      </c>
      <c r="X1524">
        <v>1200</v>
      </c>
      <c r="Y1524" t="s">
        <v>26652</v>
      </c>
      <c r="Z1524" t="s">
        <v>26664</v>
      </c>
      <c r="AA1524" t="s">
        <v>26683</v>
      </c>
      <c r="AB1524" t="s">
        <v>28075</v>
      </c>
      <c r="AC1524" t="s">
        <v>34963</v>
      </c>
      <c r="AD1524" t="s">
        <v>38125</v>
      </c>
      <c r="AE1524">
        <v>4</v>
      </c>
      <c r="AF1524" t="s">
        <v>45547</v>
      </c>
      <c r="AG1524" t="s">
        <v>26530</v>
      </c>
      <c r="AH1524">
        <v>38</v>
      </c>
      <c r="AI1524">
        <v>1</v>
      </c>
      <c r="AJ1524">
        <v>0</v>
      </c>
      <c r="AK1524">
        <v>38.6</v>
      </c>
      <c r="AN1524" t="s">
        <v>7439</v>
      </c>
      <c r="AO1524">
        <v>4686</v>
      </c>
      <c r="AU1524">
        <v>2.35</v>
      </c>
      <c r="AV1524" t="s">
        <v>494</v>
      </c>
      <c r="AW1524" t="s">
        <v>281</v>
      </c>
    </row>
    <row r="1525" spans="1:49">
      <c r="A1525" s="1">
        <f>HYPERLINK("https://lsnyc.legalserver.org/matter/dynamic-profile/view/1875780","18-1875780")</f>
        <v>0</v>
      </c>
      <c r="B1525" t="s">
        <v>100</v>
      </c>
      <c r="C1525" t="s">
        <v>340</v>
      </c>
      <c r="D1525" t="s">
        <v>533</v>
      </c>
      <c r="F1525" t="s">
        <v>1822</v>
      </c>
      <c r="G1525" t="s">
        <v>6008</v>
      </c>
      <c r="H1525" t="s">
        <v>10916</v>
      </c>
      <c r="I1525" t="s">
        <v>17380</v>
      </c>
      <c r="J1525" t="s">
        <v>18892</v>
      </c>
      <c r="K1525">
        <v>10456</v>
      </c>
      <c r="L1525" t="s">
        <v>18958</v>
      </c>
      <c r="M1525" t="s">
        <v>18958</v>
      </c>
      <c r="N1525" t="s">
        <v>20117</v>
      </c>
      <c r="O1525" t="s">
        <v>26534</v>
      </c>
      <c r="P1525" t="s">
        <v>26561</v>
      </c>
      <c r="R1525" t="s">
        <v>26578</v>
      </c>
      <c r="S1525" t="s">
        <v>18958</v>
      </c>
      <c r="U1525" t="s">
        <v>26604</v>
      </c>
      <c r="W1525" t="s">
        <v>593</v>
      </c>
      <c r="X1525">
        <v>1380</v>
      </c>
      <c r="Y1525" t="s">
        <v>26650</v>
      </c>
      <c r="Z1525" t="s">
        <v>26663</v>
      </c>
      <c r="AB1525" t="s">
        <v>28076</v>
      </c>
      <c r="AD1525" t="s">
        <v>38126</v>
      </c>
      <c r="AE1525">
        <v>61</v>
      </c>
      <c r="AF1525" t="s">
        <v>45541</v>
      </c>
      <c r="AG1525" t="s">
        <v>45556</v>
      </c>
      <c r="AH1525">
        <v>17</v>
      </c>
      <c r="AI1525">
        <v>3</v>
      </c>
      <c r="AJ1525">
        <v>0</v>
      </c>
      <c r="AK1525">
        <v>50.05</v>
      </c>
      <c r="AN1525" t="s">
        <v>45581</v>
      </c>
      <c r="AO1525">
        <v>10400</v>
      </c>
      <c r="AU1525">
        <v>0</v>
      </c>
      <c r="AW1525" t="s">
        <v>336</v>
      </c>
    </row>
    <row r="1526" spans="1:49">
      <c r="A1526" s="1">
        <f>HYPERLINK("https://lsnyc.legalserver.org/matter/dynamic-profile/view/1875776","18-1875776")</f>
        <v>0</v>
      </c>
      <c r="B1526" t="s">
        <v>100</v>
      </c>
      <c r="C1526" t="s">
        <v>340</v>
      </c>
      <c r="D1526" t="s">
        <v>533</v>
      </c>
      <c r="F1526" t="s">
        <v>1772</v>
      </c>
      <c r="G1526" t="s">
        <v>5760</v>
      </c>
      <c r="H1526" t="s">
        <v>10916</v>
      </c>
      <c r="I1526" t="s">
        <v>17390</v>
      </c>
      <c r="J1526" t="s">
        <v>18892</v>
      </c>
      <c r="K1526">
        <v>10456</v>
      </c>
      <c r="L1526" t="s">
        <v>18958</v>
      </c>
      <c r="M1526" t="s">
        <v>18958</v>
      </c>
      <c r="N1526" t="s">
        <v>20117</v>
      </c>
      <c r="O1526" t="s">
        <v>26534</v>
      </c>
      <c r="P1526" t="s">
        <v>26561</v>
      </c>
      <c r="R1526" t="s">
        <v>26578</v>
      </c>
      <c r="S1526" t="s">
        <v>18958</v>
      </c>
      <c r="U1526" t="s">
        <v>26604</v>
      </c>
      <c r="W1526" t="s">
        <v>593</v>
      </c>
      <c r="X1526">
        <v>1446.39</v>
      </c>
      <c r="Y1526" t="s">
        <v>26650</v>
      </c>
      <c r="Z1526" t="s">
        <v>26663</v>
      </c>
      <c r="AB1526" t="s">
        <v>28077</v>
      </c>
      <c r="AD1526" t="s">
        <v>38127</v>
      </c>
      <c r="AE1526">
        <v>61</v>
      </c>
      <c r="AF1526" t="s">
        <v>45541</v>
      </c>
      <c r="AG1526" t="s">
        <v>45556</v>
      </c>
      <c r="AH1526">
        <v>17</v>
      </c>
      <c r="AI1526">
        <v>2</v>
      </c>
      <c r="AJ1526">
        <v>0</v>
      </c>
      <c r="AK1526">
        <v>54.68</v>
      </c>
      <c r="AN1526" t="s">
        <v>45581</v>
      </c>
      <c r="AO1526">
        <v>9000</v>
      </c>
      <c r="AU1526">
        <v>0</v>
      </c>
      <c r="AW1526" t="s">
        <v>336</v>
      </c>
    </row>
    <row r="1527" spans="1:49">
      <c r="A1527" s="1">
        <f>HYPERLINK("https://lsnyc.legalserver.org/matter/dynamic-profile/view/1875757","18-1875757")</f>
        <v>0</v>
      </c>
      <c r="B1527" t="s">
        <v>100</v>
      </c>
      <c r="C1527" t="s">
        <v>340</v>
      </c>
      <c r="D1527" t="s">
        <v>533</v>
      </c>
      <c r="F1527" t="s">
        <v>1339</v>
      </c>
      <c r="G1527" t="s">
        <v>4105</v>
      </c>
      <c r="H1527" t="s">
        <v>10916</v>
      </c>
      <c r="I1527" t="s">
        <v>17349</v>
      </c>
      <c r="J1527" t="s">
        <v>18892</v>
      </c>
      <c r="K1527">
        <v>10456</v>
      </c>
      <c r="L1527" t="s">
        <v>18958</v>
      </c>
      <c r="M1527" t="s">
        <v>18958</v>
      </c>
      <c r="N1527" t="s">
        <v>20118</v>
      </c>
      <c r="O1527" t="s">
        <v>26534</v>
      </c>
      <c r="P1527" t="s">
        <v>26561</v>
      </c>
      <c r="R1527" t="s">
        <v>26578</v>
      </c>
      <c r="S1527" t="s">
        <v>18958</v>
      </c>
      <c r="U1527" t="s">
        <v>26604</v>
      </c>
      <c r="W1527" t="s">
        <v>593</v>
      </c>
      <c r="X1527">
        <v>1098</v>
      </c>
      <c r="Y1527" t="s">
        <v>26650</v>
      </c>
      <c r="Z1527" t="s">
        <v>26663</v>
      </c>
      <c r="AB1527" t="s">
        <v>28078</v>
      </c>
      <c r="AD1527" t="s">
        <v>38128</v>
      </c>
      <c r="AE1527">
        <v>61</v>
      </c>
      <c r="AF1527" t="s">
        <v>45541</v>
      </c>
      <c r="AG1527" t="s">
        <v>19330</v>
      </c>
      <c r="AH1527">
        <v>1</v>
      </c>
      <c r="AI1527">
        <v>2</v>
      </c>
      <c r="AJ1527">
        <v>0</v>
      </c>
      <c r="AK1527">
        <v>382.75</v>
      </c>
      <c r="AN1527" t="s">
        <v>45581</v>
      </c>
      <c r="AO1527">
        <v>63000</v>
      </c>
      <c r="AU1527">
        <v>0</v>
      </c>
      <c r="AW1527" t="s">
        <v>336</v>
      </c>
    </row>
    <row r="1528" spans="1:49">
      <c r="A1528" s="1">
        <f>HYPERLINK("https://lsnyc.legalserver.org/matter/dynamic-profile/view/1875742","18-1875742")</f>
        <v>0</v>
      </c>
      <c r="B1528" t="s">
        <v>158</v>
      </c>
      <c r="C1528" t="s">
        <v>340</v>
      </c>
      <c r="D1528" t="s">
        <v>533</v>
      </c>
      <c r="F1528" t="s">
        <v>868</v>
      </c>
      <c r="G1528" t="s">
        <v>3879</v>
      </c>
      <c r="H1528" t="s">
        <v>10917</v>
      </c>
      <c r="I1528" t="s">
        <v>17582</v>
      </c>
      <c r="J1528" t="s">
        <v>18894</v>
      </c>
      <c r="K1528">
        <v>11237</v>
      </c>
      <c r="L1528" t="s">
        <v>18958</v>
      </c>
      <c r="M1528" t="s">
        <v>18958</v>
      </c>
      <c r="N1528" t="s">
        <v>20119</v>
      </c>
      <c r="O1528" t="s">
        <v>26524</v>
      </c>
      <c r="P1528" t="s">
        <v>26560</v>
      </c>
      <c r="R1528" t="s">
        <v>26586</v>
      </c>
      <c r="U1528" t="s">
        <v>26604</v>
      </c>
      <c r="W1528" t="s">
        <v>593</v>
      </c>
      <c r="X1528">
        <v>300</v>
      </c>
      <c r="Y1528" t="s">
        <v>26652</v>
      </c>
      <c r="Z1528" t="s">
        <v>26664</v>
      </c>
      <c r="AB1528" t="s">
        <v>28079</v>
      </c>
      <c r="AD1528" t="s">
        <v>38129</v>
      </c>
      <c r="AE1528">
        <v>0</v>
      </c>
      <c r="AF1528" t="s">
        <v>45547</v>
      </c>
      <c r="AG1528" t="s">
        <v>19330</v>
      </c>
      <c r="AH1528">
        <v>27</v>
      </c>
      <c r="AI1528">
        <v>1</v>
      </c>
      <c r="AJ1528">
        <v>0</v>
      </c>
      <c r="AK1528">
        <v>51.4</v>
      </c>
      <c r="AN1528" t="s">
        <v>7439</v>
      </c>
      <c r="AO1528">
        <v>6240</v>
      </c>
      <c r="AQ1528" t="s">
        <v>46362</v>
      </c>
      <c r="AU1528">
        <v>51.1</v>
      </c>
      <c r="AV1528" t="s">
        <v>813</v>
      </c>
      <c r="AW1528" t="s">
        <v>281</v>
      </c>
    </row>
    <row r="1529" spans="1:49">
      <c r="A1529" s="1">
        <f>HYPERLINK("https://lsnyc.legalserver.org/matter/dynamic-profile/view/1876946","18-1876946")</f>
        <v>0</v>
      </c>
      <c r="B1529" t="s">
        <v>67</v>
      </c>
      <c r="C1529" t="s">
        <v>341</v>
      </c>
      <c r="D1529" t="s">
        <v>441</v>
      </c>
      <c r="E1529" t="s">
        <v>844</v>
      </c>
      <c r="F1529" t="s">
        <v>1823</v>
      </c>
      <c r="G1529" t="s">
        <v>5138</v>
      </c>
      <c r="H1529" t="s">
        <v>10918</v>
      </c>
      <c r="I1529" t="s">
        <v>17682</v>
      </c>
      <c r="J1529" t="s">
        <v>18892</v>
      </c>
      <c r="K1529">
        <v>10451</v>
      </c>
      <c r="L1529" t="s">
        <v>18958</v>
      </c>
      <c r="M1529" t="s">
        <v>18958</v>
      </c>
      <c r="O1529" t="s">
        <v>18997</v>
      </c>
      <c r="P1529" t="s">
        <v>26564</v>
      </c>
      <c r="Q1529" t="s">
        <v>26570</v>
      </c>
      <c r="R1529" t="s">
        <v>26578</v>
      </c>
      <c r="S1529" t="s">
        <v>18959</v>
      </c>
      <c r="U1529" t="s">
        <v>26604</v>
      </c>
      <c r="W1529" t="s">
        <v>593</v>
      </c>
      <c r="X1529">
        <v>1212.06</v>
      </c>
      <c r="Y1529" t="s">
        <v>26650</v>
      </c>
      <c r="Z1529" t="s">
        <v>26663</v>
      </c>
      <c r="AA1529" t="s">
        <v>26683</v>
      </c>
      <c r="AB1529" t="s">
        <v>28080</v>
      </c>
      <c r="AD1529" t="s">
        <v>38130</v>
      </c>
      <c r="AE1529">
        <v>107</v>
      </c>
      <c r="AF1529" t="s">
        <v>20460</v>
      </c>
      <c r="AG1529" t="s">
        <v>19330</v>
      </c>
      <c r="AH1529">
        <v>11</v>
      </c>
      <c r="AI1529">
        <v>1</v>
      </c>
      <c r="AJ1529">
        <v>0</v>
      </c>
      <c r="AK1529">
        <v>76.11</v>
      </c>
      <c r="AN1529" t="s">
        <v>45581</v>
      </c>
      <c r="AO1529">
        <v>9240</v>
      </c>
      <c r="AU1529">
        <v>0.1</v>
      </c>
      <c r="AV1529" t="s">
        <v>844</v>
      </c>
      <c r="AW1529" t="s">
        <v>336</v>
      </c>
    </row>
    <row r="1530" spans="1:49">
      <c r="A1530" s="1">
        <f>HYPERLINK("https://lsnyc.legalserver.org/matter/dynamic-profile/view/1876865","18-1876865")</f>
        <v>0</v>
      </c>
      <c r="B1530" t="s">
        <v>67</v>
      </c>
      <c r="C1530" t="s">
        <v>341</v>
      </c>
      <c r="D1530" t="s">
        <v>441</v>
      </c>
      <c r="E1530" t="s">
        <v>844</v>
      </c>
      <c r="F1530" t="s">
        <v>1540</v>
      </c>
      <c r="G1530" t="s">
        <v>6009</v>
      </c>
      <c r="H1530" t="s">
        <v>10919</v>
      </c>
      <c r="I1530" t="s">
        <v>17322</v>
      </c>
      <c r="J1530" t="s">
        <v>18892</v>
      </c>
      <c r="K1530">
        <v>10452</v>
      </c>
      <c r="L1530" t="s">
        <v>18958</v>
      </c>
      <c r="M1530" t="s">
        <v>18958</v>
      </c>
      <c r="O1530" t="s">
        <v>18997</v>
      </c>
      <c r="P1530" t="s">
        <v>26565</v>
      </c>
      <c r="Q1530" t="s">
        <v>26571</v>
      </c>
      <c r="R1530" t="s">
        <v>26578</v>
      </c>
      <c r="S1530" t="s">
        <v>18959</v>
      </c>
      <c r="U1530" t="s">
        <v>26604</v>
      </c>
      <c r="W1530" t="s">
        <v>593</v>
      </c>
      <c r="X1530">
        <v>937</v>
      </c>
      <c r="Y1530" t="s">
        <v>26650</v>
      </c>
      <c r="Z1530" t="s">
        <v>26663</v>
      </c>
      <c r="AA1530" t="s">
        <v>26681</v>
      </c>
      <c r="AB1530" t="s">
        <v>28081</v>
      </c>
      <c r="AD1530" t="s">
        <v>38131</v>
      </c>
      <c r="AE1530">
        <v>63</v>
      </c>
      <c r="AF1530" t="s">
        <v>45541</v>
      </c>
      <c r="AG1530" t="s">
        <v>19330</v>
      </c>
      <c r="AH1530">
        <v>23</v>
      </c>
      <c r="AI1530">
        <v>2</v>
      </c>
      <c r="AJ1530">
        <v>1</v>
      </c>
      <c r="AK1530">
        <v>125.12</v>
      </c>
      <c r="AN1530" t="s">
        <v>45581</v>
      </c>
      <c r="AO1530">
        <v>26000</v>
      </c>
      <c r="AU1530">
        <v>1.5</v>
      </c>
      <c r="AV1530" t="s">
        <v>641</v>
      </c>
      <c r="AW1530" t="s">
        <v>336</v>
      </c>
    </row>
    <row r="1531" spans="1:49">
      <c r="A1531" s="1">
        <f>HYPERLINK("https://lsnyc.legalserver.org/matter/dynamic-profile/view/1876951","18-1876951")</f>
        <v>0</v>
      </c>
      <c r="B1531" t="s">
        <v>67</v>
      </c>
      <c r="C1531" t="s">
        <v>341</v>
      </c>
      <c r="D1531" t="s">
        <v>441</v>
      </c>
      <c r="E1531" t="s">
        <v>844</v>
      </c>
      <c r="F1531" t="s">
        <v>928</v>
      </c>
      <c r="G1531" t="s">
        <v>5273</v>
      </c>
      <c r="H1531" t="s">
        <v>10920</v>
      </c>
      <c r="I1531" t="s">
        <v>17527</v>
      </c>
      <c r="J1531" t="s">
        <v>18892</v>
      </c>
      <c r="K1531">
        <v>10452</v>
      </c>
      <c r="L1531" t="s">
        <v>18958</v>
      </c>
      <c r="M1531" t="s">
        <v>18958</v>
      </c>
      <c r="O1531" t="s">
        <v>26534</v>
      </c>
      <c r="P1531" t="s">
        <v>26565</v>
      </c>
      <c r="Q1531" t="s">
        <v>26571</v>
      </c>
      <c r="R1531" t="s">
        <v>26578</v>
      </c>
      <c r="S1531" t="s">
        <v>18959</v>
      </c>
      <c r="U1531" t="s">
        <v>26604</v>
      </c>
      <c r="W1531" t="s">
        <v>593</v>
      </c>
      <c r="X1531">
        <v>1276</v>
      </c>
      <c r="Y1531" t="s">
        <v>26650</v>
      </c>
      <c r="Z1531" t="s">
        <v>26663</v>
      </c>
      <c r="AA1531" t="s">
        <v>26681</v>
      </c>
      <c r="AB1531" t="s">
        <v>28082</v>
      </c>
      <c r="AD1531" t="s">
        <v>38132</v>
      </c>
      <c r="AE1531">
        <v>140</v>
      </c>
      <c r="AF1531" t="s">
        <v>20460</v>
      </c>
      <c r="AG1531" t="s">
        <v>19330</v>
      </c>
      <c r="AH1531">
        <v>34</v>
      </c>
      <c r="AI1531">
        <v>2</v>
      </c>
      <c r="AJ1531">
        <v>0</v>
      </c>
      <c r="AK1531">
        <v>154.41</v>
      </c>
      <c r="AN1531" t="s">
        <v>7439</v>
      </c>
      <c r="AO1531">
        <v>25416</v>
      </c>
      <c r="AU1531">
        <v>0.1</v>
      </c>
      <c r="AV1531" t="s">
        <v>844</v>
      </c>
      <c r="AW1531" t="s">
        <v>336</v>
      </c>
    </row>
    <row r="1532" spans="1:49">
      <c r="A1532" s="1">
        <f>HYPERLINK("https://lsnyc.legalserver.org/matter/dynamic-profile/view/1875953","18-1875953")</f>
        <v>0</v>
      </c>
      <c r="B1532" t="s">
        <v>180</v>
      </c>
      <c r="C1532" t="s">
        <v>341</v>
      </c>
      <c r="D1532" t="s">
        <v>511</v>
      </c>
      <c r="E1532" t="s">
        <v>577</v>
      </c>
      <c r="F1532" t="s">
        <v>1191</v>
      </c>
      <c r="G1532" t="s">
        <v>948</v>
      </c>
      <c r="H1532" t="s">
        <v>10921</v>
      </c>
      <c r="I1532" t="s">
        <v>17323</v>
      </c>
      <c r="J1532" t="s">
        <v>18894</v>
      </c>
      <c r="K1532">
        <v>11203</v>
      </c>
      <c r="L1532" t="s">
        <v>18958</v>
      </c>
      <c r="M1532" t="s">
        <v>18959</v>
      </c>
      <c r="N1532" t="s">
        <v>20120</v>
      </c>
      <c r="O1532" t="s">
        <v>26523</v>
      </c>
      <c r="P1532" t="s">
        <v>26560</v>
      </c>
      <c r="Q1532" t="s">
        <v>26568</v>
      </c>
      <c r="R1532" t="s">
        <v>26586</v>
      </c>
      <c r="S1532" t="s">
        <v>18959</v>
      </c>
      <c r="U1532" t="s">
        <v>26604</v>
      </c>
      <c r="V1532" t="s">
        <v>26610</v>
      </c>
      <c r="W1532" t="s">
        <v>593</v>
      </c>
      <c r="X1532">
        <v>681.28</v>
      </c>
      <c r="Y1532" t="s">
        <v>26652</v>
      </c>
      <c r="Z1532" t="s">
        <v>26664</v>
      </c>
      <c r="AA1532" t="s">
        <v>26678</v>
      </c>
      <c r="AB1532" t="s">
        <v>27187</v>
      </c>
      <c r="AD1532" t="s">
        <v>38133</v>
      </c>
      <c r="AE1532">
        <v>42</v>
      </c>
      <c r="AF1532" t="s">
        <v>20460</v>
      </c>
      <c r="AG1532" t="s">
        <v>45559</v>
      </c>
      <c r="AH1532">
        <v>40</v>
      </c>
      <c r="AI1532">
        <v>1</v>
      </c>
      <c r="AJ1532">
        <v>0</v>
      </c>
      <c r="AK1532">
        <v>79.08</v>
      </c>
      <c r="AN1532" t="s">
        <v>7439</v>
      </c>
      <c r="AO1532">
        <v>9600</v>
      </c>
      <c r="AQ1532" t="s">
        <v>46359</v>
      </c>
      <c r="AR1532" t="s">
        <v>46383</v>
      </c>
      <c r="AS1532" t="s">
        <v>46499</v>
      </c>
      <c r="AT1532" t="s">
        <v>46671</v>
      </c>
      <c r="AU1532">
        <v>12.1</v>
      </c>
      <c r="AV1532" t="s">
        <v>662</v>
      </c>
      <c r="AW1532" t="s">
        <v>46862</v>
      </c>
    </row>
    <row r="1533" spans="1:49">
      <c r="A1533" s="1">
        <f>HYPERLINK("https://lsnyc.legalserver.org/matter/dynamic-profile/view/1875925","18-1875925")</f>
        <v>0</v>
      </c>
      <c r="B1533" t="s">
        <v>158</v>
      </c>
      <c r="C1533" t="s">
        <v>341</v>
      </c>
      <c r="D1533" t="s">
        <v>511</v>
      </c>
      <c r="E1533" t="s">
        <v>494</v>
      </c>
      <c r="F1533" t="s">
        <v>1824</v>
      </c>
      <c r="G1533" t="s">
        <v>5136</v>
      </c>
      <c r="H1533" t="s">
        <v>10922</v>
      </c>
      <c r="I1533">
        <v>2</v>
      </c>
      <c r="J1533" t="s">
        <v>18894</v>
      </c>
      <c r="K1533">
        <v>11210</v>
      </c>
      <c r="L1533" t="s">
        <v>18958</v>
      </c>
      <c r="M1533" t="s">
        <v>18958</v>
      </c>
      <c r="N1533" t="s">
        <v>20121</v>
      </c>
      <c r="O1533" t="s">
        <v>26524</v>
      </c>
      <c r="P1533" t="s">
        <v>26564</v>
      </c>
      <c r="Q1533" t="s">
        <v>26570</v>
      </c>
      <c r="R1533" t="s">
        <v>26586</v>
      </c>
      <c r="U1533" t="s">
        <v>26604</v>
      </c>
      <c r="W1533" t="s">
        <v>593</v>
      </c>
      <c r="X1533">
        <v>725</v>
      </c>
      <c r="Y1533" t="s">
        <v>26652</v>
      </c>
      <c r="Z1533" t="s">
        <v>26664</v>
      </c>
      <c r="AA1533" t="s">
        <v>26683</v>
      </c>
      <c r="AB1533" t="s">
        <v>28083</v>
      </c>
      <c r="AD1533" t="s">
        <v>38134</v>
      </c>
      <c r="AE1533">
        <v>4</v>
      </c>
      <c r="AF1533" t="s">
        <v>45547</v>
      </c>
      <c r="AG1533" t="s">
        <v>19330</v>
      </c>
      <c r="AH1533">
        <v>2</v>
      </c>
      <c r="AI1533">
        <v>1</v>
      </c>
      <c r="AJ1533">
        <v>0</v>
      </c>
      <c r="AK1533">
        <v>95.09</v>
      </c>
      <c r="AN1533" t="s">
        <v>7439</v>
      </c>
      <c r="AO1533">
        <v>11544</v>
      </c>
      <c r="AU1533">
        <v>1</v>
      </c>
      <c r="AV1533" t="s">
        <v>494</v>
      </c>
      <c r="AW1533" t="s">
        <v>281</v>
      </c>
    </row>
    <row r="1534" spans="1:49">
      <c r="A1534" s="1">
        <f>HYPERLINK("https://lsnyc.legalserver.org/matter/dynamic-profile/view/1875906","18-1875906")</f>
        <v>0</v>
      </c>
      <c r="B1534" t="s">
        <v>86</v>
      </c>
      <c r="C1534" t="s">
        <v>341</v>
      </c>
      <c r="D1534" t="s">
        <v>511</v>
      </c>
      <c r="E1534" t="s">
        <v>670</v>
      </c>
      <c r="F1534" t="s">
        <v>1825</v>
      </c>
      <c r="G1534" t="s">
        <v>975</v>
      </c>
      <c r="H1534" t="s">
        <v>10923</v>
      </c>
      <c r="I1534" t="s">
        <v>17352</v>
      </c>
      <c r="J1534" t="s">
        <v>18893</v>
      </c>
      <c r="K1534">
        <v>10039</v>
      </c>
      <c r="L1534" t="s">
        <v>18958</v>
      </c>
      <c r="M1534" t="s">
        <v>18958</v>
      </c>
      <c r="N1534" t="s">
        <v>20122</v>
      </c>
      <c r="O1534" t="s">
        <v>26523</v>
      </c>
      <c r="P1534" t="s">
        <v>26564</v>
      </c>
      <c r="Q1534" t="s">
        <v>26570</v>
      </c>
      <c r="R1534" t="s">
        <v>26578</v>
      </c>
      <c r="S1534" t="s">
        <v>18959</v>
      </c>
      <c r="U1534" t="s">
        <v>26604</v>
      </c>
      <c r="W1534" t="s">
        <v>593</v>
      </c>
      <c r="X1534">
        <v>700</v>
      </c>
      <c r="Y1534" t="s">
        <v>26651</v>
      </c>
      <c r="Z1534" t="s">
        <v>26661</v>
      </c>
      <c r="AA1534" t="s">
        <v>26683</v>
      </c>
      <c r="AB1534" t="s">
        <v>28084</v>
      </c>
      <c r="AD1534" t="s">
        <v>38135</v>
      </c>
      <c r="AE1534">
        <v>0</v>
      </c>
      <c r="AF1534" t="s">
        <v>45541</v>
      </c>
      <c r="AG1534" t="s">
        <v>19330</v>
      </c>
      <c r="AH1534">
        <v>12</v>
      </c>
      <c r="AI1534">
        <v>1</v>
      </c>
      <c r="AJ1534">
        <v>0</v>
      </c>
      <c r="AK1534">
        <v>205.93</v>
      </c>
      <c r="AL1534" t="s">
        <v>662</v>
      </c>
      <c r="AM1534" t="s">
        <v>45575</v>
      </c>
      <c r="AN1534" t="s">
        <v>7439</v>
      </c>
      <c r="AO1534">
        <v>25000</v>
      </c>
      <c r="AU1534">
        <v>1</v>
      </c>
      <c r="AV1534" t="s">
        <v>511</v>
      </c>
      <c r="AW1534" t="s">
        <v>314</v>
      </c>
    </row>
    <row r="1535" spans="1:49">
      <c r="A1535" s="1">
        <f>HYPERLINK("https://lsnyc.legalserver.org/matter/dynamic-profile/view/1875916","18-1875916")</f>
        <v>0</v>
      </c>
      <c r="B1535" t="s">
        <v>86</v>
      </c>
      <c r="C1535" t="s">
        <v>341</v>
      </c>
      <c r="D1535" t="s">
        <v>511</v>
      </c>
      <c r="E1535" t="s">
        <v>623</v>
      </c>
      <c r="F1535" t="s">
        <v>1826</v>
      </c>
      <c r="G1535" t="s">
        <v>5678</v>
      </c>
      <c r="H1535" t="s">
        <v>10924</v>
      </c>
      <c r="I1535" t="s">
        <v>17639</v>
      </c>
      <c r="J1535" t="s">
        <v>18893</v>
      </c>
      <c r="K1535">
        <v>10128</v>
      </c>
      <c r="L1535" t="s">
        <v>18958</v>
      </c>
      <c r="M1535" t="s">
        <v>18958</v>
      </c>
      <c r="N1535" t="s">
        <v>20123</v>
      </c>
      <c r="O1535" t="s">
        <v>26524</v>
      </c>
      <c r="P1535" t="s">
        <v>26564</v>
      </c>
      <c r="Q1535" t="s">
        <v>26570</v>
      </c>
      <c r="R1535" t="s">
        <v>26582</v>
      </c>
      <c r="S1535" t="s">
        <v>18959</v>
      </c>
      <c r="U1535" t="s">
        <v>26606</v>
      </c>
      <c r="V1535" t="s">
        <v>26612</v>
      </c>
      <c r="W1535" t="s">
        <v>593</v>
      </c>
      <c r="X1535">
        <v>930</v>
      </c>
      <c r="Y1535" t="s">
        <v>26651</v>
      </c>
      <c r="Z1535" t="s">
        <v>26659</v>
      </c>
      <c r="AA1535" t="s">
        <v>26683</v>
      </c>
      <c r="AB1535" t="s">
        <v>28085</v>
      </c>
      <c r="AD1535" t="s">
        <v>38136</v>
      </c>
      <c r="AE1535">
        <v>0</v>
      </c>
      <c r="AF1535" t="s">
        <v>45541</v>
      </c>
      <c r="AG1535" t="s">
        <v>45562</v>
      </c>
      <c r="AH1535">
        <v>1</v>
      </c>
      <c r="AI1535">
        <v>2</v>
      </c>
      <c r="AJ1535">
        <v>1</v>
      </c>
      <c r="AK1535">
        <v>135.13</v>
      </c>
      <c r="AN1535" t="s">
        <v>7439</v>
      </c>
      <c r="AO1535">
        <v>28080</v>
      </c>
      <c r="AU1535">
        <v>0.4</v>
      </c>
      <c r="AV1535" t="s">
        <v>524</v>
      </c>
      <c r="AW1535" t="s">
        <v>314</v>
      </c>
    </row>
    <row r="1536" spans="1:49">
      <c r="A1536" s="1">
        <f>HYPERLINK("https://lsnyc.legalserver.org/matter/dynamic-profile/view/1875982","18-1875982")</f>
        <v>0</v>
      </c>
      <c r="B1536" t="s">
        <v>172</v>
      </c>
      <c r="C1536" t="s">
        <v>341</v>
      </c>
      <c r="D1536" t="s">
        <v>511</v>
      </c>
      <c r="E1536" t="s">
        <v>830</v>
      </c>
      <c r="F1536" t="s">
        <v>1693</v>
      </c>
      <c r="G1536" t="s">
        <v>5886</v>
      </c>
      <c r="H1536" t="s">
        <v>10720</v>
      </c>
      <c r="I1536" t="s">
        <v>17625</v>
      </c>
      <c r="J1536" t="s">
        <v>18894</v>
      </c>
      <c r="K1536">
        <v>11236</v>
      </c>
      <c r="L1536" t="s">
        <v>18958</v>
      </c>
      <c r="M1536" t="s">
        <v>18958</v>
      </c>
      <c r="N1536" t="s">
        <v>20124</v>
      </c>
      <c r="O1536" t="s">
        <v>26526</v>
      </c>
      <c r="P1536" t="s">
        <v>26560</v>
      </c>
      <c r="Q1536" t="s">
        <v>26575</v>
      </c>
      <c r="R1536" t="s">
        <v>26586</v>
      </c>
      <c r="U1536" t="s">
        <v>26604</v>
      </c>
      <c r="W1536" t="s">
        <v>593</v>
      </c>
      <c r="X1536">
        <v>700</v>
      </c>
      <c r="Y1536" t="s">
        <v>26652</v>
      </c>
      <c r="Z1536" t="s">
        <v>26659</v>
      </c>
      <c r="AA1536" t="s">
        <v>26687</v>
      </c>
      <c r="AB1536" t="s">
        <v>27864</v>
      </c>
      <c r="AC1536" t="s">
        <v>34964</v>
      </c>
      <c r="AD1536" t="s">
        <v>37914</v>
      </c>
      <c r="AE1536">
        <v>0</v>
      </c>
      <c r="AH1536">
        <v>1</v>
      </c>
      <c r="AI1536">
        <v>1</v>
      </c>
      <c r="AJ1536">
        <v>0</v>
      </c>
      <c r="AK1536">
        <v>0</v>
      </c>
      <c r="AN1536" t="s">
        <v>7439</v>
      </c>
      <c r="AO1536">
        <v>0</v>
      </c>
      <c r="AU1536">
        <v>46.85</v>
      </c>
      <c r="AV1536" t="s">
        <v>830</v>
      </c>
      <c r="AW1536" t="s">
        <v>172</v>
      </c>
    </row>
    <row r="1537" spans="1:50">
      <c r="A1537" s="1">
        <f>HYPERLINK("https://lsnyc.legalserver.org/matter/dynamic-profile/view/1875981","18-1875981")</f>
        <v>0</v>
      </c>
      <c r="B1537" t="s">
        <v>100</v>
      </c>
      <c r="C1537" t="s">
        <v>340</v>
      </c>
      <c r="D1537" t="s">
        <v>511</v>
      </c>
      <c r="F1537" t="s">
        <v>1827</v>
      </c>
      <c r="G1537" t="s">
        <v>2564</v>
      </c>
      <c r="H1537" t="s">
        <v>10916</v>
      </c>
      <c r="I1537" t="s">
        <v>17440</v>
      </c>
      <c r="J1537" t="s">
        <v>18892</v>
      </c>
      <c r="K1537">
        <v>10456</v>
      </c>
      <c r="L1537" t="s">
        <v>18958</v>
      </c>
      <c r="M1537" t="s">
        <v>18958</v>
      </c>
      <c r="N1537" t="s">
        <v>20117</v>
      </c>
      <c r="O1537" t="s">
        <v>26534</v>
      </c>
      <c r="P1537" t="s">
        <v>26561</v>
      </c>
      <c r="R1537" t="s">
        <v>26578</v>
      </c>
      <c r="S1537" t="s">
        <v>18958</v>
      </c>
      <c r="U1537" t="s">
        <v>26604</v>
      </c>
      <c r="W1537" t="s">
        <v>593</v>
      </c>
      <c r="X1537">
        <v>1800</v>
      </c>
      <c r="Y1537" t="s">
        <v>26650</v>
      </c>
      <c r="Z1537" t="s">
        <v>26663</v>
      </c>
      <c r="AB1537" t="s">
        <v>28086</v>
      </c>
      <c r="AD1537" t="s">
        <v>38137</v>
      </c>
      <c r="AE1537">
        <v>61</v>
      </c>
      <c r="AF1537" t="s">
        <v>45541</v>
      </c>
      <c r="AG1537" t="s">
        <v>19330</v>
      </c>
      <c r="AH1537">
        <v>1</v>
      </c>
      <c r="AI1537">
        <v>2</v>
      </c>
      <c r="AJ1537">
        <v>3</v>
      </c>
      <c r="AK1537">
        <v>142.76</v>
      </c>
      <c r="AN1537" t="s">
        <v>45581</v>
      </c>
      <c r="AO1537">
        <v>42000</v>
      </c>
      <c r="AU1537">
        <v>0</v>
      </c>
      <c r="AW1537" t="s">
        <v>336</v>
      </c>
    </row>
    <row r="1538" spans="1:50">
      <c r="A1538" s="1">
        <f>HYPERLINK("https://lsnyc.legalserver.org/matter/dynamic-profile/view/1875983","18-1875983")</f>
        <v>0</v>
      </c>
      <c r="B1538" t="s">
        <v>100</v>
      </c>
      <c r="C1538" t="s">
        <v>340</v>
      </c>
      <c r="D1538" t="s">
        <v>511</v>
      </c>
      <c r="F1538" t="s">
        <v>1828</v>
      </c>
      <c r="G1538" t="s">
        <v>6010</v>
      </c>
      <c r="H1538" t="s">
        <v>10916</v>
      </c>
      <c r="I1538" t="s">
        <v>17397</v>
      </c>
      <c r="J1538" t="s">
        <v>18892</v>
      </c>
      <c r="K1538">
        <v>10456</v>
      </c>
      <c r="L1538" t="s">
        <v>18958</v>
      </c>
      <c r="M1538" t="s">
        <v>18958</v>
      </c>
      <c r="N1538" t="s">
        <v>20117</v>
      </c>
      <c r="O1538" t="s">
        <v>26534</v>
      </c>
      <c r="P1538" t="s">
        <v>26561</v>
      </c>
      <c r="R1538" t="s">
        <v>26578</v>
      </c>
      <c r="S1538" t="s">
        <v>18958</v>
      </c>
      <c r="U1538" t="s">
        <v>26604</v>
      </c>
      <c r="W1538" t="s">
        <v>593</v>
      </c>
      <c r="X1538">
        <v>1255</v>
      </c>
      <c r="Y1538" t="s">
        <v>26650</v>
      </c>
      <c r="Z1538" t="s">
        <v>26663</v>
      </c>
      <c r="AB1538" t="s">
        <v>26734</v>
      </c>
      <c r="AD1538" t="s">
        <v>38138</v>
      </c>
      <c r="AE1538">
        <v>61</v>
      </c>
      <c r="AF1538" t="s">
        <v>45541</v>
      </c>
      <c r="AG1538" t="s">
        <v>45556</v>
      </c>
      <c r="AH1538">
        <v>19</v>
      </c>
      <c r="AI1538">
        <v>3</v>
      </c>
      <c r="AJ1538">
        <v>0</v>
      </c>
      <c r="AK1538">
        <v>187.68</v>
      </c>
      <c r="AN1538" t="s">
        <v>45581</v>
      </c>
      <c r="AO1538">
        <v>39000</v>
      </c>
      <c r="AU1538">
        <v>0</v>
      </c>
      <c r="AW1538" t="s">
        <v>336</v>
      </c>
    </row>
    <row r="1539" spans="1:50">
      <c r="A1539" s="1">
        <f>HYPERLINK("https://lsnyc.legalserver.org/matter/dynamic-profile/view/1875949","18-1875949")</f>
        <v>0</v>
      </c>
      <c r="B1539" t="s">
        <v>54</v>
      </c>
      <c r="C1539" t="s">
        <v>340</v>
      </c>
      <c r="D1539" t="s">
        <v>511</v>
      </c>
      <c r="F1539" t="s">
        <v>1829</v>
      </c>
      <c r="G1539" t="s">
        <v>5275</v>
      </c>
      <c r="H1539" t="s">
        <v>10925</v>
      </c>
      <c r="I1539" t="s">
        <v>17299</v>
      </c>
      <c r="J1539" t="s">
        <v>18892</v>
      </c>
      <c r="K1539">
        <v>10468</v>
      </c>
      <c r="L1539" t="s">
        <v>18958</v>
      </c>
      <c r="M1539" t="s">
        <v>18958</v>
      </c>
      <c r="N1539" t="s">
        <v>20125</v>
      </c>
      <c r="O1539" t="s">
        <v>26526</v>
      </c>
      <c r="P1539" t="s">
        <v>26560</v>
      </c>
      <c r="R1539" t="s">
        <v>26577</v>
      </c>
      <c r="S1539" t="s">
        <v>18959</v>
      </c>
      <c r="U1539" t="s">
        <v>26604</v>
      </c>
      <c r="V1539" t="s">
        <v>26609</v>
      </c>
      <c r="W1539" t="s">
        <v>593</v>
      </c>
      <c r="X1539">
        <v>1430</v>
      </c>
      <c r="Y1539" t="s">
        <v>26650</v>
      </c>
      <c r="Z1539" t="s">
        <v>26673</v>
      </c>
      <c r="AB1539" t="s">
        <v>28087</v>
      </c>
      <c r="AD1539" t="s">
        <v>38139</v>
      </c>
      <c r="AE1539">
        <v>3</v>
      </c>
      <c r="AF1539" t="s">
        <v>20460</v>
      </c>
      <c r="AG1539" t="s">
        <v>19330</v>
      </c>
      <c r="AH1539">
        <v>7</v>
      </c>
      <c r="AI1539">
        <v>1</v>
      </c>
      <c r="AJ1539">
        <v>0</v>
      </c>
      <c r="AK1539">
        <v>74.14</v>
      </c>
      <c r="AN1539" t="s">
        <v>45581</v>
      </c>
      <c r="AO1539">
        <v>9000</v>
      </c>
      <c r="AU1539">
        <v>9.65</v>
      </c>
      <c r="AV1539" t="s">
        <v>740</v>
      </c>
      <c r="AW1539" t="s">
        <v>46829</v>
      </c>
    </row>
    <row r="1540" spans="1:50">
      <c r="A1540" s="1">
        <f>HYPERLINK("https://lsnyc.legalserver.org/matter/dynamic-profile/view/1876103","18-1876103")</f>
        <v>0</v>
      </c>
      <c r="B1540" t="s">
        <v>232</v>
      </c>
      <c r="C1540" t="s">
        <v>341</v>
      </c>
      <c r="D1540" t="s">
        <v>512</v>
      </c>
      <c r="E1540" t="s">
        <v>697</v>
      </c>
      <c r="F1540" t="s">
        <v>928</v>
      </c>
      <c r="G1540" t="s">
        <v>6011</v>
      </c>
      <c r="H1540" t="s">
        <v>10926</v>
      </c>
      <c r="I1540">
        <v>3</v>
      </c>
      <c r="J1540" t="s">
        <v>18894</v>
      </c>
      <c r="K1540">
        <v>11209</v>
      </c>
      <c r="L1540" t="s">
        <v>18958</v>
      </c>
      <c r="M1540" t="s">
        <v>18958</v>
      </c>
      <c r="N1540" t="s">
        <v>20126</v>
      </c>
      <c r="O1540" t="s">
        <v>26523</v>
      </c>
      <c r="P1540" t="s">
        <v>26560</v>
      </c>
      <c r="Q1540" t="s">
        <v>26575</v>
      </c>
      <c r="R1540" t="s">
        <v>26586</v>
      </c>
      <c r="S1540" t="s">
        <v>18959</v>
      </c>
      <c r="U1540" t="s">
        <v>26604</v>
      </c>
      <c r="V1540" t="s">
        <v>26615</v>
      </c>
      <c r="W1540" t="s">
        <v>593</v>
      </c>
      <c r="X1540">
        <v>1575</v>
      </c>
      <c r="Y1540" t="s">
        <v>26652</v>
      </c>
      <c r="Z1540" t="s">
        <v>26664</v>
      </c>
      <c r="AA1540" t="s">
        <v>26679</v>
      </c>
      <c r="AB1540" t="s">
        <v>27728</v>
      </c>
      <c r="AD1540" t="s">
        <v>38140</v>
      </c>
      <c r="AE1540">
        <v>2</v>
      </c>
      <c r="AF1540" t="s">
        <v>45547</v>
      </c>
      <c r="AG1540" t="s">
        <v>19330</v>
      </c>
      <c r="AH1540">
        <v>30</v>
      </c>
      <c r="AI1540">
        <v>1</v>
      </c>
      <c r="AJ1540">
        <v>0</v>
      </c>
      <c r="AK1540">
        <v>147.78</v>
      </c>
      <c r="AN1540" t="s">
        <v>7439</v>
      </c>
      <c r="AO1540">
        <v>17940</v>
      </c>
      <c r="AQ1540" t="s">
        <v>46359</v>
      </c>
      <c r="AR1540" t="s">
        <v>46379</v>
      </c>
      <c r="AS1540" t="s">
        <v>46499</v>
      </c>
      <c r="AT1540" t="s">
        <v>46632</v>
      </c>
      <c r="AU1540">
        <v>5.45</v>
      </c>
      <c r="AV1540" t="s">
        <v>697</v>
      </c>
      <c r="AW1540" t="s">
        <v>46862</v>
      </c>
    </row>
    <row r="1541" spans="1:50">
      <c r="A1541" s="1">
        <f>HYPERLINK("https://lsnyc.legalserver.org/matter/dynamic-profile/view/1876107","18-1876107")</f>
        <v>0</v>
      </c>
      <c r="B1541" t="s">
        <v>65</v>
      </c>
      <c r="C1541" t="s">
        <v>341</v>
      </c>
      <c r="D1541" t="s">
        <v>512</v>
      </c>
      <c r="E1541" t="s">
        <v>728</v>
      </c>
      <c r="F1541" t="s">
        <v>1194</v>
      </c>
      <c r="G1541" t="s">
        <v>5173</v>
      </c>
      <c r="H1541" t="s">
        <v>10927</v>
      </c>
      <c r="I1541" t="s">
        <v>17683</v>
      </c>
      <c r="J1541" t="s">
        <v>18892</v>
      </c>
      <c r="K1541">
        <v>10453</v>
      </c>
      <c r="L1541" t="s">
        <v>18958</v>
      </c>
      <c r="M1541" t="s">
        <v>18958</v>
      </c>
      <c r="N1541" t="s">
        <v>20127</v>
      </c>
      <c r="O1541" t="s">
        <v>26524</v>
      </c>
      <c r="P1541" t="s">
        <v>26560</v>
      </c>
      <c r="Q1541" t="s">
        <v>26568</v>
      </c>
      <c r="R1541" t="s">
        <v>26577</v>
      </c>
      <c r="U1541" t="s">
        <v>26604</v>
      </c>
      <c r="V1541" t="s">
        <v>26610</v>
      </c>
      <c r="W1541" t="s">
        <v>593</v>
      </c>
      <c r="X1541">
        <v>1694</v>
      </c>
      <c r="Y1541" t="s">
        <v>26650</v>
      </c>
      <c r="Z1541" t="s">
        <v>26659</v>
      </c>
      <c r="AA1541" t="s">
        <v>26678</v>
      </c>
      <c r="AB1541" t="s">
        <v>28088</v>
      </c>
      <c r="AD1541" t="s">
        <v>38141</v>
      </c>
      <c r="AE1541">
        <v>0</v>
      </c>
      <c r="AF1541" t="s">
        <v>45541</v>
      </c>
      <c r="AG1541" t="s">
        <v>19330</v>
      </c>
      <c r="AH1541">
        <v>6</v>
      </c>
      <c r="AI1541">
        <v>2</v>
      </c>
      <c r="AJ1541">
        <v>2</v>
      </c>
      <c r="AK1541">
        <v>130.52</v>
      </c>
      <c r="AN1541" t="s">
        <v>7439</v>
      </c>
      <c r="AO1541">
        <v>32760</v>
      </c>
      <c r="AQ1541" t="s">
        <v>46361</v>
      </c>
      <c r="AR1541" t="s">
        <v>46444</v>
      </c>
      <c r="AS1541" t="s">
        <v>46499</v>
      </c>
      <c r="AT1541" t="s">
        <v>46624</v>
      </c>
      <c r="AU1541">
        <v>6.15</v>
      </c>
      <c r="AV1541" t="s">
        <v>694</v>
      </c>
      <c r="AW1541" t="s">
        <v>46831</v>
      </c>
      <c r="AX1541" t="s">
        <v>46897</v>
      </c>
    </row>
    <row r="1542" spans="1:50">
      <c r="A1542" s="1">
        <f>HYPERLINK("https://lsnyc.legalserver.org/matter/dynamic-profile/view/1876198","18-1876198")</f>
        <v>0</v>
      </c>
      <c r="B1542" t="s">
        <v>232</v>
      </c>
      <c r="C1542" t="s">
        <v>341</v>
      </c>
      <c r="D1542" t="s">
        <v>522</v>
      </c>
      <c r="E1542" t="s">
        <v>763</v>
      </c>
      <c r="F1542" t="s">
        <v>1830</v>
      </c>
      <c r="G1542" t="s">
        <v>6012</v>
      </c>
      <c r="H1542" t="s">
        <v>10928</v>
      </c>
      <c r="I1542">
        <v>2</v>
      </c>
      <c r="J1542" t="s">
        <v>18894</v>
      </c>
      <c r="K1542">
        <v>11236</v>
      </c>
      <c r="L1542" t="s">
        <v>18958</v>
      </c>
      <c r="M1542" t="s">
        <v>18958</v>
      </c>
      <c r="N1542" t="s">
        <v>20128</v>
      </c>
      <c r="O1542" t="s">
        <v>26523</v>
      </c>
      <c r="P1542" t="s">
        <v>26560</v>
      </c>
      <c r="Q1542" t="s">
        <v>26568</v>
      </c>
      <c r="R1542" t="s">
        <v>26586</v>
      </c>
      <c r="S1542" t="s">
        <v>18959</v>
      </c>
      <c r="U1542" t="s">
        <v>26604</v>
      </c>
      <c r="V1542" t="s">
        <v>26610</v>
      </c>
      <c r="W1542" t="s">
        <v>593</v>
      </c>
      <c r="X1542">
        <v>1725</v>
      </c>
      <c r="Y1542" t="s">
        <v>26652</v>
      </c>
      <c r="Z1542" t="s">
        <v>26664</v>
      </c>
      <c r="AA1542" t="s">
        <v>26679</v>
      </c>
      <c r="AB1542" t="s">
        <v>28089</v>
      </c>
      <c r="AD1542" t="s">
        <v>38142</v>
      </c>
      <c r="AE1542">
        <v>2</v>
      </c>
      <c r="AF1542" t="s">
        <v>45547</v>
      </c>
      <c r="AG1542" t="s">
        <v>19330</v>
      </c>
      <c r="AH1542">
        <v>1</v>
      </c>
      <c r="AI1542">
        <v>1</v>
      </c>
      <c r="AJ1542">
        <v>2</v>
      </c>
      <c r="AK1542">
        <v>0</v>
      </c>
      <c r="AN1542" t="s">
        <v>7439</v>
      </c>
      <c r="AO1542">
        <v>0</v>
      </c>
      <c r="AU1542">
        <v>15</v>
      </c>
      <c r="AV1542" t="s">
        <v>763</v>
      </c>
      <c r="AW1542" t="s">
        <v>46862</v>
      </c>
    </row>
    <row r="1543" spans="1:50">
      <c r="A1543" s="1">
        <f>HYPERLINK("https://lsnyc.legalserver.org/matter/dynamic-profile/view/1876308","18-1876308")</f>
        <v>0</v>
      </c>
      <c r="B1543" t="s">
        <v>77</v>
      </c>
      <c r="C1543" t="s">
        <v>341</v>
      </c>
      <c r="D1543" t="s">
        <v>493</v>
      </c>
      <c r="E1543" t="s">
        <v>688</v>
      </c>
      <c r="F1543" t="s">
        <v>1251</v>
      </c>
      <c r="G1543" t="s">
        <v>5189</v>
      </c>
      <c r="H1543" t="s">
        <v>10929</v>
      </c>
      <c r="I1543" t="s">
        <v>17347</v>
      </c>
      <c r="J1543" t="s">
        <v>18893</v>
      </c>
      <c r="K1543">
        <v>10025</v>
      </c>
      <c r="L1543" t="s">
        <v>18958</v>
      </c>
      <c r="M1543" t="s">
        <v>18958</v>
      </c>
      <c r="N1543" t="s">
        <v>20129</v>
      </c>
      <c r="O1543" t="s">
        <v>26523</v>
      </c>
      <c r="P1543" t="s">
        <v>26560</v>
      </c>
      <c r="Q1543" t="s">
        <v>26568</v>
      </c>
      <c r="R1543" t="s">
        <v>26580</v>
      </c>
      <c r="S1543" t="s">
        <v>18959</v>
      </c>
      <c r="U1543" t="s">
        <v>26604</v>
      </c>
      <c r="V1543" t="s">
        <v>26610</v>
      </c>
      <c r="W1543" t="s">
        <v>593</v>
      </c>
      <c r="X1543">
        <v>593.04</v>
      </c>
      <c r="Y1543" t="s">
        <v>26651</v>
      </c>
      <c r="Z1543" t="s">
        <v>26664</v>
      </c>
      <c r="AA1543" t="s">
        <v>26678</v>
      </c>
      <c r="AB1543" t="s">
        <v>28090</v>
      </c>
      <c r="AD1543" t="s">
        <v>38143</v>
      </c>
      <c r="AE1543">
        <v>10</v>
      </c>
      <c r="AF1543" t="s">
        <v>45541</v>
      </c>
      <c r="AG1543" t="s">
        <v>19330</v>
      </c>
      <c r="AH1543">
        <v>28</v>
      </c>
      <c r="AI1543">
        <v>3</v>
      </c>
      <c r="AJ1543">
        <v>1</v>
      </c>
      <c r="AK1543">
        <v>139.44</v>
      </c>
      <c r="AN1543" t="s">
        <v>7439</v>
      </c>
      <c r="AO1543">
        <v>35000</v>
      </c>
      <c r="AS1543" t="s">
        <v>46499</v>
      </c>
      <c r="AT1543" t="s">
        <v>46702</v>
      </c>
      <c r="AU1543">
        <v>7.4</v>
      </c>
      <c r="AV1543" t="s">
        <v>688</v>
      </c>
      <c r="AW1543" t="s">
        <v>314</v>
      </c>
    </row>
    <row r="1544" spans="1:50">
      <c r="A1544" s="1">
        <f>HYPERLINK("https://lsnyc.legalserver.org/matter/dynamic-profile/view/1876302","18-1876302")</f>
        <v>0</v>
      </c>
      <c r="B1544" t="s">
        <v>80</v>
      </c>
      <c r="C1544" t="s">
        <v>341</v>
      </c>
      <c r="D1544" t="s">
        <v>493</v>
      </c>
      <c r="E1544" t="s">
        <v>494</v>
      </c>
      <c r="F1544" t="s">
        <v>1831</v>
      </c>
      <c r="G1544" t="s">
        <v>6013</v>
      </c>
      <c r="H1544" t="s">
        <v>10930</v>
      </c>
      <c r="I1544">
        <v>10</v>
      </c>
      <c r="J1544" t="s">
        <v>18893</v>
      </c>
      <c r="K1544">
        <v>10025</v>
      </c>
      <c r="L1544" t="s">
        <v>18958</v>
      </c>
      <c r="M1544" t="s">
        <v>18960</v>
      </c>
      <c r="N1544" t="s">
        <v>20130</v>
      </c>
      <c r="O1544" t="s">
        <v>26523</v>
      </c>
      <c r="P1544" t="s">
        <v>26560</v>
      </c>
      <c r="Q1544" t="s">
        <v>26568</v>
      </c>
      <c r="R1544" t="s">
        <v>26580</v>
      </c>
      <c r="S1544" t="s">
        <v>18959</v>
      </c>
      <c r="U1544" t="s">
        <v>26605</v>
      </c>
      <c r="W1544" t="s">
        <v>593</v>
      </c>
      <c r="X1544">
        <v>283</v>
      </c>
      <c r="Y1544" t="s">
        <v>26651</v>
      </c>
      <c r="Z1544" t="s">
        <v>26664</v>
      </c>
      <c r="AA1544" t="s">
        <v>26680</v>
      </c>
      <c r="AB1544" t="s">
        <v>28091</v>
      </c>
      <c r="AC1544" t="s">
        <v>34965</v>
      </c>
      <c r="AD1544" t="s">
        <v>38144</v>
      </c>
      <c r="AE1544">
        <v>0</v>
      </c>
      <c r="AF1544" t="s">
        <v>45542</v>
      </c>
      <c r="AH1544">
        <v>1</v>
      </c>
      <c r="AI1544">
        <v>1</v>
      </c>
      <c r="AJ1544">
        <v>2</v>
      </c>
      <c r="AK1544">
        <v>53.87</v>
      </c>
      <c r="AO1544">
        <v>11194</v>
      </c>
      <c r="AS1544" t="s">
        <v>46499</v>
      </c>
      <c r="AT1544" t="s">
        <v>46517</v>
      </c>
      <c r="AU1544">
        <v>1.1</v>
      </c>
      <c r="AV1544" t="s">
        <v>637</v>
      </c>
      <c r="AW1544" t="s">
        <v>317</v>
      </c>
    </row>
    <row r="1545" spans="1:50">
      <c r="A1545" s="1">
        <f>HYPERLINK("https://lsnyc.legalserver.org/matter/dynamic-profile/view/1876352","18-1876352")</f>
        <v>0</v>
      </c>
      <c r="B1545" t="s">
        <v>100</v>
      </c>
      <c r="C1545" t="s">
        <v>340</v>
      </c>
      <c r="D1545" t="s">
        <v>493</v>
      </c>
      <c r="F1545" t="s">
        <v>1832</v>
      </c>
      <c r="G1545" t="s">
        <v>6014</v>
      </c>
      <c r="H1545" t="s">
        <v>10916</v>
      </c>
      <c r="I1545" t="s">
        <v>17292</v>
      </c>
      <c r="J1545" t="s">
        <v>18892</v>
      </c>
      <c r="K1545">
        <v>10456</v>
      </c>
      <c r="L1545" t="s">
        <v>18958</v>
      </c>
      <c r="M1545" t="s">
        <v>18958</v>
      </c>
      <c r="N1545" t="s">
        <v>20117</v>
      </c>
      <c r="O1545" t="s">
        <v>26534</v>
      </c>
      <c r="P1545" t="s">
        <v>26561</v>
      </c>
      <c r="R1545" t="s">
        <v>26578</v>
      </c>
      <c r="S1545" t="s">
        <v>18958</v>
      </c>
      <c r="U1545" t="s">
        <v>26604</v>
      </c>
      <c r="W1545" t="s">
        <v>593</v>
      </c>
      <c r="X1545">
        <v>1245</v>
      </c>
      <c r="Y1545" t="s">
        <v>26650</v>
      </c>
      <c r="Z1545" t="s">
        <v>26663</v>
      </c>
      <c r="AB1545" t="s">
        <v>28092</v>
      </c>
      <c r="AD1545" t="s">
        <v>38145</v>
      </c>
      <c r="AE1545">
        <v>61</v>
      </c>
      <c r="AF1545" t="s">
        <v>45541</v>
      </c>
      <c r="AG1545" t="s">
        <v>45558</v>
      </c>
      <c r="AH1545">
        <v>21</v>
      </c>
      <c r="AI1545">
        <v>1</v>
      </c>
      <c r="AJ1545">
        <v>1</v>
      </c>
      <c r="AK1545">
        <v>212.64</v>
      </c>
      <c r="AN1545" t="s">
        <v>7439</v>
      </c>
      <c r="AO1545">
        <v>35000</v>
      </c>
      <c r="AU1545">
        <v>0</v>
      </c>
      <c r="AW1545" t="s">
        <v>336</v>
      </c>
    </row>
    <row r="1546" spans="1:50">
      <c r="A1546" s="1">
        <f>HYPERLINK("https://lsnyc.legalserver.org/matter/dynamic-profile/view/1876344","18-1876344")</f>
        <v>0</v>
      </c>
      <c r="B1546" t="s">
        <v>100</v>
      </c>
      <c r="C1546" t="s">
        <v>340</v>
      </c>
      <c r="D1546" t="s">
        <v>493</v>
      </c>
      <c r="F1546" t="s">
        <v>1045</v>
      </c>
      <c r="G1546" t="s">
        <v>5186</v>
      </c>
      <c r="H1546" t="s">
        <v>10916</v>
      </c>
      <c r="I1546" t="s">
        <v>17344</v>
      </c>
      <c r="J1546" t="s">
        <v>18892</v>
      </c>
      <c r="K1546">
        <v>10456</v>
      </c>
      <c r="L1546" t="s">
        <v>18958</v>
      </c>
      <c r="M1546" t="s">
        <v>18958</v>
      </c>
      <c r="N1546" t="s">
        <v>20117</v>
      </c>
      <c r="O1546" t="s">
        <v>26534</v>
      </c>
      <c r="P1546" t="s">
        <v>26561</v>
      </c>
      <c r="R1546" t="s">
        <v>26578</v>
      </c>
      <c r="S1546" t="s">
        <v>18958</v>
      </c>
      <c r="U1546" t="s">
        <v>26604</v>
      </c>
      <c r="W1546" t="s">
        <v>593</v>
      </c>
      <c r="X1546">
        <v>1200</v>
      </c>
      <c r="Y1546" t="s">
        <v>26650</v>
      </c>
      <c r="Z1546" t="s">
        <v>26663</v>
      </c>
      <c r="AB1546" t="s">
        <v>28093</v>
      </c>
      <c r="AD1546" t="s">
        <v>38146</v>
      </c>
      <c r="AE1546">
        <v>61</v>
      </c>
      <c r="AF1546" t="s">
        <v>45541</v>
      </c>
      <c r="AG1546" t="s">
        <v>19330</v>
      </c>
      <c r="AH1546">
        <v>0</v>
      </c>
      <c r="AI1546">
        <v>2</v>
      </c>
      <c r="AJ1546">
        <v>0</v>
      </c>
      <c r="AK1546">
        <v>625.15</v>
      </c>
      <c r="AN1546" t="s">
        <v>7439</v>
      </c>
      <c r="AO1546">
        <v>102900</v>
      </c>
      <c r="AU1546">
        <v>0</v>
      </c>
      <c r="AW1546" t="s">
        <v>336</v>
      </c>
    </row>
    <row r="1547" spans="1:50">
      <c r="A1547" s="1">
        <f>HYPERLINK("https://lsnyc.legalserver.org/matter/dynamic-profile/view/1876264","18-1876264")</f>
        <v>0</v>
      </c>
      <c r="B1547" t="s">
        <v>82</v>
      </c>
      <c r="C1547" t="s">
        <v>340</v>
      </c>
      <c r="D1547" t="s">
        <v>493</v>
      </c>
      <c r="F1547" t="s">
        <v>1833</v>
      </c>
      <c r="G1547" t="s">
        <v>6015</v>
      </c>
      <c r="H1547" t="s">
        <v>10931</v>
      </c>
      <c r="I1547" t="s">
        <v>17331</v>
      </c>
      <c r="J1547" t="s">
        <v>18892</v>
      </c>
      <c r="K1547">
        <v>10461</v>
      </c>
      <c r="L1547" t="s">
        <v>18958</v>
      </c>
      <c r="M1547" t="s">
        <v>18958</v>
      </c>
      <c r="N1547" t="s">
        <v>20131</v>
      </c>
      <c r="O1547" t="s">
        <v>26523</v>
      </c>
      <c r="P1547" t="s">
        <v>26560</v>
      </c>
      <c r="R1547" t="s">
        <v>26577</v>
      </c>
      <c r="U1547" t="s">
        <v>26604</v>
      </c>
      <c r="V1547" t="s">
        <v>26610</v>
      </c>
      <c r="W1547" t="s">
        <v>593</v>
      </c>
      <c r="X1547">
        <v>1400</v>
      </c>
      <c r="Y1547" t="s">
        <v>26650</v>
      </c>
      <c r="Z1547" t="s">
        <v>26668</v>
      </c>
      <c r="AB1547" t="s">
        <v>28094</v>
      </c>
      <c r="AD1547" t="s">
        <v>38147</v>
      </c>
      <c r="AE1547">
        <v>0</v>
      </c>
      <c r="AF1547" t="s">
        <v>45547</v>
      </c>
      <c r="AG1547" t="s">
        <v>19330</v>
      </c>
      <c r="AH1547">
        <v>4</v>
      </c>
      <c r="AI1547">
        <v>4</v>
      </c>
      <c r="AJ1547">
        <v>1</v>
      </c>
      <c r="AK1547">
        <v>42.42</v>
      </c>
      <c r="AN1547" t="s">
        <v>45581</v>
      </c>
      <c r="AO1547">
        <v>12480</v>
      </c>
      <c r="AU1547">
        <v>5.25</v>
      </c>
      <c r="AV1547" t="s">
        <v>793</v>
      </c>
      <c r="AW1547" t="s">
        <v>46836</v>
      </c>
    </row>
    <row r="1548" spans="1:50">
      <c r="A1548" s="1">
        <f>HYPERLINK("https://lsnyc.legalserver.org/matter/dynamic-profile/view/1876336","18-1876336")</f>
        <v>0</v>
      </c>
      <c r="B1548" t="s">
        <v>59</v>
      </c>
      <c r="C1548" t="s">
        <v>340</v>
      </c>
      <c r="D1548" t="s">
        <v>493</v>
      </c>
      <c r="F1548" t="s">
        <v>1072</v>
      </c>
      <c r="G1548" t="s">
        <v>6016</v>
      </c>
      <c r="H1548" t="s">
        <v>10932</v>
      </c>
      <c r="I1548" t="s">
        <v>17316</v>
      </c>
      <c r="J1548" t="s">
        <v>18893</v>
      </c>
      <c r="K1548">
        <v>10027</v>
      </c>
      <c r="L1548" t="s">
        <v>18958</v>
      </c>
      <c r="M1548" t="s">
        <v>18958</v>
      </c>
      <c r="N1548" t="s">
        <v>20132</v>
      </c>
      <c r="O1548" t="s">
        <v>26523</v>
      </c>
      <c r="P1548" t="s">
        <v>26560</v>
      </c>
      <c r="R1548" t="s">
        <v>26580</v>
      </c>
      <c r="S1548" t="s">
        <v>18959</v>
      </c>
      <c r="U1548" t="s">
        <v>26604</v>
      </c>
      <c r="W1548" t="s">
        <v>593</v>
      </c>
      <c r="X1548">
        <v>288</v>
      </c>
      <c r="Y1548" t="s">
        <v>26651</v>
      </c>
      <c r="Z1548" t="s">
        <v>26664</v>
      </c>
      <c r="AB1548" t="s">
        <v>28095</v>
      </c>
      <c r="AD1548" t="s">
        <v>38148</v>
      </c>
      <c r="AE1548">
        <v>106</v>
      </c>
      <c r="AF1548" t="s">
        <v>45548</v>
      </c>
      <c r="AG1548" t="s">
        <v>45559</v>
      </c>
      <c r="AH1548">
        <v>72</v>
      </c>
      <c r="AI1548">
        <v>1</v>
      </c>
      <c r="AJ1548">
        <v>0</v>
      </c>
      <c r="AK1548">
        <v>84.70999999999999</v>
      </c>
      <c r="AO1548">
        <v>10284</v>
      </c>
      <c r="AU1548">
        <v>5.6</v>
      </c>
      <c r="AV1548" t="s">
        <v>644</v>
      </c>
      <c r="AW1548" t="s">
        <v>317</v>
      </c>
    </row>
    <row r="1549" spans="1:50">
      <c r="A1549" s="1">
        <f>HYPERLINK("https://lsnyc.legalserver.org/matter/dynamic-profile/view/1876456","18-1876456")</f>
        <v>0</v>
      </c>
      <c r="B1549" t="s">
        <v>100</v>
      </c>
      <c r="C1549" t="s">
        <v>340</v>
      </c>
      <c r="D1549" t="s">
        <v>523</v>
      </c>
      <c r="F1549" t="s">
        <v>1133</v>
      </c>
      <c r="G1549" t="s">
        <v>5147</v>
      </c>
      <c r="H1549" t="s">
        <v>10916</v>
      </c>
      <c r="I1549" t="s">
        <v>17290</v>
      </c>
      <c r="J1549" t="s">
        <v>18892</v>
      </c>
      <c r="K1549">
        <v>10456</v>
      </c>
      <c r="L1549" t="s">
        <v>18958</v>
      </c>
      <c r="M1549" t="s">
        <v>18958</v>
      </c>
      <c r="N1549" t="s">
        <v>20117</v>
      </c>
      <c r="O1549" t="s">
        <v>26534</v>
      </c>
      <c r="P1549" t="s">
        <v>26561</v>
      </c>
      <c r="R1549" t="s">
        <v>26578</v>
      </c>
      <c r="S1549" t="s">
        <v>18958</v>
      </c>
      <c r="U1549" t="s">
        <v>26604</v>
      </c>
      <c r="W1549" t="s">
        <v>593</v>
      </c>
      <c r="X1549">
        <v>1290</v>
      </c>
      <c r="Y1549" t="s">
        <v>26650</v>
      </c>
      <c r="Z1549" t="s">
        <v>26663</v>
      </c>
      <c r="AB1549" t="s">
        <v>28096</v>
      </c>
      <c r="AD1549" t="s">
        <v>38149</v>
      </c>
      <c r="AE1549">
        <v>61</v>
      </c>
      <c r="AF1549" t="s">
        <v>45541</v>
      </c>
      <c r="AG1549" t="s">
        <v>45556</v>
      </c>
      <c r="AH1549">
        <v>21</v>
      </c>
      <c r="AI1549">
        <v>1</v>
      </c>
      <c r="AJ1549">
        <v>1</v>
      </c>
      <c r="AK1549">
        <v>57.81</v>
      </c>
      <c r="AN1549" t="s">
        <v>45581</v>
      </c>
      <c r="AO1549">
        <v>9516</v>
      </c>
      <c r="AU1549">
        <v>0</v>
      </c>
      <c r="AW1549" t="s">
        <v>336</v>
      </c>
    </row>
    <row r="1550" spans="1:50">
      <c r="A1550" s="1">
        <f>HYPERLINK("https://lsnyc.legalserver.org/matter/dynamic-profile/view/1876453","18-1876453")</f>
        <v>0</v>
      </c>
      <c r="B1550" t="s">
        <v>100</v>
      </c>
      <c r="C1550" t="s">
        <v>340</v>
      </c>
      <c r="D1550" t="s">
        <v>523</v>
      </c>
      <c r="F1550" t="s">
        <v>1834</v>
      </c>
      <c r="G1550" t="s">
        <v>6017</v>
      </c>
      <c r="H1550" t="s">
        <v>10916</v>
      </c>
      <c r="I1550" t="s">
        <v>17273</v>
      </c>
      <c r="J1550" t="s">
        <v>18892</v>
      </c>
      <c r="K1550">
        <v>10456</v>
      </c>
      <c r="L1550" t="s">
        <v>18958</v>
      </c>
      <c r="M1550" t="s">
        <v>18958</v>
      </c>
      <c r="N1550" t="s">
        <v>20118</v>
      </c>
      <c r="O1550" t="s">
        <v>26534</v>
      </c>
      <c r="P1550" t="s">
        <v>26561</v>
      </c>
      <c r="R1550" t="s">
        <v>26578</v>
      </c>
      <c r="S1550" t="s">
        <v>18958</v>
      </c>
      <c r="U1550" t="s">
        <v>26604</v>
      </c>
      <c r="W1550" t="s">
        <v>593</v>
      </c>
      <c r="X1550">
        <v>1243.51</v>
      </c>
      <c r="Y1550" t="s">
        <v>26650</v>
      </c>
      <c r="Z1550" t="s">
        <v>26663</v>
      </c>
      <c r="AB1550" t="s">
        <v>28097</v>
      </c>
      <c r="AC1550" t="s">
        <v>34966</v>
      </c>
      <c r="AD1550" t="s">
        <v>38150</v>
      </c>
      <c r="AE1550">
        <v>61</v>
      </c>
      <c r="AF1550" t="s">
        <v>45541</v>
      </c>
      <c r="AG1550" t="s">
        <v>45556</v>
      </c>
      <c r="AH1550">
        <v>22</v>
      </c>
      <c r="AI1550">
        <v>1</v>
      </c>
      <c r="AJ1550">
        <v>0</v>
      </c>
      <c r="AK1550">
        <v>81.25</v>
      </c>
      <c r="AN1550" t="s">
        <v>7439</v>
      </c>
      <c r="AO1550">
        <v>9864</v>
      </c>
      <c r="AU1550">
        <v>14.3</v>
      </c>
      <c r="AV1550" t="s">
        <v>671</v>
      </c>
      <c r="AW1550" t="s">
        <v>336</v>
      </c>
    </row>
    <row r="1551" spans="1:50">
      <c r="A1551" s="1">
        <f>HYPERLINK("https://lsnyc.legalserver.org/matter/dynamic-profile/view/1876530","18-1876530")</f>
        <v>0</v>
      </c>
      <c r="B1551" t="s">
        <v>120</v>
      </c>
      <c r="C1551" t="s">
        <v>341</v>
      </c>
      <c r="D1551" t="s">
        <v>530</v>
      </c>
      <c r="E1551" t="s">
        <v>684</v>
      </c>
      <c r="F1551" t="s">
        <v>1835</v>
      </c>
      <c r="G1551" t="s">
        <v>6018</v>
      </c>
      <c r="H1551" t="s">
        <v>10933</v>
      </c>
      <c r="I1551">
        <v>1</v>
      </c>
      <c r="J1551" t="s">
        <v>18892</v>
      </c>
      <c r="K1551">
        <v>10453</v>
      </c>
      <c r="L1551" t="s">
        <v>18958</v>
      </c>
      <c r="M1551" t="s">
        <v>18958</v>
      </c>
      <c r="N1551" t="s">
        <v>20133</v>
      </c>
      <c r="O1551" t="s">
        <v>26524</v>
      </c>
      <c r="P1551" t="s">
        <v>26560</v>
      </c>
      <c r="Q1551" t="s">
        <v>26568</v>
      </c>
      <c r="R1551" t="s">
        <v>26577</v>
      </c>
      <c r="S1551" t="s">
        <v>18959</v>
      </c>
      <c r="T1551" t="s">
        <v>26577</v>
      </c>
      <c r="U1551" t="s">
        <v>26604</v>
      </c>
      <c r="V1551" t="s">
        <v>26610</v>
      </c>
      <c r="W1551" t="s">
        <v>593</v>
      </c>
      <c r="X1551">
        <v>1050</v>
      </c>
      <c r="Y1551" t="s">
        <v>26650</v>
      </c>
      <c r="Z1551" t="s">
        <v>26668</v>
      </c>
      <c r="AA1551" t="s">
        <v>26678</v>
      </c>
      <c r="AB1551" t="s">
        <v>28098</v>
      </c>
      <c r="AC1551" t="s">
        <v>34967</v>
      </c>
      <c r="AD1551" t="s">
        <v>38151</v>
      </c>
      <c r="AE1551">
        <v>20</v>
      </c>
      <c r="AF1551" t="s">
        <v>45541</v>
      </c>
      <c r="AG1551" t="s">
        <v>45557</v>
      </c>
      <c r="AH1551">
        <v>5</v>
      </c>
      <c r="AI1551">
        <v>1</v>
      </c>
      <c r="AJ1551">
        <v>2</v>
      </c>
      <c r="AK1551">
        <v>33.26</v>
      </c>
      <c r="AN1551" t="s">
        <v>45581</v>
      </c>
      <c r="AO1551">
        <v>6912</v>
      </c>
      <c r="AQ1551" t="s">
        <v>46361</v>
      </c>
      <c r="AR1551" t="s">
        <v>46380</v>
      </c>
      <c r="AS1551" t="s">
        <v>46499</v>
      </c>
      <c r="AT1551" t="s">
        <v>46624</v>
      </c>
      <c r="AU1551">
        <v>14.6</v>
      </c>
      <c r="AV1551" t="s">
        <v>670</v>
      </c>
      <c r="AW1551" t="s">
        <v>46847</v>
      </c>
    </row>
    <row r="1552" spans="1:50">
      <c r="A1552" s="1">
        <f>HYPERLINK("https://lsnyc.legalserver.org/matter/dynamic-profile/view/1875110","18-1875110")</f>
        <v>0</v>
      </c>
      <c r="B1552" t="s">
        <v>243</v>
      </c>
      <c r="C1552" t="s">
        <v>340</v>
      </c>
      <c r="D1552" t="s">
        <v>570</v>
      </c>
      <c r="F1552" t="s">
        <v>1836</v>
      </c>
      <c r="G1552" t="s">
        <v>5563</v>
      </c>
      <c r="H1552" t="s">
        <v>10934</v>
      </c>
      <c r="I1552" t="s">
        <v>17543</v>
      </c>
      <c r="J1552" t="s">
        <v>18894</v>
      </c>
      <c r="K1552">
        <v>11231</v>
      </c>
      <c r="L1552" t="s">
        <v>18958</v>
      </c>
      <c r="M1552" t="s">
        <v>18958</v>
      </c>
      <c r="O1552" t="s">
        <v>26523</v>
      </c>
      <c r="P1552" t="s">
        <v>26560</v>
      </c>
      <c r="R1552" t="s">
        <v>26578</v>
      </c>
      <c r="S1552" t="s">
        <v>18959</v>
      </c>
      <c r="U1552" t="s">
        <v>26604</v>
      </c>
      <c r="W1552" t="s">
        <v>593</v>
      </c>
      <c r="X1552">
        <v>0</v>
      </c>
      <c r="Y1552" t="s">
        <v>26652</v>
      </c>
      <c r="AB1552" t="s">
        <v>28099</v>
      </c>
      <c r="AC1552" t="s">
        <v>34968</v>
      </c>
      <c r="AD1552" t="s">
        <v>38152</v>
      </c>
      <c r="AE1552">
        <v>10</v>
      </c>
      <c r="AH1552">
        <v>0</v>
      </c>
      <c r="AI1552">
        <v>4</v>
      </c>
      <c r="AJ1552">
        <v>1</v>
      </c>
      <c r="AK1552">
        <v>0</v>
      </c>
      <c r="AN1552" t="s">
        <v>7439</v>
      </c>
      <c r="AO1552">
        <v>0</v>
      </c>
      <c r="AP1552" t="s">
        <v>45715</v>
      </c>
      <c r="AU1552">
        <v>27.8</v>
      </c>
      <c r="AV1552" t="s">
        <v>751</v>
      </c>
      <c r="AW1552" t="s">
        <v>198</v>
      </c>
    </row>
    <row r="1553" spans="1:50">
      <c r="A1553" s="1">
        <f>HYPERLINK("https://lsnyc.legalserver.org/matter/dynamic-profile/view/1876890","18-1876890")</f>
        <v>0</v>
      </c>
      <c r="B1553" t="s">
        <v>156</v>
      </c>
      <c r="C1553" t="s">
        <v>341</v>
      </c>
      <c r="D1553" t="s">
        <v>422</v>
      </c>
      <c r="E1553" t="s">
        <v>699</v>
      </c>
      <c r="F1553" t="s">
        <v>1228</v>
      </c>
      <c r="G1553" t="s">
        <v>5121</v>
      </c>
      <c r="H1553" t="s">
        <v>10935</v>
      </c>
      <c r="I1553" t="s">
        <v>17370</v>
      </c>
      <c r="J1553" t="s">
        <v>18893</v>
      </c>
      <c r="K1553">
        <v>10002</v>
      </c>
      <c r="L1553" t="s">
        <v>18958</v>
      </c>
      <c r="M1553" t="s">
        <v>18958</v>
      </c>
      <c r="N1553" t="s">
        <v>20134</v>
      </c>
      <c r="O1553" t="s">
        <v>26524</v>
      </c>
      <c r="P1553" t="s">
        <v>26564</v>
      </c>
      <c r="Q1553" t="s">
        <v>26570</v>
      </c>
      <c r="R1553" t="s">
        <v>26582</v>
      </c>
      <c r="S1553" t="s">
        <v>18959</v>
      </c>
      <c r="U1553" t="s">
        <v>26605</v>
      </c>
      <c r="W1553" t="s">
        <v>593</v>
      </c>
      <c r="X1553">
        <v>217</v>
      </c>
      <c r="Y1553" t="s">
        <v>26651</v>
      </c>
      <c r="Z1553" t="s">
        <v>26663</v>
      </c>
      <c r="AA1553" t="s">
        <v>26683</v>
      </c>
      <c r="AB1553" t="s">
        <v>28100</v>
      </c>
      <c r="AD1553" t="s">
        <v>38153</v>
      </c>
      <c r="AE1553">
        <v>610</v>
      </c>
      <c r="AF1553" t="s">
        <v>45542</v>
      </c>
      <c r="AH1553">
        <v>57</v>
      </c>
      <c r="AI1553">
        <v>1</v>
      </c>
      <c r="AJ1553">
        <v>0</v>
      </c>
      <c r="AK1553">
        <v>74.14</v>
      </c>
      <c r="AN1553" t="s">
        <v>7439</v>
      </c>
      <c r="AO1553">
        <v>9000</v>
      </c>
      <c r="AU1553">
        <v>0.75</v>
      </c>
      <c r="AV1553" t="s">
        <v>631</v>
      </c>
      <c r="AW1553" t="s">
        <v>46838</v>
      </c>
    </row>
    <row r="1554" spans="1:50">
      <c r="A1554" s="1">
        <f>HYPERLINK("https://lsnyc.legalserver.org/matter/dynamic-profile/view/1877816","18-1877816")</f>
        <v>0</v>
      </c>
      <c r="B1554" t="s">
        <v>171</v>
      </c>
      <c r="C1554" t="s">
        <v>341</v>
      </c>
      <c r="D1554" t="s">
        <v>571</v>
      </c>
      <c r="E1554" t="s">
        <v>678</v>
      </c>
      <c r="F1554" t="s">
        <v>1837</v>
      </c>
      <c r="G1554" t="s">
        <v>6019</v>
      </c>
      <c r="H1554" t="s">
        <v>10936</v>
      </c>
      <c r="I1554" t="s">
        <v>17348</v>
      </c>
      <c r="J1554" t="s">
        <v>18893</v>
      </c>
      <c r="K1554">
        <v>10065</v>
      </c>
      <c r="L1554" t="s">
        <v>18958</v>
      </c>
      <c r="M1554" t="s">
        <v>18958</v>
      </c>
      <c r="N1554" t="s">
        <v>20135</v>
      </c>
      <c r="O1554" t="s">
        <v>26526</v>
      </c>
      <c r="P1554" t="s">
        <v>26564</v>
      </c>
      <c r="Q1554" t="s">
        <v>26570</v>
      </c>
      <c r="R1554" t="s">
        <v>26582</v>
      </c>
      <c r="U1554" t="s">
        <v>26604</v>
      </c>
      <c r="W1554" t="s">
        <v>593</v>
      </c>
      <c r="X1554">
        <v>1950</v>
      </c>
      <c r="Y1554" t="s">
        <v>26651</v>
      </c>
      <c r="Z1554" t="s">
        <v>26659</v>
      </c>
      <c r="AA1554" t="s">
        <v>26683</v>
      </c>
      <c r="AB1554" t="s">
        <v>28101</v>
      </c>
      <c r="AD1554" t="s">
        <v>38154</v>
      </c>
      <c r="AE1554">
        <v>20</v>
      </c>
      <c r="AF1554" t="s">
        <v>45541</v>
      </c>
      <c r="AG1554" t="s">
        <v>19330</v>
      </c>
      <c r="AH1554">
        <v>5</v>
      </c>
      <c r="AI1554">
        <v>2</v>
      </c>
      <c r="AJ1554">
        <v>0</v>
      </c>
      <c r="AK1554">
        <v>0</v>
      </c>
      <c r="AN1554" t="s">
        <v>7439</v>
      </c>
      <c r="AO1554">
        <v>0</v>
      </c>
      <c r="AU1554">
        <v>1.2</v>
      </c>
      <c r="AV1554" t="s">
        <v>588</v>
      </c>
      <c r="AW1554" t="s">
        <v>314</v>
      </c>
    </row>
    <row r="1555" spans="1:50">
      <c r="A1555" s="1">
        <f>HYPERLINK("https://lsnyc.legalserver.org/matter/dynamic-profile/view/1877832","18-1877832")</f>
        <v>0</v>
      </c>
      <c r="B1555" t="s">
        <v>73</v>
      </c>
      <c r="C1555" t="s">
        <v>341</v>
      </c>
      <c r="D1555" t="s">
        <v>571</v>
      </c>
      <c r="E1555" t="s">
        <v>827</v>
      </c>
      <c r="F1555" t="s">
        <v>1838</v>
      </c>
      <c r="G1555" t="s">
        <v>6020</v>
      </c>
      <c r="H1555" t="s">
        <v>10578</v>
      </c>
      <c r="I1555" t="s">
        <v>17684</v>
      </c>
      <c r="J1555" t="s">
        <v>18894</v>
      </c>
      <c r="K1555">
        <v>11221</v>
      </c>
      <c r="L1555" t="s">
        <v>18958</v>
      </c>
      <c r="M1555" t="s">
        <v>18960</v>
      </c>
      <c r="O1555" t="s">
        <v>18997</v>
      </c>
      <c r="P1555" t="s">
        <v>26565</v>
      </c>
      <c r="Q1555" t="s">
        <v>26571</v>
      </c>
      <c r="R1555" t="s">
        <v>26583</v>
      </c>
      <c r="U1555" t="s">
        <v>26604</v>
      </c>
      <c r="W1555" t="s">
        <v>593</v>
      </c>
      <c r="X1555">
        <v>679.26</v>
      </c>
      <c r="Y1555" t="s">
        <v>26652</v>
      </c>
      <c r="Z1555" t="s">
        <v>26667</v>
      </c>
      <c r="AA1555" t="s">
        <v>26682</v>
      </c>
      <c r="AB1555" t="s">
        <v>28102</v>
      </c>
      <c r="AE1555">
        <v>54</v>
      </c>
      <c r="AG1555" t="s">
        <v>19330</v>
      </c>
      <c r="AH1555">
        <v>22</v>
      </c>
      <c r="AI1555">
        <v>2</v>
      </c>
      <c r="AJ1555">
        <v>0</v>
      </c>
      <c r="AK1555">
        <v>498.18</v>
      </c>
      <c r="AN1555" t="s">
        <v>7439</v>
      </c>
      <c r="AO1555">
        <v>82000</v>
      </c>
      <c r="AU1555">
        <v>0.1</v>
      </c>
      <c r="AV1555" t="s">
        <v>827</v>
      </c>
      <c r="AW1555" t="s">
        <v>279</v>
      </c>
      <c r="AX1555" t="s">
        <v>46897</v>
      </c>
    </row>
    <row r="1556" spans="1:50">
      <c r="A1556" s="1">
        <f>HYPERLINK("https://lsnyc.legalserver.org/matter/dynamic-profile/view/1878012","18-1878012")</f>
        <v>0</v>
      </c>
      <c r="B1556" t="s">
        <v>71</v>
      </c>
      <c r="C1556" t="s">
        <v>341</v>
      </c>
      <c r="D1556" t="s">
        <v>572</v>
      </c>
      <c r="E1556" t="s">
        <v>805</v>
      </c>
      <c r="F1556" t="s">
        <v>887</v>
      </c>
      <c r="G1556" t="s">
        <v>1725</v>
      </c>
      <c r="H1556" t="s">
        <v>10937</v>
      </c>
      <c r="I1556" t="s">
        <v>17322</v>
      </c>
      <c r="J1556" t="s">
        <v>18892</v>
      </c>
      <c r="K1556">
        <v>10468</v>
      </c>
      <c r="L1556" t="s">
        <v>18958</v>
      </c>
      <c r="M1556" t="s">
        <v>18958</v>
      </c>
      <c r="O1556" t="s">
        <v>26531</v>
      </c>
      <c r="P1556" t="s">
        <v>26562</v>
      </c>
      <c r="Q1556" t="s">
        <v>26571</v>
      </c>
      <c r="R1556" t="s">
        <v>26578</v>
      </c>
      <c r="S1556" t="s">
        <v>18959</v>
      </c>
      <c r="U1556" t="s">
        <v>26604</v>
      </c>
      <c r="W1556" t="s">
        <v>593</v>
      </c>
      <c r="X1556">
        <v>1495.76</v>
      </c>
      <c r="Y1556" t="s">
        <v>26650</v>
      </c>
      <c r="Z1556" t="s">
        <v>26530</v>
      </c>
      <c r="AA1556" t="s">
        <v>26681</v>
      </c>
      <c r="AB1556" t="s">
        <v>28051</v>
      </c>
      <c r="AD1556" t="s">
        <v>38100</v>
      </c>
      <c r="AE1556">
        <v>61</v>
      </c>
      <c r="AF1556" t="s">
        <v>45541</v>
      </c>
      <c r="AG1556" t="s">
        <v>19330</v>
      </c>
      <c r="AH1556">
        <v>11</v>
      </c>
      <c r="AI1556">
        <v>3</v>
      </c>
      <c r="AJ1556">
        <v>1</v>
      </c>
      <c r="AK1556">
        <v>129.08</v>
      </c>
      <c r="AN1556" t="s">
        <v>45581</v>
      </c>
      <c r="AO1556">
        <v>32400</v>
      </c>
      <c r="AU1556">
        <v>2.3</v>
      </c>
      <c r="AV1556" t="s">
        <v>805</v>
      </c>
      <c r="AW1556" t="s">
        <v>254</v>
      </c>
    </row>
    <row r="1557" spans="1:50">
      <c r="A1557" s="1">
        <f>HYPERLINK("https://lsnyc.legalserver.org/matter/dynamic-profile/view/1887906","19-1887906")</f>
        <v>0</v>
      </c>
      <c r="B1557" t="s">
        <v>88</v>
      </c>
      <c r="C1557" t="s">
        <v>340</v>
      </c>
      <c r="D1557" t="s">
        <v>573</v>
      </c>
      <c r="F1557" t="s">
        <v>1839</v>
      </c>
      <c r="G1557" t="s">
        <v>5115</v>
      </c>
      <c r="H1557" t="s">
        <v>10516</v>
      </c>
      <c r="I1557" t="s">
        <v>17316</v>
      </c>
      <c r="J1557" t="s">
        <v>18894</v>
      </c>
      <c r="K1557">
        <v>11213</v>
      </c>
      <c r="L1557" t="s">
        <v>18958</v>
      </c>
      <c r="M1557" t="s">
        <v>18958</v>
      </c>
      <c r="O1557" t="s">
        <v>26534</v>
      </c>
      <c r="P1557" t="s">
        <v>26561</v>
      </c>
      <c r="R1557" t="s">
        <v>26578</v>
      </c>
      <c r="S1557" t="s">
        <v>18958</v>
      </c>
      <c r="U1557" t="s">
        <v>26604</v>
      </c>
      <c r="W1557" t="s">
        <v>593</v>
      </c>
      <c r="X1557">
        <v>643.51</v>
      </c>
      <c r="Y1557" t="s">
        <v>26652</v>
      </c>
      <c r="Z1557" t="s">
        <v>26530</v>
      </c>
      <c r="AB1557" t="s">
        <v>28103</v>
      </c>
      <c r="AD1557" t="s">
        <v>38155</v>
      </c>
      <c r="AE1557">
        <v>19</v>
      </c>
      <c r="AF1557" t="s">
        <v>45541</v>
      </c>
      <c r="AG1557" t="s">
        <v>19330</v>
      </c>
      <c r="AH1557">
        <v>7</v>
      </c>
      <c r="AI1557">
        <v>2</v>
      </c>
      <c r="AJ1557">
        <v>2</v>
      </c>
      <c r="AK1557">
        <v>4.06</v>
      </c>
      <c r="AN1557" t="s">
        <v>7439</v>
      </c>
      <c r="AO1557">
        <v>1020</v>
      </c>
      <c r="AU1557">
        <v>0</v>
      </c>
      <c r="AW1557" t="s">
        <v>286</v>
      </c>
    </row>
    <row r="1558" spans="1:50">
      <c r="A1558" s="1">
        <f>HYPERLINK("https://lsnyc.legalserver.org/matter/dynamic-profile/view/1892003","19-1892003")</f>
        <v>0</v>
      </c>
      <c r="B1558" t="s">
        <v>73</v>
      </c>
      <c r="C1558" t="s">
        <v>341</v>
      </c>
      <c r="D1558" t="s">
        <v>574</v>
      </c>
      <c r="E1558" t="s">
        <v>794</v>
      </c>
      <c r="F1558" t="s">
        <v>1840</v>
      </c>
      <c r="G1558" t="s">
        <v>3283</v>
      </c>
      <c r="H1558" t="s">
        <v>9779</v>
      </c>
      <c r="I1558">
        <v>7</v>
      </c>
      <c r="J1558" t="s">
        <v>18894</v>
      </c>
      <c r="K1558">
        <v>11208</v>
      </c>
      <c r="L1558" t="s">
        <v>18958</v>
      </c>
      <c r="M1558" t="s">
        <v>18958</v>
      </c>
      <c r="N1558" t="s">
        <v>20136</v>
      </c>
      <c r="O1558" t="s">
        <v>26526</v>
      </c>
      <c r="P1558" t="s">
        <v>26560</v>
      </c>
      <c r="Q1558" t="s">
        <v>26568</v>
      </c>
      <c r="R1558" t="s">
        <v>26578</v>
      </c>
      <c r="S1558" t="s">
        <v>18958</v>
      </c>
      <c r="U1558" t="s">
        <v>26604</v>
      </c>
      <c r="V1558" t="s">
        <v>26610</v>
      </c>
      <c r="W1558" t="s">
        <v>593</v>
      </c>
      <c r="X1558">
        <v>600</v>
      </c>
      <c r="Y1558" t="s">
        <v>26652</v>
      </c>
      <c r="Z1558" t="s">
        <v>26659</v>
      </c>
      <c r="AA1558" t="s">
        <v>26683</v>
      </c>
      <c r="AB1558" t="s">
        <v>28104</v>
      </c>
      <c r="AD1558" t="s">
        <v>38156</v>
      </c>
      <c r="AE1558">
        <v>7</v>
      </c>
      <c r="AF1558" t="s">
        <v>45547</v>
      </c>
      <c r="AG1558" t="s">
        <v>19330</v>
      </c>
      <c r="AH1558">
        <v>2</v>
      </c>
      <c r="AI1558">
        <v>1</v>
      </c>
      <c r="AJ1558">
        <v>0</v>
      </c>
      <c r="AK1558">
        <v>0</v>
      </c>
      <c r="AN1558" t="s">
        <v>7439</v>
      </c>
      <c r="AO1558">
        <v>0</v>
      </c>
      <c r="AP1558" t="s">
        <v>45716</v>
      </c>
      <c r="AR1558" t="s">
        <v>46445</v>
      </c>
      <c r="AU1558">
        <v>0.1</v>
      </c>
      <c r="AV1558" t="s">
        <v>794</v>
      </c>
      <c r="AW1558" t="s">
        <v>279</v>
      </c>
    </row>
    <row r="1559" spans="1:50">
      <c r="A1559" s="1">
        <f>HYPERLINK("https://lsnyc.legalserver.org/matter/dynamic-profile/view/1891985","19-1891985")</f>
        <v>0</v>
      </c>
      <c r="B1559" t="s">
        <v>73</v>
      </c>
      <c r="C1559" t="s">
        <v>341</v>
      </c>
      <c r="D1559" t="s">
        <v>574</v>
      </c>
      <c r="E1559" t="s">
        <v>794</v>
      </c>
      <c r="F1559" t="s">
        <v>1300</v>
      </c>
      <c r="G1559" t="s">
        <v>5385</v>
      </c>
      <c r="H1559" t="s">
        <v>9779</v>
      </c>
      <c r="I1559">
        <v>1</v>
      </c>
      <c r="J1559" t="s">
        <v>18894</v>
      </c>
      <c r="K1559">
        <v>11208</v>
      </c>
      <c r="L1559" t="s">
        <v>18958</v>
      </c>
      <c r="M1559" t="s">
        <v>18958</v>
      </c>
      <c r="N1559" t="s">
        <v>20136</v>
      </c>
      <c r="O1559" t="s">
        <v>26526</v>
      </c>
      <c r="P1559" t="s">
        <v>26560</v>
      </c>
      <c r="Q1559" t="s">
        <v>26568</v>
      </c>
      <c r="R1559" t="s">
        <v>26578</v>
      </c>
      <c r="S1559" t="s">
        <v>18958</v>
      </c>
      <c r="U1559" t="s">
        <v>26604</v>
      </c>
      <c r="V1559" t="s">
        <v>26610</v>
      </c>
      <c r="W1559" t="s">
        <v>593</v>
      </c>
      <c r="X1559">
        <v>450</v>
      </c>
      <c r="Y1559" t="s">
        <v>26652</v>
      </c>
      <c r="AA1559" t="s">
        <v>26683</v>
      </c>
      <c r="AB1559" t="s">
        <v>28105</v>
      </c>
      <c r="AE1559">
        <v>7</v>
      </c>
      <c r="AF1559" t="s">
        <v>20460</v>
      </c>
      <c r="AG1559" t="s">
        <v>19330</v>
      </c>
      <c r="AH1559">
        <v>5</v>
      </c>
      <c r="AI1559">
        <v>2</v>
      </c>
      <c r="AJ1559">
        <v>0</v>
      </c>
      <c r="AK1559">
        <v>58.19</v>
      </c>
      <c r="AN1559" t="s">
        <v>45581</v>
      </c>
      <c r="AO1559">
        <v>9840</v>
      </c>
      <c r="AP1559" t="s">
        <v>45717</v>
      </c>
      <c r="AR1559" t="s">
        <v>46445</v>
      </c>
      <c r="AU1559">
        <v>0.1</v>
      </c>
      <c r="AV1559" t="s">
        <v>794</v>
      </c>
      <c r="AW1559" t="s">
        <v>279</v>
      </c>
    </row>
    <row r="1560" spans="1:50">
      <c r="A1560" s="1">
        <f>HYPERLINK("https://lsnyc.legalserver.org/matter/dynamic-profile/view/1891980","19-1891980")</f>
        <v>0</v>
      </c>
      <c r="B1560" t="s">
        <v>73</v>
      </c>
      <c r="C1560" t="s">
        <v>341</v>
      </c>
      <c r="D1560" t="s">
        <v>574</v>
      </c>
      <c r="E1560" t="s">
        <v>794</v>
      </c>
      <c r="F1560" t="s">
        <v>1420</v>
      </c>
      <c r="G1560" t="s">
        <v>2564</v>
      </c>
      <c r="H1560" t="s">
        <v>9779</v>
      </c>
      <c r="I1560">
        <v>2</v>
      </c>
      <c r="J1560" t="s">
        <v>18894</v>
      </c>
      <c r="K1560">
        <v>11208</v>
      </c>
      <c r="L1560" t="s">
        <v>18958</v>
      </c>
      <c r="M1560" t="s">
        <v>18958</v>
      </c>
      <c r="N1560" t="s">
        <v>20136</v>
      </c>
      <c r="O1560" t="s">
        <v>26526</v>
      </c>
      <c r="P1560" t="s">
        <v>26560</v>
      </c>
      <c r="Q1560" t="s">
        <v>26568</v>
      </c>
      <c r="R1560" t="s">
        <v>26578</v>
      </c>
      <c r="S1560" t="s">
        <v>18958</v>
      </c>
      <c r="U1560" t="s">
        <v>26604</v>
      </c>
      <c r="V1560" t="s">
        <v>26610</v>
      </c>
      <c r="W1560" t="s">
        <v>593</v>
      </c>
      <c r="X1560">
        <v>900</v>
      </c>
      <c r="Y1560" t="s">
        <v>26652</v>
      </c>
      <c r="Z1560" t="s">
        <v>26659</v>
      </c>
      <c r="AA1560" t="s">
        <v>26683</v>
      </c>
      <c r="AB1560" t="s">
        <v>27419</v>
      </c>
      <c r="AE1560">
        <v>7</v>
      </c>
      <c r="AF1560" t="s">
        <v>20460</v>
      </c>
      <c r="AG1560" t="s">
        <v>19330</v>
      </c>
      <c r="AH1560">
        <v>0</v>
      </c>
      <c r="AI1560">
        <v>2</v>
      </c>
      <c r="AJ1560">
        <v>3</v>
      </c>
      <c r="AK1560">
        <v>59.66</v>
      </c>
      <c r="AN1560" t="s">
        <v>45581</v>
      </c>
      <c r="AO1560">
        <v>18000</v>
      </c>
      <c r="AP1560" t="s">
        <v>45718</v>
      </c>
      <c r="AR1560" t="s">
        <v>46445</v>
      </c>
      <c r="AU1560">
        <v>0.1</v>
      </c>
      <c r="AV1560" t="s">
        <v>794</v>
      </c>
      <c r="AW1560" t="s">
        <v>279</v>
      </c>
    </row>
    <row r="1561" spans="1:50">
      <c r="A1561" s="1">
        <f>HYPERLINK("https://lsnyc.legalserver.org/matter/dynamic-profile/view/1891998","19-1891998")</f>
        <v>0</v>
      </c>
      <c r="B1561" t="s">
        <v>73</v>
      </c>
      <c r="C1561" t="s">
        <v>341</v>
      </c>
      <c r="D1561" t="s">
        <v>574</v>
      </c>
      <c r="E1561" t="s">
        <v>781</v>
      </c>
      <c r="F1561" t="s">
        <v>887</v>
      </c>
      <c r="G1561" t="s">
        <v>6021</v>
      </c>
      <c r="H1561" t="s">
        <v>9779</v>
      </c>
      <c r="I1561" t="s">
        <v>17685</v>
      </c>
      <c r="J1561" t="s">
        <v>18894</v>
      </c>
      <c r="K1561">
        <v>11208</v>
      </c>
      <c r="L1561" t="s">
        <v>18958</v>
      </c>
      <c r="M1561" t="s">
        <v>18958</v>
      </c>
      <c r="N1561" t="s">
        <v>20136</v>
      </c>
      <c r="O1561" t="s">
        <v>26526</v>
      </c>
      <c r="P1561" t="s">
        <v>26560</v>
      </c>
      <c r="Q1561" t="s">
        <v>26568</v>
      </c>
      <c r="R1561" t="s">
        <v>26578</v>
      </c>
      <c r="S1561" t="s">
        <v>18958</v>
      </c>
      <c r="U1561" t="s">
        <v>26604</v>
      </c>
      <c r="V1561" t="s">
        <v>26610</v>
      </c>
      <c r="W1561" t="s">
        <v>593</v>
      </c>
      <c r="X1561">
        <v>300</v>
      </c>
      <c r="Y1561" t="s">
        <v>26652</v>
      </c>
      <c r="Z1561" t="s">
        <v>26659</v>
      </c>
      <c r="AA1561" t="s">
        <v>26683</v>
      </c>
      <c r="AB1561" t="s">
        <v>28106</v>
      </c>
      <c r="AD1561" t="s">
        <v>38157</v>
      </c>
      <c r="AE1561">
        <v>7</v>
      </c>
      <c r="AF1561" t="s">
        <v>45547</v>
      </c>
      <c r="AG1561" t="s">
        <v>19330</v>
      </c>
      <c r="AH1561">
        <v>3</v>
      </c>
      <c r="AI1561">
        <v>1</v>
      </c>
      <c r="AJ1561">
        <v>0</v>
      </c>
      <c r="AK1561">
        <v>76.86</v>
      </c>
      <c r="AN1561" t="s">
        <v>45581</v>
      </c>
      <c r="AO1561">
        <v>9600</v>
      </c>
      <c r="AP1561" t="s">
        <v>45719</v>
      </c>
      <c r="AR1561" t="s">
        <v>46396</v>
      </c>
      <c r="AU1561">
        <v>0.1</v>
      </c>
      <c r="AV1561" t="s">
        <v>781</v>
      </c>
      <c r="AW1561" t="s">
        <v>279</v>
      </c>
    </row>
    <row r="1562" spans="1:50">
      <c r="A1562" s="1">
        <f>HYPERLINK("https://lsnyc.legalserver.org/matter/dynamic-profile/view/1891990","19-1891990")</f>
        <v>0</v>
      </c>
      <c r="B1562" t="s">
        <v>73</v>
      </c>
      <c r="C1562" t="s">
        <v>341</v>
      </c>
      <c r="D1562" t="s">
        <v>574</v>
      </c>
      <c r="E1562" t="s">
        <v>781</v>
      </c>
      <c r="F1562" t="s">
        <v>1015</v>
      </c>
      <c r="G1562" t="s">
        <v>5200</v>
      </c>
      <c r="H1562" t="s">
        <v>9779</v>
      </c>
      <c r="J1562" t="s">
        <v>18894</v>
      </c>
      <c r="K1562">
        <v>11208</v>
      </c>
      <c r="L1562" t="s">
        <v>18958</v>
      </c>
      <c r="M1562" t="s">
        <v>18958</v>
      </c>
      <c r="N1562" t="s">
        <v>20136</v>
      </c>
      <c r="O1562" t="s">
        <v>26526</v>
      </c>
      <c r="P1562" t="s">
        <v>26560</v>
      </c>
      <c r="Q1562" t="s">
        <v>26568</v>
      </c>
      <c r="R1562" t="s">
        <v>26578</v>
      </c>
      <c r="S1562" t="s">
        <v>18958</v>
      </c>
      <c r="U1562" t="s">
        <v>26604</v>
      </c>
      <c r="V1562" t="s">
        <v>26610</v>
      </c>
      <c r="W1562" t="s">
        <v>593</v>
      </c>
      <c r="X1562">
        <v>320</v>
      </c>
      <c r="Y1562" t="s">
        <v>26652</v>
      </c>
      <c r="Z1562" t="s">
        <v>26659</v>
      </c>
      <c r="AA1562" t="s">
        <v>26683</v>
      </c>
      <c r="AB1562" t="s">
        <v>26862</v>
      </c>
      <c r="AD1562" t="s">
        <v>36959</v>
      </c>
      <c r="AE1562">
        <v>7</v>
      </c>
      <c r="AF1562" t="s">
        <v>45547</v>
      </c>
      <c r="AH1562">
        <v>4</v>
      </c>
      <c r="AI1562">
        <v>1</v>
      </c>
      <c r="AJ1562">
        <v>0</v>
      </c>
      <c r="AK1562">
        <v>78.01000000000001</v>
      </c>
      <c r="AN1562" t="s">
        <v>45587</v>
      </c>
      <c r="AO1562">
        <v>9744</v>
      </c>
      <c r="AP1562" t="s">
        <v>45720</v>
      </c>
      <c r="AR1562" t="s">
        <v>46445</v>
      </c>
      <c r="AU1562">
        <v>0.1</v>
      </c>
      <c r="AV1562" t="s">
        <v>781</v>
      </c>
      <c r="AW1562" t="s">
        <v>279</v>
      </c>
    </row>
    <row r="1563" spans="1:50">
      <c r="A1563" s="1">
        <f>HYPERLINK("https://lsnyc.legalserver.org/matter/dynamic-profile/view/1879305","18-1879305")</f>
        <v>0</v>
      </c>
      <c r="B1563" t="s">
        <v>167</v>
      </c>
      <c r="C1563" t="s">
        <v>340</v>
      </c>
      <c r="D1563" t="s">
        <v>575</v>
      </c>
      <c r="F1563" t="s">
        <v>1841</v>
      </c>
      <c r="G1563" t="s">
        <v>6022</v>
      </c>
      <c r="H1563" t="s">
        <v>10938</v>
      </c>
      <c r="I1563" t="s">
        <v>17293</v>
      </c>
      <c r="J1563" t="s">
        <v>18894</v>
      </c>
      <c r="K1563">
        <v>11225</v>
      </c>
      <c r="L1563" t="s">
        <v>18958</v>
      </c>
      <c r="M1563" t="s">
        <v>18960</v>
      </c>
      <c r="N1563" t="s">
        <v>20137</v>
      </c>
      <c r="O1563" t="s">
        <v>26523</v>
      </c>
      <c r="P1563" t="s">
        <v>26560</v>
      </c>
      <c r="R1563" t="s">
        <v>26588</v>
      </c>
      <c r="U1563" t="s">
        <v>26604</v>
      </c>
      <c r="W1563" t="s">
        <v>26626</v>
      </c>
      <c r="X1563">
        <v>1813</v>
      </c>
      <c r="Y1563" t="s">
        <v>26652</v>
      </c>
      <c r="Z1563" t="s">
        <v>26669</v>
      </c>
      <c r="AB1563" t="s">
        <v>28107</v>
      </c>
      <c r="AD1563" t="s">
        <v>38158</v>
      </c>
      <c r="AE1563">
        <v>103</v>
      </c>
      <c r="AF1563" t="s">
        <v>45541</v>
      </c>
      <c r="AH1563">
        <v>42</v>
      </c>
      <c r="AI1563">
        <v>2</v>
      </c>
      <c r="AJ1563">
        <v>0</v>
      </c>
      <c r="AK1563">
        <v>60.75</v>
      </c>
      <c r="AN1563" t="s">
        <v>7439</v>
      </c>
      <c r="AO1563">
        <v>10000</v>
      </c>
      <c r="AU1563">
        <v>13.3</v>
      </c>
      <c r="AV1563" t="s">
        <v>800</v>
      </c>
      <c r="AW1563" t="s">
        <v>46856</v>
      </c>
    </row>
    <row r="1564" spans="1:50">
      <c r="A1564" s="1">
        <f>HYPERLINK("https://lsnyc.legalserver.org/matter/dynamic-profile/view/1877277","18-1877277")</f>
        <v>0</v>
      </c>
      <c r="B1564" t="s">
        <v>73</v>
      </c>
      <c r="C1564" t="s">
        <v>341</v>
      </c>
      <c r="D1564" t="s">
        <v>576</v>
      </c>
      <c r="E1564" t="s">
        <v>827</v>
      </c>
      <c r="F1564" t="s">
        <v>1842</v>
      </c>
      <c r="G1564" t="s">
        <v>5147</v>
      </c>
      <c r="H1564" t="s">
        <v>10578</v>
      </c>
      <c r="I1564" t="s">
        <v>17686</v>
      </c>
      <c r="J1564" t="s">
        <v>18894</v>
      </c>
      <c r="K1564">
        <v>11221</v>
      </c>
      <c r="L1564" t="s">
        <v>18958</v>
      </c>
      <c r="M1564" t="s">
        <v>18960</v>
      </c>
      <c r="O1564" t="s">
        <v>18997</v>
      </c>
      <c r="P1564" t="s">
        <v>26562</v>
      </c>
      <c r="Q1564" t="s">
        <v>26571</v>
      </c>
      <c r="R1564" t="s">
        <v>26578</v>
      </c>
      <c r="U1564" t="s">
        <v>26604</v>
      </c>
      <c r="W1564" t="s">
        <v>570</v>
      </c>
      <c r="X1564">
        <v>378</v>
      </c>
      <c r="Y1564" t="s">
        <v>26652</v>
      </c>
      <c r="AA1564" t="s">
        <v>26682</v>
      </c>
      <c r="AB1564" t="s">
        <v>28108</v>
      </c>
      <c r="AE1564">
        <v>54</v>
      </c>
      <c r="AF1564" t="s">
        <v>45541</v>
      </c>
      <c r="AH1564">
        <v>21</v>
      </c>
      <c r="AI1564">
        <v>2</v>
      </c>
      <c r="AJ1564">
        <v>0</v>
      </c>
      <c r="AK1564">
        <v>39.37</v>
      </c>
      <c r="AN1564" t="s">
        <v>7439</v>
      </c>
      <c r="AO1564">
        <v>6480</v>
      </c>
      <c r="AU1564">
        <v>0.1</v>
      </c>
      <c r="AV1564" t="s">
        <v>573</v>
      </c>
      <c r="AW1564" t="s">
        <v>279</v>
      </c>
      <c r="AX1564" t="s">
        <v>46897</v>
      </c>
    </row>
    <row r="1565" spans="1:50">
      <c r="A1565" s="1">
        <f>HYPERLINK("https://lsnyc.legalserver.org/matter/dynamic-profile/view/1875176","18-1875176")</f>
        <v>0</v>
      </c>
      <c r="B1565" t="s">
        <v>111</v>
      </c>
      <c r="C1565" t="s">
        <v>341</v>
      </c>
      <c r="D1565" t="s">
        <v>515</v>
      </c>
      <c r="E1565" t="s">
        <v>850</v>
      </c>
      <c r="F1565" t="s">
        <v>868</v>
      </c>
      <c r="G1565" t="s">
        <v>6023</v>
      </c>
      <c r="H1565" t="s">
        <v>10939</v>
      </c>
      <c r="J1565" t="s">
        <v>18898</v>
      </c>
      <c r="K1565">
        <v>11691</v>
      </c>
      <c r="L1565" t="s">
        <v>18958</v>
      </c>
      <c r="M1565" t="s">
        <v>18958</v>
      </c>
      <c r="N1565" t="s">
        <v>20138</v>
      </c>
      <c r="O1565" t="s">
        <v>26524</v>
      </c>
      <c r="P1565" t="s">
        <v>26564</v>
      </c>
      <c r="Q1565" t="s">
        <v>26570</v>
      </c>
      <c r="R1565" t="s">
        <v>26578</v>
      </c>
      <c r="S1565" t="s">
        <v>18959</v>
      </c>
      <c r="U1565" t="s">
        <v>26604</v>
      </c>
      <c r="V1565" t="s">
        <v>26610</v>
      </c>
      <c r="W1565" t="s">
        <v>531</v>
      </c>
      <c r="X1565">
        <v>0</v>
      </c>
      <c r="Y1565" t="s">
        <v>26653</v>
      </c>
      <c r="Z1565" t="s">
        <v>26655</v>
      </c>
      <c r="AA1565" t="s">
        <v>26683</v>
      </c>
      <c r="AB1565" t="s">
        <v>28109</v>
      </c>
      <c r="AC1565" t="s">
        <v>19330</v>
      </c>
      <c r="AD1565" t="s">
        <v>38159</v>
      </c>
      <c r="AE1565">
        <v>2</v>
      </c>
      <c r="AF1565" t="s">
        <v>45547</v>
      </c>
      <c r="AG1565" t="s">
        <v>19330</v>
      </c>
      <c r="AH1565">
        <v>20</v>
      </c>
      <c r="AI1565">
        <v>1</v>
      </c>
      <c r="AJ1565">
        <v>0</v>
      </c>
      <c r="AK1565">
        <v>82.37</v>
      </c>
      <c r="AN1565" t="s">
        <v>7439</v>
      </c>
      <c r="AO1565">
        <v>10000</v>
      </c>
      <c r="AU1565">
        <v>2.05</v>
      </c>
      <c r="AV1565" t="s">
        <v>784</v>
      </c>
      <c r="AW1565" t="s">
        <v>46842</v>
      </c>
    </row>
    <row r="1566" spans="1:50">
      <c r="A1566" s="1">
        <f>HYPERLINK("https://lsnyc.legalserver.org/matter/dynamic-profile/view/1875961","18-1875961")</f>
        <v>0</v>
      </c>
      <c r="B1566" t="s">
        <v>143</v>
      </c>
      <c r="C1566" t="s">
        <v>341</v>
      </c>
      <c r="D1566" t="s">
        <v>511</v>
      </c>
      <c r="E1566" t="s">
        <v>755</v>
      </c>
      <c r="F1566" t="s">
        <v>1767</v>
      </c>
      <c r="G1566" t="s">
        <v>6024</v>
      </c>
      <c r="H1566" t="s">
        <v>10940</v>
      </c>
      <c r="I1566" t="s">
        <v>17351</v>
      </c>
      <c r="J1566" t="s">
        <v>18892</v>
      </c>
      <c r="K1566">
        <v>10467</v>
      </c>
      <c r="L1566" t="s">
        <v>18958</v>
      </c>
      <c r="M1566" t="s">
        <v>18958</v>
      </c>
      <c r="N1566" t="s">
        <v>20139</v>
      </c>
      <c r="O1566" t="s">
        <v>26523</v>
      </c>
      <c r="P1566" t="s">
        <v>26560</v>
      </c>
      <c r="Q1566" t="s">
        <v>26568</v>
      </c>
      <c r="R1566" t="s">
        <v>26579</v>
      </c>
      <c r="S1566" t="s">
        <v>18959</v>
      </c>
      <c r="U1566" t="s">
        <v>26604</v>
      </c>
      <c r="V1566" t="s">
        <v>26610</v>
      </c>
      <c r="W1566" t="s">
        <v>531</v>
      </c>
      <c r="X1566">
        <v>1515</v>
      </c>
      <c r="Y1566" t="s">
        <v>26650</v>
      </c>
      <c r="Z1566" t="s">
        <v>26664</v>
      </c>
      <c r="AA1566" t="s">
        <v>26681</v>
      </c>
      <c r="AB1566" t="s">
        <v>28110</v>
      </c>
      <c r="AC1566" t="s">
        <v>34969</v>
      </c>
      <c r="AD1566" t="s">
        <v>38160</v>
      </c>
      <c r="AE1566">
        <v>2</v>
      </c>
      <c r="AF1566" t="s">
        <v>45547</v>
      </c>
      <c r="AG1566" t="s">
        <v>45558</v>
      </c>
      <c r="AH1566">
        <v>1</v>
      </c>
      <c r="AI1566">
        <v>1</v>
      </c>
      <c r="AJ1566">
        <v>1</v>
      </c>
      <c r="AK1566">
        <v>63.18</v>
      </c>
      <c r="AN1566" t="s">
        <v>7439</v>
      </c>
      <c r="AO1566">
        <v>10400</v>
      </c>
      <c r="AQ1566" t="s">
        <v>46362</v>
      </c>
      <c r="AR1566" t="s">
        <v>46379</v>
      </c>
      <c r="AS1566" t="s">
        <v>46500</v>
      </c>
      <c r="AT1566" t="s">
        <v>46624</v>
      </c>
      <c r="AU1566">
        <v>22.1</v>
      </c>
      <c r="AV1566" t="s">
        <v>687</v>
      </c>
      <c r="AW1566" t="s">
        <v>334</v>
      </c>
    </row>
    <row r="1567" spans="1:50">
      <c r="A1567" s="1">
        <f>HYPERLINK("https://lsnyc.legalserver.org/matter/dynamic-profile/view/1876029","18-1876029")</f>
        <v>0</v>
      </c>
      <c r="B1567" t="s">
        <v>131</v>
      </c>
      <c r="C1567" t="s">
        <v>341</v>
      </c>
      <c r="D1567" t="s">
        <v>512</v>
      </c>
      <c r="E1567" t="s">
        <v>731</v>
      </c>
      <c r="F1567" t="s">
        <v>1046</v>
      </c>
      <c r="G1567" t="s">
        <v>6025</v>
      </c>
      <c r="H1567" t="s">
        <v>10941</v>
      </c>
      <c r="I1567">
        <v>1</v>
      </c>
      <c r="J1567" t="s">
        <v>18902</v>
      </c>
      <c r="K1567">
        <v>10303</v>
      </c>
      <c r="L1567" t="s">
        <v>18959</v>
      </c>
      <c r="M1567" t="s">
        <v>18958</v>
      </c>
      <c r="N1567" t="s">
        <v>20140</v>
      </c>
      <c r="O1567" t="s">
        <v>26524</v>
      </c>
      <c r="P1567" t="s">
        <v>26560</v>
      </c>
      <c r="Q1567" t="s">
        <v>26568</v>
      </c>
      <c r="R1567" t="s">
        <v>26590</v>
      </c>
      <c r="S1567" t="s">
        <v>18959</v>
      </c>
      <c r="U1567" t="s">
        <v>26604</v>
      </c>
      <c r="V1567" t="s">
        <v>26610</v>
      </c>
      <c r="W1567" t="s">
        <v>531</v>
      </c>
      <c r="X1567">
        <v>1500</v>
      </c>
      <c r="Y1567" t="s">
        <v>26654</v>
      </c>
      <c r="Z1567" t="s">
        <v>26668</v>
      </c>
      <c r="AA1567" t="s">
        <v>26679</v>
      </c>
      <c r="AB1567" t="s">
        <v>26870</v>
      </c>
      <c r="AC1567" t="s">
        <v>34970</v>
      </c>
      <c r="AD1567" t="s">
        <v>38161</v>
      </c>
      <c r="AE1567">
        <v>2</v>
      </c>
      <c r="AF1567" t="s">
        <v>45547</v>
      </c>
      <c r="AG1567" t="s">
        <v>19330</v>
      </c>
      <c r="AH1567">
        <v>2</v>
      </c>
      <c r="AI1567">
        <v>2</v>
      </c>
      <c r="AJ1567">
        <v>0</v>
      </c>
      <c r="AK1567">
        <v>12.95</v>
      </c>
      <c r="AN1567" t="s">
        <v>7439</v>
      </c>
      <c r="AO1567">
        <v>2132</v>
      </c>
      <c r="AQ1567" t="s">
        <v>46362</v>
      </c>
      <c r="AR1567" t="s">
        <v>46384</v>
      </c>
      <c r="AU1567">
        <v>12.85</v>
      </c>
      <c r="AV1567" t="s">
        <v>731</v>
      </c>
      <c r="AW1567" t="s">
        <v>190</v>
      </c>
    </row>
    <row r="1568" spans="1:50">
      <c r="A1568" s="1">
        <f>HYPERLINK("https://lsnyc.legalserver.org/matter/dynamic-profile/view/1876159","18-1876159")</f>
        <v>0</v>
      </c>
      <c r="B1568" t="s">
        <v>53</v>
      </c>
      <c r="C1568" t="s">
        <v>341</v>
      </c>
      <c r="D1568" t="s">
        <v>522</v>
      </c>
      <c r="E1568" t="s">
        <v>684</v>
      </c>
      <c r="F1568" t="s">
        <v>878</v>
      </c>
      <c r="G1568" t="s">
        <v>6026</v>
      </c>
      <c r="H1568" t="s">
        <v>10942</v>
      </c>
      <c r="I1568" t="s">
        <v>17687</v>
      </c>
      <c r="J1568" t="s">
        <v>18892</v>
      </c>
      <c r="K1568">
        <v>10468</v>
      </c>
      <c r="L1568" t="s">
        <v>18958</v>
      </c>
      <c r="M1568" t="s">
        <v>18958</v>
      </c>
      <c r="N1568" t="s">
        <v>20141</v>
      </c>
      <c r="O1568" t="s">
        <v>26524</v>
      </c>
      <c r="P1568" t="s">
        <v>26560</v>
      </c>
      <c r="Q1568" t="s">
        <v>26568</v>
      </c>
      <c r="R1568" t="s">
        <v>26579</v>
      </c>
      <c r="S1568" t="s">
        <v>18959</v>
      </c>
      <c r="U1568" t="s">
        <v>26604</v>
      </c>
      <c r="V1568" t="s">
        <v>26613</v>
      </c>
      <c r="W1568" t="s">
        <v>531</v>
      </c>
      <c r="X1568">
        <v>836.41</v>
      </c>
      <c r="Y1568" t="s">
        <v>26650</v>
      </c>
      <c r="Z1568" t="s">
        <v>26673</v>
      </c>
      <c r="AA1568" t="s">
        <v>26678</v>
      </c>
      <c r="AB1568" t="s">
        <v>26777</v>
      </c>
      <c r="AD1568" t="s">
        <v>38162</v>
      </c>
      <c r="AE1568">
        <v>40</v>
      </c>
      <c r="AF1568" t="s">
        <v>45541</v>
      </c>
      <c r="AG1568" t="s">
        <v>19330</v>
      </c>
      <c r="AH1568">
        <v>40</v>
      </c>
      <c r="AI1568">
        <v>1</v>
      </c>
      <c r="AJ1568">
        <v>0</v>
      </c>
      <c r="AK1568">
        <v>244.84</v>
      </c>
      <c r="AL1568" t="s">
        <v>787</v>
      </c>
      <c r="AM1568" t="s">
        <v>45575</v>
      </c>
      <c r="AN1568" t="s">
        <v>7439</v>
      </c>
      <c r="AO1568">
        <v>29724</v>
      </c>
      <c r="AP1568" t="s">
        <v>45641</v>
      </c>
      <c r="AR1568" t="s">
        <v>46379</v>
      </c>
      <c r="AS1568" t="s">
        <v>46499</v>
      </c>
      <c r="AT1568" t="s">
        <v>46647</v>
      </c>
      <c r="AU1568">
        <v>10.9</v>
      </c>
      <c r="AV1568" t="s">
        <v>684</v>
      </c>
      <c r="AW1568" t="s">
        <v>46858</v>
      </c>
    </row>
    <row r="1569" spans="1:50">
      <c r="A1569" s="1">
        <f>HYPERLINK("https://lsnyc.legalserver.org/matter/dynamic-profile/view/1876299","18-1876299")</f>
        <v>0</v>
      </c>
      <c r="B1569" t="s">
        <v>108</v>
      </c>
      <c r="C1569" t="s">
        <v>341</v>
      </c>
      <c r="D1569" t="s">
        <v>493</v>
      </c>
      <c r="E1569" t="s">
        <v>699</v>
      </c>
      <c r="F1569" t="s">
        <v>1843</v>
      </c>
      <c r="G1569" t="s">
        <v>6027</v>
      </c>
      <c r="H1569" t="s">
        <v>10943</v>
      </c>
      <c r="J1569" t="s">
        <v>18898</v>
      </c>
      <c r="K1569">
        <v>11691</v>
      </c>
      <c r="L1569" t="s">
        <v>18958</v>
      </c>
      <c r="M1569" t="s">
        <v>18958</v>
      </c>
      <c r="N1569" t="s">
        <v>20142</v>
      </c>
      <c r="O1569" t="s">
        <v>26529</v>
      </c>
      <c r="P1569" t="s">
        <v>26564</v>
      </c>
      <c r="Q1569" t="s">
        <v>26570</v>
      </c>
      <c r="R1569" t="s">
        <v>26578</v>
      </c>
      <c r="S1569" t="s">
        <v>18959</v>
      </c>
      <c r="U1569" t="s">
        <v>26607</v>
      </c>
      <c r="V1569" t="s">
        <v>26610</v>
      </c>
      <c r="W1569" t="s">
        <v>531</v>
      </c>
      <c r="X1569">
        <v>1895</v>
      </c>
      <c r="Y1569" t="s">
        <v>26653</v>
      </c>
      <c r="Z1569" t="s">
        <v>26661</v>
      </c>
      <c r="AA1569" t="s">
        <v>26683</v>
      </c>
      <c r="AB1569" t="s">
        <v>28111</v>
      </c>
      <c r="AC1569" t="s">
        <v>19045</v>
      </c>
      <c r="AD1569" t="s">
        <v>38163</v>
      </c>
      <c r="AE1569">
        <v>3</v>
      </c>
      <c r="AF1569" t="s">
        <v>45552</v>
      </c>
      <c r="AG1569" t="s">
        <v>45556</v>
      </c>
      <c r="AH1569">
        <v>5</v>
      </c>
      <c r="AI1569">
        <v>3</v>
      </c>
      <c r="AJ1569">
        <v>0</v>
      </c>
      <c r="AK1569">
        <v>0</v>
      </c>
      <c r="AN1569" t="s">
        <v>7439</v>
      </c>
      <c r="AO1569">
        <v>0</v>
      </c>
      <c r="AU1569">
        <v>1.7</v>
      </c>
      <c r="AV1569" t="s">
        <v>531</v>
      </c>
      <c r="AW1569" t="s">
        <v>46842</v>
      </c>
    </row>
    <row r="1570" spans="1:50">
      <c r="A1570" s="1">
        <f>HYPERLINK("https://lsnyc.legalserver.org/matter/dynamic-profile/view/1876565","18-1876565")</f>
        <v>0</v>
      </c>
      <c r="B1570" t="s">
        <v>130</v>
      </c>
      <c r="C1570" t="s">
        <v>341</v>
      </c>
      <c r="D1570" t="s">
        <v>531</v>
      </c>
      <c r="E1570" t="s">
        <v>578</v>
      </c>
      <c r="F1570" t="s">
        <v>1844</v>
      </c>
      <c r="G1570" t="s">
        <v>1901</v>
      </c>
      <c r="H1570" t="s">
        <v>10944</v>
      </c>
      <c r="I1570" t="s">
        <v>17272</v>
      </c>
      <c r="J1570" t="s">
        <v>18901</v>
      </c>
      <c r="K1570">
        <v>11435</v>
      </c>
      <c r="L1570" t="s">
        <v>18958</v>
      </c>
      <c r="M1570" t="s">
        <v>18958</v>
      </c>
      <c r="N1570" t="s">
        <v>20143</v>
      </c>
      <c r="O1570" t="s">
        <v>26523</v>
      </c>
      <c r="P1570" t="s">
        <v>26564</v>
      </c>
      <c r="Q1570" t="s">
        <v>26570</v>
      </c>
      <c r="R1570" t="s">
        <v>26584</v>
      </c>
      <c r="S1570" t="s">
        <v>18959</v>
      </c>
      <c r="U1570" t="s">
        <v>26604</v>
      </c>
      <c r="V1570" t="s">
        <v>26611</v>
      </c>
      <c r="W1570" t="s">
        <v>531</v>
      </c>
      <c r="X1570">
        <v>956.66</v>
      </c>
      <c r="Y1570" t="s">
        <v>26653</v>
      </c>
      <c r="Z1570" t="s">
        <v>26664</v>
      </c>
      <c r="AA1570" t="s">
        <v>26683</v>
      </c>
      <c r="AB1570" t="s">
        <v>28112</v>
      </c>
      <c r="AC1570" t="s">
        <v>34971</v>
      </c>
      <c r="AD1570" t="s">
        <v>38164</v>
      </c>
      <c r="AE1570">
        <v>16</v>
      </c>
      <c r="AF1570" t="s">
        <v>45541</v>
      </c>
      <c r="AG1570" t="s">
        <v>19330</v>
      </c>
      <c r="AH1570">
        <v>40</v>
      </c>
      <c r="AI1570">
        <v>3</v>
      </c>
      <c r="AJ1570">
        <v>2</v>
      </c>
      <c r="AK1570">
        <v>51.53</v>
      </c>
      <c r="AN1570" t="s">
        <v>7439</v>
      </c>
      <c r="AO1570">
        <v>15160</v>
      </c>
      <c r="AU1570">
        <v>1.35</v>
      </c>
      <c r="AV1570" t="s">
        <v>578</v>
      </c>
      <c r="AW1570" t="s">
        <v>161</v>
      </c>
    </row>
    <row r="1571" spans="1:50">
      <c r="A1571" s="1">
        <f>HYPERLINK("https://lsnyc.legalserver.org/matter/dynamic-profile/view/1876581","18-1876581")</f>
        <v>0</v>
      </c>
      <c r="B1571" t="s">
        <v>137</v>
      </c>
      <c r="C1571" t="s">
        <v>341</v>
      </c>
      <c r="D1571" t="s">
        <v>531</v>
      </c>
      <c r="E1571" t="s">
        <v>706</v>
      </c>
      <c r="F1571" t="s">
        <v>1845</v>
      </c>
      <c r="G1571" t="s">
        <v>1627</v>
      </c>
      <c r="H1571" t="s">
        <v>10945</v>
      </c>
      <c r="I1571" t="s">
        <v>17293</v>
      </c>
      <c r="J1571" t="s">
        <v>18892</v>
      </c>
      <c r="K1571">
        <v>10457</v>
      </c>
      <c r="L1571" t="s">
        <v>18958</v>
      </c>
      <c r="M1571" t="s">
        <v>18958</v>
      </c>
      <c r="N1571" t="s">
        <v>20144</v>
      </c>
      <c r="O1571" t="s">
        <v>26523</v>
      </c>
      <c r="P1571" t="s">
        <v>26560</v>
      </c>
      <c r="Q1571" t="s">
        <v>26568</v>
      </c>
      <c r="R1571" t="s">
        <v>26579</v>
      </c>
      <c r="S1571" t="s">
        <v>18959</v>
      </c>
      <c r="U1571" t="s">
        <v>26604</v>
      </c>
      <c r="V1571" t="s">
        <v>26610</v>
      </c>
      <c r="W1571" t="s">
        <v>531</v>
      </c>
      <c r="X1571">
        <v>846.87</v>
      </c>
      <c r="Y1571" t="s">
        <v>26650</v>
      </c>
      <c r="Z1571" t="s">
        <v>26664</v>
      </c>
      <c r="AA1571" t="s">
        <v>26678</v>
      </c>
      <c r="AB1571" t="s">
        <v>28113</v>
      </c>
      <c r="AC1571" t="s">
        <v>34972</v>
      </c>
      <c r="AE1571">
        <v>74</v>
      </c>
      <c r="AF1571" t="s">
        <v>45541</v>
      </c>
      <c r="AG1571" t="s">
        <v>19330</v>
      </c>
      <c r="AH1571">
        <v>18</v>
      </c>
      <c r="AI1571">
        <v>3</v>
      </c>
      <c r="AJ1571">
        <v>2</v>
      </c>
      <c r="AK1571">
        <v>64</v>
      </c>
      <c r="AN1571" t="s">
        <v>45581</v>
      </c>
      <c r="AO1571">
        <v>18828</v>
      </c>
      <c r="AR1571" t="s">
        <v>46431</v>
      </c>
      <c r="AS1571" t="s">
        <v>46499</v>
      </c>
      <c r="AT1571" t="s">
        <v>46527</v>
      </c>
      <c r="AU1571">
        <v>11.75</v>
      </c>
      <c r="AV1571" t="s">
        <v>670</v>
      </c>
      <c r="AW1571" t="s">
        <v>46847</v>
      </c>
    </row>
    <row r="1572" spans="1:50">
      <c r="A1572" s="1">
        <f>HYPERLINK("https://lsnyc.legalserver.org/matter/dynamic-profile/view/1876609","18-1876609")</f>
        <v>0</v>
      </c>
      <c r="B1572" t="s">
        <v>137</v>
      </c>
      <c r="C1572" t="s">
        <v>341</v>
      </c>
      <c r="D1572" t="s">
        <v>531</v>
      </c>
      <c r="E1572" t="s">
        <v>519</v>
      </c>
      <c r="F1572" t="s">
        <v>1242</v>
      </c>
      <c r="G1572" t="s">
        <v>6028</v>
      </c>
      <c r="H1572" t="s">
        <v>10946</v>
      </c>
      <c r="I1572" t="s">
        <v>17307</v>
      </c>
      <c r="J1572" t="s">
        <v>18892</v>
      </c>
      <c r="K1572">
        <v>10468</v>
      </c>
      <c r="L1572" t="s">
        <v>18958</v>
      </c>
      <c r="M1572" t="s">
        <v>18958</v>
      </c>
      <c r="N1572" t="s">
        <v>20145</v>
      </c>
      <c r="O1572" t="s">
        <v>26523</v>
      </c>
      <c r="P1572" t="s">
        <v>26560</v>
      </c>
      <c r="Q1572" t="s">
        <v>26568</v>
      </c>
      <c r="R1572" t="s">
        <v>26579</v>
      </c>
      <c r="S1572" t="s">
        <v>18959</v>
      </c>
      <c r="U1572" t="s">
        <v>26604</v>
      </c>
      <c r="V1572" t="s">
        <v>26609</v>
      </c>
      <c r="W1572" t="s">
        <v>531</v>
      </c>
      <c r="X1572">
        <v>1529</v>
      </c>
      <c r="Y1572" t="s">
        <v>26650</v>
      </c>
      <c r="AA1572" t="s">
        <v>26678</v>
      </c>
      <c r="AB1572" t="s">
        <v>28114</v>
      </c>
      <c r="AC1572" t="s">
        <v>34973</v>
      </c>
      <c r="AD1572" t="s">
        <v>38165</v>
      </c>
      <c r="AE1572">
        <v>21</v>
      </c>
      <c r="AF1572" t="s">
        <v>45541</v>
      </c>
      <c r="AG1572" t="s">
        <v>19330</v>
      </c>
      <c r="AH1572">
        <v>5</v>
      </c>
      <c r="AI1572">
        <v>1</v>
      </c>
      <c r="AJ1572">
        <v>2</v>
      </c>
      <c r="AK1572">
        <v>92.40000000000001</v>
      </c>
      <c r="AN1572" t="s">
        <v>45581</v>
      </c>
      <c r="AO1572">
        <v>19200</v>
      </c>
      <c r="AR1572" t="s">
        <v>46401</v>
      </c>
      <c r="AS1572" t="s">
        <v>46499</v>
      </c>
      <c r="AT1572" t="s">
        <v>46542</v>
      </c>
      <c r="AU1572">
        <v>5.25</v>
      </c>
      <c r="AV1572" t="s">
        <v>667</v>
      </c>
      <c r="AW1572" t="s">
        <v>46847</v>
      </c>
    </row>
    <row r="1573" spans="1:50">
      <c r="A1573" s="1">
        <f>HYPERLINK("https://lsnyc.legalserver.org/matter/dynamic-profile/view/1876644","18-1876644")</f>
        <v>0</v>
      </c>
      <c r="B1573" t="s">
        <v>108</v>
      </c>
      <c r="C1573" t="s">
        <v>341</v>
      </c>
      <c r="D1573" t="s">
        <v>531</v>
      </c>
      <c r="E1573" t="s">
        <v>699</v>
      </c>
      <c r="F1573" t="s">
        <v>1846</v>
      </c>
      <c r="G1573" t="s">
        <v>5154</v>
      </c>
      <c r="H1573" t="s">
        <v>10947</v>
      </c>
      <c r="I1573" t="s">
        <v>17522</v>
      </c>
      <c r="J1573" t="s">
        <v>18900</v>
      </c>
      <c r="K1573">
        <v>11355</v>
      </c>
      <c r="L1573" t="s">
        <v>18958</v>
      </c>
      <c r="M1573" t="s">
        <v>18958</v>
      </c>
      <c r="N1573" t="s">
        <v>20146</v>
      </c>
      <c r="O1573" t="s">
        <v>26524</v>
      </c>
      <c r="P1573" t="s">
        <v>26564</v>
      </c>
      <c r="Q1573" t="s">
        <v>26570</v>
      </c>
      <c r="R1573" t="s">
        <v>26584</v>
      </c>
      <c r="S1573" t="s">
        <v>18959</v>
      </c>
      <c r="U1573" t="s">
        <v>26604</v>
      </c>
      <c r="V1573" t="s">
        <v>26610</v>
      </c>
      <c r="W1573" t="s">
        <v>531</v>
      </c>
      <c r="X1573">
        <v>0</v>
      </c>
      <c r="Y1573" t="s">
        <v>26653</v>
      </c>
      <c r="Z1573" t="s">
        <v>26664</v>
      </c>
      <c r="AA1573" t="s">
        <v>26683</v>
      </c>
      <c r="AB1573" t="s">
        <v>28115</v>
      </c>
      <c r="AC1573" t="s">
        <v>19045</v>
      </c>
      <c r="AD1573" t="s">
        <v>34738</v>
      </c>
      <c r="AE1573">
        <v>90</v>
      </c>
      <c r="AF1573" t="s">
        <v>20460</v>
      </c>
      <c r="AG1573" t="s">
        <v>19330</v>
      </c>
      <c r="AH1573">
        <v>1</v>
      </c>
      <c r="AI1573">
        <v>1</v>
      </c>
      <c r="AJ1573">
        <v>0</v>
      </c>
      <c r="AK1573">
        <v>0</v>
      </c>
      <c r="AN1573" t="s">
        <v>7439</v>
      </c>
      <c r="AO1573">
        <v>0</v>
      </c>
      <c r="AU1573">
        <v>1</v>
      </c>
      <c r="AV1573" t="s">
        <v>422</v>
      </c>
      <c r="AW1573" t="s">
        <v>208</v>
      </c>
    </row>
    <row r="1574" spans="1:50">
      <c r="A1574" s="1">
        <f>HYPERLINK("https://lsnyc.legalserver.org/matter/dynamic-profile/view/1876620","18-1876620")</f>
        <v>0</v>
      </c>
      <c r="B1574" t="s">
        <v>108</v>
      </c>
      <c r="C1574" t="s">
        <v>341</v>
      </c>
      <c r="D1574" t="s">
        <v>531</v>
      </c>
      <c r="E1574" t="s">
        <v>699</v>
      </c>
      <c r="F1574" t="s">
        <v>1013</v>
      </c>
      <c r="G1574" t="s">
        <v>2745</v>
      </c>
      <c r="H1574" t="s">
        <v>10948</v>
      </c>
      <c r="I1574" t="s">
        <v>17427</v>
      </c>
      <c r="J1574" t="s">
        <v>18939</v>
      </c>
      <c r="K1574">
        <v>11423</v>
      </c>
      <c r="L1574" t="s">
        <v>18958</v>
      </c>
      <c r="M1574" t="s">
        <v>18958</v>
      </c>
      <c r="N1574" t="s">
        <v>20147</v>
      </c>
      <c r="O1574" t="s">
        <v>26523</v>
      </c>
      <c r="P1574" t="s">
        <v>26564</v>
      </c>
      <c r="Q1574" t="s">
        <v>26570</v>
      </c>
      <c r="R1574" t="s">
        <v>26584</v>
      </c>
      <c r="S1574" t="s">
        <v>18959</v>
      </c>
      <c r="U1574" t="s">
        <v>26604</v>
      </c>
      <c r="V1574" t="s">
        <v>26612</v>
      </c>
      <c r="W1574" t="s">
        <v>531</v>
      </c>
      <c r="X1574">
        <v>1600</v>
      </c>
      <c r="Y1574" t="s">
        <v>26653</v>
      </c>
      <c r="Z1574" t="s">
        <v>26664</v>
      </c>
      <c r="AA1574" t="s">
        <v>26683</v>
      </c>
      <c r="AB1574" t="s">
        <v>28116</v>
      </c>
      <c r="AD1574" t="s">
        <v>38166</v>
      </c>
      <c r="AE1574">
        <v>2</v>
      </c>
      <c r="AF1574" t="s">
        <v>20460</v>
      </c>
      <c r="AG1574" t="s">
        <v>19330</v>
      </c>
      <c r="AH1574">
        <v>3</v>
      </c>
      <c r="AI1574">
        <v>2</v>
      </c>
      <c r="AJ1574">
        <v>2</v>
      </c>
      <c r="AK1574">
        <v>99.59999999999999</v>
      </c>
      <c r="AN1574" t="s">
        <v>7439</v>
      </c>
      <c r="AO1574">
        <v>25000</v>
      </c>
      <c r="AU1574">
        <v>0.5</v>
      </c>
      <c r="AV1574" t="s">
        <v>531</v>
      </c>
      <c r="AW1574" t="s">
        <v>161</v>
      </c>
    </row>
    <row r="1575" spans="1:50">
      <c r="A1575" s="1">
        <f>HYPERLINK("https://lsnyc.legalserver.org/matter/dynamic-profile/view/1876574","18-1876574")</f>
        <v>0</v>
      </c>
      <c r="B1575" t="s">
        <v>143</v>
      </c>
      <c r="C1575" t="s">
        <v>341</v>
      </c>
      <c r="D1575" t="s">
        <v>531</v>
      </c>
      <c r="E1575" t="s">
        <v>769</v>
      </c>
      <c r="F1575" t="s">
        <v>1847</v>
      </c>
      <c r="G1575" t="s">
        <v>5461</v>
      </c>
      <c r="H1575" t="s">
        <v>10949</v>
      </c>
      <c r="I1575">
        <v>3</v>
      </c>
      <c r="J1575" t="s">
        <v>18892</v>
      </c>
      <c r="K1575">
        <v>10467</v>
      </c>
      <c r="L1575" t="s">
        <v>18958</v>
      </c>
      <c r="M1575" t="s">
        <v>18958</v>
      </c>
      <c r="N1575" t="s">
        <v>20148</v>
      </c>
      <c r="O1575" t="s">
        <v>26524</v>
      </c>
      <c r="P1575" t="s">
        <v>26560</v>
      </c>
      <c r="Q1575" t="s">
        <v>26568</v>
      </c>
      <c r="R1575" t="s">
        <v>26579</v>
      </c>
      <c r="S1575" t="s">
        <v>18959</v>
      </c>
      <c r="U1575" t="s">
        <v>26604</v>
      </c>
      <c r="V1575" t="s">
        <v>26610</v>
      </c>
      <c r="W1575" t="s">
        <v>531</v>
      </c>
      <c r="X1575">
        <v>1925</v>
      </c>
      <c r="Y1575" t="s">
        <v>26650</v>
      </c>
      <c r="Z1575" t="s">
        <v>26668</v>
      </c>
      <c r="AA1575" t="s">
        <v>26679</v>
      </c>
      <c r="AB1575" t="s">
        <v>28117</v>
      </c>
      <c r="AC1575" t="s">
        <v>34974</v>
      </c>
      <c r="AD1575" t="s">
        <v>38167</v>
      </c>
      <c r="AE1575">
        <v>3</v>
      </c>
      <c r="AF1575" t="s">
        <v>45547</v>
      </c>
      <c r="AG1575" t="s">
        <v>45558</v>
      </c>
      <c r="AH1575">
        <v>1</v>
      </c>
      <c r="AI1575">
        <v>1</v>
      </c>
      <c r="AJ1575">
        <v>4</v>
      </c>
      <c r="AK1575">
        <v>55.06</v>
      </c>
      <c r="AO1575">
        <v>16200</v>
      </c>
      <c r="AU1575">
        <v>29.3</v>
      </c>
      <c r="AV1575" t="s">
        <v>763</v>
      </c>
      <c r="AW1575" t="s">
        <v>46836</v>
      </c>
    </row>
    <row r="1576" spans="1:50">
      <c r="A1576" s="1">
        <f>HYPERLINK("https://lsnyc.legalserver.org/matter/dynamic-profile/view/1876588","18-1876588")</f>
        <v>0</v>
      </c>
      <c r="B1576" t="s">
        <v>85</v>
      </c>
      <c r="C1576" t="s">
        <v>341</v>
      </c>
      <c r="D1576" t="s">
        <v>531</v>
      </c>
      <c r="E1576" t="s">
        <v>699</v>
      </c>
      <c r="F1576" t="s">
        <v>1848</v>
      </c>
      <c r="G1576" t="s">
        <v>5330</v>
      </c>
      <c r="H1576" t="s">
        <v>10232</v>
      </c>
      <c r="I1576">
        <v>1005</v>
      </c>
      <c r="J1576" t="s">
        <v>18905</v>
      </c>
      <c r="K1576">
        <v>11692</v>
      </c>
      <c r="L1576" t="s">
        <v>18958</v>
      </c>
      <c r="M1576" t="s">
        <v>18958</v>
      </c>
      <c r="N1576" t="s">
        <v>20149</v>
      </c>
      <c r="O1576" t="s">
        <v>26523</v>
      </c>
      <c r="P1576" t="s">
        <v>26564</v>
      </c>
      <c r="Q1576" t="s">
        <v>26570</v>
      </c>
      <c r="R1576" t="s">
        <v>26578</v>
      </c>
      <c r="S1576" t="s">
        <v>18959</v>
      </c>
      <c r="U1576" t="s">
        <v>26604</v>
      </c>
      <c r="V1576" t="s">
        <v>26611</v>
      </c>
      <c r="W1576" t="s">
        <v>531</v>
      </c>
      <c r="X1576">
        <v>1400</v>
      </c>
      <c r="Y1576" t="s">
        <v>26653</v>
      </c>
      <c r="Z1576" t="s">
        <v>26664</v>
      </c>
      <c r="AA1576" t="s">
        <v>26683</v>
      </c>
      <c r="AB1576" t="s">
        <v>28118</v>
      </c>
      <c r="AC1576" t="s">
        <v>34975</v>
      </c>
      <c r="AD1576" t="s">
        <v>38168</v>
      </c>
      <c r="AE1576">
        <v>216</v>
      </c>
      <c r="AF1576" t="s">
        <v>45550</v>
      </c>
      <c r="AG1576" t="s">
        <v>19330</v>
      </c>
      <c r="AH1576">
        <v>4</v>
      </c>
      <c r="AI1576">
        <v>1</v>
      </c>
      <c r="AJ1576">
        <v>0</v>
      </c>
      <c r="AK1576">
        <v>72.55</v>
      </c>
      <c r="AN1576" t="s">
        <v>7439</v>
      </c>
      <c r="AO1576">
        <v>8808</v>
      </c>
      <c r="AU1576">
        <v>0.1</v>
      </c>
      <c r="AV1576" t="s">
        <v>583</v>
      </c>
      <c r="AW1576" t="s">
        <v>161</v>
      </c>
    </row>
    <row r="1577" spans="1:50">
      <c r="A1577" s="1">
        <f>HYPERLINK("https://lsnyc.legalserver.org/matter/dynamic-profile/view/1876601","18-1876601")</f>
        <v>0</v>
      </c>
      <c r="B1577" t="s">
        <v>85</v>
      </c>
      <c r="C1577" t="s">
        <v>341</v>
      </c>
      <c r="D1577" t="s">
        <v>531</v>
      </c>
      <c r="E1577" t="s">
        <v>699</v>
      </c>
      <c r="F1577" t="s">
        <v>1488</v>
      </c>
      <c r="G1577" t="s">
        <v>6029</v>
      </c>
      <c r="H1577" t="s">
        <v>10950</v>
      </c>
      <c r="I1577" t="s">
        <v>17688</v>
      </c>
      <c r="J1577" t="s">
        <v>18918</v>
      </c>
      <c r="K1577">
        <v>11417</v>
      </c>
      <c r="L1577" t="s">
        <v>18958</v>
      </c>
      <c r="M1577" t="s">
        <v>18958</v>
      </c>
      <c r="N1577" t="s">
        <v>20150</v>
      </c>
      <c r="O1577" t="s">
        <v>26524</v>
      </c>
      <c r="P1577" t="s">
        <v>26564</v>
      </c>
      <c r="Q1577" t="s">
        <v>26570</v>
      </c>
      <c r="R1577" t="s">
        <v>26584</v>
      </c>
      <c r="S1577" t="s">
        <v>18959</v>
      </c>
      <c r="U1577" t="s">
        <v>26604</v>
      </c>
      <c r="V1577" t="s">
        <v>26610</v>
      </c>
      <c r="W1577" t="s">
        <v>531</v>
      </c>
      <c r="X1577">
        <v>575</v>
      </c>
      <c r="Y1577" t="s">
        <v>26653</v>
      </c>
      <c r="Z1577" t="s">
        <v>26664</v>
      </c>
      <c r="AA1577" t="s">
        <v>26683</v>
      </c>
      <c r="AB1577" t="s">
        <v>28119</v>
      </c>
      <c r="AC1577" t="s">
        <v>34976</v>
      </c>
      <c r="AD1577" t="s">
        <v>38169</v>
      </c>
      <c r="AE1577">
        <v>2</v>
      </c>
      <c r="AF1577" t="s">
        <v>45547</v>
      </c>
      <c r="AG1577" t="s">
        <v>19330</v>
      </c>
      <c r="AH1577">
        <v>8</v>
      </c>
      <c r="AI1577">
        <v>1</v>
      </c>
      <c r="AJ1577">
        <v>0</v>
      </c>
      <c r="AK1577">
        <v>82.04000000000001</v>
      </c>
      <c r="AN1577" t="s">
        <v>7439</v>
      </c>
      <c r="AO1577">
        <v>9960</v>
      </c>
      <c r="AU1577">
        <v>0.55</v>
      </c>
      <c r="AV1577" t="s">
        <v>594</v>
      </c>
      <c r="AW1577" t="s">
        <v>161</v>
      </c>
    </row>
    <row r="1578" spans="1:50">
      <c r="A1578" s="1">
        <f>HYPERLINK("https://lsnyc.legalserver.org/matter/dynamic-profile/view/1876651","18-1876651")</f>
        <v>0</v>
      </c>
      <c r="B1578" t="s">
        <v>242</v>
      </c>
      <c r="C1578" t="s">
        <v>341</v>
      </c>
      <c r="D1578" t="s">
        <v>531</v>
      </c>
      <c r="E1578" t="s">
        <v>773</v>
      </c>
      <c r="F1578" t="s">
        <v>1849</v>
      </c>
      <c r="G1578" t="s">
        <v>5576</v>
      </c>
      <c r="H1578" t="s">
        <v>10951</v>
      </c>
      <c r="I1578" t="s">
        <v>17334</v>
      </c>
      <c r="J1578" t="s">
        <v>18894</v>
      </c>
      <c r="K1578">
        <v>11225</v>
      </c>
      <c r="L1578" t="s">
        <v>18958</v>
      </c>
      <c r="M1578" t="s">
        <v>18958</v>
      </c>
      <c r="N1578" t="s">
        <v>20151</v>
      </c>
      <c r="O1578" t="s">
        <v>26524</v>
      </c>
      <c r="P1578" t="s">
        <v>26560</v>
      </c>
      <c r="Q1578" t="s">
        <v>26569</v>
      </c>
      <c r="R1578" t="s">
        <v>26588</v>
      </c>
      <c r="S1578" t="s">
        <v>18959</v>
      </c>
      <c r="U1578" t="s">
        <v>26604</v>
      </c>
      <c r="V1578" t="s">
        <v>26610</v>
      </c>
      <c r="W1578" t="s">
        <v>531</v>
      </c>
      <c r="X1578">
        <v>1050</v>
      </c>
      <c r="Y1578" t="s">
        <v>26652</v>
      </c>
      <c r="Z1578" t="s">
        <v>26669</v>
      </c>
      <c r="AA1578" t="s">
        <v>26679</v>
      </c>
      <c r="AB1578" t="s">
        <v>28120</v>
      </c>
      <c r="AD1578" t="s">
        <v>38170</v>
      </c>
      <c r="AE1578">
        <v>5</v>
      </c>
      <c r="AF1578" t="s">
        <v>45547</v>
      </c>
      <c r="AG1578" t="s">
        <v>45561</v>
      </c>
      <c r="AH1578">
        <v>14</v>
      </c>
      <c r="AI1578">
        <v>1</v>
      </c>
      <c r="AJ1578">
        <v>0</v>
      </c>
      <c r="AK1578">
        <v>197.63</v>
      </c>
      <c r="AN1578" t="s">
        <v>7439</v>
      </c>
      <c r="AO1578">
        <v>23992</v>
      </c>
      <c r="AQ1578" t="s">
        <v>46364</v>
      </c>
      <c r="AR1578" t="s">
        <v>46384</v>
      </c>
      <c r="AS1578" t="s">
        <v>46500</v>
      </c>
      <c r="AT1578" t="s">
        <v>46705</v>
      </c>
      <c r="AU1578">
        <v>42.5</v>
      </c>
      <c r="AV1578" t="s">
        <v>828</v>
      </c>
      <c r="AW1578" t="s">
        <v>46862</v>
      </c>
      <c r="AX1578" t="s">
        <v>46897</v>
      </c>
    </row>
    <row r="1579" spans="1:50">
      <c r="A1579" s="1">
        <f>HYPERLINK("https://lsnyc.legalserver.org/matter/dynamic-profile/view/1876564","18-1876564")</f>
        <v>0</v>
      </c>
      <c r="B1579" t="s">
        <v>74</v>
      </c>
      <c r="C1579" t="s">
        <v>341</v>
      </c>
      <c r="D1579" t="s">
        <v>531</v>
      </c>
      <c r="E1579" t="s">
        <v>582</v>
      </c>
      <c r="F1579" t="s">
        <v>1670</v>
      </c>
      <c r="G1579" t="s">
        <v>6030</v>
      </c>
      <c r="H1579" t="s">
        <v>10952</v>
      </c>
      <c r="I1579">
        <v>1</v>
      </c>
      <c r="J1579" t="s">
        <v>18893</v>
      </c>
      <c r="K1579">
        <v>10033</v>
      </c>
      <c r="L1579" t="s">
        <v>18958</v>
      </c>
      <c r="M1579" t="s">
        <v>18958</v>
      </c>
      <c r="O1579" t="s">
        <v>18997</v>
      </c>
      <c r="P1579" t="s">
        <v>26564</v>
      </c>
      <c r="Q1579" t="s">
        <v>26570</v>
      </c>
      <c r="R1579" t="s">
        <v>26578</v>
      </c>
      <c r="S1579" t="s">
        <v>18959</v>
      </c>
      <c r="U1579" t="s">
        <v>26604</v>
      </c>
      <c r="W1579" t="s">
        <v>531</v>
      </c>
      <c r="X1579">
        <v>2051</v>
      </c>
      <c r="Y1579" t="s">
        <v>26651</v>
      </c>
      <c r="Z1579" t="s">
        <v>26661</v>
      </c>
      <c r="AA1579" t="s">
        <v>26683</v>
      </c>
      <c r="AB1579" t="s">
        <v>28121</v>
      </c>
      <c r="AE1579">
        <v>49</v>
      </c>
      <c r="AF1579" t="s">
        <v>45541</v>
      </c>
      <c r="AG1579" t="s">
        <v>19330</v>
      </c>
      <c r="AH1579">
        <v>1</v>
      </c>
      <c r="AI1579">
        <v>3</v>
      </c>
      <c r="AJ1579">
        <v>1</v>
      </c>
      <c r="AK1579">
        <v>0</v>
      </c>
      <c r="AN1579" t="s">
        <v>7439</v>
      </c>
      <c r="AO1579">
        <v>0</v>
      </c>
      <c r="AU1579">
        <v>1.2</v>
      </c>
      <c r="AV1579" t="s">
        <v>596</v>
      </c>
      <c r="AW1579" t="s">
        <v>46840</v>
      </c>
    </row>
    <row r="1580" spans="1:50">
      <c r="A1580" s="1">
        <f>HYPERLINK("https://lsnyc.legalserver.org/matter/dynamic-profile/view/1876596","18-1876596")</f>
        <v>0</v>
      </c>
      <c r="B1580" t="s">
        <v>93</v>
      </c>
      <c r="C1580" t="s">
        <v>341</v>
      </c>
      <c r="D1580" t="s">
        <v>531</v>
      </c>
      <c r="E1580" t="s">
        <v>494</v>
      </c>
      <c r="F1580" t="s">
        <v>1850</v>
      </c>
      <c r="G1580" t="s">
        <v>5100</v>
      </c>
      <c r="H1580" t="s">
        <v>10953</v>
      </c>
      <c r="I1580" t="s">
        <v>17430</v>
      </c>
      <c r="J1580" t="s">
        <v>18904</v>
      </c>
      <c r="K1580">
        <v>11421</v>
      </c>
      <c r="L1580" t="s">
        <v>18958</v>
      </c>
      <c r="M1580" t="s">
        <v>18958</v>
      </c>
      <c r="N1580" t="s">
        <v>20152</v>
      </c>
      <c r="O1580" t="s">
        <v>26524</v>
      </c>
      <c r="P1580" t="s">
        <v>26564</v>
      </c>
      <c r="Q1580" t="s">
        <v>26570</v>
      </c>
      <c r="R1580" t="s">
        <v>26584</v>
      </c>
      <c r="S1580" t="s">
        <v>18959</v>
      </c>
      <c r="U1580" t="s">
        <v>26604</v>
      </c>
      <c r="V1580" t="s">
        <v>26610</v>
      </c>
      <c r="W1580" t="s">
        <v>531</v>
      </c>
      <c r="X1580">
        <v>0</v>
      </c>
      <c r="Y1580" t="s">
        <v>26653</v>
      </c>
      <c r="Z1580" t="s">
        <v>26664</v>
      </c>
      <c r="AA1580" t="s">
        <v>26680</v>
      </c>
      <c r="AB1580" t="s">
        <v>28122</v>
      </c>
      <c r="AC1580" t="s">
        <v>34977</v>
      </c>
      <c r="AD1580" t="s">
        <v>38171</v>
      </c>
      <c r="AE1580">
        <v>3</v>
      </c>
      <c r="AF1580" t="s">
        <v>45547</v>
      </c>
      <c r="AG1580" t="s">
        <v>19330</v>
      </c>
      <c r="AH1580">
        <v>16</v>
      </c>
      <c r="AI1580">
        <v>2</v>
      </c>
      <c r="AJ1580">
        <v>0</v>
      </c>
      <c r="AK1580">
        <v>62.41</v>
      </c>
      <c r="AN1580" t="s">
        <v>7439</v>
      </c>
      <c r="AO1580">
        <v>10272</v>
      </c>
      <c r="AU1580">
        <v>2</v>
      </c>
      <c r="AV1580" t="s">
        <v>415</v>
      </c>
      <c r="AW1580" t="s">
        <v>161</v>
      </c>
    </row>
    <row r="1581" spans="1:50">
      <c r="A1581" s="1">
        <f>HYPERLINK("https://lsnyc.legalserver.org/matter/dynamic-profile/view/1876639","18-1876639")</f>
        <v>0</v>
      </c>
      <c r="B1581" t="s">
        <v>110</v>
      </c>
      <c r="C1581" t="s">
        <v>341</v>
      </c>
      <c r="D1581" t="s">
        <v>531</v>
      </c>
      <c r="E1581" t="s">
        <v>699</v>
      </c>
      <c r="F1581" t="s">
        <v>874</v>
      </c>
      <c r="G1581" t="s">
        <v>6031</v>
      </c>
      <c r="H1581" t="s">
        <v>10954</v>
      </c>
      <c r="I1581" t="s">
        <v>17689</v>
      </c>
      <c r="J1581" t="s">
        <v>18898</v>
      </c>
      <c r="K1581">
        <v>11691</v>
      </c>
      <c r="L1581" t="s">
        <v>18958</v>
      </c>
      <c r="M1581" t="s">
        <v>18958</v>
      </c>
      <c r="N1581" t="s">
        <v>20153</v>
      </c>
      <c r="O1581" t="s">
        <v>26524</v>
      </c>
      <c r="P1581" t="s">
        <v>26564</v>
      </c>
      <c r="Q1581" t="s">
        <v>26570</v>
      </c>
      <c r="R1581" t="s">
        <v>26578</v>
      </c>
      <c r="S1581" t="s">
        <v>18959</v>
      </c>
      <c r="U1581" t="s">
        <v>26604</v>
      </c>
      <c r="V1581" t="s">
        <v>26611</v>
      </c>
      <c r="W1581" t="s">
        <v>531</v>
      </c>
      <c r="X1581">
        <v>950</v>
      </c>
      <c r="Y1581" t="s">
        <v>26653</v>
      </c>
      <c r="Z1581" t="s">
        <v>26664</v>
      </c>
      <c r="AA1581" t="s">
        <v>26683</v>
      </c>
      <c r="AB1581" t="s">
        <v>28123</v>
      </c>
      <c r="AC1581" t="s">
        <v>34978</v>
      </c>
      <c r="AD1581" t="s">
        <v>38172</v>
      </c>
      <c r="AE1581">
        <v>2</v>
      </c>
      <c r="AF1581" t="s">
        <v>45547</v>
      </c>
      <c r="AG1581" t="s">
        <v>19330</v>
      </c>
      <c r="AH1581">
        <v>20</v>
      </c>
      <c r="AI1581">
        <v>2</v>
      </c>
      <c r="AJ1581">
        <v>0</v>
      </c>
      <c r="AK1581">
        <v>0</v>
      </c>
      <c r="AN1581" t="s">
        <v>7439</v>
      </c>
      <c r="AO1581">
        <v>0</v>
      </c>
      <c r="AU1581">
        <v>1</v>
      </c>
      <c r="AV1581" t="s">
        <v>531</v>
      </c>
      <c r="AW1581" t="s">
        <v>161</v>
      </c>
    </row>
    <row r="1582" spans="1:50">
      <c r="A1582" s="1">
        <f>HYPERLINK("https://lsnyc.legalserver.org/matter/dynamic-profile/view/1876569","18-1876569")</f>
        <v>0</v>
      </c>
      <c r="B1582" t="s">
        <v>101</v>
      </c>
      <c r="C1582" t="s">
        <v>341</v>
      </c>
      <c r="D1582" t="s">
        <v>531</v>
      </c>
      <c r="E1582" t="s">
        <v>854</v>
      </c>
      <c r="F1582" t="s">
        <v>1851</v>
      </c>
      <c r="G1582" t="s">
        <v>6032</v>
      </c>
      <c r="H1582" t="s">
        <v>10955</v>
      </c>
      <c r="I1582" t="s">
        <v>17582</v>
      </c>
      <c r="J1582" t="s">
        <v>18894</v>
      </c>
      <c r="K1582">
        <v>11237</v>
      </c>
      <c r="L1582" t="s">
        <v>18958</v>
      </c>
      <c r="M1582" t="s">
        <v>18958</v>
      </c>
      <c r="N1582" t="s">
        <v>20154</v>
      </c>
      <c r="O1582" t="s">
        <v>26524</v>
      </c>
      <c r="P1582" t="s">
        <v>26564</v>
      </c>
      <c r="Q1582" t="s">
        <v>26570</v>
      </c>
      <c r="R1582" t="s">
        <v>26586</v>
      </c>
      <c r="U1582" t="s">
        <v>26604</v>
      </c>
      <c r="V1582" t="s">
        <v>26610</v>
      </c>
      <c r="W1582" t="s">
        <v>531</v>
      </c>
      <c r="X1582">
        <v>700</v>
      </c>
      <c r="Y1582" t="s">
        <v>26652</v>
      </c>
      <c r="Z1582" t="s">
        <v>26664</v>
      </c>
      <c r="AA1582" t="s">
        <v>26683</v>
      </c>
      <c r="AB1582" t="s">
        <v>28124</v>
      </c>
      <c r="AD1582" t="s">
        <v>38173</v>
      </c>
      <c r="AE1582">
        <v>3</v>
      </c>
      <c r="AF1582" t="s">
        <v>45547</v>
      </c>
      <c r="AG1582" t="s">
        <v>19330</v>
      </c>
      <c r="AH1582">
        <v>7</v>
      </c>
      <c r="AI1582">
        <v>1</v>
      </c>
      <c r="AJ1582">
        <v>0</v>
      </c>
      <c r="AK1582">
        <v>158.15</v>
      </c>
      <c r="AN1582" t="s">
        <v>7439</v>
      </c>
      <c r="AO1582">
        <v>19200</v>
      </c>
      <c r="AU1582">
        <v>1.3</v>
      </c>
      <c r="AV1582" t="s">
        <v>854</v>
      </c>
      <c r="AW1582" t="s">
        <v>281</v>
      </c>
    </row>
    <row r="1583" spans="1:50">
      <c r="A1583" s="1">
        <f>HYPERLINK("https://lsnyc.legalserver.org/matter/dynamic-profile/view/1876698","18-1876698")</f>
        <v>0</v>
      </c>
      <c r="B1583" t="s">
        <v>101</v>
      </c>
      <c r="C1583" t="s">
        <v>341</v>
      </c>
      <c r="D1583" t="s">
        <v>531</v>
      </c>
      <c r="E1583" t="s">
        <v>667</v>
      </c>
      <c r="F1583" t="s">
        <v>1852</v>
      </c>
      <c r="G1583" t="s">
        <v>6033</v>
      </c>
      <c r="H1583" t="s">
        <v>10956</v>
      </c>
      <c r="I1583" t="s">
        <v>17690</v>
      </c>
      <c r="J1583" t="s">
        <v>18894</v>
      </c>
      <c r="K1583">
        <v>11225</v>
      </c>
      <c r="L1583" t="s">
        <v>18958</v>
      </c>
      <c r="M1583" t="s">
        <v>18958</v>
      </c>
      <c r="N1583" t="s">
        <v>20155</v>
      </c>
      <c r="O1583" t="s">
        <v>26523</v>
      </c>
      <c r="P1583" t="s">
        <v>26560</v>
      </c>
      <c r="Q1583" t="s">
        <v>26568</v>
      </c>
      <c r="R1583" t="s">
        <v>26588</v>
      </c>
      <c r="S1583" t="s">
        <v>18959</v>
      </c>
      <c r="U1583" t="s">
        <v>26604</v>
      </c>
      <c r="V1583" t="s">
        <v>26610</v>
      </c>
      <c r="W1583" t="s">
        <v>531</v>
      </c>
      <c r="X1583">
        <v>1200.22</v>
      </c>
      <c r="Y1583" t="s">
        <v>26652</v>
      </c>
      <c r="Z1583" t="s">
        <v>26669</v>
      </c>
      <c r="AA1583" t="s">
        <v>26678</v>
      </c>
      <c r="AB1583" t="s">
        <v>28125</v>
      </c>
      <c r="AD1583" t="s">
        <v>38174</v>
      </c>
      <c r="AE1583">
        <v>370</v>
      </c>
      <c r="AG1583" t="s">
        <v>19330</v>
      </c>
      <c r="AH1583">
        <v>4</v>
      </c>
      <c r="AI1583">
        <v>4</v>
      </c>
      <c r="AJ1583">
        <v>0</v>
      </c>
      <c r="AK1583">
        <v>86.06</v>
      </c>
      <c r="AN1583" t="s">
        <v>7439</v>
      </c>
      <c r="AO1583">
        <v>21600</v>
      </c>
      <c r="AQ1583" t="s">
        <v>46362</v>
      </c>
      <c r="AR1583" t="s">
        <v>46385</v>
      </c>
      <c r="AS1583" t="s">
        <v>46499</v>
      </c>
      <c r="AT1583" t="s">
        <v>46661</v>
      </c>
      <c r="AU1583">
        <v>9.6</v>
      </c>
      <c r="AV1583" t="s">
        <v>427</v>
      </c>
      <c r="AW1583" t="s">
        <v>46862</v>
      </c>
    </row>
    <row r="1584" spans="1:50">
      <c r="A1584" s="1">
        <f>HYPERLINK("https://lsnyc.legalserver.org/matter/dynamic-profile/view/1876575","18-1876575")</f>
        <v>0</v>
      </c>
      <c r="B1584" t="s">
        <v>111</v>
      </c>
      <c r="C1584" t="s">
        <v>341</v>
      </c>
      <c r="D1584" t="s">
        <v>531</v>
      </c>
      <c r="E1584" t="s">
        <v>850</v>
      </c>
      <c r="F1584" t="s">
        <v>1353</v>
      </c>
      <c r="G1584" t="s">
        <v>6034</v>
      </c>
      <c r="H1584" t="s">
        <v>10957</v>
      </c>
      <c r="I1584" t="s">
        <v>17298</v>
      </c>
      <c r="J1584" t="s">
        <v>18898</v>
      </c>
      <c r="K1584">
        <v>11691</v>
      </c>
      <c r="L1584" t="s">
        <v>18958</v>
      </c>
      <c r="M1584" t="s">
        <v>18958</v>
      </c>
      <c r="N1584" t="s">
        <v>20156</v>
      </c>
      <c r="O1584" t="s">
        <v>26523</v>
      </c>
      <c r="P1584" t="s">
        <v>26564</v>
      </c>
      <c r="Q1584" t="s">
        <v>26570</v>
      </c>
      <c r="R1584" t="s">
        <v>26578</v>
      </c>
      <c r="S1584" t="s">
        <v>18959</v>
      </c>
      <c r="U1584" t="s">
        <v>26604</v>
      </c>
      <c r="V1584" t="s">
        <v>26610</v>
      </c>
      <c r="W1584" t="s">
        <v>531</v>
      </c>
      <c r="X1584">
        <v>1499.98</v>
      </c>
      <c r="Y1584" t="s">
        <v>26653</v>
      </c>
      <c r="Z1584" t="s">
        <v>26664</v>
      </c>
      <c r="AA1584" t="s">
        <v>26683</v>
      </c>
      <c r="AB1584" t="s">
        <v>28126</v>
      </c>
      <c r="AC1584" t="s">
        <v>34979</v>
      </c>
      <c r="AD1584" t="s">
        <v>38175</v>
      </c>
      <c r="AE1584">
        <v>42</v>
      </c>
      <c r="AF1584" t="s">
        <v>45541</v>
      </c>
      <c r="AG1584" t="s">
        <v>19330</v>
      </c>
      <c r="AH1584">
        <v>37</v>
      </c>
      <c r="AI1584">
        <v>1</v>
      </c>
      <c r="AJ1584">
        <v>1</v>
      </c>
      <c r="AK1584">
        <v>66.73</v>
      </c>
      <c r="AN1584" t="s">
        <v>7439</v>
      </c>
      <c r="AO1584">
        <v>10984</v>
      </c>
      <c r="AU1584">
        <v>2.35</v>
      </c>
      <c r="AV1584" t="s">
        <v>752</v>
      </c>
      <c r="AW1584" t="s">
        <v>161</v>
      </c>
    </row>
    <row r="1585" spans="1:49">
      <c r="A1585" s="1">
        <f>HYPERLINK("https://lsnyc.legalserver.org/matter/dynamic-profile/view/1876557","18-1876557")</f>
        <v>0</v>
      </c>
      <c r="B1585" t="s">
        <v>111</v>
      </c>
      <c r="C1585" t="s">
        <v>341</v>
      </c>
      <c r="D1585" t="s">
        <v>531</v>
      </c>
      <c r="E1585" t="s">
        <v>850</v>
      </c>
      <c r="F1585" t="s">
        <v>1853</v>
      </c>
      <c r="G1585" t="s">
        <v>6035</v>
      </c>
      <c r="H1585" t="s">
        <v>10958</v>
      </c>
      <c r="I1585" t="s">
        <v>17416</v>
      </c>
      <c r="J1585" t="s">
        <v>18904</v>
      </c>
      <c r="K1585">
        <v>11421</v>
      </c>
      <c r="L1585" t="s">
        <v>18958</v>
      </c>
      <c r="M1585" t="s">
        <v>18958</v>
      </c>
      <c r="N1585" t="s">
        <v>20157</v>
      </c>
      <c r="O1585" t="s">
        <v>26524</v>
      </c>
      <c r="P1585" t="s">
        <v>26564</v>
      </c>
      <c r="Q1585" t="s">
        <v>26570</v>
      </c>
      <c r="R1585" t="s">
        <v>26584</v>
      </c>
      <c r="S1585" t="s">
        <v>18959</v>
      </c>
      <c r="U1585" t="s">
        <v>26604</v>
      </c>
      <c r="V1585" t="s">
        <v>26611</v>
      </c>
      <c r="W1585" t="s">
        <v>531</v>
      </c>
      <c r="X1585">
        <v>1550</v>
      </c>
      <c r="Y1585" t="s">
        <v>26653</v>
      </c>
      <c r="Z1585" t="s">
        <v>26664</v>
      </c>
      <c r="AA1585" t="s">
        <v>26683</v>
      </c>
      <c r="AB1585" t="s">
        <v>28127</v>
      </c>
      <c r="AC1585" t="s">
        <v>34980</v>
      </c>
      <c r="AD1585" t="s">
        <v>38176</v>
      </c>
      <c r="AE1585">
        <v>2</v>
      </c>
      <c r="AF1585" t="s">
        <v>45547</v>
      </c>
      <c r="AG1585" t="s">
        <v>19330</v>
      </c>
      <c r="AH1585">
        <v>3</v>
      </c>
      <c r="AI1585">
        <v>1</v>
      </c>
      <c r="AJ1585">
        <v>1</v>
      </c>
      <c r="AK1585">
        <v>170.11</v>
      </c>
      <c r="AN1585" t="s">
        <v>7439</v>
      </c>
      <c r="AO1585">
        <v>28000</v>
      </c>
      <c r="AU1585">
        <v>2.25</v>
      </c>
      <c r="AV1585" t="s">
        <v>579</v>
      </c>
      <c r="AW1585" t="s">
        <v>161</v>
      </c>
    </row>
    <row r="1586" spans="1:49">
      <c r="A1586" s="1">
        <f>HYPERLINK("https://lsnyc.legalserver.org/matter/dynamic-profile/view/1876614","18-1876614")</f>
        <v>0</v>
      </c>
      <c r="B1586" t="s">
        <v>106</v>
      </c>
      <c r="C1586" t="s">
        <v>341</v>
      </c>
      <c r="D1586" t="s">
        <v>531</v>
      </c>
      <c r="E1586" t="s">
        <v>800</v>
      </c>
      <c r="F1586" t="s">
        <v>1854</v>
      </c>
      <c r="G1586" t="s">
        <v>6036</v>
      </c>
      <c r="H1586" t="s">
        <v>10959</v>
      </c>
      <c r="I1586" t="s">
        <v>17669</v>
      </c>
      <c r="J1586" t="s">
        <v>18894</v>
      </c>
      <c r="K1586">
        <v>11204</v>
      </c>
      <c r="L1586" t="s">
        <v>18958</v>
      </c>
      <c r="M1586" t="s">
        <v>18958</v>
      </c>
      <c r="N1586" t="s">
        <v>20158</v>
      </c>
      <c r="O1586" t="s">
        <v>26523</v>
      </c>
      <c r="P1586" t="s">
        <v>26560</v>
      </c>
      <c r="Q1586" t="s">
        <v>26568</v>
      </c>
      <c r="R1586" t="s">
        <v>26586</v>
      </c>
      <c r="S1586" t="s">
        <v>18959</v>
      </c>
      <c r="U1586" t="s">
        <v>26604</v>
      </c>
      <c r="V1586" t="s">
        <v>26611</v>
      </c>
      <c r="W1586" t="s">
        <v>531</v>
      </c>
      <c r="X1586">
        <v>1475</v>
      </c>
      <c r="Y1586" t="s">
        <v>26652</v>
      </c>
      <c r="Z1586" t="s">
        <v>26664</v>
      </c>
      <c r="AA1586" t="s">
        <v>26678</v>
      </c>
      <c r="AB1586" t="s">
        <v>28128</v>
      </c>
      <c r="AD1586" t="s">
        <v>38177</v>
      </c>
      <c r="AE1586">
        <v>47</v>
      </c>
      <c r="AF1586" t="s">
        <v>20460</v>
      </c>
      <c r="AG1586" t="s">
        <v>45558</v>
      </c>
      <c r="AH1586">
        <v>3</v>
      </c>
      <c r="AI1586">
        <v>1</v>
      </c>
      <c r="AJ1586">
        <v>1</v>
      </c>
      <c r="AK1586">
        <v>51.18</v>
      </c>
      <c r="AN1586" t="s">
        <v>7439</v>
      </c>
      <c r="AO1586">
        <v>8424</v>
      </c>
      <c r="AS1586" t="s">
        <v>46499</v>
      </c>
      <c r="AT1586" t="s">
        <v>46556</v>
      </c>
      <c r="AU1586">
        <v>58.2</v>
      </c>
      <c r="AV1586" t="s">
        <v>800</v>
      </c>
      <c r="AW1586" t="s">
        <v>46862</v>
      </c>
    </row>
    <row r="1587" spans="1:49">
      <c r="A1587" s="1">
        <f>HYPERLINK("https://lsnyc.legalserver.org/matter/dynamic-profile/view/1876676","18-1876676")</f>
        <v>0</v>
      </c>
      <c r="B1587" t="s">
        <v>164</v>
      </c>
      <c r="C1587" t="s">
        <v>340</v>
      </c>
      <c r="D1587" t="s">
        <v>531</v>
      </c>
      <c r="F1587" t="s">
        <v>1855</v>
      </c>
      <c r="G1587" t="s">
        <v>3396</v>
      </c>
      <c r="H1587" t="s">
        <v>10960</v>
      </c>
      <c r="I1587" t="s">
        <v>17436</v>
      </c>
      <c r="J1587" t="s">
        <v>18901</v>
      </c>
      <c r="K1587">
        <v>11432</v>
      </c>
      <c r="L1587" t="s">
        <v>18958</v>
      </c>
      <c r="M1587" t="s">
        <v>18958</v>
      </c>
      <c r="N1587" t="s">
        <v>20159</v>
      </c>
      <c r="O1587" t="s">
        <v>26523</v>
      </c>
      <c r="P1587" t="s">
        <v>26564</v>
      </c>
      <c r="R1587" t="s">
        <v>26584</v>
      </c>
      <c r="S1587" t="s">
        <v>18959</v>
      </c>
      <c r="U1587" t="s">
        <v>26604</v>
      </c>
      <c r="V1587" t="s">
        <v>26611</v>
      </c>
      <c r="W1587" t="s">
        <v>531</v>
      </c>
      <c r="X1587">
        <v>1594</v>
      </c>
      <c r="Y1587" t="s">
        <v>26653</v>
      </c>
      <c r="Z1587" t="s">
        <v>26664</v>
      </c>
      <c r="AB1587" t="s">
        <v>28129</v>
      </c>
      <c r="AC1587" t="s">
        <v>34981</v>
      </c>
      <c r="AD1587" t="s">
        <v>38178</v>
      </c>
      <c r="AE1587">
        <v>16</v>
      </c>
      <c r="AF1587" t="s">
        <v>45541</v>
      </c>
      <c r="AG1587" t="s">
        <v>45559</v>
      </c>
      <c r="AH1587">
        <v>7</v>
      </c>
      <c r="AI1587">
        <v>3</v>
      </c>
      <c r="AJ1587">
        <v>1</v>
      </c>
      <c r="AK1587">
        <v>124.02</v>
      </c>
      <c r="AN1587" t="s">
        <v>7439</v>
      </c>
      <c r="AO1587">
        <v>31128</v>
      </c>
      <c r="AU1587">
        <v>0.5</v>
      </c>
      <c r="AV1587" t="s">
        <v>531</v>
      </c>
      <c r="AW1587" t="s">
        <v>208</v>
      </c>
    </row>
    <row r="1588" spans="1:49">
      <c r="A1588" s="1">
        <f>HYPERLINK("https://lsnyc.legalserver.org/matter/dynamic-profile/view/1876695","18-1876695")</f>
        <v>0</v>
      </c>
      <c r="B1588" t="s">
        <v>164</v>
      </c>
      <c r="C1588" t="s">
        <v>340</v>
      </c>
      <c r="D1588" t="s">
        <v>531</v>
      </c>
      <c r="F1588" t="s">
        <v>1856</v>
      </c>
      <c r="G1588" t="s">
        <v>6037</v>
      </c>
      <c r="H1588" t="s">
        <v>10961</v>
      </c>
      <c r="I1588" t="s">
        <v>17375</v>
      </c>
      <c r="J1588" t="s">
        <v>18932</v>
      </c>
      <c r="K1588">
        <v>11385</v>
      </c>
      <c r="L1588" t="s">
        <v>18958</v>
      </c>
      <c r="M1588" t="s">
        <v>18958</v>
      </c>
      <c r="N1588" t="s">
        <v>20160</v>
      </c>
      <c r="O1588" t="s">
        <v>26524</v>
      </c>
      <c r="P1588" t="s">
        <v>26564</v>
      </c>
      <c r="R1588" t="s">
        <v>26585</v>
      </c>
      <c r="S1588" t="s">
        <v>18959</v>
      </c>
      <c r="U1588" t="s">
        <v>26604</v>
      </c>
      <c r="V1588" t="s">
        <v>26610</v>
      </c>
      <c r="W1588" t="s">
        <v>531</v>
      </c>
      <c r="X1588">
        <v>2100</v>
      </c>
      <c r="Y1588" t="s">
        <v>26653</v>
      </c>
      <c r="Z1588" t="s">
        <v>26664</v>
      </c>
      <c r="AB1588" t="s">
        <v>28130</v>
      </c>
      <c r="AD1588" t="s">
        <v>38179</v>
      </c>
      <c r="AE1588">
        <v>2</v>
      </c>
      <c r="AF1588" t="s">
        <v>45547</v>
      </c>
      <c r="AG1588" t="s">
        <v>19330</v>
      </c>
      <c r="AH1588">
        <v>1</v>
      </c>
      <c r="AI1588">
        <v>2</v>
      </c>
      <c r="AJ1588">
        <v>2</v>
      </c>
      <c r="AK1588">
        <v>139.44</v>
      </c>
      <c r="AN1588" t="s">
        <v>7439</v>
      </c>
      <c r="AO1588">
        <v>35000</v>
      </c>
      <c r="AU1588">
        <v>1</v>
      </c>
      <c r="AV1588" t="s">
        <v>531</v>
      </c>
      <c r="AW1588" t="s">
        <v>208</v>
      </c>
    </row>
    <row r="1589" spans="1:49">
      <c r="A1589" s="1">
        <f>HYPERLINK("https://lsnyc.legalserver.org/matter/dynamic-profile/view/1876706","18-1876706")</f>
        <v>0</v>
      </c>
      <c r="B1589" t="s">
        <v>143</v>
      </c>
      <c r="C1589" t="s">
        <v>340</v>
      </c>
      <c r="D1589" t="s">
        <v>531</v>
      </c>
      <c r="F1589" t="s">
        <v>1857</v>
      </c>
      <c r="G1589" t="s">
        <v>6038</v>
      </c>
      <c r="H1589" t="s">
        <v>10962</v>
      </c>
      <c r="I1589" t="s">
        <v>17283</v>
      </c>
      <c r="J1589" t="s">
        <v>18892</v>
      </c>
      <c r="K1589">
        <v>10457</v>
      </c>
      <c r="L1589" t="s">
        <v>18958</v>
      </c>
      <c r="M1589" t="s">
        <v>18958</v>
      </c>
      <c r="N1589" t="s">
        <v>20161</v>
      </c>
      <c r="O1589" t="s">
        <v>26523</v>
      </c>
      <c r="P1589" t="s">
        <v>26560</v>
      </c>
      <c r="R1589" t="s">
        <v>26579</v>
      </c>
      <c r="S1589" t="s">
        <v>18959</v>
      </c>
      <c r="U1589" t="s">
        <v>26604</v>
      </c>
      <c r="V1589" t="s">
        <v>26610</v>
      </c>
      <c r="W1589" t="s">
        <v>531</v>
      </c>
      <c r="X1589">
        <v>934</v>
      </c>
      <c r="Y1589" t="s">
        <v>26650</v>
      </c>
      <c r="Z1589" t="s">
        <v>26659</v>
      </c>
      <c r="AB1589" t="s">
        <v>28131</v>
      </c>
      <c r="AC1589" t="s">
        <v>34982</v>
      </c>
      <c r="AD1589" t="s">
        <v>38180</v>
      </c>
      <c r="AE1589">
        <v>44</v>
      </c>
      <c r="AF1589" t="s">
        <v>45541</v>
      </c>
      <c r="AG1589" t="s">
        <v>45557</v>
      </c>
      <c r="AH1589">
        <v>5</v>
      </c>
      <c r="AI1589">
        <v>2</v>
      </c>
      <c r="AJ1589">
        <v>1</v>
      </c>
      <c r="AK1589">
        <v>37.13</v>
      </c>
      <c r="AN1589" t="s">
        <v>7439</v>
      </c>
      <c r="AO1589">
        <v>7716</v>
      </c>
      <c r="AU1589">
        <v>14.9</v>
      </c>
      <c r="AV1589" t="s">
        <v>772</v>
      </c>
      <c r="AW1589" t="s">
        <v>46836</v>
      </c>
    </row>
    <row r="1590" spans="1:49">
      <c r="A1590" s="1">
        <f>HYPERLINK("https://lsnyc.legalserver.org/matter/dynamic-profile/view/1876627","18-1876627")</f>
        <v>0</v>
      </c>
      <c r="B1590" t="s">
        <v>143</v>
      </c>
      <c r="C1590" t="s">
        <v>340</v>
      </c>
      <c r="D1590" t="s">
        <v>531</v>
      </c>
      <c r="F1590" t="s">
        <v>1336</v>
      </c>
      <c r="G1590" t="s">
        <v>6039</v>
      </c>
      <c r="H1590" t="s">
        <v>10963</v>
      </c>
      <c r="I1590" t="s">
        <v>17446</v>
      </c>
      <c r="J1590" t="s">
        <v>18892</v>
      </c>
      <c r="K1590">
        <v>10468</v>
      </c>
      <c r="L1590" t="s">
        <v>18958</v>
      </c>
      <c r="M1590" t="s">
        <v>18958</v>
      </c>
      <c r="N1590" t="s">
        <v>20162</v>
      </c>
      <c r="O1590" t="s">
        <v>26523</v>
      </c>
      <c r="P1590" t="s">
        <v>26560</v>
      </c>
      <c r="R1590" t="s">
        <v>26579</v>
      </c>
      <c r="S1590" t="s">
        <v>18959</v>
      </c>
      <c r="U1590" t="s">
        <v>26604</v>
      </c>
      <c r="V1590" t="s">
        <v>26610</v>
      </c>
      <c r="W1590" t="s">
        <v>531</v>
      </c>
      <c r="X1590">
        <v>2100</v>
      </c>
      <c r="Y1590" t="s">
        <v>26650</v>
      </c>
      <c r="Z1590" t="s">
        <v>26668</v>
      </c>
      <c r="AB1590" t="s">
        <v>28132</v>
      </c>
      <c r="AC1590" t="s">
        <v>34983</v>
      </c>
      <c r="AD1590" t="s">
        <v>38181</v>
      </c>
      <c r="AE1590">
        <v>11</v>
      </c>
      <c r="AF1590" t="s">
        <v>45541</v>
      </c>
      <c r="AG1590" t="s">
        <v>19330</v>
      </c>
      <c r="AH1590">
        <v>2</v>
      </c>
      <c r="AI1590">
        <v>1</v>
      </c>
      <c r="AJ1590">
        <v>1</v>
      </c>
      <c r="AK1590">
        <v>85.05</v>
      </c>
      <c r="AN1590" t="s">
        <v>45581</v>
      </c>
      <c r="AO1590">
        <v>14000</v>
      </c>
      <c r="AQ1590" t="s">
        <v>46362</v>
      </c>
      <c r="AR1590" t="s">
        <v>46379</v>
      </c>
      <c r="AS1590" t="s">
        <v>46499</v>
      </c>
      <c r="AT1590" t="s">
        <v>46662</v>
      </c>
      <c r="AU1590">
        <v>24.1</v>
      </c>
      <c r="AV1590" t="s">
        <v>714</v>
      </c>
      <c r="AW1590" t="s">
        <v>46836</v>
      </c>
    </row>
    <row r="1591" spans="1:49">
      <c r="A1591" s="1">
        <f>HYPERLINK("https://lsnyc.legalserver.org/matter/dynamic-profile/view/1876689","18-1876689")</f>
        <v>0</v>
      </c>
      <c r="B1591" t="s">
        <v>67</v>
      </c>
      <c r="C1591" t="s">
        <v>340</v>
      </c>
      <c r="D1591" t="s">
        <v>531</v>
      </c>
      <c r="F1591" t="s">
        <v>1858</v>
      </c>
      <c r="G1591" t="s">
        <v>6040</v>
      </c>
      <c r="H1591" t="s">
        <v>10156</v>
      </c>
      <c r="I1591" t="s">
        <v>17691</v>
      </c>
      <c r="J1591" t="s">
        <v>18892</v>
      </c>
      <c r="K1591">
        <v>10456</v>
      </c>
      <c r="L1591" t="s">
        <v>18958</v>
      </c>
      <c r="M1591" t="s">
        <v>18958</v>
      </c>
      <c r="N1591" t="s">
        <v>20060</v>
      </c>
      <c r="O1591" t="s">
        <v>26526</v>
      </c>
      <c r="P1591" t="s">
        <v>26560</v>
      </c>
      <c r="R1591" t="s">
        <v>26578</v>
      </c>
      <c r="S1591" t="s">
        <v>18958</v>
      </c>
      <c r="U1591" t="s">
        <v>26604</v>
      </c>
      <c r="W1591" t="s">
        <v>531</v>
      </c>
      <c r="X1591">
        <v>820</v>
      </c>
      <c r="Y1591" t="s">
        <v>26650</v>
      </c>
      <c r="Z1591" t="s">
        <v>26663</v>
      </c>
      <c r="AB1591" t="s">
        <v>27646</v>
      </c>
      <c r="AC1591">
        <v>6629815</v>
      </c>
      <c r="AE1591">
        <v>131</v>
      </c>
      <c r="AF1591" t="s">
        <v>45541</v>
      </c>
      <c r="AG1591" t="s">
        <v>45557</v>
      </c>
      <c r="AH1591">
        <v>9</v>
      </c>
      <c r="AI1591">
        <v>1</v>
      </c>
      <c r="AJ1591">
        <v>3</v>
      </c>
      <c r="AK1591">
        <v>18.79</v>
      </c>
      <c r="AN1591" t="s">
        <v>7439</v>
      </c>
      <c r="AO1591">
        <v>4715.04</v>
      </c>
      <c r="AU1591">
        <v>0</v>
      </c>
      <c r="AW1591" t="s">
        <v>336</v>
      </c>
    </row>
    <row r="1592" spans="1:49">
      <c r="A1592" s="1">
        <f>HYPERLINK("https://lsnyc.legalserver.org/matter/dynamic-profile/view/1876683","18-1876683")</f>
        <v>0</v>
      </c>
      <c r="B1592" t="s">
        <v>67</v>
      </c>
      <c r="C1592" t="s">
        <v>340</v>
      </c>
      <c r="D1592" t="s">
        <v>531</v>
      </c>
      <c r="F1592" t="s">
        <v>1858</v>
      </c>
      <c r="G1592" t="s">
        <v>6040</v>
      </c>
      <c r="H1592" t="s">
        <v>10156</v>
      </c>
      <c r="I1592" t="s">
        <v>17691</v>
      </c>
      <c r="J1592" t="s">
        <v>18892</v>
      </c>
      <c r="K1592">
        <v>10456</v>
      </c>
      <c r="L1592" t="s">
        <v>18958</v>
      </c>
      <c r="M1592" t="s">
        <v>18958</v>
      </c>
      <c r="N1592" t="s">
        <v>20061</v>
      </c>
      <c r="O1592" t="s">
        <v>26534</v>
      </c>
      <c r="P1592" t="s">
        <v>26561</v>
      </c>
      <c r="R1592" t="s">
        <v>26578</v>
      </c>
      <c r="S1592" t="s">
        <v>18958</v>
      </c>
      <c r="U1592" t="s">
        <v>26604</v>
      </c>
      <c r="W1592" t="s">
        <v>531</v>
      </c>
      <c r="X1592">
        <v>820</v>
      </c>
      <c r="Y1592" t="s">
        <v>26650</v>
      </c>
      <c r="Z1592" t="s">
        <v>26663</v>
      </c>
      <c r="AB1592" t="s">
        <v>27646</v>
      </c>
      <c r="AC1592">
        <v>6629815</v>
      </c>
      <c r="AE1592">
        <v>131</v>
      </c>
      <c r="AF1592" t="s">
        <v>45541</v>
      </c>
      <c r="AG1592" t="s">
        <v>45557</v>
      </c>
      <c r="AH1592">
        <v>9</v>
      </c>
      <c r="AI1592">
        <v>1</v>
      </c>
      <c r="AJ1592">
        <v>3</v>
      </c>
      <c r="AK1592">
        <v>20.35</v>
      </c>
      <c r="AN1592" t="s">
        <v>7439</v>
      </c>
      <c r="AO1592">
        <v>5107.96</v>
      </c>
      <c r="AU1592">
        <v>0</v>
      </c>
      <c r="AW1592" t="s">
        <v>336</v>
      </c>
    </row>
    <row r="1593" spans="1:49">
      <c r="A1593" s="1">
        <f>HYPERLINK("https://lsnyc.legalserver.org/matter/dynamic-profile/view/1876678","18-1876678")</f>
        <v>0</v>
      </c>
      <c r="B1593" t="s">
        <v>67</v>
      </c>
      <c r="C1593" t="s">
        <v>340</v>
      </c>
      <c r="D1593" t="s">
        <v>531</v>
      </c>
      <c r="F1593" t="s">
        <v>1859</v>
      </c>
      <c r="G1593" t="s">
        <v>6041</v>
      </c>
      <c r="H1593" t="s">
        <v>10156</v>
      </c>
      <c r="I1593" t="s">
        <v>17425</v>
      </c>
      <c r="J1593" t="s">
        <v>18892</v>
      </c>
      <c r="K1593">
        <v>10456</v>
      </c>
      <c r="L1593" t="s">
        <v>18958</v>
      </c>
      <c r="M1593" t="s">
        <v>18958</v>
      </c>
      <c r="N1593" t="s">
        <v>20061</v>
      </c>
      <c r="O1593" t="s">
        <v>26534</v>
      </c>
      <c r="P1593" t="s">
        <v>26562</v>
      </c>
      <c r="R1593" t="s">
        <v>26578</v>
      </c>
      <c r="S1593" t="s">
        <v>18958</v>
      </c>
      <c r="U1593" t="s">
        <v>26604</v>
      </c>
      <c r="W1593" t="s">
        <v>531</v>
      </c>
      <c r="X1593">
        <v>1227</v>
      </c>
      <c r="Y1593" t="s">
        <v>26650</v>
      </c>
      <c r="Z1593" t="s">
        <v>26663</v>
      </c>
      <c r="AB1593" t="s">
        <v>28133</v>
      </c>
      <c r="AD1593" t="s">
        <v>38182</v>
      </c>
      <c r="AE1593">
        <v>131</v>
      </c>
      <c r="AF1593" t="s">
        <v>45541</v>
      </c>
      <c r="AG1593" t="s">
        <v>45556</v>
      </c>
      <c r="AH1593">
        <v>9</v>
      </c>
      <c r="AI1593">
        <v>2</v>
      </c>
      <c r="AJ1593">
        <v>3</v>
      </c>
      <c r="AK1593">
        <v>42.18</v>
      </c>
      <c r="AN1593" t="s">
        <v>45581</v>
      </c>
      <c r="AO1593">
        <v>12408</v>
      </c>
      <c r="AU1593">
        <v>0</v>
      </c>
      <c r="AW1593" t="s">
        <v>336</v>
      </c>
    </row>
    <row r="1594" spans="1:49">
      <c r="A1594" s="1">
        <f>HYPERLINK("https://lsnyc.legalserver.org/matter/dynamic-profile/view/1876670","18-1876670")</f>
        <v>0</v>
      </c>
      <c r="B1594" t="s">
        <v>67</v>
      </c>
      <c r="C1594" t="s">
        <v>340</v>
      </c>
      <c r="D1594" t="s">
        <v>531</v>
      </c>
      <c r="F1594" t="s">
        <v>1859</v>
      </c>
      <c r="G1594" t="s">
        <v>6041</v>
      </c>
      <c r="H1594" t="s">
        <v>10156</v>
      </c>
      <c r="I1594" t="s">
        <v>17425</v>
      </c>
      <c r="J1594" t="s">
        <v>18892</v>
      </c>
      <c r="K1594">
        <v>10456</v>
      </c>
      <c r="L1594" t="s">
        <v>18958</v>
      </c>
      <c r="M1594" t="s">
        <v>18958</v>
      </c>
      <c r="N1594" t="s">
        <v>20060</v>
      </c>
      <c r="O1594" t="s">
        <v>26526</v>
      </c>
      <c r="P1594" t="s">
        <v>26560</v>
      </c>
      <c r="R1594" t="s">
        <v>26578</v>
      </c>
      <c r="S1594" t="s">
        <v>18958</v>
      </c>
      <c r="U1594" t="s">
        <v>26604</v>
      </c>
      <c r="W1594" t="s">
        <v>531</v>
      </c>
      <c r="X1594">
        <v>1227</v>
      </c>
      <c r="Y1594" t="s">
        <v>26650</v>
      </c>
      <c r="Z1594" t="s">
        <v>26663</v>
      </c>
      <c r="AB1594" t="s">
        <v>28133</v>
      </c>
      <c r="AD1594" t="s">
        <v>38182</v>
      </c>
      <c r="AE1594">
        <v>131</v>
      </c>
      <c r="AF1594" t="s">
        <v>45541</v>
      </c>
      <c r="AG1594" t="s">
        <v>45556</v>
      </c>
      <c r="AH1594">
        <v>9</v>
      </c>
      <c r="AI1594">
        <v>2</v>
      </c>
      <c r="AJ1594">
        <v>3</v>
      </c>
      <c r="AK1594">
        <v>42.18</v>
      </c>
      <c r="AN1594" t="s">
        <v>45581</v>
      </c>
      <c r="AO1594">
        <v>12408</v>
      </c>
      <c r="AU1594">
        <v>0</v>
      </c>
      <c r="AW1594" t="s">
        <v>336</v>
      </c>
    </row>
    <row r="1595" spans="1:49">
      <c r="A1595" s="1">
        <f>HYPERLINK("https://lsnyc.legalserver.org/matter/dynamic-profile/view/1876713","18-1876713")</f>
        <v>0</v>
      </c>
      <c r="B1595" t="s">
        <v>67</v>
      </c>
      <c r="C1595" t="s">
        <v>340</v>
      </c>
      <c r="D1595" t="s">
        <v>531</v>
      </c>
      <c r="F1595" t="s">
        <v>1860</v>
      </c>
      <c r="G1595" t="s">
        <v>5311</v>
      </c>
      <c r="H1595" t="s">
        <v>10156</v>
      </c>
      <c r="J1595" t="s">
        <v>18892</v>
      </c>
      <c r="K1595">
        <v>10456</v>
      </c>
      <c r="L1595" t="s">
        <v>18958</v>
      </c>
      <c r="M1595" t="s">
        <v>18958</v>
      </c>
      <c r="N1595" t="s">
        <v>20061</v>
      </c>
      <c r="O1595" t="s">
        <v>26534</v>
      </c>
      <c r="P1595" t="s">
        <v>26561</v>
      </c>
      <c r="R1595" t="s">
        <v>26578</v>
      </c>
      <c r="S1595" t="s">
        <v>18958</v>
      </c>
      <c r="U1595" t="s">
        <v>26604</v>
      </c>
      <c r="W1595" t="s">
        <v>531</v>
      </c>
      <c r="X1595">
        <v>1238.23</v>
      </c>
      <c r="Y1595" t="s">
        <v>26650</v>
      </c>
      <c r="Z1595" t="s">
        <v>26663</v>
      </c>
      <c r="AB1595" t="s">
        <v>28134</v>
      </c>
      <c r="AD1595" t="s">
        <v>38183</v>
      </c>
      <c r="AE1595">
        <v>131</v>
      </c>
      <c r="AF1595" t="s">
        <v>45541</v>
      </c>
      <c r="AG1595" t="s">
        <v>19330</v>
      </c>
      <c r="AH1595">
        <v>10</v>
      </c>
      <c r="AI1595">
        <v>1</v>
      </c>
      <c r="AJ1595">
        <v>1</v>
      </c>
      <c r="AK1595">
        <v>78.98</v>
      </c>
      <c r="AN1595" t="s">
        <v>7439</v>
      </c>
      <c r="AO1595">
        <v>13000</v>
      </c>
      <c r="AU1595">
        <v>0</v>
      </c>
      <c r="AW1595" t="s">
        <v>336</v>
      </c>
    </row>
    <row r="1596" spans="1:49">
      <c r="A1596" s="1">
        <f>HYPERLINK("https://lsnyc.legalserver.org/matter/dynamic-profile/view/1876708","18-1876708")</f>
        <v>0</v>
      </c>
      <c r="B1596" t="s">
        <v>67</v>
      </c>
      <c r="C1596" t="s">
        <v>340</v>
      </c>
      <c r="D1596" t="s">
        <v>531</v>
      </c>
      <c r="F1596" t="s">
        <v>1860</v>
      </c>
      <c r="G1596" t="s">
        <v>5311</v>
      </c>
      <c r="H1596" t="s">
        <v>10156</v>
      </c>
      <c r="J1596" t="s">
        <v>18892</v>
      </c>
      <c r="K1596">
        <v>10456</v>
      </c>
      <c r="L1596" t="s">
        <v>18958</v>
      </c>
      <c r="M1596" t="s">
        <v>18958</v>
      </c>
      <c r="N1596" t="s">
        <v>20060</v>
      </c>
      <c r="O1596" t="s">
        <v>26526</v>
      </c>
      <c r="P1596" t="s">
        <v>26560</v>
      </c>
      <c r="R1596" t="s">
        <v>26578</v>
      </c>
      <c r="S1596" t="s">
        <v>18958</v>
      </c>
      <c r="U1596" t="s">
        <v>26604</v>
      </c>
      <c r="W1596" t="s">
        <v>531</v>
      </c>
      <c r="X1596">
        <v>1238.23</v>
      </c>
      <c r="Y1596" t="s">
        <v>26650</v>
      </c>
      <c r="Z1596" t="s">
        <v>26663</v>
      </c>
      <c r="AB1596" t="s">
        <v>28134</v>
      </c>
      <c r="AD1596" t="s">
        <v>38183</v>
      </c>
      <c r="AE1596">
        <v>131</v>
      </c>
      <c r="AF1596" t="s">
        <v>45541</v>
      </c>
      <c r="AG1596" t="s">
        <v>19330</v>
      </c>
      <c r="AH1596">
        <v>10</v>
      </c>
      <c r="AI1596">
        <v>1</v>
      </c>
      <c r="AJ1596">
        <v>1</v>
      </c>
      <c r="AK1596">
        <v>78.98</v>
      </c>
      <c r="AN1596" t="s">
        <v>7439</v>
      </c>
      <c r="AO1596">
        <v>13000</v>
      </c>
      <c r="AU1596">
        <v>0</v>
      </c>
      <c r="AW1596" t="s">
        <v>336</v>
      </c>
    </row>
    <row r="1597" spans="1:49">
      <c r="A1597" s="1">
        <f>HYPERLINK("https://lsnyc.legalserver.org/matter/dynamic-profile/view/1876704","18-1876704")</f>
        <v>0</v>
      </c>
      <c r="B1597" t="s">
        <v>67</v>
      </c>
      <c r="C1597" t="s">
        <v>340</v>
      </c>
      <c r="D1597" t="s">
        <v>531</v>
      </c>
      <c r="F1597" t="s">
        <v>1577</v>
      </c>
      <c r="G1597" t="s">
        <v>6042</v>
      </c>
      <c r="H1597" t="s">
        <v>10156</v>
      </c>
      <c r="I1597" t="s">
        <v>17352</v>
      </c>
      <c r="J1597" t="s">
        <v>18892</v>
      </c>
      <c r="K1597">
        <v>10456</v>
      </c>
      <c r="L1597" t="s">
        <v>18958</v>
      </c>
      <c r="M1597" t="s">
        <v>18958</v>
      </c>
      <c r="N1597" t="s">
        <v>20061</v>
      </c>
      <c r="O1597" t="s">
        <v>26534</v>
      </c>
      <c r="P1597" t="s">
        <v>26561</v>
      </c>
      <c r="R1597" t="s">
        <v>26578</v>
      </c>
      <c r="S1597" t="s">
        <v>18958</v>
      </c>
      <c r="U1597" t="s">
        <v>26604</v>
      </c>
      <c r="W1597" t="s">
        <v>531</v>
      </c>
      <c r="X1597">
        <v>942</v>
      </c>
      <c r="Y1597" t="s">
        <v>26650</v>
      </c>
      <c r="Z1597" t="s">
        <v>26663</v>
      </c>
      <c r="AB1597" t="s">
        <v>28135</v>
      </c>
      <c r="AD1597" t="s">
        <v>38184</v>
      </c>
      <c r="AE1597">
        <v>131</v>
      </c>
      <c r="AF1597" t="s">
        <v>45541</v>
      </c>
      <c r="AG1597" t="s">
        <v>19330</v>
      </c>
      <c r="AH1597">
        <v>27</v>
      </c>
      <c r="AI1597">
        <v>1</v>
      </c>
      <c r="AJ1597">
        <v>0</v>
      </c>
      <c r="AK1597">
        <v>82.73</v>
      </c>
      <c r="AN1597" t="s">
        <v>45581</v>
      </c>
      <c r="AO1597">
        <v>10044</v>
      </c>
      <c r="AU1597">
        <v>0</v>
      </c>
      <c r="AW1597" t="s">
        <v>336</v>
      </c>
    </row>
    <row r="1598" spans="1:49">
      <c r="A1598" s="1">
        <f>HYPERLINK("https://lsnyc.legalserver.org/matter/dynamic-profile/view/1876697","18-1876697")</f>
        <v>0</v>
      </c>
      <c r="B1598" t="s">
        <v>67</v>
      </c>
      <c r="C1598" t="s">
        <v>340</v>
      </c>
      <c r="D1598" t="s">
        <v>531</v>
      </c>
      <c r="F1598" t="s">
        <v>1577</v>
      </c>
      <c r="G1598" t="s">
        <v>6042</v>
      </c>
      <c r="H1598" t="s">
        <v>10156</v>
      </c>
      <c r="I1598" t="s">
        <v>17352</v>
      </c>
      <c r="J1598" t="s">
        <v>18892</v>
      </c>
      <c r="K1598">
        <v>10456</v>
      </c>
      <c r="L1598" t="s">
        <v>18958</v>
      </c>
      <c r="M1598" t="s">
        <v>18958</v>
      </c>
      <c r="N1598" t="s">
        <v>20060</v>
      </c>
      <c r="O1598" t="s">
        <v>26526</v>
      </c>
      <c r="P1598" t="s">
        <v>26560</v>
      </c>
      <c r="R1598" t="s">
        <v>26578</v>
      </c>
      <c r="S1598" t="s">
        <v>18958</v>
      </c>
      <c r="U1598" t="s">
        <v>26604</v>
      </c>
      <c r="W1598" t="s">
        <v>531</v>
      </c>
      <c r="X1598">
        <v>942</v>
      </c>
      <c r="Y1598" t="s">
        <v>26650</v>
      </c>
      <c r="Z1598" t="s">
        <v>26663</v>
      </c>
      <c r="AB1598" t="s">
        <v>28135</v>
      </c>
      <c r="AD1598" t="s">
        <v>38184</v>
      </c>
      <c r="AE1598">
        <v>131</v>
      </c>
      <c r="AF1598" t="s">
        <v>45541</v>
      </c>
      <c r="AG1598" t="s">
        <v>19330</v>
      </c>
      <c r="AH1598">
        <v>27</v>
      </c>
      <c r="AI1598">
        <v>1</v>
      </c>
      <c r="AJ1598">
        <v>0</v>
      </c>
      <c r="AK1598">
        <v>82.73</v>
      </c>
      <c r="AN1598" t="s">
        <v>45581</v>
      </c>
      <c r="AO1598">
        <v>10044</v>
      </c>
      <c r="AU1598">
        <v>0</v>
      </c>
      <c r="AW1598" t="s">
        <v>336</v>
      </c>
    </row>
    <row r="1599" spans="1:49">
      <c r="A1599" s="1">
        <f>HYPERLINK("https://lsnyc.legalserver.org/matter/dynamic-profile/view/1876715","18-1876715")</f>
        <v>0</v>
      </c>
      <c r="B1599" t="s">
        <v>67</v>
      </c>
      <c r="C1599" t="s">
        <v>340</v>
      </c>
      <c r="D1599" t="s">
        <v>531</v>
      </c>
      <c r="F1599" t="s">
        <v>1861</v>
      </c>
      <c r="G1599" t="s">
        <v>5447</v>
      </c>
      <c r="H1599" t="s">
        <v>10156</v>
      </c>
      <c r="I1599" t="s">
        <v>17348</v>
      </c>
      <c r="J1599" t="s">
        <v>18892</v>
      </c>
      <c r="K1599">
        <v>10456</v>
      </c>
      <c r="L1599" t="s">
        <v>18958</v>
      </c>
      <c r="M1599" t="s">
        <v>18958</v>
      </c>
      <c r="N1599" t="s">
        <v>20061</v>
      </c>
      <c r="O1599" t="s">
        <v>26534</v>
      </c>
      <c r="P1599" t="s">
        <v>26562</v>
      </c>
      <c r="R1599" t="s">
        <v>26578</v>
      </c>
      <c r="S1599" t="s">
        <v>18958</v>
      </c>
      <c r="U1599" t="s">
        <v>26604</v>
      </c>
      <c r="W1599" t="s">
        <v>531</v>
      </c>
      <c r="X1599">
        <v>1047</v>
      </c>
      <c r="Y1599" t="s">
        <v>26650</v>
      </c>
      <c r="Z1599" t="s">
        <v>26663</v>
      </c>
      <c r="AB1599" t="s">
        <v>28136</v>
      </c>
      <c r="AD1599" t="s">
        <v>38185</v>
      </c>
      <c r="AE1599">
        <v>131</v>
      </c>
      <c r="AF1599" t="s">
        <v>45541</v>
      </c>
      <c r="AG1599" t="s">
        <v>19330</v>
      </c>
      <c r="AH1599">
        <v>13</v>
      </c>
      <c r="AI1599">
        <v>2</v>
      </c>
      <c r="AJ1599">
        <v>0</v>
      </c>
      <c r="AK1599">
        <v>186.72</v>
      </c>
      <c r="AN1599" t="s">
        <v>45581</v>
      </c>
      <c r="AO1599">
        <v>30734.8</v>
      </c>
      <c r="AU1599">
        <v>0</v>
      </c>
      <c r="AW1599" t="s">
        <v>336</v>
      </c>
    </row>
    <row r="1600" spans="1:49">
      <c r="A1600" s="1">
        <f>HYPERLINK("https://lsnyc.legalserver.org/matter/dynamic-profile/view/1876718","18-1876718")</f>
        <v>0</v>
      </c>
      <c r="B1600" t="s">
        <v>67</v>
      </c>
      <c r="C1600" t="s">
        <v>340</v>
      </c>
      <c r="D1600" t="s">
        <v>531</v>
      </c>
      <c r="F1600" t="s">
        <v>1861</v>
      </c>
      <c r="G1600" t="s">
        <v>5447</v>
      </c>
      <c r="H1600" t="s">
        <v>10156</v>
      </c>
      <c r="I1600" t="s">
        <v>17348</v>
      </c>
      <c r="J1600" t="s">
        <v>18892</v>
      </c>
      <c r="K1600">
        <v>10456</v>
      </c>
      <c r="L1600" t="s">
        <v>18958</v>
      </c>
      <c r="M1600" t="s">
        <v>18958</v>
      </c>
      <c r="N1600" t="s">
        <v>20060</v>
      </c>
      <c r="O1600" t="s">
        <v>26526</v>
      </c>
      <c r="P1600" t="s">
        <v>26560</v>
      </c>
      <c r="R1600" t="s">
        <v>26578</v>
      </c>
      <c r="S1600" t="s">
        <v>18958</v>
      </c>
      <c r="U1600" t="s">
        <v>26604</v>
      </c>
      <c r="W1600" t="s">
        <v>531</v>
      </c>
      <c r="X1600">
        <v>1047</v>
      </c>
      <c r="Y1600" t="s">
        <v>26650</v>
      </c>
      <c r="Z1600" t="s">
        <v>26663</v>
      </c>
      <c r="AB1600" t="s">
        <v>28136</v>
      </c>
      <c r="AD1600" t="s">
        <v>38185</v>
      </c>
      <c r="AE1600">
        <v>131</v>
      </c>
      <c r="AF1600" t="s">
        <v>45541</v>
      </c>
      <c r="AG1600" t="s">
        <v>19330</v>
      </c>
      <c r="AH1600">
        <v>13</v>
      </c>
      <c r="AI1600">
        <v>2</v>
      </c>
      <c r="AJ1600">
        <v>0</v>
      </c>
      <c r="AK1600">
        <v>186.72</v>
      </c>
      <c r="AN1600" t="s">
        <v>45581</v>
      </c>
      <c r="AO1600">
        <v>30734.8</v>
      </c>
      <c r="AU1600">
        <v>0</v>
      </c>
      <c r="AW1600" t="s">
        <v>336</v>
      </c>
    </row>
    <row r="1601" spans="1:50">
      <c r="A1601" s="1">
        <f>HYPERLINK("https://lsnyc.legalserver.org/matter/dynamic-profile/view/1876634","18-1876634")</f>
        <v>0</v>
      </c>
      <c r="B1601" t="s">
        <v>67</v>
      </c>
      <c r="C1601" t="s">
        <v>340</v>
      </c>
      <c r="D1601" t="s">
        <v>531</v>
      </c>
      <c r="F1601" t="s">
        <v>1862</v>
      </c>
      <c r="G1601" t="s">
        <v>5191</v>
      </c>
      <c r="H1601" t="s">
        <v>10156</v>
      </c>
      <c r="I1601" t="s">
        <v>17353</v>
      </c>
      <c r="J1601" t="s">
        <v>18892</v>
      </c>
      <c r="K1601">
        <v>10456</v>
      </c>
      <c r="L1601" t="s">
        <v>18958</v>
      </c>
      <c r="M1601" t="s">
        <v>18958</v>
      </c>
      <c r="N1601" t="s">
        <v>20060</v>
      </c>
      <c r="O1601" t="s">
        <v>26526</v>
      </c>
      <c r="P1601" t="s">
        <v>26560</v>
      </c>
      <c r="R1601" t="s">
        <v>26578</v>
      </c>
      <c r="S1601" t="s">
        <v>18958</v>
      </c>
      <c r="U1601" t="s">
        <v>26604</v>
      </c>
      <c r="W1601" t="s">
        <v>531</v>
      </c>
      <c r="X1601">
        <v>980</v>
      </c>
      <c r="Y1601" t="s">
        <v>26650</v>
      </c>
      <c r="Z1601" t="s">
        <v>26663</v>
      </c>
      <c r="AB1601" t="s">
        <v>28137</v>
      </c>
      <c r="AD1601" t="s">
        <v>38186</v>
      </c>
      <c r="AE1601">
        <v>131</v>
      </c>
      <c r="AF1601" t="s">
        <v>45541</v>
      </c>
      <c r="AG1601" t="s">
        <v>19330</v>
      </c>
      <c r="AH1601">
        <v>4</v>
      </c>
      <c r="AI1601">
        <v>2</v>
      </c>
      <c r="AJ1601">
        <v>0</v>
      </c>
      <c r="AK1601">
        <v>243.01</v>
      </c>
      <c r="AN1601" t="s">
        <v>7439</v>
      </c>
      <c r="AO1601">
        <v>40000</v>
      </c>
      <c r="AU1601">
        <v>0</v>
      </c>
      <c r="AW1601" t="s">
        <v>336</v>
      </c>
    </row>
    <row r="1602" spans="1:50">
      <c r="A1602" s="1">
        <f>HYPERLINK("https://lsnyc.legalserver.org/matter/dynamic-profile/view/1876628","18-1876628")</f>
        <v>0</v>
      </c>
      <c r="B1602" t="s">
        <v>67</v>
      </c>
      <c r="C1602" t="s">
        <v>340</v>
      </c>
      <c r="D1602" t="s">
        <v>531</v>
      </c>
      <c r="F1602" t="s">
        <v>1603</v>
      </c>
      <c r="G1602" t="s">
        <v>5265</v>
      </c>
      <c r="H1602" t="s">
        <v>10156</v>
      </c>
      <c r="I1602" t="s">
        <v>17421</v>
      </c>
      <c r="J1602" t="s">
        <v>18892</v>
      </c>
      <c r="K1602">
        <v>10456</v>
      </c>
      <c r="L1602" t="s">
        <v>18958</v>
      </c>
      <c r="M1602" t="s">
        <v>18958</v>
      </c>
      <c r="N1602" t="s">
        <v>20060</v>
      </c>
      <c r="O1602" t="s">
        <v>26526</v>
      </c>
      <c r="P1602" t="s">
        <v>26560</v>
      </c>
      <c r="R1602" t="s">
        <v>26578</v>
      </c>
      <c r="S1602" t="s">
        <v>18958</v>
      </c>
      <c r="U1602" t="s">
        <v>26604</v>
      </c>
      <c r="W1602" t="s">
        <v>531</v>
      </c>
      <c r="X1602">
        <v>706</v>
      </c>
      <c r="Y1602" t="s">
        <v>26650</v>
      </c>
      <c r="Z1602" t="s">
        <v>26663</v>
      </c>
      <c r="AB1602" t="s">
        <v>28138</v>
      </c>
      <c r="AD1602" t="s">
        <v>38187</v>
      </c>
      <c r="AE1602">
        <v>131</v>
      </c>
      <c r="AF1602" t="s">
        <v>45541</v>
      </c>
      <c r="AG1602" t="s">
        <v>19330</v>
      </c>
      <c r="AH1602">
        <v>8</v>
      </c>
      <c r="AI1602">
        <v>2</v>
      </c>
      <c r="AJ1602">
        <v>1</v>
      </c>
      <c r="AK1602">
        <v>668.91</v>
      </c>
      <c r="AN1602" t="s">
        <v>7439</v>
      </c>
      <c r="AO1602">
        <v>139000</v>
      </c>
      <c r="AU1602">
        <v>0</v>
      </c>
      <c r="AW1602" t="s">
        <v>336</v>
      </c>
    </row>
    <row r="1603" spans="1:50">
      <c r="A1603" s="1">
        <f>HYPERLINK("https://lsnyc.legalserver.org/matter/dynamic-profile/view/1876642","18-1876642")</f>
        <v>0</v>
      </c>
      <c r="B1603" t="s">
        <v>116</v>
      </c>
      <c r="C1603" t="s">
        <v>340</v>
      </c>
      <c r="D1603" t="s">
        <v>531</v>
      </c>
      <c r="F1603" t="s">
        <v>1863</v>
      </c>
      <c r="G1603" t="s">
        <v>6043</v>
      </c>
      <c r="H1603" t="s">
        <v>10465</v>
      </c>
      <c r="I1603" t="s">
        <v>17388</v>
      </c>
      <c r="J1603" t="s">
        <v>18894</v>
      </c>
      <c r="K1603">
        <v>11212</v>
      </c>
      <c r="L1603" t="s">
        <v>18958</v>
      </c>
      <c r="M1603" t="s">
        <v>18958</v>
      </c>
      <c r="O1603" t="s">
        <v>26540</v>
      </c>
      <c r="P1603" t="s">
        <v>26560</v>
      </c>
      <c r="R1603" t="s">
        <v>26578</v>
      </c>
      <c r="S1603" t="s">
        <v>18958</v>
      </c>
      <c r="U1603" t="s">
        <v>26604</v>
      </c>
      <c r="V1603" t="s">
        <v>26610</v>
      </c>
      <c r="W1603" t="s">
        <v>531</v>
      </c>
      <c r="X1603">
        <v>389.17</v>
      </c>
      <c r="Y1603" t="s">
        <v>26652</v>
      </c>
      <c r="Z1603" t="s">
        <v>26667</v>
      </c>
      <c r="AB1603" t="s">
        <v>28139</v>
      </c>
      <c r="AD1603" t="s">
        <v>38188</v>
      </c>
      <c r="AE1603">
        <v>10</v>
      </c>
      <c r="AF1603" t="s">
        <v>45541</v>
      </c>
      <c r="AG1603" t="s">
        <v>19330</v>
      </c>
      <c r="AH1603">
        <v>6</v>
      </c>
      <c r="AI1603">
        <v>1</v>
      </c>
      <c r="AJ1603">
        <v>0</v>
      </c>
      <c r="AK1603">
        <v>74.95999999999999</v>
      </c>
      <c r="AN1603" t="s">
        <v>7439</v>
      </c>
      <c r="AO1603">
        <v>9100</v>
      </c>
      <c r="AU1603">
        <v>4.7</v>
      </c>
      <c r="AV1603" t="s">
        <v>772</v>
      </c>
      <c r="AW1603" t="s">
        <v>116</v>
      </c>
    </row>
    <row r="1604" spans="1:50">
      <c r="A1604" s="1">
        <f>HYPERLINK("https://lsnyc.legalserver.org/matter/dynamic-profile/view/1876612","18-1876612")</f>
        <v>0</v>
      </c>
      <c r="B1604" t="s">
        <v>101</v>
      </c>
      <c r="C1604" t="s">
        <v>340</v>
      </c>
      <c r="D1604" t="s">
        <v>531</v>
      </c>
      <c r="F1604" t="s">
        <v>936</v>
      </c>
      <c r="G1604" t="s">
        <v>3718</v>
      </c>
      <c r="H1604" t="s">
        <v>10964</v>
      </c>
      <c r="I1604" t="s">
        <v>17692</v>
      </c>
      <c r="J1604" t="s">
        <v>18894</v>
      </c>
      <c r="K1604">
        <v>11225</v>
      </c>
      <c r="L1604" t="s">
        <v>18958</v>
      </c>
      <c r="M1604" t="s">
        <v>18958</v>
      </c>
      <c r="N1604" t="s">
        <v>20163</v>
      </c>
      <c r="O1604" t="s">
        <v>26523</v>
      </c>
      <c r="P1604" t="s">
        <v>26560</v>
      </c>
      <c r="R1604" t="s">
        <v>26588</v>
      </c>
      <c r="S1604" t="s">
        <v>18959</v>
      </c>
      <c r="U1604" t="s">
        <v>26604</v>
      </c>
      <c r="W1604" t="s">
        <v>531</v>
      </c>
      <c r="X1604">
        <v>1218.89</v>
      </c>
      <c r="Y1604" t="s">
        <v>26652</v>
      </c>
      <c r="Z1604" t="s">
        <v>26669</v>
      </c>
      <c r="AB1604" t="s">
        <v>28140</v>
      </c>
      <c r="AD1604" t="s">
        <v>38189</v>
      </c>
      <c r="AE1604">
        <v>22</v>
      </c>
      <c r="AF1604" t="s">
        <v>45541</v>
      </c>
      <c r="AG1604" t="s">
        <v>45557</v>
      </c>
      <c r="AH1604">
        <v>15</v>
      </c>
      <c r="AI1604">
        <v>2</v>
      </c>
      <c r="AJ1604">
        <v>1</v>
      </c>
      <c r="AK1604">
        <v>72.18000000000001</v>
      </c>
      <c r="AN1604" t="s">
        <v>7439</v>
      </c>
      <c r="AO1604">
        <v>15000</v>
      </c>
      <c r="AQ1604" t="s">
        <v>46362</v>
      </c>
      <c r="AR1604" t="s">
        <v>46395</v>
      </c>
      <c r="AU1604">
        <v>24.9</v>
      </c>
      <c r="AV1604" t="s">
        <v>792</v>
      </c>
      <c r="AW1604" t="s">
        <v>281</v>
      </c>
    </row>
    <row r="1605" spans="1:50">
      <c r="A1605" s="1">
        <f>HYPERLINK("https://lsnyc.legalserver.org/matter/dynamic-profile/view/1876566","18-1876566")</f>
        <v>0</v>
      </c>
      <c r="B1605" t="s">
        <v>103</v>
      </c>
      <c r="C1605" t="s">
        <v>340</v>
      </c>
      <c r="D1605" t="s">
        <v>531</v>
      </c>
      <c r="F1605" t="s">
        <v>1178</v>
      </c>
      <c r="G1605" t="s">
        <v>5269</v>
      </c>
      <c r="H1605" t="s">
        <v>10965</v>
      </c>
      <c r="I1605" t="s">
        <v>17331</v>
      </c>
      <c r="J1605" t="s">
        <v>18902</v>
      </c>
      <c r="K1605">
        <v>10301</v>
      </c>
      <c r="L1605" t="s">
        <v>18959</v>
      </c>
      <c r="M1605" t="s">
        <v>18959</v>
      </c>
      <c r="N1605" t="s">
        <v>19037</v>
      </c>
      <c r="O1605" t="s">
        <v>18997</v>
      </c>
      <c r="P1605" t="s">
        <v>26564</v>
      </c>
      <c r="R1605" t="s">
        <v>26578</v>
      </c>
      <c r="S1605" t="s">
        <v>18959</v>
      </c>
      <c r="U1605" t="s">
        <v>26604</v>
      </c>
      <c r="V1605" t="s">
        <v>26610</v>
      </c>
      <c r="W1605" t="s">
        <v>531</v>
      </c>
      <c r="X1605">
        <v>1200</v>
      </c>
      <c r="Y1605" t="s">
        <v>26654</v>
      </c>
      <c r="Z1605" t="s">
        <v>26661</v>
      </c>
      <c r="AB1605" t="s">
        <v>28141</v>
      </c>
      <c r="AE1605">
        <v>8</v>
      </c>
      <c r="AF1605" t="s">
        <v>45547</v>
      </c>
      <c r="AG1605" t="s">
        <v>45561</v>
      </c>
      <c r="AH1605">
        <v>8</v>
      </c>
      <c r="AI1605">
        <v>1</v>
      </c>
      <c r="AJ1605">
        <v>0</v>
      </c>
      <c r="AK1605">
        <v>0</v>
      </c>
      <c r="AN1605" t="s">
        <v>7439</v>
      </c>
      <c r="AO1605">
        <v>0</v>
      </c>
      <c r="AU1605">
        <v>2.6</v>
      </c>
      <c r="AV1605" t="s">
        <v>775</v>
      </c>
      <c r="AW1605" t="s">
        <v>46857</v>
      </c>
    </row>
    <row r="1606" spans="1:50">
      <c r="A1606" s="1">
        <f>HYPERLINK("https://lsnyc.legalserver.org/matter/dynamic-profile/view/1876956","18-1876956")</f>
        <v>0</v>
      </c>
      <c r="B1606" t="s">
        <v>63</v>
      </c>
      <c r="C1606" t="s">
        <v>340</v>
      </c>
      <c r="D1606" t="s">
        <v>531</v>
      </c>
      <c r="F1606" t="s">
        <v>1864</v>
      </c>
      <c r="G1606" t="s">
        <v>5419</v>
      </c>
      <c r="H1606" t="s">
        <v>10966</v>
      </c>
      <c r="I1606" t="s">
        <v>17693</v>
      </c>
      <c r="J1606" t="s">
        <v>18892</v>
      </c>
      <c r="K1606">
        <v>10459</v>
      </c>
      <c r="L1606" t="s">
        <v>18958</v>
      </c>
      <c r="M1606" t="s">
        <v>18958</v>
      </c>
      <c r="O1606" t="s">
        <v>26524</v>
      </c>
      <c r="P1606" t="s">
        <v>26560</v>
      </c>
      <c r="R1606" t="s">
        <v>26589</v>
      </c>
      <c r="S1606" t="s">
        <v>18959</v>
      </c>
      <c r="U1606" t="s">
        <v>26604</v>
      </c>
      <c r="W1606" t="s">
        <v>531</v>
      </c>
      <c r="X1606">
        <v>1720</v>
      </c>
      <c r="Y1606" t="s">
        <v>26650</v>
      </c>
      <c r="Z1606" t="s">
        <v>26671</v>
      </c>
      <c r="AB1606" t="s">
        <v>28142</v>
      </c>
      <c r="AD1606" t="s">
        <v>38190</v>
      </c>
      <c r="AE1606">
        <v>128</v>
      </c>
      <c r="AF1606" t="s">
        <v>45541</v>
      </c>
      <c r="AG1606" t="s">
        <v>19330</v>
      </c>
      <c r="AH1606">
        <v>11</v>
      </c>
      <c r="AI1606">
        <v>2</v>
      </c>
      <c r="AJ1606">
        <v>2</v>
      </c>
      <c r="AK1606">
        <v>134.5</v>
      </c>
      <c r="AL1606" t="s">
        <v>45567</v>
      </c>
      <c r="AM1606" t="s">
        <v>45577</v>
      </c>
      <c r="AN1606" t="s">
        <v>7439</v>
      </c>
      <c r="AO1606">
        <v>33760</v>
      </c>
      <c r="AU1606">
        <v>27.2</v>
      </c>
      <c r="AV1606" t="s">
        <v>829</v>
      </c>
      <c r="AW1606" t="s">
        <v>248</v>
      </c>
    </row>
    <row r="1607" spans="1:50">
      <c r="A1607" s="1">
        <f>HYPERLINK("https://lsnyc.legalserver.org/matter/dynamic-profile/view/1845125","17-1845125")</f>
        <v>0</v>
      </c>
      <c r="B1607" t="s">
        <v>81</v>
      </c>
      <c r="C1607" t="s">
        <v>341</v>
      </c>
      <c r="D1607" t="s">
        <v>552</v>
      </c>
      <c r="E1607" t="s">
        <v>760</v>
      </c>
      <c r="F1607" t="s">
        <v>1865</v>
      </c>
      <c r="G1607" t="s">
        <v>6044</v>
      </c>
      <c r="H1607" t="s">
        <v>10967</v>
      </c>
      <c r="I1607">
        <v>3</v>
      </c>
      <c r="J1607" t="s">
        <v>18892</v>
      </c>
      <c r="K1607">
        <v>10457</v>
      </c>
      <c r="L1607" t="s">
        <v>18958</v>
      </c>
      <c r="M1607" t="s">
        <v>18960</v>
      </c>
      <c r="N1607" t="s">
        <v>20164</v>
      </c>
      <c r="O1607" t="s">
        <v>26524</v>
      </c>
      <c r="P1607" t="s">
        <v>26560</v>
      </c>
      <c r="Q1607" t="s">
        <v>26568</v>
      </c>
      <c r="R1607" t="s">
        <v>26579</v>
      </c>
      <c r="S1607" t="s">
        <v>18959</v>
      </c>
      <c r="U1607" t="s">
        <v>26604</v>
      </c>
      <c r="V1607" t="s">
        <v>26611</v>
      </c>
      <c r="W1607" t="s">
        <v>422</v>
      </c>
      <c r="X1607">
        <v>1490</v>
      </c>
      <c r="Y1607" t="s">
        <v>26650</v>
      </c>
      <c r="Z1607" t="s">
        <v>26662</v>
      </c>
      <c r="AA1607" t="s">
        <v>26679</v>
      </c>
      <c r="AB1607" t="s">
        <v>28143</v>
      </c>
      <c r="AC1607" t="s">
        <v>34984</v>
      </c>
      <c r="AD1607" t="s">
        <v>38191</v>
      </c>
      <c r="AE1607">
        <v>3</v>
      </c>
      <c r="AF1607" t="s">
        <v>45547</v>
      </c>
      <c r="AG1607" t="s">
        <v>45556</v>
      </c>
      <c r="AH1607">
        <v>2</v>
      </c>
      <c r="AI1607">
        <v>2</v>
      </c>
      <c r="AJ1607">
        <v>0</v>
      </c>
      <c r="AK1607">
        <v>88.67</v>
      </c>
      <c r="AN1607" t="s">
        <v>7439</v>
      </c>
      <c r="AO1607">
        <v>14400</v>
      </c>
      <c r="AP1607" t="s">
        <v>45620</v>
      </c>
      <c r="AQ1607" t="s">
        <v>46366</v>
      </c>
      <c r="AR1607" t="s">
        <v>26530</v>
      </c>
      <c r="AS1607" t="s">
        <v>46499</v>
      </c>
      <c r="AT1607" t="s">
        <v>46617</v>
      </c>
      <c r="AU1607">
        <v>84.52</v>
      </c>
      <c r="AV1607" t="s">
        <v>572</v>
      </c>
      <c r="AW1607" t="s">
        <v>46848</v>
      </c>
      <c r="AX1607" t="s">
        <v>46898</v>
      </c>
    </row>
    <row r="1608" spans="1:50">
      <c r="A1608" s="1">
        <f>HYPERLINK("https://lsnyc.legalserver.org/matter/dynamic-profile/view/1845095","17-1845095")</f>
        <v>0</v>
      </c>
      <c r="B1608" t="s">
        <v>75</v>
      </c>
      <c r="C1608" t="s">
        <v>340</v>
      </c>
      <c r="D1608" t="s">
        <v>552</v>
      </c>
      <c r="F1608" t="s">
        <v>939</v>
      </c>
      <c r="G1608" t="s">
        <v>5827</v>
      </c>
      <c r="H1608" t="s">
        <v>10968</v>
      </c>
      <c r="I1608" t="s">
        <v>17322</v>
      </c>
      <c r="J1608" t="s">
        <v>18892</v>
      </c>
      <c r="K1608">
        <v>10456</v>
      </c>
      <c r="L1608" t="s">
        <v>18958</v>
      </c>
      <c r="M1608" t="s">
        <v>18958</v>
      </c>
      <c r="N1608" t="s">
        <v>20165</v>
      </c>
      <c r="O1608" t="s">
        <v>26524</v>
      </c>
      <c r="P1608" t="s">
        <v>26560</v>
      </c>
      <c r="R1608" t="s">
        <v>26577</v>
      </c>
      <c r="S1608" t="s">
        <v>18959</v>
      </c>
      <c r="U1608" t="s">
        <v>26604</v>
      </c>
      <c r="W1608" t="s">
        <v>422</v>
      </c>
      <c r="X1608">
        <v>459.18</v>
      </c>
      <c r="Y1608" t="s">
        <v>26650</v>
      </c>
      <c r="Z1608" t="s">
        <v>26656</v>
      </c>
      <c r="AB1608" t="s">
        <v>28144</v>
      </c>
      <c r="AC1608" t="s">
        <v>34985</v>
      </c>
      <c r="AD1608" t="s">
        <v>38192</v>
      </c>
      <c r="AE1608">
        <v>0</v>
      </c>
      <c r="AF1608" t="s">
        <v>45541</v>
      </c>
      <c r="AG1608" t="s">
        <v>45556</v>
      </c>
      <c r="AH1608">
        <v>8</v>
      </c>
      <c r="AI1608">
        <v>1</v>
      </c>
      <c r="AJ1608">
        <v>1</v>
      </c>
      <c r="AK1608">
        <v>88.67</v>
      </c>
      <c r="AN1608" t="s">
        <v>7439</v>
      </c>
      <c r="AO1608">
        <v>14400</v>
      </c>
      <c r="AP1608" t="s">
        <v>45620</v>
      </c>
      <c r="AU1608">
        <v>51.4</v>
      </c>
      <c r="AV1608" t="s">
        <v>819</v>
      </c>
      <c r="AW1608" t="s">
        <v>46848</v>
      </c>
    </row>
    <row r="1609" spans="1:50">
      <c r="A1609" s="1">
        <f>HYPERLINK("https://lsnyc.legalserver.org/matter/dynamic-profile/view/1872850","18-1872850")</f>
        <v>0</v>
      </c>
      <c r="B1609" t="s">
        <v>124</v>
      </c>
      <c r="C1609" t="s">
        <v>341</v>
      </c>
      <c r="D1609" t="s">
        <v>449</v>
      </c>
      <c r="E1609" t="s">
        <v>422</v>
      </c>
      <c r="F1609" t="s">
        <v>1275</v>
      </c>
      <c r="G1609" t="s">
        <v>6045</v>
      </c>
      <c r="H1609" t="s">
        <v>10969</v>
      </c>
      <c r="I1609">
        <v>3</v>
      </c>
      <c r="J1609" t="s">
        <v>18894</v>
      </c>
      <c r="K1609">
        <v>11206</v>
      </c>
      <c r="L1609" t="s">
        <v>18958</v>
      </c>
      <c r="M1609" t="s">
        <v>18958</v>
      </c>
      <c r="N1609" t="s">
        <v>20166</v>
      </c>
      <c r="O1609" t="s">
        <v>26524</v>
      </c>
      <c r="P1609" t="s">
        <v>26564</v>
      </c>
      <c r="Q1609" t="s">
        <v>26570</v>
      </c>
      <c r="R1609" t="s">
        <v>26586</v>
      </c>
      <c r="S1609" t="s">
        <v>18959</v>
      </c>
      <c r="U1609" t="s">
        <v>26604</v>
      </c>
      <c r="W1609" t="s">
        <v>422</v>
      </c>
      <c r="X1609">
        <v>1688</v>
      </c>
      <c r="Y1609" t="s">
        <v>26652</v>
      </c>
      <c r="Z1609" t="s">
        <v>26664</v>
      </c>
      <c r="AA1609" t="s">
        <v>26683</v>
      </c>
      <c r="AB1609" t="s">
        <v>28145</v>
      </c>
      <c r="AC1609" t="s">
        <v>34986</v>
      </c>
      <c r="AD1609" t="s">
        <v>38193</v>
      </c>
      <c r="AE1609">
        <v>3</v>
      </c>
      <c r="AF1609" t="s">
        <v>45547</v>
      </c>
      <c r="AG1609" t="s">
        <v>45556</v>
      </c>
      <c r="AH1609">
        <v>5</v>
      </c>
      <c r="AI1609">
        <v>2</v>
      </c>
      <c r="AJ1609">
        <v>0</v>
      </c>
      <c r="AK1609">
        <v>68.38</v>
      </c>
      <c r="AN1609" t="s">
        <v>7439</v>
      </c>
      <c r="AO1609">
        <v>11256</v>
      </c>
      <c r="AU1609">
        <v>5.15</v>
      </c>
      <c r="AV1609" t="s">
        <v>594</v>
      </c>
      <c r="AW1609" t="s">
        <v>237</v>
      </c>
    </row>
    <row r="1610" spans="1:50">
      <c r="A1610" s="1">
        <f>HYPERLINK("https://lsnyc.legalserver.org/matter/dynamic-profile/view/1874927","18-1874927")</f>
        <v>0</v>
      </c>
      <c r="B1610" t="s">
        <v>128</v>
      </c>
      <c r="C1610" t="s">
        <v>341</v>
      </c>
      <c r="D1610" t="s">
        <v>477</v>
      </c>
      <c r="E1610" t="s">
        <v>757</v>
      </c>
      <c r="F1610" t="s">
        <v>937</v>
      </c>
      <c r="G1610" t="s">
        <v>5565</v>
      </c>
      <c r="H1610" t="s">
        <v>10970</v>
      </c>
      <c r="I1610" t="s">
        <v>17648</v>
      </c>
      <c r="J1610" t="s">
        <v>18894</v>
      </c>
      <c r="K1610">
        <v>11217</v>
      </c>
      <c r="L1610" t="s">
        <v>18958</v>
      </c>
      <c r="M1610" t="s">
        <v>18958</v>
      </c>
      <c r="N1610" t="s">
        <v>20167</v>
      </c>
      <c r="O1610" t="s">
        <v>26523</v>
      </c>
      <c r="P1610" t="s">
        <v>26560</v>
      </c>
      <c r="Q1610" t="s">
        <v>26575</v>
      </c>
      <c r="R1610" t="s">
        <v>26586</v>
      </c>
      <c r="S1610" t="s">
        <v>18959</v>
      </c>
      <c r="U1610" t="s">
        <v>26604</v>
      </c>
      <c r="V1610" t="s">
        <v>26610</v>
      </c>
      <c r="W1610" t="s">
        <v>422</v>
      </c>
      <c r="X1610">
        <v>581</v>
      </c>
      <c r="Y1610" t="s">
        <v>26652</v>
      </c>
      <c r="Z1610" t="s">
        <v>26659</v>
      </c>
      <c r="AA1610" t="s">
        <v>26678</v>
      </c>
      <c r="AB1610" t="s">
        <v>27278</v>
      </c>
      <c r="AD1610" t="s">
        <v>38194</v>
      </c>
      <c r="AE1610">
        <v>8</v>
      </c>
      <c r="AF1610" t="s">
        <v>45541</v>
      </c>
      <c r="AG1610" t="s">
        <v>19330</v>
      </c>
      <c r="AH1610">
        <v>20</v>
      </c>
      <c r="AI1610">
        <v>2</v>
      </c>
      <c r="AJ1610">
        <v>2</v>
      </c>
      <c r="AK1610">
        <v>49.29</v>
      </c>
      <c r="AN1610" t="s">
        <v>45581</v>
      </c>
      <c r="AO1610">
        <v>12372</v>
      </c>
      <c r="AQ1610" t="s">
        <v>46359</v>
      </c>
      <c r="AR1610" t="s">
        <v>46379</v>
      </c>
      <c r="AS1610" t="s">
        <v>46499</v>
      </c>
      <c r="AT1610" t="s">
        <v>46596</v>
      </c>
      <c r="AU1610">
        <v>44.4</v>
      </c>
      <c r="AV1610" t="s">
        <v>756</v>
      </c>
      <c r="AW1610" t="s">
        <v>237</v>
      </c>
      <c r="AX1610" t="s">
        <v>46897</v>
      </c>
    </row>
    <row r="1611" spans="1:50">
      <c r="A1611" s="1">
        <f>HYPERLINK("https://lsnyc.legalserver.org/matter/dynamic-profile/view/1876212","18-1876212")</f>
        <v>0</v>
      </c>
      <c r="B1611" t="s">
        <v>244</v>
      </c>
      <c r="C1611" t="s">
        <v>341</v>
      </c>
      <c r="D1611" t="s">
        <v>522</v>
      </c>
      <c r="E1611" t="s">
        <v>422</v>
      </c>
      <c r="F1611" t="s">
        <v>1866</v>
      </c>
      <c r="G1611" t="s">
        <v>5295</v>
      </c>
      <c r="H1611" t="s">
        <v>10971</v>
      </c>
      <c r="I1611" t="s">
        <v>17291</v>
      </c>
      <c r="J1611" t="s">
        <v>18894</v>
      </c>
      <c r="K1611">
        <v>11216</v>
      </c>
      <c r="L1611" t="s">
        <v>18958</v>
      </c>
      <c r="M1611" t="s">
        <v>18958</v>
      </c>
      <c r="N1611" t="s">
        <v>20168</v>
      </c>
      <c r="O1611" t="s">
        <v>26524</v>
      </c>
      <c r="P1611" t="s">
        <v>26564</v>
      </c>
      <c r="Q1611" t="s">
        <v>26570</v>
      </c>
      <c r="R1611" t="s">
        <v>26588</v>
      </c>
      <c r="U1611" t="s">
        <v>26604</v>
      </c>
      <c r="W1611" t="s">
        <v>422</v>
      </c>
      <c r="X1611">
        <v>1200</v>
      </c>
      <c r="Y1611" t="s">
        <v>26652</v>
      </c>
      <c r="Z1611" t="s">
        <v>26663</v>
      </c>
      <c r="AA1611" t="s">
        <v>26683</v>
      </c>
      <c r="AB1611" t="s">
        <v>28146</v>
      </c>
      <c r="AD1611" t="s">
        <v>38195</v>
      </c>
      <c r="AE1611">
        <v>6</v>
      </c>
      <c r="AH1611">
        <v>13</v>
      </c>
      <c r="AI1611">
        <v>3</v>
      </c>
      <c r="AJ1611">
        <v>1</v>
      </c>
      <c r="AK1611">
        <v>258.96</v>
      </c>
      <c r="AN1611" t="s">
        <v>7439</v>
      </c>
      <c r="AO1611">
        <v>65000</v>
      </c>
      <c r="AU1611">
        <v>1.1</v>
      </c>
      <c r="AV1611" t="s">
        <v>422</v>
      </c>
      <c r="AW1611" t="s">
        <v>46853</v>
      </c>
    </row>
    <row r="1612" spans="1:50">
      <c r="A1612" s="1">
        <f>HYPERLINK("https://lsnyc.legalserver.org/matter/dynamic-profile/view/1876553","18-1876553")</f>
        <v>0</v>
      </c>
      <c r="B1612" t="s">
        <v>101</v>
      </c>
      <c r="C1612" t="s">
        <v>340</v>
      </c>
      <c r="D1612" t="s">
        <v>531</v>
      </c>
      <c r="F1612" t="s">
        <v>1867</v>
      </c>
      <c r="G1612" t="s">
        <v>6046</v>
      </c>
      <c r="H1612" t="s">
        <v>10938</v>
      </c>
      <c r="I1612" t="s">
        <v>17361</v>
      </c>
      <c r="J1612" t="s">
        <v>18894</v>
      </c>
      <c r="K1612">
        <v>11225</v>
      </c>
      <c r="L1612" t="s">
        <v>18958</v>
      </c>
      <c r="M1612" t="s">
        <v>18958</v>
      </c>
      <c r="N1612" t="s">
        <v>20169</v>
      </c>
      <c r="O1612" t="s">
        <v>26524</v>
      </c>
      <c r="P1612" t="s">
        <v>26560</v>
      </c>
      <c r="R1612" t="s">
        <v>26588</v>
      </c>
      <c r="S1612" t="s">
        <v>18959</v>
      </c>
      <c r="U1612" t="s">
        <v>26604</v>
      </c>
      <c r="V1612" t="s">
        <v>26610</v>
      </c>
      <c r="W1612" t="s">
        <v>422</v>
      </c>
      <c r="X1612">
        <v>988.71</v>
      </c>
      <c r="Y1612" t="s">
        <v>26652</v>
      </c>
      <c r="Z1612" t="s">
        <v>26669</v>
      </c>
      <c r="AB1612" t="s">
        <v>28147</v>
      </c>
      <c r="AD1612" t="s">
        <v>38196</v>
      </c>
      <c r="AE1612">
        <v>101</v>
      </c>
      <c r="AF1612" t="s">
        <v>45541</v>
      </c>
      <c r="AH1612">
        <v>19</v>
      </c>
      <c r="AI1612">
        <v>1</v>
      </c>
      <c r="AJ1612">
        <v>1</v>
      </c>
      <c r="AK1612">
        <v>273.39</v>
      </c>
      <c r="AL1612" t="s">
        <v>794</v>
      </c>
      <c r="AM1612" t="s">
        <v>45575</v>
      </c>
      <c r="AN1612" t="s">
        <v>7439</v>
      </c>
      <c r="AO1612">
        <v>45000</v>
      </c>
      <c r="AQ1612" t="s">
        <v>46362</v>
      </c>
      <c r="AU1612">
        <v>54.3</v>
      </c>
      <c r="AV1612" t="s">
        <v>773</v>
      </c>
      <c r="AW1612" t="s">
        <v>46856</v>
      </c>
    </row>
    <row r="1613" spans="1:50">
      <c r="A1613" s="1">
        <f>HYPERLINK("https://lsnyc.legalserver.org/matter/dynamic-profile/view/1876884","18-1876884")</f>
        <v>0</v>
      </c>
      <c r="B1613" t="s">
        <v>107</v>
      </c>
      <c r="C1613" t="s">
        <v>341</v>
      </c>
      <c r="D1613" t="s">
        <v>422</v>
      </c>
      <c r="E1613" t="s">
        <v>586</v>
      </c>
      <c r="F1613" t="s">
        <v>1868</v>
      </c>
      <c r="G1613" t="s">
        <v>6047</v>
      </c>
      <c r="H1613" t="s">
        <v>10972</v>
      </c>
      <c r="I1613" t="s">
        <v>17416</v>
      </c>
      <c r="J1613" t="s">
        <v>18918</v>
      </c>
      <c r="K1613">
        <v>11416</v>
      </c>
      <c r="L1613" t="s">
        <v>18958</v>
      </c>
      <c r="M1613" t="s">
        <v>18958</v>
      </c>
      <c r="N1613" t="s">
        <v>20170</v>
      </c>
      <c r="O1613" t="s">
        <v>26524</v>
      </c>
      <c r="P1613" t="s">
        <v>26564</v>
      </c>
      <c r="Q1613" t="s">
        <v>26570</v>
      </c>
      <c r="R1613" t="s">
        <v>26584</v>
      </c>
      <c r="S1613" t="s">
        <v>18959</v>
      </c>
      <c r="U1613" t="s">
        <v>26604</v>
      </c>
      <c r="V1613" t="s">
        <v>26611</v>
      </c>
      <c r="W1613" t="s">
        <v>422</v>
      </c>
      <c r="X1613">
        <v>2000</v>
      </c>
      <c r="Y1613" t="s">
        <v>26653</v>
      </c>
      <c r="Z1613" t="s">
        <v>26664</v>
      </c>
      <c r="AA1613" t="s">
        <v>26679</v>
      </c>
      <c r="AB1613" t="s">
        <v>28148</v>
      </c>
      <c r="AC1613" t="s">
        <v>34987</v>
      </c>
      <c r="AD1613" t="s">
        <v>38197</v>
      </c>
      <c r="AE1613">
        <v>2</v>
      </c>
      <c r="AF1613" t="s">
        <v>45547</v>
      </c>
      <c r="AG1613" t="s">
        <v>19330</v>
      </c>
      <c r="AH1613">
        <v>1</v>
      </c>
      <c r="AI1613">
        <v>3</v>
      </c>
      <c r="AJ1613">
        <v>4</v>
      </c>
      <c r="AK1613">
        <v>24.44</v>
      </c>
      <c r="AN1613" t="s">
        <v>7439</v>
      </c>
      <c r="AO1613">
        <v>9300</v>
      </c>
      <c r="AU1613">
        <v>0.85</v>
      </c>
      <c r="AV1613" t="s">
        <v>576</v>
      </c>
      <c r="AW1613" t="s">
        <v>161</v>
      </c>
    </row>
    <row r="1614" spans="1:50">
      <c r="A1614" s="1">
        <f>HYPERLINK("https://lsnyc.legalserver.org/matter/dynamic-profile/view/1876895","18-1876895")</f>
        <v>0</v>
      </c>
      <c r="B1614" t="s">
        <v>107</v>
      </c>
      <c r="C1614" t="s">
        <v>341</v>
      </c>
      <c r="D1614" t="s">
        <v>422</v>
      </c>
      <c r="E1614" t="s">
        <v>662</v>
      </c>
      <c r="F1614" t="s">
        <v>1869</v>
      </c>
      <c r="G1614" t="s">
        <v>6048</v>
      </c>
      <c r="H1614" t="s">
        <v>10973</v>
      </c>
      <c r="J1614" t="s">
        <v>18923</v>
      </c>
      <c r="K1614">
        <v>11418</v>
      </c>
      <c r="L1614" t="s">
        <v>18958</v>
      </c>
      <c r="M1614" t="s">
        <v>18958</v>
      </c>
      <c r="N1614" t="s">
        <v>20171</v>
      </c>
      <c r="O1614" t="s">
        <v>26524</v>
      </c>
      <c r="P1614" t="s">
        <v>26564</v>
      </c>
      <c r="Q1614" t="s">
        <v>26570</v>
      </c>
      <c r="R1614" t="s">
        <v>26584</v>
      </c>
      <c r="S1614" t="s">
        <v>18959</v>
      </c>
      <c r="U1614" t="s">
        <v>26604</v>
      </c>
      <c r="V1614" t="s">
        <v>26610</v>
      </c>
      <c r="W1614" t="s">
        <v>422</v>
      </c>
      <c r="X1614">
        <v>1500</v>
      </c>
      <c r="Y1614" t="s">
        <v>26653</v>
      </c>
      <c r="Z1614" t="s">
        <v>26530</v>
      </c>
      <c r="AA1614" t="s">
        <v>26683</v>
      </c>
      <c r="AB1614" t="s">
        <v>28149</v>
      </c>
      <c r="AD1614" t="s">
        <v>38198</v>
      </c>
      <c r="AE1614">
        <v>4</v>
      </c>
      <c r="AF1614" t="s">
        <v>45547</v>
      </c>
      <c r="AG1614" t="s">
        <v>45561</v>
      </c>
      <c r="AH1614">
        <v>4</v>
      </c>
      <c r="AI1614">
        <v>4</v>
      </c>
      <c r="AJ1614">
        <v>0</v>
      </c>
      <c r="AK1614">
        <v>28.8</v>
      </c>
      <c r="AN1614" t="s">
        <v>7439</v>
      </c>
      <c r="AO1614">
        <v>7228</v>
      </c>
      <c r="AU1614">
        <v>0.8</v>
      </c>
      <c r="AV1614" t="s">
        <v>662</v>
      </c>
      <c r="AW1614" t="s">
        <v>107</v>
      </c>
    </row>
    <row r="1615" spans="1:50">
      <c r="A1615" s="1">
        <f>HYPERLINK("https://lsnyc.legalserver.org/matter/dynamic-profile/view/1876819","18-1876819")</f>
        <v>0</v>
      </c>
      <c r="B1615" t="s">
        <v>107</v>
      </c>
      <c r="C1615" t="s">
        <v>341</v>
      </c>
      <c r="D1615" t="s">
        <v>422</v>
      </c>
      <c r="E1615" t="s">
        <v>578</v>
      </c>
      <c r="F1615" t="s">
        <v>1870</v>
      </c>
      <c r="G1615" t="s">
        <v>6049</v>
      </c>
      <c r="H1615" t="s">
        <v>10974</v>
      </c>
      <c r="I1615" t="s">
        <v>17312</v>
      </c>
      <c r="J1615" t="s">
        <v>18931</v>
      </c>
      <c r="K1615">
        <v>11412</v>
      </c>
      <c r="L1615" t="s">
        <v>18958</v>
      </c>
      <c r="M1615" t="s">
        <v>18958</v>
      </c>
      <c r="N1615" t="s">
        <v>20172</v>
      </c>
      <c r="O1615" t="s">
        <v>26524</v>
      </c>
      <c r="P1615" t="s">
        <v>26564</v>
      </c>
      <c r="Q1615" t="s">
        <v>26570</v>
      </c>
      <c r="R1615" t="s">
        <v>26584</v>
      </c>
      <c r="S1615" t="s">
        <v>18959</v>
      </c>
      <c r="U1615" t="s">
        <v>26604</v>
      </c>
      <c r="V1615" t="s">
        <v>26610</v>
      </c>
      <c r="W1615" t="s">
        <v>422</v>
      </c>
      <c r="X1615">
        <v>2050</v>
      </c>
      <c r="Y1615" t="s">
        <v>26653</v>
      </c>
      <c r="Z1615" t="s">
        <v>26659</v>
      </c>
      <c r="AA1615" t="s">
        <v>26683</v>
      </c>
      <c r="AB1615" t="s">
        <v>28150</v>
      </c>
      <c r="AC1615" t="s">
        <v>34988</v>
      </c>
      <c r="AD1615" t="s">
        <v>38199</v>
      </c>
      <c r="AE1615">
        <v>4</v>
      </c>
      <c r="AF1615" t="s">
        <v>45547</v>
      </c>
      <c r="AG1615" t="s">
        <v>19330</v>
      </c>
      <c r="AH1615">
        <v>5</v>
      </c>
      <c r="AI1615">
        <v>2</v>
      </c>
      <c r="AJ1615">
        <v>5</v>
      </c>
      <c r="AK1615">
        <v>94.59</v>
      </c>
      <c r="AN1615" t="s">
        <v>7439</v>
      </c>
      <c r="AO1615">
        <v>36000</v>
      </c>
      <c r="AT1615" t="s">
        <v>46673</v>
      </c>
      <c r="AU1615">
        <v>1.1</v>
      </c>
      <c r="AV1615" t="s">
        <v>576</v>
      </c>
      <c r="AW1615" t="s">
        <v>161</v>
      </c>
    </row>
    <row r="1616" spans="1:50">
      <c r="A1616" s="1">
        <f>HYPERLINK("https://lsnyc.legalserver.org/matter/dynamic-profile/view/1875427","18-1875427")</f>
        <v>0</v>
      </c>
      <c r="B1616" t="s">
        <v>145</v>
      </c>
      <c r="C1616" t="s">
        <v>341</v>
      </c>
      <c r="D1616" t="s">
        <v>422</v>
      </c>
      <c r="E1616" t="s">
        <v>416</v>
      </c>
      <c r="F1616" t="s">
        <v>1132</v>
      </c>
      <c r="G1616" t="s">
        <v>6050</v>
      </c>
      <c r="H1616" t="s">
        <v>10975</v>
      </c>
      <c r="I1616" t="s">
        <v>17306</v>
      </c>
      <c r="J1616" t="s">
        <v>18902</v>
      </c>
      <c r="K1616">
        <v>10306</v>
      </c>
      <c r="L1616" t="s">
        <v>18958</v>
      </c>
      <c r="M1616" t="s">
        <v>18958</v>
      </c>
      <c r="N1616" t="s">
        <v>20173</v>
      </c>
      <c r="O1616" t="s">
        <v>26526</v>
      </c>
      <c r="P1616" t="s">
        <v>26560</v>
      </c>
      <c r="Q1616" t="s">
        <v>26568</v>
      </c>
      <c r="R1616" t="s">
        <v>26587</v>
      </c>
      <c r="S1616" t="s">
        <v>18959</v>
      </c>
      <c r="U1616" t="s">
        <v>26604</v>
      </c>
      <c r="V1616" t="s">
        <v>26610</v>
      </c>
      <c r="W1616" t="s">
        <v>422</v>
      </c>
      <c r="X1616">
        <v>0</v>
      </c>
      <c r="Y1616" t="s">
        <v>26654</v>
      </c>
      <c r="Z1616" t="s">
        <v>26663</v>
      </c>
      <c r="AA1616" t="s">
        <v>26685</v>
      </c>
      <c r="AB1616" t="s">
        <v>28151</v>
      </c>
      <c r="AE1616">
        <v>126</v>
      </c>
      <c r="AF1616" t="s">
        <v>45543</v>
      </c>
      <c r="AG1616" t="s">
        <v>45559</v>
      </c>
      <c r="AH1616">
        <v>19</v>
      </c>
      <c r="AI1616">
        <v>1</v>
      </c>
      <c r="AJ1616">
        <v>0</v>
      </c>
      <c r="AK1616">
        <v>0</v>
      </c>
      <c r="AN1616" t="s">
        <v>7439</v>
      </c>
      <c r="AO1616">
        <v>0</v>
      </c>
      <c r="AU1616">
        <v>9.300000000000001</v>
      </c>
      <c r="AV1616" t="s">
        <v>777</v>
      </c>
      <c r="AW1616" t="s">
        <v>190</v>
      </c>
    </row>
    <row r="1617" spans="1:50">
      <c r="A1617" s="1">
        <f>HYPERLINK("https://lsnyc.legalserver.org/matter/dynamic-profile/view/1876745","18-1876745")</f>
        <v>0</v>
      </c>
      <c r="B1617" t="s">
        <v>145</v>
      </c>
      <c r="C1617" t="s">
        <v>341</v>
      </c>
      <c r="D1617" t="s">
        <v>422</v>
      </c>
      <c r="E1617" t="s">
        <v>578</v>
      </c>
      <c r="F1617" t="s">
        <v>1871</v>
      </c>
      <c r="G1617" t="s">
        <v>6051</v>
      </c>
      <c r="H1617" t="s">
        <v>10976</v>
      </c>
      <c r="I1617" t="s">
        <v>17408</v>
      </c>
      <c r="J1617" t="s">
        <v>18902</v>
      </c>
      <c r="K1617">
        <v>10314</v>
      </c>
      <c r="L1617" t="s">
        <v>18958</v>
      </c>
      <c r="M1617" t="s">
        <v>18958</v>
      </c>
      <c r="N1617" t="s">
        <v>20174</v>
      </c>
      <c r="O1617" t="s">
        <v>26524</v>
      </c>
      <c r="P1617" t="s">
        <v>26564</v>
      </c>
      <c r="Q1617" t="s">
        <v>26570</v>
      </c>
      <c r="R1617" t="s">
        <v>26590</v>
      </c>
      <c r="S1617" t="s">
        <v>18959</v>
      </c>
      <c r="U1617" t="s">
        <v>26604</v>
      </c>
      <c r="V1617" t="s">
        <v>26610</v>
      </c>
      <c r="W1617" t="s">
        <v>422</v>
      </c>
      <c r="X1617">
        <v>1600</v>
      </c>
      <c r="Y1617" t="s">
        <v>26654</v>
      </c>
      <c r="Z1617" t="s">
        <v>26668</v>
      </c>
      <c r="AA1617" t="s">
        <v>26683</v>
      </c>
      <c r="AB1617" t="s">
        <v>28152</v>
      </c>
      <c r="AD1617" t="s">
        <v>38200</v>
      </c>
      <c r="AE1617">
        <v>2</v>
      </c>
      <c r="AF1617" t="s">
        <v>45547</v>
      </c>
      <c r="AG1617" t="s">
        <v>19330</v>
      </c>
      <c r="AH1617">
        <v>1</v>
      </c>
      <c r="AI1617">
        <v>2</v>
      </c>
      <c r="AJ1617">
        <v>1</v>
      </c>
      <c r="AK1617">
        <v>276.52</v>
      </c>
      <c r="AO1617">
        <v>57460</v>
      </c>
      <c r="AU1617">
        <v>0.2</v>
      </c>
      <c r="AV1617" t="s">
        <v>422</v>
      </c>
      <c r="AW1617" t="s">
        <v>190</v>
      </c>
    </row>
    <row r="1618" spans="1:50">
      <c r="A1618" s="1">
        <f>HYPERLINK("https://lsnyc.legalserver.org/matter/dynamic-profile/view/1876736","18-1876736")</f>
        <v>0</v>
      </c>
      <c r="B1618" t="s">
        <v>234</v>
      </c>
      <c r="C1618" t="s">
        <v>341</v>
      </c>
      <c r="D1618" t="s">
        <v>422</v>
      </c>
      <c r="E1618" t="s">
        <v>836</v>
      </c>
      <c r="F1618" t="s">
        <v>1872</v>
      </c>
      <c r="G1618" t="s">
        <v>5599</v>
      </c>
      <c r="H1618" t="s">
        <v>10977</v>
      </c>
      <c r="I1618" t="s">
        <v>17316</v>
      </c>
      <c r="J1618" t="s">
        <v>18893</v>
      </c>
      <c r="K1618">
        <v>10027</v>
      </c>
      <c r="L1618" t="s">
        <v>18958</v>
      </c>
      <c r="M1618" t="s">
        <v>18960</v>
      </c>
      <c r="N1618" t="s">
        <v>20175</v>
      </c>
      <c r="O1618" t="s">
        <v>26523</v>
      </c>
      <c r="P1618" t="s">
        <v>26560</v>
      </c>
      <c r="Q1618" t="s">
        <v>26568</v>
      </c>
      <c r="R1618" t="s">
        <v>26580</v>
      </c>
      <c r="S1618" t="s">
        <v>18959</v>
      </c>
      <c r="U1618" t="s">
        <v>26604</v>
      </c>
      <c r="W1618" t="s">
        <v>422</v>
      </c>
      <c r="X1618">
        <v>867</v>
      </c>
      <c r="Y1618" t="s">
        <v>26651</v>
      </c>
      <c r="Z1618" t="s">
        <v>26659</v>
      </c>
      <c r="AA1618" t="s">
        <v>26678</v>
      </c>
      <c r="AB1618" t="s">
        <v>28153</v>
      </c>
      <c r="AD1618" t="s">
        <v>38201</v>
      </c>
      <c r="AE1618">
        <v>0</v>
      </c>
      <c r="AF1618" t="s">
        <v>20460</v>
      </c>
      <c r="AG1618" t="s">
        <v>19330</v>
      </c>
      <c r="AH1618">
        <v>11</v>
      </c>
      <c r="AI1618">
        <v>1</v>
      </c>
      <c r="AJ1618">
        <v>3</v>
      </c>
      <c r="AK1618">
        <v>0</v>
      </c>
      <c r="AN1618" t="s">
        <v>7439</v>
      </c>
      <c r="AO1618">
        <v>0</v>
      </c>
      <c r="AU1618">
        <v>41.5</v>
      </c>
      <c r="AV1618" t="s">
        <v>839</v>
      </c>
      <c r="AW1618" t="s">
        <v>314</v>
      </c>
      <c r="AX1618" t="s">
        <v>46897</v>
      </c>
    </row>
    <row r="1619" spans="1:50">
      <c r="A1619" s="1">
        <f>HYPERLINK("https://lsnyc.legalserver.org/matter/dynamic-profile/view/1876889","18-1876889")</f>
        <v>0</v>
      </c>
      <c r="B1619" t="s">
        <v>153</v>
      </c>
      <c r="C1619" t="s">
        <v>341</v>
      </c>
      <c r="D1619" t="s">
        <v>422</v>
      </c>
      <c r="E1619" t="s">
        <v>618</v>
      </c>
      <c r="F1619" t="s">
        <v>1873</v>
      </c>
      <c r="G1619" t="s">
        <v>5419</v>
      </c>
      <c r="H1619" t="s">
        <v>10978</v>
      </c>
      <c r="I1619" t="s">
        <v>17469</v>
      </c>
      <c r="J1619" t="s">
        <v>18902</v>
      </c>
      <c r="K1619">
        <v>10314</v>
      </c>
      <c r="L1619" t="s">
        <v>18958</v>
      </c>
      <c r="M1619" t="s">
        <v>18958</v>
      </c>
      <c r="N1619" t="s">
        <v>20176</v>
      </c>
      <c r="O1619" t="s">
        <v>26533</v>
      </c>
      <c r="P1619" t="s">
        <v>26560</v>
      </c>
      <c r="Q1619" t="s">
        <v>26568</v>
      </c>
      <c r="R1619" t="s">
        <v>26590</v>
      </c>
      <c r="S1619" t="s">
        <v>18959</v>
      </c>
      <c r="U1619" t="s">
        <v>26604</v>
      </c>
      <c r="V1619" t="s">
        <v>26610</v>
      </c>
      <c r="W1619" t="s">
        <v>422</v>
      </c>
      <c r="X1619">
        <v>1213</v>
      </c>
      <c r="Y1619" t="s">
        <v>26654</v>
      </c>
      <c r="Z1619" t="s">
        <v>26659</v>
      </c>
      <c r="AA1619" t="s">
        <v>26686</v>
      </c>
      <c r="AB1619" t="s">
        <v>28154</v>
      </c>
      <c r="AD1619" t="s">
        <v>38202</v>
      </c>
      <c r="AE1619">
        <v>3</v>
      </c>
      <c r="AF1619" t="s">
        <v>45547</v>
      </c>
      <c r="AG1619" t="s">
        <v>19330</v>
      </c>
      <c r="AH1619">
        <v>2</v>
      </c>
      <c r="AI1619">
        <v>1</v>
      </c>
      <c r="AJ1619">
        <v>0</v>
      </c>
      <c r="AK1619">
        <v>12.74</v>
      </c>
      <c r="AN1619" t="s">
        <v>7439</v>
      </c>
      <c r="AO1619">
        <v>1547.04</v>
      </c>
      <c r="AQ1619" t="s">
        <v>46359</v>
      </c>
      <c r="AR1619" t="s">
        <v>46437</v>
      </c>
      <c r="AS1619" t="s">
        <v>46499</v>
      </c>
      <c r="AT1619" t="s">
        <v>46530</v>
      </c>
      <c r="AU1619">
        <v>1</v>
      </c>
      <c r="AV1619" t="s">
        <v>600</v>
      </c>
      <c r="AW1619" t="s">
        <v>190</v>
      </c>
    </row>
    <row r="1620" spans="1:50">
      <c r="A1620" s="1">
        <f>HYPERLINK("https://lsnyc.legalserver.org/matter/dynamic-profile/view/1876885","18-1876885")</f>
        <v>0</v>
      </c>
      <c r="B1620" t="s">
        <v>93</v>
      </c>
      <c r="C1620" t="s">
        <v>341</v>
      </c>
      <c r="D1620" t="s">
        <v>422</v>
      </c>
      <c r="E1620" t="s">
        <v>579</v>
      </c>
      <c r="F1620" t="s">
        <v>1800</v>
      </c>
      <c r="G1620" t="s">
        <v>6052</v>
      </c>
      <c r="H1620" t="s">
        <v>10979</v>
      </c>
      <c r="I1620" t="s">
        <v>17334</v>
      </c>
      <c r="J1620" t="s">
        <v>18918</v>
      </c>
      <c r="K1620">
        <v>11416</v>
      </c>
      <c r="L1620" t="s">
        <v>18958</v>
      </c>
      <c r="M1620" t="s">
        <v>18958</v>
      </c>
      <c r="N1620" t="s">
        <v>20177</v>
      </c>
      <c r="O1620" t="s">
        <v>26524</v>
      </c>
      <c r="P1620" t="s">
        <v>26564</v>
      </c>
      <c r="Q1620" t="s">
        <v>26570</v>
      </c>
      <c r="R1620" t="s">
        <v>26584</v>
      </c>
      <c r="S1620" t="s">
        <v>26598</v>
      </c>
      <c r="U1620" t="s">
        <v>26604</v>
      </c>
      <c r="V1620" t="s">
        <v>26610</v>
      </c>
      <c r="W1620" t="s">
        <v>422</v>
      </c>
      <c r="X1620">
        <v>1250</v>
      </c>
      <c r="Y1620" t="s">
        <v>26653</v>
      </c>
      <c r="Z1620" t="s">
        <v>26664</v>
      </c>
      <c r="AA1620" t="s">
        <v>26683</v>
      </c>
      <c r="AB1620" t="s">
        <v>28155</v>
      </c>
      <c r="AD1620" t="s">
        <v>38203</v>
      </c>
      <c r="AE1620">
        <v>2</v>
      </c>
      <c r="AF1620" t="s">
        <v>45547</v>
      </c>
      <c r="AG1620" t="s">
        <v>19330</v>
      </c>
      <c r="AH1620">
        <v>2</v>
      </c>
      <c r="AI1620">
        <v>1</v>
      </c>
      <c r="AJ1620">
        <v>2</v>
      </c>
      <c r="AK1620">
        <v>115.98</v>
      </c>
      <c r="AN1620" t="s">
        <v>7439</v>
      </c>
      <c r="AO1620">
        <v>24100</v>
      </c>
      <c r="AU1620">
        <v>1.25</v>
      </c>
      <c r="AV1620" t="s">
        <v>524</v>
      </c>
      <c r="AW1620" t="s">
        <v>122</v>
      </c>
    </row>
    <row r="1621" spans="1:50">
      <c r="A1621" s="1">
        <f>HYPERLINK("https://lsnyc.legalserver.org/matter/dynamic-profile/view/1876732","18-1876732")</f>
        <v>0</v>
      </c>
      <c r="B1621" t="s">
        <v>132</v>
      </c>
      <c r="C1621" t="s">
        <v>341</v>
      </c>
      <c r="D1621" t="s">
        <v>422</v>
      </c>
      <c r="E1621" t="s">
        <v>599</v>
      </c>
      <c r="F1621" t="s">
        <v>1366</v>
      </c>
      <c r="G1621" t="s">
        <v>1620</v>
      </c>
      <c r="H1621" t="s">
        <v>10980</v>
      </c>
      <c r="I1621">
        <v>2</v>
      </c>
      <c r="J1621" t="s">
        <v>18894</v>
      </c>
      <c r="K1621">
        <v>11221</v>
      </c>
      <c r="L1621" t="s">
        <v>18958</v>
      </c>
      <c r="M1621" t="s">
        <v>18958</v>
      </c>
      <c r="N1621" t="s">
        <v>20178</v>
      </c>
      <c r="O1621" t="s">
        <v>26524</v>
      </c>
      <c r="P1621" t="s">
        <v>26564</v>
      </c>
      <c r="Q1621" t="s">
        <v>26570</v>
      </c>
      <c r="R1621" t="s">
        <v>26588</v>
      </c>
      <c r="S1621" t="s">
        <v>18959</v>
      </c>
      <c r="U1621" t="s">
        <v>26604</v>
      </c>
      <c r="W1621" t="s">
        <v>422</v>
      </c>
      <c r="X1621">
        <v>700</v>
      </c>
      <c r="Y1621" t="s">
        <v>26652</v>
      </c>
      <c r="Z1621" t="s">
        <v>26669</v>
      </c>
      <c r="AA1621" t="s">
        <v>26683</v>
      </c>
      <c r="AB1621" t="s">
        <v>28156</v>
      </c>
      <c r="AD1621" t="s">
        <v>38204</v>
      </c>
      <c r="AE1621">
        <v>3</v>
      </c>
      <c r="AF1621" t="s">
        <v>45547</v>
      </c>
      <c r="AG1621" t="s">
        <v>19330</v>
      </c>
      <c r="AH1621">
        <v>20</v>
      </c>
      <c r="AI1621">
        <v>1</v>
      </c>
      <c r="AJ1621">
        <v>0</v>
      </c>
      <c r="AK1621">
        <v>164.74</v>
      </c>
      <c r="AN1621" t="s">
        <v>7439</v>
      </c>
      <c r="AO1621">
        <v>20000</v>
      </c>
      <c r="AU1621">
        <v>2.3</v>
      </c>
      <c r="AV1621" t="s">
        <v>579</v>
      </c>
      <c r="AW1621" t="s">
        <v>46862</v>
      </c>
    </row>
    <row r="1622" spans="1:50">
      <c r="A1622" s="1">
        <f>HYPERLINK("https://lsnyc.legalserver.org/matter/dynamic-profile/view/1876891","18-1876891")</f>
        <v>0</v>
      </c>
      <c r="B1622" t="s">
        <v>171</v>
      </c>
      <c r="C1622" t="s">
        <v>341</v>
      </c>
      <c r="D1622" t="s">
        <v>422</v>
      </c>
      <c r="E1622" t="s">
        <v>624</v>
      </c>
      <c r="F1622" t="s">
        <v>1253</v>
      </c>
      <c r="G1622" t="s">
        <v>5419</v>
      </c>
      <c r="H1622" t="s">
        <v>10981</v>
      </c>
      <c r="I1622">
        <v>21</v>
      </c>
      <c r="J1622" t="s">
        <v>18893</v>
      </c>
      <c r="K1622">
        <v>10026</v>
      </c>
      <c r="L1622" t="s">
        <v>18958</v>
      </c>
      <c r="M1622" t="s">
        <v>18959</v>
      </c>
      <c r="N1622" t="s">
        <v>20179</v>
      </c>
      <c r="O1622" t="s">
        <v>26524</v>
      </c>
      <c r="P1622" t="s">
        <v>26564</v>
      </c>
      <c r="Q1622" t="s">
        <v>26570</v>
      </c>
      <c r="R1622" t="s">
        <v>26580</v>
      </c>
      <c r="S1622" t="s">
        <v>18959</v>
      </c>
      <c r="U1622" t="s">
        <v>26604</v>
      </c>
      <c r="V1622" t="s">
        <v>26609</v>
      </c>
      <c r="W1622" t="s">
        <v>422</v>
      </c>
      <c r="X1622">
        <v>1250</v>
      </c>
      <c r="Y1622" t="s">
        <v>26651</v>
      </c>
      <c r="Z1622" t="s">
        <v>26664</v>
      </c>
      <c r="AA1622" t="s">
        <v>26683</v>
      </c>
      <c r="AB1622" t="s">
        <v>28157</v>
      </c>
      <c r="AC1622" t="s">
        <v>34989</v>
      </c>
      <c r="AD1622" t="s">
        <v>38205</v>
      </c>
      <c r="AE1622">
        <v>0</v>
      </c>
      <c r="AF1622" t="s">
        <v>45544</v>
      </c>
      <c r="AG1622" t="s">
        <v>19330</v>
      </c>
      <c r="AH1622">
        <v>40</v>
      </c>
      <c r="AI1622">
        <v>2</v>
      </c>
      <c r="AJ1622">
        <v>0</v>
      </c>
      <c r="AK1622">
        <v>0</v>
      </c>
      <c r="AN1622" t="s">
        <v>7439</v>
      </c>
      <c r="AO1622">
        <v>0</v>
      </c>
      <c r="AU1622">
        <v>3.3</v>
      </c>
      <c r="AV1622" t="s">
        <v>572</v>
      </c>
      <c r="AW1622" t="s">
        <v>314</v>
      </c>
    </row>
    <row r="1623" spans="1:50">
      <c r="A1623" s="1">
        <f>HYPERLINK("https://lsnyc.legalserver.org/matter/dynamic-profile/view/1876747","18-1876747")</f>
        <v>0</v>
      </c>
      <c r="B1623" t="s">
        <v>171</v>
      </c>
      <c r="C1623" t="s">
        <v>341</v>
      </c>
      <c r="D1623" t="s">
        <v>422</v>
      </c>
      <c r="E1623" t="s">
        <v>667</v>
      </c>
      <c r="F1623" t="s">
        <v>916</v>
      </c>
      <c r="G1623" t="s">
        <v>5330</v>
      </c>
      <c r="H1623" t="s">
        <v>10982</v>
      </c>
      <c r="I1623">
        <v>5</v>
      </c>
      <c r="J1623" t="s">
        <v>18893</v>
      </c>
      <c r="K1623">
        <v>10027</v>
      </c>
      <c r="L1623" t="s">
        <v>18958</v>
      </c>
      <c r="M1623" t="s">
        <v>18960</v>
      </c>
      <c r="N1623" t="s">
        <v>20180</v>
      </c>
      <c r="O1623" t="s">
        <v>26523</v>
      </c>
      <c r="P1623" t="s">
        <v>26560</v>
      </c>
      <c r="Q1623" t="s">
        <v>26573</v>
      </c>
      <c r="R1623" t="s">
        <v>26580</v>
      </c>
      <c r="S1623" t="s">
        <v>18959</v>
      </c>
      <c r="U1623" t="s">
        <v>26604</v>
      </c>
      <c r="W1623" t="s">
        <v>422</v>
      </c>
      <c r="X1623">
        <v>874</v>
      </c>
      <c r="Y1623" t="s">
        <v>26651</v>
      </c>
      <c r="AA1623" t="s">
        <v>26678</v>
      </c>
      <c r="AB1623" t="s">
        <v>28158</v>
      </c>
      <c r="AD1623" t="s">
        <v>38206</v>
      </c>
      <c r="AE1623">
        <v>5</v>
      </c>
      <c r="AH1623">
        <v>15</v>
      </c>
      <c r="AI1623">
        <v>2</v>
      </c>
      <c r="AJ1623">
        <v>6</v>
      </c>
      <c r="AK1623">
        <v>49.55</v>
      </c>
      <c r="AN1623" t="s">
        <v>7439</v>
      </c>
      <c r="AO1623">
        <v>21000</v>
      </c>
      <c r="AS1623" t="s">
        <v>46499</v>
      </c>
      <c r="AT1623" t="s">
        <v>46535</v>
      </c>
      <c r="AU1623">
        <v>3.2</v>
      </c>
      <c r="AV1623" t="s">
        <v>540</v>
      </c>
      <c r="AW1623" t="s">
        <v>46838</v>
      </c>
    </row>
    <row r="1624" spans="1:50">
      <c r="A1624" s="1">
        <f>HYPERLINK("https://lsnyc.legalserver.org/matter/dynamic-profile/view/1877049","18-1877049")</f>
        <v>0</v>
      </c>
      <c r="B1624" t="s">
        <v>187</v>
      </c>
      <c r="C1624" t="s">
        <v>341</v>
      </c>
      <c r="D1624" t="s">
        <v>422</v>
      </c>
      <c r="E1624" t="s">
        <v>745</v>
      </c>
      <c r="F1624" t="s">
        <v>1874</v>
      </c>
      <c r="G1624" t="s">
        <v>6053</v>
      </c>
      <c r="H1624" t="s">
        <v>10983</v>
      </c>
      <c r="I1624" t="s">
        <v>17325</v>
      </c>
      <c r="J1624" t="s">
        <v>18892</v>
      </c>
      <c r="K1624">
        <v>10468</v>
      </c>
      <c r="L1624" t="s">
        <v>18958</v>
      </c>
      <c r="M1624" t="s">
        <v>18958</v>
      </c>
      <c r="N1624" t="s">
        <v>20181</v>
      </c>
      <c r="O1624" t="s">
        <v>26523</v>
      </c>
      <c r="P1624" t="s">
        <v>26560</v>
      </c>
      <c r="Q1624" t="s">
        <v>26573</v>
      </c>
      <c r="R1624" t="s">
        <v>26579</v>
      </c>
      <c r="S1624" t="s">
        <v>18959</v>
      </c>
      <c r="U1624" t="s">
        <v>26604</v>
      </c>
      <c r="V1624" t="s">
        <v>26610</v>
      </c>
      <c r="W1624" t="s">
        <v>422</v>
      </c>
      <c r="X1624">
        <v>1005.78</v>
      </c>
      <c r="Y1624" t="s">
        <v>26650</v>
      </c>
      <c r="Z1624" t="s">
        <v>26664</v>
      </c>
      <c r="AA1624" t="s">
        <v>26680</v>
      </c>
      <c r="AB1624" t="s">
        <v>28159</v>
      </c>
      <c r="AC1624" t="s">
        <v>34990</v>
      </c>
      <c r="AD1624" t="s">
        <v>38207</v>
      </c>
      <c r="AE1624">
        <v>36</v>
      </c>
      <c r="AF1624" t="s">
        <v>45541</v>
      </c>
      <c r="AG1624" t="s">
        <v>19330</v>
      </c>
      <c r="AH1624">
        <v>23</v>
      </c>
      <c r="AI1624">
        <v>3</v>
      </c>
      <c r="AJ1624">
        <v>0</v>
      </c>
      <c r="AK1624">
        <v>38.92</v>
      </c>
      <c r="AN1624" t="s">
        <v>7439</v>
      </c>
      <c r="AO1624">
        <v>8088</v>
      </c>
      <c r="AQ1624" t="s">
        <v>46362</v>
      </c>
      <c r="AR1624" t="s">
        <v>46379</v>
      </c>
      <c r="AS1624" t="s">
        <v>46499</v>
      </c>
      <c r="AT1624" t="s">
        <v>46706</v>
      </c>
      <c r="AU1624">
        <v>15.6</v>
      </c>
      <c r="AV1624" t="s">
        <v>745</v>
      </c>
      <c r="AW1624" t="s">
        <v>336</v>
      </c>
      <c r="AX1624" t="s">
        <v>46897</v>
      </c>
    </row>
    <row r="1625" spans="1:50">
      <c r="A1625" s="1">
        <f>HYPERLINK("https://lsnyc.legalserver.org/matter/dynamic-profile/view/1877070","18-1877070")</f>
        <v>0</v>
      </c>
      <c r="B1625" t="s">
        <v>187</v>
      </c>
      <c r="C1625" t="s">
        <v>341</v>
      </c>
      <c r="D1625" t="s">
        <v>422</v>
      </c>
      <c r="E1625" t="s">
        <v>699</v>
      </c>
      <c r="F1625" t="s">
        <v>1283</v>
      </c>
      <c r="G1625" t="s">
        <v>5632</v>
      </c>
      <c r="H1625" t="s">
        <v>10984</v>
      </c>
      <c r="I1625" t="s">
        <v>17432</v>
      </c>
      <c r="J1625" t="s">
        <v>18892</v>
      </c>
      <c r="K1625">
        <v>10468</v>
      </c>
      <c r="L1625" t="s">
        <v>18958</v>
      </c>
      <c r="M1625" t="s">
        <v>18958</v>
      </c>
      <c r="N1625" t="s">
        <v>20182</v>
      </c>
      <c r="O1625" t="s">
        <v>26523</v>
      </c>
      <c r="P1625" t="s">
        <v>26560</v>
      </c>
      <c r="Q1625" t="s">
        <v>26573</v>
      </c>
      <c r="R1625" t="s">
        <v>26579</v>
      </c>
      <c r="S1625" t="s">
        <v>18959</v>
      </c>
      <c r="U1625" t="s">
        <v>26604</v>
      </c>
      <c r="V1625" t="s">
        <v>26611</v>
      </c>
      <c r="W1625" t="s">
        <v>422</v>
      </c>
      <c r="X1625">
        <v>974.24</v>
      </c>
      <c r="Y1625" t="s">
        <v>26650</v>
      </c>
      <c r="Z1625" t="s">
        <v>26664</v>
      </c>
      <c r="AA1625" t="s">
        <v>26678</v>
      </c>
      <c r="AB1625" t="s">
        <v>27769</v>
      </c>
      <c r="AC1625">
        <v>79861635</v>
      </c>
      <c r="AD1625" t="s">
        <v>38208</v>
      </c>
      <c r="AE1625">
        <v>78</v>
      </c>
      <c r="AF1625" t="s">
        <v>45541</v>
      </c>
      <c r="AG1625" t="s">
        <v>19330</v>
      </c>
      <c r="AH1625">
        <v>23</v>
      </c>
      <c r="AI1625">
        <v>3</v>
      </c>
      <c r="AJ1625">
        <v>0</v>
      </c>
      <c r="AK1625">
        <v>71.48999999999999</v>
      </c>
      <c r="AN1625" t="s">
        <v>7439</v>
      </c>
      <c r="AO1625">
        <v>14856</v>
      </c>
      <c r="AP1625" t="s">
        <v>45654</v>
      </c>
      <c r="AR1625" t="s">
        <v>46379</v>
      </c>
      <c r="AS1625" t="s">
        <v>46499</v>
      </c>
      <c r="AT1625" t="s">
        <v>46653</v>
      </c>
      <c r="AU1625">
        <v>7.3</v>
      </c>
      <c r="AV1625" t="s">
        <v>632</v>
      </c>
      <c r="AW1625" t="s">
        <v>336</v>
      </c>
    </row>
    <row r="1626" spans="1:50">
      <c r="A1626" s="1">
        <f>HYPERLINK("https://lsnyc.legalserver.org/matter/dynamic-profile/view/1876892","18-1876892")</f>
        <v>0</v>
      </c>
      <c r="B1626" t="s">
        <v>122</v>
      </c>
      <c r="C1626" t="s">
        <v>341</v>
      </c>
      <c r="D1626" t="s">
        <v>422</v>
      </c>
      <c r="E1626" t="s">
        <v>579</v>
      </c>
      <c r="F1626" t="s">
        <v>1320</v>
      </c>
      <c r="G1626" t="s">
        <v>5103</v>
      </c>
      <c r="H1626" t="s">
        <v>10433</v>
      </c>
      <c r="I1626">
        <v>806</v>
      </c>
      <c r="J1626" t="s">
        <v>18905</v>
      </c>
      <c r="K1626">
        <v>11692</v>
      </c>
      <c r="L1626" t="s">
        <v>18958</v>
      </c>
      <c r="M1626" t="s">
        <v>18958</v>
      </c>
      <c r="N1626" t="s">
        <v>20183</v>
      </c>
      <c r="O1626" t="s">
        <v>26523</v>
      </c>
      <c r="P1626" t="s">
        <v>26564</v>
      </c>
      <c r="Q1626" t="s">
        <v>26570</v>
      </c>
      <c r="R1626" t="s">
        <v>26578</v>
      </c>
      <c r="S1626" t="s">
        <v>18959</v>
      </c>
      <c r="U1626" t="s">
        <v>26604</v>
      </c>
      <c r="V1626" t="s">
        <v>26609</v>
      </c>
      <c r="W1626" t="s">
        <v>422</v>
      </c>
      <c r="X1626">
        <v>1675</v>
      </c>
      <c r="Y1626" t="s">
        <v>26653</v>
      </c>
      <c r="Z1626" t="s">
        <v>26664</v>
      </c>
      <c r="AA1626" t="s">
        <v>26683</v>
      </c>
      <c r="AB1626" t="s">
        <v>28160</v>
      </c>
      <c r="AC1626" t="s">
        <v>34991</v>
      </c>
      <c r="AD1626" t="s">
        <v>38209</v>
      </c>
      <c r="AE1626">
        <v>103</v>
      </c>
      <c r="AF1626" t="s">
        <v>45552</v>
      </c>
      <c r="AG1626" t="s">
        <v>45556</v>
      </c>
      <c r="AH1626">
        <v>5</v>
      </c>
      <c r="AI1626">
        <v>1</v>
      </c>
      <c r="AJ1626">
        <v>2</v>
      </c>
      <c r="AK1626">
        <v>0</v>
      </c>
      <c r="AN1626" t="s">
        <v>7439</v>
      </c>
      <c r="AO1626">
        <v>0</v>
      </c>
      <c r="AU1626">
        <v>0.6</v>
      </c>
      <c r="AV1626" t="s">
        <v>579</v>
      </c>
      <c r="AW1626" t="s">
        <v>161</v>
      </c>
    </row>
    <row r="1627" spans="1:50">
      <c r="A1627" s="1">
        <f>HYPERLINK("https://lsnyc.legalserver.org/matter/dynamic-profile/view/1877264","18-1877264")</f>
        <v>0</v>
      </c>
      <c r="B1627" t="s">
        <v>87</v>
      </c>
      <c r="C1627" t="s">
        <v>341</v>
      </c>
      <c r="D1627" t="s">
        <v>422</v>
      </c>
      <c r="E1627" t="s">
        <v>728</v>
      </c>
      <c r="F1627" t="s">
        <v>1706</v>
      </c>
      <c r="G1627" t="s">
        <v>6054</v>
      </c>
      <c r="H1627" t="s">
        <v>10985</v>
      </c>
      <c r="I1627" t="s">
        <v>17390</v>
      </c>
      <c r="J1627" t="s">
        <v>18892</v>
      </c>
      <c r="K1627">
        <v>10468</v>
      </c>
      <c r="L1627" t="s">
        <v>18958</v>
      </c>
      <c r="M1627" t="s">
        <v>18958</v>
      </c>
      <c r="N1627" t="s">
        <v>20184</v>
      </c>
      <c r="O1627" t="s">
        <v>26523</v>
      </c>
      <c r="P1627" t="s">
        <v>26560</v>
      </c>
      <c r="Q1627" t="s">
        <v>26568</v>
      </c>
      <c r="R1627" t="s">
        <v>26579</v>
      </c>
      <c r="S1627" t="s">
        <v>18959</v>
      </c>
      <c r="U1627" t="s">
        <v>26604</v>
      </c>
      <c r="V1627" t="s">
        <v>26610</v>
      </c>
      <c r="W1627" t="s">
        <v>422</v>
      </c>
      <c r="X1627">
        <v>1117.57</v>
      </c>
      <c r="Y1627" t="s">
        <v>26650</v>
      </c>
      <c r="Z1627" t="s">
        <v>26664</v>
      </c>
      <c r="AA1627" t="s">
        <v>26678</v>
      </c>
      <c r="AB1627" t="s">
        <v>28161</v>
      </c>
      <c r="AC1627" t="s">
        <v>34992</v>
      </c>
      <c r="AD1627" t="s">
        <v>38210</v>
      </c>
      <c r="AE1627">
        <v>0</v>
      </c>
      <c r="AF1627" t="s">
        <v>45541</v>
      </c>
      <c r="AG1627" t="s">
        <v>45558</v>
      </c>
      <c r="AH1627">
        <v>17</v>
      </c>
      <c r="AI1627">
        <v>1</v>
      </c>
      <c r="AJ1627">
        <v>1</v>
      </c>
      <c r="AK1627">
        <v>56.57</v>
      </c>
      <c r="AO1627">
        <v>9312</v>
      </c>
      <c r="AR1627" t="s">
        <v>46381</v>
      </c>
      <c r="AS1627" t="s">
        <v>46499</v>
      </c>
      <c r="AT1627" t="s">
        <v>46533</v>
      </c>
      <c r="AU1627">
        <v>4.45</v>
      </c>
      <c r="AV1627" t="s">
        <v>669</v>
      </c>
      <c r="AW1627" t="s">
        <v>334</v>
      </c>
    </row>
    <row r="1628" spans="1:50">
      <c r="A1628" s="1">
        <f>HYPERLINK("https://lsnyc.legalserver.org/matter/dynamic-profile/view/1876886","18-1876886")</f>
        <v>0</v>
      </c>
      <c r="B1628" t="s">
        <v>80</v>
      </c>
      <c r="C1628" t="s">
        <v>341</v>
      </c>
      <c r="D1628" t="s">
        <v>422</v>
      </c>
      <c r="E1628" t="s">
        <v>624</v>
      </c>
      <c r="F1628" t="s">
        <v>1875</v>
      </c>
      <c r="G1628" t="s">
        <v>5078</v>
      </c>
      <c r="H1628" t="s">
        <v>10986</v>
      </c>
      <c r="I1628" t="s">
        <v>17347</v>
      </c>
      <c r="J1628" t="s">
        <v>18893</v>
      </c>
      <c r="K1628">
        <v>10040</v>
      </c>
      <c r="L1628" t="s">
        <v>18958</v>
      </c>
      <c r="M1628" t="s">
        <v>18958</v>
      </c>
      <c r="N1628" t="s">
        <v>20185</v>
      </c>
      <c r="O1628" t="s">
        <v>26523</v>
      </c>
      <c r="P1628" t="s">
        <v>26564</v>
      </c>
      <c r="Q1628" t="s">
        <v>26570</v>
      </c>
      <c r="R1628" t="s">
        <v>26582</v>
      </c>
      <c r="S1628" t="s">
        <v>18959</v>
      </c>
      <c r="U1628" t="s">
        <v>26604</v>
      </c>
      <c r="V1628" t="s">
        <v>26610</v>
      </c>
      <c r="W1628" t="s">
        <v>422</v>
      </c>
      <c r="X1628">
        <v>1899</v>
      </c>
      <c r="Y1628" t="s">
        <v>26651</v>
      </c>
      <c r="AA1628" t="s">
        <v>26683</v>
      </c>
      <c r="AB1628" t="s">
        <v>28162</v>
      </c>
      <c r="AD1628" t="s">
        <v>38211</v>
      </c>
      <c r="AE1628">
        <v>24</v>
      </c>
      <c r="AH1628">
        <v>6</v>
      </c>
      <c r="AI1628">
        <v>1</v>
      </c>
      <c r="AJ1628">
        <v>0</v>
      </c>
      <c r="AK1628">
        <v>0</v>
      </c>
      <c r="AN1628" t="s">
        <v>45581</v>
      </c>
      <c r="AO1628">
        <v>0</v>
      </c>
      <c r="AU1628">
        <v>0.3</v>
      </c>
      <c r="AV1628" t="s">
        <v>599</v>
      </c>
      <c r="AW1628" t="s">
        <v>46838</v>
      </c>
    </row>
    <row r="1629" spans="1:50">
      <c r="A1629" s="1">
        <f>HYPERLINK("https://lsnyc.legalserver.org/matter/dynamic-profile/view/1876800","18-1876800")</f>
        <v>0</v>
      </c>
      <c r="B1629" t="s">
        <v>80</v>
      </c>
      <c r="C1629" t="s">
        <v>341</v>
      </c>
      <c r="D1629" t="s">
        <v>422</v>
      </c>
      <c r="E1629" t="s">
        <v>583</v>
      </c>
      <c r="F1629" t="s">
        <v>1876</v>
      </c>
      <c r="G1629" t="s">
        <v>6055</v>
      </c>
      <c r="H1629" t="s">
        <v>10987</v>
      </c>
      <c r="I1629" t="s">
        <v>17376</v>
      </c>
      <c r="J1629" t="s">
        <v>18893</v>
      </c>
      <c r="K1629">
        <v>10039</v>
      </c>
      <c r="L1629" t="s">
        <v>18958</v>
      </c>
      <c r="M1629" t="s">
        <v>18958</v>
      </c>
      <c r="N1629" t="s">
        <v>20186</v>
      </c>
      <c r="O1629" t="s">
        <v>26523</v>
      </c>
      <c r="P1629" t="s">
        <v>26564</v>
      </c>
      <c r="Q1629" t="s">
        <v>26570</v>
      </c>
      <c r="R1629" t="s">
        <v>26582</v>
      </c>
      <c r="S1629" t="s">
        <v>18959</v>
      </c>
      <c r="U1629" t="s">
        <v>26605</v>
      </c>
      <c r="W1629" t="s">
        <v>422</v>
      </c>
      <c r="X1629">
        <v>1734</v>
      </c>
      <c r="Y1629" t="s">
        <v>26651</v>
      </c>
      <c r="Z1629" t="s">
        <v>26664</v>
      </c>
      <c r="AA1629" t="s">
        <v>26683</v>
      </c>
      <c r="AB1629" t="s">
        <v>28163</v>
      </c>
      <c r="AD1629" t="s">
        <v>38212</v>
      </c>
      <c r="AE1629">
        <v>0</v>
      </c>
      <c r="AF1629" t="s">
        <v>45549</v>
      </c>
      <c r="AG1629" t="s">
        <v>19330</v>
      </c>
      <c r="AH1629">
        <v>-1</v>
      </c>
      <c r="AI1629">
        <v>4</v>
      </c>
      <c r="AJ1629">
        <v>2</v>
      </c>
      <c r="AK1629">
        <v>108.48</v>
      </c>
      <c r="AN1629" t="s">
        <v>7439</v>
      </c>
      <c r="AO1629">
        <v>36600</v>
      </c>
      <c r="AU1629">
        <v>0.3</v>
      </c>
      <c r="AV1629" t="s">
        <v>571</v>
      </c>
      <c r="AW1629" t="s">
        <v>314</v>
      </c>
    </row>
    <row r="1630" spans="1:50">
      <c r="A1630" s="1">
        <f>HYPERLINK("https://lsnyc.legalserver.org/matter/dynamic-profile/view/1876777","18-1876777")</f>
        <v>0</v>
      </c>
      <c r="B1630" t="s">
        <v>80</v>
      </c>
      <c r="C1630" t="s">
        <v>341</v>
      </c>
      <c r="D1630" t="s">
        <v>422</v>
      </c>
      <c r="E1630" t="s">
        <v>624</v>
      </c>
      <c r="F1630" t="s">
        <v>1877</v>
      </c>
      <c r="G1630" t="s">
        <v>5636</v>
      </c>
      <c r="H1630" t="s">
        <v>10988</v>
      </c>
      <c r="I1630" t="s">
        <v>17290</v>
      </c>
      <c r="J1630" t="s">
        <v>18893</v>
      </c>
      <c r="K1630">
        <v>10040</v>
      </c>
      <c r="L1630" t="s">
        <v>18958</v>
      </c>
      <c r="M1630" t="s">
        <v>18958</v>
      </c>
      <c r="N1630" t="s">
        <v>20187</v>
      </c>
      <c r="O1630" t="s">
        <v>26523</v>
      </c>
      <c r="P1630" t="s">
        <v>26564</v>
      </c>
      <c r="Q1630" t="s">
        <v>26570</v>
      </c>
      <c r="R1630" t="s">
        <v>26582</v>
      </c>
      <c r="S1630" t="s">
        <v>18959</v>
      </c>
      <c r="U1630" t="s">
        <v>26605</v>
      </c>
      <c r="V1630" t="s">
        <v>26610</v>
      </c>
      <c r="W1630" t="s">
        <v>422</v>
      </c>
      <c r="X1630">
        <v>818</v>
      </c>
      <c r="Y1630" t="s">
        <v>26651</v>
      </c>
      <c r="Z1630" t="s">
        <v>26664</v>
      </c>
      <c r="AA1630" t="s">
        <v>26683</v>
      </c>
      <c r="AB1630" t="s">
        <v>27091</v>
      </c>
      <c r="AD1630" t="s">
        <v>38213</v>
      </c>
      <c r="AE1630">
        <v>73</v>
      </c>
      <c r="AF1630" t="s">
        <v>45541</v>
      </c>
      <c r="AH1630">
        <v>6</v>
      </c>
      <c r="AI1630">
        <v>1</v>
      </c>
      <c r="AJ1630">
        <v>0</v>
      </c>
      <c r="AK1630">
        <v>153.51</v>
      </c>
      <c r="AN1630" t="s">
        <v>7439</v>
      </c>
      <c r="AO1630">
        <v>18636</v>
      </c>
      <c r="AU1630">
        <v>0.6</v>
      </c>
      <c r="AV1630" t="s">
        <v>586</v>
      </c>
      <c r="AW1630" t="s">
        <v>46838</v>
      </c>
    </row>
    <row r="1631" spans="1:50">
      <c r="A1631" s="1">
        <f>HYPERLINK("https://lsnyc.legalserver.org/matter/dynamic-profile/view/1876871","18-1876871")</f>
        <v>0</v>
      </c>
      <c r="B1631" t="s">
        <v>80</v>
      </c>
      <c r="C1631" t="s">
        <v>341</v>
      </c>
      <c r="D1631" t="s">
        <v>422</v>
      </c>
      <c r="E1631" t="s">
        <v>583</v>
      </c>
      <c r="F1631" t="s">
        <v>1878</v>
      </c>
      <c r="G1631" t="s">
        <v>5147</v>
      </c>
      <c r="H1631" t="s">
        <v>10989</v>
      </c>
      <c r="I1631">
        <v>18</v>
      </c>
      <c r="J1631" t="s">
        <v>18893</v>
      </c>
      <c r="K1631">
        <v>10031</v>
      </c>
      <c r="L1631" t="s">
        <v>18958</v>
      </c>
      <c r="M1631" t="s">
        <v>18960</v>
      </c>
      <c r="N1631" t="s">
        <v>20188</v>
      </c>
      <c r="O1631" t="s">
        <v>26524</v>
      </c>
      <c r="P1631" t="s">
        <v>26564</v>
      </c>
      <c r="Q1631" t="s">
        <v>26570</v>
      </c>
      <c r="R1631" t="s">
        <v>26580</v>
      </c>
      <c r="S1631" t="s">
        <v>18959</v>
      </c>
      <c r="U1631" t="s">
        <v>26604</v>
      </c>
      <c r="W1631" t="s">
        <v>422</v>
      </c>
      <c r="X1631">
        <v>1150</v>
      </c>
      <c r="Y1631" t="s">
        <v>26651</v>
      </c>
      <c r="Z1631" t="s">
        <v>26664</v>
      </c>
      <c r="AA1631" t="s">
        <v>26683</v>
      </c>
      <c r="AB1631" t="s">
        <v>28164</v>
      </c>
      <c r="AC1631" t="s">
        <v>34993</v>
      </c>
      <c r="AD1631" t="s">
        <v>38214</v>
      </c>
      <c r="AE1631">
        <v>0</v>
      </c>
      <c r="AF1631" t="s">
        <v>20460</v>
      </c>
      <c r="AG1631" t="s">
        <v>19330</v>
      </c>
      <c r="AH1631">
        <v>3</v>
      </c>
      <c r="AI1631">
        <v>1</v>
      </c>
      <c r="AJ1631">
        <v>4</v>
      </c>
      <c r="AK1631">
        <v>136.03</v>
      </c>
      <c r="AN1631" t="s">
        <v>45581</v>
      </c>
      <c r="AO1631">
        <v>40019.96</v>
      </c>
      <c r="AU1631">
        <v>0.3</v>
      </c>
      <c r="AV1631" t="s">
        <v>579</v>
      </c>
      <c r="AW1631" t="s">
        <v>314</v>
      </c>
    </row>
    <row r="1632" spans="1:50">
      <c r="A1632" s="1">
        <f>HYPERLINK("https://lsnyc.legalserver.org/matter/dynamic-profile/view/1877154","18-1877154")</f>
        <v>0</v>
      </c>
      <c r="B1632" t="s">
        <v>136</v>
      </c>
      <c r="C1632" t="s">
        <v>340</v>
      </c>
      <c r="D1632" t="s">
        <v>422</v>
      </c>
      <c r="F1632" t="s">
        <v>1303</v>
      </c>
      <c r="G1632" t="s">
        <v>6056</v>
      </c>
      <c r="H1632" t="s">
        <v>10990</v>
      </c>
      <c r="I1632" t="s">
        <v>17277</v>
      </c>
      <c r="J1632" t="s">
        <v>18892</v>
      </c>
      <c r="K1632">
        <v>10468</v>
      </c>
      <c r="L1632" t="s">
        <v>18958</v>
      </c>
      <c r="M1632" t="s">
        <v>18958</v>
      </c>
      <c r="N1632" t="s">
        <v>20189</v>
      </c>
      <c r="O1632" t="s">
        <v>26523</v>
      </c>
      <c r="P1632" t="s">
        <v>26560</v>
      </c>
      <c r="R1632" t="s">
        <v>26579</v>
      </c>
      <c r="S1632" t="s">
        <v>18959</v>
      </c>
      <c r="U1632" t="s">
        <v>26604</v>
      </c>
      <c r="V1632" t="s">
        <v>26610</v>
      </c>
      <c r="W1632" t="s">
        <v>422</v>
      </c>
      <c r="X1632">
        <v>874.35</v>
      </c>
      <c r="Y1632" t="s">
        <v>26650</v>
      </c>
      <c r="Z1632" t="s">
        <v>26664</v>
      </c>
      <c r="AB1632" t="s">
        <v>28165</v>
      </c>
      <c r="AC1632" t="s">
        <v>34994</v>
      </c>
      <c r="AD1632" t="s">
        <v>38215</v>
      </c>
      <c r="AE1632">
        <v>50</v>
      </c>
      <c r="AF1632" t="s">
        <v>45541</v>
      </c>
      <c r="AH1632">
        <v>16</v>
      </c>
      <c r="AI1632">
        <v>1</v>
      </c>
      <c r="AJ1632">
        <v>1</v>
      </c>
      <c r="AK1632">
        <v>0</v>
      </c>
      <c r="AO1632">
        <v>0</v>
      </c>
      <c r="AQ1632" t="s">
        <v>46362</v>
      </c>
      <c r="AR1632" t="s">
        <v>46385</v>
      </c>
      <c r="AS1632" t="s">
        <v>46499</v>
      </c>
      <c r="AT1632" t="s">
        <v>46707</v>
      </c>
      <c r="AU1632">
        <v>10.35</v>
      </c>
      <c r="AV1632" t="s">
        <v>763</v>
      </c>
      <c r="AW1632" t="s">
        <v>334</v>
      </c>
      <c r="AX1632" t="s">
        <v>46898</v>
      </c>
    </row>
    <row r="1633" spans="1:50">
      <c r="A1633" s="1">
        <f>HYPERLINK("https://lsnyc.legalserver.org/matter/dynamic-profile/view/1877203","18-1877203")</f>
        <v>0</v>
      </c>
      <c r="B1633" t="s">
        <v>136</v>
      </c>
      <c r="C1633" t="s">
        <v>340</v>
      </c>
      <c r="D1633" t="s">
        <v>422</v>
      </c>
      <c r="F1633" t="s">
        <v>1879</v>
      </c>
      <c r="G1633" t="s">
        <v>6057</v>
      </c>
      <c r="H1633" t="s">
        <v>10523</v>
      </c>
      <c r="I1633">
        <v>522</v>
      </c>
      <c r="J1633" t="s">
        <v>18892</v>
      </c>
      <c r="K1633">
        <v>10457</v>
      </c>
      <c r="L1633" t="s">
        <v>18958</v>
      </c>
      <c r="M1633" t="s">
        <v>18958</v>
      </c>
      <c r="N1633" t="s">
        <v>20190</v>
      </c>
      <c r="O1633" t="s">
        <v>26523</v>
      </c>
      <c r="P1633" t="s">
        <v>26560</v>
      </c>
      <c r="R1633" t="s">
        <v>26579</v>
      </c>
      <c r="S1633" t="s">
        <v>18959</v>
      </c>
      <c r="U1633" t="s">
        <v>26604</v>
      </c>
      <c r="V1633" t="s">
        <v>26610</v>
      </c>
      <c r="W1633" t="s">
        <v>422</v>
      </c>
      <c r="X1633">
        <v>774</v>
      </c>
      <c r="Y1633" t="s">
        <v>26650</v>
      </c>
      <c r="AB1633" t="s">
        <v>28166</v>
      </c>
      <c r="AC1633" t="s">
        <v>34995</v>
      </c>
      <c r="AD1633" t="s">
        <v>38216</v>
      </c>
      <c r="AE1633">
        <v>0</v>
      </c>
      <c r="AH1633">
        <v>18</v>
      </c>
      <c r="AI1633">
        <v>3</v>
      </c>
      <c r="AJ1633">
        <v>1</v>
      </c>
      <c r="AK1633">
        <v>155.38</v>
      </c>
      <c r="AO1633">
        <v>39000</v>
      </c>
      <c r="AU1633">
        <v>7.25</v>
      </c>
      <c r="AV1633" t="s">
        <v>618</v>
      </c>
      <c r="AW1633" t="s">
        <v>334</v>
      </c>
    </row>
    <row r="1634" spans="1:50">
      <c r="A1634" s="1">
        <f>HYPERLINK("https://lsnyc.legalserver.org/matter/dynamic-profile/view/1876750","18-1876750")</f>
        <v>0</v>
      </c>
      <c r="B1634" t="s">
        <v>164</v>
      </c>
      <c r="C1634" t="s">
        <v>340</v>
      </c>
      <c r="D1634" t="s">
        <v>422</v>
      </c>
      <c r="F1634" t="s">
        <v>1880</v>
      </c>
      <c r="G1634" t="s">
        <v>5008</v>
      </c>
      <c r="H1634" t="s">
        <v>10991</v>
      </c>
      <c r="J1634" t="s">
        <v>18908</v>
      </c>
      <c r="K1634">
        <v>11411</v>
      </c>
      <c r="L1634" t="s">
        <v>18958</v>
      </c>
      <c r="M1634" t="s">
        <v>18958</v>
      </c>
      <c r="N1634" t="s">
        <v>20191</v>
      </c>
      <c r="O1634" t="s">
        <v>26524</v>
      </c>
      <c r="P1634" t="s">
        <v>26563</v>
      </c>
      <c r="R1634" t="s">
        <v>26584</v>
      </c>
      <c r="S1634" t="s">
        <v>18959</v>
      </c>
      <c r="U1634" t="s">
        <v>26604</v>
      </c>
      <c r="V1634" t="s">
        <v>26610</v>
      </c>
      <c r="W1634" t="s">
        <v>422</v>
      </c>
      <c r="X1634">
        <v>1268</v>
      </c>
      <c r="Y1634" t="s">
        <v>26653</v>
      </c>
      <c r="Z1634" t="s">
        <v>26664</v>
      </c>
      <c r="AB1634" t="s">
        <v>28167</v>
      </c>
      <c r="AC1634" t="s">
        <v>34996</v>
      </c>
      <c r="AD1634" t="s">
        <v>38217</v>
      </c>
      <c r="AE1634">
        <v>1</v>
      </c>
      <c r="AF1634" t="s">
        <v>45547</v>
      </c>
      <c r="AG1634" t="s">
        <v>45562</v>
      </c>
      <c r="AH1634">
        <v>1</v>
      </c>
      <c r="AI1634">
        <v>1</v>
      </c>
      <c r="AJ1634">
        <v>2</v>
      </c>
      <c r="AK1634">
        <v>35.82</v>
      </c>
      <c r="AN1634" t="s">
        <v>7439</v>
      </c>
      <c r="AO1634">
        <v>7444</v>
      </c>
      <c r="AU1634">
        <v>1.1</v>
      </c>
      <c r="AV1634" t="s">
        <v>753</v>
      </c>
      <c r="AW1634" t="s">
        <v>208</v>
      </c>
    </row>
    <row r="1635" spans="1:50">
      <c r="A1635" s="1">
        <f>HYPERLINK("https://lsnyc.legalserver.org/matter/dynamic-profile/view/1876734","18-1876734")</f>
        <v>0</v>
      </c>
      <c r="B1635" t="s">
        <v>164</v>
      </c>
      <c r="C1635" t="s">
        <v>340</v>
      </c>
      <c r="D1635" t="s">
        <v>422</v>
      </c>
      <c r="F1635" t="s">
        <v>1881</v>
      </c>
      <c r="G1635" t="s">
        <v>997</v>
      </c>
      <c r="H1635" t="s">
        <v>10992</v>
      </c>
      <c r="I1635" t="s">
        <v>17491</v>
      </c>
      <c r="J1635" t="s">
        <v>18908</v>
      </c>
      <c r="K1635">
        <v>11411</v>
      </c>
      <c r="L1635" t="s">
        <v>18958</v>
      </c>
      <c r="M1635" t="s">
        <v>18958</v>
      </c>
      <c r="N1635" t="s">
        <v>20192</v>
      </c>
      <c r="O1635" t="s">
        <v>26524</v>
      </c>
      <c r="P1635" t="s">
        <v>26565</v>
      </c>
      <c r="R1635" t="s">
        <v>26584</v>
      </c>
      <c r="S1635" t="s">
        <v>18959</v>
      </c>
      <c r="U1635" t="s">
        <v>26604</v>
      </c>
      <c r="V1635" t="s">
        <v>26609</v>
      </c>
      <c r="W1635" t="s">
        <v>422</v>
      </c>
      <c r="X1635">
        <v>1500</v>
      </c>
      <c r="Y1635" t="s">
        <v>26653</v>
      </c>
      <c r="Z1635" t="s">
        <v>26664</v>
      </c>
      <c r="AB1635" t="s">
        <v>28168</v>
      </c>
      <c r="AC1635" t="s">
        <v>34997</v>
      </c>
      <c r="AD1635" t="s">
        <v>38218</v>
      </c>
      <c r="AE1635">
        <v>0</v>
      </c>
      <c r="AF1635" t="s">
        <v>45547</v>
      </c>
      <c r="AG1635" t="s">
        <v>19330</v>
      </c>
      <c r="AH1635">
        <v>5</v>
      </c>
      <c r="AI1635">
        <v>1</v>
      </c>
      <c r="AJ1635">
        <v>1</v>
      </c>
      <c r="AK1635">
        <v>90.04000000000001</v>
      </c>
      <c r="AN1635" t="s">
        <v>7439</v>
      </c>
      <c r="AO1635">
        <v>14820</v>
      </c>
      <c r="AU1635">
        <v>1</v>
      </c>
      <c r="AV1635" t="s">
        <v>422</v>
      </c>
      <c r="AW1635" t="s">
        <v>208</v>
      </c>
    </row>
    <row r="1636" spans="1:50">
      <c r="A1636" s="1">
        <f>HYPERLINK("https://lsnyc.legalserver.org/matter/dynamic-profile/view/1876804","18-1876804")</f>
        <v>0</v>
      </c>
      <c r="B1636" t="s">
        <v>164</v>
      </c>
      <c r="C1636" t="s">
        <v>340</v>
      </c>
      <c r="D1636" t="s">
        <v>422</v>
      </c>
      <c r="F1636" t="s">
        <v>1028</v>
      </c>
      <c r="G1636" t="s">
        <v>6058</v>
      </c>
      <c r="H1636" t="s">
        <v>10993</v>
      </c>
      <c r="I1636" t="s">
        <v>17328</v>
      </c>
      <c r="J1636" t="s">
        <v>18919</v>
      </c>
      <c r="K1636">
        <v>11429</v>
      </c>
      <c r="L1636" t="s">
        <v>18958</v>
      </c>
      <c r="M1636" t="s">
        <v>18958</v>
      </c>
      <c r="N1636" t="s">
        <v>20193</v>
      </c>
      <c r="O1636" t="s">
        <v>26524</v>
      </c>
      <c r="P1636" t="s">
        <v>26563</v>
      </c>
      <c r="R1636" t="s">
        <v>26584</v>
      </c>
      <c r="S1636" t="s">
        <v>18959</v>
      </c>
      <c r="U1636" t="s">
        <v>26604</v>
      </c>
      <c r="V1636" t="s">
        <v>26610</v>
      </c>
      <c r="W1636" t="s">
        <v>422</v>
      </c>
      <c r="X1636">
        <v>950</v>
      </c>
      <c r="Y1636" t="s">
        <v>26653</v>
      </c>
      <c r="Z1636" t="s">
        <v>26664</v>
      </c>
      <c r="AB1636" t="s">
        <v>28169</v>
      </c>
      <c r="AD1636" t="s">
        <v>38219</v>
      </c>
      <c r="AE1636">
        <v>1</v>
      </c>
      <c r="AF1636" t="s">
        <v>45547</v>
      </c>
      <c r="AG1636" t="s">
        <v>19330</v>
      </c>
      <c r="AH1636">
        <v>10</v>
      </c>
      <c r="AI1636">
        <v>2</v>
      </c>
      <c r="AJ1636">
        <v>0</v>
      </c>
      <c r="AK1636">
        <v>145.3</v>
      </c>
      <c r="AN1636" t="s">
        <v>7439</v>
      </c>
      <c r="AO1636">
        <v>23916</v>
      </c>
      <c r="AU1636">
        <v>1.1</v>
      </c>
      <c r="AV1636" t="s">
        <v>753</v>
      </c>
      <c r="AW1636" t="s">
        <v>208</v>
      </c>
    </row>
    <row r="1637" spans="1:50">
      <c r="A1637" s="1">
        <f>HYPERLINK("https://lsnyc.legalserver.org/matter/dynamic-profile/view/1876781","18-1876781")</f>
        <v>0</v>
      </c>
      <c r="B1637" t="s">
        <v>164</v>
      </c>
      <c r="C1637" t="s">
        <v>340</v>
      </c>
      <c r="D1637" t="s">
        <v>422</v>
      </c>
      <c r="F1637" t="s">
        <v>879</v>
      </c>
      <c r="G1637" t="s">
        <v>5189</v>
      </c>
      <c r="H1637" t="s">
        <v>10994</v>
      </c>
      <c r="I1637" t="s">
        <v>17694</v>
      </c>
      <c r="J1637" t="s">
        <v>18898</v>
      </c>
      <c r="K1637">
        <v>11691</v>
      </c>
      <c r="L1637" t="s">
        <v>18958</v>
      </c>
      <c r="M1637" t="s">
        <v>18958</v>
      </c>
      <c r="N1637" t="s">
        <v>20194</v>
      </c>
      <c r="O1637" t="s">
        <v>26523</v>
      </c>
      <c r="P1637" t="s">
        <v>26564</v>
      </c>
      <c r="R1637" t="s">
        <v>26584</v>
      </c>
      <c r="S1637" t="s">
        <v>18959</v>
      </c>
      <c r="U1637" t="s">
        <v>26604</v>
      </c>
      <c r="V1637" t="s">
        <v>26610</v>
      </c>
      <c r="W1637" t="s">
        <v>422</v>
      </c>
      <c r="X1637">
        <v>675</v>
      </c>
      <c r="Y1637" t="s">
        <v>26653</v>
      </c>
      <c r="Z1637" t="s">
        <v>26664</v>
      </c>
      <c r="AB1637" t="s">
        <v>28170</v>
      </c>
      <c r="AD1637" t="s">
        <v>38220</v>
      </c>
      <c r="AE1637">
        <v>120</v>
      </c>
      <c r="AF1637" t="s">
        <v>45549</v>
      </c>
      <c r="AG1637" t="s">
        <v>19330</v>
      </c>
      <c r="AH1637">
        <v>5</v>
      </c>
      <c r="AI1637">
        <v>1</v>
      </c>
      <c r="AJ1637">
        <v>0</v>
      </c>
      <c r="AK1637">
        <v>150.35</v>
      </c>
      <c r="AN1637" t="s">
        <v>7439</v>
      </c>
      <c r="AO1637">
        <v>18252</v>
      </c>
      <c r="AU1637">
        <v>1.18</v>
      </c>
      <c r="AV1637" t="s">
        <v>586</v>
      </c>
      <c r="AW1637" t="s">
        <v>208</v>
      </c>
    </row>
    <row r="1638" spans="1:50">
      <c r="A1638" s="1">
        <f>HYPERLINK("https://lsnyc.legalserver.org/matter/dynamic-profile/view/1876795","18-1876795")</f>
        <v>0</v>
      </c>
      <c r="B1638" t="s">
        <v>99</v>
      </c>
      <c r="C1638" t="s">
        <v>340</v>
      </c>
      <c r="D1638" t="s">
        <v>422</v>
      </c>
      <c r="F1638" t="s">
        <v>1882</v>
      </c>
      <c r="G1638" t="s">
        <v>994</v>
      </c>
      <c r="H1638" t="s">
        <v>10995</v>
      </c>
      <c r="I1638" t="s">
        <v>17423</v>
      </c>
      <c r="J1638" t="s">
        <v>18894</v>
      </c>
      <c r="K1638">
        <v>11225</v>
      </c>
      <c r="L1638" t="s">
        <v>18958</v>
      </c>
      <c r="M1638" t="s">
        <v>18958</v>
      </c>
      <c r="N1638" t="s">
        <v>20195</v>
      </c>
      <c r="O1638" t="s">
        <v>26524</v>
      </c>
      <c r="P1638" t="s">
        <v>26560</v>
      </c>
      <c r="R1638" t="s">
        <v>26588</v>
      </c>
      <c r="S1638" t="s">
        <v>18959</v>
      </c>
      <c r="U1638" t="s">
        <v>26604</v>
      </c>
      <c r="V1638" t="s">
        <v>26610</v>
      </c>
      <c r="W1638" t="s">
        <v>422</v>
      </c>
      <c r="X1638">
        <v>1500</v>
      </c>
      <c r="Y1638" t="s">
        <v>26652</v>
      </c>
      <c r="Z1638" t="s">
        <v>26669</v>
      </c>
      <c r="AB1638" t="s">
        <v>28171</v>
      </c>
      <c r="AC1638" t="s">
        <v>19330</v>
      </c>
      <c r="AD1638" t="s">
        <v>38221</v>
      </c>
      <c r="AE1638">
        <v>2</v>
      </c>
      <c r="AF1638" t="s">
        <v>45547</v>
      </c>
      <c r="AG1638" t="s">
        <v>19330</v>
      </c>
      <c r="AH1638">
        <v>2</v>
      </c>
      <c r="AI1638">
        <v>4</v>
      </c>
      <c r="AJ1638">
        <v>3</v>
      </c>
      <c r="AK1638">
        <v>78.81999999999999</v>
      </c>
      <c r="AN1638" t="s">
        <v>7439</v>
      </c>
      <c r="AO1638">
        <v>30000</v>
      </c>
      <c r="AU1638">
        <v>10.15</v>
      </c>
      <c r="AV1638" t="s">
        <v>828</v>
      </c>
      <c r="AW1638" t="s">
        <v>46862</v>
      </c>
    </row>
    <row r="1639" spans="1:50">
      <c r="A1639" s="1">
        <f>HYPERLINK("https://lsnyc.legalserver.org/matter/dynamic-profile/view/1876836","18-1876836")</f>
        <v>0</v>
      </c>
      <c r="B1639" t="s">
        <v>67</v>
      </c>
      <c r="C1639" t="s">
        <v>340</v>
      </c>
      <c r="D1639" t="s">
        <v>422</v>
      </c>
      <c r="F1639" t="s">
        <v>1785</v>
      </c>
      <c r="G1639" t="s">
        <v>5978</v>
      </c>
      <c r="H1639" t="s">
        <v>10156</v>
      </c>
      <c r="I1639" t="s">
        <v>17301</v>
      </c>
      <c r="J1639" t="s">
        <v>18892</v>
      </c>
      <c r="K1639">
        <v>10456</v>
      </c>
      <c r="L1639" t="s">
        <v>18958</v>
      </c>
      <c r="M1639" t="s">
        <v>18958</v>
      </c>
      <c r="N1639" t="s">
        <v>20196</v>
      </c>
      <c r="O1639" t="s">
        <v>26526</v>
      </c>
      <c r="P1639" t="s">
        <v>26560</v>
      </c>
      <c r="R1639" t="s">
        <v>26578</v>
      </c>
      <c r="S1639" t="s">
        <v>18958</v>
      </c>
      <c r="U1639" t="s">
        <v>26604</v>
      </c>
      <c r="W1639" t="s">
        <v>422</v>
      </c>
      <c r="X1639">
        <v>1330.07</v>
      </c>
      <c r="Y1639" t="s">
        <v>26650</v>
      </c>
      <c r="Z1639" t="s">
        <v>26663</v>
      </c>
      <c r="AB1639" t="s">
        <v>28022</v>
      </c>
      <c r="AD1639" t="s">
        <v>38071</v>
      </c>
      <c r="AE1639">
        <v>131</v>
      </c>
      <c r="AF1639" t="s">
        <v>45541</v>
      </c>
      <c r="AG1639" t="s">
        <v>19330</v>
      </c>
      <c r="AH1639">
        <v>3</v>
      </c>
      <c r="AI1639">
        <v>1</v>
      </c>
      <c r="AJ1639">
        <v>2</v>
      </c>
      <c r="AK1639">
        <v>125.12</v>
      </c>
      <c r="AN1639" t="s">
        <v>45581</v>
      </c>
      <c r="AO1639">
        <v>26000</v>
      </c>
      <c r="AU1639">
        <v>0</v>
      </c>
      <c r="AW1639" t="s">
        <v>336</v>
      </c>
    </row>
    <row r="1640" spans="1:50">
      <c r="A1640" s="1">
        <f>HYPERLINK("https://lsnyc.legalserver.org/matter/dynamic-profile/view/1876807","18-1876807")</f>
        <v>0</v>
      </c>
      <c r="B1640" t="s">
        <v>67</v>
      </c>
      <c r="C1640" t="s">
        <v>340</v>
      </c>
      <c r="D1640" t="s">
        <v>422</v>
      </c>
      <c r="F1640" t="s">
        <v>1786</v>
      </c>
      <c r="G1640" t="s">
        <v>5026</v>
      </c>
      <c r="H1640" t="s">
        <v>10156</v>
      </c>
      <c r="I1640" t="s">
        <v>17272</v>
      </c>
      <c r="J1640" t="s">
        <v>18892</v>
      </c>
      <c r="K1640">
        <v>10456</v>
      </c>
      <c r="L1640" t="s">
        <v>18958</v>
      </c>
      <c r="M1640" t="s">
        <v>18958</v>
      </c>
      <c r="N1640" t="s">
        <v>20060</v>
      </c>
      <c r="O1640" t="s">
        <v>26526</v>
      </c>
      <c r="P1640" t="s">
        <v>26560</v>
      </c>
      <c r="R1640" t="s">
        <v>26578</v>
      </c>
      <c r="S1640" t="s">
        <v>18958</v>
      </c>
      <c r="U1640" t="s">
        <v>26604</v>
      </c>
      <c r="W1640" t="s">
        <v>422</v>
      </c>
      <c r="X1640">
        <v>886</v>
      </c>
      <c r="Y1640" t="s">
        <v>26650</v>
      </c>
      <c r="Z1640" t="s">
        <v>26663</v>
      </c>
      <c r="AB1640" t="s">
        <v>28023</v>
      </c>
      <c r="AD1640" t="s">
        <v>38072</v>
      </c>
      <c r="AE1640">
        <v>131</v>
      </c>
      <c r="AF1640" t="s">
        <v>45541</v>
      </c>
      <c r="AG1640" t="s">
        <v>19330</v>
      </c>
      <c r="AH1640">
        <v>28</v>
      </c>
      <c r="AI1640">
        <v>2</v>
      </c>
      <c r="AJ1640">
        <v>0</v>
      </c>
      <c r="AK1640">
        <v>255.16</v>
      </c>
      <c r="AN1640" t="s">
        <v>7439</v>
      </c>
      <c r="AO1640">
        <v>42000</v>
      </c>
      <c r="AU1640">
        <v>0.5</v>
      </c>
      <c r="AV1640" t="s">
        <v>754</v>
      </c>
      <c r="AW1640" t="s">
        <v>336</v>
      </c>
    </row>
    <row r="1641" spans="1:50">
      <c r="A1641" s="1">
        <f>HYPERLINK("https://lsnyc.legalserver.org/matter/dynamic-profile/view/1877082","18-1877082")</f>
        <v>0</v>
      </c>
      <c r="B1641" t="s">
        <v>81</v>
      </c>
      <c r="C1641" t="s">
        <v>340</v>
      </c>
      <c r="D1641" t="s">
        <v>422</v>
      </c>
      <c r="F1641" t="s">
        <v>887</v>
      </c>
      <c r="G1641" t="s">
        <v>6059</v>
      </c>
      <c r="H1641" t="s">
        <v>10996</v>
      </c>
      <c r="I1641">
        <v>13</v>
      </c>
      <c r="J1641" t="s">
        <v>18892</v>
      </c>
      <c r="K1641">
        <v>10457</v>
      </c>
      <c r="L1641" t="s">
        <v>18958</v>
      </c>
      <c r="M1641" t="s">
        <v>18958</v>
      </c>
      <c r="N1641" t="s">
        <v>20197</v>
      </c>
      <c r="O1641" t="s">
        <v>26523</v>
      </c>
      <c r="P1641" t="s">
        <v>26560</v>
      </c>
      <c r="R1641" t="s">
        <v>26579</v>
      </c>
      <c r="S1641" t="s">
        <v>18959</v>
      </c>
      <c r="U1641" t="s">
        <v>26604</v>
      </c>
      <c r="V1641" t="s">
        <v>26610</v>
      </c>
      <c r="W1641" t="s">
        <v>422</v>
      </c>
      <c r="X1641">
        <v>2050</v>
      </c>
      <c r="Y1641" t="s">
        <v>26650</v>
      </c>
      <c r="Z1641" t="s">
        <v>26664</v>
      </c>
      <c r="AB1641" t="s">
        <v>28172</v>
      </c>
      <c r="AC1641" t="s">
        <v>34998</v>
      </c>
      <c r="AD1641" t="s">
        <v>38222</v>
      </c>
      <c r="AE1641">
        <v>29</v>
      </c>
      <c r="AF1641" t="s">
        <v>45541</v>
      </c>
      <c r="AG1641" t="s">
        <v>45558</v>
      </c>
      <c r="AH1641">
        <v>2</v>
      </c>
      <c r="AI1641">
        <v>1</v>
      </c>
      <c r="AJ1641">
        <v>5</v>
      </c>
      <c r="AK1641">
        <v>0</v>
      </c>
      <c r="AN1641" t="s">
        <v>45581</v>
      </c>
      <c r="AO1641">
        <v>0</v>
      </c>
      <c r="AU1641">
        <v>25.45</v>
      </c>
      <c r="AV1641" t="s">
        <v>773</v>
      </c>
      <c r="AW1641" t="s">
        <v>336</v>
      </c>
      <c r="AX1641" t="s">
        <v>46898</v>
      </c>
    </row>
    <row r="1642" spans="1:50">
      <c r="A1642" s="1">
        <f>HYPERLINK("https://lsnyc.legalserver.org/matter/dynamic-profile/view/1876767","18-1876767")</f>
        <v>0</v>
      </c>
      <c r="B1642" t="s">
        <v>191</v>
      </c>
      <c r="C1642" t="s">
        <v>340</v>
      </c>
      <c r="D1642" t="s">
        <v>422</v>
      </c>
      <c r="F1642" t="s">
        <v>1883</v>
      </c>
      <c r="G1642" t="s">
        <v>6060</v>
      </c>
      <c r="H1642" t="s">
        <v>10997</v>
      </c>
      <c r="I1642">
        <v>205</v>
      </c>
      <c r="J1642" t="s">
        <v>18893</v>
      </c>
      <c r="K1642">
        <v>10026</v>
      </c>
      <c r="L1642" t="s">
        <v>18958</v>
      </c>
      <c r="M1642" t="s">
        <v>18958</v>
      </c>
      <c r="N1642" t="s">
        <v>20198</v>
      </c>
      <c r="O1642" t="s">
        <v>26523</v>
      </c>
      <c r="P1642" t="s">
        <v>26560</v>
      </c>
      <c r="R1642" t="s">
        <v>26580</v>
      </c>
      <c r="S1642" t="s">
        <v>18959</v>
      </c>
      <c r="U1642" t="s">
        <v>26604</v>
      </c>
      <c r="W1642" t="s">
        <v>422</v>
      </c>
      <c r="X1642">
        <v>608</v>
      </c>
      <c r="Y1642" t="s">
        <v>26651</v>
      </c>
      <c r="AB1642" t="s">
        <v>28173</v>
      </c>
      <c r="AD1642" t="s">
        <v>38223</v>
      </c>
      <c r="AE1642">
        <v>0</v>
      </c>
      <c r="AH1642">
        <v>3</v>
      </c>
      <c r="AI1642">
        <v>1</v>
      </c>
      <c r="AJ1642">
        <v>0</v>
      </c>
      <c r="AK1642">
        <v>11.07</v>
      </c>
      <c r="AN1642" t="s">
        <v>7439</v>
      </c>
      <c r="AO1642">
        <v>1344</v>
      </c>
      <c r="AU1642">
        <v>3.2</v>
      </c>
      <c r="AV1642" t="s">
        <v>618</v>
      </c>
      <c r="AW1642" t="s">
        <v>46838</v>
      </c>
    </row>
    <row r="1643" spans="1:50">
      <c r="A1643" s="1">
        <f>HYPERLINK("https://lsnyc.legalserver.org/matter/dynamic-profile/view/1876790","18-1876790")</f>
        <v>0</v>
      </c>
      <c r="B1643" t="s">
        <v>83</v>
      </c>
      <c r="C1643" t="s">
        <v>340</v>
      </c>
      <c r="D1643" t="s">
        <v>422</v>
      </c>
      <c r="F1643" t="s">
        <v>1691</v>
      </c>
      <c r="G1643" t="s">
        <v>5654</v>
      </c>
      <c r="H1643" t="s">
        <v>10998</v>
      </c>
      <c r="I1643" t="s">
        <v>17330</v>
      </c>
      <c r="J1643" t="s">
        <v>18894</v>
      </c>
      <c r="K1643">
        <v>11207</v>
      </c>
      <c r="L1643" t="s">
        <v>18958</v>
      </c>
      <c r="M1643" t="s">
        <v>18958</v>
      </c>
      <c r="N1643" t="s">
        <v>20199</v>
      </c>
      <c r="O1643" t="s">
        <v>26523</v>
      </c>
      <c r="P1643" t="s">
        <v>26560</v>
      </c>
      <c r="R1643" t="s">
        <v>26578</v>
      </c>
      <c r="S1643" t="s">
        <v>18959</v>
      </c>
      <c r="U1643" t="s">
        <v>26604</v>
      </c>
      <c r="V1643" t="s">
        <v>26612</v>
      </c>
      <c r="W1643" t="s">
        <v>422</v>
      </c>
      <c r="X1643">
        <v>1301</v>
      </c>
      <c r="Y1643" t="s">
        <v>26652</v>
      </c>
      <c r="Z1643" t="s">
        <v>26664</v>
      </c>
      <c r="AB1643" t="s">
        <v>28174</v>
      </c>
      <c r="AC1643" t="s">
        <v>34999</v>
      </c>
      <c r="AD1643" t="s">
        <v>38224</v>
      </c>
      <c r="AE1643">
        <v>6</v>
      </c>
      <c r="AF1643" t="s">
        <v>45541</v>
      </c>
      <c r="AG1643" t="s">
        <v>45561</v>
      </c>
      <c r="AH1643">
        <v>10</v>
      </c>
      <c r="AI1643">
        <v>2</v>
      </c>
      <c r="AJ1643">
        <v>0</v>
      </c>
      <c r="AK1643">
        <v>54.68</v>
      </c>
      <c r="AN1643" t="s">
        <v>7439</v>
      </c>
      <c r="AO1643">
        <v>9000</v>
      </c>
      <c r="AP1643" t="s">
        <v>45624</v>
      </c>
      <c r="AQ1643" t="s">
        <v>46359</v>
      </c>
      <c r="AS1643" t="s">
        <v>46499</v>
      </c>
      <c r="AT1643" t="s">
        <v>46605</v>
      </c>
      <c r="AU1643">
        <v>1.3</v>
      </c>
      <c r="AV1643" t="s">
        <v>578</v>
      </c>
      <c r="AW1643" t="s">
        <v>281</v>
      </c>
    </row>
    <row r="1644" spans="1:50">
      <c r="A1644" s="1">
        <f>HYPERLINK("https://lsnyc.legalserver.org/matter/dynamic-profile/view/1876735","18-1876735")</f>
        <v>0</v>
      </c>
      <c r="B1644" t="s">
        <v>79</v>
      </c>
      <c r="C1644" t="s">
        <v>340</v>
      </c>
      <c r="D1644" t="s">
        <v>422</v>
      </c>
      <c r="F1644" t="s">
        <v>1026</v>
      </c>
      <c r="G1644" t="s">
        <v>5513</v>
      </c>
      <c r="H1644" t="s">
        <v>9854</v>
      </c>
      <c r="I1644" t="s">
        <v>17695</v>
      </c>
      <c r="J1644" t="s">
        <v>18893</v>
      </c>
      <c r="K1644">
        <v>10033</v>
      </c>
      <c r="L1644" t="s">
        <v>18958</v>
      </c>
      <c r="M1644" t="s">
        <v>18958</v>
      </c>
      <c r="O1644" t="s">
        <v>26526</v>
      </c>
      <c r="P1644" t="s">
        <v>26560</v>
      </c>
      <c r="R1644" t="s">
        <v>26578</v>
      </c>
      <c r="S1644" t="s">
        <v>18958</v>
      </c>
      <c r="U1644" t="s">
        <v>26604</v>
      </c>
      <c r="W1644" t="s">
        <v>422</v>
      </c>
      <c r="X1644">
        <v>1783.78</v>
      </c>
      <c r="Y1644" t="s">
        <v>26651</v>
      </c>
      <c r="Z1644" t="s">
        <v>26661</v>
      </c>
      <c r="AB1644" t="s">
        <v>28175</v>
      </c>
      <c r="AD1644" t="s">
        <v>38225</v>
      </c>
      <c r="AE1644">
        <v>232</v>
      </c>
      <c r="AF1644" t="s">
        <v>45541</v>
      </c>
      <c r="AG1644" t="s">
        <v>19330</v>
      </c>
      <c r="AH1644">
        <v>6</v>
      </c>
      <c r="AI1644">
        <v>2</v>
      </c>
      <c r="AJ1644">
        <v>3</v>
      </c>
      <c r="AK1644">
        <v>0</v>
      </c>
      <c r="AN1644" t="s">
        <v>45581</v>
      </c>
      <c r="AO1644">
        <v>0</v>
      </c>
      <c r="AU1644">
        <v>0.7</v>
      </c>
      <c r="AV1644" t="s">
        <v>827</v>
      </c>
      <c r="AW1644" t="s">
        <v>46840</v>
      </c>
    </row>
    <row r="1645" spans="1:50">
      <c r="A1645" s="1">
        <f>HYPERLINK("https://lsnyc.legalserver.org/matter/dynamic-profile/view/1877113","18-1877113")</f>
        <v>0</v>
      </c>
      <c r="B1645" t="s">
        <v>187</v>
      </c>
      <c r="C1645" t="s">
        <v>340</v>
      </c>
      <c r="D1645" t="s">
        <v>422</v>
      </c>
      <c r="F1645" t="s">
        <v>990</v>
      </c>
      <c r="G1645" t="s">
        <v>2644</v>
      </c>
      <c r="H1645" t="s">
        <v>10999</v>
      </c>
      <c r="I1645" t="s">
        <v>17696</v>
      </c>
      <c r="J1645" t="s">
        <v>18892</v>
      </c>
      <c r="K1645">
        <v>10453</v>
      </c>
      <c r="L1645" t="s">
        <v>18958</v>
      </c>
      <c r="M1645" t="s">
        <v>18958</v>
      </c>
      <c r="N1645" t="s">
        <v>20200</v>
      </c>
      <c r="O1645" t="s">
        <v>26523</v>
      </c>
      <c r="P1645" t="s">
        <v>26560</v>
      </c>
      <c r="R1645" t="s">
        <v>26577</v>
      </c>
      <c r="S1645" t="s">
        <v>18959</v>
      </c>
      <c r="U1645" t="s">
        <v>26604</v>
      </c>
      <c r="V1645" t="s">
        <v>26613</v>
      </c>
      <c r="W1645" t="s">
        <v>422</v>
      </c>
      <c r="X1645">
        <v>1175</v>
      </c>
      <c r="Y1645" t="s">
        <v>26650</v>
      </c>
      <c r="Z1645" t="s">
        <v>26664</v>
      </c>
      <c r="AB1645" t="s">
        <v>28176</v>
      </c>
      <c r="AD1645" t="s">
        <v>38226</v>
      </c>
      <c r="AE1645">
        <v>0</v>
      </c>
      <c r="AF1645" t="s">
        <v>45548</v>
      </c>
      <c r="AG1645" t="s">
        <v>45556</v>
      </c>
      <c r="AH1645">
        <v>8</v>
      </c>
      <c r="AI1645">
        <v>1</v>
      </c>
      <c r="AJ1645">
        <v>0</v>
      </c>
      <c r="AK1645">
        <v>107.08</v>
      </c>
      <c r="AN1645" t="s">
        <v>7439</v>
      </c>
      <c r="AO1645">
        <v>13000</v>
      </c>
      <c r="AP1645" t="s">
        <v>45654</v>
      </c>
      <c r="AU1645">
        <v>30.2</v>
      </c>
      <c r="AV1645" t="s">
        <v>809</v>
      </c>
      <c r="AW1645" t="s">
        <v>336</v>
      </c>
    </row>
    <row r="1646" spans="1:50">
      <c r="A1646" s="1">
        <f>HYPERLINK("https://lsnyc.legalserver.org/matter/dynamic-profile/view/1877487","18-1877487")</f>
        <v>0</v>
      </c>
      <c r="B1646" t="s">
        <v>95</v>
      </c>
      <c r="C1646" t="s">
        <v>340</v>
      </c>
      <c r="D1646" t="s">
        <v>545</v>
      </c>
      <c r="F1646" t="s">
        <v>1471</v>
      </c>
      <c r="G1646" t="s">
        <v>5681</v>
      </c>
      <c r="H1646" t="s">
        <v>11000</v>
      </c>
      <c r="I1646" t="s">
        <v>17697</v>
      </c>
      <c r="J1646" t="s">
        <v>18894</v>
      </c>
      <c r="K1646">
        <v>11239</v>
      </c>
      <c r="L1646" t="s">
        <v>18958</v>
      </c>
      <c r="M1646" t="s">
        <v>18958</v>
      </c>
      <c r="N1646" t="s">
        <v>20201</v>
      </c>
      <c r="O1646" t="s">
        <v>26523</v>
      </c>
      <c r="P1646" t="s">
        <v>26560</v>
      </c>
      <c r="R1646" t="s">
        <v>26578</v>
      </c>
      <c r="S1646" t="s">
        <v>18959</v>
      </c>
      <c r="U1646" t="s">
        <v>26604</v>
      </c>
      <c r="W1646" t="s">
        <v>422</v>
      </c>
      <c r="X1646">
        <v>2300</v>
      </c>
      <c r="Y1646" t="s">
        <v>26652</v>
      </c>
      <c r="Z1646" t="s">
        <v>26659</v>
      </c>
      <c r="AB1646" t="s">
        <v>28177</v>
      </c>
      <c r="AD1646" t="s">
        <v>38227</v>
      </c>
      <c r="AE1646">
        <v>1463</v>
      </c>
      <c r="AF1646" t="s">
        <v>45543</v>
      </c>
      <c r="AG1646" t="s">
        <v>45556</v>
      </c>
      <c r="AH1646">
        <v>3</v>
      </c>
      <c r="AI1646">
        <v>1</v>
      </c>
      <c r="AJ1646">
        <v>2</v>
      </c>
      <c r="AK1646">
        <v>185.27</v>
      </c>
      <c r="AN1646" t="s">
        <v>7439</v>
      </c>
      <c r="AO1646">
        <v>38500</v>
      </c>
      <c r="AP1646" t="s">
        <v>45624</v>
      </c>
      <c r="AU1646">
        <v>6.5</v>
      </c>
      <c r="AV1646" t="s">
        <v>657</v>
      </c>
      <c r="AW1646" t="s">
        <v>279</v>
      </c>
    </row>
    <row r="1647" spans="1:50">
      <c r="A1647" s="1">
        <f>HYPERLINK("https://lsnyc.legalserver.org/matter/dynamic-profile/view/1878068","18-1878068")</f>
        <v>0</v>
      </c>
      <c r="B1647" t="s">
        <v>134</v>
      </c>
      <c r="C1647" t="s">
        <v>340</v>
      </c>
      <c r="D1647" t="s">
        <v>534</v>
      </c>
      <c r="F1647" t="s">
        <v>1884</v>
      </c>
      <c r="G1647" t="s">
        <v>6061</v>
      </c>
      <c r="H1647" t="s">
        <v>10439</v>
      </c>
      <c r="I1647" t="s">
        <v>17362</v>
      </c>
      <c r="J1647" t="s">
        <v>18894</v>
      </c>
      <c r="K1647">
        <v>11216</v>
      </c>
      <c r="L1647" t="s">
        <v>18958</v>
      </c>
      <c r="M1647" t="s">
        <v>18958</v>
      </c>
      <c r="O1647" t="s">
        <v>26528</v>
      </c>
      <c r="P1647" t="s">
        <v>26560</v>
      </c>
      <c r="R1647" t="s">
        <v>26578</v>
      </c>
      <c r="U1647" t="s">
        <v>26604</v>
      </c>
      <c r="W1647" t="s">
        <v>422</v>
      </c>
      <c r="X1647">
        <v>1390.98</v>
      </c>
      <c r="Y1647" t="s">
        <v>26652</v>
      </c>
      <c r="Z1647" t="s">
        <v>26667</v>
      </c>
      <c r="AB1647" t="s">
        <v>28178</v>
      </c>
      <c r="AD1647" t="s">
        <v>38228</v>
      </c>
      <c r="AE1647">
        <v>82</v>
      </c>
      <c r="AF1647" t="s">
        <v>45541</v>
      </c>
      <c r="AG1647" t="s">
        <v>19330</v>
      </c>
      <c r="AH1647">
        <v>7</v>
      </c>
      <c r="AI1647">
        <v>2</v>
      </c>
      <c r="AJ1647">
        <v>0</v>
      </c>
      <c r="AK1647">
        <v>516.4</v>
      </c>
      <c r="AL1647" t="s">
        <v>641</v>
      </c>
      <c r="AM1647" t="s">
        <v>45575</v>
      </c>
      <c r="AN1647" t="s">
        <v>7439</v>
      </c>
      <c r="AO1647">
        <v>85000</v>
      </c>
      <c r="AP1647" t="s">
        <v>45635</v>
      </c>
      <c r="AU1647">
        <v>0</v>
      </c>
      <c r="AW1647" t="s">
        <v>279</v>
      </c>
    </row>
    <row r="1648" spans="1:50">
      <c r="A1648" s="1">
        <f>HYPERLINK("https://lsnyc.legalserver.org/matter/dynamic-profile/view/1878063","18-1878063")</f>
        <v>0</v>
      </c>
      <c r="B1648" t="s">
        <v>134</v>
      </c>
      <c r="C1648" t="s">
        <v>340</v>
      </c>
      <c r="D1648" t="s">
        <v>534</v>
      </c>
      <c r="F1648" t="s">
        <v>1884</v>
      </c>
      <c r="G1648" t="s">
        <v>6061</v>
      </c>
      <c r="H1648" t="s">
        <v>10439</v>
      </c>
      <c r="I1648" t="s">
        <v>17362</v>
      </c>
      <c r="J1648" t="s">
        <v>18894</v>
      </c>
      <c r="K1648">
        <v>11216</v>
      </c>
      <c r="L1648" t="s">
        <v>18958</v>
      </c>
      <c r="M1648" t="s">
        <v>18958</v>
      </c>
      <c r="O1648" t="s">
        <v>18997</v>
      </c>
      <c r="P1648" t="s">
        <v>26565</v>
      </c>
      <c r="R1648" t="s">
        <v>26578</v>
      </c>
      <c r="U1648" t="s">
        <v>26604</v>
      </c>
      <c r="W1648" t="s">
        <v>422</v>
      </c>
      <c r="X1648">
        <v>1390</v>
      </c>
      <c r="Y1648" t="s">
        <v>26652</v>
      </c>
      <c r="Z1648" t="s">
        <v>26667</v>
      </c>
      <c r="AB1648" t="s">
        <v>28178</v>
      </c>
      <c r="AD1648" t="s">
        <v>38228</v>
      </c>
      <c r="AE1648">
        <v>82</v>
      </c>
      <c r="AF1648" t="s">
        <v>45541</v>
      </c>
      <c r="AG1648" t="s">
        <v>19330</v>
      </c>
      <c r="AH1648">
        <v>7</v>
      </c>
      <c r="AI1648">
        <v>2</v>
      </c>
      <c r="AJ1648">
        <v>0</v>
      </c>
      <c r="AK1648">
        <v>516.4</v>
      </c>
      <c r="AL1648" t="s">
        <v>641</v>
      </c>
      <c r="AM1648" t="s">
        <v>45575</v>
      </c>
      <c r="AN1648" t="s">
        <v>7439</v>
      </c>
      <c r="AO1648">
        <v>85000</v>
      </c>
      <c r="AP1648" t="s">
        <v>45635</v>
      </c>
      <c r="AU1648">
        <v>0</v>
      </c>
      <c r="AW1648" t="s">
        <v>279</v>
      </c>
    </row>
    <row r="1649" spans="1:49">
      <c r="A1649" s="1">
        <f>HYPERLINK("https://lsnyc.legalserver.org/matter/dynamic-profile/view/1882807","18-1882807")</f>
        <v>0</v>
      </c>
      <c r="B1649" t="s">
        <v>116</v>
      </c>
      <c r="C1649" t="s">
        <v>341</v>
      </c>
      <c r="D1649" t="s">
        <v>577</v>
      </c>
      <c r="E1649" t="s">
        <v>765</v>
      </c>
      <c r="F1649" t="s">
        <v>1015</v>
      </c>
      <c r="G1649" t="s">
        <v>5200</v>
      </c>
      <c r="H1649" t="s">
        <v>9779</v>
      </c>
      <c r="J1649" t="s">
        <v>18894</v>
      </c>
      <c r="K1649">
        <v>11208</v>
      </c>
      <c r="L1649" t="s">
        <v>18958</v>
      </c>
      <c r="M1649" t="s">
        <v>18958</v>
      </c>
      <c r="N1649" t="s">
        <v>20202</v>
      </c>
      <c r="O1649" t="s">
        <v>26524</v>
      </c>
      <c r="P1649" t="s">
        <v>26560</v>
      </c>
      <c r="Q1649" t="s">
        <v>26570</v>
      </c>
      <c r="R1649" t="s">
        <v>26578</v>
      </c>
      <c r="S1649" t="s">
        <v>18958</v>
      </c>
      <c r="U1649" t="s">
        <v>26604</v>
      </c>
      <c r="V1649" t="s">
        <v>26610</v>
      </c>
      <c r="W1649" t="s">
        <v>422</v>
      </c>
      <c r="X1649">
        <v>320</v>
      </c>
      <c r="Y1649" t="s">
        <v>26652</v>
      </c>
      <c r="AA1649" t="s">
        <v>26679</v>
      </c>
      <c r="AB1649" t="s">
        <v>26862</v>
      </c>
      <c r="AD1649" t="s">
        <v>36959</v>
      </c>
      <c r="AE1649">
        <v>7</v>
      </c>
      <c r="AH1649">
        <v>4</v>
      </c>
      <c r="AI1649">
        <v>1</v>
      </c>
      <c r="AJ1649">
        <v>0</v>
      </c>
      <c r="AK1649">
        <v>80.26000000000001</v>
      </c>
      <c r="AN1649" t="s">
        <v>45587</v>
      </c>
      <c r="AO1649">
        <v>9744</v>
      </c>
      <c r="AP1649" t="s">
        <v>45721</v>
      </c>
      <c r="AU1649">
        <v>3.7</v>
      </c>
      <c r="AV1649" t="s">
        <v>760</v>
      </c>
      <c r="AW1649" t="s">
        <v>279</v>
      </c>
    </row>
    <row r="1650" spans="1:49">
      <c r="A1650" s="1">
        <f>HYPERLINK("https://lsnyc.legalserver.org/matter/dynamic-profile/view/1882823","18-1882823")</f>
        <v>0</v>
      </c>
      <c r="B1650" t="s">
        <v>73</v>
      </c>
      <c r="C1650" t="s">
        <v>341</v>
      </c>
      <c r="D1650" t="s">
        <v>577</v>
      </c>
      <c r="E1650" t="s">
        <v>794</v>
      </c>
      <c r="F1650" t="s">
        <v>1840</v>
      </c>
      <c r="G1650" t="s">
        <v>3283</v>
      </c>
      <c r="H1650" t="s">
        <v>9779</v>
      </c>
      <c r="I1650">
        <v>7</v>
      </c>
      <c r="J1650" t="s">
        <v>18894</v>
      </c>
      <c r="K1650">
        <v>11208</v>
      </c>
      <c r="L1650" t="s">
        <v>18958</v>
      </c>
      <c r="M1650" t="s">
        <v>18958</v>
      </c>
      <c r="N1650" t="s">
        <v>20203</v>
      </c>
      <c r="O1650" t="s">
        <v>26524</v>
      </c>
      <c r="P1650" t="s">
        <v>26560</v>
      </c>
      <c r="Q1650" t="s">
        <v>26568</v>
      </c>
      <c r="R1650" t="s">
        <v>26578</v>
      </c>
      <c r="S1650" t="s">
        <v>18958</v>
      </c>
      <c r="U1650" t="s">
        <v>26604</v>
      </c>
      <c r="V1650" t="s">
        <v>26610</v>
      </c>
      <c r="W1650" t="s">
        <v>422</v>
      </c>
      <c r="X1650">
        <v>600</v>
      </c>
      <c r="Y1650" t="s">
        <v>26652</v>
      </c>
      <c r="Z1650" t="s">
        <v>26667</v>
      </c>
      <c r="AA1650" t="s">
        <v>26683</v>
      </c>
      <c r="AB1650" t="s">
        <v>28104</v>
      </c>
      <c r="AD1650" t="s">
        <v>38156</v>
      </c>
      <c r="AE1650">
        <v>7</v>
      </c>
      <c r="AF1650" t="s">
        <v>45547</v>
      </c>
      <c r="AG1650" t="s">
        <v>19330</v>
      </c>
      <c r="AH1650">
        <v>2</v>
      </c>
      <c r="AI1650">
        <v>1</v>
      </c>
      <c r="AJ1650">
        <v>0</v>
      </c>
      <c r="AK1650">
        <v>0</v>
      </c>
      <c r="AN1650" t="s">
        <v>7439</v>
      </c>
      <c r="AO1650">
        <v>0</v>
      </c>
      <c r="AP1650" t="s">
        <v>45722</v>
      </c>
      <c r="AQ1650" t="s">
        <v>46368</v>
      </c>
      <c r="AR1650" t="s">
        <v>46445</v>
      </c>
      <c r="AS1650" t="s">
        <v>46500</v>
      </c>
      <c r="AT1650" t="s">
        <v>46531</v>
      </c>
      <c r="AU1650">
        <v>0.1</v>
      </c>
      <c r="AV1650" t="s">
        <v>794</v>
      </c>
      <c r="AW1650" t="s">
        <v>279</v>
      </c>
    </row>
    <row r="1651" spans="1:49">
      <c r="A1651" s="1">
        <f>HYPERLINK("https://lsnyc.legalserver.org/matter/dynamic-profile/view/1882817","18-1882817")</f>
        <v>0</v>
      </c>
      <c r="B1651" t="s">
        <v>73</v>
      </c>
      <c r="C1651" t="s">
        <v>341</v>
      </c>
      <c r="D1651" t="s">
        <v>577</v>
      </c>
      <c r="E1651" t="s">
        <v>794</v>
      </c>
      <c r="F1651" t="s">
        <v>1283</v>
      </c>
      <c r="G1651" t="s">
        <v>5173</v>
      </c>
      <c r="H1651" t="s">
        <v>9779</v>
      </c>
      <c r="I1651" t="s">
        <v>17374</v>
      </c>
      <c r="J1651" t="s">
        <v>18894</v>
      </c>
      <c r="K1651">
        <v>11208</v>
      </c>
      <c r="L1651" t="s">
        <v>18958</v>
      </c>
      <c r="M1651" t="s">
        <v>18958</v>
      </c>
      <c r="N1651" t="s">
        <v>20202</v>
      </c>
      <c r="O1651" t="s">
        <v>26524</v>
      </c>
      <c r="P1651" t="s">
        <v>26560</v>
      </c>
      <c r="Q1651" t="s">
        <v>26568</v>
      </c>
      <c r="R1651" t="s">
        <v>26578</v>
      </c>
      <c r="S1651" t="s">
        <v>18958</v>
      </c>
      <c r="U1651" t="s">
        <v>26604</v>
      </c>
      <c r="V1651" t="s">
        <v>26610</v>
      </c>
      <c r="W1651" t="s">
        <v>422</v>
      </c>
      <c r="X1651">
        <v>0</v>
      </c>
      <c r="Y1651" t="s">
        <v>26652</v>
      </c>
      <c r="Z1651" t="s">
        <v>26667</v>
      </c>
      <c r="AA1651" t="s">
        <v>26683</v>
      </c>
      <c r="AB1651" t="s">
        <v>28179</v>
      </c>
      <c r="AD1651" t="s">
        <v>38229</v>
      </c>
      <c r="AE1651">
        <v>7</v>
      </c>
      <c r="AF1651" t="s">
        <v>45541</v>
      </c>
      <c r="AH1651">
        <v>17</v>
      </c>
      <c r="AI1651">
        <v>1</v>
      </c>
      <c r="AJ1651">
        <v>0</v>
      </c>
      <c r="AK1651">
        <v>39.54</v>
      </c>
      <c r="AN1651" t="s">
        <v>45581</v>
      </c>
      <c r="AO1651">
        <v>4800</v>
      </c>
      <c r="AP1651" t="s">
        <v>45723</v>
      </c>
      <c r="AQ1651" t="s">
        <v>46368</v>
      </c>
      <c r="AR1651" t="s">
        <v>46445</v>
      </c>
      <c r="AS1651" t="s">
        <v>46500</v>
      </c>
      <c r="AT1651" t="s">
        <v>46531</v>
      </c>
      <c r="AU1651">
        <v>5</v>
      </c>
      <c r="AV1651" t="s">
        <v>657</v>
      </c>
      <c r="AW1651" t="s">
        <v>279</v>
      </c>
    </row>
    <row r="1652" spans="1:49">
      <c r="A1652" s="1">
        <f>HYPERLINK("https://lsnyc.legalserver.org/matter/dynamic-profile/view/1882853","18-1882853")</f>
        <v>0</v>
      </c>
      <c r="B1652" t="s">
        <v>73</v>
      </c>
      <c r="C1652" t="s">
        <v>341</v>
      </c>
      <c r="D1652" t="s">
        <v>577</v>
      </c>
      <c r="E1652" t="s">
        <v>794</v>
      </c>
      <c r="F1652" t="s">
        <v>1300</v>
      </c>
      <c r="G1652" t="s">
        <v>5385</v>
      </c>
      <c r="H1652" t="s">
        <v>9779</v>
      </c>
      <c r="I1652">
        <v>1</v>
      </c>
      <c r="J1652" t="s">
        <v>18894</v>
      </c>
      <c r="K1652">
        <v>11208</v>
      </c>
      <c r="L1652" t="s">
        <v>18958</v>
      </c>
      <c r="M1652" t="s">
        <v>18958</v>
      </c>
      <c r="N1652" t="s">
        <v>20203</v>
      </c>
      <c r="O1652" t="s">
        <v>26524</v>
      </c>
      <c r="P1652" t="s">
        <v>26560</v>
      </c>
      <c r="Q1652" t="s">
        <v>26568</v>
      </c>
      <c r="R1652" t="s">
        <v>26578</v>
      </c>
      <c r="S1652" t="s">
        <v>18958</v>
      </c>
      <c r="U1652" t="s">
        <v>26604</v>
      </c>
      <c r="V1652" t="s">
        <v>26610</v>
      </c>
      <c r="W1652" t="s">
        <v>422</v>
      </c>
      <c r="X1652">
        <v>450</v>
      </c>
      <c r="Y1652" t="s">
        <v>26652</v>
      </c>
      <c r="Z1652" t="s">
        <v>26667</v>
      </c>
      <c r="AA1652" t="s">
        <v>26683</v>
      </c>
      <c r="AB1652" t="s">
        <v>28105</v>
      </c>
      <c r="AC1652" t="s">
        <v>19330</v>
      </c>
      <c r="AE1652">
        <v>7</v>
      </c>
      <c r="AF1652" t="s">
        <v>45547</v>
      </c>
      <c r="AG1652" t="s">
        <v>19330</v>
      </c>
      <c r="AH1652">
        <v>5</v>
      </c>
      <c r="AI1652">
        <v>2</v>
      </c>
      <c r="AJ1652">
        <v>0</v>
      </c>
      <c r="AK1652">
        <v>59.78</v>
      </c>
      <c r="AN1652" t="s">
        <v>45581</v>
      </c>
      <c r="AO1652">
        <v>9840</v>
      </c>
      <c r="AP1652" t="s">
        <v>45724</v>
      </c>
      <c r="AQ1652" t="s">
        <v>46368</v>
      </c>
      <c r="AR1652" t="s">
        <v>46445</v>
      </c>
      <c r="AS1652" t="s">
        <v>46500</v>
      </c>
      <c r="AT1652" t="s">
        <v>46531</v>
      </c>
      <c r="AU1652">
        <v>0.1</v>
      </c>
      <c r="AV1652" t="s">
        <v>794</v>
      </c>
      <c r="AW1652" t="s">
        <v>279</v>
      </c>
    </row>
    <row r="1653" spans="1:49">
      <c r="A1653" s="1">
        <f>HYPERLINK("https://lsnyc.legalserver.org/matter/dynamic-profile/view/1882850","18-1882850")</f>
        <v>0</v>
      </c>
      <c r="B1653" t="s">
        <v>73</v>
      </c>
      <c r="C1653" t="s">
        <v>341</v>
      </c>
      <c r="D1653" t="s">
        <v>577</v>
      </c>
      <c r="E1653" t="s">
        <v>781</v>
      </c>
      <c r="F1653" t="s">
        <v>887</v>
      </c>
      <c r="G1653" t="s">
        <v>6021</v>
      </c>
      <c r="H1653" t="s">
        <v>9779</v>
      </c>
      <c r="I1653" t="s">
        <v>17685</v>
      </c>
      <c r="J1653" t="s">
        <v>18894</v>
      </c>
      <c r="K1653">
        <v>11208</v>
      </c>
      <c r="L1653" t="s">
        <v>18958</v>
      </c>
      <c r="M1653" t="s">
        <v>18958</v>
      </c>
      <c r="N1653" t="s">
        <v>20202</v>
      </c>
      <c r="O1653" t="s">
        <v>26524</v>
      </c>
      <c r="P1653" t="s">
        <v>26560</v>
      </c>
      <c r="Q1653" t="s">
        <v>26568</v>
      </c>
      <c r="R1653" t="s">
        <v>26578</v>
      </c>
      <c r="S1653" t="s">
        <v>18958</v>
      </c>
      <c r="U1653" t="s">
        <v>26604</v>
      </c>
      <c r="V1653" t="s">
        <v>26610</v>
      </c>
      <c r="W1653" t="s">
        <v>422</v>
      </c>
      <c r="X1653">
        <v>300</v>
      </c>
      <c r="Y1653" t="s">
        <v>26652</v>
      </c>
      <c r="AA1653" t="s">
        <v>26683</v>
      </c>
      <c r="AB1653" t="s">
        <v>28106</v>
      </c>
      <c r="AC1653" t="s">
        <v>19330</v>
      </c>
      <c r="AD1653" t="s">
        <v>38157</v>
      </c>
      <c r="AE1653">
        <v>7</v>
      </c>
      <c r="AF1653" t="s">
        <v>45547</v>
      </c>
      <c r="AG1653" t="s">
        <v>19330</v>
      </c>
      <c r="AH1653">
        <v>3</v>
      </c>
      <c r="AI1653">
        <v>1</v>
      </c>
      <c r="AJ1653">
        <v>0</v>
      </c>
      <c r="AK1653">
        <v>107.08</v>
      </c>
      <c r="AN1653" t="s">
        <v>45581</v>
      </c>
      <c r="AO1653">
        <v>13000</v>
      </c>
      <c r="AP1653" t="s">
        <v>45725</v>
      </c>
      <c r="AQ1653" t="s">
        <v>46361</v>
      </c>
      <c r="AR1653" t="s">
        <v>46446</v>
      </c>
      <c r="AS1653" t="s">
        <v>46500</v>
      </c>
      <c r="AT1653" t="s">
        <v>46679</v>
      </c>
      <c r="AU1653">
        <v>0.1</v>
      </c>
      <c r="AV1653" t="s">
        <v>683</v>
      </c>
      <c r="AW1653" t="s">
        <v>279</v>
      </c>
    </row>
    <row r="1654" spans="1:49">
      <c r="A1654" s="1">
        <f>HYPERLINK("https://lsnyc.legalserver.org/matter/dynamic-profile/view/1873417","18-1873417")</f>
        <v>0</v>
      </c>
      <c r="B1654" t="s">
        <v>133</v>
      </c>
      <c r="C1654" t="s">
        <v>340</v>
      </c>
      <c r="D1654" t="s">
        <v>464</v>
      </c>
      <c r="F1654" t="s">
        <v>1663</v>
      </c>
      <c r="G1654" t="s">
        <v>5147</v>
      </c>
      <c r="H1654" t="s">
        <v>11001</v>
      </c>
      <c r="I1654" t="s">
        <v>17407</v>
      </c>
      <c r="J1654" t="s">
        <v>18892</v>
      </c>
      <c r="K1654">
        <v>10453</v>
      </c>
      <c r="L1654" t="s">
        <v>18958</v>
      </c>
      <c r="M1654" t="s">
        <v>18958</v>
      </c>
      <c r="N1654" t="s">
        <v>20204</v>
      </c>
      <c r="O1654" t="s">
        <v>26523</v>
      </c>
      <c r="P1654" t="s">
        <v>26560</v>
      </c>
      <c r="R1654" t="s">
        <v>26577</v>
      </c>
      <c r="S1654" t="s">
        <v>18959</v>
      </c>
      <c r="U1654" t="s">
        <v>26604</v>
      </c>
      <c r="V1654" t="s">
        <v>26610</v>
      </c>
      <c r="W1654" t="s">
        <v>524</v>
      </c>
      <c r="X1654">
        <v>719</v>
      </c>
      <c r="Y1654" t="s">
        <v>26650</v>
      </c>
      <c r="AB1654" t="s">
        <v>28180</v>
      </c>
      <c r="AD1654" t="s">
        <v>38230</v>
      </c>
      <c r="AE1654">
        <v>25</v>
      </c>
      <c r="AF1654" t="s">
        <v>20460</v>
      </c>
      <c r="AG1654" t="s">
        <v>19330</v>
      </c>
      <c r="AH1654">
        <v>26</v>
      </c>
      <c r="AI1654">
        <v>2</v>
      </c>
      <c r="AJ1654">
        <v>0</v>
      </c>
      <c r="AK1654">
        <v>133.41</v>
      </c>
      <c r="AN1654" t="s">
        <v>7439</v>
      </c>
      <c r="AO1654">
        <v>21960</v>
      </c>
      <c r="AU1654">
        <v>16.55</v>
      </c>
      <c r="AV1654" t="s">
        <v>519</v>
      </c>
      <c r="AW1654" t="s">
        <v>46859</v>
      </c>
    </row>
    <row r="1655" spans="1:49">
      <c r="A1655" s="1">
        <f>HYPERLINK("https://lsnyc.legalserver.org/matter/dynamic-profile/view/1874597","18-1874597")</f>
        <v>0</v>
      </c>
      <c r="B1655" t="s">
        <v>82</v>
      </c>
      <c r="C1655" t="s">
        <v>341</v>
      </c>
      <c r="D1655" t="s">
        <v>461</v>
      </c>
      <c r="E1655" t="s">
        <v>665</v>
      </c>
      <c r="F1655" t="s">
        <v>1885</v>
      </c>
      <c r="G1655" t="s">
        <v>5489</v>
      </c>
      <c r="H1655" t="s">
        <v>11002</v>
      </c>
      <c r="I1655" t="s">
        <v>17698</v>
      </c>
      <c r="J1655" t="s">
        <v>18892</v>
      </c>
      <c r="K1655">
        <v>10469</v>
      </c>
      <c r="L1655" t="s">
        <v>18958</v>
      </c>
      <c r="M1655" t="s">
        <v>18958</v>
      </c>
      <c r="N1655" t="s">
        <v>20205</v>
      </c>
      <c r="O1655" t="s">
        <v>26523</v>
      </c>
      <c r="P1655" t="s">
        <v>26560</v>
      </c>
      <c r="Q1655" t="s">
        <v>26568</v>
      </c>
      <c r="R1655" t="s">
        <v>26577</v>
      </c>
      <c r="S1655" t="s">
        <v>18959</v>
      </c>
      <c r="U1655" t="s">
        <v>26604</v>
      </c>
      <c r="V1655" t="s">
        <v>26612</v>
      </c>
      <c r="W1655" t="s">
        <v>524</v>
      </c>
      <c r="X1655">
        <v>2000</v>
      </c>
      <c r="Y1655" t="s">
        <v>26650</v>
      </c>
      <c r="AA1655" t="s">
        <v>26679</v>
      </c>
      <c r="AB1655" t="s">
        <v>28181</v>
      </c>
      <c r="AD1655" t="s">
        <v>38231</v>
      </c>
      <c r="AE1655">
        <v>0</v>
      </c>
      <c r="AF1655" t="s">
        <v>45547</v>
      </c>
      <c r="AG1655" t="s">
        <v>45563</v>
      </c>
      <c r="AH1655">
        <v>7</v>
      </c>
      <c r="AI1655">
        <v>1</v>
      </c>
      <c r="AJ1655">
        <v>4</v>
      </c>
      <c r="AK1655">
        <v>143.1</v>
      </c>
      <c r="AN1655" t="s">
        <v>7439</v>
      </c>
      <c r="AO1655">
        <v>42098.88</v>
      </c>
      <c r="AR1655" t="s">
        <v>46406</v>
      </c>
      <c r="AS1655" t="s">
        <v>46500</v>
      </c>
      <c r="AT1655" t="s">
        <v>46617</v>
      </c>
      <c r="AU1655">
        <v>9.949999999999999</v>
      </c>
      <c r="AV1655" t="s">
        <v>651</v>
      </c>
      <c r="AW1655" t="s">
        <v>267</v>
      </c>
    </row>
    <row r="1656" spans="1:49">
      <c r="A1656" s="1">
        <f>HYPERLINK("https://lsnyc.legalserver.org/matter/dynamic-profile/view/1874758","18-1874758")</f>
        <v>0</v>
      </c>
      <c r="B1656" t="s">
        <v>118</v>
      </c>
      <c r="C1656" t="s">
        <v>341</v>
      </c>
      <c r="D1656" t="s">
        <v>504</v>
      </c>
      <c r="E1656" t="s">
        <v>416</v>
      </c>
      <c r="F1656" t="s">
        <v>1886</v>
      </c>
      <c r="G1656" t="s">
        <v>5434</v>
      </c>
      <c r="H1656" t="s">
        <v>11003</v>
      </c>
      <c r="I1656" t="s">
        <v>17699</v>
      </c>
      <c r="J1656" t="s">
        <v>18893</v>
      </c>
      <c r="K1656">
        <v>10035</v>
      </c>
      <c r="L1656" t="s">
        <v>18958</v>
      </c>
      <c r="M1656" t="s">
        <v>18958</v>
      </c>
      <c r="O1656" t="s">
        <v>18997</v>
      </c>
      <c r="P1656" t="s">
        <v>26564</v>
      </c>
      <c r="Q1656" t="s">
        <v>26570</v>
      </c>
      <c r="R1656" t="s">
        <v>26578</v>
      </c>
      <c r="S1656" t="s">
        <v>18959</v>
      </c>
      <c r="U1656" t="s">
        <v>26604</v>
      </c>
      <c r="V1656" t="s">
        <v>26610</v>
      </c>
      <c r="W1656" t="s">
        <v>524</v>
      </c>
      <c r="X1656">
        <v>1600</v>
      </c>
      <c r="Y1656" t="s">
        <v>26651</v>
      </c>
      <c r="Z1656" t="s">
        <v>26659</v>
      </c>
      <c r="AA1656" t="s">
        <v>26683</v>
      </c>
      <c r="AB1656" t="s">
        <v>28108</v>
      </c>
      <c r="AE1656">
        <v>3</v>
      </c>
      <c r="AF1656" t="s">
        <v>20460</v>
      </c>
      <c r="AG1656" t="s">
        <v>19330</v>
      </c>
      <c r="AH1656">
        <v>7</v>
      </c>
      <c r="AI1656">
        <v>4</v>
      </c>
      <c r="AJ1656">
        <v>2</v>
      </c>
      <c r="AK1656">
        <v>46.24</v>
      </c>
      <c r="AN1656" t="s">
        <v>45581</v>
      </c>
      <c r="AO1656">
        <v>15600</v>
      </c>
      <c r="AU1656">
        <v>2.6</v>
      </c>
      <c r="AV1656" t="s">
        <v>452</v>
      </c>
      <c r="AW1656" t="s">
        <v>46829</v>
      </c>
    </row>
    <row r="1657" spans="1:49">
      <c r="A1657" s="1">
        <f>HYPERLINK("https://lsnyc.legalserver.org/matter/dynamic-profile/view/1874712","18-1874712")</f>
        <v>0</v>
      </c>
      <c r="B1657" t="s">
        <v>118</v>
      </c>
      <c r="C1657" t="s">
        <v>341</v>
      </c>
      <c r="D1657" t="s">
        <v>504</v>
      </c>
      <c r="E1657" t="s">
        <v>691</v>
      </c>
      <c r="F1657" t="s">
        <v>1887</v>
      </c>
      <c r="G1657" t="s">
        <v>6062</v>
      </c>
      <c r="H1657" t="s">
        <v>9835</v>
      </c>
      <c r="I1657">
        <v>3210</v>
      </c>
      <c r="J1657" t="s">
        <v>18893</v>
      </c>
      <c r="K1657">
        <v>10029</v>
      </c>
      <c r="L1657" t="s">
        <v>18958</v>
      </c>
      <c r="M1657" t="s">
        <v>18958</v>
      </c>
      <c r="N1657" t="s">
        <v>19037</v>
      </c>
      <c r="O1657" t="s">
        <v>18997</v>
      </c>
      <c r="P1657" t="s">
        <v>26564</v>
      </c>
      <c r="Q1657" t="s">
        <v>26570</v>
      </c>
      <c r="R1657" t="s">
        <v>26578</v>
      </c>
      <c r="S1657" t="s">
        <v>18959</v>
      </c>
      <c r="U1657" t="s">
        <v>26604</v>
      </c>
      <c r="V1657" t="s">
        <v>26610</v>
      </c>
      <c r="W1657" t="s">
        <v>524</v>
      </c>
      <c r="X1657">
        <v>1200</v>
      </c>
      <c r="Y1657" t="s">
        <v>26651</v>
      </c>
      <c r="Z1657" t="s">
        <v>26655</v>
      </c>
      <c r="AA1657" t="s">
        <v>26683</v>
      </c>
      <c r="AB1657" t="s">
        <v>28182</v>
      </c>
      <c r="AD1657" t="s">
        <v>38232</v>
      </c>
      <c r="AE1657">
        <v>320</v>
      </c>
      <c r="AF1657" t="s">
        <v>45543</v>
      </c>
      <c r="AG1657" t="s">
        <v>45556</v>
      </c>
      <c r="AH1657">
        <v>43</v>
      </c>
      <c r="AI1657">
        <v>1</v>
      </c>
      <c r="AJ1657">
        <v>0</v>
      </c>
      <c r="AK1657">
        <v>143.13</v>
      </c>
      <c r="AN1657" t="s">
        <v>7439</v>
      </c>
      <c r="AO1657">
        <v>17376</v>
      </c>
      <c r="AU1657">
        <v>0.5</v>
      </c>
      <c r="AV1657" t="s">
        <v>504</v>
      </c>
      <c r="AW1657" t="s">
        <v>46860</v>
      </c>
    </row>
    <row r="1658" spans="1:49">
      <c r="A1658" s="1">
        <f>HYPERLINK("https://lsnyc.legalserver.org/matter/dynamic-profile/view/1875613","18-1875613")</f>
        <v>0</v>
      </c>
      <c r="B1658" t="s">
        <v>130</v>
      </c>
      <c r="C1658" t="s">
        <v>341</v>
      </c>
      <c r="D1658" t="s">
        <v>521</v>
      </c>
      <c r="E1658" t="s">
        <v>524</v>
      </c>
      <c r="F1658" t="s">
        <v>1888</v>
      </c>
      <c r="G1658" t="s">
        <v>6063</v>
      </c>
      <c r="H1658" t="s">
        <v>11004</v>
      </c>
      <c r="I1658" t="s">
        <v>17580</v>
      </c>
      <c r="J1658" t="s">
        <v>18910</v>
      </c>
      <c r="K1658">
        <v>11420</v>
      </c>
      <c r="L1658" t="s">
        <v>18958</v>
      </c>
      <c r="M1658" t="s">
        <v>18958</v>
      </c>
      <c r="N1658" t="s">
        <v>20206</v>
      </c>
      <c r="O1658" t="s">
        <v>26524</v>
      </c>
      <c r="P1658" t="s">
        <v>26564</v>
      </c>
      <c r="Q1658" t="s">
        <v>26570</v>
      </c>
      <c r="R1658" t="s">
        <v>26584</v>
      </c>
      <c r="S1658" t="s">
        <v>18959</v>
      </c>
      <c r="U1658" t="s">
        <v>26604</v>
      </c>
      <c r="V1658" t="s">
        <v>26610</v>
      </c>
      <c r="W1658" t="s">
        <v>524</v>
      </c>
      <c r="X1658">
        <v>1600</v>
      </c>
      <c r="Y1658" t="s">
        <v>26653</v>
      </c>
      <c r="Z1658" t="s">
        <v>26664</v>
      </c>
      <c r="AA1658" t="s">
        <v>26683</v>
      </c>
      <c r="AB1658" t="s">
        <v>28183</v>
      </c>
      <c r="AC1658" t="s">
        <v>35000</v>
      </c>
      <c r="AD1658" t="s">
        <v>38233</v>
      </c>
      <c r="AE1658">
        <v>2</v>
      </c>
      <c r="AF1658" t="s">
        <v>45547</v>
      </c>
      <c r="AG1658" t="s">
        <v>19330</v>
      </c>
      <c r="AH1658">
        <v>9</v>
      </c>
      <c r="AI1658">
        <v>1</v>
      </c>
      <c r="AJ1658">
        <v>1</v>
      </c>
      <c r="AK1658">
        <v>0</v>
      </c>
      <c r="AN1658" t="s">
        <v>7439</v>
      </c>
      <c r="AO1658">
        <v>0</v>
      </c>
      <c r="AU1658">
        <v>1.55</v>
      </c>
      <c r="AV1658" t="s">
        <v>524</v>
      </c>
      <c r="AW1658" t="s">
        <v>161</v>
      </c>
    </row>
    <row r="1659" spans="1:49">
      <c r="A1659" s="1">
        <f>HYPERLINK("https://lsnyc.legalserver.org/matter/dynamic-profile/view/1875824","18-1875824")</f>
        <v>0</v>
      </c>
      <c r="B1659" t="s">
        <v>137</v>
      </c>
      <c r="C1659" t="s">
        <v>341</v>
      </c>
      <c r="D1659" t="s">
        <v>441</v>
      </c>
      <c r="E1659" t="s">
        <v>817</v>
      </c>
      <c r="F1659" t="s">
        <v>1889</v>
      </c>
      <c r="G1659" t="s">
        <v>6064</v>
      </c>
      <c r="H1659" t="s">
        <v>11005</v>
      </c>
      <c r="I1659" t="s">
        <v>17564</v>
      </c>
      <c r="J1659" t="s">
        <v>18892</v>
      </c>
      <c r="K1659">
        <v>10465</v>
      </c>
      <c r="L1659" t="s">
        <v>18958</v>
      </c>
      <c r="M1659" t="s">
        <v>18958</v>
      </c>
      <c r="N1659" t="s">
        <v>20207</v>
      </c>
      <c r="O1659" t="s">
        <v>26524</v>
      </c>
      <c r="P1659" t="s">
        <v>26560</v>
      </c>
      <c r="Q1659" t="s">
        <v>26568</v>
      </c>
      <c r="R1659" t="s">
        <v>26577</v>
      </c>
      <c r="S1659" t="s">
        <v>18959</v>
      </c>
      <c r="U1659" t="s">
        <v>26604</v>
      </c>
      <c r="V1659" t="s">
        <v>26610</v>
      </c>
      <c r="W1659" t="s">
        <v>524</v>
      </c>
      <c r="X1659">
        <v>1175</v>
      </c>
      <c r="Y1659" t="s">
        <v>26650</v>
      </c>
      <c r="Z1659" t="s">
        <v>26668</v>
      </c>
      <c r="AA1659" t="s">
        <v>26678</v>
      </c>
      <c r="AB1659" t="s">
        <v>28184</v>
      </c>
      <c r="AD1659" t="s">
        <v>38234</v>
      </c>
      <c r="AE1659">
        <v>2</v>
      </c>
      <c r="AF1659" t="s">
        <v>45547</v>
      </c>
      <c r="AG1659" t="s">
        <v>19330</v>
      </c>
      <c r="AH1659">
        <v>8</v>
      </c>
      <c r="AI1659">
        <v>2</v>
      </c>
      <c r="AJ1659">
        <v>0</v>
      </c>
      <c r="AK1659">
        <v>76.18000000000001</v>
      </c>
      <c r="AN1659" t="s">
        <v>7439</v>
      </c>
      <c r="AO1659">
        <v>12540</v>
      </c>
      <c r="AS1659" t="s">
        <v>46499</v>
      </c>
      <c r="AT1659" t="s">
        <v>46708</v>
      </c>
      <c r="AU1659">
        <v>21.05</v>
      </c>
      <c r="AV1659" t="s">
        <v>758</v>
      </c>
      <c r="AW1659" t="s">
        <v>46858</v>
      </c>
    </row>
    <row r="1660" spans="1:49">
      <c r="A1660" s="1">
        <f>HYPERLINK("https://lsnyc.legalserver.org/matter/dynamic-profile/view/1876289","18-1876289")</f>
        <v>0</v>
      </c>
      <c r="B1660" t="s">
        <v>56</v>
      </c>
      <c r="C1660" t="s">
        <v>341</v>
      </c>
      <c r="D1660" t="s">
        <v>493</v>
      </c>
      <c r="E1660" t="s">
        <v>833</v>
      </c>
      <c r="F1660" t="s">
        <v>1890</v>
      </c>
      <c r="G1660" t="s">
        <v>6065</v>
      </c>
      <c r="H1660" t="s">
        <v>11006</v>
      </c>
      <c r="I1660" t="s">
        <v>17349</v>
      </c>
      <c r="J1660" t="s">
        <v>18892</v>
      </c>
      <c r="K1660">
        <v>10453</v>
      </c>
      <c r="L1660" t="s">
        <v>18958</v>
      </c>
      <c r="M1660" t="s">
        <v>18958</v>
      </c>
      <c r="N1660" t="s">
        <v>20208</v>
      </c>
      <c r="O1660" t="s">
        <v>26523</v>
      </c>
      <c r="P1660" t="s">
        <v>26560</v>
      </c>
      <c r="Q1660" t="s">
        <v>26568</v>
      </c>
      <c r="R1660" t="s">
        <v>26577</v>
      </c>
      <c r="U1660" t="s">
        <v>26604</v>
      </c>
      <c r="V1660" t="s">
        <v>26610</v>
      </c>
      <c r="W1660" t="s">
        <v>524</v>
      </c>
      <c r="X1660">
        <v>1050</v>
      </c>
      <c r="Y1660" t="s">
        <v>26650</v>
      </c>
      <c r="Z1660" t="s">
        <v>26659</v>
      </c>
      <c r="AA1660" t="s">
        <v>26678</v>
      </c>
      <c r="AB1660" t="s">
        <v>28185</v>
      </c>
      <c r="AC1660" t="s">
        <v>35001</v>
      </c>
      <c r="AD1660" t="s">
        <v>38235</v>
      </c>
      <c r="AE1660">
        <v>54</v>
      </c>
      <c r="AF1660" t="s">
        <v>45541</v>
      </c>
      <c r="AG1660" t="s">
        <v>19330</v>
      </c>
      <c r="AH1660">
        <v>13</v>
      </c>
      <c r="AI1660">
        <v>2</v>
      </c>
      <c r="AJ1660">
        <v>0</v>
      </c>
      <c r="AK1660">
        <v>19.68</v>
      </c>
      <c r="AN1660" t="s">
        <v>45581</v>
      </c>
      <c r="AO1660">
        <v>3240</v>
      </c>
      <c r="AS1660" t="s">
        <v>46499</v>
      </c>
      <c r="AU1660">
        <v>10.8</v>
      </c>
      <c r="AV1660" t="s">
        <v>723</v>
      </c>
      <c r="AW1660" t="s">
        <v>46836</v>
      </c>
    </row>
    <row r="1661" spans="1:49">
      <c r="A1661" s="1">
        <f>HYPERLINK("https://lsnyc.legalserver.org/matter/dynamic-profile/view/1876320","18-1876320")</f>
        <v>0</v>
      </c>
      <c r="B1661" t="s">
        <v>68</v>
      </c>
      <c r="C1661" t="s">
        <v>340</v>
      </c>
      <c r="D1661" t="s">
        <v>493</v>
      </c>
      <c r="F1661" t="s">
        <v>887</v>
      </c>
      <c r="G1661" t="s">
        <v>6066</v>
      </c>
      <c r="H1661" t="s">
        <v>11007</v>
      </c>
      <c r="I1661" t="s">
        <v>17338</v>
      </c>
      <c r="J1661" t="s">
        <v>18892</v>
      </c>
      <c r="K1661">
        <v>10459</v>
      </c>
      <c r="L1661" t="s">
        <v>18958</v>
      </c>
      <c r="M1661" t="s">
        <v>18958</v>
      </c>
      <c r="N1661" t="s">
        <v>20209</v>
      </c>
      <c r="O1661" t="s">
        <v>26524</v>
      </c>
      <c r="P1661" t="s">
        <v>26560</v>
      </c>
      <c r="R1661" t="s">
        <v>26577</v>
      </c>
      <c r="S1661" t="s">
        <v>18959</v>
      </c>
      <c r="U1661" t="s">
        <v>26604</v>
      </c>
      <c r="V1661" t="s">
        <v>26610</v>
      </c>
      <c r="W1661" t="s">
        <v>524</v>
      </c>
      <c r="X1661">
        <v>218</v>
      </c>
      <c r="Y1661" t="s">
        <v>26650</v>
      </c>
      <c r="Z1661" t="s">
        <v>26530</v>
      </c>
      <c r="AB1661" t="s">
        <v>28186</v>
      </c>
      <c r="AD1661" t="s">
        <v>38236</v>
      </c>
      <c r="AE1661">
        <v>90</v>
      </c>
      <c r="AF1661" t="s">
        <v>45543</v>
      </c>
      <c r="AG1661" t="s">
        <v>45556</v>
      </c>
      <c r="AH1661">
        <v>11</v>
      </c>
      <c r="AI1661">
        <v>1</v>
      </c>
      <c r="AJ1661">
        <v>0</v>
      </c>
      <c r="AK1661">
        <v>90.15000000000001</v>
      </c>
      <c r="AN1661" t="s">
        <v>45581</v>
      </c>
      <c r="AO1661">
        <v>10944</v>
      </c>
      <c r="AQ1661" t="s">
        <v>46359</v>
      </c>
      <c r="AR1661" t="s">
        <v>46380</v>
      </c>
      <c r="AS1661" t="s">
        <v>46499</v>
      </c>
      <c r="AT1661" t="s">
        <v>46601</v>
      </c>
      <c r="AU1661">
        <v>34.6</v>
      </c>
      <c r="AV1661" t="s">
        <v>769</v>
      </c>
      <c r="AW1661" t="s">
        <v>46841</v>
      </c>
    </row>
    <row r="1662" spans="1:49">
      <c r="A1662" s="1">
        <f>HYPERLINK("https://lsnyc.legalserver.org/matter/dynamic-profile/view/1876518","18-1876518")</f>
        <v>0</v>
      </c>
      <c r="B1662" t="s">
        <v>120</v>
      </c>
      <c r="C1662" t="s">
        <v>341</v>
      </c>
      <c r="D1662" t="s">
        <v>530</v>
      </c>
      <c r="E1662" t="s">
        <v>684</v>
      </c>
      <c r="F1662" t="s">
        <v>1891</v>
      </c>
      <c r="G1662" t="s">
        <v>2749</v>
      </c>
      <c r="H1662" t="s">
        <v>11008</v>
      </c>
      <c r="I1662" t="s">
        <v>17278</v>
      </c>
      <c r="J1662" t="s">
        <v>18892</v>
      </c>
      <c r="K1662">
        <v>10455</v>
      </c>
      <c r="L1662" t="s">
        <v>18958</v>
      </c>
      <c r="M1662" t="s">
        <v>18958</v>
      </c>
      <c r="N1662" t="s">
        <v>20210</v>
      </c>
      <c r="O1662" t="s">
        <v>26523</v>
      </c>
      <c r="P1662" t="s">
        <v>26560</v>
      </c>
      <c r="Q1662" t="s">
        <v>26568</v>
      </c>
      <c r="R1662" t="s">
        <v>26577</v>
      </c>
      <c r="S1662" t="s">
        <v>18959</v>
      </c>
      <c r="U1662" t="s">
        <v>26604</v>
      </c>
      <c r="V1662" t="s">
        <v>26610</v>
      </c>
      <c r="W1662" t="s">
        <v>524</v>
      </c>
      <c r="X1662">
        <v>1400</v>
      </c>
      <c r="Y1662" t="s">
        <v>26650</v>
      </c>
      <c r="Z1662" t="s">
        <v>26664</v>
      </c>
      <c r="AA1662" t="s">
        <v>26678</v>
      </c>
      <c r="AB1662" t="s">
        <v>28187</v>
      </c>
      <c r="AE1662">
        <v>30</v>
      </c>
      <c r="AF1662" t="s">
        <v>20460</v>
      </c>
      <c r="AG1662" t="s">
        <v>19330</v>
      </c>
      <c r="AH1662">
        <v>0</v>
      </c>
      <c r="AI1662">
        <v>4</v>
      </c>
      <c r="AJ1662">
        <v>1</v>
      </c>
      <c r="AK1662">
        <v>32.22</v>
      </c>
      <c r="AO1662">
        <v>9480</v>
      </c>
      <c r="AP1662" t="s">
        <v>45654</v>
      </c>
      <c r="AQ1662" t="s">
        <v>46361</v>
      </c>
      <c r="AR1662" t="s">
        <v>46381</v>
      </c>
      <c r="AS1662" t="s">
        <v>46499</v>
      </c>
      <c r="AT1662" t="s">
        <v>46575</v>
      </c>
      <c r="AU1662">
        <v>4.6</v>
      </c>
      <c r="AV1662" t="s">
        <v>594</v>
      </c>
      <c r="AW1662" t="s">
        <v>46847</v>
      </c>
    </row>
    <row r="1663" spans="1:49">
      <c r="A1663" s="1">
        <f>HYPERLINK("https://lsnyc.legalserver.org/matter/dynamic-profile/view/1876872","18-1876872")</f>
        <v>0</v>
      </c>
      <c r="B1663" t="s">
        <v>93</v>
      </c>
      <c r="C1663" t="s">
        <v>341</v>
      </c>
      <c r="D1663" t="s">
        <v>422</v>
      </c>
      <c r="E1663" t="s">
        <v>578</v>
      </c>
      <c r="F1663" t="s">
        <v>1892</v>
      </c>
      <c r="G1663" t="s">
        <v>5572</v>
      </c>
      <c r="H1663" t="s">
        <v>11009</v>
      </c>
      <c r="I1663" t="s">
        <v>17580</v>
      </c>
      <c r="J1663" t="s">
        <v>18918</v>
      </c>
      <c r="K1663">
        <v>11416</v>
      </c>
      <c r="L1663" t="s">
        <v>18958</v>
      </c>
      <c r="M1663" t="s">
        <v>18958</v>
      </c>
      <c r="N1663" t="s">
        <v>20211</v>
      </c>
      <c r="O1663" t="s">
        <v>26524</v>
      </c>
      <c r="P1663" t="s">
        <v>26564</v>
      </c>
      <c r="Q1663" t="s">
        <v>26570</v>
      </c>
      <c r="R1663" t="s">
        <v>26584</v>
      </c>
      <c r="S1663" t="s">
        <v>18959</v>
      </c>
      <c r="U1663" t="s">
        <v>26604</v>
      </c>
      <c r="V1663" t="s">
        <v>26610</v>
      </c>
      <c r="W1663" t="s">
        <v>524</v>
      </c>
      <c r="X1663">
        <v>1000</v>
      </c>
      <c r="Y1663" t="s">
        <v>26653</v>
      </c>
      <c r="Z1663" t="s">
        <v>26664</v>
      </c>
      <c r="AA1663" t="s">
        <v>26683</v>
      </c>
      <c r="AB1663" t="s">
        <v>28188</v>
      </c>
      <c r="AC1663" t="s">
        <v>19330</v>
      </c>
      <c r="AD1663" t="s">
        <v>38237</v>
      </c>
      <c r="AE1663">
        <v>2</v>
      </c>
      <c r="AF1663" t="s">
        <v>45547</v>
      </c>
      <c r="AG1663" t="s">
        <v>19330</v>
      </c>
      <c r="AH1663">
        <v>4</v>
      </c>
      <c r="AI1663">
        <v>2</v>
      </c>
      <c r="AJ1663">
        <v>2</v>
      </c>
      <c r="AK1663">
        <v>186.45</v>
      </c>
      <c r="AN1663" t="s">
        <v>7439</v>
      </c>
      <c r="AO1663">
        <v>46800</v>
      </c>
      <c r="AU1663">
        <v>1.5</v>
      </c>
      <c r="AV1663" t="s">
        <v>578</v>
      </c>
      <c r="AW1663" t="s">
        <v>161</v>
      </c>
    </row>
    <row r="1664" spans="1:49">
      <c r="A1664" s="1">
        <f>HYPERLINK("https://lsnyc.legalserver.org/matter/dynamic-profile/view/1876824","18-1876824")</f>
        <v>0</v>
      </c>
      <c r="B1664" t="s">
        <v>122</v>
      </c>
      <c r="C1664" t="s">
        <v>341</v>
      </c>
      <c r="D1664" t="s">
        <v>422</v>
      </c>
      <c r="E1664" t="s">
        <v>494</v>
      </c>
      <c r="F1664" t="s">
        <v>1893</v>
      </c>
      <c r="G1664" t="s">
        <v>6067</v>
      </c>
      <c r="H1664" t="s">
        <v>11010</v>
      </c>
      <c r="I1664" t="s">
        <v>17282</v>
      </c>
      <c r="J1664" t="s">
        <v>18901</v>
      </c>
      <c r="K1664">
        <v>11432</v>
      </c>
      <c r="L1664" t="s">
        <v>18958</v>
      </c>
      <c r="M1664" t="s">
        <v>18958</v>
      </c>
      <c r="N1664" t="s">
        <v>20212</v>
      </c>
      <c r="O1664" t="s">
        <v>26523</v>
      </c>
      <c r="P1664" t="s">
        <v>26564</v>
      </c>
      <c r="Q1664" t="s">
        <v>26571</v>
      </c>
      <c r="R1664" t="s">
        <v>26584</v>
      </c>
      <c r="S1664" t="s">
        <v>18959</v>
      </c>
      <c r="U1664" t="s">
        <v>26604</v>
      </c>
      <c r="V1664" t="s">
        <v>26611</v>
      </c>
      <c r="W1664" t="s">
        <v>524</v>
      </c>
      <c r="X1664">
        <v>2270</v>
      </c>
      <c r="Y1664" t="s">
        <v>26653</v>
      </c>
      <c r="Z1664" t="s">
        <v>26664</v>
      </c>
      <c r="AA1664" t="s">
        <v>26682</v>
      </c>
      <c r="AB1664" t="s">
        <v>28189</v>
      </c>
      <c r="AC1664" t="s">
        <v>35002</v>
      </c>
      <c r="AD1664" t="s">
        <v>38238</v>
      </c>
      <c r="AE1664">
        <v>140</v>
      </c>
      <c r="AF1664" t="s">
        <v>45541</v>
      </c>
      <c r="AG1664" t="s">
        <v>19330</v>
      </c>
      <c r="AH1664">
        <v>14</v>
      </c>
      <c r="AI1664">
        <v>2</v>
      </c>
      <c r="AJ1664">
        <v>2</v>
      </c>
      <c r="AK1664">
        <v>150.26</v>
      </c>
      <c r="AN1664" t="s">
        <v>7439</v>
      </c>
      <c r="AO1664">
        <v>37716</v>
      </c>
      <c r="AU1664">
        <v>5.35</v>
      </c>
      <c r="AV1664" t="s">
        <v>572</v>
      </c>
      <c r="AW1664" t="s">
        <v>161</v>
      </c>
    </row>
    <row r="1665" spans="1:49">
      <c r="A1665" s="1">
        <f>HYPERLINK("https://lsnyc.legalserver.org/matter/dynamic-profile/view/1877006","18-1877006")</f>
        <v>0</v>
      </c>
      <c r="B1665" t="s">
        <v>128</v>
      </c>
      <c r="C1665" t="s">
        <v>341</v>
      </c>
      <c r="D1665" t="s">
        <v>524</v>
      </c>
      <c r="E1665" t="s">
        <v>494</v>
      </c>
      <c r="F1665" t="s">
        <v>1894</v>
      </c>
      <c r="G1665" t="s">
        <v>6068</v>
      </c>
      <c r="H1665" t="s">
        <v>11011</v>
      </c>
      <c r="I1665" t="s">
        <v>17390</v>
      </c>
      <c r="J1665" t="s">
        <v>18894</v>
      </c>
      <c r="K1665">
        <v>11213</v>
      </c>
      <c r="L1665" t="s">
        <v>18958</v>
      </c>
      <c r="M1665" t="s">
        <v>18958</v>
      </c>
      <c r="N1665" t="s">
        <v>20213</v>
      </c>
      <c r="O1665" t="s">
        <v>26523</v>
      </c>
      <c r="P1665" t="s">
        <v>26560</v>
      </c>
      <c r="Q1665" t="s">
        <v>26575</v>
      </c>
      <c r="R1665" t="s">
        <v>26586</v>
      </c>
      <c r="S1665" t="s">
        <v>18959</v>
      </c>
      <c r="U1665" t="s">
        <v>26605</v>
      </c>
      <c r="V1665" t="s">
        <v>26616</v>
      </c>
      <c r="W1665" t="s">
        <v>524</v>
      </c>
      <c r="X1665">
        <v>1638</v>
      </c>
      <c r="Y1665" t="s">
        <v>26652</v>
      </c>
      <c r="Z1665" t="s">
        <v>26660</v>
      </c>
      <c r="AA1665" t="s">
        <v>26681</v>
      </c>
      <c r="AB1665" t="s">
        <v>27375</v>
      </c>
      <c r="AD1665" t="s">
        <v>38239</v>
      </c>
      <c r="AE1665">
        <v>12</v>
      </c>
      <c r="AF1665" t="s">
        <v>45542</v>
      </c>
      <c r="AG1665" t="s">
        <v>19330</v>
      </c>
      <c r="AH1665">
        <v>13</v>
      </c>
      <c r="AI1665">
        <v>3</v>
      </c>
      <c r="AJ1665">
        <v>1</v>
      </c>
      <c r="AK1665">
        <v>171.55</v>
      </c>
      <c r="AN1665" t="s">
        <v>7439</v>
      </c>
      <c r="AO1665">
        <v>43060</v>
      </c>
      <c r="AQ1665" t="s">
        <v>46359</v>
      </c>
      <c r="AR1665" t="s">
        <v>26530</v>
      </c>
      <c r="AS1665" t="s">
        <v>46502</v>
      </c>
      <c r="AT1665" t="s">
        <v>46560</v>
      </c>
      <c r="AU1665">
        <v>23.7</v>
      </c>
      <c r="AV1665" t="s">
        <v>719</v>
      </c>
      <c r="AW1665" t="s">
        <v>46853</v>
      </c>
    </row>
    <row r="1666" spans="1:49">
      <c r="A1666" s="1">
        <f>HYPERLINK("https://lsnyc.legalserver.org/matter/dynamic-profile/view/1876926","18-1876926")</f>
        <v>0</v>
      </c>
      <c r="B1666" t="s">
        <v>133</v>
      </c>
      <c r="C1666" t="s">
        <v>341</v>
      </c>
      <c r="D1666" t="s">
        <v>524</v>
      </c>
      <c r="E1666" t="s">
        <v>772</v>
      </c>
      <c r="F1666" t="s">
        <v>1895</v>
      </c>
      <c r="G1666" t="s">
        <v>5706</v>
      </c>
      <c r="H1666" t="s">
        <v>11012</v>
      </c>
      <c r="I1666" t="s">
        <v>17669</v>
      </c>
      <c r="J1666" t="s">
        <v>18892</v>
      </c>
      <c r="K1666">
        <v>10468</v>
      </c>
      <c r="L1666" t="s">
        <v>18958</v>
      </c>
      <c r="M1666" t="s">
        <v>18958</v>
      </c>
      <c r="N1666" t="s">
        <v>20214</v>
      </c>
      <c r="O1666" t="s">
        <v>26523</v>
      </c>
      <c r="P1666" t="s">
        <v>26560</v>
      </c>
      <c r="Q1666" t="s">
        <v>26568</v>
      </c>
      <c r="R1666" t="s">
        <v>26579</v>
      </c>
      <c r="S1666" t="s">
        <v>18959</v>
      </c>
      <c r="U1666" t="s">
        <v>26604</v>
      </c>
      <c r="V1666" t="s">
        <v>26610</v>
      </c>
      <c r="W1666" t="s">
        <v>524</v>
      </c>
      <c r="X1666">
        <v>0</v>
      </c>
      <c r="Y1666" t="s">
        <v>26650</v>
      </c>
      <c r="Z1666" t="s">
        <v>26664</v>
      </c>
      <c r="AA1666" t="s">
        <v>26678</v>
      </c>
      <c r="AB1666" t="s">
        <v>28190</v>
      </c>
      <c r="AC1666" t="s">
        <v>35003</v>
      </c>
      <c r="AD1666" t="s">
        <v>38240</v>
      </c>
      <c r="AE1666">
        <v>0</v>
      </c>
      <c r="AF1666" t="s">
        <v>45541</v>
      </c>
      <c r="AG1666" t="s">
        <v>19330</v>
      </c>
      <c r="AH1666">
        <v>5</v>
      </c>
      <c r="AI1666">
        <v>1</v>
      </c>
      <c r="AJ1666">
        <v>1</v>
      </c>
      <c r="AK1666">
        <v>26.32</v>
      </c>
      <c r="AO1666">
        <v>4332</v>
      </c>
      <c r="AS1666" t="s">
        <v>46499</v>
      </c>
      <c r="AU1666">
        <v>14.25</v>
      </c>
      <c r="AV1666" t="s">
        <v>772</v>
      </c>
      <c r="AW1666" t="s">
        <v>334</v>
      </c>
    </row>
    <row r="1667" spans="1:49">
      <c r="A1667" s="1">
        <f>HYPERLINK("https://lsnyc.legalserver.org/matter/dynamic-profile/view/1876949","18-1876949")</f>
        <v>0</v>
      </c>
      <c r="B1667" t="s">
        <v>116</v>
      </c>
      <c r="C1667" t="s">
        <v>341</v>
      </c>
      <c r="D1667" t="s">
        <v>524</v>
      </c>
      <c r="E1667" t="s">
        <v>839</v>
      </c>
      <c r="F1667" t="s">
        <v>1896</v>
      </c>
      <c r="G1667" t="s">
        <v>6069</v>
      </c>
      <c r="H1667" t="s">
        <v>11013</v>
      </c>
      <c r="I1667" t="s">
        <v>17436</v>
      </c>
      <c r="J1667" t="s">
        <v>18894</v>
      </c>
      <c r="K1667">
        <v>11237</v>
      </c>
      <c r="L1667" t="s">
        <v>18958</v>
      </c>
      <c r="M1667" t="s">
        <v>18960</v>
      </c>
      <c r="O1667" t="s">
        <v>26540</v>
      </c>
      <c r="P1667" t="s">
        <v>26565</v>
      </c>
      <c r="Q1667" t="s">
        <v>26571</v>
      </c>
      <c r="R1667" t="s">
        <v>26578</v>
      </c>
      <c r="S1667" t="s">
        <v>18958</v>
      </c>
      <c r="U1667" t="s">
        <v>26604</v>
      </c>
      <c r="V1667" t="s">
        <v>26610</v>
      </c>
      <c r="W1667" t="s">
        <v>524</v>
      </c>
      <c r="X1667">
        <v>696.55</v>
      </c>
      <c r="Y1667" t="s">
        <v>26652</v>
      </c>
      <c r="Z1667" t="s">
        <v>26659</v>
      </c>
      <c r="AA1667" t="s">
        <v>26681</v>
      </c>
      <c r="AB1667" t="s">
        <v>28191</v>
      </c>
      <c r="AC1667" t="s">
        <v>35004</v>
      </c>
      <c r="AD1667" t="s">
        <v>38241</v>
      </c>
      <c r="AE1667">
        <v>16</v>
      </c>
      <c r="AF1667" t="s">
        <v>45541</v>
      </c>
      <c r="AH1667">
        <v>30</v>
      </c>
      <c r="AI1667">
        <v>4</v>
      </c>
      <c r="AJ1667">
        <v>3</v>
      </c>
      <c r="AK1667">
        <v>153.63</v>
      </c>
      <c r="AN1667" t="s">
        <v>45581</v>
      </c>
      <c r="AO1667">
        <v>58471.59</v>
      </c>
      <c r="AU1667">
        <v>29.7</v>
      </c>
      <c r="AV1667" t="s">
        <v>826</v>
      </c>
      <c r="AW1667" t="s">
        <v>116</v>
      </c>
    </row>
    <row r="1668" spans="1:49">
      <c r="A1668" s="1">
        <f>HYPERLINK("https://lsnyc.legalserver.org/matter/dynamic-profile/view/1876972","18-1876972")</f>
        <v>0</v>
      </c>
      <c r="B1668" t="s">
        <v>72</v>
      </c>
      <c r="C1668" t="s">
        <v>341</v>
      </c>
      <c r="D1668" t="s">
        <v>524</v>
      </c>
      <c r="E1668" t="s">
        <v>519</v>
      </c>
      <c r="F1668" t="s">
        <v>1897</v>
      </c>
      <c r="G1668" t="s">
        <v>6070</v>
      </c>
      <c r="H1668" t="s">
        <v>11014</v>
      </c>
      <c r="I1668" t="s">
        <v>17520</v>
      </c>
      <c r="J1668" t="s">
        <v>18893</v>
      </c>
      <c r="K1668">
        <v>10034</v>
      </c>
      <c r="L1668" t="s">
        <v>18958</v>
      </c>
      <c r="M1668" t="s">
        <v>18958</v>
      </c>
      <c r="O1668" t="s">
        <v>26523</v>
      </c>
      <c r="P1668" t="s">
        <v>26565</v>
      </c>
      <c r="Q1668" t="s">
        <v>26571</v>
      </c>
      <c r="R1668" t="s">
        <v>26578</v>
      </c>
      <c r="S1668" t="s">
        <v>18959</v>
      </c>
      <c r="U1668" t="s">
        <v>26604</v>
      </c>
      <c r="V1668" t="s">
        <v>26612</v>
      </c>
      <c r="W1668" t="s">
        <v>524</v>
      </c>
      <c r="X1668">
        <v>1409</v>
      </c>
      <c r="Y1668" t="s">
        <v>26651</v>
      </c>
      <c r="Z1668" t="s">
        <v>26661</v>
      </c>
      <c r="AA1668" t="s">
        <v>26682</v>
      </c>
      <c r="AB1668" t="s">
        <v>28192</v>
      </c>
      <c r="AD1668" t="s">
        <v>38242</v>
      </c>
      <c r="AE1668">
        <v>228</v>
      </c>
      <c r="AF1668" t="s">
        <v>45541</v>
      </c>
      <c r="AG1668" t="s">
        <v>19330</v>
      </c>
      <c r="AH1668">
        <v>18</v>
      </c>
      <c r="AI1668">
        <v>1</v>
      </c>
      <c r="AJ1668">
        <v>0</v>
      </c>
      <c r="AK1668">
        <v>16.06</v>
      </c>
      <c r="AN1668" t="s">
        <v>7439</v>
      </c>
      <c r="AO1668">
        <v>1950</v>
      </c>
      <c r="AU1668">
        <v>3.7</v>
      </c>
      <c r="AV1668" t="s">
        <v>518</v>
      </c>
      <c r="AW1668" t="s">
        <v>46840</v>
      </c>
    </row>
    <row r="1669" spans="1:49">
      <c r="A1669" s="1">
        <f>HYPERLINK("https://lsnyc.legalserver.org/matter/dynamic-profile/view/1876858","18-1876858")</f>
        <v>0</v>
      </c>
      <c r="B1669" t="s">
        <v>153</v>
      </c>
      <c r="C1669" t="s">
        <v>341</v>
      </c>
      <c r="D1669" t="s">
        <v>524</v>
      </c>
      <c r="E1669" t="s">
        <v>428</v>
      </c>
      <c r="F1669" t="s">
        <v>1898</v>
      </c>
      <c r="G1669" t="s">
        <v>5197</v>
      </c>
      <c r="H1669" t="s">
        <v>10691</v>
      </c>
      <c r="I1669" t="s">
        <v>17700</v>
      </c>
      <c r="J1669" t="s">
        <v>18902</v>
      </c>
      <c r="K1669">
        <v>10301</v>
      </c>
      <c r="L1669" t="s">
        <v>18958</v>
      </c>
      <c r="M1669" t="s">
        <v>18958</v>
      </c>
      <c r="N1669" t="s">
        <v>20215</v>
      </c>
      <c r="O1669" t="s">
        <v>26523</v>
      </c>
      <c r="P1669" t="s">
        <v>26560</v>
      </c>
      <c r="Q1669" t="s">
        <v>26568</v>
      </c>
      <c r="R1669" t="s">
        <v>26578</v>
      </c>
      <c r="S1669" t="s">
        <v>18959</v>
      </c>
      <c r="U1669" t="s">
        <v>26604</v>
      </c>
      <c r="W1669" t="s">
        <v>524</v>
      </c>
      <c r="X1669">
        <v>1554</v>
      </c>
      <c r="Y1669" t="s">
        <v>26654</v>
      </c>
      <c r="Z1669" t="s">
        <v>26661</v>
      </c>
      <c r="AA1669" t="s">
        <v>26678</v>
      </c>
      <c r="AE1669">
        <v>227</v>
      </c>
      <c r="AF1669" t="s">
        <v>45541</v>
      </c>
      <c r="AG1669" t="s">
        <v>19330</v>
      </c>
      <c r="AH1669">
        <v>1</v>
      </c>
      <c r="AI1669">
        <v>1</v>
      </c>
      <c r="AJ1669">
        <v>2</v>
      </c>
      <c r="AK1669">
        <v>212.7</v>
      </c>
      <c r="AL1669" t="s">
        <v>415</v>
      </c>
      <c r="AM1669" t="s">
        <v>45575</v>
      </c>
      <c r="AO1669">
        <v>44200</v>
      </c>
      <c r="AQ1669" t="s">
        <v>46367</v>
      </c>
      <c r="AS1669" t="s">
        <v>46499</v>
      </c>
      <c r="AT1669" t="s">
        <v>46633</v>
      </c>
      <c r="AU1669">
        <v>6.7</v>
      </c>
      <c r="AV1669" t="s">
        <v>545</v>
      </c>
      <c r="AW1669" t="s">
        <v>190</v>
      </c>
    </row>
    <row r="1670" spans="1:49">
      <c r="A1670" s="1">
        <f>HYPERLINK("https://lsnyc.legalserver.org/matter/dynamic-profile/view/1876977","18-1876977")</f>
        <v>0</v>
      </c>
      <c r="B1670" t="s">
        <v>162</v>
      </c>
      <c r="C1670" t="s">
        <v>341</v>
      </c>
      <c r="D1670" t="s">
        <v>524</v>
      </c>
      <c r="E1670" t="s">
        <v>579</v>
      </c>
      <c r="F1670" t="s">
        <v>1899</v>
      </c>
      <c r="G1670" t="s">
        <v>6071</v>
      </c>
      <c r="H1670" t="s">
        <v>11015</v>
      </c>
      <c r="I1670" t="s">
        <v>17322</v>
      </c>
      <c r="J1670" t="s">
        <v>18894</v>
      </c>
      <c r="K1670">
        <v>11221</v>
      </c>
      <c r="L1670" t="s">
        <v>18958</v>
      </c>
      <c r="M1670" t="s">
        <v>18958</v>
      </c>
      <c r="N1670" t="s">
        <v>20216</v>
      </c>
      <c r="O1670" t="s">
        <v>26523</v>
      </c>
      <c r="P1670" t="s">
        <v>26560</v>
      </c>
      <c r="Q1670" t="s">
        <v>26573</v>
      </c>
      <c r="R1670" t="s">
        <v>26588</v>
      </c>
      <c r="S1670" t="s">
        <v>18959</v>
      </c>
      <c r="U1670" t="s">
        <v>26604</v>
      </c>
      <c r="V1670" t="s">
        <v>26614</v>
      </c>
      <c r="W1670" t="s">
        <v>524</v>
      </c>
      <c r="X1670">
        <v>900</v>
      </c>
      <c r="Y1670" t="s">
        <v>26652</v>
      </c>
      <c r="Z1670" t="s">
        <v>26664</v>
      </c>
      <c r="AA1670" t="s">
        <v>26686</v>
      </c>
      <c r="AB1670" t="s">
        <v>28193</v>
      </c>
      <c r="AD1670" t="s">
        <v>38243</v>
      </c>
      <c r="AE1670">
        <v>6</v>
      </c>
      <c r="AF1670" t="s">
        <v>45547</v>
      </c>
      <c r="AG1670" t="s">
        <v>19330</v>
      </c>
      <c r="AH1670">
        <v>2</v>
      </c>
      <c r="AI1670">
        <v>1</v>
      </c>
      <c r="AJ1670">
        <v>0</v>
      </c>
      <c r="AK1670">
        <v>0</v>
      </c>
      <c r="AN1670" t="s">
        <v>7439</v>
      </c>
      <c r="AO1670">
        <v>0</v>
      </c>
      <c r="AQ1670" t="s">
        <v>46359</v>
      </c>
      <c r="AR1670" t="s">
        <v>46379</v>
      </c>
      <c r="AS1670" t="s">
        <v>46499</v>
      </c>
      <c r="AT1670" t="s">
        <v>46634</v>
      </c>
      <c r="AU1670">
        <v>4.5</v>
      </c>
      <c r="AV1670" t="s">
        <v>579</v>
      </c>
      <c r="AW1670" t="s">
        <v>46853</v>
      </c>
    </row>
    <row r="1671" spans="1:49">
      <c r="A1671" s="1">
        <f>HYPERLINK("https://lsnyc.legalserver.org/matter/dynamic-profile/view/1876981","18-1876981")</f>
        <v>0</v>
      </c>
      <c r="B1671" t="s">
        <v>74</v>
      </c>
      <c r="C1671" t="s">
        <v>341</v>
      </c>
      <c r="D1671" t="s">
        <v>524</v>
      </c>
      <c r="E1671" t="s">
        <v>682</v>
      </c>
      <c r="F1671" t="s">
        <v>1900</v>
      </c>
      <c r="G1671" t="s">
        <v>6072</v>
      </c>
      <c r="H1671" t="s">
        <v>11016</v>
      </c>
      <c r="I1671" t="s">
        <v>17377</v>
      </c>
      <c r="J1671" t="s">
        <v>18893</v>
      </c>
      <c r="K1671">
        <v>10034</v>
      </c>
      <c r="L1671" t="s">
        <v>18958</v>
      </c>
      <c r="M1671" t="s">
        <v>18958</v>
      </c>
      <c r="P1671" t="s">
        <v>26565</v>
      </c>
      <c r="Q1671" t="s">
        <v>26571</v>
      </c>
      <c r="R1671" t="s">
        <v>26578</v>
      </c>
      <c r="S1671" t="s">
        <v>18959</v>
      </c>
      <c r="U1671" t="s">
        <v>26604</v>
      </c>
      <c r="W1671" t="s">
        <v>524</v>
      </c>
      <c r="X1671">
        <v>1140.53</v>
      </c>
      <c r="Y1671" t="s">
        <v>26651</v>
      </c>
      <c r="Z1671" t="s">
        <v>26661</v>
      </c>
      <c r="AA1671" t="s">
        <v>26689</v>
      </c>
      <c r="AB1671" t="s">
        <v>28194</v>
      </c>
      <c r="AE1671">
        <v>101</v>
      </c>
      <c r="AF1671" t="s">
        <v>45541</v>
      </c>
      <c r="AG1671" t="s">
        <v>19330</v>
      </c>
      <c r="AH1671">
        <v>9</v>
      </c>
      <c r="AI1671">
        <v>2</v>
      </c>
      <c r="AJ1671">
        <v>3</v>
      </c>
      <c r="AK1671">
        <v>116.48</v>
      </c>
      <c r="AN1671" t="s">
        <v>45581</v>
      </c>
      <c r="AO1671">
        <v>34268</v>
      </c>
      <c r="AU1671">
        <v>0.6</v>
      </c>
      <c r="AV1671" t="s">
        <v>624</v>
      </c>
      <c r="AW1671" t="s">
        <v>46840</v>
      </c>
    </row>
    <row r="1672" spans="1:49">
      <c r="A1672" s="1">
        <f>HYPERLINK("https://lsnyc.legalserver.org/matter/dynamic-profile/view/1877003","18-1877003")</f>
        <v>0</v>
      </c>
      <c r="B1672" t="s">
        <v>93</v>
      </c>
      <c r="C1672" t="s">
        <v>341</v>
      </c>
      <c r="D1672" t="s">
        <v>524</v>
      </c>
      <c r="E1672" t="s">
        <v>684</v>
      </c>
      <c r="F1672" t="s">
        <v>1028</v>
      </c>
      <c r="G1672" t="s">
        <v>1203</v>
      </c>
      <c r="H1672" t="s">
        <v>10232</v>
      </c>
      <c r="I1672">
        <v>1206</v>
      </c>
      <c r="J1672" t="s">
        <v>18905</v>
      </c>
      <c r="K1672">
        <v>11692</v>
      </c>
      <c r="L1672" t="s">
        <v>18958</v>
      </c>
      <c r="M1672" t="s">
        <v>18958</v>
      </c>
      <c r="N1672" t="s">
        <v>19840</v>
      </c>
      <c r="O1672" t="s">
        <v>26542</v>
      </c>
      <c r="P1672" t="s">
        <v>26565</v>
      </c>
      <c r="Q1672" t="s">
        <v>26571</v>
      </c>
      <c r="R1672" t="s">
        <v>26578</v>
      </c>
      <c r="S1672" t="s">
        <v>18959</v>
      </c>
      <c r="U1672" t="s">
        <v>26604</v>
      </c>
      <c r="V1672" t="s">
        <v>26610</v>
      </c>
      <c r="W1672" t="s">
        <v>524</v>
      </c>
      <c r="X1672">
        <v>1500</v>
      </c>
      <c r="Y1672" t="s">
        <v>26653</v>
      </c>
      <c r="Z1672" t="s">
        <v>26666</v>
      </c>
      <c r="AA1672" t="s">
        <v>26689</v>
      </c>
      <c r="AB1672" t="s">
        <v>28195</v>
      </c>
      <c r="AD1672" t="s">
        <v>38244</v>
      </c>
      <c r="AE1672">
        <v>100</v>
      </c>
      <c r="AF1672" t="s">
        <v>45543</v>
      </c>
      <c r="AG1672" t="s">
        <v>45556</v>
      </c>
      <c r="AH1672">
        <v>6</v>
      </c>
      <c r="AI1672">
        <v>1</v>
      </c>
      <c r="AJ1672">
        <v>0</v>
      </c>
      <c r="AK1672">
        <v>159.55</v>
      </c>
      <c r="AN1672" t="s">
        <v>7439</v>
      </c>
      <c r="AO1672">
        <v>19369.24</v>
      </c>
      <c r="AU1672">
        <v>4.35</v>
      </c>
      <c r="AV1672" t="s">
        <v>623</v>
      </c>
      <c r="AW1672" t="s">
        <v>46859</v>
      </c>
    </row>
    <row r="1673" spans="1:49">
      <c r="A1673" s="1">
        <f>HYPERLINK("https://lsnyc.legalserver.org/matter/dynamic-profile/view/1876906","18-1876906")</f>
        <v>0</v>
      </c>
      <c r="B1673" t="s">
        <v>182</v>
      </c>
      <c r="C1673" t="s">
        <v>341</v>
      </c>
      <c r="D1673" t="s">
        <v>524</v>
      </c>
      <c r="E1673" t="s">
        <v>703</v>
      </c>
      <c r="F1673" t="s">
        <v>1738</v>
      </c>
      <c r="G1673" t="s">
        <v>5075</v>
      </c>
      <c r="H1673" t="s">
        <v>11017</v>
      </c>
      <c r="I1673" t="s">
        <v>17388</v>
      </c>
      <c r="J1673" t="s">
        <v>18892</v>
      </c>
      <c r="K1673">
        <v>10466</v>
      </c>
      <c r="L1673" t="s">
        <v>18958</v>
      </c>
      <c r="M1673" t="s">
        <v>18958</v>
      </c>
      <c r="N1673" t="s">
        <v>20217</v>
      </c>
      <c r="O1673" t="s">
        <v>26524</v>
      </c>
      <c r="P1673" t="s">
        <v>26564</v>
      </c>
      <c r="Q1673" t="s">
        <v>26570</v>
      </c>
      <c r="R1673" t="s">
        <v>26577</v>
      </c>
      <c r="S1673" t="s">
        <v>18959</v>
      </c>
      <c r="U1673" t="s">
        <v>26604</v>
      </c>
      <c r="V1673" t="s">
        <v>26610</v>
      </c>
      <c r="W1673" t="s">
        <v>524</v>
      </c>
      <c r="X1673">
        <v>1250</v>
      </c>
      <c r="Y1673" t="s">
        <v>26650</v>
      </c>
      <c r="Z1673" t="s">
        <v>26664</v>
      </c>
      <c r="AA1673" t="s">
        <v>26683</v>
      </c>
      <c r="AB1673" t="s">
        <v>28196</v>
      </c>
      <c r="AD1673" t="s">
        <v>38245</v>
      </c>
      <c r="AE1673">
        <v>0</v>
      </c>
      <c r="AF1673" t="s">
        <v>45541</v>
      </c>
      <c r="AG1673" t="s">
        <v>19330</v>
      </c>
      <c r="AH1673">
        <v>2</v>
      </c>
      <c r="AI1673">
        <v>3</v>
      </c>
      <c r="AJ1673">
        <v>2</v>
      </c>
      <c r="AK1673">
        <v>150.22</v>
      </c>
      <c r="AN1673" t="s">
        <v>45581</v>
      </c>
      <c r="AO1673">
        <v>44196</v>
      </c>
      <c r="AP1673" t="s">
        <v>45654</v>
      </c>
      <c r="AR1673" t="s">
        <v>26530</v>
      </c>
      <c r="AS1673" t="s">
        <v>46502</v>
      </c>
      <c r="AT1673" t="s">
        <v>46555</v>
      </c>
      <c r="AU1673">
        <v>2.7</v>
      </c>
      <c r="AV1673" t="s">
        <v>524</v>
      </c>
      <c r="AW1673" t="s">
        <v>334</v>
      </c>
    </row>
    <row r="1674" spans="1:49">
      <c r="A1674" s="1">
        <f>HYPERLINK("https://lsnyc.legalserver.org/matter/dynamic-profile/view/1876932","18-1876932")</f>
        <v>0</v>
      </c>
      <c r="B1674" t="s">
        <v>120</v>
      </c>
      <c r="C1674" t="s">
        <v>341</v>
      </c>
      <c r="D1674" t="s">
        <v>524</v>
      </c>
      <c r="E1674" t="s">
        <v>494</v>
      </c>
      <c r="F1674" t="s">
        <v>1901</v>
      </c>
      <c r="G1674" t="s">
        <v>5097</v>
      </c>
      <c r="H1674" t="s">
        <v>11018</v>
      </c>
      <c r="I1674" t="s">
        <v>17299</v>
      </c>
      <c r="J1674" t="s">
        <v>18892</v>
      </c>
      <c r="K1674">
        <v>10467</v>
      </c>
      <c r="L1674" t="s">
        <v>18958</v>
      </c>
      <c r="M1674" t="s">
        <v>18958</v>
      </c>
      <c r="N1674" t="s">
        <v>20218</v>
      </c>
      <c r="O1674" t="s">
        <v>26523</v>
      </c>
      <c r="P1674" t="s">
        <v>26560</v>
      </c>
      <c r="Q1674" t="s">
        <v>26568</v>
      </c>
      <c r="R1674" t="s">
        <v>26579</v>
      </c>
      <c r="U1674" t="s">
        <v>26604</v>
      </c>
      <c r="V1674" t="s">
        <v>26610</v>
      </c>
      <c r="W1674" t="s">
        <v>524</v>
      </c>
      <c r="X1674">
        <v>1202</v>
      </c>
      <c r="Y1674" t="s">
        <v>26650</v>
      </c>
      <c r="Z1674" t="s">
        <v>26659</v>
      </c>
      <c r="AA1674" t="s">
        <v>26678</v>
      </c>
      <c r="AB1674" t="s">
        <v>28197</v>
      </c>
      <c r="AC1674" t="s">
        <v>35005</v>
      </c>
      <c r="AD1674" t="s">
        <v>38246</v>
      </c>
      <c r="AE1674">
        <v>27</v>
      </c>
      <c r="AF1674" t="s">
        <v>45541</v>
      </c>
      <c r="AG1674" t="s">
        <v>45556</v>
      </c>
      <c r="AH1674">
        <v>17</v>
      </c>
      <c r="AI1674">
        <v>1</v>
      </c>
      <c r="AJ1674">
        <v>1</v>
      </c>
      <c r="AK1674">
        <v>48.6</v>
      </c>
      <c r="AN1674" t="s">
        <v>7439</v>
      </c>
      <c r="AO1674">
        <v>8000</v>
      </c>
      <c r="AS1674" t="s">
        <v>46499</v>
      </c>
      <c r="AT1674" t="s">
        <v>46517</v>
      </c>
      <c r="AU1674">
        <v>8.9</v>
      </c>
      <c r="AV1674" t="s">
        <v>670</v>
      </c>
      <c r="AW1674" t="s">
        <v>46847</v>
      </c>
    </row>
    <row r="1675" spans="1:49">
      <c r="A1675" s="1">
        <f>HYPERLINK("https://lsnyc.legalserver.org/matter/dynamic-profile/view/1877660","18-1877660")</f>
        <v>0</v>
      </c>
      <c r="B1675" t="s">
        <v>189</v>
      </c>
      <c r="C1675" t="s">
        <v>341</v>
      </c>
      <c r="D1675" t="s">
        <v>524</v>
      </c>
      <c r="E1675" t="s">
        <v>682</v>
      </c>
      <c r="F1675" t="s">
        <v>974</v>
      </c>
      <c r="G1675" t="s">
        <v>6073</v>
      </c>
      <c r="H1675" t="s">
        <v>11019</v>
      </c>
      <c r="J1675" t="s">
        <v>18892</v>
      </c>
      <c r="K1675">
        <v>10453</v>
      </c>
      <c r="L1675" t="s">
        <v>18958</v>
      </c>
      <c r="M1675" t="s">
        <v>18958</v>
      </c>
      <c r="O1675" t="s">
        <v>18997</v>
      </c>
      <c r="P1675" t="s">
        <v>26564</v>
      </c>
      <c r="Q1675" t="s">
        <v>26570</v>
      </c>
      <c r="R1675" t="s">
        <v>26578</v>
      </c>
      <c r="S1675" t="s">
        <v>18959</v>
      </c>
      <c r="U1675" t="s">
        <v>26604</v>
      </c>
      <c r="W1675" t="s">
        <v>524</v>
      </c>
      <c r="X1675">
        <v>150</v>
      </c>
      <c r="Y1675" t="s">
        <v>26650</v>
      </c>
      <c r="Z1675" t="s">
        <v>26663</v>
      </c>
      <c r="AA1675" t="s">
        <v>26683</v>
      </c>
      <c r="AB1675" t="s">
        <v>27209</v>
      </c>
      <c r="AE1675">
        <v>2</v>
      </c>
      <c r="AG1675" t="s">
        <v>45557</v>
      </c>
      <c r="AH1675">
        <v>13</v>
      </c>
      <c r="AI1675">
        <v>2</v>
      </c>
      <c r="AJ1675">
        <v>0</v>
      </c>
      <c r="AK1675">
        <v>0</v>
      </c>
      <c r="AN1675" t="s">
        <v>45581</v>
      </c>
      <c r="AO1675">
        <v>0</v>
      </c>
      <c r="AU1675">
        <v>1</v>
      </c>
      <c r="AV1675" t="s">
        <v>682</v>
      </c>
      <c r="AW1675" t="s">
        <v>336</v>
      </c>
    </row>
    <row r="1676" spans="1:49">
      <c r="A1676" s="1">
        <f>HYPERLINK("https://lsnyc.legalserver.org/matter/dynamic-profile/view/1877755","18-1877755")</f>
        <v>0</v>
      </c>
      <c r="B1676" t="s">
        <v>189</v>
      </c>
      <c r="C1676" t="s">
        <v>341</v>
      </c>
      <c r="D1676" t="s">
        <v>524</v>
      </c>
      <c r="E1676" t="s">
        <v>682</v>
      </c>
      <c r="F1676" t="s">
        <v>1902</v>
      </c>
      <c r="G1676" t="s">
        <v>5313</v>
      </c>
      <c r="H1676" t="s">
        <v>11020</v>
      </c>
      <c r="I1676" t="s">
        <v>17424</v>
      </c>
      <c r="J1676" t="s">
        <v>18892</v>
      </c>
      <c r="K1676">
        <v>10452</v>
      </c>
      <c r="L1676" t="s">
        <v>18958</v>
      </c>
      <c r="M1676" t="s">
        <v>18958</v>
      </c>
      <c r="O1676" t="s">
        <v>26523</v>
      </c>
      <c r="P1676" t="s">
        <v>26564</v>
      </c>
      <c r="Q1676" t="s">
        <v>26570</v>
      </c>
      <c r="R1676" t="s">
        <v>26578</v>
      </c>
      <c r="S1676" t="s">
        <v>18959</v>
      </c>
      <c r="U1676" t="s">
        <v>26604</v>
      </c>
      <c r="W1676" t="s">
        <v>524</v>
      </c>
      <c r="X1676">
        <v>1310.05</v>
      </c>
      <c r="Y1676" t="s">
        <v>26650</v>
      </c>
      <c r="Z1676" t="s">
        <v>26663</v>
      </c>
      <c r="AA1676" t="s">
        <v>26683</v>
      </c>
      <c r="AB1676" t="s">
        <v>28198</v>
      </c>
      <c r="AE1676">
        <v>73</v>
      </c>
      <c r="AH1676">
        <v>5</v>
      </c>
      <c r="AI1676">
        <v>2</v>
      </c>
      <c r="AJ1676">
        <v>1</v>
      </c>
      <c r="AK1676">
        <v>101.06</v>
      </c>
      <c r="AN1676" t="s">
        <v>45581</v>
      </c>
      <c r="AO1676">
        <v>21000</v>
      </c>
      <c r="AU1676">
        <v>0.25</v>
      </c>
      <c r="AV1676" t="s">
        <v>682</v>
      </c>
      <c r="AW1676" t="s">
        <v>336</v>
      </c>
    </row>
    <row r="1677" spans="1:49">
      <c r="A1677" s="1">
        <f>HYPERLINK("https://lsnyc.legalserver.org/matter/dynamic-profile/view/1877651","18-1877651")</f>
        <v>0</v>
      </c>
      <c r="B1677" t="s">
        <v>189</v>
      </c>
      <c r="C1677" t="s">
        <v>341</v>
      </c>
      <c r="D1677" t="s">
        <v>524</v>
      </c>
      <c r="E1677" t="s">
        <v>518</v>
      </c>
      <c r="F1677" t="s">
        <v>1080</v>
      </c>
      <c r="G1677" t="s">
        <v>5103</v>
      </c>
      <c r="H1677" t="s">
        <v>11021</v>
      </c>
      <c r="J1677" t="s">
        <v>18892</v>
      </c>
      <c r="K1677">
        <v>10452</v>
      </c>
      <c r="L1677" t="s">
        <v>18958</v>
      </c>
      <c r="M1677" t="s">
        <v>18958</v>
      </c>
      <c r="O1677" t="s">
        <v>18997</v>
      </c>
      <c r="P1677" t="s">
        <v>26564</v>
      </c>
      <c r="Q1677" t="s">
        <v>26570</v>
      </c>
      <c r="R1677" t="s">
        <v>26578</v>
      </c>
      <c r="U1677" t="s">
        <v>26604</v>
      </c>
      <c r="W1677" t="s">
        <v>524</v>
      </c>
      <c r="X1677">
        <v>865</v>
      </c>
      <c r="Y1677" t="s">
        <v>26650</v>
      </c>
      <c r="Z1677" t="s">
        <v>26663</v>
      </c>
      <c r="AA1677" t="s">
        <v>26683</v>
      </c>
      <c r="AB1677" t="s">
        <v>28199</v>
      </c>
      <c r="AD1677" t="s">
        <v>38247</v>
      </c>
      <c r="AE1677">
        <v>26</v>
      </c>
      <c r="AF1677" t="s">
        <v>45541</v>
      </c>
      <c r="AG1677" t="s">
        <v>45556</v>
      </c>
      <c r="AH1677">
        <v>26</v>
      </c>
      <c r="AI1677">
        <v>1</v>
      </c>
      <c r="AJ1677">
        <v>0</v>
      </c>
      <c r="AK1677">
        <v>133.15</v>
      </c>
      <c r="AN1677" t="s">
        <v>45581</v>
      </c>
      <c r="AO1677">
        <v>16164</v>
      </c>
      <c r="AU1677">
        <v>0.1</v>
      </c>
      <c r="AV1677" t="s">
        <v>518</v>
      </c>
      <c r="AW1677" t="s">
        <v>336</v>
      </c>
    </row>
    <row r="1678" spans="1:49">
      <c r="A1678" s="1">
        <f>HYPERLINK("https://lsnyc.legalserver.org/matter/dynamic-profile/view/1877657","18-1877657")</f>
        <v>0</v>
      </c>
      <c r="B1678" t="s">
        <v>189</v>
      </c>
      <c r="C1678" t="s">
        <v>341</v>
      </c>
      <c r="D1678" t="s">
        <v>524</v>
      </c>
      <c r="E1678" t="s">
        <v>682</v>
      </c>
      <c r="F1678" t="s">
        <v>1903</v>
      </c>
      <c r="G1678" t="s">
        <v>5008</v>
      </c>
      <c r="H1678" t="s">
        <v>11022</v>
      </c>
      <c r="I1678" t="s">
        <v>17334</v>
      </c>
      <c r="J1678" t="s">
        <v>18892</v>
      </c>
      <c r="K1678">
        <v>10452</v>
      </c>
      <c r="L1678" t="s">
        <v>18958</v>
      </c>
      <c r="M1678" t="s">
        <v>18958</v>
      </c>
      <c r="O1678" t="s">
        <v>18997</v>
      </c>
      <c r="P1678" t="s">
        <v>26564</v>
      </c>
      <c r="Q1678" t="s">
        <v>26570</v>
      </c>
      <c r="R1678" t="s">
        <v>26578</v>
      </c>
      <c r="S1678" t="s">
        <v>18959</v>
      </c>
      <c r="U1678" t="s">
        <v>26604</v>
      </c>
      <c r="W1678" t="s">
        <v>524</v>
      </c>
      <c r="X1678">
        <v>680</v>
      </c>
      <c r="Y1678" t="s">
        <v>26650</v>
      </c>
      <c r="Z1678" t="s">
        <v>26663</v>
      </c>
      <c r="AA1678" t="s">
        <v>26683</v>
      </c>
      <c r="AB1678" t="s">
        <v>28200</v>
      </c>
      <c r="AE1678">
        <v>105</v>
      </c>
      <c r="AF1678" t="s">
        <v>20460</v>
      </c>
      <c r="AG1678" t="s">
        <v>19330</v>
      </c>
      <c r="AH1678">
        <v>26</v>
      </c>
      <c r="AI1678">
        <v>1</v>
      </c>
      <c r="AJ1678">
        <v>0</v>
      </c>
      <c r="AK1678">
        <v>247.12</v>
      </c>
      <c r="AN1678" t="s">
        <v>7439</v>
      </c>
      <c r="AO1678">
        <v>30000</v>
      </c>
      <c r="AU1678">
        <v>0.4</v>
      </c>
      <c r="AV1678" t="s">
        <v>682</v>
      </c>
      <c r="AW1678" t="s">
        <v>336</v>
      </c>
    </row>
    <row r="1679" spans="1:49">
      <c r="A1679" s="1">
        <f>HYPERLINK("https://lsnyc.legalserver.org/matter/dynamic-profile/view/1877649","18-1877649")</f>
        <v>0</v>
      </c>
      <c r="B1679" t="s">
        <v>189</v>
      </c>
      <c r="C1679" t="s">
        <v>341</v>
      </c>
      <c r="D1679" t="s">
        <v>524</v>
      </c>
      <c r="E1679" t="s">
        <v>518</v>
      </c>
      <c r="F1679" t="s">
        <v>1592</v>
      </c>
      <c r="G1679" t="s">
        <v>5103</v>
      </c>
      <c r="H1679" t="s">
        <v>11021</v>
      </c>
      <c r="J1679" t="s">
        <v>18892</v>
      </c>
      <c r="K1679">
        <v>10452</v>
      </c>
      <c r="L1679" t="s">
        <v>18958</v>
      </c>
      <c r="M1679" t="s">
        <v>18958</v>
      </c>
      <c r="O1679" t="s">
        <v>18997</v>
      </c>
      <c r="P1679" t="s">
        <v>26564</v>
      </c>
      <c r="Q1679" t="s">
        <v>26570</v>
      </c>
      <c r="R1679" t="s">
        <v>26578</v>
      </c>
      <c r="U1679" t="s">
        <v>26604</v>
      </c>
      <c r="W1679" t="s">
        <v>524</v>
      </c>
      <c r="X1679">
        <v>0</v>
      </c>
      <c r="Y1679" t="s">
        <v>26650</v>
      </c>
      <c r="Z1679" t="s">
        <v>26663</v>
      </c>
      <c r="AA1679" t="s">
        <v>26683</v>
      </c>
      <c r="AB1679" t="s">
        <v>28201</v>
      </c>
      <c r="AD1679" t="s">
        <v>38248</v>
      </c>
      <c r="AE1679">
        <v>26</v>
      </c>
      <c r="AF1679" t="s">
        <v>45541</v>
      </c>
      <c r="AG1679" t="s">
        <v>19330</v>
      </c>
      <c r="AH1679">
        <v>0</v>
      </c>
      <c r="AI1679">
        <v>2</v>
      </c>
      <c r="AJ1679">
        <v>0</v>
      </c>
      <c r="AK1679">
        <v>297.69</v>
      </c>
      <c r="AN1679" t="s">
        <v>45581</v>
      </c>
      <c r="AO1679">
        <v>49000</v>
      </c>
      <c r="AU1679">
        <v>0.1</v>
      </c>
      <c r="AV1679" t="s">
        <v>518</v>
      </c>
      <c r="AW1679" t="s">
        <v>336</v>
      </c>
    </row>
    <row r="1680" spans="1:49">
      <c r="A1680" s="1">
        <f>HYPERLINK("https://lsnyc.legalserver.org/matter/dynamic-profile/view/1876969","18-1876969")</f>
        <v>0</v>
      </c>
      <c r="B1680" t="s">
        <v>125</v>
      </c>
      <c r="C1680" t="s">
        <v>341</v>
      </c>
      <c r="D1680" t="s">
        <v>524</v>
      </c>
      <c r="E1680" t="s">
        <v>691</v>
      </c>
      <c r="F1680" t="s">
        <v>1904</v>
      </c>
      <c r="G1680" t="s">
        <v>3056</v>
      </c>
      <c r="H1680" t="s">
        <v>11023</v>
      </c>
      <c r="I1680" t="s">
        <v>17393</v>
      </c>
      <c r="J1680" t="s">
        <v>18894</v>
      </c>
      <c r="K1680">
        <v>11233</v>
      </c>
      <c r="L1680" t="s">
        <v>18958</v>
      </c>
      <c r="M1680" t="s">
        <v>18958</v>
      </c>
      <c r="N1680" t="s">
        <v>20219</v>
      </c>
      <c r="O1680" t="s">
        <v>26523</v>
      </c>
      <c r="P1680" t="s">
        <v>26564</v>
      </c>
      <c r="Q1680" t="s">
        <v>26570</v>
      </c>
      <c r="R1680" t="s">
        <v>26578</v>
      </c>
      <c r="U1680" t="s">
        <v>26604</v>
      </c>
      <c r="W1680" t="s">
        <v>524</v>
      </c>
      <c r="X1680">
        <v>800</v>
      </c>
      <c r="Y1680" t="s">
        <v>26652</v>
      </c>
      <c r="Z1680" t="s">
        <v>26659</v>
      </c>
      <c r="AA1680" t="s">
        <v>26683</v>
      </c>
      <c r="AB1680" t="s">
        <v>28202</v>
      </c>
      <c r="AD1680" t="s">
        <v>38249</v>
      </c>
      <c r="AE1680">
        <v>3</v>
      </c>
      <c r="AG1680" t="s">
        <v>45562</v>
      </c>
      <c r="AH1680">
        <v>5</v>
      </c>
      <c r="AI1680">
        <v>1</v>
      </c>
      <c r="AJ1680">
        <v>0</v>
      </c>
      <c r="AK1680">
        <v>0</v>
      </c>
      <c r="AN1680" t="s">
        <v>7439</v>
      </c>
      <c r="AO1680">
        <v>0</v>
      </c>
      <c r="AU1680">
        <v>5</v>
      </c>
      <c r="AV1680" t="s">
        <v>630</v>
      </c>
      <c r="AW1680" t="s">
        <v>46853</v>
      </c>
    </row>
    <row r="1681" spans="1:49">
      <c r="A1681" s="1">
        <f>HYPERLINK("https://lsnyc.legalserver.org/matter/dynamic-profile/view/1877654","18-1877654")</f>
        <v>0</v>
      </c>
      <c r="B1681" t="s">
        <v>67</v>
      </c>
      <c r="C1681" t="s">
        <v>340</v>
      </c>
      <c r="D1681" t="s">
        <v>524</v>
      </c>
      <c r="F1681" t="s">
        <v>974</v>
      </c>
      <c r="G1681" t="s">
        <v>6074</v>
      </c>
      <c r="H1681" t="s">
        <v>11024</v>
      </c>
      <c r="I1681">
        <v>10</v>
      </c>
      <c r="J1681" t="s">
        <v>18892</v>
      </c>
      <c r="K1681">
        <v>10452</v>
      </c>
      <c r="L1681" t="s">
        <v>18958</v>
      </c>
      <c r="M1681" t="s">
        <v>18958</v>
      </c>
      <c r="N1681" t="s">
        <v>20220</v>
      </c>
      <c r="O1681" t="s">
        <v>26534</v>
      </c>
      <c r="P1681" t="s">
        <v>26561</v>
      </c>
      <c r="R1681" t="s">
        <v>26578</v>
      </c>
      <c r="S1681" t="s">
        <v>18959</v>
      </c>
      <c r="U1681" t="s">
        <v>26604</v>
      </c>
      <c r="W1681" t="s">
        <v>524</v>
      </c>
      <c r="X1681">
        <v>1350</v>
      </c>
      <c r="Y1681" t="s">
        <v>26650</v>
      </c>
      <c r="Z1681" t="s">
        <v>26663</v>
      </c>
      <c r="AB1681" t="s">
        <v>28203</v>
      </c>
      <c r="AD1681" t="s">
        <v>38250</v>
      </c>
      <c r="AE1681">
        <v>167</v>
      </c>
      <c r="AF1681" t="s">
        <v>45541</v>
      </c>
      <c r="AG1681" t="s">
        <v>19330</v>
      </c>
      <c r="AH1681">
        <v>1</v>
      </c>
      <c r="AI1681">
        <v>1</v>
      </c>
      <c r="AJ1681">
        <v>0</v>
      </c>
      <c r="AK1681">
        <v>107.08</v>
      </c>
      <c r="AN1681" t="s">
        <v>7439</v>
      </c>
      <c r="AO1681">
        <v>13000</v>
      </c>
      <c r="AU1681">
        <v>8.949999999999999</v>
      </c>
      <c r="AV1681" t="s">
        <v>773</v>
      </c>
      <c r="AW1681" t="s">
        <v>336</v>
      </c>
    </row>
    <row r="1682" spans="1:49">
      <c r="A1682" s="1">
        <f>HYPERLINK("https://lsnyc.legalserver.org/matter/dynamic-profile/view/1876936","18-1876936")</f>
        <v>0</v>
      </c>
      <c r="B1682" t="s">
        <v>79</v>
      </c>
      <c r="C1682" t="s">
        <v>340</v>
      </c>
      <c r="D1682" t="s">
        <v>524</v>
      </c>
      <c r="F1682" t="s">
        <v>1676</v>
      </c>
      <c r="G1682" t="s">
        <v>4588</v>
      </c>
      <c r="H1682" t="s">
        <v>11025</v>
      </c>
      <c r="I1682" t="s">
        <v>17701</v>
      </c>
      <c r="J1682" t="s">
        <v>18893</v>
      </c>
      <c r="K1682">
        <v>10033</v>
      </c>
      <c r="L1682" t="s">
        <v>18958</v>
      </c>
      <c r="M1682" t="s">
        <v>18958</v>
      </c>
      <c r="O1682" t="s">
        <v>26526</v>
      </c>
      <c r="P1682" t="s">
        <v>26565</v>
      </c>
      <c r="R1682" t="s">
        <v>26578</v>
      </c>
      <c r="S1682" t="s">
        <v>18958</v>
      </c>
      <c r="U1682" t="s">
        <v>26604</v>
      </c>
      <c r="W1682" t="s">
        <v>524</v>
      </c>
      <c r="X1682">
        <v>1026</v>
      </c>
      <c r="Y1682" t="s">
        <v>26651</v>
      </c>
      <c r="Z1682" t="s">
        <v>26667</v>
      </c>
      <c r="AB1682" t="s">
        <v>28204</v>
      </c>
      <c r="AD1682" t="s">
        <v>38251</v>
      </c>
      <c r="AE1682">
        <v>232</v>
      </c>
      <c r="AF1682" t="s">
        <v>45541</v>
      </c>
      <c r="AG1682" t="s">
        <v>45559</v>
      </c>
      <c r="AH1682">
        <v>25</v>
      </c>
      <c r="AI1682">
        <v>2</v>
      </c>
      <c r="AJ1682">
        <v>0</v>
      </c>
      <c r="AK1682">
        <v>90.40000000000001</v>
      </c>
      <c r="AO1682">
        <v>14880</v>
      </c>
      <c r="AU1682">
        <v>0.4</v>
      </c>
      <c r="AV1682" t="s">
        <v>828</v>
      </c>
      <c r="AW1682" t="s">
        <v>46840</v>
      </c>
    </row>
    <row r="1683" spans="1:49">
      <c r="A1683" s="1">
        <f>HYPERLINK("https://lsnyc.legalserver.org/matter/dynamic-profile/view/1876992","18-1876992")</f>
        <v>0</v>
      </c>
      <c r="B1683" t="s">
        <v>120</v>
      </c>
      <c r="C1683" t="s">
        <v>340</v>
      </c>
      <c r="D1683" t="s">
        <v>524</v>
      </c>
      <c r="F1683" t="s">
        <v>1905</v>
      </c>
      <c r="G1683" t="s">
        <v>6075</v>
      </c>
      <c r="H1683" t="s">
        <v>11026</v>
      </c>
      <c r="I1683" t="s">
        <v>17293</v>
      </c>
      <c r="J1683" t="s">
        <v>18892</v>
      </c>
      <c r="K1683">
        <v>10453</v>
      </c>
      <c r="L1683" t="s">
        <v>18958</v>
      </c>
      <c r="M1683" t="s">
        <v>18958</v>
      </c>
      <c r="N1683" t="s">
        <v>20221</v>
      </c>
      <c r="O1683" t="s">
        <v>26524</v>
      </c>
      <c r="P1683" t="s">
        <v>26560</v>
      </c>
      <c r="R1683" t="s">
        <v>26577</v>
      </c>
      <c r="U1683" t="s">
        <v>26604</v>
      </c>
      <c r="V1683" t="s">
        <v>26611</v>
      </c>
      <c r="W1683" t="s">
        <v>524</v>
      </c>
      <c r="X1683">
        <v>1172.94</v>
      </c>
      <c r="Y1683" t="s">
        <v>26650</v>
      </c>
      <c r="Z1683" t="s">
        <v>26663</v>
      </c>
      <c r="AB1683" t="s">
        <v>27926</v>
      </c>
      <c r="AC1683" t="s">
        <v>35006</v>
      </c>
      <c r="AD1683" t="s">
        <v>38252</v>
      </c>
      <c r="AE1683">
        <v>30</v>
      </c>
      <c r="AF1683" t="s">
        <v>45541</v>
      </c>
      <c r="AG1683" t="s">
        <v>45556</v>
      </c>
      <c r="AH1683">
        <v>7</v>
      </c>
      <c r="AI1683">
        <v>1</v>
      </c>
      <c r="AJ1683">
        <v>0</v>
      </c>
      <c r="AK1683">
        <v>98.84999999999999</v>
      </c>
      <c r="AO1683">
        <v>12000</v>
      </c>
      <c r="AQ1683" t="s">
        <v>46365</v>
      </c>
      <c r="AR1683" t="s">
        <v>26530</v>
      </c>
      <c r="AS1683" t="s">
        <v>46500</v>
      </c>
      <c r="AT1683" t="s">
        <v>46535</v>
      </c>
      <c r="AU1683">
        <v>28.1</v>
      </c>
      <c r="AV1683" t="s">
        <v>518</v>
      </c>
      <c r="AW1683" t="s">
        <v>334</v>
      </c>
    </row>
    <row r="1684" spans="1:49">
      <c r="A1684" s="1">
        <f>HYPERLINK("https://lsnyc.legalserver.org/matter/dynamic-profile/view/1877384","18-1877384")</f>
        <v>0</v>
      </c>
      <c r="B1684" t="s">
        <v>238</v>
      </c>
      <c r="C1684" t="s">
        <v>340</v>
      </c>
      <c r="D1684" t="s">
        <v>578</v>
      </c>
      <c r="F1684" t="s">
        <v>1906</v>
      </c>
      <c r="G1684" t="s">
        <v>3173</v>
      </c>
      <c r="H1684" t="s">
        <v>11027</v>
      </c>
      <c r="I1684" t="s">
        <v>17312</v>
      </c>
      <c r="J1684" t="s">
        <v>18894</v>
      </c>
      <c r="K1684">
        <v>11212</v>
      </c>
      <c r="L1684" t="s">
        <v>18958</v>
      </c>
      <c r="M1684" t="s">
        <v>18958</v>
      </c>
      <c r="N1684" t="s">
        <v>20222</v>
      </c>
      <c r="O1684" t="s">
        <v>26533</v>
      </c>
      <c r="P1684" t="s">
        <v>26563</v>
      </c>
      <c r="R1684" t="s">
        <v>26578</v>
      </c>
      <c r="U1684" t="s">
        <v>26604</v>
      </c>
      <c r="W1684" t="s">
        <v>524</v>
      </c>
      <c r="X1684">
        <v>1600</v>
      </c>
      <c r="Y1684" t="s">
        <v>26652</v>
      </c>
      <c r="Z1684" t="s">
        <v>26664</v>
      </c>
      <c r="AB1684" t="s">
        <v>27768</v>
      </c>
      <c r="AD1684" t="s">
        <v>38253</v>
      </c>
      <c r="AE1684">
        <v>2</v>
      </c>
      <c r="AG1684" t="s">
        <v>19330</v>
      </c>
      <c r="AH1684">
        <v>2</v>
      </c>
      <c r="AI1684">
        <v>1</v>
      </c>
      <c r="AJ1684">
        <v>1</v>
      </c>
      <c r="AK1684">
        <v>151.88</v>
      </c>
      <c r="AN1684" t="s">
        <v>7439</v>
      </c>
      <c r="AO1684">
        <v>25000</v>
      </c>
      <c r="AU1684">
        <v>9.75</v>
      </c>
      <c r="AV1684" t="s">
        <v>529</v>
      </c>
      <c r="AW1684" t="s">
        <v>46862</v>
      </c>
    </row>
    <row r="1685" spans="1:49">
      <c r="A1685" s="1">
        <f>HYPERLINK("https://lsnyc.legalserver.org/matter/dynamic-profile/view/1870574","18-1870574")</f>
        <v>0</v>
      </c>
      <c r="B1685" t="s">
        <v>108</v>
      </c>
      <c r="C1685" t="s">
        <v>341</v>
      </c>
      <c r="D1685" t="s">
        <v>433</v>
      </c>
      <c r="E1685" t="s">
        <v>586</v>
      </c>
      <c r="F1685" t="s">
        <v>1907</v>
      </c>
      <c r="G1685" t="s">
        <v>5079</v>
      </c>
      <c r="H1685" t="s">
        <v>11028</v>
      </c>
      <c r="I1685" t="s">
        <v>17387</v>
      </c>
      <c r="J1685" t="s">
        <v>18901</v>
      </c>
      <c r="K1685">
        <v>11434</v>
      </c>
      <c r="L1685" t="s">
        <v>18958</v>
      </c>
      <c r="M1685" t="s">
        <v>18958</v>
      </c>
      <c r="N1685" t="s">
        <v>20223</v>
      </c>
      <c r="O1685" t="s">
        <v>26524</v>
      </c>
      <c r="P1685" t="s">
        <v>26560</v>
      </c>
      <c r="Q1685" t="s">
        <v>26568</v>
      </c>
      <c r="R1685" t="s">
        <v>26585</v>
      </c>
      <c r="S1685" t="s">
        <v>18959</v>
      </c>
      <c r="U1685" t="s">
        <v>26604</v>
      </c>
      <c r="V1685" t="s">
        <v>26614</v>
      </c>
      <c r="W1685" t="s">
        <v>579</v>
      </c>
      <c r="X1685">
        <v>0</v>
      </c>
      <c r="Y1685" t="s">
        <v>26653</v>
      </c>
      <c r="Z1685" t="s">
        <v>26662</v>
      </c>
      <c r="AA1685" t="s">
        <v>26679</v>
      </c>
      <c r="AB1685" t="s">
        <v>28205</v>
      </c>
      <c r="AC1685" t="s">
        <v>19045</v>
      </c>
      <c r="AD1685" t="s">
        <v>38254</v>
      </c>
      <c r="AE1685">
        <v>2</v>
      </c>
      <c r="AF1685" t="s">
        <v>45547</v>
      </c>
      <c r="AG1685" t="s">
        <v>19330</v>
      </c>
      <c r="AH1685">
        <v>4</v>
      </c>
      <c r="AI1685">
        <v>2</v>
      </c>
      <c r="AJ1685">
        <v>2</v>
      </c>
      <c r="AK1685">
        <v>0</v>
      </c>
      <c r="AN1685" t="s">
        <v>7439</v>
      </c>
      <c r="AO1685">
        <v>0</v>
      </c>
      <c r="AQ1685" t="s">
        <v>46359</v>
      </c>
      <c r="AR1685" t="s">
        <v>46406</v>
      </c>
      <c r="AS1685" t="s">
        <v>46500</v>
      </c>
      <c r="AT1685" t="s">
        <v>46585</v>
      </c>
      <c r="AU1685">
        <v>14.3</v>
      </c>
      <c r="AV1685" t="s">
        <v>531</v>
      </c>
      <c r="AW1685" t="s">
        <v>208</v>
      </c>
    </row>
    <row r="1686" spans="1:49">
      <c r="A1686" s="1">
        <f>HYPERLINK("https://lsnyc.legalserver.org/matter/dynamic-profile/view/1871925","18-1871925")</f>
        <v>0</v>
      </c>
      <c r="B1686" t="s">
        <v>177</v>
      </c>
      <c r="C1686" t="s">
        <v>340</v>
      </c>
      <c r="D1686" t="s">
        <v>434</v>
      </c>
      <c r="F1686" t="s">
        <v>1502</v>
      </c>
      <c r="G1686" t="s">
        <v>6076</v>
      </c>
      <c r="H1686" t="s">
        <v>11029</v>
      </c>
      <c r="I1686" t="s">
        <v>17292</v>
      </c>
      <c r="J1686" t="s">
        <v>18892</v>
      </c>
      <c r="K1686">
        <v>10453</v>
      </c>
      <c r="L1686" t="s">
        <v>18958</v>
      </c>
      <c r="M1686" t="s">
        <v>18958</v>
      </c>
      <c r="N1686" t="s">
        <v>20224</v>
      </c>
      <c r="O1686" t="s">
        <v>26523</v>
      </c>
      <c r="P1686" t="s">
        <v>26560</v>
      </c>
      <c r="R1686" t="s">
        <v>26578</v>
      </c>
      <c r="S1686" t="s">
        <v>18959</v>
      </c>
      <c r="U1686" t="s">
        <v>26604</v>
      </c>
      <c r="V1686" t="s">
        <v>26609</v>
      </c>
      <c r="W1686" t="s">
        <v>579</v>
      </c>
      <c r="X1686">
        <v>1285</v>
      </c>
      <c r="Y1686" t="s">
        <v>26650</v>
      </c>
      <c r="Z1686" t="s">
        <v>26673</v>
      </c>
      <c r="AB1686" t="s">
        <v>28206</v>
      </c>
      <c r="AD1686" t="s">
        <v>38255</v>
      </c>
      <c r="AE1686">
        <v>48</v>
      </c>
      <c r="AF1686" t="s">
        <v>45541</v>
      </c>
      <c r="AG1686" t="s">
        <v>19330</v>
      </c>
      <c r="AH1686">
        <v>8</v>
      </c>
      <c r="AI1686">
        <v>1</v>
      </c>
      <c r="AJ1686">
        <v>0</v>
      </c>
      <c r="AK1686">
        <v>128.5</v>
      </c>
      <c r="AN1686" t="s">
        <v>45581</v>
      </c>
      <c r="AO1686">
        <v>15600</v>
      </c>
      <c r="AU1686">
        <v>16.35</v>
      </c>
      <c r="AV1686" t="s">
        <v>712</v>
      </c>
      <c r="AW1686" t="s">
        <v>46861</v>
      </c>
    </row>
    <row r="1687" spans="1:49">
      <c r="A1687" s="1">
        <f>HYPERLINK("https://lsnyc.legalserver.org/matter/dynamic-profile/view/1872882","18-1872882")</f>
        <v>0</v>
      </c>
      <c r="B1687" t="s">
        <v>68</v>
      </c>
      <c r="C1687" t="s">
        <v>341</v>
      </c>
      <c r="D1687" t="s">
        <v>409</v>
      </c>
      <c r="E1687" t="s">
        <v>763</v>
      </c>
      <c r="F1687" t="s">
        <v>1062</v>
      </c>
      <c r="G1687" t="s">
        <v>5602</v>
      </c>
      <c r="H1687" t="s">
        <v>11030</v>
      </c>
      <c r="I1687" t="s">
        <v>17274</v>
      </c>
      <c r="J1687" t="s">
        <v>18892</v>
      </c>
      <c r="K1687">
        <v>10467</v>
      </c>
      <c r="L1687" t="s">
        <v>18958</v>
      </c>
      <c r="M1687" t="s">
        <v>18958</v>
      </c>
      <c r="N1687" t="s">
        <v>20225</v>
      </c>
      <c r="O1687" t="s">
        <v>26523</v>
      </c>
      <c r="P1687" t="s">
        <v>26560</v>
      </c>
      <c r="Q1687" t="s">
        <v>26568</v>
      </c>
      <c r="R1687" t="s">
        <v>26579</v>
      </c>
      <c r="S1687" t="s">
        <v>18959</v>
      </c>
      <c r="U1687" t="s">
        <v>26604</v>
      </c>
      <c r="V1687" t="s">
        <v>26610</v>
      </c>
      <c r="W1687" t="s">
        <v>579</v>
      </c>
      <c r="X1687">
        <v>1523</v>
      </c>
      <c r="Y1687" t="s">
        <v>26650</v>
      </c>
      <c r="Z1687" t="s">
        <v>26662</v>
      </c>
      <c r="AA1687" t="s">
        <v>26678</v>
      </c>
      <c r="AB1687" t="s">
        <v>28207</v>
      </c>
      <c r="AC1687" t="s">
        <v>35007</v>
      </c>
      <c r="AD1687" t="s">
        <v>38256</v>
      </c>
      <c r="AE1687">
        <v>32</v>
      </c>
      <c r="AF1687" t="s">
        <v>45541</v>
      </c>
      <c r="AG1687" t="s">
        <v>45558</v>
      </c>
      <c r="AH1687">
        <v>3</v>
      </c>
      <c r="AI1687">
        <v>1</v>
      </c>
      <c r="AJ1687">
        <v>1</v>
      </c>
      <c r="AK1687">
        <v>78.98</v>
      </c>
      <c r="AN1687" t="s">
        <v>7439</v>
      </c>
      <c r="AO1687">
        <v>13000</v>
      </c>
      <c r="AP1687" t="s">
        <v>45621</v>
      </c>
      <c r="AR1687" t="s">
        <v>46380</v>
      </c>
      <c r="AS1687" t="s">
        <v>46499</v>
      </c>
      <c r="AT1687" t="s">
        <v>46662</v>
      </c>
      <c r="AU1687">
        <v>15.2</v>
      </c>
      <c r="AV1687" t="s">
        <v>677</v>
      </c>
      <c r="AW1687" t="s">
        <v>46848</v>
      </c>
    </row>
    <row r="1688" spans="1:49">
      <c r="A1688" s="1">
        <f>HYPERLINK("https://lsnyc.legalserver.org/matter/dynamic-profile/view/1874305","18-1874305")</f>
        <v>0</v>
      </c>
      <c r="B1688" t="s">
        <v>202</v>
      </c>
      <c r="C1688" t="s">
        <v>341</v>
      </c>
      <c r="D1688" t="s">
        <v>500</v>
      </c>
      <c r="E1688" t="s">
        <v>579</v>
      </c>
      <c r="F1688" t="s">
        <v>1908</v>
      </c>
      <c r="G1688" t="s">
        <v>5333</v>
      </c>
      <c r="H1688" t="s">
        <v>11031</v>
      </c>
      <c r="I1688" t="s">
        <v>17702</v>
      </c>
      <c r="J1688" t="s">
        <v>18894</v>
      </c>
      <c r="K1688">
        <v>11208</v>
      </c>
      <c r="L1688" t="s">
        <v>18958</v>
      </c>
      <c r="M1688" t="s">
        <v>18958</v>
      </c>
      <c r="N1688" t="s">
        <v>20226</v>
      </c>
      <c r="O1688" t="s">
        <v>26523</v>
      </c>
      <c r="P1688" t="s">
        <v>26564</v>
      </c>
      <c r="Q1688" t="s">
        <v>26570</v>
      </c>
      <c r="R1688" t="s">
        <v>26586</v>
      </c>
      <c r="S1688" t="s">
        <v>18959</v>
      </c>
      <c r="U1688" t="s">
        <v>26605</v>
      </c>
      <c r="V1688" t="s">
        <v>26612</v>
      </c>
      <c r="W1688" t="s">
        <v>579</v>
      </c>
      <c r="X1688">
        <v>684</v>
      </c>
      <c r="Y1688" t="s">
        <v>26652</v>
      </c>
      <c r="Z1688" t="s">
        <v>26662</v>
      </c>
      <c r="AA1688" t="s">
        <v>26683</v>
      </c>
      <c r="AB1688" t="s">
        <v>28208</v>
      </c>
      <c r="AD1688" t="s">
        <v>38257</v>
      </c>
      <c r="AE1688">
        <v>63</v>
      </c>
      <c r="AF1688" t="s">
        <v>45549</v>
      </c>
      <c r="AG1688" t="s">
        <v>19330</v>
      </c>
      <c r="AH1688">
        <v>18</v>
      </c>
      <c r="AI1688">
        <v>2</v>
      </c>
      <c r="AJ1688">
        <v>0</v>
      </c>
      <c r="AK1688">
        <v>110.26</v>
      </c>
      <c r="AN1688" t="s">
        <v>7439</v>
      </c>
      <c r="AO1688">
        <v>18148</v>
      </c>
      <c r="AU1688">
        <v>1.9</v>
      </c>
      <c r="AV1688" t="s">
        <v>531</v>
      </c>
      <c r="AW1688" t="s">
        <v>281</v>
      </c>
    </row>
    <row r="1689" spans="1:49">
      <c r="A1689" s="1">
        <f>HYPERLINK("https://lsnyc.legalserver.org/matter/dynamic-profile/view/1876762","18-1876762")</f>
        <v>0</v>
      </c>
      <c r="B1689" t="s">
        <v>145</v>
      </c>
      <c r="C1689" t="s">
        <v>341</v>
      </c>
      <c r="D1689" t="s">
        <v>579</v>
      </c>
      <c r="E1689" t="s">
        <v>660</v>
      </c>
      <c r="F1689" t="s">
        <v>1096</v>
      </c>
      <c r="G1689" t="s">
        <v>5285</v>
      </c>
      <c r="H1689" t="s">
        <v>11032</v>
      </c>
      <c r="I1689" t="s">
        <v>17703</v>
      </c>
      <c r="J1689" t="s">
        <v>18902</v>
      </c>
      <c r="K1689">
        <v>10312</v>
      </c>
      <c r="L1689" t="s">
        <v>18960</v>
      </c>
      <c r="M1689" t="s">
        <v>18960</v>
      </c>
      <c r="N1689" t="s">
        <v>20227</v>
      </c>
      <c r="O1689" t="s">
        <v>26524</v>
      </c>
      <c r="P1689" t="s">
        <v>26560</v>
      </c>
      <c r="Q1689" t="s">
        <v>26568</v>
      </c>
      <c r="R1689" t="s">
        <v>26587</v>
      </c>
      <c r="S1689" t="s">
        <v>18958</v>
      </c>
      <c r="U1689" t="s">
        <v>26604</v>
      </c>
      <c r="V1689" t="s">
        <v>26610</v>
      </c>
      <c r="W1689" t="s">
        <v>579</v>
      </c>
      <c r="X1689">
        <v>1350</v>
      </c>
      <c r="Y1689" t="s">
        <v>26654</v>
      </c>
      <c r="Z1689" t="s">
        <v>26668</v>
      </c>
      <c r="AA1689" t="s">
        <v>26687</v>
      </c>
      <c r="AB1689" t="s">
        <v>28209</v>
      </c>
      <c r="AD1689" t="s">
        <v>38258</v>
      </c>
      <c r="AE1689">
        <v>2</v>
      </c>
      <c r="AF1689" t="s">
        <v>45547</v>
      </c>
      <c r="AH1689">
        <v>3</v>
      </c>
      <c r="AI1689">
        <v>1</v>
      </c>
      <c r="AJ1689">
        <v>1</v>
      </c>
      <c r="AK1689">
        <v>218.71</v>
      </c>
      <c r="AN1689" t="s">
        <v>7439</v>
      </c>
      <c r="AO1689">
        <v>36000</v>
      </c>
      <c r="AQ1689" t="s">
        <v>46365</v>
      </c>
      <c r="AR1689" t="s">
        <v>26530</v>
      </c>
      <c r="AS1689" t="s">
        <v>46500</v>
      </c>
      <c r="AT1689" t="s">
        <v>46679</v>
      </c>
      <c r="AU1689">
        <v>6.6</v>
      </c>
      <c r="AV1689" t="s">
        <v>651</v>
      </c>
      <c r="AW1689" t="s">
        <v>46852</v>
      </c>
    </row>
    <row r="1690" spans="1:49">
      <c r="A1690" s="1">
        <f>HYPERLINK("https://lsnyc.legalserver.org/matter/dynamic-profile/view/1877027","18-1877027")</f>
        <v>0</v>
      </c>
      <c r="B1690" t="s">
        <v>77</v>
      </c>
      <c r="C1690" t="s">
        <v>341</v>
      </c>
      <c r="D1690" t="s">
        <v>579</v>
      </c>
      <c r="E1690" t="s">
        <v>832</v>
      </c>
      <c r="F1690" t="s">
        <v>1909</v>
      </c>
      <c r="G1690" t="s">
        <v>1339</v>
      </c>
      <c r="H1690" t="s">
        <v>11033</v>
      </c>
      <c r="I1690" t="s">
        <v>17422</v>
      </c>
      <c r="J1690" t="s">
        <v>18893</v>
      </c>
      <c r="K1690">
        <v>10037</v>
      </c>
      <c r="L1690" t="s">
        <v>18958</v>
      </c>
      <c r="M1690" t="s">
        <v>18958</v>
      </c>
      <c r="N1690" t="s">
        <v>20228</v>
      </c>
      <c r="O1690" t="s">
        <v>26523</v>
      </c>
      <c r="P1690" t="s">
        <v>26560</v>
      </c>
      <c r="Q1690" t="s">
        <v>26568</v>
      </c>
      <c r="R1690" t="s">
        <v>26578</v>
      </c>
      <c r="S1690" t="s">
        <v>18959</v>
      </c>
      <c r="U1690" t="s">
        <v>26606</v>
      </c>
      <c r="V1690" t="s">
        <v>26610</v>
      </c>
      <c r="W1690" t="s">
        <v>579</v>
      </c>
      <c r="X1690">
        <v>780</v>
      </c>
      <c r="Y1690" t="s">
        <v>26651</v>
      </c>
      <c r="Z1690" t="s">
        <v>26661</v>
      </c>
      <c r="AA1690" t="s">
        <v>26678</v>
      </c>
      <c r="AB1690" t="s">
        <v>28210</v>
      </c>
      <c r="AD1690" t="s">
        <v>38259</v>
      </c>
      <c r="AE1690">
        <v>0</v>
      </c>
      <c r="AF1690" t="s">
        <v>45550</v>
      </c>
      <c r="AG1690" t="s">
        <v>19330</v>
      </c>
      <c r="AH1690">
        <v>12</v>
      </c>
      <c r="AI1690">
        <v>1</v>
      </c>
      <c r="AJ1690">
        <v>0</v>
      </c>
      <c r="AK1690">
        <v>365.73</v>
      </c>
      <c r="AN1690" t="s">
        <v>7439</v>
      </c>
      <c r="AO1690">
        <v>44400</v>
      </c>
      <c r="AS1690" t="s">
        <v>46499</v>
      </c>
      <c r="AT1690" t="s">
        <v>46709</v>
      </c>
      <c r="AU1690">
        <v>13.5</v>
      </c>
      <c r="AV1690" t="s">
        <v>832</v>
      </c>
      <c r="AW1690" t="s">
        <v>314</v>
      </c>
    </row>
    <row r="1691" spans="1:49">
      <c r="A1691" s="1">
        <f>HYPERLINK("https://lsnyc.legalserver.org/matter/dynamic-profile/view/1877060","18-1877060")</f>
        <v>0</v>
      </c>
      <c r="B1691" t="s">
        <v>191</v>
      </c>
      <c r="C1691" t="s">
        <v>341</v>
      </c>
      <c r="D1691" t="s">
        <v>579</v>
      </c>
      <c r="E1691" t="s">
        <v>786</v>
      </c>
      <c r="F1691" t="s">
        <v>1076</v>
      </c>
      <c r="G1691" t="s">
        <v>6077</v>
      </c>
      <c r="H1691" t="s">
        <v>11034</v>
      </c>
      <c r="I1691" t="s">
        <v>17704</v>
      </c>
      <c r="J1691" t="s">
        <v>18893</v>
      </c>
      <c r="K1691">
        <v>10023</v>
      </c>
      <c r="L1691" t="s">
        <v>18958</v>
      </c>
      <c r="M1691" t="s">
        <v>18958</v>
      </c>
      <c r="N1691" t="s">
        <v>20229</v>
      </c>
      <c r="O1691" t="s">
        <v>26523</v>
      </c>
      <c r="P1691" t="s">
        <v>26564</v>
      </c>
      <c r="Q1691" t="s">
        <v>26570</v>
      </c>
      <c r="R1691" t="s">
        <v>26582</v>
      </c>
      <c r="S1691" t="s">
        <v>18959</v>
      </c>
      <c r="U1691" t="s">
        <v>26604</v>
      </c>
      <c r="W1691" t="s">
        <v>579</v>
      </c>
      <c r="X1691">
        <v>5600</v>
      </c>
      <c r="Y1691" t="s">
        <v>26651</v>
      </c>
      <c r="Z1691" t="s">
        <v>26661</v>
      </c>
      <c r="AA1691" t="s">
        <v>26683</v>
      </c>
      <c r="AB1691" t="s">
        <v>28211</v>
      </c>
      <c r="AD1691" t="s">
        <v>38260</v>
      </c>
      <c r="AE1691">
        <v>760</v>
      </c>
      <c r="AF1691" t="s">
        <v>45545</v>
      </c>
      <c r="AG1691" t="s">
        <v>45562</v>
      </c>
      <c r="AH1691">
        <v>20</v>
      </c>
      <c r="AI1691">
        <v>1</v>
      </c>
      <c r="AJ1691">
        <v>0</v>
      </c>
      <c r="AK1691">
        <v>19.77</v>
      </c>
      <c r="AN1691" t="s">
        <v>7439</v>
      </c>
      <c r="AO1691">
        <v>2400</v>
      </c>
      <c r="AU1691">
        <v>3</v>
      </c>
      <c r="AV1691" t="s">
        <v>571</v>
      </c>
      <c r="AW1691" t="s">
        <v>46835</v>
      </c>
    </row>
    <row r="1692" spans="1:49">
      <c r="A1692" s="1">
        <f>HYPERLINK("https://lsnyc.legalserver.org/matter/dynamic-profile/view/1877099","18-1877099")</f>
        <v>0</v>
      </c>
      <c r="B1692" t="s">
        <v>162</v>
      </c>
      <c r="C1692" t="s">
        <v>341</v>
      </c>
      <c r="D1692" t="s">
        <v>579</v>
      </c>
      <c r="E1692" t="s">
        <v>820</v>
      </c>
      <c r="F1692" t="s">
        <v>1910</v>
      </c>
      <c r="G1692" t="s">
        <v>2173</v>
      </c>
      <c r="H1692" t="s">
        <v>11035</v>
      </c>
      <c r="I1692" t="s">
        <v>17360</v>
      </c>
      <c r="J1692" t="s">
        <v>18894</v>
      </c>
      <c r="K1692">
        <v>11213</v>
      </c>
      <c r="L1692" t="s">
        <v>18958</v>
      </c>
      <c r="M1692" t="s">
        <v>18958</v>
      </c>
      <c r="N1692" t="s">
        <v>20230</v>
      </c>
      <c r="O1692" t="s">
        <v>26523</v>
      </c>
      <c r="P1692" t="s">
        <v>26560</v>
      </c>
      <c r="Q1692" t="s">
        <v>26573</v>
      </c>
      <c r="R1692" t="s">
        <v>26586</v>
      </c>
      <c r="S1692" t="s">
        <v>18959</v>
      </c>
      <c r="U1692" t="s">
        <v>26604</v>
      </c>
      <c r="V1692" t="s">
        <v>26610</v>
      </c>
      <c r="W1692" t="s">
        <v>579</v>
      </c>
      <c r="X1692">
        <v>1246</v>
      </c>
      <c r="Y1692" t="s">
        <v>26652</v>
      </c>
      <c r="Z1692" t="s">
        <v>26664</v>
      </c>
      <c r="AA1692" t="s">
        <v>26678</v>
      </c>
      <c r="AB1692" t="s">
        <v>28212</v>
      </c>
      <c r="AD1692" t="s">
        <v>38261</v>
      </c>
      <c r="AE1692">
        <v>16</v>
      </c>
      <c r="AF1692" t="s">
        <v>45541</v>
      </c>
      <c r="AG1692" t="s">
        <v>19330</v>
      </c>
      <c r="AH1692">
        <v>8</v>
      </c>
      <c r="AI1692">
        <v>1</v>
      </c>
      <c r="AJ1692">
        <v>2</v>
      </c>
      <c r="AK1692">
        <v>134.32</v>
      </c>
      <c r="AN1692" t="s">
        <v>7439</v>
      </c>
      <c r="AO1692">
        <v>27912</v>
      </c>
      <c r="AS1692" t="s">
        <v>46499</v>
      </c>
      <c r="AT1692" t="s">
        <v>46710</v>
      </c>
      <c r="AU1692">
        <v>17.05</v>
      </c>
      <c r="AV1692" t="s">
        <v>702</v>
      </c>
      <c r="AW1692" t="s">
        <v>46862</v>
      </c>
    </row>
    <row r="1693" spans="1:49">
      <c r="A1693" s="1">
        <f>HYPERLINK("https://lsnyc.legalserver.org/matter/dynamic-profile/view/1877040","18-1877040")</f>
        <v>0</v>
      </c>
      <c r="B1693" t="s">
        <v>141</v>
      </c>
      <c r="C1693" t="s">
        <v>341</v>
      </c>
      <c r="D1693" t="s">
        <v>579</v>
      </c>
      <c r="E1693" t="s">
        <v>571</v>
      </c>
      <c r="F1693" t="s">
        <v>1911</v>
      </c>
      <c r="G1693" t="s">
        <v>6078</v>
      </c>
      <c r="H1693" t="s">
        <v>11036</v>
      </c>
      <c r="J1693" t="s">
        <v>18900</v>
      </c>
      <c r="K1693">
        <v>11354</v>
      </c>
      <c r="L1693" t="s">
        <v>18958</v>
      </c>
      <c r="M1693" t="s">
        <v>18958</v>
      </c>
      <c r="N1693" t="s">
        <v>19330</v>
      </c>
      <c r="O1693" t="s">
        <v>18997</v>
      </c>
      <c r="P1693" t="s">
        <v>26564</v>
      </c>
      <c r="Q1693" t="s">
        <v>26570</v>
      </c>
      <c r="R1693" t="s">
        <v>26578</v>
      </c>
      <c r="S1693" t="s">
        <v>18959</v>
      </c>
      <c r="U1693" t="s">
        <v>26604</v>
      </c>
      <c r="V1693" t="s">
        <v>26610</v>
      </c>
      <c r="W1693" t="s">
        <v>579</v>
      </c>
      <c r="X1693">
        <v>0</v>
      </c>
      <c r="Y1693" t="s">
        <v>26653</v>
      </c>
      <c r="Z1693" t="s">
        <v>26530</v>
      </c>
      <c r="AA1693" t="s">
        <v>26683</v>
      </c>
      <c r="AB1693" t="s">
        <v>28213</v>
      </c>
      <c r="AC1693" t="s">
        <v>19330</v>
      </c>
      <c r="AD1693" t="s">
        <v>34738</v>
      </c>
      <c r="AE1693">
        <v>68</v>
      </c>
      <c r="AF1693" t="s">
        <v>45547</v>
      </c>
      <c r="AG1693" t="s">
        <v>19330</v>
      </c>
      <c r="AH1693">
        <v>1</v>
      </c>
      <c r="AI1693">
        <v>1</v>
      </c>
      <c r="AJ1693">
        <v>0</v>
      </c>
      <c r="AK1693">
        <v>88.03</v>
      </c>
      <c r="AN1693" t="s">
        <v>45594</v>
      </c>
      <c r="AO1693">
        <v>10687</v>
      </c>
      <c r="AU1693">
        <v>1.4</v>
      </c>
      <c r="AV1693" t="s">
        <v>571</v>
      </c>
      <c r="AW1693" t="s">
        <v>141</v>
      </c>
    </row>
    <row r="1694" spans="1:49">
      <c r="A1694" s="1">
        <f>HYPERLINK("https://lsnyc.legalserver.org/matter/dynamic-profile/view/1877076","18-1877076")</f>
        <v>0</v>
      </c>
      <c r="B1694" t="s">
        <v>141</v>
      </c>
      <c r="C1694" t="s">
        <v>341</v>
      </c>
      <c r="D1694" t="s">
        <v>579</v>
      </c>
      <c r="E1694" t="s">
        <v>571</v>
      </c>
      <c r="F1694" t="s">
        <v>1912</v>
      </c>
      <c r="G1694" t="s">
        <v>6079</v>
      </c>
      <c r="H1694" t="s">
        <v>11037</v>
      </c>
      <c r="I1694" t="s">
        <v>17330</v>
      </c>
      <c r="J1694" t="s">
        <v>18900</v>
      </c>
      <c r="K1694">
        <v>11354</v>
      </c>
      <c r="L1694" t="s">
        <v>18958</v>
      </c>
      <c r="M1694" t="s">
        <v>18958</v>
      </c>
      <c r="N1694" t="s">
        <v>19330</v>
      </c>
      <c r="O1694" t="s">
        <v>18997</v>
      </c>
      <c r="P1694" t="s">
        <v>26564</v>
      </c>
      <c r="Q1694" t="s">
        <v>26570</v>
      </c>
      <c r="R1694" t="s">
        <v>26578</v>
      </c>
      <c r="S1694" t="s">
        <v>18959</v>
      </c>
      <c r="U1694" t="s">
        <v>26604</v>
      </c>
      <c r="V1694" t="s">
        <v>26610</v>
      </c>
      <c r="W1694" t="s">
        <v>579</v>
      </c>
      <c r="X1694">
        <v>2100</v>
      </c>
      <c r="Y1694" t="s">
        <v>26653</v>
      </c>
      <c r="Z1694" t="s">
        <v>26670</v>
      </c>
      <c r="AA1694" t="s">
        <v>26683</v>
      </c>
      <c r="AB1694" t="s">
        <v>28214</v>
      </c>
      <c r="AC1694" t="s">
        <v>19330</v>
      </c>
      <c r="AD1694" t="s">
        <v>38262</v>
      </c>
      <c r="AE1694">
        <v>120</v>
      </c>
      <c r="AF1694" t="s">
        <v>45547</v>
      </c>
      <c r="AG1694" t="s">
        <v>19330</v>
      </c>
      <c r="AH1694">
        <v>1</v>
      </c>
      <c r="AI1694">
        <v>2</v>
      </c>
      <c r="AJ1694">
        <v>0</v>
      </c>
      <c r="AK1694">
        <v>501.22</v>
      </c>
      <c r="AN1694" t="s">
        <v>45583</v>
      </c>
      <c r="AO1694">
        <v>82500</v>
      </c>
      <c r="AU1694">
        <v>1.4</v>
      </c>
      <c r="AV1694" t="s">
        <v>571</v>
      </c>
      <c r="AW1694" t="s">
        <v>141</v>
      </c>
    </row>
    <row r="1695" spans="1:49">
      <c r="A1695" s="1">
        <f>HYPERLINK("https://lsnyc.legalserver.org/matter/dynamic-profile/view/1877029","18-1877029")</f>
        <v>0</v>
      </c>
      <c r="B1695" t="s">
        <v>214</v>
      </c>
      <c r="C1695" t="s">
        <v>341</v>
      </c>
      <c r="D1695" t="s">
        <v>579</v>
      </c>
      <c r="E1695" t="s">
        <v>412</v>
      </c>
      <c r="F1695" t="s">
        <v>1497</v>
      </c>
      <c r="G1695" t="s">
        <v>5664</v>
      </c>
      <c r="H1695" t="s">
        <v>10420</v>
      </c>
      <c r="I1695" t="s">
        <v>17545</v>
      </c>
      <c r="J1695" t="s">
        <v>18898</v>
      </c>
      <c r="K1695">
        <v>11691</v>
      </c>
      <c r="L1695" t="s">
        <v>18958</v>
      </c>
      <c r="M1695" t="s">
        <v>18958</v>
      </c>
      <c r="N1695" t="s">
        <v>20231</v>
      </c>
      <c r="O1695" t="s">
        <v>26523</v>
      </c>
      <c r="P1695" t="s">
        <v>26560</v>
      </c>
      <c r="Q1695" t="s">
        <v>26568</v>
      </c>
      <c r="R1695" t="s">
        <v>26578</v>
      </c>
      <c r="S1695" t="s">
        <v>18959</v>
      </c>
      <c r="U1695" t="s">
        <v>26604</v>
      </c>
      <c r="V1695" t="s">
        <v>26610</v>
      </c>
      <c r="W1695" t="s">
        <v>579</v>
      </c>
      <c r="X1695">
        <v>1301.06</v>
      </c>
      <c r="Y1695" t="s">
        <v>26653</v>
      </c>
      <c r="Z1695" t="s">
        <v>26664</v>
      </c>
      <c r="AA1695" t="s">
        <v>26678</v>
      </c>
      <c r="AB1695" t="s">
        <v>27535</v>
      </c>
      <c r="AC1695" t="s">
        <v>34772</v>
      </c>
      <c r="AD1695" t="s">
        <v>37594</v>
      </c>
      <c r="AE1695">
        <v>917</v>
      </c>
      <c r="AF1695" t="s">
        <v>45541</v>
      </c>
      <c r="AG1695" t="s">
        <v>45560</v>
      </c>
      <c r="AH1695">
        <v>1</v>
      </c>
      <c r="AI1695">
        <v>1</v>
      </c>
      <c r="AJ1695">
        <v>0</v>
      </c>
      <c r="AK1695">
        <v>76.41</v>
      </c>
      <c r="AN1695" t="s">
        <v>7439</v>
      </c>
      <c r="AO1695">
        <v>9276</v>
      </c>
      <c r="AQ1695" t="s">
        <v>46361</v>
      </c>
      <c r="AR1695" t="s">
        <v>46380</v>
      </c>
      <c r="AS1695" t="s">
        <v>46499</v>
      </c>
      <c r="AT1695" t="s">
        <v>46711</v>
      </c>
      <c r="AU1695">
        <v>11.63</v>
      </c>
      <c r="AV1695" t="s">
        <v>412</v>
      </c>
      <c r="AW1695" t="s">
        <v>208</v>
      </c>
    </row>
    <row r="1696" spans="1:49">
      <c r="A1696" s="1">
        <f>HYPERLINK("https://lsnyc.legalserver.org/matter/dynamic-profile/view/1876583","18-1876583")</f>
        <v>0</v>
      </c>
      <c r="B1696" t="s">
        <v>103</v>
      </c>
      <c r="C1696" t="s">
        <v>341</v>
      </c>
      <c r="D1696" t="s">
        <v>579</v>
      </c>
      <c r="E1696" t="s">
        <v>703</v>
      </c>
      <c r="F1696" t="s">
        <v>947</v>
      </c>
      <c r="G1696" t="s">
        <v>6080</v>
      </c>
      <c r="H1696" t="s">
        <v>11038</v>
      </c>
      <c r="I1696" t="s">
        <v>17355</v>
      </c>
      <c r="J1696" t="s">
        <v>18902</v>
      </c>
      <c r="K1696">
        <v>10301</v>
      </c>
      <c r="L1696" t="s">
        <v>18958</v>
      </c>
      <c r="M1696" t="s">
        <v>18958</v>
      </c>
      <c r="N1696" t="s">
        <v>19037</v>
      </c>
      <c r="O1696" t="s">
        <v>18997</v>
      </c>
      <c r="P1696" t="s">
        <v>26565</v>
      </c>
      <c r="Q1696" t="s">
        <v>26571</v>
      </c>
      <c r="R1696" t="s">
        <v>26587</v>
      </c>
      <c r="S1696" t="s">
        <v>18959</v>
      </c>
      <c r="U1696" t="s">
        <v>26605</v>
      </c>
      <c r="V1696" t="s">
        <v>26610</v>
      </c>
      <c r="W1696" t="s">
        <v>579</v>
      </c>
      <c r="X1696">
        <v>606.6</v>
      </c>
      <c r="Y1696" t="s">
        <v>26654</v>
      </c>
      <c r="Z1696" t="s">
        <v>26659</v>
      </c>
      <c r="AA1696" t="s">
        <v>26683</v>
      </c>
      <c r="AB1696" t="s">
        <v>28215</v>
      </c>
      <c r="AD1696" t="s">
        <v>38263</v>
      </c>
      <c r="AE1696">
        <v>57</v>
      </c>
      <c r="AF1696" t="s">
        <v>45549</v>
      </c>
      <c r="AG1696" t="s">
        <v>19330</v>
      </c>
      <c r="AH1696">
        <v>18</v>
      </c>
      <c r="AI1696">
        <v>2</v>
      </c>
      <c r="AJ1696">
        <v>0</v>
      </c>
      <c r="AK1696">
        <v>65.98999999999999</v>
      </c>
      <c r="AN1696" t="s">
        <v>7439</v>
      </c>
      <c r="AO1696">
        <v>10861.6</v>
      </c>
      <c r="AU1696">
        <v>1.8</v>
      </c>
      <c r="AV1696" t="s">
        <v>703</v>
      </c>
      <c r="AW1696" t="s">
        <v>190</v>
      </c>
    </row>
    <row r="1697" spans="1:50">
      <c r="A1697" s="1">
        <f>HYPERLINK("https://lsnyc.legalserver.org/matter/dynamic-profile/view/1877030","18-1877030")</f>
        <v>0</v>
      </c>
      <c r="B1697" t="s">
        <v>86</v>
      </c>
      <c r="C1697" t="s">
        <v>341</v>
      </c>
      <c r="D1697" t="s">
        <v>579</v>
      </c>
      <c r="E1697" t="s">
        <v>688</v>
      </c>
      <c r="F1697" t="s">
        <v>1913</v>
      </c>
      <c r="G1697" t="s">
        <v>5266</v>
      </c>
      <c r="H1697" t="s">
        <v>11039</v>
      </c>
      <c r="I1697" t="s">
        <v>17705</v>
      </c>
      <c r="J1697" t="s">
        <v>18893</v>
      </c>
      <c r="K1697">
        <v>10025</v>
      </c>
      <c r="L1697" t="s">
        <v>18958</v>
      </c>
      <c r="M1697" t="s">
        <v>18958</v>
      </c>
      <c r="O1697" t="s">
        <v>18997</v>
      </c>
      <c r="P1697" t="s">
        <v>26564</v>
      </c>
      <c r="Q1697" t="s">
        <v>26570</v>
      </c>
      <c r="R1697" t="s">
        <v>26578</v>
      </c>
      <c r="S1697" t="s">
        <v>18959</v>
      </c>
      <c r="U1697" t="s">
        <v>26604</v>
      </c>
      <c r="W1697" t="s">
        <v>579</v>
      </c>
      <c r="X1697">
        <v>1155.17</v>
      </c>
      <c r="Y1697" t="s">
        <v>26651</v>
      </c>
      <c r="Z1697" t="s">
        <v>26661</v>
      </c>
      <c r="AA1697" t="s">
        <v>26683</v>
      </c>
      <c r="AB1697" t="s">
        <v>28216</v>
      </c>
      <c r="AD1697" t="s">
        <v>38264</v>
      </c>
      <c r="AE1697">
        <v>120</v>
      </c>
      <c r="AG1697" t="s">
        <v>19330</v>
      </c>
      <c r="AH1697">
        <v>8</v>
      </c>
      <c r="AI1697">
        <v>1</v>
      </c>
      <c r="AJ1697">
        <v>0</v>
      </c>
      <c r="AK1697">
        <v>149.92</v>
      </c>
      <c r="AN1697" t="s">
        <v>7439</v>
      </c>
      <c r="AO1697">
        <v>18200</v>
      </c>
      <c r="AU1697">
        <v>0.4</v>
      </c>
      <c r="AV1697" t="s">
        <v>586</v>
      </c>
      <c r="AW1697" t="s">
        <v>46835</v>
      </c>
    </row>
    <row r="1698" spans="1:50">
      <c r="A1698" s="1">
        <f>HYPERLINK("https://lsnyc.legalserver.org/matter/dynamic-profile/view/1877019","18-1877019")</f>
        <v>0</v>
      </c>
      <c r="B1698" t="s">
        <v>191</v>
      </c>
      <c r="C1698" t="s">
        <v>340</v>
      </c>
      <c r="D1698" t="s">
        <v>579</v>
      </c>
      <c r="F1698" t="s">
        <v>1062</v>
      </c>
      <c r="G1698" t="s">
        <v>6081</v>
      </c>
      <c r="H1698" t="s">
        <v>11040</v>
      </c>
      <c r="I1698" t="s">
        <v>17283</v>
      </c>
      <c r="J1698" t="s">
        <v>18893</v>
      </c>
      <c r="K1698">
        <v>10030</v>
      </c>
      <c r="L1698" t="s">
        <v>18958</v>
      </c>
      <c r="M1698" t="s">
        <v>18960</v>
      </c>
      <c r="N1698" t="s">
        <v>20232</v>
      </c>
      <c r="O1698" t="s">
        <v>26523</v>
      </c>
      <c r="P1698" t="s">
        <v>26565</v>
      </c>
      <c r="R1698" t="s">
        <v>26578</v>
      </c>
      <c r="S1698" t="s">
        <v>18959</v>
      </c>
      <c r="U1698" t="s">
        <v>26604</v>
      </c>
      <c r="W1698" t="s">
        <v>579</v>
      </c>
      <c r="X1698">
        <v>1950</v>
      </c>
      <c r="Y1698" t="s">
        <v>26651</v>
      </c>
      <c r="Z1698" t="s">
        <v>26661</v>
      </c>
      <c r="AB1698" t="s">
        <v>488</v>
      </c>
      <c r="AD1698" t="s">
        <v>38265</v>
      </c>
      <c r="AE1698">
        <v>30</v>
      </c>
      <c r="AF1698" t="s">
        <v>45541</v>
      </c>
      <c r="AG1698" t="s">
        <v>19330</v>
      </c>
      <c r="AH1698">
        <v>13</v>
      </c>
      <c r="AI1698">
        <v>2</v>
      </c>
      <c r="AJ1698">
        <v>4</v>
      </c>
      <c r="AK1698">
        <v>14.95</v>
      </c>
      <c r="AN1698" t="s">
        <v>7439</v>
      </c>
      <c r="AO1698">
        <v>5044</v>
      </c>
      <c r="AU1698">
        <v>10.65</v>
      </c>
      <c r="AV1698" t="s">
        <v>451</v>
      </c>
      <c r="AW1698" t="s">
        <v>46835</v>
      </c>
    </row>
    <row r="1699" spans="1:50">
      <c r="A1699" s="1">
        <f>HYPERLINK("https://lsnyc.legalserver.org/matter/dynamic-profile/view/1877119","18-1877119")</f>
        <v>0</v>
      </c>
      <c r="B1699" t="s">
        <v>120</v>
      </c>
      <c r="C1699" t="s">
        <v>340</v>
      </c>
      <c r="D1699" t="s">
        <v>579</v>
      </c>
      <c r="F1699" t="s">
        <v>1914</v>
      </c>
      <c r="G1699" t="s">
        <v>1627</v>
      </c>
      <c r="H1699" t="s">
        <v>11041</v>
      </c>
      <c r="I1699" t="s">
        <v>17352</v>
      </c>
      <c r="J1699" t="s">
        <v>18892</v>
      </c>
      <c r="K1699">
        <v>10452</v>
      </c>
      <c r="L1699" t="s">
        <v>18958</v>
      </c>
      <c r="M1699" t="s">
        <v>18958</v>
      </c>
      <c r="N1699" t="s">
        <v>20233</v>
      </c>
      <c r="O1699" t="s">
        <v>26523</v>
      </c>
      <c r="P1699" t="s">
        <v>26560</v>
      </c>
      <c r="R1699" t="s">
        <v>26577</v>
      </c>
      <c r="S1699" t="s">
        <v>18959</v>
      </c>
      <c r="U1699" t="s">
        <v>26604</v>
      </c>
      <c r="V1699" t="s">
        <v>26611</v>
      </c>
      <c r="W1699" t="s">
        <v>579</v>
      </c>
      <c r="X1699">
        <v>945.88</v>
      </c>
      <c r="Y1699" t="s">
        <v>26650</v>
      </c>
      <c r="Z1699" t="s">
        <v>26663</v>
      </c>
      <c r="AB1699" t="s">
        <v>28217</v>
      </c>
      <c r="AC1699" t="s">
        <v>35008</v>
      </c>
      <c r="AD1699" t="s">
        <v>38266</v>
      </c>
      <c r="AE1699">
        <v>60</v>
      </c>
      <c r="AF1699" t="s">
        <v>45541</v>
      </c>
      <c r="AG1699" t="s">
        <v>19330</v>
      </c>
      <c r="AH1699">
        <v>5</v>
      </c>
      <c r="AI1699">
        <v>2</v>
      </c>
      <c r="AJ1699">
        <v>1</v>
      </c>
      <c r="AK1699">
        <v>161</v>
      </c>
      <c r="AN1699" t="s">
        <v>7439</v>
      </c>
      <c r="AO1699">
        <v>33456</v>
      </c>
      <c r="AU1699">
        <v>29.3</v>
      </c>
      <c r="AV1699" t="s">
        <v>821</v>
      </c>
      <c r="AW1699" t="s">
        <v>267</v>
      </c>
    </row>
    <row r="1700" spans="1:50">
      <c r="A1700" s="1">
        <f>HYPERLINK("https://lsnyc.legalserver.org/matter/dynamic-profile/view/1877020","18-1877020")</f>
        <v>0</v>
      </c>
      <c r="B1700" t="s">
        <v>59</v>
      </c>
      <c r="C1700" t="s">
        <v>340</v>
      </c>
      <c r="D1700" t="s">
        <v>579</v>
      </c>
      <c r="F1700" t="s">
        <v>994</v>
      </c>
      <c r="G1700" t="s">
        <v>6082</v>
      </c>
      <c r="H1700" t="s">
        <v>11042</v>
      </c>
      <c r="I1700" t="s">
        <v>17347</v>
      </c>
      <c r="J1700" t="s">
        <v>18893</v>
      </c>
      <c r="K1700">
        <v>10011</v>
      </c>
      <c r="L1700" t="s">
        <v>18958</v>
      </c>
      <c r="M1700" t="s">
        <v>18958</v>
      </c>
      <c r="N1700" t="s">
        <v>20234</v>
      </c>
      <c r="O1700" t="s">
        <v>26523</v>
      </c>
      <c r="P1700" t="s">
        <v>26565</v>
      </c>
      <c r="R1700" t="s">
        <v>26578</v>
      </c>
      <c r="S1700" t="s">
        <v>18959</v>
      </c>
      <c r="U1700" t="s">
        <v>26604</v>
      </c>
      <c r="W1700" t="s">
        <v>579</v>
      </c>
      <c r="X1700">
        <v>1608</v>
      </c>
      <c r="Y1700" t="s">
        <v>26651</v>
      </c>
      <c r="Z1700" t="s">
        <v>26661</v>
      </c>
      <c r="AB1700" t="s">
        <v>28218</v>
      </c>
      <c r="AD1700" t="s">
        <v>38267</v>
      </c>
      <c r="AE1700">
        <v>0</v>
      </c>
      <c r="AF1700" t="s">
        <v>45541</v>
      </c>
      <c r="AG1700" t="s">
        <v>19330</v>
      </c>
      <c r="AH1700">
        <v>22</v>
      </c>
      <c r="AI1700">
        <v>1</v>
      </c>
      <c r="AJ1700">
        <v>0</v>
      </c>
      <c r="AK1700">
        <v>37.56</v>
      </c>
      <c r="AN1700" t="s">
        <v>7439</v>
      </c>
      <c r="AO1700">
        <v>4560</v>
      </c>
      <c r="AU1700">
        <v>6.3</v>
      </c>
      <c r="AV1700" t="s">
        <v>698</v>
      </c>
      <c r="AW1700" t="s">
        <v>314</v>
      </c>
    </row>
    <row r="1701" spans="1:50">
      <c r="A1701" s="1">
        <f>HYPERLINK("https://lsnyc.legalserver.org/matter/dynamic-profile/view/1877054","18-1877054")</f>
        <v>0</v>
      </c>
      <c r="B1701" t="s">
        <v>141</v>
      </c>
      <c r="C1701" t="s">
        <v>341</v>
      </c>
      <c r="D1701" t="s">
        <v>576</v>
      </c>
      <c r="E1701" t="s">
        <v>588</v>
      </c>
      <c r="F1701" t="s">
        <v>1915</v>
      </c>
      <c r="G1701" t="s">
        <v>6083</v>
      </c>
      <c r="H1701" t="s">
        <v>11043</v>
      </c>
      <c r="I1701" t="s">
        <v>17272</v>
      </c>
      <c r="J1701" t="s">
        <v>18900</v>
      </c>
      <c r="K1701">
        <v>11355</v>
      </c>
      <c r="L1701" t="s">
        <v>18958</v>
      </c>
      <c r="M1701" t="s">
        <v>18958</v>
      </c>
      <c r="N1701" t="s">
        <v>20235</v>
      </c>
      <c r="O1701" t="s">
        <v>26526</v>
      </c>
      <c r="P1701" t="s">
        <v>26564</v>
      </c>
      <c r="Q1701" t="s">
        <v>26570</v>
      </c>
      <c r="R1701" t="s">
        <v>26578</v>
      </c>
      <c r="S1701" t="s">
        <v>18959</v>
      </c>
      <c r="U1701" t="s">
        <v>26604</v>
      </c>
      <c r="V1701" t="s">
        <v>26610</v>
      </c>
      <c r="W1701" t="s">
        <v>579</v>
      </c>
      <c r="X1701">
        <v>450</v>
      </c>
      <c r="Y1701" t="s">
        <v>26653</v>
      </c>
      <c r="Z1701" t="s">
        <v>26670</v>
      </c>
      <c r="AA1701" t="s">
        <v>26683</v>
      </c>
      <c r="AB1701" t="s">
        <v>28219</v>
      </c>
      <c r="AD1701" t="s">
        <v>38268</v>
      </c>
      <c r="AE1701">
        <v>7</v>
      </c>
      <c r="AF1701" t="s">
        <v>45547</v>
      </c>
      <c r="AG1701" t="s">
        <v>19330</v>
      </c>
      <c r="AH1701">
        <v>4</v>
      </c>
      <c r="AI1701">
        <v>1</v>
      </c>
      <c r="AJ1701">
        <v>0</v>
      </c>
      <c r="AK1701">
        <v>0</v>
      </c>
      <c r="AN1701" t="s">
        <v>45594</v>
      </c>
      <c r="AO1701">
        <v>0</v>
      </c>
      <c r="AU1701">
        <v>1.6</v>
      </c>
      <c r="AV1701" t="s">
        <v>588</v>
      </c>
      <c r="AW1701" t="s">
        <v>141</v>
      </c>
    </row>
    <row r="1702" spans="1:50">
      <c r="A1702" s="1">
        <f>HYPERLINK("https://lsnyc.legalserver.org/matter/dynamic-profile/view/1877083","18-1877083")</f>
        <v>0</v>
      </c>
      <c r="B1702" t="s">
        <v>141</v>
      </c>
      <c r="C1702" t="s">
        <v>341</v>
      </c>
      <c r="D1702" t="s">
        <v>576</v>
      </c>
      <c r="E1702" t="s">
        <v>571</v>
      </c>
      <c r="F1702" t="s">
        <v>1916</v>
      </c>
      <c r="G1702" t="s">
        <v>6084</v>
      </c>
      <c r="H1702" t="s">
        <v>11044</v>
      </c>
      <c r="I1702" t="s">
        <v>17298</v>
      </c>
      <c r="J1702" t="s">
        <v>18900</v>
      </c>
      <c r="K1702">
        <v>11355</v>
      </c>
      <c r="L1702" t="s">
        <v>18958</v>
      </c>
      <c r="M1702" t="s">
        <v>18958</v>
      </c>
      <c r="N1702" t="s">
        <v>19330</v>
      </c>
      <c r="O1702" t="s">
        <v>18997</v>
      </c>
      <c r="P1702" t="s">
        <v>26564</v>
      </c>
      <c r="Q1702" t="s">
        <v>26570</v>
      </c>
      <c r="R1702" t="s">
        <v>26578</v>
      </c>
      <c r="S1702" t="s">
        <v>18959</v>
      </c>
      <c r="U1702" t="s">
        <v>26604</v>
      </c>
      <c r="V1702" t="s">
        <v>26610</v>
      </c>
      <c r="W1702" t="s">
        <v>579</v>
      </c>
      <c r="X1702">
        <v>665</v>
      </c>
      <c r="Y1702" t="s">
        <v>26653</v>
      </c>
      <c r="Z1702" t="s">
        <v>26670</v>
      </c>
      <c r="AA1702" t="s">
        <v>26683</v>
      </c>
      <c r="AB1702" t="s">
        <v>28220</v>
      </c>
      <c r="AC1702" t="s">
        <v>19330</v>
      </c>
      <c r="AD1702" t="s">
        <v>38269</v>
      </c>
      <c r="AE1702">
        <v>79</v>
      </c>
      <c r="AF1702" t="s">
        <v>45553</v>
      </c>
      <c r="AG1702" t="s">
        <v>19330</v>
      </c>
      <c r="AH1702">
        <v>8</v>
      </c>
      <c r="AI1702">
        <v>2</v>
      </c>
      <c r="AJ1702">
        <v>0</v>
      </c>
      <c r="AK1702">
        <v>60.51</v>
      </c>
      <c r="AN1702" t="s">
        <v>45594</v>
      </c>
      <c r="AO1702">
        <v>9960</v>
      </c>
      <c r="AU1702">
        <v>1.4</v>
      </c>
      <c r="AV1702" t="s">
        <v>571</v>
      </c>
      <c r="AW1702" t="s">
        <v>141</v>
      </c>
    </row>
    <row r="1703" spans="1:50">
      <c r="A1703" s="1">
        <f>HYPERLINK("https://lsnyc.legalserver.org/matter/dynamic-profile/view/1877272","18-1877272")</f>
        <v>0</v>
      </c>
      <c r="B1703" t="s">
        <v>73</v>
      </c>
      <c r="C1703" t="s">
        <v>341</v>
      </c>
      <c r="D1703" t="s">
        <v>576</v>
      </c>
      <c r="E1703" t="s">
        <v>827</v>
      </c>
      <c r="F1703" t="s">
        <v>1917</v>
      </c>
      <c r="G1703" t="s">
        <v>6085</v>
      </c>
      <c r="H1703" t="s">
        <v>10578</v>
      </c>
      <c r="I1703" t="s">
        <v>17706</v>
      </c>
      <c r="J1703" t="s">
        <v>18894</v>
      </c>
      <c r="K1703">
        <v>11221</v>
      </c>
      <c r="L1703" t="s">
        <v>18958</v>
      </c>
      <c r="M1703" t="s">
        <v>18958</v>
      </c>
      <c r="O1703" t="s">
        <v>18997</v>
      </c>
      <c r="P1703" t="s">
        <v>26562</v>
      </c>
      <c r="Q1703" t="s">
        <v>26571</v>
      </c>
      <c r="R1703" t="s">
        <v>26578</v>
      </c>
      <c r="U1703" t="s">
        <v>26604</v>
      </c>
      <c r="W1703" t="s">
        <v>579</v>
      </c>
      <c r="X1703">
        <v>800</v>
      </c>
      <c r="Y1703" t="s">
        <v>26652</v>
      </c>
      <c r="Z1703" t="s">
        <v>26660</v>
      </c>
      <c r="AA1703" t="s">
        <v>26682</v>
      </c>
      <c r="AB1703" t="s">
        <v>28221</v>
      </c>
      <c r="AE1703">
        <v>54</v>
      </c>
      <c r="AF1703" t="s">
        <v>45541</v>
      </c>
      <c r="AG1703" t="s">
        <v>26530</v>
      </c>
      <c r="AH1703">
        <v>6</v>
      </c>
      <c r="AI1703">
        <v>1</v>
      </c>
      <c r="AJ1703">
        <v>0</v>
      </c>
      <c r="AK1703">
        <v>72.65000000000001</v>
      </c>
      <c r="AN1703" t="s">
        <v>7439</v>
      </c>
      <c r="AO1703">
        <v>8820</v>
      </c>
      <c r="AP1703" t="s">
        <v>45726</v>
      </c>
      <c r="AU1703">
        <v>0.1</v>
      </c>
      <c r="AV1703" t="s">
        <v>827</v>
      </c>
      <c r="AW1703" t="s">
        <v>279</v>
      </c>
      <c r="AX1703" t="s">
        <v>46897</v>
      </c>
    </row>
    <row r="1704" spans="1:50">
      <c r="A1704" s="1">
        <f>HYPERLINK("https://lsnyc.legalserver.org/matter/dynamic-profile/view/0794854","15-0794854")</f>
        <v>0</v>
      </c>
      <c r="B1704" t="s">
        <v>105</v>
      </c>
      <c r="C1704" t="s">
        <v>340</v>
      </c>
      <c r="D1704" t="s">
        <v>580</v>
      </c>
      <c r="F1704" t="s">
        <v>1181</v>
      </c>
      <c r="G1704" t="s">
        <v>6086</v>
      </c>
      <c r="H1704" t="s">
        <v>11045</v>
      </c>
      <c r="I1704" t="s">
        <v>17299</v>
      </c>
      <c r="J1704" t="s">
        <v>18909</v>
      </c>
      <c r="K1704">
        <v>11101</v>
      </c>
      <c r="L1704" t="s">
        <v>18958</v>
      </c>
      <c r="M1704" t="s">
        <v>18958</v>
      </c>
      <c r="N1704" t="s">
        <v>20236</v>
      </c>
      <c r="O1704" t="s">
        <v>26525</v>
      </c>
      <c r="P1704" t="s">
        <v>26561</v>
      </c>
      <c r="R1704" t="s">
        <v>26593</v>
      </c>
      <c r="S1704" t="s">
        <v>18959</v>
      </c>
      <c r="U1704" t="s">
        <v>26606</v>
      </c>
      <c r="V1704" t="s">
        <v>26614</v>
      </c>
      <c r="W1704" t="s">
        <v>576</v>
      </c>
      <c r="X1704">
        <v>362</v>
      </c>
      <c r="Y1704" t="s">
        <v>26653</v>
      </c>
      <c r="Z1704" t="s">
        <v>26661</v>
      </c>
      <c r="AB1704" t="s">
        <v>28222</v>
      </c>
      <c r="AC1704" t="s">
        <v>35009</v>
      </c>
      <c r="AD1704" t="s">
        <v>38270</v>
      </c>
      <c r="AE1704">
        <v>100</v>
      </c>
      <c r="AF1704" t="s">
        <v>45542</v>
      </c>
      <c r="AG1704" t="s">
        <v>19330</v>
      </c>
      <c r="AH1704">
        <v>5</v>
      </c>
      <c r="AI1704">
        <v>2</v>
      </c>
      <c r="AJ1704">
        <v>0</v>
      </c>
      <c r="AK1704">
        <v>60.87</v>
      </c>
      <c r="AN1704" t="s">
        <v>7439</v>
      </c>
      <c r="AO1704">
        <v>9696</v>
      </c>
      <c r="AU1704">
        <v>233.8</v>
      </c>
      <c r="AV1704" t="s">
        <v>693</v>
      </c>
      <c r="AW1704" t="s">
        <v>105</v>
      </c>
    </row>
    <row r="1705" spans="1:50">
      <c r="A1705" s="1">
        <f>HYPERLINK("https://lsnyc.legalserver.org/matter/dynamic-profile/view/1837353","17-1837353")</f>
        <v>0</v>
      </c>
      <c r="B1705" t="s">
        <v>167</v>
      </c>
      <c r="C1705" t="s">
        <v>341</v>
      </c>
      <c r="D1705" t="s">
        <v>581</v>
      </c>
      <c r="E1705" t="s">
        <v>658</v>
      </c>
      <c r="F1705" t="s">
        <v>1181</v>
      </c>
      <c r="G1705" t="s">
        <v>6086</v>
      </c>
      <c r="H1705" t="s">
        <v>11045</v>
      </c>
      <c r="I1705" t="s">
        <v>17299</v>
      </c>
      <c r="J1705" t="s">
        <v>18909</v>
      </c>
      <c r="K1705">
        <v>11101</v>
      </c>
      <c r="L1705" t="s">
        <v>18958</v>
      </c>
      <c r="M1705" t="s">
        <v>18958</v>
      </c>
      <c r="N1705" t="s">
        <v>20237</v>
      </c>
      <c r="O1705" t="s">
        <v>26523</v>
      </c>
      <c r="P1705" t="s">
        <v>26560</v>
      </c>
      <c r="Q1705" t="s">
        <v>26568</v>
      </c>
      <c r="R1705" t="s">
        <v>26593</v>
      </c>
      <c r="S1705" t="s">
        <v>18959</v>
      </c>
      <c r="U1705" t="s">
        <v>26605</v>
      </c>
      <c r="V1705" t="s">
        <v>26611</v>
      </c>
      <c r="W1705" t="s">
        <v>576</v>
      </c>
      <c r="X1705">
        <v>329</v>
      </c>
      <c r="Y1705" t="s">
        <v>26653</v>
      </c>
      <c r="Z1705" t="s">
        <v>26661</v>
      </c>
      <c r="AA1705" t="s">
        <v>26680</v>
      </c>
      <c r="AB1705" t="s">
        <v>28222</v>
      </c>
      <c r="AC1705" t="s">
        <v>35009</v>
      </c>
      <c r="AD1705" t="s">
        <v>38270</v>
      </c>
      <c r="AE1705">
        <v>100</v>
      </c>
      <c r="AF1705" t="s">
        <v>45542</v>
      </c>
      <c r="AG1705" t="s">
        <v>19330</v>
      </c>
      <c r="AH1705">
        <v>6</v>
      </c>
      <c r="AI1705">
        <v>2</v>
      </c>
      <c r="AJ1705">
        <v>0</v>
      </c>
      <c r="AK1705">
        <v>54.9</v>
      </c>
      <c r="AN1705" t="s">
        <v>7439</v>
      </c>
      <c r="AO1705">
        <v>8916</v>
      </c>
      <c r="AU1705">
        <v>69.5</v>
      </c>
      <c r="AV1705" t="s">
        <v>576</v>
      </c>
      <c r="AW1705" t="s">
        <v>167</v>
      </c>
    </row>
    <row r="1706" spans="1:50">
      <c r="A1706" s="1">
        <f>HYPERLINK("https://lsnyc.legalserver.org/matter/dynamic-profile/view/1869977","18-1869977")</f>
        <v>0</v>
      </c>
      <c r="B1706" t="s">
        <v>131</v>
      </c>
      <c r="C1706" t="s">
        <v>340</v>
      </c>
      <c r="D1706" t="s">
        <v>419</v>
      </c>
      <c r="F1706" t="s">
        <v>1918</v>
      </c>
      <c r="G1706" t="s">
        <v>1685</v>
      </c>
      <c r="H1706" t="s">
        <v>11046</v>
      </c>
      <c r="I1706" t="s">
        <v>17353</v>
      </c>
      <c r="J1706" t="s">
        <v>18902</v>
      </c>
      <c r="K1706">
        <v>10304</v>
      </c>
      <c r="L1706" t="s">
        <v>18958</v>
      </c>
      <c r="M1706" t="s">
        <v>18958</v>
      </c>
      <c r="N1706" t="s">
        <v>20238</v>
      </c>
      <c r="O1706" t="s">
        <v>26523</v>
      </c>
      <c r="P1706" t="s">
        <v>26560</v>
      </c>
      <c r="R1706" t="s">
        <v>26587</v>
      </c>
      <c r="S1706" t="s">
        <v>18959</v>
      </c>
      <c r="U1706" t="s">
        <v>26605</v>
      </c>
      <c r="V1706" t="s">
        <v>26610</v>
      </c>
      <c r="W1706" t="s">
        <v>576</v>
      </c>
      <c r="X1706">
        <v>400</v>
      </c>
      <c r="Y1706" t="s">
        <v>26654</v>
      </c>
      <c r="Z1706" t="s">
        <v>26659</v>
      </c>
      <c r="AB1706" t="s">
        <v>28223</v>
      </c>
      <c r="AD1706" t="s">
        <v>38271</v>
      </c>
      <c r="AE1706">
        <v>693</v>
      </c>
      <c r="AF1706" t="s">
        <v>45549</v>
      </c>
      <c r="AG1706" t="s">
        <v>45556</v>
      </c>
      <c r="AH1706">
        <v>18</v>
      </c>
      <c r="AI1706">
        <v>2</v>
      </c>
      <c r="AJ1706">
        <v>2</v>
      </c>
      <c r="AK1706">
        <v>0</v>
      </c>
      <c r="AN1706" t="s">
        <v>7439</v>
      </c>
      <c r="AO1706">
        <v>0</v>
      </c>
      <c r="AU1706">
        <v>12.9</v>
      </c>
      <c r="AV1706" t="s">
        <v>819</v>
      </c>
      <c r="AW1706" t="s">
        <v>46855</v>
      </c>
    </row>
    <row r="1707" spans="1:50">
      <c r="A1707" s="1">
        <f>HYPERLINK("https://lsnyc.legalserver.org/matter/dynamic-profile/view/1871489","18-1871489")</f>
        <v>0</v>
      </c>
      <c r="B1707" t="s">
        <v>189</v>
      </c>
      <c r="C1707" t="s">
        <v>341</v>
      </c>
      <c r="D1707" t="s">
        <v>420</v>
      </c>
      <c r="E1707" t="s">
        <v>518</v>
      </c>
      <c r="F1707" t="s">
        <v>1919</v>
      </c>
      <c r="G1707" t="s">
        <v>2382</v>
      </c>
      <c r="H1707" t="s">
        <v>11047</v>
      </c>
      <c r="I1707" t="s">
        <v>17707</v>
      </c>
      <c r="J1707" t="s">
        <v>18892</v>
      </c>
      <c r="K1707">
        <v>10452</v>
      </c>
      <c r="L1707" t="s">
        <v>18958</v>
      </c>
      <c r="M1707" t="s">
        <v>18958</v>
      </c>
      <c r="N1707" t="s">
        <v>20239</v>
      </c>
      <c r="O1707" t="s">
        <v>26524</v>
      </c>
      <c r="P1707" t="s">
        <v>26565</v>
      </c>
      <c r="Q1707" t="s">
        <v>26571</v>
      </c>
      <c r="R1707" t="s">
        <v>26578</v>
      </c>
      <c r="U1707" t="s">
        <v>26604</v>
      </c>
      <c r="W1707" t="s">
        <v>576</v>
      </c>
      <c r="X1707">
        <v>900</v>
      </c>
      <c r="Y1707" t="s">
        <v>26650</v>
      </c>
      <c r="Z1707" t="s">
        <v>26656</v>
      </c>
      <c r="AA1707" t="s">
        <v>26682</v>
      </c>
      <c r="AB1707" t="s">
        <v>28224</v>
      </c>
      <c r="AC1707" t="s">
        <v>35010</v>
      </c>
      <c r="AD1707" t="s">
        <v>38272</v>
      </c>
      <c r="AE1707">
        <v>3</v>
      </c>
      <c r="AF1707" t="s">
        <v>45547</v>
      </c>
      <c r="AG1707" t="s">
        <v>19330</v>
      </c>
      <c r="AH1707">
        <v>60</v>
      </c>
      <c r="AI1707">
        <v>1</v>
      </c>
      <c r="AJ1707">
        <v>0</v>
      </c>
      <c r="AK1707">
        <v>115.75</v>
      </c>
      <c r="AN1707" t="s">
        <v>7439</v>
      </c>
      <c r="AO1707">
        <v>14052</v>
      </c>
      <c r="AP1707" t="s">
        <v>45697</v>
      </c>
      <c r="AU1707">
        <v>11.15</v>
      </c>
      <c r="AV1707" t="s">
        <v>518</v>
      </c>
      <c r="AW1707" t="s">
        <v>46849</v>
      </c>
    </row>
    <row r="1708" spans="1:50">
      <c r="A1708" s="1">
        <f>HYPERLINK("https://lsnyc.legalserver.org/matter/dynamic-profile/view/1877008","18-1877008")</f>
        <v>0</v>
      </c>
      <c r="B1708" t="s">
        <v>127</v>
      </c>
      <c r="C1708" t="s">
        <v>341</v>
      </c>
      <c r="D1708" t="s">
        <v>524</v>
      </c>
      <c r="E1708" t="s">
        <v>745</v>
      </c>
      <c r="F1708" t="s">
        <v>1272</v>
      </c>
      <c r="G1708" t="s">
        <v>5455</v>
      </c>
      <c r="H1708" t="s">
        <v>10101</v>
      </c>
      <c r="I1708" t="s">
        <v>17461</v>
      </c>
      <c r="J1708" t="s">
        <v>18894</v>
      </c>
      <c r="K1708">
        <v>11239</v>
      </c>
      <c r="L1708" t="s">
        <v>18958</v>
      </c>
      <c r="M1708" t="s">
        <v>18958</v>
      </c>
      <c r="N1708" t="s">
        <v>20240</v>
      </c>
      <c r="O1708" t="s">
        <v>26523</v>
      </c>
      <c r="P1708" t="s">
        <v>26560</v>
      </c>
      <c r="Q1708" t="s">
        <v>26568</v>
      </c>
      <c r="R1708" t="s">
        <v>26578</v>
      </c>
      <c r="S1708" t="s">
        <v>18959</v>
      </c>
      <c r="U1708" t="s">
        <v>26604</v>
      </c>
      <c r="W1708" t="s">
        <v>576</v>
      </c>
      <c r="X1708">
        <v>2800</v>
      </c>
      <c r="Y1708" t="s">
        <v>26652</v>
      </c>
      <c r="Z1708" t="s">
        <v>26659</v>
      </c>
      <c r="AA1708" t="s">
        <v>26677</v>
      </c>
      <c r="AB1708" t="s">
        <v>27191</v>
      </c>
      <c r="AC1708" t="s">
        <v>34650</v>
      </c>
      <c r="AD1708" t="s">
        <v>37268</v>
      </c>
      <c r="AE1708">
        <v>136</v>
      </c>
      <c r="AF1708" t="s">
        <v>45543</v>
      </c>
      <c r="AG1708" t="s">
        <v>45563</v>
      </c>
      <c r="AH1708">
        <v>15</v>
      </c>
      <c r="AI1708">
        <v>1</v>
      </c>
      <c r="AJ1708">
        <v>3</v>
      </c>
      <c r="AK1708">
        <v>51.01</v>
      </c>
      <c r="AN1708" t="s">
        <v>7439</v>
      </c>
      <c r="AO1708">
        <v>12804</v>
      </c>
      <c r="AP1708" t="s">
        <v>45624</v>
      </c>
      <c r="AU1708">
        <v>2</v>
      </c>
      <c r="AV1708" t="s">
        <v>586</v>
      </c>
      <c r="AW1708" t="s">
        <v>279</v>
      </c>
    </row>
    <row r="1709" spans="1:50">
      <c r="A1709" s="1">
        <f>HYPERLINK("https://lsnyc.legalserver.org/matter/dynamic-profile/view/1877068","18-1877068")</f>
        <v>0</v>
      </c>
      <c r="B1709" t="s">
        <v>79</v>
      </c>
      <c r="C1709" t="s">
        <v>341</v>
      </c>
      <c r="D1709" t="s">
        <v>579</v>
      </c>
      <c r="E1709" t="s">
        <v>637</v>
      </c>
      <c r="F1709" t="s">
        <v>1920</v>
      </c>
      <c r="G1709" t="s">
        <v>6087</v>
      </c>
      <c r="H1709" t="s">
        <v>11048</v>
      </c>
      <c r="J1709" t="s">
        <v>18893</v>
      </c>
      <c r="K1709">
        <v>10001</v>
      </c>
      <c r="L1709" t="s">
        <v>18958</v>
      </c>
      <c r="M1709" t="s">
        <v>18958</v>
      </c>
      <c r="N1709" t="s">
        <v>20241</v>
      </c>
      <c r="O1709" t="s">
        <v>26546</v>
      </c>
      <c r="P1709" t="s">
        <v>26560</v>
      </c>
      <c r="Q1709" t="s">
        <v>26568</v>
      </c>
      <c r="R1709" t="s">
        <v>26589</v>
      </c>
      <c r="S1709" t="s">
        <v>18959</v>
      </c>
      <c r="U1709" t="s">
        <v>26604</v>
      </c>
      <c r="W1709" t="s">
        <v>576</v>
      </c>
      <c r="X1709">
        <v>1200</v>
      </c>
      <c r="Y1709" t="s">
        <v>26651</v>
      </c>
      <c r="Z1709" t="s">
        <v>26671</v>
      </c>
      <c r="AA1709" t="s">
        <v>26683</v>
      </c>
      <c r="AB1709" t="s">
        <v>28225</v>
      </c>
      <c r="AD1709" t="s">
        <v>38273</v>
      </c>
      <c r="AE1709">
        <v>309</v>
      </c>
      <c r="AF1709" t="s">
        <v>45551</v>
      </c>
      <c r="AG1709" t="s">
        <v>26530</v>
      </c>
      <c r="AH1709">
        <v>4</v>
      </c>
      <c r="AI1709">
        <v>1</v>
      </c>
      <c r="AJ1709">
        <v>3</v>
      </c>
      <c r="AK1709">
        <v>54.02</v>
      </c>
      <c r="AL1709" t="s">
        <v>45567</v>
      </c>
      <c r="AM1709" t="s">
        <v>45577</v>
      </c>
      <c r="AN1709" t="s">
        <v>45582</v>
      </c>
      <c r="AO1709">
        <v>13560</v>
      </c>
      <c r="AU1709">
        <v>8.4</v>
      </c>
      <c r="AV1709" t="s">
        <v>428</v>
      </c>
      <c r="AW1709" t="s">
        <v>46869</v>
      </c>
    </row>
    <row r="1710" spans="1:50">
      <c r="A1710" s="1">
        <f>HYPERLINK("https://lsnyc.legalserver.org/matter/dynamic-profile/view/1877025","18-1877025")</f>
        <v>0</v>
      </c>
      <c r="B1710" t="s">
        <v>145</v>
      </c>
      <c r="C1710" t="s">
        <v>341</v>
      </c>
      <c r="D1710" t="s">
        <v>576</v>
      </c>
      <c r="E1710" t="s">
        <v>583</v>
      </c>
      <c r="F1710" t="s">
        <v>1921</v>
      </c>
      <c r="G1710" t="s">
        <v>6088</v>
      </c>
      <c r="H1710" t="s">
        <v>11049</v>
      </c>
      <c r="J1710" t="s">
        <v>18902</v>
      </c>
      <c r="K1710">
        <v>10308</v>
      </c>
      <c r="L1710" t="s">
        <v>18959</v>
      </c>
      <c r="M1710" t="s">
        <v>18959</v>
      </c>
      <c r="O1710" t="s">
        <v>26524</v>
      </c>
      <c r="P1710" t="s">
        <v>26564</v>
      </c>
      <c r="Q1710" t="s">
        <v>26570</v>
      </c>
      <c r="R1710" t="s">
        <v>26578</v>
      </c>
      <c r="S1710" t="s">
        <v>18959</v>
      </c>
      <c r="U1710" t="s">
        <v>26604</v>
      </c>
      <c r="W1710" t="s">
        <v>576</v>
      </c>
      <c r="X1710">
        <v>1850</v>
      </c>
      <c r="Y1710" t="s">
        <v>26654</v>
      </c>
      <c r="Z1710" t="s">
        <v>26661</v>
      </c>
      <c r="AA1710" t="s">
        <v>26683</v>
      </c>
      <c r="AB1710" t="s">
        <v>28226</v>
      </c>
      <c r="AE1710">
        <v>2</v>
      </c>
      <c r="AF1710" t="s">
        <v>45547</v>
      </c>
      <c r="AG1710" t="s">
        <v>19330</v>
      </c>
      <c r="AH1710">
        <v>2</v>
      </c>
      <c r="AI1710">
        <v>2</v>
      </c>
      <c r="AJ1710">
        <v>1</v>
      </c>
      <c r="AK1710">
        <v>23.1</v>
      </c>
      <c r="AN1710" t="s">
        <v>7439</v>
      </c>
      <c r="AO1710">
        <v>4800</v>
      </c>
      <c r="AR1710" t="s">
        <v>26530</v>
      </c>
      <c r="AT1710" t="s">
        <v>46644</v>
      </c>
      <c r="AU1710">
        <v>0.8</v>
      </c>
      <c r="AV1710" t="s">
        <v>583</v>
      </c>
      <c r="AW1710" t="s">
        <v>190</v>
      </c>
    </row>
    <row r="1711" spans="1:50">
      <c r="A1711" s="1">
        <f>HYPERLINK("https://lsnyc.legalserver.org/matter/dynamic-profile/view/1877134","18-1877134")</f>
        <v>0</v>
      </c>
      <c r="B1711" t="s">
        <v>222</v>
      </c>
      <c r="C1711" t="s">
        <v>341</v>
      </c>
      <c r="D1711" t="s">
        <v>576</v>
      </c>
      <c r="E1711" t="s">
        <v>637</v>
      </c>
      <c r="F1711" t="s">
        <v>1922</v>
      </c>
      <c r="G1711" t="s">
        <v>2749</v>
      </c>
      <c r="H1711" t="s">
        <v>11050</v>
      </c>
      <c r="I1711" t="s">
        <v>17708</v>
      </c>
      <c r="J1711" t="s">
        <v>18894</v>
      </c>
      <c r="K1711">
        <v>11204</v>
      </c>
      <c r="L1711" t="s">
        <v>18958</v>
      </c>
      <c r="M1711" t="s">
        <v>18958</v>
      </c>
      <c r="N1711" t="s">
        <v>20242</v>
      </c>
      <c r="O1711" t="s">
        <v>26523</v>
      </c>
      <c r="P1711" t="s">
        <v>26564</v>
      </c>
      <c r="Q1711" t="s">
        <v>26570</v>
      </c>
      <c r="R1711" t="s">
        <v>26586</v>
      </c>
      <c r="S1711" t="s">
        <v>18959</v>
      </c>
      <c r="U1711" t="s">
        <v>26604</v>
      </c>
      <c r="V1711" t="s">
        <v>26610</v>
      </c>
      <c r="W1711" t="s">
        <v>576</v>
      </c>
      <c r="X1711">
        <v>1600</v>
      </c>
      <c r="Y1711" t="s">
        <v>26652</v>
      </c>
      <c r="Z1711" t="s">
        <v>26664</v>
      </c>
      <c r="AA1711" t="s">
        <v>26683</v>
      </c>
      <c r="AB1711" t="s">
        <v>28227</v>
      </c>
      <c r="AD1711" t="s">
        <v>38274</v>
      </c>
      <c r="AE1711">
        <v>53</v>
      </c>
      <c r="AF1711" t="s">
        <v>45541</v>
      </c>
      <c r="AG1711" t="s">
        <v>19330</v>
      </c>
      <c r="AH1711">
        <v>1</v>
      </c>
      <c r="AI1711">
        <v>1</v>
      </c>
      <c r="AJ1711">
        <v>4</v>
      </c>
      <c r="AK1711">
        <v>53.96</v>
      </c>
      <c r="AN1711" t="s">
        <v>7439</v>
      </c>
      <c r="AO1711">
        <v>15876</v>
      </c>
      <c r="AU1711">
        <v>1.95</v>
      </c>
      <c r="AV1711" t="s">
        <v>428</v>
      </c>
      <c r="AW1711" t="s">
        <v>46862</v>
      </c>
    </row>
    <row r="1712" spans="1:50">
      <c r="A1712" s="1">
        <f>HYPERLINK("https://lsnyc.legalserver.org/matter/dynamic-profile/view/1877223","18-1877223")</f>
        <v>0</v>
      </c>
      <c r="B1712" t="s">
        <v>97</v>
      </c>
      <c r="C1712" t="s">
        <v>341</v>
      </c>
      <c r="D1712" t="s">
        <v>576</v>
      </c>
      <c r="E1712" t="s">
        <v>529</v>
      </c>
      <c r="F1712" t="s">
        <v>1128</v>
      </c>
      <c r="G1712" t="s">
        <v>6089</v>
      </c>
      <c r="H1712" t="s">
        <v>11051</v>
      </c>
      <c r="I1712" t="s">
        <v>17424</v>
      </c>
      <c r="J1712" t="s">
        <v>18894</v>
      </c>
      <c r="K1712">
        <v>11212</v>
      </c>
      <c r="L1712" t="s">
        <v>18958</v>
      </c>
      <c r="M1712" t="s">
        <v>18958</v>
      </c>
      <c r="N1712" t="s">
        <v>20243</v>
      </c>
      <c r="O1712" t="s">
        <v>26524</v>
      </c>
      <c r="P1712" t="s">
        <v>26565</v>
      </c>
      <c r="Q1712" t="s">
        <v>26571</v>
      </c>
      <c r="R1712" t="s">
        <v>26578</v>
      </c>
      <c r="S1712" t="s">
        <v>18959</v>
      </c>
      <c r="U1712" t="s">
        <v>26604</v>
      </c>
      <c r="V1712" t="s">
        <v>26610</v>
      </c>
      <c r="W1712" t="s">
        <v>576</v>
      </c>
      <c r="X1712">
        <v>840</v>
      </c>
      <c r="Y1712" t="s">
        <v>26652</v>
      </c>
      <c r="Z1712" t="s">
        <v>26661</v>
      </c>
      <c r="AA1712" t="s">
        <v>26683</v>
      </c>
      <c r="AB1712" t="s">
        <v>28228</v>
      </c>
      <c r="AD1712" t="s">
        <v>38275</v>
      </c>
      <c r="AE1712">
        <v>71</v>
      </c>
      <c r="AF1712" t="s">
        <v>45541</v>
      </c>
      <c r="AG1712" t="s">
        <v>19330</v>
      </c>
      <c r="AH1712">
        <v>3</v>
      </c>
      <c r="AI1712">
        <v>1</v>
      </c>
      <c r="AJ1712">
        <v>0</v>
      </c>
      <c r="AK1712">
        <v>235.58</v>
      </c>
      <c r="AL1712" t="s">
        <v>662</v>
      </c>
      <c r="AM1712" t="s">
        <v>45575</v>
      </c>
      <c r="AN1712" t="s">
        <v>7439</v>
      </c>
      <c r="AO1712">
        <v>28600</v>
      </c>
      <c r="AU1712">
        <v>1.8</v>
      </c>
      <c r="AV1712" t="s">
        <v>529</v>
      </c>
      <c r="AW1712" t="s">
        <v>279</v>
      </c>
    </row>
    <row r="1713" spans="1:50">
      <c r="A1713" s="1">
        <f>HYPERLINK("https://lsnyc.legalserver.org/matter/dynamic-profile/view/1877157","18-1877157")</f>
        <v>0</v>
      </c>
      <c r="B1713" t="s">
        <v>99</v>
      </c>
      <c r="C1713" t="s">
        <v>341</v>
      </c>
      <c r="D1713" t="s">
        <v>576</v>
      </c>
      <c r="E1713" t="s">
        <v>682</v>
      </c>
      <c r="F1713" t="s">
        <v>1923</v>
      </c>
      <c r="G1713" t="s">
        <v>5164</v>
      </c>
      <c r="H1713" t="s">
        <v>11052</v>
      </c>
      <c r="I1713" t="s">
        <v>17709</v>
      </c>
      <c r="J1713" t="s">
        <v>18894</v>
      </c>
      <c r="K1713">
        <v>11210</v>
      </c>
      <c r="L1713" t="s">
        <v>18958</v>
      </c>
      <c r="M1713" t="s">
        <v>18958</v>
      </c>
      <c r="N1713" t="s">
        <v>20244</v>
      </c>
      <c r="O1713" t="s">
        <v>26523</v>
      </c>
      <c r="P1713" t="s">
        <v>26560</v>
      </c>
      <c r="Q1713" t="s">
        <v>26573</v>
      </c>
      <c r="R1713" t="s">
        <v>26586</v>
      </c>
      <c r="S1713" t="s">
        <v>18959</v>
      </c>
      <c r="U1713" t="s">
        <v>26604</v>
      </c>
      <c r="V1713" t="s">
        <v>26610</v>
      </c>
      <c r="W1713" t="s">
        <v>576</v>
      </c>
      <c r="X1713">
        <v>217</v>
      </c>
      <c r="Y1713" t="s">
        <v>26652</v>
      </c>
      <c r="Z1713" t="s">
        <v>26664</v>
      </c>
      <c r="AA1713" t="s">
        <v>26678</v>
      </c>
      <c r="AB1713" t="s">
        <v>28229</v>
      </c>
      <c r="AC1713" t="s">
        <v>19330</v>
      </c>
      <c r="AD1713" t="s">
        <v>38276</v>
      </c>
      <c r="AE1713">
        <v>42</v>
      </c>
      <c r="AF1713" t="s">
        <v>45541</v>
      </c>
      <c r="AG1713" t="s">
        <v>45556</v>
      </c>
      <c r="AH1713">
        <v>25</v>
      </c>
      <c r="AI1713">
        <v>1</v>
      </c>
      <c r="AJ1713">
        <v>0</v>
      </c>
      <c r="AK1713">
        <v>71.86</v>
      </c>
      <c r="AN1713" t="s">
        <v>7439</v>
      </c>
      <c r="AO1713">
        <v>8724</v>
      </c>
      <c r="AQ1713" t="s">
        <v>46362</v>
      </c>
      <c r="AR1713" t="s">
        <v>46381</v>
      </c>
      <c r="AS1713" t="s">
        <v>46499</v>
      </c>
      <c r="AT1713" t="s">
        <v>46543</v>
      </c>
      <c r="AU1713">
        <v>6.8</v>
      </c>
      <c r="AV1713" t="s">
        <v>682</v>
      </c>
      <c r="AW1713" t="s">
        <v>46862</v>
      </c>
    </row>
    <row r="1714" spans="1:50">
      <c r="A1714" s="1">
        <f>HYPERLINK("https://lsnyc.legalserver.org/matter/dynamic-profile/view/1877202","18-1877202")</f>
        <v>0</v>
      </c>
      <c r="B1714" t="s">
        <v>130</v>
      </c>
      <c r="C1714" t="s">
        <v>341</v>
      </c>
      <c r="D1714" t="s">
        <v>576</v>
      </c>
      <c r="E1714" t="s">
        <v>576</v>
      </c>
      <c r="F1714" t="s">
        <v>1924</v>
      </c>
      <c r="G1714" t="s">
        <v>5877</v>
      </c>
      <c r="H1714" t="s">
        <v>11053</v>
      </c>
      <c r="I1714" t="s">
        <v>17343</v>
      </c>
      <c r="J1714" t="s">
        <v>18901</v>
      </c>
      <c r="K1714">
        <v>11432</v>
      </c>
      <c r="L1714" t="s">
        <v>18958</v>
      </c>
      <c r="M1714" t="s">
        <v>18958</v>
      </c>
      <c r="N1714" t="s">
        <v>20245</v>
      </c>
      <c r="O1714" t="s">
        <v>26524</v>
      </c>
      <c r="P1714" t="s">
        <v>26564</v>
      </c>
      <c r="Q1714" t="s">
        <v>26570</v>
      </c>
      <c r="R1714" t="s">
        <v>26584</v>
      </c>
      <c r="S1714" t="s">
        <v>18959</v>
      </c>
      <c r="U1714" t="s">
        <v>26604</v>
      </c>
      <c r="V1714" t="s">
        <v>26610</v>
      </c>
      <c r="W1714" t="s">
        <v>576</v>
      </c>
      <c r="X1714">
        <v>903</v>
      </c>
      <c r="Y1714" t="s">
        <v>26653</v>
      </c>
      <c r="Z1714" t="s">
        <v>26659</v>
      </c>
      <c r="AA1714" t="s">
        <v>26683</v>
      </c>
      <c r="AB1714" t="s">
        <v>28230</v>
      </c>
      <c r="AC1714" t="s">
        <v>35011</v>
      </c>
      <c r="AD1714" t="s">
        <v>38277</v>
      </c>
      <c r="AE1714">
        <v>33</v>
      </c>
      <c r="AF1714" t="s">
        <v>45541</v>
      </c>
      <c r="AG1714" t="s">
        <v>45559</v>
      </c>
      <c r="AH1714">
        <v>39</v>
      </c>
      <c r="AI1714">
        <v>2</v>
      </c>
      <c r="AJ1714">
        <v>0</v>
      </c>
      <c r="AK1714">
        <v>66.70999999999999</v>
      </c>
      <c r="AN1714" t="s">
        <v>7439</v>
      </c>
      <c r="AO1714">
        <v>10980</v>
      </c>
      <c r="AU1714">
        <v>1.65</v>
      </c>
      <c r="AV1714" t="s">
        <v>687</v>
      </c>
      <c r="AW1714" t="s">
        <v>161</v>
      </c>
    </row>
    <row r="1715" spans="1:50">
      <c r="A1715" s="1">
        <f>HYPERLINK("https://lsnyc.legalserver.org/matter/dynamic-profile/view/1877176","18-1877176")</f>
        <v>0</v>
      </c>
      <c r="B1715" t="s">
        <v>57</v>
      </c>
      <c r="C1715" t="s">
        <v>341</v>
      </c>
      <c r="D1715" t="s">
        <v>576</v>
      </c>
      <c r="E1715" t="s">
        <v>706</v>
      </c>
      <c r="F1715" t="s">
        <v>1925</v>
      </c>
      <c r="G1715" t="s">
        <v>6090</v>
      </c>
      <c r="H1715" t="s">
        <v>11054</v>
      </c>
      <c r="I1715" t="s">
        <v>17710</v>
      </c>
      <c r="J1715" t="s">
        <v>18892</v>
      </c>
      <c r="K1715">
        <v>10459</v>
      </c>
      <c r="L1715" t="s">
        <v>18958</v>
      </c>
      <c r="M1715" t="s">
        <v>18958</v>
      </c>
      <c r="N1715" t="s">
        <v>20246</v>
      </c>
      <c r="O1715" t="s">
        <v>26523</v>
      </c>
      <c r="P1715" t="s">
        <v>26560</v>
      </c>
      <c r="Q1715" t="s">
        <v>26568</v>
      </c>
      <c r="R1715" t="s">
        <v>26577</v>
      </c>
      <c r="U1715" t="s">
        <v>26604</v>
      </c>
      <c r="V1715" t="s">
        <v>26614</v>
      </c>
      <c r="W1715" t="s">
        <v>576</v>
      </c>
      <c r="X1715">
        <v>800.79</v>
      </c>
      <c r="Y1715" t="s">
        <v>26650</v>
      </c>
      <c r="Z1715" t="s">
        <v>26661</v>
      </c>
      <c r="AA1715" t="s">
        <v>26680</v>
      </c>
      <c r="AB1715" t="s">
        <v>28137</v>
      </c>
      <c r="AD1715" t="s">
        <v>38278</v>
      </c>
      <c r="AE1715">
        <v>123</v>
      </c>
      <c r="AF1715" t="s">
        <v>45541</v>
      </c>
      <c r="AG1715" t="s">
        <v>19330</v>
      </c>
      <c r="AH1715">
        <v>8</v>
      </c>
      <c r="AI1715">
        <v>1</v>
      </c>
      <c r="AJ1715">
        <v>0</v>
      </c>
      <c r="AK1715">
        <v>182.04</v>
      </c>
      <c r="AN1715" t="s">
        <v>7439</v>
      </c>
      <c r="AO1715">
        <v>22100</v>
      </c>
      <c r="AQ1715" t="s">
        <v>46359</v>
      </c>
      <c r="AR1715" t="s">
        <v>46379</v>
      </c>
      <c r="AS1715" t="s">
        <v>46499</v>
      </c>
      <c r="AT1715" t="s">
        <v>46513</v>
      </c>
      <c r="AU1715">
        <v>10</v>
      </c>
      <c r="AV1715" t="s">
        <v>706</v>
      </c>
      <c r="AW1715" t="s">
        <v>46831</v>
      </c>
    </row>
    <row r="1716" spans="1:50">
      <c r="A1716" s="1">
        <f>HYPERLINK("https://lsnyc.legalserver.org/matter/dynamic-profile/view/1877106","18-1877106")</f>
        <v>0</v>
      </c>
      <c r="B1716" t="s">
        <v>153</v>
      </c>
      <c r="C1716" t="s">
        <v>341</v>
      </c>
      <c r="D1716" t="s">
        <v>576</v>
      </c>
      <c r="E1716" t="s">
        <v>712</v>
      </c>
      <c r="F1716" t="s">
        <v>1235</v>
      </c>
      <c r="G1716" t="s">
        <v>6091</v>
      </c>
      <c r="H1716" t="s">
        <v>11055</v>
      </c>
      <c r="I1716" t="s">
        <v>17711</v>
      </c>
      <c r="J1716" t="s">
        <v>18902</v>
      </c>
      <c r="K1716">
        <v>10304</v>
      </c>
      <c r="L1716" t="s">
        <v>18958</v>
      </c>
      <c r="M1716" t="s">
        <v>18958</v>
      </c>
      <c r="N1716" t="s">
        <v>20247</v>
      </c>
      <c r="O1716" t="s">
        <v>26524</v>
      </c>
      <c r="P1716" t="s">
        <v>26560</v>
      </c>
      <c r="Q1716" t="s">
        <v>26568</v>
      </c>
      <c r="R1716" t="s">
        <v>26578</v>
      </c>
      <c r="S1716" t="s">
        <v>18959</v>
      </c>
      <c r="U1716" t="s">
        <v>26604</v>
      </c>
      <c r="V1716" t="s">
        <v>26610</v>
      </c>
      <c r="W1716" t="s">
        <v>576</v>
      </c>
      <c r="X1716">
        <v>1306</v>
      </c>
      <c r="Y1716" t="s">
        <v>26654</v>
      </c>
      <c r="Z1716" t="s">
        <v>26530</v>
      </c>
      <c r="AA1716" t="s">
        <v>26679</v>
      </c>
      <c r="AB1716" t="s">
        <v>28231</v>
      </c>
      <c r="AD1716" t="s">
        <v>38279</v>
      </c>
      <c r="AE1716">
        <v>3</v>
      </c>
      <c r="AF1716" t="s">
        <v>20460</v>
      </c>
      <c r="AG1716" t="s">
        <v>19330</v>
      </c>
      <c r="AH1716">
        <v>13</v>
      </c>
      <c r="AI1716">
        <v>1</v>
      </c>
      <c r="AJ1716">
        <v>0</v>
      </c>
      <c r="AK1716">
        <v>158.15</v>
      </c>
      <c r="AN1716" t="s">
        <v>7439</v>
      </c>
      <c r="AO1716">
        <v>19200</v>
      </c>
      <c r="AQ1716" t="s">
        <v>46367</v>
      </c>
      <c r="AR1716" t="s">
        <v>46403</v>
      </c>
      <c r="AS1716" t="s">
        <v>46500</v>
      </c>
      <c r="AT1716" t="s">
        <v>46698</v>
      </c>
      <c r="AU1716">
        <v>4.5</v>
      </c>
      <c r="AV1716" t="s">
        <v>545</v>
      </c>
      <c r="AW1716" t="s">
        <v>190</v>
      </c>
    </row>
    <row r="1717" spans="1:50">
      <c r="A1717" s="1">
        <f>HYPERLINK("https://lsnyc.legalserver.org/matter/dynamic-profile/view/1877164","18-1877164")</f>
        <v>0</v>
      </c>
      <c r="B1717" t="s">
        <v>153</v>
      </c>
      <c r="C1717" t="s">
        <v>341</v>
      </c>
      <c r="D1717" t="s">
        <v>576</v>
      </c>
      <c r="E1717" t="s">
        <v>762</v>
      </c>
      <c r="F1717" t="s">
        <v>1081</v>
      </c>
      <c r="G1717" t="s">
        <v>6092</v>
      </c>
      <c r="H1717" t="s">
        <v>11056</v>
      </c>
      <c r="I1717" t="s">
        <v>17469</v>
      </c>
      <c r="J1717" t="s">
        <v>18902</v>
      </c>
      <c r="K1717">
        <v>10303</v>
      </c>
      <c r="L1717" t="s">
        <v>18958</v>
      </c>
      <c r="M1717" t="s">
        <v>18958</v>
      </c>
      <c r="N1717" t="s">
        <v>20248</v>
      </c>
      <c r="O1717" t="s">
        <v>26524</v>
      </c>
      <c r="P1717" t="s">
        <v>26560</v>
      </c>
      <c r="Q1717" t="s">
        <v>26568</v>
      </c>
      <c r="R1717" t="s">
        <v>26590</v>
      </c>
      <c r="S1717" t="s">
        <v>18959</v>
      </c>
      <c r="U1717" t="s">
        <v>26604</v>
      </c>
      <c r="V1717" t="s">
        <v>26610</v>
      </c>
      <c r="W1717" t="s">
        <v>576</v>
      </c>
      <c r="X1717">
        <v>720</v>
      </c>
      <c r="Y1717" t="s">
        <v>26654</v>
      </c>
      <c r="Z1717" t="s">
        <v>26668</v>
      </c>
      <c r="AA1717" t="s">
        <v>26679</v>
      </c>
      <c r="AB1717" t="s">
        <v>28232</v>
      </c>
      <c r="AD1717" t="s">
        <v>38280</v>
      </c>
      <c r="AE1717">
        <v>4</v>
      </c>
      <c r="AF1717" t="s">
        <v>45547</v>
      </c>
      <c r="AG1717" t="s">
        <v>19330</v>
      </c>
      <c r="AH1717">
        <v>-1</v>
      </c>
      <c r="AI1717">
        <v>1</v>
      </c>
      <c r="AJ1717">
        <v>0</v>
      </c>
      <c r="AK1717">
        <v>164.91</v>
      </c>
      <c r="AN1717" t="s">
        <v>7439</v>
      </c>
      <c r="AO1717">
        <v>20020</v>
      </c>
      <c r="AU1717">
        <v>36.95</v>
      </c>
      <c r="AV1717" t="s">
        <v>800</v>
      </c>
      <c r="AW1717" t="s">
        <v>190</v>
      </c>
    </row>
    <row r="1718" spans="1:50">
      <c r="A1718" s="1">
        <f>HYPERLINK("https://lsnyc.legalserver.org/matter/dynamic-profile/view/1877247","18-1877247")</f>
        <v>0</v>
      </c>
      <c r="B1718" t="s">
        <v>87</v>
      </c>
      <c r="C1718" t="s">
        <v>341</v>
      </c>
      <c r="D1718" t="s">
        <v>576</v>
      </c>
      <c r="E1718" t="s">
        <v>785</v>
      </c>
      <c r="F1718" t="s">
        <v>1162</v>
      </c>
      <c r="G1718" t="s">
        <v>6093</v>
      </c>
      <c r="H1718" t="s">
        <v>11057</v>
      </c>
      <c r="I1718">
        <v>5</v>
      </c>
      <c r="J1718" t="s">
        <v>18892</v>
      </c>
      <c r="K1718">
        <v>10458</v>
      </c>
      <c r="L1718" t="s">
        <v>18958</v>
      </c>
      <c r="M1718" t="s">
        <v>18958</v>
      </c>
      <c r="N1718" t="s">
        <v>20249</v>
      </c>
      <c r="O1718" t="s">
        <v>26524</v>
      </c>
      <c r="P1718" t="s">
        <v>26564</v>
      </c>
      <c r="Q1718" t="s">
        <v>26573</v>
      </c>
      <c r="R1718" t="s">
        <v>26577</v>
      </c>
      <c r="U1718" t="s">
        <v>26604</v>
      </c>
      <c r="V1718" t="s">
        <v>26609</v>
      </c>
      <c r="W1718" t="s">
        <v>576</v>
      </c>
      <c r="X1718">
        <v>0</v>
      </c>
      <c r="Y1718" t="s">
        <v>26650</v>
      </c>
      <c r="Z1718" t="s">
        <v>26668</v>
      </c>
      <c r="AA1718" t="s">
        <v>26678</v>
      </c>
      <c r="AB1718" t="s">
        <v>28233</v>
      </c>
      <c r="AC1718" t="s">
        <v>35012</v>
      </c>
      <c r="AD1718" t="s">
        <v>38281</v>
      </c>
      <c r="AE1718">
        <v>0</v>
      </c>
      <c r="AF1718" t="s">
        <v>45548</v>
      </c>
      <c r="AG1718" t="s">
        <v>19330</v>
      </c>
      <c r="AH1718">
        <v>0</v>
      </c>
      <c r="AI1718">
        <v>1</v>
      </c>
      <c r="AJ1718">
        <v>0</v>
      </c>
      <c r="AK1718">
        <v>74.14</v>
      </c>
      <c r="AN1718" t="s">
        <v>45581</v>
      </c>
      <c r="AO1718">
        <v>9000</v>
      </c>
      <c r="AS1718" t="s">
        <v>46499</v>
      </c>
      <c r="AT1718" t="s">
        <v>46712</v>
      </c>
      <c r="AU1718">
        <v>6.15</v>
      </c>
      <c r="AV1718" t="s">
        <v>452</v>
      </c>
      <c r="AW1718" t="s">
        <v>334</v>
      </c>
    </row>
    <row r="1719" spans="1:50">
      <c r="A1719" s="1">
        <f>HYPERLINK("https://lsnyc.legalserver.org/matter/dynamic-profile/view/1877284","18-1877284")</f>
        <v>0</v>
      </c>
      <c r="B1719" t="s">
        <v>245</v>
      </c>
      <c r="C1719" t="s">
        <v>340</v>
      </c>
      <c r="D1719" t="s">
        <v>576</v>
      </c>
      <c r="F1719" t="s">
        <v>1175</v>
      </c>
      <c r="G1719" t="s">
        <v>6094</v>
      </c>
      <c r="H1719" t="s">
        <v>11058</v>
      </c>
      <c r="I1719" t="s">
        <v>17302</v>
      </c>
      <c r="J1719" t="s">
        <v>18892</v>
      </c>
      <c r="K1719">
        <v>10467</v>
      </c>
      <c r="L1719" t="s">
        <v>18958</v>
      </c>
      <c r="M1719" t="s">
        <v>18958</v>
      </c>
      <c r="N1719" t="s">
        <v>20250</v>
      </c>
      <c r="O1719" t="s">
        <v>26523</v>
      </c>
      <c r="P1719" t="s">
        <v>26560</v>
      </c>
      <c r="R1719" t="s">
        <v>26579</v>
      </c>
      <c r="S1719" t="s">
        <v>18959</v>
      </c>
      <c r="U1719" t="s">
        <v>26604</v>
      </c>
      <c r="V1719" t="s">
        <v>26610</v>
      </c>
      <c r="W1719" t="s">
        <v>576</v>
      </c>
      <c r="X1719">
        <v>1695</v>
      </c>
      <c r="Y1719" t="s">
        <v>26650</v>
      </c>
      <c r="Z1719" t="s">
        <v>26668</v>
      </c>
      <c r="AB1719" t="s">
        <v>28234</v>
      </c>
      <c r="AC1719" t="s">
        <v>35013</v>
      </c>
      <c r="AD1719" t="s">
        <v>38282</v>
      </c>
      <c r="AE1719">
        <v>40</v>
      </c>
      <c r="AF1719" t="s">
        <v>45541</v>
      </c>
      <c r="AG1719" t="s">
        <v>19330</v>
      </c>
      <c r="AH1719">
        <v>8</v>
      </c>
      <c r="AI1719">
        <v>2</v>
      </c>
      <c r="AJ1719">
        <v>0</v>
      </c>
      <c r="AK1719">
        <v>94.78</v>
      </c>
      <c r="AN1719" t="s">
        <v>7439</v>
      </c>
      <c r="AO1719">
        <v>15600</v>
      </c>
      <c r="AU1719">
        <v>38.9</v>
      </c>
      <c r="AV1719" t="s">
        <v>827</v>
      </c>
      <c r="AW1719" t="s">
        <v>46832</v>
      </c>
    </row>
    <row r="1720" spans="1:50">
      <c r="A1720" s="1">
        <f>HYPERLINK("https://lsnyc.legalserver.org/matter/dynamic-profile/view/1877190","18-1877190")</f>
        <v>0</v>
      </c>
      <c r="B1720" t="s">
        <v>79</v>
      </c>
      <c r="C1720" t="s">
        <v>340</v>
      </c>
      <c r="D1720" t="s">
        <v>576</v>
      </c>
      <c r="F1720" t="s">
        <v>887</v>
      </c>
      <c r="G1720" t="s">
        <v>5402</v>
      </c>
      <c r="H1720" t="s">
        <v>9854</v>
      </c>
      <c r="I1720" t="s">
        <v>17712</v>
      </c>
      <c r="J1720" t="s">
        <v>18893</v>
      </c>
      <c r="K1720">
        <v>10033</v>
      </c>
      <c r="L1720" t="s">
        <v>18958</v>
      </c>
      <c r="M1720" t="s">
        <v>18958</v>
      </c>
      <c r="O1720" t="s">
        <v>26526</v>
      </c>
      <c r="P1720" t="s">
        <v>26560</v>
      </c>
      <c r="R1720" t="s">
        <v>26578</v>
      </c>
      <c r="S1720" t="s">
        <v>18958</v>
      </c>
      <c r="U1720" t="s">
        <v>26604</v>
      </c>
      <c r="W1720" t="s">
        <v>576</v>
      </c>
      <c r="X1720">
        <v>1300</v>
      </c>
      <c r="Y1720" t="s">
        <v>26651</v>
      </c>
      <c r="Z1720" t="s">
        <v>26661</v>
      </c>
      <c r="AB1720" t="s">
        <v>28235</v>
      </c>
      <c r="AD1720" t="s">
        <v>38283</v>
      </c>
      <c r="AE1720">
        <v>232</v>
      </c>
      <c r="AF1720" t="s">
        <v>45541</v>
      </c>
      <c r="AG1720" t="s">
        <v>19330</v>
      </c>
      <c r="AH1720">
        <v>16</v>
      </c>
      <c r="AI1720">
        <v>2</v>
      </c>
      <c r="AJ1720">
        <v>1</v>
      </c>
      <c r="AK1720">
        <v>70.56999999999999</v>
      </c>
      <c r="AN1720" t="s">
        <v>7439</v>
      </c>
      <c r="AO1720">
        <v>14664</v>
      </c>
      <c r="AU1720">
        <v>1.6</v>
      </c>
      <c r="AV1720" t="s">
        <v>729</v>
      </c>
      <c r="AW1720" t="s">
        <v>46840</v>
      </c>
    </row>
    <row r="1721" spans="1:50">
      <c r="A1721" s="1">
        <f>HYPERLINK("https://lsnyc.legalserver.org/matter/dynamic-profile/view/1877172","18-1877172")</f>
        <v>0</v>
      </c>
      <c r="B1721" t="s">
        <v>82</v>
      </c>
      <c r="C1721" t="s">
        <v>340</v>
      </c>
      <c r="D1721" t="s">
        <v>576</v>
      </c>
      <c r="F1721" t="s">
        <v>1926</v>
      </c>
      <c r="G1721" t="s">
        <v>5461</v>
      </c>
      <c r="H1721" t="s">
        <v>11059</v>
      </c>
      <c r="I1721" t="s">
        <v>17331</v>
      </c>
      <c r="J1721" t="s">
        <v>18892</v>
      </c>
      <c r="K1721">
        <v>10472</v>
      </c>
      <c r="L1721" t="s">
        <v>18958</v>
      </c>
      <c r="M1721" t="s">
        <v>18958</v>
      </c>
      <c r="N1721" t="s">
        <v>20251</v>
      </c>
      <c r="O1721" t="s">
        <v>26523</v>
      </c>
      <c r="P1721" t="s">
        <v>26560</v>
      </c>
      <c r="R1721" t="s">
        <v>26577</v>
      </c>
      <c r="U1721" t="s">
        <v>26604</v>
      </c>
      <c r="V1721" t="s">
        <v>26612</v>
      </c>
      <c r="W1721" t="s">
        <v>576</v>
      </c>
      <c r="X1721">
        <v>1515</v>
      </c>
      <c r="Y1721" t="s">
        <v>26650</v>
      </c>
      <c r="Z1721" t="s">
        <v>26664</v>
      </c>
      <c r="AB1721" t="s">
        <v>28236</v>
      </c>
      <c r="AC1721" t="s">
        <v>35014</v>
      </c>
      <c r="AD1721" t="s">
        <v>38284</v>
      </c>
      <c r="AE1721">
        <v>4</v>
      </c>
      <c r="AF1721" t="s">
        <v>45547</v>
      </c>
      <c r="AG1721" t="s">
        <v>19330</v>
      </c>
      <c r="AH1721">
        <v>2</v>
      </c>
      <c r="AI1721">
        <v>3</v>
      </c>
      <c r="AJ1721">
        <v>0</v>
      </c>
      <c r="AK1721">
        <v>87.34999999999999</v>
      </c>
      <c r="AN1721" t="s">
        <v>7439</v>
      </c>
      <c r="AO1721">
        <v>18152</v>
      </c>
      <c r="AU1721">
        <v>9.1</v>
      </c>
      <c r="AV1721" t="s">
        <v>814</v>
      </c>
      <c r="AW1721" t="s">
        <v>46836</v>
      </c>
    </row>
    <row r="1722" spans="1:50">
      <c r="A1722" s="1">
        <f>HYPERLINK("https://lsnyc.legalserver.org/matter/dynamic-profile/view/1877189","18-1877189")</f>
        <v>0</v>
      </c>
      <c r="B1722" t="s">
        <v>82</v>
      </c>
      <c r="C1722" t="s">
        <v>340</v>
      </c>
      <c r="D1722" t="s">
        <v>576</v>
      </c>
      <c r="F1722" t="s">
        <v>1300</v>
      </c>
      <c r="G1722" t="s">
        <v>6095</v>
      </c>
      <c r="H1722" t="s">
        <v>11060</v>
      </c>
      <c r="I1722" t="s">
        <v>17432</v>
      </c>
      <c r="J1722" t="s">
        <v>18892</v>
      </c>
      <c r="K1722">
        <v>10468</v>
      </c>
      <c r="L1722" t="s">
        <v>18958</v>
      </c>
      <c r="M1722" t="s">
        <v>18958</v>
      </c>
      <c r="N1722" t="s">
        <v>20252</v>
      </c>
      <c r="O1722" t="s">
        <v>26523</v>
      </c>
      <c r="P1722" t="s">
        <v>26560</v>
      </c>
      <c r="R1722" t="s">
        <v>26579</v>
      </c>
      <c r="S1722" t="s">
        <v>18959</v>
      </c>
      <c r="T1722" t="s">
        <v>26579</v>
      </c>
      <c r="U1722" t="s">
        <v>26604</v>
      </c>
      <c r="V1722" t="s">
        <v>26610</v>
      </c>
      <c r="W1722" t="s">
        <v>576</v>
      </c>
      <c r="X1722">
        <v>1266.93</v>
      </c>
      <c r="Y1722" t="s">
        <v>26650</v>
      </c>
      <c r="Z1722" t="s">
        <v>26530</v>
      </c>
      <c r="AB1722" t="s">
        <v>28237</v>
      </c>
      <c r="AD1722" t="s">
        <v>38285</v>
      </c>
      <c r="AE1722">
        <v>0</v>
      </c>
      <c r="AF1722" t="s">
        <v>45541</v>
      </c>
      <c r="AG1722" t="s">
        <v>45556</v>
      </c>
      <c r="AH1722">
        <v>10</v>
      </c>
      <c r="AI1722">
        <v>1</v>
      </c>
      <c r="AJ1722">
        <v>0</v>
      </c>
      <c r="AK1722">
        <v>64.25</v>
      </c>
      <c r="AN1722" t="s">
        <v>45581</v>
      </c>
      <c r="AO1722">
        <v>7800</v>
      </c>
      <c r="AU1722">
        <v>5.5</v>
      </c>
      <c r="AV1722" t="s">
        <v>709</v>
      </c>
      <c r="AW1722" t="s">
        <v>46836</v>
      </c>
    </row>
    <row r="1723" spans="1:50">
      <c r="A1723" s="1">
        <f>HYPERLINK("https://lsnyc.legalserver.org/matter/dynamic-profile/view/1877222","18-1877222")</f>
        <v>0</v>
      </c>
      <c r="B1723" t="s">
        <v>82</v>
      </c>
      <c r="C1723" t="s">
        <v>340</v>
      </c>
      <c r="D1723" t="s">
        <v>576</v>
      </c>
      <c r="F1723" t="s">
        <v>980</v>
      </c>
      <c r="G1723" t="s">
        <v>5639</v>
      </c>
      <c r="H1723" t="s">
        <v>11061</v>
      </c>
      <c r="I1723">
        <v>31</v>
      </c>
      <c r="J1723" t="s">
        <v>18892</v>
      </c>
      <c r="K1723">
        <v>10457</v>
      </c>
      <c r="L1723" t="s">
        <v>18958</v>
      </c>
      <c r="M1723" t="s">
        <v>18958</v>
      </c>
      <c r="N1723" t="s">
        <v>20253</v>
      </c>
      <c r="O1723" t="s">
        <v>26523</v>
      </c>
      <c r="P1723" t="s">
        <v>26560</v>
      </c>
      <c r="R1723" t="s">
        <v>26579</v>
      </c>
      <c r="U1723" t="s">
        <v>26604</v>
      </c>
      <c r="V1723" t="s">
        <v>26610</v>
      </c>
      <c r="W1723" t="s">
        <v>576</v>
      </c>
      <c r="X1723">
        <v>0</v>
      </c>
      <c r="Y1723" t="s">
        <v>26650</v>
      </c>
      <c r="Z1723" t="s">
        <v>26664</v>
      </c>
      <c r="AB1723" t="s">
        <v>28238</v>
      </c>
      <c r="AD1723" t="s">
        <v>38286</v>
      </c>
      <c r="AE1723">
        <v>0</v>
      </c>
      <c r="AF1723" t="s">
        <v>45541</v>
      </c>
      <c r="AG1723" t="s">
        <v>19330</v>
      </c>
      <c r="AH1723">
        <v>0</v>
      </c>
      <c r="AI1723">
        <v>1</v>
      </c>
      <c r="AJ1723">
        <v>1</v>
      </c>
      <c r="AK1723">
        <v>85.22</v>
      </c>
      <c r="AO1723">
        <v>14028</v>
      </c>
      <c r="AU1723">
        <v>5.45</v>
      </c>
      <c r="AV1723" t="s">
        <v>797</v>
      </c>
      <c r="AW1723" t="s">
        <v>334</v>
      </c>
    </row>
    <row r="1724" spans="1:50">
      <c r="A1724" s="1">
        <f>HYPERLINK("https://lsnyc.legalserver.org/matter/dynamic-profile/view/1877831","18-1877831")</f>
        <v>0</v>
      </c>
      <c r="B1724" t="s">
        <v>73</v>
      </c>
      <c r="C1724" t="s">
        <v>341</v>
      </c>
      <c r="D1724" t="s">
        <v>571</v>
      </c>
      <c r="E1724" t="s">
        <v>827</v>
      </c>
      <c r="F1724" t="s">
        <v>1368</v>
      </c>
      <c r="G1724" t="s">
        <v>6096</v>
      </c>
      <c r="H1724" t="s">
        <v>10578</v>
      </c>
      <c r="I1724" t="s">
        <v>17713</v>
      </c>
      <c r="J1724" t="s">
        <v>18894</v>
      </c>
      <c r="K1724">
        <v>11221</v>
      </c>
      <c r="L1724" t="s">
        <v>18958</v>
      </c>
      <c r="M1724" t="s">
        <v>18958</v>
      </c>
      <c r="O1724" t="s">
        <v>18997</v>
      </c>
      <c r="P1724" t="s">
        <v>26565</v>
      </c>
      <c r="Q1724" t="s">
        <v>26571</v>
      </c>
      <c r="R1724" t="s">
        <v>26578</v>
      </c>
      <c r="S1724" t="s">
        <v>18958</v>
      </c>
      <c r="U1724" t="s">
        <v>26604</v>
      </c>
      <c r="W1724" t="s">
        <v>576</v>
      </c>
      <c r="X1724">
        <v>1500</v>
      </c>
      <c r="Y1724" t="s">
        <v>26652</v>
      </c>
      <c r="Z1724" t="s">
        <v>26667</v>
      </c>
      <c r="AA1724" t="s">
        <v>26682</v>
      </c>
      <c r="AB1724" t="s">
        <v>28239</v>
      </c>
      <c r="AD1724" t="s">
        <v>38287</v>
      </c>
      <c r="AE1724">
        <v>54</v>
      </c>
      <c r="AF1724" t="s">
        <v>45552</v>
      </c>
      <c r="AG1724" t="s">
        <v>26530</v>
      </c>
      <c r="AH1724">
        <v>12</v>
      </c>
      <c r="AI1724">
        <v>1</v>
      </c>
      <c r="AJ1724">
        <v>0</v>
      </c>
      <c r="AK1724">
        <v>84.70999999999999</v>
      </c>
      <c r="AN1724" t="s">
        <v>45581</v>
      </c>
      <c r="AO1724">
        <v>10284</v>
      </c>
      <c r="AP1724" t="s">
        <v>45726</v>
      </c>
      <c r="AU1724">
        <v>2.2</v>
      </c>
      <c r="AV1724" t="s">
        <v>702</v>
      </c>
      <c r="AW1724" t="s">
        <v>279</v>
      </c>
      <c r="AX1724" t="s">
        <v>46897</v>
      </c>
    </row>
    <row r="1725" spans="1:50">
      <c r="A1725" s="1">
        <f>HYPERLINK("https://lsnyc.legalserver.org/matter/dynamic-profile/view/1878422","18-1878422")</f>
        <v>0</v>
      </c>
      <c r="B1725" t="s">
        <v>127</v>
      </c>
      <c r="C1725" t="s">
        <v>341</v>
      </c>
      <c r="D1725" t="s">
        <v>582</v>
      </c>
      <c r="E1725" t="s">
        <v>745</v>
      </c>
      <c r="F1725" t="s">
        <v>1272</v>
      </c>
      <c r="G1725" t="s">
        <v>5455</v>
      </c>
      <c r="H1725" t="s">
        <v>10101</v>
      </c>
      <c r="I1725" t="s">
        <v>17461</v>
      </c>
      <c r="J1725" t="s">
        <v>18894</v>
      </c>
      <c r="K1725">
        <v>11239</v>
      </c>
      <c r="L1725" t="s">
        <v>18958</v>
      </c>
      <c r="M1725" t="s">
        <v>18958</v>
      </c>
      <c r="N1725" t="s">
        <v>20254</v>
      </c>
      <c r="O1725" t="s">
        <v>26524</v>
      </c>
      <c r="P1725" t="s">
        <v>26560</v>
      </c>
      <c r="Q1725" t="s">
        <v>26568</v>
      </c>
      <c r="R1725" t="s">
        <v>26578</v>
      </c>
      <c r="U1725" t="s">
        <v>26604</v>
      </c>
      <c r="W1725" t="s">
        <v>576</v>
      </c>
      <c r="X1725">
        <v>2800</v>
      </c>
      <c r="Y1725" t="s">
        <v>26652</v>
      </c>
      <c r="Z1725" t="s">
        <v>26659</v>
      </c>
      <c r="AA1725" t="s">
        <v>26677</v>
      </c>
      <c r="AB1725" t="s">
        <v>27191</v>
      </c>
      <c r="AC1725" t="s">
        <v>34650</v>
      </c>
      <c r="AD1725" t="s">
        <v>37268</v>
      </c>
      <c r="AE1725">
        <v>136</v>
      </c>
      <c r="AF1725" t="s">
        <v>45543</v>
      </c>
      <c r="AH1725">
        <v>15</v>
      </c>
      <c r="AI1725">
        <v>1</v>
      </c>
      <c r="AJ1725">
        <v>3</v>
      </c>
      <c r="AK1725">
        <v>51.01</v>
      </c>
      <c r="AN1725" t="s">
        <v>7439</v>
      </c>
      <c r="AO1725">
        <v>12804</v>
      </c>
      <c r="AP1725" t="s">
        <v>45624</v>
      </c>
      <c r="AU1725">
        <v>1.5</v>
      </c>
      <c r="AV1725" t="s">
        <v>575</v>
      </c>
      <c r="AW1725" t="s">
        <v>97</v>
      </c>
    </row>
    <row r="1726" spans="1:50">
      <c r="A1726" s="1">
        <f>HYPERLINK("https://lsnyc.legalserver.org/matter/dynamic-profile/view/1879063","18-1879063")</f>
        <v>0</v>
      </c>
      <c r="B1726" t="s">
        <v>88</v>
      </c>
      <c r="C1726" t="s">
        <v>341</v>
      </c>
      <c r="D1726" t="s">
        <v>540</v>
      </c>
      <c r="E1726" t="s">
        <v>782</v>
      </c>
      <c r="F1726" t="s">
        <v>1927</v>
      </c>
      <c r="G1726" t="s">
        <v>6097</v>
      </c>
      <c r="H1726" t="s">
        <v>10024</v>
      </c>
      <c r="I1726" t="s">
        <v>17299</v>
      </c>
      <c r="J1726" t="s">
        <v>18894</v>
      </c>
      <c r="K1726">
        <v>11221</v>
      </c>
      <c r="L1726" t="s">
        <v>18958</v>
      </c>
      <c r="M1726" t="s">
        <v>18958</v>
      </c>
      <c r="O1726" t="s">
        <v>26531</v>
      </c>
      <c r="P1726" t="s">
        <v>26565</v>
      </c>
      <c r="Q1726" t="s">
        <v>26571</v>
      </c>
      <c r="R1726" t="s">
        <v>26578</v>
      </c>
      <c r="S1726" t="s">
        <v>18958</v>
      </c>
      <c r="U1726" t="s">
        <v>26604</v>
      </c>
      <c r="W1726" t="s">
        <v>576</v>
      </c>
      <c r="X1726">
        <v>834</v>
      </c>
      <c r="Y1726" t="s">
        <v>26652</v>
      </c>
      <c r="Z1726" t="s">
        <v>26663</v>
      </c>
      <c r="AA1726" t="s">
        <v>26685</v>
      </c>
      <c r="AB1726" t="s">
        <v>28240</v>
      </c>
      <c r="AD1726" t="s">
        <v>38288</v>
      </c>
      <c r="AE1726">
        <v>12</v>
      </c>
      <c r="AG1726" t="s">
        <v>19330</v>
      </c>
      <c r="AH1726">
        <v>26</v>
      </c>
      <c r="AI1726">
        <v>5</v>
      </c>
      <c r="AJ1726">
        <v>2</v>
      </c>
      <c r="AK1726">
        <v>136.63</v>
      </c>
      <c r="AN1726" t="s">
        <v>7439</v>
      </c>
      <c r="AO1726">
        <v>52000</v>
      </c>
      <c r="AP1726" t="s">
        <v>45624</v>
      </c>
      <c r="AU1726">
        <v>0.08</v>
      </c>
      <c r="AV1726" t="s">
        <v>685</v>
      </c>
      <c r="AW1726" t="s">
        <v>279</v>
      </c>
    </row>
    <row r="1727" spans="1:50">
      <c r="A1727" s="1">
        <f>HYPERLINK("https://lsnyc.legalserver.org/matter/dynamic-profile/view/1879049","18-1879049")</f>
        <v>0</v>
      </c>
      <c r="B1727" t="s">
        <v>88</v>
      </c>
      <c r="C1727" t="s">
        <v>341</v>
      </c>
      <c r="D1727" t="s">
        <v>540</v>
      </c>
      <c r="E1727" t="s">
        <v>782</v>
      </c>
      <c r="F1727" t="s">
        <v>999</v>
      </c>
      <c r="G1727" t="s">
        <v>6098</v>
      </c>
      <c r="H1727" t="s">
        <v>10676</v>
      </c>
      <c r="I1727" t="s">
        <v>17299</v>
      </c>
      <c r="J1727" t="s">
        <v>18894</v>
      </c>
      <c r="K1727">
        <v>11221</v>
      </c>
      <c r="L1727" t="s">
        <v>18958</v>
      </c>
      <c r="M1727" t="s">
        <v>18958</v>
      </c>
      <c r="O1727" t="s">
        <v>26531</v>
      </c>
      <c r="P1727" t="s">
        <v>26565</v>
      </c>
      <c r="Q1727" t="s">
        <v>26571</v>
      </c>
      <c r="R1727" t="s">
        <v>26578</v>
      </c>
      <c r="S1727" t="s">
        <v>18958</v>
      </c>
      <c r="U1727" t="s">
        <v>26604</v>
      </c>
      <c r="W1727" t="s">
        <v>576</v>
      </c>
      <c r="X1727">
        <v>790</v>
      </c>
      <c r="Y1727" t="s">
        <v>26652</v>
      </c>
      <c r="Z1727" t="s">
        <v>26663</v>
      </c>
      <c r="AA1727" t="s">
        <v>26685</v>
      </c>
      <c r="AB1727" t="s">
        <v>28241</v>
      </c>
      <c r="AD1727" t="s">
        <v>38289</v>
      </c>
      <c r="AE1727">
        <v>13</v>
      </c>
      <c r="AF1727" t="s">
        <v>45541</v>
      </c>
      <c r="AG1727" t="s">
        <v>19330</v>
      </c>
      <c r="AH1727">
        <v>20</v>
      </c>
      <c r="AI1727">
        <v>1</v>
      </c>
      <c r="AJ1727">
        <v>0</v>
      </c>
      <c r="AK1727">
        <v>155.02</v>
      </c>
      <c r="AN1727" t="s">
        <v>7439</v>
      </c>
      <c r="AO1727">
        <v>18820</v>
      </c>
      <c r="AP1727" t="s">
        <v>45624</v>
      </c>
      <c r="AU1727">
        <v>0.08</v>
      </c>
      <c r="AV1727" t="s">
        <v>685</v>
      </c>
      <c r="AW1727" t="s">
        <v>279</v>
      </c>
    </row>
    <row r="1728" spans="1:50">
      <c r="A1728" s="1">
        <f>HYPERLINK("https://lsnyc.legalserver.org/matter/dynamic-profile/view/1879082","18-1879082")</f>
        <v>0</v>
      </c>
      <c r="B1728" t="s">
        <v>88</v>
      </c>
      <c r="C1728" t="s">
        <v>340</v>
      </c>
      <c r="D1728" t="s">
        <v>540</v>
      </c>
      <c r="F1728" t="s">
        <v>1927</v>
      </c>
      <c r="G1728" t="s">
        <v>6097</v>
      </c>
      <c r="H1728" t="s">
        <v>10024</v>
      </c>
      <c r="I1728" t="s">
        <v>17299</v>
      </c>
      <c r="J1728" t="s">
        <v>18894</v>
      </c>
      <c r="K1728">
        <v>11221</v>
      </c>
      <c r="L1728" t="s">
        <v>18958</v>
      </c>
      <c r="M1728" t="s">
        <v>18958</v>
      </c>
      <c r="O1728" t="s">
        <v>26534</v>
      </c>
      <c r="P1728" t="s">
        <v>26561</v>
      </c>
      <c r="R1728" t="s">
        <v>26578</v>
      </c>
      <c r="S1728" t="s">
        <v>18958</v>
      </c>
      <c r="U1728" t="s">
        <v>26604</v>
      </c>
      <c r="W1728" t="s">
        <v>576</v>
      </c>
      <c r="X1728">
        <v>834</v>
      </c>
      <c r="Y1728" t="s">
        <v>26652</v>
      </c>
      <c r="Z1728" t="s">
        <v>26663</v>
      </c>
      <c r="AB1728" t="s">
        <v>28240</v>
      </c>
      <c r="AD1728" t="s">
        <v>38288</v>
      </c>
      <c r="AE1728">
        <v>12</v>
      </c>
      <c r="AF1728" t="s">
        <v>45541</v>
      </c>
      <c r="AG1728" t="s">
        <v>19330</v>
      </c>
      <c r="AH1728">
        <v>26</v>
      </c>
      <c r="AI1728">
        <v>5</v>
      </c>
      <c r="AJ1728">
        <v>2</v>
      </c>
      <c r="AK1728">
        <v>136.63</v>
      </c>
      <c r="AN1728" t="s">
        <v>7439</v>
      </c>
      <c r="AO1728">
        <v>52000</v>
      </c>
      <c r="AP1728" t="s">
        <v>45727</v>
      </c>
      <c r="AU1728">
        <v>0</v>
      </c>
      <c r="AW1728" t="s">
        <v>279</v>
      </c>
    </row>
    <row r="1729" spans="1:50">
      <c r="A1729" s="1">
        <f>HYPERLINK("https://lsnyc.legalserver.org/matter/dynamic-profile/view/1879085","18-1879085")</f>
        <v>0</v>
      </c>
      <c r="B1729" t="s">
        <v>88</v>
      </c>
      <c r="C1729" t="s">
        <v>340</v>
      </c>
      <c r="D1729" t="s">
        <v>540</v>
      </c>
      <c r="F1729" t="s">
        <v>1927</v>
      </c>
      <c r="G1729" t="s">
        <v>6097</v>
      </c>
      <c r="H1729" t="s">
        <v>10024</v>
      </c>
      <c r="I1729" t="s">
        <v>17299</v>
      </c>
      <c r="J1729" t="s">
        <v>18894</v>
      </c>
      <c r="K1729">
        <v>11221</v>
      </c>
      <c r="L1729" t="s">
        <v>18958</v>
      </c>
      <c r="M1729" t="s">
        <v>18958</v>
      </c>
      <c r="O1729" t="s">
        <v>26526</v>
      </c>
      <c r="P1729" t="s">
        <v>26560</v>
      </c>
      <c r="R1729" t="s">
        <v>26578</v>
      </c>
      <c r="S1729" t="s">
        <v>18958</v>
      </c>
      <c r="U1729" t="s">
        <v>26604</v>
      </c>
      <c r="W1729" t="s">
        <v>576</v>
      </c>
      <c r="X1729">
        <v>834</v>
      </c>
      <c r="Y1729" t="s">
        <v>26652</v>
      </c>
      <c r="Z1729" t="s">
        <v>26663</v>
      </c>
      <c r="AB1729" t="s">
        <v>28240</v>
      </c>
      <c r="AD1729" t="s">
        <v>38288</v>
      </c>
      <c r="AE1729">
        <v>12</v>
      </c>
      <c r="AF1729" t="s">
        <v>45541</v>
      </c>
      <c r="AG1729" t="s">
        <v>19330</v>
      </c>
      <c r="AH1729">
        <v>26</v>
      </c>
      <c r="AI1729">
        <v>5</v>
      </c>
      <c r="AJ1729">
        <v>2</v>
      </c>
      <c r="AK1729">
        <v>136.63</v>
      </c>
      <c r="AN1729" t="s">
        <v>7439</v>
      </c>
      <c r="AO1729">
        <v>52000</v>
      </c>
      <c r="AP1729" t="s">
        <v>45728</v>
      </c>
      <c r="AU1729">
        <v>1</v>
      </c>
      <c r="AV1729" t="s">
        <v>741</v>
      </c>
      <c r="AW1729" t="s">
        <v>279</v>
      </c>
    </row>
    <row r="1730" spans="1:50">
      <c r="A1730" s="1">
        <f>HYPERLINK("https://lsnyc.legalserver.org/matter/dynamic-profile/view/1879052","18-1879052")</f>
        <v>0</v>
      </c>
      <c r="B1730" t="s">
        <v>88</v>
      </c>
      <c r="C1730" t="s">
        <v>340</v>
      </c>
      <c r="D1730" t="s">
        <v>540</v>
      </c>
      <c r="F1730" t="s">
        <v>999</v>
      </c>
      <c r="G1730" t="s">
        <v>6098</v>
      </c>
      <c r="H1730" t="s">
        <v>10676</v>
      </c>
      <c r="I1730" t="s">
        <v>17299</v>
      </c>
      <c r="J1730" t="s">
        <v>18894</v>
      </c>
      <c r="K1730">
        <v>11221</v>
      </c>
      <c r="L1730" t="s">
        <v>18958</v>
      </c>
      <c r="M1730" t="s">
        <v>18958</v>
      </c>
      <c r="O1730" t="s">
        <v>26526</v>
      </c>
      <c r="P1730" t="s">
        <v>26560</v>
      </c>
      <c r="R1730" t="s">
        <v>26578</v>
      </c>
      <c r="S1730" t="s">
        <v>18958</v>
      </c>
      <c r="U1730" t="s">
        <v>26604</v>
      </c>
      <c r="W1730" t="s">
        <v>576</v>
      </c>
      <c r="X1730">
        <v>790</v>
      </c>
      <c r="Y1730" t="s">
        <v>26652</v>
      </c>
      <c r="Z1730" t="s">
        <v>26663</v>
      </c>
      <c r="AB1730" t="s">
        <v>28241</v>
      </c>
      <c r="AD1730" t="s">
        <v>38289</v>
      </c>
      <c r="AE1730">
        <v>13</v>
      </c>
      <c r="AF1730" t="s">
        <v>45541</v>
      </c>
      <c r="AG1730" t="s">
        <v>19330</v>
      </c>
      <c r="AH1730">
        <v>20</v>
      </c>
      <c r="AI1730">
        <v>1</v>
      </c>
      <c r="AJ1730">
        <v>0</v>
      </c>
      <c r="AK1730">
        <v>155.02</v>
      </c>
      <c r="AN1730" t="s">
        <v>7439</v>
      </c>
      <c r="AO1730">
        <v>18820</v>
      </c>
      <c r="AP1730" t="s">
        <v>45729</v>
      </c>
      <c r="AU1730">
        <v>0</v>
      </c>
      <c r="AW1730" t="s">
        <v>279</v>
      </c>
    </row>
    <row r="1731" spans="1:50">
      <c r="A1731" s="1">
        <f>HYPERLINK("https://lsnyc.legalserver.org/matter/dynamic-profile/view/1879051","18-1879051")</f>
        <v>0</v>
      </c>
      <c r="B1731" t="s">
        <v>88</v>
      </c>
      <c r="C1731" t="s">
        <v>340</v>
      </c>
      <c r="D1731" t="s">
        <v>540</v>
      </c>
      <c r="F1731" t="s">
        <v>999</v>
      </c>
      <c r="G1731" t="s">
        <v>6098</v>
      </c>
      <c r="H1731" t="s">
        <v>10676</v>
      </c>
      <c r="I1731" t="s">
        <v>17299</v>
      </c>
      <c r="J1731" t="s">
        <v>18894</v>
      </c>
      <c r="K1731">
        <v>11221</v>
      </c>
      <c r="L1731" t="s">
        <v>18958</v>
      </c>
      <c r="M1731" t="s">
        <v>18958</v>
      </c>
      <c r="O1731" t="s">
        <v>26531</v>
      </c>
      <c r="P1731" t="s">
        <v>26561</v>
      </c>
      <c r="R1731" t="s">
        <v>26578</v>
      </c>
      <c r="S1731" t="s">
        <v>18958</v>
      </c>
      <c r="U1731" t="s">
        <v>26604</v>
      </c>
      <c r="W1731" t="s">
        <v>576</v>
      </c>
      <c r="X1731">
        <v>790</v>
      </c>
      <c r="Y1731" t="s">
        <v>26652</v>
      </c>
      <c r="Z1731" t="s">
        <v>26663</v>
      </c>
      <c r="AB1731" t="s">
        <v>28241</v>
      </c>
      <c r="AD1731" t="s">
        <v>38289</v>
      </c>
      <c r="AE1731">
        <v>13</v>
      </c>
      <c r="AF1731" t="s">
        <v>45541</v>
      </c>
      <c r="AG1731" t="s">
        <v>19330</v>
      </c>
      <c r="AH1731">
        <v>20</v>
      </c>
      <c r="AI1731">
        <v>1</v>
      </c>
      <c r="AJ1731">
        <v>0</v>
      </c>
      <c r="AK1731">
        <v>155.02</v>
      </c>
      <c r="AN1731" t="s">
        <v>7439</v>
      </c>
      <c r="AO1731">
        <v>18820</v>
      </c>
      <c r="AU1731">
        <v>0</v>
      </c>
      <c r="AW1731" t="s">
        <v>279</v>
      </c>
    </row>
    <row r="1732" spans="1:50">
      <c r="A1732" s="1">
        <f>HYPERLINK("https://lsnyc.legalserver.org/matter/dynamic-profile/view/1879255","18-1879255")</f>
        <v>0</v>
      </c>
      <c r="B1732" t="s">
        <v>78</v>
      </c>
      <c r="C1732" t="s">
        <v>340</v>
      </c>
      <c r="D1732" t="s">
        <v>583</v>
      </c>
      <c r="F1732" t="s">
        <v>1928</v>
      </c>
      <c r="G1732" t="s">
        <v>6099</v>
      </c>
      <c r="H1732" t="s">
        <v>11062</v>
      </c>
      <c r="I1732" t="s">
        <v>17307</v>
      </c>
      <c r="J1732" t="s">
        <v>18894</v>
      </c>
      <c r="K1732">
        <v>11213</v>
      </c>
      <c r="L1732" t="s">
        <v>18958</v>
      </c>
      <c r="M1732" t="s">
        <v>18958</v>
      </c>
      <c r="N1732" t="s">
        <v>19951</v>
      </c>
      <c r="O1732" t="s">
        <v>26526</v>
      </c>
      <c r="P1732" t="s">
        <v>26560</v>
      </c>
      <c r="R1732" t="s">
        <v>26578</v>
      </c>
      <c r="S1732" t="s">
        <v>18958</v>
      </c>
      <c r="U1732" t="s">
        <v>26604</v>
      </c>
      <c r="W1732" t="s">
        <v>576</v>
      </c>
      <c r="X1732">
        <v>1200</v>
      </c>
      <c r="Y1732" t="s">
        <v>26652</v>
      </c>
      <c r="AB1732" t="s">
        <v>28242</v>
      </c>
      <c r="AD1732" t="s">
        <v>38290</v>
      </c>
      <c r="AE1732">
        <v>35</v>
      </c>
      <c r="AF1732" t="s">
        <v>45541</v>
      </c>
      <c r="AH1732">
        <v>10</v>
      </c>
      <c r="AI1732">
        <v>3</v>
      </c>
      <c r="AJ1732">
        <v>1</v>
      </c>
      <c r="AK1732">
        <v>79.68000000000001</v>
      </c>
      <c r="AN1732" t="s">
        <v>7439</v>
      </c>
      <c r="AO1732">
        <v>20000</v>
      </c>
      <c r="AU1732">
        <v>0.1</v>
      </c>
      <c r="AV1732" t="s">
        <v>806</v>
      </c>
      <c r="AW1732" t="s">
        <v>279</v>
      </c>
      <c r="AX1732" t="s">
        <v>46897</v>
      </c>
    </row>
    <row r="1733" spans="1:50">
      <c r="A1733" s="1">
        <f>HYPERLINK("https://lsnyc.legalserver.org/matter/dynamic-profile/view/1879248","18-1879248")</f>
        <v>0</v>
      </c>
      <c r="B1733" t="s">
        <v>78</v>
      </c>
      <c r="C1733" t="s">
        <v>340</v>
      </c>
      <c r="D1733" t="s">
        <v>583</v>
      </c>
      <c r="F1733" t="s">
        <v>1929</v>
      </c>
      <c r="G1733" t="s">
        <v>5008</v>
      </c>
      <c r="H1733" t="s">
        <v>11063</v>
      </c>
      <c r="I1733" t="s">
        <v>17388</v>
      </c>
      <c r="J1733" t="s">
        <v>18894</v>
      </c>
      <c r="K1733">
        <v>11213</v>
      </c>
      <c r="L1733" t="s">
        <v>18958</v>
      </c>
      <c r="M1733" t="s">
        <v>18958</v>
      </c>
      <c r="N1733" t="s">
        <v>19951</v>
      </c>
      <c r="O1733" t="s">
        <v>26526</v>
      </c>
      <c r="P1733" t="s">
        <v>26560</v>
      </c>
      <c r="R1733" t="s">
        <v>26578</v>
      </c>
      <c r="S1733" t="s">
        <v>18958</v>
      </c>
      <c r="T1733" t="s">
        <v>26578</v>
      </c>
      <c r="U1733" t="s">
        <v>26604</v>
      </c>
      <c r="W1733" t="s">
        <v>576</v>
      </c>
      <c r="X1733">
        <v>652.36</v>
      </c>
      <c r="Y1733" t="s">
        <v>26652</v>
      </c>
      <c r="AB1733" t="s">
        <v>28243</v>
      </c>
      <c r="AD1733" t="s">
        <v>38291</v>
      </c>
      <c r="AE1733">
        <v>6</v>
      </c>
      <c r="AF1733" t="s">
        <v>45541</v>
      </c>
      <c r="AG1733" t="s">
        <v>19330</v>
      </c>
      <c r="AH1733">
        <v>45</v>
      </c>
      <c r="AI1733">
        <v>2</v>
      </c>
      <c r="AJ1733">
        <v>0</v>
      </c>
      <c r="AK1733">
        <v>230.46</v>
      </c>
      <c r="AN1733" t="s">
        <v>7439</v>
      </c>
      <c r="AO1733">
        <v>37934.16</v>
      </c>
      <c r="AU1733">
        <v>0.1</v>
      </c>
      <c r="AV1733" t="s">
        <v>758</v>
      </c>
      <c r="AW1733" t="s">
        <v>279</v>
      </c>
    </row>
    <row r="1734" spans="1:50">
      <c r="A1734" s="1">
        <f>HYPERLINK("https://lsnyc.legalserver.org/matter/dynamic-profile/view/1845586","17-1845586")</f>
        <v>0</v>
      </c>
      <c r="B1734" t="s">
        <v>121</v>
      </c>
      <c r="C1734" t="s">
        <v>341</v>
      </c>
      <c r="D1734" t="s">
        <v>481</v>
      </c>
      <c r="E1734" t="s">
        <v>829</v>
      </c>
      <c r="F1734" t="s">
        <v>1930</v>
      </c>
      <c r="G1734" t="s">
        <v>1901</v>
      </c>
      <c r="H1734" t="s">
        <v>11064</v>
      </c>
      <c r="I1734" t="s">
        <v>17274</v>
      </c>
      <c r="J1734" t="s">
        <v>18892</v>
      </c>
      <c r="K1734">
        <v>10457</v>
      </c>
      <c r="L1734" t="s">
        <v>18958</v>
      </c>
      <c r="M1734" t="s">
        <v>18960</v>
      </c>
      <c r="N1734" t="s">
        <v>20255</v>
      </c>
      <c r="O1734" t="s">
        <v>26523</v>
      </c>
      <c r="P1734" t="s">
        <v>26560</v>
      </c>
      <c r="Q1734" t="s">
        <v>26568</v>
      </c>
      <c r="R1734" t="s">
        <v>26579</v>
      </c>
      <c r="U1734" t="s">
        <v>26604</v>
      </c>
      <c r="V1734" t="s">
        <v>26610</v>
      </c>
      <c r="W1734" t="s">
        <v>578</v>
      </c>
      <c r="X1734">
        <v>1056.33</v>
      </c>
      <c r="Y1734" t="s">
        <v>26650</v>
      </c>
      <c r="Z1734" t="s">
        <v>26662</v>
      </c>
      <c r="AA1734" t="s">
        <v>26678</v>
      </c>
      <c r="AB1734" t="s">
        <v>28244</v>
      </c>
      <c r="AD1734" t="s">
        <v>38292</v>
      </c>
      <c r="AE1734">
        <v>25</v>
      </c>
      <c r="AF1734" t="s">
        <v>45541</v>
      </c>
      <c r="AG1734" t="s">
        <v>19330</v>
      </c>
      <c r="AH1734">
        <v>6</v>
      </c>
      <c r="AI1734">
        <v>1</v>
      </c>
      <c r="AJ1734">
        <v>0</v>
      </c>
      <c r="AK1734">
        <v>10.78</v>
      </c>
      <c r="AN1734" t="s">
        <v>7439</v>
      </c>
      <c r="AO1734">
        <v>1300</v>
      </c>
      <c r="AP1734" t="s">
        <v>45621</v>
      </c>
      <c r="AQ1734" t="s">
        <v>46365</v>
      </c>
      <c r="AR1734" t="s">
        <v>46379</v>
      </c>
      <c r="AS1734" t="s">
        <v>46499</v>
      </c>
      <c r="AT1734" t="s">
        <v>46713</v>
      </c>
      <c r="AU1734">
        <v>53.2</v>
      </c>
      <c r="AV1734" t="s">
        <v>781</v>
      </c>
      <c r="AW1734" t="s">
        <v>46848</v>
      </c>
    </row>
    <row r="1735" spans="1:50">
      <c r="A1735" s="1">
        <f>HYPERLINK("https://lsnyc.legalserver.org/matter/dynamic-profile/view/1863543","18-1863543")</f>
        <v>0</v>
      </c>
      <c r="B1735" t="s">
        <v>122</v>
      </c>
      <c r="C1735" t="s">
        <v>341</v>
      </c>
      <c r="D1735" t="s">
        <v>536</v>
      </c>
      <c r="E1735" t="s">
        <v>511</v>
      </c>
      <c r="F1735" t="s">
        <v>1931</v>
      </c>
      <c r="G1735" t="s">
        <v>6100</v>
      </c>
      <c r="H1735" t="s">
        <v>11065</v>
      </c>
      <c r="J1735" t="s">
        <v>18914</v>
      </c>
      <c r="K1735">
        <v>11104</v>
      </c>
      <c r="L1735" t="s">
        <v>18958</v>
      </c>
      <c r="M1735" t="s">
        <v>18958</v>
      </c>
      <c r="N1735" t="s">
        <v>20256</v>
      </c>
      <c r="O1735" t="s">
        <v>26524</v>
      </c>
      <c r="P1735" t="s">
        <v>26564</v>
      </c>
      <c r="Q1735" t="s">
        <v>26570</v>
      </c>
      <c r="R1735" t="s">
        <v>26584</v>
      </c>
      <c r="U1735" t="s">
        <v>26604</v>
      </c>
      <c r="W1735" t="s">
        <v>578</v>
      </c>
      <c r="X1735">
        <v>1100</v>
      </c>
      <c r="Y1735" t="s">
        <v>26653</v>
      </c>
      <c r="Z1735" t="s">
        <v>26664</v>
      </c>
      <c r="AA1735" t="s">
        <v>26683</v>
      </c>
      <c r="AB1735" t="s">
        <v>28245</v>
      </c>
      <c r="AC1735" t="s">
        <v>35015</v>
      </c>
      <c r="AD1735" t="s">
        <v>38293</v>
      </c>
      <c r="AE1735">
        <v>0</v>
      </c>
      <c r="AF1735" t="s">
        <v>45553</v>
      </c>
      <c r="AG1735" t="s">
        <v>45561</v>
      </c>
      <c r="AH1735">
        <v>2</v>
      </c>
      <c r="AI1735">
        <v>1</v>
      </c>
      <c r="AJ1735">
        <v>0</v>
      </c>
      <c r="AK1735">
        <v>36.84</v>
      </c>
      <c r="AN1735" t="s">
        <v>7439</v>
      </c>
      <c r="AO1735">
        <v>4472</v>
      </c>
      <c r="AU1735">
        <v>2.65</v>
      </c>
      <c r="AV1735" t="s">
        <v>578</v>
      </c>
      <c r="AW1735" t="s">
        <v>122</v>
      </c>
    </row>
    <row r="1736" spans="1:50">
      <c r="A1736" s="1">
        <f>HYPERLINK("https://lsnyc.legalserver.org/matter/dynamic-profile/view/1877121","18-1877121")</f>
        <v>0</v>
      </c>
      <c r="B1736" t="s">
        <v>81</v>
      </c>
      <c r="C1736" t="s">
        <v>341</v>
      </c>
      <c r="D1736" t="s">
        <v>422</v>
      </c>
      <c r="E1736" t="s">
        <v>753</v>
      </c>
      <c r="F1736" t="s">
        <v>1043</v>
      </c>
      <c r="G1736" t="s">
        <v>5095</v>
      </c>
      <c r="H1736" t="s">
        <v>11066</v>
      </c>
      <c r="I1736" t="s">
        <v>17287</v>
      </c>
      <c r="J1736" t="s">
        <v>18892</v>
      </c>
      <c r="K1736">
        <v>10467</v>
      </c>
      <c r="L1736" t="s">
        <v>18958</v>
      </c>
      <c r="M1736" t="s">
        <v>18958</v>
      </c>
      <c r="N1736" t="s">
        <v>20257</v>
      </c>
      <c r="O1736" t="s">
        <v>26523</v>
      </c>
      <c r="P1736" t="s">
        <v>26560</v>
      </c>
      <c r="Q1736" t="s">
        <v>26568</v>
      </c>
      <c r="R1736" t="s">
        <v>26579</v>
      </c>
      <c r="U1736" t="s">
        <v>26604</v>
      </c>
      <c r="V1736" t="s">
        <v>26610</v>
      </c>
      <c r="W1736" t="s">
        <v>578</v>
      </c>
      <c r="X1736">
        <v>1456.8</v>
      </c>
      <c r="Y1736" t="s">
        <v>26650</v>
      </c>
      <c r="Z1736" t="s">
        <v>26664</v>
      </c>
      <c r="AA1736" t="s">
        <v>26678</v>
      </c>
      <c r="AB1736" t="s">
        <v>28246</v>
      </c>
      <c r="AC1736" t="s">
        <v>35016</v>
      </c>
      <c r="AD1736" t="s">
        <v>38294</v>
      </c>
      <c r="AE1736">
        <v>95</v>
      </c>
      <c r="AF1736" t="s">
        <v>45541</v>
      </c>
      <c r="AG1736" t="s">
        <v>45561</v>
      </c>
      <c r="AH1736">
        <v>1</v>
      </c>
      <c r="AI1736">
        <v>2</v>
      </c>
      <c r="AJ1736">
        <v>0</v>
      </c>
      <c r="AK1736">
        <v>151.28</v>
      </c>
      <c r="AN1736" t="s">
        <v>7439</v>
      </c>
      <c r="AO1736">
        <v>24900</v>
      </c>
      <c r="AR1736" t="s">
        <v>26530</v>
      </c>
      <c r="AS1736" t="s">
        <v>46499</v>
      </c>
      <c r="AT1736" t="s">
        <v>46714</v>
      </c>
      <c r="AU1736">
        <v>3.7</v>
      </c>
      <c r="AV1736" t="s">
        <v>577</v>
      </c>
      <c r="AW1736" t="s">
        <v>336</v>
      </c>
      <c r="AX1736" t="s">
        <v>46898</v>
      </c>
    </row>
    <row r="1737" spans="1:50">
      <c r="A1737" s="1">
        <f>HYPERLINK("https://lsnyc.legalserver.org/matter/dynamic-profile/view/1877282","18-1877282")</f>
        <v>0</v>
      </c>
      <c r="B1737" t="s">
        <v>222</v>
      </c>
      <c r="C1737" t="s">
        <v>341</v>
      </c>
      <c r="D1737" t="s">
        <v>578</v>
      </c>
      <c r="E1737" t="s">
        <v>664</v>
      </c>
      <c r="F1737" t="s">
        <v>947</v>
      </c>
      <c r="G1737" t="s">
        <v>1146</v>
      </c>
      <c r="H1737" t="s">
        <v>10810</v>
      </c>
      <c r="I1737" t="s">
        <v>17714</v>
      </c>
      <c r="J1737" t="s">
        <v>18894</v>
      </c>
      <c r="K1737">
        <v>11212</v>
      </c>
      <c r="L1737" t="s">
        <v>18958</v>
      </c>
      <c r="M1737" t="s">
        <v>18960</v>
      </c>
      <c r="N1737" t="s">
        <v>20258</v>
      </c>
      <c r="O1737" t="s">
        <v>26549</v>
      </c>
      <c r="P1737" t="s">
        <v>26560</v>
      </c>
      <c r="Q1737" t="s">
        <v>26569</v>
      </c>
      <c r="R1737" t="s">
        <v>26586</v>
      </c>
      <c r="S1737" t="s">
        <v>18959</v>
      </c>
      <c r="U1737" t="s">
        <v>26605</v>
      </c>
      <c r="V1737" t="s">
        <v>26612</v>
      </c>
      <c r="W1737" t="s">
        <v>578</v>
      </c>
      <c r="X1737">
        <v>156</v>
      </c>
      <c r="Y1737" t="s">
        <v>26652</v>
      </c>
      <c r="Z1737" t="s">
        <v>26659</v>
      </c>
      <c r="AA1737" t="s">
        <v>26679</v>
      </c>
      <c r="AB1737" t="s">
        <v>28247</v>
      </c>
      <c r="AC1737" t="s">
        <v>35017</v>
      </c>
      <c r="AD1737" t="s">
        <v>38295</v>
      </c>
      <c r="AE1737">
        <v>112</v>
      </c>
      <c r="AF1737" t="s">
        <v>45549</v>
      </c>
      <c r="AG1737" t="s">
        <v>19330</v>
      </c>
      <c r="AH1737">
        <v>20</v>
      </c>
      <c r="AI1737">
        <v>1</v>
      </c>
      <c r="AJ1737">
        <v>1</v>
      </c>
      <c r="AK1737">
        <v>126.37</v>
      </c>
      <c r="AN1737" t="s">
        <v>7439</v>
      </c>
      <c r="AO1737">
        <v>20800</v>
      </c>
      <c r="AQ1737" t="s">
        <v>46359</v>
      </c>
      <c r="AT1737" t="s">
        <v>46518</v>
      </c>
      <c r="AU1737">
        <v>4.35</v>
      </c>
      <c r="AV1737" t="s">
        <v>664</v>
      </c>
      <c r="AW1737" t="s">
        <v>46862</v>
      </c>
    </row>
    <row r="1738" spans="1:50">
      <c r="A1738" s="1">
        <f>HYPERLINK("https://lsnyc.legalserver.org/matter/dynamic-profile/view/1877435","18-1877435")</f>
        <v>0</v>
      </c>
      <c r="B1738" t="s">
        <v>208</v>
      </c>
      <c r="C1738" t="s">
        <v>341</v>
      </c>
      <c r="D1738" t="s">
        <v>578</v>
      </c>
      <c r="E1738" t="s">
        <v>586</v>
      </c>
      <c r="F1738" t="s">
        <v>939</v>
      </c>
      <c r="G1738" t="s">
        <v>1685</v>
      </c>
      <c r="H1738" t="s">
        <v>11067</v>
      </c>
      <c r="I1738" t="s">
        <v>17284</v>
      </c>
      <c r="J1738" t="s">
        <v>18900</v>
      </c>
      <c r="K1738">
        <v>11367</v>
      </c>
      <c r="L1738" t="s">
        <v>18958</v>
      </c>
      <c r="M1738" t="s">
        <v>18958</v>
      </c>
      <c r="N1738" t="s">
        <v>20259</v>
      </c>
      <c r="O1738" t="s">
        <v>26524</v>
      </c>
      <c r="P1738" t="s">
        <v>26564</v>
      </c>
      <c r="Q1738" t="s">
        <v>26570</v>
      </c>
      <c r="R1738" t="s">
        <v>26578</v>
      </c>
      <c r="S1738" t="s">
        <v>18959</v>
      </c>
      <c r="U1738" t="s">
        <v>26604</v>
      </c>
      <c r="V1738" t="s">
        <v>26610</v>
      </c>
      <c r="W1738" t="s">
        <v>578</v>
      </c>
      <c r="X1738">
        <v>950</v>
      </c>
      <c r="Y1738" t="s">
        <v>26653</v>
      </c>
      <c r="Z1738" t="s">
        <v>26659</v>
      </c>
      <c r="AA1738" t="s">
        <v>26683</v>
      </c>
      <c r="AB1738" t="s">
        <v>28248</v>
      </c>
      <c r="AC1738" t="s">
        <v>35018</v>
      </c>
      <c r="AD1738" t="s">
        <v>38296</v>
      </c>
      <c r="AE1738">
        <v>3</v>
      </c>
      <c r="AF1738" t="s">
        <v>45541</v>
      </c>
      <c r="AG1738" t="s">
        <v>45561</v>
      </c>
      <c r="AH1738">
        <v>30</v>
      </c>
      <c r="AI1738">
        <v>1</v>
      </c>
      <c r="AJ1738">
        <v>0</v>
      </c>
      <c r="AK1738">
        <v>74.14</v>
      </c>
      <c r="AN1738" t="s">
        <v>7439</v>
      </c>
      <c r="AO1738">
        <v>9000</v>
      </c>
      <c r="AU1738">
        <v>1.1</v>
      </c>
      <c r="AV1738" t="s">
        <v>586</v>
      </c>
      <c r="AW1738" t="s">
        <v>208</v>
      </c>
    </row>
    <row r="1739" spans="1:50">
      <c r="A1739" s="1">
        <f>HYPERLINK("https://lsnyc.legalserver.org/matter/dynamic-profile/view/1877323","18-1877323")</f>
        <v>0</v>
      </c>
      <c r="B1739" t="s">
        <v>61</v>
      </c>
      <c r="C1739" t="s">
        <v>341</v>
      </c>
      <c r="D1739" t="s">
        <v>578</v>
      </c>
      <c r="E1739" t="s">
        <v>847</v>
      </c>
      <c r="F1739" t="s">
        <v>1932</v>
      </c>
      <c r="G1739" t="s">
        <v>5187</v>
      </c>
      <c r="H1739" t="s">
        <v>11016</v>
      </c>
      <c r="I1739" t="s">
        <v>17358</v>
      </c>
      <c r="J1739" t="s">
        <v>18893</v>
      </c>
      <c r="K1739">
        <v>10034</v>
      </c>
      <c r="L1739" t="s">
        <v>18958</v>
      </c>
      <c r="M1739" t="s">
        <v>18958</v>
      </c>
      <c r="N1739" t="s">
        <v>20260</v>
      </c>
      <c r="O1739" t="s">
        <v>26523</v>
      </c>
      <c r="P1739" t="s">
        <v>26565</v>
      </c>
      <c r="Q1739" t="s">
        <v>26571</v>
      </c>
      <c r="R1739" t="s">
        <v>26578</v>
      </c>
      <c r="S1739" t="s">
        <v>18959</v>
      </c>
      <c r="U1739" t="s">
        <v>26604</v>
      </c>
      <c r="V1739" t="s">
        <v>26610</v>
      </c>
      <c r="W1739" t="s">
        <v>578</v>
      </c>
      <c r="X1739">
        <v>1049.5</v>
      </c>
      <c r="Y1739" t="s">
        <v>26651</v>
      </c>
      <c r="Z1739" t="s">
        <v>26661</v>
      </c>
      <c r="AA1739" t="s">
        <v>26683</v>
      </c>
      <c r="AB1739" t="s">
        <v>28249</v>
      </c>
      <c r="AD1739" t="s">
        <v>38297</v>
      </c>
      <c r="AE1739">
        <v>101</v>
      </c>
      <c r="AF1739" t="s">
        <v>45541</v>
      </c>
      <c r="AG1739" t="s">
        <v>19330</v>
      </c>
      <c r="AH1739">
        <v>25</v>
      </c>
      <c r="AI1739">
        <v>1</v>
      </c>
      <c r="AJ1739">
        <v>0</v>
      </c>
      <c r="AK1739">
        <v>120.79</v>
      </c>
      <c r="AN1739" t="s">
        <v>45581</v>
      </c>
      <c r="AO1739">
        <v>14664</v>
      </c>
      <c r="AU1739">
        <v>3.9</v>
      </c>
      <c r="AV1739" t="s">
        <v>847</v>
      </c>
      <c r="AW1739" t="s">
        <v>46840</v>
      </c>
    </row>
    <row r="1740" spans="1:50">
      <c r="A1740" s="1">
        <f>HYPERLINK("https://lsnyc.legalserver.org/matter/dynamic-profile/view/1877335","18-1877335")</f>
        <v>0</v>
      </c>
      <c r="B1740" t="s">
        <v>61</v>
      </c>
      <c r="C1740" t="s">
        <v>341</v>
      </c>
      <c r="D1740" t="s">
        <v>578</v>
      </c>
      <c r="E1740" t="s">
        <v>697</v>
      </c>
      <c r="F1740" t="s">
        <v>1933</v>
      </c>
      <c r="G1740" t="s">
        <v>1345</v>
      </c>
      <c r="H1740" t="s">
        <v>11068</v>
      </c>
      <c r="I1740" t="s">
        <v>17715</v>
      </c>
      <c r="J1740" t="s">
        <v>18893</v>
      </c>
      <c r="K1740">
        <v>10034</v>
      </c>
      <c r="L1740" t="s">
        <v>18958</v>
      </c>
      <c r="M1740" t="s">
        <v>18958</v>
      </c>
      <c r="O1740" t="s">
        <v>26529</v>
      </c>
      <c r="P1740" t="s">
        <v>26565</v>
      </c>
      <c r="Q1740" t="s">
        <v>26571</v>
      </c>
      <c r="R1740" t="s">
        <v>26578</v>
      </c>
      <c r="S1740" t="s">
        <v>18959</v>
      </c>
      <c r="U1740" t="s">
        <v>26604</v>
      </c>
      <c r="W1740" t="s">
        <v>578</v>
      </c>
      <c r="X1740">
        <v>1332.21</v>
      </c>
      <c r="Y1740" t="s">
        <v>26651</v>
      </c>
      <c r="Z1740" t="s">
        <v>26661</v>
      </c>
      <c r="AA1740" t="s">
        <v>26682</v>
      </c>
      <c r="AB1740" t="s">
        <v>28250</v>
      </c>
      <c r="AE1740">
        <v>68</v>
      </c>
      <c r="AF1740" t="s">
        <v>45541</v>
      </c>
      <c r="AG1740" t="s">
        <v>19330</v>
      </c>
      <c r="AH1740">
        <v>0</v>
      </c>
      <c r="AI1740">
        <v>1</v>
      </c>
      <c r="AJ1740">
        <v>0</v>
      </c>
      <c r="AK1740">
        <v>232.88</v>
      </c>
      <c r="AL1740" t="s">
        <v>614</v>
      </c>
      <c r="AM1740" t="s">
        <v>45575</v>
      </c>
      <c r="AN1740" t="s">
        <v>45581</v>
      </c>
      <c r="AO1740">
        <v>28272</v>
      </c>
      <c r="AU1740">
        <v>1.7</v>
      </c>
      <c r="AV1740" t="s">
        <v>578</v>
      </c>
      <c r="AW1740" t="s">
        <v>46840</v>
      </c>
      <c r="AX1740" t="s">
        <v>46897</v>
      </c>
    </row>
    <row r="1741" spans="1:50">
      <c r="A1741" s="1">
        <f>HYPERLINK("https://lsnyc.legalserver.org/matter/dynamic-profile/view/1877347","18-1877347")</f>
        <v>0</v>
      </c>
      <c r="B1741" t="s">
        <v>130</v>
      </c>
      <c r="C1741" t="s">
        <v>341</v>
      </c>
      <c r="D1741" t="s">
        <v>578</v>
      </c>
      <c r="E1741" t="s">
        <v>586</v>
      </c>
      <c r="F1741" t="s">
        <v>1703</v>
      </c>
      <c r="G1741" t="s">
        <v>5363</v>
      </c>
      <c r="H1741" t="s">
        <v>11069</v>
      </c>
      <c r="I1741">
        <v>1</v>
      </c>
      <c r="J1741" t="s">
        <v>18916</v>
      </c>
      <c r="K1741">
        <v>11693</v>
      </c>
      <c r="L1741" t="s">
        <v>18958</v>
      </c>
      <c r="M1741" t="s">
        <v>18958</v>
      </c>
      <c r="N1741" t="s">
        <v>20261</v>
      </c>
      <c r="O1741" t="s">
        <v>26523</v>
      </c>
      <c r="P1741" t="s">
        <v>26564</v>
      </c>
      <c r="Q1741" t="s">
        <v>26570</v>
      </c>
      <c r="R1741" t="s">
        <v>26584</v>
      </c>
      <c r="S1741" t="s">
        <v>18959</v>
      </c>
      <c r="U1741" t="s">
        <v>26604</v>
      </c>
      <c r="V1741" t="s">
        <v>26610</v>
      </c>
      <c r="W1741" t="s">
        <v>578</v>
      </c>
      <c r="X1741">
        <v>1650</v>
      </c>
      <c r="Y1741" t="s">
        <v>26653</v>
      </c>
      <c r="Z1741" t="s">
        <v>26664</v>
      </c>
      <c r="AA1741" t="s">
        <v>26683</v>
      </c>
      <c r="AB1741" t="s">
        <v>28251</v>
      </c>
      <c r="AC1741" t="s">
        <v>19079</v>
      </c>
      <c r="AD1741" t="s">
        <v>38298</v>
      </c>
      <c r="AE1741">
        <v>3</v>
      </c>
      <c r="AF1741" t="s">
        <v>45547</v>
      </c>
      <c r="AG1741" t="s">
        <v>19330</v>
      </c>
      <c r="AH1741">
        <v>3</v>
      </c>
      <c r="AI1741">
        <v>1</v>
      </c>
      <c r="AJ1741">
        <v>2</v>
      </c>
      <c r="AK1741">
        <v>144.37</v>
      </c>
      <c r="AN1741" t="s">
        <v>7439</v>
      </c>
      <c r="AO1741">
        <v>30000</v>
      </c>
      <c r="AU1741">
        <v>1.85</v>
      </c>
      <c r="AV1741" t="s">
        <v>586</v>
      </c>
      <c r="AW1741" t="s">
        <v>122</v>
      </c>
    </row>
    <row r="1742" spans="1:50">
      <c r="A1742" s="1">
        <f>HYPERLINK("https://lsnyc.legalserver.org/matter/dynamic-profile/view/1877301","18-1877301")</f>
        <v>0</v>
      </c>
      <c r="B1742" t="s">
        <v>130</v>
      </c>
      <c r="C1742" t="s">
        <v>341</v>
      </c>
      <c r="D1742" t="s">
        <v>578</v>
      </c>
      <c r="E1742" t="s">
        <v>578</v>
      </c>
      <c r="F1742" t="s">
        <v>1164</v>
      </c>
      <c r="G1742" t="s">
        <v>6101</v>
      </c>
      <c r="H1742" t="s">
        <v>11070</v>
      </c>
      <c r="J1742" t="s">
        <v>7026</v>
      </c>
      <c r="K1742">
        <v>11368</v>
      </c>
      <c r="L1742" t="s">
        <v>18958</v>
      </c>
      <c r="M1742" t="s">
        <v>18958</v>
      </c>
      <c r="N1742" t="s">
        <v>20262</v>
      </c>
      <c r="O1742" t="s">
        <v>26524</v>
      </c>
      <c r="P1742" t="s">
        <v>26564</v>
      </c>
      <c r="Q1742" t="s">
        <v>26570</v>
      </c>
      <c r="R1742" t="s">
        <v>26584</v>
      </c>
      <c r="S1742" t="s">
        <v>26598</v>
      </c>
      <c r="U1742" t="s">
        <v>26604</v>
      </c>
      <c r="V1742" t="s">
        <v>26612</v>
      </c>
      <c r="W1742" t="s">
        <v>578</v>
      </c>
      <c r="X1742">
        <v>1500</v>
      </c>
      <c r="Y1742" t="s">
        <v>26653</v>
      </c>
      <c r="Z1742" t="s">
        <v>26664</v>
      </c>
      <c r="AA1742" t="s">
        <v>26683</v>
      </c>
      <c r="AB1742" t="s">
        <v>28252</v>
      </c>
      <c r="AC1742" t="s">
        <v>35019</v>
      </c>
      <c r="AD1742" t="s">
        <v>38299</v>
      </c>
      <c r="AE1742">
        <v>2</v>
      </c>
      <c r="AF1742" t="s">
        <v>45547</v>
      </c>
      <c r="AG1742" t="s">
        <v>19330</v>
      </c>
      <c r="AH1742">
        <v>3</v>
      </c>
      <c r="AI1742">
        <v>2</v>
      </c>
      <c r="AJ1742">
        <v>2</v>
      </c>
      <c r="AK1742">
        <v>151.39</v>
      </c>
      <c r="AN1742" t="s">
        <v>7439</v>
      </c>
      <c r="AO1742">
        <v>38000</v>
      </c>
      <c r="AU1742">
        <v>1.6</v>
      </c>
      <c r="AV1742" t="s">
        <v>578</v>
      </c>
      <c r="AW1742" t="s">
        <v>122</v>
      </c>
    </row>
    <row r="1743" spans="1:50">
      <c r="A1743" s="1">
        <f>HYPERLINK("https://lsnyc.legalserver.org/matter/dynamic-profile/view/1877348","18-1877348")</f>
        <v>0</v>
      </c>
      <c r="B1743" t="s">
        <v>55</v>
      </c>
      <c r="C1743" t="s">
        <v>341</v>
      </c>
      <c r="D1743" t="s">
        <v>578</v>
      </c>
      <c r="E1743" t="s">
        <v>494</v>
      </c>
      <c r="F1743" t="s">
        <v>1934</v>
      </c>
      <c r="G1743" t="s">
        <v>995</v>
      </c>
      <c r="H1743" t="s">
        <v>11071</v>
      </c>
      <c r="I1743" t="s">
        <v>17299</v>
      </c>
      <c r="J1743" t="s">
        <v>18892</v>
      </c>
      <c r="K1743">
        <v>10459</v>
      </c>
      <c r="L1743" t="s">
        <v>18958</v>
      </c>
      <c r="M1743" t="s">
        <v>18958</v>
      </c>
      <c r="O1743" t="s">
        <v>26523</v>
      </c>
      <c r="P1743" t="s">
        <v>26564</v>
      </c>
      <c r="Q1743" t="s">
        <v>26570</v>
      </c>
      <c r="R1743" t="s">
        <v>26578</v>
      </c>
      <c r="S1743" t="s">
        <v>18959</v>
      </c>
      <c r="U1743" t="s">
        <v>26604</v>
      </c>
      <c r="W1743" t="s">
        <v>578</v>
      </c>
      <c r="X1743">
        <v>830</v>
      </c>
      <c r="Y1743" t="s">
        <v>26650</v>
      </c>
      <c r="Z1743" t="s">
        <v>26530</v>
      </c>
      <c r="AA1743" t="s">
        <v>26680</v>
      </c>
      <c r="AB1743" t="s">
        <v>28253</v>
      </c>
      <c r="AD1743" t="s">
        <v>38300</v>
      </c>
      <c r="AE1743">
        <v>10</v>
      </c>
      <c r="AF1743" t="s">
        <v>45541</v>
      </c>
      <c r="AG1743" t="s">
        <v>19330</v>
      </c>
      <c r="AH1743">
        <v>1</v>
      </c>
      <c r="AI1743">
        <v>1</v>
      </c>
      <c r="AJ1743">
        <v>0</v>
      </c>
      <c r="AK1743">
        <v>81.81</v>
      </c>
      <c r="AN1743" t="s">
        <v>7439</v>
      </c>
      <c r="AO1743">
        <v>9932</v>
      </c>
      <c r="AP1743" t="s">
        <v>45730</v>
      </c>
      <c r="AU1743">
        <v>0.9</v>
      </c>
      <c r="AV1743" t="s">
        <v>545</v>
      </c>
      <c r="AW1743" t="s">
        <v>46841</v>
      </c>
    </row>
    <row r="1744" spans="1:50">
      <c r="A1744" s="1">
        <f>HYPERLINK("https://lsnyc.legalserver.org/matter/dynamic-profile/view/1876791","18-1876791")</f>
        <v>0</v>
      </c>
      <c r="B1744" t="s">
        <v>131</v>
      </c>
      <c r="C1744" t="s">
        <v>341</v>
      </c>
      <c r="D1744" t="s">
        <v>578</v>
      </c>
      <c r="E1744" t="s">
        <v>657</v>
      </c>
      <c r="F1744" t="s">
        <v>1935</v>
      </c>
      <c r="G1744" t="s">
        <v>6102</v>
      </c>
      <c r="H1744" t="s">
        <v>11072</v>
      </c>
      <c r="I1744">
        <v>1</v>
      </c>
      <c r="J1744" t="s">
        <v>18902</v>
      </c>
      <c r="K1744">
        <v>10301</v>
      </c>
      <c r="L1744" t="s">
        <v>18958</v>
      </c>
      <c r="M1744" t="s">
        <v>18959</v>
      </c>
      <c r="N1744" t="s">
        <v>20263</v>
      </c>
      <c r="O1744" t="s">
        <v>26526</v>
      </c>
      <c r="P1744" t="s">
        <v>26560</v>
      </c>
      <c r="Q1744" t="s">
        <v>26568</v>
      </c>
      <c r="R1744" t="s">
        <v>26578</v>
      </c>
      <c r="S1744" t="s">
        <v>18959</v>
      </c>
      <c r="U1744" t="s">
        <v>26604</v>
      </c>
      <c r="V1744" t="s">
        <v>26610</v>
      </c>
      <c r="W1744" t="s">
        <v>578</v>
      </c>
      <c r="X1744">
        <v>1243.56</v>
      </c>
      <c r="Y1744" t="s">
        <v>26654</v>
      </c>
      <c r="Z1744" t="s">
        <v>26661</v>
      </c>
      <c r="AA1744" t="s">
        <v>26685</v>
      </c>
      <c r="AD1744" t="s">
        <v>38301</v>
      </c>
      <c r="AE1744">
        <v>2</v>
      </c>
      <c r="AF1744" t="s">
        <v>45547</v>
      </c>
      <c r="AG1744" t="s">
        <v>45556</v>
      </c>
      <c r="AH1744">
        <v>6</v>
      </c>
      <c r="AI1744">
        <v>1</v>
      </c>
      <c r="AJ1744">
        <v>0</v>
      </c>
      <c r="AK1744">
        <v>72.45</v>
      </c>
      <c r="AN1744" t="s">
        <v>7439</v>
      </c>
      <c r="AO1744">
        <v>8796</v>
      </c>
      <c r="AQ1744" t="s">
        <v>46362</v>
      </c>
      <c r="AU1744">
        <v>15.2</v>
      </c>
      <c r="AV1744" t="s">
        <v>416</v>
      </c>
      <c r="AW1744" t="s">
        <v>190</v>
      </c>
    </row>
    <row r="1745" spans="1:50">
      <c r="A1745" s="1">
        <f>HYPERLINK("https://lsnyc.legalserver.org/matter/dynamic-profile/view/1877371","18-1877371")</f>
        <v>0</v>
      </c>
      <c r="B1745" t="s">
        <v>216</v>
      </c>
      <c r="C1745" t="s">
        <v>341</v>
      </c>
      <c r="D1745" t="s">
        <v>578</v>
      </c>
      <c r="E1745" t="s">
        <v>494</v>
      </c>
      <c r="F1745" t="s">
        <v>1936</v>
      </c>
      <c r="G1745" t="s">
        <v>5561</v>
      </c>
      <c r="H1745" t="s">
        <v>11073</v>
      </c>
      <c r="I1745" t="s">
        <v>17323</v>
      </c>
      <c r="J1745" t="s">
        <v>18894</v>
      </c>
      <c r="K1745">
        <v>11208</v>
      </c>
      <c r="L1745" t="s">
        <v>18958</v>
      </c>
      <c r="M1745" t="s">
        <v>18958</v>
      </c>
      <c r="N1745" t="s">
        <v>20264</v>
      </c>
      <c r="O1745" t="s">
        <v>26523</v>
      </c>
      <c r="P1745" t="s">
        <v>26564</v>
      </c>
      <c r="Q1745" t="s">
        <v>26570</v>
      </c>
      <c r="R1745" t="s">
        <v>26578</v>
      </c>
      <c r="S1745" t="s">
        <v>18959</v>
      </c>
      <c r="U1745" t="s">
        <v>26604</v>
      </c>
      <c r="W1745" t="s">
        <v>578</v>
      </c>
      <c r="X1745">
        <v>1418</v>
      </c>
      <c r="Y1745" t="s">
        <v>26652</v>
      </c>
      <c r="Z1745" t="s">
        <v>26659</v>
      </c>
      <c r="AA1745" t="s">
        <v>26683</v>
      </c>
      <c r="AB1745" t="s">
        <v>28254</v>
      </c>
      <c r="AD1745" t="s">
        <v>38302</v>
      </c>
      <c r="AE1745">
        <v>294</v>
      </c>
      <c r="AF1745" t="s">
        <v>45543</v>
      </c>
      <c r="AG1745" t="s">
        <v>45556</v>
      </c>
      <c r="AH1745">
        <v>8</v>
      </c>
      <c r="AI1745">
        <v>2</v>
      </c>
      <c r="AJ1745">
        <v>0</v>
      </c>
      <c r="AK1745">
        <v>116.65</v>
      </c>
      <c r="AN1745" t="s">
        <v>7439</v>
      </c>
      <c r="AO1745">
        <v>19200</v>
      </c>
      <c r="AP1745" t="s">
        <v>45635</v>
      </c>
      <c r="AU1745">
        <v>3.7</v>
      </c>
      <c r="AV1745" t="s">
        <v>689</v>
      </c>
      <c r="AW1745" t="s">
        <v>46859</v>
      </c>
    </row>
    <row r="1746" spans="1:50">
      <c r="A1746" s="1">
        <f>HYPERLINK("https://lsnyc.legalserver.org/matter/dynamic-profile/view/1877407","18-1877407")</f>
        <v>0</v>
      </c>
      <c r="B1746" t="s">
        <v>141</v>
      </c>
      <c r="C1746" t="s">
        <v>341</v>
      </c>
      <c r="D1746" t="s">
        <v>578</v>
      </c>
      <c r="E1746" t="s">
        <v>599</v>
      </c>
      <c r="F1746" t="s">
        <v>1162</v>
      </c>
      <c r="G1746" t="s">
        <v>5100</v>
      </c>
      <c r="H1746" t="s">
        <v>11074</v>
      </c>
      <c r="I1746" t="s">
        <v>17316</v>
      </c>
      <c r="J1746" t="s">
        <v>18901</v>
      </c>
      <c r="K1746">
        <v>11434</v>
      </c>
      <c r="L1746" t="s">
        <v>18958</v>
      </c>
      <c r="M1746" t="s">
        <v>18958</v>
      </c>
      <c r="N1746" t="s">
        <v>20265</v>
      </c>
      <c r="O1746" t="s">
        <v>26523</v>
      </c>
      <c r="P1746" t="s">
        <v>26564</v>
      </c>
      <c r="Q1746" t="s">
        <v>26570</v>
      </c>
      <c r="R1746" t="s">
        <v>26585</v>
      </c>
      <c r="S1746" t="s">
        <v>18959</v>
      </c>
      <c r="U1746" t="s">
        <v>26605</v>
      </c>
      <c r="V1746" t="s">
        <v>26614</v>
      </c>
      <c r="W1746" t="s">
        <v>578</v>
      </c>
      <c r="X1746">
        <v>545</v>
      </c>
      <c r="Y1746" t="s">
        <v>26653</v>
      </c>
      <c r="Z1746" t="s">
        <v>26664</v>
      </c>
      <c r="AA1746" t="s">
        <v>26683</v>
      </c>
      <c r="AB1746" t="s">
        <v>28255</v>
      </c>
      <c r="AD1746" t="s">
        <v>38303</v>
      </c>
      <c r="AE1746">
        <v>78</v>
      </c>
      <c r="AF1746" t="s">
        <v>45549</v>
      </c>
      <c r="AG1746" t="s">
        <v>19330</v>
      </c>
      <c r="AH1746">
        <v>3</v>
      </c>
      <c r="AI1746">
        <v>1</v>
      </c>
      <c r="AJ1746">
        <v>1</v>
      </c>
      <c r="AK1746">
        <v>55.29</v>
      </c>
      <c r="AN1746" t="s">
        <v>7439</v>
      </c>
      <c r="AO1746">
        <v>9100</v>
      </c>
      <c r="AU1746">
        <v>1.5</v>
      </c>
      <c r="AV1746" t="s">
        <v>599</v>
      </c>
      <c r="AW1746" t="s">
        <v>161</v>
      </c>
    </row>
    <row r="1747" spans="1:50">
      <c r="A1747" s="1">
        <f>HYPERLINK("https://lsnyc.legalserver.org/matter/dynamic-profile/view/1877354","18-1877354")</f>
        <v>0</v>
      </c>
      <c r="B1747" t="s">
        <v>132</v>
      </c>
      <c r="C1747" t="s">
        <v>341</v>
      </c>
      <c r="D1747" t="s">
        <v>578</v>
      </c>
      <c r="E1747" t="s">
        <v>709</v>
      </c>
      <c r="F1747" t="s">
        <v>1751</v>
      </c>
      <c r="G1747" t="s">
        <v>1203</v>
      </c>
      <c r="H1747" t="s">
        <v>10810</v>
      </c>
      <c r="I1747" t="s">
        <v>17440</v>
      </c>
      <c r="J1747" t="s">
        <v>18894</v>
      </c>
      <c r="K1747">
        <v>11212</v>
      </c>
      <c r="L1747" t="s">
        <v>18958</v>
      </c>
      <c r="M1747" t="s">
        <v>18958</v>
      </c>
      <c r="N1747" t="s">
        <v>20266</v>
      </c>
      <c r="O1747" t="s">
        <v>26523</v>
      </c>
      <c r="P1747" t="s">
        <v>26560</v>
      </c>
      <c r="Q1747" t="s">
        <v>26573</v>
      </c>
      <c r="R1747" t="s">
        <v>26586</v>
      </c>
      <c r="S1747" t="s">
        <v>18959</v>
      </c>
      <c r="U1747" t="s">
        <v>26605</v>
      </c>
      <c r="V1747" t="s">
        <v>26609</v>
      </c>
      <c r="W1747" t="s">
        <v>578</v>
      </c>
      <c r="X1747">
        <v>448</v>
      </c>
      <c r="Y1747" t="s">
        <v>26652</v>
      </c>
      <c r="Z1747" t="s">
        <v>26659</v>
      </c>
      <c r="AA1747" t="s">
        <v>26680</v>
      </c>
      <c r="AB1747" t="s">
        <v>27968</v>
      </c>
      <c r="AC1747" t="s">
        <v>35020</v>
      </c>
      <c r="AD1747" t="s">
        <v>38019</v>
      </c>
      <c r="AE1747">
        <v>100</v>
      </c>
      <c r="AF1747" t="s">
        <v>45542</v>
      </c>
      <c r="AG1747" t="s">
        <v>19330</v>
      </c>
      <c r="AH1747">
        <v>4</v>
      </c>
      <c r="AI1747">
        <v>1</v>
      </c>
      <c r="AJ1747">
        <v>2</v>
      </c>
      <c r="AK1747">
        <v>94.59</v>
      </c>
      <c r="AN1747" t="s">
        <v>7439</v>
      </c>
      <c r="AO1747">
        <v>19656</v>
      </c>
      <c r="AR1747" t="s">
        <v>46379</v>
      </c>
      <c r="AS1747" t="s">
        <v>46499</v>
      </c>
      <c r="AT1747" t="s">
        <v>46560</v>
      </c>
      <c r="AU1747">
        <v>8.9</v>
      </c>
      <c r="AV1747" t="s">
        <v>713</v>
      </c>
      <c r="AW1747" t="s">
        <v>46856</v>
      </c>
    </row>
    <row r="1748" spans="1:50">
      <c r="A1748" s="1">
        <f>HYPERLINK("https://lsnyc.legalserver.org/matter/dynamic-profile/view/1877359","18-1877359")</f>
        <v>0</v>
      </c>
      <c r="B1748" t="s">
        <v>121</v>
      </c>
      <c r="C1748" t="s">
        <v>341</v>
      </c>
      <c r="D1748" t="s">
        <v>578</v>
      </c>
      <c r="E1748" t="s">
        <v>665</v>
      </c>
      <c r="F1748" t="s">
        <v>1246</v>
      </c>
      <c r="G1748" t="s">
        <v>5199</v>
      </c>
      <c r="H1748" t="s">
        <v>11075</v>
      </c>
      <c r="I1748" t="s">
        <v>17388</v>
      </c>
      <c r="J1748" t="s">
        <v>18892</v>
      </c>
      <c r="K1748">
        <v>10467</v>
      </c>
      <c r="L1748" t="s">
        <v>18958</v>
      </c>
      <c r="M1748" t="s">
        <v>18958</v>
      </c>
      <c r="N1748" t="s">
        <v>20267</v>
      </c>
      <c r="O1748" t="s">
        <v>26523</v>
      </c>
      <c r="P1748" t="s">
        <v>26560</v>
      </c>
      <c r="Q1748" t="s">
        <v>26568</v>
      </c>
      <c r="R1748" t="s">
        <v>26579</v>
      </c>
      <c r="S1748" t="s">
        <v>18959</v>
      </c>
      <c r="U1748" t="s">
        <v>26604</v>
      </c>
      <c r="V1748" t="s">
        <v>26610</v>
      </c>
      <c r="W1748" t="s">
        <v>578</v>
      </c>
      <c r="X1748">
        <v>857.75</v>
      </c>
      <c r="Y1748" t="s">
        <v>26650</v>
      </c>
      <c r="Z1748" t="s">
        <v>26664</v>
      </c>
      <c r="AA1748" t="s">
        <v>26678</v>
      </c>
      <c r="AB1748" t="s">
        <v>28256</v>
      </c>
      <c r="AC1748" t="s">
        <v>35021</v>
      </c>
      <c r="AD1748" t="s">
        <v>38304</v>
      </c>
      <c r="AE1748">
        <v>40</v>
      </c>
      <c r="AF1748" t="s">
        <v>45541</v>
      </c>
      <c r="AG1748" t="s">
        <v>19330</v>
      </c>
      <c r="AH1748">
        <v>23</v>
      </c>
      <c r="AI1748">
        <v>1</v>
      </c>
      <c r="AJ1748">
        <v>0</v>
      </c>
      <c r="AK1748">
        <v>0</v>
      </c>
      <c r="AN1748" t="s">
        <v>7439</v>
      </c>
      <c r="AO1748">
        <v>0</v>
      </c>
      <c r="AR1748" t="s">
        <v>46380</v>
      </c>
      <c r="AS1748" t="s">
        <v>46499</v>
      </c>
      <c r="AT1748" t="s">
        <v>46678</v>
      </c>
      <c r="AU1748">
        <v>3.1</v>
      </c>
      <c r="AV1748" t="s">
        <v>605</v>
      </c>
      <c r="AW1748" t="s">
        <v>46836</v>
      </c>
    </row>
    <row r="1749" spans="1:50">
      <c r="A1749" s="1">
        <f>HYPERLINK("https://lsnyc.legalserver.org/matter/dynamic-profile/view/1877434","18-1877434")</f>
        <v>0</v>
      </c>
      <c r="B1749" t="s">
        <v>121</v>
      </c>
      <c r="C1749" t="s">
        <v>341</v>
      </c>
      <c r="D1749" t="s">
        <v>578</v>
      </c>
      <c r="E1749" t="s">
        <v>416</v>
      </c>
      <c r="F1749" t="s">
        <v>1937</v>
      </c>
      <c r="G1749" t="s">
        <v>6103</v>
      </c>
      <c r="H1749" t="s">
        <v>11076</v>
      </c>
      <c r="I1749" t="s">
        <v>17300</v>
      </c>
      <c r="J1749" t="s">
        <v>18892</v>
      </c>
      <c r="K1749">
        <v>10468</v>
      </c>
      <c r="L1749" t="s">
        <v>18958</v>
      </c>
      <c r="M1749" t="s">
        <v>18958</v>
      </c>
      <c r="N1749" t="s">
        <v>20268</v>
      </c>
      <c r="O1749" t="s">
        <v>26523</v>
      </c>
      <c r="P1749" t="s">
        <v>26560</v>
      </c>
      <c r="Q1749" t="s">
        <v>26568</v>
      </c>
      <c r="R1749" t="s">
        <v>26579</v>
      </c>
      <c r="U1749" t="s">
        <v>26604</v>
      </c>
      <c r="V1749" t="s">
        <v>26610</v>
      </c>
      <c r="W1749" t="s">
        <v>578</v>
      </c>
      <c r="X1749">
        <v>1800</v>
      </c>
      <c r="Y1749" t="s">
        <v>26650</v>
      </c>
      <c r="Z1749" t="s">
        <v>26664</v>
      </c>
      <c r="AA1749" t="s">
        <v>26679</v>
      </c>
      <c r="AB1749" t="s">
        <v>28257</v>
      </c>
      <c r="AE1749">
        <v>0</v>
      </c>
      <c r="AF1749" t="s">
        <v>45541</v>
      </c>
      <c r="AG1749" t="s">
        <v>19330</v>
      </c>
      <c r="AH1749">
        <v>1</v>
      </c>
      <c r="AI1749">
        <v>2</v>
      </c>
      <c r="AJ1749">
        <v>2</v>
      </c>
      <c r="AK1749">
        <v>91.47</v>
      </c>
      <c r="AN1749" t="s">
        <v>45581</v>
      </c>
      <c r="AO1749">
        <v>22960</v>
      </c>
      <c r="AR1749" t="s">
        <v>46380</v>
      </c>
      <c r="AS1749" t="s">
        <v>46500</v>
      </c>
      <c r="AT1749" t="s">
        <v>46560</v>
      </c>
      <c r="AU1749">
        <v>6.8</v>
      </c>
      <c r="AV1749" t="s">
        <v>518</v>
      </c>
      <c r="AW1749" t="s">
        <v>46836</v>
      </c>
    </row>
    <row r="1750" spans="1:50">
      <c r="A1750" s="1">
        <f>HYPERLINK("https://lsnyc.legalserver.org/matter/dynamic-profile/view/1877409","18-1877409")</f>
        <v>0</v>
      </c>
      <c r="B1750" t="s">
        <v>54</v>
      </c>
      <c r="C1750" t="s">
        <v>341</v>
      </c>
      <c r="D1750" t="s">
        <v>578</v>
      </c>
      <c r="E1750" t="s">
        <v>822</v>
      </c>
      <c r="F1750" t="s">
        <v>1938</v>
      </c>
      <c r="G1750" t="s">
        <v>5322</v>
      </c>
      <c r="H1750" t="s">
        <v>11077</v>
      </c>
      <c r="I1750" t="s">
        <v>17471</v>
      </c>
      <c r="J1750" t="s">
        <v>18892</v>
      </c>
      <c r="K1750">
        <v>10459</v>
      </c>
      <c r="L1750" t="s">
        <v>18958</v>
      </c>
      <c r="M1750" t="s">
        <v>18958</v>
      </c>
      <c r="N1750" t="s">
        <v>20269</v>
      </c>
      <c r="O1750" t="s">
        <v>26524</v>
      </c>
      <c r="P1750" t="s">
        <v>26560</v>
      </c>
      <c r="Q1750" t="s">
        <v>26575</v>
      </c>
      <c r="R1750" t="s">
        <v>26578</v>
      </c>
      <c r="S1750" t="s">
        <v>18959</v>
      </c>
      <c r="U1750" t="s">
        <v>26604</v>
      </c>
      <c r="V1750" t="s">
        <v>26610</v>
      </c>
      <c r="W1750" t="s">
        <v>578</v>
      </c>
      <c r="X1750">
        <v>1200</v>
      </c>
      <c r="Y1750" t="s">
        <v>26650</v>
      </c>
      <c r="Z1750" t="s">
        <v>26664</v>
      </c>
      <c r="AA1750" t="s">
        <v>26678</v>
      </c>
      <c r="AB1750" t="s">
        <v>28258</v>
      </c>
      <c r="AC1750" t="s">
        <v>35022</v>
      </c>
      <c r="AD1750" t="s">
        <v>38305</v>
      </c>
      <c r="AE1750">
        <v>92</v>
      </c>
      <c r="AF1750" t="s">
        <v>45543</v>
      </c>
      <c r="AG1750" t="s">
        <v>45556</v>
      </c>
      <c r="AH1750">
        <v>10</v>
      </c>
      <c r="AI1750">
        <v>1</v>
      </c>
      <c r="AJ1750">
        <v>0</v>
      </c>
      <c r="AK1750">
        <v>17.79</v>
      </c>
      <c r="AN1750" t="s">
        <v>45581</v>
      </c>
      <c r="AO1750">
        <v>2160</v>
      </c>
      <c r="AP1750" t="s">
        <v>45696</v>
      </c>
      <c r="AQ1750" t="s">
        <v>46361</v>
      </c>
      <c r="AR1750" t="s">
        <v>46380</v>
      </c>
      <c r="AS1750" t="s">
        <v>46499</v>
      </c>
      <c r="AT1750" t="s">
        <v>46616</v>
      </c>
      <c r="AU1750">
        <v>39.8</v>
      </c>
      <c r="AV1750" t="s">
        <v>822</v>
      </c>
      <c r="AW1750" t="s">
        <v>46832</v>
      </c>
    </row>
    <row r="1751" spans="1:50">
      <c r="A1751" s="1">
        <f>HYPERLINK("https://lsnyc.legalserver.org/matter/dynamic-profile/view/1877438","18-1877438")</f>
        <v>0</v>
      </c>
      <c r="B1751" t="s">
        <v>54</v>
      </c>
      <c r="C1751" t="s">
        <v>341</v>
      </c>
      <c r="D1751" t="s">
        <v>578</v>
      </c>
      <c r="E1751" t="s">
        <v>683</v>
      </c>
      <c r="F1751" t="s">
        <v>1080</v>
      </c>
      <c r="G1751" t="s">
        <v>1725</v>
      </c>
      <c r="H1751" t="s">
        <v>11078</v>
      </c>
      <c r="I1751" t="s">
        <v>17273</v>
      </c>
      <c r="J1751" t="s">
        <v>18892</v>
      </c>
      <c r="K1751">
        <v>10467</v>
      </c>
      <c r="L1751" t="s">
        <v>18958</v>
      </c>
      <c r="M1751" t="s">
        <v>18958</v>
      </c>
      <c r="N1751" t="s">
        <v>20270</v>
      </c>
      <c r="O1751" t="s">
        <v>26523</v>
      </c>
      <c r="P1751" t="s">
        <v>26560</v>
      </c>
      <c r="Q1751" t="s">
        <v>26568</v>
      </c>
      <c r="R1751" t="s">
        <v>26579</v>
      </c>
      <c r="S1751" t="s">
        <v>18959</v>
      </c>
      <c r="U1751" t="s">
        <v>26604</v>
      </c>
      <c r="V1751" t="s">
        <v>26612</v>
      </c>
      <c r="W1751" t="s">
        <v>578</v>
      </c>
      <c r="X1751">
        <v>1017</v>
      </c>
      <c r="Y1751" t="s">
        <v>26650</v>
      </c>
      <c r="Z1751" t="s">
        <v>26664</v>
      </c>
      <c r="AA1751" t="s">
        <v>26678</v>
      </c>
      <c r="AB1751" t="s">
        <v>28259</v>
      </c>
      <c r="AC1751" t="s">
        <v>35023</v>
      </c>
      <c r="AD1751" t="s">
        <v>38306</v>
      </c>
      <c r="AE1751">
        <v>90</v>
      </c>
      <c r="AF1751" t="s">
        <v>45541</v>
      </c>
      <c r="AG1751" t="s">
        <v>45559</v>
      </c>
      <c r="AH1751">
        <v>6</v>
      </c>
      <c r="AI1751">
        <v>1</v>
      </c>
      <c r="AJ1751">
        <v>0</v>
      </c>
      <c r="AK1751">
        <v>84.02</v>
      </c>
      <c r="AN1751" t="s">
        <v>45581</v>
      </c>
      <c r="AO1751">
        <v>10200</v>
      </c>
      <c r="AP1751" t="s">
        <v>45654</v>
      </c>
      <c r="AQ1751" t="s">
        <v>46365</v>
      </c>
      <c r="AR1751" t="s">
        <v>46379</v>
      </c>
      <c r="AS1751" t="s">
        <v>46499</v>
      </c>
      <c r="AT1751" t="s">
        <v>46661</v>
      </c>
      <c r="AU1751">
        <v>11.7</v>
      </c>
      <c r="AV1751" t="s">
        <v>683</v>
      </c>
      <c r="AW1751" t="s">
        <v>46832</v>
      </c>
    </row>
    <row r="1752" spans="1:50">
      <c r="A1752" s="1">
        <f>HYPERLINK("https://lsnyc.legalserver.org/matter/dynamic-profile/view/1877294","18-1877294")</f>
        <v>0</v>
      </c>
      <c r="B1752" t="s">
        <v>136</v>
      </c>
      <c r="C1752" t="s">
        <v>340</v>
      </c>
      <c r="D1752" t="s">
        <v>578</v>
      </c>
      <c r="F1752" t="s">
        <v>940</v>
      </c>
      <c r="G1752" t="s">
        <v>6104</v>
      </c>
      <c r="H1752" t="s">
        <v>11079</v>
      </c>
      <c r="I1752" t="s">
        <v>17312</v>
      </c>
      <c r="J1752" t="s">
        <v>18892</v>
      </c>
      <c r="K1752">
        <v>10452</v>
      </c>
      <c r="L1752" t="s">
        <v>18958</v>
      </c>
      <c r="M1752" t="s">
        <v>18958</v>
      </c>
      <c r="N1752" t="s">
        <v>20271</v>
      </c>
      <c r="O1752" t="s">
        <v>26523</v>
      </c>
      <c r="P1752" t="s">
        <v>26560</v>
      </c>
      <c r="R1752" t="s">
        <v>26578</v>
      </c>
      <c r="S1752" t="s">
        <v>18959</v>
      </c>
      <c r="U1752" t="s">
        <v>26604</v>
      </c>
      <c r="V1752" t="s">
        <v>26612</v>
      </c>
      <c r="W1752" t="s">
        <v>578</v>
      </c>
      <c r="X1752">
        <v>1405.42</v>
      </c>
      <c r="Y1752" t="s">
        <v>26650</v>
      </c>
      <c r="Z1752" t="s">
        <v>26668</v>
      </c>
      <c r="AB1752" t="s">
        <v>28260</v>
      </c>
      <c r="AD1752" t="s">
        <v>38307</v>
      </c>
      <c r="AE1752">
        <v>129</v>
      </c>
      <c r="AF1752" t="s">
        <v>45541</v>
      </c>
      <c r="AG1752" t="s">
        <v>19330</v>
      </c>
      <c r="AH1752">
        <v>7</v>
      </c>
      <c r="AI1752">
        <v>4</v>
      </c>
      <c r="AJ1752">
        <v>1</v>
      </c>
      <c r="AK1752">
        <v>205.3</v>
      </c>
      <c r="AL1752" t="s">
        <v>614</v>
      </c>
      <c r="AM1752" t="s">
        <v>45575</v>
      </c>
      <c r="AN1752" t="s">
        <v>7439</v>
      </c>
      <c r="AO1752">
        <v>60400</v>
      </c>
      <c r="AP1752" t="s">
        <v>45696</v>
      </c>
      <c r="AQ1752" t="s">
        <v>46366</v>
      </c>
      <c r="AR1752" t="s">
        <v>46399</v>
      </c>
      <c r="AS1752" t="s">
        <v>46499</v>
      </c>
      <c r="AT1752" t="s">
        <v>46709</v>
      </c>
      <c r="AU1752">
        <v>43.7</v>
      </c>
      <c r="AV1752" t="s">
        <v>767</v>
      </c>
      <c r="AW1752" t="s">
        <v>334</v>
      </c>
    </row>
    <row r="1753" spans="1:50">
      <c r="A1753" s="1">
        <f>HYPERLINK("https://lsnyc.legalserver.org/matter/dynamic-profile/view/1877309","18-1877309")</f>
        <v>0</v>
      </c>
      <c r="B1753" t="s">
        <v>61</v>
      </c>
      <c r="C1753" t="s">
        <v>340</v>
      </c>
      <c r="D1753" t="s">
        <v>578</v>
      </c>
      <c r="F1753" t="s">
        <v>1939</v>
      </c>
      <c r="G1753" t="s">
        <v>5341</v>
      </c>
      <c r="H1753" t="s">
        <v>11080</v>
      </c>
      <c r="I1753" t="s">
        <v>17348</v>
      </c>
      <c r="J1753" t="s">
        <v>18893</v>
      </c>
      <c r="K1753">
        <v>10040</v>
      </c>
      <c r="L1753" t="s">
        <v>18958</v>
      </c>
      <c r="M1753" t="s">
        <v>18958</v>
      </c>
      <c r="O1753" t="s">
        <v>26537</v>
      </c>
      <c r="P1753" t="s">
        <v>26565</v>
      </c>
      <c r="R1753" t="s">
        <v>26578</v>
      </c>
      <c r="S1753" t="s">
        <v>18959</v>
      </c>
      <c r="U1753" t="s">
        <v>26604</v>
      </c>
      <c r="W1753" t="s">
        <v>578</v>
      </c>
      <c r="X1753">
        <v>1990.34</v>
      </c>
      <c r="Y1753" t="s">
        <v>26651</v>
      </c>
      <c r="Z1753" t="s">
        <v>26661</v>
      </c>
      <c r="AB1753" t="s">
        <v>27197</v>
      </c>
      <c r="AD1753" t="s">
        <v>38308</v>
      </c>
      <c r="AE1753">
        <v>41</v>
      </c>
      <c r="AF1753" t="s">
        <v>45541</v>
      </c>
      <c r="AG1753" t="s">
        <v>45556</v>
      </c>
      <c r="AH1753">
        <v>7</v>
      </c>
      <c r="AI1753">
        <v>1</v>
      </c>
      <c r="AJ1753">
        <v>0</v>
      </c>
      <c r="AK1753">
        <v>85.7</v>
      </c>
      <c r="AN1753" t="s">
        <v>45581</v>
      </c>
      <c r="AO1753">
        <v>10404</v>
      </c>
      <c r="AU1753">
        <v>2.4</v>
      </c>
      <c r="AV1753" t="s">
        <v>572</v>
      </c>
      <c r="AW1753" t="s">
        <v>46840</v>
      </c>
    </row>
    <row r="1754" spans="1:50">
      <c r="A1754" s="1">
        <f>HYPERLINK("https://lsnyc.legalserver.org/matter/dynamic-profile/view/1877418","18-1877418")</f>
        <v>0</v>
      </c>
      <c r="B1754" t="s">
        <v>70</v>
      </c>
      <c r="C1754" t="s">
        <v>340</v>
      </c>
      <c r="D1754" t="s">
        <v>578</v>
      </c>
      <c r="F1754" t="s">
        <v>1309</v>
      </c>
      <c r="G1754" t="s">
        <v>5173</v>
      </c>
      <c r="H1754" t="s">
        <v>11081</v>
      </c>
      <c r="I1754" t="s">
        <v>17436</v>
      </c>
      <c r="J1754" t="s">
        <v>18892</v>
      </c>
      <c r="K1754">
        <v>10467</v>
      </c>
      <c r="L1754" t="s">
        <v>18958</v>
      </c>
      <c r="M1754" t="s">
        <v>18958</v>
      </c>
      <c r="N1754" t="s">
        <v>20272</v>
      </c>
      <c r="O1754" t="s">
        <v>26523</v>
      </c>
      <c r="P1754" t="s">
        <v>26560</v>
      </c>
      <c r="R1754" t="s">
        <v>26579</v>
      </c>
      <c r="S1754" t="s">
        <v>18959</v>
      </c>
      <c r="U1754" t="s">
        <v>26604</v>
      </c>
      <c r="V1754" t="s">
        <v>26610</v>
      </c>
      <c r="W1754" t="s">
        <v>578</v>
      </c>
      <c r="X1754">
        <v>955.29</v>
      </c>
      <c r="Y1754" t="s">
        <v>26650</v>
      </c>
      <c r="Z1754" t="s">
        <v>26664</v>
      </c>
      <c r="AB1754" t="s">
        <v>27158</v>
      </c>
      <c r="AC1754" t="s">
        <v>35024</v>
      </c>
      <c r="AD1754" t="s">
        <v>38309</v>
      </c>
      <c r="AE1754">
        <v>63</v>
      </c>
      <c r="AF1754" t="s">
        <v>45541</v>
      </c>
      <c r="AG1754" t="s">
        <v>19330</v>
      </c>
      <c r="AH1754">
        <v>3</v>
      </c>
      <c r="AI1754">
        <v>2</v>
      </c>
      <c r="AJ1754">
        <v>1</v>
      </c>
      <c r="AK1754">
        <v>162.66</v>
      </c>
      <c r="AN1754" t="s">
        <v>7439</v>
      </c>
      <c r="AO1754">
        <v>33800</v>
      </c>
      <c r="AP1754" t="s">
        <v>45634</v>
      </c>
      <c r="AU1754">
        <v>38.3</v>
      </c>
      <c r="AV1754" t="s">
        <v>831</v>
      </c>
      <c r="AW1754" t="s">
        <v>334</v>
      </c>
    </row>
    <row r="1755" spans="1:50">
      <c r="A1755" s="1">
        <f>HYPERLINK("https://lsnyc.legalserver.org/matter/dynamic-profile/view/1877320","18-1877320")</f>
        <v>0</v>
      </c>
      <c r="B1755" t="s">
        <v>81</v>
      </c>
      <c r="C1755" t="s">
        <v>340</v>
      </c>
      <c r="D1755" t="s">
        <v>578</v>
      </c>
      <c r="F1755" t="s">
        <v>1940</v>
      </c>
      <c r="G1755" t="s">
        <v>989</v>
      </c>
      <c r="H1755" t="s">
        <v>11082</v>
      </c>
      <c r="I1755" t="s">
        <v>17410</v>
      </c>
      <c r="J1755" t="s">
        <v>18892</v>
      </c>
      <c r="K1755">
        <v>10462</v>
      </c>
      <c r="L1755" t="s">
        <v>18958</v>
      </c>
      <c r="M1755" t="s">
        <v>18958</v>
      </c>
      <c r="N1755" t="s">
        <v>20273</v>
      </c>
      <c r="O1755" t="s">
        <v>26524</v>
      </c>
      <c r="P1755" t="s">
        <v>26560</v>
      </c>
      <c r="R1755" t="s">
        <v>26579</v>
      </c>
      <c r="S1755" t="s">
        <v>18959</v>
      </c>
      <c r="U1755" t="s">
        <v>26604</v>
      </c>
      <c r="V1755" t="s">
        <v>26610</v>
      </c>
      <c r="W1755" t="s">
        <v>578</v>
      </c>
      <c r="X1755">
        <v>1579</v>
      </c>
      <c r="Y1755" t="s">
        <v>26650</v>
      </c>
      <c r="Z1755" t="s">
        <v>26530</v>
      </c>
      <c r="AB1755" t="s">
        <v>28261</v>
      </c>
      <c r="AD1755" t="s">
        <v>38310</v>
      </c>
      <c r="AE1755">
        <v>96</v>
      </c>
      <c r="AF1755" t="s">
        <v>45555</v>
      </c>
      <c r="AG1755" t="s">
        <v>45556</v>
      </c>
      <c r="AH1755">
        <v>7</v>
      </c>
      <c r="AI1755">
        <v>1</v>
      </c>
      <c r="AJ1755">
        <v>2</v>
      </c>
      <c r="AK1755">
        <v>173.24</v>
      </c>
      <c r="AN1755" t="s">
        <v>7439</v>
      </c>
      <c r="AO1755">
        <v>36000</v>
      </c>
      <c r="AU1755">
        <v>23.6</v>
      </c>
      <c r="AV1755" t="s">
        <v>836</v>
      </c>
      <c r="AW1755" t="s">
        <v>46841</v>
      </c>
      <c r="AX1755" t="s">
        <v>46897</v>
      </c>
    </row>
    <row r="1756" spans="1:50">
      <c r="A1756" s="1">
        <f>HYPERLINK("https://lsnyc.legalserver.org/matter/dynamic-profile/view/1877412","18-1877412")</f>
        <v>0</v>
      </c>
      <c r="B1756" t="s">
        <v>212</v>
      </c>
      <c r="C1756" t="s">
        <v>340</v>
      </c>
      <c r="D1756" t="s">
        <v>578</v>
      </c>
      <c r="F1756" t="s">
        <v>1941</v>
      </c>
      <c r="G1756" t="s">
        <v>6105</v>
      </c>
      <c r="H1756" t="s">
        <v>11083</v>
      </c>
      <c r="I1756">
        <v>1</v>
      </c>
      <c r="J1756" t="s">
        <v>18901</v>
      </c>
      <c r="K1756">
        <v>11433</v>
      </c>
      <c r="L1756" t="s">
        <v>18958</v>
      </c>
      <c r="M1756" t="s">
        <v>18958</v>
      </c>
      <c r="N1756" t="s">
        <v>20274</v>
      </c>
      <c r="O1756" t="s">
        <v>26523</v>
      </c>
      <c r="P1756" t="s">
        <v>26563</v>
      </c>
      <c r="R1756" t="s">
        <v>26585</v>
      </c>
      <c r="S1756" t="s">
        <v>18959</v>
      </c>
      <c r="U1756" t="s">
        <v>26604</v>
      </c>
      <c r="V1756" t="s">
        <v>26609</v>
      </c>
      <c r="W1756" t="s">
        <v>578</v>
      </c>
      <c r="X1756">
        <v>2197</v>
      </c>
      <c r="Y1756" t="s">
        <v>26653</v>
      </c>
      <c r="Z1756" t="s">
        <v>26664</v>
      </c>
      <c r="AB1756" t="s">
        <v>28262</v>
      </c>
      <c r="AC1756" t="s">
        <v>35025</v>
      </c>
      <c r="AD1756" t="s">
        <v>38311</v>
      </c>
      <c r="AE1756">
        <v>2</v>
      </c>
      <c r="AF1756" t="s">
        <v>45547</v>
      </c>
      <c r="AG1756" t="s">
        <v>45562</v>
      </c>
      <c r="AH1756">
        <v>2</v>
      </c>
      <c r="AI1756">
        <v>3</v>
      </c>
      <c r="AJ1756">
        <v>3</v>
      </c>
      <c r="AK1756">
        <v>0</v>
      </c>
      <c r="AN1756" t="s">
        <v>7439</v>
      </c>
      <c r="AO1756">
        <v>0</v>
      </c>
      <c r="AU1756">
        <v>0.8</v>
      </c>
      <c r="AV1756" t="s">
        <v>753</v>
      </c>
      <c r="AW1756" t="s">
        <v>208</v>
      </c>
    </row>
    <row r="1757" spans="1:50">
      <c r="A1757" s="1">
        <f>HYPERLINK("https://lsnyc.legalserver.org/matter/dynamic-profile/view/1877421","18-1877421")</f>
        <v>0</v>
      </c>
      <c r="B1757" t="s">
        <v>110</v>
      </c>
      <c r="C1757" t="s">
        <v>340</v>
      </c>
      <c r="D1757" t="s">
        <v>578</v>
      </c>
      <c r="F1757" t="s">
        <v>1537</v>
      </c>
      <c r="G1757" t="s">
        <v>5419</v>
      </c>
      <c r="H1757" t="s">
        <v>9904</v>
      </c>
      <c r="I1757" t="s">
        <v>17349</v>
      </c>
      <c r="J1757" t="s">
        <v>18901</v>
      </c>
      <c r="K1757">
        <v>11432</v>
      </c>
      <c r="L1757" t="s">
        <v>18958</v>
      </c>
      <c r="M1757" t="s">
        <v>18958</v>
      </c>
      <c r="N1757" t="s">
        <v>20275</v>
      </c>
      <c r="O1757" t="s">
        <v>26524</v>
      </c>
      <c r="P1757" t="s">
        <v>26560</v>
      </c>
      <c r="R1757" t="s">
        <v>26584</v>
      </c>
      <c r="S1757" t="s">
        <v>18959</v>
      </c>
      <c r="U1757" t="s">
        <v>26604</v>
      </c>
      <c r="V1757" t="s">
        <v>26610</v>
      </c>
      <c r="W1757" t="s">
        <v>578</v>
      </c>
      <c r="X1757">
        <v>755</v>
      </c>
      <c r="Y1757" t="s">
        <v>26653</v>
      </c>
      <c r="Z1757" t="s">
        <v>26664</v>
      </c>
      <c r="AB1757" t="s">
        <v>28263</v>
      </c>
      <c r="AC1757" t="s">
        <v>35026</v>
      </c>
      <c r="AD1757" t="s">
        <v>38312</v>
      </c>
      <c r="AE1757">
        <v>126</v>
      </c>
      <c r="AF1757" t="s">
        <v>45541</v>
      </c>
      <c r="AG1757" t="s">
        <v>45559</v>
      </c>
      <c r="AH1757">
        <v>30</v>
      </c>
      <c r="AI1757">
        <v>3</v>
      </c>
      <c r="AJ1757">
        <v>0</v>
      </c>
      <c r="AK1757">
        <v>97.36</v>
      </c>
      <c r="AN1757" t="s">
        <v>7439</v>
      </c>
      <c r="AO1757">
        <v>20232</v>
      </c>
      <c r="AU1757">
        <v>42</v>
      </c>
      <c r="AV1757" t="s">
        <v>843</v>
      </c>
      <c r="AW1757" t="s">
        <v>161</v>
      </c>
    </row>
    <row r="1758" spans="1:50">
      <c r="A1758" s="1">
        <f>HYPERLINK("https://lsnyc.legalserver.org/matter/dynamic-profile/view/1877316","18-1877316")</f>
        <v>0</v>
      </c>
      <c r="B1758" t="s">
        <v>112</v>
      </c>
      <c r="C1758" t="s">
        <v>340</v>
      </c>
      <c r="D1758" t="s">
        <v>578</v>
      </c>
      <c r="F1758" t="s">
        <v>1597</v>
      </c>
      <c r="G1758" t="s">
        <v>5169</v>
      </c>
      <c r="H1758" t="s">
        <v>11084</v>
      </c>
      <c r="I1758" t="s">
        <v>17283</v>
      </c>
      <c r="J1758" t="s">
        <v>7026</v>
      </c>
      <c r="K1758">
        <v>11368</v>
      </c>
      <c r="L1758" t="s">
        <v>18958</v>
      </c>
      <c r="M1758" t="s">
        <v>18958</v>
      </c>
      <c r="N1758" t="s">
        <v>20276</v>
      </c>
      <c r="O1758" t="s">
        <v>26523</v>
      </c>
      <c r="P1758" t="s">
        <v>26564</v>
      </c>
      <c r="R1758" t="s">
        <v>26584</v>
      </c>
      <c r="S1758" t="s">
        <v>18959</v>
      </c>
      <c r="U1758" t="s">
        <v>26604</v>
      </c>
      <c r="V1758" t="s">
        <v>26611</v>
      </c>
      <c r="W1758" t="s">
        <v>578</v>
      </c>
      <c r="X1758">
        <v>1400</v>
      </c>
      <c r="Y1758" t="s">
        <v>26653</v>
      </c>
      <c r="Z1758" t="s">
        <v>26664</v>
      </c>
      <c r="AB1758" t="s">
        <v>27365</v>
      </c>
      <c r="AC1758" t="s">
        <v>35027</v>
      </c>
      <c r="AD1758" t="s">
        <v>38313</v>
      </c>
      <c r="AE1758">
        <v>30</v>
      </c>
      <c r="AF1758" t="s">
        <v>20460</v>
      </c>
      <c r="AG1758" t="s">
        <v>45557</v>
      </c>
      <c r="AH1758">
        <v>5</v>
      </c>
      <c r="AI1758">
        <v>1</v>
      </c>
      <c r="AJ1758">
        <v>3</v>
      </c>
      <c r="AK1758">
        <v>44.54</v>
      </c>
      <c r="AO1758">
        <v>11180</v>
      </c>
      <c r="AU1758">
        <v>2.3</v>
      </c>
      <c r="AV1758" t="s">
        <v>571</v>
      </c>
      <c r="AW1758" t="s">
        <v>122</v>
      </c>
    </row>
    <row r="1759" spans="1:50">
      <c r="A1759" s="1">
        <f>HYPERLINK("https://lsnyc.legalserver.org/matter/dynamic-profile/view/1877334","18-1877334")</f>
        <v>0</v>
      </c>
      <c r="B1759" t="s">
        <v>112</v>
      </c>
      <c r="C1759" t="s">
        <v>340</v>
      </c>
      <c r="D1759" t="s">
        <v>578</v>
      </c>
      <c r="F1759" t="s">
        <v>1031</v>
      </c>
      <c r="G1759" t="s">
        <v>6106</v>
      </c>
      <c r="H1759" t="s">
        <v>11085</v>
      </c>
      <c r="J1759" t="s">
        <v>18940</v>
      </c>
      <c r="K1759">
        <v>11413</v>
      </c>
      <c r="L1759" t="s">
        <v>18958</v>
      </c>
      <c r="M1759" t="s">
        <v>18958</v>
      </c>
      <c r="N1759" t="s">
        <v>20277</v>
      </c>
      <c r="O1759" t="s">
        <v>26524</v>
      </c>
      <c r="P1759" t="s">
        <v>26564</v>
      </c>
      <c r="R1759" t="s">
        <v>26584</v>
      </c>
      <c r="S1759" t="s">
        <v>18959</v>
      </c>
      <c r="U1759" t="s">
        <v>26604</v>
      </c>
      <c r="V1759" t="s">
        <v>26610</v>
      </c>
      <c r="W1759" t="s">
        <v>578</v>
      </c>
      <c r="X1759">
        <v>1700</v>
      </c>
      <c r="Y1759" t="s">
        <v>26653</v>
      </c>
      <c r="Z1759" t="s">
        <v>26664</v>
      </c>
      <c r="AB1759" t="s">
        <v>28264</v>
      </c>
      <c r="AD1759" t="s">
        <v>38314</v>
      </c>
      <c r="AE1759">
        <v>2</v>
      </c>
      <c r="AF1759" t="s">
        <v>45547</v>
      </c>
      <c r="AG1759" t="s">
        <v>19330</v>
      </c>
      <c r="AH1759">
        <v>10</v>
      </c>
      <c r="AI1759">
        <v>5</v>
      </c>
      <c r="AJ1759">
        <v>1</v>
      </c>
      <c r="AK1759">
        <v>71.13</v>
      </c>
      <c r="AN1759" t="s">
        <v>7439</v>
      </c>
      <c r="AO1759">
        <v>24000</v>
      </c>
      <c r="AU1759">
        <v>4.05</v>
      </c>
      <c r="AV1759" t="s">
        <v>458</v>
      </c>
      <c r="AW1759" t="s">
        <v>122</v>
      </c>
    </row>
    <row r="1760" spans="1:50">
      <c r="A1760" s="1">
        <f>HYPERLINK("https://lsnyc.legalserver.org/matter/dynamic-profile/view/1877355","18-1877355")</f>
        <v>0</v>
      </c>
      <c r="B1760" t="s">
        <v>114</v>
      </c>
      <c r="C1760" t="s">
        <v>340</v>
      </c>
      <c r="D1760" t="s">
        <v>578</v>
      </c>
      <c r="F1760" t="s">
        <v>1942</v>
      </c>
      <c r="G1760" t="s">
        <v>6107</v>
      </c>
      <c r="H1760" t="s">
        <v>11086</v>
      </c>
      <c r="I1760" t="s">
        <v>17716</v>
      </c>
      <c r="J1760" t="s">
        <v>7026</v>
      </c>
      <c r="K1760">
        <v>11368</v>
      </c>
      <c r="L1760" t="s">
        <v>18958</v>
      </c>
      <c r="M1760" t="s">
        <v>18958</v>
      </c>
      <c r="N1760" t="s">
        <v>20278</v>
      </c>
      <c r="O1760" t="s">
        <v>26523</v>
      </c>
      <c r="R1760" t="s">
        <v>26584</v>
      </c>
      <c r="S1760" t="s">
        <v>18958</v>
      </c>
      <c r="U1760" t="s">
        <v>26604</v>
      </c>
      <c r="W1760" t="s">
        <v>578</v>
      </c>
      <c r="X1760">
        <v>1451</v>
      </c>
      <c r="Y1760" t="s">
        <v>26653</v>
      </c>
      <c r="Z1760" t="s">
        <v>26664</v>
      </c>
      <c r="AB1760" t="s">
        <v>28265</v>
      </c>
      <c r="AC1760" t="s">
        <v>35028</v>
      </c>
      <c r="AD1760" t="s">
        <v>38315</v>
      </c>
      <c r="AE1760">
        <v>2000</v>
      </c>
      <c r="AF1760" t="s">
        <v>45541</v>
      </c>
      <c r="AG1760" t="s">
        <v>45558</v>
      </c>
      <c r="AH1760">
        <v>12</v>
      </c>
      <c r="AI1760">
        <v>1</v>
      </c>
      <c r="AJ1760">
        <v>3</v>
      </c>
      <c r="AK1760">
        <v>47.76</v>
      </c>
      <c r="AN1760" t="s">
        <v>7439</v>
      </c>
      <c r="AO1760">
        <v>11988</v>
      </c>
      <c r="AU1760">
        <v>12.65</v>
      </c>
      <c r="AV1760" t="s">
        <v>794</v>
      </c>
      <c r="AW1760" t="s">
        <v>122</v>
      </c>
    </row>
    <row r="1761" spans="1:50">
      <c r="A1761" s="1">
        <f>HYPERLINK("https://lsnyc.legalserver.org/matter/dynamic-profile/view/1877511","18-1877511")</f>
        <v>0</v>
      </c>
      <c r="B1761" t="s">
        <v>176</v>
      </c>
      <c r="C1761" t="s">
        <v>341</v>
      </c>
      <c r="D1761" t="s">
        <v>545</v>
      </c>
      <c r="E1761" t="s">
        <v>494</v>
      </c>
      <c r="F1761" t="s">
        <v>1353</v>
      </c>
      <c r="G1761" t="s">
        <v>6108</v>
      </c>
      <c r="H1761" t="s">
        <v>9710</v>
      </c>
      <c r="I1761" t="s">
        <v>17275</v>
      </c>
      <c r="J1761" t="s">
        <v>18894</v>
      </c>
      <c r="K1761">
        <v>11212</v>
      </c>
      <c r="L1761" t="s">
        <v>18958</v>
      </c>
      <c r="M1761" t="s">
        <v>18960</v>
      </c>
      <c r="N1761" t="s">
        <v>20279</v>
      </c>
      <c r="O1761" t="s">
        <v>26523</v>
      </c>
      <c r="P1761" t="s">
        <v>26565</v>
      </c>
      <c r="Q1761" t="s">
        <v>26571</v>
      </c>
      <c r="R1761" t="s">
        <v>26578</v>
      </c>
      <c r="S1761" t="s">
        <v>18959</v>
      </c>
      <c r="U1761" t="s">
        <v>26604</v>
      </c>
      <c r="W1761" t="s">
        <v>578</v>
      </c>
      <c r="X1761">
        <v>942.8099999999999</v>
      </c>
      <c r="Y1761" t="s">
        <v>26652</v>
      </c>
      <c r="Z1761" t="s">
        <v>26659</v>
      </c>
      <c r="AA1761" t="s">
        <v>26683</v>
      </c>
      <c r="AB1761" t="s">
        <v>28266</v>
      </c>
      <c r="AD1761" t="s">
        <v>38316</v>
      </c>
      <c r="AE1761">
        <v>31</v>
      </c>
      <c r="AF1761" t="s">
        <v>45541</v>
      </c>
      <c r="AH1761">
        <v>19</v>
      </c>
      <c r="AI1761">
        <v>2</v>
      </c>
      <c r="AJ1761">
        <v>0</v>
      </c>
      <c r="AK1761">
        <v>105.35</v>
      </c>
      <c r="AN1761" t="s">
        <v>7439</v>
      </c>
      <c r="AO1761">
        <v>17340</v>
      </c>
      <c r="AU1761">
        <v>1.5</v>
      </c>
      <c r="AV1761" t="s">
        <v>534</v>
      </c>
      <c r="AW1761" t="s">
        <v>279</v>
      </c>
    </row>
    <row r="1762" spans="1:50">
      <c r="A1762" s="1">
        <f>HYPERLINK("https://lsnyc.legalserver.org/matter/dynamic-profile/view/1877453","18-1877453")</f>
        <v>0</v>
      </c>
      <c r="B1762" t="s">
        <v>111</v>
      </c>
      <c r="C1762" t="s">
        <v>341</v>
      </c>
      <c r="D1762" t="s">
        <v>545</v>
      </c>
      <c r="E1762" t="s">
        <v>850</v>
      </c>
      <c r="F1762" t="s">
        <v>1943</v>
      </c>
      <c r="G1762" t="s">
        <v>6109</v>
      </c>
      <c r="H1762" t="s">
        <v>11087</v>
      </c>
      <c r="I1762" t="s">
        <v>17717</v>
      </c>
      <c r="J1762" t="s">
        <v>18901</v>
      </c>
      <c r="K1762">
        <v>11436</v>
      </c>
      <c r="L1762" t="s">
        <v>18958</v>
      </c>
      <c r="M1762" t="s">
        <v>18958</v>
      </c>
      <c r="N1762" t="s">
        <v>20280</v>
      </c>
      <c r="O1762" t="s">
        <v>26523</v>
      </c>
      <c r="P1762" t="s">
        <v>26564</v>
      </c>
      <c r="Q1762" t="s">
        <v>26570</v>
      </c>
      <c r="R1762" t="s">
        <v>26584</v>
      </c>
      <c r="S1762" t="s">
        <v>18959</v>
      </c>
      <c r="U1762" t="s">
        <v>26604</v>
      </c>
      <c r="V1762" t="s">
        <v>26611</v>
      </c>
      <c r="W1762" t="s">
        <v>578</v>
      </c>
      <c r="X1762">
        <v>2008</v>
      </c>
      <c r="Y1762" t="s">
        <v>26653</v>
      </c>
      <c r="Z1762" t="s">
        <v>26664</v>
      </c>
      <c r="AA1762" t="s">
        <v>26683</v>
      </c>
      <c r="AB1762" t="s">
        <v>28267</v>
      </c>
      <c r="AC1762" t="s">
        <v>35029</v>
      </c>
      <c r="AD1762" t="s">
        <v>38317</v>
      </c>
      <c r="AE1762">
        <v>40</v>
      </c>
      <c r="AF1762" t="s">
        <v>45543</v>
      </c>
      <c r="AG1762" t="s">
        <v>19330</v>
      </c>
      <c r="AH1762">
        <v>2</v>
      </c>
      <c r="AI1762">
        <v>1</v>
      </c>
      <c r="AJ1762">
        <v>2</v>
      </c>
      <c r="AK1762">
        <v>0</v>
      </c>
      <c r="AN1762" t="s">
        <v>7439</v>
      </c>
      <c r="AO1762">
        <v>0</v>
      </c>
      <c r="AU1762">
        <v>1</v>
      </c>
      <c r="AV1762" t="s">
        <v>545</v>
      </c>
      <c r="AW1762" t="s">
        <v>208</v>
      </c>
    </row>
    <row r="1763" spans="1:50">
      <c r="A1763" s="1">
        <f>HYPERLINK("https://lsnyc.legalserver.org/matter/dynamic-profile/view/0817798","16-0817798")</f>
        <v>0</v>
      </c>
      <c r="B1763" t="s">
        <v>167</v>
      </c>
      <c r="C1763" t="s">
        <v>341</v>
      </c>
      <c r="D1763" t="s">
        <v>584</v>
      </c>
      <c r="E1763" t="s">
        <v>658</v>
      </c>
      <c r="F1763" t="s">
        <v>1228</v>
      </c>
      <c r="G1763" t="s">
        <v>1685</v>
      </c>
      <c r="H1763" t="s">
        <v>11088</v>
      </c>
      <c r="J1763" t="s">
        <v>18913</v>
      </c>
      <c r="K1763">
        <v>11103</v>
      </c>
      <c r="L1763" t="s">
        <v>18958</v>
      </c>
      <c r="M1763" t="s">
        <v>18958</v>
      </c>
      <c r="N1763" t="s">
        <v>20281</v>
      </c>
      <c r="O1763" t="s">
        <v>26524</v>
      </c>
      <c r="P1763" t="s">
        <v>26560</v>
      </c>
      <c r="Q1763" t="s">
        <v>26575</v>
      </c>
      <c r="R1763" t="s">
        <v>26593</v>
      </c>
      <c r="S1763" t="s">
        <v>18959</v>
      </c>
      <c r="U1763" t="s">
        <v>26604</v>
      </c>
      <c r="V1763" t="s">
        <v>26610</v>
      </c>
      <c r="W1763" t="s">
        <v>545</v>
      </c>
      <c r="X1763">
        <v>1128.35</v>
      </c>
      <c r="Y1763" t="s">
        <v>26653</v>
      </c>
      <c r="Z1763" t="s">
        <v>26661</v>
      </c>
      <c r="AA1763" t="s">
        <v>26678</v>
      </c>
      <c r="AB1763" t="s">
        <v>28268</v>
      </c>
      <c r="AD1763" t="s">
        <v>38318</v>
      </c>
      <c r="AE1763">
        <v>6</v>
      </c>
      <c r="AF1763" t="s">
        <v>45541</v>
      </c>
      <c r="AH1763">
        <v>25</v>
      </c>
      <c r="AI1763">
        <v>3</v>
      </c>
      <c r="AJ1763">
        <v>0</v>
      </c>
      <c r="AK1763">
        <v>178.57</v>
      </c>
      <c r="AN1763" t="s">
        <v>45581</v>
      </c>
      <c r="AO1763">
        <v>36000</v>
      </c>
      <c r="AU1763">
        <v>45.85</v>
      </c>
      <c r="AV1763" t="s">
        <v>545</v>
      </c>
      <c r="AW1763" t="s">
        <v>142</v>
      </c>
    </row>
    <row r="1764" spans="1:50">
      <c r="A1764" s="1">
        <f>HYPERLINK("https://lsnyc.legalserver.org/matter/dynamic-profile/view/1845671","17-1845671")</f>
        <v>0</v>
      </c>
      <c r="B1764" t="s">
        <v>50</v>
      </c>
      <c r="C1764" t="s">
        <v>341</v>
      </c>
      <c r="D1764" t="s">
        <v>585</v>
      </c>
      <c r="E1764" t="s">
        <v>726</v>
      </c>
      <c r="F1764" t="s">
        <v>871</v>
      </c>
      <c r="G1764" t="s">
        <v>6110</v>
      </c>
      <c r="H1764" t="s">
        <v>11089</v>
      </c>
      <c r="I1764" t="s">
        <v>17306</v>
      </c>
      <c r="J1764" t="s">
        <v>18892</v>
      </c>
      <c r="K1764">
        <v>10457</v>
      </c>
      <c r="L1764" t="s">
        <v>18958</v>
      </c>
      <c r="M1764" t="s">
        <v>18960</v>
      </c>
      <c r="N1764" t="s">
        <v>20282</v>
      </c>
      <c r="O1764" t="s">
        <v>26523</v>
      </c>
      <c r="P1764" t="s">
        <v>26560</v>
      </c>
      <c r="Q1764" t="s">
        <v>26568</v>
      </c>
      <c r="R1764" t="s">
        <v>26579</v>
      </c>
      <c r="S1764" t="s">
        <v>18959</v>
      </c>
      <c r="U1764" t="s">
        <v>26604</v>
      </c>
      <c r="V1764" t="s">
        <v>26610</v>
      </c>
      <c r="W1764" t="s">
        <v>545</v>
      </c>
      <c r="X1764">
        <v>1450</v>
      </c>
      <c r="Y1764" t="s">
        <v>26650</v>
      </c>
      <c r="Z1764" t="s">
        <v>26656</v>
      </c>
      <c r="AA1764" t="s">
        <v>26680</v>
      </c>
      <c r="AB1764" t="s">
        <v>28269</v>
      </c>
      <c r="AC1764">
        <v>90488697</v>
      </c>
      <c r="AD1764" t="s">
        <v>38319</v>
      </c>
      <c r="AE1764">
        <v>86</v>
      </c>
      <c r="AF1764" t="s">
        <v>45543</v>
      </c>
      <c r="AG1764" t="s">
        <v>19330</v>
      </c>
      <c r="AH1764">
        <v>8</v>
      </c>
      <c r="AI1764">
        <v>1</v>
      </c>
      <c r="AJ1764">
        <v>0</v>
      </c>
      <c r="AK1764">
        <v>93.53</v>
      </c>
      <c r="AN1764" t="s">
        <v>45581</v>
      </c>
      <c r="AO1764">
        <v>11280</v>
      </c>
      <c r="AP1764" t="s">
        <v>45621</v>
      </c>
      <c r="AQ1764" t="s">
        <v>46361</v>
      </c>
      <c r="AR1764" t="s">
        <v>46447</v>
      </c>
      <c r="AS1764" t="s">
        <v>46499</v>
      </c>
      <c r="AT1764" t="s">
        <v>46507</v>
      </c>
      <c r="AU1764">
        <v>52.9</v>
      </c>
      <c r="AV1764" t="s">
        <v>726</v>
      </c>
      <c r="AW1764" t="s">
        <v>46848</v>
      </c>
    </row>
    <row r="1765" spans="1:50">
      <c r="A1765" s="1">
        <f>HYPERLINK("https://lsnyc.legalserver.org/matter/dynamic-profile/view/1874817","18-1874817")</f>
        <v>0</v>
      </c>
      <c r="B1765" t="s">
        <v>65</v>
      </c>
      <c r="C1765" t="s">
        <v>340</v>
      </c>
      <c r="D1765" t="s">
        <v>510</v>
      </c>
      <c r="F1765" t="s">
        <v>887</v>
      </c>
      <c r="G1765" t="s">
        <v>5481</v>
      </c>
      <c r="H1765" t="s">
        <v>10763</v>
      </c>
      <c r="I1765" t="s">
        <v>17293</v>
      </c>
      <c r="J1765" t="s">
        <v>18892</v>
      </c>
      <c r="K1765">
        <v>10468</v>
      </c>
      <c r="L1765" t="s">
        <v>18958</v>
      </c>
      <c r="M1765" t="s">
        <v>18958</v>
      </c>
      <c r="N1765" t="s">
        <v>20283</v>
      </c>
      <c r="O1765" t="s">
        <v>26524</v>
      </c>
      <c r="P1765" t="s">
        <v>26560</v>
      </c>
      <c r="R1765" t="s">
        <v>26579</v>
      </c>
      <c r="S1765" t="s">
        <v>18959</v>
      </c>
      <c r="U1765" t="s">
        <v>26604</v>
      </c>
      <c r="V1765" t="s">
        <v>26610</v>
      </c>
      <c r="W1765" t="s">
        <v>545</v>
      </c>
      <c r="X1765">
        <v>1124.24</v>
      </c>
      <c r="Y1765" t="s">
        <v>26650</v>
      </c>
      <c r="AB1765" t="s">
        <v>28270</v>
      </c>
      <c r="AC1765" t="s">
        <v>35030</v>
      </c>
      <c r="AD1765" t="s">
        <v>38320</v>
      </c>
      <c r="AE1765">
        <v>0</v>
      </c>
      <c r="AF1765" t="s">
        <v>45541</v>
      </c>
      <c r="AG1765" t="s">
        <v>45556</v>
      </c>
      <c r="AH1765">
        <v>21</v>
      </c>
      <c r="AI1765">
        <v>1</v>
      </c>
      <c r="AJ1765">
        <v>2</v>
      </c>
      <c r="AK1765">
        <v>133.58</v>
      </c>
      <c r="AN1765" t="s">
        <v>45581</v>
      </c>
      <c r="AO1765">
        <v>27757.08</v>
      </c>
      <c r="AP1765" t="s">
        <v>45654</v>
      </c>
      <c r="AQ1765" t="s">
        <v>46362</v>
      </c>
      <c r="AR1765" t="s">
        <v>46380</v>
      </c>
      <c r="AS1765" t="s">
        <v>46499</v>
      </c>
      <c r="AT1765" t="s">
        <v>46710</v>
      </c>
      <c r="AU1765">
        <v>27.85</v>
      </c>
      <c r="AV1765" t="s">
        <v>820</v>
      </c>
      <c r="AW1765" t="s">
        <v>46837</v>
      </c>
    </row>
    <row r="1766" spans="1:50">
      <c r="A1766" s="1">
        <f>HYPERLINK("https://lsnyc.legalserver.org/matter/dynamic-profile/view/1877148","18-1877148")</f>
        <v>0</v>
      </c>
      <c r="B1766" t="s">
        <v>143</v>
      </c>
      <c r="C1766" t="s">
        <v>340</v>
      </c>
      <c r="D1766" t="s">
        <v>576</v>
      </c>
      <c r="F1766" t="s">
        <v>1944</v>
      </c>
      <c r="G1766" t="s">
        <v>6111</v>
      </c>
      <c r="H1766" t="s">
        <v>11090</v>
      </c>
      <c r="I1766" t="s">
        <v>17355</v>
      </c>
      <c r="J1766" t="s">
        <v>18892</v>
      </c>
      <c r="K1766">
        <v>10468</v>
      </c>
      <c r="L1766" t="s">
        <v>18958</v>
      </c>
      <c r="M1766" t="s">
        <v>18958</v>
      </c>
      <c r="N1766" t="s">
        <v>20284</v>
      </c>
      <c r="O1766" t="s">
        <v>26523</v>
      </c>
      <c r="P1766" t="s">
        <v>26560</v>
      </c>
      <c r="R1766" t="s">
        <v>26579</v>
      </c>
      <c r="S1766" t="s">
        <v>18959</v>
      </c>
      <c r="T1766" t="s">
        <v>26579</v>
      </c>
      <c r="U1766" t="s">
        <v>26604</v>
      </c>
      <c r="V1766" t="s">
        <v>26610</v>
      </c>
      <c r="W1766" t="s">
        <v>545</v>
      </c>
      <c r="X1766">
        <v>1196</v>
      </c>
      <c r="Y1766" t="s">
        <v>26650</v>
      </c>
      <c r="Z1766" t="s">
        <v>26659</v>
      </c>
      <c r="AB1766" t="s">
        <v>28271</v>
      </c>
      <c r="AC1766">
        <v>35214520</v>
      </c>
      <c r="AD1766" t="s">
        <v>38321</v>
      </c>
      <c r="AE1766">
        <v>29</v>
      </c>
      <c r="AF1766" t="s">
        <v>45541</v>
      </c>
      <c r="AG1766" t="s">
        <v>45557</v>
      </c>
      <c r="AH1766">
        <v>6</v>
      </c>
      <c r="AI1766">
        <v>4</v>
      </c>
      <c r="AJ1766">
        <v>2</v>
      </c>
      <c r="AK1766">
        <v>25.39</v>
      </c>
      <c r="AN1766" t="s">
        <v>45581</v>
      </c>
      <c r="AO1766">
        <v>8568</v>
      </c>
      <c r="AU1766">
        <v>43.95</v>
      </c>
      <c r="AV1766" t="s">
        <v>813</v>
      </c>
      <c r="AW1766" t="s">
        <v>46836</v>
      </c>
      <c r="AX1766" t="s">
        <v>46897</v>
      </c>
    </row>
    <row r="1767" spans="1:50">
      <c r="A1767" s="1">
        <f>HYPERLINK("https://lsnyc.legalserver.org/matter/dynamic-profile/view/1877433","18-1877433")</f>
        <v>0</v>
      </c>
      <c r="B1767" t="s">
        <v>91</v>
      </c>
      <c r="C1767" t="s">
        <v>340</v>
      </c>
      <c r="D1767" t="s">
        <v>578</v>
      </c>
      <c r="F1767" t="s">
        <v>1945</v>
      </c>
      <c r="G1767" t="s">
        <v>5208</v>
      </c>
      <c r="H1767" t="s">
        <v>11091</v>
      </c>
      <c r="I1767" t="s">
        <v>17334</v>
      </c>
      <c r="J1767" t="s">
        <v>18899</v>
      </c>
      <c r="K1767">
        <v>11385</v>
      </c>
      <c r="L1767" t="s">
        <v>18958</v>
      </c>
      <c r="M1767" t="s">
        <v>18958</v>
      </c>
      <c r="N1767" t="s">
        <v>20285</v>
      </c>
      <c r="O1767" t="s">
        <v>26524</v>
      </c>
      <c r="P1767" t="s">
        <v>26560</v>
      </c>
      <c r="R1767" t="s">
        <v>26585</v>
      </c>
      <c r="S1767" t="s">
        <v>18959</v>
      </c>
      <c r="U1767" t="s">
        <v>26604</v>
      </c>
      <c r="V1767" t="s">
        <v>26610</v>
      </c>
      <c r="W1767" t="s">
        <v>545</v>
      </c>
      <c r="X1767">
        <v>1300</v>
      </c>
      <c r="Y1767" t="s">
        <v>26653</v>
      </c>
      <c r="Z1767" t="s">
        <v>26664</v>
      </c>
      <c r="AA1767" t="s">
        <v>26683</v>
      </c>
      <c r="AB1767" t="s">
        <v>28272</v>
      </c>
      <c r="AD1767" t="s">
        <v>38322</v>
      </c>
      <c r="AE1767">
        <v>4</v>
      </c>
      <c r="AF1767" t="s">
        <v>45547</v>
      </c>
      <c r="AG1767" t="s">
        <v>19330</v>
      </c>
      <c r="AH1767">
        <v>15</v>
      </c>
      <c r="AI1767">
        <v>1</v>
      </c>
      <c r="AJ1767">
        <v>2</v>
      </c>
      <c r="AK1767">
        <v>0</v>
      </c>
      <c r="AN1767" t="s">
        <v>7439</v>
      </c>
      <c r="AO1767">
        <v>0</v>
      </c>
      <c r="AQ1767" t="s">
        <v>46365</v>
      </c>
      <c r="AS1767" t="s">
        <v>46500</v>
      </c>
      <c r="AT1767" t="s">
        <v>46715</v>
      </c>
      <c r="AU1767">
        <v>17.24</v>
      </c>
      <c r="AV1767" t="s">
        <v>781</v>
      </c>
      <c r="AW1767" t="s">
        <v>161</v>
      </c>
    </row>
    <row r="1768" spans="1:50">
      <c r="A1768" s="1">
        <f>HYPERLINK("https://lsnyc.legalserver.org/matter/dynamic-profile/view/1877558","18-1877558")</f>
        <v>0</v>
      </c>
      <c r="B1768" t="s">
        <v>70</v>
      </c>
      <c r="C1768" t="s">
        <v>341</v>
      </c>
      <c r="D1768" t="s">
        <v>545</v>
      </c>
      <c r="E1768" t="s">
        <v>411</v>
      </c>
      <c r="F1768" t="s">
        <v>1946</v>
      </c>
      <c r="G1768" t="s">
        <v>6112</v>
      </c>
      <c r="H1768" t="s">
        <v>11092</v>
      </c>
      <c r="I1768" t="s">
        <v>17430</v>
      </c>
      <c r="J1768" t="s">
        <v>18892</v>
      </c>
      <c r="K1768">
        <v>10466</v>
      </c>
      <c r="L1768" t="s">
        <v>18958</v>
      </c>
      <c r="M1768" t="s">
        <v>18958</v>
      </c>
      <c r="N1768" t="s">
        <v>20286</v>
      </c>
      <c r="O1768" t="s">
        <v>26524</v>
      </c>
      <c r="P1768" t="s">
        <v>26564</v>
      </c>
      <c r="Q1768" t="s">
        <v>26570</v>
      </c>
      <c r="R1768" t="s">
        <v>26577</v>
      </c>
      <c r="S1768" t="s">
        <v>18959</v>
      </c>
      <c r="U1768" t="s">
        <v>26604</v>
      </c>
      <c r="V1768" t="s">
        <v>26609</v>
      </c>
      <c r="W1768" t="s">
        <v>545</v>
      </c>
      <c r="X1768">
        <v>2700</v>
      </c>
      <c r="Y1768" t="s">
        <v>26650</v>
      </c>
      <c r="Z1768" t="s">
        <v>26668</v>
      </c>
      <c r="AA1768" t="s">
        <v>26683</v>
      </c>
      <c r="AB1768" t="s">
        <v>28273</v>
      </c>
      <c r="AC1768">
        <v>37165942</v>
      </c>
      <c r="AD1768" t="s">
        <v>38323</v>
      </c>
      <c r="AE1768">
        <v>2</v>
      </c>
      <c r="AF1768" t="s">
        <v>45547</v>
      </c>
      <c r="AG1768" t="s">
        <v>19330</v>
      </c>
      <c r="AH1768">
        <v>1</v>
      </c>
      <c r="AI1768">
        <v>3</v>
      </c>
      <c r="AJ1768">
        <v>3</v>
      </c>
      <c r="AK1768">
        <v>31.58</v>
      </c>
      <c r="AN1768" t="s">
        <v>7439</v>
      </c>
      <c r="AO1768">
        <v>10656</v>
      </c>
      <c r="AR1768" t="s">
        <v>26530</v>
      </c>
      <c r="AU1768">
        <v>9.199999999999999</v>
      </c>
      <c r="AV1768" t="s">
        <v>411</v>
      </c>
      <c r="AW1768" t="s">
        <v>46836</v>
      </c>
    </row>
    <row r="1769" spans="1:50">
      <c r="A1769" s="1">
        <f>HYPERLINK("https://lsnyc.legalserver.org/matter/dynamic-profile/view/1877574","18-1877574")</f>
        <v>0</v>
      </c>
      <c r="B1769" t="s">
        <v>72</v>
      </c>
      <c r="C1769" t="s">
        <v>341</v>
      </c>
      <c r="D1769" t="s">
        <v>545</v>
      </c>
      <c r="E1769" t="s">
        <v>644</v>
      </c>
      <c r="F1769" t="s">
        <v>1363</v>
      </c>
      <c r="G1769" t="s">
        <v>5094</v>
      </c>
      <c r="H1769" t="s">
        <v>11093</v>
      </c>
      <c r="I1769" t="s">
        <v>17274</v>
      </c>
      <c r="J1769" t="s">
        <v>18893</v>
      </c>
      <c r="K1769">
        <v>10034</v>
      </c>
      <c r="L1769" t="s">
        <v>18958</v>
      </c>
      <c r="M1769" t="s">
        <v>18958</v>
      </c>
      <c r="O1769" t="s">
        <v>18997</v>
      </c>
      <c r="P1769" t="s">
        <v>26564</v>
      </c>
      <c r="Q1769" t="s">
        <v>26570</v>
      </c>
      <c r="R1769" t="s">
        <v>26578</v>
      </c>
      <c r="S1769" t="s">
        <v>18959</v>
      </c>
      <c r="U1769" t="s">
        <v>26604</v>
      </c>
      <c r="W1769" t="s">
        <v>545</v>
      </c>
      <c r="X1769">
        <v>1270</v>
      </c>
      <c r="Y1769" t="s">
        <v>26651</v>
      </c>
      <c r="Z1769" t="s">
        <v>26661</v>
      </c>
      <c r="AA1769" t="s">
        <v>26683</v>
      </c>
      <c r="AB1769" t="s">
        <v>28274</v>
      </c>
      <c r="AD1769" t="s">
        <v>38324</v>
      </c>
      <c r="AE1769">
        <v>52</v>
      </c>
      <c r="AF1769" t="s">
        <v>45541</v>
      </c>
      <c r="AG1769" t="s">
        <v>19330</v>
      </c>
      <c r="AH1769">
        <v>22</v>
      </c>
      <c r="AI1769">
        <v>3</v>
      </c>
      <c r="AJ1769">
        <v>0</v>
      </c>
      <c r="AK1769">
        <v>125.12</v>
      </c>
      <c r="AN1769" t="s">
        <v>7439</v>
      </c>
      <c r="AO1769">
        <v>26000</v>
      </c>
      <c r="AU1769">
        <v>0.1</v>
      </c>
      <c r="AV1769" t="s">
        <v>644</v>
      </c>
      <c r="AW1769" t="s">
        <v>46840</v>
      </c>
    </row>
    <row r="1770" spans="1:50">
      <c r="A1770" s="1">
        <f>HYPERLINK("https://lsnyc.legalserver.org/matter/dynamic-profile/view/1877573","18-1877573")</f>
        <v>0</v>
      </c>
      <c r="B1770" t="s">
        <v>141</v>
      </c>
      <c r="C1770" t="s">
        <v>341</v>
      </c>
      <c r="D1770" t="s">
        <v>545</v>
      </c>
      <c r="E1770" t="s">
        <v>571</v>
      </c>
      <c r="F1770" t="s">
        <v>1470</v>
      </c>
      <c r="G1770" t="s">
        <v>6113</v>
      </c>
      <c r="H1770" t="s">
        <v>11094</v>
      </c>
      <c r="I1770" t="s">
        <v>17416</v>
      </c>
      <c r="J1770" t="s">
        <v>18935</v>
      </c>
      <c r="K1770">
        <v>11364</v>
      </c>
      <c r="L1770" t="s">
        <v>18958</v>
      </c>
      <c r="M1770" t="s">
        <v>18958</v>
      </c>
      <c r="N1770" t="s">
        <v>19330</v>
      </c>
      <c r="O1770" t="s">
        <v>18997</v>
      </c>
      <c r="P1770" t="s">
        <v>26564</v>
      </c>
      <c r="Q1770" t="s">
        <v>26570</v>
      </c>
      <c r="R1770" t="s">
        <v>26589</v>
      </c>
      <c r="S1770" t="s">
        <v>18959</v>
      </c>
      <c r="U1770" t="s">
        <v>26604</v>
      </c>
      <c r="V1770" t="s">
        <v>26610</v>
      </c>
      <c r="W1770" t="s">
        <v>545</v>
      </c>
      <c r="X1770">
        <v>0</v>
      </c>
      <c r="Y1770" t="s">
        <v>26653</v>
      </c>
      <c r="Z1770" t="s">
        <v>26671</v>
      </c>
      <c r="AA1770" t="s">
        <v>26683</v>
      </c>
      <c r="AB1770" t="s">
        <v>28275</v>
      </c>
      <c r="AC1770" t="s">
        <v>19330</v>
      </c>
      <c r="AD1770" t="s">
        <v>38325</v>
      </c>
      <c r="AE1770">
        <v>194</v>
      </c>
      <c r="AF1770" t="s">
        <v>45553</v>
      </c>
      <c r="AG1770" t="s">
        <v>19330</v>
      </c>
      <c r="AH1770">
        <v>2</v>
      </c>
      <c r="AI1770">
        <v>2</v>
      </c>
      <c r="AJ1770">
        <v>0</v>
      </c>
      <c r="AK1770">
        <v>413.12</v>
      </c>
      <c r="AL1770" t="s">
        <v>45567</v>
      </c>
      <c r="AM1770" t="s">
        <v>45577</v>
      </c>
      <c r="AN1770" t="s">
        <v>7439</v>
      </c>
      <c r="AO1770">
        <v>68000</v>
      </c>
      <c r="AU1770">
        <v>0.8</v>
      </c>
      <c r="AV1770" t="s">
        <v>571</v>
      </c>
      <c r="AW1770" t="s">
        <v>141</v>
      </c>
    </row>
    <row r="1771" spans="1:50">
      <c r="A1771" s="1">
        <f>HYPERLINK("https://lsnyc.legalserver.org/matter/dynamic-profile/view/1877471","18-1877471")</f>
        <v>0</v>
      </c>
      <c r="B1771" t="s">
        <v>93</v>
      </c>
      <c r="C1771" t="s">
        <v>341</v>
      </c>
      <c r="D1771" t="s">
        <v>545</v>
      </c>
      <c r="E1771" t="s">
        <v>712</v>
      </c>
      <c r="F1771" t="s">
        <v>1947</v>
      </c>
      <c r="G1771" t="s">
        <v>6114</v>
      </c>
      <c r="H1771" t="s">
        <v>11095</v>
      </c>
      <c r="I1771" t="s">
        <v>17330</v>
      </c>
      <c r="J1771" t="s">
        <v>18914</v>
      </c>
      <c r="K1771">
        <v>11104</v>
      </c>
      <c r="L1771" t="s">
        <v>18958</v>
      </c>
      <c r="M1771" t="s">
        <v>18958</v>
      </c>
      <c r="N1771" t="s">
        <v>20287</v>
      </c>
      <c r="O1771" t="s">
        <v>26524</v>
      </c>
      <c r="P1771" t="s">
        <v>26564</v>
      </c>
      <c r="Q1771" t="s">
        <v>26570</v>
      </c>
      <c r="R1771" t="s">
        <v>26584</v>
      </c>
      <c r="S1771" t="s">
        <v>18959</v>
      </c>
      <c r="U1771" t="s">
        <v>26604</v>
      </c>
      <c r="V1771" t="s">
        <v>26610</v>
      </c>
      <c r="W1771" t="s">
        <v>545</v>
      </c>
      <c r="X1771">
        <v>1100</v>
      </c>
      <c r="Y1771" t="s">
        <v>26653</v>
      </c>
      <c r="Z1771" t="s">
        <v>26664</v>
      </c>
      <c r="AA1771" t="s">
        <v>26683</v>
      </c>
      <c r="AB1771" t="s">
        <v>27750</v>
      </c>
      <c r="AC1771" t="s">
        <v>35031</v>
      </c>
      <c r="AD1771" t="s">
        <v>38326</v>
      </c>
      <c r="AE1771">
        <v>4</v>
      </c>
      <c r="AF1771" t="s">
        <v>45547</v>
      </c>
      <c r="AG1771" t="s">
        <v>19330</v>
      </c>
      <c r="AH1771">
        <v>3</v>
      </c>
      <c r="AI1771">
        <v>1</v>
      </c>
      <c r="AJ1771">
        <v>1</v>
      </c>
      <c r="AK1771">
        <v>133.66</v>
      </c>
      <c r="AN1771" t="s">
        <v>7439</v>
      </c>
      <c r="AO1771">
        <v>22000</v>
      </c>
      <c r="AU1771">
        <v>0.5</v>
      </c>
      <c r="AV1771" t="s">
        <v>582</v>
      </c>
      <c r="AW1771" t="s">
        <v>208</v>
      </c>
    </row>
    <row r="1772" spans="1:50">
      <c r="A1772" s="1">
        <f>HYPERLINK("https://lsnyc.legalserver.org/matter/dynamic-profile/view/1877590","18-1877590")</f>
        <v>0</v>
      </c>
      <c r="B1772" t="s">
        <v>200</v>
      </c>
      <c r="C1772" t="s">
        <v>341</v>
      </c>
      <c r="D1772" t="s">
        <v>545</v>
      </c>
      <c r="E1772" t="s">
        <v>639</v>
      </c>
      <c r="F1772" t="s">
        <v>1197</v>
      </c>
      <c r="G1772" t="s">
        <v>5086</v>
      </c>
      <c r="H1772" t="s">
        <v>11096</v>
      </c>
      <c r="I1772" t="s">
        <v>17352</v>
      </c>
      <c r="J1772" t="s">
        <v>18894</v>
      </c>
      <c r="K1772">
        <v>11239</v>
      </c>
      <c r="L1772" t="s">
        <v>18958</v>
      </c>
      <c r="M1772" t="s">
        <v>18958</v>
      </c>
      <c r="N1772" t="s">
        <v>20288</v>
      </c>
      <c r="O1772" t="s">
        <v>26523</v>
      </c>
      <c r="P1772" t="s">
        <v>26564</v>
      </c>
      <c r="Q1772" t="s">
        <v>26570</v>
      </c>
      <c r="R1772" t="s">
        <v>26578</v>
      </c>
      <c r="S1772" t="s">
        <v>18959</v>
      </c>
      <c r="U1772" t="s">
        <v>26604</v>
      </c>
      <c r="V1772" t="s">
        <v>26611</v>
      </c>
      <c r="W1772" t="s">
        <v>545</v>
      </c>
      <c r="X1772">
        <v>1518</v>
      </c>
      <c r="Y1772" t="s">
        <v>26652</v>
      </c>
      <c r="Z1772" t="s">
        <v>26659</v>
      </c>
      <c r="AA1772" t="s">
        <v>26683</v>
      </c>
      <c r="AB1772" t="s">
        <v>28276</v>
      </c>
      <c r="AD1772" t="s">
        <v>38327</v>
      </c>
      <c r="AE1772">
        <v>2229</v>
      </c>
      <c r="AF1772" t="s">
        <v>45543</v>
      </c>
      <c r="AG1772" t="s">
        <v>45556</v>
      </c>
      <c r="AH1772">
        <v>13</v>
      </c>
      <c r="AI1772">
        <v>2</v>
      </c>
      <c r="AJ1772">
        <v>1</v>
      </c>
      <c r="AK1772">
        <v>245.43</v>
      </c>
      <c r="AL1772" t="s">
        <v>45571</v>
      </c>
      <c r="AM1772" t="s">
        <v>45575</v>
      </c>
      <c r="AN1772" t="s">
        <v>7439</v>
      </c>
      <c r="AO1772">
        <v>51000</v>
      </c>
      <c r="AU1772">
        <v>2.5</v>
      </c>
      <c r="AV1772" t="s">
        <v>413</v>
      </c>
      <c r="AW1772" t="s">
        <v>279</v>
      </c>
    </row>
    <row r="1773" spans="1:50">
      <c r="A1773" s="1">
        <f>HYPERLINK("https://lsnyc.legalserver.org/matter/dynamic-profile/view/1877489","18-1877489")</f>
        <v>0</v>
      </c>
      <c r="B1773" t="s">
        <v>218</v>
      </c>
      <c r="C1773" t="s">
        <v>341</v>
      </c>
      <c r="D1773" t="s">
        <v>545</v>
      </c>
      <c r="E1773" t="s">
        <v>646</v>
      </c>
      <c r="F1773" t="s">
        <v>1948</v>
      </c>
      <c r="G1773" t="s">
        <v>6115</v>
      </c>
      <c r="H1773" t="s">
        <v>11097</v>
      </c>
      <c r="I1773" t="s">
        <v>17718</v>
      </c>
      <c r="J1773" t="s">
        <v>18893</v>
      </c>
      <c r="K1773">
        <v>10040</v>
      </c>
      <c r="L1773" t="s">
        <v>18958</v>
      </c>
      <c r="M1773" t="s">
        <v>18960</v>
      </c>
      <c r="O1773" t="s">
        <v>26524</v>
      </c>
      <c r="P1773" t="s">
        <v>26564</v>
      </c>
      <c r="Q1773" t="s">
        <v>26570</v>
      </c>
      <c r="R1773" t="s">
        <v>26578</v>
      </c>
      <c r="S1773" t="s">
        <v>18959</v>
      </c>
      <c r="U1773" t="s">
        <v>26604</v>
      </c>
      <c r="W1773" t="s">
        <v>545</v>
      </c>
      <c r="X1773">
        <v>1172</v>
      </c>
      <c r="Y1773" t="s">
        <v>26651</v>
      </c>
      <c r="Z1773" t="s">
        <v>26661</v>
      </c>
      <c r="AA1773" t="s">
        <v>26683</v>
      </c>
      <c r="AB1773" t="s">
        <v>28277</v>
      </c>
      <c r="AD1773" t="s">
        <v>38328</v>
      </c>
      <c r="AE1773">
        <v>134</v>
      </c>
      <c r="AG1773" t="s">
        <v>19330</v>
      </c>
      <c r="AH1773">
        <v>20</v>
      </c>
      <c r="AI1773">
        <v>2</v>
      </c>
      <c r="AJ1773">
        <v>0</v>
      </c>
      <c r="AK1773">
        <v>0</v>
      </c>
      <c r="AN1773" t="s">
        <v>7439</v>
      </c>
      <c r="AO1773">
        <v>0</v>
      </c>
      <c r="AU1773">
        <v>4.2</v>
      </c>
      <c r="AV1773" t="s">
        <v>582</v>
      </c>
      <c r="AW1773" t="s">
        <v>46840</v>
      </c>
      <c r="AX1773" t="s">
        <v>46897</v>
      </c>
    </row>
    <row r="1774" spans="1:50">
      <c r="A1774" s="1">
        <f>HYPERLINK("https://lsnyc.legalserver.org/matter/dynamic-profile/view/1876963","18-1876963")</f>
        <v>0</v>
      </c>
      <c r="B1774" t="s">
        <v>103</v>
      </c>
      <c r="C1774" t="s">
        <v>341</v>
      </c>
      <c r="D1774" t="s">
        <v>545</v>
      </c>
      <c r="E1774" t="s">
        <v>664</v>
      </c>
      <c r="F1774" t="s">
        <v>1352</v>
      </c>
      <c r="G1774" t="s">
        <v>5269</v>
      </c>
      <c r="H1774" t="s">
        <v>11098</v>
      </c>
      <c r="J1774" t="s">
        <v>18902</v>
      </c>
      <c r="K1774">
        <v>10301</v>
      </c>
      <c r="L1774" t="s">
        <v>18958</v>
      </c>
      <c r="M1774" t="s">
        <v>18958</v>
      </c>
      <c r="N1774" t="s">
        <v>20289</v>
      </c>
      <c r="O1774" t="s">
        <v>26523</v>
      </c>
      <c r="P1774" t="s">
        <v>26560</v>
      </c>
      <c r="Q1774" t="s">
        <v>26568</v>
      </c>
      <c r="R1774" t="s">
        <v>26578</v>
      </c>
      <c r="S1774" t="s">
        <v>18959</v>
      </c>
      <c r="U1774" t="s">
        <v>26604</v>
      </c>
      <c r="V1774" t="s">
        <v>26610</v>
      </c>
      <c r="W1774" t="s">
        <v>545</v>
      </c>
      <c r="X1774">
        <v>1099</v>
      </c>
      <c r="Y1774" t="s">
        <v>26654</v>
      </c>
      <c r="Z1774" t="s">
        <v>26661</v>
      </c>
      <c r="AA1774" t="s">
        <v>26678</v>
      </c>
      <c r="AB1774" t="s">
        <v>28278</v>
      </c>
      <c r="AE1774">
        <v>148</v>
      </c>
      <c r="AF1774" t="s">
        <v>45541</v>
      </c>
      <c r="AG1774" t="s">
        <v>19330</v>
      </c>
      <c r="AH1774">
        <v>1</v>
      </c>
      <c r="AI1774">
        <v>1</v>
      </c>
      <c r="AJ1774">
        <v>0</v>
      </c>
      <c r="AK1774">
        <v>184.51</v>
      </c>
      <c r="AN1774" t="s">
        <v>7439</v>
      </c>
      <c r="AO1774">
        <v>22400</v>
      </c>
      <c r="AQ1774" t="s">
        <v>46362</v>
      </c>
      <c r="AR1774" t="s">
        <v>46380</v>
      </c>
      <c r="AS1774" t="s">
        <v>46499</v>
      </c>
      <c r="AT1774" t="s">
        <v>46716</v>
      </c>
      <c r="AU1774">
        <v>2.6</v>
      </c>
      <c r="AV1774" t="s">
        <v>664</v>
      </c>
      <c r="AW1774" t="s">
        <v>190</v>
      </c>
    </row>
    <row r="1775" spans="1:50">
      <c r="A1775" s="1">
        <f>HYPERLINK("https://lsnyc.legalserver.org/matter/dynamic-profile/view/1877553","18-1877553")</f>
        <v>0</v>
      </c>
      <c r="B1775" t="s">
        <v>103</v>
      </c>
      <c r="C1775" t="s">
        <v>341</v>
      </c>
      <c r="D1775" t="s">
        <v>545</v>
      </c>
      <c r="E1775" t="s">
        <v>788</v>
      </c>
      <c r="F1775" t="s">
        <v>947</v>
      </c>
      <c r="G1775" t="s">
        <v>6080</v>
      </c>
      <c r="H1775" t="s">
        <v>11038</v>
      </c>
      <c r="I1775" t="s">
        <v>17355</v>
      </c>
      <c r="J1775" t="s">
        <v>18902</v>
      </c>
      <c r="K1775">
        <v>10301</v>
      </c>
      <c r="L1775" t="s">
        <v>18958</v>
      </c>
      <c r="M1775" t="s">
        <v>18958</v>
      </c>
      <c r="N1775" t="s">
        <v>20290</v>
      </c>
      <c r="O1775" t="s">
        <v>26523</v>
      </c>
      <c r="P1775" t="s">
        <v>26560</v>
      </c>
      <c r="Q1775" t="s">
        <v>26568</v>
      </c>
      <c r="R1775" t="s">
        <v>26587</v>
      </c>
      <c r="S1775" t="s">
        <v>18959</v>
      </c>
      <c r="U1775" t="s">
        <v>26605</v>
      </c>
      <c r="V1775" t="s">
        <v>26610</v>
      </c>
      <c r="W1775" t="s">
        <v>545</v>
      </c>
      <c r="X1775">
        <v>621.6</v>
      </c>
      <c r="Y1775" t="s">
        <v>26654</v>
      </c>
      <c r="Z1775" t="s">
        <v>26659</v>
      </c>
      <c r="AA1775" t="s">
        <v>26678</v>
      </c>
      <c r="AB1775" t="s">
        <v>28215</v>
      </c>
      <c r="AC1775" t="s">
        <v>35032</v>
      </c>
      <c r="AD1775" t="s">
        <v>38263</v>
      </c>
      <c r="AE1775">
        <v>57</v>
      </c>
      <c r="AF1775" t="s">
        <v>45549</v>
      </c>
      <c r="AH1775">
        <v>19</v>
      </c>
      <c r="AI1775">
        <v>2</v>
      </c>
      <c r="AJ1775">
        <v>0</v>
      </c>
      <c r="AK1775">
        <v>65.98</v>
      </c>
      <c r="AN1775" t="s">
        <v>7439</v>
      </c>
      <c r="AO1775">
        <v>10860.56</v>
      </c>
      <c r="AQ1775" t="s">
        <v>46362</v>
      </c>
      <c r="AR1775" t="s">
        <v>46379</v>
      </c>
      <c r="AS1775" t="s">
        <v>46499</v>
      </c>
      <c r="AT1775" t="s">
        <v>46689</v>
      </c>
      <c r="AU1775">
        <v>10.9</v>
      </c>
      <c r="AV1775" t="s">
        <v>788</v>
      </c>
      <c r="AW1775" t="s">
        <v>103</v>
      </c>
    </row>
    <row r="1776" spans="1:50">
      <c r="A1776" s="1">
        <f>HYPERLINK("https://lsnyc.legalserver.org/matter/dynamic-profile/view/1877493","18-1877493")</f>
        <v>0</v>
      </c>
      <c r="B1776" t="s">
        <v>111</v>
      </c>
      <c r="C1776" t="s">
        <v>341</v>
      </c>
      <c r="D1776" t="s">
        <v>545</v>
      </c>
      <c r="E1776" t="s">
        <v>850</v>
      </c>
      <c r="F1776" t="s">
        <v>1083</v>
      </c>
      <c r="G1776" t="s">
        <v>5447</v>
      </c>
      <c r="H1776" t="s">
        <v>11099</v>
      </c>
      <c r="I1776" t="s">
        <v>17719</v>
      </c>
      <c r="J1776" t="s">
        <v>18923</v>
      </c>
      <c r="K1776">
        <v>11418</v>
      </c>
      <c r="L1776" t="s">
        <v>18958</v>
      </c>
      <c r="M1776" t="s">
        <v>18958</v>
      </c>
      <c r="N1776" t="s">
        <v>20291</v>
      </c>
      <c r="O1776" t="s">
        <v>26524</v>
      </c>
      <c r="P1776" t="s">
        <v>26564</v>
      </c>
      <c r="Q1776" t="s">
        <v>26570</v>
      </c>
      <c r="R1776" t="s">
        <v>26584</v>
      </c>
      <c r="S1776" t="s">
        <v>18959</v>
      </c>
      <c r="U1776" t="s">
        <v>26604</v>
      </c>
      <c r="V1776" t="s">
        <v>26610</v>
      </c>
      <c r="W1776" t="s">
        <v>545</v>
      </c>
      <c r="X1776">
        <v>700</v>
      </c>
      <c r="Y1776" t="s">
        <v>26653</v>
      </c>
      <c r="Z1776" t="s">
        <v>26664</v>
      </c>
      <c r="AA1776" t="s">
        <v>26683</v>
      </c>
      <c r="AB1776" t="s">
        <v>28279</v>
      </c>
      <c r="AC1776" t="s">
        <v>35033</v>
      </c>
      <c r="AD1776" t="s">
        <v>38329</v>
      </c>
      <c r="AE1776">
        <v>1</v>
      </c>
      <c r="AF1776" t="s">
        <v>45547</v>
      </c>
      <c r="AG1776" t="s">
        <v>19330</v>
      </c>
      <c r="AH1776">
        <v>1</v>
      </c>
      <c r="AI1776">
        <v>1</v>
      </c>
      <c r="AJ1776">
        <v>0</v>
      </c>
      <c r="AK1776">
        <v>0</v>
      </c>
      <c r="AN1776" t="s">
        <v>7439</v>
      </c>
      <c r="AO1776">
        <v>0</v>
      </c>
      <c r="AU1776">
        <v>1</v>
      </c>
      <c r="AV1776" t="s">
        <v>545</v>
      </c>
      <c r="AW1776" t="s">
        <v>208</v>
      </c>
    </row>
    <row r="1777" spans="1:50">
      <c r="A1777" s="1">
        <f>HYPERLINK("https://lsnyc.legalserver.org/matter/dynamic-profile/view/1877591","18-1877591")</f>
        <v>0</v>
      </c>
      <c r="B1777" t="s">
        <v>70</v>
      </c>
      <c r="C1777" t="s">
        <v>340</v>
      </c>
      <c r="D1777" t="s">
        <v>545</v>
      </c>
      <c r="F1777" t="s">
        <v>1949</v>
      </c>
      <c r="G1777" t="s">
        <v>6116</v>
      </c>
      <c r="H1777" t="s">
        <v>11100</v>
      </c>
      <c r="I1777">
        <v>6</v>
      </c>
      <c r="J1777" t="s">
        <v>18892</v>
      </c>
      <c r="K1777">
        <v>10451</v>
      </c>
      <c r="L1777" t="s">
        <v>18958</v>
      </c>
      <c r="M1777" t="s">
        <v>18958</v>
      </c>
      <c r="N1777" t="s">
        <v>20292</v>
      </c>
      <c r="O1777" t="s">
        <v>26524</v>
      </c>
      <c r="P1777" t="s">
        <v>26560</v>
      </c>
      <c r="R1777" t="s">
        <v>26577</v>
      </c>
      <c r="S1777" t="s">
        <v>18959</v>
      </c>
      <c r="U1777" t="s">
        <v>26604</v>
      </c>
      <c r="V1777" t="s">
        <v>26613</v>
      </c>
      <c r="W1777" t="s">
        <v>545</v>
      </c>
      <c r="X1777">
        <v>1000</v>
      </c>
      <c r="Y1777" t="s">
        <v>26650</v>
      </c>
      <c r="Z1777" t="s">
        <v>26668</v>
      </c>
      <c r="AB1777" t="s">
        <v>28280</v>
      </c>
      <c r="AC1777" t="s">
        <v>19045</v>
      </c>
      <c r="AD1777" t="s">
        <v>38330</v>
      </c>
      <c r="AE1777">
        <v>12</v>
      </c>
      <c r="AF1777" t="s">
        <v>45541</v>
      </c>
      <c r="AG1777" t="s">
        <v>19330</v>
      </c>
      <c r="AH1777">
        <v>2</v>
      </c>
      <c r="AI1777">
        <v>6</v>
      </c>
      <c r="AJ1777">
        <v>0</v>
      </c>
      <c r="AK1777">
        <v>118.55</v>
      </c>
      <c r="AN1777" t="s">
        <v>45582</v>
      </c>
      <c r="AO1777">
        <v>40000</v>
      </c>
      <c r="AP1777" t="s">
        <v>45731</v>
      </c>
      <c r="AQ1777" t="s">
        <v>46361</v>
      </c>
      <c r="AU1777">
        <v>45.7</v>
      </c>
      <c r="AV1777" t="s">
        <v>780</v>
      </c>
      <c r="AW1777" t="s">
        <v>46854</v>
      </c>
    </row>
    <row r="1778" spans="1:50">
      <c r="A1778" s="1">
        <f>HYPERLINK("https://lsnyc.legalserver.org/matter/dynamic-profile/view/1877546","18-1877546")</f>
        <v>0</v>
      </c>
      <c r="B1778" t="s">
        <v>212</v>
      </c>
      <c r="C1778" t="s">
        <v>340</v>
      </c>
      <c r="D1778" t="s">
        <v>545</v>
      </c>
      <c r="F1778" t="s">
        <v>992</v>
      </c>
      <c r="G1778" t="s">
        <v>1876</v>
      </c>
      <c r="H1778" t="s">
        <v>11101</v>
      </c>
      <c r="I1778" t="s">
        <v>17309</v>
      </c>
      <c r="J1778" t="s">
        <v>18900</v>
      </c>
      <c r="K1778">
        <v>11354</v>
      </c>
      <c r="L1778" t="s">
        <v>18958</v>
      </c>
      <c r="M1778" t="s">
        <v>18958</v>
      </c>
      <c r="N1778" t="s">
        <v>20293</v>
      </c>
      <c r="O1778" t="s">
        <v>26523</v>
      </c>
      <c r="P1778" t="s">
        <v>26560</v>
      </c>
      <c r="R1778" t="s">
        <v>26578</v>
      </c>
      <c r="S1778" t="s">
        <v>18959</v>
      </c>
      <c r="U1778" t="s">
        <v>26604</v>
      </c>
      <c r="V1778" t="s">
        <v>26610</v>
      </c>
      <c r="W1778" t="s">
        <v>545</v>
      </c>
      <c r="X1778">
        <v>700</v>
      </c>
      <c r="Y1778" t="s">
        <v>26653</v>
      </c>
      <c r="Z1778" t="s">
        <v>26664</v>
      </c>
      <c r="AB1778" t="s">
        <v>28281</v>
      </c>
      <c r="AD1778" t="s">
        <v>38331</v>
      </c>
      <c r="AE1778">
        <v>84</v>
      </c>
      <c r="AF1778" t="s">
        <v>45541</v>
      </c>
      <c r="AG1778" t="s">
        <v>19330</v>
      </c>
      <c r="AH1778">
        <v>3</v>
      </c>
      <c r="AI1778">
        <v>2</v>
      </c>
      <c r="AJ1778">
        <v>0</v>
      </c>
      <c r="AK1778">
        <v>139.73</v>
      </c>
      <c r="AN1778" t="s">
        <v>7439</v>
      </c>
      <c r="AO1778">
        <v>23000</v>
      </c>
      <c r="AQ1778" t="s">
        <v>46366</v>
      </c>
      <c r="AR1778" t="s">
        <v>26530</v>
      </c>
      <c r="AS1778" t="s">
        <v>46500</v>
      </c>
      <c r="AT1778" t="s">
        <v>46625</v>
      </c>
      <c r="AU1778">
        <v>6.95</v>
      </c>
      <c r="AV1778" t="s">
        <v>805</v>
      </c>
      <c r="AW1778" t="s">
        <v>161</v>
      </c>
    </row>
    <row r="1779" spans="1:50">
      <c r="A1779" s="1">
        <f>HYPERLINK("https://lsnyc.legalserver.org/matter/dynamic-profile/view/1877463","18-1877463")</f>
        <v>0</v>
      </c>
      <c r="B1779" t="s">
        <v>141</v>
      </c>
      <c r="C1779" t="s">
        <v>340</v>
      </c>
      <c r="D1779" t="s">
        <v>545</v>
      </c>
      <c r="F1779" t="s">
        <v>1950</v>
      </c>
      <c r="G1779" t="s">
        <v>6117</v>
      </c>
      <c r="H1779" t="s">
        <v>11102</v>
      </c>
      <c r="I1779" t="s">
        <v>17378</v>
      </c>
      <c r="J1779" t="s">
        <v>18898</v>
      </c>
      <c r="K1779">
        <v>11691</v>
      </c>
      <c r="L1779" t="s">
        <v>18958</v>
      </c>
      <c r="M1779" t="s">
        <v>18958</v>
      </c>
      <c r="N1779" t="s">
        <v>20294</v>
      </c>
      <c r="O1779" t="s">
        <v>26523</v>
      </c>
      <c r="P1779" t="s">
        <v>26560</v>
      </c>
      <c r="R1779" t="s">
        <v>26578</v>
      </c>
      <c r="S1779" t="s">
        <v>18959</v>
      </c>
      <c r="U1779" t="s">
        <v>26604</v>
      </c>
      <c r="V1779" t="s">
        <v>26611</v>
      </c>
      <c r="W1779" t="s">
        <v>545</v>
      </c>
      <c r="X1779">
        <v>1377</v>
      </c>
      <c r="Y1779" t="s">
        <v>26653</v>
      </c>
      <c r="Z1779" t="s">
        <v>26664</v>
      </c>
      <c r="AB1779" t="s">
        <v>28282</v>
      </c>
      <c r="AC1779" t="s">
        <v>35034</v>
      </c>
      <c r="AD1779" t="s">
        <v>38332</v>
      </c>
      <c r="AE1779">
        <v>107</v>
      </c>
      <c r="AF1779" t="s">
        <v>45541</v>
      </c>
      <c r="AG1779" t="s">
        <v>19330</v>
      </c>
      <c r="AH1779">
        <v>2</v>
      </c>
      <c r="AI1779">
        <v>1</v>
      </c>
      <c r="AJ1779">
        <v>2</v>
      </c>
      <c r="AK1779">
        <v>90.45999999999999</v>
      </c>
      <c r="AN1779" t="s">
        <v>7439</v>
      </c>
      <c r="AO1779">
        <v>18798</v>
      </c>
      <c r="AQ1779" t="s">
        <v>46366</v>
      </c>
      <c r="AR1779" t="s">
        <v>46431</v>
      </c>
      <c r="AS1779" t="s">
        <v>46499</v>
      </c>
      <c r="AT1779" t="s">
        <v>46717</v>
      </c>
      <c r="AU1779">
        <v>96.25</v>
      </c>
      <c r="AV1779" t="s">
        <v>827</v>
      </c>
      <c r="AW1779" t="s">
        <v>208</v>
      </c>
      <c r="AX1779" t="s">
        <v>46897</v>
      </c>
    </row>
    <row r="1780" spans="1:50">
      <c r="A1780" s="1">
        <f>HYPERLINK("https://lsnyc.legalserver.org/matter/dynamic-profile/view/1877521","18-1877521")</f>
        <v>0</v>
      </c>
      <c r="B1780" t="s">
        <v>122</v>
      </c>
      <c r="C1780" t="s">
        <v>340</v>
      </c>
      <c r="D1780" t="s">
        <v>545</v>
      </c>
      <c r="F1780" t="s">
        <v>994</v>
      </c>
      <c r="G1780" t="s">
        <v>6118</v>
      </c>
      <c r="H1780" t="s">
        <v>11103</v>
      </c>
      <c r="I1780" t="s">
        <v>17582</v>
      </c>
      <c r="J1780" t="s">
        <v>18919</v>
      </c>
      <c r="K1780">
        <v>11429</v>
      </c>
      <c r="L1780" t="s">
        <v>18958</v>
      </c>
      <c r="M1780" t="s">
        <v>18960</v>
      </c>
      <c r="N1780" t="s">
        <v>20295</v>
      </c>
      <c r="O1780" t="s">
        <v>26524</v>
      </c>
      <c r="R1780" t="s">
        <v>26584</v>
      </c>
      <c r="S1780" t="s">
        <v>18959</v>
      </c>
      <c r="U1780" t="s">
        <v>26604</v>
      </c>
      <c r="W1780" t="s">
        <v>545</v>
      </c>
      <c r="X1780">
        <v>100</v>
      </c>
      <c r="Y1780" t="s">
        <v>26653</v>
      </c>
      <c r="AB1780" t="s">
        <v>28283</v>
      </c>
      <c r="AD1780" t="s">
        <v>38333</v>
      </c>
      <c r="AE1780">
        <v>0</v>
      </c>
      <c r="AF1780" t="s">
        <v>45547</v>
      </c>
      <c r="AG1780" t="s">
        <v>19330</v>
      </c>
      <c r="AH1780">
        <v>10</v>
      </c>
      <c r="AI1780">
        <v>1</v>
      </c>
      <c r="AJ1780">
        <v>0</v>
      </c>
      <c r="AK1780">
        <v>34.27</v>
      </c>
      <c r="AO1780">
        <v>4160</v>
      </c>
      <c r="AU1780">
        <v>0.25</v>
      </c>
      <c r="AV1780" t="s">
        <v>690</v>
      </c>
      <c r="AW1780" t="s">
        <v>122</v>
      </c>
    </row>
    <row r="1781" spans="1:50">
      <c r="A1781" s="1">
        <f>HYPERLINK("https://lsnyc.legalserver.org/matter/dynamic-profile/view/1877613","18-1877613")</f>
        <v>0</v>
      </c>
      <c r="B1781" t="s">
        <v>212</v>
      </c>
      <c r="C1781" t="s">
        <v>340</v>
      </c>
      <c r="D1781" t="s">
        <v>586</v>
      </c>
      <c r="F1781" t="s">
        <v>1951</v>
      </c>
      <c r="G1781" t="s">
        <v>5100</v>
      </c>
      <c r="H1781" t="s">
        <v>11104</v>
      </c>
      <c r="I1781" t="s">
        <v>17291</v>
      </c>
      <c r="J1781" t="s">
        <v>18904</v>
      </c>
      <c r="K1781">
        <v>11421</v>
      </c>
      <c r="L1781" t="s">
        <v>18958</v>
      </c>
      <c r="M1781" t="s">
        <v>18958</v>
      </c>
      <c r="N1781" t="s">
        <v>20296</v>
      </c>
      <c r="O1781" t="s">
        <v>26524</v>
      </c>
      <c r="P1781" t="s">
        <v>26560</v>
      </c>
      <c r="R1781" t="s">
        <v>26584</v>
      </c>
      <c r="S1781" t="s">
        <v>18959</v>
      </c>
      <c r="U1781" t="s">
        <v>26604</v>
      </c>
      <c r="V1781" t="s">
        <v>26610</v>
      </c>
      <c r="W1781" t="s">
        <v>545</v>
      </c>
      <c r="X1781">
        <v>2250</v>
      </c>
      <c r="Y1781" t="s">
        <v>26653</v>
      </c>
      <c r="Z1781" t="s">
        <v>26664</v>
      </c>
      <c r="AB1781" t="s">
        <v>28284</v>
      </c>
      <c r="AC1781" t="s">
        <v>35035</v>
      </c>
      <c r="AD1781" t="s">
        <v>38334</v>
      </c>
      <c r="AE1781">
        <v>4</v>
      </c>
      <c r="AF1781" t="s">
        <v>45547</v>
      </c>
      <c r="AH1781">
        <v>1</v>
      </c>
      <c r="AI1781">
        <v>3</v>
      </c>
      <c r="AJ1781">
        <v>2</v>
      </c>
      <c r="AK1781">
        <v>44.95</v>
      </c>
      <c r="AN1781" t="s">
        <v>7439</v>
      </c>
      <c r="AO1781">
        <v>13224</v>
      </c>
      <c r="AQ1781" t="s">
        <v>46361</v>
      </c>
      <c r="AR1781" t="s">
        <v>46380</v>
      </c>
      <c r="AS1781" t="s">
        <v>46499</v>
      </c>
      <c r="AT1781" t="s">
        <v>46509</v>
      </c>
      <c r="AU1781">
        <v>11.9</v>
      </c>
      <c r="AV1781" t="s">
        <v>753</v>
      </c>
      <c r="AW1781" t="s">
        <v>122</v>
      </c>
    </row>
    <row r="1782" spans="1:50">
      <c r="A1782" s="1">
        <f>HYPERLINK("https://lsnyc.legalserver.org/matter/dynamic-profile/view/1877580","18-1877580")</f>
        <v>0</v>
      </c>
      <c r="B1782" t="s">
        <v>109</v>
      </c>
      <c r="C1782" t="s">
        <v>341</v>
      </c>
      <c r="D1782" t="s">
        <v>571</v>
      </c>
      <c r="E1782" t="s">
        <v>706</v>
      </c>
      <c r="F1782" t="s">
        <v>1952</v>
      </c>
      <c r="G1782" t="s">
        <v>6119</v>
      </c>
      <c r="H1782" t="s">
        <v>10296</v>
      </c>
      <c r="I1782" t="s">
        <v>17720</v>
      </c>
      <c r="J1782" t="s">
        <v>18902</v>
      </c>
      <c r="K1782">
        <v>10304</v>
      </c>
      <c r="L1782" t="s">
        <v>18958</v>
      </c>
      <c r="M1782" t="s">
        <v>18958</v>
      </c>
      <c r="O1782" t="s">
        <v>18997</v>
      </c>
      <c r="P1782" t="s">
        <v>26565</v>
      </c>
      <c r="Q1782" t="s">
        <v>26570</v>
      </c>
      <c r="R1782" t="s">
        <v>26578</v>
      </c>
      <c r="S1782" t="s">
        <v>18959</v>
      </c>
      <c r="U1782" t="s">
        <v>26604</v>
      </c>
      <c r="V1782" t="s">
        <v>26610</v>
      </c>
      <c r="W1782" t="s">
        <v>545</v>
      </c>
      <c r="X1782">
        <v>0</v>
      </c>
      <c r="Y1782" t="s">
        <v>26654</v>
      </c>
      <c r="AA1782" t="s">
        <v>26683</v>
      </c>
      <c r="AB1782" t="s">
        <v>28285</v>
      </c>
      <c r="AD1782" t="s">
        <v>38335</v>
      </c>
      <c r="AE1782">
        <v>0</v>
      </c>
      <c r="AF1782" t="s">
        <v>45543</v>
      </c>
      <c r="AH1782">
        <v>3</v>
      </c>
      <c r="AI1782">
        <v>1</v>
      </c>
      <c r="AJ1782">
        <v>0</v>
      </c>
      <c r="AK1782">
        <v>0</v>
      </c>
      <c r="AN1782" t="s">
        <v>7439</v>
      </c>
      <c r="AO1782">
        <v>0</v>
      </c>
      <c r="AU1782">
        <v>0.6</v>
      </c>
      <c r="AV1782" t="s">
        <v>706</v>
      </c>
      <c r="AW1782" t="s">
        <v>46852</v>
      </c>
    </row>
    <row r="1783" spans="1:50">
      <c r="A1783" s="1">
        <f>HYPERLINK("https://lsnyc.legalserver.org/matter/dynamic-profile/view/1877813","18-1877813")</f>
        <v>0</v>
      </c>
      <c r="B1783" t="s">
        <v>122</v>
      </c>
      <c r="C1783" t="s">
        <v>341</v>
      </c>
      <c r="D1783" t="s">
        <v>571</v>
      </c>
      <c r="E1783" t="s">
        <v>641</v>
      </c>
      <c r="F1783" t="s">
        <v>1953</v>
      </c>
      <c r="G1783" t="s">
        <v>6120</v>
      </c>
      <c r="H1783" t="s">
        <v>11105</v>
      </c>
      <c r="I1783" t="s">
        <v>17646</v>
      </c>
      <c r="J1783" t="s">
        <v>18913</v>
      </c>
      <c r="K1783">
        <v>11103</v>
      </c>
      <c r="L1783" t="s">
        <v>18958</v>
      </c>
      <c r="M1783" t="s">
        <v>18958</v>
      </c>
      <c r="N1783" t="s">
        <v>20297</v>
      </c>
      <c r="O1783" t="s">
        <v>26523</v>
      </c>
      <c r="P1783" t="s">
        <v>26564</v>
      </c>
      <c r="Q1783" t="s">
        <v>26570</v>
      </c>
      <c r="R1783" t="s">
        <v>26584</v>
      </c>
      <c r="U1783" t="s">
        <v>26604</v>
      </c>
      <c r="W1783" t="s">
        <v>545</v>
      </c>
      <c r="X1783">
        <v>1500</v>
      </c>
      <c r="Y1783" t="s">
        <v>26653</v>
      </c>
      <c r="Z1783" t="s">
        <v>26664</v>
      </c>
      <c r="AA1783" t="s">
        <v>26683</v>
      </c>
      <c r="AB1783" t="s">
        <v>28286</v>
      </c>
      <c r="AD1783" t="s">
        <v>38336</v>
      </c>
      <c r="AE1783">
        <v>30</v>
      </c>
      <c r="AF1783" t="s">
        <v>45541</v>
      </c>
      <c r="AG1783" t="s">
        <v>19330</v>
      </c>
      <c r="AH1783">
        <v>15</v>
      </c>
      <c r="AI1783">
        <v>2</v>
      </c>
      <c r="AJ1783">
        <v>1</v>
      </c>
      <c r="AK1783">
        <v>52.94</v>
      </c>
      <c r="AN1783" t="s">
        <v>7439</v>
      </c>
      <c r="AO1783">
        <v>11000</v>
      </c>
      <c r="AU1783">
        <v>1.6</v>
      </c>
      <c r="AV1783" t="s">
        <v>641</v>
      </c>
      <c r="AW1783" t="s">
        <v>122</v>
      </c>
    </row>
    <row r="1784" spans="1:50">
      <c r="A1784" s="1">
        <f>HYPERLINK("https://lsnyc.legalserver.org/matter/dynamic-profile/view/1878115","18-1878115")</f>
        <v>0</v>
      </c>
      <c r="B1784" t="s">
        <v>134</v>
      </c>
      <c r="C1784" t="s">
        <v>340</v>
      </c>
      <c r="D1784" t="s">
        <v>534</v>
      </c>
      <c r="F1784" t="s">
        <v>1594</v>
      </c>
      <c r="G1784" t="s">
        <v>5241</v>
      </c>
      <c r="H1784" t="s">
        <v>10439</v>
      </c>
      <c r="I1784" t="s">
        <v>17278</v>
      </c>
      <c r="J1784" t="s">
        <v>18894</v>
      </c>
      <c r="K1784">
        <v>11216</v>
      </c>
      <c r="L1784" t="s">
        <v>18958</v>
      </c>
      <c r="M1784" t="s">
        <v>18960</v>
      </c>
      <c r="O1784" t="s">
        <v>26528</v>
      </c>
      <c r="P1784" t="s">
        <v>26560</v>
      </c>
      <c r="R1784" t="s">
        <v>26578</v>
      </c>
      <c r="S1784" t="s">
        <v>18958</v>
      </c>
      <c r="U1784" t="s">
        <v>26604</v>
      </c>
      <c r="W1784" t="s">
        <v>545</v>
      </c>
      <c r="X1784">
        <v>1400</v>
      </c>
      <c r="Y1784" t="s">
        <v>26652</v>
      </c>
      <c r="Z1784" t="s">
        <v>26667</v>
      </c>
      <c r="AB1784" t="s">
        <v>28287</v>
      </c>
      <c r="AE1784">
        <v>82</v>
      </c>
      <c r="AF1784" t="s">
        <v>45548</v>
      </c>
      <c r="AG1784" t="s">
        <v>19330</v>
      </c>
      <c r="AH1784">
        <v>3</v>
      </c>
      <c r="AI1784">
        <v>1</v>
      </c>
      <c r="AJ1784">
        <v>0</v>
      </c>
      <c r="AK1784">
        <v>556.01</v>
      </c>
      <c r="AN1784" t="s">
        <v>7439</v>
      </c>
      <c r="AO1784">
        <v>67500</v>
      </c>
      <c r="AU1784">
        <v>0</v>
      </c>
      <c r="AW1784" t="s">
        <v>279</v>
      </c>
    </row>
    <row r="1785" spans="1:50">
      <c r="A1785" s="1">
        <f>HYPERLINK("https://lsnyc.legalserver.org/matter/dynamic-profile/view/1878112","18-1878112")</f>
        <v>0</v>
      </c>
      <c r="B1785" t="s">
        <v>134</v>
      </c>
      <c r="C1785" t="s">
        <v>340</v>
      </c>
      <c r="D1785" t="s">
        <v>534</v>
      </c>
      <c r="F1785" t="s">
        <v>1594</v>
      </c>
      <c r="G1785" t="s">
        <v>5241</v>
      </c>
      <c r="H1785" t="s">
        <v>10439</v>
      </c>
      <c r="I1785" t="s">
        <v>17278</v>
      </c>
      <c r="J1785" t="s">
        <v>18894</v>
      </c>
      <c r="K1785">
        <v>11216</v>
      </c>
      <c r="L1785" t="s">
        <v>18958</v>
      </c>
      <c r="M1785" t="s">
        <v>18960</v>
      </c>
      <c r="P1785" t="s">
        <v>26565</v>
      </c>
      <c r="R1785" t="s">
        <v>26578</v>
      </c>
      <c r="S1785" t="s">
        <v>18958</v>
      </c>
      <c r="U1785" t="s">
        <v>26604</v>
      </c>
      <c r="W1785" t="s">
        <v>545</v>
      </c>
      <c r="X1785">
        <v>1400</v>
      </c>
      <c r="Y1785" t="s">
        <v>26652</v>
      </c>
      <c r="Z1785" t="s">
        <v>26667</v>
      </c>
      <c r="AB1785" t="s">
        <v>28287</v>
      </c>
      <c r="AE1785">
        <v>82</v>
      </c>
      <c r="AF1785" t="s">
        <v>45541</v>
      </c>
      <c r="AG1785" t="s">
        <v>19330</v>
      </c>
      <c r="AH1785">
        <v>3</v>
      </c>
      <c r="AI1785">
        <v>1</v>
      </c>
      <c r="AJ1785">
        <v>0</v>
      </c>
      <c r="AK1785">
        <v>556.01</v>
      </c>
      <c r="AN1785" t="s">
        <v>7439</v>
      </c>
      <c r="AO1785">
        <v>67500</v>
      </c>
      <c r="AP1785" t="s">
        <v>26565</v>
      </c>
      <c r="AU1785">
        <v>1.3</v>
      </c>
      <c r="AV1785" t="s">
        <v>720</v>
      </c>
      <c r="AW1785" t="s">
        <v>279</v>
      </c>
    </row>
    <row r="1786" spans="1:50">
      <c r="A1786" s="1">
        <f>HYPERLINK("https://lsnyc.legalserver.org/matter/dynamic-profile/view/1878053","18-1878053")</f>
        <v>0</v>
      </c>
      <c r="B1786" t="s">
        <v>86</v>
      </c>
      <c r="C1786" t="s">
        <v>340</v>
      </c>
      <c r="D1786" t="s">
        <v>534</v>
      </c>
      <c r="F1786" t="s">
        <v>1954</v>
      </c>
      <c r="G1786" t="s">
        <v>6121</v>
      </c>
      <c r="H1786" t="s">
        <v>11106</v>
      </c>
      <c r="I1786">
        <v>15</v>
      </c>
      <c r="J1786" t="s">
        <v>18893</v>
      </c>
      <c r="K1786">
        <v>10002</v>
      </c>
      <c r="L1786" t="s">
        <v>18958</v>
      </c>
      <c r="M1786" t="s">
        <v>18960</v>
      </c>
      <c r="N1786" t="s">
        <v>20298</v>
      </c>
      <c r="O1786" t="s">
        <v>26524</v>
      </c>
      <c r="P1786" t="s">
        <v>26560</v>
      </c>
      <c r="R1786" t="s">
        <v>26582</v>
      </c>
      <c r="S1786" t="s">
        <v>18959</v>
      </c>
      <c r="U1786" t="s">
        <v>26604</v>
      </c>
      <c r="W1786" t="s">
        <v>545</v>
      </c>
      <c r="X1786">
        <v>0</v>
      </c>
      <c r="Y1786" t="s">
        <v>26651</v>
      </c>
      <c r="Z1786" t="s">
        <v>26663</v>
      </c>
      <c r="AB1786" t="s">
        <v>28288</v>
      </c>
      <c r="AD1786" t="s">
        <v>38337</v>
      </c>
      <c r="AE1786">
        <v>20</v>
      </c>
      <c r="AF1786" t="s">
        <v>45541</v>
      </c>
      <c r="AH1786">
        <v>30</v>
      </c>
      <c r="AI1786">
        <v>1</v>
      </c>
      <c r="AJ1786">
        <v>0</v>
      </c>
      <c r="AK1786">
        <v>72.45</v>
      </c>
      <c r="AN1786" t="s">
        <v>45599</v>
      </c>
      <c r="AO1786">
        <v>8796</v>
      </c>
      <c r="AU1786">
        <v>71.45</v>
      </c>
      <c r="AV1786" t="s">
        <v>729</v>
      </c>
      <c r="AW1786" t="s">
        <v>171</v>
      </c>
      <c r="AX1786" t="s">
        <v>46897</v>
      </c>
    </row>
    <row r="1787" spans="1:50">
      <c r="A1787" s="1">
        <f>HYPERLINK("https://lsnyc.legalserver.org/matter/dynamic-profile/view/1845018","17-1845018")</f>
        <v>0</v>
      </c>
      <c r="B1787" t="s">
        <v>167</v>
      </c>
      <c r="C1787" t="s">
        <v>341</v>
      </c>
      <c r="D1787" t="s">
        <v>551</v>
      </c>
      <c r="E1787" t="s">
        <v>517</v>
      </c>
      <c r="F1787" t="s">
        <v>1955</v>
      </c>
      <c r="G1787" t="s">
        <v>6122</v>
      </c>
      <c r="H1787" t="s">
        <v>10043</v>
      </c>
      <c r="J1787" t="s">
        <v>7026</v>
      </c>
      <c r="K1787">
        <v>11368</v>
      </c>
      <c r="L1787" t="s">
        <v>18958</v>
      </c>
      <c r="M1787" t="s">
        <v>18958</v>
      </c>
      <c r="N1787" t="s">
        <v>20299</v>
      </c>
      <c r="O1787" t="s">
        <v>26523</v>
      </c>
      <c r="P1787" t="s">
        <v>26560</v>
      </c>
      <c r="Q1787" t="s">
        <v>26575</v>
      </c>
      <c r="R1787" t="s">
        <v>26584</v>
      </c>
      <c r="S1787" t="s">
        <v>18958</v>
      </c>
      <c r="U1787" t="s">
        <v>26604</v>
      </c>
      <c r="V1787" t="s">
        <v>26610</v>
      </c>
      <c r="W1787" t="s">
        <v>586</v>
      </c>
      <c r="X1787">
        <v>1811</v>
      </c>
      <c r="Y1787" t="s">
        <v>26653</v>
      </c>
      <c r="Z1787" t="s">
        <v>26664</v>
      </c>
      <c r="AA1787" t="s">
        <v>26678</v>
      </c>
      <c r="AB1787" t="s">
        <v>28289</v>
      </c>
      <c r="AD1787" t="s">
        <v>38338</v>
      </c>
      <c r="AE1787">
        <v>100</v>
      </c>
      <c r="AG1787" t="s">
        <v>19330</v>
      </c>
      <c r="AH1787">
        <v>1</v>
      </c>
      <c r="AI1787">
        <v>1</v>
      </c>
      <c r="AJ1787">
        <v>1</v>
      </c>
      <c r="AK1787">
        <v>137.68</v>
      </c>
      <c r="AO1787">
        <v>22360</v>
      </c>
      <c r="AQ1787" t="s">
        <v>46359</v>
      </c>
      <c r="AR1787" t="s">
        <v>46380</v>
      </c>
      <c r="AS1787" t="s">
        <v>46499</v>
      </c>
      <c r="AT1787" t="s">
        <v>46718</v>
      </c>
      <c r="AU1787">
        <v>30.6</v>
      </c>
      <c r="AV1787" t="s">
        <v>586</v>
      </c>
      <c r="AW1787" t="s">
        <v>122</v>
      </c>
    </row>
    <row r="1788" spans="1:50">
      <c r="A1788" s="1">
        <f>HYPERLINK("https://lsnyc.legalserver.org/matter/dynamic-profile/view/1845488","17-1845488")</f>
        <v>0</v>
      </c>
      <c r="B1788" t="s">
        <v>64</v>
      </c>
      <c r="C1788" t="s">
        <v>341</v>
      </c>
      <c r="D1788" t="s">
        <v>587</v>
      </c>
      <c r="E1788" t="s">
        <v>606</v>
      </c>
      <c r="F1788" t="s">
        <v>1956</v>
      </c>
      <c r="G1788" t="s">
        <v>6123</v>
      </c>
      <c r="H1788" t="s">
        <v>11107</v>
      </c>
      <c r="I1788" t="s">
        <v>17307</v>
      </c>
      <c r="J1788" t="s">
        <v>18892</v>
      </c>
      <c r="K1788">
        <v>10455</v>
      </c>
      <c r="L1788" t="s">
        <v>18958</v>
      </c>
      <c r="M1788" t="s">
        <v>18960</v>
      </c>
      <c r="N1788" t="s">
        <v>20300</v>
      </c>
      <c r="O1788" t="s">
        <v>26523</v>
      </c>
      <c r="P1788" t="s">
        <v>26560</v>
      </c>
      <c r="Q1788" t="s">
        <v>26568</v>
      </c>
      <c r="R1788" t="s">
        <v>26577</v>
      </c>
      <c r="U1788" t="s">
        <v>26604</v>
      </c>
      <c r="V1788" t="s">
        <v>26610</v>
      </c>
      <c r="W1788" t="s">
        <v>586</v>
      </c>
      <c r="X1788">
        <v>2098</v>
      </c>
      <c r="Y1788" t="s">
        <v>26650</v>
      </c>
      <c r="Z1788" t="s">
        <v>26664</v>
      </c>
      <c r="AA1788" t="s">
        <v>26678</v>
      </c>
      <c r="AB1788" t="s">
        <v>28290</v>
      </c>
      <c r="AC1788" t="s">
        <v>35036</v>
      </c>
      <c r="AE1788">
        <v>0</v>
      </c>
      <c r="AF1788" t="s">
        <v>45547</v>
      </c>
      <c r="AG1788" t="s">
        <v>45556</v>
      </c>
      <c r="AH1788">
        <v>11</v>
      </c>
      <c r="AI1788">
        <v>2</v>
      </c>
      <c r="AJ1788">
        <v>2</v>
      </c>
      <c r="AK1788">
        <v>71.51000000000001</v>
      </c>
      <c r="AN1788" t="s">
        <v>7439</v>
      </c>
      <c r="AO1788">
        <v>17592</v>
      </c>
      <c r="AP1788" t="s">
        <v>45621</v>
      </c>
      <c r="AQ1788" t="s">
        <v>46364</v>
      </c>
      <c r="AR1788" t="s">
        <v>46422</v>
      </c>
      <c r="AS1788" t="s">
        <v>46499</v>
      </c>
      <c r="AT1788" t="s">
        <v>46514</v>
      </c>
      <c r="AU1788">
        <v>46.55</v>
      </c>
      <c r="AV1788" t="s">
        <v>606</v>
      </c>
      <c r="AW1788" t="s">
        <v>46848</v>
      </c>
    </row>
    <row r="1789" spans="1:50">
      <c r="A1789" s="1">
        <f>HYPERLINK("https://lsnyc.legalserver.org/matter/dynamic-profile/view/1873273","18-1873273")</f>
        <v>0</v>
      </c>
      <c r="B1789" t="s">
        <v>167</v>
      </c>
      <c r="C1789" t="s">
        <v>341</v>
      </c>
      <c r="D1789" t="s">
        <v>410</v>
      </c>
      <c r="E1789" t="s">
        <v>622</v>
      </c>
      <c r="F1789" t="s">
        <v>1957</v>
      </c>
      <c r="G1789" t="s">
        <v>6124</v>
      </c>
      <c r="H1789" t="s">
        <v>10037</v>
      </c>
      <c r="I1789" t="s">
        <v>17416</v>
      </c>
      <c r="J1789" t="s">
        <v>18898</v>
      </c>
      <c r="K1789">
        <v>11691</v>
      </c>
      <c r="L1789" t="s">
        <v>18958</v>
      </c>
      <c r="M1789" t="s">
        <v>18958</v>
      </c>
      <c r="N1789" t="s">
        <v>20301</v>
      </c>
      <c r="O1789" t="s">
        <v>26524</v>
      </c>
      <c r="P1789" t="s">
        <v>26560</v>
      </c>
      <c r="Q1789" t="s">
        <v>26568</v>
      </c>
      <c r="R1789" t="s">
        <v>26578</v>
      </c>
      <c r="S1789" t="s">
        <v>18959</v>
      </c>
      <c r="U1789" t="s">
        <v>26604</v>
      </c>
      <c r="V1789" t="s">
        <v>26610</v>
      </c>
      <c r="W1789" t="s">
        <v>586</v>
      </c>
      <c r="X1789">
        <v>1500</v>
      </c>
      <c r="Y1789" t="s">
        <v>26653</v>
      </c>
      <c r="Z1789" t="s">
        <v>26664</v>
      </c>
      <c r="AA1789" t="s">
        <v>26678</v>
      </c>
      <c r="AB1789" t="s">
        <v>28291</v>
      </c>
      <c r="AC1789" t="s">
        <v>35037</v>
      </c>
      <c r="AD1789" t="s">
        <v>38339</v>
      </c>
      <c r="AE1789">
        <v>3</v>
      </c>
      <c r="AF1789" t="s">
        <v>45547</v>
      </c>
      <c r="AG1789" t="s">
        <v>19330</v>
      </c>
      <c r="AH1789">
        <v>4</v>
      </c>
      <c r="AI1789">
        <v>2</v>
      </c>
      <c r="AJ1789">
        <v>3</v>
      </c>
      <c r="AK1789">
        <v>55.06</v>
      </c>
      <c r="AN1789" t="s">
        <v>7439</v>
      </c>
      <c r="AO1789">
        <v>16200</v>
      </c>
      <c r="AR1789" t="s">
        <v>46379</v>
      </c>
      <c r="AS1789" t="s">
        <v>46499</v>
      </c>
      <c r="AT1789" t="s">
        <v>46547</v>
      </c>
      <c r="AU1789">
        <v>3.8</v>
      </c>
      <c r="AV1789" t="s">
        <v>586</v>
      </c>
      <c r="AW1789" t="s">
        <v>161</v>
      </c>
    </row>
    <row r="1790" spans="1:50">
      <c r="A1790" s="1">
        <f>HYPERLINK("https://lsnyc.legalserver.org/matter/dynamic-profile/view/1875328","18-1875328")</f>
        <v>0</v>
      </c>
      <c r="B1790" t="s">
        <v>152</v>
      </c>
      <c r="C1790" t="s">
        <v>341</v>
      </c>
      <c r="D1790" t="s">
        <v>497</v>
      </c>
      <c r="E1790" t="s">
        <v>822</v>
      </c>
      <c r="F1790" t="s">
        <v>1958</v>
      </c>
      <c r="G1790" t="s">
        <v>5266</v>
      </c>
      <c r="H1790" t="s">
        <v>11108</v>
      </c>
      <c r="I1790" t="s">
        <v>17389</v>
      </c>
      <c r="J1790" t="s">
        <v>18892</v>
      </c>
      <c r="K1790">
        <v>10459</v>
      </c>
      <c r="L1790" t="s">
        <v>18958</v>
      </c>
      <c r="M1790" t="s">
        <v>18958</v>
      </c>
      <c r="N1790" t="s">
        <v>20302</v>
      </c>
      <c r="O1790" t="s">
        <v>26524</v>
      </c>
      <c r="P1790" t="s">
        <v>26560</v>
      </c>
      <c r="Q1790" t="s">
        <v>26568</v>
      </c>
      <c r="R1790" t="s">
        <v>26578</v>
      </c>
      <c r="S1790" t="s">
        <v>18959</v>
      </c>
      <c r="U1790" t="s">
        <v>26604</v>
      </c>
      <c r="W1790" t="s">
        <v>586</v>
      </c>
      <c r="X1790">
        <v>1533</v>
      </c>
      <c r="Y1790" t="s">
        <v>26650</v>
      </c>
      <c r="Z1790" t="s">
        <v>26664</v>
      </c>
      <c r="AA1790" t="s">
        <v>26679</v>
      </c>
      <c r="AB1790" t="s">
        <v>28292</v>
      </c>
      <c r="AC1790" t="s">
        <v>35038</v>
      </c>
      <c r="AD1790" t="s">
        <v>38340</v>
      </c>
      <c r="AE1790">
        <v>2</v>
      </c>
      <c r="AF1790" t="s">
        <v>45543</v>
      </c>
      <c r="AG1790" t="s">
        <v>45556</v>
      </c>
      <c r="AH1790">
        <v>1</v>
      </c>
      <c r="AI1790">
        <v>1</v>
      </c>
      <c r="AJ1790">
        <v>1</v>
      </c>
      <c r="AK1790">
        <v>41.99</v>
      </c>
      <c r="AN1790" t="s">
        <v>7439</v>
      </c>
      <c r="AO1790">
        <v>6912</v>
      </c>
      <c r="AU1790">
        <v>3.25</v>
      </c>
      <c r="AV1790" t="s">
        <v>744</v>
      </c>
      <c r="AW1790" t="s">
        <v>46832</v>
      </c>
    </row>
    <row r="1791" spans="1:50">
      <c r="A1791" s="1">
        <f>HYPERLINK("https://lsnyc.legalserver.org/matter/dynamic-profile/view/1875405","18-1875405")</f>
        <v>0</v>
      </c>
      <c r="B1791" t="s">
        <v>188</v>
      </c>
      <c r="C1791" t="s">
        <v>340</v>
      </c>
      <c r="D1791" t="s">
        <v>526</v>
      </c>
      <c r="F1791" t="s">
        <v>1959</v>
      </c>
      <c r="G1791" t="s">
        <v>4311</v>
      </c>
      <c r="H1791" t="s">
        <v>11109</v>
      </c>
      <c r="I1791" t="s">
        <v>17342</v>
      </c>
      <c r="J1791" t="s">
        <v>18892</v>
      </c>
      <c r="K1791">
        <v>10453</v>
      </c>
      <c r="L1791" t="s">
        <v>18958</v>
      </c>
      <c r="M1791" t="s">
        <v>18958</v>
      </c>
      <c r="N1791" t="s">
        <v>20303</v>
      </c>
      <c r="O1791" t="s">
        <v>26523</v>
      </c>
      <c r="P1791" t="s">
        <v>26560</v>
      </c>
      <c r="R1791" t="s">
        <v>26578</v>
      </c>
      <c r="S1791" t="s">
        <v>18959</v>
      </c>
      <c r="U1791" t="s">
        <v>26604</v>
      </c>
      <c r="V1791" t="s">
        <v>26610</v>
      </c>
      <c r="W1791" t="s">
        <v>586</v>
      </c>
      <c r="X1791">
        <v>1385</v>
      </c>
      <c r="Y1791" t="s">
        <v>26650</v>
      </c>
      <c r="Z1791" t="s">
        <v>26659</v>
      </c>
      <c r="AB1791" t="s">
        <v>28293</v>
      </c>
      <c r="AC1791" t="s">
        <v>35039</v>
      </c>
      <c r="AD1791" t="s">
        <v>38341</v>
      </c>
      <c r="AE1791">
        <v>64</v>
      </c>
      <c r="AF1791" t="s">
        <v>45541</v>
      </c>
      <c r="AG1791" t="s">
        <v>19330</v>
      </c>
      <c r="AH1791">
        <v>40</v>
      </c>
      <c r="AI1791">
        <v>2</v>
      </c>
      <c r="AJ1791">
        <v>0</v>
      </c>
      <c r="AK1791">
        <v>13.34</v>
      </c>
      <c r="AN1791" t="s">
        <v>7439</v>
      </c>
      <c r="AO1791">
        <v>2196</v>
      </c>
      <c r="AQ1791" t="s">
        <v>46362</v>
      </c>
      <c r="AR1791" t="s">
        <v>26530</v>
      </c>
      <c r="AU1791">
        <v>37.9</v>
      </c>
      <c r="AV1791" t="s">
        <v>833</v>
      </c>
      <c r="AW1791" t="s">
        <v>46832</v>
      </c>
    </row>
    <row r="1792" spans="1:50">
      <c r="A1792" s="1">
        <f>HYPERLINK("https://lsnyc.legalserver.org/matter/dynamic-profile/view/1875358","18-1875358")</f>
        <v>0</v>
      </c>
      <c r="B1792" t="s">
        <v>223</v>
      </c>
      <c r="C1792" t="s">
        <v>341</v>
      </c>
      <c r="D1792" t="s">
        <v>528</v>
      </c>
      <c r="E1792" t="s">
        <v>685</v>
      </c>
      <c r="F1792" t="s">
        <v>928</v>
      </c>
      <c r="G1792" t="s">
        <v>5844</v>
      </c>
      <c r="H1792" t="s">
        <v>11110</v>
      </c>
      <c r="I1792" t="s">
        <v>17316</v>
      </c>
      <c r="J1792" t="s">
        <v>18893</v>
      </c>
      <c r="K1792">
        <v>10029</v>
      </c>
      <c r="L1792" t="s">
        <v>18958</v>
      </c>
      <c r="M1792" t="s">
        <v>18958</v>
      </c>
      <c r="O1792" t="s">
        <v>18997</v>
      </c>
      <c r="P1792" t="s">
        <v>26564</v>
      </c>
      <c r="Q1792" t="s">
        <v>26570</v>
      </c>
      <c r="R1792" t="s">
        <v>26578</v>
      </c>
      <c r="S1792" t="s">
        <v>18959</v>
      </c>
      <c r="U1792" t="s">
        <v>26604</v>
      </c>
      <c r="V1792" t="s">
        <v>26610</v>
      </c>
      <c r="W1792" t="s">
        <v>586</v>
      </c>
      <c r="X1792">
        <v>900</v>
      </c>
      <c r="Y1792" t="s">
        <v>26651</v>
      </c>
      <c r="Z1792" t="s">
        <v>26673</v>
      </c>
      <c r="AA1792" t="s">
        <v>26683</v>
      </c>
      <c r="AB1792" t="s">
        <v>28294</v>
      </c>
      <c r="AD1792" t="s">
        <v>38342</v>
      </c>
      <c r="AE1792">
        <v>42</v>
      </c>
      <c r="AF1792" t="s">
        <v>45541</v>
      </c>
      <c r="AG1792" t="s">
        <v>19330</v>
      </c>
      <c r="AH1792">
        <v>10</v>
      </c>
      <c r="AI1792">
        <v>1</v>
      </c>
      <c r="AJ1792">
        <v>0</v>
      </c>
      <c r="AK1792">
        <v>239.6</v>
      </c>
      <c r="AL1792" t="s">
        <v>614</v>
      </c>
      <c r="AM1792" t="s">
        <v>45575</v>
      </c>
      <c r="AN1792" t="s">
        <v>7439</v>
      </c>
      <c r="AO1792">
        <v>29088</v>
      </c>
      <c r="AU1792">
        <v>2</v>
      </c>
      <c r="AV1792" t="s">
        <v>586</v>
      </c>
      <c r="AW1792" t="s">
        <v>46861</v>
      </c>
    </row>
    <row r="1793" spans="1:50">
      <c r="A1793" s="1">
        <f>HYPERLINK("https://lsnyc.legalserver.org/matter/dynamic-profile/view/1877587","18-1877587")</f>
        <v>0</v>
      </c>
      <c r="B1793" t="s">
        <v>108</v>
      </c>
      <c r="C1793" t="s">
        <v>341</v>
      </c>
      <c r="D1793" t="s">
        <v>545</v>
      </c>
      <c r="E1793" t="s">
        <v>712</v>
      </c>
      <c r="F1793" t="s">
        <v>1960</v>
      </c>
      <c r="G1793" t="s">
        <v>4348</v>
      </c>
      <c r="H1793" t="s">
        <v>11111</v>
      </c>
      <c r="I1793" t="s">
        <v>17388</v>
      </c>
      <c r="J1793" t="s">
        <v>18900</v>
      </c>
      <c r="K1793">
        <v>11358</v>
      </c>
      <c r="L1793" t="s">
        <v>18958</v>
      </c>
      <c r="M1793" t="s">
        <v>18958</v>
      </c>
      <c r="N1793" t="s">
        <v>20304</v>
      </c>
      <c r="O1793" t="s">
        <v>26524</v>
      </c>
      <c r="P1793" t="s">
        <v>26564</v>
      </c>
      <c r="Q1793" t="s">
        <v>26570</v>
      </c>
      <c r="R1793" t="s">
        <v>26578</v>
      </c>
      <c r="S1793" t="s">
        <v>18959</v>
      </c>
      <c r="U1793" t="s">
        <v>26604</v>
      </c>
      <c r="V1793" t="s">
        <v>26610</v>
      </c>
      <c r="W1793" t="s">
        <v>586</v>
      </c>
      <c r="X1793">
        <v>1102</v>
      </c>
      <c r="Y1793" t="s">
        <v>26653</v>
      </c>
      <c r="Z1793" t="s">
        <v>26664</v>
      </c>
      <c r="AA1793" t="s">
        <v>26683</v>
      </c>
      <c r="AB1793" t="s">
        <v>28295</v>
      </c>
      <c r="AC1793" t="s">
        <v>35040</v>
      </c>
      <c r="AD1793" t="s">
        <v>38343</v>
      </c>
      <c r="AE1793">
        <v>16</v>
      </c>
      <c r="AF1793" t="s">
        <v>45541</v>
      </c>
      <c r="AG1793" t="s">
        <v>19330</v>
      </c>
      <c r="AH1793">
        <v>7</v>
      </c>
      <c r="AI1793">
        <v>2</v>
      </c>
      <c r="AJ1793">
        <v>0</v>
      </c>
      <c r="AK1793">
        <v>106.44</v>
      </c>
      <c r="AN1793" t="s">
        <v>7439</v>
      </c>
      <c r="AO1793">
        <v>17520</v>
      </c>
      <c r="AU1793">
        <v>0.8</v>
      </c>
      <c r="AV1793" t="s">
        <v>571</v>
      </c>
      <c r="AW1793" t="s">
        <v>161</v>
      </c>
    </row>
    <row r="1794" spans="1:50">
      <c r="A1794" s="1">
        <f>HYPERLINK("https://lsnyc.legalserver.org/matter/dynamic-profile/view/1877561","18-1877561")</f>
        <v>0</v>
      </c>
      <c r="B1794" t="s">
        <v>108</v>
      </c>
      <c r="C1794" t="s">
        <v>341</v>
      </c>
      <c r="D1794" t="s">
        <v>545</v>
      </c>
      <c r="E1794" t="s">
        <v>494</v>
      </c>
      <c r="F1794" t="s">
        <v>1961</v>
      </c>
      <c r="G1794" t="s">
        <v>6125</v>
      </c>
      <c r="H1794" t="s">
        <v>11112</v>
      </c>
      <c r="I1794">
        <v>55</v>
      </c>
      <c r="J1794" t="s">
        <v>18909</v>
      </c>
      <c r="K1794">
        <v>11101</v>
      </c>
      <c r="L1794" t="s">
        <v>18958</v>
      </c>
      <c r="M1794" t="s">
        <v>18958</v>
      </c>
      <c r="N1794" t="s">
        <v>20305</v>
      </c>
      <c r="O1794" t="s">
        <v>26523</v>
      </c>
      <c r="P1794" t="s">
        <v>26564</v>
      </c>
      <c r="Q1794" t="s">
        <v>26570</v>
      </c>
      <c r="R1794" t="s">
        <v>26578</v>
      </c>
      <c r="S1794" t="s">
        <v>18959</v>
      </c>
      <c r="U1794" t="s">
        <v>26604</v>
      </c>
      <c r="V1794" t="s">
        <v>26611</v>
      </c>
      <c r="W1794" t="s">
        <v>586</v>
      </c>
      <c r="X1794">
        <v>1600</v>
      </c>
      <c r="Y1794" t="s">
        <v>26653</v>
      </c>
      <c r="Z1794" t="s">
        <v>26664</v>
      </c>
      <c r="AA1794" t="s">
        <v>26683</v>
      </c>
      <c r="AB1794" t="s">
        <v>28296</v>
      </c>
      <c r="AD1794" t="s">
        <v>38344</v>
      </c>
      <c r="AE1794">
        <v>30</v>
      </c>
      <c r="AF1794" t="s">
        <v>45541</v>
      </c>
      <c r="AG1794" t="s">
        <v>19330</v>
      </c>
      <c r="AH1794">
        <v>1</v>
      </c>
      <c r="AI1794">
        <v>2</v>
      </c>
      <c r="AJ1794">
        <v>1</v>
      </c>
      <c r="AK1794">
        <v>187.68</v>
      </c>
      <c r="AN1794" t="s">
        <v>7439</v>
      </c>
      <c r="AO1794">
        <v>39000</v>
      </c>
      <c r="AU1794">
        <v>0.5</v>
      </c>
      <c r="AV1794" t="s">
        <v>545</v>
      </c>
      <c r="AW1794" t="s">
        <v>161</v>
      </c>
    </row>
    <row r="1795" spans="1:50">
      <c r="A1795" s="1">
        <f>HYPERLINK("https://lsnyc.legalserver.org/matter/dynamic-profile/view/1877535","18-1877535")</f>
        <v>0</v>
      </c>
      <c r="B1795" t="s">
        <v>108</v>
      </c>
      <c r="C1795" t="s">
        <v>341</v>
      </c>
      <c r="D1795" t="s">
        <v>545</v>
      </c>
      <c r="E1795" t="s">
        <v>699</v>
      </c>
      <c r="F1795" t="s">
        <v>1962</v>
      </c>
      <c r="G1795" t="s">
        <v>6126</v>
      </c>
      <c r="H1795" t="s">
        <v>11113</v>
      </c>
      <c r="I1795" t="s">
        <v>17334</v>
      </c>
      <c r="J1795" t="s">
        <v>18939</v>
      </c>
      <c r="K1795">
        <v>11423</v>
      </c>
      <c r="L1795" t="s">
        <v>18958</v>
      </c>
      <c r="M1795" t="s">
        <v>18958</v>
      </c>
      <c r="N1795" t="s">
        <v>20306</v>
      </c>
      <c r="O1795" t="s">
        <v>26524</v>
      </c>
      <c r="P1795" t="s">
        <v>26560</v>
      </c>
      <c r="Q1795" t="s">
        <v>26568</v>
      </c>
      <c r="R1795" t="s">
        <v>26584</v>
      </c>
      <c r="S1795" t="s">
        <v>18959</v>
      </c>
      <c r="U1795" t="s">
        <v>26604</v>
      </c>
      <c r="V1795" t="s">
        <v>26610</v>
      </c>
      <c r="W1795" t="s">
        <v>586</v>
      </c>
      <c r="X1795">
        <v>1435</v>
      </c>
      <c r="Y1795" t="s">
        <v>26653</v>
      </c>
      <c r="Z1795" t="s">
        <v>26664</v>
      </c>
      <c r="AA1795" t="s">
        <v>26679</v>
      </c>
      <c r="AB1795" t="s">
        <v>28297</v>
      </c>
      <c r="AC1795" t="s">
        <v>35041</v>
      </c>
      <c r="AD1795" t="s">
        <v>38345</v>
      </c>
      <c r="AE1795">
        <v>2</v>
      </c>
      <c r="AF1795" t="s">
        <v>45547</v>
      </c>
      <c r="AG1795" t="s">
        <v>45556</v>
      </c>
      <c r="AH1795">
        <v>3</v>
      </c>
      <c r="AI1795">
        <v>1</v>
      </c>
      <c r="AJ1795">
        <v>1</v>
      </c>
      <c r="AK1795">
        <v>47.39</v>
      </c>
      <c r="AN1795" t="s">
        <v>7439</v>
      </c>
      <c r="AO1795">
        <v>7800</v>
      </c>
      <c r="AQ1795" t="s">
        <v>46365</v>
      </c>
      <c r="AR1795" t="s">
        <v>26530</v>
      </c>
      <c r="AS1795" t="s">
        <v>46500</v>
      </c>
      <c r="AT1795" t="s">
        <v>46504</v>
      </c>
      <c r="AU1795">
        <v>8.800000000000001</v>
      </c>
      <c r="AV1795" t="s">
        <v>662</v>
      </c>
      <c r="AW1795" t="s">
        <v>161</v>
      </c>
    </row>
    <row r="1796" spans="1:50">
      <c r="A1796" s="1">
        <f>HYPERLINK("https://lsnyc.legalserver.org/matter/dynamic-profile/view/1877596","18-1877596")</f>
        <v>0</v>
      </c>
      <c r="B1796" t="s">
        <v>85</v>
      </c>
      <c r="C1796" t="s">
        <v>341</v>
      </c>
      <c r="D1796" t="s">
        <v>545</v>
      </c>
      <c r="E1796" t="s">
        <v>699</v>
      </c>
      <c r="F1796" t="s">
        <v>1963</v>
      </c>
      <c r="G1796" t="s">
        <v>5419</v>
      </c>
      <c r="H1796" t="s">
        <v>11114</v>
      </c>
      <c r="I1796" t="s">
        <v>17721</v>
      </c>
      <c r="J1796" t="s">
        <v>18901</v>
      </c>
      <c r="K1796">
        <v>11433</v>
      </c>
      <c r="L1796" t="s">
        <v>18958</v>
      </c>
      <c r="M1796" t="s">
        <v>18958</v>
      </c>
      <c r="N1796" t="s">
        <v>20307</v>
      </c>
      <c r="O1796" t="s">
        <v>26524</v>
      </c>
      <c r="P1796" t="s">
        <v>26564</v>
      </c>
      <c r="Q1796" t="s">
        <v>26570</v>
      </c>
      <c r="R1796" t="s">
        <v>26585</v>
      </c>
      <c r="S1796" t="s">
        <v>18959</v>
      </c>
      <c r="U1796" t="s">
        <v>26604</v>
      </c>
      <c r="V1796" t="s">
        <v>26610</v>
      </c>
      <c r="W1796" t="s">
        <v>586</v>
      </c>
      <c r="X1796">
        <v>0</v>
      </c>
      <c r="Y1796" t="s">
        <v>26653</v>
      </c>
      <c r="Z1796" t="s">
        <v>26664</v>
      </c>
      <c r="AA1796" t="s">
        <v>26683</v>
      </c>
      <c r="AB1796" t="s">
        <v>28298</v>
      </c>
      <c r="AC1796" t="s">
        <v>35042</v>
      </c>
      <c r="AD1796" t="s">
        <v>38346</v>
      </c>
      <c r="AE1796">
        <v>1</v>
      </c>
      <c r="AF1796" t="s">
        <v>45547</v>
      </c>
      <c r="AG1796" t="s">
        <v>19330</v>
      </c>
      <c r="AH1796">
        <v>40</v>
      </c>
      <c r="AI1796">
        <v>1</v>
      </c>
      <c r="AJ1796">
        <v>0</v>
      </c>
      <c r="AK1796">
        <v>74.14</v>
      </c>
      <c r="AN1796" t="s">
        <v>7439</v>
      </c>
      <c r="AO1796">
        <v>9000</v>
      </c>
      <c r="AU1796">
        <v>1.2</v>
      </c>
      <c r="AV1796" t="s">
        <v>643</v>
      </c>
      <c r="AW1796" t="s">
        <v>161</v>
      </c>
    </row>
    <row r="1797" spans="1:50">
      <c r="A1797" s="1">
        <f>HYPERLINK("https://lsnyc.legalserver.org/matter/dynamic-profile/view/1877592","18-1877592")</f>
        <v>0</v>
      </c>
      <c r="B1797" t="s">
        <v>212</v>
      </c>
      <c r="C1797" t="s">
        <v>341</v>
      </c>
      <c r="D1797" t="s">
        <v>545</v>
      </c>
      <c r="E1797" t="s">
        <v>586</v>
      </c>
      <c r="F1797" t="s">
        <v>874</v>
      </c>
      <c r="G1797" t="s">
        <v>6127</v>
      </c>
      <c r="H1797" t="s">
        <v>11115</v>
      </c>
      <c r="I1797" t="s">
        <v>17722</v>
      </c>
      <c r="J1797" t="s">
        <v>18911</v>
      </c>
      <c r="K1797">
        <v>11375</v>
      </c>
      <c r="L1797" t="s">
        <v>18958</v>
      </c>
      <c r="M1797" t="s">
        <v>18958</v>
      </c>
      <c r="N1797" t="s">
        <v>20308</v>
      </c>
      <c r="O1797" t="s">
        <v>26524</v>
      </c>
      <c r="P1797" t="s">
        <v>26564</v>
      </c>
      <c r="Q1797" t="s">
        <v>26570</v>
      </c>
      <c r="R1797" t="s">
        <v>26578</v>
      </c>
      <c r="S1797" t="s">
        <v>18959</v>
      </c>
      <c r="U1797" t="s">
        <v>26604</v>
      </c>
      <c r="V1797" t="s">
        <v>26610</v>
      </c>
      <c r="W1797" t="s">
        <v>586</v>
      </c>
      <c r="X1797">
        <v>897.47</v>
      </c>
      <c r="Y1797" t="s">
        <v>26653</v>
      </c>
      <c r="Z1797" t="s">
        <v>26664</v>
      </c>
      <c r="AA1797" t="s">
        <v>26683</v>
      </c>
      <c r="AB1797" t="s">
        <v>28299</v>
      </c>
      <c r="AC1797" t="s">
        <v>34507</v>
      </c>
      <c r="AD1797" t="s">
        <v>38347</v>
      </c>
      <c r="AE1797">
        <v>105</v>
      </c>
      <c r="AF1797" t="s">
        <v>45541</v>
      </c>
      <c r="AG1797" t="s">
        <v>19330</v>
      </c>
      <c r="AH1797">
        <v>20</v>
      </c>
      <c r="AI1797">
        <v>2</v>
      </c>
      <c r="AJ1797">
        <v>0</v>
      </c>
      <c r="AK1797">
        <v>45.57</v>
      </c>
      <c r="AN1797" t="s">
        <v>7439</v>
      </c>
      <c r="AO1797">
        <v>7500</v>
      </c>
      <c r="AU1797">
        <v>1.1</v>
      </c>
      <c r="AV1797" t="s">
        <v>586</v>
      </c>
      <c r="AW1797" t="s">
        <v>161</v>
      </c>
    </row>
    <row r="1798" spans="1:50">
      <c r="A1798" s="1">
        <f>HYPERLINK("https://lsnyc.legalserver.org/matter/dynamic-profile/view/1877570","18-1877570")</f>
        <v>0</v>
      </c>
      <c r="B1798" t="s">
        <v>212</v>
      </c>
      <c r="C1798" t="s">
        <v>341</v>
      </c>
      <c r="D1798" t="s">
        <v>545</v>
      </c>
      <c r="E1798" t="s">
        <v>599</v>
      </c>
      <c r="F1798" t="s">
        <v>1771</v>
      </c>
      <c r="G1798" t="s">
        <v>6128</v>
      </c>
      <c r="H1798" t="s">
        <v>11116</v>
      </c>
      <c r="I1798" t="s">
        <v>17355</v>
      </c>
      <c r="J1798" t="s">
        <v>18915</v>
      </c>
      <c r="K1798">
        <v>11372</v>
      </c>
      <c r="L1798" t="s">
        <v>18958</v>
      </c>
      <c r="M1798" t="s">
        <v>18958</v>
      </c>
      <c r="N1798" t="s">
        <v>20309</v>
      </c>
      <c r="O1798" t="s">
        <v>26524</v>
      </c>
      <c r="P1798" t="s">
        <v>26564</v>
      </c>
      <c r="Q1798" t="s">
        <v>26570</v>
      </c>
      <c r="R1798" t="s">
        <v>26578</v>
      </c>
      <c r="S1798" t="s">
        <v>18959</v>
      </c>
      <c r="U1798" t="s">
        <v>26604</v>
      </c>
      <c r="V1798" t="s">
        <v>26610</v>
      </c>
      <c r="W1798" t="s">
        <v>586</v>
      </c>
      <c r="X1798">
        <v>1050</v>
      </c>
      <c r="Y1798" t="s">
        <v>26653</v>
      </c>
      <c r="Z1798" t="s">
        <v>26664</v>
      </c>
      <c r="AA1798" t="s">
        <v>26683</v>
      </c>
      <c r="AB1798" t="s">
        <v>28300</v>
      </c>
      <c r="AD1798" t="s">
        <v>38348</v>
      </c>
      <c r="AE1798">
        <v>120</v>
      </c>
      <c r="AF1798" t="s">
        <v>45553</v>
      </c>
      <c r="AG1798" t="s">
        <v>19330</v>
      </c>
      <c r="AH1798">
        <v>11</v>
      </c>
      <c r="AI1798">
        <v>1</v>
      </c>
      <c r="AJ1798">
        <v>0</v>
      </c>
      <c r="AK1798">
        <v>143.62</v>
      </c>
      <c r="AN1798" t="s">
        <v>7439</v>
      </c>
      <c r="AO1798">
        <v>17436</v>
      </c>
      <c r="AU1798">
        <v>1.1</v>
      </c>
      <c r="AV1798" t="s">
        <v>599</v>
      </c>
      <c r="AW1798" t="s">
        <v>161</v>
      </c>
    </row>
    <row r="1799" spans="1:50">
      <c r="A1799" s="1">
        <f>HYPERLINK("https://lsnyc.legalserver.org/matter/dynamic-profile/view/1877510","18-1877510")</f>
        <v>0</v>
      </c>
      <c r="B1799" t="s">
        <v>141</v>
      </c>
      <c r="C1799" t="s">
        <v>340</v>
      </c>
      <c r="D1799" t="s">
        <v>545</v>
      </c>
      <c r="F1799" t="s">
        <v>1034</v>
      </c>
      <c r="G1799" t="s">
        <v>5191</v>
      </c>
      <c r="H1799" t="s">
        <v>11117</v>
      </c>
      <c r="I1799" t="s">
        <v>17723</v>
      </c>
      <c r="J1799" t="s">
        <v>18900</v>
      </c>
      <c r="K1799">
        <v>11354</v>
      </c>
      <c r="L1799" t="s">
        <v>18958</v>
      </c>
      <c r="M1799" t="s">
        <v>18958</v>
      </c>
      <c r="N1799" t="s">
        <v>20310</v>
      </c>
      <c r="O1799" t="s">
        <v>26524</v>
      </c>
      <c r="P1799" t="s">
        <v>26560</v>
      </c>
      <c r="R1799" t="s">
        <v>26578</v>
      </c>
      <c r="S1799" t="s">
        <v>18958</v>
      </c>
      <c r="U1799" t="s">
        <v>26604</v>
      </c>
      <c r="V1799" t="s">
        <v>26610</v>
      </c>
      <c r="W1799" t="s">
        <v>586</v>
      </c>
      <c r="X1799">
        <v>1281</v>
      </c>
      <c r="Y1799" t="s">
        <v>26653</v>
      </c>
      <c r="Z1799" t="s">
        <v>26664</v>
      </c>
      <c r="AB1799" t="s">
        <v>28301</v>
      </c>
      <c r="AC1799" t="s">
        <v>35043</v>
      </c>
      <c r="AD1799" t="s">
        <v>38349</v>
      </c>
      <c r="AE1799">
        <v>100</v>
      </c>
      <c r="AF1799" t="s">
        <v>45541</v>
      </c>
      <c r="AG1799" t="s">
        <v>19330</v>
      </c>
      <c r="AH1799">
        <v>8</v>
      </c>
      <c r="AI1799">
        <v>2</v>
      </c>
      <c r="AJ1799">
        <v>0</v>
      </c>
      <c r="AK1799">
        <v>162.65</v>
      </c>
      <c r="AN1799" t="s">
        <v>45581</v>
      </c>
      <c r="AO1799">
        <v>26772</v>
      </c>
      <c r="AU1799">
        <v>56.5</v>
      </c>
      <c r="AV1799" t="s">
        <v>827</v>
      </c>
      <c r="AW1799" t="s">
        <v>122</v>
      </c>
    </row>
    <row r="1800" spans="1:50">
      <c r="A1800" s="1">
        <f>HYPERLINK("https://lsnyc.legalserver.org/matter/dynamic-profile/view/1877577","18-1877577")</f>
        <v>0</v>
      </c>
      <c r="B1800" t="s">
        <v>112</v>
      </c>
      <c r="C1800" t="s">
        <v>340</v>
      </c>
      <c r="D1800" t="s">
        <v>545</v>
      </c>
      <c r="F1800" t="s">
        <v>1964</v>
      </c>
      <c r="G1800" t="s">
        <v>5752</v>
      </c>
      <c r="H1800" t="s">
        <v>11118</v>
      </c>
      <c r="I1800" t="s">
        <v>17316</v>
      </c>
      <c r="J1800" t="s">
        <v>18906</v>
      </c>
      <c r="K1800">
        <v>11373</v>
      </c>
      <c r="L1800" t="s">
        <v>18958</v>
      </c>
      <c r="M1800" t="s">
        <v>18958</v>
      </c>
      <c r="N1800" t="s">
        <v>20311</v>
      </c>
      <c r="O1800" t="s">
        <v>26523</v>
      </c>
      <c r="P1800" t="s">
        <v>26560</v>
      </c>
      <c r="R1800" t="s">
        <v>26585</v>
      </c>
      <c r="S1800" t="s">
        <v>18959</v>
      </c>
      <c r="U1800" t="s">
        <v>26604</v>
      </c>
      <c r="V1800" t="s">
        <v>26610</v>
      </c>
      <c r="W1800" t="s">
        <v>586</v>
      </c>
      <c r="X1800">
        <v>2500</v>
      </c>
      <c r="Y1800" t="s">
        <v>26653</v>
      </c>
      <c r="Z1800" t="s">
        <v>26664</v>
      </c>
      <c r="AB1800" t="s">
        <v>28302</v>
      </c>
      <c r="AE1800">
        <v>5</v>
      </c>
      <c r="AF1800" t="s">
        <v>45547</v>
      </c>
      <c r="AG1800" t="s">
        <v>19330</v>
      </c>
      <c r="AH1800">
        <v>1</v>
      </c>
      <c r="AI1800">
        <v>2</v>
      </c>
      <c r="AJ1800">
        <v>3</v>
      </c>
      <c r="AK1800">
        <v>101.97</v>
      </c>
      <c r="AN1800" t="s">
        <v>45581</v>
      </c>
      <c r="AO1800">
        <v>30000</v>
      </c>
      <c r="AU1800">
        <v>74.65000000000001</v>
      </c>
      <c r="AV1800" t="s">
        <v>797</v>
      </c>
      <c r="AW1800" t="s">
        <v>161</v>
      </c>
    </row>
    <row r="1801" spans="1:50">
      <c r="A1801" s="1">
        <f>HYPERLINK("https://lsnyc.legalserver.org/matter/dynamic-profile/view/1877597","18-1877597")</f>
        <v>0</v>
      </c>
      <c r="B1801" t="s">
        <v>91</v>
      </c>
      <c r="C1801" t="s">
        <v>340</v>
      </c>
      <c r="D1801" t="s">
        <v>545</v>
      </c>
      <c r="F1801" t="s">
        <v>1219</v>
      </c>
      <c r="G1801" t="s">
        <v>5319</v>
      </c>
      <c r="H1801" t="s">
        <v>11119</v>
      </c>
      <c r="I1801">
        <v>402</v>
      </c>
      <c r="J1801" t="s">
        <v>18900</v>
      </c>
      <c r="K1801">
        <v>11355</v>
      </c>
      <c r="L1801" t="s">
        <v>18958</v>
      </c>
      <c r="M1801" t="s">
        <v>18958</v>
      </c>
      <c r="N1801" t="s">
        <v>20312</v>
      </c>
      <c r="O1801" t="s">
        <v>26523</v>
      </c>
      <c r="P1801" t="s">
        <v>26560</v>
      </c>
      <c r="R1801" t="s">
        <v>26584</v>
      </c>
      <c r="S1801" t="s">
        <v>18959</v>
      </c>
      <c r="U1801" t="s">
        <v>26604</v>
      </c>
      <c r="V1801" t="s">
        <v>26614</v>
      </c>
      <c r="W1801" t="s">
        <v>586</v>
      </c>
      <c r="X1801">
        <v>333.05</v>
      </c>
      <c r="Y1801" t="s">
        <v>26653</v>
      </c>
      <c r="Z1801" t="s">
        <v>26664</v>
      </c>
      <c r="AB1801" t="s">
        <v>28303</v>
      </c>
      <c r="AD1801" t="s">
        <v>38350</v>
      </c>
      <c r="AE1801">
        <v>49</v>
      </c>
      <c r="AF1801" t="s">
        <v>45541</v>
      </c>
      <c r="AG1801" t="s">
        <v>45559</v>
      </c>
      <c r="AH1801">
        <v>40</v>
      </c>
      <c r="AI1801">
        <v>1</v>
      </c>
      <c r="AJ1801">
        <v>0</v>
      </c>
      <c r="AK1801">
        <v>0</v>
      </c>
      <c r="AN1801" t="s">
        <v>7439</v>
      </c>
      <c r="AO1801">
        <v>0</v>
      </c>
      <c r="AU1801">
        <v>26.1</v>
      </c>
      <c r="AV1801" t="s">
        <v>828</v>
      </c>
      <c r="AW1801" t="s">
        <v>161</v>
      </c>
    </row>
    <row r="1802" spans="1:50">
      <c r="A1802" s="1">
        <f>HYPERLINK("https://lsnyc.legalserver.org/matter/dynamic-profile/view/1876556","18-1876556")</f>
        <v>0</v>
      </c>
      <c r="B1802" t="s">
        <v>145</v>
      </c>
      <c r="C1802" t="s">
        <v>341</v>
      </c>
      <c r="D1802" t="s">
        <v>586</v>
      </c>
      <c r="E1802" t="s">
        <v>740</v>
      </c>
      <c r="F1802" t="s">
        <v>1965</v>
      </c>
      <c r="G1802" t="s">
        <v>5341</v>
      </c>
      <c r="H1802" t="s">
        <v>11120</v>
      </c>
      <c r="J1802" t="s">
        <v>18902</v>
      </c>
      <c r="K1802">
        <v>10314</v>
      </c>
      <c r="L1802" t="s">
        <v>18958</v>
      </c>
      <c r="M1802" t="s">
        <v>18958</v>
      </c>
      <c r="N1802" t="s">
        <v>20313</v>
      </c>
      <c r="O1802" t="s">
        <v>26524</v>
      </c>
      <c r="P1802" t="s">
        <v>26560</v>
      </c>
      <c r="Q1802" t="s">
        <v>26568</v>
      </c>
      <c r="R1802" t="s">
        <v>26590</v>
      </c>
      <c r="S1802" t="s">
        <v>18959</v>
      </c>
      <c r="U1802" t="s">
        <v>26604</v>
      </c>
      <c r="V1802" t="s">
        <v>26610</v>
      </c>
      <c r="W1802" t="s">
        <v>586</v>
      </c>
      <c r="X1802">
        <v>1900</v>
      </c>
      <c r="Y1802" t="s">
        <v>26654</v>
      </c>
      <c r="Z1802" t="s">
        <v>26655</v>
      </c>
      <c r="AA1802" t="s">
        <v>26679</v>
      </c>
      <c r="AB1802" t="s">
        <v>28304</v>
      </c>
      <c r="AD1802" t="s">
        <v>38351</v>
      </c>
      <c r="AE1802">
        <v>2</v>
      </c>
      <c r="AF1802" t="s">
        <v>45547</v>
      </c>
      <c r="AG1802" t="s">
        <v>19330</v>
      </c>
      <c r="AH1802">
        <v>2</v>
      </c>
      <c r="AI1802">
        <v>5</v>
      </c>
      <c r="AJ1802">
        <v>0</v>
      </c>
      <c r="AK1802">
        <v>73.42</v>
      </c>
      <c r="AN1802" t="s">
        <v>45581</v>
      </c>
      <c r="AO1802">
        <v>21600</v>
      </c>
      <c r="AR1802" t="s">
        <v>46384</v>
      </c>
      <c r="AS1802" t="s">
        <v>46500</v>
      </c>
      <c r="AT1802" t="s">
        <v>46707</v>
      </c>
      <c r="AU1802">
        <v>5.75</v>
      </c>
      <c r="AV1802" t="s">
        <v>740</v>
      </c>
      <c r="AW1802" t="s">
        <v>190</v>
      </c>
    </row>
    <row r="1803" spans="1:50">
      <c r="A1803" s="1">
        <f>HYPERLINK("https://lsnyc.legalserver.org/matter/dynamic-profile/view/1877625","18-1877625")</f>
        <v>0</v>
      </c>
      <c r="B1803" t="s">
        <v>145</v>
      </c>
      <c r="C1803" t="s">
        <v>341</v>
      </c>
      <c r="D1803" t="s">
        <v>586</v>
      </c>
      <c r="E1803" t="s">
        <v>777</v>
      </c>
      <c r="F1803" t="s">
        <v>1966</v>
      </c>
      <c r="G1803" t="s">
        <v>6129</v>
      </c>
      <c r="H1803" t="s">
        <v>11121</v>
      </c>
      <c r="J1803" t="s">
        <v>18902</v>
      </c>
      <c r="K1803">
        <v>10303</v>
      </c>
      <c r="L1803" t="s">
        <v>18958</v>
      </c>
      <c r="M1803" t="s">
        <v>18958</v>
      </c>
      <c r="N1803" t="s">
        <v>20314</v>
      </c>
      <c r="O1803" t="s">
        <v>26524</v>
      </c>
      <c r="P1803" t="s">
        <v>26560</v>
      </c>
      <c r="Q1803" t="s">
        <v>26568</v>
      </c>
      <c r="R1803" t="s">
        <v>26590</v>
      </c>
      <c r="S1803" t="s">
        <v>18959</v>
      </c>
      <c r="U1803" t="s">
        <v>26604</v>
      </c>
      <c r="V1803" t="s">
        <v>26610</v>
      </c>
      <c r="W1803" t="s">
        <v>586</v>
      </c>
      <c r="X1803">
        <v>1650</v>
      </c>
      <c r="Y1803" t="s">
        <v>26654</v>
      </c>
      <c r="Z1803" t="s">
        <v>26668</v>
      </c>
      <c r="AA1803" t="s">
        <v>26679</v>
      </c>
      <c r="AB1803" t="s">
        <v>28305</v>
      </c>
      <c r="AD1803" t="s">
        <v>38352</v>
      </c>
      <c r="AE1803">
        <v>3</v>
      </c>
      <c r="AG1803" t="s">
        <v>45556</v>
      </c>
      <c r="AH1803">
        <v>2</v>
      </c>
      <c r="AI1803">
        <v>2</v>
      </c>
      <c r="AJ1803">
        <v>1</v>
      </c>
      <c r="AK1803">
        <v>75.06999999999999</v>
      </c>
      <c r="AO1803">
        <v>15600</v>
      </c>
      <c r="AQ1803" t="s">
        <v>46365</v>
      </c>
      <c r="AS1803" t="s">
        <v>46499</v>
      </c>
      <c r="AT1803" t="s">
        <v>46606</v>
      </c>
      <c r="AU1803">
        <v>13.5</v>
      </c>
      <c r="AV1803" t="s">
        <v>660</v>
      </c>
      <c r="AW1803" t="s">
        <v>190</v>
      </c>
    </row>
    <row r="1804" spans="1:50">
      <c r="A1804" s="1">
        <f>HYPERLINK("https://lsnyc.legalserver.org/matter/dynamic-profile/view/1877708","18-1877708")</f>
        <v>0</v>
      </c>
      <c r="B1804" t="s">
        <v>98</v>
      </c>
      <c r="C1804" t="s">
        <v>341</v>
      </c>
      <c r="D1804" t="s">
        <v>586</v>
      </c>
      <c r="E1804" t="s">
        <v>684</v>
      </c>
      <c r="F1804" t="s">
        <v>1967</v>
      </c>
      <c r="G1804" t="s">
        <v>6130</v>
      </c>
      <c r="H1804" t="s">
        <v>11122</v>
      </c>
      <c r="I1804" t="s">
        <v>17274</v>
      </c>
      <c r="J1804" t="s">
        <v>18892</v>
      </c>
      <c r="K1804">
        <v>10452</v>
      </c>
      <c r="L1804" t="s">
        <v>18958</v>
      </c>
      <c r="M1804" t="s">
        <v>18958</v>
      </c>
      <c r="O1804" t="s">
        <v>18997</v>
      </c>
      <c r="P1804" t="s">
        <v>26564</v>
      </c>
      <c r="Q1804" t="s">
        <v>26570</v>
      </c>
      <c r="R1804" t="s">
        <v>26578</v>
      </c>
      <c r="S1804" t="s">
        <v>18959</v>
      </c>
      <c r="U1804" t="s">
        <v>26604</v>
      </c>
      <c r="W1804" t="s">
        <v>586</v>
      </c>
      <c r="X1804">
        <v>1413.65</v>
      </c>
      <c r="Y1804" t="s">
        <v>26650</v>
      </c>
      <c r="Z1804" t="s">
        <v>26663</v>
      </c>
      <c r="AA1804" t="s">
        <v>26683</v>
      </c>
      <c r="AB1804" t="s">
        <v>28306</v>
      </c>
      <c r="AD1804" t="s">
        <v>38353</v>
      </c>
      <c r="AE1804">
        <v>129</v>
      </c>
      <c r="AF1804" t="s">
        <v>45541</v>
      </c>
      <c r="AG1804" t="s">
        <v>45558</v>
      </c>
      <c r="AH1804">
        <v>4</v>
      </c>
      <c r="AI1804">
        <v>1</v>
      </c>
      <c r="AJ1804">
        <v>0</v>
      </c>
      <c r="AK1804">
        <v>98.52</v>
      </c>
      <c r="AN1804" t="s">
        <v>45581</v>
      </c>
      <c r="AO1804">
        <v>11960</v>
      </c>
      <c r="AU1804">
        <v>1.4</v>
      </c>
      <c r="AV1804" t="s">
        <v>684</v>
      </c>
      <c r="AW1804" t="s">
        <v>98</v>
      </c>
    </row>
    <row r="1805" spans="1:50">
      <c r="A1805" s="1">
        <f>HYPERLINK("https://lsnyc.legalserver.org/matter/dynamic-profile/view/1877610","18-1877610")</f>
        <v>0</v>
      </c>
      <c r="B1805" t="s">
        <v>138</v>
      </c>
      <c r="C1805" t="s">
        <v>341</v>
      </c>
      <c r="D1805" t="s">
        <v>586</v>
      </c>
      <c r="E1805" t="s">
        <v>829</v>
      </c>
      <c r="F1805" t="s">
        <v>871</v>
      </c>
      <c r="G1805" t="s">
        <v>5478</v>
      </c>
      <c r="H1805" t="s">
        <v>11123</v>
      </c>
      <c r="I1805" t="s">
        <v>17277</v>
      </c>
      <c r="J1805" t="s">
        <v>18893</v>
      </c>
      <c r="K1805">
        <v>10029</v>
      </c>
      <c r="L1805" t="s">
        <v>18958</v>
      </c>
      <c r="M1805" t="s">
        <v>18958</v>
      </c>
      <c r="N1805" t="s">
        <v>20315</v>
      </c>
      <c r="O1805" t="s">
        <v>26523</v>
      </c>
      <c r="P1805" t="s">
        <v>26565</v>
      </c>
      <c r="Q1805" t="s">
        <v>26571</v>
      </c>
      <c r="R1805" t="s">
        <v>26578</v>
      </c>
      <c r="S1805" t="s">
        <v>18959</v>
      </c>
      <c r="U1805" t="s">
        <v>26604</v>
      </c>
      <c r="V1805" t="s">
        <v>26612</v>
      </c>
      <c r="W1805" t="s">
        <v>586</v>
      </c>
      <c r="X1805">
        <v>711</v>
      </c>
      <c r="Y1805" t="s">
        <v>26651</v>
      </c>
      <c r="Z1805" t="s">
        <v>26655</v>
      </c>
      <c r="AA1805" t="s">
        <v>26683</v>
      </c>
      <c r="AB1805" t="s">
        <v>28307</v>
      </c>
      <c r="AD1805" t="s">
        <v>38354</v>
      </c>
      <c r="AE1805">
        <v>15</v>
      </c>
      <c r="AF1805" t="s">
        <v>45541</v>
      </c>
      <c r="AG1805" t="s">
        <v>45556</v>
      </c>
      <c r="AH1805">
        <v>3</v>
      </c>
      <c r="AI1805">
        <v>1</v>
      </c>
      <c r="AJ1805">
        <v>0</v>
      </c>
      <c r="AK1805">
        <v>0</v>
      </c>
      <c r="AN1805" t="s">
        <v>7439</v>
      </c>
      <c r="AO1805">
        <v>0</v>
      </c>
      <c r="AU1805">
        <v>1.5</v>
      </c>
      <c r="AV1805" t="s">
        <v>783</v>
      </c>
      <c r="AW1805" t="s">
        <v>46835</v>
      </c>
    </row>
    <row r="1806" spans="1:50">
      <c r="A1806" s="1">
        <f>HYPERLINK("https://lsnyc.legalserver.org/matter/dynamic-profile/view/1877629","18-1877629")</f>
        <v>0</v>
      </c>
      <c r="B1806" t="s">
        <v>246</v>
      </c>
      <c r="C1806" t="s">
        <v>341</v>
      </c>
      <c r="D1806" t="s">
        <v>586</v>
      </c>
      <c r="E1806" t="s">
        <v>494</v>
      </c>
      <c r="F1806" t="s">
        <v>875</v>
      </c>
      <c r="G1806" t="s">
        <v>5285</v>
      </c>
      <c r="H1806" t="s">
        <v>11124</v>
      </c>
      <c r="I1806" t="s">
        <v>17724</v>
      </c>
      <c r="J1806" t="s">
        <v>18892</v>
      </c>
      <c r="K1806">
        <v>10454</v>
      </c>
      <c r="L1806" t="s">
        <v>18958</v>
      </c>
      <c r="M1806" t="s">
        <v>18958</v>
      </c>
      <c r="N1806" t="s">
        <v>20316</v>
      </c>
      <c r="O1806" t="s">
        <v>26523</v>
      </c>
      <c r="P1806" t="s">
        <v>26560</v>
      </c>
      <c r="Q1806" t="s">
        <v>26568</v>
      </c>
      <c r="R1806" t="s">
        <v>26577</v>
      </c>
      <c r="S1806" t="s">
        <v>18959</v>
      </c>
      <c r="U1806" t="s">
        <v>26605</v>
      </c>
      <c r="W1806" t="s">
        <v>586</v>
      </c>
      <c r="X1806">
        <v>235.6</v>
      </c>
      <c r="Y1806" t="s">
        <v>26650</v>
      </c>
      <c r="AA1806" t="s">
        <v>26680</v>
      </c>
      <c r="AB1806" t="s">
        <v>28308</v>
      </c>
      <c r="AC1806" t="s">
        <v>35044</v>
      </c>
      <c r="AD1806" t="s">
        <v>38355</v>
      </c>
      <c r="AE1806">
        <v>0</v>
      </c>
      <c r="AF1806" t="s">
        <v>45542</v>
      </c>
      <c r="AG1806" t="s">
        <v>26530</v>
      </c>
      <c r="AH1806">
        <v>45</v>
      </c>
      <c r="AI1806">
        <v>2</v>
      </c>
      <c r="AJ1806">
        <v>0</v>
      </c>
      <c r="AK1806">
        <v>56.14</v>
      </c>
      <c r="AN1806" t="s">
        <v>7439</v>
      </c>
      <c r="AO1806">
        <v>9240</v>
      </c>
      <c r="AS1806" t="s">
        <v>46499</v>
      </c>
      <c r="AT1806" t="s">
        <v>46589</v>
      </c>
      <c r="AU1806">
        <v>13</v>
      </c>
      <c r="AV1806" t="s">
        <v>427</v>
      </c>
      <c r="AW1806" t="s">
        <v>46854</v>
      </c>
    </row>
    <row r="1807" spans="1:50">
      <c r="A1807" s="1">
        <f>HYPERLINK("https://lsnyc.legalserver.org/matter/dynamic-profile/view/1877705","18-1877705")</f>
        <v>0</v>
      </c>
      <c r="B1807" t="s">
        <v>120</v>
      </c>
      <c r="C1807" t="s">
        <v>341</v>
      </c>
      <c r="D1807" t="s">
        <v>586</v>
      </c>
      <c r="E1807" t="s">
        <v>494</v>
      </c>
      <c r="F1807" t="s">
        <v>871</v>
      </c>
      <c r="G1807" t="s">
        <v>5095</v>
      </c>
      <c r="H1807" t="s">
        <v>11125</v>
      </c>
      <c r="I1807" t="s">
        <v>17725</v>
      </c>
      <c r="J1807" t="s">
        <v>18892</v>
      </c>
      <c r="K1807">
        <v>10457</v>
      </c>
      <c r="L1807" t="s">
        <v>18958</v>
      </c>
      <c r="M1807" t="s">
        <v>18958</v>
      </c>
      <c r="N1807" t="s">
        <v>20317</v>
      </c>
      <c r="O1807" t="s">
        <v>26523</v>
      </c>
      <c r="P1807" t="s">
        <v>26560</v>
      </c>
      <c r="Q1807" t="s">
        <v>26568</v>
      </c>
      <c r="R1807" t="s">
        <v>26579</v>
      </c>
      <c r="U1807" t="s">
        <v>26604</v>
      </c>
      <c r="V1807" t="s">
        <v>26611</v>
      </c>
      <c r="W1807" t="s">
        <v>586</v>
      </c>
      <c r="X1807">
        <v>1594</v>
      </c>
      <c r="Y1807" t="s">
        <v>26650</v>
      </c>
      <c r="Z1807" t="s">
        <v>26669</v>
      </c>
      <c r="AA1807" t="s">
        <v>26678</v>
      </c>
      <c r="AB1807" t="s">
        <v>28309</v>
      </c>
      <c r="AD1807" t="s">
        <v>38356</v>
      </c>
      <c r="AE1807">
        <v>50</v>
      </c>
      <c r="AF1807" t="s">
        <v>45541</v>
      </c>
      <c r="AG1807" t="s">
        <v>45556</v>
      </c>
      <c r="AH1807">
        <v>0</v>
      </c>
      <c r="AI1807">
        <v>1</v>
      </c>
      <c r="AJ1807">
        <v>0</v>
      </c>
      <c r="AK1807">
        <v>84.70999999999999</v>
      </c>
      <c r="AN1807" t="s">
        <v>45581</v>
      </c>
      <c r="AO1807">
        <v>10284</v>
      </c>
      <c r="AQ1807" t="s">
        <v>46362</v>
      </c>
      <c r="AR1807" t="s">
        <v>46410</v>
      </c>
      <c r="AS1807" t="s">
        <v>46499</v>
      </c>
      <c r="AT1807" t="s">
        <v>46719</v>
      </c>
      <c r="AU1807">
        <v>10.1</v>
      </c>
      <c r="AV1807" t="s">
        <v>646</v>
      </c>
      <c r="AW1807" t="s">
        <v>46847</v>
      </c>
    </row>
    <row r="1808" spans="1:50">
      <c r="A1808" s="1">
        <f>HYPERLINK("https://lsnyc.legalserver.org/matter/dynamic-profile/view/1877677","18-1877677")</f>
        <v>0</v>
      </c>
      <c r="B1808" t="s">
        <v>63</v>
      </c>
      <c r="C1808" t="s">
        <v>341</v>
      </c>
      <c r="D1808" t="s">
        <v>586</v>
      </c>
      <c r="E1808" t="s">
        <v>586</v>
      </c>
      <c r="F1808" t="s">
        <v>872</v>
      </c>
      <c r="G1808" t="s">
        <v>5659</v>
      </c>
      <c r="H1808" t="s">
        <v>10413</v>
      </c>
      <c r="J1808" t="s">
        <v>18892</v>
      </c>
      <c r="K1808">
        <v>10467</v>
      </c>
      <c r="L1808" t="s">
        <v>18958</v>
      </c>
      <c r="M1808" t="s">
        <v>18958</v>
      </c>
      <c r="O1808" t="s">
        <v>26529</v>
      </c>
      <c r="P1808" t="s">
        <v>26565</v>
      </c>
      <c r="Q1808" t="s">
        <v>26571</v>
      </c>
      <c r="R1808" t="s">
        <v>26578</v>
      </c>
      <c r="U1808" t="s">
        <v>26604</v>
      </c>
      <c r="W1808" t="s">
        <v>586</v>
      </c>
      <c r="X1808">
        <v>0</v>
      </c>
      <c r="Y1808" t="s">
        <v>26650</v>
      </c>
      <c r="AA1808" t="s">
        <v>26682</v>
      </c>
      <c r="AB1808" t="s">
        <v>27526</v>
      </c>
      <c r="AC1808">
        <v>4043580</v>
      </c>
      <c r="AD1808" t="s">
        <v>37584</v>
      </c>
      <c r="AE1808">
        <v>0</v>
      </c>
      <c r="AH1808">
        <v>0</v>
      </c>
      <c r="AI1808">
        <v>2</v>
      </c>
      <c r="AJ1808">
        <v>0</v>
      </c>
      <c r="AK1808">
        <v>14.37</v>
      </c>
      <c r="AN1808" t="s">
        <v>7439</v>
      </c>
      <c r="AO1808">
        <v>2366</v>
      </c>
      <c r="AP1808" t="s">
        <v>45732</v>
      </c>
      <c r="AU1808">
        <v>1.5</v>
      </c>
      <c r="AV1808" t="s">
        <v>586</v>
      </c>
      <c r="AW1808" t="s">
        <v>63</v>
      </c>
      <c r="AX1808" t="s">
        <v>46898</v>
      </c>
    </row>
    <row r="1809" spans="1:49">
      <c r="A1809" s="1">
        <f>HYPERLINK("https://lsnyc.legalserver.org/matter/dynamic-profile/view/1877615","18-1877615")</f>
        <v>0</v>
      </c>
      <c r="B1809" t="s">
        <v>81</v>
      </c>
      <c r="C1809" t="s">
        <v>340</v>
      </c>
      <c r="D1809" t="s">
        <v>586</v>
      </c>
      <c r="F1809" t="s">
        <v>1968</v>
      </c>
      <c r="G1809" t="s">
        <v>6131</v>
      </c>
      <c r="H1809" t="s">
        <v>11126</v>
      </c>
      <c r="I1809" t="s">
        <v>17322</v>
      </c>
      <c r="J1809" t="s">
        <v>18892</v>
      </c>
      <c r="K1809">
        <v>10456</v>
      </c>
      <c r="L1809" t="s">
        <v>18958</v>
      </c>
      <c r="M1809" t="s">
        <v>18958</v>
      </c>
      <c r="N1809" t="s">
        <v>20318</v>
      </c>
      <c r="O1809" t="s">
        <v>26523</v>
      </c>
      <c r="P1809" t="s">
        <v>26560</v>
      </c>
      <c r="R1809" t="s">
        <v>26577</v>
      </c>
      <c r="S1809" t="s">
        <v>18959</v>
      </c>
      <c r="U1809" t="s">
        <v>26604</v>
      </c>
      <c r="V1809" t="s">
        <v>26610</v>
      </c>
      <c r="W1809" t="s">
        <v>586</v>
      </c>
      <c r="X1809">
        <v>657.15</v>
      </c>
      <c r="Y1809" t="s">
        <v>26650</v>
      </c>
      <c r="Z1809" t="s">
        <v>26530</v>
      </c>
      <c r="AB1809" t="s">
        <v>28310</v>
      </c>
      <c r="AD1809" t="s">
        <v>38357</v>
      </c>
      <c r="AE1809">
        <v>0</v>
      </c>
      <c r="AF1809" t="s">
        <v>45541</v>
      </c>
      <c r="AG1809" t="s">
        <v>19330</v>
      </c>
      <c r="AH1809">
        <v>23</v>
      </c>
      <c r="AI1809">
        <v>2</v>
      </c>
      <c r="AJ1809">
        <v>0</v>
      </c>
      <c r="AK1809">
        <v>0</v>
      </c>
      <c r="AN1809" t="s">
        <v>26530</v>
      </c>
      <c r="AO1809">
        <v>0</v>
      </c>
      <c r="AU1809">
        <v>6.75</v>
      </c>
      <c r="AV1809" t="s">
        <v>804</v>
      </c>
      <c r="AW1809" t="s">
        <v>336</v>
      </c>
    </row>
    <row r="1810" spans="1:49">
      <c r="A1810" s="1">
        <f>HYPERLINK("https://lsnyc.legalserver.org/matter/dynamic-profile/view/1877861","18-1877861")</f>
        <v>0</v>
      </c>
      <c r="B1810" t="s">
        <v>61</v>
      </c>
      <c r="C1810" t="s">
        <v>340</v>
      </c>
      <c r="D1810" t="s">
        <v>588</v>
      </c>
      <c r="F1810" t="s">
        <v>900</v>
      </c>
      <c r="G1810" t="s">
        <v>1748</v>
      </c>
      <c r="H1810" t="s">
        <v>11127</v>
      </c>
      <c r="I1810" t="s">
        <v>17307</v>
      </c>
      <c r="J1810" t="s">
        <v>18893</v>
      </c>
      <c r="K1810">
        <v>10035</v>
      </c>
      <c r="L1810" t="s">
        <v>18958</v>
      </c>
      <c r="M1810" t="s">
        <v>18958</v>
      </c>
      <c r="N1810" t="s">
        <v>20319</v>
      </c>
      <c r="O1810" t="s">
        <v>26526</v>
      </c>
      <c r="P1810" t="s">
        <v>26560</v>
      </c>
      <c r="R1810" t="s">
        <v>26578</v>
      </c>
      <c r="S1810" t="s">
        <v>18959</v>
      </c>
      <c r="U1810" t="s">
        <v>26604</v>
      </c>
      <c r="W1810" t="s">
        <v>586</v>
      </c>
      <c r="X1810">
        <v>1000</v>
      </c>
      <c r="Y1810" t="s">
        <v>26651</v>
      </c>
      <c r="Z1810" t="s">
        <v>26659</v>
      </c>
      <c r="AB1810" t="s">
        <v>28311</v>
      </c>
      <c r="AD1810" t="s">
        <v>38358</v>
      </c>
      <c r="AE1810">
        <v>7</v>
      </c>
      <c r="AF1810" t="s">
        <v>45541</v>
      </c>
      <c r="AG1810" t="s">
        <v>19330</v>
      </c>
      <c r="AH1810">
        <v>8</v>
      </c>
      <c r="AI1810">
        <v>1</v>
      </c>
      <c r="AJ1810">
        <v>0</v>
      </c>
      <c r="AK1810">
        <v>82.37</v>
      </c>
      <c r="AN1810" t="s">
        <v>7439</v>
      </c>
      <c r="AO1810">
        <v>10000</v>
      </c>
      <c r="AU1810">
        <v>33.4</v>
      </c>
      <c r="AV1810" t="s">
        <v>822</v>
      </c>
      <c r="AW1810" t="s">
        <v>46835</v>
      </c>
    </row>
    <row r="1811" spans="1:49">
      <c r="A1811" s="1">
        <f>HYPERLINK("https://lsnyc.legalserver.org/matter/dynamic-profile/view/1878445","18-1878445")</f>
        <v>0</v>
      </c>
      <c r="B1811" t="s">
        <v>167</v>
      </c>
      <c r="C1811" t="s">
        <v>341</v>
      </c>
      <c r="D1811" t="s">
        <v>589</v>
      </c>
      <c r="E1811" t="s">
        <v>458</v>
      </c>
      <c r="F1811" t="s">
        <v>1969</v>
      </c>
      <c r="G1811" t="s">
        <v>983</v>
      </c>
      <c r="H1811" t="s">
        <v>11128</v>
      </c>
      <c r="I1811" t="s">
        <v>17355</v>
      </c>
      <c r="J1811" t="s">
        <v>18894</v>
      </c>
      <c r="K1811">
        <v>11221</v>
      </c>
      <c r="L1811" t="s">
        <v>18958</v>
      </c>
      <c r="M1811" t="s">
        <v>18960</v>
      </c>
      <c r="N1811" t="s">
        <v>20320</v>
      </c>
      <c r="O1811" t="s">
        <v>26523</v>
      </c>
      <c r="P1811" t="s">
        <v>26565</v>
      </c>
      <c r="Q1811" t="s">
        <v>26571</v>
      </c>
      <c r="R1811" t="s">
        <v>26583</v>
      </c>
      <c r="S1811" t="s">
        <v>18959</v>
      </c>
      <c r="U1811" t="s">
        <v>26604</v>
      </c>
      <c r="V1811" t="s">
        <v>26610</v>
      </c>
      <c r="W1811" t="s">
        <v>586</v>
      </c>
      <c r="X1811">
        <v>731</v>
      </c>
      <c r="Y1811" t="s">
        <v>26652</v>
      </c>
      <c r="Z1811" t="s">
        <v>26669</v>
      </c>
      <c r="AA1811" t="s">
        <v>26682</v>
      </c>
      <c r="AB1811" t="s">
        <v>28102</v>
      </c>
      <c r="AE1811">
        <v>28</v>
      </c>
      <c r="AG1811" t="s">
        <v>26530</v>
      </c>
      <c r="AH1811">
        <v>17</v>
      </c>
      <c r="AI1811">
        <v>2</v>
      </c>
      <c r="AJ1811">
        <v>0</v>
      </c>
      <c r="AK1811">
        <v>306.2</v>
      </c>
      <c r="AN1811" t="s">
        <v>7439</v>
      </c>
      <c r="AO1811">
        <v>50400</v>
      </c>
      <c r="AU1811">
        <v>8.4</v>
      </c>
      <c r="AV1811" t="s">
        <v>458</v>
      </c>
      <c r="AW1811" t="s">
        <v>46862</v>
      </c>
    </row>
    <row r="1812" spans="1:49">
      <c r="A1812" s="1">
        <f>HYPERLINK("https://lsnyc.legalserver.org/matter/dynamic-profile/view/1878429","18-1878429")</f>
        <v>0</v>
      </c>
      <c r="B1812" t="s">
        <v>167</v>
      </c>
      <c r="C1812" t="s">
        <v>341</v>
      </c>
      <c r="D1812" t="s">
        <v>589</v>
      </c>
      <c r="E1812" t="s">
        <v>458</v>
      </c>
      <c r="F1812" t="s">
        <v>970</v>
      </c>
      <c r="G1812" t="s">
        <v>5916</v>
      </c>
      <c r="H1812" t="s">
        <v>11129</v>
      </c>
      <c r="I1812">
        <v>530</v>
      </c>
      <c r="J1812" t="s">
        <v>18894</v>
      </c>
      <c r="K1812">
        <v>11203</v>
      </c>
      <c r="L1812" t="s">
        <v>18958</v>
      </c>
      <c r="M1812" t="s">
        <v>18958</v>
      </c>
      <c r="N1812" t="s">
        <v>20321</v>
      </c>
      <c r="O1812" t="s">
        <v>26523</v>
      </c>
      <c r="P1812" t="s">
        <v>26565</v>
      </c>
      <c r="Q1812" t="s">
        <v>26571</v>
      </c>
      <c r="R1812" t="s">
        <v>26586</v>
      </c>
      <c r="S1812" t="s">
        <v>18959</v>
      </c>
      <c r="U1812" t="s">
        <v>26604</v>
      </c>
      <c r="V1812" t="s">
        <v>26612</v>
      </c>
      <c r="W1812" t="s">
        <v>586</v>
      </c>
      <c r="X1812">
        <v>1293</v>
      </c>
      <c r="Y1812" t="s">
        <v>26652</v>
      </c>
      <c r="Z1812" t="s">
        <v>26664</v>
      </c>
      <c r="AA1812" t="s">
        <v>26683</v>
      </c>
      <c r="AB1812" t="s">
        <v>28312</v>
      </c>
      <c r="AC1812" t="s">
        <v>35045</v>
      </c>
      <c r="AD1812" t="s">
        <v>38359</v>
      </c>
      <c r="AE1812">
        <v>293</v>
      </c>
      <c r="AF1812" t="s">
        <v>45541</v>
      </c>
      <c r="AG1812" t="s">
        <v>45556</v>
      </c>
      <c r="AH1812">
        <v>1</v>
      </c>
      <c r="AI1812">
        <v>1</v>
      </c>
      <c r="AJ1812">
        <v>0</v>
      </c>
      <c r="AK1812">
        <v>78.29000000000001</v>
      </c>
      <c r="AN1812" t="s">
        <v>7439</v>
      </c>
      <c r="AO1812">
        <v>9504</v>
      </c>
      <c r="AU1812">
        <v>4.6</v>
      </c>
      <c r="AV1812" t="s">
        <v>458</v>
      </c>
      <c r="AW1812" t="s">
        <v>46862</v>
      </c>
    </row>
    <row r="1813" spans="1:49">
      <c r="A1813" s="1">
        <f>HYPERLINK("https://lsnyc.legalserver.org/matter/dynamic-profile/view/0793314","15-0793314")</f>
        <v>0</v>
      </c>
      <c r="B1813" t="s">
        <v>167</v>
      </c>
      <c r="C1813" t="s">
        <v>341</v>
      </c>
      <c r="D1813" t="s">
        <v>590</v>
      </c>
      <c r="E1813" t="s">
        <v>658</v>
      </c>
      <c r="F1813" t="s">
        <v>1328</v>
      </c>
      <c r="G1813" t="s">
        <v>5269</v>
      </c>
      <c r="H1813" t="s">
        <v>11130</v>
      </c>
      <c r="I1813" t="s">
        <v>17415</v>
      </c>
      <c r="J1813" t="s">
        <v>18933</v>
      </c>
      <c r="K1813">
        <v>11422</v>
      </c>
      <c r="L1813" t="s">
        <v>18958</v>
      </c>
      <c r="M1813" t="s">
        <v>18958</v>
      </c>
      <c r="N1813" t="s">
        <v>20322</v>
      </c>
      <c r="O1813" t="s">
        <v>26524</v>
      </c>
      <c r="P1813" t="s">
        <v>26560</v>
      </c>
      <c r="Q1813" t="s">
        <v>26568</v>
      </c>
      <c r="R1813" t="s">
        <v>26593</v>
      </c>
      <c r="S1813" t="s">
        <v>18959</v>
      </c>
      <c r="U1813" t="s">
        <v>26604</v>
      </c>
      <c r="V1813" t="s">
        <v>26610</v>
      </c>
      <c r="W1813" t="s">
        <v>571</v>
      </c>
      <c r="X1813">
        <v>1098</v>
      </c>
      <c r="Y1813" t="s">
        <v>26653</v>
      </c>
      <c r="Z1813" t="s">
        <v>26530</v>
      </c>
      <c r="AA1813" t="s">
        <v>26679</v>
      </c>
      <c r="AB1813" t="s">
        <v>28313</v>
      </c>
      <c r="AD1813" t="s">
        <v>38360</v>
      </c>
      <c r="AE1813">
        <v>2</v>
      </c>
      <c r="AF1813" t="s">
        <v>45547</v>
      </c>
      <c r="AH1813">
        <v>0</v>
      </c>
      <c r="AI1813">
        <v>2</v>
      </c>
      <c r="AJ1813">
        <v>1</v>
      </c>
      <c r="AK1813">
        <v>63.09</v>
      </c>
      <c r="AN1813" t="s">
        <v>7439</v>
      </c>
      <c r="AO1813">
        <v>12675</v>
      </c>
      <c r="AU1813">
        <v>45.6</v>
      </c>
      <c r="AV1813" t="s">
        <v>571</v>
      </c>
      <c r="AW1813" t="s">
        <v>122</v>
      </c>
    </row>
    <row r="1814" spans="1:49">
      <c r="A1814" s="1">
        <f>HYPERLINK("https://lsnyc.legalserver.org/matter/dynamic-profile/view/0805239","16-0805239")</f>
        <v>0</v>
      </c>
      <c r="B1814" t="s">
        <v>167</v>
      </c>
      <c r="C1814" t="s">
        <v>341</v>
      </c>
      <c r="D1814" t="s">
        <v>591</v>
      </c>
      <c r="E1814" t="s">
        <v>658</v>
      </c>
      <c r="F1814" t="s">
        <v>1970</v>
      </c>
      <c r="G1814" t="s">
        <v>6132</v>
      </c>
      <c r="H1814" t="s">
        <v>11131</v>
      </c>
      <c r="I1814" t="s">
        <v>17726</v>
      </c>
      <c r="J1814" t="s">
        <v>18923</v>
      </c>
      <c r="K1814">
        <v>11418</v>
      </c>
      <c r="L1814" t="s">
        <v>18958</v>
      </c>
      <c r="M1814" t="s">
        <v>18958</v>
      </c>
      <c r="N1814" t="s">
        <v>20323</v>
      </c>
      <c r="O1814" t="s">
        <v>26524</v>
      </c>
      <c r="P1814" t="s">
        <v>26560</v>
      </c>
      <c r="Q1814" t="s">
        <v>26568</v>
      </c>
      <c r="R1814" t="s">
        <v>26593</v>
      </c>
      <c r="S1814" t="s">
        <v>18959</v>
      </c>
      <c r="U1814" t="s">
        <v>26604</v>
      </c>
      <c r="V1814" t="s">
        <v>26610</v>
      </c>
      <c r="W1814" t="s">
        <v>571</v>
      </c>
      <c r="X1814">
        <v>1495</v>
      </c>
      <c r="Y1814" t="s">
        <v>26653</v>
      </c>
      <c r="Z1814" t="s">
        <v>26661</v>
      </c>
      <c r="AA1814" t="s">
        <v>26678</v>
      </c>
      <c r="AB1814" t="s">
        <v>28314</v>
      </c>
      <c r="AD1814" t="s">
        <v>38361</v>
      </c>
      <c r="AE1814">
        <v>2</v>
      </c>
      <c r="AF1814" t="s">
        <v>45547</v>
      </c>
      <c r="AG1814" t="s">
        <v>45556</v>
      </c>
      <c r="AH1814">
        <v>2</v>
      </c>
      <c r="AI1814">
        <v>2</v>
      </c>
      <c r="AJ1814">
        <v>0</v>
      </c>
      <c r="AK1814">
        <v>89.26000000000001</v>
      </c>
      <c r="AN1814" t="s">
        <v>45581</v>
      </c>
      <c r="AO1814">
        <v>14300</v>
      </c>
      <c r="AQ1814" t="s">
        <v>46359</v>
      </c>
      <c r="AR1814" t="s">
        <v>46379</v>
      </c>
      <c r="AS1814" t="s">
        <v>46499</v>
      </c>
      <c r="AT1814" t="s">
        <v>46720</v>
      </c>
      <c r="AU1814">
        <v>21.9</v>
      </c>
      <c r="AV1814" t="s">
        <v>571</v>
      </c>
      <c r="AW1814" t="s">
        <v>142</v>
      </c>
    </row>
    <row r="1815" spans="1:49">
      <c r="A1815" s="1">
        <f>HYPERLINK("https://lsnyc.legalserver.org/matter/dynamic-profile/view/0819799","16-0819799")</f>
        <v>0</v>
      </c>
      <c r="B1815" t="s">
        <v>167</v>
      </c>
      <c r="C1815" t="s">
        <v>341</v>
      </c>
      <c r="D1815" t="s">
        <v>592</v>
      </c>
      <c r="E1815" t="s">
        <v>790</v>
      </c>
      <c r="F1815" t="s">
        <v>1971</v>
      </c>
      <c r="G1815" t="s">
        <v>6133</v>
      </c>
      <c r="H1815" t="s">
        <v>11132</v>
      </c>
      <c r="I1815" t="s">
        <v>17727</v>
      </c>
      <c r="J1815" t="s">
        <v>18901</v>
      </c>
      <c r="K1815">
        <v>11416</v>
      </c>
      <c r="L1815" t="s">
        <v>18958</v>
      </c>
      <c r="M1815" t="s">
        <v>18958</v>
      </c>
      <c r="N1815" t="s">
        <v>20324</v>
      </c>
      <c r="O1815" t="s">
        <v>26524</v>
      </c>
      <c r="P1815" t="s">
        <v>26560</v>
      </c>
      <c r="Q1815" t="s">
        <v>26568</v>
      </c>
      <c r="R1815" t="s">
        <v>26584</v>
      </c>
      <c r="S1815" t="s">
        <v>18959</v>
      </c>
      <c r="U1815" t="s">
        <v>26604</v>
      </c>
      <c r="V1815" t="s">
        <v>26610</v>
      </c>
      <c r="W1815" t="s">
        <v>571</v>
      </c>
      <c r="X1815">
        <v>1750</v>
      </c>
      <c r="Y1815" t="s">
        <v>26653</v>
      </c>
      <c r="Z1815" t="s">
        <v>26666</v>
      </c>
      <c r="AA1815" t="s">
        <v>26679</v>
      </c>
      <c r="AB1815" t="s">
        <v>27234</v>
      </c>
      <c r="AC1815" t="s">
        <v>35046</v>
      </c>
      <c r="AD1815" t="s">
        <v>38362</v>
      </c>
      <c r="AE1815">
        <v>2</v>
      </c>
      <c r="AF1815" t="s">
        <v>45547</v>
      </c>
      <c r="AG1815" t="s">
        <v>26530</v>
      </c>
      <c r="AH1815">
        <v>1</v>
      </c>
      <c r="AI1815">
        <v>1</v>
      </c>
      <c r="AJ1815">
        <v>1</v>
      </c>
      <c r="AK1815">
        <v>22.72</v>
      </c>
      <c r="AN1815" t="s">
        <v>7439</v>
      </c>
      <c r="AO1815">
        <v>3640</v>
      </c>
      <c r="AR1815" t="s">
        <v>46448</v>
      </c>
      <c r="AS1815" t="s">
        <v>46500</v>
      </c>
      <c r="AT1815" t="s">
        <v>46721</v>
      </c>
      <c r="AU1815">
        <v>19.35</v>
      </c>
      <c r="AV1815" t="s">
        <v>571</v>
      </c>
      <c r="AW1815" t="s">
        <v>142</v>
      </c>
    </row>
    <row r="1816" spans="1:49">
      <c r="A1816" s="1">
        <f>HYPERLINK("https://lsnyc.legalserver.org/matter/dynamic-profile/view/1873658","18-1873658")</f>
        <v>0</v>
      </c>
      <c r="B1816" t="s">
        <v>69</v>
      </c>
      <c r="C1816" t="s">
        <v>341</v>
      </c>
      <c r="D1816" t="s">
        <v>476</v>
      </c>
      <c r="E1816" t="s">
        <v>517</v>
      </c>
      <c r="F1816" t="s">
        <v>1602</v>
      </c>
      <c r="G1816" t="s">
        <v>6134</v>
      </c>
      <c r="H1816" t="s">
        <v>11133</v>
      </c>
      <c r="I1816">
        <v>804</v>
      </c>
      <c r="J1816" t="s">
        <v>18892</v>
      </c>
      <c r="K1816">
        <v>10457</v>
      </c>
      <c r="L1816" t="s">
        <v>18958</v>
      </c>
      <c r="M1816" t="s">
        <v>18958</v>
      </c>
      <c r="N1816" t="s">
        <v>20325</v>
      </c>
      <c r="O1816" t="s">
        <v>26523</v>
      </c>
      <c r="P1816" t="s">
        <v>26560</v>
      </c>
      <c r="Q1816" t="s">
        <v>26568</v>
      </c>
      <c r="R1816" t="s">
        <v>26579</v>
      </c>
      <c r="U1816" t="s">
        <v>26604</v>
      </c>
      <c r="V1816" t="s">
        <v>26612</v>
      </c>
      <c r="W1816" t="s">
        <v>571</v>
      </c>
      <c r="X1816">
        <v>1056</v>
      </c>
      <c r="Y1816" t="s">
        <v>26650</v>
      </c>
      <c r="Z1816" t="s">
        <v>26659</v>
      </c>
      <c r="AA1816" t="s">
        <v>26678</v>
      </c>
      <c r="AB1816" t="s">
        <v>28315</v>
      </c>
      <c r="AD1816" t="s">
        <v>38363</v>
      </c>
      <c r="AE1816">
        <v>100</v>
      </c>
      <c r="AF1816" t="s">
        <v>45541</v>
      </c>
      <c r="AG1816" t="s">
        <v>19330</v>
      </c>
      <c r="AH1816">
        <v>7</v>
      </c>
      <c r="AI1816">
        <v>1</v>
      </c>
      <c r="AJ1816">
        <v>1</v>
      </c>
      <c r="AK1816">
        <v>170.91</v>
      </c>
      <c r="AN1816" t="s">
        <v>7439</v>
      </c>
      <c r="AO1816">
        <v>28132</v>
      </c>
      <c r="AS1816" t="s">
        <v>46499</v>
      </c>
      <c r="AT1816" t="s">
        <v>46589</v>
      </c>
      <c r="AU1816">
        <v>7.25</v>
      </c>
      <c r="AV1816" t="s">
        <v>583</v>
      </c>
      <c r="AW1816" t="s">
        <v>46843</v>
      </c>
    </row>
    <row r="1817" spans="1:49">
      <c r="A1817" s="1">
        <f>HYPERLINK("https://lsnyc.legalserver.org/matter/dynamic-profile/view/1875217","18-1875217")</f>
        <v>0</v>
      </c>
      <c r="B1817" t="s">
        <v>135</v>
      </c>
      <c r="C1817" t="s">
        <v>340</v>
      </c>
      <c r="D1817" t="s">
        <v>515</v>
      </c>
      <c r="F1817" t="s">
        <v>1225</v>
      </c>
      <c r="G1817" t="s">
        <v>994</v>
      </c>
      <c r="H1817" t="s">
        <v>11134</v>
      </c>
      <c r="I1817" t="s">
        <v>17298</v>
      </c>
      <c r="J1817" t="s">
        <v>18892</v>
      </c>
      <c r="K1817">
        <v>10460</v>
      </c>
      <c r="L1817" t="s">
        <v>18958</v>
      </c>
      <c r="M1817" t="s">
        <v>18958</v>
      </c>
      <c r="N1817" t="s">
        <v>20326</v>
      </c>
      <c r="O1817" t="s">
        <v>26523</v>
      </c>
      <c r="P1817" t="s">
        <v>26560</v>
      </c>
      <c r="R1817" t="s">
        <v>26578</v>
      </c>
      <c r="S1817" t="s">
        <v>18959</v>
      </c>
      <c r="U1817" t="s">
        <v>26604</v>
      </c>
      <c r="V1817" t="s">
        <v>26611</v>
      </c>
      <c r="W1817" t="s">
        <v>571</v>
      </c>
      <c r="X1817">
        <v>1042</v>
      </c>
      <c r="Y1817" t="s">
        <v>26650</v>
      </c>
      <c r="Z1817" t="s">
        <v>26668</v>
      </c>
      <c r="AB1817" t="s">
        <v>28316</v>
      </c>
      <c r="AC1817" t="s">
        <v>35047</v>
      </c>
      <c r="AD1817" t="s">
        <v>38364</v>
      </c>
      <c r="AE1817">
        <v>84</v>
      </c>
      <c r="AF1817" t="s">
        <v>45541</v>
      </c>
      <c r="AG1817" t="s">
        <v>19330</v>
      </c>
      <c r="AH1817">
        <v>3</v>
      </c>
      <c r="AI1817">
        <v>1</v>
      </c>
      <c r="AJ1817">
        <v>4</v>
      </c>
      <c r="AK1817">
        <v>52.66</v>
      </c>
      <c r="AN1817" t="s">
        <v>7439</v>
      </c>
      <c r="AO1817">
        <v>15492</v>
      </c>
      <c r="AU1817">
        <v>48.1</v>
      </c>
      <c r="AV1817" t="s">
        <v>815</v>
      </c>
      <c r="AW1817" t="s">
        <v>46832</v>
      </c>
    </row>
    <row r="1818" spans="1:49">
      <c r="A1818" s="1">
        <f>HYPERLINK("https://lsnyc.legalserver.org/matter/dynamic-profile/view/1875668","18-1875668")</f>
        <v>0</v>
      </c>
      <c r="B1818" t="s">
        <v>243</v>
      </c>
      <c r="C1818" t="s">
        <v>340</v>
      </c>
      <c r="D1818" t="s">
        <v>593</v>
      </c>
      <c r="F1818" t="s">
        <v>1630</v>
      </c>
      <c r="G1818" t="s">
        <v>945</v>
      </c>
      <c r="H1818" t="s">
        <v>11135</v>
      </c>
      <c r="I1818" t="s">
        <v>17306</v>
      </c>
      <c r="J1818" t="s">
        <v>18894</v>
      </c>
      <c r="K1818">
        <v>11225</v>
      </c>
      <c r="L1818" t="s">
        <v>18958</v>
      </c>
      <c r="M1818" t="s">
        <v>18958</v>
      </c>
      <c r="O1818" t="s">
        <v>26523</v>
      </c>
      <c r="P1818" t="s">
        <v>26560</v>
      </c>
      <c r="R1818" t="s">
        <v>26578</v>
      </c>
      <c r="S1818" t="s">
        <v>18959</v>
      </c>
      <c r="U1818" t="s">
        <v>26604</v>
      </c>
      <c r="W1818" t="s">
        <v>571</v>
      </c>
      <c r="X1818">
        <v>0</v>
      </c>
      <c r="Y1818" t="s">
        <v>26652</v>
      </c>
      <c r="Z1818" t="s">
        <v>26667</v>
      </c>
      <c r="AB1818" t="s">
        <v>28317</v>
      </c>
      <c r="AD1818" t="s">
        <v>38365</v>
      </c>
      <c r="AE1818">
        <v>0</v>
      </c>
      <c r="AH1818">
        <v>0</v>
      </c>
      <c r="AI1818">
        <v>1</v>
      </c>
      <c r="AJ1818">
        <v>0</v>
      </c>
      <c r="AK1818">
        <v>85.67</v>
      </c>
      <c r="AN1818" t="s">
        <v>7439</v>
      </c>
      <c r="AO1818">
        <v>10400</v>
      </c>
      <c r="AP1818" t="s">
        <v>45669</v>
      </c>
      <c r="AU1818">
        <v>77.47</v>
      </c>
      <c r="AV1818" t="s">
        <v>785</v>
      </c>
      <c r="AW1818" t="s">
        <v>198</v>
      </c>
    </row>
    <row r="1819" spans="1:49">
      <c r="A1819" s="1">
        <f>HYPERLINK("https://lsnyc.legalserver.org/matter/dynamic-profile/view/1877165","18-1877165")</f>
        <v>0</v>
      </c>
      <c r="B1819" t="s">
        <v>212</v>
      </c>
      <c r="C1819" t="s">
        <v>340</v>
      </c>
      <c r="D1819" t="s">
        <v>576</v>
      </c>
      <c r="F1819" t="s">
        <v>1092</v>
      </c>
      <c r="G1819" t="s">
        <v>6135</v>
      </c>
      <c r="H1819" t="s">
        <v>11136</v>
      </c>
      <c r="I1819" t="s">
        <v>17306</v>
      </c>
      <c r="J1819" t="s">
        <v>18900</v>
      </c>
      <c r="K1819">
        <v>11354</v>
      </c>
      <c r="L1819" t="s">
        <v>18958</v>
      </c>
      <c r="M1819" t="s">
        <v>18958</v>
      </c>
      <c r="N1819" t="s">
        <v>20327</v>
      </c>
      <c r="O1819" t="s">
        <v>26524</v>
      </c>
      <c r="P1819" t="s">
        <v>26560</v>
      </c>
      <c r="R1819" t="s">
        <v>26578</v>
      </c>
      <c r="S1819" t="s">
        <v>18958</v>
      </c>
      <c r="U1819" t="s">
        <v>26604</v>
      </c>
      <c r="V1819" t="s">
        <v>26610</v>
      </c>
      <c r="W1819" t="s">
        <v>571</v>
      </c>
      <c r="X1819">
        <v>1100</v>
      </c>
      <c r="Y1819" t="s">
        <v>26653</v>
      </c>
      <c r="Z1819" t="s">
        <v>26666</v>
      </c>
      <c r="AB1819" t="s">
        <v>28318</v>
      </c>
      <c r="AD1819" t="s">
        <v>38366</v>
      </c>
      <c r="AE1819">
        <v>15</v>
      </c>
      <c r="AF1819" t="s">
        <v>45547</v>
      </c>
      <c r="AG1819" t="s">
        <v>19330</v>
      </c>
      <c r="AH1819">
        <v>4</v>
      </c>
      <c r="AI1819">
        <v>1</v>
      </c>
      <c r="AJ1819">
        <v>0</v>
      </c>
      <c r="AK1819">
        <v>0</v>
      </c>
      <c r="AN1819" t="s">
        <v>7439</v>
      </c>
      <c r="AO1819">
        <v>0</v>
      </c>
      <c r="AQ1819" t="s">
        <v>46368</v>
      </c>
      <c r="AR1819" t="s">
        <v>26530</v>
      </c>
      <c r="AS1819" t="s">
        <v>46500</v>
      </c>
      <c r="AT1819" t="s">
        <v>46712</v>
      </c>
      <c r="AU1819">
        <v>22.5</v>
      </c>
      <c r="AV1819" t="s">
        <v>785</v>
      </c>
      <c r="AW1819" t="s">
        <v>46843</v>
      </c>
    </row>
    <row r="1820" spans="1:49">
      <c r="A1820" s="1">
        <f>HYPERLINK("https://lsnyc.legalserver.org/matter/dynamic-profile/view/1877835","18-1877835")</f>
        <v>0</v>
      </c>
      <c r="B1820" t="s">
        <v>98</v>
      </c>
      <c r="C1820" t="s">
        <v>341</v>
      </c>
      <c r="D1820" t="s">
        <v>571</v>
      </c>
      <c r="E1820" t="s">
        <v>684</v>
      </c>
      <c r="F1820" t="s">
        <v>1128</v>
      </c>
      <c r="G1820" t="s">
        <v>6136</v>
      </c>
      <c r="H1820" t="s">
        <v>11137</v>
      </c>
      <c r="I1820" t="s">
        <v>17273</v>
      </c>
      <c r="J1820" t="s">
        <v>18892</v>
      </c>
      <c r="K1820">
        <v>10458</v>
      </c>
      <c r="L1820" t="s">
        <v>18958</v>
      </c>
      <c r="M1820" t="s">
        <v>18958</v>
      </c>
      <c r="O1820" t="s">
        <v>18997</v>
      </c>
      <c r="P1820" t="s">
        <v>26564</v>
      </c>
      <c r="Q1820" t="s">
        <v>26570</v>
      </c>
      <c r="R1820" t="s">
        <v>26578</v>
      </c>
      <c r="S1820" t="s">
        <v>18959</v>
      </c>
      <c r="U1820" t="s">
        <v>26604</v>
      </c>
      <c r="W1820" t="s">
        <v>571</v>
      </c>
      <c r="X1820">
        <v>1400</v>
      </c>
      <c r="Y1820" t="s">
        <v>26650</v>
      </c>
      <c r="Z1820" t="s">
        <v>26663</v>
      </c>
      <c r="AA1820" t="s">
        <v>26683</v>
      </c>
      <c r="AB1820" t="s">
        <v>28319</v>
      </c>
      <c r="AD1820" t="s">
        <v>38367</v>
      </c>
      <c r="AE1820">
        <v>67</v>
      </c>
      <c r="AF1820" t="s">
        <v>45541</v>
      </c>
      <c r="AG1820" t="s">
        <v>19330</v>
      </c>
      <c r="AH1820">
        <v>10</v>
      </c>
      <c r="AI1820">
        <v>2</v>
      </c>
      <c r="AJ1820">
        <v>2</v>
      </c>
      <c r="AK1820">
        <v>328.16</v>
      </c>
      <c r="AN1820" t="s">
        <v>7439</v>
      </c>
      <c r="AO1820">
        <v>82368</v>
      </c>
      <c r="AP1820" t="s">
        <v>45733</v>
      </c>
      <c r="AU1820">
        <v>1.7</v>
      </c>
      <c r="AV1820" t="s">
        <v>684</v>
      </c>
      <c r="AW1820" t="s">
        <v>98</v>
      </c>
    </row>
    <row r="1821" spans="1:49">
      <c r="A1821" s="1">
        <f>HYPERLINK("https://lsnyc.legalserver.org/matter/dynamic-profile/view/1877740","18-1877740")</f>
        <v>0</v>
      </c>
      <c r="B1821" t="s">
        <v>100</v>
      </c>
      <c r="C1821" t="s">
        <v>341</v>
      </c>
      <c r="D1821" t="s">
        <v>571</v>
      </c>
      <c r="E1821" t="s">
        <v>540</v>
      </c>
      <c r="F1821" t="s">
        <v>990</v>
      </c>
      <c r="G1821" t="s">
        <v>6137</v>
      </c>
      <c r="H1821" t="s">
        <v>11138</v>
      </c>
      <c r="I1821" t="s">
        <v>17366</v>
      </c>
      <c r="J1821" t="s">
        <v>18892</v>
      </c>
      <c r="K1821">
        <v>10453</v>
      </c>
      <c r="L1821" t="s">
        <v>18958</v>
      </c>
      <c r="M1821" t="s">
        <v>18958</v>
      </c>
      <c r="N1821" t="s">
        <v>20328</v>
      </c>
      <c r="O1821" t="s">
        <v>26523</v>
      </c>
      <c r="P1821" t="s">
        <v>26564</v>
      </c>
      <c r="Q1821" t="s">
        <v>26570</v>
      </c>
      <c r="R1821" t="s">
        <v>26578</v>
      </c>
      <c r="S1821" t="s">
        <v>18959</v>
      </c>
      <c r="U1821" t="s">
        <v>26604</v>
      </c>
      <c r="W1821" t="s">
        <v>571</v>
      </c>
      <c r="X1821">
        <v>1109.22</v>
      </c>
      <c r="Y1821" t="s">
        <v>26650</v>
      </c>
      <c r="AA1821" t="s">
        <v>26683</v>
      </c>
      <c r="AB1821" t="s">
        <v>28320</v>
      </c>
      <c r="AD1821" t="s">
        <v>38368</v>
      </c>
      <c r="AE1821">
        <v>48</v>
      </c>
      <c r="AF1821" t="s">
        <v>20460</v>
      </c>
      <c r="AG1821" t="s">
        <v>45557</v>
      </c>
      <c r="AH1821">
        <v>19</v>
      </c>
      <c r="AI1821">
        <v>2</v>
      </c>
      <c r="AJ1821">
        <v>1</v>
      </c>
      <c r="AK1821">
        <v>26.4</v>
      </c>
      <c r="AN1821" t="s">
        <v>7439</v>
      </c>
      <c r="AO1821">
        <v>5485.2</v>
      </c>
      <c r="AU1821">
        <v>0.8</v>
      </c>
      <c r="AV1821" t="s">
        <v>645</v>
      </c>
      <c r="AW1821" t="s">
        <v>46829</v>
      </c>
    </row>
    <row r="1822" spans="1:49">
      <c r="A1822" s="1">
        <f>HYPERLINK("https://lsnyc.legalserver.org/matter/dynamic-profile/view/1877829","18-1877829")</f>
        <v>0</v>
      </c>
      <c r="B1822" t="s">
        <v>211</v>
      </c>
      <c r="C1822" t="s">
        <v>341</v>
      </c>
      <c r="D1822" t="s">
        <v>571</v>
      </c>
      <c r="E1822" t="s">
        <v>699</v>
      </c>
      <c r="F1822" t="s">
        <v>1972</v>
      </c>
      <c r="G1822" t="s">
        <v>6138</v>
      </c>
      <c r="H1822" t="s">
        <v>10362</v>
      </c>
      <c r="I1822" t="s">
        <v>17330</v>
      </c>
      <c r="J1822" t="s">
        <v>18894</v>
      </c>
      <c r="K1822">
        <v>11233</v>
      </c>
      <c r="L1822" t="s">
        <v>18958</v>
      </c>
      <c r="M1822" t="s">
        <v>18958</v>
      </c>
      <c r="N1822" t="s">
        <v>20329</v>
      </c>
      <c r="O1822" t="s">
        <v>26524</v>
      </c>
      <c r="P1822" t="s">
        <v>26560</v>
      </c>
      <c r="Q1822" t="s">
        <v>26568</v>
      </c>
      <c r="R1822" t="s">
        <v>26578</v>
      </c>
      <c r="S1822" t="s">
        <v>18958</v>
      </c>
      <c r="U1822" t="s">
        <v>26604</v>
      </c>
      <c r="V1822" t="s">
        <v>26610</v>
      </c>
      <c r="W1822" t="s">
        <v>571</v>
      </c>
      <c r="X1822">
        <v>1300</v>
      </c>
      <c r="Y1822" t="s">
        <v>26652</v>
      </c>
      <c r="Z1822" t="s">
        <v>26530</v>
      </c>
      <c r="AA1822" t="s">
        <v>26678</v>
      </c>
      <c r="AB1822" t="s">
        <v>28321</v>
      </c>
      <c r="AD1822" t="s">
        <v>38369</v>
      </c>
      <c r="AE1822">
        <v>6</v>
      </c>
      <c r="AF1822" t="s">
        <v>45541</v>
      </c>
      <c r="AG1822" t="s">
        <v>45558</v>
      </c>
      <c r="AH1822">
        <v>1</v>
      </c>
      <c r="AI1822">
        <v>1</v>
      </c>
      <c r="AJ1822">
        <v>2</v>
      </c>
      <c r="AK1822">
        <v>90.84</v>
      </c>
      <c r="AN1822" t="s">
        <v>26530</v>
      </c>
      <c r="AO1822">
        <v>18876</v>
      </c>
      <c r="AU1822">
        <v>8.699999999999999</v>
      </c>
      <c r="AV1822" t="s">
        <v>699</v>
      </c>
      <c r="AW1822" t="s">
        <v>279</v>
      </c>
    </row>
    <row r="1823" spans="1:49">
      <c r="A1823" s="1">
        <f>HYPERLINK("https://lsnyc.legalserver.org/matter/dynamic-profile/view/1877784","18-1877784")</f>
        <v>0</v>
      </c>
      <c r="B1823" t="s">
        <v>85</v>
      </c>
      <c r="C1823" t="s">
        <v>341</v>
      </c>
      <c r="D1823" t="s">
        <v>571</v>
      </c>
      <c r="E1823" t="s">
        <v>793</v>
      </c>
      <c r="F1823" t="s">
        <v>1119</v>
      </c>
      <c r="G1823" t="s">
        <v>5706</v>
      </c>
      <c r="H1823" t="s">
        <v>11139</v>
      </c>
      <c r="I1823" t="s">
        <v>17274</v>
      </c>
      <c r="J1823" t="s">
        <v>18901</v>
      </c>
      <c r="K1823">
        <v>11432</v>
      </c>
      <c r="L1823" t="s">
        <v>18958</v>
      </c>
      <c r="M1823" t="s">
        <v>18958</v>
      </c>
      <c r="N1823" t="s">
        <v>19045</v>
      </c>
      <c r="O1823" t="s">
        <v>26534</v>
      </c>
      <c r="P1823" t="s">
        <v>26562</v>
      </c>
      <c r="Q1823" t="s">
        <v>26571</v>
      </c>
      <c r="R1823" t="s">
        <v>26578</v>
      </c>
      <c r="S1823" t="s">
        <v>18958</v>
      </c>
      <c r="U1823" t="s">
        <v>26604</v>
      </c>
      <c r="V1823" t="s">
        <v>26610</v>
      </c>
      <c r="W1823" t="s">
        <v>571</v>
      </c>
      <c r="X1823">
        <v>877.9299999999999</v>
      </c>
      <c r="Y1823" t="s">
        <v>26653</v>
      </c>
      <c r="Z1823" t="s">
        <v>26659</v>
      </c>
      <c r="AA1823" t="s">
        <v>26682</v>
      </c>
      <c r="AB1823" t="s">
        <v>28322</v>
      </c>
      <c r="AD1823" t="s">
        <v>38370</v>
      </c>
      <c r="AE1823">
        <v>60</v>
      </c>
      <c r="AF1823" t="s">
        <v>45541</v>
      </c>
      <c r="AG1823" t="s">
        <v>19330</v>
      </c>
      <c r="AH1823">
        <v>38</v>
      </c>
      <c r="AI1823">
        <v>4</v>
      </c>
      <c r="AJ1823">
        <v>0</v>
      </c>
      <c r="AK1823">
        <v>83.43000000000001</v>
      </c>
      <c r="AN1823" t="s">
        <v>45581</v>
      </c>
      <c r="AO1823">
        <v>20940</v>
      </c>
      <c r="AS1823" t="s">
        <v>46500</v>
      </c>
      <c r="AT1823" t="s">
        <v>46662</v>
      </c>
      <c r="AU1823">
        <v>0.4</v>
      </c>
      <c r="AV1823" t="s">
        <v>677</v>
      </c>
      <c r="AW1823" t="s">
        <v>208</v>
      </c>
    </row>
    <row r="1824" spans="1:49">
      <c r="A1824" s="1">
        <f>HYPERLINK("https://lsnyc.legalserver.org/matter/dynamic-profile/view/1877757","18-1877757")</f>
        <v>0</v>
      </c>
      <c r="B1824" t="s">
        <v>68</v>
      </c>
      <c r="C1824" t="s">
        <v>341</v>
      </c>
      <c r="D1824" t="s">
        <v>571</v>
      </c>
      <c r="E1824" t="s">
        <v>672</v>
      </c>
      <c r="F1824" t="s">
        <v>1973</v>
      </c>
      <c r="G1824" t="s">
        <v>5078</v>
      </c>
      <c r="H1824" t="s">
        <v>11140</v>
      </c>
      <c r="I1824">
        <v>14</v>
      </c>
      <c r="J1824" t="s">
        <v>18892</v>
      </c>
      <c r="K1824">
        <v>10457</v>
      </c>
      <c r="L1824" t="s">
        <v>18958</v>
      </c>
      <c r="M1824" t="s">
        <v>18958</v>
      </c>
      <c r="N1824" t="s">
        <v>20330</v>
      </c>
      <c r="O1824" t="s">
        <v>26523</v>
      </c>
      <c r="P1824" t="s">
        <v>26560</v>
      </c>
      <c r="Q1824" t="s">
        <v>26568</v>
      </c>
      <c r="R1824" t="s">
        <v>26579</v>
      </c>
      <c r="S1824" t="s">
        <v>18959</v>
      </c>
      <c r="U1824" t="s">
        <v>26604</v>
      </c>
      <c r="V1824" t="s">
        <v>26610</v>
      </c>
      <c r="W1824" t="s">
        <v>571</v>
      </c>
      <c r="X1824">
        <v>1515</v>
      </c>
      <c r="Y1824" t="s">
        <v>26650</v>
      </c>
      <c r="Z1824" t="s">
        <v>26664</v>
      </c>
      <c r="AA1824" t="s">
        <v>26678</v>
      </c>
      <c r="AB1824" t="s">
        <v>26794</v>
      </c>
      <c r="AC1824" t="s">
        <v>35048</v>
      </c>
      <c r="AD1824" t="s">
        <v>38371</v>
      </c>
      <c r="AE1824">
        <v>27</v>
      </c>
      <c r="AF1824" t="s">
        <v>45541</v>
      </c>
      <c r="AG1824" t="s">
        <v>45562</v>
      </c>
      <c r="AH1824">
        <v>2</v>
      </c>
      <c r="AI1824">
        <v>1</v>
      </c>
      <c r="AJ1824">
        <v>2</v>
      </c>
      <c r="AK1824">
        <v>86.62</v>
      </c>
      <c r="AN1824" t="s">
        <v>45581</v>
      </c>
      <c r="AO1824">
        <v>18000</v>
      </c>
      <c r="AR1824" t="s">
        <v>46415</v>
      </c>
      <c r="AS1824" t="s">
        <v>46499</v>
      </c>
      <c r="AT1824" t="s">
        <v>46642</v>
      </c>
      <c r="AU1824">
        <v>6</v>
      </c>
      <c r="AV1824" t="s">
        <v>672</v>
      </c>
      <c r="AW1824" t="s">
        <v>334</v>
      </c>
    </row>
    <row r="1825" spans="1:50">
      <c r="A1825" s="1">
        <f>HYPERLINK("https://lsnyc.legalserver.org/matter/dynamic-profile/view/1877791","18-1877791")</f>
        <v>0</v>
      </c>
      <c r="B1825" t="s">
        <v>149</v>
      </c>
      <c r="C1825" t="s">
        <v>340</v>
      </c>
      <c r="D1825" t="s">
        <v>571</v>
      </c>
      <c r="F1825" t="s">
        <v>1345</v>
      </c>
      <c r="G1825" t="s">
        <v>5112</v>
      </c>
      <c r="H1825" t="s">
        <v>11141</v>
      </c>
      <c r="I1825" t="s">
        <v>17728</v>
      </c>
      <c r="J1825" t="s">
        <v>18892</v>
      </c>
      <c r="K1825">
        <v>10460</v>
      </c>
      <c r="L1825" t="s">
        <v>18958</v>
      </c>
      <c r="M1825" t="s">
        <v>18958</v>
      </c>
      <c r="N1825" t="s">
        <v>20331</v>
      </c>
      <c r="O1825" t="s">
        <v>26524</v>
      </c>
      <c r="P1825" t="s">
        <v>26560</v>
      </c>
      <c r="R1825" t="s">
        <v>26577</v>
      </c>
      <c r="S1825" t="s">
        <v>18959</v>
      </c>
      <c r="U1825" t="s">
        <v>26604</v>
      </c>
      <c r="V1825" t="s">
        <v>26609</v>
      </c>
      <c r="W1825" t="s">
        <v>571</v>
      </c>
      <c r="X1825">
        <v>1303</v>
      </c>
      <c r="Y1825" t="s">
        <v>26650</v>
      </c>
      <c r="Z1825" t="s">
        <v>26664</v>
      </c>
      <c r="AB1825" t="s">
        <v>28323</v>
      </c>
      <c r="AD1825" t="s">
        <v>38372</v>
      </c>
      <c r="AE1825">
        <v>35</v>
      </c>
      <c r="AF1825" t="s">
        <v>45541</v>
      </c>
      <c r="AG1825" t="s">
        <v>19330</v>
      </c>
      <c r="AH1825">
        <v>25</v>
      </c>
      <c r="AI1825">
        <v>3</v>
      </c>
      <c r="AJ1825">
        <v>0</v>
      </c>
      <c r="AK1825">
        <v>114.57</v>
      </c>
      <c r="AN1825" t="s">
        <v>45581</v>
      </c>
      <c r="AO1825">
        <v>23808</v>
      </c>
      <c r="AU1825">
        <v>26.65</v>
      </c>
      <c r="AV1825" t="s">
        <v>836</v>
      </c>
      <c r="AW1825" t="s">
        <v>46842</v>
      </c>
    </row>
    <row r="1826" spans="1:50">
      <c r="A1826" s="1">
        <f>HYPERLINK("https://lsnyc.legalserver.org/matter/dynamic-profile/view/1877045","18-1877045")</f>
        <v>0</v>
      </c>
      <c r="B1826" t="s">
        <v>109</v>
      </c>
      <c r="C1826" t="s">
        <v>340</v>
      </c>
      <c r="D1826" t="s">
        <v>571</v>
      </c>
      <c r="F1826" t="s">
        <v>1873</v>
      </c>
      <c r="G1826" t="s">
        <v>6139</v>
      </c>
      <c r="H1826" t="s">
        <v>11142</v>
      </c>
      <c r="I1826" t="s">
        <v>17410</v>
      </c>
      <c r="J1826" t="s">
        <v>18902</v>
      </c>
      <c r="K1826">
        <v>10304</v>
      </c>
      <c r="L1826" t="s">
        <v>18958</v>
      </c>
      <c r="M1826" t="s">
        <v>18958</v>
      </c>
      <c r="N1826" t="s">
        <v>20332</v>
      </c>
      <c r="O1826" t="s">
        <v>26523</v>
      </c>
      <c r="P1826" t="s">
        <v>26560</v>
      </c>
      <c r="R1826" t="s">
        <v>26578</v>
      </c>
      <c r="S1826" t="s">
        <v>18959</v>
      </c>
      <c r="U1826" t="s">
        <v>26604</v>
      </c>
      <c r="V1826" t="s">
        <v>26610</v>
      </c>
      <c r="W1826" t="s">
        <v>571</v>
      </c>
      <c r="X1826">
        <v>1100</v>
      </c>
      <c r="Y1826" t="s">
        <v>26654</v>
      </c>
      <c r="Z1826" t="s">
        <v>26661</v>
      </c>
      <c r="AB1826" t="s">
        <v>28324</v>
      </c>
      <c r="AC1826" t="s">
        <v>35049</v>
      </c>
      <c r="AD1826" t="s">
        <v>38373</v>
      </c>
      <c r="AE1826">
        <v>3</v>
      </c>
      <c r="AF1826" t="s">
        <v>45547</v>
      </c>
      <c r="AG1826" t="s">
        <v>19330</v>
      </c>
      <c r="AH1826">
        <v>20</v>
      </c>
      <c r="AI1826">
        <v>1</v>
      </c>
      <c r="AJ1826">
        <v>0</v>
      </c>
      <c r="AK1826">
        <v>214.17</v>
      </c>
      <c r="AL1826" t="s">
        <v>614</v>
      </c>
      <c r="AM1826" t="s">
        <v>45575</v>
      </c>
      <c r="AN1826" t="s">
        <v>7439</v>
      </c>
      <c r="AO1826">
        <v>26000</v>
      </c>
      <c r="AQ1826" t="s">
        <v>46365</v>
      </c>
      <c r="AR1826" t="s">
        <v>46379</v>
      </c>
      <c r="AS1826" t="s">
        <v>46499</v>
      </c>
      <c r="AT1826" t="s">
        <v>46662</v>
      </c>
      <c r="AU1826">
        <v>8.25</v>
      </c>
      <c r="AV1826" t="s">
        <v>682</v>
      </c>
      <c r="AW1826" t="s">
        <v>190</v>
      </c>
    </row>
    <row r="1827" spans="1:50">
      <c r="A1827" s="1">
        <f>HYPERLINK("https://lsnyc.legalserver.org/matter/dynamic-profile/view/1877745","18-1877745")</f>
        <v>0</v>
      </c>
      <c r="B1827" t="s">
        <v>218</v>
      </c>
      <c r="C1827" t="s">
        <v>340</v>
      </c>
      <c r="D1827" t="s">
        <v>571</v>
      </c>
      <c r="F1827" t="s">
        <v>886</v>
      </c>
      <c r="G1827" t="s">
        <v>6140</v>
      </c>
      <c r="H1827" t="s">
        <v>10615</v>
      </c>
      <c r="I1827" t="s">
        <v>17347</v>
      </c>
      <c r="J1827" t="s">
        <v>18893</v>
      </c>
      <c r="K1827">
        <v>10032</v>
      </c>
      <c r="L1827" t="s">
        <v>18958</v>
      </c>
      <c r="M1827" t="s">
        <v>18958</v>
      </c>
      <c r="O1827" t="s">
        <v>26523</v>
      </c>
      <c r="P1827" t="s">
        <v>26560</v>
      </c>
      <c r="R1827" t="s">
        <v>26578</v>
      </c>
      <c r="S1827" t="s">
        <v>18959</v>
      </c>
      <c r="U1827" t="s">
        <v>26604</v>
      </c>
      <c r="W1827" t="s">
        <v>571</v>
      </c>
      <c r="X1827">
        <v>1258.6</v>
      </c>
      <c r="Y1827" t="s">
        <v>26651</v>
      </c>
      <c r="Z1827" t="s">
        <v>26664</v>
      </c>
      <c r="AB1827" t="s">
        <v>27755</v>
      </c>
      <c r="AD1827" t="s">
        <v>37805</v>
      </c>
      <c r="AE1827">
        <v>0</v>
      </c>
      <c r="AF1827" t="s">
        <v>45541</v>
      </c>
      <c r="AG1827" t="s">
        <v>19330</v>
      </c>
      <c r="AH1827">
        <v>39</v>
      </c>
      <c r="AI1827">
        <v>1</v>
      </c>
      <c r="AJ1827">
        <v>0</v>
      </c>
      <c r="AK1827">
        <v>21.25</v>
      </c>
      <c r="AN1827" t="s">
        <v>7439</v>
      </c>
      <c r="AO1827">
        <v>2580</v>
      </c>
      <c r="AU1827">
        <v>53.3</v>
      </c>
      <c r="AV1827" t="s">
        <v>806</v>
      </c>
      <c r="AW1827" t="s">
        <v>46840</v>
      </c>
    </row>
    <row r="1828" spans="1:50">
      <c r="A1828" s="1">
        <f>HYPERLINK("https://lsnyc.legalserver.org/matter/dynamic-profile/view/1878058","18-1878058")</f>
        <v>0</v>
      </c>
      <c r="B1828" t="s">
        <v>134</v>
      </c>
      <c r="C1828" t="s">
        <v>340</v>
      </c>
      <c r="D1828" t="s">
        <v>534</v>
      </c>
      <c r="F1828" t="s">
        <v>939</v>
      </c>
      <c r="G1828" t="s">
        <v>6106</v>
      </c>
      <c r="H1828" t="s">
        <v>10439</v>
      </c>
      <c r="I1828" t="s">
        <v>17339</v>
      </c>
      <c r="J1828" t="s">
        <v>18894</v>
      </c>
      <c r="K1828">
        <v>11216</v>
      </c>
      <c r="L1828" t="s">
        <v>18958</v>
      </c>
      <c r="M1828" t="s">
        <v>18958</v>
      </c>
      <c r="O1828" t="s">
        <v>26528</v>
      </c>
      <c r="P1828" t="s">
        <v>26560</v>
      </c>
      <c r="R1828" t="s">
        <v>26578</v>
      </c>
      <c r="U1828" t="s">
        <v>26604</v>
      </c>
      <c r="W1828" t="s">
        <v>571</v>
      </c>
      <c r="X1828">
        <v>1088</v>
      </c>
      <c r="Y1828" t="s">
        <v>26652</v>
      </c>
      <c r="Z1828" t="s">
        <v>26667</v>
      </c>
      <c r="AB1828" t="s">
        <v>28325</v>
      </c>
      <c r="AE1828">
        <v>82</v>
      </c>
      <c r="AF1828" t="s">
        <v>45541</v>
      </c>
      <c r="AG1828" t="s">
        <v>19330</v>
      </c>
      <c r="AH1828">
        <v>0</v>
      </c>
      <c r="AI1828">
        <v>1</v>
      </c>
      <c r="AJ1828">
        <v>0</v>
      </c>
      <c r="AK1828">
        <v>428.34</v>
      </c>
      <c r="AL1828" t="s">
        <v>641</v>
      </c>
      <c r="AM1828" t="s">
        <v>45575</v>
      </c>
      <c r="AN1828" t="s">
        <v>7439</v>
      </c>
      <c r="AO1828">
        <v>52000</v>
      </c>
      <c r="AP1828" t="s">
        <v>45635</v>
      </c>
      <c r="AU1828">
        <v>0</v>
      </c>
      <c r="AW1828" t="s">
        <v>279</v>
      </c>
    </row>
    <row r="1829" spans="1:50">
      <c r="A1829" s="1">
        <f>HYPERLINK("https://lsnyc.legalserver.org/matter/dynamic-profile/view/1878057","18-1878057")</f>
        <v>0</v>
      </c>
      <c r="B1829" t="s">
        <v>134</v>
      </c>
      <c r="C1829" t="s">
        <v>340</v>
      </c>
      <c r="D1829" t="s">
        <v>534</v>
      </c>
      <c r="F1829" t="s">
        <v>939</v>
      </c>
      <c r="G1829" t="s">
        <v>6106</v>
      </c>
      <c r="H1829" t="s">
        <v>10439</v>
      </c>
      <c r="I1829" t="s">
        <v>17339</v>
      </c>
      <c r="J1829" t="s">
        <v>18894</v>
      </c>
      <c r="K1829">
        <v>11216</v>
      </c>
      <c r="L1829" t="s">
        <v>18958</v>
      </c>
      <c r="M1829" t="s">
        <v>18958</v>
      </c>
      <c r="N1829" t="s">
        <v>18997</v>
      </c>
      <c r="O1829" t="s">
        <v>26531</v>
      </c>
      <c r="P1829" t="s">
        <v>26565</v>
      </c>
      <c r="R1829" t="s">
        <v>26578</v>
      </c>
      <c r="U1829" t="s">
        <v>26604</v>
      </c>
      <c r="W1829" t="s">
        <v>571</v>
      </c>
      <c r="X1829">
        <v>1088</v>
      </c>
      <c r="Y1829" t="s">
        <v>26652</v>
      </c>
      <c r="Z1829" t="s">
        <v>26667</v>
      </c>
      <c r="AB1829" t="s">
        <v>28325</v>
      </c>
      <c r="AE1829">
        <v>82</v>
      </c>
      <c r="AF1829" t="s">
        <v>45541</v>
      </c>
      <c r="AG1829" t="s">
        <v>19330</v>
      </c>
      <c r="AH1829">
        <v>0</v>
      </c>
      <c r="AI1829">
        <v>1</v>
      </c>
      <c r="AJ1829">
        <v>0</v>
      </c>
      <c r="AK1829">
        <v>428.34</v>
      </c>
      <c r="AL1829" t="s">
        <v>641</v>
      </c>
      <c r="AM1829" t="s">
        <v>45575</v>
      </c>
      <c r="AN1829" t="s">
        <v>7439</v>
      </c>
      <c r="AO1829">
        <v>52000</v>
      </c>
      <c r="AP1829" t="s">
        <v>45635</v>
      </c>
      <c r="AU1829">
        <v>0</v>
      </c>
      <c r="AW1829" t="s">
        <v>279</v>
      </c>
    </row>
    <row r="1830" spans="1:50">
      <c r="A1830" s="1">
        <f>HYPERLINK("https://lsnyc.legalserver.org/matter/dynamic-profile/view/1880247","18-1880247")</f>
        <v>0</v>
      </c>
      <c r="B1830" t="s">
        <v>134</v>
      </c>
      <c r="C1830" t="s">
        <v>341</v>
      </c>
      <c r="D1830" t="s">
        <v>594</v>
      </c>
      <c r="E1830" t="s">
        <v>494</v>
      </c>
      <c r="F1830" t="s">
        <v>1974</v>
      </c>
      <c r="G1830" t="s">
        <v>5987</v>
      </c>
      <c r="H1830" t="s">
        <v>10781</v>
      </c>
      <c r="I1830" t="s">
        <v>17272</v>
      </c>
      <c r="J1830" t="s">
        <v>18894</v>
      </c>
      <c r="K1830">
        <v>11212</v>
      </c>
      <c r="L1830" t="s">
        <v>18958</v>
      </c>
      <c r="M1830" t="s">
        <v>18958</v>
      </c>
      <c r="N1830" t="s">
        <v>18997</v>
      </c>
      <c r="O1830" t="s">
        <v>26531</v>
      </c>
      <c r="P1830" t="s">
        <v>26565</v>
      </c>
      <c r="Q1830" t="s">
        <v>26569</v>
      </c>
      <c r="R1830" t="s">
        <v>26578</v>
      </c>
      <c r="S1830" t="s">
        <v>18958</v>
      </c>
      <c r="U1830" t="s">
        <v>26604</v>
      </c>
      <c r="V1830" t="s">
        <v>26610</v>
      </c>
      <c r="W1830" t="s">
        <v>571</v>
      </c>
      <c r="X1830">
        <v>2150</v>
      </c>
      <c r="Y1830" t="s">
        <v>26652</v>
      </c>
      <c r="Z1830" t="s">
        <v>26663</v>
      </c>
      <c r="AA1830" t="s">
        <v>26677</v>
      </c>
      <c r="AB1830" t="s">
        <v>28326</v>
      </c>
      <c r="AC1830" t="s">
        <v>35050</v>
      </c>
      <c r="AD1830" t="s">
        <v>38374</v>
      </c>
      <c r="AE1830">
        <v>70</v>
      </c>
      <c r="AF1830" t="s">
        <v>45543</v>
      </c>
      <c r="AG1830" t="s">
        <v>45556</v>
      </c>
      <c r="AH1830">
        <v>10</v>
      </c>
      <c r="AI1830">
        <v>3</v>
      </c>
      <c r="AJ1830">
        <v>2</v>
      </c>
      <c r="AK1830">
        <v>86.31999999999999</v>
      </c>
      <c r="AN1830" t="s">
        <v>7439</v>
      </c>
      <c r="AO1830">
        <v>25396.8</v>
      </c>
      <c r="AU1830">
        <v>0.5</v>
      </c>
      <c r="AV1830" t="s">
        <v>494</v>
      </c>
      <c r="AW1830" t="s">
        <v>279</v>
      </c>
    </row>
    <row r="1831" spans="1:50">
      <c r="A1831" s="1">
        <f>HYPERLINK("https://lsnyc.legalserver.org/matter/dynamic-profile/view/1856180","18-1856180")</f>
        <v>0</v>
      </c>
      <c r="B1831" t="s">
        <v>169</v>
      </c>
      <c r="C1831" t="s">
        <v>341</v>
      </c>
      <c r="D1831" t="s">
        <v>595</v>
      </c>
      <c r="E1831" t="s">
        <v>632</v>
      </c>
      <c r="F1831" t="s">
        <v>1822</v>
      </c>
      <c r="G1831" t="s">
        <v>5625</v>
      </c>
      <c r="H1831" t="s">
        <v>11143</v>
      </c>
      <c r="I1831" t="s">
        <v>17356</v>
      </c>
      <c r="J1831" t="s">
        <v>18892</v>
      </c>
      <c r="K1831">
        <v>10457</v>
      </c>
      <c r="L1831" t="s">
        <v>18958</v>
      </c>
      <c r="M1831" t="s">
        <v>18958</v>
      </c>
      <c r="N1831" t="s">
        <v>20333</v>
      </c>
      <c r="O1831" t="s">
        <v>26523</v>
      </c>
      <c r="P1831" t="s">
        <v>26560</v>
      </c>
      <c r="Q1831" t="s">
        <v>26568</v>
      </c>
      <c r="R1831" t="s">
        <v>26579</v>
      </c>
      <c r="U1831" t="s">
        <v>26604</v>
      </c>
      <c r="V1831" t="s">
        <v>26610</v>
      </c>
      <c r="W1831" t="s">
        <v>588</v>
      </c>
      <c r="X1831">
        <v>977.72</v>
      </c>
      <c r="Y1831" t="s">
        <v>26650</v>
      </c>
      <c r="Z1831" t="s">
        <v>26662</v>
      </c>
      <c r="AA1831" t="s">
        <v>26678</v>
      </c>
      <c r="AB1831" t="s">
        <v>28327</v>
      </c>
      <c r="AD1831" t="s">
        <v>38375</v>
      </c>
      <c r="AE1831">
        <v>50</v>
      </c>
      <c r="AF1831" t="s">
        <v>45541</v>
      </c>
      <c r="AG1831" t="s">
        <v>19330</v>
      </c>
      <c r="AH1831">
        <v>4</v>
      </c>
      <c r="AI1831">
        <v>1</v>
      </c>
      <c r="AJ1831">
        <v>2</v>
      </c>
      <c r="AK1831">
        <v>160.43</v>
      </c>
      <c r="AN1831" t="s">
        <v>7439</v>
      </c>
      <c r="AO1831">
        <v>32760</v>
      </c>
      <c r="AP1831" t="s">
        <v>45621</v>
      </c>
      <c r="AQ1831" t="s">
        <v>46362</v>
      </c>
      <c r="AR1831" t="s">
        <v>46449</v>
      </c>
      <c r="AS1831" t="s">
        <v>46499</v>
      </c>
      <c r="AT1831" t="s">
        <v>46572</v>
      </c>
      <c r="AU1831">
        <v>37.2</v>
      </c>
      <c r="AV1831" t="s">
        <v>588</v>
      </c>
      <c r="AW1831" t="s">
        <v>46836</v>
      </c>
    </row>
    <row r="1832" spans="1:50">
      <c r="A1832" s="1">
        <f>HYPERLINK("https://lsnyc.legalserver.org/matter/dynamic-profile/view/1872843","18-1872843")</f>
        <v>0</v>
      </c>
      <c r="B1832" t="s">
        <v>81</v>
      </c>
      <c r="C1832" t="s">
        <v>341</v>
      </c>
      <c r="D1832" t="s">
        <v>449</v>
      </c>
      <c r="E1832" t="s">
        <v>759</v>
      </c>
      <c r="F1832" t="s">
        <v>900</v>
      </c>
      <c r="G1832" t="s">
        <v>5392</v>
      </c>
      <c r="H1832" t="s">
        <v>11144</v>
      </c>
      <c r="I1832" t="s">
        <v>17729</v>
      </c>
      <c r="J1832" t="s">
        <v>18892</v>
      </c>
      <c r="K1832">
        <v>10460</v>
      </c>
      <c r="L1832" t="s">
        <v>18958</v>
      </c>
      <c r="M1832" t="s">
        <v>18958</v>
      </c>
      <c r="N1832" t="s">
        <v>20334</v>
      </c>
      <c r="O1832" t="s">
        <v>26523</v>
      </c>
      <c r="P1832" t="s">
        <v>26560</v>
      </c>
      <c r="Q1832" t="s">
        <v>26568</v>
      </c>
      <c r="R1832" t="s">
        <v>26577</v>
      </c>
      <c r="U1832" t="s">
        <v>26604</v>
      </c>
      <c r="V1832" t="s">
        <v>26612</v>
      </c>
      <c r="W1832" t="s">
        <v>588</v>
      </c>
      <c r="X1832">
        <v>1306</v>
      </c>
      <c r="Y1832" t="s">
        <v>26650</v>
      </c>
      <c r="AA1832" t="s">
        <v>26678</v>
      </c>
      <c r="AB1832" t="s">
        <v>28328</v>
      </c>
      <c r="AC1832" t="s">
        <v>35051</v>
      </c>
      <c r="AD1832" t="s">
        <v>38376</v>
      </c>
      <c r="AE1832">
        <v>0</v>
      </c>
      <c r="AF1832" t="s">
        <v>45541</v>
      </c>
      <c r="AG1832" t="s">
        <v>19330</v>
      </c>
      <c r="AH1832">
        <v>37</v>
      </c>
      <c r="AI1832">
        <v>1</v>
      </c>
      <c r="AJ1832">
        <v>0</v>
      </c>
      <c r="AK1832">
        <v>58.12</v>
      </c>
      <c r="AN1832" t="s">
        <v>7439</v>
      </c>
      <c r="AO1832">
        <v>7056</v>
      </c>
      <c r="AS1832" t="s">
        <v>46499</v>
      </c>
      <c r="AT1832" t="s">
        <v>46700</v>
      </c>
      <c r="AU1832">
        <v>13.5</v>
      </c>
      <c r="AV1832" t="s">
        <v>416</v>
      </c>
      <c r="AW1832" t="s">
        <v>46859</v>
      </c>
      <c r="AX1832" t="s">
        <v>46898</v>
      </c>
    </row>
    <row r="1833" spans="1:50">
      <c r="A1833" s="1">
        <f>HYPERLINK("https://lsnyc.legalserver.org/matter/dynamic-profile/view/1877073","18-1877073")</f>
        <v>0</v>
      </c>
      <c r="B1833" t="s">
        <v>59</v>
      </c>
      <c r="C1833" t="s">
        <v>340</v>
      </c>
      <c r="D1833" t="s">
        <v>579</v>
      </c>
      <c r="F1833" t="s">
        <v>1975</v>
      </c>
      <c r="G1833" t="s">
        <v>6141</v>
      </c>
      <c r="H1833" t="s">
        <v>11145</v>
      </c>
      <c r="I1833">
        <v>109</v>
      </c>
      <c r="J1833" t="s">
        <v>18893</v>
      </c>
      <c r="K1833">
        <v>10023</v>
      </c>
      <c r="L1833" t="s">
        <v>18958</v>
      </c>
      <c r="M1833" t="s">
        <v>18958</v>
      </c>
      <c r="N1833" t="s">
        <v>20335</v>
      </c>
      <c r="O1833" t="s">
        <v>26523</v>
      </c>
      <c r="P1833" t="s">
        <v>26560</v>
      </c>
      <c r="R1833" t="s">
        <v>26582</v>
      </c>
      <c r="S1833" t="s">
        <v>18959</v>
      </c>
      <c r="U1833" t="s">
        <v>26604</v>
      </c>
      <c r="W1833" t="s">
        <v>588</v>
      </c>
      <c r="X1833">
        <v>688</v>
      </c>
      <c r="Y1833" t="s">
        <v>26651</v>
      </c>
      <c r="Z1833" t="s">
        <v>26659</v>
      </c>
      <c r="AB1833" t="s">
        <v>28329</v>
      </c>
      <c r="AD1833" t="s">
        <v>38377</v>
      </c>
      <c r="AE1833">
        <v>0</v>
      </c>
      <c r="AF1833" t="s">
        <v>20460</v>
      </c>
      <c r="AG1833" t="s">
        <v>45556</v>
      </c>
      <c r="AH1833">
        <v>15</v>
      </c>
      <c r="AI1833">
        <v>1</v>
      </c>
      <c r="AJ1833">
        <v>0</v>
      </c>
      <c r="AK1833">
        <v>79.08</v>
      </c>
      <c r="AN1833" t="s">
        <v>7439</v>
      </c>
      <c r="AO1833">
        <v>9600</v>
      </c>
      <c r="AU1833">
        <v>29.05</v>
      </c>
      <c r="AV1833" t="s">
        <v>666</v>
      </c>
      <c r="AW1833" t="s">
        <v>314</v>
      </c>
    </row>
    <row r="1834" spans="1:50">
      <c r="A1834" s="1">
        <f>HYPERLINK("https://lsnyc.legalserver.org/matter/dynamic-profile/view/1877423","18-1877423")</f>
        <v>0</v>
      </c>
      <c r="B1834" t="s">
        <v>238</v>
      </c>
      <c r="C1834" t="s">
        <v>341</v>
      </c>
      <c r="D1834" t="s">
        <v>578</v>
      </c>
      <c r="E1834" t="s">
        <v>588</v>
      </c>
      <c r="F1834" t="s">
        <v>948</v>
      </c>
      <c r="G1834" t="s">
        <v>5103</v>
      </c>
      <c r="H1834" t="s">
        <v>11146</v>
      </c>
      <c r="I1834" t="s">
        <v>17374</v>
      </c>
      <c r="J1834" t="s">
        <v>18894</v>
      </c>
      <c r="K1834">
        <v>11229</v>
      </c>
      <c r="L1834" t="s">
        <v>18958</v>
      </c>
      <c r="M1834" t="s">
        <v>18958</v>
      </c>
      <c r="N1834" t="s">
        <v>20336</v>
      </c>
      <c r="O1834" t="s">
        <v>26524</v>
      </c>
      <c r="P1834" t="s">
        <v>26563</v>
      </c>
      <c r="Q1834" t="s">
        <v>26570</v>
      </c>
      <c r="R1834" t="s">
        <v>26586</v>
      </c>
      <c r="U1834" t="s">
        <v>26604</v>
      </c>
      <c r="W1834" t="s">
        <v>588</v>
      </c>
      <c r="X1834">
        <v>850</v>
      </c>
      <c r="Y1834" t="s">
        <v>26652</v>
      </c>
      <c r="Z1834" t="s">
        <v>26664</v>
      </c>
      <c r="AA1834" t="s">
        <v>26683</v>
      </c>
      <c r="AB1834" t="s">
        <v>28330</v>
      </c>
      <c r="AD1834" t="s">
        <v>38378</v>
      </c>
      <c r="AE1834">
        <v>2</v>
      </c>
      <c r="AG1834" t="s">
        <v>19330</v>
      </c>
      <c r="AH1834">
        <v>-1</v>
      </c>
      <c r="AI1834">
        <v>1</v>
      </c>
      <c r="AJ1834">
        <v>0</v>
      </c>
      <c r="AK1834">
        <v>74.95999999999999</v>
      </c>
      <c r="AN1834" t="s">
        <v>7439</v>
      </c>
      <c r="AO1834">
        <v>9100</v>
      </c>
      <c r="AU1834">
        <v>1.3</v>
      </c>
      <c r="AV1834" t="s">
        <v>578</v>
      </c>
      <c r="AW1834" t="s">
        <v>46862</v>
      </c>
    </row>
    <row r="1835" spans="1:50">
      <c r="A1835" s="1">
        <f>HYPERLINK("https://lsnyc.legalserver.org/matter/dynamic-profile/view/1877819","18-1877819")</f>
        <v>0</v>
      </c>
      <c r="B1835" t="s">
        <v>125</v>
      </c>
      <c r="C1835" t="s">
        <v>341</v>
      </c>
      <c r="D1835" t="s">
        <v>571</v>
      </c>
      <c r="E1835" t="s">
        <v>826</v>
      </c>
      <c r="F1835" t="s">
        <v>1976</v>
      </c>
      <c r="G1835" t="s">
        <v>6142</v>
      </c>
      <c r="H1835" t="s">
        <v>11147</v>
      </c>
      <c r="I1835" t="s">
        <v>17277</v>
      </c>
      <c r="J1835" t="s">
        <v>18894</v>
      </c>
      <c r="K1835">
        <v>11233</v>
      </c>
      <c r="L1835" t="s">
        <v>18958</v>
      </c>
      <c r="M1835" t="s">
        <v>18958</v>
      </c>
      <c r="N1835" t="s">
        <v>20337</v>
      </c>
      <c r="O1835" t="s">
        <v>26523</v>
      </c>
      <c r="P1835" t="s">
        <v>26560</v>
      </c>
      <c r="Q1835" t="s">
        <v>26573</v>
      </c>
      <c r="R1835" t="s">
        <v>26578</v>
      </c>
      <c r="U1835" t="s">
        <v>26604</v>
      </c>
      <c r="W1835" t="s">
        <v>588</v>
      </c>
      <c r="X1835">
        <v>736</v>
      </c>
      <c r="Y1835" t="s">
        <v>26652</v>
      </c>
      <c r="Z1835" t="s">
        <v>26664</v>
      </c>
      <c r="AA1835" t="s">
        <v>26678</v>
      </c>
      <c r="AB1835" t="s">
        <v>28331</v>
      </c>
      <c r="AC1835" t="s">
        <v>35052</v>
      </c>
      <c r="AD1835" t="s">
        <v>38379</v>
      </c>
      <c r="AE1835">
        <v>7</v>
      </c>
      <c r="AG1835" t="s">
        <v>45562</v>
      </c>
      <c r="AH1835">
        <v>1</v>
      </c>
      <c r="AI1835">
        <v>1</v>
      </c>
      <c r="AJ1835">
        <v>1</v>
      </c>
      <c r="AK1835">
        <v>0</v>
      </c>
      <c r="AN1835" t="s">
        <v>7439</v>
      </c>
      <c r="AO1835">
        <v>0</v>
      </c>
      <c r="AU1835">
        <v>35.8</v>
      </c>
      <c r="AV1835" t="s">
        <v>826</v>
      </c>
      <c r="AW1835" t="s">
        <v>46862</v>
      </c>
      <c r="AX1835" t="s">
        <v>46897</v>
      </c>
    </row>
    <row r="1836" spans="1:50">
      <c r="A1836" s="1">
        <f>HYPERLINK("https://lsnyc.legalserver.org/matter/dynamic-profile/view/1877924","18-1877924")</f>
        <v>0</v>
      </c>
      <c r="B1836" t="s">
        <v>61</v>
      </c>
      <c r="C1836" t="s">
        <v>341</v>
      </c>
      <c r="D1836" t="s">
        <v>588</v>
      </c>
      <c r="E1836" t="s">
        <v>697</v>
      </c>
      <c r="F1836" t="s">
        <v>1244</v>
      </c>
      <c r="G1836" t="s">
        <v>6143</v>
      </c>
      <c r="H1836" t="s">
        <v>9757</v>
      </c>
      <c r="I1836" t="s">
        <v>17380</v>
      </c>
      <c r="J1836" t="s">
        <v>18893</v>
      </c>
      <c r="K1836">
        <v>10034</v>
      </c>
      <c r="L1836" t="s">
        <v>18958</v>
      </c>
      <c r="M1836" t="s">
        <v>18958</v>
      </c>
      <c r="O1836" t="s">
        <v>26539</v>
      </c>
      <c r="P1836" t="s">
        <v>26565</v>
      </c>
      <c r="Q1836" t="s">
        <v>26571</v>
      </c>
      <c r="R1836" t="s">
        <v>26578</v>
      </c>
      <c r="S1836" t="s">
        <v>18959</v>
      </c>
      <c r="U1836" t="s">
        <v>26604</v>
      </c>
      <c r="W1836" t="s">
        <v>588</v>
      </c>
      <c r="X1836">
        <v>774.26</v>
      </c>
      <c r="Y1836" t="s">
        <v>26651</v>
      </c>
      <c r="Z1836" t="s">
        <v>26659</v>
      </c>
      <c r="AA1836" t="s">
        <v>26682</v>
      </c>
      <c r="AB1836" t="s">
        <v>28332</v>
      </c>
      <c r="AD1836" t="s">
        <v>38380</v>
      </c>
      <c r="AE1836">
        <v>67</v>
      </c>
      <c r="AF1836" t="s">
        <v>45541</v>
      </c>
      <c r="AG1836" t="s">
        <v>45559</v>
      </c>
      <c r="AH1836">
        <v>39</v>
      </c>
      <c r="AI1836">
        <v>3</v>
      </c>
      <c r="AJ1836">
        <v>1</v>
      </c>
      <c r="AK1836">
        <v>147.58</v>
      </c>
      <c r="AN1836" t="s">
        <v>45581</v>
      </c>
      <c r="AO1836">
        <v>37042</v>
      </c>
      <c r="AU1836">
        <v>1.9</v>
      </c>
      <c r="AV1836" t="s">
        <v>571</v>
      </c>
      <c r="AW1836" t="s">
        <v>46840</v>
      </c>
    </row>
    <row r="1837" spans="1:50">
      <c r="A1837" s="1">
        <f>HYPERLINK("https://lsnyc.legalserver.org/matter/dynamic-profile/view/1877917","18-1877917")</f>
        <v>0</v>
      </c>
      <c r="B1837" t="s">
        <v>109</v>
      </c>
      <c r="C1837" t="s">
        <v>341</v>
      </c>
      <c r="D1837" t="s">
        <v>588</v>
      </c>
      <c r="E1837" t="s">
        <v>848</v>
      </c>
      <c r="F1837" t="s">
        <v>1145</v>
      </c>
      <c r="G1837" t="s">
        <v>5720</v>
      </c>
      <c r="H1837" t="s">
        <v>11148</v>
      </c>
      <c r="J1837" t="s">
        <v>18902</v>
      </c>
      <c r="K1837">
        <v>10303</v>
      </c>
      <c r="L1837" t="s">
        <v>18958</v>
      </c>
      <c r="M1837" t="s">
        <v>18958</v>
      </c>
      <c r="N1837" t="s">
        <v>20338</v>
      </c>
      <c r="O1837" t="s">
        <v>26524</v>
      </c>
      <c r="P1837" t="s">
        <v>26560</v>
      </c>
      <c r="Q1837" t="s">
        <v>26568</v>
      </c>
      <c r="R1837" t="s">
        <v>26590</v>
      </c>
      <c r="S1837" t="s">
        <v>18959</v>
      </c>
      <c r="U1837" t="s">
        <v>26604</v>
      </c>
      <c r="V1837" t="s">
        <v>26609</v>
      </c>
      <c r="W1837" t="s">
        <v>588</v>
      </c>
      <c r="X1837">
        <v>1800</v>
      </c>
      <c r="Y1837" t="s">
        <v>26654</v>
      </c>
      <c r="Z1837" t="s">
        <v>26659</v>
      </c>
      <c r="AA1837" t="s">
        <v>26679</v>
      </c>
      <c r="AB1837" t="s">
        <v>28333</v>
      </c>
      <c r="AD1837" t="s">
        <v>38381</v>
      </c>
      <c r="AE1837">
        <v>2</v>
      </c>
      <c r="AF1837" t="s">
        <v>45547</v>
      </c>
      <c r="AH1837">
        <v>4</v>
      </c>
      <c r="AI1837">
        <v>2</v>
      </c>
      <c r="AJ1837">
        <v>0</v>
      </c>
      <c r="AK1837">
        <v>252.43</v>
      </c>
      <c r="AL1837" t="s">
        <v>781</v>
      </c>
      <c r="AM1837" t="s">
        <v>45575</v>
      </c>
      <c r="AN1837" t="s">
        <v>7439</v>
      </c>
      <c r="AO1837">
        <v>41550</v>
      </c>
      <c r="AQ1837" t="s">
        <v>46365</v>
      </c>
      <c r="AR1837" t="s">
        <v>26530</v>
      </c>
      <c r="AS1837" t="s">
        <v>46500</v>
      </c>
      <c r="AT1837" t="s">
        <v>46559</v>
      </c>
      <c r="AU1837">
        <v>7.75</v>
      </c>
      <c r="AV1837" t="s">
        <v>848</v>
      </c>
      <c r="AW1837" t="s">
        <v>46852</v>
      </c>
    </row>
    <row r="1838" spans="1:50">
      <c r="A1838" s="1">
        <f>HYPERLINK("https://lsnyc.legalserver.org/matter/dynamic-profile/view/1877931","18-1877931")</f>
        <v>0</v>
      </c>
      <c r="B1838" t="s">
        <v>64</v>
      </c>
      <c r="C1838" t="s">
        <v>341</v>
      </c>
      <c r="D1838" t="s">
        <v>588</v>
      </c>
      <c r="E1838" t="s">
        <v>643</v>
      </c>
      <c r="F1838" t="s">
        <v>1977</v>
      </c>
      <c r="G1838" t="s">
        <v>6144</v>
      </c>
      <c r="H1838" t="s">
        <v>11149</v>
      </c>
      <c r="I1838" t="s">
        <v>17272</v>
      </c>
      <c r="J1838" t="s">
        <v>18892</v>
      </c>
      <c r="K1838">
        <v>10456</v>
      </c>
      <c r="L1838" t="s">
        <v>18958</v>
      </c>
      <c r="M1838" t="s">
        <v>18958</v>
      </c>
      <c r="N1838" t="s">
        <v>20339</v>
      </c>
      <c r="O1838" t="s">
        <v>26523</v>
      </c>
      <c r="P1838" t="s">
        <v>26560</v>
      </c>
      <c r="Q1838" t="s">
        <v>26568</v>
      </c>
      <c r="R1838" t="s">
        <v>26577</v>
      </c>
      <c r="U1838" t="s">
        <v>26604</v>
      </c>
      <c r="V1838" t="s">
        <v>26610</v>
      </c>
      <c r="W1838" t="s">
        <v>588</v>
      </c>
      <c r="X1838">
        <v>749.1799999999999</v>
      </c>
      <c r="Y1838" t="s">
        <v>26650</v>
      </c>
      <c r="Z1838" t="s">
        <v>26659</v>
      </c>
      <c r="AA1838" t="s">
        <v>26678</v>
      </c>
      <c r="AB1838" t="s">
        <v>28334</v>
      </c>
      <c r="AC1838">
        <v>43083981</v>
      </c>
      <c r="AD1838" t="s">
        <v>38382</v>
      </c>
      <c r="AE1838">
        <v>17</v>
      </c>
      <c r="AF1838" t="s">
        <v>45541</v>
      </c>
      <c r="AG1838" t="s">
        <v>45557</v>
      </c>
      <c r="AH1838">
        <v>19</v>
      </c>
      <c r="AI1838">
        <v>1</v>
      </c>
      <c r="AJ1838">
        <v>1</v>
      </c>
      <c r="AK1838">
        <v>62.84</v>
      </c>
      <c r="AN1838" t="s">
        <v>7439</v>
      </c>
      <c r="AO1838">
        <v>10342.8</v>
      </c>
      <c r="AQ1838" t="s">
        <v>46362</v>
      </c>
      <c r="AR1838" t="s">
        <v>46392</v>
      </c>
      <c r="AS1838" t="s">
        <v>46499</v>
      </c>
      <c r="AT1838" t="s">
        <v>46551</v>
      </c>
      <c r="AU1838">
        <v>7.3</v>
      </c>
      <c r="AV1838" t="s">
        <v>643</v>
      </c>
      <c r="AW1838" t="s">
        <v>46867</v>
      </c>
    </row>
    <row r="1839" spans="1:50">
      <c r="A1839" s="1">
        <f>HYPERLINK("https://lsnyc.legalserver.org/matter/dynamic-profile/view/1877841","18-1877841")</f>
        <v>0</v>
      </c>
      <c r="B1839" t="s">
        <v>65</v>
      </c>
      <c r="C1839" t="s">
        <v>341</v>
      </c>
      <c r="D1839" t="s">
        <v>588</v>
      </c>
      <c r="E1839" t="s">
        <v>428</v>
      </c>
      <c r="F1839" t="s">
        <v>1144</v>
      </c>
      <c r="G1839" t="s">
        <v>6145</v>
      </c>
      <c r="H1839" t="s">
        <v>11150</v>
      </c>
      <c r="I1839" t="s">
        <v>17283</v>
      </c>
      <c r="J1839" t="s">
        <v>18892</v>
      </c>
      <c r="K1839">
        <v>10453</v>
      </c>
      <c r="L1839" t="s">
        <v>18958</v>
      </c>
      <c r="M1839" t="s">
        <v>18958</v>
      </c>
      <c r="N1839" t="s">
        <v>20340</v>
      </c>
      <c r="O1839" t="s">
        <v>26523</v>
      </c>
      <c r="P1839" t="s">
        <v>26560</v>
      </c>
      <c r="Q1839" t="s">
        <v>26568</v>
      </c>
      <c r="R1839" t="s">
        <v>26577</v>
      </c>
      <c r="S1839" t="s">
        <v>18959</v>
      </c>
      <c r="U1839" t="s">
        <v>26604</v>
      </c>
      <c r="V1839" t="s">
        <v>26614</v>
      </c>
      <c r="W1839" t="s">
        <v>588</v>
      </c>
      <c r="X1839">
        <v>1366</v>
      </c>
      <c r="Y1839" t="s">
        <v>26650</v>
      </c>
      <c r="Z1839" t="s">
        <v>26530</v>
      </c>
      <c r="AA1839" t="s">
        <v>26678</v>
      </c>
      <c r="AB1839" t="s">
        <v>28335</v>
      </c>
      <c r="AD1839" t="s">
        <v>38383</v>
      </c>
      <c r="AE1839">
        <v>0</v>
      </c>
      <c r="AF1839" t="s">
        <v>45541</v>
      </c>
      <c r="AG1839" t="s">
        <v>19330</v>
      </c>
      <c r="AH1839">
        <v>5</v>
      </c>
      <c r="AI1839">
        <v>1</v>
      </c>
      <c r="AJ1839">
        <v>2</v>
      </c>
      <c r="AK1839">
        <v>192.49</v>
      </c>
      <c r="AL1839" t="s">
        <v>641</v>
      </c>
      <c r="AM1839" t="s">
        <v>45575</v>
      </c>
      <c r="AN1839" t="s">
        <v>45581</v>
      </c>
      <c r="AO1839">
        <v>40000</v>
      </c>
      <c r="AQ1839" t="s">
        <v>46359</v>
      </c>
      <c r="AR1839" t="s">
        <v>46422</v>
      </c>
      <c r="AS1839" t="s">
        <v>46499</v>
      </c>
      <c r="AT1839" t="s">
        <v>46562</v>
      </c>
      <c r="AU1839">
        <v>6</v>
      </c>
      <c r="AV1839" t="s">
        <v>428</v>
      </c>
      <c r="AW1839" t="s">
        <v>46836</v>
      </c>
    </row>
    <row r="1840" spans="1:50">
      <c r="A1840" s="1">
        <f>HYPERLINK("https://lsnyc.legalserver.org/matter/dynamic-profile/view/1877877","18-1877877")</f>
        <v>0</v>
      </c>
      <c r="B1840" t="s">
        <v>125</v>
      </c>
      <c r="C1840" t="s">
        <v>341</v>
      </c>
      <c r="D1840" t="s">
        <v>588</v>
      </c>
      <c r="E1840" t="s">
        <v>691</v>
      </c>
      <c r="F1840" t="s">
        <v>1820</v>
      </c>
      <c r="G1840" t="s">
        <v>6146</v>
      </c>
      <c r="H1840" t="s">
        <v>11151</v>
      </c>
      <c r="I1840" t="s">
        <v>17293</v>
      </c>
      <c r="J1840" t="s">
        <v>18894</v>
      </c>
      <c r="K1840">
        <v>11233</v>
      </c>
      <c r="L1840" t="s">
        <v>18958</v>
      </c>
      <c r="M1840" t="s">
        <v>18958</v>
      </c>
      <c r="N1840" t="s">
        <v>20341</v>
      </c>
      <c r="O1840" t="s">
        <v>26523</v>
      </c>
      <c r="P1840" t="s">
        <v>26564</v>
      </c>
      <c r="Q1840" t="s">
        <v>26570</v>
      </c>
      <c r="R1840" t="s">
        <v>26578</v>
      </c>
      <c r="U1840" t="s">
        <v>26604</v>
      </c>
      <c r="W1840" t="s">
        <v>588</v>
      </c>
      <c r="X1840">
        <v>607</v>
      </c>
      <c r="Y1840" t="s">
        <v>26652</v>
      </c>
      <c r="Z1840" t="s">
        <v>26659</v>
      </c>
      <c r="AA1840" t="s">
        <v>26683</v>
      </c>
      <c r="AB1840" t="s">
        <v>28336</v>
      </c>
      <c r="AC1840" t="s">
        <v>35053</v>
      </c>
      <c r="AD1840" t="s">
        <v>38384</v>
      </c>
      <c r="AE1840">
        <v>0</v>
      </c>
      <c r="AF1840" t="s">
        <v>45541</v>
      </c>
      <c r="AG1840" t="s">
        <v>19330</v>
      </c>
      <c r="AH1840">
        <v>40</v>
      </c>
      <c r="AI1840">
        <v>1</v>
      </c>
      <c r="AJ1840">
        <v>0</v>
      </c>
      <c r="AK1840">
        <v>28.67</v>
      </c>
      <c r="AN1840" t="s">
        <v>7439</v>
      </c>
      <c r="AO1840">
        <v>3480</v>
      </c>
      <c r="AU1840">
        <v>9.5</v>
      </c>
      <c r="AV1840" t="s">
        <v>632</v>
      </c>
      <c r="AW1840" t="s">
        <v>279</v>
      </c>
    </row>
    <row r="1841" spans="1:50">
      <c r="A1841" s="1">
        <f>HYPERLINK("https://lsnyc.legalserver.org/matter/dynamic-profile/view/1877920","18-1877920")</f>
        <v>0</v>
      </c>
      <c r="B1841" t="s">
        <v>61</v>
      </c>
      <c r="C1841" t="s">
        <v>340</v>
      </c>
      <c r="D1841" t="s">
        <v>588</v>
      </c>
      <c r="F1841" t="s">
        <v>1978</v>
      </c>
      <c r="G1841" t="s">
        <v>6147</v>
      </c>
      <c r="H1841" t="s">
        <v>11152</v>
      </c>
      <c r="I1841" t="s">
        <v>17730</v>
      </c>
      <c r="J1841" t="s">
        <v>18893</v>
      </c>
      <c r="K1841">
        <v>10033</v>
      </c>
      <c r="L1841" t="s">
        <v>18958</v>
      </c>
      <c r="M1841" t="s">
        <v>18958</v>
      </c>
      <c r="O1841" t="s">
        <v>26540</v>
      </c>
      <c r="P1841" t="s">
        <v>26565</v>
      </c>
      <c r="R1841" t="s">
        <v>26578</v>
      </c>
      <c r="S1841" t="s">
        <v>18959</v>
      </c>
      <c r="U1841" t="s">
        <v>26604</v>
      </c>
      <c r="W1841" t="s">
        <v>588</v>
      </c>
      <c r="X1841">
        <v>2334.37</v>
      </c>
      <c r="Y1841" t="s">
        <v>26651</v>
      </c>
      <c r="Z1841" t="s">
        <v>26667</v>
      </c>
      <c r="AB1841" t="s">
        <v>28337</v>
      </c>
      <c r="AE1841">
        <v>35</v>
      </c>
      <c r="AF1841" t="s">
        <v>45541</v>
      </c>
      <c r="AG1841" t="s">
        <v>19330</v>
      </c>
      <c r="AH1841">
        <v>3</v>
      </c>
      <c r="AI1841">
        <v>3</v>
      </c>
      <c r="AJ1841">
        <v>0</v>
      </c>
      <c r="AK1841">
        <v>323.39</v>
      </c>
      <c r="AL1841" t="s">
        <v>614</v>
      </c>
      <c r="AM1841" t="s">
        <v>45575</v>
      </c>
      <c r="AN1841" t="s">
        <v>7439</v>
      </c>
      <c r="AO1841">
        <v>67200</v>
      </c>
      <c r="AU1841">
        <v>3.4</v>
      </c>
      <c r="AV1841" t="s">
        <v>740</v>
      </c>
      <c r="AW1841" t="s">
        <v>46840</v>
      </c>
      <c r="AX1841" t="s">
        <v>46897</v>
      </c>
    </row>
    <row r="1842" spans="1:50">
      <c r="A1842" s="1">
        <f>HYPERLINK("https://lsnyc.legalserver.org/matter/dynamic-profile/view/1877905","18-1877905")</f>
        <v>0</v>
      </c>
      <c r="B1842" t="s">
        <v>68</v>
      </c>
      <c r="C1842" t="s">
        <v>340</v>
      </c>
      <c r="D1842" t="s">
        <v>588</v>
      </c>
      <c r="F1842" t="s">
        <v>939</v>
      </c>
      <c r="G1842" t="s">
        <v>4160</v>
      </c>
      <c r="H1842" t="s">
        <v>11153</v>
      </c>
      <c r="I1842" t="s">
        <v>17375</v>
      </c>
      <c r="J1842" t="s">
        <v>18892</v>
      </c>
      <c r="K1842">
        <v>10470</v>
      </c>
      <c r="L1842" t="s">
        <v>18958</v>
      </c>
      <c r="M1842" t="s">
        <v>18958</v>
      </c>
      <c r="N1842" t="s">
        <v>20342</v>
      </c>
      <c r="O1842" t="s">
        <v>26524</v>
      </c>
      <c r="P1842" t="s">
        <v>26560</v>
      </c>
      <c r="R1842" t="s">
        <v>26577</v>
      </c>
      <c r="S1842" t="s">
        <v>18959</v>
      </c>
      <c r="U1842" t="s">
        <v>26604</v>
      </c>
      <c r="V1842" t="s">
        <v>26610</v>
      </c>
      <c r="W1842" t="s">
        <v>588</v>
      </c>
      <c r="X1842">
        <v>825</v>
      </c>
      <c r="Y1842" t="s">
        <v>26650</v>
      </c>
      <c r="Z1842" t="s">
        <v>26668</v>
      </c>
      <c r="AB1842" t="s">
        <v>27650</v>
      </c>
      <c r="AD1842" t="s">
        <v>38385</v>
      </c>
      <c r="AE1842">
        <v>3</v>
      </c>
      <c r="AF1842" t="s">
        <v>45547</v>
      </c>
      <c r="AG1842" t="s">
        <v>19330</v>
      </c>
      <c r="AH1842">
        <v>1</v>
      </c>
      <c r="AI1842">
        <v>1</v>
      </c>
      <c r="AJ1842">
        <v>0</v>
      </c>
      <c r="AK1842">
        <v>0</v>
      </c>
      <c r="AN1842" t="s">
        <v>7439</v>
      </c>
      <c r="AO1842">
        <v>0</v>
      </c>
      <c r="AU1842">
        <v>28.5</v>
      </c>
      <c r="AV1842" t="s">
        <v>823</v>
      </c>
      <c r="AW1842" t="s">
        <v>46867</v>
      </c>
    </row>
    <row r="1843" spans="1:50">
      <c r="A1843" s="1">
        <f>HYPERLINK("https://lsnyc.legalserver.org/matter/dynamic-profile/view/1877873","18-1877873")</f>
        <v>0</v>
      </c>
      <c r="B1843" t="s">
        <v>200</v>
      </c>
      <c r="C1843" t="s">
        <v>340</v>
      </c>
      <c r="D1843" t="s">
        <v>588</v>
      </c>
      <c r="F1843" t="s">
        <v>1979</v>
      </c>
      <c r="G1843" t="s">
        <v>6148</v>
      </c>
      <c r="H1843" t="s">
        <v>11154</v>
      </c>
      <c r="I1843" t="s">
        <v>17349</v>
      </c>
      <c r="J1843" t="s">
        <v>18894</v>
      </c>
      <c r="K1843">
        <v>11205</v>
      </c>
      <c r="L1843" t="s">
        <v>18960</v>
      </c>
      <c r="M1843" t="s">
        <v>18960</v>
      </c>
      <c r="P1843" t="s">
        <v>26563</v>
      </c>
      <c r="R1843" t="s">
        <v>26591</v>
      </c>
      <c r="U1843" t="s">
        <v>26604</v>
      </c>
      <c r="W1843" t="s">
        <v>588</v>
      </c>
      <c r="X1843">
        <v>824</v>
      </c>
      <c r="Y1843" t="s">
        <v>26652</v>
      </c>
      <c r="Z1843" t="s">
        <v>26659</v>
      </c>
      <c r="AB1843" t="s">
        <v>28338</v>
      </c>
      <c r="AD1843" t="s">
        <v>38386</v>
      </c>
      <c r="AE1843">
        <v>12</v>
      </c>
      <c r="AH1843">
        <v>43</v>
      </c>
      <c r="AI1843">
        <v>3</v>
      </c>
      <c r="AJ1843">
        <v>1</v>
      </c>
      <c r="AK1843">
        <v>37.86</v>
      </c>
      <c r="AN1843" t="s">
        <v>7439</v>
      </c>
      <c r="AO1843">
        <v>9504</v>
      </c>
      <c r="AU1843">
        <v>0</v>
      </c>
      <c r="AW1843" t="s">
        <v>46856</v>
      </c>
    </row>
    <row r="1844" spans="1:50">
      <c r="A1844" s="1">
        <f>HYPERLINK("https://lsnyc.legalserver.org/matter/dynamic-profile/view/1877844","18-1877844")</f>
        <v>0</v>
      </c>
      <c r="B1844" t="s">
        <v>50</v>
      </c>
      <c r="C1844" t="s">
        <v>340</v>
      </c>
      <c r="D1844" t="s">
        <v>588</v>
      </c>
      <c r="F1844" t="s">
        <v>1025</v>
      </c>
      <c r="G1844" t="s">
        <v>6149</v>
      </c>
      <c r="H1844" t="s">
        <v>11155</v>
      </c>
      <c r="I1844" t="s">
        <v>17731</v>
      </c>
      <c r="J1844" t="s">
        <v>18892</v>
      </c>
      <c r="K1844">
        <v>10451</v>
      </c>
      <c r="L1844" t="s">
        <v>18958</v>
      </c>
      <c r="M1844" t="s">
        <v>18958</v>
      </c>
      <c r="N1844" t="s">
        <v>20343</v>
      </c>
      <c r="O1844" t="s">
        <v>26523</v>
      </c>
      <c r="P1844" t="s">
        <v>26560</v>
      </c>
      <c r="R1844" t="s">
        <v>26577</v>
      </c>
      <c r="S1844" t="s">
        <v>18959</v>
      </c>
      <c r="U1844" t="s">
        <v>26604</v>
      </c>
      <c r="V1844" t="s">
        <v>26612</v>
      </c>
      <c r="W1844" t="s">
        <v>588</v>
      </c>
      <c r="X1844">
        <v>694</v>
      </c>
      <c r="Y1844" t="s">
        <v>26650</v>
      </c>
      <c r="Z1844" t="s">
        <v>26663</v>
      </c>
      <c r="AB1844" t="s">
        <v>28339</v>
      </c>
      <c r="AC1844" t="s">
        <v>35054</v>
      </c>
      <c r="AD1844" t="s">
        <v>38387</v>
      </c>
      <c r="AE1844">
        <v>85</v>
      </c>
      <c r="AF1844" t="s">
        <v>45543</v>
      </c>
      <c r="AG1844" t="s">
        <v>19330</v>
      </c>
      <c r="AH1844">
        <v>8</v>
      </c>
      <c r="AI1844">
        <v>1</v>
      </c>
      <c r="AJ1844">
        <v>0</v>
      </c>
      <c r="AK1844">
        <v>88.27</v>
      </c>
      <c r="AN1844" t="s">
        <v>7439</v>
      </c>
      <c r="AO1844">
        <v>10716</v>
      </c>
      <c r="AQ1844" t="s">
        <v>46365</v>
      </c>
      <c r="AR1844" t="s">
        <v>46379</v>
      </c>
      <c r="AS1844" t="s">
        <v>46499</v>
      </c>
      <c r="AT1844" t="s">
        <v>46516</v>
      </c>
      <c r="AU1844">
        <v>15.55</v>
      </c>
      <c r="AV1844" t="s">
        <v>672</v>
      </c>
      <c r="AW1844" t="s">
        <v>46831</v>
      </c>
    </row>
    <row r="1845" spans="1:50">
      <c r="A1845" s="1">
        <f>HYPERLINK("https://lsnyc.legalserver.org/matter/dynamic-profile/view/1874673","18-1874673")</f>
        <v>0</v>
      </c>
      <c r="B1845" t="s">
        <v>61</v>
      </c>
      <c r="C1845" t="s">
        <v>340</v>
      </c>
      <c r="D1845" t="s">
        <v>504</v>
      </c>
      <c r="F1845" t="s">
        <v>1072</v>
      </c>
      <c r="G1845" t="s">
        <v>5008</v>
      </c>
      <c r="H1845" t="s">
        <v>11080</v>
      </c>
      <c r="I1845" t="s">
        <v>17349</v>
      </c>
      <c r="J1845" t="s">
        <v>18893</v>
      </c>
      <c r="K1845">
        <v>10040</v>
      </c>
      <c r="L1845" t="s">
        <v>18958</v>
      </c>
      <c r="M1845" t="s">
        <v>18958</v>
      </c>
      <c r="O1845" t="s">
        <v>26526</v>
      </c>
      <c r="P1845" t="s">
        <v>26565</v>
      </c>
      <c r="R1845" t="s">
        <v>26578</v>
      </c>
      <c r="S1845" t="s">
        <v>18959</v>
      </c>
      <c r="U1845" t="s">
        <v>26604</v>
      </c>
      <c r="W1845" t="s">
        <v>572</v>
      </c>
      <c r="X1845">
        <v>165</v>
      </c>
      <c r="Y1845" t="s">
        <v>26651</v>
      </c>
      <c r="Z1845" t="s">
        <v>26659</v>
      </c>
      <c r="AB1845" t="s">
        <v>28340</v>
      </c>
      <c r="AD1845" t="s">
        <v>38388</v>
      </c>
      <c r="AE1845">
        <v>43</v>
      </c>
      <c r="AF1845" t="s">
        <v>45541</v>
      </c>
      <c r="AG1845" t="s">
        <v>45556</v>
      </c>
      <c r="AH1845">
        <v>13</v>
      </c>
      <c r="AI1845">
        <v>1</v>
      </c>
      <c r="AJ1845">
        <v>0</v>
      </c>
      <c r="AK1845">
        <v>82.54000000000001</v>
      </c>
      <c r="AN1845" t="s">
        <v>7439</v>
      </c>
      <c r="AO1845">
        <v>10020</v>
      </c>
      <c r="AU1845">
        <v>3.6</v>
      </c>
      <c r="AV1845" t="s">
        <v>692</v>
      </c>
      <c r="AW1845" t="s">
        <v>46840</v>
      </c>
    </row>
    <row r="1846" spans="1:50">
      <c r="A1846" s="1">
        <f>HYPERLINK("https://lsnyc.legalserver.org/matter/dynamic-profile/view/1875533","18-1875533")</f>
        <v>0</v>
      </c>
      <c r="B1846" t="s">
        <v>180</v>
      </c>
      <c r="C1846" t="s">
        <v>341</v>
      </c>
      <c r="D1846" t="s">
        <v>516</v>
      </c>
      <c r="E1846" t="s">
        <v>572</v>
      </c>
      <c r="F1846" t="s">
        <v>1429</v>
      </c>
      <c r="G1846" t="s">
        <v>6150</v>
      </c>
      <c r="H1846" t="s">
        <v>11156</v>
      </c>
      <c r="I1846" t="s">
        <v>17732</v>
      </c>
      <c r="J1846" t="s">
        <v>18894</v>
      </c>
      <c r="K1846">
        <v>11209</v>
      </c>
      <c r="L1846" t="s">
        <v>18958</v>
      </c>
      <c r="M1846" t="s">
        <v>18958</v>
      </c>
      <c r="N1846" t="s">
        <v>20344</v>
      </c>
      <c r="O1846" t="s">
        <v>26524</v>
      </c>
      <c r="P1846" t="s">
        <v>26565</v>
      </c>
      <c r="Q1846" t="s">
        <v>26571</v>
      </c>
      <c r="R1846" t="s">
        <v>26586</v>
      </c>
      <c r="S1846" t="s">
        <v>18959</v>
      </c>
      <c r="U1846" t="s">
        <v>26604</v>
      </c>
      <c r="V1846" t="s">
        <v>26610</v>
      </c>
      <c r="W1846" t="s">
        <v>572</v>
      </c>
      <c r="X1846">
        <v>1150</v>
      </c>
      <c r="Y1846" t="s">
        <v>26652</v>
      </c>
      <c r="Z1846" t="s">
        <v>26659</v>
      </c>
      <c r="AA1846" t="s">
        <v>26678</v>
      </c>
      <c r="AB1846" t="s">
        <v>28341</v>
      </c>
      <c r="AD1846" t="s">
        <v>38389</v>
      </c>
      <c r="AE1846">
        <v>60</v>
      </c>
      <c r="AF1846" t="s">
        <v>45541</v>
      </c>
      <c r="AG1846" t="s">
        <v>45556</v>
      </c>
      <c r="AH1846">
        <v>24</v>
      </c>
      <c r="AI1846">
        <v>1</v>
      </c>
      <c r="AJ1846">
        <v>0</v>
      </c>
      <c r="AK1846">
        <v>55.55</v>
      </c>
      <c r="AN1846" t="s">
        <v>7439</v>
      </c>
      <c r="AO1846">
        <v>6744</v>
      </c>
      <c r="AU1846">
        <v>7.1</v>
      </c>
      <c r="AV1846" t="s">
        <v>586</v>
      </c>
      <c r="AW1846" t="s">
        <v>46851</v>
      </c>
    </row>
    <row r="1847" spans="1:50">
      <c r="A1847" s="1">
        <f>HYPERLINK("https://lsnyc.legalserver.org/matter/dynamic-profile/view/1876753","18-1876753")</f>
        <v>0</v>
      </c>
      <c r="B1847" t="s">
        <v>117</v>
      </c>
      <c r="C1847" t="s">
        <v>340</v>
      </c>
      <c r="D1847" t="s">
        <v>422</v>
      </c>
      <c r="F1847" t="s">
        <v>1306</v>
      </c>
      <c r="G1847" t="s">
        <v>5771</v>
      </c>
      <c r="H1847" t="s">
        <v>11157</v>
      </c>
      <c r="I1847">
        <v>2</v>
      </c>
      <c r="J1847" t="s">
        <v>18894</v>
      </c>
      <c r="K1847">
        <v>11208</v>
      </c>
      <c r="L1847" t="s">
        <v>18958</v>
      </c>
      <c r="M1847" t="s">
        <v>18958</v>
      </c>
      <c r="N1847" t="s">
        <v>20345</v>
      </c>
      <c r="O1847" t="s">
        <v>26523</v>
      </c>
      <c r="P1847" t="s">
        <v>26560</v>
      </c>
      <c r="R1847" t="s">
        <v>26578</v>
      </c>
      <c r="S1847" t="s">
        <v>18959</v>
      </c>
      <c r="U1847" t="s">
        <v>26604</v>
      </c>
      <c r="V1847" t="s">
        <v>26609</v>
      </c>
      <c r="W1847" t="s">
        <v>572</v>
      </c>
      <c r="X1847">
        <v>1975</v>
      </c>
      <c r="Y1847" t="s">
        <v>26652</v>
      </c>
      <c r="Z1847" t="s">
        <v>26664</v>
      </c>
      <c r="AB1847" t="s">
        <v>28342</v>
      </c>
      <c r="AC1847" t="s">
        <v>35055</v>
      </c>
      <c r="AD1847" t="s">
        <v>38390</v>
      </c>
      <c r="AE1847">
        <v>4</v>
      </c>
      <c r="AF1847" t="s">
        <v>45547</v>
      </c>
      <c r="AG1847" t="s">
        <v>45562</v>
      </c>
      <c r="AH1847">
        <v>3</v>
      </c>
      <c r="AI1847">
        <v>2</v>
      </c>
      <c r="AJ1847">
        <v>4</v>
      </c>
      <c r="AK1847">
        <v>100.18</v>
      </c>
      <c r="AN1847" t="s">
        <v>7439</v>
      </c>
      <c r="AO1847">
        <v>33800</v>
      </c>
      <c r="AU1847">
        <v>31.95</v>
      </c>
      <c r="AV1847" t="s">
        <v>785</v>
      </c>
      <c r="AW1847" t="s">
        <v>279</v>
      </c>
    </row>
    <row r="1848" spans="1:50">
      <c r="A1848" s="1">
        <f>HYPERLINK("https://lsnyc.legalserver.org/matter/dynamic-profile/view/1878045","18-1878045")</f>
        <v>0</v>
      </c>
      <c r="B1848" t="s">
        <v>107</v>
      </c>
      <c r="C1848" t="s">
        <v>341</v>
      </c>
      <c r="D1848" t="s">
        <v>572</v>
      </c>
      <c r="E1848" t="s">
        <v>662</v>
      </c>
      <c r="F1848" t="s">
        <v>1980</v>
      </c>
      <c r="G1848" t="s">
        <v>5242</v>
      </c>
      <c r="H1848" t="s">
        <v>11158</v>
      </c>
      <c r="I1848" t="s">
        <v>17432</v>
      </c>
      <c r="J1848" t="s">
        <v>18901</v>
      </c>
      <c r="K1848">
        <v>11432</v>
      </c>
      <c r="L1848" t="s">
        <v>18958</v>
      </c>
      <c r="M1848" t="s">
        <v>18958</v>
      </c>
      <c r="N1848" t="s">
        <v>20346</v>
      </c>
      <c r="O1848" t="s">
        <v>26523</v>
      </c>
      <c r="P1848" t="s">
        <v>26564</v>
      </c>
      <c r="Q1848" t="s">
        <v>26570</v>
      </c>
      <c r="R1848" t="s">
        <v>26584</v>
      </c>
      <c r="S1848" t="s">
        <v>18959</v>
      </c>
      <c r="U1848" t="s">
        <v>26604</v>
      </c>
      <c r="V1848" t="s">
        <v>26614</v>
      </c>
      <c r="W1848" t="s">
        <v>572</v>
      </c>
      <c r="X1848">
        <v>1900</v>
      </c>
      <c r="Y1848" t="s">
        <v>26653</v>
      </c>
      <c r="Z1848" t="s">
        <v>26664</v>
      </c>
      <c r="AA1848" t="s">
        <v>26683</v>
      </c>
      <c r="AB1848" t="s">
        <v>28343</v>
      </c>
      <c r="AC1848" t="s">
        <v>35056</v>
      </c>
      <c r="AD1848" t="s">
        <v>38391</v>
      </c>
      <c r="AE1848">
        <v>66</v>
      </c>
      <c r="AF1848" t="s">
        <v>20460</v>
      </c>
      <c r="AG1848" t="s">
        <v>19330</v>
      </c>
      <c r="AH1848">
        <v>4</v>
      </c>
      <c r="AI1848">
        <v>4</v>
      </c>
      <c r="AJ1848">
        <v>2</v>
      </c>
      <c r="AK1848">
        <v>50.39</v>
      </c>
      <c r="AN1848" t="s">
        <v>7439</v>
      </c>
      <c r="AO1848">
        <v>17000</v>
      </c>
      <c r="AQ1848" t="s">
        <v>46365</v>
      </c>
      <c r="AS1848" t="s">
        <v>46499</v>
      </c>
      <c r="AT1848" t="s">
        <v>46597</v>
      </c>
      <c r="AU1848">
        <v>0.6</v>
      </c>
      <c r="AV1848" t="s">
        <v>540</v>
      </c>
      <c r="AW1848" t="s">
        <v>208</v>
      </c>
    </row>
    <row r="1849" spans="1:50">
      <c r="A1849" s="1">
        <f>HYPERLINK("https://lsnyc.legalserver.org/matter/dynamic-profile/view/1878001","18-1878001")</f>
        <v>0</v>
      </c>
      <c r="B1849" t="s">
        <v>107</v>
      </c>
      <c r="C1849" t="s">
        <v>341</v>
      </c>
      <c r="D1849" t="s">
        <v>572</v>
      </c>
      <c r="E1849" t="s">
        <v>662</v>
      </c>
      <c r="F1849" t="s">
        <v>1981</v>
      </c>
      <c r="G1849" t="s">
        <v>6151</v>
      </c>
      <c r="H1849" t="s">
        <v>11159</v>
      </c>
      <c r="I1849" t="s">
        <v>17287</v>
      </c>
      <c r="J1849" t="s">
        <v>18898</v>
      </c>
      <c r="K1849">
        <v>11691</v>
      </c>
      <c r="L1849" t="s">
        <v>18958</v>
      </c>
      <c r="M1849" t="s">
        <v>18958</v>
      </c>
      <c r="N1849" t="s">
        <v>19079</v>
      </c>
      <c r="O1849" t="s">
        <v>26529</v>
      </c>
      <c r="P1849" t="s">
        <v>26564</v>
      </c>
      <c r="Q1849" t="s">
        <v>26570</v>
      </c>
      <c r="R1849" t="s">
        <v>26584</v>
      </c>
      <c r="S1849" t="s">
        <v>18959</v>
      </c>
      <c r="U1849" t="s">
        <v>26605</v>
      </c>
      <c r="V1849" t="s">
        <v>26610</v>
      </c>
      <c r="W1849" t="s">
        <v>572</v>
      </c>
      <c r="X1849">
        <v>555</v>
      </c>
      <c r="Y1849" t="s">
        <v>26653</v>
      </c>
      <c r="Z1849" t="s">
        <v>26664</v>
      </c>
      <c r="AA1849" t="s">
        <v>26683</v>
      </c>
      <c r="AB1849" t="s">
        <v>28296</v>
      </c>
      <c r="AD1849" t="s">
        <v>38392</v>
      </c>
      <c r="AE1849">
        <v>117</v>
      </c>
      <c r="AF1849" t="s">
        <v>45549</v>
      </c>
      <c r="AG1849" t="s">
        <v>19330</v>
      </c>
      <c r="AH1849">
        <v>11</v>
      </c>
      <c r="AI1849">
        <v>2</v>
      </c>
      <c r="AJ1849">
        <v>1</v>
      </c>
      <c r="AK1849">
        <v>171.04</v>
      </c>
      <c r="AN1849" t="s">
        <v>7439</v>
      </c>
      <c r="AO1849">
        <v>35542</v>
      </c>
      <c r="AU1849">
        <v>0.3</v>
      </c>
      <c r="AV1849" t="s">
        <v>540</v>
      </c>
      <c r="AW1849" t="s">
        <v>208</v>
      </c>
    </row>
    <row r="1850" spans="1:50">
      <c r="A1850" s="1">
        <f>HYPERLINK("https://lsnyc.legalserver.org/matter/dynamic-profile/view/1877936","18-1877936")</f>
        <v>0</v>
      </c>
      <c r="B1850" t="s">
        <v>145</v>
      </c>
      <c r="C1850" t="s">
        <v>341</v>
      </c>
      <c r="D1850" t="s">
        <v>572</v>
      </c>
      <c r="E1850" t="s">
        <v>755</v>
      </c>
      <c r="F1850" t="s">
        <v>1982</v>
      </c>
      <c r="G1850" t="s">
        <v>6152</v>
      </c>
      <c r="H1850" t="s">
        <v>9903</v>
      </c>
      <c r="I1850" t="s">
        <v>17348</v>
      </c>
      <c r="J1850" t="s">
        <v>18902</v>
      </c>
      <c r="K1850">
        <v>10314</v>
      </c>
      <c r="L1850" t="s">
        <v>18958</v>
      </c>
      <c r="M1850" t="s">
        <v>18958</v>
      </c>
      <c r="N1850" t="s">
        <v>20347</v>
      </c>
      <c r="O1850" t="s">
        <v>26523</v>
      </c>
      <c r="P1850" t="s">
        <v>26560</v>
      </c>
      <c r="Q1850" t="s">
        <v>26568</v>
      </c>
      <c r="R1850" t="s">
        <v>26590</v>
      </c>
      <c r="S1850" t="s">
        <v>18959</v>
      </c>
      <c r="U1850" t="s">
        <v>26605</v>
      </c>
      <c r="V1850" t="s">
        <v>26610</v>
      </c>
      <c r="W1850" t="s">
        <v>572</v>
      </c>
      <c r="X1850">
        <v>235.6</v>
      </c>
      <c r="Y1850" t="s">
        <v>26654</v>
      </c>
      <c r="Z1850" t="s">
        <v>26668</v>
      </c>
      <c r="AA1850" t="s">
        <v>26680</v>
      </c>
      <c r="AB1850" t="s">
        <v>28344</v>
      </c>
      <c r="AD1850" t="s">
        <v>38393</v>
      </c>
      <c r="AE1850">
        <v>0</v>
      </c>
      <c r="AG1850" t="s">
        <v>45556</v>
      </c>
      <c r="AH1850">
        <v>27</v>
      </c>
      <c r="AI1850">
        <v>1</v>
      </c>
      <c r="AJ1850">
        <v>0</v>
      </c>
      <c r="AK1850">
        <v>0</v>
      </c>
      <c r="AO1850">
        <v>0</v>
      </c>
      <c r="AS1850" t="s">
        <v>46499</v>
      </c>
      <c r="AT1850" t="s">
        <v>46679</v>
      </c>
      <c r="AU1850">
        <v>6.3</v>
      </c>
      <c r="AV1850" t="s">
        <v>744</v>
      </c>
      <c r="AW1850" t="s">
        <v>210</v>
      </c>
    </row>
    <row r="1851" spans="1:50">
      <c r="A1851" s="1">
        <f>HYPERLINK("https://lsnyc.legalserver.org/matter/dynamic-profile/view/1877960","18-1877960")</f>
        <v>0</v>
      </c>
      <c r="B1851" t="s">
        <v>61</v>
      </c>
      <c r="C1851" t="s">
        <v>341</v>
      </c>
      <c r="D1851" t="s">
        <v>572</v>
      </c>
      <c r="E1851" t="s">
        <v>847</v>
      </c>
      <c r="F1851" t="s">
        <v>1983</v>
      </c>
      <c r="G1851" t="s">
        <v>5513</v>
      </c>
      <c r="H1851" t="s">
        <v>11160</v>
      </c>
      <c r="I1851" t="s">
        <v>17612</v>
      </c>
      <c r="J1851" t="s">
        <v>18893</v>
      </c>
      <c r="K1851">
        <v>10034</v>
      </c>
      <c r="L1851" t="s">
        <v>18958</v>
      </c>
      <c r="M1851" t="s">
        <v>18958</v>
      </c>
      <c r="O1851" t="s">
        <v>18997</v>
      </c>
      <c r="P1851" t="s">
        <v>26565</v>
      </c>
      <c r="Q1851" t="s">
        <v>26571</v>
      </c>
      <c r="R1851" t="s">
        <v>26578</v>
      </c>
      <c r="S1851" t="s">
        <v>18959</v>
      </c>
      <c r="U1851" t="s">
        <v>26604</v>
      </c>
      <c r="W1851" t="s">
        <v>572</v>
      </c>
      <c r="X1851">
        <v>1135</v>
      </c>
      <c r="Y1851" t="s">
        <v>26651</v>
      </c>
      <c r="Z1851" t="s">
        <v>26661</v>
      </c>
      <c r="AA1851" t="s">
        <v>26683</v>
      </c>
      <c r="AB1851" t="s">
        <v>28345</v>
      </c>
      <c r="AD1851" t="s">
        <v>38394</v>
      </c>
      <c r="AE1851">
        <v>66</v>
      </c>
      <c r="AF1851" t="s">
        <v>45541</v>
      </c>
      <c r="AG1851" t="s">
        <v>45556</v>
      </c>
      <c r="AH1851">
        <v>41</v>
      </c>
      <c r="AI1851">
        <v>2</v>
      </c>
      <c r="AJ1851">
        <v>0</v>
      </c>
      <c r="AK1851">
        <v>179.99</v>
      </c>
      <c r="AN1851" t="s">
        <v>45581</v>
      </c>
      <c r="AO1851">
        <v>29626.8</v>
      </c>
      <c r="AU1851">
        <v>2.2</v>
      </c>
      <c r="AV1851" t="s">
        <v>847</v>
      </c>
      <c r="AW1851" t="s">
        <v>46840</v>
      </c>
    </row>
    <row r="1852" spans="1:50">
      <c r="A1852" s="1">
        <f>HYPERLINK("https://lsnyc.legalserver.org/matter/dynamic-profile/view/1877987","18-1877987")</f>
        <v>0</v>
      </c>
      <c r="B1852" t="s">
        <v>99</v>
      </c>
      <c r="C1852" t="s">
        <v>341</v>
      </c>
      <c r="D1852" t="s">
        <v>572</v>
      </c>
      <c r="E1852" t="s">
        <v>624</v>
      </c>
      <c r="F1852" t="s">
        <v>1984</v>
      </c>
      <c r="G1852" t="s">
        <v>5385</v>
      </c>
      <c r="H1852" t="s">
        <v>11161</v>
      </c>
      <c r="I1852" t="s">
        <v>17277</v>
      </c>
      <c r="J1852" t="s">
        <v>18894</v>
      </c>
      <c r="K1852">
        <v>11217</v>
      </c>
      <c r="L1852" t="s">
        <v>18958</v>
      </c>
      <c r="M1852" t="s">
        <v>18958</v>
      </c>
      <c r="N1852" t="s">
        <v>20348</v>
      </c>
      <c r="O1852" t="s">
        <v>26543</v>
      </c>
      <c r="P1852" t="s">
        <v>26560</v>
      </c>
      <c r="Q1852" t="s">
        <v>26569</v>
      </c>
      <c r="R1852" t="s">
        <v>26586</v>
      </c>
      <c r="S1852" t="s">
        <v>18959</v>
      </c>
      <c r="U1852" t="s">
        <v>26605</v>
      </c>
      <c r="V1852" t="s">
        <v>26610</v>
      </c>
      <c r="W1852" t="s">
        <v>572</v>
      </c>
      <c r="X1852">
        <v>1020</v>
      </c>
      <c r="Y1852" t="s">
        <v>26652</v>
      </c>
      <c r="Z1852" t="s">
        <v>26668</v>
      </c>
      <c r="AA1852" t="s">
        <v>26680</v>
      </c>
      <c r="AB1852" t="s">
        <v>28346</v>
      </c>
      <c r="AC1852" t="s">
        <v>35057</v>
      </c>
      <c r="AD1852" t="s">
        <v>38395</v>
      </c>
      <c r="AE1852">
        <v>60</v>
      </c>
      <c r="AF1852" t="s">
        <v>45549</v>
      </c>
      <c r="AG1852" t="s">
        <v>19330</v>
      </c>
      <c r="AH1852">
        <v>3</v>
      </c>
      <c r="AI1852">
        <v>1</v>
      </c>
      <c r="AJ1852">
        <v>1</v>
      </c>
      <c r="AK1852">
        <v>20.68</v>
      </c>
      <c r="AN1852" t="s">
        <v>7439</v>
      </c>
      <c r="AO1852">
        <v>3404.7</v>
      </c>
      <c r="AR1852" t="s">
        <v>46379</v>
      </c>
      <c r="AS1852" t="s">
        <v>46499</v>
      </c>
      <c r="AT1852" t="s">
        <v>46595</v>
      </c>
      <c r="AU1852">
        <v>6.6</v>
      </c>
      <c r="AV1852" t="s">
        <v>631</v>
      </c>
      <c r="AW1852" t="s">
        <v>46856</v>
      </c>
    </row>
    <row r="1853" spans="1:50">
      <c r="A1853" s="1">
        <f>HYPERLINK("https://lsnyc.legalserver.org/matter/dynamic-profile/view/1877969","18-1877969")</f>
        <v>0</v>
      </c>
      <c r="B1853" t="s">
        <v>85</v>
      </c>
      <c r="C1853" t="s">
        <v>341</v>
      </c>
      <c r="D1853" t="s">
        <v>572</v>
      </c>
      <c r="E1853" t="s">
        <v>699</v>
      </c>
      <c r="F1853" t="s">
        <v>883</v>
      </c>
      <c r="G1853" t="s">
        <v>6153</v>
      </c>
      <c r="H1853" t="s">
        <v>11162</v>
      </c>
      <c r="I1853" t="s">
        <v>17300</v>
      </c>
      <c r="J1853" t="s">
        <v>18898</v>
      </c>
      <c r="K1853">
        <v>11691</v>
      </c>
      <c r="L1853" t="s">
        <v>18958</v>
      </c>
      <c r="M1853" t="s">
        <v>18958</v>
      </c>
      <c r="N1853" t="s">
        <v>20349</v>
      </c>
      <c r="O1853" t="s">
        <v>26524</v>
      </c>
      <c r="P1853" t="s">
        <v>26564</v>
      </c>
      <c r="Q1853" t="s">
        <v>26570</v>
      </c>
      <c r="R1853" t="s">
        <v>26578</v>
      </c>
      <c r="S1853" t="s">
        <v>18959</v>
      </c>
      <c r="U1853" t="s">
        <v>26604</v>
      </c>
      <c r="V1853" t="s">
        <v>26611</v>
      </c>
      <c r="W1853" t="s">
        <v>572</v>
      </c>
      <c r="X1853">
        <v>1200</v>
      </c>
      <c r="Y1853" t="s">
        <v>26653</v>
      </c>
      <c r="Z1853" t="s">
        <v>26664</v>
      </c>
      <c r="AA1853" t="s">
        <v>26683</v>
      </c>
      <c r="AB1853" t="s">
        <v>28347</v>
      </c>
      <c r="AD1853" t="s">
        <v>38396</v>
      </c>
      <c r="AE1853">
        <v>1</v>
      </c>
      <c r="AF1853" t="s">
        <v>45547</v>
      </c>
      <c r="AG1853" t="s">
        <v>45562</v>
      </c>
      <c r="AH1853">
        <v>3</v>
      </c>
      <c r="AI1853">
        <v>1</v>
      </c>
      <c r="AJ1853">
        <v>1</v>
      </c>
      <c r="AK1853">
        <v>0</v>
      </c>
      <c r="AN1853" t="s">
        <v>7439</v>
      </c>
      <c r="AO1853">
        <v>0</v>
      </c>
      <c r="AU1853">
        <v>0.55</v>
      </c>
      <c r="AV1853" t="s">
        <v>643</v>
      </c>
      <c r="AW1853" t="s">
        <v>161</v>
      </c>
    </row>
    <row r="1854" spans="1:50">
      <c r="A1854" s="1">
        <f>HYPERLINK("https://lsnyc.legalserver.org/matter/dynamic-profile/view/1877985","18-1877985")</f>
        <v>0</v>
      </c>
      <c r="B1854" t="s">
        <v>85</v>
      </c>
      <c r="C1854" t="s">
        <v>341</v>
      </c>
      <c r="D1854" t="s">
        <v>572</v>
      </c>
      <c r="E1854" t="s">
        <v>699</v>
      </c>
      <c r="F1854" t="s">
        <v>1985</v>
      </c>
      <c r="G1854" t="s">
        <v>6154</v>
      </c>
      <c r="H1854" t="s">
        <v>11163</v>
      </c>
      <c r="I1854" t="s">
        <v>17334</v>
      </c>
      <c r="J1854" t="s">
        <v>18941</v>
      </c>
      <c r="K1854">
        <v>11429</v>
      </c>
      <c r="L1854" t="s">
        <v>18958</v>
      </c>
      <c r="M1854" t="s">
        <v>18958</v>
      </c>
      <c r="N1854" t="s">
        <v>20350</v>
      </c>
      <c r="O1854" t="s">
        <v>26524</v>
      </c>
      <c r="P1854" t="s">
        <v>26564</v>
      </c>
      <c r="Q1854" t="s">
        <v>26570</v>
      </c>
      <c r="R1854" t="s">
        <v>26584</v>
      </c>
      <c r="S1854" t="s">
        <v>18959</v>
      </c>
      <c r="U1854" t="s">
        <v>26604</v>
      </c>
      <c r="V1854" t="s">
        <v>26610</v>
      </c>
      <c r="W1854" t="s">
        <v>572</v>
      </c>
      <c r="X1854">
        <v>1050</v>
      </c>
      <c r="Y1854" t="s">
        <v>26653</v>
      </c>
      <c r="Z1854" t="s">
        <v>26664</v>
      </c>
      <c r="AA1854" t="s">
        <v>26683</v>
      </c>
      <c r="AB1854" t="s">
        <v>28348</v>
      </c>
      <c r="AC1854" t="s">
        <v>35058</v>
      </c>
      <c r="AD1854" t="s">
        <v>38397</v>
      </c>
      <c r="AE1854">
        <v>4</v>
      </c>
      <c r="AF1854" t="s">
        <v>45547</v>
      </c>
      <c r="AG1854" t="s">
        <v>19330</v>
      </c>
      <c r="AH1854">
        <v>5</v>
      </c>
      <c r="AI1854">
        <v>1</v>
      </c>
      <c r="AJ1854">
        <v>0</v>
      </c>
      <c r="AK1854">
        <v>123.26</v>
      </c>
      <c r="AN1854" t="s">
        <v>7439</v>
      </c>
      <c r="AO1854">
        <v>14964</v>
      </c>
      <c r="AU1854">
        <v>0.45</v>
      </c>
      <c r="AV1854" t="s">
        <v>589</v>
      </c>
      <c r="AW1854" t="s">
        <v>161</v>
      </c>
    </row>
    <row r="1855" spans="1:50">
      <c r="A1855" s="1">
        <f>HYPERLINK("https://lsnyc.legalserver.org/matter/dynamic-profile/view/1877962","18-1877962")</f>
        <v>0</v>
      </c>
      <c r="B1855" t="s">
        <v>212</v>
      </c>
      <c r="C1855" t="s">
        <v>341</v>
      </c>
      <c r="D1855" t="s">
        <v>572</v>
      </c>
      <c r="E1855" t="s">
        <v>534</v>
      </c>
      <c r="F1855" t="s">
        <v>1986</v>
      </c>
      <c r="G1855" t="s">
        <v>6155</v>
      </c>
      <c r="H1855" t="s">
        <v>11164</v>
      </c>
      <c r="I1855" t="s">
        <v>17436</v>
      </c>
      <c r="J1855" t="s">
        <v>18907</v>
      </c>
      <c r="K1855">
        <v>11377</v>
      </c>
      <c r="L1855" t="s">
        <v>18958</v>
      </c>
      <c r="M1855" t="s">
        <v>18958</v>
      </c>
      <c r="N1855" t="s">
        <v>20351</v>
      </c>
      <c r="O1855" t="s">
        <v>26524</v>
      </c>
      <c r="P1855" t="s">
        <v>26564</v>
      </c>
      <c r="Q1855" t="s">
        <v>26570</v>
      </c>
      <c r="R1855" t="s">
        <v>26578</v>
      </c>
      <c r="S1855" t="s">
        <v>18959</v>
      </c>
      <c r="U1855" t="s">
        <v>26604</v>
      </c>
      <c r="V1855" t="s">
        <v>26610</v>
      </c>
      <c r="W1855" t="s">
        <v>572</v>
      </c>
      <c r="X1855">
        <v>860</v>
      </c>
      <c r="Y1855" t="s">
        <v>26653</v>
      </c>
      <c r="Z1855" t="s">
        <v>26664</v>
      </c>
      <c r="AA1855" t="s">
        <v>26683</v>
      </c>
      <c r="AB1855" t="s">
        <v>27395</v>
      </c>
      <c r="AD1855" t="s">
        <v>38398</v>
      </c>
      <c r="AE1855">
        <v>39</v>
      </c>
      <c r="AF1855" t="s">
        <v>45541</v>
      </c>
      <c r="AG1855" t="s">
        <v>19330</v>
      </c>
      <c r="AH1855">
        <v>14</v>
      </c>
      <c r="AI1855">
        <v>2</v>
      </c>
      <c r="AJ1855">
        <v>1</v>
      </c>
      <c r="AK1855">
        <v>96.25</v>
      </c>
      <c r="AN1855" t="s">
        <v>7439</v>
      </c>
      <c r="AO1855">
        <v>20000</v>
      </c>
      <c r="AU1855">
        <v>1.1</v>
      </c>
      <c r="AV1855" t="s">
        <v>534</v>
      </c>
      <c r="AW1855" t="s">
        <v>161</v>
      </c>
    </row>
    <row r="1856" spans="1:50">
      <c r="A1856" s="1">
        <f>HYPERLINK("https://lsnyc.legalserver.org/matter/dynamic-profile/view/1877938","18-1877938")</f>
        <v>0</v>
      </c>
      <c r="B1856" t="s">
        <v>212</v>
      </c>
      <c r="C1856" t="s">
        <v>341</v>
      </c>
      <c r="D1856" t="s">
        <v>572</v>
      </c>
      <c r="E1856" t="s">
        <v>582</v>
      </c>
      <c r="F1856" t="s">
        <v>906</v>
      </c>
      <c r="G1856" t="s">
        <v>6156</v>
      </c>
      <c r="H1856" t="s">
        <v>11165</v>
      </c>
      <c r="I1856" t="s">
        <v>17725</v>
      </c>
      <c r="J1856" t="s">
        <v>18913</v>
      </c>
      <c r="K1856">
        <v>11103</v>
      </c>
      <c r="L1856" t="s">
        <v>18958</v>
      </c>
      <c r="M1856" t="s">
        <v>18958</v>
      </c>
      <c r="N1856" t="s">
        <v>20352</v>
      </c>
      <c r="O1856" t="s">
        <v>26523</v>
      </c>
      <c r="P1856" t="s">
        <v>26564</v>
      </c>
      <c r="Q1856" t="s">
        <v>26570</v>
      </c>
      <c r="R1856" t="s">
        <v>26578</v>
      </c>
      <c r="S1856" t="s">
        <v>18959</v>
      </c>
      <c r="U1856" t="s">
        <v>26604</v>
      </c>
      <c r="V1856" t="s">
        <v>26610</v>
      </c>
      <c r="W1856" t="s">
        <v>572</v>
      </c>
      <c r="X1856">
        <v>1785</v>
      </c>
      <c r="Y1856" t="s">
        <v>26653</v>
      </c>
      <c r="Z1856" t="s">
        <v>26664</v>
      </c>
      <c r="AA1856" t="s">
        <v>26683</v>
      </c>
      <c r="AB1856" t="s">
        <v>28349</v>
      </c>
      <c r="AD1856" t="s">
        <v>38399</v>
      </c>
      <c r="AE1856">
        <v>60</v>
      </c>
      <c r="AF1856" t="s">
        <v>45541</v>
      </c>
      <c r="AG1856" t="s">
        <v>19330</v>
      </c>
      <c r="AH1856">
        <v>6</v>
      </c>
      <c r="AI1856">
        <v>1</v>
      </c>
      <c r="AJ1856">
        <v>0</v>
      </c>
      <c r="AK1856">
        <v>107.08</v>
      </c>
      <c r="AN1856" t="s">
        <v>7439</v>
      </c>
      <c r="AO1856">
        <v>13000</v>
      </c>
      <c r="AU1856">
        <v>1.2</v>
      </c>
      <c r="AV1856" t="s">
        <v>582</v>
      </c>
      <c r="AW1856" t="s">
        <v>161</v>
      </c>
    </row>
    <row r="1857" spans="1:50">
      <c r="A1857" s="1">
        <f>HYPERLINK("https://lsnyc.legalserver.org/matter/dynamic-profile/view/1877948","18-1877948")</f>
        <v>0</v>
      </c>
      <c r="B1857" t="s">
        <v>141</v>
      </c>
      <c r="C1857" t="s">
        <v>341</v>
      </c>
      <c r="D1857" t="s">
        <v>572</v>
      </c>
      <c r="E1857" t="s">
        <v>751</v>
      </c>
      <c r="F1857" t="s">
        <v>1283</v>
      </c>
      <c r="G1857" t="s">
        <v>5174</v>
      </c>
      <c r="H1857" t="s">
        <v>11166</v>
      </c>
      <c r="I1857">
        <v>15</v>
      </c>
      <c r="J1857" t="s">
        <v>18942</v>
      </c>
      <c r="K1857">
        <v>11101</v>
      </c>
      <c r="L1857" t="s">
        <v>18958</v>
      </c>
      <c r="M1857" t="s">
        <v>18958</v>
      </c>
      <c r="N1857" t="s">
        <v>20353</v>
      </c>
      <c r="O1857" t="s">
        <v>26523</v>
      </c>
      <c r="P1857" t="s">
        <v>26560</v>
      </c>
      <c r="Q1857" t="s">
        <v>26568</v>
      </c>
      <c r="R1857" t="s">
        <v>26578</v>
      </c>
      <c r="S1857" t="s">
        <v>18959</v>
      </c>
      <c r="U1857" t="s">
        <v>26604</v>
      </c>
      <c r="V1857" t="s">
        <v>26610</v>
      </c>
      <c r="W1857" t="s">
        <v>572</v>
      </c>
      <c r="X1857">
        <v>1400</v>
      </c>
      <c r="Y1857" t="s">
        <v>26653</v>
      </c>
      <c r="Z1857" t="s">
        <v>26664</v>
      </c>
      <c r="AA1857" t="s">
        <v>26678</v>
      </c>
      <c r="AB1857" t="s">
        <v>28350</v>
      </c>
      <c r="AC1857" t="s">
        <v>35059</v>
      </c>
      <c r="AD1857" t="s">
        <v>38400</v>
      </c>
      <c r="AE1857">
        <v>16</v>
      </c>
      <c r="AF1857" t="s">
        <v>45541</v>
      </c>
      <c r="AG1857" t="s">
        <v>19330</v>
      </c>
      <c r="AH1857">
        <v>6</v>
      </c>
      <c r="AI1857">
        <v>1</v>
      </c>
      <c r="AJ1857">
        <v>2</v>
      </c>
      <c r="AK1857">
        <v>72.18000000000001</v>
      </c>
      <c r="AN1857" t="s">
        <v>7439</v>
      </c>
      <c r="AO1857">
        <v>15000</v>
      </c>
      <c r="AQ1857" t="s">
        <v>46362</v>
      </c>
      <c r="AR1857" t="s">
        <v>46379</v>
      </c>
      <c r="AS1857" t="s">
        <v>46499</v>
      </c>
      <c r="AT1857" t="s">
        <v>46692</v>
      </c>
      <c r="AU1857">
        <v>27.1</v>
      </c>
      <c r="AV1857" t="s">
        <v>690</v>
      </c>
      <c r="AW1857" t="s">
        <v>161</v>
      </c>
    </row>
    <row r="1858" spans="1:50">
      <c r="A1858" s="1">
        <f>HYPERLINK("https://lsnyc.legalserver.org/matter/dynamic-profile/view/1877981","18-1877981")</f>
        <v>0</v>
      </c>
      <c r="B1858" t="s">
        <v>214</v>
      </c>
      <c r="C1858" t="s">
        <v>341</v>
      </c>
      <c r="D1858" t="s">
        <v>572</v>
      </c>
      <c r="E1858" t="s">
        <v>703</v>
      </c>
      <c r="F1858" t="s">
        <v>1987</v>
      </c>
      <c r="G1858" t="s">
        <v>5271</v>
      </c>
      <c r="H1858" t="s">
        <v>11167</v>
      </c>
      <c r="I1858">
        <v>302</v>
      </c>
      <c r="J1858" t="s">
        <v>18905</v>
      </c>
      <c r="K1858">
        <v>11692</v>
      </c>
      <c r="L1858" t="s">
        <v>18958</v>
      </c>
      <c r="M1858" t="s">
        <v>18958</v>
      </c>
      <c r="N1858" t="s">
        <v>20354</v>
      </c>
      <c r="O1858" t="s">
        <v>26523</v>
      </c>
      <c r="P1858" t="s">
        <v>26564</v>
      </c>
      <c r="Q1858" t="s">
        <v>26570</v>
      </c>
      <c r="R1858" t="s">
        <v>26578</v>
      </c>
      <c r="S1858" t="s">
        <v>18959</v>
      </c>
      <c r="U1858" t="s">
        <v>26604</v>
      </c>
      <c r="V1858" t="s">
        <v>26610</v>
      </c>
      <c r="W1858" t="s">
        <v>572</v>
      </c>
      <c r="X1858">
        <v>2181</v>
      </c>
      <c r="Y1858" t="s">
        <v>26653</v>
      </c>
      <c r="Z1858" t="s">
        <v>26664</v>
      </c>
      <c r="AA1858" t="s">
        <v>26683</v>
      </c>
      <c r="AB1858" t="s">
        <v>28351</v>
      </c>
      <c r="AC1858" t="s">
        <v>35060</v>
      </c>
      <c r="AD1858" t="s">
        <v>38401</v>
      </c>
      <c r="AE1858">
        <v>10</v>
      </c>
      <c r="AF1858" t="s">
        <v>45550</v>
      </c>
      <c r="AG1858" t="s">
        <v>45556</v>
      </c>
      <c r="AH1858">
        <v>5</v>
      </c>
      <c r="AI1858">
        <v>1</v>
      </c>
      <c r="AJ1858">
        <v>4</v>
      </c>
      <c r="AK1858">
        <v>84.98</v>
      </c>
      <c r="AN1858" t="s">
        <v>7439</v>
      </c>
      <c r="AO1858">
        <v>25000</v>
      </c>
      <c r="AU1858">
        <v>3.98</v>
      </c>
      <c r="AV1858" t="s">
        <v>703</v>
      </c>
      <c r="AW1858" t="s">
        <v>161</v>
      </c>
    </row>
    <row r="1859" spans="1:50">
      <c r="A1859" s="1">
        <f>HYPERLINK("https://lsnyc.legalserver.org/matter/dynamic-profile/view/1877961","18-1877961")</f>
        <v>0</v>
      </c>
      <c r="B1859" t="s">
        <v>103</v>
      </c>
      <c r="C1859" t="s">
        <v>341</v>
      </c>
      <c r="D1859" t="s">
        <v>572</v>
      </c>
      <c r="E1859" t="s">
        <v>618</v>
      </c>
      <c r="F1859" t="s">
        <v>1988</v>
      </c>
      <c r="G1859" t="s">
        <v>5563</v>
      </c>
      <c r="H1859" t="s">
        <v>10704</v>
      </c>
      <c r="I1859" t="s">
        <v>17306</v>
      </c>
      <c r="J1859" t="s">
        <v>18902</v>
      </c>
      <c r="K1859">
        <v>10303</v>
      </c>
      <c r="L1859" t="s">
        <v>18958</v>
      </c>
      <c r="M1859" t="s">
        <v>18958</v>
      </c>
      <c r="N1859" t="s">
        <v>20355</v>
      </c>
      <c r="O1859" t="s">
        <v>26523</v>
      </c>
      <c r="P1859" t="s">
        <v>26560</v>
      </c>
      <c r="Q1859" t="s">
        <v>26568</v>
      </c>
      <c r="R1859" t="s">
        <v>26590</v>
      </c>
      <c r="S1859" t="s">
        <v>18959</v>
      </c>
      <c r="U1859" t="s">
        <v>26605</v>
      </c>
      <c r="V1859" t="s">
        <v>26610</v>
      </c>
      <c r="W1859" t="s">
        <v>572</v>
      </c>
      <c r="X1859">
        <v>215</v>
      </c>
      <c r="Y1859" t="s">
        <v>26654</v>
      </c>
      <c r="Z1859" t="s">
        <v>26668</v>
      </c>
      <c r="AA1859" t="s">
        <v>26680</v>
      </c>
      <c r="AB1859" t="s">
        <v>28352</v>
      </c>
      <c r="AC1859">
        <v>7293516</v>
      </c>
      <c r="AD1859" t="s">
        <v>38402</v>
      </c>
      <c r="AE1859">
        <v>35</v>
      </c>
      <c r="AF1859" t="s">
        <v>45549</v>
      </c>
      <c r="AG1859" t="s">
        <v>45556</v>
      </c>
      <c r="AH1859">
        <v>1</v>
      </c>
      <c r="AI1859">
        <v>1</v>
      </c>
      <c r="AJ1859">
        <v>1</v>
      </c>
      <c r="AK1859">
        <v>0</v>
      </c>
      <c r="AN1859" t="s">
        <v>7439</v>
      </c>
      <c r="AO1859">
        <v>0</v>
      </c>
      <c r="AQ1859" t="s">
        <v>46362</v>
      </c>
      <c r="AR1859" t="s">
        <v>46380</v>
      </c>
      <c r="AS1859" t="s">
        <v>46499</v>
      </c>
      <c r="AT1859" t="s">
        <v>46711</v>
      </c>
      <c r="AU1859">
        <v>1.7</v>
      </c>
      <c r="AV1859" t="s">
        <v>577</v>
      </c>
      <c r="AW1859" t="s">
        <v>210</v>
      </c>
    </row>
    <row r="1860" spans="1:50">
      <c r="A1860" s="1">
        <f>HYPERLINK("https://lsnyc.legalserver.org/matter/dynamic-profile/view/1877941","18-1877941")</f>
        <v>0</v>
      </c>
      <c r="B1860" t="s">
        <v>103</v>
      </c>
      <c r="C1860" t="s">
        <v>341</v>
      </c>
      <c r="D1860" t="s">
        <v>572</v>
      </c>
      <c r="E1860" t="s">
        <v>747</v>
      </c>
      <c r="F1860" t="s">
        <v>1893</v>
      </c>
      <c r="G1860" t="s">
        <v>6157</v>
      </c>
      <c r="H1860" t="s">
        <v>9903</v>
      </c>
      <c r="I1860" t="s">
        <v>17343</v>
      </c>
      <c r="J1860" t="s">
        <v>18902</v>
      </c>
      <c r="K1860">
        <v>10314</v>
      </c>
      <c r="L1860" t="s">
        <v>18958</v>
      </c>
      <c r="M1860" t="s">
        <v>18958</v>
      </c>
      <c r="N1860" t="s">
        <v>20356</v>
      </c>
      <c r="O1860" t="s">
        <v>26523</v>
      </c>
      <c r="P1860" t="s">
        <v>26560</v>
      </c>
      <c r="Q1860" t="s">
        <v>26568</v>
      </c>
      <c r="R1860" t="s">
        <v>26590</v>
      </c>
      <c r="S1860" t="s">
        <v>18959</v>
      </c>
      <c r="U1860" t="s">
        <v>26605</v>
      </c>
      <c r="V1860" t="s">
        <v>26610</v>
      </c>
      <c r="W1860" t="s">
        <v>572</v>
      </c>
      <c r="X1860">
        <v>524</v>
      </c>
      <c r="Y1860" t="s">
        <v>26654</v>
      </c>
      <c r="Z1860" t="s">
        <v>26668</v>
      </c>
      <c r="AA1860" t="s">
        <v>26680</v>
      </c>
      <c r="AB1860" t="s">
        <v>28353</v>
      </c>
      <c r="AD1860" t="s">
        <v>38403</v>
      </c>
      <c r="AE1860">
        <v>72</v>
      </c>
      <c r="AF1860" t="s">
        <v>45549</v>
      </c>
      <c r="AG1860" t="s">
        <v>45556</v>
      </c>
      <c r="AH1860">
        <v>13</v>
      </c>
      <c r="AI1860">
        <v>1</v>
      </c>
      <c r="AJ1860">
        <v>0</v>
      </c>
      <c r="AK1860">
        <v>51.99</v>
      </c>
      <c r="AN1860" t="s">
        <v>7439</v>
      </c>
      <c r="AO1860">
        <v>6312</v>
      </c>
      <c r="AQ1860" t="s">
        <v>46362</v>
      </c>
      <c r="AR1860" t="s">
        <v>46379</v>
      </c>
      <c r="AS1860" t="s">
        <v>46499</v>
      </c>
      <c r="AT1860" t="s">
        <v>46722</v>
      </c>
      <c r="AU1860">
        <v>7.3</v>
      </c>
      <c r="AV1860" t="s">
        <v>747</v>
      </c>
      <c r="AW1860" t="s">
        <v>210</v>
      </c>
    </row>
    <row r="1861" spans="1:50">
      <c r="A1861" s="1">
        <f>HYPERLINK("https://lsnyc.legalserver.org/matter/dynamic-profile/view/1877967","18-1877967")</f>
        <v>0</v>
      </c>
      <c r="B1861" t="s">
        <v>103</v>
      </c>
      <c r="C1861" t="s">
        <v>341</v>
      </c>
      <c r="D1861" t="s">
        <v>572</v>
      </c>
      <c r="E1861" t="s">
        <v>605</v>
      </c>
      <c r="F1861" t="s">
        <v>1790</v>
      </c>
      <c r="G1861" t="s">
        <v>925</v>
      </c>
      <c r="H1861" t="s">
        <v>11168</v>
      </c>
      <c r="I1861" t="s">
        <v>17733</v>
      </c>
      <c r="J1861" t="s">
        <v>18902</v>
      </c>
      <c r="K1861">
        <v>10302</v>
      </c>
      <c r="L1861" t="s">
        <v>18958</v>
      </c>
      <c r="M1861" t="s">
        <v>18958</v>
      </c>
      <c r="N1861" t="s">
        <v>20357</v>
      </c>
      <c r="O1861" t="s">
        <v>26524</v>
      </c>
      <c r="P1861" t="s">
        <v>26560</v>
      </c>
      <c r="Q1861" t="s">
        <v>26568</v>
      </c>
      <c r="R1861" t="s">
        <v>26590</v>
      </c>
      <c r="S1861" t="s">
        <v>18959</v>
      </c>
      <c r="U1861" t="s">
        <v>26604</v>
      </c>
      <c r="V1861" t="s">
        <v>26610</v>
      </c>
      <c r="W1861" t="s">
        <v>572</v>
      </c>
      <c r="X1861">
        <v>1400</v>
      </c>
      <c r="Y1861" t="s">
        <v>26654</v>
      </c>
      <c r="Z1861" t="s">
        <v>26668</v>
      </c>
      <c r="AA1861" t="s">
        <v>26678</v>
      </c>
      <c r="AB1861" t="s">
        <v>27741</v>
      </c>
      <c r="AD1861" t="s">
        <v>38404</v>
      </c>
      <c r="AE1861">
        <v>3</v>
      </c>
      <c r="AF1861" t="s">
        <v>45547</v>
      </c>
      <c r="AG1861" t="s">
        <v>45556</v>
      </c>
      <c r="AH1861">
        <v>11</v>
      </c>
      <c r="AI1861">
        <v>1</v>
      </c>
      <c r="AJ1861">
        <v>0</v>
      </c>
      <c r="AK1861">
        <v>81.94</v>
      </c>
      <c r="AN1861" t="s">
        <v>7439</v>
      </c>
      <c r="AO1861">
        <v>9948</v>
      </c>
      <c r="AQ1861" t="s">
        <v>46362</v>
      </c>
      <c r="AR1861" t="s">
        <v>46379</v>
      </c>
      <c r="AS1861" t="s">
        <v>46499</v>
      </c>
      <c r="AT1861" t="s">
        <v>46514</v>
      </c>
      <c r="AU1861">
        <v>4.1</v>
      </c>
      <c r="AV1861" t="s">
        <v>605</v>
      </c>
      <c r="AW1861" t="s">
        <v>210</v>
      </c>
    </row>
    <row r="1862" spans="1:50">
      <c r="A1862" s="1">
        <f>HYPERLINK("https://lsnyc.legalserver.org/matter/dynamic-profile/view/1877988","18-1877988")</f>
        <v>0</v>
      </c>
      <c r="B1862" t="s">
        <v>111</v>
      </c>
      <c r="C1862" t="s">
        <v>341</v>
      </c>
      <c r="D1862" t="s">
        <v>572</v>
      </c>
      <c r="E1862" t="s">
        <v>687</v>
      </c>
      <c r="F1862" t="s">
        <v>1989</v>
      </c>
      <c r="G1862" t="s">
        <v>6158</v>
      </c>
      <c r="H1862" t="s">
        <v>11169</v>
      </c>
      <c r="I1862" t="s">
        <v>17734</v>
      </c>
      <c r="J1862" t="s">
        <v>18901</v>
      </c>
      <c r="K1862">
        <v>11434</v>
      </c>
      <c r="L1862" t="s">
        <v>18958</v>
      </c>
      <c r="M1862" t="s">
        <v>18958</v>
      </c>
      <c r="N1862" t="s">
        <v>20358</v>
      </c>
      <c r="O1862" t="s">
        <v>26533</v>
      </c>
      <c r="P1862" t="s">
        <v>26560</v>
      </c>
      <c r="Q1862" t="s">
        <v>26574</v>
      </c>
      <c r="R1862" t="s">
        <v>26585</v>
      </c>
      <c r="S1862" t="s">
        <v>18959</v>
      </c>
      <c r="U1862" t="s">
        <v>26604</v>
      </c>
      <c r="V1862" t="s">
        <v>26610</v>
      </c>
      <c r="W1862" t="s">
        <v>572</v>
      </c>
      <c r="X1862">
        <v>1389</v>
      </c>
      <c r="Y1862" t="s">
        <v>26653</v>
      </c>
      <c r="Z1862" t="s">
        <v>26664</v>
      </c>
      <c r="AA1862" t="s">
        <v>26686</v>
      </c>
      <c r="AB1862" t="s">
        <v>28354</v>
      </c>
      <c r="AC1862" t="s">
        <v>35061</v>
      </c>
      <c r="AD1862" t="s">
        <v>38405</v>
      </c>
      <c r="AE1862">
        <v>1</v>
      </c>
      <c r="AF1862" t="s">
        <v>45547</v>
      </c>
      <c r="AG1862" t="s">
        <v>19330</v>
      </c>
      <c r="AH1862">
        <v>12</v>
      </c>
      <c r="AI1862">
        <v>1</v>
      </c>
      <c r="AJ1862">
        <v>1</v>
      </c>
      <c r="AK1862">
        <v>24.42</v>
      </c>
      <c r="AN1862" t="s">
        <v>7439</v>
      </c>
      <c r="AO1862">
        <v>4020</v>
      </c>
      <c r="AQ1862" t="s">
        <v>46359</v>
      </c>
      <c r="AR1862" t="s">
        <v>46437</v>
      </c>
      <c r="AS1862" t="s">
        <v>46499</v>
      </c>
      <c r="AT1862" t="s">
        <v>46716</v>
      </c>
      <c r="AU1862">
        <v>5.6</v>
      </c>
      <c r="AV1862" t="s">
        <v>582</v>
      </c>
      <c r="AW1862" t="s">
        <v>161</v>
      </c>
    </row>
    <row r="1863" spans="1:50">
      <c r="A1863" s="1">
        <f>HYPERLINK("https://lsnyc.legalserver.org/matter/dynamic-profile/view/1877951","18-1877951")</f>
        <v>0</v>
      </c>
      <c r="B1863" t="s">
        <v>111</v>
      </c>
      <c r="C1863" t="s">
        <v>341</v>
      </c>
      <c r="D1863" t="s">
        <v>572</v>
      </c>
      <c r="E1863" t="s">
        <v>691</v>
      </c>
      <c r="F1863" t="s">
        <v>990</v>
      </c>
      <c r="G1863" t="s">
        <v>1677</v>
      </c>
      <c r="H1863" t="s">
        <v>11170</v>
      </c>
      <c r="I1863" t="s">
        <v>17287</v>
      </c>
      <c r="J1863" t="s">
        <v>18901</v>
      </c>
      <c r="K1863">
        <v>11434</v>
      </c>
      <c r="L1863" t="s">
        <v>18958</v>
      </c>
      <c r="M1863" t="s">
        <v>18958</v>
      </c>
      <c r="N1863" t="s">
        <v>20359</v>
      </c>
      <c r="O1863" t="s">
        <v>26523</v>
      </c>
      <c r="P1863" t="s">
        <v>26560</v>
      </c>
      <c r="Q1863" t="s">
        <v>26568</v>
      </c>
      <c r="R1863" t="s">
        <v>26585</v>
      </c>
      <c r="S1863" t="s">
        <v>18959</v>
      </c>
      <c r="U1863" t="s">
        <v>26604</v>
      </c>
      <c r="V1863" t="s">
        <v>26610</v>
      </c>
      <c r="W1863" t="s">
        <v>572</v>
      </c>
      <c r="X1863">
        <v>963</v>
      </c>
      <c r="Y1863" t="s">
        <v>26653</v>
      </c>
      <c r="Z1863" t="s">
        <v>26664</v>
      </c>
      <c r="AA1863" t="s">
        <v>26678</v>
      </c>
      <c r="AB1863" t="s">
        <v>28355</v>
      </c>
      <c r="AD1863" t="s">
        <v>38406</v>
      </c>
      <c r="AE1863">
        <v>293</v>
      </c>
      <c r="AF1863" t="s">
        <v>45552</v>
      </c>
      <c r="AG1863" t="s">
        <v>19330</v>
      </c>
      <c r="AH1863">
        <v>40</v>
      </c>
      <c r="AI1863">
        <v>1</v>
      </c>
      <c r="AJ1863">
        <v>0</v>
      </c>
      <c r="AK1863">
        <v>73.15000000000001</v>
      </c>
      <c r="AN1863" t="s">
        <v>7439</v>
      </c>
      <c r="AO1863">
        <v>8880</v>
      </c>
      <c r="AQ1863" t="s">
        <v>46362</v>
      </c>
      <c r="AR1863" t="s">
        <v>46383</v>
      </c>
      <c r="AS1863" t="s">
        <v>46502</v>
      </c>
      <c r="AT1863" t="s">
        <v>46551</v>
      </c>
      <c r="AU1863">
        <v>3.8</v>
      </c>
      <c r="AV1863" t="s">
        <v>643</v>
      </c>
      <c r="AW1863" t="s">
        <v>161</v>
      </c>
    </row>
    <row r="1864" spans="1:50">
      <c r="A1864" s="1">
        <f>HYPERLINK("https://lsnyc.legalserver.org/matter/dynamic-profile/view/1877972","18-1877972")</f>
        <v>0</v>
      </c>
      <c r="B1864" t="s">
        <v>155</v>
      </c>
      <c r="C1864" t="s">
        <v>341</v>
      </c>
      <c r="D1864" t="s">
        <v>572</v>
      </c>
      <c r="E1864" t="s">
        <v>666</v>
      </c>
      <c r="F1864" t="s">
        <v>964</v>
      </c>
      <c r="G1864" t="s">
        <v>1279</v>
      </c>
      <c r="H1864" t="s">
        <v>11171</v>
      </c>
      <c r="I1864" t="s">
        <v>17735</v>
      </c>
      <c r="J1864" t="s">
        <v>18894</v>
      </c>
      <c r="K1864">
        <v>11226</v>
      </c>
      <c r="L1864" t="s">
        <v>18958</v>
      </c>
      <c r="M1864" t="s">
        <v>18958</v>
      </c>
      <c r="N1864" t="s">
        <v>20360</v>
      </c>
      <c r="O1864" t="s">
        <v>26523</v>
      </c>
      <c r="P1864" t="s">
        <v>26560</v>
      </c>
      <c r="Q1864" t="s">
        <v>26568</v>
      </c>
      <c r="R1864" t="s">
        <v>26578</v>
      </c>
      <c r="S1864" t="s">
        <v>18959</v>
      </c>
      <c r="U1864" t="s">
        <v>26604</v>
      </c>
      <c r="V1864" t="s">
        <v>26612</v>
      </c>
      <c r="W1864" t="s">
        <v>572</v>
      </c>
      <c r="X1864">
        <v>1141.86</v>
      </c>
      <c r="Y1864" t="s">
        <v>26652</v>
      </c>
      <c r="AA1864" t="s">
        <v>26678</v>
      </c>
      <c r="AB1864" t="s">
        <v>28356</v>
      </c>
      <c r="AD1864" t="s">
        <v>38407</v>
      </c>
      <c r="AE1864">
        <v>0</v>
      </c>
      <c r="AF1864" t="s">
        <v>45541</v>
      </c>
      <c r="AH1864">
        <v>30</v>
      </c>
      <c r="AI1864">
        <v>3</v>
      </c>
      <c r="AJ1864">
        <v>0</v>
      </c>
      <c r="AK1864">
        <v>0</v>
      </c>
      <c r="AN1864" t="s">
        <v>45585</v>
      </c>
      <c r="AO1864">
        <v>0</v>
      </c>
      <c r="AR1864" t="s">
        <v>46381</v>
      </c>
      <c r="AS1864" t="s">
        <v>46499</v>
      </c>
      <c r="AT1864" t="s">
        <v>46528</v>
      </c>
      <c r="AU1864">
        <v>18.9</v>
      </c>
      <c r="AV1864" t="s">
        <v>413</v>
      </c>
      <c r="AW1864" t="s">
        <v>198</v>
      </c>
    </row>
    <row r="1865" spans="1:50">
      <c r="A1865" s="1">
        <f>HYPERLINK("https://lsnyc.legalserver.org/matter/dynamic-profile/view/1877953","18-1877953")</f>
        <v>0</v>
      </c>
      <c r="B1865" t="s">
        <v>69</v>
      </c>
      <c r="C1865" t="s">
        <v>341</v>
      </c>
      <c r="D1865" t="s">
        <v>572</v>
      </c>
      <c r="E1865" t="s">
        <v>786</v>
      </c>
      <c r="F1865" t="s">
        <v>1763</v>
      </c>
      <c r="G1865" t="s">
        <v>5199</v>
      </c>
      <c r="H1865" t="s">
        <v>11172</v>
      </c>
      <c r="I1865" t="s">
        <v>17282</v>
      </c>
      <c r="J1865" t="s">
        <v>18892</v>
      </c>
      <c r="K1865">
        <v>10457</v>
      </c>
      <c r="L1865" t="s">
        <v>18958</v>
      </c>
      <c r="M1865" t="s">
        <v>18958</v>
      </c>
      <c r="N1865" t="s">
        <v>20361</v>
      </c>
      <c r="O1865" t="s">
        <v>26523</v>
      </c>
      <c r="P1865" t="s">
        <v>26560</v>
      </c>
      <c r="Q1865" t="s">
        <v>26568</v>
      </c>
      <c r="R1865" t="s">
        <v>26579</v>
      </c>
      <c r="U1865" t="s">
        <v>26604</v>
      </c>
      <c r="W1865" t="s">
        <v>572</v>
      </c>
      <c r="X1865">
        <v>1373.18</v>
      </c>
      <c r="Y1865" t="s">
        <v>26650</v>
      </c>
      <c r="Z1865" t="s">
        <v>26659</v>
      </c>
      <c r="AA1865" t="s">
        <v>26678</v>
      </c>
      <c r="AB1865" t="s">
        <v>28357</v>
      </c>
      <c r="AC1865" t="s">
        <v>35062</v>
      </c>
      <c r="AD1865" t="s">
        <v>38408</v>
      </c>
      <c r="AE1865">
        <v>0</v>
      </c>
      <c r="AF1865" t="s">
        <v>45541</v>
      </c>
      <c r="AH1865">
        <v>6</v>
      </c>
      <c r="AI1865">
        <v>3</v>
      </c>
      <c r="AJ1865">
        <v>0</v>
      </c>
      <c r="AK1865">
        <v>82.58</v>
      </c>
      <c r="AN1865" t="s">
        <v>7439</v>
      </c>
      <c r="AO1865">
        <v>17160</v>
      </c>
      <c r="AS1865" t="s">
        <v>46499</v>
      </c>
      <c r="AT1865" t="s">
        <v>46545</v>
      </c>
      <c r="AU1865">
        <v>9.1</v>
      </c>
      <c r="AV1865" t="s">
        <v>719</v>
      </c>
      <c r="AW1865" t="s">
        <v>46836</v>
      </c>
    </row>
    <row r="1866" spans="1:50">
      <c r="A1866" s="1">
        <f>HYPERLINK("https://lsnyc.legalserver.org/matter/dynamic-profile/view/1877991","18-1877991")</f>
        <v>0</v>
      </c>
      <c r="B1866" t="s">
        <v>130</v>
      </c>
      <c r="C1866" t="s">
        <v>340</v>
      </c>
      <c r="D1866" t="s">
        <v>572</v>
      </c>
      <c r="F1866" t="s">
        <v>873</v>
      </c>
      <c r="G1866" t="s">
        <v>6159</v>
      </c>
      <c r="H1866" t="s">
        <v>11173</v>
      </c>
      <c r="I1866" t="s">
        <v>17430</v>
      </c>
      <c r="J1866" t="s">
        <v>18901</v>
      </c>
      <c r="K1866">
        <v>11434</v>
      </c>
      <c r="L1866" t="s">
        <v>18958</v>
      </c>
      <c r="M1866" t="s">
        <v>18958</v>
      </c>
      <c r="N1866" t="s">
        <v>20362</v>
      </c>
      <c r="O1866" t="s">
        <v>26524</v>
      </c>
      <c r="P1866" t="s">
        <v>26560</v>
      </c>
      <c r="R1866" t="s">
        <v>26585</v>
      </c>
      <c r="S1866" t="s">
        <v>18959</v>
      </c>
      <c r="U1866" t="s">
        <v>26604</v>
      </c>
      <c r="V1866" t="s">
        <v>26610</v>
      </c>
      <c r="W1866" t="s">
        <v>572</v>
      </c>
      <c r="X1866">
        <v>0</v>
      </c>
      <c r="Y1866" t="s">
        <v>26653</v>
      </c>
      <c r="Z1866" t="s">
        <v>26664</v>
      </c>
      <c r="AB1866" t="s">
        <v>28076</v>
      </c>
      <c r="AC1866" t="s">
        <v>35063</v>
      </c>
      <c r="AD1866" t="s">
        <v>38409</v>
      </c>
      <c r="AE1866">
        <v>3</v>
      </c>
      <c r="AF1866" t="s">
        <v>45547</v>
      </c>
      <c r="AG1866" t="s">
        <v>19330</v>
      </c>
      <c r="AH1866">
        <v>30</v>
      </c>
      <c r="AI1866">
        <v>1</v>
      </c>
      <c r="AJ1866">
        <v>0</v>
      </c>
      <c r="AK1866">
        <v>109.83</v>
      </c>
      <c r="AN1866" t="s">
        <v>7439</v>
      </c>
      <c r="AO1866">
        <v>13333.56</v>
      </c>
      <c r="AQ1866" t="s">
        <v>46359</v>
      </c>
      <c r="AR1866" t="s">
        <v>46384</v>
      </c>
      <c r="AS1866" t="s">
        <v>46502</v>
      </c>
      <c r="AT1866" t="s">
        <v>46723</v>
      </c>
      <c r="AU1866">
        <v>64.45</v>
      </c>
      <c r="AV1866" t="s">
        <v>843</v>
      </c>
      <c r="AW1866" t="s">
        <v>161</v>
      </c>
      <c r="AX1866" t="s">
        <v>46897</v>
      </c>
    </row>
    <row r="1867" spans="1:50">
      <c r="A1867" s="1">
        <f>HYPERLINK("https://lsnyc.legalserver.org/matter/dynamic-profile/view/1878011","18-1878011")</f>
        <v>0</v>
      </c>
      <c r="B1867" t="s">
        <v>57</v>
      </c>
      <c r="C1867" t="s">
        <v>340</v>
      </c>
      <c r="D1867" t="s">
        <v>572</v>
      </c>
      <c r="F1867" t="s">
        <v>1656</v>
      </c>
      <c r="G1867" t="s">
        <v>6160</v>
      </c>
      <c r="H1867" t="s">
        <v>11174</v>
      </c>
      <c r="I1867" t="s">
        <v>17312</v>
      </c>
      <c r="J1867" t="s">
        <v>18892</v>
      </c>
      <c r="K1867">
        <v>10467</v>
      </c>
      <c r="L1867" t="s">
        <v>18958</v>
      </c>
      <c r="M1867" t="s">
        <v>18958</v>
      </c>
      <c r="N1867" t="s">
        <v>20363</v>
      </c>
      <c r="O1867" t="s">
        <v>26523</v>
      </c>
      <c r="P1867" t="s">
        <v>26560</v>
      </c>
      <c r="R1867" t="s">
        <v>26579</v>
      </c>
      <c r="S1867" t="s">
        <v>18959</v>
      </c>
      <c r="U1867" t="s">
        <v>26604</v>
      </c>
      <c r="V1867" t="s">
        <v>26610</v>
      </c>
      <c r="W1867" t="s">
        <v>572</v>
      </c>
      <c r="X1867">
        <v>1433</v>
      </c>
      <c r="Y1867" t="s">
        <v>26650</v>
      </c>
      <c r="Z1867" t="s">
        <v>26664</v>
      </c>
      <c r="AB1867" t="s">
        <v>28358</v>
      </c>
      <c r="AC1867" t="s">
        <v>35064</v>
      </c>
      <c r="AD1867" t="s">
        <v>38410</v>
      </c>
      <c r="AE1867">
        <v>45</v>
      </c>
      <c r="AF1867" t="s">
        <v>45541</v>
      </c>
      <c r="AG1867" t="s">
        <v>19330</v>
      </c>
      <c r="AH1867">
        <v>20</v>
      </c>
      <c r="AI1867">
        <v>2</v>
      </c>
      <c r="AJ1867">
        <v>0</v>
      </c>
      <c r="AK1867">
        <v>126.37</v>
      </c>
      <c r="AN1867" t="s">
        <v>7439</v>
      </c>
      <c r="AO1867">
        <v>20800</v>
      </c>
      <c r="AU1867">
        <v>20.1</v>
      </c>
      <c r="AV1867" t="s">
        <v>825</v>
      </c>
      <c r="AW1867" t="s">
        <v>334</v>
      </c>
    </row>
    <row r="1868" spans="1:50">
      <c r="A1868" s="1">
        <f>HYPERLINK("https://lsnyc.legalserver.org/matter/dynamic-profile/view/1878039","18-1878039")</f>
        <v>0</v>
      </c>
      <c r="B1868" t="s">
        <v>57</v>
      </c>
      <c r="C1868" t="s">
        <v>340</v>
      </c>
      <c r="D1868" t="s">
        <v>572</v>
      </c>
      <c r="F1868" t="s">
        <v>881</v>
      </c>
      <c r="G1868" t="s">
        <v>6161</v>
      </c>
      <c r="H1868" t="s">
        <v>11175</v>
      </c>
      <c r="I1868" t="s">
        <v>17736</v>
      </c>
      <c r="J1868" t="s">
        <v>18892</v>
      </c>
      <c r="K1868">
        <v>10467</v>
      </c>
      <c r="L1868" t="s">
        <v>18958</v>
      </c>
      <c r="M1868" t="s">
        <v>18958</v>
      </c>
      <c r="N1868" t="s">
        <v>20364</v>
      </c>
      <c r="O1868" t="s">
        <v>26523</v>
      </c>
      <c r="P1868" t="s">
        <v>26560</v>
      </c>
      <c r="R1868" t="s">
        <v>26579</v>
      </c>
      <c r="S1868" t="s">
        <v>18959</v>
      </c>
      <c r="U1868" t="s">
        <v>26604</v>
      </c>
      <c r="V1868" t="s">
        <v>26610</v>
      </c>
      <c r="W1868" t="s">
        <v>572</v>
      </c>
      <c r="X1868">
        <v>1325</v>
      </c>
      <c r="Y1868" t="s">
        <v>26650</v>
      </c>
      <c r="Z1868" t="s">
        <v>26664</v>
      </c>
      <c r="AB1868" t="s">
        <v>28359</v>
      </c>
      <c r="AC1868" t="s">
        <v>35065</v>
      </c>
      <c r="AD1868" t="s">
        <v>38411</v>
      </c>
      <c r="AE1868">
        <v>48</v>
      </c>
      <c r="AF1868" t="s">
        <v>45541</v>
      </c>
      <c r="AG1868" t="s">
        <v>19330</v>
      </c>
      <c r="AH1868">
        <v>1</v>
      </c>
      <c r="AI1868">
        <v>2</v>
      </c>
      <c r="AJ1868">
        <v>1</v>
      </c>
      <c r="AK1868">
        <v>175.17</v>
      </c>
      <c r="AN1868" t="s">
        <v>45581</v>
      </c>
      <c r="AO1868">
        <v>36400</v>
      </c>
      <c r="AU1868">
        <v>47</v>
      </c>
      <c r="AV1868" t="s">
        <v>830</v>
      </c>
      <c r="AW1868" t="s">
        <v>334</v>
      </c>
    </row>
    <row r="1869" spans="1:50">
      <c r="A1869" s="1">
        <f>HYPERLINK("https://lsnyc.legalserver.org/matter/dynamic-profile/view/1877932","18-1877932")</f>
        <v>0</v>
      </c>
      <c r="B1869" t="s">
        <v>109</v>
      </c>
      <c r="C1869" t="s">
        <v>340</v>
      </c>
      <c r="D1869" t="s">
        <v>572</v>
      </c>
      <c r="F1869" t="s">
        <v>1134</v>
      </c>
      <c r="G1869" t="s">
        <v>6162</v>
      </c>
      <c r="H1869" t="s">
        <v>9915</v>
      </c>
      <c r="I1869" t="s">
        <v>17352</v>
      </c>
      <c r="J1869" t="s">
        <v>18902</v>
      </c>
      <c r="K1869">
        <v>10303</v>
      </c>
      <c r="L1869" t="s">
        <v>18958</v>
      </c>
      <c r="M1869" t="s">
        <v>18960</v>
      </c>
      <c r="N1869" t="s">
        <v>20365</v>
      </c>
      <c r="O1869" t="s">
        <v>26523</v>
      </c>
      <c r="P1869" t="s">
        <v>26560</v>
      </c>
      <c r="R1869" t="s">
        <v>26590</v>
      </c>
      <c r="S1869" t="s">
        <v>18959</v>
      </c>
      <c r="U1869" t="s">
        <v>26605</v>
      </c>
      <c r="W1869" t="s">
        <v>572</v>
      </c>
      <c r="X1869">
        <v>1023</v>
      </c>
      <c r="Y1869" t="s">
        <v>26654</v>
      </c>
      <c r="Z1869" t="s">
        <v>26668</v>
      </c>
      <c r="AB1869" t="s">
        <v>26953</v>
      </c>
      <c r="AD1869" t="s">
        <v>38412</v>
      </c>
      <c r="AE1869">
        <v>0</v>
      </c>
      <c r="AG1869" t="s">
        <v>45556</v>
      </c>
      <c r="AH1869">
        <v>7</v>
      </c>
      <c r="AI1869">
        <v>1</v>
      </c>
      <c r="AJ1869">
        <v>2</v>
      </c>
      <c r="AK1869">
        <v>162.66</v>
      </c>
      <c r="AO1869">
        <v>33800</v>
      </c>
      <c r="AU1869">
        <v>6.2</v>
      </c>
      <c r="AV1869" t="s">
        <v>716</v>
      </c>
      <c r="AW1869" t="s">
        <v>210</v>
      </c>
    </row>
    <row r="1870" spans="1:50">
      <c r="A1870" s="1">
        <f>HYPERLINK("https://lsnyc.legalserver.org/matter/dynamic-profile/view/1878021","18-1878021")</f>
        <v>0</v>
      </c>
      <c r="B1870" t="s">
        <v>212</v>
      </c>
      <c r="C1870" t="s">
        <v>340</v>
      </c>
      <c r="D1870" t="s">
        <v>572</v>
      </c>
      <c r="F1870" t="s">
        <v>1990</v>
      </c>
      <c r="G1870" t="s">
        <v>3662</v>
      </c>
      <c r="H1870" t="s">
        <v>10433</v>
      </c>
      <c r="I1870">
        <v>807</v>
      </c>
      <c r="J1870" t="s">
        <v>18905</v>
      </c>
      <c r="K1870">
        <v>11692</v>
      </c>
      <c r="L1870" t="s">
        <v>18958</v>
      </c>
      <c r="M1870" t="s">
        <v>18958</v>
      </c>
      <c r="N1870" t="s">
        <v>20366</v>
      </c>
      <c r="O1870" t="s">
        <v>26523</v>
      </c>
      <c r="P1870" t="s">
        <v>26560</v>
      </c>
      <c r="R1870" t="s">
        <v>26578</v>
      </c>
      <c r="S1870" t="s">
        <v>18959</v>
      </c>
      <c r="U1870" t="s">
        <v>26604</v>
      </c>
      <c r="V1870" t="s">
        <v>26611</v>
      </c>
      <c r="W1870" t="s">
        <v>572</v>
      </c>
      <c r="X1870">
        <v>1650</v>
      </c>
      <c r="Y1870" t="s">
        <v>26653</v>
      </c>
      <c r="Z1870" t="s">
        <v>26664</v>
      </c>
      <c r="AB1870" t="s">
        <v>28360</v>
      </c>
      <c r="AC1870" t="s">
        <v>35066</v>
      </c>
      <c r="AD1870" t="s">
        <v>38413</v>
      </c>
      <c r="AE1870">
        <v>103</v>
      </c>
      <c r="AF1870" t="s">
        <v>45541</v>
      </c>
      <c r="AG1870" t="s">
        <v>45562</v>
      </c>
      <c r="AH1870">
        <v>1</v>
      </c>
      <c r="AI1870">
        <v>1</v>
      </c>
      <c r="AJ1870">
        <v>3</v>
      </c>
      <c r="AK1870">
        <v>127.49</v>
      </c>
      <c r="AN1870" t="s">
        <v>7439</v>
      </c>
      <c r="AO1870">
        <v>32000</v>
      </c>
      <c r="AQ1870" t="s">
        <v>46366</v>
      </c>
      <c r="AR1870" t="s">
        <v>46450</v>
      </c>
      <c r="AS1870" t="s">
        <v>46499</v>
      </c>
      <c r="AT1870" t="s">
        <v>46625</v>
      </c>
      <c r="AU1870">
        <v>6.65</v>
      </c>
      <c r="AV1870" t="s">
        <v>784</v>
      </c>
      <c r="AW1870" t="s">
        <v>208</v>
      </c>
    </row>
    <row r="1871" spans="1:50">
      <c r="A1871" s="1">
        <f>HYPERLINK("https://lsnyc.legalserver.org/matter/dynamic-profile/view/1877974","18-1877974")</f>
        <v>0</v>
      </c>
      <c r="B1871" t="s">
        <v>212</v>
      </c>
      <c r="C1871" t="s">
        <v>340</v>
      </c>
      <c r="D1871" t="s">
        <v>572</v>
      </c>
      <c r="F1871" t="s">
        <v>1991</v>
      </c>
      <c r="G1871" t="s">
        <v>5308</v>
      </c>
      <c r="H1871" t="s">
        <v>11176</v>
      </c>
      <c r="I1871" t="s">
        <v>17430</v>
      </c>
      <c r="J1871" t="s">
        <v>18901</v>
      </c>
      <c r="K1871">
        <v>11433</v>
      </c>
      <c r="L1871" t="s">
        <v>18958</v>
      </c>
      <c r="M1871" t="s">
        <v>18958</v>
      </c>
      <c r="N1871" t="s">
        <v>20367</v>
      </c>
      <c r="O1871" t="s">
        <v>26524</v>
      </c>
      <c r="P1871" t="s">
        <v>26560</v>
      </c>
      <c r="R1871" t="s">
        <v>26585</v>
      </c>
      <c r="S1871" t="s">
        <v>18959</v>
      </c>
      <c r="U1871" t="s">
        <v>26604</v>
      </c>
      <c r="V1871" t="s">
        <v>26610</v>
      </c>
      <c r="W1871" t="s">
        <v>572</v>
      </c>
      <c r="X1871">
        <v>1956</v>
      </c>
      <c r="Y1871" t="s">
        <v>26653</v>
      </c>
      <c r="Z1871" t="s">
        <v>26664</v>
      </c>
      <c r="AB1871" t="s">
        <v>28361</v>
      </c>
      <c r="AC1871" t="s">
        <v>35067</v>
      </c>
      <c r="AD1871" t="s">
        <v>38414</v>
      </c>
      <c r="AE1871">
        <v>2</v>
      </c>
      <c r="AF1871" t="s">
        <v>45547</v>
      </c>
      <c r="AG1871" t="s">
        <v>45557</v>
      </c>
      <c r="AH1871">
        <v>1</v>
      </c>
      <c r="AI1871">
        <v>3</v>
      </c>
      <c r="AJ1871">
        <v>4</v>
      </c>
      <c r="AK1871">
        <v>0</v>
      </c>
      <c r="AN1871" t="s">
        <v>7439</v>
      </c>
      <c r="AO1871">
        <v>0</v>
      </c>
      <c r="AU1871">
        <v>5.8</v>
      </c>
      <c r="AV1871" t="s">
        <v>836</v>
      </c>
      <c r="AW1871" t="s">
        <v>161</v>
      </c>
    </row>
    <row r="1872" spans="1:50">
      <c r="A1872" s="1">
        <f>HYPERLINK("https://lsnyc.legalserver.org/matter/dynamic-profile/view/1877117","18-1877117")</f>
        <v>0</v>
      </c>
      <c r="B1872" t="s">
        <v>104</v>
      </c>
      <c r="C1872" t="s">
        <v>340</v>
      </c>
      <c r="D1872" t="s">
        <v>572</v>
      </c>
      <c r="F1872" t="s">
        <v>947</v>
      </c>
      <c r="G1872" t="s">
        <v>2382</v>
      </c>
      <c r="H1872" t="s">
        <v>10326</v>
      </c>
      <c r="I1872" t="s">
        <v>17410</v>
      </c>
      <c r="J1872" t="s">
        <v>18902</v>
      </c>
      <c r="K1872">
        <v>10304</v>
      </c>
      <c r="L1872" t="s">
        <v>18958</v>
      </c>
      <c r="M1872" t="s">
        <v>18958</v>
      </c>
      <c r="N1872" t="s">
        <v>20368</v>
      </c>
      <c r="O1872" t="s">
        <v>26523</v>
      </c>
      <c r="P1872" t="s">
        <v>26560</v>
      </c>
      <c r="R1872" t="s">
        <v>26578</v>
      </c>
      <c r="S1872" t="s">
        <v>18959</v>
      </c>
      <c r="U1872" t="s">
        <v>26604</v>
      </c>
      <c r="V1872" t="s">
        <v>26610</v>
      </c>
      <c r="W1872" t="s">
        <v>572</v>
      </c>
      <c r="X1872">
        <v>1321.12</v>
      </c>
      <c r="Y1872" t="s">
        <v>26654</v>
      </c>
      <c r="Z1872" t="s">
        <v>26661</v>
      </c>
      <c r="AB1872" t="s">
        <v>28362</v>
      </c>
      <c r="AD1872" t="s">
        <v>38279</v>
      </c>
      <c r="AE1872">
        <v>84</v>
      </c>
      <c r="AF1872" t="s">
        <v>45541</v>
      </c>
      <c r="AG1872" t="s">
        <v>45556</v>
      </c>
      <c r="AH1872">
        <v>3</v>
      </c>
      <c r="AI1872">
        <v>1</v>
      </c>
      <c r="AJ1872">
        <v>0</v>
      </c>
      <c r="AK1872">
        <v>93.81</v>
      </c>
      <c r="AN1872" t="s">
        <v>7439</v>
      </c>
      <c r="AO1872">
        <v>11388</v>
      </c>
      <c r="AQ1872" t="s">
        <v>46361</v>
      </c>
      <c r="AR1872" t="s">
        <v>46379</v>
      </c>
      <c r="AU1872">
        <v>59.15</v>
      </c>
      <c r="AV1872" t="s">
        <v>772</v>
      </c>
      <c r="AW1872" t="s">
        <v>190</v>
      </c>
    </row>
    <row r="1873" spans="1:50">
      <c r="A1873" s="1">
        <f>HYPERLINK("https://lsnyc.legalserver.org/matter/dynamic-profile/view/1878042","18-1878042")</f>
        <v>0</v>
      </c>
      <c r="B1873" t="s">
        <v>112</v>
      </c>
      <c r="C1873" t="s">
        <v>340</v>
      </c>
      <c r="D1873" t="s">
        <v>572</v>
      </c>
      <c r="F1873" t="s">
        <v>1826</v>
      </c>
      <c r="G1873" t="s">
        <v>6163</v>
      </c>
      <c r="H1873" t="s">
        <v>11177</v>
      </c>
      <c r="I1873" t="s">
        <v>17423</v>
      </c>
      <c r="J1873" t="s">
        <v>18913</v>
      </c>
      <c r="K1873">
        <v>11103</v>
      </c>
      <c r="L1873" t="s">
        <v>18958</v>
      </c>
      <c r="M1873" t="s">
        <v>18958</v>
      </c>
      <c r="N1873" t="s">
        <v>20369</v>
      </c>
      <c r="O1873" t="s">
        <v>26524</v>
      </c>
      <c r="P1873" t="s">
        <v>26564</v>
      </c>
      <c r="R1873" t="s">
        <v>26584</v>
      </c>
      <c r="S1873" t="s">
        <v>18959</v>
      </c>
      <c r="U1873" t="s">
        <v>26604</v>
      </c>
      <c r="V1873" t="s">
        <v>26610</v>
      </c>
      <c r="W1873" t="s">
        <v>572</v>
      </c>
      <c r="X1873">
        <v>2460</v>
      </c>
      <c r="Y1873" t="s">
        <v>26653</v>
      </c>
      <c r="Z1873" t="s">
        <v>26664</v>
      </c>
      <c r="AB1873" t="s">
        <v>28363</v>
      </c>
      <c r="AD1873" t="s">
        <v>38415</v>
      </c>
      <c r="AE1873">
        <v>3</v>
      </c>
      <c r="AF1873" t="s">
        <v>45547</v>
      </c>
      <c r="AG1873" t="s">
        <v>19330</v>
      </c>
      <c r="AH1873">
        <v>3</v>
      </c>
      <c r="AI1873">
        <v>1</v>
      </c>
      <c r="AJ1873">
        <v>2</v>
      </c>
      <c r="AK1873">
        <v>38.5</v>
      </c>
      <c r="AN1873" t="s">
        <v>45581</v>
      </c>
      <c r="AO1873">
        <v>8000</v>
      </c>
      <c r="AU1873">
        <v>1.2</v>
      </c>
      <c r="AV1873" t="s">
        <v>458</v>
      </c>
      <c r="AW1873" t="s">
        <v>208</v>
      </c>
    </row>
    <row r="1874" spans="1:50">
      <c r="A1874" s="1">
        <f>HYPERLINK("https://lsnyc.legalserver.org/matter/dynamic-profile/view/1877956","18-1877956")</f>
        <v>0</v>
      </c>
      <c r="B1874" t="s">
        <v>69</v>
      </c>
      <c r="C1874" t="s">
        <v>340</v>
      </c>
      <c r="D1874" t="s">
        <v>572</v>
      </c>
      <c r="F1874" t="s">
        <v>1992</v>
      </c>
      <c r="G1874" t="s">
        <v>5419</v>
      </c>
      <c r="H1874" t="s">
        <v>10900</v>
      </c>
      <c r="I1874" t="s">
        <v>17322</v>
      </c>
      <c r="J1874" t="s">
        <v>18892</v>
      </c>
      <c r="K1874">
        <v>10467</v>
      </c>
      <c r="L1874" t="s">
        <v>18958</v>
      </c>
      <c r="M1874" t="s">
        <v>18958</v>
      </c>
      <c r="N1874" t="s">
        <v>20370</v>
      </c>
      <c r="O1874" t="s">
        <v>26523</v>
      </c>
      <c r="P1874" t="s">
        <v>26560</v>
      </c>
      <c r="R1874" t="s">
        <v>26579</v>
      </c>
      <c r="U1874" t="s">
        <v>26604</v>
      </c>
      <c r="V1874" t="s">
        <v>26610</v>
      </c>
      <c r="W1874" t="s">
        <v>572</v>
      </c>
      <c r="X1874">
        <v>0</v>
      </c>
      <c r="Y1874" t="s">
        <v>26650</v>
      </c>
      <c r="Z1874" t="s">
        <v>26664</v>
      </c>
      <c r="AB1874" t="s">
        <v>27640</v>
      </c>
      <c r="AD1874" t="s">
        <v>38416</v>
      </c>
      <c r="AE1874">
        <v>0</v>
      </c>
      <c r="AF1874" t="s">
        <v>45541</v>
      </c>
      <c r="AH1874">
        <v>0</v>
      </c>
      <c r="AI1874">
        <v>2</v>
      </c>
      <c r="AJ1874">
        <v>0</v>
      </c>
      <c r="AK1874">
        <v>96.81999999999999</v>
      </c>
      <c r="AO1874">
        <v>15937.2</v>
      </c>
      <c r="AU1874">
        <v>50.55</v>
      </c>
      <c r="AV1874" t="s">
        <v>835</v>
      </c>
      <c r="AW1874" t="s">
        <v>334</v>
      </c>
    </row>
    <row r="1875" spans="1:50">
      <c r="A1875" s="1">
        <f>HYPERLINK("https://lsnyc.legalserver.org/matter/dynamic-profile/view/1878139","18-1878139")</f>
        <v>0</v>
      </c>
      <c r="B1875" t="s">
        <v>91</v>
      </c>
      <c r="C1875" t="s">
        <v>340</v>
      </c>
      <c r="D1875" t="s">
        <v>534</v>
      </c>
      <c r="F1875" t="s">
        <v>1993</v>
      </c>
      <c r="G1875" t="s">
        <v>2845</v>
      </c>
      <c r="H1875" t="s">
        <v>11178</v>
      </c>
      <c r="I1875" t="s">
        <v>17415</v>
      </c>
      <c r="J1875" t="s">
        <v>18917</v>
      </c>
      <c r="K1875">
        <v>11356</v>
      </c>
      <c r="L1875" t="s">
        <v>18958</v>
      </c>
      <c r="M1875" t="s">
        <v>18960</v>
      </c>
      <c r="N1875" t="s">
        <v>20371</v>
      </c>
      <c r="O1875" t="s">
        <v>26524</v>
      </c>
      <c r="P1875" t="s">
        <v>26564</v>
      </c>
      <c r="R1875" t="s">
        <v>26584</v>
      </c>
      <c r="U1875" t="s">
        <v>26604</v>
      </c>
      <c r="W1875" t="s">
        <v>572</v>
      </c>
      <c r="X1875">
        <v>2250</v>
      </c>
      <c r="Y1875" t="s">
        <v>26653</v>
      </c>
      <c r="Z1875" t="s">
        <v>26664</v>
      </c>
      <c r="AB1875" t="s">
        <v>28364</v>
      </c>
      <c r="AD1875" t="s">
        <v>38417</v>
      </c>
      <c r="AE1875">
        <v>2</v>
      </c>
      <c r="AG1875" t="s">
        <v>19330</v>
      </c>
      <c r="AH1875">
        <v>2</v>
      </c>
      <c r="AI1875">
        <v>3</v>
      </c>
      <c r="AJ1875">
        <v>0</v>
      </c>
      <c r="AK1875">
        <v>173.24</v>
      </c>
      <c r="AN1875" t="s">
        <v>7439</v>
      </c>
      <c r="AO1875">
        <v>36000</v>
      </c>
      <c r="AU1875">
        <v>1.1</v>
      </c>
      <c r="AV1875" t="s">
        <v>529</v>
      </c>
      <c r="AW1875" t="s">
        <v>122</v>
      </c>
    </row>
    <row r="1876" spans="1:50">
      <c r="A1876" s="1">
        <f>HYPERLINK("https://lsnyc.legalserver.org/matter/dynamic-profile/view/1878284","18-1878284")</f>
        <v>0</v>
      </c>
      <c r="B1876" t="s">
        <v>91</v>
      </c>
      <c r="C1876" t="s">
        <v>341</v>
      </c>
      <c r="D1876" t="s">
        <v>596</v>
      </c>
      <c r="E1876" t="s">
        <v>819</v>
      </c>
      <c r="F1876" t="s">
        <v>1994</v>
      </c>
      <c r="G1876" t="s">
        <v>5191</v>
      </c>
      <c r="H1876" t="s">
        <v>11179</v>
      </c>
      <c r="I1876" t="s">
        <v>17278</v>
      </c>
      <c r="J1876" t="s">
        <v>18906</v>
      </c>
      <c r="K1876">
        <v>11373</v>
      </c>
      <c r="L1876" t="s">
        <v>18958</v>
      </c>
      <c r="M1876" t="s">
        <v>18958</v>
      </c>
      <c r="N1876" t="s">
        <v>20372</v>
      </c>
      <c r="O1876" t="s">
        <v>26523</v>
      </c>
      <c r="P1876" t="s">
        <v>26560</v>
      </c>
      <c r="Q1876" t="s">
        <v>26568</v>
      </c>
      <c r="R1876" t="s">
        <v>26585</v>
      </c>
      <c r="S1876" t="s">
        <v>18959</v>
      </c>
      <c r="U1876" t="s">
        <v>26604</v>
      </c>
      <c r="V1876" t="s">
        <v>26610</v>
      </c>
      <c r="W1876" t="s">
        <v>572</v>
      </c>
      <c r="X1876">
        <v>1449</v>
      </c>
      <c r="Y1876" t="s">
        <v>26653</v>
      </c>
      <c r="Z1876" t="s">
        <v>26668</v>
      </c>
      <c r="AA1876" t="s">
        <v>26678</v>
      </c>
      <c r="AB1876" t="s">
        <v>28365</v>
      </c>
      <c r="AC1876" t="s">
        <v>34738</v>
      </c>
      <c r="AE1876">
        <v>58</v>
      </c>
      <c r="AF1876" t="s">
        <v>45541</v>
      </c>
      <c r="AG1876" t="s">
        <v>19330</v>
      </c>
      <c r="AH1876">
        <v>2</v>
      </c>
      <c r="AI1876">
        <v>3</v>
      </c>
      <c r="AJ1876">
        <v>0</v>
      </c>
      <c r="AK1876">
        <v>84.93000000000001</v>
      </c>
      <c r="AN1876" t="s">
        <v>7439</v>
      </c>
      <c r="AO1876">
        <v>17649</v>
      </c>
      <c r="AQ1876" t="s">
        <v>46362</v>
      </c>
      <c r="AR1876" t="s">
        <v>26530</v>
      </c>
      <c r="AS1876" t="s">
        <v>46500</v>
      </c>
      <c r="AT1876" t="s">
        <v>46724</v>
      </c>
      <c r="AU1876">
        <v>6.6</v>
      </c>
      <c r="AV1876" t="s">
        <v>755</v>
      </c>
      <c r="AW1876" t="s">
        <v>161</v>
      </c>
      <c r="AX1876" t="s">
        <v>46897</v>
      </c>
    </row>
    <row r="1877" spans="1:50">
      <c r="A1877" s="1">
        <f>HYPERLINK("https://lsnyc.legalserver.org/matter/dynamic-profile/view/1878495","18-1878495")</f>
        <v>0</v>
      </c>
      <c r="B1877" t="s">
        <v>90</v>
      </c>
      <c r="C1877" t="s">
        <v>341</v>
      </c>
      <c r="D1877" t="s">
        <v>589</v>
      </c>
      <c r="E1877" t="s">
        <v>860</v>
      </c>
      <c r="F1877" t="s">
        <v>1044</v>
      </c>
      <c r="G1877" t="s">
        <v>1685</v>
      </c>
      <c r="H1877" t="s">
        <v>11180</v>
      </c>
      <c r="I1877" t="s">
        <v>17307</v>
      </c>
      <c r="J1877" t="s">
        <v>18893</v>
      </c>
      <c r="K1877">
        <v>10035</v>
      </c>
      <c r="L1877" t="s">
        <v>18958</v>
      </c>
      <c r="M1877" t="s">
        <v>18958</v>
      </c>
      <c r="N1877" t="s">
        <v>20373</v>
      </c>
      <c r="O1877" t="s">
        <v>26523</v>
      </c>
      <c r="P1877" t="s">
        <v>26560</v>
      </c>
      <c r="Q1877" t="s">
        <v>26568</v>
      </c>
      <c r="R1877" t="s">
        <v>26578</v>
      </c>
      <c r="S1877" t="s">
        <v>18959</v>
      </c>
      <c r="U1877" t="s">
        <v>26604</v>
      </c>
      <c r="V1877" t="s">
        <v>26610</v>
      </c>
      <c r="W1877" t="s">
        <v>572</v>
      </c>
      <c r="X1877">
        <v>648</v>
      </c>
      <c r="Y1877" t="s">
        <v>26651</v>
      </c>
      <c r="Z1877" t="s">
        <v>26661</v>
      </c>
      <c r="AA1877" t="s">
        <v>26678</v>
      </c>
      <c r="AB1877" t="s">
        <v>28366</v>
      </c>
      <c r="AD1877" t="s">
        <v>38418</v>
      </c>
      <c r="AE1877">
        <v>11</v>
      </c>
      <c r="AF1877" t="s">
        <v>45541</v>
      </c>
      <c r="AG1877" t="s">
        <v>45559</v>
      </c>
      <c r="AH1877">
        <v>38</v>
      </c>
      <c r="AI1877">
        <v>2</v>
      </c>
      <c r="AJ1877">
        <v>1</v>
      </c>
      <c r="AK1877">
        <v>142.23</v>
      </c>
      <c r="AN1877" t="s">
        <v>7439</v>
      </c>
      <c r="AO1877">
        <v>29556</v>
      </c>
      <c r="AQ1877" t="s">
        <v>46362</v>
      </c>
      <c r="AU1877">
        <v>66.90000000000001</v>
      </c>
      <c r="AV1877" t="s">
        <v>836</v>
      </c>
      <c r="AW1877" t="s">
        <v>46835</v>
      </c>
      <c r="AX1877" t="s">
        <v>46897</v>
      </c>
    </row>
    <row r="1878" spans="1:50">
      <c r="A1878" s="1">
        <f>HYPERLINK("https://lsnyc.legalserver.org/matter/dynamic-profile/view/1878023","18-1878023")</f>
        <v>0</v>
      </c>
      <c r="B1878" t="s">
        <v>153</v>
      </c>
      <c r="C1878" t="s">
        <v>341</v>
      </c>
      <c r="D1878" t="s">
        <v>575</v>
      </c>
      <c r="E1878" t="s">
        <v>762</v>
      </c>
      <c r="F1878" t="s">
        <v>974</v>
      </c>
      <c r="G1878" t="s">
        <v>3353</v>
      </c>
      <c r="H1878" t="s">
        <v>11181</v>
      </c>
      <c r="I1878" t="s">
        <v>17737</v>
      </c>
      <c r="J1878" t="s">
        <v>18902</v>
      </c>
      <c r="K1878">
        <v>10312</v>
      </c>
      <c r="L1878" t="s">
        <v>18958</v>
      </c>
      <c r="M1878" t="s">
        <v>18958</v>
      </c>
      <c r="N1878" t="s">
        <v>20374</v>
      </c>
      <c r="O1878" t="s">
        <v>26524</v>
      </c>
      <c r="P1878" t="s">
        <v>26560</v>
      </c>
      <c r="Q1878" t="s">
        <v>26568</v>
      </c>
      <c r="R1878" t="s">
        <v>26589</v>
      </c>
      <c r="S1878" t="s">
        <v>18959</v>
      </c>
      <c r="U1878" t="s">
        <v>26604</v>
      </c>
      <c r="V1878" t="s">
        <v>26610</v>
      </c>
      <c r="W1878" t="s">
        <v>572</v>
      </c>
      <c r="X1878">
        <v>975</v>
      </c>
      <c r="Y1878" t="s">
        <v>26654</v>
      </c>
      <c r="Z1878" t="s">
        <v>26671</v>
      </c>
      <c r="AA1878" t="s">
        <v>26679</v>
      </c>
      <c r="AB1878" t="s">
        <v>28367</v>
      </c>
      <c r="AD1878" t="s">
        <v>38419</v>
      </c>
      <c r="AE1878">
        <v>2</v>
      </c>
      <c r="AF1878" t="s">
        <v>45547</v>
      </c>
      <c r="AG1878" t="s">
        <v>19330</v>
      </c>
      <c r="AH1878">
        <v>9</v>
      </c>
      <c r="AI1878">
        <v>2</v>
      </c>
      <c r="AJ1878">
        <v>1</v>
      </c>
      <c r="AK1878">
        <v>106.79</v>
      </c>
      <c r="AL1878" t="s">
        <v>45567</v>
      </c>
      <c r="AM1878" t="s">
        <v>45577</v>
      </c>
      <c r="AN1878" t="s">
        <v>7439</v>
      </c>
      <c r="AO1878">
        <v>22192</v>
      </c>
      <c r="AU1878">
        <v>14</v>
      </c>
      <c r="AV1878" t="s">
        <v>659</v>
      </c>
      <c r="AW1878" t="s">
        <v>46852</v>
      </c>
    </row>
    <row r="1879" spans="1:50">
      <c r="A1879" s="1">
        <f>HYPERLINK("https://lsnyc.legalserver.org/matter/dynamic-profile/view/1846326","17-1846326")</f>
        <v>0</v>
      </c>
      <c r="B1879" t="s">
        <v>58</v>
      </c>
      <c r="C1879" t="s">
        <v>341</v>
      </c>
      <c r="D1879" t="s">
        <v>597</v>
      </c>
      <c r="E1879" t="s">
        <v>772</v>
      </c>
      <c r="F1879" t="s">
        <v>1366</v>
      </c>
      <c r="G1879" t="s">
        <v>6164</v>
      </c>
      <c r="H1879" t="s">
        <v>11182</v>
      </c>
      <c r="I1879" t="s">
        <v>17738</v>
      </c>
      <c r="J1879" t="s">
        <v>18892</v>
      </c>
      <c r="K1879">
        <v>10463</v>
      </c>
      <c r="L1879" t="s">
        <v>18958</v>
      </c>
      <c r="M1879" t="s">
        <v>18958</v>
      </c>
      <c r="N1879" t="s">
        <v>20375</v>
      </c>
      <c r="O1879" t="s">
        <v>26524</v>
      </c>
      <c r="P1879" t="s">
        <v>26560</v>
      </c>
      <c r="Q1879" t="s">
        <v>26568</v>
      </c>
      <c r="R1879" t="s">
        <v>26577</v>
      </c>
      <c r="S1879" t="s">
        <v>18959</v>
      </c>
      <c r="U1879" t="s">
        <v>26604</v>
      </c>
      <c r="V1879" t="s">
        <v>26610</v>
      </c>
      <c r="W1879" t="s">
        <v>534</v>
      </c>
      <c r="X1879">
        <v>114.28</v>
      </c>
      <c r="Y1879" t="s">
        <v>26650</v>
      </c>
      <c r="Z1879" t="s">
        <v>26659</v>
      </c>
      <c r="AA1879" t="s">
        <v>26687</v>
      </c>
      <c r="AB1879" t="s">
        <v>28368</v>
      </c>
      <c r="AC1879" t="s">
        <v>35068</v>
      </c>
      <c r="AD1879" t="s">
        <v>38420</v>
      </c>
      <c r="AE1879">
        <v>0</v>
      </c>
      <c r="AF1879" t="s">
        <v>45548</v>
      </c>
      <c r="AG1879" t="s">
        <v>19330</v>
      </c>
      <c r="AH1879">
        <v>74</v>
      </c>
      <c r="AI1879">
        <v>1</v>
      </c>
      <c r="AJ1879">
        <v>0</v>
      </c>
      <c r="AK1879">
        <v>117.01</v>
      </c>
      <c r="AN1879" t="s">
        <v>7439</v>
      </c>
      <c r="AO1879">
        <v>14112</v>
      </c>
      <c r="AP1879" t="s">
        <v>45620</v>
      </c>
      <c r="AU1879">
        <v>72.95</v>
      </c>
      <c r="AV1879" t="s">
        <v>772</v>
      </c>
      <c r="AW1879" t="s">
        <v>46837</v>
      </c>
    </row>
    <row r="1880" spans="1:50">
      <c r="A1880" s="1">
        <f>HYPERLINK("https://lsnyc.legalserver.org/matter/dynamic-profile/view/1876005","18-1876005")</f>
        <v>0</v>
      </c>
      <c r="B1880" t="s">
        <v>170</v>
      </c>
      <c r="C1880" t="s">
        <v>341</v>
      </c>
      <c r="D1880" t="s">
        <v>512</v>
      </c>
      <c r="E1880" t="s">
        <v>534</v>
      </c>
      <c r="F1880" t="s">
        <v>1013</v>
      </c>
      <c r="G1880" t="s">
        <v>5410</v>
      </c>
      <c r="H1880" t="s">
        <v>11183</v>
      </c>
      <c r="I1880" t="s">
        <v>17593</v>
      </c>
      <c r="J1880" t="s">
        <v>18894</v>
      </c>
      <c r="K1880">
        <v>11234</v>
      </c>
      <c r="L1880" t="s">
        <v>18958</v>
      </c>
      <c r="M1880" t="s">
        <v>18960</v>
      </c>
      <c r="N1880" t="s">
        <v>20376</v>
      </c>
      <c r="O1880" t="s">
        <v>26524</v>
      </c>
      <c r="P1880" t="s">
        <v>26565</v>
      </c>
      <c r="Q1880" t="s">
        <v>26571</v>
      </c>
      <c r="R1880" t="s">
        <v>26586</v>
      </c>
      <c r="U1880" t="s">
        <v>26604</v>
      </c>
      <c r="W1880" t="s">
        <v>534</v>
      </c>
      <c r="X1880">
        <v>950</v>
      </c>
      <c r="Y1880" t="s">
        <v>26652</v>
      </c>
      <c r="Z1880" t="s">
        <v>26664</v>
      </c>
      <c r="AA1880" t="s">
        <v>26678</v>
      </c>
      <c r="AB1880" t="s">
        <v>28369</v>
      </c>
      <c r="AD1880" t="s">
        <v>38421</v>
      </c>
      <c r="AE1880">
        <v>2</v>
      </c>
      <c r="AG1880" t="s">
        <v>19330</v>
      </c>
      <c r="AH1880">
        <v>25</v>
      </c>
      <c r="AI1880">
        <v>1</v>
      </c>
      <c r="AJ1880">
        <v>1</v>
      </c>
      <c r="AK1880">
        <v>118.83</v>
      </c>
      <c r="AN1880" t="s">
        <v>7439</v>
      </c>
      <c r="AO1880">
        <v>19560</v>
      </c>
      <c r="AU1880">
        <v>3.6</v>
      </c>
      <c r="AV1880" t="s">
        <v>678</v>
      </c>
      <c r="AW1880" t="s">
        <v>46862</v>
      </c>
    </row>
    <row r="1881" spans="1:50">
      <c r="A1881" s="1">
        <f>HYPERLINK("https://lsnyc.legalserver.org/matter/dynamic-profile/view/1878089","18-1878089")</f>
        <v>0</v>
      </c>
      <c r="B1881" t="s">
        <v>247</v>
      </c>
      <c r="C1881" t="s">
        <v>341</v>
      </c>
      <c r="D1881" t="s">
        <v>534</v>
      </c>
      <c r="E1881" t="s">
        <v>785</v>
      </c>
      <c r="F1881" t="s">
        <v>1995</v>
      </c>
      <c r="G1881" t="s">
        <v>6165</v>
      </c>
      <c r="H1881" t="s">
        <v>11184</v>
      </c>
      <c r="I1881">
        <v>308</v>
      </c>
      <c r="J1881" t="s">
        <v>18901</v>
      </c>
      <c r="K1881">
        <v>11433</v>
      </c>
      <c r="L1881" t="s">
        <v>18958</v>
      </c>
      <c r="M1881" t="s">
        <v>18958</v>
      </c>
      <c r="N1881" t="s">
        <v>20377</v>
      </c>
      <c r="O1881" t="s">
        <v>26523</v>
      </c>
      <c r="P1881" t="s">
        <v>26560</v>
      </c>
      <c r="Q1881" t="s">
        <v>26573</v>
      </c>
      <c r="R1881" t="s">
        <v>26585</v>
      </c>
      <c r="S1881" t="s">
        <v>18959</v>
      </c>
      <c r="U1881" t="s">
        <v>26604</v>
      </c>
      <c r="V1881" t="s">
        <v>26610</v>
      </c>
      <c r="W1881" t="s">
        <v>534</v>
      </c>
      <c r="X1881">
        <v>1442</v>
      </c>
      <c r="Y1881" t="s">
        <v>26653</v>
      </c>
      <c r="Z1881" t="s">
        <v>26664</v>
      </c>
      <c r="AA1881" t="s">
        <v>26680</v>
      </c>
      <c r="AB1881" t="s">
        <v>28370</v>
      </c>
      <c r="AC1881" t="s">
        <v>35069</v>
      </c>
      <c r="AD1881" t="s">
        <v>38422</v>
      </c>
      <c r="AE1881">
        <v>54</v>
      </c>
      <c r="AF1881" t="s">
        <v>45541</v>
      </c>
      <c r="AG1881" t="s">
        <v>45556</v>
      </c>
      <c r="AH1881">
        <v>1</v>
      </c>
      <c r="AI1881">
        <v>1</v>
      </c>
      <c r="AJ1881">
        <v>0</v>
      </c>
      <c r="AK1881">
        <v>69.88</v>
      </c>
      <c r="AN1881" t="s">
        <v>7439</v>
      </c>
      <c r="AO1881">
        <v>8484</v>
      </c>
      <c r="AQ1881" t="s">
        <v>46359</v>
      </c>
      <c r="AR1881" t="s">
        <v>46379</v>
      </c>
      <c r="AS1881" t="s">
        <v>46499</v>
      </c>
      <c r="AT1881" t="s">
        <v>46712</v>
      </c>
      <c r="AU1881">
        <v>43.02</v>
      </c>
      <c r="AV1881" t="s">
        <v>793</v>
      </c>
      <c r="AW1881" t="s">
        <v>122</v>
      </c>
    </row>
    <row r="1882" spans="1:50">
      <c r="A1882" s="1">
        <f>HYPERLINK("https://lsnyc.legalserver.org/matter/dynamic-profile/view/1877136","18-1877136")</f>
        <v>0</v>
      </c>
      <c r="B1882" t="s">
        <v>211</v>
      </c>
      <c r="C1882" t="s">
        <v>341</v>
      </c>
      <c r="D1882" t="s">
        <v>534</v>
      </c>
      <c r="E1882" t="s">
        <v>699</v>
      </c>
      <c r="F1882" t="s">
        <v>1996</v>
      </c>
      <c r="G1882" t="s">
        <v>5180</v>
      </c>
      <c r="H1882" t="s">
        <v>10362</v>
      </c>
      <c r="I1882" t="s">
        <v>17739</v>
      </c>
      <c r="J1882" t="s">
        <v>18894</v>
      </c>
      <c r="K1882">
        <v>11233</v>
      </c>
      <c r="L1882" t="s">
        <v>18958</v>
      </c>
      <c r="M1882" t="s">
        <v>18958</v>
      </c>
      <c r="N1882" t="s">
        <v>20378</v>
      </c>
      <c r="O1882" t="s">
        <v>26524</v>
      </c>
      <c r="P1882" t="s">
        <v>26560</v>
      </c>
      <c r="Q1882" t="s">
        <v>26568</v>
      </c>
      <c r="R1882" t="s">
        <v>26578</v>
      </c>
      <c r="S1882" t="s">
        <v>18958</v>
      </c>
      <c r="U1882" t="s">
        <v>26604</v>
      </c>
      <c r="V1882" t="s">
        <v>26610</v>
      </c>
      <c r="W1882" t="s">
        <v>534</v>
      </c>
      <c r="X1882">
        <v>594.33</v>
      </c>
      <c r="Y1882" t="s">
        <v>26652</v>
      </c>
      <c r="Z1882" t="s">
        <v>26530</v>
      </c>
      <c r="AA1882" t="s">
        <v>26678</v>
      </c>
      <c r="AB1882" t="s">
        <v>28371</v>
      </c>
      <c r="AD1882" t="s">
        <v>38423</v>
      </c>
      <c r="AE1882">
        <v>6</v>
      </c>
      <c r="AF1882" t="s">
        <v>45541</v>
      </c>
      <c r="AH1882">
        <v>42</v>
      </c>
      <c r="AI1882">
        <v>2</v>
      </c>
      <c r="AJ1882">
        <v>1</v>
      </c>
      <c r="AK1882">
        <v>241.83</v>
      </c>
      <c r="AN1882" t="s">
        <v>7439</v>
      </c>
      <c r="AO1882">
        <v>50252.28</v>
      </c>
      <c r="AU1882">
        <v>6</v>
      </c>
      <c r="AV1882" t="s">
        <v>699</v>
      </c>
      <c r="AW1882" t="s">
        <v>211</v>
      </c>
    </row>
    <row r="1883" spans="1:50">
      <c r="A1883" s="1">
        <f>HYPERLINK("https://lsnyc.legalserver.org/matter/dynamic-profile/view/1878126","18-1878126")</f>
        <v>0</v>
      </c>
      <c r="B1883" t="s">
        <v>216</v>
      </c>
      <c r="C1883" t="s">
        <v>341</v>
      </c>
      <c r="D1883" t="s">
        <v>534</v>
      </c>
      <c r="E1883" t="s">
        <v>697</v>
      </c>
      <c r="F1883" t="s">
        <v>1072</v>
      </c>
      <c r="G1883" t="s">
        <v>5177</v>
      </c>
      <c r="H1883" t="s">
        <v>11185</v>
      </c>
      <c r="I1883" t="s">
        <v>17309</v>
      </c>
      <c r="J1883" t="s">
        <v>18894</v>
      </c>
      <c r="K1883">
        <v>11207</v>
      </c>
      <c r="L1883" t="s">
        <v>18958</v>
      </c>
      <c r="M1883" t="s">
        <v>18958</v>
      </c>
      <c r="N1883" t="s">
        <v>20379</v>
      </c>
      <c r="O1883" t="s">
        <v>26523</v>
      </c>
      <c r="P1883" t="s">
        <v>26560</v>
      </c>
      <c r="Q1883" t="s">
        <v>26573</v>
      </c>
      <c r="R1883" t="s">
        <v>26578</v>
      </c>
      <c r="U1883" t="s">
        <v>26604</v>
      </c>
      <c r="W1883" t="s">
        <v>534</v>
      </c>
      <c r="X1883">
        <v>1250</v>
      </c>
      <c r="Y1883" t="s">
        <v>26652</v>
      </c>
      <c r="Z1883" t="s">
        <v>26659</v>
      </c>
      <c r="AA1883" t="s">
        <v>26678</v>
      </c>
      <c r="AB1883" t="s">
        <v>28372</v>
      </c>
      <c r="AC1883" t="s">
        <v>34508</v>
      </c>
      <c r="AD1883" t="s">
        <v>38424</v>
      </c>
      <c r="AE1883">
        <v>6</v>
      </c>
      <c r="AF1883" t="s">
        <v>45541</v>
      </c>
      <c r="AG1883" t="s">
        <v>45556</v>
      </c>
      <c r="AH1883">
        <v>4</v>
      </c>
      <c r="AI1883">
        <v>1</v>
      </c>
      <c r="AJ1883">
        <v>0</v>
      </c>
      <c r="AK1883">
        <v>75.12</v>
      </c>
      <c r="AN1883" t="s">
        <v>7439</v>
      </c>
      <c r="AO1883">
        <v>9120</v>
      </c>
      <c r="AP1883" t="s">
        <v>45635</v>
      </c>
      <c r="AU1883">
        <v>12.25</v>
      </c>
      <c r="AV1883" t="s">
        <v>427</v>
      </c>
      <c r="AW1883" t="s">
        <v>279</v>
      </c>
    </row>
    <row r="1884" spans="1:50">
      <c r="A1884" s="1">
        <f>HYPERLINK("https://lsnyc.legalserver.org/matter/dynamic-profile/view/1878169","18-1878169")</f>
        <v>0</v>
      </c>
      <c r="B1884" t="s">
        <v>212</v>
      </c>
      <c r="C1884" t="s">
        <v>341</v>
      </c>
      <c r="D1884" t="s">
        <v>534</v>
      </c>
      <c r="E1884" t="s">
        <v>582</v>
      </c>
      <c r="F1884" t="s">
        <v>1997</v>
      </c>
      <c r="G1884" t="s">
        <v>6166</v>
      </c>
      <c r="H1884" t="s">
        <v>11186</v>
      </c>
      <c r="J1884" t="s">
        <v>18941</v>
      </c>
      <c r="K1884">
        <v>11427</v>
      </c>
      <c r="L1884" t="s">
        <v>18958</v>
      </c>
      <c r="M1884" t="s">
        <v>18958</v>
      </c>
      <c r="N1884" t="s">
        <v>20380</v>
      </c>
      <c r="O1884" t="s">
        <v>26524</v>
      </c>
      <c r="P1884" t="s">
        <v>26564</v>
      </c>
      <c r="Q1884" t="s">
        <v>26570</v>
      </c>
      <c r="R1884" t="s">
        <v>26578</v>
      </c>
      <c r="S1884" t="s">
        <v>18959</v>
      </c>
      <c r="U1884" t="s">
        <v>26604</v>
      </c>
      <c r="V1884" t="s">
        <v>26610</v>
      </c>
      <c r="W1884" t="s">
        <v>534</v>
      </c>
      <c r="X1884">
        <v>0</v>
      </c>
      <c r="Y1884" t="s">
        <v>26653</v>
      </c>
      <c r="Z1884" t="s">
        <v>26664</v>
      </c>
      <c r="AA1884" t="s">
        <v>26683</v>
      </c>
      <c r="AB1884" t="s">
        <v>28373</v>
      </c>
      <c r="AD1884" t="s">
        <v>38425</v>
      </c>
      <c r="AE1884">
        <v>2</v>
      </c>
      <c r="AF1884" t="s">
        <v>45547</v>
      </c>
      <c r="AG1884" t="s">
        <v>19330</v>
      </c>
      <c r="AH1884">
        <v>22</v>
      </c>
      <c r="AI1884">
        <v>2</v>
      </c>
      <c r="AJ1884">
        <v>2</v>
      </c>
      <c r="AK1884">
        <v>0</v>
      </c>
      <c r="AN1884" t="s">
        <v>7439</v>
      </c>
      <c r="AO1884">
        <v>0</v>
      </c>
      <c r="AU1884">
        <v>1</v>
      </c>
      <c r="AV1884" t="s">
        <v>582</v>
      </c>
      <c r="AW1884" t="s">
        <v>208</v>
      </c>
    </row>
    <row r="1885" spans="1:50">
      <c r="A1885" s="1">
        <f>HYPERLINK("https://lsnyc.legalserver.org/matter/dynamic-profile/view/1878116","18-1878116")</f>
        <v>0</v>
      </c>
      <c r="B1885" t="s">
        <v>110</v>
      </c>
      <c r="C1885" t="s">
        <v>341</v>
      </c>
      <c r="D1885" t="s">
        <v>534</v>
      </c>
      <c r="E1885" t="s">
        <v>712</v>
      </c>
      <c r="F1885" t="s">
        <v>1985</v>
      </c>
      <c r="G1885" t="s">
        <v>6167</v>
      </c>
      <c r="H1885" t="s">
        <v>11187</v>
      </c>
      <c r="I1885" t="s">
        <v>17333</v>
      </c>
      <c r="J1885" t="s">
        <v>18899</v>
      </c>
      <c r="K1885">
        <v>11385</v>
      </c>
      <c r="L1885" t="s">
        <v>18958</v>
      </c>
      <c r="M1885" t="s">
        <v>18958</v>
      </c>
      <c r="N1885" t="s">
        <v>20381</v>
      </c>
      <c r="O1885" t="s">
        <v>26523</v>
      </c>
      <c r="P1885" t="s">
        <v>26560</v>
      </c>
      <c r="Q1885" t="s">
        <v>26568</v>
      </c>
      <c r="R1885" t="s">
        <v>26585</v>
      </c>
      <c r="S1885" t="s">
        <v>18959</v>
      </c>
      <c r="U1885" t="s">
        <v>26604</v>
      </c>
      <c r="V1885" t="s">
        <v>26610</v>
      </c>
      <c r="W1885" t="s">
        <v>534</v>
      </c>
      <c r="X1885">
        <v>1049</v>
      </c>
      <c r="Y1885" t="s">
        <v>26653</v>
      </c>
      <c r="Z1885" t="s">
        <v>26664</v>
      </c>
      <c r="AA1885" t="s">
        <v>26678</v>
      </c>
      <c r="AB1885" t="s">
        <v>28374</v>
      </c>
      <c r="AD1885" t="s">
        <v>38426</v>
      </c>
      <c r="AE1885">
        <v>6</v>
      </c>
      <c r="AF1885" t="s">
        <v>45541</v>
      </c>
      <c r="AG1885" t="s">
        <v>19330</v>
      </c>
      <c r="AH1885">
        <v>24</v>
      </c>
      <c r="AI1885">
        <v>2</v>
      </c>
      <c r="AJ1885">
        <v>1</v>
      </c>
      <c r="AK1885">
        <v>276.61</v>
      </c>
      <c r="AL1885" t="s">
        <v>672</v>
      </c>
      <c r="AM1885" t="s">
        <v>45575</v>
      </c>
      <c r="AO1885">
        <v>57480</v>
      </c>
      <c r="AR1885" t="s">
        <v>46451</v>
      </c>
      <c r="AS1885" t="s">
        <v>46499</v>
      </c>
      <c r="AT1885" t="s">
        <v>46618</v>
      </c>
      <c r="AU1885">
        <v>7.7</v>
      </c>
      <c r="AV1885" t="s">
        <v>519</v>
      </c>
      <c r="AW1885" t="s">
        <v>122</v>
      </c>
    </row>
    <row r="1886" spans="1:50">
      <c r="A1886" s="1">
        <f>HYPERLINK("https://lsnyc.legalserver.org/matter/dynamic-profile/view/1878189","18-1878189")</f>
        <v>0</v>
      </c>
      <c r="B1886" t="s">
        <v>182</v>
      </c>
      <c r="C1886" t="s">
        <v>341</v>
      </c>
      <c r="D1886" t="s">
        <v>534</v>
      </c>
      <c r="E1886" t="s">
        <v>770</v>
      </c>
      <c r="F1886" t="s">
        <v>1998</v>
      </c>
      <c r="G1886" t="s">
        <v>3144</v>
      </c>
      <c r="H1886" t="s">
        <v>11188</v>
      </c>
      <c r="I1886" t="s">
        <v>17272</v>
      </c>
      <c r="J1886" t="s">
        <v>18892</v>
      </c>
      <c r="K1886">
        <v>10466</v>
      </c>
      <c r="L1886" t="s">
        <v>18958</v>
      </c>
      <c r="M1886" t="s">
        <v>18958</v>
      </c>
      <c r="N1886" t="s">
        <v>20382</v>
      </c>
      <c r="O1886" t="s">
        <v>26523</v>
      </c>
      <c r="P1886" t="s">
        <v>26560</v>
      </c>
      <c r="Q1886" t="s">
        <v>26568</v>
      </c>
      <c r="R1886" t="s">
        <v>26577</v>
      </c>
      <c r="S1886" t="s">
        <v>18959</v>
      </c>
      <c r="U1886" t="s">
        <v>26604</v>
      </c>
      <c r="V1886" t="s">
        <v>26610</v>
      </c>
      <c r="W1886" t="s">
        <v>534</v>
      </c>
      <c r="X1886">
        <v>1550</v>
      </c>
      <c r="Y1886" t="s">
        <v>26650</v>
      </c>
      <c r="Z1886" t="s">
        <v>26661</v>
      </c>
      <c r="AA1886" t="s">
        <v>26678</v>
      </c>
      <c r="AB1886" t="s">
        <v>28375</v>
      </c>
      <c r="AC1886" t="s">
        <v>35070</v>
      </c>
      <c r="AD1886" t="s">
        <v>38427</v>
      </c>
      <c r="AE1886">
        <v>48</v>
      </c>
      <c r="AF1886" t="s">
        <v>45541</v>
      </c>
      <c r="AG1886" t="s">
        <v>45558</v>
      </c>
      <c r="AH1886">
        <v>3</v>
      </c>
      <c r="AI1886">
        <v>2</v>
      </c>
      <c r="AJ1886">
        <v>2</v>
      </c>
      <c r="AK1886">
        <v>26.31</v>
      </c>
      <c r="AN1886" t="s">
        <v>8151</v>
      </c>
      <c r="AO1886">
        <v>6604</v>
      </c>
      <c r="AQ1886" t="s">
        <v>46362</v>
      </c>
      <c r="AR1886" t="s">
        <v>46380</v>
      </c>
      <c r="AS1886" t="s">
        <v>46499</v>
      </c>
      <c r="AT1886" t="s">
        <v>46672</v>
      </c>
      <c r="AU1886">
        <v>17.1</v>
      </c>
      <c r="AV1886" t="s">
        <v>791</v>
      </c>
      <c r="AW1886" t="s">
        <v>182</v>
      </c>
    </row>
    <row r="1887" spans="1:50">
      <c r="A1887" s="1">
        <f>HYPERLINK("https://lsnyc.legalserver.org/matter/dynamic-profile/view/1878076","18-1878076")</f>
        <v>0</v>
      </c>
      <c r="B1887" t="s">
        <v>142</v>
      </c>
      <c r="C1887" t="s">
        <v>341</v>
      </c>
      <c r="D1887" t="s">
        <v>534</v>
      </c>
      <c r="E1887" t="s">
        <v>494</v>
      </c>
      <c r="F1887" t="s">
        <v>1999</v>
      </c>
      <c r="G1887" t="s">
        <v>4311</v>
      </c>
      <c r="H1887" t="s">
        <v>11189</v>
      </c>
      <c r="I1887" t="s">
        <v>17740</v>
      </c>
      <c r="J1887" t="s">
        <v>18934</v>
      </c>
      <c r="K1887">
        <v>11413</v>
      </c>
      <c r="L1887" t="s">
        <v>18958</v>
      </c>
      <c r="M1887" t="s">
        <v>18960</v>
      </c>
      <c r="N1887" t="s">
        <v>20383</v>
      </c>
      <c r="O1887" t="s">
        <v>26524</v>
      </c>
      <c r="P1887" t="s">
        <v>26564</v>
      </c>
      <c r="Q1887" t="s">
        <v>26570</v>
      </c>
      <c r="R1887" t="s">
        <v>26584</v>
      </c>
      <c r="S1887" t="s">
        <v>18959</v>
      </c>
      <c r="U1887" t="s">
        <v>26604</v>
      </c>
      <c r="V1887" t="s">
        <v>26610</v>
      </c>
      <c r="W1887" t="s">
        <v>534</v>
      </c>
      <c r="X1887">
        <v>600</v>
      </c>
      <c r="Y1887" t="s">
        <v>26653</v>
      </c>
      <c r="Z1887" t="s">
        <v>26664</v>
      </c>
      <c r="AA1887" t="s">
        <v>26683</v>
      </c>
      <c r="AB1887" t="s">
        <v>28376</v>
      </c>
      <c r="AD1887" t="s">
        <v>38428</v>
      </c>
      <c r="AE1887">
        <v>1</v>
      </c>
      <c r="AF1887" t="s">
        <v>45547</v>
      </c>
      <c r="AG1887" t="s">
        <v>19330</v>
      </c>
      <c r="AH1887">
        <v>15</v>
      </c>
      <c r="AI1887">
        <v>3</v>
      </c>
      <c r="AJ1887">
        <v>1</v>
      </c>
      <c r="AK1887">
        <v>117.66</v>
      </c>
      <c r="AN1887" t="s">
        <v>7439</v>
      </c>
      <c r="AO1887">
        <v>29532</v>
      </c>
      <c r="AU1887">
        <v>7.4</v>
      </c>
      <c r="AV1887" t="s">
        <v>718</v>
      </c>
      <c r="AW1887" t="s">
        <v>122</v>
      </c>
    </row>
    <row r="1888" spans="1:50">
      <c r="A1888" s="1">
        <f>HYPERLINK("https://lsnyc.legalserver.org/matter/dynamic-profile/view/1878564","18-1878564")</f>
        <v>0</v>
      </c>
      <c r="B1888" t="s">
        <v>248</v>
      </c>
      <c r="C1888" t="s">
        <v>341</v>
      </c>
      <c r="D1888" t="s">
        <v>534</v>
      </c>
      <c r="E1888" t="s">
        <v>692</v>
      </c>
      <c r="F1888" t="s">
        <v>958</v>
      </c>
      <c r="G1888" t="s">
        <v>2769</v>
      </c>
      <c r="H1888" t="s">
        <v>11190</v>
      </c>
      <c r="I1888" t="s">
        <v>17283</v>
      </c>
      <c r="J1888" t="s">
        <v>18892</v>
      </c>
      <c r="K1888">
        <v>10468</v>
      </c>
      <c r="L1888" t="s">
        <v>18958</v>
      </c>
      <c r="M1888" t="s">
        <v>18958</v>
      </c>
      <c r="O1888" t="s">
        <v>18997</v>
      </c>
      <c r="P1888" t="s">
        <v>26564</v>
      </c>
      <c r="Q1888" t="s">
        <v>26570</v>
      </c>
      <c r="R1888" t="s">
        <v>26589</v>
      </c>
      <c r="S1888" t="s">
        <v>18959</v>
      </c>
      <c r="U1888" t="s">
        <v>26604</v>
      </c>
      <c r="W1888" t="s">
        <v>534</v>
      </c>
      <c r="X1888">
        <v>1175</v>
      </c>
      <c r="Y1888" t="s">
        <v>26650</v>
      </c>
      <c r="Z1888" t="s">
        <v>26671</v>
      </c>
      <c r="AA1888" t="s">
        <v>26683</v>
      </c>
      <c r="AB1888" t="s">
        <v>28377</v>
      </c>
      <c r="AD1888" t="s">
        <v>38429</v>
      </c>
      <c r="AE1888">
        <v>76</v>
      </c>
      <c r="AF1888" t="s">
        <v>45541</v>
      </c>
      <c r="AG1888" t="s">
        <v>19330</v>
      </c>
      <c r="AH1888">
        <v>6</v>
      </c>
      <c r="AI1888">
        <v>3</v>
      </c>
      <c r="AJ1888">
        <v>0</v>
      </c>
      <c r="AK1888">
        <v>46.2</v>
      </c>
      <c r="AL1888" t="s">
        <v>45567</v>
      </c>
      <c r="AM1888" t="s">
        <v>45577</v>
      </c>
      <c r="AN1888" t="s">
        <v>7439</v>
      </c>
      <c r="AO1888">
        <v>9600</v>
      </c>
      <c r="AU1888">
        <v>1.5</v>
      </c>
      <c r="AV1888" t="s">
        <v>670</v>
      </c>
      <c r="AW1888" t="s">
        <v>248</v>
      </c>
    </row>
    <row r="1889" spans="1:49">
      <c r="A1889" s="1">
        <f>HYPERLINK("https://lsnyc.legalserver.org/matter/dynamic-profile/view/1878131","18-1878131")</f>
        <v>0</v>
      </c>
      <c r="B1889" t="s">
        <v>112</v>
      </c>
      <c r="C1889" t="s">
        <v>341</v>
      </c>
      <c r="D1889" t="s">
        <v>534</v>
      </c>
      <c r="E1889" t="s">
        <v>720</v>
      </c>
      <c r="F1889" t="s">
        <v>1409</v>
      </c>
      <c r="G1889" t="s">
        <v>5478</v>
      </c>
      <c r="H1889" t="s">
        <v>10298</v>
      </c>
      <c r="I1889" t="s">
        <v>17276</v>
      </c>
      <c r="J1889" t="s">
        <v>18911</v>
      </c>
      <c r="K1889">
        <v>11375</v>
      </c>
      <c r="L1889" t="s">
        <v>18958</v>
      </c>
      <c r="M1889" t="s">
        <v>18958</v>
      </c>
      <c r="N1889" t="s">
        <v>20384</v>
      </c>
      <c r="O1889" t="s">
        <v>26524</v>
      </c>
      <c r="P1889" t="s">
        <v>26560</v>
      </c>
      <c r="Q1889" t="s">
        <v>26568</v>
      </c>
      <c r="R1889" t="s">
        <v>26584</v>
      </c>
      <c r="S1889" t="s">
        <v>18959</v>
      </c>
      <c r="U1889" t="s">
        <v>26604</v>
      </c>
      <c r="V1889" t="s">
        <v>26610</v>
      </c>
      <c r="W1889" t="s">
        <v>534</v>
      </c>
      <c r="X1889">
        <v>2200</v>
      </c>
      <c r="Y1889" t="s">
        <v>26653</v>
      </c>
      <c r="Z1889" t="s">
        <v>26664</v>
      </c>
      <c r="AA1889" t="s">
        <v>26678</v>
      </c>
      <c r="AB1889" t="s">
        <v>27404</v>
      </c>
      <c r="AC1889" t="s">
        <v>34737</v>
      </c>
      <c r="AD1889" t="s">
        <v>37468</v>
      </c>
      <c r="AE1889">
        <v>70</v>
      </c>
      <c r="AF1889" t="s">
        <v>45547</v>
      </c>
      <c r="AG1889" t="s">
        <v>19330</v>
      </c>
      <c r="AH1889">
        <v>2</v>
      </c>
      <c r="AI1889">
        <v>1</v>
      </c>
      <c r="AJ1889">
        <v>3</v>
      </c>
      <c r="AK1889">
        <v>100.4</v>
      </c>
      <c r="AN1889" t="s">
        <v>7439</v>
      </c>
      <c r="AO1889">
        <v>25200</v>
      </c>
      <c r="AQ1889" t="s">
        <v>46359</v>
      </c>
      <c r="AR1889" t="s">
        <v>46381</v>
      </c>
      <c r="AS1889" t="s">
        <v>46499</v>
      </c>
      <c r="AT1889" t="s">
        <v>46636</v>
      </c>
      <c r="AU1889">
        <v>34.8</v>
      </c>
      <c r="AV1889" t="s">
        <v>780</v>
      </c>
      <c r="AW1889" t="s">
        <v>122</v>
      </c>
    </row>
    <row r="1890" spans="1:49">
      <c r="A1890" s="1">
        <f>HYPERLINK("https://lsnyc.legalserver.org/matter/dynamic-profile/view/1878082","18-1878082")</f>
        <v>0</v>
      </c>
      <c r="B1890" t="s">
        <v>54</v>
      </c>
      <c r="C1890" t="s">
        <v>341</v>
      </c>
      <c r="D1890" t="s">
        <v>534</v>
      </c>
      <c r="E1890" t="s">
        <v>744</v>
      </c>
      <c r="F1890" t="s">
        <v>1080</v>
      </c>
      <c r="G1890" t="s">
        <v>1725</v>
      </c>
      <c r="H1890" t="s">
        <v>11078</v>
      </c>
      <c r="I1890" t="s">
        <v>17273</v>
      </c>
      <c r="J1890" t="s">
        <v>18892</v>
      </c>
      <c r="K1890">
        <v>10467</v>
      </c>
      <c r="L1890" t="s">
        <v>18958</v>
      </c>
      <c r="M1890" t="s">
        <v>18958</v>
      </c>
      <c r="N1890" t="s">
        <v>20270</v>
      </c>
      <c r="O1890" t="s">
        <v>26539</v>
      </c>
      <c r="P1890" t="s">
        <v>26562</v>
      </c>
      <c r="Q1890" t="s">
        <v>26570</v>
      </c>
      <c r="R1890" t="s">
        <v>26578</v>
      </c>
      <c r="S1890" t="s">
        <v>18959</v>
      </c>
      <c r="U1890" t="s">
        <v>26607</v>
      </c>
      <c r="W1890" t="s">
        <v>534</v>
      </c>
      <c r="X1890">
        <v>1017</v>
      </c>
      <c r="Y1890" t="s">
        <v>26650</v>
      </c>
      <c r="Z1890" t="s">
        <v>26655</v>
      </c>
      <c r="AA1890" t="s">
        <v>26683</v>
      </c>
      <c r="AB1890" t="s">
        <v>28259</v>
      </c>
      <c r="AD1890" t="s">
        <v>38306</v>
      </c>
      <c r="AE1890">
        <v>90</v>
      </c>
      <c r="AF1890" t="s">
        <v>45541</v>
      </c>
      <c r="AG1890" t="s">
        <v>45559</v>
      </c>
      <c r="AH1890">
        <v>6</v>
      </c>
      <c r="AI1890">
        <v>1</v>
      </c>
      <c r="AJ1890">
        <v>0</v>
      </c>
      <c r="AK1890">
        <v>84.02</v>
      </c>
      <c r="AN1890" t="s">
        <v>45581</v>
      </c>
      <c r="AO1890">
        <v>10200</v>
      </c>
      <c r="AU1890">
        <v>0.1</v>
      </c>
      <c r="AV1890" t="s">
        <v>589</v>
      </c>
      <c r="AW1890" t="s">
        <v>46832</v>
      </c>
    </row>
    <row r="1891" spans="1:49">
      <c r="A1891" s="1">
        <f>HYPERLINK("https://lsnyc.legalserver.org/matter/dynamic-profile/view/1878111","18-1878111")</f>
        <v>0</v>
      </c>
      <c r="B1891" t="s">
        <v>62</v>
      </c>
      <c r="C1891" t="s">
        <v>341</v>
      </c>
      <c r="D1891" t="s">
        <v>534</v>
      </c>
      <c r="E1891" t="s">
        <v>823</v>
      </c>
      <c r="F1891" t="s">
        <v>2000</v>
      </c>
      <c r="G1891" t="s">
        <v>6168</v>
      </c>
      <c r="H1891" t="s">
        <v>11191</v>
      </c>
      <c r="I1891" t="s">
        <v>17458</v>
      </c>
      <c r="J1891" t="s">
        <v>18893</v>
      </c>
      <c r="K1891">
        <v>10075</v>
      </c>
      <c r="L1891" t="s">
        <v>18958</v>
      </c>
      <c r="M1891" t="s">
        <v>18960</v>
      </c>
      <c r="O1891" t="s">
        <v>26523</v>
      </c>
      <c r="P1891" t="s">
        <v>26560</v>
      </c>
      <c r="Q1891" t="s">
        <v>26570</v>
      </c>
      <c r="R1891" t="s">
        <v>26582</v>
      </c>
      <c r="S1891" t="s">
        <v>18959</v>
      </c>
      <c r="U1891" t="s">
        <v>26604</v>
      </c>
      <c r="W1891" t="s">
        <v>534</v>
      </c>
      <c r="X1891">
        <v>0</v>
      </c>
      <c r="Y1891" t="s">
        <v>26651</v>
      </c>
      <c r="Z1891" t="s">
        <v>26664</v>
      </c>
      <c r="AA1891" t="s">
        <v>26683</v>
      </c>
      <c r="AB1891" t="s">
        <v>28378</v>
      </c>
      <c r="AD1891" t="s">
        <v>38430</v>
      </c>
      <c r="AE1891">
        <v>15</v>
      </c>
      <c r="AF1891" t="s">
        <v>45541</v>
      </c>
      <c r="AG1891" t="s">
        <v>19330</v>
      </c>
      <c r="AH1891">
        <v>21</v>
      </c>
      <c r="AI1891">
        <v>2</v>
      </c>
      <c r="AJ1891">
        <v>0</v>
      </c>
      <c r="AK1891">
        <v>30.05</v>
      </c>
      <c r="AN1891" t="s">
        <v>7439</v>
      </c>
      <c r="AO1891">
        <v>4946</v>
      </c>
      <c r="AU1891">
        <v>1</v>
      </c>
      <c r="AV1891" t="s">
        <v>534</v>
      </c>
      <c r="AW1891" t="s">
        <v>46840</v>
      </c>
    </row>
    <row r="1892" spans="1:49">
      <c r="A1892" s="1">
        <f>HYPERLINK("https://lsnyc.legalserver.org/matter/dynamic-profile/view/1878180","18-1878180")</f>
        <v>0</v>
      </c>
      <c r="B1892" t="s">
        <v>144</v>
      </c>
      <c r="C1892" t="s">
        <v>340</v>
      </c>
      <c r="D1892" t="s">
        <v>534</v>
      </c>
      <c r="F1892" t="s">
        <v>1901</v>
      </c>
      <c r="G1892" t="s">
        <v>6169</v>
      </c>
      <c r="H1892" t="s">
        <v>11192</v>
      </c>
      <c r="I1892" t="s">
        <v>17325</v>
      </c>
      <c r="J1892" t="s">
        <v>18893</v>
      </c>
      <c r="K1892">
        <v>10022</v>
      </c>
      <c r="L1892" t="s">
        <v>18958</v>
      </c>
      <c r="M1892" t="s">
        <v>18958</v>
      </c>
      <c r="N1892" t="s">
        <v>20385</v>
      </c>
      <c r="O1892" t="s">
        <v>26523</v>
      </c>
      <c r="P1892" t="s">
        <v>26564</v>
      </c>
      <c r="R1892" t="s">
        <v>26582</v>
      </c>
      <c r="S1892" t="s">
        <v>18959</v>
      </c>
      <c r="U1892" t="s">
        <v>26604</v>
      </c>
      <c r="W1892" t="s">
        <v>534</v>
      </c>
      <c r="X1892">
        <v>2350</v>
      </c>
      <c r="Y1892" t="s">
        <v>26651</v>
      </c>
      <c r="Z1892" t="s">
        <v>26668</v>
      </c>
      <c r="AB1892" t="s">
        <v>28379</v>
      </c>
      <c r="AD1892" t="s">
        <v>38431</v>
      </c>
      <c r="AE1892">
        <v>40</v>
      </c>
      <c r="AF1892" t="s">
        <v>45547</v>
      </c>
      <c r="AG1892" t="s">
        <v>19330</v>
      </c>
      <c r="AH1892">
        <v>1</v>
      </c>
      <c r="AI1892">
        <v>1</v>
      </c>
      <c r="AJ1892">
        <v>0</v>
      </c>
      <c r="AK1892">
        <v>0</v>
      </c>
      <c r="AN1892" t="s">
        <v>7439</v>
      </c>
      <c r="AO1892">
        <v>0</v>
      </c>
      <c r="AU1892">
        <v>3.25</v>
      </c>
      <c r="AV1892" t="s">
        <v>525</v>
      </c>
      <c r="AW1892" t="s">
        <v>46835</v>
      </c>
    </row>
    <row r="1893" spans="1:49">
      <c r="A1893" s="1">
        <f>HYPERLINK("https://lsnyc.legalserver.org/matter/dynamic-profile/view/1878117","18-1878117")</f>
        <v>0</v>
      </c>
      <c r="B1893" t="s">
        <v>144</v>
      </c>
      <c r="C1893" t="s">
        <v>340</v>
      </c>
      <c r="D1893" t="s">
        <v>534</v>
      </c>
      <c r="F1893" t="s">
        <v>1339</v>
      </c>
      <c r="G1893" t="s">
        <v>6170</v>
      </c>
      <c r="H1893" t="s">
        <v>11193</v>
      </c>
      <c r="I1893" t="s">
        <v>17741</v>
      </c>
      <c r="J1893" t="s">
        <v>18893</v>
      </c>
      <c r="K1893">
        <v>10009</v>
      </c>
      <c r="L1893" t="s">
        <v>18958</v>
      </c>
      <c r="M1893" t="s">
        <v>18958</v>
      </c>
      <c r="N1893" t="s">
        <v>20386</v>
      </c>
      <c r="O1893" t="s">
        <v>26523</v>
      </c>
      <c r="P1893" t="s">
        <v>26564</v>
      </c>
      <c r="R1893" t="s">
        <v>26582</v>
      </c>
      <c r="S1893" t="s">
        <v>18959</v>
      </c>
      <c r="U1893" t="s">
        <v>26604</v>
      </c>
      <c r="W1893" t="s">
        <v>534</v>
      </c>
      <c r="X1893">
        <v>263</v>
      </c>
      <c r="Y1893" t="s">
        <v>26651</v>
      </c>
      <c r="Z1893" t="s">
        <v>26664</v>
      </c>
      <c r="AB1893" t="s">
        <v>28380</v>
      </c>
      <c r="AC1893" t="s">
        <v>35071</v>
      </c>
      <c r="AD1893" t="s">
        <v>38432</v>
      </c>
      <c r="AE1893">
        <v>1861</v>
      </c>
      <c r="AF1893" t="s">
        <v>45541</v>
      </c>
      <c r="AG1893" t="s">
        <v>19330</v>
      </c>
      <c r="AH1893">
        <v>11</v>
      </c>
      <c r="AI1893">
        <v>1</v>
      </c>
      <c r="AJ1893">
        <v>0</v>
      </c>
      <c r="AK1893">
        <v>91.79000000000001</v>
      </c>
      <c r="AN1893" t="s">
        <v>45581</v>
      </c>
      <c r="AO1893">
        <v>11143.2</v>
      </c>
      <c r="AU1893">
        <v>1.25</v>
      </c>
      <c r="AV1893" t="s">
        <v>839</v>
      </c>
      <c r="AW1893" t="s">
        <v>46840</v>
      </c>
    </row>
    <row r="1894" spans="1:49">
      <c r="A1894" s="1">
        <f>HYPERLINK("https://lsnyc.legalserver.org/matter/dynamic-profile/view/1878121","18-1878121")</f>
        <v>0</v>
      </c>
      <c r="B1894" t="s">
        <v>144</v>
      </c>
      <c r="C1894" t="s">
        <v>340</v>
      </c>
      <c r="D1894" t="s">
        <v>534</v>
      </c>
      <c r="F1894" t="s">
        <v>2001</v>
      </c>
      <c r="G1894" t="s">
        <v>3662</v>
      </c>
      <c r="H1894" t="s">
        <v>11194</v>
      </c>
      <c r="I1894" t="s">
        <v>17309</v>
      </c>
      <c r="J1894" t="s">
        <v>18893</v>
      </c>
      <c r="K1894">
        <v>10065</v>
      </c>
      <c r="L1894" t="s">
        <v>18958</v>
      </c>
      <c r="M1894" t="s">
        <v>18958</v>
      </c>
      <c r="N1894" t="s">
        <v>20387</v>
      </c>
      <c r="O1894" t="s">
        <v>26523</v>
      </c>
      <c r="P1894" t="s">
        <v>26564</v>
      </c>
      <c r="R1894" t="s">
        <v>26582</v>
      </c>
      <c r="S1894" t="s">
        <v>18959</v>
      </c>
      <c r="U1894" t="s">
        <v>26604</v>
      </c>
      <c r="W1894" t="s">
        <v>534</v>
      </c>
      <c r="X1894">
        <v>1007</v>
      </c>
      <c r="Y1894" t="s">
        <v>26651</v>
      </c>
      <c r="Z1894" t="s">
        <v>26664</v>
      </c>
      <c r="AB1894" t="s">
        <v>28381</v>
      </c>
      <c r="AD1894" t="s">
        <v>38433</v>
      </c>
      <c r="AE1894">
        <v>90</v>
      </c>
      <c r="AF1894" t="s">
        <v>45541</v>
      </c>
      <c r="AG1894" t="s">
        <v>19330</v>
      </c>
      <c r="AH1894">
        <v>35</v>
      </c>
      <c r="AI1894">
        <v>1</v>
      </c>
      <c r="AJ1894">
        <v>0</v>
      </c>
      <c r="AK1894">
        <v>148.27</v>
      </c>
      <c r="AN1894" t="s">
        <v>7439</v>
      </c>
      <c r="AO1894">
        <v>18000</v>
      </c>
      <c r="AU1894">
        <v>1.25</v>
      </c>
      <c r="AV1894" t="s">
        <v>836</v>
      </c>
      <c r="AW1894" t="s">
        <v>46835</v>
      </c>
    </row>
    <row r="1895" spans="1:49">
      <c r="A1895" s="1">
        <f>HYPERLINK("https://lsnyc.legalserver.org/matter/dynamic-profile/view/1878097","18-1878097")</f>
        <v>0</v>
      </c>
      <c r="B1895" t="s">
        <v>144</v>
      </c>
      <c r="C1895" t="s">
        <v>340</v>
      </c>
      <c r="D1895" t="s">
        <v>534</v>
      </c>
      <c r="F1895" t="s">
        <v>2002</v>
      </c>
      <c r="G1895" t="s">
        <v>5121</v>
      </c>
      <c r="H1895" t="s">
        <v>11195</v>
      </c>
      <c r="I1895" t="s">
        <v>17582</v>
      </c>
      <c r="J1895" t="s">
        <v>18893</v>
      </c>
      <c r="K1895">
        <v>10027</v>
      </c>
      <c r="L1895" t="s">
        <v>18958</v>
      </c>
      <c r="M1895" t="s">
        <v>18958</v>
      </c>
      <c r="N1895" t="s">
        <v>20388</v>
      </c>
      <c r="O1895" t="s">
        <v>26524</v>
      </c>
      <c r="P1895" t="s">
        <v>26560</v>
      </c>
      <c r="R1895" t="s">
        <v>26580</v>
      </c>
      <c r="S1895" t="s">
        <v>18959</v>
      </c>
      <c r="U1895" t="s">
        <v>26604</v>
      </c>
      <c r="W1895" t="s">
        <v>534</v>
      </c>
      <c r="X1895">
        <v>864.77</v>
      </c>
      <c r="Y1895" t="s">
        <v>26651</v>
      </c>
      <c r="Z1895" t="s">
        <v>26664</v>
      </c>
      <c r="AB1895" t="s">
        <v>28382</v>
      </c>
      <c r="AD1895" t="s">
        <v>38434</v>
      </c>
      <c r="AE1895">
        <v>25</v>
      </c>
      <c r="AF1895" t="s">
        <v>20460</v>
      </c>
      <c r="AG1895" t="s">
        <v>19330</v>
      </c>
      <c r="AH1895">
        <v>22</v>
      </c>
      <c r="AI1895">
        <v>2</v>
      </c>
      <c r="AJ1895">
        <v>2</v>
      </c>
      <c r="AK1895">
        <v>49.53</v>
      </c>
      <c r="AN1895" t="s">
        <v>7439</v>
      </c>
      <c r="AO1895">
        <v>12432</v>
      </c>
      <c r="AU1895">
        <v>38.4</v>
      </c>
      <c r="AV1895" t="s">
        <v>659</v>
      </c>
      <c r="AW1895" t="s">
        <v>46835</v>
      </c>
    </row>
    <row r="1896" spans="1:49">
      <c r="A1896" s="1">
        <f>HYPERLINK("https://lsnyc.legalserver.org/matter/dynamic-profile/view/1878135","18-1878135")</f>
        <v>0</v>
      </c>
      <c r="B1896" t="s">
        <v>144</v>
      </c>
      <c r="C1896" t="s">
        <v>340</v>
      </c>
      <c r="D1896" t="s">
        <v>534</v>
      </c>
      <c r="F1896" t="s">
        <v>2003</v>
      </c>
      <c r="G1896" t="s">
        <v>5121</v>
      </c>
      <c r="H1896" t="s">
        <v>11196</v>
      </c>
      <c r="I1896" t="s">
        <v>17274</v>
      </c>
      <c r="J1896" t="s">
        <v>18893</v>
      </c>
      <c r="K1896">
        <v>10027</v>
      </c>
      <c r="L1896" t="s">
        <v>18958</v>
      </c>
      <c r="M1896" t="s">
        <v>18960</v>
      </c>
      <c r="N1896" t="s">
        <v>20389</v>
      </c>
      <c r="O1896" t="s">
        <v>26523</v>
      </c>
      <c r="P1896" t="s">
        <v>26560</v>
      </c>
      <c r="R1896" t="s">
        <v>26580</v>
      </c>
      <c r="S1896" t="s">
        <v>18959</v>
      </c>
      <c r="U1896" t="s">
        <v>26604</v>
      </c>
      <c r="V1896" t="s">
        <v>26610</v>
      </c>
      <c r="W1896" t="s">
        <v>534</v>
      </c>
      <c r="X1896">
        <v>2039</v>
      </c>
      <c r="Y1896" t="s">
        <v>26651</v>
      </c>
      <c r="Z1896" t="s">
        <v>26668</v>
      </c>
      <c r="AB1896" t="s">
        <v>28383</v>
      </c>
      <c r="AC1896" t="s">
        <v>35072</v>
      </c>
      <c r="AD1896" t="s">
        <v>38435</v>
      </c>
      <c r="AE1896">
        <v>60</v>
      </c>
      <c r="AF1896" t="s">
        <v>45543</v>
      </c>
      <c r="AG1896" t="s">
        <v>45556</v>
      </c>
      <c r="AH1896">
        <v>4</v>
      </c>
      <c r="AI1896">
        <v>3</v>
      </c>
      <c r="AJ1896">
        <v>1</v>
      </c>
      <c r="AK1896">
        <v>90.12</v>
      </c>
      <c r="AN1896" t="s">
        <v>7439</v>
      </c>
      <c r="AO1896">
        <v>22620</v>
      </c>
      <c r="AU1896">
        <v>7.5</v>
      </c>
      <c r="AV1896" t="s">
        <v>771</v>
      </c>
      <c r="AW1896" t="s">
        <v>46835</v>
      </c>
    </row>
    <row r="1897" spans="1:49">
      <c r="A1897" s="1">
        <f>HYPERLINK("https://lsnyc.legalserver.org/matter/dynamic-profile/view/1878163","18-1878163")</f>
        <v>0</v>
      </c>
      <c r="B1897" t="s">
        <v>61</v>
      </c>
      <c r="C1897" t="s">
        <v>340</v>
      </c>
      <c r="D1897" t="s">
        <v>534</v>
      </c>
      <c r="F1897" t="s">
        <v>887</v>
      </c>
      <c r="G1897" t="s">
        <v>6171</v>
      </c>
      <c r="H1897" t="s">
        <v>11197</v>
      </c>
      <c r="I1897" t="s">
        <v>17327</v>
      </c>
      <c r="J1897" t="s">
        <v>18893</v>
      </c>
      <c r="K1897">
        <v>10031</v>
      </c>
      <c r="L1897" t="s">
        <v>18958</v>
      </c>
      <c r="M1897" t="s">
        <v>18958</v>
      </c>
      <c r="N1897" t="s">
        <v>20390</v>
      </c>
      <c r="O1897" t="s">
        <v>26524</v>
      </c>
      <c r="P1897" t="s">
        <v>26560</v>
      </c>
      <c r="R1897" t="s">
        <v>26578</v>
      </c>
      <c r="S1897" t="s">
        <v>18959</v>
      </c>
      <c r="U1897" t="s">
        <v>26604</v>
      </c>
      <c r="V1897" t="s">
        <v>26610</v>
      </c>
      <c r="W1897" t="s">
        <v>534</v>
      </c>
      <c r="X1897">
        <v>572.08</v>
      </c>
      <c r="Y1897" t="s">
        <v>26651</v>
      </c>
      <c r="Z1897" t="s">
        <v>26664</v>
      </c>
      <c r="AB1897" t="s">
        <v>28384</v>
      </c>
      <c r="AD1897" t="s">
        <v>38436</v>
      </c>
      <c r="AE1897">
        <v>13</v>
      </c>
      <c r="AF1897" t="s">
        <v>45541</v>
      </c>
      <c r="AG1897" t="s">
        <v>19330</v>
      </c>
      <c r="AH1897">
        <v>28</v>
      </c>
      <c r="AI1897">
        <v>4</v>
      </c>
      <c r="AJ1897">
        <v>5</v>
      </c>
      <c r="AK1897">
        <v>35.97</v>
      </c>
      <c r="AN1897" t="s">
        <v>45581</v>
      </c>
      <c r="AO1897">
        <v>16800</v>
      </c>
      <c r="AR1897" t="s">
        <v>46379</v>
      </c>
      <c r="AS1897" t="s">
        <v>46499</v>
      </c>
      <c r="AT1897" t="s">
        <v>46691</v>
      </c>
      <c r="AU1897">
        <v>6.7</v>
      </c>
      <c r="AV1897" t="s">
        <v>688</v>
      </c>
      <c r="AW1897" t="s">
        <v>46840</v>
      </c>
    </row>
    <row r="1898" spans="1:49">
      <c r="A1898" s="1">
        <f>HYPERLINK("https://lsnyc.legalserver.org/matter/dynamic-profile/view/1878084","18-1878084")</f>
        <v>0</v>
      </c>
      <c r="B1898" t="s">
        <v>191</v>
      </c>
      <c r="C1898" t="s">
        <v>340</v>
      </c>
      <c r="D1898" t="s">
        <v>534</v>
      </c>
      <c r="F1898" t="s">
        <v>1527</v>
      </c>
      <c r="G1898" t="s">
        <v>6172</v>
      </c>
      <c r="H1898" t="s">
        <v>11198</v>
      </c>
      <c r="I1898" t="s">
        <v>17355</v>
      </c>
      <c r="J1898" t="s">
        <v>18893</v>
      </c>
      <c r="K1898">
        <v>10027</v>
      </c>
      <c r="L1898" t="s">
        <v>18958</v>
      </c>
      <c r="M1898" t="s">
        <v>18960</v>
      </c>
      <c r="N1898" t="s">
        <v>20391</v>
      </c>
      <c r="O1898" t="s">
        <v>26524</v>
      </c>
      <c r="P1898" t="s">
        <v>26560</v>
      </c>
      <c r="R1898" t="s">
        <v>26580</v>
      </c>
      <c r="S1898" t="s">
        <v>18959</v>
      </c>
      <c r="U1898" t="s">
        <v>26604</v>
      </c>
      <c r="W1898" t="s">
        <v>534</v>
      </c>
      <c r="X1898">
        <v>582</v>
      </c>
      <c r="Y1898" t="s">
        <v>26651</v>
      </c>
      <c r="Z1898" t="s">
        <v>26668</v>
      </c>
      <c r="AB1898" t="s">
        <v>28385</v>
      </c>
      <c r="AD1898" t="s">
        <v>38437</v>
      </c>
      <c r="AE1898">
        <v>0</v>
      </c>
      <c r="AF1898" t="s">
        <v>45544</v>
      </c>
      <c r="AG1898" t="s">
        <v>45556</v>
      </c>
      <c r="AH1898">
        <v>50</v>
      </c>
      <c r="AI1898">
        <v>1</v>
      </c>
      <c r="AJ1898">
        <v>0</v>
      </c>
      <c r="AK1898">
        <v>74.14</v>
      </c>
      <c r="AN1898" t="s">
        <v>7439</v>
      </c>
      <c r="AO1898">
        <v>9000</v>
      </c>
      <c r="AU1898">
        <v>104.45</v>
      </c>
      <c r="AV1898" t="s">
        <v>807</v>
      </c>
      <c r="AW1898" t="s">
        <v>46835</v>
      </c>
    </row>
    <row r="1899" spans="1:49">
      <c r="A1899" s="1">
        <f>HYPERLINK("https://lsnyc.legalserver.org/matter/dynamic-profile/view/1878187","18-1878187")</f>
        <v>0</v>
      </c>
      <c r="B1899" t="s">
        <v>212</v>
      </c>
      <c r="C1899" t="s">
        <v>340</v>
      </c>
      <c r="D1899" t="s">
        <v>534</v>
      </c>
      <c r="F1899" t="s">
        <v>2004</v>
      </c>
      <c r="G1899" t="s">
        <v>6173</v>
      </c>
      <c r="H1899" t="s">
        <v>11199</v>
      </c>
      <c r="I1899" t="s">
        <v>17349</v>
      </c>
      <c r="J1899" t="s">
        <v>18898</v>
      </c>
      <c r="K1899">
        <v>11691</v>
      </c>
      <c r="L1899" t="s">
        <v>18958</v>
      </c>
      <c r="M1899" t="s">
        <v>18958</v>
      </c>
      <c r="N1899" t="s">
        <v>20392</v>
      </c>
      <c r="O1899" t="s">
        <v>26523</v>
      </c>
      <c r="P1899" t="s">
        <v>26563</v>
      </c>
      <c r="R1899" t="s">
        <v>26578</v>
      </c>
      <c r="S1899" t="s">
        <v>18959</v>
      </c>
      <c r="U1899" t="s">
        <v>26604</v>
      </c>
      <c r="V1899" t="s">
        <v>26612</v>
      </c>
      <c r="W1899" t="s">
        <v>534</v>
      </c>
      <c r="X1899">
        <v>733</v>
      </c>
      <c r="Y1899" t="s">
        <v>26653</v>
      </c>
      <c r="Z1899" t="s">
        <v>26664</v>
      </c>
      <c r="AB1899" t="s">
        <v>28386</v>
      </c>
      <c r="AC1899" t="s">
        <v>35073</v>
      </c>
      <c r="AD1899" t="s">
        <v>38438</v>
      </c>
      <c r="AE1899">
        <v>140</v>
      </c>
      <c r="AF1899" t="s">
        <v>45543</v>
      </c>
      <c r="AG1899" t="s">
        <v>45556</v>
      </c>
      <c r="AH1899">
        <v>8</v>
      </c>
      <c r="AI1899">
        <v>1</v>
      </c>
      <c r="AJ1899">
        <v>1</v>
      </c>
      <c r="AK1899">
        <v>185.95</v>
      </c>
      <c r="AN1899" t="s">
        <v>7439</v>
      </c>
      <c r="AO1899">
        <v>30608</v>
      </c>
      <c r="AU1899">
        <v>0.8</v>
      </c>
      <c r="AV1899" t="s">
        <v>582</v>
      </c>
      <c r="AW1899" t="s">
        <v>208</v>
      </c>
    </row>
    <row r="1900" spans="1:49">
      <c r="A1900" s="1">
        <f>HYPERLINK("https://lsnyc.legalserver.org/matter/dynamic-profile/view/1878122","18-1878122")</f>
        <v>0</v>
      </c>
      <c r="B1900" t="s">
        <v>142</v>
      </c>
      <c r="C1900" t="s">
        <v>340</v>
      </c>
      <c r="D1900" t="s">
        <v>534</v>
      </c>
      <c r="F1900" t="s">
        <v>2005</v>
      </c>
      <c r="G1900" t="s">
        <v>5185</v>
      </c>
      <c r="H1900" t="s">
        <v>11200</v>
      </c>
      <c r="I1900" t="s">
        <v>17742</v>
      </c>
      <c r="J1900" t="s">
        <v>18923</v>
      </c>
      <c r="K1900">
        <v>11418</v>
      </c>
      <c r="L1900" t="s">
        <v>18958</v>
      </c>
      <c r="M1900" t="s">
        <v>18958</v>
      </c>
      <c r="N1900" t="s">
        <v>20393</v>
      </c>
      <c r="O1900" t="s">
        <v>26523</v>
      </c>
      <c r="P1900" t="s">
        <v>26560</v>
      </c>
      <c r="R1900" t="s">
        <v>26584</v>
      </c>
      <c r="S1900" t="s">
        <v>26598</v>
      </c>
      <c r="U1900" t="s">
        <v>26604</v>
      </c>
      <c r="V1900" t="s">
        <v>26610</v>
      </c>
      <c r="W1900" t="s">
        <v>534</v>
      </c>
      <c r="X1900">
        <v>1414</v>
      </c>
      <c r="Y1900" t="s">
        <v>26653</v>
      </c>
      <c r="Z1900" t="s">
        <v>26659</v>
      </c>
      <c r="AB1900" t="s">
        <v>28387</v>
      </c>
      <c r="AD1900" t="s">
        <v>38439</v>
      </c>
      <c r="AE1900">
        <v>40</v>
      </c>
      <c r="AF1900" t="s">
        <v>45541</v>
      </c>
      <c r="AG1900" t="s">
        <v>19330</v>
      </c>
      <c r="AH1900">
        <v>6</v>
      </c>
      <c r="AI1900">
        <v>5</v>
      </c>
      <c r="AJ1900">
        <v>0</v>
      </c>
      <c r="AK1900">
        <v>129.16</v>
      </c>
      <c r="AN1900" t="s">
        <v>45581</v>
      </c>
      <c r="AO1900">
        <v>38000</v>
      </c>
      <c r="AQ1900" t="s">
        <v>46359</v>
      </c>
      <c r="AR1900" t="s">
        <v>46379</v>
      </c>
      <c r="AS1900" t="s">
        <v>46499</v>
      </c>
      <c r="AT1900" t="s">
        <v>46702</v>
      </c>
      <c r="AU1900">
        <v>16</v>
      </c>
      <c r="AV1900" t="s">
        <v>753</v>
      </c>
      <c r="AW1900" t="s">
        <v>122</v>
      </c>
    </row>
    <row r="1901" spans="1:49">
      <c r="A1901" s="1">
        <f>HYPERLINK("https://lsnyc.legalserver.org/matter/dynamic-profile/view/1878721","18-1878721")</f>
        <v>0</v>
      </c>
      <c r="B1901" t="s">
        <v>187</v>
      </c>
      <c r="C1901" t="s">
        <v>340</v>
      </c>
      <c r="D1901" t="s">
        <v>534</v>
      </c>
      <c r="F1901" t="s">
        <v>1902</v>
      </c>
      <c r="G1901" t="s">
        <v>6174</v>
      </c>
      <c r="H1901" t="s">
        <v>11201</v>
      </c>
      <c r="I1901" t="s">
        <v>17299</v>
      </c>
      <c r="J1901" t="s">
        <v>18892</v>
      </c>
      <c r="K1901">
        <v>10457</v>
      </c>
      <c r="L1901" t="s">
        <v>18958</v>
      </c>
      <c r="M1901" t="s">
        <v>18958</v>
      </c>
      <c r="N1901" t="s">
        <v>20394</v>
      </c>
      <c r="O1901" t="s">
        <v>26523</v>
      </c>
      <c r="P1901" t="s">
        <v>26560</v>
      </c>
      <c r="R1901" t="s">
        <v>26579</v>
      </c>
      <c r="S1901" t="s">
        <v>18959</v>
      </c>
      <c r="U1901" t="s">
        <v>26604</v>
      </c>
      <c r="V1901" t="s">
        <v>26610</v>
      </c>
      <c r="W1901" t="s">
        <v>534</v>
      </c>
      <c r="X1901">
        <v>1428</v>
      </c>
      <c r="Y1901" t="s">
        <v>26650</v>
      </c>
      <c r="Z1901" t="s">
        <v>26668</v>
      </c>
      <c r="AB1901" t="s">
        <v>27788</v>
      </c>
      <c r="AC1901" t="s">
        <v>35074</v>
      </c>
      <c r="AD1901" t="s">
        <v>38440</v>
      </c>
      <c r="AE1901">
        <v>8</v>
      </c>
      <c r="AF1901" t="s">
        <v>45541</v>
      </c>
      <c r="AG1901" t="s">
        <v>45558</v>
      </c>
      <c r="AH1901">
        <v>3</v>
      </c>
      <c r="AI1901">
        <v>1</v>
      </c>
      <c r="AJ1901">
        <v>2</v>
      </c>
      <c r="AK1901">
        <v>45.56</v>
      </c>
      <c r="AN1901" t="s">
        <v>7439</v>
      </c>
      <c r="AO1901">
        <v>9468</v>
      </c>
      <c r="AU1901">
        <v>21.4</v>
      </c>
      <c r="AV1901" t="s">
        <v>797</v>
      </c>
      <c r="AW1901" t="s">
        <v>336</v>
      </c>
    </row>
    <row r="1902" spans="1:49">
      <c r="A1902" s="1">
        <f>HYPERLINK("https://lsnyc.legalserver.org/matter/dynamic-profile/view/1878739","18-1878739")</f>
        <v>0</v>
      </c>
      <c r="B1902" t="s">
        <v>187</v>
      </c>
      <c r="C1902" t="s">
        <v>340</v>
      </c>
      <c r="D1902" t="s">
        <v>534</v>
      </c>
      <c r="F1902" t="s">
        <v>1502</v>
      </c>
      <c r="G1902" t="s">
        <v>5955</v>
      </c>
      <c r="H1902" t="s">
        <v>11202</v>
      </c>
      <c r="I1902" t="s">
        <v>17712</v>
      </c>
      <c r="J1902" t="s">
        <v>18892</v>
      </c>
      <c r="K1902">
        <v>10462</v>
      </c>
      <c r="L1902" t="s">
        <v>18958</v>
      </c>
      <c r="M1902" t="s">
        <v>18958</v>
      </c>
      <c r="N1902" t="s">
        <v>20395</v>
      </c>
      <c r="O1902" t="s">
        <v>26524</v>
      </c>
      <c r="P1902" t="s">
        <v>26560</v>
      </c>
      <c r="R1902" t="s">
        <v>26579</v>
      </c>
      <c r="S1902" t="s">
        <v>18959</v>
      </c>
      <c r="U1902" t="s">
        <v>26604</v>
      </c>
      <c r="V1902" t="s">
        <v>26613</v>
      </c>
      <c r="W1902" t="s">
        <v>534</v>
      </c>
      <c r="X1902">
        <v>854.61</v>
      </c>
      <c r="Y1902" t="s">
        <v>26650</v>
      </c>
      <c r="Z1902" t="s">
        <v>26664</v>
      </c>
      <c r="AB1902" t="s">
        <v>28388</v>
      </c>
      <c r="AD1902" t="s">
        <v>38441</v>
      </c>
      <c r="AE1902">
        <v>230</v>
      </c>
      <c r="AF1902" t="s">
        <v>45541</v>
      </c>
      <c r="AG1902" t="s">
        <v>45556</v>
      </c>
      <c r="AH1902">
        <v>24</v>
      </c>
      <c r="AI1902">
        <v>1</v>
      </c>
      <c r="AJ1902">
        <v>0</v>
      </c>
      <c r="AK1902">
        <v>131.96</v>
      </c>
      <c r="AN1902" t="s">
        <v>7439</v>
      </c>
      <c r="AO1902">
        <v>16020</v>
      </c>
      <c r="AU1902">
        <v>61.9</v>
      </c>
      <c r="AV1902" t="s">
        <v>843</v>
      </c>
      <c r="AW1902" t="s">
        <v>336</v>
      </c>
    </row>
    <row r="1903" spans="1:49">
      <c r="A1903" s="1">
        <f>HYPERLINK("https://lsnyc.legalserver.org/matter/dynamic-profile/view/1878085","18-1878085")</f>
        <v>0</v>
      </c>
      <c r="B1903" t="s">
        <v>122</v>
      </c>
      <c r="C1903" t="s">
        <v>340</v>
      </c>
      <c r="D1903" t="s">
        <v>534</v>
      </c>
      <c r="F1903" t="s">
        <v>1134</v>
      </c>
      <c r="G1903" t="s">
        <v>6175</v>
      </c>
      <c r="H1903" t="s">
        <v>11203</v>
      </c>
      <c r="I1903" t="s">
        <v>17322</v>
      </c>
      <c r="J1903" t="s">
        <v>18898</v>
      </c>
      <c r="K1903">
        <v>11691</v>
      </c>
      <c r="L1903" t="s">
        <v>18958</v>
      </c>
      <c r="M1903" t="s">
        <v>18958</v>
      </c>
      <c r="N1903" t="s">
        <v>20396</v>
      </c>
      <c r="O1903" t="s">
        <v>26523</v>
      </c>
      <c r="P1903" t="s">
        <v>26564</v>
      </c>
      <c r="R1903" t="s">
        <v>26578</v>
      </c>
      <c r="S1903" t="s">
        <v>18959</v>
      </c>
      <c r="U1903" t="s">
        <v>26604</v>
      </c>
      <c r="V1903" t="s">
        <v>26610</v>
      </c>
      <c r="W1903" t="s">
        <v>534</v>
      </c>
      <c r="X1903">
        <v>1287.85</v>
      </c>
      <c r="Y1903" t="s">
        <v>26653</v>
      </c>
      <c r="Z1903" t="s">
        <v>26664</v>
      </c>
      <c r="AB1903" t="s">
        <v>28389</v>
      </c>
      <c r="AD1903" t="s">
        <v>38442</v>
      </c>
      <c r="AE1903">
        <v>40</v>
      </c>
      <c r="AF1903" t="s">
        <v>45547</v>
      </c>
      <c r="AG1903" t="s">
        <v>45557</v>
      </c>
      <c r="AH1903">
        <v>5</v>
      </c>
      <c r="AI1903">
        <v>1</v>
      </c>
      <c r="AJ1903">
        <v>4</v>
      </c>
      <c r="AK1903">
        <v>19</v>
      </c>
      <c r="AN1903" t="s">
        <v>7439</v>
      </c>
      <c r="AO1903">
        <v>5590</v>
      </c>
      <c r="AU1903">
        <v>1.3</v>
      </c>
      <c r="AV1903" t="s">
        <v>583</v>
      </c>
      <c r="AW1903" t="s">
        <v>122</v>
      </c>
    </row>
    <row r="1904" spans="1:49">
      <c r="A1904" s="1">
        <f>HYPERLINK("https://lsnyc.legalserver.org/matter/dynamic-profile/view/1878064","18-1878064")</f>
        <v>0</v>
      </c>
      <c r="B1904" t="s">
        <v>112</v>
      </c>
      <c r="C1904" t="s">
        <v>340</v>
      </c>
      <c r="D1904" t="s">
        <v>534</v>
      </c>
      <c r="F1904" t="s">
        <v>2006</v>
      </c>
      <c r="G1904" t="s">
        <v>6176</v>
      </c>
      <c r="H1904" t="s">
        <v>11204</v>
      </c>
      <c r="I1904" t="s">
        <v>17407</v>
      </c>
      <c r="J1904" t="s">
        <v>18906</v>
      </c>
      <c r="K1904">
        <v>11373</v>
      </c>
      <c r="L1904" t="s">
        <v>18958</v>
      </c>
      <c r="M1904" t="s">
        <v>18958</v>
      </c>
      <c r="N1904" t="s">
        <v>20397</v>
      </c>
      <c r="O1904" t="s">
        <v>26523</v>
      </c>
      <c r="P1904" t="s">
        <v>26560</v>
      </c>
      <c r="R1904" t="s">
        <v>26585</v>
      </c>
      <c r="S1904" t="s">
        <v>18959</v>
      </c>
      <c r="U1904" t="s">
        <v>26604</v>
      </c>
      <c r="V1904" t="s">
        <v>26610</v>
      </c>
      <c r="W1904" t="s">
        <v>534</v>
      </c>
      <c r="X1904">
        <v>1147</v>
      </c>
      <c r="Y1904" t="s">
        <v>26653</v>
      </c>
      <c r="Z1904" t="s">
        <v>26664</v>
      </c>
      <c r="AB1904" t="s">
        <v>28390</v>
      </c>
      <c r="AE1904">
        <v>20</v>
      </c>
      <c r="AF1904" t="s">
        <v>45541</v>
      </c>
      <c r="AG1904" t="s">
        <v>19330</v>
      </c>
      <c r="AH1904">
        <v>14</v>
      </c>
      <c r="AI1904">
        <v>1</v>
      </c>
      <c r="AJ1904">
        <v>1</v>
      </c>
      <c r="AK1904">
        <v>43.74</v>
      </c>
      <c r="AN1904" t="s">
        <v>45581</v>
      </c>
      <c r="AO1904">
        <v>7200</v>
      </c>
      <c r="AQ1904" t="s">
        <v>46359</v>
      </c>
      <c r="AR1904" t="s">
        <v>46379</v>
      </c>
      <c r="AS1904" t="s">
        <v>46499</v>
      </c>
      <c r="AT1904" t="s">
        <v>46527</v>
      </c>
      <c r="AU1904">
        <v>19.65</v>
      </c>
      <c r="AV1904" t="s">
        <v>780</v>
      </c>
      <c r="AW1904" t="s">
        <v>85</v>
      </c>
    </row>
    <row r="1905" spans="1:49">
      <c r="A1905" s="1">
        <f>HYPERLINK("https://lsnyc.legalserver.org/matter/dynamic-profile/view/1878108","18-1878108")</f>
        <v>0</v>
      </c>
      <c r="B1905" t="s">
        <v>91</v>
      </c>
      <c r="C1905" t="s">
        <v>340</v>
      </c>
      <c r="D1905" t="s">
        <v>534</v>
      </c>
      <c r="F1905" t="s">
        <v>1300</v>
      </c>
      <c r="G1905" t="s">
        <v>5121</v>
      </c>
      <c r="H1905" t="s">
        <v>11205</v>
      </c>
      <c r="I1905" t="s">
        <v>17283</v>
      </c>
      <c r="J1905" t="s">
        <v>18898</v>
      </c>
      <c r="K1905">
        <v>11691</v>
      </c>
      <c r="L1905" t="s">
        <v>18958</v>
      </c>
      <c r="M1905" t="s">
        <v>18958</v>
      </c>
      <c r="N1905" t="s">
        <v>20398</v>
      </c>
      <c r="O1905" t="s">
        <v>26523</v>
      </c>
      <c r="P1905" t="s">
        <v>26560</v>
      </c>
      <c r="R1905" t="s">
        <v>26584</v>
      </c>
      <c r="S1905" t="s">
        <v>18958</v>
      </c>
      <c r="U1905" t="s">
        <v>26604</v>
      </c>
      <c r="W1905" t="s">
        <v>534</v>
      </c>
      <c r="X1905">
        <v>1268</v>
      </c>
      <c r="Y1905" t="s">
        <v>26653</v>
      </c>
      <c r="Z1905" t="s">
        <v>26664</v>
      </c>
      <c r="AB1905" t="s">
        <v>28391</v>
      </c>
      <c r="AC1905" t="s">
        <v>35075</v>
      </c>
      <c r="AD1905" t="s">
        <v>38443</v>
      </c>
      <c r="AE1905">
        <v>100</v>
      </c>
      <c r="AF1905" t="s">
        <v>45541</v>
      </c>
      <c r="AG1905" t="s">
        <v>19330</v>
      </c>
      <c r="AH1905">
        <v>1</v>
      </c>
      <c r="AI1905">
        <v>1</v>
      </c>
      <c r="AJ1905">
        <v>1</v>
      </c>
      <c r="AK1905">
        <v>0</v>
      </c>
      <c r="AO1905">
        <v>0</v>
      </c>
      <c r="AU1905">
        <v>11.82</v>
      </c>
      <c r="AV1905" t="s">
        <v>832</v>
      </c>
      <c r="AW1905" t="s">
        <v>122</v>
      </c>
    </row>
    <row r="1906" spans="1:49">
      <c r="A1906" s="1">
        <f>HYPERLINK("https://lsnyc.legalserver.org/matter/dynamic-profile/view/1878099","18-1878099")</f>
        <v>0</v>
      </c>
      <c r="B1906" t="s">
        <v>91</v>
      </c>
      <c r="C1906" t="s">
        <v>340</v>
      </c>
      <c r="D1906" t="s">
        <v>534</v>
      </c>
      <c r="F1906" t="s">
        <v>1036</v>
      </c>
      <c r="G1906" t="s">
        <v>5191</v>
      </c>
      <c r="H1906" t="s">
        <v>11206</v>
      </c>
      <c r="J1906" t="s">
        <v>7026</v>
      </c>
      <c r="K1906">
        <v>11368</v>
      </c>
      <c r="L1906" t="s">
        <v>18958</v>
      </c>
      <c r="M1906" t="s">
        <v>18958</v>
      </c>
      <c r="N1906" t="s">
        <v>20399</v>
      </c>
      <c r="O1906" t="s">
        <v>26524</v>
      </c>
      <c r="P1906" t="s">
        <v>26560</v>
      </c>
      <c r="R1906" t="s">
        <v>26584</v>
      </c>
      <c r="U1906" t="s">
        <v>26604</v>
      </c>
      <c r="V1906" t="s">
        <v>26610</v>
      </c>
      <c r="W1906" t="s">
        <v>534</v>
      </c>
      <c r="X1906">
        <v>1300</v>
      </c>
      <c r="Y1906" t="s">
        <v>26653</v>
      </c>
      <c r="Z1906" t="s">
        <v>26664</v>
      </c>
      <c r="AB1906" t="s">
        <v>28392</v>
      </c>
      <c r="AD1906" t="s">
        <v>38444</v>
      </c>
      <c r="AE1906">
        <v>8</v>
      </c>
      <c r="AF1906" t="s">
        <v>45541</v>
      </c>
      <c r="AG1906" t="s">
        <v>19330</v>
      </c>
      <c r="AH1906">
        <v>3</v>
      </c>
      <c r="AI1906">
        <v>1</v>
      </c>
      <c r="AJ1906">
        <v>1</v>
      </c>
      <c r="AK1906">
        <v>103.28</v>
      </c>
      <c r="AN1906" t="s">
        <v>45581</v>
      </c>
      <c r="AO1906">
        <v>17000</v>
      </c>
      <c r="AU1906">
        <v>72.7</v>
      </c>
      <c r="AV1906" t="s">
        <v>827</v>
      </c>
      <c r="AW1906" t="s">
        <v>122</v>
      </c>
    </row>
    <row r="1907" spans="1:49">
      <c r="A1907" s="1">
        <f>HYPERLINK("https://lsnyc.legalserver.org/matter/dynamic-profile/view/1878143","18-1878143")</f>
        <v>0</v>
      </c>
      <c r="B1907" t="s">
        <v>114</v>
      </c>
      <c r="C1907" t="s">
        <v>340</v>
      </c>
      <c r="D1907" t="s">
        <v>534</v>
      </c>
      <c r="F1907" t="s">
        <v>2007</v>
      </c>
      <c r="G1907" t="s">
        <v>5563</v>
      </c>
      <c r="H1907" t="s">
        <v>11203</v>
      </c>
      <c r="I1907" t="s">
        <v>17388</v>
      </c>
      <c r="J1907" t="s">
        <v>18898</v>
      </c>
      <c r="K1907">
        <v>11691</v>
      </c>
      <c r="L1907" t="s">
        <v>18958</v>
      </c>
      <c r="M1907" t="s">
        <v>18960</v>
      </c>
      <c r="N1907" t="s">
        <v>20400</v>
      </c>
      <c r="O1907" t="s">
        <v>26523</v>
      </c>
      <c r="P1907" t="s">
        <v>26560</v>
      </c>
      <c r="R1907" t="s">
        <v>26584</v>
      </c>
      <c r="S1907" t="s">
        <v>18959</v>
      </c>
      <c r="U1907" t="s">
        <v>26604</v>
      </c>
      <c r="W1907" t="s">
        <v>534</v>
      </c>
      <c r="X1907">
        <v>1213</v>
      </c>
      <c r="Y1907" t="s">
        <v>26653</v>
      </c>
      <c r="Z1907" t="s">
        <v>26664</v>
      </c>
      <c r="AB1907" t="s">
        <v>28393</v>
      </c>
      <c r="AD1907" t="s">
        <v>38445</v>
      </c>
      <c r="AE1907">
        <v>27</v>
      </c>
      <c r="AF1907" t="s">
        <v>20460</v>
      </c>
      <c r="AG1907" t="s">
        <v>45562</v>
      </c>
      <c r="AH1907">
        <v>2</v>
      </c>
      <c r="AI1907">
        <v>1</v>
      </c>
      <c r="AJ1907">
        <v>0</v>
      </c>
      <c r="AK1907">
        <v>0</v>
      </c>
      <c r="AN1907" t="s">
        <v>7439</v>
      </c>
      <c r="AO1907">
        <v>0</v>
      </c>
      <c r="AU1907">
        <v>18.6</v>
      </c>
      <c r="AV1907" t="s">
        <v>826</v>
      </c>
      <c r="AW1907" t="s">
        <v>122</v>
      </c>
    </row>
    <row r="1908" spans="1:49">
      <c r="A1908" s="1">
        <f>HYPERLINK("https://lsnyc.legalserver.org/matter/dynamic-profile/view/1878177","18-1878177")</f>
        <v>0</v>
      </c>
      <c r="B1908" t="s">
        <v>62</v>
      </c>
      <c r="C1908" t="s">
        <v>340</v>
      </c>
      <c r="D1908" t="s">
        <v>534</v>
      </c>
      <c r="F1908" t="s">
        <v>2008</v>
      </c>
      <c r="G1908" t="s">
        <v>6177</v>
      </c>
      <c r="H1908" t="s">
        <v>10272</v>
      </c>
      <c r="I1908" t="s">
        <v>17397</v>
      </c>
      <c r="J1908" t="s">
        <v>18893</v>
      </c>
      <c r="K1908">
        <v>10033</v>
      </c>
      <c r="L1908" t="s">
        <v>18958</v>
      </c>
      <c r="M1908" t="s">
        <v>18960</v>
      </c>
      <c r="O1908" t="s">
        <v>26523</v>
      </c>
      <c r="P1908" t="s">
        <v>26560</v>
      </c>
      <c r="R1908" t="s">
        <v>26582</v>
      </c>
      <c r="S1908" t="s">
        <v>18959</v>
      </c>
      <c r="U1908" t="s">
        <v>26604</v>
      </c>
      <c r="W1908" t="s">
        <v>534</v>
      </c>
      <c r="X1908">
        <v>0</v>
      </c>
      <c r="Y1908" t="s">
        <v>26651</v>
      </c>
      <c r="Z1908" t="s">
        <v>26664</v>
      </c>
      <c r="AB1908" t="s">
        <v>28394</v>
      </c>
      <c r="AD1908" t="s">
        <v>38446</v>
      </c>
      <c r="AE1908">
        <v>485</v>
      </c>
      <c r="AF1908" t="s">
        <v>45541</v>
      </c>
      <c r="AG1908" t="s">
        <v>19330</v>
      </c>
      <c r="AH1908">
        <v>35</v>
      </c>
      <c r="AI1908">
        <v>1</v>
      </c>
      <c r="AJ1908">
        <v>0</v>
      </c>
      <c r="AK1908">
        <v>35.58</v>
      </c>
      <c r="AN1908" t="s">
        <v>45581</v>
      </c>
      <c r="AO1908">
        <v>4320</v>
      </c>
      <c r="AU1908">
        <v>11.8</v>
      </c>
      <c r="AV1908" t="s">
        <v>751</v>
      </c>
      <c r="AW1908" t="s">
        <v>46840</v>
      </c>
    </row>
    <row r="1909" spans="1:49">
      <c r="A1909" s="1">
        <f>HYPERLINK("https://lsnyc.legalserver.org/matter/dynamic-profile/view/1878055","18-1878055")</f>
        <v>0</v>
      </c>
      <c r="B1909" t="s">
        <v>62</v>
      </c>
      <c r="C1909" t="s">
        <v>340</v>
      </c>
      <c r="D1909" t="s">
        <v>534</v>
      </c>
      <c r="F1909" t="s">
        <v>1032</v>
      </c>
      <c r="G1909" t="s">
        <v>1865</v>
      </c>
      <c r="H1909" t="s">
        <v>11207</v>
      </c>
      <c r="I1909" t="s">
        <v>17743</v>
      </c>
      <c r="J1909" t="s">
        <v>18893</v>
      </c>
      <c r="K1909">
        <v>10038</v>
      </c>
      <c r="L1909" t="s">
        <v>18958</v>
      </c>
      <c r="M1909" t="s">
        <v>18960</v>
      </c>
      <c r="N1909" t="s">
        <v>20401</v>
      </c>
      <c r="O1909" t="s">
        <v>26523</v>
      </c>
      <c r="P1909" t="s">
        <v>26560</v>
      </c>
      <c r="R1909" t="s">
        <v>26582</v>
      </c>
      <c r="S1909" t="s">
        <v>18959</v>
      </c>
      <c r="U1909" t="s">
        <v>26605</v>
      </c>
      <c r="W1909" t="s">
        <v>534</v>
      </c>
      <c r="X1909">
        <v>1100</v>
      </c>
      <c r="Y1909" t="s">
        <v>26651</v>
      </c>
      <c r="Z1909" t="s">
        <v>26664</v>
      </c>
      <c r="AB1909" t="s">
        <v>28395</v>
      </c>
      <c r="AD1909" t="s">
        <v>38447</v>
      </c>
      <c r="AE1909">
        <v>1947</v>
      </c>
      <c r="AF1909" t="s">
        <v>45542</v>
      </c>
      <c r="AG1909" t="s">
        <v>19330</v>
      </c>
      <c r="AH1909">
        <v>50</v>
      </c>
      <c r="AI1909">
        <v>2</v>
      </c>
      <c r="AJ1909">
        <v>0</v>
      </c>
      <c r="AK1909">
        <v>49.21</v>
      </c>
      <c r="AN1909" t="s">
        <v>7439</v>
      </c>
      <c r="AO1909">
        <v>8100</v>
      </c>
      <c r="AU1909">
        <v>8.4</v>
      </c>
      <c r="AV1909" t="s">
        <v>769</v>
      </c>
      <c r="AW1909" t="s">
        <v>46835</v>
      </c>
    </row>
    <row r="1910" spans="1:49">
      <c r="A1910" s="1">
        <f>HYPERLINK("https://lsnyc.legalserver.org/matter/dynamic-profile/view/1878083","18-1878083")</f>
        <v>0</v>
      </c>
      <c r="B1910" t="s">
        <v>62</v>
      </c>
      <c r="C1910" t="s">
        <v>340</v>
      </c>
      <c r="D1910" t="s">
        <v>534</v>
      </c>
      <c r="F1910" t="s">
        <v>1072</v>
      </c>
      <c r="G1910" t="s">
        <v>6178</v>
      </c>
      <c r="H1910" t="s">
        <v>11208</v>
      </c>
      <c r="I1910" t="s">
        <v>17362</v>
      </c>
      <c r="J1910" t="s">
        <v>18893</v>
      </c>
      <c r="K1910">
        <v>10030</v>
      </c>
      <c r="L1910" t="s">
        <v>18958</v>
      </c>
      <c r="M1910" t="s">
        <v>18958</v>
      </c>
      <c r="N1910" t="s">
        <v>20402</v>
      </c>
      <c r="O1910" t="s">
        <v>26523</v>
      </c>
      <c r="P1910" t="s">
        <v>26563</v>
      </c>
      <c r="R1910" t="s">
        <v>26582</v>
      </c>
      <c r="S1910" t="s">
        <v>18959</v>
      </c>
      <c r="U1910" t="s">
        <v>26604</v>
      </c>
      <c r="W1910" t="s">
        <v>534</v>
      </c>
      <c r="X1910">
        <v>582</v>
      </c>
      <c r="Y1910" t="s">
        <v>26651</v>
      </c>
      <c r="Z1910" t="s">
        <v>26664</v>
      </c>
      <c r="AB1910" t="s">
        <v>28396</v>
      </c>
      <c r="AC1910" t="s">
        <v>35076</v>
      </c>
      <c r="AD1910" t="s">
        <v>38448</v>
      </c>
      <c r="AE1910">
        <v>177</v>
      </c>
      <c r="AF1910" t="s">
        <v>45541</v>
      </c>
      <c r="AG1910" t="s">
        <v>45563</v>
      </c>
      <c r="AH1910">
        <v>12</v>
      </c>
      <c r="AI1910">
        <v>2</v>
      </c>
      <c r="AJ1910">
        <v>1</v>
      </c>
      <c r="AK1910">
        <v>80.95999999999999</v>
      </c>
      <c r="AN1910" t="s">
        <v>7439</v>
      </c>
      <c r="AO1910">
        <v>16824</v>
      </c>
      <c r="AU1910">
        <v>0</v>
      </c>
      <c r="AW1910" t="s">
        <v>46840</v>
      </c>
    </row>
    <row r="1911" spans="1:49">
      <c r="A1911" s="1">
        <f>HYPERLINK("https://lsnyc.legalserver.org/matter/dynamic-profile/view/1878113","18-1878113")</f>
        <v>0</v>
      </c>
      <c r="B1911" t="s">
        <v>62</v>
      </c>
      <c r="C1911" t="s">
        <v>340</v>
      </c>
      <c r="D1911" t="s">
        <v>534</v>
      </c>
      <c r="F1911" t="s">
        <v>1756</v>
      </c>
      <c r="G1911" t="s">
        <v>6179</v>
      </c>
      <c r="H1911" t="s">
        <v>10124</v>
      </c>
      <c r="I1911" t="s">
        <v>17586</v>
      </c>
      <c r="J1911" t="s">
        <v>18893</v>
      </c>
      <c r="K1911">
        <v>10030</v>
      </c>
      <c r="L1911" t="s">
        <v>18958</v>
      </c>
      <c r="M1911" t="s">
        <v>18958</v>
      </c>
      <c r="N1911" t="s">
        <v>20403</v>
      </c>
      <c r="O1911" t="s">
        <v>26523</v>
      </c>
      <c r="P1911" t="s">
        <v>26560</v>
      </c>
      <c r="R1911" t="s">
        <v>26582</v>
      </c>
      <c r="S1911" t="s">
        <v>18959</v>
      </c>
      <c r="U1911" t="s">
        <v>26604</v>
      </c>
      <c r="W1911" t="s">
        <v>534</v>
      </c>
      <c r="X1911">
        <v>924</v>
      </c>
      <c r="Y1911" t="s">
        <v>26651</v>
      </c>
      <c r="Z1911" t="s">
        <v>26664</v>
      </c>
      <c r="AB1911" t="s">
        <v>28397</v>
      </c>
      <c r="AD1911" t="s">
        <v>38449</v>
      </c>
      <c r="AE1911">
        <v>262</v>
      </c>
      <c r="AF1911" t="s">
        <v>45541</v>
      </c>
      <c r="AG1911" t="s">
        <v>45556</v>
      </c>
      <c r="AH1911">
        <v>16</v>
      </c>
      <c r="AI1911">
        <v>1</v>
      </c>
      <c r="AJ1911">
        <v>0</v>
      </c>
      <c r="AK1911">
        <v>91.04000000000001</v>
      </c>
      <c r="AN1911" t="s">
        <v>7439</v>
      </c>
      <c r="AO1911">
        <v>11052</v>
      </c>
      <c r="AU1911">
        <v>10.9</v>
      </c>
      <c r="AV1911" t="s">
        <v>810</v>
      </c>
      <c r="AW1911" t="s">
        <v>46835</v>
      </c>
    </row>
    <row r="1912" spans="1:49">
      <c r="A1912" s="1">
        <f>HYPERLINK("https://lsnyc.legalserver.org/matter/dynamic-profile/view/1878065","18-1878065")</f>
        <v>0</v>
      </c>
      <c r="B1912" t="s">
        <v>62</v>
      </c>
      <c r="C1912" t="s">
        <v>340</v>
      </c>
      <c r="D1912" t="s">
        <v>534</v>
      </c>
      <c r="F1912" t="s">
        <v>979</v>
      </c>
      <c r="G1912" t="s">
        <v>5300</v>
      </c>
      <c r="H1912" t="s">
        <v>11209</v>
      </c>
      <c r="I1912" t="s">
        <v>17410</v>
      </c>
      <c r="J1912" t="s">
        <v>18893</v>
      </c>
      <c r="K1912">
        <v>10031</v>
      </c>
      <c r="L1912" t="s">
        <v>18958</v>
      </c>
      <c r="M1912" t="s">
        <v>18958</v>
      </c>
      <c r="N1912" t="s">
        <v>20404</v>
      </c>
      <c r="O1912" t="s">
        <v>26523</v>
      </c>
      <c r="P1912" t="s">
        <v>26560</v>
      </c>
      <c r="R1912" t="s">
        <v>26580</v>
      </c>
      <c r="S1912" t="s">
        <v>18959</v>
      </c>
      <c r="U1912" t="s">
        <v>26604</v>
      </c>
      <c r="W1912" t="s">
        <v>534</v>
      </c>
      <c r="X1912">
        <v>1010.62</v>
      </c>
      <c r="Y1912" t="s">
        <v>26651</v>
      </c>
      <c r="Z1912" t="s">
        <v>26668</v>
      </c>
      <c r="AB1912" t="s">
        <v>28398</v>
      </c>
      <c r="AD1912" t="s">
        <v>38450</v>
      </c>
      <c r="AE1912">
        <v>78</v>
      </c>
      <c r="AF1912" t="s">
        <v>45541</v>
      </c>
      <c r="AG1912" t="s">
        <v>19330</v>
      </c>
      <c r="AH1912">
        <v>24</v>
      </c>
      <c r="AI1912">
        <v>1</v>
      </c>
      <c r="AJ1912">
        <v>0</v>
      </c>
      <c r="AK1912">
        <v>0</v>
      </c>
      <c r="AN1912" t="s">
        <v>7439</v>
      </c>
      <c r="AO1912">
        <v>0</v>
      </c>
      <c r="AU1912">
        <v>21.05</v>
      </c>
      <c r="AV1912" t="s">
        <v>834</v>
      </c>
      <c r="AW1912" t="s">
        <v>46835</v>
      </c>
    </row>
    <row r="1913" spans="1:49">
      <c r="A1913" s="1">
        <f>HYPERLINK("https://lsnyc.legalserver.org/matter/dynamic-profile/view/1878123","18-1878123")</f>
        <v>0</v>
      </c>
      <c r="B1913" t="s">
        <v>62</v>
      </c>
      <c r="C1913" t="s">
        <v>340</v>
      </c>
      <c r="D1913" t="s">
        <v>534</v>
      </c>
      <c r="F1913" t="s">
        <v>1428</v>
      </c>
      <c r="G1913" t="s">
        <v>6180</v>
      </c>
      <c r="H1913" t="s">
        <v>11210</v>
      </c>
      <c r="I1913" t="s">
        <v>17268</v>
      </c>
      <c r="J1913" t="s">
        <v>18893</v>
      </c>
      <c r="K1913">
        <v>10027</v>
      </c>
      <c r="L1913" t="s">
        <v>18958</v>
      </c>
      <c r="M1913" t="s">
        <v>18960</v>
      </c>
      <c r="O1913" t="s">
        <v>26523</v>
      </c>
      <c r="P1913" t="s">
        <v>26560</v>
      </c>
      <c r="R1913" t="s">
        <v>26580</v>
      </c>
      <c r="S1913" t="s">
        <v>18959</v>
      </c>
      <c r="U1913" t="s">
        <v>26604</v>
      </c>
      <c r="W1913" t="s">
        <v>534</v>
      </c>
      <c r="X1913">
        <v>0</v>
      </c>
      <c r="Y1913" t="s">
        <v>26651</v>
      </c>
      <c r="Z1913" t="s">
        <v>26664</v>
      </c>
      <c r="AB1913" t="s">
        <v>28399</v>
      </c>
      <c r="AD1913" t="s">
        <v>38451</v>
      </c>
      <c r="AE1913">
        <v>190</v>
      </c>
      <c r="AF1913" t="s">
        <v>45541</v>
      </c>
      <c r="AG1913" t="s">
        <v>45556</v>
      </c>
      <c r="AH1913">
        <v>26</v>
      </c>
      <c r="AI1913">
        <v>1</v>
      </c>
      <c r="AJ1913">
        <v>0</v>
      </c>
      <c r="AK1913">
        <v>87.58</v>
      </c>
      <c r="AN1913" t="s">
        <v>45581</v>
      </c>
      <c r="AO1913">
        <v>10632</v>
      </c>
      <c r="AU1913">
        <v>0</v>
      </c>
      <c r="AW1913" t="s">
        <v>46840</v>
      </c>
    </row>
    <row r="1914" spans="1:49">
      <c r="A1914" s="1">
        <f>HYPERLINK("https://lsnyc.legalserver.org/matter/dynamic-profile/view/1878134","18-1878134")</f>
        <v>0</v>
      </c>
      <c r="B1914" t="s">
        <v>62</v>
      </c>
      <c r="C1914" t="s">
        <v>340</v>
      </c>
      <c r="D1914" t="s">
        <v>534</v>
      </c>
      <c r="F1914" t="s">
        <v>1190</v>
      </c>
      <c r="G1914" t="s">
        <v>5199</v>
      </c>
      <c r="H1914" t="s">
        <v>11211</v>
      </c>
      <c r="I1914" t="s">
        <v>17272</v>
      </c>
      <c r="J1914" t="s">
        <v>18893</v>
      </c>
      <c r="K1914">
        <v>10027</v>
      </c>
      <c r="L1914" t="s">
        <v>18958</v>
      </c>
      <c r="M1914" t="s">
        <v>18960</v>
      </c>
      <c r="N1914" t="s">
        <v>20405</v>
      </c>
      <c r="O1914" t="s">
        <v>26523</v>
      </c>
      <c r="P1914" t="s">
        <v>26560</v>
      </c>
      <c r="R1914" t="s">
        <v>26580</v>
      </c>
      <c r="S1914" t="s">
        <v>18959</v>
      </c>
      <c r="U1914" t="s">
        <v>26604</v>
      </c>
      <c r="W1914" t="s">
        <v>534</v>
      </c>
      <c r="X1914">
        <v>1120</v>
      </c>
      <c r="Y1914" t="s">
        <v>26651</v>
      </c>
      <c r="Z1914" t="s">
        <v>26664</v>
      </c>
      <c r="AB1914" t="s">
        <v>28400</v>
      </c>
      <c r="AD1914" t="s">
        <v>38452</v>
      </c>
      <c r="AE1914">
        <v>23</v>
      </c>
      <c r="AF1914" t="s">
        <v>45541</v>
      </c>
      <c r="AG1914" t="s">
        <v>19330</v>
      </c>
      <c r="AH1914">
        <v>13</v>
      </c>
      <c r="AI1914">
        <v>2</v>
      </c>
      <c r="AJ1914">
        <v>3</v>
      </c>
      <c r="AK1914">
        <v>135.96</v>
      </c>
      <c r="AN1914" t="s">
        <v>7439</v>
      </c>
      <c r="AO1914">
        <v>40000</v>
      </c>
      <c r="AU1914">
        <v>5.55</v>
      </c>
      <c r="AV1914" t="s">
        <v>833</v>
      </c>
      <c r="AW1914" t="s">
        <v>46840</v>
      </c>
    </row>
    <row r="1915" spans="1:49">
      <c r="A1915" s="1">
        <f>HYPERLINK("https://lsnyc.legalserver.org/matter/dynamic-profile/view/1878266","18-1878266")</f>
        <v>0</v>
      </c>
      <c r="B1915" t="s">
        <v>247</v>
      </c>
      <c r="C1915" t="s">
        <v>341</v>
      </c>
      <c r="D1915" t="s">
        <v>596</v>
      </c>
      <c r="E1915" t="s">
        <v>752</v>
      </c>
      <c r="F1915" t="s">
        <v>2009</v>
      </c>
      <c r="G1915" t="s">
        <v>4381</v>
      </c>
      <c r="H1915" t="s">
        <v>11212</v>
      </c>
      <c r="J1915" t="s">
        <v>18901</v>
      </c>
      <c r="K1915">
        <v>11434</v>
      </c>
      <c r="L1915" t="s">
        <v>18958</v>
      </c>
      <c r="M1915" t="s">
        <v>18958</v>
      </c>
      <c r="N1915" t="s">
        <v>20406</v>
      </c>
      <c r="O1915" t="s">
        <v>26523</v>
      </c>
      <c r="P1915" t="s">
        <v>26560</v>
      </c>
      <c r="Q1915" t="s">
        <v>26571</v>
      </c>
      <c r="R1915" t="s">
        <v>26585</v>
      </c>
      <c r="S1915" t="s">
        <v>18959</v>
      </c>
      <c r="U1915" t="s">
        <v>26604</v>
      </c>
      <c r="V1915" t="s">
        <v>26610</v>
      </c>
      <c r="W1915" t="s">
        <v>534</v>
      </c>
      <c r="X1915">
        <v>1450</v>
      </c>
      <c r="Y1915" t="s">
        <v>26653</v>
      </c>
      <c r="Z1915" t="s">
        <v>26668</v>
      </c>
      <c r="AA1915" t="s">
        <v>26679</v>
      </c>
      <c r="AB1915" t="s">
        <v>28401</v>
      </c>
      <c r="AC1915" t="s">
        <v>19045</v>
      </c>
      <c r="AD1915" t="s">
        <v>38453</v>
      </c>
      <c r="AE1915">
        <v>1</v>
      </c>
      <c r="AF1915" t="s">
        <v>45547</v>
      </c>
      <c r="AG1915" t="s">
        <v>45556</v>
      </c>
      <c r="AH1915">
        <v>5</v>
      </c>
      <c r="AI1915">
        <v>3</v>
      </c>
      <c r="AJ1915">
        <v>0</v>
      </c>
      <c r="AK1915">
        <v>211.74</v>
      </c>
      <c r="AL1915" t="s">
        <v>800</v>
      </c>
      <c r="AM1915" t="s">
        <v>45575</v>
      </c>
      <c r="AN1915" t="s">
        <v>7439</v>
      </c>
      <c r="AO1915">
        <v>44000</v>
      </c>
      <c r="AQ1915" t="s">
        <v>46362</v>
      </c>
      <c r="AR1915" t="s">
        <v>26530</v>
      </c>
      <c r="AS1915" t="s">
        <v>46500</v>
      </c>
      <c r="AT1915" t="s">
        <v>46690</v>
      </c>
      <c r="AU1915">
        <v>34.44</v>
      </c>
      <c r="AV1915" t="s">
        <v>752</v>
      </c>
      <c r="AW1915" t="s">
        <v>161</v>
      </c>
    </row>
    <row r="1916" spans="1:49">
      <c r="A1916" s="1">
        <f>HYPERLINK("https://lsnyc.legalserver.org/matter/dynamic-profile/view/1878272","18-1878272")</f>
        <v>0</v>
      </c>
      <c r="B1916" t="s">
        <v>130</v>
      </c>
      <c r="C1916" t="s">
        <v>341</v>
      </c>
      <c r="D1916" t="s">
        <v>596</v>
      </c>
      <c r="E1916" t="s">
        <v>411</v>
      </c>
      <c r="F1916" t="s">
        <v>1244</v>
      </c>
      <c r="G1916" t="s">
        <v>6181</v>
      </c>
      <c r="H1916" t="s">
        <v>10432</v>
      </c>
      <c r="I1916" t="s">
        <v>17744</v>
      </c>
      <c r="J1916" t="s">
        <v>18906</v>
      </c>
      <c r="K1916">
        <v>11373</v>
      </c>
      <c r="L1916" t="s">
        <v>18958</v>
      </c>
      <c r="M1916" t="s">
        <v>18958</v>
      </c>
      <c r="N1916" t="s">
        <v>20407</v>
      </c>
      <c r="O1916" t="s">
        <v>26524</v>
      </c>
      <c r="P1916" t="s">
        <v>26564</v>
      </c>
      <c r="Q1916" t="s">
        <v>26570</v>
      </c>
      <c r="R1916" t="s">
        <v>26583</v>
      </c>
      <c r="S1916" t="s">
        <v>18959</v>
      </c>
      <c r="U1916" t="s">
        <v>26604</v>
      </c>
      <c r="V1916" t="s">
        <v>26610</v>
      </c>
      <c r="W1916" t="s">
        <v>534</v>
      </c>
      <c r="X1916">
        <v>1357</v>
      </c>
      <c r="Y1916" t="s">
        <v>26653</v>
      </c>
      <c r="Z1916" t="s">
        <v>26668</v>
      </c>
      <c r="AA1916" t="s">
        <v>26683</v>
      </c>
      <c r="AB1916" t="s">
        <v>28402</v>
      </c>
      <c r="AE1916">
        <v>193</v>
      </c>
      <c r="AF1916" t="s">
        <v>45541</v>
      </c>
      <c r="AG1916" t="s">
        <v>19330</v>
      </c>
      <c r="AH1916">
        <v>3</v>
      </c>
      <c r="AI1916">
        <v>1</v>
      </c>
      <c r="AJ1916">
        <v>0</v>
      </c>
      <c r="AK1916">
        <v>411.86</v>
      </c>
      <c r="AN1916" t="s">
        <v>45581</v>
      </c>
      <c r="AO1916">
        <v>50000</v>
      </c>
      <c r="AU1916">
        <v>0.8</v>
      </c>
      <c r="AV1916" t="s">
        <v>411</v>
      </c>
      <c r="AW1916" t="s">
        <v>161</v>
      </c>
    </row>
    <row r="1917" spans="1:49">
      <c r="A1917" s="1">
        <f>HYPERLINK("https://lsnyc.legalserver.org/matter/dynamic-profile/view/1878292","18-1878292")</f>
        <v>0</v>
      </c>
      <c r="B1917" t="s">
        <v>108</v>
      </c>
      <c r="C1917" t="s">
        <v>341</v>
      </c>
      <c r="D1917" t="s">
        <v>596</v>
      </c>
      <c r="E1917" t="s">
        <v>695</v>
      </c>
      <c r="F1917" t="s">
        <v>2010</v>
      </c>
      <c r="G1917" t="s">
        <v>6182</v>
      </c>
      <c r="H1917" t="s">
        <v>11213</v>
      </c>
      <c r="J1917" t="s">
        <v>18901</v>
      </c>
      <c r="K1917">
        <v>11433</v>
      </c>
      <c r="L1917" t="s">
        <v>18958</v>
      </c>
      <c r="M1917" t="s">
        <v>18958</v>
      </c>
      <c r="N1917" t="s">
        <v>20408</v>
      </c>
      <c r="O1917" t="s">
        <v>26524</v>
      </c>
      <c r="P1917" t="s">
        <v>26560</v>
      </c>
      <c r="Q1917" t="s">
        <v>26568</v>
      </c>
      <c r="R1917" t="s">
        <v>26585</v>
      </c>
      <c r="S1917" t="s">
        <v>18959</v>
      </c>
      <c r="U1917" t="s">
        <v>26604</v>
      </c>
      <c r="V1917" t="s">
        <v>26610</v>
      </c>
      <c r="W1917" t="s">
        <v>534</v>
      </c>
      <c r="X1917">
        <v>0</v>
      </c>
      <c r="Y1917" t="s">
        <v>26653</v>
      </c>
      <c r="Z1917" t="s">
        <v>26668</v>
      </c>
      <c r="AA1917" t="s">
        <v>26678</v>
      </c>
      <c r="AB1917" t="s">
        <v>28403</v>
      </c>
      <c r="AC1917" t="s">
        <v>19045</v>
      </c>
      <c r="AD1917" t="s">
        <v>34738</v>
      </c>
      <c r="AE1917">
        <v>2</v>
      </c>
      <c r="AF1917" t="s">
        <v>45547</v>
      </c>
      <c r="AG1917" t="s">
        <v>19330</v>
      </c>
      <c r="AH1917">
        <v>1</v>
      </c>
      <c r="AI1917">
        <v>2</v>
      </c>
      <c r="AJ1917">
        <v>2</v>
      </c>
      <c r="AK1917">
        <v>31.87</v>
      </c>
      <c r="AN1917" t="s">
        <v>7439</v>
      </c>
      <c r="AO1917">
        <v>8000</v>
      </c>
      <c r="AQ1917" t="s">
        <v>46362</v>
      </c>
      <c r="AR1917" t="s">
        <v>46452</v>
      </c>
      <c r="AS1917" t="s">
        <v>46500</v>
      </c>
      <c r="AT1917" t="s">
        <v>46517</v>
      </c>
      <c r="AU1917">
        <v>7.1</v>
      </c>
      <c r="AV1917" t="s">
        <v>757</v>
      </c>
      <c r="AW1917" t="s">
        <v>161</v>
      </c>
    </row>
    <row r="1918" spans="1:49">
      <c r="A1918" s="1">
        <f>HYPERLINK("https://lsnyc.legalserver.org/matter/dynamic-profile/view/1878298","18-1878298")</f>
        <v>0</v>
      </c>
      <c r="B1918" t="s">
        <v>108</v>
      </c>
      <c r="C1918" t="s">
        <v>341</v>
      </c>
      <c r="D1918" t="s">
        <v>596</v>
      </c>
      <c r="E1918" t="s">
        <v>695</v>
      </c>
      <c r="F1918" t="s">
        <v>2011</v>
      </c>
      <c r="G1918" t="s">
        <v>5654</v>
      </c>
      <c r="H1918" t="s">
        <v>11214</v>
      </c>
      <c r="I1918">
        <v>3</v>
      </c>
      <c r="J1918" t="s">
        <v>18906</v>
      </c>
      <c r="K1918">
        <v>11373</v>
      </c>
      <c r="L1918" t="s">
        <v>18958</v>
      </c>
      <c r="M1918" t="s">
        <v>18958</v>
      </c>
      <c r="N1918" t="s">
        <v>20409</v>
      </c>
      <c r="O1918" t="s">
        <v>26524</v>
      </c>
      <c r="P1918" t="s">
        <v>26560</v>
      </c>
      <c r="Q1918" t="s">
        <v>26568</v>
      </c>
      <c r="R1918" t="s">
        <v>26585</v>
      </c>
      <c r="S1918" t="s">
        <v>18959</v>
      </c>
      <c r="U1918" t="s">
        <v>26604</v>
      </c>
      <c r="V1918" t="s">
        <v>26610</v>
      </c>
      <c r="W1918" t="s">
        <v>534</v>
      </c>
      <c r="X1918">
        <v>1800</v>
      </c>
      <c r="Y1918" t="s">
        <v>26653</v>
      </c>
      <c r="Z1918" t="s">
        <v>26668</v>
      </c>
      <c r="AA1918" t="s">
        <v>26679</v>
      </c>
      <c r="AB1918" t="s">
        <v>28404</v>
      </c>
      <c r="AC1918" t="s">
        <v>19045</v>
      </c>
      <c r="AD1918" t="s">
        <v>38454</v>
      </c>
      <c r="AE1918">
        <v>3</v>
      </c>
      <c r="AF1918" t="s">
        <v>45547</v>
      </c>
      <c r="AG1918" t="s">
        <v>19330</v>
      </c>
      <c r="AH1918">
        <v>13</v>
      </c>
      <c r="AI1918">
        <v>2</v>
      </c>
      <c r="AJ1918">
        <v>0</v>
      </c>
      <c r="AK1918">
        <v>116.65</v>
      </c>
      <c r="AN1918" t="s">
        <v>45581</v>
      </c>
      <c r="AO1918">
        <v>19200</v>
      </c>
      <c r="AQ1918" t="s">
        <v>46362</v>
      </c>
      <c r="AR1918" t="s">
        <v>26530</v>
      </c>
      <c r="AS1918" t="s">
        <v>46500</v>
      </c>
      <c r="AT1918" t="s">
        <v>46517</v>
      </c>
      <c r="AU1918">
        <v>1.3</v>
      </c>
      <c r="AV1918" t="s">
        <v>575</v>
      </c>
      <c r="AW1918" t="s">
        <v>161</v>
      </c>
    </row>
    <row r="1919" spans="1:49">
      <c r="A1919" s="1">
        <f>HYPERLINK("https://lsnyc.legalserver.org/matter/dynamic-profile/view/1878223","18-1878223")</f>
        <v>0</v>
      </c>
      <c r="B1919" t="s">
        <v>212</v>
      </c>
      <c r="C1919" t="s">
        <v>341</v>
      </c>
      <c r="D1919" t="s">
        <v>596</v>
      </c>
      <c r="E1919" t="s">
        <v>589</v>
      </c>
      <c r="F1919" t="s">
        <v>947</v>
      </c>
      <c r="G1919" t="s">
        <v>6183</v>
      </c>
      <c r="H1919" t="s">
        <v>11203</v>
      </c>
      <c r="I1919" t="s">
        <v>17349</v>
      </c>
      <c r="J1919" t="s">
        <v>18898</v>
      </c>
      <c r="K1919">
        <v>11691</v>
      </c>
      <c r="L1919" t="s">
        <v>18958</v>
      </c>
      <c r="M1919" t="s">
        <v>18958</v>
      </c>
      <c r="N1919" t="s">
        <v>20410</v>
      </c>
      <c r="O1919" t="s">
        <v>26523</v>
      </c>
      <c r="P1919" t="s">
        <v>26564</v>
      </c>
      <c r="Q1919" t="s">
        <v>26570</v>
      </c>
      <c r="R1919" t="s">
        <v>26578</v>
      </c>
      <c r="S1919" t="s">
        <v>18959</v>
      </c>
      <c r="U1919" t="s">
        <v>26604</v>
      </c>
      <c r="V1919" t="s">
        <v>26610</v>
      </c>
      <c r="W1919" t="s">
        <v>534</v>
      </c>
      <c r="X1919">
        <v>1515</v>
      </c>
      <c r="Y1919" t="s">
        <v>26653</v>
      </c>
      <c r="Z1919" t="s">
        <v>26664</v>
      </c>
      <c r="AA1919" t="s">
        <v>26683</v>
      </c>
      <c r="AB1919" t="s">
        <v>28405</v>
      </c>
      <c r="AC1919" t="s">
        <v>35077</v>
      </c>
      <c r="AD1919" t="s">
        <v>38455</v>
      </c>
      <c r="AE1919">
        <v>27</v>
      </c>
      <c r="AF1919" t="s">
        <v>45541</v>
      </c>
      <c r="AG1919" t="s">
        <v>45557</v>
      </c>
      <c r="AH1919">
        <v>2</v>
      </c>
      <c r="AI1919">
        <v>1</v>
      </c>
      <c r="AJ1919">
        <v>3</v>
      </c>
      <c r="AK1919">
        <v>0</v>
      </c>
      <c r="AN1919" t="s">
        <v>7439</v>
      </c>
      <c r="AO1919">
        <v>0</v>
      </c>
      <c r="AU1919">
        <v>1.1</v>
      </c>
      <c r="AV1919" t="s">
        <v>589</v>
      </c>
      <c r="AW1919" t="s">
        <v>212</v>
      </c>
    </row>
    <row r="1920" spans="1:49">
      <c r="A1920" s="1">
        <f>HYPERLINK("https://lsnyc.legalserver.org/matter/dynamic-profile/view/1878268","18-1878268")</f>
        <v>0</v>
      </c>
      <c r="B1920" t="s">
        <v>112</v>
      </c>
      <c r="C1920" t="s">
        <v>340</v>
      </c>
      <c r="D1920" t="s">
        <v>596</v>
      </c>
      <c r="F1920" t="s">
        <v>2012</v>
      </c>
      <c r="G1920" t="s">
        <v>6184</v>
      </c>
      <c r="H1920" t="s">
        <v>10650</v>
      </c>
      <c r="I1920" t="s">
        <v>17465</v>
      </c>
      <c r="J1920" t="s">
        <v>18911</v>
      </c>
      <c r="K1920">
        <v>11375</v>
      </c>
      <c r="L1920" t="s">
        <v>18958</v>
      </c>
      <c r="M1920" t="s">
        <v>18958</v>
      </c>
      <c r="N1920" t="s">
        <v>20411</v>
      </c>
      <c r="O1920" t="s">
        <v>26523</v>
      </c>
      <c r="P1920" t="s">
        <v>26564</v>
      </c>
      <c r="R1920" t="s">
        <v>26584</v>
      </c>
      <c r="S1920" t="s">
        <v>18959</v>
      </c>
      <c r="U1920" t="s">
        <v>26604</v>
      </c>
      <c r="V1920" t="s">
        <v>26611</v>
      </c>
      <c r="W1920" t="s">
        <v>534</v>
      </c>
      <c r="X1920">
        <v>1011.73</v>
      </c>
      <c r="Y1920" t="s">
        <v>26653</v>
      </c>
      <c r="Z1920" t="s">
        <v>26664</v>
      </c>
      <c r="AB1920" t="s">
        <v>28406</v>
      </c>
      <c r="AC1920" t="s">
        <v>35078</v>
      </c>
      <c r="AD1920" t="s">
        <v>38456</v>
      </c>
      <c r="AE1920">
        <v>36</v>
      </c>
      <c r="AF1920" t="s">
        <v>45541</v>
      </c>
      <c r="AG1920" t="s">
        <v>45559</v>
      </c>
      <c r="AH1920">
        <v>40</v>
      </c>
      <c r="AI1920">
        <v>2</v>
      </c>
      <c r="AJ1920">
        <v>0</v>
      </c>
      <c r="AK1920">
        <v>65.61</v>
      </c>
      <c r="AN1920" t="s">
        <v>7439</v>
      </c>
      <c r="AO1920">
        <v>10800</v>
      </c>
      <c r="AU1920">
        <v>1.3</v>
      </c>
      <c r="AV1920" t="s">
        <v>458</v>
      </c>
      <c r="AW1920" t="s">
        <v>161</v>
      </c>
    </row>
    <row r="1921" spans="1:49">
      <c r="A1921" s="1">
        <f>HYPERLINK("https://lsnyc.legalserver.org/matter/dynamic-profile/view/1878278","18-1878278")</f>
        <v>0</v>
      </c>
      <c r="B1921" t="s">
        <v>114</v>
      </c>
      <c r="C1921" t="s">
        <v>340</v>
      </c>
      <c r="D1921" t="s">
        <v>596</v>
      </c>
      <c r="F1921" t="s">
        <v>2013</v>
      </c>
      <c r="G1921" t="s">
        <v>6185</v>
      </c>
      <c r="H1921" t="s">
        <v>11215</v>
      </c>
      <c r="J1921" t="s">
        <v>18901</v>
      </c>
      <c r="K1921">
        <v>11434</v>
      </c>
      <c r="L1921" t="s">
        <v>18958</v>
      </c>
      <c r="M1921" t="s">
        <v>18958</v>
      </c>
      <c r="N1921" t="s">
        <v>20412</v>
      </c>
      <c r="O1921" t="s">
        <v>26523</v>
      </c>
      <c r="P1921" t="s">
        <v>26560</v>
      </c>
      <c r="R1921" t="s">
        <v>26585</v>
      </c>
      <c r="S1921" t="s">
        <v>18959</v>
      </c>
      <c r="U1921" t="s">
        <v>26604</v>
      </c>
      <c r="V1921" t="s">
        <v>26610</v>
      </c>
      <c r="W1921" t="s">
        <v>534</v>
      </c>
      <c r="X1921">
        <v>932.76</v>
      </c>
      <c r="Y1921" t="s">
        <v>26653</v>
      </c>
      <c r="Z1921" t="s">
        <v>26668</v>
      </c>
      <c r="AB1921" t="s">
        <v>28407</v>
      </c>
      <c r="AD1921" t="s">
        <v>38457</v>
      </c>
      <c r="AE1921">
        <v>293</v>
      </c>
      <c r="AF1921" t="s">
        <v>45552</v>
      </c>
      <c r="AG1921" t="s">
        <v>19330</v>
      </c>
      <c r="AH1921">
        <v>44</v>
      </c>
      <c r="AI1921">
        <v>2</v>
      </c>
      <c r="AJ1921">
        <v>0</v>
      </c>
      <c r="AK1921">
        <v>200.49</v>
      </c>
      <c r="AN1921" t="s">
        <v>7439</v>
      </c>
      <c r="AO1921">
        <v>33000</v>
      </c>
      <c r="AU1921">
        <v>10.1</v>
      </c>
      <c r="AV1921" t="s">
        <v>806</v>
      </c>
      <c r="AW1921" t="s">
        <v>161</v>
      </c>
    </row>
    <row r="1922" spans="1:49">
      <c r="A1922" s="1">
        <f>HYPERLINK("https://lsnyc.legalserver.org/matter/dynamic-profile/view/1878325","18-1878325")</f>
        <v>0</v>
      </c>
      <c r="B1922" t="s">
        <v>191</v>
      </c>
      <c r="C1922" t="s">
        <v>340</v>
      </c>
      <c r="D1922" t="s">
        <v>582</v>
      </c>
      <c r="F1922" t="s">
        <v>1075</v>
      </c>
      <c r="G1922" t="s">
        <v>5870</v>
      </c>
      <c r="H1922" t="s">
        <v>11216</v>
      </c>
      <c r="I1922">
        <v>1</v>
      </c>
      <c r="J1922" t="s">
        <v>18893</v>
      </c>
      <c r="K1922">
        <v>10033</v>
      </c>
      <c r="L1922" t="s">
        <v>18958</v>
      </c>
      <c r="M1922" t="s">
        <v>18960</v>
      </c>
      <c r="N1922" t="s">
        <v>20413</v>
      </c>
      <c r="O1922" t="s">
        <v>26523</v>
      </c>
      <c r="P1922" t="s">
        <v>26564</v>
      </c>
      <c r="R1922" t="s">
        <v>26578</v>
      </c>
      <c r="S1922" t="s">
        <v>18959</v>
      </c>
      <c r="U1922" t="s">
        <v>26604</v>
      </c>
      <c r="W1922" t="s">
        <v>534</v>
      </c>
      <c r="X1922">
        <v>1157.5</v>
      </c>
      <c r="Y1922" t="s">
        <v>26651</v>
      </c>
      <c r="Z1922" t="s">
        <v>26657</v>
      </c>
      <c r="AB1922" t="s">
        <v>28408</v>
      </c>
      <c r="AE1922">
        <v>0</v>
      </c>
      <c r="AF1922" t="s">
        <v>45541</v>
      </c>
      <c r="AG1922" t="s">
        <v>19330</v>
      </c>
      <c r="AH1922">
        <v>14</v>
      </c>
      <c r="AI1922">
        <v>2</v>
      </c>
      <c r="AJ1922">
        <v>1</v>
      </c>
      <c r="AK1922">
        <v>87.58</v>
      </c>
      <c r="AN1922" t="s">
        <v>45581</v>
      </c>
      <c r="AO1922">
        <v>18200</v>
      </c>
      <c r="AU1922">
        <v>1.8</v>
      </c>
      <c r="AV1922" t="s">
        <v>635</v>
      </c>
      <c r="AW1922" t="s">
        <v>46835</v>
      </c>
    </row>
    <row r="1923" spans="1:49">
      <c r="A1923" s="1">
        <f>HYPERLINK("https://lsnyc.legalserver.org/matter/dynamic-profile/view/1878370","18-1878370")</f>
        <v>0</v>
      </c>
      <c r="B1923" t="s">
        <v>116</v>
      </c>
      <c r="C1923" t="s">
        <v>340</v>
      </c>
      <c r="D1923" t="s">
        <v>582</v>
      </c>
      <c r="F1923" t="s">
        <v>1283</v>
      </c>
      <c r="G1923" t="s">
        <v>6186</v>
      </c>
      <c r="H1923" t="s">
        <v>10611</v>
      </c>
      <c r="I1923" t="s">
        <v>17306</v>
      </c>
      <c r="J1923" t="s">
        <v>18894</v>
      </c>
      <c r="K1923">
        <v>11212</v>
      </c>
      <c r="L1923" t="s">
        <v>18958</v>
      </c>
      <c r="M1923" t="s">
        <v>18958</v>
      </c>
      <c r="N1923" t="s">
        <v>18997</v>
      </c>
      <c r="O1923" t="s">
        <v>26531</v>
      </c>
      <c r="P1923" t="s">
        <v>26565</v>
      </c>
      <c r="R1923" t="s">
        <v>26583</v>
      </c>
      <c r="U1923" t="s">
        <v>26604</v>
      </c>
      <c r="W1923" t="s">
        <v>534</v>
      </c>
      <c r="X1923">
        <v>625.95</v>
      </c>
      <c r="Y1923" t="s">
        <v>26652</v>
      </c>
      <c r="Z1923" t="s">
        <v>26667</v>
      </c>
      <c r="AB1923" t="s">
        <v>28409</v>
      </c>
      <c r="AD1923" t="s">
        <v>38458</v>
      </c>
      <c r="AE1923">
        <v>8</v>
      </c>
      <c r="AF1923" t="s">
        <v>45541</v>
      </c>
      <c r="AG1923" t="s">
        <v>19330</v>
      </c>
      <c r="AH1923">
        <v>22</v>
      </c>
      <c r="AI1923">
        <v>2</v>
      </c>
      <c r="AJ1923">
        <v>0</v>
      </c>
      <c r="AK1923">
        <v>251.62</v>
      </c>
      <c r="AN1923" t="s">
        <v>7439</v>
      </c>
      <c r="AO1923">
        <v>41416</v>
      </c>
      <c r="AU1923">
        <v>2.9</v>
      </c>
      <c r="AV1923" t="s">
        <v>831</v>
      </c>
      <c r="AW1923" t="s">
        <v>279</v>
      </c>
    </row>
    <row r="1924" spans="1:49">
      <c r="A1924" s="1">
        <f>HYPERLINK("https://lsnyc.legalserver.org/matter/dynamic-profile/view/1878507","18-1878507")</f>
        <v>0</v>
      </c>
      <c r="B1924" t="s">
        <v>107</v>
      </c>
      <c r="C1924" t="s">
        <v>341</v>
      </c>
      <c r="D1924" t="s">
        <v>589</v>
      </c>
      <c r="E1924" t="s">
        <v>828</v>
      </c>
      <c r="F1924" t="s">
        <v>1489</v>
      </c>
      <c r="G1924" t="s">
        <v>6187</v>
      </c>
      <c r="H1924" t="s">
        <v>11217</v>
      </c>
      <c r="I1924" t="s">
        <v>17416</v>
      </c>
      <c r="J1924" t="s">
        <v>18901</v>
      </c>
      <c r="K1924">
        <v>11434</v>
      </c>
      <c r="L1924" t="s">
        <v>18958</v>
      </c>
      <c r="M1924" t="s">
        <v>18958</v>
      </c>
      <c r="N1924" t="s">
        <v>20414</v>
      </c>
      <c r="O1924" t="s">
        <v>26524</v>
      </c>
      <c r="P1924" t="s">
        <v>26560</v>
      </c>
      <c r="Q1924" t="s">
        <v>26568</v>
      </c>
      <c r="R1924" t="s">
        <v>26585</v>
      </c>
      <c r="S1924" t="s">
        <v>18959</v>
      </c>
      <c r="U1924" t="s">
        <v>26604</v>
      </c>
      <c r="V1924" t="s">
        <v>26610</v>
      </c>
      <c r="W1924" t="s">
        <v>534</v>
      </c>
      <c r="X1924">
        <v>1525</v>
      </c>
      <c r="Y1924" t="s">
        <v>26653</v>
      </c>
      <c r="Z1924" t="s">
        <v>26668</v>
      </c>
      <c r="AA1924" t="s">
        <v>26678</v>
      </c>
      <c r="AB1924" t="s">
        <v>26759</v>
      </c>
      <c r="AC1924" t="s">
        <v>19045</v>
      </c>
      <c r="AD1924" t="s">
        <v>38459</v>
      </c>
      <c r="AE1924">
        <v>1</v>
      </c>
      <c r="AF1924" t="s">
        <v>45547</v>
      </c>
      <c r="AG1924" t="s">
        <v>19330</v>
      </c>
      <c r="AH1924">
        <v>4</v>
      </c>
      <c r="AI1924">
        <v>4</v>
      </c>
      <c r="AJ1924">
        <v>0</v>
      </c>
      <c r="AK1924">
        <v>167.33</v>
      </c>
      <c r="AN1924" t="s">
        <v>7439</v>
      </c>
      <c r="AO1924">
        <v>42000</v>
      </c>
      <c r="AQ1924" t="s">
        <v>46365</v>
      </c>
      <c r="AR1924" t="s">
        <v>26530</v>
      </c>
      <c r="AS1924" t="s">
        <v>46500</v>
      </c>
      <c r="AT1924" t="s">
        <v>46542</v>
      </c>
      <c r="AU1924">
        <v>7.1</v>
      </c>
      <c r="AV1924" t="s">
        <v>691</v>
      </c>
      <c r="AW1924" t="s">
        <v>107</v>
      </c>
    </row>
    <row r="1925" spans="1:49">
      <c r="A1925" s="1">
        <f>HYPERLINK("https://lsnyc.legalserver.org/matter/dynamic-profile/view/1880097","18-1880097")</f>
        <v>0</v>
      </c>
      <c r="B1925" t="s">
        <v>78</v>
      </c>
      <c r="C1925" t="s">
        <v>340</v>
      </c>
      <c r="D1925" t="s">
        <v>413</v>
      </c>
      <c r="F1925" t="s">
        <v>2014</v>
      </c>
      <c r="G1925" t="s">
        <v>3599</v>
      </c>
      <c r="H1925" t="s">
        <v>10751</v>
      </c>
      <c r="I1925" t="s">
        <v>17334</v>
      </c>
      <c r="J1925" t="s">
        <v>18894</v>
      </c>
      <c r="K1925">
        <v>11213</v>
      </c>
      <c r="L1925" t="s">
        <v>18958</v>
      </c>
      <c r="M1925" t="s">
        <v>18958</v>
      </c>
      <c r="N1925" t="s">
        <v>19951</v>
      </c>
      <c r="O1925" t="s">
        <v>26526</v>
      </c>
      <c r="P1925" t="s">
        <v>26560</v>
      </c>
      <c r="R1925" t="s">
        <v>26578</v>
      </c>
      <c r="S1925" t="s">
        <v>18958</v>
      </c>
      <c r="U1925" t="s">
        <v>26604</v>
      </c>
      <c r="V1925" t="s">
        <v>26610</v>
      </c>
      <c r="W1925" t="s">
        <v>534</v>
      </c>
      <c r="X1925">
        <v>0</v>
      </c>
      <c r="Y1925" t="s">
        <v>26652</v>
      </c>
      <c r="Z1925" t="s">
        <v>26663</v>
      </c>
      <c r="AB1925" t="s">
        <v>28410</v>
      </c>
      <c r="AC1925" t="s">
        <v>19330</v>
      </c>
      <c r="AD1925" t="s">
        <v>38460</v>
      </c>
      <c r="AE1925">
        <v>34</v>
      </c>
      <c r="AF1925" t="s">
        <v>45541</v>
      </c>
      <c r="AG1925" t="s">
        <v>19330</v>
      </c>
      <c r="AH1925">
        <v>0</v>
      </c>
      <c r="AI1925">
        <v>1</v>
      </c>
      <c r="AJ1925">
        <v>0</v>
      </c>
      <c r="AK1925">
        <v>461.29</v>
      </c>
      <c r="AN1925" t="s">
        <v>7439</v>
      </c>
      <c r="AO1925">
        <v>56000</v>
      </c>
      <c r="AU1925">
        <v>1.2</v>
      </c>
      <c r="AV1925" t="s">
        <v>534</v>
      </c>
      <c r="AW1925" t="s">
        <v>279</v>
      </c>
    </row>
    <row r="1926" spans="1:49">
      <c r="A1926" s="1">
        <f>HYPERLINK("https://lsnyc.legalserver.org/matter/dynamic-profile/view/1885030","18-1885030")</f>
        <v>0</v>
      </c>
      <c r="B1926" t="s">
        <v>88</v>
      </c>
      <c r="C1926" t="s">
        <v>341</v>
      </c>
      <c r="D1926" t="s">
        <v>518</v>
      </c>
      <c r="E1926" t="s">
        <v>782</v>
      </c>
      <c r="F1926" t="s">
        <v>896</v>
      </c>
      <c r="G1926" t="s">
        <v>6188</v>
      </c>
      <c r="H1926" t="s">
        <v>10516</v>
      </c>
      <c r="I1926" t="s">
        <v>17355</v>
      </c>
      <c r="J1926" t="s">
        <v>18894</v>
      </c>
      <c r="K1926">
        <v>11213</v>
      </c>
      <c r="L1926" t="s">
        <v>18958</v>
      </c>
      <c r="M1926" t="s">
        <v>18958</v>
      </c>
      <c r="N1926" t="s">
        <v>18997</v>
      </c>
      <c r="O1926" t="s">
        <v>26531</v>
      </c>
      <c r="P1926" t="s">
        <v>26565</v>
      </c>
      <c r="Q1926" t="s">
        <v>26571</v>
      </c>
      <c r="R1926" t="s">
        <v>26578</v>
      </c>
      <c r="S1926" t="s">
        <v>18958</v>
      </c>
      <c r="U1926" t="s">
        <v>26604</v>
      </c>
      <c r="V1926" t="s">
        <v>26610</v>
      </c>
      <c r="W1926" t="s">
        <v>534</v>
      </c>
      <c r="X1926">
        <v>1229.5</v>
      </c>
      <c r="Y1926" t="s">
        <v>26652</v>
      </c>
      <c r="Z1926" t="s">
        <v>26665</v>
      </c>
      <c r="AA1926" t="s">
        <v>26685</v>
      </c>
      <c r="AB1926" t="s">
        <v>28411</v>
      </c>
      <c r="AC1926" t="s">
        <v>34508</v>
      </c>
      <c r="AD1926" t="s">
        <v>38461</v>
      </c>
      <c r="AE1926">
        <v>19</v>
      </c>
      <c r="AF1926" t="s">
        <v>45541</v>
      </c>
      <c r="AG1926" t="s">
        <v>45556</v>
      </c>
      <c r="AH1926">
        <v>25</v>
      </c>
      <c r="AI1926">
        <v>1</v>
      </c>
      <c r="AJ1926">
        <v>0</v>
      </c>
      <c r="AK1926">
        <v>59.31</v>
      </c>
      <c r="AN1926" t="s">
        <v>7439</v>
      </c>
      <c r="AO1926">
        <v>7200</v>
      </c>
      <c r="AU1926">
        <v>0.08</v>
      </c>
      <c r="AV1926" t="s">
        <v>573</v>
      </c>
      <c r="AW1926" t="s">
        <v>279</v>
      </c>
    </row>
    <row r="1927" spans="1:49">
      <c r="A1927" s="1">
        <f>HYPERLINK("https://lsnyc.legalserver.org/matter/dynamic-profile/view/1885163","18-1885163")</f>
        <v>0</v>
      </c>
      <c r="B1927" t="s">
        <v>88</v>
      </c>
      <c r="C1927" t="s">
        <v>340</v>
      </c>
      <c r="D1927" t="s">
        <v>519</v>
      </c>
      <c r="F1927" t="s">
        <v>896</v>
      </c>
      <c r="G1927" t="s">
        <v>6188</v>
      </c>
      <c r="H1927" t="s">
        <v>10516</v>
      </c>
      <c r="I1927" t="s">
        <v>17355</v>
      </c>
      <c r="J1927" t="s">
        <v>18894</v>
      </c>
      <c r="K1927">
        <v>11213</v>
      </c>
      <c r="L1927" t="s">
        <v>18958</v>
      </c>
      <c r="M1927" t="s">
        <v>18958</v>
      </c>
      <c r="N1927" t="s">
        <v>18997</v>
      </c>
      <c r="O1927" t="s">
        <v>26534</v>
      </c>
      <c r="P1927" t="s">
        <v>26561</v>
      </c>
      <c r="R1927" t="s">
        <v>26578</v>
      </c>
      <c r="S1927" t="s">
        <v>18958</v>
      </c>
      <c r="U1927" t="s">
        <v>26604</v>
      </c>
      <c r="V1927" t="s">
        <v>26610</v>
      </c>
      <c r="W1927" t="s">
        <v>534</v>
      </c>
      <c r="X1927">
        <v>1229.5</v>
      </c>
      <c r="Y1927" t="s">
        <v>26652</v>
      </c>
      <c r="Z1927" t="s">
        <v>26665</v>
      </c>
      <c r="AB1927" t="s">
        <v>28411</v>
      </c>
      <c r="AC1927" t="s">
        <v>19330</v>
      </c>
      <c r="AD1927" t="s">
        <v>38461</v>
      </c>
      <c r="AE1927">
        <v>19</v>
      </c>
      <c r="AF1927" t="s">
        <v>45541</v>
      </c>
      <c r="AG1927" t="s">
        <v>45556</v>
      </c>
      <c r="AH1927">
        <v>25</v>
      </c>
      <c r="AI1927">
        <v>1</v>
      </c>
      <c r="AJ1927">
        <v>0</v>
      </c>
      <c r="AK1927">
        <v>59.31</v>
      </c>
      <c r="AN1927" t="s">
        <v>7439</v>
      </c>
      <c r="AO1927">
        <v>7200</v>
      </c>
      <c r="AP1927" t="s">
        <v>45734</v>
      </c>
      <c r="AU1927">
        <v>0</v>
      </c>
      <c r="AW1927" t="s">
        <v>279</v>
      </c>
    </row>
    <row r="1928" spans="1:49">
      <c r="A1928" s="1">
        <f>HYPERLINK("https://lsnyc.legalserver.org/matter/dynamic-profile/view/0815344","16-0815344")</f>
        <v>0</v>
      </c>
      <c r="B1928" t="s">
        <v>64</v>
      </c>
      <c r="C1928" t="s">
        <v>341</v>
      </c>
      <c r="D1928" t="s">
        <v>598</v>
      </c>
      <c r="E1928" t="s">
        <v>639</v>
      </c>
      <c r="F1928" t="s">
        <v>2015</v>
      </c>
      <c r="G1928" t="s">
        <v>6189</v>
      </c>
      <c r="H1928" t="s">
        <v>11218</v>
      </c>
      <c r="I1928">
        <v>604</v>
      </c>
      <c r="J1928" t="s">
        <v>18892</v>
      </c>
      <c r="K1928">
        <v>10463</v>
      </c>
      <c r="L1928" t="s">
        <v>18958</v>
      </c>
      <c r="M1928" t="s">
        <v>18960</v>
      </c>
      <c r="N1928" t="s">
        <v>20415</v>
      </c>
      <c r="O1928" t="s">
        <v>26523</v>
      </c>
      <c r="P1928" t="s">
        <v>26560</v>
      </c>
      <c r="Q1928" t="s">
        <v>26568</v>
      </c>
      <c r="R1928" t="s">
        <v>26577</v>
      </c>
      <c r="S1928" t="s">
        <v>18959</v>
      </c>
      <c r="U1928" t="s">
        <v>26604</v>
      </c>
      <c r="V1928" t="s">
        <v>26612</v>
      </c>
      <c r="W1928" t="s">
        <v>596</v>
      </c>
      <c r="X1928">
        <v>1119.94</v>
      </c>
      <c r="Y1928" t="s">
        <v>26650</v>
      </c>
      <c r="Z1928" t="s">
        <v>26664</v>
      </c>
      <c r="AA1928" t="s">
        <v>26678</v>
      </c>
      <c r="AB1928" t="s">
        <v>28412</v>
      </c>
      <c r="AC1928" t="s">
        <v>35079</v>
      </c>
      <c r="AD1928" t="s">
        <v>38462</v>
      </c>
      <c r="AE1928">
        <v>60</v>
      </c>
      <c r="AF1928" t="s">
        <v>45541</v>
      </c>
      <c r="AG1928" t="s">
        <v>19330</v>
      </c>
      <c r="AH1928">
        <v>6</v>
      </c>
      <c r="AI1928">
        <v>2</v>
      </c>
      <c r="AJ1928">
        <v>2</v>
      </c>
      <c r="AK1928">
        <v>187.53</v>
      </c>
      <c r="AN1928" t="s">
        <v>7439</v>
      </c>
      <c r="AO1928">
        <v>45570</v>
      </c>
      <c r="AQ1928" t="s">
        <v>46368</v>
      </c>
      <c r="AR1928" t="s">
        <v>46422</v>
      </c>
      <c r="AS1928" t="s">
        <v>46499</v>
      </c>
      <c r="AT1928" t="s">
        <v>46595</v>
      </c>
      <c r="AU1928">
        <v>53.35</v>
      </c>
      <c r="AV1928" t="s">
        <v>630</v>
      </c>
      <c r="AW1928" t="s">
        <v>267</v>
      </c>
    </row>
    <row r="1929" spans="1:49">
      <c r="A1929" s="1">
        <f>HYPERLINK("https://lsnyc.legalserver.org/matter/dynamic-profile/view/1875749","18-1875749")</f>
        <v>0</v>
      </c>
      <c r="B1929" t="s">
        <v>111</v>
      </c>
      <c r="C1929" t="s">
        <v>341</v>
      </c>
      <c r="D1929" t="s">
        <v>533</v>
      </c>
      <c r="E1929" t="s">
        <v>726</v>
      </c>
      <c r="F1929" t="s">
        <v>1987</v>
      </c>
      <c r="G1929" t="s">
        <v>6190</v>
      </c>
      <c r="H1929" t="s">
        <v>11219</v>
      </c>
      <c r="I1929" t="s">
        <v>17416</v>
      </c>
      <c r="J1929" t="s">
        <v>18901</v>
      </c>
      <c r="K1929">
        <v>11434</v>
      </c>
      <c r="L1929" t="s">
        <v>18958</v>
      </c>
      <c r="M1929" t="s">
        <v>18958</v>
      </c>
      <c r="N1929" t="s">
        <v>20416</v>
      </c>
      <c r="O1929" t="s">
        <v>26523</v>
      </c>
      <c r="P1929" t="s">
        <v>26560</v>
      </c>
      <c r="Q1929" t="s">
        <v>26568</v>
      </c>
      <c r="R1929" t="s">
        <v>26585</v>
      </c>
      <c r="S1929" t="s">
        <v>18959</v>
      </c>
      <c r="U1929" t="s">
        <v>26604</v>
      </c>
      <c r="V1929" t="s">
        <v>26610</v>
      </c>
      <c r="W1929" t="s">
        <v>596</v>
      </c>
      <c r="X1929">
        <v>1268</v>
      </c>
      <c r="Y1929" t="s">
        <v>26653</v>
      </c>
      <c r="Z1929" t="s">
        <v>26664</v>
      </c>
      <c r="AA1929" t="s">
        <v>26678</v>
      </c>
      <c r="AB1929" t="s">
        <v>28413</v>
      </c>
      <c r="AC1929" t="s">
        <v>35080</v>
      </c>
      <c r="AD1929" t="s">
        <v>38463</v>
      </c>
      <c r="AE1929">
        <v>2</v>
      </c>
      <c r="AF1929" t="s">
        <v>45547</v>
      </c>
      <c r="AG1929" t="s">
        <v>45562</v>
      </c>
      <c r="AH1929">
        <v>1</v>
      </c>
      <c r="AI1929">
        <v>1</v>
      </c>
      <c r="AJ1929">
        <v>1</v>
      </c>
      <c r="AK1929">
        <v>0</v>
      </c>
      <c r="AN1929" t="s">
        <v>7439</v>
      </c>
      <c r="AO1929">
        <v>0</v>
      </c>
      <c r="AQ1929" t="s">
        <v>46361</v>
      </c>
      <c r="AR1929" t="s">
        <v>46379</v>
      </c>
      <c r="AS1929" t="s">
        <v>46499</v>
      </c>
      <c r="AT1929" t="s">
        <v>46636</v>
      </c>
      <c r="AU1929">
        <v>35.15</v>
      </c>
      <c r="AV1929" t="s">
        <v>705</v>
      </c>
      <c r="AW1929" t="s">
        <v>161</v>
      </c>
    </row>
    <row r="1930" spans="1:49">
      <c r="A1930" s="1">
        <f>HYPERLINK("https://lsnyc.legalserver.org/matter/dynamic-profile/view/1878269","18-1878269")</f>
        <v>0</v>
      </c>
      <c r="B1930" t="s">
        <v>98</v>
      </c>
      <c r="C1930" t="s">
        <v>341</v>
      </c>
      <c r="D1930" t="s">
        <v>596</v>
      </c>
      <c r="E1930" t="s">
        <v>684</v>
      </c>
      <c r="F1930" t="s">
        <v>1036</v>
      </c>
      <c r="G1930" t="s">
        <v>6191</v>
      </c>
      <c r="H1930" t="s">
        <v>11220</v>
      </c>
      <c r="J1930" t="s">
        <v>18892</v>
      </c>
      <c r="K1930">
        <v>10452</v>
      </c>
      <c r="L1930" t="s">
        <v>18958</v>
      </c>
      <c r="M1930" t="s">
        <v>18958</v>
      </c>
      <c r="O1930" t="s">
        <v>18997</v>
      </c>
      <c r="P1930" t="s">
        <v>26564</v>
      </c>
      <c r="Q1930" t="s">
        <v>26570</v>
      </c>
      <c r="R1930" t="s">
        <v>26578</v>
      </c>
      <c r="S1930" t="s">
        <v>18959</v>
      </c>
      <c r="U1930" t="s">
        <v>26604</v>
      </c>
      <c r="W1930" t="s">
        <v>596</v>
      </c>
      <c r="X1930">
        <v>705.71</v>
      </c>
      <c r="Y1930" t="s">
        <v>26650</v>
      </c>
      <c r="Z1930" t="s">
        <v>26663</v>
      </c>
      <c r="AA1930" t="s">
        <v>26683</v>
      </c>
      <c r="AB1930" t="s">
        <v>27918</v>
      </c>
      <c r="AD1930" t="s">
        <v>38464</v>
      </c>
      <c r="AE1930">
        <v>41</v>
      </c>
      <c r="AF1930" t="s">
        <v>45541</v>
      </c>
      <c r="AG1930" t="s">
        <v>19330</v>
      </c>
      <c r="AH1930">
        <v>35</v>
      </c>
      <c r="AI1930">
        <v>3</v>
      </c>
      <c r="AJ1930">
        <v>0</v>
      </c>
      <c r="AK1930">
        <v>138.88</v>
      </c>
      <c r="AN1930" t="s">
        <v>7439</v>
      </c>
      <c r="AO1930">
        <v>28860</v>
      </c>
      <c r="AU1930">
        <v>0.9</v>
      </c>
      <c r="AV1930" t="s">
        <v>684</v>
      </c>
      <c r="AW1930" t="s">
        <v>98</v>
      </c>
    </row>
    <row r="1931" spans="1:49">
      <c r="A1931" s="1">
        <f>HYPERLINK("https://lsnyc.legalserver.org/matter/dynamic-profile/view/1878277","18-1878277")</f>
        <v>0</v>
      </c>
      <c r="B1931" t="s">
        <v>100</v>
      </c>
      <c r="C1931" t="s">
        <v>341</v>
      </c>
      <c r="D1931" t="s">
        <v>596</v>
      </c>
      <c r="E1931" t="s">
        <v>540</v>
      </c>
      <c r="F1931" t="s">
        <v>1047</v>
      </c>
      <c r="G1931" t="s">
        <v>5078</v>
      </c>
      <c r="H1931" t="s">
        <v>11221</v>
      </c>
      <c r="I1931" t="s">
        <v>17366</v>
      </c>
      <c r="J1931" t="s">
        <v>18892</v>
      </c>
      <c r="K1931">
        <v>10452</v>
      </c>
      <c r="L1931" t="s">
        <v>18958</v>
      </c>
      <c r="M1931" t="s">
        <v>18958</v>
      </c>
      <c r="O1931" t="s">
        <v>26526</v>
      </c>
      <c r="P1931" t="s">
        <v>26564</v>
      </c>
      <c r="Q1931" t="s">
        <v>26570</v>
      </c>
      <c r="R1931" t="s">
        <v>26578</v>
      </c>
      <c r="S1931" t="s">
        <v>18959</v>
      </c>
      <c r="U1931" t="s">
        <v>26604</v>
      </c>
      <c r="W1931" t="s">
        <v>596</v>
      </c>
      <c r="X1931">
        <v>1357</v>
      </c>
      <c r="Y1931" t="s">
        <v>26650</v>
      </c>
      <c r="Z1931" t="s">
        <v>26659</v>
      </c>
      <c r="AA1931" t="s">
        <v>26683</v>
      </c>
      <c r="AB1931" t="s">
        <v>27344</v>
      </c>
      <c r="AD1931" t="s">
        <v>38465</v>
      </c>
      <c r="AE1931">
        <v>58</v>
      </c>
      <c r="AF1931" t="s">
        <v>45541</v>
      </c>
      <c r="AG1931" t="s">
        <v>45556</v>
      </c>
      <c r="AH1931">
        <v>25</v>
      </c>
      <c r="AI1931">
        <v>1</v>
      </c>
      <c r="AJ1931">
        <v>1</v>
      </c>
      <c r="AK1931">
        <v>146.54</v>
      </c>
      <c r="AN1931" t="s">
        <v>7439</v>
      </c>
      <c r="AO1931">
        <v>24120</v>
      </c>
      <c r="AU1931">
        <v>1.1</v>
      </c>
      <c r="AV1931" t="s">
        <v>457</v>
      </c>
      <c r="AW1931" t="s">
        <v>46858</v>
      </c>
    </row>
    <row r="1932" spans="1:49">
      <c r="A1932" s="1">
        <f>HYPERLINK("https://lsnyc.legalserver.org/matter/dynamic-profile/view/1877766","18-1877766")</f>
        <v>0</v>
      </c>
      <c r="B1932" t="s">
        <v>109</v>
      </c>
      <c r="C1932" t="s">
        <v>341</v>
      </c>
      <c r="D1932" t="s">
        <v>596</v>
      </c>
      <c r="E1932" t="s">
        <v>821</v>
      </c>
      <c r="F1932" t="s">
        <v>1146</v>
      </c>
      <c r="G1932" t="s">
        <v>5691</v>
      </c>
      <c r="H1932" t="s">
        <v>11222</v>
      </c>
      <c r="J1932" t="s">
        <v>18902</v>
      </c>
      <c r="K1932">
        <v>10312</v>
      </c>
      <c r="L1932" t="s">
        <v>18958</v>
      </c>
      <c r="M1932" t="s">
        <v>18958</v>
      </c>
      <c r="N1932" t="s">
        <v>20417</v>
      </c>
      <c r="O1932" t="s">
        <v>26523</v>
      </c>
      <c r="P1932" t="s">
        <v>26560</v>
      </c>
      <c r="Q1932" t="s">
        <v>26568</v>
      </c>
      <c r="R1932" t="s">
        <v>26587</v>
      </c>
      <c r="S1932" t="s">
        <v>18959</v>
      </c>
      <c r="U1932" t="s">
        <v>26604</v>
      </c>
      <c r="W1932" t="s">
        <v>596</v>
      </c>
      <c r="X1932">
        <v>3500</v>
      </c>
      <c r="Y1932" t="s">
        <v>26654</v>
      </c>
      <c r="Z1932" t="s">
        <v>26668</v>
      </c>
      <c r="AA1932" t="s">
        <v>26679</v>
      </c>
      <c r="AB1932" t="s">
        <v>28414</v>
      </c>
      <c r="AD1932" t="s">
        <v>38466</v>
      </c>
      <c r="AE1932">
        <v>1</v>
      </c>
      <c r="AF1932" t="s">
        <v>45547</v>
      </c>
      <c r="AH1932">
        <v>3</v>
      </c>
      <c r="AI1932">
        <v>1</v>
      </c>
      <c r="AJ1932">
        <v>1</v>
      </c>
      <c r="AK1932">
        <v>120.29</v>
      </c>
      <c r="AN1932" t="s">
        <v>7439</v>
      </c>
      <c r="AO1932">
        <v>19800</v>
      </c>
      <c r="AQ1932" t="s">
        <v>46362</v>
      </c>
      <c r="AR1932" t="s">
        <v>26530</v>
      </c>
      <c r="AS1932" t="s">
        <v>46500</v>
      </c>
      <c r="AT1932" t="s">
        <v>46661</v>
      </c>
      <c r="AU1932">
        <v>1.1</v>
      </c>
      <c r="AV1932" t="s">
        <v>815</v>
      </c>
      <c r="AW1932" t="s">
        <v>46852</v>
      </c>
    </row>
    <row r="1933" spans="1:49">
      <c r="A1933" s="1">
        <f>HYPERLINK("https://lsnyc.legalserver.org/matter/dynamic-profile/view/1878237","18-1878237")</f>
        <v>0</v>
      </c>
      <c r="B1933" t="s">
        <v>81</v>
      </c>
      <c r="C1933" t="s">
        <v>341</v>
      </c>
      <c r="D1933" t="s">
        <v>596</v>
      </c>
      <c r="E1933" t="s">
        <v>753</v>
      </c>
      <c r="F1933" t="s">
        <v>2016</v>
      </c>
      <c r="G1933" t="s">
        <v>6192</v>
      </c>
      <c r="H1933" t="s">
        <v>11223</v>
      </c>
      <c r="I1933" t="s">
        <v>17574</v>
      </c>
      <c r="J1933" t="s">
        <v>18892</v>
      </c>
      <c r="K1933">
        <v>10453</v>
      </c>
      <c r="L1933" t="s">
        <v>18958</v>
      </c>
      <c r="M1933" t="s">
        <v>18958</v>
      </c>
      <c r="N1933" t="s">
        <v>20418</v>
      </c>
      <c r="O1933" t="s">
        <v>26524</v>
      </c>
      <c r="P1933" t="s">
        <v>26560</v>
      </c>
      <c r="Q1933" t="s">
        <v>26568</v>
      </c>
      <c r="R1933" t="s">
        <v>26577</v>
      </c>
      <c r="S1933" t="s">
        <v>18959</v>
      </c>
      <c r="U1933" t="s">
        <v>26604</v>
      </c>
      <c r="V1933" t="s">
        <v>26610</v>
      </c>
      <c r="W1933" t="s">
        <v>596</v>
      </c>
      <c r="X1933">
        <v>1350</v>
      </c>
      <c r="Y1933" t="s">
        <v>26650</v>
      </c>
      <c r="Z1933" t="s">
        <v>26673</v>
      </c>
      <c r="AA1933" t="s">
        <v>26679</v>
      </c>
      <c r="AB1933" t="s">
        <v>26989</v>
      </c>
      <c r="AD1933" t="s">
        <v>38467</v>
      </c>
      <c r="AE1933">
        <v>20</v>
      </c>
      <c r="AF1933" t="s">
        <v>45541</v>
      </c>
      <c r="AG1933" t="s">
        <v>19330</v>
      </c>
      <c r="AH1933">
        <v>3</v>
      </c>
      <c r="AI1933">
        <v>2</v>
      </c>
      <c r="AJ1933">
        <v>2</v>
      </c>
      <c r="AK1933">
        <v>155.38</v>
      </c>
      <c r="AN1933" t="s">
        <v>45581</v>
      </c>
      <c r="AO1933">
        <v>39000</v>
      </c>
      <c r="AR1933" t="s">
        <v>26530</v>
      </c>
      <c r="AS1933" t="s">
        <v>46500</v>
      </c>
      <c r="AT1933" t="s">
        <v>46662</v>
      </c>
      <c r="AU1933">
        <v>15.15</v>
      </c>
      <c r="AV1933" t="s">
        <v>683</v>
      </c>
      <c r="AW1933" t="s">
        <v>46861</v>
      </c>
    </row>
    <row r="1934" spans="1:49">
      <c r="A1934" s="1">
        <f>HYPERLINK("https://lsnyc.legalserver.org/matter/dynamic-profile/view/1878211","18-1878211")</f>
        <v>0</v>
      </c>
      <c r="B1934" t="s">
        <v>182</v>
      </c>
      <c r="C1934" t="s">
        <v>341</v>
      </c>
      <c r="D1934" t="s">
        <v>596</v>
      </c>
      <c r="E1934" t="s">
        <v>772</v>
      </c>
      <c r="F1934" t="s">
        <v>1048</v>
      </c>
      <c r="G1934" t="s">
        <v>4092</v>
      </c>
      <c r="H1934" t="s">
        <v>11224</v>
      </c>
      <c r="I1934" t="s">
        <v>17307</v>
      </c>
      <c r="J1934" t="s">
        <v>18892</v>
      </c>
      <c r="K1934">
        <v>10457</v>
      </c>
      <c r="L1934" t="s">
        <v>18958</v>
      </c>
      <c r="M1934" t="s">
        <v>18958</v>
      </c>
      <c r="O1934" t="s">
        <v>26532</v>
      </c>
      <c r="P1934" t="s">
        <v>26564</v>
      </c>
      <c r="Q1934" t="s">
        <v>26570</v>
      </c>
      <c r="R1934" t="s">
        <v>26578</v>
      </c>
      <c r="S1934" t="s">
        <v>18959</v>
      </c>
      <c r="U1934" t="s">
        <v>26608</v>
      </c>
      <c r="W1934" t="s">
        <v>596</v>
      </c>
      <c r="X1934">
        <v>889</v>
      </c>
      <c r="Y1934" t="s">
        <v>26650</v>
      </c>
      <c r="Z1934" t="s">
        <v>26661</v>
      </c>
      <c r="AA1934" t="s">
        <v>26683</v>
      </c>
      <c r="AB1934" t="s">
        <v>28415</v>
      </c>
      <c r="AD1934" t="s">
        <v>38468</v>
      </c>
      <c r="AE1934">
        <v>47</v>
      </c>
      <c r="AF1934" t="s">
        <v>45541</v>
      </c>
      <c r="AG1934" t="s">
        <v>19330</v>
      </c>
      <c r="AH1934">
        <v>23</v>
      </c>
      <c r="AI1934">
        <v>2</v>
      </c>
      <c r="AJ1934">
        <v>0</v>
      </c>
      <c r="AK1934">
        <v>18.8</v>
      </c>
      <c r="AN1934" t="s">
        <v>7439</v>
      </c>
      <c r="AO1934">
        <v>3094</v>
      </c>
      <c r="AP1934" t="s">
        <v>45735</v>
      </c>
      <c r="AU1934">
        <v>0.3</v>
      </c>
      <c r="AV1934" t="s">
        <v>704</v>
      </c>
      <c r="AW1934" t="s">
        <v>182</v>
      </c>
    </row>
    <row r="1935" spans="1:49">
      <c r="A1935" s="1">
        <f>HYPERLINK("https://lsnyc.legalserver.org/matter/dynamic-profile/view/1876211","18-1876211")</f>
        <v>0</v>
      </c>
      <c r="B1935" t="s">
        <v>200</v>
      </c>
      <c r="C1935" t="s">
        <v>341</v>
      </c>
      <c r="D1935" t="s">
        <v>596</v>
      </c>
      <c r="E1935" t="s">
        <v>744</v>
      </c>
      <c r="F1935" t="s">
        <v>2017</v>
      </c>
      <c r="G1935" t="s">
        <v>5110</v>
      </c>
      <c r="H1935" t="s">
        <v>11225</v>
      </c>
      <c r="I1935" t="s">
        <v>17409</v>
      </c>
      <c r="J1935" t="s">
        <v>18894</v>
      </c>
      <c r="K1935">
        <v>11207</v>
      </c>
      <c r="L1935" t="s">
        <v>18958</v>
      </c>
      <c r="M1935" t="s">
        <v>18958</v>
      </c>
      <c r="N1935" t="s">
        <v>20419</v>
      </c>
      <c r="O1935" t="s">
        <v>26524</v>
      </c>
      <c r="P1935" t="s">
        <v>26560</v>
      </c>
      <c r="Q1935" t="s">
        <v>26568</v>
      </c>
      <c r="R1935" t="s">
        <v>26578</v>
      </c>
      <c r="S1935" t="s">
        <v>18959</v>
      </c>
      <c r="U1935" t="s">
        <v>26604</v>
      </c>
      <c r="W1935" t="s">
        <v>596</v>
      </c>
      <c r="X1935">
        <v>900</v>
      </c>
      <c r="Y1935" t="s">
        <v>26652</v>
      </c>
      <c r="Z1935" t="s">
        <v>26659</v>
      </c>
      <c r="AA1935" t="s">
        <v>26678</v>
      </c>
      <c r="AB1935" t="s">
        <v>28416</v>
      </c>
      <c r="AD1935" t="s">
        <v>38469</v>
      </c>
      <c r="AE1935">
        <v>12</v>
      </c>
      <c r="AF1935" t="s">
        <v>45541</v>
      </c>
      <c r="AG1935" t="s">
        <v>19330</v>
      </c>
      <c r="AH1935">
        <v>10</v>
      </c>
      <c r="AI1935">
        <v>1</v>
      </c>
      <c r="AJ1935">
        <v>0</v>
      </c>
      <c r="AK1935">
        <v>479.08</v>
      </c>
      <c r="AL1935" t="s">
        <v>572</v>
      </c>
      <c r="AM1935" t="s">
        <v>45575</v>
      </c>
      <c r="AN1935" t="s">
        <v>7439</v>
      </c>
      <c r="AO1935">
        <v>58160</v>
      </c>
      <c r="AP1935" t="s">
        <v>45736</v>
      </c>
      <c r="AU1935">
        <v>24.5</v>
      </c>
      <c r="AV1935" t="s">
        <v>744</v>
      </c>
      <c r="AW1935" t="s">
        <v>279</v>
      </c>
    </row>
    <row r="1936" spans="1:49">
      <c r="A1936" s="1">
        <f>HYPERLINK("https://lsnyc.legalserver.org/matter/dynamic-profile/view/1878205","18-1878205")</f>
        <v>0</v>
      </c>
      <c r="B1936" t="s">
        <v>121</v>
      </c>
      <c r="C1936" t="s">
        <v>341</v>
      </c>
      <c r="D1936" t="s">
        <v>596</v>
      </c>
      <c r="E1936" t="s">
        <v>683</v>
      </c>
      <c r="F1936" t="s">
        <v>2018</v>
      </c>
      <c r="G1936" t="s">
        <v>5288</v>
      </c>
      <c r="H1936" t="s">
        <v>11226</v>
      </c>
      <c r="I1936" t="s">
        <v>17745</v>
      </c>
      <c r="J1936" t="s">
        <v>18892</v>
      </c>
      <c r="K1936">
        <v>10454</v>
      </c>
      <c r="L1936" t="s">
        <v>18958</v>
      </c>
      <c r="M1936" t="s">
        <v>18958</v>
      </c>
      <c r="N1936" t="s">
        <v>20420</v>
      </c>
      <c r="O1936" t="s">
        <v>26524</v>
      </c>
      <c r="P1936" t="s">
        <v>26564</v>
      </c>
      <c r="Q1936" t="s">
        <v>26570</v>
      </c>
      <c r="R1936" t="s">
        <v>26577</v>
      </c>
      <c r="S1936" t="s">
        <v>18959</v>
      </c>
      <c r="U1936" t="s">
        <v>26604</v>
      </c>
      <c r="V1936" t="s">
        <v>26614</v>
      </c>
      <c r="W1936" t="s">
        <v>596</v>
      </c>
      <c r="X1936">
        <v>1761.37</v>
      </c>
      <c r="Y1936" t="s">
        <v>26650</v>
      </c>
      <c r="Z1936" t="s">
        <v>26661</v>
      </c>
      <c r="AA1936" t="s">
        <v>26683</v>
      </c>
      <c r="AB1936" t="s">
        <v>28417</v>
      </c>
      <c r="AC1936" t="s">
        <v>35081</v>
      </c>
      <c r="AD1936" t="s">
        <v>38470</v>
      </c>
      <c r="AE1936">
        <v>0</v>
      </c>
      <c r="AF1936" t="s">
        <v>45541</v>
      </c>
      <c r="AG1936" t="s">
        <v>45556</v>
      </c>
      <c r="AH1936">
        <v>3</v>
      </c>
      <c r="AI1936">
        <v>1</v>
      </c>
      <c r="AJ1936">
        <v>0</v>
      </c>
      <c r="AK1936">
        <v>0</v>
      </c>
      <c r="AN1936" t="s">
        <v>7439</v>
      </c>
      <c r="AO1936">
        <v>0</v>
      </c>
      <c r="AU1936">
        <v>5.9</v>
      </c>
      <c r="AV1936" t="s">
        <v>451</v>
      </c>
      <c r="AW1936" t="s">
        <v>46831</v>
      </c>
    </row>
    <row r="1937" spans="1:49">
      <c r="A1937" s="1">
        <f>HYPERLINK("https://lsnyc.legalserver.org/matter/dynamic-profile/view/1878203","18-1878203")</f>
        <v>0</v>
      </c>
      <c r="B1937" t="s">
        <v>87</v>
      </c>
      <c r="C1937" t="s">
        <v>341</v>
      </c>
      <c r="D1937" t="s">
        <v>596</v>
      </c>
      <c r="E1937" t="s">
        <v>728</v>
      </c>
      <c r="F1937" t="s">
        <v>2019</v>
      </c>
      <c r="G1937" t="s">
        <v>5639</v>
      </c>
      <c r="H1937" t="s">
        <v>10815</v>
      </c>
      <c r="I1937" t="s">
        <v>17746</v>
      </c>
      <c r="J1937" t="s">
        <v>18892</v>
      </c>
      <c r="K1937">
        <v>10453</v>
      </c>
      <c r="L1937" t="s">
        <v>18958</v>
      </c>
      <c r="M1937" t="s">
        <v>18958</v>
      </c>
      <c r="N1937" t="s">
        <v>20421</v>
      </c>
      <c r="O1937" t="s">
        <v>26523</v>
      </c>
      <c r="P1937" t="s">
        <v>26560</v>
      </c>
      <c r="Q1937" t="s">
        <v>26568</v>
      </c>
      <c r="R1937" t="s">
        <v>26577</v>
      </c>
      <c r="U1937" t="s">
        <v>26604</v>
      </c>
      <c r="V1937" t="s">
        <v>26614</v>
      </c>
      <c r="W1937" t="s">
        <v>596</v>
      </c>
      <c r="X1937">
        <v>1074</v>
      </c>
      <c r="Y1937" t="s">
        <v>26650</v>
      </c>
      <c r="Z1937" t="s">
        <v>26664</v>
      </c>
      <c r="AA1937" t="s">
        <v>26679</v>
      </c>
      <c r="AB1937" t="s">
        <v>27965</v>
      </c>
      <c r="AC1937" t="s">
        <v>35082</v>
      </c>
      <c r="AD1937" t="s">
        <v>38471</v>
      </c>
      <c r="AE1937">
        <v>0</v>
      </c>
      <c r="AF1937" t="s">
        <v>45541</v>
      </c>
      <c r="AG1937" t="s">
        <v>45557</v>
      </c>
      <c r="AH1937">
        <v>4</v>
      </c>
      <c r="AI1937">
        <v>1</v>
      </c>
      <c r="AJ1937">
        <v>1</v>
      </c>
      <c r="AK1937">
        <v>86.61</v>
      </c>
      <c r="AN1937" t="s">
        <v>7439</v>
      </c>
      <c r="AO1937">
        <v>14256</v>
      </c>
      <c r="AQ1937" t="s">
        <v>46365</v>
      </c>
      <c r="AR1937" t="s">
        <v>26530</v>
      </c>
      <c r="AS1937" t="s">
        <v>46500</v>
      </c>
      <c r="AT1937" t="s">
        <v>46624</v>
      </c>
      <c r="AU1937">
        <v>6.9</v>
      </c>
      <c r="AV1937" t="s">
        <v>529</v>
      </c>
      <c r="AW1937" t="s">
        <v>334</v>
      </c>
    </row>
    <row r="1938" spans="1:49">
      <c r="A1938" s="1">
        <f>HYPERLINK("https://lsnyc.legalserver.org/matter/dynamic-profile/view/1878288","18-1878288")</f>
        <v>0</v>
      </c>
      <c r="B1938" t="s">
        <v>125</v>
      </c>
      <c r="C1938" t="s">
        <v>341</v>
      </c>
      <c r="D1938" t="s">
        <v>596</v>
      </c>
      <c r="E1938" t="s">
        <v>689</v>
      </c>
      <c r="F1938" t="s">
        <v>1502</v>
      </c>
      <c r="G1938" t="s">
        <v>6193</v>
      </c>
      <c r="H1938" t="s">
        <v>10602</v>
      </c>
      <c r="I1938">
        <v>15</v>
      </c>
      <c r="J1938" t="s">
        <v>18894</v>
      </c>
      <c r="K1938">
        <v>11212</v>
      </c>
      <c r="L1938" t="s">
        <v>18958</v>
      </c>
      <c r="M1938" t="s">
        <v>18958</v>
      </c>
      <c r="N1938" t="s">
        <v>20422</v>
      </c>
      <c r="O1938" t="s">
        <v>26523</v>
      </c>
      <c r="P1938" t="s">
        <v>26565</v>
      </c>
      <c r="Q1938" t="s">
        <v>26571</v>
      </c>
      <c r="R1938" t="s">
        <v>26578</v>
      </c>
      <c r="U1938" t="s">
        <v>26604</v>
      </c>
      <c r="W1938" t="s">
        <v>596</v>
      </c>
      <c r="X1938">
        <v>2177</v>
      </c>
      <c r="Y1938" t="s">
        <v>26652</v>
      </c>
      <c r="Z1938" t="s">
        <v>26530</v>
      </c>
      <c r="AA1938" t="s">
        <v>26678</v>
      </c>
      <c r="AB1938" t="s">
        <v>28418</v>
      </c>
      <c r="AD1938" t="s">
        <v>38472</v>
      </c>
      <c r="AE1938">
        <v>16</v>
      </c>
      <c r="AG1938" t="s">
        <v>45556</v>
      </c>
      <c r="AH1938">
        <v>1</v>
      </c>
      <c r="AI1938">
        <v>3</v>
      </c>
      <c r="AJ1938">
        <v>0</v>
      </c>
      <c r="AK1938">
        <v>120.31</v>
      </c>
      <c r="AN1938" t="s">
        <v>7439</v>
      </c>
      <c r="AO1938">
        <v>25000</v>
      </c>
      <c r="AU1938">
        <v>4.3</v>
      </c>
      <c r="AV1938" t="s">
        <v>583</v>
      </c>
      <c r="AW1938" t="s">
        <v>46853</v>
      </c>
    </row>
    <row r="1939" spans="1:49">
      <c r="A1939" s="1">
        <f>HYPERLINK("https://lsnyc.legalserver.org/matter/dynamic-profile/view/1878238","18-1878238")</f>
        <v>0</v>
      </c>
      <c r="B1939" t="s">
        <v>107</v>
      </c>
      <c r="C1939" t="s">
        <v>340</v>
      </c>
      <c r="D1939" t="s">
        <v>596</v>
      </c>
      <c r="F1939" t="s">
        <v>2020</v>
      </c>
      <c r="G1939" t="s">
        <v>6194</v>
      </c>
      <c r="H1939" t="s">
        <v>11227</v>
      </c>
      <c r="I1939" t="s">
        <v>17307</v>
      </c>
      <c r="J1939" t="s">
        <v>18901</v>
      </c>
      <c r="K1939">
        <v>11434</v>
      </c>
      <c r="L1939" t="s">
        <v>18958</v>
      </c>
      <c r="M1939" t="s">
        <v>18958</v>
      </c>
      <c r="N1939" t="s">
        <v>20423</v>
      </c>
      <c r="O1939" t="s">
        <v>26524</v>
      </c>
      <c r="P1939" t="s">
        <v>26564</v>
      </c>
      <c r="R1939" t="s">
        <v>26585</v>
      </c>
      <c r="S1939" t="s">
        <v>18959</v>
      </c>
      <c r="U1939" t="s">
        <v>26604</v>
      </c>
      <c r="V1939" t="s">
        <v>26610</v>
      </c>
      <c r="W1939" t="s">
        <v>596</v>
      </c>
      <c r="X1939">
        <v>1000</v>
      </c>
      <c r="Y1939" t="s">
        <v>26653</v>
      </c>
      <c r="Z1939" t="s">
        <v>26664</v>
      </c>
      <c r="AB1939" t="s">
        <v>28419</v>
      </c>
      <c r="AD1939" t="s">
        <v>38473</v>
      </c>
      <c r="AE1939">
        <v>5860</v>
      </c>
      <c r="AF1939" t="s">
        <v>45553</v>
      </c>
      <c r="AG1939" t="s">
        <v>19330</v>
      </c>
      <c r="AH1939">
        <v>20</v>
      </c>
      <c r="AI1939">
        <v>2</v>
      </c>
      <c r="AJ1939">
        <v>3</v>
      </c>
      <c r="AK1939">
        <v>89.73</v>
      </c>
      <c r="AN1939" t="s">
        <v>7439</v>
      </c>
      <c r="AO1939">
        <v>26400</v>
      </c>
      <c r="AQ1939" t="s">
        <v>46365</v>
      </c>
      <c r="AR1939" t="s">
        <v>26530</v>
      </c>
      <c r="AS1939" t="s">
        <v>46499</v>
      </c>
      <c r="AT1939" t="s">
        <v>46542</v>
      </c>
      <c r="AU1939">
        <v>3.5</v>
      </c>
      <c r="AV1939" t="s">
        <v>519</v>
      </c>
      <c r="AW1939" t="s">
        <v>107</v>
      </c>
    </row>
    <row r="1940" spans="1:49">
      <c r="A1940" s="1">
        <f>HYPERLINK("https://lsnyc.legalserver.org/matter/dynamic-profile/view/1878200","18-1878200")</f>
        <v>0</v>
      </c>
      <c r="B1940" t="s">
        <v>133</v>
      </c>
      <c r="C1940" t="s">
        <v>340</v>
      </c>
      <c r="D1940" t="s">
        <v>596</v>
      </c>
      <c r="F1940" t="s">
        <v>990</v>
      </c>
      <c r="G1940" t="s">
        <v>6195</v>
      </c>
      <c r="H1940" t="s">
        <v>11228</v>
      </c>
      <c r="I1940" t="s">
        <v>17496</v>
      </c>
      <c r="J1940" t="s">
        <v>18892</v>
      </c>
      <c r="K1940">
        <v>10468</v>
      </c>
      <c r="L1940" t="s">
        <v>18958</v>
      </c>
      <c r="M1940" t="s">
        <v>18958</v>
      </c>
      <c r="N1940" t="s">
        <v>20424</v>
      </c>
      <c r="O1940" t="s">
        <v>26523</v>
      </c>
      <c r="P1940" t="s">
        <v>26560</v>
      </c>
      <c r="R1940" t="s">
        <v>26579</v>
      </c>
      <c r="S1940" t="s">
        <v>18959</v>
      </c>
      <c r="U1940" t="s">
        <v>26604</v>
      </c>
      <c r="V1940" t="s">
        <v>26610</v>
      </c>
      <c r="W1940" t="s">
        <v>596</v>
      </c>
      <c r="X1940">
        <v>655</v>
      </c>
      <c r="Y1940" t="s">
        <v>26650</v>
      </c>
      <c r="Z1940" t="s">
        <v>26664</v>
      </c>
      <c r="AB1940" t="s">
        <v>27368</v>
      </c>
      <c r="AD1940" t="s">
        <v>38474</v>
      </c>
      <c r="AE1940">
        <v>0</v>
      </c>
      <c r="AF1940" t="s">
        <v>45541</v>
      </c>
      <c r="AG1940" t="s">
        <v>45558</v>
      </c>
      <c r="AH1940">
        <v>4</v>
      </c>
      <c r="AI1940">
        <v>2</v>
      </c>
      <c r="AJ1940">
        <v>0</v>
      </c>
      <c r="AK1940">
        <v>102.94</v>
      </c>
      <c r="AN1940" t="s">
        <v>7439</v>
      </c>
      <c r="AO1940">
        <v>16944</v>
      </c>
      <c r="AU1940">
        <v>16.3</v>
      </c>
      <c r="AV1940" t="s">
        <v>723</v>
      </c>
      <c r="AW1940" t="s">
        <v>334</v>
      </c>
    </row>
    <row r="1941" spans="1:49">
      <c r="A1941" s="1">
        <f>HYPERLINK("https://lsnyc.legalserver.org/matter/dynamic-profile/view/1878233","18-1878233")</f>
        <v>0</v>
      </c>
      <c r="B1941" t="s">
        <v>133</v>
      </c>
      <c r="C1941" t="s">
        <v>340</v>
      </c>
      <c r="D1941" t="s">
        <v>596</v>
      </c>
      <c r="F1941" t="s">
        <v>2021</v>
      </c>
      <c r="G1941" t="s">
        <v>6196</v>
      </c>
      <c r="H1941" t="s">
        <v>11229</v>
      </c>
      <c r="I1941" t="s">
        <v>17747</v>
      </c>
      <c r="J1941" t="s">
        <v>18892</v>
      </c>
      <c r="K1941">
        <v>10467</v>
      </c>
      <c r="L1941" t="s">
        <v>18958</v>
      </c>
      <c r="M1941" t="s">
        <v>18958</v>
      </c>
      <c r="N1941" t="s">
        <v>20425</v>
      </c>
      <c r="O1941" t="s">
        <v>26523</v>
      </c>
      <c r="P1941" t="s">
        <v>26560</v>
      </c>
      <c r="R1941" t="s">
        <v>26579</v>
      </c>
      <c r="S1941" t="s">
        <v>18959</v>
      </c>
      <c r="U1941" t="s">
        <v>26604</v>
      </c>
      <c r="V1941" t="s">
        <v>26610</v>
      </c>
      <c r="W1941" t="s">
        <v>596</v>
      </c>
      <c r="X1941">
        <v>1081.71</v>
      </c>
      <c r="Y1941" t="s">
        <v>26650</v>
      </c>
      <c r="Z1941" t="s">
        <v>26664</v>
      </c>
      <c r="AB1941" t="s">
        <v>28420</v>
      </c>
      <c r="AC1941" t="s">
        <v>35083</v>
      </c>
      <c r="AD1941" t="s">
        <v>38475</v>
      </c>
      <c r="AE1941">
        <v>0</v>
      </c>
      <c r="AF1941" t="s">
        <v>20460</v>
      </c>
      <c r="AG1941" t="s">
        <v>19330</v>
      </c>
      <c r="AH1941">
        <v>5</v>
      </c>
      <c r="AI1941">
        <v>3</v>
      </c>
      <c r="AJ1941">
        <v>3</v>
      </c>
      <c r="AK1941">
        <v>103.39</v>
      </c>
      <c r="AN1941" t="s">
        <v>7439</v>
      </c>
      <c r="AO1941">
        <v>34884</v>
      </c>
      <c r="AU1941">
        <v>17.85</v>
      </c>
      <c r="AV1941" t="s">
        <v>779</v>
      </c>
      <c r="AW1941" t="s">
        <v>334</v>
      </c>
    </row>
    <row r="1942" spans="1:49">
      <c r="A1942" s="1">
        <f>HYPERLINK("https://lsnyc.legalserver.org/matter/dynamic-profile/view/1878164","18-1878164")</f>
        <v>0</v>
      </c>
      <c r="B1942" t="s">
        <v>56</v>
      </c>
      <c r="C1942" t="s">
        <v>340</v>
      </c>
      <c r="D1942" t="s">
        <v>596</v>
      </c>
      <c r="F1942" t="s">
        <v>1651</v>
      </c>
      <c r="G1942" t="s">
        <v>6197</v>
      </c>
      <c r="H1942" t="s">
        <v>9658</v>
      </c>
      <c r="I1942" t="s">
        <v>17370</v>
      </c>
      <c r="J1942" t="s">
        <v>18892</v>
      </c>
      <c r="K1942">
        <v>10457</v>
      </c>
      <c r="L1942" t="s">
        <v>18958</v>
      </c>
      <c r="M1942" t="s">
        <v>18958</v>
      </c>
      <c r="N1942" t="s">
        <v>20426</v>
      </c>
      <c r="O1942" t="s">
        <v>26523</v>
      </c>
      <c r="P1942" t="s">
        <v>26560</v>
      </c>
      <c r="R1942" t="s">
        <v>26579</v>
      </c>
      <c r="U1942" t="s">
        <v>26604</v>
      </c>
      <c r="V1942" t="s">
        <v>26610</v>
      </c>
      <c r="W1942" t="s">
        <v>596</v>
      </c>
      <c r="X1942">
        <v>2100</v>
      </c>
      <c r="Y1942" t="s">
        <v>26650</v>
      </c>
      <c r="Z1942" t="s">
        <v>26668</v>
      </c>
      <c r="AB1942" t="s">
        <v>28421</v>
      </c>
      <c r="AC1942" t="s">
        <v>35084</v>
      </c>
      <c r="AD1942" t="s">
        <v>38476</v>
      </c>
      <c r="AE1942">
        <v>0</v>
      </c>
      <c r="AF1942" t="s">
        <v>45541</v>
      </c>
      <c r="AG1942" t="s">
        <v>45556</v>
      </c>
      <c r="AH1942">
        <v>3</v>
      </c>
      <c r="AI1942">
        <v>2</v>
      </c>
      <c r="AJ1942">
        <v>6</v>
      </c>
      <c r="AK1942">
        <v>31.73</v>
      </c>
      <c r="AN1942" t="s">
        <v>7439</v>
      </c>
      <c r="AO1942">
        <v>13448.4</v>
      </c>
      <c r="AU1942">
        <v>22.3</v>
      </c>
      <c r="AV1942" t="s">
        <v>808</v>
      </c>
      <c r="AW1942" t="s">
        <v>46870</v>
      </c>
    </row>
    <row r="1943" spans="1:49">
      <c r="A1943" s="1">
        <f>HYPERLINK("https://lsnyc.legalserver.org/matter/dynamic-profile/view/1878295","18-1878295")</f>
        <v>0</v>
      </c>
      <c r="B1943" t="s">
        <v>121</v>
      </c>
      <c r="C1943" t="s">
        <v>340</v>
      </c>
      <c r="D1943" t="s">
        <v>596</v>
      </c>
      <c r="F1943" t="s">
        <v>2022</v>
      </c>
      <c r="G1943" t="s">
        <v>6198</v>
      </c>
      <c r="H1943" t="s">
        <v>11230</v>
      </c>
      <c r="I1943" t="s">
        <v>17748</v>
      </c>
      <c r="J1943" t="s">
        <v>18892</v>
      </c>
      <c r="K1943">
        <v>10460</v>
      </c>
      <c r="L1943" t="s">
        <v>18958</v>
      </c>
      <c r="M1943" t="s">
        <v>18958</v>
      </c>
      <c r="N1943" t="s">
        <v>20427</v>
      </c>
      <c r="O1943" t="s">
        <v>26523</v>
      </c>
      <c r="P1943" t="s">
        <v>26560</v>
      </c>
      <c r="R1943" t="s">
        <v>26577</v>
      </c>
      <c r="U1943" t="s">
        <v>26604</v>
      </c>
      <c r="V1943" t="s">
        <v>26611</v>
      </c>
      <c r="W1943" t="s">
        <v>596</v>
      </c>
      <c r="X1943">
        <v>800</v>
      </c>
      <c r="Y1943" t="s">
        <v>26650</v>
      </c>
      <c r="Z1943" t="s">
        <v>26659</v>
      </c>
      <c r="AB1943" t="s">
        <v>28422</v>
      </c>
      <c r="AD1943" t="s">
        <v>38477</v>
      </c>
      <c r="AE1943">
        <v>102</v>
      </c>
      <c r="AF1943" t="s">
        <v>45544</v>
      </c>
      <c r="AG1943" t="s">
        <v>19330</v>
      </c>
      <c r="AH1943">
        <v>5</v>
      </c>
      <c r="AI1943">
        <v>1</v>
      </c>
      <c r="AJ1943">
        <v>1</v>
      </c>
      <c r="AK1943">
        <v>15.67</v>
      </c>
      <c r="AN1943" t="s">
        <v>7439</v>
      </c>
      <c r="AO1943">
        <v>2580</v>
      </c>
      <c r="AU1943">
        <v>10.2</v>
      </c>
      <c r="AV1943" t="s">
        <v>822</v>
      </c>
      <c r="AW1943" t="s">
        <v>46854</v>
      </c>
    </row>
    <row r="1944" spans="1:49">
      <c r="A1944" s="1">
        <f>HYPERLINK("https://lsnyc.legalserver.org/matter/dynamic-profile/view/1878374","18-1878374")</f>
        <v>0</v>
      </c>
      <c r="B1944" t="s">
        <v>211</v>
      </c>
      <c r="C1944" t="s">
        <v>340</v>
      </c>
      <c r="D1944" t="s">
        <v>582</v>
      </c>
      <c r="F1944" t="s">
        <v>1197</v>
      </c>
      <c r="G1944" t="s">
        <v>6199</v>
      </c>
      <c r="H1944" t="s">
        <v>10465</v>
      </c>
      <c r="I1944" t="s">
        <v>17360</v>
      </c>
      <c r="J1944" t="s">
        <v>18894</v>
      </c>
      <c r="K1944">
        <v>11212</v>
      </c>
      <c r="L1944" t="s">
        <v>18958</v>
      </c>
      <c r="M1944" t="s">
        <v>18958</v>
      </c>
      <c r="O1944" t="s">
        <v>26531</v>
      </c>
      <c r="P1944" t="s">
        <v>26565</v>
      </c>
      <c r="R1944" t="s">
        <v>26578</v>
      </c>
      <c r="U1944" t="s">
        <v>26604</v>
      </c>
      <c r="W1944" t="s">
        <v>596</v>
      </c>
      <c r="X1944">
        <v>1300</v>
      </c>
      <c r="Y1944" t="s">
        <v>26652</v>
      </c>
      <c r="Z1944" t="s">
        <v>26667</v>
      </c>
      <c r="AB1944" t="s">
        <v>28423</v>
      </c>
      <c r="AD1944" t="s">
        <v>38478</v>
      </c>
      <c r="AE1944">
        <v>19</v>
      </c>
      <c r="AF1944" t="s">
        <v>45541</v>
      </c>
      <c r="AG1944" t="s">
        <v>45556</v>
      </c>
      <c r="AH1944">
        <v>15</v>
      </c>
      <c r="AI1944">
        <v>2</v>
      </c>
      <c r="AJ1944">
        <v>0</v>
      </c>
      <c r="AK1944">
        <v>55.12</v>
      </c>
      <c r="AN1944" t="s">
        <v>7439</v>
      </c>
      <c r="AO1944">
        <v>9072</v>
      </c>
      <c r="AP1944" t="s">
        <v>45624</v>
      </c>
      <c r="AU1944">
        <v>6.55</v>
      </c>
      <c r="AV1944" t="s">
        <v>831</v>
      </c>
      <c r="AW1944" t="s">
        <v>279</v>
      </c>
    </row>
    <row r="1945" spans="1:49">
      <c r="A1945" s="1">
        <f>HYPERLINK("https://lsnyc.legalserver.org/matter/dynamic-profile/view/1878713","18-1878713")</f>
        <v>0</v>
      </c>
      <c r="B1945" t="s">
        <v>106</v>
      </c>
      <c r="C1945" t="s">
        <v>341</v>
      </c>
      <c r="D1945" t="s">
        <v>451</v>
      </c>
      <c r="E1945" t="s">
        <v>451</v>
      </c>
      <c r="F1945" t="s">
        <v>2023</v>
      </c>
      <c r="G1945" t="s">
        <v>3662</v>
      </c>
      <c r="H1945" t="s">
        <v>11231</v>
      </c>
      <c r="I1945" t="s">
        <v>17641</v>
      </c>
      <c r="J1945" t="s">
        <v>18894</v>
      </c>
      <c r="K1945">
        <v>11221</v>
      </c>
      <c r="L1945" t="s">
        <v>18958</v>
      </c>
      <c r="M1945" t="s">
        <v>18958</v>
      </c>
      <c r="N1945" t="s">
        <v>20428</v>
      </c>
      <c r="O1945" t="s">
        <v>26523</v>
      </c>
      <c r="P1945" t="s">
        <v>26560</v>
      </c>
      <c r="Q1945" t="s">
        <v>26573</v>
      </c>
      <c r="R1945" t="s">
        <v>26588</v>
      </c>
      <c r="S1945" t="s">
        <v>18959</v>
      </c>
      <c r="U1945" t="s">
        <v>26604</v>
      </c>
      <c r="V1945" t="s">
        <v>26617</v>
      </c>
      <c r="W1945" t="s">
        <v>596</v>
      </c>
      <c r="X1945">
        <v>738</v>
      </c>
      <c r="Y1945" t="s">
        <v>26652</v>
      </c>
      <c r="Z1945" t="s">
        <v>26669</v>
      </c>
      <c r="AA1945" t="s">
        <v>26678</v>
      </c>
      <c r="AB1945" t="s">
        <v>28424</v>
      </c>
      <c r="AD1945" t="s">
        <v>38479</v>
      </c>
      <c r="AE1945">
        <v>42</v>
      </c>
      <c r="AG1945" t="s">
        <v>19330</v>
      </c>
      <c r="AH1945">
        <v>5</v>
      </c>
      <c r="AI1945">
        <v>1</v>
      </c>
      <c r="AJ1945">
        <v>0</v>
      </c>
      <c r="AK1945">
        <v>189.46</v>
      </c>
      <c r="AN1945" t="s">
        <v>7439</v>
      </c>
      <c r="AO1945">
        <v>23000</v>
      </c>
      <c r="AQ1945" t="s">
        <v>46359</v>
      </c>
      <c r="AR1945" t="s">
        <v>46422</v>
      </c>
      <c r="AS1945" t="s">
        <v>46499</v>
      </c>
      <c r="AT1945" t="s">
        <v>46513</v>
      </c>
      <c r="AU1945">
        <v>1.9</v>
      </c>
      <c r="AV1945" t="s">
        <v>451</v>
      </c>
      <c r="AW1945" t="s">
        <v>46862</v>
      </c>
    </row>
    <row r="1946" spans="1:49">
      <c r="A1946" s="1">
        <f>HYPERLINK("https://lsnyc.legalserver.org/matter/dynamic-profile/view/1878732","18-1878732")</f>
        <v>0</v>
      </c>
      <c r="B1946" t="s">
        <v>101</v>
      </c>
      <c r="C1946" t="s">
        <v>340</v>
      </c>
      <c r="D1946" t="s">
        <v>599</v>
      </c>
      <c r="F1946" t="s">
        <v>1471</v>
      </c>
      <c r="G1946" t="s">
        <v>6200</v>
      </c>
      <c r="H1946" t="s">
        <v>11232</v>
      </c>
      <c r="I1946" t="s">
        <v>17316</v>
      </c>
      <c r="J1946" t="s">
        <v>18894</v>
      </c>
      <c r="K1946">
        <v>11216</v>
      </c>
      <c r="L1946" t="s">
        <v>18958</v>
      </c>
      <c r="M1946" t="s">
        <v>18958</v>
      </c>
      <c r="N1946" t="s">
        <v>20429</v>
      </c>
      <c r="O1946" t="s">
        <v>26523</v>
      </c>
      <c r="P1946" t="s">
        <v>26560</v>
      </c>
      <c r="R1946" t="s">
        <v>26588</v>
      </c>
      <c r="S1946" t="s">
        <v>18959</v>
      </c>
      <c r="U1946" t="s">
        <v>26604</v>
      </c>
      <c r="V1946" t="s">
        <v>26610</v>
      </c>
      <c r="W1946" t="s">
        <v>596</v>
      </c>
      <c r="X1946">
        <v>716</v>
      </c>
      <c r="Y1946" t="s">
        <v>26652</v>
      </c>
      <c r="Z1946" t="s">
        <v>26669</v>
      </c>
      <c r="AB1946" t="s">
        <v>28425</v>
      </c>
      <c r="AD1946" t="s">
        <v>38480</v>
      </c>
      <c r="AE1946">
        <v>25</v>
      </c>
      <c r="AF1946" t="s">
        <v>45551</v>
      </c>
      <c r="AH1946">
        <v>35</v>
      </c>
      <c r="AI1946">
        <v>1</v>
      </c>
      <c r="AJ1946">
        <v>1</v>
      </c>
      <c r="AK1946">
        <v>121.51</v>
      </c>
      <c r="AN1946" t="s">
        <v>7439</v>
      </c>
      <c r="AO1946">
        <v>20000</v>
      </c>
      <c r="AR1946" t="s">
        <v>46401</v>
      </c>
      <c r="AS1946" t="s">
        <v>46499</v>
      </c>
      <c r="AT1946" t="s">
        <v>46725</v>
      </c>
      <c r="AU1946">
        <v>12.2</v>
      </c>
      <c r="AV1946" t="s">
        <v>801</v>
      </c>
      <c r="AW1946" t="s">
        <v>281</v>
      </c>
    </row>
    <row r="1947" spans="1:49">
      <c r="A1947" s="1">
        <f>HYPERLINK("https://lsnyc.legalserver.org/matter/dynamic-profile/view/1878840","18-1878840")</f>
        <v>0</v>
      </c>
      <c r="B1947" t="s">
        <v>101</v>
      </c>
      <c r="C1947" t="s">
        <v>341</v>
      </c>
      <c r="D1947" t="s">
        <v>540</v>
      </c>
      <c r="E1947" t="s">
        <v>494</v>
      </c>
      <c r="F1947" t="s">
        <v>2024</v>
      </c>
      <c r="G1947" t="s">
        <v>6201</v>
      </c>
      <c r="H1947" t="s">
        <v>11233</v>
      </c>
      <c r="I1947" t="s">
        <v>17325</v>
      </c>
      <c r="J1947" t="s">
        <v>18894</v>
      </c>
      <c r="K1947">
        <v>11226</v>
      </c>
      <c r="L1947" t="s">
        <v>18958</v>
      </c>
      <c r="M1947" t="s">
        <v>18958</v>
      </c>
      <c r="N1947" t="s">
        <v>20430</v>
      </c>
      <c r="O1947" t="s">
        <v>26523</v>
      </c>
      <c r="P1947" t="s">
        <v>26560</v>
      </c>
      <c r="Q1947" t="s">
        <v>26568</v>
      </c>
      <c r="R1947" t="s">
        <v>26588</v>
      </c>
      <c r="S1947" t="s">
        <v>18959</v>
      </c>
      <c r="U1947" t="s">
        <v>26604</v>
      </c>
      <c r="V1947" t="s">
        <v>26610</v>
      </c>
      <c r="W1947" t="s">
        <v>596</v>
      </c>
      <c r="X1947">
        <v>1039</v>
      </c>
      <c r="Y1947" t="s">
        <v>26652</v>
      </c>
      <c r="Z1947" t="s">
        <v>26664</v>
      </c>
      <c r="AA1947" t="s">
        <v>26678</v>
      </c>
      <c r="AB1947" t="s">
        <v>28426</v>
      </c>
      <c r="AC1947" t="s">
        <v>35085</v>
      </c>
      <c r="AD1947" t="s">
        <v>38481</v>
      </c>
      <c r="AE1947">
        <v>20</v>
      </c>
      <c r="AF1947" t="s">
        <v>45541</v>
      </c>
      <c r="AG1947" t="s">
        <v>45559</v>
      </c>
      <c r="AH1947">
        <v>20</v>
      </c>
      <c r="AI1947">
        <v>2</v>
      </c>
      <c r="AJ1947">
        <v>0</v>
      </c>
      <c r="AK1947">
        <v>142.77</v>
      </c>
      <c r="AN1947" t="s">
        <v>7439</v>
      </c>
      <c r="AO1947">
        <v>23500</v>
      </c>
      <c r="AQ1947" t="s">
        <v>46362</v>
      </c>
      <c r="AR1947" t="s">
        <v>46413</v>
      </c>
      <c r="AS1947" t="s">
        <v>46499</v>
      </c>
      <c r="AT1947" t="s">
        <v>46528</v>
      </c>
      <c r="AU1947">
        <v>17.3</v>
      </c>
      <c r="AV1947" t="s">
        <v>693</v>
      </c>
      <c r="AW1947" t="s">
        <v>281</v>
      </c>
    </row>
    <row r="1948" spans="1:49">
      <c r="A1948" s="1">
        <f>HYPERLINK("https://lsnyc.legalserver.org/matter/dynamic-profile/view/1880515","18-1880515")</f>
        <v>0</v>
      </c>
      <c r="B1948" t="s">
        <v>167</v>
      </c>
      <c r="C1948" t="s">
        <v>341</v>
      </c>
      <c r="D1948" t="s">
        <v>600</v>
      </c>
      <c r="E1948" t="s">
        <v>458</v>
      </c>
      <c r="F1948" t="s">
        <v>2025</v>
      </c>
      <c r="G1948" t="s">
        <v>2975</v>
      </c>
      <c r="H1948" t="s">
        <v>11234</v>
      </c>
      <c r="I1948" t="s">
        <v>17348</v>
      </c>
      <c r="J1948" t="s">
        <v>18894</v>
      </c>
      <c r="K1948">
        <v>11221</v>
      </c>
      <c r="L1948" t="s">
        <v>18958</v>
      </c>
      <c r="M1948" t="s">
        <v>18958</v>
      </c>
      <c r="N1948" t="s">
        <v>20431</v>
      </c>
      <c r="O1948" t="s">
        <v>26523</v>
      </c>
      <c r="P1948" t="s">
        <v>26564</v>
      </c>
      <c r="Q1948" t="s">
        <v>26570</v>
      </c>
      <c r="R1948" t="s">
        <v>26588</v>
      </c>
      <c r="S1948" t="s">
        <v>18959</v>
      </c>
      <c r="U1948" t="s">
        <v>26604</v>
      </c>
      <c r="V1948" t="s">
        <v>26612</v>
      </c>
      <c r="W1948" t="s">
        <v>596</v>
      </c>
      <c r="X1948">
        <v>1230</v>
      </c>
      <c r="Y1948" t="s">
        <v>26652</v>
      </c>
      <c r="Z1948" t="s">
        <v>26669</v>
      </c>
      <c r="AA1948" t="s">
        <v>26683</v>
      </c>
      <c r="AB1948" t="s">
        <v>28427</v>
      </c>
      <c r="AC1948" t="s">
        <v>35086</v>
      </c>
      <c r="AD1948" t="s">
        <v>38482</v>
      </c>
      <c r="AE1948">
        <v>35</v>
      </c>
      <c r="AG1948" t="s">
        <v>19330</v>
      </c>
      <c r="AH1948">
        <v>-1</v>
      </c>
      <c r="AI1948">
        <v>1</v>
      </c>
      <c r="AJ1948">
        <v>3</v>
      </c>
      <c r="AK1948">
        <v>0</v>
      </c>
      <c r="AN1948" t="s">
        <v>7439</v>
      </c>
      <c r="AO1948">
        <v>0</v>
      </c>
      <c r="AU1948">
        <v>1.8</v>
      </c>
      <c r="AV1948" t="s">
        <v>458</v>
      </c>
      <c r="AW1948" t="s">
        <v>46862</v>
      </c>
    </row>
    <row r="1949" spans="1:49">
      <c r="A1949" s="1">
        <f>HYPERLINK("https://lsnyc.legalserver.org/matter/dynamic-profile/view/1876810","18-1876810")</f>
        <v>0</v>
      </c>
      <c r="B1949" t="s">
        <v>67</v>
      </c>
      <c r="C1949" t="s">
        <v>340</v>
      </c>
      <c r="D1949" t="s">
        <v>440</v>
      </c>
      <c r="F1949" t="s">
        <v>990</v>
      </c>
      <c r="G1949" t="s">
        <v>5977</v>
      </c>
      <c r="H1949" t="s">
        <v>10156</v>
      </c>
      <c r="I1949" t="s">
        <v>17327</v>
      </c>
      <c r="J1949" t="s">
        <v>18892</v>
      </c>
      <c r="K1949">
        <v>10456</v>
      </c>
      <c r="L1949" t="s">
        <v>18958</v>
      </c>
      <c r="M1949" t="s">
        <v>18958</v>
      </c>
      <c r="N1949" t="s">
        <v>20060</v>
      </c>
      <c r="O1949" t="s">
        <v>26526</v>
      </c>
      <c r="P1949" t="s">
        <v>26560</v>
      </c>
      <c r="R1949" t="s">
        <v>26578</v>
      </c>
      <c r="S1949" t="s">
        <v>18958</v>
      </c>
      <c r="U1949" t="s">
        <v>26604</v>
      </c>
      <c r="W1949" t="s">
        <v>582</v>
      </c>
      <c r="X1949">
        <v>947.5</v>
      </c>
      <c r="Y1949" t="s">
        <v>26650</v>
      </c>
      <c r="Z1949" t="s">
        <v>26663</v>
      </c>
      <c r="AB1949" t="s">
        <v>28021</v>
      </c>
      <c r="AD1949" t="s">
        <v>38070</v>
      </c>
      <c r="AE1949">
        <v>131</v>
      </c>
      <c r="AF1949" t="s">
        <v>45541</v>
      </c>
      <c r="AG1949" t="s">
        <v>19330</v>
      </c>
      <c r="AH1949">
        <v>25</v>
      </c>
      <c r="AI1949">
        <v>2</v>
      </c>
      <c r="AJ1949">
        <v>0</v>
      </c>
      <c r="AK1949">
        <v>109.36</v>
      </c>
      <c r="AN1949" t="s">
        <v>7439</v>
      </c>
      <c r="AO1949">
        <v>18000</v>
      </c>
      <c r="AU1949">
        <v>0</v>
      </c>
      <c r="AW1949" t="s">
        <v>336</v>
      </c>
    </row>
    <row r="1950" spans="1:49">
      <c r="A1950" s="1">
        <f>HYPERLINK("https://lsnyc.legalserver.org/matter/dynamic-profile/view/1876850","18-1876850")</f>
        <v>0</v>
      </c>
      <c r="B1950" t="s">
        <v>67</v>
      </c>
      <c r="C1950" t="s">
        <v>340</v>
      </c>
      <c r="D1950" t="s">
        <v>440</v>
      </c>
      <c r="F1950" t="s">
        <v>1026</v>
      </c>
      <c r="G1950" t="s">
        <v>6202</v>
      </c>
      <c r="H1950" t="s">
        <v>10156</v>
      </c>
      <c r="I1950" t="s">
        <v>17302</v>
      </c>
      <c r="J1950" t="s">
        <v>18892</v>
      </c>
      <c r="K1950">
        <v>10456</v>
      </c>
      <c r="L1950" t="s">
        <v>18958</v>
      </c>
      <c r="M1950" t="s">
        <v>18958</v>
      </c>
      <c r="N1950" t="s">
        <v>20060</v>
      </c>
      <c r="O1950" t="s">
        <v>26526</v>
      </c>
      <c r="P1950" t="s">
        <v>26560</v>
      </c>
      <c r="R1950" t="s">
        <v>26578</v>
      </c>
      <c r="S1950" t="s">
        <v>18958</v>
      </c>
      <c r="U1950" t="s">
        <v>26604</v>
      </c>
      <c r="W1950" t="s">
        <v>582</v>
      </c>
      <c r="X1950">
        <v>1200.58</v>
      </c>
      <c r="Y1950" t="s">
        <v>26650</v>
      </c>
      <c r="Z1950" t="s">
        <v>26663</v>
      </c>
      <c r="AB1950" t="s">
        <v>28428</v>
      </c>
      <c r="AD1950" t="s">
        <v>38483</v>
      </c>
      <c r="AE1950">
        <v>131</v>
      </c>
      <c r="AF1950" t="s">
        <v>45541</v>
      </c>
      <c r="AG1950" t="s">
        <v>19330</v>
      </c>
      <c r="AH1950">
        <v>7</v>
      </c>
      <c r="AI1950">
        <v>3</v>
      </c>
      <c r="AJ1950">
        <v>1</v>
      </c>
      <c r="AK1950">
        <v>130.88</v>
      </c>
      <c r="AN1950" t="s">
        <v>45581</v>
      </c>
      <c r="AO1950">
        <v>32852</v>
      </c>
      <c r="AU1950">
        <v>0</v>
      </c>
      <c r="AW1950" t="s">
        <v>336</v>
      </c>
    </row>
    <row r="1951" spans="1:49">
      <c r="A1951" s="1">
        <f>HYPERLINK("https://lsnyc.legalserver.org/matter/dynamic-profile/view/1875480","18-1875480")</f>
        <v>0</v>
      </c>
      <c r="B1951" t="s">
        <v>223</v>
      </c>
      <c r="C1951" t="s">
        <v>341</v>
      </c>
      <c r="D1951" t="s">
        <v>516</v>
      </c>
      <c r="E1951" t="s">
        <v>706</v>
      </c>
      <c r="F1951" t="s">
        <v>2026</v>
      </c>
      <c r="G1951" t="s">
        <v>6203</v>
      </c>
      <c r="H1951" t="s">
        <v>11235</v>
      </c>
      <c r="I1951" t="s">
        <v>17299</v>
      </c>
      <c r="J1951" t="s">
        <v>18893</v>
      </c>
      <c r="K1951">
        <v>10029</v>
      </c>
      <c r="L1951" t="s">
        <v>18958</v>
      </c>
      <c r="M1951" t="s">
        <v>18958</v>
      </c>
      <c r="O1951" t="s">
        <v>26529</v>
      </c>
      <c r="P1951" t="s">
        <v>26564</v>
      </c>
      <c r="Q1951" t="s">
        <v>26570</v>
      </c>
      <c r="R1951" t="s">
        <v>26578</v>
      </c>
      <c r="S1951" t="s">
        <v>18959</v>
      </c>
      <c r="U1951" t="s">
        <v>26604</v>
      </c>
      <c r="V1951" t="s">
        <v>26610</v>
      </c>
      <c r="W1951" t="s">
        <v>582</v>
      </c>
      <c r="X1951">
        <v>400</v>
      </c>
      <c r="Y1951" t="s">
        <v>26651</v>
      </c>
      <c r="Z1951" t="s">
        <v>26530</v>
      </c>
      <c r="AA1951" t="s">
        <v>26683</v>
      </c>
      <c r="AB1951" t="s">
        <v>28429</v>
      </c>
      <c r="AD1951" t="s">
        <v>38484</v>
      </c>
      <c r="AE1951">
        <v>300</v>
      </c>
      <c r="AF1951" t="s">
        <v>45550</v>
      </c>
      <c r="AG1951" t="s">
        <v>26530</v>
      </c>
      <c r="AH1951">
        <v>14</v>
      </c>
      <c r="AI1951">
        <v>1</v>
      </c>
      <c r="AJ1951">
        <v>2</v>
      </c>
      <c r="AK1951">
        <v>74.51000000000001</v>
      </c>
      <c r="AN1951" t="s">
        <v>45581</v>
      </c>
      <c r="AO1951">
        <v>15484</v>
      </c>
      <c r="AU1951">
        <v>1.66</v>
      </c>
      <c r="AV1951" t="s">
        <v>582</v>
      </c>
      <c r="AW1951" t="s">
        <v>46860</v>
      </c>
    </row>
    <row r="1952" spans="1:49">
      <c r="A1952" s="1">
        <f>HYPERLINK("https://lsnyc.legalserver.org/matter/dynamic-profile/view/1875478","18-1875478")</f>
        <v>0</v>
      </c>
      <c r="B1952" t="s">
        <v>227</v>
      </c>
      <c r="C1952" t="s">
        <v>341</v>
      </c>
      <c r="D1952" t="s">
        <v>521</v>
      </c>
      <c r="E1952" t="s">
        <v>582</v>
      </c>
      <c r="F1952" t="s">
        <v>2027</v>
      </c>
      <c r="G1952" t="s">
        <v>5125</v>
      </c>
      <c r="H1952" t="s">
        <v>11236</v>
      </c>
      <c r="I1952" t="s">
        <v>17454</v>
      </c>
      <c r="J1952" t="s">
        <v>18894</v>
      </c>
      <c r="K1952">
        <v>11203</v>
      </c>
      <c r="L1952" t="s">
        <v>18958</v>
      </c>
      <c r="M1952" t="s">
        <v>18958</v>
      </c>
      <c r="N1952" t="s">
        <v>20432</v>
      </c>
      <c r="O1952" t="s">
        <v>26523</v>
      </c>
      <c r="P1952" t="s">
        <v>26560</v>
      </c>
      <c r="Q1952" t="s">
        <v>26568</v>
      </c>
      <c r="R1952" t="s">
        <v>26586</v>
      </c>
      <c r="U1952" t="s">
        <v>26604</v>
      </c>
      <c r="W1952" t="s">
        <v>582</v>
      </c>
      <c r="X1952">
        <v>1272</v>
      </c>
      <c r="Y1952" t="s">
        <v>26652</v>
      </c>
      <c r="Z1952" t="s">
        <v>26668</v>
      </c>
      <c r="AA1952" t="s">
        <v>26686</v>
      </c>
      <c r="AB1952" t="s">
        <v>28430</v>
      </c>
      <c r="AD1952" t="s">
        <v>38485</v>
      </c>
      <c r="AE1952">
        <v>114</v>
      </c>
      <c r="AF1952" t="s">
        <v>45543</v>
      </c>
      <c r="AG1952" t="s">
        <v>45556</v>
      </c>
      <c r="AH1952">
        <v>3</v>
      </c>
      <c r="AI1952">
        <v>1</v>
      </c>
      <c r="AJ1952">
        <v>0</v>
      </c>
      <c r="AK1952">
        <v>189.46</v>
      </c>
      <c r="AO1952">
        <v>23000</v>
      </c>
      <c r="AU1952">
        <v>4.2</v>
      </c>
      <c r="AV1952" t="s">
        <v>511</v>
      </c>
      <c r="AW1952" t="s">
        <v>46862</v>
      </c>
    </row>
    <row r="1953" spans="1:49">
      <c r="A1953" s="1">
        <f>HYPERLINK("https://lsnyc.legalserver.org/matter/dynamic-profile/view/1876471","18-1876471")</f>
        <v>0</v>
      </c>
      <c r="B1953" t="s">
        <v>236</v>
      </c>
      <c r="C1953" t="s">
        <v>341</v>
      </c>
      <c r="D1953" t="s">
        <v>523</v>
      </c>
      <c r="E1953" t="s">
        <v>859</v>
      </c>
      <c r="F1953" t="s">
        <v>2028</v>
      </c>
      <c r="G1953" t="s">
        <v>6204</v>
      </c>
      <c r="H1953" t="s">
        <v>11237</v>
      </c>
      <c r="I1953" t="s">
        <v>17389</v>
      </c>
      <c r="J1953" t="s">
        <v>18892</v>
      </c>
      <c r="K1953">
        <v>10452</v>
      </c>
      <c r="L1953" t="s">
        <v>18958</v>
      </c>
      <c r="M1953" t="s">
        <v>18958</v>
      </c>
      <c r="O1953" t="s">
        <v>26540</v>
      </c>
      <c r="P1953" t="s">
        <v>26564</v>
      </c>
      <c r="Q1953" t="s">
        <v>26570</v>
      </c>
      <c r="R1953" t="s">
        <v>26578</v>
      </c>
      <c r="S1953" t="s">
        <v>18959</v>
      </c>
      <c r="U1953" t="s">
        <v>26604</v>
      </c>
      <c r="W1953" t="s">
        <v>582</v>
      </c>
      <c r="X1953">
        <v>1091.92</v>
      </c>
      <c r="Y1953" t="s">
        <v>26650</v>
      </c>
      <c r="Z1953" t="s">
        <v>26663</v>
      </c>
      <c r="AA1953" t="s">
        <v>26683</v>
      </c>
      <c r="AB1953" t="s">
        <v>28431</v>
      </c>
      <c r="AD1953" t="s">
        <v>38486</v>
      </c>
      <c r="AE1953">
        <v>40</v>
      </c>
      <c r="AF1953" t="s">
        <v>45541</v>
      </c>
      <c r="AH1953">
        <v>2</v>
      </c>
      <c r="AI1953">
        <v>2</v>
      </c>
      <c r="AJ1953">
        <v>1</v>
      </c>
      <c r="AK1953">
        <v>227.97</v>
      </c>
      <c r="AN1953" t="s">
        <v>7439</v>
      </c>
      <c r="AO1953">
        <v>47372</v>
      </c>
      <c r="AU1953">
        <v>0.8</v>
      </c>
      <c r="AV1953" t="s">
        <v>523</v>
      </c>
      <c r="AW1953" t="s">
        <v>236</v>
      </c>
    </row>
    <row r="1954" spans="1:49">
      <c r="A1954" s="1">
        <f>HYPERLINK("https://lsnyc.legalserver.org/matter/dynamic-profile/view/1876743","18-1876743")</f>
        <v>0</v>
      </c>
      <c r="B1954" t="s">
        <v>180</v>
      </c>
      <c r="C1954" t="s">
        <v>341</v>
      </c>
      <c r="D1954" t="s">
        <v>422</v>
      </c>
      <c r="E1954" t="s">
        <v>582</v>
      </c>
      <c r="F1954" t="s">
        <v>2029</v>
      </c>
      <c r="G1954" t="s">
        <v>6205</v>
      </c>
      <c r="H1954" t="s">
        <v>11238</v>
      </c>
      <c r="J1954" t="s">
        <v>18894</v>
      </c>
      <c r="K1954">
        <v>11234</v>
      </c>
      <c r="L1954" t="s">
        <v>18958</v>
      </c>
      <c r="M1954" t="s">
        <v>18958</v>
      </c>
      <c r="N1954" t="s">
        <v>20433</v>
      </c>
      <c r="O1954" t="s">
        <v>26524</v>
      </c>
      <c r="P1954" t="s">
        <v>26564</v>
      </c>
      <c r="Q1954" t="s">
        <v>26570</v>
      </c>
      <c r="R1954" t="s">
        <v>26586</v>
      </c>
      <c r="S1954" t="s">
        <v>18959</v>
      </c>
      <c r="U1954" t="s">
        <v>26604</v>
      </c>
      <c r="V1954" t="s">
        <v>26613</v>
      </c>
      <c r="W1954" t="s">
        <v>582</v>
      </c>
      <c r="X1954">
        <v>500</v>
      </c>
      <c r="Y1954" t="s">
        <v>26652</v>
      </c>
      <c r="Z1954" t="s">
        <v>26664</v>
      </c>
      <c r="AA1954" t="s">
        <v>26683</v>
      </c>
      <c r="AB1954" t="s">
        <v>28432</v>
      </c>
      <c r="AD1954" t="s">
        <v>38487</v>
      </c>
      <c r="AE1954">
        <v>1</v>
      </c>
      <c r="AF1954" t="s">
        <v>45547</v>
      </c>
      <c r="AG1954" t="s">
        <v>19330</v>
      </c>
      <c r="AH1954">
        <v>17</v>
      </c>
      <c r="AI1954">
        <v>1</v>
      </c>
      <c r="AJ1954">
        <v>0</v>
      </c>
      <c r="AK1954">
        <v>40.85</v>
      </c>
      <c r="AN1954" t="s">
        <v>7439</v>
      </c>
      <c r="AO1954">
        <v>4959</v>
      </c>
      <c r="AU1954">
        <v>0.8</v>
      </c>
      <c r="AV1954" t="s">
        <v>422</v>
      </c>
      <c r="AW1954" t="s">
        <v>46862</v>
      </c>
    </row>
    <row r="1955" spans="1:49">
      <c r="A1955" s="1">
        <f>HYPERLINK("https://lsnyc.legalserver.org/matter/dynamic-profile/view/1877225","18-1877225")</f>
        <v>0</v>
      </c>
      <c r="B1955" t="s">
        <v>63</v>
      </c>
      <c r="C1955" t="s">
        <v>340</v>
      </c>
      <c r="D1955" t="s">
        <v>576</v>
      </c>
      <c r="F1955" t="s">
        <v>2030</v>
      </c>
      <c r="G1955" t="s">
        <v>5849</v>
      </c>
      <c r="H1955" t="s">
        <v>11239</v>
      </c>
      <c r="I1955" t="s">
        <v>17306</v>
      </c>
      <c r="J1955" t="s">
        <v>18892</v>
      </c>
      <c r="K1955">
        <v>10460</v>
      </c>
      <c r="L1955" t="s">
        <v>18958</v>
      </c>
      <c r="M1955" t="s">
        <v>18958</v>
      </c>
      <c r="N1955" t="s">
        <v>20434</v>
      </c>
      <c r="O1955" t="s">
        <v>26523</v>
      </c>
      <c r="P1955" t="s">
        <v>26560</v>
      </c>
      <c r="R1955" t="s">
        <v>26578</v>
      </c>
      <c r="S1955" t="s">
        <v>18959</v>
      </c>
      <c r="U1955" t="s">
        <v>26604</v>
      </c>
      <c r="W1955" t="s">
        <v>582</v>
      </c>
      <c r="X1955">
        <v>1025</v>
      </c>
      <c r="Y1955" t="s">
        <v>26650</v>
      </c>
      <c r="AB1955" t="s">
        <v>28433</v>
      </c>
      <c r="AD1955" t="s">
        <v>38488</v>
      </c>
      <c r="AE1955">
        <v>10</v>
      </c>
      <c r="AF1955" t="s">
        <v>45541</v>
      </c>
      <c r="AG1955" t="s">
        <v>45559</v>
      </c>
      <c r="AH1955">
        <v>0</v>
      </c>
      <c r="AI1955">
        <v>2</v>
      </c>
      <c r="AJ1955">
        <v>0</v>
      </c>
      <c r="AK1955">
        <v>110.74</v>
      </c>
      <c r="AN1955" t="s">
        <v>7439</v>
      </c>
      <c r="AO1955">
        <v>18228</v>
      </c>
      <c r="AP1955" t="s">
        <v>45654</v>
      </c>
      <c r="AU1955">
        <v>15.5</v>
      </c>
      <c r="AV1955" t="s">
        <v>839</v>
      </c>
      <c r="AW1955" t="s">
        <v>46847</v>
      </c>
    </row>
    <row r="1956" spans="1:49">
      <c r="A1956" s="1">
        <f>HYPERLINK("https://lsnyc.legalserver.org/matter/dynamic-profile/view/1877843","18-1877843")</f>
        <v>0</v>
      </c>
      <c r="B1956" t="s">
        <v>227</v>
      </c>
      <c r="C1956" t="s">
        <v>341</v>
      </c>
      <c r="D1956" t="s">
        <v>588</v>
      </c>
      <c r="E1956" t="s">
        <v>582</v>
      </c>
      <c r="F1956" t="s">
        <v>2031</v>
      </c>
      <c r="G1956" t="s">
        <v>6206</v>
      </c>
      <c r="H1956" t="s">
        <v>11240</v>
      </c>
      <c r="I1956" t="s">
        <v>17312</v>
      </c>
      <c r="J1956" t="s">
        <v>18894</v>
      </c>
      <c r="K1956">
        <v>11216</v>
      </c>
      <c r="L1956" t="s">
        <v>18958</v>
      </c>
      <c r="M1956" t="s">
        <v>18958</v>
      </c>
      <c r="N1956" t="s">
        <v>20435</v>
      </c>
      <c r="O1956" t="s">
        <v>26524</v>
      </c>
      <c r="P1956" t="s">
        <v>26560</v>
      </c>
      <c r="Q1956" t="s">
        <v>26568</v>
      </c>
      <c r="R1956" t="s">
        <v>26588</v>
      </c>
      <c r="U1956" t="s">
        <v>26604</v>
      </c>
      <c r="W1956" t="s">
        <v>582</v>
      </c>
      <c r="X1956">
        <v>850</v>
      </c>
      <c r="Y1956" t="s">
        <v>26652</v>
      </c>
      <c r="Z1956" t="s">
        <v>26669</v>
      </c>
      <c r="AA1956" t="s">
        <v>26678</v>
      </c>
      <c r="AB1956" t="s">
        <v>28434</v>
      </c>
      <c r="AD1956" t="s">
        <v>38489</v>
      </c>
      <c r="AE1956">
        <v>6</v>
      </c>
      <c r="AG1956" t="s">
        <v>19330</v>
      </c>
      <c r="AH1956">
        <v>30</v>
      </c>
      <c r="AI1956">
        <v>1</v>
      </c>
      <c r="AJ1956">
        <v>0</v>
      </c>
      <c r="AK1956">
        <v>192.75</v>
      </c>
      <c r="AN1956" t="s">
        <v>7439</v>
      </c>
      <c r="AO1956">
        <v>23400</v>
      </c>
      <c r="AQ1956" t="s">
        <v>46359</v>
      </c>
      <c r="AR1956" t="s">
        <v>46380</v>
      </c>
      <c r="AS1956" t="s">
        <v>46499</v>
      </c>
      <c r="AT1956" t="s">
        <v>46575</v>
      </c>
      <c r="AU1956">
        <v>2.5</v>
      </c>
      <c r="AV1956" t="s">
        <v>572</v>
      </c>
      <c r="AW1956" t="s">
        <v>46862</v>
      </c>
    </row>
    <row r="1957" spans="1:49">
      <c r="A1957" s="1">
        <f>HYPERLINK("https://lsnyc.legalserver.org/matter/dynamic-profile/view/1878306","18-1878306")</f>
        <v>0</v>
      </c>
      <c r="B1957" t="s">
        <v>98</v>
      </c>
      <c r="C1957" t="s">
        <v>341</v>
      </c>
      <c r="D1957" t="s">
        <v>596</v>
      </c>
      <c r="E1957" t="s">
        <v>684</v>
      </c>
      <c r="F1957" t="s">
        <v>2032</v>
      </c>
      <c r="G1957" t="s">
        <v>6207</v>
      </c>
      <c r="H1957" t="s">
        <v>11241</v>
      </c>
      <c r="I1957" t="s">
        <v>17380</v>
      </c>
      <c r="J1957" t="s">
        <v>18892</v>
      </c>
      <c r="K1957">
        <v>10452</v>
      </c>
      <c r="L1957" t="s">
        <v>18958</v>
      </c>
      <c r="M1957" t="s">
        <v>18958</v>
      </c>
      <c r="O1957" t="s">
        <v>18997</v>
      </c>
      <c r="P1957" t="s">
        <v>26565</v>
      </c>
      <c r="Q1957" t="s">
        <v>26571</v>
      </c>
      <c r="R1957" t="s">
        <v>26578</v>
      </c>
      <c r="S1957" t="s">
        <v>18959</v>
      </c>
      <c r="U1957" t="s">
        <v>26604</v>
      </c>
      <c r="W1957" t="s">
        <v>582</v>
      </c>
      <c r="X1957">
        <v>774.8200000000001</v>
      </c>
      <c r="Y1957" t="s">
        <v>26650</v>
      </c>
      <c r="Z1957" t="s">
        <v>26663</v>
      </c>
      <c r="AA1957" t="s">
        <v>26682</v>
      </c>
      <c r="AB1957" t="s">
        <v>28435</v>
      </c>
      <c r="AD1957" t="s">
        <v>38490</v>
      </c>
      <c r="AE1957">
        <v>45</v>
      </c>
      <c r="AF1957" t="s">
        <v>45541</v>
      </c>
      <c r="AG1957" t="s">
        <v>19330</v>
      </c>
      <c r="AH1957">
        <v>30</v>
      </c>
      <c r="AI1957">
        <v>3</v>
      </c>
      <c r="AJ1957">
        <v>1</v>
      </c>
      <c r="AK1957">
        <v>71.70999999999999</v>
      </c>
      <c r="AN1957" t="s">
        <v>7439</v>
      </c>
      <c r="AO1957">
        <v>18000</v>
      </c>
      <c r="AU1957">
        <v>2.9</v>
      </c>
      <c r="AV1957" t="s">
        <v>684</v>
      </c>
      <c r="AW1957" t="s">
        <v>98</v>
      </c>
    </row>
    <row r="1958" spans="1:49">
      <c r="A1958" s="1">
        <f>HYPERLINK("https://lsnyc.legalserver.org/matter/dynamic-profile/view/1878265","18-1878265")</f>
        <v>0</v>
      </c>
      <c r="B1958" t="s">
        <v>98</v>
      </c>
      <c r="C1958" t="s">
        <v>341</v>
      </c>
      <c r="D1958" t="s">
        <v>596</v>
      </c>
      <c r="E1958" t="s">
        <v>684</v>
      </c>
      <c r="F1958" t="s">
        <v>2033</v>
      </c>
      <c r="G1958" t="s">
        <v>6208</v>
      </c>
      <c r="H1958" t="s">
        <v>11242</v>
      </c>
      <c r="I1958" t="s">
        <v>17293</v>
      </c>
      <c r="J1958" t="s">
        <v>18892</v>
      </c>
      <c r="K1958">
        <v>10453</v>
      </c>
      <c r="L1958" t="s">
        <v>18958</v>
      </c>
      <c r="M1958" t="s">
        <v>18958</v>
      </c>
      <c r="O1958" t="s">
        <v>18997</v>
      </c>
      <c r="P1958" t="s">
        <v>26564</v>
      </c>
      <c r="Q1958" t="s">
        <v>26570</v>
      </c>
      <c r="R1958" t="s">
        <v>26578</v>
      </c>
      <c r="S1958" t="s">
        <v>18959</v>
      </c>
      <c r="U1958" t="s">
        <v>26604</v>
      </c>
      <c r="W1958" t="s">
        <v>582</v>
      </c>
      <c r="X1958">
        <v>743.67</v>
      </c>
      <c r="Y1958" t="s">
        <v>26650</v>
      </c>
      <c r="Z1958" t="s">
        <v>26663</v>
      </c>
      <c r="AA1958" t="s">
        <v>26683</v>
      </c>
      <c r="AB1958" t="s">
        <v>28436</v>
      </c>
      <c r="AD1958" t="s">
        <v>38491</v>
      </c>
      <c r="AE1958">
        <v>54</v>
      </c>
      <c r="AF1958" t="s">
        <v>45541</v>
      </c>
      <c r="AG1958" t="s">
        <v>19330</v>
      </c>
      <c r="AH1958">
        <v>12</v>
      </c>
      <c r="AI1958">
        <v>1</v>
      </c>
      <c r="AJ1958">
        <v>0</v>
      </c>
      <c r="AK1958">
        <v>115.35</v>
      </c>
      <c r="AN1958" t="s">
        <v>7439</v>
      </c>
      <c r="AO1958">
        <v>14004</v>
      </c>
      <c r="AU1958">
        <v>1.4</v>
      </c>
      <c r="AV1958" t="s">
        <v>684</v>
      </c>
      <c r="AW1958" t="s">
        <v>98</v>
      </c>
    </row>
    <row r="1959" spans="1:49">
      <c r="A1959" s="1">
        <f>HYPERLINK("https://lsnyc.legalserver.org/matter/dynamic-profile/view/1878213","18-1878213")</f>
        <v>0</v>
      </c>
      <c r="B1959" t="s">
        <v>54</v>
      </c>
      <c r="C1959" t="s">
        <v>341</v>
      </c>
      <c r="D1959" t="s">
        <v>596</v>
      </c>
      <c r="E1959" t="s">
        <v>744</v>
      </c>
      <c r="F1959" t="s">
        <v>1687</v>
      </c>
      <c r="G1959" t="s">
        <v>5879</v>
      </c>
      <c r="H1959" t="s">
        <v>10710</v>
      </c>
      <c r="I1959" t="s">
        <v>17293</v>
      </c>
      <c r="J1959" t="s">
        <v>18892</v>
      </c>
      <c r="K1959">
        <v>10458</v>
      </c>
      <c r="L1959" t="s">
        <v>18958</v>
      </c>
      <c r="M1959" t="s">
        <v>18958</v>
      </c>
      <c r="N1959" t="s">
        <v>19912</v>
      </c>
      <c r="O1959" t="s">
        <v>26536</v>
      </c>
      <c r="P1959" t="s">
        <v>26562</v>
      </c>
      <c r="Q1959" t="s">
        <v>26571</v>
      </c>
      <c r="R1959" t="s">
        <v>26578</v>
      </c>
      <c r="S1959" t="s">
        <v>18959</v>
      </c>
      <c r="U1959" t="s">
        <v>26606</v>
      </c>
      <c r="W1959" t="s">
        <v>582</v>
      </c>
      <c r="X1959">
        <v>1989</v>
      </c>
      <c r="Y1959" t="s">
        <v>26650</v>
      </c>
      <c r="Z1959" t="s">
        <v>26655</v>
      </c>
      <c r="AA1959" t="s">
        <v>26681</v>
      </c>
      <c r="AB1959" t="s">
        <v>27853</v>
      </c>
      <c r="AC1959" t="s">
        <v>34881</v>
      </c>
      <c r="AD1959" t="s">
        <v>37903</v>
      </c>
      <c r="AE1959">
        <v>17</v>
      </c>
      <c r="AF1959" t="s">
        <v>45541</v>
      </c>
      <c r="AG1959" t="s">
        <v>45556</v>
      </c>
      <c r="AH1959">
        <v>7</v>
      </c>
      <c r="AI1959">
        <v>3</v>
      </c>
      <c r="AJ1959">
        <v>1</v>
      </c>
      <c r="AK1959">
        <v>72.5</v>
      </c>
      <c r="AN1959" t="s">
        <v>45581</v>
      </c>
      <c r="AO1959">
        <v>18198.6</v>
      </c>
      <c r="AU1959">
        <v>1.5</v>
      </c>
      <c r="AV1959" t="s">
        <v>698</v>
      </c>
      <c r="AW1959" t="s">
        <v>46832</v>
      </c>
    </row>
    <row r="1960" spans="1:49">
      <c r="A1960" s="1">
        <f>HYPERLINK("https://lsnyc.legalserver.org/matter/dynamic-profile/view/1878261","18-1878261")</f>
        <v>0</v>
      </c>
      <c r="B1960" t="s">
        <v>122</v>
      </c>
      <c r="C1960" t="s">
        <v>340</v>
      </c>
      <c r="D1960" t="s">
        <v>596</v>
      </c>
      <c r="F1960" t="s">
        <v>2034</v>
      </c>
      <c r="G1960" t="s">
        <v>6209</v>
      </c>
      <c r="H1960" t="s">
        <v>11243</v>
      </c>
      <c r="J1960" t="s">
        <v>18901</v>
      </c>
      <c r="K1960">
        <v>11436</v>
      </c>
      <c r="L1960" t="s">
        <v>18959</v>
      </c>
      <c r="M1960" t="s">
        <v>18960</v>
      </c>
      <c r="N1960" t="s">
        <v>20436</v>
      </c>
      <c r="O1960" t="s">
        <v>26524</v>
      </c>
      <c r="P1960" t="s">
        <v>26564</v>
      </c>
      <c r="R1960" t="s">
        <v>26584</v>
      </c>
      <c r="U1960" t="s">
        <v>26604</v>
      </c>
      <c r="W1960" t="s">
        <v>582</v>
      </c>
      <c r="X1960">
        <v>0</v>
      </c>
      <c r="Y1960" t="s">
        <v>26653</v>
      </c>
      <c r="Z1960" t="s">
        <v>26664</v>
      </c>
      <c r="AB1960" t="s">
        <v>28437</v>
      </c>
      <c r="AD1960" t="s">
        <v>38492</v>
      </c>
      <c r="AE1960">
        <v>0</v>
      </c>
      <c r="AF1960" t="s">
        <v>45547</v>
      </c>
      <c r="AG1960" t="s">
        <v>19330</v>
      </c>
      <c r="AH1960">
        <v>18</v>
      </c>
      <c r="AI1960">
        <v>2</v>
      </c>
      <c r="AJ1960">
        <v>0</v>
      </c>
      <c r="AK1960">
        <v>125.61</v>
      </c>
      <c r="AO1960">
        <v>20676</v>
      </c>
      <c r="AU1960">
        <v>0.25</v>
      </c>
      <c r="AV1960" t="s">
        <v>690</v>
      </c>
      <c r="AW1960" t="s">
        <v>122</v>
      </c>
    </row>
    <row r="1961" spans="1:49">
      <c r="A1961" s="1">
        <f>HYPERLINK("https://lsnyc.legalserver.org/matter/dynamic-profile/view/1878322","18-1878322")</f>
        <v>0</v>
      </c>
      <c r="B1961" t="s">
        <v>145</v>
      </c>
      <c r="C1961" t="s">
        <v>341</v>
      </c>
      <c r="D1961" t="s">
        <v>582</v>
      </c>
      <c r="E1961" t="s">
        <v>660</v>
      </c>
      <c r="F1961" t="s">
        <v>2035</v>
      </c>
      <c r="G1961" t="s">
        <v>5269</v>
      </c>
      <c r="H1961" t="s">
        <v>11244</v>
      </c>
      <c r="J1961" t="s">
        <v>18902</v>
      </c>
      <c r="K1961">
        <v>10303</v>
      </c>
      <c r="L1961" t="s">
        <v>18958</v>
      </c>
      <c r="M1961" t="s">
        <v>18958</v>
      </c>
      <c r="N1961" t="s">
        <v>20437</v>
      </c>
      <c r="O1961" t="s">
        <v>26524</v>
      </c>
      <c r="P1961" t="s">
        <v>26560</v>
      </c>
      <c r="Q1961" t="s">
        <v>26568</v>
      </c>
      <c r="R1961" t="s">
        <v>26590</v>
      </c>
      <c r="S1961" t="s">
        <v>18959</v>
      </c>
      <c r="U1961" t="s">
        <v>26604</v>
      </c>
      <c r="V1961" t="s">
        <v>26610</v>
      </c>
      <c r="W1961" t="s">
        <v>582</v>
      </c>
      <c r="X1961">
        <v>2676</v>
      </c>
      <c r="Y1961" t="s">
        <v>26654</v>
      </c>
      <c r="Z1961" t="s">
        <v>26668</v>
      </c>
      <c r="AA1961" t="s">
        <v>26678</v>
      </c>
      <c r="AB1961" t="s">
        <v>28438</v>
      </c>
      <c r="AD1961" t="s">
        <v>38493</v>
      </c>
      <c r="AE1961">
        <v>1</v>
      </c>
      <c r="AF1961" t="s">
        <v>45547</v>
      </c>
      <c r="AG1961" t="s">
        <v>45556</v>
      </c>
      <c r="AH1961">
        <v>1</v>
      </c>
      <c r="AI1961">
        <v>2</v>
      </c>
      <c r="AJ1961">
        <v>7</v>
      </c>
      <c r="AK1961">
        <v>19.37</v>
      </c>
      <c r="AN1961" t="s">
        <v>7439</v>
      </c>
      <c r="AO1961">
        <v>9048</v>
      </c>
      <c r="AR1961" t="s">
        <v>46381</v>
      </c>
      <c r="AS1961" t="s">
        <v>46499</v>
      </c>
      <c r="AT1961" t="s">
        <v>46679</v>
      </c>
      <c r="AU1961">
        <v>5.75</v>
      </c>
      <c r="AV1961" t="s">
        <v>668</v>
      </c>
      <c r="AW1961" t="s">
        <v>190</v>
      </c>
    </row>
    <row r="1962" spans="1:49">
      <c r="A1962" s="1">
        <f>HYPERLINK("https://lsnyc.legalserver.org/matter/dynamic-profile/view/1878340","18-1878340")</f>
        <v>0</v>
      </c>
      <c r="B1962" t="s">
        <v>153</v>
      </c>
      <c r="C1962" t="s">
        <v>341</v>
      </c>
      <c r="D1962" t="s">
        <v>582</v>
      </c>
      <c r="E1962" t="s">
        <v>704</v>
      </c>
      <c r="F1962" t="s">
        <v>1016</v>
      </c>
      <c r="G1962" t="s">
        <v>6210</v>
      </c>
      <c r="H1962" t="s">
        <v>11245</v>
      </c>
      <c r="I1962" t="s">
        <v>17749</v>
      </c>
      <c r="J1962" t="s">
        <v>18902</v>
      </c>
      <c r="K1962">
        <v>10303</v>
      </c>
      <c r="L1962" t="s">
        <v>18958</v>
      </c>
      <c r="M1962" t="s">
        <v>18958</v>
      </c>
      <c r="N1962" t="s">
        <v>20438</v>
      </c>
      <c r="O1962" t="s">
        <v>26523</v>
      </c>
      <c r="P1962" t="s">
        <v>26560</v>
      </c>
      <c r="Q1962" t="s">
        <v>26568</v>
      </c>
      <c r="R1962" t="s">
        <v>26590</v>
      </c>
      <c r="S1962" t="s">
        <v>18959</v>
      </c>
      <c r="U1962" t="s">
        <v>26604</v>
      </c>
      <c r="V1962" t="s">
        <v>26610</v>
      </c>
      <c r="W1962" t="s">
        <v>582</v>
      </c>
      <c r="X1962">
        <v>0</v>
      </c>
      <c r="Y1962" t="s">
        <v>26654</v>
      </c>
      <c r="Z1962" t="s">
        <v>26668</v>
      </c>
      <c r="AA1962" t="s">
        <v>26678</v>
      </c>
      <c r="AB1962" t="s">
        <v>28439</v>
      </c>
      <c r="AD1962" t="s">
        <v>38494</v>
      </c>
      <c r="AE1962">
        <v>2</v>
      </c>
      <c r="AG1962" t="s">
        <v>45556</v>
      </c>
      <c r="AH1962">
        <v>4</v>
      </c>
      <c r="AI1962">
        <v>1</v>
      </c>
      <c r="AJ1962">
        <v>1</v>
      </c>
      <c r="AK1962">
        <v>78.59</v>
      </c>
      <c r="AO1962">
        <v>12936</v>
      </c>
      <c r="AS1962" t="s">
        <v>46499</v>
      </c>
      <c r="AT1962" t="s">
        <v>46698</v>
      </c>
      <c r="AU1962">
        <v>11.75</v>
      </c>
      <c r="AV1962" t="s">
        <v>704</v>
      </c>
      <c r="AW1962" t="s">
        <v>190</v>
      </c>
    </row>
    <row r="1963" spans="1:49">
      <c r="A1963" s="1">
        <f>HYPERLINK("https://lsnyc.legalserver.org/matter/dynamic-profile/view/1878372","18-1878372")</f>
        <v>0</v>
      </c>
      <c r="B1963" t="s">
        <v>64</v>
      </c>
      <c r="C1963" t="s">
        <v>341</v>
      </c>
      <c r="D1963" t="s">
        <v>582</v>
      </c>
      <c r="E1963" t="s">
        <v>766</v>
      </c>
      <c r="F1963" t="s">
        <v>2036</v>
      </c>
      <c r="G1963" t="s">
        <v>6211</v>
      </c>
      <c r="H1963" t="s">
        <v>11246</v>
      </c>
      <c r="I1963" t="s">
        <v>17750</v>
      </c>
      <c r="J1963" t="s">
        <v>18892</v>
      </c>
      <c r="K1963">
        <v>10467</v>
      </c>
      <c r="L1963" t="s">
        <v>18958</v>
      </c>
      <c r="M1963" t="s">
        <v>18958</v>
      </c>
      <c r="N1963" t="s">
        <v>20439</v>
      </c>
      <c r="O1963" t="s">
        <v>26524</v>
      </c>
      <c r="P1963" t="s">
        <v>26560</v>
      </c>
      <c r="Q1963" t="s">
        <v>26568</v>
      </c>
      <c r="R1963" t="s">
        <v>26579</v>
      </c>
      <c r="U1963" t="s">
        <v>26604</v>
      </c>
      <c r="V1963" t="s">
        <v>26610</v>
      </c>
      <c r="W1963" t="s">
        <v>582</v>
      </c>
      <c r="X1963">
        <v>1300</v>
      </c>
      <c r="Y1963" t="s">
        <v>26650</v>
      </c>
      <c r="Z1963" t="s">
        <v>26668</v>
      </c>
      <c r="AA1963" t="s">
        <v>26679</v>
      </c>
      <c r="AB1963" t="s">
        <v>28440</v>
      </c>
      <c r="AD1963" t="s">
        <v>34738</v>
      </c>
      <c r="AE1963">
        <v>3</v>
      </c>
      <c r="AF1963" t="s">
        <v>45547</v>
      </c>
      <c r="AG1963" t="s">
        <v>19330</v>
      </c>
      <c r="AH1963">
        <v>5</v>
      </c>
      <c r="AI1963">
        <v>4</v>
      </c>
      <c r="AJ1963">
        <v>1</v>
      </c>
      <c r="AK1963">
        <v>150.24</v>
      </c>
      <c r="AN1963" t="s">
        <v>45581</v>
      </c>
      <c r="AO1963">
        <v>44200</v>
      </c>
      <c r="AQ1963" t="s">
        <v>46364</v>
      </c>
      <c r="AR1963" t="s">
        <v>46418</v>
      </c>
      <c r="AS1963" t="s">
        <v>46500</v>
      </c>
      <c r="AT1963" t="s">
        <v>46726</v>
      </c>
      <c r="AU1963">
        <v>9.1</v>
      </c>
      <c r="AV1963" t="s">
        <v>762</v>
      </c>
      <c r="AW1963" t="s">
        <v>46831</v>
      </c>
    </row>
    <row r="1964" spans="1:49">
      <c r="A1964" s="1">
        <f>HYPERLINK("https://lsnyc.legalserver.org/matter/dynamic-profile/view/1878377","18-1878377")</f>
        <v>0</v>
      </c>
      <c r="B1964" t="s">
        <v>249</v>
      </c>
      <c r="C1964" t="s">
        <v>341</v>
      </c>
      <c r="D1964" t="s">
        <v>582</v>
      </c>
      <c r="E1964" t="s">
        <v>529</v>
      </c>
      <c r="F1964" t="s">
        <v>2037</v>
      </c>
      <c r="G1964" t="s">
        <v>5088</v>
      </c>
      <c r="H1964" t="s">
        <v>11247</v>
      </c>
      <c r="I1964" t="s">
        <v>17751</v>
      </c>
      <c r="J1964" t="s">
        <v>18893</v>
      </c>
      <c r="K1964">
        <v>10034</v>
      </c>
      <c r="L1964" t="s">
        <v>18958</v>
      </c>
      <c r="M1964" t="s">
        <v>18958</v>
      </c>
      <c r="O1964" t="s">
        <v>18997</v>
      </c>
      <c r="P1964" t="s">
        <v>26564</v>
      </c>
      <c r="Q1964" t="s">
        <v>26570</v>
      </c>
      <c r="R1964" t="s">
        <v>26589</v>
      </c>
      <c r="S1964" t="s">
        <v>18959</v>
      </c>
      <c r="U1964" t="s">
        <v>26604</v>
      </c>
      <c r="V1964" t="s">
        <v>26610</v>
      </c>
      <c r="W1964" t="s">
        <v>582</v>
      </c>
      <c r="X1964">
        <v>1300</v>
      </c>
      <c r="Y1964" t="s">
        <v>26651</v>
      </c>
      <c r="Z1964" t="s">
        <v>26671</v>
      </c>
      <c r="AA1964" t="s">
        <v>26683</v>
      </c>
      <c r="AB1964" t="s">
        <v>28441</v>
      </c>
      <c r="AD1964" t="s">
        <v>38495</v>
      </c>
      <c r="AE1964">
        <v>20</v>
      </c>
      <c r="AF1964" t="s">
        <v>45548</v>
      </c>
      <c r="AG1964" t="s">
        <v>19330</v>
      </c>
      <c r="AH1964">
        <v>2</v>
      </c>
      <c r="AI1964">
        <v>2</v>
      </c>
      <c r="AJ1964">
        <v>0</v>
      </c>
      <c r="AK1964">
        <v>321.99</v>
      </c>
      <c r="AL1964" t="s">
        <v>45567</v>
      </c>
      <c r="AM1964" t="s">
        <v>45577</v>
      </c>
      <c r="AN1964" t="s">
        <v>7439</v>
      </c>
      <c r="AO1964">
        <v>53000</v>
      </c>
      <c r="AU1964">
        <v>1</v>
      </c>
      <c r="AV1964" t="s">
        <v>540</v>
      </c>
      <c r="AW1964" t="s">
        <v>249</v>
      </c>
    </row>
    <row r="1965" spans="1:49">
      <c r="A1965" s="1">
        <f>HYPERLINK("https://lsnyc.legalserver.org/matter/dynamic-profile/view/1878320","18-1878320")</f>
        <v>0</v>
      </c>
      <c r="B1965" t="s">
        <v>65</v>
      </c>
      <c r="C1965" t="s">
        <v>341</v>
      </c>
      <c r="D1965" t="s">
        <v>582</v>
      </c>
      <c r="E1965" t="s">
        <v>857</v>
      </c>
      <c r="F1965" t="s">
        <v>1191</v>
      </c>
      <c r="G1965" t="s">
        <v>5935</v>
      </c>
      <c r="H1965" t="s">
        <v>11248</v>
      </c>
      <c r="I1965" t="s">
        <v>17361</v>
      </c>
      <c r="J1965" t="s">
        <v>18892</v>
      </c>
      <c r="K1965">
        <v>10467</v>
      </c>
      <c r="L1965" t="s">
        <v>18958</v>
      </c>
      <c r="M1965" t="s">
        <v>18958</v>
      </c>
      <c r="N1965" t="s">
        <v>20440</v>
      </c>
      <c r="O1965" t="s">
        <v>26523</v>
      </c>
      <c r="P1965" t="s">
        <v>26560</v>
      </c>
      <c r="Q1965" t="s">
        <v>26568</v>
      </c>
      <c r="R1965" t="s">
        <v>26579</v>
      </c>
      <c r="U1965" t="s">
        <v>26604</v>
      </c>
      <c r="V1965" t="s">
        <v>26609</v>
      </c>
      <c r="W1965" t="s">
        <v>582</v>
      </c>
      <c r="X1965">
        <v>1414.63</v>
      </c>
      <c r="Y1965" t="s">
        <v>26650</v>
      </c>
      <c r="Z1965" t="s">
        <v>26674</v>
      </c>
      <c r="AA1965" t="s">
        <v>26678</v>
      </c>
      <c r="AB1965" t="s">
        <v>28442</v>
      </c>
      <c r="AC1965" t="s">
        <v>35087</v>
      </c>
      <c r="AD1965" t="s">
        <v>38496</v>
      </c>
      <c r="AE1965">
        <v>50</v>
      </c>
      <c r="AF1965" t="s">
        <v>45541</v>
      </c>
      <c r="AG1965" t="s">
        <v>45556</v>
      </c>
      <c r="AH1965">
        <v>8</v>
      </c>
      <c r="AI1965">
        <v>1</v>
      </c>
      <c r="AJ1965">
        <v>0</v>
      </c>
      <c r="AK1965">
        <v>53.54</v>
      </c>
      <c r="AN1965" t="s">
        <v>7439</v>
      </c>
      <c r="AO1965">
        <v>6500</v>
      </c>
      <c r="AQ1965" t="s">
        <v>46362</v>
      </c>
      <c r="AR1965" t="s">
        <v>46385</v>
      </c>
      <c r="AS1965" t="s">
        <v>46499</v>
      </c>
      <c r="AT1965" t="s">
        <v>46607</v>
      </c>
      <c r="AU1965">
        <v>17.4</v>
      </c>
      <c r="AV1965" t="s">
        <v>780</v>
      </c>
      <c r="AW1965" t="s">
        <v>46842</v>
      </c>
    </row>
    <row r="1966" spans="1:49">
      <c r="A1966" s="1">
        <f>HYPERLINK("https://lsnyc.legalserver.org/matter/dynamic-profile/view/1877693","18-1877693")</f>
        <v>0</v>
      </c>
      <c r="B1966" t="s">
        <v>103</v>
      </c>
      <c r="C1966" t="s">
        <v>341</v>
      </c>
      <c r="D1966" t="s">
        <v>582</v>
      </c>
      <c r="E1966" t="s">
        <v>735</v>
      </c>
      <c r="F1966" t="s">
        <v>1232</v>
      </c>
      <c r="G1966" t="s">
        <v>3283</v>
      </c>
      <c r="H1966" t="s">
        <v>11249</v>
      </c>
      <c r="J1966" t="s">
        <v>18902</v>
      </c>
      <c r="K1966">
        <v>10304</v>
      </c>
      <c r="L1966" t="s">
        <v>18958</v>
      </c>
      <c r="M1966" t="s">
        <v>18958</v>
      </c>
      <c r="N1966" t="s">
        <v>20441</v>
      </c>
      <c r="O1966" t="s">
        <v>26524</v>
      </c>
      <c r="P1966" t="s">
        <v>26560</v>
      </c>
      <c r="Q1966" t="s">
        <v>26568</v>
      </c>
      <c r="R1966" t="s">
        <v>26578</v>
      </c>
      <c r="S1966" t="s">
        <v>18959</v>
      </c>
      <c r="U1966" t="s">
        <v>26604</v>
      </c>
      <c r="V1966" t="s">
        <v>26610</v>
      </c>
      <c r="W1966" t="s">
        <v>582</v>
      </c>
      <c r="X1966">
        <v>2250</v>
      </c>
      <c r="Y1966" t="s">
        <v>26654</v>
      </c>
      <c r="Z1966" t="s">
        <v>26530</v>
      </c>
      <c r="AA1966" t="s">
        <v>26679</v>
      </c>
      <c r="AB1966" t="s">
        <v>28443</v>
      </c>
      <c r="AD1966" t="s">
        <v>38497</v>
      </c>
      <c r="AE1966">
        <v>2</v>
      </c>
      <c r="AF1966" t="s">
        <v>45547</v>
      </c>
      <c r="AG1966" t="s">
        <v>45556</v>
      </c>
      <c r="AH1966">
        <v>6</v>
      </c>
      <c r="AI1966">
        <v>1</v>
      </c>
      <c r="AJ1966">
        <v>2</v>
      </c>
      <c r="AK1966">
        <v>144.37</v>
      </c>
      <c r="AN1966" t="s">
        <v>7439</v>
      </c>
      <c r="AO1966">
        <v>30000</v>
      </c>
      <c r="AQ1966" t="s">
        <v>46362</v>
      </c>
      <c r="AR1966" t="s">
        <v>26530</v>
      </c>
      <c r="AS1966" t="s">
        <v>46500</v>
      </c>
      <c r="AT1966" t="s">
        <v>46506</v>
      </c>
      <c r="AU1966">
        <v>8.9</v>
      </c>
      <c r="AV1966" t="s">
        <v>735</v>
      </c>
      <c r="AW1966" t="s">
        <v>190</v>
      </c>
    </row>
    <row r="1967" spans="1:49">
      <c r="A1967" s="1">
        <f>HYPERLINK("https://lsnyc.legalserver.org/matter/dynamic-profile/view/1878318","18-1878318")</f>
        <v>0</v>
      </c>
      <c r="B1967" t="s">
        <v>80</v>
      </c>
      <c r="C1967" t="s">
        <v>341</v>
      </c>
      <c r="D1967" t="s">
        <v>582</v>
      </c>
      <c r="E1967" t="s">
        <v>624</v>
      </c>
      <c r="F1967" t="s">
        <v>899</v>
      </c>
      <c r="G1967" t="s">
        <v>6212</v>
      </c>
      <c r="H1967" t="s">
        <v>11250</v>
      </c>
      <c r="I1967" t="s">
        <v>17752</v>
      </c>
      <c r="J1967" t="s">
        <v>18893</v>
      </c>
      <c r="K1967">
        <v>10037</v>
      </c>
      <c r="L1967" t="s">
        <v>18958</v>
      </c>
      <c r="M1967" t="s">
        <v>18958</v>
      </c>
      <c r="N1967" t="s">
        <v>20442</v>
      </c>
      <c r="O1967" t="s">
        <v>26523</v>
      </c>
      <c r="P1967" t="s">
        <v>26564</v>
      </c>
      <c r="Q1967" t="s">
        <v>26570</v>
      </c>
      <c r="R1967" t="s">
        <v>26578</v>
      </c>
      <c r="S1967" t="s">
        <v>18959</v>
      </c>
      <c r="U1967" t="s">
        <v>26604</v>
      </c>
      <c r="V1967" t="s">
        <v>26610</v>
      </c>
      <c r="W1967" t="s">
        <v>582</v>
      </c>
      <c r="X1967">
        <v>1208.75</v>
      </c>
      <c r="Y1967" t="s">
        <v>26651</v>
      </c>
      <c r="Z1967" t="s">
        <v>26530</v>
      </c>
      <c r="AA1967" t="s">
        <v>26683</v>
      </c>
      <c r="AB1967" t="s">
        <v>28444</v>
      </c>
      <c r="AD1967" t="s">
        <v>38498</v>
      </c>
      <c r="AE1967">
        <v>0</v>
      </c>
      <c r="AF1967" t="s">
        <v>45550</v>
      </c>
      <c r="AG1967" t="s">
        <v>19330</v>
      </c>
      <c r="AH1967">
        <v>6</v>
      </c>
      <c r="AI1967">
        <v>1</v>
      </c>
      <c r="AJ1967">
        <v>0</v>
      </c>
      <c r="AK1967">
        <v>0</v>
      </c>
      <c r="AN1967" t="s">
        <v>7439</v>
      </c>
      <c r="AO1967">
        <v>0</v>
      </c>
      <c r="AU1967">
        <v>0.1</v>
      </c>
      <c r="AV1967" t="s">
        <v>624</v>
      </c>
      <c r="AW1967" t="s">
        <v>46835</v>
      </c>
    </row>
    <row r="1968" spans="1:49">
      <c r="A1968" s="1">
        <f>HYPERLINK("https://lsnyc.legalserver.org/matter/dynamic-profile/view/1878311","18-1878311")</f>
        <v>0</v>
      </c>
      <c r="B1968" t="s">
        <v>133</v>
      </c>
      <c r="C1968" t="s">
        <v>340</v>
      </c>
      <c r="D1968" t="s">
        <v>582</v>
      </c>
      <c r="F1968" t="s">
        <v>1297</v>
      </c>
      <c r="G1968" t="s">
        <v>5785</v>
      </c>
      <c r="H1968" t="s">
        <v>11251</v>
      </c>
      <c r="I1968" t="s">
        <v>17330</v>
      </c>
      <c r="J1968" t="s">
        <v>18892</v>
      </c>
      <c r="K1968">
        <v>10468</v>
      </c>
      <c r="L1968" t="s">
        <v>18958</v>
      </c>
      <c r="M1968" t="s">
        <v>18958</v>
      </c>
      <c r="N1968" t="s">
        <v>20443</v>
      </c>
      <c r="O1968" t="s">
        <v>26524</v>
      </c>
      <c r="P1968" t="s">
        <v>26560</v>
      </c>
      <c r="R1968" t="s">
        <v>26579</v>
      </c>
      <c r="U1968" t="s">
        <v>26604</v>
      </c>
      <c r="V1968" t="s">
        <v>26610</v>
      </c>
      <c r="W1968" t="s">
        <v>582</v>
      </c>
      <c r="X1968">
        <v>904.5</v>
      </c>
      <c r="Y1968" t="s">
        <v>26650</v>
      </c>
      <c r="Z1968" t="s">
        <v>26668</v>
      </c>
      <c r="AB1968" t="s">
        <v>28445</v>
      </c>
      <c r="AC1968" t="s">
        <v>35088</v>
      </c>
      <c r="AD1968" t="s">
        <v>38499</v>
      </c>
      <c r="AE1968">
        <v>0</v>
      </c>
      <c r="AF1968" t="s">
        <v>45541</v>
      </c>
      <c r="AG1968" t="s">
        <v>45556</v>
      </c>
      <c r="AH1968">
        <v>15</v>
      </c>
      <c r="AI1968">
        <v>1</v>
      </c>
      <c r="AJ1968">
        <v>0</v>
      </c>
      <c r="AK1968">
        <v>19.77</v>
      </c>
      <c r="AN1968" t="s">
        <v>7439</v>
      </c>
      <c r="AO1968">
        <v>2400</v>
      </c>
      <c r="AU1968">
        <v>40.15</v>
      </c>
      <c r="AV1968" t="s">
        <v>826</v>
      </c>
      <c r="AW1968" t="s">
        <v>334</v>
      </c>
    </row>
    <row r="1969" spans="1:50">
      <c r="A1969" s="1">
        <f>HYPERLINK("https://lsnyc.legalserver.org/matter/dynamic-profile/view/1878345","18-1878345")</f>
        <v>0</v>
      </c>
      <c r="B1969" t="s">
        <v>191</v>
      </c>
      <c r="C1969" t="s">
        <v>340</v>
      </c>
      <c r="D1969" t="s">
        <v>582</v>
      </c>
      <c r="F1969" t="s">
        <v>1923</v>
      </c>
      <c r="G1969" t="s">
        <v>6213</v>
      </c>
      <c r="H1969" t="s">
        <v>11252</v>
      </c>
      <c r="I1969" t="s">
        <v>17378</v>
      </c>
      <c r="J1969" t="s">
        <v>18893</v>
      </c>
      <c r="K1969">
        <v>10024</v>
      </c>
      <c r="L1969" t="s">
        <v>18958</v>
      </c>
      <c r="M1969" t="s">
        <v>18960</v>
      </c>
      <c r="N1969" t="s">
        <v>20444</v>
      </c>
      <c r="O1969" t="s">
        <v>26523</v>
      </c>
      <c r="P1969" t="s">
        <v>26560</v>
      </c>
      <c r="R1969" t="s">
        <v>26578</v>
      </c>
      <c r="S1969" t="s">
        <v>18959</v>
      </c>
      <c r="U1969" t="s">
        <v>26604</v>
      </c>
      <c r="W1969" t="s">
        <v>582</v>
      </c>
      <c r="X1969">
        <v>1344</v>
      </c>
      <c r="Y1969" t="s">
        <v>26651</v>
      </c>
      <c r="Z1969" t="s">
        <v>26661</v>
      </c>
      <c r="AB1969" t="s">
        <v>28446</v>
      </c>
      <c r="AD1969" t="s">
        <v>38500</v>
      </c>
      <c r="AE1969">
        <v>64</v>
      </c>
      <c r="AF1969" t="s">
        <v>45541</v>
      </c>
      <c r="AG1969" t="s">
        <v>26530</v>
      </c>
      <c r="AH1969">
        <v>38</v>
      </c>
      <c r="AI1969">
        <v>1</v>
      </c>
      <c r="AJ1969">
        <v>0</v>
      </c>
      <c r="AK1969">
        <v>0</v>
      </c>
      <c r="AN1969" t="s">
        <v>7439</v>
      </c>
      <c r="AO1969">
        <v>0</v>
      </c>
      <c r="AU1969">
        <v>76.5</v>
      </c>
      <c r="AV1969" t="s">
        <v>766</v>
      </c>
      <c r="AW1969" t="s">
        <v>46835</v>
      </c>
    </row>
    <row r="1970" spans="1:50">
      <c r="A1970" s="1">
        <f>HYPERLINK("https://lsnyc.legalserver.org/matter/dynamic-profile/view/1878313","18-1878313")</f>
        <v>0</v>
      </c>
      <c r="B1970" t="s">
        <v>191</v>
      </c>
      <c r="C1970" t="s">
        <v>340</v>
      </c>
      <c r="D1970" t="s">
        <v>582</v>
      </c>
      <c r="F1970" t="s">
        <v>1106</v>
      </c>
      <c r="G1970" t="s">
        <v>6214</v>
      </c>
      <c r="H1970" t="s">
        <v>11253</v>
      </c>
      <c r="I1970" t="s">
        <v>17597</v>
      </c>
      <c r="J1970" t="s">
        <v>18893</v>
      </c>
      <c r="K1970">
        <v>10128</v>
      </c>
      <c r="L1970" t="s">
        <v>18958</v>
      </c>
      <c r="M1970" t="s">
        <v>18958</v>
      </c>
      <c r="N1970" t="s">
        <v>20445</v>
      </c>
      <c r="O1970" t="s">
        <v>26523</v>
      </c>
      <c r="P1970" t="s">
        <v>26564</v>
      </c>
      <c r="R1970" t="s">
        <v>26578</v>
      </c>
      <c r="S1970" t="s">
        <v>18959</v>
      </c>
      <c r="U1970" t="s">
        <v>26604</v>
      </c>
      <c r="W1970" t="s">
        <v>582</v>
      </c>
      <c r="X1970">
        <v>1741.4</v>
      </c>
      <c r="Y1970" t="s">
        <v>26651</v>
      </c>
      <c r="Z1970" t="s">
        <v>26530</v>
      </c>
      <c r="AB1970" t="s">
        <v>28447</v>
      </c>
      <c r="AD1970" t="s">
        <v>38501</v>
      </c>
      <c r="AE1970">
        <v>20</v>
      </c>
      <c r="AF1970" t="s">
        <v>45541</v>
      </c>
      <c r="AG1970" t="s">
        <v>19330</v>
      </c>
      <c r="AH1970">
        <v>28</v>
      </c>
      <c r="AI1970">
        <v>1</v>
      </c>
      <c r="AJ1970">
        <v>0</v>
      </c>
      <c r="AK1970">
        <v>184.18</v>
      </c>
      <c r="AN1970" t="s">
        <v>7439</v>
      </c>
      <c r="AO1970">
        <v>22360</v>
      </c>
      <c r="AU1970">
        <v>1.8</v>
      </c>
      <c r="AV1970" t="s">
        <v>589</v>
      </c>
      <c r="AW1970" t="s">
        <v>46835</v>
      </c>
    </row>
    <row r="1971" spans="1:50">
      <c r="A1971" s="1">
        <f>HYPERLINK("https://lsnyc.legalserver.org/matter/dynamic-profile/view/1878339","18-1878339")</f>
        <v>0</v>
      </c>
      <c r="B1971" t="s">
        <v>50</v>
      </c>
      <c r="C1971" t="s">
        <v>340</v>
      </c>
      <c r="D1971" t="s">
        <v>582</v>
      </c>
      <c r="F1971" t="s">
        <v>1002</v>
      </c>
      <c r="G1971" t="s">
        <v>5121</v>
      </c>
      <c r="H1971" t="s">
        <v>9762</v>
      </c>
      <c r="I1971" t="s">
        <v>17753</v>
      </c>
      <c r="J1971" t="s">
        <v>18892</v>
      </c>
      <c r="K1971">
        <v>10467</v>
      </c>
      <c r="L1971" t="s">
        <v>18958</v>
      </c>
      <c r="M1971" t="s">
        <v>18958</v>
      </c>
      <c r="N1971" t="s">
        <v>20446</v>
      </c>
      <c r="O1971" t="s">
        <v>26524</v>
      </c>
      <c r="P1971" t="s">
        <v>26560</v>
      </c>
      <c r="R1971" t="s">
        <v>26579</v>
      </c>
      <c r="S1971" t="s">
        <v>18959</v>
      </c>
      <c r="U1971" t="s">
        <v>26604</v>
      </c>
      <c r="V1971" t="s">
        <v>26610</v>
      </c>
      <c r="W1971" t="s">
        <v>582</v>
      </c>
      <c r="X1971">
        <v>900</v>
      </c>
      <c r="Y1971" t="s">
        <v>26650</v>
      </c>
      <c r="Z1971" t="s">
        <v>26659</v>
      </c>
      <c r="AB1971" t="s">
        <v>26845</v>
      </c>
      <c r="AC1971" t="s">
        <v>35089</v>
      </c>
      <c r="AD1971" t="s">
        <v>36943</v>
      </c>
      <c r="AE1971">
        <v>49</v>
      </c>
      <c r="AF1971" t="s">
        <v>45545</v>
      </c>
      <c r="AG1971" t="s">
        <v>19330</v>
      </c>
      <c r="AH1971">
        <v>10</v>
      </c>
      <c r="AI1971">
        <v>3</v>
      </c>
      <c r="AJ1971">
        <v>0</v>
      </c>
      <c r="AK1971">
        <v>52.94</v>
      </c>
      <c r="AN1971" t="s">
        <v>45581</v>
      </c>
      <c r="AO1971">
        <v>11000</v>
      </c>
      <c r="AU1971">
        <v>45.85</v>
      </c>
      <c r="AV1971" t="s">
        <v>720</v>
      </c>
      <c r="AW1971" t="s">
        <v>46831</v>
      </c>
    </row>
    <row r="1972" spans="1:50">
      <c r="A1972" s="1">
        <f>HYPERLINK("https://lsnyc.legalserver.org/matter/dynamic-profile/view/1880111","18-1880111")</f>
        <v>0</v>
      </c>
      <c r="B1972" t="s">
        <v>138</v>
      </c>
      <c r="C1972" t="s">
        <v>341</v>
      </c>
      <c r="D1972" t="s">
        <v>413</v>
      </c>
      <c r="E1972" t="s">
        <v>797</v>
      </c>
      <c r="F1972" t="s">
        <v>1022</v>
      </c>
      <c r="G1972" t="s">
        <v>6215</v>
      </c>
      <c r="H1972" t="s">
        <v>11254</v>
      </c>
      <c r="I1972">
        <v>606</v>
      </c>
      <c r="J1972" t="s">
        <v>18893</v>
      </c>
      <c r="K1972">
        <v>10029</v>
      </c>
      <c r="L1972" t="s">
        <v>18958</v>
      </c>
      <c r="M1972" t="s">
        <v>18958</v>
      </c>
      <c r="N1972" t="s">
        <v>20447</v>
      </c>
      <c r="O1972" t="s">
        <v>26523</v>
      </c>
      <c r="P1972" t="s">
        <v>26560</v>
      </c>
      <c r="Q1972" t="s">
        <v>26568</v>
      </c>
      <c r="R1972" t="s">
        <v>26578</v>
      </c>
      <c r="S1972" t="s">
        <v>18959</v>
      </c>
      <c r="U1972" t="s">
        <v>26604</v>
      </c>
      <c r="V1972" t="s">
        <v>26609</v>
      </c>
      <c r="W1972" t="s">
        <v>582</v>
      </c>
      <c r="X1972">
        <v>554</v>
      </c>
      <c r="Y1972" t="s">
        <v>26651</v>
      </c>
      <c r="Z1972" t="s">
        <v>26655</v>
      </c>
      <c r="AA1972" t="s">
        <v>26678</v>
      </c>
      <c r="AB1972" t="s">
        <v>28448</v>
      </c>
      <c r="AD1972" t="s">
        <v>38502</v>
      </c>
      <c r="AE1972">
        <v>108</v>
      </c>
      <c r="AF1972" t="s">
        <v>45543</v>
      </c>
      <c r="AG1972" t="s">
        <v>45556</v>
      </c>
      <c r="AH1972">
        <v>23</v>
      </c>
      <c r="AI1972">
        <v>1</v>
      </c>
      <c r="AJ1972">
        <v>0</v>
      </c>
      <c r="AK1972">
        <v>222.73</v>
      </c>
      <c r="AL1972" t="s">
        <v>662</v>
      </c>
      <c r="AM1972" t="s">
        <v>45575</v>
      </c>
      <c r="AN1972" t="s">
        <v>45581</v>
      </c>
      <c r="AO1972">
        <v>27040</v>
      </c>
      <c r="AR1972" t="s">
        <v>46449</v>
      </c>
      <c r="AS1972" t="s">
        <v>46499</v>
      </c>
      <c r="AT1972" t="s">
        <v>46557</v>
      </c>
      <c r="AU1972">
        <v>8.25</v>
      </c>
      <c r="AV1972" t="s">
        <v>751</v>
      </c>
      <c r="AW1972" t="s">
        <v>46835</v>
      </c>
      <c r="AX1972" t="s">
        <v>46897</v>
      </c>
    </row>
    <row r="1973" spans="1:50">
      <c r="A1973" s="1">
        <f>HYPERLINK("https://lsnyc.legalserver.org/matter/dynamic-profile/view/1887898","19-1887898")</f>
        <v>0</v>
      </c>
      <c r="B1973" t="s">
        <v>88</v>
      </c>
      <c r="C1973" t="s">
        <v>341</v>
      </c>
      <c r="D1973" t="s">
        <v>573</v>
      </c>
      <c r="E1973" t="s">
        <v>782</v>
      </c>
      <c r="F1973" t="s">
        <v>1839</v>
      </c>
      <c r="G1973" t="s">
        <v>5115</v>
      </c>
      <c r="H1973" t="s">
        <v>10516</v>
      </c>
      <c r="I1973" t="s">
        <v>17316</v>
      </c>
      <c r="J1973" t="s">
        <v>18894</v>
      </c>
      <c r="K1973">
        <v>11213</v>
      </c>
      <c r="L1973" t="s">
        <v>18958</v>
      </c>
      <c r="M1973" t="s">
        <v>18958</v>
      </c>
      <c r="O1973" t="s">
        <v>26531</v>
      </c>
      <c r="P1973" t="s">
        <v>26565</v>
      </c>
      <c r="Q1973" t="s">
        <v>26571</v>
      </c>
      <c r="R1973" t="s">
        <v>26578</v>
      </c>
      <c r="S1973" t="s">
        <v>18958</v>
      </c>
      <c r="U1973" t="s">
        <v>26604</v>
      </c>
      <c r="W1973" t="s">
        <v>582</v>
      </c>
      <c r="X1973">
        <v>643.51</v>
      </c>
      <c r="Y1973" t="s">
        <v>26652</v>
      </c>
      <c r="Z1973" t="s">
        <v>26530</v>
      </c>
      <c r="AA1973" t="s">
        <v>26685</v>
      </c>
      <c r="AB1973" t="s">
        <v>28103</v>
      </c>
      <c r="AD1973" t="s">
        <v>38155</v>
      </c>
      <c r="AE1973">
        <v>19</v>
      </c>
      <c r="AF1973" t="s">
        <v>45541</v>
      </c>
      <c r="AG1973" t="s">
        <v>19330</v>
      </c>
      <c r="AH1973">
        <v>7</v>
      </c>
      <c r="AI1973">
        <v>2</v>
      </c>
      <c r="AJ1973">
        <v>2</v>
      </c>
      <c r="AK1973">
        <v>40.64</v>
      </c>
      <c r="AN1973" t="s">
        <v>7439</v>
      </c>
      <c r="AO1973">
        <v>10200</v>
      </c>
      <c r="AU1973">
        <v>0.08</v>
      </c>
      <c r="AV1973" t="s">
        <v>573</v>
      </c>
      <c r="AW1973" t="s">
        <v>286</v>
      </c>
    </row>
    <row r="1974" spans="1:50">
      <c r="A1974" s="1">
        <f>HYPERLINK("https://lsnyc.legalserver.org/matter/dynamic-profile/view/1887903","19-1887903")</f>
        <v>0</v>
      </c>
      <c r="B1974" t="s">
        <v>88</v>
      </c>
      <c r="C1974" t="s">
        <v>340</v>
      </c>
      <c r="D1974" t="s">
        <v>573</v>
      </c>
      <c r="F1974" t="s">
        <v>1839</v>
      </c>
      <c r="G1974" t="s">
        <v>5115</v>
      </c>
      <c r="H1974" t="s">
        <v>10516</v>
      </c>
      <c r="I1974" t="s">
        <v>17316</v>
      </c>
      <c r="J1974" t="s">
        <v>18894</v>
      </c>
      <c r="K1974">
        <v>11213</v>
      </c>
      <c r="L1974" t="s">
        <v>18958</v>
      </c>
      <c r="M1974" t="s">
        <v>18958</v>
      </c>
      <c r="N1974" t="s">
        <v>19744</v>
      </c>
      <c r="O1974" t="s">
        <v>26526</v>
      </c>
      <c r="P1974" t="s">
        <v>26560</v>
      </c>
      <c r="R1974" t="s">
        <v>26578</v>
      </c>
      <c r="S1974" t="s">
        <v>18958</v>
      </c>
      <c r="U1974" t="s">
        <v>26604</v>
      </c>
      <c r="W1974" t="s">
        <v>582</v>
      </c>
      <c r="X1974">
        <v>643.51</v>
      </c>
      <c r="Y1974" t="s">
        <v>26652</v>
      </c>
      <c r="Z1974" t="s">
        <v>26530</v>
      </c>
      <c r="AB1974" t="s">
        <v>28103</v>
      </c>
      <c r="AD1974" t="s">
        <v>38155</v>
      </c>
      <c r="AE1974">
        <v>19</v>
      </c>
      <c r="AF1974" t="s">
        <v>45541</v>
      </c>
      <c r="AG1974" t="s">
        <v>19330</v>
      </c>
      <c r="AH1974">
        <v>7</v>
      </c>
      <c r="AI1974">
        <v>2</v>
      </c>
      <c r="AJ1974">
        <v>2</v>
      </c>
      <c r="AK1974">
        <v>40.64</v>
      </c>
      <c r="AN1974" t="s">
        <v>7439</v>
      </c>
      <c r="AO1974">
        <v>10200</v>
      </c>
      <c r="AU1974">
        <v>0</v>
      </c>
      <c r="AW1974" t="s">
        <v>286</v>
      </c>
    </row>
    <row r="1975" spans="1:50">
      <c r="A1975" s="1">
        <f>HYPERLINK("https://lsnyc.legalserver.org/matter/dynamic-profile/view/0815528","16-0815528")</f>
        <v>0</v>
      </c>
      <c r="B1975" t="s">
        <v>56</v>
      </c>
      <c r="C1975" t="s">
        <v>340</v>
      </c>
      <c r="D1975" t="s">
        <v>601</v>
      </c>
      <c r="F1975" t="s">
        <v>1637</v>
      </c>
      <c r="G1975" t="s">
        <v>6216</v>
      </c>
      <c r="H1975" t="s">
        <v>11255</v>
      </c>
      <c r="J1975" t="s">
        <v>18892</v>
      </c>
      <c r="K1975">
        <v>10470</v>
      </c>
      <c r="L1975" t="s">
        <v>18958</v>
      </c>
      <c r="M1975" t="s">
        <v>18960</v>
      </c>
      <c r="N1975" t="s">
        <v>20448</v>
      </c>
      <c r="O1975" t="s">
        <v>26523</v>
      </c>
      <c r="P1975" t="s">
        <v>26560</v>
      </c>
      <c r="R1975" t="s">
        <v>26577</v>
      </c>
      <c r="U1975" t="s">
        <v>26604</v>
      </c>
      <c r="V1975" t="s">
        <v>26612</v>
      </c>
      <c r="W1975" t="s">
        <v>26627</v>
      </c>
      <c r="X1975">
        <v>1050</v>
      </c>
      <c r="Y1975" t="s">
        <v>26650</v>
      </c>
      <c r="Z1975" t="s">
        <v>26660</v>
      </c>
      <c r="AA1975" t="s">
        <v>26683</v>
      </c>
      <c r="AB1975" t="s">
        <v>28449</v>
      </c>
      <c r="AD1975" t="s">
        <v>38503</v>
      </c>
      <c r="AE1975">
        <v>0</v>
      </c>
      <c r="AF1975" t="s">
        <v>45541</v>
      </c>
      <c r="AH1975">
        <v>2</v>
      </c>
      <c r="AI1975">
        <v>1</v>
      </c>
      <c r="AJ1975">
        <v>0</v>
      </c>
      <c r="AK1975">
        <v>45.96</v>
      </c>
      <c r="AN1975" t="s">
        <v>7439</v>
      </c>
      <c r="AO1975">
        <v>5460</v>
      </c>
      <c r="AP1975" t="s">
        <v>45617</v>
      </c>
      <c r="AU1975">
        <v>34</v>
      </c>
      <c r="AV1975" t="s">
        <v>690</v>
      </c>
      <c r="AW1975" t="s">
        <v>46837</v>
      </c>
    </row>
    <row r="1976" spans="1:50">
      <c r="A1976" s="1">
        <f>HYPERLINK("https://lsnyc.legalserver.org/matter/dynamic-profile/view/1874444","18-1874444")</f>
        <v>0</v>
      </c>
      <c r="B1976" t="s">
        <v>232</v>
      </c>
      <c r="C1976" t="s">
        <v>340</v>
      </c>
      <c r="D1976" t="s">
        <v>498</v>
      </c>
      <c r="F1976" t="s">
        <v>2038</v>
      </c>
      <c r="G1976" t="s">
        <v>5121</v>
      </c>
      <c r="H1976" t="s">
        <v>11256</v>
      </c>
      <c r="I1976">
        <v>339</v>
      </c>
      <c r="J1976" t="s">
        <v>18894</v>
      </c>
      <c r="K1976">
        <v>11224</v>
      </c>
      <c r="L1976" t="s">
        <v>18958</v>
      </c>
      <c r="M1976" t="s">
        <v>18958</v>
      </c>
      <c r="N1976" t="s">
        <v>20449</v>
      </c>
      <c r="O1976" t="s">
        <v>26524</v>
      </c>
      <c r="P1976" t="s">
        <v>26560</v>
      </c>
      <c r="R1976" t="s">
        <v>26586</v>
      </c>
      <c r="S1976" t="s">
        <v>18959</v>
      </c>
      <c r="U1976" t="s">
        <v>26604</v>
      </c>
      <c r="V1976" t="s">
        <v>26610</v>
      </c>
      <c r="W1976" t="s">
        <v>589</v>
      </c>
      <c r="X1976">
        <v>1398</v>
      </c>
      <c r="Y1976" t="s">
        <v>26652</v>
      </c>
      <c r="Z1976" t="s">
        <v>26659</v>
      </c>
      <c r="AB1976" t="s">
        <v>28450</v>
      </c>
      <c r="AD1976" t="s">
        <v>38504</v>
      </c>
      <c r="AE1976">
        <v>132</v>
      </c>
      <c r="AF1976" t="s">
        <v>45543</v>
      </c>
      <c r="AG1976" t="s">
        <v>19330</v>
      </c>
      <c r="AH1976">
        <v>30</v>
      </c>
      <c r="AI1976">
        <v>3</v>
      </c>
      <c r="AJ1976">
        <v>2</v>
      </c>
      <c r="AK1976">
        <v>70.7</v>
      </c>
      <c r="AN1976" t="s">
        <v>7439</v>
      </c>
      <c r="AO1976">
        <v>20800</v>
      </c>
      <c r="AU1976">
        <v>29.3</v>
      </c>
      <c r="AV1976" t="s">
        <v>803</v>
      </c>
      <c r="AW1976" t="s">
        <v>46862</v>
      </c>
    </row>
    <row r="1977" spans="1:50">
      <c r="A1977" s="1">
        <f>HYPERLINK("https://lsnyc.legalserver.org/matter/dynamic-profile/view/1875628","18-1875628")</f>
        <v>0</v>
      </c>
      <c r="B1977" t="s">
        <v>227</v>
      </c>
      <c r="C1977" t="s">
        <v>341</v>
      </c>
      <c r="D1977" t="s">
        <v>521</v>
      </c>
      <c r="E1977" t="s">
        <v>589</v>
      </c>
      <c r="F1977" t="s">
        <v>1429</v>
      </c>
      <c r="G1977" t="s">
        <v>6217</v>
      </c>
      <c r="H1977" t="s">
        <v>11257</v>
      </c>
      <c r="I1977" t="s">
        <v>17306</v>
      </c>
      <c r="J1977" t="s">
        <v>18894</v>
      </c>
      <c r="K1977">
        <v>11216</v>
      </c>
      <c r="L1977" t="s">
        <v>18958</v>
      </c>
      <c r="M1977" t="s">
        <v>18958</v>
      </c>
      <c r="N1977" t="s">
        <v>20450</v>
      </c>
      <c r="O1977" t="s">
        <v>26523</v>
      </c>
      <c r="P1977" t="s">
        <v>26560</v>
      </c>
      <c r="Q1977" t="s">
        <v>26568</v>
      </c>
      <c r="R1977" t="s">
        <v>26588</v>
      </c>
      <c r="U1977" t="s">
        <v>26604</v>
      </c>
      <c r="W1977" t="s">
        <v>589</v>
      </c>
      <c r="X1977">
        <v>917.92</v>
      </c>
      <c r="Y1977" t="s">
        <v>26652</v>
      </c>
      <c r="Z1977" t="s">
        <v>26669</v>
      </c>
      <c r="AA1977" t="s">
        <v>26678</v>
      </c>
      <c r="AB1977" t="s">
        <v>28451</v>
      </c>
      <c r="AC1977">
        <v>6004868721</v>
      </c>
      <c r="AD1977" t="s">
        <v>38505</v>
      </c>
      <c r="AE1977">
        <v>16</v>
      </c>
      <c r="AH1977">
        <v>20</v>
      </c>
      <c r="AI1977">
        <v>2</v>
      </c>
      <c r="AJ1977">
        <v>0</v>
      </c>
      <c r="AK1977">
        <v>176.91</v>
      </c>
      <c r="AN1977" t="s">
        <v>7439</v>
      </c>
      <c r="AO1977">
        <v>29120</v>
      </c>
      <c r="AQ1977" t="s">
        <v>46359</v>
      </c>
      <c r="AR1977" t="s">
        <v>46380</v>
      </c>
      <c r="AS1977" t="s">
        <v>46499</v>
      </c>
      <c r="AT1977" t="s">
        <v>46716</v>
      </c>
      <c r="AU1977">
        <v>2.5</v>
      </c>
      <c r="AV1977" t="s">
        <v>582</v>
      </c>
      <c r="AW1977" t="s">
        <v>46862</v>
      </c>
    </row>
    <row r="1978" spans="1:50">
      <c r="A1978" s="1">
        <f>HYPERLINK("https://lsnyc.legalserver.org/matter/dynamic-profile/view/1876037","18-1876037")</f>
        <v>0</v>
      </c>
      <c r="B1978" t="s">
        <v>184</v>
      </c>
      <c r="C1978" t="s">
        <v>341</v>
      </c>
      <c r="D1978" t="s">
        <v>512</v>
      </c>
      <c r="E1978" t="s">
        <v>589</v>
      </c>
      <c r="F1978" t="s">
        <v>1401</v>
      </c>
      <c r="G1978" t="s">
        <v>5681</v>
      </c>
      <c r="H1978" t="s">
        <v>11258</v>
      </c>
      <c r="I1978" t="s">
        <v>17582</v>
      </c>
      <c r="J1978" t="s">
        <v>18894</v>
      </c>
      <c r="K1978">
        <v>11226</v>
      </c>
      <c r="L1978" t="s">
        <v>18958</v>
      </c>
      <c r="M1978" t="s">
        <v>18958</v>
      </c>
      <c r="N1978" t="s">
        <v>20451</v>
      </c>
      <c r="O1978" t="s">
        <v>26524</v>
      </c>
      <c r="P1978" t="s">
        <v>26565</v>
      </c>
      <c r="Q1978" t="s">
        <v>26571</v>
      </c>
      <c r="R1978" t="s">
        <v>26588</v>
      </c>
      <c r="U1978" t="s">
        <v>26604</v>
      </c>
      <c r="W1978" t="s">
        <v>589</v>
      </c>
      <c r="X1978">
        <v>765</v>
      </c>
      <c r="Y1978" t="s">
        <v>26652</v>
      </c>
      <c r="Z1978" t="s">
        <v>26664</v>
      </c>
      <c r="AA1978" t="s">
        <v>26683</v>
      </c>
      <c r="AB1978" t="s">
        <v>28452</v>
      </c>
      <c r="AD1978" t="s">
        <v>38506</v>
      </c>
      <c r="AE1978">
        <v>4</v>
      </c>
      <c r="AF1978" t="s">
        <v>45547</v>
      </c>
      <c r="AG1978" t="s">
        <v>19330</v>
      </c>
      <c r="AH1978">
        <v>2</v>
      </c>
      <c r="AI1978">
        <v>1</v>
      </c>
      <c r="AJ1978">
        <v>0</v>
      </c>
      <c r="AK1978">
        <v>0</v>
      </c>
      <c r="AN1978" t="s">
        <v>7439</v>
      </c>
      <c r="AO1978">
        <v>0</v>
      </c>
      <c r="AU1978">
        <v>1.2</v>
      </c>
      <c r="AV1978" t="s">
        <v>531</v>
      </c>
      <c r="AW1978" t="s">
        <v>281</v>
      </c>
    </row>
    <row r="1979" spans="1:50">
      <c r="A1979" s="1">
        <f>HYPERLINK("https://lsnyc.legalserver.org/matter/dynamic-profile/view/1876415","18-1876415")</f>
        <v>0</v>
      </c>
      <c r="B1979" t="s">
        <v>200</v>
      </c>
      <c r="C1979" t="s">
        <v>341</v>
      </c>
      <c r="D1979" t="s">
        <v>523</v>
      </c>
      <c r="E1979" t="s">
        <v>788</v>
      </c>
      <c r="F1979" t="s">
        <v>1081</v>
      </c>
      <c r="G1979" t="s">
        <v>6218</v>
      </c>
      <c r="H1979" t="s">
        <v>11259</v>
      </c>
      <c r="I1979" t="s">
        <v>17334</v>
      </c>
      <c r="J1979" t="s">
        <v>18894</v>
      </c>
      <c r="K1979">
        <v>11208</v>
      </c>
      <c r="L1979" t="s">
        <v>18958</v>
      </c>
      <c r="M1979" t="s">
        <v>18958</v>
      </c>
      <c r="N1979" t="s">
        <v>20452</v>
      </c>
      <c r="O1979" t="s">
        <v>26524</v>
      </c>
      <c r="P1979" t="s">
        <v>26560</v>
      </c>
      <c r="Q1979" t="s">
        <v>26573</v>
      </c>
      <c r="R1979" t="s">
        <v>26578</v>
      </c>
      <c r="S1979" t="s">
        <v>18959</v>
      </c>
      <c r="U1979" t="s">
        <v>26604</v>
      </c>
      <c r="W1979" t="s">
        <v>589</v>
      </c>
      <c r="X1979">
        <v>1556</v>
      </c>
      <c r="Y1979" t="s">
        <v>26652</v>
      </c>
      <c r="Z1979" t="s">
        <v>26664</v>
      </c>
      <c r="AA1979" t="s">
        <v>26679</v>
      </c>
      <c r="AB1979" t="s">
        <v>28453</v>
      </c>
      <c r="AC1979" t="s">
        <v>20460</v>
      </c>
      <c r="AD1979" t="s">
        <v>38507</v>
      </c>
      <c r="AE1979">
        <v>3</v>
      </c>
      <c r="AF1979" t="s">
        <v>45547</v>
      </c>
      <c r="AG1979" t="s">
        <v>45556</v>
      </c>
      <c r="AH1979">
        <v>4</v>
      </c>
      <c r="AI1979">
        <v>1</v>
      </c>
      <c r="AJ1979">
        <v>0</v>
      </c>
      <c r="AK1979">
        <v>72.45</v>
      </c>
      <c r="AN1979" t="s">
        <v>7439</v>
      </c>
      <c r="AO1979">
        <v>8796</v>
      </c>
      <c r="AU1979">
        <v>22.3</v>
      </c>
      <c r="AV1979" t="s">
        <v>660</v>
      </c>
      <c r="AW1979" t="s">
        <v>279</v>
      </c>
      <c r="AX1979" t="s">
        <v>46897</v>
      </c>
    </row>
    <row r="1980" spans="1:50">
      <c r="A1980" s="1">
        <f>HYPERLINK("https://lsnyc.legalserver.org/matter/dynamic-profile/view/1876552","18-1876552")</f>
        <v>0</v>
      </c>
      <c r="B1980" t="s">
        <v>184</v>
      </c>
      <c r="C1980" t="s">
        <v>341</v>
      </c>
      <c r="D1980" t="s">
        <v>531</v>
      </c>
      <c r="E1980" t="s">
        <v>589</v>
      </c>
      <c r="F1980" t="s">
        <v>962</v>
      </c>
      <c r="G1980" t="s">
        <v>6219</v>
      </c>
      <c r="H1980" t="s">
        <v>11260</v>
      </c>
      <c r="I1980" t="s">
        <v>17582</v>
      </c>
      <c r="J1980" t="s">
        <v>18894</v>
      </c>
      <c r="K1980">
        <v>11203</v>
      </c>
      <c r="L1980" t="s">
        <v>18958</v>
      </c>
      <c r="M1980" t="s">
        <v>18958</v>
      </c>
      <c r="N1980" t="s">
        <v>20453</v>
      </c>
      <c r="O1980" t="s">
        <v>26524</v>
      </c>
      <c r="P1980" t="s">
        <v>26563</v>
      </c>
      <c r="Q1980" t="s">
        <v>26570</v>
      </c>
      <c r="R1980" t="s">
        <v>26588</v>
      </c>
      <c r="U1980" t="s">
        <v>26604</v>
      </c>
      <c r="W1980" t="s">
        <v>589</v>
      </c>
      <c r="X1980">
        <v>1680</v>
      </c>
      <c r="Y1980" t="s">
        <v>26652</v>
      </c>
      <c r="Z1980" t="s">
        <v>26669</v>
      </c>
      <c r="AA1980" t="s">
        <v>26683</v>
      </c>
      <c r="AB1980" t="s">
        <v>28454</v>
      </c>
      <c r="AD1980" t="s">
        <v>38508</v>
      </c>
      <c r="AE1980">
        <v>3</v>
      </c>
      <c r="AF1980" t="s">
        <v>45547</v>
      </c>
      <c r="AG1980" t="s">
        <v>19330</v>
      </c>
      <c r="AH1980">
        <v>6</v>
      </c>
      <c r="AI1980">
        <v>2</v>
      </c>
      <c r="AJ1980">
        <v>2</v>
      </c>
      <c r="AK1980">
        <v>198.49</v>
      </c>
      <c r="AN1980" t="s">
        <v>7439</v>
      </c>
      <c r="AO1980">
        <v>49820</v>
      </c>
      <c r="AU1980">
        <v>1.9</v>
      </c>
      <c r="AV1980" t="s">
        <v>586</v>
      </c>
      <c r="AW1980" t="s">
        <v>281</v>
      </c>
    </row>
    <row r="1981" spans="1:50">
      <c r="A1981" s="1">
        <f>HYPERLINK("https://lsnyc.legalserver.org/matter/dynamic-profile/view/1878102","18-1878102")</f>
        <v>0</v>
      </c>
      <c r="B1981" t="s">
        <v>227</v>
      </c>
      <c r="C1981" t="s">
        <v>341</v>
      </c>
      <c r="D1981" t="s">
        <v>534</v>
      </c>
      <c r="E1981" t="s">
        <v>589</v>
      </c>
      <c r="F1981" t="s">
        <v>1256</v>
      </c>
      <c r="G1981" t="s">
        <v>5357</v>
      </c>
      <c r="H1981" t="s">
        <v>11261</v>
      </c>
      <c r="I1981" t="s">
        <v>17284</v>
      </c>
      <c r="J1981" t="s">
        <v>18894</v>
      </c>
      <c r="K1981">
        <v>11209</v>
      </c>
      <c r="L1981" t="s">
        <v>18958</v>
      </c>
      <c r="M1981" t="s">
        <v>18958</v>
      </c>
      <c r="N1981" t="s">
        <v>20454</v>
      </c>
      <c r="O1981" t="s">
        <v>26523</v>
      </c>
      <c r="P1981" t="s">
        <v>26564</v>
      </c>
      <c r="Q1981" t="s">
        <v>26570</v>
      </c>
      <c r="R1981" t="s">
        <v>26586</v>
      </c>
      <c r="U1981" t="s">
        <v>26604</v>
      </c>
      <c r="W1981" t="s">
        <v>589</v>
      </c>
      <c r="X1981">
        <v>1250</v>
      </c>
      <c r="Y1981" t="s">
        <v>26652</v>
      </c>
      <c r="Z1981" t="s">
        <v>26664</v>
      </c>
      <c r="AA1981" t="s">
        <v>26683</v>
      </c>
      <c r="AB1981" t="s">
        <v>28455</v>
      </c>
      <c r="AD1981" t="s">
        <v>38509</v>
      </c>
      <c r="AE1981">
        <v>9</v>
      </c>
      <c r="AG1981" t="s">
        <v>19330</v>
      </c>
      <c r="AH1981">
        <v>1</v>
      </c>
      <c r="AI1981">
        <v>1</v>
      </c>
      <c r="AJ1981">
        <v>0</v>
      </c>
      <c r="AK1981">
        <v>164.74</v>
      </c>
      <c r="AN1981" t="s">
        <v>7439</v>
      </c>
      <c r="AO1981">
        <v>20000</v>
      </c>
      <c r="AU1981">
        <v>1.5</v>
      </c>
      <c r="AV1981" t="s">
        <v>582</v>
      </c>
      <c r="AW1981" t="s">
        <v>46862</v>
      </c>
    </row>
    <row r="1982" spans="1:50">
      <c r="A1982" s="1">
        <f>HYPERLINK("https://lsnyc.legalserver.org/matter/dynamic-profile/view/1878167","18-1878167")</f>
        <v>0</v>
      </c>
      <c r="B1982" t="s">
        <v>81</v>
      </c>
      <c r="C1982" t="s">
        <v>340</v>
      </c>
      <c r="D1982" t="s">
        <v>534</v>
      </c>
      <c r="F1982" t="s">
        <v>2039</v>
      </c>
      <c r="G1982" t="s">
        <v>6139</v>
      </c>
      <c r="H1982" t="s">
        <v>11262</v>
      </c>
      <c r="I1982" t="s">
        <v>17312</v>
      </c>
      <c r="J1982" t="s">
        <v>18892</v>
      </c>
      <c r="K1982">
        <v>10467</v>
      </c>
      <c r="L1982" t="s">
        <v>18958</v>
      </c>
      <c r="M1982" t="s">
        <v>18958</v>
      </c>
      <c r="N1982" t="s">
        <v>20455</v>
      </c>
      <c r="O1982" t="s">
        <v>26524</v>
      </c>
      <c r="P1982" t="s">
        <v>26560</v>
      </c>
      <c r="R1982" t="s">
        <v>26579</v>
      </c>
      <c r="S1982" t="s">
        <v>18959</v>
      </c>
      <c r="U1982" t="s">
        <v>26604</v>
      </c>
      <c r="V1982" t="s">
        <v>26609</v>
      </c>
      <c r="W1982" t="s">
        <v>589</v>
      </c>
      <c r="X1982">
        <v>189</v>
      </c>
      <c r="Y1982" t="s">
        <v>26650</v>
      </c>
      <c r="Z1982" t="s">
        <v>26673</v>
      </c>
      <c r="AB1982" t="s">
        <v>28456</v>
      </c>
      <c r="AD1982" t="s">
        <v>38510</v>
      </c>
      <c r="AE1982">
        <v>60</v>
      </c>
      <c r="AF1982" t="s">
        <v>45549</v>
      </c>
      <c r="AG1982" t="s">
        <v>19330</v>
      </c>
      <c r="AH1982">
        <v>7</v>
      </c>
      <c r="AI1982">
        <v>2</v>
      </c>
      <c r="AJ1982">
        <v>0</v>
      </c>
      <c r="AK1982">
        <v>56.21</v>
      </c>
      <c r="AN1982" t="s">
        <v>7439</v>
      </c>
      <c r="AO1982">
        <v>9252</v>
      </c>
      <c r="AU1982">
        <v>11.4</v>
      </c>
      <c r="AV1982" t="s">
        <v>843</v>
      </c>
      <c r="AW1982" t="s">
        <v>46861</v>
      </c>
      <c r="AX1982" t="s">
        <v>46897</v>
      </c>
    </row>
    <row r="1983" spans="1:50">
      <c r="A1983" s="1">
        <f>HYPERLINK("https://lsnyc.legalserver.org/matter/dynamic-profile/view/1878430","18-1878430")</f>
        <v>0</v>
      </c>
      <c r="B1983" t="s">
        <v>136</v>
      </c>
      <c r="C1983" t="s">
        <v>341</v>
      </c>
      <c r="D1983" t="s">
        <v>589</v>
      </c>
      <c r="E1983" t="s">
        <v>494</v>
      </c>
      <c r="F1983" t="s">
        <v>2040</v>
      </c>
      <c r="G1983" t="s">
        <v>6220</v>
      </c>
      <c r="H1983" t="s">
        <v>11263</v>
      </c>
      <c r="I1983" t="s">
        <v>17467</v>
      </c>
      <c r="J1983" t="s">
        <v>18892</v>
      </c>
      <c r="K1983">
        <v>10456</v>
      </c>
      <c r="L1983" t="s">
        <v>18958</v>
      </c>
      <c r="M1983" t="s">
        <v>18958</v>
      </c>
      <c r="N1983" t="s">
        <v>20456</v>
      </c>
      <c r="O1983" t="s">
        <v>26523</v>
      </c>
      <c r="P1983" t="s">
        <v>26560</v>
      </c>
      <c r="Q1983" t="s">
        <v>26568</v>
      </c>
      <c r="R1983" t="s">
        <v>26577</v>
      </c>
      <c r="S1983" t="s">
        <v>18959</v>
      </c>
      <c r="U1983" t="s">
        <v>26604</v>
      </c>
      <c r="V1983" t="s">
        <v>26610</v>
      </c>
      <c r="W1983" t="s">
        <v>589</v>
      </c>
      <c r="X1983">
        <v>347</v>
      </c>
      <c r="Y1983" t="s">
        <v>26650</v>
      </c>
      <c r="Z1983" t="s">
        <v>26668</v>
      </c>
      <c r="AA1983" t="s">
        <v>26680</v>
      </c>
      <c r="AB1983" t="s">
        <v>28457</v>
      </c>
      <c r="AE1983">
        <v>0</v>
      </c>
      <c r="AF1983" t="s">
        <v>45549</v>
      </c>
      <c r="AH1983">
        <v>13</v>
      </c>
      <c r="AI1983">
        <v>3</v>
      </c>
      <c r="AJ1983">
        <v>0</v>
      </c>
      <c r="AK1983">
        <v>43.31</v>
      </c>
      <c r="AO1983">
        <v>9000</v>
      </c>
      <c r="AR1983" t="s">
        <v>46407</v>
      </c>
      <c r="AS1983" t="s">
        <v>46499</v>
      </c>
      <c r="AT1983" t="s">
        <v>46621</v>
      </c>
      <c r="AU1983">
        <v>3</v>
      </c>
      <c r="AV1983" t="s">
        <v>457</v>
      </c>
      <c r="AW1983" t="s">
        <v>334</v>
      </c>
    </row>
    <row r="1984" spans="1:50">
      <c r="A1984" s="1">
        <f>HYPERLINK("https://lsnyc.legalserver.org/matter/dynamic-profile/view/1878533","18-1878533")</f>
        <v>0</v>
      </c>
      <c r="B1984" t="s">
        <v>70</v>
      </c>
      <c r="C1984" t="s">
        <v>341</v>
      </c>
      <c r="D1984" t="s">
        <v>589</v>
      </c>
      <c r="E1984" t="s">
        <v>427</v>
      </c>
      <c r="F1984" t="s">
        <v>1339</v>
      </c>
      <c r="G1984" t="s">
        <v>2975</v>
      </c>
      <c r="H1984" t="s">
        <v>11264</v>
      </c>
      <c r="I1984" t="s">
        <v>17354</v>
      </c>
      <c r="J1984" t="s">
        <v>18892</v>
      </c>
      <c r="K1984">
        <v>10458</v>
      </c>
      <c r="L1984" t="s">
        <v>18958</v>
      </c>
      <c r="M1984" t="s">
        <v>18958</v>
      </c>
      <c r="N1984" t="s">
        <v>20457</v>
      </c>
      <c r="O1984" t="s">
        <v>26524</v>
      </c>
      <c r="P1984" t="s">
        <v>26564</v>
      </c>
      <c r="Q1984" t="s">
        <v>26570</v>
      </c>
      <c r="R1984" t="s">
        <v>26577</v>
      </c>
      <c r="S1984" t="s">
        <v>18959</v>
      </c>
      <c r="U1984" t="s">
        <v>26604</v>
      </c>
      <c r="V1984" t="s">
        <v>26610</v>
      </c>
      <c r="W1984" t="s">
        <v>589</v>
      </c>
      <c r="X1984">
        <v>1000</v>
      </c>
      <c r="Y1984" t="s">
        <v>26650</v>
      </c>
      <c r="Z1984" t="s">
        <v>26668</v>
      </c>
      <c r="AA1984" t="s">
        <v>26683</v>
      </c>
      <c r="AB1984" t="s">
        <v>28458</v>
      </c>
      <c r="AC1984" t="s">
        <v>35090</v>
      </c>
      <c r="AD1984" t="s">
        <v>38511</v>
      </c>
      <c r="AE1984">
        <v>7</v>
      </c>
      <c r="AF1984" t="s">
        <v>45541</v>
      </c>
      <c r="AG1984" t="s">
        <v>19330</v>
      </c>
      <c r="AH1984">
        <v>4</v>
      </c>
      <c r="AI1984">
        <v>1</v>
      </c>
      <c r="AJ1984">
        <v>0</v>
      </c>
      <c r="AK1984">
        <v>0</v>
      </c>
      <c r="AO1984">
        <v>0</v>
      </c>
      <c r="AP1984" t="s">
        <v>45654</v>
      </c>
      <c r="AU1984">
        <v>20.7</v>
      </c>
      <c r="AV1984" t="s">
        <v>427</v>
      </c>
      <c r="AW1984" t="s">
        <v>334</v>
      </c>
    </row>
    <row r="1985" spans="1:50">
      <c r="A1985" s="1">
        <f>HYPERLINK("https://lsnyc.legalserver.org/matter/dynamic-profile/view/1878559","18-1878559")</f>
        <v>0</v>
      </c>
      <c r="B1985" t="s">
        <v>70</v>
      </c>
      <c r="C1985" t="s">
        <v>341</v>
      </c>
      <c r="D1985" t="s">
        <v>589</v>
      </c>
      <c r="E1985" t="s">
        <v>833</v>
      </c>
      <c r="F1985" t="s">
        <v>947</v>
      </c>
      <c r="G1985" t="s">
        <v>5340</v>
      </c>
      <c r="H1985" t="s">
        <v>11265</v>
      </c>
      <c r="I1985" t="s">
        <v>17307</v>
      </c>
      <c r="J1985" t="s">
        <v>18892</v>
      </c>
      <c r="K1985">
        <v>10467</v>
      </c>
      <c r="L1985" t="s">
        <v>18958</v>
      </c>
      <c r="M1985" t="s">
        <v>18958</v>
      </c>
      <c r="N1985" t="s">
        <v>20458</v>
      </c>
      <c r="O1985" t="s">
        <v>26523</v>
      </c>
      <c r="P1985" t="s">
        <v>26560</v>
      </c>
      <c r="Q1985" t="s">
        <v>26568</v>
      </c>
      <c r="R1985" t="s">
        <v>26579</v>
      </c>
      <c r="S1985" t="s">
        <v>18959</v>
      </c>
      <c r="U1985" t="s">
        <v>26604</v>
      </c>
      <c r="V1985" t="s">
        <v>26610</v>
      </c>
      <c r="W1985" t="s">
        <v>589</v>
      </c>
      <c r="X1985">
        <v>1350</v>
      </c>
      <c r="Y1985" t="s">
        <v>26650</v>
      </c>
      <c r="Z1985" t="s">
        <v>26664</v>
      </c>
      <c r="AA1985" t="s">
        <v>26678</v>
      </c>
      <c r="AB1985" t="s">
        <v>28459</v>
      </c>
      <c r="AC1985" t="s">
        <v>19045</v>
      </c>
      <c r="AD1985" t="s">
        <v>38512</v>
      </c>
      <c r="AE1985">
        <v>59</v>
      </c>
      <c r="AF1985" t="s">
        <v>45541</v>
      </c>
      <c r="AG1985" t="s">
        <v>19330</v>
      </c>
      <c r="AH1985">
        <v>1</v>
      </c>
      <c r="AI1985">
        <v>1</v>
      </c>
      <c r="AJ1985">
        <v>2</v>
      </c>
      <c r="AK1985">
        <v>175.17</v>
      </c>
      <c r="AN1985" t="s">
        <v>7439</v>
      </c>
      <c r="AO1985">
        <v>36400</v>
      </c>
      <c r="AP1985" t="s">
        <v>45653</v>
      </c>
      <c r="AQ1985" t="s">
        <v>46368</v>
      </c>
      <c r="AR1985" t="s">
        <v>46453</v>
      </c>
      <c r="AS1985" t="s">
        <v>46499</v>
      </c>
      <c r="AT1985" t="s">
        <v>46619</v>
      </c>
      <c r="AU1985">
        <v>30.1</v>
      </c>
      <c r="AV1985" t="s">
        <v>806</v>
      </c>
      <c r="AW1985" t="s">
        <v>334</v>
      </c>
      <c r="AX1985" t="s">
        <v>46897</v>
      </c>
    </row>
    <row r="1986" spans="1:50">
      <c r="A1986" s="1">
        <f>HYPERLINK("https://lsnyc.legalserver.org/matter/dynamic-profile/view/1878457","18-1878457")</f>
        <v>0</v>
      </c>
      <c r="B1986" t="s">
        <v>143</v>
      </c>
      <c r="C1986" t="s">
        <v>341</v>
      </c>
      <c r="D1986" t="s">
        <v>589</v>
      </c>
      <c r="E1986" t="s">
        <v>623</v>
      </c>
      <c r="F1986" t="s">
        <v>979</v>
      </c>
      <c r="G1986" t="s">
        <v>6221</v>
      </c>
      <c r="H1986" t="s">
        <v>11266</v>
      </c>
      <c r="I1986">
        <v>64</v>
      </c>
      <c r="J1986" t="s">
        <v>18892</v>
      </c>
      <c r="K1986">
        <v>10463</v>
      </c>
      <c r="L1986" t="s">
        <v>18958</v>
      </c>
      <c r="M1986" t="s">
        <v>18958</v>
      </c>
      <c r="N1986" t="s">
        <v>20459</v>
      </c>
      <c r="O1986" t="s">
        <v>26526</v>
      </c>
      <c r="P1986" t="s">
        <v>26564</v>
      </c>
      <c r="Q1986" t="s">
        <v>26570</v>
      </c>
      <c r="R1986" t="s">
        <v>26577</v>
      </c>
      <c r="S1986" t="s">
        <v>18959</v>
      </c>
      <c r="U1986" t="s">
        <v>26604</v>
      </c>
      <c r="V1986" t="s">
        <v>26610</v>
      </c>
      <c r="W1986" t="s">
        <v>589</v>
      </c>
      <c r="X1986">
        <v>500</v>
      </c>
      <c r="Y1986" t="s">
        <v>26650</v>
      </c>
      <c r="Z1986" t="s">
        <v>26668</v>
      </c>
      <c r="AA1986" t="s">
        <v>26683</v>
      </c>
      <c r="AB1986" t="s">
        <v>28460</v>
      </c>
      <c r="AC1986" t="s">
        <v>35091</v>
      </c>
      <c r="AD1986" t="s">
        <v>38513</v>
      </c>
      <c r="AE1986">
        <v>344</v>
      </c>
      <c r="AF1986" t="s">
        <v>45549</v>
      </c>
      <c r="AG1986" t="s">
        <v>19330</v>
      </c>
      <c r="AH1986">
        <v>2</v>
      </c>
      <c r="AI1986">
        <v>2</v>
      </c>
      <c r="AJ1986">
        <v>0</v>
      </c>
      <c r="AK1986">
        <v>97.20999999999999</v>
      </c>
      <c r="AN1986" t="s">
        <v>45581</v>
      </c>
      <c r="AO1986">
        <v>16000</v>
      </c>
      <c r="AU1986">
        <v>3.5</v>
      </c>
      <c r="AV1986" t="s">
        <v>594</v>
      </c>
      <c r="AW1986" t="s">
        <v>334</v>
      </c>
      <c r="AX1986" t="s">
        <v>46897</v>
      </c>
    </row>
    <row r="1987" spans="1:50">
      <c r="A1987" s="1">
        <f>HYPERLINK("https://lsnyc.legalserver.org/matter/dynamic-profile/view/1878440","18-1878440")</f>
        <v>0</v>
      </c>
      <c r="B1987" t="s">
        <v>216</v>
      </c>
      <c r="C1987" t="s">
        <v>341</v>
      </c>
      <c r="D1987" t="s">
        <v>589</v>
      </c>
      <c r="E1987" t="s">
        <v>675</v>
      </c>
      <c r="F1987" t="s">
        <v>2041</v>
      </c>
      <c r="G1987" t="s">
        <v>5189</v>
      </c>
      <c r="H1987" t="s">
        <v>11267</v>
      </c>
      <c r="I1987" t="s">
        <v>17334</v>
      </c>
      <c r="J1987" t="s">
        <v>18894</v>
      </c>
      <c r="K1987">
        <v>11208</v>
      </c>
      <c r="L1987" t="s">
        <v>18958</v>
      </c>
      <c r="M1987" t="s">
        <v>18958</v>
      </c>
      <c r="N1987" t="s">
        <v>20460</v>
      </c>
      <c r="O1987" t="s">
        <v>26524</v>
      </c>
      <c r="P1987" t="s">
        <v>26560</v>
      </c>
      <c r="Q1987" t="s">
        <v>26573</v>
      </c>
      <c r="R1987" t="s">
        <v>26578</v>
      </c>
      <c r="S1987" t="s">
        <v>18959</v>
      </c>
      <c r="U1987" t="s">
        <v>26604</v>
      </c>
      <c r="W1987" t="s">
        <v>589</v>
      </c>
      <c r="X1987">
        <v>1557</v>
      </c>
      <c r="Y1987" t="s">
        <v>26652</v>
      </c>
      <c r="Z1987" t="s">
        <v>26661</v>
      </c>
      <c r="AA1987" t="s">
        <v>26678</v>
      </c>
      <c r="AB1987" t="s">
        <v>27075</v>
      </c>
      <c r="AC1987" t="s">
        <v>35092</v>
      </c>
      <c r="AD1987" t="s">
        <v>38514</v>
      </c>
      <c r="AE1987">
        <v>6</v>
      </c>
      <c r="AF1987" t="s">
        <v>20460</v>
      </c>
      <c r="AG1987" t="s">
        <v>45562</v>
      </c>
      <c r="AH1987">
        <v>4</v>
      </c>
      <c r="AI1987">
        <v>1</v>
      </c>
      <c r="AJ1987">
        <v>3</v>
      </c>
      <c r="AK1987">
        <v>23.9</v>
      </c>
      <c r="AN1987" t="s">
        <v>7439</v>
      </c>
      <c r="AO1987">
        <v>6000</v>
      </c>
      <c r="AP1987" t="s">
        <v>45635</v>
      </c>
      <c r="AU1987">
        <v>5.5</v>
      </c>
      <c r="AV1987" t="s">
        <v>643</v>
      </c>
      <c r="AW1987" t="s">
        <v>279</v>
      </c>
    </row>
    <row r="1988" spans="1:50">
      <c r="A1988" s="1">
        <f>HYPERLINK("https://lsnyc.legalserver.org/matter/dynamic-profile/view/1878526","18-1878526")</f>
        <v>0</v>
      </c>
      <c r="B1988" t="s">
        <v>232</v>
      </c>
      <c r="C1988" t="s">
        <v>341</v>
      </c>
      <c r="D1988" t="s">
        <v>589</v>
      </c>
      <c r="E1988" t="s">
        <v>754</v>
      </c>
      <c r="F1988" t="s">
        <v>2042</v>
      </c>
      <c r="G1988" t="s">
        <v>945</v>
      </c>
      <c r="H1988" t="s">
        <v>11268</v>
      </c>
      <c r="I1988" t="s">
        <v>17284</v>
      </c>
      <c r="J1988" t="s">
        <v>18894</v>
      </c>
      <c r="K1988">
        <v>11221</v>
      </c>
      <c r="L1988" t="s">
        <v>18958</v>
      </c>
      <c r="M1988" t="s">
        <v>18958</v>
      </c>
      <c r="N1988" t="s">
        <v>20461</v>
      </c>
      <c r="O1988" t="s">
        <v>26523</v>
      </c>
      <c r="P1988" t="s">
        <v>26560</v>
      </c>
      <c r="Q1988" t="s">
        <v>26573</v>
      </c>
      <c r="R1988" t="s">
        <v>26588</v>
      </c>
      <c r="S1988" t="s">
        <v>18959</v>
      </c>
      <c r="U1988" t="s">
        <v>26604</v>
      </c>
      <c r="V1988" t="s">
        <v>26610</v>
      </c>
      <c r="W1988" t="s">
        <v>589</v>
      </c>
      <c r="X1988">
        <v>1085</v>
      </c>
      <c r="Y1988" t="s">
        <v>26652</v>
      </c>
      <c r="Z1988" t="s">
        <v>26669</v>
      </c>
      <c r="AA1988" t="s">
        <v>26678</v>
      </c>
      <c r="AB1988" t="s">
        <v>28461</v>
      </c>
      <c r="AD1988" t="s">
        <v>38515</v>
      </c>
      <c r="AE1988">
        <v>23</v>
      </c>
      <c r="AF1988" t="s">
        <v>45541</v>
      </c>
      <c r="AG1988" t="s">
        <v>19330</v>
      </c>
      <c r="AH1988">
        <v>6</v>
      </c>
      <c r="AI1988">
        <v>1</v>
      </c>
      <c r="AJ1988">
        <v>4</v>
      </c>
      <c r="AK1988">
        <v>87.15000000000001</v>
      </c>
      <c r="AN1988" t="s">
        <v>7439</v>
      </c>
      <c r="AO1988">
        <v>25640</v>
      </c>
      <c r="AS1988" t="s">
        <v>46499</v>
      </c>
      <c r="AT1988" t="s">
        <v>46554</v>
      </c>
      <c r="AU1988">
        <v>7.1</v>
      </c>
      <c r="AV1988" t="s">
        <v>754</v>
      </c>
      <c r="AW1988" t="s">
        <v>46862</v>
      </c>
    </row>
    <row r="1989" spans="1:50">
      <c r="A1989" s="1">
        <f>HYPERLINK("https://lsnyc.legalserver.org/matter/dynamic-profile/view/1878427","18-1878427")</f>
        <v>0</v>
      </c>
      <c r="B1989" t="s">
        <v>68</v>
      </c>
      <c r="C1989" t="s">
        <v>341</v>
      </c>
      <c r="D1989" t="s">
        <v>589</v>
      </c>
      <c r="E1989" t="s">
        <v>494</v>
      </c>
      <c r="F1989" t="s">
        <v>1235</v>
      </c>
      <c r="G1989" t="s">
        <v>5075</v>
      </c>
      <c r="H1989" t="s">
        <v>11269</v>
      </c>
      <c r="J1989" t="s">
        <v>18892</v>
      </c>
      <c r="K1989">
        <v>10458</v>
      </c>
      <c r="L1989" t="s">
        <v>18958</v>
      </c>
      <c r="M1989" t="s">
        <v>18958</v>
      </c>
      <c r="N1989" t="s">
        <v>20462</v>
      </c>
      <c r="O1989" t="s">
        <v>26523</v>
      </c>
      <c r="P1989" t="s">
        <v>26560</v>
      </c>
      <c r="Q1989" t="s">
        <v>26568</v>
      </c>
      <c r="R1989" t="s">
        <v>26577</v>
      </c>
      <c r="S1989" t="s">
        <v>18959</v>
      </c>
      <c r="U1989" t="s">
        <v>26604</v>
      </c>
      <c r="V1989" t="s">
        <v>26612</v>
      </c>
      <c r="W1989" t="s">
        <v>589</v>
      </c>
      <c r="X1989">
        <v>826.51</v>
      </c>
      <c r="Y1989" t="s">
        <v>26650</v>
      </c>
      <c r="Z1989" t="s">
        <v>26530</v>
      </c>
      <c r="AA1989" t="s">
        <v>26678</v>
      </c>
      <c r="AB1989" t="s">
        <v>28462</v>
      </c>
      <c r="AD1989" t="s">
        <v>38516</v>
      </c>
      <c r="AE1989">
        <v>31</v>
      </c>
      <c r="AF1989" t="s">
        <v>45541</v>
      </c>
      <c r="AG1989" t="s">
        <v>19330</v>
      </c>
      <c r="AH1989">
        <v>29</v>
      </c>
      <c r="AI1989">
        <v>2</v>
      </c>
      <c r="AJ1989">
        <v>0</v>
      </c>
      <c r="AK1989">
        <v>138.52</v>
      </c>
      <c r="AN1989" t="s">
        <v>7439</v>
      </c>
      <c r="AO1989">
        <v>22800</v>
      </c>
      <c r="AQ1989" t="s">
        <v>46365</v>
      </c>
      <c r="AR1989" t="s">
        <v>46379</v>
      </c>
      <c r="AS1989" t="s">
        <v>46499</v>
      </c>
      <c r="AT1989" t="s">
        <v>46576</v>
      </c>
      <c r="AU1989">
        <v>10.5</v>
      </c>
      <c r="AV1989" t="s">
        <v>458</v>
      </c>
      <c r="AW1989" t="s">
        <v>46870</v>
      </c>
    </row>
    <row r="1990" spans="1:50">
      <c r="A1990" s="1">
        <f>HYPERLINK("https://lsnyc.legalserver.org/matter/dynamic-profile/view/1878499","18-1878499")</f>
        <v>0</v>
      </c>
      <c r="B1990" t="s">
        <v>91</v>
      </c>
      <c r="C1990" t="s">
        <v>341</v>
      </c>
      <c r="D1990" t="s">
        <v>589</v>
      </c>
      <c r="E1990" t="s">
        <v>494</v>
      </c>
      <c r="F1990" t="s">
        <v>913</v>
      </c>
      <c r="G1990" t="s">
        <v>6222</v>
      </c>
      <c r="H1990" t="s">
        <v>11270</v>
      </c>
      <c r="I1990" t="s">
        <v>17360</v>
      </c>
      <c r="J1990" t="s">
        <v>18905</v>
      </c>
      <c r="K1990">
        <v>11692</v>
      </c>
      <c r="L1990" t="s">
        <v>18958</v>
      </c>
      <c r="M1990" t="s">
        <v>18958</v>
      </c>
      <c r="N1990" t="s">
        <v>20463</v>
      </c>
      <c r="O1990" t="s">
        <v>26523</v>
      </c>
      <c r="P1990" t="s">
        <v>26564</v>
      </c>
      <c r="Q1990" t="s">
        <v>26570</v>
      </c>
      <c r="R1990" t="s">
        <v>26578</v>
      </c>
      <c r="S1990" t="s">
        <v>18959</v>
      </c>
      <c r="U1990" t="s">
        <v>26604</v>
      </c>
      <c r="V1990" t="s">
        <v>26610</v>
      </c>
      <c r="W1990" t="s">
        <v>589</v>
      </c>
      <c r="X1990">
        <v>1141.54</v>
      </c>
      <c r="Y1990" t="s">
        <v>26653</v>
      </c>
      <c r="Z1990" t="s">
        <v>26664</v>
      </c>
      <c r="AA1990" t="s">
        <v>26683</v>
      </c>
      <c r="AB1990" t="s">
        <v>28463</v>
      </c>
      <c r="AD1990" t="s">
        <v>38517</v>
      </c>
      <c r="AE1990">
        <v>30</v>
      </c>
      <c r="AF1990" t="s">
        <v>45543</v>
      </c>
      <c r="AG1990" t="s">
        <v>45556</v>
      </c>
      <c r="AH1990">
        <v>3</v>
      </c>
      <c r="AI1990">
        <v>2</v>
      </c>
      <c r="AJ1990">
        <v>2</v>
      </c>
      <c r="AK1990">
        <v>127.49</v>
      </c>
      <c r="AN1990" t="s">
        <v>7439</v>
      </c>
      <c r="AO1990">
        <v>32000</v>
      </c>
      <c r="AU1990">
        <v>1.8</v>
      </c>
      <c r="AV1990" t="s">
        <v>705</v>
      </c>
      <c r="AW1990" t="s">
        <v>208</v>
      </c>
    </row>
    <row r="1991" spans="1:50">
      <c r="A1991" s="1">
        <f>HYPERLINK("https://lsnyc.legalserver.org/matter/dynamic-profile/view/1878381","18-1878381")</f>
        <v>0</v>
      </c>
      <c r="B1991" t="s">
        <v>106</v>
      </c>
      <c r="C1991" t="s">
        <v>341</v>
      </c>
      <c r="D1991" t="s">
        <v>589</v>
      </c>
      <c r="E1991" t="s">
        <v>716</v>
      </c>
      <c r="F1991" t="s">
        <v>2043</v>
      </c>
      <c r="G1991" t="s">
        <v>1677</v>
      </c>
      <c r="H1991" t="s">
        <v>11271</v>
      </c>
      <c r="I1991" t="s">
        <v>17754</v>
      </c>
      <c r="J1991" t="s">
        <v>18894</v>
      </c>
      <c r="K1991">
        <v>11221</v>
      </c>
      <c r="L1991" t="s">
        <v>18958</v>
      </c>
      <c r="M1991" t="s">
        <v>18959</v>
      </c>
      <c r="N1991" t="s">
        <v>20464</v>
      </c>
      <c r="O1991" t="s">
        <v>26523</v>
      </c>
      <c r="P1991" t="s">
        <v>26560</v>
      </c>
      <c r="Q1991" t="s">
        <v>26573</v>
      </c>
      <c r="R1991" t="s">
        <v>26588</v>
      </c>
      <c r="S1991" t="s">
        <v>18959</v>
      </c>
      <c r="U1991" t="s">
        <v>26604</v>
      </c>
      <c r="V1991" t="s">
        <v>26610</v>
      </c>
      <c r="W1991" t="s">
        <v>589</v>
      </c>
      <c r="X1991">
        <v>1463</v>
      </c>
      <c r="Y1991" t="s">
        <v>26652</v>
      </c>
      <c r="Z1991" t="s">
        <v>26669</v>
      </c>
      <c r="AA1991" t="s">
        <v>26678</v>
      </c>
      <c r="AB1991" t="s">
        <v>28464</v>
      </c>
      <c r="AD1991" t="s">
        <v>38518</v>
      </c>
      <c r="AE1991">
        <v>59</v>
      </c>
      <c r="AF1991" t="s">
        <v>45543</v>
      </c>
      <c r="AG1991" t="s">
        <v>45556</v>
      </c>
      <c r="AH1991">
        <v>2</v>
      </c>
      <c r="AI1991">
        <v>1</v>
      </c>
      <c r="AJ1991">
        <v>0</v>
      </c>
      <c r="AK1991">
        <v>0</v>
      </c>
      <c r="AN1991" t="s">
        <v>7439</v>
      </c>
      <c r="AO1991">
        <v>0</v>
      </c>
      <c r="AS1991" t="s">
        <v>46499</v>
      </c>
      <c r="AT1991" t="s">
        <v>46648</v>
      </c>
      <c r="AU1991">
        <v>20.4</v>
      </c>
      <c r="AV1991" t="s">
        <v>709</v>
      </c>
      <c r="AW1991" t="s">
        <v>46862</v>
      </c>
    </row>
    <row r="1992" spans="1:50">
      <c r="A1992" s="1">
        <f>HYPERLINK("https://lsnyc.legalserver.org/matter/dynamic-profile/view/1878566","18-1878566")</f>
        <v>0</v>
      </c>
      <c r="B1992" t="s">
        <v>250</v>
      </c>
      <c r="C1992" t="s">
        <v>341</v>
      </c>
      <c r="D1992" t="s">
        <v>589</v>
      </c>
      <c r="E1992" t="s">
        <v>684</v>
      </c>
      <c r="F1992" t="s">
        <v>2044</v>
      </c>
      <c r="G1992" t="s">
        <v>6223</v>
      </c>
      <c r="H1992" t="s">
        <v>11272</v>
      </c>
      <c r="I1992" t="s">
        <v>17378</v>
      </c>
      <c r="J1992" t="s">
        <v>18893</v>
      </c>
      <c r="K1992">
        <v>10027</v>
      </c>
      <c r="L1992" t="s">
        <v>18958</v>
      </c>
      <c r="M1992" t="s">
        <v>18958</v>
      </c>
      <c r="N1992" t="s">
        <v>20465</v>
      </c>
      <c r="O1992" t="s">
        <v>26523</v>
      </c>
      <c r="P1992" t="s">
        <v>26560</v>
      </c>
      <c r="Q1992" t="s">
        <v>26568</v>
      </c>
      <c r="R1992" t="s">
        <v>26580</v>
      </c>
      <c r="U1992" t="s">
        <v>26605</v>
      </c>
      <c r="W1992" t="s">
        <v>589</v>
      </c>
      <c r="X1992">
        <v>245</v>
      </c>
      <c r="Y1992" t="s">
        <v>26651</v>
      </c>
      <c r="Z1992" t="s">
        <v>26664</v>
      </c>
      <c r="AA1992" t="s">
        <v>26680</v>
      </c>
      <c r="AB1992" t="s">
        <v>28465</v>
      </c>
      <c r="AC1992" t="s">
        <v>35093</v>
      </c>
      <c r="AD1992" t="s">
        <v>38519</v>
      </c>
      <c r="AE1992">
        <v>0</v>
      </c>
      <c r="AF1992" t="s">
        <v>45542</v>
      </c>
      <c r="AH1992">
        <v>53</v>
      </c>
      <c r="AI1992">
        <v>2</v>
      </c>
      <c r="AJ1992">
        <v>1</v>
      </c>
      <c r="AK1992">
        <v>48.05</v>
      </c>
      <c r="AN1992" t="s">
        <v>7439</v>
      </c>
      <c r="AO1992">
        <v>9984</v>
      </c>
      <c r="AS1992" t="s">
        <v>46499</v>
      </c>
      <c r="AT1992" t="s">
        <v>46598</v>
      </c>
      <c r="AU1992">
        <v>5.55</v>
      </c>
      <c r="AV1992" t="s">
        <v>670</v>
      </c>
      <c r="AW1992" t="s">
        <v>264</v>
      </c>
      <c r="AX1992" t="s">
        <v>46898</v>
      </c>
    </row>
    <row r="1993" spans="1:50">
      <c r="A1993" s="1">
        <f>HYPERLINK("https://lsnyc.legalserver.org/matter/dynamic-profile/view/1878541","18-1878541")</f>
        <v>0</v>
      </c>
      <c r="B1993" t="s">
        <v>56</v>
      </c>
      <c r="C1993" t="s">
        <v>340</v>
      </c>
      <c r="D1993" t="s">
        <v>589</v>
      </c>
      <c r="F1993" t="s">
        <v>1083</v>
      </c>
      <c r="G1993" t="s">
        <v>5445</v>
      </c>
      <c r="H1993" t="s">
        <v>11273</v>
      </c>
      <c r="I1993" t="s">
        <v>17299</v>
      </c>
      <c r="J1993" t="s">
        <v>18892</v>
      </c>
      <c r="K1993">
        <v>10466</v>
      </c>
      <c r="L1993" t="s">
        <v>18958</v>
      </c>
      <c r="M1993" t="s">
        <v>18958</v>
      </c>
      <c r="N1993" t="s">
        <v>20466</v>
      </c>
      <c r="O1993" t="s">
        <v>26523</v>
      </c>
      <c r="P1993" t="s">
        <v>26560</v>
      </c>
      <c r="R1993" t="s">
        <v>26577</v>
      </c>
      <c r="U1993" t="s">
        <v>26604</v>
      </c>
      <c r="V1993" t="s">
        <v>26610</v>
      </c>
      <c r="W1993" t="s">
        <v>589</v>
      </c>
      <c r="X1993">
        <v>1226</v>
      </c>
      <c r="Y1993" t="s">
        <v>26650</v>
      </c>
      <c r="Z1993" t="s">
        <v>26659</v>
      </c>
      <c r="AB1993" t="s">
        <v>28372</v>
      </c>
      <c r="AC1993" t="s">
        <v>35094</v>
      </c>
      <c r="AD1993" t="s">
        <v>38520</v>
      </c>
      <c r="AE1993">
        <v>2039</v>
      </c>
      <c r="AF1993" t="s">
        <v>45549</v>
      </c>
      <c r="AG1993" t="s">
        <v>19330</v>
      </c>
      <c r="AH1993">
        <v>20</v>
      </c>
      <c r="AI1993">
        <v>1</v>
      </c>
      <c r="AJ1993">
        <v>0</v>
      </c>
      <c r="AK1993">
        <v>191.07</v>
      </c>
      <c r="AN1993" t="s">
        <v>7439</v>
      </c>
      <c r="AO1993">
        <v>23196</v>
      </c>
      <c r="AU1993">
        <v>14</v>
      </c>
      <c r="AV1993" t="s">
        <v>739</v>
      </c>
      <c r="AW1993" t="s">
        <v>334</v>
      </c>
    </row>
    <row r="1994" spans="1:50">
      <c r="A1994" s="1">
        <f>HYPERLINK("https://lsnyc.legalserver.org/matter/dynamic-profile/view/1878486","18-1878486")</f>
        <v>0</v>
      </c>
      <c r="B1994" t="s">
        <v>127</v>
      </c>
      <c r="C1994" t="s">
        <v>340</v>
      </c>
      <c r="D1994" t="s">
        <v>589</v>
      </c>
      <c r="F1994" t="s">
        <v>1087</v>
      </c>
      <c r="G1994" t="s">
        <v>5177</v>
      </c>
      <c r="H1994" t="s">
        <v>11274</v>
      </c>
      <c r="I1994" t="s">
        <v>17436</v>
      </c>
      <c r="J1994" t="s">
        <v>18894</v>
      </c>
      <c r="K1994">
        <v>11212</v>
      </c>
      <c r="L1994" t="s">
        <v>18958</v>
      </c>
      <c r="M1994" t="s">
        <v>18958</v>
      </c>
      <c r="N1994" t="s">
        <v>20467</v>
      </c>
      <c r="O1994" t="s">
        <v>26523</v>
      </c>
      <c r="P1994" t="s">
        <v>26560</v>
      </c>
      <c r="R1994" t="s">
        <v>26578</v>
      </c>
      <c r="S1994" t="s">
        <v>18959</v>
      </c>
      <c r="U1994" t="s">
        <v>26604</v>
      </c>
      <c r="W1994" t="s">
        <v>589</v>
      </c>
      <c r="X1994">
        <v>1225</v>
      </c>
      <c r="Y1994" t="s">
        <v>26652</v>
      </c>
      <c r="Z1994" t="s">
        <v>26659</v>
      </c>
      <c r="AB1994" t="s">
        <v>28466</v>
      </c>
      <c r="AC1994" t="s">
        <v>19330</v>
      </c>
      <c r="AD1994" t="s">
        <v>38521</v>
      </c>
      <c r="AE1994">
        <v>32</v>
      </c>
      <c r="AF1994" t="s">
        <v>45541</v>
      </c>
      <c r="AG1994" t="s">
        <v>19330</v>
      </c>
      <c r="AH1994">
        <v>8</v>
      </c>
      <c r="AI1994">
        <v>1</v>
      </c>
      <c r="AJ1994">
        <v>0</v>
      </c>
      <c r="AK1994">
        <v>196.51</v>
      </c>
      <c r="AN1994" t="s">
        <v>7439</v>
      </c>
      <c r="AO1994">
        <v>23856</v>
      </c>
      <c r="AP1994" t="s">
        <v>45635</v>
      </c>
      <c r="AU1994">
        <v>3.3</v>
      </c>
      <c r="AV1994" t="s">
        <v>763</v>
      </c>
      <c r="AW1994" t="s">
        <v>279</v>
      </c>
    </row>
    <row r="1995" spans="1:50">
      <c r="A1995" s="1">
        <f>HYPERLINK("https://lsnyc.legalserver.org/matter/dynamic-profile/view/1878535","18-1878535")</f>
        <v>0</v>
      </c>
      <c r="B1995" t="s">
        <v>142</v>
      </c>
      <c r="C1995" t="s">
        <v>340</v>
      </c>
      <c r="D1995" t="s">
        <v>589</v>
      </c>
      <c r="F1995" t="s">
        <v>2045</v>
      </c>
      <c r="G1995" t="s">
        <v>6224</v>
      </c>
      <c r="H1995" t="s">
        <v>11275</v>
      </c>
      <c r="I1995" t="s">
        <v>17755</v>
      </c>
      <c r="J1995" t="s">
        <v>18920</v>
      </c>
      <c r="K1995">
        <v>11369</v>
      </c>
      <c r="L1995" t="s">
        <v>18958</v>
      </c>
      <c r="M1995" t="s">
        <v>18960</v>
      </c>
      <c r="N1995" t="s">
        <v>20468</v>
      </c>
      <c r="O1995" t="s">
        <v>26523</v>
      </c>
      <c r="P1995" t="s">
        <v>26564</v>
      </c>
      <c r="R1995" t="s">
        <v>26584</v>
      </c>
      <c r="S1995" t="s">
        <v>18959</v>
      </c>
      <c r="U1995" t="s">
        <v>26604</v>
      </c>
      <c r="V1995" t="s">
        <v>26612</v>
      </c>
      <c r="W1995" t="s">
        <v>589</v>
      </c>
      <c r="X1995">
        <v>1494</v>
      </c>
      <c r="Y1995" t="s">
        <v>26653</v>
      </c>
      <c r="Z1995" t="s">
        <v>26664</v>
      </c>
      <c r="AB1995" t="s">
        <v>28467</v>
      </c>
      <c r="AD1995" t="s">
        <v>38522</v>
      </c>
      <c r="AE1995">
        <v>43</v>
      </c>
      <c r="AF1995" t="s">
        <v>45541</v>
      </c>
      <c r="AH1995">
        <v>22</v>
      </c>
      <c r="AI1995">
        <v>1</v>
      </c>
      <c r="AJ1995">
        <v>0</v>
      </c>
      <c r="AK1995">
        <v>45.07</v>
      </c>
      <c r="AN1995" t="s">
        <v>45581</v>
      </c>
      <c r="AO1995">
        <v>5472</v>
      </c>
      <c r="AU1995">
        <v>1.6</v>
      </c>
      <c r="AV1995" t="s">
        <v>451</v>
      </c>
      <c r="AW1995" t="s">
        <v>208</v>
      </c>
    </row>
    <row r="1996" spans="1:50">
      <c r="A1996" s="1">
        <f>HYPERLINK("https://lsnyc.legalserver.org/matter/dynamic-profile/view/1878520","18-1878520")</f>
        <v>0</v>
      </c>
      <c r="B1996" t="s">
        <v>121</v>
      </c>
      <c r="C1996" t="s">
        <v>340</v>
      </c>
      <c r="D1996" t="s">
        <v>589</v>
      </c>
      <c r="F1996" t="s">
        <v>1548</v>
      </c>
      <c r="G1996" t="s">
        <v>4588</v>
      </c>
      <c r="H1996" t="s">
        <v>11276</v>
      </c>
      <c r="I1996" t="s">
        <v>17756</v>
      </c>
      <c r="J1996" t="s">
        <v>18892</v>
      </c>
      <c r="K1996">
        <v>10475</v>
      </c>
      <c r="L1996" t="s">
        <v>18958</v>
      </c>
      <c r="M1996" t="s">
        <v>18958</v>
      </c>
      <c r="N1996" t="s">
        <v>20469</v>
      </c>
      <c r="O1996" t="s">
        <v>26524</v>
      </c>
      <c r="P1996" t="s">
        <v>26560</v>
      </c>
      <c r="R1996" t="s">
        <v>26577</v>
      </c>
      <c r="U1996" t="s">
        <v>26604</v>
      </c>
      <c r="V1996" t="s">
        <v>26610</v>
      </c>
      <c r="W1996" t="s">
        <v>589</v>
      </c>
      <c r="X1996">
        <v>1054</v>
      </c>
      <c r="Y1996" t="s">
        <v>26650</v>
      </c>
      <c r="Z1996" t="s">
        <v>26668</v>
      </c>
      <c r="AB1996" t="s">
        <v>28468</v>
      </c>
      <c r="AE1996">
        <v>0</v>
      </c>
      <c r="AF1996" t="s">
        <v>45547</v>
      </c>
      <c r="AG1996" t="s">
        <v>19330</v>
      </c>
      <c r="AH1996">
        <v>22</v>
      </c>
      <c r="AI1996">
        <v>3</v>
      </c>
      <c r="AJ1996">
        <v>0</v>
      </c>
      <c r="AK1996">
        <v>48.17</v>
      </c>
      <c r="AN1996" t="s">
        <v>7439</v>
      </c>
      <c r="AO1996">
        <v>10010</v>
      </c>
      <c r="AU1996">
        <v>17.55</v>
      </c>
      <c r="AV1996" t="s">
        <v>416</v>
      </c>
      <c r="AW1996" t="s">
        <v>46842</v>
      </c>
    </row>
    <row r="1997" spans="1:50">
      <c r="A1997" s="1">
        <f>HYPERLINK("https://lsnyc.legalserver.org/matter/dynamic-profile/view/1878492","18-1878492")</f>
        <v>0</v>
      </c>
      <c r="B1997" t="s">
        <v>121</v>
      </c>
      <c r="C1997" t="s">
        <v>340</v>
      </c>
      <c r="D1997" t="s">
        <v>589</v>
      </c>
      <c r="F1997" t="s">
        <v>1471</v>
      </c>
      <c r="G1997" t="s">
        <v>5506</v>
      </c>
      <c r="H1997" t="s">
        <v>11277</v>
      </c>
      <c r="I1997" t="s">
        <v>17757</v>
      </c>
      <c r="J1997" t="s">
        <v>18892</v>
      </c>
      <c r="K1997">
        <v>10459</v>
      </c>
      <c r="L1997" t="s">
        <v>18958</v>
      </c>
      <c r="M1997" t="s">
        <v>18958</v>
      </c>
      <c r="N1997" t="s">
        <v>20470</v>
      </c>
      <c r="O1997" t="s">
        <v>26524</v>
      </c>
      <c r="P1997" t="s">
        <v>26560</v>
      </c>
      <c r="R1997" t="s">
        <v>26577</v>
      </c>
      <c r="U1997" t="s">
        <v>26604</v>
      </c>
      <c r="V1997" t="s">
        <v>26610</v>
      </c>
      <c r="W1997" t="s">
        <v>589</v>
      </c>
      <c r="X1997">
        <v>1050</v>
      </c>
      <c r="Y1997" t="s">
        <v>26650</v>
      </c>
      <c r="Z1997" t="s">
        <v>26668</v>
      </c>
      <c r="AB1997" t="s">
        <v>28469</v>
      </c>
      <c r="AC1997" t="s">
        <v>35095</v>
      </c>
      <c r="AD1997" t="s">
        <v>38523</v>
      </c>
      <c r="AE1997">
        <v>0</v>
      </c>
      <c r="AF1997" t="s">
        <v>45541</v>
      </c>
      <c r="AG1997" t="s">
        <v>19330</v>
      </c>
      <c r="AH1997">
        <v>6</v>
      </c>
      <c r="AI1997">
        <v>2</v>
      </c>
      <c r="AJ1997">
        <v>1</v>
      </c>
      <c r="AK1997">
        <v>105.7</v>
      </c>
      <c r="AN1997" t="s">
        <v>7439</v>
      </c>
      <c r="AO1997">
        <v>21964</v>
      </c>
      <c r="AU1997">
        <v>17.3</v>
      </c>
      <c r="AV1997" t="s">
        <v>786</v>
      </c>
      <c r="AW1997" t="s">
        <v>334</v>
      </c>
    </row>
    <row r="1998" spans="1:50">
      <c r="A1998" s="1">
        <f>HYPERLINK("https://lsnyc.legalserver.org/matter/dynamic-profile/view/1878494","18-1878494")</f>
        <v>0</v>
      </c>
      <c r="B1998" t="s">
        <v>121</v>
      </c>
      <c r="C1998" t="s">
        <v>340</v>
      </c>
      <c r="D1998" t="s">
        <v>589</v>
      </c>
      <c r="F1998" t="s">
        <v>2046</v>
      </c>
      <c r="G1998" t="s">
        <v>6225</v>
      </c>
      <c r="H1998" t="s">
        <v>11278</v>
      </c>
      <c r="I1998" t="s">
        <v>17440</v>
      </c>
      <c r="J1998" t="s">
        <v>18892</v>
      </c>
      <c r="K1998">
        <v>10467</v>
      </c>
      <c r="L1998" t="s">
        <v>18958</v>
      </c>
      <c r="M1998" t="s">
        <v>18958</v>
      </c>
      <c r="N1998" t="s">
        <v>20471</v>
      </c>
      <c r="O1998" t="s">
        <v>26523</v>
      </c>
      <c r="P1998" t="s">
        <v>26560</v>
      </c>
      <c r="R1998" t="s">
        <v>26579</v>
      </c>
      <c r="U1998" t="s">
        <v>26604</v>
      </c>
      <c r="V1998" t="s">
        <v>26610</v>
      </c>
      <c r="W1998" t="s">
        <v>589</v>
      </c>
      <c r="X1998">
        <v>1085</v>
      </c>
      <c r="Y1998" t="s">
        <v>26650</v>
      </c>
      <c r="Z1998" t="s">
        <v>26664</v>
      </c>
      <c r="AB1998" t="s">
        <v>28470</v>
      </c>
      <c r="AD1998" t="s">
        <v>38524</v>
      </c>
      <c r="AE1998">
        <v>48</v>
      </c>
      <c r="AF1998" t="s">
        <v>45541</v>
      </c>
      <c r="AG1998" t="s">
        <v>45556</v>
      </c>
      <c r="AH1998">
        <v>16</v>
      </c>
      <c r="AI1998">
        <v>1</v>
      </c>
      <c r="AJ1998">
        <v>0</v>
      </c>
      <c r="AK1998">
        <v>85.40000000000001</v>
      </c>
      <c r="AN1998" t="s">
        <v>7439</v>
      </c>
      <c r="AO1998">
        <v>10368</v>
      </c>
      <c r="AQ1998" t="s">
        <v>46359</v>
      </c>
      <c r="AR1998" t="s">
        <v>46380</v>
      </c>
      <c r="AS1998" t="s">
        <v>46502</v>
      </c>
      <c r="AT1998" t="s">
        <v>46531</v>
      </c>
      <c r="AU1998">
        <v>18.8</v>
      </c>
      <c r="AV1998" t="s">
        <v>784</v>
      </c>
      <c r="AW1998" t="s">
        <v>46857</v>
      </c>
    </row>
    <row r="1999" spans="1:50">
      <c r="A1999" s="1">
        <f>HYPERLINK("https://lsnyc.legalserver.org/matter/dynamic-profile/view/1878464","18-1878464")</f>
        <v>0</v>
      </c>
      <c r="B1999" t="s">
        <v>87</v>
      </c>
      <c r="C1999" t="s">
        <v>340</v>
      </c>
      <c r="D1999" t="s">
        <v>589</v>
      </c>
      <c r="F1999" t="s">
        <v>1096</v>
      </c>
      <c r="G1999" t="s">
        <v>5269</v>
      </c>
      <c r="H1999" t="s">
        <v>11279</v>
      </c>
      <c r="I1999" t="s">
        <v>17360</v>
      </c>
      <c r="J1999" t="s">
        <v>18892</v>
      </c>
      <c r="K1999">
        <v>10457</v>
      </c>
      <c r="L1999" t="s">
        <v>18958</v>
      </c>
      <c r="M1999" t="s">
        <v>18958</v>
      </c>
      <c r="N1999" t="s">
        <v>20361</v>
      </c>
      <c r="O1999" t="s">
        <v>26523</v>
      </c>
      <c r="P1999" t="s">
        <v>26560</v>
      </c>
      <c r="R1999" t="s">
        <v>26579</v>
      </c>
      <c r="U1999" t="s">
        <v>26604</v>
      </c>
      <c r="V1999" t="s">
        <v>26609</v>
      </c>
      <c r="W1999" t="s">
        <v>589</v>
      </c>
      <c r="X1999">
        <v>1953</v>
      </c>
      <c r="Y1999" t="s">
        <v>26650</v>
      </c>
      <c r="Z1999" t="s">
        <v>26664</v>
      </c>
      <c r="AB1999" t="s">
        <v>28471</v>
      </c>
      <c r="AD1999" t="s">
        <v>38525</v>
      </c>
      <c r="AE1999">
        <v>0</v>
      </c>
      <c r="AF1999" t="s">
        <v>45541</v>
      </c>
      <c r="AG1999" t="s">
        <v>45562</v>
      </c>
      <c r="AH1999">
        <v>3</v>
      </c>
      <c r="AI1999">
        <v>2</v>
      </c>
      <c r="AJ1999">
        <v>4</v>
      </c>
      <c r="AK1999">
        <v>83.22</v>
      </c>
      <c r="AN1999" t="s">
        <v>7439</v>
      </c>
      <c r="AO1999">
        <v>28080</v>
      </c>
      <c r="AP1999" t="s">
        <v>45654</v>
      </c>
      <c r="AU1999">
        <v>85.59999999999999</v>
      </c>
      <c r="AV1999" t="s">
        <v>807</v>
      </c>
      <c r="AW1999" t="s">
        <v>334</v>
      </c>
    </row>
    <row r="2000" spans="1:50">
      <c r="A2000" s="1">
        <f>HYPERLINK("https://lsnyc.legalserver.org/matter/dynamic-profile/view/1879195","18-1879195")</f>
        <v>0</v>
      </c>
      <c r="B2000" t="s">
        <v>194</v>
      </c>
      <c r="C2000" t="s">
        <v>340</v>
      </c>
      <c r="D2000" t="s">
        <v>589</v>
      </c>
      <c r="F2000" t="s">
        <v>1583</v>
      </c>
      <c r="G2000" t="s">
        <v>6226</v>
      </c>
      <c r="H2000" t="s">
        <v>11280</v>
      </c>
      <c r="I2000" t="s">
        <v>17356</v>
      </c>
      <c r="J2000" t="s">
        <v>18893</v>
      </c>
      <c r="K2000">
        <v>10026</v>
      </c>
      <c r="L2000" t="s">
        <v>18958</v>
      </c>
      <c r="M2000" t="s">
        <v>18958</v>
      </c>
      <c r="N2000" t="s">
        <v>20472</v>
      </c>
      <c r="O2000" t="s">
        <v>26523</v>
      </c>
      <c r="P2000" t="s">
        <v>26560</v>
      </c>
      <c r="R2000" t="s">
        <v>26580</v>
      </c>
      <c r="S2000" t="s">
        <v>18959</v>
      </c>
      <c r="U2000" t="s">
        <v>26604</v>
      </c>
      <c r="V2000" t="s">
        <v>26610</v>
      </c>
      <c r="W2000" t="s">
        <v>589</v>
      </c>
      <c r="X2000">
        <v>1300</v>
      </c>
      <c r="Y2000" t="s">
        <v>26651</v>
      </c>
      <c r="Z2000" t="s">
        <v>26664</v>
      </c>
      <c r="AB2000" t="s">
        <v>28472</v>
      </c>
      <c r="AD2000" t="s">
        <v>38526</v>
      </c>
      <c r="AE2000">
        <v>0</v>
      </c>
      <c r="AF2000" t="s">
        <v>45544</v>
      </c>
      <c r="AG2000" t="s">
        <v>19330</v>
      </c>
      <c r="AH2000">
        <v>-1</v>
      </c>
      <c r="AI2000">
        <v>1</v>
      </c>
      <c r="AJ2000">
        <v>0</v>
      </c>
      <c r="AK2000">
        <v>172.98</v>
      </c>
      <c r="AN2000" t="s">
        <v>7439</v>
      </c>
      <c r="AO2000">
        <v>21000</v>
      </c>
      <c r="AU2000">
        <v>13.2</v>
      </c>
      <c r="AV2000" t="s">
        <v>791</v>
      </c>
      <c r="AW2000" t="s">
        <v>314</v>
      </c>
    </row>
    <row r="2001" spans="1:50">
      <c r="A2001" s="1">
        <f>HYPERLINK("https://lsnyc.legalserver.org/matter/dynamic-profile/view/1878567","18-1878567")</f>
        <v>0</v>
      </c>
      <c r="B2001" t="s">
        <v>173</v>
      </c>
      <c r="C2001" t="s">
        <v>340</v>
      </c>
      <c r="D2001" t="s">
        <v>589</v>
      </c>
      <c r="F2001" t="s">
        <v>1266</v>
      </c>
      <c r="G2001" t="s">
        <v>5199</v>
      </c>
      <c r="H2001" t="s">
        <v>11281</v>
      </c>
      <c r="I2001">
        <v>1828</v>
      </c>
      <c r="J2001" t="s">
        <v>18893</v>
      </c>
      <c r="K2001">
        <v>10027</v>
      </c>
      <c r="L2001" t="s">
        <v>18958</v>
      </c>
      <c r="M2001" t="s">
        <v>18958</v>
      </c>
      <c r="N2001" t="s">
        <v>20473</v>
      </c>
      <c r="O2001" t="s">
        <v>26523</v>
      </c>
      <c r="P2001" t="s">
        <v>26560</v>
      </c>
      <c r="R2001" t="s">
        <v>26580</v>
      </c>
      <c r="S2001" t="s">
        <v>18959</v>
      </c>
      <c r="U2001" t="s">
        <v>26604</v>
      </c>
      <c r="V2001" t="s">
        <v>26610</v>
      </c>
      <c r="W2001" t="s">
        <v>589</v>
      </c>
      <c r="X2001">
        <v>331.35</v>
      </c>
      <c r="Y2001" t="s">
        <v>26651</v>
      </c>
      <c r="Z2001" t="s">
        <v>26664</v>
      </c>
      <c r="AB2001" t="s">
        <v>28473</v>
      </c>
      <c r="AD2001" t="s">
        <v>38527</v>
      </c>
      <c r="AE2001">
        <v>9</v>
      </c>
      <c r="AF2001" t="s">
        <v>45541</v>
      </c>
      <c r="AG2001" t="s">
        <v>26530</v>
      </c>
      <c r="AH2001">
        <v>14</v>
      </c>
      <c r="AI2001">
        <v>2</v>
      </c>
      <c r="AJ2001">
        <v>0</v>
      </c>
      <c r="AK2001">
        <v>7.84</v>
      </c>
      <c r="AN2001" t="s">
        <v>7439</v>
      </c>
      <c r="AO2001">
        <v>1290</v>
      </c>
      <c r="AU2001">
        <v>2</v>
      </c>
      <c r="AV2001" t="s">
        <v>688</v>
      </c>
      <c r="AW2001" t="s">
        <v>314</v>
      </c>
    </row>
    <row r="2002" spans="1:50">
      <c r="A2002" s="1">
        <f>HYPERLINK("https://lsnyc.legalserver.org/matter/dynamic-profile/view/1878629","18-1878629")</f>
        <v>0</v>
      </c>
      <c r="B2002" t="s">
        <v>212</v>
      </c>
      <c r="C2002" t="s">
        <v>341</v>
      </c>
      <c r="D2002" t="s">
        <v>451</v>
      </c>
      <c r="E2002" t="s">
        <v>583</v>
      </c>
      <c r="F2002" t="s">
        <v>1447</v>
      </c>
      <c r="G2002" t="s">
        <v>6227</v>
      </c>
      <c r="H2002" t="s">
        <v>11282</v>
      </c>
      <c r="I2002" t="s">
        <v>17283</v>
      </c>
      <c r="J2002" t="s">
        <v>18936</v>
      </c>
      <c r="K2002">
        <v>11361</v>
      </c>
      <c r="L2002" t="s">
        <v>18958</v>
      </c>
      <c r="M2002" t="s">
        <v>18958</v>
      </c>
      <c r="N2002" t="s">
        <v>20474</v>
      </c>
      <c r="O2002" t="s">
        <v>26524</v>
      </c>
      <c r="P2002" t="s">
        <v>26564</v>
      </c>
      <c r="Q2002" t="s">
        <v>26570</v>
      </c>
      <c r="R2002" t="s">
        <v>26578</v>
      </c>
      <c r="S2002" t="s">
        <v>18959</v>
      </c>
      <c r="U2002" t="s">
        <v>26604</v>
      </c>
      <c r="V2002" t="s">
        <v>26610</v>
      </c>
      <c r="W2002" t="s">
        <v>589</v>
      </c>
      <c r="X2002">
        <v>1022</v>
      </c>
      <c r="Y2002" t="s">
        <v>26653</v>
      </c>
      <c r="Z2002" t="s">
        <v>26664</v>
      </c>
      <c r="AA2002" t="s">
        <v>26683</v>
      </c>
      <c r="AB2002" t="s">
        <v>28474</v>
      </c>
      <c r="AD2002" t="s">
        <v>38528</v>
      </c>
      <c r="AE2002">
        <v>18</v>
      </c>
      <c r="AF2002" t="s">
        <v>45541</v>
      </c>
      <c r="AG2002" t="s">
        <v>19330</v>
      </c>
      <c r="AH2002">
        <v>22</v>
      </c>
      <c r="AI2002">
        <v>1</v>
      </c>
      <c r="AJ2002">
        <v>0</v>
      </c>
      <c r="AK2002">
        <v>65.90000000000001</v>
      </c>
      <c r="AN2002" t="s">
        <v>7439</v>
      </c>
      <c r="AO2002">
        <v>8000</v>
      </c>
      <c r="AU2002">
        <v>0.9</v>
      </c>
      <c r="AV2002" t="s">
        <v>540</v>
      </c>
      <c r="AW2002" t="s">
        <v>208</v>
      </c>
    </row>
    <row r="2003" spans="1:50">
      <c r="A2003" s="1">
        <f>HYPERLINK("https://lsnyc.legalserver.org/matter/dynamic-profile/view/1878443","18-1878443")</f>
        <v>0</v>
      </c>
      <c r="B2003" t="s">
        <v>103</v>
      </c>
      <c r="C2003" t="s">
        <v>341</v>
      </c>
      <c r="D2003" t="s">
        <v>451</v>
      </c>
      <c r="E2003" t="s">
        <v>834</v>
      </c>
      <c r="F2003" t="s">
        <v>2047</v>
      </c>
      <c r="G2003" t="s">
        <v>3604</v>
      </c>
      <c r="H2003" t="s">
        <v>11283</v>
      </c>
      <c r="I2003" t="s">
        <v>17316</v>
      </c>
      <c r="J2003" t="s">
        <v>18902</v>
      </c>
      <c r="K2003">
        <v>10310</v>
      </c>
      <c r="L2003" t="s">
        <v>18958</v>
      </c>
      <c r="M2003" t="s">
        <v>18958</v>
      </c>
      <c r="N2003" t="s">
        <v>20475</v>
      </c>
      <c r="O2003" t="s">
        <v>26523</v>
      </c>
      <c r="P2003" t="s">
        <v>26560</v>
      </c>
      <c r="Q2003" t="s">
        <v>26568</v>
      </c>
      <c r="R2003" t="s">
        <v>26590</v>
      </c>
      <c r="S2003" t="s">
        <v>18959</v>
      </c>
      <c r="U2003" t="s">
        <v>26604</v>
      </c>
      <c r="V2003" t="s">
        <v>26610</v>
      </c>
      <c r="W2003" t="s">
        <v>589</v>
      </c>
      <c r="X2003">
        <v>1696.75</v>
      </c>
      <c r="Y2003" t="s">
        <v>26654</v>
      </c>
      <c r="Z2003" t="s">
        <v>26668</v>
      </c>
      <c r="AA2003" t="s">
        <v>26678</v>
      </c>
      <c r="AB2003" t="s">
        <v>28475</v>
      </c>
      <c r="AD2003" t="s">
        <v>38529</v>
      </c>
      <c r="AE2003">
        <v>12</v>
      </c>
      <c r="AF2003" t="s">
        <v>45543</v>
      </c>
      <c r="AG2003" t="s">
        <v>45556</v>
      </c>
      <c r="AH2003">
        <v>7</v>
      </c>
      <c r="AI2003">
        <v>3</v>
      </c>
      <c r="AJ2003">
        <v>1</v>
      </c>
      <c r="AK2003">
        <v>167.33</v>
      </c>
      <c r="AN2003" t="s">
        <v>7439</v>
      </c>
      <c r="AO2003">
        <v>42000</v>
      </c>
      <c r="AQ2003" t="s">
        <v>46362</v>
      </c>
      <c r="AR2003" t="s">
        <v>46381</v>
      </c>
      <c r="AS2003" t="s">
        <v>46499</v>
      </c>
      <c r="AT2003" t="s">
        <v>46727</v>
      </c>
      <c r="AU2003">
        <v>24.4</v>
      </c>
      <c r="AV2003" t="s">
        <v>834</v>
      </c>
      <c r="AW2003" t="s">
        <v>190</v>
      </c>
      <c r="AX2003" t="s">
        <v>46897</v>
      </c>
    </row>
    <row r="2004" spans="1:50">
      <c r="A2004" s="1">
        <f>HYPERLINK("https://lsnyc.legalserver.org/matter/dynamic-profile/view/1879431","18-1879431")</f>
        <v>0</v>
      </c>
      <c r="B2004" t="s">
        <v>222</v>
      </c>
      <c r="C2004" t="s">
        <v>341</v>
      </c>
      <c r="D2004" t="s">
        <v>529</v>
      </c>
      <c r="E2004" t="s">
        <v>413</v>
      </c>
      <c r="F2004" t="s">
        <v>2048</v>
      </c>
      <c r="G2004" t="s">
        <v>5606</v>
      </c>
      <c r="H2004" t="s">
        <v>11284</v>
      </c>
      <c r="I2004" t="s">
        <v>17416</v>
      </c>
      <c r="J2004" t="s">
        <v>18894</v>
      </c>
      <c r="K2004">
        <v>11236</v>
      </c>
      <c r="L2004" t="s">
        <v>18958</v>
      </c>
      <c r="M2004" t="s">
        <v>18958</v>
      </c>
      <c r="N2004" t="s">
        <v>20476</v>
      </c>
      <c r="O2004" t="s">
        <v>26524</v>
      </c>
      <c r="P2004" t="s">
        <v>26564</v>
      </c>
      <c r="Q2004" t="s">
        <v>26570</v>
      </c>
      <c r="R2004" t="s">
        <v>26586</v>
      </c>
      <c r="S2004" t="s">
        <v>18959</v>
      </c>
      <c r="U2004" t="s">
        <v>26604</v>
      </c>
      <c r="V2004" t="s">
        <v>26610</v>
      </c>
      <c r="W2004" t="s">
        <v>589</v>
      </c>
      <c r="X2004">
        <v>1550</v>
      </c>
      <c r="Y2004" t="s">
        <v>26652</v>
      </c>
      <c r="Z2004" t="s">
        <v>26664</v>
      </c>
      <c r="AA2004" t="s">
        <v>26683</v>
      </c>
      <c r="AB2004" t="s">
        <v>28476</v>
      </c>
      <c r="AD2004" t="s">
        <v>38530</v>
      </c>
      <c r="AE2004">
        <v>3</v>
      </c>
      <c r="AF2004" t="s">
        <v>45547</v>
      </c>
      <c r="AG2004" t="s">
        <v>19330</v>
      </c>
      <c r="AH2004">
        <v>2</v>
      </c>
      <c r="AI2004">
        <v>1</v>
      </c>
      <c r="AJ2004">
        <v>1</v>
      </c>
      <c r="AK2004">
        <v>127.58</v>
      </c>
      <c r="AN2004" t="s">
        <v>7439</v>
      </c>
      <c r="AO2004">
        <v>21000</v>
      </c>
      <c r="AU2004">
        <v>1.8</v>
      </c>
      <c r="AV2004" t="s">
        <v>413</v>
      </c>
      <c r="AW2004" t="s">
        <v>46862</v>
      </c>
    </row>
    <row r="2005" spans="1:50">
      <c r="A2005" s="1">
        <f>HYPERLINK("https://lsnyc.legalserver.org/matter/dynamic-profile/view/1846868","17-1846868")</f>
        <v>0</v>
      </c>
      <c r="B2005" t="s">
        <v>81</v>
      </c>
      <c r="C2005" t="s">
        <v>341</v>
      </c>
      <c r="D2005" t="s">
        <v>602</v>
      </c>
      <c r="E2005" t="s">
        <v>494</v>
      </c>
      <c r="F2005" t="s">
        <v>1687</v>
      </c>
      <c r="G2005" t="s">
        <v>5515</v>
      </c>
      <c r="H2005" t="s">
        <v>10877</v>
      </c>
      <c r="I2005" t="s">
        <v>17322</v>
      </c>
      <c r="J2005" t="s">
        <v>18892</v>
      </c>
      <c r="K2005">
        <v>10457</v>
      </c>
      <c r="L2005" t="s">
        <v>18958</v>
      </c>
      <c r="M2005" t="s">
        <v>18960</v>
      </c>
      <c r="N2005" t="s">
        <v>20477</v>
      </c>
      <c r="O2005" t="s">
        <v>26524</v>
      </c>
      <c r="P2005" t="s">
        <v>26560</v>
      </c>
      <c r="Q2005" t="s">
        <v>26573</v>
      </c>
      <c r="R2005" t="s">
        <v>26579</v>
      </c>
      <c r="S2005" t="s">
        <v>18959</v>
      </c>
      <c r="U2005" t="s">
        <v>26604</v>
      </c>
      <c r="V2005" t="s">
        <v>26610</v>
      </c>
      <c r="W2005" t="s">
        <v>451</v>
      </c>
      <c r="X2005">
        <v>2100</v>
      </c>
      <c r="Y2005" t="s">
        <v>26650</v>
      </c>
      <c r="Z2005" t="s">
        <v>26662</v>
      </c>
      <c r="AA2005" t="s">
        <v>26680</v>
      </c>
      <c r="AB2005" t="s">
        <v>28242</v>
      </c>
      <c r="AC2005" t="s">
        <v>35096</v>
      </c>
      <c r="AD2005" t="s">
        <v>38531</v>
      </c>
      <c r="AE2005">
        <v>23</v>
      </c>
      <c r="AF2005" t="s">
        <v>45541</v>
      </c>
      <c r="AG2005" t="s">
        <v>45556</v>
      </c>
      <c r="AH2005">
        <v>7</v>
      </c>
      <c r="AI2005">
        <v>2</v>
      </c>
      <c r="AJ2005">
        <v>2</v>
      </c>
      <c r="AK2005">
        <v>105.69</v>
      </c>
      <c r="AM2005" t="s">
        <v>45576</v>
      </c>
      <c r="AN2005" t="s">
        <v>7439</v>
      </c>
      <c r="AO2005">
        <v>26000</v>
      </c>
      <c r="AP2005" t="s">
        <v>45621</v>
      </c>
      <c r="AQ2005" t="s">
        <v>46359</v>
      </c>
      <c r="AR2005" t="s">
        <v>46380</v>
      </c>
      <c r="AS2005" t="s">
        <v>46499</v>
      </c>
      <c r="AT2005" t="s">
        <v>46543</v>
      </c>
      <c r="AU2005">
        <v>74.90000000000001</v>
      </c>
      <c r="AV2005" t="s">
        <v>684</v>
      </c>
      <c r="AW2005" t="s">
        <v>46848</v>
      </c>
      <c r="AX2005" t="s">
        <v>46898</v>
      </c>
    </row>
    <row r="2006" spans="1:50">
      <c r="A2006" s="1">
        <f>HYPERLINK("https://lsnyc.legalserver.org/matter/dynamic-profile/view/1846777","17-1846777")</f>
        <v>0</v>
      </c>
      <c r="B2006" t="s">
        <v>121</v>
      </c>
      <c r="C2006" t="s">
        <v>341</v>
      </c>
      <c r="D2006" t="s">
        <v>602</v>
      </c>
      <c r="E2006" t="s">
        <v>416</v>
      </c>
      <c r="F2006" t="s">
        <v>1471</v>
      </c>
      <c r="G2006" t="s">
        <v>5177</v>
      </c>
      <c r="H2006" t="s">
        <v>11285</v>
      </c>
      <c r="I2006" t="s">
        <v>17334</v>
      </c>
      <c r="J2006" t="s">
        <v>18892</v>
      </c>
      <c r="K2006">
        <v>10472</v>
      </c>
      <c r="L2006" t="s">
        <v>18958</v>
      </c>
      <c r="M2006" t="s">
        <v>18960</v>
      </c>
      <c r="N2006" t="s">
        <v>20478</v>
      </c>
      <c r="O2006" t="s">
        <v>26524</v>
      </c>
      <c r="P2006" t="s">
        <v>26560</v>
      </c>
      <c r="Q2006" t="s">
        <v>26568</v>
      </c>
      <c r="R2006" t="s">
        <v>26577</v>
      </c>
      <c r="S2006" t="s">
        <v>18959</v>
      </c>
      <c r="U2006" t="s">
        <v>26604</v>
      </c>
      <c r="V2006" t="s">
        <v>26610</v>
      </c>
      <c r="W2006" t="s">
        <v>451</v>
      </c>
      <c r="X2006">
        <v>650</v>
      </c>
      <c r="Y2006" t="s">
        <v>26650</v>
      </c>
      <c r="Z2006" t="s">
        <v>26662</v>
      </c>
      <c r="AA2006" t="s">
        <v>26678</v>
      </c>
      <c r="AB2006" t="s">
        <v>28477</v>
      </c>
      <c r="AD2006" t="s">
        <v>38532</v>
      </c>
      <c r="AE2006">
        <v>4</v>
      </c>
      <c r="AF2006" t="s">
        <v>20460</v>
      </c>
      <c r="AG2006" t="s">
        <v>19330</v>
      </c>
      <c r="AH2006">
        <v>10</v>
      </c>
      <c r="AI2006">
        <v>1</v>
      </c>
      <c r="AJ2006">
        <v>0</v>
      </c>
      <c r="AK2006">
        <v>99.5</v>
      </c>
      <c r="AN2006" t="s">
        <v>7439</v>
      </c>
      <c r="AO2006">
        <v>12000</v>
      </c>
      <c r="AQ2006" t="s">
        <v>46359</v>
      </c>
      <c r="AR2006" t="s">
        <v>46425</v>
      </c>
      <c r="AS2006" t="s">
        <v>46499</v>
      </c>
      <c r="AT2006" t="s">
        <v>46602</v>
      </c>
      <c r="AU2006">
        <v>17.6</v>
      </c>
      <c r="AV2006" t="s">
        <v>416</v>
      </c>
      <c r="AW2006" t="s">
        <v>46832</v>
      </c>
    </row>
    <row r="2007" spans="1:50">
      <c r="A2007" s="1">
        <f>HYPERLINK("https://lsnyc.legalserver.org/matter/dynamic-profile/view/1873643","18-1873643")</f>
        <v>0</v>
      </c>
      <c r="B2007" t="s">
        <v>87</v>
      </c>
      <c r="C2007" t="s">
        <v>341</v>
      </c>
      <c r="D2007" t="s">
        <v>476</v>
      </c>
      <c r="E2007" t="s">
        <v>728</v>
      </c>
      <c r="F2007" t="s">
        <v>1874</v>
      </c>
      <c r="G2007" t="s">
        <v>5208</v>
      </c>
      <c r="H2007" t="s">
        <v>11286</v>
      </c>
      <c r="I2007" t="s">
        <v>17322</v>
      </c>
      <c r="J2007" t="s">
        <v>18892</v>
      </c>
      <c r="K2007">
        <v>10468</v>
      </c>
      <c r="L2007" t="s">
        <v>18958</v>
      </c>
      <c r="M2007" t="s">
        <v>18958</v>
      </c>
      <c r="N2007" t="s">
        <v>20479</v>
      </c>
      <c r="O2007" t="s">
        <v>26523</v>
      </c>
      <c r="P2007" t="s">
        <v>26560</v>
      </c>
      <c r="Q2007" t="s">
        <v>26568</v>
      </c>
      <c r="R2007" t="s">
        <v>26579</v>
      </c>
      <c r="U2007" t="s">
        <v>26604</v>
      </c>
      <c r="V2007" t="s">
        <v>26610</v>
      </c>
      <c r="W2007" t="s">
        <v>451</v>
      </c>
      <c r="X2007">
        <v>1500</v>
      </c>
      <c r="Y2007" t="s">
        <v>26650</v>
      </c>
      <c r="AA2007" t="s">
        <v>26678</v>
      </c>
      <c r="AB2007" t="s">
        <v>28478</v>
      </c>
      <c r="AD2007" t="s">
        <v>38533</v>
      </c>
      <c r="AE2007">
        <v>40</v>
      </c>
      <c r="AF2007" t="s">
        <v>45541</v>
      </c>
      <c r="AG2007" t="s">
        <v>19330</v>
      </c>
      <c r="AH2007">
        <v>6</v>
      </c>
      <c r="AI2007">
        <v>1</v>
      </c>
      <c r="AJ2007">
        <v>0</v>
      </c>
      <c r="AK2007">
        <v>128.5</v>
      </c>
      <c r="AN2007" t="s">
        <v>45581</v>
      </c>
      <c r="AO2007">
        <v>15600</v>
      </c>
      <c r="AR2007" t="s">
        <v>46381</v>
      </c>
      <c r="AS2007" t="s">
        <v>46499</v>
      </c>
      <c r="AT2007" t="s">
        <v>46537</v>
      </c>
      <c r="AU2007">
        <v>13.9</v>
      </c>
      <c r="AV2007" t="s">
        <v>718</v>
      </c>
      <c r="AW2007" t="s">
        <v>46861</v>
      </c>
    </row>
    <row r="2008" spans="1:50">
      <c r="A2008" s="1">
        <f>HYPERLINK("https://lsnyc.legalserver.org/matter/dynamic-profile/view/1874489","18-1874489")</f>
        <v>0</v>
      </c>
      <c r="B2008" t="s">
        <v>137</v>
      </c>
      <c r="C2008" t="s">
        <v>341</v>
      </c>
      <c r="D2008" t="s">
        <v>498</v>
      </c>
      <c r="E2008" t="s">
        <v>819</v>
      </c>
      <c r="F2008" t="s">
        <v>1228</v>
      </c>
      <c r="G2008" t="s">
        <v>6228</v>
      </c>
      <c r="H2008" t="s">
        <v>11287</v>
      </c>
      <c r="I2008" t="s">
        <v>17417</v>
      </c>
      <c r="J2008" t="s">
        <v>18892</v>
      </c>
      <c r="K2008">
        <v>10468</v>
      </c>
      <c r="L2008" t="s">
        <v>18958</v>
      </c>
      <c r="M2008" t="s">
        <v>18958</v>
      </c>
      <c r="N2008" t="s">
        <v>20480</v>
      </c>
      <c r="O2008" t="s">
        <v>26523</v>
      </c>
      <c r="P2008" t="s">
        <v>26560</v>
      </c>
      <c r="Q2008" t="s">
        <v>26568</v>
      </c>
      <c r="R2008" t="s">
        <v>26579</v>
      </c>
      <c r="S2008" t="s">
        <v>18959</v>
      </c>
      <c r="U2008" t="s">
        <v>26604</v>
      </c>
      <c r="V2008" t="s">
        <v>26610</v>
      </c>
      <c r="W2008" t="s">
        <v>451</v>
      </c>
      <c r="X2008">
        <v>1587.25</v>
      </c>
      <c r="Y2008" t="s">
        <v>26650</v>
      </c>
      <c r="Z2008" t="s">
        <v>26668</v>
      </c>
      <c r="AA2008" t="s">
        <v>26678</v>
      </c>
      <c r="AB2008" t="s">
        <v>28479</v>
      </c>
      <c r="AD2008" t="s">
        <v>38534</v>
      </c>
      <c r="AE2008">
        <v>72</v>
      </c>
      <c r="AF2008" t="s">
        <v>45541</v>
      </c>
      <c r="AG2008" t="s">
        <v>45556</v>
      </c>
      <c r="AH2008">
        <v>14</v>
      </c>
      <c r="AI2008">
        <v>2</v>
      </c>
      <c r="AJ2008">
        <v>0</v>
      </c>
      <c r="AK2008">
        <v>56.87</v>
      </c>
      <c r="AN2008" t="s">
        <v>45581</v>
      </c>
      <c r="AO2008">
        <v>9360</v>
      </c>
      <c r="AQ2008" t="s">
        <v>46361</v>
      </c>
      <c r="AR2008" t="s">
        <v>46454</v>
      </c>
      <c r="AS2008" t="s">
        <v>46499</v>
      </c>
      <c r="AT2008" t="s">
        <v>46554</v>
      </c>
      <c r="AU2008">
        <v>27.25</v>
      </c>
      <c r="AV2008" t="s">
        <v>753</v>
      </c>
      <c r="AW2008" t="s">
        <v>46832</v>
      </c>
    </row>
    <row r="2009" spans="1:50">
      <c r="A2009" s="1">
        <f>HYPERLINK("https://lsnyc.legalserver.org/matter/dynamic-profile/view/1878588","18-1878588")</f>
        <v>0</v>
      </c>
      <c r="B2009" t="s">
        <v>107</v>
      </c>
      <c r="C2009" t="s">
        <v>341</v>
      </c>
      <c r="D2009" t="s">
        <v>451</v>
      </c>
      <c r="E2009" t="s">
        <v>691</v>
      </c>
      <c r="F2009" t="s">
        <v>2049</v>
      </c>
      <c r="G2009" t="s">
        <v>6229</v>
      </c>
      <c r="H2009" t="s">
        <v>11288</v>
      </c>
      <c r="I2009" t="s">
        <v>17275</v>
      </c>
      <c r="J2009" t="s">
        <v>18898</v>
      </c>
      <c r="K2009">
        <v>11691</v>
      </c>
      <c r="L2009" t="s">
        <v>18958</v>
      </c>
      <c r="M2009" t="s">
        <v>18958</v>
      </c>
      <c r="N2009" t="s">
        <v>20481</v>
      </c>
      <c r="O2009" t="s">
        <v>26523</v>
      </c>
      <c r="P2009" t="s">
        <v>26560</v>
      </c>
      <c r="Q2009" t="s">
        <v>26568</v>
      </c>
      <c r="R2009" t="s">
        <v>26578</v>
      </c>
      <c r="S2009" t="s">
        <v>18959</v>
      </c>
      <c r="U2009" t="s">
        <v>26604</v>
      </c>
      <c r="V2009" t="s">
        <v>26609</v>
      </c>
      <c r="W2009" t="s">
        <v>451</v>
      </c>
      <c r="X2009">
        <v>1424</v>
      </c>
      <c r="Y2009" t="s">
        <v>26653</v>
      </c>
      <c r="Z2009" t="s">
        <v>26664</v>
      </c>
      <c r="AA2009" t="s">
        <v>26678</v>
      </c>
      <c r="AB2009" t="s">
        <v>28480</v>
      </c>
      <c r="AC2009" t="s">
        <v>35097</v>
      </c>
      <c r="AD2009" t="s">
        <v>38535</v>
      </c>
      <c r="AE2009">
        <v>42</v>
      </c>
      <c r="AF2009" t="s">
        <v>20460</v>
      </c>
      <c r="AG2009" t="s">
        <v>19330</v>
      </c>
      <c r="AH2009">
        <v>2</v>
      </c>
      <c r="AI2009">
        <v>1</v>
      </c>
      <c r="AJ2009">
        <v>3</v>
      </c>
      <c r="AK2009">
        <v>191.24</v>
      </c>
      <c r="AN2009" t="s">
        <v>7439</v>
      </c>
      <c r="AO2009">
        <v>48000</v>
      </c>
      <c r="AQ2009" t="s">
        <v>46365</v>
      </c>
      <c r="AR2009" t="s">
        <v>26530</v>
      </c>
      <c r="AS2009" t="s">
        <v>46499</v>
      </c>
      <c r="AT2009" t="s">
        <v>46605</v>
      </c>
      <c r="AU2009">
        <v>7.6</v>
      </c>
      <c r="AV2009" t="s">
        <v>667</v>
      </c>
      <c r="AW2009" t="s">
        <v>208</v>
      </c>
    </row>
    <row r="2010" spans="1:50">
      <c r="A2010" s="1">
        <f>HYPERLINK("https://lsnyc.legalserver.org/matter/dynamic-profile/view/1878615","18-1878615")</f>
        <v>0</v>
      </c>
      <c r="B2010" t="s">
        <v>85</v>
      </c>
      <c r="C2010" t="s">
        <v>341</v>
      </c>
      <c r="D2010" t="s">
        <v>451</v>
      </c>
      <c r="E2010" t="s">
        <v>411</v>
      </c>
      <c r="F2010" t="s">
        <v>1033</v>
      </c>
      <c r="G2010" t="s">
        <v>5214</v>
      </c>
      <c r="H2010" t="s">
        <v>9798</v>
      </c>
      <c r="I2010" t="s">
        <v>17379</v>
      </c>
      <c r="J2010" t="s">
        <v>18901</v>
      </c>
      <c r="K2010">
        <v>11434</v>
      </c>
      <c r="L2010" t="s">
        <v>18958</v>
      </c>
      <c r="M2010" t="s">
        <v>18958</v>
      </c>
      <c r="N2010" t="s">
        <v>20482</v>
      </c>
      <c r="O2010" t="s">
        <v>26524</v>
      </c>
      <c r="P2010" t="s">
        <v>26564</v>
      </c>
      <c r="Q2010" t="s">
        <v>26570</v>
      </c>
      <c r="R2010" t="s">
        <v>26585</v>
      </c>
      <c r="S2010" t="s">
        <v>18959</v>
      </c>
      <c r="U2010" t="s">
        <v>26604</v>
      </c>
      <c r="V2010" t="s">
        <v>26610</v>
      </c>
      <c r="W2010" t="s">
        <v>451</v>
      </c>
      <c r="X2010">
        <v>957</v>
      </c>
      <c r="Y2010" t="s">
        <v>26653</v>
      </c>
      <c r="Z2010" t="s">
        <v>26664</v>
      </c>
      <c r="AA2010" t="s">
        <v>26683</v>
      </c>
      <c r="AB2010" t="s">
        <v>26883</v>
      </c>
      <c r="AD2010" t="s">
        <v>36978</v>
      </c>
      <c r="AE2010">
        <v>104</v>
      </c>
      <c r="AF2010" t="s">
        <v>20460</v>
      </c>
      <c r="AG2010" t="s">
        <v>19330</v>
      </c>
      <c r="AH2010">
        <v>3</v>
      </c>
      <c r="AI2010">
        <v>2</v>
      </c>
      <c r="AJ2010">
        <v>1</v>
      </c>
      <c r="AK2010">
        <v>212.7</v>
      </c>
      <c r="AN2010" t="s">
        <v>7439</v>
      </c>
      <c r="AO2010">
        <v>44200</v>
      </c>
      <c r="AU2010">
        <v>0.75</v>
      </c>
      <c r="AV2010" t="s">
        <v>411</v>
      </c>
      <c r="AW2010" t="s">
        <v>208</v>
      </c>
    </row>
    <row r="2011" spans="1:50">
      <c r="A2011" s="1">
        <f>HYPERLINK("https://lsnyc.legalserver.org/matter/dynamic-profile/view/1878610","18-1878610")</f>
        <v>0</v>
      </c>
      <c r="B2011" t="s">
        <v>251</v>
      </c>
      <c r="C2011" t="s">
        <v>341</v>
      </c>
      <c r="D2011" t="s">
        <v>451</v>
      </c>
      <c r="E2011" t="s">
        <v>789</v>
      </c>
      <c r="F2011" t="s">
        <v>875</v>
      </c>
      <c r="G2011" t="s">
        <v>5691</v>
      </c>
      <c r="H2011" t="s">
        <v>9679</v>
      </c>
      <c r="I2011" t="s">
        <v>17758</v>
      </c>
      <c r="J2011" t="s">
        <v>18892</v>
      </c>
      <c r="K2011">
        <v>10457</v>
      </c>
      <c r="L2011" t="s">
        <v>18958</v>
      </c>
      <c r="M2011" t="s">
        <v>18958</v>
      </c>
      <c r="N2011" t="s">
        <v>20483</v>
      </c>
      <c r="O2011" t="s">
        <v>26523</v>
      </c>
      <c r="P2011" t="s">
        <v>26560</v>
      </c>
      <c r="Q2011" t="s">
        <v>26573</v>
      </c>
      <c r="R2011" t="s">
        <v>26579</v>
      </c>
      <c r="S2011" t="s">
        <v>18959</v>
      </c>
      <c r="U2011" t="s">
        <v>26604</v>
      </c>
      <c r="V2011" t="s">
        <v>26610</v>
      </c>
      <c r="W2011" t="s">
        <v>451</v>
      </c>
      <c r="X2011">
        <v>709</v>
      </c>
      <c r="Y2011" t="s">
        <v>26650</v>
      </c>
      <c r="Z2011" t="s">
        <v>26664</v>
      </c>
      <c r="AA2011" t="s">
        <v>26678</v>
      </c>
      <c r="AB2011" t="s">
        <v>28481</v>
      </c>
      <c r="AC2011" t="s">
        <v>35098</v>
      </c>
      <c r="AD2011" t="s">
        <v>38536</v>
      </c>
      <c r="AE2011">
        <v>215</v>
      </c>
      <c r="AF2011" t="s">
        <v>45552</v>
      </c>
      <c r="AG2011" t="s">
        <v>45559</v>
      </c>
      <c r="AH2011">
        <v>6</v>
      </c>
      <c r="AI2011">
        <v>1</v>
      </c>
      <c r="AJ2011">
        <v>0</v>
      </c>
      <c r="AK2011">
        <v>73.15000000000001</v>
      </c>
      <c r="AN2011" t="s">
        <v>45581</v>
      </c>
      <c r="AO2011">
        <v>8880</v>
      </c>
      <c r="AQ2011" t="s">
        <v>46362</v>
      </c>
      <c r="AR2011" t="s">
        <v>46380</v>
      </c>
      <c r="AS2011" t="s">
        <v>46499</v>
      </c>
      <c r="AT2011" t="s">
        <v>46662</v>
      </c>
      <c r="AU2011">
        <v>53.05</v>
      </c>
      <c r="AV2011" t="s">
        <v>694</v>
      </c>
      <c r="AW2011" t="s">
        <v>334</v>
      </c>
    </row>
    <row r="2012" spans="1:50">
      <c r="A2012" s="1">
        <f>HYPERLINK("https://lsnyc.legalserver.org/matter/dynamic-profile/view/1878640","18-1878640")</f>
        <v>0</v>
      </c>
      <c r="B2012" t="s">
        <v>212</v>
      </c>
      <c r="C2012" t="s">
        <v>341</v>
      </c>
      <c r="D2012" t="s">
        <v>451</v>
      </c>
      <c r="E2012" t="s">
        <v>599</v>
      </c>
      <c r="F2012" t="s">
        <v>1597</v>
      </c>
      <c r="G2012" t="s">
        <v>6066</v>
      </c>
      <c r="H2012" t="s">
        <v>11289</v>
      </c>
      <c r="I2012" t="s">
        <v>17424</v>
      </c>
      <c r="J2012" t="s">
        <v>18901</v>
      </c>
      <c r="K2012">
        <v>11435</v>
      </c>
      <c r="L2012" t="s">
        <v>18958</v>
      </c>
      <c r="M2012" t="s">
        <v>18958</v>
      </c>
      <c r="N2012" t="s">
        <v>20484</v>
      </c>
      <c r="O2012" t="s">
        <v>26524</v>
      </c>
      <c r="P2012" t="s">
        <v>26564</v>
      </c>
      <c r="Q2012" t="s">
        <v>26570</v>
      </c>
      <c r="R2012" t="s">
        <v>26578</v>
      </c>
      <c r="S2012" t="s">
        <v>18959</v>
      </c>
      <c r="U2012" t="s">
        <v>26604</v>
      </c>
      <c r="V2012" t="s">
        <v>26612</v>
      </c>
      <c r="W2012" t="s">
        <v>451</v>
      </c>
      <c r="X2012">
        <v>1888</v>
      </c>
      <c r="Y2012" t="s">
        <v>26653</v>
      </c>
      <c r="Z2012" t="s">
        <v>26664</v>
      </c>
      <c r="AA2012" t="s">
        <v>26683</v>
      </c>
      <c r="AB2012" t="s">
        <v>28482</v>
      </c>
      <c r="AC2012" t="s">
        <v>35099</v>
      </c>
      <c r="AD2012" t="s">
        <v>38537</v>
      </c>
      <c r="AE2012">
        <v>40</v>
      </c>
      <c r="AF2012" t="s">
        <v>45553</v>
      </c>
      <c r="AG2012" t="s">
        <v>19330</v>
      </c>
      <c r="AH2012">
        <v>3</v>
      </c>
      <c r="AI2012">
        <v>1</v>
      </c>
      <c r="AJ2012">
        <v>3</v>
      </c>
      <c r="AK2012">
        <v>39.35</v>
      </c>
      <c r="AN2012" t="s">
        <v>7439</v>
      </c>
      <c r="AO2012">
        <v>9876</v>
      </c>
      <c r="AU2012">
        <v>1.05</v>
      </c>
      <c r="AV2012" t="s">
        <v>599</v>
      </c>
      <c r="AW2012" t="s">
        <v>122</v>
      </c>
    </row>
    <row r="2013" spans="1:50">
      <c r="A2013" s="1">
        <f>HYPERLINK("https://lsnyc.legalserver.org/matter/dynamic-profile/view/1878613","18-1878613")</f>
        <v>0</v>
      </c>
      <c r="B2013" t="s">
        <v>79</v>
      </c>
      <c r="C2013" t="s">
        <v>341</v>
      </c>
      <c r="D2013" t="s">
        <v>451</v>
      </c>
      <c r="E2013" t="s">
        <v>517</v>
      </c>
      <c r="F2013" t="s">
        <v>2050</v>
      </c>
      <c r="G2013" t="s">
        <v>5697</v>
      </c>
      <c r="H2013" t="s">
        <v>11290</v>
      </c>
      <c r="I2013" t="s">
        <v>17407</v>
      </c>
      <c r="J2013" t="s">
        <v>18893</v>
      </c>
      <c r="K2013">
        <v>10034</v>
      </c>
      <c r="L2013" t="s">
        <v>18958</v>
      </c>
      <c r="M2013" t="s">
        <v>18958</v>
      </c>
      <c r="O2013" t="s">
        <v>26523</v>
      </c>
      <c r="P2013" t="s">
        <v>26564</v>
      </c>
      <c r="Q2013" t="s">
        <v>26570</v>
      </c>
      <c r="R2013" t="s">
        <v>26578</v>
      </c>
      <c r="S2013" t="s">
        <v>18959</v>
      </c>
      <c r="U2013" t="s">
        <v>26604</v>
      </c>
      <c r="V2013" t="s">
        <v>26610</v>
      </c>
      <c r="W2013" t="s">
        <v>451</v>
      </c>
      <c r="X2013">
        <v>861.77</v>
      </c>
      <c r="Y2013" t="s">
        <v>26651</v>
      </c>
      <c r="Z2013" t="s">
        <v>26661</v>
      </c>
      <c r="AA2013" t="s">
        <v>26683</v>
      </c>
      <c r="AB2013" t="s">
        <v>28483</v>
      </c>
      <c r="AD2013" t="s">
        <v>38538</v>
      </c>
      <c r="AE2013">
        <v>48</v>
      </c>
      <c r="AF2013" t="s">
        <v>45541</v>
      </c>
      <c r="AG2013" t="s">
        <v>45559</v>
      </c>
      <c r="AH2013">
        <v>10</v>
      </c>
      <c r="AI2013">
        <v>2</v>
      </c>
      <c r="AJ2013">
        <v>0</v>
      </c>
      <c r="AK2013">
        <v>92</v>
      </c>
      <c r="AN2013" t="s">
        <v>45581</v>
      </c>
      <c r="AO2013">
        <v>15144</v>
      </c>
      <c r="AU2013">
        <v>1.1</v>
      </c>
      <c r="AV2013" t="s">
        <v>641</v>
      </c>
      <c r="AW2013" t="s">
        <v>46840</v>
      </c>
    </row>
    <row r="2014" spans="1:50">
      <c r="A2014" s="1">
        <f>HYPERLINK("https://lsnyc.legalserver.org/matter/dynamic-profile/view/1878642","18-1878642")</f>
        <v>0</v>
      </c>
      <c r="B2014" t="s">
        <v>141</v>
      </c>
      <c r="C2014" t="s">
        <v>341</v>
      </c>
      <c r="D2014" t="s">
        <v>451</v>
      </c>
      <c r="E2014" t="s">
        <v>789</v>
      </c>
      <c r="F2014" t="s">
        <v>2051</v>
      </c>
      <c r="G2014" t="s">
        <v>6230</v>
      </c>
      <c r="H2014" t="s">
        <v>11291</v>
      </c>
      <c r="I2014" t="s">
        <v>17278</v>
      </c>
      <c r="J2014" t="s">
        <v>18898</v>
      </c>
      <c r="K2014">
        <v>11691</v>
      </c>
      <c r="L2014" t="s">
        <v>18958</v>
      </c>
      <c r="M2014" t="s">
        <v>18958</v>
      </c>
      <c r="N2014" t="s">
        <v>20485</v>
      </c>
      <c r="O2014" t="s">
        <v>26523</v>
      </c>
      <c r="P2014" t="s">
        <v>26560</v>
      </c>
      <c r="Q2014" t="s">
        <v>26568</v>
      </c>
      <c r="R2014" t="s">
        <v>26578</v>
      </c>
      <c r="S2014" t="s">
        <v>18959</v>
      </c>
      <c r="U2014" t="s">
        <v>26604</v>
      </c>
      <c r="V2014" t="s">
        <v>26610</v>
      </c>
      <c r="W2014" t="s">
        <v>451</v>
      </c>
      <c r="X2014">
        <v>1144</v>
      </c>
      <c r="Y2014" t="s">
        <v>26653</v>
      </c>
      <c r="Z2014" t="s">
        <v>26664</v>
      </c>
      <c r="AA2014" t="s">
        <v>26678</v>
      </c>
      <c r="AB2014" t="s">
        <v>28454</v>
      </c>
      <c r="AC2014" t="s">
        <v>35100</v>
      </c>
      <c r="AD2014" t="s">
        <v>38539</v>
      </c>
      <c r="AE2014">
        <v>20</v>
      </c>
      <c r="AF2014" t="s">
        <v>45541</v>
      </c>
      <c r="AG2014" t="s">
        <v>45557</v>
      </c>
      <c r="AH2014">
        <v>4</v>
      </c>
      <c r="AI2014">
        <v>1</v>
      </c>
      <c r="AJ2014">
        <v>0</v>
      </c>
      <c r="AK2014">
        <v>33.84</v>
      </c>
      <c r="AN2014" t="s">
        <v>7439</v>
      </c>
      <c r="AO2014">
        <v>4108</v>
      </c>
      <c r="AQ2014" t="s">
        <v>46361</v>
      </c>
      <c r="AR2014" t="s">
        <v>46422</v>
      </c>
      <c r="AS2014" t="s">
        <v>46499</v>
      </c>
      <c r="AT2014" t="s">
        <v>46690</v>
      </c>
      <c r="AU2014">
        <v>41.4</v>
      </c>
      <c r="AV2014" t="s">
        <v>753</v>
      </c>
      <c r="AW2014" t="s">
        <v>208</v>
      </c>
    </row>
    <row r="2015" spans="1:50">
      <c r="A2015" s="1">
        <f>HYPERLINK("https://lsnyc.legalserver.org/matter/dynamic-profile/view/1878718","18-1878718")</f>
        <v>0</v>
      </c>
      <c r="B2015" t="s">
        <v>214</v>
      </c>
      <c r="C2015" t="s">
        <v>341</v>
      </c>
      <c r="D2015" t="s">
        <v>451</v>
      </c>
      <c r="E2015" t="s">
        <v>583</v>
      </c>
      <c r="F2015" t="s">
        <v>2052</v>
      </c>
      <c r="G2015" t="s">
        <v>6231</v>
      </c>
      <c r="H2015" t="s">
        <v>11292</v>
      </c>
      <c r="I2015" t="s">
        <v>17446</v>
      </c>
      <c r="J2015" t="s">
        <v>7026</v>
      </c>
      <c r="K2015">
        <v>11368</v>
      </c>
      <c r="L2015" t="s">
        <v>18958</v>
      </c>
      <c r="M2015" t="s">
        <v>18958</v>
      </c>
      <c r="N2015" t="s">
        <v>20486</v>
      </c>
      <c r="O2015" t="s">
        <v>26524</v>
      </c>
      <c r="P2015" t="s">
        <v>26564</v>
      </c>
      <c r="Q2015" t="s">
        <v>26570</v>
      </c>
      <c r="R2015" t="s">
        <v>26583</v>
      </c>
      <c r="S2015" t="s">
        <v>18959</v>
      </c>
      <c r="U2015" t="s">
        <v>26604</v>
      </c>
      <c r="V2015" t="s">
        <v>26610</v>
      </c>
      <c r="W2015" t="s">
        <v>451</v>
      </c>
      <c r="X2015">
        <v>1000</v>
      </c>
      <c r="Y2015" t="s">
        <v>26653</v>
      </c>
      <c r="Z2015" t="s">
        <v>26664</v>
      </c>
      <c r="AA2015" t="s">
        <v>26683</v>
      </c>
      <c r="AB2015" t="s">
        <v>26913</v>
      </c>
      <c r="AD2015" t="s">
        <v>38540</v>
      </c>
      <c r="AE2015">
        <v>2</v>
      </c>
      <c r="AF2015" t="s">
        <v>45547</v>
      </c>
      <c r="AG2015" t="s">
        <v>19330</v>
      </c>
      <c r="AH2015">
        <v>7</v>
      </c>
      <c r="AI2015">
        <v>2</v>
      </c>
      <c r="AJ2015">
        <v>0</v>
      </c>
      <c r="AK2015">
        <v>297.69</v>
      </c>
      <c r="AN2015" t="s">
        <v>45581</v>
      </c>
      <c r="AO2015">
        <v>49000</v>
      </c>
      <c r="AU2015">
        <v>0.95</v>
      </c>
      <c r="AV2015" t="s">
        <v>583</v>
      </c>
      <c r="AW2015" t="s">
        <v>161</v>
      </c>
    </row>
    <row r="2016" spans="1:50">
      <c r="A2016" s="1">
        <f>HYPERLINK("https://lsnyc.legalserver.org/matter/dynamic-profile/view/1878703","18-1878703")</f>
        <v>0</v>
      </c>
      <c r="B2016" t="s">
        <v>142</v>
      </c>
      <c r="C2016" t="s">
        <v>341</v>
      </c>
      <c r="D2016" t="s">
        <v>451</v>
      </c>
      <c r="E2016" t="s">
        <v>712</v>
      </c>
      <c r="F2016" t="s">
        <v>2053</v>
      </c>
      <c r="G2016" t="s">
        <v>5097</v>
      </c>
      <c r="H2016" t="s">
        <v>11293</v>
      </c>
      <c r="I2016">
        <v>1</v>
      </c>
      <c r="J2016" t="s">
        <v>18901</v>
      </c>
      <c r="K2016">
        <v>11433</v>
      </c>
      <c r="L2016" t="s">
        <v>18958</v>
      </c>
      <c r="M2016" t="s">
        <v>18958</v>
      </c>
      <c r="N2016" t="s">
        <v>20487</v>
      </c>
      <c r="O2016" t="s">
        <v>26524</v>
      </c>
      <c r="P2016" t="s">
        <v>26560</v>
      </c>
      <c r="Q2016" t="s">
        <v>26568</v>
      </c>
      <c r="R2016" t="s">
        <v>26585</v>
      </c>
      <c r="S2016" t="s">
        <v>18959</v>
      </c>
      <c r="U2016" t="s">
        <v>26604</v>
      </c>
      <c r="V2016" t="s">
        <v>26611</v>
      </c>
      <c r="W2016" t="s">
        <v>451</v>
      </c>
      <c r="X2016">
        <v>1750</v>
      </c>
      <c r="Y2016" t="s">
        <v>26653</v>
      </c>
      <c r="Z2016" t="s">
        <v>26664</v>
      </c>
      <c r="AA2016" t="s">
        <v>26679</v>
      </c>
      <c r="AB2016" t="s">
        <v>27905</v>
      </c>
      <c r="AC2016" t="s">
        <v>35101</v>
      </c>
      <c r="AD2016" t="s">
        <v>38541</v>
      </c>
      <c r="AE2016">
        <v>2</v>
      </c>
      <c r="AF2016" t="s">
        <v>45547</v>
      </c>
      <c r="AG2016" t="s">
        <v>19330</v>
      </c>
      <c r="AH2016">
        <v>3</v>
      </c>
      <c r="AI2016">
        <v>1</v>
      </c>
      <c r="AJ2016">
        <v>3</v>
      </c>
      <c r="AK2016">
        <v>97.58</v>
      </c>
      <c r="AN2016" t="s">
        <v>7439</v>
      </c>
      <c r="AO2016">
        <v>24492</v>
      </c>
      <c r="AQ2016" t="s">
        <v>46359</v>
      </c>
      <c r="AR2016" t="s">
        <v>26530</v>
      </c>
      <c r="AS2016" t="s">
        <v>46500</v>
      </c>
      <c r="AT2016" t="s">
        <v>46620</v>
      </c>
      <c r="AU2016">
        <v>2.6</v>
      </c>
      <c r="AV2016" t="s">
        <v>705</v>
      </c>
      <c r="AW2016" t="s">
        <v>161</v>
      </c>
    </row>
    <row r="2017" spans="1:50">
      <c r="A2017" s="1">
        <f>HYPERLINK("https://lsnyc.legalserver.org/matter/dynamic-profile/view/1878617","18-1878617")</f>
        <v>0</v>
      </c>
      <c r="B2017" t="s">
        <v>122</v>
      </c>
      <c r="C2017" t="s">
        <v>341</v>
      </c>
      <c r="D2017" t="s">
        <v>451</v>
      </c>
      <c r="E2017" t="s">
        <v>494</v>
      </c>
      <c r="F2017" t="s">
        <v>2054</v>
      </c>
      <c r="G2017" t="s">
        <v>6232</v>
      </c>
      <c r="H2017" t="s">
        <v>11294</v>
      </c>
      <c r="I2017" t="s">
        <v>17375</v>
      </c>
      <c r="J2017" t="s">
        <v>7026</v>
      </c>
      <c r="K2017">
        <v>11368</v>
      </c>
      <c r="L2017" t="s">
        <v>18958</v>
      </c>
      <c r="M2017" t="s">
        <v>18958</v>
      </c>
      <c r="N2017" t="s">
        <v>20488</v>
      </c>
      <c r="O2017" t="s">
        <v>26526</v>
      </c>
      <c r="P2017" t="s">
        <v>26564</v>
      </c>
      <c r="Q2017" t="s">
        <v>26570</v>
      </c>
      <c r="R2017" t="s">
        <v>26584</v>
      </c>
      <c r="S2017" t="s">
        <v>18959</v>
      </c>
      <c r="U2017" t="s">
        <v>26604</v>
      </c>
      <c r="W2017" t="s">
        <v>451</v>
      </c>
      <c r="X2017">
        <v>2800</v>
      </c>
      <c r="Y2017" t="s">
        <v>26653</v>
      </c>
      <c r="Z2017" t="s">
        <v>26664</v>
      </c>
      <c r="AA2017" t="s">
        <v>26683</v>
      </c>
      <c r="AB2017" t="s">
        <v>28484</v>
      </c>
      <c r="AC2017" t="s">
        <v>35102</v>
      </c>
      <c r="AD2017" t="s">
        <v>38542</v>
      </c>
      <c r="AE2017">
        <v>2</v>
      </c>
      <c r="AF2017" t="s">
        <v>45547</v>
      </c>
      <c r="AG2017" t="s">
        <v>19330</v>
      </c>
      <c r="AH2017">
        <v>16</v>
      </c>
      <c r="AI2017">
        <v>2</v>
      </c>
      <c r="AJ2017">
        <v>3</v>
      </c>
      <c r="AK2017">
        <v>123.73</v>
      </c>
      <c r="AN2017" t="s">
        <v>45581</v>
      </c>
      <c r="AO2017">
        <v>36400</v>
      </c>
      <c r="AU2017">
        <v>1.5</v>
      </c>
      <c r="AV2017" t="s">
        <v>599</v>
      </c>
      <c r="AW2017" t="s">
        <v>122</v>
      </c>
    </row>
    <row r="2018" spans="1:50">
      <c r="A2018" s="1">
        <f>HYPERLINK("https://lsnyc.legalserver.org/matter/dynamic-profile/view/1878593","18-1878593")</f>
        <v>0</v>
      </c>
      <c r="B2018" t="s">
        <v>87</v>
      </c>
      <c r="C2018" t="s">
        <v>341</v>
      </c>
      <c r="D2018" t="s">
        <v>451</v>
      </c>
      <c r="E2018" t="s">
        <v>687</v>
      </c>
      <c r="F2018" t="s">
        <v>2055</v>
      </c>
      <c r="G2018" t="s">
        <v>875</v>
      </c>
      <c r="H2018" t="s">
        <v>11295</v>
      </c>
      <c r="I2018" t="s">
        <v>17291</v>
      </c>
      <c r="J2018" t="s">
        <v>18892</v>
      </c>
      <c r="K2018">
        <v>10468</v>
      </c>
      <c r="L2018" t="s">
        <v>18958</v>
      </c>
      <c r="M2018" t="s">
        <v>18958</v>
      </c>
      <c r="N2018" t="s">
        <v>20489</v>
      </c>
      <c r="O2018" t="s">
        <v>26523</v>
      </c>
      <c r="P2018" t="s">
        <v>26560</v>
      </c>
      <c r="Q2018" t="s">
        <v>26568</v>
      </c>
      <c r="R2018" t="s">
        <v>26579</v>
      </c>
      <c r="U2018" t="s">
        <v>26604</v>
      </c>
      <c r="V2018" t="s">
        <v>26609</v>
      </c>
      <c r="W2018" t="s">
        <v>451</v>
      </c>
      <c r="X2018">
        <v>1500</v>
      </c>
      <c r="Y2018" t="s">
        <v>26650</v>
      </c>
      <c r="Z2018" t="s">
        <v>26664</v>
      </c>
      <c r="AA2018" t="s">
        <v>26678</v>
      </c>
      <c r="AB2018" t="s">
        <v>28485</v>
      </c>
      <c r="AC2018" t="s">
        <v>35103</v>
      </c>
      <c r="AD2018" t="s">
        <v>38543</v>
      </c>
      <c r="AE2018">
        <v>0</v>
      </c>
      <c r="AF2018" t="s">
        <v>45541</v>
      </c>
      <c r="AG2018" t="s">
        <v>45558</v>
      </c>
      <c r="AH2018">
        <v>1</v>
      </c>
      <c r="AI2018">
        <v>1</v>
      </c>
      <c r="AJ2018">
        <v>3</v>
      </c>
      <c r="AK2018">
        <v>44.02</v>
      </c>
      <c r="AN2018" t="s">
        <v>45581</v>
      </c>
      <c r="AO2018">
        <v>11050</v>
      </c>
      <c r="AR2018" t="s">
        <v>46380</v>
      </c>
      <c r="AS2018" t="s">
        <v>46499</v>
      </c>
      <c r="AT2018" t="s">
        <v>46728</v>
      </c>
      <c r="AU2018">
        <v>6.7</v>
      </c>
      <c r="AV2018" t="s">
        <v>687</v>
      </c>
      <c r="AW2018" t="s">
        <v>334</v>
      </c>
    </row>
    <row r="2019" spans="1:50">
      <c r="A2019" s="1">
        <f>HYPERLINK("https://lsnyc.legalserver.org/matter/dynamic-profile/view/1878693","18-1878693")</f>
        <v>0</v>
      </c>
      <c r="B2019" t="s">
        <v>106</v>
      </c>
      <c r="C2019" t="s">
        <v>341</v>
      </c>
      <c r="D2019" t="s">
        <v>451</v>
      </c>
      <c r="E2019" t="s">
        <v>428</v>
      </c>
      <c r="F2019" t="s">
        <v>1128</v>
      </c>
      <c r="G2019" t="s">
        <v>6233</v>
      </c>
      <c r="H2019" t="s">
        <v>11296</v>
      </c>
      <c r="I2019">
        <v>1</v>
      </c>
      <c r="J2019" t="s">
        <v>18894</v>
      </c>
      <c r="K2019">
        <v>11221</v>
      </c>
      <c r="L2019" t="s">
        <v>18958</v>
      </c>
      <c r="M2019" t="s">
        <v>18958</v>
      </c>
      <c r="N2019" t="s">
        <v>20490</v>
      </c>
      <c r="O2019" t="s">
        <v>26524</v>
      </c>
      <c r="P2019" t="s">
        <v>26565</v>
      </c>
      <c r="Q2019" t="s">
        <v>26571</v>
      </c>
      <c r="R2019" t="s">
        <v>26588</v>
      </c>
      <c r="S2019" t="s">
        <v>18959</v>
      </c>
      <c r="U2019" t="s">
        <v>26604</v>
      </c>
      <c r="V2019" t="s">
        <v>26610</v>
      </c>
      <c r="W2019" t="s">
        <v>451</v>
      </c>
      <c r="X2019">
        <v>2550</v>
      </c>
      <c r="Y2019" t="s">
        <v>26652</v>
      </c>
      <c r="Z2019" t="s">
        <v>26669</v>
      </c>
      <c r="AA2019" t="s">
        <v>26683</v>
      </c>
      <c r="AB2019" t="s">
        <v>28486</v>
      </c>
      <c r="AD2019" t="s">
        <v>38544</v>
      </c>
      <c r="AE2019">
        <v>3</v>
      </c>
      <c r="AF2019" t="s">
        <v>45547</v>
      </c>
      <c r="AG2019" t="s">
        <v>19330</v>
      </c>
      <c r="AH2019">
        <v>7</v>
      </c>
      <c r="AI2019">
        <v>2</v>
      </c>
      <c r="AJ2019">
        <v>2</v>
      </c>
      <c r="AK2019">
        <v>151.39</v>
      </c>
      <c r="AN2019" t="s">
        <v>7439</v>
      </c>
      <c r="AO2019">
        <v>38000</v>
      </c>
      <c r="AU2019">
        <v>4.6</v>
      </c>
      <c r="AV2019" t="s">
        <v>428</v>
      </c>
      <c r="AW2019" t="s">
        <v>46862</v>
      </c>
    </row>
    <row r="2020" spans="1:50">
      <c r="A2020" s="1">
        <f>HYPERLINK("https://lsnyc.legalserver.org/matter/dynamic-profile/view/1878616","18-1878616")</f>
        <v>0</v>
      </c>
      <c r="B2020" t="s">
        <v>125</v>
      </c>
      <c r="C2020" t="s">
        <v>341</v>
      </c>
      <c r="D2020" t="s">
        <v>451</v>
      </c>
      <c r="E2020" t="s">
        <v>691</v>
      </c>
      <c r="F2020" t="s">
        <v>1367</v>
      </c>
      <c r="G2020" t="s">
        <v>2975</v>
      </c>
      <c r="H2020" t="s">
        <v>11297</v>
      </c>
      <c r="I2020">
        <v>2</v>
      </c>
      <c r="J2020" t="s">
        <v>18894</v>
      </c>
      <c r="K2020">
        <v>11212</v>
      </c>
      <c r="L2020" t="s">
        <v>18958</v>
      </c>
      <c r="M2020" t="s">
        <v>18958</v>
      </c>
      <c r="N2020" t="s">
        <v>20491</v>
      </c>
      <c r="O2020" t="s">
        <v>26523</v>
      </c>
      <c r="P2020" t="s">
        <v>26564</v>
      </c>
      <c r="Q2020" t="s">
        <v>26570</v>
      </c>
      <c r="R2020" t="s">
        <v>26578</v>
      </c>
      <c r="S2020" t="s">
        <v>18959</v>
      </c>
      <c r="U2020" t="s">
        <v>26604</v>
      </c>
      <c r="W2020" t="s">
        <v>451</v>
      </c>
      <c r="X2020">
        <v>1956</v>
      </c>
      <c r="Y2020" t="s">
        <v>26652</v>
      </c>
      <c r="Z2020" t="s">
        <v>26673</v>
      </c>
      <c r="AA2020" t="s">
        <v>26683</v>
      </c>
      <c r="AB2020" t="s">
        <v>28487</v>
      </c>
      <c r="AC2020" t="s">
        <v>35104</v>
      </c>
      <c r="AD2020" t="s">
        <v>38545</v>
      </c>
      <c r="AE2020">
        <v>3</v>
      </c>
      <c r="AF2020" t="s">
        <v>20460</v>
      </c>
      <c r="AG2020" t="s">
        <v>45558</v>
      </c>
      <c r="AH2020">
        <v>2</v>
      </c>
      <c r="AI2020">
        <v>1</v>
      </c>
      <c r="AJ2020">
        <v>3</v>
      </c>
      <c r="AK2020">
        <v>46.37</v>
      </c>
      <c r="AN2020" t="s">
        <v>7439</v>
      </c>
      <c r="AO2020">
        <v>11640</v>
      </c>
      <c r="AU2020">
        <v>3.5</v>
      </c>
      <c r="AV2020" t="s">
        <v>652</v>
      </c>
      <c r="AW2020" t="s">
        <v>46841</v>
      </c>
    </row>
    <row r="2021" spans="1:50">
      <c r="A2021" s="1">
        <f>HYPERLINK("https://lsnyc.legalserver.org/matter/dynamic-profile/view/1878570","18-1878570")</f>
        <v>0</v>
      </c>
      <c r="B2021" t="s">
        <v>147</v>
      </c>
      <c r="C2021" t="s">
        <v>340</v>
      </c>
      <c r="D2021" t="s">
        <v>451</v>
      </c>
      <c r="F2021" t="s">
        <v>2056</v>
      </c>
      <c r="G2021" t="s">
        <v>6234</v>
      </c>
      <c r="H2021" t="s">
        <v>11171</v>
      </c>
      <c r="I2021" t="s">
        <v>17759</v>
      </c>
      <c r="J2021" t="s">
        <v>18894</v>
      </c>
      <c r="K2021">
        <v>11226</v>
      </c>
      <c r="L2021" t="s">
        <v>18958</v>
      </c>
      <c r="M2021" t="s">
        <v>18960</v>
      </c>
      <c r="O2021" t="s">
        <v>26528</v>
      </c>
      <c r="P2021" t="s">
        <v>26562</v>
      </c>
      <c r="R2021" t="s">
        <v>26578</v>
      </c>
      <c r="S2021" t="s">
        <v>18959</v>
      </c>
      <c r="U2021" t="s">
        <v>26604</v>
      </c>
      <c r="W2021" t="s">
        <v>451</v>
      </c>
      <c r="X2021">
        <v>1038</v>
      </c>
      <c r="Y2021" t="s">
        <v>26652</v>
      </c>
      <c r="Z2021" t="s">
        <v>26659</v>
      </c>
      <c r="AB2021" t="s">
        <v>28488</v>
      </c>
      <c r="AD2021" t="s">
        <v>38546</v>
      </c>
      <c r="AE2021">
        <v>55</v>
      </c>
      <c r="AF2021" t="s">
        <v>45541</v>
      </c>
      <c r="AH2021">
        <v>28</v>
      </c>
      <c r="AI2021">
        <v>2</v>
      </c>
      <c r="AJ2021">
        <v>2</v>
      </c>
      <c r="AK2021">
        <v>0</v>
      </c>
      <c r="AN2021" t="s">
        <v>7439</v>
      </c>
      <c r="AO2021">
        <v>0</v>
      </c>
      <c r="AP2021" t="s">
        <v>45737</v>
      </c>
      <c r="AU2021">
        <v>34.8</v>
      </c>
      <c r="AV2021" t="s">
        <v>518</v>
      </c>
      <c r="AW2021" t="s">
        <v>46856</v>
      </c>
    </row>
    <row r="2022" spans="1:50">
      <c r="A2022" s="1">
        <f>HYPERLINK("https://lsnyc.legalserver.org/matter/dynamic-profile/view/1878708","18-1878708")</f>
        <v>0</v>
      </c>
      <c r="B2022" t="s">
        <v>112</v>
      </c>
      <c r="C2022" t="s">
        <v>340</v>
      </c>
      <c r="D2022" t="s">
        <v>451</v>
      </c>
      <c r="F2022" t="s">
        <v>1948</v>
      </c>
      <c r="G2022" t="s">
        <v>6194</v>
      </c>
      <c r="H2022" t="s">
        <v>10433</v>
      </c>
      <c r="I2022">
        <v>405</v>
      </c>
      <c r="J2022" t="s">
        <v>18905</v>
      </c>
      <c r="K2022">
        <v>11692</v>
      </c>
      <c r="L2022" t="s">
        <v>18958</v>
      </c>
      <c r="M2022" t="s">
        <v>18958</v>
      </c>
      <c r="N2022" t="s">
        <v>20492</v>
      </c>
      <c r="O2022" t="s">
        <v>26523</v>
      </c>
      <c r="P2022" t="s">
        <v>26564</v>
      </c>
      <c r="R2022" t="s">
        <v>26578</v>
      </c>
      <c r="S2022" t="s">
        <v>18959</v>
      </c>
      <c r="U2022" t="s">
        <v>26604</v>
      </c>
      <c r="V2022" t="s">
        <v>26610</v>
      </c>
      <c r="W2022" t="s">
        <v>451</v>
      </c>
      <c r="X2022">
        <v>1500</v>
      </c>
      <c r="Y2022" t="s">
        <v>26653</v>
      </c>
      <c r="Z2022" t="s">
        <v>26664</v>
      </c>
      <c r="AB2022" t="s">
        <v>28489</v>
      </c>
      <c r="AC2022" t="s">
        <v>35105</v>
      </c>
      <c r="AD2022" t="s">
        <v>38547</v>
      </c>
      <c r="AE2022">
        <v>103</v>
      </c>
      <c r="AF2022" t="s">
        <v>45552</v>
      </c>
      <c r="AG2022" t="s">
        <v>45556</v>
      </c>
      <c r="AH2022">
        <v>32</v>
      </c>
      <c r="AI2022">
        <v>2</v>
      </c>
      <c r="AJ2022">
        <v>0</v>
      </c>
      <c r="AK2022">
        <v>116.65</v>
      </c>
      <c r="AN2022" t="s">
        <v>7439</v>
      </c>
      <c r="AO2022">
        <v>19200</v>
      </c>
      <c r="AU2022">
        <v>1.25</v>
      </c>
      <c r="AV2022" t="s">
        <v>458</v>
      </c>
      <c r="AW2022" t="s">
        <v>161</v>
      </c>
    </row>
    <row r="2023" spans="1:50">
      <c r="A2023" s="1">
        <f>HYPERLINK("https://lsnyc.legalserver.org/matter/dynamic-profile/view/1878725","18-1878725")</f>
        <v>0</v>
      </c>
      <c r="B2023" t="s">
        <v>112</v>
      </c>
      <c r="C2023" t="s">
        <v>340</v>
      </c>
      <c r="D2023" t="s">
        <v>451</v>
      </c>
      <c r="F2023" t="s">
        <v>2020</v>
      </c>
      <c r="G2023" t="s">
        <v>5147</v>
      </c>
      <c r="H2023" t="s">
        <v>11298</v>
      </c>
      <c r="I2023" t="s">
        <v>17333</v>
      </c>
      <c r="J2023" t="s">
        <v>18900</v>
      </c>
      <c r="K2023">
        <v>11358</v>
      </c>
      <c r="L2023" t="s">
        <v>18958</v>
      </c>
      <c r="M2023" t="s">
        <v>18958</v>
      </c>
      <c r="N2023" t="s">
        <v>20493</v>
      </c>
      <c r="O2023" t="s">
        <v>26533</v>
      </c>
      <c r="P2023" t="s">
        <v>26564</v>
      </c>
      <c r="R2023" t="s">
        <v>26584</v>
      </c>
      <c r="S2023" t="s">
        <v>18959</v>
      </c>
      <c r="U2023" t="s">
        <v>26604</v>
      </c>
      <c r="V2023" t="s">
        <v>26610</v>
      </c>
      <c r="W2023" t="s">
        <v>451</v>
      </c>
      <c r="X2023">
        <v>1900</v>
      </c>
      <c r="Y2023" t="s">
        <v>26653</v>
      </c>
      <c r="Z2023" t="s">
        <v>26664</v>
      </c>
      <c r="AB2023" t="s">
        <v>28490</v>
      </c>
      <c r="AD2023" t="s">
        <v>38548</v>
      </c>
      <c r="AE2023">
        <v>5</v>
      </c>
      <c r="AF2023" t="s">
        <v>45547</v>
      </c>
      <c r="AG2023" t="s">
        <v>19330</v>
      </c>
      <c r="AH2023">
        <v>1</v>
      </c>
      <c r="AI2023">
        <v>1</v>
      </c>
      <c r="AJ2023">
        <v>0</v>
      </c>
      <c r="AK2023">
        <v>0</v>
      </c>
      <c r="AN2023" t="s">
        <v>45581</v>
      </c>
      <c r="AO2023">
        <v>0</v>
      </c>
      <c r="AU2023">
        <v>1.25</v>
      </c>
      <c r="AV2023" t="s">
        <v>458</v>
      </c>
      <c r="AW2023" t="s">
        <v>161</v>
      </c>
    </row>
    <row r="2024" spans="1:50">
      <c r="A2024" s="1">
        <f>HYPERLINK("https://lsnyc.legalserver.org/matter/dynamic-profile/view/1878636","18-1878636")</f>
        <v>0</v>
      </c>
      <c r="B2024" t="s">
        <v>91</v>
      </c>
      <c r="C2024" t="s">
        <v>340</v>
      </c>
      <c r="D2024" t="s">
        <v>451</v>
      </c>
      <c r="F2024" t="s">
        <v>2057</v>
      </c>
      <c r="G2024" t="s">
        <v>6235</v>
      </c>
      <c r="H2024" t="s">
        <v>11299</v>
      </c>
      <c r="I2024">
        <v>2</v>
      </c>
      <c r="J2024" t="s">
        <v>18899</v>
      </c>
      <c r="K2024">
        <v>11385</v>
      </c>
      <c r="L2024" t="s">
        <v>18958</v>
      </c>
      <c r="M2024" t="s">
        <v>18958</v>
      </c>
      <c r="N2024" t="s">
        <v>20494</v>
      </c>
      <c r="O2024" t="s">
        <v>26524</v>
      </c>
      <c r="P2024" t="s">
        <v>26560</v>
      </c>
      <c r="R2024" t="s">
        <v>26585</v>
      </c>
      <c r="S2024" t="s">
        <v>18959</v>
      </c>
      <c r="U2024" t="s">
        <v>26604</v>
      </c>
      <c r="V2024" t="s">
        <v>26610</v>
      </c>
      <c r="W2024" t="s">
        <v>451</v>
      </c>
      <c r="X2024">
        <v>1500</v>
      </c>
      <c r="Y2024" t="s">
        <v>26653</v>
      </c>
      <c r="Z2024" t="s">
        <v>26664</v>
      </c>
      <c r="AB2024" t="s">
        <v>28491</v>
      </c>
      <c r="AD2024" t="s">
        <v>38549</v>
      </c>
      <c r="AE2024">
        <v>3</v>
      </c>
      <c r="AF2024" t="s">
        <v>45547</v>
      </c>
      <c r="AG2024" t="s">
        <v>19330</v>
      </c>
      <c r="AH2024">
        <v>19</v>
      </c>
      <c r="AI2024">
        <v>2</v>
      </c>
      <c r="AJ2024">
        <v>0</v>
      </c>
      <c r="AK2024">
        <v>145.81</v>
      </c>
      <c r="AN2024" t="s">
        <v>45600</v>
      </c>
      <c r="AO2024">
        <v>24000</v>
      </c>
      <c r="AQ2024" t="s">
        <v>46362</v>
      </c>
      <c r="AS2024" t="s">
        <v>46500</v>
      </c>
      <c r="AT2024" t="s">
        <v>46677</v>
      </c>
      <c r="AU2024">
        <v>12.75</v>
      </c>
      <c r="AV2024" t="s">
        <v>836</v>
      </c>
      <c r="AW2024" t="s">
        <v>208</v>
      </c>
      <c r="AX2024" t="s">
        <v>46897</v>
      </c>
    </row>
    <row r="2025" spans="1:50">
      <c r="A2025" s="1">
        <f>HYPERLINK("https://lsnyc.legalserver.org/matter/dynamic-profile/view/1879591","18-1879591")</f>
        <v>0</v>
      </c>
      <c r="B2025" t="s">
        <v>161</v>
      </c>
      <c r="C2025" t="s">
        <v>341</v>
      </c>
      <c r="D2025" t="s">
        <v>529</v>
      </c>
      <c r="E2025" t="s">
        <v>411</v>
      </c>
      <c r="F2025" t="s">
        <v>1028</v>
      </c>
      <c r="G2025" t="s">
        <v>3310</v>
      </c>
      <c r="H2025" t="s">
        <v>11300</v>
      </c>
      <c r="I2025" t="s">
        <v>17374</v>
      </c>
      <c r="J2025" t="s">
        <v>18931</v>
      </c>
      <c r="K2025">
        <v>11412</v>
      </c>
      <c r="L2025" t="s">
        <v>18958</v>
      </c>
      <c r="M2025" t="s">
        <v>18958</v>
      </c>
      <c r="N2025" t="s">
        <v>20495</v>
      </c>
      <c r="O2025" t="s">
        <v>26526</v>
      </c>
      <c r="P2025" t="s">
        <v>26564</v>
      </c>
      <c r="Q2025" t="s">
        <v>26570</v>
      </c>
      <c r="R2025" t="s">
        <v>26578</v>
      </c>
      <c r="S2025" t="s">
        <v>18959</v>
      </c>
      <c r="U2025" t="s">
        <v>26604</v>
      </c>
      <c r="V2025" t="s">
        <v>26610</v>
      </c>
      <c r="W2025" t="s">
        <v>451</v>
      </c>
      <c r="X2025">
        <v>800</v>
      </c>
      <c r="Y2025" t="s">
        <v>26653</v>
      </c>
      <c r="Z2025" t="s">
        <v>26664</v>
      </c>
      <c r="AA2025" t="s">
        <v>26683</v>
      </c>
      <c r="AB2025" t="s">
        <v>28492</v>
      </c>
      <c r="AD2025" t="s">
        <v>38550</v>
      </c>
      <c r="AE2025">
        <v>2</v>
      </c>
      <c r="AF2025" t="s">
        <v>45547</v>
      </c>
      <c r="AG2025" t="s">
        <v>19330</v>
      </c>
      <c r="AH2025">
        <v>1</v>
      </c>
      <c r="AI2025">
        <v>1</v>
      </c>
      <c r="AJ2025">
        <v>2</v>
      </c>
      <c r="AK2025">
        <v>57.75</v>
      </c>
      <c r="AN2025" t="s">
        <v>7439</v>
      </c>
      <c r="AO2025">
        <v>12000</v>
      </c>
      <c r="AU2025">
        <v>0.2</v>
      </c>
      <c r="AV2025" t="s">
        <v>411</v>
      </c>
      <c r="AW2025" t="s">
        <v>161</v>
      </c>
    </row>
    <row r="2026" spans="1:50">
      <c r="A2026" s="1">
        <f>HYPERLINK("https://lsnyc.legalserver.org/matter/dynamic-profile/view/1883624","18-1883624")</f>
        <v>0</v>
      </c>
      <c r="B2026" t="s">
        <v>252</v>
      </c>
      <c r="C2026" t="s">
        <v>340</v>
      </c>
      <c r="D2026" t="s">
        <v>603</v>
      </c>
      <c r="F2026" t="s">
        <v>2058</v>
      </c>
      <c r="G2026" t="s">
        <v>5079</v>
      </c>
      <c r="H2026" t="s">
        <v>11301</v>
      </c>
      <c r="I2026" t="s">
        <v>17307</v>
      </c>
      <c r="J2026" t="s">
        <v>18894</v>
      </c>
      <c r="K2026">
        <v>11208</v>
      </c>
      <c r="L2026" t="s">
        <v>18958</v>
      </c>
      <c r="M2026" t="s">
        <v>18959</v>
      </c>
      <c r="N2026" t="s">
        <v>20496</v>
      </c>
      <c r="O2026" t="s">
        <v>26523</v>
      </c>
      <c r="P2026" t="s">
        <v>26560</v>
      </c>
      <c r="R2026" t="s">
        <v>26578</v>
      </c>
      <c r="S2026" t="s">
        <v>18959</v>
      </c>
      <c r="U2026" t="s">
        <v>26604</v>
      </c>
      <c r="V2026" t="s">
        <v>26610</v>
      </c>
      <c r="W2026" t="s">
        <v>451</v>
      </c>
      <c r="X2026">
        <v>170</v>
      </c>
      <c r="Y2026" t="s">
        <v>26652</v>
      </c>
      <c r="Z2026" t="s">
        <v>26530</v>
      </c>
      <c r="AB2026" t="s">
        <v>26884</v>
      </c>
      <c r="AC2026" t="s">
        <v>35106</v>
      </c>
      <c r="AD2026" t="s">
        <v>38551</v>
      </c>
      <c r="AE2026">
        <v>24</v>
      </c>
      <c r="AF2026" t="s">
        <v>45541</v>
      </c>
      <c r="AG2026" t="s">
        <v>45556</v>
      </c>
      <c r="AH2026">
        <v>11</v>
      </c>
      <c r="AI2026">
        <v>1</v>
      </c>
      <c r="AJ2026">
        <v>0</v>
      </c>
      <c r="AK2026">
        <v>88.95999999999999</v>
      </c>
      <c r="AN2026" t="s">
        <v>7439</v>
      </c>
      <c r="AO2026">
        <v>10800</v>
      </c>
      <c r="AR2026" t="s">
        <v>46381</v>
      </c>
      <c r="AS2026" t="s">
        <v>46499</v>
      </c>
      <c r="AT2026" t="s">
        <v>46729</v>
      </c>
      <c r="AU2026">
        <v>11</v>
      </c>
      <c r="AV2026" t="s">
        <v>809</v>
      </c>
      <c r="AW2026" t="s">
        <v>286</v>
      </c>
    </row>
    <row r="2027" spans="1:50">
      <c r="A2027" s="1">
        <f>HYPERLINK("https://lsnyc.legalserver.org/matter/dynamic-profile/view/1846976","17-1846976")</f>
        <v>0</v>
      </c>
      <c r="B2027" t="s">
        <v>169</v>
      </c>
      <c r="C2027" t="s">
        <v>341</v>
      </c>
      <c r="D2027" t="s">
        <v>604</v>
      </c>
      <c r="E2027" t="s">
        <v>706</v>
      </c>
      <c r="F2027" t="s">
        <v>1745</v>
      </c>
      <c r="G2027" t="s">
        <v>6236</v>
      </c>
      <c r="H2027" t="s">
        <v>11302</v>
      </c>
      <c r="I2027" t="s">
        <v>17316</v>
      </c>
      <c r="J2027" t="s">
        <v>18892</v>
      </c>
      <c r="K2027">
        <v>10467</v>
      </c>
      <c r="L2027" t="s">
        <v>18958</v>
      </c>
      <c r="M2027" t="s">
        <v>18960</v>
      </c>
      <c r="N2027" t="s">
        <v>20497</v>
      </c>
      <c r="O2027" t="s">
        <v>26524</v>
      </c>
      <c r="P2027" t="s">
        <v>26560</v>
      </c>
      <c r="Q2027" t="s">
        <v>26568</v>
      </c>
      <c r="R2027" t="s">
        <v>26579</v>
      </c>
      <c r="U2027" t="s">
        <v>26604</v>
      </c>
      <c r="W2027" t="s">
        <v>599</v>
      </c>
      <c r="X2027">
        <v>1250</v>
      </c>
      <c r="Y2027" t="s">
        <v>26650</v>
      </c>
      <c r="Z2027" t="s">
        <v>26662</v>
      </c>
      <c r="AA2027" t="s">
        <v>26678</v>
      </c>
      <c r="AB2027" t="s">
        <v>28453</v>
      </c>
      <c r="AC2027" t="s">
        <v>35107</v>
      </c>
      <c r="AD2027" t="s">
        <v>38552</v>
      </c>
      <c r="AE2027">
        <v>50</v>
      </c>
      <c r="AF2027" t="s">
        <v>45541</v>
      </c>
      <c r="AG2027" t="s">
        <v>45556</v>
      </c>
      <c r="AH2027">
        <v>3</v>
      </c>
      <c r="AI2027">
        <v>1</v>
      </c>
      <c r="AJ2027">
        <v>0</v>
      </c>
      <c r="AK2027">
        <v>21.39</v>
      </c>
      <c r="AM2027" t="s">
        <v>45576</v>
      </c>
      <c r="AN2027" t="s">
        <v>7439</v>
      </c>
      <c r="AO2027">
        <v>2580</v>
      </c>
      <c r="AP2027" t="s">
        <v>45621</v>
      </c>
      <c r="AQ2027" t="s">
        <v>46362</v>
      </c>
      <c r="AR2027" t="s">
        <v>46379</v>
      </c>
      <c r="AS2027" t="s">
        <v>46499</v>
      </c>
      <c r="AT2027" t="s">
        <v>46614</v>
      </c>
      <c r="AU2027">
        <v>21.1</v>
      </c>
      <c r="AV2027" t="s">
        <v>577</v>
      </c>
      <c r="AW2027" t="s">
        <v>46848</v>
      </c>
    </row>
    <row r="2028" spans="1:50">
      <c r="A2028" s="1">
        <f>HYPERLINK("https://lsnyc.legalserver.org/matter/dynamic-profile/view/1846897","17-1846897")</f>
        <v>0</v>
      </c>
      <c r="B2028" t="s">
        <v>82</v>
      </c>
      <c r="C2028" t="s">
        <v>340</v>
      </c>
      <c r="D2028" t="s">
        <v>604</v>
      </c>
      <c r="F2028" t="s">
        <v>2059</v>
      </c>
      <c r="G2028" t="s">
        <v>6237</v>
      </c>
      <c r="H2028" t="s">
        <v>11303</v>
      </c>
      <c r="I2028">
        <v>1402</v>
      </c>
      <c r="J2028" t="s">
        <v>18892</v>
      </c>
      <c r="K2028">
        <v>10463</v>
      </c>
      <c r="L2028" t="s">
        <v>18958</v>
      </c>
      <c r="M2028" t="s">
        <v>18960</v>
      </c>
      <c r="N2028" t="s">
        <v>20498</v>
      </c>
      <c r="O2028" t="s">
        <v>26523</v>
      </c>
      <c r="P2028" t="s">
        <v>26560</v>
      </c>
      <c r="R2028" t="s">
        <v>26577</v>
      </c>
      <c r="S2028" t="s">
        <v>18959</v>
      </c>
      <c r="U2028" t="s">
        <v>26604</v>
      </c>
      <c r="V2028" t="s">
        <v>26609</v>
      </c>
      <c r="W2028" t="s">
        <v>599</v>
      </c>
      <c r="X2028">
        <v>774.65</v>
      </c>
      <c r="Y2028" t="s">
        <v>26650</v>
      </c>
      <c r="Z2028" t="s">
        <v>26659</v>
      </c>
      <c r="AB2028" t="s">
        <v>28493</v>
      </c>
      <c r="AC2028" t="s">
        <v>35108</v>
      </c>
      <c r="AD2028" t="s">
        <v>38553</v>
      </c>
      <c r="AE2028">
        <v>0</v>
      </c>
      <c r="AF2028" t="s">
        <v>45541</v>
      </c>
      <c r="AG2028" t="s">
        <v>19330</v>
      </c>
      <c r="AH2028">
        <v>14</v>
      </c>
      <c r="AI2028">
        <v>2</v>
      </c>
      <c r="AJ2028">
        <v>1</v>
      </c>
      <c r="AK2028">
        <v>109.5</v>
      </c>
      <c r="AO2028">
        <v>22360</v>
      </c>
      <c r="AP2028" t="s">
        <v>45617</v>
      </c>
      <c r="AU2028">
        <v>22.7</v>
      </c>
      <c r="AV2028" t="s">
        <v>767</v>
      </c>
      <c r="AW2028" t="s">
        <v>46837</v>
      </c>
    </row>
    <row r="2029" spans="1:50">
      <c r="A2029" s="1">
        <f>HYPERLINK("https://lsnyc.legalserver.org/matter/dynamic-profile/view/1867126","18-1867126")</f>
        <v>0</v>
      </c>
      <c r="B2029" t="s">
        <v>75</v>
      </c>
      <c r="C2029" t="s">
        <v>340</v>
      </c>
      <c r="D2029" t="s">
        <v>387</v>
      </c>
      <c r="F2029" t="s">
        <v>886</v>
      </c>
      <c r="G2029" t="s">
        <v>5224</v>
      </c>
      <c r="H2029" t="s">
        <v>11304</v>
      </c>
      <c r="I2029">
        <v>604</v>
      </c>
      <c r="J2029" t="s">
        <v>18892</v>
      </c>
      <c r="K2029">
        <v>10454</v>
      </c>
      <c r="L2029" t="s">
        <v>18958</v>
      </c>
      <c r="M2029" t="s">
        <v>18958</v>
      </c>
      <c r="N2029" t="s">
        <v>20499</v>
      </c>
      <c r="O2029" t="s">
        <v>26523</v>
      </c>
      <c r="P2029" t="s">
        <v>26560</v>
      </c>
      <c r="R2029" t="s">
        <v>26577</v>
      </c>
      <c r="U2029" t="s">
        <v>26604</v>
      </c>
      <c r="V2029" t="s">
        <v>26610</v>
      </c>
      <c r="W2029" t="s">
        <v>599</v>
      </c>
      <c r="X2029">
        <v>0</v>
      </c>
      <c r="Y2029" t="s">
        <v>26650</v>
      </c>
      <c r="Z2029" t="s">
        <v>26662</v>
      </c>
      <c r="AB2029" t="s">
        <v>28494</v>
      </c>
      <c r="AC2029" t="s">
        <v>35109</v>
      </c>
      <c r="AE2029">
        <v>0</v>
      </c>
      <c r="AH2029">
        <v>0</v>
      </c>
      <c r="AI2029">
        <v>2</v>
      </c>
      <c r="AJ2029">
        <v>0</v>
      </c>
      <c r="AK2029">
        <v>47.07</v>
      </c>
      <c r="AO2029">
        <v>7748</v>
      </c>
      <c r="AU2029">
        <v>24.25</v>
      </c>
      <c r="AV2029" t="s">
        <v>833</v>
      </c>
      <c r="AW2029" t="s">
        <v>46847</v>
      </c>
    </row>
    <row r="2030" spans="1:50">
      <c r="A2030" s="1">
        <f>HYPERLINK("https://lsnyc.legalserver.org/matter/dynamic-profile/view/1871709","18-1871709")</f>
        <v>0</v>
      </c>
      <c r="B2030" t="s">
        <v>81</v>
      </c>
      <c r="C2030" t="s">
        <v>341</v>
      </c>
      <c r="D2030" t="s">
        <v>426</v>
      </c>
      <c r="E2030" t="s">
        <v>413</v>
      </c>
      <c r="F2030" t="s">
        <v>1417</v>
      </c>
      <c r="G2030" t="s">
        <v>6238</v>
      </c>
      <c r="H2030" t="s">
        <v>11305</v>
      </c>
      <c r="I2030" t="s">
        <v>17272</v>
      </c>
      <c r="J2030" t="s">
        <v>18892</v>
      </c>
      <c r="K2030">
        <v>10456</v>
      </c>
      <c r="L2030" t="s">
        <v>18958</v>
      </c>
      <c r="M2030" t="s">
        <v>18958</v>
      </c>
      <c r="N2030" t="s">
        <v>20500</v>
      </c>
      <c r="O2030" t="s">
        <v>26523</v>
      </c>
      <c r="P2030" t="s">
        <v>26560</v>
      </c>
      <c r="Q2030" t="s">
        <v>26568</v>
      </c>
      <c r="R2030" t="s">
        <v>26577</v>
      </c>
      <c r="S2030" t="s">
        <v>18959</v>
      </c>
      <c r="U2030" t="s">
        <v>26604</v>
      </c>
      <c r="V2030" t="s">
        <v>26610</v>
      </c>
      <c r="W2030" t="s">
        <v>599</v>
      </c>
      <c r="X2030">
        <v>1286.66</v>
      </c>
      <c r="Y2030" t="s">
        <v>26650</v>
      </c>
      <c r="Z2030" t="s">
        <v>26663</v>
      </c>
      <c r="AA2030" t="s">
        <v>26678</v>
      </c>
      <c r="AB2030" t="s">
        <v>28495</v>
      </c>
      <c r="AC2030" t="s">
        <v>35110</v>
      </c>
      <c r="AE2030">
        <v>0</v>
      </c>
      <c r="AF2030" t="s">
        <v>45541</v>
      </c>
      <c r="AG2030" t="s">
        <v>45563</v>
      </c>
      <c r="AH2030">
        <v>0</v>
      </c>
      <c r="AI2030">
        <v>1</v>
      </c>
      <c r="AJ2030">
        <v>0</v>
      </c>
      <c r="AK2030">
        <v>31.83</v>
      </c>
      <c r="AN2030" t="s">
        <v>7439</v>
      </c>
      <c r="AO2030">
        <v>3864</v>
      </c>
      <c r="AP2030" t="s">
        <v>45738</v>
      </c>
      <c r="AQ2030" t="s">
        <v>46365</v>
      </c>
      <c r="AR2030" t="s">
        <v>46379</v>
      </c>
      <c r="AS2030" t="s">
        <v>46499</v>
      </c>
      <c r="AT2030" t="s">
        <v>46647</v>
      </c>
      <c r="AU2030">
        <v>6.4</v>
      </c>
      <c r="AV2030" t="s">
        <v>457</v>
      </c>
      <c r="AW2030" t="s">
        <v>267</v>
      </c>
    </row>
    <row r="2031" spans="1:50">
      <c r="A2031" s="1">
        <f>HYPERLINK("https://lsnyc.legalserver.org/matter/dynamic-profile/view/1877930","18-1877930")</f>
        <v>0</v>
      </c>
      <c r="B2031" t="s">
        <v>232</v>
      </c>
      <c r="C2031" t="s">
        <v>341</v>
      </c>
      <c r="D2031" t="s">
        <v>572</v>
      </c>
      <c r="E2031" t="s">
        <v>599</v>
      </c>
      <c r="F2031" t="s">
        <v>1200</v>
      </c>
      <c r="G2031" t="s">
        <v>5008</v>
      </c>
      <c r="H2031" t="s">
        <v>11306</v>
      </c>
      <c r="I2031" t="s">
        <v>17288</v>
      </c>
      <c r="J2031" t="s">
        <v>18894</v>
      </c>
      <c r="K2031">
        <v>11201</v>
      </c>
      <c r="L2031" t="s">
        <v>18958</v>
      </c>
      <c r="M2031" t="s">
        <v>18958</v>
      </c>
      <c r="N2031" t="s">
        <v>20501</v>
      </c>
      <c r="O2031" t="s">
        <v>26524</v>
      </c>
      <c r="P2031" t="s">
        <v>26564</v>
      </c>
      <c r="Q2031" t="s">
        <v>26570</v>
      </c>
      <c r="R2031" t="s">
        <v>26586</v>
      </c>
      <c r="S2031" t="s">
        <v>18959</v>
      </c>
      <c r="U2031" t="s">
        <v>26605</v>
      </c>
      <c r="V2031" t="s">
        <v>26611</v>
      </c>
      <c r="W2031" t="s">
        <v>599</v>
      </c>
      <c r="X2031">
        <v>0</v>
      </c>
      <c r="Y2031" t="s">
        <v>26652</v>
      </c>
      <c r="Z2031" t="s">
        <v>26664</v>
      </c>
      <c r="AA2031" t="s">
        <v>26683</v>
      </c>
      <c r="AB2031" t="s">
        <v>28496</v>
      </c>
      <c r="AD2031" t="s">
        <v>38554</v>
      </c>
      <c r="AE2031">
        <v>175</v>
      </c>
      <c r="AF2031" t="s">
        <v>45542</v>
      </c>
      <c r="AG2031" t="s">
        <v>26530</v>
      </c>
      <c r="AH2031">
        <v>9</v>
      </c>
      <c r="AI2031">
        <v>1</v>
      </c>
      <c r="AJ2031">
        <v>1</v>
      </c>
      <c r="AK2031">
        <v>37.91</v>
      </c>
      <c r="AN2031" t="s">
        <v>7439</v>
      </c>
      <c r="AO2031">
        <v>6240</v>
      </c>
      <c r="AU2031">
        <v>1</v>
      </c>
      <c r="AV2031" t="s">
        <v>572</v>
      </c>
      <c r="AW2031" t="s">
        <v>46862</v>
      </c>
    </row>
    <row r="2032" spans="1:50">
      <c r="A2032" s="1">
        <f>HYPERLINK("https://lsnyc.legalserver.org/matter/dynamic-profile/view/1878106","18-1878106")</f>
        <v>0</v>
      </c>
      <c r="B2032" t="s">
        <v>130</v>
      </c>
      <c r="C2032" t="s">
        <v>341</v>
      </c>
      <c r="D2032" t="s">
        <v>534</v>
      </c>
      <c r="E2032" t="s">
        <v>583</v>
      </c>
      <c r="F2032" t="s">
        <v>2060</v>
      </c>
      <c r="G2032" t="s">
        <v>6239</v>
      </c>
      <c r="H2032" t="s">
        <v>11213</v>
      </c>
      <c r="I2032" t="s">
        <v>17415</v>
      </c>
      <c r="J2032" t="s">
        <v>18901</v>
      </c>
      <c r="K2032">
        <v>11433</v>
      </c>
      <c r="L2032" t="s">
        <v>18958</v>
      </c>
      <c r="M2032" t="s">
        <v>18958</v>
      </c>
      <c r="N2032" t="s">
        <v>20502</v>
      </c>
      <c r="O2032" t="s">
        <v>26524</v>
      </c>
      <c r="P2032" t="s">
        <v>26564</v>
      </c>
      <c r="Q2032" t="s">
        <v>26570</v>
      </c>
      <c r="R2032" t="s">
        <v>26585</v>
      </c>
      <c r="S2032" t="s">
        <v>18959</v>
      </c>
      <c r="U2032" t="s">
        <v>26604</v>
      </c>
      <c r="V2032" t="s">
        <v>26610</v>
      </c>
      <c r="W2032" t="s">
        <v>599</v>
      </c>
      <c r="X2032">
        <v>0</v>
      </c>
      <c r="Y2032" t="s">
        <v>26653</v>
      </c>
      <c r="Z2032" t="s">
        <v>26668</v>
      </c>
      <c r="AA2032" t="s">
        <v>26683</v>
      </c>
      <c r="AB2032" t="s">
        <v>28497</v>
      </c>
      <c r="AD2032" t="s">
        <v>38555</v>
      </c>
      <c r="AE2032">
        <v>3</v>
      </c>
      <c r="AF2032" t="s">
        <v>45547</v>
      </c>
      <c r="AG2032" t="s">
        <v>19330</v>
      </c>
      <c r="AH2032">
        <v>18</v>
      </c>
      <c r="AI2032">
        <v>2</v>
      </c>
      <c r="AJ2032">
        <v>0</v>
      </c>
      <c r="AK2032">
        <v>71.70999999999999</v>
      </c>
      <c r="AN2032" t="s">
        <v>7439</v>
      </c>
      <c r="AO2032">
        <v>11804</v>
      </c>
      <c r="AU2032">
        <v>1.85</v>
      </c>
      <c r="AV2032" t="s">
        <v>540</v>
      </c>
      <c r="AW2032" t="s">
        <v>85</v>
      </c>
    </row>
    <row r="2033" spans="1:50">
      <c r="A2033" s="1">
        <f>HYPERLINK("https://lsnyc.legalserver.org/matter/dynamic-profile/view/1877840","18-1877840")</f>
        <v>0</v>
      </c>
      <c r="B2033" t="s">
        <v>167</v>
      </c>
      <c r="C2033" t="s">
        <v>340</v>
      </c>
      <c r="D2033" t="s">
        <v>582</v>
      </c>
      <c r="F2033" t="s">
        <v>1128</v>
      </c>
      <c r="G2033" t="s">
        <v>6240</v>
      </c>
      <c r="H2033" t="s">
        <v>11307</v>
      </c>
      <c r="I2033" t="s">
        <v>17327</v>
      </c>
      <c r="J2033" t="s">
        <v>18894</v>
      </c>
      <c r="K2033">
        <v>11229</v>
      </c>
      <c r="L2033" t="s">
        <v>18958</v>
      </c>
      <c r="M2033" t="s">
        <v>18958</v>
      </c>
      <c r="N2033" t="s">
        <v>20503</v>
      </c>
      <c r="O2033" t="s">
        <v>26523</v>
      </c>
      <c r="P2033" t="s">
        <v>26560</v>
      </c>
      <c r="R2033" t="s">
        <v>26586</v>
      </c>
      <c r="S2033" t="s">
        <v>18959</v>
      </c>
      <c r="U2033" t="s">
        <v>26604</v>
      </c>
      <c r="V2033" t="s">
        <v>26610</v>
      </c>
      <c r="W2033" t="s">
        <v>599</v>
      </c>
      <c r="X2033">
        <v>1850</v>
      </c>
      <c r="Y2033" t="s">
        <v>26652</v>
      </c>
      <c r="Z2033" t="s">
        <v>26664</v>
      </c>
      <c r="AB2033" t="s">
        <v>26989</v>
      </c>
      <c r="AD2033" t="s">
        <v>38556</v>
      </c>
      <c r="AE2033">
        <v>78</v>
      </c>
      <c r="AF2033" t="s">
        <v>45553</v>
      </c>
      <c r="AG2033" t="s">
        <v>19330</v>
      </c>
      <c r="AH2033">
        <v>5</v>
      </c>
      <c r="AI2033">
        <v>3</v>
      </c>
      <c r="AJ2033">
        <v>0</v>
      </c>
      <c r="AK2033">
        <v>173.24</v>
      </c>
      <c r="AN2033" t="s">
        <v>7439</v>
      </c>
      <c r="AO2033">
        <v>36000</v>
      </c>
      <c r="AR2033" t="s">
        <v>26530</v>
      </c>
      <c r="AS2033" t="s">
        <v>46500</v>
      </c>
      <c r="AT2033" t="s">
        <v>46594</v>
      </c>
      <c r="AU2033">
        <v>11.3</v>
      </c>
      <c r="AV2033" t="s">
        <v>658</v>
      </c>
      <c r="AW2033" t="s">
        <v>281</v>
      </c>
    </row>
    <row r="2034" spans="1:50">
      <c r="A2034" s="1">
        <f>HYPERLINK("https://lsnyc.legalserver.org/matter/dynamic-profile/view/1878698","18-1878698")</f>
        <v>0</v>
      </c>
      <c r="B2034" t="s">
        <v>107</v>
      </c>
      <c r="C2034" t="s">
        <v>341</v>
      </c>
      <c r="D2034" t="s">
        <v>451</v>
      </c>
      <c r="E2034" t="s">
        <v>641</v>
      </c>
      <c r="F2034" t="s">
        <v>915</v>
      </c>
      <c r="G2034" t="s">
        <v>1056</v>
      </c>
      <c r="H2034" t="s">
        <v>11308</v>
      </c>
      <c r="I2034" t="s">
        <v>17374</v>
      </c>
      <c r="J2034" t="s">
        <v>18910</v>
      </c>
      <c r="K2034">
        <v>11420</v>
      </c>
      <c r="L2034" t="s">
        <v>18958</v>
      </c>
      <c r="M2034" t="s">
        <v>18958</v>
      </c>
      <c r="N2034" t="s">
        <v>20504</v>
      </c>
      <c r="O2034" t="s">
        <v>26524</v>
      </c>
      <c r="P2034" t="s">
        <v>26564</v>
      </c>
      <c r="Q2034" t="s">
        <v>26570</v>
      </c>
      <c r="R2034" t="s">
        <v>26584</v>
      </c>
      <c r="S2034" t="s">
        <v>18959</v>
      </c>
      <c r="U2034" t="s">
        <v>26604</v>
      </c>
      <c r="V2034" t="s">
        <v>26610</v>
      </c>
      <c r="W2034" t="s">
        <v>599</v>
      </c>
      <c r="X2034">
        <v>850</v>
      </c>
      <c r="Y2034" t="s">
        <v>26653</v>
      </c>
      <c r="Z2034" t="s">
        <v>26664</v>
      </c>
      <c r="AA2034" t="s">
        <v>26683</v>
      </c>
      <c r="AB2034" t="s">
        <v>28498</v>
      </c>
      <c r="AD2034" t="s">
        <v>38557</v>
      </c>
      <c r="AE2034">
        <v>1</v>
      </c>
      <c r="AF2034" t="s">
        <v>45547</v>
      </c>
      <c r="AG2034" t="s">
        <v>19330</v>
      </c>
      <c r="AH2034">
        <v>2</v>
      </c>
      <c r="AI2034">
        <v>1</v>
      </c>
      <c r="AJ2034">
        <v>1</v>
      </c>
      <c r="AK2034">
        <v>194.41</v>
      </c>
      <c r="AN2034" t="s">
        <v>7439</v>
      </c>
      <c r="AO2034">
        <v>32000</v>
      </c>
      <c r="AU2034">
        <v>1.4</v>
      </c>
      <c r="AV2034" t="s">
        <v>631</v>
      </c>
      <c r="AW2034" t="s">
        <v>161</v>
      </c>
    </row>
    <row r="2035" spans="1:50">
      <c r="A2035" s="1">
        <f>HYPERLINK("https://lsnyc.legalserver.org/matter/dynamic-profile/view/1878587","18-1878587")</f>
        <v>0</v>
      </c>
      <c r="B2035" t="s">
        <v>212</v>
      </c>
      <c r="C2035" t="s">
        <v>341</v>
      </c>
      <c r="D2035" t="s">
        <v>451</v>
      </c>
      <c r="E2035" t="s">
        <v>583</v>
      </c>
      <c r="F2035" t="s">
        <v>1577</v>
      </c>
      <c r="G2035" t="s">
        <v>6241</v>
      </c>
      <c r="H2035" t="s">
        <v>11309</v>
      </c>
      <c r="I2035" t="s">
        <v>17327</v>
      </c>
      <c r="J2035" t="s">
        <v>18898</v>
      </c>
      <c r="K2035">
        <v>11691</v>
      </c>
      <c r="L2035" t="s">
        <v>18958</v>
      </c>
      <c r="M2035" t="s">
        <v>18958</v>
      </c>
      <c r="N2035" t="s">
        <v>20505</v>
      </c>
      <c r="O2035" t="s">
        <v>26523</v>
      </c>
      <c r="P2035" t="s">
        <v>26564</v>
      </c>
      <c r="Q2035" t="s">
        <v>26570</v>
      </c>
      <c r="R2035" t="s">
        <v>26578</v>
      </c>
      <c r="S2035" t="s">
        <v>18959</v>
      </c>
      <c r="U2035" t="s">
        <v>26604</v>
      </c>
      <c r="V2035" t="s">
        <v>26610</v>
      </c>
      <c r="W2035" t="s">
        <v>599</v>
      </c>
      <c r="X2035">
        <v>1174</v>
      </c>
      <c r="Y2035" t="s">
        <v>26653</v>
      </c>
      <c r="Z2035" t="s">
        <v>26664</v>
      </c>
      <c r="AA2035" t="s">
        <v>26683</v>
      </c>
      <c r="AB2035" t="s">
        <v>28499</v>
      </c>
      <c r="AD2035" t="s">
        <v>38558</v>
      </c>
      <c r="AE2035">
        <v>134</v>
      </c>
      <c r="AF2035" t="s">
        <v>45541</v>
      </c>
      <c r="AG2035" t="s">
        <v>19330</v>
      </c>
      <c r="AH2035">
        <v>4</v>
      </c>
      <c r="AI2035">
        <v>1</v>
      </c>
      <c r="AJ2035">
        <v>1</v>
      </c>
      <c r="AK2035">
        <v>140.41</v>
      </c>
      <c r="AN2035" t="s">
        <v>7439</v>
      </c>
      <c r="AO2035">
        <v>23112</v>
      </c>
      <c r="AU2035">
        <v>1.05</v>
      </c>
      <c r="AV2035" t="s">
        <v>540</v>
      </c>
      <c r="AW2035" t="s">
        <v>208</v>
      </c>
    </row>
    <row r="2036" spans="1:50">
      <c r="A2036" s="1">
        <f>HYPERLINK("https://lsnyc.legalserver.org/matter/dynamic-profile/view/1878749","18-1878749")</f>
        <v>0</v>
      </c>
      <c r="B2036" t="s">
        <v>145</v>
      </c>
      <c r="C2036" t="s">
        <v>341</v>
      </c>
      <c r="D2036" t="s">
        <v>599</v>
      </c>
      <c r="E2036" t="s">
        <v>777</v>
      </c>
      <c r="F2036" t="s">
        <v>954</v>
      </c>
      <c r="G2036" t="s">
        <v>6242</v>
      </c>
      <c r="H2036" t="s">
        <v>11310</v>
      </c>
      <c r="I2036" t="s">
        <v>17299</v>
      </c>
      <c r="J2036" t="s">
        <v>18902</v>
      </c>
      <c r="K2036">
        <v>10303</v>
      </c>
      <c r="L2036" t="s">
        <v>18958</v>
      </c>
      <c r="M2036" t="s">
        <v>18958</v>
      </c>
      <c r="N2036" t="s">
        <v>20506</v>
      </c>
      <c r="O2036" t="s">
        <v>26523</v>
      </c>
      <c r="P2036" t="s">
        <v>26560</v>
      </c>
      <c r="Q2036" t="s">
        <v>26568</v>
      </c>
      <c r="R2036" t="s">
        <v>26590</v>
      </c>
      <c r="S2036" t="s">
        <v>18959</v>
      </c>
      <c r="U2036" t="s">
        <v>26604</v>
      </c>
      <c r="V2036" t="s">
        <v>26610</v>
      </c>
      <c r="W2036" t="s">
        <v>599</v>
      </c>
      <c r="X2036">
        <v>404</v>
      </c>
      <c r="Y2036" t="s">
        <v>26654</v>
      </c>
      <c r="Z2036" t="s">
        <v>26668</v>
      </c>
      <c r="AA2036" t="s">
        <v>26678</v>
      </c>
      <c r="AB2036" t="s">
        <v>28500</v>
      </c>
      <c r="AD2036" t="s">
        <v>38559</v>
      </c>
      <c r="AE2036">
        <v>0</v>
      </c>
      <c r="AH2036">
        <v>-1</v>
      </c>
      <c r="AI2036">
        <v>1</v>
      </c>
      <c r="AJ2036">
        <v>1</v>
      </c>
      <c r="AK2036">
        <v>0</v>
      </c>
      <c r="AN2036" t="s">
        <v>7439</v>
      </c>
      <c r="AO2036">
        <v>0</v>
      </c>
      <c r="AS2036" t="s">
        <v>46499</v>
      </c>
      <c r="AT2036" t="s">
        <v>46570</v>
      </c>
      <c r="AU2036">
        <v>8.199999999999999</v>
      </c>
      <c r="AV2036" t="s">
        <v>785</v>
      </c>
      <c r="AW2036" t="s">
        <v>190</v>
      </c>
    </row>
    <row r="2037" spans="1:50">
      <c r="A2037" s="1">
        <f>HYPERLINK("https://lsnyc.legalserver.org/matter/dynamic-profile/view/1878800","18-1878800")</f>
        <v>0</v>
      </c>
      <c r="B2037" t="s">
        <v>165</v>
      </c>
      <c r="C2037" t="s">
        <v>341</v>
      </c>
      <c r="D2037" t="s">
        <v>599</v>
      </c>
      <c r="E2037" t="s">
        <v>766</v>
      </c>
      <c r="F2037" t="s">
        <v>1300</v>
      </c>
      <c r="G2037" t="s">
        <v>5141</v>
      </c>
      <c r="H2037" t="s">
        <v>11311</v>
      </c>
      <c r="I2037">
        <v>54</v>
      </c>
      <c r="J2037" t="s">
        <v>18893</v>
      </c>
      <c r="K2037">
        <v>10030</v>
      </c>
      <c r="L2037" t="s">
        <v>18960</v>
      </c>
      <c r="M2037" t="s">
        <v>18960</v>
      </c>
      <c r="N2037" t="s">
        <v>20507</v>
      </c>
      <c r="O2037" t="s">
        <v>26523</v>
      </c>
      <c r="P2037" t="s">
        <v>26564</v>
      </c>
      <c r="Q2037" t="s">
        <v>26570</v>
      </c>
      <c r="R2037" t="s">
        <v>26582</v>
      </c>
      <c r="S2037" t="s">
        <v>18959</v>
      </c>
      <c r="U2037" t="s">
        <v>26604</v>
      </c>
      <c r="V2037" t="s">
        <v>26610</v>
      </c>
      <c r="W2037" t="s">
        <v>599</v>
      </c>
      <c r="X2037">
        <v>871</v>
      </c>
      <c r="Y2037" t="s">
        <v>26651</v>
      </c>
      <c r="AA2037" t="s">
        <v>26683</v>
      </c>
      <c r="AB2037" t="s">
        <v>28501</v>
      </c>
      <c r="AC2037" t="s">
        <v>35111</v>
      </c>
      <c r="AD2037" t="s">
        <v>38560</v>
      </c>
      <c r="AE2037">
        <v>54</v>
      </c>
      <c r="AF2037" t="s">
        <v>20460</v>
      </c>
      <c r="AH2037">
        <v>61</v>
      </c>
      <c r="AI2037">
        <v>2</v>
      </c>
      <c r="AJ2037">
        <v>0</v>
      </c>
      <c r="AK2037">
        <v>66.48999999999999</v>
      </c>
      <c r="AN2037" t="s">
        <v>7439</v>
      </c>
      <c r="AO2037">
        <v>10944</v>
      </c>
      <c r="AU2037">
        <v>1.5</v>
      </c>
      <c r="AV2037" t="s">
        <v>631</v>
      </c>
      <c r="AW2037" t="s">
        <v>46838</v>
      </c>
    </row>
    <row r="2038" spans="1:50">
      <c r="A2038" s="1">
        <f>HYPERLINK("https://lsnyc.legalserver.org/matter/dynamic-profile/view/1878809","18-1878809")</f>
        <v>0</v>
      </c>
      <c r="B2038" t="s">
        <v>70</v>
      </c>
      <c r="C2038" t="s">
        <v>341</v>
      </c>
      <c r="D2038" t="s">
        <v>599</v>
      </c>
      <c r="E2038" t="s">
        <v>630</v>
      </c>
      <c r="F2038" t="s">
        <v>2061</v>
      </c>
      <c r="G2038" t="s">
        <v>5295</v>
      </c>
      <c r="H2038" t="s">
        <v>11312</v>
      </c>
      <c r="J2038" t="s">
        <v>18892</v>
      </c>
      <c r="K2038">
        <v>10466</v>
      </c>
      <c r="L2038" t="s">
        <v>18958</v>
      </c>
      <c r="M2038" t="s">
        <v>18958</v>
      </c>
      <c r="N2038" t="s">
        <v>20508</v>
      </c>
      <c r="O2038" t="s">
        <v>26524</v>
      </c>
      <c r="P2038" t="s">
        <v>26564</v>
      </c>
      <c r="Q2038" t="s">
        <v>26570</v>
      </c>
      <c r="R2038" t="s">
        <v>26577</v>
      </c>
      <c r="S2038" t="s">
        <v>18959</v>
      </c>
      <c r="U2038" t="s">
        <v>26604</v>
      </c>
      <c r="V2038" t="s">
        <v>26610</v>
      </c>
      <c r="W2038" t="s">
        <v>599</v>
      </c>
      <c r="X2038">
        <v>700</v>
      </c>
      <c r="Y2038" t="s">
        <v>26650</v>
      </c>
      <c r="Z2038" t="s">
        <v>26664</v>
      </c>
      <c r="AA2038" t="s">
        <v>26683</v>
      </c>
      <c r="AB2038" t="s">
        <v>28502</v>
      </c>
      <c r="AC2038" t="s">
        <v>19045</v>
      </c>
      <c r="AD2038" t="s">
        <v>38561</v>
      </c>
      <c r="AE2038">
        <v>2</v>
      </c>
      <c r="AF2038" t="s">
        <v>45547</v>
      </c>
      <c r="AG2038" t="s">
        <v>19330</v>
      </c>
      <c r="AH2038">
        <v>1</v>
      </c>
      <c r="AI2038">
        <v>2</v>
      </c>
      <c r="AJ2038">
        <v>0</v>
      </c>
      <c r="AK2038">
        <v>0</v>
      </c>
      <c r="AN2038" t="s">
        <v>7439</v>
      </c>
      <c r="AO2038">
        <v>0</v>
      </c>
      <c r="AU2038">
        <v>5</v>
      </c>
      <c r="AV2038" t="s">
        <v>630</v>
      </c>
      <c r="AW2038" t="s">
        <v>46867</v>
      </c>
    </row>
    <row r="2039" spans="1:50">
      <c r="A2039" s="1">
        <f>HYPERLINK("https://lsnyc.legalserver.org/matter/dynamic-profile/view/1879350","18-1879350")</f>
        <v>0</v>
      </c>
      <c r="B2039" t="s">
        <v>149</v>
      </c>
      <c r="C2039" t="s">
        <v>341</v>
      </c>
      <c r="D2039" t="s">
        <v>599</v>
      </c>
      <c r="E2039" t="s">
        <v>494</v>
      </c>
      <c r="F2039" t="s">
        <v>936</v>
      </c>
      <c r="G2039" t="s">
        <v>6243</v>
      </c>
      <c r="H2039" t="s">
        <v>10133</v>
      </c>
      <c r="I2039" t="s">
        <v>17406</v>
      </c>
      <c r="J2039" t="s">
        <v>18892</v>
      </c>
      <c r="K2039">
        <v>10467</v>
      </c>
      <c r="L2039" t="s">
        <v>18958</v>
      </c>
      <c r="M2039" t="s">
        <v>18958</v>
      </c>
      <c r="N2039" t="s">
        <v>20509</v>
      </c>
      <c r="O2039" t="s">
        <v>26523</v>
      </c>
      <c r="P2039" t="s">
        <v>26560</v>
      </c>
      <c r="Q2039" t="s">
        <v>26568</v>
      </c>
      <c r="R2039" t="s">
        <v>26579</v>
      </c>
      <c r="S2039" t="s">
        <v>18959</v>
      </c>
      <c r="U2039" t="s">
        <v>26604</v>
      </c>
      <c r="V2039" t="s">
        <v>26610</v>
      </c>
      <c r="W2039" t="s">
        <v>599</v>
      </c>
      <c r="X2039">
        <v>1292</v>
      </c>
      <c r="Y2039" t="s">
        <v>26650</v>
      </c>
      <c r="Z2039" t="s">
        <v>26664</v>
      </c>
      <c r="AA2039" t="s">
        <v>26678</v>
      </c>
      <c r="AB2039" t="s">
        <v>28503</v>
      </c>
      <c r="AD2039" t="s">
        <v>38562</v>
      </c>
      <c r="AE2039">
        <v>42</v>
      </c>
      <c r="AF2039" t="s">
        <v>45541</v>
      </c>
      <c r="AG2039" t="s">
        <v>45559</v>
      </c>
      <c r="AH2039">
        <v>20</v>
      </c>
      <c r="AI2039">
        <v>1</v>
      </c>
      <c r="AJ2039">
        <v>0</v>
      </c>
      <c r="AK2039">
        <v>194.98</v>
      </c>
      <c r="AN2039" t="s">
        <v>7439</v>
      </c>
      <c r="AO2039">
        <v>23670</v>
      </c>
      <c r="AQ2039" t="s">
        <v>46362</v>
      </c>
      <c r="AR2039" t="s">
        <v>46385</v>
      </c>
      <c r="AS2039" t="s">
        <v>46499</v>
      </c>
      <c r="AT2039" t="s">
        <v>46587</v>
      </c>
      <c r="AU2039">
        <v>5.15</v>
      </c>
      <c r="AV2039" t="s">
        <v>414</v>
      </c>
      <c r="AW2039" t="s">
        <v>336</v>
      </c>
    </row>
    <row r="2040" spans="1:50">
      <c r="A2040" s="1">
        <f>HYPERLINK("https://lsnyc.legalserver.org/matter/dynamic-profile/view/1878761","18-1878761")</f>
        <v>0</v>
      </c>
      <c r="B2040" t="s">
        <v>174</v>
      </c>
      <c r="C2040" t="s">
        <v>341</v>
      </c>
      <c r="D2040" t="s">
        <v>599</v>
      </c>
      <c r="E2040" t="s">
        <v>826</v>
      </c>
      <c r="F2040" t="s">
        <v>1021</v>
      </c>
      <c r="G2040" t="s">
        <v>994</v>
      </c>
      <c r="H2040" t="s">
        <v>11313</v>
      </c>
      <c r="I2040" t="s">
        <v>17332</v>
      </c>
      <c r="J2040" t="s">
        <v>18894</v>
      </c>
      <c r="K2040">
        <v>11233</v>
      </c>
      <c r="L2040" t="s">
        <v>18958</v>
      </c>
      <c r="M2040" t="s">
        <v>18958</v>
      </c>
      <c r="N2040" t="s">
        <v>20510</v>
      </c>
      <c r="O2040" t="s">
        <v>26524</v>
      </c>
      <c r="P2040" t="s">
        <v>26560</v>
      </c>
      <c r="Q2040" t="s">
        <v>26568</v>
      </c>
      <c r="R2040" t="s">
        <v>26578</v>
      </c>
      <c r="S2040" t="s">
        <v>18959</v>
      </c>
      <c r="U2040" t="s">
        <v>26604</v>
      </c>
      <c r="V2040" t="s">
        <v>26612</v>
      </c>
      <c r="W2040" t="s">
        <v>599</v>
      </c>
      <c r="X2040">
        <v>0</v>
      </c>
      <c r="Y2040" t="s">
        <v>26652</v>
      </c>
      <c r="Z2040" t="s">
        <v>26664</v>
      </c>
      <c r="AA2040" t="s">
        <v>26680</v>
      </c>
      <c r="AB2040" t="s">
        <v>28504</v>
      </c>
      <c r="AC2040" t="s">
        <v>35112</v>
      </c>
      <c r="AE2040">
        <v>48</v>
      </c>
      <c r="AF2040" t="s">
        <v>20460</v>
      </c>
      <c r="AG2040" t="s">
        <v>45556</v>
      </c>
      <c r="AH2040">
        <v>3</v>
      </c>
      <c r="AI2040">
        <v>1</v>
      </c>
      <c r="AJ2040">
        <v>0</v>
      </c>
      <c r="AK2040">
        <v>0</v>
      </c>
      <c r="AN2040" t="s">
        <v>7439</v>
      </c>
      <c r="AO2040">
        <v>0</v>
      </c>
      <c r="AP2040" t="s">
        <v>45624</v>
      </c>
      <c r="AU2040">
        <v>17.15</v>
      </c>
      <c r="AV2040" t="s">
        <v>724</v>
      </c>
      <c r="AW2040" t="s">
        <v>281</v>
      </c>
    </row>
    <row r="2041" spans="1:50">
      <c r="A2041" s="1">
        <f>HYPERLINK("https://lsnyc.legalserver.org/matter/dynamic-profile/view/1878798","18-1878798")</f>
        <v>0</v>
      </c>
      <c r="B2041" t="s">
        <v>108</v>
      </c>
      <c r="C2041" t="s">
        <v>341</v>
      </c>
      <c r="D2041" t="s">
        <v>599</v>
      </c>
      <c r="E2041" t="s">
        <v>697</v>
      </c>
      <c r="F2041" t="s">
        <v>1225</v>
      </c>
      <c r="G2041" t="s">
        <v>6244</v>
      </c>
      <c r="H2041" t="s">
        <v>11314</v>
      </c>
      <c r="I2041" t="s">
        <v>17327</v>
      </c>
      <c r="J2041" t="s">
        <v>18898</v>
      </c>
      <c r="K2041">
        <v>11691</v>
      </c>
      <c r="L2041" t="s">
        <v>18958</v>
      </c>
      <c r="M2041" t="s">
        <v>18958</v>
      </c>
      <c r="N2041" t="s">
        <v>20511</v>
      </c>
      <c r="O2041" t="s">
        <v>26523</v>
      </c>
      <c r="P2041" t="s">
        <v>26564</v>
      </c>
      <c r="Q2041" t="s">
        <v>26570</v>
      </c>
      <c r="R2041" t="s">
        <v>26578</v>
      </c>
      <c r="S2041" t="s">
        <v>18959</v>
      </c>
      <c r="U2041" t="s">
        <v>26604</v>
      </c>
      <c r="V2041" t="s">
        <v>26610</v>
      </c>
      <c r="W2041" t="s">
        <v>599</v>
      </c>
      <c r="X2041">
        <v>1268</v>
      </c>
      <c r="Y2041" t="s">
        <v>26653</v>
      </c>
      <c r="Z2041" t="s">
        <v>26664</v>
      </c>
      <c r="AA2041" t="s">
        <v>26683</v>
      </c>
      <c r="AB2041" t="s">
        <v>28505</v>
      </c>
      <c r="AC2041" t="s">
        <v>35113</v>
      </c>
      <c r="AD2041" t="s">
        <v>38563</v>
      </c>
      <c r="AE2041">
        <v>24</v>
      </c>
      <c r="AF2041" t="s">
        <v>20460</v>
      </c>
      <c r="AG2041" t="s">
        <v>45558</v>
      </c>
      <c r="AH2041">
        <v>3</v>
      </c>
      <c r="AI2041">
        <v>1</v>
      </c>
      <c r="AJ2041">
        <v>3</v>
      </c>
      <c r="AK2041">
        <v>34.9</v>
      </c>
      <c r="AN2041" t="s">
        <v>7439</v>
      </c>
      <c r="AO2041">
        <v>8760</v>
      </c>
      <c r="AU2041">
        <v>1.5</v>
      </c>
      <c r="AV2041" t="s">
        <v>517</v>
      </c>
      <c r="AW2041" t="s">
        <v>208</v>
      </c>
    </row>
    <row r="2042" spans="1:50">
      <c r="A2042" s="1">
        <f>HYPERLINK("https://lsnyc.legalserver.org/matter/dynamic-profile/view/1878736","18-1878736")</f>
        <v>0</v>
      </c>
      <c r="B2042" t="s">
        <v>143</v>
      </c>
      <c r="C2042" t="s">
        <v>341</v>
      </c>
      <c r="D2042" t="s">
        <v>599</v>
      </c>
      <c r="E2042" t="s">
        <v>413</v>
      </c>
      <c r="F2042" t="s">
        <v>2062</v>
      </c>
      <c r="G2042" t="s">
        <v>6245</v>
      </c>
      <c r="H2042" t="s">
        <v>11315</v>
      </c>
      <c r="I2042" t="s">
        <v>17272</v>
      </c>
      <c r="J2042" t="s">
        <v>18892</v>
      </c>
      <c r="K2042">
        <v>10456</v>
      </c>
      <c r="L2042" t="s">
        <v>18958</v>
      </c>
      <c r="M2042" t="s">
        <v>18958</v>
      </c>
      <c r="N2042" t="s">
        <v>20512</v>
      </c>
      <c r="O2042" t="s">
        <v>26523</v>
      </c>
      <c r="P2042" t="s">
        <v>26564</v>
      </c>
      <c r="Q2042" t="s">
        <v>26570</v>
      </c>
      <c r="R2042" t="s">
        <v>26577</v>
      </c>
      <c r="S2042" t="s">
        <v>18959</v>
      </c>
      <c r="U2042" t="s">
        <v>26604</v>
      </c>
      <c r="V2042" t="s">
        <v>26612</v>
      </c>
      <c r="W2042" t="s">
        <v>599</v>
      </c>
      <c r="X2042">
        <v>1086.09</v>
      </c>
      <c r="Y2042" t="s">
        <v>26650</v>
      </c>
      <c r="Z2042" t="s">
        <v>26663</v>
      </c>
      <c r="AA2042" t="s">
        <v>26683</v>
      </c>
      <c r="AB2042" t="s">
        <v>28506</v>
      </c>
      <c r="AD2042" t="s">
        <v>38564</v>
      </c>
      <c r="AE2042">
        <v>15</v>
      </c>
      <c r="AF2042" t="s">
        <v>45541</v>
      </c>
      <c r="AG2042" t="s">
        <v>19330</v>
      </c>
      <c r="AH2042">
        <v>7</v>
      </c>
      <c r="AI2042">
        <v>2</v>
      </c>
      <c r="AJ2042">
        <v>0</v>
      </c>
      <c r="AK2042">
        <v>171.47</v>
      </c>
      <c r="AN2042" t="s">
        <v>7439</v>
      </c>
      <c r="AO2042">
        <v>28224</v>
      </c>
      <c r="AU2042">
        <v>2</v>
      </c>
      <c r="AV2042" t="s">
        <v>457</v>
      </c>
      <c r="AW2042" t="s">
        <v>46836</v>
      </c>
    </row>
    <row r="2043" spans="1:50">
      <c r="A2043" s="1">
        <f>HYPERLINK("https://lsnyc.legalserver.org/matter/dynamic-profile/view/1878750","18-1878750")</f>
        <v>0</v>
      </c>
      <c r="B2043" t="s">
        <v>212</v>
      </c>
      <c r="C2043" t="s">
        <v>341</v>
      </c>
      <c r="D2043" t="s">
        <v>599</v>
      </c>
      <c r="E2043" t="s">
        <v>599</v>
      </c>
      <c r="F2043" t="s">
        <v>899</v>
      </c>
      <c r="G2043" t="s">
        <v>6246</v>
      </c>
      <c r="H2043" t="s">
        <v>11316</v>
      </c>
      <c r="I2043" t="s">
        <v>17760</v>
      </c>
      <c r="J2043" t="s">
        <v>18901</v>
      </c>
      <c r="K2043">
        <v>11436</v>
      </c>
      <c r="L2043" t="s">
        <v>18958</v>
      </c>
      <c r="M2043" t="s">
        <v>18958</v>
      </c>
      <c r="N2043" t="s">
        <v>20513</v>
      </c>
      <c r="O2043" t="s">
        <v>26524</v>
      </c>
      <c r="P2043" t="s">
        <v>26564</v>
      </c>
      <c r="Q2043" t="s">
        <v>26570</v>
      </c>
      <c r="R2043" t="s">
        <v>26578</v>
      </c>
      <c r="S2043" t="s">
        <v>18959</v>
      </c>
      <c r="U2043" t="s">
        <v>26604</v>
      </c>
      <c r="V2043" t="s">
        <v>26610</v>
      </c>
      <c r="W2043" t="s">
        <v>599</v>
      </c>
      <c r="X2043">
        <v>2400</v>
      </c>
      <c r="Y2043" t="s">
        <v>26653</v>
      </c>
      <c r="Z2043" t="s">
        <v>26664</v>
      </c>
      <c r="AA2043" t="s">
        <v>26683</v>
      </c>
      <c r="AB2043" t="s">
        <v>28507</v>
      </c>
      <c r="AC2043" t="s">
        <v>35114</v>
      </c>
      <c r="AD2043" t="s">
        <v>38565</v>
      </c>
      <c r="AE2043">
        <v>1</v>
      </c>
      <c r="AF2043" t="s">
        <v>45547</v>
      </c>
      <c r="AG2043" t="s">
        <v>19330</v>
      </c>
      <c r="AH2043">
        <v>3</v>
      </c>
      <c r="AI2043">
        <v>3</v>
      </c>
      <c r="AJ2043">
        <v>1</v>
      </c>
      <c r="AK2043">
        <v>79.68000000000001</v>
      </c>
      <c r="AN2043" t="s">
        <v>7439</v>
      </c>
      <c r="AO2043">
        <v>20000</v>
      </c>
      <c r="AU2043">
        <v>1.05</v>
      </c>
      <c r="AV2043" t="s">
        <v>599</v>
      </c>
      <c r="AW2043" t="s">
        <v>122</v>
      </c>
    </row>
    <row r="2044" spans="1:50">
      <c r="A2044" s="1">
        <f>HYPERLINK("https://lsnyc.legalserver.org/matter/dynamic-profile/view/1878827","18-1878827")</f>
        <v>0</v>
      </c>
      <c r="B2044" t="s">
        <v>227</v>
      </c>
      <c r="C2044" t="s">
        <v>341</v>
      </c>
      <c r="D2044" t="s">
        <v>599</v>
      </c>
      <c r="E2044" t="s">
        <v>830</v>
      </c>
      <c r="F2044" t="s">
        <v>2063</v>
      </c>
      <c r="G2044" t="s">
        <v>6247</v>
      </c>
      <c r="H2044" t="s">
        <v>11317</v>
      </c>
      <c r="I2044">
        <v>1</v>
      </c>
      <c r="J2044" t="s">
        <v>18894</v>
      </c>
      <c r="K2044">
        <v>11226</v>
      </c>
      <c r="L2044" t="s">
        <v>18958</v>
      </c>
      <c r="M2044" t="s">
        <v>18960</v>
      </c>
      <c r="N2044" t="s">
        <v>20514</v>
      </c>
      <c r="O2044" t="s">
        <v>26524</v>
      </c>
      <c r="P2044" t="s">
        <v>26560</v>
      </c>
      <c r="Q2044" t="s">
        <v>26568</v>
      </c>
      <c r="R2044" t="s">
        <v>26588</v>
      </c>
      <c r="U2044" t="s">
        <v>26604</v>
      </c>
      <c r="W2044" t="s">
        <v>599</v>
      </c>
      <c r="X2044">
        <v>600</v>
      </c>
      <c r="Y2044" t="s">
        <v>26652</v>
      </c>
      <c r="Z2044" t="s">
        <v>26659</v>
      </c>
      <c r="AA2044" t="s">
        <v>26678</v>
      </c>
      <c r="AB2044" t="s">
        <v>28508</v>
      </c>
      <c r="AD2044" t="s">
        <v>38566</v>
      </c>
      <c r="AE2044">
        <v>3</v>
      </c>
      <c r="AF2044" t="s">
        <v>45541</v>
      </c>
      <c r="AH2044">
        <v>8</v>
      </c>
      <c r="AI2044">
        <v>1</v>
      </c>
      <c r="AJ2044">
        <v>3</v>
      </c>
      <c r="AK2044">
        <v>71.70999999999999</v>
      </c>
      <c r="AN2044" t="s">
        <v>7439</v>
      </c>
      <c r="AO2044">
        <v>18000</v>
      </c>
      <c r="AS2044" t="s">
        <v>46499</v>
      </c>
      <c r="AU2044">
        <v>55.3</v>
      </c>
      <c r="AV2044" t="s">
        <v>822</v>
      </c>
      <c r="AW2044" t="s">
        <v>46856</v>
      </c>
    </row>
    <row r="2045" spans="1:50">
      <c r="A2045" s="1">
        <f>HYPERLINK("https://lsnyc.legalserver.org/matter/dynamic-profile/view/1878786","18-1878786")</f>
        <v>0</v>
      </c>
      <c r="B2045" t="s">
        <v>214</v>
      </c>
      <c r="C2045" t="s">
        <v>341</v>
      </c>
      <c r="D2045" t="s">
        <v>599</v>
      </c>
      <c r="E2045" t="s">
        <v>820</v>
      </c>
      <c r="F2045" t="s">
        <v>2064</v>
      </c>
      <c r="G2045" t="s">
        <v>2016</v>
      </c>
      <c r="H2045" t="s">
        <v>11318</v>
      </c>
      <c r="I2045" t="s">
        <v>17274</v>
      </c>
      <c r="J2045" t="s">
        <v>18901</v>
      </c>
      <c r="K2045">
        <v>11428</v>
      </c>
      <c r="L2045" t="s">
        <v>18958</v>
      </c>
      <c r="M2045" t="s">
        <v>18958</v>
      </c>
      <c r="N2045" t="s">
        <v>20515</v>
      </c>
      <c r="O2045" t="s">
        <v>26524</v>
      </c>
      <c r="P2045" t="s">
        <v>26560</v>
      </c>
      <c r="Q2045" t="s">
        <v>26568</v>
      </c>
      <c r="R2045" t="s">
        <v>26578</v>
      </c>
      <c r="S2045" t="s">
        <v>18958</v>
      </c>
      <c r="U2045" t="s">
        <v>26604</v>
      </c>
      <c r="V2045" t="s">
        <v>26610</v>
      </c>
      <c r="W2045" t="s">
        <v>599</v>
      </c>
      <c r="X2045">
        <v>1515</v>
      </c>
      <c r="Y2045" t="s">
        <v>26653</v>
      </c>
      <c r="Z2045" t="s">
        <v>26664</v>
      </c>
      <c r="AA2045" t="s">
        <v>26678</v>
      </c>
      <c r="AB2045" t="s">
        <v>28509</v>
      </c>
      <c r="AC2045" t="s">
        <v>35115</v>
      </c>
      <c r="AD2045" t="s">
        <v>38567</v>
      </c>
      <c r="AE2045">
        <v>9</v>
      </c>
      <c r="AF2045" t="s">
        <v>45541</v>
      </c>
      <c r="AG2045" t="s">
        <v>19330</v>
      </c>
      <c r="AH2045">
        <v>5</v>
      </c>
      <c r="AI2045">
        <v>2</v>
      </c>
      <c r="AJ2045">
        <v>2</v>
      </c>
      <c r="AK2045">
        <v>17.3</v>
      </c>
      <c r="AN2045" t="s">
        <v>7439</v>
      </c>
      <c r="AO2045">
        <v>4342</v>
      </c>
      <c r="AR2045" t="s">
        <v>46380</v>
      </c>
      <c r="AS2045" t="s">
        <v>46499</v>
      </c>
      <c r="AT2045" t="s">
        <v>46694</v>
      </c>
      <c r="AU2045">
        <v>16.79</v>
      </c>
      <c r="AV2045" t="s">
        <v>819</v>
      </c>
      <c r="AW2045" t="s">
        <v>122</v>
      </c>
      <c r="AX2045" t="s">
        <v>46897</v>
      </c>
    </row>
    <row r="2046" spans="1:50">
      <c r="A2046" s="1">
        <f>HYPERLINK("https://lsnyc.legalserver.org/matter/dynamic-profile/view/1878801","18-1878801")</f>
        <v>0</v>
      </c>
      <c r="B2046" t="s">
        <v>102</v>
      </c>
      <c r="C2046" t="s">
        <v>341</v>
      </c>
      <c r="D2046" t="s">
        <v>599</v>
      </c>
      <c r="E2046" t="s">
        <v>728</v>
      </c>
      <c r="F2046" t="s">
        <v>1145</v>
      </c>
      <c r="G2046" t="s">
        <v>6248</v>
      </c>
      <c r="H2046" t="s">
        <v>11319</v>
      </c>
      <c r="I2046" t="s">
        <v>17761</v>
      </c>
      <c r="J2046" t="s">
        <v>18902</v>
      </c>
      <c r="K2046">
        <v>10303</v>
      </c>
      <c r="L2046" t="s">
        <v>18958</v>
      </c>
      <c r="M2046" t="s">
        <v>18958</v>
      </c>
      <c r="N2046" t="s">
        <v>20516</v>
      </c>
      <c r="O2046" t="s">
        <v>26524</v>
      </c>
      <c r="P2046" t="s">
        <v>26560</v>
      </c>
      <c r="Q2046" t="s">
        <v>26568</v>
      </c>
      <c r="R2046" t="s">
        <v>26590</v>
      </c>
      <c r="S2046" t="s">
        <v>18959</v>
      </c>
      <c r="U2046" t="s">
        <v>26604</v>
      </c>
      <c r="V2046" t="s">
        <v>26610</v>
      </c>
      <c r="W2046" t="s">
        <v>599</v>
      </c>
      <c r="X2046">
        <v>1268</v>
      </c>
      <c r="Y2046" t="s">
        <v>26654</v>
      </c>
      <c r="Z2046" t="s">
        <v>26668</v>
      </c>
      <c r="AA2046" t="s">
        <v>26678</v>
      </c>
      <c r="AB2046" t="s">
        <v>28510</v>
      </c>
      <c r="AE2046">
        <v>2</v>
      </c>
      <c r="AF2046" t="s">
        <v>45547</v>
      </c>
      <c r="AG2046" t="s">
        <v>45562</v>
      </c>
      <c r="AH2046">
        <v>1</v>
      </c>
      <c r="AI2046">
        <v>1</v>
      </c>
      <c r="AJ2046">
        <v>0</v>
      </c>
      <c r="AK2046">
        <v>82.04000000000001</v>
      </c>
      <c r="AN2046" t="s">
        <v>7439</v>
      </c>
      <c r="AO2046">
        <v>9960</v>
      </c>
      <c r="AS2046" t="s">
        <v>46499</v>
      </c>
      <c r="AT2046" t="s">
        <v>46537</v>
      </c>
      <c r="AU2046">
        <v>11.6</v>
      </c>
      <c r="AV2046" t="s">
        <v>573</v>
      </c>
      <c r="AW2046" t="s">
        <v>190</v>
      </c>
    </row>
    <row r="2047" spans="1:50">
      <c r="A2047" s="1">
        <f>HYPERLINK("https://lsnyc.legalserver.org/matter/dynamic-profile/view/1879714","18-1879714")</f>
        <v>0</v>
      </c>
      <c r="B2047" t="s">
        <v>187</v>
      </c>
      <c r="C2047" t="s">
        <v>341</v>
      </c>
      <c r="D2047" t="s">
        <v>599</v>
      </c>
      <c r="E2047" t="s">
        <v>699</v>
      </c>
      <c r="F2047" t="s">
        <v>2065</v>
      </c>
      <c r="G2047" t="s">
        <v>5916</v>
      </c>
      <c r="H2047" t="s">
        <v>11320</v>
      </c>
      <c r="I2047" t="s">
        <v>17301</v>
      </c>
      <c r="J2047" t="s">
        <v>18892</v>
      </c>
      <c r="K2047">
        <v>10471</v>
      </c>
      <c r="L2047" t="s">
        <v>18958</v>
      </c>
      <c r="M2047" t="s">
        <v>18958</v>
      </c>
      <c r="N2047" t="s">
        <v>20517</v>
      </c>
      <c r="O2047" t="s">
        <v>26523</v>
      </c>
      <c r="P2047" t="s">
        <v>26564</v>
      </c>
      <c r="Q2047" t="s">
        <v>26570</v>
      </c>
      <c r="R2047" t="s">
        <v>26577</v>
      </c>
      <c r="S2047" t="s">
        <v>18959</v>
      </c>
      <c r="U2047" t="s">
        <v>26604</v>
      </c>
      <c r="V2047" t="s">
        <v>26610</v>
      </c>
      <c r="W2047" t="s">
        <v>599</v>
      </c>
      <c r="X2047">
        <v>1468.13</v>
      </c>
      <c r="Y2047" t="s">
        <v>26650</v>
      </c>
      <c r="Z2047" t="s">
        <v>26664</v>
      </c>
      <c r="AA2047" t="s">
        <v>26683</v>
      </c>
      <c r="AB2047" t="s">
        <v>28511</v>
      </c>
      <c r="AD2047" t="s">
        <v>38568</v>
      </c>
      <c r="AE2047">
        <v>0</v>
      </c>
      <c r="AF2047" t="s">
        <v>45541</v>
      </c>
      <c r="AG2047" t="s">
        <v>19330</v>
      </c>
      <c r="AH2047">
        <v>2</v>
      </c>
      <c r="AI2047">
        <v>1</v>
      </c>
      <c r="AJ2047">
        <v>0</v>
      </c>
      <c r="AK2047">
        <v>0</v>
      </c>
      <c r="AN2047" t="s">
        <v>7439</v>
      </c>
      <c r="AO2047">
        <v>0</v>
      </c>
      <c r="AT2047" t="s">
        <v>46651</v>
      </c>
      <c r="AU2047">
        <v>4.1</v>
      </c>
      <c r="AV2047" t="s">
        <v>525</v>
      </c>
      <c r="AW2047" t="s">
        <v>336</v>
      </c>
    </row>
    <row r="2048" spans="1:50">
      <c r="A2048" s="1">
        <f>HYPERLINK("https://lsnyc.legalserver.org/matter/dynamic-profile/view/1878753","18-1878753")</f>
        <v>0</v>
      </c>
      <c r="B2048" t="s">
        <v>103</v>
      </c>
      <c r="C2048" t="s">
        <v>341</v>
      </c>
      <c r="D2048" t="s">
        <v>599</v>
      </c>
      <c r="E2048" t="s">
        <v>834</v>
      </c>
      <c r="F2048" t="s">
        <v>1221</v>
      </c>
      <c r="G2048" t="s">
        <v>2975</v>
      </c>
      <c r="H2048" t="s">
        <v>11321</v>
      </c>
      <c r="I2048">
        <v>2</v>
      </c>
      <c r="J2048" t="s">
        <v>18902</v>
      </c>
      <c r="K2048">
        <v>10303</v>
      </c>
      <c r="L2048" t="s">
        <v>18958</v>
      </c>
      <c r="M2048" t="s">
        <v>18958</v>
      </c>
      <c r="N2048" t="s">
        <v>20518</v>
      </c>
      <c r="O2048" t="s">
        <v>26524</v>
      </c>
      <c r="P2048" t="s">
        <v>26560</v>
      </c>
      <c r="Q2048" t="s">
        <v>26568</v>
      </c>
      <c r="R2048" t="s">
        <v>26590</v>
      </c>
      <c r="S2048" t="s">
        <v>18959</v>
      </c>
      <c r="U2048" t="s">
        <v>26604</v>
      </c>
      <c r="V2048" t="s">
        <v>26610</v>
      </c>
      <c r="W2048" t="s">
        <v>599</v>
      </c>
      <c r="X2048">
        <v>2197</v>
      </c>
      <c r="Y2048" t="s">
        <v>26654</v>
      </c>
      <c r="Z2048" t="s">
        <v>26668</v>
      </c>
      <c r="AA2048" t="s">
        <v>26679</v>
      </c>
      <c r="AB2048" t="s">
        <v>28512</v>
      </c>
      <c r="AD2048" t="s">
        <v>38569</v>
      </c>
      <c r="AE2048">
        <v>2</v>
      </c>
      <c r="AF2048" t="s">
        <v>45547</v>
      </c>
      <c r="AG2048" t="s">
        <v>45558</v>
      </c>
      <c r="AH2048">
        <v>-1</v>
      </c>
      <c r="AI2048">
        <v>2</v>
      </c>
      <c r="AJ2048">
        <v>5</v>
      </c>
      <c r="AK2048">
        <v>20.15</v>
      </c>
      <c r="AN2048" t="s">
        <v>7439</v>
      </c>
      <c r="AO2048">
        <v>7670</v>
      </c>
      <c r="AT2048" t="s">
        <v>46730</v>
      </c>
      <c r="AU2048">
        <v>16.55</v>
      </c>
      <c r="AV2048" t="s">
        <v>834</v>
      </c>
      <c r="AW2048" t="s">
        <v>190</v>
      </c>
      <c r="AX2048" t="s">
        <v>46897</v>
      </c>
    </row>
    <row r="2049" spans="1:50">
      <c r="A2049" s="1">
        <f>HYPERLINK("https://lsnyc.legalserver.org/matter/dynamic-profile/view/1878759","18-1878759")</f>
        <v>0</v>
      </c>
      <c r="B2049" t="s">
        <v>54</v>
      </c>
      <c r="C2049" t="s">
        <v>341</v>
      </c>
      <c r="D2049" t="s">
        <v>599</v>
      </c>
      <c r="E2049" t="s">
        <v>809</v>
      </c>
      <c r="F2049" t="s">
        <v>2066</v>
      </c>
      <c r="G2049" t="s">
        <v>5481</v>
      </c>
      <c r="H2049" t="s">
        <v>11322</v>
      </c>
      <c r="I2049">
        <v>2</v>
      </c>
      <c r="J2049" t="s">
        <v>18892</v>
      </c>
      <c r="K2049">
        <v>10469</v>
      </c>
      <c r="L2049" t="s">
        <v>18958</v>
      </c>
      <c r="M2049" t="s">
        <v>18958</v>
      </c>
      <c r="N2049" t="s">
        <v>20519</v>
      </c>
      <c r="O2049" t="s">
        <v>26523</v>
      </c>
      <c r="P2049" t="s">
        <v>26560</v>
      </c>
      <c r="Q2049" t="s">
        <v>26568</v>
      </c>
      <c r="R2049" t="s">
        <v>26577</v>
      </c>
      <c r="S2049" t="s">
        <v>18959</v>
      </c>
      <c r="U2049" t="s">
        <v>26604</v>
      </c>
      <c r="V2049" t="s">
        <v>26609</v>
      </c>
      <c r="W2049" t="s">
        <v>599</v>
      </c>
      <c r="X2049">
        <v>1261</v>
      </c>
      <c r="Y2049" t="s">
        <v>26650</v>
      </c>
      <c r="Z2049" t="s">
        <v>26664</v>
      </c>
      <c r="AA2049" t="s">
        <v>26678</v>
      </c>
      <c r="AB2049" t="s">
        <v>28513</v>
      </c>
      <c r="AC2049" t="s">
        <v>35116</v>
      </c>
      <c r="AD2049" t="s">
        <v>38570</v>
      </c>
      <c r="AE2049">
        <v>30</v>
      </c>
      <c r="AF2049" t="s">
        <v>45541</v>
      </c>
      <c r="AG2049" t="s">
        <v>45556</v>
      </c>
      <c r="AH2049">
        <v>17</v>
      </c>
      <c r="AI2049">
        <v>2</v>
      </c>
      <c r="AJ2049">
        <v>0</v>
      </c>
      <c r="AK2049">
        <v>55.63</v>
      </c>
      <c r="AN2049" t="s">
        <v>45581</v>
      </c>
      <c r="AO2049">
        <v>9156</v>
      </c>
      <c r="AQ2049" t="s">
        <v>46362</v>
      </c>
      <c r="AR2049" t="s">
        <v>46383</v>
      </c>
      <c r="AS2049" t="s">
        <v>46499</v>
      </c>
      <c r="AT2049" t="s">
        <v>46726</v>
      </c>
      <c r="AU2049">
        <v>27.3</v>
      </c>
      <c r="AV2049" t="s">
        <v>809</v>
      </c>
      <c r="AW2049" t="s">
        <v>75</v>
      </c>
      <c r="AX2049" t="s">
        <v>46897</v>
      </c>
    </row>
    <row r="2050" spans="1:50">
      <c r="A2050" s="1">
        <f>HYPERLINK("https://lsnyc.legalserver.org/matter/dynamic-profile/view/1878802","18-1878802")</f>
        <v>0</v>
      </c>
      <c r="B2050" t="s">
        <v>157</v>
      </c>
      <c r="C2050" t="s">
        <v>341</v>
      </c>
      <c r="D2050" t="s">
        <v>599</v>
      </c>
      <c r="E2050" t="s">
        <v>599</v>
      </c>
      <c r="F2050" t="s">
        <v>2067</v>
      </c>
      <c r="G2050" t="s">
        <v>6249</v>
      </c>
      <c r="H2050" t="s">
        <v>11323</v>
      </c>
      <c r="I2050" t="s">
        <v>17283</v>
      </c>
      <c r="J2050" t="s">
        <v>18893</v>
      </c>
      <c r="K2050">
        <v>10034</v>
      </c>
      <c r="L2050" t="s">
        <v>18958</v>
      </c>
      <c r="M2050" t="s">
        <v>18958</v>
      </c>
      <c r="O2050" t="s">
        <v>26524</v>
      </c>
      <c r="P2050" t="s">
        <v>26564</v>
      </c>
      <c r="Q2050" t="s">
        <v>26570</v>
      </c>
      <c r="R2050" t="s">
        <v>26578</v>
      </c>
      <c r="S2050" t="s">
        <v>18959</v>
      </c>
      <c r="U2050" t="s">
        <v>26604</v>
      </c>
      <c r="W2050" t="s">
        <v>599</v>
      </c>
      <c r="X2050">
        <v>871.59</v>
      </c>
      <c r="Y2050" t="s">
        <v>26651</v>
      </c>
      <c r="Z2050" t="s">
        <v>26661</v>
      </c>
      <c r="AA2050" t="s">
        <v>26683</v>
      </c>
      <c r="AB2050" t="s">
        <v>28514</v>
      </c>
      <c r="AD2050" t="s">
        <v>38571</v>
      </c>
      <c r="AE2050">
        <v>0</v>
      </c>
      <c r="AF2050" t="s">
        <v>45541</v>
      </c>
      <c r="AG2050" t="s">
        <v>19330</v>
      </c>
      <c r="AH2050">
        <v>12</v>
      </c>
      <c r="AI2050">
        <v>2</v>
      </c>
      <c r="AJ2050">
        <v>0</v>
      </c>
      <c r="AK2050">
        <v>62.48</v>
      </c>
      <c r="AN2050" t="s">
        <v>45581</v>
      </c>
      <c r="AO2050">
        <v>10284</v>
      </c>
      <c r="AU2050">
        <v>1</v>
      </c>
      <c r="AV2050" t="s">
        <v>599</v>
      </c>
      <c r="AW2050" t="s">
        <v>46840</v>
      </c>
    </row>
    <row r="2051" spans="1:50">
      <c r="A2051" s="1">
        <f>HYPERLINK("https://lsnyc.legalserver.org/matter/dynamic-profile/view/1878816","18-1878816")</f>
        <v>0</v>
      </c>
      <c r="B2051" t="s">
        <v>157</v>
      </c>
      <c r="C2051" t="s">
        <v>341</v>
      </c>
      <c r="D2051" t="s">
        <v>599</v>
      </c>
      <c r="E2051" t="s">
        <v>599</v>
      </c>
      <c r="F2051" t="s">
        <v>2068</v>
      </c>
      <c r="G2051" t="s">
        <v>5691</v>
      </c>
      <c r="H2051" t="s">
        <v>11324</v>
      </c>
      <c r="I2051">
        <v>31</v>
      </c>
      <c r="J2051" t="s">
        <v>18893</v>
      </c>
      <c r="K2051">
        <v>10034</v>
      </c>
      <c r="L2051" t="s">
        <v>18958</v>
      </c>
      <c r="M2051" t="s">
        <v>18958</v>
      </c>
      <c r="O2051" t="s">
        <v>26529</v>
      </c>
      <c r="P2051" t="s">
        <v>26564</v>
      </c>
      <c r="Q2051" t="s">
        <v>26570</v>
      </c>
      <c r="R2051" t="s">
        <v>26578</v>
      </c>
      <c r="S2051" t="s">
        <v>18959</v>
      </c>
      <c r="U2051" t="s">
        <v>26604</v>
      </c>
      <c r="W2051" t="s">
        <v>599</v>
      </c>
      <c r="X2051">
        <v>1013.58</v>
      </c>
      <c r="Y2051" t="s">
        <v>26651</v>
      </c>
      <c r="Z2051" t="s">
        <v>26661</v>
      </c>
      <c r="AA2051" t="s">
        <v>26683</v>
      </c>
      <c r="AB2051" t="s">
        <v>28515</v>
      </c>
      <c r="AD2051" t="s">
        <v>38572</v>
      </c>
      <c r="AE2051">
        <v>25</v>
      </c>
      <c r="AF2051" t="s">
        <v>45541</v>
      </c>
      <c r="AG2051" t="s">
        <v>45556</v>
      </c>
      <c r="AH2051">
        <v>50</v>
      </c>
      <c r="AI2051">
        <v>2</v>
      </c>
      <c r="AJ2051">
        <v>0</v>
      </c>
      <c r="AK2051">
        <v>135.24</v>
      </c>
      <c r="AN2051" t="s">
        <v>45581</v>
      </c>
      <c r="AO2051">
        <v>22260</v>
      </c>
      <c r="AU2051">
        <v>1</v>
      </c>
      <c r="AV2051" t="s">
        <v>599</v>
      </c>
      <c r="AW2051" t="s">
        <v>46840</v>
      </c>
    </row>
    <row r="2052" spans="1:50">
      <c r="A2052" s="1">
        <f>HYPERLINK("https://lsnyc.legalserver.org/matter/dynamic-profile/view/1878846","18-1878846")</f>
        <v>0</v>
      </c>
      <c r="B2052" t="s">
        <v>157</v>
      </c>
      <c r="C2052" t="s">
        <v>341</v>
      </c>
      <c r="D2052" t="s">
        <v>599</v>
      </c>
      <c r="E2052" t="s">
        <v>760</v>
      </c>
      <c r="F2052" t="s">
        <v>940</v>
      </c>
      <c r="G2052" t="s">
        <v>5094</v>
      </c>
      <c r="H2052" t="s">
        <v>11325</v>
      </c>
      <c r="I2052" t="s">
        <v>17307</v>
      </c>
      <c r="J2052" t="s">
        <v>18893</v>
      </c>
      <c r="K2052">
        <v>10040</v>
      </c>
      <c r="L2052" t="s">
        <v>18958</v>
      </c>
      <c r="M2052" t="s">
        <v>18958</v>
      </c>
      <c r="O2052" t="s">
        <v>26531</v>
      </c>
      <c r="P2052" t="s">
        <v>26562</v>
      </c>
      <c r="Q2052" t="s">
        <v>26569</v>
      </c>
      <c r="R2052" t="s">
        <v>26578</v>
      </c>
      <c r="S2052" t="s">
        <v>18959</v>
      </c>
      <c r="U2052" t="s">
        <v>26604</v>
      </c>
      <c r="W2052" t="s">
        <v>599</v>
      </c>
      <c r="X2052">
        <v>1182</v>
      </c>
      <c r="Y2052" t="s">
        <v>26651</v>
      </c>
      <c r="Z2052" t="s">
        <v>26661</v>
      </c>
      <c r="AA2052" t="s">
        <v>26684</v>
      </c>
      <c r="AB2052" t="s">
        <v>28516</v>
      </c>
      <c r="AD2052" t="s">
        <v>38573</v>
      </c>
      <c r="AE2052">
        <v>40</v>
      </c>
      <c r="AF2052" t="s">
        <v>45541</v>
      </c>
      <c r="AG2052" t="s">
        <v>45556</v>
      </c>
      <c r="AH2052">
        <v>0</v>
      </c>
      <c r="AI2052">
        <v>1</v>
      </c>
      <c r="AJ2052">
        <v>0</v>
      </c>
      <c r="AK2052">
        <v>248.01</v>
      </c>
      <c r="AL2052" t="s">
        <v>614</v>
      </c>
      <c r="AM2052" t="s">
        <v>45575</v>
      </c>
      <c r="AN2052" t="s">
        <v>45581</v>
      </c>
      <c r="AO2052">
        <v>30108</v>
      </c>
      <c r="AU2052">
        <v>6.45</v>
      </c>
      <c r="AV2052" t="s">
        <v>760</v>
      </c>
      <c r="AW2052" t="s">
        <v>46840</v>
      </c>
    </row>
    <row r="2053" spans="1:50">
      <c r="A2053" s="1">
        <f>HYPERLINK("https://lsnyc.legalserver.org/matter/dynamic-profile/view/1878835","18-1878835")</f>
        <v>0</v>
      </c>
      <c r="B2053" t="s">
        <v>117</v>
      </c>
      <c r="C2053" t="s">
        <v>340</v>
      </c>
      <c r="D2053" t="s">
        <v>599</v>
      </c>
      <c r="F2053" t="s">
        <v>2069</v>
      </c>
      <c r="G2053" t="s">
        <v>5562</v>
      </c>
      <c r="H2053" t="s">
        <v>11326</v>
      </c>
      <c r="I2053" t="s">
        <v>17430</v>
      </c>
      <c r="J2053" t="s">
        <v>18894</v>
      </c>
      <c r="K2053">
        <v>11208</v>
      </c>
      <c r="L2053" t="s">
        <v>18958</v>
      </c>
      <c r="M2053" t="s">
        <v>18958</v>
      </c>
      <c r="N2053" t="s">
        <v>20520</v>
      </c>
      <c r="O2053" t="s">
        <v>26524</v>
      </c>
      <c r="P2053" t="s">
        <v>26560</v>
      </c>
      <c r="R2053" t="s">
        <v>26578</v>
      </c>
      <c r="S2053" t="s">
        <v>18959</v>
      </c>
      <c r="U2053" t="s">
        <v>26604</v>
      </c>
      <c r="V2053" t="s">
        <v>26610</v>
      </c>
      <c r="W2053" t="s">
        <v>599</v>
      </c>
      <c r="X2053">
        <v>1956</v>
      </c>
      <c r="Y2053" t="s">
        <v>26652</v>
      </c>
      <c r="Z2053" t="s">
        <v>26655</v>
      </c>
      <c r="AB2053" t="s">
        <v>28517</v>
      </c>
      <c r="AC2053" t="s">
        <v>35117</v>
      </c>
      <c r="AD2053" t="s">
        <v>38574</v>
      </c>
      <c r="AE2053">
        <v>3</v>
      </c>
      <c r="AF2053" t="s">
        <v>45547</v>
      </c>
      <c r="AG2053" t="s">
        <v>45558</v>
      </c>
      <c r="AH2053">
        <v>1</v>
      </c>
      <c r="AI2053">
        <v>1</v>
      </c>
      <c r="AJ2053">
        <v>4</v>
      </c>
      <c r="AK2053">
        <v>47.76</v>
      </c>
      <c r="AN2053" t="s">
        <v>7439</v>
      </c>
      <c r="AO2053">
        <v>14050</v>
      </c>
      <c r="AP2053" t="s">
        <v>45624</v>
      </c>
      <c r="AU2053">
        <v>66.75</v>
      </c>
      <c r="AV2053" t="s">
        <v>822</v>
      </c>
      <c r="AW2053" t="s">
        <v>46856</v>
      </c>
    </row>
    <row r="2054" spans="1:50">
      <c r="A2054" s="1">
        <f>HYPERLINK("https://lsnyc.legalserver.org/matter/dynamic-profile/view/1878778","18-1878778")</f>
        <v>0</v>
      </c>
      <c r="B2054" t="s">
        <v>143</v>
      </c>
      <c r="C2054" t="s">
        <v>340</v>
      </c>
      <c r="D2054" t="s">
        <v>599</v>
      </c>
      <c r="F2054" t="s">
        <v>1228</v>
      </c>
      <c r="G2054" t="s">
        <v>4588</v>
      </c>
      <c r="H2054" t="s">
        <v>11327</v>
      </c>
      <c r="I2054" t="s">
        <v>17762</v>
      </c>
      <c r="J2054" t="s">
        <v>18892</v>
      </c>
      <c r="K2054">
        <v>10462</v>
      </c>
      <c r="L2054" t="s">
        <v>18958</v>
      </c>
      <c r="M2054" t="s">
        <v>18958</v>
      </c>
      <c r="N2054" t="s">
        <v>20521</v>
      </c>
      <c r="O2054" t="s">
        <v>26524</v>
      </c>
      <c r="P2054" t="s">
        <v>26560</v>
      </c>
      <c r="R2054" t="s">
        <v>26579</v>
      </c>
      <c r="S2054" t="s">
        <v>18959</v>
      </c>
      <c r="U2054" t="s">
        <v>26604</v>
      </c>
      <c r="V2054" t="s">
        <v>26610</v>
      </c>
      <c r="W2054" t="s">
        <v>599</v>
      </c>
      <c r="X2054">
        <v>1350</v>
      </c>
      <c r="Y2054" t="s">
        <v>26650</v>
      </c>
      <c r="Z2054" t="s">
        <v>26668</v>
      </c>
      <c r="AB2054" t="s">
        <v>28518</v>
      </c>
      <c r="AD2054" t="s">
        <v>38575</v>
      </c>
      <c r="AE2054">
        <v>3857</v>
      </c>
      <c r="AF2054" t="s">
        <v>20460</v>
      </c>
      <c r="AG2054" t="s">
        <v>45556</v>
      </c>
      <c r="AH2054">
        <v>9</v>
      </c>
      <c r="AI2054">
        <v>1</v>
      </c>
      <c r="AJ2054">
        <v>1</v>
      </c>
      <c r="AK2054">
        <v>54.61</v>
      </c>
      <c r="AN2054" t="s">
        <v>7439</v>
      </c>
      <c r="AO2054">
        <v>8988</v>
      </c>
      <c r="AU2054">
        <v>44.5</v>
      </c>
      <c r="AV2054" t="s">
        <v>835</v>
      </c>
      <c r="AW2054" t="s">
        <v>46870</v>
      </c>
    </row>
    <row r="2055" spans="1:50">
      <c r="A2055" s="1">
        <f>HYPERLINK("https://lsnyc.legalserver.org/matter/dynamic-profile/view/1878794","18-1878794")</f>
        <v>0</v>
      </c>
      <c r="B2055" t="s">
        <v>212</v>
      </c>
      <c r="C2055" t="s">
        <v>340</v>
      </c>
      <c r="D2055" t="s">
        <v>599</v>
      </c>
      <c r="F2055" t="s">
        <v>948</v>
      </c>
      <c r="G2055" t="s">
        <v>6250</v>
      </c>
      <c r="H2055" t="s">
        <v>11328</v>
      </c>
      <c r="I2055" t="s">
        <v>17763</v>
      </c>
      <c r="J2055" t="s">
        <v>18943</v>
      </c>
      <c r="K2055">
        <v>11414</v>
      </c>
      <c r="L2055" t="s">
        <v>18958</v>
      </c>
      <c r="M2055" t="s">
        <v>18958</v>
      </c>
      <c r="N2055" t="s">
        <v>20522</v>
      </c>
      <c r="O2055" t="s">
        <v>26524</v>
      </c>
      <c r="P2055" t="s">
        <v>26560</v>
      </c>
      <c r="R2055" t="s">
        <v>26578</v>
      </c>
      <c r="S2055" t="s">
        <v>18959</v>
      </c>
      <c r="U2055" t="s">
        <v>26604</v>
      </c>
      <c r="V2055" t="s">
        <v>26610</v>
      </c>
      <c r="W2055" t="s">
        <v>599</v>
      </c>
      <c r="X2055">
        <v>1900</v>
      </c>
      <c r="Y2055" t="s">
        <v>26653</v>
      </c>
      <c r="Z2055" t="s">
        <v>26664</v>
      </c>
      <c r="AB2055" t="s">
        <v>28519</v>
      </c>
      <c r="AD2055" t="s">
        <v>38576</v>
      </c>
      <c r="AE2055">
        <v>2</v>
      </c>
      <c r="AF2055" t="s">
        <v>45547</v>
      </c>
      <c r="AG2055" t="s">
        <v>19330</v>
      </c>
      <c r="AH2055">
        <v>2</v>
      </c>
      <c r="AI2055">
        <v>1</v>
      </c>
      <c r="AJ2055">
        <v>1</v>
      </c>
      <c r="AK2055">
        <v>76.55</v>
      </c>
      <c r="AN2055" t="s">
        <v>7439</v>
      </c>
      <c r="AO2055">
        <v>12600</v>
      </c>
      <c r="AQ2055" t="s">
        <v>46359</v>
      </c>
      <c r="AR2055" t="s">
        <v>26530</v>
      </c>
      <c r="AS2055" t="s">
        <v>46500</v>
      </c>
      <c r="AT2055" t="s">
        <v>46685</v>
      </c>
      <c r="AU2055">
        <v>18.15</v>
      </c>
      <c r="AV2055" t="s">
        <v>784</v>
      </c>
      <c r="AW2055" t="s">
        <v>122</v>
      </c>
    </row>
    <row r="2056" spans="1:50">
      <c r="A2056" s="1">
        <f>HYPERLINK("https://lsnyc.legalserver.org/matter/dynamic-profile/view/1878793","18-1878793")</f>
        <v>0</v>
      </c>
      <c r="B2056" t="s">
        <v>142</v>
      </c>
      <c r="C2056" t="s">
        <v>340</v>
      </c>
      <c r="D2056" t="s">
        <v>599</v>
      </c>
      <c r="F2056" t="s">
        <v>1844</v>
      </c>
      <c r="G2056" t="s">
        <v>6251</v>
      </c>
      <c r="H2056" t="s">
        <v>11314</v>
      </c>
      <c r="I2056" t="s">
        <v>17312</v>
      </c>
      <c r="J2056" t="s">
        <v>18898</v>
      </c>
      <c r="K2056">
        <v>11691</v>
      </c>
      <c r="L2056" t="s">
        <v>18958</v>
      </c>
      <c r="M2056" t="s">
        <v>18958</v>
      </c>
      <c r="N2056" t="s">
        <v>20523</v>
      </c>
      <c r="O2056" t="s">
        <v>26523</v>
      </c>
      <c r="P2056" t="s">
        <v>26564</v>
      </c>
      <c r="R2056" t="s">
        <v>26578</v>
      </c>
      <c r="S2056" t="s">
        <v>18959</v>
      </c>
      <c r="U2056" t="s">
        <v>26604</v>
      </c>
      <c r="V2056" t="s">
        <v>26610</v>
      </c>
      <c r="W2056" t="s">
        <v>599</v>
      </c>
      <c r="X2056">
        <v>1213.18</v>
      </c>
      <c r="Y2056" t="s">
        <v>26653</v>
      </c>
      <c r="Z2056" t="s">
        <v>26664</v>
      </c>
      <c r="AB2056" t="s">
        <v>28520</v>
      </c>
      <c r="AC2056" t="s">
        <v>35118</v>
      </c>
      <c r="AD2056" t="s">
        <v>38577</v>
      </c>
      <c r="AE2056">
        <v>24</v>
      </c>
      <c r="AF2056" t="s">
        <v>20460</v>
      </c>
      <c r="AG2056" t="s">
        <v>45559</v>
      </c>
      <c r="AH2056">
        <v>20</v>
      </c>
      <c r="AI2056">
        <v>1</v>
      </c>
      <c r="AJ2056">
        <v>1</v>
      </c>
      <c r="AK2056">
        <v>41.88</v>
      </c>
      <c r="AN2056" t="s">
        <v>7439</v>
      </c>
      <c r="AO2056">
        <v>6892.8</v>
      </c>
      <c r="AU2056">
        <v>1.2</v>
      </c>
      <c r="AV2056" t="s">
        <v>605</v>
      </c>
      <c r="AW2056" t="s">
        <v>208</v>
      </c>
    </row>
    <row r="2057" spans="1:50">
      <c r="A2057" s="1">
        <f>HYPERLINK("https://lsnyc.legalserver.org/matter/dynamic-profile/view/1878790","18-1878790")</f>
        <v>0</v>
      </c>
      <c r="B2057" t="s">
        <v>65</v>
      </c>
      <c r="C2057" t="s">
        <v>340</v>
      </c>
      <c r="D2057" t="s">
        <v>599</v>
      </c>
      <c r="F2057" t="s">
        <v>887</v>
      </c>
      <c r="G2057" t="s">
        <v>5481</v>
      </c>
      <c r="H2057" t="s">
        <v>10763</v>
      </c>
      <c r="I2057" t="s">
        <v>17293</v>
      </c>
      <c r="J2057" t="s">
        <v>18892</v>
      </c>
      <c r="K2057">
        <v>10468</v>
      </c>
      <c r="L2057" t="s">
        <v>18958</v>
      </c>
      <c r="M2057" t="s">
        <v>18958</v>
      </c>
      <c r="N2057" t="s">
        <v>20283</v>
      </c>
      <c r="O2057" t="s">
        <v>26542</v>
      </c>
      <c r="P2057" t="s">
        <v>26562</v>
      </c>
      <c r="R2057" t="s">
        <v>26578</v>
      </c>
      <c r="S2057" t="s">
        <v>18959</v>
      </c>
      <c r="U2057" t="s">
        <v>26606</v>
      </c>
      <c r="V2057" t="s">
        <v>26610</v>
      </c>
      <c r="W2057" t="s">
        <v>599</v>
      </c>
      <c r="X2057">
        <v>1124.24</v>
      </c>
      <c r="Y2057" t="s">
        <v>26650</v>
      </c>
      <c r="Z2057" t="s">
        <v>26664</v>
      </c>
      <c r="AB2057" t="s">
        <v>28270</v>
      </c>
      <c r="AD2057" t="s">
        <v>38320</v>
      </c>
      <c r="AE2057">
        <v>43</v>
      </c>
      <c r="AF2057" t="s">
        <v>45541</v>
      </c>
      <c r="AG2057" t="s">
        <v>45556</v>
      </c>
      <c r="AH2057">
        <v>21</v>
      </c>
      <c r="AI2057">
        <v>1</v>
      </c>
      <c r="AJ2057">
        <v>2</v>
      </c>
      <c r="AK2057">
        <v>133.58</v>
      </c>
      <c r="AN2057" t="s">
        <v>45581</v>
      </c>
      <c r="AO2057">
        <v>27757.08</v>
      </c>
      <c r="AU2057">
        <v>9.5</v>
      </c>
      <c r="AV2057" t="s">
        <v>754</v>
      </c>
      <c r="AW2057" t="s">
        <v>46854</v>
      </c>
    </row>
    <row r="2058" spans="1:50">
      <c r="A2058" s="1">
        <f>HYPERLINK("https://lsnyc.legalserver.org/matter/dynamic-profile/view/1878804","18-1878804")</f>
        <v>0</v>
      </c>
      <c r="B2058" t="s">
        <v>122</v>
      </c>
      <c r="C2058" t="s">
        <v>340</v>
      </c>
      <c r="D2058" t="s">
        <v>599</v>
      </c>
      <c r="F2058" t="s">
        <v>2070</v>
      </c>
      <c r="G2058" t="s">
        <v>6252</v>
      </c>
      <c r="H2058" t="s">
        <v>11329</v>
      </c>
      <c r="I2058" t="s">
        <v>17764</v>
      </c>
      <c r="J2058" t="s">
        <v>18911</v>
      </c>
      <c r="K2058">
        <v>11375</v>
      </c>
      <c r="L2058" t="s">
        <v>18958</v>
      </c>
      <c r="M2058" t="s">
        <v>18958</v>
      </c>
      <c r="N2058" t="s">
        <v>20524</v>
      </c>
      <c r="O2058" t="s">
        <v>26523</v>
      </c>
      <c r="P2058" t="s">
        <v>26564</v>
      </c>
      <c r="R2058" t="s">
        <v>26584</v>
      </c>
      <c r="S2058" t="s">
        <v>18959</v>
      </c>
      <c r="U2058" t="s">
        <v>26604</v>
      </c>
      <c r="W2058" t="s">
        <v>599</v>
      </c>
      <c r="X2058">
        <v>782.6</v>
      </c>
      <c r="Y2058" t="s">
        <v>26653</v>
      </c>
      <c r="Z2058" t="s">
        <v>26664</v>
      </c>
      <c r="AB2058" t="s">
        <v>28521</v>
      </c>
      <c r="AC2058" t="s">
        <v>35119</v>
      </c>
      <c r="AD2058" t="s">
        <v>38578</v>
      </c>
      <c r="AE2058">
        <v>100</v>
      </c>
      <c r="AF2058" t="s">
        <v>45553</v>
      </c>
      <c r="AG2058" t="s">
        <v>19330</v>
      </c>
      <c r="AH2058">
        <v>30</v>
      </c>
      <c r="AI2058">
        <v>1</v>
      </c>
      <c r="AJ2058">
        <v>0</v>
      </c>
      <c r="AK2058">
        <v>29.65</v>
      </c>
      <c r="AN2058" t="s">
        <v>45601</v>
      </c>
      <c r="AO2058">
        <v>3600</v>
      </c>
      <c r="AU2058">
        <v>1.1</v>
      </c>
      <c r="AV2058" t="s">
        <v>618</v>
      </c>
      <c r="AW2058" t="s">
        <v>122</v>
      </c>
    </row>
    <row r="2059" spans="1:50">
      <c r="A2059" s="1">
        <f>HYPERLINK("https://lsnyc.legalserver.org/matter/dynamic-profile/view/1878463","18-1878463")</f>
        <v>0</v>
      </c>
      <c r="B2059" t="s">
        <v>103</v>
      </c>
      <c r="C2059" t="s">
        <v>340</v>
      </c>
      <c r="D2059" t="s">
        <v>599</v>
      </c>
      <c r="F2059" t="s">
        <v>2071</v>
      </c>
      <c r="G2059" t="s">
        <v>6253</v>
      </c>
      <c r="H2059" t="s">
        <v>11330</v>
      </c>
      <c r="J2059" t="s">
        <v>18902</v>
      </c>
      <c r="K2059">
        <v>10307</v>
      </c>
      <c r="L2059" t="s">
        <v>18958</v>
      </c>
      <c r="M2059" t="s">
        <v>18958</v>
      </c>
      <c r="N2059" t="s">
        <v>20525</v>
      </c>
      <c r="O2059" t="s">
        <v>26524</v>
      </c>
      <c r="P2059" t="s">
        <v>26560</v>
      </c>
      <c r="R2059" t="s">
        <v>26587</v>
      </c>
      <c r="S2059" t="s">
        <v>18959</v>
      </c>
      <c r="U2059" t="s">
        <v>26604</v>
      </c>
      <c r="V2059" t="s">
        <v>26611</v>
      </c>
      <c r="W2059" t="s">
        <v>599</v>
      </c>
      <c r="X2059">
        <v>7000</v>
      </c>
      <c r="Y2059" t="s">
        <v>26654</v>
      </c>
      <c r="Z2059" t="s">
        <v>26663</v>
      </c>
      <c r="AB2059" t="s">
        <v>28522</v>
      </c>
      <c r="AE2059">
        <v>2</v>
      </c>
      <c r="AF2059" t="s">
        <v>45547</v>
      </c>
      <c r="AH2059">
        <v>13</v>
      </c>
      <c r="AI2059">
        <v>1</v>
      </c>
      <c r="AJ2059">
        <v>3</v>
      </c>
      <c r="AK2059">
        <v>19.78</v>
      </c>
      <c r="AO2059">
        <v>4966</v>
      </c>
      <c r="AQ2059" t="s">
        <v>46362</v>
      </c>
      <c r="AR2059" t="s">
        <v>46379</v>
      </c>
      <c r="AS2059" t="s">
        <v>46499</v>
      </c>
      <c r="AT2059" t="s">
        <v>46509</v>
      </c>
      <c r="AU2059">
        <v>3.6</v>
      </c>
      <c r="AV2059" t="s">
        <v>762</v>
      </c>
      <c r="AW2059" t="s">
        <v>190</v>
      </c>
    </row>
    <row r="2060" spans="1:50">
      <c r="A2060" s="1">
        <f>HYPERLINK("https://lsnyc.legalserver.org/matter/dynamic-profile/view/1878839","18-1878839")</f>
        <v>0</v>
      </c>
      <c r="B2060" t="s">
        <v>91</v>
      </c>
      <c r="C2060" t="s">
        <v>340</v>
      </c>
      <c r="D2060" t="s">
        <v>599</v>
      </c>
      <c r="F2060" t="s">
        <v>1328</v>
      </c>
      <c r="G2060" t="s">
        <v>6254</v>
      </c>
      <c r="H2060" t="s">
        <v>11331</v>
      </c>
      <c r="I2060" t="s">
        <v>17469</v>
      </c>
      <c r="J2060" t="s">
        <v>7026</v>
      </c>
      <c r="K2060">
        <v>11368</v>
      </c>
      <c r="L2060" t="s">
        <v>18958</v>
      </c>
      <c r="M2060" t="s">
        <v>18958</v>
      </c>
      <c r="N2060" t="s">
        <v>20526</v>
      </c>
      <c r="O2060" t="s">
        <v>26524</v>
      </c>
      <c r="P2060" t="s">
        <v>26564</v>
      </c>
      <c r="R2060" t="s">
        <v>26584</v>
      </c>
      <c r="S2060" t="s">
        <v>18959</v>
      </c>
      <c r="U2060" t="s">
        <v>26604</v>
      </c>
      <c r="V2060" t="s">
        <v>26610</v>
      </c>
      <c r="W2060" t="s">
        <v>599</v>
      </c>
      <c r="X2060">
        <v>725</v>
      </c>
      <c r="Y2060" t="s">
        <v>26653</v>
      </c>
      <c r="Z2060" t="s">
        <v>26664</v>
      </c>
      <c r="AB2060" t="s">
        <v>28523</v>
      </c>
      <c r="AD2060" t="s">
        <v>38579</v>
      </c>
      <c r="AE2060">
        <v>3</v>
      </c>
      <c r="AF2060" t="s">
        <v>45547</v>
      </c>
      <c r="AG2060" t="s">
        <v>19330</v>
      </c>
      <c r="AH2060">
        <v>5</v>
      </c>
      <c r="AI2060">
        <v>1</v>
      </c>
      <c r="AJ2060">
        <v>0</v>
      </c>
      <c r="AK2060">
        <v>113.28</v>
      </c>
      <c r="AN2060" t="s">
        <v>7439</v>
      </c>
      <c r="AO2060">
        <v>13752</v>
      </c>
      <c r="AU2060">
        <v>1.3</v>
      </c>
      <c r="AV2060" t="s">
        <v>754</v>
      </c>
      <c r="AW2060" t="s">
        <v>161</v>
      </c>
    </row>
    <row r="2061" spans="1:50">
      <c r="A2061" s="1">
        <f>HYPERLINK("https://lsnyc.legalserver.org/matter/dynamic-profile/view/1879148","18-1879148")</f>
        <v>0</v>
      </c>
      <c r="B2061" t="s">
        <v>54</v>
      </c>
      <c r="C2061" t="s">
        <v>340</v>
      </c>
      <c r="D2061" t="s">
        <v>599</v>
      </c>
      <c r="F2061" t="s">
        <v>2072</v>
      </c>
      <c r="G2061" t="s">
        <v>6171</v>
      </c>
      <c r="H2061" t="s">
        <v>11332</v>
      </c>
      <c r="I2061" t="s">
        <v>17349</v>
      </c>
      <c r="J2061" t="s">
        <v>18892</v>
      </c>
      <c r="K2061">
        <v>10468</v>
      </c>
      <c r="L2061" t="s">
        <v>18958</v>
      </c>
      <c r="M2061" t="s">
        <v>18958</v>
      </c>
      <c r="N2061" t="s">
        <v>20527</v>
      </c>
      <c r="O2061" t="s">
        <v>26523</v>
      </c>
      <c r="P2061" t="s">
        <v>26560</v>
      </c>
      <c r="R2061" t="s">
        <v>26579</v>
      </c>
      <c r="S2061" t="s">
        <v>18959</v>
      </c>
      <c r="U2061" t="s">
        <v>26604</v>
      </c>
      <c r="V2061" t="s">
        <v>26610</v>
      </c>
      <c r="W2061" t="s">
        <v>599</v>
      </c>
      <c r="X2061">
        <v>1300</v>
      </c>
      <c r="Y2061" t="s">
        <v>26650</v>
      </c>
      <c r="Z2061" t="s">
        <v>26668</v>
      </c>
      <c r="AB2061" t="s">
        <v>28524</v>
      </c>
      <c r="AC2061" t="s">
        <v>35120</v>
      </c>
      <c r="AD2061" t="s">
        <v>38580</v>
      </c>
      <c r="AE2061">
        <v>32</v>
      </c>
      <c r="AF2061" t="s">
        <v>45541</v>
      </c>
      <c r="AG2061" t="s">
        <v>19330</v>
      </c>
      <c r="AH2061">
        <v>2</v>
      </c>
      <c r="AI2061">
        <v>1</v>
      </c>
      <c r="AJ2061">
        <v>1</v>
      </c>
      <c r="AK2061">
        <v>65.61</v>
      </c>
      <c r="AN2061" t="s">
        <v>7439</v>
      </c>
      <c r="AO2061">
        <v>10800</v>
      </c>
      <c r="AQ2061" t="s">
        <v>46362</v>
      </c>
      <c r="AR2061" t="s">
        <v>46415</v>
      </c>
      <c r="AS2061" t="s">
        <v>46499</v>
      </c>
      <c r="AT2061" t="s">
        <v>46731</v>
      </c>
      <c r="AU2061">
        <v>12.9</v>
      </c>
      <c r="AV2061" t="s">
        <v>823</v>
      </c>
      <c r="AW2061" t="s">
        <v>46832</v>
      </c>
    </row>
    <row r="2062" spans="1:50">
      <c r="A2062" s="1">
        <f>HYPERLINK("https://lsnyc.legalserver.org/matter/dynamic-profile/view/1877712","18-1877712")</f>
        <v>0</v>
      </c>
      <c r="B2062" t="s">
        <v>167</v>
      </c>
      <c r="C2062" t="s">
        <v>340</v>
      </c>
      <c r="D2062" t="s">
        <v>575</v>
      </c>
      <c r="F2062" t="s">
        <v>995</v>
      </c>
      <c r="G2062" t="s">
        <v>5301</v>
      </c>
      <c r="H2062" t="s">
        <v>11333</v>
      </c>
      <c r="I2062" t="s">
        <v>17334</v>
      </c>
      <c r="J2062" t="s">
        <v>18894</v>
      </c>
      <c r="K2062">
        <v>11220</v>
      </c>
      <c r="L2062" t="s">
        <v>18958</v>
      </c>
      <c r="M2062" t="s">
        <v>18958</v>
      </c>
      <c r="N2062" t="s">
        <v>20528</v>
      </c>
      <c r="O2062" t="s">
        <v>26524</v>
      </c>
      <c r="P2062" t="s">
        <v>26560</v>
      </c>
      <c r="R2062" t="s">
        <v>26586</v>
      </c>
      <c r="S2062" t="s">
        <v>18959</v>
      </c>
      <c r="U2062" t="s">
        <v>26604</v>
      </c>
      <c r="V2062" t="s">
        <v>26610</v>
      </c>
      <c r="W2062" t="s">
        <v>599</v>
      </c>
      <c r="X2062">
        <v>806.66</v>
      </c>
      <c r="Y2062" t="s">
        <v>26652</v>
      </c>
      <c r="Z2062" t="s">
        <v>26663</v>
      </c>
      <c r="AB2062" t="s">
        <v>28525</v>
      </c>
      <c r="AD2062" t="s">
        <v>38581</v>
      </c>
      <c r="AE2062">
        <v>6</v>
      </c>
      <c r="AF2062" t="s">
        <v>45541</v>
      </c>
      <c r="AH2062">
        <v>3</v>
      </c>
      <c r="AI2062">
        <v>1</v>
      </c>
      <c r="AJ2062">
        <v>0</v>
      </c>
      <c r="AK2062">
        <v>96.87</v>
      </c>
      <c r="AN2062" t="s">
        <v>7439</v>
      </c>
      <c r="AO2062">
        <v>11760</v>
      </c>
      <c r="AU2062">
        <v>52.7</v>
      </c>
      <c r="AV2062" t="s">
        <v>777</v>
      </c>
      <c r="AW2062" t="s">
        <v>124</v>
      </c>
    </row>
    <row r="2063" spans="1:50">
      <c r="A2063" s="1">
        <f>HYPERLINK("https://lsnyc.legalserver.org/matter/dynamic-profile/view/1878833","18-1878833")</f>
        <v>0</v>
      </c>
      <c r="B2063" t="s">
        <v>194</v>
      </c>
      <c r="C2063" t="s">
        <v>340</v>
      </c>
      <c r="D2063" t="s">
        <v>605</v>
      </c>
      <c r="F2063" t="s">
        <v>2073</v>
      </c>
      <c r="G2063" t="s">
        <v>6255</v>
      </c>
      <c r="H2063" t="s">
        <v>11334</v>
      </c>
      <c r="I2063" t="s">
        <v>17765</v>
      </c>
      <c r="J2063" t="s">
        <v>18893</v>
      </c>
      <c r="K2063">
        <v>10026</v>
      </c>
      <c r="L2063" t="s">
        <v>18958</v>
      </c>
      <c r="M2063" t="s">
        <v>18958</v>
      </c>
      <c r="N2063" t="s">
        <v>20529</v>
      </c>
      <c r="O2063" t="s">
        <v>26524</v>
      </c>
      <c r="P2063" t="s">
        <v>26560</v>
      </c>
      <c r="R2063" t="s">
        <v>26580</v>
      </c>
      <c r="S2063" t="s">
        <v>18959</v>
      </c>
      <c r="U2063" t="s">
        <v>26604</v>
      </c>
      <c r="W2063" t="s">
        <v>599</v>
      </c>
      <c r="X2063">
        <v>1090.18</v>
      </c>
      <c r="Y2063" t="s">
        <v>26651</v>
      </c>
      <c r="Z2063" t="s">
        <v>26664</v>
      </c>
      <c r="AB2063" t="s">
        <v>28526</v>
      </c>
      <c r="AD2063" t="s">
        <v>38582</v>
      </c>
      <c r="AE2063">
        <v>23</v>
      </c>
      <c r="AF2063" t="s">
        <v>45541</v>
      </c>
      <c r="AG2063" t="s">
        <v>19330</v>
      </c>
      <c r="AH2063">
        <v>19</v>
      </c>
      <c r="AI2063">
        <v>2</v>
      </c>
      <c r="AJ2063">
        <v>3</v>
      </c>
      <c r="AK2063">
        <v>88.38</v>
      </c>
      <c r="AN2063" t="s">
        <v>7439</v>
      </c>
      <c r="AO2063">
        <v>26000</v>
      </c>
      <c r="AU2063">
        <v>16.2</v>
      </c>
      <c r="AV2063" t="s">
        <v>573</v>
      </c>
      <c r="AW2063" t="s">
        <v>165</v>
      </c>
    </row>
    <row r="2064" spans="1:50">
      <c r="A2064" s="1">
        <f>HYPERLINK("https://lsnyc.legalserver.org/matter/dynamic-profile/view/1874063","18-1874063")</f>
        <v>0</v>
      </c>
      <c r="B2064" t="s">
        <v>90</v>
      </c>
      <c r="C2064" t="s">
        <v>341</v>
      </c>
      <c r="D2064" t="s">
        <v>492</v>
      </c>
      <c r="E2064" t="s">
        <v>814</v>
      </c>
      <c r="F2064" t="s">
        <v>2074</v>
      </c>
      <c r="G2064" t="s">
        <v>5103</v>
      </c>
      <c r="H2064" t="s">
        <v>11335</v>
      </c>
      <c r="I2064" t="s">
        <v>17278</v>
      </c>
      <c r="J2064" t="s">
        <v>18893</v>
      </c>
      <c r="K2064">
        <v>10035</v>
      </c>
      <c r="L2064" t="s">
        <v>18958</v>
      </c>
      <c r="M2064" t="s">
        <v>18958</v>
      </c>
      <c r="O2064" t="s">
        <v>26531</v>
      </c>
      <c r="P2064" t="s">
        <v>26565</v>
      </c>
      <c r="Q2064" t="s">
        <v>26571</v>
      </c>
      <c r="R2064" t="s">
        <v>26578</v>
      </c>
      <c r="S2064" t="s">
        <v>18959</v>
      </c>
      <c r="U2064" t="s">
        <v>26604</v>
      </c>
      <c r="W2064" t="s">
        <v>457</v>
      </c>
      <c r="X2064">
        <v>1323.55</v>
      </c>
      <c r="Y2064" t="s">
        <v>26651</v>
      </c>
      <c r="Z2064" t="s">
        <v>26665</v>
      </c>
      <c r="AA2064" t="s">
        <v>26690</v>
      </c>
      <c r="AB2064" t="s">
        <v>28527</v>
      </c>
      <c r="AD2064" t="s">
        <v>38583</v>
      </c>
      <c r="AE2064">
        <v>10</v>
      </c>
      <c r="AF2064" t="s">
        <v>45541</v>
      </c>
      <c r="AG2064" t="s">
        <v>45559</v>
      </c>
      <c r="AH2064">
        <v>32</v>
      </c>
      <c r="AI2064">
        <v>1</v>
      </c>
      <c r="AJ2064">
        <v>0</v>
      </c>
      <c r="AK2064">
        <v>93.31</v>
      </c>
      <c r="AN2064" t="s">
        <v>45581</v>
      </c>
      <c r="AO2064">
        <v>11328</v>
      </c>
      <c r="AP2064" t="s">
        <v>45739</v>
      </c>
      <c r="AU2064">
        <v>11.3</v>
      </c>
      <c r="AV2064" t="s">
        <v>828</v>
      </c>
      <c r="AW2064" t="s">
        <v>46841</v>
      </c>
      <c r="AX2064" t="s">
        <v>46897</v>
      </c>
    </row>
    <row r="2065" spans="1:50">
      <c r="A2065" s="1">
        <f>HYPERLINK("https://lsnyc.legalserver.org/matter/dynamic-profile/view/1874777","18-1874777")</f>
        <v>0</v>
      </c>
      <c r="B2065" t="s">
        <v>166</v>
      </c>
      <c r="C2065" t="s">
        <v>341</v>
      </c>
      <c r="D2065" t="s">
        <v>510</v>
      </c>
      <c r="E2065" t="s">
        <v>767</v>
      </c>
      <c r="F2065" t="s">
        <v>1010</v>
      </c>
      <c r="G2065" t="s">
        <v>5189</v>
      </c>
      <c r="H2065" t="s">
        <v>11336</v>
      </c>
      <c r="I2065" t="s">
        <v>17570</v>
      </c>
      <c r="J2065" t="s">
        <v>18892</v>
      </c>
      <c r="K2065">
        <v>10457</v>
      </c>
      <c r="L2065" t="s">
        <v>18958</v>
      </c>
      <c r="M2065" t="s">
        <v>18958</v>
      </c>
      <c r="N2065" t="s">
        <v>20530</v>
      </c>
      <c r="O2065" t="s">
        <v>26523</v>
      </c>
      <c r="P2065" t="s">
        <v>26560</v>
      </c>
      <c r="Q2065" t="s">
        <v>26568</v>
      </c>
      <c r="R2065" t="s">
        <v>26579</v>
      </c>
      <c r="S2065" t="s">
        <v>18959</v>
      </c>
      <c r="U2065" t="s">
        <v>26604</v>
      </c>
      <c r="V2065" t="s">
        <v>26610</v>
      </c>
      <c r="W2065" t="s">
        <v>457</v>
      </c>
      <c r="X2065">
        <v>814</v>
      </c>
      <c r="Y2065" t="s">
        <v>26650</v>
      </c>
      <c r="Z2065" t="s">
        <v>26669</v>
      </c>
      <c r="AA2065" t="s">
        <v>26678</v>
      </c>
      <c r="AB2065" t="s">
        <v>28528</v>
      </c>
      <c r="AD2065" t="s">
        <v>38584</v>
      </c>
      <c r="AE2065">
        <v>40</v>
      </c>
      <c r="AF2065" t="s">
        <v>45541</v>
      </c>
      <c r="AG2065" t="s">
        <v>19330</v>
      </c>
      <c r="AH2065">
        <v>11</v>
      </c>
      <c r="AI2065">
        <v>1</v>
      </c>
      <c r="AJ2065">
        <v>0</v>
      </c>
      <c r="AK2065">
        <v>195.02</v>
      </c>
      <c r="AN2065" t="s">
        <v>7439</v>
      </c>
      <c r="AO2065">
        <v>23675</v>
      </c>
      <c r="AS2065" t="s">
        <v>46499</v>
      </c>
      <c r="AT2065" t="s">
        <v>46601</v>
      </c>
      <c r="AU2065">
        <v>4</v>
      </c>
      <c r="AV2065" t="s">
        <v>801</v>
      </c>
      <c r="AW2065" t="s">
        <v>46832</v>
      </c>
    </row>
    <row r="2066" spans="1:50">
      <c r="A2066" s="1">
        <f>HYPERLINK("https://lsnyc.legalserver.org/matter/dynamic-profile/view/1874940","18-1874940")</f>
        <v>0</v>
      </c>
      <c r="B2066" t="s">
        <v>231</v>
      </c>
      <c r="C2066" t="s">
        <v>340</v>
      </c>
      <c r="D2066" t="s">
        <v>477</v>
      </c>
      <c r="F2066" t="s">
        <v>2075</v>
      </c>
      <c r="G2066" t="s">
        <v>6256</v>
      </c>
      <c r="H2066" t="s">
        <v>11337</v>
      </c>
      <c r="I2066" t="s">
        <v>17766</v>
      </c>
      <c r="J2066" t="s">
        <v>18892</v>
      </c>
      <c r="K2066">
        <v>10474</v>
      </c>
      <c r="L2066" t="s">
        <v>18958</v>
      </c>
      <c r="M2066" t="s">
        <v>18958</v>
      </c>
      <c r="O2066" t="s">
        <v>26539</v>
      </c>
      <c r="P2066" t="s">
        <v>26562</v>
      </c>
      <c r="R2066" t="s">
        <v>26578</v>
      </c>
      <c r="S2066" t="s">
        <v>18959</v>
      </c>
      <c r="U2066" t="s">
        <v>26607</v>
      </c>
      <c r="W2066" t="s">
        <v>457</v>
      </c>
      <c r="X2066">
        <v>1084</v>
      </c>
      <c r="Y2066" t="s">
        <v>26650</v>
      </c>
      <c r="Z2066" t="s">
        <v>26664</v>
      </c>
      <c r="AB2066" t="s">
        <v>28529</v>
      </c>
      <c r="AC2066" t="s">
        <v>35121</v>
      </c>
      <c r="AD2066" t="s">
        <v>38585</v>
      </c>
      <c r="AE2066">
        <v>27</v>
      </c>
      <c r="AF2066" t="s">
        <v>45541</v>
      </c>
      <c r="AH2066">
        <v>28</v>
      </c>
      <c r="AI2066">
        <v>1</v>
      </c>
      <c r="AJ2066">
        <v>1</v>
      </c>
      <c r="AK2066">
        <v>53.15</v>
      </c>
      <c r="AN2066" t="s">
        <v>45581</v>
      </c>
      <c r="AO2066">
        <v>8748</v>
      </c>
      <c r="AU2066">
        <v>4.5</v>
      </c>
      <c r="AV2066" t="s">
        <v>763</v>
      </c>
      <c r="AW2066" t="s">
        <v>46854</v>
      </c>
    </row>
    <row r="2067" spans="1:50">
      <c r="A2067" s="1">
        <f>HYPERLINK("https://lsnyc.legalserver.org/matter/dynamic-profile/view/1878854","18-1878854")</f>
        <v>0</v>
      </c>
      <c r="B2067" t="s">
        <v>161</v>
      </c>
      <c r="C2067" t="s">
        <v>341</v>
      </c>
      <c r="D2067" t="s">
        <v>599</v>
      </c>
      <c r="E2067" t="s">
        <v>494</v>
      </c>
      <c r="F2067" t="s">
        <v>2076</v>
      </c>
      <c r="G2067" t="s">
        <v>6257</v>
      </c>
      <c r="H2067" t="s">
        <v>11338</v>
      </c>
      <c r="I2067" t="s">
        <v>17374</v>
      </c>
      <c r="J2067" t="s">
        <v>18923</v>
      </c>
      <c r="K2067">
        <v>11418</v>
      </c>
      <c r="L2067" t="s">
        <v>18958</v>
      </c>
      <c r="M2067" t="s">
        <v>18958</v>
      </c>
      <c r="N2067" t="s">
        <v>20531</v>
      </c>
      <c r="O2067" t="s">
        <v>26524</v>
      </c>
      <c r="P2067" t="s">
        <v>26564</v>
      </c>
      <c r="Q2067" t="s">
        <v>26570</v>
      </c>
      <c r="R2067" t="s">
        <v>26584</v>
      </c>
      <c r="S2067" t="s">
        <v>18959</v>
      </c>
      <c r="U2067" t="s">
        <v>26604</v>
      </c>
      <c r="W2067" t="s">
        <v>457</v>
      </c>
      <c r="X2067">
        <v>1100</v>
      </c>
      <c r="Y2067" t="s">
        <v>26653</v>
      </c>
      <c r="Z2067" t="s">
        <v>26664</v>
      </c>
      <c r="AA2067" t="s">
        <v>26683</v>
      </c>
      <c r="AB2067" t="s">
        <v>28530</v>
      </c>
      <c r="AC2067" t="s">
        <v>35122</v>
      </c>
      <c r="AD2067" t="s">
        <v>38586</v>
      </c>
      <c r="AE2067">
        <v>2</v>
      </c>
      <c r="AF2067" t="s">
        <v>45547</v>
      </c>
      <c r="AG2067" t="s">
        <v>19330</v>
      </c>
      <c r="AH2067">
        <v>1</v>
      </c>
      <c r="AI2067">
        <v>1</v>
      </c>
      <c r="AJ2067">
        <v>0</v>
      </c>
      <c r="AK2067">
        <v>82.04000000000001</v>
      </c>
      <c r="AN2067" t="s">
        <v>45581</v>
      </c>
      <c r="AO2067">
        <v>9960</v>
      </c>
      <c r="AU2067">
        <v>0.5</v>
      </c>
      <c r="AV2067" t="s">
        <v>599</v>
      </c>
      <c r="AW2067" t="s">
        <v>161</v>
      </c>
    </row>
    <row r="2068" spans="1:50">
      <c r="A2068" s="1">
        <f>HYPERLINK("https://lsnyc.legalserver.org/matter/dynamic-profile/view/1878857","18-1878857")</f>
        <v>0</v>
      </c>
      <c r="B2068" t="s">
        <v>114</v>
      </c>
      <c r="C2068" t="s">
        <v>341</v>
      </c>
      <c r="D2068" t="s">
        <v>599</v>
      </c>
      <c r="E2068" t="s">
        <v>819</v>
      </c>
      <c r="F2068" t="s">
        <v>2077</v>
      </c>
      <c r="G2068" t="s">
        <v>6258</v>
      </c>
      <c r="H2068" t="s">
        <v>11339</v>
      </c>
      <c r="I2068" t="s">
        <v>17421</v>
      </c>
      <c r="J2068" t="s">
        <v>18913</v>
      </c>
      <c r="K2068">
        <v>11106</v>
      </c>
      <c r="L2068" t="s">
        <v>18958</v>
      </c>
      <c r="M2068" t="s">
        <v>18958</v>
      </c>
      <c r="N2068" t="s">
        <v>20532</v>
      </c>
      <c r="O2068" t="s">
        <v>26523</v>
      </c>
      <c r="P2068" t="s">
        <v>26560</v>
      </c>
      <c r="Q2068" t="s">
        <v>26568</v>
      </c>
      <c r="R2068" t="s">
        <v>26584</v>
      </c>
      <c r="S2068" t="s">
        <v>18959</v>
      </c>
      <c r="U2068" t="s">
        <v>26604</v>
      </c>
      <c r="V2068" t="s">
        <v>26614</v>
      </c>
      <c r="W2068" t="s">
        <v>457</v>
      </c>
      <c r="X2068">
        <v>1400</v>
      </c>
      <c r="Y2068" t="s">
        <v>26653</v>
      </c>
      <c r="Z2068" t="s">
        <v>26664</v>
      </c>
      <c r="AA2068" t="s">
        <v>26678</v>
      </c>
      <c r="AB2068" t="s">
        <v>28531</v>
      </c>
      <c r="AC2068" t="s">
        <v>35123</v>
      </c>
      <c r="AD2068" t="s">
        <v>38587</v>
      </c>
      <c r="AE2068">
        <v>72</v>
      </c>
      <c r="AF2068" t="s">
        <v>45541</v>
      </c>
      <c r="AG2068" t="s">
        <v>19330</v>
      </c>
      <c r="AH2068">
        <v>6</v>
      </c>
      <c r="AI2068">
        <v>3</v>
      </c>
      <c r="AJ2068">
        <v>3</v>
      </c>
      <c r="AK2068">
        <v>118.55</v>
      </c>
      <c r="AN2068" t="s">
        <v>7439</v>
      </c>
      <c r="AO2068">
        <v>40000</v>
      </c>
      <c r="AQ2068" t="s">
        <v>46365</v>
      </c>
      <c r="AR2068" t="s">
        <v>46379</v>
      </c>
      <c r="AS2068" t="s">
        <v>46499</v>
      </c>
      <c r="AT2068" t="s">
        <v>46535</v>
      </c>
      <c r="AU2068">
        <v>9.6</v>
      </c>
      <c r="AV2068" t="s">
        <v>754</v>
      </c>
      <c r="AW2068" t="s">
        <v>161</v>
      </c>
    </row>
    <row r="2069" spans="1:50">
      <c r="A2069" s="1">
        <f>HYPERLINK("https://lsnyc.legalserver.org/matter/dynamic-profile/view/1878841","18-1878841")</f>
        <v>0</v>
      </c>
      <c r="B2069" t="s">
        <v>91</v>
      </c>
      <c r="C2069" t="s">
        <v>340</v>
      </c>
      <c r="D2069" t="s">
        <v>599</v>
      </c>
      <c r="F2069" t="s">
        <v>880</v>
      </c>
      <c r="G2069" t="s">
        <v>6259</v>
      </c>
      <c r="H2069" t="s">
        <v>11340</v>
      </c>
      <c r="J2069" t="s">
        <v>18913</v>
      </c>
      <c r="K2069">
        <v>11106</v>
      </c>
      <c r="L2069" t="s">
        <v>18958</v>
      </c>
      <c r="M2069" t="s">
        <v>18958</v>
      </c>
      <c r="N2069" t="s">
        <v>20533</v>
      </c>
      <c r="O2069" t="s">
        <v>26524</v>
      </c>
      <c r="P2069" t="s">
        <v>26564</v>
      </c>
      <c r="R2069" t="s">
        <v>26584</v>
      </c>
      <c r="S2069" t="s">
        <v>18959</v>
      </c>
      <c r="U2069" t="s">
        <v>26604</v>
      </c>
      <c r="V2069" t="s">
        <v>26610</v>
      </c>
      <c r="W2069" t="s">
        <v>457</v>
      </c>
      <c r="X2069">
        <v>600</v>
      </c>
      <c r="Y2069" t="s">
        <v>26653</v>
      </c>
      <c r="Z2069" t="s">
        <v>26664</v>
      </c>
      <c r="AB2069" t="s">
        <v>28532</v>
      </c>
      <c r="AE2069">
        <v>8</v>
      </c>
      <c r="AF2069" t="s">
        <v>45541</v>
      </c>
      <c r="AG2069" t="s">
        <v>19330</v>
      </c>
      <c r="AH2069">
        <v>1</v>
      </c>
      <c r="AI2069">
        <v>1</v>
      </c>
      <c r="AJ2069">
        <v>0</v>
      </c>
      <c r="AK2069">
        <v>0</v>
      </c>
      <c r="AN2069" t="s">
        <v>7439</v>
      </c>
      <c r="AO2069">
        <v>0</v>
      </c>
      <c r="AU2069">
        <v>1.4</v>
      </c>
      <c r="AV2069" t="s">
        <v>413</v>
      </c>
      <c r="AW2069" t="s">
        <v>91</v>
      </c>
    </row>
    <row r="2070" spans="1:50">
      <c r="A2070" s="1">
        <f>HYPERLINK("https://lsnyc.legalserver.org/matter/dynamic-profile/view/1879115","18-1879115")</f>
        <v>0</v>
      </c>
      <c r="B2070" t="s">
        <v>149</v>
      </c>
      <c r="C2070" t="s">
        <v>341</v>
      </c>
      <c r="D2070" t="s">
        <v>457</v>
      </c>
      <c r="E2070" t="s">
        <v>494</v>
      </c>
      <c r="F2070" t="s">
        <v>2078</v>
      </c>
      <c r="G2070" t="s">
        <v>6260</v>
      </c>
      <c r="H2070" t="s">
        <v>11341</v>
      </c>
      <c r="I2070">
        <v>3</v>
      </c>
      <c r="J2070" t="s">
        <v>18892</v>
      </c>
      <c r="K2070">
        <v>10466</v>
      </c>
      <c r="L2070" t="s">
        <v>18958</v>
      </c>
      <c r="M2070" t="s">
        <v>18958</v>
      </c>
      <c r="O2070" t="s">
        <v>18997</v>
      </c>
      <c r="P2070" t="s">
        <v>26564</v>
      </c>
      <c r="Q2070" t="s">
        <v>26570</v>
      </c>
      <c r="R2070" t="s">
        <v>26578</v>
      </c>
      <c r="S2070" t="s">
        <v>18959</v>
      </c>
      <c r="U2070" t="s">
        <v>26604</v>
      </c>
      <c r="W2070" t="s">
        <v>457</v>
      </c>
      <c r="X2070">
        <v>2000</v>
      </c>
      <c r="Y2070" t="s">
        <v>26650</v>
      </c>
      <c r="Z2070" t="s">
        <v>26663</v>
      </c>
      <c r="AA2070" t="s">
        <v>26683</v>
      </c>
      <c r="AB2070" t="s">
        <v>28533</v>
      </c>
      <c r="AC2070" t="s">
        <v>35124</v>
      </c>
      <c r="AE2070">
        <v>3</v>
      </c>
      <c r="AF2070" t="s">
        <v>45547</v>
      </c>
      <c r="AG2070" t="s">
        <v>45558</v>
      </c>
      <c r="AH2070">
        <v>1</v>
      </c>
      <c r="AI2070">
        <v>3</v>
      </c>
      <c r="AJ2070">
        <v>5</v>
      </c>
      <c r="AK2070">
        <v>36.81</v>
      </c>
      <c r="AN2070" t="s">
        <v>7439</v>
      </c>
      <c r="AO2070">
        <v>15600</v>
      </c>
      <c r="AU2070">
        <v>0.2</v>
      </c>
      <c r="AV2070" t="s">
        <v>668</v>
      </c>
      <c r="AW2070" t="s">
        <v>336</v>
      </c>
    </row>
    <row r="2071" spans="1:50">
      <c r="A2071" s="1">
        <f>HYPERLINK("https://lsnyc.legalserver.org/matter/dynamic-profile/view/1879132","18-1879132")</f>
        <v>0</v>
      </c>
      <c r="B2071" t="s">
        <v>149</v>
      </c>
      <c r="C2071" t="s">
        <v>341</v>
      </c>
      <c r="D2071" t="s">
        <v>457</v>
      </c>
      <c r="E2071" t="s">
        <v>494</v>
      </c>
      <c r="F2071" t="s">
        <v>1932</v>
      </c>
      <c r="G2071" t="s">
        <v>6261</v>
      </c>
      <c r="H2071" t="s">
        <v>11342</v>
      </c>
      <c r="I2071" t="s">
        <v>17436</v>
      </c>
      <c r="J2071" t="s">
        <v>18892</v>
      </c>
      <c r="K2071">
        <v>10463</v>
      </c>
      <c r="L2071" t="s">
        <v>18958</v>
      </c>
      <c r="M2071" t="s">
        <v>18958</v>
      </c>
      <c r="O2071" t="s">
        <v>18997</v>
      </c>
      <c r="P2071" t="s">
        <v>26564</v>
      </c>
      <c r="Q2071" t="s">
        <v>26570</v>
      </c>
      <c r="R2071" t="s">
        <v>26578</v>
      </c>
      <c r="S2071" t="s">
        <v>18959</v>
      </c>
      <c r="U2071" t="s">
        <v>26604</v>
      </c>
      <c r="W2071" t="s">
        <v>457</v>
      </c>
      <c r="X2071">
        <v>1250</v>
      </c>
      <c r="Y2071" t="s">
        <v>26650</v>
      </c>
      <c r="Z2071" t="s">
        <v>26663</v>
      </c>
      <c r="AA2071" t="s">
        <v>26683</v>
      </c>
      <c r="AB2071" t="s">
        <v>28534</v>
      </c>
      <c r="AD2071" t="s">
        <v>38588</v>
      </c>
      <c r="AE2071">
        <v>58</v>
      </c>
      <c r="AF2071" t="s">
        <v>45541</v>
      </c>
      <c r="AG2071" t="s">
        <v>19330</v>
      </c>
      <c r="AH2071">
        <v>2</v>
      </c>
      <c r="AI2071">
        <v>1</v>
      </c>
      <c r="AJ2071">
        <v>0</v>
      </c>
      <c r="AK2071">
        <v>321.25</v>
      </c>
      <c r="AN2071" t="s">
        <v>7439</v>
      </c>
      <c r="AO2071">
        <v>39000</v>
      </c>
      <c r="AP2071" t="s">
        <v>45740</v>
      </c>
      <c r="AU2071">
        <v>0.25</v>
      </c>
      <c r="AV2071" t="s">
        <v>414</v>
      </c>
      <c r="AW2071" t="s">
        <v>336</v>
      </c>
    </row>
    <row r="2072" spans="1:50">
      <c r="A2072" s="1">
        <f>HYPERLINK("https://lsnyc.legalserver.org/matter/dynamic-profile/view/1878989","18-1878989")</f>
        <v>0</v>
      </c>
      <c r="B2072" t="s">
        <v>99</v>
      </c>
      <c r="C2072" t="s">
        <v>341</v>
      </c>
      <c r="D2072" t="s">
        <v>457</v>
      </c>
      <c r="E2072" t="s">
        <v>614</v>
      </c>
      <c r="F2072" t="s">
        <v>1754</v>
      </c>
      <c r="G2072" t="s">
        <v>6262</v>
      </c>
      <c r="H2072" t="s">
        <v>11343</v>
      </c>
      <c r="I2072">
        <v>3</v>
      </c>
      <c r="J2072" t="s">
        <v>18894</v>
      </c>
      <c r="K2072">
        <v>11221</v>
      </c>
      <c r="L2072" t="s">
        <v>18958</v>
      </c>
      <c r="M2072" t="s">
        <v>18958</v>
      </c>
      <c r="N2072" t="s">
        <v>20534</v>
      </c>
      <c r="O2072" t="s">
        <v>26523</v>
      </c>
      <c r="P2072" t="s">
        <v>26560</v>
      </c>
      <c r="Q2072" t="s">
        <v>26573</v>
      </c>
      <c r="R2072" t="s">
        <v>26588</v>
      </c>
      <c r="S2072" t="s">
        <v>18959</v>
      </c>
      <c r="U2072" t="s">
        <v>26604</v>
      </c>
      <c r="V2072" t="s">
        <v>26614</v>
      </c>
      <c r="W2072" t="s">
        <v>457</v>
      </c>
      <c r="X2072">
        <v>3500</v>
      </c>
      <c r="Y2072" t="s">
        <v>26652</v>
      </c>
      <c r="Z2072" t="s">
        <v>26669</v>
      </c>
      <c r="AA2072" t="s">
        <v>26681</v>
      </c>
      <c r="AB2072" t="s">
        <v>27058</v>
      </c>
      <c r="AD2072" t="s">
        <v>38589</v>
      </c>
      <c r="AE2072">
        <v>4</v>
      </c>
      <c r="AF2072" t="s">
        <v>45547</v>
      </c>
      <c r="AG2072" t="s">
        <v>19330</v>
      </c>
      <c r="AH2072">
        <v>1</v>
      </c>
      <c r="AI2072">
        <v>1</v>
      </c>
      <c r="AJ2072">
        <v>0</v>
      </c>
      <c r="AK2072">
        <v>164.74</v>
      </c>
      <c r="AN2072" t="s">
        <v>7439</v>
      </c>
      <c r="AO2072">
        <v>20000</v>
      </c>
      <c r="AQ2072" t="s">
        <v>46359</v>
      </c>
      <c r="AR2072" t="s">
        <v>46437</v>
      </c>
      <c r="AS2072" t="s">
        <v>46500</v>
      </c>
      <c r="AT2072" t="s">
        <v>46597</v>
      </c>
      <c r="AU2072">
        <v>3.8</v>
      </c>
      <c r="AV2072" t="s">
        <v>575</v>
      </c>
      <c r="AW2072" t="s">
        <v>46853</v>
      </c>
    </row>
    <row r="2073" spans="1:50">
      <c r="A2073" s="1">
        <f>HYPERLINK("https://lsnyc.legalserver.org/matter/dynamic-profile/view/1878899","18-1878899")</f>
        <v>0</v>
      </c>
      <c r="B2073" t="s">
        <v>251</v>
      </c>
      <c r="C2073" t="s">
        <v>341</v>
      </c>
      <c r="D2073" t="s">
        <v>457</v>
      </c>
      <c r="E2073" t="s">
        <v>762</v>
      </c>
      <c r="F2073" t="s">
        <v>2079</v>
      </c>
      <c r="G2073" t="s">
        <v>6028</v>
      </c>
      <c r="H2073" t="s">
        <v>11344</v>
      </c>
      <c r="I2073" t="s">
        <v>17276</v>
      </c>
      <c r="J2073" t="s">
        <v>18892</v>
      </c>
      <c r="K2073">
        <v>10457</v>
      </c>
      <c r="L2073" t="s">
        <v>18958</v>
      </c>
      <c r="M2073" t="s">
        <v>18958</v>
      </c>
      <c r="N2073" t="s">
        <v>20535</v>
      </c>
      <c r="O2073" t="s">
        <v>26523</v>
      </c>
      <c r="P2073" t="s">
        <v>26560</v>
      </c>
      <c r="Q2073" t="s">
        <v>26574</v>
      </c>
      <c r="R2073" t="s">
        <v>26579</v>
      </c>
      <c r="S2073" t="s">
        <v>18959</v>
      </c>
      <c r="U2073" t="s">
        <v>26604</v>
      </c>
      <c r="V2073" t="s">
        <v>26610</v>
      </c>
      <c r="W2073" t="s">
        <v>457</v>
      </c>
      <c r="X2073">
        <v>1459.59</v>
      </c>
      <c r="Y2073" t="s">
        <v>26650</v>
      </c>
      <c r="Z2073" t="s">
        <v>26664</v>
      </c>
      <c r="AA2073" t="s">
        <v>26687</v>
      </c>
      <c r="AB2073" t="s">
        <v>28535</v>
      </c>
      <c r="AC2073" t="s">
        <v>35125</v>
      </c>
      <c r="AD2073" t="s">
        <v>38590</v>
      </c>
      <c r="AE2073">
        <v>48</v>
      </c>
      <c r="AF2073" t="s">
        <v>45541</v>
      </c>
      <c r="AG2073" t="s">
        <v>45556</v>
      </c>
      <c r="AH2073">
        <v>18</v>
      </c>
      <c r="AI2073">
        <v>1</v>
      </c>
      <c r="AJ2073">
        <v>0</v>
      </c>
      <c r="AK2073">
        <v>144.35</v>
      </c>
      <c r="AN2073" t="s">
        <v>45581</v>
      </c>
      <c r="AO2073">
        <v>17524</v>
      </c>
      <c r="AQ2073" t="s">
        <v>46362</v>
      </c>
      <c r="AR2073" t="s">
        <v>26530</v>
      </c>
      <c r="AS2073" t="s">
        <v>46501</v>
      </c>
      <c r="AT2073" t="s">
        <v>46604</v>
      </c>
      <c r="AU2073">
        <v>38.55</v>
      </c>
      <c r="AV2073" t="s">
        <v>795</v>
      </c>
      <c r="AW2073" t="s">
        <v>334</v>
      </c>
    </row>
    <row r="2074" spans="1:50">
      <c r="A2074" s="1">
        <f>HYPERLINK("https://lsnyc.legalserver.org/matter/dynamic-profile/view/1878888","18-1878888")</f>
        <v>0</v>
      </c>
      <c r="B2074" t="s">
        <v>90</v>
      </c>
      <c r="C2074" t="s">
        <v>341</v>
      </c>
      <c r="D2074" t="s">
        <v>457</v>
      </c>
      <c r="E2074" t="s">
        <v>836</v>
      </c>
      <c r="F2074" t="s">
        <v>1182</v>
      </c>
      <c r="G2074" t="s">
        <v>6263</v>
      </c>
      <c r="H2074" t="s">
        <v>11345</v>
      </c>
      <c r="I2074" t="s">
        <v>17639</v>
      </c>
      <c r="J2074" t="s">
        <v>18893</v>
      </c>
      <c r="K2074">
        <v>10029</v>
      </c>
      <c r="L2074" t="s">
        <v>18958</v>
      </c>
      <c r="M2074" t="s">
        <v>18958</v>
      </c>
      <c r="N2074" t="s">
        <v>20536</v>
      </c>
      <c r="O2074" t="s">
        <v>26523</v>
      </c>
      <c r="P2074" t="s">
        <v>26560</v>
      </c>
      <c r="Q2074" t="s">
        <v>26568</v>
      </c>
      <c r="R2074" t="s">
        <v>26578</v>
      </c>
      <c r="S2074" t="s">
        <v>18959</v>
      </c>
      <c r="U2074" t="s">
        <v>26604</v>
      </c>
      <c r="V2074" t="s">
        <v>26610</v>
      </c>
      <c r="W2074" t="s">
        <v>457</v>
      </c>
      <c r="X2074">
        <v>1100</v>
      </c>
      <c r="Y2074" t="s">
        <v>26651</v>
      </c>
      <c r="Z2074" t="s">
        <v>26668</v>
      </c>
      <c r="AA2074" t="s">
        <v>26678</v>
      </c>
      <c r="AB2074" t="s">
        <v>28536</v>
      </c>
      <c r="AD2074" t="s">
        <v>38591</v>
      </c>
      <c r="AE2074">
        <v>120</v>
      </c>
      <c r="AF2074" t="s">
        <v>45550</v>
      </c>
      <c r="AG2074" t="s">
        <v>45556</v>
      </c>
      <c r="AH2074">
        <v>15</v>
      </c>
      <c r="AI2074">
        <v>1</v>
      </c>
      <c r="AJ2074">
        <v>0</v>
      </c>
      <c r="AK2074">
        <v>89.59999999999999</v>
      </c>
      <c r="AN2074" t="s">
        <v>7439</v>
      </c>
      <c r="AO2074">
        <v>10878</v>
      </c>
      <c r="AQ2074" t="s">
        <v>46365</v>
      </c>
      <c r="AR2074" t="s">
        <v>46379</v>
      </c>
      <c r="AS2074" t="s">
        <v>46499</v>
      </c>
      <c r="AT2074" t="s">
        <v>46732</v>
      </c>
      <c r="AU2074">
        <v>35.7</v>
      </c>
      <c r="AV2074" t="s">
        <v>827</v>
      </c>
      <c r="AW2074" t="s">
        <v>46835</v>
      </c>
      <c r="AX2074" t="s">
        <v>46897</v>
      </c>
    </row>
    <row r="2075" spans="1:50">
      <c r="A2075" s="1">
        <f>HYPERLINK("https://lsnyc.legalserver.org/matter/dynamic-profile/view/1878922","18-1878922")</f>
        <v>0</v>
      </c>
      <c r="B2075" t="s">
        <v>122</v>
      </c>
      <c r="C2075" t="s">
        <v>341</v>
      </c>
      <c r="D2075" t="s">
        <v>457</v>
      </c>
      <c r="E2075" t="s">
        <v>583</v>
      </c>
      <c r="F2075" t="s">
        <v>2080</v>
      </c>
      <c r="G2075" t="s">
        <v>6264</v>
      </c>
      <c r="H2075" t="s">
        <v>11346</v>
      </c>
      <c r="I2075" t="s">
        <v>17767</v>
      </c>
      <c r="J2075" t="s">
        <v>18897</v>
      </c>
      <c r="K2075">
        <v>11415</v>
      </c>
      <c r="L2075" t="s">
        <v>18958</v>
      </c>
      <c r="M2075" t="s">
        <v>18958</v>
      </c>
      <c r="N2075" t="s">
        <v>19045</v>
      </c>
      <c r="O2075" t="s">
        <v>18997</v>
      </c>
      <c r="P2075" t="s">
        <v>26564</v>
      </c>
      <c r="Q2075" t="s">
        <v>26570</v>
      </c>
      <c r="R2075" t="s">
        <v>26584</v>
      </c>
      <c r="S2075" t="s">
        <v>18959</v>
      </c>
      <c r="U2075" t="s">
        <v>26604</v>
      </c>
      <c r="W2075" t="s">
        <v>457</v>
      </c>
      <c r="X2075">
        <v>1225</v>
      </c>
      <c r="Y2075" t="s">
        <v>26653</v>
      </c>
      <c r="Z2075" t="s">
        <v>26670</v>
      </c>
      <c r="AA2075" t="s">
        <v>26683</v>
      </c>
      <c r="AB2075" t="s">
        <v>28537</v>
      </c>
      <c r="AD2075" t="s">
        <v>34738</v>
      </c>
      <c r="AE2075">
        <v>80</v>
      </c>
      <c r="AF2075" t="s">
        <v>45541</v>
      </c>
      <c r="AG2075" t="s">
        <v>45559</v>
      </c>
      <c r="AH2075">
        <v>18</v>
      </c>
      <c r="AI2075">
        <v>2</v>
      </c>
      <c r="AJ2075">
        <v>0</v>
      </c>
      <c r="AK2075">
        <v>522.48</v>
      </c>
      <c r="AO2075">
        <v>86000</v>
      </c>
      <c r="AU2075">
        <v>1</v>
      </c>
      <c r="AV2075" t="s">
        <v>457</v>
      </c>
      <c r="AW2075" t="s">
        <v>122</v>
      </c>
    </row>
    <row r="2076" spans="1:50">
      <c r="A2076" s="1">
        <f>HYPERLINK("https://lsnyc.legalserver.org/matter/dynamic-profile/view/1878898","18-1878898")</f>
        <v>0</v>
      </c>
      <c r="B2076" t="s">
        <v>126</v>
      </c>
      <c r="C2076" t="s">
        <v>341</v>
      </c>
      <c r="D2076" t="s">
        <v>457</v>
      </c>
      <c r="E2076" t="s">
        <v>706</v>
      </c>
      <c r="F2076" t="s">
        <v>2081</v>
      </c>
      <c r="G2076" t="s">
        <v>6265</v>
      </c>
      <c r="H2076" t="s">
        <v>11347</v>
      </c>
      <c r="I2076" t="s">
        <v>17333</v>
      </c>
      <c r="J2076" t="s">
        <v>18894</v>
      </c>
      <c r="K2076">
        <v>11207</v>
      </c>
      <c r="L2076" t="s">
        <v>18958</v>
      </c>
      <c r="M2076" t="s">
        <v>18958</v>
      </c>
      <c r="N2076" t="s">
        <v>20537</v>
      </c>
      <c r="O2076" t="s">
        <v>26524</v>
      </c>
      <c r="P2076" t="s">
        <v>26560</v>
      </c>
      <c r="Q2076" t="s">
        <v>26574</v>
      </c>
      <c r="R2076" t="s">
        <v>26578</v>
      </c>
      <c r="S2076" t="s">
        <v>18959</v>
      </c>
      <c r="U2076" t="s">
        <v>26604</v>
      </c>
      <c r="W2076" t="s">
        <v>457</v>
      </c>
      <c r="X2076">
        <v>1150</v>
      </c>
      <c r="Y2076" t="s">
        <v>26652</v>
      </c>
      <c r="Z2076" t="s">
        <v>26668</v>
      </c>
      <c r="AA2076" t="s">
        <v>26683</v>
      </c>
      <c r="AB2076" t="s">
        <v>28538</v>
      </c>
      <c r="AC2076" t="s">
        <v>35126</v>
      </c>
      <c r="AD2076" t="s">
        <v>38592</v>
      </c>
      <c r="AE2076">
        <v>5</v>
      </c>
      <c r="AF2076" t="s">
        <v>20460</v>
      </c>
      <c r="AG2076" t="s">
        <v>19330</v>
      </c>
      <c r="AH2076">
        <v>3</v>
      </c>
      <c r="AI2076">
        <v>1</v>
      </c>
      <c r="AJ2076">
        <v>0</v>
      </c>
      <c r="AK2076">
        <v>74.14</v>
      </c>
      <c r="AN2076" t="s">
        <v>7439</v>
      </c>
      <c r="AO2076">
        <v>9000</v>
      </c>
      <c r="AP2076" t="s">
        <v>45624</v>
      </c>
      <c r="AU2076">
        <v>8.300000000000001</v>
      </c>
      <c r="AV2076" t="s">
        <v>706</v>
      </c>
      <c r="AW2076" t="s">
        <v>279</v>
      </c>
    </row>
    <row r="2077" spans="1:50">
      <c r="A2077" s="1">
        <f>HYPERLINK("https://lsnyc.legalserver.org/matter/dynamic-profile/view/1878862","18-1878862")</f>
        <v>0</v>
      </c>
      <c r="B2077" t="s">
        <v>67</v>
      </c>
      <c r="C2077" t="s">
        <v>340</v>
      </c>
      <c r="D2077" t="s">
        <v>457</v>
      </c>
      <c r="F2077" t="s">
        <v>2082</v>
      </c>
      <c r="G2077" t="s">
        <v>5678</v>
      </c>
      <c r="H2077" t="s">
        <v>11348</v>
      </c>
      <c r="I2077" t="s">
        <v>17306</v>
      </c>
      <c r="J2077" t="s">
        <v>18892</v>
      </c>
      <c r="K2077">
        <v>10459</v>
      </c>
      <c r="L2077" t="s">
        <v>18958</v>
      </c>
      <c r="M2077" t="s">
        <v>18958</v>
      </c>
      <c r="N2077" t="s">
        <v>20538</v>
      </c>
      <c r="O2077" t="s">
        <v>26523</v>
      </c>
      <c r="P2077" t="s">
        <v>26560</v>
      </c>
      <c r="R2077" t="s">
        <v>26578</v>
      </c>
      <c r="S2077" t="s">
        <v>18959</v>
      </c>
      <c r="U2077" t="s">
        <v>26604</v>
      </c>
      <c r="V2077" t="s">
        <v>26612</v>
      </c>
      <c r="W2077" t="s">
        <v>457</v>
      </c>
      <c r="X2077">
        <v>1023.44</v>
      </c>
      <c r="Y2077" t="s">
        <v>26650</v>
      </c>
      <c r="Z2077" t="s">
        <v>26668</v>
      </c>
      <c r="AB2077" t="s">
        <v>28152</v>
      </c>
      <c r="AC2077" t="s">
        <v>35127</v>
      </c>
      <c r="AD2077" t="s">
        <v>38593</v>
      </c>
      <c r="AE2077">
        <v>11</v>
      </c>
      <c r="AF2077" t="s">
        <v>45541</v>
      </c>
      <c r="AG2077" t="s">
        <v>45556</v>
      </c>
      <c r="AH2077">
        <v>9</v>
      </c>
      <c r="AI2077">
        <v>1</v>
      </c>
      <c r="AJ2077">
        <v>1</v>
      </c>
      <c r="AK2077">
        <v>54.68</v>
      </c>
      <c r="AN2077" t="s">
        <v>45581</v>
      </c>
      <c r="AO2077">
        <v>9000</v>
      </c>
      <c r="AU2077">
        <v>12.1</v>
      </c>
      <c r="AV2077" t="s">
        <v>519</v>
      </c>
      <c r="AW2077" t="s">
        <v>46870</v>
      </c>
    </row>
    <row r="2078" spans="1:50">
      <c r="A2078" s="1">
        <f>HYPERLINK("https://lsnyc.legalserver.org/matter/dynamic-profile/view/1878863","18-1878863")</f>
        <v>0</v>
      </c>
      <c r="B2078" t="s">
        <v>253</v>
      </c>
      <c r="C2078" t="s">
        <v>340</v>
      </c>
      <c r="D2078" t="s">
        <v>457</v>
      </c>
      <c r="F2078" t="s">
        <v>1161</v>
      </c>
      <c r="G2078" t="s">
        <v>5100</v>
      </c>
      <c r="H2078" t="s">
        <v>11349</v>
      </c>
      <c r="I2078" t="s">
        <v>17768</v>
      </c>
      <c r="J2078" t="s">
        <v>18892</v>
      </c>
      <c r="K2078">
        <v>10457</v>
      </c>
      <c r="L2078" t="s">
        <v>18958</v>
      </c>
      <c r="M2078" t="s">
        <v>18958</v>
      </c>
      <c r="N2078" t="s">
        <v>20539</v>
      </c>
      <c r="O2078" t="s">
        <v>26523</v>
      </c>
      <c r="P2078" t="s">
        <v>26560</v>
      </c>
      <c r="R2078" t="s">
        <v>26579</v>
      </c>
      <c r="S2078" t="s">
        <v>18959</v>
      </c>
      <c r="U2078" t="s">
        <v>26604</v>
      </c>
      <c r="V2078" t="s">
        <v>26610</v>
      </c>
      <c r="W2078" t="s">
        <v>457</v>
      </c>
      <c r="X2078">
        <v>1197.79</v>
      </c>
      <c r="Y2078" t="s">
        <v>26650</v>
      </c>
      <c r="Z2078" t="s">
        <v>26664</v>
      </c>
      <c r="AB2078" t="s">
        <v>28539</v>
      </c>
      <c r="AC2078" t="s">
        <v>35128</v>
      </c>
      <c r="AE2078">
        <v>281</v>
      </c>
      <c r="AF2078" t="s">
        <v>45541</v>
      </c>
      <c r="AG2078" t="s">
        <v>45562</v>
      </c>
      <c r="AH2078">
        <v>3</v>
      </c>
      <c r="AI2078">
        <v>2</v>
      </c>
      <c r="AJ2078">
        <v>1</v>
      </c>
      <c r="AK2078">
        <v>44.64</v>
      </c>
      <c r="AN2078" t="s">
        <v>7439</v>
      </c>
      <c r="AO2078">
        <v>9276</v>
      </c>
      <c r="AQ2078" t="s">
        <v>46361</v>
      </c>
      <c r="AR2078" t="s">
        <v>46380</v>
      </c>
      <c r="AS2078" t="s">
        <v>46499</v>
      </c>
      <c r="AT2078" t="s">
        <v>46669</v>
      </c>
      <c r="AU2078">
        <v>59.6</v>
      </c>
      <c r="AV2078" t="s">
        <v>802</v>
      </c>
      <c r="AW2078" t="s">
        <v>46847</v>
      </c>
    </row>
    <row r="2079" spans="1:50">
      <c r="A2079" s="1">
        <f>HYPERLINK("https://lsnyc.legalserver.org/matter/dynamic-profile/view/1878957","18-1878957")</f>
        <v>0</v>
      </c>
      <c r="B2079" t="s">
        <v>91</v>
      </c>
      <c r="C2079" t="s">
        <v>340</v>
      </c>
      <c r="D2079" t="s">
        <v>457</v>
      </c>
      <c r="F2079" t="s">
        <v>887</v>
      </c>
      <c r="G2079" t="s">
        <v>6266</v>
      </c>
      <c r="H2079" t="s">
        <v>11350</v>
      </c>
      <c r="I2079" t="s">
        <v>17769</v>
      </c>
      <c r="J2079" t="s">
        <v>18906</v>
      </c>
      <c r="K2079">
        <v>11373</v>
      </c>
      <c r="L2079" t="s">
        <v>18958</v>
      </c>
      <c r="M2079" t="s">
        <v>18958</v>
      </c>
      <c r="N2079" t="s">
        <v>20540</v>
      </c>
      <c r="O2079" t="s">
        <v>26523</v>
      </c>
      <c r="P2079" t="s">
        <v>26560</v>
      </c>
      <c r="R2079" t="s">
        <v>26585</v>
      </c>
      <c r="S2079" t="s">
        <v>18959</v>
      </c>
      <c r="U2079" t="s">
        <v>26604</v>
      </c>
      <c r="V2079" t="s">
        <v>26610</v>
      </c>
      <c r="W2079" t="s">
        <v>457</v>
      </c>
      <c r="X2079">
        <v>1442.76</v>
      </c>
      <c r="Y2079" t="s">
        <v>26653</v>
      </c>
      <c r="Z2079" t="s">
        <v>26665</v>
      </c>
      <c r="AB2079" t="s">
        <v>28540</v>
      </c>
      <c r="AD2079" t="s">
        <v>38594</v>
      </c>
      <c r="AE2079">
        <v>21</v>
      </c>
      <c r="AF2079" t="s">
        <v>45541</v>
      </c>
      <c r="AG2079" t="s">
        <v>19330</v>
      </c>
      <c r="AH2079">
        <v>8</v>
      </c>
      <c r="AI2079">
        <v>1</v>
      </c>
      <c r="AJ2079">
        <v>0</v>
      </c>
      <c r="AK2079">
        <v>46.85</v>
      </c>
      <c r="AN2079" t="s">
        <v>45581</v>
      </c>
      <c r="AO2079">
        <v>5688</v>
      </c>
      <c r="AR2079" t="s">
        <v>46422</v>
      </c>
      <c r="AS2079" t="s">
        <v>46499</v>
      </c>
      <c r="AT2079" t="s">
        <v>46706</v>
      </c>
      <c r="AU2079">
        <v>23.09</v>
      </c>
      <c r="AV2079" t="s">
        <v>830</v>
      </c>
      <c r="AW2079" t="s">
        <v>161</v>
      </c>
      <c r="AX2079" t="s">
        <v>46897</v>
      </c>
    </row>
    <row r="2080" spans="1:50">
      <c r="A2080" s="1">
        <f>HYPERLINK("https://lsnyc.legalserver.org/matter/dynamic-profile/view/1878934","18-1878934")</f>
        <v>0</v>
      </c>
      <c r="B2080" t="s">
        <v>157</v>
      </c>
      <c r="C2080" t="s">
        <v>340</v>
      </c>
      <c r="D2080" t="s">
        <v>457</v>
      </c>
      <c r="F2080" t="s">
        <v>887</v>
      </c>
      <c r="G2080" t="s">
        <v>5100</v>
      </c>
      <c r="H2080" t="s">
        <v>11351</v>
      </c>
      <c r="I2080" t="s">
        <v>17421</v>
      </c>
      <c r="J2080" t="s">
        <v>18893</v>
      </c>
      <c r="K2080">
        <v>10040</v>
      </c>
      <c r="L2080" t="s">
        <v>18958</v>
      </c>
      <c r="M2080" t="s">
        <v>18958</v>
      </c>
      <c r="O2080" t="s">
        <v>26534</v>
      </c>
      <c r="P2080" t="s">
        <v>26560</v>
      </c>
      <c r="R2080" t="s">
        <v>26578</v>
      </c>
      <c r="S2080" t="s">
        <v>18958</v>
      </c>
      <c r="U2080" t="s">
        <v>26604</v>
      </c>
      <c r="W2080" t="s">
        <v>457</v>
      </c>
      <c r="X2080">
        <v>102536</v>
      </c>
      <c r="Y2080" t="s">
        <v>26651</v>
      </c>
      <c r="Z2080" t="s">
        <v>26667</v>
      </c>
      <c r="AB2080" t="s">
        <v>28541</v>
      </c>
      <c r="AD2080" t="s">
        <v>38595</v>
      </c>
      <c r="AE2080">
        <v>88</v>
      </c>
      <c r="AF2080" t="s">
        <v>45541</v>
      </c>
      <c r="AG2080" t="s">
        <v>45559</v>
      </c>
      <c r="AH2080">
        <v>26</v>
      </c>
      <c r="AI2080">
        <v>1</v>
      </c>
      <c r="AJ2080">
        <v>0</v>
      </c>
      <c r="AK2080">
        <v>46.46</v>
      </c>
      <c r="AN2080" t="s">
        <v>45581</v>
      </c>
      <c r="AO2080">
        <v>5640</v>
      </c>
      <c r="AU2080">
        <v>0</v>
      </c>
      <c r="AW2080" t="s">
        <v>46840</v>
      </c>
    </row>
    <row r="2081" spans="1:49">
      <c r="A2081" s="1">
        <f>HYPERLINK("https://lsnyc.legalserver.org/matter/dynamic-profile/view/1878942","18-1878942")</f>
        <v>0</v>
      </c>
      <c r="B2081" t="s">
        <v>157</v>
      </c>
      <c r="C2081" t="s">
        <v>340</v>
      </c>
      <c r="D2081" t="s">
        <v>457</v>
      </c>
      <c r="F2081" t="s">
        <v>1162</v>
      </c>
      <c r="G2081" t="s">
        <v>6267</v>
      </c>
      <c r="H2081" t="s">
        <v>11351</v>
      </c>
      <c r="I2081" t="s">
        <v>17380</v>
      </c>
      <c r="J2081" t="s">
        <v>18893</v>
      </c>
      <c r="K2081">
        <v>10040</v>
      </c>
      <c r="L2081" t="s">
        <v>18958</v>
      </c>
      <c r="M2081" t="s">
        <v>18958</v>
      </c>
      <c r="O2081" t="s">
        <v>26534</v>
      </c>
      <c r="P2081" t="s">
        <v>26560</v>
      </c>
      <c r="R2081" t="s">
        <v>26578</v>
      </c>
      <c r="S2081" t="s">
        <v>18958</v>
      </c>
      <c r="U2081" t="s">
        <v>26604</v>
      </c>
      <c r="W2081" t="s">
        <v>457</v>
      </c>
      <c r="X2081">
        <v>1155</v>
      </c>
      <c r="Y2081" t="s">
        <v>26651</v>
      </c>
      <c r="Z2081" t="s">
        <v>26667</v>
      </c>
      <c r="AB2081" t="s">
        <v>28542</v>
      </c>
      <c r="AC2081" t="s">
        <v>35129</v>
      </c>
      <c r="AD2081" t="s">
        <v>38596</v>
      </c>
      <c r="AE2081">
        <v>88</v>
      </c>
      <c r="AF2081" t="s">
        <v>45541</v>
      </c>
      <c r="AG2081" t="s">
        <v>19330</v>
      </c>
      <c r="AH2081">
        <v>8</v>
      </c>
      <c r="AI2081">
        <v>1</v>
      </c>
      <c r="AJ2081">
        <v>0</v>
      </c>
      <c r="AK2081">
        <v>49.42</v>
      </c>
      <c r="AN2081" t="s">
        <v>7439</v>
      </c>
      <c r="AO2081">
        <v>6000</v>
      </c>
      <c r="AU2081">
        <v>0</v>
      </c>
      <c r="AW2081" t="s">
        <v>46840</v>
      </c>
    </row>
    <row r="2082" spans="1:49">
      <c r="A2082" s="1">
        <f>HYPERLINK("https://lsnyc.legalserver.org/matter/dynamic-profile/view/1878954","18-1878954")</f>
        <v>0</v>
      </c>
      <c r="B2082" t="s">
        <v>157</v>
      </c>
      <c r="C2082" t="s">
        <v>340</v>
      </c>
      <c r="D2082" t="s">
        <v>457</v>
      </c>
      <c r="F2082" t="s">
        <v>1738</v>
      </c>
      <c r="G2082" t="s">
        <v>6056</v>
      </c>
      <c r="H2082" t="s">
        <v>11352</v>
      </c>
      <c r="I2082" t="s">
        <v>17770</v>
      </c>
      <c r="J2082" t="s">
        <v>18893</v>
      </c>
      <c r="K2082">
        <v>10040</v>
      </c>
      <c r="L2082" t="s">
        <v>18958</v>
      </c>
      <c r="M2082" t="s">
        <v>18958</v>
      </c>
      <c r="O2082" t="s">
        <v>26534</v>
      </c>
      <c r="P2082" t="s">
        <v>26560</v>
      </c>
      <c r="R2082" t="s">
        <v>26578</v>
      </c>
      <c r="S2082" t="s">
        <v>18958</v>
      </c>
      <c r="U2082" t="s">
        <v>26604</v>
      </c>
      <c r="W2082" t="s">
        <v>457</v>
      </c>
      <c r="X2082">
        <v>1065</v>
      </c>
      <c r="Y2082" t="s">
        <v>26651</v>
      </c>
      <c r="Z2082" t="s">
        <v>26667</v>
      </c>
      <c r="AB2082" t="s">
        <v>28543</v>
      </c>
      <c r="AD2082" t="s">
        <v>38597</v>
      </c>
      <c r="AE2082">
        <v>88</v>
      </c>
      <c r="AF2082" t="s">
        <v>45541</v>
      </c>
      <c r="AG2082" t="s">
        <v>45559</v>
      </c>
      <c r="AH2082">
        <v>22</v>
      </c>
      <c r="AI2082">
        <v>1</v>
      </c>
      <c r="AJ2082">
        <v>0</v>
      </c>
      <c r="AK2082">
        <v>83.03</v>
      </c>
      <c r="AN2082" t="s">
        <v>45581</v>
      </c>
      <c r="AO2082">
        <v>10080</v>
      </c>
      <c r="AU2082">
        <v>0</v>
      </c>
      <c r="AW2082" t="s">
        <v>46840</v>
      </c>
    </row>
    <row r="2083" spans="1:49">
      <c r="A2083" s="1">
        <f>HYPERLINK("https://lsnyc.legalserver.org/matter/dynamic-profile/view/1878913","18-1878913")</f>
        <v>0</v>
      </c>
      <c r="B2083" t="s">
        <v>157</v>
      </c>
      <c r="C2083" t="s">
        <v>340</v>
      </c>
      <c r="D2083" t="s">
        <v>457</v>
      </c>
      <c r="F2083" t="s">
        <v>2083</v>
      </c>
      <c r="G2083" t="s">
        <v>6268</v>
      </c>
      <c r="H2083" t="s">
        <v>11351</v>
      </c>
      <c r="I2083" t="s">
        <v>17316</v>
      </c>
      <c r="J2083" t="s">
        <v>18893</v>
      </c>
      <c r="K2083">
        <v>10040</v>
      </c>
      <c r="L2083" t="s">
        <v>18958</v>
      </c>
      <c r="M2083" t="s">
        <v>18958</v>
      </c>
      <c r="O2083" t="s">
        <v>26534</v>
      </c>
      <c r="P2083" t="s">
        <v>26560</v>
      </c>
      <c r="R2083" t="s">
        <v>26578</v>
      </c>
      <c r="S2083" t="s">
        <v>18958</v>
      </c>
      <c r="U2083" t="s">
        <v>26604</v>
      </c>
      <c r="W2083" t="s">
        <v>457</v>
      </c>
      <c r="X2083">
        <v>531.28</v>
      </c>
      <c r="Y2083" t="s">
        <v>26651</v>
      </c>
      <c r="Z2083" t="s">
        <v>26667</v>
      </c>
      <c r="AB2083" t="s">
        <v>28544</v>
      </c>
      <c r="AD2083" t="s">
        <v>38598</v>
      </c>
      <c r="AE2083">
        <v>88</v>
      </c>
      <c r="AF2083" t="s">
        <v>45541</v>
      </c>
      <c r="AG2083" t="s">
        <v>45559</v>
      </c>
      <c r="AH2083">
        <v>40</v>
      </c>
      <c r="AI2083">
        <v>1</v>
      </c>
      <c r="AJ2083">
        <v>0</v>
      </c>
      <c r="AK2083">
        <v>86.98999999999999</v>
      </c>
      <c r="AN2083" t="s">
        <v>45581</v>
      </c>
      <c r="AO2083">
        <v>10560</v>
      </c>
      <c r="AU2083">
        <v>0</v>
      </c>
      <c r="AW2083" t="s">
        <v>46840</v>
      </c>
    </row>
    <row r="2084" spans="1:49">
      <c r="A2084" s="1">
        <f>HYPERLINK("https://lsnyc.legalserver.org/matter/dynamic-profile/view/1878909","18-1878909")</f>
        <v>0</v>
      </c>
      <c r="B2084" t="s">
        <v>157</v>
      </c>
      <c r="C2084" t="s">
        <v>340</v>
      </c>
      <c r="D2084" t="s">
        <v>457</v>
      </c>
      <c r="F2084" t="s">
        <v>2084</v>
      </c>
      <c r="G2084" t="s">
        <v>5657</v>
      </c>
      <c r="H2084" t="s">
        <v>11351</v>
      </c>
      <c r="I2084" t="s">
        <v>17327</v>
      </c>
      <c r="J2084" t="s">
        <v>18893</v>
      </c>
      <c r="K2084">
        <v>10040</v>
      </c>
      <c r="L2084" t="s">
        <v>18958</v>
      </c>
      <c r="M2084" t="s">
        <v>18958</v>
      </c>
      <c r="O2084" t="s">
        <v>26534</v>
      </c>
      <c r="P2084" t="s">
        <v>26561</v>
      </c>
      <c r="R2084" t="s">
        <v>26578</v>
      </c>
      <c r="S2084" t="s">
        <v>18958</v>
      </c>
      <c r="U2084" t="s">
        <v>26604</v>
      </c>
      <c r="W2084" t="s">
        <v>457</v>
      </c>
      <c r="X2084">
        <v>1004</v>
      </c>
      <c r="Y2084" t="s">
        <v>26651</v>
      </c>
      <c r="Z2084" t="s">
        <v>26667</v>
      </c>
      <c r="AB2084" t="s">
        <v>28545</v>
      </c>
      <c r="AE2084">
        <v>88</v>
      </c>
      <c r="AF2084" t="s">
        <v>45541</v>
      </c>
      <c r="AG2084" t="s">
        <v>45557</v>
      </c>
      <c r="AH2084">
        <v>37</v>
      </c>
      <c r="AI2084">
        <v>2</v>
      </c>
      <c r="AJ2084">
        <v>1</v>
      </c>
      <c r="AK2084">
        <v>144.37</v>
      </c>
      <c r="AN2084" t="s">
        <v>45581</v>
      </c>
      <c r="AO2084">
        <v>30000</v>
      </c>
      <c r="AU2084">
        <v>0</v>
      </c>
      <c r="AW2084" t="s">
        <v>46840</v>
      </c>
    </row>
    <row r="2085" spans="1:49">
      <c r="A2085" s="1">
        <f>HYPERLINK("https://lsnyc.legalserver.org/matter/dynamic-profile/view/1878945","18-1878945")</f>
        <v>0</v>
      </c>
      <c r="B2085" t="s">
        <v>157</v>
      </c>
      <c r="C2085" t="s">
        <v>340</v>
      </c>
      <c r="D2085" t="s">
        <v>457</v>
      </c>
      <c r="F2085" t="s">
        <v>2085</v>
      </c>
      <c r="G2085" t="s">
        <v>6249</v>
      </c>
      <c r="H2085" t="s">
        <v>11351</v>
      </c>
      <c r="I2085" t="s">
        <v>17302</v>
      </c>
      <c r="J2085" t="s">
        <v>18893</v>
      </c>
      <c r="K2085">
        <v>10040</v>
      </c>
      <c r="L2085" t="s">
        <v>18958</v>
      </c>
      <c r="M2085" t="s">
        <v>18958</v>
      </c>
      <c r="O2085" t="s">
        <v>26534</v>
      </c>
      <c r="P2085" t="s">
        <v>26560</v>
      </c>
      <c r="R2085" t="s">
        <v>26578</v>
      </c>
      <c r="S2085" t="s">
        <v>18958</v>
      </c>
      <c r="U2085" t="s">
        <v>26604</v>
      </c>
      <c r="W2085" t="s">
        <v>457</v>
      </c>
      <c r="X2085">
        <v>1120.85</v>
      </c>
      <c r="Y2085" t="s">
        <v>26651</v>
      </c>
      <c r="Z2085" t="s">
        <v>26667</v>
      </c>
      <c r="AB2085" t="s">
        <v>28546</v>
      </c>
      <c r="AD2085" t="s">
        <v>38599</v>
      </c>
      <c r="AE2085">
        <v>88</v>
      </c>
      <c r="AF2085" t="s">
        <v>45541</v>
      </c>
      <c r="AG2085" t="s">
        <v>19330</v>
      </c>
      <c r="AH2085">
        <v>23</v>
      </c>
      <c r="AI2085">
        <v>4</v>
      </c>
      <c r="AJ2085">
        <v>0</v>
      </c>
      <c r="AK2085">
        <v>195.22</v>
      </c>
      <c r="AN2085" t="s">
        <v>7439</v>
      </c>
      <c r="AO2085">
        <v>49000</v>
      </c>
      <c r="AU2085">
        <v>0</v>
      </c>
      <c r="AW2085" t="s">
        <v>46840</v>
      </c>
    </row>
    <row r="2086" spans="1:49">
      <c r="A2086" s="1">
        <f>HYPERLINK("https://lsnyc.legalserver.org/matter/dynamic-profile/view/1878956","18-1878956")</f>
        <v>0</v>
      </c>
      <c r="B2086" t="s">
        <v>157</v>
      </c>
      <c r="C2086" t="s">
        <v>340</v>
      </c>
      <c r="D2086" t="s">
        <v>457</v>
      </c>
      <c r="F2086" t="s">
        <v>2086</v>
      </c>
      <c r="G2086" t="s">
        <v>5208</v>
      </c>
      <c r="H2086" t="s">
        <v>11351</v>
      </c>
      <c r="I2086" t="s">
        <v>17490</v>
      </c>
      <c r="J2086" t="s">
        <v>18893</v>
      </c>
      <c r="K2086">
        <v>10040</v>
      </c>
      <c r="L2086" t="s">
        <v>18958</v>
      </c>
      <c r="M2086" t="s">
        <v>18958</v>
      </c>
      <c r="O2086" t="s">
        <v>26534</v>
      </c>
      <c r="P2086" t="s">
        <v>26560</v>
      </c>
      <c r="R2086" t="s">
        <v>26578</v>
      </c>
      <c r="S2086" t="s">
        <v>18958</v>
      </c>
      <c r="U2086" t="s">
        <v>26604</v>
      </c>
      <c r="W2086" t="s">
        <v>457</v>
      </c>
      <c r="X2086">
        <v>913.34</v>
      </c>
      <c r="Y2086" t="s">
        <v>26651</v>
      </c>
      <c r="Z2086" t="s">
        <v>26667</v>
      </c>
      <c r="AB2086" t="s">
        <v>28547</v>
      </c>
      <c r="AD2086" t="s">
        <v>38600</v>
      </c>
      <c r="AE2086">
        <v>88</v>
      </c>
      <c r="AF2086" t="s">
        <v>45541</v>
      </c>
      <c r="AG2086" t="s">
        <v>19330</v>
      </c>
      <c r="AH2086">
        <v>29</v>
      </c>
      <c r="AI2086">
        <v>1</v>
      </c>
      <c r="AJ2086">
        <v>1</v>
      </c>
      <c r="AK2086">
        <v>210.58</v>
      </c>
      <c r="AN2086" t="s">
        <v>45581</v>
      </c>
      <c r="AO2086">
        <v>34661.76</v>
      </c>
      <c r="AU2086">
        <v>0</v>
      </c>
      <c r="AW2086" t="s">
        <v>46840</v>
      </c>
    </row>
    <row r="2087" spans="1:49">
      <c r="A2087" s="1">
        <f>HYPERLINK("https://lsnyc.legalserver.org/matter/dynamic-profile/view/1879771","18-1879771")</f>
        <v>0</v>
      </c>
      <c r="B2087" t="s">
        <v>99</v>
      </c>
      <c r="C2087" t="s">
        <v>341</v>
      </c>
      <c r="D2087" t="s">
        <v>606</v>
      </c>
      <c r="E2087" t="s">
        <v>710</v>
      </c>
      <c r="F2087" t="s">
        <v>2087</v>
      </c>
      <c r="G2087" t="s">
        <v>5269</v>
      </c>
      <c r="H2087" t="s">
        <v>11353</v>
      </c>
      <c r="I2087" t="s">
        <v>17299</v>
      </c>
      <c r="J2087" t="s">
        <v>18894</v>
      </c>
      <c r="K2087">
        <v>11221</v>
      </c>
      <c r="L2087" t="s">
        <v>18958</v>
      </c>
      <c r="M2087" t="s">
        <v>18958</v>
      </c>
      <c r="N2087" t="s">
        <v>20541</v>
      </c>
      <c r="O2087" t="s">
        <v>26523</v>
      </c>
      <c r="P2087" t="s">
        <v>26560</v>
      </c>
      <c r="Q2087" t="s">
        <v>26568</v>
      </c>
      <c r="R2087" t="s">
        <v>26588</v>
      </c>
      <c r="S2087" t="s">
        <v>18959</v>
      </c>
      <c r="U2087" t="s">
        <v>26604</v>
      </c>
      <c r="V2087" t="s">
        <v>26610</v>
      </c>
      <c r="W2087" t="s">
        <v>457</v>
      </c>
      <c r="X2087">
        <v>679.72</v>
      </c>
      <c r="Y2087" t="s">
        <v>26652</v>
      </c>
      <c r="Z2087" t="s">
        <v>26669</v>
      </c>
      <c r="AA2087" t="s">
        <v>26678</v>
      </c>
      <c r="AB2087" t="s">
        <v>27382</v>
      </c>
      <c r="AD2087" t="s">
        <v>38601</v>
      </c>
      <c r="AE2087">
        <v>36</v>
      </c>
      <c r="AF2087" t="s">
        <v>45541</v>
      </c>
      <c r="AG2087" t="s">
        <v>19330</v>
      </c>
      <c r="AH2087">
        <v>7</v>
      </c>
      <c r="AI2087">
        <v>1</v>
      </c>
      <c r="AJ2087">
        <v>0</v>
      </c>
      <c r="AK2087">
        <v>164.74</v>
      </c>
      <c r="AN2087" t="s">
        <v>7439</v>
      </c>
      <c r="AO2087">
        <v>20000</v>
      </c>
      <c r="AQ2087" t="s">
        <v>46362</v>
      </c>
      <c r="AR2087" t="s">
        <v>46381</v>
      </c>
      <c r="AS2087" t="s">
        <v>46499</v>
      </c>
      <c r="AT2087" t="s">
        <v>46692</v>
      </c>
      <c r="AU2087">
        <v>14.95</v>
      </c>
      <c r="AV2087" t="s">
        <v>710</v>
      </c>
      <c r="AW2087" t="s">
        <v>46862</v>
      </c>
    </row>
    <row r="2088" spans="1:49">
      <c r="A2088" s="1">
        <f>HYPERLINK("https://lsnyc.legalserver.org/matter/dynamic-profile/view/1885061","18-1885061")</f>
        <v>0</v>
      </c>
      <c r="B2088" t="s">
        <v>88</v>
      </c>
      <c r="C2088" t="s">
        <v>341</v>
      </c>
      <c r="D2088" t="s">
        <v>519</v>
      </c>
      <c r="E2088" t="s">
        <v>782</v>
      </c>
      <c r="F2088" t="s">
        <v>1081</v>
      </c>
      <c r="G2088" t="s">
        <v>6269</v>
      </c>
      <c r="H2088" t="s">
        <v>10516</v>
      </c>
      <c r="I2088" t="s">
        <v>17349</v>
      </c>
      <c r="J2088" t="s">
        <v>18894</v>
      </c>
      <c r="K2088">
        <v>11213</v>
      </c>
      <c r="L2088" t="s">
        <v>18958</v>
      </c>
      <c r="M2088" t="s">
        <v>18958</v>
      </c>
      <c r="O2088" t="s">
        <v>26531</v>
      </c>
      <c r="P2088" t="s">
        <v>26565</v>
      </c>
      <c r="Q2088" t="s">
        <v>26571</v>
      </c>
      <c r="R2088" t="s">
        <v>26578</v>
      </c>
      <c r="S2088" t="s">
        <v>18958</v>
      </c>
      <c r="U2088" t="s">
        <v>26604</v>
      </c>
      <c r="W2088" t="s">
        <v>457</v>
      </c>
      <c r="X2088">
        <v>1268</v>
      </c>
      <c r="Y2088" t="s">
        <v>26652</v>
      </c>
      <c r="Z2088" t="s">
        <v>26665</v>
      </c>
      <c r="AA2088" t="s">
        <v>26685</v>
      </c>
      <c r="AB2088" t="s">
        <v>28548</v>
      </c>
      <c r="AD2088" t="s">
        <v>38602</v>
      </c>
      <c r="AE2088">
        <v>19</v>
      </c>
      <c r="AF2088" t="s">
        <v>45541</v>
      </c>
      <c r="AG2088" t="s">
        <v>45560</v>
      </c>
      <c r="AH2088">
        <v>2</v>
      </c>
      <c r="AI2088">
        <v>2</v>
      </c>
      <c r="AJ2088">
        <v>0</v>
      </c>
      <c r="AK2088">
        <v>99.62</v>
      </c>
      <c r="AN2088" t="s">
        <v>7439</v>
      </c>
      <c r="AO2088">
        <v>16398</v>
      </c>
      <c r="AU2088">
        <v>0.08</v>
      </c>
      <c r="AV2088" t="s">
        <v>573</v>
      </c>
      <c r="AW2088" t="s">
        <v>286</v>
      </c>
    </row>
    <row r="2089" spans="1:49">
      <c r="A2089" s="1">
        <f>HYPERLINK("https://lsnyc.legalserver.org/matter/dynamic-profile/view/1882906","18-1882906")</f>
        <v>0</v>
      </c>
      <c r="B2089" t="s">
        <v>88</v>
      </c>
      <c r="C2089" t="s">
        <v>340</v>
      </c>
      <c r="D2089" t="s">
        <v>519</v>
      </c>
      <c r="F2089" t="s">
        <v>1081</v>
      </c>
      <c r="G2089" t="s">
        <v>6269</v>
      </c>
      <c r="H2089" t="s">
        <v>10516</v>
      </c>
      <c r="I2089" t="s">
        <v>17349</v>
      </c>
      <c r="J2089" t="s">
        <v>18894</v>
      </c>
      <c r="K2089">
        <v>11213</v>
      </c>
      <c r="L2089" t="s">
        <v>18958</v>
      </c>
      <c r="M2089" t="s">
        <v>18958</v>
      </c>
      <c r="N2089" t="s">
        <v>19744</v>
      </c>
      <c r="O2089" t="s">
        <v>26526</v>
      </c>
      <c r="P2089" t="s">
        <v>26560</v>
      </c>
      <c r="R2089" t="s">
        <v>26578</v>
      </c>
      <c r="S2089" t="s">
        <v>18958</v>
      </c>
      <c r="U2089" t="s">
        <v>26604</v>
      </c>
      <c r="W2089" t="s">
        <v>457</v>
      </c>
      <c r="X2089">
        <v>1268</v>
      </c>
      <c r="Y2089" t="s">
        <v>26652</v>
      </c>
      <c r="Z2089" t="s">
        <v>26665</v>
      </c>
      <c r="AB2089" t="s">
        <v>28548</v>
      </c>
      <c r="AD2089" t="s">
        <v>38602</v>
      </c>
      <c r="AE2089">
        <v>19</v>
      </c>
      <c r="AF2089" t="s">
        <v>45541</v>
      </c>
      <c r="AG2089" t="s">
        <v>45560</v>
      </c>
      <c r="AH2089">
        <v>2</v>
      </c>
      <c r="AI2089">
        <v>2</v>
      </c>
      <c r="AJ2089">
        <v>0</v>
      </c>
      <c r="AK2089">
        <v>99.62</v>
      </c>
      <c r="AN2089" t="s">
        <v>7439</v>
      </c>
      <c r="AO2089">
        <v>16398</v>
      </c>
      <c r="AU2089">
        <v>0</v>
      </c>
      <c r="AW2089" t="s">
        <v>205</v>
      </c>
    </row>
    <row r="2090" spans="1:49">
      <c r="A2090" s="1">
        <f>HYPERLINK("https://lsnyc.legalserver.org/matter/dynamic-profile/view/1847188","17-1847188")</f>
        <v>0</v>
      </c>
      <c r="B2090" t="s">
        <v>121</v>
      </c>
      <c r="C2090" t="s">
        <v>341</v>
      </c>
      <c r="D2090" t="s">
        <v>607</v>
      </c>
      <c r="E2090" t="s">
        <v>781</v>
      </c>
      <c r="F2090" t="s">
        <v>2088</v>
      </c>
      <c r="G2090" t="s">
        <v>4381</v>
      </c>
      <c r="H2090" t="s">
        <v>11285</v>
      </c>
      <c r="I2090" t="s">
        <v>17312</v>
      </c>
      <c r="J2090" t="s">
        <v>18892</v>
      </c>
      <c r="K2090">
        <v>10472</v>
      </c>
      <c r="L2090" t="s">
        <v>18958</v>
      </c>
      <c r="M2090" t="s">
        <v>18960</v>
      </c>
      <c r="N2090" t="s">
        <v>20542</v>
      </c>
      <c r="O2090" t="s">
        <v>26524</v>
      </c>
      <c r="P2090" t="s">
        <v>26560</v>
      </c>
      <c r="Q2090" t="s">
        <v>26568</v>
      </c>
      <c r="R2090" t="s">
        <v>26577</v>
      </c>
      <c r="U2090" t="s">
        <v>26604</v>
      </c>
      <c r="V2090" t="s">
        <v>26610</v>
      </c>
      <c r="W2090" t="s">
        <v>540</v>
      </c>
      <c r="X2090">
        <v>1025</v>
      </c>
      <c r="Y2090" t="s">
        <v>26650</v>
      </c>
      <c r="Z2090" t="s">
        <v>26664</v>
      </c>
      <c r="AA2090" t="s">
        <v>26678</v>
      </c>
      <c r="AB2090" t="s">
        <v>28549</v>
      </c>
      <c r="AC2090" t="s">
        <v>35130</v>
      </c>
      <c r="AD2090" t="s">
        <v>38603</v>
      </c>
      <c r="AE2090">
        <v>0</v>
      </c>
      <c r="AF2090" t="s">
        <v>45547</v>
      </c>
      <c r="AG2090" t="s">
        <v>19330</v>
      </c>
      <c r="AH2090">
        <v>15</v>
      </c>
      <c r="AI2090">
        <v>3</v>
      </c>
      <c r="AJ2090">
        <v>1</v>
      </c>
      <c r="AK2090">
        <v>49.68</v>
      </c>
      <c r="AN2090" t="s">
        <v>7439</v>
      </c>
      <c r="AO2090">
        <v>12222</v>
      </c>
      <c r="AP2090" t="s">
        <v>45621</v>
      </c>
      <c r="AQ2090" t="s">
        <v>46361</v>
      </c>
      <c r="AR2090" t="s">
        <v>46425</v>
      </c>
      <c r="AS2090" t="s">
        <v>46499</v>
      </c>
      <c r="AT2090" t="s">
        <v>46602</v>
      </c>
      <c r="AU2090">
        <v>23.9</v>
      </c>
      <c r="AV2090" t="s">
        <v>713</v>
      </c>
      <c r="AW2090" t="s">
        <v>46847</v>
      </c>
    </row>
    <row r="2091" spans="1:49">
      <c r="A2091" s="1">
        <f>HYPERLINK("https://lsnyc.legalserver.org/matter/dynamic-profile/view/1847200","17-1847200")</f>
        <v>0</v>
      </c>
      <c r="B2091" t="s">
        <v>63</v>
      </c>
      <c r="C2091" t="s">
        <v>340</v>
      </c>
      <c r="D2091" t="s">
        <v>607</v>
      </c>
      <c r="F2091" t="s">
        <v>2089</v>
      </c>
      <c r="G2091" t="s">
        <v>6270</v>
      </c>
      <c r="H2091" t="s">
        <v>10120</v>
      </c>
      <c r="I2091" t="s">
        <v>17440</v>
      </c>
      <c r="J2091" t="s">
        <v>18892</v>
      </c>
      <c r="K2091">
        <v>10467</v>
      </c>
      <c r="L2091" t="s">
        <v>18958</v>
      </c>
      <c r="M2091" t="s">
        <v>18960</v>
      </c>
      <c r="N2091" t="s">
        <v>20543</v>
      </c>
      <c r="O2091" t="s">
        <v>26523</v>
      </c>
      <c r="P2091" t="s">
        <v>26560</v>
      </c>
      <c r="R2091" t="s">
        <v>26579</v>
      </c>
      <c r="S2091" t="s">
        <v>18959</v>
      </c>
      <c r="U2091" t="s">
        <v>26604</v>
      </c>
      <c r="V2091" t="s">
        <v>26610</v>
      </c>
      <c r="W2091" t="s">
        <v>540</v>
      </c>
      <c r="X2091">
        <v>1275.68</v>
      </c>
      <c r="Y2091" t="s">
        <v>26650</v>
      </c>
      <c r="Z2091" t="s">
        <v>26656</v>
      </c>
      <c r="AB2091" t="s">
        <v>28550</v>
      </c>
      <c r="AC2091" t="s">
        <v>35131</v>
      </c>
      <c r="AD2091" t="s">
        <v>38604</v>
      </c>
      <c r="AE2091">
        <v>0</v>
      </c>
      <c r="AF2091" t="s">
        <v>45541</v>
      </c>
      <c r="AG2091" t="s">
        <v>45558</v>
      </c>
      <c r="AH2091">
        <v>1</v>
      </c>
      <c r="AI2091">
        <v>1</v>
      </c>
      <c r="AJ2091">
        <v>1</v>
      </c>
      <c r="AK2091">
        <v>0</v>
      </c>
      <c r="AN2091" t="s">
        <v>7439</v>
      </c>
      <c r="AO2091">
        <v>0</v>
      </c>
      <c r="AP2091" t="s">
        <v>45620</v>
      </c>
      <c r="AU2091">
        <v>52.8</v>
      </c>
      <c r="AV2091" t="s">
        <v>769</v>
      </c>
      <c r="AW2091" t="s">
        <v>46837</v>
      </c>
    </row>
    <row r="2092" spans="1:49">
      <c r="A2092" s="1">
        <f>HYPERLINK("https://lsnyc.legalserver.org/matter/dynamic-profile/view/1877804","18-1877804")</f>
        <v>0</v>
      </c>
      <c r="B2092" t="s">
        <v>109</v>
      </c>
      <c r="C2092" t="s">
        <v>341</v>
      </c>
      <c r="D2092" t="s">
        <v>571</v>
      </c>
      <c r="E2092" t="s">
        <v>848</v>
      </c>
      <c r="F2092" t="s">
        <v>2090</v>
      </c>
      <c r="G2092" t="s">
        <v>5817</v>
      </c>
      <c r="H2092" t="s">
        <v>11354</v>
      </c>
      <c r="I2092" t="s">
        <v>17711</v>
      </c>
      <c r="J2092" t="s">
        <v>18902</v>
      </c>
      <c r="K2092">
        <v>10301</v>
      </c>
      <c r="L2092" t="s">
        <v>18958</v>
      </c>
      <c r="M2092" t="s">
        <v>18958</v>
      </c>
      <c r="O2092" t="s">
        <v>18997</v>
      </c>
      <c r="P2092" t="s">
        <v>26564</v>
      </c>
      <c r="Q2092" t="s">
        <v>26570</v>
      </c>
      <c r="R2092" t="s">
        <v>26587</v>
      </c>
      <c r="S2092" t="s">
        <v>18958</v>
      </c>
      <c r="U2092" t="s">
        <v>26604</v>
      </c>
      <c r="V2092" t="s">
        <v>26610</v>
      </c>
      <c r="W2092" t="s">
        <v>540</v>
      </c>
      <c r="X2092">
        <v>1600</v>
      </c>
      <c r="Y2092" t="s">
        <v>26654</v>
      </c>
      <c r="Z2092" t="s">
        <v>26530</v>
      </c>
      <c r="AA2092" t="s">
        <v>26683</v>
      </c>
      <c r="AB2092" t="s">
        <v>28551</v>
      </c>
      <c r="AD2092" t="s">
        <v>38605</v>
      </c>
      <c r="AE2092">
        <v>3</v>
      </c>
      <c r="AF2092" t="s">
        <v>45547</v>
      </c>
      <c r="AG2092" t="s">
        <v>19330</v>
      </c>
      <c r="AH2092">
        <v>0</v>
      </c>
      <c r="AI2092">
        <v>2</v>
      </c>
      <c r="AJ2092">
        <v>3</v>
      </c>
      <c r="AK2092">
        <v>169.95</v>
      </c>
      <c r="AN2092" t="s">
        <v>7439</v>
      </c>
      <c r="AO2092">
        <v>50000</v>
      </c>
      <c r="AR2092" t="s">
        <v>26530</v>
      </c>
      <c r="AS2092" t="s">
        <v>46499</v>
      </c>
      <c r="AT2092" t="s">
        <v>46568</v>
      </c>
      <c r="AU2092">
        <v>1.35</v>
      </c>
      <c r="AV2092" t="s">
        <v>848</v>
      </c>
      <c r="AW2092" t="s">
        <v>46829</v>
      </c>
    </row>
    <row r="2093" spans="1:49">
      <c r="A2093" s="1">
        <f>HYPERLINK("https://lsnyc.legalserver.org/matter/dynamic-profile/view/1878591","18-1878591")</f>
        <v>0</v>
      </c>
      <c r="B2093" t="s">
        <v>130</v>
      </c>
      <c r="C2093" t="s">
        <v>341</v>
      </c>
      <c r="D2093" t="s">
        <v>451</v>
      </c>
      <c r="E2093" t="s">
        <v>583</v>
      </c>
      <c r="F2093" t="s">
        <v>2091</v>
      </c>
      <c r="G2093" t="s">
        <v>3190</v>
      </c>
      <c r="H2093" t="s">
        <v>11355</v>
      </c>
      <c r="I2093" t="s">
        <v>17387</v>
      </c>
      <c r="J2093" t="s">
        <v>18901</v>
      </c>
      <c r="K2093">
        <v>11435</v>
      </c>
      <c r="L2093" t="s">
        <v>18958</v>
      </c>
      <c r="M2093" t="s">
        <v>18958</v>
      </c>
      <c r="N2093" t="s">
        <v>20544</v>
      </c>
      <c r="O2093" t="s">
        <v>26524</v>
      </c>
      <c r="P2093" t="s">
        <v>26564</v>
      </c>
      <c r="Q2093" t="s">
        <v>26570</v>
      </c>
      <c r="R2093" t="s">
        <v>26584</v>
      </c>
      <c r="S2093" t="s">
        <v>18959</v>
      </c>
      <c r="U2093" t="s">
        <v>26604</v>
      </c>
      <c r="V2093" t="s">
        <v>26610</v>
      </c>
      <c r="W2093" t="s">
        <v>540</v>
      </c>
      <c r="X2093">
        <v>1500</v>
      </c>
      <c r="Y2093" t="s">
        <v>26653</v>
      </c>
      <c r="Z2093" t="s">
        <v>26664</v>
      </c>
      <c r="AA2093" t="s">
        <v>26683</v>
      </c>
      <c r="AB2093" t="s">
        <v>28552</v>
      </c>
      <c r="AC2093" t="s">
        <v>35132</v>
      </c>
      <c r="AD2093" t="s">
        <v>38606</v>
      </c>
      <c r="AE2093">
        <v>2</v>
      </c>
      <c r="AF2093" t="s">
        <v>45547</v>
      </c>
      <c r="AG2093" t="s">
        <v>19330</v>
      </c>
      <c r="AH2093">
        <v>1</v>
      </c>
      <c r="AI2093">
        <v>3</v>
      </c>
      <c r="AJ2093">
        <v>3</v>
      </c>
      <c r="AK2093">
        <v>100.77</v>
      </c>
      <c r="AN2093" t="s">
        <v>7439</v>
      </c>
      <c r="AO2093">
        <v>34000</v>
      </c>
      <c r="AU2093">
        <v>0.85</v>
      </c>
      <c r="AV2093" t="s">
        <v>540</v>
      </c>
      <c r="AW2093" t="s">
        <v>208</v>
      </c>
    </row>
    <row r="2094" spans="1:49">
      <c r="A2094" s="1">
        <f>HYPERLINK("https://lsnyc.legalserver.org/matter/dynamic-profile/view/1879014","18-1879014")</f>
        <v>0</v>
      </c>
      <c r="B2094" t="s">
        <v>156</v>
      </c>
      <c r="C2094" t="s">
        <v>341</v>
      </c>
      <c r="D2094" t="s">
        <v>540</v>
      </c>
      <c r="E2094" t="s">
        <v>670</v>
      </c>
      <c r="F2094" t="s">
        <v>887</v>
      </c>
      <c r="G2094" t="s">
        <v>6271</v>
      </c>
      <c r="H2094" t="s">
        <v>11356</v>
      </c>
      <c r="I2094" t="s">
        <v>17496</v>
      </c>
      <c r="J2094" t="s">
        <v>18893</v>
      </c>
      <c r="K2094">
        <v>10031</v>
      </c>
      <c r="L2094" t="s">
        <v>18958</v>
      </c>
      <c r="M2094" t="s">
        <v>18958</v>
      </c>
      <c r="N2094" t="s">
        <v>20545</v>
      </c>
      <c r="O2094" t="s">
        <v>26531</v>
      </c>
      <c r="P2094" t="s">
        <v>26564</v>
      </c>
      <c r="Q2094" t="s">
        <v>26570</v>
      </c>
      <c r="R2094" t="s">
        <v>26578</v>
      </c>
      <c r="S2094" t="s">
        <v>18959</v>
      </c>
      <c r="U2094" t="s">
        <v>26604</v>
      </c>
      <c r="W2094" t="s">
        <v>540</v>
      </c>
      <c r="X2094">
        <v>2318</v>
      </c>
      <c r="Y2094" t="s">
        <v>26651</v>
      </c>
      <c r="Z2094" t="s">
        <v>26661</v>
      </c>
      <c r="AA2094" t="s">
        <v>26683</v>
      </c>
      <c r="AB2094" t="s">
        <v>28553</v>
      </c>
      <c r="AD2094" t="s">
        <v>38607</v>
      </c>
      <c r="AE2094">
        <v>0</v>
      </c>
      <c r="AF2094" t="s">
        <v>20460</v>
      </c>
      <c r="AH2094">
        <v>13</v>
      </c>
      <c r="AI2094">
        <v>5</v>
      </c>
      <c r="AJ2094">
        <v>2</v>
      </c>
      <c r="AK2094">
        <v>270.52</v>
      </c>
      <c r="AN2094" t="s">
        <v>45581</v>
      </c>
      <c r="AO2094">
        <v>102960</v>
      </c>
      <c r="AU2094">
        <v>0.1</v>
      </c>
      <c r="AV2094" t="s">
        <v>670</v>
      </c>
      <c r="AW2094" t="s">
        <v>46835</v>
      </c>
    </row>
    <row r="2095" spans="1:49">
      <c r="A2095" s="1">
        <f>HYPERLINK("https://lsnyc.legalserver.org/matter/dynamic-profile/view/1879017","18-1879017")</f>
        <v>0</v>
      </c>
      <c r="B2095" t="s">
        <v>74</v>
      </c>
      <c r="C2095" t="s">
        <v>341</v>
      </c>
      <c r="D2095" t="s">
        <v>540</v>
      </c>
      <c r="E2095" t="s">
        <v>687</v>
      </c>
      <c r="F2095" t="s">
        <v>1233</v>
      </c>
      <c r="G2095" t="s">
        <v>6272</v>
      </c>
      <c r="H2095" t="s">
        <v>10741</v>
      </c>
      <c r="I2095" t="s">
        <v>17283</v>
      </c>
      <c r="J2095" t="s">
        <v>18893</v>
      </c>
      <c r="K2095">
        <v>10032</v>
      </c>
      <c r="L2095" t="s">
        <v>18958</v>
      </c>
      <c r="M2095" t="s">
        <v>18958</v>
      </c>
      <c r="O2095" t="s">
        <v>26523</v>
      </c>
      <c r="P2095" t="s">
        <v>26565</v>
      </c>
      <c r="Q2095" t="s">
        <v>26571</v>
      </c>
      <c r="R2095" t="s">
        <v>26578</v>
      </c>
      <c r="U2095" t="s">
        <v>26604</v>
      </c>
      <c r="W2095" t="s">
        <v>540</v>
      </c>
      <c r="X2095">
        <v>2850</v>
      </c>
      <c r="Y2095" t="s">
        <v>26651</v>
      </c>
      <c r="AA2095" t="s">
        <v>26682</v>
      </c>
      <c r="AB2095" t="s">
        <v>28554</v>
      </c>
      <c r="AD2095" t="s">
        <v>38608</v>
      </c>
      <c r="AE2095">
        <v>0</v>
      </c>
      <c r="AH2095">
        <v>3</v>
      </c>
      <c r="AI2095">
        <v>2</v>
      </c>
      <c r="AJ2095">
        <v>1</v>
      </c>
      <c r="AK2095">
        <v>212.7</v>
      </c>
      <c r="AN2095" t="s">
        <v>7439</v>
      </c>
      <c r="AO2095">
        <v>44200</v>
      </c>
      <c r="AU2095">
        <v>1.7</v>
      </c>
      <c r="AV2095" t="s">
        <v>645</v>
      </c>
      <c r="AW2095" t="s">
        <v>46838</v>
      </c>
    </row>
    <row r="2096" spans="1:49">
      <c r="A2096" s="1">
        <f>HYPERLINK("https://lsnyc.legalserver.org/matter/dynamic-profile/view/1879061","18-1879061")</f>
        <v>0</v>
      </c>
      <c r="B2096" t="s">
        <v>102</v>
      </c>
      <c r="C2096" t="s">
        <v>341</v>
      </c>
      <c r="D2096" t="s">
        <v>540</v>
      </c>
      <c r="E2096" t="s">
        <v>780</v>
      </c>
      <c r="F2096" t="s">
        <v>1408</v>
      </c>
      <c r="G2096" t="s">
        <v>5589</v>
      </c>
      <c r="H2096" t="s">
        <v>10296</v>
      </c>
      <c r="I2096" t="s">
        <v>17301</v>
      </c>
      <c r="J2096" t="s">
        <v>18902</v>
      </c>
      <c r="K2096">
        <v>10304</v>
      </c>
      <c r="L2096" t="s">
        <v>18958</v>
      </c>
      <c r="M2096" t="s">
        <v>18958</v>
      </c>
      <c r="N2096" t="s">
        <v>20546</v>
      </c>
      <c r="O2096" t="s">
        <v>26523</v>
      </c>
      <c r="P2096" t="s">
        <v>26560</v>
      </c>
      <c r="Q2096" t="s">
        <v>26568</v>
      </c>
      <c r="R2096" t="s">
        <v>26578</v>
      </c>
      <c r="S2096" t="s">
        <v>18959</v>
      </c>
      <c r="U2096" t="s">
        <v>26604</v>
      </c>
      <c r="V2096" t="s">
        <v>26610</v>
      </c>
      <c r="W2096" t="s">
        <v>540</v>
      </c>
      <c r="X2096">
        <v>1720</v>
      </c>
      <c r="Y2096" t="s">
        <v>26654</v>
      </c>
      <c r="Z2096" t="s">
        <v>26659</v>
      </c>
      <c r="AA2096" t="s">
        <v>26678</v>
      </c>
      <c r="AB2096" t="s">
        <v>27402</v>
      </c>
      <c r="AD2096" t="s">
        <v>37466</v>
      </c>
      <c r="AE2096">
        <v>150</v>
      </c>
      <c r="AF2096" t="s">
        <v>45543</v>
      </c>
      <c r="AG2096" t="s">
        <v>45556</v>
      </c>
      <c r="AH2096">
        <v>3</v>
      </c>
      <c r="AI2096">
        <v>2</v>
      </c>
      <c r="AJ2096">
        <v>0</v>
      </c>
      <c r="AK2096">
        <v>78.98</v>
      </c>
      <c r="AN2096" t="s">
        <v>7439</v>
      </c>
      <c r="AO2096">
        <v>13000</v>
      </c>
      <c r="AU2096">
        <v>30.5</v>
      </c>
      <c r="AV2096" t="s">
        <v>695</v>
      </c>
      <c r="AW2096" t="s">
        <v>103</v>
      </c>
    </row>
    <row r="2097" spans="1:50">
      <c r="A2097" s="1">
        <f>HYPERLINK("https://lsnyc.legalserver.org/matter/dynamic-profile/view/1879816","18-1879816")</f>
        <v>0</v>
      </c>
      <c r="B2097" t="s">
        <v>254</v>
      </c>
      <c r="C2097" t="s">
        <v>341</v>
      </c>
      <c r="D2097" t="s">
        <v>540</v>
      </c>
      <c r="E2097" t="s">
        <v>623</v>
      </c>
      <c r="F2097" t="s">
        <v>2092</v>
      </c>
      <c r="G2097" t="s">
        <v>6273</v>
      </c>
      <c r="H2097" t="s">
        <v>11357</v>
      </c>
      <c r="I2097" t="s">
        <v>17347</v>
      </c>
      <c r="J2097" t="s">
        <v>18892</v>
      </c>
      <c r="K2097">
        <v>10467</v>
      </c>
      <c r="L2097" t="s">
        <v>18958</v>
      </c>
      <c r="M2097" t="s">
        <v>18958</v>
      </c>
      <c r="N2097" t="s">
        <v>20547</v>
      </c>
      <c r="O2097" t="s">
        <v>26523</v>
      </c>
      <c r="P2097" t="s">
        <v>26560</v>
      </c>
      <c r="Q2097" t="s">
        <v>26568</v>
      </c>
      <c r="R2097" t="s">
        <v>26579</v>
      </c>
      <c r="S2097" t="s">
        <v>18959</v>
      </c>
      <c r="U2097" t="s">
        <v>26604</v>
      </c>
      <c r="V2097" t="s">
        <v>26610</v>
      </c>
      <c r="W2097" t="s">
        <v>540</v>
      </c>
      <c r="X2097">
        <v>1100</v>
      </c>
      <c r="Y2097" t="s">
        <v>26650</v>
      </c>
      <c r="Z2097" t="s">
        <v>26664</v>
      </c>
      <c r="AA2097" t="s">
        <v>26680</v>
      </c>
      <c r="AB2097" t="s">
        <v>28555</v>
      </c>
      <c r="AD2097" t="s">
        <v>38609</v>
      </c>
      <c r="AE2097">
        <v>63</v>
      </c>
      <c r="AF2097" t="s">
        <v>45541</v>
      </c>
      <c r="AG2097" t="s">
        <v>19330</v>
      </c>
      <c r="AH2097">
        <v>7</v>
      </c>
      <c r="AI2097">
        <v>3</v>
      </c>
      <c r="AJ2097">
        <v>0</v>
      </c>
      <c r="AK2097">
        <v>89.16</v>
      </c>
      <c r="AN2097" t="s">
        <v>45581</v>
      </c>
      <c r="AO2097">
        <v>18528</v>
      </c>
      <c r="AR2097" t="s">
        <v>46424</v>
      </c>
      <c r="AS2097" t="s">
        <v>46499</v>
      </c>
      <c r="AT2097" t="s">
        <v>46597</v>
      </c>
      <c r="AU2097">
        <v>1.7</v>
      </c>
      <c r="AV2097" t="s">
        <v>623</v>
      </c>
      <c r="AW2097" t="s">
        <v>46871</v>
      </c>
    </row>
    <row r="2098" spans="1:50">
      <c r="A2098" s="1">
        <f>HYPERLINK("https://lsnyc.legalserver.org/matter/dynamic-profile/view/1879040","18-1879040")</f>
        <v>0</v>
      </c>
      <c r="B2098" t="s">
        <v>103</v>
      </c>
      <c r="C2098" t="s">
        <v>341</v>
      </c>
      <c r="D2098" t="s">
        <v>540</v>
      </c>
      <c r="E2098" t="s">
        <v>789</v>
      </c>
      <c r="F2098" t="s">
        <v>1905</v>
      </c>
      <c r="G2098" t="s">
        <v>6274</v>
      </c>
      <c r="H2098" t="s">
        <v>11358</v>
      </c>
      <c r="J2098" t="s">
        <v>18902</v>
      </c>
      <c r="K2098">
        <v>10303</v>
      </c>
      <c r="L2098" t="s">
        <v>18958</v>
      </c>
      <c r="M2098" t="s">
        <v>18958</v>
      </c>
      <c r="N2098" t="s">
        <v>20548</v>
      </c>
      <c r="O2098" t="s">
        <v>26523</v>
      </c>
      <c r="P2098" t="s">
        <v>26560</v>
      </c>
      <c r="Q2098" t="s">
        <v>26568</v>
      </c>
      <c r="R2098" t="s">
        <v>26590</v>
      </c>
      <c r="S2098" t="s">
        <v>18959</v>
      </c>
      <c r="U2098" t="s">
        <v>26604</v>
      </c>
      <c r="V2098" t="s">
        <v>26610</v>
      </c>
      <c r="W2098" t="s">
        <v>540</v>
      </c>
      <c r="X2098">
        <v>1550</v>
      </c>
      <c r="Y2098" t="s">
        <v>26654</v>
      </c>
      <c r="Z2098" t="s">
        <v>26530</v>
      </c>
      <c r="AA2098" t="s">
        <v>26678</v>
      </c>
      <c r="AB2098" t="s">
        <v>28556</v>
      </c>
      <c r="AD2098" t="s">
        <v>38610</v>
      </c>
      <c r="AE2098">
        <v>2</v>
      </c>
      <c r="AF2098" t="s">
        <v>45547</v>
      </c>
      <c r="AG2098" t="s">
        <v>19330</v>
      </c>
      <c r="AH2098">
        <v>-1</v>
      </c>
      <c r="AI2098">
        <v>1</v>
      </c>
      <c r="AJ2098">
        <v>1</v>
      </c>
      <c r="AK2098">
        <v>60.9</v>
      </c>
      <c r="AN2098" t="s">
        <v>7439</v>
      </c>
      <c r="AO2098">
        <v>10024.8</v>
      </c>
      <c r="AQ2098" t="s">
        <v>46361</v>
      </c>
      <c r="AR2098" t="s">
        <v>46379</v>
      </c>
      <c r="AS2098" t="s">
        <v>46499</v>
      </c>
      <c r="AT2098" t="s">
        <v>46525</v>
      </c>
      <c r="AU2098">
        <v>23.3</v>
      </c>
      <c r="AV2098" t="s">
        <v>789</v>
      </c>
      <c r="AW2098" t="s">
        <v>190</v>
      </c>
    </row>
    <row r="2099" spans="1:50">
      <c r="A2099" s="1">
        <f>HYPERLINK("https://lsnyc.legalserver.org/matter/dynamic-profile/view/1878994","18-1878994")</f>
        <v>0</v>
      </c>
      <c r="B2099" t="s">
        <v>126</v>
      </c>
      <c r="C2099" t="s">
        <v>341</v>
      </c>
      <c r="D2099" t="s">
        <v>540</v>
      </c>
      <c r="E2099" t="s">
        <v>777</v>
      </c>
      <c r="F2099" t="s">
        <v>2093</v>
      </c>
      <c r="G2099" t="s">
        <v>5762</v>
      </c>
      <c r="H2099" t="s">
        <v>11359</v>
      </c>
      <c r="I2099" t="s">
        <v>17334</v>
      </c>
      <c r="J2099" t="s">
        <v>18894</v>
      </c>
      <c r="K2099">
        <v>11212</v>
      </c>
      <c r="L2099" t="s">
        <v>18958</v>
      </c>
      <c r="M2099" t="s">
        <v>18958</v>
      </c>
      <c r="N2099" t="s">
        <v>20549</v>
      </c>
      <c r="O2099" t="s">
        <v>26524</v>
      </c>
      <c r="P2099" t="s">
        <v>26560</v>
      </c>
      <c r="Q2099" t="s">
        <v>26573</v>
      </c>
      <c r="R2099" t="s">
        <v>26578</v>
      </c>
      <c r="U2099" t="s">
        <v>26604</v>
      </c>
      <c r="W2099" t="s">
        <v>540</v>
      </c>
      <c r="X2099">
        <v>2197</v>
      </c>
      <c r="Y2099" t="s">
        <v>26652</v>
      </c>
      <c r="Z2099" t="s">
        <v>26664</v>
      </c>
      <c r="AA2099" t="s">
        <v>26679</v>
      </c>
      <c r="AB2099" t="s">
        <v>28557</v>
      </c>
      <c r="AC2099" t="s">
        <v>35133</v>
      </c>
      <c r="AD2099" t="s">
        <v>38611</v>
      </c>
      <c r="AE2099">
        <v>4</v>
      </c>
      <c r="AF2099" t="s">
        <v>45547</v>
      </c>
      <c r="AG2099" t="s">
        <v>45557</v>
      </c>
      <c r="AH2099">
        <v>1</v>
      </c>
      <c r="AI2099">
        <v>3</v>
      </c>
      <c r="AJ2099">
        <v>4</v>
      </c>
      <c r="AK2099">
        <v>17.08</v>
      </c>
      <c r="AN2099" t="s">
        <v>7439</v>
      </c>
      <c r="AO2099">
        <v>6500</v>
      </c>
      <c r="AP2099" t="s">
        <v>45624</v>
      </c>
      <c r="AU2099">
        <v>27.15</v>
      </c>
      <c r="AV2099" t="s">
        <v>794</v>
      </c>
      <c r="AW2099" t="s">
        <v>281</v>
      </c>
    </row>
    <row r="2100" spans="1:50">
      <c r="A2100" s="1">
        <f>HYPERLINK("https://lsnyc.legalserver.org/matter/dynamic-profile/view/1879000","18-1879000")</f>
        <v>0</v>
      </c>
      <c r="B2100" t="s">
        <v>84</v>
      </c>
      <c r="C2100" t="s">
        <v>340</v>
      </c>
      <c r="D2100" t="s">
        <v>540</v>
      </c>
      <c r="F2100" t="s">
        <v>887</v>
      </c>
      <c r="G2100" t="s">
        <v>6275</v>
      </c>
      <c r="H2100" t="s">
        <v>11360</v>
      </c>
      <c r="I2100">
        <v>304</v>
      </c>
      <c r="J2100" t="s">
        <v>18893</v>
      </c>
      <c r="K2100">
        <v>10031</v>
      </c>
      <c r="L2100" t="s">
        <v>18958</v>
      </c>
      <c r="M2100" t="s">
        <v>18958</v>
      </c>
      <c r="N2100" t="s">
        <v>20550</v>
      </c>
      <c r="O2100" t="s">
        <v>26531</v>
      </c>
      <c r="P2100" t="s">
        <v>26564</v>
      </c>
      <c r="R2100" t="s">
        <v>26582</v>
      </c>
      <c r="U2100" t="s">
        <v>26604</v>
      </c>
      <c r="V2100" t="s">
        <v>26610</v>
      </c>
      <c r="W2100" t="s">
        <v>540</v>
      </c>
      <c r="X2100">
        <v>217.69</v>
      </c>
      <c r="Y2100" t="s">
        <v>26651</v>
      </c>
      <c r="Z2100" t="s">
        <v>26661</v>
      </c>
      <c r="AB2100" t="s">
        <v>28558</v>
      </c>
      <c r="AD2100" t="s">
        <v>38612</v>
      </c>
      <c r="AE2100">
        <v>36</v>
      </c>
      <c r="AF2100" t="s">
        <v>20460</v>
      </c>
      <c r="AG2100" t="s">
        <v>19330</v>
      </c>
      <c r="AH2100">
        <v>3</v>
      </c>
      <c r="AI2100">
        <v>1</v>
      </c>
      <c r="AJ2100">
        <v>0</v>
      </c>
      <c r="AK2100">
        <v>0</v>
      </c>
      <c r="AN2100" t="s">
        <v>7439</v>
      </c>
      <c r="AO2100">
        <v>0</v>
      </c>
      <c r="AU2100">
        <v>2.2</v>
      </c>
      <c r="AV2100" t="s">
        <v>414</v>
      </c>
      <c r="AW2100" t="s">
        <v>314</v>
      </c>
    </row>
    <row r="2101" spans="1:50">
      <c r="A2101" s="1">
        <f>HYPERLINK("https://lsnyc.legalserver.org/matter/dynamic-profile/view/1878996","18-1878996")</f>
        <v>0</v>
      </c>
      <c r="B2101" t="s">
        <v>84</v>
      </c>
      <c r="C2101" t="s">
        <v>340</v>
      </c>
      <c r="D2101" t="s">
        <v>540</v>
      </c>
      <c r="F2101" t="s">
        <v>1876</v>
      </c>
      <c r="G2101" t="s">
        <v>6276</v>
      </c>
      <c r="H2101" t="s">
        <v>11361</v>
      </c>
      <c r="I2101" t="s">
        <v>17712</v>
      </c>
      <c r="J2101" t="s">
        <v>18893</v>
      </c>
      <c r="K2101">
        <v>10009</v>
      </c>
      <c r="L2101" t="s">
        <v>18958</v>
      </c>
      <c r="M2101" t="s">
        <v>18958</v>
      </c>
      <c r="N2101" t="s">
        <v>20551</v>
      </c>
      <c r="O2101" t="s">
        <v>26525</v>
      </c>
      <c r="P2101" t="s">
        <v>26561</v>
      </c>
      <c r="R2101" t="s">
        <v>26582</v>
      </c>
      <c r="U2101" t="s">
        <v>26605</v>
      </c>
      <c r="W2101" t="s">
        <v>540</v>
      </c>
      <c r="X2101">
        <v>148</v>
      </c>
      <c r="Y2101" t="s">
        <v>26651</v>
      </c>
      <c r="Z2101" t="s">
        <v>26661</v>
      </c>
      <c r="AB2101" t="s">
        <v>28559</v>
      </c>
      <c r="AD2101" t="s">
        <v>38613</v>
      </c>
      <c r="AE2101">
        <v>743</v>
      </c>
      <c r="AF2101" t="s">
        <v>45542</v>
      </c>
      <c r="AG2101" t="s">
        <v>19330</v>
      </c>
      <c r="AH2101">
        <v>5</v>
      </c>
      <c r="AI2101">
        <v>1</v>
      </c>
      <c r="AJ2101">
        <v>1</v>
      </c>
      <c r="AK2101">
        <v>52.76</v>
      </c>
      <c r="AN2101" t="s">
        <v>7439</v>
      </c>
      <c r="AO2101">
        <v>8684</v>
      </c>
      <c r="AU2101">
        <v>4.2</v>
      </c>
      <c r="AV2101" t="s">
        <v>630</v>
      </c>
      <c r="AW2101" t="s">
        <v>46835</v>
      </c>
    </row>
    <row r="2102" spans="1:50">
      <c r="A2102" s="1">
        <f>HYPERLINK("https://lsnyc.legalserver.org/matter/dynamic-profile/view/1879029","18-1879029")</f>
        <v>0</v>
      </c>
      <c r="B2102" t="s">
        <v>84</v>
      </c>
      <c r="C2102" t="s">
        <v>340</v>
      </c>
      <c r="D2102" t="s">
        <v>540</v>
      </c>
      <c r="F2102" t="s">
        <v>1258</v>
      </c>
      <c r="G2102" t="s">
        <v>4612</v>
      </c>
      <c r="H2102" t="s">
        <v>11362</v>
      </c>
      <c r="I2102" t="s">
        <v>17496</v>
      </c>
      <c r="J2102" t="s">
        <v>18893</v>
      </c>
      <c r="K2102">
        <v>10039</v>
      </c>
      <c r="L2102" t="s">
        <v>18958</v>
      </c>
      <c r="M2102" t="s">
        <v>18958</v>
      </c>
      <c r="N2102" t="s">
        <v>20552</v>
      </c>
      <c r="O2102" t="s">
        <v>26524</v>
      </c>
      <c r="P2102" t="s">
        <v>26564</v>
      </c>
      <c r="R2102" t="s">
        <v>26582</v>
      </c>
      <c r="U2102" t="s">
        <v>26605</v>
      </c>
      <c r="W2102" t="s">
        <v>540</v>
      </c>
      <c r="X2102">
        <v>519</v>
      </c>
      <c r="Y2102" t="s">
        <v>26651</v>
      </c>
      <c r="Z2102" t="s">
        <v>26661</v>
      </c>
      <c r="AB2102" t="s">
        <v>28560</v>
      </c>
      <c r="AD2102" t="s">
        <v>38614</v>
      </c>
      <c r="AE2102">
        <v>0</v>
      </c>
      <c r="AF2102" t="s">
        <v>45542</v>
      </c>
      <c r="AG2102" t="s">
        <v>19330</v>
      </c>
      <c r="AH2102">
        <v>6</v>
      </c>
      <c r="AI2102">
        <v>1</v>
      </c>
      <c r="AJ2102">
        <v>0</v>
      </c>
      <c r="AK2102">
        <v>231.3</v>
      </c>
      <c r="AN2102" t="s">
        <v>7439</v>
      </c>
      <c r="AO2102">
        <v>28080</v>
      </c>
      <c r="AU2102">
        <v>0.3</v>
      </c>
      <c r="AV2102" t="s">
        <v>630</v>
      </c>
      <c r="AW2102" t="s">
        <v>46835</v>
      </c>
    </row>
    <row r="2103" spans="1:50">
      <c r="A2103" s="1">
        <f>HYPERLINK("https://lsnyc.legalserver.org/matter/dynamic-profile/view/1879045","18-1879045")</f>
        <v>0</v>
      </c>
      <c r="B2103" t="s">
        <v>101</v>
      </c>
      <c r="C2103" t="s">
        <v>340</v>
      </c>
      <c r="D2103" t="s">
        <v>540</v>
      </c>
      <c r="F2103" t="s">
        <v>1641</v>
      </c>
      <c r="G2103" t="s">
        <v>3599</v>
      </c>
      <c r="H2103" t="s">
        <v>11363</v>
      </c>
      <c r="I2103">
        <v>11</v>
      </c>
      <c r="J2103" t="s">
        <v>18894</v>
      </c>
      <c r="K2103">
        <v>11226</v>
      </c>
      <c r="L2103" t="s">
        <v>18958</v>
      </c>
      <c r="M2103" t="s">
        <v>18958</v>
      </c>
      <c r="N2103" t="s">
        <v>20553</v>
      </c>
      <c r="O2103" t="s">
        <v>26523</v>
      </c>
      <c r="P2103" t="s">
        <v>26560</v>
      </c>
      <c r="R2103" t="s">
        <v>26588</v>
      </c>
      <c r="S2103" t="s">
        <v>18959</v>
      </c>
      <c r="U2103" t="s">
        <v>26604</v>
      </c>
      <c r="V2103" t="s">
        <v>26610</v>
      </c>
      <c r="W2103" t="s">
        <v>540</v>
      </c>
      <c r="X2103">
        <v>1279.61</v>
      </c>
      <c r="Y2103" t="s">
        <v>26652</v>
      </c>
      <c r="Z2103" t="s">
        <v>26664</v>
      </c>
      <c r="AB2103" t="s">
        <v>28561</v>
      </c>
      <c r="AD2103" t="s">
        <v>38615</v>
      </c>
      <c r="AE2103">
        <v>0</v>
      </c>
      <c r="AF2103" t="s">
        <v>45541</v>
      </c>
      <c r="AG2103" t="s">
        <v>45559</v>
      </c>
      <c r="AH2103">
        <v>28</v>
      </c>
      <c r="AI2103">
        <v>3</v>
      </c>
      <c r="AJ2103">
        <v>0</v>
      </c>
      <c r="AK2103">
        <v>102.39</v>
      </c>
      <c r="AN2103" t="s">
        <v>7439</v>
      </c>
      <c r="AO2103">
        <v>21276</v>
      </c>
      <c r="AQ2103" t="s">
        <v>46362</v>
      </c>
      <c r="AR2103" t="s">
        <v>46395</v>
      </c>
      <c r="AU2103">
        <v>20.1</v>
      </c>
      <c r="AV2103" t="s">
        <v>657</v>
      </c>
      <c r="AW2103" t="s">
        <v>46862</v>
      </c>
    </row>
    <row r="2104" spans="1:50">
      <c r="A2104" s="1">
        <f>HYPERLINK("https://lsnyc.legalserver.org/matter/dynamic-profile/view/1879037","18-1879037")</f>
        <v>0</v>
      </c>
      <c r="B2104" t="s">
        <v>86</v>
      </c>
      <c r="C2104" t="s">
        <v>340</v>
      </c>
      <c r="D2104" t="s">
        <v>540</v>
      </c>
      <c r="F2104" t="s">
        <v>2094</v>
      </c>
      <c r="G2104" t="s">
        <v>6277</v>
      </c>
      <c r="H2104" t="s">
        <v>11197</v>
      </c>
      <c r="I2104">
        <v>16</v>
      </c>
      <c r="J2104" t="s">
        <v>18893</v>
      </c>
      <c r="K2104">
        <v>10031</v>
      </c>
      <c r="L2104" t="s">
        <v>18958</v>
      </c>
      <c r="M2104" t="s">
        <v>18958</v>
      </c>
      <c r="N2104" t="s">
        <v>20554</v>
      </c>
      <c r="O2104" t="s">
        <v>26523</v>
      </c>
      <c r="P2104" t="s">
        <v>26560</v>
      </c>
      <c r="R2104" t="s">
        <v>26580</v>
      </c>
      <c r="S2104" t="s">
        <v>18959</v>
      </c>
      <c r="U2104" t="s">
        <v>26605</v>
      </c>
      <c r="W2104" t="s">
        <v>540</v>
      </c>
      <c r="X2104">
        <v>1394</v>
      </c>
      <c r="Y2104" t="s">
        <v>26651</v>
      </c>
      <c r="Z2104" t="s">
        <v>26659</v>
      </c>
      <c r="AB2104" t="s">
        <v>28562</v>
      </c>
      <c r="AD2104" t="s">
        <v>38616</v>
      </c>
      <c r="AE2104">
        <v>0</v>
      </c>
      <c r="AF2104" t="s">
        <v>45542</v>
      </c>
      <c r="AG2104" t="s">
        <v>19330</v>
      </c>
      <c r="AH2104">
        <v>0</v>
      </c>
      <c r="AI2104">
        <v>2</v>
      </c>
      <c r="AJ2104">
        <v>0</v>
      </c>
      <c r="AK2104">
        <v>170.11</v>
      </c>
      <c r="AO2104">
        <v>28000</v>
      </c>
      <c r="AU2104">
        <v>12.3</v>
      </c>
      <c r="AV2104" t="s">
        <v>820</v>
      </c>
      <c r="AW2104" t="s">
        <v>46835</v>
      </c>
    </row>
    <row r="2105" spans="1:50">
      <c r="A2105" s="1">
        <f>HYPERLINK("https://lsnyc.legalserver.org/matter/dynamic-profile/view/1879507","18-1879507")</f>
        <v>0</v>
      </c>
      <c r="B2105" t="s">
        <v>211</v>
      </c>
      <c r="C2105" t="s">
        <v>341</v>
      </c>
      <c r="D2105" t="s">
        <v>529</v>
      </c>
      <c r="E2105" t="s">
        <v>699</v>
      </c>
      <c r="F2105" t="s">
        <v>2095</v>
      </c>
      <c r="G2105" t="s">
        <v>6278</v>
      </c>
      <c r="H2105" t="s">
        <v>10362</v>
      </c>
      <c r="I2105" t="s">
        <v>17334</v>
      </c>
      <c r="J2105" t="s">
        <v>18894</v>
      </c>
      <c r="K2105">
        <v>11233</v>
      </c>
      <c r="L2105" t="s">
        <v>18958</v>
      </c>
      <c r="M2105" t="s">
        <v>18959</v>
      </c>
      <c r="N2105" t="s">
        <v>20555</v>
      </c>
      <c r="O2105" t="s">
        <v>26524</v>
      </c>
      <c r="P2105" t="s">
        <v>26560</v>
      </c>
      <c r="Q2105" t="s">
        <v>26568</v>
      </c>
      <c r="R2105" t="s">
        <v>26578</v>
      </c>
      <c r="S2105" t="s">
        <v>18958</v>
      </c>
      <c r="U2105" t="s">
        <v>26604</v>
      </c>
      <c r="V2105" t="s">
        <v>26610</v>
      </c>
      <c r="W2105" t="s">
        <v>540</v>
      </c>
      <c r="X2105">
        <v>1500</v>
      </c>
      <c r="Y2105" t="s">
        <v>26652</v>
      </c>
      <c r="AA2105" t="s">
        <v>26678</v>
      </c>
      <c r="AB2105" t="s">
        <v>28563</v>
      </c>
      <c r="AD2105" t="s">
        <v>38617</v>
      </c>
      <c r="AE2105">
        <v>6</v>
      </c>
      <c r="AF2105" t="s">
        <v>45541</v>
      </c>
      <c r="AH2105">
        <v>1</v>
      </c>
      <c r="AI2105">
        <v>1</v>
      </c>
      <c r="AJ2105">
        <v>1</v>
      </c>
      <c r="AK2105">
        <v>172.67</v>
      </c>
      <c r="AN2105" t="s">
        <v>7439</v>
      </c>
      <c r="AO2105">
        <v>28422.12</v>
      </c>
      <c r="AU2105">
        <v>1.2</v>
      </c>
      <c r="AV2105" t="s">
        <v>699</v>
      </c>
      <c r="AW2105" t="s">
        <v>211</v>
      </c>
    </row>
    <row r="2106" spans="1:50">
      <c r="A2106" s="1">
        <f>HYPERLINK("https://lsnyc.legalserver.org/matter/dynamic-profile/view/1847402","17-1847402")</f>
        <v>0</v>
      </c>
      <c r="B2106" t="s">
        <v>69</v>
      </c>
      <c r="C2106" t="s">
        <v>341</v>
      </c>
      <c r="D2106" t="s">
        <v>608</v>
      </c>
      <c r="E2106" t="s">
        <v>603</v>
      </c>
      <c r="F2106" t="s">
        <v>1228</v>
      </c>
      <c r="G2106" t="s">
        <v>5103</v>
      </c>
      <c r="H2106" t="s">
        <v>11364</v>
      </c>
      <c r="I2106" t="s">
        <v>17432</v>
      </c>
      <c r="J2106" t="s">
        <v>18892</v>
      </c>
      <c r="K2106">
        <v>10468</v>
      </c>
      <c r="L2106" t="s">
        <v>18958</v>
      </c>
      <c r="M2106" t="s">
        <v>18960</v>
      </c>
      <c r="N2106" t="s">
        <v>20556</v>
      </c>
      <c r="O2106" t="s">
        <v>26524</v>
      </c>
      <c r="P2106" t="s">
        <v>26560</v>
      </c>
      <c r="Q2106" t="s">
        <v>26568</v>
      </c>
      <c r="R2106" t="s">
        <v>26579</v>
      </c>
      <c r="S2106" t="s">
        <v>18959</v>
      </c>
      <c r="U2106" t="s">
        <v>26604</v>
      </c>
      <c r="V2106" t="s">
        <v>26609</v>
      </c>
      <c r="W2106" t="s">
        <v>622</v>
      </c>
      <c r="X2106">
        <v>1100</v>
      </c>
      <c r="Y2106" t="s">
        <v>26650</v>
      </c>
      <c r="Z2106" t="s">
        <v>26656</v>
      </c>
      <c r="AA2106" t="s">
        <v>26678</v>
      </c>
      <c r="AB2106" t="s">
        <v>28564</v>
      </c>
      <c r="AC2106" t="s">
        <v>35134</v>
      </c>
      <c r="AD2106" t="s">
        <v>38618</v>
      </c>
      <c r="AE2106">
        <v>0</v>
      </c>
      <c r="AF2106" t="s">
        <v>45541</v>
      </c>
      <c r="AG2106" t="s">
        <v>45561</v>
      </c>
      <c r="AH2106">
        <v>7</v>
      </c>
      <c r="AI2106">
        <v>1</v>
      </c>
      <c r="AJ2106">
        <v>0</v>
      </c>
      <c r="AK2106">
        <v>80.09999999999999</v>
      </c>
      <c r="AM2106" t="s">
        <v>45579</v>
      </c>
      <c r="AN2106" t="s">
        <v>7439</v>
      </c>
      <c r="AO2106">
        <v>9660</v>
      </c>
      <c r="AP2106" t="s">
        <v>45620</v>
      </c>
      <c r="AS2106" t="s">
        <v>46499</v>
      </c>
      <c r="AT2106" t="s">
        <v>46578</v>
      </c>
      <c r="AU2106">
        <v>12.1</v>
      </c>
      <c r="AV2106" t="s">
        <v>588</v>
      </c>
      <c r="AW2106" t="s">
        <v>46848</v>
      </c>
    </row>
    <row r="2107" spans="1:50">
      <c r="A2107" s="1">
        <f>HYPERLINK("https://lsnyc.legalserver.org/matter/dynamic-profile/view/1878560","18-1878560")</f>
        <v>0</v>
      </c>
      <c r="B2107" t="s">
        <v>151</v>
      </c>
      <c r="C2107" t="s">
        <v>341</v>
      </c>
      <c r="D2107" t="s">
        <v>589</v>
      </c>
      <c r="E2107" t="s">
        <v>764</v>
      </c>
      <c r="F2107" t="s">
        <v>1008</v>
      </c>
      <c r="G2107" t="s">
        <v>6279</v>
      </c>
      <c r="H2107" t="s">
        <v>11365</v>
      </c>
      <c r="J2107" t="s">
        <v>18893</v>
      </c>
      <c r="K2107">
        <v>10025</v>
      </c>
      <c r="L2107" t="s">
        <v>18958</v>
      </c>
      <c r="M2107" t="s">
        <v>18960</v>
      </c>
      <c r="N2107" t="s">
        <v>20557</v>
      </c>
      <c r="O2107" t="s">
        <v>26523</v>
      </c>
      <c r="P2107" t="s">
        <v>26560</v>
      </c>
      <c r="Q2107" t="s">
        <v>26568</v>
      </c>
      <c r="R2107" t="s">
        <v>26580</v>
      </c>
      <c r="U2107" t="s">
        <v>26604</v>
      </c>
      <c r="V2107" t="s">
        <v>26611</v>
      </c>
      <c r="W2107" t="s">
        <v>26628</v>
      </c>
      <c r="X2107">
        <v>1165</v>
      </c>
      <c r="Y2107" t="s">
        <v>26651</v>
      </c>
      <c r="Z2107" t="s">
        <v>26664</v>
      </c>
      <c r="AA2107" t="s">
        <v>26679</v>
      </c>
      <c r="AB2107" t="s">
        <v>28565</v>
      </c>
      <c r="AD2107" t="s">
        <v>38619</v>
      </c>
      <c r="AE2107">
        <v>61</v>
      </c>
      <c r="AH2107">
        <v>33</v>
      </c>
      <c r="AI2107">
        <v>2</v>
      </c>
      <c r="AJ2107">
        <v>0</v>
      </c>
      <c r="AK2107">
        <v>78.98</v>
      </c>
      <c r="AN2107" t="s">
        <v>7439</v>
      </c>
      <c r="AO2107">
        <v>13000</v>
      </c>
      <c r="AS2107" t="s">
        <v>46500</v>
      </c>
      <c r="AT2107" t="s">
        <v>46733</v>
      </c>
      <c r="AU2107">
        <v>20</v>
      </c>
      <c r="AV2107" t="s">
        <v>714</v>
      </c>
      <c r="AW2107" t="s">
        <v>264</v>
      </c>
    </row>
    <row r="2108" spans="1:50">
      <c r="A2108" s="1">
        <f>HYPERLINK("https://lsnyc.legalserver.org/matter/dynamic-profile/view/1878955","18-1878955")</f>
        <v>0</v>
      </c>
      <c r="B2108" t="s">
        <v>255</v>
      </c>
      <c r="C2108" t="s">
        <v>340</v>
      </c>
      <c r="D2108" t="s">
        <v>457</v>
      </c>
      <c r="F2108" t="s">
        <v>1106</v>
      </c>
      <c r="G2108" t="s">
        <v>5177</v>
      </c>
      <c r="H2108" t="s">
        <v>11366</v>
      </c>
      <c r="J2108" t="s">
        <v>18893</v>
      </c>
      <c r="K2108">
        <v>10026</v>
      </c>
      <c r="L2108" t="s">
        <v>18960</v>
      </c>
      <c r="M2108" t="s">
        <v>18960</v>
      </c>
      <c r="O2108" t="s">
        <v>26543</v>
      </c>
      <c r="P2108" t="s">
        <v>26561</v>
      </c>
      <c r="R2108" t="s">
        <v>26582</v>
      </c>
      <c r="S2108" t="s">
        <v>18959</v>
      </c>
      <c r="U2108" t="s">
        <v>26605</v>
      </c>
      <c r="V2108" t="s">
        <v>26610</v>
      </c>
      <c r="W2108" t="s">
        <v>26628</v>
      </c>
      <c r="X2108">
        <v>198</v>
      </c>
      <c r="Y2108" t="s">
        <v>26651</v>
      </c>
      <c r="Z2108" t="s">
        <v>26659</v>
      </c>
      <c r="AB2108" t="s">
        <v>28566</v>
      </c>
      <c r="AC2108" t="s">
        <v>35135</v>
      </c>
      <c r="AD2108" t="s">
        <v>38620</v>
      </c>
      <c r="AE2108">
        <v>527</v>
      </c>
      <c r="AF2108" t="s">
        <v>45549</v>
      </c>
      <c r="AG2108" t="s">
        <v>19330</v>
      </c>
      <c r="AH2108">
        <v>3</v>
      </c>
      <c r="AI2108">
        <v>1</v>
      </c>
      <c r="AJ2108">
        <v>0</v>
      </c>
      <c r="AK2108">
        <v>65.39</v>
      </c>
      <c r="AN2108" t="s">
        <v>7439</v>
      </c>
      <c r="AO2108">
        <v>7938</v>
      </c>
      <c r="AU2108">
        <v>22.15</v>
      </c>
      <c r="AV2108" t="s">
        <v>797</v>
      </c>
      <c r="AW2108" t="s">
        <v>46838</v>
      </c>
      <c r="AX2108" t="s">
        <v>46898</v>
      </c>
    </row>
    <row r="2109" spans="1:50">
      <c r="A2109" s="1">
        <f>HYPERLINK("https://lsnyc.legalserver.org/matter/dynamic-profile/view/0805883","16-0805883")</f>
        <v>0</v>
      </c>
      <c r="B2109" t="s">
        <v>86</v>
      </c>
      <c r="C2109" t="s">
        <v>341</v>
      </c>
      <c r="D2109" t="s">
        <v>609</v>
      </c>
      <c r="E2109" t="s">
        <v>651</v>
      </c>
      <c r="F2109" t="s">
        <v>2096</v>
      </c>
      <c r="G2109" t="s">
        <v>6280</v>
      </c>
      <c r="H2109" t="s">
        <v>11367</v>
      </c>
      <c r="I2109" t="s">
        <v>17352</v>
      </c>
      <c r="J2109" t="s">
        <v>18893</v>
      </c>
      <c r="K2109">
        <v>10026</v>
      </c>
      <c r="L2109" t="s">
        <v>18958</v>
      </c>
      <c r="M2109" t="s">
        <v>18958</v>
      </c>
      <c r="N2109" t="s">
        <v>20558</v>
      </c>
      <c r="O2109" t="s">
        <v>26523</v>
      </c>
      <c r="P2109" t="s">
        <v>26560</v>
      </c>
      <c r="Q2109" t="s">
        <v>26575</v>
      </c>
      <c r="R2109" t="s">
        <v>26580</v>
      </c>
      <c r="U2109" t="s">
        <v>26604</v>
      </c>
      <c r="W2109" t="s">
        <v>583</v>
      </c>
      <c r="X2109">
        <v>1258</v>
      </c>
      <c r="Y2109" t="s">
        <v>26651</v>
      </c>
      <c r="Z2109" t="s">
        <v>26662</v>
      </c>
      <c r="AA2109" t="s">
        <v>26678</v>
      </c>
      <c r="AB2109" t="s">
        <v>28567</v>
      </c>
      <c r="AD2109" t="s">
        <v>38621</v>
      </c>
      <c r="AE2109">
        <v>25</v>
      </c>
      <c r="AH2109">
        <v>23</v>
      </c>
      <c r="AI2109">
        <v>2</v>
      </c>
      <c r="AJ2109">
        <v>1</v>
      </c>
      <c r="AK2109">
        <v>49.6</v>
      </c>
      <c r="AN2109" t="s">
        <v>8151</v>
      </c>
      <c r="AO2109">
        <v>10000</v>
      </c>
      <c r="AS2109" t="s">
        <v>46499</v>
      </c>
      <c r="AU2109">
        <v>111.6</v>
      </c>
      <c r="AV2109" t="s">
        <v>405</v>
      </c>
      <c r="AW2109" t="s">
        <v>46833</v>
      </c>
    </row>
    <row r="2110" spans="1:50">
      <c r="A2110" s="1">
        <f>HYPERLINK("https://lsnyc.legalserver.org/matter/dynamic-profile/view/1842647","17-1842647")</f>
        <v>0</v>
      </c>
      <c r="B2110" t="s">
        <v>197</v>
      </c>
      <c r="C2110" t="s">
        <v>340</v>
      </c>
      <c r="D2110" t="s">
        <v>610</v>
      </c>
      <c r="F2110" t="s">
        <v>1062</v>
      </c>
      <c r="G2110" t="s">
        <v>6281</v>
      </c>
      <c r="H2110" t="s">
        <v>11368</v>
      </c>
      <c r="I2110" t="s">
        <v>17361</v>
      </c>
      <c r="J2110" t="s">
        <v>18894</v>
      </c>
      <c r="K2110">
        <v>11225</v>
      </c>
      <c r="L2110" t="s">
        <v>18958</v>
      </c>
      <c r="M2110" t="s">
        <v>18958</v>
      </c>
      <c r="N2110" t="s">
        <v>20559</v>
      </c>
      <c r="O2110" t="s">
        <v>26524</v>
      </c>
      <c r="P2110" t="s">
        <v>26560</v>
      </c>
      <c r="R2110" t="s">
        <v>26588</v>
      </c>
      <c r="S2110" t="s">
        <v>18959</v>
      </c>
      <c r="U2110" t="s">
        <v>26604</v>
      </c>
      <c r="V2110" t="s">
        <v>26613</v>
      </c>
      <c r="W2110" t="s">
        <v>583</v>
      </c>
      <c r="X2110">
        <v>1400.5</v>
      </c>
      <c r="Y2110" t="s">
        <v>26652</v>
      </c>
      <c r="Z2110" t="s">
        <v>26659</v>
      </c>
      <c r="AB2110" t="s">
        <v>28568</v>
      </c>
      <c r="AD2110" t="s">
        <v>38622</v>
      </c>
      <c r="AE2110">
        <v>72</v>
      </c>
      <c r="AF2110" t="s">
        <v>45548</v>
      </c>
      <c r="AG2110" t="s">
        <v>19330</v>
      </c>
      <c r="AH2110">
        <v>28</v>
      </c>
      <c r="AI2110">
        <v>5</v>
      </c>
      <c r="AJ2110">
        <v>0</v>
      </c>
      <c r="AK2110">
        <v>66.70999999999999</v>
      </c>
      <c r="AM2110" t="s">
        <v>45578</v>
      </c>
      <c r="AN2110" t="s">
        <v>7439</v>
      </c>
      <c r="AO2110">
        <v>19200</v>
      </c>
      <c r="AQ2110" t="s">
        <v>46372</v>
      </c>
      <c r="AR2110" t="s">
        <v>26530</v>
      </c>
      <c r="AU2110">
        <v>109.25</v>
      </c>
      <c r="AV2110" t="s">
        <v>779</v>
      </c>
      <c r="AW2110" t="s">
        <v>279</v>
      </c>
    </row>
    <row r="2111" spans="1:50">
      <c r="A2111" s="1">
        <f>HYPERLINK("https://lsnyc.legalserver.org/matter/dynamic-profile/view/1846361","17-1846361")</f>
        <v>0</v>
      </c>
      <c r="B2111" t="s">
        <v>256</v>
      </c>
      <c r="C2111" t="s">
        <v>341</v>
      </c>
      <c r="D2111" t="s">
        <v>597</v>
      </c>
      <c r="E2111" t="s">
        <v>704</v>
      </c>
      <c r="F2111" t="s">
        <v>2097</v>
      </c>
      <c r="G2111" t="s">
        <v>5311</v>
      </c>
      <c r="H2111" t="s">
        <v>11369</v>
      </c>
      <c r="I2111" t="s">
        <v>17282</v>
      </c>
      <c r="J2111" t="s">
        <v>18894</v>
      </c>
      <c r="K2111">
        <v>11226</v>
      </c>
      <c r="L2111" t="s">
        <v>18958</v>
      </c>
      <c r="M2111" t="s">
        <v>18958</v>
      </c>
      <c r="O2111" t="s">
        <v>26523</v>
      </c>
      <c r="P2111" t="s">
        <v>26564</v>
      </c>
      <c r="Q2111" t="s">
        <v>26570</v>
      </c>
      <c r="R2111" t="s">
        <v>26588</v>
      </c>
      <c r="S2111" t="s">
        <v>18959</v>
      </c>
      <c r="T2111" t="s">
        <v>26601</v>
      </c>
      <c r="U2111" t="s">
        <v>26604</v>
      </c>
      <c r="W2111" t="s">
        <v>583</v>
      </c>
      <c r="X2111">
        <v>1519</v>
      </c>
      <c r="Y2111" t="s">
        <v>26652</v>
      </c>
      <c r="Z2111" t="s">
        <v>26663</v>
      </c>
      <c r="AA2111" t="s">
        <v>26683</v>
      </c>
      <c r="AB2111" t="s">
        <v>28569</v>
      </c>
      <c r="AE2111">
        <v>42</v>
      </c>
      <c r="AF2111" t="s">
        <v>45541</v>
      </c>
      <c r="AG2111" t="s">
        <v>19330</v>
      </c>
      <c r="AH2111">
        <v>10</v>
      </c>
      <c r="AI2111">
        <v>4</v>
      </c>
      <c r="AJ2111">
        <v>3</v>
      </c>
      <c r="AK2111">
        <v>68.89</v>
      </c>
      <c r="AN2111" t="s">
        <v>45581</v>
      </c>
      <c r="AO2111">
        <v>25584</v>
      </c>
      <c r="AU2111">
        <v>5.2</v>
      </c>
      <c r="AV2111" t="s">
        <v>704</v>
      </c>
      <c r="AW2111" t="s">
        <v>46851</v>
      </c>
    </row>
    <row r="2112" spans="1:50">
      <c r="A2112" s="1">
        <f>HYPERLINK("https://lsnyc.legalserver.org/matter/dynamic-profile/view/1846853","17-1846853")</f>
        <v>0</v>
      </c>
      <c r="B2112" t="s">
        <v>124</v>
      </c>
      <c r="C2112" t="s">
        <v>341</v>
      </c>
      <c r="D2112" t="s">
        <v>602</v>
      </c>
      <c r="E2112" t="s">
        <v>713</v>
      </c>
      <c r="F2112" t="s">
        <v>2098</v>
      </c>
      <c r="G2112" t="s">
        <v>5266</v>
      </c>
      <c r="H2112" t="s">
        <v>11370</v>
      </c>
      <c r="I2112" t="s">
        <v>17651</v>
      </c>
      <c r="J2112" t="s">
        <v>18894</v>
      </c>
      <c r="K2112">
        <v>11216</v>
      </c>
      <c r="L2112" t="s">
        <v>18958</v>
      </c>
      <c r="M2112" t="s">
        <v>18958</v>
      </c>
      <c r="N2112" t="s">
        <v>20560</v>
      </c>
      <c r="O2112" t="s">
        <v>26523</v>
      </c>
      <c r="P2112" t="s">
        <v>26560</v>
      </c>
      <c r="Q2112" t="s">
        <v>26568</v>
      </c>
      <c r="R2112" t="s">
        <v>26588</v>
      </c>
      <c r="U2112" t="s">
        <v>26604</v>
      </c>
      <c r="W2112" t="s">
        <v>583</v>
      </c>
      <c r="X2112">
        <v>0</v>
      </c>
      <c r="Y2112" t="s">
        <v>26652</v>
      </c>
      <c r="AA2112" t="s">
        <v>26678</v>
      </c>
      <c r="AB2112" t="s">
        <v>28570</v>
      </c>
      <c r="AD2112" t="s">
        <v>38623</v>
      </c>
      <c r="AE2112">
        <v>0</v>
      </c>
      <c r="AH2112">
        <v>0</v>
      </c>
      <c r="AI2112">
        <v>1</v>
      </c>
      <c r="AJ2112">
        <v>0</v>
      </c>
      <c r="AK2112">
        <v>40.53</v>
      </c>
      <c r="AN2112" t="s">
        <v>7439</v>
      </c>
      <c r="AO2112">
        <v>4888</v>
      </c>
      <c r="AQ2112" t="s">
        <v>46359</v>
      </c>
      <c r="AR2112" t="s">
        <v>46379</v>
      </c>
      <c r="AS2112" t="s">
        <v>46499</v>
      </c>
      <c r="AT2112" t="s">
        <v>46504</v>
      </c>
      <c r="AU2112">
        <v>12.1</v>
      </c>
      <c r="AV2112" t="s">
        <v>713</v>
      </c>
      <c r="AW2112" t="s">
        <v>323</v>
      </c>
    </row>
    <row r="2113" spans="1:50">
      <c r="A2113" s="1">
        <f>HYPERLINK("https://lsnyc.legalserver.org/matter/dynamic-profile/view/1853816","17-1853816")</f>
        <v>0</v>
      </c>
      <c r="B2113" t="s">
        <v>171</v>
      </c>
      <c r="C2113" t="s">
        <v>341</v>
      </c>
      <c r="D2113" t="s">
        <v>554</v>
      </c>
      <c r="E2113" t="s">
        <v>678</v>
      </c>
      <c r="F2113" t="s">
        <v>2099</v>
      </c>
      <c r="G2113" t="s">
        <v>6282</v>
      </c>
      <c r="H2113" t="s">
        <v>11371</v>
      </c>
      <c r="I2113">
        <v>4</v>
      </c>
      <c r="J2113" t="s">
        <v>18893</v>
      </c>
      <c r="K2113">
        <v>10013</v>
      </c>
      <c r="L2113" t="s">
        <v>18959</v>
      </c>
      <c r="M2113" t="s">
        <v>18960</v>
      </c>
      <c r="N2113" t="s">
        <v>20561</v>
      </c>
      <c r="O2113" t="s">
        <v>26524</v>
      </c>
      <c r="P2113" t="s">
        <v>26564</v>
      </c>
      <c r="Q2113" t="s">
        <v>26570</v>
      </c>
      <c r="R2113" t="s">
        <v>26592</v>
      </c>
      <c r="U2113" t="s">
        <v>26604</v>
      </c>
      <c r="W2113" t="s">
        <v>583</v>
      </c>
      <c r="X2113">
        <v>658.83</v>
      </c>
      <c r="Y2113" t="s">
        <v>26651</v>
      </c>
      <c r="Z2113" t="s">
        <v>26667</v>
      </c>
      <c r="AA2113" t="s">
        <v>26683</v>
      </c>
      <c r="AB2113" t="s">
        <v>28571</v>
      </c>
      <c r="AD2113" t="s">
        <v>38624</v>
      </c>
      <c r="AE2113">
        <v>0</v>
      </c>
      <c r="AF2113" t="s">
        <v>45541</v>
      </c>
      <c r="AH2113">
        <v>0</v>
      </c>
      <c r="AI2113">
        <v>4</v>
      </c>
      <c r="AJ2113">
        <v>0</v>
      </c>
      <c r="AK2113">
        <v>174.8</v>
      </c>
      <c r="AN2113" t="s">
        <v>26530</v>
      </c>
      <c r="AO2113">
        <v>43000</v>
      </c>
      <c r="AU2113">
        <v>1</v>
      </c>
      <c r="AV2113" t="s">
        <v>708</v>
      </c>
      <c r="AW2113" t="s">
        <v>314</v>
      </c>
    </row>
    <row r="2114" spans="1:50">
      <c r="A2114" s="1">
        <f>HYPERLINK("https://lsnyc.legalserver.org/matter/dynamic-profile/view/1857991","18-1857991")</f>
        <v>0</v>
      </c>
      <c r="B2114" t="s">
        <v>129</v>
      </c>
      <c r="C2114" t="s">
        <v>341</v>
      </c>
      <c r="D2114" t="s">
        <v>376</v>
      </c>
      <c r="E2114" t="s">
        <v>494</v>
      </c>
      <c r="F2114" t="s">
        <v>1377</v>
      </c>
      <c r="G2114" t="s">
        <v>6283</v>
      </c>
      <c r="H2114" t="s">
        <v>11372</v>
      </c>
      <c r="I2114" t="s">
        <v>17281</v>
      </c>
      <c r="J2114" t="s">
        <v>18894</v>
      </c>
      <c r="K2114">
        <v>11213</v>
      </c>
      <c r="L2114" t="s">
        <v>18958</v>
      </c>
      <c r="M2114" t="s">
        <v>18958</v>
      </c>
      <c r="N2114" t="s">
        <v>20562</v>
      </c>
      <c r="O2114" t="s">
        <v>26524</v>
      </c>
      <c r="P2114" t="s">
        <v>26564</v>
      </c>
      <c r="Q2114" t="s">
        <v>26570</v>
      </c>
      <c r="R2114" t="s">
        <v>26586</v>
      </c>
      <c r="S2114" t="s">
        <v>18959</v>
      </c>
      <c r="U2114" t="s">
        <v>26604</v>
      </c>
      <c r="W2114" t="s">
        <v>583</v>
      </c>
      <c r="X2114">
        <v>981</v>
      </c>
      <c r="Y2114" t="s">
        <v>26652</v>
      </c>
      <c r="Z2114" t="s">
        <v>26662</v>
      </c>
      <c r="AA2114" t="s">
        <v>26683</v>
      </c>
      <c r="AB2114" t="s">
        <v>28572</v>
      </c>
      <c r="AC2114">
        <v>5824786</v>
      </c>
      <c r="AD2114" t="s">
        <v>38625</v>
      </c>
      <c r="AE2114">
        <v>16</v>
      </c>
      <c r="AG2114" t="s">
        <v>19330</v>
      </c>
      <c r="AH2114">
        <v>6</v>
      </c>
      <c r="AI2114">
        <v>7</v>
      </c>
      <c r="AJ2114">
        <v>0</v>
      </c>
      <c r="AK2114">
        <v>81.42</v>
      </c>
      <c r="AN2114" t="s">
        <v>7439</v>
      </c>
      <c r="AO2114">
        <v>30241.12</v>
      </c>
      <c r="AU2114">
        <v>3.75</v>
      </c>
      <c r="AV2114" t="s">
        <v>704</v>
      </c>
      <c r="AW2114" t="s">
        <v>281</v>
      </c>
    </row>
    <row r="2115" spans="1:50">
      <c r="A2115" s="1">
        <f>HYPERLINK("https://lsnyc.legalserver.org/matter/dynamic-profile/view/1858908","18-1858908")</f>
        <v>0</v>
      </c>
      <c r="B2115" t="s">
        <v>129</v>
      </c>
      <c r="C2115" t="s">
        <v>340</v>
      </c>
      <c r="D2115" t="s">
        <v>611</v>
      </c>
      <c r="F2115" t="s">
        <v>2100</v>
      </c>
      <c r="G2115" t="s">
        <v>5447</v>
      </c>
      <c r="H2115" t="s">
        <v>11373</v>
      </c>
      <c r="I2115">
        <v>12</v>
      </c>
      <c r="J2115" t="s">
        <v>18894</v>
      </c>
      <c r="K2115">
        <v>11215</v>
      </c>
      <c r="L2115" t="s">
        <v>18958</v>
      </c>
      <c r="M2115" t="s">
        <v>18958</v>
      </c>
      <c r="P2115" t="s">
        <v>26564</v>
      </c>
      <c r="R2115" t="s">
        <v>26586</v>
      </c>
      <c r="U2115" t="s">
        <v>26604</v>
      </c>
      <c r="W2115" t="s">
        <v>583</v>
      </c>
      <c r="X2115">
        <v>0</v>
      </c>
      <c r="Y2115" t="s">
        <v>26652</v>
      </c>
      <c r="Z2115" t="s">
        <v>26663</v>
      </c>
      <c r="AB2115" t="s">
        <v>28573</v>
      </c>
      <c r="AE2115">
        <v>0</v>
      </c>
      <c r="AH2115">
        <v>0</v>
      </c>
      <c r="AI2115">
        <v>1</v>
      </c>
      <c r="AJ2115">
        <v>0</v>
      </c>
      <c r="AK2115">
        <v>63.02</v>
      </c>
      <c r="AN2115" t="s">
        <v>45581</v>
      </c>
      <c r="AO2115">
        <v>7600</v>
      </c>
      <c r="AU2115">
        <v>0</v>
      </c>
      <c r="AW2115" t="s">
        <v>46851</v>
      </c>
    </row>
    <row r="2116" spans="1:50">
      <c r="A2116" s="1">
        <f>HYPERLINK("https://lsnyc.legalserver.org/matter/dynamic-profile/view/1858755","18-1858755")</f>
        <v>0</v>
      </c>
      <c r="B2116" t="s">
        <v>86</v>
      </c>
      <c r="C2116" t="s">
        <v>341</v>
      </c>
      <c r="D2116" t="s">
        <v>377</v>
      </c>
      <c r="E2116" t="s">
        <v>632</v>
      </c>
      <c r="F2116" t="s">
        <v>2101</v>
      </c>
      <c r="G2116" t="s">
        <v>5265</v>
      </c>
      <c r="H2116" t="s">
        <v>11374</v>
      </c>
      <c r="I2116">
        <v>55</v>
      </c>
      <c r="J2116" t="s">
        <v>18893</v>
      </c>
      <c r="K2116">
        <v>10031</v>
      </c>
      <c r="L2116" t="s">
        <v>18958</v>
      </c>
      <c r="M2116" t="s">
        <v>18958</v>
      </c>
      <c r="N2116" t="s">
        <v>20563</v>
      </c>
      <c r="O2116" t="s">
        <v>26526</v>
      </c>
      <c r="P2116" t="s">
        <v>26565</v>
      </c>
      <c r="Q2116" t="s">
        <v>26571</v>
      </c>
      <c r="R2116" t="s">
        <v>26582</v>
      </c>
      <c r="S2116" t="s">
        <v>18959</v>
      </c>
      <c r="T2116" t="s">
        <v>26600</v>
      </c>
      <c r="U2116" t="s">
        <v>26604</v>
      </c>
      <c r="W2116" t="s">
        <v>583</v>
      </c>
      <c r="X2116">
        <v>1142.46</v>
      </c>
      <c r="Y2116" t="s">
        <v>26651</v>
      </c>
      <c r="Z2116" t="s">
        <v>26659</v>
      </c>
      <c r="AA2116" t="s">
        <v>26683</v>
      </c>
      <c r="AB2116" t="s">
        <v>28574</v>
      </c>
      <c r="AD2116" t="s">
        <v>38626</v>
      </c>
      <c r="AE2116">
        <v>0</v>
      </c>
      <c r="AF2116" t="s">
        <v>20460</v>
      </c>
      <c r="AG2116" t="s">
        <v>19330</v>
      </c>
      <c r="AH2116">
        <v>36</v>
      </c>
      <c r="AI2116">
        <v>3</v>
      </c>
      <c r="AJ2116">
        <v>0</v>
      </c>
      <c r="AK2116">
        <v>122.82</v>
      </c>
      <c r="AN2116" t="s">
        <v>45581</v>
      </c>
      <c r="AO2116">
        <v>25080</v>
      </c>
      <c r="AU2116">
        <v>1.5</v>
      </c>
      <c r="AV2116" t="s">
        <v>386</v>
      </c>
      <c r="AW2116" t="s">
        <v>46838</v>
      </c>
    </row>
    <row r="2117" spans="1:50">
      <c r="A2117" s="1">
        <f>HYPERLINK("https://lsnyc.legalserver.org/matter/dynamic-profile/view/1860787","18-1860787")</f>
        <v>0</v>
      </c>
      <c r="B2117" t="s">
        <v>200</v>
      </c>
      <c r="C2117" t="s">
        <v>341</v>
      </c>
      <c r="D2117" t="s">
        <v>612</v>
      </c>
      <c r="E2117" t="s">
        <v>635</v>
      </c>
      <c r="F2117" t="s">
        <v>2102</v>
      </c>
      <c r="G2117" t="s">
        <v>5224</v>
      </c>
      <c r="H2117" t="s">
        <v>11375</v>
      </c>
      <c r="I2117" t="s">
        <v>17771</v>
      </c>
      <c r="J2117" t="s">
        <v>18894</v>
      </c>
      <c r="K2117">
        <v>11210</v>
      </c>
      <c r="L2117" t="s">
        <v>18958</v>
      </c>
      <c r="M2117" t="s">
        <v>18958</v>
      </c>
      <c r="O2117" t="s">
        <v>26526</v>
      </c>
      <c r="P2117" t="s">
        <v>26564</v>
      </c>
      <c r="Q2117" t="s">
        <v>26570</v>
      </c>
      <c r="R2117" t="s">
        <v>26586</v>
      </c>
      <c r="S2117" t="s">
        <v>18959</v>
      </c>
      <c r="U2117" t="s">
        <v>26605</v>
      </c>
      <c r="W2117" t="s">
        <v>583</v>
      </c>
      <c r="X2117">
        <v>219.6</v>
      </c>
      <c r="Y2117" t="s">
        <v>26652</v>
      </c>
      <c r="Z2117" t="s">
        <v>26661</v>
      </c>
      <c r="AA2117" t="s">
        <v>26683</v>
      </c>
      <c r="AB2117" t="s">
        <v>28575</v>
      </c>
      <c r="AD2117" t="s">
        <v>38627</v>
      </c>
      <c r="AE2117">
        <v>104</v>
      </c>
      <c r="AF2117" t="s">
        <v>45549</v>
      </c>
      <c r="AG2117" t="s">
        <v>19330</v>
      </c>
      <c r="AH2117">
        <v>36</v>
      </c>
      <c r="AI2117">
        <v>1</v>
      </c>
      <c r="AJ2117">
        <v>0</v>
      </c>
      <c r="AK2117">
        <v>39.34</v>
      </c>
      <c r="AN2117" t="s">
        <v>7439</v>
      </c>
      <c r="AO2117">
        <v>4776</v>
      </c>
      <c r="AU2117">
        <v>1.3</v>
      </c>
      <c r="AV2117" t="s">
        <v>460</v>
      </c>
      <c r="AW2117" t="s">
        <v>237</v>
      </c>
    </row>
    <row r="2118" spans="1:50">
      <c r="A2118" s="1">
        <f>HYPERLINK("https://lsnyc.legalserver.org/matter/dynamic-profile/view/1860824","18-1860824")</f>
        <v>0</v>
      </c>
      <c r="B2118" t="s">
        <v>114</v>
      </c>
      <c r="C2118" t="s">
        <v>341</v>
      </c>
      <c r="D2118" t="s">
        <v>612</v>
      </c>
      <c r="E2118" t="s">
        <v>697</v>
      </c>
      <c r="F2118" t="s">
        <v>1197</v>
      </c>
      <c r="G2118" t="s">
        <v>6284</v>
      </c>
      <c r="H2118" t="s">
        <v>11376</v>
      </c>
      <c r="I2118" t="s">
        <v>17772</v>
      </c>
      <c r="J2118" t="s">
        <v>18915</v>
      </c>
      <c r="K2118">
        <v>11372</v>
      </c>
      <c r="L2118" t="s">
        <v>18958</v>
      </c>
      <c r="M2118" t="s">
        <v>18958</v>
      </c>
      <c r="N2118" t="s">
        <v>19037</v>
      </c>
      <c r="O2118" t="s">
        <v>26531</v>
      </c>
      <c r="P2118" t="s">
        <v>26562</v>
      </c>
      <c r="Q2118" t="s">
        <v>26571</v>
      </c>
      <c r="R2118" t="s">
        <v>26578</v>
      </c>
      <c r="S2118" t="s">
        <v>18958</v>
      </c>
      <c r="U2118" t="s">
        <v>26607</v>
      </c>
      <c r="V2118" t="s">
        <v>26610</v>
      </c>
      <c r="W2118" t="s">
        <v>583</v>
      </c>
      <c r="X2118">
        <v>2350</v>
      </c>
      <c r="Y2118" t="s">
        <v>26653</v>
      </c>
      <c r="Z2118" t="s">
        <v>26670</v>
      </c>
      <c r="AA2118" t="s">
        <v>26681</v>
      </c>
      <c r="AB2118" t="s">
        <v>28576</v>
      </c>
      <c r="AC2118" t="s">
        <v>19045</v>
      </c>
      <c r="AD2118" t="s">
        <v>38628</v>
      </c>
      <c r="AE2118">
        <v>60</v>
      </c>
      <c r="AF2118" t="s">
        <v>20460</v>
      </c>
      <c r="AG2118" t="s">
        <v>19330</v>
      </c>
      <c r="AH2118">
        <v>11</v>
      </c>
      <c r="AI2118">
        <v>2</v>
      </c>
      <c r="AJ2118">
        <v>3</v>
      </c>
      <c r="AK2118">
        <v>203.94</v>
      </c>
      <c r="AL2118" t="s">
        <v>562</v>
      </c>
      <c r="AM2118" t="s">
        <v>45575</v>
      </c>
      <c r="AN2118" t="s">
        <v>7439</v>
      </c>
      <c r="AO2118">
        <v>60000</v>
      </c>
      <c r="AQ2118" t="s">
        <v>46359</v>
      </c>
      <c r="AR2118" t="s">
        <v>46379</v>
      </c>
      <c r="AS2118" t="s">
        <v>46499</v>
      </c>
      <c r="AT2118" t="s">
        <v>46577</v>
      </c>
      <c r="AU2118">
        <v>28.25</v>
      </c>
      <c r="AV2118" t="s">
        <v>511</v>
      </c>
      <c r="AW2118" t="s">
        <v>208</v>
      </c>
    </row>
    <row r="2119" spans="1:50">
      <c r="A2119" s="1">
        <f>HYPERLINK("https://lsnyc.legalserver.org/matter/dynamic-profile/view/1860948","18-1860948")</f>
        <v>0</v>
      </c>
      <c r="B2119" t="s">
        <v>200</v>
      </c>
      <c r="C2119" t="s">
        <v>341</v>
      </c>
      <c r="D2119" t="s">
        <v>613</v>
      </c>
      <c r="E2119" t="s">
        <v>635</v>
      </c>
      <c r="F2119" t="s">
        <v>2103</v>
      </c>
      <c r="G2119" t="s">
        <v>6285</v>
      </c>
      <c r="H2119" t="s">
        <v>11377</v>
      </c>
      <c r="I2119" t="s">
        <v>17649</v>
      </c>
      <c r="J2119" t="s">
        <v>18894</v>
      </c>
      <c r="K2119">
        <v>11207</v>
      </c>
      <c r="L2119" t="s">
        <v>18958</v>
      </c>
      <c r="M2119" t="s">
        <v>18958</v>
      </c>
      <c r="N2119" t="s">
        <v>20564</v>
      </c>
      <c r="O2119" t="s">
        <v>26526</v>
      </c>
      <c r="P2119" t="s">
        <v>26564</v>
      </c>
      <c r="Q2119" t="s">
        <v>26570</v>
      </c>
      <c r="R2119" t="s">
        <v>26586</v>
      </c>
      <c r="S2119" t="s">
        <v>18959</v>
      </c>
      <c r="U2119" t="s">
        <v>26605</v>
      </c>
      <c r="W2119" t="s">
        <v>583</v>
      </c>
      <c r="X2119">
        <v>298</v>
      </c>
      <c r="Y2119" t="s">
        <v>26652</v>
      </c>
      <c r="Z2119" t="s">
        <v>26655</v>
      </c>
      <c r="AA2119" t="s">
        <v>26683</v>
      </c>
      <c r="AB2119" t="s">
        <v>28577</v>
      </c>
      <c r="AD2119" t="s">
        <v>38629</v>
      </c>
      <c r="AE2119">
        <v>57</v>
      </c>
      <c r="AF2119" t="s">
        <v>45542</v>
      </c>
      <c r="AG2119" t="s">
        <v>45556</v>
      </c>
      <c r="AH2119">
        <v>2</v>
      </c>
      <c r="AI2119">
        <v>1</v>
      </c>
      <c r="AJ2119">
        <v>5</v>
      </c>
      <c r="AK2119">
        <v>47.3</v>
      </c>
      <c r="AN2119" t="s">
        <v>7439</v>
      </c>
      <c r="AO2119">
        <v>15960</v>
      </c>
      <c r="AU2119">
        <v>0.5</v>
      </c>
      <c r="AV2119" t="s">
        <v>460</v>
      </c>
      <c r="AW2119" t="s">
        <v>237</v>
      </c>
    </row>
    <row r="2120" spans="1:50">
      <c r="A2120" s="1">
        <f>HYPERLINK("https://lsnyc.legalserver.org/matter/dynamic-profile/view/1861584","18-1861584")</f>
        <v>0</v>
      </c>
      <c r="B2120" t="s">
        <v>171</v>
      </c>
      <c r="C2120" t="s">
        <v>341</v>
      </c>
      <c r="D2120" t="s">
        <v>485</v>
      </c>
      <c r="E2120" t="s">
        <v>606</v>
      </c>
      <c r="F2120" t="s">
        <v>2104</v>
      </c>
      <c r="G2120" t="s">
        <v>6286</v>
      </c>
      <c r="H2120" t="s">
        <v>11378</v>
      </c>
      <c r="I2120">
        <v>42</v>
      </c>
      <c r="J2120" t="s">
        <v>18893</v>
      </c>
      <c r="K2120">
        <v>10039</v>
      </c>
      <c r="L2120" t="s">
        <v>18958</v>
      </c>
      <c r="M2120" t="s">
        <v>18958</v>
      </c>
      <c r="N2120" t="s">
        <v>20565</v>
      </c>
      <c r="O2120" t="s">
        <v>26524</v>
      </c>
      <c r="P2120" t="s">
        <v>26564</v>
      </c>
      <c r="Q2120" t="s">
        <v>26570</v>
      </c>
      <c r="R2120" t="s">
        <v>26582</v>
      </c>
      <c r="U2120" t="s">
        <v>26604</v>
      </c>
      <c r="W2120" t="s">
        <v>583</v>
      </c>
      <c r="X2120">
        <v>900</v>
      </c>
      <c r="Y2120" t="s">
        <v>26651</v>
      </c>
      <c r="Z2120" t="s">
        <v>26664</v>
      </c>
      <c r="AA2120" t="s">
        <v>26683</v>
      </c>
      <c r="AB2120" t="s">
        <v>28578</v>
      </c>
      <c r="AD2120" t="s">
        <v>38630</v>
      </c>
      <c r="AE2120">
        <v>0</v>
      </c>
      <c r="AF2120" t="s">
        <v>45553</v>
      </c>
      <c r="AG2120" t="s">
        <v>19330</v>
      </c>
      <c r="AH2120">
        <v>2</v>
      </c>
      <c r="AI2120">
        <v>1</v>
      </c>
      <c r="AJ2120">
        <v>0</v>
      </c>
      <c r="AK2120">
        <v>0</v>
      </c>
      <c r="AN2120" t="s">
        <v>7439</v>
      </c>
      <c r="AO2120">
        <v>0</v>
      </c>
      <c r="AU2120">
        <v>2.8</v>
      </c>
      <c r="AV2120" t="s">
        <v>386</v>
      </c>
      <c r="AW2120" t="s">
        <v>314</v>
      </c>
    </row>
    <row r="2121" spans="1:50">
      <c r="A2121" s="1">
        <f>HYPERLINK("https://lsnyc.legalserver.org/matter/dynamic-profile/view/1862983","18-1862983")</f>
        <v>0</v>
      </c>
      <c r="B2121" t="s">
        <v>240</v>
      </c>
      <c r="C2121" t="s">
        <v>340</v>
      </c>
      <c r="D2121" t="s">
        <v>382</v>
      </c>
      <c r="F2121" t="s">
        <v>2105</v>
      </c>
      <c r="G2121" t="s">
        <v>6287</v>
      </c>
      <c r="H2121" t="s">
        <v>10800</v>
      </c>
      <c r="I2121" t="s">
        <v>17275</v>
      </c>
      <c r="J2121" t="s">
        <v>18894</v>
      </c>
      <c r="K2121">
        <v>11225</v>
      </c>
      <c r="L2121" t="s">
        <v>18958</v>
      </c>
      <c r="M2121" t="s">
        <v>18958</v>
      </c>
      <c r="O2121" t="s">
        <v>26526</v>
      </c>
      <c r="P2121" t="s">
        <v>26560</v>
      </c>
      <c r="R2121" t="s">
        <v>26586</v>
      </c>
      <c r="S2121" t="s">
        <v>18958</v>
      </c>
      <c r="T2121" t="s">
        <v>26601</v>
      </c>
      <c r="U2121" t="s">
        <v>26604</v>
      </c>
      <c r="W2121" t="s">
        <v>583</v>
      </c>
      <c r="X2121">
        <v>1654</v>
      </c>
      <c r="Y2121" t="s">
        <v>26652</v>
      </c>
      <c r="Z2121" t="s">
        <v>26663</v>
      </c>
      <c r="AB2121" t="s">
        <v>28579</v>
      </c>
      <c r="AD2121" t="s">
        <v>38631</v>
      </c>
      <c r="AE2121">
        <v>0</v>
      </c>
      <c r="AF2121" t="s">
        <v>45541</v>
      </c>
      <c r="AG2121" t="s">
        <v>19330</v>
      </c>
      <c r="AH2121">
        <v>5</v>
      </c>
      <c r="AI2121">
        <v>2</v>
      </c>
      <c r="AJ2121">
        <v>0</v>
      </c>
      <c r="AK2121">
        <v>127.58</v>
      </c>
      <c r="AN2121" t="s">
        <v>7439</v>
      </c>
      <c r="AO2121">
        <v>21000</v>
      </c>
      <c r="AU2121">
        <v>1</v>
      </c>
      <c r="AV2121" t="s">
        <v>562</v>
      </c>
      <c r="AW2121" t="s">
        <v>237</v>
      </c>
    </row>
    <row r="2122" spans="1:50">
      <c r="A2122" s="1">
        <f>HYPERLINK("https://lsnyc.legalserver.org/matter/dynamic-profile/view/1863132","18-1863132")</f>
        <v>0</v>
      </c>
      <c r="B2122" t="s">
        <v>171</v>
      </c>
      <c r="C2122" t="s">
        <v>341</v>
      </c>
      <c r="D2122" t="s">
        <v>538</v>
      </c>
      <c r="E2122" t="s">
        <v>675</v>
      </c>
      <c r="F2122" t="s">
        <v>2094</v>
      </c>
      <c r="G2122" t="s">
        <v>1146</v>
      </c>
      <c r="H2122" t="s">
        <v>11379</v>
      </c>
      <c r="I2122" t="s">
        <v>17355</v>
      </c>
      <c r="J2122" t="s">
        <v>18893</v>
      </c>
      <c r="K2122">
        <v>10039</v>
      </c>
      <c r="L2122" t="s">
        <v>18958</v>
      </c>
      <c r="M2122" t="s">
        <v>18960</v>
      </c>
      <c r="O2122" t="s">
        <v>18997</v>
      </c>
      <c r="P2122" t="s">
        <v>26564</v>
      </c>
      <c r="Q2122" t="s">
        <v>26570</v>
      </c>
      <c r="R2122" t="s">
        <v>26582</v>
      </c>
      <c r="U2122" t="s">
        <v>26604</v>
      </c>
      <c r="W2122" t="s">
        <v>583</v>
      </c>
      <c r="X2122">
        <v>3020.06</v>
      </c>
      <c r="Y2122" t="s">
        <v>26651</v>
      </c>
      <c r="Z2122" t="s">
        <v>26661</v>
      </c>
      <c r="AA2122" t="s">
        <v>26683</v>
      </c>
      <c r="AB2122" t="s">
        <v>28580</v>
      </c>
      <c r="AD2122" t="s">
        <v>38632</v>
      </c>
      <c r="AE2122">
        <v>0</v>
      </c>
      <c r="AG2122" t="s">
        <v>45559</v>
      </c>
      <c r="AH2122">
        <v>12</v>
      </c>
      <c r="AI2122">
        <v>2</v>
      </c>
      <c r="AJ2122">
        <v>0</v>
      </c>
      <c r="AK2122">
        <v>119.32</v>
      </c>
      <c r="AN2122" t="s">
        <v>7439</v>
      </c>
      <c r="AO2122">
        <v>19640</v>
      </c>
      <c r="AU2122">
        <v>0.5</v>
      </c>
      <c r="AV2122" t="s">
        <v>675</v>
      </c>
      <c r="AW2122" t="s">
        <v>46845</v>
      </c>
    </row>
    <row r="2123" spans="1:50">
      <c r="A2123" s="1">
        <f>HYPERLINK("https://lsnyc.legalserver.org/matter/dynamic-profile/view/1865707","18-1865707")</f>
        <v>0</v>
      </c>
      <c r="B2123" t="s">
        <v>257</v>
      </c>
      <c r="C2123" t="s">
        <v>341</v>
      </c>
      <c r="D2123" t="s">
        <v>384</v>
      </c>
      <c r="E2123" t="s">
        <v>637</v>
      </c>
      <c r="F2123" t="s">
        <v>968</v>
      </c>
      <c r="G2123" t="s">
        <v>6288</v>
      </c>
      <c r="H2123" t="s">
        <v>11380</v>
      </c>
      <c r="I2123" t="s">
        <v>17349</v>
      </c>
      <c r="J2123" t="s">
        <v>18894</v>
      </c>
      <c r="K2123">
        <v>11223</v>
      </c>
      <c r="L2123" t="s">
        <v>18958</v>
      </c>
      <c r="M2123" t="s">
        <v>18958</v>
      </c>
      <c r="N2123" t="s">
        <v>20566</v>
      </c>
      <c r="O2123" t="s">
        <v>26523</v>
      </c>
      <c r="P2123" t="s">
        <v>26560</v>
      </c>
      <c r="Q2123" t="s">
        <v>26568</v>
      </c>
      <c r="R2123" t="s">
        <v>26586</v>
      </c>
      <c r="S2123" t="s">
        <v>18959</v>
      </c>
      <c r="U2123" t="s">
        <v>26605</v>
      </c>
      <c r="W2123" t="s">
        <v>583</v>
      </c>
      <c r="X2123">
        <v>1275</v>
      </c>
      <c r="Y2123" t="s">
        <v>26652</v>
      </c>
      <c r="Z2123" t="s">
        <v>26530</v>
      </c>
      <c r="AA2123" t="s">
        <v>26680</v>
      </c>
      <c r="AB2123" t="s">
        <v>28581</v>
      </c>
      <c r="AD2123" t="s">
        <v>38633</v>
      </c>
      <c r="AE2123">
        <v>56</v>
      </c>
      <c r="AF2123" t="s">
        <v>45549</v>
      </c>
      <c r="AG2123" t="s">
        <v>26530</v>
      </c>
      <c r="AH2123">
        <v>1</v>
      </c>
      <c r="AI2123">
        <v>1</v>
      </c>
      <c r="AJ2123">
        <v>0</v>
      </c>
      <c r="AK2123">
        <v>60.21</v>
      </c>
      <c r="AN2123" t="s">
        <v>7439</v>
      </c>
      <c r="AO2123">
        <v>7309.8</v>
      </c>
      <c r="AQ2123" t="s">
        <v>46359</v>
      </c>
      <c r="AR2123" t="s">
        <v>26530</v>
      </c>
      <c r="AS2123" t="s">
        <v>46499</v>
      </c>
      <c r="AT2123" t="s">
        <v>46633</v>
      </c>
      <c r="AU2123">
        <v>18.3</v>
      </c>
      <c r="AV2123" t="s">
        <v>427</v>
      </c>
      <c r="AW2123" t="s">
        <v>46841</v>
      </c>
      <c r="AX2123" t="s">
        <v>46897</v>
      </c>
    </row>
    <row r="2124" spans="1:50">
      <c r="A2124" s="1">
        <f>HYPERLINK("https://lsnyc.legalserver.org/matter/dynamic-profile/view/1866417","18-1866417")</f>
        <v>0</v>
      </c>
      <c r="B2124" t="s">
        <v>151</v>
      </c>
      <c r="C2124" t="s">
        <v>340</v>
      </c>
      <c r="D2124" t="s">
        <v>491</v>
      </c>
      <c r="F2124" t="s">
        <v>2106</v>
      </c>
      <c r="G2124" t="s">
        <v>5677</v>
      </c>
      <c r="H2124" t="s">
        <v>11381</v>
      </c>
      <c r="I2124" t="s">
        <v>17366</v>
      </c>
      <c r="J2124" t="s">
        <v>18893</v>
      </c>
      <c r="K2124">
        <v>10027</v>
      </c>
      <c r="L2124" t="s">
        <v>18958</v>
      </c>
      <c r="M2124" t="s">
        <v>18958</v>
      </c>
      <c r="N2124" t="s">
        <v>20567</v>
      </c>
      <c r="O2124" t="s">
        <v>26523</v>
      </c>
      <c r="P2124" t="s">
        <v>26560</v>
      </c>
      <c r="R2124" t="s">
        <v>26580</v>
      </c>
      <c r="U2124" t="s">
        <v>26604</v>
      </c>
      <c r="V2124" t="s">
        <v>26610</v>
      </c>
      <c r="W2124" t="s">
        <v>583</v>
      </c>
      <c r="X2124">
        <v>953.35</v>
      </c>
      <c r="Y2124" t="s">
        <v>26651</v>
      </c>
      <c r="Z2124" t="s">
        <v>26661</v>
      </c>
      <c r="AB2124" t="s">
        <v>27876</v>
      </c>
      <c r="AD2124" t="s">
        <v>38634</v>
      </c>
      <c r="AE2124">
        <v>0</v>
      </c>
      <c r="AF2124" t="s">
        <v>45541</v>
      </c>
      <c r="AH2124">
        <v>29</v>
      </c>
      <c r="AI2124">
        <v>1</v>
      </c>
      <c r="AJ2124">
        <v>0</v>
      </c>
      <c r="AK2124">
        <v>98.84999999999999</v>
      </c>
      <c r="AN2124" t="s">
        <v>7439</v>
      </c>
      <c r="AO2124">
        <v>12000</v>
      </c>
      <c r="AU2124">
        <v>8.85</v>
      </c>
      <c r="AV2124" t="s">
        <v>517</v>
      </c>
      <c r="AW2124" t="s">
        <v>46838</v>
      </c>
    </row>
    <row r="2125" spans="1:50">
      <c r="A2125" s="1">
        <f>HYPERLINK("https://lsnyc.legalserver.org/matter/dynamic-profile/view/1867468","18-1867468")</f>
        <v>0</v>
      </c>
      <c r="B2125" t="s">
        <v>179</v>
      </c>
      <c r="C2125" t="s">
        <v>341</v>
      </c>
      <c r="D2125" t="s">
        <v>389</v>
      </c>
      <c r="E2125" t="s">
        <v>723</v>
      </c>
      <c r="F2125" t="s">
        <v>893</v>
      </c>
      <c r="G2125" t="s">
        <v>6289</v>
      </c>
      <c r="H2125" t="s">
        <v>11382</v>
      </c>
      <c r="I2125" t="s">
        <v>17700</v>
      </c>
      <c r="J2125" t="s">
        <v>18894</v>
      </c>
      <c r="K2125">
        <v>11207</v>
      </c>
      <c r="L2125" t="s">
        <v>18958</v>
      </c>
      <c r="M2125" t="s">
        <v>18958</v>
      </c>
      <c r="N2125" t="s">
        <v>20568</v>
      </c>
      <c r="O2125" t="s">
        <v>26525</v>
      </c>
      <c r="P2125" t="s">
        <v>26561</v>
      </c>
      <c r="Q2125" t="s">
        <v>26568</v>
      </c>
      <c r="R2125" t="s">
        <v>26586</v>
      </c>
      <c r="U2125" t="s">
        <v>26605</v>
      </c>
      <c r="W2125" t="s">
        <v>583</v>
      </c>
      <c r="X2125">
        <v>0</v>
      </c>
      <c r="Y2125" t="s">
        <v>26652</v>
      </c>
      <c r="Z2125" t="s">
        <v>26659</v>
      </c>
      <c r="AA2125" t="s">
        <v>26680</v>
      </c>
      <c r="AB2125" t="s">
        <v>28582</v>
      </c>
      <c r="AD2125" t="s">
        <v>38635</v>
      </c>
      <c r="AE2125">
        <v>0</v>
      </c>
      <c r="AH2125">
        <v>1</v>
      </c>
      <c r="AI2125">
        <v>1</v>
      </c>
      <c r="AJ2125">
        <v>0</v>
      </c>
      <c r="AK2125">
        <v>71.66</v>
      </c>
      <c r="AN2125" t="s">
        <v>7439</v>
      </c>
      <c r="AO2125">
        <v>8700</v>
      </c>
      <c r="AS2125" t="s">
        <v>46499</v>
      </c>
      <c r="AT2125" t="s">
        <v>46734</v>
      </c>
      <c r="AU2125">
        <v>37.3</v>
      </c>
      <c r="AV2125" t="s">
        <v>758</v>
      </c>
      <c r="AW2125" t="s">
        <v>46853</v>
      </c>
    </row>
    <row r="2126" spans="1:50">
      <c r="A2126" s="1">
        <f>HYPERLINK("https://lsnyc.legalserver.org/matter/dynamic-profile/view/1867476","18-1867476")</f>
        <v>0</v>
      </c>
      <c r="B2126" t="s">
        <v>173</v>
      </c>
      <c r="C2126" t="s">
        <v>341</v>
      </c>
      <c r="D2126" t="s">
        <v>389</v>
      </c>
      <c r="E2126" t="s">
        <v>667</v>
      </c>
      <c r="F2126" t="s">
        <v>893</v>
      </c>
      <c r="G2126" t="s">
        <v>6290</v>
      </c>
      <c r="H2126" t="s">
        <v>11383</v>
      </c>
      <c r="I2126" t="s">
        <v>17480</v>
      </c>
      <c r="J2126" t="s">
        <v>18893</v>
      </c>
      <c r="K2126">
        <v>10003</v>
      </c>
      <c r="L2126" t="s">
        <v>18958</v>
      </c>
      <c r="M2126" t="s">
        <v>18958</v>
      </c>
      <c r="N2126" t="s">
        <v>20569</v>
      </c>
      <c r="O2126" t="s">
        <v>26523</v>
      </c>
      <c r="P2126" t="s">
        <v>26564</v>
      </c>
      <c r="Q2126" t="s">
        <v>26570</v>
      </c>
      <c r="R2126" t="s">
        <v>26582</v>
      </c>
      <c r="S2126" t="s">
        <v>18959</v>
      </c>
      <c r="U2126" t="s">
        <v>26604</v>
      </c>
      <c r="W2126" t="s">
        <v>583</v>
      </c>
      <c r="X2126">
        <v>2738</v>
      </c>
      <c r="Y2126" t="s">
        <v>26651</v>
      </c>
      <c r="Z2126" t="s">
        <v>26664</v>
      </c>
      <c r="AA2126" t="s">
        <v>26683</v>
      </c>
      <c r="AB2126" t="s">
        <v>28583</v>
      </c>
      <c r="AD2126" t="s">
        <v>38636</v>
      </c>
      <c r="AE2126">
        <v>72</v>
      </c>
      <c r="AF2126" t="s">
        <v>45547</v>
      </c>
      <c r="AG2126" t="s">
        <v>19330</v>
      </c>
      <c r="AH2126">
        <v>3</v>
      </c>
      <c r="AI2126">
        <v>1</v>
      </c>
      <c r="AJ2126">
        <v>0</v>
      </c>
      <c r="AK2126">
        <v>40.26</v>
      </c>
      <c r="AN2126" t="s">
        <v>7439</v>
      </c>
      <c r="AO2126">
        <v>4888</v>
      </c>
      <c r="AU2126">
        <v>0.1</v>
      </c>
      <c r="AV2126" t="s">
        <v>667</v>
      </c>
      <c r="AW2126" t="s">
        <v>314</v>
      </c>
    </row>
    <row r="2127" spans="1:50">
      <c r="A2127" s="1">
        <f>HYPERLINK("https://lsnyc.legalserver.org/matter/dynamic-profile/view/1867506","18-1867506")</f>
        <v>0</v>
      </c>
      <c r="B2127" t="s">
        <v>173</v>
      </c>
      <c r="C2127" t="s">
        <v>341</v>
      </c>
      <c r="D2127" t="s">
        <v>389</v>
      </c>
      <c r="E2127" t="s">
        <v>667</v>
      </c>
      <c r="F2127" t="s">
        <v>2107</v>
      </c>
      <c r="G2127" t="s">
        <v>4256</v>
      </c>
      <c r="H2127" t="s">
        <v>11384</v>
      </c>
      <c r="I2127">
        <v>517</v>
      </c>
      <c r="J2127" t="s">
        <v>18893</v>
      </c>
      <c r="K2127">
        <v>10036</v>
      </c>
      <c r="L2127" t="s">
        <v>18958</v>
      </c>
      <c r="M2127" t="s">
        <v>18958</v>
      </c>
      <c r="N2127" t="s">
        <v>20570</v>
      </c>
      <c r="O2127" t="s">
        <v>26523</v>
      </c>
      <c r="P2127" t="s">
        <v>26564</v>
      </c>
      <c r="Q2127" t="s">
        <v>26570</v>
      </c>
      <c r="R2127" t="s">
        <v>26582</v>
      </c>
      <c r="S2127" t="s">
        <v>18959</v>
      </c>
      <c r="U2127" t="s">
        <v>26604</v>
      </c>
      <c r="W2127" t="s">
        <v>583</v>
      </c>
      <c r="X2127">
        <v>1249</v>
      </c>
      <c r="Y2127" t="s">
        <v>26651</v>
      </c>
      <c r="Z2127" t="s">
        <v>26664</v>
      </c>
      <c r="AA2127" t="s">
        <v>26683</v>
      </c>
      <c r="AB2127" t="s">
        <v>28584</v>
      </c>
      <c r="AD2127" t="s">
        <v>38637</v>
      </c>
      <c r="AE2127">
        <v>656</v>
      </c>
      <c r="AF2127" t="s">
        <v>45544</v>
      </c>
      <c r="AG2127" t="s">
        <v>45556</v>
      </c>
      <c r="AH2127">
        <v>10</v>
      </c>
      <c r="AI2127">
        <v>1</v>
      </c>
      <c r="AJ2127">
        <v>0</v>
      </c>
      <c r="AK2127">
        <v>74.14</v>
      </c>
      <c r="AN2127" t="s">
        <v>7439</v>
      </c>
      <c r="AO2127">
        <v>9000</v>
      </c>
      <c r="AU2127">
        <v>0.1</v>
      </c>
      <c r="AV2127" t="s">
        <v>667</v>
      </c>
      <c r="AW2127" t="s">
        <v>76</v>
      </c>
    </row>
    <row r="2128" spans="1:50">
      <c r="A2128" s="1">
        <f>HYPERLINK("https://lsnyc.legalserver.org/matter/dynamic-profile/view/1869582","18-1869582")</f>
        <v>0</v>
      </c>
      <c r="B2128" t="s">
        <v>201</v>
      </c>
      <c r="C2128" t="s">
        <v>341</v>
      </c>
      <c r="D2128" t="s">
        <v>514</v>
      </c>
      <c r="E2128" t="s">
        <v>412</v>
      </c>
      <c r="F2128" t="s">
        <v>879</v>
      </c>
      <c r="G2128" t="s">
        <v>6291</v>
      </c>
      <c r="H2128" t="s">
        <v>11385</v>
      </c>
      <c r="I2128" t="s">
        <v>17773</v>
      </c>
      <c r="J2128" t="s">
        <v>18894</v>
      </c>
      <c r="K2128">
        <v>11216</v>
      </c>
      <c r="L2128" t="s">
        <v>18958</v>
      </c>
      <c r="M2128" t="s">
        <v>18958</v>
      </c>
      <c r="N2128" t="s">
        <v>20571</v>
      </c>
      <c r="O2128" t="s">
        <v>26523</v>
      </c>
      <c r="P2128" t="s">
        <v>26560</v>
      </c>
      <c r="Q2128" t="s">
        <v>26568</v>
      </c>
      <c r="R2128" t="s">
        <v>26588</v>
      </c>
      <c r="U2128" t="s">
        <v>26604</v>
      </c>
      <c r="W2128" t="s">
        <v>583</v>
      </c>
      <c r="X2128">
        <v>999.16</v>
      </c>
      <c r="Y2128" t="s">
        <v>26652</v>
      </c>
      <c r="Z2128" t="s">
        <v>26659</v>
      </c>
      <c r="AA2128" t="s">
        <v>26678</v>
      </c>
      <c r="AB2128" t="s">
        <v>28585</v>
      </c>
      <c r="AC2128" t="s">
        <v>35136</v>
      </c>
      <c r="AD2128" t="s">
        <v>38638</v>
      </c>
      <c r="AE2128">
        <v>8</v>
      </c>
      <c r="AF2128" t="s">
        <v>45541</v>
      </c>
      <c r="AH2128">
        <v>18</v>
      </c>
      <c r="AI2128">
        <v>1</v>
      </c>
      <c r="AJ2128">
        <v>0</v>
      </c>
      <c r="AK2128">
        <v>79.08</v>
      </c>
      <c r="AN2128" t="s">
        <v>7439</v>
      </c>
      <c r="AO2128">
        <v>9600</v>
      </c>
      <c r="AQ2128" t="s">
        <v>46359</v>
      </c>
      <c r="AR2128" t="s">
        <v>46381</v>
      </c>
      <c r="AS2128" t="s">
        <v>46499</v>
      </c>
      <c r="AT2128" t="s">
        <v>46696</v>
      </c>
      <c r="AU2128">
        <v>14.9</v>
      </c>
      <c r="AV2128" t="s">
        <v>412</v>
      </c>
      <c r="AW2128" t="s">
        <v>323</v>
      </c>
    </row>
    <row r="2129" spans="1:50">
      <c r="A2129" s="1">
        <f>HYPERLINK("https://lsnyc.legalserver.org/matter/dynamic-profile/view/1869876","18-1869876")</f>
        <v>0</v>
      </c>
      <c r="B2129" t="s">
        <v>151</v>
      </c>
      <c r="C2129" t="s">
        <v>341</v>
      </c>
      <c r="D2129" t="s">
        <v>399</v>
      </c>
      <c r="E2129" t="s">
        <v>631</v>
      </c>
      <c r="F2129" t="s">
        <v>2108</v>
      </c>
      <c r="G2129" t="s">
        <v>5189</v>
      </c>
      <c r="H2129" t="s">
        <v>11193</v>
      </c>
      <c r="I2129" t="s">
        <v>17289</v>
      </c>
      <c r="J2129" t="s">
        <v>18893</v>
      </c>
      <c r="K2129">
        <v>10009</v>
      </c>
      <c r="L2129" t="s">
        <v>18958</v>
      </c>
      <c r="M2129" t="s">
        <v>18958</v>
      </c>
      <c r="N2129" t="s">
        <v>20572</v>
      </c>
      <c r="O2129" t="s">
        <v>26524</v>
      </c>
      <c r="P2129" t="s">
        <v>26564</v>
      </c>
      <c r="Q2129" t="s">
        <v>26570</v>
      </c>
      <c r="R2129" t="s">
        <v>26582</v>
      </c>
      <c r="S2129" t="s">
        <v>18959</v>
      </c>
      <c r="U2129" t="s">
        <v>26605</v>
      </c>
      <c r="W2129" t="s">
        <v>583</v>
      </c>
      <c r="X2129">
        <v>215</v>
      </c>
      <c r="Y2129" t="s">
        <v>26651</v>
      </c>
      <c r="Z2129" t="s">
        <v>26664</v>
      </c>
      <c r="AA2129" t="s">
        <v>26683</v>
      </c>
      <c r="AB2129" t="s">
        <v>28586</v>
      </c>
      <c r="AC2129" t="s">
        <v>35137</v>
      </c>
      <c r="AE2129">
        <v>0</v>
      </c>
      <c r="AF2129" t="s">
        <v>45549</v>
      </c>
      <c r="AG2129" t="s">
        <v>19330</v>
      </c>
      <c r="AH2129">
        <v>3</v>
      </c>
      <c r="AI2129">
        <v>1</v>
      </c>
      <c r="AJ2129">
        <v>0</v>
      </c>
      <c r="AK2129">
        <v>191.68</v>
      </c>
      <c r="AN2129" t="s">
        <v>7439</v>
      </c>
      <c r="AO2129">
        <v>23270</v>
      </c>
      <c r="AU2129">
        <v>2.75</v>
      </c>
      <c r="AV2129" t="s">
        <v>599</v>
      </c>
      <c r="AW2129" t="s">
        <v>314</v>
      </c>
    </row>
    <row r="2130" spans="1:50">
      <c r="A2130" s="1">
        <f>HYPERLINK("https://lsnyc.legalserver.org/matter/dynamic-profile/view/1869854","18-1869854")</f>
        <v>0</v>
      </c>
      <c r="B2130" t="s">
        <v>173</v>
      </c>
      <c r="C2130" t="s">
        <v>341</v>
      </c>
      <c r="D2130" t="s">
        <v>399</v>
      </c>
      <c r="E2130" t="s">
        <v>667</v>
      </c>
      <c r="F2130" t="s">
        <v>2109</v>
      </c>
      <c r="G2130" t="s">
        <v>5483</v>
      </c>
      <c r="H2130" t="s">
        <v>11386</v>
      </c>
      <c r="I2130" t="s">
        <v>17366</v>
      </c>
      <c r="J2130" t="s">
        <v>18893</v>
      </c>
      <c r="K2130">
        <v>10031</v>
      </c>
      <c r="L2130" t="s">
        <v>18958</v>
      </c>
      <c r="M2130" t="s">
        <v>18958</v>
      </c>
      <c r="N2130" t="s">
        <v>20573</v>
      </c>
      <c r="O2130" t="s">
        <v>26523</v>
      </c>
      <c r="P2130" t="s">
        <v>26564</v>
      </c>
      <c r="Q2130" t="s">
        <v>26570</v>
      </c>
      <c r="R2130" t="s">
        <v>26580</v>
      </c>
      <c r="S2130" t="s">
        <v>18959</v>
      </c>
      <c r="U2130" t="s">
        <v>26604</v>
      </c>
      <c r="W2130" t="s">
        <v>583</v>
      </c>
      <c r="X2130">
        <v>1298</v>
      </c>
      <c r="Y2130" t="s">
        <v>26651</v>
      </c>
      <c r="Z2130" t="s">
        <v>26664</v>
      </c>
      <c r="AA2130" t="s">
        <v>26683</v>
      </c>
      <c r="AB2130" t="s">
        <v>27909</v>
      </c>
      <c r="AD2130" t="s">
        <v>38639</v>
      </c>
      <c r="AE2130">
        <v>23</v>
      </c>
      <c r="AF2130" t="s">
        <v>20460</v>
      </c>
      <c r="AG2130" t="s">
        <v>45562</v>
      </c>
      <c r="AH2130">
        <v>3</v>
      </c>
      <c r="AI2130">
        <v>1</v>
      </c>
      <c r="AJ2130">
        <v>2</v>
      </c>
      <c r="AK2130">
        <v>50.36</v>
      </c>
      <c r="AN2130" t="s">
        <v>7439</v>
      </c>
      <c r="AO2130">
        <v>10464</v>
      </c>
      <c r="AU2130">
        <v>0.1</v>
      </c>
      <c r="AV2130" t="s">
        <v>667</v>
      </c>
      <c r="AW2130" t="s">
        <v>314</v>
      </c>
    </row>
    <row r="2131" spans="1:50">
      <c r="A2131" s="1">
        <f>HYPERLINK("https://lsnyc.legalserver.org/matter/dynamic-profile/view/1870205","18-1870205")</f>
        <v>0</v>
      </c>
      <c r="B2131" t="s">
        <v>135</v>
      </c>
      <c r="C2131" t="s">
        <v>340</v>
      </c>
      <c r="D2131" t="s">
        <v>443</v>
      </c>
      <c r="F2131" t="s">
        <v>1048</v>
      </c>
      <c r="G2131" t="s">
        <v>5864</v>
      </c>
      <c r="H2131" t="s">
        <v>11387</v>
      </c>
      <c r="I2131">
        <v>5</v>
      </c>
      <c r="J2131" t="s">
        <v>18892</v>
      </c>
      <c r="K2131">
        <v>10452</v>
      </c>
      <c r="L2131" t="s">
        <v>18958</v>
      </c>
      <c r="M2131" t="s">
        <v>18958</v>
      </c>
      <c r="N2131" t="s">
        <v>20574</v>
      </c>
      <c r="O2131" t="s">
        <v>26542</v>
      </c>
      <c r="P2131" t="s">
        <v>26561</v>
      </c>
      <c r="R2131" t="s">
        <v>26578</v>
      </c>
      <c r="S2131" t="s">
        <v>18959</v>
      </c>
      <c r="U2131" t="s">
        <v>26604</v>
      </c>
      <c r="V2131" t="s">
        <v>26610</v>
      </c>
      <c r="W2131" t="s">
        <v>583</v>
      </c>
      <c r="X2131">
        <v>1396.61</v>
      </c>
      <c r="Y2131" t="s">
        <v>26650</v>
      </c>
      <c r="Z2131" t="s">
        <v>26659</v>
      </c>
      <c r="AB2131" t="s">
        <v>28587</v>
      </c>
      <c r="AC2131" t="s">
        <v>35138</v>
      </c>
      <c r="AD2131" t="s">
        <v>38640</v>
      </c>
      <c r="AE2131">
        <v>35</v>
      </c>
      <c r="AF2131" t="s">
        <v>20460</v>
      </c>
      <c r="AG2131" t="s">
        <v>45556</v>
      </c>
      <c r="AH2131">
        <v>18</v>
      </c>
      <c r="AI2131">
        <v>1</v>
      </c>
      <c r="AJ2131">
        <v>1</v>
      </c>
      <c r="AK2131">
        <v>66.93000000000001</v>
      </c>
      <c r="AN2131" t="s">
        <v>7439</v>
      </c>
      <c r="AO2131">
        <v>11016</v>
      </c>
      <c r="AU2131">
        <v>12.9</v>
      </c>
      <c r="AV2131" t="s">
        <v>740</v>
      </c>
      <c r="AW2131" t="s">
        <v>46829</v>
      </c>
    </row>
    <row r="2132" spans="1:50">
      <c r="A2132" s="1">
        <f>HYPERLINK("https://lsnyc.legalserver.org/matter/dynamic-profile/view/1871165","18-1871165")</f>
        <v>0</v>
      </c>
      <c r="B2132" t="s">
        <v>151</v>
      </c>
      <c r="C2132" t="s">
        <v>341</v>
      </c>
      <c r="D2132" t="s">
        <v>405</v>
      </c>
      <c r="E2132" t="s">
        <v>631</v>
      </c>
      <c r="F2132" t="s">
        <v>2110</v>
      </c>
      <c r="G2132" t="s">
        <v>5199</v>
      </c>
      <c r="H2132" t="s">
        <v>11388</v>
      </c>
      <c r="I2132">
        <v>68</v>
      </c>
      <c r="J2132" t="s">
        <v>18893</v>
      </c>
      <c r="K2132">
        <v>10027</v>
      </c>
      <c r="L2132" t="s">
        <v>18958</v>
      </c>
      <c r="M2132" t="s">
        <v>18958</v>
      </c>
      <c r="N2132" t="s">
        <v>20575</v>
      </c>
      <c r="O2132" t="s">
        <v>26523</v>
      </c>
      <c r="P2132" t="s">
        <v>26564</v>
      </c>
      <c r="Q2132" t="s">
        <v>26570</v>
      </c>
      <c r="R2132" t="s">
        <v>26580</v>
      </c>
      <c r="S2132" t="s">
        <v>18959</v>
      </c>
      <c r="T2132" t="s">
        <v>26600</v>
      </c>
      <c r="U2132" t="s">
        <v>26604</v>
      </c>
      <c r="W2132" t="s">
        <v>583</v>
      </c>
      <c r="X2132">
        <v>1149</v>
      </c>
      <c r="Y2132" t="s">
        <v>26651</v>
      </c>
      <c r="Z2132" t="s">
        <v>26663</v>
      </c>
      <c r="AA2132" t="s">
        <v>26683</v>
      </c>
      <c r="AB2132" t="s">
        <v>28588</v>
      </c>
      <c r="AD2132" t="s">
        <v>38641</v>
      </c>
      <c r="AE2132">
        <v>0</v>
      </c>
      <c r="AF2132" t="s">
        <v>45548</v>
      </c>
      <c r="AG2132" t="s">
        <v>45559</v>
      </c>
      <c r="AH2132">
        <v>52</v>
      </c>
      <c r="AI2132">
        <v>1</v>
      </c>
      <c r="AJ2132">
        <v>0</v>
      </c>
      <c r="AK2132">
        <v>164.88</v>
      </c>
      <c r="AO2132">
        <v>20016</v>
      </c>
      <c r="AU2132">
        <v>3.6</v>
      </c>
      <c r="AV2132" t="s">
        <v>431</v>
      </c>
      <c r="AW2132" t="s">
        <v>317</v>
      </c>
    </row>
    <row r="2133" spans="1:50">
      <c r="A2133" s="1">
        <f>HYPERLINK("https://lsnyc.legalserver.org/matter/dynamic-profile/view/1871054","18-1871054")</f>
        <v>0</v>
      </c>
      <c r="B2133" t="s">
        <v>173</v>
      </c>
      <c r="C2133" t="s">
        <v>341</v>
      </c>
      <c r="D2133" t="s">
        <v>405</v>
      </c>
      <c r="E2133" t="s">
        <v>517</v>
      </c>
      <c r="F2133" t="s">
        <v>1195</v>
      </c>
      <c r="G2133" t="s">
        <v>6292</v>
      </c>
      <c r="H2133" t="s">
        <v>11389</v>
      </c>
      <c r="I2133" t="s">
        <v>17355</v>
      </c>
      <c r="J2133" t="s">
        <v>18893</v>
      </c>
      <c r="K2133">
        <v>10002</v>
      </c>
      <c r="L2133" t="s">
        <v>18958</v>
      </c>
      <c r="M2133" t="s">
        <v>18958</v>
      </c>
      <c r="N2133" t="s">
        <v>20576</v>
      </c>
      <c r="O2133" t="s">
        <v>26524</v>
      </c>
      <c r="P2133" t="s">
        <v>26564</v>
      </c>
      <c r="Q2133" t="s">
        <v>26570</v>
      </c>
      <c r="R2133" t="s">
        <v>26582</v>
      </c>
      <c r="S2133" t="s">
        <v>18959</v>
      </c>
      <c r="U2133" t="s">
        <v>26604</v>
      </c>
      <c r="W2133" t="s">
        <v>583</v>
      </c>
      <c r="X2133">
        <v>1900</v>
      </c>
      <c r="Y2133" t="s">
        <v>26651</v>
      </c>
      <c r="Z2133" t="s">
        <v>26664</v>
      </c>
      <c r="AA2133" t="s">
        <v>26683</v>
      </c>
      <c r="AB2133" t="s">
        <v>28589</v>
      </c>
      <c r="AD2133" t="s">
        <v>38642</v>
      </c>
      <c r="AE2133">
        <v>18</v>
      </c>
      <c r="AF2133" t="s">
        <v>45547</v>
      </c>
      <c r="AG2133" t="s">
        <v>19330</v>
      </c>
      <c r="AH2133">
        <v>6</v>
      </c>
      <c r="AI2133">
        <v>1</v>
      </c>
      <c r="AJ2133">
        <v>0</v>
      </c>
      <c r="AK2133">
        <v>120.49</v>
      </c>
      <c r="AN2133" t="s">
        <v>7439</v>
      </c>
      <c r="AO2133">
        <v>14628</v>
      </c>
      <c r="AU2133">
        <v>1.5</v>
      </c>
      <c r="AV2133" t="s">
        <v>441</v>
      </c>
      <c r="AW2133" t="s">
        <v>314</v>
      </c>
    </row>
    <row r="2134" spans="1:50">
      <c r="A2134" s="1">
        <f>HYPERLINK("https://lsnyc.legalserver.org/matter/dynamic-profile/view/1871449","18-1871449")</f>
        <v>0</v>
      </c>
      <c r="B2134" t="s">
        <v>100</v>
      </c>
      <c r="C2134" t="s">
        <v>340</v>
      </c>
      <c r="D2134" t="s">
        <v>419</v>
      </c>
      <c r="F2134" t="s">
        <v>965</v>
      </c>
      <c r="G2134" t="s">
        <v>5151</v>
      </c>
      <c r="H2134" t="s">
        <v>9724</v>
      </c>
      <c r="I2134" t="s">
        <v>17342</v>
      </c>
      <c r="J2134" t="s">
        <v>18892</v>
      </c>
      <c r="K2134">
        <v>10468</v>
      </c>
      <c r="L2134" t="s">
        <v>18958</v>
      </c>
      <c r="M2134" t="s">
        <v>18958</v>
      </c>
      <c r="O2134" t="s">
        <v>26527</v>
      </c>
      <c r="P2134" t="s">
        <v>26561</v>
      </c>
      <c r="R2134" t="s">
        <v>26578</v>
      </c>
      <c r="S2134" t="s">
        <v>18958</v>
      </c>
      <c r="U2134" t="s">
        <v>26604</v>
      </c>
      <c r="W2134" t="s">
        <v>583</v>
      </c>
      <c r="X2134">
        <v>861</v>
      </c>
      <c r="Y2134" t="s">
        <v>26650</v>
      </c>
      <c r="Z2134" t="s">
        <v>26663</v>
      </c>
      <c r="AB2134" t="s">
        <v>26803</v>
      </c>
      <c r="AD2134" t="s">
        <v>36909</v>
      </c>
      <c r="AE2134">
        <v>58</v>
      </c>
      <c r="AF2134" t="s">
        <v>45548</v>
      </c>
      <c r="AG2134" t="s">
        <v>45559</v>
      </c>
      <c r="AH2134">
        <v>30</v>
      </c>
      <c r="AI2134">
        <v>4</v>
      </c>
      <c r="AJ2134">
        <v>0</v>
      </c>
      <c r="AK2134">
        <v>76.48999999999999</v>
      </c>
      <c r="AN2134" t="s">
        <v>45581</v>
      </c>
      <c r="AO2134">
        <v>19200</v>
      </c>
      <c r="AU2134">
        <v>1.8</v>
      </c>
      <c r="AV2134" t="s">
        <v>574</v>
      </c>
      <c r="AW2134" t="s">
        <v>46847</v>
      </c>
    </row>
    <row r="2135" spans="1:50">
      <c r="A2135" s="1">
        <f>HYPERLINK("https://lsnyc.legalserver.org/matter/dynamic-profile/view/1872551","18-1872551")</f>
        <v>0</v>
      </c>
      <c r="B2135" t="s">
        <v>135</v>
      </c>
      <c r="C2135" t="s">
        <v>340</v>
      </c>
      <c r="D2135" t="s">
        <v>408</v>
      </c>
      <c r="F2135" t="s">
        <v>2111</v>
      </c>
      <c r="G2135" t="s">
        <v>5173</v>
      </c>
      <c r="H2135" t="s">
        <v>11390</v>
      </c>
      <c r="I2135">
        <v>2</v>
      </c>
      <c r="J2135" t="s">
        <v>18892</v>
      </c>
      <c r="K2135">
        <v>10462</v>
      </c>
      <c r="L2135" t="s">
        <v>18958</v>
      </c>
      <c r="M2135" t="s">
        <v>18958</v>
      </c>
      <c r="N2135" t="s">
        <v>20577</v>
      </c>
      <c r="O2135" t="s">
        <v>26524</v>
      </c>
      <c r="P2135" t="s">
        <v>26560</v>
      </c>
      <c r="R2135" t="s">
        <v>26579</v>
      </c>
      <c r="S2135" t="s">
        <v>18959</v>
      </c>
      <c r="U2135" t="s">
        <v>26604</v>
      </c>
      <c r="V2135" t="s">
        <v>26610</v>
      </c>
      <c r="W2135" t="s">
        <v>583</v>
      </c>
      <c r="X2135">
        <v>2000</v>
      </c>
      <c r="Y2135" t="s">
        <v>26650</v>
      </c>
      <c r="AB2135" t="s">
        <v>27324</v>
      </c>
      <c r="AD2135" t="s">
        <v>38643</v>
      </c>
      <c r="AE2135">
        <v>3</v>
      </c>
      <c r="AF2135" t="s">
        <v>45547</v>
      </c>
      <c r="AG2135" t="s">
        <v>45556</v>
      </c>
      <c r="AH2135">
        <v>0</v>
      </c>
      <c r="AI2135">
        <v>1</v>
      </c>
      <c r="AJ2135">
        <v>3</v>
      </c>
      <c r="AK2135">
        <v>49.4</v>
      </c>
      <c r="AN2135" t="s">
        <v>7439</v>
      </c>
      <c r="AO2135">
        <v>12400</v>
      </c>
      <c r="AP2135" t="s">
        <v>45741</v>
      </c>
      <c r="AU2135">
        <v>58</v>
      </c>
      <c r="AV2135" t="s">
        <v>671</v>
      </c>
      <c r="AW2135" t="s">
        <v>46847</v>
      </c>
    </row>
    <row r="2136" spans="1:50">
      <c r="A2136" s="1">
        <f>HYPERLINK("https://lsnyc.legalserver.org/matter/dynamic-profile/view/1873228","18-1873228")</f>
        <v>0</v>
      </c>
      <c r="B2136" t="s">
        <v>63</v>
      </c>
      <c r="C2136" t="s">
        <v>340</v>
      </c>
      <c r="D2136" t="s">
        <v>410</v>
      </c>
      <c r="F2136" t="s">
        <v>2112</v>
      </c>
      <c r="G2136" t="s">
        <v>6293</v>
      </c>
      <c r="H2136" t="s">
        <v>9769</v>
      </c>
      <c r="I2136" t="s">
        <v>17774</v>
      </c>
      <c r="J2136" t="s">
        <v>18892</v>
      </c>
      <c r="K2136">
        <v>10453</v>
      </c>
      <c r="L2136" t="s">
        <v>18958</v>
      </c>
      <c r="M2136" t="s">
        <v>18958</v>
      </c>
      <c r="N2136" t="s">
        <v>20578</v>
      </c>
      <c r="O2136" t="s">
        <v>26523</v>
      </c>
      <c r="P2136" t="s">
        <v>26560</v>
      </c>
      <c r="R2136" t="s">
        <v>26578</v>
      </c>
      <c r="S2136" t="s">
        <v>18959</v>
      </c>
      <c r="U2136" t="s">
        <v>26604</v>
      </c>
      <c r="W2136" t="s">
        <v>583</v>
      </c>
      <c r="X2136">
        <v>1562</v>
      </c>
      <c r="Y2136" t="s">
        <v>26650</v>
      </c>
      <c r="Z2136" t="s">
        <v>26664</v>
      </c>
      <c r="AB2136" t="s">
        <v>28590</v>
      </c>
      <c r="AD2136" t="s">
        <v>38644</v>
      </c>
      <c r="AE2136">
        <v>766</v>
      </c>
      <c r="AG2136" t="s">
        <v>45563</v>
      </c>
      <c r="AH2136">
        <v>3</v>
      </c>
      <c r="AI2136">
        <v>1</v>
      </c>
      <c r="AJ2136">
        <v>0</v>
      </c>
      <c r="AK2136">
        <v>59.96</v>
      </c>
      <c r="AN2136" t="s">
        <v>7439</v>
      </c>
      <c r="AO2136">
        <v>7279.44</v>
      </c>
      <c r="AU2136">
        <v>7.25</v>
      </c>
      <c r="AV2136" t="s">
        <v>643</v>
      </c>
      <c r="AW2136" t="s">
        <v>336</v>
      </c>
    </row>
    <row r="2137" spans="1:50">
      <c r="A2137" s="1">
        <f>HYPERLINK("https://lsnyc.legalserver.org/matter/dynamic-profile/view/1873338","18-1873338")</f>
        <v>0</v>
      </c>
      <c r="B2137" t="s">
        <v>149</v>
      </c>
      <c r="C2137" t="s">
        <v>341</v>
      </c>
      <c r="D2137" t="s">
        <v>464</v>
      </c>
      <c r="E2137" t="s">
        <v>583</v>
      </c>
      <c r="F2137" t="s">
        <v>2113</v>
      </c>
      <c r="G2137" t="s">
        <v>2975</v>
      </c>
      <c r="H2137" t="s">
        <v>11391</v>
      </c>
      <c r="I2137">
        <v>105</v>
      </c>
      <c r="J2137" t="s">
        <v>18892</v>
      </c>
      <c r="K2137">
        <v>10455</v>
      </c>
      <c r="L2137" t="s">
        <v>18958</v>
      </c>
      <c r="M2137" t="s">
        <v>18958</v>
      </c>
      <c r="O2137" t="s">
        <v>18997</v>
      </c>
      <c r="P2137" t="s">
        <v>26564</v>
      </c>
      <c r="Q2137" t="s">
        <v>26570</v>
      </c>
      <c r="R2137" t="s">
        <v>26578</v>
      </c>
      <c r="S2137" t="s">
        <v>18959</v>
      </c>
      <c r="U2137" t="s">
        <v>26604</v>
      </c>
      <c r="W2137" t="s">
        <v>583</v>
      </c>
      <c r="X2137">
        <v>417</v>
      </c>
      <c r="Y2137" t="s">
        <v>26650</v>
      </c>
      <c r="Z2137" t="s">
        <v>26663</v>
      </c>
      <c r="AA2137" t="s">
        <v>26683</v>
      </c>
      <c r="AB2137" t="s">
        <v>28591</v>
      </c>
      <c r="AE2137">
        <v>0</v>
      </c>
      <c r="AH2137">
        <v>8</v>
      </c>
      <c r="AI2137">
        <v>1</v>
      </c>
      <c r="AJ2137">
        <v>0</v>
      </c>
      <c r="AK2137">
        <v>0</v>
      </c>
      <c r="AN2137" t="s">
        <v>45581</v>
      </c>
      <c r="AO2137">
        <v>0</v>
      </c>
      <c r="AU2137">
        <v>0.25</v>
      </c>
      <c r="AV2137" t="s">
        <v>583</v>
      </c>
      <c r="AW2137" t="s">
        <v>336</v>
      </c>
    </row>
    <row r="2138" spans="1:50">
      <c r="A2138" s="1">
        <f>HYPERLINK("https://lsnyc.legalserver.org/matter/dynamic-profile/view/1873314","18-1873314")</f>
        <v>0</v>
      </c>
      <c r="B2138" t="s">
        <v>149</v>
      </c>
      <c r="C2138" t="s">
        <v>341</v>
      </c>
      <c r="D2138" t="s">
        <v>464</v>
      </c>
      <c r="E2138" t="s">
        <v>583</v>
      </c>
      <c r="F2138" t="s">
        <v>1058</v>
      </c>
      <c r="G2138" t="s">
        <v>6294</v>
      </c>
      <c r="H2138" t="s">
        <v>11392</v>
      </c>
      <c r="I2138" t="s">
        <v>17322</v>
      </c>
      <c r="J2138" t="s">
        <v>18892</v>
      </c>
      <c r="K2138">
        <v>10452</v>
      </c>
      <c r="L2138" t="s">
        <v>18958</v>
      </c>
      <c r="M2138" t="s">
        <v>18958</v>
      </c>
      <c r="O2138" t="s">
        <v>26529</v>
      </c>
      <c r="P2138" t="s">
        <v>26564</v>
      </c>
      <c r="Q2138" t="s">
        <v>26570</v>
      </c>
      <c r="R2138" t="s">
        <v>26578</v>
      </c>
      <c r="U2138" t="s">
        <v>26604</v>
      </c>
      <c r="W2138" t="s">
        <v>583</v>
      </c>
      <c r="X2138">
        <v>1183.1</v>
      </c>
      <c r="Y2138" t="s">
        <v>26650</v>
      </c>
      <c r="AA2138" t="s">
        <v>26683</v>
      </c>
      <c r="AB2138" t="s">
        <v>28592</v>
      </c>
      <c r="AE2138">
        <v>54</v>
      </c>
      <c r="AF2138" t="s">
        <v>45541</v>
      </c>
      <c r="AG2138" t="s">
        <v>19330</v>
      </c>
      <c r="AH2138">
        <v>20</v>
      </c>
      <c r="AI2138">
        <v>2</v>
      </c>
      <c r="AJ2138">
        <v>0</v>
      </c>
      <c r="AK2138">
        <v>309.84</v>
      </c>
      <c r="AN2138" t="s">
        <v>7439</v>
      </c>
      <c r="AO2138">
        <v>51000</v>
      </c>
      <c r="AP2138" t="s">
        <v>45742</v>
      </c>
      <c r="AU2138">
        <v>0.5</v>
      </c>
      <c r="AV2138" t="s">
        <v>583</v>
      </c>
      <c r="AW2138" t="s">
        <v>336</v>
      </c>
    </row>
    <row r="2139" spans="1:50">
      <c r="A2139" s="1">
        <f>HYPERLINK("https://lsnyc.legalserver.org/matter/dynamic-profile/view/1873432","18-1873432")</f>
        <v>0</v>
      </c>
      <c r="B2139" t="s">
        <v>55</v>
      </c>
      <c r="C2139" t="s">
        <v>341</v>
      </c>
      <c r="D2139" t="s">
        <v>464</v>
      </c>
      <c r="E2139" t="s">
        <v>413</v>
      </c>
      <c r="F2139" t="s">
        <v>2114</v>
      </c>
      <c r="G2139" t="s">
        <v>6295</v>
      </c>
      <c r="H2139" t="s">
        <v>11393</v>
      </c>
      <c r="I2139" t="s">
        <v>17388</v>
      </c>
      <c r="J2139" t="s">
        <v>18892</v>
      </c>
      <c r="K2139">
        <v>10459</v>
      </c>
      <c r="L2139" t="s">
        <v>18958</v>
      </c>
      <c r="M2139" t="s">
        <v>18958</v>
      </c>
      <c r="N2139" t="s">
        <v>20579</v>
      </c>
      <c r="O2139" t="s">
        <v>26524</v>
      </c>
      <c r="P2139" t="s">
        <v>26565</v>
      </c>
      <c r="Q2139" t="s">
        <v>26571</v>
      </c>
      <c r="R2139" t="s">
        <v>26578</v>
      </c>
      <c r="S2139" t="s">
        <v>18959</v>
      </c>
      <c r="U2139" t="s">
        <v>26604</v>
      </c>
      <c r="W2139" t="s">
        <v>583</v>
      </c>
      <c r="X2139">
        <v>1000</v>
      </c>
      <c r="Y2139" t="s">
        <v>26650</v>
      </c>
      <c r="AA2139" t="s">
        <v>26689</v>
      </c>
      <c r="AB2139" t="s">
        <v>28593</v>
      </c>
      <c r="AC2139" t="s">
        <v>35139</v>
      </c>
      <c r="AD2139" t="s">
        <v>38645</v>
      </c>
      <c r="AE2139">
        <v>17</v>
      </c>
      <c r="AF2139" t="s">
        <v>20460</v>
      </c>
      <c r="AH2139">
        <v>1</v>
      </c>
      <c r="AI2139">
        <v>1</v>
      </c>
      <c r="AJ2139">
        <v>3</v>
      </c>
      <c r="AK2139">
        <v>49.72</v>
      </c>
      <c r="AN2139" t="s">
        <v>45581</v>
      </c>
      <c r="AO2139">
        <v>12480</v>
      </c>
      <c r="AU2139">
        <v>0.5</v>
      </c>
      <c r="AV2139" t="s">
        <v>492</v>
      </c>
      <c r="AW2139" t="s">
        <v>46832</v>
      </c>
    </row>
    <row r="2140" spans="1:50">
      <c r="A2140" s="1">
        <f>HYPERLINK("https://lsnyc.legalserver.org/matter/dynamic-profile/view/1874385","18-1874385")</f>
        <v>0</v>
      </c>
      <c r="B2140" t="s">
        <v>63</v>
      </c>
      <c r="C2140" t="s">
        <v>340</v>
      </c>
      <c r="D2140" t="s">
        <v>500</v>
      </c>
      <c r="F2140" t="s">
        <v>2115</v>
      </c>
      <c r="G2140" t="s">
        <v>6296</v>
      </c>
      <c r="H2140" t="s">
        <v>11394</v>
      </c>
      <c r="I2140">
        <v>7</v>
      </c>
      <c r="J2140" t="s">
        <v>18892</v>
      </c>
      <c r="K2140">
        <v>10460</v>
      </c>
      <c r="L2140" t="s">
        <v>18958</v>
      </c>
      <c r="M2140" t="s">
        <v>18958</v>
      </c>
      <c r="N2140" t="s">
        <v>20580</v>
      </c>
      <c r="O2140" t="s">
        <v>26523</v>
      </c>
      <c r="P2140" t="s">
        <v>26560</v>
      </c>
      <c r="R2140" t="s">
        <v>26578</v>
      </c>
      <c r="S2140" t="s">
        <v>18959</v>
      </c>
      <c r="U2140" t="s">
        <v>26604</v>
      </c>
      <c r="W2140" t="s">
        <v>583</v>
      </c>
      <c r="X2140">
        <v>0</v>
      </c>
      <c r="Y2140" t="s">
        <v>26650</v>
      </c>
      <c r="Z2140" t="s">
        <v>26656</v>
      </c>
      <c r="AB2140" t="s">
        <v>28594</v>
      </c>
      <c r="AC2140" t="s">
        <v>35140</v>
      </c>
      <c r="AD2140" t="s">
        <v>38646</v>
      </c>
      <c r="AE2140">
        <v>30</v>
      </c>
      <c r="AF2140" t="s">
        <v>45543</v>
      </c>
      <c r="AG2140" t="s">
        <v>45556</v>
      </c>
      <c r="AH2140">
        <v>0</v>
      </c>
      <c r="AI2140">
        <v>2</v>
      </c>
      <c r="AJ2140">
        <v>1</v>
      </c>
      <c r="AK2140">
        <v>59.25</v>
      </c>
      <c r="AN2140" t="s">
        <v>7439</v>
      </c>
      <c r="AO2140">
        <v>12312</v>
      </c>
      <c r="AU2140">
        <v>32.6</v>
      </c>
      <c r="AV2140" t="s">
        <v>804</v>
      </c>
      <c r="AW2140" t="s">
        <v>46832</v>
      </c>
    </row>
    <row r="2141" spans="1:50">
      <c r="A2141" s="1">
        <f>HYPERLINK("https://lsnyc.legalserver.org/matter/dynamic-profile/view/1874442","18-1874442")</f>
        <v>0</v>
      </c>
      <c r="B2141" t="s">
        <v>199</v>
      </c>
      <c r="C2141" t="s">
        <v>341</v>
      </c>
      <c r="D2141" t="s">
        <v>498</v>
      </c>
      <c r="E2141" t="s">
        <v>635</v>
      </c>
      <c r="F2141" t="s">
        <v>2116</v>
      </c>
      <c r="G2141" t="s">
        <v>6297</v>
      </c>
      <c r="H2141" t="s">
        <v>11395</v>
      </c>
      <c r="I2141">
        <v>26</v>
      </c>
      <c r="J2141" t="s">
        <v>18894</v>
      </c>
      <c r="K2141">
        <v>11238</v>
      </c>
      <c r="L2141" t="s">
        <v>18958</v>
      </c>
      <c r="M2141" t="s">
        <v>18958</v>
      </c>
      <c r="N2141" t="s">
        <v>20581</v>
      </c>
      <c r="O2141" t="s">
        <v>26523</v>
      </c>
      <c r="P2141" t="s">
        <v>26560</v>
      </c>
      <c r="Q2141" t="s">
        <v>26568</v>
      </c>
      <c r="R2141" t="s">
        <v>26578</v>
      </c>
      <c r="U2141" t="s">
        <v>26604</v>
      </c>
      <c r="W2141" t="s">
        <v>583</v>
      </c>
      <c r="X2141">
        <v>1116.53</v>
      </c>
      <c r="Y2141" t="s">
        <v>26652</v>
      </c>
      <c r="Z2141" t="s">
        <v>26659</v>
      </c>
      <c r="AA2141" t="s">
        <v>26678</v>
      </c>
      <c r="AB2141" t="s">
        <v>28388</v>
      </c>
      <c r="AC2141" t="s">
        <v>35141</v>
      </c>
      <c r="AD2141" t="s">
        <v>38647</v>
      </c>
      <c r="AE2141">
        <v>41</v>
      </c>
      <c r="AF2141" t="s">
        <v>45541</v>
      </c>
      <c r="AG2141" t="s">
        <v>19330</v>
      </c>
      <c r="AH2141">
        <v>15</v>
      </c>
      <c r="AI2141">
        <v>2</v>
      </c>
      <c r="AJ2141">
        <v>0</v>
      </c>
      <c r="AK2141">
        <v>160.17</v>
      </c>
      <c r="AN2141" t="s">
        <v>7439</v>
      </c>
      <c r="AO2141">
        <v>26364</v>
      </c>
      <c r="AQ2141" t="s">
        <v>46362</v>
      </c>
      <c r="AR2141" t="s">
        <v>46381</v>
      </c>
      <c r="AS2141" t="s">
        <v>46499</v>
      </c>
      <c r="AT2141" t="s">
        <v>46595</v>
      </c>
      <c r="AU2141">
        <v>10.6</v>
      </c>
      <c r="AV2141" t="s">
        <v>720</v>
      </c>
      <c r="AW2141" t="s">
        <v>237</v>
      </c>
      <c r="AX2141" t="s">
        <v>46897</v>
      </c>
    </row>
    <row r="2142" spans="1:50">
      <c r="A2142" s="1">
        <f>HYPERLINK("https://lsnyc.legalserver.org/matter/dynamic-profile/view/1874619","18-1874619")</f>
        <v>0</v>
      </c>
      <c r="B2142" t="s">
        <v>151</v>
      </c>
      <c r="C2142" t="s">
        <v>341</v>
      </c>
      <c r="D2142" t="s">
        <v>461</v>
      </c>
      <c r="E2142" t="s">
        <v>631</v>
      </c>
      <c r="F2142" t="s">
        <v>2117</v>
      </c>
      <c r="G2142" t="s">
        <v>4138</v>
      </c>
      <c r="H2142" t="s">
        <v>10860</v>
      </c>
      <c r="I2142" t="s">
        <v>17628</v>
      </c>
      <c r="J2142" t="s">
        <v>18892</v>
      </c>
      <c r="K2142">
        <v>10463</v>
      </c>
      <c r="L2142" t="s">
        <v>18958</v>
      </c>
      <c r="M2142" t="s">
        <v>18958</v>
      </c>
      <c r="N2142" t="s">
        <v>20582</v>
      </c>
      <c r="O2142" t="s">
        <v>26524</v>
      </c>
      <c r="P2142" t="s">
        <v>26564</v>
      </c>
      <c r="Q2142" t="s">
        <v>26570</v>
      </c>
      <c r="R2142" t="s">
        <v>26582</v>
      </c>
      <c r="S2142" t="s">
        <v>18959</v>
      </c>
      <c r="U2142" t="s">
        <v>26604</v>
      </c>
      <c r="V2142" t="s">
        <v>26610</v>
      </c>
      <c r="W2142" t="s">
        <v>583</v>
      </c>
      <c r="X2142">
        <v>2300</v>
      </c>
      <c r="Y2142" t="s">
        <v>26651</v>
      </c>
      <c r="Z2142" t="s">
        <v>26664</v>
      </c>
      <c r="AA2142" t="s">
        <v>26683</v>
      </c>
      <c r="AB2142" t="s">
        <v>28595</v>
      </c>
      <c r="AD2142" t="s">
        <v>38648</v>
      </c>
      <c r="AE2142">
        <v>318</v>
      </c>
      <c r="AF2142" t="s">
        <v>45541</v>
      </c>
      <c r="AG2142" t="s">
        <v>19330</v>
      </c>
      <c r="AH2142">
        <v>-1</v>
      </c>
      <c r="AI2142">
        <v>3</v>
      </c>
      <c r="AJ2142">
        <v>2</v>
      </c>
      <c r="AK2142">
        <v>188.06</v>
      </c>
      <c r="AN2142" t="s">
        <v>7439</v>
      </c>
      <c r="AO2142">
        <v>55328</v>
      </c>
      <c r="AU2142">
        <v>1.7</v>
      </c>
      <c r="AV2142" t="s">
        <v>505</v>
      </c>
      <c r="AW2142" t="s">
        <v>46838</v>
      </c>
    </row>
    <row r="2143" spans="1:50">
      <c r="A2143" s="1">
        <f>HYPERLINK("https://lsnyc.legalserver.org/matter/dynamic-profile/view/1874588","18-1874588")</f>
        <v>0</v>
      </c>
      <c r="B2143" t="s">
        <v>151</v>
      </c>
      <c r="C2143" t="s">
        <v>341</v>
      </c>
      <c r="D2143" t="s">
        <v>461</v>
      </c>
      <c r="E2143" t="s">
        <v>624</v>
      </c>
      <c r="F2143" t="s">
        <v>989</v>
      </c>
      <c r="G2143" t="s">
        <v>6298</v>
      </c>
      <c r="H2143" t="s">
        <v>11396</v>
      </c>
      <c r="I2143">
        <v>504</v>
      </c>
      <c r="J2143" t="s">
        <v>18893</v>
      </c>
      <c r="K2143">
        <v>10031</v>
      </c>
      <c r="L2143" t="s">
        <v>18958</v>
      </c>
      <c r="M2143" t="s">
        <v>18958</v>
      </c>
      <c r="N2143" t="s">
        <v>20583</v>
      </c>
      <c r="O2143" t="s">
        <v>26523</v>
      </c>
      <c r="P2143" t="s">
        <v>26564</v>
      </c>
      <c r="Q2143" t="s">
        <v>26570</v>
      </c>
      <c r="R2143" t="s">
        <v>26580</v>
      </c>
      <c r="S2143" t="s">
        <v>18959</v>
      </c>
      <c r="U2143" t="s">
        <v>26604</v>
      </c>
      <c r="V2143" t="s">
        <v>26610</v>
      </c>
      <c r="W2143" t="s">
        <v>583</v>
      </c>
      <c r="X2143">
        <v>812</v>
      </c>
      <c r="Y2143" t="s">
        <v>26651</v>
      </c>
      <c r="Z2143" t="s">
        <v>26664</v>
      </c>
      <c r="AA2143" t="s">
        <v>26683</v>
      </c>
      <c r="AB2143" t="s">
        <v>28596</v>
      </c>
      <c r="AE2143">
        <v>0</v>
      </c>
      <c r="AF2143" t="s">
        <v>45541</v>
      </c>
      <c r="AG2143" t="s">
        <v>45556</v>
      </c>
      <c r="AH2143">
        <v>12</v>
      </c>
      <c r="AI2143">
        <v>1</v>
      </c>
      <c r="AJ2143">
        <v>0</v>
      </c>
      <c r="AK2143">
        <v>73.15000000000001</v>
      </c>
      <c r="AN2143" t="s">
        <v>7439</v>
      </c>
      <c r="AO2143">
        <v>8880</v>
      </c>
      <c r="AU2143">
        <v>1.7</v>
      </c>
      <c r="AV2143" t="s">
        <v>515</v>
      </c>
      <c r="AW2143" t="s">
        <v>314</v>
      </c>
    </row>
    <row r="2144" spans="1:50">
      <c r="A2144" s="1">
        <f>HYPERLINK("https://lsnyc.legalserver.org/matter/dynamic-profile/view/1874529","18-1874529")</f>
        <v>0</v>
      </c>
      <c r="B2144" t="s">
        <v>69</v>
      </c>
      <c r="C2144" t="s">
        <v>340</v>
      </c>
      <c r="D2144" t="s">
        <v>461</v>
      </c>
      <c r="F2144" t="s">
        <v>1197</v>
      </c>
      <c r="G2144" t="s">
        <v>5265</v>
      </c>
      <c r="H2144" t="s">
        <v>11397</v>
      </c>
      <c r="I2144">
        <v>3</v>
      </c>
      <c r="J2144" t="s">
        <v>18892</v>
      </c>
      <c r="K2144">
        <v>10457</v>
      </c>
      <c r="L2144" t="s">
        <v>18958</v>
      </c>
      <c r="M2144" t="s">
        <v>18958</v>
      </c>
      <c r="N2144" t="s">
        <v>20584</v>
      </c>
      <c r="O2144" t="s">
        <v>26523</v>
      </c>
      <c r="P2144" t="s">
        <v>26560</v>
      </c>
      <c r="R2144" t="s">
        <v>26579</v>
      </c>
      <c r="S2144" t="s">
        <v>18959</v>
      </c>
      <c r="U2144" t="s">
        <v>26604</v>
      </c>
      <c r="V2144" t="s">
        <v>26610</v>
      </c>
      <c r="W2144" t="s">
        <v>583</v>
      </c>
      <c r="X2144">
        <v>1900</v>
      </c>
      <c r="Y2144" t="s">
        <v>26650</v>
      </c>
      <c r="AB2144" t="s">
        <v>28597</v>
      </c>
      <c r="AD2144" t="s">
        <v>38649</v>
      </c>
      <c r="AE2144">
        <v>3</v>
      </c>
      <c r="AF2144" t="s">
        <v>45545</v>
      </c>
      <c r="AG2144" t="s">
        <v>45562</v>
      </c>
      <c r="AH2144">
        <v>3</v>
      </c>
      <c r="AI2144">
        <v>3</v>
      </c>
      <c r="AJ2144">
        <v>1</v>
      </c>
      <c r="AK2144">
        <v>118.09</v>
      </c>
      <c r="AN2144" t="s">
        <v>45581</v>
      </c>
      <c r="AO2144">
        <v>29640</v>
      </c>
      <c r="AU2144">
        <v>12.6</v>
      </c>
      <c r="AV2144" t="s">
        <v>772</v>
      </c>
      <c r="AW2144" t="s">
        <v>46837</v>
      </c>
    </row>
    <row r="2145" spans="1:49">
      <c r="A2145" s="1">
        <f>HYPERLINK("https://lsnyc.legalserver.org/matter/dynamic-profile/view/1874717","18-1874717")</f>
        <v>0</v>
      </c>
      <c r="B2145" t="s">
        <v>236</v>
      </c>
      <c r="C2145" t="s">
        <v>341</v>
      </c>
      <c r="D2145" t="s">
        <v>504</v>
      </c>
      <c r="E2145" t="s">
        <v>699</v>
      </c>
      <c r="F2145" t="s">
        <v>2118</v>
      </c>
      <c r="G2145" t="s">
        <v>4381</v>
      </c>
      <c r="H2145" t="s">
        <v>9655</v>
      </c>
      <c r="I2145" t="s">
        <v>17522</v>
      </c>
      <c r="J2145" t="s">
        <v>18892</v>
      </c>
      <c r="K2145">
        <v>10457</v>
      </c>
      <c r="L2145" t="s">
        <v>18958</v>
      </c>
      <c r="M2145" t="s">
        <v>18958</v>
      </c>
      <c r="O2145" t="s">
        <v>18997</v>
      </c>
      <c r="P2145" t="s">
        <v>26564</v>
      </c>
      <c r="Q2145" t="s">
        <v>26570</v>
      </c>
      <c r="R2145" t="s">
        <v>26578</v>
      </c>
      <c r="S2145" t="s">
        <v>18959</v>
      </c>
      <c r="T2145" t="s">
        <v>26583</v>
      </c>
      <c r="U2145" t="s">
        <v>26604</v>
      </c>
      <c r="W2145" t="s">
        <v>583</v>
      </c>
      <c r="X2145">
        <v>1200</v>
      </c>
      <c r="Y2145" t="s">
        <v>26650</v>
      </c>
      <c r="Z2145" t="s">
        <v>26663</v>
      </c>
      <c r="AA2145" t="s">
        <v>26683</v>
      </c>
      <c r="AB2145" t="s">
        <v>28598</v>
      </c>
      <c r="AE2145">
        <v>108</v>
      </c>
      <c r="AF2145" t="s">
        <v>45543</v>
      </c>
      <c r="AH2145">
        <v>39</v>
      </c>
      <c r="AI2145">
        <v>1</v>
      </c>
      <c r="AJ2145">
        <v>0</v>
      </c>
      <c r="AK2145">
        <v>128.5</v>
      </c>
      <c r="AN2145" t="s">
        <v>7439</v>
      </c>
      <c r="AO2145">
        <v>15600</v>
      </c>
      <c r="AU2145">
        <v>0.2</v>
      </c>
      <c r="AV2145" t="s">
        <v>699</v>
      </c>
      <c r="AW2145" t="s">
        <v>217</v>
      </c>
    </row>
    <row r="2146" spans="1:49">
      <c r="A2146" s="1">
        <f>HYPERLINK("https://lsnyc.legalserver.org/matter/dynamic-profile/view/1874934","18-1874934")</f>
        <v>0</v>
      </c>
      <c r="B2146" t="s">
        <v>171</v>
      </c>
      <c r="C2146" t="s">
        <v>341</v>
      </c>
      <c r="D2146" t="s">
        <v>477</v>
      </c>
      <c r="E2146" t="s">
        <v>678</v>
      </c>
      <c r="F2146" t="s">
        <v>2119</v>
      </c>
      <c r="G2146" t="s">
        <v>5495</v>
      </c>
      <c r="H2146" t="s">
        <v>11398</v>
      </c>
      <c r="I2146" t="s">
        <v>17354</v>
      </c>
      <c r="J2146" t="s">
        <v>18893</v>
      </c>
      <c r="K2146">
        <v>10002</v>
      </c>
      <c r="L2146" t="s">
        <v>18958</v>
      </c>
      <c r="M2146" t="s">
        <v>18960</v>
      </c>
      <c r="O2146" t="s">
        <v>18997</v>
      </c>
      <c r="P2146" t="s">
        <v>26565</v>
      </c>
      <c r="Q2146" t="s">
        <v>26570</v>
      </c>
      <c r="R2146" t="s">
        <v>26578</v>
      </c>
      <c r="S2146" t="s">
        <v>18959</v>
      </c>
      <c r="U2146" t="s">
        <v>26604</v>
      </c>
      <c r="W2146" t="s">
        <v>583</v>
      </c>
      <c r="X2146">
        <v>900</v>
      </c>
      <c r="Y2146" t="s">
        <v>26651</v>
      </c>
      <c r="Z2146" t="s">
        <v>26667</v>
      </c>
      <c r="AA2146" t="s">
        <v>26683</v>
      </c>
      <c r="AB2146" t="s">
        <v>28599</v>
      </c>
      <c r="AD2146" t="s">
        <v>38650</v>
      </c>
      <c r="AE2146">
        <v>44</v>
      </c>
      <c r="AF2146" t="s">
        <v>45541</v>
      </c>
      <c r="AG2146" t="s">
        <v>19330</v>
      </c>
      <c r="AH2146">
        <v>3</v>
      </c>
      <c r="AI2146">
        <v>2</v>
      </c>
      <c r="AJ2146">
        <v>1</v>
      </c>
      <c r="AK2146">
        <v>67.37</v>
      </c>
      <c r="AN2146" t="s">
        <v>45593</v>
      </c>
      <c r="AO2146">
        <v>14000</v>
      </c>
      <c r="AU2146">
        <v>0.8</v>
      </c>
      <c r="AV2146" t="s">
        <v>477</v>
      </c>
      <c r="AW2146" t="s">
        <v>314</v>
      </c>
    </row>
    <row r="2147" spans="1:49">
      <c r="A2147" s="1">
        <f>HYPERLINK("https://lsnyc.legalserver.org/matter/dynamic-profile/view/1875451","18-1875451")</f>
        <v>0</v>
      </c>
      <c r="B2147" t="s">
        <v>120</v>
      </c>
      <c r="C2147" t="s">
        <v>340</v>
      </c>
      <c r="D2147" t="s">
        <v>516</v>
      </c>
      <c r="F2147" t="s">
        <v>1492</v>
      </c>
      <c r="G2147" t="s">
        <v>5760</v>
      </c>
      <c r="H2147" t="s">
        <v>11399</v>
      </c>
      <c r="I2147" t="s">
        <v>17283</v>
      </c>
      <c r="J2147" t="s">
        <v>18892</v>
      </c>
      <c r="K2147">
        <v>10467</v>
      </c>
      <c r="L2147" t="s">
        <v>18958</v>
      </c>
      <c r="M2147" t="s">
        <v>18958</v>
      </c>
      <c r="N2147" t="s">
        <v>20585</v>
      </c>
      <c r="O2147" t="s">
        <v>26523</v>
      </c>
      <c r="P2147" t="s">
        <v>26560</v>
      </c>
      <c r="R2147" t="s">
        <v>26579</v>
      </c>
      <c r="S2147" t="s">
        <v>18959</v>
      </c>
      <c r="U2147" t="s">
        <v>26604</v>
      </c>
      <c r="V2147" t="s">
        <v>26610</v>
      </c>
      <c r="W2147" t="s">
        <v>583</v>
      </c>
      <c r="X2147">
        <v>1803.29</v>
      </c>
      <c r="Y2147" t="s">
        <v>26650</v>
      </c>
      <c r="Z2147" t="s">
        <v>26669</v>
      </c>
      <c r="AB2147" t="s">
        <v>27394</v>
      </c>
      <c r="AC2147" t="s">
        <v>35142</v>
      </c>
      <c r="AD2147" t="s">
        <v>38651</v>
      </c>
      <c r="AE2147">
        <v>30</v>
      </c>
      <c r="AF2147" t="s">
        <v>45545</v>
      </c>
      <c r="AG2147" t="s">
        <v>26530</v>
      </c>
      <c r="AH2147">
        <v>6</v>
      </c>
      <c r="AI2147">
        <v>1</v>
      </c>
      <c r="AJ2147">
        <v>0</v>
      </c>
      <c r="AK2147">
        <v>37.17</v>
      </c>
      <c r="AN2147" t="s">
        <v>7439</v>
      </c>
      <c r="AO2147">
        <v>4512</v>
      </c>
      <c r="AU2147">
        <v>27.6</v>
      </c>
      <c r="AV2147" t="s">
        <v>814</v>
      </c>
      <c r="AW2147" t="s">
        <v>46847</v>
      </c>
    </row>
    <row r="2148" spans="1:49">
      <c r="A2148" s="1">
        <f>HYPERLINK("https://lsnyc.legalserver.org/matter/dynamic-profile/view/1875678","18-1875678")</f>
        <v>0</v>
      </c>
      <c r="B2148" t="s">
        <v>100</v>
      </c>
      <c r="C2148" t="s">
        <v>340</v>
      </c>
      <c r="D2148" t="s">
        <v>521</v>
      </c>
      <c r="F2148" t="s">
        <v>2087</v>
      </c>
      <c r="G2148" t="s">
        <v>5121</v>
      </c>
      <c r="H2148" t="s">
        <v>9724</v>
      </c>
      <c r="I2148" t="s">
        <v>17490</v>
      </c>
      <c r="J2148" t="s">
        <v>18892</v>
      </c>
      <c r="K2148">
        <v>10468</v>
      </c>
      <c r="L2148" t="s">
        <v>18958</v>
      </c>
      <c r="M2148" t="s">
        <v>18958</v>
      </c>
      <c r="O2148" t="s">
        <v>26534</v>
      </c>
      <c r="P2148" t="s">
        <v>26561</v>
      </c>
      <c r="R2148" t="s">
        <v>26578</v>
      </c>
      <c r="S2148" t="s">
        <v>18958</v>
      </c>
      <c r="U2148" t="s">
        <v>26604</v>
      </c>
      <c r="W2148" t="s">
        <v>583</v>
      </c>
      <c r="X2148">
        <v>1100</v>
      </c>
      <c r="Y2148" t="s">
        <v>26650</v>
      </c>
      <c r="Z2148" t="s">
        <v>26663</v>
      </c>
      <c r="AB2148" t="s">
        <v>27139</v>
      </c>
      <c r="AD2148" t="s">
        <v>38652</v>
      </c>
      <c r="AE2148">
        <v>58</v>
      </c>
      <c r="AF2148" t="s">
        <v>45541</v>
      </c>
      <c r="AG2148" t="s">
        <v>45556</v>
      </c>
      <c r="AH2148">
        <v>38</v>
      </c>
      <c r="AI2148">
        <v>2</v>
      </c>
      <c r="AJ2148">
        <v>0</v>
      </c>
      <c r="AK2148">
        <v>0</v>
      </c>
      <c r="AN2148" t="s">
        <v>7439</v>
      </c>
      <c r="AO2148">
        <v>0</v>
      </c>
      <c r="AU2148">
        <v>0.1</v>
      </c>
      <c r="AV2148" t="s">
        <v>684</v>
      </c>
      <c r="AW2148" t="s">
        <v>46847</v>
      </c>
    </row>
    <row r="2149" spans="1:49">
      <c r="A2149" s="1">
        <f>HYPERLINK("https://lsnyc.legalserver.org/matter/dynamic-profile/view/1875658","18-1875658")</f>
        <v>0</v>
      </c>
      <c r="B2149" t="s">
        <v>100</v>
      </c>
      <c r="C2149" t="s">
        <v>340</v>
      </c>
      <c r="D2149" t="s">
        <v>521</v>
      </c>
      <c r="F2149" t="s">
        <v>2120</v>
      </c>
      <c r="G2149" t="s">
        <v>5939</v>
      </c>
      <c r="H2149" t="s">
        <v>9724</v>
      </c>
      <c r="I2149" t="s">
        <v>17327</v>
      </c>
      <c r="J2149" t="s">
        <v>18892</v>
      </c>
      <c r="K2149">
        <v>10468</v>
      </c>
      <c r="L2149" t="s">
        <v>18958</v>
      </c>
      <c r="M2149" t="s">
        <v>18958</v>
      </c>
      <c r="O2149" t="s">
        <v>26534</v>
      </c>
      <c r="P2149" t="s">
        <v>26561</v>
      </c>
      <c r="R2149" t="s">
        <v>26578</v>
      </c>
      <c r="S2149" t="s">
        <v>18959</v>
      </c>
      <c r="U2149" t="s">
        <v>26604</v>
      </c>
      <c r="W2149" t="s">
        <v>583</v>
      </c>
      <c r="X2149">
        <v>1313</v>
      </c>
      <c r="Y2149" t="s">
        <v>26650</v>
      </c>
      <c r="Z2149" t="s">
        <v>26663</v>
      </c>
      <c r="AB2149" t="s">
        <v>28600</v>
      </c>
      <c r="AD2149" t="s">
        <v>38653</v>
      </c>
      <c r="AE2149">
        <v>58</v>
      </c>
      <c r="AF2149" t="s">
        <v>45541</v>
      </c>
      <c r="AG2149" t="s">
        <v>19330</v>
      </c>
      <c r="AH2149">
        <v>25</v>
      </c>
      <c r="AI2149">
        <v>2</v>
      </c>
      <c r="AJ2149">
        <v>0</v>
      </c>
      <c r="AK2149">
        <v>308.63</v>
      </c>
      <c r="AN2149" t="s">
        <v>45581</v>
      </c>
      <c r="AO2149">
        <v>50800</v>
      </c>
      <c r="AU2149">
        <v>3.2</v>
      </c>
      <c r="AV2149" t="s">
        <v>583</v>
      </c>
      <c r="AW2149" t="s">
        <v>46847</v>
      </c>
    </row>
    <row r="2150" spans="1:49">
      <c r="A2150" s="1">
        <f>HYPERLINK("https://lsnyc.legalserver.org/matter/dynamic-profile/view/1876939","18-1876939")</f>
        <v>0</v>
      </c>
      <c r="B2150" t="s">
        <v>67</v>
      </c>
      <c r="C2150" t="s">
        <v>341</v>
      </c>
      <c r="D2150" t="s">
        <v>441</v>
      </c>
      <c r="E2150" t="s">
        <v>844</v>
      </c>
      <c r="F2150" t="s">
        <v>2121</v>
      </c>
      <c r="G2150" t="s">
        <v>6299</v>
      </c>
      <c r="H2150" t="s">
        <v>11400</v>
      </c>
      <c r="I2150">
        <v>3</v>
      </c>
      <c r="J2150" t="s">
        <v>18892</v>
      </c>
      <c r="K2150">
        <v>10460</v>
      </c>
      <c r="L2150" t="s">
        <v>18958</v>
      </c>
      <c r="M2150" t="s">
        <v>18958</v>
      </c>
      <c r="N2150" t="s">
        <v>20586</v>
      </c>
      <c r="O2150" t="s">
        <v>26524</v>
      </c>
      <c r="P2150" t="s">
        <v>26564</v>
      </c>
      <c r="Q2150" t="s">
        <v>26570</v>
      </c>
      <c r="R2150" t="s">
        <v>26578</v>
      </c>
      <c r="S2150" t="s">
        <v>18959</v>
      </c>
      <c r="U2150" t="s">
        <v>26604</v>
      </c>
      <c r="V2150" t="s">
        <v>26610</v>
      </c>
      <c r="W2150" t="s">
        <v>583</v>
      </c>
      <c r="X2150">
        <v>0</v>
      </c>
      <c r="Y2150" t="s">
        <v>26650</v>
      </c>
      <c r="Z2150" t="s">
        <v>26663</v>
      </c>
      <c r="AA2150" t="s">
        <v>26683</v>
      </c>
      <c r="AB2150" t="s">
        <v>27264</v>
      </c>
      <c r="AD2150" t="s">
        <v>38654</v>
      </c>
      <c r="AE2150">
        <v>30</v>
      </c>
      <c r="AF2150" t="s">
        <v>20460</v>
      </c>
      <c r="AG2150" t="s">
        <v>19330</v>
      </c>
      <c r="AH2150">
        <v>7</v>
      </c>
      <c r="AI2150">
        <v>3</v>
      </c>
      <c r="AJ2150">
        <v>0</v>
      </c>
      <c r="AK2150">
        <v>0</v>
      </c>
      <c r="AN2150" t="s">
        <v>45581</v>
      </c>
      <c r="AO2150">
        <v>0</v>
      </c>
      <c r="AU2150">
        <v>0.1</v>
      </c>
      <c r="AV2150" t="s">
        <v>844</v>
      </c>
      <c r="AW2150" t="s">
        <v>336</v>
      </c>
    </row>
    <row r="2151" spans="1:49">
      <c r="A2151" s="1">
        <f>HYPERLINK("https://lsnyc.legalserver.org/matter/dynamic-profile/view/1877043","18-1877043")</f>
        <v>0</v>
      </c>
      <c r="B2151" t="s">
        <v>67</v>
      </c>
      <c r="C2151" t="s">
        <v>341</v>
      </c>
      <c r="D2151" t="s">
        <v>441</v>
      </c>
      <c r="E2151" t="s">
        <v>844</v>
      </c>
      <c r="F2151" t="s">
        <v>1228</v>
      </c>
      <c r="G2151" t="s">
        <v>5078</v>
      </c>
      <c r="H2151" t="s">
        <v>11401</v>
      </c>
      <c r="I2151" t="s">
        <v>17775</v>
      </c>
      <c r="J2151" t="s">
        <v>18892</v>
      </c>
      <c r="K2151">
        <v>10457</v>
      </c>
      <c r="L2151" t="s">
        <v>18958</v>
      </c>
      <c r="M2151" t="s">
        <v>18958</v>
      </c>
      <c r="O2151" t="s">
        <v>26523</v>
      </c>
      <c r="P2151" t="s">
        <v>26564</v>
      </c>
      <c r="Q2151" t="s">
        <v>26570</v>
      </c>
      <c r="R2151" t="s">
        <v>26578</v>
      </c>
      <c r="S2151" t="s">
        <v>18959</v>
      </c>
      <c r="U2151" t="s">
        <v>26604</v>
      </c>
      <c r="V2151" t="s">
        <v>26610</v>
      </c>
      <c r="W2151" t="s">
        <v>583</v>
      </c>
      <c r="X2151">
        <v>1476.04</v>
      </c>
      <c r="Y2151" t="s">
        <v>26650</v>
      </c>
      <c r="Z2151" t="s">
        <v>26663</v>
      </c>
      <c r="AA2151" t="s">
        <v>26683</v>
      </c>
      <c r="AB2151" t="s">
        <v>28601</v>
      </c>
      <c r="AD2151" t="s">
        <v>38655</v>
      </c>
      <c r="AE2151">
        <v>333</v>
      </c>
      <c r="AF2151" t="s">
        <v>45541</v>
      </c>
      <c r="AG2151" t="s">
        <v>19330</v>
      </c>
      <c r="AH2151">
        <v>7</v>
      </c>
      <c r="AI2151">
        <v>5</v>
      </c>
      <c r="AJ2151">
        <v>1</v>
      </c>
      <c r="AK2151">
        <v>164.74</v>
      </c>
      <c r="AN2151" t="s">
        <v>45581</v>
      </c>
      <c r="AO2151">
        <v>55584</v>
      </c>
      <c r="AU2151">
        <v>0.1</v>
      </c>
      <c r="AV2151" t="s">
        <v>844</v>
      </c>
      <c r="AW2151" t="s">
        <v>336</v>
      </c>
    </row>
    <row r="2152" spans="1:49">
      <c r="A2152" s="1">
        <f>HYPERLINK("https://lsnyc.legalserver.org/matter/dynamic-profile/view/1876141","18-1876141")</f>
        <v>0</v>
      </c>
      <c r="B2152" t="s">
        <v>82</v>
      </c>
      <c r="C2152" t="s">
        <v>340</v>
      </c>
      <c r="D2152" t="s">
        <v>522</v>
      </c>
      <c r="F2152" t="s">
        <v>1366</v>
      </c>
      <c r="G2152" t="s">
        <v>5008</v>
      </c>
      <c r="H2152" t="s">
        <v>11402</v>
      </c>
      <c r="I2152" t="s">
        <v>17776</v>
      </c>
      <c r="J2152" t="s">
        <v>18892</v>
      </c>
      <c r="K2152">
        <v>10457</v>
      </c>
      <c r="L2152" t="s">
        <v>18958</v>
      </c>
      <c r="M2152" t="s">
        <v>18958</v>
      </c>
      <c r="N2152" t="s">
        <v>20587</v>
      </c>
      <c r="O2152" t="s">
        <v>26524</v>
      </c>
      <c r="P2152" t="s">
        <v>26560</v>
      </c>
      <c r="R2152" t="s">
        <v>26579</v>
      </c>
      <c r="S2152" t="s">
        <v>18959</v>
      </c>
      <c r="U2152" t="s">
        <v>26604</v>
      </c>
      <c r="V2152" t="s">
        <v>26610</v>
      </c>
      <c r="W2152" t="s">
        <v>583</v>
      </c>
      <c r="X2152">
        <v>1165</v>
      </c>
      <c r="Y2152" t="s">
        <v>26650</v>
      </c>
      <c r="Z2152" t="s">
        <v>26530</v>
      </c>
      <c r="AB2152" t="s">
        <v>28602</v>
      </c>
      <c r="AD2152" t="s">
        <v>38656</v>
      </c>
      <c r="AE2152">
        <v>0</v>
      </c>
      <c r="AF2152" t="s">
        <v>45541</v>
      </c>
      <c r="AG2152" t="s">
        <v>19330</v>
      </c>
      <c r="AH2152">
        <v>6</v>
      </c>
      <c r="AI2152">
        <v>2</v>
      </c>
      <c r="AJ2152">
        <v>0</v>
      </c>
      <c r="AK2152">
        <v>236.94</v>
      </c>
      <c r="AL2152" t="s">
        <v>641</v>
      </c>
      <c r="AM2152" t="s">
        <v>45575</v>
      </c>
      <c r="AN2152" t="s">
        <v>7439</v>
      </c>
      <c r="AO2152">
        <v>39000</v>
      </c>
      <c r="AP2152" t="s">
        <v>45743</v>
      </c>
      <c r="AU2152">
        <v>5.5</v>
      </c>
      <c r="AV2152" t="s">
        <v>623</v>
      </c>
      <c r="AW2152" t="s">
        <v>46854</v>
      </c>
    </row>
    <row r="2153" spans="1:49">
      <c r="A2153" s="1">
        <f>HYPERLINK("https://lsnyc.legalserver.org/matter/dynamic-profile/view/1876296","18-1876296")</f>
        <v>0</v>
      </c>
      <c r="B2153" t="s">
        <v>171</v>
      </c>
      <c r="C2153" t="s">
        <v>341</v>
      </c>
      <c r="D2153" t="s">
        <v>493</v>
      </c>
      <c r="E2153" t="s">
        <v>678</v>
      </c>
      <c r="F2153" t="s">
        <v>1192</v>
      </c>
      <c r="G2153" t="s">
        <v>6300</v>
      </c>
      <c r="H2153" t="s">
        <v>11403</v>
      </c>
      <c r="I2153">
        <v>57</v>
      </c>
      <c r="J2153" t="s">
        <v>18893</v>
      </c>
      <c r="K2153">
        <v>10030</v>
      </c>
      <c r="L2153" t="s">
        <v>18958</v>
      </c>
      <c r="M2153" t="s">
        <v>18960</v>
      </c>
      <c r="O2153" t="s">
        <v>26524</v>
      </c>
      <c r="P2153" t="s">
        <v>26564</v>
      </c>
      <c r="Q2153" t="s">
        <v>26570</v>
      </c>
      <c r="R2153" t="s">
        <v>26582</v>
      </c>
      <c r="S2153" t="s">
        <v>18959</v>
      </c>
      <c r="U2153" t="s">
        <v>26607</v>
      </c>
      <c r="W2153" t="s">
        <v>583</v>
      </c>
      <c r="X2153">
        <v>820</v>
      </c>
      <c r="Y2153" t="s">
        <v>26651</v>
      </c>
      <c r="AA2153" t="s">
        <v>26683</v>
      </c>
      <c r="AB2153" t="s">
        <v>28603</v>
      </c>
      <c r="AD2153" t="s">
        <v>38657</v>
      </c>
      <c r="AE2153">
        <v>0</v>
      </c>
      <c r="AH2153">
        <v>35</v>
      </c>
      <c r="AI2153">
        <v>1</v>
      </c>
      <c r="AJ2153">
        <v>0</v>
      </c>
      <c r="AK2153">
        <v>149.92</v>
      </c>
      <c r="AO2153">
        <v>18200</v>
      </c>
      <c r="AU2153">
        <v>1.6</v>
      </c>
      <c r="AV2153" t="s">
        <v>545</v>
      </c>
      <c r="AW2153" t="s">
        <v>317</v>
      </c>
    </row>
    <row r="2154" spans="1:49">
      <c r="A2154" s="1">
        <f>HYPERLINK("https://lsnyc.legalserver.org/matter/dynamic-profile/view/1876372","18-1876372")</f>
        <v>0</v>
      </c>
      <c r="B2154" t="s">
        <v>171</v>
      </c>
      <c r="C2154" t="s">
        <v>341</v>
      </c>
      <c r="D2154" t="s">
        <v>493</v>
      </c>
      <c r="E2154" t="s">
        <v>678</v>
      </c>
      <c r="F2154" t="s">
        <v>1253</v>
      </c>
      <c r="G2154" t="s">
        <v>5103</v>
      </c>
      <c r="H2154" t="s">
        <v>11404</v>
      </c>
      <c r="I2154" t="s">
        <v>17299</v>
      </c>
      <c r="J2154" t="s">
        <v>18893</v>
      </c>
      <c r="K2154">
        <v>10032</v>
      </c>
      <c r="L2154" t="s">
        <v>18958</v>
      </c>
      <c r="M2154" t="s">
        <v>18960</v>
      </c>
      <c r="N2154" t="s">
        <v>20588</v>
      </c>
      <c r="O2154" t="s">
        <v>26524</v>
      </c>
      <c r="P2154" t="s">
        <v>26564</v>
      </c>
      <c r="Q2154" t="s">
        <v>26570</v>
      </c>
      <c r="R2154" t="s">
        <v>26582</v>
      </c>
      <c r="S2154" t="s">
        <v>18959</v>
      </c>
      <c r="U2154" t="s">
        <v>26604</v>
      </c>
      <c r="W2154" t="s">
        <v>583</v>
      </c>
      <c r="X2154">
        <v>835.05</v>
      </c>
      <c r="Y2154" t="s">
        <v>26651</v>
      </c>
      <c r="Z2154" t="s">
        <v>26664</v>
      </c>
      <c r="AA2154" t="s">
        <v>26683</v>
      </c>
      <c r="AB2154" t="s">
        <v>28604</v>
      </c>
      <c r="AD2154" t="s">
        <v>38658</v>
      </c>
      <c r="AE2154">
        <v>0</v>
      </c>
      <c r="AF2154" t="s">
        <v>45541</v>
      </c>
      <c r="AH2154">
        <v>10</v>
      </c>
      <c r="AI2154">
        <v>2</v>
      </c>
      <c r="AJ2154">
        <v>0</v>
      </c>
      <c r="AK2154">
        <v>189.55</v>
      </c>
      <c r="AO2154">
        <v>31200</v>
      </c>
      <c r="AU2154">
        <v>0.5</v>
      </c>
      <c r="AV2154" t="s">
        <v>576</v>
      </c>
      <c r="AW2154" t="s">
        <v>317</v>
      </c>
    </row>
    <row r="2155" spans="1:49">
      <c r="A2155" s="1">
        <f>HYPERLINK("https://lsnyc.legalserver.org/matter/dynamic-profile/view/1876360","18-1876360")</f>
        <v>0</v>
      </c>
      <c r="B2155" t="s">
        <v>171</v>
      </c>
      <c r="C2155" t="s">
        <v>341</v>
      </c>
      <c r="D2155" t="s">
        <v>493</v>
      </c>
      <c r="E2155" t="s">
        <v>678</v>
      </c>
      <c r="F2155" t="s">
        <v>2092</v>
      </c>
      <c r="G2155" t="s">
        <v>1685</v>
      </c>
      <c r="H2155" t="s">
        <v>11405</v>
      </c>
      <c r="I2155" t="s">
        <v>17274</v>
      </c>
      <c r="J2155" t="s">
        <v>18893</v>
      </c>
      <c r="K2155">
        <v>10031</v>
      </c>
      <c r="L2155" t="s">
        <v>18958</v>
      </c>
      <c r="M2155" t="s">
        <v>18958</v>
      </c>
      <c r="N2155" t="s">
        <v>20589</v>
      </c>
      <c r="O2155" t="s">
        <v>26524</v>
      </c>
      <c r="P2155" t="s">
        <v>26564</v>
      </c>
      <c r="Q2155" t="s">
        <v>26570</v>
      </c>
      <c r="R2155" t="s">
        <v>26580</v>
      </c>
      <c r="S2155" t="s">
        <v>18959</v>
      </c>
      <c r="U2155" t="s">
        <v>26604</v>
      </c>
      <c r="W2155" t="s">
        <v>583</v>
      </c>
      <c r="X2155">
        <v>862</v>
      </c>
      <c r="Y2155" t="s">
        <v>26651</v>
      </c>
      <c r="Z2155" t="s">
        <v>26664</v>
      </c>
      <c r="AA2155" t="s">
        <v>26683</v>
      </c>
      <c r="AB2155" t="s">
        <v>28605</v>
      </c>
      <c r="AD2155" t="s">
        <v>38659</v>
      </c>
      <c r="AE2155">
        <v>134</v>
      </c>
      <c r="AH2155">
        <v>29</v>
      </c>
      <c r="AI2155">
        <v>4</v>
      </c>
      <c r="AJ2155">
        <v>1</v>
      </c>
      <c r="AK2155">
        <v>112.17</v>
      </c>
      <c r="AO2155">
        <v>33000</v>
      </c>
      <c r="AU2155">
        <v>0.5</v>
      </c>
      <c r="AV2155" t="s">
        <v>571</v>
      </c>
      <c r="AW2155" t="s">
        <v>317</v>
      </c>
    </row>
    <row r="2156" spans="1:49">
      <c r="A2156" s="1">
        <f>HYPERLINK("https://lsnyc.legalserver.org/matter/dynamic-profile/view/1876758","18-1876758")</f>
        <v>0</v>
      </c>
      <c r="B2156" t="s">
        <v>171</v>
      </c>
      <c r="C2156" t="s">
        <v>341</v>
      </c>
      <c r="D2156" t="s">
        <v>422</v>
      </c>
      <c r="E2156" t="s">
        <v>678</v>
      </c>
      <c r="F2156" t="s">
        <v>916</v>
      </c>
      <c r="G2156" t="s">
        <v>5208</v>
      </c>
      <c r="H2156" t="s">
        <v>11406</v>
      </c>
      <c r="I2156" t="s">
        <v>17777</v>
      </c>
      <c r="J2156" t="s">
        <v>18893</v>
      </c>
      <c r="K2156">
        <v>10040</v>
      </c>
      <c r="L2156" t="s">
        <v>18958</v>
      </c>
      <c r="M2156" t="s">
        <v>18958</v>
      </c>
      <c r="N2156" t="s">
        <v>20590</v>
      </c>
      <c r="O2156" t="s">
        <v>26523</v>
      </c>
      <c r="P2156" t="s">
        <v>26564</v>
      </c>
      <c r="Q2156" t="s">
        <v>26570</v>
      </c>
      <c r="R2156" t="s">
        <v>26582</v>
      </c>
      <c r="U2156" t="s">
        <v>26604</v>
      </c>
      <c r="W2156" t="s">
        <v>583</v>
      </c>
      <c r="X2156">
        <v>1443</v>
      </c>
      <c r="Y2156" t="s">
        <v>26651</v>
      </c>
      <c r="AA2156" t="s">
        <v>26683</v>
      </c>
      <c r="AB2156" t="s">
        <v>28606</v>
      </c>
      <c r="AC2156" t="s">
        <v>35143</v>
      </c>
      <c r="AD2156" t="s">
        <v>38660</v>
      </c>
      <c r="AE2156">
        <v>83</v>
      </c>
      <c r="AH2156">
        <v>6</v>
      </c>
      <c r="AI2156">
        <v>1</v>
      </c>
      <c r="AJ2156">
        <v>1</v>
      </c>
      <c r="AK2156">
        <v>43.74</v>
      </c>
      <c r="AN2156" t="s">
        <v>7439</v>
      </c>
      <c r="AO2156">
        <v>7200</v>
      </c>
      <c r="AU2156">
        <v>1.4</v>
      </c>
      <c r="AV2156" t="s">
        <v>422</v>
      </c>
      <c r="AW2156" t="s">
        <v>46838</v>
      </c>
    </row>
    <row r="2157" spans="1:49">
      <c r="A2157" s="1">
        <f>HYPERLINK("https://lsnyc.legalserver.org/matter/dynamic-profile/view/1877760","18-1877760")</f>
        <v>0</v>
      </c>
      <c r="B2157" t="s">
        <v>189</v>
      </c>
      <c r="C2157" t="s">
        <v>341</v>
      </c>
      <c r="D2157" t="s">
        <v>524</v>
      </c>
      <c r="E2157" t="s">
        <v>518</v>
      </c>
      <c r="F2157" t="s">
        <v>1457</v>
      </c>
      <c r="G2157" t="s">
        <v>6301</v>
      </c>
      <c r="H2157" t="s">
        <v>11407</v>
      </c>
      <c r="I2157" t="s">
        <v>17355</v>
      </c>
      <c r="J2157" t="s">
        <v>18892</v>
      </c>
      <c r="K2157">
        <v>10460</v>
      </c>
      <c r="L2157" t="s">
        <v>18958</v>
      </c>
      <c r="M2157" t="s">
        <v>18958</v>
      </c>
      <c r="O2157" t="s">
        <v>26523</v>
      </c>
      <c r="P2157" t="s">
        <v>26560</v>
      </c>
      <c r="Q2157" t="s">
        <v>26568</v>
      </c>
      <c r="R2157" t="s">
        <v>26578</v>
      </c>
      <c r="S2157" t="s">
        <v>18959</v>
      </c>
      <c r="U2157" t="s">
        <v>26604</v>
      </c>
      <c r="W2157" t="s">
        <v>583</v>
      </c>
      <c r="X2157">
        <v>1534</v>
      </c>
      <c r="Y2157" t="s">
        <v>26650</v>
      </c>
      <c r="Z2157" t="s">
        <v>26663</v>
      </c>
      <c r="AA2157" t="s">
        <v>26678</v>
      </c>
      <c r="AB2157" t="s">
        <v>28607</v>
      </c>
      <c r="AC2157" t="s">
        <v>35144</v>
      </c>
      <c r="AE2157">
        <v>35</v>
      </c>
      <c r="AF2157" t="s">
        <v>45541</v>
      </c>
      <c r="AG2157" t="s">
        <v>45558</v>
      </c>
      <c r="AH2157">
        <v>2</v>
      </c>
      <c r="AI2157">
        <v>1</v>
      </c>
      <c r="AJ2157">
        <v>2</v>
      </c>
      <c r="AK2157">
        <v>24.06</v>
      </c>
      <c r="AN2157" t="s">
        <v>45581</v>
      </c>
      <c r="AO2157">
        <v>5000</v>
      </c>
      <c r="AU2157">
        <v>8.5</v>
      </c>
      <c r="AV2157" t="s">
        <v>518</v>
      </c>
      <c r="AW2157" t="s">
        <v>336</v>
      </c>
    </row>
    <row r="2158" spans="1:49">
      <c r="A2158" s="1">
        <f>HYPERLINK("https://lsnyc.legalserver.org/matter/dynamic-profile/view/1877047","18-1877047")</f>
        <v>0</v>
      </c>
      <c r="B2158" t="s">
        <v>86</v>
      </c>
      <c r="C2158" t="s">
        <v>341</v>
      </c>
      <c r="D2158" t="s">
        <v>579</v>
      </c>
      <c r="E2158" t="s">
        <v>624</v>
      </c>
      <c r="F2158" t="s">
        <v>2122</v>
      </c>
      <c r="G2158" t="s">
        <v>6302</v>
      </c>
      <c r="H2158" t="s">
        <v>11408</v>
      </c>
      <c r="I2158" t="s">
        <v>17306</v>
      </c>
      <c r="J2158" t="s">
        <v>18893</v>
      </c>
      <c r="K2158">
        <v>10031</v>
      </c>
      <c r="L2158" t="s">
        <v>18958</v>
      </c>
      <c r="M2158" t="s">
        <v>18958</v>
      </c>
      <c r="N2158" t="s">
        <v>20591</v>
      </c>
      <c r="O2158" t="s">
        <v>26524</v>
      </c>
      <c r="P2158" t="s">
        <v>26564</v>
      </c>
      <c r="Q2158" t="s">
        <v>26570</v>
      </c>
      <c r="R2158" t="s">
        <v>26595</v>
      </c>
      <c r="S2158" t="s">
        <v>18959</v>
      </c>
      <c r="U2158" t="s">
        <v>26604</v>
      </c>
      <c r="W2158" t="s">
        <v>583</v>
      </c>
      <c r="X2158">
        <v>750</v>
      </c>
      <c r="Y2158" t="s">
        <v>26651</v>
      </c>
      <c r="Z2158" t="s">
        <v>26661</v>
      </c>
      <c r="AA2158" t="s">
        <v>26683</v>
      </c>
      <c r="AB2158" t="s">
        <v>28608</v>
      </c>
      <c r="AD2158" t="s">
        <v>38661</v>
      </c>
      <c r="AE2158">
        <v>0</v>
      </c>
      <c r="AF2158" t="s">
        <v>45544</v>
      </c>
      <c r="AG2158" t="s">
        <v>19330</v>
      </c>
      <c r="AH2158">
        <v>4</v>
      </c>
      <c r="AI2158">
        <v>1</v>
      </c>
      <c r="AJ2158">
        <v>0</v>
      </c>
      <c r="AK2158">
        <v>502.47</v>
      </c>
      <c r="AN2158" t="s">
        <v>7439</v>
      </c>
      <c r="AO2158">
        <v>61000</v>
      </c>
      <c r="AU2158">
        <v>0.2</v>
      </c>
      <c r="AV2158" t="s">
        <v>586</v>
      </c>
      <c r="AW2158" t="s">
        <v>314</v>
      </c>
    </row>
    <row r="2159" spans="1:49">
      <c r="A2159" s="1">
        <f>HYPERLINK("https://lsnyc.legalserver.org/matter/dynamic-profile/view/1877061","18-1877061")</f>
        <v>0</v>
      </c>
      <c r="B2159" t="s">
        <v>56</v>
      </c>
      <c r="C2159" t="s">
        <v>340</v>
      </c>
      <c r="D2159" t="s">
        <v>579</v>
      </c>
      <c r="F2159" t="s">
        <v>2123</v>
      </c>
      <c r="G2159" t="s">
        <v>6303</v>
      </c>
      <c r="H2159" t="s">
        <v>11409</v>
      </c>
      <c r="I2159" t="s">
        <v>17778</v>
      </c>
      <c r="J2159" t="s">
        <v>18892</v>
      </c>
      <c r="K2159">
        <v>10457</v>
      </c>
      <c r="L2159" t="s">
        <v>18958</v>
      </c>
      <c r="M2159" t="s">
        <v>18958</v>
      </c>
      <c r="N2159" t="s">
        <v>20592</v>
      </c>
      <c r="O2159" t="s">
        <v>26523</v>
      </c>
      <c r="P2159" t="s">
        <v>26560</v>
      </c>
      <c r="R2159" t="s">
        <v>26579</v>
      </c>
      <c r="U2159" t="s">
        <v>26604</v>
      </c>
      <c r="V2159" t="s">
        <v>26609</v>
      </c>
      <c r="W2159" t="s">
        <v>583</v>
      </c>
      <c r="X2159">
        <v>0</v>
      </c>
      <c r="Y2159" t="s">
        <v>26650</v>
      </c>
      <c r="Z2159" t="s">
        <v>26666</v>
      </c>
      <c r="AB2159" t="s">
        <v>28609</v>
      </c>
      <c r="AD2159" t="s">
        <v>38662</v>
      </c>
      <c r="AE2159">
        <v>0</v>
      </c>
      <c r="AF2159" t="s">
        <v>45541</v>
      </c>
      <c r="AG2159" t="s">
        <v>19330</v>
      </c>
      <c r="AH2159">
        <v>7</v>
      </c>
      <c r="AI2159">
        <v>1</v>
      </c>
      <c r="AJ2159">
        <v>1</v>
      </c>
      <c r="AK2159">
        <v>78.98</v>
      </c>
      <c r="AN2159" t="s">
        <v>45581</v>
      </c>
      <c r="AO2159">
        <v>13000</v>
      </c>
      <c r="AU2159">
        <v>8.5</v>
      </c>
      <c r="AV2159" t="s">
        <v>670</v>
      </c>
      <c r="AW2159" t="s">
        <v>46854</v>
      </c>
    </row>
    <row r="2160" spans="1:49">
      <c r="A2160" s="1">
        <f>HYPERLINK("https://lsnyc.legalserver.org/matter/dynamic-profile/view/1877221","18-1877221")</f>
        <v>0</v>
      </c>
      <c r="B2160" t="s">
        <v>115</v>
      </c>
      <c r="C2160" t="s">
        <v>341</v>
      </c>
      <c r="D2160" t="s">
        <v>576</v>
      </c>
      <c r="E2160" t="s">
        <v>494</v>
      </c>
      <c r="F2160" t="s">
        <v>1189</v>
      </c>
      <c r="G2160" t="s">
        <v>879</v>
      </c>
      <c r="H2160" t="s">
        <v>9760</v>
      </c>
      <c r="I2160" t="s">
        <v>17779</v>
      </c>
      <c r="J2160" t="s">
        <v>18892</v>
      </c>
      <c r="K2160">
        <v>10452</v>
      </c>
      <c r="L2160" t="s">
        <v>18958</v>
      </c>
      <c r="M2160" t="s">
        <v>18958</v>
      </c>
      <c r="O2160" t="s">
        <v>26526</v>
      </c>
      <c r="P2160" t="s">
        <v>26564</v>
      </c>
      <c r="Q2160" t="s">
        <v>26570</v>
      </c>
      <c r="R2160" t="s">
        <v>26578</v>
      </c>
      <c r="S2160" t="s">
        <v>18959</v>
      </c>
      <c r="U2160" t="s">
        <v>26604</v>
      </c>
      <c r="W2160" t="s">
        <v>583</v>
      </c>
      <c r="X2160">
        <v>1600</v>
      </c>
      <c r="Y2160" t="s">
        <v>26650</v>
      </c>
      <c r="Z2160" t="s">
        <v>26663</v>
      </c>
      <c r="AA2160" t="s">
        <v>26683</v>
      </c>
      <c r="AB2160" t="s">
        <v>28610</v>
      </c>
      <c r="AE2160">
        <v>149</v>
      </c>
      <c r="AF2160" t="s">
        <v>45541</v>
      </c>
      <c r="AG2160" t="s">
        <v>26530</v>
      </c>
      <c r="AH2160">
        <v>12</v>
      </c>
      <c r="AI2160">
        <v>1</v>
      </c>
      <c r="AJ2160">
        <v>1</v>
      </c>
      <c r="AK2160">
        <v>36.09</v>
      </c>
      <c r="AN2160" t="s">
        <v>7439</v>
      </c>
      <c r="AO2160">
        <v>5940</v>
      </c>
      <c r="AU2160">
        <v>0.2</v>
      </c>
      <c r="AV2160" t="s">
        <v>415</v>
      </c>
      <c r="AW2160" t="s">
        <v>46832</v>
      </c>
    </row>
    <row r="2161" spans="1:49">
      <c r="A2161" s="1">
        <f>HYPERLINK("https://lsnyc.legalserver.org/matter/dynamic-profile/view/1877147","18-1877147")</f>
        <v>0</v>
      </c>
      <c r="B2161" t="s">
        <v>213</v>
      </c>
      <c r="C2161" t="s">
        <v>340</v>
      </c>
      <c r="D2161" t="s">
        <v>576</v>
      </c>
      <c r="F2161" t="s">
        <v>2124</v>
      </c>
      <c r="G2161" t="s">
        <v>5266</v>
      </c>
      <c r="H2161" t="s">
        <v>11410</v>
      </c>
      <c r="I2161" t="s">
        <v>17307</v>
      </c>
      <c r="J2161" t="s">
        <v>18892</v>
      </c>
      <c r="K2161">
        <v>10458</v>
      </c>
      <c r="L2161" t="s">
        <v>18958</v>
      </c>
      <c r="M2161" t="s">
        <v>18958</v>
      </c>
      <c r="N2161" t="s">
        <v>20593</v>
      </c>
      <c r="O2161" t="s">
        <v>26523</v>
      </c>
      <c r="P2161" t="s">
        <v>26560</v>
      </c>
      <c r="R2161" t="s">
        <v>26577</v>
      </c>
      <c r="S2161" t="s">
        <v>18959</v>
      </c>
      <c r="U2161" t="s">
        <v>26604</v>
      </c>
      <c r="V2161" t="s">
        <v>26610</v>
      </c>
      <c r="W2161" t="s">
        <v>583</v>
      </c>
      <c r="X2161">
        <v>2400</v>
      </c>
      <c r="Y2161" t="s">
        <v>26650</v>
      </c>
      <c r="Z2161" t="s">
        <v>26669</v>
      </c>
      <c r="AB2161" t="s">
        <v>28611</v>
      </c>
      <c r="AC2161" t="s">
        <v>35145</v>
      </c>
      <c r="AD2161" t="s">
        <v>38663</v>
      </c>
      <c r="AE2161">
        <v>10</v>
      </c>
      <c r="AF2161" t="s">
        <v>45541</v>
      </c>
      <c r="AG2161" t="s">
        <v>45556</v>
      </c>
      <c r="AH2161">
        <v>10</v>
      </c>
      <c r="AI2161">
        <v>2</v>
      </c>
      <c r="AJ2161">
        <v>3</v>
      </c>
      <c r="AK2161">
        <v>89.45</v>
      </c>
      <c r="AN2161" t="s">
        <v>7439</v>
      </c>
      <c r="AO2161">
        <v>26316</v>
      </c>
      <c r="AP2161" t="s">
        <v>45654</v>
      </c>
      <c r="AU2161">
        <v>75.59999999999999</v>
      </c>
      <c r="AV2161" t="s">
        <v>834</v>
      </c>
      <c r="AW2161" t="s">
        <v>46847</v>
      </c>
    </row>
    <row r="2162" spans="1:49">
      <c r="A2162" s="1">
        <f>HYPERLINK("https://lsnyc.legalserver.org/matter/dynamic-profile/view/1877313","18-1877313")</f>
        <v>0</v>
      </c>
      <c r="B2162" t="s">
        <v>112</v>
      </c>
      <c r="C2162" t="s">
        <v>340</v>
      </c>
      <c r="D2162" t="s">
        <v>578</v>
      </c>
      <c r="F2162" t="s">
        <v>1480</v>
      </c>
      <c r="G2162" t="s">
        <v>6304</v>
      </c>
      <c r="H2162" t="s">
        <v>11411</v>
      </c>
      <c r="I2162" t="s">
        <v>17491</v>
      </c>
      <c r="J2162" t="s">
        <v>18898</v>
      </c>
      <c r="K2162">
        <v>11691</v>
      </c>
      <c r="L2162" t="s">
        <v>18958</v>
      </c>
      <c r="M2162" t="s">
        <v>18958</v>
      </c>
      <c r="N2162" t="s">
        <v>20594</v>
      </c>
      <c r="O2162" t="s">
        <v>26524</v>
      </c>
      <c r="P2162" t="s">
        <v>26564</v>
      </c>
      <c r="R2162" t="s">
        <v>26578</v>
      </c>
      <c r="S2162" t="s">
        <v>18959</v>
      </c>
      <c r="U2162" t="s">
        <v>26604</v>
      </c>
      <c r="V2162" t="s">
        <v>26610</v>
      </c>
      <c r="W2162" t="s">
        <v>583</v>
      </c>
      <c r="X2162">
        <v>1500</v>
      </c>
      <c r="Y2162" t="s">
        <v>26653</v>
      </c>
      <c r="Z2162" t="s">
        <v>26664</v>
      </c>
      <c r="AB2162" t="s">
        <v>28612</v>
      </c>
      <c r="AD2162" t="s">
        <v>38664</v>
      </c>
      <c r="AE2162">
        <v>2</v>
      </c>
      <c r="AF2162" t="s">
        <v>45547</v>
      </c>
      <c r="AG2162" t="s">
        <v>45556</v>
      </c>
      <c r="AH2162">
        <v>15</v>
      </c>
      <c r="AI2162">
        <v>3</v>
      </c>
      <c r="AJ2162">
        <v>0</v>
      </c>
      <c r="AK2162">
        <v>126.29</v>
      </c>
      <c r="AN2162" t="s">
        <v>7439</v>
      </c>
      <c r="AO2162">
        <v>26244</v>
      </c>
      <c r="AU2162">
        <v>2</v>
      </c>
      <c r="AV2162" t="s">
        <v>458</v>
      </c>
      <c r="AW2162" t="s">
        <v>122</v>
      </c>
    </row>
    <row r="2163" spans="1:49">
      <c r="A2163" s="1">
        <f>HYPERLINK("https://lsnyc.legalserver.org/matter/dynamic-profile/view/1877523","18-1877523")</f>
        <v>0</v>
      </c>
      <c r="B2163" t="s">
        <v>151</v>
      </c>
      <c r="C2163" t="s">
        <v>341</v>
      </c>
      <c r="D2163" t="s">
        <v>545</v>
      </c>
      <c r="E2163" t="s">
        <v>639</v>
      </c>
      <c r="F2163" t="s">
        <v>1107</v>
      </c>
      <c r="G2163" t="s">
        <v>6305</v>
      </c>
      <c r="H2163" t="s">
        <v>11412</v>
      </c>
      <c r="J2163" t="s">
        <v>18893</v>
      </c>
      <c r="K2163">
        <v>10001</v>
      </c>
      <c r="L2163" t="s">
        <v>18958</v>
      </c>
      <c r="M2163" t="s">
        <v>18958</v>
      </c>
      <c r="N2163" t="s">
        <v>20595</v>
      </c>
      <c r="O2163" t="s">
        <v>26524</v>
      </c>
      <c r="P2163" t="s">
        <v>26564</v>
      </c>
      <c r="Q2163" t="s">
        <v>26570</v>
      </c>
      <c r="R2163" t="s">
        <v>26582</v>
      </c>
      <c r="S2163" t="s">
        <v>18959</v>
      </c>
      <c r="U2163" t="s">
        <v>26604</v>
      </c>
      <c r="V2163" t="s">
        <v>26610</v>
      </c>
      <c r="W2163" t="s">
        <v>583</v>
      </c>
      <c r="X2163">
        <v>0</v>
      </c>
      <c r="Y2163" t="s">
        <v>26651</v>
      </c>
      <c r="Z2163" t="s">
        <v>26664</v>
      </c>
      <c r="AA2163" t="s">
        <v>26683</v>
      </c>
      <c r="AB2163" t="s">
        <v>28613</v>
      </c>
      <c r="AD2163" t="s">
        <v>38665</v>
      </c>
      <c r="AE2163">
        <v>0</v>
      </c>
      <c r="AF2163" t="s">
        <v>45547</v>
      </c>
      <c r="AG2163" t="s">
        <v>19330</v>
      </c>
      <c r="AH2163">
        <v>-1</v>
      </c>
      <c r="AI2163">
        <v>1</v>
      </c>
      <c r="AJ2163">
        <v>1</v>
      </c>
      <c r="AK2163">
        <v>0</v>
      </c>
      <c r="AN2163" t="s">
        <v>7439</v>
      </c>
      <c r="AO2163">
        <v>0</v>
      </c>
      <c r="AU2163">
        <v>1.3</v>
      </c>
      <c r="AV2163" t="s">
        <v>639</v>
      </c>
      <c r="AW2163" t="s">
        <v>264</v>
      </c>
    </row>
    <row r="2164" spans="1:49">
      <c r="A2164" s="1">
        <f>HYPERLINK("https://lsnyc.legalserver.org/matter/dynamic-profile/view/1877550","18-1877550")</f>
        <v>0</v>
      </c>
      <c r="B2164" t="s">
        <v>151</v>
      </c>
      <c r="C2164" t="s">
        <v>341</v>
      </c>
      <c r="D2164" t="s">
        <v>545</v>
      </c>
      <c r="E2164" t="s">
        <v>639</v>
      </c>
      <c r="F2164" t="s">
        <v>1638</v>
      </c>
      <c r="G2164" t="s">
        <v>6306</v>
      </c>
      <c r="H2164" t="s">
        <v>11413</v>
      </c>
      <c r="J2164" t="s">
        <v>18893</v>
      </c>
      <c r="K2164">
        <v>10030</v>
      </c>
      <c r="L2164" t="s">
        <v>18958</v>
      </c>
      <c r="M2164" t="s">
        <v>18958</v>
      </c>
      <c r="N2164" t="s">
        <v>20596</v>
      </c>
      <c r="O2164" t="s">
        <v>26524</v>
      </c>
      <c r="P2164" t="s">
        <v>26564</v>
      </c>
      <c r="Q2164" t="s">
        <v>26570</v>
      </c>
      <c r="R2164" t="s">
        <v>26582</v>
      </c>
      <c r="S2164" t="s">
        <v>18959</v>
      </c>
      <c r="U2164" t="s">
        <v>26605</v>
      </c>
      <c r="V2164" t="s">
        <v>26610</v>
      </c>
      <c r="W2164" t="s">
        <v>583</v>
      </c>
      <c r="X2164">
        <v>0</v>
      </c>
      <c r="Y2164" t="s">
        <v>26651</v>
      </c>
      <c r="Z2164" t="s">
        <v>26664</v>
      </c>
      <c r="AA2164" t="s">
        <v>26683</v>
      </c>
      <c r="AB2164" t="s">
        <v>28614</v>
      </c>
      <c r="AC2164" t="s">
        <v>35146</v>
      </c>
      <c r="AD2164" t="s">
        <v>38666</v>
      </c>
      <c r="AE2164">
        <v>0</v>
      </c>
      <c r="AF2164" t="s">
        <v>20460</v>
      </c>
      <c r="AG2164" t="s">
        <v>19330</v>
      </c>
      <c r="AH2164">
        <v>1</v>
      </c>
      <c r="AI2164">
        <v>1</v>
      </c>
      <c r="AJ2164">
        <v>0</v>
      </c>
      <c r="AK2164">
        <v>2.22</v>
      </c>
      <c r="AN2164" t="s">
        <v>7439</v>
      </c>
      <c r="AO2164">
        <v>270</v>
      </c>
      <c r="AU2164">
        <v>1.2</v>
      </c>
      <c r="AV2164" t="s">
        <v>606</v>
      </c>
      <c r="AW2164" t="s">
        <v>264</v>
      </c>
    </row>
    <row r="2165" spans="1:49">
      <c r="A2165" s="1">
        <f>HYPERLINK("https://lsnyc.legalserver.org/matter/dynamic-profile/view/1877517","18-1877517")</f>
        <v>0</v>
      </c>
      <c r="B2165" t="s">
        <v>151</v>
      </c>
      <c r="C2165" t="s">
        <v>341</v>
      </c>
      <c r="D2165" t="s">
        <v>545</v>
      </c>
      <c r="E2165" t="s">
        <v>639</v>
      </c>
      <c r="F2165" t="s">
        <v>2125</v>
      </c>
      <c r="G2165" t="s">
        <v>5419</v>
      </c>
      <c r="H2165" t="s">
        <v>11414</v>
      </c>
      <c r="J2165" t="s">
        <v>18893</v>
      </c>
      <c r="K2165">
        <v>10023</v>
      </c>
      <c r="L2165" t="s">
        <v>18958</v>
      </c>
      <c r="M2165" t="s">
        <v>18959</v>
      </c>
      <c r="N2165" t="s">
        <v>20597</v>
      </c>
      <c r="O2165" t="s">
        <v>26523</v>
      </c>
      <c r="P2165" t="s">
        <v>26564</v>
      </c>
      <c r="Q2165" t="s">
        <v>26570</v>
      </c>
      <c r="R2165" t="s">
        <v>26582</v>
      </c>
      <c r="S2165" t="s">
        <v>18959</v>
      </c>
      <c r="U2165" t="s">
        <v>26605</v>
      </c>
      <c r="V2165" t="s">
        <v>26610</v>
      </c>
      <c r="W2165" t="s">
        <v>583</v>
      </c>
      <c r="X2165">
        <v>348</v>
      </c>
      <c r="Y2165" t="s">
        <v>26651</v>
      </c>
      <c r="Z2165" t="s">
        <v>26664</v>
      </c>
      <c r="AA2165" t="s">
        <v>26683</v>
      </c>
      <c r="AB2165" t="s">
        <v>28615</v>
      </c>
      <c r="AC2165" t="s">
        <v>35147</v>
      </c>
      <c r="AD2165" t="s">
        <v>38667</v>
      </c>
      <c r="AE2165">
        <v>0</v>
      </c>
      <c r="AF2165" t="s">
        <v>45549</v>
      </c>
      <c r="AG2165" t="s">
        <v>19330</v>
      </c>
      <c r="AH2165">
        <v>25</v>
      </c>
      <c r="AI2165">
        <v>3</v>
      </c>
      <c r="AJ2165">
        <v>3</v>
      </c>
      <c r="AK2165">
        <v>26.96</v>
      </c>
      <c r="AN2165" t="s">
        <v>7439</v>
      </c>
      <c r="AO2165">
        <v>9096</v>
      </c>
      <c r="AU2165">
        <v>1.6</v>
      </c>
      <c r="AV2165" t="s">
        <v>666</v>
      </c>
      <c r="AW2165" t="s">
        <v>264</v>
      </c>
    </row>
    <row r="2166" spans="1:49">
      <c r="A2166" s="1">
        <f>HYPERLINK("https://lsnyc.legalserver.org/matter/dynamic-profile/view/1877568","18-1877568")</f>
        <v>0</v>
      </c>
      <c r="B2166" t="s">
        <v>151</v>
      </c>
      <c r="C2166" t="s">
        <v>341</v>
      </c>
      <c r="D2166" t="s">
        <v>545</v>
      </c>
      <c r="E2166" t="s">
        <v>624</v>
      </c>
      <c r="F2166" t="s">
        <v>1925</v>
      </c>
      <c r="G2166" t="s">
        <v>5078</v>
      </c>
      <c r="H2166" t="s">
        <v>11415</v>
      </c>
      <c r="J2166" t="s">
        <v>18893</v>
      </c>
      <c r="K2166">
        <v>10032</v>
      </c>
      <c r="L2166" t="s">
        <v>18958</v>
      </c>
      <c r="M2166" t="s">
        <v>18958</v>
      </c>
      <c r="N2166" t="s">
        <v>20598</v>
      </c>
      <c r="O2166" t="s">
        <v>26524</v>
      </c>
      <c r="P2166" t="s">
        <v>26564</v>
      </c>
      <c r="Q2166" t="s">
        <v>26570</v>
      </c>
      <c r="R2166" t="s">
        <v>26582</v>
      </c>
      <c r="U2166" t="s">
        <v>26605</v>
      </c>
      <c r="V2166" t="s">
        <v>26611</v>
      </c>
      <c r="W2166" t="s">
        <v>583</v>
      </c>
      <c r="X2166">
        <v>0</v>
      </c>
      <c r="Y2166" t="s">
        <v>26651</v>
      </c>
      <c r="Z2166" t="s">
        <v>26664</v>
      </c>
      <c r="AA2166" t="s">
        <v>26683</v>
      </c>
      <c r="AB2166" t="s">
        <v>28616</v>
      </c>
      <c r="AD2166" t="s">
        <v>38668</v>
      </c>
      <c r="AE2166">
        <v>0</v>
      </c>
      <c r="AF2166" t="s">
        <v>45541</v>
      </c>
      <c r="AG2166" t="s">
        <v>45561</v>
      </c>
      <c r="AH2166">
        <v>2</v>
      </c>
      <c r="AI2166">
        <v>1</v>
      </c>
      <c r="AJ2166">
        <v>0</v>
      </c>
      <c r="AK2166">
        <v>73.44</v>
      </c>
      <c r="AN2166" t="s">
        <v>45581</v>
      </c>
      <c r="AO2166">
        <v>8916</v>
      </c>
      <c r="AU2166">
        <v>2.45</v>
      </c>
      <c r="AV2166" t="s">
        <v>525</v>
      </c>
      <c r="AW2166" t="s">
        <v>264</v>
      </c>
    </row>
    <row r="2167" spans="1:49">
      <c r="A2167" s="1">
        <f>HYPERLINK("https://lsnyc.legalserver.org/matter/dynamic-profile/view/1877447","18-1877447")</f>
        <v>0</v>
      </c>
      <c r="B2167" t="s">
        <v>65</v>
      </c>
      <c r="C2167" t="s">
        <v>341</v>
      </c>
      <c r="D2167" t="s">
        <v>545</v>
      </c>
      <c r="E2167" t="s">
        <v>769</v>
      </c>
      <c r="F2167" t="s">
        <v>2126</v>
      </c>
      <c r="G2167" t="s">
        <v>6307</v>
      </c>
      <c r="H2167" t="s">
        <v>11416</v>
      </c>
      <c r="I2167" t="s">
        <v>17780</v>
      </c>
      <c r="J2167" t="s">
        <v>18892</v>
      </c>
      <c r="K2167">
        <v>10467</v>
      </c>
      <c r="L2167" t="s">
        <v>18958</v>
      </c>
      <c r="M2167" t="s">
        <v>18958</v>
      </c>
      <c r="N2167" t="s">
        <v>20599</v>
      </c>
      <c r="O2167" t="s">
        <v>26523</v>
      </c>
      <c r="P2167" t="s">
        <v>26560</v>
      </c>
      <c r="Q2167" t="s">
        <v>26568</v>
      </c>
      <c r="R2167" t="s">
        <v>26579</v>
      </c>
      <c r="S2167" t="s">
        <v>18959</v>
      </c>
      <c r="U2167" t="s">
        <v>26604</v>
      </c>
      <c r="V2167" t="s">
        <v>26609</v>
      </c>
      <c r="W2167" t="s">
        <v>583</v>
      </c>
      <c r="X2167">
        <v>1139</v>
      </c>
      <c r="Y2167" t="s">
        <v>26650</v>
      </c>
      <c r="Z2167" t="s">
        <v>26668</v>
      </c>
      <c r="AA2167" t="s">
        <v>26678</v>
      </c>
      <c r="AB2167" t="s">
        <v>27657</v>
      </c>
      <c r="AD2167" t="s">
        <v>38669</v>
      </c>
      <c r="AE2167">
        <v>0</v>
      </c>
      <c r="AF2167" t="s">
        <v>45541</v>
      </c>
      <c r="AG2167" t="s">
        <v>19330</v>
      </c>
      <c r="AH2167">
        <v>4</v>
      </c>
      <c r="AI2167">
        <v>2</v>
      </c>
      <c r="AJ2167">
        <v>1</v>
      </c>
      <c r="AK2167">
        <v>115.5</v>
      </c>
      <c r="AN2167" t="s">
        <v>7439</v>
      </c>
      <c r="AO2167">
        <v>24000</v>
      </c>
      <c r="AQ2167" t="s">
        <v>46364</v>
      </c>
      <c r="AR2167" t="s">
        <v>46408</v>
      </c>
      <c r="AS2167" t="s">
        <v>46499</v>
      </c>
      <c r="AT2167" t="s">
        <v>46726</v>
      </c>
      <c r="AU2167">
        <v>17.2</v>
      </c>
      <c r="AV2167" t="s">
        <v>801</v>
      </c>
      <c r="AW2167" t="s">
        <v>46831</v>
      </c>
    </row>
    <row r="2168" spans="1:49">
      <c r="A2168" s="1">
        <f>HYPERLINK("https://lsnyc.legalserver.org/matter/dynamic-profile/view/1877737","18-1877737")</f>
        <v>0</v>
      </c>
      <c r="B2168" t="s">
        <v>120</v>
      </c>
      <c r="C2168" t="s">
        <v>340</v>
      </c>
      <c r="D2168" t="s">
        <v>571</v>
      </c>
      <c r="F2168" t="s">
        <v>2127</v>
      </c>
      <c r="G2168" t="s">
        <v>6308</v>
      </c>
      <c r="H2168" t="s">
        <v>11417</v>
      </c>
      <c r="I2168" t="s">
        <v>17322</v>
      </c>
      <c r="J2168" t="s">
        <v>18892</v>
      </c>
      <c r="K2168">
        <v>10467</v>
      </c>
      <c r="L2168" t="s">
        <v>18958</v>
      </c>
      <c r="M2168" t="s">
        <v>18958</v>
      </c>
      <c r="N2168" t="s">
        <v>20600</v>
      </c>
      <c r="O2168" t="s">
        <v>26523</v>
      </c>
      <c r="P2168" t="s">
        <v>26560</v>
      </c>
      <c r="R2168" t="s">
        <v>26579</v>
      </c>
      <c r="S2168" t="s">
        <v>18959</v>
      </c>
      <c r="U2168" t="s">
        <v>26604</v>
      </c>
      <c r="V2168" t="s">
        <v>26610</v>
      </c>
      <c r="W2168" t="s">
        <v>583</v>
      </c>
      <c r="X2168">
        <v>1595</v>
      </c>
      <c r="Y2168" t="s">
        <v>26650</v>
      </c>
      <c r="Z2168" t="s">
        <v>26669</v>
      </c>
      <c r="AA2168" t="s">
        <v>26678</v>
      </c>
      <c r="AB2168" t="s">
        <v>28617</v>
      </c>
      <c r="AD2168" t="s">
        <v>38670</v>
      </c>
      <c r="AE2168">
        <v>55</v>
      </c>
      <c r="AF2168" t="s">
        <v>45541</v>
      </c>
      <c r="AG2168" t="s">
        <v>19330</v>
      </c>
      <c r="AH2168">
        <v>1</v>
      </c>
      <c r="AI2168">
        <v>1</v>
      </c>
      <c r="AJ2168">
        <v>1</v>
      </c>
      <c r="AK2168">
        <v>102.99</v>
      </c>
      <c r="AN2168" t="s">
        <v>45581</v>
      </c>
      <c r="AO2168">
        <v>16952</v>
      </c>
      <c r="AU2168">
        <v>28.4</v>
      </c>
      <c r="AV2168" t="s">
        <v>838</v>
      </c>
      <c r="AW2168" t="s">
        <v>46847</v>
      </c>
    </row>
    <row r="2169" spans="1:49">
      <c r="A2169" s="1">
        <f>HYPERLINK("https://lsnyc.legalserver.org/matter/dynamic-profile/view/1877883","18-1877883")</f>
        <v>0</v>
      </c>
      <c r="B2169" t="s">
        <v>69</v>
      </c>
      <c r="C2169" t="s">
        <v>340</v>
      </c>
      <c r="D2169" t="s">
        <v>588</v>
      </c>
      <c r="F2169" t="s">
        <v>2128</v>
      </c>
      <c r="G2169" t="s">
        <v>6309</v>
      </c>
      <c r="H2169" t="s">
        <v>11418</v>
      </c>
      <c r="I2169" t="s">
        <v>17277</v>
      </c>
      <c r="J2169" t="s">
        <v>18892</v>
      </c>
      <c r="K2169">
        <v>10467</v>
      </c>
      <c r="L2169" t="s">
        <v>18958</v>
      </c>
      <c r="M2169" t="s">
        <v>18958</v>
      </c>
      <c r="N2169" t="s">
        <v>20601</v>
      </c>
      <c r="O2169" t="s">
        <v>26523</v>
      </c>
      <c r="P2169" t="s">
        <v>26560</v>
      </c>
      <c r="R2169" t="s">
        <v>26579</v>
      </c>
      <c r="S2169" t="s">
        <v>18959</v>
      </c>
      <c r="U2169" t="s">
        <v>26604</v>
      </c>
      <c r="W2169" t="s">
        <v>583</v>
      </c>
      <c r="X2169">
        <v>796.26</v>
      </c>
      <c r="Y2169" t="s">
        <v>26650</v>
      </c>
      <c r="AB2169" t="s">
        <v>28618</v>
      </c>
      <c r="AD2169" t="s">
        <v>38671</v>
      </c>
      <c r="AE2169">
        <v>0</v>
      </c>
      <c r="AF2169" t="s">
        <v>45541</v>
      </c>
      <c r="AG2169" t="s">
        <v>19330</v>
      </c>
      <c r="AH2169">
        <v>8</v>
      </c>
      <c r="AI2169">
        <v>2</v>
      </c>
      <c r="AJ2169">
        <v>2</v>
      </c>
      <c r="AK2169">
        <v>121.61</v>
      </c>
      <c r="AN2169" t="s">
        <v>45581</v>
      </c>
      <c r="AO2169">
        <v>30524</v>
      </c>
      <c r="AU2169">
        <v>6.5</v>
      </c>
      <c r="AV2169" t="s">
        <v>667</v>
      </c>
      <c r="AW2169" t="s">
        <v>46836</v>
      </c>
    </row>
    <row r="2170" spans="1:49">
      <c r="A2170" s="1">
        <f>HYPERLINK("https://lsnyc.legalserver.org/matter/dynamic-profile/view/1878091","18-1878091")</f>
        <v>0</v>
      </c>
      <c r="B2170" t="s">
        <v>57</v>
      </c>
      <c r="C2170" t="s">
        <v>340</v>
      </c>
      <c r="D2170" t="s">
        <v>534</v>
      </c>
      <c r="F2170" t="s">
        <v>1745</v>
      </c>
      <c r="G2170" t="s">
        <v>6310</v>
      </c>
      <c r="H2170" t="s">
        <v>10846</v>
      </c>
      <c r="I2170" t="s">
        <v>17352</v>
      </c>
      <c r="J2170" t="s">
        <v>18892</v>
      </c>
      <c r="K2170">
        <v>10467</v>
      </c>
      <c r="L2170" t="s">
        <v>18958</v>
      </c>
      <c r="M2170" t="s">
        <v>18958</v>
      </c>
      <c r="N2170" t="s">
        <v>20602</v>
      </c>
      <c r="O2170" t="s">
        <v>26523</v>
      </c>
      <c r="P2170" t="s">
        <v>26560</v>
      </c>
      <c r="R2170" t="s">
        <v>26579</v>
      </c>
      <c r="S2170" t="s">
        <v>18959</v>
      </c>
      <c r="U2170" t="s">
        <v>26604</v>
      </c>
      <c r="V2170" t="s">
        <v>26610</v>
      </c>
      <c r="W2170" t="s">
        <v>583</v>
      </c>
      <c r="X2170">
        <v>215</v>
      </c>
      <c r="Y2170" t="s">
        <v>26650</v>
      </c>
      <c r="Z2170" t="s">
        <v>26664</v>
      </c>
      <c r="AB2170" t="s">
        <v>28619</v>
      </c>
      <c r="AC2170" t="s">
        <v>35148</v>
      </c>
      <c r="AD2170" t="s">
        <v>38672</v>
      </c>
      <c r="AE2170">
        <v>37</v>
      </c>
      <c r="AF2170" t="s">
        <v>45543</v>
      </c>
      <c r="AG2170" t="s">
        <v>45556</v>
      </c>
      <c r="AH2170">
        <v>0</v>
      </c>
      <c r="AI2170">
        <v>1</v>
      </c>
      <c r="AJ2170">
        <v>0</v>
      </c>
      <c r="AK2170">
        <v>5.83</v>
      </c>
      <c r="AN2170" t="s">
        <v>7439</v>
      </c>
      <c r="AO2170">
        <v>708</v>
      </c>
      <c r="AU2170">
        <v>17.5</v>
      </c>
      <c r="AV2170" t="s">
        <v>458</v>
      </c>
      <c r="AW2170" t="s">
        <v>46870</v>
      </c>
    </row>
    <row r="2171" spans="1:49">
      <c r="A2171" s="1">
        <f>HYPERLINK("https://lsnyc.legalserver.org/matter/dynamic-profile/view/1878094","18-1878094")</f>
        <v>0</v>
      </c>
      <c r="B2171" t="s">
        <v>63</v>
      </c>
      <c r="C2171" t="s">
        <v>340</v>
      </c>
      <c r="D2171" t="s">
        <v>534</v>
      </c>
      <c r="F2171" t="s">
        <v>1029</v>
      </c>
      <c r="G2171" t="s">
        <v>1901</v>
      </c>
      <c r="H2171" t="s">
        <v>11419</v>
      </c>
      <c r="I2171" t="s">
        <v>17355</v>
      </c>
      <c r="J2171" t="s">
        <v>18892</v>
      </c>
      <c r="K2171">
        <v>10453</v>
      </c>
      <c r="L2171" t="s">
        <v>18958</v>
      </c>
      <c r="M2171" t="s">
        <v>18958</v>
      </c>
      <c r="O2171" t="s">
        <v>26537</v>
      </c>
      <c r="P2171" t="s">
        <v>26561</v>
      </c>
      <c r="R2171" t="s">
        <v>26578</v>
      </c>
      <c r="S2171" t="s">
        <v>18959</v>
      </c>
      <c r="U2171" t="s">
        <v>26606</v>
      </c>
      <c r="W2171" t="s">
        <v>583</v>
      </c>
      <c r="X2171">
        <v>1600</v>
      </c>
      <c r="Y2171" t="s">
        <v>26650</v>
      </c>
      <c r="Z2171" t="s">
        <v>26659</v>
      </c>
      <c r="AB2171" t="s">
        <v>28620</v>
      </c>
      <c r="AC2171" t="s">
        <v>35149</v>
      </c>
      <c r="AD2171" t="s">
        <v>38673</v>
      </c>
      <c r="AE2171">
        <v>48</v>
      </c>
      <c r="AF2171" t="s">
        <v>45541</v>
      </c>
      <c r="AG2171" t="s">
        <v>45556</v>
      </c>
      <c r="AH2171">
        <v>3</v>
      </c>
      <c r="AI2171">
        <v>1</v>
      </c>
      <c r="AJ2171">
        <v>3</v>
      </c>
      <c r="AK2171">
        <v>70.09</v>
      </c>
      <c r="AN2171" t="s">
        <v>7439</v>
      </c>
      <c r="AO2171">
        <v>17592</v>
      </c>
      <c r="AU2171">
        <v>5.8</v>
      </c>
      <c r="AV2171" t="s">
        <v>755</v>
      </c>
      <c r="AW2171" t="s">
        <v>336</v>
      </c>
    </row>
    <row r="2172" spans="1:49">
      <c r="A2172" s="1">
        <f>HYPERLINK("https://lsnyc.legalserver.org/matter/dynamic-profile/view/1878337","18-1878337")</f>
        <v>0</v>
      </c>
      <c r="B2172" t="s">
        <v>137</v>
      </c>
      <c r="C2172" t="s">
        <v>341</v>
      </c>
      <c r="D2172" t="s">
        <v>582</v>
      </c>
      <c r="E2172" t="s">
        <v>706</v>
      </c>
      <c r="F2172" t="s">
        <v>1046</v>
      </c>
      <c r="G2172" t="s">
        <v>5916</v>
      </c>
      <c r="H2172" t="s">
        <v>11265</v>
      </c>
      <c r="I2172" t="s">
        <v>17369</v>
      </c>
      <c r="J2172" t="s">
        <v>18892</v>
      </c>
      <c r="K2172">
        <v>10467</v>
      </c>
      <c r="L2172" t="s">
        <v>18958</v>
      </c>
      <c r="M2172" t="s">
        <v>18958</v>
      </c>
      <c r="N2172" t="s">
        <v>20603</v>
      </c>
      <c r="O2172" t="s">
        <v>26523</v>
      </c>
      <c r="P2172" t="s">
        <v>26560</v>
      </c>
      <c r="Q2172" t="s">
        <v>26574</v>
      </c>
      <c r="R2172" t="s">
        <v>26579</v>
      </c>
      <c r="U2172" t="s">
        <v>26604</v>
      </c>
      <c r="V2172" t="s">
        <v>26611</v>
      </c>
      <c r="W2172" t="s">
        <v>583</v>
      </c>
      <c r="X2172">
        <v>1300</v>
      </c>
      <c r="Y2172" t="s">
        <v>26650</v>
      </c>
      <c r="Z2172" t="s">
        <v>26672</v>
      </c>
      <c r="AA2172" t="s">
        <v>26678</v>
      </c>
      <c r="AB2172" t="s">
        <v>28621</v>
      </c>
      <c r="AC2172" t="s">
        <v>35150</v>
      </c>
      <c r="AD2172" t="s">
        <v>38674</v>
      </c>
      <c r="AE2172">
        <v>59</v>
      </c>
      <c r="AF2172" t="s">
        <v>45541</v>
      </c>
      <c r="AG2172" t="s">
        <v>45561</v>
      </c>
      <c r="AH2172">
        <v>5</v>
      </c>
      <c r="AI2172">
        <v>1</v>
      </c>
      <c r="AJ2172">
        <v>0</v>
      </c>
      <c r="AK2172">
        <v>69.19</v>
      </c>
      <c r="AN2172" t="s">
        <v>7439</v>
      </c>
      <c r="AO2172">
        <v>8400</v>
      </c>
      <c r="AR2172" t="s">
        <v>46379</v>
      </c>
      <c r="AS2172" t="s">
        <v>46499</v>
      </c>
      <c r="AT2172" t="s">
        <v>46530</v>
      </c>
      <c r="AU2172">
        <v>3.5</v>
      </c>
      <c r="AV2172" t="s">
        <v>594</v>
      </c>
      <c r="AW2172" t="s">
        <v>46861</v>
      </c>
    </row>
    <row r="2173" spans="1:49">
      <c r="A2173" s="1">
        <f>HYPERLINK("https://lsnyc.legalserver.org/matter/dynamic-profile/view/1878380","18-1878380")</f>
        <v>0</v>
      </c>
      <c r="B2173" t="s">
        <v>136</v>
      </c>
      <c r="C2173" t="s">
        <v>340</v>
      </c>
      <c r="D2173" t="s">
        <v>582</v>
      </c>
      <c r="F2173" t="s">
        <v>1631</v>
      </c>
      <c r="G2173" t="s">
        <v>6311</v>
      </c>
      <c r="H2173" t="s">
        <v>11420</v>
      </c>
      <c r="I2173" t="s">
        <v>17301</v>
      </c>
      <c r="J2173" t="s">
        <v>18892</v>
      </c>
      <c r="K2173">
        <v>10466</v>
      </c>
      <c r="L2173" t="s">
        <v>18958</v>
      </c>
      <c r="M2173" t="s">
        <v>18958</v>
      </c>
      <c r="N2173" t="s">
        <v>20604</v>
      </c>
      <c r="O2173" t="s">
        <v>26524</v>
      </c>
      <c r="P2173" t="s">
        <v>26564</v>
      </c>
      <c r="R2173" t="s">
        <v>26577</v>
      </c>
      <c r="S2173" t="s">
        <v>18959</v>
      </c>
      <c r="U2173" t="s">
        <v>26604</v>
      </c>
      <c r="W2173" t="s">
        <v>583</v>
      </c>
      <c r="X2173">
        <v>250</v>
      </c>
      <c r="Y2173" t="s">
        <v>26650</v>
      </c>
      <c r="Z2173" t="s">
        <v>26664</v>
      </c>
      <c r="AB2173" t="s">
        <v>28622</v>
      </c>
      <c r="AD2173" t="s">
        <v>38675</v>
      </c>
      <c r="AE2173">
        <v>0</v>
      </c>
      <c r="AF2173" t="s">
        <v>45549</v>
      </c>
      <c r="AH2173">
        <v>10</v>
      </c>
      <c r="AI2173">
        <v>2</v>
      </c>
      <c r="AJ2173">
        <v>0</v>
      </c>
      <c r="AK2173">
        <v>145.81</v>
      </c>
      <c r="AO2173">
        <v>24000</v>
      </c>
      <c r="AP2173" t="s">
        <v>45654</v>
      </c>
      <c r="AU2173">
        <v>6.9</v>
      </c>
      <c r="AV2173" t="s">
        <v>517</v>
      </c>
      <c r="AW2173" t="s">
        <v>334</v>
      </c>
    </row>
    <row r="2174" spans="1:49">
      <c r="A2174" s="1">
        <f>HYPERLINK("https://lsnyc.legalserver.org/matter/dynamic-profile/view/1878428","18-1878428")</f>
        <v>0</v>
      </c>
      <c r="B2174" t="s">
        <v>167</v>
      </c>
      <c r="C2174" t="s">
        <v>341</v>
      </c>
      <c r="D2174" t="s">
        <v>451</v>
      </c>
      <c r="E2174" t="s">
        <v>583</v>
      </c>
      <c r="F2174" t="s">
        <v>2129</v>
      </c>
      <c r="G2174" t="s">
        <v>6312</v>
      </c>
      <c r="H2174" t="s">
        <v>11421</v>
      </c>
      <c r="I2174">
        <v>1418</v>
      </c>
      <c r="J2174" t="s">
        <v>18894</v>
      </c>
      <c r="K2174">
        <v>11224</v>
      </c>
      <c r="L2174" t="s">
        <v>18958</v>
      </c>
      <c r="M2174" t="s">
        <v>18958</v>
      </c>
      <c r="N2174" t="s">
        <v>20605</v>
      </c>
      <c r="O2174" t="s">
        <v>26526</v>
      </c>
      <c r="P2174" t="s">
        <v>26564</v>
      </c>
      <c r="Q2174" t="s">
        <v>26570</v>
      </c>
      <c r="R2174" t="s">
        <v>26586</v>
      </c>
      <c r="S2174" t="s">
        <v>18959</v>
      </c>
      <c r="U2174" t="s">
        <v>26604</v>
      </c>
      <c r="V2174" t="s">
        <v>26609</v>
      </c>
      <c r="W2174" t="s">
        <v>583</v>
      </c>
      <c r="X2174">
        <v>250</v>
      </c>
      <c r="Y2174" t="s">
        <v>26652</v>
      </c>
      <c r="Z2174" t="s">
        <v>26664</v>
      </c>
      <c r="AA2174" t="s">
        <v>26683</v>
      </c>
      <c r="AB2174" t="s">
        <v>28623</v>
      </c>
      <c r="AC2174" t="s">
        <v>35151</v>
      </c>
      <c r="AD2174" t="s">
        <v>38676</v>
      </c>
      <c r="AE2174">
        <v>100</v>
      </c>
      <c r="AF2174" t="s">
        <v>45549</v>
      </c>
      <c r="AG2174" t="s">
        <v>19330</v>
      </c>
      <c r="AH2174">
        <v>8</v>
      </c>
      <c r="AI2174">
        <v>1</v>
      </c>
      <c r="AJ2174">
        <v>0</v>
      </c>
      <c r="AK2174">
        <v>87.18000000000001</v>
      </c>
      <c r="AN2174" t="s">
        <v>45586</v>
      </c>
      <c r="AO2174">
        <v>10584</v>
      </c>
      <c r="AU2174">
        <v>2</v>
      </c>
      <c r="AV2174" t="s">
        <v>583</v>
      </c>
      <c r="AW2174" t="s">
        <v>46862</v>
      </c>
    </row>
    <row r="2175" spans="1:49">
      <c r="A2175" s="1">
        <f>HYPERLINK("https://lsnyc.legalserver.org/matter/dynamic-profile/view/1879334","18-1879334")</f>
        <v>0</v>
      </c>
      <c r="B2175" t="s">
        <v>149</v>
      </c>
      <c r="C2175" t="s">
        <v>341</v>
      </c>
      <c r="D2175" t="s">
        <v>599</v>
      </c>
      <c r="E2175" t="s">
        <v>494</v>
      </c>
      <c r="F2175" t="s">
        <v>2130</v>
      </c>
      <c r="G2175" t="s">
        <v>5515</v>
      </c>
      <c r="H2175" t="s">
        <v>11422</v>
      </c>
      <c r="I2175" t="s">
        <v>17738</v>
      </c>
      <c r="J2175" t="s">
        <v>18892</v>
      </c>
      <c r="K2175">
        <v>10468</v>
      </c>
      <c r="L2175" t="s">
        <v>18958</v>
      </c>
      <c r="M2175" t="s">
        <v>18958</v>
      </c>
      <c r="N2175" t="s">
        <v>20606</v>
      </c>
      <c r="O2175" t="s">
        <v>26523</v>
      </c>
      <c r="P2175" t="s">
        <v>26560</v>
      </c>
      <c r="Q2175" t="s">
        <v>26568</v>
      </c>
      <c r="R2175" t="s">
        <v>26579</v>
      </c>
      <c r="S2175" t="s">
        <v>18959</v>
      </c>
      <c r="U2175" t="s">
        <v>26604</v>
      </c>
      <c r="V2175" t="s">
        <v>26610</v>
      </c>
      <c r="W2175" t="s">
        <v>583</v>
      </c>
      <c r="X2175">
        <v>974.96</v>
      </c>
      <c r="Y2175" t="s">
        <v>26650</v>
      </c>
      <c r="Z2175" t="s">
        <v>26668</v>
      </c>
      <c r="AA2175" t="s">
        <v>26678</v>
      </c>
      <c r="AB2175" t="s">
        <v>28624</v>
      </c>
      <c r="AD2175" t="s">
        <v>38677</v>
      </c>
      <c r="AE2175">
        <v>57</v>
      </c>
      <c r="AF2175" t="s">
        <v>45541</v>
      </c>
      <c r="AG2175" t="s">
        <v>45559</v>
      </c>
      <c r="AH2175">
        <v>22</v>
      </c>
      <c r="AI2175">
        <v>1</v>
      </c>
      <c r="AJ2175">
        <v>1</v>
      </c>
      <c r="AK2175">
        <v>67.73</v>
      </c>
      <c r="AN2175" t="s">
        <v>45581</v>
      </c>
      <c r="AO2175">
        <v>11148</v>
      </c>
      <c r="AQ2175" t="s">
        <v>46362</v>
      </c>
      <c r="AR2175" t="s">
        <v>46385</v>
      </c>
      <c r="AS2175" t="s">
        <v>46499</v>
      </c>
      <c r="AT2175" t="s">
        <v>46602</v>
      </c>
      <c r="AU2175">
        <v>5.05</v>
      </c>
      <c r="AV2175" t="s">
        <v>712</v>
      </c>
      <c r="AW2175" t="s">
        <v>336</v>
      </c>
    </row>
    <row r="2176" spans="1:49">
      <c r="A2176" s="1">
        <f>HYPERLINK("https://lsnyc.legalserver.org/matter/dynamic-profile/view/1878826","18-1878826")</f>
        <v>0</v>
      </c>
      <c r="B2176" t="s">
        <v>133</v>
      </c>
      <c r="C2176" t="s">
        <v>340</v>
      </c>
      <c r="D2176" t="s">
        <v>599</v>
      </c>
      <c r="F2176" t="s">
        <v>1031</v>
      </c>
      <c r="G2176" t="s">
        <v>5849</v>
      </c>
      <c r="H2176" t="s">
        <v>11423</v>
      </c>
      <c r="I2176" t="s">
        <v>17306</v>
      </c>
      <c r="J2176" t="s">
        <v>18892</v>
      </c>
      <c r="K2176">
        <v>10457</v>
      </c>
      <c r="L2176" t="s">
        <v>18958</v>
      </c>
      <c r="M2176" t="s">
        <v>18958</v>
      </c>
      <c r="N2176" t="s">
        <v>20607</v>
      </c>
      <c r="O2176" t="s">
        <v>26523</v>
      </c>
      <c r="P2176" t="s">
        <v>26560</v>
      </c>
      <c r="R2176" t="s">
        <v>26579</v>
      </c>
      <c r="S2176" t="s">
        <v>18959</v>
      </c>
      <c r="U2176" t="s">
        <v>26604</v>
      </c>
      <c r="V2176" t="s">
        <v>26610</v>
      </c>
      <c r="W2176" t="s">
        <v>583</v>
      </c>
      <c r="X2176">
        <v>949</v>
      </c>
      <c r="Y2176" t="s">
        <v>26650</v>
      </c>
      <c r="Z2176" t="s">
        <v>26661</v>
      </c>
      <c r="AB2176" t="s">
        <v>28625</v>
      </c>
      <c r="AD2176" t="s">
        <v>38678</v>
      </c>
      <c r="AE2176">
        <v>20</v>
      </c>
      <c r="AF2176" t="s">
        <v>45541</v>
      </c>
      <c r="AG2176" t="s">
        <v>45561</v>
      </c>
      <c r="AH2176">
        <v>10</v>
      </c>
      <c r="AI2176">
        <v>1</v>
      </c>
      <c r="AJ2176">
        <v>0</v>
      </c>
      <c r="AK2176">
        <v>77.09999999999999</v>
      </c>
      <c r="AN2176" t="s">
        <v>7439</v>
      </c>
      <c r="AO2176">
        <v>9360</v>
      </c>
      <c r="AP2176" t="s">
        <v>45744</v>
      </c>
      <c r="AU2176">
        <v>2.5</v>
      </c>
      <c r="AV2176" t="s">
        <v>600</v>
      </c>
      <c r="AW2176" t="s">
        <v>46858</v>
      </c>
    </row>
    <row r="2177" spans="1:49">
      <c r="A2177" s="1">
        <f>HYPERLINK("https://lsnyc.legalserver.org/matter/dynamic-profile/view/1878917","18-1878917")</f>
        <v>0</v>
      </c>
      <c r="B2177" t="s">
        <v>153</v>
      </c>
      <c r="C2177" t="s">
        <v>341</v>
      </c>
      <c r="D2177" t="s">
        <v>540</v>
      </c>
      <c r="E2177" t="s">
        <v>723</v>
      </c>
      <c r="F2177" t="s">
        <v>1417</v>
      </c>
      <c r="G2177" t="s">
        <v>5959</v>
      </c>
      <c r="H2177" t="s">
        <v>11424</v>
      </c>
      <c r="J2177" t="s">
        <v>18902</v>
      </c>
      <c r="K2177">
        <v>10306</v>
      </c>
      <c r="L2177" t="s">
        <v>18959</v>
      </c>
      <c r="M2177" t="s">
        <v>18959</v>
      </c>
      <c r="N2177" t="s">
        <v>20608</v>
      </c>
      <c r="O2177" t="s">
        <v>26524</v>
      </c>
      <c r="P2177" t="s">
        <v>26564</v>
      </c>
      <c r="Q2177" t="s">
        <v>26570</v>
      </c>
      <c r="R2177" t="s">
        <v>26587</v>
      </c>
      <c r="S2177" t="s">
        <v>18959</v>
      </c>
      <c r="U2177" t="s">
        <v>26604</v>
      </c>
      <c r="W2177" t="s">
        <v>583</v>
      </c>
      <c r="X2177">
        <v>600</v>
      </c>
      <c r="Y2177" t="s">
        <v>26654</v>
      </c>
      <c r="Z2177" t="s">
        <v>26675</v>
      </c>
      <c r="AA2177" t="s">
        <v>26683</v>
      </c>
      <c r="AB2177" t="s">
        <v>28626</v>
      </c>
      <c r="AE2177">
        <v>0</v>
      </c>
      <c r="AG2177" t="s">
        <v>19330</v>
      </c>
      <c r="AH2177">
        <v>3</v>
      </c>
      <c r="AI2177">
        <v>1</v>
      </c>
      <c r="AJ2177">
        <v>0</v>
      </c>
      <c r="AK2177">
        <v>41.12</v>
      </c>
      <c r="AN2177" t="s">
        <v>7439</v>
      </c>
      <c r="AO2177">
        <v>4992</v>
      </c>
      <c r="AU2177">
        <v>1.3</v>
      </c>
      <c r="AV2177" t="s">
        <v>413</v>
      </c>
      <c r="AW2177" t="s">
        <v>190</v>
      </c>
    </row>
    <row r="2178" spans="1:49">
      <c r="A2178" s="1">
        <f>HYPERLINK("https://lsnyc.legalserver.org/matter/dynamic-profile/view/1879114","18-1879114")</f>
        <v>0</v>
      </c>
      <c r="B2178" t="s">
        <v>89</v>
      </c>
      <c r="C2178" t="s">
        <v>341</v>
      </c>
      <c r="D2178" t="s">
        <v>583</v>
      </c>
      <c r="E2178" t="s">
        <v>820</v>
      </c>
      <c r="F2178" t="s">
        <v>977</v>
      </c>
      <c r="G2178" t="s">
        <v>5121</v>
      </c>
      <c r="H2178" t="s">
        <v>11425</v>
      </c>
      <c r="I2178" t="s">
        <v>17398</v>
      </c>
      <c r="J2178" t="s">
        <v>18893</v>
      </c>
      <c r="K2178">
        <v>10002</v>
      </c>
      <c r="L2178" t="s">
        <v>18958</v>
      </c>
      <c r="M2178" t="s">
        <v>18958</v>
      </c>
      <c r="O2178" t="s">
        <v>18997</v>
      </c>
      <c r="P2178" t="s">
        <v>26564</v>
      </c>
      <c r="Q2178" t="s">
        <v>26570</v>
      </c>
      <c r="R2178" t="s">
        <v>26582</v>
      </c>
      <c r="U2178" t="s">
        <v>26604</v>
      </c>
      <c r="W2178" t="s">
        <v>583</v>
      </c>
      <c r="X2178">
        <v>395.6</v>
      </c>
      <c r="Y2178" t="s">
        <v>26651</v>
      </c>
      <c r="Z2178" t="s">
        <v>26659</v>
      </c>
      <c r="AA2178" t="s">
        <v>26683</v>
      </c>
      <c r="AB2178" t="s">
        <v>28627</v>
      </c>
      <c r="AD2178" t="s">
        <v>38679</v>
      </c>
      <c r="AE2178">
        <v>0</v>
      </c>
      <c r="AF2178" t="s">
        <v>20460</v>
      </c>
      <c r="AG2178" t="s">
        <v>19330</v>
      </c>
      <c r="AH2178">
        <v>44</v>
      </c>
      <c r="AI2178">
        <v>1</v>
      </c>
      <c r="AJ2178">
        <v>0</v>
      </c>
      <c r="AK2178">
        <v>124.41</v>
      </c>
      <c r="AN2178" t="s">
        <v>7439</v>
      </c>
      <c r="AO2178">
        <v>15103.2</v>
      </c>
      <c r="AU2178">
        <v>1.25</v>
      </c>
      <c r="AV2178" t="s">
        <v>694</v>
      </c>
      <c r="AW2178" t="s">
        <v>314</v>
      </c>
    </row>
    <row r="2179" spans="1:49">
      <c r="A2179" s="1">
        <f>HYPERLINK("https://lsnyc.legalserver.org/matter/dynamic-profile/view/1879168","18-1879168")</f>
        <v>0</v>
      </c>
      <c r="B2179" t="s">
        <v>100</v>
      </c>
      <c r="C2179" t="s">
        <v>341</v>
      </c>
      <c r="D2179" t="s">
        <v>583</v>
      </c>
      <c r="E2179" t="s">
        <v>692</v>
      </c>
      <c r="F2179" t="s">
        <v>1082</v>
      </c>
      <c r="G2179" t="s">
        <v>1081</v>
      </c>
      <c r="H2179" t="s">
        <v>11426</v>
      </c>
      <c r="I2179" t="s">
        <v>17275</v>
      </c>
      <c r="J2179" t="s">
        <v>18892</v>
      </c>
      <c r="K2179">
        <v>10452</v>
      </c>
      <c r="L2179" t="s">
        <v>18958</v>
      </c>
      <c r="M2179" t="s">
        <v>18958</v>
      </c>
      <c r="O2179" t="s">
        <v>26534</v>
      </c>
      <c r="P2179" t="s">
        <v>26565</v>
      </c>
      <c r="Q2179" t="s">
        <v>26571</v>
      </c>
      <c r="R2179" t="s">
        <v>26578</v>
      </c>
      <c r="S2179" t="s">
        <v>18959</v>
      </c>
      <c r="U2179" t="s">
        <v>26604</v>
      </c>
      <c r="W2179" t="s">
        <v>583</v>
      </c>
      <c r="X2179">
        <v>1321</v>
      </c>
      <c r="Y2179" t="s">
        <v>26650</v>
      </c>
      <c r="AA2179" t="s">
        <v>26685</v>
      </c>
      <c r="AB2179" t="s">
        <v>28628</v>
      </c>
      <c r="AD2179" t="s">
        <v>38680</v>
      </c>
      <c r="AE2179">
        <v>58</v>
      </c>
      <c r="AG2179" t="s">
        <v>45557</v>
      </c>
      <c r="AH2179">
        <v>4</v>
      </c>
      <c r="AI2179">
        <v>1</v>
      </c>
      <c r="AJ2179">
        <v>3</v>
      </c>
      <c r="AK2179">
        <v>0</v>
      </c>
      <c r="AN2179" t="s">
        <v>45581</v>
      </c>
      <c r="AO2179">
        <v>0</v>
      </c>
      <c r="AU2179">
        <v>0.5</v>
      </c>
      <c r="AV2179" t="s">
        <v>635</v>
      </c>
      <c r="AW2179" t="s">
        <v>46847</v>
      </c>
    </row>
    <row r="2180" spans="1:49">
      <c r="A2180" s="1">
        <f>HYPERLINK("https://lsnyc.legalserver.org/matter/dynamic-profile/view/1879146","18-1879146")</f>
        <v>0</v>
      </c>
      <c r="B2180" t="s">
        <v>100</v>
      </c>
      <c r="C2180" t="s">
        <v>341</v>
      </c>
      <c r="D2180" t="s">
        <v>583</v>
      </c>
      <c r="E2180" t="s">
        <v>692</v>
      </c>
      <c r="F2180" t="s">
        <v>1251</v>
      </c>
      <c r="G2180" t="s">
        <v>940</v>
      </c>
      <c r="H2180" t="s">
        <v>11427</v>
      </c>
      <c r="I2180">
        <v>1</v>
      </c>
      <c r="J2180" t="s">
        <v>18892</v>
      </c>
      <c r="K2180">
        <v>10465</v>
      </c>
      <c r="L2180" t="s">
        <v>18958</v>
      </c>
      <c r="M2180" t="s">
        <v>18958</v>
      </c>
      <c r="O2180" t="s">
        <v>26529</v>
      </c>
      <c r="P2180" t="s">
        <v>26564</v>
      </c>
      <c r="Q2180" t="s">
        <v>26570</v>
      </c>
      <c r="R2180" t="s">
        <v>26578</v>
      </c>
      <c r="S2180" t="s">
        <v>18959</v>
      </c>
      <c r="U2180" t="s">
        <v>26604</v>
      </c>
      <c r="W2180" t="s">
        <v>583</v>
      </c>
      <c r="X2180">
        <v>1020</v>
      </c>
      <c r="Y2180" t="s">
        <v>26650</v>
      </c>
      <c r="AA2180" t="s">
        <v>26683</v>
      </c>
      <c r="AB2180" t="s">
        <v>28629</v>
      </c>
      <c r="AD2180" t="s">
        <v>38681</v>
      </c>
      <c r="AE2180">
        <v>0</v>
      </c>
      <c r="AF2180" t="s">
        <v>45547</v>
      </c>
      <c r="AG2180" t="s">
        <v>19330</v>
      </c>
      <c r="AH2180">
        <v>6</v>
      </c>
      <c r="AI2180">
        <v>1</v>
      </c>
      <c r="AJ2180">
        <v>0</v>
      </c>
      <c r="AK2180">
        <v>138.39</v>
      </c>
      <c r="AN2180" t="s">
        <v>7439</v>
      </c>
      <c r="AO2180">
        <v>16800</v>
      </c>
      <c r="AU2180">
        <v>0.1</v>
      </c>
      <c r="AV2180" t="s">
        <v>692</v>
      </c>
      <c r="AW2180" t="s">
        <v>46847</v>
      </c>
    </row>
    <row r="2181" spans="1:49">
      <c r="A2181" s="1">
        <f>HYPERLINK("https://lsnyc.legalserver.org/matter/dynamic-profile/view/1879151","18-1879151")</f>
        <v>0</v>
      </c>
      <c r="B2181" t="s">
        <v>100</v>
      </c>
      <c r="C2181" t="s">
        <v>341</v>
      </c>
      <c r="D2181" t="s">
        <v>583</v>
      </c>
      <c r="E2181" t="s">
        <v>692</v>
      </c>
      <c r="F2181" t="s">
        <v>1228</v>
      </c>
      <c r="G2181" t="s">
        <v>5739</v>
      </c>
      <c r="H2181" t="s">
        <v>11428</v>
      </c>
      <c r="I2181" t="s">
        <v>17272</v>
      </c>
      <c r="J2181" t="s">
        <v>18892</v>
      </c>
      <c r="K2181">
        <v>10453</v>
      </c>
      <c r="L2181" t="s">
        <v>18958</v>
      </c>
      <c r="M2181" t="s">
        <v>18958</v>
      </c>
      <c r="O2181" t="s">
        <v>26529</v>
      </c>
      <c r="P2181" t="s">
        <v>26564</v>
      </c>
      <c r="Q2181" t="s">
        <v>26570</v>
      </c>
      <c r="R2181" t="s">
        <v>26578</v>
      </c>
      <c r="S2181" t="s">
        <v>18959</v>
      </c>
      <c r="U2181" t="s">
        <v>26604</v>
      </c>
      <c r="W2181" t="s">
        <v>583</v>
      </c>
      <c r="X2181">
        <v>1100</v>
      </c>
      <c r="Y2181" t="s">
        <v>26650</v>
      </c>
      <c r="AA2181" t="s">
        <v>26683</v>
      </c>
      <c r="AB2181" t="s">
        <v>28630</v>
      </c>
      <c r="AD2181" t="s">
        <v>38682</v>
      </c>
      <c r="AE2181">
        <v>0</v>
      </c>
      <c r="AG2181" t="s">
        <v>45556</v>
      </c>
      <c r="AH2181">
        <v>3</v>
      </c>
      <c r="AI2181">
        <v>3</v>
      </c>
      <c r="AJ2181">
        <v>0</v>
      </c>
      <c r="AK2181">
        <v>230.64</v>
      </c>
      <c r="AN2181" t="s">
        <v>45581</v>
      </c>
      <c r="AO2181">
        <v>47928</v>
      </c>
      <c r="AU2181">
        <v>0.1</v>
      </c>
      <c r="AV2181" t="s">
        <v>692</v>
      </c>
      <c r="AW2181" t="s">
        <v>46847</v>
      </c>
    </row>
    <row r="2182" spans="1:49">
      <c r="A2182" s="1">
        <f>HYPERLINK("https://lsnyc.legalserver.org/matter/dynamic-profile/view/1879176","18-1879176")</f>
        <v>0</v>
      </c>
      <c r="B2182" t="s">
        <v>100</v>
      </c>
      <c r="C2182" t="s">
        <v>341</v>
      </c>
      <c r="D2182" t="s">
        <v>583</v>
      </c>
      <c r="E2182" t="s">
        <v>692</v>
      </c>
      <c r="F2182" t="s">
        <v>2131</v>
      </c>
      <c r="G2182" t="s">
        <v>1144</v>
      </c>
      <c r="H2182" t="s">
        <v>11429</v>
      </c>
      <c r="I2182" t="s">
        <v>17405</v>
      </c>
      <c r="J2182" t="s">
        <v>18892</v>
      </c>
      <c r="K2182">
        <v>10453</v>
      </c>
      <c r="L2182" t="s">
        <v>18958</v>
      </c>
      <c r="M2182" t="s">
        <v>18958</v>
      </c>
      <c r="O2182" t="s">
        <v>26526</v>
      </c>
      <c r="P2182" t="s">
        <v>26565</v>
      </c>
      <c r="Q2182" t="s">
        <v>26571</v>
      </c>
      <c r="R2182" t="s">
        <v>26578</v>
      </c>
      <c r="S2182" t="s">
        <v>18959</v>
      </c>
      <c r="U2182" t="s">
        <v>26604</v>
      </c>
      <c r="W2182" t="s">
        <v>583</v>
      </c>
      <c r="X2182">
        <v>1043</v>
      </c>
      <c r="Y2182" t="s">
        <v>26650</v>
      </c>
      <c r="AA2182" t="s">
        <v>26682</v>
      </c>
      <c r="AB2182" t="s">
        <v>28631</v>
      </c>
      <c r="AD2182" t="s">
        <v>38683</v>
      </c>
      <c r="AE2182">
        <v>44</v>
      </c>
      <c r="AF2182" t="s">
        <v>45541</v>
      </c>
      <c r="AG2182" t="s">
        <v>45559</v>
      </c>
      <c r="AH2182">
        <v>28</v>
      </c>
      <c r="AI2182">
        <v>3</v>
      </c>
      <c r="AJ2182">
        <v>0</v>
      </c>
      <c r="AK2182">
        <v>272.17</v>
      </c>
      <c r="AN2182" t="s">
        <v>45581</v>
      </c>
      <c r="AO2182">
        <v>56556</v>
      </c>
      <c r="AU2182">
        <v>0.3</v>
      </c>
      <c r="AV2182" t="s">
        <v>692</v>
      </c>
      <c r="AW2182" t="s">
        <v>46847</v>
      </c>
    </row>
    <row r="2183" spans="1:49">
      <c r="A2183" s="1">
        <f>HYPERLINK("https://lsnyc.legalserver.org/matter/dynamic-profile/view/1879164","18-1879164")</f>
        <v>0</v>
      </c>
      <c r="B2183" t="s">
        <v>100</v>
      </c>
      <c r="C2183" t="s">
        <v>341</v>
      </c>
      <c r="D2183" t="s">
        <v>583</v>
      </c>
      <c r="E2183" t="s">
        <v>692</v>
      </c>
      <c r="F2183" t="s">
        <v>1578</v>
      </c>
      <c r="G2183" t="s">
        <v>6313</v>
      </c>
      <c r="H2183" t="s">
        <v>11430</v>
      </c>
      <c r="I2183" t="s">
        <v>17299</v>
      </c>
      <c r="J2183" t="s">
        <v>18892</v>
      </c>
      <c r="K2183">
        <v>10453</v>
      </c>
      <c r="L2183" t="s">
        <v>18958</v>
      </c>
      <c r="M2183" t="s">
        <v>18958</v>
      </c>
      <c r="O2183" t="s">
        <v>26524</v>
      </c>
      <c r="P2183" t="s">
        <v>26564</v>
      </c>
      <c r="Q2183" t="s">
        <v>26570</v>
      </c>
      <c r="R2183" t="s">
        <v>26578</v>
      </c>
      <c r="S2183" t="s">
        <v>18959</v>
      </c>
      <c r="U2183" t="s">
        <v>26604</v>
      </c>
      <c r="W2183" t="s">
        <v>583</v>
      </c>
      <c r="X2183">
        <v>1526</v>
      </c>
      <c r="Y2183" t="s">
        <v>26650</v>
      </c>
      <c r="AA2183" t="s">
        <v>26683</v>
      </c>
      <c r="AB2183" t="s">
        <v>28632</v>
      </c>
      <c r="AD2183" t="s">
        <v>38684</v>
      </c>
      <c r="AE2183">
        <v>225</v>
      </c>
      <c r="AF2183" t="s">
        <v>45541</v>
      </c>
      <c r="AG2183" t="s">
        <v>19330</v>
      </c>
      <c r="AH2183">
        <v>1</v>
      </c>
      <c r="AI2183">
        <v>1</v>
      </c>
      <c r="AJ2183">
        <v>0</v>
      </c>
      <c r="AK2183">
        <v>370.68</v>
      </c>
      <c r="AN2183" t="s">
        <v>7439</v>
      </c>
      <c r="AO2183">
        <v>45000</v>
      </c>
      <c r="AU2183">
        <v>0.1</v>
      </c>
      <c r="AV2183" t="s">
        <v>692</v>
      </c>
      <c r="AW2183" t="s">
        <v>46847</v>
      </c>
    </row>
    <row r="2184" spans="1:49">
      <c r="A2184" s="1">
        <f>HYPERLINK("https://lsnyc.legalserver.org/matter/dynamic-profile/view/1875759","18-1875759")</f>
        <v>0</v>
      </c>
      <c r="B2184" t="s">
        <v>210</v>
      </c>
      <c r="C2184" t="s">
        <v>341</v>
      </c>
      <c r="D2184" t="s">
        <v>583</v>
      </c>
      <c r="E2184" t="s">
        <v>705</v>
      </c>
      <c r="F2184" t="s">
        <v>2132</v>
      </c>
      <c r="G2184" t="s">
        <v>6314</v>
      </c>
      <c r="H2184" t="s">
        <v>11431</v>
      </c>
      <c r="I2184" t="s">
        <v>17436</v>
      </c>
      <c r="J2184" t="s">
        <v>18902</v>
      </c>
      <c r="K2184">
        <v>10301</v>
      </c>
      <c r="L2184" t="s">
        <v>18958</v>
      </c>
      <c r="M2184" t="s">
        <v>18958</v>
      </c>
      <c r="N2184" t="s">
        <v>19045</v>
      </c>
      <c r="O2184" t="s">
        <v>26534</v>
      </c>
      <c r="P2184" t="s">
        <v>26561</v>
      </c>
      <c r="Q2184" t="s">
        <v>26572</v>
      </c>
      <c r="R2184" t="s">
        <v>26578</v>
      </c>
      <c r="S2184" t="s">
        <v>18959</v>
      </c>
      <c r="U2184" t="s">
        <v>26604</v>
      </c>
      <c r="V2184" t="s">
        <v>26610</v>
      </c>
      <c r="W2184" t="s">
        <v>583</v>
      </c>
      <c r="X2184">
        <v>2259.62</v>
      </c>
      <c r="Y2184" t="s">
        <v>26654</v>
      </c>
      <c r="Z2184" t="s">
        <v>26659</v>
      </c>
      <c r="AA2184" t="s">
        <v>26681</v>
      </c>
      <c r="AB2184" t="s">
        <v>28633</v>
      </c>
      <c r="AD2184" t="s">
        <v>38685</v>
      </c>
      <c r="AE2184">
        <v>122</v>
      </c>
      <c r="AF2184" t="s">
        <v>45541</v>
      </c>
      <c r="AG2184" t="s">
        <v>45559</v>
      </c>
      <c r="AH2184">
        <v>17</v>
      </c>
      <c r="AI2184">
        <v>1</v>
      </c>
      <c r="AJ2184">
        <v>1</v>
      </c>
      <c r="AK2184">
        <v>66.93000000000001</v>
      </c>
      <c r="AN2184" t="s">
        <v>7439</v>
      </c>
      <c r="AO2184">
        <v>11016</v>
      </c>
      <c r="AR2184" t="s">
        <v>46410</v>
      </c>
      <c r="AU2184">
        <v>5.3</v>
      </c>
      <c r="AV2184" t="s">
        <v>705</v>
      </c>
      <c r="AW2184" t="s">
        <v>210</v>
      </c>
    </row>
    <row r="2185" spans="1:49">
      <c r="A2185" s="1">
        <f>HYPERLINK("https://lsnyc.legalserver.org/matter/dynamic-profile/view/1879172","18-1879172")</f>
        <v>0</v>
      </c>
      <c r="B2185" t="s">
        <v>179</v>
      </c>
      <c r="C2185" t="s">
        <v>341</v>
      </c>
      <c r="D2185" t="s">
        <v>583</v>
      </c>
      <c r="E2185" t="s">
        <v>795</v>
      </c>
      <c r="F2185" t="s">
        <v>2133</v>
      </c>
      <c r="G2185" t="s">
        <v>6315</v>
      </c>
      <c r="H2185" t="s">
        <v>11432</v>
      </c>
      <c r="I2185" t="s">
        <v>17624</v>
      </c>
      <c r="J2185" t="s">
        <v>18894</v>
      </c>
      <c r="K2185">
        <v>11216</v>
      </c>
      <c r="L2185" t="s">
        <v>18958</v>
      </c>
      <c r="M2185" t="s">
        <v>18958</v>
      </c>
      <c r="O2185" t="s">
        <v>26526</v>
      </c>
      <c r="P2185" t="s">
        <v>26560</v>
      </c>
      <c r="Q2185" t="s">
        <v>26568</v>
      </c>
      <c r="R2185" t="s">
        <v>26586</v>
      </c>
      <c r="S2185" t="s">
        <v>18959</v>
      </c>
      <c r="U2185" t="s">
        <v>26604</v>
      </c>
      <c r="W2185" t="s">
        <v>583</v>
      </c>
      <c r="X2185">
        <v>1000</v>
      </c>
      <c r="Y2185" t="s">
        <v>26652</v>
      </c>
      <c r="Z2185" t="s">
        <v>26659</v>
      </c>
      <c r="AA2185" t="s">
        <v>26685</v>
      </c>
      <c r="AB2185" t="s">
        <v>28634</v>
      </c>
      <c r="AD2185" t="s">
        <v>34738</v>
      </c>
      <c r="AE2185">
        <v>0</v>
      </c>
      <c r="AH2185">
        <v>20</v>
      </c>
      <c r="AI2185">
        <v>1</v>
      </c>
      <c r="AJ2185">
        <v>0</v>
      </c>
      <c r="AK2185">
        <v>168.04</v>
      </c>
      <c r="AN2185" t="s">
        <v>7439</v>
      </c>
      <c r="AO2185">
        <v>20400</v>
      </c>
      <c r="AU2185">
        <v>35.7</v>
      </c>
      <c r="AV2185" t="s">
        <v>795</v>
      </c>
      <c r="AW2185" t="s">
        <v>179</v>
      </c>
    </row>
    <row r="2186" spans="1:49">
      <c r="A2186" s="1">
        <f>HYPERLINK("https://lsnyc.legalserver.org/matter/dynamic-profile/view/1879236","18-1879236")</f>
        <v>0</v>
      </c>
      <c r="B2186" t="s">
        <v>71</v>
      </c>
      <c r="C2186" t="s">
        <v>341</v>
      </c>
      <c r="D2186" t="s">
        <v>583</v>
      </c>
      <c r="E2186" t="s">
        <v>667</v>
      </c>
      <c r="F2186" t="s">
        <v>2134</v>
      </c>
      <c r="G2186" t="s">
        <v>6024</v>
      </c>
      <c r="H2186" t="s">
        <v>11433</v>
      </c>
      <c r="I2186" t="s">
        <v>17293</v>
      </c>
      <c r="J2186" t="s">
        <v>18892</v>
      </c>
      <c r="K2186">
        <v>10468</v>
      </c>
      <c r="L2186" t="s">
        <v>18958</v>
      </c>
      <c r="M2186" t="s">
        <v>18958</v>
      </c>
      <c r="N2186" t="s">
        <v>20609</v>
      </c>
      <c r="O2186" t="s">
        <v>26523</v>
      </c>
      <c r="P2186" t="s">
        <v>26560</v>
      </c>
      <c r="Q2186" t="s">
        <v>26573</v>
      </c>
      <c r="R2186" t="s">
        <v>26579</v>
      </c>
      <c r="S2186" t="s">
        <v>18959</v>
      </c>
      <c r="U2186" t="s">
        <v>26604</v>
      </c>
      <c r="V2186" t="s">
        <v>26610</v>
      </c>
      <c r="W2186" t="s">
        <v>583</v>
      </c>
      <c r="X2186">
        <v>1225</v>
      </c>
      <c r="Y2186" t="s">
        <v>26650</v>
      </c>
      <c r="Z2186" t="s">
        <v>26664</v>
      </c>
      <c r="AA2186" t="s">
        <v>26679</v>
      </c>
      <c r="AB2186" t="s">
        <v>28635</v>
      </c>
      <c r="AE2186">
        <v>37</v>
      </c>
      <c r="AF2186" t="s">
        <v>45541</v>
      </c>
      <c r="AG2186" t="s">
        <v>19330</v>
      </c>
      <c r="AH2186">
        <v>7</v>
      </c>
      <c r="AI2186">
        <v>1</v>
      </c>
      <c r="AJ2186">
        <v>2</v>
      </c>
      <c r="AK2186">
        <v>86.62</v>
      </c>
      <c r="AO2186">
        <v>18000</v>
      </c>
      <c r="AR2186" t="s">
        <v>26530</v>
      </c>
      <c r="AS2186" t="s">
        <v>46500</v>
      </c>
      <c r="AT2186" t="s">
        <v>46528</v>
      </c>
      <c r="AU2186">
        <v>4.4</v>
      </c>
      <c r="AV2186" t="s">
        <v>666</v>
      </c>
      <c r="AW2186" t="s">
        <v>334</v>
      </c>
    </row>
    <row r="2187" spans="1:49">
      <c r="A2187" s="1">
        <f>HYPERLINK("https://lsnyc.legalserver.org/matter/dynamic-profile/view/1879214","18-1879214")</f>
        <v>0</v>
      </c>
      <c r="B2187" t="s">
        <v>71</v>
      </c>
      <c r="C2187" t="s">
        <v>341</v>
      </c>
      <c r="D2187" t="s">
        <v>583</v>
      </c>
      <c r="E2187" t="s">
        <v>818</v>
      </c>
      <c r="F2187" t="s">
        <v>964</v>
      </c>
      <c r="G2187" t="s">
        <v>6316</v>
      </c>
      <c r="H2187" t="s">
        <v>11434</v>
      </c>
      <c r="I2187" t="s">
        <v>17410</v>
      </c>
      <c r="J2187" t="s">
        <v>18892</v>
      </c>
      <c r="K2187">
        <v>10467</v>
      </c>
      <c r="L2187" t="s">
        <v>18958</v>
      </c>
      <c r="M2187" t="s">
        <v>18958</v>
      </c>
      <c r="N2187" t="s">
        <v>20610</v>
      </c>
      <c r="O2187" t="s">
        <v>26524</v>
      </c>
      <c r="P2187" t="s">
        <v>26560</v>
      </c>
      <c r="Q2187" t="s">
        <v>26568</v>
      </c>
      <c r="R2187" t="s">
        <v>26579</v>
      </c>
      <c r="S2187" t="s">
        <v>18959</v>
      </c>
      <c r="U2187" t="s">
        <v>26604</v>
      </c>
      <c r="V2187" t="s">
        <v>26610</v>
      </c>
      <c r="W2187" t="s">
        <v>583</v>
      </c>
      <c r="X2187">
        <v>934.5</v>
      </c>
      <c r="Y2187" t="s">
        <v>26650</v>
      </c>
      <c r="Z2187" t="s">
        <v>26664</v>
      </c>
      <c r="AA2187" t="s">
        <v>26679</v>
      </c>
      <c r="AB2187" t="s">
        <v>28636</v>
      </c>
      <c r="AC2187" t="s">
        <v>35152</v>
      </c>
      <c r="AD2187" t="s">
        <v>38686</v>
      </c>
      <c r="AE2187">
        <v>135</v>
      </c>
      <c r="AF2187" t="s">
        <v>45553</v>
      </c>
      <c r="AG2187" t="s">
        <v>19330</v>
      </c>
      <c r="AH2187">
        <v>27</v>
      </c>
      <c r="AI2187">
        <v>1</v>
      </c>
      <c r="AJ2187">
        <v>0</v>
      </c>
      <c r="AK2187">
        <v>133.84</v>
      </c>
      <c r="AN2187" t="s">
        <v>7439</v>
      </c>
      <c r="AO2187">
        <v>16248</v>
      </c>
      <c r="AP2187" t="s">
        <v>45745</v>
      </c>
      <c r="AR2187" t="s">
        <v>46455</v>
      </c>
      <c r="AS2187" t="s">
        <v>46500</v>
      </c>
      <c r="AT2187" t="s">
        <v>46604</v>
      </c>
      <c r="AU2187">
        <v>34.5</v>
      </c>
      <c r="AV2187" t="s">
        <v>818</v>
      </c>
      <c r="AW2187" t="s">
        <v>334</v>
      </c>
    </row>
    <row r="2188" spans="1:49">
      <c r="A2188" s="1">
        <f>HYPERLINK("https://lsnyc.legalserver.org/matter/dynamic-profile/view/1879149","18-1879149")</f>
        <v>0</v>
      </c>
      <c r="B2188" t="s">
        <v>69</v>
      </c>
      <c r="C2188" t="s">
        <v>341</v>
      </c>
      <c r="D2188" t="s">
        <v>583</v>
      </c>
      <c r="E2188" t="s">
        <v>786</v>
      </c>
      <c r="F2188" t="s">
        <v>2135</v>
      </c>
      <c r="G2188" t="s">
        <v>5416</v>
      </c>
      <c r="H2188" t="s">
        <v>11435</v>
      </c>
      <c r="I2188">
        <v>3</v>
      </c>
      <c r="J2188" t="s">
        <v>18892</v>
      </c>
      <c r="K2188">
        <v>10467</v>
      </c>
      <c r="L2188" t="s">
        <v>18958</v>
      </c>
      <c r="M2188" t="s">
        <v>18958</v>
      </c>
      <c r="N2188" t="s">
        <v>20611</v>
      </c>
      <c r="O2188" t="s">
        <v>26524</v>
      </c>
      <c r="P2188" t="s">
        <v>26560</v>
      </c>
      <c r="Q2188" t="s">
        <v>26568</v>
      </c>
      <c r="R2188" t="s">
        <v>26579</v>
      </c>
      <c r="U2188" t="s">
        <v>26604</v>
      </c>
      <c r="V2188" t="s">
        <v>26609</v>
      </c>
      <c r="W2188" t="s">
        <v>583</v>
      </c>
      <c r="X2188">
        <v>1150</v>
      </c>
      <c r="Y2188" t="s">
        <v>26650</v>
      </c>
      <c r="Z2188" t="s">
        <v>26664</v>
      </c>
      <c r="AA2188" t="s">
        <v>26678</v>
      </c>
      <c r="AB2188" t="s">
        <v>28637</v>
      </c>
      <c r="AC2188" t="s">
        <v>35153</v>
      </c>
      <c r="AD2188" t="s">
        <v>38687</v>
      </c>
      <c r="AE2188">
        <v>0</v>
      </c>
      <c r="AF2188" t="s">
        <v>45547</v>
      </c>
      <c r="AH2188">
        <v>4</v>
      </c>
      <c r="AI2188">
        <v>1</v>
      </c>
      <c r="AJ2188">
        <v>2</v>
      </c>
      <c r="AK2188">
        <v>0</v>
      </c>
      <c r="AO2188">
        <v>0</v>
      </c>
      <c r="AS2188" t="s">
        <v>46499</v>
      </c>
      <c r="AT2188" t="s">
        <v>46545</v>
      </c>
      <c r="AU2188">
        <v>11.4</v>
      </c>
      <c r="AV2188" t="s">
        <v>770</v>
      </c>
      <c r="AW2188" t="s">
        <v>334</v>
      </c>
    </row>
    <row r="2189" spans="1:49">
      <c r="A2189" s="1">
        <f>HYPERLINK("https://lsnyc.legalserver.org/matter/dynamic-profile/view/1879137","18-1879137")</f>
        <v>0</v>
      </c>
      <c r="B2189" t="s">
        <v>69</v>
      </c>
      <c r="C2189" t="s">
        <v>341</v>
      </c>
      <c r="D2189" t="s">
        <v>583</v>
      </c>
      <c r="E2189" t="s">
        <v>786</v>
      </c>
      <c r="F2189" t="s">
        <v>2136</v>
      </c>
      <c r="G2189" t="s">
        <v>2749</v>
      </c>
      <c r="H2189" t="s">
        <v>10945</v>
      </c>
      <c r="I2189" t="s">
        <v>17389</v>
      </c>
      <c r="J2189" t="s">
        <v>18892</v>
      </c>
      <c r="K2189">
        <v>10457</v>
      </c>
      <c r="L2189" t="s">
        <v>18958</v>
      </c>
      <c r="M2189" t="s">
        <v>18958</v>
      </c>
      <c r="N2189" t="s">
        <v>20612</v>
      </c>
      <c r="O2189" t="s">
        <v>26523</v>
      </c>
      <c r="P2189" t="s">
        <v>26560</v>
      </c>
      <c r="Q2189" t="s">
        <v>26568</v>
      </c>
      <c r="R2189" t="s">
        <v>26579</v>
      </c>
      <c r="U2189" t="s">
        <v>26604</v>
      </c>
      <c r="V2189" t="s">
        <v>26609</v>
      </c>
      <c r="W2189" t="s">
        <v>583</v>
      </c>
      <c r="X2189">
        <v>1287</v>
      </c>
      <c r="Y2189" t="s">
        <v>26650</v>
      </c>
      <c r="Z2189" t="s">
        <v>26664</v>
      </c>
      <c r="AA2189" t="s">
        <v>26678</v>
      </c>
      <c r="AB2189" t="s">
        <v>28472</v>
      </c>
      <c r="AE2189">
        <v>0</v>
      </c>
      <c r="AF2189" t="s">
        <v>45541</v>
      </c>
      <c r="AG2189" t="s">
        <v>45558</v>
      </c>
      <c r="AH2189">
        <v>5</v>
      </c>
      <c r="AI2189">
        <v>1</v>
      </c>
      <c r="AJ2189">
        <v>2</v>
      </c>
      <c r="AK2189">
        <v>48.74</v>
      </c>
      <c r="AO2189">
        <v>10128</v>
      </c>
      <c r="AS2189" t="s">
        <v>46499</v>
      </c>
      <c r="AT2189" t="s">
        <v>46545</v>
      </c>
      <c r="AU2189">
        <v>10.5</v>
      </c>
      <c r="AV2189" t="s">
        <v>703</v>
      </c>
      <c r="AW2189" t="s">
        <v>334</v>
      </c>
    </row>
    <row r="2190" spans="1:49">
      <c r="A2190" s="1">
        <f>HYPERLINK("https://lsnyc.legalserver.org/matter/dynamic-profile/view/1879265","18-1879265")</f>
        <v>0</v>
      </c>
      <c r="B2190" t="s">
        <v>51</v>
      </c>
      <c r="C2190" t="s">
        <v>341</v>
      </c>
      <c r="D2190" t="s">
        <v>583</v>
      </c>
      <c r="E2190" t="s">
        <v>800</v>
      </c>
      <c r="F2190" t="s">
        <v>2137</v>
      </c>
      <c r="G2190" t="s">
        <v>6317</v>
      </c>
      <c r="H2190" t="s">
        <v>11436</v>
      </c>
      <c r="I2190" t="s">
        <v>17667</v>
      </c>
      <c r="J2190" t="s">
        <v>18892</v>
      </c>
      <c r="K2190">
        <v>10467</v>
      </c>
      <c r="L2190" t="s">
        <v>18958</v>
      </c>
      <c r="M2190" t="s">
        <v>18958</v>
      </c>
      <c r="N2190" t="s">
        <v>20613</v>
      </c>
      <c r="O2190" t="s">
        <v>26523</v>
      </c>
      <c r="P2190" t="s">
        <v>26560</v>
      </c>
      <c r="Q2190" t="s">
        <v>26568</v>
      </c>
      <c r="R2190" t="s">
        <v>26579</v>
      </c>
      <c r="S2190" t="s">
        <v>18959</v>
      </c>
      <c r="U2190" t="s">
        <v>26604</v>
      </c>
      <c r="V2190" t="s">
        <v>26610</v>
      </c>
      <c r="W2190" t="s">
        <v>583</v>
      </c>
      <c r="X2190">
        <v>1332.6</v>
      </c>
      <c r="Y2190" t="s">
        <v>26650</v>
      </c>
      <c r="Z2190" t="s">
        <v>26668</v>
      </c>
      <c r="AA2190" t="s">
        <v>26677</v>
      </c>
      <c r="AB2190" t="s">
        <v>27769</v>
      </c>
      <c r="AC2190" t="s">
        <v>35154</v>
      </c>
      <c r="AD2190" t="s">
        <v>38688</v>
      </c>
      <c r="AE2190">
        <v>0</v>
      </c>
      <c r="AF2190" t="s">
        <v>45541</v>
      </c>
      <c r="AG2190" t="s">
        <v>45556</v>
      </c>
      <c r="AH2190">
        <v>32</v>
      </c>
      <c r="AI2190">
        <v>2</v>
      </c>
      <c r="AJ2190">
        <v>0</v>
      </c>
      <c r="AK2190">
        <v>36.67</v>
      </c>
      <c r="AN2190" t="s">
        <v>45581</v>
      </c>
      <c r="AO2190">
        <v>6036</v>
      </c>
      <c r="AQ2190" t="s">
        <v>46362</v>
      </c>
      <c r="AR2190" t="s">
        <v>46380</v>
      </c>
      <c r="AS2190" t="s">
        <v>46499</v>
      </c>
      <c r="AT2190" t="s">
        <v>46557</v>
      </c>
      <c r="AU2190">
        <v>8.800000000000001</v>
      </c>
      <c r="AV2190" t="s">
        <v>795</v>
      </c>
      <c r="AW2190" t="s">
        <v>46832</v>
      </c>
    </row>
    <row r="2191" spans="1:49">
      <c r="A2191" s="1">
        <f>HYPERLINK("https://lsnyc.legalserver.org/matter/dynamic-profile/view/1879207","18-1879207")</f>
        <v>0</v>
      </c>
      <c r="B2191" t="s">
        <v>125</v>
      </c>
      <c r="C2191" t="s">
        <v>341</v>
      </c>
      <c r="D2191" t="s">
        <v>583</v>
      </c>
      <c r="E2191" t="s">
        <v>697</v>
      </c>
      <c r="F2191" t="s">
        <v>2138</v>
      </c>
      <c r="G2191" t="s">
        <v>6318</v>
      </c>
      <c r="H2191" t="s">
        <v>11437</v>
      </c>
      <c r="I2191" t="s">
        <v>17436</v>
      </c>
      <c r="J2191" t="s">
        <v>18894</v>
      </c>
      <c r="K2191">
        <v>11212</v>
      </c>
      <c r="L2191" t="s">
        <v>18958</v>
      </c>
      <c r="M2191" t="s">
        <v>18958</v>
      </c>
      <c r="N2191" t="s">
        <v>20614</v>
      </c>
      <c r="O2191" t="s">
        <v>26523</v>
      </c>
      <c r="P2191" t="s">
        <v>26564</v>
      </c>
      <c r="Q2191" t="s">
        <v>26570</v>
      </c>
      <c r="R2191" t="s">
        <v>26583</v>
      </c>
      <c r="S2191" t="s">
        <v>18959</v>
      </c>
      <c r="U2191" t="s">
        <v>26604</v>
      </c>
      <c r="W2191" t="s">
        <v>583</v>
      </c>
      <c r="X2191">
        <v>1650</v>
      </c>
      <c r="Y2191" t="s">
        <v>26652</v>
      </c>
      <c r="Z2191" t="s">
        <v>26661</v>
      </c>
      <c r="AA2191" t="s">
        <v>26683</v>
      </c>
      <c r="AB2191" t="s">
        <v>28638</v>
      </c>
      <c r="AD2191" t="s">
        <v>38689</v>
      </c>
      <c r="AE2191">
        <v>42</v>
      </c>
      <c r="AF2191" t="s">
        <v>45541</v>
      </c>
      <c r="AG2191" t="s">
        <v>19330</v>
      </c>
      <c r="AH2191">
        <v>1</v>
      </c>
      <c r="AI2191">
        <v>2</v>
      </c>
      <c r="AJ2191">
        <v>1</v>
      </c>
      <c r="AK2191">
        <v>328.2</v>
      </c>
      <c r="AN2191" t="s">
        <v>7439</v>
      </c>
      <c r="AO2191">
        <v>68200</v>
      </c>
      <c r="AU2191">
        <v>2.5</v>
      </c>
      <c r="AV2191" t="s">
        <v>605</v>
      </c>
      <c r="AW2191" t="s">
        <v>279</v>
      </c>
    </row>
    <row r="2192" spans="1:49">
      <c r="A2192" s="1">
        <f>HYPERLINK("https://lsnyc.legalserver.org/matter/dynamic-profile/view/1879413","18-1879413")</f>
        <v>0</v>
      </c>
      <c r="B2192" t="s">
        <v>96</v>
      </c>
      <c r="C2192" t="s">
        <v>340</v>
      </c>
      <c r="D2192" t="s">
        <v>583</v>
      </c>
      <c r="F2192" t="s">
        <v>871</v>
      </c>
      <c r="G2192" t="s">
        <v>5751</v>
      </c>
      <c r="H2192" t="s">
        <v>11438</v>
      </c>
      <c r="I2192">
        <v>10</v>
      </c>
      <c r="J2192" t="s">
        <v>18892</v>
      </c>
      <c r="K2192">
        <v>10458</v>
      </c>
      <c r="L2192" t="s">
        <v>18958</v>
      </c>
      <c r="M2192" t="s">
        <v>18958</v>
      </c>
      <c r="N2192" t="s">
        <v>20615</v>
      </c>
      <c r="O2192" t="s">
        <v>26523</v>
      </c>
      <c r="P2192" t="s">
        <v>26560</v>
      </c>
      <c r="R2192" t="s">
        <v>26577</v>
      </c>
      <c r="S2192" t="s">
        <v>18959</v>
      </c>
      <c r="U2192" t="s">
        <v>26604</v>
      </c>
      <c r="V2192" t="s">
        <v>26612</v>
      </c>
      <c r="W2192" t="s">
        <v>583</v>
      </c>
      <c r="X2192">
        <v>1515</v>
      </c>
      <c r="Y2192" t="s">
        <v>26650</v>
      </c>
      <c r="Z2192" t="s">
        <v>26659</v>
      </c>
      <c r="AB2192" t="s">
        <v>28639</v>
      </c>
      <c r="AC2192" t="s">
        <v>35155</v>
      </c>
      <c r="AD2192" t="s">
        <v>38690</v>
      </c>
      <c r="AE2192">
        <v>11</v>
      </c>
      <c r="AF2192" t="s">
        <v>45541</v>
      </c>
      <c r="AG2192" t="s">
        <v>45557</v>
      </c>
      <c r="AH2192">
        <v>3</v>
      </c>
      <c r="AI2192">
        <v>1</v>
      </c>
      <c r="AJ2192">
        <v>3</v>
      </c>
      <c r="AK2192">
        <v>51.79</v>
      </c>
      <c r="AN2192" t="s">
        <v>45581</v>
      </c>
      <c r="AO2192">
        <v>13000</v>
      </c>
      <c r="AU2192">
        <v>5.65</v>
      </c>
      <c r="AV2192" t="s">
        <v>710</v>
      </c>
      <c r="AW2192" t="s">
        <v>336</v>
      </c>
    </row>
    <row r="2193" spans="1:50">
      <c r="A2193" s="1">
        <f>HYPERLINK("https://lsnyc.legalserver.org/matter/dynamic-profile/view/1879253","18-1879253")</f>
        <v>0</v>
      </c>
      <c r="B2193" t="s">
        <v>100</v>
      </c>
      <c r="C2193" t="s">
        <v>340</v>
      </c>
      <c r="D2193" t="s">
        <v>583</v>
      </c>
      <c r="F2193" t="s">
        <v>2139</v>
      </c>
      <c r="G2193" t="s">
        <v>6319</v>
      </c>
      <c r="H2193" t="s">
        <v>9724</v>
      </c>
      <c r="I2193" t="s">
        <v>17313</v>
      </c>
      <c r="J2193" t="s">
        <v>18892</v>
      </c>
      <c r="K2193">
        <v>10468</v>
      </c>
      <c r="L2193" t="s">
        <v>18958</v>
      </c>
      <c r="M2193" t="s">
        <v>18958</v>
      </c>
      <c r="O2193" t="s">
        <v>26534</v>
      </c>
      <c r="P2193" t="s">
        <v>26561</v>
      </c>
      <c r="R2193" t="s">
        <v>26578</v>
      </c>
      <c r="S2193" t="s">
        <v>18958</v>
      </c>
      <c r="U2193" t="s">
        <v>26604</v>
      </c>
      <c r="W2193" t="s">
        <v>583</v>
      </c>
      <c r="X2193">
        <v>907.04</v>
      </c>
      <c r="Y2193" t="s">
        <v>26650</v>
      </c>
      <c r="Z2193" t="s">
        <v>26663</v>
      </c>
      <c r="AB2193" t="s">
        <v>28640</v>
      </c>
      <c r="AD2193" t="s">
        <v>38691</v>
      </c>
      <c r="AE2193">
        <v>58</v>
      </c>
      <c r="AF2193" t="s">
        <v>45548</v>
      </c>
      <c r="AG2193" t="s">
        <v>19330</v>
      </c>
      <c r="AH2193">
        <v>21</v>
      </c>
      <c r="AI2193">
        <v>2</v>
      </c>
      <c r="AJ2193">
        <v>2</v>
      </c>
      <c r="AK2193">
        <v>219.12</v>
      </c>
      <c r="AN2193" t="s">
        <v>7439</v>
      </c>
      <c r="AO2193">
        <v>55000</v>
      </c>
      <c r="AP2193" t="s">
        <v>45746</v>
      </c>
      <c r="AU2193">
        <v>0</v>
      </c>
      <c r="AW2193" t="s">
        <v>46847</v>
      </c>
    </row>
    <row r="2194" spans="1:50">
      <c r="A2194" s="1">
        <f>HYPERLINK("https://lsnyc.legalserver.org/matter/dynamic-profile/view/1879224","18-1879224")</f>
        <v>0</v>
      </c>
      <c r="B2194" t="s">
        <v>232</v>
      </c>
      <c r="C2194" t="s">
        <v>340</v>
      </c>
      <c r="D2194" t="s">
        <v>583</v>
      </c>
      <c r="F2194" t="s">
        <v>1587</v>
      </c>
      <c r="G2194" t="s">
        <v>994</v>
      </c>
      <c r="H2194" t="s">
        <v>11439</v>
      </c>
      <c r="I2194" t="s">
        <v>17781</v>
      </c>
      <c r="J2194" t="s">
        <v>18894</v>
      </c>
      <c r="K2194">
        <v>11238</v>
      </c>
      <c r="L2194" t="s">
        <v>18958</v>
      </c>
      <c r="M2194" t="s">
        <v>18958</v>
      </c>
      <c r="N2194" t="s">
        <v>20616</v>
      </c>
      <c r="O2194" t="s">
        <v>26523</v>
      </c>
      <c r="P2194" t="s">
        <v>26560</v>
      </c>
      <c r="R2194" t="s">
        <v>26586</v>
      </c>
      <c r="S2194" t="s">
        <v>18959</v>
      </c>
      <c r="U2194" t="s">
        <v>26604</v>
      </c>
      <c r="V2194" t="s">
        <v>26610</v>
      </c>
      <c r="W2194" t="s">
        <v>583</v>
      </c>
      <c r="X2194">
        <v>947</v>
      </c>
      <c r="Y2194" t="s">
        <v>26652</v>
      </c>
      <c r="Z2194" t="s">
        <v>26659</v>
      </c>
      <c r="AB2194" t="s">
        <v>28641</v>
      </c>
      <c r="AD2194" t="s">
        <v>38692</v>
      </c>
      <c r="AE2194">
        <v>52</v>
      </c>
      <c r="AF2194" t="s">
        <v>45541</v>
      </c>
      <c r="AG2194" t="s">
        <v>45556</v>
      </c>
      <c r="AH2194">
        <v>19</v>
      </c>
      <c r="AI2194">
        <v>2</v>
      </c>
      <c r="AJ2194">
        <v>1</v>
      </c>
      <c r="AK2194">
        <v>81.81</v>
      </c>
      <c r="AN2194" t="s">
        <v>7439</v>
      </c>
      <c r="AO2194">
        <v>17000</v>
      </c>
      <c r="AU2194">
        <v>13.25</v>
      </c>
      <c r="AV2194" t="s">
        <v>835</v>
      </c>
      <c r="AW2194" t="s">
        <v>46862</v>
      </c>
      <c r="AX2194" t="s">
        <v>46897</v>
      </c>
    </row>
    <row r="2195" spans="1:50">
      <c r="A2195" s="1">
        <f>HYPERLINK("https://lsnyc.legalserver.org/matter/dynamic-profile/view/1879169","18-1879169")</f>
        <v>0</v>
      </c>
      <c r="B2195" t="s">
        <v>71</v>
      </c>
      <c r="C2195" t="s">
        <v>340</v>
      </c>
      <c r="D2195" t="s">
        <v>583</v>
      </c>
      <c r="F2195" t="s">
        <v>2140</v>
      </c>
      <c r="G2195" t="s">
        <v>6320</v>
      </c>
      <c r="H2195" t="s">
        <v>11440</v>
      </c>
      <c r="I2195" t="s">
        <v>17782</v>
      </c>
      <c r="J2195" t="s">
        <v>18892</v>
      </c>
      <c r="K2195">
        <v>10467</v>
      </c>
      <c r="L2195" t="s">
        <v>18958</v>
      </c>
      <c r="M2195" t="s">
        <v>18958</v>
      </c>
      <c r="N2195" t="s">
        <v>20617</v>
      </c>
      <c r="O2195" t="s">
        <v>26523</v>
      </c>
      <c r="P2195" t="s">
        <v>26560</v>
      </c>
      <c r="R2195" t="s">
        <v>26579</v>
      </c>
      <c r="S2195" t="s">
        <v>18959</v>
      </c>
      <c r="U2195" t="s">
        <v>26604</v>
      </c>
      <c r="V2195" t="s">
        <v>26610</v>
      </c>
      <c r="W2195" t="s">
        <v>583</v>
      </c>
      <c r="X2195">
        <v>1600</v>
      </c>
      <c r="Y2195" t="s">
        <v>26650</v>
      </c>
      <c r="Z2195" t="s">
        <v>26664</v>
      </c>
      <c r="AB2195" t="s">
        <v>28642</v>
      </c>
      <c r="AC2195" t="s">
        <v>35156</v>
      </c>
      <c r="AD2195" t="s">
        <v>38693</v>
      </c>
      <c r="AE2195">
        <v>11</v>
      </c>
      <c r="AF2195" t="s">
        <v>45541</v>
      </c>
      <c r="AG2195" t="s">
        <v>19330</v>
      </c>
      <c r="AH2195">
        <v>1</v>
      </c>
      <c r="AI2195">
        <v>1</v>
      </c>
      <c r="AJ2195">
        <v>3</v>
      </c>
      <c r="AK2195">
        <v>77.29000000000001</v>
      </c>
      <c r="AN2195" t="s">
        <v>7439</v>
      </c>
      <c r="AO2195">
        <v>19400</v>
      </c>
      <c r="AQ2195" t="s">
        <v>46364</v>
      </c>
      <c r="AR2195" t="s">
        <v>46456</v>
      </c>
      <c r="AS2195" t="s">
        <v>46499</v>
      </c>
      <c r="AT2195" t="s">
        <v>46735</v>
      </c>
      <c r="AU2195">
        <v>19.7</v>
      </c>
      <c r="AV2195" t="s">
        <v>836</v>
      </c>
      <c r="AW2195" t="s">
        <v>334</v>
      </c>
    </row>
    <row r="2196" spans="1:50">
      <c r="A2196" s="1">
        <f>HYPERLINK("https://lsnyc.legalserver.org/matter/dynamic-profile/view/1879973","18-1879973")</f>
        <v>0</v>
      </c>
      <c r="B2196" t="s">
        <v>63</v>
      </c>
      <c r="C2196" t="s">
        <v>340</v>
      </c>
      <c r="D2196" t="s">
        <v>583</v>
      </c>
      <c r="F2196" t="s">
        <v>1562</v>
      </c>
      <c r="G2196" t="s">
        <v>5121</v>
      </c>
      <c r="H2196" t="s">
        <v>11441</v>
      </c>
      <c r="I2196">
        <v>1</v>
      </c>
      <c r="J2196" t="s">
        <v>18892</v>
      </c>
      <c r="K2196">
        <v>10475</v>
      </c>
      <c r="L2196" t="s">
        <v>18958</v>
      </c>
      <c r="M2196" t="s">
        <v>18958</v>
      </c>
      <c r="N2196" t="s">
        <v>20618</v>
      </c>
      <c r="O2196" t="s">
        <v>26549</v>
      </c>
      <c r="P2196" t="s">
        <v>26560</v>
      </c>
      <c r="R2196" t="s">
        <v>26578</v>
      </c>
      <c r="S2196" t="s">
        <v>18959</v>
      </c>
      <c r="U2196" t="s">
        <v>26604</v>
      </c>
      <c r="W2196" t="s">
        <v>583</v>
      </c>
      <c r="X2196">
        <v>1513</v>
      </c>
      <c r="Y2196" t="s">
        <v>26650</v>
      </c>
      <c r="AB2196" t="s">
        <v>27375</v>
      </c>
      <c r="AE2196">
        <v>10914</v>
      </c>
      <c r="AF2196" t="s">
        <v>45550</v>
      </c>
      <c r="AH2196">
        <v>12</v>
      </c>
      <c r="AI2196">
        <v>1</v>
      </c>
      <c r="AJ2196">
        <v>2</v>
      </c>
      <c r="AK2196">
        <v>206.74</v>
      </c>
      <c r="AL2196" t="s">
        <v>415</v>
      </c>
      <c r="AM2196" t="s">
        <v>45575</v>
      </c>
      <c r="AN2196" t="s">
        <v>7439</v>
      </c>
      <c r="AO2196">
        <v>42960</v>
      </c>
      <c r="AU2196">
        <v>42</v>
      </c>
      <c r="AV2196" t="s">
        <v>826</v>
      </c>
      <c r="AW2196" t="s">
        <v>63</v>
      </c>
    </row>
    <row r="2197" spans="1:50">
      <c r="A2197" s="1">
        <f>HYPERLINK("https://lsnyc.legalserver.org/matter/dynamic-profile/view/1879360","18-1879360")</f>
        <v>0</v>
      </c>
      <c r="B2197" t="s">
        <v>171</v>
      </c>
      <c r="C2197" t="s">
        <v>341</v>
      </c>
      <c r="D2197" t="s">
        <v>575</v>
      </c>
      <c r="E2197" t="s">
        <v>678</v>
      </c>
      <c r="F2197" t="s">
        <v>2141</v>
      </c>
      <c r="G2197" t="s">
        <v>6321</v>
      </c>
      <c r="H2197" t="s">
        <v>11442</v>
      </c>
      <c r="I2197" t="s">
        <v>17347</v>
      </c>
      <c r="J2197" t="s">
        <v>18893</v>
      </c>
      <c r="K2197">
        <v>10002</v>
      </c>
      <c r="L2197" t="s">
        <v>18958</v>
      </c>
      <c r="M2197" t="s">
        <v>18958</v>
      </c>
      <c r="N2197" t="s">
        <v>20619</v>
      </c>
      <c r="O2197" t="s">
        <v>26524</v>
      </c>
      <c r="P2197" t="s">
        <v>26564</v>
      </c>
      <c r="Q2197" t="s">
        <v>26570</v>
      </c>
      <c r="R2197" t="s">
        <v>26578</v>
      </c>
      <c r="U2197" t="s">
        <v>26604</v>
      </c>
      <c r="V2197" t="s">
        <v>26610</v>
      </c>
      <c r="W2197" t="s">
        <v>583</v>
      </c>
      <c r="X2197">
        <v>443.08</v>
      </c>
      <c r="Y2197" t="s">
        <v>26651</v>
      </c>
      <c r="Z2197" t="s">
        <v>26667</v>
      </c>
      <c r="AA2197" t="s">
        <v>26683</v>
      </c>
      <c r="AB2197" t="s">
        <v>28643</v>
      </c>
      <c r="AD2197" t="s">
        <v>38694</v>
      </c>
      <c r="AE2197">
        <v>0</v>
      </c>
      <c r="AF2197" t="s">
        <v>45541</v>
      </c>
      <c r="AG2197" t="s">
        <v>19330</v>
      </c>
      <c r="AH2197">
        <v>0</v>
      </c>
      <c r="AI2197">
        <v>1</v>
      </c>
      <c r="AJ2197">
        <v>0</v>
      </c>
      <c r="AK2197">
        <v>378.91</v>
      </c>
      <c r="AN2197" t="s">
        <v>45599</v>
      </c>
      <c r="AO2197">
        <v>46000</v>
      </c>
      <c r="AU2197">
        <v>0.4</v>
      </c>
      <c r="AV2197" t="s">
        <v>605</v>
      </c>
      <c r="AW2197" t="s">
        <v>314</v>
      </c>
    </row>
    <row r="2198" spans="1:50">
      <c r="A2198" s="1">
        <f>HYPERLINK("https://lsnyc.legalserver.org/matter/dynamic-profile/view/1879724","18-1879724")</f>
        <v>0</v>
      </c>
      <c r="B2198" t="s">
        <v>198</v>
      </c>
      <c r="C2198" t="s">
        <v>341</v>
      </c>
      <c r="D2198" t="s">
        <v>411</v>
      </c>
      <c r="E2198" t="s">
        <v>687</v>
      </c>
      <c r="F2198" t="s">
        <v>2142</v>
      </c>
      <c r="G2198" t="s">
        <v>5590</v>
      </c>
      <c r="H2198" t="s">
        <v>10461</v>
      </c>
      <c r="I2198" t="s">
        <v>17783</v>
      </c>
      <c r="J2198" t="s">
        <v>18894</v>
      </c>
      <c r="K2198">
        <v>11226</v>
      </c>
      <c r="L2198" t="s">
        <v>18958</v>
      </c>
      <c r="M2198" t="s">
        <v>18960</v>
      </c>
      <c r="O2198" t="s">
        <v>18997</v>
      </c>
      <c r="P2198" t="s">
        <v>26565</v>
      </c>
      <c r="Q2198" t="s">
        <v>26570</v>
      </c>
      <c r="R2198" t="s">
        <v>26578</v>
      </c>
      <c r="U2198" t="s">
        <v>26607</v>
      </c>
      <c r="W2198" t="s">
        <v>583</v>
      </c>
      <c r="X2198">
        <v>914</v>
      </c>
      <c r="Y2198" t="s">
        <v>26652</v>
      </c>
      <c r="Z2198" t="s">
        <v>26663</v>
      </c>
      <c r="AA2198" t="s">
        <v>26683</v>
      </c>
      <c r="AB2198" t="s">
        <v>28644</v>
      </c>
      <c r="AE2198">
        <v>125</v>
      </c>
      <c r="AF2198" t="s">
        <v>45541</v>
      </c>
      <c r="AG2198" t="s">
        <v>19330</v>
      </c>
      <c r="AH2198">
        <v>35</v>
      </c>
      <c r="AI2198">
        <v>1</v>
      </c>
      <c r="AJ2198">
        <v>0</v>
      </c>
      <c r="AK2198">
        <v>277.36</v>
      </c>
      <c r="AN2198" t="s">
        <v>7439</v>
      </c>
      <c r="AO2198">
        <v>33672</v>
      </c>
      <c r="AU2198">
        <v>1.9</v>
      </c>
      <c r="AV2198" t="s">
        <v>828</v>
      </c>
      <c r="AW2198" t="s">
        <v>46853</v>
      </c>
      <c r="AX2198" t="s">
        <v>46897</v>
      </c>
    </row>
    <row r="2199" spans="1:50">
      <c r="A2199" s="1">
        <f>HYPERLINK("https://lsnyc.legalserver.org/matter/dynamic-profile/view/1880227","18-1880227")</f>
        <v>0</v>
      </c>
      <c r="B2199" t="s">
        <v>51</v>
      </c>
      <c r="C2199" t="s">
        <v>341</v>
      </c>
      <c r="D2199" t="s">
        <v>614</v>
      </c>
      <c r="E2199" t="s">
        <v>800</v>
      </c>
      <c r="F2199" t="s">
        <v>2137</v>
      </c>
      <c r="G2199" t="s">
        <v>6317</v>
      </c>
      <c r="H2199" t="s">
        <v>11436</v>
      </c>
      <c r="I2199" t="s">
        <v>17667</v>
      </c>
      <c r="J2199" t="s">
        <v>18892</v>
      </c>
      <c r="K2199">
        <v>10467</v>
      </c>
      <c r="L2199" t="s">
        <v>18958</v>
      </c>
      <c r="M2199" t="s">
        <v>18958</v>
      </c>
      <c r="O2199" t="s">
        <v>26536</v>
      </c>
      <c r="P2199" t="s">
        <v>26562</v>
      </c>
      <c r="Q2199" t="s">
        <v>26571</v>
      </c>
      <c r="R2199" t="s">
        <v>26578</v>
      </c>
      <c r="S2199" t="s">
        <v>18959</v>
      </c>
      <c r="U2199" t="s">
        <v>26606</v>
      </c>
      <c r="W2199" t="s">
        <v>583</v>
      </c>
      <c r="X2199">
        <v>1332.6</v>
      </c>
      <c r="Y2199" t="s">
        <v>26650</v>
      </c>
      <c r="Z2199" t="s">
        <v>26655</v>
      </c>
      <c r="AA2199" t="s">
        <v>26682</v>
      </c>
      <c r="AB2199" t="s">
        <v>27769</v>
      </c>
      <c r="AD2199" t="s">
        <v>38688</v>
      </c>
      <c r="AE2199">
        <v>0</v>
      </c>
      <c r="AF2199" t="s">
        <v>45541</v>
      </c>
      <c r="AG2199" t="s">
        <v>45556</v>
      </c>
      <c r="AH2199">
        <v>32</v>
      </c>
      <c r="AI2199">
        <v>2</v>
      </c>
      <c r="AJ2199">
        <v>0</v>
      </c>
      <c r="AK2199">
        <v>36.67</v>
      </c>
      <c r="AN2199" t="s">
        <v>45581</v>
      </c>
      <c r="AO2199">
        <v>6036</v>
      </c>
      <c r="AU2199">
        <v>0.8</v>
      </c>
      <c r="AV2199" t="s">
        <v>652</v>
      </c>
      <c r="AW2199" t="s">
        <v>46832</v>
      </c>
    </row>
    <row r="2200" spans="1:50">
      <c r="A2200" s="1">
        <f>HYPERLINK("https://lsnyc.legalserver.org/matter/dynamic-profile/view/0824075","17-0824075")</f>
        <v>0</v>
      </c>
      <c r="B2200" t="s">
        <v>100</v>
      </c>
      <c r="C2200" t="s">
        <v>340</v>
      </c>
      <c r="D2200" t="s">
        <v>615</v>
      </c>
      <c r="F2200" t="s">
        <v>887</v>
      </c>
      <c r="G2200" t="s">
        <v>5434</v>
      </c>
      <c r="H2200" t="s">
        <v>11443</v>
      </c>
      <c r="I2200" t="s">
        <v>17361</v>
      </c>
      <c r="J2200" t="s">
        <v>18892</v>
      </c>
      <c r="K2200">
        <v>10457</v>
      </c>
      <c r="L2200" t="s">
        <v>18958</v>
      </c>
      <c r="M2200" t="s">
        <v>18960</v>
      </c>
      <c r="N2200" t="s">
        <v>20620</v>
      </c>
      <c r="O2200" t="s">
        <v>26527</v>
      </c>
      <c r="P2200" t="s">
        <v>26561</v>
      </c>
      <c r="R2200" t="s">
        <v>26578</v>
      </c>
      <c r="S2200" t="s">
        <v>18958</v>
      </c>
      <c r="U2200" t="s">
        <v>26604</v>
      </c>
      <c r="W2200" t="s">
        <v>575</v>
      </c>
      <c r="X2200">
        <v>0</v>
      </c>
      <c r="Y2200" t="s">
        <v>26650</v>
      </c>
      <c r="Z2200" t="s">
        <v>26665</v>
      </c>
      <c r="AB2200" t="s">
        <v>27983</v>
      </c>
      <c r="AD2200" t="s">
        <v>34738</v>
      </c>
      <c r="AE2200">
        <v>100</v>
      </c>
      <c r="AF2200" t="s">
        <v>45541</v>
      </c>
      <c r="AH2200">
        <v>0</v>
      </c>
      <c r="AI2200">
        <v>1</v>
      </c>
      <c r="AJ2200">
        <v>0</v>
      </c>
      <c r="AK2200">
        <v>0</v>
      </c>
      <c r="AN2200" t="s">
        <v>45581</v>
      </c>
      <c r="AO2200">
        <v>0</v>
      </c>
      <c r="AP2200" t="s">
        <v>45747</v>
      </c>
      <c r="AU2200">
        <v>0</v>
      </c>
      <c r="AW2200" t="s">
        <v>46831</v>
      </c>
    </row>
    <row r="2201" spans="1:50">
      <c r="A2201" s="1">
        <f>HYPERLINK("https://lsnyc.legalserver.org/matter/dynamic-profile/view/1847575","17-1847575")</f>
        <v>0</v>
      </c>
      <c r="B2201" t="s">
        <v>65</v>
      </c>
      <c r="C2201" t="s">
        <v>341</v>
      </c>
      <c r="D2201" t="s">
        <v>616</v>
      </c>
      <c r="E2201" t="s">
        <v>728</v>
      </c>
      <c r="F2201" t="s">
        <v>1194</v>
      </c>
      <c r="G2201" t="s">
        <v>5173</v>
      </c>
      <c r="H2201" t="s">
        <v>10927</v>
      </c>
      <c r="I2201" t="s">
        <v>17683</v>
      </c>
      <c r="J2201" t="s">
        <v>18892</v>
      </c>
      <c r="K2201">
        <v>10453</v>
      </c>
      <c r="L2201" t="s">
        <v>18958</v>
      </c>
      <c r="M2201" t="s">
        <v>18960</v>
      </c>
      <c r="N2201" t="s">
        <v>20621</v>
      </c>
      <c r="O2201" t="s">
        <v>26523</v>
      </c>
      <c r="P2201" t="s">
        <v>26560</v>
      </c>
      <c r="Q2201" t="s">
        <v>26568</v>
      </c>
      <c r="R2201" t="s">
        <v>26577</v>
      </c>
      <c r="U2201" t="s">
        <v>26604</v>
      </c>
      <c r="V2201" t="s">
        <v>26610</v>
      </c>
      <c r="W2201" t="s">
        <v>575</v>
      </c>
      <c r="X2201">
        <v>1694</v>
      </c>
      <c r="Y2201" t="s">
        <v>26650</v>
      </c>
      <c r="Z2201" t="s">
        <v>26656</v>
      </c>
      <c r="AA2201" t="s">
        <v>26678</v>
      </c>
      <c r="AB2201" t="s">
        <v>28088</v>
      </c>
      <c r="AC2201" t="s">
        <v>35157</v>
      </c>
      <c r="AD2201" t="s">
        <v>38141</v>
      </c>
      <c r="AE2201">
        <v>140</v>
      </c>
      <c r="AF2201" t="s">
        <v>45541</v>
      </c>
      <c r="AG2201" t="s">
        <v>19330</v>
      </c>
      <c r="AH2201">
        <v>5</v>
      </c>
      <c r="AI2201">
        <v>2</v>
      </c>
      <c r="AJ2201">
        <v>2</v>
      </c>
      <c r="AK2201">
        <v>133.17</v>
      </c>
      <c r="AM2201" t="s">
        <v>45579</v>
      </c>
      <c r="AN2201" t="s">
        <v>7439</v>
      </c>
      <c r="AO2201">
        <v>32760</v>
      </c>
      <c r="AP2201" t="s">
        <v>45620</v>
      </c>
      <c r="AQ2201" t="s">
        <v>46361</v>
      </c>
      <c r="AR2201" t="s">
        <v>46457</v>
      </c>
      <c r="AS2201" t="s">
        <v>46499</v>
      </c>
      <c r="AT2201" t="s">
        <v>46624</v>
      </c>
      <c r="AU2201">
        <v>41.9</v>
      </c>
      <c r="AV2201" t="s">
        <v>687</v>
      </c>
      <c r="AW2201" t="s">
        <v>46848</v>
      </c>
      <c r="AX2201" t="s">
        <v>46897</v>
      </c>
    </row>
    <row r="2202" spans="1:50">
      <c r="A2202" s="1">
        <f>HYPERLINK("https://lsnyc.legalserver.org/matter/dynamic-profile/view/1847540","17-1847540")</f>
        <v>0</v>
      </c>
      <c r="B2202" t="s">
        <v>57</v>
      </c>
      <c r="C2202" t="s">
        <v>340</v>
      </c>
      <c r="D2202" t="s">
        <v>616</v>
      </c>
      <c r="F2202" t="s">
        <v>1944</v>
      </c>
      <c r="G2202" t="s">
        <v>6322</v>
      </c>
      <c r="H2202" t="s">
        <v>11444</v>
      </c>
      <c r="I2202" t="s">
        <v>17312</v>
      </c>
      <c r="J2202" t="s">
        <v>18892</v>
      </c>
      <c r="K2202">
        <v>10467</v>
      </c>
      <c r="L2202" t="s">
        <v>18958</v>
      </c>
      <c r="M2202" t="s">
        <v>18960</v>
      </c>
      <c r="N2202" t="s">
        <v>20622</v>
      </c>
      <c r="O2202" t="s">
        <v>26524</v>
      </c>
      <c r="P2202" t="s">
        <v>26560</v>
      </c>
      <c r="R2202" t="s">
        <v>26579</v>
      </c>
      <c r="S2202" t="s">
        <v>18959</v>
      </c>
      <c r="U2202" t="s">
        <v>26604</v>
      </c>
      <c r="V2202" t="s">
        <v>26612</v>
      </c>
      <c r="W2202" t="s">
        <v>575</v>
      </c>
      <c r="X2202">
        <v>1268</v>
      </c>
      <c r="Y2202" t="s">
        <v>26650</v>
      </c>
      <c r="Z2202" t="s">
        <v>26662</v>
      </c>
      <c r="AB2202" t="s">
        <v>28645</v>
      </c>
      <c r="AC2202" t="s">
        <v>35158</v>
      </c>
      <c r="AD2202" t="s">
        <v>38695</v>
      </c>
      <c r="AE2202">
        <v>5</v>
      </c>
      <c r="AF2202" t="s">
        <v>45547</v>
      </c>
      <c r="AG2202" t="s">
        <v>45558</v>
      </c>
      <c r="AH2202">
        <v>1</v>
      </c>
      <c r="AI2202">
        <v>1</v>
      </c>
      <c r="AJ2202">
        <v>1</v>
      </c>
      <c r="AK2202">
        <v>25.96</v>
      </c>
      <c r="AM2202" t="s">
        <v>45576</v>
      </c>
      <c r="AN2202" t="s">
        <v>45581</v>
      </c>
      <c r="AO2202">
        <v>4216</v>
      </c>
      <c r="AQ2202" t="s">
        <v>46368</v>
      </c>
      <c r="AR2202" t="s">
        <v>46379</v>
      </c>
      <c r="AS2202" t="s">
        <v>46500</v>
      </c>
      <c r="AT2202" t="s">
        <v>46736</v>
      </c>
      <c r="AU2202">
        <v>100.1</v>
      </c>
      <c r="AV2202" t="s">
        <v>704</v>
      </c>
      <c r="AW2202" t="s">
        <v>46848</v>
      </c>
    </row>
    <row r="2203" spans="1:50">
      <c r="A2203" s="1">
        <f>HYPERLINK("https://lsnyc.legalserver.org/matter/dynamic-profile/view/1874624","18-1874624")</f>
        <v>0</v>
      </c>
      <c r="B2203" t="s">
        <v>56</v>
      </c>
      <c r="C2203" t="s">
        <v>340</v>
      </c>
      <c r="D2203" t="s">
        <v>461</v>
      </c>
      <c r="F2203" t="s">
        <v>1091</v>
      </c>
      <c r="G2203" t="s">
        <v>6323</v>
      </c>
      <c r="H2203" t="s">
        <v>11445</v>
      </c>
      <c r="I2203" t="s">
        <v>17784</v>
      </c>
      <c r="J2203" t="s">
        <v>18892</v>
      </c>
      <c r="K2203">
        <v>10475</v>
      </c>
      <c r="L2203" t="s">
        <v>18958</v>
      </c>
      <c r="M2203" t="s">
        <v>18958</v>
      </c>
      <c r="N2203" t="s">
        <v>20623</v>
      </c>
      <c r="O2203" t="s">
        <v>26523</v>
      </c>
      <c r="P2203" t="s">
        <v>26560</v>
      </c>
      <c r="R2203" t="s">
        <v>26577</v>
      </c>
      <c r="U2203" t="s">
        <v>26604</v>
      </c>
      <c r="V2203" t="s">
        <v>26612</v>
      </c>
      <c r="W2203" t="s">
        <v>575</v>
      </c>
      <c r="X2203">
        <v>1450</v>
      </c>
      <c r="Y2203" t="s">
        <v>26650</v>
      </c>
      <c r="Z2203" t="s">
        <v>26668</v>
      </c>
      <c r="AB2203" t="s">
        <v>27722</v>
      </c>
      <c r="AD2203" t="s">
        <v>38696</v>
      </c>
      <c r="AE2203">
        <v>0</v>
      </c>
      <c r="AF2203" t="s">
        <v>45552</v>
      </c>
      <c r="AG2203" t="s">
        <v>19330</v>
      </c>
      <c r="AH2203">
        <v>40</v>
      </c>
      <c r="AI2203">
        <v>3</v>
      </c>
      <c r="AJ2203">
        <v>0</v>
      </c>
      <c r="AK2203">
        <v>0</v>
      </c>
      <c r="AN2203" t="s">
        <v>7439</v>
      </c>
      <c r="AO2203">
        <v>0</v>
      </c>
      <c r="AU2203">
        <v>3.5</v>
      </c>
      <c r="AV2203" t="s">
        <v>512</v>
      </c>
      <c r="AW2203" t="s">
        <v>46836</v>
      </c>
    </row>
    <row r="2204" spans="1:50">
      <c r="A2204" s="1">
        <f>HYPERLINK("https://lsnyc.legalserver.org/matter/dynamic-profile/view/1877998","18-1877998")</f>
        <v>0</v>
      </c>
      <c r="B2204" t="s">
        <v>170</v>
      </c>
      <c r="C2204" t="s">
        <v>341</v>
      </c>
      <c r="D2204" t="s">
        <v>572</v>
      </c>
      <c r="E2204" t="s">
        <v>575</v>
      </c>
      <c r="F2204" t="s">
        <v>2143</v>
      </c>
      <c r="G2204" t="s">
        <v>6324</v>
      </c>
      <c r="H2204" t="s">
        <v>11446</v>
      </c>
      <c r="I2204" t="s">
        <v>17410</v>
      </c>
      <c r="J2204" t="s">
        <v>18894</v>
      </c>
      <c r="K2204">
        <v>11238</v>
      </c>
      <c r="L2204" t="s">
        <v>18958</v>
      </c>
      <c r="M2204" t="s">
        <v>18958</v>
      </c>
      <c r="N2204" t="s">
        <v>20624</v>
      </c>
      <c r="O2204" t="s">
        <v>26524</v>
      </c>
      <c r="P2204" t="s">
        <v>26565</v>
      </c>
      <c r="Q2204" t="s">
        <v>26571</v>
      </c>
      <c r="R2204" t="s">
        <v>26586</v>
      </c>
      <c r="U2204" t="s">
        <v>26604</v>
      </c>
      <c r="W2204" t="s">
        <v>575</v>
      </c>
      <c r="X2204">
        <v>0</v>
      </c>
      <c r="Y2204" t="s">
        <v>26652</v>
      </c>
      <c r="Z2204" t="s">
        <v>26664</v>
      </c>
      <c r="AA2204" t="s">
        <v>26681</v>
      </c>
      <c r="AB2204" t="s">
        <v>28646</v>
      </c>
      <c r="AD2204" t="s">
        <v>38697</v>
      </c>
      <c r="AE2204">
        <v>0</v>
      </c>
      <c r="AG2204" t="s">
        <v>19330</v>
      </c>
      <c r="AH2204">
        <v>-1</v>
      </c>
      <c r="AI2204">
        <v>1</v>
      </c>
      <c r="AJ2204">
        <v>0</v>
      </c>
      <c r="AK2204">
        <v>132.96</v>
      </c>
      <c r="AO2204">
        <v>16141</v>
      </c>
      <c r="AU2204">
        <v>2</v>
      </c>
      <c r="AV2204" t="s">
        <v>575</v>
      </c>
      <c r="AW2204" t="s">
        <v>46862</v>
      </c>
    </row>
    <row r="2205" spans="1:50">
      <c r="A2205" s="1">
        <f>HYPERLINK("https://lsnyc.legalserver.org/matter/dynamic-profile/view/1878522","18-1878522")</f>
        <v>0</v>
      </c>
      <c r="B2205" t="s">
        <v>56</v>
      </c>
      <c r="C2205" t="s">
        <v>340</v>
      </c>
      <c r="D2205" t="s">
        <v>589</v>
      </c>
      <c r="F2205" t="s">
        <v>937</v>
      </c>
      <c r="G2205" t="s">
        <v>5095</v>
      </c>
      <c r="H2205" t="s">
        <v>11447</v>
      </c>
      <c r="I2205" t="s">
        <v>17388</v>
      </c>
      <c r="J2205" t="s">
        <v>18892</v>
      </c>
      <c r="K2205">
        <v>10458</v>
      </c>
      <c r="L2205" t="s">
        <v>18958</v>
      </c>
      <c r="M2205" t="s">
        <v>18958</v>
      </c>
      <c r="N2205" t="s">
        <v>20625</v>
      </c>
      <c r="O2205" t="s">
        <v>26524</v>
      </c>
      <c r="P2205" t="s">
        <v>26560</v>
      </c>
      <c r="R2205" t="s">
        <v>26577</v>
      </c>
      <c r="S2205" t="s">
        <v>18959</v>
      </c>
      <c r="U2205" t="s">
        <v>26604</v>
      </c>
      <c r="V2205" t="s">
        <v>26609</v>
      </c>
      <c r="W2205" t="s">
        <v>575</v>
      </c>
      <c r="X2205">
        <v>1300</v>
      </c>
      <c r="Y2205" t="s">
        <v>26650</v>
      </c>
      <c r="Z2205" t="s">
        <v>26659</v>
      </c>
      <c r="AB2205" t="s">
        <v>28647</v>
      </c>
      <c r="AD2205" t="s">
        <v>38698</v>
      </c>
      <c r="AE2205">
        <v>0</v>
      </c>
      <c r="AF2205" t="s">
        <v>45541</v>
      </c>
      <c r="AG2205" t="s">
        <v>19330</v>
      </c>
      <c r="AH2205">
        <v>4</v>
      </c>
      <c r="AI2205">
        <v>2</v>
      </c>
      <c r="AJ2205">
        <v>1</v>
      </c>
      <c r="AK2205">
        <v>173.24</v>
      </c>
      <c r="AL2205" t="s">
        <v>688</v>
      </c>
      <c r="AM2205" t="s">
        <v>45575</v>
      </c>
      <c r="AN2205" t="s">
        <v>7439</v>
      </c>
      <c r="AO2205">
        <v>36000</v>
      </c>
      <c r="AU2205">
        <v>18</v>
      </c>
      <c r="AV2205" t="s">
        <v>816</v>
      </c>
      <c r="AW2205" t="s">
        <v>46870</v>
      </c>
    </row>
    <row r="2206" spans="1:50">
      <c r="A2206" s="1">
        <f>HYPERLINK("https://lsnyc.legalserver.org/matter/dynamic-profile/view/1878861","18-1878861")</f>
        <v>0</v>
      </c>
      <c r="B2206" t="s">
        <v>246</v>
      </c>
      <c r="C2206" t="s">
        <v>341</v>
      </c>
      <c r="D2206" t="s">
        <v>457</v>
      </c>
      <c r="E2206" t="s">
        <v>494</v>
      </c>
      <c r="F2206" t="s">
        <v>2144</v>
      </c>
      <c r="G2206" t="s">
        <v>6223</v>
      </c>
      <c r="H2206" t="s">
        <v>9679</v>
      </c>
      <c r="I2206" t="s">
        <v>17785</v>
      </c>
      <c r="J2206" t="s">
        <v>18892</v>
      </c>
      <c r="K2206">
        <v>10457</v>
      </c>
      <c r="L2206" t="s">
        <v>18958</v>
      </c>
      <c r="M2206" t="s">
        <v>18958</v>
      </c>
      <c r="N2206" t="s">
        <v>20626</v>
      </c>
      <c r="O2206" t="s">
        <v>26523</v>
      </c>
      <c r="P2206" t="s">
        <v>26560</v>
      </c>
      <c r="Q2206" t="s">
        <v>26568</v>
      </c>
      <c r="R2206" t="s">
        <v>26579</v>
      </c>
      <c r="S2206" t="s">
        <v>18959</v>
      </c>
      <c r="U2206" t="s">
        <v>26604</v>
      </c>
      <c r="V2206" t="s">
        <v>26610</v>
      </c>
      <c r="W2206" t="s">
        <v>575</v>
      </c>
      <c r="X2206">
        <v>778</v>
      </c>
      <c r="Y2206" t="s">
        <v>26650</v>
      </c>
      <c r="Z2206" t="s">
        <v>26664</v>
      </c>
      <c r="AA2206" t="s">
        <v>26677</v>
      </c>
      <c r="AB2206" t="s">
        <v>28648</v>
      </c>
      <c r="AC2206" t="s">
        <v>35159</v>
      </c>
      <c r="AD2206" t="s">
        <v>38699</v>
      </c>
      <c r="AE2206">
        <v>0</v>
      </c>
      <c r="AF2206" t="s">
        <v>45543</v>
      </c>
      <c r="AG2206" t="s">
        <v>26530</v>
      </c>
      <c r="AH2206">
        <v>2</v>
      </c>
      <c r="AI2206">
        <v>1</v>
      </c>
      <c r="AJ2206">
        <v>0</v>
      </c>
      <c r="AK2206">
        <v>268.53</v>
      </c>
      <c r="AL2206" t="s">
        <v>575</v>
      </c>
      <c r="AM2206" t="s">
        <v>45575</v>
      </c>
      <c r="AN2206" t="s">
        <v>7439</v>
      </c>
      <c r="AO2206">
        <v>32600</v>
      </c>
      <c r="AS2206" t="s">
        <v>46499</v>
      </c>
      <c r="AU2206">
        <v>9.75</v>
      </c>
      <c r="AV2206" t="s">
        <v>668</v>
      </c>
      <c r="AW2206" t="s">
        <v>334</v>
      </c>
    </row>
    <row r="2207" spans="1:50">
      <c r="A2207" s="1">
        <f>HYPERLINK("https://lsnyc.legalserver.org/matter/dynamic-profile/view/1878493","18-1878493")</f>
        <v>0</v>
      </c>
      <c r="B2207" t="s">
        <v>153</v>
      </c>
      <c r="C2207" t="s">
        <v>340</v>
      </c>
      <c r="D2207" t="s">
        <v>583</v>
      </c>
      <c r="F2207" t="s">
        <v>996</v>
      </c>
      <c r="G2207" t="s">
        <v>6325</v>
      </c>
      <c r="H2207" t="s">
        <v>11448</v>
      </c>
      <c r="I2207" t="s">
        <v>17786</v>
      </c>
      <c r="J2207" t="s">
        <v>18902</v>
      </c>
      <c r="K2207">
        <v>10304</v>
      </c>
      <c r="L2207" t="s">
        <v>18958</v>
      </c>
      <c r="M2207" t="s">
        <v>18958</v>
      </c>
      <c r="N2207" t="s">
        <v>20627</v>
      </c>
      <c r="O2207" t="s">
        <v>26523</v>
      </c>
      <c r="P2207" t="s">
        <v>26560</v>
      </c>
      <c r="R2207" t="s">
        <v>26578</v>
      </c>
      <c r="S2207" t="s">
        <v>18959</v>
      </c>
      <c r="U2207" t="s">
        <v>26604</v>
      </c>
      <c r="V2207" t="s">
        <v>26610</v>
      </c>
      <c r="W2207" t="s">
        <v>575</v>
      </c>
      <c r="X2207">
        <v>192</v>
      </c>
      <c r="Y2207" t="s">
        <v>26654</v>
      </c>
      <c r="Z2207" t="s">
        <v>26663</v>
      </c>
      <c r="AB2207" t="s">
        <v>28649</v>
      </c>
      <c r="AD2207" t="s">
        <v>38700</v>
      </c>
      <c r="AE2207">
        <v>108</v>
      </c>
      <c r="AF2207" t="s">
        <v>45551</v>
      </c>
      <c r="AG2207" t="s">
        <v>26530</v>
      </c>
      <c r="AH2207">
        <v>2</v>
      </c>
      <c r="AI2207">
        <v>1</v>
      </c>
      <c r="AJ2207">
        <v>0</v>
      </c>
      <c r="AK2207">
        <v>38.55</v>
      </c>
      <c r="AN2207" t="s">
        <v>7439</v>
      </c>
      <c r="AO2207">
        <v>4680</v>
      </c>
      <c r="AU2207">
        <v>6.3</v>
      </c>
      <c r="AV2207" t="s">
        <v>830</v>
      </c>
      <c r="AW2207" t="s">
        <v>316</v>
      </c>
    </row>
    <row r="2208" spans="1:50">
      <c r="A2208" s="1">
        <f>HYPERLINK("https://lsnyc.legalserver.org/matter/dynamic-profile/view/1879286","18-1879286")</f>
        <v>0</v>
      </c>
      <c r="B2208" t="s">
        <v>133</v>
      </c>
      <c r="C2208" t="s">
        <v>341</v>
      </c>
      <c r="D2208" t="s">
        <v>575</v>
      </c>
      <c r="E2208" t="s">
        <v>836</v>
      </c>
      <c r="F2208" t="s">
        <v>2145</v>
      </c>
      <c r="G2208" t="s">
        <v>6028</v>
      </c>
      <c r="H2208" t="s">
        <v>11449</v>
      </c>
      <c r="I2208" t="s">
        <v>17787</v>
      </c>
      <c r="J2208" t="s">
        <v>18892</v>
      </c>
      <c r="K2208">
        <v>10467</v>
      </c>
      <c r="L2208" t="s">
        <v>18958</v>
      </c>
      <c r="M2208" t="s">
        <v>18958</v>
      </c>
      <c r="N2208" t="s">
        <v>20628</v>
      </c>
      <c r="O2208" t="s">
        <v>26523</v>
      </c>
      <c r="P2208" t="s">
        <v>26560</v>
      </c>
      <c r="Q2208" t="s">
        <v>26568</v>
      </c>
      <c r="R2208" t="s">
        <v>26579</v>
      </c>
      <c r="S2208" t="s">
        <v>18959</v>
      </c>
      <c r="U2208" t="s">
        <v>26604</v>
      </c>
      <c r="V2208" t="s">
        <v>26610</v>
      </c>
      <c r="W2208" t="s">
        <v>575</v>
      </c>
      <c r="X2208">
        <v>450</v>
      </c>
      <c r="Y2208" t="s">
        <v>26650</v>
      </c>
      <c r="Z2208" t="s">
        <v>26664</v>
      </c>
      <c r="AA2208" t="s">
        <v>26678</v>
      </c>
      <c r="AB2208" t="s">
        <v>28650</v>
      </c>
      <c r="AC2208" t="s">
        <v>35160</v>
      </c>
      <c r="AD2208" t="s">
        <v>38701</v>
      </c>
      <c r="AE2208">
        <v>0</v>
      </c>
      <c r="AF2208" t="s">
        <v>45541</v>
      </c>
      <c r="AG2208" t="s">
        <v>19330</v>
      </c>
      <c r="AH2208">
        <v>1</v>
      </c>
      <c r="AI2208">
        <v>1</v>
      </c>
      <c r="AJ2208">
        <v>2</v>
      </c>
      <c r="AK2208">
        <v>152.65</v>
      </c>
      <c r="AO2208">
        <v>31720</v>
      </c>
      <c r="AP2208" t="s">
        <v>45654</v>
      </c>
      <c r="AS2208" t="s">
        <v>46499</v>
      </c>
      <c r="AU2208">
        <v>15</v>
      </c>
      <c r="AV2208" t="s">
        <v>671</v>
      </c>
      <c r="AW2208" t="s">
        <v>334</v>
      </c>
    </row>
    <row r="2209" spans="1:50">
      <c r="A2209" s="1">
        <f>HYPERLINK("https://lsnyc.legalserver.org/matter/dynamic-profile/view/1879297","18-1879297")</f>
        <v>0</v>
      </c>
      <c r="B2209" t="s">
        <v>137</v>
      </c>
      <c r="C2209" t="s">
        <v>341</v>
      </c>
      <c r="D2209" t="s">
        <v>575</v>
      </c>
      <c r="E2209" t="s">
        <v>771</v>
      </c>
      <c r="F2209" t="s">
        <v>2146</v>
      </c>
      <c r="G2209" t="s">
        <v>5126</v>
      </c>
      <c r="H2209" t="s">
        <v>11450</v>
      </c>
      <c r="I2209" t="s">
        <v>17288</v>
      </c>
      <c r="J2209" t="s">
        <v>18892</v>
      </c>
      <c r="K2209">
        <v>10468</v>
      </c>
      <c r="L2209" t="s">
        <v>18958</v>
      </c>
      <c r="M2209" t="s">
        <v>18958</v>
      </c>
      <c r="N2209" t="s">
        <v>20629</v>
      </c>
      <c r="O2209" t="s">
        <v>26523</v>
      </c>
      <c r="P2209" t="s">
        <v>26560</v>
      </c>
      <c r="Q2209" t="s">
        <v>26568</v>
      </c>
      <c r="R2209" t="s">
        <v>26579</v>
      </c>
      <c r="S2209" t="s">
        <v>18959</v>
      </c>
      <c r="U2209" t="s">
        <v>26604</v>
      </c>
      <c r="V2209" t="s">
        <v>26609</v>
      </c>
      <c r="W2209" t="s">
        <v>575</v>
      </c>
      <c r="X2209">
        <v>1127.5</v>
      </c>
      <c r="Y2209" t="s">
        <v>26650</v>
      </c>
      <c r="Z2209" t="s">
        <v>26664</v>
      </c>
      <c r="AA2209" t="s">
        <v>26678</v>
      </c>
      <c r="AB2209" t="s">
        <v>28651</v>
      </c>
      <c r="AD2209" t="s">
        <v>38702</v>
      </c>
      <c r="AE2209">
        <v>43</v>
      </c>
      <c r="AF2209" t="s">
        <v>45541</v>
      </c>
      <c r="AG2209" t="s">
        <v>19330</v>
      </c>
      <c r="AH2209">
        <v>2</v>
      </c>
      <c r="AI2209">
        <v>1</v>
      </c>
      <c r="AJ2209">
        <v>1</v>
      </c>
      <c r="AK2209">
        <v>164.03</v>
      </c>
      <c r="AN2209" t="s">
        <v>45581</v>
      </c>
      <c r="AO2209">
        <v>27000</v>
      </c>
      <c r="AR2209" t="s">
        <v>46380</v>
      </c>
      <c r="AS2209" t="s">
        <v>46499</v>
      </c>
      <c r="AT2209" t="s">
        <v>46506</v>
      </c>
      <c r="AU2209">
        <v>11.2</v>
      </c>
      <c r="AV2209" t="s">
        <v>735</v>
      </c>
      <c r="AW2209" t="s">
        <v>46847</v>
      </c>
      <c r="AX2209" t="s">
        <v>46897</v>
      </c>
    </row>
    <row r="2210" spans="1:50">
      <c r="A2210" s="1">
        <f>HYPERLINK("https://lsnyc.legalserver.org/matter/dynamic-profile/view/1879405","18-1879405")</f>
        <v>0</v>
      </c>
      <c r="B2210" t="s">
        <v>108</v>
      </c>
      <c r="C2210" t="s">
        <v>341</v>
      </c>
      <c r="D2210" t="s">
        <v>575</v>
      </c>
      <c r="E2210" t="s">
        <v>691</v>
      </c>
      <c r="F2210" t="s">
        <v>2147</v>
      </c>
      <c r="G2210" t="s">
        <v>6326</v>
      </c>
      <c r="H2210" t="s">
        <v>11451</v>
      </c>
      <c r="I2210" t="s">
        <v>17548</v>
      </c>
      <c r="J2210" t="s">
        <v>18901</v>
      </c>
      <c r="K2210">
        <v>11434</v>
      </c>
      <c r="L2210" t="s">
        <v>18958</v>
      </c>
      <c r="M2210" t="s">
        <v>18958</v>
      </c>
      <c r="N2210" t="s">
        <v>20630</v>
      </c>
      <c r="O2210" t="s">
        <v>26524</v>
      </c>
      <c r="P2210" t="s">
        <v>26560</v>
      </c>
      <c r="Q2210" t="s">
        <v>26573</v>
      </c>
      <c r="R2210" t="s">
        <v>26585</v>
      </c>
      <c r="S2210" t="s">
        <v>18959</v>
      </c>
      <c r="U2210" t="s">
        <v>26604</v>
      </c>
      <c r="V2210" t="s">
        <v>26610</v>
      </c>
      <c r="W2210" t="s">
        <v>575</v>
      </c>
      <c r="X2210">
        <v>1500</v>
      </c>
      <c r="Y2210" t="s">
        <v>26653</v>
      </c>
      <c r="Z2210" t="s">
        <v>26664</v>
      </c>
      <c r="AA2210" t="s">
        <v>26679</v>
      </c>
      <c r="AB2210" t="s">
        <v>28652</v>
      </c>
      <c r="AD2210" t="s">
        <v>38703</v>
      </c>
      <c r="AE2210">
        <v>2</v>
      </c>
      <c r="AF2210" t="s">
        <v>45547</v>
      </c>
      <c r="AG2210" t="s">
        <v>19330</v>
      </c>
      <c r="AH2210">
        <v>8</v>
      </c>
      <c r="AI2210">
        <v>1</v>
      </c>
      <c r="AJ2210">
        <v>4</v>
      </c>
      <c r="AK2210">
        <v>97.89</v>
      </c>
      <c r="AN2210" t="s">
        <v>7439</v>
      </c>
      <c r="AO2210">
        <v>28800</v>
      </c>
      <c r="AR2210" t="s">
        <v>26530</v>
      </c>
      <c r="AS2210" t="s">
        <v>46500</v>
      </c>
      <c r="AT2210" t="s">
        <v>46617</v>
      </c>
      <c r="AU2210">
        <v>2</v>
      </c>
      <c r="AV2210" t="s">
        <v>651</v>
      </c>
      <c r="AW2210" t="s">
        <v>122</v>
      </c>
    </row>
    <row r="2211" spans="1:50">
      <c r="A2211" s="1">
        <f>HYPERLINK("https://lsnyc.legalserver.org/matter/dynamic-profile/view/1879359","18-1879359")</f>
        <v>0</v>
      </c>
      <c r="B2211" t="s">
        <v>85</v>
      </c>
      <c r="C2211" t="s">
        <v>341</v>
      </c>
      <c r="D2211" t="s">
        <v>575</v>
      </c>
      <c r="E2211" t="s">
        <v>411</v>
      </c>
      <c r="F2211" t="s">
        <v>1324</v>
      </c>
      <c r="G2211" t="s">
        <v>6327</v>
      </c>
      <c r="H2211" t="s">
        <v>10173</v>
      </c>
      <c r="I2211" t="s">
        <v>17374</v>
      </c>
      <c r="J2211" t="s">
        <v>18928</v>
      </c>
      <c r="K2211">
        <v>11365</v>
      </c>
      <c r="L2211" t="s">
        <v>18958</v>
      </c>
      <c r="M2211" t="s">
        <v>18958</v>
      </c>
      <c r="N2211" t="s">
        <v>20631</v>
      </c>
      <c r="O2211" t="s">
        <v>26524</v>
      </c>
      <c r="P2211" t="s">
        <v>26564</v>
      </c>
      <c r="Q2211" t="s">
        <v>26570</v>
      </c>
      <c r="R2211" t="s">
        <v>26584</v>
      </c>
      <c r="S2211" t="s">
        <v>18959</v>
      </c>
      <c r="U2211" t="s">
        <v>26604</v>
      </c>
      <c r="W2211" t="s">
        <v>575</v>
      </c>
      <c r="X2211">
        <v>1150</v>
      </c>
      <c r="Y2211" t="s">
        <v>26653</v>
      </c>
      <c r="Z2211" t="s">
        <v>26664</v>
      </c>
      <c r="AA2211" t="s">
        <v>26683</v>
      </c>
      <c r="AB2211" t="s">
        <v>27266</v>
      </c>
      <c r="AC2211" t="s">
        <v>35161</v>
      </c>
      <c r="AD2211" t="s">
        <v>37337</v>
      </c>
      <c r="AE2211">
        <v>3</v>
      </c>
      <c r="AF2211" t="s">
        <v>45547</v>
      </c>
      <c r="AG2211" t="s">
        <v>26530</v>
      </c>
      <c r="AH2211">
        <v>1</v>
      </c>
      <c r="AI2211">
        <v>1</v>
      </c>
      <c r="AJ2211">
        <v>2</v>
      </c>
      <c r="AK2211">
        <v>24.4</v>
      </c>
      <c r="AN2211" t="s">
        <v>7439</v>
      </c>
      <c r="AO2211">
        <v>5070</v>
      </c>
      <c r="AU2211">
        <v>0.3</v>
      </c>
      <c r="AV2211" t="s">
        <v>575</v>
      </c>
      <c r="AW2211" t="s">
        <v>161</v>
      </c>
    </row>
    <row r="2212" spans="1:50">
      <c r="A2212" s="1">
        <f>HYPERLINK("https://lsnyc.legalserver.org/matter/dynamic-profile/view/1879397","18-1879397")</f>
        <v>0</v>
      </c>
      <c r="B2212" t="s">
        <v>85</v>
      </c>
      <c r="C2212" t="s">
        <v>341</v>
      </c>
      <c r="D2212" t="s">
        <v>575</v>
      </c>
      <c r="E2212" t="s">
        <v>699</v>
      </c>
      <c r="F2212" t="s">
        <v>1005</v>
      </c>
      <c r="G2212" t="s">
        <v>6218</v>
      </c>
      <c r="H2212" t="s">
        <v>11452</v>
      </c>
      <c r="I2212" t="s">
        <v>17566</v>
      </c>
      <c r="J2212" t="s">
        <v>18898</v>
      </c>
      <c r="K2212">
        <v>11691</v>
      </c>
      <c r="L2212" t="s">
        <v>18958</v>
      </c>
      <c r="M2212" t="s">
        <v>18958</v>
      </c>
      <c r="N2212" t="s">
        <v>20632</v>
      </c>
      <c r="O2212" t="s">
        <v>26523</v>
      </c>
      <c r="P2212" t="s">
        <v>26564</v>
      </c>
      <c r="Q2212" t="s">
        <v>26570</v>
      </c>
      <c r="R2212" t="s">
        <v>26584</v>
      </c>
      <c r="S2212" t="s">
        <v>18959</v>
      </c>
      <c r="U2212" t="s">
        <v>26605</v>
      </c>
      <c r="V2212" t="s">
        <v>26610</v>
      </c>
      <c r="W2212" t="s">
        <v>575</v>
      </c>
      <c r="X2212">
        <v>602</v>
      </c>
      <c r="Y2212" t="s">
        <v>26653</v>
      </c>
      <c r="Z2212" t="s">
        <v>26664</v>
      </c>
      <c r="AA2212" t="s">
        <v>26683</v>
      </c>
      <c r="AB2212" t="s">
        <v>28653</v>
      </c>
      <c r="AC2212" t="s">
        <v>35162</v>
      </c>
      <c r="AD2212" t="s">
        <v>38704</v>
      </c>
      <c r="AE2212">
        <v>0</v>
      </c>
      <c r="AF2212" t="s">
        <v>45549</v>
      </c>
      <c r="AG2212" t="s">
        <v>19330</v>
      </c>
      <c r="AH2212">
        <v>4</v>
      </c>
      <c r="AI2212">
        <v>1</v>
      </c>
      <c r="AJ2212">
        <v>4</v>
      </c>
      <c r="AK2212">
        <v>84.43000000000001</v>
      </c>
      <c r="AO2212">
        <v>24840</v>
      </c>
      <c r="AU2212">
        <v>0.2</v>
      </c>
      <c r="AV2212" t="s">
        <v>643</v>
      </c>
      <c r="AW2212" t="s">
        <v>122</v>
      </c>
    </row>
    <row r="2213" spans="1:50">
      <c r="A2213" s="1">
        <f>HYPERLINK("https://lsnyc.legalserver.org/matter/dynamic-profile/view/1879323","18-1879323")</f>
        <v>0</v>
      </c>
      <c r="B2213" t="s">
        <v>212</v>
      </c>
      <c r="C2213" t="s">
        <v>341</v>
      </c>
      <c r="D2213" t="s">
        <v>575</v>
      </c>
      <c r="E2213" t="s">
        <v>575</v>
      </c>
      <c r="F2213" t="s">
        <v>901</v>
      </c>
      <c r="G2213" t="s">
        <v>5685</v>
      </c>
      <c r="H2213" t="s">
        <v>11453</v>
      </c>
      <c r="I2213" t="s">
        <v>17725</v>
      </c>
      <c r="J2213" t="s">
        <v>7026</v>
      </c>
      <c r="K2213">
        <v>11368</v>
      </c>
      <c r="L2213" t="s">
        <v>18958</v>
      </c>
      <c r="M2213" t="s">
        <v>18958</v>
      </c>
      <c r="N2213" t="s">
        <v>20633</v>
      </c>
      <c r="O2213" t="s">
        <v>26523</v>
      </c>
      <c r="P2213" t="s">
        <v>26564</v>
      </c>
      <c r="Q2213" t="s">
        <v>26570</v>
      </c>
      <c r="R2213" t="s">
        <v>26578</v>
      </c>
      <c r="S2213" t="s">
        <v>18959</v>
      </c>
      <c r="U2213" t="s">
        <v>26604</v>
      </c>
      <c r="V2213" t="s">
        <v>26611</v>
      </c>
      <c r="W2213" t="s">
        <v>575</v>
      </c>
      <c r="X2213">
        <v>1681</v>
      </c>
      <c r="Y2213" t="s">
        <v>26653</v>
      </c>
      <c r="Z2213" t="s">
        <v>26664</v>
      </c>
      <c r="AA2213" t="s">
        <v>26683</v>
      </c>
      <c r="AB2213" t="s">
        <v>28654</v>
      </c>
      <c r="AD2213" t="s">
        <v>38705</v>
      </c>
      <c r="AE2213">
        <v>252</v>
      </c>
      <c r="AF2213" t="s">
        <v>45541</v>
      </c>
      <c r="AG2213" t="s">
        <v>19330</v>
      </c>
      <c r="AH2213">
        <v>30</v>
      </c>
      <c r="AI2213">
        <v>1</v>
      </c>
      <c r="AJ2213">
        <v>0</v>
      </c>
      <c r="AK2213">
        <v>187.51</v>
      </c>
      <c r="AN2213" t="s">
        <v>45581</v>
      </c>
      <c r="AO2213">
        <v>22764</v>
      </c>
      <c r="AU2213">
        <v>0.6</v>
      </c>
      <c r="AV2213" t="s">
        <v>575</v>
      </c>
      <c r="AW2213" t="s">
        <v>208</v>
      </c>
    </row>
    <row r="2214" spans="1:50">
      <c r="A2214" s="1">
        <f>HYPERLINK("https://lsnyc.legalserver.org/matter/dynamic-profile/view/1879352","18-1879352")</f>
        <v>0</v>
      </c>
      <c r="B2214" t="s">
        <v>141</v>
      </c>
      <c r="C2214" t="s">
        <v>341</v>
      </c>
      <c r="D2214" t="s">
        <v>575</v>
      </c>
      <c r="E2214" t="s">
        <v>819</v>
      </c>
      <c r="F2214" t="s">
        <v>2148</v>
      </c>
      <c r="G2214" t="s">
        <v>5762</v>
      </c>
      <c r="H2214" t="s">
        <v>11454</v>
      </c>
      <c r="I2214" t="s">
        <v>17293</v>
      </c>
      <c r="J2214" t="s">
        <v>18898</v>
      </c>
      <c r="K2214">
        <v>11691</v>
      </c>
      <c r="L2214" t="s">
        <v>18958</v>
      </c>
      <c r="M2214" t="s">
        <v>18958</v>
      </c>
      <c r="N2214" t="s">
        <v>20634</v>
      </c>
      <c r="O2214" t="s">
        <v>26523</v>
      </c>
      <c r="P2214" t="s">
        <v>26560</v>
      </c>
      <c r="Q2214" t="s">
        <v>26568</v>
      </c>
      <c r="R2214" t="s">
        <v>26578</v>
      </c>
      <c r="S2214" t="s">
        <v>18959</v>
      </c>
      <c r="U2214" t="s">
        <v>26604</v>
      </c>
      <c r="V2214" t="s">
        <v>26610</v>
      </c>
      <c r="W2214" t="s">
        <v>575</v>
      </c>
      <c r="X2214">
        <v>1515</v>
      </c>
      <c r="Y2214" t="s">
        <v>26653</v>
      </c>
      <c r="Z2214" t="s">
        <v>26664</v>
      </c>
      <c r="AA2214" t="s">
        <v>26678</v>
      </c>
      <c r="AB2214" t="s">
        <v>28655</v>
      </c>
      <c r="AC2214" t="s">
        <v>35163</v>
      </c>
      <c r="AD2214" t="s">
        <v>38706</v>
      </c>
      <c r="AE2214">
        <v>28</v>
      </c>
      <c r="AF2214" t="s">
        <v>45541</v>
      </c>
      <c r="AG2214" t="s">
        <v>45558</v>
      </c>
      <c r="AH2214">
        <v>1</v>
      </c>
      <c r="AI2214">
        <v>1</v>
      </c>
      <c r="AJ2214">
        <v>3</v>
      </c>
      <c r="AK2214">
        <v>44.02</v>
      </c>
      <c r="AN2214" t="s">
        <v>7439</v>
      </c>
      <c r="AO2214">
        <v>11050</v>
      </c>
      <c r="AQ2214" t="s">
        <v>46368</v>
      </c>
      <c r="AR2214" t="s">
        <v>46422</v>
      </c>
      <c r="AS2214" t="s">
        <v>46499</v>
      </c>
      <c r="AT2214" t="s">
        <v>46737</v>
      </c>
      <c r="AU2214">
        <v>44.95</v>
      </c>
      <c r="AV2214" t="s">
        <v>695</v>
      </c>
      <c r="AW2214" t="s">
        <v>208</v>
      </c>
      <c r="AX2214" t="s">
        <v>46897</v>
      </c>
    </row>
    <row r="2215" spans="1:50">
      <c r="A2215" s="1">
        <f>HYPERLINK("https://lsnyc.legalserver.org/matter/dynamic-profile/view/1879295","18-1879295")</f>
        <v>0</v>
      </c>
      <c r="B2215" t="s">
        <v>214</v>
      </c>
      <c r="C2215" t="s">
        <v>341</v>
      </c>
      <c r="D2215" t="s">
        <v>575</v>
      </c>
      <c r="E2215" t="s">
        <v>428</v>
      </c>
      <c r="F2215" t="s">
        <v>2063</v>
      </c>
      <c r="G2215" t="s">
        <v>6328</v>
      </c>
      <c r="H2215" t="s">
        <v>11314</v>
      </c>
      <c r="I2215" t="s">
        <v>17388</v>
      </c>
      <c r="J2215" t="s">
        <v>18898</v>
      </c>
      <c r="K2215">
        <v>11691</v>
      </c>
      <c r="L2215" t="s">
        <v>18958</v>
      </c>
      <c r="M2215" t="s">
        <v>18958</v>
      </c>
      <c r="N2215" t="s">
        <v>20635</v>
      </c>
      <c r="O2215" t="s">
        <v>26523</v>
      </c>
      <c r="P2215" t="s">
        <v>26564</v>
      </c>
      <c r="Q2215" t="s">
        <v>26570</v>
      </c>
      <c r="R2215" t="s">
        <v>26578</v>
      </c>
      <c r="S2215" t="s">
        <v>18959</v>
      </c>
      <c r="U2215" t="s">
        <v>26604</v>
      </c>
      <c r="V2215" t="s">
        <v>26612</v>
      </c>
      <c r="W2215" t="s">
        <v>575</v>
      </c>
      <c r="X2215">
        <v>1515</v>
      </c>
      <c r="Y2215" t="s">
        <v>26653</v>
      </c>
      <c r="Z2215" t="s">
        <v>26664</v>
      </c>
      <c r="AA2215" t="s">
        <v>26683</v>
      </c>
      <c r="AB2215" t="s">
        <v>28656</v>
      </c>
      <c r="AC2215" t="s">
        <v>35164</v>
      </c>
      <c r="AE2215">
        <v>30</v>
      </c>
      <c r="AF2215" t="s">
        <v>45541</v>
      </c>
      <c r="AG2215" t="s">
        <v>45557</v>
      </c>
      <c r="AH2215">
        <v>1</v>
      </c>
      <c r="AI2215">
        <v>1</v>
      </c>
      <c r="AJ2215">
        <v>3</v>
      </c>
      <c r="AK2215">
        <v>0</v>
      </c>
      <c r="AN2215" t="s">
        <v>7439</v>
      </c>
      <c r="AO2215">
        <v>0</v>
      </c>
      <c r="AU2215">
        <v>3.3</v>
      </c>
      <c r="AV2215" t="s">
        <v>428</v>
      </c>
      <c r="AW2215" t="s">
        <v>161</v>
      </c>
    </row>
    <row r="2216" spans="1:50">
      <c r="A2216" s="1">
        <f>HYPERLINK("https://lsnyc.legalserver.org/matter/dynamic-profile/view/1879321","18-1879321")</f>
        <v>0</v>
      </c>
      <c r="B2216" t="s">
        <v>110</v>
      </c>
      <c r="C2216" t="s">
        <v>341</v>
      </c>
      <c r="D2216" t="s">
        <v>575</v>
      </c>
      <c r="E2216" t="s">
        <v>819</v>
      </c>
      <c r="F2216" t="s">
        <v>1253</v>
      </c>
      <c r="G2216" t="s">
        <v>6329</v>
      </c>
      <c r="H2216" t="s">
        <v>11455</v>
      </c>
      <c r="J2216" t="s">
        <v>18929</v>
      </c>
      <c r="K2216">
        <v>11379</v>
      </c>
      <c r="L2216" t="s">
        <v>18958</v>
      </c>
      <c r="M2216" t="s">
        <v>18958</v>
      </c>
      <c r="N2216" t="s">
        <v>20636</v>
      </c>
      <c r="O2216" t="s">
        <v>26524</v>
      </c>
      <c r="P2216" t="s">
        <v>26560</v>
      </c>
      <c r="Q2216" t="s">
        <v>26568</v>
      </c>
      <c r="R2216" t="s">
        <v>26584</v>
      </c>
      <c r="S2216" t="s">
        <v>18959</v>
      </c>
      <c r="U2216" t="s">
        <v>26604</v>
      </c>
      <c r="V2216" t="s">
        <v>26610</v>
      </c>
      <c r="W2216" t="s">
        <v>575</v>
      </c>
      <c r="X2216">
        <v>1200</v>
      </c>
      <c r="Y2216" t="s">
        <v>26653</v>
      </c>
      <c r="Z2216" t="s">
        <v>26664</v>
      </c>
      <c r="AA2216" t="s">
        <v>26679</v>
      </c>
      <c r="AB2216" t="s">
        <v>28657</v>
      </c>
      <c r="AD2216" t="s">
        <v>38707</v>
      </c>
      <c r="AE2216">
        <v>3</v>
      </c>
      <c r="AF2216" t="s">
        <v>45547</v>
      </c>
      <c r="AG2216" t="s">
        <v>19330</v>
      </c>
      <c r="AH2216">
        <v>3</v>
      </c>
      <c r="AI2216">
        <v>1</v>
      </c>
      <c r="AJ2216">
        <v>0</v>
      </c>
      <c r="AK2216">
        <v>0</v>
      </c>
      <c r="AN2216" t="s">
        <v>7439</v>
      </c>
      <c r="AO2216">
        <v>0</v>
      </c>
      <c r="AQ2216" t="s">
        <v>46359</v>
      </c>
      <c r="AR2216" t="s">
        <v>46406</v>
      </c>
      <c r="AS2216" t="s">
        <v>46500</v>
      </c>
      <c r="AT2216" t="s">
        <v>46609</v>
      </c>
      <c r="AU2216">
        <v>21.8</v>
      </c>
      <c r="AV2216" t="s">
        <v>657</v>
      </c>
      <c r="AW2216" t="s">
        <v>161</v>
      </c>
      <c r="AX2216" t="s">
        <v>46897</v>
      </c>
    </row>
    <row r="2217" spans="1:50">
      <c r="A2217" s="1">
        <f>HYPERLINK("https://lsnyc.legalserver.org/matter/dynamic-profile/view/1879353","18-1879353")</f>
        <v>0</v>
      </c>
      <c r="B2217" t="s">
        <v>110</v>
      </c>
      <c r="C2217" t="s">
        <v>341</v>
      </c>
      <c r="D2217" t="s">
        <v>575</v>
      </c>
      <c r="E2217" t="s">
        <v>699</v>
      </c>
      <c r="F2217" t="s">
        <v>1062</v>
      </c>
      <c r="G2217" t="s">
        <v>5049</v>
      </c>
      <c r="H2217" t="s">
        <v>11456</v>
      </c>
      <c r="I2217" t="s">
        <v>17430</v>
      </c>
      <c r="J2217" t="s">
        <v>18901</v>
      </c>
      <c r="K2217">
        <v>11432</v>
      </c>
      <c r="L2217" t="s">
        <v>18958</v>
      </c>
      <c r="M2217" t="s">
        <v>18958</v>
      </c>
      <c r="N2217" t="s">
        <v>20637</v>
      </c>
      <c r="O2217" t="s">
        <v>26524</v>
      </c>
      <c r="P2217" t="s">
        <v>26564</v>
      </c>
      <c r="Q2217" t="s">
        <v>26570</v>
      </c>
      <c r="R2217" t="s">
        <v>26584</v>
      </c>
      <c r="S2217" t="s">
        <v>18959</v>
      </c>
      <c r="U2217" t="s">
        <v>26604</v>
      </c>
      <c r="V2217" t="s">
        <v>26610</v>
      </c>
      <c r="W2217" t="s">
        <v>575</v>
      </c>
      <c r="X2217">
        <v>1059</v>
      </c>
      <c r="Y2217" t="s">
        <v>26653</v>
      </c>
      <c r="Z2217" t="s">
        <v>26664</v>
      </c>
      <c r="AA2217" t="s">
        <v>26683</v>
      </c>
      <c r="AB2217" t="s">
        <v>28658</v>
      </c>
      <c r="AC2217" t="s">
        <v>35165</v>
      </c>
      <c r="AD2217" t="s">
        <v>38708</v>
      </c>
      <c r="AE2217">
        <v>4</v>
      </c>
      <c r="AF2217" t="s">
        <v>45547</v>
      </c>
      <c r="AG2217" t="s">
        <v>45556</v>
      </c>
      <c r="AH2217">
        <v>17</v>
      </c>
      <c r="AI2217">
        <v>2</v>
      </c>
      <c r="AJ2217">
        <v>2</v>
      </c>
      <c r="AK2217">
        <v>25.9</v>
      </c>
      <c r="AN2217" t="s">
        <v>7439</v>
      </c>
      <c r="AO2217">
        <v>6500</v>
      </c>
      <c r="AU2217">
        <v>0.6</v>
      </c>
      <c r="AV2217" t="s">
        <v>618</v>
      </c>
      <c r="AW2217" t="s">
        <v>161</v>
      </c>
    </row>
    <row r="2218" spans="1:50">
      <c r="A2218" s="1">
        <f>HYPERLINK("https://lsnyc.legalserver.org/matter/dynamic-profile/view/1879364","18-1879364")</f>
        <v>0</v>
      </c>
      <c r="B2218" t="s">
        <v>64</v>
      </c>
      <c r="C2218" t="s">
        <v>341</v>
      </c>
      <c r="D2218" t="s">
        <v>575</v>
      </c>
      <c r="E2218" t="s">
        <v>766</v>
      </c>
      <c r="F2218" t="s">
        <v>2149</v>
      </c>
      <c r="G2218" t="s">
        <v>6330</v>
      </c>
      <c r="H2218" t="s">
        <v>11457</v>
      </c>
      <c r="I2218" t="s">
        <v>17278</v>
      </c>
      <c r="J2218" t="s">
        <v>18892</v>
      </c>
      <c r="K2218">
        <v>10467</v>
      </c>
      <c r="L2218" t="s">
        <v>18958</v>
      </c>
      <c r="M2218" t="s">
        <v>18958</v>
      </c>
      <c r="N2218" t="s">
        <v>20638</v>
      </c>
      <c r="O2218" t="s">
        <v>26523</v>
      </c>
      <c r="P2218" t="s">
        <v>26560</v>
      </c>
      <c r="Q2218" t="s">
        <v>26568</v>
      </c>
      <c r="R2218" t="s">
        <v>26579</v>
      </c>
      <c r="U2218" t="s">
        <v>26604</v>
      </c>
      <c r="V2218" t="s">
        <v>26610</v>
      </c>
      <c r="W2218" t="s">
        <v>575</v>
      </c>
      <c r="X2218">
        <v>1012</v>
      </c>
      <c r="Y2218" t="s">
        <v>26650</v>
      </c>
      <c r="Z2218" t="s">
        <v>26664</v>
      </c>
      <c r="AA2218" t="s">
        <v>26678</v>
      </c>
      <c r="AB2218" t="s">
        <v>28659</v>
      </c>
      <c r="AC2218" t="s">
        <v>35166</v>
      </c>
      <c r="AD2218" t="s">
        <v>38709</v>
      </c>
      <c r="AE2218">
        <v>0</v>
      </c>
      <c r="AF2218" t="s">
        <v>45541</v>
      </c>
      <c r="AG2218" t="s">
        <v>45556</v>
      </c>
      <c r="AH2218">
        <v>9</v>
      </c>
      <c r="AI2218">
        <v>2</v>
      </c>
      <c r="AJ2218">
        <v>0</v>
      </c>
      <c r="AK2218">
        <v>124.54</v>
      </c>
      <c r="AO2218">
        <v>20500</v>
      </c>
      <c r="AQ2218" t="s">
        <v>46362</v>
      </c>
      <c r="AR2218" t="s">
        <v>46420</v>
      </c>
      <c r="AS2218" t="s">
        <v>46499</v>
      </c>
      <c r="AT2218" t="s">
        <v>46698</v>
      </c>
      <c r="AU2218">
        <v>9.699999999999999</v>
      </c>
      <c r="AV2218" t="s">
        <v>704</v>
      </c>
      <c r="AW2218" t="s">
        <v>334</v>
      </c>
    </row>
    <row r="2219" spans="1:50">
      <c r="A2219" s="1">
        <f>HYPERLINK("https://lsnyc.legalserver.org/matter/dynamic-profile/view/1879340","18-1879340")</f>
        <v>0</v>
      </c>
      <c r="B2219" t="s">
        <v>111</v>
      </c>
      <c r="C2219" t="s">
        <v>341</v>
      </c>
      <c r="D2219" t="s">
        <v>575</v>
      </c>
      <c r="E2219" t="s">
        <v>850</v>
      </c>
      <c r="F2219" t="s">
        <v>1282</v>
      </c>
      <c r="G2219" t="s">
        <v>5219</v>
      </c>
      <c r="H2219" t="s">
        <v>11454</v>
      </c>
      <c r="I2219" t="s">
        <v>17344</v>
      </c>
      <c r="J2219" t="s">
        <v>18898</v>
      </c>
      <c r="K2219">
        <v>11691</v>
      </c>
      <c r="L2219" t="s">
        <v>18958</v>
      </c>
      <c r="M2219" t="s">
        <v>18958</v>
      </c>
      <c r="N2219" t="s">
        <v>20639</v>
      </c>
      <c r="O2219" t="s">
        <v>26523</v>
      </c>
      <c r="P2219" t="s">
        <v>26564</v>
      </c>
      <c r="Q2219" t="s">
        <v>26570</v>
      </c>
      <c r="R2219" t="s">
        <v>26578</v>
      </c>
      <c r="S2219" t="s">
        <v>18959</v>
      </c>
      <c r="U2219" t="s">
        <v>26604</v>
      </c>
      <c r="V2219" t="s">
        <v>26610</v>
      </c>
      <c r="W2219" t="s">
        <v>575</v>
      </c>
      <c r="X2219">
        <v>1515</v>
      </c>
      <c r="Y2219" t="s">
        <v>26653</v>
      </c>
      <c r="Z2219" t="s">
        <v>26664</v>
      </c>
      <c r="AA2219" t="s">
        <v>26683</v>
      </c>
      <c r="AB2219" t="s">
        <v>28660</v>
      </c>
      <c r="AC2219" t="s">
        <v>35167</v>
      </c>
      <c r="AD2219" t="s">
        <v>38710</v>
      </c>
      <c r="AE2219">
        <v>26</v>
      </c>
      <c r="AF2219" t="s">
        <v>45541</v>
      </c>
      <c r="AG2219" t="s">
        <v>45558</v>
      </c>
      <c r="AH2219">
        <v>1</v>
      </c>
      <c r="AI2219">
        <v>1</v>
      </c>
      <c r="AJ2219">
        <v>3</v>
      </c>
      <c r="AK2219">
        <v>20.1</v>
      </c>
      <c r="AN2219" t="s">
        <v>7439</v>
      </c>
      <c r="AO2219">
        <v>5044</v>
      </c>
      <c r="AU2219">
        <v>0.75</v>
      </c>
      <c r="AV2219" t="s">
        <v>605</v>
      </c>
      <c r="AW2219" t="s">
        <v>161</v>
      </c>
    </row>
    <row r="2220" spans="1:50">
      <c r="A2220" s="1">
        <f>HYPERLINK("https://lsnyc.legalserver.org/matter/dynamic-profile/view/1879287","18-1879287")</f>
        <v>0</v>
      </c>
      <c r="B2220" t="s">
        <v>69</v>
      </c>
      <c r="C2220" t="s">
        <v>341</v>
      </c>
      <c r="D2220" t="s">
        <v>575</v>
      </c>
      <c r="E2220" t="s">
        <v>835</v>
      </c>
      <c r="F2220" t="s">
        <v>1501</v>
      </c>
      <c r="G2220" t="s">
        <v>5311</v>
      </c>
      <c r="H2220" t="s">
        <v>11458</v>
      </c>
      <c r="I2220" t="s">
        <v>17349</v>
      </c>
      <c r="J2220" t="s">
        <v>18892</v>
      </c>
      <c r="K2220">
        <v>10459</v>
      </c>
      <c r="L2220" t="s">
        <v>18958</v>
      </c>
      <c r="M2220" t="s">
        <v>18960</v>
      </c>
      <c r="N2220" t="s">
        <v>20640</v>
      </c>
      <c r="O2220" t="s">
        <v>26523</v>
      </c>
      <c r="P2220" t="s">
        <v>26560</v>
      </c>
      <c r="Q2220" t="s">
        <v>26568</v>
      </c>
      <c r="R2220" t="s">
        <v>26577</v>
      </c>
      <c r="U2220" t="s">
        <v>26604</v>
      </c>
      <c r="W2220" t="s">
        <v>575</v>
      </c>
      <c r="X2220">
        <v>1437.31</v>
      </c>
      <c r="Y2220" t="s">
        <v>26650</v>
      </c>
      <c r="Z2220" t="s">
        <v>26668</v>
      </c>
      <c r="AA2220" t="s">
        <v>26678</v>
      </c>
      <c r="AB2220" t="s">
        <v>28661</v>
      </c>
      <c r="AC2220" t="s">
        <v>35168</v>
      </c>
      <c r="AD2220" t="s">
        <v>38711</v>
      </c>
      <c r="AE2220">
        <v>40</v>
      </c>
      <c r="AF2220" t="s">
        <v>45541</v>
      </c>
      <c r="AG2220" t="s">
        <v>45556</v>
      </c>
      <c r="AH2220">
        <v>9</v>
      </c>
      <c r="AI2220">
        <v>1</v>
      </c>
      <c r="AJ2220">
        <v>3</v>
      </c>
      <c r="AK2220">
        <v>67.25</v>
      </c>
      <c r="AN2220" t="s">
        <v>7439</v>
      </c>
      <c r="AO2220">
        <v>16880.16</v>
      </c>
      <c r="AS2220" t="s">
        <v>46499</v>
      </c>
      <c r="AU2220">
        <v>17.7</v>
      </c>
      <c r="AV2220" t="s">
        <v>719</v>
      </c>
      <c r="AW2220" t="s">
        <v>46836</v>
      </c>
    </row>
    <row r="2221" spans="1:50">
      <c r="A2221" s="1">
        <f>HYPERLINK("https://lsnyc.legalserver.org/matter/dynamic-profile/view/1879412","18-1879412")</f>
        <v>0</v>
      </c>
      <c r="B2221" t="s">
        <v>51</v>
      </c>
      <c r="C2221" t="s">
        <v>341</v>
      </c>
      <c r="D2221" t="s">
        <v>575</v>
      </c>
      <c r="E2221" t="s">
        <v>800</v>
      </c>
      <c r="F2221" t="s">
        <v>2074</v>
      </c>
      <c r="G2221" t="s">
        <v>5125</v>
      </c>
      <c r="H2221" t="s">
        <v>11459</v>
      </c>
      <c r="I2221" t="s">
        <v>17277</v>
      </c>
      <c r="J2221" t="s">
        <v>18892</v>
      </c>
      <c r="K2221">
        <v>10468</v>
      </c>
      <c r="L2221" t="s">
        <v>18958</v>
      </c>
      <c r="M2221" t="s">
        <v>18958</v>
      </c>
      <c r="N2221" t="s">
        <v>20641</v>
      </c>
      <c r="O2221" t="s">
        <v>26523</v>
      </c>
      <c r="P2221" t="s">
        <v>26560</v>
      </c>
      <c r="Q2221" t="s">
        <v>26568</v>
      </c>
      <c r="R2221" t="s">
        <v>26579</v>
      </c>
      <c r="S2221" t="s">
        <v>18959</v>
      </c>
      <c r="U2221" t="s">
        <v>26604</v>
      </c>
      <c r="V2221" t="s">
        <v>26611</v>
      </c>
      <c r="W2221" t="s">
        <v>575</v>
      </c>
      <c r="X2221">
        <v>2115.23</v>
      </c>
      <c r="Y2221" t="s">
        <v>26650</v>
      </c>
      <c r="Z2221" t="s">
        <v>26668</v>
      </c>
      <c r="AA2221" t="s">
        <v>26678</v>
      </c>
      <c r="AB2221" t="s">
        <v>28662</v>
      </c>
      <c r="AC2221" t="s">
        <v>35169</v>
      </c>
      <c r="AD2221" t="s">
        <v>38712</v>
      </c>
      <c r="AE2221">
        <v>10</v>
      </c>
      <c r="AF2221" t="s">
        <v>45541</v>
      </c>
      <c r="AG2221" t="s">
        <v>45556</v>
      </c>
      <c r="AH2221">
        <v>8</v>
      </c>
      <c r="AI2221">
        <v>3</v>
      </c>
      <c r="AJ2221">
        <v>3</v>
      </c>
      <c r="AK2221">
        <v>42.69</v>
      </c>
      <c r="AN2221" t="s">
        <v>7439</v>
      </c>
      <c r="AO2221">
        <v>14404</v>
      </c>
      <c r="AQ2221" t="s">
        <v>46359</v>
      </c>
      <c r="AR2221" t="s">
        <v>46380</v>
      </c>
      <c r="AS2221" t="s">
        <v>46499</v>
      </c>
      <c r="AT2221" t="s">
        <v>46672</v>
      </c>
      <c r="AU2221">
        <v>4.8</v>
      </c>
      <c r="AV2221" t="s">
        <v>795</v>
      </c>
      <c r="AW2221" t="s">
        <v>46832</v>
      </c>
    </row>
    <row r="2222" spans="1:50">
      <c r="A2222" s="1">
        <f>HYPERLINK("https://lsnyc.legalserver.org/matter/dynamic-profile/view/1879301","18-1879301")</f>
        <v>0</v>
      </c>
      <c r="B2222" t="s">
        <v>51</v>
      </c>
      <c r="C2222" t="s">
        <v>341</v>
      </c>
      <c r="D2222" t="s">
        <v>575</v>
      </c>
      <c r="E2222" t="s">
        <v>800</v>
      </c>
      <c r="F2222" t="s">
        <v>887</v>
      </c>
      <c r="G2222" t="s">
        <v>5208</v>
      </c>
      <c r="H2222" t="s">
        <v>11460</v>
      </c>
      <c r="I2222" t="s">
        <v>17276</v>
      </c>
      <c r="J2222" t="s">
        <v>18892</v>
      </c>
      <c r="K2222">
        <v>10457</v>
      </c>
      <c r="L2222" t="s">
        <v>18958</v>
      </c>
      <c r="M2222" t="s">
        <v>18958</v>
      </c>
      <c r="N2222" t="s">
        <v>20642</v>
      </c>
      <c r="O2222" t="s">
        <v>26523</v>
      </c>
      <c r="P2222" t="s">
        <v>26560</v>
      </c>
      <c r="Q2222" t="s">
        <v>26568</v>
      </c>
      <c r="R2222" t="s">
        <v>26579</v>
      </c>
      <c r="S2222" t="s">
        <v>18959</v>
      </c>
      <c r="U2222" t="s">
        <v>26604</v>
      </c>
      <c r="V2222" t="s">
        <v>26610</v>
      </c>
      <c r="W2222" t="s">
        <v>575</v>
      </c>
      <c r="X2222">
        <v>1593.63</v>
      </c>
      <c r="Y2222" t="s">
        <v>26650</v>
      </c>
      <c r="Z2222" t="s">
        <v>26668</v>
      </c>
      <c r="AA2222" t="s">
        <v>26678</v>
      </c>
      <c r="AB2222" t="s">
        <v>28663</v>
      </c>
      <c r="AC2222" t="s">
        <v>35170</v>
      </c>
      <c r="AD2222" t="s">
        <v>38713</v>
      </c>
      <c r="AE2222">
        <v>0</v>
      </c>
      <c r="AF2222" t="s">
        <v>45541</v>
      </c>
      <c r="AG2222" t="s">
        <v>19330</v>
      </c>
      <c r="AH2222">
        <v>6</v>
      </c>
      <c r="AI2222">
        <v>1</v>
      </c>
      <c r="AJ2222">
        <v>1</v>
      </c>
      <c r="AK2222">
        <v>44.54</v>
      </c>
      <c r="AN2222" t="s">
        <v>7439</v>
      </c>
      <c r="AO2222">
        <v>7332</v>
      </c>
      <c r="AQ2222" t="s">
        <v>46362</v>
      </c>
      <c r="AR2222" t="s">
        <v>46380</v>
      </c>
      <c r="AS2222" t="s">
        <v>46499</v>
      </c>
      <c r="AT2222" t="s">
        <v>46713</v>
      </c>
      <c r="AU2222">
        <v>13.6</v>
      </c>
      <c r="AV2222" t="s">
        <v>795</v>
      </c>
      <c r="AW2222" t="s">
        <v>46832</v>
      </c>
    </row>
    <row r="2223" spans="1:50">
      <c r="A2223" s="1">
        <f>HYPERLINK("https://lsnyc.legalserver.org/matter/dynamic-profile/view/1879302","18-1879302")</f>
        <v>0</v>
      </c>
      <c r="B2223" t="s">
        <v>80</v>
      </c>
      <c r="C2223" t="s">
        <v>341</v>
      </c>
      <c r="D2223" t="s">
        <v>575</v>
      </c>
      <c r="E2223" t="s">
        <v>632</v>
      </c>
      <c r="F2223" t="s">
        <v>1232</v>
      </c>
      <c r="G2223" t="s">
        <v>5089</v>
      </c>
      <c r="H2223" t="s">
        <v>11461</v>
      </c>
      <c r="I2223" t="s">
        <v>17788</v>
      </c>
      <c r="J2223" t="s">
        <v>18893</v>
      </c>
      <c r="K2223">
        <v>10031</v>
      </c>
      <c r="L2223" t="s">
        <v>18958</v>
      </c>
      <c r="M2223" t="s">
        <v>18958</v>
      </c>
      <c r="N2223" t="s">
        <v>20643</v>
      </c>
      <c r="O2223" t="s">
        <v>26523</v>
      </c>
      <c r="P2223" t="s">
        <v>26564</v>
      </c>
      <c r="Q2223" t="s">
        <v>26570</v>
      </c>
      <c r="R2223" t="s">
        <v>26580</v>
      </c>
      <c r="U2223" t="s">
        <v>26604</v>
      </c>
      <c r="V2223" t="s">
        <v>26610</v>
      </c>
      <c r="W2223" t="s">
        <v>575</v>
      </c>
      <c r="X2223">
        <v>836</v>
      </c>
      <c r="Y2223" t="s">
        <v>26651</v>
      </c>
      <c r="Z2223" t="s">
        <v>26659</v>
      </c>
      <c r="AA2223" t="s">
        <v>26683</v>
      </c>
      <c r="AB2223" t="s">
        <v>28664</v>
      </c>
      <c r="AC2223" t="s">
        <v>35171</v>
      </c>
      <c r="AD2223" t="s">
        <v>38714</v>
      </c>
      <c r="AE2223">
        <v>0</v>
      </c>
      <c r="AF2223" t="s">
        <v>45544</v>
      </c>
      <c r="AG2223" t="s">
        <v>26530</v>
      </c>
      <c r="AH2223">
        <v>10</v>
      </c>
      <c r="AI2223">
        <v>2</v>
      </c>
      <c r="AJ2223">
        <v>1</v>
      </c>
      <c r="AK2223">
        <v>96.90000000000001</v>
      </c>
      <c r="AN2223" t="s">
        <v>7439</v>
      </c>
      <c r="AO2223">
        <v>20136</v>
      </c>
      <c r="AU2223">
        <v>0.5</v>
      </c>
      <c r="AV2223" t="s">
        <v>600</v>
      </c>
      <c r="AW2223" t="s">
        <v>314</v>
      </c>
    </row>
    <row r="2224" spans="1:50">
      <c r="A2224" s="1">
        <f>HYPERLINK("https://lsnyc.legalserver.org/matter/dynamic-profile/view/1879377","18-1879377")</f>
        <v>0</v>
      </c>
      <c r="B2224" t="s">
        <v>125</v>
      </c>
      <c r="C2224" t="s">
        <v>341</v>
      </c>
      <c r="D2224" t="s">
        <v>575</v>
      </c>
      <c r="E2224" t="s">
        <v>697</v>
      </c>
      <c r="F2224" t="s">
        <v>2150</v>
      </c>
      <c r="G2224" t="s">
        <v>5087</v>
      </c>
      <c r="H2224" t="s">
        <v>11462</v>
      </c>
      <c r="I2224" t="s">
        <v>17789</v>
      </c>
      <c r="J2224" t="s">
        <v>18894</v>
      </c>
      <c r="K2224">
        <v>11208</v>
      </c>
      <c r="L2224" t="s">
        <v>18958</v>
      </c>
      <c r="M2224" t="s">
        <v>18958</v>
      </c>
      <c r="N2224" t="s">
        <v>20644</v>
      </c>
      <c r="O2224" t="s">
        <v>26524</v>
      </c>
      <c r="P2224" t="s">
        <v>26564</v>
      </c>
      <c r="Q2224" t="s">
        <v>26570</v>
      </c>
      <c r="R2224" t="s">
        <v>26578</v>
      </c>
      <c r="U2224" t="s">
        <v>26604</v>
      </c>
      <c r="W2224" t="s">
        <v>575</v>
      </c>
      <c r="X2224">
        <v>750</v>
      </c>
      <c r="Y2224" t="s">
        <v>26652</v>
      </c>
      <c r="Z2224" t="s">
        <v>26664</v>
      </c>
      <c r="AA2224" t="s">
        <v>26683</v>
      </c>
      <c r="AB2224" t="s">
        <v>28665</v>
      </c>
      <c r="AD2224" t="s">
        <v>38715</v>
      </c>
      <c r="AE2224">
        <v>2</v>
      </c>
      <c r="AG2224" t="s">
        <v>45556</v>
      </c>
      <c r="AH2224">
        <v>11</v>
      </c>
      <c r="AI2224">
        <v>2</v>
      </c>
      <c r="AJ2224">
        <v>0</v>
      </c>
      <c r="AK2224">
        <v>56.87</v>
      </c>
      <c r="AN2224" t="s">
        <v>7439</v>
      </c>
      <c r="AO2224">
        <v>9360</v>
      </c>
      <c r="AU2224">
        <v>2.5</v>
      </c>
      <c r="AV2224" t="s">
        <v>693</v>
      </c>
      <c r="AW2224" t="s">
        <v>46862</v>
      </c>
    </row>
    <row r="2225" spans="1:50">
      <c r="A2225" s="1">
        <f>HYPERLINK("https://lsnyc.legalserver.org/matter/dynamic-profile/view/1879326","18-1879326")</f>
        <v>0</v>
      </c>
      <c r="B2225" t="s">
        <v>133</v>
      </c>
      <c r="C2225" t="s">
        <v>340</v>
      </c>
      <c r="D2225" t="s">
        <v>575</v>
      </c>
      <c r="F2225" t="s">
        <v>2151</v>
      </c>
      <c r="G2225" t="s">
        <v>6204</v>
      </c>
      <c r="H2225" t="s">
        <v>11463</v>
      </c>
      <c r="I2225" t="s">
        <v>17284</v>
      </c>
      <c r="J2225" t="s">
        <v>18892</v>
      </c>
      <c r="K2225">
        <v>10456</v>
      </c>
      <c r="L2225" t="s">
        <v>18958</v>
      </c>
      <c r="M2225" t="s">
        <v>18958</v>
      </c>
      <c r="N2225" t="s">
        <v>20645</v>
      </c>
      <c r="O2225" t="s">
        <v>26524</v>
      </c>
      <c r="P2225" t="s">
        <v>26560</v>
      </c>
      <c r="R2225" t="s">
        <v>26577</v>
      </c>
      <c r="S2225" t="s">
        <v>18959</v>
      </c>
      <c r="U2225" t="s">
        <v>26604</v>
      </c>
      <c r="V2225" t="s">
        <v>26610</v>
      </c>
      <c r="W2225" t="s">
        <v>575</v>
      </c>
      <c r="X2225">
        <v>326</v>
      </c>
      <c r="Y2225" t="s">
        <v>26650</v>
      </c>
      <c r="Z2225" t="s">
        <v>26664</v>
      </c>
      <c r="AB2225" t="s">
        <v>28666</v>
      </c>
      <c r="AC2225" t="s">
        <v>35172</v>
      </c>
      <c r="AD2225" t="s">
        <v>38716</v>
      </c>
      <c r="AE2225">
        <v>0</v>
      </c>
      <c r="AF2225" t="s">
        <v>45541</v>
      </c>
      <c r="AG2225" t="s">
        <v>26530</v>
      </c>
      <c r="AH2225">
        <v>3</v>
      </c>
      <c r="AI2225">
        <v>1</v>
      </c>
      <c r="AJ2225">
        <v>0</v>
      </c>
      <c r="AK2225">
        <v>95.29000000000001</v>
      </c>
      <c r="AO2225">
        <v>11568</v>
      </c>
      <c r="AP2225" t="s">
        <v>45654</v>
      </c>
      <c r="AU2225">
        <v>37.35</v>
      </c>
      <c r="AV2225" t="s">
        <v>822</v>
      </c>
      <c r="AW2225" t="s">
        <v>334</v>
      </c>
    </row>
    <row r="2226" spans="1:50">
      <c r="A2226" s="1">
        <f>HYPERLINK("https://lsnyc.legalserver.org/matter/dynamic-profile/view/1879421","18-1879421")</f>
        <v>0</v>
      </c>
      <c r="B2226" t="s">
        <v>67</v>
      </c>
      <c r="C2226" t="s">
        <v>340</v>
      </c>
      <c r="D2226" t="s">
        <v>575</v>
      </c>
      <c r="F2226" t="s">
        <v>2151</v>
      </c>
      <c r="G2226" t="s">
        <v>5788</v>
      </c>
      <c r="H2226" t="s">
        <v>11464</v>
      </c>
      <c r="I2226" t="s">
        <v>17378</v>
      </c>
      <c r="J2226" t="s">
        <v>18892</v>
      </c>
      <c r="K2226">
        <v>10459</v>
      </c>
      <c r="L2226" t="s">
        <v>18958</v>
      </c>
      <c r="M2226" t="s">
        <v>18958</v>
      </c>
      <c r="O2226" t="s">
        <v>26529</v>
      </c>
      <c r="P2226" t="s">
        <v>26562</v>
      </c>
      <c r="R2226" t="s">
        <v>26578</v>
      </c>
      <c r="S2226" t="s">
        <v>18959</v>
      </c>
      <c r="U2226" t="s">
        <v>26604</v>
      </c>
      <c r="W2226" t="s">
        <v>575</v>
      </c>
      <c r="X2226">
        <v>795</v>
      </c>
      <c r="Y2226" t="s">
        <v>26650</v>
      </c>
      <c r="Z2226" t="s">
        <v>26663</v>
      </c>
      <c r="AB2226" t="s">
        <v>28667</v>
      </c>
      <c r="AD2226" t="s">
        <v>38717</v>
      </c>
      <c r="AE2226">
        <v>72</v>
      </c>
      <c r="AF2226" t="s">
        <v>45541</v>
      </c>
      <c r="AG2226" t="s">
        <v>45559</v>
      </c>
      <c r="AH2226">
        <v>22</v>
      </c>
      <c r="AI2226">
        <v>1</v>
      </c>
      <c r="AJ2226">
        <v>0</v>
      </c>
      <c r="AK2226">
        <v>138.09</v>
      </c>
      <c r="AN2226" t="s">
        <v>7439</v>
      </c>
      <c r="AO2226">
        <v>16764</v>
      </c>
      <c r="AU2226">
        <v>2.5</v>
      </c>
      <c r="AV2226" t="s">
        <v>594</v>
      </c>
      <c r="AW2226" t="s">
        <v>46859</v>
      </c>
    </row>
    <row r="2227" spans="1:50">
      <c r="A2227" s="1">
        <f>HYPERLINK("https://lsnyc.legalserver.org/matter/dynamic-profile/view/1879335","18-1879335")</f>
        <v>0</v>
      </c>
      <c r="B2227" t="s">
        <v>212</v>
      </c>
      <c r="C2227" t="s">
        <v>340</v>
      </c>
      <c r="D2227" t="s">
        <v>575</v>
      </c>
      <c r="F2227" t="s">
        <v>2152</v>
      </c>
      <c r="G2227" t="s">
        <v>6311</v>
      </c>
      <c r="H2227" t="s">
        <v>11465</v>
      </c>
      <c r="I2227" t="s">
        <v>17790</v>
      </c>
      <c r="J2227" t="s">
        <v>18898</v>
      </c>
      <c r="K2227">
        <v>11691</v>
      </c>
      <c r="L2227" t="s">
        <v>18958</v>
      </c>
      <c r="M2227" t="s">
        <v>18958</v>
      </c>
      <c r="N2227" t="s">
        <v>20646</v>
      </c>
      <c r="O2227" t="s">
        <v>26524</v>
      </c>
      <c r="P2227" t="s">
        <v>26560</v>
      </c>
      <c r="R2227" t="s">
        <v>26578</v>
      </c>
      <c r="S2227" t="s">
        <v>18959</v>
      </c>
      <c r="U2227" t="s">
        <v>26604</v>
      </c>
      <c r="V2227" t="s">
        <v>26610</v>
      </c>
      <c r="W2227" t="s">
        <v>575</v>
      </c>
      <c r="X2227">
        <v>1396</v>
      </c>
      <c r="Y2227" t="s">
        <v>26653</v>
      </c>
      <c r="Z2227" t="s">
        <v>26664</v>
      </c>
      <c r="AB2227" t="s">
        <v>28668</v>
      </c>
      <c r="AC2227" t="s">
        <v>35173</v>
      </c>
      <c r="AD2227" t="s">
        <v>38718</v>
      </c>
      <c r="AE2227">
        <v>917</v>
      </c>
      <c r="AF2227" t="s">
        <v>45552</v>
      </c>
      <c r="AG2227" t="s">
        <v>45556</v>
      </c>
      <c r="AH2227">
        <v>7</v>
      </c>
      <c r="AI2227">
        <v>1</v>
      </c>
      <c r="AJ2227">
        <v>0</v>
      </c>
      <c r="AK2227">
        <v>74.14</v>
      </c>
      <c r="AN2227" t="s">
        <v>7439</v>
      </c>
      <c r="AO2227">
        <v>9000</v>
      </c>
      <c r="AQ2227" t="s">
        <v>46361</v>
      </c>
      <c r="AR2227" t="s">
        <v>46422</v>
      </c>
      <c r="AS2227" t="s">
        <v>46499</v>
      </c>
      <c r="AT2227" t="s">
        <v>46531</v>
      </c>
      <c r="AU2227">
        <v>25.55</v>
      </c>
      <c r="AV2227" t="s">
        <v>784</v>
      </c>
      <c r="AW2227" t="s">
        <v>161</v>
      </c>
    </row>
    <row r="2228" spans="1:50">
      <c r="A2228" s="1">
        <f>HYPERLINK("https://lsnyc.legalserver.org/matter/dynamic-profile/view/1879354","18-1879354")</f>
        <v>0</v>
      </c>
      <c r="B2228" t="s">
        <v>68</v>
      </c>
      <c r="C2228" t="s">
        <v>340</v>
      </c>
      <c r="D2228" t="s">
        <v>575</v>
      </c>
      <c r="F2228" t="s">
        <v>2153</v>
      </c>
      <c r="G2228" t="s">
        <v>1339</v>
      </c>
      <c r="H2228" t="s">
        <v>10633</v>
      </c>
      <c r="I2228" t="s">
        <v>17366</v>
      </c>
      <c r="J2228" t="s">
        <v>18892</v>
      </c>
      <c r="K2228">
        <v>10457</v>
      </c>
      <c r="L2228" t="s">
        <v>18958</v>
      </c>
      <c r="M2228" t="s">
        <v>18958</v>
      </c>
      <c r="N2228" t="s">
        <v>20647</v>
      </c>
      <c r="O2228" t="s">
        <v>26524</v>
      </c>
      <c r="P2228" t="s">
        <v>26560</v>
      </c>
      <c r="R2228" t="s">
        <v>26579</v>
      </c>
      <c r="S2228" t="s">
        <v>18959</v>
      </c>
      <c r="U2228" t="s">
        <v>26604</v>
      </c>
      <c r="V2228" t="s">
        <v>26609</v>
      </c>
      <c r="W2228" t="s">
        <v>575</v>
      </c>
      <c r="X2228">
        <v>931</v>
      </c>
      <c r="Y2228" t="s">
        <v>26650</v>
      </c>
      <c r="Z2228" t="s">
        <v>26664</v>
      </c>
      <c r="AB2228" t="s">
        <v>28669</v>
      </c>
      <c r="AC2228" t="s">
        <v>35174</v>
      </c>
      <c r="AD2228" t="s">
        <v>38719</v>
      </c>
      <c r="AE2228">
        <v>56</v>
      </c>
      <c r="AF2228" t="s">
        <v>45541</v>
      </c>
      <c r="AG2228" t="s">
        <v>45556</v>
      </c>
      <c r="AH2228">
        <v>3</v>
      </c>
      <c r="AI2228">
        <v>1</v>
      </c>
      <c r="AJ2228">
        <v>1</v>
      </c>
      <c r="AK2228">
        <v>19.43</v>
      </c>
      <c r="AN2228" t="s">
        <v>7439</v>
      </c>
      <c r="AO2228">
        <v>3198</v>
      </c>
      <c r="AU2228">
        <v>52.8</v>
      </c>
      <c r="AV2228" t="s">
        <v>834</v>
      </c>
      <c r="AW2228" t="s">
        <v>334</v>
      </c>
    </row>
    <row r="2229" spans="1:50">
      <c r="A2229" s="1">
        <f>HYPERLINK("https://lsnyc.legalserver.org/matter/dynamic-profile/view/1879299","18-1879299")</f>
        <v>0</v>
      </c>
      <c r="B2229" t="s">
        <v>182</v>
      </c>
      <c r="C2229" t="s">
        <v>340</v>
      </c>
      <c r="D2229" t="s">
        <v>575</v>
      </c>
      <c r="F2229" t="s">
        <v>968</v>
      </c>
      <c r="G2229" t="s">
        <v>6331</v>
      </c>
      <c r="H2229" t="s">
        <v>11466</v>
      </c>
      <c r="I2229" t="s">
        <v>17275</v>
      </c>
      <c r="J2229" t="s">
        <v>18892</v>
      </c>
      <c r="K2229">
        <v>10467</v>
      </c>
      <c r="L2229" t="s">
        <v>18958</v>
      </c>
      <c r="M2229" t="s">
        <v>18958</v>
      </c>
      <c r="N2229" t="s">
        <v>20648</v>
      </c>
      <c r="O2229" t="s">
        <v>26524</v>
      </c>
      <c r="P2229" t="s">
        <v>26560</v>
      </c>
      <c r="R2229" t="s">
        <v>26579</v>
      </c>
      <c r="U2229" t="s">
        <v>26604</v>
      </c>
      <c r="V2229" t="s">
        <v>26610</v>
      </c>
      <c r="W2229" t="s">
        <v>575</v>
      </c>
      <c r="X2229">
        <v>826</v>
      </c>
      <c r="Y2229" t="s">
        <v>26650</v>
      </c>
      <c r="Z2229" t="s">
        <v>26664</v>
      </c>
      <c r="AB2229" t="s">
        <v>28670</v>
      </c>
      <c r="AC2229" t="s">
        <v>35175</v>
      </c>
      <c r="AD2229" t="s">
        <v>38720</v>
      </c>
      <c r="AE2229">
        <v>0</v>
      </c>
      <c r="AF2229" t="s">
        <v>45541</v>
      </c>
      <c r="AG2229" t="s">
        <v>45559</v>
      </c>
      <c r="AH2229">
        <v>35</v>
      </c>
      <c r="AI2229">
        <v>2</v>
      </c>
      <c r="AJ2229">
        <v>1</v>
      </c>
      <c r="AK2229">
        <v>45.04</v>
      </c>
      <c r="AN2229" t="s">
        <v>7439</v>
      </c>
      <c r="AO2229">
        <v>9360</v>
      </c>
      <c r="AP2229" t="s">
        <v>45654</v>
      </c>
      <c r="AU2229">
        <v>45.2</v>
      </c>
      <c r="AV2229" t="s">
        <v>825</v>
      </c>
      <c r="AW2229" t="s">
        <v>334</v>
      </c>
    </row>
    <row r="2230" spans="1:50">
      <c r="A2230" s="1">
        <f>HYPERLINK("https://lsnyc.legalserver.org/matter/dynamic-profile/view/1879339","18-1879339")</f>
        <v>0</v>
      </c>
      <c r="B2230" t="s">
        <v>121</v>
      </c>
      <c r="C2230" t="s">
        <v>340</v>
      </c>
      <c r="D2230" t="s">
        <v>575</v>
      </c>
      <c r="F2230" t="s">
        <v>2154</v>
      </c>
      <c r="G2230" t="s">
        <v>6332</v>
      </c>
      <c r="H2230" t="s">
        <v>11467</v>
      </c>
      <c r="I2230" t="s">
        <v>17275</v>
      </c>
      <c r="J2230" t="s">
        <v>18892</v>
      </c>
      <c r="K2230">
        <v>10457</v>
      </c>
      <c r="L2230" t="s">
        <v>18958</v>
      </c>
      <c r="M2230" t="s">
        <v>18958</v>
      </c>
      <c r="N2230" t="s">
        <v>20649</v>
      </c>
      <c r="O2230" t="s">
        <v>26534</v>
      </c>
      <c r="P2230" t="s">
        <v>26561</v>
      </c>
      <c r="R2230" t="s">
        <v>26577</v>
      </c>
      <c r="S2230" t="s">
        <v>18959</v>
      </c>
      <c r="U2230" t="s">
        <v>26604</v>
      </c>
      <c r="V2230" t="s">
        <v>26610</v>
      </c>
      <c r="W2230" t="s">
        <v>575</v>
      </c>
      <c r="X2230">
        <v>815</v>
      </c>
      <c r="Y2230" t="s">
        <v>26650</v>
      </c>
      <c r="Z2230" t="s">
        <v>26659</v>
      </c>
      <c r="AB2230" t="s">
        <v>28671</v>
      </c>
      <c r="AD2230" t="s">
        <v>38721</v>
      </c>
      <c r="AE2230">
        <v>0</v>
      </c>
      <c r="AF2230" t="s">
        <v>45541</v>
      </c>
      <c r="AG2230" t="s">
        <v>19330</v>
      </c>
      <c r="AH2230">
        <v>13</v>
      </c>
      <c r="AI2230">
        <v>1</v>
      </c>
      <c r="AJ2230">
        <v>0</v>
      </c>
      <c r="AK2230">
        <v>123.56</v>
      </c>
      <c r="AN2230" t="s">
        <v>7439</v>
      </c>
      <c r="AO2230">
        <v>15000</v>
      </c>
      <c r="AU2230">
        <v>3.7</v>
      </c>
      <c r="AV2230" t="s">
        <v>763</v>
      </c>
      <c r="AW2230" t="s">
        <v>284</v>
      </c>
    </row>
    <row r="2231" spans="1:50">
      <c r="A2231" s="1">
        <f>HYPERLINK("https://lsnyc.legalserver.org/matter/dynamic-profile/view/1879311","18-1879311")</f>
        <v>0</v>
      </c>
      <c r="B2231" t="s">
        <v>111</v>
      </c>
      <c r="C2231" t="s">
        <v>340</v>
      </c>
      <c r="D2231" t="s">
        <v>575</v>
      </c>
      <c r="F2231" t="s">
        <v>1680</v>
      </c>
      <c r="G2231" t="s">
        <v>6333</v>
      </c>
      <c r="H2231" t="s">
        <v>11468</v>
      </c>
      <c r="I2231" t="s">
        <v>17791</v>
      </c>
      <c r="J2231" t="s">
        <v>18898</v>
      </c>
      <c r="K2231">
        <v>11691</v>
      </c>
      <c r="L2231" t="s">
        <v>18958</v>
      </c>
      <c r="M2231" t="s">
        <v>18958</v>
      </c>
      <c r="N2231" t="s">
        <v>20650</v>
      </c>
      <c r="O2231" t="s">
        <v>26524</v>
      </c>
      <c r="P2231" t="s">
        <v>26564</v>
      </c>
      <c r="R2231" t="s">
        <v>26578</v>
      </c>
      <c r="S2231" t="s">
        <v>18959</v>
      </c>
      <c r="U2231" t="s">
        <v>26604</v>
      </c>
      <c r="V2231" t="s">
        <v>26610</v>
      </c>
      <c r="W2231" t="s">
        <v>575</v>
      </c>
      <c r="X2231">
        <v>171</v>
      </c>
      <c r="Y2231" t="s">
        <v>26653</v>
      </c>
      <c r="Z2231" t="s">
        <v>26664</v>
      </c>
      <c r="AB2231" t="s">
        <v>28672</v>
      </c>
      <c r="AC2231" t="s">
        <v>35176</v>
      </c>
      <c r="AD2231" t="s">
        <v>38722</v>
      </c>
      <c r="AE2231">
        <v>96</v>
      </c>
      <c r="AF2231" t="s">
        <v>45543</v>
      </c>
      <c r="AG2231" t="s">
        <v>19330</v>
      </c>
      <c r="AH2231">
        <v>3</v>
      </c>
      <c r="AI2231">
        <v>1</v>
      </c>
      <c r="AJ2231">
        <v>0</v>
      </c>
      <c r="AK2231">
        <v>75.12</v>
      </c>
      <c r="AN2231" t="s">
        <v>7439</v>
      </c>
      <c r="AO2231">
        <v>9120</v>
      </c>
      <c r="AU2231">
        <v>0</v>
      </c>
      <c r="AW2231" t="s">
        <v>161</v>
      </c>
    </row>
    <row r="2232" spans="1:50">
      <c r="A2232" s="1">
        <f>HYPERLINK("https://lsnyc.legalserver.org/matter/dynamic-profile/view/1847604","17-1847604")</f>
        <v>0</v>
      </c>
      <c r="B2232" t="s">
        <v>137</v>
      </c>
      <c r="C2232" t="s">
        <v>341</v>
      </c>
      <c r="D2232" t="s">
        <v>617</v>
      </c>
      <c r="E2232" t="s">
        <v>770</v>
      </c>
      <c r="F2232" t="s">
        <v>2155</v>
      </c>
      <c r="G2232" t="s">
        <v>6334</v>
      </c>
      <c r="H2232" t="s">
        <v>11469</v>
      </c>
      <c r="I2232" t="s">
        <v>17298</v>
      </c>
      <c r="J2232" t="s">
        <v>18892</v>
      </c>
      <c r="K2232">
        <v>10457</v>
      </c>
      <c r="L2232" t="s">
        <v>18958</v>
      </c>
      <c r="M2232" t="s">
        <v>18958</v>
      </c>
      <c r="N2232" t="s">
        <v>20651</v>
      </c>
      <c r="O2232" t="s">
        <v>26523</v>
      </c>
      <c r="P2232" t="s">
        <v>26560</v>
      </c>
      <c r="Q2232" t="s">
        <v>26568</v>
      </c>
      <c r="R2232" t="s">
        <v>26579</v>
      </c>
      <c r="U2232" t="s">
        <v>26604</v>
      </c>
      <c r="V2232" t="s">
        <v>26611</v>
      </c>
      <c r="W2232" t="s">
        <v>529</v>
      </c>
      <c r="X2232">
        <v>1138</v>
      </c>
      <c r="Y2232" t="s">
        <v>26650</v>
      </c>
      <c r="Z2232" t="s">
        <v>26662</v>
      </c>
      <c r="AA2232" t="s">
        <v>26678</v>
      </c>
      <c r="AB2232" t="s">
        <v>28673</v>
      </c>
      <c r="AD2232" t="s">
        <v>38723</v>
      </c>
      <c r="AE2232">
        <v>0</v>
      </c>
      <c r="AF2232" t="s">
        <v>45541</v>
      </c>
      <c r="AG2232" t="s">
        <v>45561</v>
      </c>
      <c r="AH2232">
        <v>8</v>
      </c>
      <c r="AI2232">
        <v>1</v>
      </c>
      <c r="AJ2232">
        <v>0</v>
      </c>
      <c r="AK2232">
        <v>0</v>
      </c>
      <c r="AO2232">
        <v>0</v>
      </c>
      <c r="AP2232" t="s">
        <v>45620</v>
      </c>
      <c r="AQ2232" t="s">
        <v>46364</v>
      </c>
      <c r="AR2232" t="s">
        <v>46379</v>
      </c>
      <c r="AS2232" t="s">
        <v>46499</v>
      </c>
      <c r="AT2232" t="s">
        <v>46724</v>
      </c>
      <c r="AU2232">
        <v>58.75</v>
      </c>
      <c r="AV2232" t="s">
        <v>740</v>
      </c>
      <c r="AW2232" t="s">
        <v>46848</v>
      </c>
    </row>
    <row r="2233" spans="1:50">
      <c r="A2233" s="1">
        <f>HYPERLINK("https://lsnyc.legalserver.org/matter/dynamic-profile/view/1847006","17-1847006")</f>
        <v>0</v>
      </c>
      <c r="B2233" t="s">
        <v>103</v>
      </c>
      <c r="C2233" t="s">
        <v>340</v>
      </c>
      <c r="D2233" t="s">
        <v>617</v>
      </c>
      <c r="F2233" t="s">
        <v>1964</v>
      </c>
      <c r="G2233" t="s">
        <v>5082</v>
      </c>
      <c r="H2233" t="s">
        <v>11470</v>
      </c>
      <c r="I2233" t="s">
        <v>17278</v>
      </c>
      <c r="J2233" t="s">
        <v>18902</v>
      </c>
      <c r="K2233">
        <v>10301</v>
      </c>
      <c r="L2233" t="s">
        <v>18958</v>
      </c>
      <c r="M2233" t="s">
        <v>18958</v>
      </c>
      <c r="N2233" t="s">
        <v>19037</v>
      </c>
      <c r="O2233" t="s">
        <v>26531</v>
      </c>
      <c r="P2233" t="s">
        <v>26562</v>
      </c>
      <c r="R2233" t="s">
        <v>26578</v>
      </c>
      <c r="S2233" t="s">
        <v>18958</v>
      </c>
      <c r="U2233" t="s">
        <v>26604</v>
      </c>
      <c r="V2233" t="s">
        <v>26610</v>
      </c>
      <c r="W2233" t="s">
        <v>529</v>
      </c>
      <c r="X2233">
        <v>0</v>
      </c>
      <c r="Y2233" t="s">
        <v>26654</v>
      </c>
      <c r="Z2233" t="s">
        <v>26659</v>
      </c>
      <c r="AB2233" t="s">
        <v>28674</v>
      </c>
      <c r="AD2233" t="s">
        <v>38724</v>
      </c>
      <c r="AE2233">
        <v>100</v>
      </c>
      <c r="AF2233" t="s">
        <v>45541</v>
      </c>
      <c r="AG2233" t="s">
        <v>19330</v>
      </c>
      <c r="AH2233">
        <v>3</v>
      </c>
      <c r="AI2233">
        <v>2</v>
      </c>
      <c r="AJ2233">
        <v>1</v>
      </c>
      <c r="AK2233">
        <v>342.8</v>
      </c>
      <c r="AL2233" t="s">
        <v>550</v>
      </c>
      <c r="AM2233" t="s">
        <v>45575</v>
      </c>
      <c r="AN2233" t="s">
        <v>7439</v>
      </c>
      <c r="AO2233">
        <v>70000</v>
      </c>
      <c r="AU2233">
        <v>2.2</v>
      </c>
      <c r="AV2233" t="s">
        <v>745</v>
      </c>
      <c r="AW2233" t="s">
        <v>210</v>
      </c>
    </row>
    <row r="2234" spans="1:50">
      <c r="A2234" s="1">
        <f>HYPERLINK("https://lsnyc.legalserver.org/matter/dynamic-profile/view/1876477","18-1876477")</f>
        <v>0</v>
      </c>
      <c r="B2234" t="s">
        <v>120</v>
      </c>
      <c r="C2234" t="s">
        <v>341</v>
      </c>
      <c r="D2234" t="s">
        <v>530</v>
      </c>
      <c r="E2234" t="s">
        <v>825</v>
      </c>
      <c r="F2234" t="s">
        <v>977</v>
      </c>
      <c r="G2234" t="s">
        <v>4588</v>
      </c>
      <c r="H2234" t="s">
        <v>11471</v>
      </c>
      <c r="I2234" t="s">
        <v>17344</v>
      </c>
      <c r="J2234" t="s">
        <v>18892</v>
      </c>
      <c r="K2234">
        <v>10452</v>
      </c>
      <c r="L2234" t="s">
        <v>18958</v>
      </c>
      <c r="M2234" t="s">
        <v>18958</v>
      </c>
      <c r="N2234" t="s">
        <v>20652</v>
      </c>
      <c r="O2234" t="s">
        <v>26523</v>
      </c>
      <c r="P2234" t="s">
        <v>26560</v>
      </c>
      <c r="Q2234" t="s">
        <v>26568</v>
      </c>
      <c r="R2234" t="s">
        <v>26577</v>
      </c>
      <c r="S2234" t="s">
        <v>18959</v>
      </c>
      <c r="T2234" t="s">
        <v>26577</v>
      </c>
      <c r="U2234" t="s">
        <v>26604</v>
      </c>
      <c r="V2234" t="s">
        <v>26611</v>
      </c>
      <c r="W2234" t="s">
        <v>529</v>
      </c>
      <c r="X2234">
        <v>0</v>
      </c>
      <c r="Y2234" t="s">
        <v>26650</v>
      </c>
      <c r="AA2234" t="s">
        <v>26678</v>
      </c>
      <c r="AB2234" t="s">
        <v>27321</v>
      </c>
      <c r="AC2234" t="s">
        <v>35177</v>
      </c>
      <c r="AD2234" t="s">
        <v>38725</v>
      </c>
      <c r="AE2234">
        <v>30</v>
      </c>
      <c r="AF2234" t="s">
        <v>45543</v>
      </c>
      <c r="AG2234" t="s">
        <v>45563</v>
      </c>
      <c r="AH2234">
        <v>30</v>
      </c>
      <c r="AI2234">
        <v>3</v>
      </c>
      <c r="AJ2234">
        <v>4</v>
      </c>
      <c r="AK2234">
        <v>75.67</v>
      </c>
      <c r="AN2234" t="s">
        <v>7439</v>
      </c>
      <c r="AO2234">
        <v>28800</v>
      </c>
      <c r="AQ2234" t="s">
        <v>46362</v>
      </c>
      <c r="AR2234" t="s">
        <v>46381</v>
      </c>
      <c r="AS2234" t="s">
        <v>46499</v>
      </c>
      <c r="AT2234" t="s">
        <v>46686</v>
      </c>
      <c r="AU2234">
        <v>15.4</v>
      </c>
      <c r="AV2234" t="s">
        <v>762</v>
      </c>
      <c r="AW2234" t="s">
        <v>46847</v>
      </c>
    </row>
    <row r="2235" spans="1:50">
      <c r="A2235" s="1">
        <f>HYPERLINK("https://lsnyc.legalserver.org/matter/dynamic-profile/view/1878599","18-1878599")</f>
        <v>0</v>
      </c>
      <c r="B2235" t="s">
        <v>170</v>
      </c>
      <c r="C2235" t="s">
        <v>341</v>
      </c>
      <c r="D2235" t="s">
        <v>451</v>
      </c>
      <c r="E2235" t="s">
        <v>529</v>
      </c>
      <c r="F2235" t="s">
        <v>1624</v>
      </c>
      <c r="G2235" t="s">
        <v>5817</v>
      </c>
      <c r="H2235" t="s">
        <v>11472</v>
      </c>
      <c r="I2235" t="s">
        <v>17584</v>
      </c>
      <c r="J2235" t="s">
        <v>18894</v>
      </c>
      <c r="K2235">
        <v>11226</v>
      </c>
      <c r="L2235" t="s">
        <v>18958</v>
      </c>
      <c r="M2235" t="s">
        <v>18958</v>
      </c>
      <c r="N2235" t="s">
        <v>20653</v>
      </c>
      <c r="O2235" t="s">
        <v>26523</v>
      </c>
      <c r="P2235" t="s">
        <v>26564</v>
      </c>
      <c r="Q2235" t="s">
        <v>26570</v>
      </c>
      <c r="R2235" t="s">
        <v>26588</v>
      </c>
      <c r="U2235" t="s">
        <v>26604</v>
      </c>
      <c r="W2235" t="s">
        <v>529</v>
      </c>
      <c r="X2235">
        <v>1525</v>
      </c>
      <c r="Y2235" t="s">
        <v>26652</v>
      </c>
      <c r="Z2235" t="s">
        <v>26664</v>
      </c>
      <c r="AA2235" t="s">
        <v>26683</v>
      </c>
      <c r="AB2235" t="s">
        <v>27754</v>
      </c>
      <c r="AD2235" t="s">
        <v>34738</v>
      </c>
      <c r="AE2235">
        <v>16</v>
      </c>
      <c r="AG2235" t="s">
        <v>19330</v>
      </c>
      <c r="AH2235">
        <v>10</v>
      </c>
      <c r="AI2235">
        <v>3</v>
      </c>
      <c r="AJ2235">
        <v>0</v>
      </c>
      <c r="AK2235">
        <v>120.31</v>
      </c>
      <c r="AN2235" t="s">
        <v>7439</v>
      </c>
      <c r="AO2235">
        <v>25000</v>
      </c>
      <c r="AU2235">
        <v>2.2</v>
      </c>
      <c r="AV2235" t="s">
        <v>529</v>
      </c>
      <c r="AW2235" t="s">
        <v>46862</v>
      </c>
    </row>
    <row r="2236" spans="1:50">
      <c r="A2236" s="1">
        <f>HYPERLINK("https://lsnyc.legalserver.org/matter/dynamic-profile/view/1879102","18-1879102")</f>
        <v>0</v>
      </c>
      <c r="B2236" t="s">
        <v>99</v>
      </c>
      <c r="C2236" t="s">
        <v>341</v>
      </c>
      <c r="D2236" t="s">
        <v>540</v>
      </c>
      <c r="E2236" t="s">
        <v>771</v>
      </c>
      <c r="F2236" t="s">
        <v>2156</v>
      </c>
      <c r="G2236" t="s">
        <v>6335</v>
      </c>
      <c r="H2236" t="s">
        <v>11473</v>
      </c>
      <c r="I2236" t="s">
        <v>17792</v>
      </c>
      <c r="J2236" t="s">
        <v>18894</v>
      </c>
      <c r="K2236">
        <v>11225</v>
      </c>
      <c r="L2236" t="s">
        <v>18958</v>
      </c>
      <c r="M2236" t="s">
        <v>18958</v>
      </c>
      <c r="N2236" t="s">
        <v>20654</v>
      </c>
      <c r="O2236" t="s">
        <v>26523</v>
      </c>
      <c r="P2236" t="s">
        <v>26560</v>
      </c>
      <c r="Q2236" t="s">
        <v>26568</v>
      </c>
      <c r="R2236" t="s">
        <v>26588</v>
      </c>
      <c r="S2236" t="s">
        <v>18959</v>
      </c>
      <c r="U2236" t="s">
        <v>26604</v>
      </c>
      <c r="V2236" t="s">
        <v>26610</v>
      </c>
      <c r="W2236" t="s">
        <v>529</v>
      </c>
      <c r="X2236">
        <v>691.58</v>
      </c>
      <c r="Y2236" t="s">
        <v>26652</v>
      </c>
      <c r="Z2236" t="s">
        <v>26669</v>
      </c>
      <c r="AA2236" t="s">
        <v>26678</v>
      </c>
      <c r="AB2236" t="s">
        <v>28675</v>
      </c>
      <c r="AD2236" t="s">
        <v>38726</v>
      </c>
      <c r="AE2236">
        <v>144</v>
      </c>
      <c r="AF2236" t="s">
        <v>45541</v>
      </c>
      <c r="AG2236" t="s">
        <v>45559</v>
      </c>
      <c r="AH2236">
        <v>45</v>
      </c>
      <c r="AI2236">
        <v>2</v>
      </c>
      <c r="AJ2236">
        <v>1</v>
      </c>
      <c r="AK2236">
        <v>18.19</v>
      </c>
      <c r="AN2236" t="s">
        <v>7439</v>
      </c>
      <c r="AO2236">
        <v>3780</v>
      </c>
      <c r="AQ2236" t="s">
        <v>46359</v>
      </c>
      <c r="AR2236" t="s">
        <v>46381</v>
      </c>
      <c r="AS2236" t="s">
        <v>46499</v>
      </c>
      <c r="AT2236" t="s">
        <v>46607</v>
      </c>
      <c r="AU2236">
        <v>20.6</v>
      </c>
      <c r="AV2236" t="s">
        <v>771</v>
      </c>
      <c r="AW2236" t="s">
        <v>46862</v>
      </c>
    </row>
    <row r="2237" spans="1:50">
      <c r="A2237" s="1">
        <f>HYPERLINK("https://lsnyc.legalserver.org/matter/dynamic-profile/view/1879058","18-1879058")</f>
        <v>0</v>
      </c>
      <c r="B2237" t="s">
        <v>99</v>
      </c>
      <c r="C2237" t="s">
        <v>341</v>
      </c>
      <c r="D2237" t="s">
        <v>583</v>
      </c>
      <c r="E2237" t="s">
        <v>614</v>
      </c>
      <c r="F2237" t="s">
        <v>2157</v>
      </c>
      <c r="G2237" t="s">
        <v>2757</v>
      </c>
      <c r="H2237" t="s">
        <v>11474</v>
      </c>
      <c r="I2237" t="s">
        <v>17405</v>
      </c>
      <c r="J2237" t="s">
        <v>18894</v>
      </c>
      <c r="K2237">
        <v>11236</v>
      </c>
      <c r="L2237" t="s">
        <v>18958</v>
      </c>
      <c r="M2237" t="s">
        <v>18958</v>
      </c>
      <c r="N2237" t="s">
        <v>20655</v>
      </c>
      <c r="O2237" t="s">
        <v>26523</v>
      </c>
      <c r="P2237" t="s">
        <v>26564</v>
      </c>
      <c r="Q2237" t="s">
        <v>26570</v>
      </c>
      <c r="R2237" t="s">
        <v>26586</v>
      </c>
      <c r="S2237" t="s">
        <v>18959</v>
      </c>
      <c r="U2237" t="s">
        <v>26604</v>
      </c>
      <c r="V2237" t="s">
        <v>26610</v>
      </c>
      <c r="W2237" t="s">
        <v>529</v>
      </c>
      <c r="X2237">
        <v>1800</v>
      </c>
      <c r="Y2237" t="s">
        <v>26652</v>
      </c>
      <c r="Z2237" t="s">
        <v>26664</v>
      </c>
      <c r="AA2237" t="s">
        <v>26683</v>
      </c>
      <c r="AB2237" t="s">
        <v>28676</v>
      </c>
      <c r="AC2237" t="s">
        <v>19330</v>
      </c>
      <c r="AD2237" t="s">
        <v>38727</v>
      </c>
      <c r="AE2237">
        <v>1</v>
      </c>
      <c r="AF2237" t="s">
        <v>45547</v>
      </c>
      <c r="AG2237" t="s">
        <v>19330</v>
      </c>
      <c r="AH2237">
        <v>1</v>
      </c>
      <c r="AI2237">
        <v>2</v>
      </c>
      <c r="AJ2237">
        <v>1</v>
      </c>
      <c r="AK2237">
        <v>0</v>
      </c>
      <c r="AN2237" t="s">
        <v>7439</v>
      </c>
      <c r="AO2237">
        <v>0</v>
      </c>
      <c r="AR2237" t="s">
        <v>26530</v>
      </c>
      <c r="AS2237" t="s">
        <v>46501</v>
      </c>
      <c r="AT2237" t="s">
        <v>46534</v>
      </c>
      <c r="AU2237">
        <v>1.8</v>
      </c>
      <c r="AV2237" t="s">
        <v>529</v>
      </c>
      <c r="AW2237" t="s">
        <v>46862</v>
      </c>
    </row>
    <row r="2238" spans="1:50">
      <c r="A2238" s="1">
        <f>HYPERLINK("https://lsnyc.legalserver.org/matter/dynamic-profile/view/1879266","18-1879266")</f>
        <v>0</v>
      </c>
      <c r="B2238" t="s">
        <v>212</v>
      </c>
      <c r="C2238" t="s">
        <v>341</v>
      </c>
      <c r="D2238" t="s">
        <v>583</v>
      </c>
      <c r="E2238" t="s">
        <v>606</v>
      </c>
      <c r="F2238" t="s">
        <v>1028</v>
      </c>
      <c r="G2238" t="s">
        <v>3310</v>
      </c>
      <c r="H2238" t="s">
        <v>11300</v>
      </c>
      <c r="I2238" t="s">
        <v>17374</v>
      </c>
      <c r="J2238" t="s">
        <v>18931</v>
      </c>
      <c r="K2238">
        <v>11412</v>
      </c>
      <c r="L2238" t="s">
        <v>18958</v>
      </c>
      <c r="M2238" t="s">
        <v>18958</v>
      </c>
      <c r="N2238" t="s">
        <v>20656</v>
      </c>
      <c r="O2238" t="s">
        <v>26526</v>
      </c>
      <c r="P2238" t="s">
        <v>26564</v>
      </c>
      <c r="Q2238" t="s">
        <v>26570</v>
      </c>
      <c r="R2238" t="s">
        <v>26578</v>
      </c>
      <c r="S2238" t="s">
        <v>18959</v>
      </c>
      <c r="U2238" t="s">
        <v>26604</v>
      </c>
      <c r="V2238" t="s">
        <v>26610</v>
      </c>
      <c r="W2238" t="s">
        <v>529</v>
      </c>
      <c r="X2238">
        <v>800</v>
      </c>
      <c r="Y2238" t="s">
        <v>26653</v>
      </c>
      <c r="Z2238" t="s">
        <v>26664</v>
      </c>
      <c r="AA2238" t="s">
        <v>26683</v>
      </c>
      <c r="AB2238" t="s">
        <v>28492</v>
      </c>
      <c r="AD2238" t="s">
        <v>38550</v>
      </c>
      <c r="AE2238">
        <v>2</v>
      </c>
      <c r="AF2238" t="s">
        <v>45547</v>
      </c>
      <c r="AG2238" t="s">
        <v>19330</v>
      </c>
      <c r="AH2238">
        <v>1</v>
      </c>
      <c r="AI2238">
        <v>1</v>
      </c>
      <c r="AJ2238">
        <v>0</v>
      </c>
      <c r="AK2238">
        <v>69.19</v>
      </c>
      <c r="AN2238" t="s">
        <v>7439</v>
      </c>
      <c r="AO2238">
        <v>8400</v>
      </c>
      <c r="AU2238">
        <v>0.8</v>
      </c>
      <c r="AV2238" t="s">
        <v>606</v>
      </c>
      <c r="AW2238" t="s">
        <v>161</v>
      </c>
    </row>
    <row r="2239" spans="1:50">
      <c r="A2239" s="1">
        <f>HYPERLINK("https://lsnyc.legalserver.org/matter/dynamic-profile/view/1879434","18-1879434")</f>
        <v>0</v>
      </c>
      <c r="B2239" t="s">
        <v>155</v>
      </c>
      <c r="C2239" t="s">
        <v>341</v>
      </c>
      <c r="D2239" t="s">
        <v>575</v>
      </c>
      <c r="E2239" t="s">
        <v>670</v>
      </c>
      <c r="F2239" t="s">
        <v>2158</v>
      </c>
      <c r="G2239" t="s">
        <v>6336</v>
      </c>
      <c r="H2239" t="s">
        <v>11475</v>
      </c>
      <c r="I2239" t="s">
        <v>17389</v>
      </c>
      <c r="J2239" t="s">
        <v>18894</v>
      </c>
      <c r="K2239">
        <v>11226</v>
      </c>
      <c r="L2239" t="s">
        <v>18958</v>
      </c>
      <c r="M2239" t="s">
        <v>18958</v>
      </c>
      <c r="N2239" t="s">
        <v>20657</v>
      </c>
      <c r="O2239" t="s">
        <v>26524</v>
      </c>
      <c r="P2239" t="s">
        <v>26560</v>
      </c>
      <c r="Q2239" t="s">
        <v>26568</v>
      </c>
      <c r="R2239" t="s">
        <v>26578</v>
      </c>
      <c r="S2239" t="s">
        <v>18959</v>
      </c>
      <c r="U2239" t="s">
        <v>26604</v>
      </c>
      <c r="W2239" t="s">
        <v>529</v>
      </c>
      <c r="X2239">
        <v>0</v>
      </c>
      <c r="Y2239" t="s">
        <v>26652</v>
      </c>
      <c r="Z2239" t="s">
        <v>26530</v>
      </c>
      <c r="AA2239" t="s">
        <v>26678</v>
      </c>
      <c r="AB2239" t="s">
        <v>28677</v>
      </c>
      <c r="AC2239" t="s">
        <v>18959</v>
      </c>
      <c r="AD2239" t="s">
        <v>34738</v>
      </c>
      <c r="AE2239">
        <v>56</v>
      </c>
      <c r="AF2239" t="s">
        <v>45541</v>
      </c>
      <c r="AG2239" t="s">
        <v>19330</v>
      </c>
      <c r="AH2239">
        <v>22</v>
      </c>
      <c r="AI2239">
        <v>1</v>
      </c>
      <c r="AJ2239">
        <v>0</v>
      </c>
      <c r="AK2239">
        <v>156.51</v>
      </c>
      <c r="AN2239" t="s">
        <v>7439</v>
      </c>
      <c r="AO2239">
        <v>19000</v>
      </c>
      <c r="AQ2239" t="s">
        <v>46362</v>
      </c>
      <c r="AR2239" t="s">
        <v>46381</v>
      </c>
      <c r="AS2239" t="s">
        <v>46499</v>
      </c>
      <c r="AT2239" t="s">
        <v>46527</v>
      </c>
      <c r="AU2239">
        <v>13</v>
      </c>
      <c r="AV2239" t="s">
        <v>670</v>
      </c>
      <c r="AW2239" t="s">
        <v>46851</v>
      </c>
    </row>
    <row r="2240" spans="1:50">
      <c r="A2240" s="1">
        <f>HYPERLINK("https://lsnyc.legalserver.org/matter/dynamic-profile/view/1879557","18-1879557")</f>
        <v>0</v>
      </c>
      <c r="B2240" t="s">
        <v>107</v>
      </c>
      <c r="C2240" t="s">
        <v>341</v>
      </c>
      <c r="D2240" t="s">
        <v>529</v>
      </c>
      <c r="E2240" t="s">
        <v>828</v>
      </c>
      <c r="F2240" t="s">
        <v>2159</v>
      </c>
      <c r="G2240" t="s">
        <v>6337</v>
      </c>
      <c r="H2240" t="s">
        <v>11476</v>
      </c>
      <c r="J2240" t="s">
        <v>18901</v>
      </c>
      <c r="K2240">
        <v>11433</v>
      </c>
      <c r="L2240" t="s">
        <v>18958</v>
      </c>
      <c r="M2240" t="s">
        <v>18958</v>
      </c>
      <c r="N2240" t="s">
        <v>20658</v>
      </c>
      <c r="O2240" t="s">
        <v>26524</v>
      </c>
      <c r="P2240" t="s">
        <v>26564</v>
      </c>
      <c r="Q2240" t="s">
        <v>26570</v>
      </c>
      <c r="R2240" t="s">
        <v>26585</v>
      </c>
      <c r="S2240" t="s">
        <v>18959</v>
      </c>
      <c r="U2240" t="s">
        <v>26604</v>
      </c>
      <c r="V2240" t="s">
        <v>26610</v>
      </c>
      <c r="W2240" t="s">
        <v>529</v>
      </c>
      <c r="X2240">
        <v>2500</v>
      </c>
      <c r="Y2240" t="s">
        <v>26653</v>
      </c>
      <c r="Z2240" t="s">
        <v>26668</v>
      </c>
      <c r="AA2240" t="s">
        <v>26683</v>
      </c>
      <c r="AB2240" t="s">
        <v>28678</v>
      </c>
      <c r="AC2240" t="s">
        <v>35178</v>
      </c>
      <c r="AD2240" t="s">
        <v>38728</v>
      </c>
      <c r="AE2240">
        <v>1</v>
      </c>
      <c r="AF2240" t="s">
        <v>45547</v>
      </c>
      <c r="AG2240" t="s">
        <v>45562</v>
      </c>
      <c r="AH2240">
        <v>1</v>
      </c>
      <c r="AI2240">
        <v>4</v>
      </c>
      <c r="AJ2240">
        <v>0</v>
      </c>
      <c r="AK2240">
        <v>57.77</v>
      </c>
      <c r="AN2240" t="s">
        <v>7439</v>
      </c>
      <c r="AO2240">
        <v>14500</v>
      </c>
      <c r="AQ2240" t="s">
        <v>46362</v>
      </c>
      <c r="AR2240" t="s">
        <v>26530</v>
      </c>
      <c r="AS2240" t="s">
        <v>46499</v>
      </c>
      <c r="AT2240" t="s">
        <v>46736</v>
      </c>
      <c r="AU2240">
        <v>4.7</v>
      </c>
      <c r="AV2240" t="s">
        <v>781</v>
      </c>
      <c r="AW2240" t="s">
        <v>107</v>
      </c>
      <c r="AX2240" t="s">
        <v>46897</v>
      </c>
    </row>
    <row r="2241" spans="1:50">
      <c r="A2241" s="1">
        <f>HYPERLINK("https://lsnyc.legalserver.org/matter/dynamic-profile/view/1879571","18-1879571")</f>
        <v>0</v>
      </c>
      <c r="B2241" t="s">
        <v>81</v>
      </c>
      <c r="C2241" t="s">
        <v>341</v>
      </c>
      <c r="D2241" t="s">
        <v>529</v>
      </c>
      <c r="E2241" t="s">
        <v>732</v>
      </c>
      <c r="F2241" t="s">
        <v>898</v>
      </c>
      <c r="G2241" t="s">
        <v>6338</v>
      </c>
      <c r="H2241" t="s">
        <v>11477</v>
      </c>
      <c r="I2241" t="s">
        <v>17793</v>
      </c>
      <c r="J2241" t="s">
        <v>18892</v>
      </c>
      <c r="K2241">
        <v>10468</v>
      </c>
      <c r="L2241" t="s">
        <v>18958</v>
      </c>
      <c r="M2241" t="s">
        <v>18958</v>
      </c>
      <c r="N2241" t="s">
        <v>20659</v>
      </c>
      <c r="O2241" t="s">
        <v>26549</v>
      </c>
      <c r="P2241" t="s">
        <v>26560</v>
      </c>
      <c r="Q2241" t="s">
        <v>26568</v>
      </c>
      <c r="R2241" t="s">
        <v>26577</v>
      </c>
      <c r="S2241" t="s">
        <v>18959</v>
      </c>
      <c r="U2241" t="s">
        <v>26604</v>
      </c>
      <c r="V2241" t="s">
        <v>26610</v>
      </c>
      <c r="W2241" t="s">
        <v>529</v>
      </c>
      <c r="X2241">
        <v>2200</v>
      </c>
      <c r="Y2241" t="s">
        <v>26650</v>
      </c>
      <c r="Z2241" t="s">
        <v>26530</v>
      </c>
      <c r="AA2241" t="s">
        <v>26679</v>
      </c>
      <c r="AB2241" t="s">
        <v>28679</v>
      </c>
      <c r="AC2241" t="s">
        <v>35179</v>
      </c>
      <c r="AD2241" t="s">
        <v>38729</v>
      </c>
      <c r="AE2241">
        <v>11</v>
      </c>
      <c r="AF2241" t="s">
        <v>45541</v>
      </c>
      <c r="AG2241" t="s">
        <v>45556</v>
      </c>
      <c r="AH2241">
        <v>1</v>
      </c>
      <c r="AI2241">
        <v>2</v>
      </c>
      <c r="AJ2241">
        <v>1</v>
      </c>
      <c r="AK2241">
        <v>16.17</v>
      </c>
      <c r="AN2241" t="s">
        <v>7439</v>
      </c>
      <c r="AO2241">
        <v>3360</v>
      </c>
      <c r="AU2241">
        <v>31.2</v>
      </c>
      <c r="AV2241" t="s">
        <v>732</v>
      </c>
      <c r="AW2241" t="s">
        <v>46842</v>
      </c>
      <c r="AX2241" t="s">
        <v>46897</v>
      </c>
    </row>
    <row r="2242" spans="1:50">
      <c r="A2242" s="1">
        <f>HYPERLINK("https://lsnyc.legalserver.org/matter/dynamic-profile/view/1879424","18-1879424")</f>
        <v>0</v>
      </c>
      <c r="B2242" t="s">
        <v>162</v>
      </c>
      <c r="C2242" t="s">
        <v>341</v>
      </c>
      <c r="D2242" t="s">
        <v>529</v>
      </c>
      <c r="E2242" t="s">
        <v>704</v>
      </c>
      <c r="F2242" t="s">
        <v>2160</v>
      </c>
      <c r="G2242" t="s">
        <v>6339</v>
      </c>
      <c r="H2242" t="s">
        <v>11478</v>
      </c>
      <c r="I2242" t="s">
        <v>17360</v>
      </c>
      <c r="J2242" t="s">
        <v>18894</v>
      </c>
      <c r="K2242">
        <v>11236</v>
      </c>
      <c r="L2242" t="s">
        <v>18958</v>
      </c>
      <c r="M2242" t="s">
        <v>18958</v>
      </c>
      <c r="N2242" t="s">
        <v>20660</v>
      </c>
      <c r="O2242" t="s">
        <v>26523</v>
      </c>
      <c r="P2242" t="s">
        <v>26560</v>
      </c>
      <c r="Q2242" t="s">
        <v>26568</v>
      </c>
      <c r="R2242" t="s">
        <v>26586</v>
      </c>
      <c r="S2242" t="s">
        <v>18959</v>
      </c>
      <c r="U2242" t="s">
        <v>26605</v>
      </c>
      <c r="V2242" t="s">
        <v>26612</v>
      </c>
      <c r="W2242" t="s">
        <v>529</v>
      </c>
      <c r="X2242">
        <v>261</v>
      </c>
      <c r="Y2242" t="s">
        <v>26652</v>
      </c>
      <c r="Z2242" t="s">
        <v>26664</v>
      </c>
      <c r="AA2242" t="s">
        <v>26678</v>
      </c>
      <c r="AB2242" t="s">
        <v>28680</v>
      </c>
      <c r="AD2242" t="s">
        <v>38730</v>
      </c>
      <c r="AE2242">
        <v>40</v>
      </c>
      <c r="AF2242" t="s">
        <v>45542</v>
      </c>
      <c r="AG2242" t="s">
        <v>19330</v>
      </c>
      <c r="AH2242">
        <v>1</v>
      </c>
      <c r="AI2242">
        <v>1</v>
      </c>
      <c r="AJ2242">
        <v>2</v>
      </c>
      <c r="AK2242">
        <v>73.17</v>
      </c>
      <c r="AN2242" t="s">
        <v>7439</v>
      </c>
      <c r="AO2242">
        <v>15204</v>
      </c>
      <c r="AQ2242" t="s">
        <v>46359</v>
      </c>
      <c r="AR2242" t="s">
        <v>46379</v>
      </c>
      <c r="AS2242" t="s">
        <v>46499</v>
      </c>
      <c r="AT2242" t="s">
        <v>46515</v>
      </c>
      <c r="AU2242">
        <v>12.3</v>
      </c>
      <c r="AV2242" t="s">
        <v>713</v>
      </c>
      <c r="AW2242" t="s">
        <v>46862</v>
      </c>
    </row>
    <row r="2243" spans="1:50">
      <c r="A2243" s="1">
        <f>HYPERLINK("https://lsnyc.legalserver.org/matter/dynamic-profile/view/1879490","18-1879490")</f>
        <v>0</v>
      </c>
      <c r="B2243" t="s">
        <v>212</v>
      </c>
      <c r="C2243" t="s">
        <v>341</v>
      </c>
      <c r="D2243" t="s">
        <v>529</v>
      </c>
      <c r="E2243" t="s">
        <v>606</v>
      </c>
      <c r="F2243" t="s">
        <v>2161</v>
      </c>
      <c r="G2243" t="s">
        <v>6340</v>
      </c>
      <c r="H2243" t="s">
        <v>10419</v>
      </c>
      <c r="I2243">
        <v>301</v>
      </c>
      <c r="J2243" t="s">
        <v>18905</v>
      </c>
      <c r="K2243">
        <v>11692</v>
      </c>
      <c r="L2243" t="s">
        <v>18958</v>
      </c>
      <c r="M2243" t="s">
        <v>18958</v>
      </c>
      <c r="N2243" t="s">
        <v>20661</v>
      </c>
      <c r="O2243" t="s">
        <v>26523</v>
      </c>
      <c r="P2243" t="s">
        <v>26564</v>
      </c>
      <c r="Q2243" t="s">
        <v>26570</v>
      </c>
      <c r="R2243" t="s">
        <v>26578</v>
      </c>
      <c r="S2243" t="s">
        <v>18959</v>
      </c>
      <c r="U2243" t="s">
        <v>26604</v>
      </c>
      <c r="V2243" t="s">
        <v>26610</v>
      </c>
      <c r="W2243" t="s">
        <v>529</v>
      </c>
      <c r="X2243">
        <v>2181</v>
      </c>
      <c r="Y2243" t="s">
        <v>26653</v>
      </c>
      <c r="Z2243" t="s">
        <v>26664</v>
      </c>
      <c r="AA2243" t="s">
        <v>26683</v>
      </c>
      <c r="AB2243" t="s">
        <v>28681</v>
      </c>
      <c r="AC2243" t="s">
        <v>35180</v>
      </c>
      <c r="AD2243" t="s">
        <v>38731</v>
      </c>
      <c r="AE2243">
        <v>8</v>
      </c>
      <c r="AF2243" t="s">
        <v>45541</v>
      </c>
      <c r="AG2243" t="s">
        <v>45556</v>
      </c>
      <c r="AH2243">
        <v>5</v>
      </c>
      <c r="AI2243">
        <v>1</v>
      </c>
      <c r="AJ2243">
        <v>2</v>
      </c>
      <c r="AK2243">
        <v>0</v>
      </c>
      <c r="AN2243" t="s">
        <v>7439</v>
      </c>
      <c r="AO2243">
        <v>0</v>
      </c>
      <c r="AU2243">
        <v>0.6</v>
      </c>
      <c r="AV2243" t="s">
        <v>606</v>
      </c>
      <c r="AW2243" t="s">
        <v>122</v>
      </c>
    </row>
    <row r="2244" spans="1:50">
      <c r="A2244" s="1">
        <f>HYPERLINK("https://lsnyc.legalserver.org/matter/dynamic-profile/view/1879474","18-1879474")</f>
        <v>0</v>
      </c>
      <c r="B2244" t="s">
        <v>212</v>
      </c>
      <c r="C2244" t="s">
        <v>341</v>
      </c>
      <c r="D2244" t="s">
        <v>529</v>
      </c>
      <c r="E2244" t="s">
        <v>606</v>
      </c>
      <c r="F2244" t="s">
        <v>2162</v>
      </c>
      <c r="G2244" t="s">
        <v>2579</v>
      </c>
      <c r="H2244" t="s">
        <v>11479</v>
      </c>
      <c r="I2244" t="s">
        <v>17430</v>
      </c>
      <c r="J2244" t="s">
        <v>18919</v>
      </c>
      <c r="K2244">
        <v>11427</v>
      </c>
      <c r="L2244" t="s">
        <v>18958</v>
      </c>
      <c r="M2244" t="s">
        <v>18958</v>
      </c>
      <c r="N2244" t="s">
        <v>20662</v>
      </c>
      <c r="O2244" t="s">
        <v>26524</v>
      </c>
      <c r="P2244" t="s">
        <v>26564</v>
      </c>
      <c r="Q2244" t="s">
        <v>26570</v>
      </c>
      <c r="R2244" t="s">
        <v>26578</v>
      </c>
      <c r="S2244" t="s">
        <v>18959</v>
      </c>
      <c r="U2244" t="s">
        <v>26604</v>
      </c>
      <c r="V2244" t="s">
        <v>26610</v>
      </c>
      <c r="W2244" t="s">
        <v>529</v>
      </c>
      <c r="X2244">
        <v>1800</v>
      </c>
      <c r="Y2244" t="s">
        <v>26653</v>
      </c>
      <c r="Z2244" t="s">
        <v>26664</v>
      </c>
      <c r="AA2244" t="s">
        <v>26683</v>
      </c>
      <c r="AB2244" t="s">
        <v>27189</v>
      </c>
      <c r="AD2244" t="s">
        <v>38732</v>
      </c>
      <c r="AE2244">
        <v>3</v>
      </c>
      <c r="AF2244" t="s">
        <v>45547</v>
      </c>
      <c r="AG2244" t="s">
        <v>19330</v>
      </c>
      <c r="AH2244">
        <v>1</v>
      </c>
      <c r="AI2244">
        <v>3</v>
      </c>
      <c r="AJ2244">
        <v>0</v>
      </c>
      <c r="AK2244">
        <v>71.55</v>
      </c>
      <c r="AN2244" t="s">
        <v>7439</v>
      </c>
      <c r="AO2244">
        <v>14868</v>
      </c>
      <c r="AU2244">
        <v>0.6</v>
      </c>
      <c r="AV2244" t="s">
        <v>606</v>
      </c>
      <c r="AW2244" t="s">
        <v>161</v>
      </c>
    </row>
    <row r="2245" spans="1:50">
      <c r="A2245" s="1">
        <f>HYPERLINK("https://lsnyc.legalserver.org/matter/dynamic-profile/view/1879523","18-1879523")</f>
        <v>0</v>
      </c>
      <c r="B2245" t="s">
        <v>212</v>
      </c>
      <c r="C2245" t="s">
        <v>341</v>
      </c>
      <c r="D2245" t="s">
        <v>529</v>
      </c>
      <c r="E2245" t="s">
        <v>606</v>
      </c>
      <c r="F2245" t="s">
        <v>2163</v>
      </c>
      <c r="G2245" t="s">
        <v>6341</v>
      </c>
      <c r="H2245" t="s">
        <v>11480</v>
      </c>
      <c r="I2245" t="s">
        <v>17582</v>
      </c>
      <c r="J2245" t="s">
        <v>18933</v>
      </c>
      <c r="K2245">
        <v>11422</v>
      </c>
      <c r="L2245" t="s">
        <v>18958</v>
      </c>
      <c r="M2245" t="s">
        <v>18958</v>
      </c>
      <c r="N2245" t="s">
        <v>20663</v>
      </c>
      <c r="O2245" t="s">
        <v>26524</v>
      </c>
      <c r="P2245" t="s">
        <v>26564</v>
      </c>
      <c r="Q2245" t="s">
        <v>26570</v>
      </c>
      <c r="R2245" t="s">
        <v>26578</v>
      </c>
      <c r="S2245" t="s">
        <v>18959</v>
      </c>
      <c r="U2245" t="s">
        <v>26604</v>
      </c>
      <c r="V2245" t="s">
        <v>26610</v>
      </c>
      <c r="W2245" t="s">
        <v>529</v>
      </c>
      <c r="X2245">
        <v>1150</v>
      </c>
      <c r="Y2245" t="s">
        <v>26653</v>
      </c>
      <c r="Z2245" t="s">
        <v>26664</v>
      </c>
      <c r="AA2245" t="s">
        <v>26683</v>
      </c>
      <c r="AB2245" t="s">
        <v>28682</v>
      </c>
      <c r="AC2245" t="s">
        <v>35181</v>
      </c>
      <c r="AD2245" t="s">
        <v>38733</v>
      </c>
      <c r="AE2245">
        <v>2</v>
      </c>
      <c r="AF2245" t="s">
        <v>45547</v>
      </c>
      <c r="AG2245" t="s">
        <v>19330</v>
      </c>
      <c r="AH2245">
        <v>8</v>
      </c>
      <c r="AI2245">
        <v>2</v>
      </c>
      <c r="AJ2245">
        <v>1</v>
      </c>
      <c r="AK2245">
        <v>105.87</v>
      </c>
      <c r="AN2245" t="s">
        <v>7439</v>
      </c>
      <c r="AO2245">
        <v>22000</v>
      </c>
      <c r="AU2245">
        <v>0.8</v>
      </c>
      <c r="AV2245" t="s">
        <v>606</v>
      </c>
      <c r="AW2245" t="s">
        <v>122</v>
      </c>
    </row>
    <row r="2246" spans="1:50">
      <c r="A2246" s="1">
        <f>HYPERLINK("https://lsnyc.legalserver.org/matter/dynamic-profile/view/1879466","18-1879466")</f>
        <v>0</v>
      </c>
      <c r="B2246" t="s">
        <v>141</v>
      </c>
      <c r="C2246" t="s">
        <v>341</v>
      </c>
      <c r="D2246" t="s">
        <v>529</v>
      </c>
      <c r="E2246" t="s">
        <v>606</v>
      </c>
      <c r="F2246" t="s">
        <v>1594</v>
      </c>
      <c r="G2246" t="s">
        <v>6342</v>
      </c>
      <c r="H2246" t="s">
        <v>11481</v>
      </c>
      <c r="I2246">
        <v>2</v>
      </c>
      <c r="J2246" t="s">
        <v>18943</v>
      </c>
      <c r="K2246">
        <v>11414</v>
      </c>
      <c r="L2246" t="s">
        <v>18958</v>
      </c>
      <c r="M2246" t="s">
        <v>18958</v>
      </c>
      <c r="N2246" t="s">
        <v>20664</v>
      </c>
      <c r="O2246" t="s">
        <v>26524</v>
      </c>
      <c r="P2246" t="s">
        <v>26564</v>
      </c>
      <c r="Q2246" t="s">
        <v>26570</v>
      </c>
      <c r="R2246" t="s">
        <v>26578</v>
      </c>
      <c r="S2246" t="s">
        <v>18959</v>
      </c>
      <c r="U2246" t="s">
        <v>26604</v>
      </c>
      <c r="V2246" t="s">
        <v>26610</v>
      </c>
      <c r="W2246" t="s">
        <v>529</v>
      </c>
      <c r="X2246">
        <v>1500</v>
      </c>
      <c r="Y2246" t="s">
        <v>26653</v>
      </c>
      <c r="Z2246" t="s">
        <v>26664</v>
      </c>
      <c r="AA2246" t="s">
        <v>26683</v>
      </c>
      <c r="AB2246" t="s">
        <v>28683</v>
      </c>
      <c r="AC2246" t="s">
        <v>35182</v>
      </c>
      <c r="AD2246" t="s">
        <v>38734</v>
      </c>
      <c r="AE2246">
        <v>2</v>
      </c>
      <c r="AF2246" t="s">
        <v>45547</v>
      </c>
      <c r="AG2246" t="s">
        <v>19330</v>
      </c>
      <c r="AH2246">
        <v>3</v>
      </c>
      <c r="AI2246">
        <v>1</v>
      </c>
      <c r="AJ2246">
        <v>1</v>
      </c>
      <c r="AK2246">
        <v>28.21</v>
      </c>
      <c r="AN2246" t="s">
        <v>7439</v>
      </c>
      <c r="AO2246">
        <v>4644</v>
      </c>
      <c r="AU2246">
        <v>0.5</v>
      </c>
      <c r="AV2246" t="s">
        <v>606</v>
      </c>
      <c r="AW2246" t="s">
        <v>161</v>
      </c>
    </row>
    <row r="2247" spans="1:50">
      <c r="A2247" s="1">
        <f>HYPERLINK("https://lsnyc.legalserver.org/matter/dynamic-profile/view/1879512","18-1879512")</f>
        <v>0</v>
      </c>
      <c r="B2247" t="s">
        <v>141</v>
      </c>
      <c r="C2247" t="s">
        <v>341</v>
      </c>
      <c r="D2247" t="s">
        <v>529</v>
      </c>
      <c r="E2247" t="s">
        <v>635</v>
      </c>
      <c r="F2247" t="s">
        <v>2164</v>
      </c>
      <c r="G2247" t="s">
        <v>6343</v>
      </c>
      <c r="H2247" t="s">
        <v>11482</v>
      </c>
      <c r="I2247" t="s">
        <v>17794</v>
      </c>
      <c r="J2247" t="s">
        <v>18898</v>
      </c>
      <c r="K2247">
        <v>11691</v>
      </c>
      <c r="L2247" t="s">
        <v>18958</v>
      </c>
      <c r="M2247" t="s">
        <v>18958</v>
      </c>
      <c r="N2247" t="s">
        <v>20665</v>
      </c>
      <c r="O2247" t="s">
        <v>26523</v>
      </c>
      <c r="P2247" t="s">
        <v>26564</v>
      </c>
      <c r="Q2247" t="s">
        <v>26570</v>
      </c>
      <c r="R2247" t="s">
        <v>26578</v>
      </c>
      <c r="S2247" t="s">
        <v>18959</v>
      </c>
      <c r="U2247" t="s">
        <v>26604</v>
      </c>
      <c r="V2247" t="s">
        <v>26609</v>
      </c>
      <c r="W2247" t="s">
        <v>529</v>
      </c>
      <c r="X2247">
        <v>1146</v>
      </c>
      <c r="Y2247" t="s">
        <v>26653</v>
      </c>
      <c r="Z2247" t="s">
        <v>26664</v>
      </c>
      <c r="AA2247" t="s">
        <v>26683</v>
      </c>
      <c r="AB2247" t="s">
        <v>28684</v>
      </c>
      <c r="AC2247" t="s">
        <v>35183</v>
      </c>
      <c r="AD2247" t="s">
        <v>38735</v>
      </c>
      <c r="AE2247">
        <v>324</v>
      </c>
      <c r="AF2247" t="s">
        <v>45541</v>
      </c>
      <c r="AG2247" t="s">
        <v>19330</v>
      </c>
      <c r="AH2247">
        <v>6</v>
      </c>
      <c r="AI2247">
        <v>1</v>
      </c>
      <c r="AJ2247">
        <v>3</v>
      </c>
      <c r="AK2247">
        <v>79.68000000000001</v>
      </c>
      <c r="AN2247" t="s">
        <v>7439</v>
      </c>
      <c r="AO2247">
        <v>20000</v>
      </c>
      <c r="AU2247">
        <v>1.1</v>
      </c>
      <c r="AV2247" t="s">
        <v>630</v>
      </c>
      <c r="AW2247" t="s">
        <v>122</v>
      </c>
    </row>
    <row r="2248" spans="1:50">
      <c r="A2248" s="1">
        <f>HYPERLINK("https://lsnyc.legalserver.org/matter/dynamic-profile/view/1879538","18-1879538")</f>
        <v>0</v>
      </c>
      <c r="B2248" t="s">
        <v>214</v>
      </c>
      <c r="C2248" t="s">
        <v>341</v>
      </c>
      <c r="D2248" t="s">
        <v>529</v>
      </c>
      <c r="E2248" t="s">
        <v>740</v>
      </c>
      <c r="F2248" t="s">
        <v>2165</v>
      </c>
      <c r="G2248" t="s">
        <v>4981</v>
      </c>
      <c r="H2248" t="s">
        <v>11483</v>
      </c>
      <c r="I2248" t="s">
        <v>17343</v>
      </c>
      <c r="J2248" t="s">
        <v>18909</v>
      </c>
      <c r="K2248">
        <v>11101</v>
      </c>
      <c r="L2248" t="s">
        <v>18958</v>
      </c>
      <c r="M2248" t="s">
        <v>18958</v>
      </c>
      <c r="N2248" t="s">
        <v>18997</v>
      </c>
      <c r="O2248" t="s">
        <v>18997</v>
      </c>
      <c r="P2248" t="s">
        <v>26564</v>
      </c>
      <c r="Q2248" t="s">
        <v>26570</v>
      </c>
      <c r="R2248" t="s">
        <v>26589</v>
      </c>
      <c r="S2248" t="s">
        <v>18959</v>
      </c>
      <c r="U2248" t="s">
        <v>26605</v>
      </c>
      <c r="V2248" t="s">
        <v>26610</v>
      </c>
      <c r="W2248" t="s">
        <v>529</v>
      </c>
      <c r="X2248">
        <v>1036</v>
      </c>
      <c r="Y2248" t="s">
        <v>26653</v>
      </c>
      <c r="Z2248" t="s">
        <v>26671</v>
      </c>
      <c r="AA2248" t="s">
        <v>26683</v>
      </c>
      <c r="AB2248" t="s">
        <v>28685</v>
      </c>
      <c r="AD2248" t="s">
        <v>38736</v>
      </c>
      <c r="AE2248">
        <v>492</v>
      </c>
      <c r="AF2248" t="s">
        <v>45549</v>
      </c>
      <c r="AG2248" t="s">
        <v>45556</v>
      </c>
      <c r="AH2248">
        <v>6</v>
      </c>
      <c r="AI2248">
        <v>1</v>
      </c>
      <c r="AJ2248">
        <v>1</v>
      </c>
      <c r="AK2248">
        <v>91.13</v>
      </c>
      <c r="AL2248" t="s">
        <v>45567</v>
      </c>
      <c r="AM2248" t="s">
        <v>45577</v>
      </c>
      <c r="AN2248" t="s">
        <v>45592</v>
      </c>
      <c r="AO2248">
        <v>15000</v>
      </c>
      <c r="AU2248">
        <v>2.09</v>
      </c>
      <c r="AV2248" t="s">
        <v>731</v>
      </c>
      <c r="AW2248" t="s">
        <v>214</v>
      </c>
    </row>
    <row r="2249" spans="1:50">
      <c r="A2249" s="1">
        <f>HYPERLINK("https://lsnyc.legalserver.org/matter/dynamic-profile/view/1879582","18-1879582")</f>
        <v>0</v>
      </c>
      <c r="B2249" t="s">
        <v>214</v>
      </c>
      <c r="C2249" t="s">
        <v>341</v>
      </c>
      <c r="D2249" t="s">
        <v>529</v>
      </c>
      <c r="E2249" t="s">
        <v>413</v>
      </c>
      <c r="F2249" t="s">
        <v>1556</v>
      </c>
      <c r="G2249" t="s">
        <v>6344</v>
      </c>
      <c r="H2249" t="s">
        <v>11484</v>
      </c>
      <c r="I2249">
        <v>2</v>
      </c>
      <c r="J2249" t="s">
        <v>18899</v>
      </c>
      <c r="K2249">
        <v>11385</v>
      </c>
      <c r="L2249" t="s">
        <v>18958</v>
      </c>
      <c r="M2249" t="s">
        <v>18958</v>
      </c>
      <c r="N2249" t="s">
        <v>19045</v>
      </c>
      <c r="O2249" t="s">
        <v>18997</v>
      </c>
      <c r="P2249" t="s">
        <v>26564</v>
      </c>
      <c r="Q2249" t="s">
        <v>26570</v>
      </c>
      <c r="R2249" t="s">
        <v>26589</v>
      </c>
      <c r="S2249" t="s">
        <v>18959</v>
      </c>
      <c r="U2249" t="s">
        <v>26604</v>
      </c>
      <c r="V2249" t="s">
        <v>26610</v>
      </c>
      <c r="W2249" t="s">
        <v>529</v>
      </c>
      <c r="X2249">
        <v>2050</v>
      </c>
      <c r="Y2249" t="s">
        <v>26653</v>
      </c>
      <c r="Z2249" t="s">
        <v>26671</v>
      </c>
      <c r="AA2249" t="s">
        <v>26683</v>
      </c>
      <c r="AB2249" t="s">
        <v>28686</v>
      </c>
      <c r="AD2249" t="s">
        <v>38737</v>
      </c>
      <c r="AE2249">
        <v>2</v>
      </c>
      <c r="AF2249" t="s">
        <v>45547</v>
      </c>
      <c r="AG2249" t="s">
        <v>19330</v>
      </c>
      <c r="AH2249">
        <v>1</v>
      </c>
      <c r="AI2249">
        <v>1</v>
      </c>
      <c r="AJ2249">
        <v>0</v>
      </c>
      <c r="AK2249">
        <v>906.1</v>
      </c>
      <c r="AL2249" t="s">
        <v>45567</v>
      </c>
      <c r="AM2249" t="s">
        <v>45577</v>
      </c>
      <c r="AN2249" t="s">
        <v>7439</v>
      </c>
      <c r="AO2249">
        <v>110000</v>
      </c>
      <c r="AU2249">
        <v>2.32</v>
      </c>
      <c r="AV2249" t="s">
        <v>517</v>
      </c>
      <c r="AW2249" t="s">
        <v>214</v>
      </c>
    </row>
    <row r="2250" spans="1:50">
      <c r="A2250" s="1">
        <f>HYPERLINK("https://lsnyc.legalserver.org/matter/dynamic-profile/view/1879449","18-1879449")</f>
        <v>0</v>
      </c>
      <c r="B2250" t="s">
        <v>122</v>
      </c>
      <c r="C2250" t="s">
        <v>341</v>
      </c>
      <c r="D2250" t="s">
        <v>529</v>
      </c>
      <c r="E2250" t="s">
        <v>605</v>
      </c>
      <c r="F2250" t="s">
        <v>2166</v>
      </c>
      <c r="G2250" t="s">
        <v>2348</v>
      </c>
      <c r="H2250" t="s">
        <v>11485</v>
      </c>
      <c r="I2250" t="s">
        <v>17582</v>
      </c>
      <c r="J2250" t="s">
        <v>18934</v>
      </c>
      <c r="K2250">
        <v>11413</v>
      </c>
      <c r="L2250" t="s">
        <v>18958</v>
      </c>
      <c r="M2250" t="s">
        <v>18958</v>
      </c>
      <c r="N2250" t="s">
        <v>20666</v>
      </c>
      <c r="O2250" t="s">
        <v>26526</v>
      </c>
      <c r="P2250" t="s">
        <v>26564</v>
      </c>
      <c r="Q2250" t="s">
        <v>26570</v>
      </c>
      <c r="R2250" t="s">
        <v>26584</v>
      </c>
      <c r="S2250" t="s">
        <v>18959</v>
      </c>
      <c r="U2250" t="s">
        <v>26604</v>
      </c>
      <c r="W2250" t="s">
        <v>529</v>
      </c>
      <c r="X2250">
        <v>1000</v>
      </c>
      <c r="Y2250" t="s">
        <v>26653</v>
      </c>
      <c r="Z2250" t="s">
        <v>26664</v>
      </c>
      <c r="AA2250" t="s">
        <v>26683</v>
      </c>
      <c r="AB2250" t="s">
        <v>28687</v>
      </c>
      <c r="AD2250" t="s">
        <v>38738</v>
      </c>
      <c r="AE2250">
        <v>2</v>
      </c>
      <c r="AF2250" t="s">
        <v>45547</v>
      </c>
      <c r="AG2250" t="s">
        <v>19330</v>
      </c>
      <c r="AH2250">
        <v>5</v>
      </c>
      <c r="AI2250">
        <v>1</v>
      </c>
      <c r="AJ2250">
        <v>2</v>
      </c>
      <c r="AK2250">
        <v>251.72</v>
      </c>
      <c r="AN2250" t="s">
        <v>7439</v>
      </c>
      <c r="AO2250">
        <v>52308</v>
      </c>
      <c r="AU2250">
        <v>1.75</v>
      </c>
      <c r="AV2250" t="s">
        <v>412</v>
      </c>
      <c r="AW2250" t="s">
        <v>122</v>
      </c>
    </row>
    <row r="2251" spans="1:50">
      <c r="A2251" s="1">
        <f>HYPERLINK("https://lsnyc.legalserver.org/matter/dynamic-profile/view/1878974","18-1878974")</f>
        <v>0</v>
      </c>
      <c r="B2251" t="s">
        <v>103</v>
      </c>
      <c r="C2251" t="s">
        <v>341</v>
      </c>
      <c r="D2251" t="s">
        <v>529</v>
      </c>
      <c r="E2251" t="s">
        <v>830</v>
      </c>
      <c r="F2251" t="s">
        <v>1233</v>
      </c>
      <c r="G2251" t="s">
        <v>5078</v>
      </c>
      <c r="H2251" t="s">
        <v>11486</v>
      </c>
      <c r="J2251" t="s">
        <v>18902</v>
      </c>
      <c r="K2251">
        <v>10304</v>
      </c>
      <c r="L2251" t="s">
        <v>18958</v>
      </c>
      <c r="M2251" t="s">
        <v>18958</v>
      </c>
      <c r="N2251" t="s">
        <v>20667</v>
      </c>
      <c r="O2251" t="s">
        <v>26523</v>
      </c>
      <c r="P2251" t="s">
        <v>26560</v>
      </c>
      <c r="Q2251" t="s">
        <v>26568</v>
      </c>
      <c r="R2251" t="s">
        <v>26578</v>
      </c>
      <c r="S2251" t="s">
        <v>18959</v>
      </c>
      <c r="U2251" t="s">
        <v>26604</v>
      </c>
      <c r="V2251" t="s">
        <v>26610</v>
      </c>
      <c r="W2251" t="s">
        <v>529</v>
      </c>
      <c r="X2251">
        <v>325</v>
      </c>
      <c r="Y2251" t="s">
        <v>26654</v>
      </c>
      <c r="Z2251" t="s">
        <v>26659</v>
      </c>
      <c r="AA2251" t="s">
        <v>26678</v>
      </c>
      <c r="AB2251" t="s">
        <v>28688</v>
      </c>
      <c r="AD2251" t="s">
        <v>38739</v>
      </c>
      <c r="AE2251">
        <v>2</v>
      </c>
      <c r="AF2251" t="s">
        <v>45543</v>
      </c>
      <c r="AG2251" t="s">
        <v>45556</v>
      </c>
      <c r="AH2251">
        <v>19</v>
      </c>
      <c r="AI2251">
        <v>1</v>
      </c>
      <c r="AJ2251">
        <v>1</v>
      </c>
      <c r="AK2251">
        <v>54.68</v>
      </c>
      <c r="AN2251" t="s">
        <v>7439</v>
      </c>
      <c r="AO2251">
        <v>9000</v>
      </c>
      <c r="AQ2251" t="s">
        <v>46362</v>
      </c>
      <c r="AR2251" t="s">
        <v>46379</v>
      </c>
      <c r="AS2251" t="s">
        <v>46499</v>
      </c>
      <c r="AT2251" t="s">
        <v>46641</v>
      </c>
      <c r="AU2251">
        <v>15.25</v>
      </c>
      <c r="AV2251" t="s">
        <v>830</v>
      </c>
      <c r="AW2251" t="s">
        <v>190</v>
      </c>
      <c r="AX2251" t="s">
        <v>46897</v>
      </c>
    </row>
    <row r="2252" spans="1:50">
      <c r="A2252" s="1">
        <f>HYPERLINK("https://lsnyc.legalserver.org/matter/dynamic-profile/view/1875764","18-1875764")</f>
        <v>0</v>
      </c>
      <c r="B2252" t="s">
        <v>126</v>
      </c>
      <c r="C2252" t="s">
        <v>341</v>
      </c>
      <c r="D2252" t="s">
        <v>529</v>
      </c>
      <c r="E2252" t="s">
        <v>745</v>
      </c>
      <c r="F2252" t="s">
        <v>2167</v>
      </c>
      <c r="G2252" t="s">
        <v>5097</v>
      </c>
      <c r="H2252" t="s">
        <v>11487</v>
      </c>
      <c r="I2252" t="s">
        <v>17795</v>
      </c>
      <c r="J2252" t="s">
        <v>18894</v>
      </c>
      <c r="K2252">
        <v>11208</v>
      </c>
      <c r="L2252" t="s">
        <v>18958</v>
      </c>
      <c r="M2252" t="s">
        <v>18958</v>
      </c>
      <c r="N2252" t="s">
        <v>20668</v>
      </c>
      <c r="O2252" t="s">
        <v>26523</v>
      </c>
      <c r="P2252" t="s">
        <v>26560</v>
      </c>
      <c r="Q2252" t="s">
        <v>26568</v>
      </c>
      <c r="R2252" t="s">
        <v>26578</v>
      </c>
      <c r="S2252" t="s">
        <v>18959</v>
      </c>
      <c r="U2252" t="s">
        <v>26604</v>
      </c>
      <c r="W2252" t="s">
        <v>529</v>
      </c>
      <c r="X2252">
        <v>1165</v>
      </c>
      <c r="Y2252" t="s">
        <v>26652</v>
      </c>
      <c r="Z2252" t="s">
        <v>26659</v>
      </c>
      <c r="AA2252" t="s">
        <v>26678</v>
      </c>
      <c r="AB2252" t="s">
        <v>28689</v>
      </c>
      <c r="AC2252">
        <v>557185</v>
      </c>
      <c r="AD2252" t="s">
        <v>38740</v>
      </c>
      <c r="AE2252">
        <v>45</v>
      </c>
      <c r="AF2252" t="s">
        <v>45543</v>
      </c>
      <c r="AH2252">
        <v>12</v>
      </c>
      <c r="AI2252">
        <v>1</v>
      </c>
      <c r="AJ2252">
        <v>0</v>
      </c>
      <c r="AK2252">
        <v>74.14</v>
      </c>
      <c r="AN2252" t="s">
        <v>7439</v>
      </c>
      <c r="AO2252">
        <v>9000</v>
      </c>
      <c r="AP2252" t="s">
        <v>45624</v>
      </c>
      <c r="AU2252">
        <v>24.5</v>
      </c>
      <c r="AV2252" t="s">
        <v>709</v>
      </c>
      <c r="AW2252" t="s">
        <v>279</v>
      </c>
    </row>
    <row r="2253" spans="1:50">
      <c r="A2253" s="1">
        <f>HYPERLINK("https://lsnyc.legalserver.org/matter/dynamic-profile/view/1879537","18-1879537")</f>
        <v>0</v>
      </c>
      <c r="B2253" t="s">
        <v>114</v>
      </c>
      <c r="C2253" t="s">
        <v>341</v>
      </c>
      <c r="D2253" t="s">
        <v>529</v>
      </c>
      <c r="E2253" t="s">
        <v>494</v>
      </c>
      <c r="F2253" t="s">
        <v>868</v>
      </c>
      <c r="G2253" t="s">
        <v>6345</v>
      </c>
      <c r="H2253" t="s">
        <v>11488</v>
      </c>
      <c r="I2253">
        <v>1</v>
      </c>
      <c r="J2253" t="s">
        <v>18912</v>
      </c>
      <c r="K2253">
        <v>11374</v>
      </c>
      <c r="L2253" t="s">
        <v>18958</v>
      </c>
      <c r="M2253" t="s">
        <v>18958</v>
      </c>
      <c r="N2253" t="s">
        <v>20669</v>
      </c>
      <c r="O2253" t="s">
        <v>26523</v>
      </c>
      <c r="P2253" t="s">
        <v>26564</v>
      </c>
      <c r="Q2253" t="s">
        <v>26570</v>
      </c>
      <c r="R2253" t="s">
        <v>26584</v>
      </c>
      <c r="S2253" t="s">
        <v>18959</v>
      </c>
      <c r="U2253" t="s">
        <v>26604</v>
      </c>
      <c r="V2253" t="s">
        <v>26610</v>
      </c>
      <c r="W2253" t="s">
        <v>529</v>
      </c>
      <c r="X2253">
        <v>2240</v>
      </c>
      <c r="Y2253" t="s">
        <v>26653</v>
      </c>
      <c r="Z2253" t="s">
        <v>26664</v>
      </c>
      <c r="AA2253" t="s">
        <v>26683</v>
      </c>
      <c r="AB2253" t="s">
        <v>28690</v>
      </c>
      <c r="AC2253" t="s">
        <v>35184</v>
      </c>
      <c r="AD2253" t="s">
        <v>38741</v>
      </c>
      <c r="AE2253">
        <v>4</v>
      </c>
      <c r="AF2253" t="s">
        <v>45547</v>
      </c>
      <c r="AG2253" t="s">
        <v>19330</v>
      </c>
      <c r="AH2253">
        <v>4</v>
      </c>
      <c r="AI2253">
        <v>6</v>
      </c>
      <c r="AJ2253">
        <v>1</v>
      </c>
      <c r="AK2253">
        <v>65.13</v>
      </c>
      <c r="AN2253" t="s">
        <v>7439</v>
      </c>
      <c r="AO2253">
        <v>24787</v>
      </c>
      <c r="AU2253">
        <v>0.5</v>
      </c>
      <c r="AV2253" t="s">
        <v>26637</v>
      </c>
      <c r="AW2253" t="s">
        <v>161</v>
      </c>
    </row>
    <row r="2254" spans="1:50">
      <c r="A2254" s="1">
        <f>HYPERLINK("https://lsnyc.legalserver.org/matter/dynamic-profile/view/1879461","18-1879461")</f>
        <v>0</v>
      </c>
      <c r="B2254" t="s">
        <v>86</v>
      </c>
      <c r="C2254" t="s">
        <v>341</v>
      </c>
      <c r="D2254" t="s">
        <v>529</v>
      </c>
      <c r="E2254" t="s">
        <v>806</v>
      </c>
      <c r="F2254" t="s">
        <v>952</v>
      </c>
      <c r="G2254" t="s">
        <v>5639</v>
      </c>
      <c r="H2254" t="s">
        <v>11489</v>
      </c>
      <c r="I2254" t="s">
        <v>17274</v>
      </c>
      <c r="J2254" t="s">
        <v>18893</v>
      </c>
      <c r="K2254">
        <v>10027</v>
      </c>
      <c r="L2254" t="s">
        <v>18958</v>
      </c>
      <c r="M2254" t="s">
        <v>18958</v>
      </c>
      <c r="N2254" t="s">
        <v>20670</v>
      </c>
      <c r="O2254" t="s">
        <v>26523</v>
      </c>
      <c r="P2254" t="s">
        <v>26560</v>
      </c>
      <c r="Q2254" t="s">
        <v>26568</v>
      </c>
      <c r="R2254" t="s">
        <v>26580</v>
      </c>
      <c r="S2254" t="s">
        <v>18959</v>
      </c>
      <c r="U2254" t="s">
        <v>26604</v>
      </c>
      <c r="V2254" t="s">
        <v>26610</v>
      </c>
      <c r="W2254" t="s">
        <v>529</v>
      </c>
      <c r="X2254">
        <v>813.61</v>
      </c>
      <c r="Y2254" t="s">
        <v>26651</v>
      </c>
      <c r="Z2254" t="s">
        <v>26664</v>
      </c>
      <c r="AA2254" t="s">
        <v>26678</v>
      </c>
      <c r="AB2254" t="s">
        <v>28691</v>
      </c>
      <c r="AD2254" t="s">
        <v>38742</v>
      </c>
      <c r="AE2254">
        <v>0</v>
      </c>
      <c r="AF2254" t="s">
        <v>45541</v>
      </c>
      <c r="AG2254" t="s">
        <v>19330</v>
      </c>
      <c r="AH2254">
        <v>25</v>
      </c>
      <c r="AI2254">
        <v>1</v>
      </c>
      <c r="AJ2254">
        <v>0</v>
      </c>
      <c r="AK2254">
        <v>182.04</v>
      </c>
      <c r="AN2254" t="s">
        <v>7439</v>
      </c>
      <c r="AO2254">
        <v>22100</v>
      </c>
      <c r="AS2254" t="s">
        <v>46499</v>
      </c>
      <c r="AT2254" t="s">
        <v>46619</v>
      </c>
      <c r="AU2254">
        <v>15.95</v>
      </c>
      <c r="AV2254" t="s">
        <v>768</v>
      </c>
      <c r="AW2254" t="s">
        <v>314</v>
      </c>
      <c r="AX2254" t="s">
        <v>46897</v>
      </c>
    </row>
    <row r="2255" spans="1:50">
      <c r="A2255" s="1">
        <f>HYPERLINK("https://lsnyc.legalserver.org/matter/dynamic-profile/view/1879506","18-1879506")</f>
        <v>0</v>
      </c>
      <c r="B2255" t="s">
        <v>80</v>
      </c>
      <c r="C2255" t="s">
        <v>341</v>
      </c>
      <c r="D2255" t="s">
        <v>529</v>
      </c>
      <c r="E2255" t="s">
        <v>632</v>
      </c>
      <c r="F2255" t="s">
        <v>2168</v>
      </c>
      <c r="G2255" t="s">
        <v>6103</v>
      </c>
      <c r="H2255" t="s">
        <v>11490</v>
      </c>
      <c r="I2255">
        <v>46</v>
      </c>
      <c r="J2255" t="s">
        <v>18893</v>
      </c>
      <c r="K2255">
        <v>10003</v>
      </c>
      <c r="L2255" t="s">
        <v>18958</v>
      </c>
      <c r="M2255" t="s">
        <v>18958</v>
      </c>
      <c r="N2255" t="s">
        <v>20671</v>
      </c>
      <c r="O2255" t="s">
        <v>26523</v>
      </c>
      <c r="P2255" t="s">
        <v>26563</v>
      </c>
      <c r="Q2255" t="s">
        <v>26570</v>
      </c>
      <c r="R2255" t="s">
        <v>26582</v>
      </c>
      <c r="S2255" t="s">
        <v>18959</v>
      </c>
      <c r="U2255" t="s">
        <v>26604</v>
      </c>
      <c r="V2255" t="s">
        <v>26610</v>
      </c>
      <c r="W2255" t="s">
        <v>529</v>
      </c>
      <c r="X2255">
        <v>166</v>
      </c>
      <c r="Y2255" t="s">
        <v>26651</v>
      </c>
      <c r="Z2255" t="s">
        <v>26664</v>
      </c>
      <c r="AA2255" t="s">
        <v>26683</v>
      </c>
      <c r="AB2255" t="s">
        <v>28692</v>
      </c>
      <c r="AD2255" t="s">
        <v>38743</v>
      </c>
      <c r="AE2255">
        <v>0</v>
      </c>
      <c r="AF2255" t="s">
        <v>45541</v>
      </c>
      <c r="AG2255" t="s">
        <v>19330</v>
      </c>
      <c r="AH2255">
        <v>2</v>
      </c>
      <c r="AI2255">
        <v>1</v>
      </c>
      <c r="AJ2255">
        <v>0</v>
      </c>
      <c r="AK2255">
        <v>0</v>
      </c>
      <c r="AN2255" t="s">
        <v>45581</v>
      </c>
      <c r="AO2255">
        <v>0</v>
      </c>
      <c r="AU2255">
        <v>0.5</v>
      </c>
      <c r="AV2255" t="s">
        <v>606</v>
      </c>
      <c r="AW2255" t="s">
        <v>46840</v>
      </c>
    </row>
    <row r="2256" spans="1:50">
      <c r="A2256" s="1">
        <f>HYPERLINK("https://lsnyc.legalserver.org/matter/dynamic-profile/view/1879583","18-1879583")</f>
        <v>0</v>
      </c>
      <c r="B2256" t="s">
        <v>80</v>
      </c>
      <c r="C2256" t="s">
        <v>341</v>
      </c>
      <c r="D2256" t="s">
        <v>529</v>
      </c>
      <c r="E2256" t="s">
        <v>632</v>
      </c>
      <c r="F2256" t="s">
        <v>2169</v>
      </c>
      <c r="G2256" t="s">
        <v>6346</v>
      </c>
      <c r="H2256" t="s">
        <v>11491</v>
      </c>
      <c r="I2256" t="s">
        <v>17796</v>
      </c>
      <c r="J2256" t="s">
        <v>18893</v>
      </c>
      <c r="K2256">
        <v>10009</v>
      </c>
      <c r="L2256" t="s">
        <v>18958</v>
      </c>
      <c r="M2256" t="s">
        <v>18958</v>
      </c>
      <c r="O2256" t="s">
        <v>26524</v>
      </c>
      <c r="P2256" t="s">
        <v>26564</v>
      </c>
      <c r="Q2256" t="s">
        <v>26570</v>
      </c>
      <c r="R2256" t="s">
        <v>26582</v>
      </c>
      <c r="S2256" t="s">
        <v>18959</v>
      </c>
      <c r="U2256" t="s">
        <v>26604</v>
      </c>
      <c r="V2256" t="s">
        <v>26610</v>
      </c>
      <c r="W2256" t="s">
        <v>529</v>
      </c>
      <c r="X2256">
        <v>186</v>
      </c>
      <c r="Y2256" t="s">
        <v>26651</v>
      </c>
      <c r="Z2256" t="s">
        <v>26664</v>
      </c>
      <c r="AA2256" t="s">
        <v>26683</v>
      </c>
      <c r="AB2256" t="s">
        <v>28693</v>
      </c>
      <c r="AD2256" t="s">
        <v>38744</v>
      </c>
      <c r="AE2256">
        <v>0</v>
      </c>
      <c r="AF2256" t="s">
        <v>45541</v>
      </c>
      <c r="AG2256" t="s">
        <v>19330</v>
      </c>
      <c r="AH2256">
        <v>3</v>
      </c>
      <c r="AI2256">
        <v>1</v>
      </c>
      <c r="AJ2256">
        <v>0</v>
      </c>
      <c r="AK2256">
        <v>24.84</v>
      </c>
      <c r="AN2256" t="s">
        <v>7439</v>
      </c>
      <c r="AO2256">
        <v>3016</v>
      </c>
      <c r="AU2256">
        <v>0.2</v>
      </c>
      <c r="AV2256" t="s">
        <v>411</v>
      </c>
      <c r="AW2256" t="s">
        <v>46840</v>
      </c>
    </row>
    <row r="2257" spans="1:50">
      <c r="A2257" s="1">
        <f>HYPERLINK("https://lsnyc.legalserver.org/matter/dynamic-profile/view/1879529","18-1879529")</f>
        <v>0</v>
      </c>
      <c r="B2257" t="s">
        <v>221</v>
      </c>
      <c r="C2257" t="s">
        <v>341</v>
      </c>
      <c r="D2257" t="s">
        <v>529</v>
      </c>
      <c r="E2257" t="s">
        <v>853</v>
      </c>
      <c r="F2257" t="s">
        <v>2170</v>
      </c>
      <c r="G2257" t="s">
        <v>5460</v>
      </c>
      <c r="H2257" t="s">
        <v>10627</v>
      </c>
      <c r="I2257" t="s">
        <v>17468</v>
      </c>
      <c r="J2257" t="s">
        <v>18915</v>
      </c>
      <c r="K2257">
        <v>11372</v>
      </c>
      <c r="L2257" t="s">
        <v>18958</v>
      </c>
      <c r="M2257" t="s">
        <v>18958</v>
      </c>
      <c r="N2257" t="s">
        <v>20672</v>
      </c>
      <c r="O2257" t="s">
        <v>26523</v>
      </c>
      <c r="P2257" t="s">
        <v>26564</v>
      </c>
      <c r="Q2257" t="s">
        <v>26570</v>
      </c>
      <c r="R2257" t="s">
        <v>26584</v>
      </c>
      <c r="S2257" t="s">
        <v>18959</v>
      </c>
      <c r="U2257" t="s">
        <v>26604</v>
      </c>
      <c r="V2257" t="s">
        <v>26610</v>
      </c>
      <c r="W2257" t="s">
        <v>529</v>
      </c>
      <c r="X2257">
        <v>1397</v>
      </c>
      <c r="Y2257" t="s">
        <v>26653</v>
      </c>
      <c r="Z2257" t="s">
        <v>26664</v>
      </c>
      <c r="AA2257" t="s">
        <v>26683</v>
      </c>
      <c r="AB2257" t="s">
        <v>28694</v>
      </c>
      <c r="AC2257" t="s">
        <v>35185</v>
      </c>
      <c r="AD2257" t="s">
        <v>38745</v>
      </c>
      <c r="AE2257">
        <v>20</v>
      </c>
      <c r="AF2257" t="s">
        <v>45541</v>
      </c>
      <c r="AG2257" t="s">
        <v>45556</v>
      </c>
      <c r="AH2257">
        <v>24</v>
      </c>
      <c r="AI2257">
        <v>1</v>
      </c>
      <c r="AJ2257">
        <v>0</v>
      </c>
      <c r="AK2257">
        <v>80.36</v>
      </c>
      <c r="AN2257" t="s">
        <v>45581</v>
      </c>
      <c r="AO2257">
        <v>9756</v>
      </c>
      <c r="AU2257">
        <v>11.45</v>
      </c>
      <c r="AV2257" t="s">
        <v>682</v>
      </c>
      <c r="AW2257" t="s">
        <v>161</v>
      </c>
    </row>
    <row r="2258" spans="1:50">
      <c r="A2258" s="1">
        <f>HYPERLINK("https://lsnyc.legalserver.org/matter/dynamic-profile/view/1879563","18-1879563")</f>
        <v>0</v>
      </c>
      <c r="B2258" t="s">
        <v>183</v>
      </c>
      <c r="C2258" t="s">
        <v>340</v>
      </c>
      <c r="D2258" t="s">
        <v>529</v>
      </c>
      <c r="F2258" t="s">
        <v>2171</v>
      </c>
      <c r="G2258" t="s">
        <v>5189</v>
      </c>
      <c r="H2258" t="s">
        <v>9886</v>
      </c>
      <c r="I2258">
        <v>18</v>
      </c>
      <c r="J2258" t="s">
        <v>18893</v>
      </c>
      <c r="K2258">
        <v>10026</v>
      </c>
      <c r="L2258" t="s">
        <v>18958</v>
      </c>
      <c r="M2258" t="s">
        <v>18958</v>
      </c>
      <c r="O2258" t="s">
        <v>26523</v>
      </c>
      <c r="P2258" t="s">
        <v>26560</v>
      </c>
      <c r="R2258" t="s">
        <v>26582</v>
      </c>
      <c r="S2258" t="s">
        <v>18959</v>
      </c>
      <c r="U2258" t="s">
        <v>26604</v>
      </c>
      <c r="W2258" t="s">
        <v>529</v>
      </c>
      <c r="X2258">
        <v>782</v>
      </c>
      <c r="Y2258" t="s">
        <v>26651</v>
      </c>
      <c r="Z2258" t="s">
        <v>26664</v>
      </c>
      <c r="AB2258" t="s">
        <v>28695</v>
      </c>
      <c r="AD2258" t="s">
        <v>38746</v>
      </c>
      <c r="AE2258">
        <v>0</v>
      </c>
      <c r="AF2258" t="s">
        <v>45553</v>
      </c>
      <c r="AG2258" t="s">
        <v>19330</v>
      </c>
      <c r="AH2258">
        <v>26</v>
      </c>
      <c r="AI2258">
        <v>2</v>
      </c>
      <c r="AJ2258">
        <v>0</v>
      </c>
      <c r="AK2258">
        <v>0</v>
      </c>
      <c r="AN2258" t="s">
        <v>7439</v>
      </c>
      <c r="AO2258">
        <v>0</v>
      </c>
      <c r="AU2258">
        <v>34.9</v>
      </c>
      <c r="AV2258" t="s">
        <v>807</v>
      </c>
      <c r="AW2258" t="s">
        <v>46840</v>
      </c>
    </row>
    <row r="2259" spans="1:50">
      <c r="A2259" s="1">
        <f>HYPERLINK("https://lsnyc.legalserver.org/matter/dynamic-profile/view/1880962","18-1880962")</f>
        <v>0</v>
      </c>
      <c r="B2259" t="s">
        <v>149</v>
      </c>
      <c r="C2259" t="s">
        <v>340</v>
      </c>
      <c r="D2259" t="s">
        <v>529</v>
      </c>
      <c r="F2259" t="s">
        <v>2172</v>
      </c>
      <c r="G2259" t="s">
        <v>6347</v>
      </c>
      <c r="H2259" t="s">
        <v>11492</v>
      </c>
      <c r="I2259" t="s">
        <v>17797</v>
      </c>
      <c r="J2259" t="s">
        <v>18892</v>
      </c>
      <c r="K2259">
        <v>10467</v>
      </c>
      <c r="L2259" t="s">
        <v>18958</v>
      </c>
      <c r="M2259" t="s">
        <v>18958</v>
      </c>
      <c r="N2259" t="s">
        <v>20517</v>
      </c>
      <c r="O2259" t="s">
        <v>26523</v>
      </c>
      <c r="P2259" t="s">
        <v>26560</v>
      </c>
      <c r="R2259" t="s">
        <v>26579</v>
      </c>
      <c r="S2259" t="s">
        <v>18959</v>
      </c>
      <c r="U2259" t="s">
        <v>26604</v>
      </c>
      <c r="V2259" t="s">
        <v>26610</v>
      </c>
      <c r="W2259" t="s">
        <v>529</v>
      </c>
      <c r="X2259">
        <v>1200</v>
      </c>
      <c r="Y2259" t="s">
        <v>26650</v>
      </c>
      <c r="Z2259" t="s">
        <v>26664</v>
      </c>
      <c r="AB2259" t="s">
        <v>28696</v>
      </c>
      <c r="AC2259" t="s">
        <v>35186</v>
      </c>
      <c r="AD2259" t="s">
        <v>38747</v>
      </c>
      <c r="AE2259">
        <v>55</v>
      </c>
      <c r="AF2259" t="s">
        <v>45541</v>
      </c>
      <c r="AG2259" t="s">
        <v>19330</v>
      </c>
      <c r="AH2259">
        <v>1</v>
      </c>
      <c r="AI2259">
        <v>1</v>
      </c>
      <c r="AJ2259">
        <v>3</v>
      </c>
      <c r="AK2259">
        <v>0</v>
      </c>
      <c r="AO2259">
        <v>0</v>
      </c>
      <c r="AU2259">
        <v>35.25</v>
      </c>
      <c r="AV2259" t="s">
        <v>821</v>
      </c>
      <c r="AW2259" t="s">
        <v>336</v>
      </c>
    </row>
    <row r="2260" spans="1:50">
      <c r="A2260" s="1">
        <f>HYPERLINK("https://lsnyc.legalserver.org/matter/dynamic-profile/view/1879944","18-1879944")</f>
        <v>0</v>
      </c>
      <c r="B2260" t="s">
        <v>117</v>
      </c>
      <c r="C2260" t="s">
        <v>340</v>
      </c>
      <c r="D2260" t="s">
        <v>529</v>
      </c>
      <c r="F2260" t="s">
        <v>2173</v>
      </c>
      <c r="G2260" t="s">
        <v>6348</v>
      </c>
      <c r="H2260" t="s">
        <v>11493</v>
      </c>
      <c r="I2260" t="s">
        <v>17316</v>
      </c>
      <c r="J2260" t="s">
        <v>18894</v>
      </c>
      <c r="K2260">
        <v>11213</v>
      </c>
      <c r="L2260" t="s">
        <v>18958</v>
      </c>
      <c r="M2260" t="s">
        <v>18958</v>
      </c>
      <c r="N2260" t="s">
        <v>20673</v>
      </c>
      <c r="O2260" t="s">
        <v>26529</v>
      </c>
      <c r="P2260" t="s">
        <v>26560</v>
      </c>
      <c r="R2260" t="s">
        <v>26578</v>
      </c>
      <c r="S2260" t="s">
        <v>18958</v>
      </c>
      <c r="U2260" t="s">
        <v>26604</v>
      </c>
      <c r="V2260" t="s">
        <v>26610</v>
      </c>
      <c r="W2260" t="s">
        <v>529</v>
      </c>
      <c r="X2260">
        <v>575</v>
      </c>
      <c r="Y2260" t="s">
        <v>26652</v>
      </c>
      <c r="Z2260" t="s">
        <v>26530</v>
      </c>
      <c r="AB2260" t="s">
        <v>28697</v>
      </c>
      <c r="AE2260">
        <v>6</v>
      </c>
      <c r="AF2260" t="s">
        <v>45541</v>
      </c>
      <c r="AG2260" t="s">
        <v>19330</v>
      </c>
      <c r="AH2260">
        <v>22</v>
      </c>
      <c r="AI2260">
        <v>1</v>
      </c>
      <c r="AJ2260">
        <v>0</v>
      </c>
      <c r="AK2260">
        <v>172.59</v>
      </c>
      <c r="AN2260" t="s">
        <v>7439</v>
      </c>
      <c r="AO2260">
        <v>20952</v>
      </c>
      <c r="AU2260">
        <v>31.7</v>
      </c>
      <c r="AV2260" t="s">
        <v>771</v>
      </c>
      <c r="AW2260" t="s">
        <v>117</v>
      </c>
    </row>
    <row r="2261" spans="1:50">
      <c r="A2261" s="1">
        <f>HYPERLINK("https://lsnyc.legalserver.org/matter/dynamic-profile/view/1879707","18-1879707")</f>
        <v>0</v>
      </c>
      <c r="B2261" t="s">
        <v>81</v>
      </c>
      <c r="C2261" t="s">
        <v>340</v>
      </c>
      <c r="D2261" t="s">
        <v>529</v>
      </c>
      <c r="F2261" t="s">
        <v>2174</v>
      </c>
      <c r="G2261" t="s">
        <v>6177</v>
      </c>
      <c r="H2261" t="s">
        <v>11494</v>
      </c>
      <c r="I2261" t="s">
        <v>17332</v>
      </c>
      <c r="J2261" t="s">
        <v>18892</v>
      </c>
      <c r="K2261">
        <v>10467</v>
      </c>
      <c r="L2261" t="s">
        <v>18958</v>
      </c>
      <c r="M2261" t="s">
        <v>18958</v>
      </c>
      <c r="N2261" t="s">
        <v>20674</v>
      </c>
      <c r="O2261" t="s">
        <v>26523</v>
      </c>
      <c r="P2261" t="s">
        <v>26560</v>
      </c>
      <c r="R2261" t="s">
        <v>26579</v>
      </c>
      <c r="U2261" t="s">
        <v>26604</v>
      </c>
      <c r="V2261" t="s">
        <v>26610</v>
      </c>
      <c r="W2261" t="s">
        <v>529</v>
      </c>
      <c r="X2261">
        <v>1995</v>
      </c>
      <c r="Y2261" t="s">
        <v>26650</v>
      </c>
      <c r="Z2261" t="s">
        <v>26668</v>
      </c>
      <c r="AB2261" t="s">
        <v>28698</v>
      </c>
      <c r="AC2261" t="s">
        <v>35187</v>
      </c>
      <c r="AD2261" t="s">
        <v>38748</v>
      </c>
      <c r="AE2261">
        <v>64</v>
      </c>
      <c r="AF2261" t="s">
        <v>45541</v>
      </c>
      <c r="AG2261" t="s">
        <v>19330</v>
      </c>
      <c r="AH2261">
        <v>1</v>
      </c>
      <c r="AI2261">
        <v>2</v>
      </c>
      <c r="AJ2261">
        <v>0</v>
      </c>
      <c r="AK2261">
        <v>94.78</v>
      </c>
      <c r="AN2261" t="s">
        <v>7439</v>
      </c>
      <c r="AO2261">
        <v>15600</v>
      </c>
      <c r="AU2261">
        <v>17.3</v>
      </c>
      <c r="AV2261" t="s">
        <v>804</v>
      </c>
      <c r="AW2261" t="s">
        <v>336</v>
      </c>
      <c r="AX2261" t="s">
        <v>46898</v>
      </c>
    </row>
    <row r="2262" spans="1:50">
      <c r="A2262" s="1">
        <f>HYPERLINK("https://lsnyc.legalserver.org/matter/dynamic-profile/view/1879487","18-1879487")</f>
        <v>0</v>
      </c>
      <c r="B2262" t="s">
        <v>141</v>
      </c>
      <c r="C2262" t="s">
        <v>340</v>
      </c>
      <c r="D2262" t="s">
        <v>529</v>
      </c>
      <c r="F2262" t="s">
        <v>2175</v>
      </c>
      <c r="G2262" t="s">
        <v>6349</v>
      </c>
      <c r="H2262" t="s">
        <v>10433</v>
      </c>
      <c r="I2262">
        <v>711</v>
      </c>
      <c r="J2262" t="s">
        <v>18905</v>
      </c>
      <c r="K2262">
        <v>11692</v>
      </c>
      <c r="L2262" t="s">
        <v>18958</v>
      </c>
      <c r="M2262" t="s">
        <v>18958</v>
      </c>
      <c r="N2262" t="s">
        <v>20675</v>
      </c>
      <c r="O2262" t="s">
        <v>26523</v>
      </c>
      <c r="P2262" t="s">
        <v>26560</v>
      </c>
      <c r="R2262" t="s">
        <v>26578</v>
      </c>
      <c r="S2262" t="s">
        <v>18959</v>
      </c>
      <c r="U2262" t="s">
        <v>26604</v>
      </c>
      <c r="V2262" t="s">
        <v>26610</v>
      </c>
      <c r="W2262" t="s">
        <v>529</v>
      </c>
      <c r="X2262">
        <v>1657</v>
      </c>
      <c r="Y2262" t="s">
        <v>26653</v>
      </c>
      <c r="Z2262" t="s">
        <v>26664</v>
      </c>
      <c r="AB2262" t="s">
        <v>28699</v>
      </c>
      <c r="AC2262" t="s">
        <v>35188</v>
      </c>
      <c r="AD2262" t="s">
        <v>38749</v>
      </c>
      <c r="AE2262">
        <v>103</v>
      </c>
      <c r="AF2262" t="s">
        <v>45550</v>
      </c>
      <c r="AG2262" t="s">
        <v>45557</v>
      </c>
      <c r="AH2262">
        <v>5</v>
      </c>
      <c r="AI2262">
        <v>1</v>
      </c>
      <c r="AJ2262">
        <v>4</v>
      </c>
      <c r="AK2262">
        <v>50.99</v>
      </c>
      <c r="AN2262" t="s">
        <v>7439</v>
      </c>
      <c r="AO2262">
        <v>15000</v>
      </c>
      <c r="AU2262">
        <v>54.3</v>
      </c>
      <c r="AV2262" t="s">
        <v>839</v>
      </c>
      <c r="AW2262" t="s">
        <v>161</v>
      </c>
    </row>
    <row r="2263" spans="1:50">
      <c r="A2263" s="1">
        <f>HYPERLINK("https://lsnyc.legalserver.org/matter/dynamic-profile/view/1879739","18-1879739")</f>
        <v>0</v>
      </c>
      <c r="B2263" t="s">
        <v>187</v>
      </c>
      <c r="C2263" t="s">
        <v>340</v>
      </c>
      <c r="D2263" t="s">
        <v>529</v>
      </c>
      <c r="F2263" t="s">
        <v>1002</v>
      </c>
      <c r="G2263" t="s">
        <v>6350</v>
      </c>
      <c r="H2263" t="s">
        <v>10426</v>
      </c>
      <c r="I2263" t="s">
        <v>17274</v>
      </c>
      <c r="J2263" t="s">
        <v>18892</v>
      </c>
      <c r="K2263">
        <v>10457</v>
      </c>
      <c r="L2263" t="s">
        <v>18958</v>
      </c>
      <c r="M2263" t="s">
        <v>18958</v>
      </c>
      <c r="N2263" t="s">
        <v>20676</v>
      </c>
      <c r="O2263" t="s">
        <v>26523</v>
      </c>
      <c r="P2263" t="s">
        <v>26560</v>
      </c>
      <c r="R2263" t="s">
        <v>26579</v>
      </c>
      <c r="S2263" t="s">
        <v>18959</v>
      </c>
      <c r="U2263" t="s">
        <v>26604</v>
      </c>
      <c r="V2263" t="s">
        <v>26610</v>
      </c>
      <c r="W2263" t="s">
        <v>529</v>
      </c>
      <c r="X2263">
        <v>1367.92</v>
      </c>
      <c r="Y2263" t="s">
        <v>26650</v>
      </c>
      <c r="Z2263" t="s">
        <v>26664</v>
      </c>
      <c r="AB2263" t="s">
        <v>28700</v>
      </c>
      <c r="AD2263" t="s">
        <v>38750</v>
      </c>
      <c r="AE2263">
        <v>0</v>
      </c>
      <c r="AF2263" t="s">
        <v>45549</v>
      </c>
      <c r="AG2263" t="s">
        <v>45556</v>
      </c>
      <c r="AH2263">
        <v>4</v>
      </c>
      <c r="AI2263">
        <v>2</v>
      </c>
      <c r="AJ2263">
        <v>0</v>
      </c>
      <c r="AK2263">
        <v>57.08</v>
      </c>
      <c r="AN2263" t="s">
        <v>7439</v>
      </c>
      <c r="AO2263">
        <v>9396</v>
      </c>
      <c r="AU2263">
        <v>21.1</v>
      </c>
      <c r="AV2263" t="s">
        <v>825</v>
      </c>
      <c r="AW2263" t="s">
        <v>336</v>
      </c>
    </row>
    <row r="2264" spans="1:50">
      <c r="A2264" s="1">
        <f>HYPERLINK("https://lsnyc.legalserver.org/matter/dynamic-profile/view/1879536","18-1879536")</f>
        <v>0</v>
      </c>
      <c r="B2264" t="s">
        <v>122</v>
      </c>
      <c r="C2264" t="s">
        <v>340</v>
      </c>
      <c r="D2264" t="s">
        <v>529</v>
      </c>
      <c r="F2264" t="s">
        <v>2176</v>
      </c>
      <c r="G2264" t="s">
        <v>6351</v>
      </c>
      <c r="H2264" t="s">
        <v>11495</v>
      </c>
      <c r="I2264">
        <v>302</v>
      </c>
      <c r="J2264" t="s">
        <v>18905</v>
      </c>
      <c r="K2264">
        <v>11692</v>
      </c>
      <c r="L2264" t="s">
        <v>18958</v>
      </c>
      <c r="M2264" t="s">
        <v>18958</v>
      </c>
      <c r="N2264" t="s">
        <v>20677</v>
      </c>
      <c r="O2264" t="s">
        <v>26523</v>
      </c>
      <c r="P2264" t="s">
        <v>26564</v>
      </c>
      <c r="R2264" t="s">
        <v>26578</v>
      </c>
      <c r="S2264" t="s">
        <v>18959</v>
      </c>
      <c r="U2264" t="s">
        <v>26604</v>
      </c>
      <c r="V2264" t="s">
        <v>26609</v>
      </c>
      <c r="W2264" t="s">
        <v>529</v>
      </c>
      <c r="X2264">
        <v>1325</v>
      </c>
      <c r="Y2264" t="s">
        <v>26653</v>
      </c>
      <c r="Z2264" t="s">
        <v>26664</v>
      </c>
      <c r="AB2264" t="s">
        <v>28701</v>
      </c>
      <c r="AC2264" t="s">
        <v>35189</v>
      </c>
      <c r="AD2264" t="s">
        <v>38751</v>
      </c>
      <c r="AE2264">
        <v>8</v>
      </c>
      <c r="AF2264" t="s">
        <v>45541</v>
      </c>
      <c r="AG2264" t="s">
        <v>19330</v>
      </c>
      <c r="AH2264">
        <v>20</v>
      </c>
      <c r="AI2264">
        <v>4</v>
      </c>
      <c r="AJ2264">
        <v>0</v>
      </c>
      <c r="AK2264">
        <v>159.4</v>
      </c>
      <c r="AN2264" t="s">
        <v>7439</v>
      </c>
      <c r="AO2264">
        <v>40010</v>
      </c>
      <c r="AU2264">
        <v>2</v>
      </c>
      <c r="AV2264" t="s">
        <v>645</v>
      </c>
      <c r="AW2264" t="s">
        <v>122</v>
      </c>
    </row>
    <row r="2265" spans="1:50">
      <c r="A2265" s="1">
        <f>HYPERLINK("https://lsnyc.legalserver.org/matter/dynamic-profile/view/1879475","18-1879475")</f>
        <v>0</v>
      </c>
      <c r="B2265" t="s">
        <v>111</v>
      </c>
      <c r="C2265" t="s">
        <v>340</v>
      </c>
      <c r="D2265" t="s">
        <v>529</v>
      </c>
      <c r="F2265" t="s">
        <v>1116</v>
      </c>
      <c r="G2265" t="s">
        <v>5664</v>
      </c>
      <c r="H2265" t="s">
        <v>11496</v>
      </c>
      <c r="I2265" t="s">
        <v>17582</v>
      </c>
      <c r="J2265" t="s">
        <v>18901</v>
      </c>
      <c r="K2265">
        <v>11434</v>
      </c>
      <c r="L2265" t="s">
        <v>18958</v>
      </c>
      <c r="M2265" t="s">
        <v>18958</v>
      </c>
      <c r="N2265" t="s">
        <v>20678</v>
      </c>
      <c r="O2265" t="s">
        <v>26524</v>
      </c>
      <c r="P2265" t="s">
        <v>26560</v>
      </c>
      <c r="R2265" t="s">
        <v>26585</v>
      </c>
      <c r="S2265" t="s">
        <v>18959</v>
      </c>
      <c r="U2265" t="s">
        <v>26604</v>
      </c>
      <c r="V2265" t="s">
        <v>26610</v>
      </c>
      <c r="W2265" t="s">
        <v>529</v>
      </c>
      <c r="X2265">
        <v>1280</v>
      </c>
      <c r="Y2265" t="s">
        <v>26653</v>
      </c>
      <c r="Z2265" t="s">
        <v>26664</v>
      </c>
      <c r="AB2265" t="s">
        <v>28702</v>
      </c>
      <c r="AD2265" t="s">
        <v>38752</v>
      </c>
      <c r="AE2265">
        <v>2</v>
      </c>
      <c r="AF2265" t="s">
        <v>45547</v>
      </c>
      <c r="AG2265" t="s">
        <v>19330</v>
      </c>
      <c r="AH2265">
        <v>4</v>
      </c>
      <c r="AI2265">
        <v>1</v>
      </c>
      <c r="AJ2265">
        <v>2</v>
      </c>
      <c r="AK2265">
        <v>105.87</v>
      </c>
      <c r="AN2265" t="s">
        <v>7439</v>
      </c>
      <c r="AO2265">
        <v>22000</v>
      </c>
      <c r="AQ2265" t="s">
        <v>46362</v>
      </c>
      <c r="AR2265" t="s">
        <v>46437</v>
      </c>
      <c r="AS2265" t="s">
        <v>46500</v>
      </c>
      <c r="AT2265" t="s">
        <v>46591</v>
      </c>
      <c r="AU2265">
        <v>6.7</v>
      </c>
      <c r="AV2265" t="s">
        <v>691</v>
      </c>
      <c r="AW2265" t="s">
        <v>122</v>
      </c>
    </row>
    <row r="2266" spans="1:50">
      <c r="A2266" s="1">
        <f>HYPERLINK("https://lsnyc.legalserver.org/matter/dynamic-profile/view/1879501","18-1879501")</f>
        <v>0</v>
      </c>
      <c r="B2266" t="s">
        <v>91</v>
      </c>
      <c r="C2266" t="s">
        <v>340</v>
      </c>
      <c r="D2266" t="s">
        <v>529</v>
      </c>
      <c r="F2266" t="s">
        <v>2177</v>
      </c>
      <c r="G2266" t="s">
        <v>6352</v>
      </c>
      <c r="H2266" t="s">
        <v>11497</v>
      </c>
      <c r="J2266" t="s">
        <v>18907</v>
      </c>
      <c r="K2266">
        <v>11377</v>
      </c>
      <c r="L2266" t="s">
        <v>18958</v>
      </c>
      <c r="M2266" t="s">
        <v>18958</v>
      </c>
      <c r="N2266" t="s">
        <v>20679</v>
      </c>
      <c r="O2266" t="s">
        <v>26524</v>
      </c>
      <c r="P2266" t="s">
        <v>26564</v>
      </c>
      <c r="R2266" t="s">
        <v>26584</v>
      </c>
      <c r="S2266" t="s">
        <v>18959</v>
      </c>
      <c r="U2266" t="s">
        <v>26604</v>
      </c>
      <c r="V2266" t="s">
        <v>26610</v>
      </c>
      <c r="W2266" t="s">
        <v>529</v>
      </c>
      <c r="X2266">
        <v>2200</v>
      </c>
      <c r="Y2266" t="s">
        <v>26653</v>
      </c>
      <c r="Z2266" t="s">
        <v>26664</v>
      </c>
      <c r="AB2266" t="s">
        <v>28703</v>
      </c>
      <c r="AC2266" t="s">
        <v>35190</v>
      </c>
      <c r="AD2266" t="s">
        <v>38753</v>
      </c>
      <c r="AE2266">
        <v>1</v>
      </c>
      <c r="AF2266" t="s">
        <v>45547</v>
      </c>
      <c r="AG2266" t="s">
        <v>19330</v>
      </c>
      <c r="AH2266">
        <v>7</v>
      </c>
      <c r="AI2266">
        <v>1</v>
      </c>
      <c r="AJ2266">
        <v>4</v>
      </c>
      <c r="AK2266">
        <v>91.77</v>
      </c>
      <c r="AN2266" t="s">
        <v>45581</v>
      </c>
      <c r="AO2266">
        <v>27000</v>
      </c>
      <c r="AU2266">
        <v>1.1</v>
      </c>
      <c r="AV2266" t="s">
        <v>651</v>
      </c>
      <c r="AW2266" t="s">
        <v>161</v>
      </c>
    </row>
    <row r="2267" spans="1:50">
      <c r="A2267" s="1">
        <f>HYPERLINK("https://lsnyc.legalserver.org/matter/dynamic-profile/view/1879521","18-1879521")</f>
        <v>0</v>
      </c>
      <c r="B2267" t="s">
        <v>91</v>
      </c>
      <c r="C2267" t="s">
        <v>340</v>
      </c>
      <c r="D2267" t="s">
        <v>529</v>
      </c>
      <c r="F2267" t="s">
        <v>1961</v>
      </c>
      <c r="G2267" t="s">
        <v>6353</v>
      </c>
      <c r="H2267" t="s">
        <v>11498</v>
      </c>
      <c r="I2267">
        <v>5</v>
      </c>
      <c r="J2267" t="s">
        <v>18907</v>
      </c>
      <c r="K2267">
        <v>11377</v>
      </c>
      <c r="L2267" t="s">
        <v>18958</v>
      </c>
      <c r="M2267" t="s">
        <v>18958</v>
      </c>
      <c r="N2267" t="s">
        <v>20680</v>
      </c>
      <c r="O2267" t="s">
        <v>26523</v>
      </c>
      <c r="P2267" t="s">
        <v>26564</v>
      </c>
      <c r="R2267" t="s">
        <v>26584</v>
      </c>
      <c r="S2267" t="s">
        <v>18959</v>
      </c>
      <c r="U2267" t="s">
        <v>26604</v>
      </c>
      <c r="V2267" t="s">
        <v>26610</v>
      </c>
      <c r="W2267" t="s">
        <v>529</v>
      </c>
      <c r="X2267">
        <v>1710</v>
      </c>
      <c r="Y2267" t="s">
        <v>26653</v>
      </c>
      <c r="Z2267" t="s">
        <v>26664</v>
      </c>
      <c r="AB2267" t="s">
        <v>28704</v>
      </c>
      <c r="AD2267" t="s">
        <v>38754</v>
      </c>
      <c r="AE2267">
        <v>13</v>
      </c>
      <c r="AF2267" t="s">
        <v>45541</v>
      </c>
      <c r="AG2267" t="s">
        <v>19330</v>
      </c>
      <c r="AH2267">
        <v>4</v>
      </c>
      <c r="AI2267">
        <v>3</v>
      </c>
      <c r="AJ2267">
        <v>2</v>
      </c>
      <c r="AK2267">
        <v>101.97</v>
      </c>
      <c r="AN2267" t="s">
        <v>7439</v>
      </c>
      <c r="AO2267">
        <v>30000</v>
      </c>
      <c r="AU2267">
        <v>1.3</v>
      </c>
      <c r="AV2267" t="s">
        <v>754</v>
      </c>
      <c r="AW2267" t="s">
        <v>161</v>
      </c>
    </row>
    <row r="2268" spans="1:50">
      <c r="A2268" s="1">
        <f>HYPERLINK("https://lsnyc.legalserver.org/matter/dynamic-profile/view/1879532","18-1879532")</f>
        <v>0</v>
      </c>
      <c r="B2268" t="s">
        <v>188</v>
      </c>
      <c r="C2268" t="s">
        <v>340</v>
      </c>
      <c r="D2268" t="s">
        <v>529</v>
      </c>
      <c r="F2268" t="s">
        <v>1878</v>
      </c>
      <c r="G2268" t="s">
        <v>6354</v>
      </c>
      <c r="H2268" t="s">
        <v>11419</v>
      </c>
      <c r="I2268" t="s">
        <v>17312</v>
      </c>
      <c r="J2268" t="s">
        <v>18892</v>
      </c>
      <c r="K2268">
        <v>10453</v>
      </c>
      <c r="L2268" t="s">
        <v>18958</v>
      </c>
      <c r="M2268" t="s">
        <v>18958</v>
      </c>
      <c r="N2268" t="s">
        <v>19045</v>
      </c>
      <c r="O2268" t="s">
        <v>26529</v>
      </c>
      <c r="P2268" t="s">
        <v>26564</v>
      </c>
      <c r="R2268" t="s">
        <v>26578</v>
      </c>
      <c r="S2268" t="s">
        <v>18959</v>
      </c>
      <c r="U2268" t="s">
        <v>26604</v>
      </c>
      <c r="W2268" t="s">
        <v>529</v>
      </c>
      <c r="X2268">
        <v>1063.54</v>
      </c>
      <c r="Y2268" t="s">
        <v>26650</v>
      </c>
      <c r="Z2268" t="s">
        <v>26673</v>
      </c>
      <c r="AB2268" t="s">
        <v>28705</v>
      </c>
      <c r="AC2268" t="s">
        <v>35191</v>
      </c>
      <c r="AD2268" t="s">
        <v>38755</v>
      </c>
      <c r="AE2268">
        <v>48</v>
      </c>
      <c r="AF2268" t="s">
        <v>45541</v>
      </c>
      <c r="AG2268" t="s">
        <v>19330</v>
      </c>
      <c r="AH2268">
        <v>28</v>
      </c>
      <c r="AI2268">
        <v>4</v>
      </c>
      <c r="AJ2268">
        <v>6</v>
      </c>
      <c r="AK2268">
        <v>63.65</v>
      </c>
      <c r="AN2268" t="s">
        <v>45581</v>
      </c>
      <c r="AO2268">
        <v>32472</v>
      </c>
      <c r="AU2268">
        <v>30</v>
      </c>
      <c r="AV2268" t="s">
        <v>833</v>
      </c>
      <c r="AW2268" t="s">
        <v>46846</v>
      </c>
    </row>
    <row r="2269" spans="1:50">
      <c r="A2269" s="1">
        <f>HYPERLINK("https://lsnyc.legalserver.org/matter/dynamic-profile/view/1879497","18-1879497")</f>
        <v>0</v>
      </c>
      <c r="B2269" t="s">
        <v>194</v>
      </c>
      <c r="C2269" t="s">
        <v>340</v>
      </c>
      <c r="D2269" t="s">
        <v>529</v>
      </c>
      <c r="F2269" t="s">
        <v>1206</v>
      </c>
      <c r="G2269" t="s">
        <v>5109</v>
      </c>
      <c r="H2269" t="s">
        <v>11499</v>
      </c>
      <c r="I2269" t="s">
        <v>17306</v>
      </c>
      <c r="J2269" t="s">
        <v>18893</v>
      </c>
      <c r="K2269">
        <v>10026</v>
      </c>
      <c r="L2269" t="s">
        <v>18958</v>
      </c>
      <c r="M2269" t="s">
        <v>18958</v>
      </c>
      <c r="N2269" t="s">
        <v>20681</v>
      </c>
      <c r="O2269" t="s">
        <v>26523</v>
      </c>
      <c r="P2269" t="s">
        <v>26560</v>
      </c>
      <c r="R2269" t="s">
        <v>26580</v>
      </c>
      <c r="S2269" t="s">
        <v>18959</v>
      </c>
      <c r="U2269" t="s">
        <v>26604</v>
      </c>
      <c r="V2269" t="s">
        <v>26610</v>
      </c>
      <c r="W2269" t="s">
        <v>529</v>
      </c>
      <c r="X2269">
        <v>1020</v>
      </c>
      <c r="Y2269" t="s">
        <v>26651</v>
      </c>
      <c r="Z2269" t="s">
        <v>26664</v>
      </c>
      <c r="AB2269" t="s">
        <v>28706</v>
      </c>
      <c r="AD2269" t="s">
        <v>38756</v>
      </c>
      <c r="AE2269">
        <v>0</v>
      </c>
      <c r="AF2269" t="s">
        <v>45541</v>
      </c>
      <c r="AG2269" t="s">
        <v>45562</v>
      </c>
      <c r="AH2269">
        <v>2</v>
      </c>
      <c r="AI2269">
        <v>1</v>
      </c>
      <c r="AJ2269">
        <v>0</v>
      </c>
      <c r="AK2269">
        <v>152.39</v>
      </c>
      <c r="AN2269" t="s">
        <v>7439</v>
      </c>
      <c r="AO2269">
        <v>18500</v>
      </c>
      <c r="AU2269">
        <v>30.7</v>
      </c>
      <c r="AV2269" t="s">
        <v>791</v>
      </c>
      <c r="AW2269" t="s">
        <v>314</v>
      </c>
    </row>
    <row r="2270" spans="1:50">
      <c r="A2270" s="1">
        <f>HYPERLINK("https://lsnyc.legalserver.org/matter/dynamic-profile/view/1879586","18-1879586")</f>
        <v>0</v>
      </c>
      <c r="B2270" t="s">
        <v>54</v>
      </c>
      <c r="C2270" t="s">
        <v>340</v>
      </c>
      <c r="D2270" t="s">
        <v>529</v>
      </c>
      <c r="F2270" t="s">
        <v>1540</v>
      </c>
      <c r="G2270" t="s">
        <v>6355</v>
      </c>
      <c r="H2270" t="s">
        <v>11500</v>
      </c>
      <c r="I2270" t="s">
        <v>17798</v>
      </c>
      <c r="J2270" t="s">
        <v>18892</v>
      </c>
      <c r="K2270">
        <v>10463</v>
      </c>
      <c r="L2270" t="s">
        <v>18958</v>
      </c>
      <c r="M2270" t="s">
        <v>18958</v>
      </c>
      <c r="N2270" t="s">
        <v>20682</v>
      </c>
      <c r="O2270" t="s">
        <v>26523</v>
      </c>
      <c r="P2270" t="s">
        <v>26560</v>
      </c>
      <c r="R2270" t="s">
        <v>26577</v>
      </c>
      <c r="S2270" t="s">
        <v>18959</v>
      </c>
      <c r="U2270" t="s">
        <v>26604</v>
      </c>
      <c r="V2270" t="s">
        <v>26610</v>
      </c>
      <c r="W2270" t="s">
        <v>529</v>
      </c>
      <c r="X2270">
        <v>1428.77</v>
      </c>
      <c r="Y2270" t="s">
        <v>26650</v>
      </c>
      <c r="Z2270" t="s">
        <v>26664</v>
      </c>
      <c r="AB2270" t="s">
        <v>28707</v>
      </c>
      <c r="AC2270" t="s">
        <v>35192</v>
      </c>
      <c r="AD2270" t="s">
        <v>38757</v>
      </c>
      <c r="AE2270">
        <v>89</v>
      </c>
      <c r="AF2270" t="s">
        <v>45541</v>
      </c>
      <c r="AG2270" t="s">
        <v>45559</v>
      </c>
      <c r="AH2270">
        <v>7</v>
      </c>
      <c r="AI2270">
        <v>1</v>
      </c>
      <c r="AJ2270">
        <v>0</v>
      </c>
      <c r="AK2270">
        <v>147.97</v>
      </c>
      <c r="AN2270" t="s">
        <v>45581</v>
      </c>
      <c r="AO2270">
        <v>17964</v>
      </c>
      <c r="AQ2270" t="s">
        <v>46364</v>
      </c>
      <c r="AR2270" t="s">
        <v>46415</v>
      </c>
      <c r="AS2270" t="s">
        <v>46499</v>
      </c>
      <c r="AT2270" t="s">
        <v>46570</v>
      </c>
      <c r="AU2270">
        <v>17.5</v>
      </c>
      <c r="AV2270" t="s">
        <v>777</v>
      </c>
      <c r="AW2270" t="s">
        <v>46832</v>
      </c>
    </row>
    <row r="2271" spans="1:50">
      <c r="A2271" s="1">
        <f>HYPERLINK("https://lsnyc.legalserver.org/matter/dynamic-profile/view/1879565","18-1879565")</f>
        <v>0</v>
      </c>
      <c r="B2271" t="s">
        <v>54</v>
      </c>
      <c r="C2271" t="s">
        <v>340</v>
      </c>
      <c r="D2271" t="s">
        <v>529</v>
      </c>
      <c r="F2271" t="s">
        <v>928</v>
      </c>
      <c r="G2271" t="s">
        <v>5849</v>
      </c>
      <c r="H2271" t="s">
        <v>11501</v>
      </c>
      <c r="I2271" t="s">
        <v>17316</v>
      </c>
      <c r="J2271" t="s">
        <v>18892</v>
      </c>
      <c r="K2271">
        <v>10467</v>
      </c>
      <c r="L2271" t="s">
        <v>18958</v>
      </c>
      <c r="M2271" t="s">
        <v>18958</v>
      </c>
      <c r="N2271" t="s">
        <v>20683</v>
      </c>
      <c r="O2271" t="s">
        <v>26524</v>
      </c>
      <c r="P2271" t="s">
        <v>26560</v>
      </c>
      <c r="R2271" t="s">
        <v>26579</v>
      </c>
      <c r="S2271" t="s">
        <v>18959</v>
      </c>
      <c r="U2271" t="s">
        <v>26604</v>
      </c>
      <c r="V2271" t="s">
        <v>26610</v>
      </c>
      <c r="W2271" t="s">
        <v>529</v>
      </c>
      <c r="X2271">
        <v>1550</v>
      </c>
      <c r="Y2271" t="s">
        <v>26650</v>
      </c>
      <c r="Z2271" t="s">
        <v>26664</v>
      </c>
      <c r="AB2271" t="s">
        <v>28708</v>
      </c>
      <c r="AC2271" t="s">
        <v>35193</v>
      </c>
      <c r="AD2271" t="s">
        <v>38758</v>
      </c>
      <c r="AE2271">
        <v>20</v>
      </c>
      <c r="AF2271" t="s">
        <v>45541</v>
      </c>
      <c r="AG2271" t="s">
        <v>26530</v>
      </c>
      <c r="AH2271">
        <v>7</v>
      </c>
      <c r="AI2271">
        <v>1</v>
      </c>
      <c r="AJ2271">
        <v>0</v>
      </c>
      <c r="AK2271">
        <v>58.32</v>
      </c>
      <c r="AN2271" t="s">
        <v>7439</v>
      </c>
      <c r="AO2271">
        <v>7080</v>
      </c>
      <c r="AU2271">
        <v>11.9</v>
      </c>
      <c r="AV2271" t="s">
        <v>833</v>
      </c>
      <c r="AW2271" t="s">
        <v>46832</v>
      </c>
    </row>
    <row r="2272" spans="1:50">
      <c r="A2272" s="1">
        <f>HYPERLINK("https://lsnyc.legalserver.org/matter/dynamic-profile/view/1879484","18-1879484")</f>
        <v>0</v>
      </c>
      <c r="B2272" t="s">
        <v>59</v>
      </c>
      <c r="C2272" t="s">
        <v>340</v>
      </c>
      <c r="D2272" t="s">
        <v>529</v>
      </c>
      <c r="F2272" t="s">
        <v>1652</v>
      </c>
      <c r="G2272" t="s">
        <v>6356</v>
      </c>
      <c r="H2272" t="s">
        <v>10573</v>
      </c>
      <c r="I2272">
        <v>151</v>
      </c>
      <c r="J2272" t="s">
        <v>18893</v>
      </c>
      <c r="K2272">
        <v>10039</v>
      </c>
      <c r="L2272" t="s">
        <v>18958</v>
      </c>
      <c r="M2272" t="s">
        <v>18958</v>
      </c>
      <c r="O2272" t="s">
        <v>26523</v>
      </c>
      <c r="P2272" t="s">
        <v>26564</v>
      </c>
      <c r="R2272" t="s">
        <v>26582</v>
      </c>
      <c r="S2272" t="s">
        <v>18959</v>
      </c>
      <c r="U2272" t="s">
        <v>26604</v>
      </c>
      <c r="W2272" t="s">
        <v>529</v>
      </c>
      <c r="X2272">
        <v>1025</v>
      </c>
      <c r="Y2272" t="s">
        <v>26651</v>
      </c>
      <c r="Z2272" t="s">
        <v>26664</v>
      </c>
      <c r="AB2272" t="s">
        <v>28196</v>
      </c>
      <c r="AD2272" t="s">
        <v>38759</v>
      </c>
      <c r="AE2272">
        <v>0</v>
      </c>
      <c r="AF2272" t="s">
        <v>45553</v>
      </c>
      <c r="AG2272" t="s">
        <v>19330</v>
      </c>
      <c r="AH2272">
        <v>4</v>
      </c>
      <c r="AI2272">
        <v>1</v>
      </c>
      <c r="AJ2272">
        <v>0</v>
      </c>
      <c r="AK2272">
        <v>0</v>
      </c>
      <c r="AN2272" t="s">
        <v>7439</v>
      </c>
      <c r="AO2272">
        <v>0</v>
      </c>
      <c r="AU2272">
        <v>7.9</v>
      </c>
      <c r="AV2272" t="s">
        <v>664</v>
      </c>
      <c r="AW2272" t="s">
        <v>46840</v>
      </c>
    </row>
    <row r="2273" spans="1:50">
      <c r="A2273" s="1">
        <f>HYPERLINK("https://lsnyc.legalserver.org/matter/dynamic-profile/view/1879459","18-1879459")</f>
        <v>0</v>
      </c>
      <c r="B2273" t="s">
        <v>59</v>
      </c>
      <c r="C2273" t="s">
        <v>340</v>
      </c>
      <c r="D2273" t="s">
        <v>529</v>
      </c>
      <c r="F2273" t="s">
        <v>1527</v>
      </c>
      <c r="G2273" t="s">
        <v>6357</v>
      </c>
      <c r="H2273" t="s">
        <v>11502</v>
      </c>
      <c r="I2273" t="s">
        <v>17358</v>
      </c>
      <c r="J2273" t="s">
        <v>18893</v>
      </c>
      <c r="K2273">
        <v>10025</v>
      </c>
      <c r="L2273" t="s">
        <v>18958</v>
      </c>
      <c r="M2273" t="s">
        <v>18958</v>
      </c>
      <c r="O2273" t="s">
        <v>26524</v>
      </c>
      <c r="P2273" t="s">
        <v>26564</v>
      </c>
      <c r="R2273" t="s">
        <v>26582</v>
      </c>
      <c r="S2273" t="s">
        <v>18959</v>
      </c>
      <c r="U2273" t="s">
        <v>26604</v>
      </c>
      <c r="W2273" t="s">
        <v>529</v>
      </c>
      <c r="X2273">
        <v>1900</v>
      </c>
      <c r="Y2273" t="s">
        <v>26651</v>
      </c>
      <c r="Z2273" t="s">
        <v>26664</v>
      </c>
      <c r="AB2273" t="s">
        <v>28709</v>
      </c>
      <c r="AD2273" t="s">
        <v>38760</v>
      </c>
      <c r="AE2273">
        <v>0</v>
      </c>
      <c r="AF2273" t="s">
        <v>45548</v>
      </c>
      <c r="AG2273" t="s">
        <v>19330</v>
      </c>
      <c r="AH2273">
        <v>52</v>
      </c>
      <c r="AI2273">
        <v>2</v>
      </c>
      <c r="AJ2273">
        <v>0</v>
      </c>
      <c r="AK2273">
        <v>50.3</v>
      </c>
      <c r="AN2273" t="s">
        <v>7439</v>
      </c>
      <c r="AO2273">
        <v>8280</v>
      </c>
      <c r="AU2273">
        <v>1.4</v>
      </c>
      <c r="AV2273" t="s">
        <v>624</v>
      </c>
      <c r="AW2273" t="s">
        <v>46840</v>
      </c>
    </row>
    <row r="2274" spans="1:50">
      <c r="A2274" s="1">
        <f>HYPERLINK("https://lsnyc.legalserver.org/matter/dynamic-profile/view/1879567","18-1879567")</f>
        <v>0</v>
      </c>
      <c r="B2274" t="s">
        <v>59</v>
      </c>
      <c r="C2274" t="s">
        <v>340</v>
      </c>
      <c r="D2274" t="s">
        <v>529</v>
      </c>
      <c r="F2274" t="s">
        <v>938</v>
      </c>
      <c r="G2274" t="s">
        <v>5608</v>
      </c>
      <c r="H2274" t="s">
        <v>11503</v>
      </c>
      <c r="I2274">
        <v>12</v>
      </c>
      <c r="J2274" t="s">
        <v>18893</v>
      </c>
      <c r="K2274">
        <v>10026</v>
      </c>
      <c r="L2274" t="s">
        <v>18958</v>
      </c>
      <c r="M2274" t="s">
        <v>18958</v>
      </c>
      <c r="O2274" t="s">
        <v>26523</v>
      </c>
      <c r="P2274" t="s">
        <v>26560</v>
      </c>
      <c r="R2274" t="s">
        <v>26582</v>
      </c>
      <c r="S2274" t="s">
        <v>18959</v>
      </c>
      <c r="U2274" t="s">
        <v>26604</v>
      </c>
      <c r="W2274" t="s">
        <v>529</v>
      </c>
      <c r="X2274">
        <v>516</v>
      </c>
      <c r="Y2274" t="s">
        <v>26651</v>
      </c>
      <c r="Z2274" t="s">
        <v>26664</v>
      </c>
      <c r="AB2274" t="s">
        <v>28710</v>
      </c>
      <c r="AD2274" t="s">
        <v>38761</v>
      </c>
      <c r="AE2274">
        <v>0</v>
      </c>
      <c r="AF2274" t="s">
        <v>45544</v>
      </c>
      <c r="AH2274">
        <v>27</v>
      </c>
      <c r="AI2274">
        <v>2</v>
      </c>
      <c r="AJ2274">
        <v>0</v>
      </c>
      <c r="AK2274">
        <v>62.92</v>
      </c>
      <c r="AN2274" t="s">
        <v>7439</v>
      </c>
      <c r="AO2274">
        <v>10356</v>
      </c>
      <c r="AU2274">
        <v>51.55</v>
      </c>
      <c r="AV2274" t="s">
        <v>835</v>
      </c>
      <c r="AW2274" t="s">
        <v>46840</v>
      </c>
    </row>
    <row r="2275" spans="1:50">
      <c r="A2275" s="1">
        <f>HYPERLINK("https://lsnyc.legalserver.org/matter/dynamic-profile/view/1879500","18-1879500")</f>
        <v>0</v>
      </c>
      <c r="B2275" t="s">
        <v>59</v>
      </c>
      <c r="C2275" t="s">
        <v>340</v>
      </c>
      <c r="D2275" t="s">
        <v>529</v>
      </c>
      <c r="F2275" t="s">
        <v>1021</v>
      </c>
      <c r="G2275" t="s">
        <v>6358</v>
      </c>
      <c r="H2275" t="s">
        <v>11504</v>
      </c>
      <c r="I2275" t="s">
        <v>17799</v>
      </c>
      <c r="J2275" t="s">
        <v>18893</v>
      </c>
      <c r="K2275">
        <v>10036</v>
      </c>
      <c r="L2275" t="s">
        <v>18958</v>
      </c>
      <c r="M2275" t="s">
        <v>18958</v>
      </c>
      <c r="O2275" t="s">
        <v>26524</v>
      </c>
      <c r="P2275" t="s">
        <v>26564</v>
      </c>
      <c r="R2275" t="s">
        <v>26582</v>
      </c>
      <c r="S2275" t="s">
        <v>18959</v>
      </c>
      <c r="U2275" t="s">
        <v>26604</v>
      </c>
      <c r="W2275" t="s">
        <v>529</v>
      </c>
      <c r="X2275">
        <v>1124</v>
      </c>
      <c r="Y2275" t="s">
        <v>26651</v>
      </c>
      <c r="Z2275" t="s">
        <v>26664</v>
      </c>
      <c r="AB2275" t="s">
        <v>28711</v>
      </c>
      <c r="AD2275" t="s">
        <v>38762</v>
      </c>
      <c r="AE2275">
        <v>0</v>
      </c>
      <c r="AF2275" t="s">
        <v>45541</v>
      </c>
      <c r="AG2275" t="s">
        <v>45564</v>
      </c>
      <c r="AH2275">
        <v>2</v>
      </c>
      <c r="AI2275">
        <v>2</v>
      </c>
      <c r="AJ2275">
        <v>0</v>
      </c>
      <c r="AK2275">
        <v>113.58</v>
      </c>
      <c r="AN2275" t="s">
        <v>7439</v>
      </c>
      <c r="AO2275">
        <v>18696</v>
      </c>
      <c r="AU2275">
        <v>3</v>
      </c>
      <c r="AV2275" t="s">
        <v>632</v>
      </c>
      <c r="AW2275" t="s">
        <v>46840</v>
      </c>
    </row>
    <row r="2276" spans="1:50">
      <c r="A2276" s="1">
        <f>HYPERLINK("https://lsnyc.legalserver.org/matter/dynamic-profile/view/1879473","18-1879473")</f>
        <v>0</v>
      </c>
      <c r="B2276" t="s">
        <v>59</v>
      </c>
      <c r="C2276" t="s">
        <v>340</v>
      </c>
      <c r="D2276" t="s">
        <v>529</v>
      </c>
      <c r="F2276" t="s">
        <v>2178</v>
      </c>
      <c r="G2276" t="s">
        <v>5677</v>
      </c>
      <c r="H2276" t="s">
        <v>11505</v>
      </c>
      <c r="I2276" t="s">
        <v>17347</v>
      </c>
      <c r="J2276" t="s">
        <v>18893</v>
      </c>
      <c r="K2276">
        <v>10039</v>
      </c>
      <c r="L2276" t="s">
        <v>18958</v>
      </c>
      <c r="M2276" t="s">
        <v>18958</v>
      </c>
      <c r="O2276" t="s">
        <v>26523</v>
      </c>
      <c r="P2276" t="s">
        <v>26564</v>
      </c>
      <c r="R2276" t="s">
        <v>26582</v>
      </c>
      <c r="S2276" t="s">
        <v>18959</v>
      </c>
      <c r="U2276" t="s">
        <v>26604</v>
      </c>
      <c r="W2276" t="s">
        <v>529</v>
      </c>
      <c r="X2276">
        <v>1104</v>
      </c>
      <c r="Y2276" t="s">
        <v>26651</v>
      </c>
      <c r="Z2276" t="s">
        <v>26664</v>
      </c>
      <c r="AB2276" t="s">
        <v>27074</v>
      </c>
      <c r="AD2276" t="s">
        <v>38763</v>
      </c>
      <c r="AE2276">
        <v>0</v>
      </c>
      <c r="AF2276" t="s">
        <v>45541</v>
      </c>
      <c r="AG2276" t="s">
        <v>19330</v>
      </c>
      <c r="AH2276">
        <v>14</v>
      </c>
      <c r="AI2276">
        <v>2</v>
      </c>
      <c r="AJ2276">
        <v>2</v>
      </c>
      <c r="AK2276">
        <v>119.52</v>
      </c>
      <c r="AN2276" t="s">
        <v>7439</v>
      </c>
      <c r="AO2276">
        <v>30000</v>
      </c>
      <c r="AU2276">
        <v>1.4</v>
      </c>
      <c r="AV2276" t="s">
        <v>624</v>
      </c>
      <c r="AW2276" t="s">
        <v>46840</v>
      </c>
    </row>
    <row r="2277" spans="1:50">
      <c r="A2277" s="1">
        <f>HYPERLINK("https://lsnyc.legalserver.org/matter/dynamic-profile/view/1879524","18-1879524")</f>
        <v>0</v>
      </c>
      <c r="B2277" t="s">
        <v>59</v>
      </c>
      <c r="C2277" t="s">
        <v>340</v>
      </c>
      <c r="D2277" t="s">
        <v>529</v>
      </c>
      <c r="F2277" t="s">
        <v>2179</v>
      </c>
      <c r="G2277" t="s">
        <v>6359</v>
      </c>
      <c r="H2277" t="s">
        <v>11506</v>
      </c>
      <c r="I2277" t="s">
        <v>17570</v>
      </c>
      <c r="J2277" t="s">
        <v>18893</v>
      </c>
      <c r="K2277">
        <v>10025</v>
      </c>
      <c r="L2277" t="s">
        <v>18958</v>
      </c>
      <c r="M2277" t="s">
        <v>18958</v>
      </c>
      <c r="N2277" t="s">
        <v>20684</v>
      </c>
      <c r="O2277" t="s">
        <v>26523</v>
      </c>
      <c r="P2277" t="s">
        <v>26560</v>
      </c>
      <c r="R2277" t="s">
        <v>26580</v>
      </c>
      <c r="S2277" t="s">
        <v>18959</v>
      </c>
      <c r="U2277" t="s">
        <v>26604</v>
      </c>
      <c r="W2277" t="s">
        <v>529</v>
      </c>
      <c r="X2277">
        <v>2159</v>
      </c>
      <c r="Y2277" t="s">
        <v>26651</v>
      </c>
      <c r="Z2277" t="s">
        <v>26664</v>
      </c>
      <c r="AB2277" t="s">
        <v>28712</v>
      </c>
      <c r="AD2277" t="s">
        <v>38764</v>
      </c>
      <c r="AE2277">
        <v>0</v>
      </c>
      <c r="AF2277" t="s">
        <v>45541</v>
      </c>
      <c r="AG2277" t="s">
        <v>19330</v>
      </c>
      <c r="AH2277">
        <v>50</v>
      </c>
      <c r="AI2277">
        <v>2</v>
      </c>
      <c r="AJ2277">
        <v>0</v>
      </c>
      <c r="AK2277">
        <v>176.18</v>
      </c>
      <c r="AN2277" t="s">
        <v>7439</v>
      </c>
      <c r="AO2277">
        <v>29000</v>
      </c>
      <c r="AU2277">
        <v>25.45</v>
      </c>
      <c r="AV2277" t="s">
        <v>777</v>
      </c>
      <c r="AW2277" t="s">
        <v>46840</v>
      </c>
    </row>
    <row r="2278" spans="1:50">
      <c r="A2278" s="1">
        <f>HYPERLINK("https://lsnyc.legalserver.org/matter/dynamic-profile/view/1870821","18-1870821")</f>
        <v>0</v>
      </c>
      <c r="B2278" t="s">
        <v>77</v>
      </c>
      <c r="C2278" t="s">
        <v>340</v>
      </c>
      <c r="D2278" t="s">
        <v>403</v>
      </c>
      <c r="F2278" t="s">
        <v>2180</v>
      </c>
      <c r="G2278" t="s">
        <v>6360</v>
      </c>
      <c r="H2278" t="s">
        <v>11507</v>
      </c>
      <c r="I2278" t="s">
        <v>17349</v>
      </c>
      <c r="J2278" t="s">
        <v>18893</v>
      </c>
      <c r="K2278">
        <v>10029</v>
      </c>
      <c r="L2278" t="s">
        <v>18958</v>
      </c>
      <c r="M2278" t="s">
        <v>18958</v>
      </c>
      <c r="N2278" t="s">
        <v>20685</v>
      </c>
      <c r="O2278" t="s">
        <v>26524</v>
      </c>
      <c r="P2278" t="s">
        <v>26560</v>
      </c>
      <c r="R2278" t="s">
        <v>26578</v>
      </c>
      <c r="S2278" t="s">
        <v>18959</v>
      </c>
      <c r="U2278" t="s">
        <v>26604</v>
      </c>
      <c r="V2278" t="s">
        <v>26610</v>
      </c>
      <c r="W2278" t="s">
        <v>411</v>
      </c>
      <c r="X2278">
        <v>101</v>
      </c>
      <c r="Y2278" t="s">
        <v>26651</v>
      </c>
      <c r="Z2278" t="s">
        <v>26672</v>
      </c>
      <c r="AA2278" t="s">
        <v>26688</v>
      </c>
      <c r="AB2278" t="s">
        <v>27499</v>
      </c>
      <c r="AD2278" t="s">
        <v>38765</v>
      </c>
      <c r="AE2278">
        <v>23</v>
      </c>
      <c r="AF2278" t="s">
        <v>45548</v>
      </c>
      <c r="AG2278" t="s">
        <v>19330</v>
      </c>
      <c r="AH2278">
        <v>36</v>
      </c>
      <c r="AI2278">
        <v>1</v>
      </c>
      <c r="AJ2278">
        <v>0</v>
      </c>
      <c r="AK2278">
        <v>280.07</v>
      </c>
      <c r="AL2278" t="s">
        <v>415</v>
      </c>
      <c r="AM2278" t="s">
        <v>45575</v>
      </c>
      <c r="AN2278" t="s">
        <v>7439</v>
      </c>
      <c r="AO2278">
        <v>34000</v>
      </c>
      <c r="AU2278">
        <v>18.4</v>
      </c>
      <c r="AV2278" t="s">
        <v>807</v>
      </c>
      <c r="AW2278" t="s">
        <v>46857</v>
      </c>
    </row>
    <row r="2279" spans="1:50">
      <c r="A2279" s="1">
        <f>HYPERLINK("https://lsnyc.legalserver.org/matter/dynamic-profile/view/1877169","18-1877169")</f>
        <v>0</v>
      </c>
      <c r="B2279" t="s">
        <v>118</v>
      </c>
      <c r="C2279" t="s">
        <v>341</v>
      </c>
      <c r="D2279" t="s">
        <v>576</v>
      </c>
      <c r="E2279" t="s">
        <v>452</v>
      </c>
      <c r="F2279" t="s">
        <v>2181</v>
      </c>
      <c r="G2279" t="s">
        <v>6361</v>
      </c>
      <c r="H2279" t="s">
        <v>11508</v>
      </c>
      <c r="I2279" t="s">
        <v>17643</v>
      </c>
      <c r="J2279" t="s">
        <v>18893</v>
      </c>
      <c r="K2279">
        <v>10029</v>
      </c>
      <c r="L2279" t="s">
        <v>18958</v>
      </c>
      <c r="M2279" t="s">
        <v>18958</v>
      </c>
      <c r="O2279" t="s">
        <v>18997</v>
      </c>
      <c r="P2279" t="s">
        <v>26564</v>
      </c>
      <c r="Q2279" t="s">
        <v>26570</v>
      </c>
      <c r="R2279" t="s">
        <v>26578</v>
      </c>
      <c r="S2279" t="s">
        <v>18959</v>
      </c>
      <c r="U2279" t="s">
        <v>26604</v>
      </c>
      <c r="V2279" t="s">
        <v>26610</v>
      </c>
      <c r="W2279" t="s">
        <v>411</v>
      </c>
      <c r="X2279">
        <v>1280</v>
      </c>
      <c r="Y2279" t="s">
        <v>26651</v>
      </c>
      <c r="Z2279" t="s">
        <v>26657</v>
      </c>
      <c r="AA2279" t="s">
        <v>26683</v>
      </c>
      <c r="AB2279" t="s">
        <v>28713</v>
      </c>
      <c r="AD2279" t="s">
        <v>38766</v>
      </c>
      <c r="AE2279">
        <v>8</v>
      </c>
      <c r="AF2279" t="s">
        <v>45541</v>
      </c>
      <c r="AG2279" t="s">
        <v>45556</v>
      </c>
      <c r="AH2279">
        <v>18</v>
      </c>
      <c r="AI2279">
        <v>1</v>
      </c>
      <c r="AJ2279">
        <v>0</v>
      </c>
      <c r="AK2279">
        <v>79.08</v>
      </c>
      <c r="AN2279" t="s">
        <v>45581</v>
      </c>
      <c r="AO2279">
        <v>9600</v>
      </c>
      <c r="AU2279">
        <v>0.65</v>
      </c>
      <c r="AV2279" t="s">
        <v>412</v>
      </c>
      <c r="AW2279" t="s">
        <v>46849</v>
      </c>
    </row>
    <row r="2280" spans="1:50">
      <c r="A2280" s="1">
        <f>HYPERLINK("https://lsnyc.legalserver.org/matter/dynamic-profile/view/1877362","18-1877362")</f>
        <v>0</v>
      </c>
      <c r="B2280" t="s">
        <v>118</v>
      </c>
      <c r="C2280" t="s">
        <v>341</v>
      </c>
      <c r="D2280" t="s">
        <v>578</v>
      </c>
      <c r="E2280" t="s">
        <v>452</v>
      </c>
      <c r="F2280" t="s">
        <v>871</v>
      </c>
      <c r="G2280" t="s">
        <v>5147</v>
      </c>
      <c r="H2280" t="s">
        <v>11509</v>
      </c>
      <c r="I2280" t="s">
        <v>17800</v>
      </c>
      <c r="J2280" t="s">
        <v>18893</v>
      </c>
      <c r="K2280">
        <v>10035</v>
      </c>
      <c r="L2280" t="s">
        <v>18958</v>
      </c>
      <c r="M2280" t="s">
        <v>18958</v>
      </c>
      <c r="N2280" t="s">
        <v>19037</v>
      </c>
      <c r="O2280" t="s">
        <v>26542</v>
      </c>
      <c r="P2280" t="s">
        <v>26564</v>
      </c>
      <c r="Q2280" t="s">
        <v>26570</v>
      </c>
      <c r="R2280" t="s">
        <v>26578</v>
      </c>
      <c r="S2280" t="s">
        <v>18959</v>
      </c>
      <c r="U2280" t="s">
        <v>26604</v>
      </c>
      <c r="V2280" t="s">
        <v>26610</v>
      </c>
      <c r="W2280" t="s">
        <v>411</v>
      </c>
      <c r="X2280">
        <v>3272</v>
      </c>
      <c r="Y2280" t="s">
        <v>26651</v>
      </c>
      <c r="Z2280" t="s">
        <v>26657</v>
      </c>
      <c r="AA2280" t="s">
        <v>26683</v>
      </c>
      <c r="AB2280" t="s">
        <v>28714</v>
      </c>
      <c r="AD2280" t="s">
        <v>38767</v>
      </c>
      <c r="AE2280">
        <v>448</v>
      </c>
      <c r="AF2280" t="s">
        <v>45541</v>
      </c>
      <c r="AG2280" t="s">
        <v>19330</v>
      </c>
      <c r="AH2280">
        <v>-1</v>
      </c>
      <c r="AI2280">
        <v>1</v>
      </c>
      <c r="AJ2280">
        <v>1</v>
      </c>
      <c r="AK2280">
        <v>164.28</v>
      </c>
      <c r="AN2280" t="s">
        <v>45581</v>
      </c>
      <c r="AO2280">
        <v>27040</v>
      </c>
      <c r="AU2280">
        <v>0.6</v>
      </c>
      <c r="AV2280" t="s">
        <v>452</v>
      </c>
      <c r="AW2280" t="s">
        <v>46849</v>
      </c>
    </row>
    <row r="2281" spans="1:50">
      <c r="A2281" s="1">
        <f>HYPERLINK("https://lsnyc.legalserver.org/matter/dynamic-profile/view/1877623","18-1877623")</f>
        <v>0</v>
      </c>
      <c r="B2281" t="s">
        <v>225</v>
      </c>
      <c r="C2281" t="s">
        <v>341</v>
      </c>
      <c r="D2281" t="s">
        <v>586</v>
      </c>
      <c r="E2281" t="s">
        <v>760</v>
      </c>
      <c r="F2281" t="s">
        <v>2182</v>
      </c>
      <c r="G2281" t="s">
        <v>6362</v>
      </c>
      <c r="H2281" t="s">
        <v>10104</v>
      </c>
      <c r="I2281" t="s">
        <v>17406</v>
      </c>
      <c r="J2281" t="s">
        <v>18893</v>
      </c>
      <c r="K2281">
        <v>10029</v>
      </c>
      <c r="L2281" t="s">
        <v>18958</v>
      </c>
      <c r="M2281" t="s">
        <v>18958</v>
      </c>
      <c r="N2281" t="s">
        <v>20686</v>
      </c>
      <c r="O2281" t="s">
        <v>26523</v>
      </c>
      <c r="P2281" t="s">
        <v>26560</v>
      </c>
      <c r="Q2281" t="s">
        <v>26568</v>
      </c>
      <c r="R2281" t="s">
        <v>26578</v>
      </c>
      <c r="S2281" t="s">
        <v>18959</v>
      </c>
      <c r="U2281" t="s">
        <v>26604</v>
      </c>
      <c r="V2281" t="s">
        <v>26610</v>
      </c>
      <c r="W2281" t="s">
        <v>411</v>
      </c>
      <c r="X2281">
        <v>1925</v>
      </c>
      <c r="Y2281" t="s">
        <v>26651</v>
      </c>
      <c r="Z2281" t="s">
        <v>26661</v>
      </c>
      <c r="AA2281" t="s">
        <v>26687</v>
      </c>
      <c r="AB2281" t="s">
        <v>27616</v>
      </c>
      <c r="AD2281" t="s">
        <v>38768</v>
      </c>
      <c r="AE2281">
        <v>38</v>
      </c>
      <c r="AF2281" t="s">
        <v>45543</v>
      </c>
      <c r="AG2281" t="s">
        <v>45556</v>
      </c>
      <c r="AH2281">
        <v>14</v>
      </c>
      <c r="AI2281">
        <v>2</v>
      </c>
      <c r="AJ2281">
        <v>2</v>
      </c>
      <c r="AK2281">
        <v>52.4</v>
      </c>
      <c r="AN2281" t="s">
        <v>45581</v>
      </c>
      <c r="AO2281">
        <v>13152</v>
      </c>
      <c r="AR2281" t="s">
        <v>46381</v>
      </c>
      <c r="AS2281" t="s">
        <v>46499</v>
      </c>
      <c r="AT2281" t="s">
        <v>46556</v>
      </c>
      <c r="AU2281">
        <v>25.14</v>
      </c>
      <c r="AV2281" t="s">
        <v>820</v>
      </c>
      <c r="AW2281" t="s">
        <v>46860</v>
      </c>
    </row>
    <row r="2282" spans="1:50">
      <c r="A2282" s="1">
        <f>HYPERLINK("https://lsnyc.legalserver.org/matter/dynamic-profile/view/1877995","18-1877995")</f>
        <v>0</v>
      </c>
      <c r="B2282" t="s">
        <v>147</v>
      </c>
      <c r="C2282" t="s">
        <v>340</v>
      </c>
      <c r="D2282" t="s">
        <v>572</v>
      </c>
      <c r="F2282" t="s">
        <v>2183</v>
      </c>
      <c r="G2282" t="s">
        <v>6363</v>
      </c>
      <c r="H2282" t="s">
        <v>11510</v>
      </c>
      <c r="I2282" t="s">
        <v>17343</v>
      </c>
      <c r="J2282" t="s">
        <v>18894</v>
      </c>
      <c r="K2282">
        <v>11226</v>
      </c>
      <c r="L2282" t="s">
        <v>18958</v>
      </c>
      <c r="M2282" t="s">
        <v>18958</v>
      </c>
      <c r="O2282" t="s">
        <v>26529</v>
      </c>
      <c r="P2282" t="s">
        <v>26562</v>
      </c>
      <c r="R2282" t="s">
        <v>26578</v>
      </c>
      <c r="S2282" t="s">
        <v>18958</v>
      </c>
      <c r="U2282" t="s">
        <v>26604</v>
      </c>
      <c r="V2282" t="s">
        <v>26610</v>
      </c>
      <c r="W2282" t="s">
        <v>411</v>
      </c>
      <c r="X2282">
        <v>923</v>
      </c>
      <c r="Y2282" t="s">
        <v>26652</v>
      </c>
      <c r="Z2282" t="s">
        <v>26663</v>
      </c>
      <c r="AB2282" t="s">
        <v>28715</v>
      </c>
      <c r="AC2282" t="s">
        <v>35194</v>
      </c>
      <c r="AD2282" t="s">
        <v>38769</v>
      </c>
      <c r="AE2282">
        <v>48</v>
      </c>
      <c r="AF2282" t="s">
        <v>45541</v>
      </c>
      <c r="AG2282" t="s">
        <v>19330</v>
      </c>
      <c r="AH2282">
        <v>19</v>
      </c>
      <c r="AI2282">
        <v>2</v>
      </c>
      <c r="AJ2282">
        <v>2</v>
      </c>
      <c r="AK2282">
        <v>101.71</v>
      </c>
      <c r="AN2282" t="s">
        <v>7439</v>
      </c>
      <c r="AO2282">
        <v>25528</v>
      </c>
      <c r="AU2282">
        <v>10.9</v>
      </c>
      <c r="AV2282" t="s">
        <v>768</v>
      </c>
      <c r="AW2282" t="s">
        <v>198</v>
      </c>
    </row>
    <row r="2283" spans="1:50">
      <c r="A2283" s="1">
        <f>HYPERLINK("https://lsnyc.legalserver.org/matter/dynamic-profile/view/1878114","18-1878114")</f>
        <v>0</v>
      </c>
      <c r="B2283" t="s">
        <v>119</v>
      </c>
      <c r="C2283" t="s">
        <v>341</v>
      </c>
      <c r="D2283" t="s">
        <v>534</v>
      </c>
      <c r="E2283" t="s">
        <v>795</v>
      </c>
      <c r="F2283" t="s">
        <v>2184</v>
      </c>
      <c r="G2283" t="s">
        <v>6364</v>
      </c>
      <c r="H2283" t="s">
        <v>11511</v>
      </c>
      <c r="I2283" t="s">
        <v>17801</v>
      </c>
      <c r="J2283" t="s">
        <v>18893</v>
      </c>
      <c r="K2283">
        <v>10029</v>
      </c>
      <c r="L2283" t="s">
        <v>18958</v>
      </c>
      <c r="M2283" t="s">
        <v>18958</v>
      </c>
      <c r="O2283" t="s">
        <v>26535</v>
      </c>
      <c r="P2283" t="s">
        <v>26561</v>
      </c>
      <c r="Q2283" t="s">
        <v>26568</v>
      </c>
      <c r="R2283" t="s">
        <v>26578</v>
      </c>
      <c r="S2283" t="s">
        <v>18959</v>
      </c>
      <c r="U2283" t="s">
        <v>26604</v>
      </c>
      <c r="V2283" t="s">
        <v>26610</v>
      </c>
      <c r="W2283" t="s">
        <v>411</v>
      </c>
      <c r="X2283">
        <v>1123</v>
      </c>
      <c r="Y2283" t="s">
        <v>26651</v>
      </c>
      <c r="Z2283" t="s">
        <v>26673</v>
      </c>
      <c r="AA2283" t="s">
        <v>26681</v>
      </c>
      <c r="AB2283" t="s">
        <v>28716</v>
      </c>
      <c r="AD2283" t="s">
        <v>38770</v>
      </c>
      <c r="AE2283">
        <v>180</v>
      </c>
      <c r="AF2283" t="s">
        <v>45550</v>
      </c>
      <c r="AG2283" t="s">
        <v>19330</v>
      </c>
      <c r="AH2283">
        <v>54</v>
      </c>
      <c r="AI2283">
        <v>2</v>
      </c>
      <c r="AJ2283">
        <v>0</v>
      </c>
      <c r="AK2283">
        <v>340</v>
      </c>
      <c r="AL2283" t="s">
        <v>415</v>
      </c>
      <c r="AM2283" t="s">
        <v>45575</v>
      </c>
      <c r="AN2283" t="s">
        <v>7439</v>
      </c>
      <c r="AO2283">
        <v>55964</v>
      </c>
      <c r="AQ2283" t="s">
        <v>46359</v>
      </c>
      <c r="AS2283" t="s">
        <v>46500</v>
      </c>
      <c r="AT2283" t="s">
        <v>46631</v>
      </c>
      <c r="AU2283">
        <v>55.5</v>
      </c>
      <c r="AV2283" t="s">
        <v>772</v>
      </c>
      <c r="AW2283" t="s">
        <v>46861</v>
      </c>
    </row>
    <row r="2284" spans="1:50">
      <c r="A2284" s="1">
        <f>HYPERLINK("https://lsnyc.legalserver.org/matter/dynamic-profile/view/1878069","18-1878069")</f>
        <v>0</v>
      </c>
      <c r="B2284" t="s">
        <v>155</v>
      </c>
      <c r="C2284" t="s">
        <v>340</v>
      </c>
      <c r="D2284" t="s">
        <v>534</v>
      </c>
      <c r="F2284" t="s">
        <v>2185</v>
      </c>
      <c r="G2284" t="s">
        <v>5121</v>
      </c>
      <c r="H2284" t="s">
        <v>11512</v>
      </c>
      <c r="I2284" t="s">
        <v>17306</v>
      </c>
      <c r="J2284" t="s">
        <v>18894</v>
      </c>
      <c r="K2284">
        <v>11217</v>
      </c>
      <c r="L2284" t="s">
        <v>18958</v>
      </c>
      <c r="M2284" t="s">
        <v>18958</v>
      </c>
      <c r="N2284" t="s">
        <v>20687</v>
      </c>
      <c r="O2284" t="s">
        <v>26523</v>
      </c>
      <c r="P2284" t="s">
        <v>26560</v>
      </c>
      <c r="R2284" t="s">
        <v>26578</v>
      </c>
      <c r="U2284" t="s">
        <v>26604</v>
      </c>
      <c r="W2284" t="s">
        <v>411</v>
      </c>
      <c r="X2284">
        <v>0</v>
      </c>
      <c r="Y2284" t="s">
        <v>26652</v>
      </c>
      <c r="AB2284" t="s">
        <v>28717</v>
      </c>
      <c r="AD2284" t="s">
        <v>38771</v>
      </c>
      <c r="AE2284">
        <v>8</v>
      </c>
      <c r="AF2284" t="s">
        <v>45541</v>
      </c>
      <c r="AH2284">
        <v>0</v>
      </c>
      <c r="AI2284">
        <v>2</v>
      </c>
      <c r="AJ2284">
        <v>0</v>
      </c>
      <c r="AK2284">
        <v>269.74</v>
      </c>
      <c r="AL2284" t="s">
        <v>614</v>
      </c>
      <c r="AM2284" t="s">
        <v>45575</v>
      </c>
      <c r="AN2284" t="s">
        <v>7439</v>
      </c>
      <c r="AO2284">
        <v>44400</v>
      </c>
      <c r="AU2284">
        <v>31.45</v>
      </c>
      <c r="AV2284" t="s">
        <v>727</v>
      </c>
      <c r="AW2284" t="s">
        <v>198</v>
      </c>
      <c r="AX2284" t="s">
        <v>46897</v>
      </c>
    </row>
    <row r="2285" spans="1:50">
      <c r="A2285" s="1">
        <f>HYPERLINK("https://lsnyc.legalserver.org/matter/dynamic-profile/view/1878210","18-1878210")</f>
        <v>0</v>
      </c>
      <c r="B2285" t="s">
        <v>152</v>
      </c>
      <c r="C2285" t="s">
        <v>341</v>
      </c>
      <c r="D2285" t="s">
        <v>451</v>
      </c>
      <c r="E2285" t="s">
        <v>646</v>
      </c>
      <c r="F2285" t="s">
        <v>996</v>
      </c>
      <c r="G2285" t="s">
        <v>6365</v>
      </c>
      <c r="H2285" t="s">
        <v>11513</v>
      </c>
      <c r="I2285" t="s">
        <v>17802</v>
      </c>
      <c r="J2285" t="s">
        <v>18892</v>
      </c>
      <c r="K2285">
        <v>10457</v>
      </c>
      <c r="L2285" t="s">
        <v>18958</v>
      </c>
      <c r="M2285" t="s">
        <v>18958</v>
      </c>
      <c r="O2285" t="s">
        <v>18997</v>
      </c>
      <c r="P2285" t="s">
        <v>26562</v>
      </c>
      <c r="Q2285" t="s">
        <v>26570</v>
      </c>
      <c r="R2285" t="s">
        <v>26578</v>
      </c>
      <c r="S2285" t="s">
        <v>18959</v>
      </c>
      <c r="U2285" t="s">
        <v>26604</v>
      </c>
      <c r="W2285" t="s">
        <v>411</v>
      </c>
      <c r="X2285">
        <v>0</v>
      </c>
      <c r="Y2285" t="s">
        <v>26650</v>
      </c>
      <c r="Z2285" t="s">
        <v>26663</v>
      </c>
      <c r="AA2285" t="s">
        <v>26683</v>
      </c>
      <c r="AB2285" t="s">
        <v>27391</v>
      </c>
      <c r="AC2285">
        <v>114505539</v>
      </c>
      <c r="AD2285" t="s">
        <v>38772</v>
      </c>
      <c r="AE2285">
        <v>32</v>
      </c>
      <c r="AF2285" t="s">
        <v>45541</v>
      </c>
      <c r="AG2285" t="s">
        <v>26530</v>
      </c>
      <c r="AH2285">
        <v>1</v>
      </c>
      <c r="AI2285">
        <v>1</v>
      </c>
      <c r="AJ2285">
        <v>0</v>
      </c>
      <c r="AK2285">
        <v>19.7</v>
      </c>
      <c r="AN2285" t="s">
        <v>7439</v>
      </c>
      <c r="AO2285">
        <v>2392</v>
      </c>
      <c r="AU2285">
        <v>1.4</v>
      </c>
      <c r="AV2285" t="s">
        <v>411</v>
      </c>
      <c r="AW2285" t="s">
        <v>46849</v>
      </c>
    </row>
    <row r="2286" spans="1:50">
      <c r="A2286" s="1">
        <f>HYPERLINK("https://lsnyc.legalserver.org/matter/dynamic-profile/view/1879285","18-1879285")</f>
        <v>0</v>
      </c>
      <c r="B2286" t="s">
        <v>137</v>
      </c>
      <c r="C2286" t="s">
        <v>341</v>
      </c>
      <c r="D2286" t="s">
        <v>575</v>
      </c>
      <c r="E2286" t="s">
        <v>706</v>
      </c>
      <c r="F2286" t="s">
        <v>918</v>
      </c>
      <c r="G2286" t="s">
        <v>1725</v>
      </c>
      <c r="H2286" t="s">
        <v>11514</v>
      </c>
      <c r="I2286" t="s">
        <v>17410</v>
      </c>
      <c r="J2286" t="s">
        <v>18892</v>
      </c>
      <c r="K2286">
        <v>10467</v>
      </c>
      <c r="L2286" t="s">
        <v>18958</v>
      </c>
      <c r="M2286" t="s">
        <v>18958</v>
      </c>
      <c r="N2286" t="s">
        <v>20688</v>
      </c>
      <c r="O2286" t="s">
        <v>26523</v>
      </c>
      <c r="P2286" t="s">
        <v>26560</v>
      </c>
      <c r="Q2286" t="s">
        <v>26568</v>
      </c>
      <c r="R2286" t="s">
        <v>26579</v>
      </c>
      <c r="S2286" t="s">
        <v>18959</v>
      </c>
      <c r="U2286" t="s">
        <v>26604</v>
      </c>
      <c r="V2286" t="s">
        <v>26609</v>
      </c>
      <c r="W2286" t="s">
        <v>411</v>
      </c>
      <c r="X2286">
        <v>1030.2</v>
      </c>
      <c r="Y2286" t="s">
        <v>26650</v>
      </c>
      <c r="Z2286" t="s">
        <v>26664</v>
      </c>
      <c r="AA2286" t="s">
        <v>26678</v>
      </c>
      <c r="AB2286" t="s">
        <v>27711</v>
      </c>
      <c r="AD2286" t="s">
        <v>38773</v>
      </c>
      <c r="AE2286">
        <v>6</v>
      </c>
      <c r="AF2286" t="s">
        <v>45541</v>
      </c>
      <c r="AG2286" t="s">
        <v>19330</v>
      </c>
      <c r="AH2286">
        <v>4</v>
      </c>
      <c r="AI2286">
        <v>1</v>
      </c>
      <c r="AJ2286">
        <v>1</v>
      </c>
      <c r="AK2286">
        <v>252.73</v>
      </c>
      <c r="AL2286" t="s">
        <v>787</v>
      </c>
      <c r="AM2286" t="s">
        <v>45575</v>
      </c>
      <c r="AN2286" t="s">
        <v>7439</v>
      </c>
      <c r="AO2286">
        <v>41600</v>
      </c>
      <c r="AP2286" t="s">
        <v>45641</v>
      </c>
      <c r="AR2286" t="s">
        <v>46379</v>
      </c>
      <c r="AS2286" t="s">
        <v>46499</v>
      </c>
      <c r="AT2286" t="s">
        <v>46738</v>
      </c>
      <c r="AU2286">
        <v>8.699999999999999</v>
      </c>
      <c r="AV2286" t="s">
        <v>710</v>
      </c>
      <c r="AW2286" t="s">
        <v>46847</v>
      </c>
    </row>
    <row r="2287" spans="1:50">
      <c r="A2287" s="1">
        <f>HYPERLINK("https://lsnyc.legalserver.org/matter/dynamic-profile/view/1879719","18-1879719")</f>
        <v>0</v>
      </c>
      <c r="B2287" t="s">
        <v>145</v>
      </c>
      <c r="C2287" t="s">
        <v>341</v>
      </c>
      <c r="D2287" t="s">
        <v>411</v>
      </c>
      <c r="E2287" t="s">
        <v>690</v>
      </c>
      <c r="F2287" t="s">
        <v>2186</v>
      </c>
      <c r="G2287" t="s">
        <v>6366</v>
      </c>
      <c r="H2287" t="s">
        <v>11515</v>
      </c>
      <c r="I2287" t="s">
        <v>17334</v>
      </c>
      <c r="J2287" t="s">
        <v>18902</v>
      </c>
      <c r="K2287">
        <v>10303</v>
      </c>
      <c r="L2287" t="s">
        <v>18958</v>
      </c>
      <c r="M2287" t="s">
        <v>18958</v>
      </c>
      <c r="N2287" t="s">
        <v>20689</v>
      </c>
      <c r="O2287" t="s">
        <v>26524</v>
      </c>
      <c r="P2287" t="s">
        <v>26560</v>
      </c>
      <c r="Q2287" t="s">
        <v>26568</v>
      </c>
      <c r="R2287" t="s">
        <v>26590</v>
      </c>
      <c r="S2287" t="s">
        <v>18959</v>
      </c>
      <c r="U2287" t="s">
        <v>26604</v>
      </c>
      <c r="V2287" t="s">
        <v>26610</v>
      </c>
      <c r="W2287" t="s">
        <v>411</v>
      </c>
      <c r="X2287">
        <v>1485</v>
      </c>
      <c r="Y2287" t="s">
        <v>26654</v>
      </c>
      <c r="Z2287" t="s">
        <v>26668</v>
      </c>
      <c r="AA2287" t="s">
        <v>26679</v>
      </c>
      <c r="AB2287" t="s">
        <v>28718</v>
      </c>
      <c r="AE2287">
        <v>4</v>
      </c>
      <c r="AF2287" t="s">
        <v>45547</v>
      </c>
      <c r="AG2287" t="s">
        <v>45556</v>
      </c>
      <c r="AH2287">
        <v>4</v>
      </c>
      <c r="AI2287">
        <v>2</v>
      </c>
      <c r="AJ2287">
        <v>0</v>
      </c>
      <c r="AK2287">
        <v>4.47</v>
      </c>
      <c r="AN2287" t="s">
        <v>7439</v>
      </c>
      <c r="AO2287">
        <v>735</v>
      </c>
      <c r="AU2287">
        <v>3.1</v>
      </c>
      <c r="AV2287" t="s">
        <v>699</v>
      </c>
      <c r="AW2287" t="s">
        <v>190</v>
      </c>
    </row>
    <row r="2288" spans="1:50">
      <c r="A2288" s="1">
        <f>HYPERLINK("https://lsnyc.legalserver.org/matter/dynamic-profile/view/1879612","18-1879612")</f>
        <v>0</v>
      </c>
      <c r="B2288" t="s">
        <v>58</v>
      </c>
      <c r="C2288" t="s">
        <v>341</v>
      </c>
      <c r="D2288" t="s">
        <v>411</v>
      </c>
      <c r="E2288" t="s">
        <v>826</v>
      </c>
      <c r="F2288" t="s">
        <v>2187</v>
      </c>
      <c r="G2288" t="s">
        <v>6367</v>
      </c>
      <c r="H2288" t="s">
        <v>11516</v>
      </c>
      <c r="J2288" t="s">
        <v>18892</v>
      </c>
      <c r="K2288">
        <v>10472</v>
      </c>
      <c r="L2288" t="s">
        <v>18958</v>
      </c>
      <c r="M2288" t="s">
        <v>18958</v>
      </c>
      <c r="N2288" t="s">
        <v>20690</v>
      </c>
      <c r="O2288" t="s">
        <v>26523</v>
      </c>
      <c r="P2288" t="s">
        <v>26560</v>
      </c>
      <c r="Q2288" t="s">
        <v>26568</v>
      </c>
      <c r="R2288" t="s">
        <v>26577</v>
      </c>
      <c r="S2288" t="s">
        <v>18959</v>
      </c>
      <c r="U2288" t="s">
        <v>26604</v>
      </c>
      <c r="W2288" t="s">
        <v>411</v>
      </c>
      <c r="X2288">
        <v>1400</v>
      </c>
      <c r="Y2288" t="s">
        <v>26650</v>
      </c>
      <c r="Z2288" t="s">
        <v>26668</v>
      </c>
      <c r="AA2288" t="s">
        <v>26678</v>
      </c>
      <c r="AB2288" t="s">
        <v>28719</v>
      </c>
      <c r="AC2288" t="s">
        <v>35195</v>
      </c>
      <c r="AD2288" t="s">
        <v>38774</v>
      </c>
      <c r="AE2288">
        <v>2</v>
      </c>
      <c r="AF2288" t="s">
        <v>45547</v>
      </c>
      <c r="AG2288" t="s">
        <v>45560</v>
      </c>
      <c r="AH2288">
        <v>8</v>
      </c>
      <c r="AI2288">
        <v>3</v>
      </c>
      <c r="AJ2288">
        <v>0</v>
      </c>
      <c r="AK2288">
        <v>66.41</v>
      </c>
      <c r="AN2288" t="s">
        <v>45592</v>
      </c>
      <c r="AO2288">
        <v>13800</v>
      </c>
      <c r="AQ2288" t="s">
        <v>46365</v>
      </c>
      <c r="AR2288" t="s">
        <v>46458</v>
      </c>
      <c r="AS2288" t="s">
        <v>46499</v>
      </c>
      <c r="AT2288" t="s">
        <v>46692</v>
      </c>
      <c r="AU2288">
        <v>24.95</v>
      </c>
      <c r="AV2288" t="s">
        <v>826</v>
      </c>
      <c r="AW2288" t="s">
        <v>46854</v>
      </c>
    </row>
    <row r="2289" spans="1:50">
      <c r="A2289" s="1">
        <f>HYPERLINK("https://lsnyc.legalserver.org/matter/dynamic-profile/view/1879709","18-1879709")</f>
        <v>0</v>
      </c>
      <c r="B2289" t="s">
        <v>203</v>
      </c>
      <c r="C2289" t="s">
        <v>341</v>
      </c>
      <c r="D2289" t="s">
        <v>411</v>
      </c>
      <c r="E2289" t="s">
        <v>494</v>
      </c>
      <c r="F2289" t="s">
        <v>899</v>
      </c>
      <c r="G2289" t="s">
        <v>6368</v>
      </c>
      <c r="H2289" t="s">
        <v>11517</v>
      </c>
      <c r="I2289">
        <v>423</v>
      </c>
      <c r="J2289" t="s">
        <v>18894</v>
      </c>
      <c r="K2289">
        <v>11225</v>
      </c>
      <c r="L2289" t="s">
        <v>18958</v>
      </c>
      <c r="M2289" t="s">
        <v>18960</v>
      </c>
      <c r="N2289" t="s">
        <v>20691</v>
      </c>
      <c r="O2289" t="s">
        <v>26523</v>
      </c>
      <c r="P2289" t="s">
        <v>26564</v>
      </c>
      <c r="Q2289" t="s">
        <v>26570</v>
      </c>
      <c r="R2289" t="s">
        <v>26588</v>
      </c>
      <c r="U2289" t="s">
        <v>26604</v>
      </c>
      <c r="W2289" t="s">
        <v>411</v>
      </c>
      <c r="X2289">
        <v>1516</v>
      </c>
      <c r="Y2289" t="s">
        <v>26652</v>
      </c>
      <c r="Z2289" t="s">
        <v>26671</v>
      </c>
      <c r="AA2289" t="s">
        <v>26683</v>
      </c>
      <c r="AB2289" t="s">
        <v>28720</v>
      </c>
      <c r="AD2289" t="s">
        <v>38775</v>
      </c>
      <c r="AE2289">
        <v>30</v>
      </c>
      <c r="AF2289" t="s">
        <v>20460</v>
      </c>
      <c r="AH2289">
        <v>3</v>
      </c>
      <c r="AI2289">
        <v>1</v>
      </c>
      <c r="AJ2289">
        <v>2</v>
      </c>
      <c r="AK2289">
        <v>58.7</v>
      </c>
      <c r="AN2289" t="s">
        <v>7439</v>
      </c>
      <c r="AO2289">
        <v>12198</v>
      </c>
      <c r="AU2289">
        <v>0.1</v>
      </c>
      <c r="AV2289" t="s">
        <v>458</v>
      </c>
      <c r="AW2289" t="s">
        <v>46856</v>
      </c>
    </row>
    <row r="2290" spans="1:50">
      <c r="A2290" s="1">
        <f>HYPERLINK("https://lsnyc.legalserver.org/matter/dynamic-profile/view/1879705","18-1879705")</f>
        <v>0</v>
      </c>
      <c r="B2290" t="s">
        <v>120</v>
      </c>
      <c r="C2290" t="s">
        <v>341</v>
      </c>
      <c r="D2290" t="s">
        <v>411</v>
      </c>
      <c r="E2290" t="s">
        <v>825</v>
      </c>
      <c r="F2290" t="s">
        <v>1244</v>
      </c>
      <c r="G2290" t="s">
        <v>6369</v>
      </c>
      <c r="H2290" t="s">
        <v>10085</v>
      </c>
      <c r="I2290" t="s">
        <v>17803</v>
      </c>
      <c r="J2290" t="s">
        <v>18892</v>
      </c>
      <c r="K2290">
        <v>10468</v>
      </c>
      <c r="L2290" t="s">
        <v>18958</v>
      </c>
      <c r="M2290" t="s">
        <v>18958</v>
      </c>
      <c r="N2290" t="s">
        <v>20692</v>
      </c>
      <c r="O2290" t="s">
        <v>26523</v>
      </c>
      <c r="P2290" t="s">
        <v>26560</v>
      </c>
      <c r="Q2290" t="s">
        <v>26568</v>
      </c>
      <c r="R2290" t="s">
        <v>26579</v>
      </c>
      <c r="S2290" t="s">
        <v>18959</v>
      </c>
      <c r="U2290" t="s">
        <v>26604</v>
      </c>
      <c r="V2290" t="s">
        <v>26610</v>
      </c>
      <c r="W2290" t="s">
        <v>411</v>
      </c>
      <c r="X2290">
        <v>1300</v>
      </c>
      <c r="Y2290" t="s">
        <v>26650</v>
      </c>
      <c r="Z2290" t="s">
        <v>26669</v>
      </c>
      <c r="AA2290" t="s">
        <v>26678</v>
      </c>
      <c r="AB2290" t="s">
        <v>28721</v>
      </c>
      <c r="AC2290" t="s">
        <v>35196</v>
      </c>
      <c r="AD2290" t="s">
        <v>38776</v>
      </c>
      <c r="AE2290">
        <v>42</v>
      </c>
      <c r="AF2290" t="s">
        <v>45541</v>
      </c>
      <c r="AG2290" t="s">
        <v>19330</v>
      </c>
      <c r="AH2290">
        <v>2</v>
      </c>
      <c r="AI2290">
        <v>2</v>
      </c>
      <c r="AJ2290">
        <v>1</v>
      </c>
      <c r="AK2290">
        <v>0</v>
      </c>
      <c r="AN2290" t="s">
        <v>45581</v>
      </c>
      <c r="AO2290">
        <v>0</v>
      </c>
      <c r="AQ2290" t="s">
        <v>46361</v>
      </c>
      <c r="AR2290" t="s">
        <v>46381</v>
      </c>
      <c r="AS2290" t="s">
        <v>46499</v>
      </c>
      <c r="AT2290" t="s">
        <v>46643</v>
      </c>
      <c r="AU2290">
        <v>14.5</v>
      </c>
      <c r="AV2290" t="s">
        <v>789</v>
      </c>
      <c r="AW2290" t="s">
        <v>46847</v>
      </c>
    </row>
    <row r="2291" spans="1:50">
      <c r="A2291" s="1">
        <f>HYPERLINK("https://lsnyc.legalserver.org/matter/dynamic-profile/view/1879610","18-1879610")</f>
        <v>0</v>
      </c>
      <c r="B2291" t="s">
        <v>103</v>
      </c>
      <c r="C2291" t="s">
        <v>341</v>
      </c>
      <c r="D2291" t="s">
        <v>411</v>
      </c>
      <c r="E2291" t="s">
        <v>788</v>
      </c>
      <c r="F2291" t="s">
        <v>1328</v>
      </c>
      <c r="G2291" t="s">
        <v>6370</v>
      </c>
      <c r="H2291" t="s">
        <v>11518</v>
      </c>
      <c r="I2291" t="s">
        <v>17457</v>
      </c>
      <c r="J2291" t="s">
        <v>18902</v>
      </c>
      <c r="K2291">
        <v>10314</v>
      </c>
      <c r="L2291" t="s">
        <v>18958</v>
      </c>
      <c r="M2291" t="s">
        <v>18958</v>
      </c>
      <c r="N2291" t="s">
        <v>20693</v>
      </c>
      <c r="O2291" t="s">
        <v>26524</v>
      </c>
      <c r="P2291" t="s">
        <v>26560</v>
      </c>
      <c r="Q2291" t="s">
        <v>26568</v>
      </c>
      <c r="R2291" t="s">
        <v>26590</v>
      </c>
      <c r="S2291" t="s">
        <v>18959</v>
      </c>
      <c r="U2291" t="s">
        <v>26604</v>
      </c>
      <c r="V2291" t="s">
        <v>26610</v>
      </c>
      <c r="W2291" t="s">
        <v>411</v>
      </c>
      <c r="X2291">
        <v>0</v>
      </c>
      <c r="Y2291" t="s">
        <v>26654</v>
      </c>
      <c r="Z2291" t="s">
        <v>26668</v>
      </c>
      <c r="AA2291" t="s">
        <v>26678</v>
      </c>
      <c r="AB2291" t="s">
        <v>28722</v>
      </c>
      <c r="AD2291" t="s">
        <v>38777</v>
      </c>
      <c r="AE2291">
        <v>72</v>
      </c>
      <c r="AF2291" t="s">
        <v>45541</v>
      </c>
      <c r="AH2291">
        <v>21</v>
      </c>
      <c r="AI2291">
        <v>3</v>
      </c>
      <c r="AJ2291">
        <v>0</v>
      </c>
      <c r="AK2291">
        <v>92.40000000000001</v>
      </c>
      <c r="AN2291" t="s">
        <v>7439</v>
      </c>
      <c r="AO2291">
        <v>19200</v>
      </c>
      <c r="AQ2291" t="s">
        <v>46362</v>
      </c>
      <c r="AR2291" t="s">
        <v>46459</v>
      </c>
      <c r="AS2291" t="s">
        <v>46499</v>
      </c>
      <c r="AT2291" t="s">
        <v>46679</v>
      </c>
      <c r="AU2291">
        <v>11.2</v>
      </c>
      <c r="AV2291" t="s">
        <v>788</v>
      </c>
      <c r="AW2291" t="s">
        <v>190</v>
      </c>
    </row>
    <row r="2292" spans="1:50">
      <c r="A2292" s="1">
        <f>HYPERLINK("https://lsnyc.legalserver.org/matter/dynamic-profile/view/1879642","18-1879642")</f>
        <v>0</v>
      </c>
      <c r="B2292" t="s">
        <v>226</v>
      </c>
      <c r="C2292" t="s">
        <v>341</v>
      </c>
      <c r="D2292" t="s">
        <v>411</v>
      </c>
      <c r="E2292" t="s">
        <v>684</v>
      </c>
      <c r="F2292" t="s">
        <v>916</v>
      </c>
      <c r="G2292" t="s">
        <v>5147</v>
      </c>
      <c r="H2292" t="s">
        <v>11519</v>
      </c>
      <c r="I2292" t="s">
        <v>17284</v>
      </c>
      <c r="J2292" t="s">
        <v>18892</v>
      </c>
      <c r="K2292">
        <v>10459</v>
      </c>
      <c r="L2292" t="s">
        <v>18958</v>
      </c>
      <c r="M2292" t="s">
        <v>18958</v>
      </c>
      <c r="O2292" t="s">
        <v>18997</v>
      </c>
      <c r="P2292" t="s">
        <v>26564</v>
      </c>
      <c r="Q2292" t="s">
        <v>26570</v>
      </c>
      <c r="R2292" t="s">
        <v>26578</v>
      </c>
      <c r="S2292" t="s">
        <v>18959</v>
      </c>
      <c r="U2292" t="s">
        <v>26604</v>
      </c>
      <c r="W2292" t="s">
        <v>411</v>
      </c>
      <c r="X2292">
        <v>678.54</v>
      </c>
      <c r="Y2292" t="s">
        <v>26650</v>
      </c>
      <c r="AA2292" t="s">
        <v>26683</v>
      </c>
      <c r="AB2292" t="s">
        <v>28723</v>
      </c>
      <c r="AD2292" t="s">
        <v>38778</v>
      </c>
      <c r="AE2292">
        <v>0</v>
      </c>
      <c r="AF2292" t="s">
        <v>45541</v>
      </c>
      <c r="AG2292" t="s">
        <v>45559</v>
      </c>
      <c r="AH2292">
        <v>35</v>
      </c>
      <c r="AI2292">
        <v>2</v>
      </c>
      <c r="AJ2292">
        <v>0</v>
      </c>
      <c r="AK2292">
        <v>85.66</v>
      </c>
      <c r="AN2292" t="s">
        <v>45581</v>
      </c>
      <c r="AO2292">
        <v>14100</v>
      </c>
      <c r="AU2292">
        <v>4.5</v>
      </c>
      <c r="AV2292" t="s">
        <v>684</v>
      </c>
      <c r="AW2292" t="s">
        <v>226</v>
      </c>
    </row>
    <row r="2293" spans="1:50">
      <c r="A2293" s="1">
        <f>HYPERLINK("https://lsnyc.legalserver.org/matter/dynamic-profile/view/1879019","18-1879019")</f>
        <v>0</v>
      </c>
      <c r="B2293" t="s">
        <v>109</v>
      </c>
      <c r="C2293" t="s">
        <v>340</v>
      </c>
      <c r="D2293" t="s">
        <v>411</v>
      </c>
      <c r="F2293" t="s">
        <v>2188</v>
      </c>
      <c r="G2293" t="s">
        <v>5393</v>
      </c>
      <c r="H2293" t="s">
        <v>10200</v>
      </c>
      <c r="J2293" t="s">
        <v>18902</v>
      </c>
      <c r="K2293">
        <v>10301</v>
      </c>
      <c r="L2293" t="s">
        <v>18958</v>
      </c>
      <c r="M2293" t="s">
        <v>18958</v>
      </c>
      <c r="N2293" t="s">
        <v>20694</v>
      </c>
      <c r="O2293" t="s">
        <v>26523</v>
      </c>
      <c r="P2293" t="s">
        <v>26560</v>
      </c>
      <c r="R2293" t="s">
        <v>26587</v>
      </c>
      <c r="S2293" t="s">
        <v>18959</v>
      </c>
      <c r="U2293" t="s">
        <v>26604</v>
      </c>
      <c r="W2293" t="s">
        <v>411</v>
      </c>
      <c r="X2293">
        <v>1550</v>
      </c>
      <c r="Y2293" t="s">
        <v>26654</v>
      </c>
      <c r="Z2293" t="s">
        <v>26661</v>
      </c>
      <c r="AB2293" t="s">
        <v>28724</v>
      </c>
      <c r="AD2293" t="s">
        <v>38779</v>
      </c>
      <c r="AE2293">
        <v>224</v>
      </c>
      <c r="AG2293" t="s">
        <v>19330</v>
      </c>
      <c r="AH2293">
        <v>3</v>
      </c>
      <c r="AI2293">
        <v>1</v>
      </c>
      <c r="AJ2293">
        <v>1</v>
      </c>
      <c r="AK2293">
        <v>120.05</v>
      </c>
      <c r="AO2293">
        <v>19760</v>
      </c>
      <c r="AU2293">
        <v>17.45</v>
      </c>
      <c r="AV2293" t="s">
        <v>793</v>
      </c>
      <c r="AW2293" t="s">
        <v>190</v>
      </c>
    </row>
    <row r="2294" spans="1:50">
      <c r="A2294" s="1">
        <f>HYPERLINK("https://lsnyc.legalserver.org/matter/dynamic-profile/view/1879664","18-1879664")</f>
        <v>0</v>
      </c>
      <c r="B2294" t="s">
        <v>81</v>
      </c>
      <c r="C2294" t="s">
        <v>340</v>
      </c>
      <c r="D2294" t="s">
        <v>411</v>
      </c>
      <c r="F2294" t="s">
        <v>2189</v>
      </c>
      <c r="G2294" t="s">
        <v>6371</v>
      </c>
      <c r="H2294" t="s">
        <v>11520</v>
      </c>
      <c r="I2294">
        <v>3</v>
      </c>
      <c r="J2294" t="s">
        <v>18892</v>
      </c>
      <c r="K2294">
        <v>10467</v>
      </c>
      <c r="L2294" t="s">
        <v>18958</v>
      </c>
      <c r="M2294" t="s">
        <v>18958</v>
      </c>
      <c r="N2294" t="s">
        <v>20695</v>
      </c>
      <c r="O2294" t="s">
        <v>26523</v>
      </c>
      <c r="P2294" t="s">
        <v>26560</v>
      </c>
      <c r="R2294" t="s">
        <v>26579</v>
      </c>
      <c r="S2294" t="s">
        <v>18959</v>
      </c>
      <c r="U2294" t="s">
        <v>26604</v>
      </c>
      <c r="V2294" t="s">
        <v>26610</v>
      </c>
      <c r="W2294" t="s">
        <v>411</v>
      </c>
      <c r="X2294">
        <v>1900</v>
      </c>
      <c r="Y2294" t="s">
        <v>26650</v>
      </c>
      <c r="Z2294" t="s">
        <v>26659</v>
      </c>
      <c r="AB2294" t="s">
        <v>28725</v>
      </c>
      <c r="AC2294" t="s">
        <v>35197</v>
      </c>
      <c r="AD2294" t="s">
        <v>38780</v>
      </c>
      <c r="AE2294">
        <v>3</v>
      </c>
      <c r="AF2294" t="s">
        <v>45547</v>
      </c>
      <c r="AG2294" t="s">
        <v>19330</v>
      </c>
      <c r="AH2294">
        <v>2</v>
      </c>
      <c r="AI2294">
        <v>1</v>
      </c>
      <c r="AJ2294">
        <v>0</v>
      </c>
      <c r="AK2294">
        <v>187.02</v>
      </c>
      <c r="AN2294" t="s">
        <v>7439</v>
      </c>
      <c r="AO2294">
        <v>22704</v>
      </c>
      <c r="AU2294">
        <v>27.65</v>
      </c>
      <c r="AV2294" t="s">
        <v>809</v>
      </c>
      <c r="AW2294" t="s">
        <v>46841</v>
      </c>
      <c r="AX2294" t="s">
        <v>46898</v>
      </c>
    </row>
    <row r="2295" spans="1:50">
      <c r="A2295" s="1">
        <f>HYPERLINK("https://lsnyc.legalserver.org/matter/dynamic-profile/view/1879635","18-1879635")</f>
        <v>0</v>
      </c>
      <c r="B2295" t="s">
        <v>56</v>
      </c>
      <c r="C2295" t="s">
        <v>340</v>
      </c>
      <c r="D2295" t="s">
        <v>411</v>
      </c>
      <c r="F2295" t="s">
        <v>2190</v>
      </c>
      <c r="G2295" t="s">
        <v>6372</v>
      </c>
      <c r="H2295" t="s">
        <v>11521</v>
      </c>
      <c r="I2295" t="s">
        <v>17804</v>
      </c>
      <c r="J2295" t="s">
        <v>18892</v>
      </c>
      <c r="K2295">
        <v>10457</v>
      </c>
      <c r="L2295" t="s">
        <v>18958</v>
      </c>
      <c r="M2295" t="s">
        <v>18958</v>
      </c>
      <c r="N2295" t="s">
        <v>20696</v>
      </c>
      <c r="O2295" t="s">
        <v>26523</v>
      </c>
      <c r="P2295" t="s">
        <v>26560</v>
      </c>
      <c r="R2295" t="s">
        <v>26579</v>
      </c>
      <c r="U2295" t="s">
        <v>26604</v>
      </c>
      <c r="W2295" t="s">
        <v>411</v>
      </c>
      <c r="X2295">
        <v>1050</v>
      </c>
      <c r="Y2295" t="s">
        <v>26650</v>
      </c>
      <c r="Z2295" t="s">
        <v>26659</v>
      </c>
      <c r="AB2295" t="s">
        <v>27135</v>
      </c>
      <c r="AC2295">
        <v>6682660</v>
      </c>
      <c r="AD2295" t="s">
        <v>38781</v>
      </c>
      <c r="AE2295">
        <v>0</v>
      </c>
      <c r="AF2295" t="s">
        <v>45541</v>
      </c>
      <c r="AH2295">
        <v>3</v>
      </c>
      <c r="AI2295">
        <v>1</v>
      </c>
      <c r="AJ2295">
        <v>2</v>
      </c>
      <c r="AK2295">
        <v>107.99</v>
      </c>
      <c r="AN2295" t="s">
        <v>7439</v>
      </c>
      <c r="AO2295">
        <v>22440</v>
      </c>
      <c r="AU2295">
        <v>5</v>
      </c>
      <c r="AV2295" t="s">
        <v>643</v>
      </c>
      <c r="AW2295" t="s">
        <v>46836</v>
      </c>
    </row>
    <row r="2296" spans="1:50">
      <c r="A2296" s="1">
        <f>HYPERLINK("https://lsnyc.legalserver.org/matter/dynamic-profile/view/1879692","18-1879692")</f>
        <v>0</v>
      </c>
      <c r="B2296" t="s">
        <v>56</v>
      </c>
      <c r="C2296" t="s">
        <v>340</v>
      </c>
      <c r="D2296" t="s">
        <v>411</v>
      </c>
      <c r="F2296" t="s">
        <v>1364</v>
      </c>
      <c r="G2296" t="s">
        <v>6373</v>
      </c>
      <c r="H2296" t="s">
        <v>11522</v>
      </c>
      <c r="I2296" t="s">
        <v>17410</v>
      </c>
      <c r="J2296" t="s">
        <v>18892</v>
      </c>
      <c r="K2296">
        <v>10467</v>
      </c>
      <c r="L2296" t="s">
        <v>18958</v>
      </c>
      <c r="M2296" t="s">
        <v>18958</v>
      </c>
      <c r="N2296" t="s">
        <v>20697</v>
      </c>
      <c r="O2296" t="s">
        <v>26523</v>
      </c>
      <c r="P2296" t="s">
        <v>26560</v>
      </c>
      <c r="R2296" t="s">
        <v>26579</v>
      </c>
      <c r="U2296" t="s">
        <v>26604</v>
      </c>
      <c r="V2296" t="s">
        <v>26609</v>
      </c>
      <c r="W2296" t="s">
        <v>411</v>
      </c>
      <c r="X2296">
        <v>1321</v>
      </c>
      <c r="Y2296" t="s">
        <v>26650</v>
      </c>
      <c r="Z2296" t="s">
        <v>26664</v>
      </c>
      <c r="AB2296" t="s">
        <v>28726</v>
      </c>
      <c r="AD2296" t="s">
        <v>38782</v>
      </c>
      <c r="AE2296">
        <v>0</v>
      </c>
      <c r="AF2296" t="s">
        <v>45541</v>
      </c>
      <c r="AG2296" t="s">
        <v>19330</v>
      </c>
      <c r="AH2296">
        <v>3</v>
      </c>
      <c r="AI2296">
        <v>2</v>
      </c>
      <c r="AJ2296">
        <v>0</v>
      </c>
      <c r="AK2296">
        <v>126.49</v>
      </c>
      <c r="AN2296" t="s">
        <v>45581</v>
      </c>
      <c r="AO2296">
        <v>20820</v>
      </c>
      <c r="AU2296">
        <v>9.449999999999999</v>
      </c>
      <c r="AV2296" t="s">
        <v>780</v>
      </c>
      <c r="AW2296" t="s">
        <v>46871</v>
      </c>
    </row>
    <row r="2297" spans="1:50">
      <c r="A2297" s="1">
        <f>HYPERLINK("https://lsnyc.legalserver.org/matter/dynamic-profile/view/1879699","18-1879699")</f>
        <v>0</v>
      </c>
      <c r="B2297" t="s">
        <v>120</v>
      </c>
      <c r="C2297" t="s">
        <v>340</v>
      </c>
      <c r="D2297" t="s">
        <v>411</v>
      </c>
      <c r="F2297" t="s">
        <v>2191</v>
      </c>
      <c r="G2297" t="s">
        <v>6374</v>
      </c>
      <c r="H2297" t="s">
        <v>11523</v>
      </c>
      <c r="I2297">
        <v>10</v>
      </c>
      <c r="J2297" t="s">
        <v>18892</v>
      </c>
      <c r="K2297">
        <v>10469</v>
      </c>
      <c r="L2297" t="s">
        <v>18958</v>
      </c>
      <c r="M2297" t="s">
        <v>18958</v>
      </c>
      <c r="N2297" t="s">
        <v>20698</v>
      </c>
      <c r="O2297" t="s">
        <v>26523</v>
      </c>
      <c r="P2297" t="s">
        <v>26560</v>
      </c>
      <c r="R2297" t="s">
        <v>26577</v>
      </c>
      <c r="S2297" t="s">
        <v>18959</v>
      </c>
      <c r="U2297" t="s">
        <v>26604</v>
      </c>
      <c r="V2297" t="s">
        <v>26610</v>
      </c>
      <c r="W2297" t="s">
        <v>411</v>
      </c>
      <c r="X2297">
        <v>1400</v>
      </c>
      <c r="Y2297" t="s">
        <v>26650</v>
      </c>
      <c r="Z2297" t="s">
        <v>26664</v>
      </c>
      <c r="AB2297" t="s">
        <v>28727</v>
      </c>
      <c r="AD2297" t="s">
        <v>38783</v>
      </c>
      <c r="AE2297">
        <v>30</v>
      </c>
      <c r="AF2297" t="s">
        <v>45541</v>
      </c>
      <c r="AG2297" t="s">
        <v>19330</v>
      </c>
      <c r="AH2297">
        <v>1</v>
      </c>
      <c r="AI2297">
        <v>2</v>
      </c>
      <c r="AJ2297">
        <v>0</v>
      </c>
      <c r="AK2297">
        <v>0</v>
      </c>
      <c r="AN2297" t="s">
        <v>7439</v>
      </c>
      <c r="AO2297">
        <v>0</v>
      </c>
      <c r="AQ2297" t="s">
        <v>46368</v>
      </c>
      <c r="AR2297" t="s">
        <v>26530</v>
      </c>
      <c r="AS2297" t="s">
        <v>46500</v>
      </c>
      <c r="AT2297" t="s">
        <v>46586</v>
      </c>
      <c r="AU2297">
        <v>7.4</v>
      </c>
      <c r="AV2297" t="s">
        <v>779</v>
      </c>
      <c r="AW2297" t="s">
        <v>46847</v>
      </c>
    </row>
    <row r="2298" spans="1:50">
      <c r="A2298" s="1">
        <f>HYPERLINK("https://lsnyc.legalserver.org/matter/dynamic-profile/view/1879686","18-1879686")</f>
        <v>0</v>
      </c>
      <c r="B2298" t="s">
        <v>120</v>
      </c>
      <c r="C2298" t="s">
        <v>340</v>
      </c>
      <c r="D2298" t="s">
        <v>411</v>
      </c>
      <c r="F2298" t="s">
        <v>2192</v>
      </c>
      <c r="G2298" t="s">
        <v>6375</v>
      </c>
      <c r="H2298" t="s">
        <v>11524</v>
      </c>
      <c r="I2298" t="s">
        <v>17805</v>
      </c>
      <c r="J2298" t="s">
        <v>18892</v>
      </c>
      <c r="K2298">
        <v>10468</v>
      </c>
      <c r="L2298" t="s">
        <v>18958</v>
      </c>
      <c r="M2298" t="s">
        <v>18958</v>
      </c>
      <c r="N2298" t="s">
        <v>20699</v>
      </c>
      <c r="O2298" t="s">
        <v>26523</v>
      </c>
      <c r="P2298" t="s">
        <v>26560</v>
      </c>
      <c r="R2298" t="s">
        <v>26579</v>
      </c>
      <c r="S2298" t="s">
        <v>18959</v>
      </c>
      <c r="U2298" t="s">
        <v>26604</v>
      </c>
      <c r="V2298" t="s">
        <v>26610</v>
      </c>
      <c r="W2298" t="s">
        <v>411</v>
      </c>
      <c r="X2298">
        <v>1515</v>
      </c>
      <c r="Y2298" t="s">
        <v>26650</v>
      </c>
      <c r="Z2298" t="s">
        <v>26668</v>
      </c>
      <c r="AB2298" t="s">
        <v>28728</v>
      </c>
      <c r="AC2298" t="s">
        <v>35198</v>
      </c>
      <c r="AD2298" t="s">
        <v>38784</v>
      </c>
      <c r="AE2298">
        <v>6</v>
      </c>
      <c r="AF2298" t="s">
        <v>45547</v>
      </c>
      <c r="AG2298" t="s">
        <v>45562</v>
      </c>
      <c r="AH2298">
        <v>4</v>
      </c>
      <c r="AI2298">
        <v>1</v>
      </c>
      <c r="AJ2298">
        <v>1</v>
      </c>
      <c r="AK2298">
        <v>74.98999999999999</v>
      </c>
      <c r="AN2298" t="s">
        <v>7439</v>
      </c>
      <c r="AO2298">
        <v>12344</v>
      </c>
      <c r="AU2298">
        <v>20.9</v>
      </c>
      <c r="AV2298" t="s">
        <v>825</v>
      </c>
      <c r="AW2298" t="s">
        <v>46847</v>
      </c>
    </row>
    <row r="2299" spans="1:50">
      <c r="A2299" s="1">
        <f>HYPERLINK("https://lsnyc.legalserver.org/matter/dynamic-profile/view/1879603","18-1879603")</f>
        <v>0</v>
      </c>
      <c r="B2299" t="s">
        <v>120</v>
      </c>
      <c r="C2299" t="s">
        <v>340</v>
      </c>
      <c r="D2299" t="s">
        <v>411</v>
      </c>
      <c r="F2299" t="s">
        <v>1197</v>
      </c>
      <c r="G2299" t="s">
        <v>5697</v>
      </c>
      <c r="H2299" t="s">
        <v>9655</v>
      </c>
      <c r="I2299" t="s">
        <v>17806</v>
      </c>
      <c r="J2299" t="s">
        <v>18892</v>
      </c>
      <c r="K2299">
        <v>10457</v>
      </c>
      <c r="L2299" t="s">
        <v>18958</v>
      </c>
      <c r="M2299" t="s">
        <v>18958</v>
      </c>
      <c r="N2299" t="s">
        <v>20700</v>
      </c>
      <c r="O2299" t="s">
        <v>26523</v>
      </c>
      <c r="P2299" t="s">
        <v>26560</v>
      </c>
      <c r="R2299" t="s">
        <v>26579</v>
      </c>
      <c r="S2299" t="s">
        <v>18959</v>
      </c>
      <c r="U2299" t="s">
        <v>26604</v>
      </c>
      <c r="V2299" t="s">
        <v>26610</v>
      </c>
      <c r="W2299" t="s">
        <v>411</v>
      </c>
      <c r="X2299">
        <v>1167</v>
      </c>
      <c r="Y2299" t="s">
        <v>26650</v>
      </c>
      <c r="Z2299" t="s">
        <v>26659</v>
      </c>
      <c r="AB2299" t="s">
        <v>28729</v>
      </c>
      <c r="AC2299" t="s">
        <v>35199</v>
      </c>
      <c r="AD2299" t="s">
        <v>38785</v>
      </c>
      <c r="AE2299">
        <v>0</v>
      </c>
      <c r="AF2299" t="s">
        <v>45541</v>
      </c>
      <c r="AG2299" t="s">
        <v>45557</v>
      </c>
      <c r="AH2299">
        <v>18</v>
      </c>
      <c r="AI2299">
        <v>2</v>
      </c>
      <c r="AJ2299">
        <v>1</v>
      </c>
      <c r="AK2299">
        <v>101.64</v>
      </c>
      <c r="AN2299" t="s">
        <v>45581</v>
      </c>
      <c r="AO2299">
        <v>21120</v>
      </c>
      <c r="AQ2299" t="s">
        <v>46362</v>
      </c>
      <c r="AR2299" t="s">
        <v>46381</v>
      </c>
      <c r="AS2299" t="s">
        <v>46499</v>
      </c>
      <c r="AT2299" t="s">
        <v>46524</v>
      </c>
      <c r="AU2299">
        <v>11.2</v>
      </c>
      <c r="AV2299" t="s">
        <v>758</v>
      </c>
      <c r="AW2299" t="s">
        <v>46847</v>
      </c>
    </row>
    <row r="2300" spans="1:50">
      <c r="A2300" s="1">
        <f>HYPERLINK("https://lsnyc.legalserver.org/matter/dynamic-profile/view/1879774","18-1879774")</f>
        <v>0</v>
      </c>
      <c r="B2300" t="s">
        <v>187</v>
      </c>
      <c r="C2300" t="s">
        <v>340</v>
      </c>
      <c r="D2300" t="s">
        <v>411</v>
      </c>
      <c r="F2300" t="s">
        <v>1363</v>
      </c>
      <c r="G2300" t="s">
        <v>1983</v>
      </c>
      <c r="H2300" t="s">
        <v>11525</v>
      </c>
      <c r="I2300" t="s">
        <v>17389</v>
      </c>
      <c r="J2300" t="s">
        <v>18892</v>
      </c>
      <c r="K2300">
        <v>10467</v>
      </c>
      <c r="L2300" t="s">
        <v>18958</v>
      </c>
      <c r="M2300" t="s">
        <v>18958</v>
      </c>
      <c r="N2300" t="s">
        <v>20701</v>
      </c>
      <c r="O2300" t="s">
        <v>26523</v>
      </c>
      <c r="P2300" t="s">
        <v>26560</v>
      </c>
      <c r="R2300" t="s">
        <v>26579</v>
      </c>
      <c r="S2300" t="s">
        <v>18959</v>
      </c>
      <c r="U2300" t="s">
        <v>26604</v>
      </c>
      <c r="V2300" t="s">
        <v>26610</v>
      </c>
      <c r="W2300" t="s">
        <v>411</v>
      </c>
      <c r="X2300">
        <v>1400</v>
      </c>
      <c r="Y2300" t="s">
        <v>26650</v>
      </c>
      <c r="Z2300" t="s">
        <v>26659</v>
      </c>
      <c r="AB2300" t="s">
        <v>28730</v>
      </c>
      <c r="AC2300" t="s">
        <v>35200</v>
      </c>
      <c r="AD2300" t="s">
        <v>38786</v>
      </c>
      <c r="AE2300">
        <v>0</v>
      </c>
      <c r="AF2300" t="s">
        <v>45541</v>
      </c>
      <c r="AG2300" t="s">
        <v>19330</v>
      </c>
      <c r="AH2300">
        <v>1</v>
      </c>
      <c r="AI2300">
        <v>1</v>
      </c>
      <c r="AJ2300">
        <v>5</v>
      </c>
      <c r="AK2300">
        <v>57.79</v>
      </c>
      <c r="AN2300" t="s">
        <v>45581</v>
      </c>
      <c r="AO2300">
        <v>19500</v>
      </c>
      <c r="AU2300">
        <v>26.4</v>
      </c>
      <c r="AV2300" t="s">
        <v>780</v>
      </c>
      <c r="AW2300" t="s">
        <v>336</v>
      </c>
    </row>
    <row r="2301" spans="1:50">
      <c r="A2301" s="1">
        <f>HYPERLINK("https://lsnyc.legalserver.org/matter/dynamic-profile/view/1880948","18-1880948")</f>
        <v>0</v>
      </c>
      <c r="B2301" t="s">
        <v>232</v>
      </c>
      <c r="C2301" t="s">
        <v>341</v>
      </c>
      <c r="D2301" t="s">
        <v>605</v>
      </c>
      <c r="E2301" t="s">
        <v>573</v>
      </c>
      <c r="F2301" t="s">
        <v>2193</v>
      </c>
      <c r="G2301" t="s">
        <v>6376</v>
      </c>
      <c r="H2301" t="s">
        <v>11526</v>
      </c>
      <c r="I2301" t="s">
        <v>17807</v>
      </c>
      <c r="J2301" t="s">
        <v>18894</v>
      </c>
      <c r="K2301">
        <v>11228</v>
      </c>
      <c r="L2301" t="s">
        <v>18959</v>
      </c>
      <c r="M2301" t="s">
        <v>18958</v>
      </c>
      <c r="N2301" t="s">
        <v>20702</v>
      </c>
      <c r="O2301" t="s">
        <v>26524</v>
      </c>
      <c r="P2301" t="s">
        <v>26560</v>
      </c>
      <c r="Q2301" t="s">
        <v>26573</v>
      </c>
      <c r="R2301" t="s">
        <v>26586</v>
      </c>
      <c r="S2301" t="s">
        <v>18959</v>
      </c>
      <c r="U2301" t="s">
        <v>26604</v>
      </c>
      <c r="V2301" t="s">
        <v>26610</v>
      </c>
      <c r="W2301" t="s">
        <v>411</v>
      </c>
      <c r="X2301">
        <v>1700</v>
      </c>
      <c r="Y2301" t="s">
        <v>26652</v>
      </c>
      <c r="Z2301" t="s">
        <v>26664</v>
      </c>
      <c r="AA2301" t="s">
        <v>26678</v>
      </c>
      <c r="AB2301" t="s">
        <v>28731</v>
      </c>
      <c r="AD2301" t="s">
        <v>38787</v>
      </c>
      <c r="AE2301">
        <v>43</v>
      </c>
      <c r="AF2301" t="s">
        <v>45541</v>
      </c>
      <c r="AG2301" t="s">
        <v>19330</v>
      </c>
      <c r="AH2301">
        <v>3</v>
      </c>
      <c r="AI2301">
        <v>5</v>
      </c>
      <c r="AJ2301">
        <v>0</v>
      </c>
      <c r="AK2301">
        <v>84.98</v>
      </c>
      <c r="AN2301" t="s">
        <v>7439</v>
      </c>
      <c r="AO2301">
        <v>25000</v>
      </c>
      <c r="AS2301" t="s">
        <v>46499</v>
      </c>
      <c r="AU2301">
        <v>21.15</v>
      </c>
      <c r="AV2301" t="s">
        <v>716</v>
      </c>
      <c r="AW2301" t="s">
        <v>46862</v>
      </c>
      <c r="AX2301" t="s">
        <v>46897</v>
      </c>
    </row>
    <row r="2302" spans="1:50">
      <c r="A2302" s="1">
        <f>HYPERLINK("https://lsnyc.legalserver.org/matter/dynamic-profile/view/1873280","18-1873280")</f>
        <v>0</v>
      </c>
      <c r="B2302" t="s">
        <v>104</v>
      </c>
      <c r="C2302" t="s">
        <v>340</v>
      </c>
      <c r="D2302" t="s">
        <v>618</v>
      </c>
      <c r="F2302" t="s">
        <v>2194</v>
      </c>
      <c r="G2302" t="s">
        <v>6377</v>
      </c>
      <c r="H2302" t="s">
        <v>11527</v>
      </c>
      <c r="I2302" t="s">
        <v>17284</v>
      </c>
      <c r="J2302" t="s">
        <v>18902</v>
      </c>
      <c r="K2302">
        <v>10314</v>
      </c>
      <c r="L2302" t="s">
        <v>18958</v>
      </c>
      <c r="M2302" t="s">
        <v>18958</v>
      </c>
      <c r="N2302" t="s">
        <v>20703</v>
      </c>
      <c r="O2302" t="s">
        <v>26524</v>
      </c>
      <c r="P2302" t="s">
        <v>26560</v>
      </c>
      <c r="R2302" t="s">
        <v>26590</v>
      </c>
      <c r="S2302" t="s">
        <v>18959</v>
      </c>
      <c r="U2302" t="s">
        <v>26604</v>
      </c>
      <c r="V2302" t="s">
        <v>26610</v>
      </c>
      <c r="W2302" t="s">
        <v>411</v>
      </c>
      <c r="X2302">
        <v>0</v>
      </c>
      <c r="Y2302" t="s">
        <v>26654</v>
      </c>
      <c r="Z2302" t="s">
        <v>26663</v>
      </c>
      <c r="AB2302" t="s">
        <v>28732</v>
      </c>
      <c r="AE2302">
        <v>8</v>
      </c>
      <c r="AF2302" t="s">
        <v>45547</v>
      </c>
      <c r="AG2302" t="s">
        <v>19330</v>
      </c>
      <c r="AH2302">
        <v>16</v>
      </c>
      <c r="AI2302">
        <v>1</v>
      </c>
      <c r="AJ2302">
        <v>0</v>
      </c>
      <c r="AK2302">
        <v>242.17</v>
      </c>
      <c r="AL2302" t="s">
        <v>808</v>
      </c>
      <c r="AM2302" t="s">
        <v>45575</v>
      </c>
      <c r="AN2302" t="s">
        <v>7439</v>
      </c>
      <c r="AO2302">
        <v>29400</v>
      </c>
      <c r="AR2302" t="s">
        <v>26530</v>
      </c>
      <c r="AU2302">
        <v>68.55</v>
      </c>
      <c r="AV2302" t="s">
        <v>804</v>
      </c>
      <c r="AW2302" t="s">
        <v>190</v>
      </c>
    </row>
    <row r="2303" spans="1:50">
      <c r="A2303" s="1">
        <f>HYPERLINK("https://lsnyc.legalserver.org/matter/dynamic-profile/view/1847937","17-1847937")</f>
        <v>0</v>
      </c>
      <c r="B2303" t="s">
        <v>122</v>
      </c>
      <c r="C2303" t="s">
        <v>341</v>
      </c>
      <c r="D2303" t="s">
        <v>619</v>
      </c>
      <c r="E2303" t="s">
        <v>458</v>
      </c>
      <c r="F2303" t="s">
        <v>968</v>
      </c>
      <c r="G2303" t="s">
        <v>6378</v>
      </c>
      <c r="H2303" t="s">
        <v>11528</v>
      </c>
      <c r="I2303" t="s">
        <v>17406</v>
      </c>
      <c r="J2303" t="s">
        <v>18901</v>
      </c>
      <c r="K2303">
        <v>11435</v>
      </c>
      <c r="L2303" t="s">
        <v>18958</v>
      </c>
      <c r="M2303" t="s">
        <v>18958</v>
      </c>
      <c r="N2303" t="s">
        <v>20704</v>
      </c>
      <c r="O2303" t="s">
        <v>26523</v>
      </c>
      <c r="P2303" t="s">
        <v>26564</v>
      </c>
      <c r="Q2303" t="s">
        <v>26570</v>
      </c>
      <c r="R2303" t="s">
        <v>26584</v>
      </c>
      <c r="U2303" t="s">
        <v>26604</v>
      </c>
      <c r="W2303" t="s">
        <v>606</v>
      </c>
      <c r="X2303">
        <v>1200</v>
      </c>
      <c r="Y2303" t="s">
        <v>26653</v>
      </c>
      <c r="Z2303" t="s">
        <v>26664</v>
      </c>
      <c r="AA2303" t="s">
        <v>26683</v>
      </c>
      <c r="AB2303" t="s">
        <v>28733</v>
      </c>
      <c r="AC2303" t="s">
        <v>35201</v>
      </c>
      <c r="AD2303" t="s">
        <v>38788</v>
      </c>
      <c r="AE2303">
        <v>150</v>
      </c>
      <c r="AF2303" t="s">
        <v>45541</v>
      </c>
      <c r="AG2303" t="s">
        <v>19330</v>
      </c>
      <c r="AH2303">
        <v>1</v>
      </c>
      <c r="AI2303">
        <v>1</v>
      </c>
      <c r="AJ2303">
        <v>0</v>
      </c>
      <c r="AK2303">
        <v>22.14</v>
      </c>
      <c r="AO2303">
        <v>2670</v>
      </c>
      <c r="AU2303">
        <v>1.6</v>
      </c>
      <c r="AV2303" t="s">
        <v>711</v>
      </c>
      <c r="AW2303" t="s">
        <v>122</v>
      </c>
    </row>
    <row r="2304" spans="1:50">
      <c r="A2304" s="1">
        <f>HYPERLINK("https://lsnyc.legalserver.org/matter/dynamic-profile/view/1877042","18-1877042")</f>
        <v>0</v>
      </c>
      <c r="B2304" t="s">
        <v>202</v>
      </c>
      <c r="C2304" t="s">
        <v>341</v>
      </c>
      <c r="D2304" t="s">
        <v>579</v>
      </c>
      <c r="E2304" t="s">
        <v>606</v>
      </c>
      <c r="F2304" t="s">
        <v>1253</v>
      </c>
      <c r="G2304" t="s">
        <v>5664</v>
      </c>
      <c r="H2304" t="s">
        <v>11529</v>
      </c>
      <c r="I2304" t="s">
        <v>17808</v>
      </c>
      <c r="J2304" t="s">
        <v>18894</v>
      </c>
      <c r="K2304">
        <v>11236</v>
      </c>
      <c r="L2304" t="s">
        <v>18958</v>
      </c>
      <c r="M2304" t="s">
        <v>18958</v>
      </c>
      <c r="N2304" t="s">
        <v>20705</v>
      </c>
      <c r="O2304" t="s">
        <v>26524</v>
      </c>
      <c r="P2304" t="s">
        <v>26560</v>
      </c>
      <c r="Q2304" t="s">
        <v>26570</v>
      </c>
      <c r="R2304" t="s">
        <v>26586</v>
      </c>
      <c r="S2304" t="s">
        <v>18959</v>
      </c>
      <c r="U2304" t="s">
        <v>26604</v>
      </c>
      <c r="V2304" t="s">
        <v>26610</v>
      </c>
      <c r="W2304" t="s">
        <v>606</v>
      </c>
      <c r="X2304">
        <v>800</v>
      </c>
      <c r="Y2304" t="s">
        <v>26652</v>
      </c>
      <c r="Z2304" t="s">
        <v>26664</v>
      </c>
      <c r="AA2304" t="s">
        <v>26683</v>
      </c>
      <c r="AB2304" t="s">
        <v>28734</v>
      </c>
      <c r="AD2304" t="s">
        <v>38789</v>
      </c>
      <c r="AE2304">
        <v>2</v>
      </c>
      <c r="AF2304" t="s">
        <v>20460</v>
      </c>
      <c r="AG2304" t="s">
        <v>19330</v>
      </c>
      <c r="AH2304">
        <v>14</v>
      </c>
      <c r="AI2304">
        <v>1</v>
      </c>
      <c r="AJ2304">
        <v>0</v>
      </c>
      <c r="AK2304">
        <v>197.69</v>
      </c>
      <c r="AN2304" t="s">
        <v>7439</v>
      </c>
      <c r="AO2304">
        <v>24000</v>
      </c>
      <c r="AU2304">
        <v>3.4</v>
      </c>
      <c r="AV2304" t="s">
        <v>606</v>
      </c>
      <c r="AW2304" t="s">
        <v>46862</v>
      </c>
    </row>
    <row r="2305" spans="1:50">
      <c r="A2305" s="1">
        <f>HYPERLINK("https://lsnyc.legalserver.org/matter/dynamic-profile/view/1877690","18-1877690")</f>
        <v>0</v>
      </c>
      <c r="B2305" t="s">
        <v>202</v>
      </c>
      <c r="C2305" t="s">
        <v>341</v>
      </c>
      <c r="D2305" t="s">
        <v>586</v>
      </c>
      <c r="E2305" t="s">
        <v>606</v>
      </c>
      <c r="F2305" t="s">
        <v>2195</v>
      </c>
      <c r="G2305" t="s">
        <v>6379</v>
      </c>
      <c r="H2305" t="s">
        <v>11530</v>
      </c>
      <c r="I2305" t="s">
        <v>17282</v>
      </c>
      <c r="J2305" t="s">
        <v>18894</v>
      </c>
      <c r="K2305">
        <v>11235</v>
      </c>
      <c r="L2305" t="s">
        <v>18958</v>
      </c>
      <c r="M2305" t="s">
        <v>18958</v>
      </c>
      <c r="N2305" t="s">
        <v>20706</v>
      </c>
      <c r="O2305" t="s">
        <v>26524</v>
      </c>
      <c r="P2305" t="s">
        <v>26564</v>
      </c>
      <c r="Q2305" t="s">
        <v>26570</v>
      </c>
      <c r="R2305" t="s">
        <v>26586</v>
      </c>
      <c r="S2305" t="s">
        <v>18959</v>
      </c>
      <c r="U2305" t="s">
        <v>26604</v>
      </c>
      <c r="V2305" t="s">
        <v>26614</v>
      </c>
      <c r="W2305" t="s">
        <v>606</v>
      </c>
      <c r="X2305">
        <v>450</v>
      </c>
      <c r="Y2305" t="s">
        <v>26652</v>
      </c>
      <c r="Z2305" t="s">
        <v>26530</v>
      </c>
      <c r="AA2305" t="s">
        <v>26683</v>
      </c>
      <c r="AB2305" t="s">
        <v>28735</v>
      </c>
      <c r="AD2305" t="s">
        <v>38790</v>
      </c>
      <c r="AE2305">
        <v>70</v>
      </c>
      <c r="AF2305" t="s">
        <v>20460</v>
      </c>
      <c r="AG2305" t="s">
        <v>19330</v>
      </c>
      <c r="AH2305">
        <v>-1</v>
      </c>
      <c r="AI2305">
        <v>1</v>
      </c>
      <c r="AJ2305">
        <v>0</v>
      </c>
      <c r="AK2305">
        <v>0</v>
      </c>
      <c r="AN2305" t="s">
        <v>7439</v>
      </c>
      <c r="AO2305">
        <v>0</v>
      </c>
      <c r="AU2305">
        <v>0.1</v>
      </c>
      <c r="AV2305" t="s">
        <v>599</v>
      </c>
      <c r="AW2305" t="s">
        <v>46853</v>
      </c>
    </row>
    <row r="2306" spans="1:50">
      <c r="A2306" s="1">
        <f>HYPERLINK("https://lsnyc.legalserver.org/matter/dynamic-profile/view/1879814","18-1879814")</f>
        <v>0</v>
      </c>
      <c r="B2306" t="s">
        <v>95</v>
      </c>
      <c r="C2306" t="s">
        <v>341</v>
      </c>
      <c r="D2306" t="s">
        <v>606</v>
      </c>
      <c r="E2306" t="s">
        <v>826</v>
      </c>
      <c r="F2306" t="s">
        <v>2196</v>
      </c>
      <c r="G2306" t="s">
        <v>6380</v>
      </c>
      <c r="H2306" t="s">
        <v>11531</v>
      </c>
      <c r="J2306" t="s">
        <v>18894</v>
      </c>
      <c r="K2306">
        <v>11233</v>
      </c>
      <c r="L2306" t="s">
        <v>18958</v>
      </c>
      <c r="M2306" t="s">
        <v>18958</v>
      </c>
      <c r="N2306" t="s">
        <v>20707</v>
      </c>
      <c r="O2306" t="s">
        <v>26523</v>
      </c>
      <c r="P2306" t="s">
        <v>26560</v>
      </c>
      <c r="Q2306" t="s">
        <v>26573</v>
      </c>
      <c r="R2306" t="s">
        <v>26578</v>
      </c>
      <c r="S2306" t="s">
        <v>18959</v>
      </c>
      <c r="U2306" t="s">
        <v>26604</v>
      </c>
      <c r="W2306" t="s">
        <v>606</v>
      </c>
      <c r="X2306">
        <v>1236</v>
      </c>
      <c r="Y2306" t="s">
        <v>26652</v>
      </c>
      <c r="Z2306" t="s">
        <v>26659</v>
      </c>
      <c r="AA2306" t="s">
        <v>26678</v>
      </c>
      <c r="AB2306" t="s">
        <v>28736</v>
      </c>
      <c r="AC2306" t="s">
        <v>34508</v>
      </c>
      <c r="AD2306" t="s">
        <v>38791</v>
      </c>
      <c r="AE2306">
        <v>43</v>
      </c>
      <c r="AF2306" t="s">
        <v>45541</v>
      </c>
      <c r="AG2306" t="s">
        <v>45561</v>
      </c>
      <c r="AH2306">
        <v>10</v>
      </c>
      <c r="AI2306">
        <v>1</v>
      </c>
      <c r="AJ2306">
        <v>0</v>
      </c>
      <c r="AK2306">
        <v>82.14</v>
      </c>
      <c r="AN2306" t="s">
        <v>7439</v>
      </c>
      <c r="AO2306">
        <v>9972</v>
      </c>
      <c r="AP2306" t="s">
        <v>45624</v>
      </c>
      <c r="AU2306">
        <v>11.2</v>
      </c>
      <c r="AV2306" t="s">
        <v>690</v>
      </c>
      <c r="AW2306" t="s">
        <v>279</v>
      </c>
    </row>
    <row r="2307" spans="1:50">
      <c r="A2307" s="1">
        <f>HYPERLINK("https://lsnyc.legalserver.org/matter/dynamic-profile/view/1879765","18-1879765")</f>
        <v>0</v>
      </c>
      <c r="B2307" t="s">
        <v>198</v>
      </c>
      <c r="C2307" t="s">
        <v>341</v>
      </c>
      <c r="D2307" t="s">
        <v>606</v>
      </c>
      <c r="E2307" t="s">
        <v>765</v>
      </c>
      <c r="F2307" t="s">
        <v>948</v>
      </c>
      <c r="G2307" t="s">
        <v>6381</v>
      </c>
      <c r="H2307" t="s">
        <v>11532</v>
      </c>
      <c r="I2307" t="s">
        <v>17307</v>
      </c>
      <c r="J2307" t="s">
        <v>18894</v>
      </c>
      <c r="K2307">
        <v>11225</v>
      </c>
      <c r="L2307" t="s">
        <v>18958</v>
      </c>
      <c r="M2307" t="s">
        <v>18958</v>
      </c>
      <c r="O2307" t="s">
        <v>26531</v>
      </c>
      <c r="P2307" t="s">
        <v>26562</v>
      </c>
      <c r="Q2307" t="s">
        <v>26571</v>
      </c>
      <c r="R2307" t="s">
        <v>26578</v>
      </c>
      <c r="U2307" t="s">
        <v>26604</v>
      </c>
      <c r="W2307" t="s">
        <v>606</v>
      </c>
      <c r="X2307">
        <v>1108.02</v>
      </c>
      <c r="Y2307" t="s">
        <v>26652</v>
      </c>
      <c r="Z2307" t="s">
        <v>26663</v>
      </c>
      <c r="AA2307" t="s">
        <v>26678</v>
      </c>
      <c r="AB2307" t="s">
        <v>28737</v>
      </c>
      <c r="AC2307" t="s">
        <v>35202</v>
      </c>
      <c r="AD2307" t="s">
        <v>38792</v>
      </c>
      <c r="AE2307">
        <v>14</v>
      </c>
      <c r="AF2307" t="s">
        <v>45541</v>
      </c>
      <c r="AH2307">
        <v>13</v>
      </c>
      <c r="AI2307">
        <v>1</v>
      </c>
      <c r="AJ2307">
        <v>0</v>
      </c>
      <c r="AK2307">
        <v>26.02</v>
      </c>
      <c r="AN2307" t="s">
        <v>7439</v>
      </c>
      <c r="AO2307">
        <v>3159.36</v>
      </c>
      <c r="AU2307">
        <v>3.6</v>
      </c>
      <c r="AV2307" t="s">
        <v>828</v>
      </c>
      <c r="AW2307" t="s">
        <v>198</v>
      </c>
    </row>
    <row r="2308" spans="1:50">
      <c r="A2308" s="1">
        <f>HYPERLINK("https://lsnyc.legalserver.org/matter/dynamic-profile/view/1879737","18-1879737")</f>
        <v>0</v>
      </c>
      <c r="B2308" t="s">
        <v>54</v>
      </c>
      <c r="C2308" t="s">
        <v>341</v>
      </c>
      <c r="D2308" t="s">
        <v>606</v>
      </c>
      <c r="E2308" t="s">
        <v>744</v>
      </c>
      <c r="F2308" t="s">
        <v>2197</v>
      </c>
      <c r="G2308" t="s">
        <v>5476</v>
      </c>
      <c r="H2308" t="s">
        <v>11533</v>
      </c>
      <c r="I2308">
        <v>709</v>
      </c>
      <c r="J2308" t="s">
        <v>18892</v>
      </c>
      <c r="K2308">
        <v>10473</v>
      </c>
      <c r="L2308" t="s">
        <v>18958</v>
      </c>
      <c r="M2308" t="s">
        <v>18958</v>
      </c>
      <c r="N2308" t="s">
        <v>20708</v>
      </c>
      <c r="O2308" t="s">
        <v>26523</v>
      </c>
      <c r="P2308" t="s">
        <v>26560</v>
      </c>
      <c r="Q2308" t="s">
        <v>26568</v>
      </c>
      <c r="R2308" t="s">
        <v>26577</v>
      </c>
      <c r="S2308" t="s">
        <v>18959</v>
      </c>
      <c r="U2308" t="s">
        <v>26604</v>
      </c>
      <c r="V2308" t="s">
        <v>26610</v>
      </c>
      <c r="W2308" t="s">
        <v>606</v>
      </c>
      <c r="X2308">
        <v>1409</v>
      </c>
      <c r="Y2308" t="s">
        <v>26650</v>
      </c>
      <c r="Z2308" t="s">
        <v>26664</v>
      </c>
      <c r="AA2308" t="s">
        <v>26678</v>
      </c>
      <c r="AB2308" t="s">
        <v>28738</v>
      </c>
      <c r="AC2308" t="s">
        <v>35203</v>
      </c>
      <c r="AD2308" t="s">
        <v>38793</v>
      </c>
      <c r="AE2308">
        <v>86</v>
      </c>
      <c r="AF2308" t="s">
        <v>45541</v>
      </c>
      <c r="AG2308" t="s">
        <v>45556</v>
      </c>
      <c r="AH2308">
        <v>2</v>
      </c>
      <c r="AI2308">
        <v>1</v>
      </c>
      <c r="AJ2308">
        <v>0</v>
      </c>
      <c r="AK2308">
        <v>71.17</v>
      </c>
      <c r="AN2308" t="s">
        <v>7439</v>
      </c>
      <c r="AO2308">
        <v>8640</v>
      </c>
      <c r="AQ2308" t="s">
        <v>46359</v>
      </c>
      <c r="AR2308" t="s">
        <v>46383</v>
      </c>
      <c r="AS2308" t="s">
        <v>46499</v>
      </c>
      <c r="AT2308" t="s">
        <v>46506</v>
      </c>
      <c r="AU2308">
        <v>17.1</v>
      </c>
      <c r="AV2308" t="s">
        <v>744</v>
      </c>
      <c r="AW2308" t="s">
        <v>46832</v>
      </c>
    </row>
    <row r="2309" spans="1:50">
      <c r="A2309" s="1">
        <f>HYPERLINK("https://lsnyc.legalserver.org/matter/dynamic-profile/view/1879805","18-1879805")</f>
        <v>0</v>
      </c>
      <c r="B2309" t="s">
        <v>136</v>
      </c>
      <c r="C2309" t="s">
        <v>340</v>
      </c>
      <c r="D2309" t="s">
        <v>606</v>
      </c>
      <c r="F2309" t="s">
        <v>1262</v>
      </c>
      <c r="G2309" t="s">
        <v>6382</v>
      </c>
      <c r="H2309" t="s">
        <v>11534</v>
      </c>
      <c r="J2309" t="s">
        <v>18892</v>
      </c>
      <c r="K2309">
        <v>10468</v>
      </c>
      <c r="L2309" t="s">
        <v>18958</v>
      </c>
      <c r="M2309" t="s">
        <v>18958</v>
      </c>
      <c r="N2309" t="s">
        <v>20709</v>
      </c>
      <c r="O2309" t="s">
        <v>26523</v>
      </c>
      <c r="P2309" t="s">
        <v>26560</v>
      </c>
      <c r="R2309" t="s">
        <v>26579</v>
      </c>
      <c r="S2309" t="s">
        <v>18959</v>
      </c>
      <c r="U2309" t="s">
        <v>26604</v>
      </c>
      <c r="V2309" t="s">
        <v>26610</v>
      </c>
      <c r="W2309" t="s">
        <v>606</v>
      </c>
      <c r="X2309">
        <v>946.9299999999999</v>
      </c>
      <c r="Y2309" t="s">
        <v>26650</v>
      </c>
      <c r="AB2309" t="s">
        <v>28739</v>
      </c>
      <c r="AD2309" t="s">
        <v>38794</v>
      </c>
      <c r="AE2309">
        <v>25</v>
      </c>
      <c r="AF2309" t="s">
        <v>45541</v>
      </c>
      <c r="AH2309">
        <v>4</v>
      </c>
      <c r="AI2309">
        <v>2</v>
      </c>
      <c r="AJ2309">
        <v>0</v>
      </c>
      <c r="AK2309">
        <v>13.2</v>
      </c>
      <c r="AN2309" t="s">
        <v>7439</v>
      </c>
      <c r="AO2309">
        <v>2172</v>
      </c>
      <c r="AU2309">
        <v>21.15</v>
      </c>
      <c r="AV2309" t="s">
        <v>815</v>
      </c>
      <c r="AW2309" t="s">
        <v>46871</v>
      </c>
      <c r="AX2309" t="s">
        <v>46897</v>
      </c>
    </row>
    <row r="2310" spans="1:50">
      <c r="A2310" s="1">
        <f>HYPERLINK("https://lsnyc.legalserver.org/matter/dynamic-profile/view/1879768","18-1879768")</f>
        <v>0</v>
      </c>
      <c r="B2310" t="s">
        <v>243</v>
      </c>
      <c r="C2310" t="s">
        <v>340</v>
      </c>
      <c r="D2310" t="s">
        <v>606</v>
      </c>
      <c r="F2310" t="s">
        <v>948</v>
      </c>
      <c r="G2310" t="s">
        <v>6381</v>
      </c>
      <c r="H2310" t="s">
        <v>11532</v>
      </c>
      <c r="I2310" t="s">
        <v>17307</v>
      </c>
      <c r="J2310" t="s">
        <v>18894</v>
      </c>
      <c r="K2310">
        <v>11225</v>
      </c>
      <c r="L2310" t="s">
        <v>18958</v>
      </c>
      <c r="M2310" t="s">
        <v>18958</v>
      </c>
      <c r="O2310" t="s">
        <v>26534</v>
      </c>
      <c r="P2310" t="s">
        <v>26561</v>
      </c>
      <c r="R2310" t="s">
        <v>26578</v>
      </c>
      <c r="S2310" t="s">
        <v>18958</v>
      </c>
      <c r="U2310" t="s">
        <v>26604</v>
      </c>
      <c r="W2310" t="s">
        <v>606</v>
      </c>
      <c r="X2310">
        <v>1108.02</v>
      </c>
      <c r="Y2310" t="s">
        <v>26652</v>
      </c>
      <c r="Z2310" t="s">
        <v>26663</v>
      </c>
      <c r="AB2310" t="s">
        <v>28737</v>
      </c>
      <c r="AC2310" t="s">
        <v>35202</v>
      </c>
      <c r="AD2310" t="s">
        <v>38792</v>
      </c>
      <c r="AE2310">
        <v>14</v>
      </c>
      <c r="AF2310" t="s">
        <v>45541</v>
      </c>
      <c r="AG2310" t="s">
        <v>45556</v>
      </c>
      <c r="AH2310">
        <v>13</v>
      </c>
      <c r="AI2310">
        <v>1</v>
      </c>
      <c r="AJ2310">
        <v>0</v>
      </c>
      <c r="AK2310">
        <v>26.02</v>
      </c>
      <c r="AN2310" t="s">
        <v>7439</v>
      </c>
      <c r="AO2310">
        <v>3159.36</v>
      </c>
      <c r="AU2310">
        <v>11.2</v>
      </c>
      <c r="AV2310" t="s">
        <v>415</v>
      </c>
      <c r="AW2310" t="s">
        <v>198</v>
      </c>
    </row>
    <row r="2311" spans="1:50">
      <c r="A2311" s="1">
        <f>HYPERLINK("https://lsnyc.legalserver.org/matter/dynamic-profile/view/1879795","18-1879795")</f>
        <v>0</v>
      </c>
      <c r="B2311" t="s">
        <v>212</v>
      </c>
      <c r="C2311" t="s">
        <v>340</v>
      </c>
      <c r="D2311" t="s">
        <v>606</v>
      </c>
      <c r="F2311" t="s">
        <v>2198</v>
      </c>
      <c r="G2311" t="s">
        <v>6383</v>
      </c>
      <c r="H2311" t="s">
        <v>11535</v>
      </c>
      <c r="I2311" t="s">
        <v>17307</v>
      </c>
      <c r="J2311" t="s">
        <v>18906</v>
      </c>
      <c r="K2311">
        <v>11373</v>
      </c>
      <c r="L2311" t="s">
        <v>18958</v>
      </c>
      <c r="M2311" t="s">
        <v>18958</v>
      </c>
      <c r="N2311" t="s">
        <v>19037</v>
      </c>
      <c r="O2311" t="s">
        <v>18997</v>
      </c>
      <c r="P2311" t="s">
        <v>26564</v>
      </c>
      <c r="R2311" t="s">
        <v>26584</v>
      </c>
      <c r="S2311" t="s">
        <v>18959</v>
      </c>
      <c r="U2311" t="s">
        <v>26604</v>
      </c>
      <c r="W2311" t="s">
        <v>606</v>
      </c>
      <c r="X2311">
        <v>998.64</v>
      </c>
      <c r="Y2311" t="s">
        <v>26653</v>
      </c>
      <c r="Z2311" t="s">
        <v>26663</v>
      </c>
      <c r="AB2311" t="s">
        <v>28740</v>
      </c>
      <c r="AD2311" t="s">
        <v>38795</v>
      </c>
      <c r="AE2311">
        <v>108</v>
      </c>
      <c r="AF2311" t="s">
        <v>20460</v>
      </c>
      <c r="AG2311" t="s">
        <v>19330</v>
      </c>
      <c r="AH2311">
        <v>35</v>
      </c>
      <c r="AI2311">
        <v>1</v>
      </c>
      <c r="AJ2311">
        <v>0</v>
      </c>
      <c r="AK2311">
        <v>128.5</v>
      </c>
      <c r="AN2311" t="s">
        <v>7439</v>
      </c>
      <c r="AO2311">
        <v>15600</v>
      </c>
      <c r="AU2311">
        <v>0.7</v>
      </c>
      <c r="AV2311" t="s">
        <v>753</v>
      </c>
      <c r="AW2311" t="s">
        <v>208</v>
      </c>
    </row>
    <row r="2312" spans="1:50">
      <c r="A2312" s="1">
        <f>HYPERLINK("https://lsnyc.legalserver.org/matter/dynamic-profile/view/1847975","17-1847975")</f>
        <v>0</v>
      </c>
      <c r="B2312" t="s">
        <v>52</v>
      </c>
      <c r="C2312" t="s">
        <v>341</v>
      </c>
      <c r="D2312" t="s">
        <v>620</v>
      </c>
      <c r="E2312" t="s">
        <v>800</v>
      </c>
      <c r="F2312" t="s">
        <v>2199</v>
      </c>
      <c r="G2312" t="s">
        <v>5086</v>
      </c>
      <c r="H2312" t="s">
        <v>11400</v>
      </c>
      <c r="I2312">
        <v>19</v>
      </c>
      <c r="J2312" t="s">
        <v>18892</v>
      </c>
      <c r="K2312">
        <v>10460</v>
      </c>
      <c r="L2312" t="s">
        <v>18958</v>
      </c>
      <c r="M2312" t="s">
        <v>18960</v>
      </c>
      <c r="N2312" t="s">
        <v>20710</v>
      </c>
      <c r="O2312" t="s">
        <v>26524</v>
      </c>
      <c r="P2312" t="s">
        <v>26560</v>
      </c>
      <c r="Q2312" t="s">
        <v>26568</v>
      </c>
      <c r="R2312" t="s">
        <v>26577</v>
      </c>
      <c r="S2312" t="s">
        <v>18959</v>
      </c>
      <c r="U2312" t="s">
        <v>26604</v>
      </c>
      <c r="V2312" t="s">
        <v>26611</v>
      </c>
      <c r="W2312" t="s">
        <v>26629</v>
      </c>
      <c r="X2312">
        <v>1331</v>
      </c>
      <c r="Y2312" t="s">
        <v>26650</v>
      </c>
      <c r="Z2312" t="s">
        <v>26656</v>
      </c>
      <c r="AA2312" t="s">
        <v>26679</v>
      </c>
      <c r="AB2312" t="s">
        <v>28741</v>
      </c>
      <c r="AC2312" t="s">
        <v>35204</v>
      </c>
      <c r="AD2312" t="s">
        <v>38796</v>
      </c>
      <c r="AE2312">
        <v>30</v>
      </c>
      <c r="AF2312" t="s">
        <v>45541</v>
      </c>
      <c r="AG2312" t="s">
        <v>45557</v>
      </c>
      <c r="AH2312">
        <v>4</v>
      </c>
      <c r="AI2312">
        <v>1</v>
      </c>
      <c r="AJ2312">
        <v>4</v>
      </c>
      <c r="AK2312">
        <v>48.6</v>
      </c>
      <c r="AN2312" t="s">
        <v>7439</v>
      </c>
      <c r="AO2312">
        <v>13988</v>
      </c>
      <c r="AP2312" t="s">
        <v>45620</v>
      </c>
      <c r="AQ2312" t="s">
        <v>46368</v>
      </c>
      <c r="AR2312" t="s">
        <v>46460</v>
      </c>
      <c r="AS2312" t="s">
        <v>46500</v>
      </c>
      <c r="AT2312" t="s">
        <v>46715</v>
      </c>
      <c r="AU2312">
        <v>78</v>
      </c>
      <c r="AV2312" t="s">
        <v>747</v>
      </c>
      <c r="AW2312" t="s">
        <v>46837</v>
      </c>
    </row>
    <row r="2313" spans="1:50">
      <c r="A2313" s="1">
        <f>HYPERLINK("https://lsnyc.legalserver.org/matter/dynamic-profile/view/1865688","18-1865688")</f>
        <v>0</v>
      </c>
      <c r="B2313" t="s">
        <v>147</v>
      </c>
      <c r="C2313" t="s">
        <v>340</v>
      </c>
      <c r="D2313" t="s">
        <v>384</v>
      </c>
      <c r="F2313" t="s">
        <v>1028</v>
      </c>
      <c r="G2313" t="s">
        <v>6384</v>
      </c>
      <c r="H2313" t="s">
        <v>11536</v>
      </c>
      <c r="I2313" t="s">
        <v>17341</v>
      </c>
      <c r="J2313" t="s">
        <v>18894</v>
      </c>
      <c r="K2313">
        <v>11230</v>
      </c>
      <c r="L2313" t="s">
        <v>18958</v>
      </c>
      <c r="M2313" t="s">
        <v>18958</v>
      </c>
      <c r="O2313" t="s">
        <v>18997</v>
      </c>
      <c r="P2313" t="s">
        <v>26562</v>
      </c>
      <c r="R2313" t="s">
        <v>26578</v>
      </c>
      <c r="S2313" t="s">
        <v>18958</v>
      </c>
      <c r="U2313" t="s">
        <v>26604</v>
      </c>
      <c r="V2313" t="s">
        <v>26610</v>
      </c>
      <c r="W2313" t="s">
        <v>412</v>
      </c>
      <c r="X2313">
        <v>436.26</v>
      </c>
      <c r="Y2313" t="s">
        <v>26652</v>
      </c>
      <c r="Z2313" t="s">
        <v>26663</v>
      </c>
      <c r="AB2313" t="s">
        <v>28742</v>
      </c>
      <c r="AE2313">
        <v>51</v>
      </c>
      <c r="AF2313" t="s">
        <v>45541</v>
      </c>
      <c r="AG2313" t="s">
        <v>19330</v>
      </c>
      <c r="AH2313">
        <v>40</v>
      </c>
      <c r="AI2313">
        <v>1</v>
      </c>
      <c r="AJ2313">
        <v>0</v>
      </c>
      <c r="AK2313">
        <v>247.12</v>
      </c>
      <c r="AL2313" t="s">
        <v>638</v>
      </c>
      <c r="AM2313" t="s">
        <v>45575</v>
      </c>
      <c r="AN2313" t="s">
        <v>7439</v>
      </c>
      <c r="AO2313">
        <v>30000</v>
      </c>
      <c r="AU2313">
        <v>14.5</v>
      </c>
      <c r="AV2313" t="s">
        <v>727</v>
      </c>
      <c r="AW2313" t="s">
        <v>237</v>
      </c>
    </row>
    <row r="2314" spans="1:50">
      <c r="A2314" s="1">
        <f>HYPERLINK("https://lsnyc.legalserver.org/matter/dynamic-profile/view/1868024","18-1868024")</f>
        <v>0</v>
      </c>
      <c r="B2314" t="s">
        <v>147</v>
      </c>
      <c r="C2314" t="s">
        <v>340</v>
      </c>
      <c r="D2314" t="s">
        <v>567</v>
      </c>
      <c r="F2314" t="s">
        <v>2200</v>
      </c>
      <c r="G2314" t="s">
        <v>6385</v>
      </c>
      <c r="H2314" t="s">
        <v>11536</v>
      </c>
      <c r="I2314" t="s">
        <v>17809</v>
      </c>
      <c r="J2314" t="s">
        <v>18894</v>
      </c>
      <c r="K2314">
        <v>11230</v>
      </c>
      <c r="L2314" t="s">
        <v>18958</v>
      </c>
      <c r="M2314" t="s">
        <v>18960</v>
      </c>
      <c r="O2314" t="s">
        <v>18997</v>
      </c>
      <c r="P2314" t="s">
        <v>26562</v>
      </c>
      <c r="R2314" t="s">
        <v>26578</v>
      </c>
      <c r="S2314" t="s">
        <v>18958</v>
      </c>
      <c r="U2314" t="s">
        <v>26604</v>
      </c>
      <c r="W2314" t="s">
        <v>412</v>
      </c>
      <c r="X2314">
        <v>615.9400000000001</v>
      </c>
      <c r="Y2314" t="s">
        <v>26652</v>
      </c>
      <c r="Z2314" t="s">
        <v>26663</v>
      </c>
      <c r="AB2314" t="s">
        <v>28743</v>
      </c>
      <c r="AE2314">
        <v>40</v>
      </c>
      <c r="AF2314" t="s">
        <v>45541</v>
      </c>
      <c r="AG2314" t="s">
        <v>19330</v>
      </c>
      <c r="AH2314">
        <v>37</v>
      </c>
      <c r="AI2314">
        <v>4</v>
      </c>
      <c r="AJ2314">
        <v>0</v>
      </c>
      <c r="AK2314">
        <v>207.17</v>
      </c>
      <c r="AN2314" t="s">
        <v>7439</v>
      </c>
      <c r="AO2314">
        <v>52000</v>
      </c>
      <c r="AU2314">
        <v>3.7</v>
      </c>
      <c r="AV2314" t="s">
        <v>745</v>
      </c>
      <c r="AW2314" t="s">
        <v>237</v>
      </c>
    </row>
    <row r="2315" spans="1:50">
      <c r="A2315" s="1">
        <f>HYPERLINK("https://lsnyc.legalserver.org/matter/dynamic-profile/view/1871432","18-1871432")</f>
        <v>0</v>
      </c>
      <c r="B2315" t="s">
        <v>147</v>
      </c>
      <c r="C2315" t="s">
        <v>340</v>
      </c>
      <c r="D2315" t="s">
        <v>419</v>
      </c>
      <c r="F2315" t="s">
        <v>1502</v>
      </c>
      <c r="G2315" t="s">
        <v>6386</v>
      </c>
      <c r="H2315" t="s">
        <v>11536</v>
      </c>
      <c r="I2315" t="s">
        <v>17810</v>
      </c>
      <c r="J2315" t="s">
        <v>18894</v>
      </c>
      <c r="K2315">
        <v>11230</v>
      </c>
      <c r="L2315" t="s">
        <v>18958</v>
      </c>
      <c r="M2315" t="s">
        <v>18958</v>
      </c>
      <c r="O2315" t="s">
        <v>18997</v>
      </c>
      <c r="P2315" t="s">
        <v>26562</v>
      </c>
      <c r="R2315" t="s">
        <v>26578</v>
      </c>
      <c r="S2315" t="s">
        <v>18958</v>
      </c>
      <c r="T2315" t="s">
        <v>26601</v>
      </c>
      <c r="U2315" t="s">
        <v>26604</v>
      </c>
      <c r="W2315" t="s">
        <v>412</v>
      </c>
      <c r="X2315">
        <v>611.15</v>
      </c>
      <c r="Y2315" t="s">
        <v>26652</v>
      </c>
      <c r="Z2315" t="s">
        <v>26663</v>
      </c>
      <c r="AB2315" t="s">
        <v>28744</v>
      </c>
      <c r="AE2315">
        <v>51</v>
      </c>
      <c r="AF2315" t="s">
        <v>45541</v>
      </c>
      <c r="AG2315" t="s">
        <v>19330</v>
      </c>
      <c r="AH2315">
        <v>54</v>
      </c>
      <c r="AI2315">
        <v>2</v>
      </c>
      <c r="AJ2315">
        <v>0</v>
      </c>
      <c r="AK2315">
        <v>54.68</v>
      </c>
      <c r="AN2315" t="s">
        <v>7439</v>
      </c>
      <c r="AO2315">
        <v>9000</v>
      </c>
      <c r="AU2315">
        <v>2.4</v>
      </c>
      <c r="AV2315" t="s">
        <v>819</v>
      </c>
      <c r="AW2315" t="s">
        <v>237</v>
      </c>
    </row>
    <row r="2316" spans="1:50">
      <c r="A2316" s="1">
        <f>HYPERLINK("https://lsnyc.legalserver.org/matter/dynamic-profile/view/1874165","18-1874165")</f>
        <v>0</v>
      </c>
      <c r="B2316" t="s">
        <v>201</v>
      </c>
      <c r="C2316" t="s">
        <v>341</v>
      </c>
      <c r="D2316" t="s">
        <v>497</v>
      </c>
      <c r="E2316" t="s">
        <v>412</v>
      </c>
      <c r="F2316" t="s">
        <v>1279</v>
      </c>
      <c r="G2316" t="s">
        <v>6387</v>
      </c>
      <c r="H2316" t="s">
        <v>11537</v>
      </c>
      <c r="I2316" t="s">
        <v>17574</v>
      </c>
      <c r="J2316" t="s">
        <v>18894</v>
      </c>
      <c r="K2316">
        <v>11226</v>
      </c>
      <c r="L2316" t="s">
        <v>18958</v>
      </c>
      <c r="M2316" t="s">
        <v>18958</v>
      </c>
      <c r="N2316" t="s">
        <v>20711</v>
      </c>
      <c r="O2316" t="s">
        <v>26523</v>
      </c>
      <c r="P2316" t="s">
        <v>26561</v>
      </c>
      <c r="Q2316" t="s">
        <v>26568</v>
      </c>
      <c r="R2316" t="s">
        <v>26588</v>
      </c>
      <c r="S2316" t="s">
        <v>18959</v>
      </c>
      <c r="U2316" t="s">
        <v>26604</v>
      </c>
      <c r="W2316" t="s">
        <v>412</v>
      </c>
      <c r="X2316">
        <v>1189</v>
      </c>
      <c r="Y2316" t="s">
        <v>26652</v>
      </c>
      <c r="Z2316" t="s">
        <v>26657</v>
      </c>
      <c r="AA2316" t="s">
        <v>26678</v>
      </c>
      <c r="AB2316" t="s">
        <v>28745</v>
      </c>
      <c r="AC2316" t="s">
        <v>35205</v>
      </c>
      <c r="AD2316" t="s">
        <v>38797</v>
      </c>
      <c r="AE2316">
        <v>12</v>
      </c>
      <c r="AF2316" t="s">
        <v>45541</v>
      </c>
      <c r="AG2316" t="s">
        <v>45561</v>
      </c>
      <c r="AH2316">
        <v>10</v>
      </c>
      <c r="AI2316">
        <v>1</v>
      </c>
      <c r="AJ2316">
        <v>0</v>
      </c>
      <c r="AK2316">
        <v>154.63</v>
      </c>
      <c r="AO2316">
        <v>18772</v>
      </c>
      <c r="AQ2316" t="s">
        <v>46359</v>
      </c>
      <c r="AR2316" t="s">
        <v>46379</v>
      </c>
      <c r="AS2316" t="s">
        <v>46499</v>
      </c>
      <c r="AT2316" t="s">
        <v>46541</v>
      </c>
      <c r="AU2316">
        <v>12.7</v>
      </c>
      <c r="AV2316" t="s">
        <v>412</v>
      </c>
      <c r="AW2316" t="s">
        <v>323</v>
      </c>
    </row>
    <row r="2317" spans="1:50">
      <c r="A2317" s="1">
        <f>HYPERLINK("https://lsnyc.legalserver.org/matter/dynamic-profile/view/1874150","18-1874150")</f>
        <v>0</v>
      </c>
      <c r="B2317" t="s">
        <v>61</v>
      </c>
      <c r="C2317" t="s">
        <v>340</v>
      </c>
      <c r="D2317" t="s">
        <v>497</v>
      </c>
      <c r="F2317" t="s">
        <v>1153</v>
      </c>
      <c r="G2317" t="s">
        <v>6388</v>
      </c>
      <c r="H2317" t="s">
        <v>11324</v>
      </c>
      <c r="I2317">
        <v>44</v>
      </c>
      <c r="J2317" t="s">
        <v>18893</v>
      </c>
      <c r="K2317">
        <v>10034</v>
      </c>
      <c r="L2317" t="s">
        <v>18958</v>
      </c>
      <c r="M2317" t="s">
        <v>18958</v>
      </c>
      <c r="N2317" t="s">
        <v>20712</v>
      </c>
      <c r="O2317" t="s">
        <v>26523</v>
      </c>
      <c r="P2317" t="s">
        <v>26560</v>
      </c>
      <c r="R2317" t="s">
        <v>26578</v>
      </c>
      <c r="S2317" t="s">
        <v>18959</v>
      </c>
      <c r="U2317" t="s">
        <v>26604</v>
      </c>
      <c r="W2317" t="s">
        <v>412</v>
      </c>
      <c r="X2317">
        <v>1047.13</v>
      </c>
      <c r="Y2317" t="s">
        <v>26651</v>
      </c>
      <c r="Z2317" t="s">
        <v>26661</v>
      </c>
      <c r="AB2317" t="s">
        <v>28746</v>
      </c>
      <c r="AD2317" t="s">
        <v>38798</v>
      </c>
      <c r="AE2317">
        <v>25</v>
      </c>
      <c r="AF2317" t="s">
        <v>45541</v>
      </c>
      <c r="AG2317" t="s">
        <v>19330</v>
      </c>
      <c r="AH2317">
        <v>18</v>
      </c>
      <c r="AI2317">
        <v>1</v>
      </c>
      <c r="AJ2317">
        <v>0</v>
      </c>
      <c r="AK2317">
        <v>18.09</v>
      </c>
      <c r="AN2317" t="s">
        <v>45581</v>
      </c>
      <c r="AO2317">
        <v>2196</v>
      </c>
      <c r="AU2317">
        <v>28.98</v>
      </c>
      <c r="AV2317" t="s">
        <v>800</v>
      </c>
      <c r="AW2317" t="s">
        <v>46846</v>
      </c>
      <c r="AX2317" t="s">
        <v>46897</v>
      </c>
    </row>
    <row r="2318" spans="1:50">
      <c r="A2318" s="1">
        <f>HYPERLINK("https://lsnyc.legalserver.org/matter/dynamic-profile/view/1876971","18-1876971")</f>
        <v>0</v>
      </c>
      <c r="B2318" t="s">
        <v>251</v>
      </c>
      <c r="C2318" t="s">
        <v>341</v>
      </c>
      <c r="D2318" t="s">
        <v>524</v>
      </c>
      <c r="E2318" t="s">
        <v>646</v>
      </c>
      <c r="F2318" t="s">
        <v>2201</v>
      </c>
      <c r="G2318" t="s">
        <v>5121</v>
      </c>
      <c r="H2318" t="s">
        <v>11538</v>
      </c>
      <c r="I2318" t="s">
        <v>17757</v>
      </c>
      <c r="J2318" t="s">
        <v>18892</v>
      </c>
      <c r="K2318">
        <v>10467</v>
      </c>
      <c r="L2318" t="s">
        <v>18958</v>
      </c>
      <c r="M2318" t="s">
        <v>18958</v>
      </c>
      <c r="N2318" t="s">
        <v>20713</v>
      </c>
      <c r="O2318" t="s">
        <v>26523</v>
      </c>
      <c r="P2318" t="s">
        <v>26560</v>
      </c>
      <c r="Q2318" t="s">
        <v>26568</v>
      </c>
      <c r="R2318" t="s">
        <v>26579</v>
      </c>
      <c r="S2318" t="s">
        <v>18959</v>
      </c>
      <c r="U2318" t="s">
        <v>26604</v>
      </c>
      <c r="V2318" t="s">
        <v>26614</v>
      </c>
      <c r="W2318" t="s">
        <v>412</v>
      </c>
      <c r="X2318">
        <v>915.36</v>
      </c>
      <c r="Y2318" t="s">
        <v>26650</v>
      </c>
      <c r="Z2318" t="s">
        <v>26659</v>
      </c>
      <c r="AA2318" t="s">
        <v>26678</v>
      </c>
      <c r="AB2318" t="s">
        <v>28143</v>
      </c>
      <c r="AC2318" t="s">
        <v>35206</v>
      </c>
      <c r="AD2318" t="s">
        <v>38799</v>
      </c>
      <c r="AE2318">
        <v>60</v>
      </c>
      <c r="AF2318" t="s">
        <v>45541</v>
      </c>
      <c r="AG2318" t="s">
        <v>19330</v>
      </c>
      <c r="AH2318">
        <v>6</v>
      </c>
      <c r="AI2318">
        <v>1</v>
      </c>
      <c r="AJ2318">
        <v>0</v>
      </c>
      <c r="AK2318">
        <v>256.24</v>
      </c>
      <c r="AL2318" t="s">
        <v>787</v>
      </c>
      <c r="AM2318" t="s">
        <v>45575</v>
      </c>
      <c r="AN2318" t="s">
        <v>7439</v>
      </c>
      <c r="AO2318">
        <v>31108</v>
      </c>
      <c r="AP2318" t="s">
        <v>45641</v>
      </c>
      <c r="AQ2318" t="s">
        <v>46359</v>
      </c>
      <c r="AR2318" t="s">
        <v>46383</v>
      </c>
      <c r="AS2318" t="s">
        <v>46499</v>
      </c>
      <c r="AT2318" t="s">
        <v>46559</v>
      </c>
      <c r="AU2318">
        <v>20.7</v>
      </c>
      <c r="AV2318" t="s">
        <v>624</v>
      </c>
      <c r="AW2318" t="s">
        <v>46858</v>
      </c>
    </row>
    <row r="2319" spans="1:50">
      <c r="A2319" s="1">
        <f>HYPERLINK("https://lsnyc.legalserver.org/matter/dynamic-profile/view/1878832","18-1878832")</f>
        <v>0</v>
      </c>
      <c r="B2319" t="s">
        <v>87</v>
      </c>
      <c r="C2319" t="s">
        <v>340</v>
      </c>
      <c r="D2319" t="s">
        <v>599</v>
      </c>
      <c r="F2319" t="s">
        <v>2202</v>
      </c>
      <c r="G2319" t="s">
        <v>5569</v>
      </c>
      <c r="H2319" t="s">
        <v>11539</v>
      </c>
      <c r="I2319" t="s">
        <v>17811</v>
      </c>
      <c r="J2319" t="s">
        <v>18892</v>
      </c>
      <c r="K2319">
        <v>10460</v>
      </c>
      <c r="L2319" t="s">
        <v>18958</v>
      </c>
      <c r="M2319" t="s">
        <v>18958</v>
      </c>
      <c r="N2319" t="s">
        <v>20714</v>
      </c>
      <c r="O2319" t="s">
        <v>26524</v>
      </c>
      <c r="P2319" t="s">
        <v>26560</v>
      </c>
      <c r="R2319" t="s">
        <v>26577</v>
      </c>
      <c r="S2319" t="s">
        <v>18959</v>
      </c>
      <c r="U2319" t="s">
        <v>26604</v>
      </c>
      <c r="V2319" t="s">
        <v>26610</v>
      </c>
      <c r="W2319" t="s">
        <v>412</v>
      </c>
      <c r="X2319">
        <v>915</v>
      </c>
      <c r="Y2319" t="s">
        <v>26650</v>
      </c>
      <c r="Z2319" t="s">
        <v>26668</v>
      </c>
      <c r="AB2319" t="s">
        <v>28747</v>
      </c>
      <c r="AD2319" t="s">
        <v>38800</v>
      </c>
      <c r="AE2319">
        <v>0</v>
      </c>
      <c r="AF2319" t="s">
        <v>45547</v>
      </c>
      <c r="AG2319" t="s">
        <v>19330</v>
      </c>
      <c r="AH2319">
        <v>1</v>
      </c>
      <c r="AI2319">
        <v>1</v>
      </c>
      <c r="AJ2319">
        <v>1</v>
      </c>
      <c r="AK2319">
        <v>127</v>
      </c>
      <c r="AN2319" t="s">
        <v>7439</v>
      </c>
      <c r="AO2319">
        <v>20904</v>
      </c>
      <c r="AU2319">
        <v>39.8</v>
      </c>
      <c r="AV2319" t="s">
        <v>685</v>
      </c>
      <c r="AW2319" t="s">
        <v>46870</v>
      </c>
    </row>
    <row r="2320" spans="1:50">
      <c r="A2320" s="1">
        <f>HYPERLINK("https://lsnyc.legalserver.org/matter/dynamic-profile/view/1879820","18-1879820")</f>
        <v>0</v>
      </c>
      <c r="B2320" t="s">
        <v>256</v>
      </c>
      <c r="C2320" t="s">
        <v>341</v>
      </c>
      <c r="D2320" t="s">
        <v>606</v>
      </c>
      <c r="E2320" t="s">
        <v>704</v>
      </c>
      <c r="F2320" t="s">
        <v>2203</v>
      </c>
      <c r="G2320" t="s">
        <v>6389</v>
      </c>
      <c r="H2320" t="s">
        <v>11540</v>
      </c>
      <c r="J2320" t="s">
        <v>18894</v>
      </c>
      <c r="K2320">
        <v>11210</v>
      </c>
      <c r="L2320" t="s">
        <v>18958</v>
      </c>
      <c r="M2320" t="s">
        <v>18958</v>
      </c>
      <c r="N2320" t="s">
        <v>20715</v>
      </c>
      <c r="O2320" t="s">
        <v>26524</v>
      </c>
      <c r="P2320" t="s">
        <v>26560</v>
      </c>
      <c r="Q2320" t="s">
        <v>26568</v>
      </c>
      <c r="R2320" t="s">
        <v>26578</v>
      </c>
      <c r="S2320" t="s">
        <v>18959</v>
      </c>
      <c r="U2320" t="s">
        <v>26604</v>
      </c>
      <c r="V2320" t="s">
        <v>26612</v>
      </c>
      <c r="W2320" t="s">
        <v>412</v>
      </c>
      <c r="X2320">
        <v>1900</v>
      </c>
      <c r="Y2320" t="s">
        <v>26652</v>
      </c>
      <c r="Z2320" t="s">
        <v>26670</v>
      </c>
      <c r="AA2320" t="s">
        <v>26678</v>
      </c>
      <c r="AB2320" t="s">
        <v>27728</v>
      </c>
      <c r="AE2320">
        <v>169</v>
      </c>
      <c r="AF2320" t="s">
        <v>45541</v>
      </c>
      <c r="AG2320" t="s">
        <v>45557</v>
      </c>
      <c r="AH2320">
        <v>0</v>
      </c>
      <c r="AI2320">
        <v>2</v>
      </c>
      <c r="AJ2320">
        <v>3</v>
      </c>
      <c r="AK2320">
        <v>0</v>
      </c>
      <c r="AN2320" t="s">
        <v>7439</v>
      </c>
      <c r="AO2320">
        <v>0</v>
      </c>
      <c r="AQ2320" t="s">
        <v>46365</v>
      </c>
      <c r="AR2320" t="s">
        <v>26530</v>
      </c>
      <c r="AS2320" t="s">
        <v>46500</v>
      </c>
      <c r="AT2320" t="s">
        <v>46711</v>
      </c>
      <c r="AU2320">
        <v>12.9</v>
      </c>
      <c r="AV2320" t="s">
        <v>704</v>
      </c>
      <c r="AW2320" t="s">
        <v>46862</v>
      </c>
    </row>
    <row r="2321" spans="1:49">
      <c r="A2321" s="1">
        <f>HYPERLINK("https://lsnyc.legalserver.org/matter/dynamic-profile/view/1879889","18-1879889")</f>
        <v>0</v>
      </c>
      <c r="B2321" t="s">
        <v>105</v>
      </c>
      <c r="C2321" t="s">
        <v>341</v>
      </c>
      <c r="D2321" t="s">
        <v>412</v>
      </c>
      <c r="E2321" t="s">
        <v>769</v>
      </c>
      <c r="F2321" t="s">
        <v>2204</v>
      </c>
      <c r="G2321" t="s">
        <v>6390</v>
      </c>
      <c r="H2321" t="s">
        <v>11541</v>
      </c>
      <c r="I2321">
        <v>41</v>
      </c>
      <c r="J2321" t="s">
        <v>18900</v>
      </c>
      <c r="K2321">
        <v>11358</v>
      </c>
      <c r="L2321" t="s">
        <v>18958</v>
      </c>
      <c r="M2321" t="s">
        <v>18958</v>
      </c>
      <c r="N2321" t="s">
        <v>20716</v>
      </c>
      <c r="O2321" t="s">
        <v>26523</v>
      </c>
      <c r="P2321" t="s">
        <v>26560</v>
      </c>
      <c r="Q2321" t="s">
        <v>26575</v>
      </c>
      <c r="R2321" t="s">
        <v>26578</v>
      </c>
      <c r="S2321" t="s">
        <v>18959</v>
      </c>
      <c r="U2321" t="s">
        <v>26604</v>
      </c>
      <c r="V2321" t="s">
        <v>26610</v>
      </c>
      <c r="W2321" t="s">
        <v>412</v>
      </c>
      <c r="X2321">
        <v>1150</v>
      </c>
      <c r="Y2321" t="s">
        <v>26653</v>
      </c>
      <c r="Z2321" t="s">
        <v>26664</v>
      </c>
      <c r="AA2321" t="s">
        <v>26678</v>
      </c>
      <c r="AB2321" t="s">
        <v>28748</v>
      </c>
      <c r="AD2321" t="s">
        <v>38801</v>
      </c>
      <c r="AE2321">
        <v>28</v>
      </c>
      <c r="AF2321" t="s">
        <v>20460</v>
      </c>
      <c r="AG2321" t="s">
        <v>19330</v>
      </c>
      <c r="AH2321">
        <v>6</v>
      </c>
      <c r="AI2321">
        <v>1</v>
      </c>
      <c r="AJ2321">
        <v>0</v>
      </c>
      <c r="AK2321">
        <v>0</v>
      </c>
      <c r="AN2321" t="s">
        <v>7439</v>
      </c>
      <c r="AO2321">
        <v>0</v>
      </c>
      <c r="AQ2321" t="s">
        <v>46361</v>
      </c>
      <c r="AR2321" t="s">
        <v>46461</v>
      </c>
      <c r="AS2321" t="s">
        <v>46499</v>
      </c>
      <c r="AT2321" t="s">
        <v>46672</v>
      </c>
      <c r="AU2321">
        <v>23.2</v>
      </c>
      <c r="AV2321" t="s">
        <v>737</v>
      </c>
      <c r="AW2321" t="s">
        <v>208</v>
      </c>
    </row>
    <row r="2322" spans="1:49">
      <c r="A2322" s="1">
        <f>HYPERLINK("https://lsnyc.legalserver.org/matter/dynamic-profile/view/1879976","18-1879976")</f>
        <v>0</v>
      </c>
      <c r="B2322" t="s">
        <v>105</v>
      </c>
      <c r="C2322" t="s">
        <v>341</v>
      </c>
      <c r="D2322" t="s">
        <v>412</v>
      </c>
      <c r="E2322" t="s">
        <v>667</v>
      </c>
      <c r="F2322" t="s">
        <v>989</v>
      </c>
      <c r="G2322" t="s">
        <v>6391</v>
      </c>
      <c r="H2322" t="s">
        <v>11542</v>
      </c>
      <c r="I2322" t="s">
        <v>17299</v>
      </c>
      <c r="J2322" t="s">
        <v>18914</v>
      </c>
      <c r="K2322">
        <v>11104</v>
      </c>
      <c r="L2322" t="s">
        <v>18958</v>
      </c>
      <c r="M2322" t="s">
        <v>18958</v>
      </c>
      <c r="N2322" t="s">
        <v>20717</v>
      </c>
      <c r="O2322" t="s">
        <v>26523</v>
      </c>
      <c r="P2322" t="s">
        <v>26560</v>
      </c>
      <c r="Q2322" t="s">
        <v>26568</v>
      </c>
      <c r="R2322" t="s">
        <v>26584</v>
      </c>
      <c r="S2322" t="s">
        <v>18959</v>
      </c>
      <c r="U2322" t="s">
        <v>26604</v>
      </c>
      <c r="V2322" t="s">
        <v>26611</v>
      </c>
      <c r="W2322" t="s">
        <v>412</v>
      </c>
      <c r="X2322">
        <v>1071</v>
      </c>
      <c r="Y2322" t="s">
        <v>26653</v>
      </c>
      <c r="Z2322" t="s">
        <v>26664</v>
      </c>
      <c r="AA2322" t="s">
        <v>26678</v>
      </c>
      <c r="AB2322" t="s">
        <v>28401</v>
      </c>
      <c r="AC2322" t="s">
        <v>35207</v>
      </c>
      <c r="AD2322" t="s">
        <v>38802</v>
      </c>
      <c r="AE2322">
        <v>10</v>
      </c>
      <c r="AF2322" t="s">
        <v>45541</v>
      </c>
      <c r="AG2322" t="s">
        <v>19330</v>
      </c>
      <c r="AH2322">
        <v>10</v>
      </c>
      <c r="AI2322">
        <v>3</v>
      </c>
      <c r="AJ2322">
        <v>1</v>
      </c>
      <c r="AK2322">
        <v>63.75</v>
      </c>
      <c r="AN2322" t="s">
        <v>45581</v>
      </c>
      <c r="AO2322">
        <v>16000</v>
      </c>
      <c r="AR2322" t="s">
        <v>46379</v>
      </c>
      <c r="AS2322" t="s">
        <v>46499</v>
      </c>
      <c r="AT2322" t="s">
        <v>46587</v>
      </c>
      <c r="AU2322">
        <v>4.5</v>
      </c>
      <c r="AV2322" t="s">
        <v>666</v>
      </c>
      <c r="AW2322" t="s">
        <v>161</v>
      </c>
    </row>
    <row r="2323" spans="1:49">
      <c r="A2323" s="1">
        <f>HYPERLINK("https://lsnyc.legalserver.org/matter/dynamic-profile/view/1879867","18-1879867")</f>
        <v>0</v>
      </c>
      <c r="B2323" t="s">
        <v>107</v>
      </c>
      <c r="C2323" t="s">
        <v>341</v>
      </c>
      <c r="D2323" t="s">
        <v>412</v>
      </c>
      <c r="E2323" t="s">
        <v>691</v>
      </c>
      <c r="F2323" t="s">
        <v>2205</v>
      </c>
      <c r="G2323" t="s">
        <v>5121</v>
      </c>
      <c r="H2323" t="s">
        <v>11543</v>
      </c>
      <c r="I2323" t="s">
        <v>17333</v>
      </c>
      <c r="J2323" t="s">
        <v>18899</v>
      </c>
      <c r="K2323">
        <v>11385</v>
      </c>
      <c r="L2323" t="s">
        <v>18958</v>
      </c>
      <c r="M2323" t="s">
        <v>18958</v>
      </c>
      <c r="N2323" t="s">
        <v>20718</v>
      </c>
      <c r="O2323" t="s">
        <v>26524</v>
      </c>
      <c r="P2323" t="s">
        <v>26560</v>
      </c>
      <c r="Q2323" t="s">
        <v>26568</v>
      </c>
      <c r="R2323" t="s">
        <v>26585</v>
      </c>
      <c r="S2323" t="s">
        <v>18959</v>
      </c>
      <c r="U2323" t="s">
        <v>26604</v>
      </c>
      <c r="V2323" t="s">
        <v>26611</v>
      </c>
      <c r="W2323" t="s">
        <v>412</v>
      </c>
      <c r="X2323">
        <v>1850</v>
      </c>
      <c r="Y2323" t="s">
        <v>26653</v>
      </c>
      <c r="Z2323" t="s">
        <v>26664</v>
      </c>
      <c r="AA2323" t="s">
        <v>26678</v>
      </c>
      <c r="AB2323" t="s">
        <v>28749</v>
      </c>
      <c r="AC2323" t="s">
        <v>35208</v>
      </c>
      <c r="AD2323" t="s">
        <v>38803</v>
      </c>
      <c r="AE2323">
        <v>6</v>
      </c>
      <c r="AF2323" t="s">
        <v>20460</v>
      </c>
      <c r="AG2323" t="s">
        <v>19330</v>
      </c>
      <c r="AH2323">
        <v>6</v>
      </c>
      <c r="AI2323">
        <v>1</v>
      </c>
      <c r="AJ2323">
        <v>2</v>
      </c>
      <c r="AK2323">
        <v>154.96</v>
      </c>
      <c r="AN2323" t="s">
        <v>7439</v>
      </c>
      <c r="AO2323">
        <v>32200</v>
      </c>
      <c r="AQ2323" t="s">
        <v>46365</v>
      </c>
      <c r="AR2323" t="s">
        <v>26530</v>
      </c>
      <c r="AS2323" t="s">
        <v>46499</v>
      </c>
      <c r="AT2323" t="s">
        <v>46576</v>
      </c>
      <c r="AU2323">
        <v>6.08</v>
      </c>
      <c r="AV2323" t="s">
        <v>652</v>
      </c>
      <c r="AW2323" t="s">
        <v>208</v>
      </c>
    </row>
    <row r="2324" spans="1:49">
      <c r="A2324" s="1">
        <f>HYPERLINK("https://lsnyc.legalserver.org/matter/dynamic-profile/view/1879921","18-1879921")</f>
        <v>0</v>
      </c>
      <c r="B2324" t="s">
        <v>108</v>
      </c>
      <c r="C2324" t="s">
        <v>341</v>
      </c>
      <c r="D2324" t="s">
        <v>412</v>
      </c>
      <c r="E2324" t="s">
        <v>793</v>
      </c>
      <c r="F2324" t="s">
        <v>2206</v>
      </c>
      <c r="G2324" t="s">
        <v>4588</v>
      </c>
      <c r="H2324" t="s">
        <v>11544</v>
      </c>
      <c r="I2324" t="s">
        <v>17430</v>
      </c>
      <c r="J2324" t="s">
        <v>18904</v>
      </c>
      <c r="K2324">
        <v>11421</v>
      </c>
      <c r="L2324" t="s">
        <v>18958</v>
      </c>
      <c r="M2324" t="s">
        <v>18958</v>
      </c>
      <c r="N2324" t="s">
        <v>20719</v>
      </c>
      <c r="O2324" t="s">
        <v>26523</v>
      </c>
      <c r="P2324" t="s">
        <v>26560</v>
      </c>
      <c r="Q2324" t="s">
        <v>26568</v>
      </c>
      <c r="R2324" t="s">
        <v>26584</v>
      </c>
      <c r="S2324" t="s">
        <v>18959</v>
      </c>
      <c r="U2324" t="s">
        <v>26604</v>
      </c>
      <c r="V2324" t="s">
        <v>26610</v>
      </c>
      <c r="W2324" t="s">
        <v>412</v>
      </c>
      <c r="X2324">
        <v>1650</v>
      </c>
      <c r="Y2324" t="s">
        <v>26653</v>
      </c>
      <c r="Z2324" t="s">
        <v>26664</v>
      </c>
      <c r="AA2324" t="s">
        <v>26679</v>
      </c>
      <c r="AB2324" t="s">
        <v>28750</v>
      </c>
      <c r="AD2324" t="s">
        <v>38804</v>
      </c>
      <c r="AE2324">
        <v>2</v>
      </c>
      <c r="AF2324" t="s">
        <v>45547</v>
      </c>
      <c r="AG2324" t="s">
        <v>19330</v>
      </c>
      <c r="AH2324">
        <v>1</v>
      </c>
      <c r="AI2324">
        <v>3</v>
      </c>
      <c r="AJ2324">
        <v>2</v>
      </c>
      <c r="AK2324">
        <v>129.91</v>
      </c>
      <c r="AN2324" t="s">
        <v>7439</v>
      </c>
      <c r="AO2324">
        <v>38220</v>
      </c>
      <c r="AQ2324" t="s">
        <v>46362</v>
      </c>
      <c r="AR2324" t="s">
        <v>26530</v>
      </c>
      <c r="AS2324" t="s">
        <v>46500</v>
      </c>
      <c r="AT2324" t="s">
        <v>46707</v>
      </c>
      <c r="AU2324">
        <v>13.6</v>
      </c>
      <c r="AV2324" t="s">
        <v>757</v>
      </c>
      <c r="AW2324" t="s">
        <v>161</v>
      </c>
    </row>
    <row r="2325" spans="1:49">
      <c r="A2325" s="1">
        <f>HYPERLINK("https://lsnyc.legalserver.org/matter/dynamic-profile/view/1879852","18-1879852")</f>
        <v>0</v>
      </c>
      <c r="B2325" t="s">
        <v>74</v>
      </c>
      <c r="C2325" t="s">
        <v>341</v>
      </c>
      <c r="D2325" t="s">
        <v>412</v>
      </c>
      <c r="E2325" t="s">
        <v>745</v>
      </c>
      <c r="F2325" t="s">
        <v>2207</v>
      </c>
      <c r="G2325" t="s">
        <v>5313</v>
      </c>
      <c r="H2325" t="s">
        <v>11545</v>
      </c>
      <c r="I2325" t="s">
        <v>17349</v>
      </c>
      <c r="J2325" t="s">
        <v>18893</v>
      </c>
      <c r="K2325">
        <v>10034</v>
      </c>
      <c r="L2325" t="s">
        <v>18958</v>
      </c>
      <c r="M2325" t="s">
        <v>18958</v>
      </c>
      <c r="O2325" t="s">
        <v>26531</v>
      </c>
      <c r="P2325" t="s">
        <v>26562</v>
      </c>
      <c r="Q2325" t="s">
        <v>26569</v>
      </c>
      <c r="R2325" t="s">
        <v>26578</v>
      </c>
      <c r="S2325" t="s">
        <v>18959</v>
      </c>
      <c r="U2325" t="s">
        <v>26604</v>
      </c>
      <c r="W2325" t="s">
        <v>412</v>
      </c>
      <c r="X2325">
        <v>1400</v>
      </c>
      <c r="Y2325" t="s">
        <v>26651</v>
      </c>
      <c r="Z2325" t="s">
        <v>26661</v>
      </c>
      <c r="AA2325" t="s">
        <v>26682</v>
      </c>
      <c r="AB2325" t="s">
        <v>28751</v>
      </c>
      <c r="AD2325" t="s">
        <v>38805</v>
      </c>
      <c r="AE2325">
        <v>30</v>
      </c>
      <c r="AF2325" t="s">
        <v>45541</v>
      </c>
      <c r="AG2325" t="s">
        <v>45556</v>
      </c>
      <c r="AH2325">
        <v>6</v>
      </c>
      <c r="AI2325">
        <v>2</v>
      </c>
      <c r="AJ2325">
        <v>1</v>
      </c>
      <c r="AK2325">
        <v>60.99</v>
      </c>
      <c r="AN2325" t="s">
        <v>45581</v>
      </c>
      <c r="AO2325">
        <v>12673.2</v>
      </c>
      <c r="AU2325">
        <v>13.5</v>
      </c>
      <c r="AV2325" t="s">
        <v>726</v>
      </c>
      <c r="AW2325" t="s">
        <v>46840</v>
      </c>
    </row>
    <row r="2326" spans="1:49">
      <c r="A2326" s="1">
        <f>HYPERLINK("https://lsnyc.legalserver.org/matter/dynamic-profile/view/1879985","18-1879985")</f>
        <v>0</v>
      </c>
      <c r="B2326" t="s">
        <v>141</v>
      </c>
      <c r="C2326" t="s">
        <v>341</v>
      </c>
      <c r="D2326" t="s">
        <v>412</v>
      </c>
      <c r="E2326" t="s">
        <v>635</v>
      </c>
      <c r="F2326" t="s">
        <v>928</v>
      </c>
      <c r="G2326" t="s">
        <v>5295</v>
      </c>
      <c r="H2326" t="s">
        <v>11546</v>
      </c>
      <c r="I2326" t="s">
        <v>17812</v>
      </c>
      <c r="J2326" t="s">
        <v>18944</v>
      </c>
      <c r="K2326">
        <v>11001</v>
      </c>
      <c r="L2326" t="s">
        <v>18958</v>
      </c>
      <c r="M2326" t="s">
        <v>18958</v>
      </c>
      <c r="N2326" t="s">
        <v>20720</v>
      </c>
      <c r="O2326" t="s">
        <v>26523</v>
      </c>
      <c r="P2326" t="s">
        <v>26564</v>
      </c>
      <c r="Q2326" t="s">
        <v>26570</v>
      </c>
      <c r="R2326" t="s">
        <v>26578</v>
      </c>
      <c r="S2326" t="s">
        <v>18959</v>
      </c>
      <c r="U2326" t="s">
        <v>26604</v>
      </c>
      <c r="V2326" t="s">
        <v>26610</v>
      </c>
      <c r="W2326" t="s">
        <v>412</v>
      </c>
      <c r="X2326">
        <v>1600</v>
      </c>
      <c r="Y2326" t="s">
        <v>26653</v>
      </c>
      <c r="Z2326" t="s">
        <v>26664</v>
      </c>
      <c r="AA2326" t="s">
        <v>26683</v>
      </c>
      <c r="AB2326" t="s">
        <v>28752</v>
      </c>
      <c r="AD2326" t="s">
        <v>38806</v>
      </c>
      <c r="AE2326">
        <v>2</v>
      </c>
      <c r="AF2326" t="s">
        <v>45547</v>
      </c>
      <c r="AG2326" t="s">
        <v>19330</v>
      </c>
      <c r="AH2326">
        <v>3</v>
      </c>
      <c r="AI2326">
        <v>3</v>
      </c>
      <c r="AJ2326">
        <v>0</v>
      </c>
      <c r="AK2326">
        <v>81.86</v>
      </c>
      <c r="AN2326" t="s">
        <v>7439</v>
      </c>
      <c r="AO2326">
        <v>17010</v>
      </c>
      <c r="AU2326">
        <v>1.8</v>
      </c>
      <c r="AV2326" t="s">
        <v>688</v>
      </c>
      <c r="AW2326" t="s">
        <v>161</v>
      </c>
    </row>
    <row r="2327" spans="1:49">
      <c r="A2327" s="1">
        <f>HYPERLINK("https://lsnyc.legalserver.org/matter/dynamic-profile/view/1879951","18-1879951")</f>
        <v>0</v>
      </c>
      <c r="B2327" t="s">
        <v>82</v>
      </c>
      <c r="C2327" t="s">
        <v>341</v>
      </c>
      <c r="D2327" t="s">
        <v>412</v>
      </c>
      <c r="E2327" t="s">
        <v>652</v>
      </c>
      <c r="F2327" t="s">
        <v>1191</v>
      </c>
      <c r="G2327" t="s">
        <v>6392</v>
      </c>
      <c r="H2327" t="s">
        <v>11547</v>
      </c>
      <c r="I2327" t="s">
        <v>17313</v>
      </c>
      <c r="J2327" t="s">
        <v>18892</v>
      </c>
      <c r="K2327">
        <v>10467</v>
      </c>
      <c r="L2327" t="s">
        <v>18958</v>
      </c>
      <c r="M2327" t="s">
        <v>18958</v>
      </c>
      <c r="N2327" t="s">
        <v>20721</v>
      </c>
      <c r="O2327" t="s">
        <v>26524</v>
      </c>
      <c r="P2327" t="s">
        <v>26560</v>
      </c>
      <c r="Q2327" t="s">
        <v>26568</v>
      </c>
      <c r="R2327" t="s">
        <v>26579</v>
      </c>
      <c r="S2327" t="s">
        <v>18959</v>
      </c>
      <c r="U2327" t="s">
        <v>26604</v>
      </c>
      <c r="V2327" t="s">
        <v>26609</v>
      </c>
      <c r="W2327" t="s">
        <v>412</v>
      </c>
      <c r="X2327">
        <v>462.8</v>
      </c>
      <c r="Y2327" t="s">
        <v>26650</v>
      </c>
      <c r="Z2327" t="s">
        <v>26664</v>
      </c>
      <c r="AA2327" t="s">
        <v>26678</v>
      </c>
      <c r="AB2327" t="s">
        <v>28753</v>
      </c>
      <c r="AE2327">
        <v>108</v>
      </c>
      <c r="AF2327" t="s">
        <v>45554</v>
      </c>
      <c r="AG2327" t="s">
        <v>19330</v>
      </c>
      <c r="AH2327">
        <v>2</v>
      </c>
      <c r="AI2327">
        <v>1</v>
      </c>
      <c r="AJ2327">
        <v>1</v>
      </c>
      <c r="AK2327">
        <v>109.36</v>
      </c>
      <c r="AN2327" t="s">
        <v>7439</v>
      </c>
      <c r="AO2327">
        <v>18000</v>
      </c>
      <c r="AR2327" t="s">
        <v>46380</v>
      </c>
      <c r="AS2327" t="s">
        <v>46499</v>
      </c>
      <c r="AT2327" t="s">
        <v>46605</v>
      </c>
      <c r="AU2327">
        <v>2.4</v>
      </c>
      <c r="AV2327" t="s">
        <v>652</v>
      </c>
      <c r="AW2327" t="s">
        <v>46870</v>
      </c>
    </row>
    <row r="2328" spans="1:49">
      <c r="A2328" s="1">
        <f>HYPERLINK("https://lsnyc.legalserver.org/matter/dynamic-profile/view/1879969","18-1879969")</f>
        <v>0</v>
      </c>
      <c r="B2328" t="s">
        <v>200</v>
      </c>
      <c r="C2328" t="s">
        <v>341</v>
      </c>
      <c r="D2328" t="s">
        <v>412</v>
      </c>
      <c r="E2328" t="s">
        <v>666</v>
      </c>
      <c r="F2328" t="s">
        <v>2208</v>
      </c>
      <c r="G2328" t="s">
        <v>6393</v>
      </c>
      <c r="H2328" t="s">
        <v>11548</v>
      </c>
      <c r="I2328" t="s">
        <v>17362</v>
      </c>
      <c r="J2328" t="s">
        <v>18894</v>
      </c>
      <c r="K2328">
        <v>11239</v>
      </c>
      <c r="L2328" t="s">
        <v>18958</v>
      </c>
      <c r="M2328" t="s">
        <v>18958</v>
      </c>
      <c r="P2328" t="s">
        <v>26563</v>
      </c>
      <c r="Q2328" t="s">
        <v>26570</v>
      </c>
      <c r="R2328" t="s">
        <v>26583</v>
      </c>
      <c r="U2328" t="s">
        <v>26604</v>
      </c>
      <c r="W2328" t="s">
        <v>412</v>
      </c>
      <c r="X2328">
        <v>0</v>
      </c>
      <c r="Y2328" t="s">
        <v>26652</v>
      </c>
      <c r="AA2328" t="s">
        <v>26683</v>
      </c>
      <c r="AB2328" t="s">
        <v>28754</v>
      </c>
      <c r="AD2328" t="s">
        <v>38807</v>
      </c>
      <c r="AE2328">
        <v>0</v>
      </c>
      <c r="AH2328">
        <v>0</v>
      </c>
      <c r="AI2328">
        <v>1</v>
      </c>
      <c r="AJ2328">
        <v>0</v>
      </c>
      <c r="AK2328">
        <v>3.58</v>
      </c>
      <c r="AN2328" t="s">
        <v>7439</v>
      </c>
      <c r="AO2328">
        <v>435</v>
      </c>
      <c r="AP2328" t="s">
        <v>45624</v>
      </c>
      <c r="AU2328">
        <v>1.4</v>
      </c>
      <c r="AV2328" t="s">
        <v>719</v>
      </c>
      <c r="AW2328" t="s">
        <v>200</v>
      </c>
    </row>
    <row r="2329" spans="1:49">
      <c r="A2329" s="1">
        <f>HYPERLINK("https://lsnyc.legalserver.org/matter/dynamic-profile/view/1879971","18-1879971")</f>
        <v>0</v>
      </c>
      <c r="B2329" t="s">
        <v>142</v>
      </c>
      <c r="C2329" t="s">
        <v>341</v>
      </c>
      <c r="D2329" t="s">
        <v>412</v>
      </c>
      <c r="E2329" t="s">
        <v>664</v>
      </c>
      <c r="F2329" t="s">
        <v>1473</v>
      </c>
      <c r="G2329" t="s">
        <v>6394</v>
      </c>
      <c r="H2329" t="s">
        <v>11549</v>
      </c>
      <c r="I2329" t="s">
        <v>17273</v>
      </c>
      <c r="J2329" t="s">
        <v>18913</v>
      </c>
      <c r="K2329">
        <v>11103</v>
      </c>
      <c r="L2329" t="s">
        <v>18958</v>
      </c>
      <c r="M2329" t="s">
        <v>18958</v>
      </c>
      <c r="N2329" t="s">
        <v>20722</v>
      </c>
      <c r="O2329" t="s">
        <v>26524</v>
      </c>
      <c r="P2329" t="s">
        <v>26564</v>
      </c>
      <c r="Q2329" t="s">
        <v>26570</v>
      </c>
      <c r="R2329" t="s">
        <v>26584</v>
      </c>
      <c r="S2329" t="s">
        <v>18959</v>
      </c>
      <c r="U2329" t="s">
        <v>26604</v>
      </c>
      <c r="V2329" t="s">
        <v>26610</v>
      </c>
      <c r="W2329" t="s">
        <v>412</v>
      </c>
      <c r="X2329">
        <v>1751</v>
      </c>
      <c r="Y2329" t="s">
        <v>26653</v>
      </c>
      <c r="Z2329" t="s">
        <v>26664</v>
      </c>
      <c r="AA2329" t="s">
        <v>26683</v>
      </c>
      <c r="AB2329" t="s">
        <v>28755</v>
      </c>
      <c r="AD2329" t="s">
        <v>38808</v>
      </c>
      <c r="AE2329">
        <v>35</v>
      </c>
      <c r="AF2329" t="s">
        <v>45541</v>
      </c>
      <c r="AG2329" t="s">
        <v>45559</v>
      </c>
      <c r="AH2329">
        <v>26</v>
      </c>
      <c r="AI2329">
        <v>2</v>
      </c>
      <c r="AJ2329">
        <v>0</v>
      </c>
      <c r="AK2329">
        <v>171.03</v>
      </c>
      <c r="AN2329" t="s">
        <v>7439</v>
      </c>
      <c r="AO2329">
        <v>28152</v>
      </c>
      <c r="AU2329">
        <v>2.1</v>
      </c>
      <c r="AV2329" t="s">
        <v>664</v>
      </c>
      <c r="AW2329" t="s">
        <v>161</v>
      </c>
    </row>
    <row r="2330" spans="1:49">
      <c r="A2330" s="1">
        <f>HYPERLINK("https://lsnyc.legalserver.org/matter/dynamic-profile/view/1879898","18-1879898")</f>
        <v>0</v>
      </c>
      <c r="B2330" t="s">
        <v>157</v>
      </c>
      <c r="C2330" t="s">
        <v>341</v>
      </c>
      <c r="D2330" t="s">
        <v>412</v>
      </c>
      <c r="E2330" t="s">
        <v>759</v>
      </c>
      <c r="F2330" t="s">
        <v>2209</v>
      </c>
      <c r="G2330" t="s">
        <v>6395</v>
      </c>
      <c r="H2330" t="s">
        <v>11351</v>
      </c>
      <c r="I2330" t="s">
        <v>17813</v>
      </c>
      <c r="J2330" t="s">
        <v>18893</v>
      </c>
      <c r="K2330">
        <v>10040</v>
      </c>
      <c r="L2330" t="s">
        <v>18958</v>
      </c>
      <c r="M2330" t="s">
        <v>18958</v>
      </c>
      <c r="O2330" t="s">
        <v>26534</v>
      </c>
      <c r="P2330" t="s">
        <v>26560</v>
      </c>
      <c r="Q2330" t="s">
        <v>26568</v>
      </c>
      <c r="R2330" t="s">
        <v>26578</v>
      </c>
      <c r="S2330" t="s">
        <v>18959</v>
      </c>
      <c r="U2330" t="s">
        <v>26604</v>
      </c>
      <c r="W2330" t="s">
        <v>412</v>
      </c>
      <c r="X2330">
        <v>838.13</v>
      </c>
      <c r="Y2330" t="s">
        <v>26651</v>
      </c>
      <c r="Z2330" t="s">
        <v>26659</v>
      </c>
      <c r="AA2330" t="s">
        <v>26685</v>
      </c>
      <c r="AB2330" t="s">
        <v>26946</v>
      </c>
      <c r="AD2330" t="s">
        <v>38809</v>
      </c>
      <c r="AE2330">
        <v>88</v>
      </c>
      <c r="AF2330" t="s">
        <v>45541</v>
      </c>
      <c r="AG2330" t="s">
        <v>19330</v>
      </c>
      <c r="AH2330">
        <v>4</v>
      </c>
      <c r="AI2330">
        <v>1</v>
      </c>
      <c r="AJ2330">
        <v>0</v>
      </c>
      <c r="AK2330">
        <v>171.33</v>
      </c>
      <c r="AN2330" t="s">
        <v>7439</v>
      </c>
      <c r="AO2330">
        <v>20800</v>
      </c>
      <c r="AU2330">
        <v>0.1</v>
      </c>
      <c r="AV2330" t="s">
        <v>759</v>
      </c>
      <c r="AW2330" t="s">
        <v>46840</v>
      </c>
    </row>
    <row r="2331" spans="1:49">
      <c r="A2331" s="1">
        <f>HYPERLINK("https://lsnyc.legalserver.org/matter/dynamic-profile/view/1879901","18-1879901")</f>
        <v>0</v>
      </c>
      <c r="B2331" t="s">
        <v>157</v>
      </c>
      <c r="C2331" t="s">
        <v>341</v>
      </c>
      <c r="D2331" t="s">
        <v>412</v>
      </c>
      <c r="E2331" t="s">
        <v>759</v>
      </c>
      <c r="F2331" t="s">
        <v>2210</v>
      </c>
      <c r="G2331" t="s">
        <v>6396</v>
      </c>
      <c r="H2331" t="s">
        <v>11351</v>
      </c>
      <c r="I2331" t="s">
        <v>17410</v>
      </c>
      <c r="J2331" t="s">
        <v>18893</v>
      </c>
      <c r="K2331">
        <v>10040</v>
      </c>
      <c r="L2331" t="s">
        <v>18958</v>
      </c>
      <c r="M2331" t="s">
        <v>18958</v>
      </c>
      <c r="O2331" t="s">
        <v>26534</v>
      </c>
      <c r="P2331" t="s">
        <v>26560</v>
      </c>
      <c r="Q2331" t="s">
        <v>26568</v>
      </c>
      <c r="R2331" t="s">
        <v>26578</v>
      </c>
      <c r="S2331" t="s">
        <v>18958</v>
      </c>
      <c r="U2331" t="s">
        <v>26604</v>
      </c>
      <c r="W2331" t="s">
        <v>412</v>
      </c>
      <c r="X2331">
        <v>2145</v>
      </c>
      <c r="Y2331" t="s">
        <v>26651</v>
      </c>
      <c r="Z2331" t="s">
        <v>26661</v>
      </c>
      <c r="AA2331" t="s">
        <v>26685</v>
      </c>
      <c r="AB2331" t="s">
        <v>28756</v>
      </c>
      <c r="AD2331" t="s">
        <v>38810</v>
      </c>
      <c r="AE2331">
        <v>88</v>
      </c>
      <c r="AF2331" t="s">
        <v>45541</v>
      </c>
      <c r="AG2331" t="s">
        <v>19330</v>
      </c>
      <c r="AH2331">
        <v>8</v>
      </c>
      <c r="AI2331">
        <v>2</v>
      </c>
      <c r="AJ2331">
        <v>1</v>
      </c>
      <c r="AK2331">
        <v>745.91</v>
      </c>
      <c r="AN2331" t="s">
        <v>7439</v>
      </c>
      <c r="AO2331">
        <v>155000</v>
      </c>
      <c r="AU2331">
        <v>0.1</v>
      </c>
      <c r="AV2331" t="s">
        <v>759</v>
      </c>
      <c r="AW2331" t="s">
        <v>46840</v>
      </c>
    </row>
    <row r="2332" spans="1:49">
      <c r="A2332" s="1">
        <f>HYPERLINK("https://lsnyc.legalserver.org/matter/dynamic-profile/view/1879919","18-1879919")</f>
        <v>0</v>
      </c>
      <c r="B2332" t="s">
        <v>55</v>
      </c>
      <c r="C2332" t="s">
        <v>340</v>
      </c>
      <c r="D2332" t="s">
        <v>412</v>
      </c>
      <c r="F2332" t="s">
        <v>1010</v>
      </c>
      <c r="G2332" t="s">
        <v>6397</v>
      </c>
      <c r="H2332" t="s">
        <v>11550</v>
      </c>
      <c r="I2332" t="s">
        <v>17355</v>
      </c>
      <c r="J2332" t="s">
        <v>18892</v>
      </c>
      <c r="K2332">
        <v>10453</v>
      </c>
      <c r="L2332" t="s">
        <v>18958</v>
      </c>
      <c r="M2332" t="s">
        <v>18958</v>
      </c>
      <c r="N2332" t="s">
        <v>20723</v>
      </c>
      <c r="O2332" t="s">
        <v>26524</v>
      </c>
      <c r="P2332" t="s">
        <v>26560</v>
      </c>
      <c r="R2332" t="s">
        <v>26578</v>
      </c>
      <c r="S2332" t="s">
        <v>18959</v>
      </c>
      <c r="U2332" t="s">
        <v>26604</v>
      </c>
      <c r="W2332" t="s">
        <v>412</v>
      </c>
      <c r="X2332">
        <v>0</v>
      </c>
      <c r="Y2332" t="s">
        <v>26650</v>
      </c>
      <c r="Z2332" t="s">
        <v>26655</v>
      </c>
      <c r="AB2332" t="s">
        <v>28757</v>
      </c>
      <c r="AC2332" t="s">
        <v>35209</v>
      </c>
      <c r="AD2332" t="s">
        <v>38811</v>
      </c>
      <c r="AE2332">
        <v>0</v>
      </c>
      <c r="AF2332" t="s">
        <v>45541</v>
      </c>
      <c r="AG2332" t="s">
        <v>45556</v>
      </c>
      <c r="AH2332">
        <v>14</v>
      </c>
      <c r="AI2332">
        <v>3</v>
      </c>
      <c r="AJ2332">
        <v>2</v>
      </c>
      <c r="AK2332">
        <v>37.08</v>
      </c>
      <c r="AN2332" t="s">
        <v>7439</v>
      </c>
      <c r="AO2332">
        <v>10908</v>
      </c>
      <c r="AU2332">
        <v>9.199999999999999</v>
      </c>
      <c r="AV2332" t="s">
        <v>671</v>
      </c>
      <c r="AW2332" t="s">
        <v>46832</v>
      </c>
    </row>
    <row r="2333" spans="1:49">
      <c r="A2333" s="1">
        <f>HYPERLINK("https://lsnyc.legalserver.org/matter/dynamic-profile/view/1879865","18-1879865")</f>
        <v>0</v>
      </c>
      <c r="B2333" t="s">
        <v>56</v>
      </c>
      <c r="C2333" t="s">
        <v>340</v>
      </c>
      <c r="D2333" t="s">
        <v>412</v>
      </c>
      <c r="F2333" t="s">
        <v>1767</v>
      </c>
      <c r="G2333" t="s">
        <v>5785</v>
      </c>
      <c r="H2333" t="s">
        <v>11551</v>
      </c>
      <c r="I2333">
        <v>3</v>
      </c>
      <c r="J2333" t="s">
        <v>18892</v>
      </c>
      <c r="K2333">
        <v>10457</v>
      </c>
      <c r="L2333" t="s">
        <v>18958</v>
      </c>
      <c r="M2333" t="s">
        <v>18958</v>
      </c>
      <c r="N2333" t="s">
        <v>20724</v>
      </c>
      <c r="O2333" t="s">
        <v>26526</v>
      </c>
      <c r="P2333" t="s">
        <v>26560</v>
      </c>
      <c r="R2333" t="s">
        <v>26577</v>
      </c>
      <c r="U2333" t="s">
        <v>26604</v>
      </c>
      <c r="V2333" t="s">
        <v>26610</v>
      </c>
      <c r="W2333" t="s">
        <v>412</v>
      </c>
      <c r="X2333">
        <v>1534</v>
      </c>
      <c r="Y2333" t="s">
        <v>26650</v>
      </c>
      <c r="Z2333" t="s">
        <v>26660</v>
      </c>
      <c r="AB2333" t="s">
        <v>28758</v>
      </c>
      <c r="AD2333" t="s">
        <v>38812</v>
      </c>
      <c r="AE2333">
        <v>0</v>
      </c>
      <c r="AF2333" t="s">
        <v>45545</v>
      </c>
      <c r="AG2333" t="s">
        <v>45557</v>
      </c>
      <c r="AH2333">
        <v>2</v>
      </c>
      <c r="AI2333">
        <v>1</v>
      </c>
      <c r="AJ2333">
        <v>3</v>
      </c>
      <c r="AK2333">
        <v>35.86</v>
      </c>
      <c r="AN2333" t="s">
        <v>7439</v>
      </c>
      <c r="AO2333">
        <v>9000</v>
      </c>
      <c r="AU2333">
        <v>4.5</v>
      </c>
      <c r="AV2333" t="s">
        <v>784</v>
      </c>
      <c r="AW2333" t="s">
        <v>46836</v>
      </c>
    </row>
    <row r="2334" spans="1:49">
      <c r="A2334" s="1">
        <f>HYPERLINK("https://lsnyc.legalserver.org/matter/dynamic-profile/view/1879938","18-1879938")</f>
        <v>0</v>
      </c>
      <c r="B2334" t="s">
        <v>56</v>
      </c>
      <c r="C2334" t="s">
        <v>340</v>
      </c>
      <c r="D2334" t="s">
        <v>412</v>
      </c>
      <c r="F2334" t="s">
        <v>1789</v>
      </c>
      <c r="G2334" t="s">
        <v>5313</v>
      </c>
      <c r="H2334" t="s">
        <v>11552</v>
      </c>
      <c r="I2334" t="s">
        <v>17349</v>
      </c>
      <c r="J2334" t="s">
        <v>18892</v>
      </c>
      <c r="K2334">
        <v>10457</v>
      </c>
      <c r="L2334" t="s">
        <v>18958</v>
      </c>
      <c r="M2334" t="s">
        <v>18958</v>
      </c>
      <c r="N2334" t="s">
        <v>20725</v>
      </c>
      <c r="O2334" t="s">
        <v>26523</v>
      </c>
      <c r="P2334" t="s">
        <v>26560</v>
      </c>
      <c r="R2334" t="s">
        <v>26579</v>
      </c>
      <c r="S2334" t="s">
        <v>18959</v>
      </c>
      <c r="U2334" t="s">
        <v>26604</v>
      </c>
      <c r="V2334" t="s">
        <v>26611</v>
      </c>
      <c r="W2334" t="s">
        <v>412</v>
      </c>
      <c r="X2334">
        <v>970.59</v>
      </c>
      <c r="Y2334" t="s">
        <v>26650</v>
      </c>
      <c r="Z2334" t="s">
        <v>26664</v>
      </c>
      <c r="AB2334" t="s">
        <v>27319</v>
      </c>
      <c r="AD2334" t="s">
        <v>38813</v>
      </c>
      <c r="AE2334">
        <v>60</v>
      </c>
      <c r="AF2334" t="s">
        <v>45541</v>
      </c>
      <c r="AG2334" t="s">
        <v>19330</v>
      </c>
      <c r="AH2334">
        <v>2</v>
      </c>
      <c r="AI2334">
        <v>2</v>
      </c>
      <c r="AJ2334">
        <v>0</v>
      </c>
      <c r="AK2334">
        <v>145.81</v>
      </c>
      <c r="AN2334" t="s">
        <v>45581</v>
      </c>
      <c r="AO2334">
        <v>24000</v>
      </c>
      <c r="AU2334">
        <v>2.6</v>
      </c>
      <c r="AV2334" t="s">
        <v>667</v>
      </c>
      <c r="AW2334" t="s">
        <v>46871</v>
      </c>
    </row>
    <row r="2335" spans="1:49">
      <c r="A2335" s="1">
        <f>HYPERLINK("https://lsnyc.legalserver.org/matter/dynamic-profile/view/1879964","18-1879964")</f>
        <v>0</v>
      </c>
      <c r="B2335" t="s">
        <v>258</v>
      </c>
      <c r="C2335" t="s">
        <v>340</v>
      </c>
      <c r="D2335" t="s">
        <v>412</v>
      </c>
      <c r="F2335" t="s">
        <v>1397</v>
      </c>
      <c r="G2335" t="s">
        <v>6398</v>
      </c>
      <c r="H2335" t="s">
        <v>11553</v>
      </c>
      <c r="I2335" t="s">
        <v>17814</v>
      </c>
      <c r="J2335" t="s">
        <v>18901</v>
      </c>
      <c r="K2335">
        <v>11434</v>
      </c>
      <c r="L2335" t="s">
        <v>18958</v>
      </c>
      <c r="M2335" t="s">
        <v>18958</v>
      </c>
      <c r="N2335" t="s">
        <v>20726</v>
      </c>
      <c r="O2335" t="s">
        <v>26523</v>
      </c>
      <c r="P2335" t="s">
        <v>26564</v>
      </c>
      <c r="R2335" t="s">
        <v>26585</v>
      </c>
      <c r="S2335" t="s">
        <v>18959</v>
      </c>
      <c r="U2335" t="s">
        <v>26604</v>
      </c>
      <c r="V2335" t="s">
        <v>26610</v>
      </c>
      <c r="W2335" t="s">
        <v>412</v>
      </c>
      <c r="X2335">
        <v>749</v>
      </c>
      <c r="Y2335" t="s">
        <v>26653</v>
      </c>
      <c r="Z2335" t="s">
        <v>26664</v>
      </c>
      <c r="AB2335" t="s">
        <v>28759</v>
      </c>
      <c r="AD2335" t="s">
        <v>38814</v>
      </c>
      <c r="AE2335">
        <v>293</v>
      </c>
      <c r="AF2335" t="s">
        <v>45550</v>
      </c>
      <c r="AG2335" t="s">
        <v>19330</v>
      </c>
      <c r="AH2335">
        <v>14</v>
      </c>
      <c r="AI2335">
        <v>1</v>
      </c>
      <c r="AJ2335">
        <v>1</v>
      </c>
      <c r="AK2335">
        <v>64.45</v>
      </c>
      <c r="AN2335" t="s">
        <v>7439</v>
      </c>
      <c r="AO2335">
        <v>10608</v>
      </c>
      <c r="AU2335">
        <v>9.550000000000001</v>
      </c>
      <c r="AV2335" t="s">
        <v>666</v>
      </c>
      <c r="AW2335" t="s">
        <v>161</v>
      </c>
    </row>
    <row r="2336" spans="1:49">
      <c r="A2336" s="1">
        <f>HYPERLINK("https://lsnyc.legalserver.org/matter/dynamic-profile/view/1879855","18-1879855")</f>
        <v>0</v>
      </c>
      <c r="B2336" t="s">
        <v>135</v>
      </c>
      <c r="C2336" t="s">
        <v>340</v>
      </c>
      <c r="D2336" t="s">
        <v>412</v>
      </c>
      <c r="F2336" t="s">
        <v>2211</v>
      </c>
      <c r="G2336" t="s">
        <v>6399</v>
      </c>
      <c r="H2336" t="s">
        <v>11554</v>
      </c>
      <c r="I2336" t="s">
        <v>17347</v>
      </c>
      <c r="J2336" t="s">
        <v>18892</v>
      </c>
      <c r="K2336">
        <v>10459</v>
      </c>
      <c r="L2336" t="s">
        <v>18958</v>
      </c>
      <c r="M2336" t="s">
        <v>18958</v>
      </c>
      <c r="N2336" t="s">
        <v>20727</v>
      </c>
      <c r="O2336" t="s">
        <v>26524</v>
      </c>
      <c r="P2336" t="s">
        <v>26560</v>
      </c>
      <c r="R2336" t="s">
        <v>26578</v>
      </c>
      <c r="S2336" t="s">
        <v>18959</v>
      </c>
      <c r="U2336" t="s">
        <v>26604</v>
      </c>
      <c r="V2336" t="s">
        <v>26610</v>
      </c>
      <c r="W2336" t="s">
        <v>412</v>
      </c>
      <c r="X2336">
        <v>1477</v>
      </c>
      <c r="Y2336" t="s">
        <v>26650</v>
      </c>
      <c r="Z2336" t="s">
        <v>26668</v>
      </c>
      <c r="AB2336" t="s">
        <v>28760</v>
      </c>
      <c r="AD2336" t="s">
        <v>38815</v>
      </c>
      <c r="AE2336">
        <v>26</v>
      </c>
      <c r="AF2336" t="s">
        <v>45541</v>
      </c>
      <c r="AG2336" t="s">
        <v>45556</v>
      </c>
      <c r="AH2336">
        <v>33</v>
      </c>
      <c r="AI2336">
        <v>3</v>
      </c>
      <c r="AJ2336">
        <v>0</v>
      </c>
      <c r="AK2336">
        <v>136.63</v>
      </c>
      <c r="AN2336" t="s">
        <v>45581</v>
      </c>
      <c r="AO2336">
        <v>28392</v>
      </c>
      <c r="AU2336">
        <v>39.1</v>
      </c>
      <c r="AV2336" t="s">
        <v>819</v>
      </c>
      <c r="AW2336" t="s">
        <v>46846</v>
      </c>
    </row>
    <row r="2337" spans="1:49">
      <c r="A2337" s="1">
        <f>HYPERLINK("https://lsnyc.legalserver.org/matter/dynamic-profile/view/1879936","18-1879936")</f>
        <v>0</v>
      </c>
      <c r="B2337" t="s">
        <v>82</v>
      </c>
      <c r="C2337" t="s">
        <v>340</v>
      </c>
      <c r="D2337" t="s">
        <v>412</v>
      </c>
      <c r="F2337" t="s">
        <v>871</v>
      </c>
      <c r="G2337" t="s">
        <v>5147</v>
      </c>
      <c r="H2337" t="s">
        <v>11555</v>
      </c>
      <c r="I2337" t="s">
        <v>17390</v>
      </c>
      <c r="J2337" t="s">
        <v>18892</v>
      </c>
      <c r="K2337">
        <v>10468</v>
      </c>
      <c r="L2337" t="s">
        <v>18958</v>
      </c>
      <c r="M2337" t="s">
        <v>18958</v>
      </c>
      <c r="N2337" t="s">
        <v>20728</v>
      </c>
      <c r="O2337" t="s">
        <v>26523</v>
      </c>
      <c r="P2337" t="s">
        <v>26560</v>
      </c>
      <c r="R2337" t="s">
        <v>26579</v>
      </c>
      <c r="S2337" t="s">
        <v>18959</v>
      </c>
      <c r="U2337" t="s">
        <v>26604</v>
      </c>
      <c r="V2337" t="s">
        <v>26610</v>
      </c>
      <c r="W2337" t="s">
        <v>412</v>
      </c>
      <c r="X2337">
        <v>2250</v>
      </c>
      <c r="Y2337" t="s">
        <v>26650</v>
      </c>
      <c r="Z2337" t="s">
        <v>26668</v>
      </c>
      <c r="AB2337" t="s">
        <v>28761</v>
      </c>
      <c r="AD2337" t="s">
        <v>38816</v>
      </c>
      <c r="AE2337">
        <v>90</v>
      </c>
      <c r="AF2337" t="s">
        <v>45541</v>
      </c>
      <c r="AG2337" t="s">
        <v>19330</v>
      </c>
      <c r="AH2337">
        <v>10</v>
      </c>
      <c r="AI2337">
        <v>2</v>
      </c>
      <c r="AJ2337">
        <v>1</v>
      </c>
      <c r="AK2337">
        <v>100.1</v>
      </c>
      <c r="AN2337" t="s">
        <v>45581</v>
      </c>
      <c r="AO2337">
        <v>20800</v>
      </c>
      <c r="AU2337">
        <v>13.9</v>
      </c>
      <c r="AV2337" t="s">
        <v>772</v>
      </c>
      <c r="AW2337" t="s">
        <v>46870</v>
      </c>
    </row>
    <row r="2338" spans="1:49">
      <c r="A2338" s="1">
        <f>HYPERLINK("https://lsnyc.legalserver.org/matter/dynamic-profile/view/1879986","18-1879986")</f>
        <v>0</v>
      </c>
      <c r="B2338" t="s">
        <v>200</v>
      </c>
      <c r="C2338" t="s">
        <v>340</v>
      </c>
      <c r="D2338" t="s">
        <v>412</v>
      </c>
      <c r="F2338" t="s">
        <v>1000</v>
      </c>
      <c r="G2338" t="s">
        <v>6400</v>
      </c>
      <c r="H2338">
        <v>163</v>
      </c>
      <c r="J2338" t="s">
        <v>18894</v>
      </c>
      <c r="K2338">
        <v>11212</v>
      </c>
      <c r="L2338" t="s">
        <v>18958</v>
      </c>
      <c r="M2338" t="s">
        <v>18958</v>
      </c>
      <c r="P2338" t="s">
        <v>26563</v>
      </c>
      <c r="R2338" t="s">
        <v>26583</v>
      </c>
      <c r="T2338" t="s">
        <v>26599</v>
      </c>
      <c r="U2338" t="s">
        <v>26604</v>
      </c>
      <c r="W2338" t="s">
        <v>412</v>
      </c>
      <c r="X2338">
        <v>0</v>
      </c>
      <c r="Y2338" t="s">
        <v>26652</v>
      </c>
      <c r="AB2338" t="s">
        <v>28762</v>
      </c>
      <c r="AD2338" t="s">
        <v>38817</v>
      </c>
      <c r="AE2338">
        <v>0</v>
      </c>
      <c r="AH2338">
        <v>0</v>
      </c>
      <c r="AI2338">
        <v>2</v>
      </c>
      <c r="AJ2338">
        <v>0</v>
      </c>
      <c r="AK2338">
        <v>357.23</v>
      </c>
      <c r="AO2338">
        <v>58800</v>
      </c>
      <c r="AU2338">
        <v>0.9</v>
      </c>
      <c r="AV2338" t="s">
        <v>639</v>
      </c>
      <c r="AW2338" t="s">
        <v>200</v>
      </c>
    </row>
    <row r="2339" spans="1:49">
      <c r="A2339" s="1">
        <f>HYPERLINK("https://lsnyc.legalserver.org/matter/dynamic-profile/view/1879906","18-1879906")</f>
        <v>0</v>
      </c>
      <c r="B2339" t="s">
        <v>142</v>
      </c>
      <c r="C2339" t="s">
        <v>340</v>
      </c>
      <c r="D2339" t="s">
        <v>412</v>
      </c>
      <c r="F2339" t="s">
        <v>1562</v>
      </c>
      <c r="G2339" t="s">
        <v>6401</v>
      </c>
      <c r="H2339" t="s">
        <v>11556</v>
      </c>
      <c r="I2339" t="s">
        <v>17312</v>
      </c>
      <c r="J2339" t="s">
        <v>18926</v>
      </c>
      <c r="K2339">
        <v>11378</v>
      </c>
      <c r="L2339" t="s">
        <v>18958</v>
      </c>
      <c r="M2339" t="s">
        <v>18958</v>
      </c>
      <c r="N2339" t="s">
        <v>20729</v>
      </c>
      <c r="O2339" t="s">
        <v>26524</v>
      </c>
      <c r="P2339" t="s">
        <v>26560</v>
      </c>
      <c r="R2339" t="s">
        <v>26584</v>
      </c>
      <c r="S2339" t="s">
        <v>18959</v>
      </c>
      <c r="U2339" t="s">
        <v>26604</v>
      </c>
      <c r="V2339" t="s">
        <v>26610</v>
      </c>
      <c r="W2339" t="s">
        <v>412</v>
      </c>
      <c r="X2339">
        <v>2000</v>
      </c>
      <c r="Y2339" t="s">
        <v>26653</v>
      </c>
      <c r="Z2339" t="s">
        <v>26664</v>
      </c>
      <c r="AB2339" t="s">
        <v>28763</v>
      </c>
      <c r="AD2339" t="s">
        <v>38818</v>
      </c>
      <c r="AE2339">
        <v>3</v>
      </c>
      <c r="AF2339" t="s">
        <v>45547</v>
      </c>
      <c r="AG2339" t="s">
        <v>19330</v>
      </c>
      <c r="AH2339">
        <v>6</v>
      </c>
      <c r="AI2339">
        <v>2</v>
      </c>
      <c r="AJ2339">
        <v>0</v>
      </c>
      <c r="AK2339">
        <v>217.19</v>
      </c>
      <c r="AL2339" t="s">
        <v>800</v>
      </c>
      <c r="AM2339" t="s">
        <v>45575</v>
      </c>
      <c r="AN2339" t="s">
        <v>7439</v>
      </c>
      <c r="AO2339">
        <v>35750</v>
      </c>
      <c r="AU2339">
        <v>31.6</v>
      </c>
      <c r="AV2339" t="s">
        <v>646</v>
      </c>
      <c r="AW2339" t="s">
        <v>208</v>
      </c>
    </row>
    <row r="2340" spans="1:49">
      <c r="A2340" s="1">
        <f>HYPERLINK("https://lsnyc.legalserver.org/matter/dynamic-profile/view/1879860","18-1879860")</f>
        <v>0</v>
      </c>
      <c r="B2340" t="s">
        <v>122</v>
      </c>
      <c r="C2340" t="s">
        <v>340</v>
      </c>
      <c r="D2340" t="s">
        <v>412</v>
      </c>
      <c r="F2340" t="s">
        <v>2212</v>
      </c>
      <c r="G2340" t="s">
        <v>6402</v>
      </c>
      <c r="H2340" t="s">
        <v>11557</v>
      </c>
      <c r="I2340">
        <v>701</v>
      </c>
      <c r="J2340" t="s">
        <v>7026</v>
      </c>
      <c r="K2340">
        <v>11368</v>
      </c>
      <c r="L2340" t="s">
        <v>18958</v>
      </c>
      <c r="M2340" t="s">
        <v>18960</v>
      </c>
      <c r="N2340" t="s">
        <v>20730</v>
      </c>
      <c r="O2340" t="s">
        <v>26523</v>
      </c>
      <c r="R2340" t="s">
        <v>26584</v>
      </c>
      <c r="S2340" t="s">
        <v>26598</v>
      </c>
      <c r="U2340" t="s">
        <v>26604</v>
      </c>
      <c r="W2340" t="s">
        <v>412</v>
      </c>
      <c r="X2340">
        <v>2119</v>
      </c>
      <c r="Y2340" t="s">
        <v>26653</v>
      </c>
      <c r="Z2340" t="s">
        <v>26664</v>
      </c>
      <c r="AB2340" t="s">
        <v>28764</v>
      </c>
      <c r="AD2340" t="s">
        <v>38819</v>
      </c>
      <c r="AE2340">
        <v>80</v>
      </c>
      <c r="AF2340" t="s">
        <v>45541</v>
      </c>
      <c r="AG2340" t="s">
        <v>19330</v>
      </c>
      <c r="AH2340">
        <v>2</v>
      </c>
      <c r="AI2340">
        <v>2</v>
      </c>
      <c r="AJ2340">
        <v>1</v>
      </c>
      <c r="AK2340">
        <v>153.99</v>
      </c>
      <c r="AN2340" t="s">
        <v>7439</v>
      </c>
      <c r="AO2340">
        <v>32000</v>
      </c>
      <c r="AU2340">
        <v>1.55</v>
      </c>
      <c r="AV2340" t="s">
        <v>623</v>
      </c>
      <c r="AW2340" t="s">
        <v>122</v>
      </c>
    </row>
    <row r="2341" spans="1:49">
      <c r="A2341" s="1">
        <f>HYPERLINK("https://lsnyc.legalserver.org/matter/dynamic-profile/view/1879846","18-1879846")</f>
        <v>0</v>
      </c>
      <c r="B2341" t="s">
        <v>103</v>
      </c>
      <c r="C2341" t="s">
        <v>340</v>
      </c>
      <c r="D2341" t="s">
        <v>412</v>
      </c>
      <c r="F2341" t="s">
        <v>2169</v>
      </c>
      <c r="G2341" t="s">
        <v>3138</v>
      </c>
      <c r="H2341" t="s">
        <v>11558</v>
      </c>
      <c r="I2341" t="s">
        <v>17272</v>
      </c>
      <c r="J2341" t="s">
        <v>18902</v>
      </c>
      <c r="K2341">
        <v>10303</v>
      </c>
      <c r="L2341" t="s">
        <v>18958</v>
      </c>
      <c r="M2341" t="s">
        <v>18958</v>
      </c>
      <c r="N2341" t="s">
        <v>20731</v>
      </c>
      <c r="O2341" t="s">
        <v>26523</v>
      </c>
      <c r="P2341" t="s">
        <v>26560</v>
      </c>
      <c r="R2341" t="s">
        <v>26590</v>
      </c>
      <c r="S2341" t="s">
        <v>18959</v>
      </c>
      <c r="U2341" t="s">
        <v>26604</v>
      </c>
      <c r="V2341" t="s">
        <v>26610</v>
      </c>
      <c r="W2341" t="s">
        <v>412</v>
      </c>
      <c r="X2341">
        <v>2490.17</v>
      </c>
      <c r="Y2341" t="s">
        <v>26654</v>
      </c>
      <c r="Z2341" t="s">
        <v>26668</v>
      </c>
      <c r="AB2341" t="s">
        <v>26836</v>
      </c>
      <c r="AD2341" t="s">
        <v>38820</v>
      </c>
      <c r="AE2341">
        <v>18</v>
      </c>
      <c r="AF2341" t="s">
        <v>45549</v>
      </c>
      <c r="AG2341" t="s">
        <v>19330</v>
      </c>
      <c r="AH2341">
        <v>10</v>
      </c>
      <c r="AI2341">
        <v>4</v>
      </c>
      <c r="AJ2341">
        <v>2</v>
      </c>
      <c r="AK2341">
        <v>84.56</v>
      </c>
      <c r="AN2341" t="s">
        <v>7439</v>
      </c>
      <c r="AO2341">
        <v>28529.28</v>
      </c>
      <c r="AU2341">
        <v>16.6</v>
      </c>
      <c r="AV2341" t="s">
        <v>815</v>
      </c>
      <c r="AW2341" t="s">
        <v>190</v>
      </c>
    </row>
    <row r="2342" spans="1:49">
      <c r="A2342" s="1">
        <f>HYPERLINK("https://lsnyc.legalserver.org/matter/dynamic-profile/view/1879947","18-1879947")</f>
        <v>0</v>
      </c>
      <c r="B2342" t="s">
        <v>198</v>
      </c>
      <c r="C2342" t="s">
        <v>340</v>
      </c>
      <c r="D2342" t="s">
        <v>412</v>
      </c>
      <c r="F2342" t="s">
        <v>1502</v>
      </c>
      <c r="G2342" t="s">
        <v>6386</v>
      </c>
      <c r="H2342" t="s">
        <v>11536</v>
      </c>
      <c r="I2342" t="s">
        <v>17810</v>
      </c>
      <c r="J2342" t="s">
        <v>18894</v>
      </c>
      <c r="K2342">
        <v>11230</v>
      </c>
      <c r="L2342" t="s">
        <v>18958</v>
      </c>
      <c r="M2342" t="s">
        <v>18958</v>
      </c>
      <c r="P2342" t="s">
        <v>26565</v>
      </c>
      <c r="R2342" t="s">
        <v>26578</v>
      </c>
      <c r="S2342" t="s">
        <v>18958</v>
      </c>
      <c r="U2342" t="s">
        <v>26604</v>
      </c>
      <c r="W2342" t="s">
        <v>412</v>
      </c>
      <c r="X2342">
        <v>0</v>
      </c>
      <c r="Y2342" t="s">
        <v>26652</v>
      </c>
      <c r="AB2342" t="s">
        <v>28744</v>
      </c>
      <c r="AE2342">
        <v>51</v>
      </c>
      <c r="AH2342">
        <v>0</v>
      </c>
      <c r="AI2342">
        <v>2</v>
      </c>
      <c r="AJ2342">
        <v>0</v>
      </c>
      <c r="AK2342">
        <v>0</v>
      </c>
      <c r="AN2342" t="s">
        <v>7439</v>
      </c>
      <c r="AO2342">
        <v>0</v>
      </c>
      <c r="AP2342" t="s">
        <v>45748</v>
      </c>
      <c r="AU2342">
        <v>0.8</v>
      </c>
      <c r="AV2342" t="s">
        <v>828</v>
      </c>
      <c r="AW2342" t="s">
        <v>198</v>
      </c>
    </row>
    <row r="2343" spans="1:49">
      <c r="A2343" s="1">
        <f>HYPERLINK("https://lsnyc.legalserver.org/matter/dynamic-profile/view/1879880","18-1879880")</f>
        <v>0</v>
      </c>
      <c r="B2343" t="s">
        <v>198</v>
      </c>
      <c r="C2343" t="s">
        <v>340</v>
      </c>
      <c r="D2343" t="s">
        <v>412</v>
      </c>
      <c r="F2343" t="s">
        <v>2213</v>
      </c>
      <c r="G2343" t="s">
        <v>6403</v>
      </c>
      <c r="H2343" t="s">
        <v>11559</v>
      </c>
      <c r="J2343" t="s">
        <v>18894</v>
      </c>
      <c r="K2343">
        <v>11226</v>
      </c>
      <c r="L2343" t="s">
        <v>18958</v>
      </c>
      <c r="M2343" t="s">
        <v>18958</v>
      </c>
      <c r="O2343" t="s">
        <v>26531</v>
      </c>
      <c r="P2343" t="s">
        <v>26562</v>
      </c>
      <c r="R2343" t="s">
        <v>26578</v>
      </c>
      <c r="U2343" t="s">
        <v>26604</v>
      </c>
      <c r="W2343" t="s">
        <v>412</v>
      </c>
      <c r="X2343">
        <v>0</v>
      </c>
      <c r="Y2343" t="s">
        <v>26652</v>
      </c>
      <c r="AB2343" t="s">
        <v>28765</v>
      </c>
      <c r="AD2343" t="s">
        <v>38821</v>
      </c>
      <c r="AE2343">
        <v>0</v>
      </c>
      <c r="AH2343">
        <v>0</v>
      </c>
      <c r="AI2343">
        <v>2</v>
      </c>
      <c r="AJ2343">
        <v>0</v>
      </c>
      <c r="AK2343">
        <v>0</v>
      </c>
      <c r="AN2343" t="s">
        <v>7439</v>
      </c>
      <c r="AO2343">
        <v>0</v>
      </c>
      <c r="AU2343">
        <v>4.5</v>
      </c>
      <c r="AV2343" t="s">
        <v>828</v>
      </c>
      <c r="AW2343" t="s">
        <v>198</v>
      </c>
    </row>
    <row r="2344" spans="1:49">
      <c r="A2344" s="1">
        <f>HYPERLINK("https://lsnyc.legalserver.org/matter/dynamic-profile/view/1879884","18-1879884")</f>
        <v>0</v>
      </c>
      <c r="B2344" t="s">
        <v>112</v>
      </c>
      <c r="C2344" t="s">
        <v>340</v>
      </c>
      <c r="D2344" t="s">
        <v>412</v>
      </c>
      <c r="F2344" t="s">
        <v>881</v>
      </c>
      <c r="G2344" t="s">
        <v>5147</v>
      </c>
      <c r="H2344" t="s">
        <v>11560</v>
      </c>
      <c r="I2344">
        <v>1</v>
      </c>
      <c r="J2344" t="s">
        <v>18920</v>
      </c>
      <c r="K2344">
        <v>11369</v>
      </c>
      <c r="L2344" t="s">
        <v>18958</v>
      </c>
      <c r="M2344" t="s">
        <v>18958</v>
      </c>
      <c r="N2344" t="s">
        <v>20732</v>
      </c>
      <c r="O2344" t="s">
        <v>26524</v>
      </c>
      <c r="P2344" t="s">
        <v>26564</v>
      </c>
      <c r="R2344" t="s">
        <v>26584</v>
      </c>
      <c r="S2344" t="s">
        <v>18959</v>
      </c>
      <c r="U2344" t="s">
        <v>26604</v>
      </c>
      <c r="W2344" t="s">
        <v>412</v>
      </c>
      <c r="X2344">
        <v>1396.03</v>
      </c>
      <c r="Y2344" t="s">
        <v>26653</v>
      </c>
      <c r="Z2344" t="s">
        <v>26664</v>
      </c>
      <c r="AB2344" t="s">
        <v>28766</v>
      </c>
      <c r="AC2344" t="s">
        <v>35210</v>
      </c>
      <c r="AD2344" t="s">
        <v>38822</v>
      </c>
      <c r="AE2344">
        <v>2</v>
      </c>
      <c r="AF2344" t="s">
        <v>45547</v>
      </c>
      <c r="AG2344" t="s">
        <v>45556</v>
      </c>
      <c r="AH2344">
        <v>2</v>
      </c>
      <c r="AI2344">
        <v>4</v>
      </c>
      <c r="AJ2344">
        <v>0</v>
      </c>
      <c r="AK2344">
        <v>70.09</v>
      </c>
      <c r="AO2344">
        <v>17592</v>
      </c>
      <c r="AU2344">
        <v>1.6</v>
      </c>
      <c r="AV2344" t="s">
        <v>811</v>
      </c>
      <c r="AW2344" t="s">
        <v>122</v>
      </c>
    </row>
    <row r="2345" spans="1:49">
      <c r="A2345" s="1">
        <f>HYPERLINK("https://lsnyc.legalserver.org/matter/dynamic-profile/view/1879897","18-1879897")</f>
        <v>0</v>
      </c>
      <c r="B2345" t="s">
        <v>112</v>
      </c>
      <c r="C2345" t="s">
        <v>340</v>
      </c>
      <c r="D2345" t="s">
        <v>412</v>
      </c>
      <c r="F2345" t="s">
        <v>893</v>
      </c>
      <c r="G2345" t="s">
        <v>6404</v>
      </c>
      <c r="H2345" t="s">
        <v>11561</v>
      </c>
      <c r="I2345">
        <v>11694</v>
      </c>
      <c r="J2345" t="s">
        <v>18922</v>
      </c>
      <c r="K2345">
        <v>11694</v>
      </c>
      <c r="L2345" t="s">
        <v>18958</v>
      </c>
      <c r="M2345" t="s">
        <v>18958</v>
      </c>
      <c r="N2345" t="s">
        <v>20733</v>
      </c>
      <c r="O2345" t="s">
        <v>26524</v>
      </c>
      <c r="P2345" t="s">
        <v>26564</v>
      </c>
      <c r="R2345" t="s">
        <v>26584</v>
      </c>
      <c r="S2345" t="s">
        <v>18959</v>
      </c>
      <c r="U2345" t="s">
        <v>26604</v>
      </c>
      <c r="V2345" t="s">
        <v>26610</v>
      </c>
      <c r="W2345" t="s">
        <v>412</v>
      </c>
      <c r="X2345">
        <v>1500</v>
      </c>
      <c r="Y2345" t="s">
        <v>26653</v>
      </c>
      <c r="Z2345" t="s">
        <v>26664</v>
      </c>
      <c r="AB2345" t="s">
        <v>28767</v>
      </c>
      <c r="AC2345" t="s">
        <v>35211</v>
      </c>
      <c r="AD2345" t="s">
        <v>38823</v>
      </c>
      <c r="AE2345">
        <v>5</v>
      </c>
      <c r="AF2345" t="s">
        <v>45547</v>
      </c>
      <c r="AG2345" t="s">
        <v>19330</v>
      </c>
      <c r="AH2345">
        <v>1</v>
      </c>
      <c r="AI2345">
        <v>1</v>
      </c>
      <c r="AJ2345">
        <v>0</v>
      </c>
      <c r="AK2345">
        <v>82.04000000000001</v>
      </c>
      <c r="AN2345" t="s">
        <v>7439</v>
      </c>
      <c r="AO2345">
        <v>9960</v>
      </c>
      <c r="AU2345">
        <v>1.7</v>
      </c>
      <c r="AV2345" t="s">
        <v>458</v>
      </c>
      <c r="AW2345" t="s">
        <v>122</v>
      </c>
    </row>
    <row r="2346" spans="1:49">
      <c r="A2346" s="1">
        <f>HYPERLINK("https://lsnyc.legalserver.org/matter/dynamic-profile/view/1879861","18-1879861")</f>
        <v>0</v>
      </c>
      <c r="B2346" t="s">
        <v>112</v>
      </c>
      <c r="C2346" t="s">
        <v>340</v>
      </c>
      <c r="D2346" t="s">
        <v>412</v>
      </c>
      <c r="F2346" t="s">
        <v>1980</v>
      </c>
      <c r="G2346" t="s">
        <v>5170</v>
      </c>
      <c r="H2346" t="s">
        <v>11562</v>
      </c>
      <c r="I2346" t="s">
        <v>17578</v>
      </c>
      <c r="J2346" t="s">
        <v>18920</v>
      </c>
      <c r="K2346">
        <v>11370</v>
      </c>
      <c r="L2346" t="s">
        <v>18958</v>
      </c>
      <c r="M2346" t="s">
        <v>18958</v>
      </c>
      <c r="N2346" t="s">
        <v>20734</v>
      </c>
      <c r="O2346" t="s">
        <v>26524</v>
      </c>
      <c r="P2346" t="s">
        <v>26564</v>
      </c>
      <c r="R2346" t="s">
        <v>26584</v>
      </c>
      <c r="S2346" t="s">
        <v>18959</v>
      </c>
      <c r="U2346" t="s">
        <v>26604</v>
      </c>
      <c r="V2346" t="s">
        <v>26610</v>
      </c>
      <c r="W2346" t="s">
        <v>412</v>
      </c>
      <c r="X2346">
        <v>2300</v>
      </c>
      <c r="Y2346" t="s">
        <v>26653</v>
      </c>
      <c r="Z2346" t="s">
        <v>26664</v>
      </c>
      <c r="AB2346" t="s">
        <v>28768</v>
      </c>
      <c r="AD2346" t="s">
        <v>38824</v>
      </c>
      <c r="AE2346">
        <v>3</v>
      </c>
      <c r="AF2346" t="s">
        <v>20460</v>
      </c>
      <c r="AG2346" t="s">
        <v>19330</v>
      </c>
      <c r="AH2346">
        <v>5</v>
      </c>
      <c r="AI2346">
        <v>2</v>
      </c>
      <c r="AJ2346">
        <v>2</v>
      </c>
      <c r="AK2346">
        <v>99.59999999999999</v>
      </c>
      <c r="AN2346" t="s">
        <v>7439</v>
      </c>
      <c r="AO2346">
        <v>25000</v>
      </c>
      <c r="AU2346">
        <v>1.8</v>
      </c>
      <c r="AV2346" t="s">
        <v>412</v>
      </c>
      <c r="AW2346" t="s">
        <v>208</v>
      </c>
    </row>
    <row r="2347" spans="1:49">
      <c r="A2347" s="1">
        <f>HYPERLINK("https://lsnyc.legalserver.org/matter/dynamic-profile/view/1879890","18-1879890")</f>
        <v>0</v>
      </c>
      <c r="B2347" t="s">
        <v>112</v>
      </c>
      <c r="C2347" t="s">
        <v>340</v>
      </c>
      <c r="D2347" t="s">
        <v>412</v>
      </c>
      <c r="F2347" t="s">
        <v>2214</v>
      </c>
      <c r="G2347" t="s">
        <v>6405</v>
      </c>
      <c r="H2347" t="s">
        <v>11563</v>
      </c>
      <c r="I2347">
        <v>2</v>
      </c>
      <c r="J2347" t="s">
        <v>18931</v>
      </c>
      <c r="K2347">
        <v>11412</v>
      </c>
      <c r="L2347" t="s">
        <v>18958</v>
      </c>
      <c r="M2347" t="s">
        <v>18958</v>
      </c>
      <c r="N2347" t="s">
        <v>20735</v>
      </c>
      <c r="O2347" t="s">
        <v>26524</v>
      </c>
      <c r="P2347" t="s">
        <v>26564</v>
      </c>
      <c r="R2347" t="s">
        <v>26584</v>
      </c>
      <c r="S2347" t="s">
        <v>18959</v>
      </c>
      <c r="U2347" t="s">
        <v>26604</v>
      </c>
      <c r="V2347" t="s">
        <v>26610</v>
      </c>
      <c r="W2347" t="s">
        <v>412</v>
      </c>
      <c r="X2347">
        <v>1200</v>
      </c>
      <c r="Y2347" t="s">
        <v>26653</v>
      </c>
      <c r="Z2347" t="s">
        <v>26664</v>
      </c>
      <c r="AB2347" t="s">
        <v>28769</v>
      </c>
      <c r="AD2347" t="s">
        <v>38825</v>
      </c>
      <c r="AE2347">
        <v>2</v>
      </c>
      <c r="AF2347" t="s">
        <v>45547</v>
      </c>
      <c r="AG2347" t="s">
        <v>19330</v>
      </c>
      <c r="AH2347">
        <v>2</v>
      </c>
      <c r="AI2347">
        <v>1</v>
      </c>
      <c r="AJ2347">
        <v>1</v>
      </c>
      <c r="AK2347">
        <v>139.73</v>
      </c>
      <c r="AN2347" t="s">
        <v>7439</v>
      </c>
      <c r="AO2347">
        <v>23000</v>
      </c>
      <c r="AU2347">
        <v>1.5</v>
      </c>
      <c r="AV2347" t="s">
        <v>412</v>
      </c>
      <c r="AW2347" t="s">
        <v>122</v>
      </c>
    </row>
    <row r="2348" spans="1:49">
      <c r="A2348" s="1">
        <f>HYPERLINK("https://lsnyc.legalserver.org/matter/dynamic-profile/view/1879998","18-1879998")</f>
        <v>0</v>
      </c>
      <c r="B2348" t="s">
        <v>193</v>
      </c>
      <c r="C2348" t="s">
        <v>340</v>
      </c>
      <c r="D2348" t="s">
        <v>412</v>
      </c>
      <c r="F2348" t="s">
        <v>1838</v>
      </c>
      <c r="G2348" t="s">
        <v>6406</v>
      </c>
      <c r="H2348" t="s">
        <v>11564</v>
      </c>
      <c r="I2348" t="s">
        <v>17362</v>
      </c>
      <c r="J2348" t="s">
        <v>18894</v>
      </c>
      <c r="K2348">
        <v>11207</v>
      </c>
      <c r="L2348" t="s">
        <v>18958</v>
      </c>
      <c r="M2348" t="s">
        <v>18958</v>
      </c>
      <c r="O2348" t="s">
        <v>26523</v>
      </c>
      <c r="P2348" t="s">
        <v>26560</v>
      </c>
      <c r="R2348" t="s">
        <v>26586</v>
      </c>
      <c r="U2348" t="s">
        <v>26605</v>
      </c>
      <c r="V2348" t="s">
        <v>26610</v>
      </c>
      <c r="W2348" t="s">
        <v>412</v>
      </c>
      <c r="X2348">
        <v>0</v>
      </c>
      <c r="Y2348" t="s">
        <v>26652</v>
      </c>
      <c r="AB2348" t="s">
        <v>28770</v>
      </c>
      <c r="AD2348" t="s">
        <v>38826</v>
      </c>
      <c r="AE2348">
        <v>0</v>
      </c>
      <c r="AF2348" t="s">
        <v>45549</v>
      </c>
      <c r="AH2348">
        <v>16</v>
      </c>
      <c r="AI2348">
        <v>1</v>
      </c>
      <c r="AJ2348">
        <v>0</v>
      </c>
      <c r="AK2348">
        <v>163.49</v>
      </c>
      <c r="AN2348" t="s">
        <v>7439</v>
      </c>
      <c r="AO2348">
        <v>19848</v>
      </c>
      <c r="AP2348" t="s">
        <v>45624</v>
      </c>
      <c r="AU2348">
        <v>39.95</v>
      </c>
      <c r="AV2348" t="s">
        <v>710</v>
      </c>
      <c r="AW2348" t="s">
        <v>200</v>
      </c>
    </row>
    <row r="2349" spans="1:49">
      <c r="A2349" s="1">
        <f>HYPERLINK("https://lsnyc.legalserver.org/matter/dynamic-profile/view/1879909","18-1879909")</f>
        <v>0</v>
      </c>
      <c r="B2349" t="s">
        <v>157</v>
      </c>
      <c r="C2349" t="s">
        <v>340</v>
      </c>
      <c r="D2349" t="s">
        <v>412</v>
      </c>
      <c r="F2349" t="s">
        <v>962</v>
      </c>
      <c r="G2349" t="s">
        <v>6407</v>
      </c>
      <c r="H2349" t="s">
        <v>11351</v>
      </c>
      <c r="I2349" t="s">
        <v>17292</v>
      </c>
      <c r="J2349" t="s">
        <v>18893</v>
      </c>
      <c r="K2349">
        <v>10040</v>
      </c>
      <c r="L2349" t="s">
        <v>18958</v>
      </c>
      <c r="M2349" t="s">
        <v>18959</v>
      </c>
      <c r="O2349" t="s">
        <v>26534</v>
      </c>
      <c r="P2349" t="s">
        <v>26560</v>
      </c>
      <c r="R2349" t="s">
        <v>26578</v>
      </c>
      <c r="S2349" t="s">
        <v>18958</v>
      </c>
      <c r="U2349" t="s">
        <v>26604</v>
      </c>
      <c r="W2349" t="s">
        <v>412</v>
      </c>
      <c r="X2349">
        <v>959</v>
      </c>
      <c r="Y2349" t="s">
        <v>26651</v>
      </c>
      <c r="Z2349" t="s">
        <v>26659</v>
      </c>
      <c r="AB2349" t="s">
        <v>28771</v>
      </c>
      <c r="AD2349" t="s">
        <v>38827</v>
      </c>
      <c r="AE2349">
        <v>88</v>
      </c>
      <c r="AF2349" t="s">
        <v>45541</v>
      </c>
      <c r="AG2349" t="s">
        <v>45559</v>
      </c>
      <c r="AH2349">
        <v>37</v>
      </c>
      <c r="AI2349">
        <v>1</v>
      </c>
      <c r="AJ2349">
        <v>0</v>
      </c>
      <c r="AK2349">
        <v>81.05</v>
      </c>
      <c r="AN2349" t="s">
        <v>45581</v>
      </c>
      <c r="AO2349">
        <v>9840</v>
      </c>
      <c r="AU2349">
        <v>0</v>
      </c>
      <c r="AW2349" t="s">
        <v>46840</v>
      </c>
    </row>
    <row r="2350" spans="1:49">
      <c r="A2350" s="1">
        <f>HYPERLINK("https://lsnyc.legalserver.org/matter/dynamic-profile/view/1879905","18-1879905")</f>
        <v>0</v>
      </c>
      <c r="B2350" t="s">
        <v>157</v>
      </c>
      <c r="C2350" t="s">
        <v>340</v>
      </c>
      <c r="D2350" t="s">
        <v>412</v>
      </c>
      <c r="F2350" t="s">
        <v>2215</v>
      </c>
      <c r="G2350" t="s">
        <v>5208</v>
      </c>
      <c r="H2350" t="s">
        <v>11351</v>
      </c>
      <c r="I2350" t="s">
        <v>17343</v>
      </c>
      <c r="J2350" t="s">
        <v>18893</v>
      </c>
      <c r="K2350">
        <v>10040</v>
      </c>
      <c r="L2350" t="s">
        <v>18958</v>
      </c>
      <c r="M2350" t="s">
        <v>18959</v>
      </c>
      <c r="O2350" t="s">
        <v>26534</v>
      </c>
      <c r="P2350" t="s">
        <v>26561</v>
      </c>
      <c r="R2350" t="s">
        <v>26578</v>
      </c>
      <c r="S2350" t="s">
        <v>18958</v>
      </c>
      <c r="U2350" t="s">
        <v>26604</v>
      </c>
      <c r="W2350" t="s">
        <v>412</v>
      </c>
      <c r="X2350">
        <v>1585</v>
      </c>
      <c r="Y2350" t="s">
        <v>26651</v>
      </c>
      <c r="Z2350" t="s">
        <v>26659</v>
      </c>
      <c r="AB2350" t="s">
        <v>28772</v>
      </c>
      <c r="AE2350">
        <v>88</v>
      </c>
      <c r="AF2350" t="s">
        <v>45541</v>
      </c>
      <c r="AH2350">
        <v>20</v>
      </c>
      <c r="AI2350">
        <v>3</v>
      </c>
      <c r="AJ2350">
        <v>2</v>
      </c>
      <c r="AK2350">
        <v>163.15</v>
      </c>
      <c r="AN2350" t="s">
        <v>7439</v>
      </c>
      <c r="AO2350">
        <v>48000</v>
      </c>
      <c r="AU2350">
        <v>0</v>
      </c>
      <c r="AW2350" t="s">
        <v>46840</v>
      </c>
    </row>
    <row r="2351" spans="1:49">
      <c r="A2351" s="1">
        <f>HYPERLINK("https://lsnyc.legalserver.org/matter/dynamic-profile/view/1879892","18-1879892")</f>
        <v>0</v>
      </c>
      <c r="B2351" t="s">
        <v>157</v>
      </c>
      <c r="C2351" t="s">
        <v>340</v>
      </c>
      <c r="D2351" t="s">
        <v>412</v>
      </c>
      <c r="F2351" t="s">
        <v>916</v>
      </c>
      <c r="G2351" t="s">
        <v>5657</v>
      </c>
      <c r="H2351" t="s">
        <v>11351</v>
      </c>
      <c r="I2351" t="s">
        <v>17278</v>
      </c>
      <c r="J2351" t="s">
        <v>18893</v>
      </c>
      <c r="K2351">
        <v>10040</v>
      </c>
      <c r="L2351" t="s">
        <v>18958</v>
      </c>
      <c r="M2351" t="s">
        <v>18958</v>
      </c>
      <c r="O2351" t="s">
        <v>26534</v>
      </c>
      <c r="P2351" t="s">
        <v>26560</v>
      </c>
      <c r="R2351" t="s">
        <v>26578</v>
      </c>
      <c r="S2351" t="s">
        <v>18958</v>
      </c>
      <c r="U2351" t="s">
        <v>26604</v>
      </c>
      <c r="W2351" t="s">
        <v>412</v>
      </c>
      <c r="X2351">
        <v>1269.44</v>
      </c>
      <c r="Y2351" t="s">
        <v>26651</v>
      </c>
      <c r="Z2351" t="s">
        <v>26659</v>
      </c>
      <c r="AB2351" t="s">
        <v>27136</v>
      </c>
      <c r="AD2351" t="s">
        <v>38828</v>
      </c>
      <c r="AE2351">
        <v>88</v>
      </c>
      <c r="AF2351" t="s">
        <v>45541</v>
      </c>
      <c r="AG2351" t="s">
        <v>19330</v>
      </c>
      <c r="AH2351">
        <v>24</v>
      </c>
      <c r="AI2351">
        <v>2</v>
      </c>
      <c r="AJ2351">
        <v>0</v>
      </c>
      <c r="AK2351">
        <v>205.35</v>
      </c>
      <c r="AN2351" t="s">
        <v>45581</v>
      </c>
      <c r="AO2351">
        <v>33800</v>
      </c>
      <c r="AU2351">
        <v>0</v>
      </c>
      <c r="AW2351" t="s">
        <v>46840</v>
      </c>
    </row>
    <row r="2352" spans="1:49">
      <c r="A2352" s="1">
        <f>HYPERLINK("https://lsnyc.legalserver.org/matter/dynamic-profile/view/1880240","18-1880240")</f>
        <v>0</v>
      </c>
      <c r="B2352" t="s">
        <v>118</v>
      </c>
      <c r="C2352" t="s">
        <v>341</v>
      </c>
      <c r="D2352" t="s">
        <v>594</v>
      </c>
      <c r="E2352" t="s">
        <v>416</v>
      </c>
      <c r="F2352" t="s">
        <v>1119</v>
      </c>
      <c r="G2352" t="s">
        <v>5121</v>
      </c>
      <c r="H2352" t="s">
        <v>11565</v>
      </c>
      <c r="I2352">
        <v>6</v>
      </c>
      <c r="J2352" t="s">
        <v>18893</v>
      </c>
      <c r="K2352">
        <v>10029</v>
      </c>
      <c r="L2352" t="s">
        <v>18958</v>
      </c>
      <c r="M2352" t="s">
        <v>18958</v>
      </c>
      <c r="N2352" t="s">
        <v>20736</v>
      </c>
      <c r="O2352" t="s">
        <v>26523</v>
      </c>
      <c r="P2352" t="s">
        <v>26560</v>
      </c>
      <c r="Q2352" t="s">
        <v>26568</v>
      </c>
      <c r="R2352" t="s">
        <v>26578</v>
      </c>
      <c r="S2352" t="s">
        <v>18959</v>
      </c>
      <c r="U2352" t="s">
        <v>26604</v>
      </c>
      <c r="V2352" t="s">
        <v>26610</v>
      </c>
      <c r="W2352" t="s">
        <v>412</v>
      </c>
      <c r="X2352">
        <v>550</v>
      </c>
      <c r="Y2352" t="s">
        <v>26651</v>
      </c>
      <c r="Z2352" t="s">
        <v>26655</v>
      </c>
      <c r="AA2352" t="s">
        <v>26679</v>
      </c>
      <c r="AB2352" t="s">
        <v>28773</v>
      </c>
      <c r="AD2352" t="s">
        <v>38829</v>
      </c>
      <c r="AE2352">
        <v>10</v>
      </c>
      <c r="AF2352" t="s">
        <v>45541</v>
      </c>
      <c r="AG2352" t="s">
        <v>19330</v>
      </c>
      <c r="AH2352">
        <v>8</v>
      </c>
      <c r="AI2352">
        <v>1</v>
      </c>
      <c r="AJ2352">
        <v>0</v>
      </c>
      <c r="AK2352">
        <v>79.08</v>
      </c>
      <c r="AN2352" t="s">
        <v>7439</v>
      </c>
      <c r="AO2352">
        <v>9600</v>
      </c>
      <c r="AT2352" t="s">
        <v>46580</v>
      </c>
      <c r="AU2352">
        <v>3</v>
      </c>
      <c r="AV2352" t="s">
        <v>665</v>
      </c>
      <c r="AW2352" t="s">
        <v>46835</v>
      </c>
    </row>
    <row r="2353" spans="1:49">
      <c r="A2353" s="1">
        <f>HYPERLINK("https://lsnyc.legalserver.org/matter/dynamic-profile/view/1881598","18-1881598")</f>
        <v>0</v>
      </c>
      <c r="B2353" t="s">
        <v>117</v>
      </c>
      <c r="C2353" t="s">
        <v>341</v>
      </c>
      <c r="D2353" t="s">
        <v>618</v>
      </c>
      <c r="E2353" t="s">
        <v>732</v>
      </c>
      <c r="F2353" t="s">
        <v>2216</v>
      </c>
      <c r="G2353" t="s">
        <v>6408</v>
      </c>
      <c r="H2353" t="s">
        <v>11566</v>
      </c>
      <c r="I2353" t="s">
        <v>17582</v>
      </c>
      <c r="J2353" t="s">
        <v>18894</v>
      </c>
      <c r="K2353">
        <v>11207</v>
      </c>
      <c r="L2353" t="s">
        <v>18959</v>
      </c>
      <c r="M2353" t="s">
        <v>18959</v>
      </c>
      <c r="N2353" t="s">
        <v>20737</v>
      </c>
      <c r="O2353" t="s">
        <v>26524</v>
      </c>
      <c r="P2353" t="s">
        <v>26564</v>
      </c>
      <c r="Q2353" t="s">
        <v>26569</v>
      </c>
      <c r="R2353" t="s">
        <v>26578</v>
      </c>
      <c r="S2353" t="s">
        <v>18959</v>
      </c>
      <c r="U2353" t="s">
        <v>26604</v>
      </c>
      <c r="V2353" t="s">
        <v>26610</v>
      </c>
      <c r="W2353" t="s">
        <v>412</v>
      </c>
      <c r="X2353">
        <v>675</v>
      </c>
      <c r="Y2353" t="s">
        <v>26652</v>
      </c>
      <c r="Z2353" t="s">
        <v>26657</v>
      </c>
      <c r="AA2353" t="s">
        <v>26687</v>
      </c>
      <c r="AB2353" t="s">
        <v>28774</v>
      </c>
      <c r="AC2353" t="s">
        <v>19330</v>
      </c>
      <c r="AD2353" t="s">
        <v>38830</v>
      </c>
      <c r="AE2353">
        <v>3</v>
      </c>
      <c r="AF2353" t="s">
        <v>45547</v>
      </c>
      <c r="AG2353" t="s">
        <v>19330</v>
      </c>
      <c r="AH2353">
        <v>2</v>
      </c>
      <c r="AI2353">
        <v>1</v>
      </c>
      <c r="AJ2353">
        <v>0</v>
      </c>
      <c r="AK2353">
        <v>118.62</v>
      </c>
      <c r="AN2353" t="s">
        <v>7439</v>
      </c>
      <c r="AO2353">
        <v>14400</v>
      </c>
      <c r="AU2353">
        <v>1.8</v>
      </c>
      <c r="AV2353" t="s">
        <v>646</v>
      </c>
      <c r="AW2353" t="s">
        <v>46843</v>
      </c>
    </row>
    <row r="2354" spans="1:49">
      <c r="A2354" s="1">
        <f>HYPERLINK("https://lsnyc.legalserver.org/matter/dynamic-profile/view/1848165","17-1848165")</f>
        <v>0</v>
      </c>
      <c r="B2354" t="s">
        <v>187</v>
      </c>
      <c r="C2354" t="s">
        <v>341</v>
      </c>
      <c r="D2354" t="s">
        <v>621</v>
      </c>
      <c r="E2354" t="s">
        <v>494</v>
      </c>
      <c r="F2354" t="s">
        <v>2217</v>
      </c>
      <c r="G2354" t="s">
        <v>1345</v>
      </c>
      <c r="H2354" t="s">
        <v>11567</v>
      </c>
      <c r="I2354" t="s">
        <v>17349</v>
      </c>
      <c r="J2354" t="s">
        <v>18892</v>
      </c>
      <c r="K2354">
        <v>10468</v>
      </c>
      <c r="L2354" t="s">
        <v>18958</v>
      </c>
      <c r="M2354" t="s">
        <v>18958</v>
      </c>
      <c r="N2354" t="s">
        <v>20738</v>
      </c>
      <c r="O2354" t="s">
        <v>26524</v>
      </c>
      <c r="P2354" t="s">
        <v>26560</v>
      </c>
      <c r="Q2354" t="s">
        <v>26573</v>
      </c>
      <c r="R2354" t="s">
        <v>26579</v>
      </c>
      <c r="S2354" t="s">
        <v>18959</v>
      </c>
      <c r="U2354" t="s">
        <v>26604</v>
      </c>
      <c r="V2354" t="s">
        <v>26611</v>
      </c>
      <c r="W2354" t="s">
        <v>413</v>
      </c>
      <c r="X2354">
        <v>1155.62</v>
      </c>
      <c r="Y2354" t="s">
        <v>26650</v>
      </c>
      <c r="Z2354" t="s">
        <v>26664</v>
      </c>
      <c r="AA2354" t="s">
        <v>26687</v>
      </c>
      <c r="AB2354" t="s">
        <v>28775</v>
      </c>
      <c r="AC2354" t="s">
        <v>35212</v>
      </c>
      <c r="AD2354" t="s">
        <v>38831</v>
      </c>
      <c r="AE2354">
        <v>0</v>
      </c>
      <c r="AF2354" t="s">
        <v>45541</v>
      </c>
      <c r="AG2354" t="s">
        <v>19330</v>
      </c>
      <c r="AH2354">
        <v>6</v>
      </c>
      <c r="AI2354">
        <v>1</v>
      </c>
      <c r="AJ2354">
        <v>3</v>
      </c>
      <c r="AK2354">
        <v>162.6</v>
      </c>
      <c r="AN2354" t="s">
        <v>7439</v>
      </c>
      <c r="AO2354">
        <v>40000</v>
      </c>
      <c r="AP2354" t="s">
        <v>45620</v>
      </c>
      <c r="AQ2354" t="s">
        <v>46368</v>
      </c>
      <c r="AR2354" t="s">
        <v>26530</v>
      </c>
      <c r="AS2354" t="s">
        <v>46500</v>
      </c>
      <c r="AT2354" t="s">
        <v>46620</v>
      </c>
      <c r="AU2354">
        <v>62.25</v>
      </c>
      <c r="AV2354" t="s">
        <v>668</v>
      </c>
      <c r="AW2354" t="s">
        <v>46848</v>
      </c>
    </row>
    <row r="2355" spans="1:49">
      <c r="A2355" s="1">
        <f>HYPERLINK("https://lsnyc.legalserver.org/matter/dynamic-profile/view/1848225","17-1848225")</f>
        <v>0</v>
      </c>
      <c r="B2355" t="s">
        <v>87</v>
      </c>
      <c r="C2355" t="s">
        <v>341</v>
      </c>
      <c r="D2355" t="s">
        <v>621</v>
      </c>
      <c r="E2355" t="s">
        <v>639</v>
      </c>
      <c r="F2355" t="s">
        <v>1441</v>
      </c>
      <c r="G2355" t="s">
        <v>6409</v>
      </c>
      <c r="H2355" t="s">
        <v>11568</v>
      </c>
      <c r="I2355" t="s">
        <v>17346</v>
      </c>
      <c r="J2355" t="s">
        <v>18892</v>
      </c>
      <c r="K2355">
        <v>10459</v>
      </c>
      <c r="L2355" t="s">
        <v>18958</v>
      </c>
      <c r="M2355" t="s">
        <v>18960</v>
      </c>
      <c r="N2355" t="s">
        <v>20739</v>
      </c>
      <c r="O2355" t="s">
        <v>26523</v>
      </c>
      <c r="P2355" t="s">
        <v>26560</v>
      </c>
      <c r="Q2355" t="s">
        <v>26568</v>
      </c>
      <c r="R2355" t="s">
        <v>26577</v>
      </c>
      <c r="U2355" t="s">
        <v>26604</v>
      </c>
      <c r="V2355" t="s">
        <v>26610</v>
      </c>
      <c r="W2355" t="s">
        <v>413</v>
      </c>
      <c r="X2355">
        <v>452</v>
      </c>
      <c r="Y2355" t="s">
        <v>26650</v>
      </c>
      <c r="Z2355" t="s">
        <v>26656</v>
      </c>
      <c r="AA2355" t="s">
        <v>26678</v>
      </c>
      <c r="AB2355" t="s">
        <v>28776</v>
      </c>
      <c r="AC2355" t="s">
        <v>35213</v>
      </c>
      <c r="AE2355">
        <v>0</v>
      </c>
      <c r="AF2355" t="s">
        <v>45541</v>
      </c>
      <c r="AG2355" t="s">
        <v>45556</v>
      </c>
      <c r="AH2355">
        <v>20</v>
      </c>
      <c r="AI2355">
        <v>4</v>
      </c>
      <c r="AJ2355">
        <v>0</v>
      </c>
      <c r="AK2355">
        <v>39.41</v>
      </c>
      <c r="AN2355" t="s">
        <v>7439</v>
      </c>
      <c r="AO2355">
        <v>9696</v>
      </c>
      <c r="AP2355" t="s">
        <v>45621</v>
      </c>
      <c r="AR2355" t="s">
        <v>46381</v>
      </c>
      <c r="AS2355" t="s">
        <v>46499</v>
      </c>
      <c r="AT2355" t="s">
        <v>46736</v>
      </c>
      <c r="AU2355">
        <v>118.6</v>
      </c>
      <c r="AV2355" t="s">
        <v>545</v>
      </c>
      <c r="AW2355" t="s">
        <v>46848</v>
      </c>
    </row>
    <row r="2356" spans="1:49">
      <c r="A2356" s="1">
        <f>HYPERLINK("https://lsnyc.legalserver.org/matter/dynamic-profile/view/1877261","18-1877261")</f>
        <v>0</v>
      </c>
      <c r="B2356" t="s">
        <v>147</v>
      </c>
      <c r="C2356" t="s">
        <v>341</v>
      </c>
      <c r="D2356" t="s">
        <v>576</v>
      </c>
      <c r="E2356" t="s">
        <v>699</v>
      </c>
      <c r="F2356" t="s">
        <v>2213</v>
      </c>
      <c r="G2356" t="s">
        <v>6403</v>
      </c>
      <c r="H2356" t="s">
        <v>11559</v>
      </c>
      <c r="J2356" t="s">
        <v>18894</v>
      </c>
      <c r="K2356">
        <v>11226</v>
      </c>
      <c r="L2356" t="s">
        <v>18958</v>
      </c>
      <c r="M2356" t="s">
        <v>18958</v>
      </c>
      <c r="N2356" t="s">
        <v>20740</v>
      </c>
      <c r="O2356" t="s">
        <v>26523</v>
      </c>
      <c r="P2356" t="s">
        <v>26560</v>
      </c>
      <c r="Q2356" t="s">
        <v>26568</v>
      </c>
      <c r="R2356" t="s">
        <v>26578</v>
      </c>
      <c r="S2356" t="s">
        <v>18959</v>
      </c>
      <c r="U2356" t="s">
        <v>26604</v>
      </c>
      <c r="V2356" t="s">
        <v>26610</v>
      </c>
      <c r="W2356" t="s">
        <v>413</v>
      </c>
      <c r="X2356">
        <v>784.1900000000001</v>
      </c>
      <c r="Y2356" t="s">
        <v>26652</v>
      </c>
      <c r="AA2356" t="s">
        <v>26678</v>
      </c>
      <c r="AB2356" t="s">
        <v>28765</v>
      </c>
      <c r="AD2356" t="s">
        <v>38821</v>
      </c>
      <c r="AE2356">
        <v>54</v>
      </c>
      <c r="AF2356" t="s">
        <v>45541</v>
      </c>
      <c r="AG2356" t="s">
        <v>19330</v>
      </c>
      <c r="AH2356">
        <v>40</v>
      </c>
      <c r="AI2356">
        <v>2</v>
      </c>
      <c r="AJ2356">
        <v>0</v>
      </c>
      <c r="AK2356">
        <v>196.84</v>
      </c>
      <c r="AN2356" t="s">
        <v>7439</v>
      </c>
      <c r="AO2356">
        <v>32400</v>
      </c>
      <c r="AR2356" t="s">
        <v>46379</v>
      </c>
      <c r="AS2356" t="s">
        <v>46499</v>
      </c>
      <c r="AT2356" t="s">
        <v>46587</v>
      </c>
      <c r="AU2356">
        <v>23.2</v>
      </c>
      <c r="AV2356" t="s">
        <v>684</v>
      </c>
      <c r="AW2356" t="s">
        <v>198</v>
      </c>
    </row>
    <row r="2357" spans="1:49">
      <c r="A2357" s="1">
        <f>HYPERLINK("https://lsnyc.legalserver.org/matter/dynamic-profile/view/1879105","18-1879105")</f>
        <v>0</v>
      </c>
      <c r="B2357" t="s">
        <v>147</v>
      </c>
      <c r="C2357" t="s">
        <v>341</v>
      </c>
      <c r="D2357" t="s">
        <v>622</v>
      </c>
      <c r="E2357" t="s">
        <v>830</v>
      </c>
      <c r="F2357" t="s">
        <v>2218</v>
      </c>
      <c r="G2357" t="s">
        <v>6410</v>
      </c>
      <c r="H2357" t="s">
        <v>11569</v>
      </c>
      <c r="I2357" t="s">
        <v>17338</v>
      </c>
      <c r="J2357" t="s">
        <v>18894</v>
      </c>
      <c r="K2357">
        <v>11230</v>
      </c>
      <c r="L2357" t="s">
        <v>18958</v>
      </c>
      <c r="M2357" t="s">
        <v>18958</v>
      </c>
      <c r="O2357" t="s">
        <v>26531</v>
      </c>
      <c r="P2357" t="s">
        <v>26562</v>
      </c>
      <c r="Q2357" t="s">
        <v>26571</v>
      </c>
      <c r="R2357" t="s">
        <v>26578</v>
      </c>
      <c r="S2357" t="s">
        <v>18958</v>
      </c>
      <c r="U2357" t="s">
        <v>26604</v>
      </c>
      <c r="W2357" t="s">
        <v>413</v>
      </c>
      <c r="X2357">
        <v>0</v>
      </c>
      <c r="Y2357" t="s">
        <v>26652</v>
      </c>
      <c r="Z2357" t="s">
        <v>26663</v>
      </c>
      <c r="AA2357" t="s">
        <v>26682</v>
      </c>
      <c r="AB2357" t="s">
        <v>28777</v>
      </c>
      <c r="AE2357">
        <v>60</v>
      </c>
      <c r="AF2357" t="s">
        <v>45541</v>
      </c>
      <c r="AH2357">
        <v>0</v>
      </c>
      <c r="AI2357">
        <v>1</v>
      </c>
      <c r="AJ2357">
        <v>0</v>
      </c>
      <c r="AK2357">
        <v>296.54</v>
      </c>
      <c r="AN2357" t="s">
        <v>7439</v>
      </c>
      <c r="AO2357">
        <v>36000</v>
      </c>
      <c r="AU2357">
        <v>2.4</v>
      </c>
      <c r="AV2357" t="s">
        <v>669</v>
      </c>
      <c r="AW2357" t="s">
        <v>259</v>
      </c>
    </row>
    <row r="2358" spans="1:49">
      <c r="A2358" s="1">
        <f>HYPERLINK("https://lsnyc.legalserver.org/matter/dynamic-profile/view/1879823","18-1879823")</f>
        <v>0</v>
      </c>
      <c r="B2358" t="s">
        <v>259</v>
      </c>
      <c r="C2358" t="s">
        <v>341</v>
      </c>
      <c r="D2358" t="s">
        <v>622</v>
      </c>
      <c r="E2358" t="s">
        <v>830</v>
      </c>
      <c r="F2358" t="s">
        <v>2219</v>
      </c>
      <c r="G2358" t="s">
        <v>6411</v>
      </c>
      <c r="H2358" t="s">
        <v>11569</v>
      </c>
      <c r="I2358" t="s">
        <v>17358</v>
      </c>
      <c r="J2358" t="s">
        <v>18894</v>
      </c>
      <c r="K2358">
        <v>11230</v>
      </c>
      <c r="L2358" t="s">
        <v>18958</v>
      </c>
      <c r="M2358" t="s">
        <v>18958</v>
      </c>
      <c r="O2358" t="s">
        <v>26531</v>
      </c>
      <c r="P2358" t="s">
        <v>26562</v>
      </c>
      <c r="Q2358" t="s">
        <v>26571</v>
      </c>
      <c r="R2358" t="s">
        <v>26578</v>
      </c>
      <c r="S2358" t="s">
        <v>18958</v>
      </c>
      <c r="U2358" t="s">
        <v>26604</v>
      </c>
      <c r="W2358" t="s">
        <v>413</v>
      </c>
      <c r="X2358">
        <v>1023.5</v>
      </c>
      <c r="Y2358" t="s">
        <v>26652</v>
      </c>
      <c r="Z2358" t="s">
        <v>26663</v>
      </c>
      <c r="AA2358" t="s">
        <v>26682</v>
      </c>
      <c r="AB2358" t="s">
        <v>28778</v>
      </c>
      <c r="AE2358">
        <v>0</v>
      </c>
      <c r="AH2358">
        <v>0</v>
      </c>
      <c r="AI2358">
        <v>1</v>
      </c>
      <c r="AJ2358">
        <v>2</v>
      </c>
      <c r="AK2358">
        <v>62.89</v>
      </c>
      <c r="AN2358" t="s">
        <v>7439</v>
      </c>
      <c r="AO2358">
        <v>13068</v>
      </c>
      <c r="AU2358">
        <v>2.9</v>
      </c>
      <c r="AV2358" t="s">
        <v>847</v>
      </c>
      <c r="AW2358" t="s">
        <v>259</v>
      </c>
    </row>
    <row r="2359" spans="1:49">
      <c r="A2359" s="1">
        <f>HYPERLINK("https://lsnyc.legalserver.org/matter/dynamic-profile/view/1879106","18-1879106")</f>
        <v>0</v>
      </c>
      <c r="B2359" t="s">
        <v>259</v>
      </c>
      <c r="C2359" t="s">
        <v>341</v>
      </c>
      <c r="D2359" t="s">
        <v>622</v>
      </c>
      <c r="E2359" t="s">
        <v>830</v>
      </c>
      <c r="F2359" t="s">
        <v>2220</v>
      </c>
      <c r="G2359" t="s">
        <v>5322</v>
      </c>
      <c r="H2359" t="s">
        <v>11569</v>
      </c>
      <c r="I2359" t="s">
        <v>17380</v>
      </c>
      <c r="J2359" t="s">
        <v>18894</v>
      </c>
      <c r="K2359">
        <v>11230</v>
      </c>
      <c r="L2359" t="s">
        <v>18958</v>
      </c>
      <c r="M2359" t="s">
        <v>18958</v>
      </c>
      <c r="N2359" t="s">
        <v>19330</v>
      </c>
      <c r="O2359" t="s">
        <v>18997</v>
      </c>
      <c r="P2359" t="s">
        <v>26562</v>
      </c>
      <c r="Q2359" t="s">
        <v>26571</v>
      </c>
      <c r="R2359" t="s">
        <v>26578</v>
      </c>
      <c r="S2359" t="s">
        <v>18958</v>
      </c>
      <c r="U2359" t="s">
        <v>26604</v>
      </c>
      <c r="V2359" t="s">
        <v>26610</v>
      </c>
      <c r="W2359" t="s">
        <v>413</v>
      </c>
      <c r="X2359">
        <v>0</v>
      </c>
      <c r="Y2359" t="s">
        <v>26652</v>
      </c>
      <c r="Z2359" t="s">
        <v>26663</v>
      </c>
      <c r="AA2359" t="s">
        <v>26682</v>
      </c>
      <c r="AB2359" t="s">
        <v>28779</v>
      </c>
      <c r="AE2359">
        <v>55</v>
      </c>
      <c r="AF2359" t="s">
        <v>45541</v>
      </c>
      <c r="AH2359">
        <v>0</v>
      </c>
      <c r="AI2359">
        <v>1</v>
      </c>
      <c r="AJ2359">
        <v>0</v>
      </c>
      <c r="AK2359">
        <v>76.51000000000001</v>
      </c>
      <c r="AN2359" t="s">
        <v>45581</v>
      </c>
      <c r="AO2359">
        <v>9288</v>
      </c>
      <c r="AU2359">
        <v>19.45</v>
      </c>
      <c r="AV2359" t="s">
        <v>668</v>
      </c>
      <c r="AW2359" t="s">
        <v>259</v>
      </c>
    </row>
    <row r="2360" spans="1:49">
      <c r="A2360" s="1">
        <f>HYPERLINK("https://lsnyc.legalserver.org/matter/dynamic-profile/view/1880012","18-1880012")</f>
        <v>0</v>
      </c>
      <c r="B2360" t="s">
        <v>70</v>
      </c>
      <c r="C2360" t="s">
        <v>341</v>
      </c>
      <c r="D2360" t="s">
        <v>413</v>
      </c>
      <c r="E2360" t="s">
        <v>427</v>
      </c>
      <c r="F2360" t="s">
        <v>900</v>
      </c>
      <c r="G2360" t="s">
        <v>5199</v>
      </c>
      <c r="H2360" t="s">
        <v>11570</v>
      </c>
      <c r="I2360" t="s">
        <v>17277</v>
      </c>
      <c r="J2360" t="s">
        <v>18892</v>
      </c>
      <c r="K2360">
        <v>10455</v>
      </c>
      <c r="L2360" t="s">
        <v>18958</v>
      </c>
      <c r="M2360" t="s">
        <v>18958</v>
      </c>
      <c r="N2360" t="s">
        <v>20741</v>
      </c>
      <c r="O2360" t="s">
        <v>26524</v>
      </c>
      <c r="P2360" t="s">
        <v>26564</v>
      </c>
      <c r="Q2360" t="s">
        <v>26570</v>
      </c>
      <c r="R2360" t="s">
        <v>26577</v>
      </c>
      <c r="S2360" t="s">
        <v>18959</v>
      </c>
      <c r="U2360" t="s">
        <v>26604</v>
      </c>
      <c r="V2360" t="s">
        <v>26610</v>
      </c>
      <c r="W2360" t="s">
        <v>413</v>
      </c>
      <c r="X2360">
        <v>1062</v>
      </c>
      <c r="Y2360" t="s">
        <v>26650</v>
      </c>
      <c r="Z2360" t="s">
        <v>26664</v>
      </c>
      <c r="AA2360" t="s">
        <v>26683</v>
      </c>
      <c r="AB2360" t="s">
        <v>28400</v>
      </c>
      <c r="AD2360" t="s">
        <v>38832</v>
      </c>
      <c r="AE2360">
        <v>468</v>
      </c>
      <c r="AF2360" t="s">
        <v>45549</v>
      </c>
      <c r="AG2360" t="s">
        <v>19330</v>
      </c>
      <c r="AH2360">
        <v>30</v>
      </c>
      <c r="AI2360">
        <v>1</v>
      </c>
      <c r="AJ2360">
        <v>0</v>
      </c>
      <c r="AK2360">
        <v>79.08</v>
      </c>
      <c r="AN2360" t="s">
        <v>7439</v>
      </c>
      <c r="AO2360">
        <v>9600</v>
      </c>
      <c r="AU2360">
        <v>2.8</v>
      </c>
      <c r="AV2360" t="s">
        <v>631</v>
      </c>
      <c r="AW2360" t="s">
        <v>46867</v>
      </c>
    </row>
    <row r="2361" spans="1:49">
      <c r="A2361" s="1">
        <f>HYPERLINK("https://lsnyc.legalserver.org/matter/dynamic-profile/view/1880038","18-1880038")</f>
        <v>0</v>
      </c>
      <c r="B2361" t="s">
        <v>70</v>
      </c>
      <c r="C2361" t="s">
        <v>341</v>
      </c>
      <c r="D2361" t="s">
        <v>413</v>
      </c>
      <c r="E2361" t="s">
        <v>786</v>
      </c>
      <c r="F2361" t="s">
        <v>887</v>
      </c>
      <c r="G2361" t="s">
        <v>5244</v>
      </c>
      <c r="H2361" t="s">
        <v>11571</v>
      </c>
      <c r="I2361" t="s">
        <v>17436</v>
      </c>
      <c r="J2361" t="s">
        <v>18892</v>
      </c>
      <c r="K2361">
        <v>10461</v>
      </c>
      <c r="L2361" t="s">
        <v>18958</v>
      </c>
      <c r="M2361" t="s">
        <v>18959</v>
      </c>
      <c r="N2361" t="s">
        <v>20742</v>
      </c>
      <c r="O2361" t="s">
        <v>26523</v>
      </c>
      <c r="P2361" t="s">
        <v>26560</v>
      </c>
      <c r="Q2361" t="s">
        <v>26568</v>
      </c>
      <c r="R2361" t="s">
        <v>26577</v>
      </c>
      <c r="S2361" t="s">
        <v>18959</v>
      </c>
      <c r="U2361" t="s">
        <v>26604</v>
      </c>
      <c r="V2361" t="s">
        <v>26609</v>
      </c>
      <c r="W2361" t="s">
        <v>413</v>
      </c>
      <c r="X2361">
        <v>1800</v>
      </c>
      <c r="Y2361" t="s">
        <v>26650</v>
      </c>
      <c r="Z2361" t="s">
        <v>26664</v>
      </c>
      <c r="AA2361" t="s">
        <v>26678</v>
      </c>
      <c r="AB2361" t="s">
        <v>28780</v>
      </c>
      <c r="AC2361" t="s">
        <v>35214</v>
      </c>
      <c r="AE2361">
        <v>22</v>
      </c>
      <c r="AF2361" t="s">
        <v>45541</v>
      </c>
      <c r="AG2361" t="s">
        <v>19330</v>
      </c>
      <c r="AH2361">
        <v>4</v>
      </c>
      <c r="AI2361">
        <v>2</v>
      </c>
      <c r="AJ2361">
        <v>2</v>
      </c>
      <c r="AK2361">
        <v>178.79</v>
      </c>
      <c r="AN2361" t="s">
        <v>45581</v>
      </c>
      <c r="AO2361">
        <v>44876</v>
      </c>
      <c r="AQ2361" t="s">
        <v>46361</v>
      </c>
      <c r="AR2361" t="s">
        <v>46402</v>
      </c>
      <c r="AS2361" t="s">
        <v>46499</v>
      </c>
      <c r="AT2361" t="s">
        <v>46714</v>
      </c>
      <c r="AU2361">
        <v>18.3</v>
      </c>
      <c r="AV2361" t="s">
        <v>786</v>
      </c>
      <c r="AW2361" t="s">
        <v>46854</v>
      </c>
    </row>
    <row r="2362" spans="1:49">
      <c r="A2362" s="1">
        <f>HYPERLINK("https://lsnyc.legalserver.org/matter/dynamic-profile/view/1880008","18-1880008")</f>
        <v>0</v>
      </c>
      <c r="B2362" t="s">
        <v>70</v>
      </c>
      <c r="C2362" t="s">
        <v>341</v>
      </c>
      <c r="D2362" t="s">
        <v>413</v>
      </c>
      <c r="E2362" t="s">
        <v>574</v>
      </c>
      <c r="F2362" t="s">
        <v>2221</v>
      </c>
      <c r="G2362" t="s">
        <v>6412</v>
      </c>
      <c r="H2362" t="s">
        <v>11572</v>
      </c>
      <c r="I2362" t="s">
        <v>17815</v>
      </c>
      <c r="J2362" t="s">
        <v>18892</v>
      </c>
      <c r="K2362">
        <v>10457</v>
      </c>
      <c r="L2362" t="s">
        <v>18958</v>
      </c>
      <c r="M2362" t="s">
        <v>18958</v>
      </c>
      <c r="N2362" t="s">
        <v>20743</v>
      </c>
      <c r="O2362" t="s">
        <v>26523</v>
      </c>
      <c r="P2362" t="s">
        <v>26560</v>
      </c>
      <c r="Q2362" t="s">
        <v>26568</v>
      </c>
      <c r="R2362" t="s">
        <v>26579</v>
      </c>
      <c r="S2362" t="s">
        <v>18959</v>
      </c>
      <c r="U2362" t="s">
        <v>26604</v>
      </c>
      <c r="V2362" t="s">
        <v>26610</v>
      </c>
      <c r="W2362" t="s">
        <v>413</v>
      </c>
      <c r="X2362">
        <v>975.95</v>
      </c>
      <c r="Y2362" t="s">
        <v>26650</v>
      </c>
      <c r="Z2362" t="s">
        <v>26664</v>
      </c>
      <c r="AA2362" t="s">
        <v>26678</v>
      </c>
      <c r="AB2362" t="s">
        <v>28781</v>
      </c>
      <c r="AC2362" t="s">
        <v>35215</v>
      </c>
      <c r="AD2362" t="s">
        <v>38833</v>
      </c>
      <c r="AE2362">
        <v>47</v>
      </c>
      <c r="AF2362" t="s">
        <v>45541</v>
      </c>
      <c r="AG2362" t="s">
        <v>19330</v>
      </c>
      <c r="AH2362">
        <v>4</v>
      </c>
      <c r="AI2362">
        <v>1</v>
      </c>
      <c r="AJ2362">
        <v>1</v>
      </c>
      <c r="AK2362">
        <v>171.32</v>
      </c>
      <c r="AN2362" t="s">
        <v>7439</v>
      </c>
      <c r="AO2362">
        <v>28200</v>
      </c>
      <c r="AR2362" t="s">
        <v>46462</v>
      </c>
      <c r="AS2362" t="s">
        <v>46499</v>
      </c>
      <c r="AT2362" t="s">
        <v>46537</v>
      </c>
      <c r="AU2362">
        <v>16.5</v>
      </c>
      <c r="AV2362" t="s">
        <v>574</v>
      </c>
      <c r="AW2362" t="s">
        <v>46854</v>
      </c>
    </row>
    <row r="2363" spans="1:49">
      <c r="A2363" s="1">
        <f>HYPERLINK("https://lsnyc.legalserver.org/matter/dynamic-profile/view/1880085","18-1880085")</f>
        <v>0</v>
      </c>
      <c r="B2363" t="s">
        <v>247</v>
      </c>
      <c r="C2363" t="s">
        <v>341</v>
      </c>
      <c r="D2363" t="s">
        <v>413</v>
      </c>
      <c r="E2363" t="s">
        <v>657</v>
      </c>
      <c r="F2363" t="s">
        <v>947</v>
      </c>
      <c r="G2363" t="s">
        <v>5173</v>
      </c>
      <c r="H2363" t="s">
        <v>11573</v>
      </c>
      <c r="J2363" t="s">
        <v>18935</v>
      </c>
      <c r="K2363">
        <v>11364</v>
      </c>
      <c r="L2363" t="s">
        <v>18958</v>
      </c>
      <c r="M2363" t="s">
        <v>18958</v>
      </c>
      <c r="N2363" t="s">
        <v>20744</v>
      </c>
      <c r="O2363" t="s">
        <v>26523</v>
      </c>
      <c r="P2363" t="s">
        <v>26560</v>
      </c>
      <c r="Q2363" t="s">
        <v>26568</v>
      </c>
      <c r="R2363" t="s">
        <v>26584</v>
      </c>
      <c r="S2363" t="s">
        <v>18959</v>
      </c>
      <c r="U2363" t="s">
        <v>26604</v>
      </c>
      <c r="V2363" t="s">
        <v>26610</v>
      </c>
      <c r="W2363" t="s">
        <v>413</v>
      </c>
      <c r="X2363">
        <v>1970.7</v>
      </c>
      <c r="Y2363" t="s">
        <v>26653</v>
      </c>
      <c r="Z2363" t="s">
        <v>26664</v>
      </c>
      <c r="AA2363" t="s">
        <v>26678</v>
      </c>
      <c r="AB2363" t="s">
        <v>27485</v>
      </c>
      <c r="AC2363" t="s">
        <v>35216</v>
      </c>
      <c r="AD2363" t="s">
        <v>38834</v>
      </c>
      <c r="AE2363">
        <v>2</v>
      </c>
      <c r="AF2363" t="s">
        <v>45547</v>
      </c>
      <c r="AG2363" t="s">
        <v>19330</v>
      </c>
      <c r="AH2363">
        <v>2</v>
      </c>
      <c r="AI2363">
        <v>1</v>
      </c>
      <c r="AJ2363">
        <v>2</v>
      </c>
      <c r="AK2363">
        <v>0</v>
      </c>
      <c r="AN2363" t="s">
        <v>7439</v>
      </c>
      <c r="AO2363">
        <v>0</v>
      </c>
      <c r="AQ2363" t="s">
        <v>46361</v>
      </c>
      <c r="AR2363" t="s">
        <v>46380</v>
      </c>
      <c r="AS2363" t="s">
        <v>46499</v>
      </c>
      <c r="AT2363" t="s">
        <v>46739</v>
      </c>
      <c r="AU2363">
        <v>111.1</v>
      </c>
      <c r="AV2363" t="s">
        <v>720</v>
      </c>
      <c r="AW2363" t="s">
        <v>161</v>
      </c>
    </row>
    <row r="2364" spans="1:49">
      <c r="A2364" s="1">
        <f>HYPERLINK("https://lsnyc.legalserver.org/matter/dynamic-profile/view/1880124","18-1880124")</f>
        <v>0</v>
      </c>
      <c r="B2364" t="s">
        <v>230</v>
      </c>
      <c r="C2364" t="s">
        <v>341</v>
      </c>
      <c r="D2364" t="s">
        <v>413</v>
      </c>
      <c r="E2364" t="s">
        <v>415</v>
      </c>
      <c r="F2364" t="s">
        <v>870</v>
      </c>
      <c r="G2364" t="s">
        <v>5664</v>
      </c>
      <c r="H2364" t="s">
        <v>11574</v>
      </c>
      <c r="I2364" t="s">
        <v>17344</v>
      </c>
      <c r="J2364" t="s">
        <v>18894</v>
      </c>
      <c r="K2364">
        <v>11212</v>
      </c>
      <c r="L2364" t="s">
        <v>18958</v>
      </c>
      <c r="M2364" t="s">
        <v>18960</v>
      </c>
      <c r="N2364" t="s">
        <v>20745</v>
      </c>
      <c r="O2364" t="s">
        <v>26525</v>
      </c>
      <c r="P2364" t="s">
        <v>26565</v>
      </c>
      <c r="Q2364" t="s">
        <v>26568</v>
      </c>
      <c r="R2364" t="s">
        <v>26586</v>
      </c>
      <c r="S2364" t="s">
        <v>18959</v>
      </c>
      <c r="U2364" t="s">
        <v>26604</v>
      </c>
      <c r="V2364" t="s">
        <v>26609</v>
      </c>
      <c r="W2364" t="s">
        <v>413</v>
      </c>
      <c r="X2364">
        <v>1700</v>
      </c>
      <c r="Y2364" t="s">
        <v>26652</v>
      </c>
      <c r="Z2364" t="s">
        <v>26659</v>
      </c>
      <c r="AA2364" t="s">
        <v>26677</v>
      </c>
      <c r="AB2364" t="s">
        <v>28782</v>
      </c>
      <c r="AC2364" t="s">
        <v>35217</v>
      </c>
      <c r="AD2364" t="s">
        <v>38835</v>
      </c>
      <c r="AE2364">
        <v>2</v>
      </c>
      <c r="AF2364" t="s">
        <v>45541</v>
      </c>
      <c r="AG2364" t="s">
        <v>45556</v>
      </c>
      <c r="AH2364">
        <v>18</v>
      </c>
      <c r="AI2364">
        <v>4</v>
      </c>
      <c r="AJ2364">
        <v>1</v>
      </c>
      <c r="AK2364">
        <v>3.43</v>
      </c>
      <c r="AN2364" t="s">
        <v>7439</v>
      </c>
      <c r="AO2364">
        <v>1008</v>
      </c>
      <c r="AQ2364" t="s">
        <v>46365</v>
      </c>
      <c r="AR2364" t="s">
        <v>46379</v>
      </c>
      <c r="AS2364" t="s">
        <v>46499</v>
      </c>
      <c r="AT2364" t="s">
        <v>46738</v>
      </c>
      <c r="AU2364">
        <v>18.3</v>
      </c>
      <c r="AV2364" t="s">
        <v>518</v>
      </c>
      <c r="AW2364" t="s">
        <v>46856</v>
      </c>
    </row>
    <row r="2365" spans="1:49">
      <c r="A2365" s="1">
        <f>HYPERLINK("https://lsnyc.legalserver.org/matter/dynamic-profile/view/1880094","18-1880094")</f>
        <v>0</v>
      </c>
      <c r="B2365" t="s">
        <v>66</v>
      </c>
      <c r="C2365" t="s">
        <v>341</v>
      </c>
      <c r="D2365" t="s">
        <v>413</v>
      </c>
      <c r="E2365" t="s">
        <v>706</v>
      </c>
      <c r="F2365" t="s">
        <v>2222</v>
      </c>
      <c r="G2365" t="s">
        <v>6413</v>
      </c>
      <c r="H2365" t="s">
        <v>11575</v>
      </c>
      <c r="I2365" t="s">
        <v>17816</v>
      </c>
      <c r="J2365" t="s">
        <v>18893</v>
      </c>
      <c r="K2365">
        <v>10019</v>
      </c>
      <c r="L2365" t="s">
        <v>18958</v>
      </c>
      <c r="M2365" t="s">
        <v>18960</v>
      </c>
      <c r="N2365" t="s">
        <v>20746</v>
      </c>
      <c r="O2365" t="s">
        <v>26523</v>
      </c>
      <c r="P2365" t="s">
        <v>26564</v>
      </c>
      <c r="Q2365" t="s">
        <v>26570</v>
      </c>
      <c r="R2365" t="s">
        <v>26582</v>
      </c>
      <c r="S2365" t="s">
        <v>18959</v>
      </c>
      <c r="U2365" t="s">
        <v>26604</v>
      </c>
      <c r="V2365" t="s">
        <v>26610</v>
      </c>
      <c r="W2365" t="s">
        <v>413</v>
      </c>
      <c r="X2365">
        <v>735</v>
      </c>
      <c r="Y2365" t="s">
        <v>26651</v>
      </c>
      <c r="AA2365" t="s">
        <v>26683</v>
      </c>
      <c r="AB2365" t="s">
        <v>28056</v>
      </c>
      <c r="AC2365" t="s">
        <v>35218</v>
      </c>
      <c r="AD2365" t="s">
        <v>38836</v>
      </c>
      <c r="AE2365">
        <v>395</v>
      </c>
      <c r="AH2365">
        <v>14</v>
      </c>
      <c r="AI2365">
        <v>1</v>
      </c>
      <c r="AJ2365">
        <v>1</v>
      </c>
      <c r="AK2365">
        <v>31.59</v>
      </c>
      <c r="AO2365">
        <v>5200</v>
      </c>
      <c r="AU2365">
        <v>1</v>
      </c>
      <c r="AV2365" t="s">
        <v>706</v>
      </c>
      <c r="AW2365" t="s">
        <v>46838</v>
      </c>
    </row>
    <row r="2366" spans="1:49">
      <c r="A2366" s="1">
        <f>HYPERLINK("https://lsnyc.legalserver.org/matter/dynamic-profile/view/1880121","18-1880121")</f>
        <v>0</v>
      </c>
      <c r="B2366" t="s">
        <v>66</v>
      </c>
      <c r="C2366" t="s">
        <v>341</v>
      </c>
      <c r="D2366" t="s">
        <v>413</v>
      </c>
      <c r="E2366" t="s">
        <v>706</v>
      </c>
      <c r="F2366" t="s">
        <v>1780</v>
      </c>
      <c r="G2366" t="s">
        <v>5590</v>
      </c>
      <c r="H2366" t="s">
        <v>11576</v>
      </c>
      <c r="I2366" t="s">
        <v>17817</v>
      </c>
      <c r="J2366" t="s">
        <v>18893</v>
      </c>
      <c r="K2366">
        <v>10038</v>
      </c>
      <c r="L2366" t="s">
        <v>18958</v>
      </c>
      <c r="M2366" t="s">
        <v>18958</v>
      </c>
      <c r="N2366" t="s">
        <v>20747</v>
      </c>
      <c r="O2366" t="s">
        <v>26523</v>
      </c>
      <c r="P2366" t="s">
        <v>26564</v>
      </c>
      <c r="Q2366" t="s">
        <v>26570</v>
      </c>
      <c r="R2366" t="s">
        <v>26582</v>
      </c>
      <c r="S2366" t="s">
        <v>18959</v>
      </c>
      <c r="U2366" t="s">
        <v>26605</v>
      </c>
      <c r="V2366" t="s">
        <v>26610</v>
      </c>
      <c r="W2366" t="s">
        <v>413</v>
      </c>
      <c r="X2366">
        <v>343</v>
      </c>
      <c r="Y2366" t="s">
        <v>26651</v>
      </c>
      <c r="Z2366" t="s">
        <v>26664</v>
      </c>
      <c r="AA2366" t="s">
        <v>26683</v>
      </c>
      <c r="AB2366" t="s">
        <v>28783</v>
      </c>
      <c r="AD2366" t="s">
        <v>38837</v>
      </c>
      <c r="AE2366">
        <v>1947</v>
      </c>
      <c r="AH2366">
        <v>1</v>
      </c>
      <c r="AI2366">
        <v>1</v>
      </c>
      <c r="AJ2366">
        <v>1</v>
      </c>
      <c r="AK2366">
        <v>126.37</v>
      </c>
      <c r="AN2366" t="s">
        <v>7439</v>
      </c>
      <c r="AO2366">
        <v>20800</v>
      </c>
      <c r="AU2366">
        <v>1</v>
      </c>
      <c r="AV2366" t="s">
        <v>706</v>
      </c>
      <c r="AW2366" t="s">
        <v>46838</v>
      </c>
    </row>
    <row r="2367" spans="1:49">
      <c r="A2367" s="1">
        <f>HYPERLINK("https://lsnyc.legalserver.org/matter/dynamic-profile/view/1880104","18-1880104")</f>
        <v>0</v>
      </c>
      <c r="B2367" t="s">
        <v>66</v>
      </c>
      <c r="C2367" t="s">
        <v>341</v>
      </c>
      <c r="D2367" t="s">
        <v>413</v>
      </c>
      <c r="E2367" t="s">
        <v>706</v>
      </c>
      <c r="F2367" t="s">
        <v>2223</v>
      </c>
      <c r="G2367" t="s">
        <v>6414</v>
      </c>
      <c r="H2367" t="s">
        <v>11577</v>
      </c>
      <c r="I2367" t="s">
        <v>17293</v>
      </c>
      <c r="J2367" t="s">
        <v>18893</v>
      </c>
      <c r="K2367">
        <v>10002</v>
      </c>
      <c r="L2367" t="s">
        <v>18958</v>
      </c>
      <c r="M2367" t="s">
        <v>18958</v>
      </c>
      <c r="N2367" t="s">
        <v>20748</v>
      </c>
      <c r="O2367" t="s">
        <v>26523</v>
      </c>
      <c r="P2367" t="s">
        <v>26564</v>
      </c>
      <c r="Q2367" t="s">
        <v>26570</v>
      </c>
      <c r="R2367" t="s">
        <v>26582</v>
      </c>
      <c r="S2367" t="s">
        <v>18959</v>
      </c>
      <c r="U2367" t="s">
        <v>26605</v>
      </c>
      <c r="V2367" t="s">
        <v>26610</v>
      </c>
      <c r="W2367" t="s">
        <v>413</v>
      </c>
      <c r="X2367">
        <v>678</v>
      </c>
      <c r="Y2367" t="s">
        <v>26651</v>
      </c>
      <c r="Z2367" t="s">
        <v>26664</v>
      </c>
      <c r="AA2367" t="s">
        <v>26683</v>
      </c>
      <c r="AB2367" t="s">
        <v>28784</v>
      </c>
      <c r="AD2367" t="s">
        <v>38838</v>
      </c>
      <c r="AE2367">
        <v>236</v>
      </c>
      <c r="AF2367" t="s">
        <v>45542</v>
      </c>
      <c r="AH2367">
        <v>1</v>
      </c>
      <c r="AI2367">
        <v>1</v>
      </c>
      <c r="AJ2367">
        <v>0</v>
      </c>
      <c r="AK2367">
        <v>238.88</v>
      </c>
      <c r="AN2367" t="s">
        <v>7439</v>
      </c>
      <c r="AO2367">
        <v>29000</v>
      </c>
      <c r="AU2367">
        <v>1.75</v>
      </c>
      <c r="AV2367" t="s">
        <v>703</v>
      </c>
      <c r="AW2367" t="s">
        <v>46838</v>
      </c>
    </row>
    <row r="2368" spans="1:49">
      <c r="A2368" s="1">
        <f>HYPERLINK("https://lsnyc.legalserver.org/matter/dynamic-profile/view/1880049","18-1880049")</f>
        <v>0</v>
      </c>
      <c r="B2368" t="s">
        <v>85</v>
      </c>
      <c r="C2368" t="s">
        <v>341</v>
      </c>
      <c r="D2368" t="s">
        <v>413</v>
      </c>
      <c r="E2368" t="s">
        <v>850</v>
      </c>
      <c r="F2368" t="s">
        <v>2224</v>
      </c>
      <c r="G2368" t="s">
        <v>6415</v>
      </c>
      <c r="H2368" t="s">
        <v>11578</v>
      </c>
      <c r="I2368" t="s">
        <v>17818</v>
      </c>
      <c r="J2368" t="s">
        <v>18901</v>
      </c>
      <c r="K2368">
        <v>11434</v>
      </c>
      <c r="L2368" t="s">
        <v>18958</v>
      </c>
      <c r="M2368" t="s">
        <v>18958</v>
      </c>
      <c r="N2368" t="s">
        <v>20749</v>
      </c>
      <c r="O2368" t="s">
        <v>26533</v>
      </c>
      <c r="P2368" t="s">
        <v>26564</v>
      </c>
      <c r="Q2368" t="s">
        <v>26570</v>
      </c>
      <c r="R2368" t="s">
        <v>26585</v>
      </c>
      <c r="S2368" t="s">
        <v>18959</v>
      </c>
      <c r="U2368" t="s">
        <v>26604</v>
      </c>
      <c r="V2368" t="s">
        <v>26610</v>
      </c>
      <c r="W2368" t="s">
        <v>413</v>
      </c>
      <c r="X2368">
        <v>275</v>
      </c>
      <c r="Y2368" t="s">
        <v>26653</v>
      </c>
      <c r="Z2368" t="s">
        <v>26664</v>
      </c>
      <c r="AA2368" t="s">
        <v>26683</v>
      </c>
      <c r="AB2368" t="s">
        <v>28785</v>
      </c>
      <c r="AD2368" t="s">
        <v>38839</v>
      </c>
      <c r="AE2368">
        <v>64</v>
      </c>
      <c r="AG2368" t="s">
        <v>19330</v>
      </c>
      <c r="AH2368">
        <v>8</v>
      </c>
      <c r="AI2368">
        <v>2</v>
      </c>
      <c r="AJ2368">
        <v>0</v>
      </c>
      <c r="AK2368">
        <v>58.32</v>
      </c>
      <c r="AN2368" t="s">
        <v>7439</v>
      </c>
      <c r="AO2368">
        <v>9600</v>
      </c>
      <c r="AU2368">
        <v>0.5</v>
      </c>
      <c r="AV2368" t="s">
        <v>413</v>
      </c>
      <c r="AW2368" t="s">
        <v>161</v>
      </c>
    </row>
    <row r="2369" spans="1:50">
      <c r="A2369" s="1">
        <f>HYPERLINK("https://lsnyc.legalserver.org/matter/dynamic-profile/view/1877646","18-1877646")</f>
        <v>0</v>
      </c>
      <c r="B2369" t="s">
        <v>109</v>
      </c>
      <c r="C2369" t="s">
        <v>341</v>
      </c>
      <c r="D2369" t="s">
        <v>413</v>
      </c>
      <c r="E2369" t="s">
        <v>811</v>
      </c>
      <c r="F2369" t="s">
        <v>2225</v>
      </c>
      <c r="G2369" t="s">
        <v>6416</v>
      </c>
      <c r="H2369" t="s">
        <v>11579</v>
      </c>
      <c r="I2369" t="s">
        <v>17284</v>
      </c>
      <c r="J2369" t="s">
        <v>18902</v>
      </c>
      <c r="K2369">
        <v>10304</v>
      </c>
      <c r="L2369" t="s">
        <v>18958</v>
      </c>
      <c r="M2369" t="s">
        <v>18958</v>
      </c>
      <c r="N2369" t="s">
        <v>20750</v>
      </c>
      <c r="O2369" t="s">
        <v>26523</v>
      </c>
      <c r="P2369" t="s">
        <v>26560</v>
      </c>
      <c r="Q2369" t="s">
        <v>26568</v>
      </c>
      <c r="R2369" t="s">
        <v>26587</v>
      </c>
      <c r="S2369" t="s">
        <v>18959</v>
      </c>
      <c r="U2369" t="s">
        <v>26604</v>
      </c>
      <c r="V2369" t="s">
        <v>26611</v>
      </c>
      <c r="W2369" t="s">
        <v>413</v>
      </c>
      <c r="X2369">
        <v>713</v>
      </c>
      <c r="Y2369" t="s">
        <v>26654</v>
      </c>
      <c r="Z2369" t="s">
        <v>26668</v>
      </c>
      <c r="AA2369" t="s">
        <v>26678</v>
      </c>
      <c r="AB2369" t="s">
        <v>28786</v>
      </c>
      <c r="AD2369" t="s">
        <v>38840</v>
      </c>
      <c r="AE2369">
        <v>100</v>
      </c>
      <c r="AF2369" t="s">
        <v>45541</v>
      </c>
      <c r="AG2369" t="s">
        <v>19330</v>
      </c>
      <c r="AH2369">
        <v>9</v>
      </c>
      <c r="AI2369">
        <v>1</v>
      </c>
      <c r="AJ2369">
        <v>1</v>
      </c>
      <c r="AK2369">
        <v>189.55</v>
      </c>
      <c r="AN2369" t="s">
        <v>7439</v>
      </c>
      <c r="AO2369">
        <v>31200</v>
      </c>
      <c r="AQ2369" t="s">
        <v>46365</v>
      </c>
      <c r="AR2369" t="s">
        <v>46379</v>
      </c>
      <c r="AS2369" t="s">
        <v>46499</v>
      </c>
      <c r="AT2369" t="s">
        <v>46740</v>
      </c>
      <c r="AU2369">
        <v>24</v>
      </c>
      <c r="AV2369" t="s">
        <v>815</v>
      </c>
      <c r="AW2369" t="s">
        <v>46852</v>
      </c>
    </row>
    <row r="2370" spans="1:50">
      <c r="A2370" s="1">
        <f>HYPERLINK("https://lsnyc.legalserver.org/matter/dynamic-profile/view/1853782","17-1853782")</f>
        <v>0</v>
      </c>
      <c r="B2370" t="s">
        <v>72</v>
      </c>
      <c r="C2370" t="s">
        <v>341</v>
      </c>
      <c r="D2370" t="s">
        <v>413</v>
      </c>
      <c r="E2370" t="s">
        <v>413</v>
      </c>
      <c r="F2370" t="s">
        <v>1817</v>
      </c>
      <c r="G2370" t="s">
        <v>5523</v>
      </c>
      <c r="H2370" t="s">
        <v>10183</v>
      </c>
      <c r="I2370" t="s">
        <v>17603</v>
      </c>
      <c r="J2370" t="s">
        <v>18893</v>
      </c>
      <c r="K2370">
        <v>10034</v>
      </c>
      <c r="L2370" t="s">
        <v>18958</v>
      </c>
      <c r="M2370" t="s">
        <v>18960</v>
      </c>
      <c r="O2370" t="s">
        <v>26526</v>
      </c>
      <c r="P2370" t="s">
        <v>26565</v>
      </c>
      <c r="Q2370" t="s">
        <v>26571</v>
      </c>
      <c r="R2370" t="s">
        <v>26578</v>
      </c>
      <c r="S2370" t="s">
        <v>18959</v>
      </c>
      <c r="U2370" t="s">
        <v>26604</v>
      </c>
      <c r="W2370" t="s">
        <v>413</v>
      </c>
      <c r="X2370">
        <v>0</v>
      </c>
      <c r="Y2370" t="s">
        <v>26651</v>
      </c>
      <c r="Z2370" t="s">
        <v>26661</v>
      </c>
      <c r="AA2370" t="s">
        <v>26683</v>
      </c>
      <c r="AB2370" t="s">
        <v>28787</v>
      </c>
      <c r="AD2370" t="s">
        <v>38841</v>
      </c>
      <c r="AE2370">
        <v>0</v>
      </c>
      <c r="AF2370" t="s">
        <v>45541</v>
      </c>
      <c r="AG2370" t="s">
        <v>19330</v>
      </c>
      <c r="AH2370">
        <v>0</v>
      </c>
      <c r="AI2370">
        <v>1</v>
      </c>
      <c r="AJ2370">
        <v>0</v>
      </c>
      <c r="AK2370">
        <v>73.13</v>
      </c>
      <c r="AN2370" t="s">
        <v>45581</v>
      </c>
      <c r="AO2370">
        <v>8820</v>
      </c>
      <c r="AU2370">
        <v>1.1</v>
      </c>
      <c r="AV2370" t="s">
        <v>413</v>
      </c>
      <c r="AW2370" t="s">
        <v>72</v>
      </c>
    </row>
    <row r="2371" spans="1:50">
      <c r="A2371" s="1">
        <f>HYPERLINK("https://lsnyc.legalserver.org/matter/dynamic-profile/view/1880080","18-1880080")</f>
        <v>0</v>
      </c>
      <c r="B2371" t="s">
        <v>212</v>
      </c>
      <c r="C2371" t="s">
        <v>341</v>
      </c>
      <c r="D2371" t="s">
        <v>413</v>
      </c>
      <c r="E2371" t="s">
        <v>594</v>
      </c>
      <c r="F2371" t="s">
        <v>2226</v>
      </c>
      <c r="G2371" t="s">
        <v>6417</v>
      </c>
      <c r="H2371" t="s">
        <v>11580</v>
      </c>
      <c r="I2371" t="s">
        <v>17334</v>
      </c>
      <c r="J2371" t="s">
        <v>18901</v>
      </c>
      <c r="K2371">
        <v>11432</v>
      </c>
      <c r="L2371" t="s">
        <v>18958</v>
      </c>
      <c r="M2371" t="s">
        <v>18958</v>
      </c>
      <c r="N2371" t="s">
        <v>20751</v>
      </c>
      <c r="O2371" t="s">
        <v>26523</v>
      </c>
      <c r="P2371" t="s">
        <v>26564</v>
      </c>
      <c r="Q2371" t="s">
        <v>26570</v>
      </c>
      <c r="R2371" t="s">
        <v>26578</v>
      </c>
      <c r="S2371" t="s">
        <v>18959</v>
      </c>
      <c r="U2371" t="s">
        <v>26604</v>
      </c>
      <c r="V2371" t="s">
        <v>26610</v>
      </c>
      <c r="W2371" t="s">
        <v>413</v>
      </c>
      <c r="X2371">
        <v>1543</v>
      </c>
      <c r="Y2371" t="s">
        <v>26653</v>
      </c>
      <c r="Z2371" t="s">
        <v>26664</v>
      </c>
      <c r="AA2371" t="s">
        <v>26683</v>
      </c>
      <c r="AB2371" t="s">
        <v>27888</v>
      </c>
      <c r="AC2371" t="s">
        <v>35219</v>
      </c>
      <c r="AD2371" t="s">
        <v>38842</v>
      </c>
      <c r="AE2371">
        <v>6</v>
      </c>
      <c r="AF2371" t="s">
        <v>20460</v>
      </c>
      <c r="AG2371" t="s">
        <v>19330</v>
      </c>
      <c r="AH2371">
        <v>6</v>
      </c>
      <c r="AI2371">
        <v>2</v>
      </c>
      <c r="AJ2371">
        <v>2</v>
      </c>
      <c r="AK2371">
        <v>0</v>
      </c>
      <c r="AN2371" t="s">
        <v>7439</v>
      </c>
      <c r="AO2371">
        <v>0</v>
      </c>
      <c r="AU2371">
        <v>0.9</v>
      </c>
      <c r="AV2371" t="s">
        <v>594</v>
      </c>
      <c r="AW2371" t="s">
        <v>161</v>
      </c>
    </row>
    <row r="2372" spans="1:50">
      <c r="A2372" s="1">
        <f>HYPERLINK("https://lsnyc.legalserver.org/matter/dynamic-profile/view/1880036","18-1880036")</f>
        <v>0</v>
      </c>
      <c r="B2372" t="s">
        <v>212</v>
      </c>
      <c r="C2372" t="s">
        <v>341</v>
      </c>
      <c r="D2372" t="s">
        <v>413</v>
      </c>
      <c r="E2372" t="s">
        <v>614</v>
      </c>
      <c r="F2372" t="s">
        <v>2227</v>
      </c>
      <c r="G2372" t="s">
        <v>3036</v>
      </c>
      <c r="H2372" t="s">
        <v>11581</v>
      </c>
      <c r="I2372" t="s">
        <v>17334</v>
      </c>
      <c r="J2372" t="s">
        <v>18931</v>
      </c>
      <c r="K2372">
        <v>11412</v>
      </c>
      <c r="L2372" t="s">
        <v>18958</v>
      </c>
      <c r="M2372" t="s">
        <v>18958</v>
      </c>
      <c r="N2372" t="s">
        <v>20752</v>
      </c>
      <c r="O2372" t="s">
        <v>26524</v>
      </c>
      <c r="P2372" t="s">
        <v>26564</v>
      </c>
      <c r="Q2372" t="s">
        <v>26570</v>
      </c>
      <c r="R2372" t="s">
        <v>26578</v>
      </c>
      <c r="S2372" t="s">
        <v>18959</v>
      </c>
      <c r="U2372" t="s">
        <v>26604</v>
      </c>
      <c r="V2372" t="s">
        <v>26610</v>
      </c>
      <c r="W2372" t="s">
        <v>413</v>
      </c>
      <c r="X2372">
        <v>1515</v>
      </c>
      <c r="Y2372" t="s">
        <v>26653</v>
      </c>
      <c r="Z2372" t="s">
        <v>26664</v>
      </c>
      <c r="AA2372" t="s">
        <v>26683</v>
      </c>
      <c r="AB2372" t="s">
        <v>28788</v>
      </c>
      <c r="AC2372" t="s">
        <v>35220</v>
      </c>
      <c r="AD2372" t="s">
        <v>38843</v>
      </c>
      <c r="AE2372">
        <v>2</v>
      </c>
      <c r="AF2372" t="s">
        <v>45547</v>
      </c>
      <c r="AG2372" t="s">
        <v>45558</v>
      </c>
      <c r="AH2372">
        <v>3</v>
      </c>
      <c r="AI2372">
        <v>1</v>
      </c>
      <c r="AJ2372">
        <v>2</v>
      </c>
      <c r="AK2372">
        <v>35.51</v>
      </c>
      <c r="AN2372" t="s">
        <v>7439</v>
      </c>
      <c r="AO2372">
        <v>7380</v>
      </c>
      <c r="AU2372">
        <v>0.9</v>
      </c>
      <c r="AV2372" t="s">
        <v>771</v>
      </c>
      <c r="AW2372" t="s">
        <v>161</v>
      </c>
    </row>
    <row r="2373" spans="1:50">
      <c r="A2373" s="1">
        <f>HYPERLINK("https://lsnyc.legalserver.org/matter/dynamic-profile/view/1880140","18-1880140")</f>
        <v>0</v>
      </c>
      <c r="B2373" t="s">
        <v>212</v>
      </c>
      <c r="C2373" t="s">
        <v>341</v>
      </c>
      <c r="D2373" t="s">
        <v>413</v>
      </c>
      <c r="E2373" t="s">
        <v>614</v>
      </c>
      <c r="F2373" t="s">
        <v>2228</v>
      </c>
      <c r="G2373" t="s">
        <v>6418</v>
      </c>
      <c r="H2373" t="s">
        <v>11582</v>
      </c>
      <c r="I2373" t="s">
        <v>17309</v>
      </c>
      <c r="J2373" t="s">
        <v>18898</v>
      </c>
      <c r="K2373">
        <v>11691</v>
      </c>
      <c r="L2373" t="s">
        <v>18958</v>
      </c>
      <c r="M2373" t="s">
        <v>18958</v>
      </c>
      <c r="N2373" t="s">
        <v>20753</v>
      </c>
      <c r="O2373" t="s">
        <v>26524</v>
      </c>
      <c r="P2373" t="s">
        <v>26564</v>
      </c>
      <c r="Q2373" t="s">
        <v>26570</v>
      </c>
      <c r="R2373" t="s">
        <v>26578</v>
      </c>
      <c r="S2373" t="s">
        <v>18959</v>
      </c>
      <c r="U2373" t="s">
        <v>26604</v>
      </c>
      <c r="V2373" t="s">
        <v>26612</v>
      </c>
      <c r="W2373" t="s">
        <v>413</v>
      </c>
      <c r="X2373">
        <v>1515</v>
      </c>
      <c r="Y2373" t="s">
        <v>26653</v>
      </c>
      <c r="Z2373" t="s">
        <v>26664</v>
      </c>
      <c r="AA2373" t="s">
        <v>26683</v>
      </c>
      <c r="AB2373" t="s">
        <v>28359</v>
      </c>
      <c r="AC2373" t="s">
        <v>35221</v>
      </c>
      <c r="AD2373" t="s">
        <v>38844</v>
      </c>
      <c r="AE2373">
        <v>4</v>
      </c>
      <c r="AF2373" t="s">
        <v>45547</v>
      </c>
      <c r="AG2373" t="s">
        <v>45558</v>
      </c>
      <c r="AH2373">
        <v>1</v>
      </c>
      <c r="AI2373">
        <v>1</v>
      </c>
      <c r="AJ2373">
        <v>2</v>
      </c>
      <c r="AK2373">
        <v>91.43000000000001</v>
      </c>
      <c r="AN2373" t="s">
        <v>7439</v>
      </c>
      <c r="AO2373">
        <v>19000</v>
      </c>
      <c r="AU2373">
        <v>0.4</v>
      </c>
      <c r="AV2373" t="s">
        <v>614</v>
      </c>
      <c r="AW2373" t="s">
        <v>208</v>
      </c>
    </row>
    <row r="2374" spans="1:50">
      <c r="A2374" s="1">
        <f>HYPERLINK("https://lsnyc.legalserver.org/matter/dynamic-profile/view/1880073","18-1880073")</f>
        <v>0</v>
      </c>
      <c r="B2374" t="s">
        <v>212</v>
      </c>
      <c r="C2374" t="s">
        <v>341</v>
      </c>
      <c r="D2374" t="s">
        <v>413</v>
      </c>
      <c r="E2374" t="s">
        <v>614</v>
      </c>
      <c r="F2374" t="s">
        <v>2058</v>
      </c>
      <c r="G2374" t="s">
        <v>5269</v>
      </c>
      <c r="H2374" t="s">
        <v>11583</v>
      </c>
      <c r="J2374" t="s">
        <v>18908</v>
      </c>
      <c r="K2374">
        <v>11411</v>
      </c>
      <c r="L2374" t="s">
        <v>18958</v>
      </c>
      <c r="M2374" t="s">
        <v>18958</v>
      </c>
      <c r="N2374" t="s">
        <v>20754</v>
      </c>
      <c r="O2374" t="s">
        <v>26524</v>
      </c>
      <c r="P2374" t="s">
        <v>26565</v>
      </c>
      <c r="Q2374" t="s">
        <v>26570</v>
      </c>
      <c r="R2374" t="s">
        <v>26578</v>
      </c>
      <c r="S2374" t="s">
        <v>18959</v>
      </c>
      <c r="U2374" t="s">
        <v>26604</v>
      </c>
      <c r="V2374" t="s">
        <v>26610</v>
      </c>
      <c r="W2374" t="s">
        <v>413</v>
      </c>
      <c r="X2374">
        <v>0</v>
      </c>
      <c r="Y2374" t="s">
        <v>26653</v>
      </c>
      <c r="Z2374" t="s">
        <v>26664</v>
      </c>
      <c r="AA2374" t="s">
        <v>26683</v>
      </c>
      <c r="AB2374" t="s">
        <v>26925</v>
      </c>
      <c r="AD2374" t="s">
        <v>38845</v>
      </c>
      <c r="AE2374">
        <v>1</v>
      </c>
      <c r="AF2374" t="s">
        <v>45547</v>
      </c>
      <c r="AG2374" t="s">
        <v>19330</v>
      </c>
      <c r="AH2374">
        <v>46</v>
      </c>
      <c r="AI2374">
        <v>2</v>
      </c>
      <c r="AJ2374">
        <v>1</v>
      </c>
      <c r="AK2374">
        <v>200</v>
      </c>
      <c r="AN2374" t="s">
        <v>7439</v>
      </c>
      <c r="AO2374">
        <v>41560</v>
      </c>
      <c r="AU2374">
        <v>1</v>
      </c>
      <c r="AV2374" t="s">
        <v>614</v>
      </c>
      <c r="AW2374" t="s">
        <v>161</v>
      </c>
    </row>
    <row r="2375" spans="1:50">
      <c r="A2375" s="1">
        <f>HYPERLINK("https://lsnyc.legalserver.org/matter/dynamic-profile/view/1880061","18-1880061")</f>
        <v>0</v>
      </c>
      <c r="B2375" t="s">
        <v>214</v>
      </c>
      <c r="C2375" t="s">
        <v>341</v>
      </c>
      <c r="D2375" t="s">
        <v>413</v>
      </c>
      <c r="E2375" t="s">
        <v>737</v>
      </c>
      <c r="F2375" t="s">
        <v>2229</v>
      </c>
      <c r="G2375" t="s">
        <v>5147</v>
      </c>
      <c r="H2375" t="s">
        <v>11584</v>
      </c>
      <c r="I2375" t="s">
        <v>17469</v>
      </c>
      <c r="J2375" t="s">
        <v>18898</v>
      </c>
      <c r="K2375">
        <v>11691</v>
      </c>
      <c r="L2375" t="s">
        <v>18958</v>
      </c>
      <c r="M2375" t="s">
        <v>18958</v>
      </c>
      <c r="N2375" t="s">
        <v>20755</v>
      </c>
      <c r="O2375" t="s">
        <v>26524</v>
      </c>
      <c r="P2375" t="s">
        <v>26560</v>
      </c>
      <c r="Q2375" t="s">
        <v>26568</v>
      </c>
      <c r="R2375" t="s">
        <v>26578</v>
      </c>
      <c r="S2375" t="s">
        <v>18959</v>
      </c>
      <c r="U2375" t="s">
        <v>26604</v>
      </c>
      <c r="V2375" t="s">
        <v>26610</v>
      </c>
      <c r="W2375" t="s">
        <v>413</v>
      </c>
      <c r="X2375">
        <v>1950</v>
      </c>
      <c r="Y2375" t="s">
        <v>26653</v>
      </c>
      <c r="Z2375" t="s">
        <v>26664</v>
      </c>
      <c r="AA2375" t="s">
        <v>26679</v>
      </c>
      <c r="AB2375" t="s">
        <v>28789</v>
      </c>
      <c r="AC2375" t="s">
        <v>34738</v>
      </c>
      <c r="AD2375" t="s">
        <v>38846</v>
      </c>
      <c r="AE2375">
        <v>3</v>
      </c>
      <c r="AF2375" t="s">
        <v>20460</v>
      </c>
      <c r="AG2375" t="s">
        <v>19330</v>
      </c>
      <c r="AH2375">
        <v>1</v>
      </c>
      <c r="AI2375">
        <v>1</v>
      </c>
      <c r="AJ2375">
        <v>2</v>
      </c>
      <c r="AK2375">
        <v>0</v>
      </c>
      <c r="AN2375" t="s">
        <v>7439</v>
      </c>
      <c r="AO2375">
        <v>0</v>
      </c>
      <c r="AQ2375" t="s">
        <v>46362</v>
      </c>
      <c r="AR2375" t="s">
        <v>26530</v>
      </c>
      <c r="AS2375" t="s">
        <v>46500</v>
      </c>
      <c r="AT2375" t="s">
        <v>46741</v>
      </c>
      <c r="AU2375">
        <v>11.89</v>
      </c>
      <c r="AV2375" t="s">
        <v>737</v>
      </c>
      <c r="AW2375" t="s">
        <v>161</v>
      </c>
    </row>
    <row r="2376" spans="1:50">
      <c r="A2376" s="1">
        <f>HYPERLINK("https://lsnyc.legalserver.org/matter/dynamic-profile/view/1880115","18-1880115")</f>
        <v>0</v>
      </c>
      <c r="B2376" t="s">
        <v>218</v>
      </c>
      <c r="C2376" t="s">
        <v>341</v>
      </c>
      <c r="D2376" t="s">
        <v>413</v>
      </c>
      <c r="E2376" t="s">
        <v>646</v>
      </c>
      <c r="F2376" t="s">
        <v>1162</v>
      </c>
      <c r="G2376" t="s">
        <v>6419</v>
      </c>
      <c r="H2376" t="s">
        <v>11585</v>
      </c>
      <c r="I2376" t="s">
        <v>17388</v>
      </c>
      <c r="J2376" t="s">
        <v>18893</v>
      </c>
      <c r="K2376">
        <v>10034</v>
      </c>
      <c r="L2376" t="s">
        <v>18959</v>
      </c>
      <c r="M2376" t="s">
        <v>18959</v>
      </c>
      <c r="P2376" t="s">
        <v>26564</v>
      </c>
      <c r="Q2376" t="s">
        <v>26570</v>
      </c>
      <c r="R2376" t="s">
        <v>26578</v>
      </c>
      <c r="S2376" t="s">
        <v>18959</v>
      </c>
      <c r="U2376" t="s">
        <v>26604</v>
      </c>
      <c r="W2376" t="s">
        <v>413</v>
      </c>
      <c r="X2376">
        <v>927.11</v>
      </c>
      <c r="Y2376" t="s">
        <v>26651</v>
      </c>
      <c r="Z2376" t="s">
        <v>26661</v>
      </c>
      <c r="AA2376" t="s">
        <v>26683</v>
      </c>
      <c r="AB2376" t="s">
        <v>28790</v>
      </c>
      <c r="AE2376">
        <v>43</v>
      </c>
      <c r="AF2376" t="s">
        <v>45541</v>
      </c>
      <c r="AG2376" t="s">
        <v>19330</v>
      </c>
      <c r="AH2376">
        <v>20</v>
      </c>
      <c r="AI2376">
        <v>2</v>
      </c>
      <c r="AJ2376">
        <v>2</v>
      </c>
      <c r="AK2376">
        <v>41.43</v>
      </c>
      <c r="AN2376" t="s">
        <v>45581</v>
      </c>
      <c r="AO2376">
        <v>10400</v>
      </c>
      <c r="AU2376">
        <v>0.2</v>
      </c>
      <c r="AV2376" t="s">
        <v>427</v>
      </c>
      <c r="AW2376" t="s">
        <v>46840</v>
      </c>
      <c r="AX2376" t="s">
        <v>46897</v>
      </c>
    </row>
    <row r="2377" spans="1:50">
      <c r="A2377" s="1">
        <f>HYPERLINK("https://lsnyc.legalserver.org/matter/dynamic-profile/view/1880130","18-1880130")</f>
        <v>0</v>
      </c>
      <c r="B2377" t="s">
        <v>218</v>
      </c>
      <c r="C2377" t="s">
        <v>341</v>
      </c>
      <c r="D2377" t="s">
        <v>413</v>
      </c>
      <c r="E2377" t="s">
        <v>818</v>
      </c>
      <c r="F2377" t="s">
        <v>1527</v>
      </c>
      <c r="G2377" t="s">
        <v>5576</v>
      </c>
      <c r="H2377" t="s">
        <v>10860</v>
      </c>
      <c r="I2377" t="s">
        <v>17347</v>
      </c>
      <c r="J2377" t="s">
        <v>18892</v>
      </c>
      <c r="K2377">
        <v>10463</v>
      </c>
      <c r="L2377" t="s">
        <v>18958</v>
      </c>
      <c r="M2377" t="s">
        <v>18958</v>
      </c>
      <c r="N2377" t="s">
        <v>20756</v>
      </c>
      <c r="O2377" t="s">
        <v>26523</v>
      </c>
      <c r="P2377" t="s">
        <v>26560</v>
      </c>
      <c r="Q2377" t="s">
        <v>26570</v>
      </c>
      <c r="R2377" t="s">
        <v>26578</v>
      </c>
      <c r="S2377" t="s">
        <v>18959</v>
      </c>
      <c r="U2377" t="s">
        <v>26604</v>
      </c>
      <c r="W2377" t="s">
        <v>413</v>
      </c>
      <c r="X2377">
        <v>1273</v>
      </c>
      <c r="Y2377" t="s">
        <v>26651</v>
      </c>
      <c r="Z2377" t="s">
        <v>26661</v>
      </c>
      <c r="AA2377" t="s">
        <v>26683</v>
      </c>
      <c r="AB2377" t="s">
        <v>28791</v>
      </c>
      <c r="AD2377" t="s">
        <v>38847</v>
      </c>
      <c r="AE2377">
        <v>318</v>
      </c>
      <c r="AF2377" t="s">
        <v>45541</v>
      </c>
      <c r="AG2377" t="s">
        <v>19330</v>
      </c>
      <c r="AH2377">
        <v>43</v>
      </c>
      <c r="AI2377">
        <v>1</v>
      </c>
      <c r="AJ2377">
        <v>0</v>
      </c>
      <c r="AK2377">
        <v>313.54</v>
      </c>
      <c r="AL2377" t="s">
        <v>820</v>
      </c>
      <c r="AM2377" t="s">
        <v>45575</v>
      </c>
      <c r="AN2377" t="s">
        <v>7439</v>
      </c>
      <c r="AO2377">
        <v>38064</v>
      </c>
      <c r="AU2377">
        <v>13.1</v>
      </c>
      <c r="AV2377" t="s">
        <v>815</v>
      </c>
      <c r="AW2377" t="s">
        <v>46840</v>
      </c>
      <c r="AX2377" t="s">
        <v>46897</v>
      </c>
    </row>
    <row r="2378" spans="1:50">
      <c r="A2378" s="1">
        <f>HYPERLINK("https://lsnyc.legalserver.org/matter/dynamic-profile/view/1878928","18-1878928")</f>
        <v>0</v>
      </c>
      <c r="B2378" t="s">
        <v>103</v>
      </c>
      <c r="C2378" t="s">
        <v>341</v>
      </c>
      <c r="D2378" t="s">
        <v>413</v>
      </c>
      <c r="E2378" t="s">
        <v>745</v>
      </c>
      <c r="F2378" t="s">
        <v>1473</v>
      </c>
      <c r="G2378" t="s">
        <v>5121</v>
      </c>
      <c r="H2378" t="s">
        <v>11586</v>
      </c>
      <c r="I2378">
        <v>2</v>
      </c>
      <c r="J2378" t="s">
        <v>18902</v>
      </c>
      <c r="K2378">
        <v>10305</v>
      </c>
      <c r="L2378" t="s">
        <v>18958</v>
      </c>
      <c r="M2378" t="s">
        <v>18958</v>
      </c>
      <c r="N2378" t="s">
        <v>20757</v>
      </c>
      <c r="O2378" t="s">
        <v>26523</v>
      </c>
      <c r="P2378" t="s">
        <v>26560</v>
      </c>
      <c r="Q2378" t="s">
        <v>26568</v>
      </c>
      <c r="R2378" t="s">
        <v>26587</v>
      </c>
      <c r="S2378" t="s">
        <v>18959</v>
      </c>
      <c r="U2378" t="s">
        <v>26604</v>
      </c>
      <c r="V2378" t="s">
        <v>26612</v>
      </c>
      <c r="W2378" t="s">
        <v>413</v>
      </c>
      <c r="X2378">
        <v>1399</v>
      </c>
      <c r="Y2378" t="s">
        <v>26654</v>
      </c>
      <c r="Z2378" t="s">
        <v>26661</v>
      </c>
      <c r="AA2378" t="s">
        <v>26678</v>
      </c>
      <c r="AB2378" t="s">
        <v>28792</v>
      </c>
      <c r="AD2378" t="s">
        <v>38848</v>
      </c>
      <c r="AE2378">
        <v>6</v>
      </c>
      <c r="AF2378" t="s">
        <v>45547</v>
      </c>
      <c r="AG2378" t="s">
        <v>45556</v>
      </c>
      <c r="AH2378">
        <v>2</v>
      </c>
      <c r="AI2378">
        <v>3</v>
      </c>
      <c r="AJ2378">
        <v>0</v>
      </c>
      <c r="AK2378">
        <v>53.13</v>
      </c>
      <c r="AN2378" t="s">
        <v>7439</v>
      </c>
      <c r="AO2378">
        <v>11040</v>
      </c>
      <c r="AQ2378" t="s">
        <v>46365</v>
      </c>
      <c r="AR2378" t="s">
        <v>46379</v>
      </c>
      <c r="AS2378" t="s">
        <v>46499</v>
      </c>
      <c r="AT2378" t="s">
        <v>46742</v>
      </c>
      <c r="AU2378">
        <v>16.3</v>
      </c>
      <c r="AV2378" t="s">
        <v>745</v>
      </c>
      <c r="AW2378" t="s">
        <v>316</v>
      </c>
    </row>
    <row r="2379" spans="1:50">
      <c r="A2379" s="1">
        <f>HYPERLINK("https://lsnyc.legalserver.org/matter/dynamic-profile/view/1880089","18-1880089")</f>
        <v>0</v>
      </c>
      <c r="B2379" t="s">
        <v>91</v>
      </c>
      <c r="C2379" t="s">
        <v>341</v>
      </c>
      <c r="D2379" t="s">
        <v>413</v>
      </c>
      <c r="E2379" t="s">
        <v>494</v>
      </c>
      <c r="F2379" t="s">
        <v>1630</v>
      </c>
      <c r="G2379" t="s">
        <v>5419</v>
      </c>
      <c r="H2379" t="s">
        <v>11587</v>
      </c>
      <c r="I2379">
        <v>2</v>
      </c>
      <c r="J2379" t="s">
        <v>18898</v>
      </c>
      <c r="K2379">
        <v>11691</v>
      </c>
      <c r="L2379" t="s">
        <v>18958</v>
      </c>
      <c r="M2379" t="s">
        <v>18958</v>
      </c>
      <c r="N2379" t="s">
        <v>20758</v>
      </c>
      <c r="O2379" t="s">
        <v>26524</v>
      </c>
      <c r="P2379" t="s">
        <v>26564</v>
      </c>
      <c r="Q2379" t="s">
        <v>26570</v>
      </c>
      <c r="R2379" t="s">
        <v>26578</v>
      </c>
      <c r="S2379" t="s">
        <v>18959</v>
      </c>
      <c r="U2379" t="s">
        <v>26604</v>
      </c>
      <c r="V2379" t="s">
        <v>26609</v>
      </c>
      <c r="W2379" t="s">
        <v>413</v>
      </c>
      <c r="X2379">
        <v>1800</v>
      </c>
      <c r="Y2379" t="s">
        <v>26653</v>
      </c>
      <c r="Z2379" t="s">
        <v>26664</v>
      </c>
      <c r="AA2379" t="s">
        <v>26683</v>
      </c>
      <c r="AB2379" t="s">
        <v>28793</v>
      </c>
      <c r="AD2379" t="s">
        <v>38849</v>
      </c>
      <c r="AE2379">
        <v>2</v>
      </c>
      <c r="AF2379" t="s">
        <v>45547</v>
      </c>
      <c r="AG2379" t="s">
        <v>45556</v>
      </c>
      <c r="AH2379">
        <v>11</v>
      </c>
      <c r="AI2379">
        <v>3</v>
      </c>
      <c r="AJ2379">
        <v>0</v>
      </c>
      <c r="AK2379">
        <v>189.61</v>
      </c>
      <c r="AN2379" t="s">
        <v>7439</v>
      </c>
      <c r="AO2379">
        <v>39400</v>
      </c>
      <c r="AU2379">
        <v>1.2</v>
      </c>
      <c r="AV2379" t="s">
        <v>668</v>
      </c>
      <c r="AW2379" t="s">
        <v>161</v>
      </c>
    </row>
    <row r="2380" spans="1:50">
      <c r="A2380" s="1">
        <f>HYPERLINK("https://lsnyc.legalserver.org/matter/dynamic-profile/view/1880116","18-1880116")</f>
        <v>0</v>
      </c>
      <c r="B2380" t="s">
        <v>87</v>
      </c>
      <c r="C2380" t="s">
        <v>341</v>
      </c>
      <c r="D2380" t="s">
        <v>413</v>
      </c>
      <c r="E2380" t="s">
        <v>688</v>
      </c>
      <c r="F2380" t="s">
        <v>2230</v>
      </c>
      <c r="G2380" t="s">
        <v>6420</v>
      </c>
      <c r="H2380" t="s">
        <v>11588</v>
      </c>
      <c r="I2380" t="s">
        <v>17349</v>
      </c>
      <c r="J2380" t="s">
        <v>18892</v>
      </c>
      <c r="K2380">
        <v>10456</v>
      </c>
      <c r="L2380" t="s">
        <v>18958</v>
      </c>
      <c r="M2380" t="s">
        <v>18958</v>
      </c>
      <c r="N2380" t="s">
        <v>20759</v>
      </c>
      <c r="O2380" t="s">
        <v>26524</v>
      </c>
      <c r="P2380" t="s">
        <v>26564</v>
      </c>
      <c r="Q2380" t="s">
        <v>26570</v>
      </c>
      <c r="R2380" t="s">
        <v>26577</v>
      </c>
      <c r="S2380" t="s">
        <v>18959</v>
      </c>
      <c r="U2380" t="s">
        <v>26604</v>
      </c>
      <c r="W2380" t="s">
        <v>413</v>
      </c>
      <c r="X2380">
        <v>1204</v>
      </c>
      <c r="Y2380" t="s">
        <v>26650</v>
      </c>
      <c r="Z2380" t="s">
        <v>26664</v>
      </c>
      <c r="AA2380" t="s">
        <v>26679</v>
      </c>
      <c r="AB2380" t="s">
        <v>27026</v>
      </c>
      <c r="AD2380" t="s">
        <v>38850</v>
      </c>
      <c r="AE2380">
        <v>0</v>
      </c>
      <c r="AF2380" t="s">
        <v>45541</v>
      </c>
      <c r="AG2380" t="s">
        <v>45556</v>
      </c>
      <c r="AH2380">
        <v>6</v>
      </c>
      <c r="AI2380">
        <v>3</v>
      </c>
      <c r="AJ2380">
        <v>2</v>
      </c>
      <c r="AK2380">
        <v>85.66</v>
      </c>
      <c r="AN2380" t="s">
        <v>7439</v>
      </c>
      <c r="AO2380">
        <v>25200</v>
      </c>
      <c r="AU2380">
        <v>3.9</v>
      </c>
      <c r="AV2380" t="s">
        <v>675</v>
      </c>
      <c r="AW2380" t="s">
        <v>46871</v>
      </c>
    </row>
    <row r="2381" spans="1:50">
      <c r="A2381" s="1">
        <f>HYPERLINK("https://lsnyc.legalserver.org/matter/dynamic-profile/view/1880015","18-1880015")</f>
        <v>0</v>
      </c>
      <c r="B2381" t="s">
        <v>87</v>
      </c>
      <c r="C2381" t="s">
        <v>341</v>
      </c>
      <c r="D2381" t="s">
        <v>413</v>
      </c>
      <c r="E2381" t="s">
        <v>728</v>
      </c>
      <c r="F2381" t="s">
        <v>2231</v>
      </c>
      <c r="G2381" t="s">
        <v>5706</v>
      </c>
      <c r="H2381" t="s">
        <v>11589</v>
      </c>
      <c r="I2381" t="s">
        <v>17819</v>
      </c>
      <c r="J2381" t="s">
        <v>18892</v>
      </c>
      <c r="K2381">
        <v>10467</v>
      </c>
      <c r="L2381" t="s">
        <v>18958</v>
      </c>
      <c r="M2381" t="s">
        <v>18958</v>
      </c>
      <c r="N2381" t="s">
        <v>20760</v>
      </c>
      <c r="O2381" t="s">
        <v>26523</v>
      </c>
      <c r="P2381" t="s">
        <v>26560</v>
      </c>
      <c r="Q2381" t="s">
        <v>26568</v>
      </c>
      <c r="R2381" t="s">
        <v>26579</v>
      </c>
      <c r="S2381" t="s">
        <v>18959</v>
      </c>
      <c r="U2381" t="s">
        <v>26604</v>
      </c>
      <c r="V2381" t="s">
        <v>26610</v>
      </c>
      <c r="W2381" t="s">
        <v>413</v>
      </c>
      <c r="X2381">
        <v>1500</v>
      </c>
      <c r="Y2381" t="s">
        <v>26650</v>
      </c>
      <c r="Z2381" t="s">
        <v>26664</v>
      </c>
      <c r="AA2381" t="s">
        <v>26678</v>
      </c>
      <c r="AB2381" t="s">
        <v>28794</v>
      </c>
      <c r="AD2381" t="s">
        <v>38851</v>
      </c>
      <c r="AE2381">
        <v>54</v>
      </c>
      <c r="AF2381" t="s">
        <v>45541</v>
      </c>
      <c r="AG2381" t="s">
        <v>19330</v>
      </c>
      <c r="AH2381">
        <v>1</v>
      </c>
      <c r="AI2381">
        <v>1</v>
      </c>
      <c r="AJ2381">
        <v>2</v>
      </c>
      <c r="AK2381">
        <v>70.06999999999999</v>
      </c>
      <c r="AN2381" t="s">
        <v>45581</v>
      </c>
      <c r="AO2381">
        <v>14560</v>
      </c>
      <c r="AR2381" t="s">
        <v>46381</v>
      </c>
      <c r="AS2381" t="s">
        <v>46499</v>
      </c>
      <c r="AT2381" t="s">
        <v>46537</v>
      </c>
      <c r="AU2381">
        <v>8.800000000000001</v>
      </c>
      <c r="AV2381" t="s">
        <v>687</v>
      </c>
      <c r="AW2381" t="s">
        <v>46871</v>
      </c>
    </row>
    <row r="2382" spans="1:50">
      <c r="A2382" s="1">
        <f>HYPERLINK("https://lsnyc.legalserver.org/matter/dynamic-profile/view/1880074","18-1880074")</f>
        <v>0</v>
      </c>
      <c r="B2382" t="s">
        <v>86</v>
      </c>
      <c r="C2382" t="s">
        <v>341</v>
      </c>
      <c r="D2382" t="s">
        <v>413</v>
      </c>
      <c r="E2382" t="s">
        <v>808</v>
      </c>
      <c r="F2382" t="s">
        <v>1716</v>
      </c>
      <c r="G2382" t="s">
        <v>5136</v>
      </c>
      <c r="H2382" t="s">
        <v>11590</v>
      </c>
      <c r="I2382" t="s">
        <v>17306</v>
      </c>
      <c r="J2382" t="s">
        <v>18893</v>
      </c>
      <c r="K2382">
        <v>10039</v>
      </c>
      <c r="L2382" t="s">
        <v>18958</v>
      </c>
      <c r="M2382" t="s">
        <v>18958</v>
      </c>
      <c r="N2382" t="s">
        <v>20761</v>
      </c>
      <c r="O2382" t="s">
        <v>26523</v>
      </c>
      <c r="P2382" t="s">
        <v>26564</v>
      </c>
      <c r="Q2382" t="s">
        <v>26570</v>
      </c>
      <c r="R2382" t="s">
        <v>26582</v>
      </c>
      <c r="S2382" t="s">
        <v>18959</v>
      </c>
      <c r="U2382" t="s">
        <v>26605</v>
      </c>
      <c r="V2382" t="s">
        <v>26610</v>
      </c>
      <c r="W2382" t="s">
        <v>413</v>
      </c>
      <c r="X2382">
        <v>891</v>
      </c>
      <c r="Y2382" t="s">
        <v>26651</v>
      </c>
      <c r="Z2382" t="s">
        <v>26664</v>
      </c>
      <c r="AA2382" t="s">
        <v>26683</v>
      </c>
      <c r="AB2382" t="s">
        <v>28795</v>
      </c>
      <c r="AD2382" t="s">
        <v>38852</v>
      </c>
      <c r="AE2382">
        <v>0</v>
      </c>
      <c r="AF2382" t="s">
        <v>45549</v>
      </c>
      <c r="AH2382">
        <v>18</v>
      </c>
      <c r="AI2382">
        <v>2</v>
      </c>
      <c r="AJ2382">
        <v>0</v>
      </c>
      <c r="AK2382">
        <v>0</v>
      </c>
      <c r="AN2382" t="s">
        <v>7439</v>
      </c>
      <c r="AO2382">
        <v>0</v>
      </c>
      <c r="AU2382">
        <v>0.1</v>
      </c>
      <c r="AV2382" t="s">
        <v>413</v>
      </c>
      <c r="AW2382" t="s">
        <v>46838</v>
      </c>
    </row>
    <row r="2383" spans="1:50">
      <c r="A2383" s="1">
        <f>HYPERLINK("https://lsnyc.legalserver.org/matter/dynamic-profile/view/1880131","18-1880131")</f>
        <v>0</v>
      </c>
      <c r="B2383" t="s">
        <v>86</v>
      </c>
      <c r="C2383" t="s">
        <v>341</v>
      </c>
      <c r="D2383" t="s">
        <v>413</v>
      </c>
      <c r="E2383" t="s">
        <v>833</v>
      </c>
      <c r="F2383" t="s">
        <v>2232</v>
      </c>
      <c r="G2383" t="s">
        <v>6421</v>
      </c>
      <c r="H2383" t="s">
        <v>11591</v>
      </c>
      <c r="I2383" t="s">
        <v>17804</v>
      </c>
      <c r="J2383" t="s">
        <v>18893</v>
      </c>
      <c r="K2383">
        <v>10001</v>
      </c>
      <c r="L2383" t="s">
        <v>18958</v>
      </c>
      <c r="M2383" t="s">
        <v>18960</v>
      </c>
      <c r="N2383" t="s">
        <v>20762</v>
      </c>
      <c r="O2383" t="s">
        <v>26523</v>
      </c>
      <c r="P2383" t="s">
        <v>26560</v>
      </c>
      <c r="Q2383" t="s">
        <v>26568</v>
      </c>
      <c r="R2383" t="s">
        <v>26582</v>
      </c>
      <c r="S2383" t="s">
        <v>18959</v>
      </c>
      <c r="U2383" t="s">
        <v>26604</v>
      </c>
      <c r="W2383" t="s">
        <v>413</v>
      </c>
      <c r="X2383">
        <v>2000</v>
      </c>
      <c r="Y2383" t="s">
        <v>26651</v>
      </c>
      <c r="Z2383" t="s">
        <v>26664</v>
      </c>
      <c r="AA2383" t="s">
        <v>26678</v>
      </c>
      <c r="AB2383" t="s">
        <v>28796</v>
      </c>
      <c r="AE2383">
        <v>0</v>
      </c>
      <c r="AH2383">
        <v>20</v>
      </c>
      <c r="AI2383">
        <v>3</v>
      </c>
      <c r="AJ2383">
        <v>0</v>
      </c>
      <c r="AK2383">
        <v>57.75</v>
      </c>
      <c r="AN2383" t="s">
        <v>7439</v>
      </c>
      <c r="AO2383">
        <v>12000</v>
      </c>
      <c r="AS2383" t="s">
        <v>46499</v>
      </c>
      <c r="AU2383">
        <v>29</v>
      </c>
      <c r="AV2383" t="s">
        <v>818</v>
      </c>
      <c r="AW2383" t="s">
        <v>46838</v>
      </c>
      <c r="AX2383" t="s">
        <v>46897</v>
      </c>
    </row>
    <row r="2384" spans="1:50">
      <c r="A2384" s="1">
        <f>HYPERLINK("https://lsnyc.legalserver.org/matter/dynamic-profile/view/1880079","18-1880079")</f>
        <v>0</v>
      </c>
      <c r="B2384" t="s">
        <v>86</v>
      </c>
      <c r="C2384" t="s">
        <v>341</v>
      </c>
      <c r="D2384" t="s">
        <v>413</v>
      </c>
      <c r="E2384" t="s">
        <v>623</v>
      </c>
      <c r="F2384" t="s">
        <v>900</v>
      </c>
      <c r="G2384" t="s">
        <v>5748</v>
      </c>
      <c r="H2384" t="s">
        <v>11592</v>
      </c>
      <c r="I2384" t="s">
        <v>17820</v>
      </c>
      <c r="J2384" t="s">
        <v>18893</v>
      </c>
      <c r="K2384">
        <v>10023</v>
      </c>
      <c r="L2384" t="s">
        <v>18958</v>
      </c>
      <c r="M2384" t="s">
        <v>18958</v>
      </c>
      <c r="N2384" t="s">
        <v>20763</v>
      </c>
      <c r="O2384" t="s">
        <v>26523</v>
      </c>
      <c r="P2384" t="s">
        <v>26564</v>
      </c>
      <c r="Q2384" t="s">
        <v>26570</v>
      </c>
      <c r="R2384" t="s">
        <v>26582</v>
      </c>
      <c r="S2384" t="s">
        <v>18959</v>
      </c>
      <c r="U2384" t="s">
        <v>26605</v>
      </c>
      <c r="V2384" t="s">
        <v>26609</v>
      </c>
      <c r="W2384" t="s">
        <v>413</v>
      </c>
      <c r="X2384">
        <v>728</v>
      </c>
      <c r="Y2384" t="s">
        <v>26651</v>
      </c>
      <c r="AA2384" t="s">
        <v>26683</v>
      </c>
      <c r="AB2384" t="s">
        <v>28797</v>
      </c>
      <c r="AD2384" t="s">
        <v>38853</v>
      </c>
      <c r="AE2384">
        <v>0</v>
      </c>
      <c r="AH2384">
        <v>28</v>
      </c>
      <c r="AI2384">
        <v>2</v>
      </c>
      <c r="AJ2384">
        <v>3</v>
      </c>
      <c r="AK2384">
        <v>95.45</v>
      </c>
      <c r="AN2384" t="s">
        <v>7439</v>
      </c>
      <c r="AO2384">
        <v>28080</v>
      </c>
      <c r="AU2384">
        <v>0.1</v>
      </c>
      <c r="AV2384" t="s">
        <v>413</v>
      </c>
      <c r="AW2384" t="s">
        <v>46838</v>
      </c>
    </row>
    <row r="2385" spans="1:50">
      <c r="A2385" s="1">
        <f>HYPERLINK("https://lsnyc.legalserver.org/matter/dynamic-profile/view/1880084","18-1880084")</f>
        <v>0</v>
      </c>
      <c r="B2385" t="s">
        <v>136</v>
      </c>
      <c r="C2385" t="s">
        <v>340</v>
      </c>
      <c r="D2385" t="s">
        <v>413</v>
      </c>
      <c r="F2385" t="s">
        <v>2233</v>
      </c>
      <c r="G2385" t="s">
        <v>6422</v>
      </c>
      <c r="H2385" t="s">
        <v>11593</v>
      </c>
      <c r="I2385" t="s">
        <v>17643</v>
      </c>
      <c r="J2385" t="s">
        <v>18892</v>
      </c>
      <c r="K2385">
        <v>10458</v>
      </c>
      <c r="L2385" t="s">
        <v>18958</v>
      </c>
      <c r="M2385" t="s">
        <v>18958</v>
      </c>
      <c r="N2385" t="s">
        <v>20764</v>
      </c>
      <c r="O2385" t="s">
        <v>26523</v>
      </c>
      <c r="P2385" t="s">
        <v>26560</v>
      </c>
      <c r="R2385" t="s">
        <v>26577</v>
      </c>
      <c r="S2385" t="s">
        <v>18959</v>
      </c>
      <c r="U2385" t="s">
        <v>26604</v>
      </c>
      <c r="V2385" t="s">
        <v>26610</v>
      </c>
      <c r="W2385" t="s">
        <v>413</v>
      </c>
      <c r="X2385">
        <v>1119</v>
      </c>
      <c r="Y2385" t="s">
        <v>26650</v>
      </c>
      <c r="Z2385" t="s">
        <v>26530</v>
      </c>
      <c r="AB2385" t="s">
        <v>28798</v>
      </c>
      <c r="AD2385" t="s">
        <v>38854</v>
      </c>
      <c r="AE2385">
        <v>16</v>
      </c>
      <c r="AF2385" t="s">
        <v>45541</v>
      </c>
      <c r="AG2385" t="s">
        <v>45556</v>
      </c>
      <c r="AH2385">
        <v>4</v>
      </c>
      <c r="AI2385">
        <v>1</v>
      </c>
      <c r="AJ2385">
        <v>0</v>
      </c>
      <c r="AK2385">
        <v>209.88</v>
      </c>
      <c r="AL2385" t="s">
        <v>644</v>
      </c>
      <c r="AM2385" t="s">
        <v>45575</v>
      </c>
      <c r="AN2385" t="s">
        <v>7439</v>
      </c>
      <c r="AO2385">
        <v>25480</v>
      </c>
      <c r="AP2385" t="s">
        <v>45749</v>
      </c>
      <c r="AU2385">
        <v>11.3</v>
      </c>
      <c r="AV2385" t="s">
        <v>693</v>
      </c>
      <c r="AW2385" t="s">
        <v>46849</v>
      </c>
    </row>
    <row r="2386" spans="1:50">
      <c r="A2386" s="1">
        <f>HYPERLINK("https://lsnyc.legalserver.org/matter/dynamic-profile/view/1880445","18-1880445")</f>
        <v>0</v>
      </c>
      <c r="B2386" t="s">
        <v>149</v>
      </c>
      <c r="C2386" t="s">
        <v>340</v>
      </c>
      <c r="D2386" t="s">
        <v>413</v>
      </c>
      <c r="F2386" t="s">
        <v>2121</v>
      </c>
      <c r="G2386" t="s">
        <v>5191</v>
      </c>
      <c r="H2386" t="s">
        <v>11594</v>
      </c>
      <c r="I2386" t="s">
        <v>17728</v>
      </c>
      <c r="J2386" t="s">
        <v>18892</v>
      </c>
      <c r="K2386">
        <v>10467</v>
      </c>
      <c r="L2386" t="s">
        <v>18958</v>
      </c>
      <c r="M2386" t="s">
        <v>18958</v>
      </c>
      <c r="N2386" t="s">
        <v>20765</v>
      </c>
      <c r="O2386" t="s">
        <v>26523</v>
      </c>
      <c r="P2386" t="s">
        <v>26560</v>
      </c>
      <c r="R2386" t="s">
        <v>26579</v>
      </c>
      <c r="S2386" t="s">
        <v>18959</v>
      </c>
      <c r="U2386" t="s">
        <v>26604</v>
      </c>
      <c r="V2386" t="s">
        <v>26610</v>
      </c>
      <c r="W2386" t="s">
        <v>413</v>
      </c>
      <c r="X2386">
        <v>1558</v>
      </c>
      <c r="Y2386" t="s">
        <v>26650</v>
      </c>
      <c r="Z2386" t="s">
        <v>26664</v>
      </c>
      <c r="AB2386" t="s">
        <v>28799</v>
      </c>
      <c r="AD2386" t="s">
        <v>38855</v>
      </c>
      <c r="AE2386">
        <v>49</v>
      </c>
      <c r="AF2386" t="s">
        <v>45541</v>
      </c>
      <c r="AG2386" t="s">
        <v>19330</v>
      </c>
      <c r="AH2386">
        <v>5</v>
      </c>
      <c r="AI2386">
        <v>2</v>
      </c>
      <c r="AJ2386">
        <v>2</v>
      </c>
      <c r="AK2386">
        <v>191.24</v>
      </c>
      <c r="AN2386" t="s">
        <v>45581</v>
      </c>
      <c r="AO2386">
        <v>48000</v>
      </c>
      <c r="AQ2386" t="s">
        <v>46362</v>
      </c>
      <c r="AR2386" t="s">
        <v>46463</v>
      </c>
      <c r="AS2386" t="s">
        <v>46499</v>
      </c>
      <c r="AT2386" t="s">
        <v>46615</v>
      </c>
      <c r="AU2386">
        <v>13.45</v>
      </c>
      <c r="AV2386" t="s">
        <v>794</v>
      </c>
      <c r="AW2386" t="s">
        <v>336</v>
      </c>
    </row>
    <row r="2387" spans="1:50">
      <c r="A2387" s="1">
        <f>HYPERLINK("https://lsnyc.legalserver.org/matter/dynamic-profile/view/1880222","18-1880222")</f>
        <v>0</v>
      </c>
      <c r="B2387" t="s">
        <v>251</v>
      </c>
      <c r="C2387" t="s">
        <v>340</v>
      </c>
      <c r="D2387" t="s">
        <v>413</v>
      </c>
      <c r="F2387" t="s">
        <v>1021</v>
      </c>
      <c r="G2387" t="s">
        <v>3138</v>
      </c>
      <c r="H2387" t="s">
        <v>11595</v>
      </c>
      <c r="I2387" t="s">
        <v>17821</v>
      </c>
      <c r="J2387" t="s">
        <v>18892</v>
      </c>
      <c r="K2387">
        <v>10467</v>
      </c>
      <c r="L2387" t="s">
        <v>18958</v>
      </c>
      <c r="M2387" t="s">
        <v>18958</v>
      </c>
      <c r="N2387" t="s">
        <v>20766</v>
      </c>
      <c r="O2387" t="s">
        <v>26524</v>
      </c>
      <c r="P2387" t="s">
        <v>26560</v>
      </c>
      <c r="R2387" t="s">
        <v>26579</v>
      </c>
      <c r="S2387" t="s">
        <v>18959</v>
      </c>
      <c r="U2387" t="s">
        <v>26604</v>
      </c>
      <c r="V2387" t="s">
        <v>26610</v>
      </c>
      <c r="W2387" t="s">
        <v>413</v>
      </c>
      <c r="X2387">
        <v>1400</v>
      </c>
      <c r="Y2387" t="s">
        <v>26650</v>
      </c>
      <c r="Z2387" t="s">
        <v>26664</v>
      </c>
      <c r="AB2387" t="s">
        <v>28800</v>
      </c>
      <c r="AD2387" t="s">
        <v>38856</v>
      </c>
      <c r="AE2387">
        <v>680</v>
      </c>
      <c r="AF2387" t="s">
        <v>45548</v>
      </c>
      <c r="AG2387" t="s">
        <v>19330</v>
      </c>
      <c r="AH2387">
        <v>2</v>
      </c>
      <c r="AI2387">
        <v>1</v>
      </c>
      <c r="AJ2387">
        <v>0</v>
      </c>
      <c r="AK2387">
        <v>29.61</v>
      </c>
      <c r="AN2387" t="s">
        <v>7439</v>
      </c>
      <c r="AO2387">
        <v>3594.55</v>
      </c>
      <c r="AU2387">
        <v>99.95</v>
      </c>
      <c r="AV2387" t="s">
        <v>827</v>
      </c>
      <c r="AW2387" t="s">
        <v>46847</v>
      </c>
    </row>
    <row r="2388" spans="1:50">
      <c r="A2388" s="1">
        <f>HYPERLINK("https://lsnyc.legalserver.org/matter/dynamic-profile/view/1880575","18-1880575")</f>
        <v>0</v>
      </c>
      <c r="B2388" t="s">
        <v>81</v>
      </c>
      <c r="C2388" t="s">
        <v>340</v>
      </c>
      <c r="D2388" t="s">
        <v>413</v>
      </c>
      <c r="F2388" t="s">
        <v>2234</v>
      </c>
      <c r="G2388" t="s">
        <v>6224</v>
      </c>
      <c r="H2388" t="s">
        <v>11596</v>
      </c>
      <c r="I2388" t="s">
        <v>17702</v>
      </c>
      <c r="J2388" t="s">
        <v>18892</v>
      </c>
      <c r="K2388">
        <v>10467</v>
      </c>
      <c r="L2388" t="s">
        <v>18958</v>
      </c>
      <c r="M2388" t="s">
        <v>18958</v>
      </c>
      <c r="N2388" t="s">
        <v>20767</v>
      </c>
      <c r="O2388" t="s">
        <v>26523</v>
      </c>
      <c r="P2388" t="s">
        <v>26560</v>
      </c>
      <c r="R2388" t="s">
        <v>26579</v>
      </c>
      <c r="S2388" t="s">
        <v>18959</v>
      </c>
      <c r="U2388" t="s">
        <v>26604</v>
      </c>
      <c r="W2388" t="s">
        <v>413</v>
      </c>
      <c r="X2388">
        <v>1550</v>
      </c>
      <c r="Y2388" t="s">
        <v>26650</v>
      </c>
      <c r="Z2388" t="s">
        <v>26664</v>
      </c>
      <c r="AB2388" t="s">
        <v>28801</v>
      </c>
      <c r="AC2388" t="s">
        <v>35222</v>
      </c>
      <c r="AD2388" t="s">
        <v>38857</v>
      </c>
      <c r="AE2388">
        <v>96</v>
      </c>
      <c r="AF2388" t="s">
        <v>45541</v>
      </c>
      <c r="AG2388" t="s">
        <v>19330</v>
      </c>
      <c r="AH2388">
        <v>1</v>
      </c>
      <c r="AI2388">
        <v>2</v>
      </c>
      <c r="AJ2388">
        <v>2</v>
      </c>
      <c r="AK2388">
        <v>119.52</v>
      </c>
      <c r="AN2388" t="s">
        <v>45581</v>
      </c>
      <c r="AO2388">
        <v>30000</v>
      </c>
      <c r="AU2388">
        <v>11.2</v>
      </c>
      <c r="AV2388" t="s">
        <v>843</v>
      </c>
      <c r="AW2388" t="s">
        <v>336</v>
      </c>
    </row>
    <row r="2389" spans="1:50">
      <c r="A2389" s="1">
        <f>HYPERLINK("https://lsnyc.legalserver.org/matter/dynamic-profile/view/1880495","18-1880495")</f>
        <v>0</v>
      </c>
      <c r="B2389" t="s">
        <v>81</v>
      </c>
      <c r="C2389" t="s">
        <v>340</v>
      </c>
      <c r="D2389" t="s">
        <v>413</v>
      </c>
      <c r="F2389" t="s">
        <v>2235</v>
      </c>
      <c r="G2389" t="s">
        <v>3396</v>
      </c>
      <c r="H2389" t="s">
        <v>11597</v>
      </c>
      <c r="I2389">
        <v>24</v>
      </c>
      <c r="J2389" t="s">
        <v>18892</v>
      </c>
      <c r="K2389">
        <v>10467</v>
      </c>
      <c r="L2389" t="s">
        <v>18958</v>
      </c>
      <c r="M2389" t="s">
        <v>18958</v>
      </c>
      <c r="N2389" t="s">
        <v>20768</v>
      </c>
      <c r="O2389" t="s">
        <v>26523</v>
      </c>
      <c r="P2389" t="s">
        <v>26560</v>
      </c>
      <c r="R2389" t="s">
        <v>26579</v>
      </c>
      <c r="S2389" t="s">
        <v>18959</v>
      </c>
      <c r="U2389" t="s">
        <v>26604</v>
      </c>
      <c r="W2389" t="s">
        <v>413</v>
      </c>
      <c r="X2389">
        <v>1185</v>
      </c>
      <c r="Y2389" t="s">
        <v>26650</v>
      </c>
      <c r="Z2389" t="s">
        <v>26664</v>
      </c>
      <c r="AB2389" t="s">
        <v>28802</v>
      </c>
      <c r="AD2389" t="s">
        <v>38858</v>
      </c>
      <c r="AE2389">
        <v>25</v>
      </c>
      <c r="AF2389" t="s">
        <v>45541</v>
      </c>
      <c r="AG2389" t="s">
        <v>19330</v>
      </c>
      <c r="AH2389">
        <v>2</v>
      </c>
      <c r="AI2389">
        <v>2</v>
      </c>
      <c r="AJ2389">
        <v>1</v>
      </c>
      <c r="AK2389">
        <v>162.66</v>
      </c>
      <c r="AN2389" t="s">
        <v>7439</v>
      </c>
      <c r="AO2389">
        <v>33800</v>
      </c>
      <c r="AU2389">
        <v>4.45</v>
      </c>
      <c r="AV2389" t="s">
        <v>794</v>
      </c>
      <c r="AW2389" t="s">
        <v>336</v>
      </c>
      <c r="AX2389" t="s">
        <v>46897</v>
      </c>
    </row>
    <row r="2390" spans="1:50">
      <c r="A2390" s="1">
        <f>HYPERLINK("https://lsnyc.legalserver.org/matter/dynamic-profile/view/1879967","18-1879967")</f>
        <v>0</v>
      </c>
      <c r="B2390" t="s">
        <v>56</v>
      </c>
      <c r="C2390" t="s">
        <v>340</v>
      </c>
      <c r="D2390" t="s">
        <v>413</v>
      </c>
      <c r="F2390" t="s">
        <v>2236</v>
      </c>
      <c r="G2390" t="s">
        <v>5447</v>
      </c>
      <c r="H2390" t="s">
        <v>11598</v>
      </c>
      <c r="I2390" t="s">
        <v>17355</v>
      </c>
      <c r="J2390" t="s">
        <v>18892</v>
      </c>
      <c r="K2390">
        <v>10467</v>
      </c>
      <c r="L2390" t="s">
        <v>18958</v>
      </c>
      <c r="M2390" t="s">
        <v>18958</v>
      </c>
      <c r="N2390" t="s">
        <v>20769</v>
      </c>
      <c r="O2390" t="s">
        <v>26523</v>
      </c>
      <c r="P2390" t="s">
        <v>26560</v>
      </c>
      <c r="R2390" t="s">
        <v>26579</v>
      </c>
      <c r="S2390" t="s">
        <v>18959</v>
      </c>
      <c r="U2390" t="s">
        <v>26604</v>
      </c>
      <c r="V2390" t="s">
        <v>26609</v>
      </c>
      <c r="W2390" t="s">
        <v>413</v>
      </c>
      <c r="X2390">
        <v>1636.63</v>
      </c>
      <c r="Y2390" t="s">
        <v>26650</v>
      </c>
      <c r="Z2390" t="s">
        <v>26664</v>
      </c>
      <c r="AB2390" t="s">
        <v>28803</v>
      </c>
      <c r="AE2390">
        <v>0</v>
      </c>
      <c r="AF2390" t="s">
        <v>45541</v>
      </c>
      <c r="AG2390" t="s">
        <v>45556</v>
      </c>
      <c r="AH2390">
        <v>16</v>
      </c>
      <c r="AI2390">
        <v>1</v>
      </c>
      <c r="AJ2390">
        <v>2</v>
      </c>
      <c r="AK2390">
        <v>174.55</v>
      </c>
      <c r="AN2390" t="s">
        <v>7439</v>
      </c>
      <c r="AO2390">
        <v>36272</v>
      </c>
      <c r="AU2390">
        <v>11</v>
      </c>
      <c r="AV2390" t="s">
        <v>785</v>
      </c>
      <c r="AW2390" t="s">
        <v>46871</v>
      </c>
    </row>
    <row r="2391" spans="1:50">
      <c r="A2391" s="1">
        <f>HYPERLINK("https://lsnyc.legalserver.org/matter/dynamic-profile/view/1880026","18-1880026")</f>
        <v>0</v>
      </c>
      <c r="B2391" t="s">
        <v>212</v>
      </c>
      <c r="C2391" t="s">
        <v>340</v>
      </c>
      <c r="D2391" t="s">
        <v>413</v>
      </c>
      <c r="F2391" t="s">
        <v>2237</v>
      </c>
      <c r="G2391" t="s">
        <v>6423</v>
      </c>
      <c r="H2391" t="s">
        <v>10232</v>
      </c>
      <c r="I2391">
        <v>210</v>
      </c>
      <c r="J2391" t="s">
        <v>18905</v>
      </c>
      <c r="K2391">
        <v>11692</v>
      </c>
      <c r="L2391" t="s">
        <v>18958</v>
      </c>
      <c r="M2391" t="s">
        <v>18958</v>
      </c>
      <c r="N2391" t="s">
        <v>20770</v>
      </c>
      <c r="O2391" t="s">
        <v>26523</v>
      </c>
      <c r="P2391" t="s">
        <v>26560</v>
      </c>
      <c r="R2391" t="s">
        <v>26578</v>
      </c>
      <c r="S2391" t="s">
        <v>18959</v>
      </c>
      <c r="U2391" t="s">
        <v>26604</v>
      </c>
      <c r="V2391" t="s">
        <v>26610</v>
      </c>
      <c r="W2391" t="s">
        <v>413</v>
      </c>
      <c r="X2391">
        <v>1324</v>
      </c>
      <c r="Y2391" t="s">
        <v>26653</v>
      </c>
      <c r="Z2391" t="s">
        <v>26664</v>
      </c>
      <c r="AB2391" t="s">
        <v>28804</v>
      </c>
      <c r="AD2391" t="s">
        <v>38859</v>
      </c>
      <c r="AE2391">
        <v>216</v>
      </c>
      <c r="AF2391" t="s">
        <v>45552</v>
      </c>
      <c r="AG2391" t="s">
        <v>45556</v>
      </c>
      <c r="AH2391">
        <v>27</v>
      </c>
      <c r="AI2391">
        <v>2</v>
      </c>
      <c r="AJ2391">
        <v>1</v>
      </c>
      <c r="AK2391">
        <v>115.5</v>
      </c>
      <c r="AN2391" t="s">
        <v>7439</v>
      </c>
      <c r="AO2391">
        <v>24000</v>
      </c>
      <c r="AQ2391" t="s">
        <v>46368</v>
      </c>
      <c r="AR2391" t="s">
        <v>46418</v>
      </c>
      <c r="AU2391">
        <v>24.95</v>
      </c>
      <c r="AV2391" t="s">
        <v>829</v>
      </c>
      <c r="AW2391" t="s">
        <v>161</v>
      </c>
    </row>
    <row r="2392" spans="1:50">
      <c r="A2392" s="1">
        <f>HYPERLINK("https://lsnyc.legalserver.org/matter/dynamic-profile/view/1880030","18-1880030")</f>
        <v>0</v>
      </c>
      <c r="B2392" t="s">
        <v>82</v>
      </c>
      <c r="C2392" t="s">
        <v>340</v>
      </c>
      <c r="D2392" t="s">
        <v>413</v>
      </c>
      <c r="F2392" t="s">
        <v>1834</v>
      </c>
      <c r="G2392" t="s">
        <v>6424</v>
      </c>
      <c r="H2392" t="s">
        <v>11599</v>
      </c>
      <c r="I2392">
        <v>3</v>
      </c>
      <c r="J2392" t="s">
        <v>18892</v>
      </c>
      <c r="K2392">
        <v>10457</v>
      </c>
      <c r="L2392" t="s">
        <v>18958</v>
      </c>
      <c r="M2392" t="s">
        <v>18958</v>
      </c>
      <c r="N2392" t="s">
        <v>20771</v>
      </c>
      <c r="O2392" t="s">
        <v>26523</v>
      </c>
      <c r="P2392" t="s">
        <v>26560</v>
      </c>
      <c r="R2392" t="s">
        <v>26579</v>
      </c>
      <c r="S2392" t="s">
        <v>18959</v>
      </c>
      <c r="U2392" t="s">
        <v>26604</v>
      </c>
      <c r="V2392" t="s">
        <v>26610</v>
      </c>
      <c r="W2392" t="s">
        <v>413</v>
      </c>
      <c r="X2392">
        <v>1024.45</v>
      </c>
      <c r="Y2392" t="s">
        <v>26650</v>
      </c>
      <c r="Z2392" t="s">
        <v>26659</v>
      </c>
      <c r="AB2392" t="s">
        <v>28805</v>
      </c>
      <c r="AC2392" t="s">
        <v>35223</v>
      </c>
      <c r="AD2392" t="s">
        <v>38860</v>
      </c>
      <c r="AE2392">
        <v>1</v>
      </c>
      <c r="AF2392" t="s">
        <v>45541</v>
      </c>
      <c r="AG2392" t="s">
        <v>19330</v>
      </c>
      <c r="AH2392">
        <v>27</v>
      </c>
      <c r="AI2392">
        <v>1</v>
      </c>
      <c r="AJ2392">
        <v>0</v>
      </c>
      <c r="AK2392">
        <v>171.33</v>
      </c>
      <c r="AN2392" t="s">
        <v>45581</v>
      </c>
      <c r="AO2392">
        <v>20800</v>
      </c>
      <c r="AU2392">
        <v>9.5</v>
      </c>
      <c r="AV2392" t="s">
        <v>660</v>
      </c>
      <c r="AW2392" t="s">
        <v>46836</v>
      </c>
    </row>
    <row r="2393" spans="1:50">
      <c r="A2393" s="1">
        <f>HYPERLINK("https://lsnyc.legalserver.org/matter/dynamic-profile/view/1880103","18-1880103")</f>
        <v>0</v>
      </c>
      <c r="B2393" t="s">
        <v>218</v>
      </c>
      <c r="C2393" t="s">
        <v>340</v>
      </c>
      <c r="D2393" t="s">
        <v>413</v>
      </c>
      <c r="F2393" t="s">
        <v>1599</v>
      </c>
      <c r="G2393" t="s">
        <v>6425</v>
      </c>
      <c r="H2393" t="s">
        <v>11600</v>
      </c>
      <c r="I2393">
        <v>27</v>
      </c>
      <c r="J2393" t="s">
        <v>18893</v>
      </c>
      <c r="K2393">
        <v>10034</v>
      </c>
      <c r="L2393" t="s">
        <v>18958</v>
      </c>
      <c r="M2393" t="s">
        <v>18958</v>
      </c>
      <c r="P2393" t="s">
        <v>26560</v>
      </c>
      <c r="R2393" t="s">
        <v>26578</v>
      </c>
      <c r="S2393" t="s">
        <v>18959</v>
      </c>
      <c r="U2393" t="s">
        <v>26604</v>
      </c>
      <c r="W2393" t="s">
        <v>413</v>
      </c>
      <c r="X2393">
        <v>1200.41</v>
      </c>
      <c r="Y2393" t="s">
        <v>26651</v>
      </c>
      <c r="Z2393" t="s">
        <v>26661</v>
      </c>
      <c r="AB2393" t="s">
        <v>28806</v>
      </c>
      <c r="AD2393" t="s">
        <v>38861</v>
      </c>
      <c r="AE2393">
        <v>41</v>
      </c>
      <c r="AF2393" t="s">
        <v>45541</v>
      </c>
      <c r="AG2393" t="s">
        <v>45559</v>
      </c>
      <c r="AH2393">
        <v>9</v>
      </c>
      <c r="AI2393">
        <v>1</v>
      </c>
      <c r="AJ2393">
        <v>0</v>
      </c>
      <c r="AK2393">
        <v>75.91</v>
      </c>
      <c r="AN2393" t="s">
        <v>45581</v>
      </c>
      <c r="AO2393">
        <v>9216</v>
      </c>
      <c r="AU2393">
        <v>54.35</v>
      </c>
      <c r="AV2393" t="s">
        <v>809</v>
      </c>
      <c r="AW2393" t="s">
        <v>46840</v>
      </c>
    </row>
    <row r="2394" spans="1:50">
      <c r="A2394" s="1">
        <f>HYPERLINK("https://lsnyc.legalserver.org/matter/dynamic-profile/view/1880011","18-1880011")</f>
        <v>0</v>
      </c>
      <c r="B2394" t="s">
        <v>142</v>
      </c>
      <c r="C2394" t="s">
        <v>340</v>
      </c>
      <c r="D2394" t="s">
        <v>413</v>
      </c>
      <c r="F2394" t="s">
        <v>1024</v>
      </c>
      <c r="G2394" t="s">
        <v>6426</v>
      </c>
      <c r="H2394" t="s">
        <v>11601</v>
      </c>
      <c r="I2394" t="s">
        <v>17822</v>
      </c>
      <c r="J2394" t="s">
        <v>18901</v>
      </c>
      <c r="K2394">
        <v>11434</v>
      </c>
      <c r="L2394" t="s">
        <v>18958</v>
      </c>
      <c r="M2394" t="s">
        <v>18958</v>
      </c>
      <c r="N2394" t="s">
        <v>20772</v>
      </c>
      <c r="O2394" t="s">
        <v>26524</v>
      </c>
      <c r="P2394" t="s">
        <v>26560</v>
      </c>
      <c r="R2394" t="s">
        <v>26585</v>
      </c>
      <c r="S2394" t="s">
        <v>18959</v>
      </c>
      <c r="U2394" t="s">
        <v>26604</v>
      </c>
      <c r="V2394" t="s">
        <v>26610</v>
      </c>
      <c r="W2394" t="s">
        <v>413</v>
      </c>
      <c r="X2394">
        <v>2137</v>
      </c>
      <c r="Y2394" t="s">
        <v>26653</v>
      </c>
      <c r="Z2394" t="s">
        <v>26664</v>
      </c>
      <c r="AB2394" t="s">
        <v>28807</v>
      </c>
      <c r="AC2394" t="s">
        <v>35224</v>
      </c>
      <c r="AD2394" t="s">
        <v>38862</v>
      </c>
      <c r="AE2394">
        <v>293</v>
      </c>
      <c r="AF2394" t="s">
        <v>45541</v>
      </c>
      <c r="AG2394" t="s">
        <v>19330</v>
      </c>
      <c r="AH2394">
        <v>6</v>
      </c>
      <c r="AI2394">
        <v>2</v>
      </c>
      <c r="AJ2394">
        <v>2</v>
      </c>
      <c r="AK2394">
        <v>117.99</v>
      </c>
      <c r="AN2394" t="s">
        <v>7439</v>
      </c>
      <c r="AO2394">
        <v>29616</v>
      </c>
      <c r="AU2394">
        <v>15.85</v>
      </c>
      <c r="AV2394" t="s">
        <v>672</v>
      </c>
      <c r="AW2394" t="s">
        <v>161</v>
      </c>
    </row>
    <row r="2395" spans="1:50">
      <c r="A2395" s="1">
        <f>HYPERLINK("https://lsnyc.legalserver.org/matter/dynamic-profile/view/1880133","18-1880133")</f>
        <v>0</v>
      </c>
      <c r="B2395" t="s">
        <v>65</v>
      </c>
      <c r="C2395" t="s">
        <v>340</v>
      </c>
      <c r="D2395" t="s">
        <v>413</v>
      </c>
      <c r="F2395" t="s">
        <v>2238</v>
      </c>
      <c r="G2395" t="s">
        <v>5394</v>
      </c>
      <c r="H2395" t="s">
        <v>11602</v>
      </c>
      <c r="I2395" t="s">
        <v>17823</v>
      </c>
      <c r="J2395" t="s">
        <v>18892</v>
      </c>
      <c r="K2395">
        <v>10467</v>
      </c>
      <c r="L2395" t="s">
        <v>18958</v>
      </c>
      <c r="M2395" t="s">
        <v>18958</v>
      </c>
      <c r="N2395" t="s">
        <v>20773</v>
      </c>
      <c r="O2395" t="s">
        <v>26523</v>
      </c>
      <c r="P2395" t="s">
        <v>26560</v>
      </c>
      <c r="R2395" t="s">
        <v>26579</v>
      </c>
      <c r="S2395" t="s">
        <v>18959</v>
      </c>
      <c r="U2395" t="s">
        <v>26604</v>
      </c>
      <c r="V2395" t="s">
        <v>26609</v>
      </c>
      <c r="W2395" t="s">
        <v>413</v>
      </c>
      <c r="X2395">
        <v>1366</v>
      </c>
      <c r="Y2395" t="s">
        <v>26650</v>
      </c>
      <c r="Z2395" t="s">
        <v>26664</v>
      </c>
      <c r="AB2395" t="s">
        <v>28808</v>
      </c>
      <c r="AC2395" t="s">
        <v>35225</v>
      </c>
      <c r="AD2395" t="s">
        <v>38863</v>
      </c>
      <c r="AE2395">
        <v>49</v>
      </c>
      <c r="AF2395" t="s">
        <v>45541</v>
      </c>
      <c r="AG2395" t="s">
        <v>45557</v>
      </c>
      <c r="AH2395">
        <v>1</v>
      </c>
      <c r="AI2395">
        <v>1</v>
      </c>
      <c r="AJ2395">
        <v>2</v>
      </c>
      <c r="AK2395">
        <v>75.06999999999999</v>
      </c>
      <c r="AN2395" t="s">
        <v>45581</v>
      </c>
      <c r="AO2395">
        <v>15600</v>
      </c>
      <c r="AP2395" t="s">
        <v>45750</v>
      </c>
      <c r="AQ2395" t="s">
        <v>46362</v>
      </c>
      <c r="AR2395" t="s">
        <v>46380</v>
      </c>
      <c r="AS2395" t="s">
        <v>46499</v>
      </c>
      <c r="AT2395" t="s">
        <v>46743</v>
      </c>
      <c r="AU2395">
        <v>9.9</v>
      </c>
      <c r="AV2395" t="s">
        <v>815</v>
      </c>
      <c r="AW2395" t="s">
        <v>46854</v>
      </c>
    </row>
    <row r="2396" spans="1:50">
      <c r="A2396" s="1">
        <f>HYPERLINK("https://lsnyc.legalserver.org/matter/dynamic-profile/view/1880072","18-1880072")</f>
        <v>0</v>
      </c>
      <c r="B2396" t="s">
        <v>121</v>
      </c>
      <c r="C2396" t="s">
        <v>340</v>
      </c>
      <c r="D2396" t="s">
        <v>413</v>
      </c>
      <c r="F2396" t="s">
        <v>2239</v>
      </c>
      <c r="G2396" t="s">
        <v>6427</v>
      </c>
      <c r="H2396" t="s">
        <v>11603</v>
      </c>
      <c r="I2396" t="s">
        <v>17344</v>
      </c>
      <c r="J2396" t="s">
        <v>18892</v>
      </c>
      <c r="K2396">
        <v>10467</v>
      </c>
      <c r="L2396" t="s">
        <v>18958</v>
      </c>
      <c r="M2396" t="s">
        <v>18958</v>
      </c>
      <c r="N2396" t="s">
        <v>20774</v>
      </c>
      <c r="O2396" t="s">
        <v>26523</v>
      </c>
      <c r="P2396" t="s">
        <v>26564</v>
      </c>
      <c r="R2396" t="s">
        <v>26579</v>
      </c>
      <c r="S2396" t="s">
        <v>18959</v>
      </c>
      <c r="U2396" t="s">
        <v>26604</v>
      </c>
      <c r="V2396" t="s">
        <v>26610</v>
      </c>
      <c r="W2396" t="s">
        <v>413</v>
      </c>
      <c r="X2396">
        <v>1204.84</v>
      </c>
      <c r="Y2396" t="s">
        <v>26650</v>
      </c>
      <c r="Z2396" t="s">
        <v>26664</v>
      </c>
      <c r="AB2396" t="s">
        <v>28809</v>
      </c>
      <c r="AD2396" t="s">
        <v>38864</v>
      </c>
      <c r="AE2396">
        <v>54</v>
      </c>
      <c r="AF2396" t="s">
        <v>45541</v>
      </c>
      <c r="AG2396" t="s">
        <v>19330</v>
      </c>
      <c r="AH2396">
        <v>2</v>
      </c>
      <c r="AI2396">
        <v>2</v>
      </c>
      <c r="AJ2396">
        <v>1</v>
      </c>
      <c r="AK2396">
        <v>22.52</v>
      </c>
      <c r="AN2396" t="s">
        <v>7439</v>
      </c>
      <c r="AO2396">
        <v>4680</v>
      </c>
      <c r="AU2396">
        <v>2.8</v>
      </c>
      <c r="AV2396" t="s">
        <v>662</v>
      </c>
      <c r="AW2396" t="s">
        <v>46854</v>
      </c>
    </row>
    <row r="2397" spans="1:50">
      <c r="A2397" s="1">
        <f>HYPERLINK("https://lsnyc.legalserver.org/matter/dynamic-profile/view/1880067","18-1880067")</f>
        <v>0</v>
      </c>
      <c r="B2397" t="s">
        <v>194</v>
      </c>
      <c r="C2397" t="s">
        <v>340</v>
      </c>
      <c r="D2397" t="s">
        <v>413</v>
      </c>
      <c r="F2397" t="s">
        <v>2240</v>
      </c>
      <c r="G2397" t="s">
        <v>1995</v>
      </c>
      <c r="H2397" t="s">
        <v>11604</v>
      </c>
      <c r="I2397" t="s">
        <v>17436</v>
      </c>
      <c r="J2397" t="s">
        <v>18893</v>
      </c>
      <c r="K2397">
        <v>10027</v>
      </c>
      <c r="L2397" t="s">
        <v>18958</v>
      </c>
      <c r="M2397" t="s">
        <v>18958</v>
      </c>
      <c r="N2397" t="s">
        <v>20775</v>
      </c>
      <c r="O2397" t="s">
        <v>26523</v>
      </c>
      <c r="P2397" t="s">
        <v>26560</v>
      </c>
      <c r="R2397" t="s">
        <v>26580</v>
      </c>
      <c r="S2397" t="s">
        <v>18959</v>
      </c>
      <c r="U2397" t="s">
        <v>26604</v>
      </c>
      <c r="V2397" t="s">
        <v>26610</v>
      </c>
      <c r="W2397" t="s">
        <v>413</v>
      </c>
      <c r="X2397">
        <v>430.09</v>
      </c>
      <c r="Y2397" t="s">
        <v>26651</v>
      </c>
      <c r="Z2397" t="s">
        <v>26664</v>
      </c>
      <c r="AB2397" t="s">
        <v>28810</v>
      </c>
      <c r="AC2397" t="s">
        <v>35226</v>
      </c>
      <c r="AD2397" t="s">
        <v>38865</v>
      </c>
      <c r="AE2397">
        <v>0</v>
      </c>
      <c r="AF2397" t="s">
        <v>45541</v>
      </c>
      <c r="AG2397" t="s">
        <v>26530</v>
      </c>
      <c r="AH2397">
        <v>16</v>
      </c>
      <c r="AI2397">
        <v>2</v>
      </c>
      <c r="AJ2397">
        <v>1</v>
      </c>
      <c r="AK2397">
        <v>19.4</v>
      </c>
      <c r="AN2397" t="s">
        <v>7439</v>
      </c>
      <c r="AO2397">
        <v>4031.3</v>
      </c>
      <c r="AU2397">
        <v>11.9</v>
      </c>
      <c r="AV2397" t="s">
        <v>791</v>
      </c>
      <c r="AW2397" t="s">
        <v>314</v>
      </c>
    </row>
    <row r="2398" spans="1:50">
      <c r="A2398" s="1">
        <f>HYPERLINK("https://lsnyc.legalserver.org/matter/dynamic-profile/view/1880048","18-1880048")</f>
        <v>0</v>
      </c>
      <c r="B2398" t="s">
        <v>194</v>
      </c>
      <c r="C2398" t="s">
        <v>340</v>
      </c>
      <c r="D2398" t="s">
        <v>413</v>
      </c>
      <c r="F2398" t="s">
        <v>2241</v>
      </c>
      <c r="G2398" t="s">
        <v>6428</v>
      </c>
      <c r="H2398" t="s">
        <v>11605</v>
      </c>
      <c r="I2398">
        <v>512</v>
      </c>
      <c r="J2398" t="s">
        <v>18893</v>
      </c>
      <c r="K2398">
        <v>10027</v>
      </c>
      <c r="L2398" t="s">
        <v>18958</v>
      </c>
      <c r="M2398" t="s">
        <v>18958</v>
      </c>
      <c r="N2398" t="s">
        <v>20776</v>
      </c>
      <c r="O2398" t="s">
        <v>26523</v>
      </c>
      <c r="P2398" t="s">
        <v>26560</v>
      </c>
      <c r="R2398" t="s">
        <v>26580</v>
      </c>
      <c r="S2398" t="s">
        <v>18959</v>
      </c>
      <c r="U2398" t="s">
        <v>26604</v>
      </c>
      <c r="V2398" t="s">
        <v>26610</v>
      </c>
      <c r="W2398" t="s">
        <v>413</v>
      </c>
      <c r="X2398">
        <v>887</v>
      </c>
      <c r="Y2398" t="s">
        <v>26651</v>
      </c>
      <c r="Z2398" t="s">
        <v>26664</v>
      </c>
      <c r="AB2398" t="s">
        <v>27165</v>
      </c>
      <c r="AD2398" t="s">
        <v>38866</v>
      </c>
      <c r="AE2398">
        <v>0</v>
      </c>
      <c r="AF2398" t="s">
        <v>45541</v>
      </c>
      <c r="AG2398" t="s">
        <v>19330</v>
      </c>
      <c r="AH2398">
        <v>7</v>
      </c>
      <c r="AI2398">
        <v>1</v>
      </c>
      <c r="AJ2398">
        <v>1</v>
      </c>
      <c r="AK2398">
        <v>114.02</v>
      </c>
      <c r="AN2398" t="s">
        <v>7439</v>
      </c>
      <c r="AO2398">
        <v>18768</v>
      </c>
      <c r="AU2398">
        <v>27.5</v>
      </c>
      <c r="AV2398" t="s">
        <v>829</v>
      </c>
      <c r="AW2398" t="s">
        <v>314</v>
      </c>
    </row>
    <row r="2399" spans="1:50">
      <c r="A2399" s="1">
        <f>HYPERLINK("https://lsnyc.legalserver.org/matter/dynamic-profile/view/1880117","18-1880117")</f>
        <v>0</v>
      </c>
      <c r="B2399" t="s">
        <v>157</v>
      </c>
      <c r="C2399" t="s">
        <v>340</v>
      </c>
      <c r="D2399" t="s">
        <v>413</v>
      </c>
      <c r="F2399" t="s">
        <v>2111</v>
      </c>
      <c r="G2399" t="s">
        <v>6429</v>
      </c>
      <c r="H2399" t="s">
        <v>11351</v>
      </c>
      <c r="I2399" t="s">
        <v>17298</v>
      </c>
      <c r="J2399" t="s">
        <v>18893</v>
      </c>
      <c r="K2399">
        <v>10040</v>
      </c>
      <c r="L2399" t="s">
        <v>18958</v>
      </c>
      <c r="M2399" t="s">
        <v>18958</v>
      </c>
      <c r="O2399" t="s">
        <v>26534</v>
      </c>
      <c r="P2399" t="s">
        <v>26560</v>
      </c>
      <c r="R2399" t="s">
        <v>26578</v>
      </c>
      <c r="S2399" t="s">
        <v>18958</v>
      </c>
      <c r="U2399" t="s">
        <v>26604</v>
      </c>
      <c r="W2399" t="s">
        <v>413</v>
      </c>
      <c r="X2399">
        <v>991.98</v>
      </c>
      <c r="Y2399" t="s">
        <v>26651</v>
      </c>
      <c r="Z2399" t="s">
        <v>26659</v>
      </c>
      <c r="AB2399" t="s">
        <v>28811</v>
      </c>
      <c r="AD2399" t="s">
        <v>38867</v>
      </c>
      <c r="AE2399">
        <v>88</v>
      </c>
      <c r="AF2399" t="s">
        <v>45541</v>
      </c>
      <c r="AG2399" t="s">
        <v>19330</v>
      </c>
      <c r="AH2399">
        <v>40</v>
      </c>
      <c r="AI2399">
        <v>1</v>
      </c>
      <c r="AJ2399">
        <v>0</v>
      </c>
      <c r="AK2399">
        <v>72.65000000000001</v>
      </c>
      <c r="AN2399" t="s">
        <v>45581</v>
      </c>
      <c r="AO2399">
        <v>8820</v>
      </c>
      <c r="AU2399">
        <v>0</v>
      </c>
      <c r="AW2399" t="s">
        <v>46840</v>
      </c>
    </row>
    <row r="2400" spans="1:50">
      <c r="A2400" s="1">
        <f>HYPERLINK("https://lsnyc.legalserver.org/matter/dynamic-profile/view/1880120","18-1880120")</f>
        <v>0</v>
      </c>
      <c r="B2400" t="s">
        <v>157</v>
      </c>
      <c r="C2400" t="s">
        <v>340</v>
      </c>
      <c r="D2400" t="s">
        <v>413</v>
      </c>
      <c r="F2400" t="s">
        <v>2242</v>
      </c>
      <c r="G2400" t="s">
        <v>6430</v>
      </c>
      <c r="H2400" t="s">
        <v>11351</v>
      </c>
      <c r="I2400" t="s">
        <v>17346</v>
      </c>
      <c r="J2400" t="s">
        <v>18893</v>
      </c>
      <c r="K2400">
        <v>10040</v>
      </c>
      <c r="L2400" t="s">
        <v>18958</v>
      </c>
      <c r="M2400" t="s">
        <v>18958</v>
      </c>
      <c r="O2400" t="s">
        <v>26534</v>
      </c>
      <c r="P2400" t="s">
        <v>26560</v>
      </c>
      <c r="R2400" t="s">
        <v>26578</v>
      </c>
      <c r="S2400" t="s">
        <v>18958</v>
      </c>
      <c r="U2400" t="s">
        <v>26604</v>
      </c>
      <c r="W2400" t="s">
        <v>413</v>
      </c>
      <c r="X2400">
        <v>1438.5</v>
      </c>
      <c r="Y2400" t="s">
        <v>26651</v>
      </c>
      <c r="Z2400" t="s">
        <v>26659</v>
      </c>
      <c r="AB2400" t="s">
        <v>28808</v>
      </c>
      <c r="AD2400" t="s">
        <v>38868</v>
      </c>
      <c r="AE2400">
        <v>88</v>
      </c>
      <c r="AF2400" t="s">
        <v>45541</v>
      </c>
      <c r="AG2400" t="s">
        <v>19330</v>
      </c>
      <c r="AH2400">
        <v>3</v>
      </c>
      <c r="AI2400">
        <v>1</v>
      </c>
      <c r="AJ2400">
        <v>0</v>
      </c>
      <c r="AK2400">
        <v>118.62</v>
      </c>
      <c r="AN2400" t="s">
        <v>7439</v>
      </c>
      <c r="AO2400">
        <v>14400</v>
      </c>
      <c r="AU2400">
        <v>0</v>
      </c>
      <c r="AW2400" t="s">
        <v>46840</v>
      </c>
    </row>
    <row r="2401" spans="1:50">
      <c r="A2401" s="1">
        <f>HYPERLINK("https://lsnyc.legalserver.org/matter/dynamic-profile/view/1880060","18-1880060")</f>
        <v>0</v>
      </c>
      <c r="B2401" t="s">
        <v>104</v>
      </c>
      <c r="C2401" t="s">
        <v>341</v>
      </c>
      <c r="D2401" t="s">
        <v>623</v>
      </c>
      <c r="E2401" t="s">
        <v>670</v>
      </c>
      <c r="F2401" t="s">
        <v>980</v>
      </c>
      <c r="G2401" t="s">
        <v>6431</v>
      </c>
      <c r="H2401" t="s">
        <v>11606</v>
      </c>
      <c r="J2401" t="s">
        <v>18902</v>
      </c>
      <c r="K2401">
        <v>10308</v>
      </c>
      <c r="L2401" t="s">
        <v>18958</v>
      </c>
      <c r="M2401" t="s">
        <v>18958</v>
      </c>
      <c r="N2401" t="s">
        <v>20777</v>
      </c>
      <c r="O2401" t="s">
        <v>26524</v>
      </c>
      <c r="P2401" t="s">
        <v>26560</v>
      </c>
      <c r="Q2401" t="s">
        <v>26568</v>
      </c>
      <c r="R2401" t="s">
        <v>26589</v>
      </c>
      <c r="S2401" t="s">
        <v>18959</v>
      </c>
      <c r="U2401" t="s">
        <v>26604</v>
      </c>
      <c r="V2401" t="s">
        <v>26610</v>
      </c>
      <c r="W2401" t="s">
        <v>413</v>
      </c>
      <c r="X2401">
        <v>0</v>
      </c>
      <c r="Y2401" t="s">
        <v>26654</v>
      </c>
      <c r="Z2401" t="s">
        <v>26671</v>
      </c>
      <c r="AA2401" t="s">
        <v>26678</v>
      </c>
      <c r="AB2401" t="s">
        <v>28812</v>
      </c>
      <c r="AD2401" t="s">
        <v>38869</v>
      </c>
      <c r="AE2401">
        <v>1</v>
      </c>
      <c r="AF2401" t="s">
        <v>45547</v>
      </c>
      <c r="AG2401" t="s">
        <v>19330</v>
      </c>
      <c r="AH2401">
        <v>7</v>
      </c>
      <c r="AI2401">
        <v>1</v>
      </c>
      <c r="AJ2401">
        <v>0</v>
      </c>
      <c r="AK2401">
        <v>177.13</v>
      </c>
      <c r="AL2401" t="s">
        <v>45567</v>
      </c>
      <c r="AM2401" t="s">
        <v>45577</v>
      </c>
      <c r="AN2401" t="s">
        <v>7439</v>
      </c>
      <c r="AO2401">
        <v>21504</v>
      </c>
      <c r="AQ2401" t="s">
        <v>46362</v>
      </c>
      <c r="AR2401" t="s">
        <v>46379</v>
      </c>
      <c r="AS2401" t="s">
        <v>46499</v>
      </c>
      <c r="AT2401" t="s">
        <v>46618</v>
      </c>
      <c r="AU2401">
        <v>15.8</v>
      </c>
      <c r="AV2401" t="s">
        <v>689</v>
      </c>
      <c r="AW2401" t="s">
        <v>190</v>
      </c>
    </row>
    <row r="2402" spans="1:50">
      <c r="A2402" s="1">
        <f>HYPERLINK("https://lsnyc.legalserver.org/matter/dynamic-profile/view/1880034","18-1880034")</f>
        <v>0</v>
      </c>
      <c r="B2402" t="s">
        <v>167</v>
      </c>
      <c r="C2402" t="s">
        <v>341</v>
      </c>
      <c r="D2402" t="s">
        <v>458</v>
      </c>
      <c r="E2402" t="s">
        <v>458</v>
      </c>
      <c r="F2402" t="s">
        <v>2243</v>
      </c>
      <c r="G2402" t="s">
        <v>6432</v>
      </c>
      <c r="H2402" t="s">
        <v>11607</v>
      </c>
      <c r="I2402" t="s">
        <v>17824</v>
      </c>
      <c r="J2402" t="s">
        <v>18894</v>
      </c>
      <c r="K2402">
        <v>11213</v>
      </c>
      <c r="L2402" t="s">
        <v>18958</v>
      </c>
      <c r="M2402" t="s">
        <v>18958</v>
      </c>
      <c r="N2402" t="s">
        <v>20778</v>
      </c>
      <c r="O2402" t="s">
        <v>26525</v>
      </c>
      <c r="P2402" t="s">
        <v>26565</v>
      </c>
      <c r="Q2402" t="s">
        <v>26571</v>
      </c>
      <c r="R2402" t="s">
        <v>26586</v>
      </c>
      <c r="S2402" t="s">
        <v>18959</v>
      </c>
      <c r="U2402" t="s">
        <v>26605</v>
      </c>
      <c r="V2402" t="s">
        <v>26610</v>
      </c>
      <c r="W2402" t="s">
        <v>413</v>
      </c>
      <c r="X2402">
        <v>733</v>
      </c>
      <c r="Y2402" t="s">
        <v>26652</v>
      </c>
      <c r="Z2402" t="s">
        <v>26659</v>
      </c>
      <c r="AA2402" t="s">
        <v>26682</v>
      </c>
      <c r="AB2402" t="s">
        <v>28813</v>
      </c>
      <c r="AD2402" t="s">
        <v>38870</v>
      </c>
      <c r="AE2402">
        <v>130</v>
      </c>
      <c r="AF2402" t="s">
        <v>45549</v>
      </c>
      <c r="AH2402">
        <v>4</v>
      </c>
      <c r="AI2402">
        <v>2</v>
      </c>
      <c r="AJ2402">
        <v>0</v>
      </c>
      <c r="AK2402">
        <v>144.69</v>
      </c>
      <c r="AN2402" t="s">
        <v>7439</v>
      </c>
      <c r="AO2402">
        <v>23816</v>
      </c>
      <c r="AU2402">
        <v>2.5</v>
      </c>
      <c r="AV2402" t="s">
        <v>458</v>
      </c>
      <c r="AW2402" t="s">
        <v>46856</v>
      </c>
    </row>
    <row r="2403" spans="1:50">
      <c r="A2403" s="1">
        <f>HYPERLINK("https://lsnyc.legalserver.org/matter/dynamic-profile/view/1874499","18-1874499")</f>
        <v>0</v>
      </c>
      <c r="B2403" t="s">
        <v>118</v>
      </c>
      <c r="C2403" t="s">
        <v>341</v>
      </c>
      <c r="D2403" t="s">
        <v>498</v>
      </c>
      <c r="E2403" t="s">
        <v>452</v>
      </c>
      <c r="F2403" t="s">
        <v>2244</v>
      </c>
      <c r="G2403" t="s">
        <v>6433</v>
      </c>
      <c r="H2403" t="s">
        <v>11345</v>
      </c>
      <c r="I2403" t="s">
        <v>17825</v>
      </c>
      <c r="J2403" t="s">
        <v>18893</v>
      </c>
      <c r="K2403">
        <v>10029</v>
      </c>
      <c r="L2403" t="s">
        <v>18958</v>
      </c>
      <c r="M2403" t="s">
        <v>18958</v>
      </c>
      <c r="N2403" t="s">
        <v>20779</v>
      </c>
      <c r="O2403" t="s">
        <v>26533</v>
      </c>
      <c r="P2403" t="s">
        <v>26564</v>
      </c>
      <c r="Q2403" t="s">
        <v>26570</v>
      </c>
      <c r="R2403" t="s">
        <v>26578</v>
      </c>
      <c r="S2403" t="s">
        <v>18959</v>
      </c>
      <c r="U2403" t="s">
        <v>26604</v>
      </c>
      <c r="V2403" t="s">
        <v>26614</v>
      </c>
      <c r="W2403" t="s">
        <v>594</v>
      </c>
      <c r="X2403">
        <v>1320</v>
      </c>
      <c r="Y2403" t="s">
        <v>26651</v>
      </c>
      <c r="Z2403" t="s">
        <v>26530</v>
      </c>
      <c r="AA2403" t="s">
        <v>26683</v>
      </c>
      <c r="AB2403" t="s">
        <v>28814</v>
      </c>
      <c r="AD2403" t="s">
        <v>38871</v>
      </c>
      <c r="AE2403">
        <v>144</v>
      </c>
      <c r="AF2403" t="s">
        <v>45550</v>
      </c>
      <c r="AG2403" t="s">
        <v>45556</v>
      </c>
      <c r="AH2403">
        <v>13</v>
      </c>
      <c r="AI2403">
        <v>1</v>
      </c>
      <c r="AJ2403">
        <v>0</v>
      </c>
      <c r="AK2403">
        <v>74.95999999999999</v>
      </c>
      <c r="AN2403" t="s">
        <v>7439</v>
      </c>
      <c r="AO2403">
        <v>9100</v>
      </c>
      <c r="AU2403">
        <v>1.6</v>
      </c>
      <c r="AV2403" t="s">
        <v>452</v>
      </c>
      <c r="AW2403" t="s">
        <v>46857</v>
      </c>
    </row>
    <row r="2404" spans="1:50">
      <c r="A2404" s="1">
        <f>HYPERLINK("https://lsnyc.legalserver.org/matter/dynamic-profile/view/1875523","18-1875523")</f>
        <v>0</v>
      </c>
      <c r="B2404" t="s">
        <v>118</v>
      </c>
      <c r="C2404" t="s">
        <v>341</v>
      </c>
      <c r="D2404" t="s">
        <v>516</v>
      </c>
      <c r="E2404" t="s">
        <v>452</v>
      </c>
      <c r="F2404" t="s">
        <v>945</v>
      </c>
      <c r="G2404" t="s">
        <v>5008</v>
      </c>
      <c r="H2404" t="s">
        <v>10775</v>
      </c>
      <c r="I2404" t="s">
        <v>17349</v>
      </c>
      <c r="J2404" t="s">
        <v>18893</v>
      </c>
      <c r="K2404">
        <v>10035</v>
      </c>
      <c r="L2404" t="s">
        <v>18958</v>
      </c>
      <c r="M2404" t="s">
        <v>18958</v>
      </c>
      <c r="O2404" t="s">
        <v>18997</v>
      </c>
      <c r="P2404" t="s">
        <v>26564</v>
      </c>
      <c r="Q2404" t="s">
        <v>26570</v>
      </c>
      <c r="R2404" t="s">
        <v>26578</v>
      </c>
      <c r="S2404" t="s">
        <v>18959</v>
      </c>
      <c r="U2404" t="s">
        <v>26604</v>
      </c>
      <c r="V2404" t="s">
        <v>26610</v>
      </c>
      <c r="W2404" t="s">
        <v>594</v>
      </c>
      <c r="X2404">
        <v>1850</v>
      </c>
      <c r="Y2404" t="s">
        <v>26651</v>
      </c>
      <c r="Z2404" t="s">
        <v>26660</v>
      </c>
      <c r="AA2404" t="s">
        <v>26683</v>
      </c>
      <c r="AB2404" t="s">
        <v>28815</v>
      </c>
      <c r="AD2404" t="s">
        <v>38872</v>
      </c>
      <c r="AE2404">
        <v>40</v>
      </c>
      <c r="AF2404" t="s">
        <v>45541</v>
      </c>
      <c r="AG2404" t="s">
        <v>19330</v>
      </c>
      <c r="AH2404">
        <v>-1</v>
      </c>
      <c r="AI2404">
        <v>2</v>
      </c>
      <c r="AJ2404">
        <v>0</v>
      </c>
      <c r="AK2404">
        <v>160.48</v>
      </c>
      <c r="AN2404" t="s">
        <v>7439</v>
      </c>
      <c r="AO2404">
        <v>26414.4</v>
      </c>
      <c r="AU2404">
        <v>1.2</v>
      </c>
      <c r="AV2404" t="s">
        <v>452</v>
      </c>
      <c r="AW2404" t="s">
        <v>46846</v>
      </c>
    </row>
    <row r="2405" spans="1:50">
      <c r="A2405" s="1">
        <f>HYPERLINK("https://lsnyc.legalserver.org/matter/dynamic-profile/view/1876181","18-1876181")</f>
        <v>0</v>
      </c>
      <c r="B2405" t="s">
        <v>170</v>
      </c>
      <c r="C2405" t="s">
        <v>341</v>
      </c>
      <c r="D2405" t="s">
        <v>522</v>
      </c>
      <c r="E2405" t="s">
        <v>594</v>
      </c>
      <c r="F2405" t="s">
        <v>2245</v>
      </c>
      <c r="G2405" t="s">
        <v>1377</v>
      </c>
      <c r="H2405" t="s">
        <v>11608</v>
      </c>
      <c r="I2405" t="s">
        <v>17538</v>
      </c>
      <c r="J2405" t="s">
        <v>18894</v>
      </c>
      <c r="K2405">
        <v>11210</v>
      </c>
      <c r="L2405" t="s">
        <v>18958</v>
      </c>
      <c r="M2405" t="s">
        <v>18960</v>
      </c>
      <c r="N2405" t="s">
        <v>20780</v>
      </c>
      <c r="O2405" t="s">
        <v>26523</v>
      </c>
      <c r="P2405" t="s">
        <v>26560</v>
      </c>
      <c r="Q2405" t="s">
        <v>26568</v>
      </c>
      <c r="R2405" t="s">
        <v>26586</v>
      </c>
      <c r="U2405" t="s">
        <v>26604</v>
      </c>
      <c r="W2405" t="s">
        <v>594</v>
      </c>
      <c r="X2405">
        <v>1150</v>
      </c>
      <c r="Y2405" t="s">
        <v>26652</v>
      </c>
      <c r="Z2405" t="s">
        <v>26664</v>
      </c>
      <c r="AA2405" t="s">
        <v>26678</v>
      </c>
      <c r="AB2405" t="s">
        <v>28816</v>
      </c>
      <c r="AD2405" t="s">
        <v>38873</v>
      </c>
      <c r="AE2405">
        <v>90</v>
      </c>
      <c r="AG2405" t="s">
        <v>19330</v>
      </c>
      <c r="AH2405">
        <v>-1</v>
      </c>
      <c r="AI2405">
        <v>1</v>
      </c>
      <c r="AJ2405">
        <v>0</v>
      </c>
      <c r="AK2405">
        <v>197.69</v>
      </c>
      <c r="AN2405" t="s">
        <v>7439</v>
      </c>
      <c r="AO2405">
        <v>24000</v>
      </c>
      <c r="AQ2405" t="s">
        <v>46359</v>
      </c>
      <c r="AR2405" t="s">
        <v>46381</v>
      </c>
      <c r="AS2405" t="s">
        <v>46499</v>
      </c>
      <c r="AT2405" t="s">
        <v>46634</v>
      </c>
      <c r="AU2405">
        <v>8.050000000000001</v>
      </c>
      <c r="AV2405" t="s">
        <v>518</v>
      </c>
      <c r="AW2405" t="s">
        <v>46862</v>
      </c>
    </row>
    <row r="2406" spans="1:50">
      <c r="A2406" s="1">
        <f>HYPERLINK("https://lsnyc.legalserver.org/matter/dynamic-profile/view/1878299","18-1878299")</f>
        <v>0</v>
      </c>
      <c r="B2406" t="s">
        <v>118</v>
      </c>
      <c r="C2406" t="s">
        <v>341</v>
      </c>
      <c r="D2406" t="s">
        <v>596</v>
      </c>
      <c r="E2406" t="s">
        <v>452</v>
      </c>
      <c r="F2406" t="s">
        <v>1604</v>
      </c>
      <c r="G2406" t="s">
        <v>4122</v>
      </c>
      <c r="H2406" t="s">
        <v>11609</v>
      </c>
      <c r="I2406">
        <v>109</v>
      </c>
      <c r="J2406" t="s">
        <v>18893</v>
      </c>
      <c r="K2406">
        <v>10035</v>
      </c>
      <c r="L2406" t="s">
        <v>18958</v>
      </c>
      <c r="M2406" t="s">
        <v>18958</v>
      </c>
      <c r="N2406" t="s">
        <v>20781</v>
      </c>
      <c r="O2406" t="s">
        <v>26524</v>
      </c>
      <c r="P2406" t="s">
        <v>26564</v>
      </c>
      <c r="Q2406" t="s">
        <v>26570</v>
      </c>
      <c r="R2406" t="s">
        <v>26578</v>
      </c>
      <c r="S2406" t="s">
        <v>18959</v>
      </c>
      <c r="T2406" t="s">
        <v>26578</v>
      </c>
      <c r="U2406" t="s">
        <v>26604</v>
      </c>
      <c r="V2406" t="s">
        <v>26614</v>
      </c>
      <c r="W2406" t="s">
        <v>594</v>
      </c>
      <c r="X2406">
        <v>1519</v>
      </c>
      <c r="Y2406" t="s">
        <v>26651</v>
      </c>
      <c r="Z2406" t="s">
        <v>26659</v>
      </c>
      <c r="AA2406" t="s">
        <v>26683</v>
      </c>
      <c r="AB2406" t="s">
        <v>28817</v>
      </c>
      <c r="AD2406" t="s">
        <v>38874</v>
      </c>
      <c r="AE2406">
        <v>132</v>
      </c>
      <c r="AF2406" t="s">
        <v>45544</v>
      </c>
      <c r="AG2406" t="s">
        <v>19330</v>
      </c>
      <c r="AH2406">
        <v>22</v>
      </c>
      <c r="AI2406">
        <v>1</v>
      </c>
      <c r="AJ2406">
        <v>0</v>
      </c>
      <c r="AK2406">
        <v>88.95999999999999</v>
      </c>
      <c r="AN2406" t="s">
        <v>7439</v>
      </c>
      <c r="AO2406">
        <v>10800</v>
      </c>
      <c r="AU2406">
        <v>0.2</v>
      </c>
      <c r="AV2406" t="s">
        <v>452</v>
      </c>
      <c r="AW2406" t="s">
        <v>46864</v>
      </c>
    </row>
    <row r="2407" spans="1:50">
      <c r="A2407" s="1">
        <f>HYPERLINK("https://lsnyc.legalserver.org/matter/dynamic-profile/view/1878390","18-1878390")</f>
        <v>0</v>
      </c>
      <c r="B2407" t="s">
        <v>225</v>
      </c>
      <c r="C2407" t="s">
        <v>340</v>
      </c>
      <c r="D2407" t="s">
        <v>582</v>
      </c>
      <c r="F2407" t="s">
        <v>1792</v>
      </c>
      <c r="G2407" t="s">
        <v>6434</v>
      </c>
      <c r="H2407" t="s">
        <v>11610</v>
      </c>
      <c r="I2407" t="s">
        <v>17754</v>
      </c>
      <c r="J2407" t="s">
        <v>18893</v>
      </c>
      <c r="K2407">
        <v>10029</v>
      </c>
      <c r="L2407" t="s">
        <v>18958</v>
      </c>
      <c r="M2407" t="s">
        <v>18958</v>
      </c>
      <c r="N2407" t="s">
        <v>20782</v>
      </c>
      <c r="O2407" t="s">
        <v>26523</v>
      </c>
      <c r="P2407" t="s">
        <v>26560</v>
      </c>
      <c r="R2407" t="s">
        <v>26578</v>
      </c>
      <c r="S2407" t="s">
        <v>18958</v>
      </c>
      <c r="U2407" t="s">
        <v>26604</v>
      </c>
      <c r="V2407" t="s">
        <v>26610</v>
      </c>
      <c r="W2407" t="s">
        <v>594</v>
      </c>
      <c r="X2407">
        <v>3958</v>
      </c>
      <c r="Y2407" t="s">
        <v>26651</v>
      </c>
      <c r="Z2407" t="s">
        <v>26667</v>
      </c>
      <c r="AB2407" t="s">
        <v>28818</v>
      </c>
      <c r="AD2407" t="s">
        <v>38875</v>
      </c>
      <c r="AE2407">
        <v>758</v>
      </c>
      <c r="AF2407" t="s">
        <v>45543</v>
      </c>
      <c r="AG2407" t="s">
        <v>45556</v>
      </c>
      <c r="AH2407">
        <v>38</v>
      </c>
      <c r="AI2407">
        <v>1</v>
      </c>
      <c r="AJ2407">
        <v>0</v>
      </c>
      <c r="AK2407">
        <v>80.45999999999999</v>
      </c>
      <c r="AN2407" t="s">
        <v>7439</v>
      </c>
      <c r="AO2407">
        <v>9768</v>
      </c>
      <c r="AU2407">
        <v>26.75</v>
      </c>
      <c r="AV2407" t="s">
        <v>832</v>
      </c>
      <c r="AW2407" t="s">
        <v>46843</v>
      </c>
    </row>
    <row r="2408" spans="1:50">
      <c r="A2408" s="1">
        <f>HYPERLINK("https://lsnyc.legalserver.org/matter/dynamic-profile/view/1879187","18-1879187")</f>
        <v>0</v>
      </c>
      <c r="B2408" t="s">
        <v>67</v>
      </c>
      <c r="C2408" t="s">
        <v>340</v>
      </c>
      <c r="D2408" t="s">
        <v>583</v>
      </c>
      <c r="F2408" t="s">
        <v>2246</v>
      </c>
      <c r="G2408" t="s">
        <v>6435</v>
      </c>
      <c r="H2408" t="s">
        <v>11611</v>
      </c>
      <c r="I2408" t="s">
        <v>17360</v>
      </c>
      <c r="J2408" t="s">
        <v>18892</v>
      </c>
      <c r="K2408">
        <v>10452</v>
      </c>
      <c r="L2408" t="s">
        <v>18958</v>
      </c>
      <c r="M2408" t="s">
        <v>18958</v>
      </c>
      <c r="N2408" t="s">
        <v>20783</v>
      </c>
      <c r="O2408" t="s">
        <v>26523</v>
      </c>
      <c r="P2408" t="s">
        <v>26564</v>
      </c>
      <c r="R2408" t="s">
        <v>26578</v>
      </c>
      <c r="S2408" t="s">
        <v>18959</v>
      </c>
      <c r="U2408" t="s">
        <v>26604</v>
      </c>
      <c r="W2408" t="s">
        <v>594</v>
      </c>
      <c r="X2408">
        <v>1342.11</v>
      </c>
      <c r="Y2408" t="s">
        <v>26650</v>
      </c>
      <c r="Z2408" t="s">
        <v>26672</v>
      </c>
      <c r="AB2408" t="s">
        <v>28033</v>
      </c>
      <c r="AC2408" t="s">
        <v>35227</v>
      </c>
      <c r="AD2408" t="s">
        <v>38876</v>
      </c>
      <c r="AE2408">
        <v>6</v>
      </c>
      <c r="AF2408" t="s">
        <v>45541</v>
      </c>
      <c r="AG2408" t="s">
        <v>19330</v>
      </c>
      <c r="AH2408">
        <v>22</v>
      </c>
      <c r="AI2408">
        <v>1</v>
      </c>
      <c r="AJ2408">
        <v>1</v>
      </c>
      <c r="AK2408">
        <v>16.77</v>
      </c>
      <c r="AN2408" t="s">
        <v>7439</v>
      </c>
      <c r="AO2408">
        <v>2760</v>
      </c>
      <c r="AU2408">
        <v>3.75</v>
      </c>
      <c r="AV2408" t="s">
        <v>623</v>
      </c>
      <c r="AW2408" t="s">
        <v>46859</v>
      </c>
    </row>
    <row r="2409" spans="1:50">
      <c r="A2409" s="1">
        <f>HYPERLINK("https://lsnyc.legalserver.org/matter/dynamic-profile/view/1879141","18-1879141")</f>
        <v>0</v>
      </c>
      <c r="B2409" t="s">
        <v>135</v>
      </c>
      <c r="C2409" t="s">
        <v>340</v>
      </c>
      <c r="D2409" t="s">
        <v>583</v>
      </c>
      <c r="F2409" t="s">
        <v>887</v>
      </c>
      <c r="G2409" t="s">
        <v>2749</v>
      </c>
      <c r="H2409" t="s">
        <v>11612</v>
      </c>
      <c r="I2409" t="s">
        <v>17826</v>
      </c>
      <c r="J2409" t="s">
        <v>18892</v>
      </c>
      <c r="K2409">
        <v>10452</v>
      </c>
      <c r="L2409" t="s">
        <v>18958</v>
      </c>
      <c r="M2409" t="s">
        <v>18958</v>
      </c>
      <c r="O2409" t="s">
        <v>26523</v>
      </c>
      <c r="P2409" t="s">
        <v>26564</v>
      </c>
      <c r="R2409" t="s">
        <v>26578</v>
      </c>
      <c r="S2409" t="s">
        <v>18959</v>
      </c>
      <c r="U2409" t="s">
        <v>26604</v>
      </c>
      <c r="W2409" t="s">
        <v>594</v>
      </c>
      <c r="X2409">
        <v>1225</v>
      </c>
      <c r="Y2409" t="s">
        <v>26650</v>
      </c>
      <c r="AB2409" t="s">
        <v>28819</v>
      </c>
      <c r="AD2409" t="s">
        <v>38877</v>
      </c>
      <c r="AE2409">
        <v>109</v>
      </c>
      <c r="AF2409" t="s">
        <v>45541</v>
      </c>
      <c r="AG2409" t="s">
        <v>19330</v>
      </c>
      <c r="AH2409">
        <v>2</v>
      </c>
      <c r="AI2409">
        <v>1</v>
      </c>
      <c r="AJ2409">
        <v>1</v>
      </c>
      <c r="AK2409">
        <v>63.18</v>
      </c>
      <c r="AN2409" t="s">
        <v>45581</v>
      </c>
      <c r="AO2409">
        <v>10400</v>
      </c>
      <c r="AP2409" t="s">
        <v>45751</v>
      </c>
      <c r="AU2409">
        <v>0.5</v>
      </c>
      <c r="AV2409" t="s">
        <v>583</v>
      </c>
      <c r="AW2409" t="s">
        <v>46850</v>
      </c>
    </row>
    <row r="2410" spans="1:50">
      <c r="A2410" s="1">
        <f>HYPERLINK("https://lsnyc.legalserver.org/matter/dynamic-profile/view/1880276","18-1880276")</f>
        <v>0</v>
      </c>
      <c r="B2410" t="s">
        <v>98</v>
      </c>
      <c r="C2410" t="s">
        <v>341</v>
      </c>
      <c r="D2410" t="s">
        <v>594</v>
      </c>
      <c r="E2410" t="s">
        <v>684</v>
      </c>
      <c r="F2410" t="s">
        <v>1219</v>
      </c>
      <c r="G2410" t="s">
        <v>6436</v>
      </c>
      <c r="H2410" t="s">
        <v>11613</v>
      </c>
      <c r="I2410" t="s">
        <v>17425</v>
      </c>
      <c r="J2410" t="s">
        <v>18892</v>
      </c>
      <c r="K2410">
        <v>10460</v>
      </c>
      <c r="L2410" t="s">
        <v>18958</v>
      </c>
      <c r="M2410" t="s">
        <v>18958</v>
      </c>
      <c r="O2410" t="s">
        <v>18997</v>
      </c>
      <c r="P2410" t="s">
        <v>26564</v>
      </c>
      <c r="Q2410" t="s">
        <v>26570</v>
      </c>
      <c r="R2410" t="s">
        <v>26578</v>
      </c>
      <c r="S2410" t="s">
        <v>18959</v>
      </c>
      <c r="U2410" t="s">
        <v>26604</v>
      </c>
      <c r="W2410" t="s">
        <v>594</v>
      </c>
      <c r="X2410">
        <v>1104</v>
      </c>
      <c r="Y2410" t="s">
        <v>26650</v>
      </c>
      <c r="Z2410" t="s">
        <v>26663</v>
      </c>
      <c r="AA2410" t="s">
        <v>26683</v>
      </c>
      <c r="AB2410" t="s">
        <v>28815</v>
      </c>
      <c r="AE2410">
        <v>44</v>
      </c>
      <c r="AF2410" t="s">
        <v>45541</v>
      </c>
      <c r="AG2410" t="s">
        <v>45556</v>
      </c>
      <c r="AH2410">
        <v>7</v>
      </c>
      <c r="AI2410">
        <v>2</v>
      </c>
      <c r="AJ2410">
        <v>2</v>
      </c>
      <c r="AK2410">
        <v>62.15</v>
      </c>
      <c r="AN2410" t="s">
        <v>45581</v>
      </c>
      <c r="AO2410">
        <v>15600</v>
      </c>
      <c r="AU2410">
        <v>2</v>
      </c>
      <c r="AV2410" t="s">
        <v>684</v>
      </c>
      <c r="AW2410" t="s">
        <v>98</v>
      </c>
    </row>
    <row r="2411" spans="1:50">
      <c r="A2411" s="1">
        <f>HYPERLINK("https://lsnyc.legalserver.org/matter/dynamic-profile/view/1880273","18-1880273")</f>
        <v>0</v>
      </c>
      <c r="B2411" t="s">
        <v>98</v>
      </c>
      <c r="C2411" t="s">
        <v>341</v>
      </c>
      <c r="D2411" t="s">
        <v>594</v>
      </c>
      <c r="E2411" t="s">
        <v>703</v>
      </c>
      <c r="F2411" t="s">
        <v>2247</v>
      </c>
      <c r="G2411" t="s">
        <v>6437</v>
      </c>
      <c r="H2411" t="s">
        <v>11614</v>
      </c>
      <c r="I2411" t="s">
        <v>17361</v>
      </c>
      <c r="J2411" t="s">
        <v>18892</v>
      </c>
      <c r="K2411">
        <v>10453</v>
      </c>
      <c r="L2411" t="s">
        <v>18958</v>
      </c>
      <c r="M2411" t="s">
        <v>18958</v>
      </c>
      <c r="O2411" t="s">
        <v>18997</v>
      </c>
      <c r="P2411" t="s">
        <v>26565</v>
      </c>
      <c r="Q2411" t="s">
        <v>26571</v>
      </c>
      <c r="R2411" t="s">
        <v>26578</v>
      </c>
      <c r="S2411" t="s">
        <v>18959</v>
      </c>
      <c r="U2411" t="s">
        <v>26604</v>
      </c>
      <c r="W2411" t="s">
        <v>594</v>
      </c>
      <c r="X2411">
        <v>1067</v>
      </c>
      <c r="Y2411" t="s">
        <v>26650</v>
      </c>
      <c r="Z2411" t="s">
        <v>26663</v>
      </c>
      <c r="AA2411" t="s">
        <v>26682</v>
      </c>
      <c r="AB2411" t="s">
        <v>28820</v>
      </c>
      <c r="AD2411" t="s">
        <v>38878</v>
      </c>
      <c r="AE2411">
        <v>70</v>
      </c>
      <c r="AF2411" t="s">
        <v>45541</v>
      </c>
      <c r="AG2411" t="s">
        <v>45556</v>
      </c>
      <c r="AH2411">
        <v>23</v>
      </c>
      <c r="AI2411">
        <v>1</v>
      </c>
      <c r="AJ2411">
        <v>0</v>
      </c>
      <c r="AK2411">
        <v>188.47</v>
      </c>
      <c r="AN2411" t="s">
        <v>45581</v>
      </c>
      <c r="AO2411">
        <v>22880</v>
      </c>
      <c r="AU2411">
        <v>1.9</v>
      </c>
      <c r="AV2411" t="s">
        <v>703</v>
      </c>
      <c r="AW2411" t="s">
        <v>98</v>
      </c>
    </row>
    <row r="2412" spans="1:50">
      <c r="A2412" s="1">
        <f>HYPERLINK("https://lsnyc.legalserver.org/matter/dynamic-profile/view/1880163","18-1880163")</f>
        <v>0</v>
      </c>
      <c r="B2412" t="s">
        <v>147</v>
      </c>
      <c r="C2412" t="s">
        <v>341</v>
      </c>
      <c r="D2412" t="s">
        <v>594</v>
      </c>
      <c r="E2412" t="s">
        <v>699</v>
      </c>
      <c r="F2412" t="s">
        <v>2213</v>
      </c>
      <c r="G2412" t="s">
        <v>6403</v>
      </c>
      <c r="H2412" t="s">
        <v>11559</v>
      </c>
      <c r="J2412" t="s">
        <v>18894</v>
      </c>
      <c r="K2412">
        <v>11226</v>
      </c>
      <c r="L2412" t="s">
        <v>18958</v>
      </c>
      <c r="M2412" t="s">
        <v>18958</v>
      </c>
      <c r="O2412" t="s">
        <v>18997</v>
      </c>
      <c r="P2412" t="s">
        <v>26565</v>
      </c>
      <c r="Q2412" t="s">
        <v>26571</v>
      </c>
      <c r="R2412" t="s">
        <v>26578</v>
      </c>
      <c r="S2412" t="s">
        <v>18959</v>
      </c>
      <c r="U2412" t="s">
        <v>26604</v>
      </c>
      <c r="W2412" t="s">
        <v>594</v>
      </c>
      <c r="X2412">
        <v>784.1900000000001</v>
      </c>
      <c r="Y2412" t="s">
        <v>26652</v>
      </c>
      <c r="Z2412" t="s">
        <v>26659</v>
      </c>
      <c r="AA2412" t="s">
        <v>26683</v>
      </c>
      <c r="AB2412" t="s">
        <v>28765</v>
      </c>
      <c r="AD2412" t="s">
        <v>38821</v>
      </c>
      <c r="AE2412">
        <v>54</v>
      </c>
      <c r="AF2412" t="s">
        <v>45541</v>
      </c>
      <c r="AG2412" t="s">
        <v>19330</v>
      </c>
      <c r="AH2412">
        <v>40</v>
      </c>
      <c r="AI2412">
        <v>2</v>
      </c>
      <c r="AJ2412">
        <v>0</v>
      </c>
      <c r="AK2412">
        <v>196.84</v>
      </c>
      <c r="AN2412" t="s">
        <v>7439</v>
      </c>
      <c r="AO2412">
        <v>32400</v>
      </c>
      <c r="AS2412" t="s">
        <v>46499</v>
      </c>
      <c r="AT2412" t="s">
        <v>46632</v>
      </c>
      <c r="AU2412">
        <v>3.3</v>
      </c>
      <c r="AV2412" t="s">
        <v>603</v>
      </c>
      <c r="AW2412" t="s">
        <v>46856</v>
      </c>
    </row>
    <row r="2413" spans="1:50">
      <c r="A2413" s="1">
        <f>HYPERLINK("https://lsnyc.legalserver.org/matter/dynamic-profile/view/1880206","18-1880206")</f>
        <v>0</v>
      </c>
      <c r="B2413" t="s">
        <v>232</v>
      </c>
      <c r="C2413" t="s">
        <v>341</v>
      </c>
      <c r="D2413" t="s">
        <v>594</v>
      </c>
      <c r="E2413" t="s">
        <v>747</v>
      </c>
      <c r="F2413" t="s">
        <v>2248</v>
      </c>
      <c r="G2413" t="s">
        <v>6438</v>
      </c>
      <c r="H2413" t="s">
        <v>11615</v>
      </c>
      <c r="I2413" t="s">
        <v>17316</v>
      </c>
      <c r="J2413" t="s">
        <v>18894</v>
      </c>
      <c r="K2413">
        <v>11208</v>
      </c>
      <c r="L2413" t="s">
        <v>18958</v>
      </c>
      <c r="M2413" t="s">
        <v>18958</v>
      </c>
      <c r="N2413" t="s">
        <v>20784</v>
      </c>
      <c r="O2413" t="s">
        <v>26523</v>
      </c>
      <c r="P2413" t="s">
        <v>26560</v>
      </c>
      <c r="Q2413" t="s">
        <v>26573</v>
      </c>
      <c r="R2413" t="s">
        <v>26586</v>
      </c>
      <c r="S2413" t="s">
        <v>18959</v>
      </c>
      <c r="U2413" t="s">
        <v>26604</v>
      </c>
      <c r="V2413" t="s">
        <v>26612</v>
      </c>
      <c r="W2413" t="s">
        <v>594</v>
      </c>
      <c r="X2413">
        <v>1160</v>
      </c>
      <c r="Y2413" t="s">
        <v>26652</v>
      </c>
      <c r="Z2413" t="s">
        <v>26663</v>
      </c>
      <c r="AA2413" t="s">
        <v>26679</v>
      </c>
      <c r="AB2413" t="s">
        <v>28821</v>
      </c>
      <c r="AC2413" t="s">
        <v>35228</v>
      </c>
      <c r="AD2413" t="s">
        <v>38879</v>
      </c>
      <c r="AE2413">
        <v>25</v>
      </c>
      <c r="AF2413" t="s">
        <v>45541</v>
      </c>
      <c r="AG2413" t="s">
        <v>19330</v>
      </c>
      <c r="AH2413">
        <v>21</v>
      </c>
      <c r="AI2413">
        <v>1</v>
      </c>
      <c r="AJ2413">
        <v>1</v>
      </c>
      <c r="AK2413">
        <v>54.24</v>
      </c>
      <c r="AN2413" t="s">
        <v>45581</v>
      </c>
      <c r="AO2413">
        <v>8928</v>
      </c>
      <c r="AU2413">
        <v>28.45</v>
      </c>
      <c r="AV2413" t="s">
        <v>747</v>
      </c>
      <c r="AW2413" t="s">
        <v>46856</v>
      </c>
      <c r="AX2413" t="s">
        <v>46897</v>
      </c>
    </row>
    <row r="2414" spans="1:50">
      <c r="A2414" s="1">
        <f>HYPERLINK("https://lsnyc.legalserver.org/matter/dynamic-profile/view/1880195","18-1880195")</f>
        <v>0</v>
      </c>
      <c r="B2414" t="s">
        <v>204</v>
      </c>
      <c r="C2414" t="s">
        <v>341</v>
      </c>
      <c r="D2414" t="s">
        <v>594</v>
      </c>
      <c r="E2414" t="s">
        <v>697</v>
      </c>
      <c r="F2414" t="s">
        <v>2249</v>
      </c>
      <c r="G2414" t="s">
        <v>6439</v>
      </c>
      <c r="H2414" t="s">
        <v>11616</v>
      </c>
      <c r="I2414" t="s">
        <v>17298</v>
      </c>
      <c r="J2414" t="s">
        <v>18894</v>
      </c>
      <c r="K2414">
        <v>11226</v>
      </c>
      <c r="L2414" t="s">
        <v>18958</v>
      </c>
      <c r="M2414" t="s">
        <v>18958</v>
      </c>
      <c r="N2414" t="s">
        <v>20785</v>
      </c>
      <c r="O2414" t="s">
        <v>26523</v>
      </c>
      <c r="P2414" t="s">
        <v>26563</v>
      </c>
      <c r="Q2414" t="s">
        <v>26570</v>
      </c>
      <c r="R2414" t="s">
        <v>26583</v>
      </c>
      <c r="U2414" t="s">
        <v>26604</v>
      </c>
      <c r="W2414" t="s">
        <v>594</v>
      </c>
      <c r="X2414">
        <v>1550</v>
      </c>
      <c r="Y2414" t="s">
        <v>26652</v>
      </c>
      <c r="Z2414" t="s">
        <v>26668</v>
      </c>
      <c r="AA2414" t="s">
        <v>26678</v>
      </c>
      <c r="AB2414" t="s">
        <v>28822</v>
      </c>
      <c r="AD2414" t="s">
        <v>38880</v>
      </c>
      <c r="AE2414">
        <v>4</v>
      </c>
      <c r="AF2414" t="s">
        <v>45541</v>
      </c>
      <c r="AH2414">
        <v>14</v>
      </c>
      <c r="AI2414">
        <v>1</v>
      </c>
      <c r="AJ2414">
        <v>0</v>
      </c>
      <c r="AK2414">
        <v>183.33</v>
      </c>
      <c r="AN2414" t="s">
        <v>7439</v>
      </c>
      <c r="AO2414">
        <v>22256</v>
      </c>
      <c r="AU2414">
        <v>4.3</v>
      </c>
      <c r="AV2414" t="s">
        <v>697</v>
      </c>
      <c r="AW2414" t="s">
        <v>46856</v>
      </c>
    </row>
    <row r="2415" spans="1:50">
      <c r="A2415" s="1">
        <f>HYPERLINK("https://lsnyc.legalserver.org/matter/dynamic-profile/view/1880150","18-1880150")</f>
        <v>0</v>
      </c>
      <c r="B2415" t="s">
        <v>120</v>
      </c>
      <c r="C2415" t="s">
        <v>341</v>
      </c>
      <c r="D2415" t="s">
        <v>594</v>
      </c>
      <c r="E2415" t="s">
        <v>692</v>
      </c>
      <c r="F2415" t="s">
        <v>2250</v>
      </c>
      <c r="G2415" t="s">
        <v>5392</v>
      </c>
      <c r="H2415" t="s">
        <v>11617</v>
      </c>
      <c r="I2415">
        <v>7</v>
      </c>
      <c r="J2415" t="s">
        <v>18892</v>
      </c>
      <c r="K2415">
        <v>10459</v>
      </c>
      <c r="L2415" t="s">
        <v>18958</v>
      </c>
      <c r="M2415" t="s">
        <v>18958</v>
      </c>
      <c r="N2415" t="s">
        <v>20786</v>
      </c>
      <c r="O2415" t="s">
        <v>26523</v>
      </c>
      <c r="P2415" t="s">
        <v>26560</v>
      </c>
      <c r="Q2415" t="s">
        <v>26568</v>
      </c>
      <c r="R2415" t="s">
        <v>26577</v>
      </c>
      <c r="S2415" t="s">
        <v>18959</v>
      </c>
      <c r="U2415" t="s">
        <v>26604</v>
      </c>
      <c r="V2415" t="s">
        <v>26614</v>
      </c>
      <c r="W2415" t="s">
        <v>594</v>
      </c>
      <c r="X2415">
        <v>1515</v>
      </c>
      <c r="Y2415" t="s">
        <v>26650</v>
      </c>
      <c r="Z2415" t="s">
        <v>26668</v>
      </c>
      <c r="AA2415" t="s">
        <v>26679</v>
      </c>
      <c r="AB2415" t="s">
        <v>28823</v>
      </c>
      <c r="AD2415" t="s">
        <v>38881</v>
      </c>
      <c r="AE2415">
        <v>12</v>
      </c>
      <c r="AF2415" t="s">
        <v>45545</v>
      </c>
      <c r="AG2415" t="s">
        <v>45562</v>
      </c>
      <c r="AH2415">
        <v>3</v>
      </c>
      <c r="AI2415">
        <v>1</v>
      </c>
      <c r="AJ2415">
        <v>3</v>
      </c>
      <c r="AK2415">
        <v>0</v>
      </c>
      <c r="AN2415" t="s">
        <v>7439</v>
      </c>
      <c r="AO2415">
        <v>0</v>
      </c>
      <c r="AQ2415" t="s">
        <v>46365</v>
      </c>
      <c r="AR2415" t="s">
        <v>26530</v>
      </c>
      <c r="AS2415" t="s">
        <v>46500</v>
      </c>
      <c r="AT2415" t="s">
        <v>46587</v>
      </c>
      <c r="AU2415">
        <v>23.8</v>
      </c>
      <c r="AV2415" t="s">
        <v>519</v>
      </c>
      <c r="AW2415" t="s">
        <v>46847</v>
      </c>
    </row>
    <row r="2416" spans="1:50">
      <c r="A2416" s="1">
        <f>HYPERLINK("https://lsnyc.legalserver.org/matter/dynamic-profile/view/1880141","18-1880141")</f>
        <v>0</v>
      </c>
      <c r="B2416" t="s">
        <v>65</v>
      </c>
      <c r="C2416" t="s">
        <v>341</v>
      </c>
      <c r="D2416" t="s">
        <v>594</v>
      </c>
      <c r="E2416" t="s">
        <v>857</v>
      </c>
      <c r="F2416" t="s">
        <v>2251</v>
      </c>
      <c r="G2416" t="s">
        <v>5385</v>
      </c>
      <c r="H2416" t="s">
        <v>9996</v>
      </c>
      <c r="I2416" t="s">
        <v>17590</v>
      </c>
      <c r="J2416" t="s">
        <v>18892</v>
      </c>
      <c r="K2416">
        <v>10457</v>
      </c>
      <c r="L2416" t="s">
        <v>18958</v>
      </c>
      <c r="M2416" t="s">
        <v>18958</v>
      </c>
      <c r="N2416" t="s">
        <v>20787</v>
      </c>
      <c r="O2416" t="s">
        <v>26523</v>
      </c>
      <c r="P2416" t="s">
        <v>26560</v>
      </c>
      <c r="Q2416" t="s">
        <v>26568</v>
      </c>
      <c r="R2416" t="s">
        <v>26579</v>
      </c>
      <c r="S2416" t="s">
        <v>18959</v>
      </c>
      <c r="U2416" t="s">
        <v>26604</v>
      </c>
      <c r="V2416" t="s">
        <v>26610</v>
      </c>
      <c r="W2416" t="s">
        <v>594</v>
      </c>
      <c r="X2416">
        <v>1488</v>
      </c>
      <c r="Y2416" t="s">
        <v>26650</v>
      </c>
      <c r="Z2416" t="s">
        <v>26664</v>
      </c>
      <c r="AA2416" t="s">
        <v>26678</v>
      </c>
      <c r="AB2416" t="s">
        <v>28824</v>
      </c>
      <c r="AC2416" t="s">
        <v>35229</v>
      </c>
      <c r="AD2416" t="s">
        <v>38882</v>
      </c>
      <c r="AE2416">
        <v>167</v>
      </c>
      <c r="AF2416" t="s">
        <v>45551</v>
      </c>
      <c r="AG2416" t="s">
        <v>45557</v>
      </c>
      <c r="AH2416">
        <v>1</v>
      </c>
      <c r="AI2416">
        <v>2</v>
      </c>
      <c r="AJ2416">
        <v>4</v>
      </c>
      <c r="AK2416">
        <v>97.95999999999999</v>
      </c>
      <c r="AN2416" t="s">
        <v>7439</v>
      </c>
      <c r="AO2416">
        <v>33052</v>
      </c>
      <c r="AQ2416" t="s">
        <v>46362</v>
      </c>
      <c r="AR2416" t="s">
        <v>46385</v>
      </c>
      <c r="AS2416" t="s">
        <v>46499</v>
      </c>
      <c r="AT2416" t="s">
        <v>46690</v>
      </c>
      <c r="AU2416">
        <v>8.800000000000001</v>
      </c>
      <c r="AV2416" t="s">
        <v>752</v>
      </c>
      <c r="AW2416" t="s">
        <v>46871</v>
      </c>
    </row>
    <row r="2417" spans="1:49">
      <c r="A2417" s="1">
        <f>HYPERLINK("https://lsnyc.legalserver.org/matter/dynamic-profile/view/1880248","18-1880248")</f>
        <v>0</v>
      </c>
      <c r="B2417" t="s">
        <v>122</v>
      </c>
      <c r="C2417" t="s">
        <v>341</v>
      </c>
      <c r="D2417" t="s">
        <v>594</v>
      </c>
      <c r="E2417" t="s">
        <v>600</v>
      </c>
      <c r="F2417" t="s">
        <v>1904</v>
      </c>
      <c r="G2417" t="s">
        <v>5189</v>
      </c>
      <c r="H2417" t="s">
        <v>11618</v>
      </c>
      <c r="I2417" t="s">
        <v>17327</v>
      </c>
      <c r="J2417" t="s">
        <v>7026</v>
      </c>
      <c r="K2417">
        <v>11368</v>
      </c>
      <c r="L2417" t="s">
        <v>18958</v>
      </c>
      <c r="M2417" t="s">
        <v>18958</v>
      </c>
      <c r="N2417" t="s">
        <v>20788</v>
      </c>
      <c r="O2417" t="s">
        <v>26523</v>
      </c>
      <c r="P2417" t="s">
        <v>26564</v>
      </c>
      <c r="Q2417" t="s">
        <v>26570</v>
      </c>
      <c r="R2417" t="s">
        <v>26584</v>
      </c>
      <c r="S2417" t="s">
        <v>18959</v>
      </c>
      <c r="U2417" t="s">
        <v>26604</v>
      </c>
      <c r="W2417" t="s">
        <v>594</v>
      </c>
      <c r="X2417">
        <v>1650</v>
      </c>
      <c r="Y2417" t="s">
        <v>26653</v>
      </c>
      <c r="Z2417" t="s">
        <v>26664</v>
      </c>
      <c r="AA2417" t="s">
        <v>26683</v>
      </c>
      <c r="AB2417" t="s">
        <v>28825</v>
      </c>
      <c r="AD2417" t="s">
        <v>38883</v>
      </c>
      <c r="AE2417">
        <v>30</v>
      </c>
      <c r="AF2417" t="s">
        <v>45545</v>
      </c>
      <c r="AG2417" t="s">
        <v>19330</v>
      </c>
      <c r="AH2417">
        <v>1</v>
      </c>
      <c r="AI2417">
        <v>2</v>
      </c>
      <c r="AJ2417">
        <v>1</v>
      </c>
      <c r="AK2417">
        <v>178.06</v>
      </c>
      <c r="AO2417">
        <v>37000</v>
      </c>
      <c r="AU2417">
        <v>1.6</v>
      </c>
      <c r="AV2417" t="s">
        <v>614</v>
      </c>
      <c r="AW2417" t="s">
        <v>122</v>
      </c>
    </row>
    <row r="2418" spans="1:49">
      <c r="A2418" s="1">
        <f>HYPERLINK("https://lsnyc.legalserver.org/matter/dynamic-profile/view/1880771","18-1880771")</f>
        <v>0</v>
      </c>
      <c r="B2418" t="s">
        <v>188</v>
      </c>
      <c r="C2418" t="s">
        <v>341</v>
      </c>
      <c r="D2418" t="s">
        <v>594</v>
      </c>
      <c r="E2418" t="s">
        <v>519</v>
      </c>
      <c r="F2418" t="s">
        <v>1854</v>
      </c>
      <c r="G2418" t="s">
        <v>5199</v>
      </c>
      <c r="H2418" t="s">
        <v>10149</v>
      </c>
      <c r="I2418" t="s">
        <v>17398</v>
      </c>
      <c r="J2418" t="s">
        <v>18892</v>
      </c>
      <c r="K2418">
        <v>10458</v>
      </c>
      <c r="L2418" t="s">
        <v>18958</v>
      </c>
      <c r="M2418" t="s">
        <v>18958</v>
      </c>
      <c r="O2418" t="s">
        <v>26532</v>
      </c>
      <c r="P2418" t="s">
        <v>26564</v>
      </c>
      <c r="Q2418" t="s">
        <v>26570</v>
      </c>
      <c r="R2418" t="s">
        <v>26578</v>
      </c>
      <c r="S2418" t="s">
        <v>18959</v>
      </c>
      <c r="U2418" t="s">
        <v>26604</v>
      </c>
      <c r="V2418" t="s">
        <v>26610</v>
      </c>
      <c r="W2418" t="s">
        <v>594</v>
      </c>
      <c r="X2418">
        <v>1500</v>
      </c>
      <c r="Y2418" t="s">
        <v>26650</v>
      </c>
      <c r="Z2418" t="s">
        <v>26663</v>
      </c>
      <c r="AA2418" t="s">
        <v>26683</v>
      </c>
      <c r="AB2418" t="s">
        <v>28826</v>
      </c>
      <c r="AC2418" t="s">
        <v>35230</v>
      </c>
      <c r="AD2418" t="s">
        <v>38884</v>
      </c>
      <c r="AE2418">
        <v>142</v>
      </c>
      <c r="AF2418" t="s">
        <v>20460</v>
      </c>
      <c r="AG2418" t="s">
        <v>26530</v>
      </c>
      <c r="AH2418">
        <v>9</v>
      </c>
      <c r="AI2418">
        <v>1</v>
      </c>
      <c r="AJ2418">
        <v>0</v>
      </c>
      <c r="AK2418">
        <v>63.26</v>
      </c>
      <c r="AN2418" t="s">
        <v>45581</v>
      </c>
      <c r="AO2418">
        <v>7680</v>
      </c>
      <c r="AU2418">
        <v>0.1</v>
      </c>
      <c r="AV2418" t="s">
        <v>519</v>
      </c>
      <c r="AW2418" t="s">
        <v>336</v>
      </c>
    </row>
    <row r="2419" spans="1:49">
      <c r="A2419" s="1">
        <f>HYPERLINK("https://lsnyc.legalserver.org/matter/dynamic-profile/view/1880204","18-1880204")</f>
        <v>0</v>
      </c>
      <c r="B2419" t="s">
        <v>55</v>
      </c>
      <c r="C2419" t="s">
        <v>340</v>
      </c>
      <c r="D2419" t="s">
        <v>594</v>
      </c>
      <c r="F2419" t="s">
        <v>1192</v>
      </c>
      <c r="G2419" t="s">
        <v>5103</v>
      </c>
      <c r="H2419" t="s">
        <v>11619</v>
      </c>
      <c r="I2419" t="s">
        <v>17356</v>
      </c>
      <c r="J2419" t="s">
        <v>18892</v>
      </c>
      <c r="K2419">
        <v>10459</v>
      </c>
      <c r="L2419" t="s">
        <v>18958</v>
      </c>
      <c r="M2419" t="s">
        <v>18958</v>
      </c>
      <c r="N2419" t="s">
        <v>20789</v>
      </c>
      <c r="O2419" t="s">
        <v>26523</v>
      </c>
      <c r="P2419" t="s">
        <v>26560</v>
      </c>
      <c r="R2419" t="s">
        <v>26578</v>
      </c>
      <c r="S2419" t="s">
        <v>18959</v>
      </c>
      <c r="U2419" t="s">
        <v>26604</v>
      </c>
      <c r="W2419" t="s">
        <v>594</v>
      </c>
      <c r="X2419">
        <v>350</v>
      </c>
      <c r="Y2419" t="s">
        <v>26650</v>
      </c>
      <c r="Z2419" t="s">
        <v>26664</v>
      </c>
      <c r="AB2419" t="s">
        <v>28827</v>
      </c>
      <c r="AC2419" t="s">
        <v>35231</v>
      </c>
      <c r="AD2419" t="s">
        <v>38885</v>
      </c>
      <c r="AE2419">
        <v>20</v>
      </c>
      <c r="AF2419" t="s">
        <v>45548</v>
      </c>
      <c r="AG2419" t="s">
        <v>19330</v>
      </c>
      <c r="AH2419">
        <v>24</v>
      </c>
      <c r="AI2419">
        <v>1</v>
      </c>
      <c r="AJ2419">
        <v>0</v>
      </c>
      <c r="AK2419">
        <v>16.21</v>
      </c>
      <c r="AN2419" t="s">
        <v>7439</v>
      </c>
      <c r="AO2419">
        <v>1968</v>
      </c>
      <c r="AU2419">
        <v>82.8</v>
      </c>
      <c r="AV2419" t="s">
        <v>806</v>
      </c>
      <c r="AW2419" t="s">
        <v>46870</v>
      </c>
    </row>
    <row r="2420" spans="1:49">
      <c r="A2420" s="1">
        <f>HYPERLINK("https://lsnyc.legalserver.org/matter/dynamic-profile/view/1880149","18-1880149")</f>
        <v>0</v>
      </c>
      <c r="B2420" t="s">
        <v>67</v>
      </c>
      <c r="C2420" t="s">
        <v>340</v>
      </c>
      <c r="D2420" t="s">
        <v>594</v>
      </c>
      <c r="F2420" t="s">
        <v>2252</v>
      </c>
      <c r="G2420" t="s">
        <v>6440</v>
      </c>
      <c r="H2420" t="s">
        <v>11620</v>
      </c>
      <c r="I2420" t="s">
        <v>17600</v>
      </c>
      <c r="J2420" t="s">
        <v>18892</v>
      </c>
      <c r="K2420">
        <v>10467</v>
      </c>
      <c r="L2420" t="s">
        <v>18958</v>
      </c>
      <c r="M2420" t="s">
        <v>18958</v>
      </c>
      <c r="N2420" t="s">
        <v>20790</v>
      </c>
      <c r="O2420" t="s">
        <v>26523</v>
      </c>
      <c r="P2420" t="s">
        <v>26560</v>
      </c>
      <c r="R2420" t="s">
        <v>26579</v>
      </c>
      <c r="U2420" t="s">
        <v>26604</v>
      </c>
      <c r="V2420" t="s">
        <v>26612</v>
      </c>
      <c r="W2420" t="s">
        <v>594</v>
      </c>
      <c r="X2420">
        <v>1378.9</v>
      </c>
      <c r="Y2420" t="s">
        <v>26650</v>
      </c>
      <c r="Z2420" t="s">
        <v>26664</v>
      </c>
      <c r="AB2420" t="s">
        <v>28828</v>
      </c>
      <c r="AC2420" t="s">
        <v>35232</v>
      </c>
      <c r="AD2420" t="s">
        <v>38886</v>
      </c>
      <c r="AE2420">
        <v>74</v>
      </c>
      <c r="AF2420" t="s">
        <v>45541</v>
      </c>
      <c r="AG2420" t="s">
        <v>19330</v>
      </c>
      <c r="AH2420">
        <v>8</v>
      </c>
      <c r="AI2420">
        <v>1</v>
      </c>
      <c r="AJ2420">
        <v>1</v>
      </c>
      <c r="AK2420">
        <v>0</v>
      </c>
      <c r="AN2420" t="s">
        <v>7439</v>
      </c>
      <c r="AO2420">
        <v>0</v>
      </c>
      <c r="AP2420" t="s">
        <v>45712</v>
      </c>
      <c r="AU2420">
        <v>34.9</v>
      </c>
      <c r="AV2420" t="s">
        <v>788</v>
      </c>
      <c r="AW2420" t="s">
        <v>334</v>
      </c>
    </row>
    <row r="2421" spans="1:49">
      <c r="A2421" s="1">
        <f>HYPERLINK("https://lsnyc.legalserver.org/matter/dynamic-profile/view/1880269","18-1880269")</f>
        <v>0</v>
      </c>
      <c r="B2421" t="s">
        <v>218</v>
      </c>
      <c r="C2421" t="s">
        <v>340</v>
      </c>
      <c r="D2421" t="s">
        <v>594</v>
      </c>
      <c r="F2421" t="s">
        <v>1083</v>
      </c>
      <c r="G2421" t="s">
        <v>875</v>
      </c>
      <c r="H2421" t="s">
        <v>11621</v>
      </c>
      <c r="I2421" t="s">
        <v>17301</v>
      </c>
      <c r="J2421" t="s">
        <v>18893</v>
      </c>
      <c r="K2421">
        <v>10463</v>
      </c>
      <c r="L2421" t="s">
        <v>18958</v>
      </c>
      <c r="M2421" t="s">
        <v>18958</v>
      </c>
      <c r="O2421" t="s">
        <v>26526</v>
      </c>
      <c r="P2421" t="s">
        <v>26560</v>
      </c>
      <c r="R2421" t="s">
        <v>26578</v>
      </c>
      <c r="S2421" t="s">
        <v>18958</v>
      </c>
      <c r="U2421" t="s">
        <v>26604</v>
      </c>
      <c r="W2421" t="s">
        <v>594</v>
      </c>
      <c r="X2421">
        <v>1652</v>
      </c>
      <c r="Y2421" t="s">
        <v>26651</v>
      </c>
      <c r="Z2421" t="s">
        <v>26661</v>
      </c>
      <c r="AB2421" t="s">
        <v>27797</v>
      </c>
      <c r="AE2421">
        <v>84</v>
      </c>
      <c r="AF2421" t="s">
        <v>45541</v>
      </c>
      <c r="AG2421" t="s">
        <v>19330</v>
      </c>
      <c r="AH2421">
        <v>10</v>
      </c>
      <c r="AI2421">
        <v>1</v>
      </c>
      <c r="AJ2421">
        <v>0</v>
      </c>
      <c r="AK2421">
        <v>658.98</v>
      </c>
      <c r="AN2421" t="s">
        <v>7439</v>
      </c>
      <c r="AO2421">
        <v>80000</v>
      </c>
      <c r="AU2421">
        <v>20.1</v>
      </c>
      <c r="AV2421" t="s">
        <v>822</v>
      </c>
      <c r="AW2421" t="s">
        <v>46840</v>
      </c>
    </row>
    <row r="2422" spans="1:49">
      <c r="A2422" s="1">
        <f>HYPERLINK("https://lsnyc.legalserver.org/matter/dynamic-profile/view/1880148","18-1880148")</f>
        <v>0</v>
      </c>
      <c r="B2422" t="s">
        <v>120</v>
      </c>
      <c r="C2422" t="s">
        <v>340</v>
      </c>
      <c r="D2422" t="s">
        <v>594</v>
      </c>
      <c r="F2422" t="s">
        <v>2253</v>
      </c>
      <c r="G2422" t="s">
        <v>6441</v>
      </c>
      <c r="H2422" t="s">
        <v>11622</v>
      </c>
      <c r="I2422" t="s">
        <v>17298</v>
      </c>
      <c r="J2422" t="s">
        <v>18892</v>
      </c>
      <c r="K2422">
        <v>10453</v>
      </c>
      <c r="L2422" t="s">
        <v>18958</v>
      </c>
      <c r="M2422" t="s">
        <v>18958</v>
      </c>
      <c r="N2422" t="s">
        <v>20791</v>
      </c>
      <c r="O2422" t="s">
        <v>26523</v>
      </c>
      <c r="P2422" t="s">
        <v>26560</v>
      </c>
      <c r="R2422" t="s">
        <v>26577</v>
      </c>
      <c r="S2422" t="s">
        <v>18959</v>
      </c>
      <c r="U2422" t="s">
        <v>26604</v>
      </c>
      <c r="V2422" t="s">
        <v>26614</v>
      </c>
      <c r="W2422" t="s">
        <v>594</v>
      </c>
      <c r="X2422">
        <v>1300</v>
      </c>
      <c r="Y2422" t="s">
        <v>26650</v>
      </c>
      <c r="Z2422" t="s">
        <v>26668</v>
      </c>
      <c r="AB2422" t="s">
        <v>28829</v>
      </c>
      <c r="AD2422" t="s">
        <v>38887</v>
      </c>
      <c r="AE2422">
        <v>30</v>
      </c>
      <c r="AF2422" t="s">
        <v>45541</v>
      </c>
      <c r="AG2422" t="s">
        <v>19330</v>
      </c>
      <c r="AH2422">
        <v>5</v>
      </c>
      <c r="AI2422">
        <v>1</v>
      </c>
      <c r="AJ2422">
        <v>1</v>
      </c>
      <c r="AK2422">
        <v>78.98</v>
      </c>
      <c r="AN2422" t="s">
        <v>45581</v>
      </c>
      <c r="AO2422">
        <v>13000</v>
      </c>
      <c r="AU2422">
        <v>43.6</v>
      </c>
      <c r="AV2422" t="s">
        <v>821</v>
      </c>
      <c r="AW2422" t="s">
        <v>46870</v>
      </c>
    </row>
    <row r="2423" spans="1:49">
      <c r="A2423" s="1">
        <f>HYPERLINK("https://lsnyc.legalserver.org/matter/dynamic-profile/view/1880166","18-1880166")</f>
        <v>0</v>
      </c>
      <c r="B2423" t="s">
        <v>121</v>
      </c>
      <c r="C2423" t="s">
        <v>340</v>
      </c>
      <c r="D2423" t="s">
        <v>594</v>
      </c>
      <c r="F2423" t="s">
        <v>1333</v>
      </c>
      <c r="G2423" t="s">
        <v>3138</v>
      </c>
      <c r="H2423" t="s">
        <v>11623</v>
      </c>
      <c r="I2423" t="s">
        <v>17293</v>
      </c>
      <c r="J2423" t="s">
        <v>18892</v>
      </c>
      <c r="K2423">
        <v>10458</v>
      </c>
      <c r="L2423" t="s">
        <v>18958</v>
      </c>
      <c r="M2423" t="s">
        <v>18958</v>
      </c>
      <c r="N2423" t="s">
        <v>20792</v>
      </c>
      <c r="O2423" t="s">
        <v>26523</v>
      </c>
      <c r="P2423" t="s">
        <v>26560</v>
      </c>
      <c r="R2423" t="s">
        <v>26577</v>
      </c>
      <c r="S2423" t="s">
        <v>18959</v>
      </c>
      <c r="U2423" t="s">
        <v>26604</v>
      </c>
      <c r="V2423" t="s">
        <v>26610</v>
      </c>
      <c r="W2423" t="s">
        <v>594</v>
      </c>
      <c r="X2423">
        <v>1300</v>
      </c>
      <c r="Y2423" t="s">
        <v>26650</v>
      </c>
      <c r="Z2423" t="s">
        <v>26664</v>
      </c>
      <c r="AB2423" t="s">
        <v>28247</v>
      </c>
      <c r="AC2423">
        <v>373861224</v>
      </c>
      <c r="AD2423" t="s">
        <v>38888</v>
      </c>
      <c r="AE2423">
        <v>31</v>
      </c>
      <c r="AF2423" t="s">
        <v>45541</v>
      </c>
      <c r="AG2423" t="s">
        <v>19330</v>
      </c>
      <c r="AH2423">
        <v>1</v>
      </c>
      <c r="AI2423">
        <v>1</v>
      </c>
      <c r="AJ2423">
        <v>1</v>
      </c>
      <c r="AK2423">
        <v>82.14</v>
      </c>
      <c r="AN2423" t="s">
        <v>45581</v>
      </c>
      <c r="AO2423">
        <v>13520</v>
      </c>
      <c r="AU2423">
        <v>33.1</v>
      </c>
      <c r="AV2423" t="s">
        <v>831</v>
      </c>
      <c r="AW2423" t="s">
        <v>46871</v>
      </c>
    </row>
    <row r="2424" spans="1:49">
      <c r="A2424" s="1">
        <f>HYPERLINK("https://lsnyc.legalserver.org/matter/dynamic-profile/view/1880153","18-1880153")</f>
        <v>0</v>
      </c>
      <c r="B2424" t="s">
        <v>121</v>
      </c>
      <c r="C2424" t="s">
        <v>340</v>
      </c>
      <c r="D2424" t="s">
        <v>594</v>
      </c>
      <c r="F2424" t="s">
        <v>2254</v>
      </c>
      <c r="G2424" t="s">
        <v>6333</v>
      </c>
      <c r="H2424" t="s">
        <v>11624</v>
      </c>
      <c r="I2424" t="s">
        <v>17283</v>
      </c>
      <c r="J2424" t="s">
        <v>18892</v>
      </c>
      <c r="K2424">
        <v>10467</v>
      </c>
      <c r="L2424" t="s">
        <v>18958</v>
      </c>
      <c r="M2424" t="s">
        <v>18958</v>
      </c>
      <c r="N2424" t="s">
        <v>20793</v>
      </c>
      <c r="O2424" t="s">
        <v>26523</v>
      </c>
      <c r="P2424" t="s">
        <v>26560</v>
      </c>
      <c r="R2424" t="s">
        <v>26579</v>
      </c>
      <c r="S2424" t="s">
        <v>18959</v>
      </c>
      <c r="U2424" t="s">
        <v>26604</v>
      </c>
      <c r="V2424" t="s">
        <v>26609</v>
      </c>
      <c r="W2424" t="s">
        <v>594</v>
      </c>
      <c r="X2424">
        <v>1171.66</v>
      </c>
      <c r="Y2424" t="s">
        <v>26650</v>
      </c>
      <c r="Z2424" t="s">
        <v>26664</v>
      </c>
      <c r="AB2424" t="s">
        <v>28026</v>
      </c>
      <c r="AD2424" t="s">
        <v>38889</v>
      </c>
      <c r="AE2424">
        <v>27</v>
      </c>
      <c r="AF2424" t="s">
        <v>45543</v>
      </c>
      <c r="AG2424" t="s">
        <v>45556</v>
      </c>
      <c r="AH2424">
        <v>14</v>
      </c>
      <c r="AI2424">
        <v>1</v>
      </c>
      <c r="AJ2424">
        <v>0</v>
      </c>
      <c r="AK2424">
        <v>86.98999999999999</v>
      </c>
      <c r="AN2424" t="s">
        <v>7439</v>
      </c>
      <c r="AO2424">
        <v>10560</v>
      </c>
      <c r="AU2424">
        <v>6.1</v>
      </c>
      <c r="AV2424" t="s">
        <v>416</v>
      </c>
      <c r="AW2424" t="s">
        <v>46854</v>
      </c>
    </row>
    <row r="2425" spans="1:49">
      <c r="A2425" s="1">
        <f>HYPERLINK("https://lsnyc.legalserver.org/matter/dynamic-profile/view/1880776","18-1880776")</f>
        <v>0</v>
      </c>
      <c r="B2425" t="s">
        <v>188</v>
      </c>
      <c r="C2425" t="s">
        <v>340</v>
      </c>
      <c r="D2425" t="s">
        <v>594</v>
      </c>
      <c r="F2425" t="s">
        <v>2255</v>
      </c>
      <c r="G2425" t="s">
        <v>5199</v>
      </c>
      <c r="H2425" t="s">
        <v>11625</v>
      </c>
      <c r="I2425" t="s">
        <v>17827</v>
      </c>
      <c r="J2425" t="s">
        <v>18892</v>
      </c>
      <c r="K2425">
        <v>10452</v>
      </c>
      <c r="L2425" t="s">
        <v>18958</v>
      </c>
      <c r="M2425" t="s">
        <v>18958</v>
      </c>
      <c r="O2425" t="s">
        <v>26524</v>
      </c>
      <c r="P2425" t="s">
        <v>26564</v>
      </c>
      <c r="R2425" t="s">
        <v>26578</v>
      </c>
      <c r="U2425" t="s">
        <v>26604</v>
      </c>
      <c r="W2425" t="s">
        <v>594</v>
      </c>
      <c r="X2425">
        <v>854</v>
      </c>
      <c r="Y2425" t="s">
        <v>26650</v>
      </c>
      <c r="Z2425" t="s">
        <v>26663</v>
      </c>
      <c r="AB2425" t="s">
        <v>28830</v>
      </c>
      <c r="AD2425" t="s">
        <v>38890</v>
      </c>
      <c r="AE2425">
        <v>44</v>
      </c>
      <c r="AF2425" t="s">
        <v>20460</v>
      </c>
      <c r="AG2425" t="s">
        <v>45559</v>
      </c>
      <c r="AH2425">
        <v>42</v>
      </c>
      <c r="AI2425">
        <v>2</v>
      </c>
      <c r="AJ2425">
        <v>0</v>
      </c>
      <c r="AK2425">
        <v>180.29</v>
      </c>
      <c r="AN2425" t="s">
        <v>45581</v>
      </c>
      <c r="AO2425">
        <v>29676</v>
      </c>
      <c r="AU2425">
        <v>92.5</v>
      </c>
      <c r="AV2425" t="s">
        <v>836</v>
      </c>
      <c r="AW2425" t="s">
        <v>336</v>
      </c>
    </row>
    <row r="2426" spans="1:49">
      <c r="A2426" s="1">
        <f>HYPERLINK("https://lsnyc.legalserver.org/matter/dynamic-profile/view/1881553","18-1881553")</f>
        <v>0</v>
      </c>
      <c r="B2426" t="s">
        <v>95</v>
      </c>
      <c r="C2426" t="s">
        <v>341</v>
      </c>
      <c r="D2426" t="s">
        <v>624</v>
      </c>
      <c r="E2426" t="s">
        <v>758</v>
      </c>
      <c r="F2426" t="s">
        <v>1092</v>
      </c>
      <c r="G2426" t="s">
        <v>6442</v>
      </c>
      <c r="H2426" t="s">
        <v>11062</v>
      </c>
      <c r="I2426" t="s">
        <v>17410</v>
      </c>
      <c r="J2426" t="s">
        <v>18894</v>
      </c>
      <c r="K2426">
        <v>11213</v>
      </c>
      <c r="L2426" t="s">
        <v>18958</v>
      </c>
      <c r="M2426" t="s">
        <v>18958</v>
      </c>
      <c r="N2426" t="s">
        <v>18997</v>
      </c>
      <c r="O2426" t="s">
        <v>18997</v>
      </c>
      <c r="P2426" t="s">
        <v>26564</v>
      </c>
      <c r="Q2426" t="s">
        <v>26570</v>
      </c>
      <c r="R2426" t="s">
        <v>26578</v>
      </c>
      <c r="S2426" t="s">
        <v>18958</v>
      </c>
      <c r="U2426" t="s">
        <v>26604</v>
      </c>
      <c r="V2426" t="s">
        <v>26610</v>
      </c>
      <c r="W2426" t="s">
        <v>594</v>
      </c>
      <c r="X2426">
        <v>794</v>
      </c>
      <c r="Y2426" t="s">
        <v>26652</v>
      </c>
      <c r="Z2426" t="s">
        <v>26663</v>
      </c>
      <c r="AA2426" t="s">
        <v>26683</v>
      </c>
      <c r="AB2426" t="s">
        <v>28831</v>
      </c>
      <c r="AC2426" t="s">
        <v>19330</v>
      </c>
      <c r="AD2426" t="s">
        <v>38891</v>
      </c>
      <c r="AE2426">
        <v>35</v>
      </c>
      <c r="AF2426" t="s">
        <v>45541</v>
      </c>
      <c r="AG2426" t="s">
        <v>19330</v>
      </c>
      <c r="AH2426">
        <v>20</v>
      </c>
      <c r="AI2426">
        <v>2</v>
      </c>
      <c r="AJ2426">
        <v>2</v>
      </c>
      <c r="AK2426">
        <v>454.18</v>
      </c>
      <c r="AM2426" t="s">
        <v>45575</v>
      </c>
      <c r="AN2426" t="s">
        <v>7439</v>
      </c>
      <c r="AO2426">
        <v>114000</v>
      </c>
      <c r="AP2426" t="s">
        <v>45635</v>
      </c>
      <c r="AU2426">
        <v>1.5</v>
      </c>
      <c r="AV2426" t="s">
        <v>518</v>
      </c>
      <c r="AW2426" t="s">
        <v>279</v>
      </c>
    </row>
    <row r="2427" spans="1:49">
      <c r="A2427" s="1">
        <f>HYPERLINK("https://lsnyc.legalserver.org/matter/dynamic-profile/view/1881489","18-1881489")</f>
        <v>0</v>
      </c>
      <c r="B2427" t="s">
        <v>134</v>
      </c>
      <c r="C2427" t="s">
        <v>340</v>
      </c>
      <c r="D2427" t="s">
        <v>624</v>
      </c>
      <c r="F2427" t="s">
        <v>887</v>
      </c>
      <c r="G2427" t="s">
        <v>6443</v>
      </c>
      <c r="H2427" t="s">
        <v>10439</v>
      </c>
      <c r="I2427" t="s">
        <v>17273</v>
      </c>
      <c r="J2427" t="s">
        <v>18894</v>
      </c>
      <c r="K2427">
        <v>11216</v>
      </c>
      <c r="L2427" t="s">
        <v>18958</v>
      </c>
      <c r="M2427" t="s">
        <v>18958</v>
      </c>
      <c r="N2427" t="s">
        <v>19776</v>
      </c>
      <c r="O2427" t="s">
        <v>26528</v>
      </c>
      <c r="P2427" t="s">
        <v>26560</v>
      </c>
      <c r="R2427" t="s">
        <v>26578</v>
      </c>
      <c r="S2427" t="s">
        <v>18958</v>
      </c>
      <c r="U2427" t="s">
        <v>26604</v>
      </c>
      <c r="V2427" t="s">
        <v>26610</v>
      </c>
      <c r="W2427" t="s">
        <v>594</v>
      </c>
      <c r="X2427">
        <v>1650</v>
      </c>
      <c r="Y2427" t="s">
        <v>26652</v>
      </c>
      <c r="Z2427" t="s">
        <v>26667</v>
      </c>
      <c r="AB2427" t="s">
        <v>28832</v>
      </c>
      <c r="AC2427" t="s">
        <v>19045</v>
      </c>
      <c r="AD2427" t="s">
        <v>38892</v>
      </c>
      <c r="AE2427">
        <v>8</v>
      </c>
      <c r="AF2427" t="s">
        <v>45541</v>
      </c>
      <c r="AG2427" t="s">
        <v>19330</v>
      </c>
      <c r="AH2427">
        <v>1</v>
      </c>
      <c r="AI2427">
        <v>1</v>
      </c>
      <c r="AJ2427">
        <v>0</v>
      </c>
      <c r="AK2427">
        <v>82.37</v>
      </c>
      <c r="AN2427" t="s">
        <v>7439</v>
      </c>
      <c r="AO2427">
        <v>9999.959999999999</v>
      </c>
      <c r="AP2427" t="s">
        <v>45635</v>
      </c>
      <c r="AU2427">
        <v>0</v>
      </c>
      <c r="AW2427" t="s">
        <v>279</v>
      </c>
    </row>
    <row r="2428" spans="1:49">
      <c r="A2428" s="1">
        <f>HYPERLINK("https://lsnyc.legalserver.org/matter/dynamic-profile/view/1881486","18-1881486")</f>
        <v>0</v>
      </c>
      <c r="B2428" t="s">
        <v>134</v>
      </c>
      <c r="C2428" t="s">
        <v>340</v>
      </c>
      <c r="D2428" t="s">
        <v>624</v>
      </c>
      <c r="F2428" t="s">
        <v>887</v>
      </c>
      <c r="G2428" t="s">
        <v>6443</v>
      </c>
      <c r="H2428" t="s">
        <v>10439</v>
      </c>
      <c r="I2428" t="s">
        <v>17273</v>
      </c>
      <c r="J2428" t="s">
        <v>18894</v>
      </c>
      <c r="K2428">
        <v>11216</v>
      </c>
      <c r="L2428" t="s">
        <v>18958</v>
      </c>
      <c r="M2428" t="s">
        <v>18958</v>
      </c>
      <c r="N2428" t="s">
        <v>18997</v>
      </c>
      <c r="O2428" t="s">
        <v>18997</v>
      </c>
      <c r="P2428" t="s">
        <v>26565</v>
      </c>
      <c r="R2428" t="s">
        <v>26578</v>
      </c>
      <c r="S2428" t="s">
        <v>18958</v>
      </c>
      <c r="U2428" t="s">
        <v>26604</v>
      </c>
      <c r="V2428" t="s">
        <v>26610</v>
      </c>
      <c r="W2428" t="s">
        <v>594</v>
      </c>
      <c r="X2428">
        <v>1650</v>
      </c>
      <c r="Y2428" t="s">
        <v>26652</v>
      </c>
      <c r="Z2428" t="s">
        <v>26667</v>
      </c>
      <c r="AB2428" t="s">
        <v>28832</v>
      </c>
      <c r="AC2428" t="s">
        <v>19330</v>
      </c>
      <c r="AD2428" t="s">
        <v>38892</v>
      </c>
      <c r="AE2428">
        <v>8</v>
      </c>
      <c r="AF2428" t="s">
        <v>45541</v>
      </c>
      <c r="AG2428" t="s">
        <v>19330</v>
      </c>
      <c r="AH2428">
        <v>1</v>
      </c>
      <c r="AI2428">
        <v>1</v>
      </c>
      <c r="AJ2428">
        <v>0</v>
      </c>
      <c r="AK2428">
        <v>82.37</v>
      </c>
      <c r="AM2428" t="s">
        <v>45580</v>
      </c>
      <c r="AN2428" t="s">
        <v>7439</v>
      </c>
      <c r="AO2428">
        <v>9999.959999999999</v>
      </c>
      <c r="AP2428" t="s">
        <v>45635</v>
      </c>
      <c r="AU2428">
        <v>0</v>
      </c>
      <c r="AW2428" t="s">
        <v>279</v>
      </c>
    </row>
    <row r="2429" spans="1:49">
      <c r="A2429" s="1">
        <f>HYPERLINK("https://lsnyc.legalserver.org/matter/dynamic-profile/view/0817152","16-0817152")</f>
        <v>0</v>
      </c>
      <c r="B2429" t="s">
        <v>121</v>
      </c>
      <c r="C2429" t="s">
        <v>340</v>
      </c>
      <c r="D2429" t="s">
        <v>625</v>
      </c>
      <c r="F2429" t="s">
        <v>2256</v>
      </c>
      <c r="G2429" t="s">
        <v>5147</v>
      </c>
      <c r="H2429" t="s">
        <v>11626</v>
      </c>
      <c r="I2429" t="s">
        <v>17361</v>
      </c>
      <c r="J2429" t="s">
        <v>18892</v>
      </c>
      <c r="K2429">
        <v>10456</v>
      </c>
      <c r="L2429" t="s">
        <v>18958</v>
      </c>
      <c r="M2429" t="s">
        <v>18960</v>
      </c>
      <c r="N2429" t="s">
        <v>20794</v>
      </c>
      <c r="O2429" t="s">
        <v>26524</v>
      </c>
      <c r="P2429" t="s">
        <v>26560</v>
      </c>
      <c r="R2429" t="s">
        <v>26577</v>
      </c>
      <c r="U2429" t="s">
        <v>26604</v>
      </c>
      <c r="V2429" t="s">
        <v>26611</v>
      </c>
      <c r="W2429" t="s">
        <v>614</v>
      </c>
      <c r="X2429">
        <v>1006</v>
      </c>
      <c r="Y2429" t="s">
        <v>26650</v>
      </c>
      <c r="Z2429" t="s">
        <v>26656</v>
      </c>
      <c r="AB2429" t="s">
        <v>28833</v>
      </c>
      <c r="AD2429" t="s">
        <v>38893</v>
      </c>
      <c r="AE2429">
        <v>0</v>
      </c>
      <c r="AF2429" t="s">
        <v>45543</v>
      </c>
      <c r="AG2429" t="s">
        <v>45556</v>
      </c>
      <c r="AH2429">
        <v>3</v>
      </c>
      <c r="AI2429">
        <v>2</v>
      </c>
      <c r="AJ2429">
        <v>0</v>
      </c>
      <c r="AK2429">
        <v>174.96</v>
      </c>
      <c r="AN2429" t="s">
        <v>7439</v>
      </c>
      <c r="AO2429">
        <v>28028</v>
      </c>
      <c r="AP2429" t="s">
        <v>45617</v>
      </c>
      <c r="AU2429">
        <v>181</v>
      </c>
      <c r="AV2429" t="s">
        <v>822</v>
      </c>
      <c r="AW2429" t="s">
        <v>46837</v>
      </c>
    </row>
    <row r="2430" spans="1:49">
      <c r="A2430" s="1">
        <f>HYPERLINK("https://lsnyc.legalserver.org/matter/dynamic-profile/view/1848529","17-1848529")</f>
        <v>0</v>
      </c>
      <c r="B2430" t="s">
        <v>68</v>
      </c>
      <c r="C2430" t="s">
        <v>341</v>
      </c>
      <c r="D2430" t="s">
        <v>626</v>
      </c>
      <c r="E2430" t="s">
        <v>763</v>
      </c>
      <c r="F2430" t="s">
        <v>1602</v>
      </c>
      <c r="G2430" t="s">
        <v>5199</v>
      </c>
      <c r="H2430" t="s">
        <v>11627</v>
      </c>
      <c r="I2430" t="s">
        <v>17828</v>
      </c>
      <c r="J2430" t="s">
        <v>18892</v>
      </c>
      <c r="K2430">
        <v>10457</v>
      </c>
      <c r="L2430" t="s">
        <v>18958</v>
      </c>
      <c r="M2430" t="s">
        <v>18960</v>
      </c>
      <c r="N2430" t="s">
        <v>20795</v>
      </c>
      <c r="O2430" t="s">
        <v>26523</v>
      </c>
      <c r="P2430" t="s">
        <v>26560</v>
      </c>
      <c r="Q2430" t="s">
        <v>26568</v>
      </c>
      <c r="R2430" t="s">
        <v>26579</v>
      </c>
      <c r="S2430" t="s">
        <v>18959</v>
      </c>
      <c r="U2430" t="s">
        <v>26604</v>
      </c>
      <c r="V2430" t="s">
        <v>26609</v>
      </c>
      <c r="W2430" t="s">
        <v>614</v>
      </c>
      <c r="X2430">
        <v>1956</v>
      </c>
      <c r="Y2430" t="s">
        <v>26650</v>
      </c>
      <c r="Z2430" t="s">
        <v>26662</v>
      </c>
      <c r="AA2430" t="s">
        <v>26678</v>
      </c>
      <c r="AB2430" t="s">
        <v>28834</v>
      </c>
      <c r="AC2430" t="s">
        <v>35233</v>
      </c>
      <c r="AD2430" t="s">
        <v>38894</v>
      </c>
      <c r="AE2430">
        <v>24</v>
      </c>
      <c r="AF2430" t="s">
        <v>20460</v>
      </c>
      <c r="AG2430" t="s">
        <v>45558</v>
      </c>
      <c r="AH2430">
        <v>1</v>
      </c>
      <c r="AI2430">
        <v>2</v>
      </c>
      <c r="AJ2430">
        <v>5</v>
      </c>
      <c r="AK2430">
        <v>26.2</v>
      </c>
      <c r="AN2430" t="s">
        <v>7439</v>
      </c>
      <c r="AO2430">
        <v>9732</v>
      </c>
      <c r="AP2430" t="s">
        <v>45621</v>
      </c>
      <c r="AQ2430" t="s">
        <v>46358</v>
      </c>
      <c r="AR2430" t="s">
        <v>46429</v>
      </c>
      <c r="AS2430" t="s">
        <v>46499</v>
      </c>
      <c r="AT2430" t="s">
        <v>46504</v>
      </c>
      <c r="AU2430">
        <v>105.4</v>
      </c>
      <c r="AV2430" t="s">
        <v>517</v>
      </c>
      <c r="AW2430" t="s">
        <v>46848</v>
      </c>
    </row>
    <row r="2431" spans="1:49">
      <c r="A2431" s="1">
        <f>HYPERLINK("https://lsnyc.legalserver.org/matter/dynamic-profile/view/1875643","18-1875643")</f>
        <v>0</v>
      </c>
      <c r="B2431" t="s">
        <v>243</v>
      </c>
      <c r="C2431" t="s">
        <v>341</v>
      </c>
      <c r="D2431" t="s">
        <v>521</v>
      </c>
      <c r="E2431" t="s">
        <v>697</v>
      </c>
      <c r="F2431" t="s">
        <v>1592</v>
      </c>
      <c r="G2431" t="s">
        <v>6444</v>
      </c>
      <c r="H2431" t="s">
        <v>11628</v>
      </c>
      <c r="I2431" t="s">
        <v>17390</v>
      </c>
      <c r="J2431" t="s">
        <v>18894</v>
      </c>
      <c r="K2431">
        <v>11231</v>
      </c>
      <c r="L2431" t="s">
        <v>18958</v>
      </c>
      <c r="M2431" t="s">
        <v>18958</v>
      </c>
      <c r="O2431" t="s">
        <v>26523</v>
      </c>
      <c r="P2431" t="s">
        <v>26560</v>
      </c>
      <c r="Q2431" t="s">
        <v>26574</v>
      </c>
      <c r="R2431" t="s">
        <v>26586</v>
      </c>
      <c r="U2431" t="s">
        <v>26606</v>
      </c>
      <c r="W2431" t="s">
        <v>614</v>
      </c>
      <c r="X2431">
        <v>0</v>
      </c>
      <c r="Y2431" t="s">
        <v>26652</v>
      </c>
      <c r="AA2431" t="s">
        <v>26680</v>
      </c>
      <c r="AB2431" t="s">
        <v>28835</v>
      </c>
      <c r="AD2431" t="s">
        <v>38895</v>
      </c>
      <c r="AE2431">
        <v>0</v>
      </c>
      <c r="AH2431">
        <v>0</v>
      </c>
      <c r="AI2431">
        <v>1</v>
      </c>
      <c r="AJ2431">
        <v>0</v>
      </c>
      <c r="AK2431">
        <v>81.45</v>
      </c>
      <c r="AN2431" t="s">
        <v>7439</v>
      </c>
      <c r="AO2431">
        <v>9888</v>
      </c>
      <c r="AP2431" t="s">
        <v>45669</v>
      </c>
      <c r="AQ2431" t="s">
        <v>46359</v>
      </c>
      <c r="AS2431" t="s">
        <v>46499</v>
      </c>
      <c r="AT2431" t="s">
        <v>46555</v>
      </c>
      <c r="AU2431">
        <v>8.65</v>
      </c>
      <c r="AV2431" t="s">
        <v>451</v>
      </c>
      <c r="AW2431" t="s">
        <v>198</v>
      </c>
    </row>
    <row r="2432" spans="1:49">
      <c r="A2432" s="1">
        <f>HYPERLINK("https://lsnyc.legalserver.org/matter/dynamic-profile/view/1875936","18-1875936")</f>
        <v>0</v>
      </c>
      <c r="B2432" t="s">
        <v>199</v>
      </c>
      <c r="C2432" t="s">
        <v>340</v>
      </c>
      <c r="D2432" t="s">
        <v>511</v>
      </c>
      <c r="F2432" t="s">
        <v>2056</v>
      </c>
      <c r="G2432" t="s">
        <v>6234</v>
      </c>
      <c r="H2432" t="s">
        <v>11171</v>
      </c>
      <c r="I2432" t="s">
        <v>17759</v>
      </c>
      <c r="J2432" t="s">
        <v>18894</v>
      </c>
      <c r="K2432">
        <v>11226</v>
      </c>
      <c r="L2432" t="s">
        <v>18958</v>
      </c>
      <c r="M2432" t="s">
        <v>18958</v>
      </c>
      <c r="N2432" t="s">
        <v>20796</v>
      </c>
      <c r="O2432" t="s">
        <v>26526</v>
      </c>
      <c r="P2432" t="s">
        <v>26560</v>
      </c>
      <c r="R2432" t="s">
        <v>26578</v>
      </c>
      <c r="S2432" t="s">
        <v>18958</v>
      </c>
      <c r="U2432" t="s">
        <v>26604</v>
      </c>
      <c r="V2432" t="s">
        <v>26610</v>
      </c>
      <c r="W2432" t="s">
        <v>614</v>
      </c>
      <c r="X2432">
        <v>1031.15</v>
      </c>
      <c r="Y2432" t="s">
        <v>26652</v>
      </c>
      <c r="Z2432" t="s">
        <v>26663</v>
      </c>
      <c r="AB2432" t="s">
        <v>28488</v>
      </c>
      <c r="AD2432" t="s">
        <v>38546</v>
      </c>
      <c r="AE2432">
        <v>55</v>
      </c>
      <c r="AF2432" t="s">
        <v>45541</v>
      </c>
      <c r="AH2432">
        <v>28</v>
      </c>
      <c r="AI2432">
        <v>2</v>
      </c>
      <c r="AJ2432">
        <v>2</v>
      </c>
      <c r="AK2432">
        <v>0</v>
      </c>
      <c r="AN2432" t="s">
        <v>7439</v>
      </c>
      <c r="AO2432">
        <v>0</v>
      </c>
      <c r="AQ2432" t="s">
        <v>46374</v>
      </c>
      <c r="AR2432" t="s">
        <v>46464</v>
      </c>
      <c r="AS2432" t="s">
        <v>46499</v>
      </c>
      <c r="AU2432">
        <v>227.25</v>
      </c>
      <c r="AV2432" t="s">
        <v>773</v>
      </c>
      <c r="AW2432" t="s">
        <v>199</v>
      </c>
    </row>
    <row r="2433" spans="1:49">
      <c r="A2433" s="1">
        <f>HYPERLINK("https://lsnyc.legalserver.org/matter/dynamic-profile/view/1878056","18-1878056")</f>
        <v>0</v>
      </c>
      <c r="B2433" t="s">
        <v>243</v>
      </c>
      <c r="C2433" t="s">
        <v>341</v>
      </c>
      <c r="D2433" t="s">
        <v>534</v>
      </c>
      <c r="E2433" t="s">
        <v>697</v>
      </c>
      <c r="F2433" t="s">
        <v>1024</v>
      </c>
      <c r="G2433" t="s">
        <v>5664</v>
      </c>
      <c r="H2433" t="s">
        <v>11629</v>
      </c>
      <c r="I2433" t="s">
        <v>17829</v>
      </c>
      <c r="J2433" t="s">
        <v>18894</v>
      </c>
      <c r="K2433">
        <v>11225</v>
      </c>
      <c r="L2433" t="s">
        <v>18958</v>
      </c>
      <c r="M2433" t="s">
        <v>18960</v>
      </c>
      <c r="N2433" t="s">
        <v>20797</v>
      </c>
      <c r="O2433" t="s">
        <v>26524</v>
      </c>
      <c r="P2433" t="s">
        <v>26560</v>
      </c>
      <c r="Q2433" t="s">
        <v>26568</v>
      </c>
      <c r="R2433" t="s">
        <v>26588</v>
      </c>
      <c r="U2433" t="s">
        <v>26604</v>
      </c>
      <c r="W2433" t="s">
        <v>614</v>
      </c>
      <c r="X2433">
        <v>800</v>
      </c>
      <c r="Y2433" t="s">
        <v>26652</v>
      </c>
      <c r="Z2433" t="s">
        <v>26669</v>
      </c>
      <c r="AA2433" t="s">
        <v>26678</v>
      </c>
      <c r="AB2433" t="s">
        <v>28836</v>
      </c>
      <c r="AD2433" t="s">
        <v>38896</v>
      </c>
      <c r="AE2433">
        <v>0</v>
      </c>
      <c r="AG2433" t="s">
        <v>19330</v>
      </c>
      <c r="AH2433">
        <v>12</v>
      </c>
      <c r="AI2433">
        <v>2</v>
      </c>
      <c r="AJ2433">
        <v>3</v>
      </c>
      <c r="AK2433">
        <v>159.43</v>
      </c>
      <c r="AN2433" t="s">
        <v>7439</v>
      </c>
      <c r="AO2433">
        <v>46904</v>
      </c>
      <c r="AQ2433" t="s">
        <v>46359</v>
      </c>
      <c r="AR2433" t="s">
        <v>46379</v>
      </c>
      <c r="AS2433" t="s">
        <v>46499</v>
      </c>
      <c r="AT2433" t="s">
        <v>46559</v>
      </c>
      <c r="AU2433">
        <v>5.6</v>
      </c>
      <c r="AV2433" t="s">
        <v>624</v>
      </c>
      <c r="AW2433" t="s">
        <v>46853</v>
      </c>
    </row>
    <row r="2434" spans="1:49">
      <c r="A2434" s="1">
        <f>HYPERLINK("https://lsnyc.legalserver.org/matter/dynamic-profile/view/1879069","18-1879069")</f>
        <v>0</v>
      </c>
      <c r="B2434" t="s">
        <v>243</v>
      </c>
      <c r="C2434" t="s">
        <v>340</v>
      </c>
      <c r="D2434" t="s">
        <v>540</v>
      </c>
      <c r="F2434" t="s">
        <v>948</v>
      </c>
      <c r="G2434" t="s">
        <v>6381</v>
      </c>
      <c r="H2434" t="s">
        <v>11532</v>
      </c>
      <c r="I2434" t="s">
        <v>17307</v>
      </c>
      <c r="J2434" t="s">
        <v>18894</v>
      </c>
      <c r="K2434">
        <v>11225</v>
      </c>
      <c r="L2434" t="s">
        <v>18958</v>
      </c>
      <c r="M2434" t="s">
        <v>18960</v>
      </c>
      <c r="O2434" t="s">
        <v>26526</v>
      </c>
      <c r="P2434" t="s">
        <v>26560</v>
      </c>
      <c r="R2434" t="s">
        <v>26586</v>
      </c>
      <c r="U2434" t="s">
        <v>26604</v>
      </c>
      <c r="W2434" t="s">
        <v>614</v>
      </c>
      <c r="X2434">
        <v>1108.02</v>
      </c>
      <c r="Y2434" t="s">
        <v>26652</v>
      </c>
      <c r="Z2434" t="s">
        <v>26667</v>
      </c>
      <c r="AB2434" t="s">
        <v>28737</v>
      </c>
      <c r="AD2434" t="s">
        <v>38792</v>
      </c>
      <c r="AE2434">
        <v>0</v>
      </c>
      <c r="AG2434" t="s">
        <v>45556</v>
      </c>
      <c r="AH2434">
        <v>13</v>
      </c>
      <c r="AI2434">
        <v>1</v>
      </c>
      <c r="AJ2434">
        <v>0</v>
      </c>
      <c r="AK2434">
        <v>14.09</v>
      </c>
      <c r="AN2434" t="s">
        <v>7439</v>
      </c>
      <c r="AO2434">
        <v>1710.72</v>
      </c>
      <c r="AU2434">
        <v>27.75</v>
      </c>
      <c r="AV2434" t="s">
        <v>693</v>
      </c>
      <c r="AW2434" t="s">
        <v>46853</v>
      </c>
    </row>
    <row r="2435" spans="1:49">
      <c r="A2435" s="1">
        <f>HYPERLINK("https://lsnyc.legalserver.org/matter/dynamic-profile/view/1879972","18-1879972")</f>
        <v>0</v>
      </c>
      <c r="B2435" t="s">
        <v>209</v>
      </c>
      <c r="C2435" t="s">
        <v>341</v>
      </c>
      <c r="D2435" t="s">
        <v>412</v>
      </c>
      <c r="E2435" t="s">
        <v>614</v>
      </c>
      <c r="F2435" t="s">
        <v>1406</v>
      </c>
      <c r="G2435" t="s">
        <v>6445</v>
      </c>
      <c r="H2435" t="s">
        <v>11630</v>
      </c>
      <c r="I2435" t="s">
        <v>17331</v>
      </c>
      <c r="J2435" t="s">
        <v>18913</v>
      </c>
      <c r="K2435">
        <v>11101</v>
      </c>
      <c r="L2435" t="s">
        <v>18958</v>
      </c>
      <c r="M2435" t="s">
        <v>18958</v>
      </c>
      <c r="N2435" t="s">
        <v>19037</v>
      </c>
      <c r="O2435" t="s">
        <v>18997</v>
      </c>
      <c r="P2435" t="s">
        <v>26564</v>
      </c>
      <c r="Q2435" t="s">
        <v>26570</v>
      </c>
      <c r="R2435" t="s">
        <v>26589</v>
      </c>
      <c r="S2435" t="s">
        <v>18959</v>
      </c>
      <c r="U2435" t="s">
        <v>26604</v>
      </c>
      <c r="V2435" t="s">
        <v>26610</v>
      </c>
      <c r="W2435" t="s">
        <v>614</v>
      </c>
      <c r="X2435">
        <v>0</v>
      </c>
      <c r="Y2435" t="s">
        <v>26653</v>
      </c>
      <c r="Z2435" t="s">
        <v>26671</v>
      </c>
      <c r="AA2435" t="s">
        <v>26683</v>
      </c>
      <c r="AB2435" t="s">
        <v>28837</v>
      </c>
      <c r="AD2435" t="s">
        <v>38897</v>
      </c>
      <c r="AE2435">
        <v>7</v>
      </c>
      <c r="AF2435" t="s">
        <v>20460</v>
      </c>
      <c r="AG2435" t="s">
        <v>19330</v>
      </c>
      <c r="AH2435">
        <v>2</v>
      </c>
      <c r="AI2435">
        <v>1</v>
      </c>
      <c r="AJ2435">
        <v>0</v>
      </c>
      <c r="AK2435">
        <v>75.81999999999999</v>
      </c>
      <c r="AL2435" t="s">
        <v>45567</v>
      </c>
      <c r="AM2435" t="s">
        <v>45577</v>
      </c>
      <c r="AN2435" t="s">
        <v>7439</v>
      </c>
      <c r="AO2435">
        <v>9204</v>
      </c>
      <c r="AU2435">
        <v>4.07</v>
      </c>
      <c r="AV2435" t="s">
        <v>670</v>
      </c>
      <c r="AW2435" t="s">
        <v>208</v>
      </c>
    </row>
    <row r="2436" spans="1:49">
      <c r="A2436" s="1">
        <f>HYPERLINK("https://lsnyc.legalserver.org/matter/dynamic-profile/view/1880297","18-1880297")</f>
        <v>0</v>
      </c>
      <c r="B2436" t="s">
        <v>145</v>
      </c>
      <c r="C2436" t="s">
        <v>341</v>
      </c>
      <c r="D2436" t="s">
        <v>614</v>
      </c>
      <c r="E2436" t="s">
        <v>755</v>
      </c>
      <c r="F2436" t="s">
        <v>2257</v>
      </c>
      <c r="G2436" t="s">
        <v>6446</v>
      </c>
      <c r="H2436" t="s">
        <v>11631</v>
      </c>
      <c r="J2436" t="s">
        <v>18902</v>
      </c>
      <c r="K2436">
        <v>10302</v>
      </c>
      <c r="L2436" t="s">
        <v>18958</v>
      </c>
      <c r="M2436" t="s">
        <v>18958</v>
      </c>
      <c r="N2436" t="s">
        <v>20798</v>
      </c>
      <c r="O2436" t="s">
        <v>26524</v>
      </c>
      <c r="P2436" t="s">
        <v>26560</v>
      </c>
      <c r="Q2436" t="s">
        <v>26568</v>
      </c>
      <c r="R2436" t="s">
        <v>26590</v>
      </c>
      <c r="S2436" t="s">
        <v>18959</v>
      </c>
      <c r="U2436" t="s">
        <v>26604</v>
      </c>
      <c r="V2436" t="s">
        <v>26610</v>
      </c>
      <c r="W2436" t="s">
        <v>614</v>
      </c>
      <c r="X2436">
        <v>1650</v>
      </c>
      <c r="Y2436" t="s">
        <v>26654</v>
      </c>
      <c r="Z2436" t="s">
        <v>26668</v>
      </c>
      <c r="AA2436" t="s">
        <v>26678</v>
      </c>
      <c r="AB2436" t="s">
        <v>28838</v>
      </c>
      <c r="AD2436" t="s">
        <v>38898</v>
      </c>
      <c r="AE2436">
        <v>2</v>
      </c>
      <c r="AF2436" t="s">
        <v>45547</v>
      </c>
      <c r="AG2436" t="s">
        <v>19330</v>
      </c>
      <c r="AH2436">
        <v>8</v>
      </c>
      <c r="AI2436">
        <v>2</v>
      </c>
      <c r="AJ2436">
        <v>2</v>
      </c>
      <c r="AK2436">
        <v>29.63</v>
      </c>
      <c r="AO2436">
        <v>7436</v>
      </c>
      <c r="AS2436" t="s">
        <v>46499</v>
      </c>
      <c r="AT2436" t="s">
        <v>46679</v>
      </c>
      <c r="AU2436">
        <v>5.2</v>
      </c>
      <c r="AV2436" t="s">
        <v>731</v>
      </c>
      <c r="AW2436" t="s">
        <v>190</v>
      </c>
    </row>
    <row r="2437" spans="1:49">
      <c r="A2437" s="1">
        <f>HYPERLINK("https://lsnyc.legalserver.org/matter/dynamic-profile/view/1880344","18-1880344")</f>
        <v>0</v>
      </c>
      <c r="B2437" t="s">
        <v>131</v>
      </c>
      <c r="C2437" t="s">
        <v>341</v>
      </c>
      <c r="D2437" t="s">
        <v>614</v>
      </c>
      <c r="E2437" t="s">
        <v>833</v>
      </c>
      <c r="F2437" t="s">
        <v>1935</v>
      </c>
      <c r="G2437" t="s">
        <v>6102</v>
      </c>
      <c r="H2437" t="s">
        <v>11072</v>
      </c>
      <c r="I2437">
        <v>1</v>
      </c>
      <c r="J2437" t="s">
        <v>18902</v>
      </c>
      <c r="K2437">
        <v>10301</v>
      </c>
      <c r="L2437" t="s">
        <v>18958</v>
      </c>
      <c r="M2437" t="s">
        <v>18959</v>
      </c>
      <c r="N2437" t="s">
        <v>20799</v>
      </c>
      <c r="O2437" t="s">
        <v>26524</v>
      </c>
      <c r="P2437" t="s">
        <v>26560</v>
      </c>
      <c r="Q2437" t="s">
        <v>26568</v>
      </c>
      <c r="R2437" t="s">
        <v>26578</v>
      </c>
      <c r="S2437" t="s">
        <v>18959</v>
      </c>
      <c r="U2437" t="s">
        <v>26604</v>
      </c>
      <c r="V2437" t="s">
        <v>26610</v>
      </c>
      <c r="W2437" t="s">
        <v>614</v>
      </c>
      <c r="X2437">
        <v>1243.56</v>
      </c>
      <c r="Y2437" t="s">
        <v>26654</v>
      </c>
      <c r="Z2437" t="s">
        <v>26659</v>
      </c>
      <c r="AA2437" t="s">
        <v>26679</v>
      </c>
      <c r="AB2437" t="s">
        <v>28839</v>
      </c>
      <c r="AD2437" t="s">
        <v>38301</v>
      </c>
      <c r="AE2437">
        <v>2</v>
      </c>
      <c r="AF2437" t="s">
        <v>45547</v>
      </c>
      <c r="AG2437" t="s">
        <v>45556</v>
      </c>
      <c r="AH2437">
        <v>6</v>
      </c>
      <c r="AI2437">
        <v>1</v>
      </c>
      <c r="AJ2437">
        <v>0</v>
      </c>
      <c r="AK2437">
        <v>72.45</v>
      </c>
      <c r="AN2437" t="s">
        <v>7439</v>
      </c>
      <c r="AO2437">
        <v>8796</v>
      </c>
      <c r="AQ2437" t="s">
        <v>46362</v>
      </c>
      <c r="AU2437">
        <v>12.7</v>
      </c>
      <c r="AV2437" t="s">
        <v>833</v>
      </c>
      <c r="AW2437" t="s">
        <v>316</v>
      </c>
    </row>
    <row r="2438" spans="1:49">
      <c r="A2438" s="1">
        <f>HYPERLINK("https://lsnyc.legalserver.org/matter/dynamic-profile/view/1880319","18-1880319")</f>
        <v>0</v>
      </c>
      <c r="B2438" t="s">
        <v>153</v>
      </c>
      <c r="C2438" t="s">
        <v>341</v>
      </c>
      <c r="D2438" t="s">
        <v>614</v>
      </c>
      <c r="E2438" t="s">
        <v>806</v>
      </c>
      <c r="F2438" t="s">
        <v>1292</v>
      </c>
      <c r="G2438" t="s">
        <v>6447</v>
      </c>
      <c r="H2438" t="s">
        <v>11632</v>
      </c>
      <c r="I2438" t="s">
        <v>17830</v>
      </c>
      <c r="J2438" t="s">
        <v>18902</v>
      </c>
      <c r="K2438">
        <v>10314</v>
      </c>
      <c r="L2438" t="s">
        <v>18958</v>
      </c>
      <c r="M2438" t="s">
        <v>18958</v>
      </c>
      <c r="N2438" t="s">
        <v>20800</v>
      </c>
      <c r="O2438" t="s">
        <v>26523</v>
      </c>
      <c r="P2438" t="s">
        <v>26560</v>
      </c>
      <c r="Q2438" t="s">
        <v>26568</v>
      </c>
      <c r="R2438" t="s">
        <v>26590</v>
      </c>
      <c r="S2438" t="s">
        <v>18959</v>
      </c>
      <c r="U2438" t="s">
        <v>26604</v>
      </c>
      <c r="V2438" t="s">
        <v>26610</v>
      </c>
      <c r="W2438" t="s">
        <v>614</v>
      </c>
      <c r="X2438">
        <v>900</v>
      </c>
      <c r="Y2438" t="s">
        <v>26654</v>
      </c>
      <c r="Z2438" t="s">
        <v>26668</v>
      </c>
      <c r="AA2438" t="s">
        <v>26678</v>
      </c>
      <c r="AB2438" t="s">
        <v>28840</v>
      </c>
      <c r="AD2438" t="s">
        <v>38899</v>
      </c>
      <c r="AE2438">
        <v>1</v>
      </c>
      <c r="AF2438" t="s">
        <v>45547</v>
      </c>
      <c r="AG2438" t="s">
        <v>19330</v>
      </c>
      <c r="AH2438">
        <v>1</v>
      </c>
      <c r="AI2438">
        <v>1</v>
      </c>
      <c r="AJ2438">
        <v>1</v>
      </c>
      <c r="AK2438">
        <v>110.1</v>
      </c>
      <c r="AO2438">
        <v>18122</v>
      </c>
      <c r="AS2438" t="s">
        <v>46499</v>
      </c>
      <c r="AU2438">
        <v>8.699999999999999</v>
      </c>
      <c r="AV2438" t="s">
        <v>823</v>
      </c>
      <c r="AW2438" t="s">
        <v>190</v>
      </c>
    </row>
    <row r="2439" spans="1:49">
      <c r="A2439" s="1">
        <f>HYPERLINK("https://lsnyc.legalserver.org/matter/dynamic-profile/view/1880127","18-1880127")</f>
        <v>0</v>
      </c>
      <c r="B2439" t="s">
        <v>200</v>
      </c>
      <c r="C2439" t="s">
        <v>341</v>
      </c>
      <c r="D2439" t="s">
        <v>614</v>
      </c>
      <c r="E2439" t="s">
        <v>641</v>
      </c>
      <c r="F2439" t="s">
        <v>1342</v>
      </c>
      <c r="G2439" t="s">
        <v>6448</v>
      </c>
      <c r="H2439" t="s">
        <v>11633</v>
      </c>
      <c r="I2439" t="s">
        <v>17416</v>
      </c>
      <c r="J2439" t="s">
        <v>18894</v>
      </c>
      <c r="K2439">
        <v>11208</v>
      </c>
      <c r="L2439" t="s">
        <v>18958</v>
      </c>
      <c r="M2439" t="s">
        <v>18958</v>
      </c>
      <c r="N2439" t="s">
        <v>20801</v>
      </c>
      <c r="O2439" t="s">
        <v>26523</v>
      </c>
      <c r="P2439" t="s">
        <v>26564</v>
      </c>
      <c r="Q2439" t="s">
        <v>26570</v>
      </c>
      <c r="R2439" t="s">
        <v>26578</v>
      </c>
      <c r="S2439" t="s">
        <v>18959</v>
      </c>
      <c r="U2439" t="s">
        <v>26604</v>
      </c>
      <c r="V2439" t="s">
        <v>26611</v>
      </c>
      <c r="W2439" t="s">
        <v>614</v>
      </c>
      <c r="X2439">
        <v>1700</v>
      </c>
      <c r="Y2439" t="s">
        <v>26652</v>
      </c>
      <c r="Z2439" t="s">
        <v>26664</v>
      </c>
      <c r="AA2439" t="s">
        <v>26683</v>
      </c>
      <c r="AB2439" t="s">
        <v>28841</v>
      </c>
      <c r="AD2439" t="s">
        <v>38900</v>
      </c>
      <c r="AE2439">
        <v>0</v>
      </c>
      <c r="AG2439" t="s">
        <v>19330</v>
      </c>
      <c r="AH2439">
        <v>4</v>
      </c>
      <c r="AI2439">
        <v>2</v>
      </c>
      <c r="AJ2439">
        <v>3</v>
      </c>
      <c r="AK2439">
        <v>150</v>
      </c>
      <c r="AN2439" t="s">
        <v>45581</v>
      </c>
      <c r="AO2439">
        <v>44129.28</v>
      </c>
      <c r="AU2439">
        <v>3.1</v>
      </c>
      <c r="AV2439" t="s">
        <v>641</v>
      </c>
      <c r="AW2439" t="s">
        <v>46862</v>
      </c>
    </row>
    <row r="2440" spans="1:49">
      <c r="A2440" s="1">
        <f>HYPERLINK("https://lsnyc.legalserver.org/matter/dynamic-profile/view/1880328","18-1880328")</f>
        <v>0</v>
      </c>
      <c r="B2440" t="s">
        <v>122</v>
      </c>
      <c r="C2440" t="s">
        <v>341</v>
      </c>
      <c r="D2440" t="s">
        <v>614</v>
      </c>
      <c r="E2440" t="s">
        <v>614</v>
      </c>
      <c r="F2440" t="s">
        <v>1599</v>
      </c>
      <c r="G2440" t="s">
        <v>6449</v>
      </c>
      <c r="H2440" t="s">
        <v>11634</v>
      </c>
      <c r="I2440">
        <v>2</v>
      </c>
      <c r="J2440" t="s">
        <v>18920</v>
      </c>
      <c r="K2440">
        <v>11369</v>
      </c>
      <c r="L2440" t="s">
        <v>18958</v>
      </c>
      <c r="M2440" t="s">
        <v>18958</v>
      </c>
      <c r="N2440" t="s">
        <v>20802</v>
      </c>
      <c r="O2440" t="s">
        <v>26523</v>
      </c>
      <c r="P2440" t="s">
        <v>26564</v>
      </c>
      <c r="Q2440" t="s">
        <v>26570</v>
      </c>
      <c r="R2440" t="s">
        <v>26584</v>
      </c>
      <c r="S2440" t="s">
        <v>26598</v>
      </c>
      <c r="U2440" t="s">
        <v>26604</v>
      </c>
      <c r="W2440" t="s">
        <v>614</v>
      </c>
      <c r="X2440">
        <v>1900</v>
      </c>
      <c r="Y2440" t="s">
        <v>26653</v>
      </c>
      <c r="Z2440" t="s">
        <v>26664</v>
      </c>
      <c r="AA2440" t="s">
        <v>26683</v>
      </c>
      <c r="AB2440" t="s">
        <v>28842</v>
      </c>
      <c r="AD2440" t="s">
        <v>38901</v>
      </c>
      <c r="AE2440">
        <v>2</v>
      </c>
      <c r="AG2440" t="s">
        <v>19330</v>
      </c>
      <c r="AH2440">
        <v>12</v>
      </c>
      <c r="AI2440">
        <v>3</v>
      </c>
      <c r="AJ2440">
        <v>2</v>
      </c>
      <c r="AK2440">
        <v>107.76</v>
      </c>
      <c r="AN2440" t="s">
        <v>7439</v>
      </c>
      <c r="AO2440">
        <v>31704</v>
      </c>
      <c r="AU2440">
        <v>1</v>
      </c>
      <c r="AV2440" t="s">
        <v>614</v>
      </c>
      <c r="AW2440" t="s">
        <v>122</v>
      </c>
    </row>
    <row r="2441" spans="1:49">
      <c r="A2441" s="1">
        <f>HYPERLINK("https://lsnyc.legalserver.org/matter/dynamic-profile/view/1880323","18-1880323")</f>
        <v>0</v>
      </c>
      <c r="B2441" t="s">
        <v>198</v>
      </c>
      <c r="C2441" t="s">
        <v>341</v>
      </c>
      <c r="D2441" t="s">
        <v>614</v>
      </c>
      <c r="E2441" t="s">
        <v>687</v>
      </c>
      <c r="F2441" t="s">
        <v>1397</v>
      </c>
      <c r="G2441" t="s">
        <v>6450</v>
      </c>
      <c r="H2441" t="s">
        <v>11635</v>
      </c>
      <c r="I2441" t="s">
        <v>17288</v>
      </c>
      <c r="J2441" t="s">
        <v>18894</v>
      </c>
      <c r="K2441">
        <v>11217</v>
      </c>
      <c r="L2441" t="s">
        <v>18959</v>
      </c>
      <c r="M2441" t="s">
        <v>18959</v>
      </c>
      <c r="P2441" t="s">
        <v>26564</v>
      </c>
      <c r="Q2441" t="s">
        <v>26570</v>
      </c>
      <c r="R2441" t="s">
        <v>26578</v>
      </c>
      <c r="U2441" t="s">
        <v>26604</v>
      </c>
      <c r="W2441" t="s">
        <v>614</v>
      </c>
      <c r="X2441">
        <v>1489</v>
      </c>
      <c r="Y2441" t="s">
        <v>26652</v>
      </c>
      <c r="AA2441" t="s">
        <v>26683</v>
      </c>
      <c r="AB2441" t="s">
        <v>28843</v>
      </c>
      <c r="AD2441" t="s">
        <v>38902</v>
      </c>
      <c r="AE2441">
        <v>212</v>
      </c>
      <c r="AH2441">
        <v>5</v>
      </c>
      <c r="AI2441">
        <v>1</v>
      </c>
      <c r="AJ2441">
        <v>0</v>
      </c>
      <c r="AK2441">
        <v>168.04</v>
      </c>
      <c r="AN2441" t="s">
        <v>7439</v>
      </c>
      <c r="AO2441">
        <v>20400</v>
      </c>
      <c r="AU2441">
        <v>3.7</v>
      </c>
      <c r="AV2441" t="s">
        <v>687</v>
      </c>
      <c r="AW2441" t="s">
        <v>198</v>
      </c>
    </row>
    <row r="2442" spans="1:49">
      <c r="A2442" s="1">
        <f>HYPERLINK("https://lsnyc.legalserver.org/matter/dynamic-profile/view/1880349","18-1880349")</f>
        <v>0</v>
      </c>
      <c r="B2442" t="s">
        <v>54</v>
      </c>
      <c r="C2442" t="s">
        <v>341</v>
      </c>
      <c r="D2442" t="s">
        <v>614</v>
      </c>
      <c r="E2442" t="s">
        <v>767</v>
      </c>
      <c r="F2442" t="s">
        <v>2258</v>
      </c>
      <c r="G2442" t="s">
        <v>5008</v>
      </c>
      <c r="H2442" t="s">
        <v>11636</v>
      </c>
      <c r="I2442">
        <v>4</v>
      </c>
      <c r="J2442" t="s">
        <v>18892</v>
      </c>
      <c r="K2442">
        <v>10457</v>
      </c>
      <c r="L2442" t="s">
        <v>18958</v>
      </c>
      <c r="M2442" t="s">
        <v>18958</v>
      </c>
      <c r="N2442" t="s">
        <v>20803</v>
      </c>
      <c r="O2442" t="s">
        <v>26523</v>
      </c>
      <c r="P2442" t="s">
        <v>26560</v>
      </c>
      <c r="Q2442" t="s">
        <v>26568</v>
      </c>
      <c r="R2442" t="s">
        <v>26579</v>
      </c>
      <c r="S2442" t="s">
        <v>18959</v>
      </c>
      <c r="U2442" t="s">
        <v>26604</v>
      </c>
      <c r="V2442" t="s">
        <v>26610</v>
      </c>
      <c r="W2442" t="s">
        <v>614</v>
      </c>
      <c r="X2442">
        <v>1630</v>
      </c>
      <c r="Y2442" t="s">
        <v>26650</v>
      </c>
      <c r="Z2442" t="s">
        <v>26659</v>
      </c>
      <c r="AA2442" t="s">
        <v>26678</v>
      </c>
      <c r="AB2442" t="s">
        <v>28844</v>
      </c>
      <c r="AC2442" t="s">
        <v>35234</v>
      </c>
      <c r="AD2442" t="s">
        <v>38903</v>
      </c>
      <c r="AE2442">
        <v>8</v>
      </c>
      <c r="AF2442" t="s">
        <v>45541</v>
      </c>
      <c r="AG2442" t="s">
        <v>45556</v>
      </c>
      <c r="AH2442">
        <v>12</v>
      </c>
      <c r="AI2442">
        <v>4</v>
      </c>
      <c r="AJ2442">
        <v>0</v>
      </c>
      <c r="AK2442">
        <v>106.04</v>
      </c>
      <c r="AN2442" t="s">
        <v>7439</v>
      </c>
      <c r="AO2442">
        <v>26616</v>
      </c>
      <c r="AQ2442" t="s">
        <v>46362</v>
      </c>
      <c r="AR2442" t="s">
        <v>46380</v>
      </c>
      <c r="AS2442" t="s">
        <v>46499</v>
      </c>
      <c r="AT2442" t="s">
        <v>46560</v>
      </c>
      <c r="AU2442">
        <v>6</v>
      </c>
      <c r="AV2442" t="s">
        <v>767</v>
      </c>
      <c r="AW2442" t="s">
        <v>46832</v>
      </c>
    </row>
    <row r="2443" spans="1:49">
      <c r="A2443" s="1">
        <f>HYPERLINK("https://lsnyc.legalserver.org/matter/dynamic-profile/view/1880280","18-1880280")</f>
        <v>0</v>
      </c>
      <c r="B2443" t="s">
        <v>80</v>
      </c>
      <c r="C2443" t="s">
        <v>341</v>
      </c>
      <c r="D2443" t="s">
        <v>614</v>
      </c>
      <c r="E2443" t="s">
        <v>632</v>
      </c>
      <c r="F2443" t="s">
        <v>2259</v>
      </c>
      <c r="G2443" t="s">
        <v>1056</v>
      </c>
      <c r="H2443" t="s">
        <v>11637</v>
      </c>
      <c r="I2443">
        <v>12</v>
      </c>
      <c r="J2443" t="s">
        <v>18893</v>
      </c>
      <c r="K2443">
        <v>10030</v>
      </c>
      <c r="L2443" t="s">
        <v>18958</v>
      </c>
      <c r="M2443" t="s">
        <v>18958</v>
      </c>
      <c r="N2443" t="s">
        <v>20804</v>
      </c>
      <c r="O2443" t="s">
        <v>26523</v>
      </c>
      <c r="P2443" t="s">
        <v>26564</v>
      </c>
      <c r="Q2443" t="s">
        <v>26570</v>
      </c>
      <c r="R2443" t="s">
        <v>26582</v>
      </c>
      <c r="S2443" t="s">
        <v>18959</v>
      </c>
      <c r="U2443" t="s">
        <v>26604</v>
      </c>
      <c r="V2443" t="s">
        <v>26610</v>
      </c>
      <c r="W2443" t="s">
        <v>614</v>
      </c>
      <c r="X2443">
        <v>725</v>
      </c>
      <c r="Y2443" t="s">
        <v>26651</v>
      </c>
      <c r="Z2443" t="s">
        <v>26661</v>
      </c>
      <c r="AA2443" t="s">
        <v>26683</v>
      </c>
      <c r="AB2443" t="s">
        <v>28845</v>
      </c>
      <c r="AD2443" t="s">
        <v>38904</v>
      </c>
      <c r="AE2443">
        <v>21</v>
      </c>
      <c r="AF2443" t="s">
        <v>45541</v>
      </c>
      <c r="AG2443" t="s">
        <v>45559</v>
      </c>
      <c r="AH2443">
        <v>46</v>
      </c>
      <c r="AI2443">
        <v>1</v>
      </c>
      <c r="AJ2443">
        <v>0</v>
      </c>
      <c r="AK2443">
        <v>84.02</v>
      </c>
      <c r="AN2443" t="s">
        <v>7439</v>
      </c>
      <c r="AO2443">
        <v>10200</v>
      </c>
      <c r="AU2443">
        <v>1.4</v>
      </c>
      <c r="AV2443" t="s">
        <v>614</v>
      </c>
      <c r="AW2443" t="s">
        <v>46835</v>
      </c>
    </row>
    <row r="2444" spans="1:49">
      <c r="A2444" s="1">
        <f>HYPERLINK("https://lsnyc.legalserver.org/matter/dynamic-profile/view/1880278","18-1880278")</f>
        <v>0</v>
      </c>
      <c r="B2444" t="s">
        <v>125</v>
      </c>
      <c r="C2444" t="s">
        <v>341</v>
      </c>
      <c r="D2444" t="s">
        <v>614</v>
      </c>
      <c r="E2444" t="s">
        <v>697</v>
      </c>
      <c r="F2444" t="s">
        <v>2260</v>
      </c>
      <c r="G2444" t="s">
        <v>989</v>
      </c>
      <c r="H2444" t="s">
        <v>11638</v>
      </c>
      <c r="I2444">
        <v>1</v>
      </c>
      <c r="J2444" t="s">
        <v>18894</v>
      </c>
      <c r="K2444">
        <v>11207</v>
      </c>
      <c r="L2444" t="s">
        <v>18958</v>
      </c>
      <c r="M2444" t="s">
        <v>18958</v>
      </c>
      <c r="N2444" t="s">
        <v>20805</v>
      </c>
      <c r="O2444" t="s">
        <v>26524</v>
      </c>
      <c r="P2444" t="s">
        <v>26564</v>
      </c>
      <c r="Q2444" t="s">
        <v>26570</v>
      </c>
      <c r="R2444" t="s">
        <v>26578</v>
      </c>
      <c r="U2444" t="s">
        <v>26604</v>
      </c>
      <c r="W2444" t="s">
        <v>614</v>
      </c>
      <c r="X2444">
        <v>750</v>
      </c>
      <c r="Y2444" t="s">
        <v>26652</v>
      </c>
      <c r="Z2444" t="s">
        <v>26664</v>
      </c>
      <c r="AA2444" t="s">
        <v>26683</v>
      </c>
      <c r="AB2444" t="s">
        <v>28302</v>
      </c>
      <c r="AC2444" t="s">
        <v>35235</v>
      </c>
      <c r="AD2444" t="s">
        <v>38905</v>
      </c>
      <c r="AE2444">
        <v>2</v>
      </c>
      <c r="AF2444" t="s">
        <v>45547</v>
      </c>
      <c r="AG2444" t="s">
        <v>26530</v>
      </c>
      <c r="AH2444">
        <v>2</v>
      </c>
      <c r="AI2444">
        <v>1</v>
      </c>
      <c r="AJ2444">
        <v>1</v>
      </c>
      <c r="AK2444">
        <v>191.06</v>
      </c>
      <c r="AN2444" t="s">
        <v>7439</v>
      </c>
      <c r="AO2444">
        <v>31449</v>
      </c>
      <c r="AU2444">
        <v>1.25</v>
      </c>
      <c r="AV2444" t="s">
        <v>632</v>
      </c>
      <c r="AW2444" t="s">
        <v>281</v>
      </c>
    </row>
    <row r="2445" spans="1:49">
      <c r="A2445" s="1">
        <f>HYPERLINK("https://lsnyc.legalserver.org/matter/dynamic-profile/view/1880340","18-1880340")</f>
        <v>0</v>
      </c>
      <c r="B2445" t="s">
        <v>149</v>
      </c>
      <c r="C2445" t="s">
        <v>340</v>
      </c>
      <c r="D2445" t="s">
        <v>614</v>
      </c>
      <c r="F2445" t="s">
        <v>1755</v>
      </c>
      <c r="G2445" t="s">
        <v>5948</v>
      </c>
      <c r="H2445" t="s">
        <v>10815</v>
      </c>
      <c r="J2445" t="s">
        <v>18892</v>
      </c>
      <c r="K2445">
        <v>10453</v>
      </c>
      <c r="L2445" t="s">
        <v>18958</v>
      </c>
      <c r="M2445" t="s">
        <v>18958</v>
      </c>
      <c r="O2445" t="s">
        <v>26536</v>
      </c>
      <c r="P2445" t="s">
        <v>26562</v>
      </c>
      <c r="R2445" t="s">
        <v>26578</v>
      </c>
      <c r="S2445" t="s">
        <v>18959</v>
      </c>
      <c r="U2445" t="s">
        <v>26606</v>
      </c>
      <c r="W2445" t="s">
        <v>614</v>
      </c>
      <c r="X2445">
        <v>1931</v>
      </c>
      <c r="Y2445" t="s">
        <v>26650</v>
      </c>
      <c r="Z2445" t="s">
        <v>26659</v>
      </c>
      <c r="AB2445" t="s">
        <v>27973</v>
      </c>
      <c r="AC2445" t="s">
        <v>34931</v>
      </c>
      <c r="AD2445" t="s">
        <v>38023</v>
      </c>
      <c r="AE2445">
        <v>1654</v>
      </c>
      <c r="AF2445" t="s">
        <v>45541</v>
      </c>
      <c r="AG2445" t="s">
        <v>45556</v>
      </c>
      <c r="AH2445">
        <v>7</v>
      </c>
      <c r="AI2445">
        <v>3</v>
      </c>
      <c r="AJ2445">
        <v>3</v>
      </c>
      <c r="AK2445">
        <v>0</v>
      </c>
      <c r="AN2445" t="s">
        <v>7439</v>
      </c>
      <c r="AO2445">
        <v>0</v>
      </c>
      <c r="AU2445">
        <v>2.25</v>
      </c>
      <c r="AV2445" t="s">
        <v>770</v>
      </c>
      <c r="AW2445" t="s">
        <v>336</v>
      </c>
    </row>
    <row r="2446" spans="1:49">
      <c r="A2446" s="1">
        <f>HYPERLINK("https://lsnyc.legalserver.org/matter/dynamic-profile/view/1880333","18-1880333")</f>
        <v>0</v>
      </c>
      <c r="B2446" t="s">
        <v>97</v>
      </c>
      <c r="C2446" t="s">
        <v>340</v>
      </c>
      <c r="D2446" t="s">
        <v>614</v>
      </c>
      <c r="F2446" t="s">
        <v>1211</v>
      </c>
      <c r="G2446" t="s">
        <v>5008</v>
      </c>
      <c r="H2446" t="s">
        <v>11639</v>
      </c>
      <c r="I2446" t="s">
        <v>17272</v>
      </c>
      <c r="J2446" t="s">
        <v>18892</v>
      </c>
      <c r="K2446">
        <v>10454</v>
      </c>
      <c r="L2446" t="s">
        <v>18958</v>
      </c>
      <c r="M2446" t="s">
        <v>18958</v>
      </c>
      <c r="O2446" t="s">
        <v>26537</v>
      </c>
      <c r="P2446" t="s">
        <v>26562</v>
      </c>
      <c r="R2446" t="s">
        <v>26578</v>
      </c>
      <c r="S2446" t="s">
        <v>18959</v>
      </c>
      <c r="U2446" t="s">
        <v>26606</v>
      </c>
      <c r="V2446" t="s">
        <v>26611</v>
      </c>
      <c r="W2446" t="s">
        <v>614</v>
      </c>
      <c r="X2446">
        <v>1900</v>
      </c>
      <c r="Y2446" t="s">
        <v>26650</v>
      </c>
      <c r="Z2446" t="s">
        <v>26659</v>
      </c>
      <c r="AB2446" t="s">
        <v>28846</v>
      </c>
      <c r="AC2446">
        <v>35493636</v>
      </c>
      <c r="AD2446" t="s">
        <v>38906</v>
      </c>
      <c r="AE2446">
        <v>173</v>
      </c>
      <c r="AF2446" t="s">
        <v>45541</v>
      </c>
      <c r="AG2446" t="s">
        <v>45556</v>
      </c>
      <c r="AH2446">
        <v>4</v>
      </c>
      <c r="AI2446">
        <v>1</v>
      </c>
      <c r="AJ2446">
        <v>6</v>
      </c>
      <c r="AK2446">
        <v>58.74</v>
      </c>
      <c r="AN2446" t="s">
        <v>7439</v>
      </c>
      <c r="AO2446">
        <v>22356</v>
      </c>
      <c r="AU2446">
        <v>0.25</v>
      </c>
      <c r="AV2446" t="s">
        <v>427</v>
      </c>
      <c r="AW2446" t="s">
        <v>336</v>
      </c>
    </row>
    <row r="2447" spans="1:49">
      <c r="A2447" s="1">
        <f>HYPERLINK("https://lsnyc.legalserver.org/matter/dynamic-profile/view/1880327","18-1880327")</f>
        <v>0</v>
      </c>
      <c r="B2447" t="s">
        <v>97</v>
      </c>
      <c r="C2447" t="s">
        <v>340</v>
      </c>
      <c r="D2447" t="s">
        <v>614</v>
      </c>
      <c r="F2447" t="s">
        <v>1211</v>
      </c>
      <c r="G2447" t="s">
        <v>5008</v>
      </c>
      <c r="H2447" t="s">
        <v>11639</v>
      </c>
      <c r="I2447" t="s">
        <v>17272</v>
      </c>
      <c r="J2447" t="s">
        <v>18892</v>
      </c>
      <c r="K2447">
        <v>10454</v>
      </c>
      <c r="L2447" t="s">
        <v>18958</v>
      </c>
      <c r="M2447" t="s">
        <v>18958</v>
      </c>
      <c r="N2447" t="s">
        <v>20806</v>
      </c>
      <c r="O2447" t="s">
        <v>26523</v>
      </c>
      <c r="P2447" t="s">
        <v>26560</v>
      </c>
      <c r="R2447" t="s">
        <v>26577</v>
      </c>
      <c r="S2447" t="s">
        <v>18959</v>
      </c>
      <c r="U2447" t="s">
        <v>26604</v>
      </c>
      <c r="V2447" t="s">
        <v>26611</v>
      </c>
      <c r="W2447" t="s">
        <v>614</v>
      </c>
      <c r="X2447">
        <v>1900</v>
      </c>
      <c r="Y2447" t="s">
        <v>26650</v>
      </c>
      <c r="Z2447" t="s">
        <v>26659</v>
      </c>
      <c r="AB2447" t="s">
        <v>28846</v>
      </c>
      <c r="AC2447">
        <v>35493636</v>
      </c>
      <c r="AD2447" t="s">
        <v>38906</v>
      </c>
      <c r="AE2447">
        <v>173</v>
      </c>
      <c r="AF2447" t="s">
        <v>45541</v>
      </c>
      <c r="AG2447" t="s">
        <v>45556</v>
      </c>
      <c r="AH2447">
        <v>4</v>
      </c>
      <c r="AI2447">
        <v>1</v>
      </c>
      <c r="AJ2447">
        <v>6</v>
      </c>
      <c r="AK2447">
        <v>58.75</v>
      </c>
      <c r="AN2447" t="s">
        <v>7439</v>
      </c>
      <c r="AO2447">
        <v>22359.96</v>
      </c>
      <c r="AU2447">
        <v>37.8</v>
      </c>
      <c r="AV2447" t="s">
        <v>836</v>
      </c>
      <c r="AW2447" t="s">
        <v>336</v>
      </c>
    </row>
    <row r="2448" spans="1:49">
      <c r="A2448" s="1">
        <f>HYPERLINK("https://lsnyc.legalserver.org/matter/dynamic-profile/view/1880305","18-1880305")</f>
        <v>0</v>
      </c>
      <c r="B2448" t="s">
        <v>117</v>
      </c>
      <c r="C2448" t="s">
        <v>340</v>
      </c>
      <c r="D2448" t="s">
        <v>614</v>
      </c>
      <c r="F2448" t="s">
        <v>2228</v>
      </c>
      <c r="G2448" t="s">
        <v>6451</v>
      </c>
      <c r="H2448" t="s">
        <v>11640</v>
      </c>
      <c r="I2448" t="s">
        <v>17283</v>
      </c>
      <c r="J2448" t="s">
        <v>18894</v>
      </c>
      <c r="K2448">
        <v>11233</v>
      </c>
      <c r="L2448" t="s">
        <v>18958</v>
      </c>
      <c r="M2448" t="s">
        <v>18958</v>
      </c>
      <c r="N2448" t="s">
        <v>20807</v>
      </c>
      <c r="O2448" t="s">
        <v>26524</v>
      </c>
      <c r="P2448" t="s">
        <v>26560</v>
      </c>
      <c r="R2448" t="s">
        <v>26578</v>
      </c>
      <c r="S2448" t="s">
        <v>18959</v>
      </c>
      <c r="U2448" t="s">
        <v>26604</v>
      </c>
      <c r="V2448" t="s">
        <v>26610</v>
      </c>
      <c r="W2448" t="s">
        <v>614</v>
      </c>
      <c r="X2448">
        <v>0</v>
      </c>
      <c r="Y2448" t="s">
        <v>26652</v>
      </c>
      <c r="Z2448" t="s">
        <v>26664</v>
      </c>
      <c r="AB2448" t="s">
        <v>28847</v>
      </c>
      <c r="AD2448" t="s">
        <v>38907</v>
      </c>
      <c r="AE2448">
        <v>30</v>
      </c>
      <c r="AF2448" t="s">
        <v>45541</v>
      </c>
      <c r="AG2448" t="s">
        <v>45556</v>
      </c>
      <c r="AH2448">
        <v>6</v>
      </c>
      <c r="AI2448">
        <v>2</v>
      </c>
      <c r="AJ2448">
        <v>0</v>
      </c>
      <c r="AK2448">
        <v>133.29</v>
      </c>
      <c r="AN2448" t="s">
        <v>7439</v>
      </c>
      <c r="AO2448">
        <v>21939.36</v>
      </c>
      <c r="AU2448">
        <v>67.3</v>
      </c>
      <c r="AV2448" t="s">
        <v>826</v>
      </c>
      <c r="AW2448" t="s">
        <v>281</v>
      </c>
    </row>
    <row r="2449" spans="1:50">
      <c r="A2449" s="1">
        <f>HYPERLINK("https://lsnyc.legalserver.org/matter/dynamic-profile/view/1880265","18-1880265")</f>
        <v>0</v>
      </c>
      <c r="B2449" t="s">
        <v>66</v>
      </c>
      <c r="C2449" t="s">
        <v>340</v>
      </c>
      <c r="D2449" t="s">
        <v>614</v>
      </c>
      <c r="F2449" t="s">
        <v>1377</v>
      </c>
      <c r="G2449" t="s">
        <v>4753</v>
      </c>
      <c r="H2449" t="s">
        <v>11641</v>
      </c>
      <c r="I2449">
        <v>22</v>
      </c>
      <c r="J2449" t="s">
        <v>18893</v>
      </c>
      <c r="K2449">
        <v>10026</v>
      </c>
      <c r="L2449" t="s">
        <v>18958</v>
      </c>
      <c r="M2449" t="s">
        <v>18958</v>
      </c>
      <c r="N2449" t="s">
        <v>20808</v>
      </c>
      <c r="O2449" t="s">
        <v>26523</v>
      </c>
      <c r="P2449" t="s">
        <v>26560</v>
      </c>
      <c r="R2449" t="s">
        <v>26580</v>
      </c>
      <c r="S2449" t="s">
        <v>18959</v>
      </c>
      <c r="U2449" t="s">
        <v>26604</v>
      </c>
      <c r="V2449" t="s">
        <v>26610</v>
      </c>
      <c r="W2449" t="s">
        <v>614</v>
      </c>
      <c r="X2449">
        <v>1500</v>
      </c>
      <c r="Y2449" t="s">
        <v>26651</v>
      </c>
      <c r="Z2449" t="s">
        <v>26664</v>
      </c>
      <c r="AB2449" t="s">
        <v>28848</v>
      </c>
      <c r="AD2449" t="s">
        <v>38908</v>
      </c>
      <c r="AE2449">
        <v>0</v>
      </c>
      <c r="AF2449" t="s">
        <v>45544</v>
      </c>
      <c r="AG2449" t="s">
        <v>45556</v>
      </c>
      <c r="AH2449">
        <v>0</v>
      </c>
      <c r="AI2449">
        <v>2</v>
      </c>
      <c r="AJ2449">
        <v>1</v>
      </c>
      <c r="AK2449">
        <v>40.13</v>
      </c>
      <c r="AN2449" t="s">
        <v>7439</v>
      </c>
      <c r="AO2449">
        <v>8340</v>
      </c>
      <c r="AU2449">
        <v>27</v>
      </c>
      <c r="AV2449" t="s">
        <v>729</v>
      </c>
      <c r="AW2449" t="s">
        <v>314</v>
      </c>
    </row>
    <row r="2450" spans="1:50">
      <c r="A2450" s="1">
        <f>HYPERLINK("https://lsnyc.legalserver.org/matter/dynamic-profile/view/1880307","18-1880307")</f>
        <v>0</v>
      </c>
      <c r="B2450" t="s">
        <v>84</v>
      </c>
      <c r="C2450" t="s">
        <v>340</v>
      </c>
      <c r="D2450" t="s">
        <v>614</v>
      </c>
      <c r="F2450" t="s">
        <v>2261</v>
      </c>
      <c r="G2450" t="s">
        <v>6452</v>
      </c>
      <c r="H2450" t="s">
        <v>11642</v>
      </c>
      <c r="I2450" t="s">
        <v>17347</v>
      </c>
      <c r="J2450" t="s">
        <v>18893</v>
      </c>
      <c r="K2450">
        <v>10030</v>
      </c>
      <c r="L2450" t="s">
        <v>18958</v>
      </c>
      <c r="M2450" t="s">
        <v>18958</v>
      </c>
      <c r="N2450" t="s">
        <v>20809</v>
      </c>
      <c r="O2450" t="s">
        <v>26523</v>
      </c>
      <c r="P2450" t="s">
        <v>26560</v>
      </c>
      <c r="R2450" t="s">
        <v>26582</v>
      </c>
      <c r="S2450" t="s">
        <v>18959</v>
      </c>
      <c r="U2450" t="s">
        <v>26604</v>
      </c>
      <c r="V2450" t="s">
        <v>26610</v>
      </c>
      <c r="W2450" t="s">
        <v>614</v>
      </c>
      <c r="X2450">
        <v>1026</v>
      </c>
      <c r="Y2450" t="s">
        <v>26651</v>
      </c>
      <c r="Z2450" t="s">
        <v>26661</v>
      </c>
      <c r="AB2450" t="s">
        <v>28849</v>
      </c>
      <c r="AD2450" t="s">
        <v>38909</v>
      </c>
      <c r="AE2450">
        <v>27</v>
      </c>
      <c r="AF2450" t="s">
        <v>45541</v>
      </c>
      <c r="AG2450" t="s">
        <v>26530</v>
      </c>
      <c r="AH2450">
        <v>6</v>
      </c>
      <c r="AI2450">
        <v>1</v>
      </c>
      <c r="AJ2450">
        <v>0</v>
      </c>
      <c r="AK2450">
        <v>40.26</v>
      </c>
      <c r="AN2450" t="s">
        <v>7439</v>
      </c>
      <c r="AO2450">
        <v>4888</v>
      </c>
      <c r="AU2450">
        <v>22.38</v>
      </c>
      <c r="AV2450" t="s">
        <v>772</v>
      </c>
      <c r="AW2450" t="s">
        <v>314</v>
      </c>
    </row>
    <row r="2451" spans="1:50">
      <c r="A2451" s="1">
        <f>HYPERLINK("https://lsnyc.legalserver.org/matter/dynamic-profile/view/1880310","18-1880310")</f>
        <v>0</v>
      </c>
      <c r="B2451" t="s">
        <v>84</v>
      </c>
      <c r="C2451" t="s">
        <v>340</v>
      </c>
      <c r="D2451" t="s">
        <v>614</v>
      </c>
      <c r="F2451" t="s">
        <v>1523</v>
      </c>
      <c r="G2451" t="s">
        <v>6453</v>
      </c>
      <c r="H2451" t="s">
        <v>11643</v>
      </c>
      <c r="I2451" t="s">
        <v>17276</v>
      </c>
      <c r="J2451" t="s">
        <v>18893</v>
      </c>
      <c r="K2451">
        <v>10037</v>
      </c>
      <c r="L2451" t="s">
        <v>18958</v>
      </c>
      <c r="M2451" t="s">
        <v>18958</v>
      </c>
      <c r="N2451" t="s">
        <v>20810</v>
      </c>
      <c r="O2451" t="s">
        <v>26524</v>
      </c>
      <c r="P2451" t="s">
        <v>26564</v>
      </c>
      <c r="R2451" t="s">
        <v>26582</v>
      </c>
      <c r="S2451" t="s">
        <v>18959</v>
      </c>
      <c r="U2451" t="s">
        <v>26604</v>
      </c>
      <c r="V2451" t="s">
        <v>26614</v>
      </c>
      <c r="W2451" t="s">
        <v>614</v>
      </c>
      <c r="X2451">
        <v>940</v>
      </c>
      <c r="Y2451" t="s">
        <v>26651</v>
      </c>
      <c r="Z2451" t="s">
        <v>26661</v>
      </c>
      <c r="AB2451" t="s">
        <v>28850</v>
      </c>
      <c r="AD2451" t="s">
        <v>38910</v>
      </c>
      <c r="AE2451">
        <v>108</v>
      </c>
      <c r="AF2451" t="s">
        <v>45541</v>
      </c>
      <c r="AG2451" t="s">
        <v>45556</v>
      </c>
      <c r="AH2451">
        <v>18</v>
      </c>
      <c r="AI2451">
        <v>1</v>
      </c>
      <c r="AJ2451">
        <v>0</v>
      </c>
      <c r="AK2451">
        <v>85.01000000000001</v>
      </c>
      <c r="AN2451" t="s">
        <v>7439</v>
      </c>
      <c r="AO2451">
        <v>10320</v>
      </c>
      <c r="AU2451">
        <v>0.2</v>
      </c>
      <c r="AV2451" t="s">
        <v>758</v>
      </c>
      <c r="AW2451" t="s">
        <v>46835</v>
      </c>
    </row>
    <row r="2452" spans="1:50">
      <c r="A2452" s="1">
        <f>HYPERLINK("https://lsnyc.legalserver.org/matter/dynamic-profile/view/1880285","18-1880285")</f>
        <v>0</v>
      </c>
      <c r="B2452" t="s">
        <v>84</v>
      </c>
      <c r="C2452" t="s">
        <v>340</v>
      </c>
      <c r="D2452" t="s">
        <v>614</v>
      </c>
      <c r="F2452" t="s">
        <v>1033</v>
      </c>
      <c r="G2452" t="s">
        <v>5655</v>
      </c>
      <c r="H2452" t="s">
        <v>11644</v>
      </c>
      <c r="I2452" t="s">
        <v>17490</v>
      </c>
      <c r="J2452" t="s">
        <v>18893</v>
      </c>
      <c r="K2452">
        <v>10037</v>
      </c>
      <c r="L2452" t="s">
        <v>18958</v>
      </c>
      <c r="M2452" t="s">
        <v>18958</v>
      </c>
      <c r="O2452" t="s">
        <v>26525</v>
      </c>
      <c r="P2452" t="s">
        <v>26564</v>
      </c>
      <c r="R2452" t="s">
        <v>26582</v>
      </c>
      <c r="S2452" t="s">
        <v>18959</v>
      </c>
      <c r="U2452" t="s">
        <v>26605</v>
      </c>
      <c r="V2452" t="s">
        <v>26610</v>
      </c>
      <c r="W2452" t="s">
        <v>614</v>
      </c>
      <c r="X2452">
        <v>312</v>
      </c>
      <c r="Y2452" t="s">
        <v>26651</v>
      </c>
      <c r="Z2452" t="s">
        <v>26661</v>
      </c>
      <c r="AB2452" t="s">
        <v>28851</v>
      </c>
      <c r="AD2452" t="s">
        <v>38911</v>
      </c>
      <c r="AE2452">
        <v>527</v>
      </c>
      <c r="AF2452" t="s">
        <v>45542</v>
      </c>
      <c r="AG2452" t="s">
        <v>19330</v>
      </c>
      <c r="AH2452">
        <v>20</v>
      </c>
      <c r="AI2452">
        <v>1</v>
      </c>
      <c r="AJ2452">
        <v>0</v>
      </c>
      <c r="AK2452">
        <v>149.92</v>
      </c>
      <c r="AN2452" t="s">
        <v>7439</v>
      </c>
      <c r="AO2452">
        <v>18200</v>
      </c>
      <c r="AU2452">
        <v>3.47</v>
      </c>
      <c r="AV2452" t="s">
        <v>624</v>
      </c>
      <c r="AW2452" t="s">
        <v>46835</v>
      </c>
    </row>
    <row r="2453" spans="1:50">
      <c r="A2453" s="1">
        <f>HYPERLINK("https://lsnyc.legalserver.org/matter/dynamic-profile/view/1880300","18-1880300")</f>
        <v>0</v>
      </c>
      <c r="B2453" t="s">
        <v>253</v>
      </c>
      <c r="C2453" t="s">
        <v>340</v>
      </c>
      <c r="D2453" t="s">
        <v>614</v>
      </c>
      <c r="F2453" t="s">
        <v>2066</v>
      </c>
      <c r="G2453" t="s">
        <v>6454</v>
      </c>
      <c r="H2453" t="s">
        <v>11645</v>
      </c>
      <c r="I2453">
        <v>1</v>
      </c>
      <c r="J2453" t="s">
        <v>18892</v>
      </c>
      <c r="K2453">
        <v>10468</v>
      </c>
      <c r="L2453" t="s">
        <v>18958</v>
      </c>
      <c r="M2453" t="s">
        <v>18958</v>
      </c>
      <c r="N2453" t="s">
        <v>20811</v>
      </c>
      <c r="O2453" t="s">
        <v>26523</v>
      </c>
      <c r="P2453" t="s">
        <v>26560</v>
      </c>
      <c r="R2453" t="s">
        <v>26579</v>
      </c>
      <c r="S2453" t="s">
        <v>18959</v>
      </c>
      <c r="U2453" t="s">
        <v>26604</v>
      </c>
      <c r="V2453" t="s">
        <v>26610</v>
      </c>
      <c r="W2453" t="s">
        <v>614</v>
      </c>
      <c r="X2453">
        <v>1980</v>
      </c>
      <c r="Y2453" t="s">
        <v>26650</v>
      </c>
      <c r="Z2453" t="s">
        <v>26668</v>
      </c>
      <c r="AB2453" t="s">
        <v>28852</v>
      </c>
      <c r="AC2453" t="s">
        <v>35236</v>
      </c>
      <c r="AD2453" t="s">
        <v>38912</v>
      </c>
      <c r="AE2453">
        <v>8</v>
      </c>
      <c r="AF2453" t="s">
        <v>45545</v>
      </c>
      <c r="AG2453" t="s">
        <v>45556</v>
      </c>
      <c r="AH2453">
        <v>17</v>
      </c>
      <c r="AI2453">
        <v>3</v>
      </c>
      <c r="AJ2453">
        <v>1</v>
      </c>
      <c r="AK2453">
        <v>99.59</v>
      </c>
      <c r="AN2453" t="s">
        <v>7439</v>
      </c>
      <c r="AO2453">
        <v>24996</v>
      </c>
      <c r="AQ2453" t="s">
        <v>46362</v>
      </c>
      <c r="AR2453" t="s">
        <v>46381</v>
      </c>
      <c r="AS2453" t="s">
        <v>46499</v>
      </c>
      <c r="AT2453" t="s">
        <v>46504</v>
      </c>
      <c r="AU2453">
        <v>36.5</v>
      </c>
      <c r="AV2453" t="s">
        <v>519</v>
      </c>
      <c r="AW2453" t="s">
        <v>46847</v>
      </c>
    </row>
    <row r="2454" spans="1:50">
      <c r="A2454" s="1">
        <f>HYPERLINK("https://lsnyc.legalserver.org/matter/dynamic-profile/view/1880350","18-1880350")</f>
        <v>0</v>
      </c>
      <c r="B2454" t="s">
        <v>253</v>
      </c>
      <c r="C2454" t="s">
        <v>340</v>
      </c>
      <c r="D2454" t="s">
        <v>614</v>
      </c>
      <c r="F2454" t="s">
        <v>2262</v>
      </c>
      <c r="G2454" t="s">
        <v>1263</v>
      </c>
      <c r="H2454" t="s">
        <v>11646</v>
      </c>
      <c r="I2454" t="s">
        <v>17355</v>
      </c>
      <c r="J2454" t="s">
        <v>18892</v>
      </c>
      <c r="K2454">
        <v>10457</v>
      </c>
      <c r="L2454" t="s">
        <v>18958</v>
      </c>
      <c r="M2454" t="s">
        <v>18958</v>
      </c>
      <c r="N2454" t="s">
        <v>20812</v>
      </c>
      <c r="O2454" t="s">
        <v>26523</v>
      </c>
      <c r="P2454" t="s">
        <v>26560</v>
      </c>
      <c r="R2454" t="s">
        <v>26579</v>
      </c>
      <c r="S2454" t="s">
        <v>18959</v>
      </c>
      <c r="U2454" t="s">
        <v>26604</v>
      </c>
      <c r="V2454" t="s">
        <v>26610</v>
      </c>
      <c r="W2454" t="s">
        <v>614</v>
      </c>
      <c r="X2454">
        <v>1193</v>
      </c>
      <c r="Y2454" t="s">
        <v>26650</v>
      </c>
      <c r="Z2454" t="s">
        <v>26668</v>
      </c>
      <c r="AB2454" t="s">
        <v>28853</v>
      </c>
      <c r="AC2454" t="s">
        <v>35237</v>
      </c>
      <c r="AD2454" t="s">
        <v>38913</v>
      </c>
      <c r="AE2454">
        <v>16</v>
      </c>
      <c r="AF2454" t="s">
        <v>45544</v>
      </c>
      <c r="AG2454" t="s">
        <v>45556</v>
      </c>
      <c r="AH2454">
        <v>11</v>
      </c>
      <c r="AI2454">
        <v>1</v>
      </c>
      <c r="AJ2454">
        <v>0</v>
      </c>
      <c r="AK2454">
        <v>181.22</v>
      </c>
      <c r="AN2454" t="s">
        <v>7439</v>
      </c>
      <c r="AO2454">
        <v>22000</v>
      </c>
      <c r="AQ2454" t="s">
        <v>46362</v>
      </c>
      <c r="AR2454" t="s">
        <v>46381</v>
      </c>
      <c r="AS2454" t="s">
        <v>46499</v>
      </c>
      <c r="AT2454" t="s">
        <v>46581</v>
      </c>
      <c r="AU2454">
        <v>3.3</v>
      </c>
      <c r="AV2454" t="s">
        <v>668</v>
      </c>
      <c r="AW2454" t="s">
        <v>46847</v>
      </c>
    </row>
    <row r="2455" spans="1:50">
      <c r="A2455" s="1">
        <f>HYPERLINK("https://lsnyc.legalserver.org/matter/dynamic-profile/view/1879817","18-1879817")</f>
        <v>0</v>
      </c>
      <c r="B2455" t="s">
        <v>64</v>
      </c>
      <c r="C2455" t="s">
        <v>340</v>
      </c>
      <c r="D2455" t="s">
        <v>614</v>
      </c>
      <c r="F2455" t="s">
        <v>2263</v>
      </c>
      <c r="G2455" t="s">
        <v>6455</v>
      </c>
      <c r="H2455" t="s">
        <v>11647</v>
      </c>
      <c r="I2455" t="s">
        <v>17301</v>
      </c>
      <c r="J2455" t="s">
        <v>18892</v>
      </c>
      <c r="K2455">
        <v>10451</v>
      </c>
      <c r="L2455" t="s">
        <v>18958</v>
      </c>
      <c r="M2455" t="s">
        <v>18958</v>
      </c>
      <c r="N2455" t="s">
        <v>20813</v>
      </c>
      <c r="O2455" t="s">
        <v>26524</v>
      </c>
      <c r="P2455" t="s">
        <v>26560</v>
      </c>
      <c r="R2455" t="s">
        <v>26577</v>
      </c>
      <c r="S2455" t="s">
        <v>18959</v>
      </c>
      <c r="U2455" t="s">
        <v>26604</v>
      </c>
      <c r="V2455" t="s">
        <v>26610</v>
      </c>
      <c r="W2455" t="s">
        <v>614</v>
      </c>
      <c r="X2455">
        <v>728</v>
      </c>
      <c r="Y2455" t="s">
        <v>26650</v>
      </c>
      <c r="Z2455" t="s">
        <v>26668</v>
      </c>
      <c r="AB2455" t="s">
        <v>28854</v>
      </c>
      <c r="AD2455" t="s">
        <v>38914</v>
      </c>
      <c r="AE2455">
        <v>0</v>
      </c>
      <c r="AF2455" t="s">
        <v>45541</v>
      </c>
      <c r="AG2455" t="s">
        <v>45556</v>
      </c>
      <c r="AH2455">
        <v>30</v>
      </c>
      <c r="AI2455">
        <v>1</v>
      </c>
      <c r="AJ2455">
        <v>0</v>
      </c>
      <c r="AK2455">
        <v>216.74</v>
      </c>
      <c r="AL2455" t="s">
        <v>787</v>
      </c>
      <c r="AM2455" t="s">
        <v>45575</v>
      </c>
      <c r="AN2455" t="s">
        <v>45581</v>
      </c>
      <c r="AO2455">
        <v>26312</v>
      </c>
      <c r="AP2455" t="s">
        <v>45641</v>
      </c>
      <c r="AU2455">
        <v>48.9</v>
      </c>
      <c r="AV2455" t="s">
        <v>832</v>
      </c>
      <c r="AW2455" t="s">
        <v>46870</v>
      </c>
    </row>
    <row r="2456" spans="1:50">
      <c r="A2456" s="1">
        <f>HYPERLINK("https://lsnyc.legalserver.org/matter/dynamic-profile/view/1880365","18-1880365")</f>
        <v>0</v>
      </c>
      <c r="B2456" t="s">
        <v>199</v>
      </c>
      <c r="C2456" t="s">
        <v>340</v>
      </c>
      <c r="D2456" t="s">
        <v>614</v>
      </c>
      <c r="F2456" t="s">
        <v>2264</v>
      </c>
      <c r="G2456" t="s">
        <v>6456</v>
      </c>
      <c r="H2456" t="s">
        <v>11648</v>
      </c>
      <c r="I2456" t="s">
        <v>17490</v>
      </c>
      <c r="J2456" t="s">
        <v>18894</v>
      </c>
      <c r="K2456">
        <v>11238</v>
      </c>
      <c r="L2456" t="s">
        <v>18958</v>
      </c>
      <c r="M2456" t="s">
        <v>18958</v>
      </c>
      <c r="N2456" t="s">
        <v>20814</v>
      </c>
      <c r="O2456" t="s">
        <v>26523</v>
      </c>
      <c r="P2456" t="s">
        <v>26560</v>
      </c>
      <c r="R2456" t="s">
        <v>26578</v>
      </c>
      <c r="S2456" t="s">
        <v>18959</v>
      </c>
      <c r="U2456" t="s">
        <v>26604</v>
      </c>
      <c r="V2456" t="s">
        <v>26609</v>
      </c>
      <c r="W2456" t="s">
        <v>614</v>
      </c>
      <c r="X2456">
        <v>0</v>
      </c>
      <c r="Y2456" t="s">
        <v>26652</v>
      </c>
      <c r="Z2456" t="s">
        <v>26668</v>
      </c>
      <c r="AB2456" t="s">
        <v>28855</v>
      </c>
      <c r="AD2456" t="s">
        <v>38915</v>
      </c>
      <c r="AE2456">
        <v>20</v>
      </c>
      <c r="AF2456" t="s">
        <v>45541</v>
      </c>
      <c r="AH2456">
        <v>34</v>
      </c>
      <c r="AI2456">
        <v>3</v>
      </c>
      <c r="AJ2456">
        <v>0</v>
      </c>
      <c r="AK2456">
        <v>220.09</v>
      </c>
      <c r="AL2456" t="s">
        <v>820</v>
      </c>
      <c r="AM2456" t="s">
        <v>45575</v>
      </c>
      <c r="AN2456" t="s">
        <v>7439</v>
      </c>
      <c r="AO2456">
        <v>45735</v>
      </c>
      <c r="AR2456" t="s">
        <v>46381</v>
      </c>
      <c r="AS2456" t="s">
        <v>46499</v>
      </c>
      <c r="AU2456">
        <v>19.7</v>
      </c>
      <c r="AV2456" t="s">
        <v>671</v>
      </c>
      <c r="AW2456" t="s">
        <v>198</v>
      </c>
    </row>
    <row r="2457" spans="1:50">
      <c r="A2457" s="1">
        <f>HYPERLINK("https://lsnyc.legalserver.org/matter/dynamic-profile/view/1880309","18-1880309")</f>
        <v>0</v>
      </c>
      <c r="B2457" t="s">
        <v>103</v>
      </c>
      <c r="C2457" t="s">
        <v>340</v>
      </c>
      <c r="D2457" t="s">
        <v>614</v>
      </c>
      <c r="F2457" t="s">
        <v>2265</v>
      </c>
      <c r="G2457" t="s">
        <v>6457</v>
      </c>
      <c r="H2457" t="s">
        <v>11649</v>
      </c>
      <c r="J2457" t="s">
        <v>18902</v>
      </c>
      <c r="K2457">
        <v>10303</v>
      </c>
      <c r="L2457" t="s">
        <v>18958</v>
      </c>
      <c r="M2457" t="s">
        <v>18958</v>
      </c>
      <c r="N2457" t="s">
        <v>20815</v>
      </c>
      <c r="O2457" t="s">
        <v>26524</v>
      </c>
      <c r="P2457" t="s">
        <v>26560</v>
      </c>
      <c r="R2457" t="s">
        <v>26590</v>
      </c>
      <c r="S2457" t="s">
        <v>18959</v>
      </c>
      <c r="U2457" t="s">
        <v>26604</v>
      </c>
      <c r="V2457" t="s">
        <v>26610</v>
      </c>
      <c r="W2457" t="s">
        <v>614</v>
      </c>
      <c r="X2457">
        <v>2500</v>
      </c>
      <c r="Y2457" t="s">
        <v>26654</v>
      </c>
      <c r="Z2457" t="s">
        <v>26668</v>
      </c>
      <c r="AB2457" t="s">
        <v>27226</v>
      </c>
      <c r="AD2457" t="s">
        <v>38916</v>
      </c>
      <c r="AE2457">
        <v>1</v>
      </c>
      <c r="AF2457" t="s">
        <v>45547</v>
      </c>
      <c r="AG2457" t="s">
        <v>19330</v>
      </c>
      <c r="AH2457">
        <v>8</v>
      </c>
      <c r="AI2457">
        <v>7</v>
      </c>
      <c r="AJ2457">
        <v>3</v>
      </c>
      <c r="AK2457">
        <v>58.8</v>
      </c>
      <c r="AN2457" t="s">
        <v>45582</v>
      </c>
      <c r="AO2457">
        <v>30000</v>
      </c>
      <c r="AQ2457" t="s">
        <v>46365</v>
      </c>
      <c r="AR2457" t="s">
        <v>46465</v>
      </c>
      <c r="AS2457" t="s">
        <v>46500</v>
      </c>
      <c r="AT2457" t="s">
        <v>46724</v>
      </c>
      <c r="AU2457">
        <v>13.5</v>
      </c>
      <c r="AV2457" t="s">
        <v>761</v>
      </c>
      <c r="AW2457" t="s">
        <v>190</v>
      </c>
    </row>
    <row r="2458" spans="1:50">
      <c r="A2458" s="1">
        <f>HYPERLINK("https://lsnyc.legalserver.org/matter/dynamic-profile/view/1880351","18-1880351")</f>
        <v>0</v>
      </c>
      <c r="B2458" t="s">
        <v>157</v>
      </c>
      <c r="C2458" t="s">
        <v>340</v>
      </c>
      <c r="D2458" t="s">
        <v>614</v>
      </c>
      <c r="F2458" t="s">
        <v>977</v>
      </c>
      <c r="G2458" t="s">
        <v>5147</v>
      </c>
      <c r="H2458" t="s">
        <v>10741</v>
      </c>
      <c r="I2458" t="s">
        <v>17293</v>
      </c>
      <c r="J2458" t="s">
        <v>18893</v>
      </c>
      <c r="K2458">
        <v>10032</v>
      </c>
      <c r="L2458" t="s">
        <v>18958</v>
      </c>
      <c r="M2458" t="s">
        <v>18958</v>
      </c>
      <c r="O2458" t="s">
        <v>26523</v>
      </c>
      <c r="P2458" t="s">
        <v>26560</v>
      </c>
      <c r="R2458" t="s">
        <v>26578</v>
      </c>
      <c r="S2458" t="s">
        <v>18959</v>
      </c>
      <c r="U2458" t="s">
        <v>26604</v>
      </c>
      <c r="W2458" t="s">
        <v>614</v>
      </c>
      <c r="X2458">
        <v>2450</v>
      </c>
      <c r="Y2458" t="s">
        <v>26651</v>
      </c>
      <c r="Z2458" t="s">
        <v>26664</v>
      </c>
      <c r="AB2458" t="s">
        <v>28856</v>
      </c>
      <c r="AD2458" t="s">
        <v>37935</v>
      </c>
      <c r="AE2458">
        <v>25</v>
      </c>
      <c r="AF2458" t="s">
        <v>45541</v>
      </c>
      <c r="AG2458" t="s">
        <v>19330</v>
      </c>
      <c r="AH2458">
        <v>2</v>
      </c>
      <c r="AI2458">
        <v>3</v>
      </c>
      <c r="AJ2458">
        <v>0</v>
      </c>
      <c r="AK2458">
        <v>133.4</v>
      </c>
      <c r="AN2458" t="s">
        <v>45581</v>
      </c>
      <c r="AO2458">
        <v>27720</v>
      </c>
      <c r="AU2458">
        <v>101.69</v>
      </c>
      <c r="AV2458" t="s">
        <v>839</v>
      </c>
      <c r="AW2458" t="s">
        <v>46840</v>
      </c>
    </row>
    <row r="2459" spans="1:50">
      <c r="A2459" s="1">
        <f>HYPERLINK("https://lsnyc.legalserver.org/matter/dynamic-profile/view/1880284","18-1880284")</f>
        <v>0</v>
      </c>
      <c r="B2459" t="s">
        <v>173</v>
      </c>
      <c r="C2459" t="s">
        <v>340</v>
      </c>
      <c r="D2459" t="s">
        <v>614</v>
      </c>
      <c r="F2459" t="s">
        <v>2023</v>
      </c>
      <c r="G2459" t="s">
        <v>6458</v>
      </c>
      <c r="H2459" t="s">
        <v>11650</v>
      </c>
      <c r="I2459" t="s">
        <v>17436</v>
      </c>
      <c r="J2459" t="s">
        <v>18893</v>
      </c>
      <c r="K2459">
        <v>10002</v>
      </c>
      <c r="L2459" t="s">
        <v>18958</v>
      </c>
      <c r="M2459" t="s">
        <v>18958</v>
      </c>
      <c r="N2459" t="s">
        <v>20816</v>
      </c>
      <c r="O2459" t="s">
        <v>26523</v>
      </c>
      <c r="P2459" t="s">
        <v>26564</v>
      </c>
      <c r="R2459" t="s">
        <v>26582</v>
      </c>
      <c r="S2459" t="s">
        <v>18959</v>
      </c>
      <c r="U2459" t="s">
        <v>26605</v>
      </c>
      <c r="V2459" t="s">
        <v>26611</v>
      </c>
      <c r="W2459" t="s">
        <v>614</v>
      </c>
      <c r="X2459">
        <v>1096</v>
      </c>
      <c r="Y2459" t="s">
        <v>26651</v>
      </c>
      <c r="Z2459" t="s">
        <v>26661</v>
      </c>
      <c r="AB2459" t="s">
        <v>28857</v>
      </c>
      <c r="AC2459" t="s">
        <v>35238</v>
      </c>
      <c r="AD2459" t="s">
        <v>38917</v>
      </c>
      <c r="AE2459">
        <v>0</v>
      </c>
      <c r="AF2459" t="s">
        <v>45549</v>
      </c>
      <c r="AG2459" t="s">
        <v>19330</v>
      </c>
      <c r="AH2459">
        <v>13</v>
      </c>
      <c r="AI2459">
        <v>2</v>
      </c>
      <c r="AJ2459">
        <v>1</v>
      </c>
      <c r="AK2459">
        <v>158.81</v>
      </c>
      <c r="AN2459" t="s">
        <v>7439</v>
      </c>
      <c r="AO2459">
        <v>33000</v>
      </c>
      <c r="AU2459">
        <v>0.75</v>
      </c>
      <c r="AV2459" t="s">
        <v>675</v>
      </c>
      <c r="AW2459" t="s">
        <v>314</v>
      </c>
      <c r="AX2459" t="s">
        <v>46898</v>
      </c>
    </row>
    <row r="2460" spans="1:50">
      <c r="A2460" s="1">
        <f>HYPERLINK("https://lsnyc.legalserver.org/matter/dynamic-profile/view/1876709","18-1876709")</f>
        <v>0</v>
      </c>
      <c r="B2460" t="s">
        <v>108</v>
      </c>
      <c r="C2460" t="s">
        <v>340</v>
      </c>
      <c r="D2460" t="s">
        <v>531</v>
      </c>
      <c r="F2460" t="s">
        <v>2087</v>
      </c>
      <c r="G2460" t="s">
        <v>6459</v>
      </c>
      <c r="H2460" t="s">
        <v>11651</v>
      </c>
      <c r="I2460" t="s">
        <v>17309</v>
      </c>
      <c r="J2460" t="s">
        <v>18913</v>
      </c>
      <c r="K2460">
        <v>11106</v>
      </c>
      <c r="L2460" t="s">
        <v>18958</v>
      </c>
      <c r="M2460" t="s">
        <v>18958</v>
      </c>
      <c r="N2460" t="s">
        <v>20817</v>
      </c>
      <c r="O2460" t="s">
        <v>26523</v>
      </c>
      <c r="P2460" t="s">
        <v>26560</v>
      </c>
      <c r="R2460" t="s">
        <v>26584</v>
      </c>
      <c r="S2460" t="s">
        <v>18959</v>
      </c>
      <c r="U2460" t="s">
        <v>26604</v>
      </c>
      <c r="V2460" t="s">
        <v>26611</v>
      </c>
      <c r="W2460" t="s">
        <v>600</v>
      </c>
      <c r="X2460">
        <v>950</v>
      </c>
      <c r="Y2460" t="s">
        <v>26653</v>
      </c>
      <c r="Z2460" t="s">
        <v>26664</v>
      </c>
      <c r="AB2460" t="s">
        <v>28858</v>
      </c>
      <c r="AC2460" t="s">
        <v>35239</v>
      </c>
      <c r="AD2460" t="s">
        <v>38918</v>
      </c>
      <c r="AE2460">
        <v>8</v>
      </c>
      <c r="AF2460" t="s">
        <v>45541</v>
      </c>
      <c r="AG2460" t="s">
        <v>19330</v>
      </c>
      <c r="AH2460">
        <v>1</v>
      </c>
      <c r="AI2460">
        <v>1</v>
      </c>
      <c r="AJ2460">
        <v>1</v>
      </c>
      <c r="AK2460">
        <v>18.23</v>
      </c>
      <c r="AN2460" t="s">
        <v>7439</v>
      </c>
      <c r="AO2460">
        <v>3000</v>
      </c>
      <c r="AQ2460" t="s">
        <v>46368</v>
      </c>
      <c r="AR2460" t="s">
        <v>46466</v>
      </c>
      <c r="AS2460" t="s">
        <v>46499</v>
      </c>
      <c r="AT2460" t="s">
        <v>46744</v>
      </c>
      <c r="AU2460">
        <v>88.59999999999999</v>
      </c>
      <c r="AV2460" t="s">
        <v>761</v>
      </c>
      <c r="AW2460" t="s">
        <v>208</v>
      </c>
      <c r="AX2460" t="s">
        <v>46897</v>
      </c>
    </row>
    <row r="2461" spans="1:50">
      <c r="A2461" s="1">
        <f>HYPERLINK("https://lsnyc.legalserver.org/matter/dynamic-profile/view/1878568","18-1878568")</f>
        <v>0</v>
      </c>
      <c r="B2461" t="s">
        <v>68</v>
      </c>
      <c r="C2461" t="s">
        <v>341</v>
      </c>
      <c r="D2461" t="s">
        <v>589</v>
      </c>
      <c r="E2461" t="s">
        <v>763</v>
      </c>
      <c r="F2461" t="s">
        <v>887</v>
      </c>
      <c r="G2461" t="s">
        <v>5401</v>
      </c>
      <c r="H2461" t="s">
        <v>11652</v>
      </c>
      <c r="I2461" t="s">
        <v>17299</v>
      </c>
      <c r="J2461" t="s">
        <v>18892</v>
      </c>
      <c r="K2461">
        <v>10453</v>
      </c>
      <c r="L2461" t="s">
        <v>18958</v>
      </c>
      <c r="M2461" t="s">
        <v>18958</v>
      </c>
      <c r="N2461" t="s">
        <v>20818</v>
      </c>
      <c r="O2461" t="s">
        <v>26523</v>
      </c>
      <c r="P2461" t="s">
        <v>26560</v>
      </c>
      <c r="Q2461" t="s">
        <v>26568</v>
      </c>
      <c r="R2461" t="s">
        <v>26577</v>
      </c>
      <c r="S2461" t="s">
        <v>18959</v>
      </c>
      <c r="U2461" t="s">
        <v>26604</v>
      </c>
      <c r="V2461" t="s">
        <v>26610</v>
      </c>
      <c r="W2461" t="s">
        <v>600</v>
      </c>
      <c r="X2461">
        <v>1740.69</v>
      </c>
      <c r="Y2461" t="s">
        <v>26650</v>
      </c>
      <c r="Z2461" t="s">
        <v>26661</v>
      </c>
      <c r="AA2461" t="s">
        <v>26678</v>
      </c>
      <c r="AB2461" t="s">
        <v>28859</v>
      </c>
      <c r="AC2461" t="s">
        <v>35240</v>
      </c>
      <c r="AD2461" t="s">
        <v>38919</v>
      </c>
      <c r="AE2461">
        <v>36</v>
      </c>
      <c r="AF2461" t="s">
        <v>45541</v>
      </c>
      <c r="AG2461" t="s">
        <v>45557</v>
      </c>
      <c r="AH2461">
        <v>8</v>
      </c>
      <c r="AI2461">
        <v>1</v>
      </c>
      <c r="AJ2461">
        <v>4</v>
      </c>
      <c r="AK2461">
        <v>25.7</v>
      </c>
      <c r="AN2461" t="s">
        <v>45581</v>
      </c>
      <c r="AO2461">
        <v>7560</v>
      </c>
      <c r="AQ2461" t="s">
        <v>46362</v>
      </c>
      <c r="AR2461" t="s">
        <v>46382</v>
      </c>
      <c r="AS2461" t="s">
        <v>46499</v>
      </c>
      <c r="AT2461" t="s">
        <v>46662</v>
      </c>
      <c r="AU2461">
        <v>10.9</v>
      </c>
      <c r="AV2461" t="s">
        <v>763</v>
      </c>
      <c r="AW2461" t="s">
        <v>46836</v>
      </c>
    </row>
    <row r="2462" spans="1:50">
      <c r="A2462" s="1">
        <f>HYPERLINK("https://lsnyc.legalserver.org/matter/dynamic-profile/view/1879627","18-1879627")</f>
        <v>0</v>
      </c>
      <c r="B2462" t="s">
        <v>78</v>
      </c>
      <c r="C2462" t="s">
        <v>340</v>
      </c>
      <c r="D2462" t="s">
        <v>411</v>
      </c>
      <c r="F2462" t="s">
        <v>945</v>
      </c>
      <c r="G2462" t="s">
        <v>5136</v>
      </c>
      <c r="H2462" t="s">
        <v>9717</v>
      </c>
      <c r="I2462" t="s">
        <v>17330</v>
      </c>
      <c r="J2462" t="s">
        <v>18894</v>
      </c>
      <c r="K2462">
        <v>11207</v>
      </c>
      <c r="L2462" t="s">
        <v>18959</v>
      </c>
      <c r="M2462" t="s">
        <v>18959</v>
      </c>
      <c r="O2462" t="s">
        <v>26528</v>
      </c>
      <c r="P2462" t="s">
        <v>26560</v>
      </c>
      <c r="R2462" t="s">
        <v>26578</v>
      </c>
      <c r="S2462" t="s">
        <v>18958</v>
      </c>
      <c r="U2462" t="s">
        <v>26604</v>
      </c>
      <c r="V2462" t="s">
        <v>26610</v>
      </c>
      <c r="W2462" t="s">
        <v>600</v>
      </c>
      <c r="X2462">
        <v>1000</v>
      </c>
      <c r="Y2462" t="s">
        <v>26652</v>
      </c>
      <c r="Z2462" t="s">
        <v>26659</v>
      </c>
      <c r="AB2462" t="s">
        <v>26781</v>
      </c>
      <c r="AD2462" t="s">
        <v>36890</v>
      </c>
      <c r="AE2462">
        <v>6</v>
      </c>
      <c r="AF2462" t="s">
        <v>45541</v>
      </c>
      <c r="AG2462" t="s">
        <v>19330</v>
      </c>
      <c r="AH2462">
        <v>4</v>
      </c>
      <c r="AI2462">
        <v>1</v>
      </c>
      <c r="AJ2462">
        <v>3</v>
      </c>
      <c r="AK2462">
        <v>82.87</v>
      </c>
      <c r="AN2462" t="s">
        <v>7439</v>
      </c>
      <c r="AO2462">
        <v>20800</v>
      </c>
      <c r="AU2462">
        <v>0</v>
      </c>
      <c r="AW2462" t="s">
        <v>279</v>
      </c>
    </row>
    <row r="2463" spans="1:50">
      <c r="A2463" s="1">
        <f>HYPERLINK("https://lsnyc.legalserver.org/matter/dynamic-profile/view/1879674","18-1879674")</f>
        <v>0</v>
      </c>
      <c r="B2463" t="s">
        <v>78</v>
      </c>
      <c r="C2463" t="s">
        <v>340</v>
      </c>
      <c r="D2463" t="s">
        <v>411</v>
      </c>
      <c r="F2463" t="s">
        <v>919</v>
      </c>
      <c r="G2463" t="s">
        <v>5137</v>
      </c>
      <c r="H2463" t="s">
        <v>9717</v>
      </c>
      <c r="I2463" t="s">
        <v>17331</v>
      </c>
      <c r="J2463" t="s">
        <v>18894</v>
      </c>
      <c r="K2463">
        <v>11207</v>
      </c>
      <c r="L2463" t="s">
        <v>18959</v>
      </c>
      <c r="M2463" t="s">
        <v>18959</v>
      </c>
      <c r="N2463" t="s">
        <v>18997</v>
      </c>
      <c r="O2463" t="s">
        <v>26528</v>
      </c>
      <c r="P2463" t="s">
        <v>26560</v>
      </c>
      <c r="R2463" t="s">
        <v>26578</v>
      </c>
      <c r="S2463" t="s">
        <v>18958</v>
      </c>
      <c r="U2463" t="s">
        <v>26604</v>
      </c>
      <c r="V2463" t="s">
        <v>26610</v>
      </c>
      <c r="W2463" t="s">
        <v>600</v>
      </c>
      <c r="X2463">
        <v>1000</v>
      </c>
      <c r="Y2463" t="s">
        <v>26652</v>
      </c>
      <c r="Z2463" t="s">
        <v>26659</v>
      </c>
      <c r="AB2463" t="s">
        <v>26782</v>
      </c>
      <c r="AC2463" t="s">
        <v>19330</v>
      </c>
      <c r="AE2463">
        <v>6</v>
      </c>
      <c r="AF2463" t="s">
        <v>45541</v>
      </c>
      <c r="AG2463" t="s">
        <v>19330</v>
      </c>
      <c r="AH2463">
        <v>3</v>
      </c>
      <c r="AI2463">
        <v>1</v>
      </c>
      <c r="AJ2463">
        <v>0</v>
      </c>
      <c r="AK2463">
        <v>494.23</v>
      </c>
      <c r="AN2463" t="s">
        <v>7439</v>
      </c>
      <c r="AO2463">
        <v>60000</v>
      </c>
      <c r="AU2463">
        <v>0</v>
      </c>
      <c r="AW2463" t="s">
        <v>279</v>
      </c>
    </row>
    <row r="2464" spans="1:50">
      <c r="A2464" s="1">
        <f>HYPERLINK("https://lsnyc.legalserver.org/matter/dynamic-profile/view/1879917","18-1879917")</f>
        <v>0</v>
      </c>
      <c r="B2464" t="s">
        <v>78</v>
      </c>
      <c r="C2464" t="s">
        <v>340</v>
      </c>
      <c r="D2464" t="s">
        <v>412</v>
      </c>
      <c r="F2464" t="s">
        <v>946</v>
      </c>
      <c r="G2464" t="s">
        <v>1146</v>
      </c>
      <c r="H2464" t="s">
        <v>9717</v>
      </c>
      <c r="I2464" t="s">
        <v>17332</v>
      </c>
      <c r="J2464" t="s">
        <v>18894</v>
      </c>
      <c r="K2464">
        <v>11207</v>
      </c>
      <c r="L2464" t="s">
        <v>18958</v>
      </c>
      <c r="M2464" t="s">
        <v>18958</v>
      </c>
      <c r="O2464" t="s">
        <v>26528</v>
      </c>
      <c r="P2464" t="s">
        <v>26560</v>
      </c>
      <c r="R2464" t="s">
        <v>26578</v>
      </c>
      <c r="S2464" t="s">
        <v>18958</v>
      </c>
      <c r="U2464" t="s">
        <v>26604</v>
      </c>
      <c r="V2464" t="s">
        <v>26610</v>
      </c>
      <c r="W2464" t="s">
        <v>600</v>
      </c>
      <c r="X2464">
        <v>1250</v>
      </c>
      <c r="Y2464" t="s">
        <v>26652</v>
      </c>
      <c r="Z2464" t="s">
        <v>26667</v>
      </c>
      <c r="AB2464" t="s">
        <v>26783</v>
      </c>
      <c r="AC2464" t="s">
        <v>34508</v>
      </c>
      <c r="AD2464" t="s">
        <v>36891</v>
      </c>
      <c r="AE2464">
        <v>6</v>
      </c>
      <c r="AF2464" t="s">
        <v>45541</v>
      </c>
      <c r="AG2464" t="s">
        <v>45561</v>
      </c>
      <c r="AH2464">
        <v>7</v>
      </c>
      <c r="AI2464">
        <v>1</v>
      </c>
      <c r="AJ2464">
        <v>1</v>
      </c>
      <c r="AK2464">
        <v>45.52</v>
      </c>
      <c r="AN2464" t="s">
        <v>7439</v>
      </c>
      <c r="AO2464">
        <v>7492</v>
      </c>
      <c r="AP2464" t="s">
        <v>45628</v>
      </c>
      <c r="AU2464">
        <v>0.12</v>
      </c>
      <c r="AV2464" t="s">
        <v>670</v>
      </c>
      <c r="AW2464" t="s">
        <v>279</v>
      </c>
    </row>
    <row r="2465" spans="1:50">
      <c r="A2465" s="1">
        <f>HYPERLINK("https://lsnyc.legalserver.org/matter/dynamic-profile/view/1880057","18-1880057")</f>
        <v>0</v>
      </c>
      <c r="B2465" t="s">
        <v>137</v>
      </c>
      <c r="C2465" t="s">
        <v>341</v>
      </c>
      <c r="D2465" t="s">
        <v>413</v>
      </c>
      <c r="E2465" t="s">
        <v>805</v>
      </c>
      <c r="F2465" t="s">
        <v>2266</v>
      </c>
      <c r="G2465" t="s">
        <v>5266</v>
      </c>
      <c r="H2465" t="s">
        <v>11653</v>
      </c>
      <c r="I2465" t="s">
        <v>17569</v>
      </c>
      <c r="J2465" t="s">
        <v>18892</v>
      </c>
      <c r="K2465">
        <v>10467</v>
      </c>
      <c r="L2465" t="s">
        <v>18958</v>
      </c>
      <c r="M2465" t="s">
        <v>18958</v>
      </c>
      <c r="N2465" t="s">
        <v>20819</v>
      </c>
      <c r="O2465" t="s">
        <v>26523</v>
      </c>
      <c r="P2465" t="s">
        <v>26560</v>
      </c>
      <c r="Q2465" t="s">
        <v>26568</v>
      </c>
      <c r="R2465" t="s">
        <v>26579</v>
      </c>
      <c r="S2465" t="s">
        <v>18959</v>
      </c>
      <c r="U2465" t="s">
        <v>26604</v>
      </c>
      <c r="V2465" t="s">
        <v>26609</v>
      </c>
      <c r="W2465" t="s">
        <v>600</v>
      </c>
      <c r="X2465">
        <v>1213</v>
      </c>
      <c r="Y2465" t="s">
        <v>26650</v>
      </c>
      <c r="Z2465" t="s">
        <v>26659</v>
      </c>
      <c r="AA2465" t="s">
        <v>26678</v>
      </c>
      <c r="AB2465" t="s">
        <v>28860</v>
      </c>
      <c r="AC2465" t="s">
        <v>35241</v>
      </c>
      <c r="AD2465" t="s">
        <v>38920</v>
      </c>
      <c r="AE2465">
        <v>75</v>
      </c>
      <c r="AF2465" t="s">
        <v>45541</v>
      </c>
      <c r="AG2465" t="s">
        <v>45562</v>
      </c>
      <c r="AH2465">
        <v>2</v>
      </c>
      <c r="AI2465">
        <v>1</v>
      </c>
      <c r="AJ2465">
        <v>0</v>
      </c>
      <c r="AK2465">
        <v>0</v>
      </c>
      <c r="AN2465" t="s">
        <v>7439</v>
      </c>
      <c r="AO2465">
        <v>0</v>
      </c>
      <c r="AR2465" t="s">
        <v>46450</v>
      </c>
      <c r="AS2465" t="s">
        <v>46499</v>
      </c>
      <c r="AT2465" t="s">
        <v>46745</v>
      </c>
      <c r="AU2465">
        <v>19.3</v>
      </c>
      <c r="AV2465" t="s">
        <v>769</v>
      </c>
      <c r="AW2465" t="s">
        <v>46858</v>
      </c>
      <c r="AX2465" t="s">
        <v>46897</v>
      </c>
    </row>
    <row r="2466" spans="1:50">
      <c r="A2466" s="1">
        <f>HYPERLINK("https://lsnyc.legalserver.org/matter/dynamic-profile/view/1880009","18-1880009")</f>
        <v>0</v>
      </c>
      <c r="B2466" t="s">
        <v>66</v>
      </c>
      <c r="C2466" t="s">
        <v>340</v>
      </c>
      <c r="D2466" t="s">
        <v>413</v>
      </c>
      <c r="F2466" t="s">
        <v>2267</v>
      </c>
      <c r="G2466" t="s">
        <v>5090</v>
      </c>
      <c r="H2466" t="s">
        <v>11654</v>
      </c>
      <c r="I2466" t="s">
        <v>17272</v>
      </c>
      <c r="J2466" t="s">
        <v>18893</v>
      </c>
      <c r="K2466">
        <v>10039</v>
      </c>
      <c r="L2466" t="s">
        <v>18960</v>
      </c>
      <c r="M2466" t="s">
        <v>18960</v>
      </c>
      <c r="N2466" t="s">
        <v>20820</v>
      </c>
      <c r="O2466" t="s">
        <v>26523</v>
      </c>
      <c r="P2466" t="s">
        <v>26560</v>
      </c>
      <c r="R2466" t="s">
        <v>26582</v>
      </c>
      <c r="S2466" t="s">
        <v>18959</v>
      </c>
      <c r="U2466" t="s">
        <v>26605</v>
      </c>
      <c r="V2466" t="s">
        <v>26610</v>
      </c>
      <c r="W2466" t="s">
        <v>600</v>
      </c>
      <c r="X2466">
        <v>1600</v>
      </c>
      <c r="Y2466" t="s">
        <v>26651</v>
      </c>
      <c r="Z2466" t="s">
        <v>26664</v>
      </c>
      <c r="AB2466" t="s">
        <v>28861</v>
      </c>
      <c r="AD2466" t="s">
        <v>38921</v>
      </c>
      <c r="AE2466">
        <v>0</v>
      </c>
      <c r="AH2466">
        <v>10</v>
      </c>
      <c r="AI2466">
        <v>2</v>
      </c>
      <c r="AJ2466">
        <v>0</v>
      </c>
      <c r="AK2466">
        <v>7.29</v>
      </c>
      <c r="AN2466" t="s">
        <v>7439</v>
      </c>
      <c r="AO2466">
        <v>1200</v>
      </c>
      <c r="AU2466">
        <v>18.5</v>
      </c>
      <c r="AV2466" t="s">
        <v>808</v>
      </c>
      <c r="AW2466" t="s">
        <v>46838</v>
      </c>
    </row>
    <row r="2467" spans="1:50">
      <c r="A2467" s="1">
        <f>HYPERLINK("https://lsnyc.legalserver.org/matter/dynamic-profile/view/1880033","18-1880033")</f>
        <v>0</v>
      </c>
      <c r="B2467" t="s">
        <v>95</v>
      </c>
      <c r="C2467" t="s">
        <v>340</v>
      </c>
      <c r="D2467" t="s">
        <v>413</v>
      </c>
      <c r="F2467" t="s">
        <v>887</v>
      </c>
      <c r="G2467" t="s">
        <v>5138</v>
      </c>
      <c r="H2467" t="s">
        <v>9717</v>
      </c>
      <c r="I2467" t="s">
        <v>17291</v>
      </c>
      <c r="J2467" t="s">
        <v>18894</v>
      </c>
      <c r="K2467">
        <v>11207</v>
      </c>
      <c r="L2467" t="s">
        <v>18958</v>
      </c>
      <c r="M2467" t="s">
        <v>18958</v>
      </c>
      <c r="N2467" t="s">
        <v>18997</v>
      </c>
      <c r="O2467" t="s">
        <v>26528</v>
      </c>
      <c r="P2467" t="s">
        <v>26560</v>
      </c>
      <c r="R2467" t="s">
        <v>26578</v>
      </c>
      <c r="S2467" t="s">
        <v>18958</v>
      </c>
      <c r="U2467" t="s">
        <v>26604</v>
      </c>
      <c r="V2467" t="s">
        <v>26610</v>
      </c>
      <c r="W2467" t="s">
        <v>600</v>
      </c>
      <c r="X2467">
        <v>1365</v>
      </c>
      <c r="Y2467" t="s">
        <v>26652</v>
      </c>
      <c r="Z2467" t="s">
        <v>26659</v>
      </c>
      <c r="AB2467" t="s">
        <v>26784</v>
      </c>
      <c r="AC2467" t="s">
        <v>34508</v>
      </c>
      <c r="AD2467" t="s">
        <v>36892</v>
      </c>
      <c r="AE2467">
        <v>6</v>
      </c>
      <c r="AF2467" t="s">
        <v>45541</v>
      </c>
      <c r="AG2467" t="s">
        <v>45561</v>
      </c>
      <c r="AH2467">
        <v>5</v>
      </c>
      <c r="AI2467">
        <v>2</v>
      </c>
      <c r="AJ2467">
        <v>0</v>
      </c>
      <c r="AK2467">
        <v>55.12</v>
      </c>
      <c r="AN2467" t="s">
        <v>7439</v>
      </c>
      <c r="AO2467">
        <v>9072</v>
      </c>
      <c r="AP2467" t="s">
        <v>45629</v>
      </c>
      <c r="AU2467">
        <v>0.25</v>
      </c>
      <c r="AV2467" t="s">
        <v>670</v>
      </c>
      <c r="AW2467" t="s">
        <v>279</v>
      </c>
    </row>
    <row r="2468" spans="1:50">
      <c r="A2468" s="1">
        <f>HYPERLINK("https://lsnyc.legalserver.org/matter/dynamic-profile/view/1880062","18-1880062")</f>
        <v>0</v>
      </c>
      <c r="B2468" t="s">
        <v>78</v>
      </c>
      <c r="C2468" t="s">
        <v>340</v>
      </c>
      <c r="D2468" t="s">
        <v>413</v>
      </c>
      <c r="F2468" t="s">
        <v>947</v>
      </c>
      <c r="G2468" t="s">
        <v>5139</v>
      </c>
      <c r="H2468" t="s">
        <v>9717</v>
      </c>
      <c r="I2468" t="s">
        <v>17333</v>
      </c>
      <c r="J2468" t="s">
        <v>18894</v>
      </c>
      <c r="K2468">
        <v>11207</v>
      </c>
      <c r="L2468" t="s">
        <v>18959</v>
      </c>
      <c r="M2468" t="s">
        <v>18959</v>
      </c>
      <c r="N2468" t="s">
        <v>18997</v>
      </c>
      <c r="O2468" t="s">
        <v>26528</v>
      </c>
      <c r="P2468" t="s">
        <v>26560</v>
      </c>
      <c r="R2468" t="s">
        <v>26578</v>
      </c>
      <c r="S2468" t="s">
        <v>18958</v>
      </c>
      <c r="U2468" t="s">
        <v>26604</v>
      </c>
      <c r="V2468" t="s">
        <v>26610</v>
      </c>
      <c r="W2468" t="s">
        <v>600</v>
      </c>
      <c r="X2468">
        <v>0</v>
      </c>
      <c r="Y2468" t="s">
        <v>26652</v>
      </c>
      <c r="Z2468" t="s">
        <v>26659</v>
      </c>
      <c r="AB2468" t="s">
        <v>26785</v>
      </c>
      <c r="AE2468">
        <v>6</v>
      </c>
      <c r="AF2468" t="s">
        <v>45541</v>
      </c>
      <c r="AH2468">
        <v>0</v>
      </c>
      <c r="AI2468">
        <v>1</v>
      </c>
      <c r="AJ2468">
        <v>3</v>
      </c>
      <c r="AK2468">
        <v>41.43</v>
      </c>
      <c r="AN2468" t="s">
        <v>7439</v>
      </c>
      <c r="AO2468">
        <v>10400</v>
      </c>
      <c r="AU2468">
        <v>0</v>
      </c>
      <c r="AW2468" t="s">
        <v>279</v>
      </c>
    </row>
    <row r="2469" spans="1:50">
      <c r="A2469" s="1">
        <f>HYPERLINK("https://lsnyc.legalserver.org/matter/dynamic-profile/view/1880262","18-1880262")</f>
        <v>0</v>
      </c>
      <c r="B2469" t="s">
        <v>117</v>
      </c>
      <c r="C2469" t="s">
        <v>340</v>
      </c>
      <c r="D2469" t="s">
        <v>594</v>
      </c>
      <c r="F2469" t="s">
        <v>1946</v>
      </c>
      <c r="G2469" t="s">
        <v>1725</v>
      </c>
      <c r="H2469" t="s">
        <v>11655</v>
      </c>
      <c r="I2469" t="s">
        <v>17332</v>
      </c>
      <c r="J2469" t="s">
        <v>18894</v>
      </c>
      <c r="K2469">
        <v>11207</v>
      </c>
      <c r="L2469" t="s">
        <v>18958</v>
      </c>
      <c r="M2469" t="s">
        <v>18958</v>
      </c>
      <c r="N2469" t="s">
        <v>20821</v>
      </c>
      <c r="O2469" t="s">
        <v>26523</v>
      </c>
      <c r="P2469" t="s">
        <v>26560</v>
      </c>
      <c r="R2469" t="s">
        <v>26578</v>
      </c>
      <c r="S2469" t="s">
        <v>18959</v>
      </c>
      <c r="U2469" t="s">
        <v>26604</v>
      </c>
      <c r="V2469" t="s">
        <v>26610</v>
      </c>
      <c r="W2469" t="s">
        <v>600</v>
      </c>
      <c r="X2469">
        <v>1136.48</v>
      </c>
      <c r="Y2469" t="s">
        <v>26652</v>
      </c>
      <c r="Z2469" t="s">
        <v>26530</v>
      </c>
      <c r="AB2469" t="s">
        <v>28862</v>
      </c>
      <c r="AC2469" t="s">
        <v>35242</v>
      </c>
      <c r="AD2469" t="s">
        <v>38922</v>
      </c>
      <c r="AE2469">
        <v>542</v>
      </c>
      <c r="AF2469" t="s">
        <v>45541</v>
      </c>
      <c r="AG2469" t="s">
        <v>19330</v>
      </c>
      <c r="AH2469">
        <v>34</v>
      </c>
      <c r="AI2469">
        <v>2</v>
      </c>
      <c r="AJ2469">
        <v>0</v>
      </c>
      <c r="AK2469">
        <v>21.14</v>
      </c>
      <c r="AN2469" t="s">
        <v>7439</v>
      </c>
      <c r="AO2469">
        <v>3480</v>
      </c>
      <c r="AU2469">
        <v>7.5</v>
      </c>
      <c r="AV2469" t="s">
        <v>699</v>
      </c>
      <c r="AW2469" t="s">
        <v>279</v>
      </c>
    </row>
    <row r="2470" spans="1:50">
      <c r="A2470" s="1">
        <f>HYPERLINK("https://lsnyc.legalserver.org/matter/dynamic-profile/view/1880282","18-1880282")</f>
        <v>0</v>
      </c>
      <c r="B2470" t="s">
        <v>187</v>
      </c>
      <c r="C2470" t="s">
        <v>340</v>
      </c>
      <c r="D2470" t="s">
        <v>614</v>
      </c>
      <c r="F2470" t="s">
        <v>1798</v>
      </c>
      <c r="G2470" t="s">
        <v>5313</v>
      </c>
      <c r="H2470" t="s">
        <v>9841</v>
      </c>
      <c r="I2470" t="s">
        <v>17424</v>
      </c>
      <c r="J2470" t="s">
        <v>18892</v>
      </c>
      <c r="K2470">
        <v>10461</v>
      </c>
      <c r="L2470" t="s">
        <v>18958</v>
      </c>
      <c r="M2470" t="s">
        <v>18958</v>
      </c>
      <c r="N2470" t="s">
        <v>20822</v>
      </c>
      <c r="O2470" t="s">
        <v>26523</v>
      </c>
      <c r="P2470" t="s">
        <v>26560</v>
      </c>
      <c r="R2470" t="s">
        <v>26577</v>
      </c>
      <c r="S2470" t="s">
        <v>18959</v>
      </c>
      <c r="U2470" t="s">
        <v>26604</v>
      </c>
      <c r="V2470" t="s">
        <v>26609</v>
      </c>
      <c r="W2470" t="s">
        <v>600</v>
      </c>
      <c r="X2470">
        <v>1500</v>
      </c>
      <c r="Y2470" t="s">
        <v>26650</v>
      </c>
      <c r="Z2470" t="s">
        <v>26664</v>
      </c>
      <c r="AB2470" t="s">
        <v>28863</v>
      </c>
      <c r="AD2470" t="s">
        <v>38923</v>
      </c>
      <c r="AE2470">
        <v>125</v>
      </c>
      <c r="AF2470" t="s">
        <v>45541</v>
      </c>
      <c r="AG2470" t="s">
        <v>19330</v>
      </c>
      <c r="AH2470">
        <v>9</v>
      </c>
      <c r="AI2470">
        <v>2</v>
      </c>
      <c r="AJ2470">
        <v>1</v>
      </c>
      <c r="AK2470">
        <v>226.18</v>
      </c>
      <c r="AL2470" t="s">
        <v>641</v>
      </c>
      <c r="AM2470" t="s">
        <v>45575</v>
      </c>
      <c r="AN2470" t="s">
        <v>7439</v>
      </c>
      <c r="AO2470">
        <v>47000</v>
      </c>
      <c r="AP2470" t="s">
        <v>45752</v>
      </c>
      <c r="AU2470">
        <v>33.65</v>
      </c>
      <c r="AV2470" t="s">
        <v>807</v>
      </c>
      <c r="AW2470" t="s">
        <v>46847</v>
      </c>
    </row>
    <row r="2471" spans="1:50">
      <c r="A2471" s="1">
        <f>HYPERLINK("https://lsnyc.legalserver.org/matter/dynamic-profile/view/1880464","18-1880464")</f>
        <v>0</v>
      </c>
      <c r="B2471" t="s">
        <v>137</v>
      </c>
      <c r="C2471" t="s">
        <v>341</v>
      </c>
      <c r="D2471" t="s">
        <v>600</v>
      </c>
      <c r="E2471" t="s">
        <v>691</v>
      </c>
      <c r="F2471" t="s">
        <v>2268</v>
      </c>
      <c r="G2471" t="s">
        <v>6460</v>
      </c>
      <c r="H2471" t="s">
        <v>11656</v>
      </c>
      <c r="I2471" t="s">
        <v>17275</v>
      </c>
      <c r="J2471" t="s">
        <v>18892</v>
      </c>
      <c r="K2471">
        <v>10455</v>
      </c>
      <c r="L2471" t="s">
        <v>18958</v>
      </c>
      <c r="M2471" t="s">
        <v>18958</v>
      </c>
      <c r="N2471" t="s">
        <v>20823</v>
      </c>
      <c r="O2471" t="s">
        <v>26523</v>
      </c>
      <c r="P2471" t="s">
        <v>26560</v>
      </c>
      <c r="Q2471" t="s">
        <v>26568</v>
      </c>
      <c r="R2471" t="s">
        <v>26577</v>
      </c>
      <c r="S2471" t="s">
        <v>18959</v>
      </c>
      <c r="U2471" t="s">
        <v>26604</v>
      </c>
      <c r="V2471" t="s">
        <v>26609</v>
      </c>
      <c r="W2471" t="s">
        <v>600</v>
      </c>
      <c r="X2471">
        <v>689</v>
      </c>
      <c r="Y2471" t="s">
        <v>26650</v>
      </c>
      <c r="Z2471" t="s">
        <v>26659</v>
      </c>
      <c r="AA2471" t="s">
        <v>26678</v>
      </c>
      <c r="AB2471" t="s">
        <v>28864</v>
      </c>
      <c r="AD2471" t="s">
        <v>38924</v>
      </c>
      <c r="AE2471">
        <v>40</v>
      </c>
      <c r="AF2471" t="s">
        <v>45548</v>
      </c>
      <c r="AG2471" t="s">
        <v>45563</v>
      </c>
      <c r="AH2471">
        <v>2</v>
      </c>
      <c r="AI2471">
        <v>2</v>
      </c>
      <c r="AJ2471">
        <v>1</v>
      </c>
      <c r="AK2471">
        <v>100.1</v>
      </c>
      <c r="AO2471">
        <v>20800</v>
      </c>
      <c r="AR2471" t="s">
        <v>46379</v>
      </c>
      <c r="AS2471" t="s">
        <v>46499</v>
      </c>
      <c r="AT2471" t="s">
        <v>46640</v>
      </c>
      <c r="AU2471">
        <v>4</v>
      </c>
      <c r="AV2471" t="s">
        <v>577</v>
      </c>
      <c r="AW2471" t="s">
        <v>46847</v>
      </c>
    </row>
    <row r="2472" spans="1:50">
      <c r="A2472" s="1">
        <f>HYPERLINK("https://lsnyc.legalserver.org/matter/dynamic-profile/view/1880482","18-1880482")</f>
        <v>0</v>
      </c>
      <c r="B2472" t="s">
        <v>251</v>
      </c>
      <c r="C2472" t="s">
        <v>341</v>
      </c>
      <c r="D2472" t="s">
        <v>600</v>
      </c>
      <c r="E2472" t="s">
        <v>603</v>
      </c>
      <c r="F2472" t="s">
        <v>1594</v>
      </c>
      <c r="G2472" t="s">
        <v>6461</v>
      </c>
      <c r="H2472" t="s">
        <v>11657</v>
      </c>
      <c r="I2472" t="s">
        <v>17348</v>
      </c>
      <c r="J2472" t="s">
        <v>18892</v>
      </c>
      <c r="K2472">
        <v>10472</v>
      </c>
      <c r="L2472" t="s">
        <v>18958</v>
      </c>
      <c r="M2472" t="s">
        <v>18958</v>
      </c>
      <c r="N2472" t="s">
        <v>20824</v>
      </c>
      <c r="O2472" t="s">
        <v>26523</v>
      </c>
      <c r="P2472" t="s">
        <v>26560</v>
      </c>
      <c r="Q2472" t="s">
        <v>26568</v>
      </c>
      <c r="R2472" t="s">
        <v>26577</v>
      </c>
      <c r="S2472" t="s">
        <v>18959</v>
      </c>
      <c r="U2472" t="s">
        <v>26604</v>
      </c>
      <c r="V2472" t="s">
        <v>26609</v>
      </c>
      <c r="W2472" t="s">
        <v>600</v>
      </c>
      <c r="X2472">
        <v>1775.87</v>
      </c>
      <c r="Y2472" t="s">
        <v>26650</v>
      </c>
      <c r="Z2472" t="s">
        <v>26664</v>
      </c>
      <c r="AA2472" t="s">
        <v>26678</v>
      </c>
      <c r="AB2472" t="s">
        <v>28865</v>
      </c>
      <c r="AC2472" t="s">
        <v>35243</v>
      </c>
      <c r="AD2472" t="s">
        <v>38925</v>
      </c>
      <c r="AE2472">
        <v>67</v>
      </c>
      <c r="AF2472" t="s">
        <v>45543</v>
      </c>
      <c r="AG2472" t="s">
        <v>45556</v>
      </c>
      <c r="AH2472">
        <v>6</v>
      </c>
      <c r="AI2472">
        <v>1</v>
      </c>
      <c r="AJ2472">
        <v>1</v>
      </c>
      <c r="AK2472">
        <v>16.33</v>
      </c>
      <c r="AN2472" t="s">
        <v>7439</v>
      </c>
      <c r="AO2472">
        <v>2688</v>
      </c>
      <c r="AQ2472" t="s">
        <v>46359</v>
      </c>
      <c r="AR2472" t="s">
        <v>46383</v>
      </c>
      <c r="AS2472" t="s">
        <v>46499</v>
      </c>
      <c r="AT2472" t="s">
        <v>46651</v>
      </c>
      <c r="AU2472">
        <v>17.3</v>
      </c>
      <c r="AV2472" t="s">
        <v>525</v>
      </c>
      <c r="AW2472" t="s">
        <v>334</v>
      </c>
    </row>
    <row r="2473" spans="1:50">
      <c r="A2473" s="1">
        <f>HYPERLINK("https://lsnyc.legalserver.org/matter/dynamic-profile/view/1880414","18-1880414")</f>
        <v>0</v>
      </c>
      <c r="B2473" t="s">
        <v>68</v>
      </c>
      <c r="C2473" t="s">
        <v>341</v>
      </c>
      <c r="D2473" t="s">
        <v>600</v>
      </c>
      <c r="E2473" t="s">
        <v>759</v>
      </c>
      <c r="F2473" t="s">
        <v>1013</v>
      </c>
      <c r="G2473" t="s">
        <v>3036</v>
      </c>
      <c r="H2473" t="s">
        <v>11658</v>
      </c>
      <c r="I2473">
        <v>5</v>
      </c>
      <c r="J2473" t="s">
        <v>18892</v>
      </c>
      <c r="K2473">
        <v>10468</v>
      </c>
      <c r="L2473" t="s">
        <v>18958</v>
      </c>
      <c r="M2473" t="s">
        <v>18958</v>
      </c>
      <c r="N2473" t="s">
        <v>20825</v>
      </c>
      <c r="O2473" t="s">
        <v>26523</v>
      </c>
      <c r="P2473" t="s">
        <v>26560</v>
      </c>
      <c r="Q2473" t="s">
        <v>26569</v>
      </c>
      <c r="R2473" t="s">
        <v>26579</v>
      </c>
      <c r="S2473" t="s">
        <v>18959</v>
      </c>
      <c r="U2473" t="s">
        <v>26604</v>
      </c>
      <c r="V2473" t="s">
        <v>26610</v>
      </c>
      <c r="W2473" t="s">
        <v>600</v>
      </c>
      <c r="X2473">
        <v>1161</v>
      </c>
      <c r="Y2473" t="s">
        <v>26650</v>
      </c>
      <c r="Z2473" t="s">
        <v>26664</v>
      </c>
      <c r="AA2473" t="s">
        <v>26683</v>
      </c>
      <c r="AB2473" t="s">
        <v>28866</v>
      </c>
      <c r="AD2473" t="s">
        <v>38926</v>
      </c>
      <c r="AE2473">
        <v>28</v>
      </c>
      <c r="AF2473" t="s">
        <v>20460</v>
      </c>
      <c r="AG2473" t="s">
        <v>45556</v>
      </c>
      <c r="AH2473">
        <v>30</v>
      </c>
      <c r="AI2473">
        <v>1</v>
      </c>
      <c r="AJ2473">
        <v>0</v>
      </c>
      <c r="AK2473">
        <v>78.88</v>
      </c>
      <c r="AN2473" t="s">
        <v>7439</v>
      </c>
      <c r="AO2473">
        <v>9576</v>
      </c>
      <c r="AR2473" t="s">
        <v>26530</v>
      </c>
      <c r="AS2473" t="s">
        <v>46501</v>
      </c>
      <c r="AT2473" t="s">
        <v>46529</v>
      </c>
      <c r="AU2473">
        <v>5.5</v>
      </c>
      <c r="AV2473" t="s">
        <v>759</v>
      </c>
      <c r="AW2473" t="s">
        <v>334</v>
      </c>
    </row>
    <row r="2474" spans="1:50">
      <c r="A2474" s="1">
        <f>HYPERLINK("https://lsnyc.legalserver.org/matter/dynamic-profile/view/1880512","18-1880512")</f>
        <v>0</v>
      </c>
      <c r="B2474" t="s">
        <v>79</v>
      </c>
      <c r="C2474" t="s">
        <v>341</v>
      </c>
      <c r="D2474" t="s">
        <v>600</v>
      </c>
      <c r="E2474" t="s">
        <v>635</v>
      </c>
      <c r="F2474" t="s">
        <v>947</v>
      </c>
      <c r="G2474" t="s">
        <v>6462</v>
      </c>
      <c r="H2474" t="s">
        <v>11659</v>
      </c>
      <c r="I2474" t="s">
        <v>17831</v>
      </c>
      <c r="J2474" t="s">
        <v>18893</v>
      </c>
      <c r="K2474">
        <v>10034</v>
      </c>
      <c r="L2474" t="s">
        <v>18958</v>
      </c>
      <c r="M2474" t="s">
        <v>18958</v>
      </c>
      <c r="O2474" t="s">
        <v>26526</v>
      </c>
      <c r="P2474" t="s">
        <v>26564</v>
      </c>
      <c r="Q2474" t="s">
        <v>26570</v>
      </c>
      <c r="R2474" t="s">
        <v>26578</v>
      </c>
      <c r="S2474" t="s">
        <v>18959</v>
      </c>
      <c r="U2474" t="s">
        <v>26604</v>
      </c>
      <c r="W2474" t="s">
        <v>600</v>
      </c>
      <c r="X2474">
        <v>1395</v>
      </c>
      <c r="Y2474" t="s">
        <v>26651</v>
      </c>
      <c r="Z2474" t="s">
        <v>26659</v>
      </c>
      <c r="AA2474" t="s">
        <v>26683</v>
      </c>
      <c r="AB2474" t="s">
        <v>28867</v>
      </c>
      <c r="AD2474" t="s">
        <v>38927</v>
      </c>
      <c r="AE2474">
        <v>160</v>
      </c>
      <c r="AF2474" t="s">
        <v>45541</v>
      </c>
      <c r="AG2474" t="s">
        <v>19330</v>
      </c>
      <c r="AH2474">
        <v>20</v>
      </c>
      <c r="AI2474">
        <v>1</v>
      </c>
      <c r="AJ2474">
        <v>0</v>
      </c>
      <c r="AK2474">
        <v>39.54</v>
      </c>
      <c r="AN2474" t="s">
        <v>7439</v>
      </c>
      <c r="AO2474">
        <v>4800</v>
      </c>
      <c r="AU2474">
        <v>1</v>
      </c>
      <c r="AV2474" t="s">
        <v>600</v>
      </c>
      <c r="AW2474" t="s">
        <v>46840</v>
      </c>
    </row>
    <row r="2475" spans="1:50">
      <c r="A2475" s="1">
        <f>HYPERLINK("https://lsnyc.legalserver.org/matter/dynamic-profile/view/1880520","18-1880520")</f>
        <v>0</v>
      </c>
      <c r="B2475" t="s">
        <v>218</v>
      </c>
      <c r="C2475" t="s">
        <v>341</v>
      </c>
      <c r="D2475" t="s">
        <v>600</v>
      </c>
      <c r="E2475" t="s">
        <v>416</v>
      </c>
      <c r="F2475" t="s">
        <v>2269</v>
      </c>
      <c r="G2475" t="s">
        <v>6463</v>
      </c>
      <c r="H2475" t="s">
        <v>10390</v>
      </c>
      <c r="I2475" t="s">
        <v>17832</v>
      </c>
      <c r="J2475" t="s">
        <v>18893</v>
      </c>
      <c r="K2475">
        <v>10040</v>
      </c>
      <c r="L2475" t="s">
        <v>18959</v>
      </c>
      <c r="M2475" t="s">
        <v>18958</v>
      </c>
      <c r="P2475" t="s">
        <v>26564</v>
      </c>
      <c r="Q2475" t="s">
        <v>26570</v>
      </c>
      <c r="R2475" t="s">
        <v>26578</v>
      </c>
      <c r="S2475" t="s">
        <v>18959</v>
      </c>
      <c r="U2475" t="s">
        <v>26604</v>
      </c>
      <c r="W2475" t="s">
        <v>600</v>
      </c>
      <c r="X2475">
        <v>1625</v>
      </c>
      <c r="Y2475" t="s">
        <v>26651</v>
      </c>
      <c r="Z2475" t="s">
        <v>26661</v>
      </c>
      <c r="AA2475" t="s">
        <v>26683</v>
      </c>
      <c r="AB2475" t="s">
        <v>28868</v>
      </c>
      <c r="AD2475" t="s">
        <v>38928</v>
      </c>
      <c r="AE2475">
        <v>47</v>
      </c>
      <c r="AF2475" t="s">
        <v>20460</v>
      </c>
      <c r="AG2475" t="s">
        <v>19330</v>
      </c>
      <c r="AH2475">
        <v>0</v>
      </c>
      <c r="AI2475">
        <v>2</v>
      </c>
      <c r="AJ2475">
        <v>0</v>
      </c>
      <c r="AK2475">
        <v>516.4</v>
      </c>
      <c r="AN2475" t="s">
        <v>7439</v>
      </c>
      <c r="AO2475">
        <v>85000</v>
      </c>
      <c r="AU2475">
        <v>0.8</v>
      </c>
      <c r="AV2475" t="s">
        <v>659</v>
      </c>
      <c r="AW2475" t="s">
        <v>46840</v>
      </c>
    </row>
    <row r="2476" spans="1:50">
      <c r="A2476" s="1">
        <f>HYPERLINK("https://lsnyc.legalserver.org/matter/dynamic-profile/view/1880406","18-1880406")</f>
        <v>0</v>
      </c>
      <c r="B2476" t="s">
        <v>103</v>
      </c>
      <c r="C2476" t="s">
        <v>341</v>
      </c>
      <c r="D2476" t="s">
        <v>600</v>
      </c>
      <c r="E2476" t="s">
        <v>688</v>
      </c>
      <c r="F2476" t="s">
        <v>1117</v>
      </c>
      <c r="G2476" t="s">
        <v>5301</v>
      </c>
      <c r="H2476" t="s">
        <v>9901</v>
      </c>
      <c r="J2476" t="s">
        <v>18902</v>
      </c>
      <c r="K2476">
        <v>10310</v>
      </c>
      <c r="L2476" t="s">
        <v>18958</v>
      </c>
      <c r="M2476" t="s">
        <v>18958</v>
      </c>
      <c r="N2476" t="s">
        <v>20826</v>
      </c>
      <c r="O2476" t="s">
        <v>26524</v>
      </c>
      <c r="P2476" t="s">
        <v>26560</v>
      </c>
      <c r="Q2476" t="s">
        <v>26568</v>
      </c>
      <c r="R2476" t="s">
        <v>26590</v>
      </c>
      <c r="S2476" t="s">
        <v>18959</v>
      </c>
      <c r="U2476" t="s">
        <v>26604</v>
      </c>
      <c r="V2476" t="s">
        <v>26610</v>
      </c>
      <c r="W2476" t="s">
        <v>600</v>
      </c>
      <c r="X2476">
        <v>1956</v>
      </c>
      <c r="Y2476" t="s">
        <v>26654</v>
      </c>
      <c r="Z2476" t="s">
        <v>26668</v>
      </c>
      <c r="AA2476" t="s">
        <v>26679</v>
      </c>
      <c r="AB2476" t="s">
        <v>26988</v>
      </c>
      <c r="AD2476" t="s">
        <v>37079</v>
      </c>
      <c r="AE2476">
        <v>3</v>
      </c>
      <c r="AF2476" t="s">
        <v>45547</v>
      </c>
      <c r="AG2476" t="s">
        <v>45558</v>
      </c>
      <c r="AH2476">
        <v>1</v>
      </c>
      <c r="AI2476">
        <v>1</v>
      </c>
      <c r="AJ2476">
        <v>4</v>
      </c>
      <c r="AK2476">
        <v>20.39</v>
      </c>
      <c r="AN2476" t="s">
        <v>7439</v>
      </c>
      <c r="AO2476">
        <v>6000</v>
      </c>
      <c r="AQ2476" t="s">
        <v>46362</v>
      </c>
      <c r="AR2476" t="s">
        <v>46410</v>
      </c>
      <c r="AS2476" t="s">
        <v>46500</v>
      </c>
      <c r="AT2476" t="s">
        <v>46580</v>
      </c>
      <c r="AU2476">
        <v>4.8</v>
      </c>
      <c r="AV2476" t="s">
        <v>688</v>
      </c>
      <c r="AW2476" t="s">
        <v>46855</v>
      </c>
    </row>
    <row r="2477" spans="1:50">
      <c r="A2477" s="1">
        <f>HYPERLINK("https://lsnyc.legalserver.org/matter/dynamic-profile/view/1880435","18-1880435")</f>
        <v>0</v>
      </c>
      <c r="B2477" t="s">
        <v>69</v>
      </c>
      <c r="C2477" t="s">
        <v>341</v>
      </c>
      <c r="D2477" t="s">
        <v>600</v>
      </c>
      <c r="E2477" t="s">
        <v>786</v>
      </c>
      <c r="F2477" t="s">
        <v>1288</v>
      </c>
      <c r="G2477" t="s">
        <v>6464</v>
      </c>
      <c r="H2477" t="s">
        <v>11660</v>
      </c>
      <c r="I2477" t="s">
        <v>17307</v>
      </c>
      <c r="J2477" t="s">
        <v>18892</v>
      </c>
      <c r="K2477">
        <v>10467</v>
      </c>
      <c r="L2477" t="s">
        <v>18958</v>
      </c>
      <c r="M2477" t="s">
        <v>18958</v>
      </c>
      <c r="N2477" t="s">
        <v>20827</v>
      </c>
      <c r="O2477" t="s">
        <v>26523</v>
      </c>
      <c r="P2477" t="s">
        <v>26560</v>
      </c>
      <c r="Q2477" t="s">
        <v>26568</v>
      </c>
      <c r="R2477" t="s">
        <v>26579</v>
      </c>
      <c r="S2477" t="s">
        <v>18959</v>
      </c>
      <c r="U2477" t="s">
        <v>26604</v>
      </c>
      <c r="V2477" t="s">
        <v>26610</v>
      </c>
      <c r="W2477" t="s">
        <v>600</v>
      </c>
      <c r="X2477">
        <v>963.9299999999999</v>
      </c>
      <c r="Y2477" t="s">
        <v>26650</v>
      </c>
      <c r="Z2477" t="s">
        <v>26664</v>
      </c>
      <c r="AA2477" t="s">
        <v>26678</v>
      </c>
      <c r="AB2477" t="s">
        <v>28869</v>
      </c>
      <c r="AD2477" t="s">
        <v>38929</v>
      </c>
      <c r="AE2477">
        <v>0</v>
      </c>
      <c r="AF2477" t="s">
        <v>45541</v>
      </c>
      <c r="AG2477" t="s">
        <v>19330</v>
      </c>
      <c r="AH2477">
        <v>21</v>
      </c>
      <c r="AI2477">
        <v>4</v>
      </c>
      <c r="AJ2477">
        <v>0</v>
      </c>
      <c r="AK2477">
        <v>95.62</v>
      </c>
      <c r="AN2477" t="s">
        <v>7439</v>
      </c>
      <c r="AO2477">
        <v>24000</v>
      </c>
      <c r="AS2477" t="s">
        <v>46499</v>
      </c>
      <c r="AT2477" t="s">
        <v>46545</v>
      </c>
      <c r="AU2477">
        <v>9.300000000000001</v>
      </c>
      <c r="AV2477" t="s">
        <v>712</v>
      </c>
      <c r="AW2477" t="s">
        <v>334</v>
      </c>
    </row>
    <row r="2478" spans="1:50">
      <c r="A2478" s="1">
        <f>HYPERLINK("https://lsnyc.legalserver.org/matter/dynamic-profile/view/1880458","18-1880458")</f>
        <v>0</v>
      </c>
      <c r="B2478" t="s">
        <v>70</v>
      </c>
      <c r="C2478" t="s">
        <v>340</v>
      </c>
      <c r="D2478" t="s">
        <v>600</v>
      </c>
      <c r="F2478" t="s">
        <v>2270</v>
      </c>
      <c r="G2478" t="s">
        <v>968</v>
      </c>
      <c r="H2478" t="s">
        <v>11661</v>
      </c>
      <c r="I2478">
        <v>402</v>
      </c>
      <c r="J2478" t="s">
        <v>18892</v>
      </c>
      <c r="K2478">
        <v>10453</v>
      </c>
      <c r="L2478" t="s">
        <v>18958</v>
      </c>
      <c r="M2478" t="s">
        <v>18958</v>
      </c>
      <c r="N2478" t="s">
        <v>20828</v>
      </c>
      <c r="O2478" t="s">
        <v>26524</v>
      </c>
      <c r="P2478" t="s">
        <v>26560</v>
      </c>
      <c r="R2478" t="s">
        <v>26577</v>
      </c>
      <c r="S2478" t="s">
        <v>18959</v>
      </c>
      <c r="U2478" t="s">
        <v>26604</v>
      </c>
      <c r="V2478" t="s">
        <v>26609</v>
      </c>
      <c r="W2478" t="s">
        <v>600</v>
      </c>
      <c r="X2478">
        <v>1487</v>
      </c>
      <c r="Y2478" t="s">
        <v>26650</v>
      </c>
      <c r="Z2478" t="s">
        <v>26664</v>
      </c>
      <c r="AB2478" t="s">
        <v>28870</v>
      </c>
      <c r="AC2478" t="s">
        <v>35244</v>
      </c>
      <c r="AD2478" t="s">
        <v>38930</v>
      </c>
      <c r="AE2478">
        <v>50</v>
      </c>
      <c r="AF2478" t="s">
        <v>45554</v>
      </c>
      <c r="AG2478" t="s">
        <v>19330</v>
      </c>
      <c r="AH2478">
        <v>1</v>
      </c>
      <c r="AI2478">
        <v>1</v>
      </c>
      <c r="AJ2478">
        <v>0</v>
      </c>
      <c r="AK2478">
        <v>76.41</v>
      </c>
      <c r="AN2478" t="s">
        <v>7439</v>
      </c>
      <c r="AO2478">
        <v>9276</v>
      </c>
      <c r="AQ2478" t="s">
        <v>46361</v>
      </c>
      <c r="AR2478" t="s">
        <v>46380</v>
      </c>
      <c r="AS2478" t="s">
        <v>46499</v>
      </c>
      <c r="AT2478" t="s">
        <v>46589</v>
      </c>
      <c r="AU2478">
        <v>10.4</v>
      </c>
      <c r="AV2478" t="s">
        <v>787</v>
      </c>
      <c r="AW2478" t="s">
        <v>334</v>
      </c>
    </row>
    <row r="2479" spans="1:50">
      <c r="A2479" s="1">
        <f>HYPERLINK("https://lsnyc.legalserver.org/matter/dynamic-profile/view/1880628","18-1880628")</f>
        <v>0</v>
      </c>
      <c r="B2479" t="s">
        <v>66</v>
      </c>
      <c r="C2479" t="s">
        <v>340</v>
      </c>
      <c r="D2479" t="s">
        <v>600</v>
      </c>
      <c r="F2479" t="s">
        <v>1031</v>
      </c>
      <c r="G2479" t="s">
        <v>6465</v>
      </c>
      <c r="H2479" t="s">
        <v>11641</v>
      </c>
      <c r="I2479">
        <v>52</v>
      </c>
      <c r="J2479" t="s">
        <v>18893</v>
      </c>
      <c r="K2479">
        <v>10026</v>
      </c>
      <c r="L2479" t="s">
        <v>18958</v>
      </c>
      <c r="M2479" t="s">
        <v>18958</v>
      </c>
      <c r="N2479" t="s">
        <v>20829</v>
      </c>
      <c r="O2479" t="s">
        <v>26523</v>
      </c>
      <c r="P2479" t="s">
        <v>26560</v>
      </c>
      <c r="R2479" t="s">
        <v>26580</v>
      </c>
      <c r="S2479" t="s">
        <v>18959</v>
      </c>
      <c r="U2479" t="s">
        <v>26604</v>
      </c>
      <c r="V2479" t="s">
        <v>26610</v>
      </c>
      <c r="W2479" t="s">
        <v>600</v>
      </c>
      <c r="X2479">
        <v>717</v>
      </c>
      <c r="Y2479" t="s">
        <v>26651</v>
      </c>
      <c r="Z2479" t="s">
        <v>26660</v>
      </c>
      <c r="AB2479" t="s">
        <v>28871</v>
      </c>
      <c r="AD2479" t="s">
        <v>38931</v>
      </c>
      <c r="AE2479">
        <v>0</v>
      </c>
      <c r="AF2479" t="s">
        <v>45544</v>
      </c>
      <c r="AG2479" t="s">
        <v>19330</v>
      </c>
      <c r="AH2479">
        <v>48</v>
      </c>
      <c r="AI2479">
        <v>1</v>
      </c>
      <c r="AJ2479">
        <v>0</v>
      </c>
      <c r="AK2479">
        <v>122.99</v>
      </c>
      <c r="AN2479" t="s">
        <v>7439</v>
      </c>
      <c r="AO2479">
        <v>14931</v>
      </c>
      <c r="AU2479">
        <v>11.5</v>
      </c>
      <c r="AV2479" t="s">
        <v>839</v>
      </c>
      <c r="AW2479" t="s">
        <v>314</v>
      </c>
    </row>
    <row r="2480" spans="1:50">
      <c r="A2480" s="1">
        <f>HYPERLINK("https://lsnyc.legalserver.org/matter/dynamic-profile/view/1880432","18-1880432")</f>
        <v>0</v>
      </c>
      <c r="B2480" t="s">
        <v>153</v>
      </c>
      <c r="C2480" t="s">
        <v>340</v>
      </c>
      <c r="D2480" t="s">
        <v>600</v>
      </c>
      <c r="F2480" t="s">
        <v>1088</v>
      </c>
      <c r="G2480" t="s">
        <v>6466</v>
      </c>
      <c r="H2480" t="s">
        <v>11431</v>
      </c>
      <c r="I2480" t="s">
        <v>17833</v>
      </c>
      <c r="J2480" t="s">
        <v>18902</v>
      </c>
      <c r="K2480">
        <v>10301</v>
      </c>
      <c r="L2480" t="s">
        <v>18958</v>
      </c>
      <c r="M2480" t="s">
        <v>18958</v>
      </c>
      <c r="N2480" t="s">
        <v>20830</v>
      </c>
      <c r="O2480" t="s">
        <v>26523</v>
      </c>
      <c r="P2480" t="s">
        <v>26560</v>
      </c>
      <c r="R2480" t="s">
        <v>26578</v>
      </c>
      <c r="S2480" t="s">
        <v>18959</v>
      </c>
      <c r="U2480" t="s">
        <v>26604</v>
      </c>
      <c r="V2480" t="s">
        <v>26610</v>
      </c>
      <c r="W2480" t="s">
        <v>600</v>
      </c>
      <c r="X2480">
        <v>1215</v>
      </c>
      <c r="Y2480" t="s">
        <v>26654</v>
      </c>
      <c r="Z2480" t="s">
        <v>26659</v>
      </c>
      <c r="AB2480" t="s">
        <v>28872</v>
      </c>
      <c r="AD2480" t="s">
        <v>38932</v>
      </c>
      <c r="AE2480">
        <v>122</v>
      </c>
      <c r="AF2480" t="s">
        <v>45541</v>
      </c>
      <c r="AG2480" t="s">
        <v>19330</v>
      </c>
      <c r="AH2480">
        <v>5</v>
      </c>
      <c r="AI2480">
        <v>1</v>
      </c>
      <c r="AJ2480">
        <v>0</v>
      </c>
      <c r="AK2480">
        <v>313.79</v>
      </c>
      <c r="AL2480" t="s">
        <v>574</v>
      </c>
      <c r="AM2480" t="s">
        <v>45575</v>
      </c>
      <c r="AN2480" t="s">
        <v>7439</v>
      </c>
      <c r="AO2480">
        <v>38094</v>
      </c>
      <c r="AU2480">
        <v>24.2</v>
      </c>
      <c r="AV2480" t="s">
        <v>836</v>
      </c>
      <c r="AW2480" t="s">
        <v>46855</v>
      </c>
    </row>
    <row r="2481" spans="1:49">
      <c r="A2481" s="1">
        <f>HYPERLINK("https://lsnyc.legalserver.org/matter/dynamic-profile/view/1880501","18-1880501")</f>
        <v>0</v>
      </c>
      <c r="B2481" t="s">
        <v>68</v>
      </c>
      <c r="C2481" t="s">
        <v>340</v>
      </c>
      <c r="D2481" t="s">
        <v>600</v>
      </c>
      <c r="F2481" t="s">
        <v>1972</v>
      </c>
      <c r="G2481" t="s">
        <v>5121</v>
      </c>
      <c r="H2481" t="s">
        <v>11662</v>
      </c>
      <c r="I2481" t="s">
        <v>17834</v>
      </c>
      <c r="J2481" t="s">
        <v>18892</v>
      </c>
      <c r="K2481">
        <v>10452</v>
      </c>
      <c r="L2481" t="s">
        <v>18958</v>
      </c>
      <c r="M2481" t="s">
        <v>18958</v>
      </c>
      <c r="N2481" t="s">
        <v>20831</v>
      </c>
      <c r="O2481" t="s">
        <v>26523</v>
      </c>
      <c r="P2481" t="s">
        <v>26560</v>
      </c>
      <c r="R2481" t="s">
        <v>26577</v>
      </c>
      <c r="S2481" t="s">
        <v>18959</v>
      </c>
      <c r="U2481" t="s">
        <v>26604</v>
      </c>
      <c r="V2481" t="s">
        <v>26612</v>
      </c>
      <c r="W2481" t="s">
        <v>600</v>
      </c>
      <c r="X2481">
        <v>1036.94</v>
      </c>
      <c r="Y2481" t="s">
        <v>26650</v>
      </c>
      <c r="AB2481" t="s">
        <v>28873</v>
      </c>
      <c r="AC2481" t="s">
        <v>35245</v>
      </c>
      <c r="AD2481" t="s">
        <v>38933</v>
      </c>
      <c r="AE2481">
        <v>96</v>
      </c>
      <c r="AF2481" t="s">
        <v>45541</v>
      </c>
      <c r="AG2481" t="s">
        <v>45558</v>
      </c>
      <c r="AH2481">
        <v>6</v>
      </c>
      <c r="AI2481">
        <v>1</v>
      </c>
      <c r="AJ2481">
        <v>3</v>
      </c>
      <c r="AK2481">
        <v>77.69</v>
      </c>
      <c r="AN2481" t="s">
        <v>7439</v>
      </c>
      <c r="AO2481">
        <v>19500</v>
      </c>
      <c r="AU2481">
        <v>15.9</v>
      </c>
      <c r="AV2481" t="s">
        <v>735</v>
      </c>
      <c r="AW2481" t="s">
        <v>46871</v>
      </c>
    </row>
    <row r="2482" spans="1:49">
      <c r="A2482" s="1">
        <f>HYPERLINK("https://lsnyc.legalserver.org/matter/dynamic-profile/view/1880446","18-1880446")</f>
        <v>0</v>
      </c>
      <c r="B2482" t="s">
        <v>101</v>
      </c>
      <c r="C2482" t="s">
        <v>340</v>
      </c>
      <c r="D2482" t="s">
        <v>600</v>
      </c>
      <c r="F2482" t="s">
        <v>2271</v>
      </c>
      <c r="G2482" t="s">
        <v>6467</v>
      </c>
      <c r="H2482" t="s">
        <v>10407</v>
      </c>
      <c r="I2482" t="s">
        <v>17312</v>
      </c>
      <c r="J2482" t="s">
        <v>18894</v>
      </c>
      <c r="K2482">
        <v>11221</v>
      </c>
      <c r="L2482" t="s">
        <v>18958</v>
      </c>
      <c r="M2482" t="s">
        <v>18958</v>
      </c>
      <c r="N2482" t="s">
        <v>20832</v>
      </c>
      <c r="O2482" t="s">
        <v>26523</v>
      </c>
      <c r="P2482" t="s">
        <v>26560</v>
      </c>
      <c r="R2482" t="s">
        <v>26588</v>
      </c>
      <c r="S2482" t="s">
        <v>18959</v>
      </c>
      <c r="U2482" t="s">
        <v>26604</v>
      </c>
      <c r="V2482" t="s">
        <v>26610</v>
      </c>
      <c r="W2482" t="s">
        <v>600</v>
      </c>
      <c r="X2482">
        <v>206</v>
      </c>
      <c r="Y2482" t="s">
        <v>26652</v>
      </c>
      <c r="Z2482" t="s">
        <v>26669</v>
      </c>
      <c r="AB2482" t="s">
        <v>28874</v>
      </c>
      <c r="AD2482" t="s">
        <v>38934</v>
      </c>
      <c r="AE2482">
        <v>64</v>
      </c>
      <c r="AH2482">
        <v>15</v>
      </c>
      <c r="AI2482">
        <v>1</v>
      </c>
      <c r="AJ2482">
        <v>0</v>
      </c>
      <c r="AK2482">
        <v>82.73</v>
      </c>
      <c r="AN2482" t="s">
        <v>7439</v>
      </c>
      <c r="AO2482">
        <v>10044</v>
      </c>
      <c r="AU2482">
        <v>33.85</v>
      </c>
      <c r="AV2482" t="s">
        <v>833</v>
      </c>
      <c r="AW2482" t="s">
        <v>46862</v>
      </c>
    </row>
    <row r="2483" spans="1:49">
      <c r="A2483" s="1">
        <f>HYPERLINK("https://lsnyc.legalserver.org/matter/dynamic-profile/view/1880403","18-1880403")</f>
        <v>0</v>
      </c>
      <c r="B2483" t="s">
        <v>198</v>
      </c>
      <c r="C2483" t="s">
        <v>340</v>
      </c>
      <c r="D2483" t="s">
        <v>600</v>
      </c>
      <c r="F2483" t="s">
        <v>2272</v>
      </c>
      <c r="G2483" t="s">
        <v>5266</v>
      </c>
      <c r="H2483" t="s">
        <v>11663</v>
      </c>
      <c r="I2483" t="s">
        <v>17835</v>
      </c>
      <c r="J2483" t="s">
        <v>18894</v>
      </c>
      <c r="K2483">
        <v>11226</v>
      </c>
      <c r="L2483" t="s">
        <v>18958</v>
      </c>
      <c r="M2483" t="s">
        <v>18960</v>
      </c>
      <c r="O2483" t="s">
        <v>26539</v>
      </c>
      <c r="P2483" t="s">
        <v>26562</v>
      </c>
      <c r="R2483" t="s">
        <v>26578</v>
      </c>
      <c r="U2483" t="s">
        <v>26604</v>
      </c>
      <c r="W2483" t="s">
        <v>600</v>
      </c>
      <c r="X2483">
        <v>0</v>
      </c>
      <c r="Y2483" t="s">
        <v>26652</v>
      </c>
      <c r="Z2483" t="s">
        <v>26667</v>
      </c>
      <c r="AB2483" t="s">
        <v>28875</v>
      </c>
      <c r="AE2483">
        <v>0</v>
      </c>
      <c r="AH2483">
        <v>0</v>
      </c>
      <c r="AI2483">
        <v>2</v>
      </c>
      <c r="AJ2483">
        <v>0</v>
      </c>
      <c r="AK2483">
        <v>0</v>
      </c>
      <c r="AN2483" t="s">
        <v>7439</v>
      </c>
      <c r="AO2483">
        <v>0</v>
      </c>
      <c r="AU2483">
        <v>1</v>
      </c>
      <c r="AV2483" t="s">
        <v>828</v>
      </c>
      <c r="AW2483" t="s">
        <v>46862</v>
      </c>
    </row>
    <row r="2484" spans="1:49">
      <c r="A2484" s="1">
        <f>HYPERLINK("https://lsnyc.legalserver.org/matter/dynamic-profile/view/1880405","18-1880405")</f>
        <v>0</v>
      </c>
      <c r="B2484" t="s">
        <v>198</v>
      </c>
      <c r="C2484" t="s">
        <v>340</v>
      </c>
      <c r="D2484" t="s">
        <v>600</v>
      </c>
      <c r="F2484" t="s">
        <v>1091</v>
      </c>
      <c r="G2484" t="s">
        <v>5308</v>
      </c>
      <c r="H2484" t="s">
        <v>11663</v>
      </c>
      <c r="I2484" t="s">
        <v>17836</v>
      </c>
      <c r="J2484" t="s">
        <v>18894</v>
      </c>
      <c r="K2484">
        <v>11226</v>
      </c>
      <c r="L2484" t="s">
        <v>18958</v>
      </c>
      <c r="M2484" t="s">
        <v>18960</v>
      </c>
      <c r="O2484" t="s">
        <v>26539</v>
      </c>
      <c r="P2484" t="s">
        <v>26562</v>
      </c>
      <c r="R2484" t="s">
        <v>26578</v>
      </c>
      <c r="U2484" t="s">
        <v>26604</v>
      </c>
      <c r="W2484" t="s">
        <v>600</v>
      </c>
      <c r="X2484">
        <v>0</v>
      </c>
      <c r="Y2484" t="s">
        <v>26652</v>
      </c>
      <c r="Z2484" t="s">
        <v>26667</v>
      </c>
      <c r="AB2484" t="s">
        <v>28876</v>
      </c>
      <c r="AE2484">
        <v>0</v>
      </c>
      <c r="AH2484">
        <v>0</v>
      </c>
      <c r="AI2484">
        <v>3</v>
      </c>
      <c r="AJ2484">
        <v>0</v>
      </c>
      <c r="AK2484">
        <v>0</v>
      </c>
      <c r="AN2484" t="s">
        <v>7439</v>
      </c>
      <c r="AO2484">
        <v>0</v>
      </c>
      <c r="AU2484">
        <v>0.7</v>
      </c>
      <c r="AV2484" t="s">
        <v>828</v>
      </c>
      <c r="AW2484" t="s">
        <v>46862</v>
      </c>
    </row>
    <row r="2485" spans="1:49">
      <c r="A2485" s="1">
        <f>HYPERLINK("https://lsnyc.legalserver.org/matter/dynamic-profile/view/1883573","18-1883573")</f>
        <v>0</v>
      </c>
      <c r="B2485" t="s">
        <v>249</v>
      </c>
      <c r="C2485" t="s">
        <v>341</v>
      </c>
      <c r="D2485" t="s">
        <v>603</v>
      </c>
      <c r="E2485" t="s">
        <v>861</v>
      </c>
      <c r="F2485" t="s">
        <v>1235</v>
      </c>
      <c r="G2485" t="s">
        <v>5473</v>
      </c>
      <c r="H2485" t="s">
        <v>11664</v>
      </c>
      <c r="J2485" t="s">
        <v>18894</v>
      </c>
      <c r="K2485">
        <v>11207</v>
      </c>
      <c r="L2485" t="s">
        <v>18958</v>
      </c>
      <c r="M2485" t="s">
        <v>18958</v>
      </c>
      <c r="O2485" t="s">
        <v>26539</v>
      </c>
      <c r="P2485" t="s">
        <v>26561</v>
      </c>
      <c r="Q2485" t="s">
        <v>26569</v>
      </c>
      <c r="R2485" t="s">
        <v>26578</v>
      </c>
      <c r="S2485" t="s">
        <v>18959</v>
      </c>
      <c r="U2485" t="s">
        <v>26604</v>
      </c>
      <c r="V2485" t="s">
        <v>26609</v>
      </c>
      <c r="W2485" t="s">
        <v>600</v>
      </c>
      <c r="X2485">
        <v>1200</v>
      </c>
      <c r="Y2485" t="s">
        <v>26652</v>
      </c>
      <c r="Z2485" t="s">
        <v>26659</v>
      </c>
      <c r="AA2485" t="s">
        <v>26682</v>
      </c>
      <c r="AB2485" t="s">
        <v>28877</v>
      </c>
      <c r="AC2485" t="s">
        <v>35246</v>
      </c>
      <c r="AD2485" t="s">
        <v>38935</v>
      </c>
      <c r="AE2485">
        <v>6</v>
      </c>
      <c r="AF2485" t="s">
        <v>45541</v>
      </c>
      <c r="AG2485" t="s">
        <v>45558</v>
      </c>
      <c r="AH2485">
        <v>6</v>
      </c>
      <c r="AI2485">
        <v>2</v>
      </c>
      <c r="AJ2485">
        <v>1</v>
      </c>
      <c r="AK2485">
        <v>36.96</v>
      </c>
      <c r="AN2485" t="s">
        <v>7439</v>
      </c>
      <c r="AO2485">
        <v>7680</v>
      </c>
      <c r="AU2485">
        <v>13.5</v>
      </c>
      <c r="AV2485" t="s">
        <v>861</v>
      </c>
      <c r="AW2485" t="s">
        <v>286</v>
      </c>
    </row>
    <row r="2486" spans="1:49">
      <c r="A2486" s="1">
        <f>HYPERLINK("https://lsnyc.legalserver.org/matter/dynamic-profile/view/1848774","17-1848774")</f>
        <v>0</v>
      </c>
      <c r="B2486" t="s">
        <v>69</v>
      </c>
      <c r="C2486" t="s">
        <v>341</v>
      </c>
      <c r="D2486" t="s">
        <v>627</v>
      </c>
      <c r="E2486" t="s">
        <v>786</v>
      </c>
      <c r="F2486" t="s">
        <v>1406</v>
      </c>
      <c r="G2486" t="s">
        <v>5275</v>
      </c>
      <c r="H2486" t="s">
        <v>10753</v>
      </c>
      <c r="I2486" t="s">
        <v>17326</v>
      </c>
      <c r="J2486" t="s">
        <v>18892</v>
      </c>
      <c r="K2486">
        <v>10457</v>
      </c>
      <c r="L2486" t="s">
        <v>18958</v>
      </c>
      <c r="M2486" t="s">
        <v>18960</v>
      </c>
      <c r="N2486" t="s">
        <v>20833</v>
      </c>
      <c r="O2486" t="s">
        <v>26523</v>
      </c>
      <c r="P2486" t="s">
        <v>26560</v>
      </c>
      <c r="Q2486" t="s">
        <v>26568</v>
      </c>
      <c r="R2486" t="s">
        <v>26579</v>
      </c>
      <c r="S2486" t="s">
        <v>18959</v>
      </c>
      <c r="U2486" t="s">
        <v>26604</v>
      </c>
      <c r="V2486" t="s">
        <v>26611</v>
      </c>
      <c r="W2486" t="s">
        <v>623</v>
      </c>
      <c r="X2486">
        <v>1350</v>
      </c>
      <c r="Y2486" t="s">
        <v>26650</v>
      </c>
      <c r="Z2486" t="s">
        <v>26662</v>
      </c>
      <c r="AA2486" t="s">
        <v>26679</v>
      </c>
      <c r="AB2486" t="s">
        <v>28878</v>
      </c>
      <c r="AC2486" t="s">
        <v>35247</v>
      </c>
      <c r="AD2486" t="s">
        <v>38936</v>
      </c>
      <c r="AE2486">
        <v>0</v>
      </c>
      <c r="AF2486" t="s">
        <v>45541</v>
      </c>
      <c r="AG2486" t="s">
        <v>19330</v>
      </c>
      <c r="AH2486">
        <v>3</v>
      </c>
      <c r="AI2486">
        <v>2</v>
      </c>
      <c r="AJ2486">
        <v>0</v>
      </c>
      <c r="AK2486">
        <v>41.67</v>
      </c>
      <c r="AN2486" t="s">
        <v>45581</v>
      </c>
      <c r="AO2486">
        <v>6768</v>
      </c>
      <c r="AP2486" t="s">
        <v>45620</v>
      </c>
      <c r="AU2486">
        <v>33.1</v>
      </c>
      <c r="AV2486" t="s">
        <v>684</v>
      </c>
      <c r="AW2486" t="s">
        <v>46848</v>
      </c>
    </row>
    <row r="2487" spans="1:49">
      <c r="A2487" s="1">
        <f>HYPERLINK("https://lsnyc.legalserver.org/matter/dynamic-profile/view/1848762","17-1848762")</f>
        <v>0</v>
      </c>
      <c r="B2487" t="s">
        <v>133</v>
      </c>
      <c r="C2487" t="s">
        <v>340</v>
      </c>
      <c r="D2487" t="s">
        <v>627</v>
      </c>
      <c r="F2487" t="s">
        <v>2273</v>
      </c>
      <c r="G2487" t="s">
        <v>6468</v>
      </c>
      <c r="H2487" t="s">
        <v>11665</v>
      </c>
      <c r="I2487" t="s">
        <v>17837</v>
      </c>
      <c r="J2487" t="s">
        <v>18892</v>
      </c>
      <c r="K2487">
        <v>10467</v>
      </c>
      <c r="L2487" t="s">
        <v>18958</v>
      </c>
      <c r="M2487" t="s">
        <v>18958</v>
      </c>
      <c r="N2487" t="s">
        <v>20834</v>
      </c>
      <c r="O2487" t="s">
        <v>26524</v>
      </c>
      <c r="P2487" t="s">
        <v>26560</v>
      </c>
      <c r="R2487" t="s">
        <v>26579</v>
      </c>
      <c r="S2487" t="s">
        <v>18959</v>
      </c>
      <c r="U2487" t="s">
        <v>26604</v>
      </c>
      <c r="V2487" t="s">
        <v>26611</v>
      </c>
      <c r="W2487" t="s">
        <v>623</v>
      </c>
      <c r="X2487">
        <v>1330.8</v>
      </c>
      <c r="Y2487" t="s">
        <v>26650</v>
      </c>
      <c r="Z2487" t="s">
        <v>26662</v>
      </c>
      <c r="AB2487" t="s">
        <v>28879</v>
      </c>
      <c r="AC2487" t="s">
        <v>35248</v>
      </c>
      <c r="AD2487" t="s">
        <v>38937</v>
      </c>
      <c r="AE2487">
        <v>0</v>
      </c>
      <c r="AF2487" t="s">
        <v>45541</v>
      </c>
      <c r="AG2487" t="s">
        <v>45559</v>
      </c>
      <c r="AH2487">
        <v>6</v>
      </c>
      <c r="AI2487">
        <v>4</v>
      </c>
      <c r="AJ2487">
        <v>1</v>
      </c>
      <c r="AK2487">
        <v>184.16</v>
      </c>
      <c r="AN2487" t="s">
        <v>7439</v>
      </c>
      <c r="AO2487">
        <v>53000</v>
      </c>
      <c r="AP2487" t="s">
        <v>45753</v>
      </c>
      <c r="AU2487">
        <v>74.40000000000001</v>
      </c>
      <c r="AV2487" t="s">
        <v>670</v>
      </c>
      <c r="AW2487" t="s">
        <v>46832</v>
      </c>
    </row>
    <row r="2488" spans="1:49">
      <c r="A2488" s="1">
        <f>HYPERLINK("https://lsnyc.legalserver.org/matter/dynamic-profile/view/1848647","17-1848647")</f>
        <v>0</v>
      </c>
      <c r="B2488" t="s">
        <v>68</v>
      </c>
      <c r="C2488" t="s">
        <v>340</v>
      </c>
      <c r="D2488" t="s">
        <v>627</v>
      </c>
      <c r="F2488" t="s">
        <v>999</v>
      </c>
      <c r="G2488" t="s">
        <v>6469</v>
      </c>
      <c r="H2488" t="s">
        <v>11666</v>
      </c>
      <c r="I2488" t="s">
        <v>17274</v>
      </c>
      <c r="J2488" t="s">
        <v>18892</v>
      </c>
      <c r="K2488">
        <v>10468</v>
      </c>
      <c r="L2488" t="s">
        <v>18958</v>
      </c>
      <c r="M2488" t="s">
        <v>18958</v>
      </c>
      <c r="N2488" t="s">
        <v>20835</v>
      </c>
      <c r="O2488" t="s">
        <v>26524</v>
      </c>
      <c r="P2488" t="s">
        <v>26560</v>
      </c>
      <c r="R2488" t="s">
        <v>26579</v>
      </c>
      <c r="S2488" t="s">
        <v>18959</v>
      </c>
      <c r="U2488" t="s">
        <v>26604</v>
      </c>
      <c r="V2488" t="s">
        <v>26610</v>
      </c>
      <c r="W2488" t="s">
        <v>623</v>
      </c>
      <c r="X2488">
        <v>2300</v>
      </c>
      <c r="Y2488" t="s">
        <v>26650</v>
      </c>
      <c r="Z2488" t="s">
        <v>26674</v>
      </c>
      <c r="AB2488" t="s">
        <v>28880</v>
      </c>
      <c r="AD2488" t="s">
        <v>38938</v>
      </c>
      <c r="AE2488">
        <v>65</v>
      </c>
      <c r="AF2488" t="s">
        <v>45541</v>
      </c>
      <c r="AG2488" t="s">
        <v>19330</v>
      </c>
      <c r="AH2488">
        <v>7</v>
      </c>
      <c r="AI2488">
        <v>5</v>
      </c>
      <c r="AJ2488">
        <v>1</v>
      </c>
      <c r="AK2488">
        <v>142.6</v>
      </c>
      <c r="AN2488" t="s">
        <v>45581</v>
      </c>
      <c r="AO2488">
        <v>47000</v>
      </c>
      <c r="AP2488" t="s">
        <v>45620</v>
      </c>
      <c r="AU2488">
        <v>172.45</v>
      </c>
      <c r="AV2488" t="s">
        <v>839</v>
      </c>
      <c r="AW2488" t="s">
        <v>46848</v>
      </c>
    </row>
    <row r="2489" spans="1:49">
      <c r="A2489" s="1">
        <f>HYPERLINK("https://lsnyc.legalserver.org/matter/dynamic-profile/view/1875068","18-1875068")</f>
        <v>0</v>
      </c>
      <c r="B2489" t="s">
        <v>186</v>
      </c>
      <c r="C2489" t="s">
        <v>341</v>
      </c>
      <c r="D2489" t="s">
        <v>505</v>
      </c>
      <c r="E2489" t="s">
        <v>623</v>
      </c>
      <c r="F2489" t="s">
        <v>1253</v>
      </c>
      <c r="G2489" t="s">
        <v>6470</v>
      </c>
      <c r="H2489" t="s">
        <v>11667</v>
      </c>
      <c r="J2489" t="s">
        <v>18894</v>
      </c>
      <c r="K2489">
        <v>11216</v>
      </c>
      <c r="L2489" t="s">
        <v>18958</v>
      </c>
      <c r="M2489" t="s">
        <v>18958</v>
      </c>
      <c r="N2489" t="s">
        <v>20836</v>
      </c>
      <c r="O2489" t="s">
        <v>26524</v>
      </c>
      <c r="P2489" t="s">
        <v>26560</v>
      </c>
      <c r="Q2489" t="s">
        <v>26568</v>
      </c>
      <c r="R2489" t="s">
        <v>26588</v>
      </c>
      <c r="U2489" t="s">
        <v>26605</v>
      </c>
      <c r="W2489" t="s">
        <v>623</v>
      </c>
      <c r="X2489">
        <v>0</v>
      </c>
      <c r="Y2489" t="s">
        <v>26652</v>
      </c>
      <c r="Z2489" t="s">
        <v>26659</v>
      </c>
      <c r="AA2489" t="s">
        <v>26680</v>
      </c>
      <c r="AB2489" t="s">
        <v>28881</v>
      </c>
      <c r="AD2489" t="s">
        <v>38939</v>
      </c>
      <c r="AE2489">
        <v>32</v>
      </c>
      <c r="AF2489" t="s">
        <v>45549</v>
      </c>
      <c r="AH2489">
        <v>0</v>
      </c>
      <c r="AI2489">
        <v>2</v>
      </c>
      <c r="AJ2489">
        <v>1</v>
      </c>
      <c r="AK2489">
        <v>0</v>
      </c>
      <c r="AN2489" t="s">
        <v>7439</v>
      </c>
      <c r="AO2489">
        <v>0</v>
      </c>
      <c r="AQ2489" t="s">
        <v>46359</v>
      </c>
      <c r="AR2489" t="s">
        <v>46422</v>
      </c>
      <c r="AS2489" t="s">
        <v>46499</v>
      </c>
      <c r="AT2489" t="s">
        <v>46597</v>
      </c>
      <c r="AU2489">
        <v>5.3</v>
      </c>
      <c r="AV2489" t="s">
        <v>540</v>
      </c>
      <c r="AW2489" t="s">
        <v>281</v>
      </c>
    </row>
    <row r="2490" spans="1:49">
      <c r="A2490" s="1">
        <f>HYPERLINK("https://lsnyc.legalserver.org/matter/dynamic-profile/view/1879856","18-1879856")</f>
        <v>0</v>
      </c>
      <c r="B2490" t="s">
        <v>136</v>
      </c>
      <c r="C2490" t="s">
        <v>340</v>
      </c>
      <c r="D2490" t="s">
        <v>412</v>
      </c>
      <c r="F2490" t="s">
        <v>1426</v>
      </c>
      <c r="G2490" t="s">
        <v>5330</v>
      </c>
      <c r="H2490" t="s">
        <v>11668</v>
      </c>
      <c r="I2490" t="s">
        <v>17293</v>
      </c>
      <c r="J2490" t="s">
        <v>18892</v>
      </c>
      <c r="K2490">
        <v>10451</v>
      </c>
      <c r="L2490" t="s">
        <v>18958</v>
      </c>
      <c r="M2490" t="s">
        <v>18958</v>
      </c>
      <c r="N2490" t="s">
        <v>20837</v>
      </c>
      <c r="O2490" t="s">
        <v>26524</v>
      </c>
      <c r="P2490" t="s">
        <v>26560</v>
      </c>
      <c r="R2490" t="s">
        <v>26577</v>
      </c>
      <c r="U2490" t="s">
        <v>26604</v>
      </c>
      <c r="V2490" t="s">
        <v>26610</v>
      </c>
      <c r="W2490" t="s">
        <v>623</v>
      </c>
      <c r="X2490">
        <v>1192</v>
      </c>
      <c r="Y2490" t="s">
        <v>26650</v>
      </c>
      <c r="Z2490" t="s">
        <v>26530</v>
      </c>
      <c r="AB2490" t="s">
        <v>28882</v>
      </c>
      <c r="AD2490" t="s">
        <v>38940</v>
      </c>
      <c r="AE2490">
        <v>0</v>
      </c>
      <c r="AF2490" t="s">
        <v>45544</v>
      </c>
      <c r="AG2490" t="s">
        <v>19330</v>
      </c>
      <c r="AH2490">
        <v>2</v>
      </c>
      <c r="AI2490">
        <v>2</v>
      </c>
      <c r="AJ2490">
        <v>1</v>
      </c>
      <c r="AK2490">
        <v>326.16</v>
      </c>
      <c r="AL2490" t="s">
        <v>709</v>
      </c>
      <c r="AM2490" t="s">
        <v>45575</v>
      </c>
      <c r="AN2490" t="s">
        <v>7439</v>
      </c>
      <c r="AO2490">
        <v>67776</v>
      </c>
      <c r="AQ2490" t="s">
        <v>46364</v>
      </c>
      <c r="AR2490" t="s">
        <v>46384</v>
      </c>
      <c r="AS2490" t="s">
        <v>46500</v>
      </c>
      <c r="AT2490" t="s">
        <v>46722</v>
      </c>
      <c r="AU2490">
        <v>8.4</v>
      </c>
      <c r="AV2490" t="s">
        <v>745</v>
      </c>
      <c r="AW2490" t="s">
        <v>46870</v>
      </c>
    </row>
    <row r="2491" spans="1:49">
      <c r="A2491" s="1">
        <f>HYPERLINK("https://lsnyc.legalserver.org/matter/dynamic-profile/view/1880625","18-1880625")</f>
        <v>0</v>
      </c>
      <c r="B2491" t="s">
        <v>61</v>
      </c>
      <c r="C2491" t="s">
        <v>341</v>
      </c>
      <c r="D2491" t="s">
        <v>623</v>
      </c>
      <c r="E2491" t="s">
        <v>623</v>
      </c>
      <c r="F2491" t="s">
        <v>1663</v>
      </c>
      <c r="G2491" t="s">
        <v>1995</v>
      </c>
      <c r="H2491" t="s">
        <v>9854</v>
      </c>
      <c r="I2491" t="s">
        <v>17838</v>
      </c>
      <c r="J2491" t="s">
        <v>18893</v>
      </c>
      <c r="K2491">
        <v>10033</v>
      </c>
      <c r="L2491" t="s">
        <v>18958</v>
      </c>
      <c r="M2491" t="s">
        <v>18958</v>
      </c>
      <c r="O2491" t="s">
        <v>18997</v>
      </c>
      <c r="P2491" t="s">
        <v>26564</v>
      </c>
      <c r="Q2491" t="s">
        <v>26570</v>
      </c>
      <c r="R2491" t="s">
        <v>26578</v>
      </c>
      <c r="S2491" t="s">
        <v>18958</v>
      </c>
      <c r="U2491" t="s">
        <v>26604</v>
      </c>
      <c r="W2491" t="s">
        <v>623</v>
      </c>
      <c r="X2491">
        <v>1407.82</v>
      </c>
      <c r="Y2491" t="s">
        <v>26651</v>
      </c>
      <c r="Z2491" t="s">
        <v>26661</v>
      </c>
      <c r="AA2491" t="s">
        <v>26683</v>
      </c>
      <c r="AB2491" t="s">
        <v>28883</v>
      </c>
      <c r="AD2491" t="s">
        <v>38941</v>
      </c>
      <c r="AE2491">
        <v>232</v>
      </c>
      <c r="AF2491" t="s">
        <v>45541</v>
      </c>
      <c r="AG2491" t="s">
        <v>45559</v>
      </c>
      <c r="AH2491">
        <v>38</v>
      </c>
      <c r="AI2491">
        <v>1</v>
      </c>
      <c r="AJ2491">
        <v>0</v>
      </c>
      <c r="AK2491">
        <v>411.86</v>
      </c>
      <c r="AN2491" t="s">
        <v>7439</v>
      </c>
      <c r="AO2491">
        <v>50000</v>
      </c>
      <c r="AU2491">
        <v>2.2</v>
      </c>
      <c r="AV2491" t="s">
        <v>623</v>
      </c>
      <c r="AW2491" t="s">
        <v>46840</v>
      </c>
    </row>
    <row r="2492" spans="1:49">
      <c r="A2492" s="1">
        <f>HYPERLINK("https://lsnyc.legalserver.org/matter/dynamic-profile/view/1880588","18-1880588")</f>
        <v>0</v>
      </c>
      <c r="B2492" t="s">
        <v>85</v>
      </c>
      <c r="C2492" t="s">
        <v>341</v>
      </c>
      <c r="D2492" t="s">
        <v>623</v>
      </c>
      <c r="E2492" t="s">
        <v>699</v>
      </c>
      <c r="F2492" t="s">
        <v>1119</v>
      </c>
      <c r="G2492" t="s">
        <v>6471</v>
      </c>
      <c r="H2492" t="s">
        <v>11669</v>
      </c>
      <c r="I2492">
        <v>1</v>
      </c>
      <c r="J2492" t="s">
        <v>18898</v>
      </c>
      <c r="K2492">
        <v>11691</v>
      </c>
      <c r="L2492" t="s">
        <v>18958</v>
      </c>
      <c r="M2492" t="s">
        <v>18958</v>
      </c>
      <c r="N2492" t="s">
        <v>20838</v>
      </c>
      <c r="O2492" t="s">
        <v>26523</v>
      </c>
      <c r="P2492" t="s">
        <v>26564</v>
      </c>
      <c r="Q2492" t="s">
        <v>26570</v>
      </c>
      <c r="R2492" t="s">
        <v>26578</v>
      </c>
      <c r="S2492" t="s">
        <v>18959</v>
      </c>
      <c r="U2492" t="s">
        <v>26604</v>
      </c>
      <c r="V2492" t="s">
        <v>26612</v>
      </c>
      <c r="W2492" t="s">
        <v>623</v>
      </c>
      <c r="X2492">
        <v>1200</v>
      </c>
      <c r="Y2492" t="s">
        <v>26653</v>
      </c>
      <c r="Z2492" t="s">
        <v>26664</v>
      </c>
      <c r="AA2492" t="s">
        <v>26683</v>
      </c>
      <c r="AB2492" t="s">
        <v>28884</v>
      </c>
      <c r="AD2492" t="s">
        <v>38942</v>
      </c>
      <c r="AE2492">
        <v>2</v>
      </c>
      <c r="AF2492" t="s">
        <v>20460</v>
      </c>
      <c r="AG2492" t="s">
        <v>19330</v>
      </c>
      <c r="AH2492">
        <v>3</v>
      </c>
      <c r="AI2492">
        <v>1</v>
      </c>
      <c r="AJ2492">
        <v>0</v>
      </c>
      <c r="AK2492">
        <v>82.37</v>
      </c>
      <c r="AN2492" t="s">
        <v>7439</v>
      </c>
      <c r="AO2492">
        <v>10000</v>
      </c>
      <c r="AU2492">
        <v>0.4</v>
      </c>
      <c r="AV2492" t="s">
        <v>639</v>
      </c>
      <c r="AW2492" t="s">
        <v>208</v>
      </c>
    </row>
    <row r="2493" spans="1:49">
      <c r="A2493" s="1">
        <f>HYPERLINK("https://lsnyc.legalserver.org/matter/dynamic-profile/view/1880596","18-1880596")</f>
        <v>0</v>
      </c>
      <c r="B2493" t="s">
        <v>212</v>
      </c>
      <c r="C2493" t="s">
        <v>341</v>
      </c>
      <c r="D2493" t="s">
        <v>623</v>
      </c>
      <c r="E2493" t="s">
        <v>623</v>
      </c>
      <c r="F2493" t="s">
        <v>2087</v>
      </c>
      <c r="G2493" t="s">
        <v>6472</v>
      </c>
      <c r="H2493" t="s">
        <v>11670</v>
      </c>
      <c r="I2493" t="s">
        <v>17839</v>
      </c>
      <c r="J2493" t="s">
        <v>18911</v>
      </c>
      <c r="K2493">
        <v>11375</v>
      </c>
      <c r="L2493" t="s">
        <v>18958</v>
      </c>
      <c r="M2493" t="s">
        <v>18958</v>
      </c>
      <c r="N2493" t="s">
        <v>20839</v>
      </c>
      <c r="O2493" t="s">
        <v>26523</v>
      </c>
      <c r="P2493" t="s">
        <v>26564</v>
      </c>
      <c r="Q2493" t="s">
        <v>26570</v>
      </c>
      <c r="R2493" t="s">
        <v>26578</v>
      </c>
      <c r="S2493" t="s">
        <v>18959</v>
      </c>
      <c r="U2493" t="s">
        <v>26604</v>
      </c>
      <c r="V2493" t="s">
        <v>26610</v>
      </c>
      <c r="W2493" t="s">
        <v>623</v>
      </c>
      <c r="X2493">
        <v>2066</v>
      </c>
      <c r="Y2493" t="s">
        <v>26653</v>
      </c>
      <c r="Z2493" t="s">
        <v>26664</v>
      </c>
      <c r="AA2493" t="s">
        <v>26683</v>
      </c>
      <c r="AB2493" t="s">
        <v>28885</v>
      </c>
      <c r="AD2493" t="s">
        <v>38943</v>
      </c>
      <c r="AE2493">
        <v>425</v>
      </c>
      <c r="AF2493" t="s">
        <v>45541</v>
      </c>
      <c r="AG2493" t="s">
        <v>19330</v>
      </c>
      <c r="AH2493">
        <v>25</v>
      </c>
      <c r="AI2493">
        <v>1</v>
      </c>
      <c r="AJ2493">
        <v>0</v>
      </c>
      <c r="AK2493">
        <v>125.44</v>
      </c>
      <c r="AN2493" t="s">
        <v>45602</v>
      </c>
      <c r="AO2493">
        <v>15228</v>
      </c>
      <c r="AU2493">
        <v>0.7</v>
      </c>
      <c r="AV2493" t="s">
        <v>623</v>
      </c>
      <c r="AW2493" t="s">
        <v>208</v>
      </c>
    </row>
    <row r="2494" spans="1:49">
      <c r="A2494" s="1">
        <f>HYPERLINK("https://lsnyc.legalserver.org/matter/dynamic-profile/view/1880603","18-1880603")</f>
        <v>0</v>
      </c>
      <c r="B2494" t="s">
        <v>212</v>
      </c>
      <c r="C2494" t="s">
        <v>341</v>
      </c>
      <c r="D2494" t="s">
        <v>623</v>
      </c>
      <c r="E2494" t="s">
        <v>623</v>
      </c>
      <c r="F2494" t="s">
        <v>886</v>
      </c>
      <c r="G2494" t="s">
        <v>4377</v>
      </c>
      <c r="H2494" t="s">
        <v>10433</v>
      </c>
      <c r="I2494">
        <v>410</v>
      </c>
      <c r="J2494" t="s">
        <v>18905</v>
      </c>
      <c r="K2494">
        <v>11692</v>
      </c>
      <c r="L2494" t="s">
        <v>18958</v>
      </c>
      <c r="M2494" t="s">
        <v>18958</v>
      </c>
      <c r="N2494" t="s">
        <v>20840</v>
      </c>
      <c r="O2494" t="s">
        <v>26523</v>
      </c>
      <c r="P2494" t="s">
        <v>26564</v>
      </c>
      <c r="Q2494" t="s">
        <v>26570</v>
      </c>
      <c r="R2494" t="s">
        <v>26578</v>
      </c>
      <c r="S2494" t="s">
        <v>18959</v>
      </c>
      <c r="U2494" t="s">
        <v>26604</v>
      </c>
      <c r="V2494" t="s">
        <v>26612</v>
      </c>
      <c r="W2494" t="s">
        <v>623</v>
      </c>
      <c r="X2494">
        <v>1536</v>
      </c>
      <c r="Y2494" t="s">
        <v>26653</v>
      </c>
      <c r="Z2494" t="s">
        <v>26664</v>
      </c>
      <c r="AA2494" t="s">
        <v>26683</v>
      </c>
      <c r="AB2494" t="s">
        <v>28886</v>
      </c>
      <c r="AC2494" t="s">
        <v>35249</v>
      </c>
      <c r="AD2494" t="s">
        <v>38944</v>
      </c>
      <c r="AE2494">
        <v>220</v>
      </c>
      <c r="AF2494" t="s">
        <v>45541</v>
      </c>
      <c r="AG2494" t="s">
        <v>19330</v>
      </c>
      <c r="AH2494">
        <v>18</v>
      </c>
      <c r="AI2494">
        <v>2</v>
      </c>
      <c r="AJ2494">
        <v>1</v>
      </c>
      <c r="AK2494">
        <v>178.06</v>
      </c>
      <c r="AN2494" t="s">
        <v>7439</v>
      </c>
      <c r="AO2494">
        <v>37000</v>
      </c>
      <c r="AU2494">
        <v>0.7</v>
      </c>
      <c r="AV2494" t="s">
        <v>623</v>
      </c>
      <c r="AW2494" t="s">
        <v>208</v>
      </c>
    </row>
    <row r="2495" spans="1:49">
      <c r="A2495" s="1">
        <f>HYPERLINK("https://lsnyc.legalserver.org/matter/dynamic-profile/view/1880566","18-1880566")</f>
        <v>0</v>
      </c>
      <c r="B2495" t="s">
        <v>212</v>
      </c>
      <c r="C2495" t="s">
        <v>341</v>
      </c>
      <c r="D2495" t="s">
        <v>623</v>
      </c>
      <c r="E2495" t="s">
        <v>635</v>
      </c>
      <c r="F2495" t="s">
        <v>2274</v>
      </c>
      <c r="G2495" t="s">
        <v>6473</v>
      </c>
      <c r="H2495" t="s">
        <v>10050</v>
      </c>
      <c r="I2495" t="s">
        <v>17840</v>
      </c>
      <c r="J2495" t="s">
        <v>18906</v>
      </c>
      <c r="K2495">
        <v>11373</v>
      </c>
      <c r="L2495" t="s">
        <v>18958</v>
      </c>
      <c r="M2495" t="s">
        <v>18958</v>
      </c>
      <c r="N2495" t="s">
        <v>20841</v>
      </c>
      <c r="O2495" t="s">
        <v>26523</v>
      </c>
      <c r="P2495" t="s">
        <v>26564</v>
      </c>
      <c r="Q2495" t="s">
        <v>26570</v>
      </c>
      <c r="R2495" t="s">
        <v>26585</v>
      </c>
      <c r="S2495" t="s">
        <v>18959</v>
      </c>
      <c r="U2495" t="s">
        <v>26604</v>
      </c>
      <c r="V2495" t="s">
        <v>26610</v>
      </c>
      <c r="W2495" t="s">
        <v>623</v>
      </c>
      <c r="X2495">
        <v>1216</v>
      </c>
      <c r="Y2495" t="s">
        <v>26653</v>
      </c>
      <c r="Z2495" t="s">
        <v>26664</v>
      </c>
      <c r="AA2495" t="s">
        <v>26683</v>
      </c>
      <c r="AB2495" t="s">
        <v>28887</v>
      </c>
      <c r="AC2495" t="s">
        <v>35250</v>
      </c>
      <c r="AD2495" t="s">
        <v>38945</v>
      </c>
      <c r="AE2495">
        <v>163</v>
      </c>
      <c r="AF2495" t="s">
        <v>20460</v>
      </c>
      <c r="AG2495" t="s">
        <v>19330</v>
      </c>
      <c r="AH2495">
        <v>22</v>
      </c>
      <c r="AI2495">
        <v>3</v>
      </c>
      <c r="AJ2495">
        <v>0</v>
      </c>
      <c r="AK2495">
        <v>286.33</v>
      </c>
      <c r="AN2495" t="s">
        <v>7439</v>
      </c>
      <c r="AO2495">
        <v>59500</v>
      </c>
      <c r="AU2495">
        <v>1.6</v>
      </c>
      <c r="AV2495" t="s">
        <v>635</v>
      </c>
      <c r="AW2495" t="s">
        <v>208</v>
      </c>
    </row>
    <row r="2496" spans="1:49">
      <c r="A2496" s="1">
        <f>HYPERLINK("https://lsnyc.legalserver.org/matter/dynamic-profile/view/1880005","18-1880005")</f>
        <v>0</v>
      </c>
      <c r="B2496" t="s">
        <v>232</v>
      </c>
      <c r="C2496" t="s">
        <v>341</v>
      </c>
      <c r="D2496" t="s">
        <v>623</v>
      </c>
      <c r="E2496" t="s">
        <v>763</v>
      </c>
      <c r="F2496" t="s">
        <v>2275</v>
      </c>
      <c r="G2496" t="s">
        <v>5143</v>
      </c>
      <c r="H2496" t="s">
        <v>11671</v>
      </c>
      <c r="I2496" t="s">
        <v>17440</v>
      </c>
      <c r="J2496" t="s">
        <v>18894</v>
      </c>
      <c r="K2496">
        <v>11236</v>
      </c>
      <c r="L2496" t="s">
        <v>18958</v>
      </c>
      <c r="M2496" t="s">
        <v>18958</v>
      </c>
      <c r="N2496" t="s">
        <v>20842</v>
      </c>
      <c r="O2496" t="s">
        <v>26523</v>
      </c>
      <c r="P2496" t="s">
        <v>26560</v>
      </c>
      <c r="Q2496" t="s">
        <v>26568</v>
      </c>
      <c r="R2496" t="s">
        <v>26586</v>
      </c>
      <c r="S2496" t="s">
        <v>18959</v>
      </c>
      <c r="U2496" t="s">
        <v>26605</v>
      </c>
      <c r="V2496" t="s">
        <v>26610</v>
      </c>
      <c r="W2496" t="s">
        <v>623</v>
      </c>
      <c r="X2496">
        <v>485</v>
      </c>
      <c r="Y2496" t="s">
        <v>26652</v>
      </c>
      <c r="Z2496" t="s">
        <v>26664</v>
      </c>
      <c r="AA2496" t="s">
        <v>26680</v>
      </c>
      <c r="AB2496" t="s">
        <v>28888</v>
      </c>
      <c r="AD2496" t="s">
        <v>38946</v>
      </c>
      <c r="AE2496">
        <v>70</v>
      </c>
      <c r="AF2496" t="s">
        <v>45542</v>
      </c>
      <c r="AG2496" t="s">
        <v>19330</v>
      </c>
      <c r="AH2496">
        <v>7</v>
      </c>
      <c r="AI2496">
        <v>2</v>
      </c>
      <c r="AJ2496">
        <v>1</v>
      </c>
      <c r="AK2496">
        <v>95.64</v>
      </c>
      <c r="AN2496" t="s">
        <v>7439</v>
      </c>
      <c r="AO2496">
        <v>19874</v>
      </c>
      <c r="AS2496" t="s">
        <v>46499</v>
      </c>
      <c r="AT2496" t="s">
        <v>46746</v>
      </c>
      <c r="AU2496">
        <v>13.45</v>
      </c>
      <c r="AV2496" t="s">
        <v>763</v>
      </c>
      <c r="AW2496" t="s">
        <v>46862</v>
      </c>
    </row>
    <row r="2497" spans="1:50">
      <c r="A2497" s="1">
        <f>HYPERLINK("https://lsnyc.legalserver.org/matter/dynamic-profile/view/1880604","18-1880604")</f>
        <v>0</v>
      </c>
      <c r="B2497" t="s">
        <v>122</v>
      </c>
      <c r="C2497" t="s">
        <v>341</v>
      </c>
      <c r="D2497" t="s">
        <v>623</v>
      </c>
      <c r="E2497" t="s">
        <v>645</v>
      </c>
      <c r="F2497" t="s">
        <v>1153</v>
      </c>
      <c r="G2497" t="s">
        <v>5147</v>
      </c>
      <c r="H2497" t="s">
        <v>11672</v>
      </c>
      <c r="I2497" t="s">
        <v>17293</v>
      </c>
      <c r="J2497" t="s">
        <v>18900</v>
      </c>
      <c r="K2497">
        <v>11367</v>
      </c>
      <c r="L2497" t="s">
        <v>18958</v>
      </c>
      <c r="M2497" t="s">
        <v>18958</v>
      </c>
      <c r="N2497" t="s">
        <v>20843</v>
      </c>
      <c r="O2497" t="s">
        <v>26524</v>
      </c>
      <c r="P2497" t="s">
        <v>26564</v>
      </c>
      <c r="Q2497" t="s">
        <v>26570</v>
      </c>
      <c r="R2497" t="s">
        <v>26584</v>
      </c>
      <c r="S2497" t="s">
        <v>18959</v>
      </c>
      <c r="U2497" t="s">
        <v>26604</v>
      </c>
      <c r="W2497" t="s">
        <v>623</v>
      </c>
      <c r="X2497">
        <v>600</v>
      </c>
      <c r="Y2497" t="s">
        <v>26653</v>
      </c>
      <c r="Z2497" t="s">
        <v>26664</v>
      </c>
      <c r="AA2497" t="s">
        <v>26683</v>
      </c>
      <c r="AB2497" t="s">
        <v>28889</v>
      </c>
      <c r="AC2497" t="s">
        <v>35251</v>
      </c>
      <c r="AD2497" t="s">
        <v>38947</v>
      </c>
      <c r="AE2497">
        <v>10</v>
      </c>
      <c r="AF2497" t="s">
        <v>45541</v>
      </c>
      <c r="AG2497" t="s">
        <v>19330</v>
      </c>
      <c r="AH2497">
        <v>4</v>
      </c>
      <c r="AI2497">
        <v>1</v>
      </c>
      <c r="AJ2497">
        <v>1</v>
      </c>
      <c r="AK2497">
        <v>82.14</v>
      </c>
      <c r="AN2497" t="s">
        <v>45581</v>
      </c>
      <c r="AO2497">
        <v>13520</v>
      </c>
      <c r="AU2497">
        <v>0.6</v>
      </c>
      <c r="AV2497" t="s">
        <v>645</v>
      </c>
      <c r="AW2497" t="s">
        <v>122</v>
      </c>
    </row>
    <row r="2498" spans="1:50">
      <c r="A2498" s="1">
        <f>HYPERLINK("https://lsnyc.legalserver.org/matter/dynamic-profile/view/1880598","18-1880598")</f>
        <v>0</v>
      </c>
      <c r="B2498" t="s">
        <v>91</v>
      </c>
      <c r="C2498" t="s">
        <v>341</v>
      </c>
      <c r="D2498" t="s">
        <v>623</v>
      </c>
      <c r="E2498" t="s">
        <v>494</v>
      </c>
      <c r="F2498" t="s">
        <v>2276</v>
      </c>
      <c r="G2498" t="s">
        <v>5677</v>
      </c>
      <c r="H2498" t="s">
        <v>11673</v>
      </c>
      <c r="I2498" t="s">
        <v>17841</v>
      </c>
      <c r="J2498" t="s">
        <v>18898</v>
      </c>
      <c r="K2498">
        <v>11691</v>
      </c>
      <c r="L2498" t="s">
        <v>18958</v>
      </c>
      <c r="M2498" t="s">
        <v>18958</v>
      </c>
      <c r="N2498" t="s">
        <v>20844</v>
      </c>
      <c r="O2498" t="s">
        <v>26523</v>
      </c>
      <c r="P2498" t="s">
        <v>26564</v>
      </c>
      <c r="Q2498" t="s">
        <v>26570</v>
      </c>
      <c r="R2498" t="s">
        <v>26578</v>
      </c>
      <c r="S2498" t="s">
        <v>18959</v>
      </c>
      <c r="U2498" t="s">
        <v>26604</v>
      </c>
      <c r="V2498" t="s">
        <v>26610</v>
      </c>
      <c r="W2498" t="s">
        <v>623</v>
      </c>
      <c r="X2498">
        <v>1083.95</v>
      </c>
      <c r="Y2498" t="s">
        <v>26653</v>
      </c>
      <c r="Z2498" t="s">
        <v>26664</v>
      </c>
      <c r="AA2498" t="s">
        <v>26683</v>
      </c>
      <c r="AB2498" t="s">
        <v>28890</v>
      </c>
      <c r="AD2498" t="s">
        <v>38948</v>
      </c>
      <c r="AE2498">
        <v>73</v>
      </c>
      <c r="AF2498" t="s">
        <v>45541</v>
      </c>
      <c r="AG2498" t="s">
        <v>19330</v>
      </c>
      <c r="AH2498">
        <v>37</v>
      </c>
      <c r="AI2498">
        <v>2</v>
      </c>
      <c r="AJ2498">
        <v>1</v>
      </c>
      <c r="AK2498">
        <v>191.18</v>
      </c>
      <c r="AN2498" t="s">
        <v>7439</v>
      </c>
      <c r="AO2498">
        <v>39728</v>
      </c>
      <c r="AU2498">
        <v>0.4</v>
      </c>
      <c r="AV2498" t="s">
        <v>668</v>
      </c>
      <c r="AW2498" t="s">
        <v>208</v>
      </c>
    </row>
    <row r="2499" spans="1:50">
      <c r="A2499" s="1">
        <f>HYPERLINK("https://lsnyc.legalserver.org/matter/dynamic-profile/view/1880659","18-1880659")</f>
        <v>0</v>
      </c>
      <c r="B2499" t="s">
        <v>235</v>
      </c>
      <c r="C2499" t="s">
        <v>341</v>
      </c>
      <c r="D2499" t="s">
        <v>623</v>
      </c>
      <c r="E2499" t="s">
        <v>770</v>
      </c>
      <c r="F2499" t="s">
        <v>1244</v>
      </c>
      <c r="G2499" t="s">
        <v>6143</v>
      </c>
      <c r="H2499" t="s">
        <v>11674</v>
      </c>
      <c r="I2499" t="s">
        <v>17416</v>
      </c>
      <c r="J2499" t="s">
        <v>18923</v>
      </c>
      <c r="K2499">
        <v>11418</v>
      </c>
      <c r="L2499" t="s">
        <v>18958</v>
      </c>
      <c r="M2499" t="s">
        <v>18958</v>
      </c>
      <c r="N2499" t="s">
        <v>20845</v>
      </c>
      <c r="O2499" t="s">
        <v>26524</v>
      </c>
      <c r="P2499" t="s">
        <v>26560</v>
      </c>
      <c r="Q2499" t="s">
        <v>26568</v>
      </c>
      <c r="R2499" t="s">
        <v>26584</v>
      </c>
      <c r="S2499" t="s">
        <v>18959</v>
      </c>
      <c r="U2499" t="s">
        <v>26604</v>
      </c>
      <c r="V2499" t="s">
        <v>26610</v>
      </c>
      <c r="W2499" t="s">
        <v>623</v>
      </c>
      <c r="X2499">
        <v>2400</v>
      </c>
      <c r="Y2499" t="s">
        <v>26653</v>
      </c>
      <c r="Z2499" t="s">
        <v>26664</v>
      </c>
      <c r="AA2499" t="s">
        <v>26679</v>
      </c>
      <c r="AB2499" t="s">
        <v>28891</v>
      </c>
      <c r="AD2499" t="s">
        <v>38949</v>
      </c>
      <c r="AE2499">
        <v>3</v>
      </c>
      <c r="AG2499" t="s">
        <v>45556</v>
      </c>
      <c r="AH2499">
        <v>10</v>
      </c>
      <c r="AI2499">
        <v>3</v>
      </c>
      <c r="AJ2499">
        <v>1</v>
      </c>
      <c r="AK2499">
        <v>198.85</v>
      </c>
      <c r="AN2499" t="s">
        <v>7439</v>
      </c>
      <c r="AO2499">
        <v>49912</v>
      </c>
      <c r="AQ2499" t="s">
        <v>46359</v>
      </c>
      <c r="AR2499" t="s">
        <v>46379</v>
      </c>
      <c r="AS2499" t="s">
        <v>46500</v>
      </c>
      <c r="AT2499" t="s">
        <v>46662</v>
      </c>
      <c r="AU2499">
        <v>18.35</v>
      </c>
      <c r="AV2499" t="s">
        <v>726</v>
      </c>
      <c r="AW2499" t="s">
        <v>161</v>
      </c>
    </row>
    <row r="2500" spans="1:50">
      <c r="A2500" s="1">
        <f>HYPERLINK("https://lsnyc.legalserver.org/matter/dynamic-profile/view/1880542","18-1880542")</f>
        <v>0</v>
      </c>
      <c r="B2500" t="s">
        <v>125</v>
      </c>
      <c r="C2500" t="s">
        <v>341</v>
      </c>
      <c r="D2500" t="s">
        <v>623</v>
      </c>
      <c r="E2500" t="s">
        <v>697</v>
      </c>
      <c r="F2500" t="s">
        <v>1108</v>
      </c>
      <c r="G2500" t="s">
        <v>3798</v>
      </c>
      <c r="H2500" t="s">
        <v>11675</v>
      </c>
      <c r="I2500">
        <v>3</v>
      </c>
      <c r="J2500" t="s">
        <v>18894</v>
      </c>
      <c r="K2500">
        <v>11208</v>
      </c>
      <c r="L2500" t="s">
        <v>18958</v>
      </c>
      <c r="M2500" t="s">
        <v>18958</v>
      </c>
      <c r="N2500" t="s">
        <v>20846</v>
      </c>
      <c r="O2500" t="s">
        <v>26524</v>
      </c>
      <c r="P2500" t="s">
        <v>26564</v>
      </c>
      <c r="Q2500" t="s">
        <v>26570</v>
      </c>
      <c r="R2500" t="s">
        <v>26578</v>
      </c>
      <c r="U2500" t="s">
        <v>26604</v>
      </c>
      <c r="W2500" t="s">
        <v>623</v>
      </c>
      <c r="X2500">
        <v>1450</v>
      </c>
      <c r="Y2500" t="s">
        <v>26652</v>
      </c>
      <c r="Z2500" t="s">
        <v>26664</v>
      </c>
      <c r="AA2500" t="s">
        <v>26683</v>
      </c>
      <c r="AB2500" t="s">
        <v>28892</v>
      </c>
      <c r="AC2500" t="s">
        <v>35252</v>
      </c>
      <c r="AD2500" t="s">
        <v>38950</v>
      </c>
      <c r="AE2500">
        <v>3</v>
      </c>
      <c r="AG2500" t="s">
        <v>19330</v>
      </c>
      <c r="AH2500">
        <v>7</v>
      </c>
      <c r="AI2500">
        <v>1</v>
      </c>
      <c r="AJ2500">
        <v>1</v>
      </c>
      <c r="AK2500">
        <v>99.81999999999999</v>
      </c>
      <c r="AN2500" t="s">
        <v>7439</v>
      </c>
      <c r="AO2500">
        <v>16430.96</v>
      </c>
      <c r="AU2500">
        <v>2.15</v>
      </c>
      <c r="AV2500" t="s">
        <v>632</v>
      </c>
      <c r="AW2500" t="s">
        <v>46862</v>
      </c>
    </row>
    <row r="2501" spans="1:50">
      <c r="A2501" s="1">
        <f>HYPERLINK("https://lsnyc.legalserver.org/matter/dynamic-profile/view/1880546","18-1880546")</f>
        <v>0</v>
      </c>
      <c r="B2501" t="s">
        <v>61</v>
      </c>
      <c r="C2501" t="s">
        <v>340</v>
      </c>
      <c r="D2501" t="s">
        <v>623</v>
      </c>
      <c r="F2501" t="s">
        <v>2277</v>
      </c>
      <c r="G2501" t="s">
        <v>5147</v>
      </c>
      <c r="H2501" t="s">
        <v>11676</v>
      </c>
      <c r="I2501">
        <v>33</v>
      </c>
      <c r="J2501" t="s">
        <v>18893</v>
      </c>
      <c r="K2501">
        <v>10034</v>
      </c>
      <c r="L2501" t="s">
        <v>18958</v>
      </c>
      <c r="M2501" t="s">
        <v>18958</v>
      </c>
      <c r="O2501" t="s">
        <v>26531</v>
      </c>
      <c r="P2501" t="s">
        <v>26562</v>
      </c>
      <c r="R2501" t="s">
        <v>26578</v>
      </c>
      <c r="S2501" t="s">
        <v>18959</v>
      </c>
      <c r="U2501" t="s">
        <v>26604</v>
      </c>
      <c r="W2501" t="s">
        <v>623</v>
      </c>
      <c r="X2501">
        <v>1287</v>
      </c>
      <c r="Y2501" t="s">
        <v>26651</v>
      </c>
      <c r="Z2501" t="s">
        <v>26661</v>
      </c>
      <c r="AB2501" t="s">
        <v>28893</v>
      </c>
      <c r="AC2501" t="s">
        <v>35253</v>
      </c>
      <c r="AD2501" t="s">
        <v>38951</v>
      </c>
      <c r="AE2501">
        <v>57</v>
      </c>
      <c r="AF2501" t="s">
        <v>45541</v>
      </c>
      <c r="AG2501" t="s">
        <v>19330</v>
      </c>
      <c r="AH2501">
        <v>4</v>
      </c>
      <c r="AI2501">
        <v>2</v>
      </c>
      <c r="AJ2501">
        <v>2</v>
      </c>
      <c r="AK2501">
        <v>73.13</v>
      </c>
      <c r="AN2501" t="s">
        <v>45581</v>
      </c>
      <c r="AO2501">
        <v>18356</v>
      </c>
      <c r="AU2501">
        <v>4.5</v>
      </c>
      <c r="AV2501" t="s">
        <v>623</v>
      </c>
      <c r="AW2501" t="s">
        <v>46840</v>
      </c>
    </row>
    <row r="2502" spans="1:50">
      <c r="A2502" s="1">
        <f>HYPERLINK("https://lsnyc.legalserver.org/matter/dynamic-profile/view/1880531","18-1880531")</f>
        <v>0</v>
      </c>
      <c r="B2502" t="s">
        <v>133</v>
      </c>
      <c r="C2502" t="s">
        <v>340</v>
      </c>
      <c r="D2502" t="s">
        <v>623</v>
      </c>
      <c r="F2502" t="s">
        <v>1016</v>
      </c>
      <c r="G2502" t="s">
        <v>5672</v>
      </c>
      <c r="H2502" t="s">
        <v>11677</v>
      </c>
      <c r="I2502">
        <v>48</v>
      </c>
      <c r="J2502" t="s">
        <v>18892</v>
      </c>
      <c r="K2502">
        <v>10467</v>
      </c>
      <c r="L2502" t="s">
        <v>18958</v>
      </c>
      <c r="M2502" t="s">
        <v>18958</v>
      </c>
      <c r="N2502" t="s">
        <v>20847</v>
      </c>
      <c r="O2502" t="s">
        <v>26523</v>
      </c>
      <c r="P2502" t="s">
        <v>26560</v>
      </c>
      <c r="R2502" t="s">
        <v>26579</v>
      </c>
      <c r="S2502" t="s">
        <v>18959</v>
      </c>
      <c r="U2502" t="s">
        <v>26604</v>
      </c>
      <c r="V2502" t="s">
        <v>26610</v>
      </c>
      <c r="W2502" t="s">
        <v>623</v>
      </c>
      <c r="X2502">
        <v>888.29</v>
      </c>
      <c r="Y2502" t="s">
        <v>26650</v>
      </c>
      <c r="Z2502" t="s">
        <v>26664</v>
      </c>
      <c r="AB2502" t="s">
        <v>28894</v>
      </c>
      <c r="AC2502" t="s">
        <v>35254</v>
      </c>
      <c r="AD2502" t="s">
        <v>38952</v>
      </c>
      <c r="AE2502">
        <v>0</v>
      </c>
      <c r="AF2502" t="s">
        <v>45550</v>
      </c>
      <c r="AG2502" t="s">
        <v>19330</v>
      </c>
      <c r="AH2502">
        <v>35</v>
      </c>
      <c r="AI2502">
        <v>1</v>
      </c>
      <c r="AJ2502">
        <v>0</v>
      </c>
      <c r="AK2502">
        <v>110.94</v>
      </c>
      <c r="AN2502" t="s">
        <v>7439</v>
      </c>
      <c r="AO2502">
        <v>13468</v>
      </c>
      <c r="AU2502">
        <v>5.9</v>
      </c>
      <c r="AV2502" t="s">
        <v>518</v>
      </c>
      <c r="AW2502" t="s">
        <v>334</v>
      </c>
    </row>
    <row r="2503" spans="1:50">
      <c r="A2503" s="1">
        <f>HYPERLINK("https://lsnyc.legalserver.org/matter/dynamic-profile/view/1880547","18-1880547")</f>
        <v>0</v>
      </c>
      <c r="B2503" t="s">
        <v>97</v>
      </c>
      <c r="C2503" t="s">
        <v>340</v>
      </c>
      <c r="D2503" t="s">
        <v>623</v>
      </c>
      <c r="F2503" t="s">
        <v>2278</v>
      </c>
      <c r="G2503" t="s">
        <v>6474</v>
      </c>
      <c r="H2503" t="s">
        <v>10163</v>
      </c>
      <c r="I2503" t="s">
        <v>17355</v>
      </c>
      <c r="J2503" t="s">
        <v>18892</v>
      </c>
      <c r="K2503">
        <v>10468</v>
      </c>
      <c r="L2503" t="s">
        <v>18958</v>
      </c>
      <c r="M2503" t="s">
        <v>18958</v>
      </c>
      <c r="N2503" t="s">
        <v>20848</v>
      </c>
      <c r="O2503" t="s">
        <v>26523</v>
      </c>
      <c r="P2503" t="s">
        <v>26560</v>
      </c>
      <c r="R2503" t="s">
        <v>26579</v>
      </c>
      <c r="U2503" t="s">
        <v>26604</v>
      </c>
      <c r="V2503" t="s">
        <v>26610</v>
      </c>
      <c r="W2503" t="s">
        <v>623</v>
      </c>
      <c r="X2503">
        <v>1195</v>
      </c>
      <c r="Y2503" t="s">
        <v>26650</v>
      </c>
      <c r="Z2503" t="s">
        <v>26664</v>
      </c>
      <c r="AB2503" t="s">
        <v>28895</v>
      </c>
      <c r="AC2503" t="s">
        <v>35255</v>
      </c>
      <c r="AD2503" t="s">
        <v>38953</v>
      </c>
      <c r="AE2503">
        <v>41</v>
      </c>
      <c r="AF2503" t="s">
        <v>45541</v>
      </c>
      <c r="AG2503" t="s">
        <v>19330</v>
      </c>
      <c r="AH2503">
        <v>3</v>
      </c>
      <c r="AI2503">
        <v>1</v>
      </c>
      <c r="AJ2503">
        <v>1</v>
      </c>
      <c r="AK2503">
        <v>0</v>
      </c>
      <c r="AN2503" t="s">
        <v>7439</v>
      </c>
      <c r="AO2503">
        <v>0</v>
      </c>
      <c r="AU2503">
        <v>37.8</v>
      </c>
      <c r="AV2503" t="s">
        <v>797</v>
      </c>
      <c r="AW2503" t="s">
        <v>334</v>
      </c>
    </row>
    <row r="2504" spans="1:50">
      <c r="A2504" s="1">
        <f>HYPERLINK("https://lsnyc.legalserver.org/matter/dynamic-profile/view/1880562","18-1880562")</f>
        <v>0</v>
      </c>
      <c r="B2504" t="s">
        <v>167</v>
      </c>
      <c r="C2504" t="s">
        <v>340</v>
      </c>
      <c r="D2504" t="s">
        <v>623</v>
      </c>
      <c r="F2504" t="s">
        <v>2279</v>
      </c>
      <c r="G2504" t="s">
        <v>6475</v>
      </c>
      <c r="H2504" t="s">
        <v>11678</v>
      </c>
      <c r="I2504" t="s">
        <v>17631</v>
      </c>
      <c r="J2504" t="s">
        <v>18894</v>
      </c>
      <c r="K2504">
        <v>11235</v>
      </c>
      <c r="L2504" t="s">
        <v>18958</v>
      </c>
      <c r="M2504" t="s">
        <v>18958</v>
      </c>
      <c r="N2504" t="s">
        <v>20849</v>
      </c>
      <c r="O2504" t="s">
        <v>26523</v>
      </c>
      <c r="P2504" t="s">
        <v>26560</v>
      </c>
      <c r="R2504" t="s">
        <v>26586</v>
      </c>
      <c r="S2504" t="s">
        <v>18959</v>
      </c>
      <c r="U2504" t="s">
        <v>26604</v>
      </c>
      <c r="V2504" t="s">
        <v>26610</v>
      </c>
      <c r="W2504" t="s">
        <v>623</v>
      </c>
      <c r="X2504">
        <v>1635</v>
      </c>
      <c r="Y2504" t="s">
        <v>26652</v>
      </c>
      <c r="Z2504" t="s">
        <v>26659</v>
      </c>
      <c r="AB2504" t="s">
        <v>28896</v>
      </c>
      <c r="AD2504" t="s">
        <v>38954</v>
      </c>
      <c r="AE2504">
        <v>40</v>
      </c>
      <c r="AH2504">
        <v>4</v>
      </c>
      <c r="AI2504">
        <v>4</v>
      </c>
      <c r="AJ2504">
        <v>4</v>
      </c>
      <c r="AK2504">
        <v>188.77</v>
      </c>
      <c r="AN2504" t="s">
        <v>45603</v>
      </c>
      <c r="AO2504">
        <v>80000</v>
      </c>
      <c r="AR2504" t="s">
        <v>46467</v>
      </c>
      <c r="AS2504" t="s">
        <v>46499</v>
      </c>
      <c r="AU2504">
        <v>10.8</v>
      </c>
      <c r="AV2504" t="s">
        <v>800</v>
      </c>
      <c r="AW2504" t="s">
        <v>46856</v>
      </c>
      <c r="AX2504" t="s">
        <v>46897</v>
      </c>
    </row>
    <row r="2505" spans="1:50">
      <c r="A2505" s="1">
        <f>HYPERLINK("https://lsnyc.legalserver.org/matter/dynamic-profile/view/1880650","18-1880650")</f>
        <v>0</v>
      </c>
      <c r="B2505" t="s">
        <v>142</v>
      </c>
      <c r="C2505" t="s">
        <v>340</v>
      </c>
      <c r="D2505" t="s">
        <v>623</v>
      </c>
      <c r="F2505" t="s">
        <v>904</v>
      </c>
      <c r="G2505" t="s">
        <v>6476</v>
      </c>
      <c r="H2505" t="s">
        <v>11679</v>
      </c>
      <c r="I2505">
        <v>14</v>
      </c>
      <c r="J2505" t="s">
        <v>18942</v>
      </c>
      <c r="K2505">
        <v>11101</v>
      </c>
      <c r="L2505" t="s">
        <v>18958</v>
      </c>
      <c r="M2505" t="s">
        <v>18958</v>
      </c>
      <c r="N2505" t="s">
        <v>20850</v>
      </c>
      <c r="O2505" t="s">
        <v>26523</v>
      </c>
      <c r="P2505" t="s">
        <v>26560</v>
      </c>
      <c r="R2505" t="s">
        <v>26578</v>
      </c>
      <c r="S2505" t="s">
        <v>18959</v>
      </c>
      <c r="U2505" t="s">
        <v>26604</v>
      </c>
      <c r="V2505" t="s">
        <v>26612</v>
      </c>
      <c r="W2505" t="s">
        <v>623</v>
      </c>
      <c r="X2505">
        <v>2000</v>
      </c>
      <c r="Y2505" t="s">
        <v>26653</v>
      </c>
      <c r="Z2505" t="s">
        <v>26664</v>
      </c>
      <c r="AB2505" t="s">
        <v>28897</v>
      </c>
      <c r="AC2505" t="s">
        <v>35256</v>
      </c>
      <c r="AD2505" t="s">
        <v>38955</v>
      </c>
      <c r="AE2505">
        <v>18</v>
      </c>
      <c r="AF2505" t="s">
        <v>45541</v>
      </c>
      <c r="AG2505" t="s">
        <v>19330</v>
      </c>
      <c r="AH2505">
        <v>5</v>
      </c>
      <c r="AI2505">
        <v>2</v>
      </c>
      <c r="AJ2505">
        <v>3</v>
      </c>
      <c r="AK2505">
        <v>88.38</v>
      </c>
      <c r="AN2505" t="s">
        <v>7439</v>
      </c>
      <c r="AO2505">
        <v>26000</v>
      </c>
      <c r="AQ2505" t="s">
        <v>46359</v>
      </c>
      <c r="AR2505" t="s">
        <v>46379</v>
      </c>
      <c r="AS2505" t="s">
        <v>46500</v>
      </c>
      <c r="AT2505" t="s">
        <v>46651</v>
      </c>
      <c r="AU2505">
        <v>3.6</v>
      </c>
      <c r="AV2505" t="s">
        <v>525</v>
      </c>
      <c r="AW2505" t="s">
        <v>161</v>
      </c>
    </row>
    <row r="2506" spans="1:50">
      <c r="A2506" s="1">
        <f>HYPERLINK("https://lsnyc.legalserver.org/matter/dynamic-profile/view/1880600","18-1880600")</f>
        <v>0</v>
      </c>
      <c r="B2506" t="s">
        <v>104</v>
      </c>
      <c r="C2506" t="s">
        <v>340</v>
      </c>
      <c r="D2506" t="s">
        <v>623</v>
      </c>
      <c r="F2506" t="s">
        <v>2280</v>
      </c>
      <c r="G2506" t="s">
        <v>6477</v>
      </c>
      <c r="H2506" t="s">
        <v>11680</v>
      </c>
      <c r="I2506" t="s">
        <v>17432</v>
      </c>
      <c r="J2506" t="s">
        <v>18902</v>
      </c>
      <c r="K2506">
        <v>10301</v>
      </c>
      <c r="L2506" t="s">
        <v>18958</v>
      </c>
      <c r="M2506" t="s">
        <v>18958</v>
      </c>
      <c r="N2506" t="s">
        <v>20851</v>
      </c>
      <c r="O2506" t="s">
        <v>26523</v>
      </c>
      <c r="P2506" t="s">
        <v>26560</v>
      </c>
      <c r="R2506" t="s">
        <v>26587</v>
      </c>
      <c r="S2506" t="s">
        <v>18959</v>
      </c>
      <c r="U2506" t="s">
        <v>26606</v>
      </c>
      <c r="V2506" t="s">
        <v>26610</v>
      </c>
      <c r="W2506" t="s">
        <v>623</v>
      </c>
      <c r="X2506">
        <v>476</v>
      </c>
      <c r="Y2506" t="s">
        <v>26654</v>
      </c>
      <c r="Z2506" t="s">
        <v>26659</v>
      </c>
      <c r="AB2506" t="s">
        <v>28898</v>
      </c>
      <c r="AD2506" t="s">
        <v>38956</v>
      </c>
      <c r="AE2506">
        <v>164</v>
      </c>
      <c r="AF2506" t="s">
        <v>45549</v>
      </c>
      <c r="AG2506" t="s">
        <v>45556</v>
      </c>
      <c r="AH2506">
        <v>8</v>
      </c>
      <c r="AI2506">
        <v>2</v>
      </c>
      <c r="AJ2506">
        <v>2</v>
      </c>
      <c r="AK2506">
        <v>35.14</v>
      </c>
      <c r="AN2506" t="s">
        <v>7439</v>
      </c>
      <c r="AO2506">
        <v>8820</v>
      </c>
      <c r="AU2506">
        <v>28.9</v>
      </c>
      <c r="AV2506" t="s">
        <v>835</v>
      </c>
      <c r="AW2506" t="s">
        <v>190</v>
      </c>
    </row>
    <row r="2507" spans="1:50">
      <c r="A2507" s="1">
        <f>HYPERLINK("https://lsnyc.legalserver.org/matter/dynamic-profile/view/1880665","18-1880665")</f>
        <v>0</v>
      </c>
      <c r="B2507" t="s">
        <v>214</v>
      </c>
      <c r="C2507" t="s">
        <v>341</v>
      </c>
      <c r="D2507" t="s">
        <v>605</v>
      </c>
      <c r="E2507" t="s">
        <v>605</v>
      </c>
      <c r="F2507" t="s">
        <v>2281</v>
      </c>
      <c r="G2507" t="s">
        <v>6224</v>
      </c>
      <c r="H2507" t="s">
        <v>11681</v>
      </c>
      <c r="I2507" t="s">
        <v>17416</v>
      </c>
      <c r="J2507" t="s">
        <v>18901</v>
      </c>
      <c r="K2507">
        <v>11435</v>
      </c>
      <c r="L2507" t="s">
        <v>18958</v>
      </c>
      <c r="M2507" t="s">
        <v>18958</v>
      </c>
      <c r="N2507" t="s">
        <v>20852</v>
      </c>
      <c r="O2507" t="s">
        <v>26523</v>
      </c>
      <c r="P2507" t="s">
        <v>26564</v>
      </c>
      <c r="Q2507" t="s">
        <v>26570</v>
      </c>
      <c r="R2507" t="s">
        <v>26578</v>
      </c>
      <c r="S2507" t="s">
        <v>18959</v>
      </c>
      <c r="U2507" t="s">
        <v>26604</v>
      </c>
      <c r="V2507" t="s">
        <v>26610</v>
      </c>
      <c r="W2507" t="s">
        <v>623</v>
      </c>
      <c r="X2507">
        <v>1600</v>
      </c>
      <c r="Y2507" t="s">
        <v>26653</v>
      </c>
      <c r="Z2507" t="s">
        <v>26664</v>
      </c>
      <c r="AA2507" t="s">
        <v>26683</v>
      </c>
      <c r="AB2507" t="s">
        <v>28899</v>
      </c>
      <c r="AC2507" t="s">
        <v>34575</v>
      </c>
      <c r="AD2507" t="s">
        <v>38957</v>
      </c>
      <c r="AE2507">
        <v>3</v>
      </c>
      <c r="AF2507" t="s">
        <v>45547</v>
      </c>
      <c r="AG2507" t="s">
        <v>19330</v>
      </c>
      <c r="AH2507">
        <v>2</v>
      </c>
      <c r="AI2507">
        <v>2</v>
      </c>
      <c r="AJ2507">
        <v>1</v>
      </c>
      <c r="AK2507">
        <v>70.26000000000001</v>
      </c>
      <c r="AN2507" t="s">
        <v>7439</v>
      </c>
      <c r="AO2507">
        <v>14600</v>
      </c>
      <c r="AU2507">
        <v>0.72</v>
      </c>
      <c r="AV2507" t="s">
        <v>605</v>
      </c>
      <c r="AW2507" t="s">
        <v>161</v>
      </c>
    </row>
    <row r="2508" spans="1:50">
      <c r="A2508" s="1">
        <f>HYPERLINK("https://lsnyc.legalserver.org/matter/dynamic-profile/view/1846152","17-1846152")</f>
        <v>0</v>
      </c>
      <c r="B2508" t="s">
        <v>69</v>
      </c>
      <c r="C2508" t="s">
        <v>341</v>
      </c>
      <c r="D2508" t="s">
        <v>628</v>
      </c>
      <c r="E2508" t="s">
        <v>786</v>
      </c>
      <c r="F2508" t="s">
        <v>2282</v>
      </c>
      <c r="G2508" t="s">
        <v>6478</v>
      </c>
      <c r="H2508" t="s">
        <v>11007</v>
      </c>
      <c r="I2508" t="s">
        <v>17362</v>
      </c>
      <c r="J2508" t="s">
        <v>18892</v>
      </c>
      <c r="K2508">
        <v>10459</v>
      </c>
      <c r="L2508" t="s">
        <v>18958</v>
      </c>
      <c r="M2508" t="s">
        <v>18960</v>
      </c>
      <c r="N2508" t="s">
        <v>20853</v>
      </c>
      <c r="O2508" t="s">
        <v>26524</v>
      </c>
      <c r="P2508" t="s">
        <v>26560</v>
      </c>
      <c r="Q2508" t="s">
        <v>26574</v>
      </c>
      <c r="R2508" t="s">
        <v>26577</v>
      </c>
      <c r="S2508" t="s">
        <v>18959</v>
      </c>
      <c r="U2508" t="s">
        <v>26604</v>
      </c>
      <c r="V2508" t="s">
        <v>26610</v>
      </c>
      <c r="W2508" t="s">
        <v>630</v>
      </c>
      <c r="X2508">
        <v>310</v>
      </c>
      <c r="Y2508" t="s">
        <v>26650</v>
      </c>
      <c r="Z2508" t="s">
        <v>26656</v>
      </c>
      <c r="AA2508" t="s">
        <v>26680</v>
      </c>
      <c r="AB2508" t="s">
        <v>28900</v>
      </c>
      <c r="AC2508" t="s">
        <v>35257</v>
      </c>
      <c r="AD2508" t="s">
        <v>38958</v>
      </c>
      <c r="AE2508">
        <v>0</v>
      </c>
      <c r="AF2508" t="s">
        <v>45543</v>
      </c>
      <c r="AG2508" t="s">
        <v>45556</v>
      </c>
      <c r="AH2508">
        <v>8</v>
      </c>
      <c r="AI2508">
        <v>1</v>
      </c>
      <c r="AJ2508">
        <v>0</v>
      </c>
      <c r="AK2508">
        <v>79.59999999999999</v>
      </c>
      <c r="AM2508" t="s">
        <v>45579</v>
      </c>
      <c r="AO2508">
        <v>9600</v>
      </c>
      <c r="AP2508" t="s">
        <v>45620</v>
      </c>
      <c r="AS2508" t="s">
        <v>46499</v>
      </c>
      <c r="AT2508" t="s">
        <v>46545</v>
      </c>
      <c r="AU2508">
        <v>46.1</v>
      </c>
      <c r="AV2508" t="s">
        <v>786</v>
      </c>
      <c r="AW2508" t="s">
        <v>46848</v>
      </c>
    </row>
    <row r="2509" spans="1:50">
      <c r="A2509" s="1">
        <f>HYPERLINK("https://lsnyc.legalserver.org/matter/dynamic-profile/view/1848839","17-1848839")</f>
        <v>0</v>
      </c>
      <c r="B2509" t="s">
        <v>82</v>
      </c>
      <c r="C2509" t="s">
        <v>340</v>
      </c>
      <c r="D2509" t="s">
        <v>629</v>
      </c>
      <c r="F2509" t="s">
        <v>2283</v>
      </c>
      <c r="G2509" t="s">
        <v>6479</v>
      </c>
      <c r="H2509" t="s">
        <v>11682</v>
      </c>
      <c r="I2509">
        <v>20</v>
      </c>
      <c r="J2509" t="s">
        <v>18892</v>
      </c>
      <c r="K2509">
        <v>10468</v>
      </c>
      <c r="L2509" t="s">
        <v>18958</v>
      </c>
      <c r="M2509" t="s">
        <v>18960</v>
      </c>
      <c r="N2509" t="s">
        <v>20854</v>
      </c>
      <c r="O2509" t="s">
        <v>26523</v>
      </c>
      <c r="P2509" t="s">
        <v>26560</v>
      </c>
      <c r="R2509" t="s">
        <v>26579</v>
      </c>
      <c r="S2509" t="s">
        <v>18959</v>
      </c>
      <c r="U2509" t="s">
        <v>26604</v>
      </c>
      <c r="V2509" t="s">
        <v>26613</v>
      </c>
      <c r="W2509" t="s">
        <v>630</v>
      </c>
      <c r="X2509">
        <v>1040</v>
      </c>
      <c r="Y2509" t="s">
        <v>26650</v>
      </c>
      <c r="Z2509" t="s">
        <v>26656</v>
      </c>
      <c r="AB2509" t="s">
        <v>28901</v>
      </c>
      <c r="AC2509" t="s">
        <v>35258</v>
      </c>
      <c r="AD2509" t="s">
        <v>38959</v>
      </c>
      <c r="AE2509">
        <v>0</v>
      </c>
      <c r="AF2509" t="s">
        <v>45541</v>
      </c>
      <c r="AG2509" t="s">
        <v>45556</v>
      </c>
      <c r="AH2509">
        <v>12</v>
      </c>
      <c r="AI2509">
        <v>1</v>
      </c>
      <c r="AJ2509">
        <v>0</v>
      </c>
      <c r="AK2509">
        <v>73.13</v>
      </c>
      <c r="AN2509" t="s">
        <v>45604</v>
      </c>
      <c r="AO2509">
        <v>8820</v>
      </c>
      <c r="AP2509" t="s">
        <v>45621</v>
      </c>
      <c r="AR2509" t="s">
        <v>46385</v>
      </c>
      <c r="AS2509" t="s">
        <v>46499</v>
      </c>
      <c r="AT2509" t="s">
        <v>46738</v>
      </c>
      <c r="AU2509">
        <v>18.7</v>
      </c>
      <c r="AV2509" t="s">
        <v>678</v>
      </c>
      <c r="AW2509" t="s">
        <v>46848</v>
      </c>
    </row>
    <row r="2510" spans="1:50">
      <c r="A2510" s="1">
        <f>HYPERLINK("https://lsnyc.legalserver.org/matter/dynamic-profile/view/1859333","18-1859333")</f>
        <v>0</v>
      </c>
      <c r="B2510" t="s">
        <v>240</v>
      </c>
      <c r="C2510" t="s">
        <v>340</v>
      </c>
      <c r="D2510" t="s">
        <v>378</v>
      </c>
      <c r="F2510" t="s">
        <v>2284</v>
      </c>
      <c r="G2510" t="s">
        <v>1203</v>
      </c>
      <c r="H2510" t="s">
        <v>10800</v>
      </c>
      <c r="I2510" t="s">
        <v>17842</v>
      </c>
      <c r="J2510" t="s">
        <v>18894</v>
      </c>
      <c r="K2510">
        <v>11225</v>
      </c>
      <c r="L2510" t="s">
        <v>18959</v>
      </c>
      <c r="M2510" t="s">
        <v>18960</v>
      </c>
      <c r="N2510" t="s">
        <v>20855</v>
      </c>
      <c r="O2510" t="s">
        <v>26526</v>
      </c>
      <c r="P2510" t="s">
        <v>26560</v>
      </c>
      <c r="R2510" t="s">
        <v>26578</v>
      </c>
      <c r="S2510" t="s">
        <v>18958</v>
      </c>
      <c r="T2510" t="s">
        <v>26601</v>
      </c>
      <c r="U2510" t="s">
        <v>26604</v>
      </c>
      <c r="W2510" t="s">
        <v>630</v>
      </c>
      <c r="X2510">
        <v>1044.76</v>
      </c>
      <c r="Y2510" t="s">
        <v>26652</v>
      </c>
      <c r="Z2510" t="s">
        <v>26663</v>
      </c>
      <c r="AB2510" t="s">
        <v>28902</v>
      </c>
      <c r="AE2510">
        <v>42</v>
      </c>
      <c r="AF2510" t="s">
        <v>45541</v>
      </c>
      <c r="AH2510">
        <v>19</v>
      </c>
      <c r="AI2510">
        <v>2</v>
      </c>
      <c r="AJ2510">
        <v>0</v>
      </c>
      <c r="AK2510">
        <v>224.14</v>
      </c>
      <c r="AN2510" t="s">
        <v>7439</v>
      </c>
      <c r="AO2510">
        <v>36400</v>
      </c>
      <c r="AU2510">
        <v>13.5</v>
      </c>
      <c r="AV2510" t="s">
        <v>834</v>
      </c>
      <c r="AW2510" t="s">
        <v>237</v>
      </c>
    </row>
    <row r="2511" spans="1:50">
      <c r="A2511" s="1">
        <f>HYPERLINK("https://lsnyc.legalserver.org/matter/dynamic-profile/view/1866296","18-1866296")</f>
        <v>0</v>
      </c>
      <c r="B2511" t="s">
        <v>82</v>
      </c>
      <c r="C2511" t="s">
        <v>341</v>
      </c>
      <c r="D2511" t="s">
        <v>385</v>
      </c>
      <c r="E2511" t="s">
        <v>723</v>
      </c>
      <c r="F2511" t="s">
        <v>1018</v>
      </c>
      <c r="G2511" t="s">
        <v>6480</v>
      </c>
      <c r="H2511" t="s">
        <v>11683</v>
      </c>
      <c r="I2511">
        <v>8</v>
      </c>
      <c r="J2511" t="s">
        <v>18892</v>
      </c>
      <c r="K2511">
        <v>10454</v>
      </c>
      <c r="L2511" t="s">
        <v>18958</v>
      </c>
      <c r="M2511" t="s">
        <v>18958</v>
      </c>
      <c r="N2511" t="s">
        <v>20856</v>
      </c>
      <c r="O2511" t="s">
        <v>26523</v>
      </c>
      <c r="P2511" t="s">
        <v>26560</v>
      </c>
      <c r="Q2511" t="s">
        <v>26568</v>
      </c>
      <c r="R2511" t="s">
        <v>26577</v>
      </c>
      <c r="S2511" t="s">
        <v>18959</v>
      </c>
      <c r="U2511" t="s">
        <v>26604</v>
      </c>
      <c r="V2511" t="s">
        <v>26612</v>
      </c>
      <c r="W2511" t="s">
        <v>630</v>
      </c>
      <c r="X2511">
        <v>2300</v>
      </c>
      <c r="Y2511" t="s">
        <v>26650</v>
      </c>
      <c r="Z2511" t="s">
        <v>26663</v>
      </c>
      <c r="AA2511" t="s">
        <v>26678</v>
      </c>
      <c r="AB2511" t="s">
        <v>28903</v>
      </c>
      <c r="AD2511" t="s">
        <v>38960</v>
      </c>
      <c r="AE2511">
        <v>10</v>
      </c>
      <c r="AF2511" t="s">
        <v>45547</v>
      </c>
      <c r="AG2511" t="s">
        <v>19330</v>
      </c>
      <c r="AH2511">
        <v>2</v>
      </c>
      <c r="AI2511">
        <v>4</v>
      </c>
      <c r="AJ2511">
        <v>1</v>
      </c>
      <c r="AK2511">
        <v>322.8</v>
      </c>
      <c r="AL2511" t="s">
        <v>641</v>
      </c>
      <c r="AM2511" t="s">
        <v>45575</v>
      </c>
      <c r="AN2511" t="s">
        <v>7439</v>
      </c>
      <c r="AO2511">
        <v>94968</v>
      </c>
      <c r="AP2511" t="s">
        <v>45754</v>
      </c>
      <c r="AQ2511" t="s">
        <v>46368</v>
      </c>
      <c r="AS2511" t="s">
        <v>46499</v>
      </c>
      <c r="AT2511" t="s">
        <v>46666</v>
      </c>
      <c r="AU2511">
        <v>21.65</v>
      </c>
      <c r="AV2511" t="s">
        <v>757</v>
      </c>
      <c r="AW2511" t="s">
        <v>46843</v>
      </c>
    </row>
    <row r="2512" spans="1:50">
      <c r="A2512" s="1">
        <f>HYPERLINK("https://lsnyc.legalserver.org/matter/dynamic-profile/view/1878127","18-1878127")</f>
        <v>0</v>
      </c>
      <c r="B2512" t="s">
        <v>136</v>
      </c>
      <c r="C2512" t="s">
        <v>340</v>
      </c>
      <c r="D2512" t="s">
        <v>534</v>
      </c>
      <c r="F2512" t="s">
        <v>1502</v>
      </c>
      <c r="G2512" t="s">
        <v>2749</v>
      </c>
      <c r="J2512" t="s">
        <v>18892</v>
      </c>
      <c r="K2512">
        <v>10453</v>
      </c>
      <c r="L2512" t="s">
        <v>18958</v>
      </c>
      <c r="M2512" t="s">
        <v>18958</v>
      </c>
      <c r="O2512" t="s">
        <v>26542</v>
      </c>
      <c r="P2512" t="s">
        <v>26562</v>
      </c>
      <c r="R2512" t="s">
        <v>26578</v>
      </c>
      <c r="S2512" t="s">
        <v>18959</v>
      </c>
      <c r="U2512" t="s">
        <v>26606</v>
      </c>
      <c r="W2512" t="s">
        <v>630</v>
      </c>
      <c r="X2512">
        <v>1636.37</v>
      </c>
      <c r="Y2512" t="s">
        <v>26650</v>
      </c>
      <c r="Z2512" t="s">
        <v>26659</v>
      </c>
      <c r="AB2512" t="s">
        <v>28904</v>
      </c>
      <c r="AD2512" t="s">
        <v>38961</v>
      </c>
      <c r="AE2512">
        <v>0</v>
      </c>
      <c r="AF2512" t="s">
        <v>45541</v>
      </c>
      <c r="AG2512" t="s">
        <v>45556</v>
      </c>
      <c r="AH2512">
        <v>1</v>
      </c>
      <c r="AI2512">
        <v>2</v>
      </c>
      <c r="AJ2512">
        <v>0</v>
      </c>
      <c r="AK2512">
        <v>37.91</v>
      </c>
      <c r="AN2512" t="s">
        <v>7439</v>
      </c>
      <c r="AO2512">
        <v>6240</v>
      </c>
      <c r="AU2512">
        <v>2.1</v>
      </c>
      <c r="AV2512" t="s">
        <v>630</v>
      </c>
      <c r="AW2512" t="s">
        <v>136</v>
      </c>
    </row>
    <row r="2513" spans="1:50">
      <c r="A2513" s="1">
        <f>HYPERLINK("https://lsnyc.legalserver.org/matter/dynamic-profile/view/1878449","18-1878449")</f>
        <v>0</v>
      </c>
      <c r="B2513" t="s">
        <v>90</v>
      </c>
      <c r="C2513" t="s">
        <v>340</v>
      </c>
      <c r="D2513" t="s">
        <v>589</v>
      </c>
      <c r="F2513" t="s">
        <v>1010</v>
      </c>
      <c r="G2513" t="s">
        <v>6481</v>
      </c>
      <c r="H2513" t="s">
        <v>11684</v>
      </c>
      <c r="I2513" t="s">
        <v>17272</v>
      </c>
      <c r="J2513" t="s">
        <v>18893</v>
      </c>
      <c r="K2513">
        <v>10029</v>
      </c>
      <c r="L2513" t="s">
        <v>18958</v>
      </c>
      <c r="M2513" t="s">
        <v>18958</v>
      </c>
      <c r="N2513" t="s">
        <v>20857</v>
      </c>
      <c r="O2513" t="s">
        <v>26526</v>
      </c>
      <c r="P2513" t="s">
        <v>26560</v>
      </c>
      <c r="R2513" t="s">
        <v>26578</v>
      </c>
      <c r="S2513" t="s">
        <v>18959</v>
      </c>
      <c r="U2513" t="s">
        <v>26604</v>
      </c>
      <c r="V2513" t="s">
        <v>26610</v>
      </c>
      <c r="W2513" t="s">
        <v>630</v>
      </c>
      <c r="X2513">
        <v>1138</v>
      </c>
      <c r="Y2513" t="s">
        <v>26651</v>
      </c>
      <c r="Z2513" t="s">
        <v>26661</v>
      </c>
      <c r="AB2513" t="s">
        <v>28905</v>
      </c>
      <c r="AD2513" t="s">
        <v>38962</v>
      </c>
      <c r="AE2513">
        <v>10</v>
      </c>
      <c r="AF2513" t="s">
        <v>45541</v>
      </c>
      <c r="AG2513" t="s">
        <v>19330</v>
      </c>
      <c r="AH2513">
        <v>15</v>
      </c>
      <c r="AI2513">
        <v>1</v>
      </c>
      <c r="AJ2513">
        <v>2</v>
      </c>
      <c r="AK2513">
        <v>128.2</v>
      </c>
      <c r="AN2513" t="s">
        <v>7439</v>
      </c>
      <c r="AO2513">
        <v>26640</v>
      </c>
      <c r="AU2513">
        <v>134.55</v>
      </c>
      <c r="AV2513" t="s">
        <v>838</v>
      </c>
      <c r="AW2513" t="s">
        <v>46842</v>
      </c>
      <c r="AX2513" t="s">
        <v>46897</v>
      </c>
    </row>
    <row r="2514" spans="1:50">
      <c r="A2514" s="1">
        <f>HYPERLINK("https://lsnyc.legalserver.org/matter/dynamic-profile/view/1879757","18-1879757")</f>
        <v>0</v>
      </c>
      <c r="B2514" t="s">
        <v>90</v>
      </c>
      <c r="C2514" t="s">
        <v>340</v>
      </c>
      <c r="D2514" t="s">
        <v>606</v>
      </c>
      <c r="F2514" t="s">
        <v>952</v>
      </c>
      <c r="G2514" t="s">
        <v>5901</v>
      </c>
      <c r="H2514" t="s">
        <v>11685</v>
      </c>
      <c r="I2514">
        <v>805</v>
      </c>
      <c r="J2514" t="s">
        <v>18893</v>
      </c>
      <c r="K2514">
        <v>10029</v>
      </c>
      <c r="L2514" t="s">
        <v>18958</v>
      </c>
      <c r="M2514" t="s">
        <v>18958</v>
      </c>
      <c r="N2514" t="s">
        <v>20858</v>
      </c>
      <c r="O2514" t="s">
        <v>26524</v>
      </c>
      <c r="P2514" t="s">
        <v>26560</v>
      </c>
      <c r="R2514" t="s">
        <v>26578</v>
      </c>
      <c r="S2514" t="s">
        <v>18959</v>
      </c>
      <c r="U2514" t="s">
        <v>26604</v>
      </c>
      <c r="V2514" t="s">
        <v>26610</v>
      </c>
      <c r="W2514" t="s">
        <v>630</v>
      </c>
      <c r="X2514">
        <v>1600</v>
      </c>
      <c r="Y2514" t="s">
        <v>26651</v>
      </c>
      <c r="Z2514" t="s">
        <v>26672</v>
      </c>
      <c r="AB2514" t="s">
        <v>28906</v>
      </c>
      <c r="AD2514" t="s">
        <v>38963</v>
      </c>
      <c r="AE2514">
        <v>259</v>
      </c>
      <c r="AF2514" t="s">
        <v>45541</v>
      </c>
      <c r="AG2514" t="s">
        <v>45556</v>
      </c>
      <c r="AH2514">
        <v>5</v>
      </c>
      <c r="AI2514">
        <v>2</v>
      </c>
      <c r="AJ2514">
        <v>0</v>
      </c>
      <c r="AK2514">
        <v>50.35</v>
      </c>
      <c r="AN2514" t="s">
        <v>7439</v>
      </c>
      <c r="AO2514">
        <v>8288</v>
      </c>
      <c r="AU2514">
        <v>34.28</v>
      </c>
      <c r="AV2514" t="s">
        <v>826</v>
      </c>
      <c r="AW2514" t="s">
        <v>46849</v>
      </c>
    </row>
    <row r="2515" spans="1:50">
      <c r="A2515" s="1">
        <f>HYPERLINK("https://lsnyc.legalserver.org/matter/dynamic-profile/view/1880642","18-1880642")</f>
        <v>0</v>
      </c>
      <c r="B2515" t="s">
        <v>235</v>
      </c>
      <c r="C2515" t="s">
        <v>341</v>
      </c>
      <c r="D2515" t="s">
        <v>623</v>
      </c>
      <c r="E2515" t="s">
        <v>823</v>
      </c>
      <c r="F2515" t="s">
        <v>2285</v>
      </c>
      <c r="G2515" t="s">
        <v>5639</v>
      </c>
      <c r="H2515" t="s">
        <v>11686</v>
      </c>
      <c r="J2515" t="s">
        <v>18930</v>
      </c>
      <c r="K2515">
        <v>11413</v>
      </c>
      <c r="L2515" t="s">
        <v>18958</v>
      </c>
      <c r="M2515" t="s">
        <v>18958</v>
      </c>
      <c r="N2515" t="s">
        <v>20859</v>
      </c>
      <c r="O2515" t="s">
        <v>26523</v>
      </c>
      <c r="P2515" t="s">
        <v>26560</v>
      </c>
      <c r="Q2515" t="s">
        <v>26568</v>
      </c>
      <c r="R2515" t="s">
        <v>26584</v>
      </c>
      <c r="S2515" t="s">
        <v>18959</v>
      </c>
      <c r="U2515" t="s">
        <v>26604</v>
      </c>
      <c r="V2515" t="s">
        <v>26609</v>
      </c>
      <c r="W2515" t="s">
        <v>630</v>
      </c>
      <c r="X2515">
        <v>2300</v>
      </c>
      <c r="Y2515" t="s">
        <v>26653</v>
      </c>
      <c r="Z2515" t="s">
        <v>26664</v>
      </c>
      <c r="AA2515" t="s">
        <v>26679</v>
      </c>
      <c r="AB2515" t="s">
        <v>28907</v>
      </c>
      <c r="AC2515" t="s">
        <v>35259</v>
      </c>
      <c r="AD2515" t="s">
        <v>38964</v>
      </c>
      <c r="AE2515">
        <v>2</v>
      </c>
      <c r="AF2515" t="s">
        <v>45547</v>
      </c>
      <c r="AG2515" t="s">
        <v>19330</v>
      </c>
      <c r="AH2515">
        <v>1</v>
      </c>
      <c r="AI2515">
        <v>2</v>
      </c>
      <c r="AJ2515">
        <v>3</v>
      </c>
      <c r="AK2515">
        <v>0</v>
      </c>
      <c r="AN2515" t="s">
        <v>7439</v>
      </c>
      <c r="AO2515">
        <v>0</v>
      </c>
      <c r="AQ2515" t="s">
        <v>46359</v>
      </c>
      <c r="AR2515" t="s">
        <v>26530</v>
      </c>
      <c r="AS2515" t="s">
        <v>46500</v>
      </c>
      <c r="AT2515" t="s">
        <v>46704</v>
      </c>
      <c r="AU2515">
        <v>35.5</v>
      </c>
      <c r="AV2515" t="s">
        <v>819</v>
      </c>
      <c r="AW2515" t="s">
        <v>161</v>
      </c>
      <c r="AX2515" t="s">
        <v>46897</v>
      </c>
    </row>
    <row r="2516" spans="1:50">
      <c r="A2516" s="1">
        <f>HYPERLINK("https://lsnyc.legalserver.org/matter/dynamic-profile/view/1880714","18-1880714")</f>
        <v>0</v>
      </c>
      <c r="B2516" t="s">
        <v>260</v>
      </c>
      <c r="C2516" t="s">
        <v>341</v>
      </c>
      <c r="D2516" t="s">
        <v>630</v>
      </c>
      <c r="E2516" t="s">
        <v>667</v>
      </c>
      <c r="F2516" t="s">
        <v>1615</v>
      </c>
      <c r="G2516" t="s">
        <v>5199</v>
      </c>
      <c r="H2516" t="s">
        <v>10612</v>
      </c>
      <c r="I2516">
        <v>49</v>
      </c>
      <c r="J2516" t="s">
        <v>18893</v>
      </c>
      <c r="K2516">
        <v>10033</v>
      </c>
      <c r="L2516" t="s">
        <v>18958</v>
      </c>
      <c r="M2516" t="s">
        <v>18958</v>
      </c>
      <c r="O2516" t="s">
        <v>26537</v>
      </c>
      <c r="P2516" t="s">
        <v>26562</v>
      </c>
      <c r="Q2516" t="s">
        <v>26571</v>
      </c>
      <c r="R2516" t="s">
        <v>26578</v>
      </c>
      <c r="S2516" t="s">
        <v>18959</v>
      </c>
      <c r="U2516" t="s">
        <v>26604</v>
      </c>
      <c r="W2516" t="s">
        <v>630</v>
      </c>
      <c r="X2516">
        <v>1756.71</v>
      </c>
      <c r="Y2516" t="s">
        <v>26651</v>
      </c>
      <c r="Z2516" t="s">
        <v>26659</v>
      </c>
      <c r="AA2516" t="s">
        <v>26682</v>
      </c>
      <c r="AB2516" t="s">
        <v>27738</v>
      </c>
      <c r="AD2516" t="s">
        <v>37790</v>
      </c>
      <c r="AE2516">
        <v>50</v>
      </c>
      <c r="AF2516" t="s">
        <v>45541</v>
      </c>
      <c r="AG2516" t="s">
        <v>45556</v>
      </c>
      <c r="AH2516">
        <v>25</v>
      </c>
      <c r="AI2516">
        <v>2</v>
      </c>
      <c r="AJ2516">
        <v>0</v>
      </c>
      <c r="AK2516">
        <v>71.23</v>
      </c>
      <c r="AN2516" t="s">
        <v>7439</v>
      </c>
      <c r="AO2516">
        <v>11724</v>
      </c>
      <c r="AU2516">
        <v>2</v>
      </c>
      <c r="AV2516" t="s">
        <v>667</v>
      </c>
      <c r="AW2516" t="s">
        <v>46840</v>
      </c>
    </row>
    <row r="2517" spans="1:50">
      <c r="A2517" s="1">
        <f>HYPERLINK("https://lsnyc.legalserver.org/matter/dynamic-profile/view/1880810","18-1880810")</f>
        <v>0</v>
      </c>
      <c r="B2517" t="s">
        <v>105</v>
      </c>
      <c r="C2517" t="s">
        <v>341</v>
      </c>
      <c r="D2517" t="s">
        <v>630</v>
      </c>
      <c r="E2517" t="s">
        <v>740</v>
      </c>
      <c r="F2517" t="s">
        <v>1045</v>
      </c>
      <c r="G2517" t="s">
        <v>6482</v>
      </c>
      <c r="H2517" t="s">
        <v>11687</v>
      </c>
      <c r="I2517" t="s">
        <v>17356</v>
      </c>
      <c r="J2517" t="s">
        <v>18901</v>
      </c>
      <c r="K2517">
        <v>11434</v>
      </c>
      <c r="L2517" t="s">
        <v>18958</v>
      </c>
      <c r="M2517" t="s">
        <v>18958</v>
      </c>
      <c r="N2517" t="s">
        <v>20860</v>
      </c>
      <c r="O2517" t="s">
        <v>26523</v>
      </c>
      <c r="P2517" t="s">
        <v>26560</v>
      </c>
      <c r="Q2517" t="s">
        <v>26568</v>
      </c>
      <c r="R2517" t="s">
        <v>26585</v>
      </c>
      <c r="S2517" t="s">
        <v>18959</v>
      </c>
      <c r="U2517" t="s">
        <v>26604</v>
      </c>
      <c r="V2517" t="s">
        <v>26611</v>
      </c>
      <c r="W2517" t="s">
        <v>630</v>
      </c>
      <c r="X2517">
        <v>1031.47</v>
      </c>
      <c r="Y2517" t="s">
        <v>26653</v>
      </c>
      <c r="Z2517" t="s">
        <v>26664</v>
      </c>
      <c r="AA2517" t="s">
        <v>26678</v>
      </c>
      <c r="AB2517" t="s">
        <v>28908</v>
      </c>
      <c r="AC2517" t="s">
        <v>35260</v>
      </c>
      <c r="AD2517" t="s">
        <v>38965</v>
      </c>
      <c r="AE2517">
        <v>293</v>
      </c>
      <c r="AF2517" t="s">
        <v>45552</v>
      </c>
      <c r="AG2517" t="s">
        <v>19330</v>
      </c>
      <c r="AH2517">
        <v>5</v>
      </c>
      <c r="AI2517">
        <v>1</v>
      </c>
      <c r="AJ2517">
        <v>0</v>
      </c>
      <c r="AK2517">
        <v>0</v>
      </c>
      <c r="AN2517" t="s">
        <v>7439</v>
      </c>
      <c r="AO2517">
        <v>0</v>
      </c>
      <c r="AR2517" t="s">
        <v>46379</v>
      </c>
      <c r="AS2517" t="s">
        <v>46499</v>
      </c>
      <c r="AT2517" t="s">
        <v>46596</v>
      </c>
      <c r="AU2517">
        <v>9.800000000000001</v>
      </c>
      <c r="AV2517" t="s">
        <v>740</v>
      </c>
      <c r="AW2517" t="s">
        <v>161</v>
      </c>
    </row>
    <row r="2518" spans="1:50">
      <c r="A2518" s="1">
        <f>HYPERLINK("https://lsnyc.legalserver.org/matter/dynamic-profile/view/1880753","18-1880753")</f>
        <v>0</v>
      </c>
      <c r="B2518" t="s">
        <v>107</v>
      </c>
      <c r="C2518" t="s">
        <v>341</v>
      </c>
      <c r="D2518" t="s">
        <v>630</v>
      </c>
      <c r="E2518" t="s">
        <v>644</v>
      </c>
      <c r="F2518" t="s">
        <v>1107</v>
      </c>
      <c r="G2518" t="s">
        <v>6483</v>
      </c>
      <c r="H2518" t="s">
        <v>11688</v>
      </c>
      <c r="J2518" t="s">
        <v>18935</v>
      </c>
      <c r="K2518">
        <v>11364</v>
      </c>
      <c r="L2518" t="s">
        <v>18958</v>
      </c>
      <c r="M2518" t="s">
        <v>18958</v>
      </c>
      <c r="N2518" t="s">
        <v>20861</v>
      </c>
      <c r="O2518" t="s">
        <v>26523</v>
      </c>
      <c r="P2518" t="s">
        <v>26564</v>
      </c>
      <c r="Q2518" t="s">
        <v>26570</v>
      </c>
      <c r="R2518" t="s">
        <v>26584</v>
      </c>
      <c r="S2518" t="s">
        <v>18959</v>
      </c>
      <c r="U2518" t="s">
        <v>26604</v>
      </c>
      <c r="V2518" t="s">
        <v>26611</v>
      </c>
      <c r="W2518" t="s">
        <v>630</v>
      </c>
      <c r="X2518">
        <v>1750</v>
      </c>
      <c r="Y2518" t="s">
        <v>26653</v>
      </c>
      <c r="Z2518" t="s">
        <v>26664</v>
      </c>
      <c r="AA2518" t="s">
        <v>26683</v>
      </c>
      <c r="AB2518" t="s">
        <v>28626</v>
      </c>
      <c r="AC2518" t="s">
        <v>35261</v>
      </c>
      <c r="AD2518" t="s">
        <v>38966</v>
      </c>
      <c r="AE2518">
        <v>224</v>
      </c>
      <c r="AG2518" t="s">
        <v>19330</v>
      </c>
      <c r="AH2518">
        <v>3</v>
      </c>
      <c r="AI2518">
        <v>1</v>
      </c>
      <c r="AJ2518">
        <v>3</v>
      </c>
      <c r="AK2518">
        <v>20.92</v>
      </c>
      <c r="AN2518" t="s">
        <v>7439</v>
      </c>
      <c r="AO2518">
        <v>5252</v>
      </c>
      <c r="AU2518">
        <v>1.5</v>
      </c>
      <c r="AV2518" t="s">
        <v>683</v>
      </c>
      <c r="AW2518" t="s">
        <v>107</v>
      </c>
    </row>
    <row r="2519" spans="1:50">
      <c r="A2519" s="1">
        <f>HYPERLINK("https://lsnyc.legalserver.org/matter/dynamic-profile/view/1880699","18-1880699")</f>
        <v>0</v>
      </c>
      <c r="B2519" t="s">
        <v>145</v>
      </c>
      <c r="C2519" t="s">
        <v>341</v>
      </c>
      <c r="D2519" t="s">
        <v>630</v>
      </c>
      <c r="E2519" t="s">
        <v>788</v>
      </c>
      <c r="F2519" t="s">
        <v>954</v>
      </c>
      <c r="G2519" t="s">
        <v>6484</v>
      </c>
      <c r="H2519" t="s">
        <v>10547</v>
      </c>
      <c r="I2519" t="s">
        <v>17755</v>
      </c>
      <c r="J2519" t="s">
        <v>18902</v>
      </c>
      <c r="K2519">
        <v>10303</v>
      </c>
      <c r="L2519" t="s">
        <v>18958</v>
      </c>
      <c r="M2519" t="s">
        <v>18958</v>
      </c>
      <c r="N2519" t="s">
        <v>20862</v>
      </c>
      <c r="O2519" t="s">
        <v>26523</v>
      </c>
      <c r="P2519" t="s">
        <v>26560</v>
      </c>
      <c r="Q2519" t="s">
        <v>26568</v>
      </c>
      <c r="R2519" t="s">
        <v>26590</v>
      </c>
      <c r="S2519" t="s">
        <v>18959</v>
      </c>
      <c r="U2519" t="s">
        <v>26606</v>
      </c>
      <c r="V2519" t="s">
        <v>26610</v>
      </c>
      <c r="W2519" t="s">
        <v>630</v>
      </c>
      <c r="X2519">
        <v>689</v>
      </c>
      <c r="Y2519" t="s">
        <v>26654</v>
      </c>
      <c r="Z2519" t="s">
        <v>26668</v>
      </c>
      <c r="AA2519" t="s">
        <v>26677</v>
      </c>
      <c r="AB2519" t="s">
        <v>28909</v>
      </c>
      <c r="AD2519" t="s">
        <v>38967</v>
      </c>
      <c r="AE2519">
        <v>130</v>
      </c>
      <c r="AF2519" t="s">
        <v>45543</v>
      </c>
      <c r="AG2519" t="s">
        <v>45556</v>
      </c>
      <c r="AH2519">
        <v>4</v>
      </c>
      <c r="AI2519">
        <v>1</v>
      </c>
      <c r="AJ2519">
        <v>1</v>
      </c>
      <c r="AK2519">
        <v>0</v>
      </c>
      <c r="AO2519">
        <v>0</v>
      </c>
      <c r="AS2519" t="s">
        <v>46499</v>
      </c>
      <c r="AT2519" t="s">
        <v>46679</v>
      </c>
      <c r="AU2519">
        <v>4.6</v>
      </c>
      <c r="AV2519" t="s">
        <v>718</v>
      </c>
      <c r="AW2519" t="s">
        <v>190</v>
      </c>
    </row>
    <row r="2520" spans="1:50">
      <c r="A2520" s="1">
        <f>HYPERLINK("https://lsnyc.legalserver.org/matter/dynamic-profile/view/1880740","18-1880740")</f>
        <v>0</v>
      </c>
      <c r="B2520" t="s">
        <v>145</v>
      </c>
      <c r="C2520" t="s">
        <v>341</v>
      </c>
      <c r="D2520" t="s">
        <v>630</v>
      </c>
      <c r="E2520" t="s">
        <v>756</v>
      </c>
      <c r="F2520" t="s">
        <v>2286</v>
      </c>
      <c r="G2520" t="s">
        <v>5086</v>
      </c>
      <c r="H2520" t="s">
        <v>11310</v>
      </c>
      <c r="I2520" t="s">
        <v>17355</v>
      </c>
      <c r="J2520" t="s">
        <v>18902</v>
      </c>
      <c r="K2520">
        <v>10303</v>
      </c>
      <c r="L2520" t="s">
        <v>18958</v>
      </c>
      <c r="M2520" t="s">
        <v>18958</v>
      </c>
      <c r="N2520" t="s">
        <v>20863</v>
      </c>
      <c r="O2520" t="s">
        <v>26523</v>
      </c>
      <c r="P2520" t="s">
        <v>26560</v>
      </c>
      <c r="Q2520" t="s">
        <v>26568</v>
      </c>
      <c r="R2520" t="s">
        <v>26590</v>
      </c>
      <c r="S2520" t="s">
        <v>18959</v>
      </c>
      <c r="U2520" t="s">
        <v>26606</v>
      </c>
      <c r="V2520" t="s">
        <v>26610</v>
      </c>
      <c r="W2520" t="s">
        <v>630</v>
      </c>
      <c r="X2520">
        <v>158</v>
      </c>
      <c r="Y2520" t="s">
        <v>26654</v>
      </c>
      <c r="Z2520" t="s">
        <v>26668</v>
      </c>
      <c r="AA2520" t="s">
        <v>26677</v>
      </c>
      <c r="AB2520" t="s">
        <v>28910</v>
      </c>
      <c r="AD2520" t="s">
        <v>38968</v>
      </c>
      <c r="AE2520">
        <v>130</v>
      </c>
      <c r="AF2520" t="s">
        <v>45543</v>
      </c>
      <c r="AG2520" t="s">
        <v>45556</v>
      </c>
      <c r="AH2520">
        <v>4</v>
      </c>
      <c r="AI2520">
        <v>1</v>
      </c>
      <c r="AJ2520">
        <v>1</v>
      </c>
      <c r="AK2520">
        <v>0</v>
      </c>
      <c r="AO2520">
        <v>0</v>
      </c>
      <c r="AR2520" t="s">
        <v>46379</v>
      </c>
      <c r="AS2520" t="s">
        <v>46499</v>
      </c>
      <c r="AT2520" t="s">
        <v>46688</v>
      </c>
      <c r="AU2520">
        <v>2.9</v>
      </c>
      <c r="AV2520" t="s">
        <v>665</v>
      </c>
      <c r="AW2520" t="s">
        <v>190</v>
      </c>
    </row>
    <row r="2521" spans="1:50">
      <c r="A2521" s="1">
        <f>HYPERLINK("https://lsnyc.legalserver.org/matter/dynamic-profile/view/1880748","18-1880748")</f>
        <v>0</v>
      </c>
      <c r="B2521" t="s">
        <v>130</v>
      </c>
      <c r="C2521" t="s">
        <v>341</v>
      </c>
      <c r="D2521" t="s">
        <v>630</v>
      </c>
      <c r="E2521" t="s">
        <v>519</v>
      </c>
      <c r="F2521" t="s">
        <v>1154</v>
      </c>
      <c r="G2521" t="s">
        <v>6485</v>
      </c>
      <c r="H2521" t="s">
        <v>11689</v>
      </c>
      <c r="I2521" t="s">
        <v>17564</v>
      </c>
      <c r="J2521" t="s">
        <v>18932</v>
      </c>
      <c r="K2521">
        <v>11385</v>
      </c>
      <c r="L2521" t="s">
        <v>18958</v>
      </c>
      <c r="M2521" t="s">
        <v>18958</v>
      </c>
      <c r="N2521" t="s">
        <v>20864</v>
      </c>
      <c r="O2521" t="s">
        <v>26523</v>
      </c>
      <c r="P2521" t="s">
        <v>26560</v>
      </c>
      <c r="Q2521" t="s">
        <v>26568</v>
      </c>
      <c r="R2521" t="s">
        <v>26585</v>
      </c>
      <c r="S2521" t="s">
        <v>18959</v>
      </c>
      <c r="U2521" t="s">
        <v>26604</v>
      </c>
      <c r="V2521" t="s">
        <v>26612</v>
      </c>
      <c r="W2521" t="s">
        <v>630</v>
      </c>
      <c r="X2521">
        <v>1550</v>
      </c>
      <c r="Y2521" t="s">
        <v>26653</v>
      </c>
      <c r="Z2521" t="s">
        <v>26664</v>
      </c>
      <c r="AA2521" t="s">
        <v>26678</v>
      </c>
      <c r="AB2521" t="s">
        <v>28911</v>
      </c>
      <c r="AD2521" t="s">
        <v>38969</v>
      </c>
      <c r="AE2521">
        <v>2</v>
      </c>
      <c r="AF2521" t="s">
        <v>20460</v>
      </c>
      <c r="AG2521" t="s">
        <v>19330</v>
      </c>
      <c r="AH2521">
        <v>2</v>
      </c>
      <c r="AI2521">
        <v>1</v>
      </c>
      <c r="AJ2521">
        <v>3</v>
      </c>
      <c r="AK2521">
        <v>149.4</v>
      </c>
      <c r="AN2521" t="s">
        <v>7439</v>
      </c>
      <c r="AO2521">
        <v>37500</v>
      </c>
      <c r="AR2521" t="s">
        <v>46379</v>
      </c>
      <c r="AS2521" t="s">
        <v>46499</v>
      </c>
      <c r="AT2521" t="s">
        <v>46738</v>
      </c>
      <c r="AU2521">
        <v>9.800000000000001</v>
      </c>
      <c r="AV2521" t="s">
        <v>415</v>
      </c>
      <c r="AW2521" t="s">
        <v>208</v>
      </c>
    </row>
    <row r="2522" spans="1:50">
      <c r="A2522" s="1">
        <f>HYPERLINK("https://lsnyc.legalserver.org/matter/dynamic-profile/view/1880800","18-1880800")</f>
        <v>0</v>
      </c>
      <c r="B2522" t="s">
        <v>85</v>
      </c>
      <c r="C2522" t="s">
        <v>341</v>
      </c>
      <c r="D2522" t="s">
        <v>630</v>
      </c>
      <c r="E2522" t="s">
        <v>699</v>
      </c>
      <c r="F2522" t="s">
        <v>871</v>
      </c>
      <c r="G2522" t="s">
        <v>6486</v>
      </c>
      <c r="H2522" t="s">
        <v>11690</v>
      </c>
      <c r="I2522" t="s">
        <v>17288</v>
      </c>
      <c r="J2522" t="s">
        <v>18904</v>
      </c>
      <c r="K2522">
        <v>11421</v>
      </c>
      <c r="L2522" t="s">
        <v>18958</v>
      </c>
      <c r="M2522" t="s">
        <v>18958</v>
      </c>
      <c r="N2522" t="s">
        <v>20865</v>
      </c>
      <c r="O2522" t="s">
        <v>26523</v>
      </c>
      <c r="P2522" t="s">
        <v>26564</v>
      </c>
      <c r="Q2522" t="s">
        <v>26570</v>
      </c>
      <c r="R2522" t="s">
        <v>26584</v>
      </c>
      <c r="S2522" t="s">
        <v>18959</v>
      </c>
      <c r="U2522" t="s">
        <v>26604</v>
      </c>
      <c r="V2522" t="s">
        <v>26610</v>
      </c>
      <c r="W2522" t="s">
        <v>630</v>
      </c>
      <c r="X2522">
        <v>1459.72</v>
      </c>
      <c r="Y2522" t="s">
        <v>26653</v>
      </c>
      <c r="Z2522" t="s">
        <v>26664</v>
      </c>
      <c r="AA2522" t="s">
        <v>26683</v>
      </c>
      <c r="AB2522" t="s">
        <v>28912</v>
      </c>
      <c r="AC2522" t="s">
        <v>35262</v>
      </c>
      <c r="AD2522" t="s">
        <v>38970</v>
      </c>
      <c r="AE2522">
        <v>48</v>
      </c>
      <c r="AF2522" t="s">
        <v>45541</v>
      </c>
      <c r="AG2522" t="s">
        <v>45559</v>
      </c>
      <c r="AH2522">
        <v>4</v>
      </c>
      <c r="AI2522">
        <v>1</v>
      </c>
      <c r="AJ2522">
        <v>0</v>
      </c>
      <c r="AK2522">
        <v>133.44</v>
      </c>
      <c r="AN2522" t="s">
        <v>7439</v>
      </c>
      <c r="AO2522">
        <v>16200</v>
      </c>
      <c r="AU2522">
        <v>0.95</v>
      </c>
      <c r="AV2522" t="s">
        <v>603</v>
      </c>
      <c r="AW2522" t="s">
        <v>161</v>
      </c>
    </row>
    <row r="2523" spans="1:50">
      <c r="A2523" s="1">
        <f>HYPERLINK("https://lsnyc.legalserver.org/matter/dynamic-profile/view/1880708","18-1880708")</f>
        <v>0</v>
      </c>
      <c r="B2523" t="s">
        <v>109</v>
      </c>
      <c r="C2523" t="s">
        <v>341</v>
      </c>
      <c r="D2523" t="s">
        <v>630</v>
      </c>
      <c r="E2523" t="s">
        <v>772</v>
      </c>
      <c r="F2523" t="s">
        <v>2287</v>
      </c>
      <c r="G2523" t="s">
        <v>5419</v>
      </c>
      <c r="H2523" t="s">
        <v>11310</v>
      </c>
      <c r="I2523" t="s">
        <v>17632</v>
      </c>
      <c r="J2523" t="s">
        <v>18902</v>
      </c>
      <c r="K2523">
        <v>10303</v>
      </c>
      <c r="L2523" t="s">
        <v>18958</v>
      </c>
      <c r="M2523" t="s">
        <v>18958</v>
      </c>
      <c r="N2523" t="s">
        <v>20866</v>
      </c>
      <c r="O2523" t="s">
        <v>26523</v>
      </c>
      <c r="P2523" t="s">
        <v>26560</v>
      </c>
      <c r="Q2523" t="s">
        <v>26568</v>
      </c>
      <c r="R2523" t="s">
        <v>26590</v>
      </c>
      <c r="S2523" t="s">
        <v>18959</v>
      </c>
      <c r="U2523" t="s">
        <v>26606</v>
      </c>
      <c r="V2523" t="s">
        <v>26610</v>
      </c>
      <c r="W2523" t="s">
        <v>630</v>
      </c>
      <c r="X2523">
        <v>1074</v>
      </c>
      <c r="Y2523" t="s">
        <v>26654</v>
      </c>
      <c r="Z2523" t="s">
        <v>26668</v>
      </c>
      <c r="AA2523" t="s">
        <v>26677</v>
      </c>
      <c r="AB2523" t="s">
        <v>28913</v>
      </c>
      <c r="AD2523" t="s">
        <v>38971</v>
      </c>
      <c r="AE2523">
        <v>130</v>
      </c>
      <c r="AF2523" t="s">
        <v>45543</v>
      </c>
      <c r="AG2523" t="s">
        <v>45556</v>
      </c>
      <c r="AH2523">
        <v>7</v>
      </c>
      <c r="AI2523">
        <v>1</v>
      </c>
      <c r="AJ2523">
        <v>0</v>
      </c>
      <c r="AK2523">
        <v>82.23999999999999</v>
      </c>
      <c r="AO2523">
        <v>9984</v>
      </c>
      <c r="AQ2523" t="s">
        <v>46365</v>
      </c>
      <c r="AR2523" t="s">
        <v>46379</v>
      </c>
      <c r="AS2523" t="s">
        <v>46499</v>
      </c>
      <c r="AT2523" t="s">
        <v>46747</v>
      </c>
      <c r="AU2523">
        <v>12.05</v>
      </c>
      <c r="AV2523" t="s">
        <v>772</v>
      </c>
      <c r="AW2523" t="s">
        <v>190</v>
      </c>
      <c r="AX2523" t="s">
        <v>46897</v>
      </c>
    </row>
    <row r="2524" spans="1:50">
      <c r="A2524" s="1">
        <f>HYPERLINK("https://lsnyc.legalserver.org/matter/dynamic-profile/view/1880732","18-1880732")</f>
        <v>0</v>
      </c>
      <c r="B2524" t="s">
        <v>131</v>
      </c>
      <c r="C2524" t="s">
        <v>341</v>
      </c>
      <c r="D2524" t="s">
        <v>630</v>
      </c>
      <c r="E2524" t="s">
        <v>752</v>
      </c>
      <c r="F2524" t="s">
        <v>900</v>
      </c>
      <c r="G2524" t="s">
        <v>5781</v>
      </c>
      <c r="H2524" t="s">
        <v>11310</v>
      </c>
      <c r="I2524" t="s">
        <v>17843</v>
      </c>
      <c r="J2524" t="s">
        <v>18902</v>
      </c>
      <c r="K2524">
        <v>10303</v>
      </c>
      <c r="L2524" t="s">
        <v>18958</v>
      </c>
      <c r="M2524" t="s">
        <v>18958</v>
      </c>
      <c r="N2524" t="s">
        <v>20867</v>
      </c>
      <c r="O2524" t="s">
        <v>26523</v>
      </c>
      <c r="P2524" t="s">
        <v>26560</v>
      </c>
      <c r="Q2524" t="s">
        <v>26568</v>
      </c>
      <c r="R2524" t="s">
        <v>26590</v>
      </c>
      <c r="S2524" t="s">
        <v>18959</v>
      </c>
      <c r="U2524" t="s">
        <v>26606</v>
      </c>
      <c r="V2524" t="s">
        <v>26610</v>
      </c>
      <c r="W2524" t="s">
        <v>630</v>
      </c>
      <c r="X2524">
        <v>417</v>
      </c>
      <c r="Y2524" t="s">
        <v>26654</v>
      </c>
      <c r="Z2524" t="s">
        <v>26668</v>
      </c>
      <c r="AA2524" t="s">
        <v>26677</v>
      </c>
      <c r="AB2524" t="s">
        <v>28914</v>
      </c>
      <c r="AD2524" t="s">
        <v>38972</v>
      </c>
      <c r="AE2524">
        <v>130</v>
      </c>
      <c r="AF2524" t="s">
        <v>45543</v>
      </c>
      <c r="AG2524" t="s">
        <v>45556</v>
      </c>
      <c r="AH2524">
        <v>1</v>
      </c>
      <c r="AI2524">
        <v>2</v>
      </c>
      <c r="AJ2524">
        <v>3</v>
      </c>
      <c r="AK2524">
        <v>30.59</v>
      </c>
      <c r="AN2524" t="s">
        <v>45581</v>
      </c>
      <c r="AO2524">
        <v>9000</v>
      </c>
      <c r="AR2524" t="s">
        <v>46422</v>
      </c>
      <c r="AS2524" t="s">
        <v>46499</v>
      </c>
      <c r="AT2524" t="s">
        <v>46748</v>
      </c>
      <c r="AU2524">
        <v>8.65</v>
      </c>
      <c r="AV2524" t="s">
        <v>752</v>
      </c>
      <c r="AW2524" t="s">
        <v>210</v>
      </c>
    </row>
    <row r="2525" spans="1:50">
      <c r="A2525" s="1">
        <f>HYPERLINK("https://lsnyc.legalserver.org/matter/dynamic-profile/view/1880762","18-1880762")</f>
        <v>0</v>
      </c>
      <c r="B2525" t="s">
        <v>74</v>
      </c>
      <c r="C2525" t="s">
        <v>341</v>
      </c>
      <c r="D2525" t="s">
        <v>630</v>
      </c>
      <c r="E2525" t="s">
        <v>682</v>
      </c>
      <c r="F2525" t="s">
        <v>970</v>
      </c>
      <c r="G2525" t="s">
        <v>5824</v>
      </c>
      <c r="H2525" t="s">
        <v>11691</v>
      </c>
      <c r="I2525" t="s">
        <v>17273</v>
      </c>
      <c r="J2525" t="s">
        <v>18893</v>
      </c>
      <c r="K2525">
        <v>10034</v>
      </c>
      <c r="L2525" t="s">
        <v>18958</v>
      </c>
      <c r="M2525" t="s">
        <v>18958</v>
      </c>
      <c r="N2525" t="s">
        <v>20868</v>
      </c>
      <c r="O2525" t="s">
        <v>26523</v>
      </c>
      <c r="P2525" t="s">
        <v>26565</v>
      </c>
      <c r="Q2525" t="s">
        <v>26571</v>
      </c>
      <c r="R2525" t="s">
        <v>26578</v>
      </c>
      <c r="S2525" t="s">
        <v>18959</v>
      </c>
      <c r="U2525" t="s">
        <v>26604</v>
      </c>
      <c r="V2525" t="s">
        <v>26610</v>
      </c>
      <c r="W2525" t="s">
        <v>630</v>
      </c>
      <c r="X2525">
        <v>1060</v>
      </c>
      <c r="Y2525" t="s">
        <v>26651</v>
      </c>
      <c r="Z2525" t="s">
        <v>26664</v>
      </c>
      <c r="AA2525" t="s">
        <v>26683</v>
      </c>
      <c r="AB2525" t="s">
        <v>28040</v>
      </c>
      <c r="AD2525" t="s">
        <v>38973</v>
      </c>
      <c r="AE2525">
        <v>26</v>
      </c>
      <c r="AF2525" t="s">
        <v>45541</v>
      </c>
      <c r="AG2525" t="s">
        <v>45559</v>
      </c>
      <c r="AH2525">
        <v>7</v>
      </c>
      <c r="AI2525">
        <v>1</v>
      </c>
      <c r="AJ2525">
        <v>0</v>
      </c>
      <c r="AK2525">
        <v>52.44</v>
      </c>
      <c r="AN2525" t="s">
        <v>7439</v>
      </c>
      <c r="AO2525">
        <v>6366</v>
      </c>
      <c r="AU2525">
        <v>1.7</v>
      </c>
      <c r="AV2525" t="s">
        <v>682</v>
      </c>
      <c r="AW2525" t="s">
        <v>314</v>
      </c>
    </row>
    <row r="2526" spans="1:50">
      <c r="A2526" s="1">
        <f>HYPERLINK("https://lsnyc.legalserver.org/matter/dynamic-profile/view/1880793","18-1880793")</f>
        <v>0</v>
      </c>
      <c r="B2526" t="s">
        <v>232</v>
      </c>
      <c r="C2526" t="s">
        <v>341</v>
      </c>
      <c r="D2526" t="s">
        <v>630</v>
      </c>
      <c r="E2526" t="s">
        <v>791</v>
      </c>
      <c r="F2526" t="s">
        <v>1091</v>
      </c>
      <c r="G2526" t="s">
        <v>6487</v>
      </c>
      <c r="H2526" t="s">
        <v>11692</v>
      </c>
      <c r="I2526" t="s">
        <v>17316</v>
      </c>
      <c r="J2526" t="s">
        <v>18894</v>
      </c>
      <c r="K2526">
        <v>11216</v>
      </c>
      <c r="L2526" t="s">
        <v>18958</v>
      </c>
      <c r="M2526" t="s">
        <v>18958</v>
      </c>
      <c r="N2526" t="s">
        <v>20869</v>
      </c>
      <c r="O2526" t="s">
        <v>26523</v>
      </c>
      <c r="P2526" t="s">
        <v>26560</v>
      </c>
      <c r="Q2526" t="s">
        <v>26568</v>
      </c>
      <c r="R2526" t="s">
        <v>26588</v>
      </c>
      <c r="S2526" t="s">
        <v>18959</v>
      </c>
      <c r="U2526" t="s">
        <v>26604</v>
      </c>
      <c r="V2526" t="s">
        <v>26610</v>
      </c>
      <c r="W2526" t="s">
        <v>630</v>
      </c>
      <c r="X2526">
        <v>1999.22</v>
      </c>
      <c r="Y2526" t="s">
        <v>26652</v>
      </c>
      <c r="Z2526" t="s">
        <v>26669</v>
      </c>
      <c r="AA2526" t="s">
        <v>26678</v>
      </c>
      <c r="AB2526" t="s">
        <v>28915</v>
      </c>
      <c r="AD2526" t="s">
        <v>38974</v>
      </c>
      <c r="AE2526">
        <v>36</v>
      </c>
      <c r="AF2526" t="s">
        <v>45541</v>
      </c>
      <c r="AG2526" t="s">
        <v>19330</v>
      </c>
      <c r="AH2526">
        <v>12</v>
      </c>
      <c r="AI2526">
        <v>2</v>
      </c>
      <c r="AJ2526">
        <v>0</v>
      </c>
      <c r="AK2526">
        <v>142.24</v>
      </c>
      <c r="AN2526" t="s">
        <v>7439</v>
      </c>
      <c r="AO2526">
        <v>23412</v>
      </c>
      <c r="AS2526" t="s">
        <v>46499</v>
      </c>
      <c r="AT2526" t="s">
        <v>46744</v>
      </c>
      <c r="AU2526">
        <v>11.25</v>
      </c>
      <c r="AV2526" t="s">
        <v>791</v>
      </c>
      <c r="AW2526" t="s">
        <v>46862</v>
      </c>
    </row>
    <row r="2527" spans="1:50">
      <c r="A2527" s="1">
        <f>HYPERLINK("https://lsnyc.legalserver.org/matter/dynamic-profile/view/1880684","18-1880684")</f>
        <v>0</v>
      </c>
      <c r="B2527" t="s">
        <v>232</v>
      </c>
      <c r="C2527" t="s">
        <v>341</v>
      </c>
      <c r="D2527" t="s">
        <v>630</v>
      </c>
      <c r="E2527" t="s">
        <v>651</v>
      </c>
      <c r="F2527" t="s">
        <v>2288</v>
      </c>
      <c r="G2527" t="s">
        <v>6488</v>
      </c>
      <c r="H2527" t="s">
        <v>11693</v>
      </c>
      <c r="I2527">
        <v>3</v>
      </c>
      <c r="J2527" t="s">
        <v>18894</v>
      </c>
      <c r="K2527">
        <v>11225</v>
      </c>
      <c r="L2527" t="s">
        <v>18958</v>
      </c>
      <c r="M2527" t="s">
        <v>18958</v>
      </c>
      <c r="N2527" t="s">
        <v>20870</v>
      </c>
      <c r="O2527" t="s">
        <v>26523</v>
      </c>
      <c r="P2527" t="s">
        <v>26560</v>
      </c>
      <c r="Q2527" t="s">
        <v>26573</v>
      </c>
      <c r="R2527" t="s">
        <v>26588</v>
      </c>
      <c r="S2527" t="s">
        <v>18959</v>
      </c>
      <c r="U2527" t="s">
        <v>26604</v>
      </c>
      <c r="V2527" t="s">
        <v>26610</v>
      </c>
      <c r="W2527" t="s">
        <v>630</v>
      </c>
      <c r="X2527">
        <v>0</v>
      </c>
      <c r="Y2527" t="s">
        <v>26652</v>
      </c>
      <c r="Z2527" t="s">
        <v>26664</v>
      </c>
      <c r="AA2527" t="s">
        <v>26682</v>
      </c>
      <c r="AB2527" t="s">
        <v>28916</v>
      </c>
      <c r="AD2527" t="s">
        <v>38975</v>
      </c>
      <c r="AE2527">
        <v>6</v>
      </c>
      <c r="AF2527" t="s">
        <v>45541</v>
      </c>
      <c r="AG2527" t="s">
        <v>19330</v>
      </c>
      <c r="AH2527">
        <v>1</v>
      </c>
      <c r="AI2527">
        <v>2</v>
      </c>
      <c r="AJ2527">
        <v>3</v>
      </c>
      <c r="AK2527">
        <v>142.6</v>
      </c>
      <c r="AN2527" t="s">
        <v>7439</v>
      </c>
      <c r="AO2527">
        <v>41952</v>
      </c>
      <c r="AR2527" t="s">
        <v>46379</v>
      </c>
      <c r="AS2527" t="s">
        <v>46499</v>
      </c>
      <c r="AT2527" t="s">
        <v>46640</v>
      </c>
      <c r="AU2527">
        <v>4.15</v>
      </c>
      <c r="AV2527" t="s">
        <v>577</v>
      </c>
      <c r="AW2527" t="s">
        <v>46862</v>
      </c>
    </row>
    <row r="2528" spans="1:50">
      <c r="A2528" s="1">
        <f>HYPERLINK("https://lsnyc.legalserver.org/matter/dynamic-profile/view/1880726","18-1880726")</f>
        <v>0</v>
      </c>
      <c r="B2528" t="s">
        <v>214</v>
      </c>
      <c r="C2528" t="s">
        <v>341</v>
      </c>
      <c r="D2528" t="s">
        <v>630</v>
      </c>
      <c r="E2528" t="s">
        <v>630</v>
      </c>
      <c r="F2528" t="s">
        <v>2289</v>
      </c>
      <c r="G2528" t="s">
        <v>994</v>
      </c>
      <c r="H2528" t="s">
        <v>11694</v>
      </c>
      <c r="I2528" t="s">
        <v>17374</v>
      </c>
      <c r="J2528" t="s">
        <v>18939</v>
      </c>
      <c r="K2528">
        <v>11423</v>
      </c>
      <c r="L2528" t="s">
        <v>18958</v>
      </c>
      <c r="M2528" t="s">
        <v>18958</v>
      </c>
      <c r="N2528" t="s">
        <v>19045</v>
      </c>
      <c r="O2528" t="s">
        <v>18997</v>
      </c>
      <c r="P2528" t="s">
        <v>26564</v>
      </c>
      <c r="Q2528" t="s">
        <v>26570</v>
      </c>
      <c r="R2528" t="s">
        <v>26589</v>
      </c>
      <c r="S2528" t="s">
        <v>18959</v>
      </c>
      <c r="U2528" t="s">
        <v>26604</v>
      </c>
      <c r="V2528" t="s">
        <v>26610</v>
      </c>
      <c r="W2528" t="s">
        <v>630</v>
      </c>
      <c r="X2528">
        <v>1000</v>
      </c>
      <c r="Y2528" t="s">
        <v>26653</v>
      </c>
      <c r="Z2528" t="s">
        <v>26671</v>
      </c>
      <c r="AA2528" t="s">
        <v>26683</v>
      </c>
      <c r="AB2528" t="s">
        <v>28917</v>
      </c>
      <c r="AC2528" t="s">
        <v>35263</v>
      </c>
      <c r="AD2528" t="s">
        <v>34738</v>
      </c>
      <c r="AE2528">
        <v>2</v>
      </c>
      <c r="AF2528" t="s">
        <v>45547</v>
      </c>
      <c r="AG2528" t="s">
        <v>19330</v>
      </c>
      <c r="AH2528">
        <v>1</v>
      </c>
      <c r="AI2528">
        <v>1</v>
      </c>
      <c r="AJ2528">
        <v>2</v>
      </c>
      <c r="AK2528">
        <v>0</v>
      </c>
      <c r="AL2528" t="s">
        <v>45567</v>
      </c>
      <c r="AM2528" t="s">
        <v>45577</v>
      </c>
      <c r="AN2528" t="s">
        <v>7439</v>
      </c>
      <c r="AO2528">
        <v>0</v>
      </c>
      <c r="AU2528">
        <v>1.23</v>
      </c>
      <c r="AV2528" t="s">
        <v>630</v>
      </c>
      <c r="AW2528" t="s">
        <v>214</v>
      </c>
    </row>
    <row r="2529" spans="1:50">
      <c r="A2529" s="1">
        <f>HYPERLINK("https://lsnyc.legalserver.org/matter/dynamic-profile/view/1880755","18-1880755")</f>
        <v>0</v>
      </c>
      <c r="B2529" t="s">
        <v>132</v>
      </c>
      <c r="C2529" t="s">
        <v>341</v>
      </c>
      <c r="D2529" t="s">
        <v>630</v>
      </c>
      <c r="E2529" t="s">
        <v>697</v>
      </c>
      <c r="F2529" t="s">
        <v>968</v>
      </c>
      <c r="G2529" t="s">
        <v>6489</v>
      </c>
      <c r="H2529" t="s">
        <v>10839</v>
      </c>
      <c r="I2529">
        <v>2</v>
      </c>
      <c r="J2529" t="s">
        <v>18894</v>
      </c>
      <c r="K2529">
        <v>11203</v>
      </c>
      <c r="L2529" t="s">
        <v>18958</v>
      </c>
      <c r="M2529" t="s">
        <v>18958</v>
      </c>
      <c r="N2529" t="s">
        <v>20038</v>
      </c>
      <c r="O2529" t="s">
        <v>26524</v>
      </c>
      <c r="P2529" t="s">
        <v>26560</v>
      </c>
      <c r="Q2529" t="s">
        <v>26573</v>
      </c>
      <c r="R2529" t="s">
        <v>26586</v>
      </c>
      <c r="S2529" t="s">
        <v>18958</v>
      </c>
      <c r="U2529" t="s">
        <v>26604</v>
      </c>
      <c r="V2529" t="s">
        <v>26610</v>
      </c>
      <c r="W2529" t="s">
        <v>630</v>
      </c>
      <c r="X2529">
        <v>0</v>
      </c>
      <c r="Y2529" t="s">
        <v>26652</v>
      </c>
      <c r="Z2529" t="s">
        <v>26664</v>
      </c>
      <c r="AA2529" t="s">
        <v>26678</v>
      </c>
      <c r="AB2529" t="s">
        <v>28918</v>
      </c>
      <c r="AE2529">
        <v>2</v>
      </c>
      <c r="AF2529" t="s">
        <v>45547</v>
      </c>
      <c r="AH2529">
        <v>3</v>
      </c>
      <c r="AI2529">
        <v>1</v>
      </c>
      <c r="AJ2529">
        <v>0</v>
      </c>
      <c r="AK2529">
        <v>0</v>
      </c>
      <c r="AN2529" t="s">
        <v>7439</v>
      </c>
      <c r="AO2529">
        <v>0</v>
      </c>
      <c r="AR2529" t="s">
        <v>46379</v>
      </c>
      <c r="AS2529" t="s">
        <v>46499</v>
      </c>
      <c r="AT2529" t="s">
        <v>46596</v>
      </c>
      <c r="AU2529">
        <v>0.1</v>
      </c>
      <c r="AV2529" t="s">
        <v>697</v>
      </c>
      <c r="AW2529" t="s">
        <v>281</v>
      </c>
    </row>
    <row r="2530" spans="1:50">
      <c r="A2530" s="1">
        <f>HYPERLINK("https://lsnyc.legalserver.org/matter/dynamic-profile/view/1880778","18-1880778")</f>
        <v>0</v>
      </c>
      <c r="B2530" t="s">
        <v>110</v>
      </c>
      <c r="C2530" t="s">
        <v>341</v>
      </c>
      <c r="D2530" t="s">
        <v>630</v>
      </c>
      <c r="E2530" t="s">
        <v>691</v>
      </c>
      <c r="F2530" t="s">
        <v>2290</v>
      </c>
      <c r="G2530" t="s">
        <v>6490</v>
      </c>
      <c r="H2530" t="s">
        <v>11695</v>
      </c>
      <c r="I2530" t="s">
        <v>17306</v>
      </c>
      <c r="J2530" t="s">
        <v>18913</v>
      </c>
      <c r="K2530">
        <v>11103</v>
      </c>
      <c r="L2530" t="s">
        <v>18958</v>
      </c>
      <c r="M2530" t="s">
        <v>18958</v>
      </c>
      <c r="N2530" t="s">
        <v>20871</v>
      </c>
      <c r="O2530" t="s">
        <v>26524</v>
      </c>
      <c r="P2530" t="s">
        <v>26564</v>
      </c>
      <c r="Q2530" t="s">
        <v>26570</v>
      </c>
      <c r="R2530" t="s">
        <v>26584</v>
      </c>
      <c r="S2530" t="s">
        <v>18959</v>
      </c>
      <c r="U2530" t="s">
        <v>26604</v>
      </c>
      <c r="V2530" t="s">
        <v>26610</v>
      </c>
      <c r="W2530" t="s">
        <v>630</v>
      </c>
      <c r="X2530">
        <v>1500</v>
      </c>
      <c r="Y2530" t="s">
        <v>26653</v>
      </c>
      <c r="Z2530" t="s">
        <v>26664</v>
      </c>
      <c r="AA2530" t="s">
        <v>26683</v>
      </c>
      <c r="AB2530" t="s">
        <v>28919</v>
      </c>
      <c r="AC2530" t="s">
        <v>35264</v>
      </c>
      <c r="AD2530" t="s">
        <v>38976</v>
      </c>
      <c r="AE2530">
        <v>5</v>
      </c>
      <c r="AF2530" t="s">
        <v>45547</v>
      </c>
      <c r="AG2530" t="s">
        <v>19330</v>
      </c>
      <c r="AH2530">
        <v>10</v>
      </c>
      <c r="AI2530">
        <v>3</v>
      </c>
      <c r="AJ2530">
        <v>0</v>
      </c>
      <c r="AK2530">
        <v>108.37</v>
      </c>
      <c r="AN2530" t="s">
        <v>7439</v>
      </c>
      <c r="AO2530">
        <v>22520</v>
      </c>
      <c r="AU2530">
        <v>0.1</v>
      </c>
      <c r="AV2530" t="s">
        <v>691</v>
      </c>
      <c r="AW2530" t="s">
        <v>161</v>
      </c>
    </row>
    <row r="2531" spans="1:50">
      <c r="A2531" s="1">
        <f>HYPERLINK("https://lsnyc.legalserver.org/matter/dynamic-profile/view/1880784","18-1880784")</f>
        <v>0</v>
      </c>
      <c r="B2531" t="s">
        <v>122</v>
      </c>
      <c r="C2531" t="s">
        <v>341</v>
      </c>
      <c r="D2531" t="s">
        <v>630</v>
      </c>
      <c r="E2531" t="s">
        <v>635</v>
      </c>
      <c r="F2531" t="s">
        <v>2276</v>
      </c>
      <c r="G2531" t="s">
        <v>6491</v>
      </c>
      <c r="H2531" t="s">
        <v>11696</v>
      </c>
      <c r="I2531" t="s">
        <v>17308</v>
      </c>
      <c r="J2531" t="s">
        <v>18907</v>
      </c>
      <c r="K2531">
        <v>11377</v>
      </c>
      <c r="L2531" t="s">
        <v>18958</v>
      </c>
      <c r="M2531" t="s">
        <v>18958</v>
      </c>
      <c r="N2531" t="s">
        <v>20872</v>
      </c>
      <c r="O2531" t="s">
        <v>26524</v>
      </c>
      <c r="P2531" t="s">
        <v>26563</v>
      </c>
      <c r="Q2531" t="s">
        <v>26570</v>
      </c>
      <c r="R2531" t="s">
        <v>26584</v>
      </c>
      <c r="S2531" t="s">
        <v>18959</v>
      </c>
      <c r="U2531" t="s">
        <v>26604</v>
      </c>
      <c r="V2531" t="s">
        <v>26610</v>
      </c>
      <c r="W2531" t="s">
        <v>630</v>
      </c>
      <c r="X2531">
        <v>640</v>
      </c>
      <c r="Y2531" t="s">
        <v>26653</v>
      </c>
      <c r="Z2531" t="s">
        <v>26664</v>
      </c>
      <c r="AA2531" t="s">
        <v>26683</v>
      </c>
      <c r="AB2531" t="s">
        <v>28920</v>
      </c>
      <c r="AD2531" t="s">
        <v>38977</v>
      </c>
      <c r="AE2531">
        <v>2</v>
      </c>
      <c r="AF2531" t="s">
        <v>45547</v>
      </c>
      <c r="AG2531" t="s">
        <v>19330</v>
      </c>
      <c r="AH2531">
        <v>1</v>
      </c>
      <c r="AI2531">
        <v>1</v>
      </c>
      <c r="AJ2531">
        <v>0</v>
      </c>
      <c r="AK2531">
        <v>164.74</v>
      </c>
      <c r="AN2531" t="s">
        <v>7439</v>
      </c>
      <c r="AO2531">
        <v>20000</v>
      </c>
      <c r="AU2531">
        <v>1</v>
      </c>
      <c r="AV2531" t="s">
        <v>635</v>
      </c>
      <c r="AW2531" t="s">
        <v>161</v>
      </c>
    </row>
    <row r="2532" spans="1:50">
      <c r="A2532" s="1">
        <f>HYPERLINK("https://lsnyc.legalserver.org/matter/dynamic-profile/view/1880676","18-1880676")</f>
        <v>0</v>
      </c>
      <c r="B2532" t="s">
        <v>103</v>
      </c>
      <c r="C2532" t="s">
        <v>341</v>
      </c>
      <c r="D2532" t="s">
        <v>630</v>
      </c>
      <c r="E2532" t="s">
        <v>695</v>
      </c>
      <c r="F2532" t="s">
        <v>2291</v>
      </c>
      <c r="G2532" t="s">
        <v>6492</v>
      </c>
      <c r="H2532" t="s">
        <v>11310</v>
      </c>
      <c r="I2532" t="s">
        <v>17366</v>
      </c>
      <c r="J2532" t="s">
        <v>18902</v>
      </c>
      <c r="K2532">
        <v>10303</v>
      </c>
      <c r="L2532" t="s">
        <v>18958</v>
      </c>
      <c r="M2532" t="s">
        <v>18958</v>
      </c>
      <c r="N2532" t="s">
        <v>20873</v>
      </c>
      <c r="O2532" t="s">
        <v>26523</v>
      </c>
      <c r="P2532" t="s">
        <v>26560</v>
      </c>
      <c r="Q2532" t="s">
        <v>26568</v>
      </c>
      <c r="R2532" t="s">
        <v>26590</v>
      </c>
      <c r="S2532" t="s">
        <v>18959</v>
      </c>
      <c r="U2532" t="s">
        <v>26606</v>
      </c>
      <c r="V2532" t="s">
        <v>26610</v>
      </c>
      <c r="W2532" t="s">
        <v>630</v>
      </c>
      <c r="X2532">
        <v>1350</v>
      </c>
      <c r="Y2532" t="s">
        <v>26654</v>
      </c>
      <c r="Z2532" t="s">
        <v>26668</v>
      </c>
      <c r="AA2532" t="s">
        <v>26678</v>
      </c>
      <c r="AB2532" t="s">
        <v>28921</v>
      </c>
      <c r="AD2532" t="s">
        <v>38978</v>
      </c>
      <c r="AE2532">
        <v>130</v>
      </c>
      <c r="AF2532" t="s">
        <v>45543</v>
      </c>
      <c r="AG2532" t="s">
        <v>45556</v>
      </c>
      <c r="AH2532">
        <v>6</v>
      </c>
      <c r="AI2532">
        <v>1</v>
      </c>
      <c r="AJ2532">
        <v>2</v>
      </c>
      <c r="AK2532">
        <v>0</v>
      </c>
      <c r="AN2532" t="s">
        <v>7439</v>
      </c>
      <c r="AO2532">
        <v>0</v>
      </c>
      <c r="AQ2532" t="s">
        <v>46362</v>
      </c>
      <c r="AR2532" t="s">
        <v>46381</v>
      </c>
      <c r="AS2532" t="s">
        <v>46499</v>
      </c>
      <c r="AT2532" t="s">
        <v>46712</v>
      </c>
      <c r="AU2532">
        <v>12.15</v>
      </c>
      <c r="AV2532" t="s">
        <v>695</v>
      </c>
      <c r="AW2532" t="s">
        <v>210</v>
      </c>
    </row>
    <row r="2533" spans="1:50">
      <c r="A2533" s="1">
        <f>HYPERLINK("https://lsnyc.legalserver.org/matter/dynamic-profile/view/1880691","18-1880691")</f>
        <v>0</v>
      </c>
      <c r="B2533" t="s">
        <v>103</v>
      </c>
      <c r="C2533" t="s">
        <v>341</v>
      </c>
      <c r="D2533" t="s">
        <v>630</v>
      </c>
      <c r="E2533" t="s">
        <v>703</v>
      </c>
      <c r="F2533" t="s">
        <v>2292</v>
      </c>
      <c r="G2533" t="s">
        <v>1583</v>
      </c>
      <c r="H2533" t="s">
        <v>10733</v>
      </c>
      <c r="I2533" t="s">
        <v>17632</v>
      </c>
      <c r="J2533" t="s">
        <v>18902</v>
      </c>
      <c r="K2533">
        <v>10303</v>
      </c>
      <c r="L2533" t="s">
        <v>18958</v>
      </c>
      <c r="M2533" t="s">
        <v>18958</v>
      </c>
      <c r="N2533" t="s">
        <v>20874</v>
      </c>
      <c r="O2533" t="s">
        <v>26523</v>
      </c>
      <c r="P2533" t="s">
        <v>26560</v>
      </c>
      <c r="Q2533" t="s">
        <v>26568</v>
      </c>
      <c r="R2533" t="s">
        <v>26590</v>
      </c>
      <c r="S2533" t="s">
        <v>18959</v>
      </c>
      <c r="U2533" t="s">
        <v>26606</v>
      </c>
      <c r="V2533" t="s">
        <v>26610</v>
      </c>
      <c r="W2533" t="s">
        <v>630</v>
      </c>
      <c r="X2533">
        <v>50</v>
      </c>
      <c r="Y2533" t="s">
        <v>26654</v>
      </c>
      <c r="Z2533" t="s">
        <v>26668</v>
      </c>
      <c r="AA2533" t="s">
        <v>26677</v>
      </c>
      <c r="AB2533" t="s">
        <v>27060</v>
      </c>
      <c r="AD2533" t="s">
        <v>38979</v>
      </c>
      <c r="AE2533">
        <v>130</v>
      </c>
      <c r="AF2533" t="s">
        <v>45543</v>
      </c>
      <c r="AG2533" t="s">
        <v>45556</v>
      </c>
      <c r="AH2533">
        <v>4</v>
      </c>
      <c r="AI2533">
        <v>1</v>
      </c>
      <c r="AJ2533">
        <v>1</v>
      </c>
      <c r="AK2533">
        <v>0</v>
      </c>
      <c r="AN2533" t="s">
        <v>7439</v>
      </c>
      <c r="AO2533">
        <v>0</v>
      </c>
      <c r="AQ2533" t="s">
        <v>46362</v>
      </c>
      <c r="AR2533" t="s">
        <v>46381</v>
      </c>
      <c r="AS2533" t="s">
        <v>46499</v>
      </c>
      <c r="AT2533" t="s">
        <v>46521</v>
      </c>
      <c r="AU2533">
        <v>2.3</v>
      </c>
      <c r="AV2533" t="s">
        <v>703</v>
      </c>
      <c r="AW2533" t="s">
        <v>210</v>
      </c>
    </row>
    <row r="2534" spans="1:50">
      <c r="A2534" s="1">
        <f>HYPERLINK("https://lsnyc.legalserver.org/matter/dynamic-profile/view/1880698","18-1880698")</f>
        <v>0</v>
      </c>
      <c r="B2534" t="s">
        <v>103</v>
      </c>
      <c r="C2534" t="s">
        <v>341</v>
      </c>
      <c r="D2534" t="s">
        <v>630</v>
      </c>
      <c r="E2534" t="s">
        <v>834</v>
      </c>
      <c r="F2534" t="s">
        <v>2293</v>
      </c>
      <c r="G2534" t="s">
        <v>6493</v>
      </c>
      <c r="H2534" t="s">
        <v>11697</v>
      </c>
      <c r="I2534" t="s">
        <v>17579</v>
      </c>
      <c r="J2534" t="s">
        <v>18902</v>
      </c>
      <c r="K2534">
        <v>10303</v>
      </c>
      <c r="L2534" t="s">
        <v>18958</v>
      </c>
      <c r="M2534" t="s">
        <v>18958</v>
      </c>
      <c r="N2534" t="s">
        <v>20875</v>
      </c>
      <c r="O2534" t="s">
        <v>26523</v>
      </c>
      <c r="P2534" t="s">
        <v>26560</v>
      </c>
      <c r="Q2534" t="s">
        <v>26568</v>
      </c>
      <c r="R2534" t="s">
        <v>26590</v>
      </c>
      <c r="S2534" t="s">
        <v>18959</v>
      </c>
      <c r="U2534" t="s">
        <v>26606</v>
      </c>
      <c r="V2534" t="s">
        <v>26610</v>
      </c>
      <c r="W2534" t="s">
        <v>630</v>
      </c>
      <c r="X2534">
        <v>237</v>
      </c>
      <c r="Y2534" t="s">
        <v>26654</v>
      </c>
      <c r="Z2534" t="s">
        <v>26668</v>
      </c>
      <c r="AA2534" t="s">
        <v>26678</v>
      </c>
      <c r="AB2534" t="s">
        <v>28922</v>
      </c>
      <c r="AD2534" t="s">
        <v>38980</v>
      </c>
      <c r="AE2534">
        <v>130</v>
      </c>
      <c r="AF2534" t="s">
        <v>45543</v>
      </c>
      <c r="AG2534" t="s">
        <v>45556</v>
      </c>
      <c r="AH2534">
        <v>19</v>
      </c>
      <c r="AI2534">
        <v>1</v>
      </c>
      <c r="AJ2534">
        <v>0</v>
      </c>
      <c r="AK2534">
        <v>73.44</v>
      </c>
      <c r="AN2534" t="s">
        <v>7439</v>
      </c>
      <c r="AO2534">
        <v>8916</v>
      </c>
      <c r="AQ2534" t="s">
        <v>46365</v>
      </c>
      <c r="AR2534" t="s">
        <v>46379</v>
      </c>
      <c r="AS2534" t="s">
        <v>46499</v>
      </c>
      <c r="AT2534" t="s">
        <v>46747</v>
      </c>
      <c r="AU2534">
        <v>18.3</v>
      </c>
      <c r="AV2534" t="s">
        <v>834</v>
      </c>
      <c r="AW2534" t="s">
        <v>210</v>
      </c>
      <c r="AX2534" t="s">
        <v>46897</v>
      </c>
    </row>
    <row r="2535" spans="1:50">
      <c r="A2535" s="1">
        <f>HYPERLINK("https://lsnyc.legalserver.org/matter/dynamic-profile/view/1880685","18-1880685")</f>
        <v>0</v>
      </c>
      <c r="B2535" t="s">
        <v>125</v>
      </c>
      <c r="C2535" t="s">
        <v>341</v>
      </c>
      <c r="D2535" t="s">
        <v>630</v>
      </c>
      <c r="E2535" t="s">
        <v>691</v>
      </c>
      <c r="F2535" t="s">
        <v>2294</v>
      </c>
      <c r="G2535" t="s">
        <v>6372</v>
      </c>
      <c r="H2535" t="s">
        <v>11698</v>
      </c>
      <c r="I2535" t="s">
        <v>17435</v>
      </c>
      <c r="J2535" t="s">
        <v>18894</v>
      </c>
      <c r="K2535">
        <v>11212</v>
      </c>
      <c r="L2535" t="s">
        <v>18958</v>
      </c>
      <c r="M2535" t="s">
        <v>18958</v>
      </c>
      <c r="N2535" t="s">
        <v>20876</v>
      </c>
      <c r="O2535" t="s">
        <v>26523</v>
      </c>
      <c r="P2535" t="s">
        <v>26564</v>
      </c>
      <c r="Q2535" t="s">
        <v>26570</v>
      </c>
      <c r="R2535" t="s">
        <v>26578</v>
      </c>
      <c r="S2535" t="s">
        <v>18959</v>
      </c>
      <c r="U2535" t="s">
        <v>26604</v>
      </c>
      <c r="V2535" t="s">
        <v>26610</v>
      </c>
      <c r="W2535" t="s">
        <v>630</v>
      </c>
      <c r="X2535">
        <v>900</v>
      </c>
      <c r="Y2535" t="s">
        <v>26652</v>
      </c>
      <c r="AA2535" t="s">
        <v>26683</v>
      </c>
      <c r="AB2535" t="s">
        <v>28923</v>
      </c>
      <c r="AC2535" t="s">
        <v>34508</v>
      </c>
      <c r="AD2535" t="s">
        <v>38981</v>
      </c>
      <c r="AE2535">
        <v>3</v>
      </c>
      <c r="AF2535" t="s">
        <v>20460</v>
      </c>
      <c r="AG2535" t="s">
        <v>45557</v>
      </c>
      <c r="AH2535">
        <v>4</v>
      </c>
      <c r="AI2535">
        <v>3</v>
      </c>
      <c r="AJ2535">
        <v>0</v>
      </c>
      <c r="AK2535">
        <v>52.49</v>
      </c>
      <c r="AN2535" t="s">
        <v>7439</v>
      </c>
      <c r="AO2535">
        <v>10908</v>
      </c>
      <c r="AU2535">
        <v>2.2</v>
      </c>
      <c r="AV2535" t="s">
        <v>664</v>
      </c>
      <c r="AW2535" t="s">
        <v>46829</v>
      </c>
    </row>
    <row r="2536" spans="1:50">
      <c r="A2536" s="1">
        <f>HYPERLINK("https://lsnyc.legalserver.org/matter/dynamic-profile/view/1880702","18-1880702")</f>
        <v>0</v>
      </c>
      <c r="B2536" t="s">
        <v>164</v>
      </c>
      <c r="C2536" t="s">
        <v>340</v>
      </c>
      <c r="D2536" t="s">
        <v>630</v>
      </c>
      <c r="F2536" t="s">
        <v>887</v>
      </c>
      <c r="G2536" t="s">
        <v>5122</v>
      </c>
      <c r="H2536" t="s">
        <v>11699</v>
      </c>
      <c r="I2536" t="s">
        <v>17844</v>
      </c>
      <c r="J2536" t="s">
        <v>18898</v>
      </c>
      <c r="K2536">
        <v>11691</v>
      </c>
      <c r="L2536" t="s">
        <v>18958</v>
      </c>
      <c r="M2536" t="s">
        <v>18958</v>
      </c>
      <c r="N2536" t="s">
        <v>20877</v>
      </c>
      <c r="O2536" t="s">
        <v>26524</v>
      </c>
      <c r="P2536" t="s">
        <v>26563</v>
      </c>
      <c r="R2536" t="s">
        <v>26578</v>
      </c>
      <c r="S2536" t="s">
        <v>18959</v>
      </c>
      <c r="U2536" t="s">
        <v>26604</v>
      </c>
      <c r="V2536" t="s">
        <v>26610</v>
      </c>
      <c r="W2536" t="s">
        <v>630</v>
      </c>
      <c r="X2536">
        <v>850</v>
      </c>
      <c r="Y2536" t="s">
        <v>26653</v>
      </c>
      <c r="Z2536" t="s">
        <v>26664</v>
      </c>
      <c r="AB2536" t="s">
        <v>27912</v>
      </c>
      <c r="AD2536" t="s">
        <v>37963</v>
      </c>
      <c r="AE2536">
        <v>2</v>
      </c>
      <c r="AF2536" t="s">
        <v>45547</v>
      </c>
      <c r="AG2536" t="s">
        <v>19330</v>
      </c>
      <c r="AH2536">
        <v>2</v>
      </c>
      <c r="AI2536">
        <v>1</v>
      </c>
      <c r="AJ2536">
        <v>0</v>
      </c>
      <c r="AK2536">
        <v>171.33</v>
      </c>
      <c r="AN2536" t="s">
        <v>7439</v>
      </c>
      <c r="AO2536">
        <v>20800</v>
      </c>
      <c r="AU2536">
        <v>0</v>
      </c>
      <c r="AW2536" t="s">
        <v>208</v>
      </c>
    </row>
    <row r="2537" spans="1:50">
      <c r="A2537" s="1">
        <f>HYPERLINK("https://lsnyc.legalserver.org/matter/dynamic-profile/view/1880705","18-1880705")</f>
        <v>0</v>
      </c>
      <c r="B2537" t="s">
        <v>131</v>
      </c>
      <c r="C2537" t="s">
        <v>340</v>
      </c>
      <c r="D2537" t="s">
        <v>630</v>
      </c>
      <c r="F2537" t="s">
        <v>2295</v>
      </c>
      <c r="G2537" t="s">
        <v>6494</v>
      </c>
      <c r="H2537" t="s">
        <v>11697</v>
      </c>
      <c r="I2537" t="s">
        <v>17585</v>
      </c>
      <c r="J2537" t="s">
        <v>18902</v>
      </c>
      <c r="K2537">
        <v>10303</v>
      </c>
      <c r="L2537" t="s">
        <v>18958</v>
      </c>
      <c r="M2537" t="s">
        <v>18958</v>
      </c>
      <c r="N2537" t="s">
        <v>20878</v>
      </c>
      <c r="O2537" t="s">
        <v>26523</v>
      </c>
      <c r="P2537" t="s">
        <v>26560</v>
      </c>
      <c r="R2537" t="s">
        <v>26590</v>
      </c>
      <c r="S2537" t="s">
        <v>18959</v>
      </c>
      <c r="U2537" t="s">
        <v>26606</v>
      </c>
      <c r="V2537" t="s">
        <v>26610</v>
      </c>
      <c r="W2537" t="s">
        <v>630</v>
      </c>
      <c r="X2537">
        <v>243</v>
      </c>
      <c r="Y2537" t="s">
        <v>26654</v>
      </c>
      <c r="Z2537" t="s">
        <v>26668</v>
      </c>
      <c r="AB2537" t="s">
        <v>28924</v>
      </c>
      <c r="AD2537" t="s">
        <v>38982</v>
      </c>
      <c r="AE2537">
        <v>130</v>
      </c>
      <c r="AF2537" t="s">
        <v>45543</v>
      </c>
      <c r="AG2537" t="s">
        <v>45556</v>
      </c>
      <c r="AH2537">
        <v>7</v>
      </c>
      <c r="AI2537">
        <v>1</v>
      </c>
      <c r="AJ2537">
        <v>0</v>
      </c>
      <c r="AK2537">
        <v>74.93000000000001</v>
      </c>
      <c r="AO2537">
        <v>9096</v>
      </c>
      <c r="AU2537">
        <v>13.05</v>
      </c>
      <c r="AV2537" t="s">
        <v>821</v>
      </c>
      <c r="AW2537" t="s">
        <v>210</v>
      </c>
    </row>
    <row r="2538" spans="1:50">
      <c r="A2538" s="1">
        <f>HYPERLINK("https://lsnyc.legalserver.org/matter/dynamic-profile/view/1880723","18-1880723")</f>
        <v>0</v>
      </c>
      <c r="B2538" t="s">
        <v>153</v>
      </c>
      <c r="C2538" t="s">
        <v>340</v>
      </c>
      <c r="D2538" t="s">
        <v>630</v>
      </c>
      <c r="F2538" t="s">
        <v>2296</v>
      </c>
      <c r="G2538" t="s">
        <v>5973</v>
      </c>
      <c r="H2538" t="s">
        <v>11700</v>
      </c>
      <c r="I2538" t="s">
        <v>17711</v>
      </c>
      <c r="J2538" t="s">
        <v>18902</v>
      </c>
      <c r="K2538">
        <v>10303</v>
      </c>
      <c r="L2538" t="s">
        <v>18958</v>
      </c>
      <c r="M2538" t="s">
        <v>18958</v>
      </c>
      <c r="N2538" t="s">
        <v>20879</v>
      </c>
      <c r="O2538" t="s">
        <v>26524</v>
      </c>
      <c r="P2538" t="s">
        <v>26560</v>
      </c>
      <c r="R2538" t="s">
        <v>26590</v>
      </c>
      <c r="S2538" t="s">
        <v>18959</v>
      </c>
      <c r="U2538" t="s">
        <v>26604</v>
      </c>
      <c r="V2538" t="s">
        <v>26610</v>
      </c>
      <c r="W2538" t="s">
        <v>630</v>
      </c>
      <c r="X2538">
        <v>500</v>
      </c>
      <c r="Y2538" t="s">
        <v>26654</v>
      </c>
      <c r="Z2538" t="s">
        <v>26668</v>
      </c>
      <c r="AB2538" t="s">
        <v>28925</v>
      </c>
      <c r="AD2538" t="s">
        <v>38983</v>
      </c>
      <c r="AE2538">
        <v>2</v>
      </c>
      <c r="AF2538" t="s">
        <v>45547</v>
      </c>
      <c r="AG2538" t="s">
        <v>19330</v>
      </c>
      <c r="AH2538">
        <v>9</v>
      </c>
      <c r="AI2538">
        <v>1</v>
      </c>
      <c r="AJ2538">
        <v>0</v>
      </c>
      <c r="AK2538">
        <v>0</v>
      </c>
      <c r="AO2538">
        <v>0</v>
      </c>
      <c r="AU2538">
        <v>5</v>
      </c>
      <c r="AV2538" t="s">
        <v>827</v>
      </c>
      <c r="AW2538" t="s">
        <v>210</v>
      </c>
    </row>
    <row r="2539" spans="1:50">
      <c r="A2539" s="1">
        <f>HYPERLINK("https://lsnyc.legalserver.org/matter/dynamic-profile/view/1880673","18-1880673")</f>
        <v>0</v>
      </c>
      <c r="B2539" t="s">
        <v>204</v>
      </c>
      <c r="C2539" t="s">
        <v>340</v>
      </c>
      <c r="D2539" t="s">
        <v>630</v>
      </c>
      <c r="F2539" t="s">
        <v>1475</v>
      </c>
      <c r="G2539" t="s">
        <v>5644</v>
      </c>
      <c r="H2539" t="s">
        <v>10275</v>
      </c>
      <c r="I2539" t="s">
        <v>17537</v>
      </c>
      <c r="J2539" t="s">
        <v>18894</v>
      </c>
      <c r="K2539">
        <v>11221</v>
      </c>
      <c r="L2539" t="s">
        <v>18958</v>
      </c>
      <c r="M2539" t="s">
        <v>18958</v>
      </c>
      <c r="N2539" t="s">
        <v>20880</v>
      </c>
      <c r="O2539" t="s">
        <v>26526</v>
      </c>
      <c r="P2539" t="s">
        <v>26560</v>
      </c>
      <c r="R2539" t="s">
        <v>26578</v>
      </c>
      <c r="S2539" t="s">
        <v>18958</v>
      </c>
      <c r="U2539" t="s">
        <v>26604</v>
      </c>
      <c r="W2539" t="s">
        <v>630</v>
      </c>
      <c r="X2539">
        <v>0</v>
      </c>
      <c r="Y2539" t="s">
        <v>26652</v>
      </c>
      <c r="Z2539" t="s">
        <v>26659</v>
      </c>
      <c r="AB2539" t="s">
        <v>26773</v>
      </c>
      <c r="AD2539" t="s">
        <v>37561</v>
      </c>
      <c r="AE2539">
        <v>7</v>
      </c>
      <c r="AH2539">
        <v>13</v>
      </c>
      <c r="AI2539">
        <v>1</v>
      </c>
      <c r="AJ2539">
        <v>1</v>
      </c>
      <c r="AK2539">
        <v>0</v>
      </c>
      <c r="AN2539" t="s">
        <v>7439</v>
      </c>
      <c r="AO2539">
        <v>0</v>
      </c>
      <c r="AU2539">
        <v>26.2</v>
      </c>
      <c r="AV2539" t="s">
        <v>787</v>
      </c>
      <c r="AW2539" t="s">
        <v>281</v>
      </c>
    </row>
    <row r="2540" spans="1:50">
      <c r="A2540" s="1">
        <f>HYPERLINK("https://lsnyc.legalserver.org/matter/dynamic-profile/view/1880701","18-1880701")</f>
        <v>0</v>
      </c>
      <c r="B2540" t="s">
        <v>204</v>
      </c>
      <c r="C2540" t="s">
        <v>340</v>
      </c>
      <c r="D2540" t="s">
        <v>630</v>
      </c>
      <c r="F2540" t="s">
        <v>1145</v>
      </c>
      <c r="G2540" t="s">
        <v>6495</v>
      </c>
      <c r="H2540" t="s">
        <v>10275</v>
      </c>
      <c r="I2540" t="s">
        <v>17354</v>
      </c>
      <c r="J2540" t="s">
        <v>18894</v>
      </c>
      <c r="K2540">
        <v>11221</v>
      </c>
      <c r="L2540" t="s">
        <v>18958</v>
      </c>
      <c r="M2540" t="s">
        <v>18958</v>
      </c>
      <c r="N2540" t="s">
        <v>20880</v>
      </c>
      <c r="O2540" t="s">
        <v>26526</v>
      </c>
      <c r="P2540" t="s">
        <v>26560</v>
      </c>
      <c r="R2540" t="s">
        <v>26578</v>
      </c>
      <c r="U2540" t="s">
        <v>26604</v>
      </c>
      <c r="W2540" t="s">
        <v>630</v>
      </c>
      <c r="X2540">
        <v>640</v>
      </c>
      <c r="Y2540" t="s">
        <v>26652</v>
      </c>
      <c r="AB2540" t="s">
        <v>28926</v>
      </c>
      <c r="AE2540">
        <v>7</v>
      </c>
      <c r="AG2540" t="s">
        <v>19330</v>
      </c>
      <c r="AH2540">
        <v>18</v>
      </c>
      <c r="AI2540">
        <v>1</v>
      </c>
      <c r="AJ2540">
        <v>0</v>
      </c>
      <c r="AK2540">
        <v>57.66</v>
      </c>
      <c r="AN2540" t="s">
        <v>7439</v>
      </c>
      <c r="AO2540">
        <v>7000</v>
      </c>
      <c r="AU2540">
        <v>12.95</v>
      </c>
      <c r="AV2540" t="s">
        <v>668</v>
      </c>
      <c r="AW2540" t="s">
        <v>281</v>
      </c>
    </row>
    <row r="2541" spans="1:50">
      <c r="A2541" s="1">
        <f>HYPERLINK("https://lsnyc.legalserver.org/matter/dynamic-profile/view/1880682","18-1880682")</f>
        <v>0</v>
      </c>
      <c r="B2541" t="s">
        <v>204</v>
      </c>
      <c r="C2541" t="s">
        <v>340</v>
      </c>
      <c r="D2541" t="s">
        <v>630</v>
      </c>
      <c r="F2541" t="s">
        <v>1493</v>
      </c>
      <c r="G2541" t="s">
        <v>5662</v>
      </c>
      <c r="H2541" t="s">
        <v>10275</v>
      </c>
      <c r="I2541" t="s">
        <v>17415</v>
      </c>
      <c r="J2541" t="s">
        <v>18894</v>
      </c>
      <c r="K2541">
        <v>11221</v>
      </c>
      <c r="L2541" t="s">
        <v>18958</v>
      </c>
      <c r="M2541" t="s">
        <v>18958</v>
      </c>
      <c r="N2541" t="s">
        <v>20880</v>
      </c>
      <c r="O2541" t="s">
        <v>26526</v>
      </c>
      <c r="P2541" t="s">
        <v>26560</v>
      </c>
      <c r="R2541" t="s">
        <v>26578</v>
      </c>
      <c r="U2541" t="s">
        <v>26604</v>
      </c>
      <c r="W2541" t="s">
        <v>630</v>
      </c>
      <c r="X2541">
        <v>750</v>
      </c>
      <c r="Y2541" t="s">
        <v>26652</v>
      </c>
      <c r="Z2541" t="s">
        <v>26659</v>
      </c>
      <c r="AB2541" t="s">
        <v>27531</v>
      </c>
      <c r="AD2541" t="s">
        <v>37589</v>
      </c>
      <c r="AE2541">
        <v>7</v>
      </c>
      <c r="AG2541" t="s">
        <v>19330</v>
      </c>
      <c r="AH2541">
        <v>23</v>
      </c>
      <c r="AI2541">
        <v>1</v>
      </c>
      <c r="AJ2541">
        <v>0</v>
      </c>
      <c r="AK2541">
        <v>164.05</v>
      </c>
      <c r="AN2541" t="s">
        <v>7439</v>
      </c>
      <c r="AO2541">
        <v>19916</v>
      </c>
      <c r="AU2541">
        <v>0</v>
      </c>
      <c r="AW2541" t="s">
        <v>281</v>
      </c>
    </row>
    <row r="2542" spans="1:50">
      <c r="A2542" s="1">
        <f>HYPERLINK("https://lsnyc.legalserver.org/matter/dynamic-profile/view/1880693","18-1880693")</f>
        <v>0</v>
      </c>
      <c r="B2542" t="s">
        <v>204</v>
      </c>
      <c r="C2542" t="s">
        <v>340</v>
      </c>
      <c r="D2542" t="s">
        <v>630</v>
      </c>
      <c r="F2542" t="s">
        <v>1394</v>
      </c>
      <c r="G2542" t="s">
        <v>5574</v>
      </c>
      <c r="H2542" t="s">
        <v>10275</v>
      </c>
      <c r="I2542">
        <v>1</v>
      </c>
      <c r="J2542" t="s">
        <v>18894</v>
      </c>
      <c r="K2542">
        <v>11221</v>
      </c>
      <c r="L2542" t="s">
        <v>18958</v>
      </c>
      <c r="M2542" t="s">
        <v>18958</v>
      </c>
      <c r="N2542" t="s">
        <v>20880</v>
      </c>
      <c r="O2542" t="s">
        <v>26526</v>
      </c>
      <c r="P2542" t="s">
        <v>26560</v>
      </c>
      <c r="R2542" t="s">
        <v>26578</v>
      </c>
      <c r="U2542" t="s">
        <v>26604</v>
      </c>
      <c r="W2542" t="s">
        <v>630</v>
      </c>
      <c r="X2542">
        <v>1000</v>
      </c>
      <c r="Y2542" t="s">
        <v>26652</v>
      </c>
      <c r="Z2542" t="s">
        <v>26659</v>
      </c>
      <c r="AB2542" t="s">
        <v>27380</v>
      </c>
      <c r="AD2542" t="s">
        <v>37447</v>
      </c>
      <c r="AE2542">
        <v>7</v>
      </c>
      <c r="AG2542" t="s">
        <v>19330</v>
      </c>
      <c r="AH2542">
        <v>1</v>
      </c>
      <c r="AI2542">
        <v>1</v>
      </c>
      <c r="AJ2542">
        <v>0</v>
      </c>
      <c r="AK2542">
        <v>181.22</v>
      </c>
      <c r="AN2542" t="s">
        <v>7439</v>
      </c>
      <c r="AO2542">
        <v>22000</v>
      </c>
      <c r="AU2542">
        <v>43.2</v>
      </c>
      <c r="AV2542" t="s">
        <v>735</v>
      </c>
      <c r="AW2542" t="s">
        <v>281</v>
      </c>
    </row>
    <row r="2543" spans="1:50">
      <c r="A2543" s="1">
        <f>HYPERLINK("https://lsnyc.legalserver.org/matter/dynamic-profile/view/1880749","18-1880749")</f>
        <v>0</v>
      </c>
      <c r="B2543" t="s">
        <v>214</v>
      </c>
      <c r="C2543" t="s">
        <v>340</v>
      </c>
      <c r="D2543" t="s">
        <v>630</v>
      </c>
      <c r="F2543" t="s">
        <v>1463</v>
      </c>
      <c r="G2543" t="s">
        <v>6407</v>
      </c>
      <c r="H2543" t="s">
        <v>11701</v>
      </c>
      <c r="I2543">
        <v>1</v>
      </c>
      <c r="J2543" t="s">
        <v>18918</v>
      </c>
      <c r="K2543">
        <v>11416</v>
      </c>
      <c r="L2543" t="s">
        <v>18958</v>
      </c>
      <c r="M2543" t="s">
        <v>18958</v>
      </c>
      <c r="N2543" t="s">
        <v>20881</v>
      </c>
      <c r="O2543" t="s">
        <v>26523</v>
      </c>
      <c r="P2543" t="s">
        <v>26560</v>
      </c>
      <c r="R2543" t="s">
        <v>26589</v>
      </c>
      <c r="S2543" t="s">
        <v>18959</v>
      </c>
      <c r="U2543" t="s">
        <v>26604</v>
      </c>
      <c r="V2543" t="s">
        <v>26610</v>
      </c>
      <c r="W2543" t="s">
        <v>630</v>
      </c>
      <c r="X2543">
        <v>2300</v>
      </c>
      <c r="Y2543" t="s">
        <v>26653</v>
      </c>
      <c r="Z2543" t="s">
        <v>26671</v>
      </c>
      <c r="AA2543" t="s">
        <v>26683</v>
      </c>
      <c r="AB2543" t="s">
        <v>28927</v>
      </c>
      <c r="AC2543" t="s">
        <v>35263</v>
      </c>
      <c r="AD2543" t="s">
        <v>34738</v>
      </c>
      <c r="AE2543">
        <v>5</v>
      </c>
      <c r="AF2543" t="s">
        <v>45547</v>
      </c>
      <c r="AG2543" t="s">
        <v>19330</v>
      </c>
      <c r="AH2543">
        <v>1</v>
      </c>
      <c r="AI2543">
        <v>2</v>
      </c>
      <c r="AJ2543">
        <v>0</v>
      </c>
      <c r="AK2543">
        <v>0</v>
      </c>
      <c r="AL2543" t="s">
        <v>45567</v>
      </c>
      <c r="AM2543" t="s">
        <v>45577</v>
      </c>
      <c r="AN2543" t="s">
        <v>45581</v>
      </c>
      <c r="AO2543">
        <v>0</v>
      </c>
      <c r="AU2543">
        <v>28.8</v>
      </c>
      <c r="AV2543" t="s">
        <v>834</v>
      </c>
      <c r="AW2543" t="s">
        <v>214</v>
      </c>
    </row>
    <row r="2544" spans="1:50">
      <c r="A2544" s="1">
        <f>HYPERLINK("https://lsnyc.legalserver.org/matter/dynamic-profile/view/1880772","18-1880772")</f>
        <v>0</v>
      </c>
      <c r="B2544" t="s">
        <v>142</v>
      </c>
      <c r="C2544" t="s">
        <v>340</v>
      </c>
      <c r="D2544" t="s">
        <v>630</v>
      </c>
      <c r="F2544" t="s">
        <v>1543</v>
      </c>
      <c r="G2544" t="s">
        <v>5103</v>
      </c>
      <c r="H2544" t="s">
        <v>11702</v>
      </c>
      <c r="I2544" t="s">
        <v>17430</v>
      </c>
      <c r="J2544" t="s">
        <v>7026</v>
      </c>
      <c r="K2544">
        <v>11368</v>
      </c>
      <c r="L2544" t="s">
        <v>18958</v>
      </c>
      <c r="M2544" t="s">
        <v>18958</v>
      </c>
      <c r="N2544" t="s">
        <v>20882</v>
      </c>
      <c r="O2544" t="s">
        <v>26524</v>
      </c>
      <c r="P2544" t="s">
        <v>26564</v>
      </c>
      <c r="R2544" t="s">
        <v>26584</v>
      </c>
      <c r="S2544" t="s">
        <v>18959</v>
      </c>
      <c r="U2544" t="s">
        <v>26604</v>
      </c>
      <c r="V2544" t="s">
        <v>26610</v>
      </c>
      <c r="W2544" t="s">
        <v>630</v>
      </c>
      <c r="X2544">
        <v>1100</v>
      </c>
      <c r="Y2544" t="s">
        <v>26653</v>
      </c>
      <c r="Z2544" t="s">
        <v>26664</v>
      </c>
      <c r="AB2544" t="s">
        <v>28928</v>
      </c>
      <c r="AD2544" t="s">
        <v>38984</v>
      </c>
      <c r="AE2544">
        <v>3</v>
      </c>
      <c r="AF2544" t="s">
        <v>45547</v>
      </c>
      <c r="AG2544" t="s">
        <v>19330</v>
      </c>
      <c r="AH2544">
        <v>5</v>
      </c>
      <c r="AI2544">
        <v>1</v>
      </c>
      <c r="AJ2544">
        <v>0</v>
      </c>
      <c r="AK2544">
        <v>0</v>
      </c>
      <c r="AN2544" t="s">
        <v>7439</v>
      </c>
      <c r="AO2544">
        <v>0</v>
      </c>
      <c r="AU2544">
        <v>1.6</v>
      </c>
      <c r="AV2544" t="s">
        <v>618</v>
      </c>
      <c r="AW2544" t="s">
        <v>161</v>
      </c>
    </row>
    <row r="2545" spans="1:49">
      <c r="A2545" s="1">
        <f>HYPERLINK("https://lsnyc.legalserver.org/matter/dynamic-profile/view/1880688","18-1880688")</f>
        <v>0</v>
      </c>
      <c r="B2545" t="s">
        <v>104</v>
      </c>
      <c r="C2545" t="s">
        <v>340</v>
      </c>
      <c r="D2545" t="s">
        <v>630</v>
      </c>
      <c r="F2545" t="s">
        <v>2297</v>
      </c>
      <c r="G2545" t="s">
        <v>6306</v>
      </c>
      <c r="H2545" t="s">
        <v>10733</v>
      </c>
      <c r="I2545" t="s">
        <v>17585</v>
      </c>
      <c r="J2545" t="s">
        <v>18902</v>
      </c>
      <c r="K2545">
        <v>10303</v>
      </c>
      <c r="L2545" t="s">
        <v>18958</v>
      </c>
      <c r="M2545" t="s">
        <v>18958</v>
      </c>
      <c r="N2545" t="s">
        <v>20883</v>
      </c>
      <c r="O2545" t="s">
        <v>26523</v>
      </c>
      <c r="P2545" t="s">
        <v>26560</v>
      </c>
      <c r="R2545" t="s">
        <v>26590</v>
      </c>
      <c r="S2545" t="s">
        <v>18959</v>
      </c>
      <c r="U2545" t="s">
        <v>26606</v>
      </c>
      <c r="V2545" t="s">
        <v>26609</v>
      </c>
      <c r="W2545" t="s">
        <v>630</v>
      </c>
      <c r="X2545">
        <v>348</v>
      </c>
      <c r="Y2545" t="s">
        <v>26654</v>
      </c>
      <c r="Z2545" t="s">
        <v>26668</v>
      </c>
      <c r="AB2545" t="s">
        <v>27098</v>
      </c>
      <c r="AD2545" t="s">
        <v>38985</v>
      </c>
      <c r="AE2545">
        <v>130</v>
      </c>
      <c r="AF2545" t="s">
        <v>45543</v>
      </c>
      <c r="AG2545" t="s">
        <v>45556</v>
      </c>
      <c r="AH2545">
        <v>5</v>
      </c>
      <c r="AI2545">
        <v>1</v>
      </c>
      <c r="AJ2545">
        <v>1</v>
      </c>
      <c r="AK2545">
        <v>114.22</v>
      </c>
      <c r="AN2545" t="s">
        <v>7439</v>
      </c>
      <c r="AO2545">
        <v>18800</v>
      </c>
      <c r="AU2545">
        <v>29.2</v>
      </c>
      <c r="AV2545" t="s">
        <v>764</v>
      </c>
      <c r="AW2545" t="s">
        <v>190</v>
      </c>
    </row>
    <row r="2546" spans="1:49">
      <c r="A2546" s="1">
        <f>HYPERLINK("https://lsnyc.legalserver.org/matter/dynamic-profile/view/1880721","18-1880721")</f>
        <v>0</v>
      </c>
      <c r="B2546" t="s">
        <v>104</v>
      </c>
      <c r="C2546" t="s">
        <v>340</v>
      </c>
      <c r="D2546" t="s">
        <v>630</v>
      </c>
      <c r="F2546" t="s">
        <v>1562</v>
      </c>
      <c r="G2546" t="s">
        <v>6496</v>
      </c>
      <c r="H2546" t="s">
        <v>11310</v>
      </c>
      <c r="I2546" t="s">
        <v>17845</v>
      </c>
      <c r="J2546" t="s">
        <v>18902</v>
      </c>
      <c r="K2546">
        <v>10303</v>
      </c>
      <c r="L2546" t="s">
        <v>18958</v>
      </c>
      <c r="M2546" t="s">
        <v>18958</v>
      </c>
      <c r="N2546" t="s">
        <v>20884</v>
      </c>
      <c r="O2546" t="s">
        <v>26523</v>
      </c>
      <c r="P2546" t="s">
        <v>26560</v>
      </c>
      <c r="R2546" t="s">
        <v>26590</v>
      </c>
      <c r="S2546" t="s">
        <v>18959</v>
      </c>
      <c r="U2546" t="s">
        <v>26606</v>
      </c>
      <c r="V2546" t="s">
        <v>26610</v>
      </c>
      <c r="W2546" t="s">
        <v>630</v>
      </c>
      <c r="X2546">
        <v>788</v>
      </c>
      <c r="Y2546" t="s">
        <v>26654</v>
      </c>
      <c r="Z2546" t="s">
        <v>26668</v>
      </c>
      <c r="AB2546" t="s">
        <v>28342</v>
      </c>
      <c r="AD2546" t="s">
        <v>38986</v>
      </c>
      <c r="AE2546">
        <v>130</v>
      </c>
      <c r="AF2546" t="s">
        <v>45543</v>
      </c>
      <c r="AG2546" t="s">
        <v>45556</v>
      </c>
      <c r="AH2546">
        <v>7</v>
      </c>
      <c r="AI2546">
        <v>2</v>
      </c>
      <c r="AJ2546">
        <v>2</v>
      </c>
      <c r="AK2546">
        <v>129.23</v>
      </c>
      <c r="AO2546">
        <v>32436</v>
      </c>
      <c r="AU2546">
        <v>30.75</v>
      </c>
      <c r="AV2546" t="s">
        <v>829</v>
      </c>
      <c r="AW2546" t="s">
        <v>190</v>
      </c>
    </row>
    <row r="2547" spans="1:49">
      <c r="A2547" s="1">
        <f>HYPERLINK("https://lsnyc.legalserver.org/matter/dynamic-profile/view/1880692","18-1880692")</f>
        <v>0</v>
      </c>
      <c r="B2547" t="s">
        <v>112</v>
      </c>
      <c r="C2547" t="s">
        <v>340</v>
      </c>
      <c r="D2547" t="s">
        <v>630</v>
      </c>
      <c r="F2547" t="s">
        <v>2298</v>
      </c>
      <c r="G2547" t="s">
        <v>6497</v>
      </c>
      <c r="H2547" t="s">
        <v>11703</v>
      </c>
      <c r="J2547" t="s">
        <v>18901</v>
      </c>
      <c r="K2547">
        <v>11436</v>
      </c>
      <c r="L2547" t="s">
        <v>18958</v>
      </c>
      <c r="M2547" t="s">
        <v>18958</v>
      </c>
      <c r="N2547" t="s">
        <v>20885</v>
      </c>
      <c r="O2547" t="s">
        <v>26524</v>
      </c>
      <c r="P2547" t="s">
        <v>26564</v>
      </c>
      <c r="R2547" t="s">
        <v>26584</v>
      </c>
      <c r="S2547" t="s">
        <v>18959</v>
      </c>
      <c r="U2547" t="s">
        <v>26604</v>
      </c>
      <c r="V2547" t="s">
        <v>26610</v>
      </c>
      <c r="W2547" t="s">
        <v>630</v>
      </c>
      <c r="X2547">
        <v>0</v>
      </c>
      <c r="Y2547" t="s">
        <v>26653</v>
      </c>
      <c r="Z2547" t="s">
        <v>26664</v>
      </c>
      <c r="AB2547" t="s">
        <v>28929</v>
      </c>
      <c r="AC2547" t="s">
        <v>35265</v>
      </c>
      <c r="AD2547" t="s">
        <v>38987</v>
      </c>
      <c r="AE2547">
        <v>2</v>
      </c>
      <c r="AF2547" t="s">
        <v>45547</v>
      </c>
      <c r="AG2547" t="s">
        <v>19330</v>
      </c>
      <c r="AH2547">
        <v>17</v>
      </c>
      <c r="AI2547">
        <v>1</v>
      </c>
      <c r="AJ2547">
        <v>1</v>
      </c>
      <c r="AK2547">
        <v>101.85</v>
      </c>
      <c r="AN2547" t="s">
        <v>7439</v>
      </c>
      <c r="AO2547">
        <v>16764</v>
      </c>
      <c r="AU2547">
        <v>1.45</v>
      </c>
      <c r="AV2547" t="s">
        <v>415</v>
      </c>
      <c r="AW2547" t="s">
        <v>208</v>
      </c>
    </row>
    <row r="2548" spans="1:49">
      <c r="A2548" s="1">
        <f>HYPERLINK("https://lsnyc.legalserver.org/matter/dynamic-profile/view/1880756","18-1880756")</f>
        <v>0</v>
      </c>
      <c r="B2548" t="s">
        <v>112</v>
      </c>
      <c r="C2548" t="s">
        <v>340</v>
      </c>
      <c r="D2548" t="s">
        <v>630</v>
      </c>
      <c r="F2548" t="s">
        <v>1342</v>
      </c>
      <c r="G2548" t="s">
        <v>6498</v>
      </c>
      <c r="H2548" t="s">
        <v>11704</v>
      </c>
      <c r="I2548" t="s">
        <v>17491</v>
      </c>
      <c r="J2548" t="s">
        <v>18918</v>
      </c>
      <c r="K2548">
        <v>11417</v>
      </c>
      <c r="L2548" t="s">
        <v>18958</v>
      </c>
      <c r="M2548" t="s">
        <v>18958</v>
      </c>
      <c r="N2548" t="s">
        <v>20886</v>
      </c>
      <c r="O2548" t="s">
        <v>26524</v>
      </c>
      <c r="P2548" t="s">
        <v>26564</v>
      </c>
      <c r="R2548" t="s">
        <v>26584</v>
      </c>
      <c r="S2548" t="s">
        <v>18959</v>
      </c>
      <c r="U2548" t="s">
        <v>26604</v>
      </c>
      <c r="V2548" t="s">
        <v>26610</v>
      </c>
      <c r="W2548" t="s">
        <v>630</v>
      </c>
      <c r="X2548">
        <v>2644</v>
      </c>
      <c r="Y2548" t="s">
        <v>26653</v>
      </c>
      <c r="Z2548" t="s">
        <v>26664</v>
      </c>
      <c r="AB2548" t="s">
        <v>28930</v>
      </c>
      <c r="AD2548" t="s">
        <v>38988</v>
      </c>
      <c r="AE2548">
        <v>2</v>
      </c>
      <c r="AF2548" t="s">
        <v>45547</v>
      </c>
      <c r="AG2548" t="s">
        <v>19330</v>
      </c>
      <c r="AH2548">
        <v>17</v>
      </c>
      <c r="AI2548">
        <v>3</v>
      </c>
      <c r="AJ2548">
        <v>1</v>
      </c>
      <c r="AK2548">
        <v>166.81</v>
      </c>
      <c r="AN2548" t="s">
        <v>45581</v>
      </c>
      <c r="AO2548">
        <v>41870</v>
      </c>
      <c r="AU2548">
        <v>1.45</v>
      </c>
      <c r="AV2548" t="s">
        <v>458</v>
      </c>
      <c r="AW2548" t="s">
        <v>208</v>
      </c>
    </row>
    <row r="2549" spans="1:49">
      <c r="A2549" s="1">
        <f>HYPERLINK("https://lsnyc.legalserver.org/matter/dynamic-profile/view/1880822","18-1880822")</f>
        <v>0</v>
      </c>
      <c r="B2549" t="s">
        <v>114</v>
      </c>
      <c r="C2549" t="s">
        <v>340</v>
      </c>
      <c r="D2549" t="s">
        <v>630</v>
      </c>
      <c r="F2549" t="s">
        <v>1858</v>
      </c>
      <c r="G2549" t="s">
        <v>6499</v>
      </c>
      <c r="H2549" t="s">
        <v>11705</v>
      </c>
      <c r="I2549" t="s">
        <v>17574</v>
      </c>
      <c r="J2549" t="s">
        <v>18926</v>
      </c>
      <c r="K2549">
        <v>11378</v>
      </c>
      <c r="L2549" t="s">
        <v>18958</v>
      </c>
      <c r="M2549" t="s">
        <v>18958</v>
      </c>
      <c r="N2549" t="s">
        <v>20887</v>
      </c>
      <c r="O2549" t="s">
        <v>26523</v>
      </c>
      <c r="P2549" t="s">
        <v>26564</v>
      </c>
      <c r="R2549" t="s">
        <v>26584</v>
      </c>
      <c r="S2549" t="s">
        <v>18959</v>
      </c>
      <c r="U2549" t="s">
        <v>26604</v>
      </c>
      <c r="V2549" t="s">
        <v>26609</v>
      </c>
      <c r="W2549" t="s">
        <v>630</v>
      </c>
      <c r="X2549">
        <v>1200</v>
      </c>
      <c r="Y2549" t="s">
        <v>26653</v>
      </c>
      <c r="Z2549" t="s">
        <v>26664</v>
      </c>
      <c r="AB2549" t="s">
        <v>28931</v>
      </c>
      <c r="AC2549" t="s">
        <v>35266</v>
      </c>
      <c r="AD2549" t="s">
        <v>38989</v>
      </c>
      <c r="AE2549">
        <v>36</v>
      </c>
      <c r="AF2549" t="s">
        <v>45541</v>
      </c>
      <c r="AG2549" t="s">
        <v>26530</v>
      </c>
      <c r="AH2549">
        <v>10</v>
      </c>
      <c r="AI2549">
        <v>1</v>
      </c>
      <c r="AJ2549">
        <v>0</v>
      </c>
      <c r="AK2549">
        <v>117.63</v>
      </c>
      <c r="AN2549" t="s">
        <v>7439</v>
      </c>
      <c r="AO2549">
        <v>14280</v>
      </c>
      <c r="AU2549">
        <v>0.85</v>
      </c>
      <c r="AV2549" t="s">
        <v>517</v>
      </c>
      <c r="AW2549" t="s">
        <v>161</v>
      </c>
    </row>
    <row r="2550" spans="1:49">
      <c r="A2550" s="1">
        <f>HYPERLINK("https://lsnyc.legalserver.org/matter/dynamic-profile/view/1880802","18-1880802")</f>
        <v>0</v>
      </c>
      <c r="B2550" t="s">
        <v>63</v>
      </c>
      <c r="C2550" t="s">
        <v>340</v>
      </c>
      <c r="D2550" t="s">
        <v>630</v>
      </c>
      <c r="F2550" t="s">
        <v>947</v>
      </c>
      <c r="G2550" t="s">
        <v>6500</v>
      </c>
      <c r="H2550" t="s">
        <v>11706</v>
      </c>
      <c r="I2550" t="s">
        <v>17369</v>
      </c>
      <c r="J2550" t="s">
        <v>18892</v>
      </c>
      <c r="K2550">
        <v>10460</v>
      </c>
      <c r="L2550" t="s">
        <v>18958</v>
      </c>
      <c r="M2550" t="s">
        <v>18958</v>
      </c>
      <c r="N2550" t="s">
        <v>20888</v>
      </c>
      <c r="O2550" t="s">
        <v>26523</v>
      </c>
      <c r="P2550" t="s">
        <v>26560</v>
      </c>
      <c r="R2550" t="s">
        <v>26578</v>
      </c>
      <c r="U2550" t="s">
        <v>26604</v>
      </c>
      <c r="W2550" t="s">
        <v>630</v>
      </c>
      <c r="X2550">
        <v>1325</v>
      </c>
      <c r="Y2550" t="s">
        <v>26650</v>
      </c>
      <c r="Z2550" t="s">
        <v>26530</v>
      </c>
      <c r="AB2550" t="s">
        <v>28932</v>
      </c>
      <c r="AD2550" t="s">
        <v>38990</v>
      </c>
      <c r="AE2550">
        <v>44</v>
      </c>
      <c r="AF2550" t="s">
        <v>20460</v>
      </c>
      <c r="AG2550" t="s">
        <v>45556</v>
      </c>
      <c r="AH2550">
        <v>3</v>
      </c>
      <c r="AI2550">
        <v>2</v>
      </c>
      <c r="AJ2550">
        <v>3</v>
      </c>
      <c r="AK2550">
        <v>0</v>
      </c>
      <c r="AN2550" t="s">
        <v>7439</v>
      </c>
      <c r="AO2550">
        <v>0</v>
      </c>
      <c r="AU2550">
        <v>19.3</v>
      </c>
      <c r="AV2550" t="s">
        <v>808</v>
      </c>
      <c r="AW2550" t="s">
        <v>46846</v>
      </c>
    </row>
    <row r="2551" spans="1:49">
      <c r="A2551" s="1">
        <f>HYPERLINK("https://lsnyc.legalserver.org/matter/dynamic-profile/view/1880957","18-1880957")</f>
        <v>0</v>
      </c>
      <c r="B2551" t="s">
        <v>63</v>
      </c>
      <c r="C2551" t="s">
        <v>340</v>
      </c>
      <c r="D2551" t="s">
        <v>630</v>
      </c>
      <c r="F2551" t="s">
        <v>1148</v>
      </c>
      <c r="G2551" t="s">
        <v>5313</v>
      </c>
      <c r="H2551" t="s">
        <v>11707</v>
      </c>
      <c r="I2551">
        <v>2</v>
      </c>
      <c r="J2551" t="s">
        <v>18892</v>
      </c>
      <c r="K2551">
        <v>10453</v>
      </c>
      <c r="L2551" t="s">
        <v>18958</v>
      </c>
      <c r="M2551" t="s">
        <v>18958</v>
      </c>
      <c r="N2551" t="s">
        <v>20889</v>
      </c>
      <c r="O2551" t="s">
        <v>26524</v>
      </c>
      <c r="P2551" t="s">
        <v>26560</v>
      </c>
      <c r="R2551" t="s">
        <v>26578</v>
      </c>
      <c r="U2551" t="s">
        <v>26604</v>
      </c>
      <c r="V2551" t="s">
        <v>26610</v>
      </c>
      <c r="W2551" t="s">
        <v>630</v>
      </c>
      <c r="X2551">
        <v>1300</v>
      </c>
      <c r="Y2551" t="s">
        <v>26650</v>
      </c>
      <c r="Z2551" t="s">
        <v>26663</v>
      </c>
      <c r="AB2551" t="s">
        <v>28933</v>
      </c>
      <c r="AD2551" t="s">
        <v>38991</v>
      </c>
      <c r="AE2551">
        <v>0</v>
      </c>
      <c r="AF2551" t="s">
        <v>45547</v>
      </c>
      <c r="AG2551" t="s">
        <v>45556</v>
      </c>
      <c r="AH2551">
        <v>13</v>
      </c>
      <c r="AI2551">
        <v>1</v>
      </c>
      <c r="AJ2551">
        <v>0</v>
      </c>
      <c r="AK2551">
        <v>11.86</v>
      </c>
      <c r="AN2551" t="s">
        <v>7439</v>
      </c>
      <c r="AO2551">
        <v>1440</v>
      </c>
      <c r="AU2551">
        <v>38.5</v>
      </c>
      <c r="AV2551" t="s">
        <v>833</v>
      </c>
      <c r="AW2551" t="s">
        <v>336</v>
      </c>
    </row>
    <row r="2552" spans="1:49">
      <c r="A2552" s="1">
        <f>HYPERLINK("https://lsnyc.legalserver.org/matter/dynamic-profile/view/1880760","18-1880760")</f>
        <v>0</v>
      </c>
      <c r="B2552" t="s">
        <v>221</v>
      </c>
      <c r="C2552" t="s">
        <v>340</v>
      </c>
      <c r="D2552" t="s">
        <v>630</v>
      </c>
      <c r="F2552" t="s">
        <v>2299</v>
      </c>
      <c r="G2552" t="s">
        <v>5849</v>
      </c>
      <c r="H2552" t="s">
        <v>10539</v>
      </c>
      <c r="J2552" t="s">
        <v>18901</v>
      </c>
      <c r="K2552">
        <v>11434</v>
      </c>
      <c r="L2552" t="s">
        <v>18958</v>
      </c>
      <c r="M2552" t="s">
        <v>18958</v>
      </c>
      <c r="N2552" t="s">
        <v>20890</v>
      </c>
      <c r="O2552" t="s">
        <v>26523</v>
      </c>
      <c r="P2552" t="s">
        <v>26560</v>
      </c>
      <c r="R2552" t="s">
        <v>26585</v>
      </c>
      <c r="S2552" t="s">
        <v>18959</v>
      </c>
      <c r="U2552" t="s">
        <v>26604</v>
      </c>
      <c r="V2552" t="s">
        <v>26610</v>
      </c>
      <c r="W2552" t="s">
        <v>630</v>
      </c>
      <c r="X2552">
        <v>1466</v>
      </c>
      <c r="Y2552" t="s">
        <v>26653</v>
      </c>
      <c r="Z2552" t="s">
        <v>26664</v>
      </c>
      <c r="AB2552" t="s">
        <v>28934</v>
      </c>
      <c r="AD2552" t="s">
        <v>38992</v>
      </c>
      <c r="AE2552">
        <v>273</v>
      </c>
      <c r="AF2552" t="s">
        <v>45550</v>
      </c>
      <c r="AG2552" t="s">
        <v>19330</v>
      </c>
      <c r="AH2552">
        <v>36</v>
      </c>
      <c r="AI2552">
        <v>1</v>
      </c>
      <c r="AJ2552">
        <v>0</v>
      </c>
      <c r="AK2552">
        <v>197.69</v>
      </c>
      <c r="AN2552" t="s">
        <v>7439</v>
      </c>
      <c r="AO2552">
        <v>24000</v>
      </c>
      <c r="AU2552">
        <v>91.65000000000001</v>
      </c>
      <c r="AV2552" t="s">
        <v>836</v>
      </c>
      <c r="AW2552" t="s">
        <v>208</v>
      </c>
    </row>
    <row r="2553" spans="1:49">
      <c r="A2553" s="1">
        <f>HYPERLINK("https://lsnyc.legalserver.org/matter/dynamic-profile/view/1881163","18-1881163")</f>
        <v>0</v>
      </c>
      <c r="B2553" t="s">
        <v>90</v>
      </c>
      <c r="C2553" t="s">
        <v>341</v>
      </c>
      <c r="D2553" t="s">
        <v>631</v>
      </c>
      <c r="E2553" t="s">
        <v>675</v>
      </c>
      <c r="F2553" t="s">
        <v>2300</v>
      </c>
      <c r="G2553" t="s">
        <v>5273</v>
      </c>
      <c r="H2553" t="s">
        <v>11708</v>
      </c>
      <c r="I2553">
        <v>42</v>
      </c>
      <c r="J2553" t="s">
        <v>18893</v>
      </c>
      <c r="K2553">
        <v>10035</v>
      </c>
      <c r="L2553" t="s">
        <v>18958</v>
      </c>
      <c r="M2553" t="s">
        <v>18958</v>
      </c>
      <c r="O2553" t="s">
        <v>18997</v>
      </c>
      <c r="P2553" t="s">
        <v>26564</v>
      </c>
      <c r="Q2553" t="s">
        <v>26570</v>
      </c>
      <c r="R2553" t="s">
        <v>26578</v>
      </c>
      <c r="S2553" t="s">
        <v>18959</v>
      </c>
      <c r="U2553" t="s">
        <v>26604</v>
      </c>
      <c r="V2553" t="s">
        <v>26610</v>
      </c>
      <c r="W2553" t="s">
        <v>630</v>
      </c>
      <c r="X2553">
        <v>557</v>
      </c>
      <c r="Y2553" t="s">
        <v>26651</v>
      </c>
      <c r="Z2553" t="s">
        <v>26661</v>
      </c>
      <c r="AA2553" t="s">
        <v>26683</v>
      </c>
      <c r="AB2553" t="s">
        <v>28935</v>
      </c>
      <c r="AD2553" t="s">
        <v>38993</v>
      </c>
      <c r="AE2553">
        <v>18</v>
      </c>
      <c r="AF2553" t="s">
        <v>45544</v>
      </c>
      <c r="AG2553" t="s">
        <v>45559</v>
      </c>
      <c r="AH2553">
        <v>25</v>
      </c>
      <c r="AI2553">
        <v>1</v>
      </c>
      <c r="AJ2553">
        <v>0</v>
      </c>
      <c r="AK2553">
        <v>54.27</v>
      </c>
      <c r="AN2553" t="s">
        <v>7439</v>
      </c>
      <c r="AO2553">
        <v>6588</v>
      </c>
      <c r="AU2553">
        <v>0.1</v>
      </c>
      <c r="AV2553" t="s">
        <v>675</v>
      </c>
      <c r="AW2553" t="s">
        <v>46835</v>
      </c>
    </row>
    <row r="2554" spans="1:49">
      <c r="A2554" s="1">
        <f>HYPERLINK("https://lsnyc.legalserver.org/matter/dynamic-profile/view/1881254","18-1881254")</f>
        <v>0</v>
      </c>
      <c r="B2554" t="s">
        <v>90</v>
      </c>
      <c r="C2554" t="s">
        <v>340</v>
      </c>
      <c r="D2554" t="s">
        <v>631</v>
      </c>
      <c r="F2554" t="s">
        <v>1467</v>
      </c>
      <c r="G2554" t="s">
        <v>5086</v>
      </c>
      <c r="H2554" t="s">
        <v>11709</v>
      </c>
      <c r="I2554">
        <v>61</v>
      </c>
      <c r="J2554" t="s">
        <v>18893</v>
      </c>
      <c r="K2554">
        <v>10039</v>
      </c>
      <c r="L2554" t="s">
        <v>18958</v>
      </c>
      <c r="M2554" t="s">
        <v>18958</v>
      </c>
      <c r="N2554" t="s">
        <v>20891</v>
      </c>
      <c r="O2554" t="s">
        <v>26526</v>
      </c>
      <c r="P2554" t="s">
        <v>26560</v>
      </c>
      <c r="R2554" t="s">
        <v>26578</v>
      </c>
      <c r="S2554" t="s">
        <v>18958</v>
      </c>
      <c r="U2554" t="s">
        <v>26604</v>
      </c>
      <c r="V2554" t="s">
        <v>26610</v>
      </c>
      <c r="W2554" t="s">
        <v>630</v>
      </c>
      <c r="X2554">
        <v>837.89</v>
      </c>
      <c r="Y2554" t="s">
        <v>26651</v>
      </c>
      <c r="Z2554" t="s">
        <v>26661</v>
      </c>
      <c r="AB2554" t="s">
        <v>28936</v>
      </c>
      <c r="AD2554" t="s">
        <v>38994</v>
      </c>
      <c r="AE2554">
        <v>24</v>
      </c>
      <c r="AF2554" t="s">
        <v>45541</v>
      </c>
      <c r="AG2554" t="s">
        <v>45559</v>
      </c>
      <c r="AH2554">
        <v>35</v>
      </c>
      <c r="AI2554">
        <v>1</v>
      </c>
      <c r="AJ2554">
        <v>0</v>
      </c>
      <c r="AK2554">
        <v>70.68000000000001</v>
      </c>
      <c r="AN2554" t="s">
        <v>7439</v>
      </c>
      <c r="AO2554">
        <v>8580</v>
      </c>
      <c r="AU2554">
        <v>0.75</v>
      </c>
      <c r="AV2554" t="s">
        <v>641</v>
      </c>
      <c r="AW2554" t="s">
        <v>46835</v>
      </c>
    </row>
    <row r="2555" spans="1:49">
      <c r="A2555" s="1">
        <f>HYPERLINK("https://lsnyc.legalserver.org/matter/dynamic-profile/view/1881397","18-1881397")</f>
        <v>0</v>
      </c>
      <c r="B2555" t="s">
        <v>90</v>
      </c>
      <c r="C2555" t="s">
        <v>340</v>
      </c>
      <c r="D2555" t="s">
        <v>632</v>
      </c>
      <c r="F2555" t="s">
        <v>2087</v>
      </c>
      <c r="G2555" t="s">
        <v>4552</v>
      </c>
      <c r="H2555" t="s">
        <v>10377</v>
      </c>
      <c r="I2555" t="s">
        <v>17282</v>
      </c>
      <c r="J2555" t="s">
        <v>18893</v>
      </c>
      <c r="K2555">
        <v>10031</v>
      </c>
      <c r="L2555" t="s">
        <v>18958</v>
      </c>
      <c r="M2555" t="s">
        <v>18958</v>
      </c>
      <c r="N2555" t="s">
        <v>20892</v>
      </c>
      <c r="O2555" t="s">
        <v>26526</v>
      </c>
      <c r="P2555" t="s">
        <v>26560</v>
      </c>
      <c r="R2555" t="s">
        <v>26578</v>
      </c>
      <c r="S2555" t="s">
        <v>18958</v>
      </c>
      <c r="U2555" t="s">
        <v>26604</v>
      </c>
      <c r="V2555" t="s">
        <v>26610</v>
      </c>
      <c r="W2555" t="s">
        <v>630</v>
      </c>
      <c r="X2555">
        <v>457</v>
      </c>
      <c r="Y2555" t="s">
        <v>26651</v>
      </c>
      <c r="Z2555" t="s">
        <v>26667</v>
      </c>
      <c r="AB2555" t="s">
        <v>28937</v>
      </c>
      <c r="AD2555" t="s">
        <v>38995</v>
      </c>
      <c r="AE2555">
        <v>44</v>
      </c>
      <c r="AF2555" t="s">
        <v>45541</v>
      </c>
      <c r="AG2555" t="s">
        <v>45556</v>
      </c>
      <c r="AH2555">
        <v>14</v>
      </c>
      <c r="AI2555">
        <v>2</v>
      </c>
      <c r="AJ2555">
        <v>0</v>
      </c>
      <c r="AK2555">
        <v>22.38</v>
      </c>
      <c r="AN2555" t="s">
        <v>7439</v>
      </c>
      <c r="AO2555">
        <v>3684</v>
      </c>
      <c r="AU2555">
        <v>0.25</v>
      </c>
      <c r="AV2555" t="s">
        <v>667</v>
      </c>
      <c r="AW2555" t="s">
        <v>46835</v>
      </c>
    </row>
    <row r="2556" spans="1:49">
      <c r="A2556" s="1">
        <f>HYPERLINK("https://lsnyc.legalserver.org/matter/dynamic-profile/view/1881365","18-1881365")</f>
        <v>0</v>
      </c>
      <c r="B2556" t="s">
        <v>90</v>
      </c>
      <c r="C2556" t="s">
        <v>340</v>
      </c>
      <c r="D2556" t="s">
        <v>632</v>
      </c>
      <c r="F2556" t="s">
        <v>879</v>
      </c>
      <c r="G2556" t="s">
        <v>6501</v>
      </c>
      <c r="H2556" t="s">
        <v>10377</v>
      </c>
      <c r="I2556" t="s">
        <v>17424</v>
      </c>
      <c r="J2556" t="s">
        <v>18893</v>
      </c>
      <c r="K2556">
        <v>10031</v>
      </c>
      <c r="L2556" t="s">
        <v>18958</v>
      </c>
      <c r="M2556" t="s">
        <v>18958</v>
      </c>
      <c r="N2556" t="s">
        <v>20892</v>
      </c>
      <c r="O2556" t="s">
        <v>26526</v>
      </c>
      <c r="P2556" t="s">
        <v>26560</v>
      </c>
      <c r="R2556" t="s">
        <v>26578</v>
      </c>
      <c r="S2556" t="s">
        <v>18958</v>
      </c>
      <c r="U2556" t="s">
        <v>26604</v>
      </c>
      <c r="V2556" t="s">
        <v>26610</v>
      </c>
      <c r="W2556" t="s">
        <v>630</v>
      </c>
      <c r="X2556">
        <v>2216</v>
      </c>
      <c r="Y2556" t="s">
        <v>26651</v>
      </c>
      <c r="Z2556" t="s">
        <v>26657</v>
      </c>
      <c r="AB2556" t="s">
        <v>28564</v>
      </c>
      <c r="AD2556" t="s">
        <v>38996</v>
      </c>
      <c r="AE2556">
        <v>44</v>
      </c>
      <c r="AF2556" t="s">
        <v>45543</v>
      </c>
      <c r="AG2556" t="s">
        <v>45556</v>
      </c>
      <c r="AH2556">
        <v>10</v>
      </c>
      <c r="AI2556">
        <v>1</v>
      </c>
      <c r="AJ2556">
        <v>0</v>
      </c>
      <c r="AK2556">
        <v>39.35</v>
      </c>
      <c r="AN2556" t="s">
        <v>7439</v>
      </c>
      <c r="AO2556">
        <v>4777</v>
      </c>
      <c r="AU2556">
        <v>3</v>
      </c>
      <c r="AV2556" t="s">
        <v>672</v>
      </c>
      <c r="AW2556" t="s">
        <v>46835</v>
      </c>
    </row>
    <row r="2557" spans="1:49">
      <c r="A2557" s="1">
        <f>HYPERLINK("https://lsnyc.legalserver.org/matter/dynamic-profile/view/1881390","18-1881390")</f>
        <v>0</v>
      </c>
      <c r="B2557" t="s">
        <v>90</v>
      </c>
      <c r="C2557" t="s">
        <v>340</v>
      </c>
      <c r="D2557" t="s">
        <v>632</v>
      </c>
      <c r="F2557" t="s">
        <v>887</v>
      </c>
      <c r="G2557" t="s">
        <v>1685</v>
      </c>
      <c r="H2557" t="s">
        <v>10549</v>
      </c>
      <c r="I2557" t="s">
        <v>17348</v>
      </c>
      <c r="J2557" t="s">
        <v>18893</v>
      </c>
      <c r="K2557">
        <v>10031</v>
      </c>
      <c r="L2557" t="s">
        <v>18958</v>
      </c>
      <c r="M2557" t="s">
        <v>18958</v>
      </c>
      <c r="N2557" t="s">
        <v>20893</v>
      </c>
      <c r="O2557" t="s">
        <v>26526</v>
      </c>
      <c r="P2557" t="s">
        <v>26560</v>
      </c>
      <c r="R2557" t="s">
        <v>26578</v>
      </c>
      <c r="S2557" t="s">
        <v>18958</v>
      </c>
      <c r="U2557" t="s">
        <v>26604</v>
      </c>
      <c r="V2557" t="s">
        <v>26610</v>
      </c>
      <c r="W2557" t="s">
        <v>630</v>
      </c>
      <c r="X2557">
        <v>2126</v>
      </c>
      <c r="Y2557" t="s">
        <v>26651</v>
      </c>
      <c r="Z2557" t="s">
        <v>26667</v>
      </c>
      <c r="AB2557" t="s">
        <v>28938</v>
      </c>
      <c r="AD2557" t="s">
        <v>38997</v>
      </c>
      <c r="AE2557">
        <v>42</v>
      </c>
      <c r="AF2557" t="s">
        <v>45541</v>
      </c>
      <c r="AG2557" t="s">
        <v>45556</v>
      </c>
      <c r="AH2557">
        <v>20</v>
      </c>
      <c r="AI2557">
        <v>2</v>
      </c>
      <c r="AJ2557">
        <v>0</v>
      </c>
      <c r="AK2557">
        <v>114.68</v>
      </c>
      <c r="AN2557" t="s">
        <v>45581</v>
      </c>
      <c r="AO2557">
        <v>18876</v>
      </c>
      <c r="AU2557">
        <v>2.2</v>
      </c>
      <c r="AV2557" t="s">
        <v>720</v>
      </c>
      <c r="AW2557" t="s">
        <v>46835</v>
      </c>
    </row>
    <row r="2558" spans="1:49">
      <c r="A2558" s="1">
        <f>HYPERLINK("https://lsnyc.legalserver.org/matter/dynamic-profile/view/0775146","15-0775146")</f>
        <v>0</v>
      </c>
      <c r="B2558" t="s">
        <v>199</v>
      </c>
      <c r="C2558" t="s">
        <v>341</v>
      </c>
      <c r="D2558" t="s">
        <v>633</v>
      </c>
      <c r="E2558" t="s">
        <v>635</v>
      </c>
      <c r="F2558" t="s">
        <v>1523</v>
      </c>
      <c r="G2558" t="s">
        <v>6502</v>
      </c>
      <c r="H2558" t="s">
        <v>10251</v>
      </c>
      <c r="I2558" t="s">
        <v>17846</v>
      </c>
      <c r="J2558" t="s">
        <v>18894</v>
      </c>
      <c r="K2558">
        <v>11216</v>
      </c>
      <c r="L2558" t="s">
        <v>18959</v>
      </c>
      <c r="M2558" t="s">
        <v>18960</v>
      </c>
      <c r="N2558" t="s">
        <v>20894</v>
      </c>
      <c r="O2558" t="s">
        <v>26550</v>
      </c>
      <c r="P2558" t="s">
        <v>26560</v>
      </c>
      <c r="Q2558" t="s">
        <v>26568</v>
      </c>
      <c r="R2558" t="s">
        <v>26596</v>
      </c>
      <c r="S2558" t="s">
        <v>18958</v>
      </c>
      <c r="T2558" t="s">
        <v>26601</v>
      </c>
      <c r="U2558" t="s">
        <v>26604</v>
      </c>
      <c r="W2558" t="s">
        <v>635</v>
      </c>
      <c r="X2558">
        <v>2700</v>
      </c>
      <c r="Y2558" t="s">
        <v>26652</v>
      </c>
      <c r="AA2558" t="s">
        <v>26684</v>
      </c>
      <c r="AB2558" t="s">
        <v>28939</v>
      </c>
      <c r="AD2558" t="s">
        <v>38998</v>
      </c>
      <c r="AE2558">
        <v>0</v>
      </c>
      <c r="AF2558" t="s">
        <v>45541</v>
      </c>
      <c r="AH2558">
        <v>1</v>
      </c>
      <c r="AI2558">
        <v>2</v>
      </c>
      <c r="AJ2558">
        <v>1</v>
      </c>
      <c r="AK2558">
        <v>246.89</v>
      </c>
      <c r="AN2558" t="s">
        <v>7439</v>
      </c>
      <c r="AO2558">
        <v>49600</v>
      </c>
      <c r="AT2558" t="s">
        <v>46595</v>
      </c>
      <c r="AU2558">
        <v>151.7</v>
      </c>
      <c r="AV2558" t="s">
        <v>594</v>
      </c>
      <c r="AW2558" t="s">
        <v>46853</v>
      </c>
    </row>
    <row r="2559" spans="1:49">
      <c r="A2559" s="1">
        <f>HYPERLINK("https://lsnyc.legalserver.org/matter/dynamic-profile/view/1848877","17-1848877")</f>
        <v>0</v>
      </c>
      <c r="B2559" t="s">
        <v>82</v>
      </c>
      <c r="C2559" t="s">
        <v>340</v>
      </c>
      <c r="D2559" t="s">
        <v>634</v>
      </c>
      <c r="F2559" t="s">
        <v>916</v>
      </c>
      <c r="G2559" t="s">
        <v>5447</v>
      </c>
      <c r="H2559" t="s">
        <v>9655</v>
      </c>
      <c r="I2559" t="s">
        <v>17464</v>
      </c>
      <c r="J2559" t="s">
        <v>18892</v>
      </c>
      <c r="K2559">
        <v>10457</v>
      </c>
      <c r="L2559" t="s">
        <v>18958</v>
      </c>
      <c r="M2559" t="s">
        <v>18960</v>
      </c>
      <c r="N2559" t="s">
        <v>20895</v>
      </c>
      <c r="O2559" t="s">
        <v>26523</v>
      </c>
      <c r="P2559" t="s">
        <v>26560</v>
      </c>
      <c r="R2559" t="s">
        <v>26579</v>
      </c>
      <c r="S2559" t="s">
        <v>18959</v>
      </c>
      <c r="U2559" t="s">
        <v>26604</v>
      </c>
      <c r="V2559" t="s">
        <v>26612</v>
      </c>
      <c r="W2559" t="s">
        <v>635</v>
      </c>
      <c r="X2559">
        <v>964.8200000000001</v>
      </c>
      <c r="Y2559" t="s">
        <v>26650</v>
      </c>
      <c r="Z2559" t="s">
        <v>26662</v>
      </c>
      <c r="AB2559" t="s">
        <v>28940</v>
      </c>
      <c r="AC2559" t="s">
        <v>35267</v>
      </c>
      <c r="AD2559" t="s">
        <v>38999</v>
      </c>
      <c r="AE2559">
        <v>0</v>
      </c>
      <c r="AF2559" t="s">
        <v>45541</v>
      </c>
      <c r="AG2559" t="s">
        <v>45557</v>
      </c>
      <c r="AH2559">
        <v>18</v>
      </c>
      <c r="AI2559">
        <v>2</v>
      </c>
      <c r="AJ2559">
        <v>2</v>
      </c>
      <c r="AK2559">
        <v>85.84999999999999</v>
      </c>
      <c r="AN2559" t="s">
        <v>45581</v>
      </c>
      <c r="AO2559">
        <v>21120</v>
      </c>
      <c r="AP2559" t="s">
        <v>45621</v>
      </c>
      <c r="AQ2559" t="s">
        <v>46365</v>
      </c>
      <c r="AR2559" t="s">
        <v>46399</v>
      </c>
      <c r="AS2559" t="s">
        <v>46499</v>
      </c>
      <c r="AT2559" t="s">
        <v>46543</v>
      </c>
      <c r="AU2559">
        <v>21.1</v>
      </c>
      <c r="AV2559" t="s">
        <v>682</v>
      </c>
      <c r="AW2559" t="s">
        <v>46847</v>
      </c>
    </row>
    <row r="2560" spans="1:49">
      <c r="A2560" s="1">
        <f>HYPERLINK("https://lsnyc.legalserver.org/matter/dynamic-profile/view/1863331","18-1863331")</f>
        <v>0</v>
      </c>
      <c r="B2560" t="s">
        <v>240</v>
      </c>
      <c r="C2560" t="s">
        <v>341</v>
      </c>
      <c r="D2560" t="s">
        <v>460</v>
      </c>
      <c r="E2560" t="s">
        <v>618</v>
      </c>
      <c r="F2560" t="s">
        <v>964</v>
      </c>
      <c r="G2560" t="s">
        <v>6503</v>
      </c>
      <c r="H2560" t="s">
        <v>11710</v>
      </c>
      <c r="I2560" t="s">
        <v>17847</v>
      </c>
      <c r="J2560" t="s">
        <v>18894</v>
      </c>
      <c r="K2560">
        <v>11210</v>
      </c>
      <c r="L2560" t="s">
        <v>18958</v>
      </c>
      <c r="M2560" t="s">
        <v>18958</v>
      </c>
      <c r="N2560" t="s">
        <v>20896</v>
      </c>
      <c r="O2560" t="s">
        <v>26523</v>
      </c>
      <c r="P2560" t="s">
        <v>26560</v>
      </c>
      <c r="Q2560" t="s">
        <v>26568</v>
      </c>
      <c r="R2560" t="s">
        <v>26578</v>
      </c>
      <c r="S2560" t="s">
        <v>18959</v>
      </c>
      <c r="U2560" t="s">
        <v>26604</v>
      </c>
      <c r="W2560" t="s">
        <v>635</v>
      </c>
      <c r="X2560">
        <v>1398</v>
      </c>
      <c r="Y2560" t="s">
        <v>26652</v>
      </c>
      <c r="Z2560" t="s">
        <v>26663</v>
      </c>
      <c r="AA2560" t="s">
        <v>26678</v>
      </c>
      <c r="AB2560" t="s">
        <v>28538</v>
      </c>
      <c r="AC2560" t="s">
        <v>35268</v>
      </c>
      <c r="AD2560" t="s">
        <v>39000</v>
      </c>
      <c r="AE2560">
        <v>59</v>
      </c>
      <c r="AF2560" t="s">
        <v>45541</v>
      </c>
      <c r="AG2560" t="s">
        <v>19330</v>
      </c>
      <c r="AH2560">
        <v>9</v>
      </c>
      <c r="AI2560">
        <v>1</v>
      </c>
      <c r="AJ2560">
        <v>1</v>
      </c>
      <c r="AK2560">
        <v>120.5</v>
      </c>
      <c r="AN2560" t="s">
        <v>7439</v>
      </c>
      <c r="AO2560">
        <v>19835</v>
      </c>
      <c r="AR2560" t="s">
        <v>46381</v>
      </c>
      <c r="AS2560" t="s">
        <v>46499</v>
      </c>
      <c r="AT2560" t="s">
        <v>46558</v>
      </c>
      <c r="AU2560">
        <v>48.25</v>
      </c>
      <c r="AV2560" t="s">
        <v>821</v>
      </c>
      <c r="AW2560" t="s">
        <v>237</v>
      </c>
    </row>
    <row r="2561" spans="1:49">
      <c r="A2561" s="1">
        <f>HYPERLINK("https://lsnyc.legalserver.org/matter/dynamic-profile/view/1863302","18-1863302")</f>
        <v>0</v>
      </c>
      <c r="B2561" t="s">
        <v>240</v>
      </c>
      <c r="C2561" t="s">
        <v>340</v>
      </c>
      <c r="D2561" t="s">
        <v>460</v>
      </c>
      <c r="F2561" t="s">
        <v>2301</v>
      </c>
      <c r="G2561" t="s">
        <v>5266</v>
      </c>
      <c r="H2561" t="s">
        <v>11711</v>
      </c>
      <c r="I2561" t="s">
        <v>17517</v>
      </c>
      <c r="J2561" t="s">
        <v>18894</v>
      </c>
      <c r="K2561">
        <v>11226</v>
      </c>
      <c r="L2561" t="s">
        <v>18958</v>
      </c>
      <c r="M2561" t="s">
        <v>18958</v>
      </c>
      <c r="P2561" t="s">
        <v>26560</v>
      </c>
      <c r="R2561" t="s">
        <v>26578</v>
      </c>
      <c r="S2561" t="s">
        <v>18958</v>
      </c>
      <c r="U2561" t="s">
        <v>26604</v>
      </c>
      <c r="W2561" t="s">
        <v>635</v>
      </c>
      <c r="X2561">
        <v>1560.44</v>
      </c>
      <c r="Y2561" t="s">
        <v>26652</v>
      </c>
      <c r="Z2561" t="s">
        <v>26659</v>
      </c>
      <c r="AB2561" t="s">
        <v>28941</v>
      </c>
      <c r="AC2561" t="s">
        <v>35269</v>
      </c>
      <c r="AD2561" t="s">
        <v>39001</v>
      </c>
      <c r="AE2561">
        <v>65</v>
      </c>
      <c r="AF2561" t="s">
        <v>45541</v>
      </c>
      <c r="AG2561" t="s">
        <v>45556</v>
      </c>
      <c r="AH2561">
        <v>32</v>
      </c>
      <c r="AI2561">
        <v>2</v>
      </c>
      <c r="AJ2561">
        <v>0</v>
      </c>
      <c r="AK2561">
        <v>39.48</v>
      </c>
      <c r="AN2561" t="s">
        <v>7439</v>
      </c>
      <c r="AO2561">
        <v>6498</v>
      </c>
      <c r="AU2561">
        <v>9.15</v>
      </c>
      <c r="AV2561" t="s">
        <v>698</v>
      </c>
      <c r="AW2561" t="s">
        <v>237</v>
      </c>
    </row>
    <row r="2562" spans="1:49">
      <c r="A2562" s="1">
        <f>HYPERLINK("https://lsnyc.legalserver.org/matter/dynamic-profile/view/1863305","18-1863305")</f>
        <v>0</v>
      </c>
      <c r="B2562" t="s">
        <v>240</v>
      </c>
      <c r="C2562" t="s">
        <v>340</v>
      </c>
      <c r="D2562" t="s">
        <v>460</v>
      </c>
      <c r="F2562" t="s">
        <v>2302</v>
      </c>
      <c r="G2562" t="s">
        <v>5026</v>
      </c>
      <c r="H2562" t="s">
        <v>11711</v>
      </c>
      <c r="I2562" t="s">
        <v>17476</v>
      </c>
      <c r="J2562" t="s">
        <v>18894</v>
      </c>
      <c r="K2562">
        <v>11226</v>
      </c>
      <c r="L2562" t="s">
        <v>18958</v>
      </c>
      <c r="M2562" t="s">
        <v>18958</v>
      </c>
      <c r="O2562" t="s">
        <v>26528</v>
      </c>
      <c r="P2562" t="s">
        <v>26560</v>
      </c>
      <c r="R2562" t="s">
        <v>26578</v>
      </c>
      <c r="S2562" t="s">
        <v>18958</v>
      </c>
      <c r="U2562" t="s">
        <v>26604</v>
      </c>
      <c r="W2562" t="s">
        <v>635</v>
      </c>
      <c r="X2562">
        <v>1275</v>
      </c>
      <c r="Y2562" t="s">
        <v>26652</v>
      </c>
      <c r="Z2562" t="s">
        <v>26659</v>
      </c>
      <c r="AB2562" t="s">
        <v>28942</v>
      </c>
      <c r="AD2562" t="s">
        <v>39002</v>
      </c>
      <c r="AE2562">
        <v>65</v>
      </c>
      <c r="AF2562" t="s">
        <v>45541</v>
      </c>
      <c r="AG2562" t="s">
        <v>45556</v>
      </c>
      <c r="AH2562">
        <v>14</v>
      </c>
      <c r="AI2562">
        <v>1</v>
      </c>
      <c r="AJ2562">
        <v>0</v>
      </c>
      <c r="AK2562">
        <v>53.38</v>
      </c>
      <c r="AN2562" t="s">
        <v>7439</v>
      </c>
      <c r="AO2562">
        <v>6480</v>
      </c>
      <c r="AU2562">
        <v>109.5</v>
      </c>
      <c r="AV2562" t="s">
        <v>814</v>
      </c>
      <c r="AW2562" t="s">
        <v>237</v>
      </c>
    </row>
    <row r="2563" spans="1:49">
      <c r="A2563" s="1">
        <f>HYPERLINK("https://lsnyc.legalserver.org/matter/dynamic-profile/view/1863313","18-1863313")</f>
        <v>0</v>
      </c>
      <c r="B2563" t="s">
        <v>240</v>
      </c>
      <c r="C2563" t="s">
        <v>340</v>
      </c>
      <c r="D2563" t="s">
        <v>460</v>
      </c>
      <c r="F2563" t="s">
        <v>2303</v>
      </c>
      <c r="G2563" t="s">
        <v>5376</v>
      </c>
      <c r="H2563" t="s">
        <v>11711</v>
      </c>
      <c r="I2563" t="s">
        <v>17848</v>
      </c>
      <c r="J2563" t="s">
        <v>18894</v>
      </c>
      <c r="K2563">
        <v>11226</v>
      </c>
      <c r="L2563" t="s">
        <v>18958</v>
      </c>
      <c r="M2563" t="s">
        <v>18958</v>
      </c>
      <c r="O2563" t="s">
        <v>26529</v>
      </c>
      <c r="P2563" t="s">
        <v>26560</v>
      </c>
      <c r="R2563" t="s">
        <v>26578</v>
      </c>
      <c r="S2563" t="s">
        <v>18958</v>
      </c>
      <c r="U2563" t="s">
        <v>26604</v>
      </c>
      <c r="W2563" t="s">
        <v>635</v>
      </c>
      <c r="X2563">
        <v>0</v>
      </c>
      <c r="Y2563" t="s">
        <v>26652</v>
      </c>
      <c r="Z2563" t="s">
        <v>26659</v>
      </c>
      <c r="AB2563" t="s">
        <v>27474</v>
      </c>
      <c r="AE2563">
        <v>65</v>
      </c>
      <c r="AF2563" t="s">
        <v>20460</v>
      </c>
      <c r="AG2563" t="s">
        <v>45556</v>
      </c>
      <c r="AH2563">
        <v>0</v>
      </c>
      <c r="AI2563">
        <v>2</v>
      </c>
      <c r="AJ2563">
        <v>0</v>
      </c>
      <c r="AK2563">
        <v>83.40000000000001</v>
      </c>
      <c r="AN2563" t="s">
        <v>7439</v>
      </c>
      <c r="AO2563">
        <v>13728</v>
      </c>
      <c r="AU2563">
        <v>0.5</v>
      </c>
      <c r="AV2563" t="s">
        <v>460</v>
      </c>
      <c r="AW2563" t="s">
        <v>237</v>
      </c>
    </row>
    <row r="2564" spans="1:49">
      <c r="A2564" s="1">
        <f>HYPERLINK("https://lsnyc.legalserver.org/matter/dynamic-profile/view/1863308","18-1863308")</f>
        <v>0</v>
      </c>
      <c r="B2564" t="s">
        <v>240</v>
      </c>
      <c r="C2564" t="s">
        <v>340</v>
      </c>
      <c r="D2564" t="s">
        <v>460</v>
      </c>
      <c r="F2564" t="s">
        <v>2304</v>
      </c>
      <c r="G2564" t="s">
        <v>5419</v>
      </c>
      <c r="H2564" t="s">
        <v>11711</v>
      </c>
      <c r="I2564" t="s">
        <v>17849</v>
      </c>
      <c r="J2564" t="s">
        <v>18894</v>
      </c>
      <c r="K2564">
        <v>11226</v>
      </c>
      <c r="L2564" t="s">
        <v>18958</v>
      </c>
      <c r="M2564" t="s">
        <v>18958</v>
      </c>
      <c r="O2564" t="s">
        <v>26529</v>
      </c>
      <c r="P2564" t="s">
        <v>26560</v>
      </c>
      <c r="R2564" t="s">
        <v>26578</v>
      </c>
      <c r="S2564" t="s">
        <v>18958</v>
      </c>
      <c r="U2564" t="s">
        <v>26604</v>
      </c>
      <c r="W2564" t="s">
        <v>635</v>
      </c>
      <c r="X2564">
        <v>1800</v>
      </c>
      <c r="Y2564" t="s">
        <v>26652</v>
      </c>
      <c r="Z2564" t="s">
        <v>26659</v>
      </c>
      <c r="AB2564" t="s">
        <v>28943</v>
      </c>
      <c r="AD2564" t="s">
        <v>39003</v>
      </c>
      <c r="AE2564">
        <v>65</v>
      </c>
      <c r="AG2564" t="s">
        <v>45556</v>
      </c>
      <c r="AH2564">
        <v>15</v>
      </c>
      <c r="AI2564">
        <v>2</v>
      </c>
      <c r="AJ2564">
        <v>0</v>
      </c>
      <c r="AK2564">
        <v>88.36</v>
      </c>
      <c r="AN2564" t="s">
        <v>7439</v>
      </c>
      <c r="AO2564">
        <v>14544</v>
      </c>
      <c r="AU2564">
        <v>0.5</v>
      </c>
      <c r="AV2564" t="s">
        <v>460</v>
      </c>
      <c r="AW2564" t="s">
        <v>237</v>
      </c>
    </row>
    <row r="2565" spans="1:49">
      <c r="A2565" s="1">
        <f>HYPERLINK("https://lsnyc.legalserver.org/matter/dynamic-profile/view/1863481","18-1863481")</f>
        <v>0</v>
      </c>
      <c r="B2565" t="s">
        <v>240</v>
      </c>
      <c r="C2565" t="s">
        <v>340</v>
      </c>
      <c r="D2565" t="s">
        <v>487</v>
      </c>
      <c r="F2565" t="s">
        <v>2305</v>
      </c>
      <c r="G2565" t="s">
        <v>5932</v>
      </c>
      <c r="H2565" t="s">
        <v>11711</v>
      </c>
      <c r="I2565" t="s">
        <v>17315</v>
      </c>
      <c r="J2565" t="s">
        <v>18894</v>
      </c>
      <c r="K2565">
        <v>11226</v>
      </c>
      <c r="L2565" t="s">
        <v>18958</v>
      </c>
      <c r="M2565" t="s">
        <v>18958</v>
      </c>
      <c r="O2565" t="s">
        <v>26529</v>
      </c>
      <c r="P2565" t="s">
        <v>26562</v>
      </c>
      <c r="R2565" t="s">
        <v>26578</v>
      </c>
      <c r="S2565" t="s">
        <v>18958</v>
      </c>
      <c r="U2565" t="s">
        <v>26604</v>
      </c>
      <c r="W2565" t="s">
        <v>635</v>
      </c>
      <c r="X2565">
        <v>0</v>
      </c>
      <c r="Y2565" t="s">
        <v>26652</v>
      </c>
      <c r="Z2565" t="s">
        <v>26659</v>
      </c>
      <c r="AB2565" t="s">
        <v>28944</v>
      </c>
      <c r="AE2565">
        <v>65</v>
      </c>
      <c r="AH2565">
        <v>0</v>
      </c>
      <c r="AI2565">
        <v>2</v>
      </c>
      <c r="AJ2565">
        <v>2</v>
      </c>
      <c r="AK2565">
        <v>0</v>
      </c>
      <c r="AN2565" t="s">
        <v>7439</v>
      </c>
      <c r="AO2565">
        <v>0</v>
      </c>
      <c r="AP2565" t="s">
        <v>45755</v>
      </c>
      <c r="AU2565">
        <v>2.05</v>
      </c>
      <c r="AV2565" t="s">
        <v>688</v>
      </c>
      <c r="AW2565" t="s">
        <v>237</v>
      </c>
    </row>
    <row r="2566" spans="1:49">
      <c r="A2566" s="1">
        <f>HYPERLINK("https://lsnyc.legalserver.org/matter/dynamic-profile/view/1863486","18-1863486")</f>
        <v>0</v>
      </c>
      <c r="B2566" t="s">
        <v>240</v>
      </c>
      <c r="C2566" t="s">
        <v>340</v>
      </c>
      <c r="D2566" t="s">
        <v>487</v>
      </c>
      <c r="F2566" t="s">
        <v>919</v>
      </c>
      <c r="G2566" t="s">
        <v>6504</v>
      </c>
      <c r="H2566" t="s">
        <v>11711</v>
      </c>
      <c r="I2566" t="s">
        <v>17847</v>
      </c>
      <c r="J2566" t="s">
        <v>18894</v>
      </c>
      <c r="K2566">
        <v>11226</v>
      </c>
      <c r="L2566" t="s">
        <v>18958</v>
      </c>
      <c r="M2566" t="s">
        <v>18958</v>
      </c>
      <c r="O2566" t="s">
        <v>26529</v>
      </c>
      <c r="P2566" t="s">
        <v>26562</v>
      </c>
      <c r="R2566" t="s">
        <v>26578</v>
      </c>
      <c r="S2566" t="s">
        <v>18958</v>
      </c>
      <c r="U2566" t="s">
        <v>26604</v>
      </c>
      <c r="W2566" t="s">
        <v>635</v>
      </c>
      <c r="X2566">
        <v>1324</v>
      </c>
      <c r="Y2566" t="s">
        <v>26652</v>
      </c>
      <c r="Z2566" t="s">
        <v>26659</v>
      </c>
      <c r="AB2566" t="s">
        <v>28945</v>
      </c>
      <c r="AC2566" t="s">
        <v>35270</v>
      </c>
      <c r="AD2566" t="s">
        <v>39004</v>
      </c>
      <c r="AE2566">
        <v>65</v>
      </c>
      <c r="AG2566" t="s">
        <v>45557</v>
      </c>
      <c r="AH2566">
        <v>12</v>
      </c>
      <c r="AI2566">
        <v>2</v>
      </c>
      <c r="AJ2566">
        <v>3</v>
      </c>
      <c r="AK2566">
        <v>43.81</v>
      </c>
      <c r="AN2566" t="s">
        <v>7439</v>
      </c>
      <c r="AO2566">
        <v>13357.44</v>
      </c>
      <c r="AU2566">
        <v>0.5</v>
      </c>
      <c r="AV2566" t="s">
        <v>487</v>
      </c>
      <c r="AW2566" t="s">
        <v>237</v>
      </c>
    </row>
    <row r="2567" spans="1:49">
      <c r="A2567" s="1">
        <f>HYPERLINK("https://lsnyc.legalserver.org/matter/dynamic-profile/view/1863494","18-1863494")</f>
        <v>0</v>
      </c>
      <c r="B2567" t="s">
        <v>240</v>
      </c>
      <c r="C2567" t="s">
        <v>340</v>
      </c>
      <c r="D2567" t="s">
        <v>487</v>
      </c>
      <c r="F2567" t="s">
        <v>2306</v>
      </c>
      <c r="G2567" t="s">
        <v>6505</v>
      </c>
      <c r="H2567" t="s">
        <v>11711</v>
      </c>
      <c r="I2567" t="s">
        <v>17850</v>
      </c>
      <c r="J2567" t="s">
        <v>18894</v>
      </c>
      <c r="K2567">
        <v>11226</v>
      </c>
      <c r="L2567" t="s">
        <v>18958</v>
      </c>
      <c r="M2567" t="s">
        <v>18958</v>
      </c>
      <c r="O2567" t="s">
        <v>26529</v>
      </c>
      <c r="P2567" t="s">
        <v>26562</v>
      </c>
      <c r="R2567" t="s">
        <v>26578</v>
      </c>
      <c r="S2567" t="s">
        <v>18958</v>
      </c>
      <c r="U2567" t="s">
        <v>26604</v>
      </c>
      <c r="W2567" t="s">
        <v>635</v>
      </c>
      <c r="X2567">
        <v>1500</v>
      </c>
      <c r="Y2567" t="s">
        <v>26652</v>
      </c>
      <c r="Z2567" t="s">
        <v>26659</v>
      </c>
      <c r="AB2567" t="s">
        <v>27594</v>
      </c>
      <c r="AD2567" t="s">
        <v>39005</v>
      </c>
      <c r="AE2567">
        <v>65</v>
      </c>
      <c r="AG2567" t="s">
        <v>45556</v>
      </c>
      <c r="AH2567">
        <v>31</v>
      </c>
      <c r="AI2567">
        <v>1</v>
      </c>
      <c r="AJ2567">
        <v>0</v>
      </c>
      <c r="AK2567">
        <v>70.68000000000001</v>
      </c>
      <c r="AN2567" t="s">
        <v>7439</v>
      </c>
      <c r="AO2567">
        <v>8580</v>
      </c>
      <c r="AU2567">
        <v>1.5</v>
      </c>
      <c r="AV2567" t="s">
        <v>641</v>
      </c>
      <c r="AW2567" t="s">
        <v>237</v>
      </c>
    </row>
    <row r="2568" spans="1:49">
      <c r="A2568" s="1">
        <f>HYPERLINK("https://lsnyc.legalserver.org/matter/dynamic-profile/view/1863498","18-1863498")</f>
        <v>0</v>
      </c>
      <c r="B2568" t="s">
        <v>240</v>
      </c>
      <c r="C2568" t="s">
        <v>340</v>
      </c>
      <c r="D2568" t="s">
        <v>487</v>
      </c>
      <c r="F2568" t="s">
        <v>1005</v>
      </c>
      <c r="G2568" t="s">
        <v>3798</v>
      </c>
      <c r="H2568" t="s">
        <v>11711</v>
      </c>
      <c r="I2568" t="s">
        <v>17349</v>
      </c>
      <c r="J2568" t="s">
        <v>18894</v>
      </c>
      <c r="K2568">
        <v>11226</v>
      </c>
      <c r="L2568" t="s">
        <v>18958</v>
      </c>
      <c r="M2568" t="s">
        <v>18958</v>
      </c>
      <c r="O2568" t="s">
        <v>26529</v>
      </c>
      <c r="P2568" t="s">
        <v>26562</v>
      </c>
      <c r="R2568" t="s">
        <v>26578</v>
      </c>
      <c r="S2568" t="s">
        <v>18958</v>
      </c>
      <c r="U2568" t="s">
        <v>26604</v>
      </c>
      <c r="W2568" t="s">
        <v>635</v>
      </c>
      <c r="X2568">
        <v>1825</v>
      </c>
      <c r="Y2568" t="s">
        <v>26652</v>
      </c>
      <c r="Z2568" t="s">
        <v>26659</v>
      </c>
      <c r="AB2568" t="s">
        <v>27277</v>
      </c>
      <c r="AC2568" t="s">
        <v>35271</v>
      </c>
      <c r="AE2568">
        <v>65</v>
      </c>
      <c r="AG2568" t="s">
        <v>45556</v>
      </c>
      <c r="AH2568">
        <v>31</v>
      </c>
      <c r="AI2568">
        <v>1</v>
      </c>
      <c r="AJ2568">
        <v>2</v>
      </c>
      <c r="AK2568">
        <v>81.02</v>
      </c>
      <c r="AN2568" t="s">
        <v>7439</v>
      </c>
      <c r="AO2568">
        <v>22512</v>
      </c>
      <c r="AU2568">
        <v>0.5</v>
      </c>
      <c r="AV2568" t="s">
        <v>487</v>
      </c>
      <c r="AW2568" t="s">
        <v>237</v>
      </c>
    </row>
    <row r="2569" spans="1:49">
      <c r="A2569" s="1">
        <f>HYPERLINK("https://lsnyc.legalserver.org/matter/dynamic-profile/view/1863490","18-1863490")</f>
        <v>0</v>
      </c>
      <c r="B2569" t="s">
        <v>240</v>
      </c>
      <c r="C2569" t="s">
        <v>340</v>
      </c>
      <c r="D2569" t="s">
        <v>487</v>
      </c>
      <c r="F2569" t="s">
        <v>1703</v>
      </c>
      <c r="G2569" t="s">
        <v>6506</v>
      </c>
      <c r="H2569" t="s">
        <v>11711</v>
      </c>
      <c r="I2569" t="s">
        <v>17851</v>
      </c>
      <c r="J2569" t="s">
        <v>18894</v>
      </c>
      <c r="K2569">
        <v>11226</v>
      </c>
      <c r="L2569" t="s">
        <v>18958</v>
      </c>
      <c r="M2569" t="s">
        <v>18958</v>
      </c>
      <c r="O2569" t="s">
        <v>26529</v>
      </c>
      <c r="P2569" t="s">
        <v>26562</v>
      </c>
      <c r="R2569" t="s">
        <v>26578</v>
      </c>
      <c r="S2569" t="s">
        <v>18958</v>
      </c>
      <c r="U2569" t="s">
        <v>26604</v>
      </c>
      <c r="W2569" t="s">
        <v>635</v>
      </c>
      <c r="X2569">
        <v>0</v>
      </c>
      <c r="Y2569" t="s">
        <v>26652</v>
      </c>
      <c r="Z2569" t="s">
        <v>26659</v>
      </c>
      <c r="AB2569" t="s">
        <v>28946</v>
      </c>
      <c r="AE2569">
        <v>65</v>
      </c>
      <c r="AH2569">
        <v>31</v>
      </c>
      <c r="AI2569">
        <v>3</v>
      </c>
      <c r="AJ2569">
        <v>2</v>
      </c>
      <c r="AK2569">
        <v>122.81</v>
      </c>
      <c r="AN2569" t="s">
        <v>7439</v>
      </c>
      <c r="AO2569">
        <v>36132</v>
      </c>
      <c r="AP2569" t="s">
        <v>45756</v>
      </c>
      <c r="AU2569">
        <v>0.7</v>
      </c>
      <c r="AV2569" t="s">
        <v>691</v>
      </c>
      <c r="AW2569" t="s">
        <v>237</v>
      </c>
    </row>
    <row r="2570" spans="1:49">
      <c r="A2570" s="1">
        <f>HYPERLINK("https://lsnyc.legalserver.org/matter/dynamic-profile/view/1863499","18-1863499")</f>
        <v>0</v>
      </c>
      <c r="B2570" t="s">
        <v>240</v>
      </c>
      <c r="C2570" t="s">
        <v>340</v>
      </c>
      <c r="D2570" t="s">
        <v>487</v>
      </c>
      <c r="F2570" t="s">
        <v>2307</v>
      </c>
      <c r="G2570" t="s">
        <v>6507</v>
      </c>
      <c r="H2570" t="s">
        <v>11711</v>
      </c>
      <c r="I2570" t="s">
        <v>17852</v>
      </c>
      <c r="J2570" t="s">
        <v>18894</v>
      </c>
      <c r="K2570">
        <v>11226</v>
      </c>
      <c r="L2570" t="s">
        <v>18958</v>
      </c>
      <c r="M2570" t="s">
        <v>18960</v>
      </c>
      <c r="O2570" t="s">
        <v>26529</v>
      </c>
      <c r="P2570" t="s">
        <v>26562</v>
      </c>
      <c r="R2570" t="s">
        <v>26583</v>
      </c>
      <c r="S2570" t="s">
        <v>18958</v>
      </c>
      <c r="U2570" t="s">
        <v>26604</v>
      </c>
      <c r="W2570" t="s">
        <v>635</v>
      </c>
      <c r="X2570">
        <v>945</v>
      </c>
      <c r="Y2570" t="s">
        <v>26652</v>
      </c>
      <c r="Z2570" t="s">
        <v>26659</v>
      </c>
      <c r="AB2570" t="s">
        <v>28947</v>
      </c>
      <c r="AE2570">
        <v>65</v>
      </c>
      <c r="AH2570">
        <v>22</v>
      </c>
      <c r="AI2570">
        <v>2</v>
      </c>
      <c r="AJ2570">
        <v>1</v>
      </c>
      <c r="AK2570">
        <v>360.92</v>
      </c>
      <c r="AN2570" t="s">
        <v>7439</v>
      </c>
      <c r="AO2570">
        <v>75000</v>
      </c>
      <c r="AU2570">
        <v>0.5</v>
      </c>
      <c r="AV2570" t="s">
        <v>487</v>
      </c>
      <c r="AW2570" t="s">
        <v>237</v>
      </c>
    </row>
    <row r="2571" spans="1:49">
      <c r="A2571" s="1">
        <f>HYPERLINK("https://lsnyc.legalserver.org/matter/dynamic-profile/view/1875586","18-1875586")</f>
        <v>0</v>
      </c>
      <c r="B2571" t="s">
        <v>199</v>
      </c>
      <c r="C2571" t="s">
        <v>341</v>
      </c>
      <c r="D2571" t="s">
        <v>533</v>
      </c>
      <c r="E2571" t="s">
        <v>811</v>
      </c>
      <c r="F2571" t="s">
        <v>2124</v>
      </c>
      <c r="G2571" t="s">
        <v>6508</v>
      </c>
      <c r="H2571" t="s">
        <v>11712</v>
      </c>
      <c r="I2571" t="s">
        <v>17853</v>
      </c>
      <c r="J2571" t="s">
        <v>18894</v>
      </c>
      <c r="K2571">
        <v>11203</v>
      </c>
      <c r="L2571" t="s">
        <v>18958</v>
      </c>
      <c r="M2571" t="s">
        <v>18958</v>
      </c>
      <c r="N2571" t="s">
        <v>20897</v>
      </c>
      <c r="O2571" t="s">
        <v>26526</v>
      </c>
      <c r="P2571" t="s">
        <v>26560</v>
      </c>
      <c r="Q2571" t="s">
        <v>26568</v>
      </c>
      <c r="R2571" t="s">
        <v>26578</v>
      </c>
      <c r="U2571" t="s">
        <v>26604</v>
      </c>
      <c r="V2571" t="s">
        <v>26609</v>
      </c>
      <c r="W2571" t="s">
        <v>635</v>
      </c>
      <c r="X2571">
        <v>1216.87</v>
      </c>
      <c r="Y2571" t="s">
        <v>26652</v>
      </c>
      <c r="Z2571" t="s">
        <v>26659</v>
      </c>
      <c r="AA2571" t="s">
        <v>26685</v>
      </c>
      <c r="AB2571" t="s">
        <v>28948</v>
      </c>
      <c r="AD2571" t="s">
        <v>39006</v>
      </c>
      <c r="AE2571">
        <v>40</v>
      </c>
      <c r="AF2571" t="s">
        <v>45541</v>
      </c>
      <c r="AG2571" t="s">
        <v>45559</v>
      </c>
      <c r="AH2571">
        <v>12</v>
      </c>
      <c r="AI2571">
        <v>2</v>
      </c>
      <c r="AJ2571">
        <v>0</v>
      </c>
      <c r="AK2571">
        <v>290.78</v>
      </c>
      <c r="AN2571" t="s">
        <v>7439</v>
      </c>
      <c r="AO2571">
        <v>47861.76</v>
      </c>
      <c r="AQ2571" t="s">
        <v>46359</v>
      </c>
      <c r="AR2571" t="s">
        <v>46395</v>
      </c>
      <c r="AS2571" t="s">
        <v>46499</v>
      </c>
      <c r="AT2571" t="s">
        <v>46749</v>
      </c>
      <c r="AU2571">
        <v>9.949999999999999</v>
      </c>
      <c r="AV2571" t="s">
        <v>720</v>
      </c>
      <c r="AW2571" t="s">
        <v>46853</v>
      </c>
    </row>
    <row r="2572" spans="1:49">
      <c r="A2572" s="1">
        <f>HYPERLINK("https://lsnyc.legalserver.org/matter/dynamic-profile/view/1877325","18-1877325")</f>
        <v>0</v>
      </c>
      <c r="B2572" t="s">
        <v>167</v>
      </c>
      <c r="C2572" t="s">
        <v>340</v>
      </c>
      <c r="D2572" t="s">
        <v>578</v>
      </c>
      <c r="F2572" t="s">
        <v>1153</v>
      </c>
      <c r="G2572" t="s">
        <v>6509</v>
      </c>
      <c r="H2572" t="s">
        <v>11713</v>
      </c>
      <c r="I2572" t="s">
        <v>17312</v>
      </c>
      <c r="J2572" t="s">
        <v>18894</v>
      </c>
      <c r="K2572">
        <v>11249</v>
      </c>
      <c r="L2572" t="s">
        <v>18958</v>
      </c>
      <c r="M2572" t="s">
        <v>18958</v>
      </c>
      <c r="N2572" t="s">
        <v>20898</v>
      </c>
      <c r="O2572" t="s">
        <v>26523</v>
      </c>
      <c r="P2572" t="s">
        <v>26560</v>
      </c>
      <c r="R2572" t="s">
        <v>26586</v>
      </c>
      <c r="S2572" t="s">
        <v>18959</v>
      </c>
      <c r="U2572" t="s">
        <v>26604</v>
      </c>
      <c r="V2572" t="s">
        <v>26610</v>
      </c>
      <c r="W2572" t="s">
        <v>635</v>
      </c>
      <c r="X2572">
        <v>1159</v>
      </c>
      <c r="Y2572" t="s">
        <v>26652</v>
      </c>
      <c r="Z2572" t="s">
        <v>26664</v>
      </c>
      <c r="AB2572" t="s">
        <v>28949</v>
      </c>
      <c r="AC2572" t="s">
        <v>35272</v>
      </c>
      <c r="AD2572" t="s">
        <v>39007</v>
      </c>
      <c r="AE2572">
        <v>83</v>
      </c>
      <c r="AF2572" t="s">
        <v>45550</v>
      </c>
      <c r="AG2572" t="s">
        <v>19330</v>
      </c>
      <c r="AH2572">
        <v>3</v>
      </c>
      <c r="AI2572">
        <v>1</v>
      </c>
      <c r="AJ2572">
        <v>0</v>
      </c>
      <c r="AK2572">
        <v>60.59</v>
      </c>
      <c r="AN2572" t="s">
        <v>7439</v>
      </c>
      <c r="AO2572">
        <v>7356</v>
      </c>
      <c r="AU2572">
        <v>73.8</v>
      </c>
      <c r="AV2572" t="s">
        <v>800</v>
      </c>
      <c r="AW2572" t="s">
        <v>281</v>
      </c>
    </row>
    <row r="2573" spans="1:49">
      <c r="A2573" s="1">
        <f>HYPERLINK("https://lsnyc.legalserver.org/matter/dynamic-profile/view/1877444","18-1877444")</f>
        <v>0</v>
      </c>
      <c r="B2573" t="s">
        <v>207</v>
      </c>
      <c r="C2573" t="s">
        <v>341</v>
      </c>
      <c r="D2573" t="s">
        <v>545</v>
      </c>
      <c r="E2573" t="s">
        <v>635</v>
      </c>
      <c r="F2573" t="s">
        <v>2308</v>
      </c>
      <c r="G2573" t="s">
        <v>6510</v>
      </c>
      <c r="H2573" t="s">
        <v>11714</v>
      </c>
      <c r="I2573" t="s">
        <v>17278</v>
      </c>
      <c r="J2573" t="s">
        <v>18894</v>
      </c>
      <c r="K2573">
        <v>11210</v>
      </c>
      <c r="L2573" t="s">
        <v>18958</v>
      </c>
      <c r="M2573" t="s">
        <v>18958</v>
      </c>
      <c r="N2573" t="s">
        <v>20899</v>
      </c>
      <c r="O2573" t="s">
        <v>26524</v>
      </c>
      <c r="P2573" t="s">
        <v>26563</v>
      </c>
      <c r="Q2573" t="s">
        <v>26570</v>
      </c>
      <c r="R2573" t="s">
        <v>26586</v>
      </c>
      <c r="S2573" t="s">
        <v>18959</v>
      </c>
      <c r="U2573" t="s">
        <v>26604</v>
      </c>
      <c r="W2573" t="s">
        <v>635</v>
      </c>
      <c r="X2573">
        <v>831</v>
      </c>
      <c r="Y2573" t="s">
        <v>26652</v>
      </c>
      <c r="Z2573" t="s">
        <v>26664</v>
      </c>
      <c r="AA2573" t="s">
        <v>26683</v>
      </c>
      <c r="AB2573" t="s">
        <v>28950</v>
      </c>
      <c r="AD2573" t="s">
        <v>39008</v>
      </c>
      <c r="AE2573">
        <v>42</v>
      </c>
      <c r="AG2573" t="s">
        <v>19330</v>
      </c>
      <c r="AH2573">
        <v>5</v>
      </c>
      <c r="AI2573">
        <v>2</v>
      </c>
      <c r="AJ2573">
        <v>0</v>
      </c>
      <c r="AK2573">
        <v>157.96</v>
      </c>
      <c r="AN2573" t="s">
        <v>7439</v>
      </c>
      <c r="AO2573">
        <v>26000</v>
      </c>
      <c r="AU2573">
        <v>1.85</v>
      </c>
      <c r="AV2573" t="s">
        <v>635</v>
      </c>
      <c r="AW2573" t="s">
        <v>281</v>
      </c>
    </row>
    <row r="2574" spans="1:49">
      <c r="A2574" s="1">
        <f>HYPERLINK("https://lsnyc.legalserver.org/matter/dynamic-profile/view/1877742","18-1877742")</f>
        <v>0</v>
      </c>
      <c r="B2574" t="s">
        <v>207</v>
      </c>
      <c r="C2574" t="s">
        <v>341</v>
      </c>
      <c r="D2574" t="s">
        <v>571</v>
      </c>
      <c r="E2574" t="s">
        <v>635</v>
      </c>
      <c r="F2574" t="s">
        <v>2309</v>
      </c>
      <c r="G2574" t="s">
        <v>6511</v>
      </c>
      <c r="H2574" t="s">
        <v>11715</v>
      </c>
      <c r="I2574">
        <v>1</v>
      </c>
      <c r="J2574" t="s">
        <v>18894</v>
      </c>
      <c r="K2574">
        <v>11234</v>
      </c>
      <c r="L2574" t="s">
        <v>18958</v>
      </c>
      <c r="M2574" t="s">
        <v>18958</v>
      </c>
      <c r="N2574" t="s">
        <v>20900</v>
      </c>
      <c r="O2574" t="s">
        <v>26524</v>
      </c>
      <c r="P2574" t="s">
        <v>26563</v>
      </c>
      <c r="Q2574" t="s">
        <v>26570</v>
      </c>
      <c r="R2574" t="s">
        <v>26586</v>
      </c>
      <c r="U2574" t="s">
        <v>26604</v>
      </c>
      <c r="W2574" t="s">
        <v>635</v>
      </c>
      <c r="X2574">
        <v>1190</v>
      </c>
      <c r="Y2574" t="s">
        <v>26652</v>
      </c>
      <c r="Z2574" t="s">
        <v>26664</v>
      </c>
      <c r="AA2574" t="s">
        <v>26683</v>
      </c>
      <c r="AB2574" t="s">
        <v>28951</v>
      </c>
      <c r="AC2574" t="s">
        <v>35273</v>
      </c>
      <c r="AD2574" t="s">
        <v>39009</v>
      </c>
      <c r="AE2574">
        <v>2</v>
      </c>
      <c r="AF2574" t="s">
        <v>45547</v>
      </c>
      <c r="AG2574" t="s">
        <v>45556</v>
      </c>
      <c r="AH2574">
        <v>9</v>
      </c>
      <c r="AI2574">
        <v>1</v>
      </c>
      <c r="AJ2574">
        <v>0</v>
      </c>
      <c r="AK2574">
        <v>8.109999999999999</v>
      </c>
      <c r="AN2574" t="s">
        <v>7439</v>
      </c>
      <c r="AO2574">
        <v>984</v>
      </c>
      <c r="AU2574">
        <v>2.05</v>
      </c>
      <c r="AV2574" t="s">
        <v>635</v>
      </c>
      <c r="AW2574" t="s">
        <v>281</v>
      </c>
    </row>
    <row r="2575" spans="1:49">
      <c r="A2575" s="1">
        <f>HYPERLINK("https://lsnyc.legalserver.org/matter/dynamic-profile/view/1879107","18-1879107")</f>
        <v>0</v>
      </c>
      <c r="B2575" t="s">
        <v>259</v>
      </c>
      <c r="C2575" t="s">
        <v>340</v>
      </c>
      <c r="D2575" t="s">
        <v>622</v>
      </c>
      <c r="F2575" t="s">
        <v>1017</v>
      </c>
      <c r="G2575" t="s">
        <v>6512</v>
      </c>
      <c r="H2575" t="s">
        <v>11569</v>
      </c>
      <c r="I2575" t="s">
        <v>17292</v>
      </c>
      <c r="J2575" t="s">
        <v>18894</v>
      </c>
      <c r="K2575">
        <v>11230</v>
      </c>
      <c r="L2575" t="s">
        <v>18958</v>
      </c>
      <c r="M2575" t="s">
        <v>18958</v>
      </c>
      <c r="O2575" t="s">
        <v>18997</v>
      </c>
      <c r="P2575" t="s">
        <v>26562</v>
      </c>
      <c r="R2575" t="s">
        <v>26578</v>
      </c>
      <c r="S2575" t="s">
        <v>18958</v>
      </c>
      <c r="U2575" t="s">
        <v>26604</v>
      </c>
      <c r="W2575" t="s">
        <v>635</v>
      </c>
      <c r="X2575">
        <v>0</v>
      </c>
      <c r="Y2575" t="s">
        <v>26652</v>
      </c>
      <c r="AB2575" t="s">
        <v>28952</v>
      </c>
      <c r="AE2575">
        <v>0</v>
      </c>
      <c r="AH2575">
        <v>0</v>
      </c>
      <c r="AI2575">
        <v>2</v>
      </c>
      <c r="AJ2575">
        <v>0</v>
      </c>
      <c r="AK2575">
        <v>32.59</v>
      </c>
      <c r="AN2575" t="s">
        <v>7439</v>
      </c>
      <c r="AO2575">
        <v>5364</v>
      </c>
      <c r="AU2575">
        <v>0.9</v>
      </c>
      <c r="AV2575" t="s">
        <v>666</v>
      </c>
      <c r="AW2575" t="s">
        <v>259</v>
      </c>
    </row>
    <row r="2576" spans="1:49">
      <c r="A2576" s="1">
        <f>HYPERLINK("https://lsnyc.legalserver.org/matter/dynamic-profile/view/1880157","18-1880157")</f>
        <v>0</v>
      </c>
      <c r="B2576" t="s">
        <v>114</v>
      </c>
      <c r="C2576" t="s">
        <v>340</v>
      </c>
      <c r="D2576" t="s">
        <v>594</v>
      </c>
      <c r="F2576" t="s">
        <v>1197</v>
      </c>
      <c r="G2576" t="s">
        <v>6284</v>
      </c>
      <c r="H2576" t="s">
        <v>11376</v>
      </c>
      <c r="I2576" t="s">
        <v>17772</v>
      </c>
      <c r="J2576" t="s">
        <v>18915</v>
      </c>
      <c r="K2576">
        <v>11372</v>
      </c>
      <c r="L2576" t="s">
        <v>18958</v>
      </c>
      <c r="M2576" t="s">
        <v>18958</v>
      </c>
      <c r="N2576" t="s">
        <v>20901</v>
      </c>
      <c r="O2576" t="s">
        <v>26523</v>
      </c>
      <c r="P2576" t="s">
        <v>26560</v>
      </c>
      <c r="R2576" t="s">
        <v>26578</v>
      </c>
      <c r="S2576" t="s">
        <v>18959</v>
      </c>
      <c r="U2576" t="s">
        <v>26604</v>
      </c>
      <c r="V2576" t="s">
        <v>26610</v>
      </c>
      <c r="W2576" t="s">
        <v>635</v>
      </c>
      <c r="X2576">
        <v>2350</v>
      </c>
      <c r="Y2576" t="s">
        <v>26653</v>
      </c>
      <c r="Z2576" t="s">
        <v>26659</v>
      </c>
      <c r="AB2576" t="s">
        <v>28576</v>
      </c>
      <c r="AD2576" t="s">
        <v>38628</v>
      </c>
      <c r="AE2576">
        <v>60</v>
      </c>
      <c r="AF2576" t="s">
        <v>45545</v>
      </c>
      <c r="AG2576" t="s">
        <v>19330</v>
      </c>
      <c r="AH2576">
        <v>11</v>
      </c>
      <c r="AI2576">
        <v>2</v>
      </c>
      <c r="AJ2576">
        <v>3</v>
      </c>
      <c r="AK2576">
        <v>203.94</v>
      </c>
      <c r="AL2576" t="s">
        <v>415</v>
      </c>
      <c r="AM2576" t="s">
        <v>45575</v>
      </c>
      <c r="AN2576" t="s">
        <v>7439</v>
      </c>
      <c r="AO2576">
        <v>60000</v>
      </c>
      <c r="AQ2576" t="s">
        <v>46359</v>
      </c>
      <c r="AR2576" t="s">
        <v>46379</v>
      </c>
      <c r="AS2576" t="s">
        <v>46499</v>
      </c>
      <c r="AT2576" t="s">
        <v>46577</v>
      </c>
      <c r="AU2576">
        <v>19.9</v>
      </c>
      <c r="AV2576" t="s">
        <v>781</v>
      </c>
      <c r="AW2576" t="s">
        <v>208</v>
      </c>
    </row>
    <row r="2577" spans="1:49">
      <c r="A2577" s="1">
        <f>HYPERLINK("https://lsnyc.legalserver.org/matter/dynamic-profile/view/1880910","18-1880910")</f>
        <v>0</v>
      </c>
      <c r="B2577" t="s">
        <v>70</v>
      </c>
      <c r="C2577" t="s">
        <v>341</v>
      </c>
      <c r="D2577" t="s">
        <v>635</v>
      </c>
      <c r="E2577" t="s">
        <v>786</v>
      </c>
      <c r="F2577" t="s">
        <v>2310</v>
      </c>
      <c r="G2577" t="s">
        <v>6513</v>
      </c>
      <c r="H2577" t="s">
        <v>11716</v>
      </c>
      <c r="I2577" t="s">
        <v>17854</v>
      </c>
      <c r="J2577" t="s">
        <v>18892</v>
      </c>
      <c r="K2577">
        <v>10468</v>
      </c>
      <c r="L2577" t="s">
        <v>18958</v>
      </c>
      <c r="M2577" t="s">
        <v>18958</v>
      </c>
      <c r="N2577" t="s">
        <v>20902</v>
      </c>
      <c r="O2577" t="s">
        <v>26523</v>
      </c>
      <c r="P2577" t="s">
        <v>26560</v>
      </c>
      <c r="Q2577" t="s">
        <v>26568</v>
      </c>
      <c r="R2577" t="s">
        <v>26579</v>
      </c>
      <c r="S2577" t="s">
        <v>18959</v>
      </c>
      <c r="U2577" t="s">
        <v>26604</v>
      </c>
      <c r="V2577" t="s">
        <v>26612</v>
      </c>
      <c r="W2577" t="s">
        <v>635</v>
      </c>
      <c r="X2577">
        <v>1550.24</v>
      </c>
      <c r="Y2577" t="s">
        <v>26650</v>
      </c>
      <c r="Z2577" t="s">
        <v>26668</v>
      </c>
      <c r="AA2577" t="s">
        <v>26678</v>
      </c>
      <c r="AB2577" t="s">
        <v>28953</v>
      </c>
      <c r="AC2577" t="s">
        <v>35274</v>
      </c>
      <c r="AD2577" t="s">
        <v>39010</v>
      </c>
      <c r="AE2577">
        <v>871</v>
      </c>
      <c r="AF2577" t="s">
        <v>45551</v>
      </c>
      <c r="AG2577" t="s">
        <v>26530</v>
      </c>
      <c r="AH2577">
        <v>18</v>
      </c>
      <c r="AI2577">
        <v>2</v>
      </c>
      <c r="AJ2577">
        <v>3</v>
      </c>
      <c r="AK2577">
        <v>20.39</v>
      </c>
      <c r="AN2577" t="s">
        <v>7439</v>
      </c>
      <c r="AO2577">
        <v>6000</v>
      </c>
      <c r="AQ2577" t="s">
        <v>46368</v>
      </c>
      <c r="AR2577" t="s">
        <v>46397</v>
      </c>
      <c r="AS2577" t="s">
        <v>46499</v>
      </c>
      <c r="AT2577" t="s">
        <v>46507</v>
      </c>
      <c r="AU2577">
        <v>23.1</v>
      </c>
      <c r="AV2577" t="s">
        <v>573</v>
      </c>
      <c r="AW2577" t="s">
        <v>46829</v>
      </c>
    </row>
    <row r="2578" spans="1:49">
      <c r="A2578" s="1">
        <f>HYPERLINK("https://lsnyc.legalserver.org/matter/dynamic-profile/view/1880876","18-1880876")</f>
        <v>0</v>
      </c>
      <c r="B2578" t="s">
        <v>246</v>
      </c>
      <c r="C2578" t="s">
        <v>341</v>
      </c>
      <c r="D2578" t="s">
        <v>635</v>
      </c>
      <c r="E2578" t="s">
        <v>703</v>
      </c>
      <c r="F2578" t="s">
        <v>2311</v>
      </c>
      <c r="G2578" t="s">
        <v>6514</v>
      </c>
      <c r="H2578" t="s">
        <v>11717</v>
      </c>
      <c r="I2578">
        <v>1</v>
      </c>
      <c r="J2578" t="s">
        <v>18892</v>
      </c>
      <c r="K2578">
        <v>10461</v>
      </c>
      <c r="L2578" t="s">
        <v>18958</v>
      </c>
      <c r="M2578" t="s">
        <v>18958</v>
      </c>
      <c r="N2578" t="s">
        <v>20903</v>
      </c>
      <c r="O2578" t="s">
        <v>26524</v>
      </c>
      <c r="P2578" t="s">
        <v>26560</v>
      </c>
      <c r="Q2578" t="s">
        <v>26573</v>
      </c>
      <c r="R2578" t="s">
        <v>26577</v>
      </c>
      <c r="U2578" t="s">
        <v>26604</v>
      </c>
      <c r="W2578" t="s">
        <v>635</v>
      </c>
      <c r="X2578">
        <v>1192</v>
      </c>
      <c r="Y2578" t="s">
        <v>26650</v>
      </c>
      <c r="Z2578" t="s">
        <v>26668</v>
      </c>
      <c r="AA2578" t="s">
        <v>26678</v>
      </c>
      <c r="AB2578" t="s">
        <v>28954</v>
      </c>
      <c r="AD2578" t="s">
        <v>39011</v>
      </c>
      <c r="AE2578">
        <v>3</v>
      </c>
      <c r="AF2578" t="s">
        <v>45547</v>
      </c>
      <c r="AG2578" t="s">
        <v>19330</v>
      </c>
      <c r="AH2578">
        <v>10</v>
      </c>
      <c r="AI2578">
        <v>1</v>
      </c>
      <c r="AJ2578">
        <v>0</v>
      </c>
      <c r="AK2578">
        <v>137.07</v>
      </c>
      <c r="AN2578" t="s">
        <v>7439</v>
      </c>
      <c r="AO2578">
        <v>16640</v>
      </c>
      <c r="AS2578" t="s">
        <v>46499</v>
      </c>
      <c r="AT2578" t="s">
        <v>46504</v>
      </c>
      <c r="AU2578">
        <v>3</v>
      </c>
      <c r="AV2578" t="s">
        <v>652</v>
      </c>
      <c r="AW2578" t="s">
        <v>46871</v>
      </c>
    </row>
    <row r="2579" spans="1:49">
      <c r="A2579" s="1">
        <f>HYPERLINK("https://lsnyc.legalserver.org/matter/dynamic-profile/view/1880926","18-1880926")</f>
        <v>0</v>
      </c>
      <c r="B2579" t="s">
        <v>131</v>
      </c>
      <c r="C2579" t="s">
        <v>341</v>
      </c>
      <c r="D2579" t="s">
        <v>635</v>
      </c>
      <c r="E2579" t="s">
        <v>833</v>
      </c>
      <c r="F2579" t="s">
        <v>1935</v>
      </c>
      <c r="G2579" t="s">
        <v>6102</v>
      </c>
      <c r="H2579" t="s">
        <v>11072</v>
      </c>
      <c r="I2579">
        <v>1</v>
      </c>
      <c r="J2579" t="s">
        <v>18902</v>
      </c>
      <c r="K2579">
        <v>10301</v>
      </c>
      <c r="L2579" t="s">
        <v>18958</v>
      </c>
      <c r="M2579" t="s">
        <v>18959</v>
      </c>
      <c r="O2579" t="s">
        <v>26542</v>
      </c>
      <c r="P2579" t="s">
        <v>26561</v>
      </c>
      <c r="Q2579" t="s">
        <v>26569</v>
      </c>
      <c r="R2579" t="s">
        <v>26578</v>
      </c>
      <c r="S2579" t="s">
        <v>18959</v>
      </c>
      <c r="U2579" t="s">
        <v>26606</v>
      </c>
      <c r="V2579" t="s">
        <v>26610</v>
      </c>
      <c r="W2579" t="s">
        <v>635</v>
      </c>
      <c r="X2579">
        <v>1243.56</v>
      </c>
      <c r="Y2579" t="s">
        <v>26654</v>
      </c>
      <c r="Z2579" t="s">
        <v>26659</v>
      </c>
      <c r="AA2579" t="s">
        <v>26682</v>
      </c>
      <c r="AD2579" t="s">
        <v>38301</v>
      </c>
      <c r="AE2579">
        <v>2</v>
      </c>
      <c r="AF2579" t="s">
        <v>45547</v>
      </c>
      <c r="AG2579" t="s">
        <v>45556</v>
      </c>
      <c r="AH2579">
        <v>6</v>
      </c>
      <c r="AI2579">
        <v>1</v>
      </c>
      <c r="AJ2579">
        <v>0</v>
      </c>
      <c r="AK2579">
        <v>72.45</v>
      </c>
      <c r="AN2579" t="s">
        <v>7439</v>
      </c>
      <c r="AO2579">
        <v>8796</v>
      </c>
      <c r="AU2579">
        <v>3.15</v>
      </c>
      <c r="AV2579" t="s">
        <v>833</v>
      </c>
      <c r="AW2579" t="s">
        <v>131</v>
      </c>
    </row>
    <row r="2580" spans="1:49">
      <c r="A2580" s="1">
        <f>HYPERLINK("https://lsnyc.legalserver.org/matter/dynamic-profile/view/1880842","18-1880842")</f>
        <v>0</v>
      </c>
      <c r="B2580" t="s">
        <v>90</v>
      </c>
      <c r="C2580" t="s">
        <v>341</v>
      </c>
      <c r="D2580" t="s">
        <v>635</v>
      </c>
      <c r="E2580" t="s">
        <v>675</v>
      </c>
      <c r="F2580" t="s">
        <v>996</v>
      </c>
      <c r="G2580" t="s">
        <v>6515</v>
      </c>
      <c r="H2580" t="s">
        <v>11718</v>
      </c>
      <c r="I2580" t="s">
        <v>17306</v>
      </c>
      <c r="J2580" t="s">
        <v>18893</v>
      </c>
      <c r="K2580">
        <v>10029</v>
      </c>
      <c r="L2580" t="s">
        <v>18958</v>
      </c>
      <c r="M2580" t="s">
        <v>18958</v>
      </c>
      <c r="N2580" t="s">
        <v>20904</v>
      </c>
      <c r="O2580" t="s">
        <v>26523</v>
      </c>
      <c r="P2580" t="s">
        <v>26564</v>
      </c>
      <c r="Q2580" t="s">
        <v>26570</v>
      </c>
      <c r="R2580" t="s">
        <v>26578</v>
      </c>
      <c r="S2580" t="s">
        <v>18959</v>
      </c>
      <c r="U2580" t="s">
        <v>26604</v>
      </c>
      <c r="V2580" t="s">
        <v>26610</v>
      </c>
      <c r="W2580" t="s">
        <v>635</v>
      </c>
      <c r="X2580">
        <v>1306.7</v>
      </c>
      <c r="Y2580" t="s">
        <v>26651</v>
      </c>
      <c r="Z2580" t="s">
        <v>26661</v>
      </c>
      <c r="AA2580" t="s">
        <v>26683</v>
      </c>
      <c r="AB2580" t="s">
        <v>28955</v>
      </c>
      <c r="AD2580" t="s">
        <v>39012</v>
      </c>
      <c r="AE2580">
        <v>15</v>
      </c>
      <c r="AF2580" t="s">
        <v>45541</v>
      </c>
      <c r="AG2580" t="s">
        <v>19330</v>
      </c>
      <c r="AH2580">
        <v>5</v>
      </c>
      <c r="AI2580">
        <v>1</v>
      </c>
      <c r="AJ2580">
        <v>0</v>
      </c>
      <c r="AK2580">
        <v>93.11</v>
      </c>
      <c r="AN2580" t="s">
        <v>7439</v>
      </c>
      <c r="AO2580">
        <v>11304</v>
      </c>
      <c r="AU2580">
        <v>1.25</v>
      </c>
      <c r="AV2580" t="s">
        <v>632</v>
      </c>
      <c r="AW2580" t="s">
        <v>46835</v>
      </c>
    </row>
    <row r="2581" spans="1:49">
      <c r="A2581" s="1">
        <f>HYPERLINK("https://lsnyc.legalserver.org/matter/dynamic-profile/view/1880916","18-1880916")</f>
        <v>0</v>
      </c>
      <c r="B2581" t="s">
        <v>152</v>
      </c>
      <c r="C2581" t="s">
        <v>341</v>
      </c>
      <c r="D2581" t="s">
        <v>635</v>
      </c>
      <c r="E2581" t="s">
        <v>804</v>
      </c>
      <c r="F2581" t="s">
        <v>2312</v>
      </c>
      <c r="G2581" t="s">
        <v>5677</v>
      </c>
      <c r="H2581" t="s">
        <v>11719</v>
      </c>
      <c r="I2581" t="s">
        <v>17465</v>
      </c>
      <c r="J2581" t="s">
        <v>18892</v>
      </c>
      <c r="K2581">
        <v>10453</v>
      </c>
      <c r="L2581" t="s">
        <v>18958</v>
      </c>
      <c r="M2581" t="s">
        <v>18958</v>
      </c>
      <c r="N2581" t="s">
        <v>20905</v>
      </c>
      <c r="O2581" t="s">
        <v>26523</v>
      </c>
      <c r="P2581" t="s">
        <v>26560</v>
      </c>
      <c r="Q2581" t="s">
        <v>26568</v>
      </c>
      <c r="R2581" t="s">
        <v>26578</v>
      </c>
      <c r="U2581" t="s">
        <v>26604</v>
      </c>
      <c r="V2581" t="s">
        <v>26614</v>
      </c>
      <c r="W2581" t="s">
        <v>635</v>
      </c>
      <c r="X2581">
        <v>1450</v>
      </c>
      <c r="Y2581" t="s">
        <v>26650</v>
      </c>
      <c r="Z2581" t="s">
        <v>26657</v>
      </c>
      <c r="AA2581" t="s">
        <v>26678</v>
      </c>
      <c r="AB2581" t="s">
        <v>28956</v>
      </c>
      <c r="AC2581" t="s">
        <v>35275</v>
      </c>
      <c r="AD2581" t="s">
        <v>39013</v>
      </c>
      <c r="AE2581">
        <v>31</v>
      </c>
      <c r="AF2581" t="s">
        <v>45541</v>
      </c>
      <c r="AG2581" t="s">
        <v>45556</v>
      </c>
      <c r="AH2581">
        <v>3</v>
      </c>
      <c r="AI2581">
        <v>2</v>
      </c>
      <c r="AJ2581">
        <v>0</v>
      </c>
      <c r="AK2581">
        <v>141.63</v>
      </c>
      <c r="AN2581" t="s">
        <v>7439</v>
      </c>
      <c r="AO2581">
        <v>23312</v>
      </c>
      <c r="AQ2581" t="s">
        <v>46365</v>
      </c>
      <c r="AR2581" t="s">
        <v>46379</v>
      </c>
      <c r="AS2581" t="s">
        <v>46499</v>
      </c>
      <c r="AT2581" t="s">
        <v>46627</v>
      </c>
      <c r="AU2581">
        <v>10.9</v>
      </c>
      <c r="AV2581" t="s">
        <v>428</v>
      </c>
      <c r="AW2581" t="s">
        <v>334</v>
      </c>
    </row>
    <row r="2582" spans="1:49">
      <c r="A2582" s="1">
        <f>HYPERLINK("https://lsnyc.legalserver.org/matter/dynamic-profile/view/1880854","18-1880854")</f>
        <v>0</v>
      </c>
      <c r="B2582" t="s">
        <v>223</v>
      </c>
      <c r="C2582" t="s">
        <v>341</v>
      </c>
      <c r="D2582" t="s">
        <v>635</v>
      </c>
      <c r="E2582" t="s">
        <v>652</v>
      </c>
      <c r="F2582" t="s">
        <v>2313</v>
      </c>
      <c r="G2582" t="s">
        <v>2928</v>
      </c>
      <c r="H2582" t="s">
        <v>11720</v>
      </c>
      <c r="I2582" t="s">
        <v>17347</v>
      </c>
      <c r="J2582" t="s">
        <v>18893</v>
      </c>
      <c r="K2582">
        <v>10029</v>
      </c>
      <c r="L2582" t="s">
        <v>18958</v>
      </c>
      <c r="M2582" t="s">
        <v>18958</v>
      </c>
      <c r="O2582" t="s">
        <v>18997</v>
      </c>
      <c r="P2582" t="s">
        <v>26564</v>
      </c>
      <c r="Q2582" t="s">
        <v>26570</v>
      </c>
      <c r="R2582" t="s">
        <v>26578</v>
      </c>
      <c r="S2582" t="s">
        <v>18959</v>
      </c>
      <c r="U2582" t="s">
        <v>26604</v>
      </c>
      <c r="V2582" t="s">
        <v>26610</v>
      </c>
      <c r="W2582" t="s">
        <v>635</v>
      </c>
      <c r="X2582">
        <v>1650</v>
      </c>
      <c r="Y2582" t="s">
        <v>26651</v>
      </c>
      <c r="Z2582" t="s">
        <v>26661</v>
      </c>
      <c r="AA2582" t="s">
        <v>26683</v>
      </c>
      <c r="AB2582" t="s">
        <v>28957</v>
      </c>
      <c r="AD2582" t="s">
        <v>39014</v>
      </c>
      <c r="AE2582">
        <v>48</v>
      </c>
      <c r="AF2582" t="s">
        <v>45541</v>
      </c>
      <c r="AH2582">
        <v>-1</v>
      </c>
      <c r="AI2582">
        <v>1</v>
      </c>
      <c r="AJ2582">
        <v>0</v>
      </c>
      <c r="AK2582">
        <v>27.84</v>
      </c>
      <c r="AN2582" t="s">
        <v>7439</v>
      </c>
      <c r="AO2582">
        <v>3380</v>
      </c>
      <c r="AU2582">
        <v>0.75</v>
      </c>
      <c r="AV2582" t="s">
        <v>632</v>
      </c>
      <c r="AW2582" t="s">
        <v>46835</v>
      </c>
    </row>
    <row r="2583" spans="1:49">
      <c r="A2583" s="1">
        <f>HYPERLINK("https://lsnyc.legalserver.org/matter/dynamic-profile/view/1880898","18-1880898")</f>
        <v>0</v>
      </c>
      <c r="B2583" t="s">
        <v>261</v>
      </c>
      <c r="C2583" t="s">
        <v>341</v>
      </c>
      <c r="D2583" t="s">
        <v>635</v>
      </c>
      <c r="E2583" t="s">
        <v>683</v>
      </c>
      <c r="F2583" t="s">
        <v>1733</v>
      </c>
      <c r="G2583" t="s">
        <v>6516</v>
      </c>
      <c r="H2583" t="s">
        <v>11721</v>
      </c>
      <c r="I2583" t="s">
        <v>17435</v>
      </c>
      <c r="J2583" t="s">
        <v>18892</v>
      </c>
      <c r="K2583">
        <v>10466</v>
      </c>
      <c r="L2583" t="s">
        <v>18958</v>
      </c>
      <c r="M2583" t="s">
        <v>18958</v>
      </c>
      <c r="N2583" t="s">
        <v>20906</v>
      </c>
      <c r="O2583" t="s">
        <v>26523</v>
      </c>
      <c r="P2583" t="s">
        <v>26564</v>
      </c>
      <c r="Q2583" t="s">
        <v>26570</v>
      </c>
      <c r="R2583" t="s">
        <v>26578</v>
      </c>
      <c r="S2583" t="s">
        <v>18959</v>
      </c>
      <c r="U2583" t="s">
        <v>26604</v>
      </c>
      <c r="V2583" t="s">
        <v>26612</v>
      </c>
      <c r="W2583" t="s">
        <v>635</v>
      </c>
      <c r="X2583">
        <v>0</v>
      </c>
      <c r="Y2583" t="s">
        <v>26650</v>
      </c>
      <c r="Z2583" t="s">
        <v>26663</v>
      </c>
      <c r="AA2583" t="s">
        <v>26683</v>
      </c>
      <c r="AB2583" t="s">
        <v>28958</v>
      </c>
      <c r="AC2583" t="s">
        <v>35276</v>
      </c>
      <c r="AD2583" t="s">
        <v>39015</v>
      </c>
      <c r="AE2583">
        <v>3</v>
      </c>
      <c r="AF2583" t="s">
        <v>45547</v>
      </c>
      <c r="AG2583" t="s">
        <v>45562</v>
      </c>
      <c r="AH2583">
        <v>0</v>
      </c>
      <c r="AI2583">
        <v>2</v>
      </c>
      <c r="AJ2583">
        <v>3</v>
      </c>
      <c r="AK2583">
        <v>1.51</v>
      </c>
      <c r="AN2583" t="s">
        <v>7439</v>
      </c>
      <c r="AO2583">
        <v>444</v>
      </c>
      <c r="AU2583">
        <v>0.6</v>
      </c>
      <c r="AV2583" t="s">
        <v>635</v>
      </c>
      <c r="AW2583" t="s">
        <v>261</v>
      </c>
    </row>
    <row r="2584" spans="1:49">
      <c r="A2584" s="1">
        <f>HYPERLINK("https://lsnyc.legalserver.org/matter/dynamic-profile/view/1880914","18-1880914")</f>
        <v>0</v>
      </c>
      <c r="B2584" t="s">
        <v>157</v>
      </c>
      <c r="C2584" t="s">
        <v>341</v>
      </c>
      <c r="D2584" t="s">
        <v>635</v>
      </c>
      <c r="E2584" t="s">
        <v>631</v>
      </c>
      <c r="F2584" t="s">
        <v>1107</v>
      </c>
      <c r="G2584" t="s">
        <v>5601</v>
      </c>
      <c r="H2584" t="s">
        <v>10313</v>
      </c>
      <c r="I2584" t="s">
        <v>17284</v>
      </c>
      <c r="J2584" t="s">
        <v>18893</v>
      </c>
      <c r="K2584">
        <v>10033</v>
      </c>
      <c r="L2584" t="s">
        <v>18958</v>
      </c>
      <c r="M2584" t="s">
        <v>18958</v>
      </c>
      <c r="P2584" t="s">
        <v>26564</v>
      </c>
      <c r="Q2584" t="s">
        <v>26570</v>
      </c>
      <c r="R2584" t="s">
        <v>26578</v>
      </c>
      <c r="S2584" t="s">
        <v>18959</v>
      </c>
      <c r="U2584" t="s">
        <v>26604</v>
      </c>
      <c r="W2584" t="s">
        <v>635</v>
      </c>
      <c r="X2584">
        <v>1519</v>
      </c>
      <c r="Y2584" t="s">
        <v>26651</v>
      </c>
      <c r="Z2584" t="s">
        <v>26670</v>
      </c>
      <c r="AA2584" t="s">
        <v>26683</v>
      </c>
      <c r="AB2584" t="s">
        <v>27417</v>
      </c>
      <c r="AD2584" t="s">
        <v>37483</v>
      </c>
      <c r="AE2584">
        <v>60</v>
      </c>
      <c r="AF2584" t="s">
        <v>45541</v>
      </c>
      <c r="AG2584" t="s">
        <v>19330</v>
      </c>
      <c r="AH2584">
        <v>10</v>
      </c>
      <c r="AI2584">
        <v>1</v>
      </c>
      <c r="AJ2584">
        <v>0</v>
      </c>
      <c r="AK2584">
        <v>130.68</v>
      </c>
      <c r="AN2584" t="s">
        <v>7439</v>
      </c>
      <c r="AO2584">
        <v>15864</v>
      </c>
      <c r="AU2584">
        <v>0.5</v>
      </c>
      <c r="AV2584" t="s">
        <v>631</v>
      </c>
      <c r="AW2584" t="s">
        <v>46840</v>
      </c>
    </row>
    <row r="2585" spans="1:49">
      <c r="A2585" s="1">
        <f>HYPERLINK("https://lsnyc.legalserver.org/matter/dynamic-profile/view/1880834","18-1880834")</f>
        <v>0</v>
      </c>
      <c r="B2585" t="s">
        <v>133</v>
      </c>
      <c r="C2585" t="s">
        <v>340</v>
      </c>
      <c r="D2585" t="s">
        <v>635</v>
      </c>
      <c r="F2585" t="s">
        <v>1653</v>
      </c>
      <c r="G2585" t="s">
        <v>4632</v>
      </c>
      <c r="H2585" t="s">
        <v>11722</v>
      </c>
      <c r="I2585" t="s">
        <v>17432</v>
      </c>
      <c r="J2585" t="s">
        <v>18892</v>
      </c>
      <c r="K2585">
        <v>10468</v>
      </c>
      <c r="L2585" t="s">
        <v>18958</v>
      </c>
      <c r="M2585" t="s">
        <v>18958</v>
      </c>
      <c r="N2585" t="s">
        <v>20907</v>
      </c>
      <c r="O2585" t="s">
        <v>26523</v>
      </c>
      <c r="P2585" t="s">
        <v>26560</v>
      </c>
      <c r="R2585" t="s">
        <v>26579</v>
      </c>
      <c r="S2585" t="s">
        <v>18959</v>
      </c>
      <c r="U2585" t="s">
        <v>26604</v>
      </c>
      <c r="V2585" t="s">
        <v>26610</v>
      </c>
      <c r="W2585" t="s">
        <v>635</v>
      </c>
      <c r="X2585">
        <v>0</v>
      </c>
      <c r="Y2585" t="s">
        <v>26650</v>
      </c>
      <c r="Z2585" t="s">
        <v>26664</v>
      </c>
      <c r="AB2585" t="s">
        <v>28959</v>
      </c>
      <c r="AC2585" t="s">
        <v>35277</v>
      </c>
      <c r="AD2585" t="s">
        <v>39016</v>
      </c>
      <c r="AE2585">
        <v>0</v>
      </c>
      <c r="AF2585" t="s">
        <v>45541</v>
      </c>
      <c r="AG2585" t="s">
        <v>45557</v>
      </c>
      <c r="AH2585">
        <v>0</v>
      </c>
      <c r="AI2585">
        <v>1</v>
      </c>
      <c r="AJ2585">
        <v>3</v>
      </c>
      <c r="AK2585">
        <v>35.86</v>
      </c>
      <c r="AO2585">
        <v>9000</v>
      </c>
      <c r="AU2585">
        <v>27.15</v>
      </c>
      <c r="AV2585" t="s">
        <v>801</v>
      </c>
      <c r="AW2585" t="s">
        <v>334</v>
      </c>
    </row>
    <row r="2586" spans="1:49">
      <c r="A2586" s="1">
        <f>HYPERLINK("https://lsnyc.legalserver.org/matter/dynamic-profile/view/1880856","18-1880856")</f>
        <v>0</v>
      </c>
      <c r="B2586" t="s">
        <v>97</v>
      </c>
      <c r="C2586" t="s">
        <v>340</v>
      </c>
      <c r="D2586" t="s">
        <v>635</v>
      </c>
      <c r="F2586" t="s">
        <v>2314</v>
      </c>
      <c r="G2586" t="s">
        <v>6517</v>
      </c>
      <c r="H2586" t="s">
        <v>11723</v>
      </c>
      <c r="I2586">
        <v>2</v>
      </c>
      <c r="J2586" t="s">
        <v>18892</v>
      </c>
      <c r="K2586">
        <v>10466</v>
      </c>
      <c r="L2586" t="s">
        <v>18958</v>
      </c>
      <c r="M2586" t="s">
        <v>18958</v>
      </c>
      <c r="N2586" t="s">
        <v>20908</v>
      </c>
      <c r="O2586" t="s">
        <v>26524</v>
      </c>
      <c r="P2586" t="s">
        <v>26560</v>
      </c>
      <c r="R2586" t="s">
        <v>26577</v>
      </c>
      <c r="U2586" t="s">
        <v>26604</v>
      </c>
      <c r="V2586" t="s">
        <v>26610</v>
      </c>
      <c r="W2586" t="s">
        <v>635</v>
      </c>
      <c r="X2586">
        <v>1338</v>
      </c>
      <c r="Y2586" t="s">
        <v>26650</v>
      </c>
      <c r="Z2586" t="s">
        <v>26659</v>
      </c>
      <c r="AB2586" t="s">
        <v>28960</v>
      </c>
      <c r="AC2586" t="s">
        <v>35278</v>
      </c>
      <c r="AD2586" t="s">
        <v>39017</v>
      </c>
      <c r="AE2586">
        <v>4</v>
      </c>
      <c r="AF2586" t="s">
        <v>20460</v>
      </c>
      <c r="AG2586" t="s">
        <v>45556</v>
      </c>
      <c r="AH2586">
        <v>8</v>
      </c>
      <c r="AI2586">
        <v>1</v>
      </c>
      <c r="AJ2586">
        <v>0</v>
      </c>
      <c r="AK2586">
        <v>15.42</v>
      </c>
      <c r="AN2586" t="s">
        <v>7439</v>
      </c>
      <c r="AO2586">
        <v>1872</v>
      </c>
      <c r="AU2586">
        <v>40.35</v>
      </c>
      <c r="AV2586" t="s">
        <v>821</v>
      </c>
      <c r="AW2586" t="s">
        <v>46836</v>
      </c>
    </row>
    <row r="2587" spans="1:49">
      <c r="A2587" s="1">
        <f>HYPERLINK("https://lsnyc.legalserver.org/matter/dynamic-profile/view/1880858","18-1880858")</f>
        <v>0</v>
      </c>
      <c r="B2587" t="s">
        <v>100</v>
      </c>
      <c r="C2587" t="s">
        <v>340</v>
      </c>
      <c r="D2587" t="s">
        <v>635</v>
      </c>
      <c r="F2587" t="s">
        <v>2315</v>
      </c>
      <c r="G2587" t="s">
        <v>5748</v>
      </c>
      <c r="H2587" t="s">
        <v>11666</v>
      </c>
      <c r="I2587" t="s">
        <v>17293</v>
      </c>
      <c r="J2587" t="s">
        <v>18892</v>
      </c>
      <c r="K2587">
        <v>10468</v>
      </c>
      <c r="L2587" t="s">
        <v>18958</v>
      </c>
      <c r="M2587" t="s">
        <v>18958</v>
      </c>
      <c r="O2587" t="s">
        <v>26523</v>
      </c>
      <c r="P2587" t="s">
        <v>26564</v>
      </c>
      <c r="R2587" t="s">
        <v>26578</v>
      </c>
      <c r="U2587" t="s">
        <v>26604</v>
      </c>
      <c r="W2587" t="s">
        <v>635</v>
      </c>
      <c r="X2587">
        <v>0</v>
      </c>
      <c r="Y2587" t="s">
        <v>26650</v>
      </c>
      <c r="AB2587" t="s">
        <v>28961</v>
      </c>
      <c r="AD2587" t="s">
        <v>39018</v>
      </c>
      <c r="AE2587">
        <v>0</v>
      </c>
      <c r="AH2587">
        <v>0</v>
      </c>
      <c r="AI2587">
        <v>1</v>
      </c>
      <c r="AJ2587">
        <v>2</v>
      </c>
      <c r="AK2587">
        <v>45.51</v>
      </c>
      <c r="AN2587" t="s">
        <v>7439</v>
      </c>
      <c r="AO2587">
        <v>9456</v>
      </c>
      <c r="AU2587">
        <v>0.5</v>
      </c>
      <c r="AV2587" t="s">
        <v>635</v>
      </c>
      <c r="AW2587" t="s">
        <v>261</v>
      </c>
    </row>
    <row r="2588" spans="1:49">
      <c r="A2588" s="1">
        <f>HYPERLINK("https://lsnyc.legalserver.org/matter/dynamic-profile/view/1880865","18-1880865")</f>
        <v>0</v>
      </c>
      <c r="B2588" t="s">
        <v>100</v>
      </c>
      <c r="C2588" t="s">
        <v>340</v>
      </c>
      <c r="D2588" t="s">
        <v>635</v>
      </c>
      <c r="F2588" t="s">
        <v>1016</v>
      </c>
      <c r="G2588" t="s">
        <v>5169</v>
      </c>
      <c r="H2588" t="s">
        <v>11724</v>
      </c>
      <c r="I2588" t="s">
        <v>17290</v>
      </c>
      <c r="J2588" t="s">
        <v>18892</v>
      </c>
      <c r="K2588">
        <v>10463</v>
      </c>
      <c r="L2588" t="s">
        <v>18958</v>
      </c>
      <c r="M2588" t="s">
        <v>18958</v>
      </c>
      <c r="O2588" t="s">
        <v>26534</v>
      </c>
      <c r="P2588" t="s">
        <v>26565</v>
      </c>
      <c r="R2588" t="s">
        <v>26578</v>
      </c>
      <c r="U2588" t="s">
        <v>26604</v>
      </c>
      <c r="W2588" t="s">
        <v>635</v>
      </c>
      <c r="X2588">
        <v>0</v>
      </c>
      <c r="Y2588" t="s">
        <v>26650</v>
      </c>
      <c r="AB2588" t="s">
        <v>28962</v>
      </c>
      <c r="AD2588" t="s">
        <v>39019</v>
      </c>
      <c r="AE2588">
        <v>0</v>
      </c>
      <c r="AH2588">
        <v>0</v>
      </c>
      <c r="AI2588">
        <v>2</v>
      </c>
      <c r="AJ2588">
        <v>0</v>
      </c>
      <c r="AK2588">
        <v>45.86</v>
      </c>
      <c r="AN2588" t="s">
        <v>7439</v>
      </c>
      <c r="AO2588">
        <v>7548</v>
      </c>
      <c r="AU2588">
        <v>1</v>
      </c>
      <c r="AV2588" t="s">
        <v>635</v>
      </c>
      <c r="AW2588" t="s">
        <v>261</v>
      </c>
    </row>
    <row r="2589" spans="1:49">
      <c r="A2589" s="1">
        <f>HYPERLINK("https://lsnyc.legalserver.org/matter/dynamic-profile/view/1880839","18-1880839")</f>
        <v>0</v>
      </c>
      <c r="B2589" t="s">
        <v>65</v>
      </c>
      <c r="C2589" t="s">
        <v>340</v>
      </c>
      <c r="D2589" t="s">
        <v>635</v>
      </c>
      <c r="F2589" t="s">
        <v>1217</v>
      </c>
      <c r="G2589" t="s">
        <v>5269</v>
      </c>
      <c r="H2589" t="s">
        <v>11725</v>
      </c>
      <c r="I2589" t="s">
        <v>17343</v>
      </c>
      <c r="J2589" t="s">
        <v>18892</v>
      </c>
      <c r="K2589">
        <v>10467</v>
      </c>
      <c r="L2589" t="s">
        <v>18958</v>
      </c>
      <c r="M2589" t="s">
        <v>18958</v>
      </c>
      <c r="N2589" t="s">
        <v>20909</v>
      </c>
      <c r="O2589" t="s">
        <v>26523</v>
      </c>
      <c r="P2589" t="s">
        <v>26560</v>
      </c>
      <c r="R2589" t="s">
        <v>26579</v>
      </c>
      <c r="S2589" t="s">
        <v>18959</v>
      </c>
      <c r="U2589" t="s">
        <v>26604</v>
      </c>
      <c r="V2589" t="s">
        <v>26609</v>
      </c>
      <c r="W2589" t="s">
        <v>635</v>
      </c>
      <c r="X2589">
        <v>1030.23</v>
      </c>
      <c r="Y2589" t="s">
        <v>26650</v>
      </c>
      <c r="Z2589" t="s">
        <v>26664</v>
      </c>
      <c r="AB2589" t="s">
        <v>28963</v>
      </c>
      <c r="AD2589" t="s">
        <v>39020</v>
      </c>
      <c r="AE2589">
        <v>50</v>
      </c>
      <c r="AF2589" t="s">
        <v>45541</v>
      </c>
      <c r="AG2589" t="s">
        <v>45556</v>
      </c>
      <c r="AH2589">
        <v>5</v>
      </c>
      <c r="AI2589">
        <v>1</v>
      </c>
      <c r="AJ2589">
        <v>4</v>
      </c>
      <c r="AK2589">
        <v>0</v>
      </c>
      <c r="AN2589" t="s">
        <v>7439</v>
      </c>
      <c r="AO2589">
        <v>0</v>
      </c>
      <c r="AU2589">
        <v>18.6</v>
      </c>
      <c r="AV2589" t="s">
        <v>807</v>
      </c>
      <c r="AW2589" t="s">
        <v>46829</v>
      </c>
    </row>
    <row r="2590" spans="1:49">
      <c r="A2590" s="1">
        <f>HYPERLINK("https://lsnyc.legalserver.org/matter/dynamic-profile/view/1881225","18-1881225")</f>
        <v>0</v>
      </c>
      <c r="B2590" t="s">
        <v>202</v>
      </c>
      <c r="C2590" t="s">
        <v>341</v>
      </c>
      <c r="D2590" t="s">
        <v>631</v>
      </c>
      <c r="E2590" t="s">
        <v>723</v>
      </c>
      <c r="F2590" t="s">
        <v>1247</v>
      </c>
      <c r="G2590" t="s">
        <v>5691</v>
      </c>
      <c r="H2590" t="s">
        <v>11726</v>
      </c>
      <c r="I2590" t="s">
        <v>17416</v>
      </c>
      <c r="J2590" t="s">
        <v>18894</v>
      </c>
      <c r="K2590">
        <v>11228</v>
      </c>
      <c r="L2590" t="s">
        <v>18958</v>
      </c>
      <c r="M2590" t="s">
        <v>18958</v>
      </c>
      <c r="N2590" t="s">
        <v>20910</v>
      </c>
      <c r="O2590" t="s">
        <v>26524</v>
      </c>
      <c r="P2590" t="s">
        <v>26560</v>
      </c>
      <c r="Q2590" t="s">
        <v>26568</v>
      </c>
      <c r="R2590" t="s">
        <v>26586</v>
      </c>
      <c r="S2590" t="s">
        <v>18959</v>
      </c>
      <c r="U2590" t="s">
        <v>26604</v>
      </c>
      <c r="V2590" t="s">
        <v>26610</v>
      </c>
      <c r="W2590" t="s">
        <v>635</v>
      </c>
      <c r="X2590">
        <v>1268</v>
      </c>
      <c r="Y2590" t="s">
        <v>26652</v>
      </c>
      <c r="Z2590" t="s">
        <v>26664</v>
      </c>
      <c r="AA2590" t="s">
        <v>26678</v>
      </c>
      <c r="AB2590" t="s">
        <v>28964</v>
      </c>
      <c r="AD2590" t="s">
        <v>39021</v>
      </c>
      <c r="AE2590">
        <v>3</v>
      </c>
      <c r="AF2590" t="s">
        <v>20460</v>
      </c>
      <c r="AG2590" t="s">
        <v>45557</v>
      </c>
      <c r="AH2590">
        <v>11</v>
      </c>
      <c r="AI2590">
        <v>1</v>
      </c>
      <c r="AJ2590">
        <v>1</v>
      </c>
      <c r="AK2590">
        <v>32.46</v>
      </c>
      <c r="AN2590" t="s">
        <v>7439</v>
      </c>
      <c r="AO2590">
        <v>5343</v>
      </c>
      <c r="AP2590">
        <v>3020</v>
      </c>
      <c r="AQ2590" t="s">
        <v>46362</v>
      </c>
      <c r="AR2590" t="s">
        <v>46381</v>
      </c>
      <c r="AS2590" t="s">
        <v>46499</v>
      </c>
      <c r="AT2590" t="s">
        <v>46722</v>
      </c>
      <c r="AU2590">
        <v>19.45</v>
      </c>
      <c r="AV2590" t="s">
        <v>757</v>
      </c>
      <c r="AW2590" t="s">
        <v>46862</v>
      </c>
    </row>
    <row r="2591" spans="1:49">
      <c r="A2591" s="1">
        <f>HYPERLINK("https://lsnyc.legalserver.org/matter/dynamic-profile/view/1881503","18-1881503")</f>
        <v>0</v>
      </c>
      <c r="B2591" t="s">
        <v>134</v>
      </c>
      <c r="C2591" t="s">
        <v>340</v>
      </c>
      <c r="D2591" t="s">
        <v>624</v>
      </c>
      <c r="F2591" t="s">
        <v>895</v>
      </c>
      <c r="G2591" t="s">
        <v>1287</v>
      </c>
      <c r="H2591" t="s">
        <v>10439</v>
      </c>
      <c r="I2591" t="s">
        <v>17272</v>
      </c>
      <c r="J2591" t="s">
        <v>18894</v>
      </c>
      <c r="K2591">
        <v>11216</v>
      </c>
      <c r="L2591" t="s">
        <v>18958</v>
      </c>
      <c r="M2591" t="s">
        <v>18958</v>
      </c>
      <c r="N2591" t="s">
        <v>19776</v>
      </c>
      <c r="O2591" t="s">
        <v>26528</v>
      </c>
      <c r="P2591" t="s">
        <v>26560</v>
      </c>
      <c r="R2591" t="s">
        <v>26578</v>
      </c>
      <c r="S2591" t="s">
        <v>18958</v>
      </c>
      <c r="U2591" t="s">
        <v>26604</v>
      </c>
      <c r="V2591" t="s">
        <v>26610</v>
      </c>
      <c r="W2591" t="s">
        <v>635</v>
      </c>
      <c r="X2591">
        <v>1450</v>
      </c>
      <c r="Y2591" t="s">
        <v>26652</v>
      </c>
      <c r="Z2591" t="s">
        <v>26667</v>
      </c>
      <c r="AB2591" t="s">
        <v>28965</v>
      </c>
      <c r="AC2591" t="s">
        <v>19330</v>
      </c>
      <c r="AD2591" t="s">
        <v>39022</v>
      </c>
      <c r="AE2591">
        <v>8</v>
      </c>
      <c r="AF2591" t="s">
        <v>45541</v>
      </c>
      <c r="AG2591" t="s">
        <v>19330</v>
      </c>
      <c r="AH2591">
        <v>2</v>
      </c>
      <c r="AI2591">
        <v>1</v>
      </c>
      <c r="AJ2591">
        <v>0</v>
      </c>
      <c r="AK2591">
        <v>708.4</v>
      </c>
      <c r="AM2591" t="s">
        <v>45575</v>
      </c>
      <c r="AN2591" t="s">
        <v>7439</v>
      </c>
      <c r="AO2591">
        <v>86000</v>
      </c>
      <c r="AP2591" t="s">
        <v>45757</v>
      </c>
      <c r="AU2591">
        <v>0</v>
      </c>
      <c r="AW2591" t="s">
        <v>279</v>
      </c>
    </row>
    <row r="2592" spans="1:49">
      <c r="A2592" s="1">
        <f>HYPERLINK("https://lsnyc.legalserver.org/matter/dynamic-profile/view/1881496","18-1881496")</f>
        <v>0</v>
      </c>
      <c r="B2592" t="s">
        <v>134</v>
      </c>
      <c r="C2592" t="s">
        <v>340</v>
      </c>
      <c r="D2592" t="s">
        <v>624</v>
      </c>
      <c r="F2592" t="s">
        <v>895</v>
      </c>
      <c r="G2592" t="s">
        <v>1287</v>
      </c>
      <c r="H2592" t="s">
        <v>10439</v>
      </c>
      <c r="I2592" t="s">
        <v>17272</v>
      </c>
      <c r="J2592" t="s">
        <v>18894</v>
      </c>
      <c r="K2592">
        <v>11216</v>
      </c>
      <c r="L2592" t="s">
        <v>18958</v>
      </c>
      <c r="M2592" t="s">
        <v>18958</v>
      </c>
      <c r="N2592" t="s">
        <v>18997</v>
      </c>
      <c r="O2592" t="s">
        <v>18997</v>
      </c>
      <c r="P2592" t="s">
        <v>26565</v>
      </c>
      <c r="R2592" t="s">
        <v>26578</v>
      </c>
      <c r="S2592" t="s">
        <v>18958</v>
      </c>
      <c r="U2592" t="s">
        <v>26604</v>
      </c>
      <c r="V2592" t="s">
        <v>26610</v>
      </c>
      <c r="W2592" t="s">
        <v>635</v>
      </c>
      <c r="X2592">
        <v>1450</v>
      </c>
      <c r="Y2592" t="s">
        <v>26652</v>
      </c>
      <c r="Z2592" t="s">
        <v>26667</v>
      </c>
      <c r="AB2592" t="s">
        <v>28965</v>
      </c>
      <c r="AC2592" t="s">
        <v>19330</v>
      </c>
      <c r="AD2592" t="s">
        <v>39022</v>
      </c>
      <c r="AE2592">
        <v>8</v>
      </c>
      <c r="AF2592" t="s">
        <v>45541</v>
      </c>
      <c r="AG2592" t="s">
        <v>19330</v>
      </c>
      <c r="AH2592">
        <v>2</v>
      </c>
      <c r="AI2592">
        <v>1</v>
      </c>
      <c r="AJ2592">
        <v>0</v>
      </c>
      <c r="AK2592">
        <v>708.4</v>
      </c>
      <c r="AM2592" t="s">
        <v>45575</v>
      </c>
      <c r="AN2592" t="s">
        <v>7439</v>
      </c>
      <c r="AO2592">
        <v>86000</v>
      </c>
      <c r="AP2592" t="s">
        <v>45758</v>
      </c>
      <c r="AU2592">
        <v>0</v>
      </c>
      <c r="AW2592" t="s">
        <v>279</v>
      </c>
    </row>
    <row r="2593" spans="1:49">
      <c r="A2593" s="1">
        <f>HYPERLINK("https://lsnyc.legalserver.org/matter/dynamic-profile/view/0772975","15-0772975")</f>
        <v>0</v>
      </c>
      <c r="B2593" t="s">
        <v>51</v>
      </c>
      <c r="C2593" t="s">
        <v>340</v>
      </c>
      <c r="D2593" t="s">
        <v>636</v>
      </c>
      <c r="F2593" t="s">
        <v>2013</v>
      </c>
      <c r="G2593" t="s">
        <v>6013</v>
      </c>
      <c r="H2593" t="s">
        <v>11727</v>
      </c>
      <c r="I2593" t="s">
        <v>17436</v>
      </c>
      <c r="J2593" t="s">
        <v>18892</v>
      </c>
      <c r="K2593">
        <v>10473</v>
      </c>
      <c r="L2593" t="s">
        <v>18958</v>
      </c>
      <c r="M2593" t="s">
        <v>18960</v>
      </c>
      <c r="N2593" t="s">
        <v>20911</v>
      </c>
      <c r="O2593" t="s">
        <v>26525</v>
      </c>
      <c r="P2593" t="s">
        <v>26561</v>
      </c>
      <c r="R2593" t="s">
        <v>26577</v>
      </c>
      <c r="S2593" t="s">
        <v>18959</v>
      </c>
      <c r="U2593" t="s">
        <v>26605</v>
      </c>
      <c r="V2593" t="s">
        <v>26610</v>
      </c>
      <c r="W2593" t="s">
        <v>605</v>
      </c>
      <c r="X2593">
        <v>257</v>
      </c>
      <c r="Y2593" t="s">
        <v>26650</v>
      </c>
      <c r="Z2593" t="s">
        <v>26659</v>
      </c>
      <c r="AB2593" t="s">
        <v>28966</v>
      </c>
      <c r="AC2593" t="s">
        <v>35279</v>
      </c>
      <c r="AD2593" t="s">
        <v>39023</v>
      </c>
      <c r="AE2593">
        <v>583</v>
      </c>
      <c r="AF2593" t="s">
        <v>45542</v>
      </c>
      <c r="AG2593" t="s">
        <v>19330</v>
      </c>
      <c r="AH2593">
        <v>8</v>
      </c>
      <c r="AI2593">
        <v>1</v>
      </c>
      <c r="AJ2593">
        <v>1</v>
      </c>
      <c r="AK2593">
        <v>71.04000000000001</v>
      </c>
      <c r="AN2593" t="s">
        <v>7439</v>
      </c>
      <c r="AO2593">
        <v>11316</v>
      </c>
      <c r="AP2593" t="s">
        <v>45630</v>
      </c>
      <c r="AU2593">
        <v>30.3</v>
      </c>
      <c r="AV2593" t="s">
        <v>729</v>
      </c>
      <c r="AW2593" t="s">
        <v>46872</v>
      </c>
    </row>
    <row r="2594" spans="1:49">
      <c r="A2594" s="1">
        <f>HYPERLINK("https://lsnyc.legalserver.org/matter/dynamic-profile/view/1870868","18-1870868")</f>
        <v>0</v>
      </c>
      <c r="B2594" t="s">
        <v>240</v>
      </c>
      <c r="C2594" t="s">
        <v>340</v>
      </c>
      <c r="D2594" t="s">
        <v>404</v>
      </c>
      <c r="F2594" t="s">
        <v>2316</v>
      </c>
      <c r="G2594" t="s">
        <v>5473</v>
      </c>
      <c r="H2594" t="s">
        <v>10800</v>
      </c>
      <c r="I2594" t="s">
        <v>17855</v>
      </c>
      <c r="J2594" t="s">
        <v>18894</v>
      </c>
      <c r="K2594">
        <v>11225</v>
      </c>
      <c r="L2594" t="s">
        <v>18958</v>
      </c>
      <c r="M2594" t="s">
        <v>18960</v>
      </c>
      <c r="O2594" t="s">
        <v>26526</v>
      </c>
      <c r="P2594" t="s">
        <v>26563</v>
      </c>
      <c r="R2594" t="s">
        <v>26578</v>
      </c>
      <c r="S2594" t="s">
        <v>18958</v>
      </c>
      <c r="T2594" t="s">
        <v>26601</v>
      </c>
      <c r="U2594" t="s">
        <v>26604</v>
      </c>
      <c r="W2594" t="s">
        <v>605</v>
      </c>
      <c r="X2594">
        <v>0</v>
      </c>
      <c r="Y2594" t="s">
        <v>26652</v>
      </c>
      <c r="Z2594" t="s">
        <v>26663</v>
      </c>
      <c r="AB2594" t="s">
        <v>28967</v>
      </c>
      <c r="AE2594">
        <v>47</v>
      </c>
      <c r="AF2594" t="s">
        <v>45541</v>
      </c>
      <c r="AG2594" t="s">
        <v>19330</v>
      </c>
      <c r="AH2594">
        <v>28</v>
      </c>
      <c r="AI2594">
        <v>1</v>
      </c>
      <c r="AJ2594">
        <v>0</v>
      </c>
      <c r="AK2594">
        <v>79.08</v>
      </c>
      <c r="AN2594" t="s">
        <v>7439</v>
      </c>
      <c r="AO2594">
        <v>9600</v>
      </c>
      <c r="AU2594">
        <v>1</v>
      </c>
      <c r="AV2594" t="s">
        <v>466</v>
      </c>
      <c r="AW2594" t="s">
        <v>237</v>
      </c>
    </row>
    <row r="2595" spans="1:49">
      <c r="A2595" s="1">
        <f>HYPERLINK("https://lsnyc.legalserver.org/matter/dynamic-profile/view/1872745","18-1872745")</f>
        <v>0</v>
      </c>
      <c r="B2595" t="s">
        <v>240</v>
      </c>
      <c r="C2595" t="s">
        <v>340</v>
      </c>
      <c r="D2595" t="s">
        <v>449</v>
      </c>
      <c r="F2595" t="s">
        <v>2272</v>
      </c>
      <c r="G2595" t="s">
        <v>3283</v>
      </c>
      <c r="H2595" t="s">
        <v>10800</v>
      </c>
      <c r="I2595" t="s">
        <v>17848</v>
      </c>
      <c r="J2595" t="s">
        <v>18894</v>
      </c>
      <c r="K2595">
        <v>11225</v>
      </c>
      <c r="L2595" t="s">
        <v>18958</v>
      </c>
      <c r="M2595" t="s">
        <v>18958</v>
      </c>
      <c r="O2595" t="s">
        <v>26526</v>
      </c>
      <c r="P2595" t="s">
        <v>26563</v>
      </c>
      <c r="R2595" t="s">
        <v>26578</v>
      </c>
      <c r="S2595" t="s">
        <v>18958</v>
      </c>
      <c r="T2595" t="s">
        <v>26601</v>
      </c>
      <c r="U2595" t="s">
        <v>26604</v>
      </c>
      <c r="V2595" t="s">
        <v>26610</v>
      </c>
      <c r="W2595" t="s">
        <v>605</v>
      </c>
      <c r="X2595">
        <v>813</v>
      </c>
      <c r="Y2595" t="s">
        <v>26652</v>
      </c>
      <c r="Z2595" t="s">
        <v>26663</v>
      </c>
      <c r="AB2595" t="s">
        <v>28968</v>
      </c>
      <c r="AE2595">
        <v>47</v>
      </c>
      <c r="AF2595" t="s">
        <v>45541</v>
      </c>
      <c r="AG2595" t="s">
        <v>45559</v>
      </c>
      <c r="AH2595">
        <v>43</v>
      </c>
      <c r="AI2595">
        <v>2</v>
      </c>
      <c r="AJ2595">
        <v>0</v>
      </c>
      <c r="AK2595">
        <v>150.18</v>
      </c>
      <c r="AO2595">
        <v>24720</v>
      </c>
      <c r="AU2595">
        <v>1</v>
      </c>
      <c r="AV2595" t="s">
        <v>449</v>
      </c>
      <c r="AW2595" t="s">
        <v>237</v>
      </c>
    </row>
    <row r="2596" spans="1:49">
      <c r="A2596" s="1">
        <f>HYPERLINK("https://lsnyc.legalserver.org/matter/dynamic-profile/view/1874517","18-1874517")</f>
        <v>0</v>
      </c>
      <c r="B2596" t="s">
        <v>240</v>
      </c>
      <c r="C2596" t="s">
        <v>340</v>
      </c>
      <c r="D2596" t="s">
        <v>498</v>
      </c>
      <c r="F2596" t="s">
        <v>1351</v>
      </c>
      <c r="G2596" t="s">
        <v>6174</v>
      </c>
      <c r="H2596" t="s">
        <v>11728</v>
      </c>
      <c r="I2596" t="s">
        <v>17856</v>
      </c>
      <c r="J2596" t="s">
        <v>18894</v>
      </c>
      <c r="K2596">
        <v>11209</v>
      </c>
      <c r="L2596" t="s">
        <v>18958</v>
      </c>
      <c r="M2596" t="s">
        <v>18958</v>
      </c>
      <c r="N2596" t="s">
        <v>20912</v>
      </c>
      <c r="O2596" t="s">
        <v>26533</v>
      </c>
      <c r="P2596" t="s">
        <v>26566</v>
      </c>
      <c r="R2596" t="s">
        <v>26578</v>
      </c>
      <c r="S2596" t="s">
        <v>18959</v>
      </c>
      <c r="U2596" t="s">
        <v>26604</v>
      </c>
      <c r="V2596" t="s">
        <v>26614</v>
      </c>
      <c r="W2596" t="s">
        <v>605</v>
      </c>
      <c r="X2596">
        <v>1729</v>
      </c>
      <c r="Y2596" t="s">
        <v>26652</v>
      </c>
      <c r="Z2596" t="s">
        <v>26664</v>
      </c>
      <c r="AB2596" t="s">
        <v>28335</v>
      </c>
      <c r="AD2596" t="s">
        <v>39024</v>
      </c>
      <c r="AE2596">
        <v>116</v>
      </c>
      <c r="AF2596" t="s">
        <v>20460</v>
      </c>
      <c r="AG2596" t="s">
        <v>19330</v>
      </c>
      <c r="AH2596">
        <v>9</v>
      </c>
      <c r="AI2596">
        <v>1</v>
      </c>
      <c r="AJ2596">
        <v>1</v>
      </c>
      <c r="AK2596">
        <v>191.96</v>
      </c>
      <c r="AN2596" t="s">
        <v>7439</v>
      </c>
      <c r="AO2596">
        <v>31596</v>
      </c>
      <c r="AU2596">
        <v>96.59999999999999</v>
      </c>
      <c r="AV2596" t="s">
        <v>826</v>
      </c>
      <c r="AW2596" t="s">
        <v>237</v>
      </c>
    </row>
    <row r="2597" spans="1:49">
      <c r="A2597" s="1">
        <f>HYPERLINK("https://lsnyc.legalserver.org/matter/dynamic-profile/view/1880491","18-1880491")</f>
        <v>0</v>
      </c>
      <c r="B2597" t="s">
        <v>165</v>
      </c>
      <c r="C2597" t="s">
        <v>340</v>
      </c>
      <c r="D2597" t="s">
        <v>600</v>
      </c>
      <c r="F2597" t="s">
        <v>2317</v>
      </c>
      <c r="G2597" t="s">
        <v>5664</v>
      </c>
      <c r="H2597" t="s">
        <v>11729</v>
      </c>
      <c r="I2597" t="s">
        <v>17857</v>
      </c>
      <c r="J2597" t="s">
        <v>18893</v>
      </c>
      <c r="K2597">
        <v>10037</v>
      </c>
      <c r="L2597" t="s">
        <v>18958</v>
      </c>
      <c r="M2597" t="s">
        <v>18958</v>
      </c>
      <c r="O2597" t="s">
        <v>26538</v>
      </c>
      <c r="P2597" t="s">
        <v>26561</v>
      </c>
      <c r="R2597" t="s">
        <v>26582</v>
      </c>
      <c r="S2597" t="s">
        <v>18959</v>
      </c>
      <c r="U2597" t="s">
        <v>26604</v>
      </c>
      <c r="W2597" t="s">
        <v>605</v>
      </c>
      <c r="X2597">
        <v>1204</v>
      </c>
      <c r="Y2597" t="s">
        <v>26651</v>
      </c>
      <c r="Z2597" t="s">
        <v>26659</v>
      </c>
      <c r="AB2597" t="s">
        <v>28969</v>
      </c>
      <c r="AD2597" t="s">
        <v>39025</v>
      </c>
      <c r="AE2597">
        <v>634</v>
      </c>
      <c r="AF2597" t="s">
        <v>45550</v>
      </c>
      <c r="AG2597" t="s">
        <v>19330</v>
      </c>
      <c r="AH2597">
        <v>7</v>
      </c>
      <c r="AI2597">
        <v>2</v>
      </c>
      <c r="AJ2597">
        <v>0</v>
      </c>
      <c r="AK2597">
        <v>121.51</v>
      </c>
      <c r="AO2597">
        <v>20000</v>
      </c>
      <c r="AU2597">
        <v>1.1</v>
      </c>
      <c r="AV2597" t="s">
        <v>829</v>
      </c>
      <c r="AW2597" t="s">
        <v>314</v>
      </c>
    </row>
    <row r="2598" spans="1:49">
      <c r="A2598" s="1">
        <f>HYPERLINK("https://lsnyc.legalserver.org/matter/dynamic-profile/view/1881030","18-1881030")</f>
        <v>0</v>
      </c>
      <c r="B2598" t="s">
        <v>169</v>
      </c>
      <c r="C2598" t="s">
        <v>341</v>
      </c>
      <c r="D2598" t="s">
        <v>605</v>
      </c>
      <c r="E2598" t="s">
        <v>712</v>
      </c>
      <c r="F2598" t="s">
        <v>1189</v>
      </c>
      <c r="G2598" t="s">
        <v>6518</v>
      </c>
      <c r="H2598" t="s">
        <v>11730</v>
      </c>
      <c r="I2598" t="s">
        <v>17273</v>
      </c>
      <c r="J2598" t="s">
        <v>18892</v>
      </c>
      <c r="K2598">
        <v>10459</v>
      </c>
      <c r="L2598" t="s">
        <v>18958</v>
      </c>
      <c r="M2598" t="s">
        <v>18958</v>
      </c>
      <c r="N2598" t="s">
        <v>20913</v>
      </c>
      <c r="O2598" t="s">
        <v>26523</v>
      </c>
      <c r="P2598" t="s">
        <v>26560</v>
      </c>
      <c r="Q2598" t="s">
        <v>26568</v>
      </c>
      <c r="R2598" t="s">
        <v>26578</v>
      </c>
      <c r="U2598" t="s">
        <v>26604</v>
      </c>
      <c r="V2598" t="s">
        <v>26611</v>
      </c>
      <c r="W2598" t="s">
        <v>605</v>
      </c>
      <c r="X2598">
        <v>1244</v>
      </c>
      <c r="Y2598" t="s">
        <v>26650</v>
      </c>
      <c r="Z2598" t="s">
        <v>26530</v>
      </c>
      <c r="AA2598" t="s">
        <v>26678</v>
      </c>
      <c r="AB2598" t="s">
        <v>28970</v>
      </c>
      <c r="AC2598" t="s">
        <v>35280</v>
      </c>
      <c r="AD2598" t="s">
        <v>39026</v>
      </c>
      <c r="AE2598">
        <v>64</v>
      </c>
      <c r="AF2598" t="s">
        <v>45541</v>
      </c>
      <c r="AG2598" t="s">
        <v>45556</v>
      </c>
      <c r="AH2598">
        <v>10</v>
      </c>
      <c r="AI2598">
        <v>2</v>
      </c>
      <c r="AJ2598">
        <v>0</v>
      </c>
      <c r="AK2598">
        <v>21.22</v>
      </c>
      <c r="AN2598" t="s">
        <v>7439</v>
      </c>
      <c r="AO2598">
        <v>3492</v>
      </c>
      <c r="AP2598" t="s">
        <v>45759</v>
      </c>
      <c r="AR2598" t="s">
        <v>46462</v>
      </c>
      <c r="AS2598" t="s">
        <v>46499</v>
      </c>
      <c r="AT2598" t="s">
        <v>46725</v>
      </c>
      <c r="AU2598">
        <v>6</v>
      </c>
      <c r="AV2598" t="s">
        <v>428</v>
      </c>
      <c r="AW2598" t="s">
        <v>46846</v>
      </c>
    </row>
    <row r="2599" spans="1:49">
      <c r="A2599" s="1">
        <f>HYPERLINK("https://lsnyc.legalserver.org/matter/dynamic-profile/view/1880980","18-1880980")</f>
        <v>0</v>
      </c>
      <c r="B2599" t="s">
        <v>147</v>
      </c>
      <c r="C2599" t="s">
        <v>341</v>
      </c>
      <c r="D2599" t="s">
        <v>605</v>
      </c>
      <c r="E2599" t="s">
        <v>759</v>
      </c>
      <c r="F2599" t="s">
        <v>1081</v>
      </c>
      <c r="G2599" t="s">
        <v>6048</v>
      </c>
      <c r="H2599" t="s">
        <v>11731</v>
      </c>
      <c r="I2599" t="s">
        <v>17858</v>
      </c>
      <c r="J2599" t="s">
        <v>18894</v>
      </c>
      <c r="K2599">
        <v>11218</v>
      </c>
      <c r="L2599" t="s">
        <v>18958</v>
      </c>
      <c r="M2599" t="s">
        <v>18958</v>
      </c>
      <c r="N2599" t="s">
        <v>20914</v>
      </c>
      <c r="O2599" t="s">
        <v>26524</v>
      </c>
      <c r="P2599" t="s">
        <v>26560</v>
      </c>
      <c r="Q2599" t="s">
        <v>26568</v>
      </c>
      <c r="R2599" t="s">
        <v>26578</v>
      </c>
      <c r="S2599" t="s">
        <v>18959</v>
      </c>
      <c r="U2599" t="s">
        <v>26604</v>
      </c>
      <c r="V2599" t="s">
        <v>26610</v>
      </c>
      <c r="W2599" t="s">
        <v>605</v>
      </c>
      <c r="X2599">
        <v>990</v>
      </c>
      <c r="Y2599" t="s">
        <v>26652</v>
      </c>
      <c r="AA2599" t="s">
        <v>26678</v>
      </c>
      <c r="AB2599" t="s">
        <v>28971</v>
      </c>
      <c r="AD2599" t="s">
        <v>39027</v>
      </c>
      <c r="AE2599">
        <v>138</v>
      </c>
      <c r="AF2599" t="s">
        <v>45541</v>
      </c>
      <c r="AG2599" t="s">
        <v>19330</v>
      </c>
      <c r="AH2599">
        <v>15</v>
      </c>
      <c r="AI2599">
        <v>1</v>
      </c>
      <c r="AJ2599">
        <v>0</v>
      </c>
      <c r="AK2599">
        <v>75.12</v>
      </c>
      <c r="AN2599" t="s">
        <v>7439</v>
      </c>
      <c r="AO2599">
        <v>9120</v>
      </c>
      <c r="AR2599" t="s">
        <v>46468</v>
      </c>
      <c r="AS2599" t="s">
        <v>46499</v>
      </c>
      <c r="AT2599" t="s">
        <v>46750</v>
      </c>
      <c r="AU2599">
        <v>23.6</v>
      </c>
      <c r="AV2599" t="s">
        <v>759</v>
      </c>
      <c r="AW2599" t="s">
        <v>147</v>
      </c>
    </row>
    <row r="2600" spans="1:49">
      <c r="A2600" s="1">
        <f>HYPERLINK("https://lsnyc.legalserver.org/matter/dynamic-profile/view/1881034","18-1881034")</f>
        <v>0</v>
      </c>
      <c r="B2600" t="s">
        <v>60</v>
      </c>
      <c r="C2600" t="s">
        <v>341</v>
      </c>
      <c r="D2600" t="s">
        <v>605</v>
      </c>
      <c r="E2600" t="s">
        <v>792</v>
      </c>
      <c r="F2600" t="s">
        <v>2318</v>
      </c>
      <c r="G2600" t="s">
        <v>6519</v>
      </c>
      <c r="H2600" t="s">
        <v>9648</v>
      </c>
      <c r="I2600" t="s">
        <v>17406</v>
      </c>
      <c r="J2600" t="s">
        <v>18892</v>
      </c>
      <c r="K2600">
        <v>10452</v>
      </c>
      <c r="L2600" t="s">
        <v>18958</v>
      </c>
      <c r="M2600" t="s">
        <v>18958</v>
      </c>
      <c r="N2600" t="s">
        <v>20915</v>
      </c>
      <c r="O2600" t="s">
        <v>26523</v>
      </c>
      <c r="P2600" t="s">
        <v>26560</v>
      </c>
      <c r="Q2600" t="s">
        <v>26568</v>
      </c>
      <c r="R2600" t="s">
        <v>26578</v>
      </c>
      <c r="S2600" t="s">
        <v>18959</v>
      </c>
      <c r="U2600" t="s">
        <v>26604</v>
      </c>
      <c r="V2600" t="s">
        <v>26610</v>
      </c>
      <c r="W2600" t="s">
        <v>605</v>
      </c>
      <c r="X2600">
        <v>1507</v>
      </c>
      <c r="Y2600" t="s">
        <v>26650</v>
      </c>
      <c r="Z2600" t="s">
        <v>26659</v>
      </c>
      <c r="AA2600" t="s">
        <v>26679</v>
      </c>
      <c r="AB2600" t="s">
        <v>28972</v>
      </c>
      <c r="AD2600" t="s">
        <v>39028</v>
      </c>
      <c r="AE2600">
        <v>122</v>
      </c>
      <c r="AF2600" t="s">
        <v>45541</v>
      </c>
      <c r="AG2600" t="s">
        <v>19330</v>
      </c>
      <c r="AH2600">
        <v>6</v>
      </c>
      <c r="AI2600">
        <v>2</v>
      </c>
      <c r="AJ2600">
        <v>2</v>
      </c>
      <c r="AK2600">
        <v>159.36</v>
      </c>
      <c r="AN2600" t="s">
        <v>7439</v>
      </c>
      <c r="AO2600">
        <v>40000</v>
      </c>
      <c r="AQ2600" t="s">
        <v>46362</v>
      </c>
      <c r="AR2600" t="s">
        <v>46412</v>
      </c>
      <c r="AT2600" t="s">
        <v>46558</v>
      </c>
      <c r="AU2600">
        <v>2.6</v>
      </c>
      <c r="AV2600" t="s">
        <v>747</v>
      </c>
      <c r="AW2600" t="s">
        <v>60</v>
      </c>
    </row>
    <row r="2601" spans="1:49">
      <c r="A2601" s="1">
        <f>HYPERLINK("https://lsnyc.legalserver.org/matter/dynamic-profile/view/1880952","18-1880952")</f>
        <v>0</v>
      </c>
      <c r="B2601" t="s">
        <v>64</v>
      </c>
      <c r="C2601" t="s">
        <v>341</v>
      </c>
      <c r="D2601" t="s">
        <v>605</v>
      </c>
      <c r="E2601" t="s">
        <v>646</v>
      </c>
      <c r="F2601" t="s">
        <v>2319</v>
      </c>
      <c r="G2601" t="s">
        <v>6520</v>
      </c>
      <c r="H2601" t="s">
        <v>11732</v>
      </c>
      <c r="I2601" t="s">
        <v>17301</v>
      </c>
      <c r="J2601" t="s">
        <v>18892</v>
      </c>
      <c r="K2601">
        <v>10453</v>
      </c>
      <c r="L2601" t="s">
        <v>18958</v>
      </c>
      <c r="M2601" t="s">
        <v>18958</v>
      </c>
      <c r="N2601" t="s">
        <v>20916</v>
      </c>
      <c r="O2601" t="s">
        <v>26524</v>
      </c>
      <c r="P2601" t="s">
        <v>26560</v>
      </c>
      <c r="Q2601" t="s">
        <v>26573</v>
      </c>
      <c r="R2601" t="s">
        <v>26577</v>
      </c>
      <c r="U2601" t="s">
        <v>26604</v>
      </c>
      <c r="V2601" t="s">
        <v>26610</v>
      </c>
      <c r="W2601" t="s">
        <v>605</v>
      </c>
      <c r="X2601">
        <v>863</v>
      </c>
      <c r="Y2601" t="s">
        <v>26650</v>
      </c>
      <c r="Z2601" t="s">
        <v>26664</v>
      </c>
      <c r="AA2601" t="s">
        <v>26678</v>
      </c>
      <c r="AB2601" t="s">
        <v>28973</v>
      </c>
      <c r="AD2601" t="s">
        <v>39029</v>
      </c>
      <c r="AE2601">
        <v>0</v>
      </c>
      <c r="AF2601" t="s">
        <v>45541</v>
      </c>
      <c r="AG2601" t="s">
        <v>19330</v>
      </c>
      <c r="AH2601">
        <v>38</v>
      </c>
      <c r="AI2601">
        <v>1</v>
      </c>
      <c r="AJ2601">
        <v>0</v>
      </c>
      <c r="AK2601">
        <v>304.78</v>
      </c>
      <c r="AL2601" t="s">
        <v>45572</v>
      </c>
      <c r="AM2601" t="s">
        <v>45575</v>
      </c>
      <c r="AN2601" t="s">
        <v>7439</v>
      </c>
      <c r="AO2601">
        <v>37000</v>
      </c>
      <c r="AP2601" t="s">
        <v>45641</v>
      </c>
      <c r="AQ2601" t="s">
        <v>46359</v>
      </c>
      <c r="AR2601" t="s">
        <v>46383</v>
      </c>
      <c r="AS2601" t="s">
        <v>46499</v>
      </c>
      <c r="AT2601" t="s">
        <v>46661</v>
      </c>
      <c r="AU2601">
        <v>4.5</v>
      </c>
      <c r="AV2601" t="s">
        <v>641</v>
      </c>
      <c r="AW2601" t="s">
        <v>334</v>
      </c>
    </row>
    <row r="2602" spans="1:49">
      <c r="A2602" s="1">
        <f>HYPERLINK("https://lsnyc.legalserver.org/matter/dynamic-profile/view/1881015","18-1881015")</f>
        <v>0</v>
      </c>
      <c r="B2602" t="s">
        <v>64</v>
      </c>
      <c r="C2602" t="s">
        <v>341</v>
      </c>
      <c r="D2602" t="s">
        <v>605</v>
      </c>
      <c r="E2602" t="s">
        <v>831</v>
      </c>
      <c r="F2602" t="s">
        <v>2320</v>
      </c>
      <c r="G2602" t="s">
        <v>6521</v>
      </c>
      <c r="H2602" t="s">
        <v>10162</v>
      </c>
      <c r="I2602" t="s">
        <v>17859</v>
      </c>
      <c r="J2602" t="s">
        <v>18892</v>
      </c>
      <c r="K2602">
        <v>10457</v>
      </c>
      <c r="L2602" t="s">
        <v>18958</v>
      </c>
      <c r="M2602" t="s">
        <v>18958</v>
      </c>
      <c r="N2602" t="s">
        <v>20917</v>
      </c>
      <c r="O2602" t="s">
        <v>26524</v>
      </c>
      <c r="P2602" t="s">
        <v>26560</v>
      </c>
      <c r="Q2602" t="s">
        <v>26568</v>
      </c>
      <c r="R2602" t="s">
        <v>26579</v>
      </c>
      <c r="U2602" t="s">
        <v>26604</v>
      </c>
      <c r="V2602" t="s">
        <v>26610</v>
      </c>
      <c r="W2602" t="s">
        <v>605</v>
      </c>
      <c r="X2602">
        <v>0</v>
      </c>
      <c r="Y2602" t="s">
        <v>26650</v>
      </c>
      <c r="Z2602" t="s">
        <v>26664</v>
      </c>
      <c r="AA2602" t="s">
        <v>26678</v>
      </c>
      <c r="AB2602" t="s">
        <v>28974</v>
      </c>
      <c r="AC2602" t="s">
        <v>35281</v>
      </c>
      <c r="AD2602" t="s">
        <v>39030</v>
      </c>
      <c r="AE2602">
        <v>0</v>
      </c>
      <c r="AF2602" t="s">
        <v>45551</v>
      </c>
      <c r="AG2602" t="s">
        <v>45556</v>
      </c>
      <c r="AH2602">
        <v>18</v>
      </c>
      <c r="AI2602">
        <v>2</v>
      </c>
      <c r="AJ2602">
        <v>2</v>
      </c>
      <c r="AK2602">
        <v>23.72</v>
      </c>
      <c r="AN2602" t="s">
        <v>7439</v>
      </c>
      <c r="AO2602">
        <v>5954</v>
      </c>
      <c r="AQ2602" t="s">
        <v>46359</v>
      </c>
      <c r="AR2602" t="s">
        <v>46380</v>
      </c>
      <c r="AS2602" t="s">
        <v>46499</v>
      </c>
      <c r="AU2602">
        <v>13.05</v>
      </c>
      <c r="AV2602" t="s">
        <v>777</v>
      </c>
      <c r="AW2602" t="s">
        <v>334</v>
      </c>
    </row>
    <row r="2603" spans="1:49">
      <c r="A2603" s="1">
        <f>HYPERLINK("https://lsnyc.legalserver.org/matter/dynamic-profile/view/1880953","18-1880953")</f>
        <v>0</v>
      </c>
      <c r="B2603" t="s">
        <v>161</v>
      </c>
      <c r="C2603" t="s">
        <v>341</v>
      </c>
      <c r="D2603" t="s">
        <v>605</v>
      </c>
      <c r="E2603" t="s">
        <v>427</v>
      </c>
      <c r="F2603" t="s">
        <v>2321</v>
      </c>
      <c r="G2603" t="s">
        <v>5501</v>
      </c>
      <c r="H2603" t="s">
        <v>11733</v>
      </c>
      <c r="J2603" t="s">
        <v>18901</v>
      </c>
      <c r="K2603">
        <v>11434</v>
      </c>
      <c r="L2603" t="s">
        <v>18958</v>
      </c>
      <c r="M2603" t="s">
        <v>18958</v>
      </c>
      <c r="N2603" t="s">
        <v>20918</v>
      </c>
      <c r="O2603" t="s">
        <v>26524</v>
      </c>
      <c r="P2603" t="s">
        <v>26564</v>
      </c>
      <c r="Q2603" t="s">
        <v>26570</v>
      </c>
      <c r="R2603" t="s">
        <v>26585</v>
      </c>
      <c r="S2603" t="s">
        <v>18959</v>
      </c>
      <c r="U2603" t="s">
        <v>26604</v>
      </c>
      <c r="V2603" t="s">
        <v>26614</v>
      </c>
      <c r="W2603" t="s">
        <v>605</v>
      </c>
      <c r="X2603">
        <v>0</v>
      </c>
      <c r="Y2603" t="s">
        <v>26653</v>
      </c>
      <c r="Z2603" t="s">
        <v>26655</v>
      </c>
      <c r="AA2603" t="s">
        <v>26683</v>
      </c>
      <c r="AB2603" t="s">
        <v>28975</v>
      </c>
      <c r="AC2603" t="s">
        <v>19045</v>
      </c>
      <c r="AD2603" t="s">
        <v>39031</v>
      </c>
      <c r="AE2603">
        <v>1</v>
      </c>
      <c r="AF2603" t="s">
        <v>45547</v>
      </c>
      <c r="AG2603" t="s">
        <v>19330</v>
      </c>
      <c r="AH2603">
        <v>21</v>
      </c>
      <c r="AI2603">
        <v>3</v>
      </c>
      <c r="AJ2603">
        <v>0</v>
      </c>
      <c r="AK2603">
        <v>117.03</v>
      </c>
      <c r="AN2603" t="s">
        <v>7439</v>
      </c>
      <c r="AO2603">
        <v>24319.36</v>
      </c>
      <c r="AU2603">
        <v>2.7</v>
      </c>
      <c r="AV2603" t="s">
        <v>427</v>
      </c>
      <c r="AW2603" t="s">
        <v>46846</v>
      </c>
    </row>
    <row r="2604" spans="1:49">
      <c r="A2604" s="1">
        <f>HYPERLINK("https://lsnyc.legalserver.org/matter/dynamic-profile/view/1881029","18-1881029")</f>
        <v>0</v>
      </c>
      <c r="B2604" t="s">
        <v>256</v>
      </c>
      <c r="C2604" t="s">
        <v>341</v>
      </c>
      <c r="D2604" t="s">
        <v>605</v>
      </c>
      <c r="E2604" t="s">
        <v>574</v>
      </c>
      <c r="F2604" t="s">
        <v>1025</v>
      </c>
      <c r="G2604" t="s">
        <v>6522</v>
      </c>
      <c r="H2604" t="s">
        <v>11734</v>
      </c>
      <c r="I2604" t="s">
        <v>17421</v>
      </c>
      <c r="J2604" t="s">
        <v>18894</v>
      </c>
      <c r="K2604">
        <v>11230</v>
      </c>
      <c r="L2604" t="s">
        <v>18958</v>
      </c>
      <c r="M2604" t="s">
        <v>18958</v>
      </c>
      <c r="O2604" t="s">
        <v>26531</v>
      </c>
      <c r="P2604" t="s">
        <v>26562</v>
      </c>
      <c r="Q2604" t="s">
        <v>26569</v>
      </c>
      <c r="R2604" t="s">
        <v>26578</v>
      </c>
      <c r="S2604" t="s">
        <v>18958</v>
      </c>
      <c r="U2604" t="s">
        <v>26604</v>
      </c>
      <c r="W2604" t="s">
        <v>605</v>
      </c>
      <c r="X2604">
        <v>710</v>
      </c>
      <c r="Y2604" t="s">
        <v>26652</v>
      </c>
      <c r="AA2604" t="s">
        <v>26685</v>
      </c>
      <c r="AB2604" t="s">
        <v>28976</v>
      </c>
      <c r="AD2604" t="s">
        <v>39032</v>
      </c>
      <c r="AE2604">
        <v>66</v>
      </c>
      <c r="AF2604" t="s">
        <v>45541</v>
      </c>
      <c r="AH2604">
        <v>41</v>
      </c>
      <c r="AI2604">
        <v>1</v>
      </c>
      <c r="AJ2604">
        <v>0</v>
      </c>
      <c r="AK2604">
        <v>296.54</v>
      </c>
      <c r="AN2604" t="s">
        <v>7439</v>
      </c>
      <c r="AO2604">
        <v>36000</v>
      </c>
      <c r="AU2604">
        <v>9.300000000000001</v>
      </c>
      <c r="AV2604" t="s">
        <v>415</v>
      </c>
      <c r="AW2604" t="s">
        <v>198</v>
      </c>
    </row>
    <row r="2605" spans="1:49">
      <c r="A2605" s="1">
        <f>HYPERLINK("https://lsnyc.legalserver.org/matter/dynamic-profile/view/1881028","18-1881028")</f>
        <v>0</v>
      </c>
      <c r="B2605" t="s">
        <v>106</v>
      </c>
      <c r="C2605" t="s">
        <v>341</v>
      </c>
      <c r="D2605" t="s">
        <v>605</v>
      </c>
      <c r="E2605" t="s">
        <v>668</v>
      </c>
      <c r="F2605" t="s">
        <v>2240</v>
      </c>
      <c r="G2605" t="s">
        <v>1938</v>
      </c>
      <c r="H2605" t="s">
        <v>11735</v>
      </c>
      <c r="I2605" t="s">
        <v>17338</v>
      </c>
      <c r="J2605" t="s">
        <v>18894</v>
      </c>
      <c r="K2605">
        <v>11216</v>
      </c>
      <c r="L2605" t="s">
        <v>18958</v>
      </c>
      <c r="M2605" t="s">
        <v>18958</v>
      </c>
      <c r="N2605" t="s">
        <v>20919</v>
      </c>
      <c r="O2605" t="s">
        <v>26523</v>
      </c>
      <c r="P2605" t="s">
        <v>26560</v>
      </c>
      <c r="Q2605" t="s">
        <v>26573</v>
      </c>
      <c r="R2605" t="s">
        <v>26588</v>
      </c>
      <c r="S2605" t="s">
        <v>18959</v>
      </c>
      <c r="U2605" t="s">
        <v>26604</v>
      </c>
      <c r="V2605" t="s">
        <v>26610</v>
      </c>
      <c r="W2605" t="s">
        <v>605</v>
      </c>
      <c r="X2605">
        <v>593</v>
      </c>
      <c r="Y2605" t="s">
        <v>26652</v>
      </c>
      <c r="Z2605" t="s">
        <v>26669</v>
      </c>
      <c r="AA2605" t="s">
        <v>26678</v>
      </c>
      <c r="AB2605" t="s">
        <v>28977</v>
      </c>
      <c r="AD2605" t="s">
        <v>39033</v>
      </c>
      <c r="AE2605">
        <v>84</v>
      </c>
      <c r="AF2605" t="s">
        <v>45543</v>
      </c>
      <c r="AG2605" t="s">
        <v>19330</v>
      </c>
      <c r="AH2605">
        <v>3</v>
      </c>
      <c r="AI2605">
        <v>1</v>
      </c>
      <c r="AJ2605">
        <v>1</v>
      </c>
      <c r="AK2605">
        <v>173.95</v>
      </c>
      <c r="AN2605" t="s">
        <v>7439</v>
      </c>
      <c r="AO2605">
        <v>28632</v>
      </c>
      <c r="AR2605" t="s">
        <v>46379</v>
      </c>
      <c r="AS2605" t="s">
        <v>46499</v>
      </c>
      <c r="AT2605" t="s">
        <v>46703</v>
      </c>
      <c r="AU2605">
        <v>7.5</v>
      </c>
      <c r="AV2605" t="s">
        <v>668</v>
      </c>
      <c r="AW2605" t="s">
        <v>46862</v>
      </c>
    </row>
    <row r="2606" spans="1:49">
      <c r="A2606" s="1">
        <f>HYPERLINK("https://lsnyc.legalserver.org/matter/dynamic-profile/view/1880330","18-1880330")</f>
        <v>0</v>
      </c>
      <c r="B2606" t="s">
        <v>109</v>
      </c>
      <c r="C2606" t="s">
        <v>340</v>
      </c>
      <c r="D2606" t="s">
        <v>605</v>
      </c>
      <c r="F2606" t="s">
        <v>2322</v>
      </c>
      <c r="G2606" t="s">
        <v>6523</v>
      </c>
      <c r="H2606" t="s">
        <v>11736</v>
      </c>
      <c r="J2606" t="s">
        <v>18902</v>
      </c>
      <c r="K2606">
        <v>10304</v>
      </c>
      <c r="L2606" t="s">
        <v>18958</v>
      </c>
      <c r="M2606" t="s">
        <v>18958</v>
      </c>
      <c r="N2606" t="s">
        <v>20920</v>
      </c>
      <c r="O2606" t="s">
        <v>26523</v>
      </c>
      <c r="P2606" t="s">
        <v>26560</v>
      </c>
      <c r="R2606" t="s">
        <v>26587</v>
      </c>
      <c r="S2606" t="s">
        <v>18959</v>
      </c>
      <c r="U2606" t="s">
        <v>26605</v>
      </c>
      <c r="V2606" t="s">
        <v>26611</v>
      </c>
      <c r="W2606" t="s">
        <v>605</v>
      </c>
      <c r="X2606">
        <v>0</v>
      </c>
      <c r="Y2606" t="s">
        <v>26654</v>
      </c>
      <c r="Z2606" t="s">
        <v>26668</v>
      </c>
      <c r="AB2606" t="s">
        <v>28978</v>
      </c>
      <c r="AD2606" t="s">
        <v>39034</v>
      </c>
      <c r="AE2606">
        <v>0</v>
      </c>
      <c r="AF2606" t="s">
        <v>45543</v>
      </c>
      <c r="AG2606" t="s">
        <v>45556</v>
      </c>
      <c r="AH2606">
        <v>19</v>
      </c>
      <c r="AI2606">
        <v>1</v>
      </c>
      <c r="AJ2606">
        <v>1</v>
      </c>
      <c r="AK2606">
        <v>172.27</v>
      </c>
      <c r="AN2606" t="s">
        <v>7439</v>
      </c>
      <c r="AO2606">
        <v>28356</v>
      </c>
      <c r="AU2606">
        <v>5.65</v>
      </c>
      <c r="AV2606" t="s">
        <v>704</v>
      </c>
      <c r="AW2606" t="s">
        <v>46855</v>
      </c>
    </row>
    <row r="2607" spans="1:49">
      <c r="A2607" s="1">
        <f>HYPERLINK("https://lsnyc.legalserver.org/matter/dynamic-profile/view/1880966","18-1880966")</f>
        <v>0</v>
      </c>
      <c r="B2607" t="s">
        <v>56</v>
      </c>
      <c r="C2607" t="s">
        <v>340</v>
      </c>
      <c r="D2607" t="s">
        <v>605</v>
      </c>
      <c r="F2607" t="s">
        <v>1764</v>
      </c>
      <c r="G2607" t="s">
        <v>5300</v>
      </c>
      <c r="H2607" t="s">
        <v>9659</v>
      </c>
      <c r="I2607" t="s">
        <v>17349</v>
      </c>
      <c r="J2607" t="s">
        <v>18892</v>
      </c>
      <c r="K2607">
        <v>10457</v>
      </c>
      <c r="L2607" t="s">
        <v>18958</v>
      </c>
      <c r="M2607" t="s">
        <v>18958</v>
      </c>
      <c r="N2607" t="s">
        <v>20921</v>
      </c>
      <c r="O2607" t="s">
        <v>26524</v>
      </c>
      <c r="P2607" t="s">
        <v>26560</v>
      </c>
      <c r="R2607" t="s">
        <v>26579</v>
      </c>
      <c r="U2607" t="s">
        <v>26604</v>
      </c>
      <c r="V2607" t="s">
        <v>26610</v>
      </c>
      <c r="W2607" t="s">
        <v>605</v>
      </c>
      <c r="X2607">
        <v>163</v>
      </c>
      <c r="Y2607" t="s">
        <v>26650</v>
      </c>
      <c r="Z2607" t="s">
        <v>26664</v>
      </c>
      <c r="AB2607" t="s">
        <v>27777</v>
      </c>
      <c r="AC2607" t="s">
        <v>35282</v>
      </c>
      <c r="AD2607" t="s">
        <v>39035</v>
      </c>
      <c r="AE2607">
        <v>0</v>
      </c>
      <c r="AF2607" t="s">
        <v>45554</v>
      </c>
      <c r="AG2607" t="s">
        <v>45556</v>
      </c>
      <c r="AH2607">
        <v>1</v>
      </c>
      <c r="AI2607">
        <v>1</v>
      </c>
      <c r="AJ2607">
        <v>0</v>
      </c>
      <c r="AK2607">
        <v>74.14</v>
      </c>
      <c r="AN2607" t="s">
        <v>7439</v>
      </c>
      <c r="AO2607">
        <v>9000</v>
      </c>
      <c r="AU2607">
        <v>6</v>
      </c>
      <c r="AV2607" t="s">
        <v>667</v>
      </c>
      <c r="AW2607" t="s">
        <v>334</v>
      </c>
    </row>
    <row r="2608" spans="1:49">
      <c r="A2608" s="1">
        <f>HYPERLINK("https://lsnyc.legalserver.org/matter/dynamic-profile/view/1881022","18-1881022")</f>
        <v>0</v>
      </c>
      <c r="B2608" t="s">
        <v>56</v>
      </c>
      <c r="C2608" t="s">
        <v>340</v>
      </c>
      <c r="D2608" t="s">
        <v>605</v>
      </c>
      <c r="F2608" t="s">
        <v>2323</v>
      </c>
      <c r="G2608" t="s">
        <v>6524</v>
      </c>
      <c r="H2608" t="s">
        <v>10007</v>
      </c>
      <c r="I2608" t="s">
        <v>17299</v>
      </c>
      <c r="J2608" t="s">
        <v>18892</v>
      </c>
      <c r="K2608">
        <v>10457</v>
      </c>
      <c r="L2608" t="s">
        <v>18958</v>
      </c>
      <c r="M2608" t="s">
        <v>18958</v>
      </c>
      <c r="N2608" t="s">
        <v>20922</v>
      </c>
      <c r="O2608" t="s">
        <v>26523</v>
      </c>
      <c r="P2608" t="s">
        <v>26560</v>
      </c>
      <c r="R2608" t="s">
        <v>26579</v>
      </c>
      <c r="U2608" t="s">
        <v>26604</v>
      </c>
      <c r="V2608" t="s">
        <v>26610</v>
      </c>
      <c r="W2608" t="s">
        <v>605</v>
      </c>
      <c r="X2608">
        <v>807.4400000000001</v>
      </c>
      <c r="Y2608" t="s">
        <v>26650</v>
      </c>
      <c r="Z2608" t="s">
        <v>26664</v>
      </c>
      <c r="AB2608" t="s">
        <v>28979</v>
      </c>
      <c r="AC2608" t="s">
        <v>35283</v>
      </c>
      <c r="AD2608" t="s">
        <v>39036</v>
      </c>
      <c r="AE2608">
        <v>0</v>
      </c>
      <c r="AF2608" t="s">
        <v>45541</v>
      </c>
      <c r="AG2608" t="s">
        <v>45559</v>
      </c>
      <c r="AH2608">
        <v>28</v>
      </c>
      <c r="AI2608">
        <v>1</v>
      </c>
      <c r="AJ2608">
        <v>0</v>
      </c>
      <c r="AK2608">
        <v>82.73</v>
      </c>
      <c r="AN2608" t="s">
        <v>7439</v>
      </c>
      <c r="AO2608">
        <v>10044</v>
      </c>
      <c r="AU2608">
        <v>9</v>
      </c>
      <c r="AV2608" t="s">
        <v>800</v>
      </c>
      <c r="AW2608" t="s">
        <v>334</v>
      </c>
    </row>
    <row r="2609" spans="1:50">
      <c r="A2609" s="1">
        <f>HYPERLINK("https://lsnyc.legalserver.org/matter/dynamic-profile/view/1880978","18-1880978")</f>
        <v>0</v>
      </c>
      <c r="B2609" t="s">
        <v>64</v>
      </c>
      <c r="C2609" t="s">
        <v>340</v>
      </c>
      <c r="D2609" t="s">
        <v>605</v>
      </c>
      <c r="F2609" t="s">
        <v>2324</v>
      </c>
      <c r="G2609" t="s">
        <v>6525</v>
      </c>
      <c r="H2609" t="s">
        <v>11737</v>
      </c>
      <c r="I2609" t="s">
        <v>17272</v>
      </c>
      <c r="J2609" t="s">
        <v>18892</v>
      </c>
      <c r="K2609">
        <v>10468</v>
      </c>
      <c r="L2609" t="s">
        <v>18958</v>
      </c>
      <c r="M2609" t="s">
        <v>18958</v>
      </c>
      <c r="N2609" t="s">
        <v>20923</v>
      </c>
      <c r="O2609" t="s">
        <v>26523</v>
      </c>
      <c r="P2609" t="s">
        <v>26560</v>
      </c>
      <c r="R2609" t="s">
        <v>26579</v>
      </c>
      <c r="S2609" t="s">
        <v>18959</v>
      </c>
      <c r="U2609" t="s">
        <v>26604</v>
      </c>
      <c r="V2609" t="s">
        <v>26610</v>
      </c>
      <c r="W2609" t="s">
        <v>605</v>
      </c>
      <c r="X2609">
        <v>1059.25</v>
      </c>
      <c r="Y2609" t="s">
        <v>26650</v>
      </c>
      <c r="Z2609" t="s">
        <v>26664</v>
      </c>
      <c r="AB2609" t="s">
        <v>28980</v>
      </c>
      <c r="AC2609" t="s">
        <v>35284</v>
      </c>
      <c r="AD2609" t="s">
        <v>39037</v>
      </c>
      <c r="AE2609">
        <v>0</v>
      </c>
      <c r="AF2609" t="s">
        <v>45541</v>
      </c>
      <c r="AG2609" t="s">
        <v>19330</v>
      </c>
      <c r="AH2609">
        <v>25</v>
      </c>
      <c r="AI2609">
        <v>3</v>
      </c>
      <c r="AJ2609">
        <v>0</v>
      </c>
      <c r="AK2609">
        <v>199.71</v>
      </c>
      <c r="AN2609" t="s">
        <v>45581</v>
      </c>
      <c r="AO2609">
        <v>41500</v>
      </c>
      <c r="AU2609">
        <v>15.7</v>
      </c>
      <c r="AV2609" t="s">
        <v>832</v>
      </c>
      <c r="AW2609" t="s">
        <v>334</v>
      </c>
    </row>
    <row r="2610" spans="1:50">
      <c r="A2610" s="1">
        <f>HYPERLINK("https://lsnyc.legalserver.org/matter/dynamic-profile/view/1881008","18-1881008")</f>
        <v>0</v>
      </c>
      <c r="B2610" t="s">
        <v>188</v>
      </c>
      <c r="C2610" t="s">
        <v>340</v>
      </c>
      <c r="D2610" t="s">
        <v>605</v>
      </c>
      <c r="F2610" t="s">
        <v>2325</v>
      </c>
      <c r="G2610" t="s">
        <v>5849</v>
      </c>
      <c r="H2610" t="s">
        <v>11738</v>
      </c>
      <c r="I2610" t="s">
        <v>17278</v>
      </c>
      <c r="J2610" t="s">
        <v>18892</v>
      </c>
      <c r="K2610">
        <v>10458</v>
      </c>
      <c r="L2610" t="s">
        <v>18958</v>
      </c>
      <c r="M2610" t="s">
        <v>18958</v>
      </c>
      <c r="N2610" t="s">
        <v>20924</v>
      </c>
      <c r="O2610" t="s">
        <v>26524</v>
      </c>
      <c r="P2610" t="s">
        <v>26560</v>
      </c>
      <c r="R2610" t="s">
        <v>26578</v>
      </c>
      <c r="S2610" t="s">
        <v>18959</v>
      </c>
      <c r="U2610" t="s">
        <v>26604</v>
      </c>
      <c r="V2610" t="s">
        <v>26611</v>
      </c>
      <c r="W2610" t="s">
        <v>605</v>
      </c>
      <c r="X2610">
        <v>0</v>
      </c>
      <c r="Y2610" t="s">
        <v>26650</v>
      </c>
      <c r="Z2610" t="s">
        <v>26660</v>
      </c>
      <c r="AB2610" t="s">
        <v>28981</v>
      </c>
      <c r="AD2610" t="s">
        <v>39038</v>
      </c>
      <c r="AE2610">
        <v>69</v>
      </c>
      <c r="AF2610" t="s">
        <v>45541</v>
      </c>
      <c r="AG2610" t="s">
        <v>45556</v>
      </c>
      <c r="AH2610">
        <v>5</v>
      </c>
      <c r="AI2610">
        <v>3</v>
      </c>
      <c r="AJ2610">
        <v>0</v>
      </c>
      <c r="AK2610">
        <v>96.25</v>
      </c>
      <c r="AN2610" t="s">
        <v>7439</v>
      </c>
      <c r="AO2610">
        <v>20000</v>
      </c>
      <c r="AU2610">
        <v>120.4</v>
      </c>
      <c r="AV2610" t="s">
        <v>836</v>
      </c>
      <c r="AW2610" t="s">
        <v>336</v>
      </c>
    </row>
    <row r="2611" spans="1:50">
      <c r="A2611" s="1">
        <f>HYPERLINK("https://lsnyc.legalserver.org/matter/dynamic-profile/view/1881032","18-1881032")</f>
        <v>0</v>
      </c>
      <c r="B2611" t="s">
        <v>54</v>
      </c>
      <c r="C2611" t="s">
        <v>340</v>
      </c>
      <c r="D2611" t="s">
        <v>605</v>
      </c>
      <c r="F2611" t="s">
        <v>923</v>
      </c>
      <c r="G2611" t="s">
        <v>6526</v>
      </c>
      <c r="H2611" t="s">
        <v>11739</v>
      </c>
      <c r="I2611" t="s">
        <v>17288</v>
      </c>
      <c r="J2611" t="s">
        <v>18892</v>
      </c>
      <c r="K2611">
        <v>10467</v>
      </c>
      <c r="L2611" t="s">
        <v>18958</v>
      </c>
      <c r="M2611" t="s">
        <v>18958</v>
      </c>
      <c r="N2611" t="s">
        <v>20925</v>
      </c>
      <c r="O2611" t="s">
        <v>26523</v>
      </c>
      <c r="P2611" t="s">
        <v>26560</v>
      </c>
      <c r="R2611" t="s">
        <v>26579</v>
      </c>
      <c r="S2611" t="s">
        <v>18959</v>
      </c>
      <c r="U2611" t="s">
        <v>26604</v>
      </c>
      <c r="V2611" t="s">
        <v>26610</v>
      </c>
      <c r="W2611" t="s">
        <v>605</v>
      </c>
      <c r="X2611">
        <v>1300</v>
      </c>
      <c r="Y2611" t="s">
        <v>26650</v>
      </c>
      <c r="Z2611" t="s">
        <v>26668</v>
      </c>
      <c r="AB2611" t="s">
        <v>28982</v>
      </c>
      <c r="AC2611" t="s">
        <v>35285</v>
      </c>
      <c r="AD2611" t="s">
        <v>39039</v>
      </c>
      <c r="AE2611">
        <v>48</v>
      </c>
      <c r="AF2611" t="s">
        <v>45541</v>
      </c>
      <c r="AG2611" t="s">
        <v>45561</v>
      </c>
      <c r="AH2611">
        <v>9</v>
      </c>
      <c r="AI2611">
        <v>1</v>
      </c>
      <c r="AJ2611">
        <v>0</v>
      </c>
      <c r="AK2611">
        <v>69.19</v>
      </c>
      <c r="AN2611" t="s">
        <v>7439</v>
      </c>
      <c r="AO2611">
        <v>8400</v>
      </c>
      <c r="AQ2611" t="s">
        <v>46362</v>
      </c>
      <c r="AR2611" t="s">
        <v>46415</v>
      </c>
      <c r="AS2611" t="s">
        <v>46499</v>
      </c>
      <c r="AT2611" t="s">
        <v>46751</v>
      </c>
      <c r="AU2611">
        <v>27.7</v>
      </c>
      <c r="AV2611" t="s">
        <v>822</v>
      </c>
      <c r="AW2611" t="s">
        <v>46832</v>
      </c>
    </row>
    <row r="2612" spans="1:50">
      <c r="A2612" s="1">
        <f>HYPERLINK("https://lsnyc.legalserver.org/matter/dynamic-profile/view/1882611","18-1882611")</f>
        <v>0</v>
      </c>
      <c r="B2612" t="s">
        <v>223</v>
      </c>
      <c r="C2612" t="s">
        <v>341</v>
      </c>
      <c r="D2612" t="s">
        <v>637</v>
      </c>
      <c r="E2612" t="s">
        <v>452</v>
      </c>
      <c r="F2612" t="s">
        <v>1527</v>
      </c>
      <c r="G2612" t="s">
        <v>6527</v>
      </c>
      <c r="H2612" t="s">
        <v>11740</v>
      </c>
      <c r="I2612" t="s">
        <v>17860</v>
      </c>
      <c r="J2612" t="s">
        <v>18892</v>
      </c>
      <c r="K2612">
        <v>10457</v>
      </c>
      <c r="L2612" t="s">
        <v>18958</v>
      </c>
      <c r="M2612" t="s">
        <v>18958</v>
      </c>
      <c r="O2612" t="s">
        <v>18997</v>
      </c>
      <c r="P2612" t="s">
        <v>26564</v>
      </c>
      <c r="Q2612" t="s">
        <v>26570</v>
      </c>
      <c r="R2612" t="s">
        <v>26589</v>
      </c>
      <c r="S2612" t="s">
        <v>18959</v>
      </c>
      <c r="U2612" t="s">
        <v>26605</v>
      </c>
      <c r="V2612" t="s">
        <v>26610</v>
      </c>
      <c r="W2612" t="s">
        <v>605</v>
      </c>
      <c r="X2612">
        <v>0</v>
      </c>
      <c r="Y2612" t="s">
        <v>26651</v>
      </c>
      <c r="Z2612" t="s">
        <v>26671</v>
      </c>
      <c r="AA2612" t="s">
        <v>26683</v>
      </c>
      <c r="AB2612" t="s">
        <v>28983</v>
      </c>
      <c r="AD2612" t="s">
        <v>39040</v>
      </c>
      <c r="AE2612">
        <v>58</v>
      </c>
      <c r="AF2612" t="s">
        <v>45542</v>
      </c>
      <c r="AG2612" t="s">
        <v>19330</v>
      </c>
      <c r="AH2612">
        <v>0</v>
      </c>
      <c r="AI2612">
        <v>1</v>
      </c>
      <c r="AJ2612">
        <v>3</v>
      </c>
      <c r="AK2612">
        <v>62.01</v>
      </c>
      <c r="AL2612" t="s">
        <v>45567</v>
      </c>
      <c r="AM2612" t="s">
        <v>45577</v>
      </c>
      <c r="AN2612" t="s">
        <v>7439</v>
      </c>
      <c r="AO2612">
        <v>15564</v>
      </c>
      <c r="AU2612">
        <v>0.5</v>
      </c>
      <c r="AV2612" t="s">
        <v>675</v>
      </c>
      <c r="AW2612" t="s">
        <v>46835</v>
      </c>
    </row>
    <row r="2613" spans="1:50">
      <c r="A2613" s="1">
        <f>HYPERLINK("https://lsnyc.legalserver.org/matter/dynamic-profile/view/1841877","17-1841877")</f>
        <v>0</v>
      </c>
      <c r="B2613" t="s">
        <v>109</v>
      </c>
      <c r="C2613" t="s">
        <v>341</v>
      </c>
      <c r="D2613" t="s">
        <v>610</v>
      </c>
      <c r="E2613" t="s">
        <v>848</v>
      </c>
      <c r="F2613" t="s">
        <v>887</v>
      </c>
      <c r="G2613" t="s">
        <v>1263</v>
      </c>
      <c r="H2613" t="s">
        <v>11741</v>
      </c>
      <c r="I2613" t="s">
        <v>17322</v>
      </c>
      <c r="J2613" t="s">
        <v>18902</v>
      </c>
      <c r="K2613">
        <v>10303</v>
      </c>
      <c r="L2613" t="s">
        <v>18958</v>
      </c>
      <c r="M2613" t="s">
        <v>18958</v>
      </c>
      <c r="N2613" t="s">
        <v>20926</v>
      </c>
      <c r="O2613" t="s">
        <v>26524</v>
      </c>
      <c r="P2613" t="s">
        <v>26560</v>
      </c>
      <c r="Q2613" t="s">
        <v>26568</v>
      </c>
      <c r="R2613" t="s">
        <v>26590</v>
      </c>
      <c r="S2613" t="s">
        <v>18959</v>
      </c>
      <c r="U2613" t="s">
        <v>26604</v>
      </c>
      <c r="V2613" t="s">
        <v>26610</v>
      </c>
      <c r="W2613" t="s">
        <v>848</v>
      </c>
      <c r="X2613">
        <v>1122</v>
      </c>
      <c r="Y2613" t="s">
        <v>26654</v>
      </c>
      <c r="Z2613" t="s">
        <v>26659</v>
      </c>
      <c r="AA2613" t="s">
        <v>26679</v>
      </c>
      <c r="AB2613" t="s">
        <v>28984</v>
      </c>
      <c r="AD2613" t="s">
        <v>39041</v>
      </c>
      <c r="AE2613">
        <v>10</v>
      </c>
      <c r="AF2613" t="s">
        <v>45541</v>
      </c>
      <c r="AG2613" t="s">
        <v>45556</v>
      </c>
      <c r="AH2613">
        <v>2</v>
      </c>
      <c r="AI2613">
        <v>1</v>
      </c>
      <c r="AJ2613">
        <v>0</v>
      </c>
      <c r="AK2613">
        <v>74.03</v>
      </c>
      <c r="AN2613" t="s">
        <v>7439</v>
      </c>
      <c r="AO2613">
        <v>8928</v>
      </c>
      <c r="AR2613" t="s">
        <v>26530</v>
      </c>
      <c r="AS2613" t="s">
        <v>46500</v>
      </c>
      <c r="AT2613" t="s">
        <v>46568</v>
      </c>
      <c r="AU2613">
        <v>67.70999999999999</v>
      </c>
      <c r="AV2613" t="s">
        <v>848</v>
      </c>
      <c r="AW2613" t="s">
        <v>46873</v>
      </c>
    </row>
    <row r="2614" spans="1:50">
      <c r="A2614" s="1">
        <f>HYPERLINK("https://lsnyc.legalserver.org/matter/dynamic-profile/view/1850652","17-1850652")</f>
        <v>0</v>
      </c>
      <c r="B2614" t="s">
        <v>109</v>
      </c>
      <c r="C2614" t="s">
        <v>341</v>
      </c>
      <c r="D2614" t="s">
        <v>638</v>
      </c>
      <c r="E2614" t="s">
        <v>848</v>
      </c>
      <c r="F2614" t="s">
        <v>887</v>
      </c>
      <c r="G2614" t="s">
        <v>1263</v>
      </c>
      <c r="H2614" t="s">
        <v>11741</v>
      </c>
      <c r="I2614" t="s">
        <v>17322</v>
      </c>
      <c r="J2614" t="s">
        <v>18902</v>
      </c>
      <c r="K2614">
        <v>10303</v>
      </c>
      <c r="L2614" t="s">
        <v>18958</v>
      </c>
      <c r="M2614" t="s">
        <v>18958</v>
      </c>
      <c r="O2614" t="s">
        <v>26542</v>
      </c>
      <c r="P2614" t="s">
        <v>26561</v>
      </c>
      <c r="Q2614" t="s">
        <v>26572</v>
      </c>
      <c r="R2614" t="s">
        <v>26587</v>
      </c>
      <c r="S2614" t="s">
        <v>18959</v>
      </c>
      <c r="U2614" t="s">
        <v>26604</v>
      </c>
      <c r="V2614" t="s">
        <v>26610</v>
      </c>
      <c r="W2614" t="s">
        <v>848</v>
      </c>
      <c r="X2614">
        <v>1100</v>
      </c>
      <c r="Y2614" t="s">
        <v>26654</v>
      </c>
      <c r="Z2614" t="s">
        <v>26659</v>
      </c>
      <c r="AA2614" t="s">
        <v>26686</v>
      </c>
      <c r="AB2614" t="s">
        <v>28984</v>
      </c>
      <c r="AD2614" t="s">
        <v>39041</v>
      </c>
      <c r="AE2614">
        <v>10</v>
      </c>
      <c r="AF2614" t="s">
        <v>45547</v>
      </c>
      <c r="AH2614">
        <v>2</v>
      </c>
      <c r="AI2614">
        <v>1</v>
      </c>
      <c r="AJ2614">
        <v>0</v>
      </c>
      <c r="AK2614">
        <v>74.03</v>
      </c>
      <c r="AN2614" t="s">
        <v>7439</v>
      </c>
      <c r="AO2614">
        <v>8928</v>
      </c>
      <c r="AQ2614" t="s">
        <v>46369</v>
      </c>
      <c r="AR2614" t="s">
        <v>46410</v>
      </c>
      <c r="AS2614" t="s">
        <v>46500</v>
      </c>
      <c r="AT2614" t="s">
        <v>46568</v>
      </c>
      <c r="AU2614">
        <v>15.11</v>
      </c>
      <c r="AV2614" t="s">
        <v>848</v>
      </c>
      <c r="AW2614" t="s">
        <v>46852</v>
      </c>
    </row>
    <row r="2615" spans="1:50">
      <c r="A2615" s="1">
        <f>HYPERLINK("https://lsnyc.legalserver.org/matter/dynamic-profile/view/1878072","18-1878072")</f>
        <v>0</v>
      </c>
      <c r="B2615" t="s">
        <v>60</v>
      </c>
      <c r="C2615" t="s">
        <v>340</v>
      </c>
      <c r="D2615" t="s">
        <v>534</v>
      </c>
      <c r="F2615" t="s">
        <v>2326</v>
      </c>
      <c r="G2615" t="s">
        <v>6528</v>
      </c>
      <c r="H2615" t="s">
        <v>11742</v>
      </c>
      <c r="I2615" t="s">
        <v>17276</v>
      </c>
      <c r="J2615" t="s">
        <v>18892</v>
      </c>
      <c r="K2615">
        <v>10453</v>
      </c>
      <c r="L2615" t="s">
        <v>18958</v>
      </c>
      <c r="M2615" t="s">
        <v>18958</v>
      </c>
      <c r="N2615" t="s">
        <v>20927</v>
      </c>
      <c r="O2615" t="s">
        <v>26526</v>
      </c>
      <c r="P2615" t="s">
        <v>26560</v>
      </c>
      <c r="R2615" t="s">
        <v>26578</v>
      </c>
      <c r="S2615" t="s">
        <v>18959</v>
      </c>
      <c r="U2615" t="s">
        <v>26604</v>
      </c>
      <c r="W2615" t="s">
        <v>848</v>
      </c>
      <c r="X2615">
        <v>1437</v>
      </c>
      <c r="Y2615" t="s">
        <v>26650</v>
      </c>
      <c r="Z2615" t="s">
        <v>26659</v>
      </c>
      <c r="AB2615" t="s">
        <v>28985</v>
      </c>
      <c r="AD2615" t="s">
        <v>39042</v>
      </c>
      <c r="AE2615">
        <v>53</v>
      </c>
      <c r="AF2615" t="s">
        <v>45541</v>
      </c>
      <c r="AG2615" t="s">
        <v>45556</v>
      </c>
      <c r="AH2615">
        <v>25</v>
      </c>
      <c r="AI2615">
        <v>1</v>
      </c>
      <c r="AJ2615">
        <v>0</v>
      </c>
      <c r="AK2615">
        <v>102.5</v>
      </c>
      <c r="AN2615" t="s">
        <v>45581</v>
      </c>
      <c r="AO2615">
        <v>12444</v>
      </c>
      <c r="AU2615">
        <v>15.25</v>
      </c>
      <c r="AV2615" t="s">
        <v>665</v>
      </c>
      <c r="AW2615" t="s">
        <v>336</v>
      </c>
    </row>
    <row r="2616" spans="1:50">
      <c r="A2616" s="1">
        <f>HYPERLINK("https://lsnyc.legalserver.org/matter/dynamic-profile/view/1883603","18-1883603")</f>
        <v>0</v>
      </c>
      <c r="B2616" t="s">
        <v>157</v>
      </c>
      <c r="C2616" t="s">
        <v>341</v>
      </c>
      <c r="D2616" t="s">
        <v>603</v>
      </c>
      <c r="E2616" t="s">
        <v>689</v>
      </c>
      <c r="F2616" t="s">
        <v>1228</v>
      </c>
      <c r="G2616" t="s">
        <v>6529</v>
      </c>
      <c r="H2616" t="s">
        <v>11743</v>
      </c>
      <c r="I2616" t="s">
        <v>17748</v>
      </c>
      <c r="J2616" t="s">
        <v>18893</v>
      </c>
      <c r="K2616">
        <v>10032</v>
      </c>
      <c r="L2616" t="s">
        <v>18958</v>
      </c>
      <c r="M2616" t="s">
        <v>18958</v>
      </c>
      <c r="P2616" t="s">
        <v>26564</v>
      </c>
      <c r="Q2616" t="s">
        <v>26570</v>
      </c>
      <c r="R2616" t="s">
        <v>26578</v>
      </c>
      <c r="S2616" t="s">
        <v>18959</v>
      </c>
      <c r="U2616" t="s">
        <v>26604</v>
      </c>
      <c r="W2616" t="s">
        <v>848</v>
      </c>
      <c r="X2616">
        <v>916.09</v>
      </c>
      <c r="Y2616" t="s">
        <v>26651</v>
      </c>
      <c r="Z2616" t="s">
        <v>26661</v>
      </c>
      <c r="AA2616" t="s">
        <v>26683</v>
      </c>
      <c r="AB2616" t="s">
        <v>28986</v>
      </c>
      <c r="AD2616" t="s">
        <v>39043</v>
      </c>
      <c r="AE2616">
        <v>115</v>
      </c>
      <c r="AF2616" t="s">
        <v>45541</v>
      </c>
      <c r="AG2616" t="s">
        <v>19330</v>
      </c>
      <c r="AH2616">
        <v>39</v>
      </c>
      <c r="AI2616">
        <v>1</v>
      </c>
      <c r="AJ2616">
        <v>0</v>
      </c>
      <c r="AK2616">
        <v>0</v>
      </c>
      <c r="AN2616" t="s">
        <v>7439</v>
      </c>
      <c r="AO2616">
        <v>0</v>
      </c>
      <c r="AU2616">
        <v>1.15</v>
      </c>
      <c r="AV2616" t="s">
        <v>689</v>
      </c>
      <c r="AW2616" t="s">
        <v>46840</v>
      </c>
    </row>
    <row r="2617" spans="1:50">
      <c r="A2617" s="1">
        <f>HYPERLINK("https://lsnyc.legalserver.org/matter/dynamic-profile/view/1864890","18-1864890")</f>
        <v>0</v>
      </c>
      <c r="B2617" t="s">
        <v>240</v>
      </c>
      <c r="C2617" t="s">
        <v>340</v>
      </c>
      <c r="D2617" t="s">
        <v>489</v>
      </c>
      <c r="F2617" t="s">
        <v>969</v>
      </c>
      <c r="G2617" t="s">
        <v>5936</v>
      </c>
      <c r="H2617" t="s">
        <v>10799</v>
      </c>
      <c r="I2617" t="s">
        <v>17648</v>
      </c>
      <c r="J2617" t="s">
        <v>18894</v>
      </c>
      <c r="K2617">
        <v>11226</v>
      </c>
      <c r="L2617" t="s">
        <v>18958</v>
      </c>
      <c r="M2617" t="s">
        <v>18958</v>
      </c>
      <c r="O2617" t="s">
        <v>26529</v>
      </c>
      <c r="P2617" t="s">
        <v>26562</v>
      </c>
      <c r="R2617" t="s">
        <v>26578</v>
      </c>
      <c r="S2617" t="s">
        <v>18958</v>
      </c>
      <c r="U2617" t="s">
        <v>26604</v>
      </c>
      <c r="W2617" t="s">
        <v>639</v>
      </c>
      <c r="X2617">
        <v>884</v>
      </c>
      <c r="Y2617" t="s">
        <v>26652</v>
      </c>
      <c r="Z2617" t="s">
        <v>26663</v>
      </c>
      <c r="AB2617" t="s">
        <v>27957</v>
      </c>
      <c r="AE2617">
        <v>6</v>
      </c>
      <c r="AF2617" t="s">
        <v>45541</v>
      </c>
      <c r="AG2617" t="s">
        <v>19330</v>
      </c>
      <c r="AH2617">
        <v>16</v>
      </c>
      <c r="AI2617">
        <v>2</v>
      </c>
      <c r="AJ2617">
        <v>1</v>
      </c>
      <c r="AK2617">
        <v>75.06999999999999</v>
      </c>
      <c r="AN2617" t="s">
        <v>7439</v>
      </c>
      <c r="AO2617">
        <v>15600</v>
      </c>
      <c r="AU2617">
        <v>0.6</v>
      </c>
      <c r="AV2617" t="s">
        <v>434</v>
      </c>
      <c r="AW2617" t="s">
        <v>237</v>
      </c>
    </row>
    <row r="2618" spans="1:50">
      <c r="A2618" s="1">
        <f>HYPERLINK("https://lsnyc.legalserver.org/matter/dynamic-profile/view/1867935","18-1867935")</f>
        <v>0</v>
      </c>
      <c r="B2618" t="s">
        <v>240</v>
      </c>
      <c r="C2618" t="s">
        <v>340</v>
      </c>
      <c r="D2618" t="s">
        <v>391</v>
      </c>
      <c r="F2618" t="s">
        <v>1545</v>
      </c>
      <c r="G2618" t="s">
        <v>6530</v>
      </c>
      <c r="H2618" t="s">
        <v>11744</v>
      </c>
      <c r="I2618" t="s">
        <v>17517</v>
      </c>
      <c r="J2618" t="s">
        <v>18894</v>
      </c>
      <c r="K2618">
        <v>11226</v>
      </c>
      <c r="L2618" t="s">
        <v>18958</v>
      </c>
      <c r="M2618" t="s">
        <v>18958</v>
      </c>
      <c r="N2618" t="s">
        <v>20928</v>
      </c>
      <c r="O2618" t="s">
        <v>26523</v>
      </c>
      <c r="P2618" t="s">
        <v>26560</v>
      </c>
      <c r="R2618" t="s">
        <v>26578</v>
      </c>
      <c r="S2618" t="s">
        <v>18958</v>
      </c>
      <c r="T2618" t="s">
        <v>26601</v>
      </c>
      <c r="U2618" t="s">
        <v>26604</v>
      </c>
      <c r="W2618" t="s">
        <v>639</v>
      </c>
      <c r="X2618">
        <v>1250</v>
      </c>
      <c r="Y2618" t="s">
        <v>26652</v>
      </c>
      <c r="Z2618" t="s">
        <v>26666</v>
      </c>
      <c r="AB2618" t="s">
        <v>28987</v>
      </c>
      <c r="AE2618">
        <v>6</v>
      </c>
      <c r="AF2618" t="s">
        <v>45541</v>
      </c>
      <c r="AG2618" t="s">
        <v>19330</v>
      </c>
      <c r="AH2618">
        <v>1</v>
      </c>
      <c r="AI2618">
        <v>1</v>
      </c>
      <c r="AJ2618">
        <v>0</v>
      </c>
      <c r="AK2618">
        <v>420.1</v>
      </c>
      <c r="AN2618" t="s">
        <v>7439</v>
      </c>
      <c r="AO2618">
        <v>51000</v>
      </c>
      <c r="AU2618">
        <v>12</v>
      </c>
      <c r="AV2618" t="s">
        <v>745</v>
      </c>
      <c r="AW2618" t="s">
        <v>237</v>
      </c>
    </row>
    <row r="2619" spans="1:50">
      <c r="A2619" s="1">
        <f>HYPERLINK("https://lsnyc.legalserver.org/matter/dynamic-profile/view/1868512","18-1868512")</f>
        <v>0</v>
      </c>
      <c r="B2619" t="s">
        <v>130</v>
      </c>
      <c r="C2619" t="s">
        <v>341</v>
      </c>
      <c r="D2619" t="s">
        <v>394</v>
      </c>
      <c r="E2619" t="s">
        <v>639</v>
      </c>
      <c r="F2619" t="s">
        <v>962</v>
      </c>
      <c r="G2619" t="s">
        <v>6531</v>
      </c>
      <c r="H2619" t="s">
        <v>11745</v>
      </c>
      <c r="I2619" t="s">
        <v>17467</v>
      </c>
      <c r="J2619" t="s">
        <v>18901</v>
      </c>
      <c r="K2619">
        <v>11434</v>
      </c>
      <c r="L2619" t="s">
        <v>18958</v>
      </c>
      <c r="M2619" t="s">
        <v>18958</v>
      </c>
      <c r="N2619" t="s">
        <v>20929</v>
      </c>
      <c r="O2619" t="s">
        <v>26524</v>
      </c>
      <c r="P2619" t="s">
        <v>26560</v>
      </c>
      <c r="Q2619" t="s">
        <v>26568</v>
      </c>
      <c r="R2619" t="s">
        <v>26585</v>
      </c>
      <c r="S2619" t="s">
        <v>18959</v>
      </c>
      <c r="U2619" t="s">
        <v>26604</v>
      </c>
      <c r="V2619" t="s">
        <v>26610</v>
      </c>
      <c r="W2619" t="s">
        <v>639</v>
      </c>
      <c r="X2619">
        <v>318.56</v>
      </c>
      <c r="Y2619" t="s">
        <v>26653</v>
      </c>
      <c r="Z2619" t="s">
        <v>26668</v>
      </c>
      <c r="AA2619" t="s">
        <v>26679</v>
      </c>
      <c r="AB2619" t="s">
        <v>28988</v>
      </c>
      <c r="AC2619" t="s">
        <v>35286</v>
      </c>
      <c r="AD2619" t="s">
        <v>39044</v>
      </c>
      <c r="AE2619">
        <v>5860</v>
      </c>
      <c r="AF2619" t="s">
        <v>45550</v>
      </c>
      <c r="AG2619" t="s">
        <v>19330</v>
      </c>
      <c r="AH2619">
        <v>2</v>
      </c>
      <c r="AI2619">
        <v>1</v>
      </c>
      <c r="AJ2619">
        <v>1</v>
      </c>
      <c r="AK2619">
        <v>116.65</v>
      </c>
      <c r="AN2619" t="s">
        <v>7439</v>
      </c>
      <c r="AO2619">
        <v>19200</v>
      </c>
      <c r="AR2619" t="s">
        <v>26530</v>
      </c>
      <c r="AS2619" t="s">
        <v>46500</v>
      </c>
      <c r="AT2619" t="s">
        <v>46736</v>
      </c>
      <c r="AU2619">
        <v>4.5</v>
      </c>
      <c r="AV2619" t="s">
        <v>639</v>
      </c>
      <c r="AW2619" t="s">
        <v>85</v>
      </c>
    </row>
    <row r="2620" spans="1:50">
      <c r="A2620" s="1">
        <f>HYPERLINK("https://lsnyc.legalserver.org/matter/dynamic-profile/view/1868401","18-1868401")</f>
        <v>0</v>
      </c>
      <c r="B2620" t="s">
        <v>240</v>
      </c>
      <c r="C2620" t="s">
        <v>340</v>
      </c>
      <c r="D2620" t="s">
        <v>569</v>
      </c>
      <c r="F2620" t="s">
        <v>975</v>
      </c>
      <c r="G2620" t="s">
        <v>6532</v>
      </c>
      <c r="H2620" t="s">
        <v>11744</v>
      </c>
      <c r="I2620" t="s">
        <v>17476</v>
      </c>
      <c r="J2620" t="s">
        <v>18894</v>
      </c>
      <c r="K2620">
        <v>11226</v>
      </c>
      <c r="L2620" t="s">
        <v>18958</v>
      </c>
      <c r="M2620" t="s">
        <v>18958</v>
      </c>
      <c r="N2620" t="s">
        <v>20930</v>
      </c>
      <c r="O2620" t="s">
        <v>26523</v>
      </c>
      <c r="P2620" t="s">
        <v>26560</v>
      </c>
      <c r="R2620" t="s">
        <v>26578</v>
      </c>
      <c r="S2620" t="s">
        <v>18958</v>
      </c>
      <c r="T2620" t="s">
        <v>26601</v>
      </c>
      <c r="U2620" t="s">
        <v>26604</v>
      </c>
      <c r="W2620" t="s">
        <v>639</v>
      </c>
      <c r="X2620">
        <v>1119.66</v>
      </c>
      <c r="Y2620" t="s">
        <v>26652</v>
      </c>
      <c r="Z2620" t="s">
        <v>26666</v>
      </c>
      <c r="AB2620" t="s">
        <v>28989</v>
      </c>
      <c r="AE2620">
        <v>6</v>
      </c>
      <c r="AF2620" t="s">
        <v>45541</v>
      </c>
      <c r="AG2620" t="s">
        <v>19330</v>
      </c>
      <c r="AH2620">
        <v>8</v>
      </c>
      <c r="AI2620">
        <v>1</v>
      </c>
      <c r="AJ2620">
        <v>0</v>
      </c>
      <c r="AK2620">
        <v>403.62</v>
      </c>
      <c r="AN2620" t="s">
        <v>7439</v>
      </c>
      <c r="AO2620">
        <v>49000</v>
      </c>
      <c r="AU2620">
        <v>4</v>
      </c>
      <c r="AV2620" t="s">
        <v>808</v>
      </c>
      <c r="AW2620" t="s">
        <v>237</v>
      </c>
    </row>
    <row r="2621" spans="1:50">
      <c r="A2621" s="1">
        <f>HYPERLINK("https://lsnyc.legalserver.org/matter/dynamic-profile/view/1871760","18-1871760")</f>
        <v>0</v>
      </c>
      <c r="B2621" t="s">
        <v>55</v>
      </c>
      <c r="C2621" t="s">
        <v>341</v>
      </c>
      <c r="D2621" t="s">
        <v>426</v>
      </c>
      <c r="E2621" t="s">
        <v>632</v>
      </c>
      <c r="F2621" t="s">
        <v>2327</v>
      </c>
      <c r="G2621" t="s">
        <v>5311</v>
      </c>
      <c r="H2621" t="s">
        <v>11746</v>
      </c>
      <c r="I2621" t="s">
        <v>17362</v>
      </c>
      <c r="J2621" t="s">
        <v>18892</v>
      </c>
      <c r="K2621">
        <v>10452</v>
      </c>
      <c r="L2621" t="s">
        <v>18958</v>
      </c>
      <c r="M2621" t="s">
        <v>18958</v>
      </c>
      <c r="O2621" t="s">
        <v>26537</v>
      </c>
      <c r="P2621" t="s">
        <v>26561</v>
      </c>
      <c r="Q2621" t="s">
        <v>26572</v>
      </c>
      <c r="R2621" t="s">
        <v>26578</v>
      </c>
      <c r="S2621" t="s">
        <v>18959</v>
      </c>
      <c r="U2621" t="s">
        <v>26604</v>
      </c>
      <c r="W2621" t="s">
        <v>639</v>
      </c>
      <c r="X2621">
        <v>1200</v>
      </c>
      <c r="Y2621" t="s">
        <v>26650</v>
      </c>
      <c r="Z2621" t="s">
        <v>26656</v>
      </c>
      <c r="AA2621" t="s">
        <v>26681</v>
      </c>
      <c r="AB2621" t="s">
        <v>28094</v>
      </c>
      <c r="AD2621" t="s">
        <v>39045</v>
      </c>
      <c r="AE2621">
        <v>74</v>
      </c>
      <c r="AF2621" t="s">
        <v>45541</v>
      </c>
      <c r="AG2621" t="s">
        <v>45556</v>
      </c>
      <c r="AH2621">
        <v>21</v>
      </c>
      <c r="AI2621">
        <v>2</v>
      </c>
      <c r="AJ2621">
        <v>1</v>
      </c>
      <c r="AK2621">
        <v>120.12</v>
      </c>
      <c r="AN2621" t="s">
        <v>45605</v>
      </c>
      <c r="AO2621">
        <v>24960</v>
      </c>
      <c r="AU2621">
        <v>17.74</v>
      </c>
      <c r="AV2621" t="s">
        <v>428</v>
      </c>
      <c r="AW2621" t="s">
        <v>46860</v>
      </c>
    </row>
    <row r="2622" spans="1:50">
      <c r="A2622" s="1">
        <f>HYPERLINK("https://lsnyc.legalserver.org/matter/dynamic-profile/view/1876805","18-1876805")</f>
        <v>0</v>
      </c>
      <c r="B2622" t="s">
        <v>98</v>
      </c>
      <c r="C2622" t="s">
        <v>341</v>
      </c>
      <c r="D2622" t="s">
        <v>440</v>
      </c>
      <c r="E2622" t="s">
        <v>494</v>
      </c>
      <c r="F2622" t="s">
        <v>1784</v>
      </c>
      <c r="G2622" t="s">
        <v>5976</v>
      </c>
      <c r="H2622" t="s">
        <v>10156</v>
      </c>
      <c r="I2622" t="s">
        <v>17291</v>
      </c>
      <c r="J2622" t="s">
        <v>18892</v>
      </c>
      <c r="K2622">
        <v>10456</v>
      </c>
      <c r="L2622" t="s">
        <v>18958</v>
      </c>
      <c r="M2622" t="s">
        <v>18958</v>
      </c>
      <c r="O2622" t="s">
        <v>26534</v>
      </c>
      <c r="P2622" t="s">
        <v>26564</v>
      </c>
      <c r="Q2622" t="s">
        <v>26570</v>
      </c>
      <c r="R2622" t="s">
        <v>26578</v>
      </c>
      <c r="S2622" t="s">
        <v>18958</v>
      </c>
      <c r="U2622" t="s">
        <v>26604</v>
      </c>
      <c r="W2622" t="s">
        <v>639</v>
      </c>
      <c r="X2622">
        <v>525</v>
      </c>
      <c r="Y2622" t="s">
        <v>26650</v>
      </c>
      <c r="Z2622" t="s">
        <v>26663</v>
      </c>
      <c r="AA2622" t="s">
        <v>26683</v>
      </c>
      <c r="AB2622" t="s">
        <v>28020</v>
      </c>
      <c r="AE2622">
        <v>131</v>
      </c>
      <c r="AF2622" t="s">
        <v>45541</v>
      </c>
      <c r="AG2622" t="s">
        <v>19330</v>
      </c>
      <c r="AH2622">
        <v>12</v>
      </c>
      <c r="AI2622">
        <v>1</v>
      </c>
      <c r="AJ2622">
        <v>0</v>
      </c>
      <c r="AK2622">
        <v>82.37</v>
      </c>
      <c r="AN2622" t="s">
        <v>7439</v>
      </c>
      <c r="AO2622">
        <v>10000</v>
      </c>
      <c r="AU2622">
        <v>0.2</v>
      </c>
      <c r="AV2622" t="s">
        <v>458</v>
      </c>
      <c r="AW2622" t="s">
        <v>336</v>
      </c>
    </row>
    <row r="2623" spans="1:50">
      <c r="A2623" s="1">
        <f>HYPERLINK("https://lsnyc.legalserver.org/matter/dynamic-profile/view/1875210","18-1875210")</f>
        <v>0</v>
      </c>
      <c r="B2623" t="s">
        <v>199</v>
      </c>
      <c r="C2623" t="s">
        <v>341</v>
      </c>
      <c r="D2623" t="s">
        <v>515</v>
      </c>
      <c r="E2623" t="s">
        <v>735</v>
      </c>
      <c r="F2623" t="s">
        <v>999</v>
      </c>
      <c r="G2623" t="s">
        <v>5079</v>
      </c>
      <c r="H2623" t="s">
        <v>11747</v>
      </c>
      <c r="I2623" t="s">
        <v>17475</v>
      </c>
      <c r="J2623" t="s">
        <v>18894</v>
      </c>
      <c r="K2623">
        <v>11226</v>
      </c>
      <c r="L2623" t="s">
        <v>18958</v>
      </c>
      <c r="M2623" t="s">
        <v>18960</v>
      </c>
      <c r="N2623" t="s">
        <v>20931</v>
      </c>
      <c r="O2623" t="s">
        <v>26523</v>
      </c>
      <c r="P2623" t="s">
        <v>26560</v>
      </c>
      <c r="Q2623" t="s">
        <v>26568</v>
      </c>
      <c r="R2623" t="s">
        <v>26578</v>
      </c>
      <c r="S2623" t="s">
        <v>18959</v>
      </c>
      <c r="U2623" t="s">
        <v>26604</v>
      </c>
      <c r="V2623" t="s">
        <v>26611</v>
      </c>
      <c r="W2623" t="s">
        <v>639</v>
      </c>
      <c r="X2623">
        <v>1510</v>
      </c>
      <c r="Y2623" t="s">
        <v>26652</v>
      </c>
      <c r="Z2623" t="s">
        <v>26663</v>
      </c>
      <c r="AA2623" t="s">
        <v>26678</v>
      </c>
      <c r="AB2623" t="s">
        <v>28990</v>
      </c>
      <c r="AC2623">
        <v>9307154</v>
      </c>
      <c r="AD2623" t="s">
        <v>39046</v>
      </c>
      <c r="AE2623">
        <v>30</v>
      </c>
      <c r="AF2623" t="s">
        <v>45541</v>
      </c>
      <c r="AG2623" t="s">
        <v>19330</v>
      </c>
      <c r="AH2623">
        <v>28</v>
      </c>
      <c r="AI2623">
        <v>3</v>
      </c>
      <c r="AJ2623">
        <v>0</v>
      </c>
      <c r="AK2623">
        <v>187.68</v>
      </c>
      <c r="AN2623" t="s">
        <v>7439</v>
      </c>
      <c r="AO2623">
        <v>39000</v>
      </c>
      <c r="AR2623" t="s">
        <v>46381</v>
      </c>
      <c r="AS2623" t="s">
        <v>46499</v>
      </c>
      <c r="AT2623" t="s">
        <v>46517</v>
      </c>
      <c r="AU2623">
        <v>28.8</v>
      </c>
      <c r="AV2623" t="s">
        <v>720</v>
      </c>
      <c r="AW2623" t="s">
        <v>237</v>
      </c>
      <c r="AX2623" t="s">
        <v>46897</v>
      </c>
    </row>
    <row r="2624" spans="1:50">
      <c r="A2624" s="1">
        <f>HYPERLINK("https://lsnyc.legalserver.org/matter/dynamic-profile/view/1876986","18-1876986")</f>
        <v>0</v>
      </c>
      <c r="B2624" t="s">
        <v>67</v>
      </c>
      <c r="C2624" t="s">
        <v>341</v>
      </c>
      <c r="D2624" t="s">
        <v>441</v>
      </c>
      <c r="E2624" t="s">
        <v>844</v>
      </c>
      <c r="F2624" t="s">
        <v>1081</v>
      </c>
      <c r="G2624" t="s">
        <v>5966</v>
      </c>
      <c r="H2624" t="s">
        <v>11748</v>
      </c>
      <c r="I2624">
        <v>1</v>
      </c>
      <c r="J2624" t="s">
        <v>18892</v>
      </c>
      <c r="K2624">
        <v>10457</v>
      </c>
      <c r="L2624" t="s">
        <v>18958</v>
      </c>
      <c r="M2624" t="s">
        <v>18958</v>
      </c>
      <c r="O2624" t="s">
        <v>26526</v>
      </c>
      <c r="P2624" t="s">
        <v>26564</v>
      </c>
      <c r="Q2624" t="s">
        <v>26570</v>
      </c>
      <c r="R2624" t="s">
        <v>26578</v>
      </c>
      <c r="S2624" t="s">
        <v>18959</v>
      </c>
      <c r="U2624" t="s">
        <v>26604</v>
      </c>
      <c r="W2624" t="s">
        <v>639</v>
      </c>
      <c r="X2624">
        <v>800</v>
      </c>
      <c r="Y2624" t="s">
        <v>26650</v>
      </c>
      <c r="Z2624" t="s">
        <v>26663</v>
      </c>
      <c r="AA2624" t="s">
        <v>26683</v>
      </c>
      <c r="AB2624" t="s">
        <v>28991</v>
      </c>
      <c r="AD2624" t="s">
        <v>39047</v>
      </c>
      <c r="AE2624">
        <v>3</v>
      </c>
      <c r="AF2624" t="s">
        <v>45552</v>
      </c>
      <c r="AG2624" t="s">
        <v>45562</v>
      </c>
      <c r="AH2624">
        <v>1</v>
      </c>
      <c r="AI2624">
        <v>1</v>
      </c>
      <c r="AJ2624">
        <v>0</v>
      </c>
      <c r="AK2624">
        <v>82.04000000000001</v>
      </c>
      <c r="AN2624" t="s">
        <v>7439</v>
      </c>
      <c r="AO2624">
        <v>9960</v>
      </c>
      <c r="AU2624">
        <v>0.1</v>
      </c>
      <c r="AV2624" t="s">
        <v>844</v>
      </c>
      <c r="AW2624" t="s">
        <v>336</v>
      </c>
    </row>
    <row r="2625" spans="1:50">
      <c r="A2625" s="1">
        <f>HYPERLINK("https://lsnyc.legalserver.org/matter/dynamic-profile/view/1875929","18-1875929")</f>
        <v>0</v>
      </c>
      <c r="B2625" t="s">
        <v>98</v>
      </c>
      <c r="C2625" t="s">
        <v>341</v>
      </c>
      <c r="D2625" t="s">
        <v>511</v>
      </c>
      <c r="E2625" t="s">
        <v>684</v>
      </c>
      <c r="F2625" t="s">
        <v>2328</v>
      </c>
      <c r="G2625" t="s">
        <v>5147</v>
      </c>
      <c r="H2625" t="s">
        <v>11749</v>
      </c>
      <c r="I2625" t="s">
        <v>17306</v>
      </c>
      <c r="J2625" t="s">
        <v>18892</v>
      </c>
      <c r="K2625">
        <v>10469</v>
      </c>
      <c r="L2625" t="s">
        <v>18958</v>
      </c>
      <c r="M2625" t="s">
        <v>18958</v>
      </c>
      <c r="O2625" t="s">
        <v>18997</v>
      </c>
      <c r="P2625" t="s">
        <v>26564</v>
      </c>
      <c r="Q2625" t="s">
        <v>26570</v>
      </c>
      <c r="R2625" t="s">
        <v>26578</v>
      </c>
      <c r="S2625" t="s">
        <v>18959</v>
      </c>
      <c r="T2625" t="s">
        <v>26578</v>
      </c>
      <c r="U2625" t="s">
        <v>26604</v>
      </c>
      <c r="W2625" t="s">
        <v>639</v>
      </c>
      <c r="X2625">
        <v>1500</v>
      </c>
      <c r="Y2625" t="s">
        <v>26650</v>
      </c>
      <c r="Z2625" t="s">
        <v>26661</v>
      </c>
      <c r="AA2625" t="s">
        <v>26683</v>
      </c>
      <c r="AB2625" t="s">
        <v>28992</v>
      </c>
      <c r="AD2625" t="s">
        <v>39048</v>
      </c>
      <c r="AE2625">
        <v>3</v>
      </c>
      <c r="AF2625" t="s">
        <v>45547</v>
      </c>
      <c r="AG2625" t="s">
        <v>19330</v>
      </c>
      <c r="AH2625">
        <v>2</v>
      </c>
      <c r="AI2625">
        <v>1</v>
      </c>
      <c r="AJ2625">
        <v>0</v>
      </c>
      <c r="AK2625">
        <v>79.56999999999999</v>
      </c>
      <c r="AN2625" t="s">
        <v>45581</v>
      </c>
      <c r="AO2625">
        <v>9660</v>
      </c>
      <c r="AU2625">
        <v>3.2</v>
      </c>
      <c r="AV2625" t="s">
        <v>684</v>
      </c>
      <c r="AW2625" t="s">
        <v>98</v>
      </c>
    </row>
    <row r="2626" spans="1:50">
      <c r="A2626" s="1">
        <f>HYPERLINK("https://lsnyc.legalserver.org/matter/dynamic-profile/view/1876450","18-1876450")</f>
        <v>0</v>
      </c>
      <c r="B2626" t="s">
        <v>98</v>
      </c>
      <c r="C2626" t="s">
        <v>341</v>
      </c>
      <c r="D2626" t="s">
        <v>523</v>
      </c>
      <c r="E2626" t="s">
        <v>684</v>
      </c>
      <c r="F2626" t="s">
        <v>2329</v>
      </c>
      <c r="G2626" t="s">
        <v>5269</v>
      </c>
      <c r="H2626" t="s">
        <v>11750</v>
      </c>
      <c r="I2626" t="s">
        <v>17861</v>
      </c>
      <c r="J2626" t="s">
        <v>18892</v>
      </c>
      <c r="K2626">
        <v>10453</v>
      </c>
      <c r="L2626" t="s">
        <v>18958</v>
      </c>
      <c r="M2626" t="s">
        <v>18958</v>
      </c>
      <c r="O2626" t="s">
        <v>18997</v>
      </c>
      <c r="P2626" t="s">
        <v>26564</v>
      </c>
      <c r="Q2626" t="s">
        <v>26570</v>
      </c>
      <c r="R2626" t="s">
        <v>26578</v>
      </c>
      <c r="S2626" t="s">
        <v>18959</v>
      </c>
      <c r="U2626" t="s">
        <v>26604</v>
      </c>
      <c r="W2626" t="s">
        <v>639</v>
      </c>
      <c r="X2626">
        <v>250</v>
      </c>
      <c r="Y2626" t="s">
        <v>26650</v>
      </c>
      <c r="Z2626" t="s">
        <v>26663</v>
      </c>
      <c r="AA2626" t="s">
        <v>26683</v>
      </c>
      <c r="AB2626" t="s">
        <v>28993</v>
      </c>
      <c r="AD2626" t="s">
        <v>39049</v>
      </c>
      <c r="AE2626">
        <v>50</v>
      </c>
      <c r="AF2626" t="s">
        <v>45541</v>
      </c>
      <c r="AG2626" t="s">
        <v>19330</v>
      </c>
      <c r="AH2626">
        <v>3</v>
      </c>
      <c r="AI2626">
        <v>2</v>
      </c>
      <c r="AJ2626">
        <v>0</v>
      </c>
      <c r="AK2626">
        <v>36.96</v>
      </c>
      <c r="AN2626" t="s">
        <v>7439</v>
      </c>
      <c r="AO2626">
        <v>6084</v>
      </c>
      <c r="AU2626">
        <v>2.54</v>
      </c>
      <c r="AV2626" t="s">
        <v>684</v>
      </c>
      <c r="AW2626" t="s">
        <v>46857</v>
      </c>
    </row>
    <row r="2627" spans="1:50">
      <c r="A2627" s="1">
        <f>HYPERLINK("https://lsnyc.legalserver.org/matter/dynamic-profile/view/1876916","18-1876916")</f>
        <v>0</v>
      </c>
      <c r="B2627" t="s">
        <v>82</v>
      </c>
      <c r="C2627" t="s">
        <v>340</v>
      </c>
      <c r="D2627" t="s">
        <v>524</v>
      </c>
      <c r="F2627" t="s">
        <v>2330</v>
      </c>
      <c r="G2627" t="s">
        <v>6533</v>
      </c>
      <c r="H2627" t="s">
        <v>11751</v>
      </c>
      <c r="I2627" t="s">
        <v>17284</v>
      </c>
      <c r="J2627" t="s">
        <v>18892</v>
      </c>
      <c r="K2627">
        <v>10458</v>
      </c>
      <c r="L2627" t="s">
        <v>18958</v>
      </c>
      <c r="M2627" t="s">
        <v>18958</v>
      </c>
      <c r="N2627" t="s">
        <v>20932</v>
      </c>
      <c r="O2627" t="s">
        <v>26523</v>
      </c>
      <c r="P2627" t="s">
        <v>26560</v>
      </c>
      <c r="R2627" t="s">
        <v>26577</v>
      </c>
      <c r="U2627" t="s">
        <v>26604</v>
      </c>
      <c r="V2627" t="s">
        <v>26612</v>
      </c>
      <c r="W2627" t="s">
        <v>639</v>
      </c>
      <c r="X2627">
        <v>1300</v>
      </c>
      <c r="Y2627" t="s">
        <v>26650</v>
      </c>
      <c r="Z2627" t="s">
        <v>26663</v>
      </c>
      <c r="AB2627" t="s">
        <v>28994</v>
      </c>
      <c r="AC2627" t="s">
        <v>35287</v>
      </c>
      <c r="AD2627" t="s">
        <v>39050</v>
      </c>
      <c r="AE2627">
        <v>0</v>
      </c>
      <c r="AF2627" t="s">
        <v>45541</v>
      </c>
      <c r="AG2627" t="s">
        <v>45562</v>
      </c>
      <c r="AH2627">
        <v>2</v>
      </c>
      <c r="AI2627">
        <v>1</v>
      </c>
      <c r="AJ2627">
        <v>1</v>
      </c>
      <c r="AK2627">
        <v>217.98</v>
      </c>
      <c r="AL2627" t="s">
        <v>641</v>
      </c>
      <c r="AM2627" t="s">
        <v>45575</v>
      </c>
      <c r="AN2627" t="s">
        <v>7439</v>
      </c>
      <c r="AO2627">
        <v>35880</v>
      </c>
      <c r="AU2627">
        <v>25.5</v>
      </c>
      <c r="AV2627" t="s">
        <v>838</v>
      </c>
      <c r="AW2627" t="s">
        <v>46836</v>
      </c>
      <c r="AX2627" t="s">
        <v>46898</v>
      </c>
    </row>
    <row r="2628" spans="1:50">
      <c r="A2628" s="1">
        <f>HYPERLINK("https://lsnyc.legalserver.org/matter/dynamic-profile/view/1876957","18-1876957")</f>
        <v>0</v>
      </c>
      <c r="B2628" t="s">
        <v>63</v>
      </c>
      <c r="C2628" t="s">
        <v>340</v>
      </c>
      <c r="D2628" t="s">
        <v>524</v>
      </c>
      <c r="F2628" t="s">
        <v>1827</v>
      </c>
      <c r="G2628" t="s">
        <v>5285</v>
      </c>
      <c r="H2628" t="s">
        <v>11568</v>
      </c>
      <c r="I2628" t="s">
        <v>17348</v>
      </c>
      <c r="J2628" t="s">
        <v>18892</v>
      </c>
      <c r="K2628">
        <v>10459</v>
      </c>
      <c r="L2628" t="s">
        <v>18958</v>
      </c>
      <c r="M2628" t="s">
        <v>18958</v>
      </c>
      <c r="N2628" t="s">
        <v>20933</v>
      </c>
      <c r="O2628" t="s">
        <v>26523</v>
      </c>
      <c r="P2628" t="s">
        <v>26560</v>
      </c>
      <c r="R2628" t="s">
        <v>26578</v>
      </c>
      <c r="S2628" t="s">
        <v>18959</v>
      </c>
      <c r="U2628" t="s">
        <v>26604</v>
      </c>
      <c r="W2628" t="s">
        <v>639</v>
      </c>
      <c r="X2628">
        <v>890</v>
      </c>
      <c r="Y2628" t="s">
        <v>26650</v>
      </c>
      <c r="Z2628" t="s">
        <v>26668</v>
      </c>
      <c r="AB2628" t="s">
        <v>28995</v>
      </c>
      <c r="AD2628" t="s">
        <v>39051</v>
      </c>
      <c r="AE2628">
        <v>56</v>
      </c>
      <c r="AF2628" t="s">
        <v>45541</v>
      </c>
      <c r="AG2628" t="s">
        <v>45562</v>
      </c>
      <c r="AH2628">
        <v>1</v>
      </c>
      <c r="AI2628">
        <v>2</v>
      </c>
      <c r="AJ2628">
        <v>2</v>
      </c>
      <c r="AK2628">
        <v>93.23</v>
      </c>
      <c r="AN2628" t="s">
        <v>7439</v>
      </c>
      <c r="AO2628">
        <v>23400</v>
      </c>
      <c r="AU2628">
        <v>16.8</v>
      </c>
      <c r="AV2628" t="s">
        <v>772</v>
      </c>
      <c r="AW2628" t="s">
        <v>336</v>
      </c>
    </row>
    <row r="2629" spans="1:50">
      <c r="A2629" s="1">
        <f>HYPERLINK("https://lsnyc.legalserver.org/matter/dynamic-profile/view/1877706","18-1877706")</f>
        <v>0</v>
      </c>
      <c r="B2629" t="s">
        <v>98</v>
      </c>
      <c r="C2629" t="s">
        <v>341</v>
      </c>
      <c r="D2629" t="s">
        <v>586</v>
      </c>
      <c r="E2629" t="s">
        <v>703</v>
      </c>
      <c r="F2629" t="s">
        <v>1021</v>
      </c>
      <c r="G2629" t="s">
        <v>6534</v>
      </c>
      <c r="H2629" t="s">
        <v>11752</v>
      </c>
      <c r="I2629" t="s">
        <v>17862</v>
      </c>
      <c r="J2629" t="s">
        <v>18892</v>
      </c>
      <c r="K2629">
        <v>10456</v>
      </c>
      <c r="L2629" t="s">
        <v>18958</v>
      </c>
      <c r="M2629" t="s">
        <v>18958</v>
      </c>
      <c r="O2629" t="s">
        <v>18997</v>
      </c>
      <c r="P2629" t="s">
        <v>26565</v>
      </c>
      <c r="Q2629" t="s">
        <v>26571</v>
      </c>
      <c r="R2629" t="s">
        <v>26578</v>
      </c>
      <c r="S2629" t="s">
        <v>18959</v>
      </c>
      <c r="U2629" t="s">
        <v>26604</v>
      </c>
      <c r="W2629" t="s">
        <v>639</v>
      </c>
      <c r="X2629">
        <v>1296</v>
      </c>
      <c r="Y2629" t="s">
        <v>26650</v>
      </c>
      <c r="Z2629" t="s">
        <v>26663</v>
      </c>
      <c r="AA2629" t="s">
        <v>26682</v>
      </c>
      <c r="AB2629" t="s">
        <v>27300</v>
      </c>
      <c r="AD2629" t="s">
        <v>39052</v>
      </c>
      <c r="AE2629">
        <v>11</v>
      </c>
      <c r="AF2629" t="s">
        <v>45541</v>
      </c>
      <c r="AG2629" t="s">
        <v>19330</v>
      </c>
      <c r="AH2629">
        <v>2</v>
      </c>
      <c r="AI2629">
        <v>1</v>
      </c>
      <c r="AJ2629">
        <v>0</v>
      </c>
      <c r="AK2629">
        <v>158.15</v>
      </c>
      <c r="AN2629" t="s">
        <v>7439</v>
      </c>
      <c r="AO2629">
        <v>19200</v>
      </c>
      <c r="AU2629">
        <v>1.9</v>
      </c>
      <c r="AV2629" t="s">
        <v>703</v>
      </c>
      <c r="AW2629" t="s">
        <v>98</v>
      </c>
    </row>
    <row r="2630" spans="1:50">
      <c r="A2630" s="1">
        <f>HYPERLINK("https://lsnyc.legalserver.org/matter/dynamic-profile/view/1877707","18-1877707")</f>
        <v>0</v>
      </c>
      <c r="B2630" t="s">
        <v>98</v>
      </c>
      <c r="C2630" t="s">
        <v>341</v>
      </c>
      <c r="D2630" t="s">
        <v>586</v>
      </c>
      <c r="E2630" t="s">
        <v>684</v>
      </c>
      <c r="F2630" t="s">
        <v>2124</v>
      </c>
      <c r="G2630" t="s">
        <v>1056</v>
      </c>
      <c r="H2630" t="s">
        <v>11753</v>
      </c>
      <c r="I2630" t="s">
        <v>17298</v>
      </c>
      <c r="J2630" t="s">
        <v>18892</v>
      </c>
      <c r="K2630">
        <v>10467</v>
      </c>
      <c r="L2630" t="s">
        <v>18958</v>
      </c>
      <c r="M2630" t="s">
        <v>18958</v>
      </c>
      <c r="O2630" t="s">
        <v>18997</v>
      </c>
      <c r="P2630" t="s">
        <v>26564</v>
      </c>
      <c r="Q2630" t="s">
        <v>26570</v>
      </c>
      <c r="R2630" t="s">
        <v>26578</v>
      </c>
      <c r="S2630" t="s">
        <v>18959</v>
      </c>
      <c r="U2630" t="s">
        <v>26604</v>
      </c>
      <c r="W2630" t="s">
        <v>639</v>
      </c>
      <c r="X2630">
        <v>1010.78</v>
      </c>
      <c r="Y2630" t="s">
        <v>26650</v>
      </c>
      <c r="Z2630" t="s">
        <v>26663</v>
      </c>
      <c r="AA2630" t="s">
        <v>26683</v>
      </c>
      <c r="AB2630" t="s">
        <v>28253</v>
      </c>
      <c r="AE2630">
        <v>49</v>
      </c>
      <c r="AF2630" t="s">
        <v>45541</v>
      </c>
      <c r="AG2630" t="s">
        <v>19330</v>
      </c>
      <c r="AH2630">
        <v>14</v>
      </c>
      <c r="AI2630">
        <v>1</v>
      </c>
      <c r="AJ2630">
        <v>0</v>
      </c>
      <c r="AK2630">
        <v>345.96</v>
      </c>
      <c r="AN2630" t="s">
        <v>7439</v>
      </c>
      <c r="AO2630">
        <v>42000</v>
      </c>
      <c r="AU2630">
        <v>1.4</v>
      </c>
      <c r="AV2630" t="s">
        <v>684</v>
      </c>
      <c r="AW2630" t="s">
        <v>98</v>
      </c>
    </row>
    <row r="2631" spans="1:50">
      <c r="A2631" s="1">
        <f>HYPERLINK("https://lsnyc.legalserver.org/matter/dynamic-profile/view/1879186","18-1879186")</f>
        <v>0</v>
      </c>
      <c r="B2631" t="s">
        <v>68</v>
      </c>
      <c r="C2631" t="s">
        <v>340</v>
      </c>
      <c r="D2631" t="s">
        <v>583</v>
      </c>
      <c r="F2631" t="s">
        <v>2331</v>
      </c>
      <c r="G2631" t="s">
        <v>5208</v>
      </c>
      <c r="H2631" t="s">
        <v>11754</v>
      </c>
      <c r="I2631" t="s">
        <v>17440</v>
      </c>
      <c r="J2631" t="s">
        <v>18892</v>
      </c>
      <c r="K2631">
        <v>10454</v>
      </c>
      <c r="L2631" t="s">
        <v>18958</v>
      </c>
      <c r="M2631" t="s">
        <v>18958</v>
      </c>
      <c r="N2631" t="s">
        <v>20934</v>
      </c>
      <c r="O2631" t="s">
        <v>26523</v>
      </c>
      <c r="P2631" t="s">
        <v>26560</v>
      </c>
      <c r="R2631" t="s">
        <v>26577</v>
      </c>
      <c r="S2631" t="s">
        <v>18959</v>
      </c>
      <c r="U2631" t="s">
        <v>26604</v>
      </c>
      <c r="V2631" t="s">
        <v>26610</v>
      </c>
      <c r="W2631" t="s">
        <v>639</v>
      </c>
      <c r="X2631">
        <v>818</v>
      </c>
      <c r="Y2631" t="s">
        <v>26650</v>
      </c>
      <c r="Z2631" t="s">
        <v>26659</v>
      </c>
      <c r="AB2631" t="s">
        <v>28996</v>
      </c>
      <c r="AD2631" t="s">
        <v>39053</v>
      </c>
      <c r="AE2631">
        <v>188</v>
      </c>
      <c r="AF2631" t="s">
        <v>45541</v>
      </c>
      <c r="AG2631" t="s">
        <v>45556</v>
      </c>
      <c r="AH2631">
        <v>1</v>
      </c>
      <c r="AI2631">
        <v>2</v>
      </c>
      <c r="AJ2631">
        <v>4</v>
      </c>
      <c r="AK2631">
        <v>61.65</v>
      </c>
      <c r="AN2631" t="s">
        <v>7439</v>
      </c>
      <c r="AO2631">
        <v>20800</v>
      </c>
      <c r="AU2631">
        <v>16.7</v>
      </c>
      <c r="AV2631" t="s">
        <v>773</v>
      </c>
      <c r="AW2631" t="s">
        <v>334</v>
      </c>
    </row>
    <row r="2632" spans="1:50">
      <c r="A2632" s="1">
        <f>HYPERLINK("https://lsnyc.legalserver.org/matter/dynamic-profile/view/1879561","18-1879561")</f>
        <v>0</v>
      </c>
      <c r="B2632" t="s">
        <v>240</v>
      </c>
      <c r="C2632" t="s">
        <v>340</v>
      </c>
      <c r="D2632" t="s">
        <v>529</v>
      </c>
      <c r="F2632" t="s">
        <v>895</v>
      </c>
      <c r="G2632" t="s">
        <v>6535</v>
      </c>
      <c r="H2632" t="s">
        <v>11744</v>
      </c>
      <c r="I2632" t="s">
        <v>17863</v>
      </c>
      <c r="J2632" t="s">
        <v>18894</v>
      </c>
      <c r="K2632">
        <v>11226</v>
      </c>
      <c r="L2632" t="s">
        <v>18958</v>
      </c>
      <c r="M2632" t="s">
        <v>18958</v>
      </c>
      <c r="N2632" t="s">
        <v>20935</v>
      </c>
      <c r="O2632" t="s">
        <v>26526</v>
      </c>
      <c r="P2632" t="s">
        <v>26560</v>
      </c>
      <c r="R2632" t="s">
        <v>26578</v>
      </c>
      <c r="S2632" t="s">
        <v>18958</v>
      </c>
      <c r="U2632" t="s">
        <v>26604</v>
      </c>
      <c r="W2632" t="s">
        <v>639</v>
      </c>
      <c r="X2632">
        <v>1632</v>
      </c>
      <c r="Y2632" t="s">
        <v>26652</v>
      </c>
      <c r="Z2632" t="s">
        <v>26659</v>
      </c>
      <c r="AB2632" t="s">
        <v>28997</v>
      </c>
      <c r="AD2632" t="s">
        <v>39054</v>
      </c>
      <c r="AE2632">
        <v>6</v>
      </c>
      <c r="AH2632">
        <v>2</v>
      </c>
      <c r="AI2632">
        <v>2</v>
      </c>
      <c r="AJ2632">
        <v>0</v>
      </c>
      <c r="AK2632">
        <v>292.22</v>
      </c>
      <c r="AN2632" t="s">
        <v>7439</v>
      </c>
      <c r="AO2632">
        <v>48100</v>
      </c>
      <c r="AP2632" t="s">
        <v>45760</v>
      </c>
      <c r="AU2632">
        <v>0</v>
      </c>
      <c r="AW2632" t="s">
        <v>46856</v>
      </c>
    </row>
    <row r="2633" spans="1:50">
      <c r="A2633" s="1">
        <f>HYPERLINK("https://lsnyc.legalserver.org/matter/dynamic-profile/view/1879651","18-1879651")</f>
        <v>0</v>
      </c>
      <c r="B2633" t="s">
        <v>240</v>
      </c>
      <c r="C2633" t="s">
        <v>340</v>
      </c>
      <c r="D2633" t="s">
        <v>412</v>
      </c>
      <c r="F2633" t="s">
        <v>2332</v>
      </c>
      <c r="G2633" t="s">
        <v>6536</v>
      </c>
      <c r="H2633" t="s">
        <v>11744</v>
      </c>
      <c r="I2633" t="s">
        <v>17864</v>
      </c>
      <c r="J2633" t="s">
        <v>18894</v>
      </c>
      <c r="K2633">
        <v>11226</v>
      </c>
      <c r="L2633" t="s">
        <v>18958</v>
      </c>
      <c r="M2633" t="s">
        <v>18958</v>
      </c>
      <c r="N2633" t="s">
        <v>20936</v>
      </c>
      <c r="O2633" t="s">
        <v>26526</v>
      </c>
      <c r="P2633" t="s">
        <v>26563</v>
      </c>
      <c r="R2633" t="s">
        <v>26578</v>
      </c>
      <c r="S2633" t="s">
        <v>18958</v>
      </c>
      <c r="U2633" t="s">
        <v>26604</v>
      </c>
      <c r="W2633" t="s">
        <v>639</v>
      </c>
      <c r="X2633">
        <v>1529.97</v>
      </c>
      <c r="Y2633" t="s">
        <v>26652</v>
      </c>
      <c r="Z2633" t="s">
        <v>26659</v>
      </c>
      <c r="AB2633" t="s">
        <v>28998</v>
      </c>
      <c r="AE2633">
        <v>6</v>
      </c>
      <c r="AF2633" t="s">
        <v>45541</v>
      </c>
      <c r="AG2633" t="s">
        <v>19330</v>
      </c>
      <c r="AH2633">
        <v>6</v>
      </c>
      <c r="AI2633">
        <v>2</v>
      </c>
      <c r="AJ2633">
        <v>0</v>
      </c>
      <c r="AK2633">
        <v>103.28</v>
      </c>
      <c r="AN2633" t="s">
        <v>7439</v>
      </c>
      <c r="AO2633">
        <v>17000</v>
      </c>
      <c r="AU2633">
        <v>35.15</v>
      </c>
      <c r="AV2633" t="s">
        <v>825</v>
      </c>
      <c r="AW2633" t="s">
        <v>46862</v>
      </c>
    </row>
    <row r="2634" spans="1:50">
      <c r="A2634" s="1">
        <f>HYPERLINK("https://lsnyc.legalserver.org/matter/dynamic-profile/view/1879974","18-1879974")</f>
        <v>0</v>
      </c>
      <c r="B2634" t="s">
        <v>240</v>
      </c>
      <c r="C2634" t="s">
        <v>340</v>
      </c>
      <c r="D2634" t="s">
        <v>412</v>
      </c>
      <c r="F2634" t="s">
        <v>1545</v>
      </c>
      <c r="G2634" t="s">
        <v>6530</v>
      </c>
      <c r="H2634" t="s">
        <v>11744</v>
      </c>
      <c r="I2634" t="s">
        <v>17517</v>
      </c>
      <c r="J2634" t="s">
        <v>18894</v>
      </c>
      <c r="K2634">
        <v>11226</v>
      </c>
      <c r="L2634" t="s">
        <v>18958</v>
      </c>
      <c r="M2634" t="s">
        <v>18958</v>
      </c>
      <c r="N2634" t="s">
        <v>20935</v>
      </c>
      <c r="O2634" t="s">
        <v>26526</v>
      </c>
      <c r="P2634" t="s">
        <v>26560</v>
      </c>
      <c r="R2634" t="s">
        <v>26578</v>
      </c>
      <c r="S2634" t="s">
        <v>18958</v>
      </c>
      <c r="U2634" t="s">
        <v>26604</v>
      </c>
      <c r="W2634" t="s">
        <v>639</v>
      </c>
      <c r="X2634">
        <v>1250</v>
      </c>
      <c r="Y2634" t="s">
        <v>26652</v>
      </c>
      <c r="Z2634" t="s">
        <v>26659</v>
      </c>
      <c r="AB2634" t="s">
        <v>28987</v>
      </c>
      <c r="AE2634">
        <v>6</v>
      </c>
      <c r="AF2634" t="s">
        <v>45541</v>
      </c>
      <c r="AG2634" t="s">
        <v>19330</v>
      </c>
      <c r="AH2634">
        <v>1</v>
      </c>
      <c r="AI2634">
        <v>1</v>
      </c>
      <c r="AJ2634">
        <v>0</v>
      </c>
      <c r="AK2634">
        <v>420.1</v>
      </c>
      <c r="AN2634" t="s">
        <v>7439</v>
      </c>
      <c r="AO2634">
        <v>51000</v>
      </c>
      <c r="AU2634">
        <v>1.5</v>
      </c>
      <c r="AV2634" t="s">
        <v>664</v>
      </c>
      <c r="AW2634" t="s">
        <v>281</v>
      </c>
    </row>
    <row r="2635" spans="1:50">
      <c r="A2635" s="1">
        <f>HYPERLINK("https://lsnyc.legalserver.org/matter/dynamic-profile/view/1880201","18-1880201")</f>
        <v>0</v>
      </c>
      <c r="B2635" t="s">
        <v>153</v>
      </c>
      <c r="C2635" t="s">
        <v>341</v>
      </c>
      <c r="D2635" t="s">
        <v>600</v>
      </c>
      <c r="E2635" t="s">
        <v>692</v>
      </c>
      <c r="F2635" t="s">
        <v>1471</v>
      </c>
      <c r="G2635" t="s">
        <v>1384</v>
      </c>
      <c r="H2635" t="s">
        <v>11755</v>
      </c>
      <c r="I2635" t="s">
        <v>17865</v>
      </c>
      <c r="J2635" t="s">
        <v>18902</v>
      </c>
      <c r="K2635">
        <v>10303</v>
      </c>
      <c r="L2635" t="s">
        <v>18958</v>
      </c>
      <c r="M2635" t="s">
        <v>18958</v>
      </c>
      <c r="N2635" t="s">
        <v>20937</v>
      </c>
      <c r="O2635" t="s">
        <v>26523</v>
      </c>
      <c r="P2635" t="s">
        <v>26560</v>
      </c>
      <c r="Q2635" t="s">
        <v>26568</v>
      </c>
      <c r="R2635" t="s">
        <v>26590</v>
      </c>
      <c r="S2635" t="s">
        <v>18959</v>
      </c>
      <c r="U2635" t="s">
        <v>26604</v>
      </c>
      <c r="V2635" t="s">
        <v>26610</v>
      </c>
      <c r="W2635" t="s">
        <v>639</v>
      </c>
      <c r="X2635">
        <v>1228</v>
      </c>
      <c r="Y2635" t="s">
        <v>26654</v>
      </c>
      <c r="Z2635" t="s">
        <v>26659</v>
      </c>
      <c r="AA2635" t="s">
        <v>26678</v>
      </c>
      <c r="AB2635" t="s">
        <v>28999</v>
      </c>
      <c r="AD2635" t="s">
        <v>39055</v>
      </c>
      <c r="AE2635">
        <v>0</v>
      </c>
      <c r="AF2635" t="s">
        <v>45541</v>
      </c>
      <c r="AG2635" t="s">
        <v>45562</v>
      </c>
      <c r="AH2635">
        <v>2</v>
      </c>
      <c r="AI2635">
        <v>1</v>
      </c>
      <c r="AJ2635">
        <v>0</v>
      </c>
      <c r="AK2635">
        <v>205.6</v>
      </c>
      <c r="AN2635" t="s">
        <v>7439</v>
      </c>
      <c r="AO2635">
        <v>24960</v>
      </c>
      <c r="AS2635" t="s">
        <v>46499</v>
      </c>
      <c r="AT2635" t="s">
        <v>46642</v>
      </c>
      <c r="AU2635">
        <v>2.7</v>
      </c>
      <c r="AV2635" t="s">
        <v>665</v>
      </c>
      <c r="AW2635" t="s">
        <v>190</v>
      </c>
    </row>
    <row r="2636" spans="1:50">
      <c r="A2636" s="1">
        <f>HYPERLINK("https://lsnyc.legalserver.org/matter/dynamic-profile/view/1881053","18-1881053")</f>
        <v>0</v>
      </c>
      <c r="B2636" t="s">
        <v>145</v>
      </c>
      <c r="C2636" t="s">
        <v>341</v>
      </c>
      <c r="D2636" t="s">
        <v>639</v>
      </c>
      <c r="E2636" t="s">
        <v>660</v>
      </c>
      <c r="F2636" t="s">
        <v>2333</v>
      </c>
      <c r="G2636" t="s">
        <v>6537</v>
      </c>
      <c r="H2636" t="s">
        <v>11756</v>
      </c>
      <c r="I2636" t="s">
        <v>17866</v>
      </c>
      <c r="J2636" t="s">
        <v>18902</v>
      </c>
      <c r="K2636">
        <v>10303</v>
      </c>
      <c r="L2636" t="s">
        <v>18958</v>
      </c>
      <c r="M2636" t="s">
        <v>18958</v>
      </c>
      <c r="N2636" t="s">
        <v>20938</v>
      </c>
      <c r="O2636" t="s">
        <v>26523</v>
      </c>
      <c r="P2636" t="s">
        <v>26560</v>
      </c>
      <c r="Q2636" t="s">
        <v>26568</v>
      </c>
      <c r="R2636" t="s">
        <v>26590</v>
      </c>
      <c r="S2636" t="s">
        <v>18959</v>
      </c>
      <c r="U2636" t="s">
        <v>26604</v>
      </c>
      <c r="V2636" t="s">
        <v>26610</v>
      </c>
      <c r="W2636" t="s">
        <v>639</v>
      </c>
      <c r="X2636">
        <v>2300</v>
      </c>
      <c r="Y2636" t="s">
        <v>26654</v>
      </c>
      <c r="Z2636" t="s">
        <v>26668</v>
      </c>
      <c r="AA2636" t="s">
        <v>26678</v>
      </c>
      <c r="AB2636" t="s">
        <v>29000</v>
      </c>
      <c r="AD2636" t="s">
        <v>39056</v>
      </c>
      <c r="AE2636">
        <v>2</v>
      </c>
      <c r="AF2636" t="s">
        <v>45547</v>
      </c>
      <c r="AG2636" t="s">
        <v>45556</v>
      </c>
      <c r="AH2636">
        <v>-1</v>
      </c>
      <c r="AI2636">
        <v>1</v>
      </c>
      <c r="AJ2636">
        <v>3</v>
      </c>
      <c r="AK2636">
        <v>69.75</v>
      </c>
      <c r="AN2636" t="s">
        <v>7439</v>
      </c>
      <c r="AO2636">
        <v>17508</v>
      </c>
      <c r="AS2636" t="s">
        <v>46499</v>
      </c>
      <c r="AT2636" t="s">
        <v>46679</v>
      </c>
      <c r="AU2636">
        <v>11.05</v>
      </c>
      <c r="AV2636" t="s">
        <v>753</v>
      </c>
      <c r="AW2636" t="s">
        <v>190</v>
      </c>
    </row>
    <row r="2637" spans="1:50">
      <c r="A2637" s="1">
        <f>HYPERLINK("https://lsnyc.legalserver.org/matter/dynamic-profile/view/1881134","18-1881134")</f>
        <v>0</v>
      </c>
      <c r="B2637" t="s">
        <v>90</v>
      </c>
      <c r="C2637" t="s">
        <v>341</v>
      </c>
      <c r="D2637" t="s">
        <v>639</v>
      </c>
      <c r="E2637" t="s">
        <v>675</v>
      </c>
      <c r="F2637" t="s">
        <v>2334</v>
      </c>
      <c r="G2637" t="s">
        <v>5738</v>
      </c>
      <c r="H2637" t="s">
        <v>11757</v>
      </c>
      <c r="I2637" t="s">
        <v>17867</v>
      </c>
      <c r="J2637" t="s">
        <v>18893</v>
      </c>
      <c r="K2637">
        <v>10029</v>
      </c>
      <c r="L2637" t="s">
        <v>18958</v>
      </c>
      <c r="M2637" t="s">
        <v>18958</v>
      </c>
      <c r="O2637" t="s">
        <v>18997</v>
      </c>
      <c r="P2637" t="s">
        <v>26564</v>
      </c>
      <c r="Q2637" t="s">
        <v>26570</v>
      </c>
      <c r="R2637" t="s">
        <v>26578</v>
      </c>
      <c r="S2637" t="s">
        <v>18959</v>
      </c>
      <c r="U2637" t="s">
        <v>26604</v>
      </c>
      <c r="V2637" t="s">
        <v>26610</v>
      </c>
      <c r="W2637" t="s">
        <v>639</v>
      </c>
      <c r="X2637">
        <v>600</v>
      </c>
      <c r="Y2637" t="s">
        <v>26651</v>
      </c>
      <c r="Z2637" t="s">
        <v>26661</v>
      </c>
      <c r="AA2637" t="s">
        <v>26683</v>
      </c>
      <c r="AB2637" t="s">
        <v>29001</v>
      </c>
      <c r="AD2637" t="s">
        <v>39057</v>
      </c>
      <c r="AE2637">
        <v>154</v>
      </c>
      <c r="AF2637" t="s">
        <v>45541</v>
      </c>
      <c r="AG2637" t="s">
        <v>19330</v>
      </c>
      <c r="AH2637">
        <v>2</v>
      </c>
      <c r="AI2637">
        <v>2</v>
      </c>
      <c r="AJ2637">
        <v>1</v>
      </c>
      <c r="AK2637">
        <v>134.84</v>
      </c>
      <c r="AN2637" t="s">
        <v>7439</v>
      </c>
      <c r="AO2637">
        <v>28020</v>
      </c>
      <c r="AU2637">
        <v>1.8</v>
      </c>
      <c r="AV2637" t="s">
        <v>618</v>
      </c>
      <c r="AW2637" t="s">
        <v>46835</v>
      </c>
    </row>
    <row r="2638" spans="1:50">
      <c r="A2638" s="1">
        <f>HYPERLINK("https://lsnyc.legalserver.org/matter/dynamic-profile/view/1881064","18-1881064")</f>
        <v>0</v>
      </c>
      <c r="B2638" t="s">
        <v>153</v>
      </c>
      <c r="C2638" t="s">
        <v>341</v>
      </c>
      <c r="D2638" t="s">
        <v>639</v>
      </c>
      <c r="E2638" t="s">
        <v>692</v>
      </c>
      <c r="F2638" t="s">
        <v>953</v>
      </c>
      <c r="G2638" t="s">
        <v>989</v>
      </c>
      <c r="H2638" t="s">
        <v>11758</v>
      </c>
      <c r="I2638" t="s">
        <v>17868</v>
      </c>
      <c r="J2638" t="s">
        <v>18902</v>
      </c>
      <c r="K2638">
        <v>10302</v>
      </c>
      <c r="L2638" t="s">
        <v>18958</v>
      </c>
      <c r="M2638" t="s">
        <v>18958</v>
      </c>
      <c r="N2638" t="s">
        <v>20939</v>
      </c>
      <c r="O2638" t="s">
        <v>26524</v>
      </c>
      <c r="P2638" t="s">
        <v>26560</v>
      </c>
      <c r="Q2638" t="s">
        <v>26568</v>
      </c>
      <c r="R2638" t="s">
        <v>26590</v>
      </c>
      <c r="S2638" t="s">
        <v>18959</v>
      </c>
      <c r="U2638" t="s">
        <v>26604</v>
      </c>
      <c r="V2638" t="s">
        <v>26610</v>
      </c>
      <c r="W2638" t="s">
        <v>639</v>
      </c>
      <c r="X2638">
        <v>2000</v>
      </c>
      <c r="Y2638" t="s">
        <v>26654</v>
      </c>
      <c r="Z2638" t="s">
        <v>26668</v>
      </c>
      <c r="AA2638" t="s">
        <v>26679</v>
      </c>
      <c r="AB2638" t="s">
        <v>29002</v>
      </c>
      <c r="AD2638" t="s">
        <v>39058</v>
      </c>
      <c r="AE2638">
        <v>2</v>
      </c>
      <c r="AF2638" t="s">
        <v>45547</v>
      </c>
      <c r="AG2638" t="s">
        <v>19330</v>
      </c>
      <c r="AH2638">
        <v>8</v>
      </c>
      <c r="AI2638">
        <v>2</v>
      </c>
      <c r="AJ2638">
        <v>0</v>
      </c>
      <c r="AK2638">
        <v>145.81</v>
      </c>
      <c r="AO2638">
        <v>24000</v>
      </c>
      <c r="AU2638">
        <v>5.1</v>
      </c>
      <c r="AV2638" t="s">
        <v>665</v>
      </c>
      <c r="AW2638" t="s">
        <v>190</v>
      </c>
    </row>
    <row r="2639" spans="1:50">
      <c r="A2639" s="1">
        <f>HYPERLINK("https://lsnyc.legalserver.org/matter/dynamic-profile/view/1881071","18-1881071")</f>
        <v>0</v>
      </c>
      <c r="B2639" t="s">
        <v>79</v>
      </c>
      <c r="C2639" t="s">
        <v>341</v>
      </c>
      <c r="D2639" t="s">
        <v>639</v>
      </c>
      <c r="E2639" t="s">
        <v>646</v>
      </c>
      <c r="F2639" t="s">
        <v>887</v>
      </c>
      <c r="G2639" t="s">
        <v>5402</v>
      </c>
      <c r="H2639" t="s">
        <v>9854</v>
      </c>
      <c r="I2639" t="s">
        <v>17712</v>
      </c>
      <c r="J2639" t="s">
        <v>18893</v>
      </c>
      <c r="K2639">
        <v>10033</v>
      </c>
      <c r="L2639" t="s">
        <v>18958</v>
      </c>
      <c r="M2639" t="s">
        <v>18958</v>
      </c>
      <c r="O2639" t="s">
        <v>26523</v>
      </c>
      <c r="P2639" t="s">
        <v>26564</v>
      </c>
      <c r="Q2639" t="s">
        <v>26570</v>
      </c>
      <c r="R2639" t="s">
        <v>26578</v>
      </c>
      <c r="S2639" t="s">
        <v>18959</v>
      </c>
      <c r="U2639" t="s">
        <v>26604</v>
      </c>
      <c r="W2639" t="s">
        <v>639</v>
      </c>
      <c r="X2639">
        <v>1300</v>
      </c>
      <c r="Y2639" t="s">
        <v>26651</v>
      </c>
      <c r="Z2639" t="s">
        <v>26659</v>
      </c>
      <c r="AA2639" t="s">
        <v>26683</v>
      </c>
      <c r="AB2639" t="s">
        <v>28235</v>
      </c>
      <c r="AD2639" t="s">
        <v>38283</v>
      </c>
      <c r="AE2639">
        <v>232</v>
      </c>
      <c r="AF2639" t="s">
        <v>45541</v>
      </c>
      <c r="AG2639" t="s">
        <v>19330</v>
      </c>
      <c r="AH2639">
        <v>16</v>
      </c>
      <c r="AI2639">
        <v>2</v>
      </c>
      <c r="AJ2639">
        <v>1</v>
      </c>
      <c r="AK2639">
        <v>70.56999999999999</v>
      </c>
      <c r="AN2639" t="s">
        <v>7439</v>
      </c>
      <c r="AO2639">
        <v>14664</v>
      </c>
      <c r="AP2639" t="s">
        <v>45761</v>
      </c>
      <c r="AU2639">
        <v>0.6</v>
      </c>
      <c r="AV2639" t="s">
        <v>643</v>
      </c>
      <c r="AW2639" t="s">
        <v>46840</v>
      </c>
    </row>
    <row r="2640" spans="1:50">
      <c r="A2640" s="1">
        <f>HYPERLINK("https://lsnyc.legalserver.org/matter/dynamic-profile/view/1881050","18-1881050")</f>
        <v>0</v>
      </c>
      <c r="B2640" t="s">
        <v>122</v>
      </c>
      <c r="C2640" t="s">
        <v>341</v>
      </c>
      <c r="D2640" t="s">
        <v>639</v>
      </c>
      <c r="E2640" t="s">
        <v>639</v>
      </c>
      <c r="F2640" t="s">
        <v>1292</v>
      </c>
      <c r="G2640" t="s">
        <v>6538</v>
      </c>
      <c r="H2640" t="s">
        <v>11759</v>
      </c>
      <c r="I2640">
        <v>1304</v>
      </c>
      <c r="J2640" t="s">
        <v>18900</v>
      </c>
      <c r="K2640">
        <v>11367</v>
      </c>
      <c r="L2640" t="s">
        <v>18958</v>
      </c>
      <c r="M2640" t="s">
        <v>18958</v>
      </c>
      <c r="N2640" t="s">
        <v>20940</v>
      </c>
      <c r="O2640" t="s">
        <v>26526</v>
      </c>
      <c r="P2640" t="s">
        <v>26564</v>
      </c>
      <c r="Q2640" t="s">
        <v>26570</v>
      </c>
      <c r="R2640" t="s">
        <v>26584</v>
      </c>
      <c r="S2640" t="s">
        <v>18958</v>
      </c>
      <c r="U2640" t="s">
        <v>26604</v>
      </c>
      <c r="W2640" t="s">
        <v>639</v>
      </c>
      <c r="X2640">
        <v>1022</v>
      </c>
      <c r="Y2640" t="s">
        <v>26653</v>
      </c>
      <c r="Z2640" t="s">
        <v>26664</v>
      </c>
      <c r="AA2640" t="s">
        <v>26683</v>
      </c>
      <c r="AB2640" t="s">
        <v>29003</v>
      </c>
      <c r="AD2640" t="s">
        <v>39059</v>
      </c>
      <c r="AE2640">
        <v>81</v>
      </c>
      <c r="AF2640" t="s">
        <v>45541</v>
      </c>
      <c r="AG2640" t="s">
        <v>19330</v>
      </c>
      <c r="AH2640">
        <v>30</v>
      </c>
      <c r="AI2640">
        <v>2</v>
      </c>
      <c r="AJ2640">
        <v>0</v>
      </c>
      <c r="AK2640">
        <v>188.17</v>
      </c>
      <c r="AN2640" t="s">
        <v>7439</v>
      </c>
      <c r="AO2640">
        <v>30972</v>
      </c>
      <c r="AU2640">
        <v>1.6</v>
      </c>
      <c r="AV2640" t="s">
        <v>631</v>
      </c>
      <c r="AW2640" t="s">
        <v>122</v>
      </c>
    </row>
    <row r="2641" spans="1:50">
      <c r="A2641" s="1">
        <f>HYPERLINK("https://lsnyc.legalserver.org/matter/dynamic-profile/view/1881097","18-1881097")</f>
        <v>0</v>
      </c>
      <c r="B2641" t="s">
        <v>198</v>
      </c>
      <c r="C2641" t="s">
        <v>341</v>
      </c>
      <c r="D2641" t="s">
        <v>639</v>
      </c>
      <c r="E2641" t="s">
        <v>811</v>
      </c>
      <c r="F2641" t="s">
        <v>939</v>
      </c>
      <c r="G2641" t="s">
        <v>5224</v>
      </c>
      <c r="H2641" t="s">
        <v>11760</v>
      </c>
      <c r="I2641" t="s">
        <v>17388</v>
      </c>
      <c r="J2641" t="s">
        <v>18894</v>
      </c>
      <c r="K2641">
        <v>11203</v>
      </c>
      <c r="L2641" t="s">
        <v>18958</v>
      </c>
      <c r="M2641" t="s">
        <v>18958</v>
      </c>
      <c r="P2641" t="s">
        <v>26565</v>
      </c>
      <c r="Q2641" t="s">
        <v>26570</v>
      </c>
      <c r="R2641" t="s">
        <v>26578</v>
      </c>
      <c r="U2641" t="s">
        <v>26604</v>
      </c>
      <c r="W2641" t="s">
        <v>639</v>
      </c>
      <c r="X2641">
        <v>0</v>
      </c>
      <c r="Y2641" t="s">
        <v>26652</v>
      </c>
      <c r="AA2641" t="s">
        <v>26683</v>
      </c>
      <c r="AB2641" t="s">
        <v>26843</v>
      </c>
      <c r="AD2641" t="s">
        <v>39060</v>
      </c>
      <c r="AE2641">
        <v>0</v>
      </c>
      <c r="AH2641">
        <v>0</v>
      </c>
      <c r="AI2641">
        <v>2</v>
      </c>
      <c r="AJ2641">
        <v>0</v>
      </c>
      <c r="AK2641">
        <v>82.67</v>
      </c>
      <c r="AN2641" t="s">
        <v>7439</v>
      </c>
      <c r="AO2641">
        <v>13608</v>
      </c>
      <c r="AU2641">
        <v>2.3</v>
      </c>
      <c r="AV2641" t="s">
        <v>828</v>
      </c>
      <c r="AW2641" t="s">
        <v>198</v>
      </c>
    </row>
    <row r="2642" spans="1:50">
      <c r="A2642" s="1">
        <f>HYPERLINK("https://lsnyc.legalserver.org/matter/dynamic-profile/view/1881061","18-1881061")</f>
        <v>0</v>
      </c>
      <c r="B2642" t="s">
        <v>106</v>
      </c>
      <c r="C2642" t="s">
        <v>341</v>
      </c>
      <c r="D2642" t="s">
        <v>639</v>
      </c>
      <c r="E2642" t="s">
        <v>666</v>
      </c>
      <c r="F2642" t="s">
        <v>1087</v>
      </c>
      <c r="G2642" t="s">
        <v>6539</v>
      </c>
      <c r="H2642" t="s">
        <v>11761</v>
      </c>
      <c r="I2642" t="s">
        <v>17683</v>
      </c>
      <c r="J2642" t="s">
        <v>18894</v>
      </c>
      <c r="K2642">
        <v>11225</v>
      </c>
      <c r="L2642" t="s">
        <v>18958</v>
      </c>
      <c r="M2642" t="s">
        <v>18958</v>
      </c>
      <c r="N2642" t="s">
        <v>20941</v>
      </c>
      <c r="O2642" t="s">
        <v>26523</v>
      </c>
      <c r="P2642" t="s">
        <v>26560</v>
      </c>
      <c r="Q2642" t="s">
        <v>26573</v>
      </c>
      <c r="R2642" t="s">
        <v>26588</v>
      </c>
      <c r="S2642" t="s">
        <v>18959</v>
      </c>
      <c r="U2642" t="s">
        <v>26604</v>
      </c>
      <c r="V2642" t="s">
        <v>26610</v>
      </c>
      <c r="W2642" t="s">
        <v>639</v>
      </c>
      <c r="X2642">
        <v>1200</v>
      </c>
      <c r="Y2642" t="s">
        <v>26652</v>
      </c>
      <c r="Z2642" t="s">
        <v>26669</v>
      </c>
      <c r="AA2642" t="s">
        <v>26678</v>
      </c>
      <c r="AB2642" t="s">
        <v>29004</v>
      </c>
      <c r="AD2642" t="s">
        <v>39061</v>
      </c>
      <c r="AE2642">
        <v>222</v>
      </c>
      <c r="AF2642" t="s">
        <v>45541</v>
      </c>
      <c r="AG2642" t="s">
        <v>45560</v>
      </c>
      <c r="AH2642">
        <v>1</v>
      </c>
      <c r="AI2642">
        <v>1</v>
      </c>
      <c r="AJ2642">
        <v>0</v>
      </c>
      <c r="AK2642">
        <v>79.13</v>
      </c>
      <c r="AN2642" t="s">
        <v>7439</v>
      </c>
      <c r="AO2642">
        <v>9606</v>
      </c>
      <c r="AQ2642" t="s">
        <v>46359</v>
      </c>
      <c r="AR2642" t="s">
        <v>46422</v>
      </c>
      <c r="AS2642" t="s">
        <v>46499</v>
      </c>
      <c r="AT2642" t="s">
        <v>46600</v>
      </c>
      <c r="AU2642">
        <v>2.5</v>
      </c>
      <c r="AV2642" t="s">
        <v>666</v>
      </c>
      <c r="AW2642" t="s">
        <v>46862</v>
      </c>
    </row>
    <row r="2643" spans="1:50">
      <c r="A2643" s="1">
        <f>HYPERLINK("https://lsnyc.legalserver.org/matter/dynamic-profile/view/1881096","18-1881096")</f>
        <v>0</v>
      </c>
      <c r="B2643" t="s">
        <v>52</v>
      </c>
      <c r="C2643" t="s">
        <v>341</v>
      </c>
      <c r="D2643" t="s">
        <v>639</v>
      </c>
      <c r="E2643" t="s">
        <v>800</v>
      </c>
      <c r="F2643" t="s">
        <v>1733</v>
      </c>
      <c r="G2643" t="s">
        <v>6516</v>
      </c>
      <c r="H2643" t="s">
        <v>11721</v>
      </c>
      <c r="I2643">
        <v>1</v>
      </c>
      <c r="J2643" t="s">
        <v>18892</v>
      </c>
      <c r="K2643">
        <v>10466</v>
      </c>
      <c r="L2643" t="s">
        <v>18958</v>
      </c>
      <c r="M2643" t="s">
        <v>18958</v>
      </c>
      <c r="N2643" t="s">
        <v>20942</v>
      </c>
      <c r="O2643" t="s">
        <v>26524</v>
      </c>
      <c r="P2643" t="s">
        <v>26560</v>
      </c>
      <c r="Q2643" t="s">
        <v>26568</v>
      </c>
      <c r="R2643" t="s">
        <v>26578</v>
      </c>
      <c r="S2643" t="s">
        <v>18959</v>
      </c>
      <c r="U2643" t="s">
        <v>26604</v>
      </c>
      <c r="V2643" t="s">
        <v>26612</v>
      </c>
      <c r="W2643" t="s">
        <v>639</v>
      </c>
      <c r="X2643">
        <v>1956</v>
      </c>
      <c r="Y2643" t="s">
        <v>26650</v>
      </c>
      <c r="Z2643" t="s">
        <v>26663</v>
      </c>
      <c r="AA2643" t="s">
        <v>26679</v>
      </c>
      <c r="AB2643" t="s">
        <v>28958</v>
      </c>
      <c r="AC2643" t="s">
        <v>35276</v>
      </c>
      <c r="AD2643" t="s">
        <v>39015</v>
      </c>
      <c r="AE2643">
        <v>3</v>
      </c>
      <c r="AF2643" t="s">
        <v>45547</v>
      </c>
      <c r="AG2643" t="s">
        <v>45562</v>
      </c>
      <c r="AH2643">
        <v>2</v>
      </c>
      <c r="AI2643">
        <v>2</v>
      </c>
      <c r="AJ2643">
        <v>3</v>
      </c>
      <c r="AK2643">
        <v>53.03</v>
      </c>
      <c r="AN2643" t="s">
        <v>7439</v>
      </c>
      <c r="AO2643">
        <v>15600</v>
      </c>
      <c r="AQ2643" t="s">
        <v>46365</v>
      </c>
      <c r="AR2643" t="s">
        <v>46433</v>
      </c>
      <c r="AS2643" t="s">
        <v>46500</v>
      </c>
      <c r="AT2643" t="s">
        <v>46706</v>
      </c>
      <c r="AU2643">
        <v>27</v>
      </c>
      <c r="AV2643" t="s">
        <v>416</v>
      </c>
      <c r="AW2643" t="s">
        <v>46871</v>
      </c>
    </row>
    <row r="2644" spans="1:50">
      <c r="A2644" s="1">
        <f>HYPERLINK("https://lsnyc.legalserver.org/matter/dynamic-profile/view/1881048","18-1881048")</f>
        <v>0</v>
      </c>
      <c r="B2644" t="s">
        <v>136</v>
      </c>
      <c r="C2644" t="s">
        <v>340</v>
      </c>
      <c r="D2644" t="s">
        <v>639</v>
      </c>
      <c r="F2644" t="s">
        <v>1178</v>
      </c>
      <c r="G2644" t="s">
        <v>5086</v>
      </c>
      <c r="H2644" t="s">
        <v>11762</v>
      </c>
      <c r="I2644">
        <v>214</v>
      </c>
      <c r="J2644" t="s">
        <v>18892</v>
      </c>
      <c r="K2644">
        <v>10457</v>
      </c>
      <c r="L2644" t="s">
        <v>18958</v>
      </c>
      <c r="M2644" t="s">
        <v>18958</v>
      </c>
      <c r="N2644" t="s">
        <v>20943</v>
      </c>
      <c r="O2644" t="s">
        <v>26523</v>
      </c>
      <c r="P2644" t="s">
        <v>26560</v>
      </c>
      <c r="R2644" t="s">
        <v>26579</v>
      </c>
      <c r="U2644" t="s">
        <v>26604</v>
      </c>
      <c r="V2644" t="s">
        <v>26610</v>
      </c>
      <c r="W2644" t="s">
        <v>639</v>
      </c>
      <c r="X2644">
        <v>221</v>
      </c>
      <c r="Y2644" t="s">
        <v>26650</v>
      </c>
      <c r="Z2644" t="s">
        <v>26664</v>
      </c>
      <c r="AB2644" t="s">
        <v>29005</v>
      </c>
      <c r="AE2644">
        <v>84</v>
      </c>
      <c r="AF2644" t="s">
        <v>45551</v>
      </c>
      <c r="AG2644" t="s">
        <v>45556</v>
      </c>
      <c r="AH2644">
        <v>10</v>
      </c>
      <c r="AI2644">
        <v>1</v>
      </c>
      <c r="AJ2644">
        <v>0</v>
      </c>
      <c r="AK2644">
        <v>74.14</v>
      </c>
      <c r="AO2644">
        <v>9000</v>
      </c>
      <c r="AP2644" t="s">
        <v>45654</v>
      </c>
      <c r="AU2644">
        <v>8.75</v>
      </c>
      <c r="AV2644" t="s">
        <v>724</v>
      </c>
      <c r="AW2644" t="s">
        <v>334</v>
      </c>
    </row>
    <row r="2645" spans="1:50">
      <c r="A2645" s="1">
        <f>HYPERLINK("https://lsnyc.legalserver.org/matter/dynamic-profile/view/1881151","18-1881151")</f>
        <v>0</v>
      </c>
      <c r="B2645" t="s">
        <v>82</v>
      </c>
      <c r="C2645" t="s">
        <v>340</v>
      </c>
      <c r="D2645" t="s">
        <v>639</v>
      </c>
      <c r="F2645" t="s">
        <v>2335</v>
      </c>
      <c r="G2645" t="s">
        <v>5300</v>
      </c>
      <c r="H2645" t="s">
        <v>11763</v>
      </c>
      <c r="I2645" t="s">
        <v>17316</v>
      </c>
      <c r="J2645" t="s">
        <v>18892</v>
      </c>
      <c r="K2645">
        <v>10468</v>
      </c>
      <c r="L2645" t="s">
        <v>18958</v>
      </c>
      <c r="M2645" t="s">
        <v>18958</v>
      </c>
      <c r="N2645" t="s">
        <v>20944</v>
      </c>
      <c r="O2645" t="s">
        <v>26524</v>
      </c>
      <c r="P2645" t="s">
        <v>26560</v>
      </c>
      <c r="R2645" t="s">
        <v>26579</v>
      </c>
      <c r="S2645" t="s">
        <v>18959</v>
      </c>
      <c r="U2645" t="s">
        <v>26604</v>
      </c>
      <c r="V2645" t="s">
        <v>26610</v>
      </c>
      <c r="W2645" t="s">
        <v>639</v>
      </c>
      <c r="X2645">
        <v>1479</v>
      </c>
      <c r="Y2645" t="s">
        <v>26650</v>
      </c>
      <c r="Z2645" t="s">
        <v>26664</v>
      </c>
      <c r="AB2645" t="s">
        <v>29006</v>
      </c>
      <c r="AC2645" t="s">
        <v>35288</v>
      </c>
      <c r="AD2645" t="s">
        <v>39062</v>
      </c>
      <c r="AE2645">
        <v>0</v>
      </c>
      <c r="AF2645" t="s">
        <v>45541</v>
      </c>
      <c r="AG2645" t="s">
        <v>45556</v>
      </c>
      <c r="AH2645">
        <v>5</v>
      </c>
      <c r="AI2645">
        <v>1</v>
      </c>
      <c r="AJ2645">
        <v>0</v>
      </c>
      <c r="AK2645">
        <v>13.05</v>
      </c>
      <c r="AN2645" t="s">
        <v>7439</v>
      </c>
      <c r="AO2645">
        <v>1584</v>
      </c>
      <c r="AU2645">
        <v>10</v>
      </c>
      <c r="AV2645" t="s">
        <v>801</v>
      </c>
      <c r="AW2645" t="s">
        <v>334</v>
      </c>
    </row>
    <row r="2646" spans="1:50">
      <c r="A2646" s="1">
        <f>HYPERLINK("https://lsnyc.legalserver.org/matter/dynamic-profile/view/1881067","18-1881067")</f>
        <v>0</v>
      </c>
      <c r="B2646" t="s">
        <v>240</v>
      </c>
      <c r="C2646" t="s">
        <v>340</v>
      </c>
      <c r="D2646" t="s">
        <v>639</v>
      </c>
      <c r="F2646" t="s">
        <v>1228</v>
      </c>
      <c r="G2646" t="s">
        <v>5199</v>
      </c>
      <c r="H2646" t="s">
        <v>11744</v>
      </c>
      <c r="I2646" t="s">
        <v>17299</v>
      </c>
      <c r="J2646" t="s">
        <v>18894</v>
      </c>
      <c r="K2646">
        <v>11226</v>
      </c>
      <c r="L2646" t="s">
        <v>18958</v>
      </c>
      <c r="M2646" t="s">
        <v>18958</v>
      </c>
      <c r="N2646" t="s">
        <v>20935</v>
      </c>
      <c r="O2646" t="s">
        <v>26526</v>
      </c>
      <c r="P2646" t="s">
        <v>26560</v>
      </c>
      <c r="R2646" t="s">
        <v>26578</v>
      </c>
      <c r="S2646" t="s">
        <v>18958</v>
      </c>
      <c r="U2646" t="s">
        <v>26604</v>
      </c>
      <c r="W2646" t="s">
        <v>639</v>
      </c>
      <c r="X2646">
        <v>1632</v>
      </c>
      <c r="Y2646" t="s">
        <v>26652</v>
      </c>
      <c r="AB2646" t="s">
        <v>29007</v>
      </c>
      <c r="AD2646" t="s">
        <v>39063</v>
      </c>
      <c r="AE2646">
        <v>6</v>
      </c>
      <c r="AH2646">
        <v>2</v>
      </c>
      <c r="AI2646">
        <v>1</v>
      </c>
      <c r="AJ2646">
        <v>0</v>
      </c>
      <c r="AK2646">
        <v>417.63</v>
      </c>
      <c r="AN2646" t="s">
        <v>7439</v>
      </c>
      <c r="AO2646">
        <v>50700</v>
      </c>
      <c r="AU2646">
        <v>0</v>
      </c>
      <c r="AW2646" t="s">
        <v>46856</v>
      </c>
    </row>
    <row r="2647" spans="1:50">
      <c r="A2647" s="1">
        <f>HYPERLINK("https://lsnyc.legalserver.org/matter/dynamic-profile/view/1881281","18-1881281")</f>
        <v>0</v>
      </c>
      <c r="B2647" t="s">
        <v>90</v>
      </c>
      <c r="C2647" t="s">
        <v>340</v>
      </c>
      <c r="D2647" t="s">
        <v>631</v>
      </c>
      <c r="F2647" t="s">
        <v>1706</v>
      </c>
      <c r="G2647" t="s">
        <v>6540</v>
      </c>
      <c r="H2647" t="s">
        <v>11709</v>
      </c>
      <c r="I2647">
        <v>2</v>
      </c>
      <c r="J2647" t="s">
        <v>18893</v>
      </c>
      <c r="K2647">
        <v>10039</v>
      </c>
      <c r="L2647" t="s">
        <v>18958</v>
      </c>
      <c r="M2647" t="s">
        <v>18958</v>
      </c>
      <c r="N2647" t="s">
        <v>20891</v>
      </c>
      <c r="O2647" t="s">
        <v>26526</v>
      </c>
      <c r="P2647" t="s">
        <v>26560</v>
      </c>
      <c r="R2647" t="s">
        <v>26578</v>
      </c>
      <c r="S2647" t="s">
        <v>18958</v>
      </c>
      <c r="U2647" t="s">
        <v>26604</v>
      </c>
      <c r="V2647" t="s">
        <v>26610</v>
      </c>
      <c r="W2647" t="s">
        <v>639</v>
      </c>
      <c r="X2647">
        <v>1222.79</v>
      </c>
      <c r="Y2647" t="s">
        <v>26651</v>
      </c>
      <c r="Z2647" t="s">
        <v>26661</v>
      </c>
      <c r="AB2647" t="s">
        <v>29008</v>
      </c>
      <c r="AD2647" t="s">
        <v>39064</v>
      </c>
      <c r="AE2647">
        <v>24</v>
      </c>
      <c r="AF2647" t="s">
        <v>45541</v>
      </c>
      <c r="AG2647" t="s">
        <v>19330</v>
      </c>
      <c r="AH2647">
        <v>15</v>
      </c>
      <c r="AI2647">
        <v>1</v>
      </c>
      <c r="AJ2647">
        <v>0</v>
      </c>
      <c r="AK2647">
        <v>73.05</v>
      </c>
      <c r="AN2647" t="s">
        <v>7439</v>
      </c>
      <c r="AO2647">
        <v>8868</v>
      </c>
      <c r="AU2647">
        <v>0</v>
      </c>
      <c r="AW2647" t="s">
        <v>46835</v>
      </c>
    </row>
    <row r="2648" spans="1:50">
      <c r="A2648" s="1">
        <f>HYPERLINK("https://lsnyc.legalserver.org/matter/dynamic-profile/view/1881294","18-1881294")</f>
        <v>0</v>
      </c>
      <c r="B2648" t="s">
        <v>90</v>
      </c>
      <c r="C2648" t="s">
        <v>340</v>
      </c>
      <c r="D2648" t="s">
        <v>631</v>
      </c>
      <c r="F2648" t="s">
        <v>939</v>
      </c>
      <c r="G2648" t="s">
        <v>5987</v>
      </c>
      <c r="H2648" t="s">
        <v>11709</v>
      </c>
      <c r="I2648">
        <v>52</v>
      </c>
      <c r="J2648" t="s">
        <v>18893</v>
      </c>
      <c r="K2648">
        <v>10039</v>
      </c>
      <c r="L2648" t="s">
        <v>18958</v>
      </c>
      <c r="M2648" t="s">
        <v>18958</v>
      </c>
      <c r="N2648" t="s">
        <v>20891</v>
      </c>
      <c r="O2648" t="s">
        <v>26526</v>
      </c>
      <c r="P2648" t="s">
        <v>26560</v>
      </c>
      <c r="R2648" t="s">
        <v>26578</v>
      </c>
      <c r="S2648" t="s">
        <v>18958</v>
      </c>
      <c r="U2648" t="s">
        <v>26604</v>
      </c>
      <c r="V2648" t="s">
        <v>26610</v>
      </c>
      <c r="W2648" t="s">
        <v>639</v>
      </c>
      <c r="X2648">
        <v>196.5</v>
      </c>
      <c r="Y2648" t="s">
        <v>26651</v>
      </c>
      <c r="Z2648" t="s">
        <v>26661</v>
      </c>
      <c r="AB2648" t="s">
        <v>29009</v>
      </c>
      <c r="AD2648" t="s">
        <v>39064</v>
      </c>
      <c r="AE2648">
        <v>24</v>
      </c>
      <c r="AF2648" t="s">
        <v>45548</v>
      </c>
      <c r="AG2648" t="s">
        <v>19330</v>
      </c>
      <c r="AH2648">
        <v>50</v>
      </c>
      <c r="AI2648">
        <v>2</v>
      </c>
      <c r="AJ2648">
        <v>0</v>
      </c>
      <c r="AK2648">
        <v>103.74</v>
      </c>
      <c r="AN2648" t="s">
        <v>7439</v>
      </c>
      <c r="AO2648">
        <v>17076</v>
      </c>
      <c r="AU2648">
        <v>0</v>
      </c>
      <c r="AW2648" t="s">
        <v>46835</v>
      </c>
    </row>
    <row r="2649" spans="1:50">
      <c r="A2649" s="1">
        <f>HYPERLINK("https://lsnyc.legalserver.org/matter/dynamic-profile/view/1881268","18-1881268")</f>
        <v>0</v>
      </c>
      <c r="B2649" t="s">
        <v>90</v>
      </c>
      <c r="C2649" t="s">
        <v>340</v>
      </c>
      <c r="D2649" t="s">
        <v>631</v>
      </c>
      <c r="F2649" t="s">
        <v>948</v>
      </c>
      <c r="G2649" t="s">
        <v>6541</v>
      </c>
      <c r="H2649" t="s">
        <v>11709</v>
      </c>
      <c r="I2649">
        <v>34</v>
      </c>
      <c r="J2649" t="s">
        <v>18893</v>
      </c>
      <c r="K2649">
        <v>10039</v>
      </c>
      <c r="L2649" t="s">
        <v>18958</v>
      </c>
      <c r="M2649" t="s">
        <v>18958</v>
      </c>
      <c r="N2649" t="s">
        <v>20891</v>
      </c>
      <c r="O2649" t="s">
        <v>26526</v>
      </c>
      <c r="P2649" t="s">
        <v>26560</v>
      </c>
      <c r="R2649" t="s">
        <v>26578</v>
      </c>
      <c r="S2649" t="s">
        <v>18958</v>
      </c>
      <c r="U2649" t="s">
        <v>26604</v>
      </c>
      <c r="V2649" t="s">
        <v>26610</v>
      </c>
      <c r="W2649" t="s">
        <v>639</v>
      </c>
      <c r="X2649">
        <v>1600</v>
      </c>
      <c r="Y2649" t="s">
        <v>26651</v>
      </c>
      <c r="Z2649" t="s">
        <v>26661</v>
      </c>
      <c r="AB2649" t="s">
        <v>29010</v>
      </c>
      <c r="AD2649" t="s">
        <v>39065</v>
      </c>
      <c r="AE2649">
        <v>24</v>
      </c>
      <c r="AF2649" t="s">
        <v>45544</v>
      </c>
      <c r="AG2649" t="s">
        <v>19330</v>
      </c>
      <c r="AH2649">
        <v>4</v>
      </c>
      <c r="AI2649">
        <v>1</v>
      </c>
      <c r="AJ2649">
        <v>0</v>
      </c>
      <c r="AK2649">
        <v>182.37</v>
      </c>
      <c r="AN2649" t="s">
        <v>7439</v>
      </c>
      <c r="AO2649">
        <v>22140</v>
      </c>
      <c r="AU2649">
        <v>44.9</v>
      </c>
      <c r="AV2649" t="s">
        <v>834</v>
      </c>
      <c r="AW2649" t="s">
        <v>46835</v>
      </c>
      <c r="AX2649" t="s">
        <v>46897</v>
      </c>
    </row>
    <row r="2650" spans="1:50">
      <c r="A2650" s="1">
        <f>HYPERLINK("https://lsnyc.legalserver.org/matter/dynamic-profile/view/1881592","18-1881592")</f>
        <v>0</v>
      </c>
      <c r="B2650" t="s">
        <v>240</v>
      </c>
      <c r="C2650" t="s">
        <v>341</v>
      </c>
      <c r="D2650" t="s">
        <v>618</v>
      </c>
      <c r="E2650" t="s">
        <v>415</v>
      </c>
      <c r="F2650" t="s">
        <v>994</v>
      </c>
      <c r="G2650" t="s">
        <v>6542</v>
      </c>
      <c r="H2650" t="s">
        <v>11734</v>
      </c>
      <c r="I2650" t="s">
        <v>17425</v>
      </c>
      <c r="J2650" t="s">
        <v>18894</v>
      </c>
      <c r="K2650">
        <v>11230</v>
      </c>
      <c r="L2650" t="s">
        <v>18958</v>
      </c>
      <c r="M2650" t="s">
        <v>18958</v>
      </c>
      <c r="O2650" t="s">
        <v>26531</v>
      </c>
      <c r="P2650" t="s">
        <v>26562</v>
      </c>
      <c r="Q2650" t="s">
        <v>26571</v>
      </c>
      <c r="R2650" t="s">
        <v>26578</v>
      </c>
      <c r="S2650" t="s">
        <v>18958</v>
      </c>
      <c r="U2650" t="s">
        <v>26604</v>
      </c>
      <c r="W2650" t="s">
        <v>639</v>
      </c>
      <c r="X2650">
        <v>786.6</v>
      </c>
      <c r="Y2650" t="s">
        <v>26652</v>
      </c>
      <c r="AA2650" t="s">
        <v>26685</v>
      </c>
      <c r="AB2650" t="s">
        <v>29011</v>
      </c>
      <c r="AE2650">
        <v>66</v>
      </c>
      <c r="AF2650" t="s">
        <v>45541</v>
      </c>
      <c r="AH2650">
        <v>42</v>
      </c>
      <c r="AI2650">
        <v>2</v>
      </c>
      <c r="AJ2650">
        <v>0</v>
      </c>
      <c r="AK2650">
        <v>0</v>
      </c>
      <c r="AN2650" t="s">
        <v>7439</v>
      </c>
      <c r="AO2650">
        <v>0</v>
      </c>
      <c r="AU2650">
        <v>0.55</v>
      </c>
      <c r="AV2650" t="s">
        <v>458</v>
      </c>
      <c r="AW2650" t="s">
        <v>198</v>
      </c>
    </row>
    <row r="2651" spans="1:50">
      <c r="A2651" s="1">
        <f>HYPERLINK("https://lsnyc.legalserver.org/matter/dynamic-profile/view/1881619","18-1881619")</f>
        <v>0</v>
      </c>
      <c r="B2651" t="s">
        <v>240</v>
      </c>
      <c r="C2651" t="s">
        <v>341</v>
      </c>
      <c r="D2651" t="s">
        <v>618</v>
      </c>
      <c r="E2651" t="s">
        <v>415</v>
      </c>
      <c r="F2651" t="s">
        <v>2336</v>
      </c>
      <c r="G2651" t="s">
        <v>6543</v>
      </c>
      <c r="H2651" t="s">
        <v>11734</v>
      </c>
      <c r="I2651" t="s">
        <v>17424</v>
      </c>
      <c r="J2651" t="s">
        <v>18894</v>
      </c>
      <c r="K2651">
        <v>11230</v>
      </c>
      <c r="L2651" t="s">
        <v>18958</v>
      </c>
      <c r="M2651" t="s">
        <v>18960</v>
      </c>
      <c r="O2651" t="s">
        <v>26531</v>
      </c>
      <c r="P2651" t="s">
        <v>26562</v>
      </c>
      <c r="Q2651" t="s">
        <v>26571</v>
      </c>
      <c r="R2651" t="s">
        <v>26578</v>
      </c>
      <c r="S2651" t="s">
        <v>18958</v>
      </c>
      <c r="U2651" t="s">
        <v>26604</v>
      </c>
      <c r="W2651" t="s">
        <v>639</v>
      </c>
      <c r="X2651">
        <v>1490</v>
      </c>
      <c r="Y2651" t="s">
        <v>26652</v>
      </c>
      <c r="AA2651" t="s">
        <v>26685</v>
      </c>
      <c r="AB2651" t="s">
        <v>29012</v>
      </c>
      <c r="AE2651">
        <v>66</v>
      </c>
      <c r="AF2651" t="s">
        <v>20460</v>
      </c>
      <c r="AH2651">
        <v>5</v>
      </c>
      <c r="AI2651">
        <v>4</v>
      </c>
      <c r="AJ2651">
        <v>0</v>
      </c>
      <c r="AK2651">
        <v>0</v>
      </c>
      <c r="AN2651" t="s">
        <v>7439</v>
      </c>
      <c r="AO2651">
        <v>0</v>
      </c>
      <c r="AU2651">
        <v>0.55</v>
      </c>
      <c r="AV2651" t="s">
        <v>458</v>
      </c>
      <c r="AW2651" t="s">
        <v>198</v>
      </c>
    </row>
    <row r="2652" spans="1:50">
      <c r="A2652" s="1">
        <f>HYPERLINK("https://lsnyc.legalserver.org/matter/dynamic-profile/view/1881626","18-1881626")</f>
        <v>0</v>
      </c>
      <c r="B2652" t="s">
        <v>240</v>
      </c>
      <c r="C2652" t="s">
        <v>341</v>
      </c>
      <c r="D2652" t="s">
        <v>618</v>
      </c>
      <c r="E2652" t="s">
        <v>415</v>
      </c>
      <c r="F2652" t="s">
        <v>2337</v>
      </c>
      <c r="G2652" t="s">
        <v>6544</v>
      </c>
      <c r="H2652" t="s">
        <v>11734</v>
      </c>
      <c r="I2652" t="s">
        <v>17410</v>
      </c>
      <c r="J2652" t="s">
        <v>18894</v>
      </c>
      <c r="K2652">
        <v>11230</v>
      </c>
      <c r="L2652" t="s">
        <v>18959</v>
      </c>
      <c r="M2652" t="s">
        <v>18959</v>
      </c>
      <c r="O2652" t="s">
        <v>26531</v>
      </c>
      <c r="P2652" t="s">
        <v>26562</v>
      </c>
      <c r="Q2652" t="s">
        <v>26571</v>
      </c>
      <c r="R2652" t="s">
        <v>26578</v>
      </c>
      <c r="S2652" t="s">
        <v>18958</v>
      </c>
      <c r="U2652" t="s">
        <v>26604</v>
      </c>
      <c r="W2652" t="s">
        <v>639</v>
      </c>
      <c r="X2652">
        <v>1375</v>
      </c>
      <c r="Y2652" t="s">
        <v>26652</v>
      </c>
      <c r="AA2652" t="s">
        <v>26685</v>
      </c>
      <c r="AB2652" t="s">
        <v>27728</v>
      </c>
      <c r="AE2652">
        <v>0</v>
      </c>
      <c r="AF2652" t="s">
        <v>45541</v>
      </c>
      <c r="AH2652">
        <v>10</v>
      </c>
      <c r="AI2652">
        <v>5</v>
      </c>
      <c r="AJ2652">
        <v>0</v>
      </c>
      <c r="AK2652">
        <v>0</v>
      </c>
      <c r="AN2652" t="s">
        <v>7439</v>
      </c>
      <c r="AO2652">
        <v>0</v>
      </c>
      <c r="AU2652">
        <v>0.55</v>
      </c>
      <c r="AV2652" t="s">
        <v>458</v>
      </c>
      <c r="AW2652" t="s">
        <v>198</v>
      </c>
    </row>
    <row r="2653" spans="1:50">
      <c r="A2653" s="1">
        <f>HYPERLINK("https://lsnyc.legalserver.org/matter/dynamic-profile/view/1881605","18-1881605")</f>
        <v>0</v>
      </c>
      <c r="B2653" t="s">
        <v>240</v>
      </c>
      <c r="C2653" t="s">
        <v>341</v>
      </c>
      <c r="D2653" t="s">
        <v>618</v>
      </c>
      <c r="E2653" t="s">
        <v>415</v>
      </c>
      <c r="F2653" t="s">
        <v>2338</v>
      </c>
      <c r="G2653" t="s">
        <v>6545</v>
      </c>
      <c r="H2653" t="s">
        <v>11734</v>
      </c>
      <c r="I2653" t="s">
        <v>17278</v>
      </c>
      <c r="J2653" t="s">
        <v>18894</v>
      </c>
      <c r="K2653">
        <v>11230</v>
      </c>
      <c r="L2653" t="s">
        <v>18958</v>
      </c>
      <c r="M2653" t="s">
        <v>18958</v>
      </c>
      <c r="O2653" t="s">
        <v>26531</v>
      </c>
      <c r="P2653" t="s">
        <v>26562</v>
      </c>
      <c r="Q2653" t="s">
        <v>26571</v>
      </c>
      <c r="R2653" t="s">
        <v>26578</v>
      </c>
      <c r="S2653" t="s">
        <v>18958</v>
      </c>
      <c r="U2653" t="s">
        <v>26604</v>
      </c>
      <c r="W2653" t="s">
        <v>639</v>
      </c>
      <c r="X2653">
        <v>1275.2</v>
      </c>
      <c r="Y2653" t="s">
        <v>26652</v>
      </c>
      <c r="AA2653" t="s">
        <v>26685</v>
      </c>
      <c r="AB2653" t="s">
        <v>27053</v>
      </c>
      <c r="AE2653">
        <v>66</v>
      </c>
      <c r="AF2653" t="s">
        <v>45553</v>
      </c>
      <c r="AH2653">
        <v>14</v>
      </c>
      <c r="AI2653">
        <v>3</v>
      </c>
      <c r="AJ2653">
        <v>0</v>
      </c>
      <c r="AK2653">
        <v>144.37</v>
      </c>
      <c r="AN2653" t="s">
        <v>7439</v>
      </c>
      <c r="AO2653">
        <v>30000</v>
      </c>
      <c r="AU2653">
        <v>0.55</v>
      </c>
      <c r="AV2653" t="s">
        <v>458</v>
      </c>
      <c r="AW2653" t="s">
        <v>198</v>
      </c>
    </row>
    <row r="2654" spans="1:50">
      <c r="A2654" s="1">
        <f>HYPERLINK("https://lsnyc.legalserver.org/matter/dynamic-profile/view/1881599","18-1881599")</f>
        <v>0</v>
      </c>
      <c r="B2654" t="s">
        <v>240</v>
      </c>
      <c r="C2654" t="s">
        <v>341</v>
      </c>
      <c r="D2654" t="s">
        <v>618</v>
      </c>
      <c r="E2654" t="s">
        <v>415</v>
      </c>
      <c r="F2654" t="s">
        <v>2339</v>
      </c>
      <c r="G2654" t="s">
        <v>5634</v>
      </c>
      <c r="H2654" t="s">
        <v>11734</v>
      </c>
      <c r="I2654" t="s">
        <v>17362</v>
      </c>
      <c r="J2654" t="s">
        <v>18894</v>
      </c>
      <c r="K2654">
        <v>11230</v>
      </c>
      <c r="L2654" t="s">
        <v>18958</v>
      </c>
      <c r="M2654" t="s">
        <v>18959</v>
      </c>
      <c r="O2654" t="s">
        <v>26531</v>
      </c>
      <c r="P2654" t="s">
        <v>26562</v>
      </c>
      <c r="Q2654" t="s">
        <v>26571</v>
      </c>
      <c r="R2654" t="s">
        <v>26578</v>
      </c>
      <c r="S2654" t="s">
        <v>18958</v>
      </c>
      <c r="U2654" t="s">
        <v>26604</v>
      </c>
      <c r="W2654" t="s">
        <v>639</v>
      </c>
      <c r="X2654">
        <v>1475</v>
      </c>
      <c r="Y2654" t="s">
        <v>26652</v>
      </c>
      <c r="AA2654" t="s">
        <v>26685</v>
      </c>
      <c r="AB2654" t="s">
        <v>29013</v>
      </c>
      <c r="AD2654" t="s">
        <v>39066</v>
      </c>
      <c r="AE2654">
        <v>66</v>
      </c>
      <c r="AF2654" t="s">
        <v>45541</v>
      </c>
      <c r="AH2654">
        <v>22</v>
      </c>
      <c r="AI2654">
        <v>1</v>
      </c>
      <c r="AJ2654">
        <v>0</v>
      </c>
      <c r="AK2654">
        <v>288.3</v>
      </c>
      <c r="AN2654" t="s">
        <v>7439</v>
      </c>
      <c r="AO2654">
        <v>35000</v>
      </c>
      <c r="AU2654">
        <v>0.55</v>
      </c>
      <c r="AV2654" t="s">
        <v>458</v>
      </c>
      <c r="AW2654" t="s">
        <v>198</v>
      </c>
    </row>
    <row r="2655" spans="1:50">
      <c r="A2655" s="1">
        <f>HYPERLINK("https://lsnyc.legalserver.org/matter/dynamic-profile/view/1881614","18-1881614")</f>
        <v>0</v>
      </c>
      <c r="B2655" t="s">
        <v>240</v>
      </c>
      <c r="C2655" t="s">
        <v>341</v>
      </c>
      <c r="D2655" t="s">
        <v>618</v>
      </c>
      <c r="E2655" t="s">
        <v>415</v>
      </c>
      <c r="F2655" t="s">
        <v>2338</v>
      </c>
      <c r="G2655" t="s">
        <v>6546</v>
      </c>
      <c r="H2655" t="s">
        <v>11734</v>
      </c>
      <c r="I2655" t="s">
        <v>17378</v>
      </c>
      <c r="J2655" t="s">
        <v>18894</v>
      </c>
      <c r="K2655">
        <v>11230</v>
      </c>
      <c r="L2655" t="s">
        <v>18958</v>
      </c>
      <c r="M2655" t="s">
        <v>18960</v>
      </c>
      <c r="O2655" t="s">
        <v>26531</v>
      </c>
      <c r="P2655" t="s">
        <v>26562</v>
      </c>
      <c r="Q2655" t="s">
        <v>26571</v>
      </c>
      <c r="R2655" t="s">
        <v>26578</v>
      </c>
      <c r="S2655" t="s">
        <v>18958</v>
      </c>
      <c r="U2655" t="s">
        <v>26604</v>
      </c>
      <c r="W2655" t="s">
        <v>639</v>
      </c>
      <c r="X2655">
        <v>0</v>
      </c>
      <c r="Y2655" t="s">
        <v>26652</v>
      </c>
      <c r="AA2655" t="s">
        <v>26685</v>
      </c>
      <c r="AB2655" t="s">
        <v>29014</v>
      </c>
      <c r="AE2655">
        <v>66</v>
      </c>
      <c r="AF2655" t="s">
        <v>45553</v>
      </c>
      <c r="AH2655">
        <v>1</v>
      </c>
      <c r="AI2655">
        <v>2</v>
      </c>
      <c r="AJ2655">
        <v>0</v>
      </c>
      <c r="AK2655">
        <v>303.77</v>
      </c>
      <c r="AN2655" t="s">
        <v>7439</v>
      </c>
      <c r="AO2655">
        <v>50000</v>
      </c>
      <c r="AU2655">
        <v>0.8</v>
      </c>
      <c r="AV2655" t="s">
        <v>458</v>
      </c>
      <c r="AW2655" t="s">
        <v>198</v>
      </c>
    </row>
    <row r="2656" spans="1:50">
      <c r="A2656" s="1">
        <f>HYPERLINK("https://lsnyc.legalserver.org/matter/dynamic-profile/view/1849399","17-1849399")</f>
        <v>0</v>
      </c>
      <c r="B2656" t="s">
        <v>121</v>
      </c>
      <c r="C2656" t="s">
        <v>340</v>
      </c>
      <c r="D2656" t="s">
        <v>640</v>
      </c>
      <c r="F2656" t="s">
        <v>986</v>
      </c>
      <c r="G2656" t="s">
        <v>5633</v>
      </c>
      <c r="H2656" t="s">
        <v>9645</v>
      </c>
      <c r="I2656" t="s">
        <v>17272</v>
      </c>
      <c r="J2656" t="s">
        <v>18892</v>
      </c>
      <c r="K2656">
        <v>10457</v>
      </c>
      <c r="L2656" t="s">
        <v>18958</v>
      </c>
      <c r="M2656" t="s">
        <v>18960</v>
      </c>
      <c r="N2656" t="s">
        <v>20945</v>
      </c>
      <c r="O2656" t="s">
        <v>26524</v>
      </c>
      <c r="P2656" t="s">
        <v>26560</v>
      </c>
      <c r="R2656" t="s">
        <v>26579</v>
      </c>
      <c r="S2656" t="s">
        <v>18959</v>
      </c>
      <c r="U2656" t="s">
        <v>26604</v>
      </c>
      <c r="V2656" t="s">
        <v>26609</v>
      </c>
      <c r="W2656" t="s">
        <v>631</v>
      </c>
      <c r="X2656">
        <v>514.45</v>
      </c>
      <c r="Y2656" t="s">
        <v>26650</v>
      </c>
      <c r="Z2656" t="s">
        <v>26662</v>
      </c>
      <c r="AB2656" t="s">
        <v>29015</v>
      </c>
      <c r="AC2656" t="s">
        <v>35289</v>
      </c>
      <c r="AD2656" t="s">
        <v>39067</v>
      </c>
      <c r="AE2656">
        <v>0</v>
      </c>
      <c r="AF2656" t="s">
        <v>45541</v>
      </c>
      <c r="AG2656" t="s">
        <v>19330</v>
      </c>
      <c r="AH2656">
        <v>40</v>
      </c>
      <c r="AI2656">
        <v>5</v>
      </c>
      <c r="AJ2656">
        <v>1</v>
      </c>
      <c r="AK2656">
        <v>10.74</v>
      </c>
      <c r="AN2656" t="s">
        <v>7439</v>
      </c>
      <c r="AO2656">
        <v>3540</v>
      </c>
      <c r="AP2656" t="s">
        <v>45617</v>
      </c>
      <c r="AU2656">
        <v>28.65</v>
      </c>
      <c r="AV2656" t="s">
        <v>838</v>
      </c>
      <c r="AW2656" t="s">
        <v>46832</v>
      </c>
    </row>
    <row r="2657" spans="1:49">
      <c r="A2657" s="1">
        <f>HYPERLINK("https://lsnyc.legalserver.org/matter/dynamic-profile/view/1864902","18-1864902")</f>
        <v>0</v>
      </c>
      <c r="B2657" t="s">
        <v>240</v>
      </c>
      <c r="C2657" t="s">
        <v>340</v>
      </c>
      <c r="D2657" t="s">
        <v>489</v>
      </c>
      <c r="F2657" t="s">
        <v>1527</v>
      </c>
      <c r="G2657" t="s">
        <v>968</v>
      </c>
      <c r="H2657" t="s">
        <v>10799</v>
      </c>
      <c r="I2657" t="s">
        <v>17386</v>
      </c>
      <c r="J2657" t="s">
        <v>18894</v>
      </c>
      <c r="K2657">
        <v>11226</v>
      </c>
      <c r="L2657" t="s">
        <v>18958</v>
      </c>
      <c r="M2657" t="s">
        <v>18958</v>
      </c>
      <c r="O2657" t="s">
        <v>26529</v>
      </c>
      <c r="P2657" t="s">
        <v>26562</v>
      </c>
      <c r="R2657" t="s">
        <v>26578</v>
      </c>
      <c r="S2657" t="s">
        <v>18958</v>
      </c>
      <c r="T2657" t="s">
        <v>26601</v>
      </c>
      <c r="U2657" t="s">
        <v>26604</v>
      </c>
      <c r="W2657" t="s">
        <v>631</v>
      </c>
      <c r="X2657">
        <v>915</v>
      </c>
      <c r="Y2657" t="s">
        <v>26652</v>
      </c>
      <c r="Z2657" t="s">
        <v>26663</v>
      </c>
      <c r="AB2657" t="s">
        <v>27958</v>
      </c>
      <c r="AD2657" t="s">
        <v>38009</v>
      </c>
      <c r="AE2657">
        <v>6</v>
      </c>
      <c r="AF2657" t="s">
        <v>45541</v>
      </c>
      <c r="AG2657" t="s">
        <v>19330</v>
      </c>
      <c r="AH2657">
        <v>9</v>
      </c>
      <c r="AI2657">
        <v>2</v>
      </c>
      <c r="AJ2657">
        <v>0</v>
      </c>
      <c r="AK2657">
        <v>75.94</v>
      </c>
      <c r="AN2657" t="s">
        <v>7439</v>
      </c>
      <c r="AO2657">
        <v>12500</v>
      </c>
      <c r="AU2657">
        <v>2.75</v>
      </c>
      <c r="AV2657" t="s">
        <v>710</v>
      </c>
      <c r="AW2657" t="s">
        <v>237</v>
      </c>
    </row>
    <row r="2658" spans="1:49">
      <c r="A2658" s="1">
        <f>HYPERLINK("https://lsnyc.legalserver.org/matter/dynamic-profile/view/1864898","18-1864898")</f>
        <v>0</v>
      </c>
      <c r="B2658" t="s">
        <v>240</v>
      </c>
      <c r="C2658" t="s">
        <v>340</v>
      </c>
      <c r="D2658" t="s">
        <v>489</v>
      </c>
      <c r="F2658" t="s">
        <v>1745</v>
      </c>
      <c r="G2658" t="s">
        <v>5935</v>
      </c>
      <c r="H2658" t="s">
        <v>10799</v>
      </c>
      <c r="I2658" t="s">
        <v>17534</v>
      </c>
      <c r="J2658" t="s">
        <v>18894</v>
      </c>
      <c r="K2658">
        <v>11226</v>
      </c>
      <c r="L2658" t="s">
        <v>18958</v>
      </c>
      <c r="M2658" t="s">
        <v>18958</v>
      </c>
      <c r="O2658" t="s">
        <v>26529</v>
      </c>
      <c r="P2658" t="s">
        <v>26562</v>
      </c>
      <c r="R2658" t="s">
        <v>26578</v>
      </c>
      <c r="S2658" t="s">
        <v>18958</v>
      </c>
      <c r="T2658" t="s">
        <v>26601</v>
      </c>
      <c r="U2658" t="s">
        <v>26604</v>
      </c>
      <c r="W2658" t="s">
        <v>631</v>
      </c>
      <c r="X2658">
        <v>560</v>
      </c>
      <c r="Y2658" t="s">
        <v>26652</v>
      </c>
      <c r="Z2658" t="s">
        <v>26663</v>
      </c>
      <c r="AB2658" t="s">
        <v>26887</v>
      </c>
      <c r="AE2658">
        <v>6</v>
      </c>
      <c r="AF2658" t="s">
        <v>45541</v>
      </c>
      <c r="AG2658" t="s">
        <v>19330</v>
      </c>
      <c r="AH2658">
        <v>17</v>
      </c>
      <c r="AI2658">
        <v>1</v>
      </c>
      <c r="AJ2658">
        <v>0</v>
      </c>
      <c r="AK2658">
        <v>171.33</v>
      </c>
      <c r="AN2658" t="s">
        <v>7439</v>
      </c>
      <c r="AO2658">
        <v>20800</v>
      </c>
      <c r="AU2658">
        <v>28.25</v>
      </c>
      <c r="AV2658" t="s">
        <v>803</v>
      </c>
      <c r="AW2658" t="s">
        <v>237</v>
      </c>
    </row>
    <row r="2659" spans="1:49">
      <c r="A2659" s="1">
        <f>HYPERLINK("https://lsnyc.legalserver.org/matter/dynamic-profile/view/1871675","18-1871675")</f>
        <v>0</v>
      </c>
      <c r="B2659" t="s">
        <v>202</v>
      </c>
      <c r="C2659" t="s">
        <v>341</v>
      </c>
      <c r="D2659" t="s">
        <v>425</v>
      </c>
      <c r="E2659" t="s">
        <v>631</v>
      </c>
      <c r="F2659" t="s">
        <v>1241</v>
      </c>
      <c r="G2659" t="s">
        <v>5340</v>
      </c>
      <c r="H2659" t="s">
        <v>11764</v>
      </c>
      <c r="I2659" t="s">
        <v>17869</v>
      </c>
      <c r="J2659" t="s">
        <v>18894</v>
      </c>
      <c r="K2659">
        <v>11211</v>
      </c>
      <c r="L2659" t="s">
        <v>18958</v>
      </c>
      <c r="M2659" t="s">
        <v>18958</v>
      </c>
      <c r="N2659" t="s">
        <v>20946</v>
      </c>
      <c r="O2659" t="s">
        <v>26523</v>
      </c>
      <c r="P2659" t="s">
        <v>26560</v>
      </c>
      <c r="Q2659" t="s">
        <v>26568</v>
      </c>
      <c r="R2659" t="s">
        <v>26586</v>
      </c>
      <c r="S2659" t="s">
        <v>18959</v>
      </c>
      <c r="U2659" t="s">
        <v>26604</v>
      </c>
      <c r="V2659" t="s">
        <v>26610</v>
      </c>
      <c r="W2659" t="s">
        <v>631</v>
      </c>
      <c r="X2659">
        <v>812.71</v>
      </c>
      <c r="Y2659" t="s">
        <v>26652</v>
      </c>
      <c r="Z2659" t="s">
        <v>26662</v>
      </c>
      <c r="AA2659" t="s">
        <v>26678</v>
      </c>
      <c r="AB2659" t="s">
        <v>29016</v>
      </c>
      <c r="AD2659" t="s">
        <v>39068</v>
      </c>
      <c r="AE2659">
        <v>20</v>
      </c>
      <c r="AF2659" t="s">
        <v>45541</v>
      </c>
      <c r="AG2659" t="s">
        <v>45559</v>
      </c>
      <c r="AH2659">
        <v>40</v>
      </c>
      <c r="AI2659">
        <v>3</v>
      </c>
      <c r="AJ2659">
        <v>0</v>
      </c>
      <c r="AK2659">
        <v>67.84999999999999</v>
      </c>
      <c r="AN2659" t="s">
        <v>7439</v>
      </c>
      <c r="AO2659">
        <v>14100</v>
      </c>
      <c r="AQ2659" t="s">
        <v>46359</v>
      </c>
      <c r="AR2659" t="s">
        <v>46399</v>
      </c>
      <c r="AS2659" t="s">
        <v>46499</v>
      </c>
      <c r="AT2659" t="s">
        <v>46659</v>
      </c>
      <c r="AU2659">
        <v>4.1</v>
      </c>
      <c r="AV2659" t="s">
        <v>631</v>
      </c>
      <c r="AW2659" t="s">
        <v>46853</v>
      </c>
    </row>
    <row r="2660" spans="1:49">
      <c r="A2660" s="1">
        <f>HYPERLINK("https://lsnyc.legalserver.org/matter/dynamic-profile/view/1875483","18-1875483")</f>
        <v>0</v>
      </c>
      <c r="B2660" t="s">
        <v>240</v>
      </c>
      <c r="C2660" t="s">
        <v>340</v>
      </c>
      <c r="D2660" t="s">
        <v>516</v>
      </c>
      <c r="F2660" t="s">
        <v>1769</v>
      </c>
      <c r="G2660" t="s">
        <v>6547</v>
      </c>
      <c r="H2660" t="s">
        <v>11765</v>
      </c>
      <c r="I2660" t="s">
        <v>17870</v>
      </c>
      <c r="J2660" t="s">
        <v>18894</v>
      </c>
      <c r="K2660">
        <v>11226</v>
      </c>
      <c r="L2660" t="s">
        <v>18958</v>
      </c>
      <c r="M2660" t="s">
        <v>18958</v>
      </c>
      <c r="N2660" t="s">
        <v>20947</v>
      </c>
      <c r="O2660" t="s">
        <v>26526</v>
      </c>
      <c r="P2660" t="s">
        <v>26560</v>
      </c>
      <c r="R2660" t="s">
        <v>26578</v>
      </c>
      <c r="S2660" t="s">
        <v>18959</v>
      </c>
      <c r="U2660" t="s">
        <v>26604</v>
      </c>
      <c r="V2660" t="s">
        <v>26610</v>
      </c>
      <c r="W2660" t="s">
        <v>631</v>
      </c>
      <c r="X2660">
        <v>1500</v>
      </c>
      <c r="Y2660" t="s">
        <v>26652</v>
      </c>
      <c r="Z2660" t="s">
        <v>26663</v>
      </c>
      <c r="AB2660" t="s">
        <v>29017</v>
      </c>
      <c r="AC2660">
        <v>35171648</v>
      </c>
      <c r="AD2660" t="s">
        <v>39069</v>
      </c>
      <c r="AE2660">
        <v>66</v>
      </c>
      <c r="AF2660" t="s">
        <v>45541</v>
      </c>
      <c r="AG2660" t="s">
        <v>19330</v>
      </c>
      <c r="AH2660">
        <v>4</v>
      </c>
      <c r="AI2660">
        <v>3</v>
      </c>
      <c r="AJ2660">
        <v>0</v>
      </c>
      <c r="AK2660">
        <v>188.12</v>
      </c>
      <c r="AN2660" t="s">
        <v>7439</v>
      </c>
      <c r="AO2660">
        <v>39092</v>
      </c>
      <c r="AU2660">
        <v>71.25</v>
      </c>
      <c r="AV2660" t="s">
        <v>788</v>
      </c>
      <c r="AW2660" t="s">
        <v>237</v>
      </c>
    </row>
    <row r="2661" spans="1:49">
      <c r="A2661" s="1">
        <f>HYPERLINK("https://lsnyc.legalserver.org/matter/dynamic-profile/view/1877143","18-1877143")</f>
        <v>0</v>
      </c>
      <c r="B2661" t="s">
        <v>202</v>
      </c>
      <c r="C2661" t="s">
        <v>341</v>
      </c>
      <c r="D2661" t="s">
        <v>576</v>
      </c>
      <c r="E2661" t="s">
        <v>631</v>
      </c>
      <c r="F2661" t="s">
        <v>1113</v>
      </c>
      <c r="G2661" t="s">
        <v>6548</v>
      </c>
      <c r="H2661" t="s">
        <v>11766</v>
      </c>
      <c r="I2661" t="s">
        <v>17342</v>
      </c>
      <c r="J2661" t="s">
        <v>18894</v>
      </c>
      <c r="K2661">
        <v>11216</v>
      </c>
      <c r="L2661" t="s">
        <v>18958</v>
      </c>
      <c r="M2661" t="s">
        <v>18958</v>
      </c>
      <c r="N2661" t="s">
        <v>20948</v>
      </c>
      <c r="O2661" t="s">
        <v>26523</v>
      </c>
      <c r="P2661" t="s">
        <v>26560</v>
      </c>
      <c r="Q2661" t="s">
        <v>26573</v>
      </c>
      <c r="R2661" t="s">
        <v>26588</v>
      </c>
      <c r="S2661" t="s">
        <v>18959</v>
      </c>
      <c r="U2661" t="s">
        <v>26604</v>
      </c>
      <c r="V2661" t="s">
        <v>26610</v>
      </c>
      <c r="W2661" t="s">
        <v>631</v>
      </c>
      <c r="X2661">
        <v>1050</v>
      </c>
      <c r="Y2661" t="s">
        <v>26652</v>
      </c>
      <c r="Z2661" t="s">
        <v>26669</v>
      </c>
      <c r="AA2661" t="s">
        <v>26678</v>
      </c>
      <c r="AB2661" t="s">
        <v>29018</v>
      </c>
      <c r="AC2661" t="s">
        <v>35290</v>
      </c>
      <c r="AD2661" t="s">
        <v>39070</v>
      </c>
      <c r="AE2661">
        <v>138</v>
      </c>
      <c r="AF2661" t="s">
        <v>20460</v>
      </c>
      <c r="AG2661" t="s">
        <v>45556</v>
      </c>
      <c r="AH2661">
        <v>13</v>
      </c>
      <c r="AI2661">
        <v>1</v>
      </c>
      <c r="AJ2661">
        <v>0</v>
      </c>
      <c r="AK2661">
        <v>103.79</v>
      </c>
      <c r="AN2661" t="s">
        <v>7439</v>
      </c>
      <c r="AO2661">
        <v>12600</v>
      </c>
      <c r="AQ2661" t="s">
        <v>46359</v>
      </c>
      <c r="AR2661" t="s">
        <v>46380</v>
      </c>
      <c r="AS2661" t="s">
        <v>46499</v>
      </c>
      <c r="AT2661" t="s">
        <v>46530</v>
      </c>
      <c r="AU2661">
        <v>4.35</v>
      </c>
      <c r="AV2661" t="s">
        <v>631</v>
      </c>
      <c r="AW2661" t="s">
        <v>281</v>
      </c>
    </row>
    <row r="2662" spans="1:49">
      <c r="A2662" s="1">
        <f>HYPERLINK("https://lsnyc.legalserver.org/matter/dynamic-profile/view/1879601","18-1879601")</f>
        <v>0</v>
      </c>
      <c r="B2662" t="s">
        <v>68</v>
      </c>
      <c r="C2662" t="s">
        <v>340</v>
      </c>
      <c r="D2662" t="s">
        <v>411</v>
      </c>
      <c r="F2662" t="s">
        <v>2340</v>
      </c>
      <c r="G2662" t="s">
        <v>5086</v>
      </c>
      <c r="H2662" t="s">
        <v>11767</v>
      </c>
      <c r="I2662" t="s">
        <v>17278</v>
      </c>
      <c r="J2662" t="s">
        <v>18892</v>
      </c>
      <c r="K2662">
        <v>10460</v>
      </c>
      <c r="L2662" t="s">
        <v>18958</v>
      </c>
      <c r="M2662" t="s">
        <v>18958</v>
      </c>
      <c r="N2662" t="s">
        <v>20949</v>
      </c>
      <c r="O2662" t="s">
        <v>26523</v>
      </c>
      <c r="P2662" t="s">
        <v>26560</v>
      </c>
      <c r="R2662" t="s">
        <v>26577</v>
      </c>
      <c r="S2662" t="s">
        <v>18959</v>
      </c>
      <c r="U2662" t="s">
        <v>26604</v>
      </c>
      <c r="V2662" t="s">
        <v>26612</v>
      </c>
      <c r="W2662" t="s">
        <v>631</v>
      </c>
      <c r="X2662">
        <v>1063.13</v>
      </c>
      <c r="Y2662" t="s">
        <v>26650</v>
      </c>
      <c r="Z2662" t="s">
        <v>26663</v>
      </c>
      <c r="AB2662" t="s">
        <v>29019</v>
      </c>
      <c r="AC2662" t="s">
        <v>35291</v>
      </c>
      <c r="AE2662">
        <v>35</v>
      </c>
      <c r="AF2662" t="s">
        <v>45541</v>
      </c>
      <c r="AG2662" t="s">
        <v>45557</v>
      </c>
      <c r="AH2662">
        <v>4</v>
      </c>
      <c r="AI2662">
        <v>1</v>
      </c>
      <c r="AJ2662">
        <v>3</v>
      </c>
      <c r="AK2662">
        <v>18.45</v>
      </c>
      <c r="AN2662" t="s">
        <v>7439</v>
      </c>
      <c r="AO2662">
        <v>4632</v>
      </c>
      <c r="AQ2662" t="s">
        <v>46365</v>
      </c>
      <c r="AR2662" t="s">
        <v>46379</v>
      </c>
      <c r="AS2662" t="s">
        <v>46499</v>
      </c>
      <c r="AT2662" t="s">
        <v>46669</v>
      </c>
      <c r="AU2662">
        <v>18.7</v>
      </c>
      <c r="AV2662" t="s">
        <v>694</v>
      </c>
      <c r="AW2662" t="s">
        <v>46836</v>
      </c>
    </row>
    <row r="2663" spans="1:49">
      <c r="A2663" s="1">
        <f>HYPERLINK("https://lsnyc.legalserver.org/matter/dynamic-profile/view/1881240","18-1881240")</f>
        <v>0</v>
      </c>
      <c r="B2663" t="s">
        <v>130</v>
      </c>
      <c r="C2663" t="s">
        <v>341</v>
      </c>
      <c r="D2663" t="s">
        <v>631</v>
      </c>
      <c r="E2663" t="s">
        <v>643</v>
      </c>
      <c r="F2663" t="s">
        <v>2341</v>
      </c>
      <c r="G2663" t="s">
        <v>6336</v>
      </c>
      <c r="H2663" t="s">
        <v>11768</v>
      </c>
      <c r="I2663" t="s">
        <v>17469</v>
      </c>
      <c r="J2663" t="s">
        <v>18898</v>
      </c>
      <c r="K2663">
        <v>11691</v>
      </c>
      <c r="L2663" t="s">
        <v>18958</v>
      </c>
      <c r="M2663" t="s">
        <v>18958</v>
      </c>
      <c r="N2663" t="s">
        <v>20950</v>
      </c>
      <c r="O2663" t="s">
        <v>26523</v>
      </c>
      <c r="P2663" t="s">
        <v>26564</v>
      </c>
      <c r="Q2663" t="s">
        <v>26570</v>
      </c>
      <c r="R2663" t="s">
        <v>26578</v>
      </c>
      <c r="S2663" t="s">
        <v>18959</v>
      </c>
      <c r="U2663" t="s">
        <v>26604</v>
      </c>
      <c r="V2663" t="s">
        <v>26610</v>
      </c>
      <c r="W2663" t="s">
        <v>631</v>
      </c>
      <c r="X2663">
        <v>1534</v>
      </c>
      <c r="Y2663" t="s">
        <v>26653</v>
      </c>
      <c r="Z2663" t="s">
        <v>26664</v>
      </c>
      <c r="AA2663" t="s">
        <v>26683</v>
      </c>
      <c r="AB2663" t="s">
        <v>29020</v>
      </c>
      <c r="AC2663" t="s">
        <v>35292</v>
      </c>
      <c r="AD2663" t="s">
        <v>39071</v>
      </c>
      <c r="AE2663">
        <v>3</v>
      </c>
      <c r="AF2663" t="s">
        <v>45547</v>
      </c>
      <c r="AG2663" t="s">
        <v>45557</v>
      </c>
      <c r="AH2663">
        <v>3</v>
      </c>
      <c r="AI2663">
        <v>1</v>
      </c>
      <c r="AJ2663">
        <v>3</v>
      </c>
      <c r="AK2663">
        <v>0</v>
      </c>
      <c r="AN2663" t="s">
        <v>7439</v>
      </c>
      <c r="AO2663">
        <v>0</v>
      </c>
      <c r="AU2663">
        <v>1.2</v>
      </c>
      <c r="AV2663" t="s">
        <v>643</v>
      </c>
      <c r="AW2663" t="s">
        <v>161</v>
      </c>
    </row>
    <row r="2664" spans="1:49">
      <c r="A2664" s="1">
        <f>HYPERLINK("https://lsnyc.legalserver.org/matter/dynamic-profile/view/1881176","18-1881176")</f>
        <v>0</v>
      </c>
      <c r="B2664" t="s">
        <v>130</v>
      </c>
      <c r="C2664" t="s">
        <v>341</v>
      </c>
      <c r="D2664" t="s">
        <v>631</v>
      </c>
      <c r="E2664" t="s">
        <v>643</v>
      </c>
      <c r="F2664" t="s">
        <v>1806</v>
      </c>
      <c r="G2664" t="s">
        <v>6549</v>
      </c>
      <c r="H2664" t="s">
        <v>11769</v>
      </c>
      <c r="I2664" t="s">
        <v>17306</v>
      </c>
      <c r="J2664" t="s">
        <v>18900</v>
      </c>
      <c r="K2664">
        <v>11367</v>
      </c>
      <c r="L2664" t="s">
        <v>18958</v>
      </c>
      <c r="M2664" t="s">
        <v>18958</v>
      </c>
      <c r="N2664" t="s">
        <v>20951</v>
      </c>
      <c r="O2664" t="s">
        <v>26523</v>
      </c>
      <c r="P2664" t="s">
        <v>26564</v>
      </c>
      <c r="Q2664" t="s">
        <v>26570</v>
      </c>
      <c r="R2664" t="s">
        <v>26584</v>
      </c>
      <c r="S2664" t="s">
        <v>18959</v>
      </c>
      <c r="U2664" t="s">
        <v>26605</v>
      </c>
      <c r="V2664" t="s">
        <v>26613</v>
      </c>
      <c r="W2664" t="s">
        <v>631</v>
      </c>
      <c r="X2664">
        <v>240</v>
      </c>
      <c r="Y2664" t="s">
        <v>26653</v>
      </c>
      <c r="Z2664" t="s">
        <v>26659</v>
      </c>
      <c r="AA2664" t="s">
        <v>26683</v>
      </c>
      <c r="AB2664" t="s">
        <v>29021</v>
      </c>
      <c r="AC2664" t="s">
        <v>35293</v>
      </c>
      <c r="AD2664" t="s">
        <v>39072</v>
      </c>
      <c r="AE2664">
        <v>33</v>
      </c>
      <c r="AF2664" t="s">
        <v>45549</v>
      </c>
      <c r="AG2664" t="s">
        <v>19330</v>
      </c>
      <c r="AH2664">
        <v>3</v>
      </c>
      <c r="AI2664">
        <v>2</v>
      </c>
      <c r="AJ2664">
        <v>0</v>
      </c>
      <c r="AK2664">
        <v>125.28</v>
      </c>
      <c r="AN2664" t="s">
        <v>7439</v>
      </c>
      <c r="AO2664">
        <v>20620.8</v>
      </c>
      <c r="AU2664">
        <v>0.95</v>
      </c>
      <c r="AV2664" t="s">
        <v>643</v>
      </c>
      <c r="AW2664" t="s">
        <v>161</v>
      </c>
    </row>
    <row r="2665" spans="1:49">
      <c r="A2665" s="1">
        <f>HYPERLINK("https://lsnyc.legalserver.org/matter/dynamic-profile/view/1881264","18-1881264")</f>
        <v>0</v>
      </c>
      <c r="B2665" t="s">
        <v>79</v>
      </c>
      <c r="C2665" t="s">
        <v>341</v>
      </c>
      <c r="D2665" t="s">
        <v>631</v>
      </c>
      <c r="E2665" t="s">
        <v>652</v>
      </c>
      <c r="F2665" t="s">
        <v>2342</v>
      </c>
      <c r="G2665" t="s">
        <v>5174</v>
      </c>
      <c r="H2665" t="s">
        <v>11770</v>
      </c>
      <c r="I2665">
        <v>5</v>
      </c>
      <c r="J2665" t="s">
        <v>18893</v>
      </c>
      <c r="K2665">
        <v>10034</v>
      </c>
      <c r="L2665" t="s">
        <v>18958</v>
      </c>
      <c r="M2665" t="s">
        <v>18958</v>
      </c>
      <c r="O2665" t="s">
        <v>26529</v>
      </c>
      <c r="P2665" t="s">
        <v>26564</v>
      </c>
      <c r="Q2665" t="s">
        <v>26570</v>
      </c>
      <c r="R2665" t="s">
        <v>26578</v>
      </c>
      <c r="S2665" t="s">
        <v>18959</v>
      </c>
      <c r="U2665" t="s">
        <v>26604</v>
      </c>
      <c r="W2665" t="s">
        <v>631</v>
      </c>
      <c r="X2665">
        <v>859.6799999999999</v>
      </c>
      <c r="Y2665" t="s">
        <v>26651</v>
      </c>
      <c r="Z2665" t="s">
        <v>26661</v>
      </c>
      <c r="AA2665" t="s">
        <v>26683</v>
      </c>
      <c r="AB2665" t="s">
        <v>29022</v>
      </c>
      <c r="AD2665" t="s">
        <v>39073</v>
      </c>
      <c r="AE2665">
        <v>25</v>
      </c>
      <c r="AF2665" t="s">
        <v>45541</v>
      </c>
      <c r="AG2665" t="s">
        <v>19330</v>
      </c>
      <c r="AH2665">
        <v>18</v>
      </c>
      <c r="AI2665">
        <v>3</v>
      </c>
      <c r="AJ2665">
        <v>2</v>
      </c>
      <c r="AK2665">
        <v>196.94</v>
      </c>
      <c r="AN2665" t="s">
        <v>45581</v>
      </c>
      <c r="AO2665">
        <v>57940</v>
      </c>
      <c r="AP2665" t="s">
        <v>45762</v>
      </c>
      <c r="AU2665">
        <v>2.9</v>
      </c>
      <c r="AV2665" t="s">
        <v>664</v>
      </c>
      <c r="AW2665" t="s">
        <v>46840</v>
      </c>
    </row>
    <row r="2666" spans="1:49">
      <c r="A2666" s="1">
        <f>HYPERLINK("https://lsnyc.legalserver.org/matter/dynamic-profile/view/1881230","18-1881230")</f>
        <v>0</v>
      </c>
      <c r="B2666" t="s">
        <v>141</v>
      </c>
      <c r="C2666" t="s">
        <v>341</v>
      </c>
      <c r="D2666" t="s">
        <v>631</v>
      </c>
      <c r="E2666" t="s">
        <v>707</v>
      </c>
      <c r="F2666" t="s">
        <v>2343</v>
      </c>
      <c r="G2666" t="s">
        <v>5154</v>
      </c>
      <c r="H2666" t="s">
        <v>11771</v>
      </c>
      <c r="I2666" t="s">
        <v>17342</v>
      </c>
      <c r="J2666" t="s">
        <v>18900</v>
      </c>
      <c r="K2666">
        <v>11355</v>
      </c>
      <c r="L2666" t="s">
        <v>18958</v>
      </c>
      <c r="M2666" t="s">
        <v>18958</v>
      </c>
      <c r="N2666" t="s">
        <v>20952</v>
      </c>
      <c r="O2666" t="s">
        <v>26524</v>
      </c>
      <c r="P2666" t="s">
        <v>26562</v>
      </c>
      <c r="Q2666" t="s">
        <v>26569</v>
      </c>
      <c r="R2666" t="s">
        <v>26578</v>
      </c>
      <c r="S2666" t="s">
        <v>18959</v>
      </c>
      <c r="U2666" t="s">
        <v>26604</v>
      </c>
      <c r="V2666" t="s">
        <v>26610</v>
      </c>
      <c r="W2666" t="s">
        <v>631</v>
      </c>
      <c r="X2666">
        <v>530</v>
      </c>
      <c r="Y2666" t="s">
        <v>26653</v>
      </c>
      <c r="Z2666" t="s">
        <v>26664</v>
      </c>
      <c r="AA2666" t="s">
        <v>26682</v>
      </c>
      <c r="AB2666" t="s">
        <v>29023</v>
      </c>
      <c r="AD2666" t="s">
        <v>39074</v>
      </c>
      <c r="AE2666">
        <v>36</v>
      </c>
      <c r="AF2666" t="s">
        <v>20460</v>
      </c>
      <c r="AG2666" t="s">
        <v>19330</v>
      </c>
      <c r="AH2666">
        <v>6</v>
      </c>
      <c r="AI2666">
        <v>1</v>
      </c>
      <c r="AJ2666">
        <v>0</v>
      </c>
      <c r="AK2666">
        <v>69.19</v>
      </c>
      <c r="AN2666" t="s">
        <v>45594</v>
      </c>
      <c r="AO2666">
        <v>8400</v>
      </c>
      <c r="AU2666">
        <v>8.550000000000001</v>
      </c>
      <c r="AV2666" t="s">
        <v>727</v>
      </c>
      <c r="AW2666" t="s">
        <v>208</v>
      </c>
    </row>
    <row r="2667" spans="1:49">
      <c r="A2667" s="1">
        <f>HYPERLINK("https://lsnyc.legalserver.org/matter/dynamic-profile/view/1881291","18-1881291")</f>
        <v>0</v>
      </c>
      <c r="B2667" t="s">
        <v>141</v>
      </c>
      <c r="C2667" t="s">
        <v>341</v>
      </c>
      <c r="D2667" t="s">
        <v>631</v>
      </c>
      <c r="E2667" t="s">
        <v>789</v>
      </c>
      <c r="F2667" t="s">
        <v>939</v>
      </c>
      <c r="G2667" t="s">
        <v>6550</v>
      </c>
      <c r="H2667" t="s">
        <v>11772</v>
      </c>
      <c r="J2667" t="s">
        <v>18917</v>
      </c>
      <c r="K2667">
        <v>11356</v>
      </c>
      <c r="L2667" t="s">
        <v>18958</v>
      </c>
      <c r="M2667" t="s">
        <v>18958</v>
      </c>
      <c r="N2667" t="s">
        <v>20953</v>
      </c>
      <c r="O2667" t="s">
        <v>26524</v>
      </c>
      <c r="P2667" t="s">
        <v>26560</v>
      </c>
      <c r="Q2667" t="s">
        <v>26568</v>
      </c>
      <c r="R2667" t="s">
        <v>26578</v>
      </c>
      <c r="S2667" t="s">
        <v>18959</v>
      </c>
      <c r="U2667" t="s">
        <v>26604</v>
      </c>
      <c r="V2667" t="s">
        <v>26610</v>
      </c>
      <c r="W2667" t="s">
        <v>631</v>
      </c>
      <c r="X2667">
        <v>1100</v>
      </c>
      <c r="Y2667" t="s">
        <v>26653</v>
      </c>
      <c r="Z2667" t="s">
        <v>26664</v>
      </c>
      <c r="AA2667" t="s">
        <v>26678</v>
      </c>
      <c r="AB2667" t="s">
        <v>29024</v>
      </c>
      <c r="AC2667" t="s">
        <v>34738</v>
      </c>
      <c r="AD2667" t="s">
        <v>39075</v>
      </c>
      <c r="AE2667">
        <v>2</v>
      </c>
      <c r="AF2667" t="s">
        <v>45547</v>
      </c>
      <c r="AG2667" t="s">
        <v>19330</v>
      </c>
      <c r="AH2667">
        <v>6</v>
      </c>
      <c r="AI2667">
        <v>1</v>
      </c>
      <c r="AJ2667">
        <v>0</v>
      </c>
      <c r="AK2667">
        <v>148.27</v>
      </c>
      <c r="AN2667" t="s">
        <v>7439</v>
      </c>
      <c r="AO2667">
        <v>18000</v>
      </c>
      <c r="AQ2667" t="s">
        <v>46362</v>
      </c>
      <c r="AR2667" t="s">
        <v>26530</v>
      </c>
      <c r="AS2667" t="s">
        <v>46500</v>
      </c>
      <c r="AT2667" t="s">
        <v>46524</v>
      </c>
      <c r="AU2667">
        <v>16.45</v>
      </c>
      <c r="AV2667" t="s">
        <v>416</v>
      </c>
      <c r="AW2667" t="s">
        <v>122</v>
      </c>
    </row>
    <row r="2668" spans="1:49">
      <c r="A2668" s="1">
        <f>HYPERLINK("https://lsnyc.legalserver.org/matter/dynamic-profile/view/1881245","18-1881245")</f>
        <v>0</v>
      </c>
      <c r="B2668" t="s">
        <v>93</v>
      </c>
      <c r="C2668" t="s">
        <v>341</v>
      </c>
      <c r="D2668" t="s">
        <v>631</v>
      </c>
      <c r="E2668" t="s">
        <v>494</v>
      </c>
      <c r="F2668" t="s">
        <v>2140</v>
      </c>
      <c r="G2668" t="s">
        <v>5341</v>
      </c>
      <c r="H2668" t="s">
        <v>11773</v>
      </c>
      <c r="I2668" t="s">
        <v>17430</v>
      </c>
      <c r="J2668" t="s">
        <v>18928</v>
      </c>
      <c r="K2668">
        <v>11366</v>
      </c>
      <c r="L2668" t="s">
        <v>18958</v>
      </c>
      <c r="M2668" t="s">
        <v>18958</v>
      </c>
      <c r="N2668" t="s">
        <v>20954</v>
      </c>
      <c r="O2668" t="s">
        <v>26523</v>
      </c>
      <c r="P2668" t="s">
        <v>26564</v>
      </c>
      <c r="Q2668" t="s">
        <v>26570</v>
      </c>
      <c r="R2668" t="s">
        <v>26584</v>
      </c>
      <c r="S2668" t="s">
        <v>18959</v>
      </c>
      <c r="U2668" t="s">
        <v>26604</v>
      </c>
      <c r="V2668" t="s">
        <v>26612</v>
      </c>
      <c r="W2668" t="s">
        <v>631</v>
      </c>
      <c r="X2668">
        <v>2400</v>
      </c>
      <c r="Y2668" t="s">
        <v>26653</v>
      </c>
      <c r="Z2668" t="s">
        <v>26664</v>
      </c>
      <c r="AA2668" t="s">
        <v>26683</v>
      </c>
      <c r="AB2668" t="s">
        <v>29025</v>
      </c>
      <c r="AD2668" t="s">
        <v>39076</v>
      </c>
      <c r="AE2668">
        <v>2</v>
      </c>
      <c r="AF2668" t="s">
        <v>45547</v>
      </c>
      <c r="AG2668" t="s">
        <v>19330</v>
      </c>
      <c r="AH2668">
        <v>1</v>
      </c>
      <c r="AI2668">
        <v>1</v>
      </c>
      <c r="AJ2668">
        <v>0</v>
      </c>
      <c r="AK2668">
        <v>149.92</v>
      </c>
      <c r="AN2668" t="s">
        <v>7439</v>
      </c>
      <c r="AO2668">
        <v>18200</v>
      </c>
      <c r="AU2668">
        <v>3.75</v>
      </c>
      <c r="AV2668" t="s">
        <v>415</v>
      </c>
      <c r="AW2668" t="s">
        <v>161</v>
      </c>
    </row>
    <row r="2669" spans="1:49">
      <c r="A2669" s="1">
        <f>HYPERLINK("https://lsnyc.legalserver.org/matter/dynamic-profile/view/1881239","18-1881239")</f>
        <v>0</v>
      </c>
      <c r="B2669" t="s">
        <v>65</v>
      </c>
      <c r="C2669" t="s">
        <v>341</v>
      </c>
      <c r="D2669" t="s">
        <v>631</v>
      </c>
      <c r="E2669" t="s">
        <v>719</v>
      </c>
      <c r="F2669" t="s">
        <v>2344</v>
      </c>
      <c r="G2669" t="s">
        <v>6551</v>
      </c>
      <c r="H2669" t="s">
        <v>11224</v>
      </c>
      <c r="I2669" t="s">
        <v>17406</v>
      </c>
      <c r="J2669" t="s">
        <v>18892</v>
      </c>
      <c r="K2669">
        <v>10457</v>
      </c>
      <c r="L2669" t="s">
        <v>18958</v>
      </c>
      <c r="M2669" t="s">
        <v>18958</v>
      </c>
      <c r="N2669" t="s">
        <v>20955</v>
      </c>
      <c r="O2669" t="s">
        <v>26523</v>
      </c>
      <c r="P2669" t="s">
        <v>26560</v>
      </c>
      <c r="Q2669" t="s">
        <v>26568</v>
      </c>
      <c r="R2669" t="s">
        <v>26579</v>
      </c>
      <c r="U2669" t="s">
        <v>26604</v>
      </c>
      <c r="V2669" t="s">
        <v>26610</v>
      </c>
      <c r="W2669" t="s">
        <v>631</v>
      </c>
      <c r="X2669">
        <v>938.0700000000001</v>
      </c>
      <c r="Y2669" t="s">
        <v>26650</v>
      </c>
      <c r="Z2669" t="s">
        <v>26664</v>
      </c>
      <c r="AA2669" t="s">
        <v>26678</v>
      </c>
      <c r="AB2669" t="s">
        <v>29026</v>
      </c>
      <c r="AD2669" t="s">
        <v>39077</v>
      </c>
      <c r="AE2669">
        <v>47</v>
      </c>
      <c r="AF2669" t="s">
        <v>45541</v>
      </c>
      <c r="AG2669" t="s">
        <v>19330</v>
      </c>
      <c r="AH2669">
        <v>23</v>
      </c>
      <c r="AI2669">
        <v>3</v>
      </c>
      <c r="AJ2669">
        <v>0</v>
      </c>
      <c r="AK2669">
        <v>144.37</v>
      </c>
      <c r="AN2669" t="s">
        <v>7439</v>
      </c>
      <c r="AO2669">
        <v>30000</v>
      </c>
      <c r="AQ2669" t="s">
        <v>46362</v>
      </c>
      <c r="AR2669" t="s">
        <v>46385</v>
      </c>
      <c r="AS2669" t="s">
        <v>46499</v>
      </c>
      <c r="AT2669" t="s">
        <v>46543</v>
      </c>
      <c r="AU2669">
        <v>4.3</v>
      </c>
      <c r="AV2669" t="s">
        <v>682</v>
      </c>
      <c r="AW2669" t="s">
        <v>334</v>
      </c>
    </row>
    <row r="2670" spans="1:49">
      <c r="A2670" s="1">
        <f>HYPERLINK("https://lsnyc.legalserver.org/matter/dynamic-profile/view/1881249","18-1881249")</f>
        <v>0</v>
      </c>
      <c r="B2670" t="s">
        <v>121</v>
      </c>
      <c r="C2670" t="s">
        <v>341</v>
      </c>
      <c r="D2670" t="s">
        <v>631</v>
      </c>
      <c r="E2670" t="s">
        <v>829</v>
      </c>
      <c r="F2670" t="s">
        <v>1106</v>
      </c>
      <c r="G2670" t="s">
        <v>6552</v>
      </c>
      <c r="H2670" t="s">
        <v>11774</v>
      </c>
      <c r="I2670" t="s">
        <v>17350</v>
      </c>
      <c r="J2670" t="s">
        <v>18892</v>
      </c>
      <c r="K2670">
        <v>10455</v>
      </c>
      <c r="L2670" t="s">
        <v>18958</v>
      </c>
      <c r="M2670" t="s">
        <v>18958</v>
      </c>
      <c r="N2670" t="s">
        <v>20956</v>
      </c>
      <c r="O2670" t="s">
        <v>26523</v>
      </c>
      <c r="P2670" t="s">
        <v>26560</v>
      </c>
      <c r="Q2670" t="s">
        <v>26568</v>
      </c>
      <c r="R2670" t="s">
        <v>26577</v>
      </c>
      <c r="S2670" t="s">
        <v>18959</v>
      </c>
      <c r="U2670" t="s">
        <v>26604</v>
      </c>
      <c r="V2670" t="s">
        <v>26612</v>
      </c>
      <c r="W2670" t="s">
        <v>631</v>
      </c>
      <c r="X2670">
        <v>1435</v>
      </c>
      <c r="Y2670" t="s">
        <v>26650</v>
      </c>
      <c r="Z2670" t="s">
        <v>26664</v>
      </c>
      <c r="AA2670" t="s">
        <v>26678</v>
      </c>
      <c r="AB2670" t="s">
        <v>29027</v>
      </c>
      <c r="AC2670" t="s">
        <v>35294</v>
      </c>
      <c r="AD2670" t="s">
        <v>39078</v>
      </c>
      <c r="AE2670">
        <v>208</v>
      </c>
      <c r="AF2670" t="s">
        <v>45543</v>
      </c>
      <c r="AG2670" t="s">
        <v>45556</v>
      </c>
      <c r="AH2670">
        <v>9</v>
      </c>
      <c r="AI2670">
        <v>2</v>
      </c>
      <c r="AJ2670">
        <v>5</v>
      </c>
      <c r="AK2670">
        <v>89.83</v>
      </c>
      <c r="AN2670" t="s">
        <v>45598</v>
      </c>
      <c r="AO2670">
        <v>34188</v>
      </c>
      <c r="AR2670" t="s">
        <v>46379</v>
      </c>
      <c r="AS2670" t="s">
        <v>46499</v>
      </c>
      <c r="AT2670" t="s">
        <v>46703</v>
      </c>
      <c r="AU2670">
        <v>15.3</v>
      </c>
      <c r="AV2670" t="s">
        <v>714</v>
      </c>
      <c r="AW2670" t="s">
        <v>334</v>
      </c>
    </row>
    <row r="2671" spans="1:49">
      <c r="A2671" s="1">
        <f>HYPERLINK("https://lsnyc.legalserver.org/matter/dynamic-profile/view/1881267","18-1881267")</f>
        <v>0</v>
      </c>
      <c r="B2671" t="s">
        <v>199</v>
      </c>
      <c r="C2671" t="s">
        <v>341</v>
      </c>
      <c r="D2671" t="s">
        <v>631</v>
      </c>
      <c r="E2671" t="s">
        <v>801</v>
      </c>
      <c r="F2671" t="s">
        <v>1401</v>
      </c>
      <c r="G2671" t="s">
        <v>1263</v>
      </c>
      <c r="H2671" t="s">
        <v>10771</v>
      </c>
      <c r="I2671" t="s">
        <v>17336</v>
      </c>
      <c r="J2671" t="s">
        <v>18894</v>
      </c>
      <c r="K2671">
        <v>11203</v>
      </c>
      <c r="L2671" t="s">
        <v>18958</v>
      </c>
      <c r="M2671" t="s">
        <v>18958</v>
      </c>
      <c r="O2671" t="s">
        <v>26531</v>
      </c>
      <c r="P2671" t="s">
        <v>26562</v>
      </c>
      <c r="Q2671" t="s">
        <v>26573</v>
      </c>
      <c r="R2671" t="s">
        <v>26578</v>
      </c>
      <c r="S2671" t="s">
        <v>18958</v>
      </c>
      <c r="U2671" t="s">
        <v>26604</v>
      </c>
      <c r="W2671" t="s">
        <v>631</v>
      </c>
      <c r="X2671">
        <v>0</v>
      </c>
      <c r="Y2671" t="s">
        <v>26652</v>
      </c>
      <c r="Z2671" t="s">
        <v>26659</v>
      </c>
      <c r="AA2671" t="s">
        <v>26685</v>
      </c>
      <c r="AB2671" t="s">
        <v>29028</v>
      </c>
      <c r="AD2671" t="s">
        <v>34738</v>
      </c>
      <c r="AE2671">
        <v>0</v>
      </c>
      <c r="AF2671" t="s">
        <v>45541</v>
      </c>
      <c r="AH2671">
        <v>41</v>
      </c>
      <c r="AI2671">
        <v>2</v>
      </c>
      <c r="AJ2671">
        <v>0</v>
      </c>
      <c r="AK2671">
        <v>7.29</v>
      </c>
      <c r="AN2671" t="s">
        <v>7439</v>
      </c>
      <c r="AO2671">
        <v>1200</v>
      </c>
      <c r="AS2671" t="s">
        <v>46499</v>
      </c>
      <c r="AT2671" t="s">
        <v>46549</v>
      </c>
      <c r="AU2671">
        <v>1.25</v>
      </c>
      <c r="AV2671" t="s">
        <v>801</v>
      </c>
      <c r="AW2671" t="s">
        <v>46856</v>
      </c>
    </row>
    <row r="2672" spans="1:49">
      <c r="A2672" s="1">
        <f>HYPERLINK("https://lsnyc.legalserver.org/matter/dynamic-profile/view/1881285","18-1881285")</f>
        <v>0</v>
      </c>
      <c r="B2672" t="s">
        <v>198</v>
      </c>
      <c r="C2672" t="s">
        <v>341</v>
      </c>
      <c r="D2672" t="s">
        <v>631</v>
      </c>
      <c r="E2672" t="s">
        <v>765</v>
      </c>
      <c r="F2672" t="s">
        <v>1710</v>
      </c>
      <c r="G2672" t="s">
        <v>6553</v>
      </c>
      <c r="H2672" t="s">
        <v>10230</v>
      </c>
      <c r="I2672" t="s">
        <v>17293</v>
      </c>
      <c r="J2672" t="s">
        <v>18894</v>
      </c>
      <c r="K2672">
        <v>11226</v>
      </c>
      <c r="L2672" t="s">
        <v>18960</v>
      </c>
      <c r="M2672" t="s">
        <v>18960</v>
      </c>
      <c r="Q2672" t="s">
        <v>26570</v>
      </c>
      <c r="R2672" t="s">
        <v>26578</v>
      </c>
      <c r="U2672" t="s">
        <v>26604</v>
      </c>
      <c r="W2672" t="s">
        <v>631</v>
      </c>
      <c r="X2672">
        <v>0</v>
      </c>
      <c r="Y2672" t="s">
        <v>26652</v>
      </c>
      <c r="AA2672" t="s">
        <v>26683</v>
      </c>
      <c r="AB2672" t="s">
        <v>29029</v>
      </c>
      <c r="AD2672" t="s">
        <v>39079</v>
      </c>
      <c r="AE2672">
        <v>34</v>
      </c>
      <c r="AH2672">
        <v>2</v>
      </c>
      <c r="AI2672">
        <v>1</v>
      </c>
      <c r="AJ2672">
        <v>0</v>
      </c>
      <c r="AK2672">
        <v>0</v>
      </c>
      <c r="AN2672" t="s">
        <v>45585</v>
      </c>
      <c r="AO2672">
        <v>0</v>
      </c>
      <c r="AU2672">
        <v>2.35</v>
      </c>
      <c r="AV2672" t="s">
        <v>765</v>
      </c>
      <c r="AW2672" t="s">
        <v>198</v>
      </c>
    </row>
    <row r="2673" spans="1:50">
      <c r="A2673" s="1">
        <f>HYPERLINK("https://lsnyc.legalserver.org/matter/dynamic-profile/view/1881236","18-1881236")</f>
        <v>0</v>
      </c>
      <c r="B2673" t="s">
        <v>198</v>
      </c>
      <c r="C2673" t="s">
        <v>341</v>
      </c>
      <c r="D2673" t="s">
        <v>631</v>
      </c>
      <c r="E2673" t="s">
        <v>758</v>
      </c>
      <c r="F2673" t="s">
        <v>1196</v>
      </c>
      <c r="G2673" t="s">
        <v>6333</v>
      </c>
      <c r="H2673" t="s">
        <v>11775</v>
      </c>
      <c r="I2673" t="s">
        <v>17299</v>
      </c>
      <c r="J2673" t="s">
        <v>18894</v>
      </c>
      <c r="K2673">
        <v>11226</v>
      </c>
      <c r="L2673" t="s">
        <v>18959</v>
      </c>
      <c r="M2673" t="s">
        <v>18960</v>
      </c>
      <c r="P2673" t="s">
        <v>26564</v>
      </c>
      <c r="Q2673" t="s">
        <v>26570</v>
      </c>
      <c r="R2673" t="s">
        <v>26578</v>
      </c>
      <c r="U2673" t="s">
        <v>26604</v>
      </c>
      <c r="W2673" t="s">
        <v>631</v>
      </c>
      <c r="X2673">
        <v>0</v>
      </c>
      <c r="Y2673" t="s">
        <v>26652</v>
      </c>
      <c r="Z2673" t="s">
        <v>26671</v>
      </c>
      <c r="AA2673" t="s">
        <v>26683</v>
      </c>
      <c r="AB2673" t="s">
        <v>29030</v>
      </c>
      <c r="AD2673" t="s">
        <v>39080</v>
      </c>
      <c r="AE2673">
        <v>0</v>
      </c>
      <c r="AH2673">
        <v>0</v>
      </c>
      <c r="AI2673">
        <v>2</v>
      </c>
      <c r="AJ2673">
        <v>0</v>
      </c>
      <c r="AK2673">
        <v>40.83</v>
      </c>
      <c r="AL2673" t="s">
        <v>45567</v>
      </c>
      <c r="AM2673" t="s">
        <v>45577</v>
      </c>
      <c r="AN2673" t="s">
        <v>7439</v>
      </c>
      <c r="AO2673">
        <v>6720</v>
      </c>
      <c r="AP2673" t="s">
        <v>45763</v>
      </c>
      <c r="AU2673">
        <v>5.2</v>
      </c>
      <c r="AV2673" t="s">
        <v>758</v>
      </c>
      <c r="AW2673" t="s">
        <v>198</v>
      </c>
    </row>
    <row r="2674" spans="1:50">
      <c r="A2674" s="1">
        <f>HYPERLINK("https://lsnyc.legalserver.org/matter/dynamic-profile/view/1881172","18-1881172")</f>
        <v>0</v>
      </c>
      <c r="B2674" t="s">
        <v>112</v>
      </c>
      <c r="C2674" t="s">
        <v>341</v>
      </c>
      <c r="D2674" t="s">
        <v>631</v>
      </c>
      <c r="E2674" t="s">
        <v>720</v>
      </c>
      <c r="F2674" t="s">
        <v>2345</v>
      </c>
      <c r="G2674" t="s">
        <v>6554</v>
      </c>
      <c r="H2674" t="s">
        <v>11776</v>
      </c>
      <c r="I2674" t="s">
        <v>17273</v>
      </c>
      <c r="J2674" t="s">
        <v>18906</v>
      </c>
      <c r="K2674">
        <v>11373</v>
      </c>
      <c r="L2674" t="s">
        <v>18958</v>
      </c>
      <c r="M2674" t="s">
        <v>18958</v>
      </c>
      <c r="N2674" t="s">
        <v>20957</v>
      </c>
      <c r="O2674" t="s">
        <v>26524</v>
      </c>
      <c r="P2674" t="s">
        <v>26560</v>
      </c>
      <c r="Q2674" t="s">
        <v>26573</v>
      </c>
      <c r="R2674" t="s">
        <v>26585</v>
      </c>
      <c r="S2674" t="s">
        <v>18959</v>
      </c>
      <c r="U2674" t="s">
        <v>26604</v>
      </c>
      <c r="W2674" t="s">
        <v>631</v>
      </c>
      <c r="X2674">
        <v>1345</v>
      </c>
      <c r="Y2674" t="s">
        <v>26653</v>
      </c>
      <c r="Z2674" t="s">
        <v>26664</v>
      </c>
      <c r="AA2674" t="s">
        <v>26678</v>
      </c>
      <c r="AB2674" t="s">
        <v>28937</v>
      </c>
      <c r="AD2674" t="s">
        <v>39081</v>
      </c>
      <c r="AE2674">
        <v>72</v>
      </c>
      <c r="AF2674" t="s">
        <v>20460</v>
      </c>
      <c r="AG2674" t="s">
        <v>19330</v>
      </c>
      <c r="AH2674">
        <v>12</v>
      </c>
      <c r="AI2674">
        <v>2</v>
      </c>
      <c r="AJ2674">
        <v>2</v>
      </c>
      <c r="AK2674">
        <v>163.35</v>
      </c>
      <c r="AN2674" t="s">
        <v>7439</v>
      </c>
      <c r="AO2674">
        <v>41000</v>
      </c>
      <c r="AQ2674" t="s">
        <v>46362</v>
      </c>
      <c r="AR2674" t="s">
        <v>46419</v>
      </c>
      <c r="AS2674" t="s">
        <v>46499</v>
      </c>
      <c r="AT2674" t="s">
        <v>46738</v>
      </c>
      <c r="AU2674">
        <v>6.4</v>
      </c>
      <c r="AV2674" t="s">
        <v>780</v>
      </c>
      <c r="AW2674" t="s">
        <v>208</v>
      </c>
    </row>
    <row r="2675" spans="1:50">
      <c r="A2675" s="1">
        <f>HYPERLINK("https://lsnyc.legalserver.org/matter/dynamic-profile/view/1881227","18-1881227")</f>
        <v>0</v>
      </c>
      <c r="B2675" t="s">
        <v>54</v>
      </c>
      <c r="C2675" t="s">
        <v>341</v>
      </c>
      <c r="D2675" t="s">
        <v>631</v>
      </c>
      <c r="E2675" t="s">
        <v>767</v>
      </c>
      <c r="F2675" t="s">
        <v>1330</v>
      </c>
      <c r="G2675" t="s">
        <v>6555</v>
      </c>
      <c r="H2675" t="s">
        <v>11224</v>
      </c>
      <c r="I2675" t="s">
        <v>17283</v>
      </c>
      <c r="J2675" t="s">
        <v>18892</v>
      </c>
      <c r="K2675">
        <v>10457</v>
      </c>
      <c r="L2675" t="s">
        <v>18958</v>
      </c>
      <c r="M2675" t="s">
        <v>18958</v>
      </c>
      <c r="N2675" t="s">
        <v>20958</v>
      </c>
      <c r="O2675" t="s">
        <v>26523</v>
      </c>
      <c r="P2675" t="s">
        <v>26560</v>
      </c>
      <c r="Q2675" t="s">
        <v>26568</v>
      </c>
      <c r="R2675" t="s">
        <v>26579</v>
      </c>
      <c r="S2675" t="s">
        <v>18959</v>
      </c>
      <c r="U2675" t="s">
        <v>26604</v>
      </c>
      <c r="V2675" t="s">
        <v>26610</v>
      </c>
      <c r="W2675" t="s">
        <v>631</v>
      </c>
      <c r="X2675">
        <v>1327</v>
      </c>
      <c r="Y2675" t="s">
        <v>26650</v>
      </c>
      <c r="Z2675" t="s">
        <v>26668</v>
      </c>
      <c r="AA2675" t="s">
        <v>26678</v>
      </c>
      <c r="AB2675" t="s">
        <v>29031</v>
      </c>
      <c r="AC2675" t="s">
        <v>35295</v>
      </c>
      <c r="AD2675" t="s">
        <v>39082</v>
      </c>
      <c r="AE2675">
        <v>47</v>
      </c>
      <c r="AF2675" t="s">
        <v>45541</v>
      </c>
      <c r="AG2675" t="s">
        <v>19330</v>
      </c>
      <c r="AH2675">
        <v>15</v>
      </c>
      <c r="AI2675">
        <v>4</v>
      </c>
      <c r="AJ2675">
        <v>2</v>
      </c>
      <c r="AK2675">
        <v>107.88</v>
      </c>
      <c r="AN2675" t="s">
        <v>7439</v>
      </c>
      <c r="AO2675">
        <v>36400</v>
      </c>
      <c r="AQ2675" t="s">
        <v>46362</v>
      </c>
      <c r="AR2675" t="s">
        <v>46379</v>
      </c>
      <c r="AS2675" t="s">
        <v>46499</v>
      </c>
      <c r="AT2675" t="s">
        <v>46615</v>
      </c>
      <c r="AU2675">
        <v>6.1</v>
      </c>
      <c r="AV2675" t="s">
        <v>779</v>
      </c>
      <c r="AW2675" t="s">
        <v>46832</v>
      </c>
    </row>
    <row r="2676" spans="1:50">
      <c r="A2676" s="1">
        <f>HYPERLINK("https://lsnyc.legalserver.org/matter/dynamic-profile/view/1881181","18-1881181")</f>
        <v>0</v>
      </c>
      <c r="B2676" t="s">
        <v>136</v>
      </c>
      <c r="C2676" t="s">
        <v>340</v>
      </c>
      <c r="D2676" t="s">
        <v>631</v>
      </c>
      <c r="F2676" t="s">
        <v>2346</v>
      </c>
      <c r="G2676" t="s">
        <v>875</v>
      </c>
      <c r="H2676" t="s">
        <v>11777</v>
      </c>
      <c r="I2676" t="s">
        <v>17348</v>
      </c>
      <c r="J2676" t="s">
        <v>18892</v>
      </c>
      <c r="K2676">
        <v>10454</v>
      </c>
      <c r="L2676" t="s">
        <v>18958</v>
      </c>
      <c r="M2676" t="s">
        <v>18958</v>
      </c>
      <c r="N2676" t="s">
        <v>20959</v>
      </c>
      <c r="O2676" t="s">
        <v>26523</v>
      </c>
      <c r="P2676" t="s">
        <v>26560</v>
      </c>
      <c r="R2676" t="s">
        <v>26577</v>
      </c>
      <c r="S2676" t="s">
        <v>18959</v>
      </c>
      <c r="U2676" t="s">
        <v>26604</v>
      </c>
      <c r="V2676" t="s">
        <v>26610</v>
      </c>
      <c r="W2676" t="s">
        <v>631</v>
      </c>
      <c r="X2676">
        <v>1178.92</v>
      </c>
      <c r="Y2676" t="s">
        <v>26650</v>
      </c>
      <c r="Z2676" t="s">
        <v>26659</v>
      </c>
      <c r="AB2676" t="s">
        <v>28165</v>
      </c>
      <c r="AD2676" t="s">
        <v>39083</v>
      </c>
      <c r="AE2676">
        <v>0</v>
      </c>
      <c r="AF2676" t="s">
        <v>45541</v>
      </c>
      <c r="AG2676" t="s">
        <v>45557</v>
      </c>
      <c r="AH2676">
        <v>7</v>
      </c>
      <c r="AI2676">
        <v>2</v>
      </c>
      <c r="AJ2676">
        <v>1</v>
      </c>
      <c r="AK2676">
        <v>0</v>
      </c>
      <c r="AN2676" t="s">
        <v>45581</v>
      </c>
      <c r="AO2676">
        <v>0</v>
      </c>
      <c r="AU2676">
        <v>10.3</v>
      </c>
      <c r="AV2676" t="s">
        <v>801</v>
      </c>
      <c r="AW2676" t="s">
        <v>136</v>
      </c>
      <c r="AX2676" t="s">
        <v>46897</v>
      </c>
    </row>
    <row r="2677" spans="1:50">
      <c r="A2677" s="1">
        <f>HYPERLINK("https://lsnyc.legalserver.org/matter/dynamic-profile/view/1881216","18-1881216")</f>
        <v>0</v>
      </c>
      <c r="B2677" t="s">
        <v>136</v>
      </c>
      <c r="C2677" t="s">
        <v>340</v>
      </c>
      <c r="D2677" t="s">
        <v>631</v>
      </c>
      <c r="F2677" t="s">
        <v>933</v>
      </c>
      <c r="G2677" t="s">
        <v>5632</v>
      </c>
      <c r="H2677" t="s">
        <v>11778</v>
      </c>
      <c r="I2677" t="s">
        <v>17871</v>
      </c>
      <c r="J2677" t="s">
        <v>18892</v>
      </c>
      <c r="K2677">
        <v>10462</v>
      </c>
      <c r="L2677" t="s">
        <v>18958</v>
      </c>
      <c r="M2677" t="s">
        <v>18958</v>
      </c>
      <c r="N2677" t="s">
        <v>20960</v>
      </c>
      <c r="O2677" t="s">
        <v>26524</v>
      </c>
      <c r="P2677" t="s">
        <v>26560</v>
      </c>
      <c r="R2677" t="s">
        <v>26579</v>
      </c>
      <c r="U2677" t="s">
        <v>26604</v>
      </c>
      <c r="V2677" t="s">
        <v>26610</v>
      </c>
      <c r="W2677" t="s">
        <v>631</v>
      </c>
      <c r="X2677">
        <v>1200</v>
      </c>
      <c r="Y2677" t="s">
        <v>26650</v>
      </c>
      <c r="Z2677" t="s">
        <v>26668</v>
      </c>
      <c r="AB2677" t="s">
        <v>28769</v>
      </c>
      <c r="AD2677" t="s">
        <v>39084</v>
      </c>
      <c r="AE2677">
        <v>0</v>
      </c>
      <c r="AF2677" t="s">
        <v>20460</v>
      </c>
      <c r="AG2677" t="s">
        <v>45561</v>
      </c>
      <c r="AH2677">
        <v>6</v>
      </c>
      <c r="AI2677">
        <v>1</v>
      </c>
      <c r="AJ2677">
        <v>0</v>
      </c>
      <c r="AK2677">
        <v>76.41</v>
      </c>
      <c r="AN2677" t="s">
        <v>7439</v>
      </c>
      <c r="AO2677">
        <v>9276</v>
      </c>
      <c r="AU2677">
        <v>25.6</v>
      </c>
      <c r="AV2677" t="s">
        <v>835</v>
      </c>
      <c r="AW2677" t="s">
        <v>46836</v>
      </c>
      <c r="AX2677" t="s">
        <v>46897</v>
      </c>
    </row>
    <row r="2678" spans="1:50">
      <c r="A2678" s="1">
        <f>HYPERLINK("https://lsnyc.legalserver.org/matter/dynamic-profile/view/1881265","18-1881265")</f>
        <v>0</v>
      </c>
      <c r="B2678" t="s">
        <v>107</v>
      </c>
      <c r="C2678" t="s">
        <v>340</v>
      </c>
      <c r="D2678" t="s">
        <v>631</v>
      </c>
      <c r="F2678" t="s">
        <v>1467</v>
      </c>
      <c r="G2678" t="s">
        <v>6556</v>
      </c>
      <c r="H2678" t="s">
        <v>11779</v>
      </c>
      <c r="I2678" t="s">
        <v>17274</v>
      </c>
      <c r="J2678" t="s">
        <v>18901</v>
      </c>
      <c r="K2678">
        <v>11433</v>
      </c>
      <c r="L2678" t="s">
        <v>18958</v>
      </c>
      <c r="M2678" t="s">
        <v>18958</v>
      </c>
      <c r="N2678" t="s">
        <v>20961</v>
      </c>
      <c r="O2678" t="s">
        <v>26523</v>
      </c>
      <c r="P2678" t="s">
        <v>26564</v>
      </c>
      <c r="R2678" t="s">
        <v>26585</v>
      </c>
      <c r="S2678" t="s">
        <v>18959</v>
      </c>
      <c r="U2678" t="s">
        <v>26604</v>
      </c>
      <c r="V2678" t="s">
        <v>26609</v>
      </c>
      <c r="W2678" t="s">
        <v>631</v>
      </c>
      <c r="X2678">
        <v>549</v>
      </c>
      <c r="Y2678" t="s">
        <v>26653</v>
      </c>
      <c r="Z2678" t="s">
        <v>26664</v>
      </c>
      <c r="AB2678" t="s">
        <v>29032</v>
      </c>
      <c r="AC2678" t="s">
        <v>19045</v>
      </c>
      <c r="AD2678" t="s">
        <v>39085</v>
      </c>
      <c r="AE2678">
        <v>148</v>
      </c>
      <c r="AF2678" t="s">
        <v>45549</v>
      </c>
      <c r="AG2678" t="s">
        <v>19330</v>
      </c>
      <c r="AH2678">
        <v>5</v>
      </c>
      <c r="AI2678">
        <v>2</v>
      </c>
      <c r="AJ2678">
        <v>3</v>
      </c>
      <c r="AK2678">
        <v>111.57</v>
      </c>
      <c r="AN2678" t="s">
        <v>7439</v>
      </c>
      <c r="AO2678">
        <v>32824</v>
      </c>
      <c r="AS2678" t="s">
        <v>46499</v>
      </c>
      <c r="AT2678" t="s">
        <v>46752</v>
      </c>
      <c r="AU2678">
        <v>1.35</v>
      </c>
      <c r="AV2678" t="s">
        <v>414</v>
      </c>
      <c r="AW2678" t="s">
        <v>122</v>
      </c>
    </row>
    <row r="2679" spans="1:50">
      <c r="A2679" s="1">
        <f>HYPERLINK("https://lsnyc.legalserver.org/matter/dynamic-profile/view/1881165","18-1881165")</f>
        <v>0</v>
      </c>
      <c r="B2679" t="s">
        <v>149</v>
      </c>
      <c r="C2679" t="s">
        <v>340</v>
      </c>
      <c r="D2679" t="s">
        <v>631</v>
      </c>
      <c r="F2679" t="s">
        <v>2347</v>
      </c>
      <c r="G2679" t="s">
        <v>5678</v>
      </c>
      <c r="H2679" t="s">
        <v>11780</v>
      </c>
      <c r="I2679" t="s">
        <v>17360</v>
      </c>
      <c r="J2679" t="s">
        <v>18892</v>
      </c>
      <c r="K2679">
        <v>10463</v>
      </c>
      <c r="L2679" t="s">
        <v>18958</v>
      </c>
      <c r="M2679" t="s">
        <v>18958</v>
      </c>
      <c r="N2679" t="s">
        <v>20962</v>
      </c>
      <c r="O2679" t="s">
        <v>26524</v>
      </c>
      <c r="P2679" t="s">
        <v>26560</v>
      </c>
      <c r="R2679" t="s">
        <v>26577</v>
      </c>
      <c r="S2679" t="s">
        <v>18959</v>
      </c>
      <c r="U2679" t="s">
        <v>26604</v>
      </c>
      <c r="V2679" t="s">
        <v>26610</v>
      </c>
      <c r="W2679" t="s">
        <v>631</v>
      </c>
      <c r="X2679">
        <v>1431.68</v>
      </c>
      <c r="Y2679" t="s">
        <v>26650</v>
      </c>
      <c r="Z2679" t="s">
        <v>26670</v>
      </c>
      <c r="AB2679" t="s">
        <v>29033</v>
      </c>
      <c r="AD2679" t="s">
        <v>39086</v>
      </c>
      <c r="AE2679">
        <v>73</v>
      </c>
      <c r="AF2679" t="s">
        <v>45547</v>
      </c>
      <c r="AG2679" t="s">
        <v>19330</v>
      </c>
      <c r="AH2679">
        <v>5</v>
      </c>
      <c r="AI2679">
        <v>4</v>
      </c>
      <c r="AJ2679">
        <v>0</v>
      </c>
      <c r="AK2679">
        <v>62.15</v>
      </c>
      <c r="AN2679" t="s">
        <v>45581</v>
      </c>
      <c r="AO2679">
        <v>15600</v>
      </c>
      <c r="AU2679">
        <v>10.15</v>
      </c>
      <c r="AV2679" t="s">
        <v>753</v>
      </c>
      <c r="AW2679" t="s">
        <v>46842</v>
      </c>
    </row>
    <row r="2680" spans="1:50">
      <c r="A2680" s="1">
        <f>HYPERLINK("https://lsnyc.legalserver.org/matter/dynamic-profile/view/1881226","18-1881226")</f>
        <v>0</v>
      </c>
      <c r="B2680" t="s">
        <v>79</v>
      </c>
      <c r="C2680" t="s">
        <v>340</v>
      </c>
      <c r="D2680" t="s">
        <v>631</v>
      </c>
      <c r="F2680" t="s">
        <v>2348</v>
      </c>
      <c r="G2680" t="s">
        <v>5342</v>
      </c>
      <c r="H2680" t="s">
        <v>9672</v>
      </c>
      <c r="I2680" t="s">
        <v>17343</v>
      </c>
      <c r="J2680" t="s">
        <v>18893</v>
      </c>
      <c r="K2680">
        <v>10040</v>
      </c>
      <c r="L2680" t="s">
        <v>18958</v>
      </c>
      <c r="M2680" t="s">
        <v>18958</v>
      </c>
      <c r="O2680" t="s">
        <v>26526</v>
      </c>
      <c r="P2680" t="s">
        <v>26564</v>
      </c>
      <c r="R2680" t="s">
        <v>26578</v>
      </c>
      <c r="S2680" t="s">
        <v>18958</v>
      </c>
      <c r="U2680" t="s">
        <v>26604</v>
      </c>
      <c r="W2680" t="s">
        <v>631</v>
      </c>
      <c r="X2680">
        <v>1000</v>
      </c>
      <c r="Y2680" t="s">
        <v>26651</v>
      </c>
      <c r="Z2680" t="s">
        <v>26661</v>
      </c>
      <c r="AB2680" t="s">
        <v>29034</v>
      </c>
      <c r="AE2680">
        <v>42</v>
      </c>
      <c r="AF2680" t="s">
        <v>45541</v>
      </c>
      <c r="AG2680" t="s">
        <v>19330</v>
      </c>
      <c r="AH2680">
        <v>1</v>
      </c>
      <c r="AI2680">
        <v>2</v>
      </c>
      <c r="AJ2680">
        <v>0</v>
      </c>
      <c r="AK2680">
        <v>164.03</v>
      </c>
      <c r="AL2680" t="s">
        <v>597</v>
      </c>
      <c r="AM2680" t="s">
        <v>45580</v>
      </c>
      <c r="AN2680" t="s">
        <v>7439</v>
      </c>
      <c r="AO2680">
        <v>27000</v>
      </c>
      <c r="AU2680">
        <v>0</v>
      </c>
      <c r="AW2680" t="s">
        <v>46840</v>
      </c>
    </row>
    <row r="2681" spans="1:50">
      <c r="A2681" s="1">
        <f>HYPERLINK("https://lsnyc.legalserver.org/matter/dynamic-profile/view/1881235","18-1881235")</f>
        <v>0</v>
      </c>
      <c r="B2681" t="s">
        <v>79</v>
      </c>
      <c r="C2681" t="s">
        <v>340</v>
      </c>
      <c r="D2681" t="s">
        <v>631</v>
      </c>
      <c r="F2681" t="s">
        <v>2144</v>
      </c>
      <c r="G2681" t="s">
        <v>5442</v>
      </c>
      <c r="H2681" t="s">
        <v>9672</v>
      </c>
      <c r="I2681" t="s">
        <v>17278</v>
      </c>
      <c r="J2681" t="s">
        <v>18893</v>
      </c>
      <c r="K2681">
        <v>10040</v>
      </c>
      <c r="L2681" t="s">
        <v>18958</v>
      </c>
      <c r="M2681" t="s">
        <v>18958</v>
      </c>
      <c r="O2681" t="s">
        <v>26526</v>
      </c>
      <c r="P2681" t="s">
        <v>26564</v>
      </c>
      <c r="R2681" t="s">
        <v>26578</v>
      </c>
      <c r="S2681" t="s">
        <v>18958</v>
      </c>
      <c r="U2681" t="s">
        <v>26604</v>
      </c>
      <c r="W2681" t="s">
        <v>631</v>
      </c>
      <c r="X2681">
        <v>2000</v>
      </c>
      <c r="Y2681" t="s">
        <v>26651</v>
      </c>
      <c r="Z2681" t="s">
        <v>26661</v>
      </c>
      <c r="AB2681" t="s">
        <v>29035</v>
      </c>
      <c r="AD2681" t="s">
        <v>39087</v>
      </c>
      <c r="AE2681">
        <v>42</v>
      </c>
      <c r="AF2681" t="s">
        <v>45541</v>
      </c>
      <c r="AG2681" t="s">
        <v>19330</v>
      </c>
      <c r="AH2681">
        <v>2</v>
      </c>
      <c r="AI2681">
        <v>2</v>
      </c>
      <c r="AJ2681">
        <v>0</v>
      </c>
      <c r="AK2681">
        <v>166.46</v>
      </c>
      <c r="AL2681" t="s">
        <v>597</v>
      </c>
      <c r="AM2681" t="s">
        <v>45580</v>
      </c>
      <c r="AN2681" t="s">
        <v>7439</v>
      </c>
      <c r="AO2681">
        <v>27400</v>
      </c>
      <c r="AU2681">
        <v>0</v>
      </c>
      <c r="AW2681" t="s">
        <v>46840</v>
      </c>
    </row>
    <row r="2682" spans="1:50">
      <c r="A2682" s="1">
        <f>HYPERLINK("https://lsnyc.legalserver.org/matter/dynamic-profile/view/1881231","18-1881231")</f>
        <v>0</v>
      </c>
      <c r="B2682" t="s">
        <v>79</v>
      </c>
      <c r="C2682" t="s">
        <v>340</v>
      </c>
      <c r="D2682" t="s">
        <v>631</v>
      </c>
      <c r="F2682" t="s">
        <v>2349</v>
      </c>
      <c r="G2682" t="s">
        <v>6557</v>
      </c>
      <c r="H2682" t="s">
        <v>9672</v>
      </c>
      <c r="I2682" t="s">
        <v>17349</v>
      </c>
      <c r="J2682" t="s">
        <v>18893</v>
      </c>
      <c r="K2682">
        <v>10040</v>
      </c>
      <c r="L2682" t="s">
        <v>18958</v>
      </c>
      <c r="M2682" t="s">
        <v>18958</v>
      </c>
      <c r="O2682" t="s">
        <v>26526</v>
      </c>
      <c r="P2682" t="s">
        <v>26564</v>
      </c>
      <c r="R2682" t="s">
        <v>26578</v>
      </c>
      <c r="S2682" t="s">
        <v>18958</v>
      </c>
      <c r="U2682" t="s">
        <v>26604</v>
      </c>
      <c r="W2682" t="s">
        <v>631</v>
      </c>
      <c r="X2682">
        <v>1650</v>
      </c>
      <c r="Y2682" t="s">
        <v>26651</v>
      </c>
      <c r="Z2682" t="s">
        <v>26661</v>
      </c>
      <c r="AB2682" t="s">
        <v>29036</v>
      </c>
      <c r="AD2682" t="s">
        <v>39088</v>
      </c>
      <c r="AE2682">
        <v>42</v>
      </c>
      <c r="AF2682" t="s">
        <v>45541</v>
      </c>
      <c r="AG2682" t="s">
        <v>19330</v>
      </c>
      <c r="AH2682">
        <v>9</v>
      </c>
      <c r="AI2682">
        <v>2</v>
      </c>
      <c r="AJ2682">
        <v>2</v>
      </c>
      <c r="AK2682">
        <v>358.57</v>
      </c>
      <c r="AL2682" t="s">
        <v>597</v>
      </c>
      <c r="AM2682" t="s">
        <v>45580</v>
      </c>
      <c r="AN2682" t="s">
        <v>45581</v>
      </c>
      <c r="AO2682">
        <v>90000</v>
      </c>
      <c r="AU2682">
        <v>0</v>
      </c>
      <c r="AW2682" t="s">
        <v>46840</v>
      </c>
    </row>
    <row r="2683" spans="1:50">
      <c r="A2683" s="1">
        <f>HYPERLINK("https://lsnyc.legalserver.org/matter/dynamic-profile/view/1881209","18-1881209")</f>
        <v>0</v>
      </c>
      <c r="B2683" t="s">
        <v>135</v>
      </c>
      <c r="C2683" t="s">
        <v>340</v>
      </c>
      <c r="D2683" t="s">
        <v>631</v>
      </c>
      <c r="F2683" t="s">
        <v>1043</v>
      </c>
      <c r="G2683" t="s">
        <v>5225</v>
      </c>
      <c r="H2683" t="s">
        <v>9810</v>
      </c>
      <c r="I2683">
        <v>315</v>
      </c>
      <c r="J2683" t="s">
        <v>18892</v>
      </c>
      <c r="K2683">
        <v>10459</v>
      </c>
      <c r="L2683" t="s">
        <v>18958</v>
      </c>
      <c r="M2683" t="s">
        <v>18958</v>
      </c>
      <c r="O2683" t="s">
        <v>26548</v>
      </c>
      <c r="P2683" t="s">
        <v>26566</v>
      </c>
      <c r="R2683" t="s">
        <v>26578</v>
      </c>
      <c r="S2683" t="s">
        <v>18959</v>
      </c>
      <c r="U2683" t="s">
        <v>26606</v>
      </c>
      <c r="W2683" t="s">
        <v>631</v>
      </c>
      <c r="X2683">
        <v>1640.18</v>
      </c>
      <c r="Y2683" t="s">
        <v>26650</v>
      </c>
      <c r="Z2683" t="s">
        <v>26659</v>
      </c>
      <c r="AB2683" t="s">
        <v>26895</v>
      </c>
      <c r="AD2683" t="s">
        <v>36990</v>
      </c>
      <c r="AE2683">
        <v>123</v>
      </c>
      <c r="AF2683" t="s">
        <v>45541</v>
      </c>
      <c r="AG2683" t="s">
        <v>19330</v>
      </c>
      <c r="AH2683">
        <v>11</v>
      </c>
      <c r="AI2683">
        <v>2</v>
      </c>
      <c r="AJ2683">
        <v>0</v>
      </c>
      <c r="AK2683">
        <v>29.16</v>
      </c>
      <c r="AN2683" t="s">
        <v>7439</v>
      </c>
      <c r="AO2683">
        <v>4800</v>
      </c>
      <c r="AU2683">
        <v>116.4</v>
      </c>
      <c r="AV2683" t="s">
        <v>833</v>
      </c>
      <c r="AW2683" t="s">
        <v>46847</v>
      </c>
    </row>
    <row r="2684" spans="1:50">
      <c r="A2684" s="1">
        <f>HYPERLINK("https://lsnyc.legalserver.org/matter/dynamic-profile/view/1881190","18-1881190")</f>
        <v>0</v>
      </c>
      <c r="B2684" t="s">
        <v>135</v>
      </c>
      <c r="C2684" t="s">
        <v>340</v>
      </c>
      <c r="D2684" t="s">
        <v>631</v>
      </c>
      <c r="F2684" t="s">
        <v>1043</v>
      </c>
      <c r="G2684" t="s">
        <v>5225</v>
      </c>
      <c r="H2684" t="s">
        <v>9810</v>
      </c>
      <c r="I2684">
        <v>315</v>
      </c>
      <c r="J2684" t="s">
        <v>18892</v>
      </c>
      <c r="K2684">
        <v>10459</v>
      </c>
      <c r="L2684" t="s">
        <v>18958</v>
      </c>
      <c r="M2684" t="s">
        <v>18958</v>
      </c>
      <c r="N2684" t="s">
        <v>20963</v>
      </c>
      <c r="O2684" t="s">
        <v>26523</v>
      </c>
      <c r="P2684" t="s">
        <v>26560</v>
      </c>
      <c r="R2684" t="s">
        <v>26578</v>
      </c>
      <c r="S2684" t="s">
        <v>18959</v>
      </c>
      <c r="U2684" t="s">
        <v>26604</v>
      </c>
      <c r="V2684" t="s">
        <v>26610</v>
      </c>
      <c r="W2684" t="s">
        <v>631</v>
      </c>
      <c r="X2684">
        <v>1640.18</v>
      </c>
      <c r="Y2684" t="s">
        <v>26650</v>
      </c>
      <c r="Z2684" t="s">
        <v>26659</v>
      </c>
      <c r="AB2684" t="s">
        <v>26895</v>
      </c>
      <c r="AD2684" t="s">
        <v>36990</v>
      </c>
      <c r="AE2684">
        <v>123</v>
      </c>
      <c r="AF2684" t="s">
        <v>45541</v>
      </c>
      <c r="AG2684" t="s">
        <v>19330</v>
      </c>
      <c r="AH2684">
        <v>11</v>
      </c>
      <c r="AI2684">
        <v>2</v>
      </c>
      <c r="AJ2684">
        <v>0</v>
      </c>
      <c r="AK2684">
        <v>29.16</v>
      </c>
      <c r="AN2684" t="s">
        <v>7439</v>
      </c>
      <c r="AO2684">
        <v>4800</v>
      </c>
      <c r="AU2684">
        <v>62.6</v>
      </c>
      <c r="AV2684" t="s">
        <v>829</v>
      </c>
      <c r="AW2684" t="s">
        <v>46847</v>
      </c>
    </row>
    <row r="2685" spans="1:50">
      <c r="A2685" s="1">
        <f>HYPERLINK("https://lsnyc.legalserver.org/matter/dynamic-profile/view/1881162","18-1881162")</f>
        <v>0</v>
      </c>
      <c r="B2685" t="s">
        <v>82</v>
      </c>
      <c r="C2685" t="s">
        <v>340</v>
      </c>
      <c r="D2685" t="s">
        <v>631</v>
      </c>
      <c r="F2685" t="s">
        <v>2350</v>
      </c>
      <c r="G2685" t="s">
        <v>6558</v>
      </c>
      <c r="H2685" t="s">
        <v>11781</v>
      </c>
      <c r="I2685" t="s">
        <v>17293</v>
      </c>
      <c r="J2685" t="s">
        <v>18892</v>
      </c>
      <c r="K2685">
        <v>10453</v>
      </c>
      <c r="L2685" t="s">
        <v>18958</v>
      </c>
      <c r="M2685" t="s">
        <v>18958</v>
      </c>
      <c r="N2685" t="s">
        <v>20964</v>
      </c>
      <c r="O2685" t="s">
        <v>26523</v>
      </c>
      <c r="P2685" t="s">
        <v>26560</v>
      </c>
      <c r="R2685" t="s">
        <v>26577</v>
      </c>
      <c r="S2685" t="s">
        <v>18959</v>
      </c>
      <c r="U2685" t="s">
        <v>26604</v>
      </c>
      <c r="V2685" t="s">
        <v>26610</v>
      </c>
      <c r="W2685" t="s">
        <v>631</v>
      </c>
      <c r="X2685">
        <v>1546.62</v>
      </c>
      <c r="Y2685" t="s">
        <v>26650</v>
      </c>
      <c r="Z2685" t="s">
        <v>26664</v>
      </c>
      <c r="AB2685" t="s">
        <v>27231</v>
      </c>
      <c r="AC2685" t="s">
        <v>35296</v>
      </c>
      <c r="AD2685" t="s">
        <v>39089</v>
      </c>
      <c r="AE2685">
        <v>25</v>
      </c>
      <c r="AF2685" t="s">
        <v>45541</v>
      </c>
      <c r="AG2685" t="s">
        <v>19330</v>
      </c>
      <c r="AH2685">
        <v>1</v>
      </c>
      <c r="AI2685">
        <v>2</v>
      </c>
      <c r="AJ2685">
        <v>2</v>
      </c>
      <c r="AK2685">
        <v>199.2</v>
      </c>
      <c r="AN2685" t="s">
        <v>45581</v>
      </c>
      <c r="AO2685">
        <v>50000</v>
      </c>
      <c r="AP2685" t="s">
        <v>45654</v>
      </c>
      <c r="AU2685">
        <v>4.35</v>
      </c>
      <c r="AV2685" t="s">
        <v>716</v>
      </c>
      <c r="AW2685" t="s">
        <v>334</v>
      </c>
    </row>
    <row r="2686" spans="1:50">
      <c r="A2686" s="1">
        <f>HYPERLINK("https://lsnyc.legalserver.org/matter/dynamic-profile/view/1881185","18-1881185")</f>
        <v>0</v>
      </c>
      <c r="B2686" t="s">
        <v>142</v>
      </c>
      <c r="C2686" t="s">
        <v>340</v>
      </c>
      <c r="D2686" t="s">
        <v>631</v>
      </c>
      <c r="F2686" t="s">
        <v>2351</v>
      </c>
      <c r="G2686" t="s">
        <v>6559</v>
      </c>
      <c r="H2686" t="s">
        <v>11782</v>
      </c>
      <c r="I2686" t="s">
        <v>17284</v>
      </c>
      <c r="J2686" t="s">
        <v>18928</v>
      </c>
      <c r="K2686">
        <v>11365</v>
      </c>
      <c r="L2686" t="s">
        <v>18958</v>
      </c>
      <c r="M2686" t="s">
        <v>18958</v>
      </c>
      <c r="N2686" t="s">
        <v>20965</v>
      </c>
      <c r="O2686" t="s">
        <v>26523</v>
      </c>
      <c r="P2686" t="s">
        <v>26560</v>
      </c>
      <c r="R2686" t="s">
        <v>26584</v>
      </c>
      <c r="S2686" t="s">
        <v>18959</v>
      </c>
      <c r="U2686" t="s">
        <v>26605</v>
      </c>
      <c r="V2686" t="s">
        <v>26610</v>
      </c>
      <c r="W2686" t="s">
        <v>631</v>
      </c>
      <c r="X2686">
        <v>772</v>
      </c>
      <c r="Y2686" t="s">
        <v>26653</v>
      </c>
      <c r="Z2686" t="s">
        <v>26664</v>
      </c>
      <c r="AB2686" t="s">
        <v>29037</v>
      </c>
      <c r="AC2686" t="s">
        <v>35297</v>
      </c>
      <c r="AD2686" t="s">
        <v>39090</v>
      </c>
      <c r="AE2686">
        <v>60</v>
      </c>
      <c r="AF2686" t="s">
        <v>45549</v>
      </c>
      <c r="AG2686" t="s">
        <v>19330</v>
      </c>
      <c r="AH2686">
        <v>16</v>
      </c>
      <c r="AI2686">
        <v>2</v>
      </c>
      <c r="AJ2686">
        <v>0</v>
      </c>
      <c r="AK2686">
        <v>46.37</v>
      </c>
      <c r="AN2686" t="s">
        <v>7439</v>
      </c>
      <c r="AO2686">
        <v>7632</v>
      </c>
      <c r="AU2686">
        <v>11.95</v>
      </c>
      <c r="AV2686" t="s">
        <v>714</v>
      </c>
      <c r="AW2686" t="s">
        <v>161</v>
      </c>
    </row>
    <row r="2687" spans="1:50">
      <c r="A2687" s="1">
        <f>HYPERLINK("https://lsnyc.legalserver.org/matter/dynamic-profile/view/1881193","18-1881193")</f>
        <v>0</v>
      </c>
      <c r="B2687" t="s">
        <v>121</v>
      </c>
      <c r="C2687" t="s">
        <v>340</v>
      </c>
      <c r="D2687" t="s">
        <v>631</v>
      </c>
      <c r="F2687" t="s">
        <v>986</v>
      </c>
      <c r="G2687" t="s">
        <v>6560</v>
      </c>
      <c r="H2687" t="s">
        <v>11762</v>
      </c>
      <c r="I2687">
        <v>417</v>
      </c>
      <c r="J2687" t="s">
        <v>18892</v>
      </c>
      <c r="K2687">
        <v>10457</v>
      </c>
      <c r="L2687" t="s">
        <v>18958</v>
      </c>
      <c r="M2687" t="s">
        <v>18958</v>
      </c>
      <c r="N2687" t="s">
        <v>20966</v>
      </c>
      <c r="O2687" t="s">
        <v>26523</v>
      </c>
      <c r="P2687" t="s">
        <v>26560</v>
      </c>
      <c r="R2687" t="s">
        <v>26579</v>
      </c>
      <c r="U2687" t="s">
        <v>26604</v>
      </c>
      <c r="V2687" t="s">
        <v>26610</v>
      </c>
      <c r="W2687" t="s">
        <v>631</v>
      </c>
      <c r="X2687">
        <v>229</v>
      </c>
      <c r="Y2687" t="s">
        <v>26650</v>
      </c>
      <c r="Z2687" t="s">
        <v>26664</v>
      </c>
      <c r="AB2687" t="s">
        <v>29038</v>
      </c>
      <c r="AC2687" t="s">
        <v>35298</v>
      </c>
      <c r="AD2687" t="s">
        <v>39091</v>
      </c>
      <c r="AE2687">
        <v>84</v>
      </c>
      <c r="AF2687" t="s">
        <v>45543</v>
      </c>
      <c r="AG2687" t="s">
        <v>45556</v>
      </c>
      <c r="AH2687">
        <v>45</v>
      </c>
      <c r="AI2687">
        <v>3</v>
      </c>
      <c r="AJ2687">
        <v>0</v>
      </c>
      <c r="AK2687">
        <v>45.27</v>
      </c>
      <c r="AN2687" t="s">
        <v>7439</v>
      </c>
      <c r="AO2687">
        <v>9408</v>
      </c>
      <c r="AR2687" t="s">
        <v>46380</v>
      </c>
      <c r="AS2687" t="s">
        <v>46499</v>
      </c>
      <c r="AT2687" t="s">
        <v>46604</v>
      </c>
      <c r="AU2687">
        <v>12.5</v>
      </c>
      <c r="AV2687" t="s">
        <v>777</v>
      </c>
      <c r="AW2687" t="s">
        <v>334</v>
      </c>
    </row>
    <row r="2688" spans="1:50">
      <c r="A2688" s="1">
        <f>HYPERLINK("https://lsnyc.legalserver.org/matter/dynamic-profile/view/1881205","18-1881205")</f>
        <v>0</v>
      </c>
      <c r="B2688" t="s">
        <v>112</v>
      </c>
      <c r="C2688" t="s">
        <v>340</v>
      </c>
      <c r="D2688" t="s">
        <v>631</v>
      </c>
      <c r="F2688" t="s">
        <v>2352</v>
      </c>
      <c r="G2688" t="s">
        <v>5331</v>
      </c>
      <c r="H2688" t="s">
        <v>11783</v>
      </c>
      <c r="I2688">
        <v>61</v>
      </c>
      <c r="J2688" t="s">
        <v>18901</v>
      </c>
      <c r="K2688">
        <v>11435</v>
      </c>
      <c r="L2688" t="s">
        <v>18958</v>
      </c>
      <c r="M2688" t="s">
        <v>18958</v>
      </c>
      <c r="N2688" t="s">
        <v>20967</v>
      </c>
      <c r="O2688" t="s">
        <v>26524</v>
      </c>
      <c r="P2688" t="s">
        <v>26564</v>
      </c>
      <c r="R2688" t="s">
        <v>26584</v>
      </c>
      <c r="S2688" t="s">
        <v>18959</v>
      </c>
      <c r="U2688" t="s">
        <v>26604</v>
      </c>
      <c r="V2688" t="s">
        <v>26610</v>
      </c>
      <c r="W2688" t="s">
        <v>631</v>
      </c>
      <c r="X2688">
        <v>1100</v>
      </c>
      <c r="Y2688" t="s">
        <v>26653</v>
      </c>
      <c r="Z2688" t="s">
        <v>26664</v>
      </c>
      <c r="AB2688" t="s">
        <v>29039</v>
      </c>
      <c r="AD2688" t="s">
        <v>39092</v>
      </c>
      <c r="AE2688">
        <v>69</v>
      </c>
      <c r="AF2688" t="s">
        <v>45552</v>
      </c>
      <c r="AG2688" t="s">
        <v>45556</v>
      </c>
      <c r="AH2688">
        <v>69</v>
      </c>
      <c r="AI2688">
        <v>1</v>
      </c>
      <c r="AJ2688">
        <v>0</v>
      </c>
      <c r="AK2688">
        <v>94.2</v>
      </c>
      <c r="AN2688" t="s">
        <v>7439</v>
      </c>
      <c r="AO2688">
        <v>11436</v>
      </c>
      <c r="AU2688">
        <v>1</v>
      </c>
      <c r="AV2688" t="s">
        <v>631</v>
      </c>
      <c r="AW2688" t="s">
        <v>161</v>
      </c>
    </row>
    <row r="2689" spans="1:50">
      <c r="A2689" s="1">
        <f>HYPERLINK("https://lsnyc.legalserver.org/matter/dynamic-profile/view/1881198","18-1881198")</f>
        <v>0</v>
      </c>
      <c r="B2689" t="s">
        <v>112</v>
      </c>
      <c r="C2689" t="s">
        <v>340</v>
      </c>
      <c r="D2689" t="s">
        <v>631</v>
      </c>
      <c r="F2689" t="s">
        <v>2353</v>
      </c>
      <c r="G2689" t="s">
        <v>1938</v>
      </c>
      <c r="H2689" t="s">
        <v>11784</v>
      </c>
      <c r="I2689" t="s">
        <v>17574</v>
      </c>
      <c r="J2689" t="s">
        <v>7026</v>
      </c>
      <c r="K2689">
        <v>11368</v>
      </c>
      <c r="L2689" t="s">
        <v>18958</v>
      </c>
      <c r="M2689" t="s">
        <v>18958</v>
      </c>
      <c r="N2689" t="s">
        <v>20968</v>
      </c>
      <c r="O2689" t="s">
        <v>26523</v>
      </c>
      <c r="P2689" t="s">
        <v>26564</v>
      </c>
      <c r="R2689" t="s">
        <v>26584</v>
      </c>
      <c r="S2689" t="s">
        <v>18959</v>
      </c>
      <c r="U2689" t="s">
        <v>26604</v>
      </c>
      <c r="V2689" t="s">
        <v>26610</v>
      </c>
      <c r="W2689" t="s">
        <v>631</v>
      </c>
      <c r="X2689">
        <v>757</v>
      </c>
      <c r="Y2689" t="s">
        <v>26653</v>
      </c>
      <c r="Z2689" t="s">
        <v>26664</v>
      </c>
      <c r="AB2689" t="s">
        <v>27918</v>
      </c>
      <c r="AC2689" t="s">
        <v>35299</v>
      </c>
      <c r="AD2689" t="s">
        <v>39093</v>
      </c>
      <c r="AE2689">
        <v>24</v>
      </c>
      <c r="AF2689" t="s">
        <v>45541</v>
      </c>
      <c r="AG2689" t="s">
        <v>45559</v>
      </c>
      <c r="AH2689">
        <v>40</v>
      </c>
      <c r="AI2689">
        <v>2</v>
      </c>
      <c r="AJ2689">
        <v>0</v>
      </c>
      <c r="AK2689">
        <v>96.89</v>
      </c>
      <c r="AN2689" t="s">
        <v>7439</v>
      </c>
      <c r="AO2689">
        <v>15948</v>
      </c>
      <c r="AU2689">
        <v>1</v>
      </c>
      <c r="AV2689" t="s">
        <v>631</v>
      </c>
      <c r="AW2689" t="s">
        <v>161</v>
      </c>
    </row>
    <row r="2690" spans="1:50">
      <c r="A2690" s="1">
        <f>HYPERLINK("https://lsnyc.legalserver.org/matter/dynamic-profile/view/1881155","18-1881155")</f>
        <v>0</v>
      </c>
      <c r="B2690" t="s">
        <v>87</v>
      </c>
      <c r="C2690" t="s">
        <v>340</v>
      </c>
      <c r="D2690" t="s">
        <v>631</v>
      </c>
      <c r="F2690" t="s">
        <v>2354</v>
      </c>
      <c r="G2690" t="s">
        <v>6561</v>
      </c>
      <c r="H2690" t="s">
        <v>11785</v>
      </c>
      <c r="I2690">
        <v>2</v>
      </c>
      <c r="J2690" t="s">
        <v>18892</v>
      </c>
      <c r="K2690">
        <v>10459</v>
      </c>
      <c r="L2690" t="s">
        <v>18958</v>
      </c>
      <c r="M2690" t="s">
        <v>18958</v>
      </c>
      <c r="N2690" t="s">
        <v>20969</v>
      </c>
      <c r="O2690" t="s">
        <v>26524</v>
      </c>
      <c r="P2690" t="s">
        <v>26560</v>
      </c>
      <c r="R2690" t="s">
        <v>26577</v>
      </c>
      <c r="S2690" t="s">
        <v>18959</v>
      </c>
      <c r="U2690" t="s">
        <v>26604</v>
      </c>
      <c r="V2690" t="s">
        <v>26610</v>
      </c>
      <c r="W2690" t="s">
        <v>631</v>
      </c>
      <c r="X2690">
        <v>1600</v>
      </c>
      <c r="Y2690" t="s">
        <v>26650</v>
      </c>
      <c r="Z2690" t="s">
        <v>26664</v>
      </c>
      <c r="AB2690" t="s">
        <v>29040</v>
      </c>
      <c r="AC2690" t="s">
        <v>35300</v>
      </c>
      <c r="AD2690" t="s">
        <v>39094</v>
      </c>
      <c r="AE2690">
        <v>3</v>
      </c>
      <c r="AF2690" t="s">
        <v>45547</v>
      </c>
      <c r="AG2690" t="s">
        <v>45562</v>
      </c>
      <c r="AH2690">
        <v>2</v>
      </c>
      <c r="AI2690">
        <v>2</v>
      </c>
      <c r="AJ2690">
        <v>2</v>
      </c>
      <c r="AK2690">
        <v>53.55</v>
      </c>
      <c r="AN2690" t="s">
        <v>45581</v>
      </c>
      <c r="AO2690">
        <v>13440</v>
      </c>
      <c r="AU2690">
        <v>31.35</v>
      </c>
      <c r="AV2690" t="s">
        <v>839</v>
      </c>
      <c r="AW2690" t="s">
        <v>46870</v>
      </c>
    </row>
    <row r="2691" spans="1:50">
      <c r="A2691" s="1">
        <f>HYPERLINK("https://lsnyc.legalserver.org/matter/dynamic-profile/view/1881229","18-1881229")</f>
        <v>0</v>
      </c>
      <c r="B2691" t="s">
        <v>221</v>
      </c>
      <c r="C2691" t="s">
        <v>340</v>
      </c>
      <c r="D2691" t="s">
        <v>631</v>
      </c>
      <c r="F2691" t="s">
        <v>2355</v>
      </c>
      <c r="G2691" t="s">
        <v>6562</v>
      </c>
      <c r="H2691" t="s">
        <v>11786</v>
      </c>
      <c r="I2691" t="s">
        <v>17416</v>
      </c>
      <c r="J2691" t="s">
        <v>18911</v>
      </c>
      <c r="K2691">
        <v>11375</v>
      </c>
      <c r="L2691" t="s">
        <v>18958</v>
      </c>
      <c r="M2691" t="s">
        <v>18958</v>
      </c>
      <c r="N2691" t="s">
        <v>20970</v>
      </c>
      <c r="O2691" t="s">
        <v>26524</v>
      </c>
      <c r="P2691" t="s">
        <v>26560</v>
      </c>
      <c r="R2691" t="s">
        <v>26584</v>
      </c>
      <c r="S2691" t="s">
        <v>18959</v>
      </c>
      <c r="U2691" t="s">
        <v>26604</v>
      </c>
      <c r="V2691" t="s">
        <v>26610</v>
      </c>
      <c r="W2691" t="s">
        <v>631</v>
      </c>
      <c r="X2691">
        <v>1600</v>
      </c>
      <c r="Y2691" t="s">
        <v>26653</v>
      </c>
      <c r="Z2691" t="s">
        <v>26664</v>
      </c>
      <c r="AB2691" t="s">
        <v>29041</v>
      </c>
      <c r="AC2691" t="s">
        <v>35301</v>
      </c>
      <c r="AD2691" t="s">
        <v>39095</v>
      </c>
      <c r="AE2691">
        <v>2</v>
      </c>
      <c r="AF2691" t="s">
        <v>45547</v>
      </c>
      <c r="AG2691" t="s">
        <v>45556</v>
      </c>
      <c r="AH2691">
        <v>10</v>
      </c>
      <c r="AI2691">
        <v>3</v>
      </c>
      <c r="AJ2691">
        <v>2</v>
      </c>
      <c r="AK2691">
        <v>67.98</v>
      </c>
      <c r="AN2691" t="s">
        <v>7439</v>
      </c>
      <c r="AO2691">
        <v>20000</v>
      </c>
      <c r="AU2691">
        <v>59.85</v>
      </c>
      <c r="AV2691" t="s">
        <v>836</v>
      </c>
      <c r="AW2691" t="s">
        <v>161</v>
      </c>
    </row>
    <row r="2692" spans="1:50">
      <c r="A2692" s="1">
        <f>HYPERLINK("https://lsnyc.legalserver.org/matter/dynamic-profile/view/1881667","18-1881667")</f>
        <v>0</v>
      </c>
      <c r="B2692" t="s">
        <v>211</v>
      </c>
      <c r="C2692" t="s">
        <v>340</v>
      </c>
      <c r="D2692" t="s">
        <v>618</v>
      </c>
      <c r="F2692" t="s">
        <v>1013</v>
      </c>
      <c r="G2692" t="s">
        <v>6206</v>
      </c>
      <c r="H2692" t="s">
        <v>11787</v>
      </c>
      <c r="I2692">
        <v>201</v>
      </c>
      <c r="J2692" t="s">
        <v>18893</v>
      </c>
      <c r="K2692">
        <v>10025</v>
      </c>
      <c r="L2692" t="s">
        <v>18958</v>
      </c>
      <c r="M2692" t="s">
        <v>18958</v>
      </c>
      <c r="O2692" t="s">
        <v>26532</v>
      </c>
      <c r="P2692" t="s">
        <v>26560</v>
      </c>
      <c r="R2692" t="s">
        <v>26578</v>
      </c>
      <c r="S2692" t="s">
        <v>18958</v>
      </c>
      <c r="U2692" t="s">
        <v>26604</v>
      </c>
      <c r="V2692" t="s">
        <v>26610</v>
      </c>
      <c r="W2692" t="s">
        <v>631</v>
      </c>
      <c r="X2692">
        <v>0</v>
      </c>
      <c r="Y2692" t="s">
        <v>26652</v>
      </c>
      <c r="Z2692" t="s">
        <v>26657</v>
      </c>
      <c r="AB2692" t="s">
        <v>29042</v>
      </c>
      <c r="AD2692" t="s">
        <v>39096</v>
      </c>
      <c r="AE2692">
        <v>24</v>
      </c>
      <c r="AF2692" t="s">
        <v>45541</v>
      </c>
      <c r="AG2692" t="s">
        <v>45562</v>
      </c>
      <c r="AH2692">
        <v>0</v>
      </c>
      <c r="AI2692">
        <v>2</v>
      </c>
      <c r="AJ2692">
        <v>0</v>
      </c>
      <c r="AK2692">
        <v>187.96</v>
      </c>
      <c r="AM2692" t="s">
        <v>45580</v>
      </c>
      <c r="AN2692" t="s">
        <v>7439</v>
      </c>
      <c r="AO2692">
        <v>30938</v>
      </c>
      <c r="AP2692" t="s">
        <v>45635</v>
      </c>
      <c r="AU2692">
        <v>63</v>
      </c>
      <c r="AV2692" t="s">
        <v>720</v>
      </c>
      <c r="AW2692" t="s">
        <v>279</v>
      </c>
    </row>
    <row r="2693" spans="1:50">
      <c r="A2693" s="1">
        <f>HYPERLINK("https://lsnyc.legalserver.org/matter/dynamic-profile/view/1882024","18-1882024")</f>
        <v>0</v>
      </c>
      <c r="B2693" t="s">
        <v>61</v>
      </c>
      <c r="C2693" t="s">
        <v>340</v>
      </c>
      <c r="D2693" t="s">
        <v>641</v>
      </c>
      <c r="F2693" t="s">
        <v>1375</v>
      </c>
      <c r="G2693" t="s">
        <v>6563</v>
      </c>
      <c r="H2693" t="s">
        <v>10374</v>
      </c>
      <c r="I2693">
        <v>35</v>
      </c>
      <c r="J2693" t="s">
        <v>18893</v>
      </c>
      <c r="K2693">
        <v>10034</v>
      </c>
      <c r="L2693" t="s">
        <v>18958</v>
      </c>
      <c r="M2693" t="s">
        <v>18958</v>
      </c>
      <c r="N2693" t="s">
        <v>20971</v>
      </c>
      <c r="O2693" t="s">
        <v>26526</v>
      </c>
      <c r="P2693" t="s">
        <v>26560</v>
      </c>
      <c r="R2693" t="s">
        <v>26578</v>
      </c>
      <c r="S2693" t="s">
        <v>18959</v>
      </c>
      <c r="U2693" t="s">
        <v>26604</v>
      </c>
      <c r="W2693" t="s">
        <v>631</v>
      </c>
      <c r="X2693">
        <v>891.88</v>
      </c>
      <c r="Y2693" t="s">
        <v>26651</v>
      </c>
      <c r="Z2693" t="s">
        <v>26659</v>
      </c>
      <c r="AB2693" t="s">
        <v>29043</v>
      </c>
      <c r="AD2693" t="s">
        <v>39097</v>
      </c>
      <c r="AE2693">
        <v>25</v>
      </c>
      <c r="AF2693" t="s">
        <v>45541</v>
      </c>
      <c r="AG2693" t="s">
        <v>45556</v>
      </c>
      <c r="AH2693">
        <v>40</v>
      </c>
      <c r="AI2693">
        <v>1</v>
      </c>
      <c r="AJ2693">
        <v>0</v>
      </c>
      <c r="AK2693">
        <v>82.31</v>
      </c>
      <c r="AN2693" t="s">
        <v>45587</v>
      </c>
      <c r="AO2693">
        <v>9992.4</v>
      </c>
      <c r="AU2693">
        <v>33.6</v>
      </c>
      <c r="AV2693" t="s">
        <v>574</v>
      </c>
      <c r="AW2693" t="s">
        <v>46840</v>
      </c>
    </row>
    <row r="2694" spans="1:50">
      <c r="A2694" s="1">
        <f>HYPERLINK("https://lsnyc.legalserver.org/matter/dynamic-profile/view/1882020","18-1882020")</f>
        <v>0</v>
      </c>
      <c r="B2694" t="s">
        <v>61</v>
      </c>
      <c r="C2694" t="s">
        <v>340</v>
      </c>
      <c r="D2694" t="s">
        <v>641</v>
      </c>
      <c r="F2694" t="s">
        <v>1375</v>
      </c>
      <c r="G2694" t="s">
        <v>6563</v>
      </c>
      <c r="H2694" t="s">
        <v>10374</v>
      </c>
      <c r="I2694">
        <v>35</v>
      </c>
      <c r="J2694" t="s">
        <v>18893</v>
      </c>
      <c r="K2694">
        <v>10034</v>
      </c>
      <c r="L2694" t="s">
        <v>18958</v>
      </c>
      <c r="M2694" t="s">
        <v>18958</v>
      </c>
      <c r="O2694" t="s">
        <v>26537</v>
      </c>
      <c r="P2694" t="s">
        <v>26562</v>
      </c>
      <c r="R2694" t="s">
        <v>26578</v>
      </c>
      <c r="S2694" t="s">
        <v>18959</v>
      </c>
      <c r="U2694" t="s">
        <v>26604</v>
      </c>
      <c r="W2694" t="s">
        <v>631</v>
      </c>
      <c r="X2694">
        <v>892.88</v>
      </c>
      <c r="Y2694" t="s">
        <v>26651</v>
      </c>
      <c r="Z2694" t="s">
        <v>26659</v>
      </c>
      <c r="AB2694" t="s">
        <v>29043</v>
      </c>
      <c r="AD2694" t="s">
        <v>39097</v>
      </c>
      <c r="AE2694">
        <v>25</v>
      </c>
      <c r="AF2694" t="s">
        <v>45541</v>
      </c>
      <c r="AG2694" t="s">
        <v>45556</v>
      </c>
      <c r="AH2694">
        <v>40</v>
      </c>
      <c r="AI2694">
        <v>1</v>
      </c>
      <c r="AJ2694">
        <v>0</v>
      </c>
      <c r="AK2694">
        <v>82.31</v>
      </c>
      <c r="AN2694" t="s">
        <v>45587</v>
      </c>
      <c r="AO2694">
        <v>9992.4</v>
      </c>
      <c r="AU2694">
        <v>7.3</v>
      </c>
      <c r="AV2694" t="s">
        <v>823</v>
      </c>
      <c r="AW2694" t="s">
        <v>46840</v>
      </c>
    </row>
    <row r="2695" spans="1:50">
      <c r="A2695" s="1">
        <f>HYPERLINK("https://lsnyc.legalserver.org/matter/dynamic-profile/view/1867354","18-1867354")</f>
        <v>0</v>
      </c>
      <c r="B2695" t="s">
        <v>199</v>
      </c>
      <c r="C2695" t="s">
        <v>341</v>
      </c>
      <c r="D2695" t="s">
        <v>388</v>
      </c>
      <c r="E2695" t="s">
        <v>766</v>
      </c>
      <c r="F2695" t="s">
        <v>1367</v>
      </c>
      <c r="G2695" t="s">
        <v>6564</v>
      </c>
      <c r="H2695" t="s">
        <v>11788</v>
      </c>
      <c r="I2695" t="s">
        <v>17864</v>
      </c>
      <c r="J2695" t="s">
        <v>18937</v>
      </c>
      <c r="K2695">
        <v>11238</v>
      </c>
      <c r="L2695" t="s">
        <v>18958</v>
      </c>
      <c r="M2695" t="s">
        <v>18958</v>
      </c>
      <c r="O2695" t="s">
        <v>26539</v>
      </c>
      <c r="P2695" t="s">
        <v>26562</v>
      </c>
      <c r="Q2695" t="s">
        <v>26571</v>
      </c>
      <c r="R2695" t="s">
        <v>26578</v>
      </c>
      <c r="S2695" t="s">
        <v>18959</v>
      </c>
      <c r="U2695" t="s">
        <v>26607</v>
      </c>
      <c r="W2695" t="s">
        <v>632</v>
      </c>
      <c r="X2695">
        <v>654.34</v>
      </c>
      <c r="Y2695" t="s">
        <v>26652</v>
      </c>
      <c r="Z2695" t="s">
        <v>26659</v>
      </c>
      <c r="AA2695" t="s">
        <v>26684</v>
      </c>
      <c r="AB2695" t="s">
        <v>29044</v>
      </c>
      <c r="AD2695" t="s">
        <v>39098</v>
      </c>
      <c r="AE2695">
        <v>29</v>
      </c>
      <c r="AF2695" t="s">
        <v>45541</v>
      </c>
      <c r="AG2695" t="s">
        <v>19330</v>
      </c>
      <c r="AH2695">
        <v>40</v>
      </c>
      <c r="AI2695">
        <v>1</v>
      </c>
      <c r="AJ2695">
        <v>0</v>
      </c>
      <c r="AK2695">
        <v>76.20999999999999</v>
      </c>
      <c r="AN2695" t="s">
        <v>7439</v>
      </c>
      <c r="AO2695">
        <v>9252</v>
      </c>
      <c r="AS2695" t="s">
        <v>46499</v>
      </c>
      <c r="AT2695" t="s">
        <v>46595</v>
      </c>
      <c r="AU2695">
        <v>9.050000000000001</v>
      </c>
      <c r="AV2695" t="s">
        <v>635</v>
      </c>
      <c r="AW2695" t="s">
        <v>237</v>
      </c>
    </row>
    <row r="2696" spans="1:50">
      <c r="A2696" s="1">
        <f>HYPERLINK("https://lsnyc.legalserver.org/matter/dynamic-profile/view/1874814","18-1874814")</f>
        <v>0</v>
      </c>
      <c r="B2696" t="s">
        <v>207</v>
      </c>
      <c r="C2696" t="s">
        <v>341</v>
      </c>
      <c r="D2696" t="s">
        <v>477</v>
      </c>
      <c r="E2696" t="s">
        <v>632</v>
      </c>
      <c r="F2696" t="s">
        <v>1179</v>
      </c>
      <c r="G2696" t="s">
        <v>6565</v>
      </c>
      <c r="H2696" t="s">
        <v>11789</v>
      </c>
      <c r="I2696" t="s">
        <v>17306</v>
      </c>
      <c r="J2696" t="s">
        <v>18894</v>
      </c>
      <c r="K2696">
        <v>11206</v>
      </c>
      <c r="L2696" t="s">
        <v>18958</v>
      </c>
      <c r="M2696" t="s">
        <v>18958</v>
      </c>
      <c r="N2696" t="s">
        <v>20972</v>
      </c>
      <c r="O2696" t="s">
        <v>26523</v>
      </c>
      <c r="P2696" t="s">
        <v>26563</v>
      </c>
      <c r="Q2696" t="s">
        <v>26573</v>
      </c>
      <c r="R2696" t="s">
        <v>26586</v>
      </c>
      <c r="U2696" t="s">
        <v>26604</v>
      </c>
      <c r="W2696" t="s">
        <v>632</v>
      </c>
      <c r="X2696">
        <v>1025.17</v>
      </c>
      <c r="Y2696" t="s">
        <v>26652</v>
      </c>
      <c r="Z2696" t="s">
        <v>26664</v>
      </c>
      <c r="AA2696" t="s">
        <v>26678</v>
      </c>
      <c r="AB2696" t="s">
        <v>29045</v>
      </c>
      <c r="AD2696" t="s">
        <v>39099</v>
      </c>
      <c r="AE2696">
        <v>3</v>
      </c>
      <c r="AH2696">
        <v>3</v>
      </c>
      <c r="AI2696">
        <v>2</v>
      </c>
      <c r="AJ2696">
        <v>1</v>
      </c>
      <c r="AK2696">
        <v>76.16</v>
      </c>
      <c r="AN2696" t="s">
        <v>7439</v>
      </c>
      <c r="AO2696">
        <v>15826.01</v>
      </c>
      <c r="AQ2696" t="s">
        <v>46359</v>
      </c>
      <c r="AR2696" t="s">
        <v>46379</v>
      </c>
      <c r="AS2696" t="s">
        <v>46499</v>
      </c>
      <c r="AT2696" t="s">
        <v>46753</v>
      </c>
      <c r="AU2696">
        <v>12.1</v>
      </c>
      <c r="AV2696" t="s">
        <v>632</v>
      </c>
      <c r="AW2696" t="s">
        <v>46862</v>
      </c>
    </row>
    <row r="2697" spans="1:50">
      <c r="A2697" s="1">
        <f>HYPERLINK("https://lsnyc.legalserver.org/matter/dynamic-profile/view/1876340","18-1876340")</f>
        <v>0</v>
      </c>
      <c r="B2697" t="s">
        <v>149</v>
      </c>
      <c r="C2697" t="s">
        <v>341</v>
      </c>
      <c r="D2697" t="s">
        <v>493</v>
      </c>
      <c r="E2697" t="s">
        <v>632</v>
      </c>
      <c r="F2697" t="s">
        <v>2356</v>
      </c>
      <c r="G2697" t="s">
        <v>1579</v>
      </c>
      <c r="H2697" t="s">
        <v>11790</v>
      </c>
      <c r="I2697" t="s">
        <v>17540</v>
      </c>
      <c r="J2697" t="s">
        <v>18892</v>
      </c>
      <c r="K2697">
        <v>10452</v>
      </c>
      <c r="L2697" t="s">
        <v>18958</v>
      </c>
      <c r="M2697" t="s">
        <v>18958</v>
      </c>
      <c r="O2697" t="s">
        <v>18997</v>
      </c>
      <c r="P2697" t="s">
        <v>26565</v>
      </c>
      <c r="Q2697" t="s">
        <v>26571</v>
      </c>
      <c r="R2697" t="s">
        <v>26578</v>
      </c>
      <c r="S2697" t="s">
        <v>18959</v>
      </c>
      <c r="U2697" t="s">
        <v>26604</v>
      </c>
      <c r="W2697" t="s">
        <v>632</v>
      </c>
      <c r="X2697">
        <v>888</v>
      </c>
      <c r="Y2697" t="s">
        <v>26650</v>
      </c>
      <c r="Z2697" t="s">
        <v>26661</v>
      </c>
      <c r="AA2697" t="s">
        <v>26686</v>
      </c>
      <c r="AB2697" t="s">
        <v>29046</v>
      </c>
      <c r="AD2697" t="s">
        <v>39100</v>
      </c>
      <c r="AE2697">
        <v>55</v>
      </c>
      <c r="AF2697" t="s">
        <v>45541</v>
      </c>
      <c r="AG2697" t="s">
        <v>19330</v>
      </c>
      <c r="AH2697">
        <v>10</v>
      </c>
      <c r="AI2697">
        <v>2</v>
      </c>
      <c r="AJ2697">
        <v>1</v>
      </c>
      <c r="AK2697">
        <v>118.24</v>
      </c>
      <c r="AN2697" t="s">
        <v>7439</v>
      </c>
      <c r="AO2697">
        <v>24570</v>
      </c>
      <c r="AU2697">
        <v>0.2</v>
      </c>
      <c r="AV2697" t="s">
        <v>632</v>
      </c>
      <c r="AW2697" t="s">
        <v>336</v>
      </c>
    </row>
    <row r="2698" spans="1:50">
      <c r="A2698" s="1">
        <f>HYPERLINK("https://lsnyc.legalserver.org/matter/dynamic-profile/view/1880681","18-1880681")</f>
        <v>0</v>
      </c>
      <c r="B2698" t="s">
        <v>61</v>
      </c>
      <c r="C2698" t="s">
        <v>340</v>
      </c>
      <c r="D2698" t="s">
        <v>630</v>
      </c>
      <c r="F2698" t="s">
        <v>928</v>
      </c>
      <c r="G2698" t="s">
        <v>6566</v>
      </c>
      <c r="H2698" t="s">
        <v>10344</v>
      </c>
      <c r="I2698" t="s">
        <v>17436</v>
      </c>
      <c r="J2698" t="s">
        <v>18893</v>
      </c>
      <c r="K2698">
        <v>10034</v>
      </c>
      <c r="L2698" t="s">
        <v>18958</v>
      </c>
      <c r="M2698" t="s">
        <v>18958</v>
      </c>
      <c r="N2698" t="s">
        <v>20973</v>
      </c>
      <c r="O2698" t="s">
        <v>26523</v>
      </c>
      <c r="P2698" t="s">
        <v>26560</v>
      </c>
      <c r="R2698" t="s">
        <v>26578</v>
      </c>
      <c r="S2698" t="s">
        <v>18959</v>
      </c>
      <c r="U2698" t="s">
        <v>26604</v>
      </c>
      <c r="W2698" t="s">
        <v>632</v>
      </c>
      <c r="X2698">
        <v>642.37</v>
      </c>
      <c r="Y2698" t="s">
        <v>26651</v>
      </c>
      <c r="Z2698" t="s">
        <v>26659</v>
      </c>
      <c r="AB2698" t="s">
        <v>29047</v>
      </c>
      <c r="AD2698" t="s">
        <v>39101</v>
      </c>
      <c r="AE2698">
        <v>21</v>
      </c>
      <c r="AF2698" t="s">
        <v>45541</v>
      </c>
      <c r="AG2698" t="s">
        <v>45559</v>
      </c>
      <c r="AH2698">
        <v>45</v>
      </c>
      <c r="AI2698">
        <v>1</v>
      </c>
      <c r="AJ2698">
        <v>0</v>
      </c>
      <c r="AK2698">
        <v>179.7</v>
      </c>
      <c r="AN2698" t="s">
        <v>7439</v>
      </c>
      <c r="AO2698">
        <v>21816</v>
      </c>
      <c r="AU2698">
        <v>13.2</v>
      </c>
      <c r="AV2698" t="s">
        <v>689</v>
      </c>
      <c r="AW2698" t="s">
        <v>46842</v>
      </c>
      <c r="AX2698" t="s">
        <v>46897</v>
      </c>
    </row>
    <row r="2699" spans="1:50">
      <c r="A2699" s="1">
        <f>HYPERLINK("https://lsnyc.legalserver.org/matter/dynamic-profile/view/1881427","18-1881427")</f>
        <v>0</v>
      </c>
      <c r="B2699" t="s">
        <v>163</v>
      </c>
      <c r="C2699" t="s">
        <v>341</v>
      </c>
      <c r="D2699" t="s">
        <v>632</v>
      </c>
      <c r="E2699" t="s">
        <v>637</v>
      </c>
      <c r="F2699" t="s">
        <v>2357</v>
      </c>
      <c r="G2699" t="s">
        <v>6567</v>
      </c>
      <c r="H2699" t="s">
        <v>11791</v>
      </c>
      <c r="I2699">
        <v>54</v>
      </c>
      <c r="J2699" t="s">
        <v>18901</v>
      </c>
      <c r="K2699">
        <v>11432</v>
      </c>
      <c r="L2699" t="s">
        <v>18958</v>
      </c>
      <c r="M2699" t="s">
        <v>18958</v>
      </c>
      <c r="N2699" t="s">
        <v>20974</v>
      </c>
      <c r="O2699" t="s">
        <v>26524</v>
      </c>
      <c r="P2699" t="s">
        <v>26563</v>
      </c>
      <c r="Q2699" t="s">
        <v>26570</v>
      </c>
      <c r="R2699" t="s">
        <v>26584</v>
      </c>
      <c r="S2699" t="s">
        <v>18959</v>
      </c>
      <c r="U2699" t="s">
        <v>26604</v>
      </c>
      <c r="V2699" t="s">
        <v>26610</v>
      </c>
      <c r="W2699" t="s">
        <v>632</v>
      </c>
      <c r="X2699">
        <v>2000</v>
      </c>
      <c r="Y2699" t="s">
        <v>26653</v>
      </c>
      <c r="Z2699" t="s">
        <v>26664</v>
      </c>
      <c r="AA2699" t="s">
        <v>26683</v>
      </c>
      <c r="AB2699" t="s">
        <v>29048</v>
      </c>
      <c r="AC2699" t="s">
        <v>19045</v>
      </c>
      <c r="AD2699" t="s">
        <v>39102</v>
      </c>
      <c r="AE2699">
        <v>52</v>
      </c>
      <c r="AF2699" t="s">
        <v>45547</v>
      </c>
      <c r="AG2699" t="s">
        <v>19330</v>
      </c>
      <c r="AH2699">
        <v>3</v>
      </c>
      <c r="AI2699">
        <v>3</v>
      </c>
      <c r="AJ2699">
        <v>1</v>
      </c>
      <c r="AK2699">
        <v>107.57</v>
      </c>
      <c r="AN2699" t="s">
        <v>7439</v>
      </c>
      <c r="AO2699">
        <v>27000</v>
      </c>
      <c r="AU2699">
        <v>0.3</v>
      </c>
      <c r="AV2699" t="s">
        <v>632</v>
      </c>
      <c r="AW2699" t="s">
        <v>161</v>
      </c>
    </row>
    <row r="2700" spans="1:50">
      <c r="A2700" s="1">
        <f>HYPERLINK("https://lsnyc.legalserver.org/matter/dynamic-profile/view/1881438","18-1881438")</f>
        <v>0</v>
      </c>
      <c r="B2700" t="s">
        <v>163</v>
      </c>
      <c r="C2700" t="s">
        <v>341</v>
      </c>
      <c r="D2700" t="s">
        <v>632</v>
      </c>
      <c r="E2700" t="s">
        <v>618</v>
      </c>
      <c r="F2700" t="s">
        <v>2358</v>
      </c>
      <c r="G2700" t="s">
        <v>6568</v>
      </c>
      <c r="H2700" t="s">
        <v>11792</v>
      </c>
      <c r="I2700" t="s">
        <v>17334</v>
      </c>
      <c r="J2700" t="s">
        <v>18914</v>
      </c>
      <c r="K2700">
        <v>11104</v>
      </c>
      <c r="L2700" t="s">
        <v>18958</v>
      </c>
      <c r="M2700" t="s">
        <v>18958</v>
      </c>
      <c r="N2700" t="s">
        <v>20975</v>
      </c>
      <c r="O2700" t="s">
        <v>26523</v>
      </c>
      <c r="P2700" t="s">
        <v>26563</v>
      </c>
      <c r="Q2700" t="s">
        <v>26570</v>
      </c>
      <c r="R2700" t="s">
        <v>26584</v>
      </c>
      <c r="U2700" t="s">
        <v>26604</v>
      </c>
      <c r="V2700" t="s">
        <v>26609</v>
      </c>
      <c r="W2700" t="s">
        <v>632</v>
      </c>
      <c r="X2700">
        <v>1350.37</v>
      </c>
      <c r="Y2700" t="s">
        <v>26653</v>
      </c>
      <c r="Z2700" t="s">
        <v>26664</v>
      </c>
      <c r="AA2700" t="s">
        <v>26683</v>
      </c>
      <c r="AB2700" t="s">
        <v>27692</v>
      </c>
      <c r="AD2700" t="s">
        <v>39103</v>
      </c>
      <c r="AE2700">
        <v>6</v>
      </c>
      <c r="AF2700" t="s">
        <v>45541</v>
      </c>
      <c r="AG2700" t="s">
        <v>19330</v>
      </c>
      <c r="AH2700">
        <v>14</v>
      </c>
      <c r="AI2700">
        <v>1</v>
      </c>
      <c r="AJ2700">
        <v>0</v>
      </c>
      <c r="AK2700">
        <v>123.56</v>
      </c>
      <c r="AN2700" t="s">
        <v>7439</v>
      </c>
      <c r="AO2700">
        <v>15000</v>
      </c>
      <c r="AU2700">
        <v>0.3</v>
      </c>
      <c r="AV2700" t="s">
        <v>632</v>
      </c>
      <c r="AW2700" t="s">
        <v>161</v>
      </c>
    </row>
    <row r="2701" spans="1:50">
      <c r="A2701" s="1">
        <f>HYPERLINK("https://lsnyc.legalserver.org/matter/dynamic-profile/view/1881357","18-1881357")</f>
        <v>0</v>
      </c>
      <c r="B2701" t="s">
        <v>70</v>
      </c>
      <c r="C2701" t="s">
        <v>341</v>
      </c>
      <c r="D2701" t="s">
        <v>632</v>
      </c>
      <c r="E2701" t="s">
        <v>691</v>
      </c>
      <c r="F2701" t="s">
        <v>900</v>
      </c>
      <c r="G2701" t="s">
        <v>5199</v>
      </c>
      <c r="H2701" t="s">
        <v>11570</v>
      </c>
      <c r="I2701" t="s">
        <v>17277</v>
      </c>
      <c r="J2701" t="s">
        <v>18892</v>
      </c>
      <c r="K2701">
        <v>10455</v>
      </c>
      <c r="L2701" t="s">
        <v>18958</v>
      </c>
      <c r="M2701" t="s">
        <v>18958</v>
      </c>
      <c r="N2701" t="s">
        <v>20741</v>
      </c>
      <c r="O2701" t="s">
        <v>26524</v>
      </c>
      <c r="P2701" t="s">
        <v>26564</v>
      </c>
      <c r="Q2701" t="s">
        <v>26570</v>
      </c>
      <c r="R2701" t="s">
        <v>26577</v>
      </c>
      <c r="S2701" t="s">
        <v>18959</v>
      </c>
      <c r="U2701" t="s">
        <v>26605</v>
      </c>
      <c r="V2701" t="s">
        <v>26610</v>
      </c>
      <c r="W2701" t="s">
        <v>632</v>
      </c>
      <c r="X2701">
        <v>1062</v>
      </c>
      <c r="Y2701" t="s">
        <v>26650</v>
      </c>
      <c r="Z2701" t="s">
        <v>26664</v>
      </c>
      <c r="AA2701" t="s">
        <v>26683</v>
      </c>
      <c r="AB2701" t="s">
        <v>28400</v>
      </c>
      <c r="AD2701" t="s">
        <v>38832</v>
      </c>
      <c r="AE2701">
        <v>468</v>
      </c>
      <c r="AF2701" t="s">
        <v>45549</v>
      </c>
      <c r="AG2701" t="s">
        <v>19330</v>
      </c>
      <c r="AH2701">
        <v>30</v>
      </c>
      <c r="AI2701">
        <v>1</v>
      </c>
      <c r="AJ2701">
        <v>0</v>
      </c>
      <c r="AK2701">
        <v>79.08</v>
      </c>
      <c r="AN2701" t="s">
        <v>7439</v>
      </c>
      <c r="AO2701">
        <v>9600</v>
      </c>
      <c r="AS2701" t="s">
        <v>46499</v>
      </c>
      <c r="AT2701" t="s">
        <v>46618</v>
      </c>
      <c r="AU2701">
        <v>0.9</v>
      </c>
      <c r="AV2701" t="s">
        <v>691</v>
      </c>
      <c r="AW2701" t="s">
        <v>46870</v>
      </c>
    </row>
    <row r="2702" spans="1:50">
      <c r="A2702" s="1">
        <f>HYPERLINK("https://lsnyc.legalserver.org/matter/dynamic-profile/view/1881343","18-1881343")</f>
        <v>0</v>
      </c>
      <c r="B2702" t="s">
        <v>66</v>
      </c>
      <c r="C2702" t="s">
        <v>341</v>
      </c>
      <c r="D2702" t="s">
        <v>632</v>
      </c>
      <c r="E2702" t="s">
        <v>834</v>
      </c>
      <c r="F2702" t="s">
        <v>2359</v>
      </c>
      <c r="G2702" t="s">
        <v>6569</v>
      </c>
      <c r="H2702" t="s">
        <v>11793</v>
      </c>
      <c r="I2702" t="s">
        <v>17274</v>
      </c>
      <c r="J2702" t="s">
        <v>18893</v>
      </c>
      <c r="K2702">
        <v>10027</v>
      </c>
      <c r="L2702" t="s">
        <v>18958</v>
      </c>
      <c r="M2702" t="s">
        <v>18960</v>
      </c>
      <c r="N2702" t="s">
        <v>20976</v>
      </c>
      <c r="O2702" t="s">
        <v>26523</v>
      </c>
      <c r="P2702" t="s">
        <v>26560</v>
      </c>
      <c r="Q2702" t="s">
        <v>26568</v>
      </c>
      <c r="R2702" t="s">
        <v>26582</v>
      </c>
      <c r="S2702" t="s">
        <v>18959</v>
      </c>
      <c r="U2702" t="s">
        <v>26604</v>
      </c>
      <c r="V2702" t="s">
        <v>26610</v>
      </c>
      <c r="W2702" t="s">
        <v>632</v>
      </c>
      <c r="X2702">
        <v>0</v>
      </c>
      <c r="Y2702" t="s">
        <v>26651</v>
      </c>
      <c r="AA2702" t="s">
        <v>26678</v>
      </c>
      <c r="AB2702" t="s">
        <v>29049</v>
      </c>
      <c r="AC2702" t="s">
        <v>35302</v>
      </c>
      <c r="AD2702" t="s">
        <v>39104</v>
      </c>
      <c r="AE2702">
        <v>0</v>
      </c>
      <c r="AH2702">
        <v>21</v>
      </c>
      <c r="AI2702">
        <v>4</v>
      </c>
      <c r="AJ2702">
        <v>2</v>
      </c>
      <c r="AK2702">
        <v>53.94</v>
      </c>
      <c r="AN2702" t="s">
        <v>26530</v>
      </c>
      <c r="AO2702">
        <v>18200</v>
      </c>
      <c r="AQ2702" t="s">
        <v>46362</v>
      </c>
      <c r="AR2702" t="s">
        <v>46407</v>
      </c>
      <c r="AS2702" t="s">
        <v>46499</v>
      </c>
      <c r="AT2702" t="s">
        <v>46754</v>
      </c>
      <c r="AU2702">
        <v>21</v>
      </c>
      <c r="AV2702" t="s">
        <v>832</v>
      </c>
      <c r="AW2702" t="s">
        <v>264</v>
      </c>
      <c r="AX2702" t="s">
        <v>46898</v>
      </c>
    </row>
    <row r="2703" spans="1:50">
      <c r="A2703" s="1">
        <f>HYPERLINK("https://lsnyc.legalserver.org/matter/dynamic-profile/view/1881422","18-1881422")</f>
        <v>0</v>
      </c>
      <c r="B2703" t="s">
        <v>66</v>
      </c>
      <c r="C2703" t="s">
        <v>341</v>
      </c>
      <c r="D2703" t="s">
        <v>632</v>
      </c>
      <c r="E2703" t="s">
        <v>834</v>
      </c>
      <c r="F2703" t="s">
        <v>2360</v>
      </c>
      <c r="G2703" t="s">
        <v>6570</v>
      </c>
      <c r="H2703" t="s">
        <v>11794</v>
      </c>
      <c r="J2703" t="s">
        <v>18893</v>
      </c>
      <c r="K2703">
        <v>10026</v>
      </c>
      <c r="L2703" t="s">
        <v>18958</v>
      </c>
      <c r="M2703" t="s">
        <v>18960</v>
      </c>
      <c r="N2703" t="s">
        <v>20977</v>
      </c>
      <c r="O2703" t="s">
        <v>26523</v>
      </c>
      <c r="P2703" t="s">
        <v>26560</v>
      </c>
      <c r="Q2703" t="s">
        <v>26568</v>
      </c>
      <c r="R2703" t="s">
        <v>26582</v>
      </c>
      <c r="S2703" t="s">
        <v>18959</v>
      </c>
      <c r="U2703" t="s">
        <v>26604</v>
      </c>
      <c r="V2703" t="s">
        <v>26610</v>
      </c>
      <c r="W2703" t="s">
        <v>632</v>
      </c>
      <c r="X2703">
        <v>586.96</v>
      </c>
      <c r="Y2703" t="s">
        <v>26651</v>
      </c>
      <c r="AA2703" t="s">
        <v>26678</v>
      </c>
      <c r="AB2703" t="s">
        <v>29050</v>
      </c>
      <c r="AD2703" t="s">
        <v>39105</v>
      </c>
      <c r="AE2703">
        <v>0</v>
      </c>
      <c r="AH2703">
        <v>18</v>
      </c>
      <c r="AI2703">
        <v>1</v>
      </c>
      <c r="AJ2703">
        <v>0</v>
      </c>
      <c r="AK2703">
        <v>118.62</v>
      </c>
      <c r="AN2703" t="s">
        <v>7439</v>
      </c>
      <c r="AO2703">
        <v>14400</v>
      </c>
      <c r="AQ2703" t="s">
        <v>46362</v>
      </c>
      <c r="AR2703" t="s">
        <v>46380</v>
      </c>
      <c r="AS2703" t="s">
        <v>46499</v>
      </c>
      <c r="AT2703" t="s">
        <v>46755</v>
      </c>
      <c r="AU2703">
        <v>19.25</v>
      </c>
      <c r="AV2703" t="s">
        <v>832</v>
      </c>
      <c r="AW2703" t="s">
        <v>264</v>
      </c>
      <c r="AX2703" t="s">
        <v>46897</v>
      </c>
    </row>
    <row r="2704" spans="1:50">
      <c r="A2704" s="1">
        <f>HYPERLINK("https://lsnyc.legalserver.org/matter/dynamic-profile/view/1881378","18-1881378")</f>
        <v>0</v>
      </c>
      <c r="B2704" t="s">
        <v>66</v>
      </c>
      <c r="C2704" t="s">
        <v>341</v>
      </c>
      <c r="D2704" t="s">
        <v>632</v>
      </c>
      <c r="E2704" t="s">
        <v>827</v>
      </c>
      <c r="F2704" t="s">
        <v>979</v>
      </c>
      <c r="G2704" t="s">
        <v>6571</v>
      </c>
      <c r="H2704" t="s">
        <v>11795</v>
      </c>
      <c r="J2704" t="s">
        <v>18893</v>
      </c>
      <c r="K2704">
        <v>10026</v>
      </c>
      <c r="L2704" t="s">
        <v>18958</v>
      </c>
      <c r="M2704" t="s">
        <v>18960</v>
      </c>
      <c r="N2704" t="s">
        <v>20978</v>
      </c>
      <c r="O2704" t="s">
        <v>26523</v>
      </c>
      <c r="P2704" t="s">
        <v>26560</v>
      </c>
      <c r="Q2704" t="s">
        <v>26568</v>
      </c>
      <c r="R2704" t="s">
        <v>26580</v>
      </c>
      <c r="S2704" t="s">
        <v>18959</v>
      </c>
      <c r="U2704" t="s">
        <v>26605</v>
      </c>
      <c r="V2704" t="s">
        <v>26610</v>
      </c>
      <c r="W2704" t="s">
        <v>632</v>
      </c>
      <c r="X2704">
        <v>215</v>
      </c>
      <c r="Y2704" t="s">
        <v>26651</v>
      </c>
      <c r="Z2704" t="s">
        <v>26664</v>
      </c>
      <c r="AA2704" t="s">
        <v>26680</v>
      </c>
      <c r="AB2704" t="s">
        <v>29051</v>
      </c>
      <c r="AC2704" t="s">
        <v>35303</v>
      </c>
      <c r="AD2704" t="s">
        <v>39106</v>
      </c>
      <c r="AE2704">
        <v>0</v>
      </c>
      <c r="AF2704" t="s">
        <v>45549</v>
      </c>
      <c r="AG2704" t="s">
        <v>26530</v>
      </c>
      <c r="AH2704">
        <v>62</v>
      </c>
      <c r="AI2704">
        <v>1</v>
      </c>
      <c r="AJ2704">
        <v>0</v>
      </c>
      <c r="AK2704">
        <v>85.67</v>
      </c>
      <c r="AO2704">
        <v>10400</v>
      </c>
      <c r="AR2704" t="s">
        <v>46379</v>
      </c>
      <c r="AS2704" t="s">
        <v>46499</v>
      </c>
      <c r="AT2704" t="s">
        <v>46636</v>
      </c>
      <c r="AU2704">
        <v>5.75</v>
      </c>
      <c r="AV2704" t="s">
        <v>795</v>
      </c>
      <c r="AW2704" t="s">
        <v>264</v>
      </c>
      <c r="AX2704" t="s">
        <v>46898</v>
      </c>
    </row>
    <row r="2705" spans="1:50">
      <c r="A2705" s="1">
        <f>HYPERLINK("https://lsnyc.legalserver.org/matter/dynamic-profile/view/1881325","18-1881325")</f>
        <v>0</v>
      </c>
      <c r="B2705" t="s">
        <v>131</v>
      </c>
      <c r="C2705" t="s">
        <v>341</v>
      </c>
      <c r="D2705" t="s">
        <v>632</v>
      </c>
      <c r="E2705" t="s">
        <v>800</v>
      </c>
      <c r="F2705" t="s">
        <v>1221</v>
      </c>
      <c r="G2705" t="s">
        <v>6572</v>
      </c>
      <c r="H2705" t="s">
        <v>11796</v>
      </c>
      <c r="I2705" t="s">
        <v>17299</v>
      </c>
      <c r="J2705" t="s">
        <v>18902</v>
      </c>
      <c r="K2705">
        <v>10303</v>
      </c>
      <c r="L2705" t="s">
        <v>18958</v>
      </c>
      <c r="M2705" t="s">
        <v>18958</v>
      </c>
      <c r="N2705" t="s">
        <v>20979</v>
      </c>
      <c r="O2705" t="s">
        <v>26523</v>
      </c>
      <c r="P2705" t="s">
        <v>26560</v>
      </c>
      <c r="Q2705" t="s">
        <v>26568</v>
      </c>
      <c r="R2705" t="s">
        <v>26590</v>
      </c>
      <c r="S2705" t="s">
        <v>18959</v>
      </c>
      <c r="U2705" t="s">
        <v>26605</v>
      </c>
      <c r="V2705" t="s">
        <v>26611</v>
      </c>
      <c r="W2705" t="s">
        <v>632</v>
      </c>
      <c r="X2705">
        <v>1200</v>
      </c>
      <c r="Y2705" t="s">
        <v>26654</v>
      </c>
      <c r="Z2705" t="s">
        <v>26659</v>
      </c>
      <c r="AA2705" t="s">
        <v>26680</v>
      </c>
      <c r="AB2705" t="s">
        <v>29052</v>
      </c>
      <c r="AD2705" t="s">
        <v>39107</v>
      </c>
      <c r="AE2705">
        <v>265</v>
      </c>
      <c r="AF2705" t="s">
        <v>45542</v>
      </c>
      <c r="AG2705" t="s">
        <v>45556</v>
      </c>
      <c r="AH2705">
        <v>21</v>
      </c>
      <c r="AI2705">
        <v>2</v>
      </c>
      <c r="AJ2705">
        <v>0</v>
      </c>
      <c r="AK2705">
        <v>139</v>
      </c>
      <c r="AN2705" t="s">
        <v>7439</v>
      </c>
      <c r="AO2705">
        <v>22880</v>
      </c>
      <c r="AS2705" t="s">
        <v>46499</v>
      </c>
      <c r="AT2705" t="s">
        <v>46533</v>
      </c>
      <c r="AU2705">
        <v>4.25</v>
      </c>
      <c r="AV2705" t="s">
        <v>800</v>
      </c>
      <c r="AW2705" t="s">
        <v>185</v>
      </c>
    </row>
    <row r="2706" spans="1:50">
      <c r="A2706" s="1">
        <f>HYPERLINK("https://lsnyc.legalserver.org/matter/dynamic-profile/view/1881323","18-1881323")</f>
        <v>0</v>
      </c>
      <c r="B2706" t="s">
        <v>93</v>
      </c>
      <c r="C2706" t="s">
        <v>341</v>
      </c>
      <c r="D2706" t="s">
        <v>632</v>
      </c>
      <c r="E2706" t="s">
        <v>802</v>
      </c>
      <c r="F2706" t="s">
        <v>1680</v>
      </c>
      <c r="G2706" t="s">
        <v>6573</v>
      </c>
      <c r="H2706" t="s">
        <v>11797</v>
      </c>
      <c r="I2706" t="s">
        <v>17872</v>
      </c>
      <c r="J2706" t="s">
        <v>18909</v>
      </c>
      <c r="K2706">
        <v>11101</v>
      </c>
      <c r="L2706" t="s">
        <v>18958</v>
      </c>
      <c r="M2706" t="s">
        <v>18958</v>
      </c>
      <c r="N2706" t="s">
        <v>20980</v>
      </c>
      <c r="O2706" t="s">
        <v>26523</v>
      </c>
      <c r="P2706" t="s">
        <v>26560</v>
      </c>
      <c r="Q2706" t="s">
        <v>26568</v>
      </c>
      <c r="R2706" t="s">
        <v>26578</v>
      </c>
      <c r="S2706" t="s">
        <v>18959</v>
      </c>
      <c r="U2706" t="s">
        <v>26604</v>
      </c>
      <c r="V2706" t="s">
        <v>26610</v>
      </c>
      <c r="W2706" t="s">
        <v>632</v>
      </c>
      <c r="X2706">
        <v>1500</v>
      </c>
      <c r="Y2706" t="s">
        <v>26653</v>
      </c>
      <c r="Z2706" t="s">
        <v>26664</v>
      </c>
      <c r="AA2706" t="s">
        <v>26678</v>
      </c>
      <c r="AB2706" t="s">
        <v>29053</v>
      </c>
      <c r="AC2706" t="s">
        <v>35304</v>
      </c>
      <c r="AD2706" t="s">
        <v>39108</v>
      </c>
      <c r="AE2706">
        <v>974</v>
      </c>
      <c r="AF2706" t="s">
        <v>20460</v>
      </c>
      <c r="AG2706" t="s">
        <v>45560</v>
      </c>
      <c r="AH2706">
        <v>1</v>
      </c>
      <c r="AI2706">
        <v>2</v>
      </c>
      <c r="AJ2706">
        <v>0</v>
      </c>
      <c r="AK2706">
        <v>122.04</v>
      </c>
      <c r="AN2706" t="s">
        <v>7439</v>
      </c>
      <c r="AO2706">
        <v>20088</v>
      </c>
      <c r="AQ2706" t="s">
        <v>46362</v>
      </c>
      <c r="AR2706" t="s">
        <v>46420</v>
      </c>
      <c r="AS2706" t="s">
        <v>46499</v>
      </c>
      <c r="AT2706" t="s">
        <v>46515</v>
      </c>
      <c r="AU2706">
        <v>9.9</v>
      </c>
      <c r="AV2706" t="s">
        <v>737</v>
      </c>
      <c r="AW2706" t="s">
        <v>161</v>
      </c>
    </row>
    <row r="2707" spans="1:50">
      <c r="A2707" s="1">
        <f>HYPERLINK("https://lsnyc.legalserver.org/matter/dynamic-profile/view/1881344","18-1881344")</f>
        <v>0</v>
      </c>
      <c r="B2707" t="s">
        <v>73</v>
      </c>
      <c r="C2707" t="s">
        <v>341</v>
      </c>
      <c r="D2707" t="s">
        <v>632</v>
      </c>
      <c r="E2707" t="s">
        <v>827</v>
      </c>
      <c r="F2707" t="s">
        <v>887</v>
      </c>
      <c r="G2707" t="s">
        <v>5340</v>
      </c>
      <c r="H2707" t="s">
        <v>9665</v>
      </c>
      <c r="I2707" t="s">
        <v>17331</v>
      </c>
      <c r="J2707" t="s">
        <v>18894</v>
      </c>
      <c r="K2707">
        <v>11237</v>
      </c>
      <c r="L2707" t="s">
        <v>18958</v>
      </c>
      <c r="M2707" t="s">
        <v>18958</v>
      </c>
      <c r="O2707" t="s">
        <v>18997</v>
      </c>
      <c r="P2707" t="s">
        <v>26562</v>
      </c>
      <c r="Q2707" t="s">
        <v>26569</v>
      </c>
      <c r="R2707" t="s">
        <v>26578</v>
      </c>
      <c r="S2707" t="s">
        <v>18958</v>
      </c>
      <c r="U2707" t="s">
        <v>26604</v>
      </c>
      <c r="W2707" t="s">
        <v>632</v>
      </c>
      <c r="X2707">
        <v>1150</v>
      </c>
      <c r="Y2707" t="s">
        <v>26652</v>
      </c>
      <c r="Z2707" t="s">
        <v>26667</v>
      </c>
      <c r="AA2707" t="s">
        <v>26682</v>
      </c>
      <c r="AB2707" t="s">
        <v>29054</v>
      </c>
      <c r="AC2707" t="s">
        <v>35305</v>
      </c>
      <c r="AD2707" t="s">
        <v>34738</v>
      </c>
      <c r="AE2707">
        <v>6</v>
      </c>
      <c r="AF2707" t="s">
        <v>45541</v>
      </c>
      <c r="AH2707">
        <v>9</v>
      </c>
      <c r="AI2707">
        <v>3</v>
      </c>
      <c r="AJ2707">
        <v>3</v>
      </c>
      <c r="AK2707">
        <v>73.98</v>
      </c>
      <c r="AN2707" t="s">
        <v>45581</v>
      </c>
      <c r="AO2707">
        <v>24960</v>
      </c>
      <c r="AU2707">
        <v>1.4</v>
      </c>
      <c r="AV2707" t="s">
        <v>632</v>
      </c>
      <c r="AW2707" t="s">
        <v>73</v>
      </c>
      <c r="AX2707" t="s">
        <v>46897</v>
      </c>
    </row>
    <row r="2708" spans="1:50">
      <c r="A2708" s="1">
        <f>HYPERLINK("https://lsnyc.legalserver.org/matter/dynamic-profile/view/1881339","18-1881339")</f>
        <v>0</v>
      </c>
      <c r="B2708" t="s">
        <v>73</v>
      </c>
      <c r="C2708" t="s">
        <v>341</v>
      </c>
      <c r="D2708" t="s">
        <v>632</v>
      </c>
      <c r="E2708" t="s">
        <v>827</v>
      </c>
      <c r="F2708" t="s">
        <v>938</v>
      </c>
      <c r="G2708" t="s">
        <v>5340</v>
      </c>
      <c r="H2708" t="s">
        <v>9665</v>
      </c>
      <c r="I2708" t="s">
        <v>17333</v>
      </c>
      <c r="J2708" t="s">
        <v>18894</v>
      </c>
      <c r="K2708">
        <v>11237</v>
      </c>
      <c r="L2708" t="s">
        <v>18958</v>
      </c>
      <c r="M2708" t="s">
        <v>18958</v>
      </c>
      <c r="O2708" t="s">
        <v>18997</v>
      </c>
      <c r="P2708" t="s">
        <v>26562</v>
      </c>
      <c r="Q2708" t="s">
        <v>26569</v>
      </c>
      <c r="R2708" t="s">
        <v>26578</v>
      </c>
      <c r="S2708" t="s">
        <v>18958</v>
      </c>
      <c r="U2708" t="s">
        <v>26604</v>
      </c>
      <c r="W2708" t="s">
        <v>632</v>
      </c>
      <c r="X2708">
        <v>1080</v>
      </c>
      <c r="Y2708" t="s">
        <v>26652</v>
      </c>
      <c r="Z2708" t="s">
        <v>26667</v>
      </c>
      <c r="AA2708" t="s">
        <v>26682</v>
      </c>
      <c r="AB2708" t="s">
        <v>29055</v>
      </c>
      <c r="AC2708">
        <v>12563767</v>
      </c>
      <c r="AD2708" t="s">
        <v>34738</v>
      </c>
      <c r="AE2708">
        <v>6</v>
      </c>
      <c r="AF2708" t="s">
        <v>45541</v>
      </c>
      <c r="AH2708">
        <v>7</v>
      </c>
      <c r="AI2708">
        <v>2</v>
      </c>
      <c r="AJ2708">
        <v>2</v>
      </c>
      <c r="AK2708">
        <v>86.06</v>
      </c>
      <c r="AN2708" t="s">
        <v>45581</v>
      </c>
      <c r="AO2708">
        <v>21600</v>
      </c>
      <c r="AU2708">
        <v>0.6</v>
      </c>
      <c r="AV2708" t="s">
        <v>737</v>
      </c>
      <c r="AW2708" t="s">
        <v>73</v>
      </c>
      <c r="AX2708" t="s">
        <v>46897</v>
      </c>
    </row>
    <row r="2709" spans="1:50">
      <c r="A2709" s="1">
        <f>HYPERLINK("https://lsnyc.legalserver.org/matter/dynamic-profile/view/1881313","18-1881313")</f>
        <v>0</v>
      </c>
      <c r="B2709" t="s">
        <v>199</v>
      </c>
      <c r="C2709" t="s">
        <v>341</v>
      </c>
      <c r="D2709" t="s">
        <v>632</v>
      </c>
      <c r="E2709" t="s">
        <v>632</v>
      </c>
      <c r="F2709" t="s">
        <v>2361</v>
      </c>
      <c r="G2709" t="s">
        <v>6574</v>
      </c>
      <c r="H2709" t="s">
        <v>11798</v>
      </c>
      <c r="I2709" t="s">
        <v>17402</v>
      </c>
      <c r="J2709" t="s">
        <v>18894</v>
      </c>
      <c r="K2709">
        <v>11208</v>
      </c>
      <c r="L2709" t="s">
        <v>18958</v>
      </c>
      <c r="M2709" t="s">
        <v>18958</v>
      </c>
      <c r="N2709" t="s">
        <v>20981</v>
      </c>
      <c r="O2709" t="s">
        <v>26524</v>
      </c>
      <c r="P2709" t="s">
        <v>26565</v>
      </c>
      <c r="Q2709" t="s">
        <v>26571</v>
      </c>
      <c r="R2709" t="s">
        <v>26578</v>
      </c>
      <c r="S2709" t="s">
        <v>18959</v>
      </c>
      <c r="U2709" t="s">
        <v>26604</v>
      </c>
      <c r="V2709" t="s">
        <v>26612</v>
      </c>
      <c r="W2709" t="s">
        <v>632</v>
      </c>
      <c r="X2709">
        <v>1650</v>
      </c>
      <c r="Y2709" t="s">
        <v>26652</v>
      </c>
      <c r="Z2709" t="s">
        <v>26668</v>
      </c>
      <c r="AA2709" t="s">
        <v>26683</v>
      </c>
      <c r="AB2709" t="s">
        <v>29056</v>
      </c>
      <c r="AD2709" t="s">
        <v>39109</v>
      </c>
      <c r="AE2709">
        <v>4</v>
      </c>
      <c r="AF2709" t="s">
        <v>45547</v>
      </c>
      <c r="AH2709">
        <v>4</v>
      </c>
      <c r="AI2709">
        <v>3</v>
      </c>
      <c r="AJ2709">
        <v>1</v>
      </c>
      <c r="AK2709">
        <v>137.32</v>
      </c>
      <c r="AN2709" t="s">
        <v>7439</v>
      </c>
      <c r="AO2709">
        <v>34468</v>
      </c>
      <c r="AU2709">
        <v>3</v>
      </c>
      <c r="AV2709" t="s">
        <v>632</v>
      </c>
      <c r="AW2709" t="s">
        <v>46856</v>
      </c>
    </row>
    <row r="2710" spans="1:50">
      <c r="A2710" s="1">
        <f>HYPERLINK("https://lsnyc.legalserver.org/matter/dynamic-profile/view/1881395","18-1881395")</f>
        <v>0</v>
      </c>
      <c r="B2710" t="s">
        <v>87</v>
      </c>
      <c r="C2710" t="s">
        <v>341</v>
      </c>
      <c r="D2710" t="s">
        <v>632</v>
      </c>
      <c r="E2710" t="s">
        <v>766</v>
      </c>
      <c r="F2710" t="s">
        <v>2362</v>
      </c>
      <c r="G2710" t="s">
        <v>6575</v>
      </c>
      <c r="H2710" t="s">
        <v>11799</v>
      </c>
      <c r="I2710">
        <v>25</v>
      </c>
      <c r="J2710" t="s">
        <v>18892</v>
      </c>
      <c r="K2710">
        <v>10456</v>
      </c>
      <c r="L2710" t="s">
        <v>18958</v>
      </c>
      <c r="M2710" t="s">
        <v>18958</v>
      </c>
      <c r="N2710" t="s">
        <v>20982</v>
      </c>
      <c r="O2710" t="s">
        <v>26523</v>
      </c>
      <c r="P2710" t="s">
        <v>26560</v>
      </c>
      <c r="Q2710" t="s">
        <v>26568</v>
      </c>
      <c r="R2710" t="s">
        <v>26577</v>
      </c>
      <c r="S2710" t="s">
        <v>18959</v>
      </c>
      <c r="U2710" t="s">
        <v>26604</v>
      </c>
      <c r="V2710" t="s">
        <v>26612</v>
      </c>
      <c r="W2710" t="s">
        <v>632</v>
      </c>
      <c r="X2710">
        <v>966.42</v>
      </c>
      <c r="Y2710" t="s">
        <v>26650</v>
      </c>
      <c r="Z2710" t="s">
        <v>26530</v>
      </c>
      <c r="AA2710" t="s">
        <v>26678</v>
      </c>
      <c r="AB2710" t="s">
        <v>29057</v>
      </c>
      <c r="AC2710" t="s">
        <v>35306</v>
      </c>
      <c r="AD2710" t="s">
        <v>39110</v>
      </c>
      <c r="AE2710">
        <v>0</v>
      </c>
      <c r="AF2710" t="s">
        <v>45541</v>
      </c>
      <c r="AG2710" t="s">
        <v>45558</v>
      </c>
      <c r="AH2710">
        <v>11</v>
      </c>
      <c r="AI2710">
        <v>3</v>
      </c>
      <c r="AJ2710">
        <v>1</v>
      </c>
      <c r="AK2710">
        <v>37.72</v>
      </c>
      <c r="AN2710" t="s">
        <v>7439</v>
      </c>
      <c r="AO2710">
        <v>9468</v>
      </c>
      <c r="AS2710" t="s">
        <v>46499</v>
      </c>
      <c r="AT2710" t="s">
        <v>46749</v>
      </c>
      <c r="AU2710">
        <v>12.8</v>
      </c>
      <c r="AV2710" t="s">
        <v>690</v>
      </c>
      <c r="AW2710" t="s">
        <v>46870</v>
      </c>
    </row>
    <row r="2711" spans="1:50">
      <c r="A2711" s="1">
        <f>HYPERLINK("https://lsnyc.legalserver.org/matter/dynamic-profile/view/1881328","18-1881328")</f>
        <v>0</v>
      </c>
      <c r="B2711" t="s">
        <v>235</v>
      </c>
      <c r="C2711" t="s">
        <v>341</v>
      </c>
      <c r="D2711" t="s">
        <v>632</v>
      </c>
      <c r="E2711" t="s">
        <v>770</v>
      </c>
      <c r="F2711" t="s">
        <v>2363</v>
      </c>
      <c r="G2711" t="s">
        <v>1680</v>
      </c>
      <c r="H2711" t="s">
        <v>11800</v>
      </c>
      <c r="I2711" t="s">
        <v>17415</v>
      </c>
      <c r="J2711" t="s">
        <v>18901</v>
      </c>
      <c r="K2711">
        <v>11434</v>
      </c>
      <c r="L2711" t="s">
        <v>18958</v>
      </c>
      <c r="M2711" t="s">
        <v>18958</v>
      </c>
      <c r="N2711" t="s">
        <v>20983</v>
      </c>
      <c r="O2711" t="s">
        <v>26524</v>
      </c>
      <c r="P2711" t="s">
        <v>26560</v>
      </c>
      <c r="Q2711" t="s">
        <v>26573</v>
      </c>
      <c r="R2711" t="s">
        <v>26585</v>
      </c>
      <c r="S2711" t="s">
        <v>18959</v>
      </c>
      <c r="U2711" t="s">
        <v>26604</v>
      </c>
      <c r="V2711" t="s">
        <v>26610</v>
      </c>
      <c r="W2711" t="s">
        <v>632</v>
      </c>
      <c r="X2711">
        <v>1850</v>
      </c>
      <c r="Y2711" t="s">
        <v>26653</v>
      </c>
      <c r="Z2711" t="s">
        <v>26668</v>
      </c>
      <c r="AA2711" t="s">
        <v>26679</v>
      </c>
      <c r="AB2711" t="s">
        <v>28245</v>
      </c>
      <c r="AC2711" t="s">
        <v>19045</v>
      </c>
      <c r="AD2711" t="s">
        <v>39111</v>
      </c>
      <c r="AE2711">
        <v>2</v>
      </c>
      <c r="AF2711" t="s">
        <v>45547</v>
      </c>
      <c r="AH2711">
        <v>1</v>
      </c>
      <c r="AI2711">
        <v>3</v>
      </c>
      <c r="AJ2711">
        <v>1</v>
      </c>
      <c r="AK2711">
        <v>153.31</v>
      </c>
      <c r="AN2711" t="s">
        <v>7439</v>
      </c>
      <c r="AO2711">
        <v>38480</v>
      </c>
      <c r="AQ2711" t="s">
        <v>46359</v>
      </c>
      <c r="AR2711" t="s">
        <v>46381</v>
      </c>
      <c r="AS2711" t="s">
        <v>46500</v>
      </c>
      <c r="AU2711">
        <v>8.300000000000001</v>
      </c>
      <c r="AV2711" t="s">
        <v>728</v>
      </c>
      <c r="AW2711" t="s">
        <v>85</v>
      </c>
    </row>
    <row r="2712" spans="1:50">
      <c r="A2712" s="1">
        <f>HYPERLINK("https://lsnyc.legalserver.org/matter/dynamic-profile/view/1881349","18-1881349")</f>
        <v>0</v>
      </c>
      <c r="B2712" t="s">
        <v>165</v>
      </c>
      <c r="C2712" t="s">
        <v>340</v>
      </c>
      <c r="D2712" t="s">
        <v>632</v>
      </c>
      <c r="F2712" t="s">
        <v>2364</v>
      </c>
      <c r="G2712" t="s">
        <v>6576</v>
      </c>
      <c r="H2712" t="s">
        <v>11801</v>
      </c>
      <c r="I2712" t="s">
        <v>17873</v>
      </c>
      <c r="J2712" t="s">
        <v>18893</v>
      </c>
      <c r="K2712">
        <v>10027</v>
      </c>
      <c r="L2712" t="s">
        <v>18958</v>
      </c>
      <c r="M2712" t="s">
        <v>18958</v>
      </c>
      <c r="N2712" t="s">
        <v>20984</v>
      </c>
      <c r="O2712" t="s">
        <v>26523</v>
      </c>
      <c r="P2712" t="s">
        <v>26560</v>
      </c>
      <c r="R2712" t="s">
        <v>26580</v>
      </c>
      <c r="S2712" t="s">
        <v>18959</v>
      </c>
      <c r="U2712" t="s">
        <v>26604</v>
      </c>
      <c r="W2712" t="s">
        <v>632</v>
      </c>
      <c r="X2712">
        <v>679</v>
      </c>
      <c r="Y2712" t="s">
        <v>26651</v>
      </c>
      <c r="Z2712" t="s">
        <v>26664</v>
      </c>
      <c r="AB2712" t="s">
        <v>29058</v>
      </c>
      <c r="AD2712" t="s">
        <v>39112</v>
      </c>
      <c r="AE2712">
        <v>14</v>
      </c>
      <c r="AF2712" t="s">
        <v>45541</v>
      </c>
      <c r="AG2712" t="s">
        <v>19330</v>
      </c>
      <c r="AH2712">
        <v>5</v>
      </c>
      <c r="AI2712">
        <v>1</v>
      </c>
      <c r="AJ2712">
        <v>0</v>
      </c>
      <c r="AK2712">
        <v>153.81</v>
      </c>
      <c r="AN2712" t="s">
        <v>7439</v>
      </c>
      <c r="AO2712">
        <v>18672</v>
      </c>
      <c r="AU2712">
        <v>10.3</v>
      </c>
      <c r="AV2712" t="s">
        <v>763</v>
      </c>
      <c r="AW2712" t="s">
        <v>314</v>
      </c>
    </row>
    <row r="2713" spans="1:50">
      <c r="A2713" s="1">
        <f>HYPERLINK("https://lsnyc.legalserver.org/matter/dynamic-profile/view/1881206","18-1881206")</f>
        <v>0</v>
      </c>
      <c r="B2713" t="s">
        <v>70</v>
      </c>
      <c r="C2713" t="s">
        <v>340</v>
      </c>
      <c r="D2713" t="s">
        <v>632</v>
      </c>
      <c r="F2713" t="s">
        <v>2365</v>
      </c>
      <c r="G2713" t="s">
        <v>6577</v>
      </c>
      <c r="H2713" t="s">
        <v>11802</v>
      </c>
      <c r="I2713" t="s">
        <v>17874</v>
      </c>
      <c r="J2713" t="s">
        <v>18892</v>
      </c>
      <c r="K2713">
        <v>10457</v>
      </c>
      <c r="L2713" t="s">
        <v>18958</v>
      </c>
      <c r="M2713" t="s">
        <v>18958</v>
      </c>
      <c r="N2713" t="s">
        <v>20985</v>
      </c>
      <c r="O2713" t="s">
        <v>26524</v>
      </c>
      <c r="P2713" t="s">
        <v>26560</v>
      </c>
      <c r="R2713" t="s">
        <v>26579</v>
      </c>
      <c r="S2713" t="s">
        <v>18959</v>
      </c>
      <c r="U2713" t="s">
        <v>26604</v>
      </c>
      <c r="V2713" t="s">
        <v>26609</v>
      </c>
      <c r="W2713" t="s">
        <v>632</v>
      </c>
      <c r="X2713">
        <v>1258</v>
      </c>
      <c r="Y2713" t="s">
        <v>26650</v>
      </c>
      <c r="Z2713" t="s">
        <v>26668</v>
      </c>
      <c r="AB2713" t="s">
        <v>29059</v>
      </c>
      <c r="AD2713" t="s">
        <v>39113</v>
      </c>
      <c r="AE2713">
        <v>91</v>
      </c>
      <c r="AF2713" t="s">
        <v>45551</v>
      </c>
      <c r="AG2713" t="s">
        <v>19330</v>
      </c>
      <c r="AH2713">
        <v>3</v>
      </c>
      <c r="AI2713">
        <v>2</v>
      </c>
      <c r="AJ2713">
        <v>0</v>
      </c>
      <c r="AK2713">
        <v>56.14</v>
      </c>
      <c r="AN2713" t="s">
        <v>7439</v>
      </c>
      <c r="AO2713">
        <v>9240</v>
      </c>
      <c r="AU2713">
        <v>21.6</v>
      </c>
      <c r="AV2713" t="s">
        <v>830</v>
      </c>
      <c r="AW2713" t="s">
        <v>46870</v>
      </c>
    </row>
    <row r="2714" spans="1:50">
      <c r="A2714" s="1">
        <f>HYPERLINK("https://lsnyc.legalserver.org/matter/dynamic-profile/view/1881386","18-1881386")</f>
        <v>0</v>
      </c>
      <c r="B2714" t="s">
        <v>174</v>
      </c>
      <c r="C2714" t="s">
        <v>340</v>
      </c>
      <c r="D2714" t="s">
        <v>632</v>
      </c>
      <c r="F2714" t="s">
        <v>2366</v>
      </c>
      <c r="G2714" t="s">
        <v>6578</v>
      </c>
      <c r="H2714" t="s">
        <v>11803</v>
      </c>
      <c r="I2714" t="s">
        <v>17331</v>
      </c>
      <c r="J2714" t="s">
        <v>18894</v>
      </c>
      <c r="K2714">
        <v>11233</v>
      </c>
      <c r="L2714" t="s">
        <v>18958</v>
      </c>
      <c r="M2714" t="s">
        <v>18958</v>
      </c>
      <c r="N2714" t="s">
        <v>20986</v>
      </c>
      <c r="O2714" t="s">
        <v>26523</v>
      </c>
      <c r="P2714" t="s">
        <v>26560</v>
      </c>
      <c r="R2714" t="s">
        <v>26578</v>
      </c>
      <c r="S2714" t="s">
        <v>18959</v>
      </c>
      <c r="U2714" t="s">
        <v>26604</v>
      </c>
      <c r="V2714" t="s">
        <v>26610</v>
      </c>
      <c r="W2714" t="s">
        <v>632</v>
      </c>
      <c r="X2714">
        <v>1515</v>
      </c>
      <c r="Y2714" t="s">
        <v>26652</v>
      </c>
      <c r="Z2714" t="s">
        <v>26664</v>
      </c>
      <c r="AB2714" t="s">
        <v>29060</v>
      </c>
      <c r="AC2714" t="s">
        <v>35307</v>
      </c>
      <c r="AD2714" t="s">
        <v>39114</v>
      </c>
      <c r="AE2714">
        <v>6</v>
      </c>
      <c r="AF2714" t="s">
        <v>45541</v>
      </c>
      <c r="AG2714" t="s">
        <v>45560</v>
      </c>
      <c r="AH2714">
        <v>5</v>
      </c>
      <c r="AI2714">
        <v>1</v>
      </c>
      <c r="AJ2714">
        <v>0</v>
      </c>
      <c r="AK2714">
        <v>18.2</v>
      </c>
      <c r="AN2714" t="s">
        <v>7439</v>
      </c>
      <c r="AO2714">
        <v>2210</v>
      </c>
      <c r="AP2714" t="s">
        <v>45635</v>
      </c>
      <c r="AU2714">
        <v>31.75</v>
      </c>
      <c r="AV2714" t="s">
        <v>835</v>
      </c>
      <c r="AW2714" t="s">
        <v>279</v>
      </c>
    </row>
    <row r="2715" spans="1:50">
      <c r="A2715" s="1">
        <f>HYPERLINK("https://lsnyc.legalserver.org/matter/dynamic-profile/view/1881415","18-1881415")</f>
        <v>0</v>
      </c>
      <c r="B2715" t="s">
        <v>66</v>
      </c>
      <c r="C2715" t="s">
        <v>340</v>
      </c>
      <c r="D2715" t="s">
        <v>632</v>
      </c>
      <c r="F2715" t="s">
        <v>1056</v>
      </c>
      <c r="G2715" t="s">
        <v>6579</v>
      </c>
      <c r="H2715" t="s">
        <v>11804</v>
      </c>
      <c r="I2715" t="s">
        <v>17875</v>
      </c>
      <c r="J2715" t="s">
        <v>18893</v>
      </c>
      <c r="K2715">
        <v>10031</v>
      </c>
      <c r="L2715" t="s">
        <v>18958</v>
      </c>
      <c r="M2715" t="s">
        <v>18958</v>
      </c>
      <c r="N2715" t="s">
        <v>20987</v>
      </c>
      <c r="O2715" t="s">
        <v>26523</v>
      </c>
      <c r="P2715" t="s">
        <v>26560</v>
      </c>
      <c r="R2715" t="s">
        <v>26580</v>
      </c>
      <c r="S2715" t="s">
        <v>18959</v>
      </c>
      <c r="U2715" t="s">
        <v>26604</v>
      </c>
      <c r="V2715" t="s">
        <v>26610</v>
      </c>
      <c r="W2715" t="s">
        <v>632</v>
      </c>
      <c r="X2715">
        <v>897</v>
      </c>
      <c r="Y2715" t="s">
        <v>26651</v>
      </c>
      <c r="Z2715" t="s">
        <v>26664</v>
      </c>
      <c r="AB2715" t="s">
        <v>29061</v>
      </c>
      <c r="AC2715" t="s">
        <v>35308</v>
      </c>
      <c r="AD2715" t="s">
        <v>39115</v>
      </c>
      <c r="AE2715">
        <v>0</v>
      </c>
      <c r="AF2715" t="s">
        <v>20460</v>
      </c>
      <c r="AG2715" t="s">
        <v>19330</v>
      </c>
      <c r="AH2715">
        <v>2</v>
      </c>
      <c r="AI2715">
        <v>1</v>
      </c>
      <c r="AJ2715">
        <v>1</v>
      </c>
      <c r="AK2715">
        <v>93.43000000000001</v>
      </c>
      <c r="AN2715" t="s">
        <v>7439</v>
      </c>
      <c r="AO2715">
        <v>15379</v>
      </c>
      <c r="AU2715">
        <v>1.6</v>
      </c>
      <c r="AV2715" t="s">
        <v>415</v>
      </c>
      <c r="AW2715" t="s">
        <v>314</v>
      </c>
    </row>
    <row r="2716" spans="1:50">
      <c r="A2716" s="1">
        <f>HYPERLINK("https://lsnyc.legalserver.org/matter/dynamic-profile/view/1881373","18-1881373")</f>
        <v>0</v>
      </c>
      <c r="B2716" t="s">
        <v>212</v>
      </c>
      <c r="C2716" t="s">
        <v>340</v>
      </c>
      <c r="D2716" t="s">
        <v>632</v>
      </c>
      <c r="F2716" t="s">
        <v>2367</v>
      </c>
      <c r="G2716" t="s">
        <v>6580</v>
      </c>
      <c r="H2716" t="s">
        <v>11805</v>
      </c>
      <c r="I2716" t="s">
        <v>17282</v>
      </c>
      <c r="J2716" t="s">
        <v>18898</v>
      </c>
      <c r="K2716">
        <v>11691</v>
      </c>
      <c r="L2716" t="s">
        <v>18958</v>
      </c>
      <c r="M2716" t="s">
        <v>18958</v>
      </c>
      <c r="N2716" t="s">
        <v>20988</v>
      </c>
      <c r="O2716" t="s">
        <v>26523</v>
      </c>
      <c r="P2716" t="s">
        <v>26560</v>
      </c>
      <c r="R2716" t="s">
        <v>26578</v>
      </c>
      <c r="S2716" t="s">
        <v>18959</v>
      </c>
      <c r="U2716" t="s">
        <v>26604</v>
      </c>
      <c r="V2716" t="s">
        <v>26610</v>
      </c>
      <c r="W2716" t="s">
        <v>632</v>
      </c>
      <c r="X2716">
        <v>1956</v>
      </c>
      <c r="Y2716" t="s">
        <v>26653</v>
      </c>
      <c r="Z2716" t="s">
        <v>26664</v>
      </c>
      <c r="AB2716" t="s">
        <v>29062</v>
      </c>
      <c r="AC2716" t="s">
        <v>35309</v>
      </c>
      <c r="AD2716" t="s">
        <v>39116</v>
      </c>
      <c r="AE2716">
        <v>108</v>
      </c>
      <c r="AF2716" t="s">
        <v>45541</v>
      </c>
      <c r="AG2716" t="s">
        <v>45557</v>
      </c>
      <c r="AH2716">
        <v>1</v>
      </c>
      <c r="AI2716">
        <v>1</v>
      </c>
      <c r="AJ2716">
        <v>4</v>
      </c>
      <c r="AK2716">
        <v>27.31</v>
      </c>
      <c r="AN2716" t="s">
        <v>7439</v>
      </c>
      <c r="AO2716">
        <v>8034</v>
      </c>
      <c r="AQ2716" t="s">
        <v>46368</v>
      </c>
      <c r="AR2716" t="s">
        <v>26530</v>
      </c>
      <c r="AS2716" t="s">
        <v>46499</v>
      </c>
      <c r="AT2716" t="s">
        <v>46576</v>
      </c>
      <c r="AU2716">
        <v>3.8</v>
      </c>
      <c r="AV2716" t="s">
        <v>784</v>
      </c>
      <c r="AW2716" t="s">
        <v>122</v>
      </c>
    </row>
    <row r="2717" spans="1:50">
      <c r="A2717" s="1">
        <f>HYPERLINK("https://lsnyc.legalserver.org/matter/dynamic-profile/view/1881383","18-1881383")</f>
        <v>0</v>
      </c>
      <c r="B2717" t="s">
        <v>68</v>
      </c>
      <c r="C2717" t="s">
        <v>340</v>
      </c>
      <c r="D2717" t="s">
        <v>632</v>
      </c>
      <c r="F2717" t="s">
        <v>1345</v>
      </c>
      <c r="G2717" t="s">
        <v>5126</v>
      </c>
      <c r="H2717" t="s">
        <v>11806</v>
      </c>
      <c r="I2717" t="s">
        <v>17876</v>
      </c>
      <c r="J2717" t="s">
        <v>18892</v>
      </c>
      <c r="K2717">
        <v>10467</v>
      </c>
      <c r="L2717" t="s">
        <v>18958</v>
      </c>
      <c r="M2717" t="s">
        <v>18958</v>
      </c>
      <c r="N2717" t="s">
        <v>20989</v>
      </c>
      <c r="O2717" t="s">
        <v>26523</v>
      </c>
      <c r="P2717" t="s">
        <v>26560</v>
      </c>
      <c r="R2717" t="s">
        <v>26579</v>
      </c>
      <c r="S2717" t="s">
        <v>18959</v>
      </c>
      <c r="U2717" t="s">
        <v>26604</v>
      </c>
      <c r="V2717" t="s">
        <v>26610</v>
      </c>
      <c r="W2717" t="s">
        <v>632</v>
      </c>
      <c r="X2717">
        <v>1210.49</v>
      </c>
      <c r="Y2717" t="s">
        <v>26650</v>
      </c>
      <c r="Z2717" t="s">
        <v>26659</v>
      </c>
      <c r="AB2717" t="s">
        <v>29063</v>
      </c>
      <c r="AC2717" t="s">
        <v>35310</v>
      </c>
      <c r="AD2717" t="s">
        <v>39117</v>
      </c>
      <c r="AE2717">
        <v>680</v>
      </c>
      <c r="AF2717" t="s">
        <v>45541</v>
      </c>
      <c r="AG2717" t="s">
        <v>45558</v>
      </c>
      <c r="AH2717">
        <v>6</v>
      </c>
      <c r="AI2717">
        <v>1</v>
      </c>
      <c r="AJ2717">
        <v>1</v>
      </c>
      <c r="AK2717">
        <v>55.12</v>
      </c>
      <c r="AN2717" t="s">
        <v>7439</v>
      </c>
      <c r="AO2717">
        <v>9072</v>
      </c>
      <c r="AU2717">
        <v>15.5</v>
      </c>
      <c r="AV2717" t="s">
        <v>817</v>
      </c>
      <c r="AW2717" t="s">
        <v>46836</v>
      </c>
    </row>
    <row r="2718" spans="1:50">
      <c r="A2718" s="1">
        <f>HYPERLINK("https://lsnyc.legalserver.org/matter/dynamic-profile/view/1881416","18-1881416")</f>
        <v>0</v>
      </c>
      <c r="B2718" t="s">
        <v>142</v>
      </c>
      <c r="C2718" t="s">
        <v>340</v>
      </c>
      <c r="D2718" t="s">
        <v>632</v>
      </c>
      <c r="F2718" t="s">
        <v>990</v>
      </c>
      <c r="G2718" t="s">
        <v>6581</v>
      </c>
      <c r="H2718" t="s">
        <v>11807</v>
      </c>
      <c r="I2718" t="s">
        <v>17366</v>
      </c>
      <c r="J2718" t="s">
        <v>18901</v>
      </c>
      <c r="K2718">
        <v>11434</v>
      </c>
      <c r="L2718" t="s">
        <v>18958</v>
      </c>
      <c r="M2718" t="s">
        <v>18958</v>
      </c>
      <c r="N2718" t="s">
        <v>20990</v>
      </c>
      <c r="O2718" t="s">
        <v>26523</v>
      </c>
      <c r="P2718" t="s">
        <v>26560</v>
      </c>
      <c r="R2718" t="s">
        <v>26585</v>
      </c>
      <c r="S2718" t="s">
        <v>18959</v>
      </c>
      <c r="U2718" t="s">
        <v>26604</v>
      </c>
      <c r="V2718" t="s">
        <v>26609</v>
      </c>
      <c r="W2718" t="s">
        <v>632</v>
      </c>
      <c r="X2718">
        <v>700</v>
      </c>
      <c r="Y2718" t="s">
        <v>26653</v>
      </c>
      <c r="Z2718" t="s">
        <v>26664</v>
      </c>
      <c r="AB2718" t="s">
        <v>29064</v>
      </c>
      <c r="AD2718" t="s">
        <v>39118</v>
      </c>
      <c r="AE2718">
        <v>72</v>
      </c>
      <c r="AF2718" t="s">
        <v>45550</v>
      </c>
      <c r="AG2718" t="s">
        <v>19330</v>
      </c>
      <c r="AH2718">
        <v>24</v>
      </c>
      <c r="AI2718">
        <v>1</v>
      </c>
      <c r="AJ2718">
        <v>0</v>
      </c>
      <c r="AK2718">
        <v>0</v>
      </c>
      <c r="AN2718" t="s">
        <v>7439</v>
      </c>
      <c r="AO2718">
        <v>0</v>
      </c>
      <c r="AU2718">
        <v>26.5</v>
      </c>
      <c r="AV2718" t="s">
        <v>714</v>
      </c>
      <c r="AW2718" t="s">
        <v>161</v>
      </c>
    </row>
    <row r="2719" spans="1:50">
      <c r="A2719" s="1">
        <f>HYPERLINK("https://lsnyc.legalserver.org/matter/dynamic-profile/view/1881411","18-1881411")</f>
        <v>0</v>
      </c>
      <c r="B2719" t="s">
        <v>115</v>
      </c>
      <c r="C2719" t="s">
        <v>340</v>
      </c>
      <c r="D2719" t="s">
        <v>632</v>
      </c>
      <c r="F2719" t="s">
        <v>1026</v>
      </c>
      <c r="G2719" t="s">
        <v>6076</v>
      </c>
      <c r="H2719" t="s">
        <v>11808</v>
      </c>
      <c r="I2719" t="s">
        <v>17877</v>
      </c>
      <c r="J2719" t="s">
        <v>18892</v>
      </c>
      <c r="K2719">
        <v>10461</v>
      </c>
      <c r="L2719" t="s">
        <v>18958</v>
      </c>
      <c r="M2719" t="s">
        <v>18958</v>
      </c>
      <c r="O2719" t="s">
        <v>26529</v>
      </c>
      <c r="P2719" t="s">
        <v>26565</v>
      </c>
      <c r="R2719" t="s">
        <v>26578</v>
      </c>
      <c r="S2719" t="s">
        <v>18959</v>
      </c>
      <c r="U2719" t="s">
        <v>26606</v>
      </c>
      <c r="W2719" t="s">
        <v>632</v>
      </c>
      <c r="X2719">
        <v>0</v>
      </c>
      <c r="Y2719" t="s">
        <v>26650</v>
      </c>
      <c r="Z2719" t="s">
        <v>26659</v>
      </c>
      <c r="AB2719" t="s">
        <v>29065</v>
      </c>
      <c r="AD2719" t="s">
        <v>39119</v>
      </c>
      <c r="AE2719">
        <v>62</v>
      </c>
      <c r="AF2719" t="s">
        <v>45541</v>
      </c>
      <c r="AG2719" t="s">
        <v>45556</v>
      </c>
      <c r="AH2719">
        <v>41</v>
      </c>
      <c r="AI2719">
        <v>1</v>
      </c>
      <c r="AJ2719">
        <v>0</v>
      </c>
      <c r="AK2719">
        <v>120.2</v>
      </c>
      <c r="AN2719" t="s">
        <v>45581</v>
      </c>
      <c r="AO2719">
        <v>14592</v>
      </c>
      <c r="AU2719">
        <v>0.4</v>
      </c>
      <c r="AV2719" t="s">
        <v>652</v>
      </c>
      <c r="AW2719" t="s">
        <v>46832</v>
      </c>
    </row>
    <row r="2720" spans="1:50">
      <c r="A2720" s="1">
        <f>HYPERLINK("https://lsnyc.legalserver.org/matter/dynamic-profile/view/1881439","18-1881439")</f>
        <v>0</v>
      </c>
      <c r="B2720" t="s">
        <v>87</v>
      </c>
      <c r="C2720" t="s">
        <v>340</v>
      </c>
      <c r="D2720" t="s">
        <v>632</v>
      </c>
      <c r="F2720" t="s">
        <v>1944</v>
      </c>
      <c r="G2720" t="s">
        <v>6582</v>
      </c>
      <c r="H2720" t="s">
        <v>11809</v>
      </c>
      <c r="I2720" t="s">
        <v>17878</v>
      </c>
      <c r="J2720" t="s">
        <v>18892</v>
      </c>
      <c r="K2720">
        <v>10454</v>
      </c>
      <c r="L2720" t="s">
        <v>18958</v>
      </c>
      <c r="M2720" t="s">
        <v>18958</v>
      </c>
      <c r="N2720" t="s">
        <v>20991</v>
      </c>
      <c r="O2720" t="s">
        <v>26523</v>
      </c>
      <c r="P2720" t="s">
        <v>26560</v>
      </c>
      <c r="R2720" t="s">
        <v>26577</v>
      </c>
      <c r="S2720" t="s">
        <v>18959</v>
      </c>
      <c r="U2720" t="s">
        <v>26604</v>
      </c>
      <c r="V2720" t="s">
        <v>26610</v>
      </c>
      <c r="W2720" t="s">
        <v>632</v>
      </c>
      <c r="X2720">
        <v>1023</v>
      </c>
      <c r="Y2720" t="s">
        <v>26650</v>
      </c>
      <c r="Z2720" t="s">
        <v>26666</v>
      </c>
      <c r="AB2720" t="s">
        <v>29066</v>
      </c>
      <c r="AE2720">
        <v>0</v>
      </c>
      <c r="AF2720" t="s">
        <v>45547</v>
      </c>
      <c r="AG2720" t="s">
        <v>19330</v>
      </c>
      <c r="AH2720">
        <v>17</v>
      </c>
      <c r="AI2720">
        <v>2</v>
      </c>
      <c r="AJ2720">
        <v>2</v>
      </c>
      <c r="AK2720">
        <v>33.47</v>
      </c>
      <c r="AN2720" t="s">
        <v>45581</v>
      </c>
      <c r="AO2720">
        <v>8400</v>
      </c>
      <c r="AU2720">
        <v>58.8</v>
      </c>
      <c r="AV2720" t="s">
        <v>768</v>
      </c>
      <c r="AW2720" t="s">
        <v>46871</v>
      </c>
    </row>
    <row r="2721" spans="1:50">
      <c r="A2721" s="1">
        <f>HYPERLINK("https://lsnyc.legalserver.org/matter/dynamic-profile/view/1881347","18-1881347")</f>
        <v>0</v>
      </c>
      <c r="B2721" t="s">
        <v>235</v>
      </c>
      <c r="C2721" t="s">
        <v>340</v>
      </c>
      <c r="D2721" t="s">
        <v>632</v>
      </c>
      <c r="F2721" t="s">
        <v>2368</v>
      </c>
      <c r="G2721" t="s">
        <v>6583</v>
      </c>
      <c r="H2721" t="s">
        <v>11810</v>
      </c>
      <c r="J2721" t="s">
        <v>18901</v>
      </c>
      <c r="K2721">
        <v>11433</v>
      </c>
      <c r="L2721" t="s">
        <v>18960</v>
      </c>
      <c r="M2721" t="s">
        <v>18958</v>
      </c>
      <c r="N2721" t="s">
        <v>20992</v>
      </c>
      <c r="O2721" t="s">
        <v>26524</v>
      </c>
      <c r="P2721" t="s">
        <v>26560</v>
      </c>
      <c r="R2721" t="s">
        <v>26585</v>
      </c>
      <c r="U2721" t="s">
        <v>26604</v>
      </c>
      <c r="W2721" t="s">
        <v>632</v>
      </c>
      <c r="X2721">
        <v>500</v>
      </c>
      <c r="Y2721" t="s">
        <v>26653</v>
      </c>
      <c r="Z2721" t="s">
        <v>26664</v>
      </c>
      <c r="AB2721" t="s">
        <v>29067</v>
      </c>
      <c r="AD2721" t="s">
        <v>39120</v>
      </c>
      <c r="AE2721">
        <v>2</v>
      </c>
      <c r="AF2721" t="s">
        <v>45547</v>
      </c>
      <c r="AG2721" t="s">
        <v>19330</v>
      </c>
      <c r="AH2721">
        <v>1</v>
      </c>
      <c r="AI2721">
        <v>4</v>
      </c>
      <c r="AJ2721">
        <v>0</v>
      </c>
      <c r="AK2721">
        <v>38.25</v>
      </c>
      <c r="AN2721" t="s">
        <v>7439</v>
      </c>
      <c r="AO2721">
        <v>9600</v>
      </c>
      <c r="AU2721">
        <v>37.51</v>
      </c>
      <c r="AV2721" t="s">
        <v>574</v>
      </c>
      <c r="AW2721" t="s">
        <v>122</v>
      </c>
    </row>
    <row r="2722" spans="1:50">
      <c r="A2722" s="1">
        <f>HYPERLINK("https://lsnyc.legalserver.org/matter/dynamic-profile/view/1881359","18-1881359")</f>
        <v>0</v>
      </c>
      <c r="B2722" t="s">
        <v>62</v>
      </c>
      <c r="C2722" t="s">
        <v>340</v>
      </c>
      <c r="D2722" t="s">
        <v>632</v>
      </c>
      <c r="F2722" t="s">
        <v>2369</v>
      </c>
      <c r="G2722" t="s">
        <v>6584</v>
      </c>
      <c r="H2722" t="s">
        <v>11811</v>
      </c>
      <c r="I2722" t="s">
        <v>17757</v>
      </c>
      <c r="J2722" t="s">
        <v>18893</v>
      </c>
      <c r="K2722">
        <v>10011</v>
      </c>
      <c r="L2722" t="s">
        <v>18958</v>
      </c>
      <c r="M2722" t="s">
        <v>18958</v>
      </c>
      <c r="N2722" t="s">
        <v>20993</v>
      </c>
      <c r="O2722" t="s">
        <v>26523</v>
      </c>
      <c r="P2722" t="s">
        <v>26563</v>
      </c>
      <c r="R2722" t="s">
        <v>26582</v>
      </c>
      <c r="S2722" t="s">
        <v>18959</v>
      </c>
      <c r="U2722" t="s">
        <v>26604</v>
      </c>
      <c r="V2722" t="s">
        <v>26612</v>
      </c>
      <c r="W2722" t="s">
        <v>632</v>
      </c>
      <c r="X2722">
        <v>4100</v>
      </c>
      <c r="Y2722" t="s">
        <v>26651</v>
      </c>
      <c r="Z2722" t="s">
        <v>26664</v>
      </c>
      <c r="AB2722" t="s">
        <v>29068</v>
      </c>
      <c r="AD2722" t="s">
        <v>39121</v>
      </c>
      <c r="AE2722">
        <v>18</v>
      </c>
      <c r="AF2722" t="s">
        <v>45547</v>
      </c>
      <c r="AG2722" t="s">
        <v>19330</v>
      </c>
      <c r="AH2722">
        <v>10</v>
      </c>
      <c r="AI2722">
        <v>1</v>
      </c>
      <c r="AJ2722">
        <v>2</v>
      </c>
      <c r="AK2722">
        <v>0</v>
      </c>
      <c r="AN2722" t="s">
        <v>7439</v>
      </c>
      <c r="AO2722">
        <v>0</v>
      </c>
      <c r="AU2722">
        <v>0</v>
      </c>
      <c r="AW2722" t="s">
        <v>314</v>
      </c>
    </row>
    <row r="2723" spans="1:50">
      <c r="A2723" s="1">
        <f>HYPERLINK("https://lsnyc.legalserver.org/matter/dynamic-profile/view/1849634","17-1849634")</f>
        <v>0</v>
      </c>
      <c r="B2723" t="s">
        <v>50</v>
      </c>
      <c r="C2723" t="s">
        <v>341</v>
      </c>
      <c r="D2723" t="s">
        <v>642</v>
      </c>
      <c r="E2723" t="s">
        <v>737</v>
      </c>
      <c r="F2723" t="s">
        <v>2370</v>
      </c>
      <c r="G2723" t="s">
        <v>5639</v>
      </c>
      <c r="H2723" t="s">
        <v>11812</v>
      </c>
      <c r="I2723">
        <v>2</v>
      </c>
      <c r="J2723" t="s">
        <v>18892</v>
      </c>
      <c r="K2723">
        <v>10467</v>
      </c>
      <c r="L2723" t="s">
        <v>18958</v>
      </c>
      <c r="M2723" t="s">
        <v>18960</v>
      </c>
      <c r="N2723" t="s">
        <v>20994</v>
      </c>
      <c r="O2723" t="s">
        <v>26524</v>
      </c>
      <c r="P2723" t="s">
        <v>26560</v>
      </c>
      <c r="Q2723" t="s">
        <v>26568</v>
      </c>
      <c r="R2723" t="s">
        <v>26579</v>
      </c>
      <c r="S2723" t="s">
        <v>18959</v>
      </c>
      <c r="U2723" t="s">
        <v>26604</v>
      </c>
      <c r="V2723" t="s">
        <v>26610</v>
      </c>
      <c r="W2723" t="s">
        <v>624</v>
      </c>
      <c r="X2723">
        <v>814</v>
      </c>
      <c r="Y2723" t="s">
        <v>26650</v>
      </c>
      <c r="Z2723" t="s">
        <v>26662</v>
      </c>
      <c r="AA2723" t="s">
        <v>26679</v>
      </c>
      <c r="AB2723" t="s">
        <v>29069</v>
      </c>
      <c r="AC2723" t="s">
        <v>35311</v>
      </c>
      <c r="AD2723" t="s">
        <v>39122</v>
      </c>
      <c r="AE2723">
        <v>6</v>
      </c>
      <c r="AF2723" t="s">
        <v>45541</v>
      </c>
      <c r="AG2723" t="s">
        <v>45562</v>
      </c>
      <c r="AH2723">
        <v>1</v>
      </c>
      <c r="AI2723">
        <v>1</v>
      </c>
      <c r="AJ2723">
        <v>0</v>
      </c>
      <c r="AK2723">
        <v>68.06</v>
      </c>
      <c r="AN2723" t="s">
        <v>7439</v>
      </c>
      <c r="AO2723">
        <v>8208</v>
      </c>
      <c r="AP2723" t="s">
        <v>45621</v>
      </c>
      <c r="AQ2723" t="s">
        <v>46359</v>
      </c>
      <c r="AR2723" t="s">
        <v>46469</v>
      </c>
      <c r="AS2723" t="s">
        <v>46500</v>
      </c>
      <c r="AT2723" t="s">
        <v>46724</v>
      </c>
      <c r="AU2723">
        <v>40.3</v>
      </c>
      <c r="AV2723" t="s">
        <v>737</v>
      </c>
      <c r="AW2723" t="s">
        <v>46848</v>
      </c>
    </row>
    <row r="2724" spans="1:50">
      <c r="A2724" s="1">
        <f>HYPERLINK("https://lsnyc.legalserver.org/matter/dynamic-profile/view/1879510","18-1879510")</f>
        <v>0</v>
      </c>
      <c r="B2724" t="s">
        <v>188</v>
      </c>
      <c r="C2724" t="s">
        <v>340</v>
      </c>
      <c r="D2724" t="s">
        <v>529</v>
      </c>
      <c r="F2724" t="s">
        <v>2371</v>
      </c>
      <c r="G2724" t="s">
        <v>6585</v>
      </c>
      <c r="H2724" t="s">
        <v>11550</v>
      </c>
      <c r="I2724" t="s">
        <v>17283</v>
      </c>
      <c r="J2724" t="s">
        <v>18892</v>
      </c>
      <c r="K2724">
        <v>10453</v>
      </c>
      <c r="L2724" t="s">
        <v>18958</v>
      </c>
      <c r="M2724" t="s">
        <v>18958</v>
      </c>
      <c r="O2724" t="s">
        <v>26526</v>
      </c>
      <c r="P2724" t="s">
        <v>26560</v>
      </c>
      <c r="R2724" t="s">
        <v>26578</v>
      </c>
      <c r="S2724" t="s">
        <v>18959</v>
      </c>
      <c r="U2724" t="s">
        <v>26604</v>
      </c>
      <c r="V2724" t="s">
        <v>26610</v>
      </c>
      <c r="W2724" t="s">
        <v>624</v>
      </c>
      <c r="X2724">
        <v>1220</v>
      </c>
      <c r="Y2724" t="s">
        <v>26650</v>
      </c>
      <c r="Z2724" t="s">
        <v>26659</v>
      </c>
      <c r="AB2724" t="s">
        <v>29070</v>
      </c>
      <c r="AC2724" t="s">
        <v>35312</v>
      </c>
      <c r="AD2724" t="s">
        <v>39123</v>
      </c>
      <c r="AE2724">
        <v>46</v>
      </c>
      <c r="AF2724" t="s">
        <v>45541</v>
      </c>
      <c r="AG2724" t="s">
        <v>45558</v>
      </c>
      <c r="AH2724">
        <v>4</v>
      </c>
      <c r="AI2724">
        <v>1</v>
      </c>
      <c r="AJ2724">
        <v>1</v>
      </c>
      <c r="AK2724">
        <v>0</v>
      </c>
      <c r="AN2724" t="s">
        <v>45581</v>
      </c>
      <c r="AO2724">
        <v>0</v>
      </c>
      <c r="AU2724">
        <v>67.8</v>
      </c>
      <c r="AV2724" t="s">
        <v>833</v>
      </c>
      <c r="AW2724" t="s">
        <v>336</v>
      </c>
    </row>
    <row r="2725" spans="1:50">
      <c r="A2725" s="1">
        <f>HYPERLINK("https://lsnyc.legalserver.org/matter/dynamic-profile/view/1880973","18-1880973")</f>
        <v>0</v>
      </c>
      <c r="B2725" t="s">
        <v>187</v>
      </c>
      <c r="C2725" t="s">
        <v>341</v>
      </c>
      <c r="D2725" t="s">
        <v>630</v>
      </c>
      <c r="E2725" t="s">
        <v>727</v>
      </c>
      <c r="F2725" t="s">
        <v>1562</v>
      </c>
      <c r="G2725" t="s">
        <v>5673</v>
      </c>
      <c r="H2725" t="s">
        <v>11653</v>
      </c>
      <c r="I2725" t="s">
        <v>17288</v>
      </c>
      <c r="J2725" t="s">
        <v>18892</v>
      </c>
      <c r="K2725">
        <v>10467</v>
      </c>
      <c r="L2725" t="s">
        <v>18958</v>
      </c>
      <c r="M2725" t="s">
        <v>18958</v>
      </c>
      <c r="N2725" t="s">
        <v>20995</v>
      </c>
      <c r="O2725" t="s">
        <v>26523</v>
      </c>
      <c r="P2725" t="s">
        <v>26560</v>
      </c>
      <c r="Q2725" t="s">
        <v>26573</v>
      </c>
      <c r="R2725" t="s">
        <v>26579</v>
      </c>
      <c r="S2725" t="s">
        <v>18959</v>
      </c>
      <c r="U2725" t="s">
        <v>26604</v>
      </c>
      <c r="V2725" t="s">
        <v>26610</v>
      </c>
      <c r="W2725" t="s">
        <v>624</v>
      </c>
      <c r="X2725">
        <v>1099.99</v>
      </c>
      <c r="Y2725" t="s">
        <v>26650</v>
      </c>
      <c r="Z2725" t="s">
        <v>26664</v>
      </c>
      <c r="AA2725" t="s">
        <v>26680</v>
      </c>
      <c r="AB2725" t="s">
        <v>29071</v>
      </c>
      <c r="AD2725" t="s">
        <v>39124</v>
      </c>
      <c r="AE2725">
        <v>0</v>
      </c>
      <c r="AF2725" t="s">
        <v>45541</v>
      </c>
      <c r="AG2725" t="s">
        <v>19330</v>
      </c>
      <c r="AH2725">
        <v>8</v>
      </c>
      <c r="AI2725">
        <v>2</v>
      </c>
      <c r="AJ2725">
        <v>2</v>
      </c>
      <c r="AK2725">
        <v>178.99</v>
      </c>
      <c r="AN2725" t="s">
        <v>7439</v>
      </c>
      <c r="AO2725">
        <v>44926</v>
      </c>
      <c r="AR2725" t="s">
        <v>46379</v>
      </c>
      <c r="AS2725" t="s">
        <v>46499</v>
      </c>
      <c r="AT2725" t="s">
        <v>46756</v>
      </c>
      <c r="AU2725">
        <v>8.1</v>
      </c>
      <c r="AV2725" t="s">
        <v>692</v>
      </c>
      <c r="AW2725" t="s">
        <v>336</v>
      </c>
      <c r="AX2725" t="s">
        <v>46897</v>
      </c>
    </row>
    <row r="2726" spans="1:50">
      <c r="A2726" s="1">
        <f>HYPERLINK("https://lsnyc.legalserver.org/matter/dynamic-profile/view/1881441","18-1881441")</f>
        <v>0</v>
      </c>
      <c r="B2726" t="s">
        <v>187</v>
      </c>
      <c r="C2726" t="s">
        <v>340</v>
      </c>
      <c r="D2726" t="s">
        <v>630</v>
      </c>
      <c r="F2726" t="s">
        <v>2372</v>
      </c>
      <c r="G2726" t="s">
        <v>5147</v>
      </c>
      <c r="H2726" t="s">
        <v>11813</v>
      </c>
      <c r="I2726" t="s">
        <v>17276</v>
      </c>
      <c r="J2726" t="s">
        <v>18892</v>
      </c>
      <c r="K2726">
        <v>10452</v>
      </c>
      <c r="L2726" t="s">
        <v>18958</v>
      </c>
      <c r="M2726" t="s">
        <v>18958</v>
      </c>
      <c r="N2726" t="s">
        <v>20996</v>
      </c>
      <c r="O2726" t="s">
        <v>26523</v>
      </c>
      <c r="P2726" t="s">
        <v>26560</v>
      </c>
      <c r="R2726" t="s">
        <v>26577</v>
      </c>
      <c r="U2726" t="s">
        <v>26604</v>
      </c>
      <c r="V2726" t="s">
        <v>26610</v>
      </c>
      <c r="W2726" t="s">
        <v>624</v>
      </c>
      <c r="X2726">
        <v>1411.43</v>
      </c>
      <c r="Y2726" t="s">
        <v>26650</v>
      </c>
      <c r="Z2726" t="s">
        <v>26664</v>
      </c>
      <c r="AB2726" t="s">
        <v>26986</v>
      </c>
      <c r="AD2726" t="s">
        <v>39125</v>
      </c>
      <c r="AE2726">
        <v>0</v>
      </c>
      <c r="AF2726" t="s">
        <v>20460</v>
      </c>
      <c r="AG2726" t="s">
        <v>45561</v>
      </c>
      <c r="AH2726">
        <v>4</v>
      </c>
      <c r="AI2726">
        <v>1</v>
      </c>
      <c r="AJ2726">
        <v>0</v>
      </c>
      <c r="AK2726">
        <v>80.36</v>
      </c>
      <c r="AN2726" t="s">
        <v>7439</v>
      </c>
      <c r="AO2726">
        <v>9756</v>
      </c>
      <c r="AP2726" t="s">
        <v>45654</v>
      </c>
      <c r="AU2726">
        <v>9.4</v>
      </c>
      <c r="AV2726" t="s">
        <v>726</v>
      </c>
      <c r="AW2726" t="s">
        <v>336</v>
      </c>
    </row>
    <row r="2727" spans="1:50">
      <c r="A2727" s="1">
        <f>HYPERLINK("https://lsnyc.legalserver.org/matter/dynamic-profile/view/1881467","18-1881467")</f>
        <v>0</v>
      </c>
      <c r="B2727" t="s">
        <v>187</v>
      </c>
      <c r="C2727" t="s">
        <v>340</v>
      </c>
      <c r="D2727" t="s">
        <v>630</v>
      </c>
      <c r="F2727" t="s">
        <v>1738</v>
      </c>
      <c r="G2727" t="s">
        <v>6586</v>
      </c>
      <c r="H2727" t="s">
        <v>11814</v>
      </c>
      <c r="I2727" t="s">
        <v>17293</v>
      </c>
      <c r="J2727" t="s">
        <v>18892</v>
      </c>
      <c r="K2727">
        <v>10457</v>
      </c>
      <c r="L2727" t="s">
        <v>18958</v>
      </c>
      <c r="M2727" t="s">
        <v>18958</v>
      </c>
      <c r="N2727" t="s">
        <v>20997</v>
      </c>
      <c r="O2727" t="s">
        <v>26523</v>
      </c>
      <c r="P2727" t="s">
        <v>26560</v>
      </c>
      <c r="R2727" t="s">
        <v>26579</v>
      </c>
      <c r="S2727" t="s">
        <v>18959</v>
      </c>
      <c r="U2727" t="s">
        <v>26604</v>
      </c>
      <c r="V2727" t="s">
        <v>26611</v>
      </c>
      <c r="W2727" t="s">
        <v>624</v>
      </c>
      <c r="X2727">
        <v>828.36</v>
      </c>
      <c r="Y2727" t="s">
        <v>26650</v>
      </c>
      <c r="Z2727" t="s">
        <v>26664</v>
      </c>
      <c r="AB2727" t="s">
        <v>29072</v>
      </c>
      <c r="AD2727" t="s">
        <v>39126</v>
      </c>
      <c r="AE2727">
        <v>25</v>
      </c>
      <c r="AF2727" t="s">
        <v>45541</v>
      </c>
      <c r="AG2727" t="s">
        <v>19330</v>
      </c>
      <c r="AH2727">
        <v>4</v>
      </c>
      <c r="AI2727">
        <v>2</v>
      </c>
      <c r="AJ2727">
        <v>0</v>
      </c>
      <c r="AK2727">
        <v>133.48</v>
      </c>
      <c r="AN2727" t="s">
        <v>7439</v>
      </c>
      <c r="AO2727">
        <v>21970</v>
      </c>
      <c r="AU2727">
        <v>22.5</v>
      </c>
      <c r="AV2727" t="s">
        <v>756</v>
      </c>
      <c r="AW2727" t="s">
        <v>336</v>
      </c>
    </row>
    <row r="2728" spans="1:50">
      <c r="A2728" s="1">
        <f>HYPERLINK("https://lsnyc.legalserver.org/matter/dynamic-profile/view/1880879","18-1880879")</f>
        <v>0</v>
      </c>
      <c r="B2728" t="s">
        <v>100</v>
      </c>
      <c r="C2728" t="s">
        <v>341</v>
      </c>
      <c r="D2728" t="s">
        <v>635</v>
      </c>
      <c r="E2728" t="s">
        <v>684</v>
      </c>
      <c r="F2728" t="s">
        <v>872</v>
      </c>
      <c r="G2728" t="s">
        <v>5659</v>
      </c>
      <c r="H2728" t="s">
        <v>10413</v>
      </c>
      <c r="I2728" t="s">
        <v>17302</v>
      </c>
      <c r="J2728" t="s">
        <v>18892</v>
      </c>
      <c r="K2728">
        <v>10467</v>
      </c>
      <c r="L2728" t="s">
        <v>18958</v>
      </c>
      <c r="M2728" t="s">
        <v>18958</v>
      </c>
      <c r="O2728" t="s">
        <v>26526</v>
      </c>
      <c r="P2728" t="s">
        <v>26564</v>
      </c>
      <c r="Q2728" t="s">
        <v>26570</v>
      </c>
      <c r="R2728" t="s">
        <v>26578</v>
      </c>
      <c r="S2728" t="s">
        <v>18959</v>
      </c>
      <c r="U2728" t="s">
        <v>26604</v>
      </c>
      <c r="W2728" t="s">
        <v>624</v>
      </c>
      <c r="X2728">
        <v>1500.03</v>
      </c>
      <c r="Y2728" t="s">
        <v>26650</v>
      </c>
      <c r="Z2728" t="s">
        <v>26663</v>
      </c>
      <c r="AA2728" t="s">
        <v>26683</v>
      </c>
      <c r="AB2728" t="s">
        <v>27526</v>
      </c>
      <c r="AC2728">
        <v>4043580</v>
      </c>
      <c r="AD2728" t="s">
        <v>37584</v>
      </c>
      <c r="AE2728">
        <v>0</v>
      </c>
      <c r="AF2728" t="s">
        <v>45541</v>
      </c>
      <c r="AH2728">
        <v>14</v>
      </c>
      <c r="AI2728">
        <v>2</v>
      </c>
      <c r="AJ2728">
        <v>0</v>
      </c>
      <c r="AK2728">
        <v>67.52</v>
      </c>
      <c r="AN2728" t="s">
        <v>45581</v>
      </c>
      <c r="AO2728">
        <v>11114</v>
      </c>
      <c r="AU2728">
        <v>2.6</v>
      </c>
      <c r="AV2728" t="s">
        <v>624</v>
      </c>
      <c r="AW2728" t="s">
        <v>261</v>
      </c>
      <c r="AX2728" t="s">
        <v>46898</v>
      </c>
    </row>
    <row r="2729" spans="1:50">
      <c r="A2729" s="1">
        <f>HYPERLINK("https://lsnyc.legalserver.org/matter/dynamic-profile/view/1880518","18-1880518")</f>
        <v>0</v>
      </c>
      <c r="B2729" t="s">
        <v>145</v>
      </c>
      <c r="C2729" t="s">
        <v>341</v>
      </c>
      <c r="D2729" t="s">
        <v>624</v>
      </c>
      <c r="E2729" t="s">
        <v>690</v>
      </c>
      <c r="F2729" t="s">
        <v>1480</v>
      </c>
      <c r="G2729" t="s">
        <v>3036</v>
      </c>
      <c r="H2729" t="s">
        <v>11815</v>
      </c>
      <c r="I2729" t="s">
        <v>17458</v>
      </c>
      <c r="J2729" t="s">
        <v>18902</v>
      </c>
      <c r="K2729">
        <v>10304</v>
      </c>
      <c r="L2729" t="s">
        <v>18958</v>
      </c>
      <c r="M2729" t="s">
        <v>18958</v>
      </c>
      <c r="N2729" t="s">
        <v>20998</v>
      </c>
      <c r="O2729" t="s">
        <v>26523</v>
      </c>
      <c r="P2729" t="s">
        <v>26560</v>
      </c>
      <c r="Q2729" t="s">
        <v>26568</v>
      </c>
      <c r="R2729" t="s">
        <v>26587</v>
      </c>
      <c r="S2729" t="s">
        <v>18959</v>
      </c>
      <c r="U2729" t="s">
        <v>26606</v>
      </c>
      <c r="V2729" t="s">
        <v>26610</v>
      </c>
      <c r="W2729" t="s">
        <v>624</v>
      </c>
      <c r="X2729">
        <v>208</v>
      </c>
      <c r="Y2729" t="s">
        <v>26654</v>
      </c>
      <c r="Z2729" t="s">
        <v>26659</v>
      </c>
      <c r="AA2729" t="s">
        <v>26677</v>
      </c>
      <c r="AB2729" t="s">
        <v>29073</v>
      </c>
      <c r="AD2729" t="s">
        <v>39127</v>
      </c>
      <c r="AE2729">
        <v>134</v>
      </c>
      <c r="AF2729" t="s">
        <v>45543</v>
      </c>
      <c r="AG2729" t="s">
        <v>45556</v>
      </c>
      <c r="AH2729">
        <v>31</v>
      </c>
      <c r="AI2729">
        <v>1</v>
      </c>
      <c r="AJ2729">
        <v>0</v>
      </c>
      <c r="AK2729">
        <v>123.16</v>
      </c>
      <c r="AO2729">
        <v>14952</v>
      </c>
      <c r="AR2729" t="s">
        <v>46379</v>
      </c>
      <c r="AS2729" t="s">
        <v>46499</v>
      </c>
      <c r="AT2729" t="s">
        <v>46688</v>
      </c>
      <c r="AU2729">
        <v>7.15</v>
      </c>
      <c r="AV2729" t="s">
        <v>785</v>
      </c>
      <c r="AW2729" t="s">
        <v>190</v>
      </c>
    </row>
    <row r="2730" spans="1:50">
      <c r="A2730" s="1">
        <f>HYPERLINK("https://lsnyc.legalserver.org/matter/dynamic-profile/view/1881555","18-1881555")</f>
        <v>0</v>
      </c>
      <c r="B2730" t="s">
        <v>109</v>
      </c>
      <c r="C2730" t="s">
        <v>341</v>
      </c>
      <c r="D2730" t="s">
        <v>624</v>
      </c>
      <c r="E2730" t="s">
        <v>815</v>
      </c>
      <c r="F2730" t="s">
        <v>1700</v>
      </c>
      <c r="G2730" t="s">
        <v>3283</v>
      </c>
      <c r="H2730" t="s">
        <v>11816</v>
      </c>
      <c r="I2730" t="s">
        <v>17283</v>
      </c>
      <c r="J2730" t="s">
        <v>18902</v>
      </c>
      <c r="K2730">
        <v>10302</v>
      </c>
      <c r="L2730" t="s">
        <v>18958</v>
      </c>
      <c r="M2730" t="s">
        <v>18958</v>
      </c>
      <c r="N2730" t="s">
        <v>20999</v>
      </c>
      <c r="O2730" t="s">
        <v>26523</v>
      </c>
      <c r="P2730" t="s">
        <v>26560</v>
      </c>
      <c r="Q2730" t="s">
        <v>26568</v>
      </c>
      <c r="R2730" t="s">
        <v>26590</v>
      </c>
      <c r="S2730" t="s">
        <v>18959</v>
      </c>
      <c r="U2730" t="s">
        <v>26604</v>
      </c>
      <c r="V2730" t="s">
        <v>26610</v>
      </c>
      <c r="W2730" t="s">
        <v>624</v>
      </c>
      <c r="X2730">
        <v>1053</v>
      </c>
      <c r="Y2730" t="s">
        <v>26654</v>
      </c>
      <c r="Z2730" t="s">
        <v>26668</v>
      </c>
      <c r="AA2730" t="s">
        <v>26679</v>
      </c>
      <c r="AB2730" t="s">
        <v>29074</v>
      </c>
      <c r="AD2730" t="s">
        <v>39128</v>
      </c>
      <c r="AE2730">
        <v>12</v>
      </c>
      <c r="AF2730" t="s">
        <v>45541</v>
      </c>
      <c r="AG2730" t="s">
        <v>19330</v>
      </c>
      <c r="AH2730">
        <v>15</v>
      </c>
      <c r="AI2730">
        <v>2</v>
      </c>
      <c r="AJ2730">
        <v>0</v>
      </c>
      <c r="AK2730">
        <v>212.64</v>
      </c>
      <c r="AL2730" t="s">
        <v>781</v>
      </c>
      <c r="AM2730" t="s">
        <v>45575</v>
      </c>
      <c r="AO2730">
        <v>35000</v>
      </c>
      <c r="AQ2730" t="s">
        <v>46365</v>
      </c>
      <c r="AR2730" t="s">
        <v>26530</v>
      </c>
      <c r="AS2730" t="s">
        <v>46499</v>
      </c>
      <c r="AT2730" t="s">
        <v>46674</v>
      </c>
      <c r="AU2730">
        <v>13.55</v>
      </c>
      <c r="AV2730" t="s">
        <v>815</v>
      </c>
      <c r="AW2730" t="s">
        <v>190</v>
      </c>
    </row>
    <row r="2731" spans="1:50">
      <c r="A2731" s="1">
        <f>HYPERLINK("https://lsnyc.legalserver.org/matter/dynamic-profile/view/1881506","18-1881506")</f>
        <v>0</v>
      </c>
      <c r="B2731" t="s">
        <v>131</v>
      </c>
      <c r="C2731" t="s">
        <v>341</v>
      </c>
      <c r="D2731" t="s">
        <v>624</v>
      </c>
      <c r="E2731" t="s">
        <v>849</v>
      </c>
      <c r="F2731" t="s">
        <v>1646</v>
      </c>
      <c r="G2731" t="s">
        <v>5447</v>
      </c>
      <c r="H2731" t="s">
        <v>11817</v>
      </c>
      <c r="J2731" t="s">
        <v>18902</v>
      </c>
      <c r="K2731">
        <v>10303</v>
      </c>
      <c r="L2731" t="s">
        <v>18958</v>
      </c>
      <c r="M2731" t="s">
        <v>18958</v>
      </c>
      <c r="N2731" t="s">
        <v>21000</v>
      </c>
      <c r="O2731" t="s">
        <v>26524</v>
      </c>
      <c r="P2731" t="s">
        <v>26560</v>
      </c>
      <c r="Q2731" t="s">
        <v>26569</v>
      </c>
      <c r="R2731" t="s">
        <v>26590</v>
      </c>
      <c r="S2731" t="s">
        <v>18959</v>
      </c>
      <c r="U2731" t="s">
        <v>26604</v>
      </c>
      <c r="V2731" t="s">
        <v>26610</v>
      </c>
      <c r="W2731" t="s">
        <v>624</v>
      </c>
      <c r="X2731">
        <v>1700</v>
      </c>
      <c r="Y2731" t="s">
        <v>26654</v>
      </c>
      <c r="Z2731" t="s">
        <v>26668</v>
      </c>
      <c r="AA2731" t="s">
        <v>26687</v>
      </c>
      <c r="AB2731" t="s">
        <v>29075</v>
      </c>
      <c r="AD2731" t="s">
        <v>39129</v>
      </c>
      <c r="AE2731">
        <v>1</v>
      </c>
      <c r="AF2731" t="s">
        <v>45547</v>
      </c>
      <c r="AG2731" t="s">
        <v>19330</v>
      </c>
      <c r="AH2731">
        <v>4</v>
      </c>
      <c r="AI2731">
        <v>3</v>
      </c>
      <c r="AJ2731">
        <v>0</v>
      </c>
      <c r="AK2731">
        <v>144.37</v>
      </c>
      <c r="AN2731" t="s">
        <v>7439</v>
      </c>
      <c r="AO2731">
        <v>30000</v>
      </c>
      <c r="AS2731" t="s">
        <v>46501</v>
      </c>
      <c r="AT2731" t="s">
        <v>46648</v>
      </c>
      <c r="AU2731">
        <v>5.75</v>
      </c>
      <c r="AV2731" t="s">
        <v>849</v>
      </c>
      <c r="AW2731" t="s">
        <v>190</v>
      </c>
    </row>
    <row r="2732" spans="1:50">
      <c r="A2732" s="1">
        <f>HYPERLINK("https://lsnyc.legalserver.org/matter/dynamic-profile/view/1881536","18-1881536")</f>
        <v>0</v>
      </c>
      <c r="B2732" t="s">
        <v>153</v>
      </c>
      <c r="C2732" t="s">
        <v>341</v>
      </c>
      <c r="D2732" t="s">
        <v>624</v>
      </c>
      <c r="E2732" t="s">
        <v>762</v>
      </c>
      <c r="F2732" t="s">
        <v>2373</v>
      </c>
      <c r="G2732" t="s">
        <v>5138</v>
      </c>
      <c r="H2732" t="s">
        <v>11818</v>
      </c>
      <c r="I2732">
        <v>2</v>
      </c>
      <c r="J2732" t="s">
        <v>18902</v>
      </c>
      <c r="K2732">
        <v>10301</v>
      </c>
      <c r="L2732" t="s">
        <v>18958</v>
      </c>
      <c r="M2732" t="s">
        <v>18958</v>
      </c>
      <c r="N2732" t="s">
        <v>21001</v>
      </c>
      <c r="O2732" t="s">
        <v>26523</v>
      </c>
      <c r="P2732" t="s">
        <v>26560</v>
      </c>
      <c r="Q2732" t="s">
        <v>26568</v>
      </c>
      <c r="R2732" t="s">
        <v>26578</v>
      </c>
      <c r="S2732" t="s">
        <v>18959</v>
      </c>
      <c r="U2732" t="s">
        <v>26604</v>
      </c>
      <c r="V2732" t="s">
        <v>26610</v>
      </c>
      <c r="W2732" t="s">
        <v>624</v>
      </c>
      <c r="X2732">
        <v>1600</v>
      </c>
      <c r="Y2732" t="s">
        <v>26654</v>
      </c>
      <c r="Z2732" t="s">
        <v>26663</v>
      </c>
      <c r="AA2732" t="s">
        <v>26679</v>
      </c>
      <c r="AB2732" t="s">
        <v>29076</v>
      </c>
      <c r="AD2732" t="s">
        <v>39130</v>
      </c>
      <c r="AE2732">
        <v>2</v>
      </c>
      <c r="AF2732" t="s">
        <v>45547</v>
      </c>
      <c r="AG2732" t="s">
        <v>19330</v>
      </c>
      <c r="AH2732">
        <v>6</v>
      </c>
      <c r="AI2732">
        <v>3</v>
      </c>
      <c r="AJ2732">
        <v>0</v>
      </c>
      <c r="AK2732">
        <v>0</v>
      </c>
      <c r="AN2732" t="s">
        <v>7439</v>
      </c>
      <c r="AO2732">
        <v>0</v>
      </c>
      <c r="AU2732">
        <v>3.2</v>
      </c>
      <c r="AV2732" t="s">
        <v>757</v>
      </c>
      <c r="AW2732" t="s">
        <v>190</v>
      </c>
    </row>
    <row r="2733" spans="1:50">
      <c r="A2733" s="1">
        <f>HYPERLINK("https://lsnyc.legalserver.org/matter/dynamic-profile/view/1881493","18-1881493")</f>
        <v>0</v>
      </c>
      <c r="B2733" t="s">
        <v>153</v>
      </c>
      <c r="C2733" t="s">
        <v>341</v>
      </c>
      <c r="D2733" t="s">
        <v>624</v>
      </c>
      <c r="E2733" t="s">
        <v>762</v>
      </c>
      <c r="F2733" t="s">
        <v>2374</v>
      </c>
      <c r="G2733" t="s">
        <v>6587</v>
      </c>
      <c r="H2733" t="s">
        <v>11819</v>
      </c>
      <c r="I2733" t="s">
        <v>17558</v>
      </c>
      <c r="J2733" t="s">
        <v>18902</v>
      </c>
      <c r="K2733">
        <v>10314</v>
      </c>
      <c r="L2733" t="s">
        <v>18958</v>
      </c>
      <c r="M2733" t="s">
        <v>18958</v>
      </c>
      <c r="N2733" t="s">
        <v>21002</v>
      </c>
      <c r="O2733" t="s">
        <v>26523</v>
      </c>
      <c r="P2733" t="s">
        <v>26560</v>
      </c>
      <c r="Q2733" t="s">
        <v>26568</v>
      </c>
      <c r="R2733" t="s">
        <v>26590</v>
      </c>
      <c r="S2733" t="s">
        <v>18959</v>
      </c>
      <c r="U2733" t="s">
        <v>26604</v>
      </c>
      <c r="V2733" t="s">
        <v>26610</v>
      </c>
      <c r="W2733" t="s">
        <v>624</v>
      </c>
      <c r="X2733">
        <v>1800</v>
      </c>
      <c r="Y2733" t="s">
        <v>26654</v>
      </c>
      <c r="Z2733" t="s">
        <v>26668</v>
      </c>
      <c r="AA2733" t="s">
        <v>26679</v>
      </c>
      <c r="AB2733" t="s">
        <v>29077</v>
      </c>
      <c r="AD2733" t="s">
        <v>39131</v>
      </c>
      <c r="AE2733">
        <v>2</v>
      </c>
      <c r="AF2733" t="s">
        <v>45547</v>
      </c>
      <c r="AG2733" t="s">
        <v>19330</v>
      </c>
      <c r="AH2733">
        <v>1</v>
      </c>
      <c r="AI2733">
        <v>2</v>
      </c>
      <c r="AJ2733">
        <v>0</v>
      </c>
      <c r="AK2733">
        <v>218.71</v>
      </c>
      <c r="AL2733" t="s">
        <v>781</v>
      </c>
      <c r="AM2733" t="s">
        <v>45575</v>
      </c>
      <c r="AO2733">
        <v>36000</v>
      </c>
      <c r="AU2733">
        <v>28.55</v>
      </c>
      <c r="AV2733" t="s">
        <v>769</v>
      </c>
      <c r="AW2733" t="s">
        <v>190</v>
      </c>
    </row>
    <row r="2734" spans="1:50">
      <c r="A2734" s="1">
        <f>HYPERLINK("https://lsnyc.legalserver.org/matter/dynamic-profile/view/1881459","18-1881459")</f>
        <v>0</v>
      </c>
      <c r="B2734" t="s">
        <v>64</v>
      </c>
      <c r="C2734" t="s">
        <v>341</v>
      </c>
      <c r="D2734" t="s">
        <v>624</v>
      </c>
      <c r="E2734" t="s">
        <v>643</v>
      </c>
      <c r="F2734" t="s">
        <v>1228</v>
      </c>
      <c r="G2734" t="s">
        <v>5121</v>
      </c>
      <c r="H2734" t="s">
        <v>11820</v>
      </c>
      <c r="I2734" t="s">
        <v>17430</v>
      </c>
      <c r="J2734" t="s">
        <v>18892</v>
      </c>
      <c r="K2734">
        <v>10473</v>
      </c>
      <c r="L2734" t="s">
        <v>18958</v>
      </c>
      <c r="M2734" t="s">
        <v>18958</v>
      </c>
      <c r="N2734" t="s">
        <v>21003</v>
      </c>
      <c r="O2734" t="s">
        <v>26524</v>
      </c>
      <c r="P2734" t="s">
        <v>26564</v>
      </c>
      <c r="Q2734" t="s">
        <v>26570</v>
      </c>
      <c r="R2734" t="s">
        <v>26577</v>
      </c>
      <c r="S2734" t="s">
        <v>18959</v>
      </c>
      <c r="U2734" t="s">
        <v>26604</v>
      </c>
      <c r="V2734" t="s">
        <v>26612</v>
      </c>
      <c r="W2734" t="s">
        <v>624</v>
      </c>
      <c r="X2734">
        <v>1100</v>
      </c>
      <c r="Y2734" t="s">
        <v>26650</v>
      </c>
      <c r="Z2734" t="s">
        <v>26659</v>
      </c>
      <c r="AA2734" t="s">
        <v>26683</v>
      </c>
      <c r="AB2734" t="s">
        <v>29078</v>
      </c>
      <c r="AC2734" t="s">
        <v>35313</v>
      </c>
      <c r="AD2734" t="s">
        <v>39132</v>
      </c>
      <c r="AE2734">
        <v>0</v>
      </c>
      <c r="AF2734" t="s">
        <v>45547</v>
      </c>
      <c r="AG2734" t="s">
        <v>19330</v>
      </c>
      <c r="AH2734">
        <v>3</v>
      </c>
      <c r="AI2734">
        <v>2</v>
      </c>
      <c r="AJ2734">
        <v>1</v>
      </c>
      <c r="AK2734">
        <v>50.05</v>
      </c>
      <c r="AN2734" t="s">
        <v>7439</v>
      </c>
      <c r="AO2734">
        <v>10400</v>
      </c>
      <c r="AR2734" t="s">
        <v>26530</v>
      </c>
      <c r="AU2734">
        <v>2.6</v>
      </c>
      <c r="AV2734" t="s">
        <v>624</v>
      </c>
      <c r="AW2734" t="s">
        <v>46870</v>
      </c>
      <c r="AX2734" t="s">
        <v>46897</v>
      </c>
    </row>
    <row r="2735" spans="1:50">
      <c r="A2735" s="1">
        <f>HYPERLINK("https://lsnyc.legalserver.org/matter/dynamic-profile/view/1881450","18-1881450")</f>
        <v>0</v>
      </c>
      <c r="B2735" t="s">
        <v>64</v>
      </c>
      <c r="C2735" t="s">
        <v>341</v>
      </c>
      <c r="D2735" t="s">
        <v>624</v>
      </c>
      <c r="E2735" t="s">
        <v>664</v>
      </c>
      <c r="F2735" t="s">
        <v>2375</v>
      </c>
      <c r="G2735" t="s">
        <v>6588</v>
      </c>
      <c r="H2735" t="s">
        <v>11821</v>
      </c>
      <c r="I2735">
        <v>29</v>
      </c>
      <c r="J2735" t="s">
        <v>18892</v>
      </c>
      <c r="K2735">
        <v>10458</v>
      </c>
      <c r="L2735" t="s">
        <v>18958</v>
      </c>
      <c r="M2735" t="s">
        <v>18958</v>
      </c>
      <c r="N2735" t="s">
        <v>21004</v>
      </c>
      <c r="O2735" t="s">
        <v>26523</v>
      </c>
      <c r="P2735" t="s">
        <v>26560</v>
      </c>
      <c r="Q2735" t="s">
        <v>26568</v>
      </c>
      <c r="R2735" t="s">
        <v>26577</v>
      </c>
      <c r="S2735" t="s">
        <v>18959</v>
      </c>
      <c r="U2735" t="s">
        <v>26604</v>
      </c>
      <c r="V2735" t="s">
        <v>26614</v>
      </c>
      <c r="W2735" t="s">
        <v>624</v>
      </c>
      <c r="X2735">
        <v>1255.86</v>
      </c>
      <c r="Y2735" t="s">
        <v>26650</v>
      </c>
      <c r="Z2735" t="s">
        <v>26674</v>
      </c>
      <c r="AA2735" t="s">
        <v>26691</v>
      </c>
      <c r="AB2735" t="s">
        <v>29079</v>
      </c>
      <c r="AC2735" t="s">
        <v>35314</v>
      </c>
      <c r="AD2735" t="s">
        <v>39133</v>
      </c>
      <c r="AE2735">
        <v>0</v>
      </c>
      <c r="AF2735" t="s">
        <v>45541</v>
      </c>
      <c r="AG2735" t="s">
        <v>45556</v>
      </c>
      <c r="AH2735">
        <v>6</v>
      </c>
      <c r="AI2735">
        <v>2</v>
      </c>
      <c r="AJ2735">
        <v>1</v>
      </c>
      <c r="AK2735">
        <v>129.93</v>
      </c>
      <c r="AN2735" t="s">
        <v>7439</v>
      </c>
      <c r="AO2735">
        <v>27000</v>
      </c>
      <c r="AQ2735" t="s">
        <v>46365</v>
      </c>
      <c r="AR2735" t="s">
        <v>46437</v>
      </c>
      <c r="AS2735" t="s">
        <v>46502</v>
      </c>
      <c r="AT2735" t="s">
        <v>46625</v>
      </c>
      <c r="AU2735">
        <v>6.9</v>
      </c>
      <c r="AV2735" t="s">
        <v>646</v>
      </c>
      <c r="AW2735" t="s">
        <v>46870</v>
      </c>
    </row>
    <row r="2736" spans="1:50">
      <c r="A2736" s="1">
        <f>HYPERLINK("https://lsnyc.legalserver.org/matter/dynamic-profile/view/1881509","18-1881509")</f>
        <v>0</v>
      </c>
      <c r="B2736" t="s">
        <v>200</v>
      </c>
      <c r="C2736" t="s">
        <v>341</v>
      </c>
      <c r="D2736" t="s">
        <v>624</v>
      </c>
      <c r="E2736" t="s">
        <v>697</v>
      </c>
      <c r="F2736" t="s">
        <v>2376</v>
      </c>
      <c r="G2736" t="s">
        <v>6589</v>
      </c>
      <c r="H2736" t="s">
        <v>11822</v>
      </c>
      <c r="I2736">
        <v>2</v>
      </c>
      <c r="J2736" t="s">
        <v>18894</v>
      </c>
      <c r="K2736">
        <v>11208</v>
      </c>
      <c r="L2736" t="s">
        <v>18958</v>
      </c>
      <c r="M2736" t="s">
        <v>18958</v>
      </c>
      <c r="O2736" t="s">
        <v>18997</v>
      </c>
      <c r="P2736" t="s">
        <v>26564</v>
      </c>
      <c r="Q2736" t="s">
        <v>26570</v>
      </c>
      <c r="R2736" t="s">
        <v>26589</v>
      </c>
      <c r="S2736" t="s">
        <v>18959</v>
      </c>
      <c r="U2736" t="s">
        <v>26604</v>
      </c>
      <c r="W2736" t="s">
        <v>624</v>
      </c>
      <c r="X2736">
        <v>850</v>
      </c>
      <c r="Y2736" t="s">
        <v>26652</v>
      </c>
      <c r="Z2736" t="s">
        <v>26671</v>
      </c>
      <c r="AA2736" t="s">
        <v>26683</v>
      </c>
      <c r="AB2736" t="s">
        <v>29080</v>
      </c>
      <c r="AC2736" t="s">
        <v>35315</v>
      </c>
      <c r="AD2736" t="s">
        <v>34738</v>
      </c>
      <c r="AE2736">
        <v>2</v>
      </c>
      <c r="AF2736" t="s">
        <v>20460</v>
      </c>
      <c r="AH2736">
        <v>21</v>
      </c>
      <c r="AI2736">
        <v>2</v>
      </c>
      <c r="AJ2736">
        <v>2</v>
      </c>
      <c r="AK2736">
        <v>18.6</v>
      </c>
      <c r="AL2736" t="s">
        <v>45567</v>
      </c>
      <c r="AM2736" t="s">
        <v>45577</v>
      </c>
      <c r="AN2736" t="s">
        <v>7439</v>
      </c>
      <c r="AO2736">
        <v>4668</v>
      </c>
      <c r="AP2736" t="s">
        <v>45666</v>
      </c>
      <c r="AU2736">
        <v>2.75</v>
      </c>
      <c r="AV2736" t="s">
        <v>603</v>
      </c>
      <c r="AW2736" t="s">
        <v>46856</v>
      </c>
    </row>
    <row r="2737" spans="1:50">
      <c r="A2737" s="1">
        <f>HYPERLINK("https://lsnyc.legalserver.org/matter/dynamic-profile/view/1881522","18-1881522")</f>
        <v>0</v>
      </c>
      <c r="B2737" t="s">
        <v>101</v>
      </c>
      <c r="C2737" t="s">
        <v>341</v>
      </c>
      <c r="D2737" t="s">
        <v>624</v>
      </c>
      <c r="E2737" t="s">
        <v>855</v>
      </c>
      <c r="F2737" t="s">
        <v>928</v>
      </c>
      <c r="G2737" t="s">
        <v>6590</v>
      </c>
      <c r="H2737" t="s">
        <v>11823</v>
      </c>
      <c r="I2737" t="s">
        <v>17416</v>
      </c>
      <c r="J2737" t="s">
        <v>18894</v>
      </c>
      <c r="K2737">
        <v>11234</v>
      </c>
      <c r="L2737" t="s">
        <v>18958</v>
      </c>
      <c r="M2737" t="s">
        <v>18958</v>
      </c>
      <c r="N2737" t="s">
        <v>21005</v>
      </c>
      <c r="O2737" t="s">
        <v>26524</v>
      </c>
      <c r="P2737" t="s">
        <v>26564</v>
      </c>
      <c r="Q2737" t="s">
        <v>26570</v>
      </c>
      <c r="R2737" t="s">
        <v>26586</v>
      </c>
      <c r="U2737" t="s">
        <v>26604</v>
      </c>
      <c r="W2737" t="s">
        <v>624</v>
      </c>
      <c r="X2737">
        <v>0</v>
      </c>
      <c r="Y2737" t="s">
        <v>26652</v>
      </c>
      <c r="Z2737" t="s">
        <v>26664</v>
      </c>
      <c r="AA2737" t="s">
        <v>26683</v>
      </c>
      <c r="AB2737" t="s">
        <v>29081</v>
      </c>
      <c r="AD2737" t="s">
        <v>39134</v>
      </c>
      <c r="AE2737">
        <v>2</v>
      </c>
      <c r="AG2737" t="s">
        <v>19330</v>
      </c>
      <c r="AH2737">
        <v>39</v>
      </c>
      <c r="AI2737">
        <v>3</v>
      </c>
      <c r="AJ2737">
        <v>0</v>
      </c>
      <c r="AK2737">
        <v>57.75</v>
      </c>
      <c r="AN2737" t="s">
        <v>7439</v>
      </c>
      <c r="AO2737">
        <v>12000</v>
      </c>
      <c r="AU2737">
        <v>7.2</v>
      </c>
      <c r="AV2737" t="s">
        <v>603</v>
      </c>
      <c r="AW2737" t="s">
        <v>46853</v>
      </c>
    </row>
    <row r="2738" spans="1:50">
      <c r="A2738" s="1">
        <f>HYPERLINK("https://lsnyc.legalserver.org/matter/dynamic-profile/view/1881542","18-1881542")</f>
        <v>0</v>
      </c>
      <c r="B2738" t="s">
        <v>161</v>
      </c>
      <c r="C2738" t="s">
        <v>341</v>
      </c>
      <c r="D2738" t="s">
        <v>624</v>
      </c>
      <c r="E2738" t="s">
        <v>494</v>
      </c>
      <c r="F2738" t="s">
        <v>1265</v>
      </c>
      <c r="G2738" t="s">
        <v>6591</v>
      </c>
      <c r="H2738" t="s">
        <v>11535</v>
      </c>
      <c r="I2738" t="s">
        <v>17436</v>
      </c>
      <c r="J2738" t="s">
        <v>18906</v>
      </c>
      <c r="K2738">
        <v>11373</v>
      </c>
      <c r="L2738" t="s">
        <v>18958</v>
      </c>
      <c r="M2738" t="s">
        <v>18958</v>
      </c>
      <c r="N2738" t="s">
        <v>21006</v>
      </c>
      <c r="O2738" t="s">
        <v>26523</v>
      </c>
      <c r="P2738" t="s">
        <v>26565</v>
      </c>
      <c r="Q2738" t="s">
        <v>26570</v>
      </c>
      <c r="R2738" t="s">
        <v>26585</v>
      </c>
      <c r="S2738" t="s">
        <v>18959</v>
      </c>
      <c r="U2738" t="s">
        <v>26604</v>
      </c>
      <c r="V2738" t="s">
        <v>26611</v>
      </c>
      <c r="W2738" t="s">
        <v>624</v>
      </c>
      <c r="X2738">
        <v>1935</v>
      </c>
      <c r="Y2738" t="s">
        <v>26653</v>
      </c>
      <c r="Z2738" t="s">
        <v>26661</v>
      </c>
      <c r="AA2738" t="s">
        <v>26683</v>
      </c>
      <c r="AB2738" t="s">
        <v>29082</v>
      </c>
      <c r="AC2738" t="s">
        <v>19045</v>
      </c>
      <c r="AD2738" t="s">
        <v>39135</v>
      </c>
      <c r="AE2738">
        <v>107</v>
      </c>
      <c r="AF2738" t="s">
        <v>45541</v>
      </c>
      <c r="AG2738" t="s">
        <v>19330</v>
      </c>
      <c r="AH2738">
        <v>17</v>
      </c>
      <c r="AI2738">
        <v>2</v>
      </c>
      <c r="AJ2738">
        <v>0</v>
      </c>
      <c r="AK2738">
        <v>352.37</v>
      </c>
      <c r="AN2738" t="s">
        <v>7439</v>
      </c>
      <c r="AO2738">
        <v>58000</v>
      </c>
      <c r="AU2738">
        <v>0.5</v>
      </c>
      <c r="AV2738" t="s">
        <v>458</v>
      </c>
      <c r="AW2738" t="s">
        <v>161</v>
      </c>
    </row>
    <row r="2739" spans="1:50">
      <c r="A2739" s="1">
        <f>HYPERLINK("https://lsnyc.legalserver.org/matter/dynamic-profile/view/1881453","18-1881453")</f>
        <v>0</v>
      </c>
      <c r="B2739" t="s">
        <v>65</v>
      </c>
      <c r="C2739" t="s">
        <v>341</v>
      </c>
      <c r="D2739" t="s">
        <v>624</v>
      </c>
      <c r="E2739" t="s">
        <v>709</v>
      </c>
      <c r="F2739" t="s">
        <v>899</v>
      </c>
      <c r="G2739" t="s">
        <v>6592</v>
      </c>
      <c r="H2739" t="s">
        <v>9996</v>
      </c>
      <c r="I2739" t="s">
        <v>17509</v>
      </c>
      <c r="J2739" t="s">
        <v>18892</v>
      </c>
      <c r="K2739">
        <v>10457</v>
      </c>
      <c r="L2739" t="s">
        <v>18958</v>
      </c>
      <c r="M2739" t="s">
        <v>18958</v>
      </c>
      <c r="N2739" t="s">
        <v>21007</v>
      </c>
      <c r="O2739" t="s">
        <v>26524</v>
      </c>
      <c r="P2739" t="s">
        <v>26560</v>
      </c>
      <c r="Q2739" t="s">
        <v>26568</v>
      </c>
      <c r="R2739" t="s">
        <v>26579</v>
      </c>
      <c r="S2739" t="s">
        <v>18959</v>
      </c>
      <c r="U2739" t="s">
        <v>26604</v>
      </c>
      <c r="V2739" t="s">
        <v>26610</v>
      </c>
      <c r="W2739" t="s">
        <v>624</v>
      </c>
      <c r="X2739">
        <v>973</v>
      </c>
      <c r="Y2739" t="s">
        <v>26650</v>
      </c>
      <c r="Z2739" t="s">
        <v>26664</v>
      </c>
      <c r="AA2739" t="s">
        <v>26678</v>
      </c>
      <c r="AB2739" t="s">
        <v>29083</v>
      </c>
      <c r="AD2739" t="s">
        <v>39136</v>
      </c>
      <c r="AE2739">
        <v>167</v>
      </c>
      <c r="AF2739" t="s">
        <v>20460</v>
      </c>
      <c r="AG2739" t="s">
        <v>45557</v>
      </c>
      <c r="AH2739">
        <v>4</v>
      </c>
      <c r="AI2739">
        <v>1</v>
      </c>
      <c r="AJ2739">
        <v>2</v>
      </c>
      <c r="AK2739">
        <v>0</v>
      </c>
      <c r="AN2739" t="s">
        <v>7439</v>
      </c>
      <c r="AO2739">
        <v>0</v>
      </c>
      <c r="AR2739" t="s">
        <v>46380</v>
      </c>
      <c r="AS2739" t="s">
        <v>46499</v>
      </c>
      <c r="AT2739" t="s">
        <v>46509</v>
      </c>
      <c r="AU2739">
        <v>1.4</v>
      </c>
      <c r="AV2739" t="s">
        <v>646</v>
      </c>
      <c r="AW2739" t="s">
        <v>334</v>
      </c>
    </row>
    <row r="2740" spans="1:50">
      <c r="A2740" s="1">
        <f>HYPERLINK("https://lsnyc.legalserver.org/matter/dynamic-profile/view/1881465","18-1881465")</f>
        <v>0</v>
      </c>
      <c r="B2740" t="s">
        <v>169</v>
      </c>
      <c r="C2740" t="s">
        <v>340</v>
      </c>
      <c r="D2740" t="s">
        <v>624</v>
      </c>
      <c r="F2740" t="s">
        <v>928</v>
      </c>
      <c r="G2740" t="s">
        <v>5673</v>
      </c>
      <c r="H2740" t="s">
        <v>11824</v>
      </c>
      <c r="I2740" t="s">
        <v>17879</v>
      </c>
      <c r="J2740" t="s">
        <v>18892</v>
      </c>
      <c r="K2740">
        <v>10457</v>
      </c>
      <c r="L2740" t="s">
        <v>18958</v>
      </c>
      <c r="M2740" t="s">
        <v>18958</v>
      </c>
      <c r="N2740">
        <v>904382</v>
      </c>
      <c r="O2740" t="s">
        <v>26541</v>
      </c>
      <c r="P2740" t="s">
        <v>26561</v>
      </c>
      <c r="R2740" t="s">
        <v>26577</v>
      </c>
      <c r="S2740" t="s">
        <v>18959</v>
      </c>
      <c r="U2740" t="s">
        <v>26605</v>
      </c>
      <c r="V2740" t="s">
        <v>26610</v>
      </c>
      <c r="W2740" t="s">
        <v>624</v>
      </c>
      <c r="X2740">
        <v>227</v>
      </c>
      <c r="Y2740" t="s">
        <v>26650</v>
      </c>
      <c r="Z2740" t="s">
        <v>26661</v>
      </c>
      <c r="AB2740" t="s">
        <v>29084</v>
      </c>
      <c r="AD2740" t="s">
        <v>39137</v>
      </c>
      <c r="AE2740">
        <v>239</v>
      </c>
      <c r="AF2740" t="s">
        <v>45549</v>
      </c>
      <c r="AG2740" t="s">
        <v>26530</v>
      </c>
      <c r="AH2740">
        <v>10</v>
      </c>
      <c r="AI2740">
        <v>1</v>
      </c>
      <c r="AJ2740">
        <v>0</v>
      </c>
      <c r="AK2740">
        <v>78.09</v>
      </c>
      <c r="AN2740" t="s">
        <v>7439</v>
      </c>
      <c r="AO2740">
        <v>9480</v>
      </c>
      <c r="AP2740" t="s">
        <v>45764</v>
      </c>
      <c r="AU2740">
        <v>18</v>
      </c>
      <c r="AV2740" t="s">
        <v>831</v>
      </c>
      <c r="AW2740" t="s">
        <v>46847</v>
      </c>
    </row>
    <row r="2741" spans="1:50">
      <c r="A2741" s="1">
        <f>HYPERLINK("https://lsnyc.legalserver.org/matter/dynamic-profile/view/1881507","18-1881507")</f>
        <v>0</v>
      </c>
      <c r="B2741" t="s">
        <v>97</v>
      </c>
      <c r="C2741" t="s">
        <v>340</v>
      </c>
      <c r="D2741" t="s">
        <v>624</v>
      </c>
      <c r="F2741" t="s">
        <v>952</v>
      </c>
      <c r="G2741" t="s">
        <v>3283</v>
      </c>
      <c r="H2741" t="s">
        <v>11825</v>
      </c>
      <c r="I2741" t="s">
        <v>17566</v>
      </c>
      <c r="J2741" t="s">
        <v>18892</v>
      </c>
      <c r="K2741">
        <v>10454</v>
      </c>
      <c r="L2741" t="s">
        <v>18958</v>
      </c>
      <c r="M2741" t="s">
        <v>18958</v>
      </c>
      <c r="N2741" t="s">
        <v>21008</v>
      </c>
      <c r="O2741" t="s">
        <v>26523</v>
      </c>
      <c r="P2741" t="s">
        <v>26560</v>
      </c>
      <c r="R2741" t="s">
        <v>26577</v>
      </c>
      <c r="S2741" t="s">
        <v>18959</v>
      </c>
      <c r="U2741" t="s">
        <v>26604</v>
      </c>
      <c r="V2741" t="s">
        <v>26614</v>
      </c>
      <c r="W2741" t="s">
        <v>624</v>
      </c>
      <c r="X2741">
        <v>1294</v>
      </c>
      <c r="Y2741" t="s">
        <v>26650</v>
      </c>
      <c r="Z2741" t="s">
        <v>26668</v>
      </c>
      <c r="AB2741" t="s">
        <v>29085</v>
      </c>
      <c r="AC2741" t="s">
        <v>35316</v>
      </c>
      <c r="AD2741" t="s">
        <v>39138</v>
      </c>
      <c r="AE2741">
        <v>60</v>
      </c>
      <c r="AF2741" t="s">
        <v>45541</v>
      </c>
      <c r="AG2741" t="s">
        <v>45562</v>
      </c>
      <c r="AH2741">
        <v>1</v>
      </c>
      <c r="AI2741">
        <v>3</v>
      </c>
      <c r="AJ2741">
        <v>0</v>
      </c>
      <c r="AK2741">
        <v>45.54</v>
      </c>
      <c r="AN2741" t="s">
        <v>7439</v>
      </c>
      <c r="AO2741">
        <v>9464</v>
      </c>
      <c r="AU2741">
        <v>56.45</v>
      </c>
      <c r="AV2741" t="s">
        <v>805</v>
      </c>
      <c r="AW2741" t="s">
        <v>46870</v>
      </c>
    </row>
    <row r="2742" spans="1:50">
      <c r="A2742" s="1">
        <f>HYPERLINK("https://lsnyc.legalserver.org/matter/dynamic-profile/view/1881492","18-1881492")</f>
        <v>0</v>
      </c>
      <c r="B2742" t="s">
        <v>97</v>
      </c>
      <c r="C2742" t="s">
        <v>340</v>
      </c>
      <c r="D2742" t="s">
        <v>624</v>
      </c>
      <c r="F2742" t="s">
        <v>1191</v>
      </c>
      <c r="G2742" t="s">
        <v>5165</v>
      </c>
      <c r="H2742" t="s">
        <v>11826</v>
      </c>
      <c r="I2742" t="s">
        <v>17880</v>
      </c>
      <c r="J2742" t="s">
        <v>18892</v>
      </c>
      <c r="K2742">
        <v>10467</v>
      </c>
      <c r="L2742" t="s">
        <v>18958</v>
      </c>
      <c r="M2742" t="s">
        <v>18958</v>
      </c>
      <c r="N2742" t="s">
        <v>21009</v>
      </c>
      <c r="O2742" t="s">
        <v>26524</v>
      </c>
      <c r="P2742" t="s">
        <v>26560</v>
      </c>
      <c r="R2742" t="s">
        <v>26579</v>
      </c>
      <c r="S2742" t="s">
        <v>18959</v>
      </c>
      <c r="U2742" t="s">
        <v>26604</v>
      </c>
      <c r="V2742" t="s">
        <v>26610</v>
      </c>
      <c r="W2742" t="s">
        <v>624</v>
      </c>
      <c r="X2742">
        <v>1391</v>
      </c>
      <c r="Y2742" t="s">
        <v>26650</v>
      </c>
      <c r="Z2742" t="s">
        <v>26673</v>
      </c>
      <c r="AB2742" t="s">
        <v>29086</v>
      </c>
      <c r="AC2742" t="s">
        <v>35317</v>
      </c>
      <c r="AD2742" t="s">
        <v>39139</v>
      </c>
      <c r="AE2742">
        <v>50</v>
      </c>
      <c r="AF2742" t="s">
        <v>45549</v>
      </c>
      <c r="AG2742" t="s">
        <v>19330</v>
      </c>
      <c r="AH2742">
        <v>44</v>
      </c>
      <c r="AI2742">
        <v>2</v>
      </c>
      <c r="AJ2742">
        <v>0</v>
      </c>
      <c r="AK2742">
        <v>173.75</v>
      </c>
      <c r="AN2742" t="s">
        <v>7439</v>
      </c>
      <c r="AO2742">
        <v>28600</v>
      </c>
      <c r="AU2742">
        <v>31.95</v>
      </c>
      <c r="AV2742" t="s">
        <v>724</v>
      </c>
      <c r="AW2742" t="s">
        <v>46861</v>
      </c>
    </row>
    <row r="2743" spans="1:50">
      <c r="A2743" s="1">
        <f>HYPERLINK("https://lsnyc.legalserver.org/matter/dynamic-profile/view/1881472","18-1881472")</f>
        <v>0</v>
      </c>
      <c r="B2743" t="s">
        <v>153</v>
      </c>
      <c r="C2743" t="s">
        <v>340</v>
      </c>
      <c r="D2743" t="s">
        <v>624</v>
      </c>
      <c r="F2743" t="s">
        <v>913</v>
      </c>
      <c r="G2743" t="s">
        <v>6593</v>
      </c>
      <c r="H2743" t="s">
        <v>11827</v>
      </c>
      <c r="J2743" t="s">
        <v>18902</v>
      </c>
      <c r="K2743">
        <v>10314</v>
      </c>
      <c r="L2743" t="s">
        <v>18958</v>
      </c>
      <c r="M2743" t="s">
        <v>18958</v>
      </c>
      <c r="N2743" t="s">
        <v>21010</v>
      </c>
      <c r="O2743" t="s">
        <v>26524</v>
      </c>
      <c r="P2743" t="s">
        <v>26560</v>
      </c>
      <c r="R2743" t="s">
        <v>26590</v>
      </c>
      <c r="S2743" t="s">
        <v>18959</v>
      </c>
      <c r="U2743" t="s">
        <v>26604</v>
      </c>
      <c r="V2743" t="s">
        <v>26610</v>
      </c>
      <c r="W2743" t="s">
        <v>624</v>
      </c>
      <c r="X2743">
        <v>1400</v>
      </c>
      <c r="Y2743" t="s">
        <v>26654</v>
      </c>
      <c r="Z2743" t="s">
        <v>26668</v>
      </c>
      <c r="AB2743" t="s">
        <v>29087</v>
      </c>
      <c r="AE2743">
        <v>1</v>
      </c>
      <c r="AF2743" t="s">
        <v>45547</v>
      </c>
      <c r="AG2743" t="s">
        <v>19330</v>
      </c>
      <c r="AH2743">
        <v>8</v>
      </c>
      <c r="AI2743">
        <v>2</v>
      </c>
      <c r="AJ2743">
        <v>1</v>
      </c>
      <c r="AK2743">
        <v>17.89</v>
      </c>
      <c r="AO2743">
        <v>3718</v>
      </c>
      <c r="AU2743">
        <v>2.8</v>
      </c>
      <c r="AV2743" t="s">
        <v>753</v>
      </c>
      <c r="AW2743" t="s">
        <v>190</v>
      </c>
    </row>
    <row r="2744" spans="1:50">
      <c r="A2744" s="1">
        <f>HYPERLINK("https://lsnyc.legalserver.org/matter/dynamic-profile/view/1881456","18-1881456")</f>
        <v>0</v>
      </c>
      <c r="B2744" t="s">
        <v>135</v>
      </c>
      <c r="C2744" t="s">
        <v>340</v>
      </c>
      <c r="D2744" t="s">
        <v>624</v>
      </c>
      <c r="F2744" t="s">
        <v>1283</v>
      </c>
      <c r="G2744" t="s">
        <v>6594</v>
      </c>
      <c r="H2744" t="s">
        <v>10813</v>
      </c>
      <c r="I2744">
        <v>11</v>
      </c>
      <c r="J2744" t="s">
        <v>18892</v>
      </c>
      <c r="K2744">
        <v>10458</v>
      </c>
      <c r="L2744" t="s">
        <v>18958</v>
      </c>
      <c r="M2744" t="s">
        <v>18958</v>
      </c>
      <c r="N2744" t="s">
        <v>21011</v>
      </c>
      <c r="O2744" t="s">
        <v>26523</v>
      </c>
      <c r="P2744" t="s">
        <v>26560</v>
      </c>
      <c r="R2744" t="s">
        <v>26577</v>
      </c>
      <c r="S2744" t="s">
        <v>18959</v>
      </c>
      <c r="U2744" t="s">
        <v>26604</v>
      </c>
      <c r="W2744" t="s">
        <v>624</v>
      </c>
      <c r="X2744">
        <v>1268</v>
      </c>
      <c r="Y2744" t="s">
        <v>26650</v>
      </c>
      <c r="Z2744" t="s">
        <v>26668</v>
      </c>
      <c r="AB2744" t="s">
        <v>29088</v>
      </c>
      <c r="AC2744" t="s">
        <v>35318</v>
      </c>
      <c r="AD2744" t="s">
        <v>39140</v>
      </c>
      <c r="AE2744">
        <v>31</v>
      </c>
      <c r="AF2744" t="s">
        <v>45541</v>
      </c>
      <c r="AG2744" t="s">
        <v>45562</v>
      </c>
      <c r="AH2744">
        <v>4</v>
      </c>
      <c r="AI2744">
        <v>2</v>
      </c>
      <c r="AJ2744">
        <v>0</v>
      </c>
      <c r="AK2744">
        <v>54.68</v>
      </c>
      <c r="AN2744" t="s">
        <v>7439</v>
      </c>
      <c r="AO2744">
        <v>9000</v>
      </c>
      <c r="AP2744" t="s">
        <v>45701</v>
      </c>
      <c r="AU2744">
        <v>20.4</v>
      </c>
      <c r="AV2744" t="s">
        <v>645</v>
      </c>
      <c r="AW2744" t="s">
        <v>46871</v>
      </c>
    </row>
    <row r="2745" spans="1:50">
      <c r="A2745" s="1">
        <f>HYPERLINK("https://lsnyc.legalserver.org/matter/dynamic-profile/view/1881451","18-1881451")</f>
        <v>0</v>
      </c>
      <c r="B2745" t="s">
        <v>135</v>
      </c>
      <c r="C2745" t="s">
        <v>340</v>
      </c>
      <c r="D2745" t="s">
        <v>624</v>
      </c>
      <c r="F2745" t="s">
        <v>2377</v>
      </c>
      <c r="G2745" t="s">
        <v>5301</v>
      </c>
      <c r="H2745" t="s">
        <v>11828</v>
      </c>
      <c r="I2745">
        <v>56</v>
      </c>
      <c r="J2745" t="s">
        <v>18892</v>
      </c>
      <c r="K2745">
        <v>10455</v>
      </c>
      <c r="L2745" t="s">
        <v>18958</v>
      </c>
      <c r="M2745" t="s">
        <v>18958</v>
      </c>
      <c r="N2745" t="s">
        <v>21012</v>
      </c>
      <c r="O2745" t="s">
        <v>26523</v>
      </c>
      <c r="P2745" t="s">
        <v>26560</v>
      </c>
      <c r="R2745" t="s">
        <v>26577</v>
      </c>
      <c r="S2745" t="s">
        <v>18959</v>
      </c>
      <c r="U2745" t="s">
        <v>26604</v>
      </c>
      <c r="W2745" t="s">
        <v>624</v>
      </c>
      <c r="X2745">
        <v>864</v>
      </c>
      <c r="Y2745" t="s">
        <v>26650</v>
      </c>
      <c r="Z2745" t="s">
        <v>26661</v>
      </c>
      <c r="AB2745" t="s">
        <v>28721</v>
      </c>
      <c r="AC2745" t="s">
        <v>35319</v>
      </c>
      <c r="AD2745" t="s">
        <v>39141</v>
      </c>
      <c r="AE2745">
        <v>30</v>
      </c>
      <c r="AF2745" t="s">
        <v>45541</v>
      </c>
      <c r="AG2745" t="s">
        <v>19330</v>
      </c>
      <c r="AH2745">
        <v>3</v>
      </c>
      <c r="AI2745">
        <v>2</v>
      </c>
      <c r="AJ2745">
        <v>0</v>
      </c>
      <c r="AK2745">
        <v>170.44</v>
      </c>
      <c r="AN2745" t="s">
        <v>7439</v>
      </c>
      <c r="AO2745">
        <v>28054</v>
      </c>
      <c r="AP2745" t="s">
        <v>45701</v>
      </c>
      <c r="AU2745">
        <v>7.1</v>
      </c>
      <c r="AV2745" t="s">
        <v>427</v>
      </c>
      <c r="AW2745" t="s">
        <v>46871</v>
      </c>
    </row>
    <row r="2746" spans="1:50">
      <c r="A2746" s="1">
        <f>HYPERLINK("https://lsnyc.legalserver.org/matter/dynamic-profile/view/1881461","18-1881461")</f>
        <v>0</v>
      </c>
      <c r="B2746" t="s">
        <v>50</v>
      </c>
      <c r="C2746" t="s">
        <v>340</v>
      </c>
      <c r="D2746" t="s">
        <v>624</v>
      </c>
      <c r="F2746" t="s">
        <v>2378</v>
      </c>
      <c r="G2746" t="s">
        <v>6595</v>
      </c>
      <c r="H2746" t="s">
        <v>11829</v>
      </c>
      <c r="I2746" t="s">
        <v>17862</v>
      </c>
      <c r="J2746" t="s">
        <v>18892</v>
      </c>
      <c r="K2746">
        <v>10468</v>
      </c>
      <c r="L2746" t="s">
        <v>18958</v>
      </c>
      <c r="M2746" t="s">
        <v>18958</v>
      </c>
      <c r="N2746" t="s">
        <v>21013</v>
      </c>
      <c r="O2746" t="s">
        <v>26524</v>
      </c>
      <c r="P2746" t="s">
        <v>26560</v>
      </c>
      <c r="R2746" t="s">
        <v>26579</v>
      </c>
      <c r="S2746" t="s">
        <v>18959</v>
      </c>
      <c r="U2746" t="s">
        <v>26604</v>
      </c>
      <c r="V2746" t="s">
        <v>26610</v>
      </c>
      <c r="W2746" t="s">
        <v>624</v>
      </c>
      <c r="X2746">
        <v>1393.21</v>
      </c>
      <c r="Y2746" t="s">
        <v>26650</v>
      </c>
      <c r="Z2746" t="s">
        <v>26664</v>
      </c>
      <c r="AB2746" t="s">
        <v>29089</v>
      </c>
      <c r="AC2746" t="s">
        <v>35320</v>
      </c>
      <c r="AD2746" t="s">
        <v>39142</v>
      </c>
      <c r="AE2746">
        <v>21</v>
      </c>
      <c r="AF2746" t="s">
        <v>45541</v>
      </c>
      <c r="AG2746" t="s">
        <v>45556</v>
      </c>
      <c r="AH2746">
        <v>29</v>
      </c>
      <c r="AI2746">
        <v>2</v>
      </c>
      <c r="AJ2746">
        <v>0</v>
      </c>
      <c r="AK2746">
        <v>65.61</v>
      </c>
      <c r="AN2746" t="s">
        <v>45581</v>
      </c>
      <c r="AO2746">
        <v>10800</v>
      </c>
      <c r="AU2746">
        <v>34</v>
      </c>
      <c r="AV2746" t="s">
        <v>839</v>
      </c>
      <c r="AW2746" t="s">
        <v>334</v>
      </c>
    </row>
    <row r="2747" spans="1:50">
      <c r="A2747" s="1">
        <f>HYPERLINK("https://lsnyc.legalserver.org/matter/dynamic-profile/view/1881552","18-1881552")</f>
        <v>0</v>
      </c>
      <c r="B2747" t="s">
        <v>122</v>
      </c>
      <c r="C2747" t="s">
        <v>340</v>
      </c>
      <c r="D2747" t="s">
        <v>624</v>
      </c>
      <c r="F2747" t="s">
        <v>2379</v>
      </c>
      <c r="G2747" t="s">
        <v>975</v>
      </c>
      <c r="H2747" t="s">
        <v>11830</v>
      </c>
      <c r="I2747" t="s">
        <v>17283</v>
      </c>
      <c r="J2747" t="s">
        <v>18901</v>
      </c>
      <c r="K2747">
        <v>11435</v>
      </c>
      <c r="L2747" t="s">
        <v>18958</v>
      </c>
      <c r="M2747" t="s">
        <v>18958</v>
      </c>
      <c r="N2747" t="s">
        <v>21014</v>
      </c>
      <c r="O2747" t="s">
        <v>26523</v>
      </c>
      <c r="P2747" t="s">
        <v>26564</v>
      </c>
      <c r="R2747" t="s">
        <v>26584</v>
      </c>
      <c r="S2747" t="s">
        <v>26598</v>
      </c>
      <c r="U2747" t="s">
        <v>26604</v>
      </c>
      <c r="W2747" t="s">
        <v>624</v>
      </c>
      <c r="X2747">
        <v>887.1900000000001</v>
      </c>
      <c r="Y2747" t="s">
        <v>26653</v>
      </c>
      <c r="Z2747" t="s">
        <v>26664</v>
      </c>
      <c r="AB2747" t="s">
        <v>29090</v>
      </c>
      <c r="AD2747" t="s">
        <v>39143</v>
      </c>
      <c r="AE2747">
        <v>30</v>
      </c>
      <c r="AF2747" t="s">
        <v>45541</v>
      </c>
      <c r="AG2747" t="s">
        <v>19330</v>
      </c>
      <c r="AH2747">
        <v>47</v>
      </c>
      <c r="AI2747">
        <v>1</v>
      </c>
      <c r="AJ2747">
        <v>0</v>
      </c>
      <c r="AK2747">
        <v>67.22</v>
      </c>
      <c r="AN2747" t="s">
        <v>7439</v>
      </c>
      <c r="AO2747">
        <v>8160</v>
      </c>
      <c r="AU2747">
        <v>1.25</v>
      </c>
      <c r="AV2747" t="s">
        <v>624</v>
      </c>
      <c r="AW2747" t="s">
        <v>122</v>
      </c>
      <c r="AX2747" t="s">
        <v>46897</v>
      </c>
    </row>
    <row r="2748" spans="1:50">
      <c r="A2748" s="1">
        <f>HYPERLINK("https://lsnyc.legalserver.org/matter/dynamic-profile/view/1881741","18-1881741")</f>
        <v>0</v>
      </c>
      <c r="B2748" t="s">
        <v>117</v>
      </c>
      <c r="C2748" t="s">
        <v>341</v>
      </c>
      <c r="D2748" t="s">
        <v>643</v>
      </c>
      <c r="E2748" t="s">
        <v>732</v>
      </c>
      <c r="F2748" t="s">
        <v>2380</v>
      </c>
      <c r="G2748" t="s">
        <v>5447</v>
      </c>
      <c r="H2748" t="s">
        <v>11831</v>
      </c>
      <c r="I2748">
        <v>1</v>
      </c>
      <c r="J2748" t="s">
        <v>18894</v>
      </c>
      <c r="K2748">
        <v>11233</v>
      </c>
      <c r="L2748" t="s">
        <v>18958</v>
      </c>
      <c r="M2748" t="s">
        <v>18958</v>
      </c>
      <c r="N2748" t="s">
        <v>21015</v>
      </c>
      <c r="O2748" t="s">
        <v>26524</v>
      </c>
      <c r="P2748" t="s">
        <v>26564</v>
      </c>
      <c r="Q2748" t="s">
        <v>26570</v>
      </c>
      <c r="R2748" t="s">
        <v>26578</v>
      </c>
      <c r="S2748" t="s">
        <v>18959</v>
      </c>
      <c r="U2748" t="s">
        <v>26604</v>
      </c>
      <c r="V2748" t="s">
        <v>26609</v>
      </c>
      <c r="W2748" t="s">
        <v>624</v>
      </c>
      <c r="X2748">
        <v>1500</v>
      </c>
      <c r="Y2748" t="s">
        <v>26652</v>
      </c>
      <c r="Z2748" t="s">
        <v>26664</v>
      </c>
      <c r="AA2748" t="s">
        <v>26683</v>
      </c>
      <c r="AB2748" t="s">
        <v>29091</v>
      </c>
      <c r="AD2748" t="s">
        <v>39144</v>
      </c>
      <c r="AE2748">
        <v>6</v>
      </c>
      <c r="AG2748" t="s">
        <v>19330</v>
      </c>
      <c r="AH2748">
        <v>3</v>
      </c>
      <c r="AI2748">
        <v>3</v>
      </c>
      <c r="AJ2748">
        <v>1</v>
      </c>
      <c r="AK2748">
        <v>132.3</v>
      </c>
      <c r="AN2748" t="s">
        <v>7439</v>
      </c>
      <c r="AO2748">
        <v>33208</v>
      </c>
      <c r="AU2748">
        <v>1.9</v>
      </c>
      <c r="AV2748" t="s">
        <v>427</v>
      </c>
      <c r="AW2748" t="s">
        <v>281</v>
      </c>
    </row>
    <row r="2749" spans="1:50">
      <c r="A2749" s="1">
        <f>HYPERLINK("https://lsnyc.legalserver.org/matter/dynamic-profile/view/1881965","18-1881965")</f>
        <v>0</v>
      </c>
      <c r="B2749" t="s">
        <v>162</v>
      </c>
      <c r="C2749" t="s">
        <v>341</v>
      </c>
      <c r="D2749" t="s">
        <v>641</v>
      </c>
      <c r="E2749" t="s">
        <v>839</v>
      </c>
      <c r="F2749" t="s">
        <v>2381</v>
      </c>
      <c r="G2749" t="s">
        <v>1279</v>
      </c>
      <c r="H2749" t="s">
        <v>11832</v>
      </c>
      <c r="I2749" t="s">
        <v>17272</v>
      </c>
      <c r="J2749" t="s">
        <v>18894</v>
      </c>
      <c r="K2749">
        <v>11210</v>
      </c>
      <c r="L2749" t="s">
        <v>18958</v>
      </c>
      <c r="M2749" t="s">
        <v>18958</v>
      </c>
      <c r="N2749" t="s">
        <v>21016</v>
      </c>
      <c r="O2749" t="s">
        <v>26523</v>
      </c>
      <c r="P2749" t="s">
        <v>26560</v>
      </c>
      <c r="Q2749" t="s">
        <v>26573</v>
      </c>
      <c r="R2749" t="s">
        <v>26586</v>
      </c>
      <c r="S2749" t="s">
        <v>18959</v>
      </c>
      <c r="U2749" t="s">
        <v>26604</v>
      </c>
      <c r="V2749" t="s">
        <v>26610</v>
      </c>
      <c r="W2749" t="s">
        <v>624</v>
      </c>
      <c r="X2749">
        <v>1172.58</v>
      </c>
      <c r="Y2749" t="s">
        <v>26652</v>
      </c>
      <c r="Z2749" t="s">
        <v>26664</v>
      </c>
      <c r="AA2749" t="s">
        <v>26678</v>
      </c>
      <c r="AB2749" t="s">
        <v>29092</v>
      </c>
      <c r="AD2749" t="s">
        <v>39145</v>
      </c>
      <c r="AE2749">
        <v>53</v>
      </c>
      <c r="AF2749" t="s">
        <v>45541</v>
      </c>
      <c r="AG2749" t="s">
        <v>19330</v>
      </c>
      <c r="AH2749">
        <v>8</v>
      </c>
      <c r="AI2749">
        <v>1</v>
      </c>
      <c r="AJ2749">
        <v>2</v>
      </c>
      <c r="AK2749">
        <v>153.99</v>
      </c>
      <c r="AN2749" t="s">
        <v>7439</v>
      </c>
      <c r="AO2749">
        <v>32000</v>
      </c>
      <c r="AS2749" t="s">
        <v>46499</v>
      </c>
      <c r="AU2749">
        <v>32.5</v>
      </c>
      <c r="AV2749" t="s">
        <v>839</v>
      </c>
      <c r="AW2749" t="s">
        <v>46862</v>
      </c>
    </row>
    <row r="2750" spans="1:50">
      <c r="A2750" s="1">
        <f>HYPERLINK("https://lsnyc.legalserver.org/matter/dynamic-profile/view/1875036","18-1875036")</f>
        <v>0</v>
      </c>
      <c r="B2750" t="s">
        <v>56</v>
      </c>
      <c r="C2750" t="s">
        <v>340</v>
      </c>
      <c r="D2750" t="s">
        <v>505</v>
      </c>
      <c r="F2750" t="s">
        <v>2382</v>
      </c>
      <c r="G2750" t="s">
        <v>6596</v>
      </c>
      <c r="H2750" t="s">
        <v>11833</v>
      </c>
      <c r="I2750" t="s">
        <v>17388</v>
      </c>
      <c r="J2750" t="s">
        <v>18892</v>
      </c>
      <c r="K2750">
        <v>10457</v>
      </c>
      <c r="L2750" t="s">
        <v>18958</v>
      </c>
      <c r="M2750" t="s">
        <v>18958</v>
      </c>
      <c r="N2750" t="s">
        <v>21017</v>
      </c>
      <c r="O2750" t="s">
        <v>26523</v>
      </c>
      <c r="P2750" t="s">
        <v>26560</v>
      </c>
      <c r="R2750" t="s">
        <v>26579</v>
      </c>
      <c r="S2750" t="s">
        <v>18959</v>
      </c>
      <c r="U2750" t="s">
        <v>26604</v>
      </c>
      <c r="V2750" t="s">
        <v>26609</v>
      </c>
      <c r="W2750" t="s">
        <v>618</v>
      </c>
      <c r="X2750">
        <v>1230</v>
      </c>
      <c r="Y2750" t="s">
        <v>26650</v>
      </c>
      <c r="Z2750" t="s">
        <v>26668</v>
      </c>
      <c r="AB2750" t="s">
        <v>29093</v>
      </c>
      <c r="AD2750" t="s">
        <v>39146</v>
      </c>
      <c r="AE2750">
        <v>0</v>
      </c>
      <c r="AF2750" t="s">
        <v>45541</v>
      </c>
      <c r="AG2750" t="s">
        <v>19330</v>
      </c>
      <c r="AH2750">
        <v>7</v>
      </c>
      <c r="AI2750">
        <v>2</v>
      </c>
      <c r="AJ2750">
        <v>1</v>
      </c>
      <c r="AK2750">
        <v>110.68</v>
      </c>
      <c r="AN2750" t="s">
        <v>45581</v>
      </c>
      <c r="AO2750">
        <v>23000</v>
      </c>
      <c r="AS2750" t="s">
        <v>46499</v>
      </c>
      <c r="AT2750" t="s">
        <v>46757</v>
      </c>
      <c r="AU2750">
        <v>5.7</v>
      </c>
      <c r="AV2750" t="s">
        <v>668</v>
      </c>
      <c r="AW2750" t="s">
        <v>46837</v>
      </c>
    </row>
    <row r="2751" spans="1:50">
      <c r="A2751" s="1">
        <f>HYPERLINK("https://lsnyc.legalserver.org/matter/dynamic-profile/view/1878222","18-1878222")</f>
        <v>0</v>
      </c>
      <c r="B2751" t="s">
        <v>182</v>
      </c>
      <c r="C2751" t="s">
        <v>341</v>
      </c>
      <c r="D2751" t="s">
        <v>596</v>
      </c>
      <c r="E2751" t="s">
        <v>740</v>
      </c>
      <c r="F2751" t="s">
        <v>1048</v>
      </c>
      <c r="G2751" t="s">
        <v>4092</v>
      </c>
      <c r="H2751" t="s">
        <v>11224</v>
      </c>
      <c r="I2751" t="s">
        <v>17307</v>
      </c>
      <c r="J2751" t="s">
        <v>18892</v>
      </c>
      <c r="K2751">
        <v>10457</v>
      </c>
      <c r="L2751" t="s">
        <v>18958</v>
      </c>
      <c r="M2751" t="s">
        <v>18958</v>
      </c>
      <c r="N2751" t="s">
        <v>21018</v>
      </c>
      <c r="O2751" t="s">
        <v>26523</v>
      </c>
      <c r="P2751" t="s">
        <v>26560</v>
      </c>
      <c r="Q2751" t="s">
        <v>26569</v>
      </c>
      <c r="R2751" t="s">
        <v>26579</v>
      </c>
      <c r="S2751" t="s">
        <v>18959</v>
      </c>
      <c r="U2751" t="s">
        <v>26604</v>
      </c>
      <c r="V2751" t="s">
        <v>26610</v>
      </c>
      <c r="W2751" t="s">
        <v>618</v>
      </c>
      <c r="X2751">
        <v>783.83</v>
      </c>
      <c r="Y2751" t="s">
        <v>26650</v>
      </c>
      <c r="Z2751" t="s">
        <v>26661</v>
      </c>
      <c r="AA2751" t="s">
        <v>26678</v>
      </c>
      <c r="AB2751" t="s">
        <v>28415</v>
      </c>
      <c r="AC2751" t="s">
        <v>35321</v>
      </c>
      <c r="AD2751" t="s">
        <v>38468</v>
      </c>
      <c r="AE2751">
        <v>47</v>
      </c>
      <c r="AF2751" t="s">
        <v>45541</v>
      </c>
      <c r="AG2751" t="s">
        <v>45557</v>
      </c>
      <c r="AH2751">
        <v>23</v>
      </c>
      <c r="AI2751">
        <v>2</v>
      </c>
      <c r="AJ2751">
        <v>0</v>
      </c>
      <c r="AK2751">
        <v>18.8</v>
      </c>
      <c r="AN2751" t="s">
        <v>7439</v>
      </c>
      <c r="AO2751">
        <v>3094</v>
      </c>
      <c r="AQ2751" t="s">
        <v>46362</v>
      </c>
      <c r="AR2751" t="s">
        <v>46379</v>
      </c>
      <c r="AS2751" t="s">
        <v>46499</v>
      </c>
      <c r="AT2751" t="s">
        <v>46669</v>
      </c>
      <c r="AU2751">
        <v>8.800000000000001</v>
      </c>
      <c r="AV2751" t="s">
        <v>709</v>
      </c>
      <c r="AW2751" t="s">
        <v>182</v>
      </c>
    </row>
    <row r="2752" spans="1:50">
      <c r="A2752" s="1">
        <f>HYPERLINK("https://lsnyc.legalserver.org/matter/dynamic-profile/view/1880849","18-1880849")</f>
        <v>0</v>
      </c>
      <c r="B2752" t="s">
        <v>97</v>
      </c>
      <c r="C2752" t="s">
        <v>341</v>
      </c>
      <c r="D2752" t="s">
        <v>635</v>
      </c>
      <c r="E2752" t="s">
        <v>641</v>
      </c>
      <c r="F2752" t="s">
        <v>1587</v>
      </c>
      <c r="G2752" t="s">
        <v>6597</v>
      </c>
      <c r="H2752" t="s">
        <v>11834</v>
      </c>
      <c r="I2752" t="s">
        <v>17545</v>
      </c>
      <c r="J2752" t="s">
        <v>18892</v>
      </c>
      <c r="K2752">
        <v>10475</v>
      </c>
      <c r="L2752" t="s">
        <v>18958</v>
      </c>
      <c r="M2752" t="s">
        <v>18958</v>
      </c>
      <c r="N2752" t="s">
        <v>21019</v>
      </c>
      <c r="O2752" t="s">
        <v>26524</v>
      </c>
      <c r="P2752" t="s">
        <v>26564</v>
      </c>
      <c r="Q2752" t="s">
        <v>26570</v>
      </c>
      <c r="R2752" t="s">
        <v>26577</v>
      </c>
      <c r="U2752" t="s">
        <v>26604</v>
      </c>
      <c r="V2752" t="s">
        <v>26610</v>
      </c>
      <c r="W2752" t="s">
        <v>618</v>
      </c>
      <c r="X2752">
        <v>1200</v>
      </c>
      <c r="Y2752" t="s">
        <v>26650</v>
      </c>
      <c r="Z2752" t="s">
        <v>26668</v>
      </c>
      <c r="AA2752" t="s">
        <v>26683</v>
      </c>
      <c r="AB2752" t="s">
        <v>29094</v>
      </c>
      <c r="AD2752" t="s">
        <v>39147</v>
      </c>
      <c r="AE2752">
        <v>10914</v>
      </c>
      <c r="AF2752" t="s">
        <v>45553</v>
      </c>
      <c r="AG2752" t="s">
        <v>19330</v>
      </c>
      <c r="AH2752">
        <v>20</v>
      </c>
      <c r="AI2752">
        <v>1</v>
      </c>
      <c r="AJ2752">
        <v>0</v>
      </c>
      <c r="AK2752">
        <v>123.56</v>
      </c>
      <c r="AN2752" t="s">
        <v>7439</v>
      </c>
      <c r="AO2752">
        <v>15000</v>
      </c>
      <c r="AU2752">
        <v>7.7</v>
      </c>
      <c r="AV2752" t="s">
        <v>632</v>
      </c>
      <c r="AW2752" t="s">
        <v>334</v>
      </c>
    </row>
    <row r="2753" spans="1:50">
      <c r="A2753" s="1">
        <f>HYPERLINK("https://lsnyc.legalserver.org/matter/dynamic-profile/view/1880861","18-1880861")</f>
        <v>0</v>
      </c>
      <c r="B2753" t="s">
        <v>70</v>
      </c>
      <c r="C2753" t="s">
        <v>340</v>
      </c>
      <c r="D2753" t="s">
        <v>635</v>
      </c>
      <c r="F2753" t="s">
        <v>2383</v>
      </c>
      <c r="G2753" t="s">
        <v>5008</v>
      </c>
      <c r="H2753" t="s">
        <v>10633</v>
      </c>
      <c r="I2753" t="s">
        <v>17284</v>
      </c>
      <c r="J2753" t="s">
        <v>18892</v>
      </c>
      <c r="K2753">
        <v>10457</v>
      </c>
      <c r="L2753" t="s">
        <v>18958</v>
      </c>
      <c r="M2753" t="s">
        <v>18958</v>
      </c>
      <c r="N2753" t="s">
        <v>21020</v>
      </c>
      <c r="O2753" t="s">
        <v>26524</v>
      </c>
      <c r="P2753" t="s">
        <v>26560</v>
      </c>
      <c r="R2753" t="s">
        <v>26579</v>
      </c>
      <c r="S2753" t="s">
        <v>18959</v>
      </c>
      <c r="U2753" t="s">
        <v>26604</v>
      </c>
      <c r="V2753" t="s">
        <v>26610</v>
      </c>
      <c r="W2753" t="s">
        <v>618</v>
      </c>
      <c r="X2753">
        <v>1100</v>
      </c>
      <c r="Y2753" t="s">
        <v>26650</v>
      </c>
      <c r="Z2753" t="s">
        <v>26530</v>
      </c>
      <c r="AB2753" t="s">
        <v>29095</v>
      </c>
      <c r="AD2753" t="s">
        <v>39148</v>
      </c>
      <c r="AE2753">
        <v>71</v>
      </c>
      <c r="AF2753" t="s">
        <v>45541</v>
      </c>
      <c r="AG2753" t="s">
        <v>45556</v>
      </c>
      <c r="AH2753">
        <v>3</v>
      </c>
      <c r="AI2753">
        <v>1</v>
      </c>
      <c r="AJ2753">
        <v>0</v>
      </c>
      <c r="AK2753">
        <v>191.25</v>
      </c>
      <c r="AN2753" t="s">
        <v>7439</v>
      </c>
      <c r="AO2753">
        <v>23218</v>
      </c>
      <c r="AU2753">
        <v>24.8</v>
      </c>
      <c r="AV2753" t="s">
        <v>811</v>
      </c>
      <c r="AW2753" t="s">
        <v>46842</v>
      </c>
    </row>
    <row r="2754" spans="1:50">
      <c r="A2754" s="1">
        <f>HYPERLINK("https://lsnyc.legalserver.org/matter/dynamic-profile/view/1881283","18-1881283")</f>
        <v>0</v>
      </c>
      <c r="B2754" t="s">
        <v>122</v>
      </c>
      <c r="C2754" t="s">
        <v>341</v>
      </c>
      <c r="D2754" t="s">
        <v>631</v>
      </c>
      <c r="E2754" t="s">
        <v>641</v>
      </c>
      <c r="F2754" t="s">
        <v>2384</v>
      </c>
      <c r="G2754" t="s">
        <v>6598</v>
      </c>
      <c r="H2754" t="s">
        <v>11835</v>
      </c>
      <c r="J2754" t="s">
        <v>18939</v>
      </c>
      <c r="K2754">
        <v>11423</v>
      </c>
      <c r="L2754" t="s">
        <v>18958</v>
      </c>
      <c r="M2754" t="s">
        <v>18958</v>
      </c>
      <c r="N2754" t="s">
        <v>21021</v>
      </c>
      <c r="O2754" t="s">
        <v>26546</v>
      </c>
      <c r="P2754" t="s">
        <v>26564</v>
      </c>
      <c r="Q2754" t="s">
        <v>26570</v>
      </c>
      <c r="R2754" t="s">
        <v>26584</v>
      </c>
      <c r="S2754" t="s">
        <v>18959</v>
      </c>
      <c r="U2754" t="s">
        <v>26604</v>
      </c>
      <c r="V2754" t="s">
        <v>26610</v>
      </c>
      <c r="W2754" t="s">
        <v>618</v>
      </c>
      <c r="X2754">
        <v>0</v>
      </c>
      <c r="Y2754" t="s">
        <v>26653</v>
      </c>
      <c r="Z2754" t="s">
        <v>26664</v>
      </c>
      <c r="AA2754" t="s">
        <v>26683</v>
      </c>
      <c r="AB2754" t="s">
        <v>29005</v>
      </c>
      <c r="AD2754" t="s">
        <v>39149</v>
      </c>
      <c r="AE2754">
        <v>2</v>
      </c>
      <c r="AF2754" t="s">
        <v>45547</v>
      </c>
      <c r="AG2754" t="s">
        <v>19330</v>
      </c>
      <c r="AH2754">
        <v>15</v>
      </c>
      <c r="AI2754">
        <v>1</v>
      </c>
      <c r="AJ2754">
        <v>0</v>
      </c>
      <c r="AK2754">
        <v>98.84999999999999</v>
      </c>
      <c r="AN2754" t="s">
        <v>7439</v>
      </c>
      <c r="AO2754">
        <v>12000</v>
      </c>
      <c r="AU2754">
        <v>0.6</v>
      </c>
      <c r="AV2754" t="s">
        <v>618</v>
      </c>
      <c r="AW2754" t="s">
        <v>122</v>
      </c>
    </row>
    <row r="2755" spans="1:50">
      <c r="A2755" s="1">
        <f>HYPERLINK("https://lsnyc.legalserver.org/matter/dynamic-profile/view/1881261","18-1881261")</f>
        <v>0</v>
      </c>
      <c r="B2755" t="s">
        <v>122</v>
      </c>
      <c r="C2755" t="s">
        <v>341</v>
      </c>
      <c r="D2755" t="s">
        <v>631</v>
      </c>
      <c r="E2755" t="s">
        <v>697</v>
      </c>
      <c r="F2755" t="s">
        <v>2385</v>
      </c>
      <c r="G2755" t="s">
        <v>5752</v>
      </c>
      <c r="H2755" t="s">
        <v>11836</v>
      </c>
      <c r="I2755" t="s">
        <v>17312</v>
      </c>
      <c r="J2755" t="s">
        <v>18920</v>
      </c>
      <c r="K2755">
        <v>11369</v>
      </c>
      <c r="L2755" t="s">
        <v>18958</v>
      </c>
      <c r="M2755" t="s">
        <v>18958</v>
      </c>
      <c r="N2755" t="s">
        <v>21022</v>
      </c>
      <c r="O2755" t="s">
        <v>26523</v>
      </c>
      <c r="P2755" t="s">
        <v>26564</v>
      </c>
      <c r="Q2755" t="s">
        <v>26570</v>
      </c>
      <c r="R2755" t="s">
        <v>26584</v>
      </c>
      <c r="S2755" t="s">
        <v>18959</v>
      </c>
      <c r="U2755" t="s">
        <v>26604</v>
      </c>
      <c r="V2755" t="s">
        <v>26610</v>
      </c>
      <c r="W2755" t="s">
        <v>618</v>
      </c>
      <c r="X2755">
        <v>800</v>
      </c>
      <c r="Y2755" t="s">
        <v>26653</v>
      </c>
      <c r="Z2755" t="s">
        <v>26664</v>
      </c>
      <c r="AA2755" t="s">
        <v>26683</v>
      </c>
      <c r="AB2755" t="s">
        <v>29096</v>
      </c>
      <c r="AC2755" t="s">
        <v>19045</v>
      </c>
      <c r="AE2755">
        <v>4</v>
      </c>
      <c r="AF2755" t="s">
        <v>45541</v>
      </c>
      <c r="AG2755" t="s">
        <v>19330</v>
      </c>
      <c r="AH2755">
        <v>20</v>
      </c>
      <c r="AI2755">
        <v>1</v>
      </c>
      <c r="AJ2755">
        <v>1</v>
      </c>
      <c r="AK2755">
        <v>110.57</v>
      </c>
      <c r="AN2755" t="s">
        <v>45581</v>
      </c>
      <c r="AO2755">
        <v>18200</v>
      </c>
      <c r="AU2755">
        <v>1.15</v>
      </c>
      <c r="AV2755" t="s">
        <v>784</v>
      </c>
      <c r="AW2755" t="s">
        <v>122</v>
      </c>
    </row>
    <row r="2756" spans="1:50">
      <c r="A2756" s="1">
        <f>HYPERLINK("https://lsnyc.legalserver.org/matter/dynamic-profile/view/1881693","18-1881693")</f>
        <v>0</v>
      </c>
      <c r="B2756" t="s">
        <v>262</v>
      </c>
      <c r="C2756" t="s">
        <v>341</v>
      </c>
      <c r="D2756" t="s">
        <v>618</v>
      </c>
      <c r="E2756" t="s">
        <v>830</v>
      </c>
      <c r="F2756" t="s">
        <v>2044</v>
      </c>
      <c r="G2756" t="s">
        <v>1203</v>
      </c>
      <c r="H2756" t="s">
        <v>11837</v>
      </c>
      <c r="I2756" t="s">
        <v>17351</v>
      </c>
      <c r="J2756" t="s">
        <v>18892</v>
      </c>
      <c r="K2756">
        <v>10457</v>
      </c>
      <c r="L2756" t="s">
        <v>18958</v>
      </c>
      <c r="M2756" t="s">
        <v>18958</v>
      </c>
      <c r="N2756" t="s">
        <v>21023</v>
      </c>
      <c r="O2756" t="s">
        <v>26523</v>
      </c>
      <c r="P2756" t="s">
        <v>26560</v>
      </c>
      <c r="Q2756" t="s">
        <v>26569</v>
      </c>
      <c r="R2756" t="s">
        <v>26579</v>
      </c>
      <c r="S2756" t="s">
        <v>18959</v>
      </c>
      <c r="U2756" t="s">
        <v>26604</v>
      </c>
      <c r="V2756" t="s">
        <v>26610</v>
      </c>
      <c r="W2756" t="s">
        <v>618</v>
      </c>
      <c r="X2756">
        <v>1590</v>
      </c>
      <c r="Y2756" t="s">
        <v>26650</v>
      </c>
      <c r="Z2756" t="s">
        <v>26664</v>
      </c>
      <c r="AA2756" t="s">
        <v>26678</v>
      </c>
      <c r="AB2756" t="s">
        <v>29097</v>
      </c>
      <c r="AC2756" t="s">
        <v>35322</v>
      </c>
      <c r="AD2756" t="s">
        <v>39150</v>
      </c>
      <c r="AE2756">
        <v>38</v>
      </c>
      <c r="AF2756" t="s">
        <v>45541</v>
      </c>
      <c r="AG2756" t="s">
        <v>45562</v>
      </c>
      <c r="AH2756">
        <v>1</v>
      </c>
      <c r="AI2756">
        <v>2</v>
      </c>
      <c r="AJ2756">
        <v>0</v>
      </c>
      <c r="AK2756">
        <v>81.94</v>
      </c>
      <c r="AN2756" t="s">
        <v>7439</v>
      </c>
      <c r="AO2756">
        <v>13488</v>
      </c>
      <c r="AS2756" t="s">
        <v>46499</v>
      </c>
      <c r="AU2756">
        <v>137.6</v>
      </c>
      <c r="AV2756" t="s">
        <v>830</v>
      </c>
      <c r="AW2756" t="s">
        <v>336</v>
      </c>
    </row>
    <row r="2757" spans="1:50">
      <c r="A2757" s="1">
        <f>HYPERLINK("https://lsnyc.legalserver.org/matter/dynamic-profile/view/1881648","18-1881648")</f>
        <v>0</v>
      </c>
      <c r="B2757" t="s">
        <v>251</v>
      </c>
      <c r="C2757" t="s">
        <v>341</v>
      </c>
      <c r="D2757" t="s">
        <v>618</v>
      </c>
      <c r="E2757" t="s">
        <v>659</v>
      </c>
      <c r="F2757" t="s">
        <v>1876</v>
      </c>
      <c r="G2757" t="s">
        <v>6599</v>
      </c>
      <c r="H2757" t="s">
        <v>11838</v>
      </c>
      <c r="I2757" t="s">
        <v>17309</v>
      </c>
      <c r="J2757" t="s">
        <v>18892</v>
      </c>
      <c r="K2757">
        <v>10457</v>
      </c>
      <c r="L2757" t="s">
        <v>18958</v>
      </c>
      <c r="M2757" t="s">
        <v>18958</v>
      </c>
      <c r="N2757" t="s">
        <v>21024</v>
      </c>
      <c r="O2757" t="s">
        <v>26523</v>
      </c>
      <c r="P2757" t="s">
        <v>26560</v>
      </c>
      <c r="Q2757" t="s">
        <v>26574</v>
      </c>
      <c r="R2757" t="s">
        <v>26579</v>
      </c>
      <c r="S2757" t="s">
        <v>18959</v>
      </c>
      <c r="U2757" t="s">
        <v>26604</v>
      </c>
      <c r="V2757" t="s">
        <v>26610</v>
      </c>
      <c r="W2757" t="s">
        <v>618</v>
      </c>
      <c r="X2757">
        <v>1828</v>
      </c>
      <c r="Y2757" t="s">
        <v>26650</v>
      </c>
      <c r="Z2757" t="s">
        <v>26659</v>
      </c>
      <c r="AA2757" t="s">
        <v>26680</v>
      </c>
      <c r="AB2757" t="s">
        <v>29098</v>
      </c>
      <c r="AC2757" t="s">
        <v>35323</v>
      </c>
      <c r="AD2757" t="s">
        <v>39151</v>
      </c>
      <c r="AE2757">
        <v>24</v>
      </c>
      <c r="AF2757" t="s">
        <v>45549</v>
      </c>
      <c r="AG2757" t="s">
        <v>45556</v>
      </c>
      <c r="AH2757">
        <v>6</v>
      </c>
      <c r="AI2757">
        <v>4</v>
      </c>
      <c r="AJ2757">
        <v>4</v>
      </c>
      <c r="AK2757">
        <v>49.5</v>
      </c>
      <c r="AN2757" t="s">
        <v>7439</v>
      </c>
      <c r="AO2757">
        <v>20976</v>
      </c>
      <c r="AQ2757" t="s">
        <v>46362</v>
      </c>
      <c r="AR2757" t="s">
        <v>46379</v>
      </c>
      <c r="AS2757" t="s">
        <v>46499</v>
      </c>
      <c r="AT2757" t="s">
        <v>46563</v>
      </c>
      <c r="AU2757">
        <v>25.91</v>
      </c>
      <c r="AV2757" t="s">
        <v>723</v>
      </c>
      <c r="AW2757" t="s">
        <v>46860</v>
      </c>
    </row>
    <row r="2758" spans="1:50">
      <c r="A2758" s="1">
        <f>HYPERLINK("https://lsnyc.legalserver.org/matter/dynamic-profile/view/1881652","18-1881652")</f>
        <v>0</v>
      </c>
      <c r="B2758" t="s">
        <v>72</v>
      </c>
      <c r="C2758" t="s">
        <v>341</v>
      </c>
      <c r="D2758" t="s">
        <v>618</v>
      </c>
      <c r="E2758" t="s">
        <v>618</v>
      </c>
      <c r="F2758" t="s">
        <v>2386</v>
      </c>
      <c r="G2758" t="s">
        <v>6600</v>
      </c>
      <c r="H2758" t="s">
        <v>11839</v>
      </c>
      <c r="I2758">
        <v>704</v>
      </c>
      <c r="J2758" t="s">
        <v>18893</v>
      </c>
      <c r="K2758">
        <v>10029</v>
      </c>
      <c r="L2758" t="s">
        <v>18958</v>
      </c>
      <c r="M2758" t="s">
        <v>18959</v>
      </c>
      <c r="O2758" t="s">
        <v>26529</v>
      </c>
      <c r="P2758" t="s">
        <v>26565</v>
      </c>
      <c r="Q2758" t="s">
        <v>26571</v>
      </c>
      <c r="R2758" t="s">
        <v>26578</v>
      </c>
      <c r="S2758" t="s">
        <v>18959</v>
      </c>
      <c r="U2758" t="s">
        <v>26604</v>
      </c>
      <c r="W2758" t="s">
        <v>618</v>
      </c>
      <c r="X2758">
        <v>14</v>
      </c>
      <c r="Y2758" t="s">
        <v>26651</v>
      </c>
      <c r="Z2758" t="s">
        <v>26659</v>
      </c>
      <c r="AA2758" t="s">
        <v>26682</v>
      </c>
      <c r="AB2758" t="s">
        <v>29099</v>
      </c>
      <c r="AD2758" t="s">
        <v>39152</v>
      </c>
      <c r="AE2758">
        <v>426</v>
      </c>
      <c r="AF2758" t="s">
        <v>45550</v>
      </c>
      <c r="AG2758" t="s">
        <v>45557</v>
      </c>
      <c r="AH2758">
        <v>0</v>
      </c>
      <c r="AI2758">
        <v>3</v>
      </c>
      <c r="AJ2758">
        <v>2</v>
      </c>
      <c r="AK2758">
        <v>30.71</v>
      </c>
      <c r="AN2758" t="s">
        <v>7439</v>
      </c>
      <c r="AO2758">
        <v>9036</v>
      </c>
      <c r="AP2758" t="s">
        <v>45765</v>
      </c>
      <c r="AU2758">
        <v>0</v>
      </c>
      <c r="AW2758" t="s">
        <v>264</v>
      </c>
      <c r="AX2758" t="s">
        <v>19330</v>
      </c>
    </row>
    <row r="2759" spans="1:50">
      <c r="A2759" s="1">
        <f>HYPERLINK("https://lsnyc.legalserver.org/matter/dynamic-profile/view/1881574","18-1881574")</f>
        <v>0</v>
      </c>
      <c r="B2759" t="s">
        <v>64</v>
      </c>
      <c r="C2759" t="s">
        <v>341</v>
      </c>
      <c r="D2759" t="s">
        <v>618</v>
      </c>
      <c r="E2759" t="s">
        <v>762</v>
      </c>
      <c r="F2759" t="s">
        <v>2387</v>
      </c>
      <c r="G2759" t="s">
        <v>6601</v>
      </c>
      <c r="H2759" t="s">
        <v>10131</v>
      </c>
      <c r="I2759" t="s">
        <v>17881</v>
      </c>
      <c r="J2759" t="s">
        <v>18892</v>
      </c>
      <c r="K2759">
        <v>10468</v>
      </c>
      <c r="L2759" t="s">
        <v>18958</v>
      </c>
      <c r="M2759" t="s">
        <v>18958</v>
      </c>
      <c r="N2759" t="s">
        <v>21025</v>
      </c>
      <c r="O2759" t="s">
        <v>26524</v>
      </c>
      <c r="P2759" t="s">
        <v>26560</v>
      </c>
      <c r="Q2759" t="s">
        <v>26568</v>
      </c>
      <c r="R2759" t="s">
        <v>26579</v>
      </c>
      <c r="U2759" t="s">
        <v>26604</v>
      </c>
      <c r="V2759" t="s">
        <v>26610</v>
      </c>
      <c r="W2759" t="s">
        <v>618</v>
      </c>
      <c r="X2759">
        <v>1050</v>
      </c>
      <c r="Y2759" t="s">
        <v>26650</v>
      </c>
      <c r="Z2759" t="s">
        <v>26664</v>
      </c>
      <c r="AA2759" t="s">
        <v>26678</v>
      </c>
      <c r="AB2759" t="s">
        <v>29100</v>
      </c>
      <c r="AD2759" t="s">
        <v>39153</v>
      </c>
      <c r="AE2759">
        <v>56</v>
      </c>
      <c r="AF2759" t="s">
        <v>45541</v>
      </c>
      <c r="AG2759" t="s">
        <v>19330</v>
      </c>
      <c r="AH2759">
        <v>3</v>
      </c>
      <c r="AI2759">
        <v>1</v>
      </c>
      <c r="AJ2759">
        <v>1</v>
      </c>
      <c r="AK2759">
        <v>45.81</v>
      </c>
      <c r="AN2759" t="s">
        <v>7439</v>
      </c>
      <c r="AO2759">
        <v>7540</v>
      </c>
      <c r="AQ2759" t="s">
        <v>46362</v>
      </c>
      <c r="AR2759" t="s">
        <v>46385</v>
      </c>
      <c r="AS2759" t="s">
        <v>46499</v>
      </c>
      <c r="AT2759" t="s">
        <v>46607</v>
      </c>
      <c r="AU2759">
        <v>18.4</v>
      </c>
      <c r="AV2759" t="s">
        <v>780</v>
      </c>
      <c r="AW2759" t="s">
        <v>46870</v>
      </c>
    </row>
    <row r="2760" spans="1:50">
      <c r="A2760" s="1">
        <f>HYPERLINK("https://lsnyc.legalserver.org/matter/dynamic-profile/view/1881611","18-1881611")</f>
        <v>0</v>
      </c>
      <c r="B2760" t="s">
        <v>122</v>
      </c>
      <c r="C2760" t="s">
        <v>341</v>
      </c>
      <c r="D2760" t="s">
        <v>618</v>
      </c>
      <c r="E2760" t="s">
        <v>618</v>
      </c>
      <c r="F2760" t="s">
        <v>873</v>
      </c>
      <c r="G2760" t="s">
        <v>6602</v>
      </c>
      <c r="H2760" t="s">
        <v>11840</v>
      </c>
      <c r="I2760" t="s">
        <v>17882</v>
      </c>
      <c r="J2760" t="s">
        <v>18901</v>
      </c>
      <c r="K2760">
        <v>11434</v>
      </c>
      <c r="L2760" t="s">
        <v>18958</v>
      </c>
      <c r="M2760" t="s">
        <v>18958</v>
      </c>
      <c r="N2760" t="s">
        <v>21026</v>
      </c>
      <c r="O2760" t="s">
        <v>26526</v>
      </c>
      <c r="P2760" t="s">
        <v>26564</v>
      </c>
      <c r="Q2760" t="s">
        <v>26570</v>
      </c>
      <c r="R2760" t="s">
        <v>26584</v>
      </c>
      <c r="S2760" t="s">
        <v>18958</v>
      </c>
      <c r="U2760" t="s">
        <v>26604</v>
      </c>
      <c r="W2760" t="s">
        <v>618</v>
      </c>
      <c r="X2760">
        <v>154</v>
      </c>
      <c r="Y2760" t="s">
        <v>26653</v>
      </c>
      <c r="Z2760" t="s">
        <v>26664</v>
      </c>
      <c r="AA2760" t="s">
        <v>26683</v>
      </c>
      <c r="AB2760" t="s">
        <v>29101</v>
      </c>
      <c r="AC2760" t="s">
        <v>35324</v>
      </c>
      <c r="AD2760" t="s">
        <v>39154</v>
      </c>
      <c r="AE2760">
        <v>1</v>
      </c>
      <c r="AF2760" t="s">
        <v>45549</v>
      </c>
      <c r="AG2760" t="s">
        <v>19330</v>
      </c>
      <c r="AH2760">
        <v>46</v>
      </c>
      <c r="AI2760">
        <v>1</v>
      </c>
      <c r="AJ2760">
        <v>0</v>
      </c>
      <c r="AK2760">
        <v>111.37</v>
      </c>
      <c r="AN2760" t="s">
        <v>7439</v>
      </c>
      <c r="AO2760">
        <v>13520</v>
      </c>
      <c r="AU2760">
        <v>0.75</v>
      </c>
      <c r="AV2760" t="s">
        <v>618</v>
      </c>
      <c r="AW2760" t="s">
        <v>122</v>
      </c>
    </row>
    <row r="2761" spans="1:50">
      <c r="A2761" s="1">
        <f>HYPERLINK("https://lsnyc.legalserver.org/matter/dynamic-profile/view/1881620","18-1881620")</f>
        <v>0</v>
      </c>
      <c r="B2761" t="s">
        <v>103</v>
      </c>
      <c r="C2761" t="s">
        <v>341</v>
      </c>
      <c r="D2761" t="s">
        <v>618</v>
      </c>
      <c r="E2761" t="s">
        <v>731</v>
      </c>
      <c r="F2761" t="s">
        <v>2388</v>
      </c>
      <c r="G2761" t="s">
        <v>6603</v>
      </c>
      <c r="H2761" t="s">
        <v>11841</v>
      </c>
      <c r="I2761" t="s">
        <v>17416</v>
      </c>
      <c r="J2761" t="s">
        <v>18902</v>
      </c>
      <c r="K2761">
        <v>10304</v>
      </c>
      <c r="L2761" t="s">
        <v>18958</v>
      </c>
      <c r="M2761" t="s">
        <v>18958</v>
      </c>
      <c r="N2761" t="s">
        <v>21027</v>
      </c>
      <c r="O2761" t="s">
        <v>26524</v>
      </c>
      <c r="P2761" t="s">
        <v>26560</v>
      </c>
      <c r="Q2761" t="s">
        <v>26568</v>
      </c>
      <c r="R2761" t="s">
        <v>26578</v>
      </c>
      <c r="S2761" t="s">
        <v>18959</v>
      </c>
      <c r="U2761" t="s">
        <v>26604</v>
      </c>
      <c r="V2761" t="s">
        <v>26612</v>
      </c>
      <c r="W2761" t="s">
        <v>618</v>
      </c>
      <c r="X2761">
        <v>462</v>
      </c>
      <c r="Y2761" t="s">
        <v>26654</v>
      </c>
      <c r="Z2761" t="s">
        <v>26664</v>
      </c>
      <c r="AA2761" t="s">
        <v>26679</v>
      </c>
      <c r="AB2761" t="s">
        <v>29102</v>
      </c>
      <c r="AD2761" t="s">
        <v>39155</v>
      </c>
      <c r="AE2761">
        <v>2</v>
      </c>
      <c r="AF2761" t="s">
        <v>45547</v>
      </c>
      <c r="AG2761" t="s">
        <v>45556</v>
      </c>
      <c r="AH2761">
        <v>2</v>
      </c>
      <c r="AI2761">
        <v>2</v>
      </c>
      <c r="AJ2761">
        <v>0</v>
      </c>
      <c r="AK2761">
        <v>61.92</v>
      </c>
      <c r="AN2761" t="s">
        <v>7439</v>
      </c>
      <c r="AO2761">
        <v>10192</v>
      </c>
      <c r="AQ2761" t="s">
        <v>46362</v>
      </c>
      <c r="AR2761" t="s">
        <v>46384</v>
      </c>
      <c r="AS2761" t="s">
        <v>46500</v>
      </c>
      <c r="AT2761" t="s">
        <v>46507</v>
      </c>
      <c r="AU2761">
        <v>5.7</v>
      </c>
      <c r="AV2761" t="s">
        <v>731</v>
      </c>
      <c r="AW2761" t="s">
        <v>103</v>
      </c>
    </row>
    <row r="2762" spans="1:50">
      <c r="A2762" s="1">
        <f>HYPERLINK("https://lsnyc.legalserver.org/matter/dynamic-profile/view/1881618","18-1881618")</f>
        <v>0</v>
      </c>
      <c r="B2762" t="s">
        <v>126</v>
      </c>
      <c r="C2762" t="s">
        <v>341</v>
      </c>
      <c r="D2762" t="s">
        <v>618</v>
      </c>
      <c r="E2762" t="s">
        <v>830</v>
      </c>
      <c r="F2762" t="s">
        <v>2389</v>
      </c>
      <c r="G2762" t="s">
        <v>6604</v>
      </c>
      <c r="H2762" t="s">
        <v>11842</v>
      </c>
      <c r="I2762" t="s">
        <v>17360</v>
      </c>
      <c r="J2762" t="s">
        <v>18894</v>
      </c>
      <c r="K2762">
        <v>11212</v>
      </c>
      <c r="L2762" t="s">
        <v>18958</v>
      </c>
      <c r="M2762" t="s">
        <v>18958</v>
      </c>
      <c r="N2762" t="s">
        <v>21028</v>
      </c>
      <c r="O2762" t="s">
        <v>26523</v>
      </c>
      <c r="P2762" t="s">
        <v>26560</v>
      </c>
      <c r="Q2762" t="s">
        <v>26568</v>
      </c>
      <c r="R2762" t="s">
        <v>26578</v>
      </c>
      <c r="S2762" t="s">
        <v>18959</v>
      </c>
      <c r="U2762" t="s">
        <v>26604</v>
      </c>
      <c r="V2762" t="s">
        <v>26609</v>
      </c>
      <c r="W2762" t="s">
        <v>618</v>
      </c>
      <c r="X2762">
        <v>1650</v>
      </c>
      <c r="Y2762" t="s">
        <v>26652</v>
      </c>
      <c r="Z2762" t="s">
        <v>26659</v>
      </c>
      <c r="AA2762" t="s">
        <v>26683</v>
      </c>
      <c r="AB2762" t="s">
        <v>29103</v>
      </c>
      <c r="AC2762" t="s">
        <v>35325</v>
      </c>
      <c r="AD2762" t="s">
        <v>39156</v>
      </c>
      <c r="AE2762">
        <v>49</v>
      </c>
      <c r="AF2762" t="s">
        <v>45541</v>
      </c>
      <c r="AG2762" t="s">
        <v>45558</v>
      </c>
      <c r="AH2762">
        <v>8</v>
      </c>
      <c r="AI2762">
        <v>1</v>
      </c>
      <c r="AJ2762">
        <v>1</v>
      </c>
      <c r="AK2762">
        <v>126.37</v>
      </c>
      <c r="AN2762" t="s">
        <v>7439</v>
      </c>
      <c r="AO2762">
        <v>20800</v>
      </c>
      <c r="AP2762" t="s">
        <v>45635</v>
      </c>
      <c r="AU2762">
        <v>48.1</v>
      </c>
      <c r="AV2762" t="s">
        <v>830</v>
      </c>
      <c r="AW2762" t="s">
        <v>279</v>
      </c>
    </row>
    <row r="2763" spans="1:50">
      <c r="A2763" s="1">
        <f>HYPERLINK("https://lsnyc.legalserver.org/matter/dynamic-profile/view/1881594","18-1881594")</f>
        <v>0</v>
      </c>
      <c r="B2763" t="s">
        <v>112</v>
      </c>
      <c r="C2763" t="s">
        <v>341</v>
      </c>
      <c r="D2763" t="s">
        <v>618</v>
      </c>
      <c r="E2763" t="s">
        <v>769</v>
      </c>
      <c r="F2763" t="s">
        <v>1062</v>
      </c>
      <c r="G2763" t="s">
        <v>5639</v>
      </c>
      <c r="H2763" t="s">
        <v>10398</v>
      </c>
      <c r="I2763" t="s">
        <v>17540</v>
      </c>
      <c r="J2763" t="s">
        <v>18901</v>
      </c>
      <c r="K2763">
        <v>11434</v>
      </c>
      <c r="L2763" t="s">
        <v>18958</v>
      </c>
      <c r="M2763" t="s">
        <v>18958</v>
      </c>
      <c r="N2763" t="s">
        <v>21029</v>
      </c>
      <c r="O2763" t="s">
        <v>26524</v>
      </c>
      <c r="P2763" t="s">
        <v>26560</v>
      </c>
      <c r="Q2763" t="s">
        <v>26574</v>
      </c>
      <c r="R2763" t="s">
        <v>26585</v>
      </c>
      <c r="S2763" t="s">
        <v>18959</v>
      </c>
      <c r="U2763" t="s">
        <v>26604</v>
      </c>
      <c r="V2763" t="s">
        <v>26610</v>
      </c>
      <c r="W2763" t="s">
        <v>618</v>
      </c>
      <c r="X2763">
        <v>1800</v>
      </c>
      <c r="Y2763" t="s">
        <v>26653</v>
      </c>
      <c r="Z2763" t="s">
        <v>26659</v>
      </c>
      <c r="AA2763" t="s">
        <v>26678</v>
      </c>
      <c r="AB2763" t="s">
        <v>27509</v>
      </c>
      <c r="AD2763" t="s">
        <v>37567</v>
      </c>
      <c r="AE2763">
        <v>293</v>
      </c>
      <c r="AF2763" t="s">
        <v>45550</v>
      </c>
      <c r="AG2763" t="s">
        <v>19330</v>
      </c>
      <c r="AH2763">
        <v>3</v>
      </c>
      <c r="AI2763">
        <v>3</v>
      </c>
      <c r="AJ2763">
        <v>1</v>
      </c>
      <c r="AK2763">
        <v>76.48999999999999</v>
      </c>
      <c r="AN2763" t="s">
        <v>7439</v>
      </c>
      <c r="AO2763">
        <v>19200</v>
      </c>
      <c r="AQ2763" t="s">
        <v>46359</v>
      </c>
      <c r="AR2763" t="s">
        <v>46379</v>
      </c>
      <c r="AS2763" t="s">
        <v>46499</v>
      </c>
      <c r="AT2763" t="s">
        <v>46636</v>
      </c>
      <c r="AU2763">
        <v>38.25</v>
      </c>
      <c r="AV2763" t="s">
        <v>803</v>
      </c>
      <c r="AW2763" t="s">
        <v>161</v>
      </c>
    </row>
    <row r="2764" spans="1:50">
      <c r="A2764" s="1">
        <f>HYPERLINK("https://lsnyc.legalserver.org/matter/dynamic-profile/view/1881125","18-1881125")</f>
        <v>0</v>
      </c>
      <c r="B2764" t="s">
        <v>131</v>
      </c>
      <c r="C2764" t="s">
        <v>340</v>
      </c>
      <c r="D2764" t="s">
        <v>618</v>
      </c>
      <c r="F2764" t="s">
        <v>1136</v>
      </c>
      <c r="G2764" t="s">
        <v>6605</v>
      </c>
      <c r="H2764" t="s">
        <v>11843</v>
      </c>
      <c r="I2764" t="s">
        <v>17322</v>
      </c>
      <c r="J2764" t="s">
        <v>18902</v>
      </c>
      <c r="K2764">
        <v>10301</v>
      </c>
      <c r="L2764" t="s">
        <v>18958</v>
      </c>
      <c r="M2764" t="s">
        <v>18958</v>
      </c>
      <c r="N2764" t="s">
        <v>21030</v>
      </c>
      <c r="O2764" t="s">
        <v>26523</v>
      </c>
      <c r="P2764" t="s">
        <v>26560</v>
      </c>
      <c r="R2764" t="s">
        <v>26578</v>
      </c>
      <c r="S2764" t="s">
        <v>18959</v>
      </c>
      <c r="U2764" t="s">
        <v>26604</v>
      </c>
      <c r="V2764" t="s">
        <v>26609</v>
      </c>
      <c r="W2764" t="s">
        <v>618</v>
      </c>
      <c r="X2764">
        <v>1650</v>
      </c>
      <c r="Y2764" t="s">
        <v>26654</v>
      </c>
      <c r="Z2764" t="s">
        <v>26530</v>
      </c>
      <c r="AB2764" t="s">
        <v>29104</v>
      </c>
      <c r="AE2764">
        <v>5</v>
      </c>
      <c r="AF2764" t="s">
        <v>45547</v>
      </c>
      <c r="AG2764" t="s">
        <v>19330</v>
      </c>
      <c r="AH2764">
        <v>5</v>
      </c>
      <c r="AI2764">
        <v>2</v>
      </c>
      <c r="AJ2764">
        <v>2</v>
      </c>
      <c r="AK2764">
        <v>7.17</v>
      </c>
      <c r="AN2764" t="s">
        <v>7439</v>
      </c>
      <c r="AO2764">
        <v>1800</v>
      </c>
      <c r="AU2764">
        <v>27.5</v>
      </c>
      <c r="AV2764" t="s">
        <v>828</v>
      </c>
      <c r="AW2764" t="s">
        <v>190</v>
      </c>
    </row>
    <row r="2765" spans="1:50">
      <c r="A2765" s="1">
        <f>HYPERLINK("https://lsnyc.legalserver.org/matter/dynamic-profile/view/1881572","18-1881572")</f>
        <v>0</v>
      </c>
      <c r="B2765" t="s">
        <v>84</v>
      </c>
      <c r="C2765" t="s">
        <v>340</v>
      </c>
      <c r="D2765" t="s">
        <v>618</v>
      </c>
      <c r="F2765" t="s">
        <v>2390</v>
      </c>
      <c r="G2765" t="s">
        <v>6606</v>
      </c>
      <c r="H2765" t="s">
        <v>11844</v>
      </c>
      <c r="I2765" t="s">
        <v>17407</v>
      </c>
      <c r="J2765" t="s">
        <v>18893</v>
      </c>
      <c r="K2765">
        <v>10040</v>
      </c>
      <c r="L2765" t="s">
        <v>18958</v>
      </c>
      <c r="M2765" t="s">
        <v>18958</v>
      </c>
      <c r="N2765" t="s">
        <v>21031</v>
      </c>
      <c r="O2765" t="s">
        <v>26524</v>
      </c>
      <c r="P2765" t="s">
        <v>26564</v>
      </c>
      <c r="R2765" t="s">
        <v>26582</v>
      </c>
      <c r="S2765" t="s">
        <v>18959</v>
      </c>
      <c r="U2765" t="s">
        <v>26604</v>
      </c>
      <c r="V2765" t="s">
        <v>26613</v>
      </c>
      <c r="W2765" t="s">
        <v>618</v>
      </c>
      <c r="X2765">
        <v>1600</v>
      </c>
      <c r="Y2765" t="s">
        <v>26651</v>
      </c>
      <c r="Z2765" t="s">
        <v>26661</v>
      </c>
      <c r="AB2765" t="s">
        <v>29105</v>
      </c>
      <c r="AD2765" t="s">
        <v>39157</v>
      </c>
      <c r="AE2765">
        <v>72</v>
      </c>
      <c r="AF2765" t="s">
        <v>20460</v>
      </c>
      <c r="AG2765" t="s">
        <v>19330</v>
      </c>
      <c r="AH2765">
        <v>6</v>
      </c>
      <c r="AI2765">
        <v>2</v>
      </c>
      <c r="AJ2765">
        <v>4</v>
      </c>
      <c r="AK2765">
        <v>134.78</v>
      </c>
      <c r="AN2765" t="s">
        <v>7439</v>
      </c>
      <c r="AO2765">
        <v>45475.6</v>
      </c>
      <c r="AU2765">
        <v>1.2</v>
      </c>
      <c r="AV2765" t="s">
        <v>525</v>
      </c>
      <c r="AW2765" t="s">
        <v>314</v>
      </c>
    </row>
    <row r="2766" spans="1:50">
      <c r="A2766" s="1">
        <f>HYPERLINK("https://lsnyc.legalserver.org/matter/dynamic-profile/view/1881642","18-1881642")</f>
        <v>0</v>
      </c>
      <c r="B2766" t="s">
        <v>121</v>
      </c>
      <c r="C2766" t="s">
        <v>340</v>
      </c>
      <c r="D2766" t="s">
        <v>618</v>
      </c>
      <c r="F2766" t="s">
        <v>1306</v>
      </c>
      <c r="G2766" t="s">
        <v>5419</v>
      </c>
      <c r="H2766" t="s">
        <v>11845</v>
      </c>
      <c r="I2766" t="s">
        <v>17632</v>
      </c>
      <c r="J2766" t="s">
        <v>18892</v>
      </c>
      <c r="K2766">
        <v>10460</v>
      </c>
      <c r="L2766" t="s">
        <v>18958</v>
      </c>
      <c r="M2766" t="s">
        <v>18958</v>
      </c>
      <c r="N2766" t="s">
        <v>21032</v>
      </c>
      <c r="O2766" t="s">
        <v>26523</v>
      </c>
      <c r="P2766" t="s">
        <v>26560</v>
      </c>
      <c r="R2766" t="s">
        <v>26577</v>
      </c>
      <c r="S2766" t="s">
        <v>18959</v>
      </c>
      <c r="U2766" t="s">
        <v>26604</v>
      </c>
      <c r="V2766" t="s">
        <v>26610</v>
      </c>
      <c r="W2766" t="s">
        <v>618</v>
      </c>
      <c r="X2766">
        <v>860</v>
      </c>
      <c r="Y2766" t="s">
        <v>26650</v>
      </c>
      <c r="Z2766" t="s">
        <v>26661</v>
      </c>
      <c r="AB2766" t="s">
        <v>29106</v>
      </c>
      <c r="AD2766" t="s">
        <v>39158</v>
      </c>
      <c r="AE2766">
        <v>0</v>
      </c>
      <c r="AF2766" t="s">
        <v>45541</v>
      </c>
      <c r="AG2766" t="s">
        <v>19330</v>
      </c>
      <c r="AH2766">
        <v>3</v>
      </c>
      <c r="AI2766">
        <v>1</v>
      </c>
      <c r="AJ2766">
        <v>1</v>
      </c>
      <c r="AK2766">
        <v>191.98</v>
      </c>
      <c r="AN2766" t="s">
        <v>7439</v>
      </c>
      <c r="AO2766">
        <v>31600</v>
      </c>
      <c r="AU2766">
        <v>12.7</v>
      </c>
      <c r="AV2766" t="s">
        <v>835</v>
      </c>
      <c r="AW2766" t="s">
        <v>46854</v>
      </c>
    </row>
    <row r="2767" spans="1:50">
      <c r="A2767" s="1">
        <f>HYPERLINK("https://lsnyc.legalserver.org/matter/dynamic-profile/view/1881643","18-1881643")</f>
        <v>0</v>
      </c>
      <c r="B2767" t="s">
        <v>188</v>
      </c>
      <c r="C2767" t="s">
        <v>340</v>
      </c>
      <c r="D2767" t="s">
        <v>618</v>
      </c>
      <c r="F2767" t="s">
        <v>2371</v>
      </c>
      <c r="G2767" t="s">
        <v>6585</v>
      </c>
      <c r="H2767" t="s">
        <v>11550</v>
      </c>
      <c r="I2767" t="s">
        <v>17283</v>
      </c>
      <c r="J2767" t="s">
        <v>18892</v>
      </c>
      <c r="K2767">
        <v>10453</v>
      </c>
      <c r="L2767" t="s">
        <v>18958</v>
      </c>
      <c r="M2767" t="s">
        <v>18958</v>
      </c>
      <c r="O2767" t="s">
        <v>26529</v>
      </c>
      <c r="P2767" t="s">
        <v>26562</v>
      </c>
      <c r="R2767" t="s">
        <v>26578</v>
      </c>
      <c r="S2767" t="s">
        <v>18959</v>
      </c>
      <c r="U2767" t="s">
        <v>26608</v>
      </c>
      <c r="V2767" t="s">
        <v>26610</v>
      </c>
      <c r="W2767" t="s">
        <v>618</v>
      </c>
      <c r="X2767">
        <v>1220</v>
      </c>
      <c r="Y2767" t="s">
        <v>26650</v>
      </c>
      <c r="Z2767" t="s">
        <v>26659</v>
      </c>
      <c r="AB2767" t="s">
        <v>29070</v>
      </c>
      <c r="AC2767" t="s">
        <v>35312</v>
      </c>
      <c r="AD2767" t="s">
        <v>39123</v>
      </c>
      <c r="AE2767">
        <v>46</v>
      </c>
      <c r="AF2767" t="s">
        <v>45541</v>
      </c>
      <c r="AG2767" t="s">
        <v>45558</v>
      </c>
      <c r="AH2767">
        <v>4</v>
      </c>
      <c r="AI2767">
        <v>1</v>
      </c>
      <c r="AJ2767">
        <v>1</v>
      </c>
      <c r="AK2767">
        <v>0</v>
      </c>
      <c r="AN2767" t="s">
        <v>45581</v>
      </c>
      <c r="AO2767">
        <v>0</v>
      </c>
      <c r="AU2767">
        <v>3.8</v>
      </c>
      <c r="AV2767" t="s">
        <v>779</v>
      </c>
      <c r="AW2767" t="s">
        <v>336</v>
      </c>
    </row>
    <row r="2768" spans="1:50">
      <c r="A2768" s="1">
        <f>HYPERLINK("https://lsnyc.legalserver.org/matter/dynamic-profile/view/1881576","18-1881576")</f>
        <v>0</v>
      </c>
      <c r="B2768" t="s">
        <v>194</v>
      </c>
      <c r="C2768" t="s">
        <v>340</v>
      </c>
      <c r="D2768" t="s">
        <v>618</v>
      </c>
      <c r="F2768" t="s">
        <v>2391</v>
      </c>
      <c r="G2768" t="s">
        <v>6607</v>
      </c>
      <c r="H2768" t="s">
        <v>11846</v>
      </c>
      <c r="I2768" t="s">
        <v>17527</v>
      </c>
      <c r="J2768" t="s">
        <v>18893</v>
      </c>
      <c r="K2768">
        <v>10128</v>
      </c>
      <c r="L2768" t="s">
        <v>18958</v>
      </c>
      <c r="M2768" t="s">
        <v>18958</v>
      </c>
      <c r="N2768" t="s">
        <v>21033</v>
      </c>
      <c r="O2768" t="s">
        <v>26523</v>
      </c>
      <c r="P2768" t="s">
        <v>26564</v>
      </c>
      <c r="R2768" t="s">
        <v>26582</v>
      </c>
      <c r="S2768" t="s">
        <v>18959</v>
      </c>
      <c r="U2768" t="s">
        <v>26604</v>
      </c>
      <c r="W2768" t="s">
        <v>618</v>
      </c>
      <c r="X2768">
        <v>2275</v>
      </c>
      <c r="Y2768" t="s">
        <v>26651</v>
      </c>
      <c r="Z2768" t="s">
        <v>26661</v>
      </c>
      <c r="AB2768" t="s">
        <v>29107</v>
      </c>
      <c r="AD2768" t="s">
        <v>39159</v>
      </c>
      <c r="AE2768">
        <v>28</v>
      </c>
      <c r="AF2768" t="s">
        <v>20460</v>
      </c>
      <c r="AG2768" t="s">
        <v>19330</v>
      </c>
      <c r="AH2768">
        <v>6</v>
      </c>
      <c r="AI2768">
        <v>1</v>
      </c>
      <c r="AJ2768">
        <v>0</v>
      </c>
      <c r="AK2768">
        <v>82.73</v>
      </c>
      <c r="AN2768" t="s">
        <v>7439</v>
      </c>
      <c r="AO2768">
        <v>10044</v>
      </c>
      <c r="AU2768">
        <v>0.2</v>
      </c>
      <c r="AV2768" t="s">
        <v>646</v>
      </c>
      <c r="AW2768" t="s">
        <v>46835</v>
      </c>
    </row>
    <row r="2769" spans="1:50">
      <c r="A2769" s="1">
        <f>HYPERLINK("https://lsnyc.legalserver.org/matter/dynamic-profile/view/1881589","18-1881589")</f>
        <v>0</v>
      </c>
      <c r="B2769" t="s">
        <v>194</v>
      </c>
      <c r="C2769" t="s">
        <v>340</v>
      </c>
      <c r="D2769" t="s">
        <v>618</v>
      </c>
      <c r="F2769" t="s">
        <v>2392</v>
      </c>
      <c r="G2769" t="s">
        <v>5419</v>
      </c>
      <c r="H2769" t="s">
        <v>11847</v>
      </c>
      <c r="I2769" t="s">
        <v>17566</v>
      </c>
      <c r="J2769" t="s">
        <v>18893</v>
      </c>
      <c r="K2769">
        <v>10029</v>
      </c>
      <c r="L2769" t="s">
        <v>18958</v>
      </c>
      <c r="M2769" t="s">
        <v>18958</v>
      </c>
      <c r="O2769" t="s">
        <v>18997</v>
      </c>
      <c r="P2769" t="s">
        <v>26564</v>
      </c>
      <c r="R2769" t="s">
        <v>26582</v>
      </c>
      <c r="S2769" t="s">
        <v>18959</v>
      </c>
      <c r="U2769" t="s">
        <v>26605</v>
      </c>
      <c r="V2769" t="s">
        <v>26610</v>
      </c>
      <c r="W2769" t="s">
        <v>618</v>
      </c>
      <c r="X2769">
        <v>569</v>
      </c>
      <c r="Y2769" t="s">
        <v>26651</v>
      </c>
      <c r="Z2769" t="s">
        <v>26661</v>
      </c>
      <c r="AB2769" t="s">
        <v>27027</v>
      </c>
      <c r="AD2769" t="s">
        <v>39160</v>
      </c>
      <c r="AE2769">
        <v>800</v>
      </c>
      <c r="AF2769" t="s">
        <v>45542</v>
      </c>
      <c r="AG2769" t="s">
        <v>19330</v>
      </c>
      <c r="AH2769">
        <v>17</v>
      </c>
      <c r="AI2769">
        <v>2</v>
      </c>
      <c r="AJ2769">
        <v>1</v>
      </c>
      <c r="AK2769">
        <v>96.63</v>
      </c>
      <c r="AN2769" t="s">
        <v>7439</v>
      </c>
      <c r="AO2769">
        <v>20080</v>
      </c>
      <c r="AU2769">
        <v>0.2</v>
      </c>
      <c r="AV2769" t="s">
        <v>651</v>
      </c>
      <c r="AW2769" t="s">
        <v>46835</v>
      </c>
    </row>
    <row r="2770" spans="1:50">
      <c r="A2770" s="1">
        <f>HYPERLINK("https://lsnyc.legalserver.org/matter/dynamic-profile/view/1882154","18-1882154")</f>
        <v>0</v>
      </c>
      <c r="B2770" t="s">
        <v>78</v>
      </c>
      <c r="C2770" t="s">
        <v>340</v>
      </c>
      <c r="D2770" t="s">
        <v>644</v>
      </c>
      <c r="F2770" t="s">
        <v>2393</v>
      </c>
      <c r="G2770" t="s">
        <v>6608</v>
      </c>
      <c r="H2770" t="s">
        <v>11062</v>
      </c>
      <c r="I2770" t="s">
        <v>17282</v>
      </c>
      <c r="J2770" t="s">
        <v>18894</v>
      </c>
      <c r="K2770">
        <v>11213</v>
      </c>
      <c r="L2770" t="s">
        <v>18958</v>
      </c>
      <c r="M2770" t="s">
        <v>18958</v>
      </c>
      <c r="O2770" t="s">
        <v>26526</v>
      </c>
      <c r="P2770" t="s">
        <v>26560</v>
      </c>
      <c r="R2770" t="s">
        <v>26578</v>
      </c>
      <c r="S2770" t="s">
        <v>18958</v>
      </c>
      <c r="U2770" t="s">
        <v>26604</v>
      </c>
      <c r="V2770" t="s">
        <v>26610</v>
      </c>
      <c r="W2770" t="s">
        <v>26630</v>
      </c>
      <c r="X2770">
        <v>606</v>
      </c>
      <c r="Y2770" t="s">
        <v>26652</v>
      </c>
      <c r="Z2770" t="s">
        <v>26663</v>
      </c>
      <c r="AB2770" t="s">
        <v>29108</v>
      </c>
      <c r="AE2770">
        <v>35</v>
      </c>
      <c r="AF2770" t="s">
        <v>45541</v>
      </c>
      <c r="AG2770" t="s">
        <v>19330</v>
      </c>
      <c r="AH2770">
        <v>5</v>
      </c>
      <c r="AI2770">
        <v>2</v>
      </c>
      <c r="AJ2770">
        <v>3</v>
      </c>
      <c r="AK2770">
        <v>81.58</v>
      </c>
      <c r="AM2770" t="s">
        <v>45580</v>
      </c>
      <c r="AN2770" t="s">
        <v>7439</v>
      </c>
      <c r="AO2770">
        <v>24000</v>
      </c>
      <c r="AU2770">
        <v>0.1</v>
      </c>
      <c r="AV2770" t="s">
        <v>806</v>
      </c>
      <c r="AW2770" t="s">
        <v>279</v>
      </c>
      <c r="AX2770" t="s">
        <v>46897</v>
      </c>
    </row>
    <row r="2771" spans="1:50">
      <c r="A2771" s="1">
        <f>HYPERLINK("https://lsnyc.legalserver.org/matter/dynamic-profile/view/1882161","18-1882161")</f>
        <v>0</v>
      </c>
      <c r="B2771" t="s">
        <v>78</v>
      </c>
      <c r="C2771" t="s">
        <v>340</v>
      </c>
      <c r="D2771" t="s">
        <v>644</v>
      </c>
      <c r="F2771" t="s">
        <v>2394</v>
      </c>
      <c r="G2771" t="s">
        <v>6609</v>
      </c>
      <c r="H2771" t="s">
        <v>10750</v>
      </c>
      <c r="J2771" t="s">
        <v>18894</v>
      </c>
      <c r="K2771">
        <v>11213</v>
      </c>
      <c r="L2771" t="s">
        <v>18958</v>
      </c>
      <c r="M2771" t="s">
        <v>18958</v>
      </c>
      <c r="N2771" t="s">
        <v>19951</v>
      </c>
      <c r="O2771" t="s">
        <v>26526</v>
      </c>
      <c r="P2771" t="s">
        <v>26560</v>
      </c>
      <c r="R2771" t="s">
        <v>26578</v>
      </c>
      <c r="S2771" t="s">
        <v>18958</v>
      </c>
      <c r="U2771" t="s">
        <v>26604</v>
      </c>
      <c r="V2771" t="s">
        <v>26610</v>
      </c>
      <c r="W2771" t="s">
        <v>26630</v>
      </c>
      <c r="X2771">
        <v>881.67</v>
      </c>
      <c r="Y2771" t="s">
        <v>26652</v>
      </c>
      <c r="Z2771" t="s">
        <v>26663</v>
      </c>
      <c r="AB2771" t="s">
        <v>29109</v>
      </c>
      <c r="AC2771" t="s">
        <v>19330</v>
      </c>
      <c r="AD2771" t="s">
        <v>39161</v>
      </c>
      <c r="AE2771">
        <v>31</v>
      </c>
      <c r="AF2771" t="s">
        <v>45541</v>
      </c>
      <c r="AG2771" t="s">
        <v>19330</v>
      </c>
      <c r="AH2771">
        <v>17</v>
      </c>
      <c r="AI2771">
        <v>2</v>
      </c>
      <c r="AJ2771">
        <v>0</v>
      </c>
      <c r="AK2771">
        <v>179.22</v>
      </c>
      <c r="AN2771" t="s">
        <v>7439</v>
      </c>
      <c r="AO2771">
        <v>29500</v>
      </c>
      <c r="AU2771">
        <v>0.1</v>
      </c>
      <c r="AV2771" t="s">
        <v>806</v>
      </c>
      <c r="AW2771" t="s">
        <v>279</v>
      </c>
    </row>
    <row r="2772" spans="1:50">
      <c r="A2772" s="1">
        <f>HYPERLINK("https://lsnyc.legalserver.org/matter/dynamic-profile/view/1882164","18-1882164")</f>
        <v>0</v>
      </c>
      <c r="B2772" t="s">
        <v>78</v>
      </c>
      <c r="C2772" t="s">
        <v>340</v>
      </c>
      <c r="D2772" t="s">
        <v>644</v>
      </c>
      <c r="F2772" t="s">
        <v>2395</v>
      </c>
      <c r="G2772" t="s">
        <v>6610</v>
      </c>
      <c r="H2772" t="s">
        <v>11062</v>
      </c>
      <c r="J2772" t="s">
        <v>18894</v>
      </c>
      <c r="K2772">
        <v>11213</v>
      </c>
      <c r="L2772" t="s">
        <v>18958</v>
      </c>
      <c r="M2772" t="s">
        <v>18958</v>
      </c>
      <c r="N2772" t="s">
        <v>19952</v>
      </c>
      <c r="O2772" t="s">
        <v>26526</v>
      </c>
      <c r="P2772" t="s">
        <v>26560</v>
      </c>
      <c r="R2772" t="s">
        <v>26578</v>
      </c>
      <c r="S2772" t="s">
        <v>18958</v>
      </c>
      <c r="U2772" t="s">
        <v>26604</v>
      </c>
      <c r="V2772" t="s">
        <v>26610</v>
      </c>
      <c r="W2772" t="s">
        <v>26630</v>
      </c>
      <c r="X2772">
        <v>678.92</v>
      </c>
      <c r="Y2772" t="s">
        <v>26652</v>
      </c>
      <c r="Z2772" t="s">
        <v>26663</v>
      </c>
      <c r="AB2772" t="s">
        <v>29110</v>
      </c>
      <c r="AC2772" t="s">
        <v>19330</v>
      </c>
      <c r="AD2772" t="s">
        <v>39162</v>
      </c>
      <c r="AE2772">
        <v>35</v>
      </c>
      <c r="AF2772" t="s">
        <v>45541</v>
      </c>
      <c r="AG2772" t="s">
        <v>19330</v>
      </c>
      <c r="AH2772">
        <v>22</v>
      </c>
      <c r="AI2772">
        <v>1</v>
      </c>
      <c r="AJ2772">
        <v>0</v>
      </c>
      <c r="AK2772">
        <v>181.64</v>
      </c>
      <c r="AM2772" t="s">
        <v>45580</v>
      </c>
      <c r="AN2772" t="s">
        <v>7439</v>
      </c>
      <c r="AO2772">
        <v>22051</v>
      </c>
      <c r="AU2772">
        <v>0.1</v>
      </c>
      <c r="AV2772" t="s">
        <v>800</v>
      </c>
      <c r="AW2772" t="s">
        <v>279</v>
      </c>
      <c r="AX2772" t="s">
        <v>46897</v>
      </c>
    </row>
    <row r="2773" spans="1:50">
      <c r="A2773" s="1">
        <f>HYPERLINK("https://lsnyc.legalserver.org/matter/dynamic-profile/view/1882158","18-1882158")</f>
        <v>0</v>
      </c>
      <c r="B2773" t="s">
        <v>78</v>
      </c>
      <c r="C2773" t="s">
        <v>340</v>
      </c>
      <c r="D2773" t="s">
        <v>644</v>
      </c>
      <c r="F2773" t="s">
        <v>2396</v>
      </c>
      <c r="G2773" t="s">
        <v>6537</v>
      </c>
      <c r="H2773" t="s">
        <v>11062</v>
      </c>
      <c r="I2773" t="s">
        <v>17361</v>
      </c>
      <c r="J2773" t="s">
        <v>18894</v>
      </c>
      <c r="K2773">
        <v>11213</v>
      </c>
      <c r="L2773" t="s">
        <v>18958</v>
      </c>
      <c r="M2773" t="s">
        <v>18958</v>
      </c>
      <c r="N2773" t="s">
        <v>18997</v>
      </c>
      <c r="O2773" t="s">
        <v>26526</v>
      </c>
      <c r="P2773" t="s">
        <v>26560</v>
      </c>
      <c r="R2773" t="s">
        <v>26578</v>
      </c>
      <c r="S2773" t="s">
        <v>18958</v>
      </c>
      <c r="U2773" t="s">
        <v>26604</v>
      </c>
      <c r="V2773" t="s">
        <v>26610</v>
      </c>
      <c r="W2773" t="s">
        <v>26630</v>
      </c>
      <c r="X2773">
        <v>1169.88</v>
      </c>
      <c r="Y2773" t="s">
        <v>26652</v>
      </c>
      <c r="Z2773" t="s">
        <v>26663</v>
      </c>
      <c r="AB2773" t="s">
        <v>29111</v>
      </c>
      <c r="AC2773" t="s">
        <v>19330</v>
      </c>
      <c r="AD2773" t="s">
        <v>39163</v>
      </c>
      <c r="AE2773">
        <v>35</v>
      </c>
      <c r="AF2773" t="s">
        <v>45541</v>
      </c>
      <c r="AG2773" t="s">
        <v>19330</v>
      </c>
      <c r="AH2773">
        <v>5</v>
      </c>
      <c r="AI2773">
        <v>2</v>
      </c>
      <c r="AJ2773">
        <v>0</v>
      </c>
      <c r="AK2773">
        <v>437.42</v>
      </c>
      <c r="AM2773" t="s">
        <v>45580</v>
      </c>
      <c r="AN2773" t="s">
        <v>7439</v>
      </c>
      <c r="AO2773">
        <v>72000</v>
      </c>
      <c r="AU2773">
        <v>0.1</v>
      </c>
      <c r="AV2773" t="s">
        <v>806</v>
      </c>
      <c r="AW2773" t="s">
        <v>279</v>
      </c>
    </row>
    <row r="2774" spans="1:50">
      <c r="A2774" s="1">
        <f>HYPERLINK("https://lsnyc.legalserver.org/matter/dynamic-profile/view/1875869","18-1875869")</f>
        <v>0</v>
      </c>
      <c r="B2774" t="s">
        <v>90</v>
      </c>
      <c r="C2774" t="s">
        <v>341</v>
      </c>
      <c r="D2774" t="s">
        <v>441</v>
      </c>
      <c r="E2774" t="s">
        <v>675</v>
      </c>
      <c r="F2774" t="s">
        <v>2397</v>
      </c>
      <c r="G2774" t="s">
        <v>6611</v>
      </c>
      <c r="H2774" t="s">
        <v>11848</v>
      </c>
      <c r="I2774" t="s">
        <v>17883</v>
      </c>
      <c r="J2774" t="s">
        <v>18893</v>
      </c>
      <c r="K2774">
        <v>10035</v>
      </c>
      <c r="L2774" t="s">
        <v>18958</v>
      </c>
      <c r="M2774" t="s">
        <v>18958</v>
      </c>
      <c r="N2774" t="s">
        <v>21034</v>
      </c>
      <c r="O2774" t="s">
        <v>26523</v>
      </c>
      <c r="P2774" t="s">
        <v>26564</v>
      </c>
      <c r="Q2774" t="s">
        <v>26570</v>
      </c>
      <c r="R2774" t="s">
        <v>26578</v>
      </c>
      <c r="S2774" t="s">
        <v>18959</v>
      </c>
      <c r="U2774" t="s">
        <v>26604</v>
      </c>
      <c r="V2774" t="s">
        <v>26610</v>
      </c>
      <c r="W2774" t="s">
        <v>867</v>
      </c>
      <c r="X2774">
        <v>1800</v>
      </c>
      <c r="Y2774" t="s">
        <v>26651</v>
      </c>
      <c r="Z2774" t="s">
        <v>26668</v>
      </c>
      <c r="AA2774" t="s">
        <v>26683</v>
      </c>
      <c r="AB2774" t="s">
        <v>27799</v>
      </c>
      <c r="AD2774" t="s">
        <v>39164</v>
      </c>
      <c r="AE2774">
        <v>200</v>
      </c>
      <c r="AF2774" t="s">
        <v>45543</v>
      </c>
      <c r="AG2774" t="s">
        <v>45556</v>
      </c>
      <c r="AH2774">
        <v>6</v>
      </c>
      <c r="AI2774">
        <v>1</v>
      </c>
      <c r="AJ2774">
        <v>0</v>
      </c>
      <c r="AK2774">
        <v>158.15</v>
      </c>
      <c r="AN2774" t="s">
        <v>7439</v>
      </c>
      <c r="AO2774">
        <v>19200</v>
      </c>
      <c r="AU2774">
        <v>1.5</v>
      </c>
      <c r="AV2774" t="s">
        <v>632</v>
      </c>
      <c r="AW2774" t="s">
        <v>46843</v>
      </c>
    </row>
    <row r="2775" spans="1:50">
      <c r="A2775" s="1">
        <f>HYPERLINK("https://lsnyc.legalserver.org/matter/dynamic-profile/view/1878781","18-1878781")</f>
        <v>0</v>
      </c>
      <c r="B2775" t="s">
        <v>90</v>
      </c>
      <c r="C2775" t="s">
        <v>340</v>
      </c>
      <c r="D2775" t="s">
        <v>599</v>
      </c>
      <c r="F2775" t="s">
        <v>1364</v>
      </c>
      <c r="G2775" t="s">
        <v>5125</v>
      </c>
      <c r="H2775" t="s">
        <v>11849</v>
      </c>
      <c r="I2775">
        <v>7</v>
      </c>
      <c r="J2775" t="s">
        <v>18893</v>
      </c>
      <c r="K2775">
        <v>10029</v>
      </c>
      <c r="L2775" t="s">
        <v>18958</v>
      </c>
      <c r="M2775" t="s">
        <v>18958</v>
      </c>
      <c r="N2775" t="s">
        <v>21035</v>
      </c>
      <c r="O2775" t="s">
        <v>26526</v>
      </c>
      <c r="P2775" t="s">
        <v>26560</v>
      </c>
      <c r="R2775" t="s">
        <v>26578</v>
      </c>
      <c r="S2775" t="s">
        <v>18958</v>
      </c>
      <c r="U2775" t="s">
        <v>26604</v>
      </c>
      <c r="V2775" t="s">
        <v>26610</v>
      </c>
      <c r="W2775" t="s">
        <v>867</v>
      </c>
      <c r="X2775">
        <v>900</v>
      </c>
      <c r="Y2775" t="s">
        <v>26651</v>
      </c>
      <c r="Z2775" t="s">
        <v>26673</v>
      </c>
      <c r="AB2775" t="s">
        <v>29112</v>
      </c>
      <c r="AD2775" t="s">
        <v>39165</v>
      </c>
      <c r="AE2775">
        <v>8</v>
      </c>
      <c r="AF2775" t="s">
        <v>45541</v>
      </c>
      <c r="AG2775" t="s">
        <v>19330</v>
      </c>
      <c r="AH2775">
        <v>20</v>
      </c>
      <c r="AI2775">
        <v>2</v>
      </c>
      <c r="AJ2775">
        <v>0</v>
      </c>
      <c r="AK2775">
        <v>157.96</v>
      </c>
      <c r="AN2775" t="s">
        <v>45581</v>
      </c>
      <c r="AO2775">
        <v>26000</v>
      </c>
      <c r="AU2775">
        <v>34.25</v>
      </c>
      <c r="AV2775" t="s">
        <v>836</v>
      </c>
      <c r="AW2775" t="s">
        <v>46842</v>
      </c>
    </row>
    <row r="2776" spans="1:50">
      <c r="A2776" s="1">
        <f>HYPERLINK("https://lsnyc.legalserver.org/matter/dynamic-profile/view/1880963","18-1880963")</f>
        <v>0</v>
      </c>
      <c r="B2776" t="s">
        <v>122</v>
      </c>
      <c r="C2776" t="s">
        <v>341</v>
      </c>
      <c r="D2776" t="s">
        <v>605</v>
      </c>
      <c r="E2776" t="s">
        <v>720</v>
      </c>
      <c r="F2776" t="s">
        <v>2398</v>
      </c>
      <c r="G2776" t="s">
        <v>6612</v>
      </c>
      <c r="H2776" t="s">
        <v>9698</v>
      </c>
      <c r="J2776" t="s">
        <v>18897</v>
      </c>
      <c r="K2776">
        <v>11415</v>
      </c>
      <c r="L2776" t="s">
        <v>18958</v>
      </c>
      <c r="M2776" t="s">
        <v>18958</v>
      </c>
      <c r="N2776" t="s">
        <v>19013</v>
      </c>
      <c r="O2776" t="s">
        <v>26523</v>
      </c>
      <c r="P2776" t="s">
        <v>26565</v>
      </c>
      <c r="Q2776" t="s">
        <v>26571</v>
      </c>
      <c r="R2776" t="s">
        <v>26584</v>
      </c>
      <c r="S2776" t="s">
        <v>26598</v>
      </c>
      <c r="U2776" t="s">
        <v>26604</v>
      </c>
      <c r="W2776" t="s">
        <v>643</v>
      </c>
      <c r="X2776">
        <v>1800</v>
      </c>
      <c r="Y2776" t="s">
        <v>26653</v>
      </c>
      <c r="Z2776" t="s">
        <v>26664</v>
      </c>
      <c r="AA2776" t="s">
        <v>26682</v>
      </c>
      <c r="AB2776" t="s">
        <v>29113</v>
      </c>
      <c r="AC2776" t="s">
        <v>35326</v>
      </c>
      <c r="AD2776" t="s">
        <v>39166</v>
      </c>
      <c r="AE2776">
        <v>50</v>
      </c>
      <c r="AF2776" t="s">
        <v>45541</v>
      </c>
      <c r="AG2776" t="s">
        <v>19330</v>
      </c>
      <c r="AH2776">
        <v>4</v>
      </c>
      <c r="AI2776">
        <v>2</v>
      </c>
      <c r="AJ2776">
        <v>3</v>
      </c>
      <c r="AK2776">
        <v>44</v>
      </c>
      <c r="AN2776" t="s">
        <v>45582</v>
      </c>
      <c r="AO2776">
        <v>12944</v>
      </c>
      <c r="AU2776">
        <v>12.35</v>
      </c>
      <c r="AV2776" t="s">
        <v>785</v>
      </c>
      <c r="AW2776" t="s">
        <v>122</v>
      </c>
    </row>
    <row r="2777" spans="1:50">
      <c r="A2777" s="1">
        <f>HYPERLINK("https://lsnyc.legalserver.org/matter/dynamic-profile/view/1881835","18-1881835")</f>
        <v>0</v>
      </c>
      <c r="B2777" t="s">
        <v>263</v>
      </c>
      <c r="C2777" t="s">
        <v>341</v>
      </c>
      <c r="D2777" t="s">
        <v>624</v>
      </c>
      <c r="E2777" t="s">
        <v>684</v>
      </c>
      <c r="F2777" t="s">
        <v>1283</v>
      </c>
      <c r="G2777" t="s">
        <v>5138</v>
      </c>
      <c r="H2777" t="s">
        <v>11850</v>
      </c>
      <c r="I2777" t="s">
        <v>17284</v>
      </c>
      <c r="J2777" t="s">
        <v>18892</v>
      </c>
      <c r="K2777">
        <v>10452</v>
      </c>
      <c r="L2777" t="s">
        <v>18958</v>
      </c>
      <c r="M2777" t="s">
        <v>18958</v>
      </c>
      <c r="O2777" t="s">
        <v>18997</v>
      </c>
      <c r="P2777" t="s">
        <v>26564</v>
      </c>
      <c r="Q2777" t="s">
        <v>26570</v>
      </c>
      <c r="R2777" t="s">
        <v>26578</v>
      </c>
      <c r="S2777" t="s">
        <v>18959</v>
      </c>
      <c r="U2777" t="s">
        <v>26604</v>
      </c>
      <c r="W2777" t="s">
        <v>643</v>
      </c>
      <c r="X2777">
        <v>1112.79</v>
      </c>
      <c r="Y2777" t="s">
        <v>26650</v>
      </c>
      <c r="Z2777" t="s">
        <v>26659</v>
      </c>
      <c r="AA2777" t="s">
        <v>26683</v>
      </c>
      <c r="AB2777" t="s">
        <v>29114</v>
      </c>
      <c r="AD2777" t="s">
        <v>39167</v>
      </c>
      <c r="AE2777">
        <v>43</v>
      </c>
      <c r="AF2777" t="s">
        <v>20460</v>
      </c>
      <c r="AH2777">
        <v>7</v>
      </c>
      <c r="AI2777">
        <v>2</v>
      </c>
      <c r="AJ2777">
        <v>2</v>
      </c>
      <c r="AK2777">
        <v>41.43</v>
      </c>
      <c r="AN2777" t="s">
        <v>45581</v>
      </c>
      <c r="AO2777">
        <v>10400</v>
      </c>
      <c r="AU2777">
        <v>1</v>
      </c>
      <c r="AV2777" t="s">
        <v>684</v>
      </c>
      <c r="AW2777" t="s">
        <v>263</v>
      </c>
    </row>
    <row r="2778" spans="1:50">
      <c r="A2778" s="1">
        <f>HYPERLINK("https://lsnyc.legalserver.org/matter/dynamic-profile/view/1881831","18-1881831")</f>
        <v>0</v>
      </c>
      <c r="B2778" t="s">
        <v>263</v>
      </c>
      <c r="C2778" t="s">
        <v>341</v>
      </c>
      <c r="D2778" t="s">
        <v>624</v>
      </c>
      <c r="E2778" t="s">
        <v>684</v>
      </c>
      <c r="F2778" t="s">
        <v>1206</v>
      </c>
      <c r="G2778" t="s">
        <v>6613</v>
      </c>
      <c r="H2778" t="s">
        <v>11612</v>
      </c>
      <c r="J2778" t="s">
        <v>18892</v>
      </c>
      <c r="K2778">
        <v>10452</v>
      </c>
      <c r="L2778" t="s">
        <v>18958</v>
      </c>
      <c r="M2778" t="s">
        <v>18958</v>
      </c>
      <c r="O2778" t="s">
        <v>18997</v>
      </c>
      <c r="P2778" t="s">
        <v>26565</v>
      </c>
      <c r="Q2778" t="s">
        <v>26570</v>
      </c>
      <c r="R2778" t="s">
        <v>26578</v>
      </c>
      <c r="S2778" t="s">
        <v>18959</v>
      </c>
      <c r="U2778" t="s">
        <v>26604</v>
      </c>
      <c r="W2778" t="s">
        <v>643</v>
      </c>
      <c r="X2778">
        <v>1300</v>
      </c>
      <c r="Y2778" t="s">
        <v>26650</v>
      </c>
      <c r="Z2778" t="s">
        <v>26530</v>
      </c>
      <c r="AA2778" t="s">
        <v>26683</v>
      </c>
      <c r="AB2778" t="s">
        <v>29115</v>
      </c>
      <c r="AD2778" t="s">
        <v>39168</v>
      </c>
      <c r="AE2778">
        <v>109</v>
      </c>
      <c r="AF2778" t="s">
        <v>45541</v>
      </c>
      <c r="AH2778">
        <v>7</v>
      </c>
      <c r="AI2778">
        <v>2</v>
      </c>
      <c r="AJ2778">
        <v>0</v>
      </c>
      <c r="AK2778">
        <v>76.11</v>
      </c>
      <c r="AN2778" t="s">
        <v>45581</v>
      </c>
      <c r="AO2778">
        <v>12528</v>
      </c>
      <c r="AU2778">
        <v>1.25</v>
      </c>
      <c r="AV2778" t="s">
        <v>684</v>
      </c>
      <c r="AW2778" t="s">
        <v>263</v>
      </c>
    </row>
    <row r="2779" spans="1:50">
      <c r="A2779" s="1">
        <f>HYPERLINK("https://lsnyc.legalserver.org/matter/dynamic-profile/view/1881691","18-1881691")</f>
        <v>0</v>
      </c>
      <c r="B2779" t="s">
        <v>169</v>
      </c>
      <c r="C2779" t="s">
        <v>341</v>
      </c>
      <c r="D2779" t="s">
        <v>643</v>
      </c>
      <c r="E2779" t="s">
        <v>494</v>
      </c>
      <c r="F2779" t="s">
        <v>2399</v>
      </c>
      <c r="G2779" t="s">
        <v>5269</v>
      </c>
      <c r="H2779" t="s">
        <v>11851</v>
      </c>
      <c r="I2779" t="s">
        <v>17521</v>
      </c>
      <c r="J2779" t="s">
        <v>18892</v>
      </c>
      <c r="K2779">
        <v>10453</v>
      </c>
      <c r="L2779" t="s">
        <v>18958</v>
      </c>
      <c r="M2779" t="s">
        <v>18958</v>
      </c>
      <c r="N2779" t="s">
        <v>21036</v>
      </c>
      <c r="O2779" t="s">
        <v>26523</v>
      </c>
      <c r="P2779" t="s">
        <v>26560</v>
      </c>
      <c r="Q2779" t="s">
        <v>26568</v>
      </c>
      <c r="R2779" t="s">
        <v>26578</v>
      </c>
      <c r="S2779" t="s">
        <v>18959</v>
      </c>
      <c r="U2779" t="s">
        <v>26604</v>
      </c>
      <c r="V2779" t="s">
        <v>26612</v>
      </c>
      <c r="W2779" t="s">
        <v>643</v>
      </c>
      <c r="X2779">
        <v>1956</v>
      </c>
      <c r="Y2779" t="s">
        <v>26650</v>
      </c>
      <c r="Z2779" t="s">
        <v>26661</v>
      </c>
      <c r="AA2779" t="s">
        <v>26678</v>
      </c>
      <c r="AB2779" t="s">
        <v>29116</v>
      </c>
      <c r="AC2779" t="s">
        <v>35327</v>
      </c>
      <c r="AD2779" t="s">
        <v>39169</v>
      </c>
      <c r="AE2779">
        <v>11</v>
      </c>
      <c r="AF2779" t="s">
        <v>20460</v>
      </c>
      <c r="AG2779" t="s">
        <v>45562</v>
      </c>
      <c r="AH2779">
        <v>3</v>
      </c>
      <c r="AI2779">
        <v>3</v>
      </c>
      <c r="AJ2779">
        <v>4</v>
      </c>
      <c r="AK2779">
        <v>54.65</v>
      </c>
      <c r="AN2779" t="s">
        <v>7439</v>
      </c>
      <c r="AO2779">
        <v>20800</v>
      </c>
      <c r="AQ2779" t="s">
        <v>46365</v>
      </c>
      <c r="AR2779" t="s">
        <v>46385</v>
      </c>
      <c r="AS2779" t="s">
        <v>46499</v>
      </c>
      <c r="AT2779" t="s">
        <v>46560</v>
      </c>
      <c r="AU2779">
        <v>12.7</v>
      </c>
      <c r="AV2779" t="s">
        <v>682</v>
      </c>
      <c r="AW2779" t="s">
        <v>46831</v>
      </c>
    </row>
    <row r="2780" spans="1:50">
      <c r="A2780" s="1">
        <f>HYPERLINK("https://lsnyc.legalserver.org/matter/dynamic-profile/view/1881808","18-1881808")</f>
        <v>0</v>
      </c>
      <c r="B2780" t="s">
        <v>53</v>
      </c>
      <c r="C2780" t="s">
        <v>341</v>
      </c>
      <c r="D2780" t="s">
        <v>643</v>
      </c>
      <c r="E2780" t="s">
        <v>684</v>
      </c>
      <c r="F2780" t="s">
        <v>2400</v>
      </c>
      <c r="G2780" t="s">
        <v>6614</v>
      </c>
      <c r="H2780" t="s">
        <v>11852</v>
      </c>
      <c r="I2780" t="s">
        <v>17277</v>
      </c>
      <c r="J2780" t="s">
        <v>18892</v>
      </c>
      <c r="K2780">
        <v>10467</v>
      </c>
      <c r="L2780" t="s">
        <v>18958</v>
      </c>
      <c r="M2780" t="s">
        <v>18958</v>
      </c>
      <c r="N2780" t="s">
        <v>21037</v>
      </c>
      <c r="O2780" t="s">
        <v>26523</v>
      </c>
      <c r="P2780" t="s">
        <v>26560</v>
      </c>
      <c r="Q2780" t="s">
        <v>26568</v>
      </c>
      <c r="R2780" t="s">
        <v>26579</v>
      </c>
      <c r="S2780" t="s">
        <v>18959</v>
      </c>
      <c r="U2780" t="s">
        <v>26604</v>
      </c>
      <c r="V2780" t="s">
        <v>26612</v>
      </c>
      <c r="W2780" t="s">
        <v>643</v>
      </c>
      <c r="X2780">
        <v>1500</v>
      </c>
      <c r="Y2780" t="s">
        <v>26650</v>
      </c>
      <c r="Z2780" t="s">
        <v>26664</v>
      </c>
      <c r="AA2780" t="s">
        <v>26678</v>
      </c>
      <c r="AB2780" t="s">
        <v>29117</v>
      </c>
      <c r="AC2780" t="s">
        <v>35328</v>
      </c>
      <c r="AD2780" t="s">
        <v>39170</v>
      </c>
      <c r="AE2780">
        <v>10</v>
      </c>
      <c r="AF2780" t="s">
        <v>45541</v>
      </c>
      <c r="AG2780" t="s">
        <v>19330</v>
      </c>
      <c r="AH2780">
        <v>3</v>
      </c>
      <c r="AI2780">
        <v>1</v>
      </c>
      <c r="AJ2780">
        <v>1</v>
      </c>
      <c r="AK2780">
        <v>148.36</v>
      </c>
      <c r="AN2780" t="s">
        <v>7439</v>
      </c>
      <c r="AO2780">
        <v>24420</v>
      </c>
      <c r="AQ2780" t="s">
        <v>46365</v>
      </c>
      <c r="AR2780" t="s">
        <v>46379</v>
      </c>
      <c r="AS2780" t="s">
        <v>46499</v>
      </c>
      <c r="AT2780" t="s">
        <v>46640</v>
      </c>
      <c r="AU2780">
        <v>9.199999999999999</v>
      </c>
      <c r="AV2780" t="s">
        <v>577</v>
      </c>
      <c r="AW2780" t="s">
        <v>334</v>
      </c>
    </row>
    <row r="2781" spans="1:50">
      <c r="A2781" s="1">
        <f>HYPERLINK("https://lsnyc.legalserver.org/matter/dynamic-profile/view/1881685","18-1881685")</f>
        <v>0</v>
      </c>
      <c r="B2781" t="s">
        <v>246</v>
      </c>
      <c r="C2781" t="s">
        <v>341</v>
      </c>
      <c r="D2781" t="s">
        <v>643</v>
      </c>
      <c r="E2781" t="s">
        <v>703</v>
      </c>
      <c r="F2781" t="s">
        <v>2401</v>
      </c>
      <c r="G2781" t="s">
        <v>5394</v>
      </c>
      <c r="H2781" t="s">
        <v>11853</v>
      </c>
      <c r="I2781">
        <v>2</v>
      </c>
      <c r="J2781" t="s">
        <v>18892</v>
      </c>
      <c r="K2781">
        <v>10461</v>
      </c>
      <c r="L2781" t="s">
        <v>18958</v>
      </c>
      <c r="M2781" t="s">
        <v>18958</v>
      </c>
      <c r="N2781" t="s">
        <v>21038</v>
      </c>
      <c r="O2781" t="s">
        <v>26523</v>
      </c>
      <c r="P2781" t="s">
        <v>26564</v>
      </c>
      <c r="Q2781" t="s">
        <v>26570</v>
      </c>
      <c r="R2781" t="s">
        <v>26577</v>
      </c>
      <c r="S2781" t="s">
        <v>18959</v>
      </c>
      <c r="U2781" t="s">
        <v>26604</v>
      </c>
      <c r="V2781" t="s">
        <v>26610</v>
      </c>
      <c r="W2781" t="s">
        <v>643</v>
      </c>
      <c r="X2781">
        <v>1800</v>
      </c>
      <c r="Y2781" t="s">
        <v>26650</v>
      </c>
      <c r="Z2781" t="s">
        <v>26664</v>
      </c>
      <c r="AA2781" t="s">
        <v>26683</v>
      </c>
      <c r="AB2781" t="s">
        <v>29118</v>
      </c>
      <c r="AD2781" t="s">
        <v>39171</v>
      </c>
      <c r="AE2781">
        <v>3</v>
      </c>
      <c r="AF2781" t="s">
        <v>45547</v>
      </c>
      <c r="AH2781">
        <v>0</v>
      </c>
      <c r="AI2781">
        <v>2</v>
      </c>
      <c r="AJ2781">
        <v>1</v>
      </c>
      <c r="AK2781">
        <v>199.95</v>
      </c>
      <c r="AN2781" t="s">
        <v>7439</v>
      </c>
      <c r="AO2781">
        <v>41550</v>
      </c>
      <c r="AU2781">
        <v>1.5</v>
      </c>
      <c r="AV2781" t="s">
        <v>641</v>
      </c>
      <c r="AW2781" t="s">
        <v>334</v>
      </c>
    </row>
    <row r="2782" spans="1:50">
      <c r="A2782" s="1">
        <f>HYPERLINK("https://lsnyc.legalserver.org/matter/dynamic-profile/view/1881701","18-1881701")</f>
        <v>0</v>
      </c>
      <c r="B2782" t="s">
        <v>246</v>
      </c>
      <c r="C2782" t="s">
        <v>341</v>
      </c>
      <c r="D2782" t="s">
        <v>643</v>
      </c>
      <c r="E2782" t="s">
        <v>809</v>
      </c>
      <c r="F2782" t="s">
        <v>1660</v>
      </c>
      <c r="G2782" t="s">
        <v>4085</v>
      </c>
      <c r="H2782" t="s">
        <v>11854</v>
      </c>
      <c r="I2782">
        <v>604</v>
      </c>
      <c r="J2782" t="s">
        <v>18892</v>
      </c>
      <c r="K2782">
        <v>10457</v>
      </c>
      <c r="L2782" t="s">
        <v>18958</v>
      </c>
      <c r="M2782" t="s">
        <v>18958</v>
      </c>
      <c r="N2782" t="s">
        <v>21039</v>
      </c>
      <c r="O2782" t="s">
        <v>26523</v>
      </c>
      <c r="P2782" t="s">
        <v>26560</v>
      </c>
      <c r="Q2782" t="s">
        <v>26568</v>
      </c>
      <c r="R2782" t="s">
        <v>26579</v>
      </c>
      <c r="S2782" t="s">
        <v>18959</v>
      </c>
      <c r="U2782" t="s">
        <v>26604</v>
      </c>
      <c r="V2782" t="s">
        <v>26610</v>
      </c>
      <c r="W2782" t="s">
        <v>643</v>
      </c>
      <c r="X2782">
        <v>871.6799999999999</v>
      </c>
      <c r="Y2782" t="s">
        <v>26650</v>
      </c>
      <c r="Z2782" t="s">
        <v>26664</v>
      </c>
      <c r="AA2782" t="s">
        <v>26678</v>
      </c>
      <c r="AB2782" t="s">
        <v>29119</v>
      </c>
      <c r="AD2782" t="s">
        <v>39172</v>
      </c>
      <c r="AE2782">
        <v>76</v>
      </c>
      <c r="AF2782" t="s">
        <v>45541</v>
      </c>
      <c r="AG2782" t="s">
        <v>19330</v>
      </c>
      <c r="AH2782">
        <v>8</v>
      </c>
      <c r="AI2782">
        <v>3</v>
      </c>
      <c r="AJ2782">
        <v>1</v>
      </c>
      <c r="AK2782">
        <v>17.2</v>
      </c>
      <c r="AN2782" t="s">
        <v>7439</v>
      </c>
      <c r="AO2782">
        <v>4316</v>
      </c>
      <c r="AQ2782" t="s">
        <v>46362</v>
      </c>
      <c r="AR2782" t="s">
        <v>46380</v>
      </c>
      <c r="AS2782" t="s">
        <v>46499</v>
      </c>
      <c r="AT2782" t="s">
        <v>46729</v>
      </c>
      <c r="AU2782">
        <v>36.75</v>
      </c>
      <c r="AV2782" t="s">
        <v>809</v>
      </c>
      <c r="AW2782" t="s">
        <v>334</v>
      </c>
    </row>
    <row r="2783" spans="1:50">
      <c r="A2783" s="1">
        <f>HYPERLINK("https://lsnyc.legalserver.org/matter/dynamic-profile/view/1881830","18-1881830")</f>
        <v>0</v>
      </c>
      <c r="B2783" t="s">
        <v>71</v>
      </c>
      <c r="C2783" t="s">
        <v>341</v>
      </c>
      <c r="D2783" t="s">
        <v>643</v>
      </c>
      <c r="E2783" t="s">
        <v>690</v>
      </c>
      <c r="F2783" t="s">
        <v>2402</v>
      </c>
      <c r="G2783" t="s">
        <v>6615</v>
      </c>
      <c r="H2783" t="s">
        <v>11855</v>
      </c>
      <c r="I2783">
        <v>6</v>
      </c>
      <c r="J2783" t="s">
        <v>18892</v>
      </c>
      <c r="K2783">
        <v>10458</v>
      </c>
      <c r="L2783" t="s">
        <v>18958</v>
      </c>
      <c r="M2783" t="s">
        <v>18958</v>
      </c>
      <c r="N2783" t="s">
        <v>21040</v>
      </c>
      <c r="O2783" t="s">
        <v>26523</v>
      </c>
      <c r="P2783" t="s">
        <v>26560</v>
      </c>
      <c r="Q2783" t="s">
        <v>26568</v>
      </c>
      <c r="R2783" t="s">
        <v>26577</v>
      </c>
      <c r="S2783" t="s">
        <v>18959</v>
      </c>
      <c r="U2783" t="s">
        <v>26604</v>
      </c>
      <c r="V2783" t="s">
        <v>26612</v>
      </c>
      <c r="W2783" t="s">
        <v>643</v>
      </c>
      <c r="X2783">
        <v>1040.34</v>
      </c>
      <c r="Y2783" t="s">
        <v>26650</v>
      </c>
      <c r="Z2783" t="s">
        <v>26668</v>
      </c>
      <c r="AA2783" t="s">
        <v>26678</v>
      </c>
      <c r="AB2783" t="s">
        <v>28899</v>
      </c>
      <c r="AC2783" t="s">
        <v>35329</v>
      </c>
      <c r="AD2783" t="s">
        <v>39173</v>
      </c>
      <c r="AE2783">
        <v>41</v>
      </c>
      <c r="AF2783" t="s">
        <v>45541</v>
      </c>
      <c r="AG2783" t="s">
        <v>45562</v>
      </c>
      <c r="AH2783">
        <v>2</v>
      </c>
      <c r="AI2783">
        <v>1</v>
      </c>
      <c r="AJ2783">
        <v>1</v>
      </c>
      <c r="AK2783">
        <v>164.03</v>
      </c>
      <c r="AN2783" t="s">
        <v>7439</v>
      </c>
      <c r="AO2783">
        <v>27000</v>
      </c>
      <c r="AQ2783" t="s">
        <v>46365</v>
      </c>
      <c r="AR2783" t="s">
        <v>46379</v>
      </c>
      <c r="AS2783" t="s">
        <v>46499</v>
      </c>
      <c r="AT2783" t="s">
        <v>46689</v>
      </c>
      <c r="AU2783">
        <v>29.55</v>
      </c>
      <c r="AV2783" t="s">
        <v>694</v>
      </c>
      <c r="AW2783" t="s">
        <v>334</v>
      </c>
    </row>
    <row r="2784" spans="1:50">
      <c r="A2784" s="1">
        <f>HYPERLINK("https://lsnyc.legalserver.org/matter/dynamic-profile/view/1879989","18-1879989")</f>
        <v>0</v>
      </c>
      <c r="B2784" t="s">
        <v>109</v>
      </c>
      <c r="C2784" t="s">
        <v>340</v>
      </c>
      <c r="D2784" t="s">
        <v>643</v>
      </c>
      <c r="F2784" t="s">
        <v>1253</v>
      </c>
      <c r="G2784" t="s">
        <v>6616</v>
      </c>
      <c r="H2784" t="s">
        <v>11856</v>
      </c>
      <c r="I2784" t="s">
        <v>17624</v>
      </c>
      <c r="J2784" t="s">
        <v>18902</v>
      </c>
      <c r="K2784">
        <v>10304</v>
      </c>
      <c r="L2784" t="s">
        <v>18958</v>
      </c>
      <c r="M2784" t="s">
        <v>18958</v>
      </c>
      <c r="N2784" t="s">
        <v>19045</v>
      </c>
      <c r="O2784" t="s">
        <v>26537</v>
      </c>
      <c r="P2784" t="s">
        <v>26562</v>
      </c>
      <c r="R2784" t="s">
        <v>26578</v>
      </c>
      <c r="S2784" t="s">
        <v>18959</v>
      </c>
      <c r="U2784" t="s">
        <v>26604</v>
      </c>
      <c r="V2784" t="s">
        <v>26610</v>
      </c>
      <c r="W2784" t="s">
        <v>643</v>
      </c>
      <c r="X2784">
        <v>1300</v>
      </c>
      <c r="Y2784" t="s">
        <v>26654</v>
      </c>
      <c r="Z2784" t="s">
        <v>26671</v>
      </c>
      <c r="AB2784" t="s">
        <v>29120</v>
      </c>
      <c r="AD2784" t="s">
        <v>39174</v>
      </c>
      <c r="AE2784">
        <v>4</v>
      </c>
      <c r="AF2784" t="s">
        <v>45541</v>
      </c>
      <c r="AH2784">
        <v>26</v>
      </c>
      <c r="AI2784">
        <v>1</v>
      </c>
      <c r="AJ2784">
        <v>0</v>
      </c>
      <c r="AK2784">
        <v>149.92</v>
      </c>
      <c r="AL2784" t="s">
        <v>45567</v>
      </c>
      <c r="AM2784" t="s">
        <v>45577</v>
      </c>
      <c r="AN2784" t="s">
        <v>7439</v>
      </c>
      <c r="AO2784">
        <v>18200</v>
      </c>
      <c r="AQ2784" t="s">
        <v>46362</v>
      </c>
      <c r="AR2784" t="s">
        <v>46410</v>
      </c>
      <c r="AS2784" t="s">
        <v>46499</v>
      </c>
      <c r="AT2784" t="s">
        <v>46758</v>
      </c>
      <c r="AU2784">
        <v>1.65</v>
      </c>
      <c r="AV2784" t="s">
        <v>26644</v>
      </c>
      <c r="AW2784" t="s">
        <v>145</v>
      </c>
    </row>
    <row r="2785" spans="1:49">
      <c r="A2785" s="1">
        <f>HYPERLINK("https://lsnyc.legalserver.org/matter/dynamic-profile/view/1881793","18-1881793")</f>
        <v>0</v>
      </c>
      <c r="B2785" t="s">
        <v>59</v>
      </c>
      <c r="C2785" t="s">
        <v>340</v>
      </c>
      <c r="D2785" t="s">
        <v>643</v>
      </c>
      <c r="F2785" t="s">
        <v>1467</v>
      </c>
      <c r="G2785" t="s">
        <v>5385</v>
      </c>
      <c r="H2785" t="s">
        <v>10194</v>
      </c>
      <c r="I2785" t="s">
        <v>17290</v>
      </c>
      <c r="J2785" t="s">
        <v>18893</v>
      </c>
      <c r="K2785">
        <v>10032</v>
      </c>
      <c r="L2785" t="s">
        <v>18958</v>
      </c>
      <c r="M2785" t="s">
        <v>18958</v>
      </c>
      <c r="N2785" t="s">
        <v>21041</v>
      </c>
      <c r="O2785" t="s">
        <v>26523</v>
      </c>
      <c r="P2785" t="s">
        <v>26565</v>
      </c>
      <c r="R2785" t="s">
        <v>26578</v>
      </c>
      <c r="U2785" t="s">
        <v>26604</v>
      </c>
      <c r="W2785" t="s">
        <v>643</v>
      </c>
      <c r="X2785">
        <v>802</v>
      </c>
      <c r="Y2785" t="s">
        <v>26651</v>
      </c>
      <c r="Z2785" t="s">
        <v>26660</v>
      </c>
      <c r="AB2785" t="s">
        <v>29121</v>
      </c>
      <c r="AD2785" t="s">
        <v>39175</v>
      </c>
      <c r="AE2785">
        <v>0</v>
      </c>
      <c r="AF2785" t="s">
        <v>45541</v>
      </c>
      <c r="AG2785" t="s">
        <v>19330</v>
      </c>
      <c r="AH2785">
        <v>6</v>
      </c>
      <c r="AI2785">
        <v>2</v>
      </c>
      <c r="AJ2785">
        <v>1</v>
      </c>
      <c r="AK2785">
        <v>72.18000000000001</v>
      </c>
      <c r="AN2785" t="s">
        <v>45581</v>
      </c>
      <c r="AO2785">
        <v>15000</v>
      </c>
      <c r="AU2785">
        <v>1.3</v>
      </c>
      <c r="AV2785" t="s">
        <v>788</v>
      </c>
      <c r="AW2785" t="s">
        <v>314</v>
      </c>
    </row>
    <row r="2786" spans="1:49">
      <c r="A2786" s="1">
        <f>HYPERLINK("https://lsnyc.legalserver.org/matter/dynamic-profile/view/1849608","17-1849608")</f>
        <v>0</v>
      </c>
      <c r="B2786" t="s">
        <v>70</v>
      </c>
      <c r="C2786" t="s">
        <v>341</v>
      </c>
      <c r="D2786" t="s">
        <v>543</v>
      </c>
      <c r="E2786" t="s">
        <v>689</v>
      </c>
      <c r="F2786" t="s">
        <v>1480</v>
      </c>
      <c r="G2786" t="s">
        <v>6617</v>
      </c>
      <c r="H2786" t="s">
        <v>11857</v>
      </c>
      <c r="I2786" t="s">
        <v>17616</v>
      </c>
      <c r="J2786" t="s">
        <v>18892</v>
      </c>
      <c r="K2786">
        <v>10467</v>
      </c>
      <c r="L2786" t="s">
        <v>18958</v>
      </c>
      <c r="M2786" t="s">
        <v>18958</v>
      </c>
      <c r="N2786" t="s">
        <v>21042</v>
      </c>
      <c r="O2786" t="s">
        <v>26523</v>
      </c>
      <c r="P2786" t="s">
        <v>26560</v>
      </c>
      <c r="Q2786" t="s">
        <v>26568</v>
      </c>
      <c r="R2786" t="s">
        <v>26579</v>
      </c>
      <c r="S2786" t="s">
        <v>18959</v>
      </c>
      <c r="U2786" t="s">
        <v>26604</v>
      </c>
      <c r="V2786" t="s">
        <v>26611</v>
      </c>
      <c r="W2786" t="s">
        <v>645</v>
      </c>
      <c r="X2786">
        <v>1250</v>
      </c>
      <c r="Y2786" t="s">
        <v>26650</v>
      </c>
      <c r="Z2786" t="s">
        <v>26656</v>
      </c>
      <c r="AA2786" t="s">
        <v>26680</v>
      </c>
      <c r="AB2786" t="s">
        <v>29122</v>
      </c>
      <c r="AC2786" t="s">
        <v>35330</v>
      </c>
      <c r="AD2786" t="s">
        <v>39176</v>
      </c>
      <c r="AE2786">
        <v>12</v>
      </c>
      <c r="AF2786" t="s">
        <v>45554</v>
      </c>
      <c r="AG2786" t="s">
        <v>19330</v>
      </c>
      <c r="AH2786">
        <v>2</v>
      </c>
      <c r="AI2786">
        <v>1</v>
      </c>
      <c r="AJ2786">
        <v>0</v>
      </c>
      <c r="AK2786">
        <v>129.35</v>
      </c>
      <c r="AN2786" t="s">
        <v>7439</v>
      </c>
      <c r="AO2786">
        <v>15600</v>
      </c>
      <c r="AP2786" t="s">
        <v>45621</v>
      </c>
      <c r="AQ2786" t="s">
        <v>46361</v>
      </c>
      <c r="AR2786" t="s">
        <v>46470</v>
      </c>
      <c r="AS2786" t="s">
        <v>46499</v>
      </c>
      <c r="AT2786" t="s">
        <v>46618</v>
      </c>
      <c r="AU2786">
        <v>24.1</v>
      </c>
      <c r="AV2786" t="s">
        <v>689</v>
      </c>
      <c r="AW2786" t="s">
        <v>46849</v>
      </c>
    </row>
    <row r="2787" spans="1:49">
      <c r="A2787" s="1">
        <f>HYPERLINK("https://lsnyc.legalserver.org/matter/dynamic-profile/view/1850041","17-1850041")</f>
        <v>0</v>
      </c>
      <c r="B2787" t="s">
        <v>120</v>
      </c>
      <c r="C2787" t="s">
        <v>340</v>
      </c>
      <c r="D2787" t="s">
        <v>543</v>
      </c>
      <c r="F2787" t="s">
        <v>2403</v>
      </c>
      <c r="G2787" t="s">
        <v>5208</v>
      </c>
      <c r="H2787" t="s">
        <v>11858</v>
      </c>
      <c r="I2787" t="s">
        <v>17352</v>
      </c>
      <c r="J2787" t="s">
        <v>18892</v>
      </c>
      <c r="K2787">
        <v>10473</v>
      </c>
      <c r="L2787" t="s">
        <v>18958</v>
      </c>
      <c r="M2787" t="s">
        <v>18960</v>
      </c>
      <c r="N2787" t="s">
        <v>21043</v>
      </c>
      <c r="O2787" t="s">
        <v>26524</v>
      </c>
      <c r="P2787" t="s">
        <v>26560</v>
      </c>
      <c r="R2787" t="s">
        <v>26577</v>
      </c>
      <c r="S2787" t="s">
        <v>18959</v>
      </c>
      <c r="U2787" t="s">
        <v>26605</v>
      </c>
      <c r="V2787" t="s">
        <v>26612</v>
      </c>
      <c r="W2787" t="s">
        <v>645</v>
      </c>
      <c r="X2787">
        <v>330</v>
      </c>
      <c r="Y2787" t="s">
        <v>26650</v>
      </c>
      <c r="Z2787" t="s">
        <v>26670</v>
      </c>
      <c r="AB2787" t="s">
        <v>29123</v>
      </c>
      <c r="AC2787" t="s">
        <v>35331</v>
      </c>
      <c r="AD2787" t="s">
        <v>39177</v>
      </c>
      <c r="AE2787">
        <v>0</v>
      </c>
      <c r="AF2787" t="s">
        <v>45542</v>
      </c>
      <c r="AG2787" t="s">
        <v>19330</v>
      </c>
      <c r="AH2787">
        <v>5</v>
      </c>
      <c r="AI2787">
        <v>3</v>
      </c>
      <c r="AJ2787">
        <v>0</v>
      </c>
      <c r="AK2787">
        <v>48.19</v>
      </c>
      <c r="AN2787" t="s">
        <v>45581</v>
      </c>
      <c r="AO2787">
        <v>9840</v>
      </c>
      <c r="AU2787">
        <v>27.5</v>
      </c>
      <c r="AV2787" t="s">
        <v>831</v>
      </c>
      <c r="AW2787" t="s">
        <v>46832</v>
      </c>
    </row>
    <row r="2788" spans="1:49">
      <c r="A2788" s="1">
        <f>HYPERLINK("https://lsnyc.legalserver.org/matter/dynamic-profile/view/1868626","18-1868626")</f>
        <v>0</v>
      </c>
      <c r="B2788" t="s">
        <v>135</v>
      </c>
      <c r="C2788" t="s">
        <v>341</v>
      </c>
      <c r="D2788" t="s">
        <v>394</v>
      </c>
      <c r="E2788" t="s">
        <v>494</v>
      </c>
      <c r="F2788" t="s">
        <v>1233</v>
      </c>
      <c r="G2788" t="s">
        <v>5185</v>
      </c>
      <c r="H2788" t="s">
        <v>11859</v>
      </c>
      <c r="I2788" t="s">
        <v>17316</v>
      </c>
      <c r="J2788" t="s">
        <v>18892</v>
      </c>
      <c r="K2788">
        <v>10453</v>
      </c>
      <c r="L2788" t="s">
        <v>18958</v>
      </c>
      <c r="M2788" t="s">
        <v>18958</v>
      </c>
      <c r="O2788" t="s">
        <v>26523</v>
      </c>
      <c r="P2788" t="s">
        <v>26564</v>
      </c>
      <c r="Q2788" t="s">
        <v>26570</v>
      </c>
      <c r="R2788" t="s">
        <v>26578</v>
      </c>
      <c r="S2788" t="s">
        <v>18959</v>
      </c>
      <c r="U2788" t="s">
        <v>26604</v>
      </c>
      <c r="W2788" t="s">
        <v>645</v>
      </c>
      <c r="X2788">
        <v>906</v>
      </c>
      <c r="Y2788" t="s">
        <v>26650</v>
      </c>
      <c r="Z2788" t="s">
        <v>26659</v>
      </c>
      <c r="AA2788" t="s">
        <v>26683</v>
      </c>
      <c r="AB2788" t="s">
        <v>29124</v>
      </c>
      <c r="AD2788" t="s">
        <v>39178</v>
      </c>
      <c r="AE2788">
        <v>30</v>
      </c>
      <c r="AF2788" t="s">
        <v>45541</v>
      </c>
      <c r="AG2788" t="s">
        <v>19330</v>
      </c>
      <c r="AH2788">
        <v>8</v>
      </c>
      <c r="AI2788">
        <v>1</v>
      </c>
      <c r="AJ2788">
        <v>0</v>
      </c>
      <c r="AK2788">
        <v>33.89</v>
      </c>
      <c r="AN2788" t="s">
        <v>7439</v>
      </c>
      <c r="AO2788">
        <v>4114</v>
      </c>
      <c r="AP2788" t="s">
        <v>45766</v>
      </c>
      <c r="AU2788">
        <v>2.15</v>
      </c>
      <c r="AV2788" t="s">
        <v>605</v>
      </c>
      <c r="AW2788" t="s">
        <v>46847</v>
      </c>
    </row>
    <row r="2789" spans="1:49">
      <c r="A2789" s="1">
        <f>HYPERLINK("https://lsnyc.legalserver.org/matter/dynamic-profile/view/1871387","18-1871387")</f>
        <v>0</v>
      </c>
      <c r="B2789" t="s">
        <v>100</v>
      </c>
      <c r="C2789" t="s">
        <v>341</v>
      </c>
      <c r="D2789" t="s">
        <v>419</v>
      </c>
      <c r="E2789" t="s">
        <v>494</v>
      </c>
      <c r="F2789" t="s">
        <v>1527</v>
      </c>
      <c r="G2789" t="s">
        <v>6618</v>
      </c>
      <c r="H2789" t="s">
        <v>11221</v>
      </c>
      <c r="I2789" t="s">
        <v>17283</v>
      </c>
      <c r="J2789" t="s">
        <v>18892</v>
      </c>
      <c r="K2789">
        <v>10452</v>
      </c>
      <c r="L2789" t="s">
        <v>18958</v>
      </c>
      <c r="M2789" t="s">
        <v>18960</v>
      </c>
      <c r="O2789" t="s">
        <v>26539</v>
      </c>
      <c r="P2789" t="s">
        <v>26564</v>
      </c>
      <c r="Q2789" t="s">
        <v>26570</v>
      </c>
      <c r="R2789" t="s">
        <v>26578</v>
      </c>
      <c r="U2789" t="s">
        <v>26604</v>
      </c>
      <c r="W2789" t="s">
        <v>645</v>
      </c>
      <c r="X2789">
        <v>1013</v>
      </c>
      <c r="Y2789" t="s">
        <v>26650</v>
      </c>
      <c r="Z2789" t="s">
        <v>26661</v>
      </c>
      <c r="AA2789" t="s">
        <v>26683</v>
      </c>
      <c r="AB2789" t="s">
        <v>29125</v>
      </c>
      <c r="AD2789" t="s">
        <v>39179</v>
      </c>
      <c r="AE2789">
        <v>58</v>
      </c>
      <c r="AF2789" t="s">
        <v>45552</v>
      </c>
      <c r="AG2789" t="s">
        <v>45559</v>
      </c>
      <c r="AH2789">
        <v>28</v>
      </c>
      <c r="AI2789">
        <v>1</v>
      </c>
      <c r="AJ2789">
        <v>0</v>
      </c>
      <c r="AK2789">
        <v>158.15</v>
      </c>
      <c r="AN2789" t="s">
        <v>7439</v>
      </c>
      <c r="AO2789">
        <v>19200</v>
      </c>
      <c r="AU2789">
        <v>1.7</v>
      </c>
      <c r="AV2789" t="s">
        <v>458</v>
      </c>
      <c r="AW2789" t="s">
        <v>46842</v>
      </c>
    </row>
    <row r="2790" spans="1:49">
      <c r="A2790" s="1">
        <f>HYPERLINK("https://lsnyc.legalserver.org/matter/dynamic-profile/view/1872597","18-1872597")</f>
        <v>0</v>
      </c>
      <c r="B2790" t="s">
        <v>135</v>
      </c>
      <c r="C2790" t="s">
        <v>341</v>
      </c>
      <c r="D2790" t="s">
        <v>409</v>
      </c>
      <c r="E2790" t="s">
        <v>645</v>
      </c>
      <c r="F2790" t="s">
        <v>2404</v>
      </c>
      <c r="G2790" t="s">
        <v>5147</v>
      </c>
      <c r="H2790" t="s">
        <v>11860</v>
      </c>
      <c r="I2790" t="s">
        <v>17306</v>
      </c>
      <c r="J2790" t="s">
        <v>18892</v>
      </c>
      <c r="K2790">
        <v>10453</v>
      </c>
      <c r="L2790" t="s">
        <v>18958</v>
      </c>
      <c r="M2790" t="s">
        <v>18959</v>
      </c>
      <c r="O2790" t="s">
        <v>26524</v>
      </c>
      <c r="P2790" t="s">
        <v>26564</v>
      </c>
      <c r="Q2790" t="s">
        <v>26570</v>
      </c>
      <c r="R2790" t="s">
        <v>26591</v>
      </c>
      <c r="S2790" t="s">
        <v>18959</v>
      </c>
      <c r="U2790" t="s">
        <v>26604</v>
      </c>
      <c r="W2790" t="s">
        <v>645</v>
      </c>
      <c r="X2790">
        <v>1800</v>
      </c>
      <c r="Y2790" t="s">
        <v>26650</v>
      </c>
      <c r="AA2790" t="s">
        <v>26683</v>
      </c>
      <c r="AB2790" t="s">
        <v>29126</v>
      </c>
      <c r="AE2790">
        <v>0</v>
      </c>
      <c r="AG2790" t="s">
        <v>19330</v>
      </c>
      <c r="AH2790">
        <v>10</v>
      </c>
      <c r="AI2790">
        <v>1</v>
      </c>
      <c r="AJ2790">
        <v>0</v>
      </c>
      <c r="AK2790">
        <v>0</v>
      </c>
      <c r="AO2790">
        <v>0</v>
      </c>
      <c r="AP2790" t="s">
        <v>45767</v>
      </c>
      <c r="AU2790">
        <v>0.5</v>
      </c>
      <c r="AV2790" t="s">
        <v>409</v>
      </c>
      <c r="AW2790" t="s">
        <v>46847</v>
      </c>
    </row>
    <row r="2791" spans="1:49">
      <c r="A2791" s="1">
        <f>HYPERLINK("https://lsnyc.legalserver.org/matter/dynamic-profile/view/1872608","18-1872608")</f>
        <v>0</v>
      </c>
      <c r="B2791" t="s">
        <v>135</v>
      </c>
      <c r="C2791" t="s">
        <v>341</v>
      </c>
      <c r="D2791" t="s">
        <v>409</v>
      </c>
      <c r="E2791" t="s">
        <v>852</v>
      </c>
      <c r="F2791" t="s">
        <v>1955</v>
      </c>
      <c r="G2791" t="s">
        <v>6338</v>
      </c>
      <c r="H2791" t="s">
        <v>11861</v>
      </c>
      <c r="I2791" t="s">
        <v>17436</v>
      </c>
      <c r="J2791" t="s">
        <v>18892</v>
      </c>
      <c r="K2791">
        <v>10452</v>
      </c>
      <c r="L2791" t="s">
        <v>18958</v>
      </c>
      <c r="M2791" t="s">
        <v>18958</v>
      </c>
      <c r="N2791" t="s">
        <v>19045</v>
      </c>
      <c r="O2791" t="s">
        <v>26529</v>
      </c>
      <c r="P2791" t="s">
        <v>26564</v>
      </c>
      <c r="Q2791" t="s">
        <v>26570</v>
      </c>
      <c r="R2791" t="s">
        <v>26578</v>
      </c>
      <c r="S2791" t="s">
        <v>18959</v>
      </c>
      <c r="U2791" t="s">
        <v>26604</v>
      </c>
      <c r="V2791" t="s">
        <v>26610</v>
      </c>
      <c r="W2791" t="s">
        <v>645</v>
      </c>
      <c r="X2791">
        <v>165</v>
      </c>
      <c r="Y2791" t="s">
        <v>26650</v>
      </c>
      <c r="Z2791" t="s">
        <v>26663</v>
      </c>
      <c r="AA2791" t="s">
        <v>26683</v>
      </c>
      <c r="AB2791" t="s">
        <v>29127</v>
      </c>
      <c r="AD2791" t="s">
        <v>39180</v>
      </c>
      <c r="AE2791">
        <v>56</v>
      </c>
      <c r="AF2791" t="s">
        <v>45541</v>
      </c>
      <c r="AG2791" t="s">
        <v>45556</v>
      </c>
      <c r="AH2791">
        <v>40</v>
      </c>
      <c r="AI2791">
        <v>1</v>
      </c>
      <c r="AJ2791">
        <v>0</v>
      </c>
      <c r="AK2791">
        <v>98.84999999999999</v>
      </c>
      <c r="AN2791" t="s">
        <v>7439</v>
      </c>
      <c r="AO2791">
        <v>12000</v>
      </c>
      <c r="AU2791">
        <v>0.5</v>
      </c>
      <c r="AV2791" t="s">
        <v>409</v>
      </c>
      <c r="AW2791" t="s">
        <v>46847</v>
      </c>
    </row>
    <row r="2792" spans="1:49">
      <c r="A2792" s="1">
        <f>HYPERLINK("https://lsnyc.legalserver.org/matter/dynamic-profile/view/1872588","18-1872588")</f>
        <v>0</v>
      </c>
      <c r="B2792" t="s">
        <v>135</v>
      </c>
      <c r="C2792" t="s">
        <v>341</v>
      </c>
      <c r="D2792" t="s">
        <v>409</v>
      </c>
      <c r="E2792" t="s">
        <v>852</v>
      </c>
      <c r="F2792" t="s">
        <v>1056</v>
      </c>
      <c r="G2792" t="s">
        <v>5138</v>
      </c>
      <c r="H2792" t="s">
        <v>10438</v>
      </c>
      <c r="I2792" t="s">
        <v>17436</v>
      </c>
      <c r="J2792" t="s">
        <v>18892</v>
      </c>
      <c r="K2792">
        <v>10459</v>
      </c>
      <c r="L2792" t="s">
        <v>18958</v>
      </c>
      <c r="M2792" t="s">
        <v>18958</v>
      </c>
      <c r="N2792" t="s">
        <v>18993</v>
      </c>
      <c r="O2792" t="s">
        <v>26537</v>
      </c>
      <c r="P2792" t="s">
        <v>26564</v>
      </c>
      <c r="Q2792" t="s">
        <v>26570</v>
      </c>
      <c r="R2792" t="s">
        <v>26578</v>
      </c>
      <c r="S2792" t="s">
        <v>18959</v>
      </c>
      <c r="U2792" t="s">
        <v>26604</v>
      </c>
      <c r="W2792" t="s">
        <v>645</v>
      </c>
      <c r="X2792">
        <v>0</v>
      </c>
      <c r="Y2792" t="s">
        <v>26650</v>
      </c>
      <c r="Z2792" t="s">
        <v>26660</v>
      </c>
      <c r="AA2792" t="s">
        <v>26683</v>
      </c>
      <c r="AB2792" t="s">
        <v>29128</v>
      </c>
      <c r="AD2792" t="s">
        <v>39181</v>
      </c>
      <c r="AE2792">
        <v>25</v>
      </c>
      <c r="AF2792" t="s">
        <v>45543</v>
      </c>
      <c r="AG2792" t="s">
        <v>45556</v>
      </c>
      <c r="AH2792">
        <v>0</v>
      </c>
      <c r="AI2792">
        <v>2</v>
      </c>
      <c r="AJ2792">
        <v>0</v>
      </c>
      <c r="AK2792">
        <v>106.15</v>
      </c>
      <c r="AO2792">
        <v>17472</v>
      </c>
      <c r="AU2792">
        <v>0.5</v>
      </c>
      <c r="AV2792" t="s">
        <v>409</v>
      </c>
      <c r="AW2792" t="s">
        <v>46847</v>
      </c>
    </row>
    <row r="2793" spans="1:49">
      <c r="A2793" s="1">
        <f>HYPERLINK("https://lsnyc.legalserver.org/matter/dynamic-profile/view/1872615","18-1872615")</f>
        <v>0</v>
      </c>
      <c r="B2793" t="s">
        <v>135</v>
      </c>
      <c r="C2793" t="s">
        <v>341</v>
      </c>
      <c r="D2793" t="s">
        <v>409</v>
      </c>
      <c r="E2793" t="s">
        <v>852</v>
      </c>
      <c r="F2793" t="s">
        <v>937</v>
      </c>
      <c r="G2793" t="s">
        <v>5785</v>
      </c>
      <c r="H2793" t="s">
        <v>11862</v>
      </c>
      <c r="I2793" t="s">
        <v>17884</v>
      </c>
      <c r="J2793" t="s">
        <v>18892</v>
      </c>
      <c r="K2793">
        <v>10452</v>
      </c>
      <c r="L2793" t="s">
        <v>18958</v>
      </c>
      <c r="M2793" t="s">
        <v>18958</v>
      </c>
      <c r="O2793" t="s">
        <v>26529</v>
      </c>
      <c r="P2793" t="s">
        <v>26564</v>
      </c>
      <c r="Q2793" t="s">
        <v>26570</v>
      </c>
      <c r="R2793" t="s">
        <v>26578</v>
      </c>
      <c r="S2793" t="s">
        <v>18959</v>
      </c>
      <c r="U2793" t="s">
        <v>26604</v>
      </c>
      <c r="W2793" t="s">
        <v>645</v>
      </c>
      <c r="X2793">
        <v>1050</v>
      </c>
      <c r="Y2793" t="s">
        <v>26650</v>
      </c>
      <c r="Z2793" t="s">
        <v>26663</v>
      </c>
      <c r="AA2793" t="s">
        <v>26683</v>
      </c>
      <c r="AB2793" t="s">
        <v>29129</v>
      </c>
      <c r="AD2793" t="s">
        <v>39182</v>
      </c>
      <c r="AE2793">
        <v>49</v>
      </c>
      <c r="AF2793" t="s">
        <v>45541</v>
      </c>
      <c r="AG2793" t="s">
        <v>45559</v>
      </c>
      <c r="AH2793">
        <v>44</v>
      </c>
      <c r="AI2793">
        <v>2</v>
      </c>
      <c r="AJ2793">
        <v>0</v>
      </c>
      <c r="AK2793">
        <v>176.18</v>
      </c>
      <c r="AN2793" t="s">
        <v>7439</v>
      </c>
      <c r="AO2793">
        <v>29000</v>
      </c>
      <c r="AU2793">
        <v>0.5</v>
      </c>
      <c r="AV2793" t="s">
        <v>409</v>
      </c>
      <c r="AW2793" t="s">
        <v>46847</v>
      </c>
    </row>
    <row r="2794" spans="1:49">
      <c r="A2794" s="1">
        <f>HYPERLINK("https://lsnyc.legalserver.org/matter/dynamic-profile/view/1872604","18-1872604")</f>
        <v>0</v>
      </c>
      <c r="B2794" t="s">
        <v>135</v>
      </c>
      <c r="C2794" t="s">
        <v>341</v>
      </c>
      <c r="D2794" t="s">
        <v>409</v>
      </c>
      <c r="E2794" t="s">
        <v>852</v>
      </c>
      <c r="F2794" t="s">
        <v>1527</v>
      </c>
      <c r="G2794" t="s">
        <v>6618</v>
      </c>
      <c r="H2794" t="s">
        <v>11221</v>
      </c>
      <c r="I2794" t="s">
        <v>17283</v>
      </c>
      <c r="J2794" t="s">
        <v>18892</v>
      </c>
      <c r="K2794">
        <v>10452</v>
      </c>
      <c r="L2794" t="s">
        <v>18958</v>
      </c>
      <c r="M2794" t="s">
        <v>18958</v>
      </c>
      <c r="O2794" t="s">
        <v>26539</v>
      </c>
      <c r="P2794" t="s">
        <v>26564</v>
      </c>
      <c r="Q2794" t="s">
        <v>26570</v>
      </c>
      <c r="R2794" t="s">
        <v>26578</v>
      </c>
      <c r="S2794" t="s">
        <v>18959</v>
      </c>
      <c r="U2794" t="s">
        <v>26604</v>
      </c>
      <c r="W2794" t="s">
        <v>645</v>
      </c>
      <c r="X2794">
        <v>1013.89</v>
      </c>
      <c r="Y2794" t="s">
        <v>26650</v>
      </c>
      <c r="AA2794" t="s">
        <v>26683</v>
      </c>
      <c r="AB2794" t="s">
        <v>29125</v>
      </c>
      <c r="AD2794" t="s">
        <v>39179</v>
      </c>
      <c r="AE2794">
        <v>58</v>
      </c>
      <c r="AF2794" t="s">
        <v>45541</v>
      </c>
      <c r="AG2794" t="s">
        <v>45559</v>
      </c>
      <c r="AH2794">
        <v>28</v>
      </c>
      <c r="AI2794">
        <v>1</v>
      </c>
      <c r="AJ2794">
        <v>0</v>
      </c>
      <c r="AK2794">
        <v>178.22</v>
      </c>
      <c r="AN2794" t="s">
        <v>7439</v>
      </c>
      <c r="AO2794">
        <v>21636</v>
      </c>
      <c r="AU2794">
        <v>0.5</v>
      </c>
      <c r="AV2794" t="s">
        <v>409</v>
      </c>
      <c r="AW2794" t="s">
        <v>46847</v>
      </c>
    </row>
    <row r="2795" spans="1:49">
      <c r="A2795" s="1">
        <f>HYPERLINK("https://lsnyc.legalserver.org/matter/dynamic-profile/view/1874359","18-1874359")</f>
        <v>0</v>
      </c>
      <c r="B2795" t="s">
        <v>202</v>
      </c>
      <c r="C2795" t="s">
        <v>341</v>
      </c>
      <c r="D2795" t="s">
        <v>500</v>
      </c>
      <c r="E2795" t="s">
        <v>645</v>
      </c>
      <c r="F2795" t="s">
        <v>2087</v>
      </c>
      <c r="G2795" t="s">
        <v>1384</v>
      </c>
      <c r="H2795" t="s">
        <v>11863</v>
      </c>
      <c r="I2795" t="s">
        <v>17407</v>
      </c>
      <c r="J2795" t="s">
        <v>18894</v>
      </c>
      <c r="K2795">
        <v>11213</v>
      </c>
      <c r="L2795" t="s">
        <v>18958</v>
      </c>
      <c r="M2795" t="s">
        <v>18958</v>
      </c>
      <c r="N2795" t="s">
        <v>21044</v>
      </c>
      <c r="O2795" t="s">
        <v>26526</v>
      </c>
      <c r="P2795" t="s">
        <v>26560</v>
      </c>
      <c r="Q2795" t="s">
        <v>26569</v>
      </c>
      <c r="R2795" t="s">
        <v>26586</v>
      </c>
      <c r="S2795" t="s">
        <v>18959</v>
      </c>
      <c r="T2795" t="s">
        <v>26586</v>
      </c>
      <c r="U2795" t="s">
        <v>26604</v>
      </c>
      <c r="W2795" t="s">
        <v>645</v>
      </c>
      <c r="X2795">
        <v>1053.76</v>
      </c>
      <c r="Y2795" t="s">
        <v>26652</v>
      </c>
      <c r="Z2795" t="s">
        <v>26662</v>
      </c>
      <c r="AA2795" t="s">
        <v>26678</v>
      </c>
      <c r="AB2795" t="s">
        <v>29130</v>
      </c>
      <c r="AD2795" t="s">
        <v>39183</v>
      </c>
      <c r="AE2795">
        <v>30</v>
      </c>
      <c r="AF2795" t="s">
        <v>20460</v>
      </c>
      <c r="AG2795" t="s">
        <v>19330</v>
      </c>
      <c r="AH2795">
        <v>14</v>
      </c>
      <c r="AI2795">
        <v>1</v>
      </c>
      <c r="AJ2795">
        <v>0</v>
      </c>
      <c r="AK2795">
        <v>189.46</v>
      </c>
      <c r="AN2795" t="s">
        <v>7439</v>
      </c>
      <c r="AO2795">
        <v>23000</v>
      </c>
      <c r="AS2795" t="s">
        <v>46499</v>
      </c>
      <c r="AT2795" t="s">
        <v>46576</v>
      </c>
      <c r="AU2795">
        <v>10.85</v>
      </c>
      <c r="AV2795" t="s">
        <v>645</v>
      </c>
      <c r="AW2795" t="s">
        <v>281</v>
      </c>
    </row>
    <row r="2796" spans="1:49">
      <c r="A2796" s="1">
        <f>HYPERLINK("https://lsnyc.legalserver.org/matter/dynamic-profile/view/1874415","18-1874415")</f>
        <v>0</v>
      </c>
      <c r="B2796" t="s">
        <v>135</v>
      </c>
      <c r="C2796" t="s">
        <v>340</v>
      </c>
      <c r="D2796" t="s">
        <v>498</v>
      </c>
      <c r="F2796" t="s">
        <v>1847</v>
      </c>
      <c r="G2796" t="s">
        <v>6619</v>
      </c>
      <c r="H2796" t="s">
        <v>11864</v>
      </c>
      <c r="I2796" t="s">
        <v>17885</v>
      </c>
      <c r="J2796" t="s">
        <v>18892</v>
      </c>
      <c r="K2796">
        <v>10452</v>
      </c>
      <c r="L2796" t="s">
        <v>18958</v>
      </c>
      <c r="M2796" t="s">
        <v>18958</v>
      </c>
      <c r="N2796" t="s">
        <v>21045</v>
      </c>
      <c r="O2796" t="s">
        <v>26523</v>
      </c>
      <c r="P2796" t="s">
        <v>26560</v>
      </c>
      <c r="R2796" t="s">
        <v>26578</v>
      </c>
      <c r="S2796" t="s">
        <v>18959</v>
      </c>
      <c r="U2796" t="s">
        <v>26604</v>
      </c>
      <c r="V2796" t="s">
        <v>26610</v>
      </c>
      <c r="W2796" t="s">
        <v>645</v>
      </c>
      <c r="X2796">
        <v>1285</v>
      </c>
      <c r="Y2796" t="s">
        <v>26650</v>
      </c>
      <c r="Z2796" t="s">
        <v>26659</v>
      </c>
      <c r="AB2796" t="s">
        <v>29131</v>
      </c>
      <c r="AD2796" t="s">
        <v>39184</v>
      </c>
      <c r="AE2796">
        <v>71</v>
      </c>
      <c r="AF2796" t="s">
        <v>45541</v>
      </c>
      <c r="AG2796" t="s">
        <v>19330</v>
      </c>
      <c r="AH2796">
        <v>15</v>
      </c>
      <c r="AI2796">
        <v>1</v>
      </c>
      <c r="AJ2796">
        <v>4</v>
      </c>
      <c r="AK2796">
        <v>84.95999999999999</v>
      </c>
      <c r="AN2796" t="s">
        <v>45606</v>
      </c>
      <c r="AO2796">
        <v>24996</v>
      </c>
      <c r="AU2796">
        <v>17.9</v>
      </c>
      <c r="AV2796" t="s">
        <v>643</v>
      </c>
      <c r="AW2796" t="s">
        <v>292</v>
      </c>
    </row>
    <row r="2797" spans="1:49">
      <c r="A2797" s="1">
        <f>HYPERLINK("https://lsnyc.legalserver.org/matter/dynamic-profile/view/1876968","18-1876968")</f>
        <v>0</v>
      </c>
      <c r="B2797" t="s">
        <v>135</v>
      </c>
      <c r="C2797" t="s">
        <v>340</v>
      </c>
      <c r="D2797" t="s">
        <v>524</v>
      </c>
      <c r="F2797" t="s">
        <v>1191</v>
      </c>
      <c r="G2797" t="s">
        <v>6620</v>
      </c>
      <c r="H2797" t="s">
        <v>11865</v>
      </c>
      <c r="I2797" t="s">
        <v>17278</v>
      </c>
      <c r="J2797" t="s">
        <v>18892</v>
      </c>
      <c r="K2797">
        <v>10467</v>
      </c>
      <c r="L2797" t="s">
        <v>18958</v>
      </c>
      <c r="M2797" t="s">
        <v>18958</v>
      </c>
      <c r="N2797" t="s">
        <v>21046</v>
      </c>
      <c r="O2797" t="s">
        <v>26524</v>
      </c>
      <c r="P2797" t="s">
        <v>26560</v>
      </c>
      <c r="R2797" t="s">
        <v>26579</v>
      </c>
      <c r="T2797" t="s">
        <v>26579</v>
      </c>
      <c r="U2797" t="s">
        <v>26604</v>
      </c>
      <c r="W2797" t="s">
        <v>645</v>
      </c>
      <c r="X2797">
        <v>1800</v>
      </c>
      <c r="Y2797" t="s">
        <v>26650</v>
      </c>
      <c r="Z2797" t="s">
        <v>26659</v>
      </c>
      <c r="AB2797" t="s">
        <v>29132</v>
      </c>
      <c r="AC2797" t="s">
        <v>35332</v>
      </c>
      <c r="AD2797" t="s">
        <v>39185</v>
      </c>
      <c r="AE2797">
        <v>32</v>
      </c>
      <c r="AF2797" t="s">
        <v>45541</v>
      </c>
      <c r="AG2797" t="s">
        <v>45556</v>
      </c>
      <c r="AH2797">
        <v>3</v>
      </c>
      <c r="AI2797">
        <v>3</v>
      </c>
      <c r="AJ2797">
        <v>0</v>
      </c>
      <c r="AK2797">
        <v>202.12</v>
      </c>
      <c r="AL2797" t="s">
        <v>641</v>
      </c>
      <c r="AM2797" t="s">
        <v>45575</v>
      </c>
      <c r="AN2797" t="s">
        <v>45581</v>
      </c>
      <c r="AO2797">
        <v>42000</v>
      </c>
      <c r="AP2797" t="s">
        <v>45712</v>
      </c>
      <c r="AU2797">
        <v>7.4</v>
      </c>
      <c r="AV2797" t="s">
        <v>518</v>
      </c>
      <c r="AW2797" t="s">
        <v>46847</v>
      </c>
    </row>
    <row r="2798" spans="1:49">
      <c r="A2798" s="1">
        <f>HYPERLINK("https://lsnyc.legalserver.org/matter/dynamic-profile/view/1878632","18-1878632")</f>
        <v>0</v>
      </c>
      <c r="B2798" t="s">
        <v>130</v>
      </c>
      <c r="C2798" t="s">
        <v>341</v>
      </c>
      <c r="D2798" t="s">
        <v>451</v>
      </c>
      <c r="E2798" t="s">
        <v>645</v>
      </c>
      <c r="F2798" t="s">
        <v>1616</v>
      </c>
      <c r="G2798" t="s">
        <v>6071</v>
      </c>
      <c r="H2798" t="s">
        <v>11866</v>
      </c>
      <c r="I2798" t="s">
        <v>17886</v>
      </c>
      <c r="J2798" t="s">
        <v>18939</v>
      </c>
      <c r="K2798">
        <v>11423</v>
      </c>
      <c r="L2798" t="s">
        <v>18958</v>
      </c>
      <c r="M2798" t="s">
        <v>18958</v>
      </c>
      <c r="N2798" t="s">
        <v>21047</v>
      </c>
      <c r="O2798" t="s">
        <v>26524</v>
      </c>
      <c r="P2798" t="s">
        <v>26565</v>
      </c>
      <c r="Q2798" t="s">
        <v>26571</v>
      </c>
      <c r="R2798" t="s">
        <v>26584</v>
      </c>
      <c r="S2798" t="s">
        <v>18959</v>
      </c>
      <c r="U2798" t="s">
        <v>26604</v>
      </c>
      <c r="V2798" t="s">
        <v>26610</v>
      </c>
      <c r="W2798" t="s">
        <v>645</v>
      </c>
      <c r="X2798">
        <v>703.33</v>
      </c>
      <c r="Y2798" t="s">
        <v>26653</v>
      </c>
      <c r="Z2798" t="s">
        <v>26664</v>
      </c>
      <c r="AA2798" t="s">
        <v>26683</v>
      </c>
      <c r="AB2798" t="s">
        <v>29133</v>
      </c>
      <c r="AD2798" t="s">
        <v>39186</v>
      </c>
      <c r="AE2798">
        <v>50</v>
      </c>
      <c r="AF2798" t="s">
        <v>45541</v>
      </c>
      <c r="AG2798" t="s">
        <v>19330</v>
      </c>
      <c r="AH2798">
        <v>16</v>
      </c>
      <c r="AI2798">
        <v>4</v>
      </c>
      <c r="AJ2798">
        <v>1</v>
      </c>
      <c r="AK2798">
        <v>54</v>
      </c>
      <c r="AN2798" t="s">
        <v>7439</v>
      </c>
      <c r="AO2798">
        <v>15888</v>
      </c>
      <c r="AU2798">
        <v>7.3</v>
      </c>
      <c r="AV2798" t="s">
        <v>645</v>
      </c>
      <c r="AW2798" t="s">
        <v>122</v>
      </c>
    </row>
    <row r="2799" spans="1:49">
      <c r="A2799" s="1">
        <f>HYPERLINK("https://lsnyc.legalserver.org/matter/dynamic-profile/view/1878972","18-1878972")</f>
        <v>0</v>
      </c>
      <c r="B2799" t="s">
        <v>261</v>
      </c>
      <c r="C2799" t="s">
        <v>341</v>
      </c>
      <c r="D2799" t="s">
        <v>457</v>
      </c>
      <c r="E2799" t="s">
        <v>645</v>
      </c>
      <c r="F2799" t="s">
        <v>887</v>
      </c>
      <c r="G2799" t="s">
        <v>5313</v>
      </c>
      <c r="H2799" t="s">
        <v>11867</v>
      </c>
      <c r="I2799" t="s">
        <v>17288</v>
      </c>
      <c r="J2799" t="s">
        <v>18892</v>
      </c>
      <c r="K2799">
        <v>10452</v>
      </c>
      <c r="L2799" t="s">
        <v>18958</v>
      </c>
      <c r="M2799" t="s">
        <v>18958</v>
      </c>
      <c r="O2799" t="s">
        <v>26524</v>
      </c>
      <c r="P2799" t="s">
        <v>26564</v>
      </c>
      <c r="Q2799" t="s">
        <v>26570</v>
      </c>
      <c r="R2799" t="s">
        <v>26578</v>
      </c>
      <c r="S2799" t="s">
        <v>18959</v>
      </c>
      <c r="U2799" t="s">
        <v>26604</v>
      </c>
      <c r="V2799" t="s">
        <v>26610</v>
      </c>
      <c r="W2799" t="s">
        <v>645</v>
      </c>
      <c r="X2799">
        <v>0</v>
      </c>
      <c r="Y2799" t="s">
        <v>26650</v>
      </c>
      <c r="Z2799" t="s">
        <v>26663</v>
      </c>
      <c r="AA2799" t="s">
        <v>26683</v>
      </c>
      <c r="AB2799" t="s">
        <v>29134</v>
      </c>
      <c r="AD2799" t="s">
        <v>39187</v>
      </c>
      <c r="AE2799">
        <v>0</v>
      </c>
      <c r="AF2799" t="s">
        <v>20460</v>
      </c>
      <c r="AG2799" t="s">
        <v>19330</v>
      </c>
      <c r="AH2799">
        <v>0</v>
      </c>
      <c r="AI2799">
        <v>1</v>
      </c>
      <c r="AJ2799">
        <v>0</v>
      </c>
      <c r="AK2799">
        <v>79.08</v>
      </c>
      <c r="AN2799" t="s">
        <v>45581</v>
      </c>
      <c r="AO2799">
        <v>9600</v>
      </c>
      <c r="AU2799">
        <v>3.9</v>
      </c>
      <c r="AV2799" t="s">
        <v>645</v>
      </c>
      <c r="AW2799" t="s">
        <v>261</v>
      </c>
    </row>
    <row r="2800" spans="1:49">
      <c r="A2800" s="1">
        <f>HYPERLINK("https://lsnyc.legalserver.org/matter/dynamic-profile/view/1878905","18-1878905")</f>
        <v>0</v>
      </c>
      <c r="B2800" t="s">
        <v>261</v>
      </c>
      <c r="C2800" t="s">
        <v>341</v>
      </c>
      <c r="D2800" t="s">
        <v>457</v>
      </c>
      <c r="E2800" t="s">
        <v>427</v>
      </c>
      <c r="F2800" t="s">
        <v>986</v>
      </c>
      <c r="G2800" t="s">
        <v>6267</v>
      </c>
      <c r="H2800" t="s">
        <v>11868</v>
      </c>
      <c r="I2800" t="s">
        <v>17887</v>
      </c>
      <c r="J2800" t="s">
        <v>18892</v>
      </c>
      <c r="K2800">
        <v>10452</v>
      </c>
      <c r="L2800" t="s">
        <v>18958</v>
      </c>
      <c r="M2800" t="s">
        <v>18958</v>
      </c>
      <c r="N2800" t="s">
        <v>19330</v>
      </c>
      <c r="O2800" t="s">
        <v>26529</v>
      </c>
      <c r="P2800" t="s">
        <v>26564</v>
      </c>
      <c r="Q2800" t="s">
        <v>26570</v>
      </c>
      <c r="R2800" t="s">
        <v>26578</v>
      </c>
      <c r="S2800" t="s">
        <v>18959</v>
      </c>
      <c r="U2800" t="s">
        <v>26604</v>
      </c>
      <c r="V2800" t="s">
        <v>26610</v>
      </c>
      <c r="W2800" t="s">
        <v>645</v>
      </c>
      <c r="X2800">
        <v>13358.81</v>
      </c>
      <c r="Y2800" t="s">
        <v>26650</v>
      </c>
      <c r="Z2800" t="s">
        <v>26663</v>
      </c>
      <c r="AA2800" t="s">
        <v>26683</v>
      </c>
      <c r="AB2800" t="s">
        <v>29135</v>
      </c>
      <c r="AD2800" t="s">
        <v>39188</v>
      </c>
      <c r="AE2800">
        <v>0</v>
      </c>
      <c r="AF2800" t="s">
        <v>45541</v>
      </c>
      <c r="AG2800" t="s">
        <v>45556</v>
      </c>
      <c r="AH2800">
        <v>11</v>
      </c>
      <c r="AI2800">
        <v>1</v>
      </c>
      <c r="AJ2800">
        <v>0</v>
      </c>
      <c r="AK2800">
        <v>96.87</v>
      </c>
      <c r="AN2800" t="s">
        <v>7439</v>
      </c>
      <c r="AO2800">
        <v>11760</v>
      </c>
      <c r="AU2800">
        <v>2.3</v>
      </c>
      <c r="AV2800" t="s">
        <v>427</v>
      </c>
      <c r="AW2800" t="s">
        <v>261</v>
      </c>
    </row>
    <row r="2801" spans="1:49">
      <c r="A2801" s="1">
        <f>HYPERLINK("https://lsnyc.legalserver.org/matter/dynamic-profile/view/1878990","18-1878990")</f>
        <v>0</v>
      </c>
      <c r="B2801" t="s">
        <v>261</v>
      </c>
      <c r="C2801" t="s">
        <v>341</v>
      </c>
      <c r="D2801" t="s">
        <v>457</v>
      </c>
      <c r="E2801" t="s">
        <v>645</v>
      </c>
      <c r="F2801" t="s">
        <v>2405</v>
      </c>
      <c r="G2801" t="s">
        <v>5147</v>
      </c>
      <c r="H2801" t="s">
        <v>11869</v>
      </c>
      <c r="I2801" t="s">
        <v>17362</v>
      </c>
      <c r="J2801" t="s">
        <v>18892</v>
      </c>
      <c r="K2801">
        <v>10456</v>
      </c>
      <c r="L2801" t="s">
        <v>18958</v>
      </c>
      <c r="M2801" t="s">
        <v>18958</v>
      </c>
      <c r="N2801" t="s">
        <v>19330</v>
      </c>
      <c r="O2801" t="s">
        <v>26529</v>
      </c>
      <c r="P2801" t="s">
        <v>26564</v>
      </c>
      <c r="Q2801" t="s">
        <v>26570</v>
      </c>
      <c r="R2801" t="s">
        <v>26578</v>
      </c>
      <c r="S2801" t="s">
        <v>18959</v>
      </c>
      <c r="U2801" t="s">
        <v>26604</v>
      </c>
      <c r="V2801" t="s">
        <v>26610</v>
      </c>
      <c r="W2801" t="s">
        <v>645</v>
      </c>
      <c r="X2801">
        <v>0</v>
      </c>
      <c r="Y2801" t="s">
        <v>26650</v>
      </c>
      <c r="Z2801" t="s">
        <v>26663</v>
      </c>
      <c r="AA2801" t="s">
        <v>26683</v>
      </c>
      <c r="AB2801" t="s">
        <v>29136</v>
      </c>
      <c r="AD2801" t="s">
        <v>39189</v>
      </c>
      <c r="AE2801">
        <v>0</v>
      </c>
      <c r="AF2801" t="s">
        <v>20460</v>
      </c>
      <c r="AG2801" t="s">
        <v>19330</v>
      </c>
      <c r="AH2801">
        <v>0</v>
      </c>
      <c r="AI2801">
        <v>2</v>
      </c>
      <c r="AJ2801">
        <v>2</v>
      </c>
      <c r="AK2801">
        <v>151.86</v>
      </c>
      <c r="AN2801" t="s">
        <v>7439</v>
      </c>
      <c r="AO2801">
        <v>38116</v>
      </c>
      <c r="AU2801">
        <v>1.1</v>
      </c>
      <c r="AV2801" t="s">
        <v>632</v>
      </c>
      <c r="AW2801" t="s">
        <v>261</v>
      </c>
    </row>
    <row r="2802" spans="1:49">
      <c r="A2802" s="1">
        <f>HYPERLINK("https://lsnyc.legalserver.org/matter/dynamic-profile/view/1879221","18-1879221")</f>
        <v>0</v>
      </c>
      <c r="B2802" t="s">
        <v>157</v>
      </c>
      <c r="C2802" t="s">
        <v>341</v>
      </c>
      <c r="D2802" t="s">
        <v>583</v>
      </c>
      <c r="E2802" t="s">
        <v>645</v>
      </c>
      <c r="F2802" t="s">
        <v>1016</v>
      </c>
      <c r="G2802" t="s">
        <v>6621</v>
      </c>
      <c r="H2802" t="s">
        <v>9666</v>
      </c>
      <c r="I2802" t="s">
        <v>17353</v>
      </c>
      <c r="J2802" t="s">
        <v>18893</v>
      </c>
      <c r="K2802">
        <v>10034</v>
      </c>
      <c r="L2802" t="s">
        <v>18958</v>
      </c>
      <c r="M2802" t="s">
        <v>18958</v>
      </c>
      <c r="P2802" t="s">
        <v>26564</v>
      </c>
      <c r="Q2802" t="s">
        <v>26570</v>
      </c>
      <c r="R2802" t="s">
        <v>26578</v>
      </c>
      <c r="S2802" t="s">
        <v>18959</v>
      </c>
      <c r="U2802" t="s">
        <v>26604</v>
      </c>
      <c r="W2802" t="s">
        <v>645</v>
      </c>
      <c r="X2802">
        <v>1010.5</v>
      </c>
      <c r="Y2802" t="s">
        <v>26651</v>
      </c>
      <c r="Z2802" t="s">
        <v>26661</v>
      </c>
      <c r="AA2802" t="s">
        <v>26683</v>
      </c>
      <c r="AB2802" t="s">
        <v>29137</v>
      </c>
      <c r="AD2802" t="s">
        <v>39190</v>
      </c>
      <c r="AE2802">
        <v>70</v>
      </c>
      <c r="AF2802" t="s">
        <v>45541</v>
      </c>
      <c r="AG2802" t="s">
        <v>45559</v>
      </c>
      <c r="AH2802">
        <v>35</v>
      </c>
      <c r="AI2802">
        <v>1</v>
      </c>
      <c r="AJ2802">
        <v>0</v>
      </c>
      <c r="AK2802">
        <v>144.15</v>
      </c>
      <c r="AN2802" t="s">
        <v>7439</v>
      </c>
      <c r="AO2802">
        <v>17500</v>
      </c>
      <c r="AU2802">
        <v>2</v>
      </c>
      <c r="AV2802" t="s">
        <v>645</v>
      </c>
      <c r="AW2802" t="s">
        <v>46843</v>
      </c>
    </row>
    <row r="2803" spans="1:49">
      <c r="A2803" s="1">
        <f>HYPERLINK("https://lsnyc.legalserver.org/matter/dynamic-profile/view/1879767","18-1879767")</f>
        <v>0</v>
      </c>
      <c r="B2803" t="s">
        <v>149</v>
      </c>
      <c r="C2803" t="s">
        <v>340</v>
      </c>
      <c r="D2803" t="s">
        <v>529</v>
      </c>
      <c r="F2803" t="s">
        <v>2406</v>
      </c>
      <c r="G2803" t="s">
        <v>5208</v>
      </c>
      <c r="H2803" t="s">
        <v>11870</v>
      </c>
      <c r="I2803">
        <v>20</v>
      </c>
      <c r="J2803" t="s">
        <v>18892</v>
      </c>
      <c r="K2803">
        <v>10457</v>
      </c>
      <c r="L2803" t="s">
        <v>18958</v>
      </c>
      <c r="M2803" t="s">
        <v>18958</v>
      </c>
      <c r="N2803" t="s">
        <v>21048</v>
      </c>
      <c r="O2803" t="s">
        <v>26523</v>
      </c>
      <c r="P2803" t="s">
        <v>26560</v>
      </c>
      <c r="R2803" t="s">
        <v>26579</v>
      </c>
      <c r="S2803" t="s">
        <v>18959</v>
      </c>
      <c r="U2803" t="s">
        <v>26604</v>
      </c>
      <c r="V2803" t="s">
        <v>26610</v>
      </c>
      <c r="W2803" t="s">
        <v>645</v>
      </c>
      <c r="X2803">
        <v>1150</v>
      </c>
      <c r="Y2803" t="s">
        <v>26650</v>
      </c>
      <c r="Z2803" t="s">
        <v>26664</v>
      </c>
      <c r="AB2803" t="s">
        <v>29138</v>
      </c>
      <c r="AD2803" t="s">
        <v>39191</v>
      </c>
      <c r="AE2803">
        <v>0</v>
      </c>
      <c r="AF2803" t="s">
        <v>45541</v>
      </c>
      <c r="AG2803" t="s">
        <v>19330</v>
      </c>
      <c r="AH2803">
        <v>1</v>
      </c>
      <c r="AI2803">
        <v>5</v>
      </c>
      <c r="AJ2803">
        <v>0</v>
      </c>
      <c r="AK2803">
        <v>79.54000000000001</v>
      </c>
      <c r="AN2803" t="s">
        <v>45581</v>
      </c>
      <c r="AO2803">
        <v>23400</v>
      </c>
      <c r="AU2803">
        <v>6.8</v>
      </c>
      <c r="AV2803" t="s">
        <v>779</v>
      </c>
      <c r="AW2803" t="s">
        <v>336</v>
      </c>
    </row>
    <row r="2804" spans="1:49">
      <c r="A2804" s="1">
        <f>HYPERLINK("https://lsnyc.legalserver.org/matter/dynamic-profile/view/1880302","18-1880302")</f>
        <v>0</v>
      </c>
      <c r="B2804" t="s">
        <v>69</v>
      </c>
      <c r="C2804" t="s">
        <v>341</v>
      </c>
      <c r="D2804" t="s">
        <v>614</v>
      </c>
      <c r="E2804" t="s">
        <v>786</v>
      </c>
      <c r="F2804" t="s">
        <v>879</v>
      </c>
      <c r="G2804" t="s">
        <v>6622</v>
      </c>
      <c r="H2804" t="s">
        <v>11871</v>
      </c>
      <c r="I2804" t="s">
        <v>17637</v>
      </c>
      <c r="J2804" t="s">
        <v>18892</v>
      </c>
      <c r="K2804">
        <v>10459</v>
      </c>
      <c r="L2804" t="s">
        <v>18958</v>
      </c>
      <c r="M2804" t="s">
        <v>18958</v>
      </c>
      <c r="O2804" t="s">
        <v>26523</v>
      </c>
      <c r="P2804" t="s">
        <v>26565</v>
      </c>
      <c r="Q2804" t="s">
        <v>26571</v>
      </c>
      <c r="R2804" t="s">
        <v>26578</v>
      </c>
      <c r="S2804" t="s">
        <v>18959</v>
      </c>
      <c r="U2804" t="s">
        <v>26604</v>
      </c>
      <c r="W2804" t="s">
        <v>645</v>
      </c>
      <c r="X2804">
        <v>1215</v>
      </c>
      <c r="Y2804" t="s">
        <v>26650</v>
      </c>
      <c r="Z2804" t="s">
        <v>26660</v>
      </c>
      <c r="AA2804" t="s">
        <v>26683</v>
      </c>
      <c r="AB2804" t="s">
        <v>29139</v>
      </c>
      <c r="AC2804" t="s">
        <v>35333</v>
      </c>
      <c r="AD2804" t="s">
        <v>39192</v>
      </c>
      <c r="AE2804">
        <v>100</v>
      </c>
      <c r="AF2804" t="s">
        <v>45541</v>
      </c>
      <c r="AG2804" t="s">
        <v>45556</v>
      </c>
      <c r="AH2804">
        <v>10</v>
      </c>
      <c r="AI2804">
        <v>1</v>
      </c>
      <c r="AJ2804">
        <v>0</v>
      </c>
      <c r="AK2804">
        <v>155.7</v>
      </c>
      <c r="AN2804" t="s">
        <v>7439</v>
      </c>
      <c r="AO2804">
        <v>18902</v>
      </c>
      <c r="AP2804" t="s">
        <v>45768</v>
      </c>
      <c r="AU2804">
        <v>1.95</v>
      </c>
      <c r="AV2804" t="s">
        <v>688</v>
      </c>
      <c r="AW2804" t="s">
        <v>46841</v>
      </c>
    </row>
    <row r="2805" spans="1:49">
      <c r="A2805" s="1">
        <f>HYPERLINK("https://lsnyc.legalserver.org/matter/dynamic-profile/view/1881597","18-1881597")</f>
        <v>0</v>
      </c>
      <c r="B2805" t="s">
        <v>153</v>
      </c>
      <c r="C2805" t="s">
        <v>341</v>
      </c>
      <c r="D2805" t="s">
        <v>618</v>
      </c>
      <c r="E2805" t="s">
        <v>664</v>
      </c>
      <c r="F2805" t="s">
        <v>2407</v>
      </c>
      <c r="G2805" t="s">
        <v>1253</v>
      </c>
      <c r="H2805" t="s">
        <v>11872</v>
      </c>
      <c r="I2805" t="s">
        <v>17282</v>
      </c>
      <c r="J2805" t="s">
        <v>18902</v>
      </c>
      <c r="K2805">
        <v>10304</v>
      </c>
      <c r="L2805" t="s">
        <v>18958</v>
      </c>
      <c r="M2805" t="s">
        <v>18958</v>
      </c>
      <c r="N2805" t="s">
        <v>21049</v>
      </c>
      <c r="O2805" t="s">
        <v>26523</v>
      </c>
      <c r="P2805" t="s">
        <v>26564</v>
      </c>
      <c r="Q2805" t="s">
        <v>26570</v>
      </c>
      <c r="R2805" t="s">
        <v>26578</v>
      </c>
      <c r="S2805" t="s">
        <v>18959</v>
      </c>
      <c r="U2805" t="s">
        <v>26604</v>
      </c>
      <c r="V2805" t="s">
        <v>26614</v>
      </c>
      <c r="W2805" t="s">
        <v>645</v>
      </c>
      <c r="X2805">
        <v>1265</v>
      </c>
      <c r="Y2805" t="s">
        <v>26654</v>
      </c>
      <c r="AA2805" t="s">
        <v>26683</v>
      </c>
      <c r="AB2805" t="s">
        <v>26825</v>
      </c>
      <c r="AD2805" t="s">
        <v>39193</v>
      </c>
      <c r="AE2805">
        <v>0</v>
      </c>
      <c r="AF2805" t="s">
        <v>20460</v>
      </c>
      <c r="AG2805" t="s">
        <v>19330</v>
      </c>
      <c r="AH2805">
        <v>3</v>
      </c>
      <c r="AI2805">
        <v>1</v>
      </c>
      <c r="AJ2805">
        <v>0</v>
      </c>
      <c r="AK2805">
        <v>192.75</v>
      </c>
      <c r="AN2805" t="s">
        <v>7439</v>
      </c>
      <c r="AO2805">
        <v>23400</v>
      </c>
      <c r="AR2805" t="s">
        <v>26530</v>
      </c>
      <c r="AS2805" t="s">
        <v>46500</v>
      </c>
      <c r="AT2805" t="s">
        <v>46596</v>
      </c>
      <c r="AU2805">
        <v>2.7</v>
      </c>
      <c r="AV2805" t="s">
        <v>428</v>
      </c>
      <c r="AW2805" t="s">
        <v>46859</v>
      </c>
    </row>
    <row r="2806" spans="1:49">
      <c r="A2806" s="1">
        <f>HYPERLINK("https://lsnyc.legalserver.org/matter/dynamic-profile/view/1881778","18-1881778")</f>
        <v>0</v>
      </c>
      <c r="B2806" t="s">
        <v>238</v>
      </c>
      <c r="C2806" t="s">
        <v>341</v>
      </c>
      <c r="D2806" t="s">
        <v>643</v>
      </c>
      <c r="E2806" t="s">
        <v>645</v>
      </c>
      <c r="F2806" t="s">
        <v>995</v>
      </c>
      <c r="G2806" t="s">
        <v>6623</v>
      </c>
      <c r="H2806" t="s">
        <v>11873</v>
      </c>
      <c r="I2806" t="s">
        <v>17374</v>
      </c>
      <c r="J2806" t="s">
        <v>18894</v>
      </c>
      <c r="K2806">
        <v>11218</v>
      </c>
      <c r="L2806" t="s">
        <v>18958</v>
      </c>
      <c r="M2806" t="s">
        <v>18958</v>
      </c>
      <c r="N2806" t="s">
        <v>21050</v>
      </c>
      <c r="O2806" t="s">
        <v>26524</v>
      </c>
      <c r="P2806" t="s">
        <v>26564</v>
      </c>
      <c r="Q2806" t="s">
        <v>26570</v>
      </c>
      <c r="R2806" t="s">
        <v>26586</v>
      </c>
      <c r="U2806" t="s">
        <v>26604</v>
      </c>
      <c r="W2806" t="s">
        <v>645</v>
      </c>
      <c r="X2806">
        <v>800</v>
      </c>
      <c r="Y2806" t="s">
        <v>26652</v>
      </c>
      <c r="Z2806" t="s">
        <v>26664</v>
      </c>
      <c r="AA2806" t="s">
        <v>26683</v>
      </c>
      <c r="AB2806" t="s">
        <v>29140</v>
      </c>
      <c r="AD2806" t="s">
        <v>39194</v>
      </c>
      <c r="AE2806">
        <v>0</v>
      </c>
      <c r="AG2806" t="s">
        <v>19330</v>
      </c>
      <c r="AH2806">
        <v>2</v>
      </c>
      <c r="AI2806">
        <v>1</v>
      </c>
      <c r="AJ2806">
        <v>0</v>
      </c>
      <c r="AK2806">
        <v>0</v>
      </c>
      <c r="AN2806" t="s">
        <v>7439</v>
      </c>
      <c r="AO2806">
        <v>0</v>
      </c>
      <c r="AT2806" t="s">
        <v>46551</v>
      </c>
      <c r="AU2806">
        <v>1.6</v>
      </c>
      <c r="AV2806" t="s">
        <v>643</v>
      </c>
      <c r="AW2806" t="s">
        <v>46862</v>
      </c>
    </row>
    <row r="2807" spans="1:49">
      <c r="A2807" s="1">
        <f>HYPERLINK("https://lsnyc.legalserver.org/matter/dynamic-profile/view/1881949","18-1881949")</f>
        <v>0</v>
      </c>
      <c r="B2807" t="s">
        <v>128</v>
      </c>
      <c r="C2807" t="s">
        <v>341</v>
      </c>
      <c r="D2807" t="s">
        <v>645</v>
      </c>
      <c r="E2807" t="s">
        <v>665</v>
      </c>
      <c r="F2807" t="s">
        <v>895</v>
      </c>
      <c r="G2807" t="s">
        <v>6194</v>
      </c>
      <c r="H2807" t="s">
        <v>11874</v>
      </c>
      <c r="I2807">
        <v>1</v>
      </c>
      <c r="J2807" t="s">
        <v>18894</v>
      </c>
      <c r="K2807">
        <v>11236</v>
      </c>
      <c r="L2807" t="s">
        <v>18958</v>
      </c>
      <c r="M2807" t="s">
        <v>18958</v>
      </c>
      <c r="N2807" t="s">
        <v>21051</v>
      </c>
      <c r="O2807" t="s">
        <v>26524</v>
      </c>
      <c r="P2807" t="s">
        <v>26564</v>
      </c>
      <c r="Q2807" t="s">
        <v>26570</v>
      </c>
      <c r="R2807" t="s">
        <v>26586</v>
      </c>
      <c r="S2807" t="s">
        <v>18959</v>
      </c>
      <c r="U2807" t="s">
        <v>26604</v>
      </c>
      <c r="V2807" t="s">
        <v>26610</v>
      </c>
      <c r="W2807" t="s">
        <v>645</v>
      </c>
      <c r="X2807">
        <v>1956</v>
      </c>
      <c r="Y2807" t="s">
        <v>26652</v>
      </c>
      <c r="Z2807" t="s">
        <v>26664</v>
      </c>
      <c r="AA2807" t="s">
        <v>26683</v>
      </c>
      <c r="AB2807" t="s">
        <v>29141</v>
      </c>
      <c r="AD2807" t="s">
        <v>39195</v>
      </c>
      <c r="AE2807">
        <v>2</v>
      </c>
      <c r="AF2807" t="s">
        <v>45547</v>
      </c>
      <c r="AG2807" t="s">
        <v>45558</v>
      </c>
      <c r="AH2807">
        <v>3</v>
      </c>
      <c r="AI2807">
        <v>2</v>
      </c>
      <c r="AJ2807">
        <v>3</v>
      </c>
      <c r="AK2807">
        <v>24.92</v>
      </c>
      <c r="AN2807" t="s">
        <v>7439</v>
      </c>
      <c r="AO2807">
        <v>7332</v>
      </c>
      <c r="AU2807">
        <v>1.4</v>
      </c>
      <c r="AV2807" t="s">
        <v>603</v>
      </c>
      <c r="AW2807" t="s">
        <v>46862</v>
      </c>
    </row>
    <row r="2808" spans="1:49">
      <c r="A2808" s="1">
        <f>HYPERLINK("https://lsnyc.legalserver.org/matter/dynamic-profile/view/1881849","18-1881849")</f>
        <v>0</v>
      </c>
      <c r="B2808" t="s">
        <v>145</v>
      </c>
      <c r="C2808" t="s">
        <v>341</v>
      </c>
      <c r="D2808" t="s">
        <v>645</v>
      </c>
      <c r="E2808" t="s">
        <v>777</v>
      </c>
      <c r="F2808" t="s">
        <v>2408</v>
      </c>
      <c r="G2808" t="s">
        <v>6624</v>
      </c>
      <c r="H2808" t="s">
        <v>11875</v>
      </c>
      <c r="I2808" t="s">
        <v>17274</v>
      </c>
      <c r="J2808" t="s">
        <v>18902</v>
      </c>
      <c r="K2808">
        <v>10303</v>
      </c>
      <c r="L2808" t="s">
        <v>18958</v>
      </c>
      <c r="M2808" t="s">
        <v>18958</v>
      </c>
      <c r="N2808" t="s">
        <v>21052</v>
      </c>
      <c r="O2808" t="s">
        <v>26523</v>
      </c>
      <c r="P2808" t="s">
        <v>26560</v>
      </c>
      <c r="Q2808" t="s">
        <v>26568</v>
      </c>
      <c r="R2808" t="s">
        <v>26590</v>
      </c>
      <c r="S2808" t="s">
        <v>18959</v>
      </c>
      <c r="U2808" t="s">
        <v>26605</v>
      </c>
      <c r="V2808" t="s">
        <v>26610</v>
      </c>
      <c r="W2808" t="s">
        <v>645</v>
      </c>
      <c r="X2808">
        <v>234</v>
      </c>
      <c r="Y2808" t="s">
        <v>26654</v>
      </c>
      <c r="Z2808" t="s">
        <v>26668</v>
      </c>
      <c r="AA2808" t="s">
        <v>26680</v>
      </c>
      <c r="AB2808" t="s">
        <v>29142</v>
      </c>
      <c r="AD2808" t="s">
        <v>39196</v>
      </c>
      <c r="AE2808">
        <v>0</v>
      </c>
      <c r="AF2808" t="s">
        <v>45542</v>
      </c>
      <c r="AG2808" t="s">
        <v>45556</v>
      </c>
      <c r="AH2808">
        <v>20</v>
      </c>
      <c r="AI2808">
        <v>2</v>
      </c>
      <c r="AJ2808">
        <v>1</v>
      </c>
      <c r="AK2808">
        <v>21.89</v>
      </c>
      <c r="AN2808" t="s">
        <v>7439</v>
      </c>
      <c r="AO2808">
        <v>4548</v>
      </c>
      <c r="AS2808" t="s">
        <v>46499</v>
      </c>
      <c r="AT2808" t="s">
        <v>46570</v>
      </c>
      <c r="AU2808">
        <v>3.4</v>
      </c>
      <c r="AV2808" t="s">
        <v>744</v>
      </c>
      <c r="AW2808" t="s">
        <v>185</v>
      </c>
    </row>
    <row r="2809" spans="1:49">
      <c r="A2809" s="1">
        <f>HYPERLINK("https://lsnyc.legalserver.org/matter/dynamic-profile/view/1881848","18-1881848")</f>
        <v>0</v>
      </c>
      <c r="B2809" t="s">
        <v>71</v>
      </c>
      <c r="C2809" t="s">
        <v>341</v>
      </c>
      <c r="D2809" t="s">
        <v>645</v>
      </c>
      <c r="E2809" t="s">
        <v>657</v>
      </c>
      <c r="F2809" t="s">
        <v>2409</v>
      </c>
      <c r="G2809" t="s">
        <v>6625</v>
      </c>
      <c r="H2809" t="s">
        <v>11876</v>
      </c>
      <c r="I2809" t="s">
        <v>17343</v>
      </c>
      <c r="J2809" t="s">
        <v>18892</v>
      </c>
      <c r="K2809">
        <v>10457</v>
      </c>
      <c r="L2809" t="s">
        <v>18958</v>
      </c>
      <c r="M2809" t="s">
        <v>18958</v>
      </c>
      <c r="N2809" t="s">
        <v>21053</v>
      </c>
      <c r="O2809" t="s">
        <v>26523</v>
      </c>
      <c r="P2809" t="s">
        <v>26560</v>
      </c>
      <c r="Q2809" t="s">
        <v>26568</v>
      </c>
      <c r="R2809" t="s">
        <v>26579</v>
      </c>
      <c r="S2809" t="s">
        <v>18959</v>
      </c>
      <c r="U2809" t="s">
        <v>26604</v>
      </c>
      <c r="V2809" t="s">
        <v>26610</v>
      </c>
      <c r="W2809" t="s">
        <v>645</v>
      </c>
      <c r="X2809">
        <v>1722</v>
      </c>
      <c r="Y2809" t="s">
        <v>26650</v>
      </c>
      <c r="Z2809" t="s">
        <v>26664</v>
      </c>
      <c r="AA2809" t="s">
        <v>26679</v>
      </c>
      <c r="AB2809" t="s">
        <v>29143</v>
      </c>
      <c r="AD2809" t="s">
        <v>39197</v>
      </c>
      <c r="AE2809">
        <v>42</v>
      </c>
      <c r="AF2809" t="s">
        <v>45541</v>
      </c>
      <c r="AG2809" t="s">
        <v>19330</v>
      </c>
      <c r="AH2809">
        <v>6</v>
      </c>
      <c r="AI2809">
        <v>2</v>
      </c>
      <c r="AJ2809">
        <v>3</v>
      </c>
      <c r="AK2809">
        <v>141.4</v>
      </c>
      <c r="AN2809" t="s">
        <v>7439</v>
      </c>
      <c r="AO2809">
        <v>41600</v>
      </c>
      <c r="AQ2809" t="s">
        <v>46361</v>
      </c>
      <c r="AR2809" t="s">
        <v>46412</v>
      </c>
      <c r="AS2809" t="s">
        <v>46500</v>
      </c>
      <c r="AT2809" t="s">
        <v>46506</v>
      </c>
      <c r="AU2809">
        <v>21.85</v>
      </c>
      <c r="AV2809" t="s">
        <v>690</v>
      </c>
      <c r="AW2809" t="s">
        <v>334</v>
      </c>
    </row>
    <row r="2810" spans="1:49">
      <c r="A2810" s="1">
        <f>HYPERLINK("https://lsnyc.legalserver.org/matter/dynamic-profile/view/1881948","18-1881948")</f>
        <v>0</v>
      </c>
      <c r="B2810" t="s">
        <v>141</v>
      </c>
      <c r="C2810" t="s">
        <v>341</v>
      </c>
      <c r="D2810" t="s">
        <v>645</v>
      </c>
      <c r="E2810" t="s">
        <v>428</v>
      </c>
      <c r="F2810" t="s">
        <v>962</v>
      </c>
      <c r="G2810" t="s">
        <v>6626</v>
      </c>
      <c r="H2810" t="s">
        <v>11877</v>
      </c>
      <c r="I2810" t="s">
        <v>17374</v>
      </c>
      <c r="J2810" t="s">
        <v>18904</v>
      </c>
      <c r="K2810">
        <v>11421</v>
      </c>
      <c r="L2810" t="s">
        <v>18958</v>
      </c>
      <c r="M2810" t="s">
        <v>18958</v>
      </c>
      <c r="N2810" t="s">
        <v>21054</v>
      </c>
      <c r="O2810" t="s">
        <v>26524</v>
      </c>
      <c r="P2810" t="s">
        <v>26564</v>
      </c>
      <c r="Q2810" t="s">
        <v>26570</v>
      </c>
      <c r="R2810" t="s">
        <v>26578</v>
      </c>
      <c r="S2810" t="s">
        <v>18959</v>
      </c>
      <c r="U2810" t="s">
        <v>26604</v>
      </c>
      <c r="V2810" t="s">
        <v>26610</v>
      </c>
      <c r="W2810" t="s">
        <v>645</v>
      </c>
      <c r="X2810">
        <v>950</v>
      </c>
      <c r="Y2810" t="s">
        <v>26653</v>
      </c>
      <c r="Z2810" t="s">
        <v>26664</v>
      </c>
      <c r="AA2810" t="s">
        <v>26683</v>
      </c>
      <c r="AB2810" t="s">
        <v>29144</v>
      </c>
      <c r="AD2810" t="s">
        <v>39198</v>
      </c>
      <c r="AE2810">
        <v>2</v>
      </c>
      <c r="AF2810" t="s">
        <v>45547</v>
      </c>
      <c r="AG2810" t="s">
        <v>19330</v>
      </c>
      <c r="AH2810">
        <v>1</v>
      </c>
      <c r="AI2810">
        <v>1</v>
      </c>
      <c r="AJ2810">
        <v>0</v>
      </c>
      <c r="AK2810">
        <v>0</v>
      </c>
      <c r="AN2810" t="s">
        <v>7439</v>
      </c>
      <c r="AO2810">
        <v>0</v>
      </c>
      <c r="AU2810">
        <v>1.7</v>
      </c>
      <c r="AV2810" t="s">
        <v>428</v>
      </c>
      <c r="AW2810" t="s">
        <v>161</v>
      </c>
    </row>
    <row r="2811" spans="1:49">
      <c r="A2811" s="1">
        <f>HYPERLINK("https://lsnyc.legalserver.org/matter/dynamic-profile/view/1881967","18-1881967")</f>
        <v>0</v>
      </c>
      <c r="B2811" t="s">
        <v>141</v>
      </c>
      <c r="C2811" t="s">
        <v>341</v>
      </c>
      <c r="D2811" t="s">
        <v>645</v>
      </c>
      <c r="E2811" t="s">
        <v>428</v>
      </c>
      <c r="F2811" t="s">
        <v>2410</v>
      </c>
      <c r="G2811" t="s">
        <v>6627</v>
      </c>
      <c r="H2811" t="s">
        <v>10057</v>
      </c>
      <c r="I2811" t="s">
        <v>17888</v>
      </c>
      <c r="J2811" t="s">
        <v>7026</v>
      </c>
      <c r="K2811">
        <v>11368</v>
      </c>
      <c r="L2811" t="s">
        <v>18958</v>
      </c>
      <c r="M2811" t="s">
        <v>18958</v>
      </c>
      <c r="N2811" t="s">
        <v>21055</v>
      </c>
      <c r="O2811" t="s">
        <v>26523</v>
      </c>
      <c r="P2811" t="s">
        <v>26564</v>
      </c>
      <c r="Q2811" t="s">
        <v>26570</v>
      </c>
      <c r="R2811" t="s">
        <v>26578</v>
      </c>
      <c r="S2811" t="s">
        <v>18959</v>
      </c>
      <c r="U2811" t="s">
        <v>26604</v>
      </c>
      <c r="V2811" t="s">
        <v>26610</v>
      </c>
      <c r="W2811" t="s">
        <v>645</v>
      </c>
      <c r="X2811">
        <v>1390</v>
      </c>
      <c r="Y2811" t="s">
        <v>26653</v>
      </c>
      <c r="Z2811" t="s">
        <v>26664</v>
      </c>
      <c r="AA2811" t="s">
        <v>26683</v>
      </c>
      <c r="AB2811" t="s">
        <v>29145</v>
      </c>
      <c r="AC2811" t="s">
        <v>35334</v>
      </c>
      <c r="AD2811" t="s">
        <v>39199</v>
      </c>
      <c r="AE2811">
        <v>232</v>
      </c>
      <c r="AF2811" t="s">
        <v>45541</v>
      </c>
      <c r="AG2811" t="s">
        <v>45557</v>
      </c>
      <c r="AH2811">
        <v>7</v>
      </c>
      <c r="AI2811">
        <v>1</v>
      </c>
      <c r="AJ2811">
        <v>2</v>
      </c>
      <c r="AK2811">
        <v>115.5</v>
      </c>
      <c r="AN2811" t="s">
        <v>7439</v>
      </c>
      <c r="AO2811">
        <v>24000</v>
      </c>
      <c r="AU2811">
        <v>1.6</v>
      </c>
      <c r="AV2811" t="s">
        <v>428</v>
      </c>
      <c r="AW2811" t="s">
        <v>161</v>
      </c>
    </row>
    <row r="2812" spans="1:49">
      <c r="A2812" s="1">
        <f>HYPERLINK("https://lsnyc.legalserver.org/matter/dynamic-profile/view/1881903","18-1881903")</f>
        <v>0</v>
      </c>
      <c r="B2812" t="s">
        <v>214</v>
      </c>
      <c r="C2812" t="s">
        <v>341</v>
      </c>
      <c r="D2812" t="s">
        <v>645</v>
      </c>
      <c r="E2812" t="s">
        <v>645</v>
      </c>
      <c r="F2812" t="s">
        <v>2411</v>
      </c>
      <c r="G2812" t="s">
        <v>5633</v>
      </c>
      <c r="H2812" t="s">
        <v>11878</v>
      </c>
      <c r="I2812">
        <v>1</v>
      </c>
      <c r="J2812" t="s">
        <v>7026</v>
      </c>
      <c r="K2812">
        <v>11368</v>
      </c>
      <c r="L2812" t="s">
        <v>18958</v>
      </c>
      <c r="M2812" t="s">
        <v>18958</v>
      </c>
      <c r="N2812" t="s">
        <v>19045</v>
      </c>
      <c r="O2812" t="s">
        <v>26524</v>
      </c>
      <c r="P2812" t="s">
        <v>26564</v>
      </c>
      <c r="Q2812" t="s">
        <v>26570</v>
      </c>
      <c r="R2812" t="s">
        <v>26589</v>
      </c>
      <c r="S2812" t="s">
        <v>18959</v>
      </c>
      <c r="U2812" t="s">
        <v>26604</v>
      </c>
      <c r="V2812" t="s">
        <v>26610</v>
      </c>
      <c r="W2812" t="s">
        <v>645</v>
      </c>
      <c r="X2812">
        <v>0</v>
      </c>
      <c r="Y2812" t="s">
        <v>26653</v>
      </c>
      <c r="Z2812" t="s">
        <v>26671</v>
      </c>
      <c r="AA2812" t="s">
        <v>26683</v>
      </c>
      <c r="AB2812" t="s">
        <v>29146</v>
      </c>
      <c r="AC2812" t="s">
        <v>34738</v>
      </c>
      <c r="AD2812" t="s">
        <v>34738</v>
      </c>
      <c r="AE2812">
        <v>5</v>
      </c>
      <c r="AF2812" t="s">
        <v>45547</v>
      </c>
      <c r="AG2812" t="s">
        <v>19330</v>
      </c>
      <c r="AH2812">
        <v>6</v>
      </c>
      <c r="AI2812">
        <v>1</v>
      </c>
      <c r="AJ2812">
        <v>2</v>
      </c>
      <c r="AK2812">
        <v>90.09</v>
      </c>
      <c r="AL2812" t="s">
        <v>45567</v>
      </c>
      <c r="AM2812" t="s">
        <v>45577</v>
      </c>
      <c r="AN2812" t="s">
        <v>45607</v>
      </c>
      <c r="AO2812">
        <v>18720</v>
      </c>
      <c r="AU2812">
        <v>0.85</v>
      </c>
      <c r="AV2812" t="s">
        <v>784</v>
      </c>
      <c r="AW2812" t="s">
        <v>214</v>
      </c>
    </row>
    <row r="2813" spans="1:49">
      <c r="A2813" s="1">
        <f>HYPERLINK("https://lsnyc.legalserver.org/matter/dynamic-profile/view/1881890","18-1881890")</f>
        <v>0</v>
      </c>
      <c r="B2813" t="s">
        <v>214</v>
      </c>
      <c r="C2813" t="s">
        <v>341</v>
      </c>
      <c r="D2813" t="s">
        <v>645</v>
      </c>
      <c r="E2813" t="s">
        <v>641</v>
      </c>
      <c r="F2813" t="s">
        <v>1788</v>
      </c>
      <c r="G2813" t="s">
        <v>6274</v>
      </c>
      <c r="H2813" t="s">
        <v>11879</v>
      </c>
      <c r="I2813" t="s">
        <v>17569</v>
      </c>
      <c r="J2813" t="s">
        <v>18922</v>
      </c>
      <c r="K2813">
        <v>11694</v>
      </c>
      <c r="L2813" t="s">
        <v>18958</v>
      </c>
      <c r="M2813" t="s">
        <v>18958</v>
      </c>
      <c r="N2813" t="s">
        <v>19045</v>
      </c>
      <c r="O2813" t="s">
        <v>18997</v>
      </c>
      <c r="P2813" t="s">
        <v>26564</v>
      </c>
      <c r="Q2813" t="s">
        <v>26570</v>
      </c>
      <c r="R2813" t="s">
        <v>26589</v>
      </c>
      <c r="S2813" t="s">
        <v>18959</v>
      </c>
      <c r="U2813" t="s">
        <v>26604</v>
      </c>
      <c r="V2813" t="s">
        <v>26610</v>
      </c>
      <c r="W2813" t="s">
        <v>645</v>
      </c>
      <c r="X2813">
        <v>1695</v>
      </c>
      <c r="Y2813" t="s">
        <v>26653</v>
      </c>
      <c r="Z2813" t="s">
        <v>26671</v>
      </c>
      <c r="AA2813" t="s">
        <v>26683</v>
      </c>
      <c r="AB2813" t="s">
        <v>27485</v>
      </c>
      <c r="AD2813" t="s">
        <v>39200</v>
      </c>
      <c r="AE2813">
        <v>72</v>
      </c>
      <c r="AF2813" t="s">
        <v>20460</v>
      </c>
      <c r="AG2813" t="s">
        <v>19330</v>
      </c>
      <c r="AH2813">
        <v>1</v>
      </c>
      <c r="AI2813">
        <v>1</v>
      </c>
      <c r="AJ2813">
        <v>1</v>
      </c>
      <c r="AK2813">
        <v>267.31</v>
      </c>
      <c r="AL2813" t="s">
        <v>45567</v>
      </c>
      <c r="AM2813" t="s">
        <v>45577</v>
      </c>
      <c r="AN2813" t="s">
        <v>7439</v>
      </c>
      <c r="AO2813">
        <v>44000</v>
      </c>
      <c r="AU2813">
        <v>1.02</v>
      </c>
      <c r="AV2813" t="s">
        <v>641</v>
      </c>
      <c r="AW2813" t="s">
        <v>214</v>
      </c>
    </row>
    <row r="2814" spans="1:49">
      <c r="A2814" s="1">
        <f>HYPERLINK("https://lsnyc.legalserver.org/matter/dynamic-profile/view/1881940","18-1881940")</f>
        <v>0</v>
      </c>
      <c r="B2814" t="s">
        <v>110</v>
      </c>
      <c r="C2814" t="s">
        <v>341</v>
      </c>
      <c r="D2814" t="s">
        <v>645</v>
      </c>
      <c r="E2814" t="s">
        <v>699</v>
      </c>
      <c r="F2814" t="s">
        <v>1483</v>
      </c>
      <c r="G2814" t="s">
        <v>6628</v>
      </c>
      <c r="H2814" t="s">
        <v>11880</v>
      </c>
      <c r="I2814" t="s">
        <v>17593</v>
      </c>
      <c r="J2814" t="s">
        <v>18943</v>
      </c>
      <c r="K2814">
        <v>11414</v>
      </c>
      <c r="L2814" t="s">
        <v>18958</v>
      </c>
      <c r="M2814" t="s">
        <v>18958</v>
      </c>
      <c r="N2814" t="s">
        <v>21056</v>
      </c>
      <c r="O2814" t="s">
        <v>26524</v>
      </c>
      <c r="P2814" t="s">
        <v>26564</v>
      </c>
      <c r="Q2814" t="s">
        <v>26570</v>
      </c>
      <c r="R2814" t="s">
        <v>26584</v>
      </c>
      <c r="S2814" t="s">
        <v>18959</v>
      </c>
      <c r="U2814" t="s">
        <v>26604</v>
      </c>
      <c r="V2814" t="s">
        <v>26610</v>
      </c>
      <c r="W2814" t="s">
        <v>645</v>
      </c>
      <c r="X2814">
        <v>0</v>
      </c>
      <c r="Y2814" t="s">
        <v>26653</v>
      </c>
      <c r="Z2814" t="s">
        <v>26664</v>
      </c>
      <c r="AA2814" t="s">
        <v>26683</v>
      </c>
      <c r="AB2814" t="s">
        <v>29147</v>
      </c>
      <c r="AD2814" t="s">
        <v>39201</v>
      </c>
      <c r="AE2814">
        <v>1</v>
      </c>
      <c r="AF2814" t="s">
        <v>45547</v>
      </c>
      <c r="AG2814" t="s">
        <v>19330</v>
      </c>
      <c r="AH2814">
        <v>40</v>
      </c>
      <c r="AI2814">
        <v>1</v>
      </c>
      <c r="AJ2814">
        <v>0</v>
      </c>
      <c r="AK2814">
        <v>0</v>
      </c>
      <c r="AN2814" t="s">
        <v>7439</v>
      </c>
      <c r="AO2814">
        <v>0</v>
      </c>
      <c r="AU2814">
        <v>1</v>
      </c>
      <c r="AV2814" t="s">
        <v>645</v>
      </c>
      <c r="AW2814" t="s">
        <v>161</v>
      </c>
    </row>
    <row r="2815" spans="1:49">
      <c r="A2815" s="1">
        <f>HYPERLINK("https://lsnyc.legalserver.org/matter/dynamic-profile/view/1881960","18-1881960")</f>
        <v>0</v>
      </c>
      <c r="B2815" t="s">
        <v>110</v>
      </c>
      <c r="C2815" t="s">
        <v>341</v>
      </c>
      <c r="D2815" t="s">
        <v>645</v>
      </c>
      <c r="E2815" t="s">
        <v>699</v>
      </c>
      <c r="F2815" t="s">
        <v>995</v>
      </c>
      <c r="G2815" t="s">
        <v>6629</v>
      </c>
      <c r="H2815" t="s">
        <v>11881</v>
      </c>
      <c r="I2815">
        <v>2</v>
      </c>
      <c r="J2815" t="s">
        <v>18915</v>
      </c>
      <c r="K2815">
        <v>11372</v>
      </c>
      <c r="L2815" t="s">
        <v>18958</v>
      </c>
      <c r="M2815" t="s">
        <v>18958</v>
      </c>
      <c r="N2815" t="s">
        <v>21057</v>
      </c>
      <c r="O2815" t="s">
        <v>26523</v>
      </c>
      <c r="P2815" t="s">
        <v>26564</v>
      </c>
      <c r="Q2815" t="s">
        <v>26570</v>
      </c>
      <c r="R2815" t="s">
        <v>26584</v>
      </c>
      <c r="S2815" t="s">
        <v>18959</v>
      </c>
      <c r="U2815" t="s">
        <v>26604</v>
      </c>
      <c r="V2815" t="s">
        <v>26610</v>
      </c>
      <c r="W2815" t="s">
        <v>645</v>
      </c>
      <c r="X2815">
        <v>1208</v>
      </c>
      <c r="Y2815" t="s">
        <v>26653</v>
      </c>
      <c r="Z2815" t="s">
        <v>26664</v>
      </c>
      <c r="AA2815" t="s">
        <v>26683</v>
      </c>
      <c r="AB2815" t="s">
        <v>29148</v>
      </c>
      <c r="AC2815" t="s">
        <v>19045</v>
      </c>
      <c r="AD2815" t="s">
        <v>39202</v>
      </c>
      <c r="AE2815">
        <v>59</v>
      </c>
      <c r="AF2815" t="s">
        <v>45541</v>
      </c>
      <c r="AG2815" t="s">
        <v>19330</v>
      </c>
      <c r="AH2815">
        <v>26</v>
      </c>
      <c r="AI2815">
        <v>1</v>
      </c>
      <c r="AJ2815">
        <v>0</v>
      </c>
      <c r="AK2815">
        <v>65.90000000000001</v>
      </c>
      <c r="AN2815" t="s">
        <v>7439</v>
      </c>
      <c r="AO2815">
        <v>8000</v>
      </c>
      <c r="AU2815">
        <v>0.6</v>
      </c>
      <c r="AV2815" t="s">
        <v>641</v>
      </c>
      <c r="AW2815" t="s">
        <v>161</v>
      </c>
    </row>
    <row r="2816" spans="1:49">
      <c r="A2816" s="1">
        <f>HYPERLINK("https://lsnyc.legalserver.org/matter/dynamic-profile/view/1881910","18-1881910")</f>
        <v>0</v>
      </c>
      <c r="B2816" t="s">
        <v>110</v>
      </c>
      <c r="C2816" t="s">
        <v>341</v>
      </c>
      <c r="D2816" t="s">
        <v>645</v>
      </c>
      <c r="E2816" t="s">
        <v>691</v>
      </c>
      <c r="F2816" t="s">
        <v>2412</v>
      </c>
      <c r="G2816" t="s">
        <v>6630</v>
      </c>
      <c r="H2816" t="s">
        <v>11882</v>
      </c>
      <c r="I2816">
        <v>31</v>
      </c>
      <c r="J2816" t="s">
        <v>18915</v>
      </c>
      <c r="K2816">
        <v>11372</v>
      </c>
      <c r="L2816" t="s">
        <v>18958</v>
      </c>
      <c r="M2816" t="s">
        <v>18958</v>
      </c>
      <c r="N2816" t="s">
        <v>21058</v>
      </c>
      <c r="O2816" t="s">
        <v>26523</v>
      </c>
      <c r="P2816" t="s">
        <v>26564</v>
      </c>
      <c r="Q2816" t="s">
        <v>26570</v>
      </c>
      <c r="R2816" t="s">
        <v>26584</v>
      </c>
      <c r="S2816" t="s">
        <v>18959</v>
      </c>
      <c r="U2816" t="s">
        <v>26604</v>
      </c>
      <c r="V2816" t="s">
        <v>26611</v>
      </c>
      <c r="W2816" t="s">
        <v>645</v>
      </c>
      <c r="X2816">
        <v>1700</v>
      </c>
      <c r="Y2816" t="s">
        <v>26653</v>
      </c>
      <c r="Z2816" t="s">
        <v>26664</v>
      </c>
      <c r="AA2816" t="s">
        <v>26683</v>
      </c>
      <c r="AB2816" t="s">
        <v>29149</v>
      </c>
      <c r="AC2816" t="s">
        <v>35335</v>
      </c>
      <c r="AD2816" t="s">
        <v>39203</v>
      </c>
      <c r="AE2816">
        <v>15</v>
      </c>
      <c r="AG2816" t="s">
        <v>19330</v>
      </c>
      <c r="AH2816">
        <v>2</v>
      </c>
      <c r="AI2816">
        <v>1</v>
      </c>
      <c r="AJ2816">
        <v>2</v>
      </c>
      <c r="AK2816">
        <v>91.43000000000001</v>
      </c>
      <c r="AN2816" t="s">
        <v>45581</v>
      </c>
      <c r="AO2816">
        <v>19000</v>
      </c>
      <c r="AU2816">
        <v>0.5</v>
      </c>
      <c r="AV2816" t="s">
        <v>641</v>
      </c>
      <c r="AW2816" t="s">
        <v>208</v>
      </c>
    </row>
    <row r="2817" spans="1:50">
      <c r="A2817" s="1">
        <f>HYPERLINK("https://lsnyc.legalserver.org/matter/dynamic-profile/view/1881882","18-1881882")</f>
        <v>0</v>
      </c>
      <c r="B2817" t="s">
        <v>182</v>
      </c>
      <c r="C2817" t="s">
        <v>341</v>
      </c>
      <c r="D2817" t="s">
        <v>645</v>
      </c>
      <c r="E2817" t="s">
        <v>770</v>
      </c>
      <c r="F2817" t="s">
        <v>1206</v>
      </c>
      <c r="G2817" t="s">
        <v>1126</v>
      </c>
      <c r="H2817" t="s">
        <v>11883</v>
      </c>
      <c r="I2817" t="s">
        <v>17275</v>
      </c>
      <c r="J2817" t="s">
        <v>18892</v>
      </c>
      <c r="K2817">
        <v>10468</v>
      </c>
      <c r="L2817" t="s">
        <v>18958</v>
      </c>
      <c r="M2817" t="s">
        <v>18958</v>
      </c>
      <c r="N2817" t="s">
        <v>21059</v>
      </c>
      <c r="O2817" t="s">
        <v>26523</v>
      </c>
      <c r="P2817" t="s">
        <v>26560</v>
      </c>
      <c r="Q2817" t="s">
        <v>26569</v>
      </c>
      <c r="R2817" t="s">
        <v>26579</v>
      </c>
      <c r="S2817" t="s">
        <v>18959</v>
      </c>
      <c r="U2817" t="s">
        <v>26604</v>
      </c>
      <c r="V2817" t="s">
        <v>26610</v>
      </c>
      <c r="W2817" t="s">
        <v>645</v>
      </c>
      <c r="X2817">
        <v>1250</v>
      </c>
      <c r="Y2817" t="s">
        <v>26650</v>
      </c>
      <c r="Z2817" t="s">
        <v>26668</v>
      </c>
      <c r="AA2817" t="s">
        <v>26678</v>
      </c>
      <c r="AB2817" t="s">
        <v>29150</v>
      </c>
      <c r="AE2817">
        <v>0</v>
      </c>
      <c r="AF2817" t="s">
        <v>45541</v>
      </c>
      <c r="AG2817" t="s">
        <v>19330</v>
      </c>
      <c r="AH2817">
        <v>1</v>
      </c>
      <c r="AI2817">
        <v>2</v>
      </c>
      <c r="AJ2817">
        <v>2</v>
      </c>
      <c r="AK2817">
        <v>95.62</v>
      </c>
      <c r="AN2817" t="s">
        <v>7439</v>
      </c>
      <c r="AO2817">
        <v>24000</v>
      </c>
      <c r="AQ2817" t="s">
        <v>46362</v>
      </c>
      <c r="AR2817" t="s">
        <v>46379</v>
      </c>
      <c r="AS2817" t="s">
        <v>46499</v>
      </c>
      <c r="AT2817" t="s">
        <v>46615</v>
      </c>
      <c r="AU2817">
        <v>13</v>
      </c>
      <c r="AV2817" t="s">
        <v>779</v>
      </c>
      <c r="AW2817" t="s">
        <v>46854</v>
      </c>
    </row>
    <row r="2818" spans="1:50">
      <c r="A2818" s="1">
        <f>HYPERLINK("https://lsnyc.legalserver.org/matter/dynamic-profile/view/1881947","18-1881947")</f>
        <v>0</v>
      </c>
      <c r="B2818" t="s">
        <v>50</v>
      </c>
      <c r="C2818" t="s">
        <v>341</v>
      </c>
      <c r="D2818" t="s">
        <v>645</v>
      </c>
      <c r="E2818" t="s">
        <v>684</v>
      </c>
      <c r="F2818" t="s">
        <v>1466</v>
      </c>
      <c r="G2818" t="s">
        <v>5265</v>
      </c>
      <c r="H2818" t="s">
        <v>11884</v>
      </c>
      <c r="I2818" t="s">
        <v>17356</v>
      </c>
      <c r="J2818" t="s">
        <v>18892</v>
      </c>
      <c r="K2818">
        <v>10468</v>
      </c>
      <c r="L2818" t="s">
        <v>18958</v>
      </c>
      <c r="M2818" t="s">
        <v>18958</v>
      </c>
      <c r="N2818" t="s">
        <v>21060</v>
      </c>
      <c r="O2818" t="s">
        <v>26524</v>
      </c>
      <c r="P2818" t="s">
        <v>26560</v>
      </c>
      <c r="Q2818" t="s">
        <v>26568</v>
      </c>
      <c r="R2818" t="s">
        <v>26579</v>
      </c>
      <c r="S2818" t="s">
        <v>18959</v>
      </c>
      <c r="U2818" t="s">
        <v>26604</v>
      </c>
      <c r="V2818" t="s">
        <v>26610</v>
      </c>
      <c r="W2818" t="s">
        <v>645</v>
      </c>
      <c r="X2818">
        <v>532</v>
      </c>
      <c r="Y2818" t="s">
        <v>26650</v>
      </c>
      <c r="Z2818" t="s">
        <v>26659</v>
      </c>
      <c r="AA2818" t="s">
        <v>26678</v>
      </c>
      <c r="AB2818" t="s">
        <v>29151</v>
      </c>
      <c r="AC2818" t="s">
        <v>35336</v>
      </c>
      <c r="AD2818" t="s">
        <v>39204</v>
      </c>
      <c r="AE2818">
        <v>45</v>
      </c>
      <c r="AF2818" t="s">
        <v>45541</v>
      </c>
      <c r="AG2818" t="s">
        <v>45556</v>
      </c>
      <c r="AH2818">
        <v>10</v>
      </c>
      <c r="AI2818">
        <v>1</v>
      </c>
      <c r="AJ2818">
        <v>2</v>
      </c>
      <c r="AK2818">
        <v>92.23999999999999</v>
      </c>
      <c r="AN2818" t="s">
        <v>7439</v>
      </c>
      <c r="AO2818">
        <v>19168</v>
      </c>
      <c r="AR2818" t="s">
        <v>46379</v>
      </c>
      <c r="AS2818" t="s">
        <v>46499</v>
      </c>
      <c r="AT2818" t="s">
        <v>46598</v>
      </c>
      <c r="AU2818">
        <v>11.2</v>
      </c>
      <c r="AV2818" t="s">
        <v>684</v>
      </c>
      <c r="AW2818" t="s">
        <v>46858</v>
      </c>
    </row>
    <row r="2819" spans="1:50">
      <c r="A2819" s="1">
        <f>HYPERLINK("https://lsnyc.legalserver.org/matter/dynamic-profile/view/1881968","18-1881968")</f>
        <v>0</v>
      </c>
      <c r="B2819" t="s">
        <v>218</v>
      </c>
      <c r="C2819" t="s">
        <v>341</v>
      </c>
      <c r="D2819" t="s">
        <v>645</v>
      </c>
      <c r="E2819" t="s">
        <v>806</v>
      </c>
      <c r="F2819" t="s">
        <v>2413</v>
      </c>
      <c r="G2819" t="s">
        <v>6631</v>
      </c>
      <c r="H2819" t="s">
        <v>10343</v>
      </c>
      <c r="I2819" t="s">
        <v>17298</v>
      </c>
      <c r="J2819" t="s">
        <v>18893</v>
      </c>
      <c r="K2819">
        <v>10033</v>
      </c>
      <c r="L2819" t="s">
        <v>18958</v>
      </c>
      <c r="M2819" t="s">
        <v>18958</v>
      </c>
      <c r="P2819" t="s">
        <v>26564</v>
      </c>
      <c r="Q2819" t="s">
        <v>26570</v>
      </c>
      <c r="R2819" t="s">
        <v>26589</v>
      </c>
      <c r="S2819" t="s">
        <v>18959</v>
      </c>
      <c r="U2819" t="s">
        <v>26604</v>
      </c>
      <c r="W2819" t="s">
        <v>645</v>
      </c>
      <c r="X2819">
        <v>0</v>
      </c>
      <c r="Y2819" t="s">
        <v>26651</v>
      </c>
      <c r="Z2819" t="s">
        <v>26671</v>
      </c>
      <c r="AA2819" t="s">
        <v>26683</v>
      </c>
      <c r="AB2819" t="s">
        <v>29152</v>
      </c>
      <c r="AD2819" t="s">
        <v>39205</v>
      </c>
      <c r="AE2819">
        <v>0</v>
      </c>
      <c r="AF2819" t="s">
        <v>45541</v>
      </c>
      <c r="AG2819" t="s">
        <v>19330</v>
      </c>
      <c r="AH2819">
        <v>1</v>
      </c>
      <c r="AI2819">
        <v>1</v>
      </c>
      <c r="AJ2819">
        <v>0</v>
      </c>
      <c r="AK2819">
        <v>23.77</v>
      </c>
      <c r="AL2819" t="s">
        <v>45567</v>
      </c>
      <c r="AM2819" t="s">
        <v>45577</v>
      </c>
      <c r="AN2819" t="s">
        <v>7439</v>
      </c>
      <c r="AO2819">
        <v>2886</v>
      </c>
      <c r="AU2819">
        <v>4.8</v>
      </c>
      <c r="AV2819" t="s">
        <v>458</v>
      </c>
      <c r="AW2819" t="s">
        <v>46840</v>
      </c>
      <c r="AX2819" t="s">
        <v>46897</v>
      </c>
    </row>
    <row r="2820" spans="1:50">
      <c r="A2820" s="1">
        <f>HYPERLINK("https://lsnyc.legalserver.org/matter/dynamic-profile/view/1881884","18-1881884")</f>
        <v>0</v>
      </c>
      <c r="B2820" t="s">
        <v>198</v>
      </c>
      <c r="C2820" t="s">
        <v>341</v>
      </c>
      <c r="D2820" t="s">
        <v>645</v>
      </c>
      <c r="E2820" t="s">
        <v>765</v>
      </c>
      <c r="F2820" t="s">
        <v>1195</v>
      </c>
      <c r="G2820" t="s">
        <v>5283</v>
      </c>
      <c r="H2820" t="s">
        <v>11885</v>
      </c>
      <c r="I2820" t="s">
        <v>17312</v>
      </c>
      <c r="J2820" t="s">
        <v>18894</v>
      </c>
      <c r="K2820">
        <v>11225</v>
      </c>
      <c r="L2820" t="s">
        <v>18960</v>
      </c>
      <c r="M2820" t="s">
        <v>18960</v>
      </c>
      <c r="Q2820" t="s">
        <v>26570</v>
      </c>
      <c r="R2820" t="s">
        <v>26578</v>
      </c>
      <c r="U2820" t="s">
        <v>26604</v>
      </c>
      <c r="W2820" t="s">
        <v>645</v>
      </c>
      <c r="X2820">
        <v>0</v>
      </c>
      <c r="Y2820" t="s">
        <v>26652</v>
      </c>
      <c r="AA2820" t="s">
        <v>26683</v>
      </c>
      <c r="AB2820" t="s">
        <v>26811</v>
      </c>
      <c r="AD2820" t="s">
        <v>39206</v>
      </c>
      <c r="AE2820">
        <v>0</v>
      </c>
      <c r="AH2820">
        <v>0</v>
      </c>
      <c r="AI2820">
        <v>1</v>
      </c>
      <c r="AJ2820">
        <v>3</v>
      </c>
      <c r="AK2820">
        <v>81.27</v>
      </c>
      <c r="AN2820" t="s">
        <v>7439</v>
      </c>
      <c r="AO2820">
        <v>20400</v>
      </c>
      <c r="AU2820">
        <v>0.5</v>
      </c>
      <c r="AV2820" t="s">
        <v>765</v>
      </c>
      <c r="AW2820" t="s">
        <v>198</v>
      </c>
    </row>
    <row r="2821" spans="1:50">
      <c r="A2821" s="1">
        <f>HYPERLINK("https://lsnyc.legalserver.org/matter/dynamic-profile/view/1881908","18-1881908")</f>
        <v>0</v>
      </c>
      <c r="B2821" t="s">
        <v>198</v>
      </c>
      <c r="C2821" t="s">
        <v>341</v>
      </c>
      <c r="D2821" t="s">
        <v>645</v>
      </c>
      <c r="E2821" t="s">
        <v>806</v>
      </c>
      <c r="F2821" t="s">
        <v>2414</v>
      </c>
      <c r="G2821" t="s">
        <v>5472</v>
      </c>
      <c r="H2821" t="s">
        <v>11886</v>
      </c>
      <c r="I2821" t="s">
        <v>17430</v>
      </c>
      <c r="J2821" t="s">
        <v>18894</v>
      </c>
      <c r="K2821">
        <v>11210</v>
      </c>
      <c r="L2821" t="s">
        <v>18958</v>
      </c>
      <c r="M2821" t="s">
        <v>18958</v>
      </c>
      <c r="P2821" t="s">
        <v>26565</v>
      </c>
      <c r="Q2821" t="s">
        <v>26570</v>
      </c>
      <c r="R2821" t="s">
        <v>26578</v>
      </c>
      <c r="U2821" t="s">
        <v>26604</v>
      </c>
      <c r="W2821" t="s">
        <v>645</v>
      </c>
      <c r="X2821">
        <v>0</v>
      </c>
      <c r="Y2821" t="s">
        <v>26652</v>
      </c>
      <c r="AA2821" t="s">
        <v>26683</v>
      </c>
      <c r="AB2821" t="s">
        <v>29153</v>
      </c>
      <c r="AD2821" t="s">
        <v>39207</v>
      </c>
      <c r="AE2821">
        <v>0</v>
      </c>
      <c r="AH2821">
        <v>0</v>
      </c>
      <c r="AI2821">
        <v>2</v>
      </c>
      <c r="AJ2821">
        <v>0</v>
      </c>
      <c r="AK2821">
        <v>94.78</v>
      </c>
      <c r="AN2821" t="s">
        <v>7439</v>
      </c>
      <c r="AO2821">
        <v>15600</v>
      </c>
      <c r="AU2821">
        <v>5.7</v>
      </c>
      <c r="AV2821" t="s">
        <v>828</v>
      </c>
      <c r="AW2821" t="s">
        <v>198</v>
      </c>
    </row>
    <row r="2822" spans="1:50">
      <c r="A2822" s="1">
        <f>HYPERLINK("https://lsnyc.legalserver.org/matter/dynamic-profile/view/1881876","18-1881876")</f>
        <v>0</v>
      </c>
      <c r="B2822" t="s">
        <v>69</v>
      </c>
      <c r="C2822" t="s">
        <v>341</v>
      </c>
      <c r="D2822" t="s">
        <v>645</v>
      </c>
      <c r="E2822" t="s">
        <v>786</v>
      </c>
      <c r="F2822" t="s">
        <v>2075</v>
      </c>
      <c r="G2822" t="s">
        <v>6632</v>
      </c>
      <c r="H2822" t="s">
        <v>11887</v>
      </c>
      <c r="I2822" t="s">
        <v>17273</v>
      </c>
      <c r="J2822" t="s">
        <v>18892</v>
      </c>
      <c r="K2822">
        <v>10456</v>
      </c>
      <c r="L2822" t="s">
        <v>18958</v>
      </c>
      <c r="M2822" t="s">
        <v>18958</v>
      </c>
      <c r="N2822" t="s">
        <v>21061</v>
      </c>
      <c r="O2822" t="s">
        <v>26523</v>
      </c>
      <c r="P2822" t="s">
        <v>26560</v>
      </c>
      <c r="Q2822" t="s">
        <v>26568</v>
      </c>
      <c r="R2822" t="s">
        <v>26577</v>
      </c>
      <c r="U2822" t="s">
        <v>26604</v>
      </c>
      <c r="V2822" t="s">
        <v>26610</v>
      </c>
      <c r="W2822" t="s">
        <v>645</v>
      </c>
      <c r="X2822">
        <v>0</v>
      </c>
      <c r="Y2822" t="s">
        <v>26650</v>
      </c>
      <c r="Z2822" t="s">
        <v>26664</v>
      </c>
      <c r="AA2822" t="s">
        <v>26678</v>
      </c>
      <c r="AB2822" t="s">
        <v>29154</v>
      </c>
      <c r="AD2822" t="s">
        <v>39208</v>
      </c>
      <c r="AE2822">
        <v>0</v>
      </c>
      <c r="AF2822" t="s">
        <v>20460</v>
      </c>
      <c r="AH2822">
        <v>23</v>
      </c>
      <c r="AI2822">
        <v>2</v>
      </c>
      <c r="AJ2822">
        <v>0</v>
      </c>
      <c r="AK2822">
        <v>130.94</v>
      </c>
      <c r="AN2822" t="s">
        <v>7439</v>
      </c>
      <c r="AO2822">
        <v>21552</v>
      </c>
      <c r="AS2822" t="s">
        <v>46499</v>
      </c>
      <c r="AT2822" t="s">
        <v>46545</v>
      </c>
      <c r="AU2822">
        <v>3.8</v>
      </c>
      <c r="AV2822" t="s">
        <v>519</v>
      </c>
      <c r="AW2822" t="s">
        <v>334</v>
      </c>
    </row>
    <row r="2823" spans="1:50">
      <c r="A2823" s="1">
        <f>HYPERLINK("https://lsnyc.legalserver.org/matter/dynamic-profile/view/1881925","18-1881925")</f>
        <v>0</v>
      </c>
      <c r="B2823" t="s">
        <v>136</v>
      </c>
      <c r="C2823" t="s">
        <v>340</v>
      </c>
      <c r="D2823" t="s">
        <v>645</v>
      </c>
      <c r="F2823" t="s">
        <v>2415</v>
      </c>
      <c r="G2823" t="s">
        <v>6633</v>
      </c>
      <c r="H2823" t="s">
        <v>11763</v>
      </c>
      <c r="I2823" t="s">
        <v>17889</v>
      </c>
      <c r="J2823" t="s">
        <v>18892</v>
      </c>
      <c r="K2823">
        <v>10468</v>
      </c>
      <c r="L2823" t="s">
        <v>18958</v>
      </c>
      <c r="M2823" t="s">
        <v>18958</v>
      </c>
      <c r="N2823" t="s">
        <v>21062</v>
      </c>
      <c r="O2823" t="s">
        <v>26523</v>
      </c>
      <c r="P2823" t="s">
        <v>26560</v>
      </c>
      <c r="R2823" t="s">
        <v>26579</v>
      </c>
      <c r="S2823" t="s">
        <v>18959</v>
      </c>
      <c r="U2823" t="s">
        <v>26604</v>
      </c>
      <c r="V2823" t="s">
        <v>26612</v>
      </c>
      <c r="W2823" t="s">
        <v>645</v>
      </c>
      <c r="X2823">
        <v>1515</v>
      </c>
      <c r="Y2823" t="s">
        <v>26650</v>
      </c>
      <c r="Z2823" t="s">
        <v>26674</v>
      </c>
      <c r="AB2823" t="s">
        <v>29155</v>
      </c>
      <c r="AC2823" t="s">
        <v>35337</v>
      </c>
      <c r="AD2823" t="s">
        <v>39209</v>
      </c>
      <c r="AE2823">
        <v>38</v>
      </c>
      <c r="AF2823" t="s">
        <v>45541</v>
      </c>
      <c r="AH2823">
        <v>2</v>
      </c>
      <c r="AI2823">
        <v>2</v>
      </c>
      <c r="AJ2823">
        <v>3</v>
      </c>
      <c r="AK2823">
        <v>114.21</v>
      </c>
      <c r="AN2823" t="s">
        <v>7439</v>
      </c>
      <c r="AO2823">
        <v>33600</v>
      </c>
      <c r="AQ2823" t="s">
        <v>46365</v>
      </c>
      <c r="AR2823" t="s">
        <v>46399</v>
      </c>
      <c r="AS2823" t="s">
        <v>46499</v>
      </c>
      <c r="AT2823" t="s">
        <v>46746</v>
      </c>
      <c r="AU2823">
        <v>11.75</v>
      </c>
      <c r="AV2823" t="s">
        <v>763</v>
      </c>
      <c r="AW2823" t="s">
        <v>46850</v>
      </c>
      <c r="AX2823" t="s">
        <v>46898</v>
      </c>
    </row>
    <row r="2824" spans="1:50">
      <c r="A2824" s="1">
        <f>HYPERLINK("https://lsnyc.legalserver.org/matter/dynamic-profile/view/1881902","18-1881902")</f>
        <v>0</v>
      </c>
      <c r="B2824" t="s">
        <v>104</v>
      </c>
      <c r="C2824" t="s">
        <v>340</v>
      </c>
      <c r="D2824" t="s">
        <v>645</v>
      </c>
      <c r="F2824" t="s">
        <v>1116</v>
      </c>
      <c r="G2824" t="s">
        <v>6634</v>
      </c>
      <c r="H2824" t="s">
        <v>9915</v>
      </c>
      <c r="I2824" t="s">
        <v>17496</v>
      </c>
      <c r="J2824" t="s">
        <v>18902</v>
      </c>
      <c r="K2824">
        <v>10303</v>
      </c>
      <c r="L2824" t="s">
        <v>18958</v>
      </c>
      <c r="M2824" t="s">
        <v>18958</v>
      </c>
      <c r="N2824" t="s">
        <v>21063</v>
      </c>
      <c r="O2824" t="s">
        <v>26523</v>
      </c>
      <c r="P2824" t="s">
        <v>26560</v>
      </c>
      <c r="R2824" t="s">
        <v>26590</v>
      </c>
      <c r="S2824" t="s">
        <v>18959</v>
      </c>
      <c r="U2824" t="s">
        <v>26605</v>
      </c>
      <c r="V2824" t="s">
        <v>26611</v>
      </c>
      <c r="W2824" t="s">
        <v>645</v>
      </c>
      <c r="X2824">
        <v>248</v>
      </c>
      <c r="Y2824" t="s">
        <v>26654</v>
      </c>
      <c r="Z2824" t="s">
        <v>26668</v>
      </c>
      <c r="AB2824" t="s">
        <v>29156</v>
      </c>
      <c r="AD2824" t="s">
        <v>39210</v>
      </c>
      <c r="AE2824">
        <v>342</v>
      </c>
      <c r="AF2824" t="s">
        <v>45542</v>
      </c>
      <c r="AG2824" t="s">
        <v>45556</v>
      </c>
      <c r="AH2824">
        <v>28</v>
      </c>
      <c r="AI2824">
        <v>2</v>
      </c>
      <c r="AJ2824">
        <v>2</v>
      </c>
      <c r="AK2824">
        <v>87.48999999999999</v>
      </c>
      <c r="AN2824" t="s">
        <v>7439</v>
      </c>
      <c r="AO2824">
        <v>21960</v>
      </c>
      <c r="AU2824">
        <v>27.4</v>
      </c>
      <c r="AV2824" t="s">
        <v>839</v>
      </c>
      <c r="AW2824" t="s">
        <v>185</v>
      </c>
    </row>
    <row r="2825" spans="1:50">
      <c r="A2825" s="1">
        <f>HYPERLINK("https://lsnyc.legalserver.org/matter/dynamic-profile/view/1881917","18-1881917")</f>
        <v>0</v>
      </c>
      <c r="B2825" t="s">
        <v>91</v>
      </c>
      <c r="C2825" t="s">
        <v>340</v>
      </c>
      <c r="D2825" t="s">
        <v>645</v>
      </c>
      <c r="F2825" t="s">
        <v>2416</v>
      </c>
      <c r="G2825" t="s">
        <v>6635</v>
      </c>
      <c r="H2825" t="s">
        <v>11888</v>
      </c>
      <c r="I2825" t="s">
        <v>17416</v>
      </c>
      <c r="J2825" t="s">
        <v>18933</v>
      </c>
      <c r="K2825">
        <v>11422</v>
      </c>
      <c r="L2825" t="s">
        <v>18958</v>
      </c>
      <c r="M2825" t="s">
        <v>18958</v>
      </c>
      <c r="N2825" t="s">
        <v>21064</v>
      </c>
      <c r="O2825" t="s">
        <v>26524</v>
      </c>
      <c r="P2825" t="s">
        <v>26560</v>
      </c>
      <c r="R2825" t="s">
        <v>26584</v>
      </c>
      <c r="S2825" t="s">
        <v>18959</v>
      </c>
      <c r="U2825" t="s">
        <v>26604</v>
      </c>
      <c r="V2825" t="s">
        <v>26610</v>
      </c>
      <c r="W2825" t="s">
        <v>645</v>
      </c>
      <c r="X2825">
        <v>1019</v>
      </c>
      <c r="Y2825" t="s">
        <v>26653</v>
      </c>
      <c r="Z2825" t="s">
        <v>26664</v>
      </c>
      <c r="AB2825" t="s">
        <v>29157</v>
      </c>
      <c r="AC2825" t="s">
        <v>35338</v>
      </c>
      <c r="AD2825" t="s">
        <v>39211</v>
      </c>
      <c r="AE2825">
        <v>2</v>
      </c>
      <c r="AF2825" t="s">
        <v>45545</v>
      </c>
      <c r="AG2825" t="s">
        <v>26530</v>
      </c>
      <c r="AH2825">
        <v>3</v>
      </c>
      <c r="AI2825">
        <v>1</v>
      </c>
      <c r="AJ2825">
        <v>0</v>
      </c>
      <c r="AK2825">
        <v>14.73</v>
      </c>
      <c r="AN2825" t="s">
        <v>7439</v>
      </c>
      <c r="AO2825">
        <v>1788</v>
      </c>
      <c r="AU2825">
        <v>69.8</v>
      </c>
      <c r="AV2825" t="s">
        <v>836</v>
      </c>
      <c r="AW2825" t="s">
        <v>161</v>
      </c>
    </row>
    <row r="2826" spans="1:50">
      <c r="A2826" s="1">
        <f>HYPERLINK("https://lsnyc.legalserver.org/matter/dynamic-profile/view/1881889","18-1881889")</f>
        <v>0</v>
      </c>
      <c r="B2826" t="s">
        <v>54</v>
      </c>
      <c r="C2826" t="s">
        <v>340</v>
      </c>
      <c r="D2826" t="s">
        <v>645</v>
      </c>
      <c r="F2826" t="s">
        <v>1771</v>
      </c>
      <c r="G2826" t="s">
        <v>6636</v>
      </c>
      <c r="H2826" t="s">
        <v>11889</v>
      </c>
      <c r="I2826" t="s">
        <v>17366</v>
      </c>
      <c r="J2826" t="s">
        <v>18892</v>
      </c>
      <c r="K2826">
        <v>10456</v>
      </c>
      <c r="L2826" t="s">
        <v>18958</v>
      </c>
      <c r="M2826" t="s">
        <v>18958</v>
      </c>
      <c r="N2826" t="s">
        <v>21065</v>
      </c>
      <c r="O2826" t="s">
        <v>26523</v>
      </c>
      <c r="P2826" t="s">
        <v>26560</v>
      </c>
      <c r="R2826" t="s">
        <v>26577</v>
      </c>
      <c r="S2826" t="s">
        <v>18959</v>
      </c>
      <c r="U2826" t="s">
        <v>26604</v>
      </c>
      <c r="V2826" t="s">
        <v>26610</v>
      </c>
      <c r="W2826" t="s">
        <v>645</v>
      </c>
      <c r="X2826">
        <v>943</v>
      </c>
      <c r="Y2826" t="s">
        <v>26650</v>
      </c>
      <c r="Z2826" t="s">
        <v>26659</v>
      </c>
      <c r="AB2826" t="s">
        <v>29158</v>
      </c>
      <c r="AC2826" t="s">
        <v>35339</v>
      </c>
      <c r="AD2826" t="s">
        <v>39212</v>
      </c>
      <c r="AE2826">
        <v>55</v>
      </c>
      <c r="AF2826" t="s">
        <v>45541</v>
      </c>
      <c r="AG2826" t="s">
        <v>19330</v>
      </c>
      <c r="AH2826">
        <v>16</v>
      </c>
      <c r="AI2826">
        <v>2</v>
      </c>
      <c r="AJ2826">
        <v>0</v>
      </c>
      <c r="AK2826">
        <v>116.65</v>
      </c>
      <c r="AN2826" t="s">
        <v>45581</v>
      </c>
      <c r="AO2826">
        <v>19200</v>
      </c>
      <c r="AU2826">
        <v>30.7</v>
      </c>
      <c r="AV2826" t="s">
        <v>843</v>
      </c>
      <c r="AW2826" t="s">
        <v>46832</v>
      </c>
    </row>
    <row r="2827" spans="1:50">
      <c r="A2827" s="1">
        <f>HYPERLINK("https://lsnyc.legalserver.org/matter/dynamic-profile/view/1881881","18-1881881")</f>
        <v>0</v>
      </c>
      <c r="B2827" t="s">
        <v>157</v>
      </c>
      <c r="C2827" t="s">
        <v>340</v>
      </c>
      <c r="D2827" t="s">
        <v>645</v>
      </c>
      <c r="F2827" t="s">
        <v>2417</v>
      </c>
      <c r="G2827" t="s">
        <v>6230</v>
      </c>
      <c r="H2827" t="s">
        <v>11890</v>
      </c>
      <c r="I2827" t="s">
        <v>17356</v>
      </c>
      <c r="J2827" t="s">
        <v>18893</v>
      </c>
      <c r="K2827">
        <v>10032</v>
      </c>
      <c r="L2827" t="s">
        <v>18958</v>
      </c>
      <c r="M2827" t="s">
        <v>18958</v>
      </c>
      <c r="O2827" t="s">
        <v>26526</v>
      </c>
      <c r="P2827" t="s">
        <v>26560</v>
      </c>
      <c r="R2827" t="s">
        <v>26578</v>
      </c>
      <c r="S2827" t="s">
        <v>18959</v>
      </c>
      <c r="U2827" t="s">
        <v>26604</v>
      </c>
      <c r="W2827" t="s">
        <v>645</v>
      </c>
      <c r="X2827">
        <v>762.59</v>
      </c>
      <c r="Y2827" t="s">
        <v>26651</v>
      </c>
      <c r="Z2827" t="s">
        <v>26668</v>
      </c>
      <c r="AB2827" t="s">
        <v>29159</v>
      </c>
      <c r="AD2827" t="s">
        <v>39213</v>
      </c>
      <c r="AE2827">
        <v>20</v>
      </c>
      <c r="AF2827" t="s">
        <v>45541</v>
      </c>
      <c r="AG2827" t="s">
        <v>19330</v>
      </c>
      <c r="AH2827">
        <v>35</v>
      </c>
      <c r="AI2827">
        <v>3</v>
      </c>
      <c r="AJ2827">
        <v>2</v>
      </c>
      <c r="AK2827">
        <v>15.95</v>
      </c>
      <c r="AN2827" t="s">
        <v>7439</v>
      </c>
      <c r="AO2827">
        <v>4692</v>
      </c>
      <c r="AU2827">
        <v>1.6</v>
      </c>
      <c r="AV2827" t="s">
        <v>651</v>
      </c>
      <c r="AW2827" t="s">
        <v>46840</v>
      </c>
    </row>
    <row r="2828" spans="1:50">
      <c r="A2828" s="1">
        <f>HYPERLINK("https://lsnyc.legalserver.org/matter/dynamic-profile/view/1881892","18-1881892")</f>
        <v>0</v>
      </c>
      <c r="B2828" t="s">
        <v>125</v>
      </c>
      <c r="C2828" t="s">
        <v>340</v>
      </c>
      <c r="D2828" t="s">
        <v>645</v>
      </c>
      <c r="F2828" t="s">
        <v>2418</v>
      </c>
      <c r="G2828" t="s">
        <v>6637</v>
      </c>
      <c r="H2828" t="s">
        <v>11891</v>
      </c>
      <c r="I2828" t="s">
        <v>17293</v>
      </c>
      <c r="J2828" t="s">
        <v>18894</v>
      </c>
      <c r="K2828">
        <v>11208</v>
      </c>
      <c r="L2828" t="s">
        <v>18958</v>
      </c>
      <c r="M2828" t="s">
        <v>18958</v>
      </c>
      <c r="N2828" t="s">
        <v>21066</v>
      </c>
      <c r="O2828" t="s">
        <v>26523</v>
      </c>
      <c r="P2828" t="s">
        <v>26560</v>
      </c>
      <c r="R2828" t="s">
        <v>26578</v>
      </c>
      <c r="S2828" t="s">
        <v>18959</v>
      </c>
      <c r="U2828" t="s">
        <v>26604</v>
      </c>
      <c r="V2828" t="s">
        <v>26610</v>
      </c>
      <c r="W2828" t="s">
        <v>645</v>
      </c>
      <c r="X2828">
        <v>1425</v>
      </c>
      <c r="Y2828" t="s">
        <v>26652</v>
      </c>
      <c r="Z2828" t="s">
        <v>26659</v>
      </c>
      <c r="AB2828" t="s">
        <v>29160</v>
      </c>
      <c r="AC2828" t="s">
        <v>35340</v>
      </c>
      <c r="AD2828" t="s">
        <v>39214</v>
      </c>
      <c r="AE2828">
        <v>12</v>
      </c>
      <c r="AF2828" t="s">
        <v>45541</v>
      </c>
      <c r="AG2828" t="s">
        <v>26530</v>
      </c>
      <c r="AH2828">
        <v>1</v>
      </c>
      <c r="AI2828">
        <v>1</v>
      </c>
      <c r="AJ2828">
        <v>1</v>
      </c>
      <c r="AK2828">
        <v>92.09</v>
      </c>
      <c r="AN2828" t="s">
        <v>45581</v>
      </c>
      <c r="AO2828">
        <v>15158</v>
      </c>
      <c r="AU2828">
        <v>44.75</v>
      </c>
      <c r="AV2828" t="s">
        <v>836</v>
      </c>
      <c r="AW2828" t="s">
        <v>279</v>
      </c>
    </row>
    <row r="2829" spans="1:50">
      <c r="A2829" s="1">
        <f>HYPERLINK("https://lsnyc.legalserver.org/matter/dynamic-profile/view/1882012","18-1882012")</f>
        <v>0</v>
      </c>
      <c r="B2829" t="s">
        <v>128</v>
      </c>
      <c r="C2829" t="s">
        <v>341</v>
      </c>
      <c r="D2829" t="s">
        <v>641</v>
      </c>
      <c r="E2829" t="s">
        <v>753</v>
      </c>
      <c r="F2829" t="s">
        <v>945</v>
      </c>
      <c r="G2829" t="s">
        <v>6638</v>
      </c>
      <c r="H2829" t="s">
        <v>11892</v>
      </c>
      <c r="I2829" t="s">
        <v>17307</v>
      </c>
      <c r="J2829" t="s">
        <v>18894</v>
      </c>
      <c r="K2829">
        <v>11238</v>
      </c>
      <c r="L2829" t="s">
        <v>18958</v>
      </c>
      <c r="M2829" t="s">
        <v>18958</v>
      </c>
      <c r="N2829" t="s">
        <v>21067</v>
      </c>
      <c r="O2829" t="s">
        <v>26526</v>
      </c>
      <c r="P2829" t="s">
        <v>26564</v>
      </c>
      <c r="Q2829" t="s">
        <v>26570</v>
      </c>
      <c r="R2829" t="s">
        <v>26586</v>
      </c>
      <c r="S2829" t="s">
        <v>18959</v>
      </c>
      <c r="U2829" t="s">
        <v>26604</v>
      </c>
      <c r="V2829" t="s">
        <v>26610</v>
      </c>
      <c r="W2829" t="s">
        <v>645</v>
      </c>
      <c r="X2829">
        <v>761</v>
      </c>
      <c r="Y2829" t="s">
        <v>26652</v>
      </c>
      <c r="Z2829" t="s">
        <v>26664</v>
      </c>
      <c r="AA2829" t="s">
        <v>26683</v>
      </c>
      <c r="AB2829" t="s">
        <v>29161</v>
      </c>
      <c r="AD2829" t="s">
        <v>34738</v>
      </c>
      <c r="AE2829">
        <v>12</v>
      </c>
      <c r="AF2829" t="s">
        <v>45541</v>
      </c>
      <c r="AG2829" t="s">
        <v>19330</v>
      </c>
      <c r="AH2829">
        <v>19</v>
      </c>
      <c r="AI2829">
        <v>1</v>
      </c>
      <c r="AJ2829">
        <v>3</v>
      </c>
      <c r="AK2829">
        <v>99.59999999999999</v>
      </c>
      <c r="AN2829" t="s">
        <v>7439</v>
      </c>
      <c r="AO2829">
        <v>25000</v>
      </c>
      <c r="AU2829">
        <v>2.35</v>
      </c>
      <c r="AV2829" t="s">
        <v>646</v>
      </c>
      <c r="AW2829" t="s">
        <v>46862</v>
      </c>
    </row>
    <row r="2830" spans="1:50">
      <c r="A2830" s="1">
        <f>HYPERLINK("https://lsnyc.legalserver.org/matter/dynamic-profile/view/1882544","18-1882544")</f>
        <v>0</v>
      </c>
      <c r="B2830" t="s">
        <v>256</v>
      </c>
      <c r="C2830" t="s">
        <v>340</v>
      </c>
      <c r="D2830" t="s">
        <v>646</v>
      </c>
      <c r="F2830" t="s">
        <v>2419</v>
      </c>
      <c r="G2830" t="s">
        <v>5165</v>
      </c>
      <c r="H2830" t="s">
        <v>11893</v>
      </c>
      <c r="I2830" t="s">
        <v>17324</v>
      </c>
      <c r="J2830" t="s">
        <v>18894</v>
      </c>
      <c r="K2830">
        <v>11233</v>
      </c>
      <c r="L2830" t="s">
        <v>18958</v>
      </c>
      <c r="M2830" t="s">
        <v>18958</v>
      </c>
      <c r="N2830" t="s">
        <v>21068</v>
      </c>
      <c r="O2830" t="s">
        <v>26524</v>
      </c>
      <c r="P2830" t="s">
        <v>26560</v>
      </c>
      <c r="R2830" t="s">
        <v>26578</v>
      </c>
      <c r="S2830" t="s">
        <v>18959</v>
      </c>
      <c r="U2830" t="s">
        <v>26604</v>
      </c>
      <c r="V2830" t="s">
        <v>26609</v>
      </c>
      <c r="W2830" t="s">
        <v>645</v>
      </c>
      <c r="X2830">
        <v>2394</v>
      </c>
      <c r="Y2830" t="s">
        <v>26652</v>
      </c>
      <c r="Z2830" t="s">
        <v>26664</v>
      </c>
      <c r="AB2830" t="s">
        <v>29162</v>
      </c>
      <c r="AC2830" t="s">
        <v>35341</v>
      </c>
      <c r="AD2830" t="s">
        <v>39215</v>
      </c>
      <c r="AE2830">
        <v>2</v>
      </c>
      <c r="AF2830" t="s">
        <v>45547</v>
      </c>
      <c r="AG2830" t="s">
        <v>45564</v>
      </c>
      <c r="AH2830">
        <v>1</v>
      </c>
      <c r="AI2830">
        <v>2</v>
      </c>
      <c r="AJ2830">
        <v>0</v>
      </c>
      <c r="AK2830">
        <v>54.68</v>
      </c>
      <c r="AN2830" t="s">
        <v>7439</v>
      </c>
      <c r="AO2830">
        <v>9000</v>
      </c>
      <c r="AU2830">
        <v>2.95</v>
      </c>
      <c r="AV2830" t="s">
        <v>713</v>
      </c>
      <c r="AW2830" t="s">
        <v>279</v>
      </c>
    </row>
    <row r="2831" spans="1:50">
      <c r="A2831" s="1">
        <f>HYPERLINK("https://lsnyc.legalserver.org/matter/dynamic-profile/view/1882569","18-1882569")</f>
        <v>0</v>
      </c>
      <c r="B2831" t="s">
        <v>256</v>
      </c>
      <c r="C2831" t="s">
        <v>340</v>
      </c>
      <c r="D2831" t="s">
        <v>646</v>
      </c>
      <c r="F2831" t="s">
        <v>2420</v>
      </c>
      <c r="G2831" t="s">
        <v>6639</v>
      </c>
      <c r="H2831" t="s">
        <v>11893</v>
      </c>
      <c r="I2831" t="s">
        <v>17423</v>
      </c>
      <c r="J2831" t="s">
        <v>18894</v>
      </c>
      <c r="K2831">
        <v>11233</v>
      </c>
      <c r="L2831" t="s">
        <v>18958</v>
      </c>
      <c r="M2831" t="s">
        <v>18958</v>
      </c>
      <c r="N2831" t="s">
        <v>21069</v>
      </c>
      <c r="O2831" t="s">
        <v>26524</v>
      </c>
      <c r="P2831" t="s">
        <v>26560</v>
      </c>
      <c r="R2831" t="s">
        <v>26578</v>
      </c>
      <c r="S2831" t="s">
        <v>18959</v>
      </c>
      <c r="U2831" t="s">
        <v>26604</v>
      </c>
      <c r="V2831" t="s">
        <v>26609</v>
      </c>
      <c r="W2831" t="s">
        <v>645</v>
      </c>
      <c r="X2831">
        <v>220</v>
      </c>
      <c r="Y2831" t="s">
        <v>26652</v>
      </c>
      <c r="Z2831" t="s">
        <v>26664</v>
      </c>
      <c r="AB2831" t="s">
        <v>29163</v>
      </c>
      <c r="AD2831" t="s">
        <v>39216</v>
      </c>
      <c r="AE2831">
        <v>2</v>
      </c>
      <c r="AF2831" t="s">
        <v>45547</v>
      </c>
      <c r="AG2831" t="s">
        <v>45564</v>
      </c>
      <c r="AH2831">
        <v>1</v>
      </c>
      <c r="AI2831">
        <v>1</v>
      </c>
      <c r="AJ2831">
        <v>0</v>
      </c>
      <c r="AK2831">
        <v>74.14</v>
      </c>
      <c r="AN2831" t="s">
        <v>7439</v>
      </c>
      <c r="AO2831">
        <v>9000</v>
      </c>
      <c r="AU2831">
        <v>1.5</v>
      </c>
      <c r="AV2831" t="s">
        <v>458</v>
      </c>
      <c r="AW2831" t="s">
        <v>279</v>
      </c>
    </row>
    <row r="2832" spans="1:50">
      <c r="A2832" s="1">
        <f>HYPERLINK("https://lsnyc.legalserver.org/matter/dynamic-profile/view/1882586","18-1882586")</f>
        <v>0</v>
      </c>
      <c r="B2832" t="s">
        <v>90</v>
      </c>
      <c r="C2832" t="s">
        <v>340</v>
      </c>
      <c r="D2832" t="s">
        <v>637</v>
      </c>
      <c r="F2832" t="s">
        <v>1121</v>
      </c>
      <c r="G2832" t="s">
        <v>6640</v>
      </c>
      <c r="H2832" t="s">
        <v>10377</v>
      </c>
      <c r="I2832" t="s">
        <v>17312</v>
      </c>
      <c r="J2832" t="s">
        <v>18893</v>
      </c>
      <c r="K2832">
        <v>10031</v>
      </c>
      <c r="L2832" t="s">
        <v>18958</v>
      </c>
      <c r="M2832" t="s">
        <v>18958</v>
      </c>
      <c r="N2832" t="s">
        <v>21070</v>
      </c>
      <c r="O2832" t="s">
        <v>26526</v>
      </c>
      <c r="P2832" t="s">
        <v>26560</v>
      </c>
      <c r="R2832" t="s">
        <v>26578</v>
      </c>
      <c r="S2832" t="s">
        <v>18958</v>
      </c>
      <c r="U2832" t="s">
        <v>26604</v>
      </c>
      <c r="V2832" t="s">
        <v>26610</v>
      </c>
      <c r="W2832" t="s">
        <v>645</v>
      </c>
      <c r="X2832">
        <v>2697</v>
      </c>
      <c r="Y2832" t="s">
        <v>26651</v>
      </c>
      <c r="Z2832" t="s">
        <v>26667</v>
      </c>
      <c r="AB2832" t="s">
        <v>29164</v>
      </c>
      <c r="AD2832" t="s">
        <v>39217</v>
      </c>
      <c r="AE2832">
        <v>44</v>
      </c>
      <c r="AF2832" t="s">
        <v>45541</v>
      </c>
      <c r="AG2832" t="s">
        <v>45556</v>
      </c>
      <c r="AH2832">
        <v>10</v>
      </c>
      <c r="AI2832">
        <v>2</v>
      </c>
      <c r="AJ2832">
        <v>0</v>
      </c>
      <c r="AK2832">
        <v>20.33</v>
      </c>
      <c r="AN2832" t="s">
        <v>7439</v>
      </c>
      <c r="AO2832">
        <v>3346.2</v>
      </c>
      <c r="AU2832">
        <v>2</v>
      </c>
      <c r="AV2832" t="s">
        <v>826</v>
      </c>
      <c r="AW2832" t="s">
        <v>46835</v>
      </c>
    </row>
    <row r="2833" spans="1:50">
      <c r="A2833" s="1">
        <f>HYPERLINK("https://lsnyc.legalserver.org/matter/dynamic-profile/view/1882846","18-1882846")</f>
        <v>0</v>
      </c>
      <c r="B2833" t="s">
        <v>73</v>
      </c>
      <c r="C2833" t="s">
        <v>341</v>
      </c>
      <c r="D2833" t="s">
        <v>577</v>
      </c>
      <c r="E2833" t="s">
        <v>758</v>
      </c>
      <c r="F2833" t="s">
        <v>2120</v>
      </c>
      <c r="G2833" t="s">
        <v>879</v>
      </c>
      <c r="H2833" t="s">
        <v>11062</v>
      </c>
      <c r="I2833" t="s">
        <v>17388</v>
      </c>
      <c r="J2833" t="s">
        <v>18894</v>
      </c>
      <c r="K2833">
        <v>11213</v>
      </c>
      <c r="L2833" t="s">
        <v>18958</v>
      </c>
      <c r="M2833" t="s">
        <v>18958</v>
      </c>
      <c r="O2833" t="s">
        <v>18997</v>
      </c>
      <c r="P2833" t="s">
        <v>26565</v>
      </c>
      <c r="Q2833" t="s">
        <v>26571</v>
      </c>
      <c r="R2833" t="s">
        <v>26578</v>
      </c>
      <c r="S2833" t="s">
        <v>18958</v>
      </c>
      <c r="U2833" t="s">
        <v>26604</v>
      </c>
      <c r="V2833" t="s">
        <v>26610</v>
      </c>
      <c r="W2833" t="s">
        <v>645</v>
      </c>
      <c r="X2833">
        <v>789.13</v>
      </c>
      <c r="Y2833" t="s">
        <v>26652</v>
      </c>
      <c r="Z2833" t="s">
        <v>26667</v>
      </c>
      <c r="AA2833" t="s">
        <v>26683</v>
      </c>
      <c r="AB2833" t="s">
        <v>29165</v>
      </c>
      <c r="AE2833">
        <v>35</v>
      </c>
      <c r="AF2833" t="s">
        <v>45541</v>
      </c>
      <c r="AH2833">
        <v>30</v>
      </c>
      <c r="AI2833">
        <v>2</v>
      </c>
      <c r="AJ2833">
        <v>1</v>
      </c>
      <c r="AK2833">
        <v>100.1</v>
      </c>
      <c r="AN2833" t="s">
        <v>7439</v>
      </c>
      <c r="AO2833">
        <v>20800</v>
      </c>
      <c r="AU2833">
        <v>3.1</v>
      </c>
      <c r="AV2833" t="s">
        <v>752</v>
      </c>
      <c r="AW2833" t="s">
        <v>286</v>
      </c>
    </row>
    <row r="2834" spans="1:50">
      <c r="A2834" s="1">
        <f>HYPERLINK("https://lsnyc.legalserver.org/matter/dynamic-profile/view/0831349","17-0831349")</f>
        <v>0</v>
      </c>
      <c r="B2834" t="s">
        <v>152</v>
      </c>
      <c r="C2834" t="s">
        <v>340</v>
      </c>
      <c r="D2834" t="s">
        <v>647</v>
      </c>
      <c r="F2834" t="s">
        <v>2421</v>
      </c>
      <c r="G2834" t="s">
        <v>1146</v>
      </c>
      <c r="H2834" t="s">
        <v>11894</v>
      </c>
      <c r="I2834" t="s">
        <v>17890</v>
      </c>
      <c r="J2834" t="s">
        <v>18892</v>
      </c>
      <c r="K2834">
        <v>10453</v>
      </c>
      <c r="L2834" t="s">
        <v>18958</v>
      </c>
      <c r="M2834" t="s">
        <v>18958</v>
      </c>
      <c r="N2834" t="s">
        <v>21071</v>
      </c>
      <c r="O2834" t="s">
        <v>26526</v>
      </c>
      <c r="P2834" t="s">
        <v>26560</v>
      </c>
      <c r="R2834" t="s">
        <v>26597</v>
      </c>
      <c r="U2834" t="s">
        <v>26604</v>
      </c>
      <c r="W2834" t="s">
        <v>641</v>
      </c>
      <c r="X2834">
        <v>665</v>
      </c>
      <c r="Y2834" t="s">
        <v>26650</v>
      </c>
      <c r="Z2834" t="s">
        <v>26656</v>
      </c>
      <c r="AB2834" t="s">
        <v>29166</v>
      </c>
      <c r="AD2834" t="s">
        <v>39218</v>
      </c>
      <c r="AE2834">
        <v>0</v>
      </c>
      <c r="AF2834" t="s">
        <v>45541</v>
      </c>
      <c r="AG2834" t="s">
        <v>45559</v>
      </c>
      <c r="AH2834">
        <v>20</v>
      </c>
      <c r="AI2834">
        <v>1</v>
      </c>
      <c r="AJ2834">
        <v>0</v>
      </c>
      <c r="AK2834">
        <v>72.94</v>
      </c>
      <c r="AN2834" t="s">
        <v>7439</v>
      </c>
      <c r="AO2834">
        <v>8796</v>
      </c>
      <c r="AU2834">
        <v>8.699999999999999</v>
      </c>
      <c r="AV2834" t="s">
        <v>646</v>
      </c>
      <c r="AW2834" t="s">
        <v>46837</v>
      </c>
    </row>
    <row r="2835" spans="1:50">
      <c r="A2835" s="1">
        <f>HYPERLINK("https://lsnyc.legalserver.org/matter/dynamic-profile/view/1857034","18-1857034")</f>
        <v>0</v>
      </c>
      <c r="B2835" t="s">
        <v>67</v>
      </c>
      <c r="C2835" t="s">
        <v>340</v>
      </c>
      <c r="D2835" t="s">
        <v>557</v>
      </c>
      <c r="F2835" t="s">
        <v>2422</v>
      </c>
      <c r="G2835" t="s">
        <v>6641</v>
      </c>
      <c r="H2835" t="s">
        <v>9648</v>
      </c>
      <c r="I2835" t="s">
        <v>17891</v>
      </c>
      <c r="J2835" t="s">
        <v>18892</v>
      </c>
      <c r="K2835">
        <v>10452</v>
      </c>
      <c r="L2835" t="s">
        <v>18958</v>
      </c>
      <c r="M2835" t="s">
        <v>18958</v>
      </c>
      <c r="N2835" t="s">
        <v>18973</v>
      </c>
      <c r="O2835" t="s">
        <v>26527</v>
      </c>
      <c r="P2835" t="s">
        <v>26561</v>
      </c>
      <c r="R2835" t="s">
        <v>26578</v>
      </c>
      <c r="S2835" t="s">
        <v>18958</v>
      </c>
      <c r="U2835" t="s">
        <v>26604</v>
      </c>
      <c r="W2835" t="s">
        <v>641</v>
      </c>
      <c r="X2835">
        <v>858.6900000000001</v>
      </c>
      <c r="Y2835" t="s">
        <v>26650</v>
      </c>
      <c r="Z2835" t="s">
        <v>26663</v>
      </c>
      <c r="AB2835" t="s">
        <v>29167</v>
      </c>
      <c r="AD2835" t="s">
        <v>39219</v>
      </c>
      <c r="AE2835">
        <v>122</v>
      </c>
      <c r="AF2835" t="s">
        <v>45541</v>
      </c>
      <c r="AG2835" t="s">
        <v>19330</v>
      </c>
      <c r="AH2835">
        <v>4</v>
      </c>
      <c r="AI2835">
        <v>2</v>
      </c>
      <c r="AJ2835">
        <v>2</v>
      </c>
      <c r="AK2835">
        <v>171.22</v>
      </c>
      <c r="AN2835" t="s">
        <v>7439</v>
      </c>
      <c r="AO2835">
        <v>42120</v>
      </c>
      <c r="AP2835" t="s">
        <v>45769</v>
      </c>
      <c r="AU2835">
        <v>0</v>
      </c>
      <c r="AW2835" t="s">
        <v>46832</v>
      </c>
    </row>
    <row r="2836" spans="1:50">
      <c r="A2836" s="1">
        <f>HYPERLINK("https://lsnyc.legalserver.org/matter/dynamic-profile/view/1857079","18-1857079")</f>
        <v>0</v>
      </c>
      <c r="B2836" t="s">
        <v>60</v>
      </c>
      <c r="C2836" t="s">
        <v>340</v>
      </c>
      <c r="D2836" t="s">
        <v>374</v>
      </c>
      <c r="F2836" t="s">
        <v>880</v>
      </c>
      <c r="G2836" t="s">
        <v>6642</v>
      </c>
      <c r="H2836" t="s">
        <v>9648</v>
      </c>
      <c r="I2836" t="s">
        <v>17638</v>
      </c>
      <c r="J2836" t="s">
        <v>18892</v>
      </c>
      <c r="K2836">
        <v>10452</v>
      </c>
      <c r="L2836" t="s">
        <v>18958</v>
      </c>
      <c r="M2836" t="s">
        <v>18960</v>
      </c>
      <c r="N2836" t="s">
        <v>18973</v>
      </c>
      <c r="O2836" t="s">
        <v>26527</v>
      </c>
      <c r="P2836" t="s">
        <v>26561</v>
      </c>
      <c r="R2836" t="s">
        <v>26578</v>
      </c>
      <c r="S2836" t="s">
        <v>18958</v>
      </c>
      <c r="U2836" t="s">
        <v>26604</v>
      </c>
      <c r="W2836" t="s">
        <v>641</v>
      </c>
      <c r="X2836">
        <v>818.46</v>
      </c>
      <c r="Y2836" t="s">
        <v>26650</v>
      </c>
      <c r="Z2836" t="s">
        <v>26663</v>
      </c>
      <c r="AB2836" t="s">
        <v>28541</v>
      </c>
      <c r="AD2836" t="s">
        <v>39220</v>
      </c>
      <c r="AE2836">
        <v>122</v>
      </c>
      <c r="AF2836" t="s">
        <v>45541</v>
      </c>
      <c r="AG2836" t="s">
        <v>19330</v>
      </c>
      <c r="AH2836">
        <v>25</v>
      </c>
      <c r="AI2836">
        <v>3</v>
      </c>
      <c r="AJ2836">
        <v>0</v>
      </c>
      <c r="AK2836">
        <v>244.86</v>
      </c>
      <c r="AN2836" t="s">
        <v>7439</v>
      </c>
      <c r="AO2836">
        <v>100000</v>
      </c>
      <c r="AP2836" t="s">
        <v>45623</v>
      </c>
      <c r="AU2836">
        <v>0</v>
      </c>
      <c r="AW2836" t="s">
        <v>46832</v>
      </c>
    </row>
    <row r="2837" spans="1:50">
      <c r="A2837" s="1">
        <f>HYPERLINK("https://lsnyc.legalserver.org/matter/dynamic-profile/view/1870238","18-1870238")</f>
        <v>0</v>
      </c>
      <c r="B2837" t="s">
        <v>63</v>
      </c>
      <c r="C2837" t="s">
        <v>341</v>
      </c>
      <c r="D2837" t="s">
        <v>399</v>
      </c>
      <c r="E2837" t="s">
        <v>706</v>
      </c>
      <c r="F2837" t="s">
        <v>900</v>
      </c>
      <c r="G2837" t="s">
        <v>6643</v>
      </c>
      <c r="H2837" t="s">
        <v>11895</v>
      </c>
      <c r="I2837" t="s">
        <v>17348</v>
      </c>
      <c r="J2837" t="s">
        <v>18892</v>
      </c>
      <c r="K2837">
        <v>10452</v>
      </c>
      <c r="L2837" t="s">
        <v>18958</v>
      </c>
      <c r="M2837" t="s">
        <v>18958</v>
      </c>
      <c r="N2837" t="s">
        <v>21072</v>
      </c>
      <c r="O2837" t="s">
        <v>26524</v>
      </c>
      <c r="P2837" t="s">
        <v>26564</v>
      </c>
      <c r="Q2837" t="s">
        <v>26570</v>
      </c>
      <c r="R2837" t="s">
        <v>26578</v>
      </c>
      <c r="S2837" t="s">
        <v>18959</v>
      </c>
      <c r="U2837" t="s">
        <v>26604</v>
      </c>
      <c r="W2837" t="s">
        <v>641</v>
      </c>
      <c r="X2837">
        <v>0</v>
      </c>
      <c r="Y2837" t="s">
        <v>26650</v>
      </c>
      <c r="Z2837" t="s">
        <v>26662</v>
      </c>
      <c r="AA2837" t="s">
        <v>26683</v>
      </c>
      <c r="AB2837" t="s">
        <v>29168</v>
      </c>
      <c r="AD2837" t="s">
        <v>39221</v>
      </c>
      <c r="AE2837">
        <v>283</v>
      </c>
      <c r="AF2837" t="s">
        <v>45541</v>
      </c>
      <c r="AH2837">
        <v>3</v>
      </c>
      <c r="AI2837">
        <v>1</v>
      </c>
      <c r="AJ2837">
        <v>0</v>
      </c>
      <c r="AK2837">
        <v>49.42</v>
      </c>
      <c r="AN2837" t="s">
        <v>7439</v>
      </c>
      <c r="AO2837">
        <v>6000</v>
      </c>
      <c r="AU2837">
        <v>5</v>
      </c>
      <c r="AV2837" t="s">
        <v>447</v>
      </c>
      <c r="AW2837" t="s">
        <v>336</v>
      </c>
    </row>
    <row r="2838" spans="1:50">
      <c r="A2838" s="1">
        <f>HYPERLINK("https://lsnyc.legalserver.org/matter/dynamic-profile/view/1872232","18-1872232")</f>
        <v>0</v>
      </c>
      <c r="B2838" t="s">
        <v>63</v>
      </c>
      <c r="C2838" t="s">
        <v>340</v>
      </c>
      <c r="D2838" t="s">
        <v>439</v>
      </c>
      <c r="F2838" t="s">
        <v>2423</v>
      </c>
      <c r="G2838" t="s">
        <v>5864</v>
      </c>
      <c r="H2838" t="s">
        <v>11896</v>
      </c>
      <c r="I2838" t="s">
        <v>17307</v>
      </c>
      <c r="J2838" t="s">
        <v>18892</v>
      </c>
      <c r="K2838">
        <v>10453</v>
      </c>
      <c r="L2838" t="s">
        <v>18958</v>
      </c>
      <c r="M2838" t="s">
        <v>18958</v>
      </c>
      <c r="N2838" t="s">
        <v>21073</v>
      </c>
      <c r="O2838" t="s">
        <v>26523</v>
      </c>
      <c r="P2838" t="s">
        <v>26560</v>
      </c>
      <c r="R2838" t="s">
        <v>26578</v>
      </c>
      <c r="U2838" t="s">
        <v>26604</v>
      </c>
      <c r="W2838" t="s">
        <v>641</v>
      </c>
      <c r="X2838">
        <v>612.61</v>
      </c>
      <c r="Y2838" t="s">
        <v>26650</v>
      </c>
      <c r="Z2838" t="s">
        <v>26660</v>
      </c>
      <c r="AB2838" t="s">
        <v>28256</v>
      </c>
      <c r="AC2838" t="s">
        <v>35342</v>
      </c>
      <c r="AD2838" t="s">
        <v>39222</v>
      </c>
      <c r="AE2838">
        <v>72</v>
      </c>
      <c r="AF2838" t="s">
        <v>45548</v>
      </c>
      <c r="AG2838" t="s">
        <v>19330</v>
      </c>
      <c r="AH2838">
        <v>36</v>
      </c>
      <c r="AI2838">
        <v>1</v>
      </c>
      <c r="AJ2838">
        <v>1</v>
      </c>
      <c r="AK2838">
        <v>89.16</v>
      </c>
      <c r="AN2838" t="s">
        <v>7439</v>
      </c>
      <c r="AO2838">
        <v>14676</v>
      </c>
      <c r="AP2838" t="s">
        <v>45697</v>
      </c>
      <c r="AU2838">
        <v>7.9</v>
      </c>
      <c r="AV2838" t="s">
        <v>635</v>
      </c>
      <c r="AW2838" t="s">
        <v>46858</v>
      </c>
    </row>
    <row r="2839" spans="1:50">
      <c r="A2839" s="1">
        <f>HYPERLINK("https://lsnyc.legalserver.org/matter/dynamic-profile/view/1877180","18-1877180")</f>
        <v>0</v>
      </c>
      <c r="B2839" t="s">
        <v>155</v>
      </c>
      <c r="C2839" t="s">
        <v>340</v>
      </c>
      <c r="D2839" t="s">
        <v>576</v>
      </c>
      <c r="F2839" t="s">
        <v>1146</v>
      </c>
      <c r="G2839" t="s">
        <v>6644</v>
      </c>
      <c r="H2839" t="s">
        <v>11897</v>
      </c>
      <c r="I2839">
        <v>1</v>
      </c>
      <c r="J2839" t="s">
        <v>18894</v>
      </c>
      <c r="K2839">
        <v>11203</v>
      </c>
      <c r="L2839" t="s">
        <v>18958</v>
      </c>
      <c r="M2839" t="s">
        <v>18960</v>
      </c>
      <c r="N2839" t="s">
        <v>21074</v>
      </c>
      <c r="O2839" t="s">
        <v>26523</v>
      </c>
      <c r="P2839" t="s">
        <v>26560</v>
      </c>
      <c r="R2839" t="s">
        <v>26578</v>
      </c>
      <c r="U2839" t="s">
        <v>26604</v>
      </c>
      <c r="W2839" t="s">
        <v>641</v>
      </c>
      <c r="X2839">
        <v>2400</v>
      </c>
      <c r="Y2839" t="s">
        <v>26652</v>
      </c>
      <c r="Z2839" t="s">
        <v>26664</v>
      </c>
      <c r="AB2839" t="s">
        <v>29169</v>
      </c>
      <c r="AD2839" t="s">
        <v>39223</v>
      </c>
      <c r="AE2839">
        <v>15</v>
      </c>
      <c r="AG2839" t="s">
        <v>19330</v>
      </c>
      <c r="AH2839">
        <v>-2</v>
      </c>
      <c r="AI2839">
        <v>1</v>
      </c>
      <c r="AJ2839">
        <v>0</v>
      </c>
      <c r="AK2839">
        <v>185.34</v>
      </c>
      <c r="AN2839" t="s">
        <v>7439</v>
      </c>
      <c r="AO2839">
        <v>22500</v>
      </c>
      <c r="AU2839">
        <v>52</v>
      </c>
      <c r="AV2839" t="s">
        <v>698</v>
      </c>
      <c r="AW2839" t="s">
        <v>46862</v>
      </c>
      <c r="AX2839" t="s">
        <v>46897</v>
      </c>
    </row>
    <row r="2840" spans="1:50">
      <c r="A2840" s="1">
        <f>HYPERLINK("https://lsnyc.legalserver.org/matter/dynamic-profile/view/1878468","18-1878468")</f>
        <v>0</v>
      </c>
      <c r="B2840" t="s">
        <v>121</v>
      </c>
      <c r="C2840" t="s">
        <v>340</v>
      </c>
      <c r="D2840" t="s">
        <v>589</v>
      </c>
      <c r="F2840" t="s">
        <v>1132</v>
      </c>
      <c r="G2840" t="s">
        <v>6645</v>
      </c>
      <c r="H2840" t="s">
        <v>11898</v>
      </c>
      <c r="I2840" t="s">
        <v>17892</v>
      </c>
      <c r="J2840" t="s">
        <v>18892</v>
      </c>
      <c r="K2840">
        <v>10461</v>
      </c>
      <c r="L2840" t="s">
        <v>18958</v>
      </c>
      <c r="M2840" t="s">
        <v>18958</v>
      </c>
      <c r="N2840" t="s">
        <v>21075</v>
      </c>
      <c r="O2840" t="s">
        <v>26524</v>
      </c>
      <c r="P2840" t="s">
        <v>26560</v>
      </c>
      <c r="R2840" t="s">
        <v>26577</v>
      </c>
      <c r="U2840" t="s">
        <v>26604</v>
      </c>
      <c r="V2840" t="s">
        <v>26610</v>
      </c>
      <c r="W2840" t="s">
        <v>641</v>
      </c>
      <c r="X2840">
        <v>1415</v>
      </c>
      <c r="Y2840" t="s">
        <v>26650</v>
      </c>
      <c r="Z2840" t="s">
        <v>26661</v>
      </c>
      <c r="AB2840" t="s">
        <v>29170</v>
      </c>
      <c r="AD2840" t="s">
        <v>39224</v>
      </c>
      <c r="AE2840">
        <v>285</v>
      </c>
      <c r="AF2840" t="s">
        <v>45541</v>
      </c>
      <c r="AG2840" t="s">
        <v>19330</v>
      </c>
      <c r="AH2840">
        <v>31</v>
      </c>
      <c r="AI2840">
        <v>2</v>
      </c>
      <c r="AJ2840">
        <v>0</v>
      </c>
      <c r="AK2840">
        <v>259.03</v>
      </c>
      <c r="AL2840" t="s">
        <v>641</v>
      </c>
      <c r="AM2840" t="s">
        <v>45575</v>
      </c>
      <c r="AN2840" t="s">
        <v>7439</v>
      </c>
      <c r="AO2840">
        <v>42636</v>
      </c>
      <c r="AP2840" t="s">
        <v>45770</v>
      </c>
      <c r="AU2840">
        <v>28.1</v>
      </c>
      <c r="AV2840" t="s">
        <v>767</v>
      </c>
      <c r="AW2840" t="s">
        <v>46854</v>
      </c>
    </row>
    <row r="2841" spans="1:50">
      <c r="A2841" s="1">
        <f>HYPERLINK("https://lsnyc.legalserver.org/matter/dynamic-profile/view/1880289","18-1880289")</f>
        <v>0</v>
      </c>
      <c r="B2841" t="s">
        <v>82</v>
      </c>
      <c r="C2841" t="s">
        <v>341</v>
      </c>
      <c r="D2841" t="s">
        <v>614</v>
      </c>
      <c r="E2841" t="s">
        <v>703</v>
      </c>
      <c r="F2841" t="s">
        <v>2424</v>
      </c>
      <c r="G2841" t="s">
        <v>6415</v>
      </c>
      <c r="H2841" t="s">
        <v>11899</v>
      </c>
      <c r="I2841">
        <v>1</v>
      </c>
      <c r="J2841" t="s">
        <v>18892</v>
      </c>
      <c r="K2841">
        <v>10456</v>
      </c>
      <c r="L2841" t="s">
        <v>18958</v>
      </c>
      <c r="M2841" t="s">
        <v>18958</v>
      </c>
      <c r="O2841" t="s">
        <v>26529</v>
      </c>
      <c r="P2841" t="s">
        <v>26564</v>
      </c>
      <c r="Q2841" t="s">
        <v>26570</v>
      </c>
      <c r="R2841" t="s">
        <v>26578</v>
      </c>
      <c r="S2841" t="s">
        <v>18959</v>
      </c>
      <c r="U2841" t="s">
        <v>26604</v>
      </c>
      <c r="W2841" t="s">
        <v>641</v>
      </c>
      <c r="X2841">
        <v>800</v>
      </c>
      <c r="Y2841" t="s">
        <v>26650</v>
      </c>
      <c r="Z2841" t="s">
        <v>26661</v>
      </c>
      <c r="AA2841" t="s">
        <v>26683</v>
      </c>
      <c r="AB2841" t="s">
        <v>29171</v>
      </c>
      <c r="AC2841" t="s">
        <v>35343</v>
      </c>
      <c r="AD2841" t="s">
        <v>39225</v>
      </c>
      <c r="AE2841">
        <v>5</v>
      </c>
      <c r="AF2841" t="s">
        <v>45547</v>
      </c>
      <c r="AG2841" t="s">
        <v>45560</v>
      </c>
      <c r="AH2841">
        <v>1</v>
      </c>
      <c r="AI2841">
        <v>1</v>
      </c>
      <c r="AJ2841">
        <v>0</v>
      </c>
      <c r="AK2841">
        <v>79.08</v>
      </c>
      <c r="AN2841" t="s">
        <v>7439</v>
      </c>
      <c r="AO2841">
        <v>9600</v>
      </c>
      <c r="AU2841">
        <v>7.25</v>
      </c>
      <c r="AV2841" t="s">
        <v>692</v>
      </c>
      <c r="AW2841" t="s">
        <v>46842</v>
      </c>
    </row>
    <row r="2842" spans="1:50">
      <c r="A2842" s="1">
        <f>HYPERLINK("https://lsnyc.legalserver.org/matter/dynamic-profile/view/1880801","18-1880801")</f>
        <v>0</v>
      </c>
      <c r="B2842" t="s">
        <v>147</v>
      </c>
      <c r="C2842" t="s">
        <v>341</v>
      </c>
      <c r="D2842" t="s">
        <v>630</v>
      </c>
      <c r="E2842" t="s">
        <v>415</v>
      </c>
      <c r="F2842" t="s">
        <v>2094</v>
      </c>
      <c r="G2842" t="s">
        <v>5269</v>
      </c>
      <c r="H2842" t="s">
        <v>11510</v>
      </c>
      <c r="I2842" t="s">
        <v>17272</v>
      </c>
      <c r="J2842" t="s">
        <v>18894</v>
      </c>
      <c r="K2842">
        <v>11226</v>
      </c>
      <c r="L2842" t="s">
        <v>18958</v>
      </c>
      <c r="M2842" t="s">
        <v>18958</v>
      </c>
      <c r="O2842" t="s">
        <v>26526</v>
      </c>
      <c r="P2842" t="s">
        <v>26563</v>
      </c>
      <c r="Q2842" t="s">
        <v>26569</v>
      </c>
      <c r="R2842" t="s">
        <v>26578</v>
      </c>
      <c r="S2842" t="s">
        <v>18958</v>
      </c>
      <c r="U2842" t="s">
        <v>26604</v>
      </c>
      <c r="W2842" t="s">
        <v>641</v>
      </c>
      <c r="X2842">
        <v>900</v>
      </c>
      <c r="Y2842" t="s">
        <v>26652</v>
      </c>
      <c r="Z2842" t="s">
        <v>26663</v>
      </c>
      <c r="AA2842" t="s">
        <v>26687</v>
      </c>
      <c r="AB2842" t="s">
        <v>29172</v>
      </c>
      <c r="AE2842">
        <v>48</v>
      </c>
      <c r="AF2842" t="s">
        <v>45541</v>
      </c>
      <c r="AG2842" t="s">
        <v>45556</v>
      </c>
      <c r="AH2842">
        <v>30</v>
      </c>
      <c r="AI2842">
        <v>1</v>
      </c>
      <c r="AJ2842">
        <v>0</v>
      </c>
      <c r="AK2842">
        <v>128.5</v>
      </c>
      <c r="AN2842" t="s">
        <v>7439</v>
      </c>
      <c r="AO2842">
        <v>15600</v>
      </c>
      <c r="AU2842">
        <v>1.3</v>
      </c>
      <c r="AV2842" t="s">
        <v>631</v>
      </c>
      <c r="AW2842" t="s">
        <v>147</v>
      </c>
    </row>
    <row r="2843" spans="1:50">
      <c r="A2843" s="1">
        <f>HYPERLINK("https://lsnyc.legalserver.org/matter/dynamic-profile/view/1881152","18-1881152")</f>
        <v>0</v>
      </c>
      <c r="B2843" t="s">
        <v>99</v>
      </c>
      <c r="C2843" t="s">
        <v>341</v>
      </c>
      <c r="D2843" t="s">
        <v>639</v>
      </c>
      <c r="E2843" t="s">
        <v>519</v>
      </c>
      <c r="F2843" t="s">
        <v>1091</v>
      </c>
      <c r="G2843" t="s">
        <v>5438</v>
      </c>
      <c r="H2843" t="s">
        <v>11900</v>
      </c>
      <c r="I2843">
        <v>3</v>
      </c>
      <c r="J2843" t="s">
        <v>18894</v>
      </c>
      <c r="K2843">
        <v>11221</v>
      </c>
      <c r="L2843" t="s">
        <v>18958</v>
      </c>
      <c r="M2843" t="s">
        <v>18958</v>
      </c>
      <c r="N2843" t="s">
        <v>21076</v>
      </c>
      <c r="O2843" t="s">
        <v>26524</v>
      </c>
      <c r="P2843" t="s">
        <v>26560</v>
      </c>
      <c r="Q2843" t="s">
        <v>26573</v>
      </c>
      <c r="R2843" t="s">
        <v>26588</v>
      </c>
      <c r="S2843" t="s">
        <v>18959</v>
      </c>
      <c r="U2843" t="s">
        <v>26604</v>
      </c>
      <c r="V2843" t="s">
        <v>26610</v>
      </c>
      <c r="W2843" t="s">
        <v>641</v>
      </c>
      <c r="X2843">
        <v>600</v>
      </c>
      <c r="Y2843" t="s">
        <v>26652</v>
      </c>
      <c r="Z2843" t="s">
        <v>26669</v>
      </c>
      <c r="AA2843" t="s">
        <v>26679</v>
      </c>
      <c r="AB2843" t="s">
        <v>29173</v>
      </c>
      <c r="AC2843" t="s">
        <v>19330</v>
      </c>
      <c r="AD2843" t="s">
        <v>39226</v>
      </c>
      <c r="AE2843">
        <v>3</v>
      </c>
      <c r="AF2843" t="s">
        <v>45547</v>
      </c>
      <c r="AG2843" t="s">
        <v>19330</v>
      </c>
      <c r="AH2843">
        <v>43</v>
      </c>
      <c r="AI2843">
        <v>1</v>
      </c>
      <c r="AJ2843">
        <v>0</v>
      </c>
      <c r="AK2843">
        <v>108.73</v>
      </c>
      <c r="AN2843" t="s">
        <v>7439</v>
      </c>
      <c r="AO2843">
        <v>13200</v>
      </c>
      <c r="AQ2843" t="s">
        <v>46359</v>
      </c>
      <c r="AR2843" t="s">
        <v>46381</v>
      </c>
      <c r="AS2843" t="s">
        <v>46500</v>
      </c>
      <c r="AT2843" t="s">
        <v>46542</v>
      </c>
      <c r="AU2843">
        <v>4.5</v>
      </c>
      <c r="AV2843" t="s">
        <v>519</v>
      </c>
      <c r="AW2843" t="s">
        <v>46862</v>
      </c>
    </row>
    <row r="2844" spans="1:50">
      <c r="A2844" s="1">
        <f>HYPERLINK("https://lsnyc.legalserver.org/matter/dynamic-profile/view/1882075","18-1882075")</f>
        <v>0</v>
      </c>
      <c r="B2844" t="s">
        <v>108</v>
      </c>
      <c r="C2844" t="s">
        <v>341</v>
      </c>
      <c r="D2844" t="s">
        <v>641</v>
      </c>
      <c r="E2844" t="s">
        <v>494</v>
      </c>
      <c r="F2844" t="s">
        <v>1028</v>
      </c>
      <c r="G2844" t="s">
        <v>5269</v>
      </c>
      <c r="H2844" t="s">
        <v>11901</v>
      </c>
      <c r="I2844" t="s">
        <v>17272</v>
      </c>
      <c r="J2844" t="s">
        <v>18928</v>
      </c>
      <c r="K2844">
        <v>11365</v>
      </c>
      <c r="L2844" t="s">
        <v>18958</v>
      </c>
      <c r="M2844" t="s">
        <v>18958</v>
      </c>
      <c r="N2844" t="s">
        <v>21077</v>
      </c>
      <c r="O2844" t="s">
        <v>26538</v>
      </c>
      <c r="P2844" t="s">
        <v>26564</v>
      </c>
      <c r="Q2844" t="s">
        <v>26570</v>
      </c>
      <c r="R2844" t="s">
        <v>26584</v>
      </c>
      <c r="S2844" t="s">
        <v>18959</v>
      </c>
      <c r="U2844" t="s">
        <v>26604</v>
      </c>
      <c r="V2844" t="s">
        <v>26610</v>
      </c>
      <c r="W2844" t="s">
        <v>641</v>
      </c>
      <c r="X2844">
        <v>450</v>
      </c>
      <c r="Y2844" t="s">
        <v>26653</v>
      </c>
      <c r="Z2844" t="s">
        <v>26664</v>
      </c>
      <c r="AA2844" t="s">
        <v>26683</v>
      </c>
      <c r="AB2844" t="s">
        <v>29174</v>
      </c>
      <c r="AC2844" t="s">
        <v>35344</v>
      </c>
      <c r="AD2844" t="s">
        <v>39227</v>
      </c>
      <c r="AE2844">
        <v>42</v>
      </c>
      <c r="AF2844" t="s">
        <v>45549</v>
      </c>
      <c r="AG2844" t="s">
        <v>19330</v>
      </c>
      <c r="AH2844">
        <v>22</v>
      </c>
      <c r="AI2844">
        <v>2</v>
      </c>
      <c r="AJ2844">
        <v>0</v>
      </c>
      <c r="AK2844">
        <v>112.86</v>
      </c>
      <c r="AN2844" t="s">
        <v>7439</v>
      </c>
      <c r="AO2844">
        <v>18576</v>
      </c>
      <c r="AU2844">
        <v>0.6</v>
      </c>
      <c r="AV2844" t="s">
        <v>428</v>
      </c>
      <c r="AW2844" t="s">
        <v>161</v>
      </c>
    </row>
    <row r="2845" spans="1:50">
      <c r="A2845" s="1">
        <f>HYPERLINK("https://lsnyc.legalserver.org/matter/dynamic-profile/view/1882011","18-1882011")</f>
        <v>0</v>
      </c>
      <c r="B2845" t="s">
        <v>108</v>
      </c>
      <c r="C2845" t="s">
        <v>341</v>
      </c>
      <c r="D2845" t="s">
        <v>641</v>
      </c>
      <c r="E2845" t="s">
        <v>825</v>
      </c>
      <c r="F2845" t="s">
        <v>979</v>
      </c>
      <c r="G2845" t="s">
        <v>5375</v>
      </c>
      <c r="H2845" t="s">
        <v>11902</v>
      </c>
      <c r="I2845" t="s">
        <v>17322</v>
      </c>
      <c r="J2845" t="s">
        <v>18901</v>
      </c>
      <c r="K2845">
        <v>11434</v>
      </c>
      <c r="L2845" t="s">
        <v>18958</v>
      </c>
      <c r="M2845" t="s">
        <v>18958</v>
      </c>
      <c r="N2845" t="s">
        <v>21078</v>
      </c>
      <c r="O2845" t="s">
        <v>26524</v>
      </c>
      <c r="P2845" t="s">
        <v>26560</v>
      </c>
      <c r="Q2845" t="s">
        <v>26568</v>
      </c>
      <c r="R2845" t="s">
        <v>26585</v>
      </c>
      <c r="S2845" t="s">
        <v>18959</v>
      </c>
      <c r="U2845" t="s">
        <v>26604</v>
      </c>
      <c r="V2845" t="s">
        <v>26610</v>
      </c>
      <c r="W2845" t="s">
        <v>641</v>
      </c>
      <c r="X2845">
        <v>1213</v>
      </c>
      <c r="Y2845" t="s">
        <v>26653</v>
      </c>
      <c r="Z2845" t="s">
        <v>26664</v>
      </c>
      <c r="AA2845" t="s">
        <v>26679</v>
      </c>
      <c r="AB2845" t="s">
        <v>29175</v>
      </c>
      <c r="AC2845" t="s">
        <v>35345</v>
      </c>
      <c r="AD2845" t="s">
        <v>39228</v>
      </c>
      <c r="AE2845">
        <v>2</v>
      </c>
      <c r="AF2845" t="s">
        <v>45547</v>
      </c>
      <c r="AG2845" t="s">
        <v>45562</v>
      </c>
      <c r="AH2845">
        <v>2</v>
      </c>
      <c r="AI2845">
        <v>1</v>
      </c>
      <c r="AJ2845">
        <v>0</v>
      </c>
      <c r="AK2845">
        <v>105.16</v>
      </c>
      <c r="AN2845" t="s">
        <v>7439</v>
      </c>
      <c r="AO2845">
        <v>12766</v>
      </c>
      <c r="AQ2845" t="s">
        <v>46361</v>
      </c>
      <c r="AR2845" t="s">
        <v>26530</v>
      </c>
      <c r="AS2845" t="s">
        <v>46502</v>
      </c>
      <c r="AT2845" t="s">
        <v>46619</v>
      </c>
      <c r="AU2845">
        <v>25.2</v>
      </c>
      <c r="AV2845" t="s">
        <v>806</v>
      </c>
      <c r="AW2845" t="s">
        <v>208</v>
      </c>
      <c r="AX2845" t="s">
        <v>46897</v>
      </c>
    </row>
    <row r="2846" spans="1:50">
      <c r="A2846" s="1">
        <f>HYPERLINK("https://lsnyc.legalserver.org/matter/dynamic-profile/view/1882082","18-1882082")</f>
        <v>0</v>
      </c>
      <c r="B2846" t="s">
        <v>85</v>
      </c>
      <c r="C2846" t="s">
        <v>341</v>
      </c>
      <c r="D2846" t="s">
        <v>641</v>
      </c>
      <c r="E2846" t="s">
        <v>699</v>
      </c>
      <c r="F2846" t="s">
        <v>2425</v>
      </c>
      <c r="G2846" t="s">
        <v>6646</v>
      </c>
      <c r="H2846" t="s">
        <v>11903</v>
      </c>
      <c r="I2846" t="s">
        <v>17430</v>
      </c>
      <c r="J2846" t="s">
        <v>18923</v>
      </c>
      <c r="K2846">
        <v>11418</v>
      </c>
      <c r="L2846" t="s">
        <v>18958</v>
      </c>
      <c r="M2846" t="s">
        <v>18958</v>
      </c>
      <c r="N2846" t="s">
        <v>21079</v>
      </c>
      <c r="O2846" t="s">
        <v>26524</v>
      </c>
      <c r="P2846" t="s">
        <v>26564</v>
      </c>
      <c r="Q2846" t="s">
        <v>26570</v>
      </c>
      <c r="R2846" t="s">
        <v>26584</v>
      </c>
      <c r="S2846" t="s">
        <v>18959</v>
      </c>
      <c r="U2846" t="s">
        <v>26604</v>
      </c>
      <c r="V2846" t="s">
        <v>26610</v>
      </c>
      <c r="W2846" t="s">
        <v>641</v>
      </c>
      <c r="X2846">
        <v>1400</v>
      </c>
      <c r="Y2846" t="s">
        <v>26653</v>
      </c>
      <c r="Z2846" t="s">
        <v>26664</v>
      </c>
      <c r="AA2846" t="s">
        <v>26683</v>
      </c>
      <c r="AB2846" t="s">
        <v>29176</v>
      </c>
      <c r="AD2846" t="s">
        <v>39229</v>
      </c>
      <c r="AE2846">
        <v>2</v>
      </c>
      <c r="AF2846" t="s">
        <v>45547</v>
      </c>
      <c r="AG2846" t="s">
        <v>19330</v>
      </c>
      <c r="AH2846">
        <v>4</v>
      </c>
      <c r="AI2846">
        <v>2</v>
      </c>
      <c r="AJ2846">
        <v>1</v>
      </c>
      <c r="AK2846">
        <v>51.97</v>
      </c>
      <c r="AN2846" t="s">
        <v>7439</v>
      </c>
      <c r="AO2846">
        <v>10800</v>
      </c>
      <c r="AU2846">
        <v>0.25</v>
      </c>
      <c r="AV2846" t="s">
        <v>646</v>
      </c>
      <c r="AW2846" t="s">
        <v>161</v>
      </c>
    </row>
    <row r="2847" spans="1:50">
      <c r="A2847" s="1">
        <f>HYPERLINK("https://lsnyc.legalserver.org/matter/dynamic-profile/view/1882064","18-1882064")</f>
        <v>0</v>
      </c>
      <c r="B2847" t="s">
        <v>251</v>
      </c>
      <c r="C2847" t="s">
        <v>341</v>
      </c>
      <c r="D2847" t="s">
        <v>641</v>
      </c>
      <c r="E2847" t="s">
        <v>762</v>
      </c>
      <c r="F2847" t="s">
        <v>927</v>
      </c>
      <c r="G2847" t="s">
        <v>1000</v>
      </c>
      <c r="H2847" t="s">
        <v>11904</v>
      </c>
      <c r="I2847">
        <v>2</v>
      </c>
      <c r="J2847" t="s">
        <v>18892</v>
      </c>
      <c r="K2847">
        <v>10466</v>
      </c>
      <c r="L2847" t="s">
        <v>18958</v>
      </c>
      <c r="M2847" t="s">
        <v>18958</v>
      </c>
      <c r="N2847" t="s">
        <v>21080</v>
      </c>
      <c r="O2847" t="s">
        <v>26524</v>
      </c>
      <c r="P2847" t="s">
        <v>26560</v>
      </c>
      <c r="Q2847" t="s">
        <v>26573</v>
      </c>
      <c r="R2847" t="s">
        <v>26577</v>
      </c>
      <c r="S2847" t="s">
        <v>18959</v>
      </c>
      <c r="U2847" t="s">
        <v>26604</v>
      </c>
      <c r="V2847" t="s">
        <v>26610</v>
      </c>
      <c r="W2847" t="s">
        <v>641</v>
      </c>
      <c r="X2847">
        <v>1750</v>
      </c>
      <c r="Y2847" t="s">
        <v>26650</v>
      </c>
      <c r="Z2847" t="s">
        <v>26664</v>
      </c>
      <c r="AA2847" t="s">
        <v>26678</v>
      </c>
      <c r="AB2847" t="s">
        <v>29177</v>
      </c>
      <c r="AD2847" t="s">
        <v>39230</v>
      </c>
      <c r="AE2847">
        <v>3</v>
      </c>
      <c r="AF2847" t="s">
        <v>45547</v>
      </c>
      <c r="AG2847" t="s">
        <v>19330</v>
      </c>
      <c r="AH2847">
        <v>7</v>
      </c>
      <c r="AI2847">
        <v>3</v>
      </c>
      <c r="AJ2847">
        <v>1</v>
      </c>
      <c r="AK2847">
        <v>131.47</v>
      </c>
      <c r="AN2847" t="s">
        <v>7439</v>
      </c>
      <c r="AO2847">
        <v>33000</v>
      </c>
      <c r="AQ2847" t="s">
        <v>46361</v>
      </c>
      <c r="AR2847" t="s">
        <v>46380</v>
      </c>
      <c r="AS2847" t="s">
        <v>46500</v>
      </c>
      <c r="AT2847" t="s">
        <v>46655</v>
      </c>
      <c r="AU2847">
        <v>48.45</v>
      </c>
      <c r="AV2847" t="s">
        <v>671</v>
      </c>
      <c r="AW2847" t="s">
        <v>46871</v>
      </c>
    </row>
    <row r="2848" spans="1:50">
      <c r="A2848" s="1">
        <f>HYPERLINK("https://lsnyc.legalserver.org/matter/dynamic-profile/view/1881625","18-1881625")</f>
        <v>0</v>
      </c>
      <c r="B2848" t="s">
        <v>131</v>
      </c>
      <c r="C2848" t="s">
        <v>341</v>
      </c>
      <c r="D2848" t="s">
        <v>641</v>
      </c>
      <c r="E2848" t="s">
        <v>781</v>
      </c>
      <c r="F2848" t="s">
        <v>2426</v>
      </c>
      <c r="G2848" t="s">
        <v>6647</v>
      </c>
      <c r="H2848" t="s">
        <v>11905</v>
      </c>
      <c r="J2848" t="s">
        <v>18902</v>
      </c>
      <c r="K2848">
        <v>10301</v>
      </c>
      <c r="L2848" t="s">
        <v>18959</v>
      </c>
      <c r="M2848" t="s">
        <v>18959</v>
      </c>
      <c r="N2848" t="s">
        <v>18993</v>
      </c>
      <c r="O2848" t="s">
        <v>18997</v>
      </c>
      <c r="P2848" t="s">
        <v>26562</v>
      </c>
      <c r="Q2848" t="s">
        <v>26571</v>
      </c>
      <c r="R2848" t="s">
        <v>26578</v>
      </c>
      <c r="S2848" t="s">
        <v>18959</v>
      </c>
      <c r="U2848" t="s">
        <v>26604</v>
      </c>
      <c r="V2848" t="s">
        <v>26610</v>
      </c>
      <c r="W2848" t="s">
        <v>641</v>
      </c>
      <c r="X2848">
        <v>0</v>
      </c>
      <c r="Y2848" t="s">
        <v>26654</v>
      </c>
      <c r="Z2848" t="s">
        <v>26663</v>
      </c>
      <c r="AA2848" t="s">
        <v>26683</v>
      </c>
      <c r="AB2848" t="s">
        <v>28031</v>
      </c>
      <c r="AE2848">
        <v>2</v>
      </c>
      <c r="AF2848" t="s">
        <v>20460</v>
      </c>
      <c r="AG2848" t="s">
        <v>19330</v>
      </c>
      <c r="AH2848">
        <v>0</v>
      </c>
      <c r="AI2848">
        <v>1</v>
      </c>
      <c r="AJ2848">
        <v>0</v>
      </c>
      <c r="AK2848">
        <v>0</v>
      </c>
      <c r="AN2848" t="s">
        <v>7439</v>
      </c>
      <c r="AO2848">
        <v>0</v>
      </c>
      <c r="AU2848">
        <v>2</v>
      </c>
      <c r="AV2848" t="s">
        <v>458</v>
      </c>
      <c r="AW2848" t="s">
        <v>46874</v>
      </c>
    </row>
    <row r="2849" spans="1:50">
      <c r="A2849" s="1">
        <f>HYPERLINK("https://lsnyc.legalserver.org/matter/dynamic-profile/view/1882070","18-1882070")</f>
        <v>0</v>
      </c>
      <c r="B2849" t="s">
        <v>214</v>
      </c>
      <c r="C2849" t="s">
        <v>341</v>
      </c>
      <c r="D2849" t="s">
        <v>641</v>
      </c>
      <c r="E2849" t="s">
        <v>641</v>
      </c>
      <c r="F2849" t="s">
        <v>1480</v>
      </c>
      <c r="G2849" t="s">
        <v>6648</v>
      </c>
      <c r="H2849" t="s">
        <v>11906</v>
      </c>
      <c r="I2849" t="s">
        <v>17893</v>
      </c>
      <c r="J2849" t="s">
        <v>18935</v>
      </c>
      <c r="K2849">
        <v>11364</v>
      </c>
      <c r="L2849" t="s">
        <v>18958</v>
      </c>
      <c r="M2849" t="s">
        <v>18958</v>
      </c>
      <c r="N2849" t="s">
        <v>19045</v>
      </c>
      <c r="O2849" t="s">
        <v>18997</v>
      </c>
      <c r="P2849" t="s">
        <v>26564</v>
      </c>
      <c r="Q2849" t="s">
        <v>26570</v>
      </c>
      <c r="R2849" t="s">
        <v>26589</v>
      </c>
      <c r="S2849" t="s">
        <v>18959</v>
      </c>
      <c r="U2849" t="s">
        <v>26604</v>
      </c>
      <c r="V2849" t="s">
        <v>26610</v>
      </c>
      <c r="W2849" t="s">
        <v>641</v>
      </c>
      <c r="X2849">
        <v>2208.18</v>
      </c>
      <c r="Y2849" t="s">
        <v>26653</v>
      </c>
      <c r="Z2849" t="s">
        <v>26671</v>
      </c>
      <c r="AA2849" t="s">
        <v>26683</v>
      </c>
      <c r="AB2849" t="s">
        <v>29178</v>
      </c>
      <c r="AD2849" t="s">
        <v>39231</v>
      </c>
      <c r="AE2849">
        <v>224</v>
      </c>
      <c r="AF2849" t="s">
        <v>45541</v>
      </c>
      <c r="AG2849" t="s">
        <v>19330</v>
      </c>
      <c r="AH2849">
        <v>4</v>
      </c>
      <c r="AI2849">
        <v>1</v>
      </c>
      <c r="AJ2849">
        <v>0</v>
      </c>
      <c r="AK2849">
        <v>132.06</v>
      </c>
      <c r="AL2849" t="s">
        <v>45567</v>
      </c>
      <c r="AM2849" t="s">
        <v>45577</v>
      </c>
      <c r="AN2849" t="s">
        <v>7439</v>
      </c>
      <c r="AO2849">
        <v>16032</v>
      </c>
      <c r="AU2849">
        <v>1.15</v>
      </c>
      <c r="AV2849" t="s">
        <v>641</v>
      </c>
      <c r="AW2849" t="s">
        <v>214</v>
      </c>
    </row>
    <row r="2850" spans="1:50">
      <c r="A2850" s="1">
        <f>HYPERLINK("https://lsnyc.legalserver.org/matter/dynamic-profile/view/1882095","18-1882095")</f>
        <v>0</v>
      </c>
      <c r="B2850" t="s">
        <v>264</v>
      </c>
      <c r="C2850" t="s">
        <v>341</v>
      </c>
      <c r="D2850" t="s">
        <v>641</v>
      </c>
      <c r="E2850" t="s">
        <v>644</v>
      </c>
      <c r="F2850" t="s">
        <v>952</v>
      </c>
      <c r="G2850" t="s">
        <v>5177</v>
      </c>
      <c r="H2850" t="s">
        <v>11907</v>
      </c>
      <c r="J2850" t="s">
        <v>18893</v>
      </c>
      <c r="K2850">
        <v>10029</v>
      </c>
      <c r="L2850" t="s">
        <v>18958</v>
      </c>
      <c r="M2850" t="s">
        <v>18958</v>
      </c>
      <c r="N2850" t="s">
        <v>21081</v>
      </c>
      <c r="O2850" t="s">
        <v>26523</v>
      </c>
      <c r="P2850" t="s">
        <v>26565</v>
      </c>
      <c r="Q2850" t="s">
        <v>26571</v>
      </c>
      <c r="R2850" t="s">
        <v>26582</v>
      </c>
      <c r="S2850" t="s">
        <v>18959</v>
      </c>
      <c r="U2850" t="s">
        <v>26604</v>
      </c>
      <c r="V2850" t="s">
        <v>26610</v>
      </c>
      <c r="W2850" t="s">
        <v>641</v>
      </c>
      <c r="X2850">
        <v>2113</v>
      </c>
      <c r="Y2850" t="s">
        <v>26651</v>
      </c>
      <c r="Z2850" t="s">
        <v>26664</v>
      </c>
      <c r="AA2850" t="s">
        <v>26683</v>
      </c>
      <c r="AB2850" t="s">
        <v>29179</v>
      </c>
      <c r="AC2850" t="s">
        <v>35346</v>
      </c>
      <c r="AD2850" t="s">
        <v>39232</v>
      </c>
      <c r="AE2850">
        <v>0</v>
      </c>
      <c r="AF2850" t="s">
        <v>45547</v>
      </c>
      <c r="AG2850" t="s">
        <v>45556</v>
      </c>
      <c r="AH2850">
        <v>0</v>
      </c>
      <c r="AI2850">
        <v>1</v>
      </c>
      <c r="AJ2850">
        <v>0</v>
      </c>
      <c r="AK2850">
        <v>17.99</v>
      </c>
      <c r="AN2850" t="s">
        <v>7439</v>
      </c>
      <c r="AO2850">
        <v>2184</v>
      </c>
      <c r="AU2850">
        <v>1</v>
      </c>
      <c r="AV2850" t="s">
        <v>641</v>
      </c>
      <c r="AW2850" t="s">
        <v>264</v>
      </c>
    </row>
    <row r="2851" spans="1:50">
      <c r="A2851" s="1">
        <f>HYPERLINK("https://lsnyc.legalserver.org/matter/dynamic-profile/view/1882032","18-1882032")</f>
        <v>0</v>
      </c>
      <c r="B2851" t="s">
        <v>115</v>
      </c>
      <c r="C2851" t="s">
        <v>341</v>
      </c>
      <c r="D2851" t="s">
        <v>641</v>
      </c>
      <c r="E2851" t="s">
        <v>494</v>
      </c>
      <c r="F2851" t="s">
        <v>2427</v>
      </c>
      <c r="G2851" t="s">
        <v>6649</v>
      </c>
      <c r="H2851" t="s">
        <v>10156</v>
      </c>
      <c r="I2851" t="s">
        <v>17584</v>
      </c>
      <c r="J2851" t="s">
        <v>18892</v>
      </c>
      <c r="K2851">
        <v>10456</v>
      </c>
      <c r="L2851" t="s">
        <v>18958</v>
      </c>
      <c r="M2851" t="s">
        <v>18958</v>
      </c>
      <c r="O2851" t="s">
        <v>26529</v>
      </c>
      <c r="P2851" t="s">
        <v>26565</v>
      </c>
      <c r="Q2851" t="s">
        <v>26571</v>
      </c>
      <c r="R2851" t="s">
        <v>26578</v>
      </c>
      <c r="S2851" t="s">
        <v>18959</v>
      </c>
      <c r="U2851" t="s">
        <v>26604</v>
      </c>
      <c r="W2851" t="s">
        <v>641</v>
      </c>
      <c r="X2851">
        <v>0</v>
      </c>
      <c r="Y2851" t="s">
        <v>26650</v>
      </c>
      <c r="Z2851" t="s">
        <v>26663</v>
      </c>
      <c r="AA2851" t="s">
        <v>26682</v>
      </c>
      <c r="AB2851" t="s">
        <v>29180</v>
      </c>
      <c r="AE2851">
        <v>0</v>
      </c>
      <c r="AF2851" t="s">
        <v>45541</v>
      </c>
      <c r="AG2851" t="s">
        <v>19330</v>
      </c>
      <c r="AH2851">
        <v>0</v>
      </c>
      <c r="AI2851">
        <v>4</v>
      </c>
      <c r="AJ2851">
        <v>0</v>
      </c>
      <c r="AK2851">
        <v>38.96</v>
      </c>
      <c r="AN2851" t="s">
        <v>7439</v>
      </c>
      <c r="AO2851">
        <v>9780</v>
      </c>
      <c r="AU2851">
        <v>0.1</v>
      </c>
      <c r="AV2851" t="s">
        <v>494</v>
      </c>
      <c r="AW2851" t="s">
        <v>46832</v>
      </c>
    </row>
    <row r="2852" spans="1:50">
      <c r="A2852" s="1">
        <f>HYPERLINK("https://lsnyc.legalserver.org/matter/dynamic-profile/view/1881985","18-1881985")</f>
        <v>0</v>
      </c>
      <c r="B2852" t="s">
        <v>111</v>
      </c>
      <c r="C2852" t="s">
        <v>341</v>
      </c>
      <c r="D2852" t="s">
        <v>641</v>
      </c>
      <c r="E2852" t="s">
        <v>697</v>
      </c>
      <c r="F2852" t="s">
        <v>1367</v>
      </c>
      <c r="G2852" t="s">
        <v>879</v>
      </c>
      <c r="H2852" t="s">
        <v>11908</v>
      </c>
      <c r="J2852" t="s">
        <v>18901</v>
      </c>
      <c r="K2852">
        <v>11433</v>
      </c>
      <c r="L2852" t="s">
        <v>18958</v>
      </c>
      <c r="M2852" t="s">
        <v>18958</v>
      </c>
      <c r="N2852" t="s">
        <v>21082</v>
      </c>
      <c r="O2852" t="s">
        <v>26524</v>
      </c>
      <c r="P2852" t="s">
        <v>26560</v>
      </c>
      <c r="Q2852" t="s">
        <v>26568</v>
      </c>
      <c r="R2852" t="s">
        <v>26585</v>
      </c>
      <c r="S2852" t="s">
        <v>18959</v>
      </c>
      <c r="U2852" t="s">
        <v>26604</v>
      </c>
      <c r="V2852" t="s">
        <v>26610</v>
      </c>
      <c r="W2852" t="s">
        <v>641</v>
      </c>
      <c r="X2852">
        <v>1450</v>
      </c>
      <c r="Y2852" t="s">
        <v>26653</v>
      </c>
      <c r="Z2852" t="s">
        <v>26664</v>
      </c>
      <c r="AA2852" t="s">
        <v>26679</v>
      </c>
      <c r="AB2852" t="s">
        <v>29181</v>
      </c>
      <c r="AC2852" t="s">
        <v>19330</v>
      </c>
      <c r="AD2852" t="s">
        <v>39233</v>
      </c>
      <c r="AE2852">
        <v>2</v>
      </c>
      <c r="AF2852" t="s">
        <v>45547</v>
      </c>
      <c r="AG2852" t="s">
        <v>19330</v>
      </c>
      <c r="AH2852">
        <v>12</v>
      </c>
      <c r="AI2852">
        <v>2</v>
      </c>
      <c r="AJ2852">
        <v>0</v>
      </c>
      <c r="AK2852">
        <v>140.58</v>
      </c>
      <c r="AN2852" t="s">
        <v>7439</v>
      </c>
      <c r="AO2852">
        <v>23140</v>
      </c>
      <c r="AQ2852" t="s">
        <v>46362</v>
      </c>
      <c r="AR2852" t="s">
        <v>46379</v>
      </c>
      <c r="AS2852" t="s">
        <v>46500</v>
      </c>
      <c r="AT2852" t="s">
        <v>46685</v>
      </c>
      <c r="AU2852">
        <v>5.6</v>
      </c>
      <c r="AV2852" t="s">
        <v>452</v>
      </c>
      <c r="AW2852" t="s">
        <v>208</v>
      </c>
    </row>
    <row r="2853" spans="1:50">
      <c r="A2853" s="1">
        <f>HYPERLINK("https://lsnyc.legalserver.org/matter/dynamic-profile/view/1881997","18-1881997")</f>
        <v>0</v>
      </c>
      <c r="B2853" t="s">
        <v>144</v>
      </c>
      <c r="C2853" t="s">
        <v>340</v>
      </c>
      <c r="D2853" t="s">
        <v>641</v>
      </c>
      <c r="F2853" t="s">
        <v>1366</v>
      </c>
      <c r="G2853" t="s">
        <v>5916</v>
      </c>
      <c r="H2853" t="s">
        <v>11909</v>
      </c>
      <c r="I2853" t="s">
        <v>17894</v>
      </c>
      <c r="J2853" t="s">
        <v>18893</v>
      </c>
      <c r="K2853">
        <v>10026</v>
      </c>
      <c r="L2853" t="s">
        <v>18958</v>
      </c>
      <c r="M2853" t="s">
        <v>18958</v>
      </c>
      <c r="N2853" t="s">
        <v>21083</v>
      </c>
      <c r="O2853" t="s">
        <v>26523</v>
      </c>
      <c r="P2853" t="s">
        <v>26560</v>
      </c>
      <c r="R2853" t="s">
        <v>26580</v>
      </c>
      <c r="S2853" t="s">
        <v>18959</v>
      </c>
      <c r="U2853" t="s">
        <v>26604</v>
      </c>
      <c r="W2853" t="s">
        <v>641</v>
      </c>
      <c r="X2853">
        <v>1200</v>
      </c>
      <c r="Y2853" t="s">
        <v>26651</v>
      </c>
      <c r="Z2853" t="s">
        <v>26664</v>
      </c>
      <c r="AB2853" t="s">
        <v>29182</v>
      </c>
      <c r="AD2853" t="s">
        <v>39234</v>
      </c>
      <c r="AE2853">
        <v>22</v>
      </c>
      <c r="AF2853" t="s">
        <v>45544</v>
      </c>
      <c r="AG2853" t="s">
        <v>19330</v>
      </c>
      <c r="AH2853">
        <v>3</v>
      </c>
      <c r="AI2853">
        <v>1</v>
      </c>
      <c r="AJ2853">
        <v>0</v>
      </c>
      <c r="AK2853">
        <v>98.84999999999999</v>
      </c>
      <c r="AN2853" t="s">
        <v>7439</v>
      </c>
      <c r="AO2853">
        <v>12000</v>
      </c>
      <c r="AU2853">
        <v>17.5</v>
      </c>
      <c r="AV2853" t="s">
        <v>727</v>
      </c>
      <c r="AW2853" t="s">
        <v>314</v>
      </c>
    </row>
    <row r="2854" spans="1:50">
      <c r="A2854" s="1">
        <f>HYPERLINK("https://lsnyc.legalserver.org/matter/dynamic-profile/view/1882022","18-1882022")</f>
        <v>0</v>
      </c>
      <c r="B2854" t="s">
        <v>144</v>
      </c>
      <c r="C2854" t="s">
        <v>340</v>
      </c>
      <c r="D2854" t="s">
        <v>641</v>
      </c>
      <c r="F2854" t="s">
        <v>1092</v>
      </c>
      <c r="G2854" t="s">
        <v>6650</v>
      </c>
      <c r="H2854" t="s">
        <v>11910</v>
      </c>
      <c r="I2854">
        <v>4</v>
      </c>
      <c r="J2854" t="s">
        <v>18893</v>
      </c>
      <c r="K2854">
        <v>10027</v>
      </c>
      <c r="L2854" t="s">
        <v>18958</v>
      </c>
      <c r="M2854" t="s">
        <v>18958</v>
      </c>
      <c r="N2854" t="s">
        <v>21084</v>
      </c>
      <c r="O2854" t="s">
        <v>26523</v>
      </c>
      <c r="P2854" t="s">
        <v>26560</v>
      </c>
      <c r="R2854" t="s">
        <v>26580</v>
      </c>
      <c r="S2854" t="s">
        <v>18959</v>
      </c>
      <c r="U2854" t="s">
        <v>26604</v>
      </c>
      <c r="V2854" t="s">
        <v>26610</v>
      </c>
      <c r="W2854" t="s">
        <v>641</v>
      </c>
      <c r="X2854">
        <v>960</v>
      </c>
      <c r="Y2854" t="s">
        <v>26651</v>
      </c>
      <c r="Z2854" t="s">
        <v>26664</v>
      </c>
      <c r="AB2854" t="s">
        <v>29183</v>
      </c>
      <c r="AD2854" t="s">
        <v>39235</v>
      </c>
      <c r="AE2854">
        <v>12</v>
      </c>
      <c r="AF2854" t="s">
        <v>45541</v>
      </c>
      <c r="AG2854" t="s">
        <v>19330</v>
      </c>
      <c r="AH2854">
        <v>27</v>
      </c>
      <c r="AI2854">
        <v>1</v>
      </c>
      <c r="AJ2854">
        <v>0</v>
      </c>
      <c r="AK2854">
        <v>149.92</v>
      </c>
      <c r="AN2854" t="s">
        <v>7439</v>
      </c>
      <c r="AO2854">
        <v>18200</v>
      </c>
      <c r="AU2854">
        <v>6.25</v>
      </c>
      <c r="AV2854" t="s">
        <v>719</v>
      </c>
      <c r="AW2854" t="s">
        <v>314</v>
      </c>
    </row>
    <row r="2855" spans="1:50">
      <c r="A2855" s="1">
        <f>HYPERLINK("https://lsnyc.legalserver.org/matter/dynamic-profile/view/1882015","18-1882015")</f>
        <v>0</v>
      </c>
      <c r="B2855" t="s">
        <v>61</v>
      </c>
      <c r="C2855" t="s">
        <v>340</v>
      </c>
      <c r="D2855" t="s">
        <v>641</v>
      </c>
      <c r="F2855" t="s">
        <v>2256</v>
      </c>
      <c r="G2855" t="s">
        <v>6651</v>
      </c>
      <c r="H2855" t="s">
        <v>11911</v>
      </c>
      <c r="I2855">
        <v>106</v>
      </c>
      <c r="J2855" t="s">
        <v>18893</v>
      </c>
      <c r="K2855">
        <v>10034</v>
      </c>
      <c r="L2855" t="s">
        <v>18958</v>
      </c>
      <c r="M2855" t="s">
        <v>18958</v>
      </c>
      <c r="O2855" t="s">
        <v>26539</v>
      </c>
      <c r="P2855" t="s">
        <v>26562</v>
      </c>
      <c r="R2855" t="s">
        <v>26578</v>
      </c>
      <c r="S2855" t="s">
        <v>18959</v>
      </c>
      <c r="U2855" t="s">
        <v>26604</v>
      </c>
      <c r="W2855" t="s">
        <v>641</v>
      </c>
      <c r="X2855">
        <v>1092</v>
      </c>
      <c r="Y2855" t="s">
        <v>26651</v>
      </c>
      <c r="Z2855" t="s">
        <v>26659</v>
      </c>
      <c r="AB2855" t="s">
        <v>27823</v>
      </c>
      <c r="AD2855" t="s">
        <v>39236</v>
      </c>
      <c r="AE2855">
        <v>88</v>
      </c>
      <c r="AF2855" t="s">
        <v>45541</v>
      </c>
      <c r="AG2855" t="s">
        <v>19330</v>
      </c>
      <c r="AH2855">
        <v>9</v>
      </c>
      <c r="AI2855">
        <v>3</v>
      </c>
      <c r="AJ2855">
        <v>0</v>
      </c>
      <c r="AK2855">
        <v>167.47</v>
      </c>
      <c r="AN2855" t="s">
        <v>7439</v>
      </c>
      <c r="AO2855">
        <v>34800</v>
      </c>
      <c r="AU2855">
        <v>10</v>
      </c>
      <c r="AV2855" t="s">
        <v>830</v>
      </c>
      <c r="AW2855" t="s">
        <v>46840</v>
      </c>
    </row>
    <row r="2856" spans="1:50">
      <c r="A2856" s="1">
        <f>HYPERLINK("https://lsnyc.legalserver.org/matter/dynamic-profile/view/1881977","18-1881977")</f>
        <v>0</v>
      </c>
      <c r="B2856" t="s">
        <v>149</v>
      </c>
      <c r="C2856" t="s">
        <v>340</v>
      </c>
      <c r="D2856" t="s">
        <v>641</v>
      </c>
      <c r="F2856" t="s">
        <v>2428</v>
      </c>
      <c r="G2856" t="s">
        <v>6652</v>
      </c>
      <c r="H2856" t="s">
        <v>11912</v>
      </c>
      <c r="I2856" t="s">
        <v>17406</v>
      </c>
      <c r="J2856" t="s">
        <v>18892</v>
      </c>
      <c r="K2856">
        <v>10467</v>
      </c>
      <c r="L2856" t="s">
        <v>18958</v>
      </c>
      <c r="M2856" t="s">
        <v>18958</v>
      </c>
      <c r="N2856" t="s">
        <v>21085</v>
      </c>
      <c r="O2856" t="s">
        <v>26524</v>
      </c>
      <c r="P2856" t="s">
        <v>26560</v>
      </c>
      <c r="R2856" t="s">
        <v>26579</v>
      </c>
      <c r="U2856" t="s">
        <v>26604</v>
      </c>
      <c r="V2856" t="s">
        <v>26610</v>
      </c>
      <c r="W2856" t="s">
        <v>641</v>
      </c>
      <c r="X2856">
        <v>1590</v>
      </c>
      <c r="Y2856" t="s">
        <v>26650</v>
      </c>
      <c r="Z2856" t="s">
        <v>26668</v>
      </c>
      <c r="AB2856" t="s">
        <v>29184</v>
      </c>
      <c r="AD2856" t="s">
        <v>39237</v>
      </c>
      <c r="AE2856">
        <v>0</v>
      </c>
      <c r="AF2856" t="s">
        <v>20460</v>
      </c>
      <c r="AG2856" t="s">
        <v>19330</v>
      </c>
      <c r="AH2856">
        <v>10</v>
      </c>
      <c r="AI2856">
        <v>1</v>
      </c>
      <c r="AJ2856">
        <v>2</v>
      </c>
      <c r="AK2856">
        <v>0</v>
      </c>
      <c r="AN2856" t="s">
        <v>7439</v>
      </c>
      <c r="AO2856">
        <v>0</v>
      </c>
      <c r="AU2856">
        <v>23.1</v>
      </c>
      <c r="AV2856" t="s">
        <v>836</v>
      </c>
      <c r="AW2856" t="s">
        <v>336</v>
      </c>
    </row>
    <row r="2857" spans="1:50">
      <c r="A2857" s="1">
        <f>HYPERLINK("https://lsnyc.legalserver.org/matter/dynamic-profile/view/1882000","18-1882000")</f>
        <v>0</v>
      </c>
      <c r="B2857" t="s">
        <v>149</v>
      </c>
      <c r="C2857" t="s">
        <v>340</v>
      </c>
      <c r="D2857" t="s">
        <v>641</v>
      </c>
      <c r="F2857" t="s">
        <v>1592</v>
      </c>
      <c r="G2857" t="s">
        <v>5138</v>
      </c>
      <c r="H2857" t="s">
        <v>11913</v>
      </c>
      <c r="I2857" t="s">
        <v>17338</v>
      </c>
      <c r="J2857" t="s">
        <v>18892</v>
      </c>
      <c r="K2857">
        <v>10457</v>
      </c>
      <c r="L2857" t="s">
        <v>18958</v>
      </c>
      <c r="M2857" t="s">
        <v>18958</v>
      </c>
      <c r="N2857" t="s">
        <v>21086</v>
      </c>
      <c r="O2857" t="s">
        <v>26523</v>
      </c>
      <c r="P2857" t="s">
        <v>26560</v>
      </c>
      <c r="R2857" t="s">
        <v>26579</v>
      </c>
      <c r="S2857" t="s">
        <v>18959</v>
      </c>
      <c r="U2857" t="s">
        <v>26604</v>
      </c>
      <c r="V2857" t="s">
        <v>26610</v>
      </c>
      <c r="W2857" t="s">
        <v>641</v>
      </c>
      <c r="X2857">
        <v>1090</v>
      </c>
      <c r="Y2857" t="s">
        <v>26650</v>
      </c>
      <c r="Z2857" t="s">
        <v>26674</v>
      </c>
      <c r="AB2857" t="s">
        <v>29185</v>
      </c>
      <c r="AD2857" t="s">
        <v>39238</v>
      </c>
      <c r="AE2857">
        <v>0</v>
      </c>
      <c r="AF2857" t="s">
        <v>20460</v>
      </c>
      <c r="AG2857" t="s">
        <v>26530</v>
      </c>
      <c r="AH2857">
        <v>7</v>
      </c>
      <c r="AI2857">
        <v>1</v>
      </c>
      <c r="AJ2857">
        <v>0</v>
      </c>
      <c r="AK2857">
        <v>74.14</v>
      </c>
      <c r="AN2857" t="s">
        <v>7439</v>
      </c>
      <c r="AO2857">
        <v>9000</v>
      </c>
      <c r="AU2857">
        <v>28.05</v>
      </c>
      <c r="AV2857" t="s">
        <v>839</v>
      </c>
      <c r="AW2857" t="s">
        <v>336</v>
      </c>
    </row>
    <row r="2858" spans="1:50">
      <c r="A2858" s="1">
        <f>HYPERLINK("https://lsnyc.legalserver.org/matter/dynamic-profile/view/1881976","18-1881976")</f>
        <v>0</v>
      </c>
      <c r="B2858" t="s">
        <v>57</v>
      </c>
      <c r="C2858" t="s">
        <v>340</v>
      </c>
      <c r="D2858" t="s">
        <v>641</v>
      </c>
      <c r="F2858" t="s">
        <v>2429</v>
      </c>
      <c r="G2858" t="s">
        <v>6653</v>
      </c>
      <c r="H2858" t="s">
        <v>11914</v>
      </c>
      <c r="I2858" t="s">
        <v>17410</v>
      </c>
      <c r="J2858" t="s">
        <v>18892</v>
      </c>
      <c r="K2858">
        <v>10457</v>
      </c>
      <c r="L2858" t="s">
        <v>18958</v>
      </c>
      <c r="M2858" t="s">
        <v>18958</v>
      </c>
      <c r="N2858" t="s">
        <v>21087</v>
      </c>
      <c r="O2858" t="s">
        <v>26523</v>
      </c>
      <c r="P2858" t="s">
        <v>26560</v>
      </c>
      <c r="R2858" t="s">
        <v>26579</v>
      </c>
      <c r="S2858" t="s">
        <v>18959</v>
      </c>
      <c r="U2858" t="s">
        <v>26604</v>
      </c>
      <c r="V2858" t="s">
        <v>26609</v>
      </c>
      <c r="W2858" t="s">
        <v>641</v>
      </c>
      <c r="X2858">
        <v>1017</v>
      </c>
      <c r="Y2858" t="s">
        <v>26650</v>
      </c>
      <c r="Z2858" t="s">
        <v>26664</v>
      </c>
      <c r="AB2858" t="s">
        <v>29186</v>
      </c>
      <c r="AD2858" t="s">
        <v>39239</v>
      </c>
      <c r="AE2858">
        <v>88</v>
      </c>
      <c r="AF2858" t="s">
        <v>45541</v>
      </c>
      <c r="AG2858" t="s">
        <v>19330</v>
      </c>
      <c r="AH2858">
        <v>11</v>
      </c>
      <c r="AI2858">
        <v>1</v>
      </c>
      <c r="AJ2858">
        <v>1</v>
      </c>
      <c r="AK2858">
        <v>118.47</v>
      </c>
      <c r="AN2858" t="s">
        <v>45581</v>
      </c>
      <c r="AO2858">
        <v>19500</v>
      </c>
      <c r="AU2858">
        <v>23.42</v>
      </c>
      <c r="AV2858" t="s">
        <v>823</v>
      </c>
      <c r="AW2858" t="s">
        <v>46854</v>
      </c>
    </row>
    <row r="2859" spans="1:50">
      <c r="A2859" s="1">
        <f>HYPERLINK("https://lsnyc.legalserver.org/matter/dynamic-profile/view/1882034","18-1882034")</f>
        <v>0</v>
      </c>
      <c r="B2859" t="s">
        <v>212</v>
      </c>
      <c r="C2859" t="s">
        <v>340</v>
      </c>
      <c r="D2859" t="s">
        <v>641</v>
      </c>
      <c r="F2859" t="s">
        <v>2430</v>
      </c>
      <c r="G2859" t="s">
        <v>6654</v>
      </c>
      <c r="H2859" t="s">
        <v>11915</v>
      </c>
      <c r="J2859" t="s">
        <v>18931</v>
      </c>
      <c r="K2859">
        <v>11412</v>
      </c>
      <c r="L2859" t="s">
        <v>18958</v>
      </c>
      <c r="M2859" t="s">
        <v>18958</v>
      </c>
      <c r="N2859" t="s">
        <v>21088</v>
      </c>
      <c r="O2859" t="s">
        <v>26524</v>
      </c>
      <c r="P2859" t="s">
        <v>26560</v>
      </c>
      <c r="R2859" t="s">
        <v>26584</v>
      </c>
      <c r="S2859" t="s">
        <v>18959</v>
      </c>
      <c r="U2859" t="s">
        <v>26604</v>
      </c>
      <c r="V2859" t="s">
        <v>26610</v>
      </c>
      <c r="W2859" t="s">
        <v>641</v>
      </c>
      <c r="X2859">
        <v>0</v>
      </c>
      <c r="Y2859" t="s">
        <v>26653</v>
      </c>
      <c r="Z2859" t="s">
        <v>26664</v>
      </c>
      <c r="AB2859" t="s">
        <v>28973</v>
      </c>
      <c r="AD2859" t="s">
        <v>39240</v>
      </c>
      <c r="AE2859">
        <v>1</v>
      </c>
      <c r="AF2859" t="s">
        <v>45547</v>
      </c>
      <c r="AG2859" t="s">
        <v>19330</v>
      </c>
      <c r="AH2859">
        <v>38</v>
      </c>
      <c r="AI2859">
        <v>2</v>
      </c>
      <c r="AJ2859">
        <v>1</v>
      </c>
      <c r="AK2859">
        <v>0</v>
      </c>
      <c r="AN2859" t="s">
        <v>7439</v>
      </c>
      <c r="AO2859">
        <v>0</v>
      </c>
      <c r="AQ2859" t="s">
        <v>46359</v>
      </c>
      <c r="AR2859" t="s">
        <v>46380</v>
      </c>
      <c r="AS2859" t="s">
        <v>46499</v>
      </c>
      <c r="AT2859" t="s">
        <v>46759</v>
      </c>
      <c r="AU2859">
        <v>10.45</v>
      </c>
      <c r="AV2859" t="s">
        <v>737</v>
      </c>
      <c r="AW2859" t="s">
        <v>208</v>
      </c>
    </row>
    <row r="2860" spans="1:50">
      <c r="A2860" s="1">
        <f>HYPERLINK("https://lsnyc.legalserver.org/matter/dynamic-profile/view/1882080","18-1882080")</f>
        <v>0</v>
      </c>
      <c r="B2860" t="s">
        <v>232</v>
      </c>
      <c r="C2860" t="s">
        <v>340</v>
      </c>
      <c r="D2860" t="s">
        <v>641</v>
      </c>
      <c r="F2860" t="s">
        <v>1029</v>
      </c>
      <c r="G2860" t="s">
        <v>5788</v>
      </c>
      <c r="H2860" t="s">
        <v>11916</v>
      </c>
      <c r="I2860" t="s">
        <v>17895</v>
      </c>
      <c r="J2860" t="s">
        <v>18894</v>
      </c>
      <c r="K2860">
        <v>11205</v>
      </c>
      <c r="L2860" t="s">
        <v>18958</v>
      </c>
      <c r="M2860" t="s">
        <v>18958</v>
      </c>
      <c r="N2860" t="s">
        <v>21089</v>
      </c>
      <c r="O2860" t="s">
        <v>26523</v>
      </c>
      <c r="P2860" t="s">
        <v>26560</v>
      </c>
      <c r="R2860" t="s">
        <v>26586</v>
      </c>
      <c r="S2860" t="s">
        <v>18959</v>
      </c>
      <c r="U2860" t="s">
        <v>26604</v>
      </c>
      <c r="V2860" t="s">
        <v>26610</v>
      </c>
      <c r="W2860" t="s">
        <v>641</v>
      </c>
      <c r="X2860">
        <v>1897.95</v>
      </c>
      <c r="Y2860" t="s">
        <v>26652</v>
      </c>
      <c r="Z2860" t="s">
        <v>26670</v>
      </c>
      <c r="AB2860" t="s">
        <v>29187</v>
      </c>
      <c r="AD2860" t="s">
        <v>39241</v>
      </c>
      <c r="AE2860">
        <v>76</v>
      </c>
      <c r="AF2860" t="s">
        <v>45541</v>
      </c>
      <c r="AG2860" t="s">
        <v>19330</v>
      </c>
      <c r="AH2860">
        <v>40</v>
      </c>
      <c r="AI2860">
        <v>2</v>
      </c>
      <c r="AJ2860">
        <v>2</v>
      </c>
      <c r="AK2860">
        <v>100.4</v>
      </c>
      <c r="AN2860" t="s">
        <v>7439</v>
      </c>
      <c r="AO2860">
        <v>25200</v>
      </c>
      <c r="AU2860">
        <v>11.7</v>
      </c>
      <c r="AV2860" t="s">
        <v>795</v>
      </c>
      <c r="AW2860" t="s">
        <v>46856</v>
      </c>
      <c r="AX2860" t="s">
        <v>46897</v>
      </c>
    </row>
    <row r="2861" spans="1:50">
      <c r="A2861" s="1">
        <f>HYPERLINK("https://lsnyc.legalserver.org/matter/dynamic-profile/view/1882037","18-1882037")</f>
        <v>0</v>
      </c>
      <c r="B2861" t="s">
        <v>173</v>
      </c>
      <c r="C2861" t="s">
        <v>340</v>
      </c>
      <c r="D2861" t="s">
        <v>641</v>
      </c>
      <c r="F2861" t="s">
        <v>2431</v>
      </c>
      <c r="G2861" t="s">
        <v>4085</v>
      </c>
      <c r="H2861" t="s">
        <v>11917</v>
      </c>
      <c r="I2861" t="s">
        <v>17282</v>
      </c>
      <c r="J2861" t="s">
        <v>18945</v>
      </c>
      <c r="K2861">
        <v>10039</v>
      </c>
      <c r="L2861" t="s">
        <v>18958</v>
      </c>
      <c r="M2861" t="s">
        <v>18958</v>
      </c>
      <c r="N2861" t="s">
        <v>21090</v>
      </c>
      <c r="O2861" t="s">
        <v>26523</v>
      </c>
      <c r="P2861" t="s">
        <v>26560</v>
      </c>
      <c r="R2861" t="s">
        <v>26582</v>
      </c>
      <c r="S2861" t="s">
        <v>18959</v>
      </c>
      <c r="U2861" t="s">
        <v>26604</v>
      </c>
      <c r="V2861" t="s">
        <v>26610</v>
      </c>
      <c r="W2861" t="s">
        <v>641</v>
      </c>
      <c r="X2861">
        <v>0</v>
      </c>
      <c r="Y2861" t="s">
        <v>26651</v>
      </c>
      <c r="Z2861" t="s">
        <v>26664</v>
      </c>
      <c r="AB2861" t="s">
        <v>29188</v>
      </c>
      <c r="AC2861" t="s">
        <v>35347</v>
      </c>
      <c r="AD2861" t="s">
        <v>39242</v>
      </c>
      <c r="AE2861">
        <v>0</v>
      </c>
      <c r="AF2861" t="s">
        <v>20460</v>
      </c>
      <c r="AG2861" t="s">
        <v>26530</v>
      </c>
      <c r="AH2861">
        <v>10</v>
      </c>
      <c r="AI2861">
        <v>1</v>
      </c>
      <c r="AJ2861">
        <v>0</v>
      </c>
      <c r="AK2861">
        <v>12.42</v>
      </c>
      <c r="AN2861" t="s">
        <v>7439</v>
      </c>
      <c r="AO2861">
        <v>1508</v>
      </c>
      <c r="AU2861">
        <v>3.1</v>
      </c>
      <c r="AV2861" t="s">
        <v>452</v>
      </c>
      <c r="AW2861" t="s">
        <v>46875</v>
      </c>
    </row>
    <row r="2862" spans="1:50">
      <c r="A2862" s="1">
        <f>HYPERLINK("https://lsnyc.legalserver.org/matter/dynamic-profile/view/0816398","16-0816398")</f>
        <v>0</v>
      </c>
      <c r="B2862" t="s">
        <v>86</v>
      </c>
      <c r="C2862" t="s">
        <v>341</v>
      </c>
      <c r="D2862" t="s">
        <v>648</v>
      </c>
      <c r="E2862" t="s">
        <v>662</v>
      </c>
      <c r="F2862" t="s">
        <v>2432</v>
      </c>
      <c r="G2862" t="s">
        <v>6655</v>
      </c>
      <c r="H2862" t="s">
        <v>11918</v>
      </c>
      <c r="I2862" t="s">
        <v>17522</v>
      </c>
      <c r="J2862" t="s">
        <v>18893</v>
      </c>
      <c r="K2862">
        <v>10040</v>
      </c>
      <c r="L2862" t="s">
        <v>18958</v>
      </c>
      <c r="M2862" t="s">
        <v>18958</v>
      </c>
      <c r="N2862" t="s">
        <v>21091</v>
      </c>
      <c r="O2862" t="s">
        <v>26534</v>
      </c>
      <c r="P2862" t="s">
        <v>26561</v>
      </c>
      <c r="Q2862" t="s">
        <v>26572</v>
      </c>
      <c r="R2862" t="s">
        <v>26582</v>
      </c>
      <c r="S2862" t="s">
        <v>18959</v>
      </c>
      <c r="U2862" t="s">
        <v>26604</v>
      </c>
      <c r="W2862" t="s">
        <v>644</v>
      </c>
      <c r="X2862">
        <v>1642</v>
      </c>
      <c r="Y2862" t="s">
        <v>26651</v>
      </c>
      <c r="Z2862" t="s">
        <v>26666</v>
      </c>
      <c r="AA2862" t="s">
        <v>26678</v>
      </c>
      <c r="AB2862" t="s">
        <v>29189</v>
      </c>
      <c r="AD2862" t="s">
        <v>39243</v>
      </c>
      <c r="AE2862">
        <v>0</v>
      </c>
      <c r="AF2862" t="s">
        <v>45541</v>
      </c>
      <c r="AH2862">
        <v>11</v>
      </c>
      <c r="AI2862">
        <v>1</v>
      </c>
      <c r="AJ2862">
        <v>0</v>
      </c>
      <c r="AK2862">
        <v>3.37</v>
      </c>
      <c r="AN2862" t="s">
        <v>7439</v>
      </c>
      <c r="AO2862">
        <v>400</v>
      </c>
      <c r="AS2862" t="s">
        <v>46499</v>
      </c>
      <c r="AT2862" t="s">
        <v>46504</v>
      </c>
      <c r="AU2862">
        <v>60.28</v>
      </c>
      <c r="AV2862" t="s">
        <v>524</v>
      </c>
      <c r="AW2862" t="s">
        <v>80</v>
      </c>
    </row>
    <row r="2863" spans="1:50">
      <c r="A2863" s="1">
        <f>HYPERLINK("https://lsnyc.legalserver.org/matter/dynamic-profile/view/1839971","17-1839971")</f>
        <v>0</v>
      </c>
      <c r="B2863" t="s">
        <v>156</v>
      </c>
      <c r="C2863" t="s">
        <v>341</v>
      </c>
      <c r="D2863" t="s">
        <v>649</v>
      </c>
      <c r="E2863" t="s">
        <v>678</v>
      </c>
      <c r="F2863" t="s">
        <v>2433</v>
      </c>
      <c r="G2863" t="s">
        <v>1685</v>
      </c>
      <c r="H2863" t="s">
        <v>11919</v>
      </c>
      <c r="I2863" t="s">
        <v>17896</v>
      </c>
      <c r="J2863" t="s">
        <v>18893</v>
      </c>
      <c r="K2863">
        <v>10033</v>
      </c>
      <c r="L2863" t="s">
        <v>18958</v>
      </c>
      <c r="M2863" t="s">
        <v>18958</v>
      </c>
      <c r="N2863" t="s">
        <v>21092</v>
      </c>
      <c r="O2863" t="s">
        <v>26524</v>
      </c>
      <c r="P2863" t="s">
        <v>26565</v>
      </c>
      <c r="Q2863" t="s">
        <v>26570</v>
      </c>
      <c r="R2863" t="s">
        <v>26578</v>
      </c>
      <c r="S2863" t="s">
        <v>18959</v>
      </c>
      <c r="U2863" t="s">
        <v>26604</v>
      </c>
      <c r="W2863" t="s">
        <v>644</v>
      </c>
      <c r="X2863">
        <v>877.51</v>
      </c>
      <c r="Y2863" t="s">
        <v>26651</v>
      </c>
      <c r="Z2863" t="s">
        <v>26664</v>
      </c>
      <c r="AA2863" t="s">
        <v>26683</v>
      </c>
      <c r="AB2863" t="s">
        <v>29190</v>
      </c>
      <c r="AD2863" t="s">
        <v>39244</v>
      </c>
      <c r="AE2863">
        <v>94</v>
      </c>
      <c r="AF2863" t="s">
        <v>20460</v>
      </c>
      <c r="AH2863">
        <v>15</v>
      </c>
      <c r="AI2863">
        <v>2</v>
      </c>
      <c r="AJ2863">
        <v>0</v>
      </c>
      <c r="AK2863">
        <v>295.57</v>
      </c>
      <c r="AL2863" t="s">
        <v>438</v>
      </c>
      <c r="AM2863" t="s">
        <v>45575</v>
      </c>
      <c r="AN2863" t="s">
        <v>7439</v>
      </c>
      <c r="AO2863">
        <v>48000</v>
      </c>
      <c r="AU2863">
        <v>0.8</v>
      </c>
      <c r="AV2863" t="s">
        <v>640</v>
      </c>
      <c r="AW2863" t="s">
        <v>215</v>
      </c>
    </row>
    <row r="2864" spans="1:50">
      <c r="A2864" s="1">
        <f>HYPERLINK("https://lsnyc.legalserver.org/matter/dynamic-profile/view/1847713","17-1847713")</f>
        <v>0</v>
      </c>
      <c r="B2864" t="s">
        <v>56</v>
      </c>
      <c r="C2864" t="s">
        <v>340</v>
      </c>
      <c r="D2864" t="s">
        <v>617</v>
      </c>
      <c r="F2864" t="s">
        <v>2111</v>
      </c>
      <c r="G2864" t="s">
        <v>6656</v>
      </c>
      <c r="H2864" t="s">
        <v>11920</v>
      </c>
      <c r="I2864" t="s">
        <v>17360</v>
      </c>
      <c r="J2864" t="s">
        <v>18892</v>
      </c>
      <c r="K2864">
        <v>10474</v>
      </c>
      <c r="L2864" t="s">
        <v>18958</v>
      </c>
      <c r="M2864" t="s">
        <v>18960</v>
      </c>
      <c r="N2864" t="s">
        <v>21093</v>
      </c>
      <c r="O2864" t="s">
        <v>26523</v>
      </c>
      <c r="P2864" t="s">
        <v>26560</v>
      </c>
      <c r="R2864" t="s">
        <v>26577</v>
      </c>
      <c r="U2864" t="s">
        <v>26604</v>
      </c>
      <c r="V2864" t="s">
        <v>26609</v>
      </c>
      <c r="W2864" t="s">
        <v>644</v>
      </c>
      <c r="X2864">
        <v>1040.59</v>
      </c>
      <c r="Y2864" t="s">
        <v>26650</v>
      </c>
      <c r="Z2864" t="s">
        <v>26659</v>
      </c>
      <c r="AB2864" t="s">
        <v>27411</v>
      </c>
      <c r="AC2864" t="s">
        <v>35348</v>
      </c>
      <c r="AD2864" t="s">
        <v>39245</v>
      </c>
      <c r="AE2864">
        <v>3</v>
      </c>
      <c r="AF2864" t="s">
        <v>45541</v>
      </c>
      <c r="AG2864" t="s">
        <v>45557</v>
      </c>
      <c r="AH2864">
        <v>11</v>
      </c>
      <c r="AI2864">
        <v>1</v>
      </c>
      <c r="AJ2864">
        <v>4</v>
      </c>
      <c r="AK2864">
        <v>39.03</v>
      </c>
      <c r="AN2864" t="s">
        <v>7439</v>
      </c>
      <c r="AO2864">
        <v>11231.4</v>
      </c>
      <c r="AP2864" t="s">
        <v>45617</v>
      </c>
      <c r="AU2864">
        <v>40.5</v>
      </c>
      <c r="AV2864" t="s">
        <v>823</v>
      </c>
      <c r="AW2864" t="s">
        <v>46836</v>
      </c>
    </row>
    <row r="2865" spans="1:49">
      <c r="A2865" s="1">
        <f>HYPERLINK("https://lsnyc.legalserver.org/matter/dynamic-profile/view/1847738","17-1847738")</f>
        <v>0</v>
      </c>
      <c r="B2865" t="s">
        <v>56</v>
      </c>
      <c r="C2865" t="s">
        <v>341</v>
      </c>
      <c r="D2865" t="s">
        <v>650</v>
      </c>
      <c r="E2865" t="s">
        <v>694</v>
      </c>
      <c r="F2865" t="s">
        <v>1175</v>
      </c>
      <c r="G2865" t="s">
        <v>6657</v>
      </c>
      <c r="H2865" t="s">
        <v>11921</v>
      </c>
      <c r="I2865" t="s">
        <v>17540</v>
      </c>
      <c r="J2865" t="s">
        <v>18892</v>
      </c>
      <c r="K2865">
        <v>10455</v>
      </c>
      <c r="L2865" t="s">
        <v>18958</v>
      </c>
      <c r="M2865" t="s">
        <v>18960</v>
      </c>
      <c r="N2865" t="s">
        <v>21094</v>
      </c>
      <c r="O2865" t="s">
        <v>26523</v>
      </c>
      <c r="P2865" t="s">
        <v>26560</v>
      </c>
      <c r="Q2865" t="s">
        <v>26568</v>
      </c>
      <c r="R2865" t="s">
        <v>26577</v>
      </c>
      <c r="S2865" t="s">
        <v>18959</v>
      </c>
      <c r="U2865" t="s">
        <v>26604</v>
      </c>
      <c r="V2865" t="s">
        <v>26612</v>
      </c>
      <c r="W2865" t="s">
        <v>644</v>
      </c>
      <c r="X2865">
        <v>1016</v>
      </c>
      <c r="Y2865" t="s">
        <v>26650</v>
      </c>
      <c r="Z2865" t="s">
        <v>26659</v>
      </c>
      <c r="AA2865" t="s">
        <v>26678</v>
      </c>
      <c r="AB2865" t="s">
        <v>29191</v>
      </c>
      <c r="AC2865" t="s">
        <v>35349</v>
      </c>
      <c r="AD2865" t="s">
        <v>39246</v>
      </c>
      <c r="AE2865">
        <v>0</v>
      </c>
      <c r="AF2865" t="s">
        <v>45541</v>
      </c>
      <c r="AH2865">
        <v>3</v>
      </c>
      <c r="AI2865">
        <v>2</v>
      </c>
      <c r="AJ2865">
        <v>2</v>
      </c>
      <c r="AK2865">
        <v>106.5</v>
      </c>
      <c r="AN2865" t="s">
        <v>7439</v>
      </c>
      <c r="AO2865">
        <v>49600</v>
      </c>
      <c r="AS2865" t="s">
        <v>46499</v>
      </c>
      <c r="AT2865" t="s">
        <v>46750</v>
      </c>
      <c r="AU2865">
        <v>48.3</v>
      </c>
      <c r="AV2865" t="s">
        <v>694</v>
      </c>
      <c r="AW2865" t="s">
        <v>46836</v>
      </c>
    </row>
    <row r="2866" spans="1:49">
      <c r="A2866" s="1">
        <f>HYPERLINK("https://lsnyc.legalserver.org/matter/dynamic-profile/view/1856593","18-1856593")</f>
        <v>0</v>
      </c>
      <c r="B2866" t="s">
        <v>77</v>
      </c>
      <c r="C2866" t="s">
        <v>341</v>
      </c>
      <c r="D2866" t="s">
        <v>483</v>
      </c>
      <c r="E2866" t="s">
        <v>682</v>
      </c>
      <c r="F2866" t="s">
        <v>1031</v>
      </c>
      <c r="G2866" t="s">
        <v>6658</v>
      </c>
      <c r="H2866" t="s">
        <v>11922</v>
      </c>
      <c r="I2866" t="s">
        <v>17843</v>
      </c>
      <c r="J2866" t="s">
        <v>18893</v>
      </c>
      <c r="K2866">
        <v>10128</v>
      </c>
      <c r="L2866" t="s">
        <v>18958</v>
      </c>
      <c r="M2866" t="s">
        <v>18960</v>
      </c>
      <c r="O2866" t="s">
        <v>18997</v>
      </c>
      <c r="P2866" t="s">
        <v>26565</v>
      </c>
      <c r="Q2866" t="s">
        <v>26571</v>
      </c>
      <c r="R2866" t="s">
        <v>26578</v>
      </c>
      <c r="S2866" t="s">
        <v>18959</v>
      </c>
      <c r="U2866" t="s">
        <v>26606</v>
      </c>
      <c r="W2866" t="s">
        <v>644</v>
      </c>
      <c r="X2866">
        <v>1355</v>
      </c>
      <c r="Y2866" t="s">
        <v>26651</v>
      </c>
      <c r="Z2866" t="s">
        <v>26661</v>
      </c>
      <c r="AA2866" t="s">
        <v>26683</v>
      </c>
      <c r="AB2866" t="s">
        <v>27904</v>
      </c>
      <c r="AD2866" t="s">
        <v>39247</v>
      </c>
      <c r="AE2866">
        <v>0</v>
      </c>
      <c r="AF2866" t="s">
        <v>45551</v>
      </c>
      <c r="AG2866" t="s">
        <v>19330</v>
      </c>
      <c r="AH2866">
        <v>33</v>
      </c>
      <c r="AI2866">
        <v>2</v>
      </c>
      <c r="AJ2866">
        <v>0</v>
      </c>
      <c r="AK2866">
        <v>608.62</v>
      </c>
      <c r="AN2866" t="s">
        <v>7439</v>
      </c>
      <c r="AO2866">
        <v>98839.16</v>
      </c>
      <c r="AU2866">
        <v>10.1</v>
      </c>
      <c r="AV2866" t="s">
        <v>682</v>
      </c>
      <c r="AW2866" t="s">
        <v>314</v>
      </c>
    </row>
    <row r="2867" spans="1:49">
      <c r="A2867" s="1">
        <f>HYPERLINK("https://lsnyc.legalserver.org/matter/dynamic-profile/view/1862803","18-1862803")</f>
        <v>0</v>
      </c>
      <c r="B2867" t="s">
        <v>80</v>
      </c>
      <c r="C2867" t="s">
        <v>341</v>
      </c>
      <c r="D2867" t="s">
        <v>382</v>
      </c>
      <c r="E2867" t="s">
        <v>667</v>
      </c>
      <c r="F2867" t="s">
        <v>2101</v>
      </c>
      <c r="G2867" t="s">
        <v>5265</v>
      </c>
      <c r="H2867" t="s">
        <v>11923</v>
      </c>
      <c r="I2867">
        <v>55</v>
      </c>
      <c r="J2867" t="s">
        <v>18893</v>
      </c>
      <c r="K2867">
        <v>10031</v>
      </c>
      <c r="L2867" t="s">
        <v>18958</v>
      </c>
      <c r="M2867" t="s">
        <v>18958</v>
      </c>
      <c r="N2867" t="s">
        <v>21095</v>
      </c>
      <c r="O2867" t="s">
        <v>26524</v>
      </c>
      <c r="P2867" t="s">
        <v>26564</v>
      </c>
      <c r="Q2867" t="s">
        <v>26570</v>
      </c>
      <c r="R2867" t="s">
        <v>26580</v>
      </c>
      <c r="S2867" t="s">
        <v>18959</v>
      </c>
      <c r="U2867" t="s">
        <v>26604</v>
      </c>
      <c r="W2867" t="s">
        <v>644</v>
      </c>
      <c r="X2867">
        <v>1142.46</v>
      </c>
      <c r="Y2867" t="s">
        <v>26651</v>
      </c>
      <c r="Z2867" t="s">
        <v>26661</v>
      </c>
      <c r="AA2867" t="s">
        <v>26683</v>
      </c>
      <c r="AB2867" t="s">
        <v>28574</v>
      </c>
      <c r="AD2867" t="s">
        <v>38626</v>
      </c>
      <c r="AE2867">
        <v>0</v>
      </c>
      <c r="AG2867" t="s">
        <v>19330</v>
      </c>
      <c r="AH2867">
        <v>36</v>
      </c>
      <c r="AI2867">
        <v>3</v>
      </c>
      <c r="AJ2867">
        <v>0</v>
      </c>
      <c r="AK2867">
        <v>188.07</v>
      </c>
      <c r="AN2867" t="s">
        <v>45581</v>
      </c>
      <c r="AO2867">
        <v>39080</v>
      </c>
      <c r="AU2867">
        <v>1.9</v>
      </c>
      <c r="AV2867" t="s">
        <v>491</v>
      </c>
      <c r="AW2867" t="s">
        <v>46845</v>
      </c>
    </row>
    <row r="2868" spans="1:49">
      <c r="A2868" s="1">
        <f>HYPERLINK("https://lsnyc.legalserver.org/matter/dynamic-profile/view/1863792","18-1863792")</f>
        <v>0</v>
      </c>
      <c r="B2868" t="s">
        <v>156</v>
      </c>
      <c r="C2868" t="s">
        <v>341</v>
      </c>
      <c r="D2868" t="s">
        <v>560</v>
      </c>
      <c r="E2868" t="s">
        <v>667</v>
      </c>
      <c r="F2868" t="s">
        <v>2434</v>
      </c>
      <c r="G2868" t="s">
        <v>6659</v>
      </c>
      <c r="H2868" t="s">
        <v>11923</v>
      </c>
      <c r="I2868">
        <v>55</v>
      </c>
      <c r="J2868" t="s">
        <v>18893</v>
      </c>
      <c r="K2868">
        <v>10031</v>
      </c>
      <c r="L2868" t="s">
        <v>18958</v>
      </c>
      <c r="M2868" t="s">
        <v>18958</v>
      </c>
      <c r="N2868" t="s">
        <v>21095</v>
      </c>
      <c r="O2868" t="s">
        <v>26524</v>
      </c>
      <c r="P2868" t="s">
        <v>26564</v>
      </c>
      <c r="Q2868" t="s">
        <v>26570</v>
      </c>
      <c r="R2868" t="s">
        <v>26580</v>
      </c>
      <c r="S2868" t="s">
        <v>18959</v>
      </c>
      <c r="U2868" t="s">
        <v>26604</v>
      </c>
      <c r="W2868" t="s">
        <v>644</v>
      </c>
      <c r="X2868">
        <v>1142.46</v>
      </c>
      <c r="Y2868" t="s">
        <v>26651</v>
      </c>
      <c r="Z2868" t="s">
        <v>26661</v>
      </c>
      <c r="AA2868" t="s">
        <v>26683</v>
      </c>
      <c r="AB2868" t="s">
        <v>29192</v>
      </c>
      <c r="AD2868" t="s">
        <v>39248</v>
      </c>
      <c r="AE2868">
        <v>0</v>
      </c>
      <c r="AG2868" t="s">
        <v>19330</v>
      </c>
      <c r="AH2868">
        <v>35</v>
      </c>
      <c r="AI2868">
        <v>3</v>
      </c>
      <c r="AJ2868">
        <v>0</v>
      </c>
      <c r="AK2868">
        <v>191.41</v>
      </c>
      <c r="AN2868" t="s">
        <v>7439</v>
      </c>
      <c r="AO2868">
        <v>39776</v>
      </c>
      <c r="AU2868">
        <v>0.2</v>
      </c>
      <c r="AV2868" t="s">
        <v>463</v>
      </c>
      <c r="AW2868" t="s">
        <v>46845</v>
      </c>
    </row>
    <row r="2869" spans="1:49">
      <c r="A2869" s="1">
        <f>HYPERLINK("https://lsnyc.legalserver.org/matter/dynamic-profile/view/1866290","18-1866290")</f>
        <v>0</v>
      </c>
      <c r="B2869" t="s">
        <v>165</v>
      </c>
      <c r="C2869" t="s">
        <v>341</v>
      </c>
      <c r="D2869" t="s">
        <v>385</v>
      </c>
      <c r="E2869" t="s">
        <v>452</v>
      </c>
      <c r="F2869" t="s">
        <v>2435</v>
      </c>
      <c r="G2869" t="s">
        <v>6660</v>
      </c>
      <c r="H2869" t="s">
        <v>11924</v>
      </c>
      <c r="I2869">
        <v>1</v>
      </c>
      <c r="J2869" t="s">
        <v>18893</v>
      </c>
      <c r="K2869">
        <v>10011</v>
      </c>
      <c r="L2869" t="s">
        <v>18958</v>
      </c>
      <c r="M2869" t="s">
        <v>18958</v>
      </c>
      <c r="N2869" t="s">
        <v>21096</v>
      </c>
      <c r="O2869" t="s">
        <v>26523</v>
      </c>
      <c r="P2869" t="s">
        <v>26564</v>
      </c>
      <c r="Q2869" t="s">
        <v>26570</v>
      </c>
      <c r="R2869" t="s">
        <v>26578</v>
      </c>
      <c r="S2869" t="s">
        <v>18959</v>
      </c>
      <c r="T2869" t="s">
        <v>26581</v>
      </c>
      <c r="U2869" t="s">
        <v>26604</v>
      </c>
      <c r="W2869" t="s">
        <v>644</v>
      </c>
      <c r="X2869">
        <v>4000</v>
      </c>
      <c r="Y2869" t="s">
        <v>26651</v>
      </c>
      <c r="Z2869" t="s">
        <v>26664</v>
      </c>
      <c r="AA2869" t="s">
        <v>26683</v>
      </c>
      <c r="AB2869" t="s">
        <v>28304</v>
      </c>
      <c r="AD2869" t="s">
        <v>39249</v>
      </c>
      <c r="AE2869">
        <v>0</v>
      </c>
      <c r="AF2869" t="s">
        <v>20460</v>
      </c>
      <c r="AG2869" t="s">
        <v>19330</v>
      </c>
      <c r="AH2869">
        <v>9</v>
      </c>
      <c r="AI2869">
        <v>1</v>
      </c>
      <c r="AJ2869">
        <v>0</v>
      </c>
      <c r="AK2869">
        <v>116.97</v>
      </c>
      <c r="AN2869" t="s">
        <v>7439</v>
      </c>
      <c r="AO2869">
        <v>14200</v>
      </c>
      <c r="AU2869">
        <v>0.2</v>
      </c>
      <c r="AV2869" t="s">
        <v>667</v>
      </c>
      <c r="AW2869" t="s">
        <v>46845</v>
      </c>
    </row>
    <row r="2870" spans="1:49">
      <c r="A2870" s="1">
        <f>HYPERLINK("https://lsnyc.legalserver.org/matter/dynamic-profile/view/1866524","18-1866524")</f>
        <v>0</v>
      </c>
      <c r="B2870" t="s">
        <v>265</v>
      </c>
      <c r="C2870" t="s">
        <v>341</v>
      </c>
      <c r="D2870" t="s">
        <v>491</v>
      </c>
      <c r="E2870" t="s">
        <v>670</v>
      </c>
      <c r="F2870" t="s">
        <v>2436</v>
      </c>
      <c r="G2870" t="s">
        <v>5269</v>
      </c>
      <c r="H2870" t="s">
        <v>11925</v>
      </c>
      <c r="I2870" t="s">
        <v>17355</v>
      </c>
      <c r="J2870" t="s">
        <v>18894</v>
      </c>
      <c r="K2870">
        <v>11226</v>
      </c>
      <c r="L2870" t="s">
        <v>18958</v>
      </c>
      <c r="M2870" t="s">
        <v>18958</v>
      </c>
      <c r="N2870" t="s">
        <v>21097</v>
      </c>
      <c r="O2870" t="s">
        <v>26523</v>
      </c>
      <c r="P2870" t="s">
        <v>26560</v>
      </c>
      <c r="Q2870" t="s">
        <v>26568</v>
      </c>
      <c r="R2870" t="s">
        <v>26588</v>
      </c>
      <c r="S2870" t="s">
        <v>18958</v>
      </c>
      <c r="U2870" t="s">
        <v>26604</v>
      </c>
      <c r="V2870" t="s">
        <v>26610</v>
      </c>
      <c r="W2870" t="s">
        <v>644</v>
      </c>
      <c r="X2870">
        <v>1163</v>
      </c>
      <c r="Y2870" t="s">
        <v>26652</v>
      </c>
      <c r="Z2870" t="s">
        <v>26659</v>
      </c>
      <c r="AA2870" t="s">
        <v>26678</v>
      </c>
      <c r="AB2870" t="s">
        <v>29193</v>
      </c>
      <c r="AC2870" t="s">
        <v>35350</v>
      </c>
      <c r="AD2870" t="s">
        <v>39250</v>
      </c>
      <c r="AE2870">
        <v>16</v>
      </c>
      <c r="AF2870" t="s">
        <v>45541</v>
      </c>
      <c r="AG2870" t="s">
        <v>19330</v>
      </c>
      <c r="AH2870">
        <v>16</v>
      </c>
      <c r="AI2870">
        <v>1</v>
      </c>
      <c r="AJ2870">
        <v>0</v>
      </c>
      <c r="AK2870">
        <v>76.70999999999999</v>
      </c>
      <c r="AN2870" t="s">
        <v>7439</v>
      </c>
      <c r="AO2870">
        <v>9312</v>
      </c>
      <c r="AQ2870" t="s">
        <v>46366</v>
      </c>
      <c r="AR2870" t="s">
        <v>46379</v>
      </c>
      <c r="AS2870" t="s">
        <v>46499</v>
      </c>
      <c r="AT2870" t="s">
        <v>46760</v>
      </c>
      <c r="AU2870">
        <v>4</v>
      </c>
      <c r="AV2870" t="s">
        <v>670</v>
      </c>
      <c r="AW2870" t="s">
        <v>323</v>
      </c>
    </row>
    <row r="2871" spans="1:49">
      <c r="A2871" s="1">
        <f>HYPERLINK("https://lsnyc.legalserver.org/matter/dynamic-profile/view/1866488","18-1866488")</f>
        <v>0</v>
      </c>
      <c r="B2871" t="s">
        <v>240</v>
      </c>
      <c r="C2871" t="s">
        <v>340</v>
      </c>
      <c r="D2871" t="s">
        <v>491</v>
      </c>
      <c r="F2871" t="s">
        <v>2303</v>
      </c>
      <c r="G2871" t="s">
        <v>5376</v>
      </c>
      <c r="H2871" t="s">
        <v>11711</v>
      </c>
      <c r="I2871" t="s">
        <v>17848</v>
      </c>
      <c r="J2871" t="s">
        <v>18894</v>
      </c>
      <c r="K2871">
        <v>11226</v>
      </c>
      <c r="L2871" t="s">
        <v>18958</v>
      </c>
      <c r="M2871" t="s">
        <v>18958</v>
      </c>
      <c r="O2871" t="s">
        <v>26529</v>
      </c>
      <c r="P2871" t="s">
        <v>26560</v>
      </c>
      <c r="R2871" t="s">
        <v>26578</v>
      </c>
      <c r="S2871" t="s">
        <v>18958</v>
      </c>
      <c r="U2871" t="s">
        <v>26604</v>
      </c>
      <c r="W2871" t="s">
        <v>644</v>
      </c>
      <c r="X2871">
        <v>0</v>
      </c>
      <c r="Y2871" t="s">
        <v>26652</v>
      </c>
      <c r="Z2871" t="s">
        <v>26663</v>
      </c>
      <c r="AB2871" t="s">
        <v>27474</v>
      </c>
      <c r="AE2871">
        <v>61</v>
      </c>
      <c r="AF2871" t="s">
        <v>45541</v>
      </c>
      <c r="AH2871">
        <v>0</v>
      </c>
      <c r="AI2871">
        <v>2</v>
      </c>
      <c r="AJ2871">
        <v>0</v>
      </c>
      <c r="AK2871">
        <v>97.18000000000001</v>
      </c>
      <c r="AN2871" t="s">
        <v>7439</v>
      </c>
      <c r="AO2871">
        <v>27780</v>
      </c>
      <c r="AU2871">
        <v>1.1</v>
      </c>
      <c r="AV2871" t="s">
        <v>407</v>
      </c>
      <c r="AW2871" t="s">
        <v>237</v>
      </c>
    </row>
    <row r="2872" spans="1:49">
      <c r="A2872" s="1">
        <f>HYPERLINK("https://lsnyc.legalserver.org/matter/dynamic-profile/view/1866458","18-1866458")</f>
        <v>0</v>
      </c>
      <c r="B2872" t="s">
        <v>240</v>
      </c>
      <c r="C2872" t="s">
        <v>340</v>
      </c>
      <c r="D2872" t="s">
        <v>491</v>
      </c>
      <c r="F2872" t="s">
        <v>1113</v>
      </c>
      <c r="G2872" t="s">
        <v>1742</v>
      </c>
      <c r="H2872" t="s">
        <v>11711</v>
      </c>
      <c r="I2872" t="s">
        <v>17897</v>
      </c>
      <c r="J2872" t="s">
        <v>18894</v>
      </c>
      <c r="K2872">
        <v>11226</v>
      </c>
      <c r="L2872" t="s">
        <v>18958</v>
      </c>
      <c r="M2872" t="s">
        <v>18958</v>
      </c>
      <c r="O2872" t="s">
        <v>26529</v>
      </c>
      <c r="P2872" t="s">
        <v>26560</v>
      </c>
      <c r="R2872" t="s">
        <v>26578</v>
      </c>
      <c r="S2872" t="s">
        <v>18958</v>
      </c>
      <c r="U2872" t="s">
        <v>26604</v>
      </c>
      <c r="W2872" t="s">
        <v>644</v>
      </c>
      <c r="X2872">
        <v>1091.17</v>
      </c>
      <c r="Y2872" t="s">
        <v>26652</v>
      </c>
      <c r="Z2872" t="s">
        <v>26663</v>
      </c>
      <c r="AB2872" t="s">
        <v>28839</v>
      </c>
      <c r="AD2872" t="s">
        <v>39251</v>
      </c>
      <c r="AE2872">
        <v>61</v>
      </c>
      <c r="AF2872" t="s">
        <v>45541</v>
      </c>
      <c r="AG2872" t="s">
        <v>45556</v>
      </c>
      <c r="AH2872">
        <v>15</v>
      </c>
      <c r="AI2872">
        <v>1</v>
      </c>
      <c r="AJ2872">
        <v>0</v>
      </c>
      <c r="AK2872">
        <v>103.2</v>
      </c>
      <c r="AN2872" t="s">
        <v>7439</v>
      </c>
      <c r="AO2872">
        <v>12528</v>
      </c>
      <c r="AU2872">
        <v>31.7</v>
      </c>
      <c r="AV2872" t="s">
        <v>773</v>
      </c>
      <c r="AW2872" t="s">
        <v>237</v>
      </c>
    </row>
    <row r="2873" spans="1:49">
      <c r="A2873" s="1">
        <f>HYPERLINK("https://lsnyc.legalserver.org/matter/dynamic-profile/view/1868219","18-1868219")</f>
        <v>0</v>
      </c>
      <c r="B2873" t="s">
        <v>170</v>
      </c>
      <c r="C2873" t="s">
        <v>341</v>
      </c>
      <c r="D2873" t="s">
        <v>393</v>
      </c>
      <c r="E2873" t="s">
        <v>670</v>
      </c>
      <c r="F2873" t="s">
        <v>2437</v>
      </c>
      <c r="G2873" t="s">
        <v>3283</v>
      </c>
      <c r="H2873" t="s">
        <v>11926</v>
      </c>
      <c r="I2873" t="s">
        <v>17281</v>
      </c>
      <c r="J2873" t="s">
        <v>18894</v>
      </c>
      <c r="K2873">
        <v>11212</v>
      </c>
      <c r="L2873" t="s">
        <v>18958</v>
      </c>
      <c r="M2873" t="s">
        <v>18958</v>
      </c>
      <c r="N2873" t="s">
        <v>21098</v>
      </c>
      <c r="O2873" t="s">
        <v>26523</v>
      </c>
      <c r="P2873" t="s">
        <v>26560</v>
      </c>
      <c r="Q2873" t="s">
        <v>26568</v>
      </c>
      <c r="R2873" t="s">
        <v>26586</v>
      </c>
      <c r="S2873" t="s">
        <v>18958</v>
      </c>
      <c r="U2873" t="s">
        <v>26605</v>
      </c>
      <c r="W2873" t="s">
        <v>644</v>
      </c>
      <c r="X2873">
        <v>855</v>
      </c>
      <c r="Y2873" t="s">
        <v>26652</v>
      </c>
      <c r="Z2873" t="s">
        <v>26659</v>
      </c>
      <c r="AA2873" t="s">
        <v>26680</v>
      </c>
      <c r="AB2873" t="s">
        <v>29194</v>
      </c>
      <c r="AD2873" t="s">
        <v>39252</v>
      </c>
      <c r="AE2873">
        <v>0</v>
      </c>
      <c r="AF2873" t="s">
        <v>45542</v>
      </c>
      <c r="AG2873" t="s">
        <v>45557</v>
      </c>
      <c r="AH2873">
        <v>-1</v>
      </c>
      <c r="AI2873">
        <v>1</v>
      </c>
      <c r="AJ2873">
        <v>1</v>
      </c>
      <c r="AK2873">
        <v>17.79</v>
      </c>
      <c r="AN2873" t="s">
        <v>7439</v>
      </c>
      <c r="AO2873">
        <v>2928</v>
      </c>
      <c r="AQ2873" t="s">
        <v>46359</v>
      </c>
      <c r="AR2873" t="s">
        <v>46379</v>
      </c>
      <c r="AS2873" t="s">
        <v>46499</v>
      </c>
      <c r="AT2873" t="s">
        <v>46622</v>
      </c>
      <c r="AU2873">
        <v>20.35</v>
      </c>
      <c r="AV2873" t="s">
        <v>670</v>
      </c>
      <c r="AW2873" t="s">
        <v>46829</v>
      </c>
    </row>
    <row r="2874" spans="1:49">
      <c r="A2874" s="1">
        <f>HYPERLINK("https://lsnyc.legalserver.org/matter/dynamic-profile/view/1868497","18-1868497")</f>
        <v>0</v>
      </c>
      <c r="B2874" t="s">
        <v>206</v>
      </c>
      <c r="C2874" t="s">
        <v>341</v>
      </c>
      <c r="D2874" t="s">
        <v>394</v>
      </c>
      <c r="E2874" t="s">
        <v>746</v>
      </c>
      <c r="F2874" t="s">
        <v>1785</v>
      </c>
      <c r="G2874" t="s">
        <v>6661</v>
      </c>
      <c r="H2874" t="s">
        <v>10105</v>
      </c>
      <c r="I2874" t="s">
        <v>17489</v>
      </c>
      <c r="J2874" t="s">
        <v>18894</v>
      </c>
      <c r="K2874">
        <v>11224</v>
      </c>
      <c r="L2874" t="s">
        <v>18958</v>
      </c>
      <c r="M2874" t="s">
        <v>18958</v>
      </c>
      <c r="N2874" t="s">
        <v>21099</v>
      </c>
      <c r="O2874" t="s">
        <v>26524</v>
      </c>
      <c r="P2874" t="s">
        <v>26560</v>
      </c>
      <c r="Q2874" t="s">
        <v>26568</v>
      </c>
      <c r="R2874" t="s">
        <v>26586</v>
      </c>
      <c r="S2874" t="s">
        <v>18959</v>
      </c>
      <c r="U2874" t="s">
        <v>26604</v>
      </c>
      <c r="W2874" t="s">
        <v>644</v>
      </c>
      <c r="X2874">
        <v>853</v>
      </c>
      <c r="Y2874" t="s">
        <v>26652</v>
      </c>
      <c r="Z2874" t="s">
        <v>26662</v>
      </c>
      <c r="AA2874" t="s">
        <v>26677</v>
      </c>
      <c r="AB2874" t="s">
        <v>29195</v>
      </c>
      <c r="AD2874" t="s">
        <v>39253</v>
      </c>
      <c r="AE2874">
        <v>122</v>
      </c>
      <c r="AG2874" t="s">
        <v>19330</v>
      </c>
      <c r="AH2874">
        <v>45</v>
      </c>
      <c r="AI2874">
        <v>1</v>
      </c>
      <c r="AJ2874">
        <v>0</v>
      </c>
      <c r="AK2874">
        <v>82.04000000000001</v>
      </c>
      <c r="AN2874" t="s">
        <v>7439</v>
      </c>
      <c r="AO2874">
        <v>9960</v>
      </c>
      <c r="AS2874" t="s">
        <v>46499</v>
      </c>
      <c r="AU2874">
        <v>97.75</v>
      </c>
      <c r="AV2874" t="s">
        <v>746</v>
      </c>
      <c r="AW2874" t="s">
        <v>281</v>
      </c>
    </row>
    <row r="2875" spans="1:49">
      <c r="A2875" s="1">
        <f>HYPERLINK("https://lsnyc.legalserver.org/matter/dynamic-profile/view/1869686","18-1869686")</f>
        <v>0</v>
      </c>
      <c r="B2875" t="s">
        <v>266</v>
      </c>
      <c r="C2875" t="s">
        <v>341</v>
      </c>
      <c r="D2875" t="s">
        <v>398</v>
      </c>
      <c r="E2875" t="s">
        <v>639</v>
      </c>
      <c r="F2875" t="s">
        <v>2222</v>
      </c>
      <c r="G2875" t="s">
        <v>6311</v>
      </c>
      <c r="H2875" t="s">
        <v>11927</v>
      </c>
      <c r="I2875" t="s">
        <v>17370</v>
      </c>
      <c r="J2875" t="s">
        <v>18893</v>
      </c>
      <c r="K2875">
        <v>10002</v>
      </c>
      <c r="L2875" t="s">
        <v>18958</v>
      </c>
      <c r="M2875" t="s">
        <v>18958</v>
      </c>
      <c r="N2875" t="s">
        <v>21100</v>
      </c>
      <c r="O2875" t="s">
        <v>26523</v>
      </c>
      <c r="P2875" t="s">
        <v>26564</v>
      </c>
      <c r="Q2875" t="s">
        <v>26570</v>
      </c>
      <c r="R2875" t="s">
        <v>26582</v>
      </c>
      <c r="S2875" t="s">
        <v>18959</v>
      </c>
      <c r="U2875" t="s">
        <v>26605</v>
      </c>
      <c r="W2875" t="s">
        <v>644</v>
      </c>
      <c r="X2875">
        <v>334</v>
      </c>
      <c r="Y2875" t="s">
        <v>26651</v>
      </c>
      <c r="Z2875" t="s">
        <v>26661</v>
      </c>
      <c r="AA2875" t="s">
        <v>26683</v>
      </c>
      <c r="AB2875" t="s">
        <v>29196</v>
      </c>
      <c r="AD2875" t="s">
        <v>39254</v>
      </c>
      <c r="AE2875">
        <v>0</v>
      </c>
      <c r="AF2875" t="s">
        <v>45549</v>
      </c>
      <c r="AG2875" t="s">
        <v>19330</v>
      </c>
      <c r="AH2875">
        <v>2</v>
      </c>
      <c r="AI2875">
        <v>1</v>
      </c>
      <c r="AJ2875">
        <v>1</v>
      </c>
      <c r="AK2875">
        <v>54.68</v>
      </c>
      <c r="AN2875" t="s">
        <v>7439</v>
      </c>
      <c r="AO2875">
        <v>9000</v>
      </c>
      <c r="AU2875">
        <v>5.2</v>
      </c>
      <c r="AV2875" t="s">
        <v>639</v>
      </c>
      <c r="AW2875" t="s">
        <v>314</v>
      </c>
    </row>
    <row r="2876" spans="1:49">
      <c r="A2876" s="1">
        <f>HYPERLINK("https://lsnyc.legalserver.org/matter/dynamic-profile/view/1871018","18-1871018")</f>
        <v>0</v>
      </c>
      <c r="B2876" t="s">
        <v>77</v>
      </c>
      <c r="C2876" t="s">
        <v>341</v>
      </c>
      <c r="D2876" t="s">
        <v>405</v>
      </c>
      <c r="E2876" t="s">
        <v>518</v>
      </c>
      <c r="F2876" t="s">
        <v>2438</v>
      </c>
      <c r="G2876" t="s">
        <v>5664</v>
      </c>
      <c r="H2876" t="s">
        <v>11403</v>
      </c>
      <c r="I2876">
        <v>21</v>
      </c>
      <c r="J2876" t="s">
        <v>18893</v>
      </c>
      <c r="K2876">
        <v>10030</v>
      </c>
      <c r="L2876" t="s">
        <v>18958</v>
      </c>
      <c r="M2876" t="s">
        <v>18960</v>
      </c>
      <c r="N2876" t="s">
        <v>21101</v>
      </c>
      <c r="O2876" t="s">
        <v>26523</v>
      </c>
      <c r="P2876" t="s">
        <v>26564</v>
      </c>
      <c r="Q2876" t="s">
        <v>26570</v>
      </c>
      <c r="R2876" t="s">
        <v>26582</v>
      </c>
      <c r="S2876" t="s">
        <v>18959</v>
      </c>
      <c r="U2876" t="s">
        <v>26604</v>
      </c>
      <c r="W2876" t="s">
        <v>644</v>
      </c>
      <c r="X2876">
        <v>1200</v>
      </c>
      <c r="Y2876" t="s">
        <v>26651</v>
      </c>
      <c r="Z2876" t="s">
        <v>26664</v>
      </c>
      <c r="AA2876" t="s">
        <v>26683</v>
      </c>
      <c r="AB2876" t="s">
        <v>29197</v>
      </c>
      <c r="AC2876" t="s">
        <v>35351</v>
      </c>
      <c r="AD2876" t="s">
        <v>39255</v>
      </c>
      <c r="AE2876">
        <v>54</v>
      </c>
      <c r="AF2876" t="s">
        <v>45544</v>
      </c>
      <c r="AG2876" t="s">
        <v>26530</v>
      </c>
      <c r="AH2876">
        <v>6</v>
      </c>
      <c r="AI2876">
        <v>1</v>
      </c>
      <c r="AJ2876">
        <v>0</v>
      </c>
      <c r="AK2876">
        <v>97.17</v>
      </c>
      <c r="AN2876" t="s">
        <v>7439</v>
      </c>
      <c r="AO2876">
        <v>11796</v>
      </c>
      <c r="AU2876">
        <v>2.35</v>
      </c>
      <c r="AV2876" t="s">
        <v>518</v>
      </c>
      <c r="AW2876" t="s">
        <v>314</v>
      </c>
    </row>
    <row r="2877" spans="1:49">
      <c r="A2877" s="1">
        <f>HYPERLINK("https://lsnyc.legalserver.org/matter/dynamic-profile/view/1871251","18-1871251")</f>
        <v>0</v>
      </c>
      <c r="B2877" t="s">
        <v>109</v>
      </c>
      <c r="C2877" t="s">
        <v>341</v>
      </c>
      <c r="D2877" t="s">
        <v>420</v>
      </c>
      <c r="E2877" t="s">
        <v>706</v>
      </c>
      <c r="F2877" t="s">
        <v>2439</v>
      </c>
      <c r="G2877" t="s">
        <v>4612</v>
      </c>
      <c r="H2877" t="s">
        <v>11928</v>
      </c>
      <c r="I2877">
        <v>303</v>
      </c>
      <c r="J2877" t="s">
        <v>18902</v>
      </c>
      <c r="K2877">
        <v>10304</v>
      </c>
      <c r="L2877" t="s">
        <v>18958</v>
      </c>
      <c r="M2877" t="s">
        <v>18958</v>
      </c>
      <c r="N2877" t="s">
        <v>21102</v>
      </c>
      <c r="O2877" t="s">
        <v>26523</v>
      </c>
      <c r="P2877" t="s">
        <v>26560</v>
      </c>
      <c r="Q2877" t="s">
        <v>26568</v>
      </c>
      <c r="R2877" t="s">
        <v>26587</v>
      </c>
      <c r="S2877" t="s">
        <v>18959</v>
      </c>
      <c r="U2877" t="s">
        <v>26605</v>
      </c>
      <c r="V2877" t="s">
        <v>26611</v>
      </c>
      <c r="W2877" t="s">
        <v>644</v>
      </c>
      <c r="X2877">
        <v>716</v>
      </c>
      <c r="Y2877" t="s">
        <v>26654</v>
      </c>
      <c r="Z2877" t="s">
        <v>26663</v>
      </c>
      <c r="AA2877" t="s">
        <v>26680</v>
      </c>
      <c r="AB2877" t="s">
        <v>29198</v>
      </c>
      <c r="AD2877" t="s">
        <v>39256</v>
      </c>
      <c r="AE2877">
        <v>156</v>
      </c>
      <c r="AF2877" t="s">
        <v>45543</v>
      </c>
      <c r="AG2877" t="s">
        <v>45556</v>
      </c>
      <c r="AH2877">
        <v>2</v>
      </c>
      <c r="AI2877">
        <v>1</v>
      </c>
      <c r="AJ2877">
        <v>2</v>
      </c>
      <c r="AK2877">
        <v>182.87</v>
      </c>
      <c r="AN2877" t="s">
        <v>7439</v>
      </c>
      <c r="AO2877">
        <v>38000</v>
      </c>
      <c r="AQ2877" t="s">
        <v>46365</v>
      </c>
      <c r="AR2877" t="s">
        <v>46379</v>
      </c>
      <c r="AS2877" t="s">
        <v>46499</v>
      </c>
      <c r="AT2877" t="s">
        <v>46642</v>
      </c>
      <c r="AU2877">
        <v>23.85</v>
      </c>
      <c r="AV2877" t="s">
        <v>699</v>
      </c>
      <c r="AW2877" t="s">
        <v>46855</v>
      </c>
    </row>
    <row r="2878" spans="1:49">
      <c r="A2878" s="1">
        <f>HYPERLINK("https://lsnyc.legalserver.org/matter/dynamic-profile/view/1871854","18-1871854")</f>
        <v>0</v>
      </c>
      <c r="B2878" t="s">
        <v>199</v>
      </c>
      <c r="C2878" t="s">
        <v>340</v>
      </c>
      <c r="D2878" t="s">
        <v>431</v>
      </c>
      <c r="F2878" t="s">
        <v>1025</v>
      </c>
      <c r="G2878" t="s">
        <v>5720</v>
      </c>
      <c r="H2878" t="s">
        <v>11929</v>
      </c>
      <c r="I2878" t="s">
        <v>17849</v>
      </c>
      <c r="J2878" t="s">
        <v>18894</v>
      </c>
      <c r="K2878">
        <v>11226</v>
      </c>
      <c r="L2878" t="s">
        <v>18958</v>
      </c>
      <c r="M2878" t="s">
        <v>18958</v>
      </c>
      <c r="O2878" t="s">
        <v>18997</v>
      </c>
      <c r="P2878" t="s">
        <v>26562</v>
      </c>
      <c r="R2878" t="s">
        <v>26578</v>
      </c>
      <c r="S2878" t="s">
        <v>18959</v>
      </c>
      <c r="U2878" t="s">
        <v>26604</v>
      </c>
      <c r="W2878" t="s">
        <v>644</v>
      </c>
      <c r="X2878">
        <v>1735</v>
      </c>
      <c r="Y2878" t="s">
        <v>26652</v>
      </c>
      <c r="Z2878" t="s">
        <v>26663</v>
      </c>
      <c r="AB2878" t="s">
        <v>29199</v>
      </c>
      <c r="AD2878" t="s">
        <v>39257</v>
      </c>
      <c r="AE2878">
        <v>24</v>
      </c>
      <c r="AF2878" t="s">
        <v>45541</v>
      </c>
      <c r="AG2878" t="s">
        <v>19330</v>
      </c>
      <c r="AH2878">
        <v>41</v>
      </c>
      <c r="AI2878">
        <v>1</v>
      </c>
      <c r="AJ2878">
        <v>0</v>
      </c>
      <c r="AK2878">
        <v>74.14</v>
      </c>
      <c r="AN2878" t="s">
        <v>7439</v>
      </c>
      <c r="AO2878">
        <v>9000</v>
      </c>
      <c r="AU2878">
        <v>10.8</v>
      </c>
      <c r="AV2878" t="s">
        <v>702</v>
      </c>
      <c r="AW2878" t="s">
        <v>237</v>
      </c>
    </row>
    <row r="2879" spans="1:49">
      <c r="A2879" s="1">
        <f>HYPERLINK("https://lsnyc.legalserver.org/matter/dynamic-profile/view/1873717","18-1873717")</f>
        <v>0</v>
      </c>
      <c r="B2879" t="s">
        <v>86</v>
      </c>
      <c r="C2879" t="s">
        <v>341</v>
      </c>
      <c r="D2879" t="s">
        <v>464</v>
      </c>
      <c r="E2879" t="s">
        <v>667</v>
      </c>
      <c r="F2879" t="s">
        <v>2440</v>
      </c>
      <c r="G2879" t="s">
        <v>5079</v>
      </c>
      <c r="H2879" t="s">
        <v>11930</v>
      </c>
      <c r="I2879" t="s">
        <v>17316</v>
      </c>
      <c r="J2879" t="s">
        <v>18893</v>
      </c>
      <c r="K2879">
        <v>10030</v>
      </c>
      <c r="L2879" t="s">
        <v>18958</v>
      </c>
      <c r="M2879" t="s">
        <v>18958</v>
      </c>
      <c r="N2879" t="s">
        <v>21103</v>
      </c>
      <c r="O2879" t="s">
        <v>26523</v>
      </c>
      <c r="P2879" t="s">
        <v>26560</v>
      </c>
      <c r="Q2879" t="s">
        <v>26568</v>
      </c>
      <c r="R2879" t="s">
        <v>26582</v>
      </c>
      <c r="S2879" t="s">
        <v>18959</v>
      </c>
      <c r="T2879" t="s">
        <v>26600</v>
      </c>
      <c r="U2879" t="s">
        <v>26604</v>
      </c>
      <c r="W2879" t="s">
        <v>644</v>
      </c>
      <c r="X2879">
        <v>0</v>
      </c>
      <c r="Y2879" t="s">
        <v>26651</v>
      </c>
      <c r="Z2879" t="s">
        <v>26659</v>
      </c>
      <c r="AA2879" t="s">
        <v>26678</v>
      </c>
      <c r="AB2879" t="s">
        <v>29200</v>
      </c>
      <c r="AD2879" t="s">
        <v>39258</v>
      </c>
      <c r="AE2879">
        <v>0</v>
      </c>
      <c r="AG2879" t="s">
        <v>26530</v>
      </c>
      <c r="AH2879">
        <v>0</v>
      </c>
      <c r="AI2879">
        <v>1</v>
      </c>
      <c r="AJ2879">
        <v>0</v>
      </c>
      <c r="AK2879">
        <v>128.5</v>
      </c>
      <c r="AN2879" t="s">
        <v>7439</v>
      </c>
      <c r="AO2879">
        <v>15600</v>
      </c>
      <c r="AS2879" t="s">
        <v>46499</v>
      </c>
      <c r="AT2879" t="s">
        <v>46535</v>
      </c>
      <c r="AU2879">
        <v>3</v>
      </c>
      <c r="AV2879" t="s">
        <v>575</v>
      </c>
      <c r="AW2879" t="s">
        <v>317</v>
      </c>
    </row>
    <row r="2880" spans="1:49">
      <c r="A2880" s="1">
        <f>HYPERLINK("https://lsnyc.legalserver.org/matter/dynamic-profile/view/1874136","18-1874136")</f>
        <v>0</v>
      </c>
      <c r="B2880" t="s">
        <v>165</v>
      </c>
      <c r="C2880" t="s">
        <v>341</v>
      </c>
      <c r="D2880" t="s">
        <v>497</v>
      </c>
      <c r="E2880" t="s">
        <v>820</v>
      </c>
      <c r="F2880" t="s">
        <v>2441</v>
      </c>
      <c r="G2880" t="s">
        <v>6662</v>
      </c>
      <c r="H2880" t="s">
        <v>11931</v>
      </c>
      <c r="I2880" t="s">
        <v>17436</v>
      </c>
      <c r="J2880" t="s">
        <v>18893</v>
      </c>
      <c r="K2880">
        <v>10031</v>
      </c>
      <c r="L2880" t="s">
        <v>18958</v>
      </c>
      <c r="M2880" t="s">
        <v>18958</v>
      </c>
      <c r="N2880" t="s">
        <v>21104</v>
      </c>
      <c r="O2880" t="s">
        <v>26526</v>
      </c>
      <c r="P2880" t="s">
        <v>26560</v>
      </c>
      <c r="Q2880" t="s">
        <v>26568</v>
      </c>
      <c r="R2880" t="s">
        <v>26578</v>
      </c>
      <c r="S2880" t="s">
        <v>18959</v>
      </c>
      <c r="U2880" t="s">
        <v>26604</v>
      </c>
      <c r="W2880" t="s">
        <v>644</v>
      </c>
      <c r="X2880">
        <v>843.76</v>
      </c>
      <c r="Y2880" t="s">
        <v>26651</v>
      </c>
      <c r="Z2880" t="s">
        <v>26661</v>
      </c>
      <c r="AA2880" t="s">
        <v>26678</v>
      </c>
      <c r="AB2880" t="s">
        <v>29201</v>
      </c>
      <c r="AD2880" t="s">
        <v>39259</v>
      </c>
      <c r="AE2880">
        <v>0</v>
      </c>
      <c r="AF2880" t="s">
        <v>45548</v>
      </c>
      <c r="AG2880" t="s">
        <v>45559</v>
      </c>
      <c r="AH2880">
        <v>45</v>
      </c>
      <c r="AI2880">
        <v>1</v>
      </c>
      <c r="AJ2880">
        <v>0</v>
      </c>
      <c r="AK2880">
        <v>326.52</v>
      </c>
      <c r="AL2880" t="s">
        <v>415</v>
      </c>
      <c r="AM2880" t="s">
        <v>45575</v>
      </c>
      <c r="AN2880" t="s">
        <v>7439</v>
      </c>
      <c r="AO2880">
        <v>39639.96</v>
      </c>
      <c r="AU2880">
        <v>8.699999999999999</v>
      </c>
      <c r="AV2880" t="s">
        <v>765</v>
      </c>
      <c r="AW2880" t="s">
        <v>314</v>
      </c>
    </row>
    <row r="2881" spans="1:50">
      <c r="A2881" s="1">
        <f>HYPERLINK("https://lsnyc.legalserver.org/matter/dynamic-profile/view/1874463","18-1874463")</f>
        <v>0</v>
      </c>
      <c r="B2881" t="s">
        <v>199</v>
      </c>
      <c r="C2881" t="s">
        <v>341</v>
      </c>
      <c r="D2881" t="s">
        <v>498</v>
      </c>
      <c r="E2881" t="s">
        <v>766</v>
      </c>
      <c r="F2881" t="s">
        <v>2442</v>
      </c>
      <c r="G2881" t="s">
        <v>6663</v>
      </c>
      <c r="H2881" t="s">
        <v>11932</v>
      </c>
      <c r="I2881" t="s">
        <v>17898</v>
      </c>
      <c r="J2881" t="s">
        <v>18894</v>
      </c>
      <c r="K2881">
        <v>11209</v>
      </c>
      <c r="L2881" t="s">
        <v>18958</v>
      </c>
      <c r="M2881" t="s">
        <v>18958</v>
      </c>
      <c r="O2881" t="s">
        <v>26529</v>
      </c>
      <c r="P2881" t="s">
        <v>26562</v>
      </c>
      <c r="Q2881" t="s">
        <v>26571</v>
      </c>
      <c r="R2881" t="s">
        <v>26578</v>
      </c>
      <c r="S2881" t="s">
        <v>18959</v>
      </c>
      <c r="U2881" t="s">
        <v>26604</v>
      </c>
      <c r="V2881" t="s">
        <v>26610</v>
      </c>
      <c r="W2881" t="s">
        <v>644</v>
      </c>
      <c r="X2881">
        <v>1397.01</v>
      </c>
      <c r="Y2881" t="s">
        <v>26652</v>
      </c>
      <c r="Z2881" t="s">
        <v>26659</v>
      </c>
      <c r="AA2881" t="s">
        <v>26693</v>
      </c>
      <c r="AB2881" t="s">
        <v>29202</v>
      </c>
      <c r="AC2881" t="s">
        <v>35352</v>
      </c>
      <c r="AD2881" t="s">
        <v>39260</v>
      </c>
      <c r="AE2881">
        <v>118</v>
      </c>
      <c r="AF2881" t="s">
        <v>45541</v>
      </c>
      <c r="AG2881" t="s">
        <v>19330</v>
      </c>
      <c r="AH2881">
        <v>9</v>
      </c>
      <c r="AI2881">
        <v>1</v>
      </c>
      <c r="AJ2881">
        <v>2</v>
      </c>
      <c r="AK2881">
        <v>62.06</v>
      </c>
      <c r="AN2881" t="s">
        <v>7439</v>
      </c>
      <c r="AO2881">
        <v>12896</v>
      </c>
      <c r="AR2881" t="s">
        <v>46398</v>
      </c>
      <c r="AS2881" t="s">
        <v>46499</v>
      </c>
      <c r="AT2881" t="s">
        <v>46749</v>
      </c>
      <c r="AU2881">
        <v>7.05</v>
      </c>
      <c r="AV2881" t="s">
        <v>720</v>
      </c>
      <c r="AW2881" t="s">
        <v>237</v>
      </c>
      <c r="AX2881" t="s">
        <v>46897</v>
      </c>
    </row>
    <row r="2882" spans="1:50">
      <c r="A2882" s="1">
        <f>HYPERLINK("https://lsnyc.legalserver.org/matter/dynamic-profile/view/1874486","18-1874486")</f>
        <v>0</v>
      </c>
      <c r="B2882" t="s">
        <v>199</v>
      </c>
      <c r="C2882" t="s">
        <v>341</v>
      </c>
      <c r="D2882" t="s">
        <v>498</v>
      </c>
      <c r="E2882" t="s">
        <v>691</v>
      </c>
      <c r="F2882" t="s">
        <v>2443</v>
      </c>
      <c r="G2882" t="s">
        <v>5693</v>
      </c>
      <c r="H2882" t="s">
        <v>11395</v>
      </c>
      <c r="I2882">
        <v>32</v>
      </c>
      <c r="J2882" t="s">
        <v>18894</v>
      </c>
      <c r="K2882">
        <v>11238</v>
      </c>
      <c r="L2882" t="s">
        <v>18958</v>
      </c>
      <c r="M2882" t="s">
        <v>18958</v>
      </c>
      <c r="O2882" t="s">
        <v>26529</v>
      </c>
      <c r="P2882" t="s">
        <v>26562</v>
      </c>
      <c r="Q2882" t="s">
        <v>26571</v>
      </c>
      <c r="R2882" t="s">
        <v>26578</v>
      </c>
      <c r="S2882" t="s">
        <v>18958</v>
      </c>
      <c r="U2882" t="s">
        <v>26604</v>
      </c>
      <c r="W2882" t="s">
        <v>644</v>
      </c>
      <c r="X2882">
        <v>892</v>
      </c>
      <c r="Y2882" t="s">
        <v>26652</v>
      </c>
      <c r="Z2882" t="s">
        <v>26666</v>
      </c>
      <c r="AA2882" t="s">
        <v>26682</v>
      </c>
      <c r="AB2882" t="s">
        <v>29203</v>
      </c>
      <c r="AD2882" t="s">
        <v>39261</v>
      </c>
      <c r="AE2882">
        <v>44</v>
      </c>
      <c r="AF2882" t="s">
        <v>45541</v>
      </c>
      <c r="AG2882" t="s">
        <v>19330</v>
      </c>
      <c r="AH2882">
        <v>13</v>
      </c>
      <c r="AI2882">
        <v>1</v>
      </c>
      <c r="AJ2882">
        <v>2</v>
      </c>
      <c r="AK2882">
        <v>192.49</v>
      </c>
      <c r="AN2882" t="s">
        <v>7439</v>
      </c>
      <c r="AO2882">
        <v>40000</v>
      </c>
      <c r="AU2882">
        <v>8.25</v>
      </c>
      <c r="AV2882" t="s">
        <v>583</v>
      </c>
      <c r="AW2882" t="s">
        <v>237</v>
      </c>
    </row>
    <row r="2883" spans="1:50">
      <c r="A2883" s="1">
        <f>HYPERLINK("https://lsnyc.legalserver.org/matter/dynamic-profile/view/1875047","18-1875047")</f>
        <v>0</v>
      </c>
      <c r="B2883" t="s">
        <v>187</v>
      </c>
      <c r="C2883" t="s">
        <v>340</v>
      </c>
      <c r="D2883" t="s">
        <v>505</v>
      </c>
      <c r="F2883" t="s">
        <v>1428</v>
      </c>
      <c r="G2883" t="s">
        <v>6664</v>
      </c>
      <c r="H2883" t="s">
        <v>11933</v>
      </c>
      <c r="I2883" t="s">
        <v>17552</v>
      </c>
      <c r="J2883" t="s">
        <v>18892</v>
      </c>
      <c r="K2883">
        <v>10458</v>
      </c>
      <c r="L2883" t="s">
        <v>18958</v>
      </c>
      <c r="M2883" t="s">
        <v>18958</v>
      </c>
      <c r="N2883" t="s">
        <v>21105</v>
      </c>
      <c r="O2883" t="s">
        <v>26524</v>
      </c>
      <c r="P2883" t="s">
        <v>26560</v>
      </c>
      <c r="R2883" t="s">
        <v>26577</v>
      </c>
      <c r="S2883" t="s">
        <v>18959</v>
      </c>
      <c r="U2883" t="s">
        <v>26604</v>
      </c>
      <c r="V2883" t="s">
        <v>26610</v>
      </c>
      <c r="W2883" t="s">
        <v>644</v>
      </c>
      <c r="X2883">
        <v>800</v>
      </c>
      <c r="Y2883" t="s">
        <v>26650</v>
      </c>
      <c r="AB2883" t="s">
        <v>29204</v>
      </c>
      <c r="AD2883" t="s">
        <v>39262</v>
      </c>
      <c r="AE2883">
        <v>0</v>
      </c>
      <c r="AF2883" t="s">
        <v>45541</v>
      </c>
      <c r="AG2883" t="s">
        <v>19330</v>
      </c>
      <c r="AH2883">
        <v>1</v>
      </c>
      <c r="AI2883">
        <v>2</v>
      </c>
      <c r="AJ2883">
        <v>0</v>
      </c>
      <c r="AK2883">
        <v>58.32</v>
      </c>
      <c r="AO2883">
        <v>9600</v>
      </c>
      <c r="AU2883">
        <v>64.90000000000001</v>
      </c>
      <c r="AV2883" t="s">
        <v>839</v>
      </c>
      <c r="AW2883" t="s">
        <v>46832</v>
      </c>
    </row>
    <row r="2884" spans="1:50">
      <c r="A2884" s="1">
        <f>HYPERLINK("https://lsnyc.legalserver.org/matter/dynamic-profile/view/1875445","18-1875445")</f>
        <v>0</v>
      </c>
      <c r="B2884" t="s">
        <v>195</v>
      </c>
      <c r="C2884" t="s">
        <v>341</v>
      </c>
      <c r="D2884" t="s">
        <v>515</v>
      </c>
      <c r="E2884" t="s">
        <v>494</v>
      </c>
      <c r="F2884" t="s">
        <v>1072</v>
      </c>
      <c r="G2884" t="s">
        <v>2749</v>
      </c>
      <c r="H2884" t="s">
        <v>11934</v>
      </c>
      <c r="I2884" t="s">
        <v>17440</v>
      </c>
      <c r="J2884" t="s">
        <v>18893</v>
      </c>
      <c r="K2884">
        <v>10002</v>
      </c>
      <c r="L2884" t="s">
        <v>18958</v>
      </c>
      <c r="M2884" t="s">
        <v>18958</v>
      </c>
      <c r="N2884" t="s">
        <v>21106</v>
      </c>
      <c r="O2884" t="s">
        <v>26524</v>
      </c>
      <c r="P2884" t="s">
        <v>26565</v>
      </c>
      <c r="Q2884" t="s">
        <v>26571</v>
      </c>
      <c r="R2884" t="s">
        <v>26582</v>
      </c>
      <c r="S2884" t="s">
        <v>18959</v>
      </c>
      <c r="U2884" t="s">
        <v>26604</v>
      </c>
      <c r="V2884" t="s">
        <v>26610</v>
      </c>
      <c r="W2884" t="s">
        <v>644</v>
      </c>
      <c r="X2884">
        <v>47</v>
      </c>
      <c r="Y2884" t="s">
        <v>26651</v>
      </c>
      <c r="AA2884" t="s">
        <v>26682</v>
      </c>
      <c r="AB2884" t="s">
        <v>29205</v>
      </c>
      <c r="AE2884">
        <v>0</v>
      </c>
      <c r="AG2884" t="s">
        <v>45556</v>
      </c>
      <c r="AH2884">
        <v>35</v>
      </c>
      <c r="AI2884">
        <v>1</v>
      </c>
      <c r="AJ2884">
        <v>0</v>
      </c>
      <c r="AK2884">
        <v>42.83</v>
      </c>
      <c r="AN2884" t="s">
        <v>7439</v>
      </c>
      <c r="AO2884">
        <v>5200</v>
      </c>
      <c r="AU2884">
        <v>2.17</v>
      </c>
      <c r="AV2884" t="s">
        <v>531</v>
      </c>
      <c r="AW2884" t="s">
        <v>46838</v>
      </c>
    </row>
    <row r="2885" spans="1:50">
      <c r="A2885" s="1">
        <f>HYPERLINK("https://lsnyc.legalserver.org/matter/dynamic-profile/view/1875625","18-1875625")</f>
        <v>0</v>
      </c>
      <c r="B2885" t="s">
        <v>199</v>
      </c>
      <c r="C2885" t="s">
        <v>341</v>
      </c>
      <c r="D2885" t="s">
        <v>521</v>
      </c>
      <c r="E2885" t="s">
        <v>494</v>
      </c>
      <c r="F2885" t="s">
        <v>1235</v>
      </c>
      <c r="G2885" t="s">
        <v>6665</v>
      </c>
      <c r="H2885" t="s">
        <v>11935</v>
      </c>
      <c r="I2885" t="s">
        <v>17332</v>
      </c>
      <c r="J2885" t="s">
        <v>18894</v>
      </c>
      <c r="K2885">
        <v>11216</v>
      </c>
      <c r="L2885" t="s">
        <v>18958</v>
      </c>
      <c r="M2885" t="s">
        <v>18958</v>
      </c>
      <c r="O2885" t="s">
        <v>18997</v>
      </c>
      <c r="P2885" t="s">
        <v>26562</v>
      </c>
      <c r="Q2885" t="s">
        <v>26571</v>
      </c>
      <c r="R2885" t="s">
        <v>26578</v>
      </c>
      <c r="S2885" t="s">
        <v>18959</v>
      </c>
      <c r="U2885" t="s">
        <v>26604</v>
      </c>
      <c r="V2885" t="s">
        <v>26610</v>
      </c>
      <c r="W2885" t="s">
        <v>644</v>
      </c>
      <c r="X2885">
        <v>1414.48</v>
      </c>
      <c r="Y2885" t="s">
        <v>26652</v>
      </c>
      <c r="Z2885" t="s">
        <v>26659</v>
      </c>
      <c r="AA2885" t="s">
        <v>26682</v>
      </c>
      <c r="AB2885" t="s">
        <v>29206</v>
      </c>
      <c r="AC2885" t="s">
        <v>35353</v>
      </c>
      <c r="AD2885" t="s">
        <v>39263</v>
      </c>
      <c r="AE2885">
        <v>6</v>
      </c>
      <c r="AF2885" t="s">
        <v>45541</v>
      </c>
      <c r="AG2885" t="s">
        <v>19330</v>
      </c>
      <c r="AH2885">
        <v>8</v>
      </c>
      <c r="AI2885">
        <v>2</v>
      </c>
      <c r="AJ2885">
        <v>7</v>
      </c>
      <c r="AK2885">
        <v>69.17</v>
      </c>
      <c r="AN2885" t="s">
        <v>45581</v>
      </c>
      <c r="AO2885">
        <v>32304</v>
      </c>
      <c r="AR2885" t="s">
        <v>26530</v>
      </c>
      <c r="AU2885">
        <v>12.8</v>
      </c>
      <c r="AV2885" t="s">
        <v>573</v>
      </c>
      <c r="AW2885" t="s">
        <v>199</v>
      </c>
    </row>
    <row r="2886" spans="1:50">
      <c r="A2886" s="1">
        <f>HYPERLINK("https://lsnyc.legalserver.org/matter/dynamic-profile/view/1875557","18-1875557")</f>
        <v>0</v>
      </c>
      <c r="B2886" t="s">
        <v>81</v>
      </c>
      <c r="C2886" t="s">
        <v>340</v>
      </c>
      <c r="D2886" t="s">
        <v>521</v>
      </c>
      <c r="F2886" t="s">
        <v>1650</v>
      </c>
      <c r="G2886" t="s">
        <v>5075</v>
      </c>
      <c r="H2886" t="s">
        <v>11936</v>
      </c>
      <c r="I2886" t="s">
        <v>17899</v>
      </c>
      <c r="J2886" t="s">
        <v>18892</v>
      </c>
      <c r="K2886">
        <v>10468</v>
      </c>
      <c r="L2886" t="s">
        <v>18958</v>
      </c>
      <c r="M2886" t="s">
        <v>18960</v>
      </c>
      <c r="N2886" t="s">
        <v>21107</v>
      </c>
      <c r="O2886" t="s">
        <v>26523</v>
      </c>
      <c r="P2886" t="s">
        <v>26560</v>
      </c>
      <c r="R2886" t="s">
        <v>26579</v>
      </c>
      <c r="U2886" t="s">
        <v>26604</v>
      </c>
      <c r="V2886" t="s">
        <v>26610</v>
      </c>
      <c r="W2886" t="s">
        <v>644</v>
      </c>
      <c r="X2886">
        <v>1956</v>
      </c>
      <c r="Y2886" t="s">
        <v>26650</v>
      </c>
      <c r="Z2886" t="s">
        <v>26668</v>
      </c>
      <c r="AB2886" t="s">
        <v>29207</v>
      </c>
      <c r="AC2886" t="s">
        <v>35354</v>
      </c>
      <c r="AD2886" t="s">
        <v>39264</v>
      </c>
      <c r="AE2886">
        <v>10</v>
      </c>
      <c r="AF2886" t="s">
        <v>45541</v>
      </c>
      <c r="AG2886" t="s">
        <v>45558</v>
      </c>
      <c r="AH2886">
        <v>1</v>
      </c>
      <c r="AI2886">
        <v>5</v>
      </c>
      <c r="AJ2886">
        <v>1</v>
      </c>
      <c r="AK2886">
        <v>65.01000000000001</v>
      </c>
      <c r="AN2886" t="s">
        <v>45581</v>
      </c>
      <c r="AO2886">
        <v>21936</v>
      </c>
      <c r="AU2886">
        <v>9.4</v>
      </c>
      <c r="AV2886" t="s">
        <v>763</v>
      </c>
      <c r="AW2886" t="s">
        <v>46850</v>
      </c>
      <c r="AX2886" t="s">
        <v>46898</v>
      </c>
    </row>
    <row r="2887" spans="1:50">
      <c r="A2887" s="1">
        <f>HYPERLINK("https://lsnyc.legalserver.org/matter/dynamic-profile/view/1875933","18-1875933")</f>
        <v>0</v>
      </c>
      <c r="B2887" t="s">
        <v>62</v>
      </c>
      <c r="C2887" t="s">
        <v>340</v>
      </c>
      <c r="D2887" t="s">
        <v>511</v>
      </c>
      <c r="F2887" t="s">
        <v>2444</v>
      </c>
      <c r="G2887" t="s">
        <v>6666</v>
      </c>
      <c r="H2887" t="s">
        <v>11937</v>
      </c>
      <c r="I2887" t="s">
        <v>17275</v>
      </c>
      <c r="J2887" t="s">
        <v>18893</v>
      </c>
      <c r="K2887">
        <v>10009</v>
      </c>
      <c r="L2887" t="s">
        <v>18958</v>
      </c>
      <c r="M2887" t="s">
        <v>18958</v>
      </c>
      <c r="N2887" t="s">
        <v>21108</v>
      </c>
      <c r="O2887" t="s">
        <v>26523</v>
      </c>
      <c r="P2887" t="s">
        <v>26560</v>
      </c>
      <c r="R2887" t="s">
        <v>26582</v>
      </c>
      <c r="U2887" t="s">
        <v>26606</v>
      </c>
      <c r="W2887" t="s">
        <v>644</v>
      </c>
      <c r="X2887">
        <v>1163</v>
      </c>
      <c r="Y2887" t="s">
        <v>26651</v>
      </c>
      <c r="Z2887" t="s">
        <v>26666</v>
      </c>
      <c r="AB2887" t="s">
        <v>29208</v>
      </c>
      <c r="AD2887" t="s">
        <v>39265</v>
      </c>
      <c r="AE2887">
        <v>52</v>
      </c>
      <c r="AF2887" t="s">
        <v>45554</v>
      </c>
      <c r="AH2887">
        <v>10</v>
      </c>
      <c r="AI2887">
        <v>1</v>
      </c>
      <c r="AJ2887">
        <v>0</v>
      </c>
      <c r="AK2887">
        <v>85.20999999999999</v>
      </c>
      <c r="AN2887" t="s">
        <v>7439</v>
      </c>
      <c r="AO2887">
        <v>10344</v>
      </c>
      <c r="AU2887">
        <v>57.8</v>
      </c>
      <c r="AV2887" t="s">
        <v>831</v>
      </c>
      <c r="AW2887" t="s">
        <v>264</v>
      </c>
    </row>
    <row r="2888" spans="1:50">
      <c r="A2888" s="1">
        <f>HYPERLINK("https://lsnyc.legalserver.org/matter/dynamic-profile/view/1876008","18-1876008")</f>
        <v>0</v>
      </c>
      <c r="B2888" t="s">
        <v>197</v>
      </c>
      <c r="C2888" t="s">
        <v>340</v>
      </c>
      <c r="D2888" t="s">
        <v>512</v>
      </c>
      <c r="F2888" t="s">
        <v>1558</v>
      </c>
      <c r="G2888" t="s">
        <v>6667</v>
      </c>
      <c r="H2888" t="s">
        <v>10024</v>
      </c>
      <c r="I2888" t="s">
        <v>17272</v>
      </c>
      <c r="J2888" t="s">
        <v>18894</v>
      </c>
      <c r="K2888">
        <v>11221</v>
      </c>
      <c r="L2888" t="s">
        <v>18958</v>
      </c>
      <c r="M2888" t="s">
        <v>18958</v>
      </c>
      <c r="N2888" t="s">
        <v>21109</v>
      </c>
      <c r="O2888" t="s">
        <v>26526</v>
      </c>
      <c r="P2888" t="s">
        <v>26560</v>
      </c>
      <c r="R2888" t="s">
        <v>26578</v>
      </c>
      <c r="S2888" t="s">
        <v>18958</v>
      </c>
      <c r="U2888" t="s">
        <v>26604</v>
      </c>
      <c r="W2888" t="s">
        <v>644</v>
      </c>
      <c r="X2888">
        <v>763</v>
      </c>
      <c r="Y2888" t="s">
        <v>26652</v>
      </c>
      <c r="Z2888" t="s">
        <v>26667</v>
      </c>
      <c r="AB2888" t="s">
        <v>29209</v>
      </c>
      <c r="AD2888" t="s">
        <v>39266</v>
      </c>
      <c r="AE2888">
        <v>12</v>
      </c>
      <c r="AF2888" t="s">
        <v>45541</v>
      </c>
      <c r="AG2888" t="s">
        <v>19330</v>
      </c>
      <c r="AH2888">
        <v>10</v>
      </c>
      <c r="AI2888">
        <v>1</v>
      </c>
      <c r="AJ2888">
        <v>0</v>
      </c>
      <c r="AK2888">
        <v>171.33</v>
      </c>
      <c r="AN2888" t="s">
        <v>7439</v>
      </c>
      <c r="AO2888">
        <v>20800</v>
      </c>
      <c r="AU2888">
        <v>18.6</v>
      </c>
      <c r="AV2888" t="s">
        <v>781</v>
      </c>
      <c r="AW2888" t="s">
        <v>279</v>
      </c>
    </row>
    <row r="2889" spans="1:50">
      <c r="A2889" s="1">
        <f>HYPERLINK("https://lsnyc.legalserver.org/matter/dynamic-profile/view/1876343","18-1876343")</f>
        <v>0</v>
      </c>
      <c r="B2889" t="s">
        <v>171</v>
      </c>
      <c r="C2889" t="s">
        <v>341</v>
      </c>
      <c r="D2889" t="s">
        <v>493</v>
      </c>
      <c r="E2889" t="s">
        <v>687</v>
      </c>
      <c r="F2889" t="s">
        <v>1059</v>
      </c>
      <c r="G2889" t="s">
        <v>5224</v>
      </c>
      <c r="H2889" t="s">
        <v>11938</v>
      </c>
      <c r="I2889">
        <v>21</v>
      </c>
      <c r="J2889" t="s">
        <v>18893</v>
      </c>
      <c r="K2889">
        <v>10031</v>
      </c>
      <c r="L2889" t="s">
        <v>18958</v>
      </c>
      <c r="M2889" t="s">
        <v>18958</v>
      </c>
      <c r="N2889" t="s">
        <v>21110</v>
      </c>
      <c r="O2889" t="s">
        <v>26523</v>
      </c>
      <c r="P2889" t="s">
        <v>26560</v>
      </c>
      <c r="Q2889" t="s">
        <v>26568</v>
      </c>
      <c r="R2889" t="s">
        <v>26580</v>
      </c>
      <c r="S2889" t="s">
        <v>18959</v>
      </c>
      <c r="U2889" t="s">
        <v>26604</v>
      </c>
      <c r="W2889" t="s">
        <v>644</v>
      </c>
      <c r="X2889">
        <v>673</v>
      </c>
      <c r="Y2889" t="s">
        <v>26651</v>
      </c>
      <c r="Z2889" t="s">
        <v>26664</v>
      </c>
      <c r="AA2889" t="s">
        <v>26678</v>
      </c>
      <c r="AB2889" t="s">
        <v>29210</v>
      </c>
      <c r="AC2889" t="s">
        <v>35355</v>
      </c>
      <c r="AD2889" t="s">
        <v>39267</v>
      </c>
      <c r="AE2889">
        <v>0</v>
      </c>
      <c r="AF2889" t="s">
        <v>20460</v>
      </c>
      <c r="AH2889">
        <v>39</v>
      </c>
      <c r="AI2889">
        <v>1</v>
      </c>
      <c r="AJ2889">
        <v>0</v>
      </c>
      <c r="AK2889">
        <v>0</v>
      </c>
      <c r="AN2889" t="s">
        <v>7439</v>
      </c>
      <c r="AO2889">
        <v>0</v>
      </c>
      <c r="AS2889" t="s">
        <v>46499</v>
      </c>
      <c r="AT2889" t="s">
        <v>46624</v>
      </c>
      <c r="AU2889">
        <v>24.35</v>
      </c>
      <c r="AV2889" t="s">
        <v>534</v>
      </c>
      <c r="AW2889" t="s">
        <v>317</v>
      </c>
    </row>
    <row r="2890" spans="1:50">
      <c r="A2890" s="1">
        <f>HYPERLINK("https://lsnyc.legalserver.org/matter/dynamic-profile/view/1876998","18-1876998")</f>
        <v>0</v>
      </c>
      <c r="B2890" t="s">
        <v>243</v>
      </c>
      <c r="C2890" t="s">
        <v>340</v>
      </c>
      <c r="D2890" t="s">
        <v>524</v>
      </c>
      <c r="F2890" t="s">
        <v>2445</v>
      </c>
      <c r="G2890" t="s">
        <v>5308</v>
      </c>
      <c r="H2890" t="s">
        <v>11939</v>
      </c>
      <c r="I2890" t="s">
        <v>17302</v>
      </c>
      <c r="J2890" t="s">
        <v>18894</v>
      </c>
      <c r="K2890">
        <v>11226</v>
      </c>
      <c r="L2890" t="s">
        <v>18958</v>
      </c>
      <c r="M2890" t="s">
        <v>18958</v>
      </c>
      <c r="N2890" t="s">
        <v>21111</v>
      </c>
      <c r="O2890" t="s">
        <v>26523</v>
      </c>
      <c r="P2890" t="s">
        <v>26560</v>
      </c>
      <c r="R2890" t="s">
        <v>26578</v>
      </c>
      <c r="U2890" t="s">
        <v>26604</v>
      </c>
      <c r="W2890" t="s">
        <v>644</v>
      </c>
      <c r="X2890">
        <v>0</v>
      </c>
      <c r="Y2890" t="s">
        <v>26652</v>
      </c>
      <c r="AB2890" t="s">
        <v>29211</v>
      </c>
      <c r="AD2890" t="s">
        <v>39268</v>
      </c>
      <c r="AE2890">
        <v>61</v>
      </c>
      <c r="AH2890">
        <v>0</v>
      </c>
      <c r="AI2890">
        <v>1</v>
      </c>
      <c r="AJ2890">
        <v>0</v>
      </c>
      <c r="AK2890">
        <v>235.95</v>
      </c>
      <c r="AL2890" t="s">
        <v>415</v>
      </c>
      <c r="AM2890" t="s">
        <v>45575</v>
      </c>
      <c r="AN2890" t="s">
        <v>7439</v>
      </c>
      <c r="AO2890">
        <v>28644</v>
      </c>
      <c r="AU2890">
        <v>64.75</v>
      </c>
      <c r="AV2890" t="s">
        <v>732</v>
      </c>
      <c r="AW2890" t="s">
        <v>198</v>
      </c>
    </row>
    <row r="2891" spans="1:50">
      <c r="A2891" s="1">
        <f>HYPERLINK("https://lsnyc.legalserver.org/matter/dynamic-profile/view/1877575","18-1877575")</f>
        <v>0</v>
      </c>
      <c r="B2891" t="s">
        <v>151</v>
      </c>
      <c r="C2891" t="s">
        <v>341</v>
      </c>
      <c r="D2891" t="s">
        <v>545</v>
      </c>
      <c r="E2891" t="s">
        <v>452</v>
      </c>
      <c r="F2891" t="s">
        <v>2446</v>
      </c>
      <c r="G2891" t="s">
        <v>1876</v>
      </c>
      <c r="H2891" t="s">
        <v>11940</v>
      </c>
      <c r="I2891">
        <v>1909</v>
      </c>
      <c r="J2891" t="s">
        <v>18893</v>
      </c>
      <c r="K2891">
        <v>10023</v>
      </c>
      <c r="L2891" t="s">
        <v>18958</v>
      </c>
      <c r="M2891" t="s">
        <v>18958</v>
      </c>
      <c r="N2891" t="s">
        <v>21112</v>
      </c>
      <c r="O2891" t="s">
        <v>26524</v>
      </c>
      <c r="P2891" t="s">
        <v>26564</v>
      </c>
      <c r="Q2891" t="s">
        <v>26570</v>
      </c>
      <c r="R2891" t="s">
        <v>26582</v>
      </c>
      <c r="S2891" t="s">
        <v>18959</v>
      </c>
      <c r="U2891" t="s">
        <v>26604</v>
      </c>
      <c r="W2891" t="s">
        <v>644</v>
      </c>
      <c r="X2891">
        <v>1000</v>
      </c>
      <c r="Y2891" t="s">
        <v>26651</v>
      </c>
      <c r="Z2891" t="s">
        <v>26664</v>
      </c>
      <c r="AA2891" t="s">
        <v>26683</v>
      </c>
      <c r="AB2891" t="s">
        <v>29212</v>
      </c>
      <c r="AD2891" t="s">
        <v>39269</v>
      </c>
      <c r="AE2891">
        <v>680</v>
      </c>
      <c r="AF2891" t="s">
        <v>45548</v>
      </c>
      <c r="AH2891">
        <v>4</v>
      </c>
      <c r="AI2891">
        <v>1</v>
      </c>
      <c r="AJ2891">
        <v>0</v>
      </c>
      <c r="AK2891">
        <v>0</v>
      </c>
      <c r="AN2891" t="s">
        <v>7439</v>
      </c>
      <c r="AO2891">
        <v>0</v>
      </c>
      <c r="AU2891">
        <v>0.1</v>
      </c>
      <c r="AV2891" t="s">
        <v>452</v>
      </c>
      <c r="AW2891" t="s">
        <v>314</v>
      </c>
    </row>
    <row r="2892" spans="1:50">
      <c r="A2892" s="1">
        <f>HYPERLINK("https://lsnyc.legalserver.org/matter/dynamic-profile/view/1878687","18-1878687")</f>
        <v>0</v>
      </c>
      <c r="B2892" t="s">
        <v>243</v>
      </c>
      <c r="C2892" t="s">
        <v>340</v>
      </c>
      <c r="D2892" t="s">
        <v>451</v>
      </c>
      <c r="F2892" t="s">
        <v>964</v>
      </c>
      <c r="G2892" t="s">
        <v>5200</v>
      </c>
      <c r="H2892" t="s">
        <v>11510</v>
      </c>
      <c r="I2892" t="s">
        <v>17309</v>
      </c>
      <c r="J2892" t="s">
        <v>18894</v>
      </c>
      <c r="K2892">
        <v>11226</v>
      </c>
      <c r="L2892" t="s">
        <v>18958</v>
      </c>
      <c r="M2892" t="s">
        <v>18958</v>
      </c>
      <c r="O2892" t="s">
        <v>26526</v>
      </c>
      <c r="P2892" t="s">
        <v>26560</v>
      </c>
      <c r="R2892" t="s">
        <v>26578</v>
      </c>
      <c r="U2892" t="s">
        <v>26604</v>
      </c>
      <c r="W2892" t="s">
        <v>644</v>
      </c>
      <c r="X2892">
        <v>0</v>
      </c>
      <c r="Y2892" t="s">
        <v>26652</v>
      </c>
      <c r="AB2892" t="s">
        <v>29213</v>
      </c>
      <c r="AE2892">
        <v>48</v>
      </c>
      <c r="AF2892" t="s">
        <v>45541</v>
      </c>
      <c r="AH2892">
        <v>0</v>
      </c>
      <c r="AI2892">
        <v>3</v>
      </c>
      <c r="AJ2892">
        <v>0</v>
      </c>
      <c r="AK2892">
        <v>99.13</v>
      </c>
      <c r="AN2892" t="s">
        <v>45585</v>
      </c>
      <c r="AO2892">
        <v>20600</v>
      </c>
      <c r="AU2892">
        <v>26.6</v>
      </c>
      <c r="AV2892" t="s">
        <v>660</v>
      </c>
      <c r="AW2892" t="s">
        <v>198</v>
      </c>
    </row>
    <row r="2893" spans="1:50">
      <c r="A2893" s="1">
        <f>HYPERLINK("https://lsnyc.legalserver.org/matter/dynamic-profile/view/1879202","18-1879202")</f>
        <v>0</v>
      </c>
      <c r="B2893" t="s">
        <v>182</v>
      </c>
      <c r="C2893" t="s">
        <v>341</v>
      </c>
      <c r="D2893" t="s">
        <v>583</v>
      </c>
      <c r="E2893" t="s">
        <v>494</v>
      </c>
      <c r="F2893" t="s">
        <v>2447</v>
      </c>
      <c r="G2893" t="s">
        <v>5664</v>
      </c>
      <c r="H2893" t="s">
        <v>11941</v>
      </c>
      <c r="I2893" t="s">
        <v>17344</v>
      </c>
      <c r="J2893" t="s">
        <v>18892</v>
      </c>
      <c r="K2893">
        <v>10451</v>
      </c>
      <c r="L2893" t="s">
        <v>18958</v>
      </c>
      <c r="M2893" t="s">
        <v>18958</v>
      </c>
      <c r="N2893" t="s">
        <v>21113</v>
      </c>
      <c r="O2893" t="s">
        <v>26523</v>
      </c>
      <c r="P2893" t="s">
        <v>26564</v>
      </c>
      <c r="Q2893" t="s">
        <v>26570</v>
      </c>
      <c r="R2893" t="s">
        <v>26577</v>
      </c>
      <c r="S2893" t="s">
        <v>18959</v>
      </c>
      <c r="U2893" t="s">
        <v>26604</v>
      </c>
      <c r="V2893" t="s">
        <v>26613</v>
      </c>
      <c r="W2893" t="s">
        <v>644</v>
      </c>
      <c r="X2893">
        <v>2197</v>
      </c>
      <c r="Y2893" t="s">
        <v>26650</v>
      </c>
      <c r="Z2893" t="s">
        <v>26530</v>
      </c>
      <c r="AA2893" t="s">
        <v>26683</v>
      </c>
      <c r="AB2893" t="s">
        <v>29214</v>
      </c>
      <c r="AC2893" t="s">
        <v>35356</v>
      </c>
      <c r="AD2893" t="s">
        <v>39270</v>
      </c>
      <c r="AE2893">
        <v>10</v>
      </c>
      <c r="AF2893" t="s">
        <v>45541</v>
      </c>
      <c r="AG2893" t="s">
        <v>26530</v>
      </c>
      <c r="AH2893">
        <v>4</v>
      </c>
      <c r="AI2893">
        <v>2</v>
      </c>
      <c r="AJ2893">
        <v>4</v>
      </c>
      <c r="AK2893">
        <v>35.57</v>
      </c>
      <c r="AN2893" t="s">
        <v>7439</v>
      </c>
      <c r="AO2893">
        <v>12000</v>
      </c>
      <c r="AU2893">
        <v>11.1</v>
      </c>
      <c r="AV2893" t="s">
        <v>646</v>
      </c>
      <c r="AW2893" t="s">
        <v>46870</v>
      </c>
    </row>
    <row r="2894" spans="1:50">
      <c r="A2894" s="1">
        <f>HYPERLINK("https://lsnyc.legalserver.org/matter/dynamic-profile/view/1879125","18-1879125")</f>
        <v>0</v>
      </c>
      <c r="B2894" t="s">
        <v>117</v>
      </c>
      <c r="C2894" t="s">
        <v>340</v>
      </c>
      <c r="D2894" t="s">
        <v>583</v>
      </c>
      <c r="F2894" t="s">
        <v>1323</v>
      </c>
      <c r="G2894" t="s">
        <v>4588</v>
      </c>
      <c r="H2894" t="s">
        <v>11942</v>
      </c>
      <c r="I2894" t="s">
        <v>17334</v>
      </c>
      <c r="J2894" t="s">
        <v>18894</v>
      </c>
      <c r="K2894">
        <v>11207</v>
      </c>
      <c r="L2894" t="s">
        <v>18958</v>
      </c>
      <c r="M2894" t="s">
        <v>18958</v>
      </c>
      <c r="N2894" t="s">
        <v>21114</v>
      </c>
      <c r="O2894" t="s">
        <v>26523</v>
      </c>
      <c r="P2894" t="s">
        <v>26560</v>
      </c>
      <c r="R2894" t="s">
        <v>26578</v>
      </c>
      <c r="S2894" t="s">
        <v>18959</v>
      </c>
      <c r="U2894" t="s">
        <v>26604</v>
      </c>
      <c r="V2894" t="s">
        <v>26611</v>
      </c>
      <c r="W2894" t="s">
        <v>644</v>
      </c>
      <c r="X2894">
        <v>1277</v>
      </c>
      <c r="Y2894" t="s">
        <v>26652</v>
      </c>
      <c r="Z2894" t="s">
        <v>26659</v>
      </c>
      <c r="AB2894" t="s">
        <v>29215</v>
      </c>
      <c r="AC2894" t="s">
        <v>35357</v>
      </c>
      <c r="AD2894" t="s">
        <v>39271</v>
      </c>
      <c r="AE2894">
        <v>6</v>
      </c>
      <c r="AF2894" t="s">
        <v>45541</v>
      </c>
      <c r="AG2894" t="s">
        <v>45557</v>
      </c>
      <c r="AH2894">
        <v>23</v>
      </c>
      <c r="AI2894">
        <v>2</v>
      </c>
      <c r="AJ2894">
        <v>1</v>
      </c>
      <c r="AK2894">
        <v>119.63</v>
      </c>
      <c r="AN2894" t="s">
        <v>7439</v>
      </c>
      <c r="AO2894">
        <v>24860</v>
      </c>
      <c r="AU2894">
        <v>50.6</v>
      </c>
      <c r="AV2894" t="s">
        <v>810</v>
      </c>
      <c r="AW2894" t="s">
        <v>279</v>
      </c>
    </row>
    <row r="2895" spans="1:50">
      <c r="A2895" s="1">
        <f>HYPERLINK("https://lsnyc.legalserver.org/matter/dynamic-profile/view/1879223","18-1879223")</f>
        <v>0</v>
      </c>
      <c r="B2895" t="s">
        <v>243</v>
      </c>
      <c r="C2895" t="s">
        <v>340</v>
      </c>
      <c r="D2895" t="s">
        <v>583</v>
      </c>
      <c r="F2895" t="s">
        <v>1235</v>
      </c>
      <c r="G2895" t="s">
        <v>5008</v>
      </c>
      <c r="H2895" t="s">
        <v>11943</v>
      </c>
      <c r="I2895" t="s">
        <v>17322</v>
      </c>
      <c r="J2895" t="s">
        <v>18894</v>
      </c>
      <c r="K2895">
        <v>11226</v>
      </c>
      <c r="L2895" t="s">
        <v>18958</v>
      </c>
      <c r="M2895" t="s">
        <v>18958</v>
      </c>
      <c r="O2895" t="s">
        <v>26523</v>
      </c>
      <c r="P2895" t="s">
        <v>26560</v>
      </c>
      <c r="R2895" t="s">
        <v>26578</v>
      </c>
      <c r="U2895" t="s">
        <v>26604</v>
      </c>
      <c r="W2895" t="s">
        <v>644</v>
      </c>
      <c r="X2895">
        <v>0</v>
      </c>
      <c r="Y2895" t="s">
        <v>26652</v>
      </c>
      <c r="AB2895" t="s">
        <v>29216</v>
      </c>
      <c r="AD2895" t="s">
        <v>39272</v>
      </c>
      <c r="AE2895">
        <v>0</v>
      </c>
      <c r="AH2895">
        <v>0</v>
      </c>
      <c r="AI2895">
        <v>4</v>
      </c>
      <c r="AJ2895">
        <v>1</v>
      </c>
      <c r="AK2895">
        <v>198.25</v>
      </c>
      <c r="AN2895" t="s">
        <v>7439</v>
      </c>
      <c r="AO2895">
        <v>58324</v>
      </c>
      <c r="AU2895">
        <v>81.55</v>
      </c>
      <c r="AV2895" t="s">
        <v>772</v>
      </c>
      <c r="AW2895" t="s">
        <v>198</v>
      </c>
    </row>
    <row r="2896" spans="1:50">
      <c r="A2896" s="1">
        <f>HYPERLINK("https://lsnyc.legalserver.org/matter/dynamic-profile/view/1879318","18-1879318")</f>
        <v>0</v>
      </c>
      <c r="B2896" t="s">
        <v>235</v>
      </c>
      <c r="C2896" t="s">
        <v>341</v>
      </c>
      <c r="D2896" t="s">
        <v>575</v>
      </c>
      <c r="E2896" t="s">
        <v>519</v>
      </c>
      <c r="F2896" t="s">
        <v>940</v>
      </c>
      <c r="G2896" t="s">
        <v>2564</v>
      </c>
      <c r="H2896" t="s">
        <v>11944</v>
      </c>
      <c r="I2896">
        <v>3</v>
      </c>
      <c r="J2896" t="s">
        <v>18923</v>
      </c>
      <c r="K2896">
        <v>11418</v>
      </c>
      <c r="L2896" t="s">
        <v>18958</v>
      </c>
      <c r="M2896" t="s">
        <v>18958</v>
      </c>
      <c r="N2896" t="s">
        <v>21115</v>
      </c>
      <c r="O2896" t="s">
        <v>26524</v>
      </c>
      <c r="P2896" t="s">
        <v>26560</v>
      </c>
      <c r="Q2896" t="s">
        <v>26568</v>
      </c>
      <c r="R2896" t="s">
        <v>26584</v>
      </c>
      <c r="S2896" t="s">
        <v>18959</v>
      </c>
      <c r="U2896" t="s">
        <v>26604</v>
      </c>
      <c r="V2896" t="s">
        <v>26610</v>
      </c>
      <c r="W2896" t="s">
        <v>644</v>
      </c>
      <c r="X2896">
        <v>1150</v>
      </c>
      <c r="Y2896" t="s">
        <v>26653</v>
      </c>
      <c r="Z2896" t="s">
        <v>26664</v>
      </c>
      <c r="AA2896" t="s">
        <v>26678</v>
      </c>
      <c r="AB2896" t="s">
        <v>29217</v>
      </c>
      <c r="AD2896" t="s">
        <v>39273</v>
      </c>
      <c r="AE2896">
        <v>3</v>
      </c>
      <c r="AF2896" t="s">
        <v>45547</v>
      </c>
      <c r="AG2896" t="s">
        <v>45556</v>
      </c>
      <c r="AH2896">
        <v>10</v>
      </c>
      <c r="AI2896">
        <v>2</v>
      </c>
      <c r="AJ2896">
        <v>0</v>
      </c>
      <c r="AK2896">
        <v>157.96</v>
      </c>
      <c r="AN2896" t="s">
        <v>45581</v>
      </c>
      <c r="AO2896">
        <v>26000</v>
      </c>
      <c r="AQ2896" t="s">
        <v>46359</v>
      </c>
      <c r="AR2896" t="s">
        <v>46379</v>
      </c>
      <c r="AS2896" t="s">
        <v>46500</v>
      </c>
      <c r="AT2896" t="s">
        <v>46640</v>
      </c>
      <c r="AU2896">
        <v>27.4</v>
      </c>
      <c r="AV2896" t="s">
        <v>525</v>
      </c>
      <c r="AW2896" t="s">
        <v>208</v>
      </c>
    </row>
    <row r="2897" spans="1:50">
      <c r="A2897" s="1">
        <f>HYPERLINK("https://lsnyc.legalserver.org/matter/dynamic-profile/view/1879584","18-1879584")</f>
        <v>0</v>
      </c>
      <c r="B2897" t="s">
        <v>73</v>
      </c>
      <c r="C2897" t="s">
        <v>341</v>
      </c>
      <c r="D2897" t="s">
        <v>529</v>
      </c>
      <c r="E2897" t="s">
        <v>827</v>
      </c>
      <c r="F2897" t="s">
        <v>897</v>
      </c>
      <c r="G2897" t="s">
        <v>1725</v>
      </c>
      <c r="H2897" t="s">
        <v>9665</v>
      </c>
      <c r="I2897" t="s">
        <v>17291</v>
      </c>
      <c r="J2897" t="s">
        <v>18894</v>
      </c>
      <c r="K2897">
        <v>11237</v>
      </c>
      <c r="L2897" t="s">
        <v>18958</v>
      </c>
      <c r="M2897" t="s">
        <v>18958</v>
      </c>
      <c r="O2897" t="s">
        <v>26531</v>
      </c>
      <c r="P2897" t="s">
        <v>26562</v>
      </c>
      <c r="Q2897" t="s">
        <v>26569</v>
      </c>
      <c r="R2897" t="s">
        <v>26578</v>
      </c>
      <c r="S2897" t="s">
        <v>18958</v>
      </c>
      <c r="U2897" t="s">
        <v>26604</v>
      </c>
      <c r="W2897" t="s">
        <v>644</v>
      </c>
      <c r="X2897">
        <v>972</v>
      </c>
      <c r="Y2897" t="s">
        <v>26652</v>
      </c>
      <c r="Z2897" t="s">
        <v>26659</v>
      </c>
      <c r="AA2897" t="s">
        <v>26682</v>
      </c>
      <c r="AB2897" t="s">
        <v>26725</v>
      </c>
      <c r="AE2897">
        <v>6</v>
      </c>
      <c r="AF2897" t="s">
        <v>45541</v>
      </c>
      <c r="AG2897" t="s">
        <v>19330</v>
      </c>
      <c r="AH2897">
        <v>19</v>
      </c>
      <c r="AI2897">
        <v>3</v>
      </c>
      <c r="AJ2897">
        <v>0</v>
      </c>
      <c r="AK2897">
        <v>81.81</v>
      </c>
      <c r="AN2897" t="s">
        <v>45581</v>
      </c>
      <c r="AO2897">
        <v>17000</v>
      </c>
      <c r="AU2897">
        <v>0.1</v>
      </c>
      <c r="AV2897" t="s">
        <v>737</v>
      </c>
      <c r="AW2897" t="s">
        <v>279</v>
      </c>
      <c r="AX2897" t="s">
        <v>46897</v>
      </c>
    </row>
    <row r="2898" spans="1:50">
      <c r="A2898" s="1">
        <f>HYPERLINK("https://lsnyc.legalserver.org/matter/dynamic-profile/view/1879590","18-1879590")</f>
        <v>0</v>
      </c>
      <c r="B2898" t="s">
        <v>73</v>
      </c>
      <c r="C2898" t="s">
        <v>341</v>
      </c>
      <c r="D2898" t="s">
        <v>529</v>
      </c>
      <c r="E2898" t="s">
        <v>827</v>
      </c>
      <c r="F2898" t="s">
        <v>912</v>
      </c>
      <c r="G2898" t="s">
        <v>5108</v>
      </c>
      <c r="H2898" t="s">
        <v>9665</v>
      </c>
      <c r="J2898" t="s">
        <v>18894</v>
      </c>
      <c r="K2898">
        <v>11237</v>
      </c>
      <c r="L2898" t="s">
        <v>18958</v>
      </c>
      <c r="M2898" t="s">
        <v>18958</v>
      </c>
      <c r="O2898" t="s">
        <v>18997</v>
      </c>
      <c r="P2898" t="s">
        <v>26562</v>
      </c>
      <c r="Q2898" t="s">
        <v>26569</v>
      </c>
      <c r="R2898" t="s">
        <v>26578</v>
      </c>
      <c r="S2898" t="s">
        <v>18958</v>
      </c>
      <c r="U2898" t="s">
        <v>26604</v>
      </c>
      <c r="W2898" t="s">
        <v>644</v>
      </c>
      <c r="X2898">
        <v>1100</v>
      </c>
      <c r="Y2898" t="s">
        <v>26652</v>
      </c>
      <c r="AA2898" t="s">
        <v>26682</v>
      </c>
      <c r="AB2898" t="s">
        <v>26744</v>
      </c>
      <c r="AC2898" t="s">
        <v>34490</v>
      </c>
      <c r="AE2898">
        <v>6</v>
      </c>
      <c r="AF2898" t="s">
        <v>45541</v>
      </c>
      <c r="AG2898" t="s">
        <v>19330</v>
      </c>
      <c r="AH2898">
        <v>9</v>
      </c>
      <c r="AI2898">
        <v>2</v>
      </c>
      <c r="AJ2898">
        <v>2</v>
      </c>
      <c r="AK2898">
        <v>179.28</v>
      </c>
      <c r="AN2898" t="s">
        <v>45581</v>
      </c>
      <c r="AO2898">
        <v>45000</v>
      </c>
      <c r="AU2898">
        <v>0.1</v>
      </c>
      <c r="AV2898" t="s">
        <v>737</v>
      </c>
      <c r="AW2898" t="s">
        <v>279</v>
      </c>
      <c r="AX2898" t="s">
        <v>46897</v>
      </c>
    </row>
    <row r="2899" spans="1:50">
      <c r="A2899" s="1">
        <f>HYPERLINK("https://lsnyc.legalserver.org/matter/dynamic-profile/view/1879641","18-1879641")</f>
        <v>0</v>
      </c>
      <c r="B2899" t="s">
        <v>56</v>
      </c>
      <c r="C2899" t="s">
        <v>340</v>
      </c>
      <c r="D2899" t="s">
        <v>411</v>
      </c>
      <c r="F2899" t="s">
        <v>1652</v>
      </c>
      <c r="G2899" t="s">
        <v>6668</v>
      </c>
      <c r="H2899" t="s">
        <v>11945</v>
      </c>
      <c r="I2899" t="s">
        <v>17380</v>
      </c>
      <c r="J2899" t="s">
        <v>18892</v>
      </c>
      <c r="K2899">
        <v>10460</v>
      </c>
      <c r="L2899" t="s">
        <v>18958</v>
      </c>
      <c r="M2899" t="s">
        <v>18958</v>
      </c>
      <c r="N2899" t="s">
        <v>21116</v>
      </c>
      <c r="O2899" t="s">
        <v>26523</v>
      </c>
      <c r="P2899" t="s">
        <v>26560</v>
      </c>
      <c r="R2899" t="s">
        <v>26577</v>
      </c>
      <c r="U2899" t="s">
        <v>26604</v>
      </c>
      <c r="V2899" t="s">
        <v>26610</v>
      </c>
      <c r="W2899" t="s">
        <v>644</v>
      </c>
      <c r="X2899">
        <v>1575</v>
      </c>
      <c r="Y2899" t="s">
        <v>26650</v>
      </c>
      <c r="Z2899" t="s">
        <v>26659</v>
      </c>
      <c r="AB2899" t="s">
        <v>29218</v>
      </c>
      <c r="AD2899" t="s">
        <v>39274</v>
      </c>
      <c r="AE2899">
        <v>0</v>
      </c>
      <c r="AF2899" t="s">
        <v>45541</v>
      </c>
      <c r="AG2899" t="s">
        <v>45556</v>
      </c>
      <c r="AH2899">
        <v>11</v>
      </c>
      <c r="AI2899">
        <v>3</v>
      </c>
      <c r="AJ2899">
        <v>0</v>
      </c>
      <c r="AK2899">
        <v>190.74</v>
      </c>
      <c r="AO2899">
        <v>39636</v>
      </c>
      <c r="AU2899">
        <v>10</v>
      </c>
      <c r="AV2899" t="s">
        <v>791</v>
      </c>
      <c r="AW2899" t="s">
        <v>46836</v>
      </c>
    </row>
    <row r="2900" spans="1:50">
      <c r="A2900" s="1">
        <f>HYPERLINK("https://lsnyc.legalserver.org/matter/dynamic-profile/view/1879625","18-1879625")</f>
        <v>0</v>
      </c>
      <c r="B2900" t="s">
        <v>78</v>
      </c>
      <c r="C2900" t="s">
        <v>340</v>
      </c>
      <c r="D2900" t="s">
        <v>411</v>
      </c>
      <c r="F2900" t="s">
        <v>945</v>
      </c>
      <c r="G2900" t="s">
        <v>5136</v>
      </c>
      <c r="H2900" t="s">
        <v>9717</v>
      </c>
      <c r="I2900" t="s">
        <v>17330</v>
      </c>
      <c r="J2900" t="s">
        <v>18894</v>
      </c>
      <c r="K2900">
        <v>11207</v>
      </c>
      <c r="L2900" t="s">
        <v>18959</v>
      </c>
      <c r="M2900" t="s">
        <v>18959</v>
      </c>
      <c r="O2900" t="s">
        <v>26551</v>
      </c>
      <c r="P2900" t="s">
        <v>26560</v>
      </c>
      <c r="R2900" t="s">
        <v>26578</v>
      </c>
      <c r="U2900" t="s">
        <v>26604</v>
      </c>
      <c r="V2900" t="s">
        <v>26610</v>
      </c>
      <c r="W2900" t="s">
        <v>644</v>
      </c>
      <c r="X2900">
        <v>1000</v>
      </c>
      <c r="Y2900" t="s">
        <v>26652</v>
      </c>
      <c r="Z2900" t="s">
        <v>26659</v>
      </c>
      <c r="AB2900" t="s">
        <v>26781</v>
      </c>
      <c r="AC2900" t="s">
        <v>34508</v>
      </c>
      <c r="AD2900" t="s">
        <v>36890</v>
      </c>
      <c r="AE2900">
        <v>6</v>
      </c>
      <c r="AF2900" t="s">
        <v>45541</v>
      </c>
      <c r="AG2900" t="s">
        <v>19330</v>
      </c>
      <c r="AH2900">
        <v>4</v>
      </c>
      <c r="AI2900">
        <v>1</v>
      </c>
      <c r="AJ2900">
        <v>3</v>
      </c>
      <c r="AK2900">
        <v>82.87</v>
      </c>
      <c r="AN2900" t="s">
        <v>7439</v>
      </c>
      <c r="AO2900">
        <v>20800</v>
      </c>
      <c r="AU2900">
        <v>0</v>
      </c>
      <c r="AW2900" t="s">
        <v>279</v>
      </c>
    </row>
    <row r="2901" spans="1:50">
      <c r="A2901" s="1">
        <f>HYPERLINK("https://lsnyc.legalserver.org/matter/dynamic-profile/view/1879623","18-1879623")</f>
        <v>0</v>
      </c>
      <c r="B2901" t="s">
        <v>78</v>
      </c>
      <c r="C2901" t="s">
        <v>340</v>
      </c>
      <c r="D2901" t="s">
        <v>411</v>
      </c>
      <c r="F2901" t="s">
        <v>945</v>
      </c>
      <c r="G2901" t="s">
        <v>5136</v>
      </c>
      <c r="H2901" t="s">
        <v>9717</v>
      </c>
      <c r="I2901" t="s">
        <v>17330</v>
      </c>
      <c r="J2901" t="s">
        <v>18894</v>
      </c>
      <c r="K2901">
        <v>11207</v>
      </c>
      <c r="L2901" t="s">
        <v>18959</v>
      </c>
      <c r="M2901" t="s">
        <v>18959</v>
      </c>
      <c r="N2901" t="s">
        <v>18997</v>
      </c>
      <c r="O2901" t="s">
        <v>26534</v>
      </c>
      <c r="P2901" t="s">
        <v>26561</v>
      </c>
      <c r="R2901" t="s">
        <v>26578</v>
      </c>
      <c r="S2901" t="s">
        <v>18958</v>
      </c>
      <c r="U2901" t="s">
        <v>26604</v>
      </c>
      <c r="V2901" t="s">
        <v>26610</v>
      </c>
      <c r="W2901" t="s">
        <v>644</v>
      </c>
      <c r="X2901">
        <v>1000</v>
      </c>
      <c r="Y2901" t="s">
        <v>26652</v>
      </c>
      <c r="Z2901" t="s">
        <v>26659</v>
      </c>
      <c r="AB2901" t="s">
        <v>26781</v>
      </c>
      <c r="AC2901" t="s">
        <v>34508</v>
      </c>
      <c r="AD2901" t="s">
        <v>36890</v>
      </c>
      <c r="AE2901">
        <v>6</v>
      </c>
      <c r="AF2901" t="s">
        <v>45541</v>
      </c>
      <c r="AG2901" t="s">
        <v>19330</v>
      </c>
      <c r="AH2901">
        <v>4</v>
      </c>
      <c r="AI2901">
        <v>1</v>
      </c>
      <c r="AJ2901">
        <v>3</v>
      </c>
      <c r="AK2901">
        <v>82.87</v>
      </c>
      <c r="AN2901" t="s">
        <v>7439</v>
      </c>
      <c r="AO2901">
        <v>20800</v>
      </c>
      <c r="AU2901">
        <v>0.5</v>
      </c>
      <c r="AV2901" t="s">
        <v>670</v>
      </c>
      <c r="AW2901" t="s">
        <v>279</v>
      </c>
    </row>
    <row r="2902" spans="1:50">
      <c r="A2902" s="1">
        <f>HYPERLINK("https://lsnyc.legalserver.org/matter/dynamic-profile/view/1879613","18-1879613")</f>
        <v>0</v>
      </c>
      <c r="B2902" t="s">
        <v>78</v>
      </c>
      <c r="C2902" t="s">
        <v>340</v>
      </c>
      <c r="D2902" t="s">
        <v>411</v>
      </c>
      <c r="F2902" t="s">
        <v>945</v>
      </c>
      <c r="G2902" t="s">
        <v>5136</v>
      </c>
      <c r="H2902" t="s">
        <v>9717</v>
      </c>
      <c r="I2902" t="s">
        <v>17330</v>
      </c>
      <c r="J2902" t="s">
        <v>18894</v>
      </c>
      <c r="K2902">
        <v>11207</v>
      </c>
      <c r="L2902" t="s">
        <v>18959</v>
      </c>
      <c r="M2902" t="s">
        <v>18959</v>
      </c>
      <c r="O2902" t="s">
        <v>18997</v>
      </c>
      <c r="P2902" t="s">
        <v>26565</v>
      </c>
      <c r="R2902" t="s">
        <v>26578</v>
      </c>
      <c r="S2902" t="s">
        <v>18958</v>
      </c>
      <c r="U2902" t="s">
        <v>26604</v>
      </c>
      <c r="V2902" t="s">
        <v>26610</v>
      </c>
      <c r="W2902" t="s">
        <v>644</v>
      </c>
      <c r="X2902">
        <v>1000</v>
      </c>
      <c r="Y2902" t="s">
        <v>26652</v>
      </c>
      <c r="Z2902" t="s">
        <v>26659</v>
      </c>
      <c r="AB2902" t="s">
        <v>26781</v>
      </c>
      <c r="AD2902" t="s">
        <v>36890</v>
      </c>
      <c r="AE2902">
        <v>6</v>
      </c>
      <c r="AF2902" t="s">
        <v>45541</v>
      </c>
      <c r="AG2902" t="s">
        <v>19330</v>
      </c>
      <c r="AH2902">
        <v>4</v>
      </c>
      <c r="AI2902">
        <v>1</v>
      </c>
      <c r="AJ2902">
        <v>3</v>
      </c>
      <c r="AK2902">
        <v>82.87</v>
      </c>
      <c r="AN2902" t="s">
        <v>7439</v>
      </c>
      <c r="AO2902">
        <v>20800</v>
      </c>
      <c r="AU2902">
        <v>0</v>
      </c>
      <c r="AW2902" t="s">
        <v>279</v>
      </c>
    </row>
    <row r="2903" spans="1:50">
      <c r="A2903" s="1">
        <f>HYPERLINK("https://lsnyc.legalserver.org/matter/dynamic-profile/view/1879671","18-1879671")</f>
        <v>0</v>
      </c>
      <c r="B2903" t="s">
        <v>78</v>
      </c>
      <c r="C2903" t="s">
        <v>340</v>
      </c>
      <c r="D2903" t="s">
        <v>411</v>
      </c>
      <c r="F2903" t="s">
        <v>919</v>
      </c>
      <c r="G2903" t="s">
        <v>5137</v>
      </c>
      <c r="H2903" t="s">
        <v>9717</v>
      </c>
      <c r="I2903" t="s">
        <v>17331</v>
      </c>
      <c r="J2903" t="s">
        <v>18894</v>
      </c>
      <c r="K2903">
        <v>11207</v>
      </c>
      <c r="L2903" t="s">
        <v>18959</v>
      </c>
      <c r="M2903" t="s">
        <v>18959</v>
      </c>
      <c r="O2903" t="s">
        <v>26551</v>
      </c>
      <c r="P2903" t="s">
        <v>26560</v>
      </c>
      <c r="R2903" t="s">
        <v>26578</v>
      </c>
      <c r="S2903" t="s">
        <v>18958</v>
      </c>
      <c r="U2903" t="s">
        <v>26604</v>
      </c>
      <c r="V2903" t="s">
        <v>26610</v>
      </c>
      <c r="W2903" t="s">
        <v>644</v>
      </c>
      <c r="X2903">
        <v>1000</v>
      </c>
      <c r="Y2903" t="s">
        <v>26652</v>
      </c>
      <c r="Z2903" t="s">
        <v>26659</v>
      </c>
      <c r="AB2903" t="s">
        <v>26782</v>
      </c>
      <c r="AC2903" t="s">
        <v>19330</v>
      </c>
      <c r="AE2903">
        <v>6</v>
      </c>
      <c r="AF2903" t="s">
        <v>45541</v>
      </c>
      <c r="AG2903" t="s">
        <v>19330</v>
      </c>
      <c r="AH2903">
        <v>3</v>
      </c>
      <c r="AI2903">
        <v>1</v>
      </c>
      <c r="AJ2903">
        <v>0</v>
      </c>
      <c r="AK2903">
        <v>494.23</v>
      </c>
      <c r="AN2903" t="s">
        <v>7439</v>
      </c>
      <c r="AO2903">
        <v>60000</v>
      </c>
      <c r="AU2903">
        <v>0</v>
      </c>
      <c r="AW2903" t="s">
        <v>279</v>
      </c>
    </row>
    <row r="2904" spans="1:50">
      <c r="A2904" s="1">
        <f>HYPERLINK("https://lsnyc.legalserver.org/matter/dynamic-profile/view/1879667","18-1879667")</f>
        <v>0</v>
      </c>
      <c r="B2904" t="s">
        <v>78</v>
      </c>
      <c r="C2904" t="s">
        <v>340</v>
      </c>
      <c r="D2904" t="s">
        <v>411</v>
      </c>
      <c r="F2904" t="s">
        <v>919</v>
      </c>
      <c r="G2904" t="s">
        <v>5137</v>
      </c>
      <c r="H2904" t="s">
        <v>9717</v>
      </c>
      <c r="I2904" t="s">
        <v>17331</v>
      </c>
      <c r="J2904" t="s">
        <v>18894</v>
      </c>
      <c r="K2904">
        <v>11207</v>
      </c>
      <c r="L2904" t="s">
        <v>18959</v>
      </c>
      <c r="M2904" t="s">
        <v>18959</v>
      </c>
      <c r="O2904" t="s">
        <v>26534</v>
      </c>
      <c r="P2904" t="s">
        <v>26561</v>
      </c>
      <c r="R2904" t="s">
        <v>26578</v>
      </c>
      <c r="S2904" t="s">
        <v>18958</v>
      </c>
      <c r="U2904" t="s">
        <v>26604</v>
      </c>
      <c r="V2904" t="s">
        <v>26610</v>
      </c>
      <c r="W2904" t="s">
        <v>644</v>
      </c>
      <c r="X2904">
        <v>1000</v>
      </c>
      <c r="Y2904" t="s">
        <v>26652</v>
      </c>
      <c r="Z2904" t="s">
        <v>26659</v>
      </c>
      <c r="AB2904" t="s">
        <v>26782</v>
      </c>
      <c r="AC2904" t="s">
        <v>19330</v>
      </c>
      <c r="AE2904">
        <v>6</v>
      </c>
      <c r="AF2904" t="s">
        <v>45541</v>
      </c>
      <c r="AG2904" t="s">
        <v>19330</v>
      </c>
      <c r="AH2904">
        <v>3</v>
      </c>
      <c r="AI2904">
        <v>1</v>
      </c>
      <c r="AJ2904">
        <v>0</v>
      </c>
      <c r="AK2904">
        <v>494.23</v>
      </c>
      <c r="AN2904" t="s">
        <v>7439</v>
      </c>
      <c r="AO2904">
        <v>60000</v>
      </c>
      <c r="AU2904">
        <v>0</v>
      </c>
      <c r="AW2904" t="s">
        <v>279</v>
      </c>
    </row>
    <row r="2905" spans="1:50">
      <c r="A2905" s="1">
        <f>HYPERLINK("https://lsnyc.legalserver.org/matter/dynamic-profile/view/1879657","18-1879657")</f>
        <v>0</v>
      </c>
      <c r="B2905" t="s">
        <v>78</v>
      </c>
      <c r="C2905" t="s">
        <v>340</v>
      </c>
      <c r="D2905" t="s">
        <v>411</v>
      </c>
      <c r="F2905" t="s">
        <v>919</v>
      </c>
      <c r="G2905" t="s">
        <v>5137</v>
      </c>
      <c r="H2905" t="s">
        <v>9717</v>
      </c>
      <c r="I2905" t="s">
        <v>17331</v>
      </c>
      <c r="J2905" t="s">
        <v>18894</v>
      </c>
      <c r="K2905">
        <v>11207</v>
      </c>
      <c r="L2905" t="s">
        <v>18959</v>
      </c>
      <c r="M2905" t="s">
        <v>18959</v>
      </c>
      <c r="O2905" t="s">
        <v>18997</v>
      </c>
      <c r="P2905" t="s">
        <v>26565</v>
      </c>
      <c r="R2905" t="s">
        <v>26578</v>
      </c>
      <c r="S2905" t="s">
        <v>18958</v>
      </c>
      <c r="U2905" t="s">
        <v>26604</v>
      </c>
      <c r="V2905" t="s">
        <v>26610</v>
      </c>
      <c r="W2905" t="s">
        <v>644</v>
      </c>
      <c r="X2905">
        <v>1000</v>
      </c>
      <c r="Y2905" t="s">
        <v>26652</v>
      </c>
      <c r="Z2905" t="s">
        <v>26659</v>
      </c>
      <c r="AB2905" t="s">
        <v>26782</v>
      </c>
      <c r="AE2905">
        <v>6</v>
      </c>
      <c r="AF2905" t="s">
        <v>45541</v>
      </c>
      <c r="AG2905" t="s">
        <v>19330</v>
      </c>
      <c r="AH2905">
        <v>3</v>
      </c>
      <c r="AI2905">
        <v>1</v>
      </c>
      <c r="AJ2905">
        <v>0</v>
      </c>
      <c r="AK2905">
        <v>494.23</v>
      </c>
      <c r="AN2905" t="s">
        <v>7439</v>
      </c>
      <c r="AO2905">
        <v>60000</v>
      </c>
      <c r="AU2905">
        <v>0</v>
      </c>
      <c r="AW2905" t="s">
        <v>279</v>
      </c>
    </row>
    <row r="2906" spans="1:50">
      <c r="A2906" s="1">
        <f>HYPERLINK("https://lsnyc.legalserver.org/matter/dynamic-profile/view/1879910","18-1879910")</f>
        <v>0</v>
      </c>
      <c r="B2906" t="s">
        <v>92</v>
      </c>
      <c r="C2906" t="s">
        <v>341</v>
      </c>
      <c r="D2906" t="s">
        <v>412</v>
      </c>
      <c r="E2906" t="s">
        <v>670</v>
      </c>
      <c r="F2906" t="s">
        <v>946</v>
      </c>
      <c r="G2906" t="s">
        <v>1146</v>
      </c>
      <c r="H2906" t="s">
        <v>9717</v>
      </c>
      <c r="I2906" t="s">
        <v>17332</v>
      </c>
      <c r="J2906" t="s">
        <v>18894</v>
      </c>
      <c r="K2906">
        <v>11207</v>
      </c>
      <c r="L2906" t="s">
        <v>18958</v>
      </c>
      <c r="M2906" t="s">
        <v>18958</v>
      </c>
      <c r="O2906" t="s">
        <v>26534</v>
      </c>
      <c r="P2906" t="s">
        <v>26564</v>
      </c>
      <c r="Q2906" t="s">
        <v>26570</v>
      </c>
      <c r="R2906" t="s">
        <v>26578</v>
      </c>
      <c r="S2906" t="s">
        <v>18958</v>
      </c>
      <c r="U2906" t="s">
        <v>26604</v>
      </c>
      <c r="V2906" t="s">
        <v>26610</v>
      </c>
      <c r="W2906" t="s">
        <v>644</v>
      </c>
      <c r="X2906">
        <v>1250</v>
      </c>
      <c r="Y2906" t="s">
        <v>26652</v>
      </c>
      <c r="Z2906" t="s">
        <v>26667</v>
      </c>
      <c r="AA2906" t="s">
        <v>26683</v>
      </c>
      <c r="AB2906" t="s">
        <v>26783</v>
      </c>
      <c r="AC2906" t="s">
        <v>34508</v>
      </c>
      <c r="AD2906" t="s">
        <v>36891</v>
      </c>
      <c r="AE2906">
        <v>6</v>
      </c>
      <c r="AF2906" t="s">
        <v>45541</v>
      </c>
      <c r="AG2906" t="s">
        <v>45561</v>
      </c>
      <c r="AH2906">
        <v>7</v>
      </c>
      <c r="AI2906">
        <v>1</v>
      </c>
      <c r="AJ2906">
        <v>1</v>
      </c>
      <c r="AK2906">
        <v>45.52</v>
      </c>
      <c r="AN2906" t="s">
        <v>7439</v>
      </c>
      <c r="AO2906">
        <v>7492</v>
      </c>
      <c r="AP2906" t="s">
        <v>45628</v>
      </c>
      <c r="AU2906">
        <v>0.25</v>
      </c>
      <c r="AV2906" t="s">
        <v>670</v>
      </c>
      <c r="AW2906" t="s">
        <v>279</v>
      </c>
    </row>
    <row r="2907" spans="1:50">
      <c r="A2907" s="1">
        <f>HYPERLINK("https://lsnyc.legalserver.org/matter/dynamic-profile/view/1879912","18-1879912")</f>
        <v>0</v>
      </c>
      <c r="B2907" t="s">
        <v>78</v>
      </c>
      <c r="C2907" t="s">
        <v>340</v>
      </c>
      <c r="D2907" t="s">
        <v>412</v>
      </c>
      <c r="F2907" t="s">
        <v>946</v>
      </c>
      <c r="G2907" t="s">
        <v>1146</v>
      </c>
      <c r="H2907" t="s">
        <v>9717</v>
      </c>
      <c r="I2907" t="s">
        <v>17332</v>
      </c>
      <c r="J2907" t="s">
        <v>18894</v>
      </c>
      <c r="K2907">
        <v>11207</v>
      </c>
      <c r="L2907" t="s">
        <v>18958</v>
      </c>
      <c r="M2907" t="s">
        <v>18958</v>
      </c>
      <c r="O2907" t="s">
        <v>26551</v>
      </c>
      <c r="P2907" t="s">
        <v>26560</v>
      </c>
      <c r="R2907" t="s">
        <v>26578</v>
      </c>
      <c r="S2907" t="s">
        <v>18958</v>
      </c>
      <c r="U2907" t="s">
        <v>26604</v>
      </c>
      <c r="V2907" t="s">
        <v>26610</v>
      </c>
      <c r="W2907" t="s">
        <v>644</v>
      </c>
      <c r="X2907">
        <v>1250</v>
      </c>
      <c r="Y2907" t="s">
        <v>26652</v>
      </c>
      <c r="Z2907" t="s">
        <v>26667</v>
      </c>
      <c r="AB2907" t="s">
        <v>26783</v>
      </c>
      <c r="AC2907" t="s">
        <v>34508</v>
      </c>
      <c r="AD2907" t="s">
        <v>36891</v>
      </c>
      <c r="AE2907">
        <v>6</v>
      </c>
      <c r="AF2907" t="s">
        <v>45541</v>
      </c>
      <c r="AG2907" t="s">
        <v>45561</v>
      </c>
      <c r="AH2907">
        <v>7</v>
      </c>
      <c r="AI2907">
        <v>1</v>
      </c>
      <c r="AJ2907">
        <v>1</v>
      </c>
      <c r="AK2907">
        <v>45.52</v>
      </c>
      <c r="AN2907" t="s">
        <v>7439</v>
      </c>
      <c r="AO2907">
        <v>7492</v>
      </c>
      <c r="AP2907" t="s">
        <v>45628</v>
      </c>
      <c r="AU2907">
        <v>0.25</v>
      </c>
      <c r="AV2907" t="s">
        <v>670</v>
      </c>
      <c r="AW2907" t="s">
        <v>279</v>
      </c>
    </row>
    <row r="2908" spans="1:50">
      <c r="A2908" s="1">
        <f>HYPERLINK("https://lsnyc.legalserver.org/matter/dynamic-profile/view/1879893","18-1879893")</f>
        <v>0</v>
      </c>
      <c r="B2908" t="s">
        <v>78</v>
      </c>
      <c r="C2908" t="s">
        <v>340</v>
      </c>
      <c r="D2908" t="s">
        <v>412</v>
      </c>
      <c r="F2908" t="s">
        <v>946</v>
      </c>
      <c r="G2908" t="s">
        <v>1146</v>
      </c>
      <c r="H2908" t="s">
        <v>9717</v>
      </c>
      <c r="I2908" t="s">
        <v>17332</v>
      </c>
      <c r="J2908" t="s">
        <v>18894</v>
      </c>
      <c r="K2908">
        <v>11207</v>
      </c>
      <c r="L2908" t="s">
        <v>18958</v>
      </c>
      <c r="M2908" t="s">
        <v>18958</v>
      </c>
      <c r="N2908" t="s">
        <v>18997</v>
      </c>
      <c r="O2908" t="s">
        <v>18997</v>
      </c>
      <c r="P2908" t="s">
        <v>26565</v>
      </c>
      <c r="R2908" t="s">
        <v>26578</v>
      </c>
      <c r="S2908" t="s">
        <v>18958</v>
      </c>
      <c r="U2908" t="s">
        <v>26604</v>
      </c>
      <c r="V2908" t="s">
        <v>26610</v>
      </c>
      <c r="W2908" t="s">
        <v>644</v>
      </c>
      <c r="X2908">
        <v>1250</v>
      </c>
      <c r="Y2908" t="s">
        <v>26652</v>
      </c>
      <c r="Z2908" t="s">
        <v>26667</v>
      </c>
      <c r="AB2908" t="s">
        <v>26783</v>
      </c>
      <c r="AC2908" t="s">
        <v>34508</v>
      </c>
      <c r="AD2908" t="s">
        <v>36891</v>
      </c>
      <c r="AE2908">
        <v>6</v>
      </c>
      <c r="AF2908" t="s">
        <v>45541</v>
      </c>
      <c r="AG2908" t="s">
        <v>45561</v>
      </c>
      <c r="AH2908">
        <v>7</v>
      </c>
      <c r="AI2908">
        <v>1</v>
      </c>
      <c r="AJ2908">
        <v>1</v>
      </c>
      <c r="AK2908">
        <v>45.52</v>
      </c>
      <c r="AN2908" t="s">
        <v>7439</v>
      </c>
      <c r="AO2908">
        <v>7492</v>
      </c>
      <c r="AP2908" t="s">
        <v>45628</v>
      </c>
      <c r="AU2908">
        <v>0.18</v>
      </c>
      <c r="AV2908" t="s">
        <v>670</v>
      </c>
      <c r="AW2908" t="s">
        <v>279</v>
      </c>
    </row>
    <row r="2909" spans="1:50">
      <c r="A2909" s="1">
        <f>HYPERLINK("https://lsnyc.legalserver.org/matter/dynamic-profile/view/1879837","18-1879837")</f>
        <v>0</v>
      </c>
      <c r="B2909" t="s">
        <v>87</v>
      </c>
      <c r="C2909" t="s">
        <v>340</v>
      </c>
      <c r="D2909" t="s">
        <v>412</v>
      </c>
      <c r="F2909" t="s">
        <v>2448</v>
      </c>
      <c r="G2909" t="s">
        <v>2248</v>
      </c>
      <c r="H2909" t="s">
        <v>11946</v>
      </c>
      <c r="I2909" t="s">
        <v>17900</v>
      </c>
      <c r="J2909" t="s">
        <v>18892</v>
      </c>
      <c r="K2909">
        <v>10458</v>
      </c>
      <c r="L2909" t="s">
        <v>18958</v>
      </c>
      <c r="M2909" t="s">
        <v>18958</v>
      </c>
      <c r="N2909" t="s">
        <v>21117</v>
      </c>
      <c r="O2909" t="s">
        <v>26523</v>
      </c>
      <c r="P2909" t="s">
        <v>26560</v>
      </c>
      <c r="R2909" t="s">
        <v>26577</v>
      </c>
      <c r="U2909" t="s">
        <v>26604</v>
      </c>
      <c r="V2909" t="s">
        <v>26610</v>
      </c>
      <c r="W2909" t="s">
        <v>644</v>
      </c>
      <c r="X2909">
        <v>171</v>
      </c>
      <c r="Y2909" t="s">
        <v>26650</v>
      </c>
      <c r="AB2909" t="s">
        <v>29219</v>
      </c>
      <c r="AE2909">
        <v>0</v>
      </c>
      <c r="AF2909" t="s">
        <v>45549</v>
      </c>
      <c r="AG2909" t="s">
        <v>45556</v>
      </c>
      <c r="AH2909">
        <v>17</v>
      </c>
      <c r="AI2909">
        <v>2</v>
      </c>
      <c r="AJ2909">
        <v>0</v>
      </c>
      <c r="AK2909">
        <v>91.86</v>
      </c>
      <c r="AN2909" t="s">
        <v>45581</v>
      </c>
      <c r="AO2909">
        <v>15120</v>
      </c>
      <c r="AU2909">
        <v>32.8</v>
      </c>
      <c r="AV2909" t="s">
        <v>826</v>
      </c>
      <c r="AW2909" t="s">
        <v>46870</v>
      </c>
    </row>
    <row r="2910" spans="1:50">
      <c r="A2910" s="1">
        <f>HYPERLINK("https://lsnyc.legalserver.org/matter/dynamic-profile/view/1880056","18-1880056")</f>
        <v>0</v>
      </c>
      <c r="B2910" t="s">
        <v>92</v>
      </c>
      <c r="C2910" t="s">
        <v>341</v>
      </c>
      <c r="D2910" t="s">
        <v>413</v>
      </c>
      <c r="E2910" t="s">
        <v>670</v>
      </c>
      <c r="F2910" t="s">
        <v>947</v>
      </c>
      <c r="G2910" t="s">
        <v>5139</v>
      </c>
      <c r="H2910" t="s">
        <v>9717</v>
      </c>
      <c r="I2910" t="s">
        <v>17333</v>
      </c>
      <c r="J2910" t="s">
        <v>18894</v>
      </c>
      <c r="K2910">
        <v>11207</v>
      </c>
      <c r="L2910" t="s">
        <v>18959</v>
      </c>
      <c r="M2910" t="s">
        <v>18959</v>
      </c>
      <c r="N2910" t="s">
        <v>18997</v>
      </c>
      <c r="O2910" t="s">
        <v>26534</v>
      </c>
      <c r="P2910" t="s">
        <v>26564</v>
      </c>
      <c r="Q2910" t="s">
        <v>26570</v>
      </c>
      <c r="R2910" t="s">
        <v>26578</v>
      </c>
      <c r="S2910" t="s">
        <v>18958</v>
      </c>
      <c r="U2910" t="s">
        <v>26604</v>
      </c>
      <c r="V2910" t="s">
        <v>26610</v>
      </c>
      <c r="W2910" t="s">
        <v>644</v>
      </c>
      <c r="X2910">
        <v>0</v>
      </c>
      <c r="Y2910" t="s">
        <v>26652</v>
      </c>
      <c r="Z2910" t="s">
        <v>26659</v>
      </c>
      <c r="AA2910" t="s">
        <v>26683</v>
      </c>
      <c r="AB2910" t="s">
        <v>26785</v>
      </c>
      <c r="AE2910">
        <v>6</v>
      </c>
      <c r="AF2910" t="s">
        <v>45541</v>
      </c>
      <c r="AH2910">
        <v>0</v>
      </c>
      <c r="AI2910">
        <v>1</v>
      </c>
      <c r="AJ2910">
        <v>3</v>
      </c>
      <c r="AK2910">
        <v>41.43</v>
      </c>
      <c r="AN2910" t="s">
        <v>7439</v>
      </c>
      <c r="AO2910">
        <v>10400</v>
      </c>
      <c r="AU2910">
        <v>0.25</v>
      </c>
      <c r="AV2910" t="s">
        <v>670</v>
      </c>
      <c r="AW2910" t="s">
        <v>279</v>
      </c>
    </row>
    <row r="2911" spans="1:50">
      <c r="A2911" s="1">
        <f>HYPERLINK("https://lsnyc.legalserver.org/matter/dynamic-profile/view/1880028","18-1880028")</f>
        <v>0</v>
      </c>
      <c r="B2911" t="s">
        <v>92</v>
      </c>
      <c r="C2911" t="s">
        <v>341</v>
      </c>
      <c r="D2911" t="s">
        <v>413</v>
      </c>
      <c r="E2911" t="s">
        <v>670</v>
      </c>
      <c r="F2911" t="s">
        <v>887</v>
      </c>
      <c r="G2911" t="s">
        <v>5138</v>
      </c>
      <c r="H2911" t="s">
        <v>9717</v>
      </c>
      <c r="I2911" t="s">
        <v>17291</v>
      </c>
      <c r="J2911" t="s">
        <v>18894</v>
      </c>
      <c r="K2911">
        <v>11207</v>
      </c>
      <c r="L2911" t="s">
        <v>18958</v>
      </c>
      <c r="M2911" t="s">
        <v>18958</v>
      </c>
      <c r="O2911" t="s">
        <v>26534</v>
      </c>
      <c r="P2911" t="s">
        <v>26564</v>
      </c>
      <c r="Q2911" t="s">
        <v>26570</v>
      </c>
      <c r="R2911" t="s">
        <v>26578</v>
      </c>
      <c r="S2911" t="s">
        <v>18958</v>
      </c>
      <c r="U2911" t="s">
        <v>26604</v>
      </c>
      <c r="V2911" t="s">
        <v>26610</v>
      </c>
      <c r="W2911" t="s">
        <v>644</v>
      </c>
      <c r="X2911">
        <v>1365</v>
      </c>
      <c r="Y2911" t="s">
        <v>26652</v>
      </c>
      <c r="Z2911" t="s">
        <v>26659</v>
      </c>
      <c r="AA2911" t="s">
        <v>26683</v>
      </c>
      <c r="AB2911" t="s">
        <v>26784</v>
      </c>
      <c r="AC2911" t="s">
        <v>34508</v>
      </c>
      <c r="AD2911" t="s">
        <v>36892</v>
      </c>
      <c r="AE2911">
        <v>6</v>
      </c>
      <c r="AF2911" t="s">
        <v>45541</v>
      </c>
      <c r="AG2911" t="s">
        <v>45561</v>
      </c>
      <c r="AH2911">
        <v>5</v>
      </c>
      <c r="AI2911">
        <v>2</v>
      </c>
      <c r="AJ2911">
        <v>0</v>
      </c>
      <c r="AK2911">
        <v>55.12</v>
      </c>
      <c r="AN2911" t="s">
        <v>7439</v>
      </c>
      <c r="AO2911">
        <v>9072</v>
      </c>
      <c r="AP2911" t="s">
        <v>45629</v>
      </c>
      <c r="AU2911">
        <v>0.25</v>
      </c>
      <c r="AV2911" t="s">
        <v>670</v>
      </c>
      <c r="AW2911" t="s">
        <v>279</v>
      </c>
    </row>
    <row r="2912" spans="1:50">
      <c r="A2912" s="1">
        <f>HYPERLINK("https://lsnyc.legalserver.org/matter/dynamic-profile/view/1880059","18-1880059")</f>
        <v>0</v>
      </c>
      <c r="B2912" t="s">
        <v>78</v>
      </c>
      <c r="C2912" t="s">
        <v>340</v>
      </c>
      <c r="D2912" t="s">
        <v>413</v>
      </c>
      <c r="F2912" t="s">
        <v>947</v>
      </c>
      <c r="G2912" t="s">
        <v>5139</v>
      </c>
      <c r="H2912" t="s">
        <v>9717</v>
      </c>
      <c r="I2912" t="s">
        <v>17333</v>
      </c>
      <c r="J2912" t="s">
        <v>18894</v>
      </c>
      <c r="K2912">
        <v>11207</v>
      </c>
      <c r="L2912" t="s">
        <v>18959</v>
      </c>
      <c r="M2912" t="s">
        <v>18959</v>
      </c>
      <c r="N2912" t="s">
        <v>18997</v>
      </c>
      <c r="O2912" t="s">
        <v>26551</v>
      </c>
      <c r="P2912" t="s">
        <v>26560</v>
      </c>
      <c r="R2912" t="s">
        <v>26578</v>
      </c>
      <c r="S2912" t="s">
        <v>18958</v>
      </c>
      <c r="U2912" t="s">
        <v>26604</v>
      </c>
      <c r="V2912" t="s">
        <v>26610</v>
      </c>
      <c r="W2912" t="s">
        <v>644</v>
      </c>
      <c r="X2912">
        <v>0</v>
      </c>
      <c r="Y2912" t="s">
        <v>26652</v>
      </c>
      <c r="Z2912" t="s">
        <v>26659</v>
      </c>
      <c r="AB2912" t="s">
        <v>26785</v>
      </c>
      <c r="AE2912">
        <v>6</v>
      </c>
      <c r="AF2912" t="s">
        <v>45541</v>
      </c>
      <c r="AH2912">
        <v>0</v>
      </c>
      <c r="AI2912">
        <v>1</v>
      </c>
      <c r="AJ2912">
        <v>3</v>
      </c>
      <c r="AK2912">
        <v>41.43</v>
      </c>
      <c r="AN2912" t="s">
        <v>7439</v>
      </c>
      <c r="AO2912">
        <v>10400</v>
      </c>
      <c r="AU2912">
        <v>0</v>
      </c>
      <c r="AW2912" t="s">
        <v>279</v>
      </c>
    </row>
    <row r="2913" spans="1:50">
      <c r="A2913" s="1">
        <f>HYPERLINK("https://lsnyc.legalserver.org/matter/dynamic-profile/view/1880041","18-1880041")</f>
        <v>0</v>
      </c>
      <c r="B2913" t="s">
        <v>78</v>
      </c>
      <c r="C2913" t="s">
        <v>340</v>
      </c>
      <c r="D2913" t="s">
        <v>413</v>
      </c>
      <c r="F2913" t="s">
        <v>947</v>
      </c>
      <c r="G2913" t="s">
        <v>5139</v>
      </c>
      <c r="H2913" t="s">
        <v>9717</v>
      </c>
      <c r="I2913" t="s">
        <v>17333</v>
      </c>
      <c r="J2913" t="s">
        <v>18894</v>
      </c>
      <c r="K2913">
        <v>11207</v>
      </c>
      <c r="L2913" t="s">
        <v>18959</v>
      </c>
      <c r="M2913" t="s">
        <v>18959</v>
      </c>
      <c r="N2913" t="s">
        <v>18997</v>
      </c>
      <c r="P2913" t="s">
        <v>26565</v>
      </c>
      <c r="R2913" t="s">
        <v>26578</v>
      </c>
      <c r="S2913" t="s">
        <v>18958</v>
      </c>
      <c r="U2913" t="s">
        <v>26604</v>
      </c>
      <c r="V2913" t="s">
        <v>26610</v>
      </c>
      <c r="W2913" t="s">
        <v>644</v>
      </c>
      <c r="X2913">
        <v>0</v>
      </c>
      <c r="Y2913" t="s">
        <v>26652</v>
      </c>
      <c r="Z2913" t="s">
        <v>26659</v>
      </c>
      <c r="AB2913" t="s">
        <v>26785</v>
      </c>
      <c r="AE2913">
        <v>6</v>
      </c>
      <c r="AF2913" t="s">
        <v>45541</v>
      </c>
      <c r="AH2913">
        <v>0</v>
      </c>
      <c r="AI2913">
        <v>1</v>
      </c>
      <c r="AJ2913">
        <v>3</v>
      </c>
      <c r="AK2913">
        <v>41.43</v>
      </c>
      <c r="AN2913" t="s">
        <v>7439</v>
      </c>
      <c r="AO2913">
        <v>10400</v>
      </c>
      <c r="AU2913">
        <v>0</v>
      </c>
      <c r="AW2913" t="s">
        <v>279</v>
      </c>
    </row>
    <row r="2914" spans="1:50">
      <c r="A2914" s="1">
        <f>HYPERLINK("https://lsnyc.legalserver.org/matter/dynamic-profile/view/1880031","18-1880031")</f>
        <v>0</v>
      </c>
      <c r="B2914" t="s">
        <v>78</v>
      </c>
      <c r="C2914" t="s">
        <v>340</v>
      </c>
      <c r="D2914" t="s">
        <v>413</v>
      </c>
      <c r="F2914" t="s">
        <v>887</v>
      </c>
      <c r="G2914" t="s">
        <v>5138</v>
      </c>
      <c r="H2914" t="s">
        <v>9717</v>
      </c>
      <c r="I2914" t="s">
        <v>17291</v>
      </c>
      <c r="J2914" t="s">
        <v>18894</v>
      </c>
      <c r="K2914">
        <v>11207</v>
      </c>
      <c r="L2914" t="s">
        <v>18958</v>
      </c>
      <c r="M2914" t="s">
        <v>18958</v>
      </c>
      <c r="N2914" t="s">
        <v>18997</v>
      </c>
      <c r="O2914" t="s">
        <v>26551</v>
      </c>
      <c r="P2914" t="s">
        <v>26560</v>
      </c>
      <c r="R2914" t="s">
        <v>26578</v>
      </c>
      <c r="S2914" t="s">
        <v>18958</v>
      </c>
      <c r="U2914" t="s">
        <v>26604</v>
      </c>
      <c r="V2914" t="s">
        <v>26610</v>
      </c>
      <c r="W2914" t="s">
        <v>644</v>
      </c>
      <c r="X2914">
        <v>1365</v>
      </c>
      <c r="Y2914" t="s">
        <v>26652</v>
      </c>
      <c r="Z2914" t="s">
        <v>26659</v>
      </c>
      <c r="AB2914" t="s">
        <v>26784</v>
      </c>
      <c r="AC2914" t="s">
        <v>34508</v>
      </c>
      <c r="AD2914" t="s">
        <v>36892</v>
      </c>
      <c r="AE2914">
        <v>6</v>
      </c>
      <c r="AF2914" t="s">
        <v>45541</v>
      </c>
      <c r="AG2914" t="s">
        <v>45561</v>
      </c>
      <c r="AH2914">
        <v>5</v>
      </c>
      <c r="AI2914">
        <v>2</v>
      </c>
      <c r="AJ2914">
        <v>0</v>
      </c>
      <c r="AK2914">
        <v>55.12</v>
      </c>
      <c r="AN2914" t="s">
        <v>7439</v>
      </c>
      <c r="AO2914">
        <v>9072</v>
      </c>
      <c r="AP2914" t="s">
        <v>45629</v>
      </c>
      <c r="AU2914">
        <v>0.1</v>
      </c>
      <c r="AV2914" t="s">
        <v>670</v>
      </c>
      <c r="AW2914" t="s">
        <v>279</v>
      </c>
    </row>
    <row r="2915" spans="1:50">
      <c r="A2915" s="1">
        <f>HYPERLINK("https://lsnyc.legalserver.org/matter/dynamic-profile/view/1880018","18-1880018")</f>
        <v>0</v>
      </c>
      <c r="B2915" t="s">
        <v>78</v>
      </c>
      <c r="C2915" t="s">
        <v>340</v>
      </c>
      <c r="D2915" t="s">
        <v>413</v>
      </c>
      <c r="F2915" t="s">
        <v>887</v>
      </c>
      <c r="G2915" t="s">
        <v>5138</v>
      </c>
      <c r="H2915" t="s">
        <v>9717</v>
      </c>
      <c r="I2915" t="s">
        <v>17291</v>
      </c>
      <c r="J2915" t="s">
        <v>18894</v>
      </c>
      <c r="K2915">
        <v>11207</v>
      </c>
      <c r="L2915" t="s">
        <v>18958</v>
      </c>
      <c r="M2915" t="s">
        <v>18958</v>
      </c>
      <c r="N2915" t="s">
        <v>18997</v>
      </c>
      <c r="O2915" t="s">
        <v>18997</v>
      </c>
      <c r="P2915" t="s">
        <v>26565</v>
      </c>
      <c r="R2915" t="s">
        <v>26578</v>
      </c>
      <c r="S2915" t="s">
        <v>18958</v>
      </c>
      <c r="U2915" t="s">
        <v>26604</v>
      </c>
      <c r="V2915" t="s">
        <v>26610</v>
      </c>
      <c r="W2915" t="s">
        <v>644</v>
      </c>
      <c r="X2915">
        <v>1365</v>
      </c>
      <c r="Y2915" t="s">
        <v>26652</v>
      </c>
      <c r="Z2915" t="s">
        <v>26659</v>
      </c>
      <c r="AB2915" t="s">
        <v>26784</v>
      </c>
      <c r="AC2915" t="s">
        <v>34508</v>
      </c>
      <c r="AD2915" t="s">
        <v>36892</v>
      </c>
      <c r="AE2915">
        <v>6</v>
      </c>
      <c r="AF2915" t="s">
        <v>45541</v>
      </c>
      <c r="AG2915" t="s">
        <v>45561</v>
      </c>
      <c r="AH2915">
        <v>5</v>
      </c>
      <c r="AI2915">
        <v>2</v>
      </c>
      <c r="AJ2915">
        <v>0</v>
      </c>
      <c r="AK2915">
        <v>55.12</v>
      </c>
      <c r="AN2915" t="s">
        <v>7439</v>
      </c>
      <c r="AO2915">
        <v>9072</v>
      </c>
      <c r="AP2915" t="s">
        <v>45629</v>
      </c>
      <c r="AU2915">
        <v>0.1</v>
      </c>
      <c r="AV2915" t="s">
        <v>670</v>
      </c>
      <c r="AW2915" t="s">
        <v>279</v>
      </c>
    </row>
    <row r="2916" spans="1:50">
      <c r="A2916" s="1">
        <f>HYPERLINK("https://lsnyc.legalserver.org/matter/dynamic-profile/view/1880263","18-1880263")</f>
        <v>0</v>
      </c>
      <c r="B2916" t="s">
        <v>117</v>
      </c>
      <c r="C2916" t="s">
        <v>341</v>
      </c>
      <c r="D2916" t="s">
        <v>594</v>
      </c>
      <c r="E2916" t="s">
        <v>494</v>
      </c>
      <c r="F2916" t="s">
        <v>2449</v>
      </c>
      <c r="G2916" t="s">
        <v>6669</v>
      </c>
      <c r="H2916" t="s">
        <v>11947</v>
      </c>
      <c r="I2916" t="s">
        <v>17859</v>
      </c>
      <c r="J2916" t="s">
        <v>18894</v>
      </c>
      <c r="K2916">
        <v>11239</v>
      </c>
      <c r="L2916" t="s">
        <v>18958</v>
      </c>
      <c r="M2916" t="s">
        <v>18958</v>
      </c>
      <c r="P2916" t="s">
        <v>26564</v>
      </c>
      <c r="Q2916" t="s">
        <v>26570</v>
      </c>
      <c r="R2916" t="s">
        <v>26578</v>
      </c>
      <c r="U2916" t="s">
        <v>26604</v>
      </c>
      <c r="W2916" t="s">
        <v>644</v>
      </c>
      <c r="X2916">
        <v>400</v>
      </c>
      <c r="Y2916" t="s">
        <v>26652</v>
      </c>
      <c r="Z2916" t="s">
        <v>26660</v>
      </c>
      <c r="AA2916" t="s">
        <v>26683</v>
      </c>
      <c r="AB2916" t="s">
        <v>29220</v>
      </c>
      <c r="AD2916" t="s">
        <v>39275</v>
      </c>
      <c r="AE2916">
        <v>17</v>
      </c>
      <c r="AF2916" t="s">
        <v>45541</v>
      </c>
      <c r="AH2916">
        <v>2</v>
      </c>
      <c r="AI2916">
        <v>2</v>
      </c>
      <c r="AJ2916">
        <v>0</v>
      </c>
      <c r="AK2916">
        <v>64.16</v>
      </c>
      <c r="AN2916" t="s">
        <v>7439</v>
      </c>
      <c r="AO2916">
        <v>10560</v>
      </c>
      <c r="AU2916">
        <v>2.2</v>
      </c>
      <c r="AV2916" t="s">
        <v>600</v>
      </c>
      <c r="AW2916" t="s">
        <v>46856</v>
      </c>
      <c r="AX2916" t="s">
        <v>46897</v>
      </c>
    </row>
    <row r="2917" spans="1:50">
      <c r="A2917" s="1">
        <f>HYPERLINK("https://lsnyc.legalserver.org/matter/dynamic-profile/view/1880164","18-1880164")</f>
        <v>0</v>
      </c>
      <c r="B2917" t="s">
        <v>147</v>
      </c>
      <c r="C2917" t="s">
        <v>340</v>
      </c>
      <c r="D2917" t="s">
        <v>594</v>
      </c>
      <c r="F2917" t="s">
        <v>2450</v>
      </c>
      <c r="G2917" t="s">
        <v>6670</v>
      </c>
      <c r="H2917" t="s">
        <v>11948</v>
      </c>
      <c r="I2917" t="s">
        <v>17901</v>
      </c>
      <c r="J2917" t="s">
        <v>18894</v>
      </c>
      <c r="K2917">
        <v>11230</v>
      </c>
      <c r="L2917" t="s">
        <v>18958</v>
      </c>
      <c r="M2917" t="s">
        <v>18958</v>
      </c>
      <c r="O2917" t="s">
        <v>26531</v>
      </c>
      <c r="P2917" t="s">
        <v>26562</v>
      </c>
      <c r="R2917" t="s">
        <v>26578</v>
      </c>
      <c r="S2917" t="s">
        <v>18958</v>
      </c>
      <c r="U2917" t="s">
        <v>26604</v>
      </c>
      <c r="W2917" t="s">
        <v>644</v>
      </c>
      <c r="X2917">
        <v>0</v>
      </c>
      <c r="Y2917" t="s">
        <v>26652</v>
      </c>
      <c r="Z2917" t="s">
        <v>26663</v>
      </c>
      <c r="AB2917" t="s">
        <v>29221</v>
      </c>
      <c r="AE2917">
        <v>60</v>
      </c>
      <c r="AF2917" t="s">
        <v>45541</v>
      </c>
      <c r="AH2917">
        <v>0</v>
      </c>
      <c r="AI2917">
        <v>2</v>
      </c>
      <c r="AJ2917">
        <v>0</v>
      </c>
      <c r="AK2917">
        <v>79.47</v>
      </c>
      <c r="AO2917">
        <v>13080</v>
      </c>
      <c r="AU2917">
        <v>0</v>
      </c>
      <c r="AW2917" t="s">
        <v>147</v>
      </c>
    </row>
    <row r="2918" spans="1:50">
      <c r="A2918" s="1">
        <f>HYPERLINK("https://lsnyc.legalserver.org/matter/dynamic-profile/view/1880402","18-1880402")</f>
        <v>0</v>
      </c>
      <c r="B2918" t="s">
        <v>133</v>
      </c>
      <c r="C2918" t="s">
        <v>340</v>
      </c>
      <c r="D2918" t="s">
        <v>600</v>
      </c>
      <c r="F2918" t="s">
        <v>2451</v>
      </c>
      <c r="G2918" t="s">
        <v>5748</v>
      </c>
      <c r="H2918" t="s">
        <v>11949</v>
      </c>
      <c r="I2918" t="s">
        <v>17566</v>
      </c>
      <c r="J2918" t="s">
        <v>18892</v>
      </c>
      <c r="K2918">
        <v>10459</v>
      </c>
      <c r="L2918" t="s">
        <v>18958</v>
      </c>
      <c r="M2918" t="s">
        <v>18958</v>
      </c>
      <c r="N2918" t="s">
        <v>21118</v>
      </c>
      <c r="O2918" t="s">
        <v>26533</v>
      </c>
      <c r="P2918" t="s">
        <v>26560</v>
      </c>
      <c r="R2918" t="s">
        <v>26577</v>
      </c>
      <c r="S2918" t="s">
        <v>18959</v>
      </c>
      <c r="U2918" t="s">
        <v>26604</v>
      </c>
      <c r="V2918" t="s">
        <v>26610</v>
      </c>
      <c r="W2918" t="s">
        <v>644</v>
      </c>
      <c r="X2918">
        <v>74</v>
      </c>
      <c r="Y2918" t="s">
        <v>26650</v>
      </c>
      <c r="Z2918" t="s">
        <v>26659</v>
      </c>
      <c r="AB2918" t="s">
        <v>29222</v>
      </c>
      <c r="AD2918" t="s">
        <v>39276</v>
      </c>
      <c r="AE2918">
        <v>300</v>
      </c>
      <c r="AF2918" t="s">
        <v>45541</v>
      </c>
      <c r="AG2918" t="s">
        <v>45556</v>
      </c>
      <c r="AH2918">
        <v>9</v>
      </c>
      <c r="AI2918">
        <v>1</v>
      </c>
      <c r="AJ2918">
        <v>2</v>
      </c>
      <c r="AK2918">
        <v>10.26</v>
      </c>
      <c r="AN2918" t="s">
        <v>7439</v>
      </c>
      <c r="AO2918">
        <v>2132</v>
      </c>
      <c r="AU2918">
        <v>16</v>
      </c>
      <c r="AV2918" t="s">
        <v>519</v>
      </c>
      <c r="AW2918" t="s">
        <v>334</v>
      </c>
    </row>
    <row r="2919" spans="1:50">
      <c r="A2919" s="1">
        <f>HYPERLINK("https://lsnyc.legalserver.org/matter/dynamic-profile/view/1880462","18-1880462")</f>
        <v>0</v>
      </c>
      <c r="B2919" t="s">
        <v>243</v>
      </c>
      <c r="C2919" t="s">
        <v>340</v>
      </c>
      <c r="D2919" t="s">
        <v>600</v>
      </c>
      <c r="F2919" t="s">
        <v>1074</v>
      </c>
      <c r="G2919" t="s">
        <v>1851</v>
      </c>
      <c r="H2919" t="s">
        <v>11950</v>
      </c>
      <c r="I2919" t="s">
        <v>17277</v>
      </c>
      <c r="J2919" t="s">
        <v>18894</v>
      </c>
      <c r="K2919">
        <v>11206</v>
      </c>
      <c r="L2919" t="s">
        <v>18958</v>
      </c>
      <c r="M2919" t="s">
        <v>18958</v>
      </c>
      <c r="N2919" t="s">
        <v>21119</v>
      </c>
      <c r="O2919" t="s">
        <v>26523</v>
      </c>
      <c r="P2919" t="s">
        <v>26560</v>
      </c>
      <c r="R2919" t="s">
        <v>26578</v>
      </c>
      <c r="U2919" t="s">
        <v>26604</v>
      </c>
      <c r="W2919" t="s">
        <v>644</v>
      </c>
      <c r="X2919">
        <v>0</v>
      </c>
      <c r="Y2919" t="s">
        <v>26652</v>
      </c>
      <c r="AB2919" t="s">
        <v>29223</v>
      </c>
      <c r="AD2919" t="s">
        <v>39277</v>
      </c>
      <c r="AE2919">
        <v>0</v>
      </c>
      <c r="AH2919">
        <v>11</v>
      </c>
      <c r="AI2919">
        <v>2</v>
      </c>
      <c r="AJ2919">
        <v>2</v>
      </c>
      <c r="AK2919">
        <v>157.29</v>
      </c>
      <c r="AN2919" t="s">
        <v>7439</v>
      </c>
      <c r="AO2919">
        <v>39480</v>
      </c>
      <c r="AU2919">
        <v>12.1</v>
      </c>
      <c r="AV2919" t="s">
        <v>703</v>
      </c>
      <c r="AW2919" t="s">
        <v>198</v>
      </c>
    </row>
    <row r="2920" spans="1:50">
      <c r="A2920" s="1">
        <f>HYPERLINK("https://lsnyc.legalserver.org/matter/dynamic-profile/view/1880904","18-1880904")</f>
        <v>0</v>
      </c>
      <c r="B2920" t="s">
        <v>267</v>
      </c>
      <c r="C2920" t="s">
        <v>341</v>
      </c>
      <c r="D2920" t="s">
        <v>635</v>
      </c>
      <c r="E2920" t="s">
        <v>739</v>
      </c>
      <c r="F2920" t="s">
        <v>1041</v>
      </c>
      <c r="G2920" t="s">
        <v>5223</v>
      </c>
      <c r="H2920" t="s">
        <v>9808</v>
      </c>
      <c r="I2920" t="s">
        <v>17385</v>
      </c>
      <c r="J2920" t="s">
        <v>18892</v>
      </c>
      <c r="K2920">
        <v>10467</v>
      </c>
      <c r="L2920" t="s">
        <v>18958</v>
      </c>
      <c r="M2920" t="s">
        <v>18958</v>
      </c>
      <c r="N2920" t="s">
        <v>19045</v>
      </c>
      <c r="O2920" t="s">
        <v>26539</v>
      </c>
      <c r="P2920" t="s">
        <v>26562</v>
      </c>
      <c r="Q2920" t="s">
        <v>26572</v>
      </c>
      <c r="R2920" t="s">
        <v>26578</v>
      </c>
      <c r="S2920" t="s">
        <v>18959</v>
      </c>
      <c r="U2920" t="s">
        <v>26607</v>
      </c>
      <c r="W2920" t="s">
        <v>644</v>
      </c>
      <c r="X2920">
        <v>997.65</v>
      </c>
      <c r="Y2920" t="s">
        <v>26650</v>
      </c>
      <c r="Z2920" t="s">
        <v>26655</v>
      </c>
      <c r="AA2920" t="s">
        <v>26678</v>
      </c>
      <c r="AB2920" t="s">
        <v>26893</v>
      </c>
      <c r="AD2920" t="s">
        <v>36988</v>
      </c>
      <c r="AE2920">
        <v>51</v>
      </c>
      <c r="AF2920" t="s">
        <v>45541</v>
      </c>
      <c r="AG2920" t="s">
        <v>45559</v>
      </c>
      <c r="AH2920">
        <v>30</v>
      </c>
      <c r="AI2920">
        <v>1</v>
      </c>
      <c r="AJ2920">
        <v>0</v>
      </c>
      <c r="AK2920">
        <v>74.54000000000001</v>
      </c>
      <c r="AN2920" t="s">
        <v>45588</v>
      </c>
      <c r="AO2920">
        <v>9049.200000000001</v>
      </c>
      <c r="AP2920" t="s">
        <v>45771</v>
      </c>
      <c r="AU2920">
        <v>4</v>
      </c>
      <c r="AV2920" t="s">
        <v>739</v>
      </c>
      <c r="AW2920" t="s">
        <v>267</v>
      </c>
    </row>
    <row r="2921" spans="1:50">
      <c r="A2921" s="1">
        <f>HYPERLINK("https://lsnyc.legalserver.org/matter/dynamic-profile/view/1880874","18-1880874")</f>
        <v>0</v>
      </c>
      <c r="B2921" t="s">
        <v>82</v>
      </c>
      <c r="C2921" t="s">
        <v>340</v>
      </c>
      <c r="D2921" t="s">
        <v>635</v>
      </c>
      <c r="F2921" t="s">
        <v>1972</v>
      </c>
      <c r="G2921" t="s">
        <v>6671</v>
      </c>
      <c r="H2921" t="s">
        <v>10140</v>
      </c>
      <c r="I2921" t="s">
        <v>17312</v>
      </c>
      <c r="J2921" t="s">
        <v>18892</v>
      </c>
      <c r="K2921">
        <v>10466</v>
      </c>
      <c r="L2921" t="s">
        <v>18958</v>
      </c>
      <c r="M2921" t="s">
        <v>18958</v>
      </c>
      <c r="N2921" t="s">
        <v>21120</v>
      </c>
      <c r="O2921" t="s">
        <v>26523</v>
      </c>
      <c r="P2921" t="s">
        <v>26560</v>
      </c>
      <c r="R2921" t="s">
        <v>26577</v>
      </c>
      <c r="U2921" t="s">
        <v>26605</v>
      </c>
      <c r="V2921" t="s">
        <v>26610</v>
      </c>
      <c r="W2921" t="s">
        <v>644</v>
      </c>
      <c r="X2921">
        <v>479</v>
      </c>
      <c r="Y2921" t="s">
        <v>26650</v>
      </c>
      <c r="Z2921" t="s">
        <v>26661</v>
      </c>
      <c r="AB2921" t="s">
        <v>29224</v>
      </c>
      <c r="AD2921" t="s">
        <v>39278</v>
      </c>
      <c r="AE2921">
        <v>0</v>
      </c>
      <c r="AF2921" t="s">
        <v>45549</v>
      </c>
      <c r="AG2921" t="s">
        <v>19330</v>
      </c>
      <c r="AH2921">
        <v>4</v>
      </c>
      <c r="AI2921">
        <v>2</v>
      </c>
      <c r="AJ2921">
        <v>0</v>
      </c>
      <c r="AK2921">
        <v>121.82</v>
      </c>
      <c r="AN2921" t="s">
        <v>7439</v>
      </c>
      <c r="AO2921">
        <v>20052</v>
      </c>
      <c r="AU2921">
        <v>3.6</v>
      </c>
      <c r="AV2921" t="s">
        <v>677</v>
      </c>
      <c r="AW2921" t="s">
        <v>46842</v>
      </c>
    </row>
    <row r="2922" spans="1:50">
      <c r="A2922" s="1">
        <f>HYPERLINK("https://lsnyc.legalserver.org/matter/dynamic-profile/view/1880961","18-1880961")</f>
        <v>0</v>
      </c>
      <c r="B2922" t="s">
        <v>133</v>
      </c>
      <c r="C2922" t="s">
        <v>340</v>
      </c>
      <c r="D2922" t="s">
        <v>605</v>
      </c>
      <c r="F2922" t="s">
        <v>887</v>
      </c>
      <c r="G2922" t="s">
        <v>4588</v>
      </c>
      <c r="H2922" t="s">
        <v>11859</v>
      </c>
      <c r="I2922" t="s">
        <v>17356</v>
      </c>
      <c r="J2922" t="s">
        <v>18892</v>
      </c>
      <c r="K2922">
        <v>10453</v>
      </c>
      <c r="L2922" t="s">
        <v>18958</v>
      </c>
      <c r="M2922" t="s">
        <v>18958</v>
      </c>
      <c r="N2922" t="s">
        <v>21121</v>
      </c>
      <c r="O2922" t="s">
        <v>26523</v>
      </c>
      <c r="P2922" t="s">
        <v>26560</v>
      </c>
      <c r="R2922" t="s">
        <v>26577</v>
      </c>
      <c r="S2922" t="s">
        <v>18959</v>
      </c>
      <c r="U2922" t="s">
        <v>26604</v>
      </c>
      <c r="V2922" t="s">
        <v>26610</v>
      </c>
      <c r="W2922" t="s">
        <v>644</v>
      </c>
      <c r="X2922">
        <v>959.5</v>
      </c>
      <c r="Y2922" t="s">
        <v>26650</v>
      </c>
      <c r="Z2922" t="s">
        <v>26659</v>
      </c>
      <c r="AB2922" t="s">
        <v>27154</v>
      </c>
      <c r="AC2922" t="s">
        <v>35358</v>
      </c>
      <c r="AD2922" t="s">
        <v>39279</v>
      </c>
      <c r="AE2922">
        <v>0</v>
      </c>
      <c r="AF2922" t="s">
        <v>45541</v>
      </c>
      <c r="AG2922" t="s">
        <v>19330</v>
      </c>
      <c r="AH2922">
        <v>0</v>
      </c>
      <c r="AI2922">
        <v>2</v>
      </c>
      <c r="AJ2922">
        <v>1</v>
      </c>
      <c r="AK2922">
        <v>52.55</v>
      </c>
      <c r="AN2922" t="s">
        <v>45581</v>
      </c>
      <c r="AO2922">
        <v>10920</v>
      </c>
      <c r="AU2922">
        <v>30.55</v>
      </c>
      <c r="AV2922" t="s">
        <v>834</v>
      </c>
      <c r="AW2922" t="s">
        <v>46870</v>
      </c>
    </row>
    <row r="2923" spans="1:50">
      <c r="A2923" s="1">
        <f>HYPERLINK("https://lsnyc.legalserver.org/matter/dynamic-profile/view/1881063","18-1881063")</f>
        <v>0</v>
      </c>
      <c r="B2923" t="s">
        <v>81</v>
      </c>
      <c r="C2923" t="s">
        <v>341</v>
      </c>
      <c r="D2923" t="s">
        <v>639</v>
      </c>
      <c r="E2923" t="s">
        <v>759</v>
      </c>
      <c r="F2923" t="s">
        <v>2452</v>
      </c>
      <c r="G2923" t="s">
        <v>2749</v>
      </c>
      <c r="H2923" t="s">
        <v>11951</v>
      </c>
      <c r="I2923">
        <v>10</v>
      </c>
      <c r="J2923" t="s">
        <v>18892</v>
      </c>
      <c r="K2923">
        <v>10456</v>
      </c>
      <c r="L2923" t="s">
        <v>18958</v>
      </c>
      <c r="M2923" t="s">
        <v>18958</v>
      </c>
      <c r="N2923" t="s">
        <v>21122</v>
      </c>
      <c r="O2923" t="s">
        <v>26523</v>
      </c>
      <c r="P2923" t="s">
        <v>26560</v>
      </c>
      <c r="Q2923" t="s">
        <v>26568</v>
      </c>
      <c r="R2923" t="s">
        <v>26577</v>
      </c>
      <c r="U2923" t="s">
        <v>26604</v>
      </c>
      <c r="V2923" t="s">
        <v>26612</v>
      </c>
      <c r="W2923" t="s">
        <v>644</v>
      </c>
      <c r="X2923">
        <v>1624.06</v>
      </c>
      <c r="Y2923" t="s">
        <v>26650</v>
      </c>
      <c r="Z2923" t="s">
        <v>26666</v>
      </c>
      <c r="AA2923" t="s">
        <v>26678</v>
      </c>
      <c r="AB2923" t="s">
        <v>29225</v>
      </c>
      <c r="AC2923" t="s">
        <v>35359</v>
      </c>
      <c r="AD2923" t="s">
        <v>39280</v>
      </c>
      <c r="AE2923">
        <v>16</v>
      </c>
      <c r="AF2923" t="s">
        <v>45541</v>
      </c>
      <c r="AG2923" t="s">
        <v>45556</v>
      </c>
      <c r="AH2923">
        <v>5</v>
      </c>
      <c r="AI2923">
        <v>1</v>
      </c>
      <c r="AJ2923">
        <v>2</v>
      </c>
      <c r="AK2923">
        <v>122.14</v>
      </c>
      <c r="AN2923" t="s">
        <v>7439</v>
      </c>
      <c r="AO2923">
        <v>25380</v>
      </c>
      <c r="AS2923" t="s">
        <v>46499</v>
      </c>
      <c r="AT2923" t="s">
        <v>46700</v>
      </c>
      <c r="AU2923">
        <v>11.6</v>
      </c>
      <c r="AV2923" t="s">
        <v>758</v>
      </c>
      <c r="AW2923" t="s">
        <v>336</v>
      </c>
    </row>
    <row r="2924" spans="1:50">
      <c r="A2924" s="1">
        <f>HYPERLINK("https://lsnyc.legalserver.org/matter/dynamic-profile/view/1881059","18-1881059")</f>
        <v>0</v>
      </c>
      <c r="B2924" t="s">
        <v>133</v>
      </c>
      <c r="C2924" t="s">
        <v>340</v>
      </c>
      <c r="D2924" t="s">
        <v>639</v>
      </c>
      <c r="F2924" t="s">
        <v>2453</v>
      </c>
      <c r="G2924" t="s">
        <v>5727</v>
      </c>
      <c r="H2924" t="s">
        <v>10762</v>
      </c>
      <c r="I2924" t="s">
        <v>17743</v>
      </c>
      <c r="J2924" t="s">
        <v>18892</v>
      </c>
      <c r="K2924">
        <v>10467</v>
      </c>
      <c r="L2924" t="s">
        <v>18958</v>
      </c>
      <c r="M2924" t="s">
        <v>18958</v>
      </c>
      <c r="N2924" t="s">
        <v>21123</v>
      </c>
      <c r="O2924" t="s">
        <v>26523</v>
      </c>
      <c r="P2924" t="s">
        <v>26560</v>
      </c>
      <c r="R2924" t="s">
        <v>26579</v>
      </c>
      <c r="S2924" t="s">
        <v>18959</v>
      </c>
      <c r="U2924" t="s">
        <v>26604</v>
      </c>
      <c r="V2924" t="s">
        <v>26610</v>
      </c>
      <c r="W2924" t="s">
        <v>644</v>
      </c>
      <c r="X2924">
        <v>1271</v>
      </c>
      <c r="Y2924" t="s">
        <v>26650</v>
      </c>
      <c r="Z2924" t="s">
        <v>26664</v>
      </c>
      <c r="AB2924" t="s">
        <v>29226</v>
      </c>
      <c r="AD2924" t="s">
        <v>39281</v>
      </c>
      <c r="AE2924">
        <v>135</v>
      </c>
      <c r="AF2924" t="s">
        <v>45541</v>
      </c>
      <c r="AG2924" t="s">
        <v>45556</v>
      </c>
      <c r="AH2924">
        <v>0</v>
      </c>
      <c r="AI2924">
        <v>1</v>
      </c>
      <c r="AJ2924">
        <v>0</v>
      </c>
      <c r="AK2924">
        <v>189.46</v>
      </c>
      <c r="AN2924" t="s">
        <v>7439</v>
      </c>
      <c r="AO2924">
        <v>23000</v>
      </c>
      <c r="AU2924">
        <v>12</v>
      </c>
      <c r="AV2924" t="s">
        <v>789</v>
      </c>
      <c r="AW2924" t="s">
        <v>46870</v>
      </c>
    </row>
    <row r="2925" spans="1:50">
      <c r="A2925" s="1">
        <f>HYPERLINK("https://lsnyc.legalserver.org/matter/dynamic-profile/view/1881072","18-1881072")</f>
        <v>0</v>
      </c>
      <c r="B2925" t="s">
        <v>82</v>
      </c>
      <c r="C2925" t="s">
        <v>340</v>
      </c>
      <c r="D2925" t="s">
        <v>639</v>
      </c>
      <c r="F2925" t="s">
        <v>1428</v>
      </c>
      <c r="G2925" t="s">
        <v>3138</v>
      </c>
      <c r="H2925" t="s">
        <v>11952</v>
      </c>
      <c r="I2925">
        <v>2</v>
      </c>
      <c r="J2925" t="s">
        <v>18892</v>
      </c>
      <c r="K2925">
        <v>10457</v>
      </c>
      <c r="L2925" t="s">
        <v>18958</v>
      </c>
      <c r="M2925" t="s">
        <v>18958</v>
      </c>
      <c r="N2925" t="s">
        <v>21124</v>
      </c>
      <c r="O2925" t="s">
        <v>26523</v>
      </c>
      <c r="P2925" t="s">
        <v>26560</v>
      </c>
      <c r="R2925" t="s">
        <v>26579</v>
      </c>
      <c r="S2925" t="s">
        <v>18959</v>
      </c>
      <c r="U2925" t="s">
        <v>26604</v>
      </c>
      <c r="V2925" t="s">
        <v>26610</v>
      </c>
      <c r="W2925" t="s">
        <v>644</v>
      </c>
      <c r="X2925">
        <v>1474.49</v>
      </c>
      <c r="Y2925" t="s">
        <v>26650</v>
      </c>
      <c r="Z2925" t="s">
        <v>26664</v>
      </c>
      <c r="AB2925" t="s">
        <v>29227</v>
      </c>
      <c r="AE2925">
        <v>8</v>
      </c>
      <c r="AF2925" t="s">
        <v>45541</v>
      </c>
      <c r="AG2925" t="s">
        <v>19330</v>
      </c>
      <c r="AH2925">
        <v>2</v>
      </c>
      <c r="AI2925">
        <v>1</v>
      </c>
      <c r="AJ2925">
        <v>0</v>
      </c>
      <c r="AK2925">
        <v>107.08</v>
      </c>
      <c r="AN2925" t="s">
        <v>45581</v>
      </c>
      <c r="AO2925">
        <v>13000</v>
      </c>
      <c r="AU2925">
        <v>19.7</v>
      </c>
      <c r="AV2925" t="s">
        <v>838</v>
      </c>
      <c r="AW2925" t="s">
        <v>334</v>
      </c>
    </row>
    <row r="2926" spans="1:50">
      <c r="A2926" s="1">
        <f>HYPERLINK("https://lsnyc.legalserver.org/matter/dynamic-profile/view/1881199","18-1881199")</f>
        <v>0</v>
      </c>
      <c r="B2926" t="s">
        <v>130</v>
      </c>
      <c r="C2926" t="s">
        <v>341</v>
      </c>
      <c r="D2926" t="s">
        <v>631</v>
      </c>
      <c r="E2926" t="s">
        <v>675</v>
      </c>
      <c r="F2926" t="s">
        <v>2091</v>
      </c>
      <c r="G2926" t="s">
        <v>3190</v>
      </c>
      <c r="H2926" t="s">
        <v>11355</v>
      </c>
      <c r="I2926" t="s">
        <v>17387</v>
      </c>
      <c r="J2926" t="s">
        <v>18901</v>
      </c>
      <c r="K2926">
        <v>11435</v>
      </c>
      <c r="L2926" t="s">
        <v>18958</v>
      </c>
      <c r="M2926" t="s">
        <v>18958</v>
      </c>
      <c r="N2926" t="s">
        <v>21125</v>
      </c>
      <c r="O2926" t="s">
        <v>26524</v>
      </c>
      <c r="P2926" t="s">
        <v>26564</v>
      </c>
      <c r="Q2926" t="s">
        <v>26570</v>
      </c>
      <c r="R2926" t="s">
        <v>26584</v>
      </c>
      <c r="S2926" t="s">
        <v>18959</v>
      </c>
      <c r="U2926" t="s">
        <v>26604</v>
      </c>
      <c r="V2926" t="s">
        <v>26610</v>
      </c>
      <c r="W2926" t="s">
        <v>644</v>
      </c>
      <c r="X2926">
        <v>1500</v>
      </c>
      <c r="Y2926" t="s">
        <v>26653</v>
      </c>
      <c r="Z2926" t="s">
        <v>26664</v>
      </c>
      <c r="AA2926" t="s">
        <v>26683</v>
      </c>
      <c r="AB2926" t="s">
        <v>28552</v>
      </c>
      <c r="AC2926" t="s">
        <v>35360</v>
      </c>
      <c r="AD2926" t="s">
        <v>38606</v>
      </c>
      <c r="AE2926">
        <v>2</v>
      </c>
      <c r="AF2926" t="s">
        <v>20460</v>
      </c>
      <c r="AG2926" t="s">
        <v>19330</v>
      </c>
      <c r="AH2926">
        <v>1</v>
      </c>
      <c r="AI2926">
        <v>3</v>
      </c>
      <c r="AJ2926">
        <v>3</v>
      </c>
      <c r="AK2926">
        <v>62.24</v>
      </c>
      <c r="AN2926" t="s">
        <v>7439</v>
      </c>
      <c r="AO2926">
        <v>21000</v>
      </c>
      <c r="AU2926">
        <v>1.25</v>
      </c>
      <c r="AV2926" t="s">
        <v>675</v>
      </c>
      <c r="AW2926" t="s">
        <v>208</v>
      </c>
    </row>
    <row r="2927" spans="1:50">
      <c r="A2927" s="1">
        <f>HYPERLINK("https://lsnyc.legalserver.org/matter/dynamic-profile/view/1881278","18-1881278")</f>
        <v>0</v>
      </c>
      <c r="B2927" t="s">
        <v>97</v>
      </c>
      <c r="C2927" t="s">
        <v>340</v>
      </c>
      <c r="D2927" t="s">
        <v>631</v>
      </c>
      <c r="F2927" t="s">
        <v>1562</v>
      </c>
      <c r="G2927" t="s">
        <v>5657</v>
      </c>
      <c r="H2927" t="s">
        <v>11953</v>
      </c>
      <c r="I2927" t="s">
        <v>17324</v>
      </c>
      <c r="J2927" t="s">
        <v>18892</v>
      </c>
      <c r="K2927">
        <v>10462</v>
      </c>
      <c r="L2927" t="s">
        <v>18958</v>
      </c>
      <c r="M2927" t="s">
        <v>18958</v>
      </c>
      <c r="N2927" t="s">
        <v>21126</v>
      </c>
      <c r="O2927" t="s">
        <v>26524</v>
      </c>
      <c r="P2927" t="s">
        <v>26560</v>
      </c>
      <c r="R2927" t="s">
        <v>26579</v>
      </c>
      <c r="S2927" t="s">
        <v>18959</v>
      </c>
      <c r="U2927" t="s">
        <v>26604</v>
      </c>
      <c r="V2927" t="s">
        <v>26610</v>
      </c>
      <c r="W2927" t="s">
        <v>644</v>
      </c>
      <c r="X2927">
        <v>1534</v>
      </c>
      <c r="Y2927" t="s">
        <v>26650</v>
      </c>
      <c r="Z2927" t="s">
        <v>26663</v>
      </c>
      <c r="AB2927" t="s">
        <v>29228</v>
      </c>
      <c r="AC2927" t="s">
        <v>35361</v>
      </c>
      <c r="AD2927" t="s">
        <v>39282</v>
      </c>
      <c r="AE2927">
        <v>2</v>
      </c>
      <c r="AF2927" t="s">
        <v>20460</v>
      </c>
      <c r="AG2927" t="s">
        <v>45557</v>
      </c>
      <c r="AH2927">
        <v>2</v>
      </c>
      <c r="AI2927">
        <v>1</v>
      </c>
      <c r="AJ2927">
        <v>2</v>
      </c>
      <c r="AK2927">
        <v>63.87</v>
      </c>
      <c r="AN2927" t="s">
        <v>7439</v>
      </c>
      <c r="AO2927">
        <v>13272</v>
      </c>
      <c r="AU2927">
        <v>21.65</v>
      </c>
      <c r="AV2927" t="s">
        <v>827</v>
      </c>
      <c r="AW2927" t="s">
        <v>46841</v>
      </c>
    </row>
    <row r="2928" spans="1:50">
      <c r="A2928" s="1">
        <f>HYPERLINK("https://lsnyc.legalserver.org/matter/dynamic-profile/view/1881352","18-1881352")</f>
        <v>0</v>
      </c>
      <c r="B2928" t="s">
        <v>147</v>
      </c>
      <c r="C2928" t="s">
        <v>341</v>
      </c>
      <c r="D2928" t="s">
        <v>632</v>
      </c>
      <c r="E2928" t="s">
        <v>699</v>
      </c>
      <c r="F2928" t="s">
        <v>2454</v>
      </c>
      <c r="G2928" t="s">
        <v>6672</v>
      </c>
      <c r="H2928" t="s">
        <v>11510</v>
      </c>
      <c r="I2928" t="s">
        <v>17275</v>
      </c>
      <c r="J2928" t="s">
        <v>18894</v>
      </c>
      <c r="K2928">
        <v>11226</v>
      </c>
      <c r="L2928" t="s">
        <v>18958</v>
      </c>
      <c r="M2928" t="s">
        <v>18958</v>
      </c>
      <c r="O2928" t="s">
        <v>18997</v>
      </c>
      <c r="P2928" t="s">
        <v>26565</v>
      </c>
      <c r="Q2928" t="s">
        <v>26570</v>
      </c>
      <c r="R2928" t="s">
        <v>26578</v>
      </c>
      <c r="S2928" t="s">
        <v>18959</v>
      </c>
      <c r="U2928" t="s">
        <v>26604</v>
      </c>
      <c r="W2928" t="s">
        <v>644</v>
      </c>
      <c r="X2928">
        <v>1450</v>
      </c>
      <c r="Y2928" t="s">
        <v>26652</v>
      </c>
      <c r="Z2928" t="s">
        <v>26667</v>
      </c>
      <c r="AA2928" t="s">
        <v>26683</v>
      </c>
      <c r="AB2928" t="s">
        <v>29229</v>
      </c>
      <c r="AE2928">
        <v>48</v>
      </c>
      <c r="AF2928" t="s">
        <v>45541</v>
      </c>
      <c r="AG2928" t="s">
        <v>19330</v>
      </c>
      <c r="AH2928">
        <v>4</v>
      </c>
      <c r="AI2928">
        <v>2</v>
      </c>
      <c r="AJ2928">
        <v>0</v>
      </c>
      <c r="AK2928">
        <v>364.52</v>
      </c>
      <c r="AN2928" t="s">
        <v>7439</v>
      </c>
      <c r="AO2928">
        <v>60000</v>
      </c>
      <c r="AU2928">
        <v>2.4</v>
      </c>
      <c r="AV2928" t="s">
        <v>669</v>
      </c>
      <c r="AW2928" t="s">
        <v>147</v>
      </c>
    </row>
    <row r="2929" spans="1:50">
      <c r="A2929" s="1">
        <f>HYPERLINK("https://lsnyc.legalserver.org/matter/dynamic-profile/view/1881327","18-1881327")</f>
        <v>0</v>
      </c>
      <c r="B2929" t="s">
        <v>94</v>
      </c>
      <c r="C2929" t="s">
        <v>341</v>
      </c>
      <c r="D2929" t="s">
        <v>632</v>
      </c>
      <c r="E2929" t="s">
        <v>834</v>
      </c>
      <c r="F2929" t="s">
        <v>1650</v>
      </c>
      <c r="G2929" t="s">
        <v>2564</v>
      </c>
      <c r="H2929" t="s">
        <v>9946</v>
      </c>
      <c r="I2929">
        <v>402</v>
      </c>
      <c r="J2929" t="s">
        <v>18893</v>
      </c>
      <c r="K2929">
        <v>10027</v>
      </c>
      <c r="L2929" t="s">
        <v>18958</v>
      </c>
      <c r="M2929" t="s">
        <v>18958</v>
      </c>
      <c r="N2929" t="s">
        <v>21127</v>
      </c>
      <c r="O2929" t="s">
        <v>26523</v>
      </c>
      <c r="P2929" t="s">
        <v>26560</v>
      </c>
      <c r="Q2929" t="s">
        <v>26573</v>
      </c>
      <c r="R2929" t="s">
        <v>26580</v>
      </c>
      <c r="S2929" t="s">
        <v>18959</v>
      </c>
      <c r="U2929" t="s">
        <v>26604</v>
      </c>
      <c r="V2929" t="s">
        <v>26610</v>
      </c>
      <c r="W2929" t="s">
        <v>644</v>
      </c>
      <c r="X2929">
        <v>1025</v>
      </c>
      <c r="Y2929" t="s">
        <v>26651</v>
      </c>
      <c r="Z2929" t="s">
        <v>26664</v>
      </c>
      <c r="AA2929" t="s">
        <v>26682</v>
      </c>
      <c r="AB2929" t="s">
        <v>29230</v>
      </c>
      <c r="AD2929" t="s">
        <v>39283</v>
      </c>
      <c r="AE2929">
        <v>0</v>
      </c>
      <c r="AF2929" t="s">
        <v>20460</v>
      </c>
      <c r="AG2929" t="s">
        <v>19330</v>
      </c>
      <c r="AH2929">
        <v>2</v>
      </c>
      <c r="AI2929">
        <v>1</v>
      </c>
      <c r="AJ2929">
        <v>3</v>
      </c>
      <c r="AK2929">
        <v>155.38</v>
      </c>
      <c r="AN2929" t="s">
        <v>7439</v>
      </c>
      <c r="AO2929">
        <v>39000</v>
      </c>
      <c r="AQ2929" t="s">
        <v>46362</v>
      </c>
      <c r="AR2929" t="s">
        <v>46471</v>
      </c>
      <c r="AS2929" t="s">
        <v>46499</v>
      </c>
      <c r="AT2929" t="s">
        <v>46664</v>
      </c>
      <c r="AU2929">
        <v>13.2</v>
      </c>
      <c r="AV2929" t="s">
        <v>739</v>
      </c>
      <c r="AW2929" t="s">
        <v>314</v>
      </c>
      <c r="AX2929" t="s">
        <v>46897</v>
      </c>
    </row>
    <row r="2930" spans="1:50">
      <c r="A2930" s="1">
        <f>HYPERLINK("https://lsnyc.legalserver.org/matter/dynamic-profile/view/1881333","18-1881333")</f>
        <v>0</v>
      </c>
      <c r="B2930" t="s">
        <v>214</v>
      </c>
      <c r="C2930" t="s">
        <v>341</v>
      </c>
      <c r="D2930" t="s">
        <v>632</v>
      </c>
      <c r="E2930" t="s">
        <v>665</v>
      </c>
      <c r="F2930" t="s">
        <v>1299</v>
      </c>
      <c r="G2930" t="s">
        <v>6536</v>
      </c>
      <c r="H2930" t="s">
        <v>9742</v>
      </c>
      <c r="J2930" t="s">
        <v>18898</v>
      </c>
      <c r="K2930">
        <v>11691</v>
      </c>
      <c r="L2930" t="s">
        <v>18958</v>
      </c>
      <c r="M2930" t="s">
        <v>18958</v>
      </c>
      <c r="N2930" t="s">
        <v>21128</v>
      </c>
      <c r="O2930" t="s">
        <v>26523</v>
      </c>
      <c r="P2930" t="s">
        <v>26560</v>
      </c>
      <c r="Q2930" t="s">
        <v>26568</v>
      </c>
      <c r="R2930" t="s">
        <v>26578</v>
      </c>
      <c r="S2930" t="s">
        <v>18958</v>
      </c>
      <c r="U2930" t="s">
        <v>26604</v>
      </c>
      <c r="V2930" t="s">
        <v>26612</v>
      </c>
      <c r="W2930" t="s">
        <v>644</v>
      </c>
      <c r="X2930">
        <v>1075</v>
      </c>
      <c r="Y2930" t="s">
        <v>26653</v>
      </c>
      <c r="Z2930" t="s">
        <v>26664</v>
      </c>
      <c r="AA2930" t="s">
        <v>26678</v>
      </c>
      <c r="AB2930" t="s">
        <v>29231</v>
      </c>
      <c r="AC2930" t="s">
        <v>35362</v>
      </c>
      <c r="AD2930" t="s">
        <v>39284</v>
      </c>
      <c r="AE2930">
        <v>602</v>
      </c>
      <c r="AF2930" t="s">
        <v>20460</v>
      </c>
      <c r="AG2930" t="s">
        <v>26530</v>
      </c>
      <c r="AH2930">
        <v>10</v>
      </c>
      <c r="AI2930">
        <v>2</v>
      </c>
      <c r="AJ2930">
        <v>3</v>
      </c>
      <c r="AK2930">
        <v>108.77</v>
      </c>
      <c r="AN2930" t="s">
        <v>7439</v>
      </c>
      <c r="AO2930">
        <v>32000</v>
      </c>
      <c r="AQ2930" t="s">
        <v>46359</v>
      </c>
      <c r="AR2930" t="s">
        <v>46380</v>
      </c>
      <c r="AS2930" t="s">
        <v>46499</v>
      </c>
      <c r="AT2930" t="s">
        <v>46587</v>
      </c>
      <c r="AU2930">
        <v>4.15</v>
      </c>
      <c r="AV2930" t="s">
        <v>603</v>
      </c>
      <c r="AW2930" t="s">
        <v>247</v>
      </c>
    </row>
    <row r="2931" spans="1:50">
      <c r="A2931" s="1">
        <f>HYPERLINK("https://lsnyc.legalserver.org/matter/dynamic-profile/view/1881329","18-1881329")</f>
        <v>0</v>
      </c>
      <c r="B2931" t="s">
        <v>199</v>
      </c>
      <c r="C2931" t="s">
        <v>341</v>
      </c>
      <c r="D2931" t="s">
        <v>632</v>
      </c>
      <c r="E2931" t="s">
        <v>698</v>
      </c>
      <c r="F2931" t="s">
        <v>2116</v>
      </c>
      <c r="G2931" t="s">
        <v>6297</v>
      </c>
      <c r="H2931" t="s">
        <v>11395</v>
      </c>
      <c r="I2931">
        <v>26</v>
      </c>
      <c r="J2931" t="s">
        <v>18894</v>
      </c>
      <c r="K2931">
        <v>11238</v>
      </c>
      <c r="L2931" t="s">
        <v>18958</v>
      </c>
      <c r="M2931" t="s">
        <v>18958</v>
      </c>
      <c r="O2931" t="s">
        <v>18997</v>
      </c>
      <c r="P2931" t="s">
        <v>26562</v>
      </c>
      <c r="Q2931" t="s">
        <v>26571</v>
      </c>
      <c r="R2931" t="s">
        <v>26578</v>
      </c>
      <c r="U2931" t="s">
        <v>26604</v>
      </c>
      <c r="V2931" t="s">
        <v>26610</v>
      </c>
      <c r="W2931" t="s">
        <v>644</v>
      </c>
      <c r="X2931">
        <v>1116.53</v>
      </c>
      <c r="Y2931" t="s">
        <v>26652</v>
      </c>
      <c r="Z2931" t="s">
        <v>26659</v>
      </c>
      <c r="AA2931" t="s">
        <v>26681</v>
      </c>
      <c r="AB2931" t="s">
        <v>28388</v>
      </c>
      <c r="AC2931" t="s">
        <v>35141</v>
      </c>
      <c r="AD2931" t="s">
        <v>38647</v>
      </c>
      <c r="AE2931">
        <v>41</v>
      </c>
      <c r="AF2931" t="s">
        <v>45541</v>
      </c>
      <c r="AH2931">
        <v>15</v>
      </c>
      <c r="AI2931">
        <v>2</v>
      </c>
      <c r="AJ2931">
        <v>0</v>
      </c>
      <c r="AK2931">
        <v>160.17</v>
      </c>
      <c r="AN2931" t="s">
        <v>7439</v>
      </c>
      <c r="AO2931">
        <v>26364</v>
      </c>
      <c r="AR2931" t="s">
        <v>26530</v>
      </c>
      <c r="AS2931" t="s">
        <v>46499</v>
      </c>
      <c r="AT2931" t="s">
        <v>46686</v>
      </c>
      <c r="AU2931">
        <v>12.2</v>
      </c>
      <c r="AV2931" t="s">
        <v>698</v>
      </c>
      <c r="AW2931" t="s">
        <v>281</v>
      </c>
    </row>
    <row r="2932" spans="1:50">
      <c r="A2932" s="1">
        <f>HYPERLINK("https://lsnyc.legalserver.org/matter/dynamic-profile/view/1881387","18-1881387")</f>
        <v>0</v>
      </c>
      <c r="B2932" t="s">
        <v>54</v>
      </c>
      <c r="C2932" t="s">
        <v>341</v>
      </c>
      <c r="D2932" t="s">
        <v>632</v>
      </c>
      <c r="E2932" t="s">
        <v>809</v>
      </c>
      <c r="F2932" t="s">
        <v>2455</v>
      </c>
      <c r="G2932" t="s">
        <v>5896</v>
      </c>
      <c r="H2932" t="s">
        <v>11954</v>
      </c>
      <c r="I2932" t="s">
        <v>17432</v>
      </c>
      <c r="J2932" t="s">
        <v>18892</v>
      </c>
      <c r="K2932">
        <v>10460</v>
      </c>
      <c r="L2932" t="s">
        <v>18958</v>
      </c>
      <c r="M2932" t="s">
        <v>18958</v>
      </c>
      <c r="N2932" t="s">
        <v>21129</v>
      </c>
      <c r="O2932" t="s">
        <v>26523</v>
      </c>
      <c r="P2932" t="s">
        <v>26560</v>
      </c>
      <c r="Q2932" t="s">
        <v>26568</v>
      </c>
      <c r="R2932" t="s">
        <v>26577</v>
      </c>
      <c r="S2932" t="s">
        <v>18959</v>
      </c>
      <c r="U2932" t="s">
        <v>26604</v>
      </c>
      <c r="V2932" t="s">
        <v>26612</v>
      </c>
      <c r="W2932" t="s">
        <v>644</v>
      </c>
      <c r="X2932">
        <v>1617</v>
      </c>
      <c r="Y2932" t="s">
        <v>26650</v>
      </c>
      <c r="Z2932" t="s">
        <v>26663</v>
      </c>
      <c r="AA2932" t="s">
        <v>26678</v>
      </c>
      <c r="AB2932" t="s">
        <v>29232</v>
      </c>
      <c r="AD2932" t="s">
        <v>39285</v>
      </c>
      <c r="AE2932">
        <v>238</v>
      </c>
      <c r="AF2932" t="s">
        <v>45541</v>
      </c>
      <c r="AG2932" t="s">
        <v>19330</v>
      </c>
      <c r="AH2932">
        <v>6</v>
      </c>
      <c r="AI2932">
        <v>2</v>
      </c>
      <c r="AJ2932">
        <v>0</v>
      </c>
      <c r="AK2932">
        <v>160.39</v>
      </c>
      <c r="AN2932" t="s">
        <v>7439</v>
      </c>
      <c r="AO2932">
        <v>26400</v>
      </c>
      <c r="AQ2932" t="s">
        <v>46365</v>
      </c>
      <c r="AR2932" t="s">
        <v>46379</v>
      </c>
      <c r="AS2932" t="s">
        <v>46499</v>
      </c>
      <c r="AT2932" t="s">
        <v>46506</v>
      </c>
      <c r="AU2932">
        <v>6.4</v>
      </c>
      <c r="AV2932" t="s">
        <v>735</v>
      </c>
      <c r="AW2932" t="s">
        <v>267</v>
      </c>
    </row>
    <row r="2933" spans="1:50">
      <c r="A2933" s="1">
        <f>HYPERLINK("https://lsnyc.legalserver.org/matter/dynamic-profile/view/1881314","18-1881314")</f>
        <v>0</v>
      </c>
      <c r="B2933" t="s">
        <v>199</v>
      </c>
      <c r="C2933" t="s">
        <v>340</v>
      </c>
      <c r="D2933" t="s">
        <v>632</v>
      </c>
      <c r="F2933" t="s">
        <v>1235</v>
      </c>
      <c r="G2933" t="s">
        <v>6665</v>
      </c>
      <c r="H2933" t="s">
        <v>11935</v>
      </c>
      <c r="I2933" t="s">
        <v>17332</v>
      </c>
      <c r="J2933" t="s">
        <v>18894</v>
      </c>
      <c r="K2933">
        <v>11216</v>
      </c>
      <c r="L2933" t="s">
        <v>18958</v>
      </c>
      <c r="M2933" t="s">
        <v>18958</v>
      </c>
      <c r="N2933" t="s">
        <v>21130</v>
      </c>
      <c r="O2933" t="s">
        <v>26523</v>
      </c>
      <c r="P2933" t="s">
        <v>26560</v>
      </c>
      <c r="R2933" t="s">
        <v>26588</v>
      </c>
      <c r="U2933" t="s">
        <v>26604</v>
      </c>
      <c r="V2933" t="s">
        <v>26610</v>
      </c>
      <c r="W2933" t="s">
        <v>644</v>
      </c>
      <c r="X2933">
        <v>1414</v>
      </c>
      <c r="Y2933" t="s">
        <v>26652</v>
      </c>
      <c r="Z2933" t="s">
        <v>26659</v>
      </c>
      <c r="AB2933" t="s">
        <v>29206</v>
      </c>
      <c r="AC2933" t="s">
        <v>35353</v>
      </c>
      <c r="AD2933" t="s">
        <v>39263</v>
      </c>
      <c r="AE2933">
        <v>6</v>
      </c>
      <c r="AF2933" t="s">
        <v>45541</v>
      </c>
      <c r="AH2933">
        <v>8</v>
      </c>
      <c r="AI2933">
        <v>2</v>
      </c>
      <c r="AJ2933">
        <v>7</v>
      </c>
      <c r="AK2933">
        <v>87.16</v>
      </c>
      <c r="AN2933" t="s">
        <v>45581</v>
      </c>
      <c r="AO2933">
        <v>40704</v>
      </c>
      <c r="AQ2933" t="s">
        <v>46361</v>
      </c>
      <c r="AR2933" t="s">
        <v>46407</v>
      </c>
      <c r="AS2933" t="s">
        <v>46499</v>
      </c>
      <c r="AT2933" t="s">
        <v>46761</v>
      </c>
      <c r="AU2933">
        <v>30.3</v>
      </c>
      <c r="AV2933" t="s">
        <v>813</v>
      </c>
      <c r="AW2933" t="s">
        <v>281</v>
      </c>
    </row>
    <row r="2934" spans="1:50">
      <c r="A2934" s="1">
        <f>HYPERLINK("https://lsnyc.legalserver.org/matter/dynamic-profile/view/1881449","18-1881449")</f>
        <v>0</v>
      </c>
      <c r="B2934" t="s">
        <v>169</v>
      </c>
      <c r="C2934" t="s">
        <v>341</v>
      </c>
      <c r="D2934" t="s">
        <v>624</v>
      </c>
      <c r="E2934" t="s">
        <v>666</v>
      </c>
      <c r="F2934" t="s">
        <v>2456</v>
      </c>
      <c r="G2934" t="s">
        <v>6338</v>
      </c>
      <c r="H2934" t="s">
        <v>11955</v>
      </c>
      <c r="I2934">
        <v>27</v>
      </c>
      <c r="J2934" t="s">
        <v>18892</v>
      </c>
      <c r="K2934">
        <v>10463</v>
      </c>
      <c r="L2934" t="s">
        <v>18958</v>
      </c>
      <c r="M2934" t="s">
        <v>18958</v>
      </c>
      <c r="O2934" t="s">
        <v>26534</v>
      </c>
      <c r="P2934" t="s">
        <v>26564</v>
      </c>
      <c r="Q2934" t="s">
        <v>26570</v>
      </c>
      <c r="R2934" t="s">
        <v>26578</v>
      </c>
      <c r="U2934" t="s">
        <v>26604</v>
      </c>
      <c r="W2934" t="s">
        <v>644</v>
      </c>
      <c r="X2934">
        <v>1400</v>
      </c>
      <c r="Y2934" t="s">
        <v>26650</v>
      </c>
      <c r="Z2934" t="s">
        <v>26670</v>
      </c>
      <c r="AA2934" t="s">
        <v>26683</v>
      </c>
      <c r="AB2934" t="s">
        <v>29233</v>
      </c>
      <c r="AD2934" t="s">
        <v>39286</v>
      </c>
      <c r="AE2934">
        <v>28</v>
      </c>
      <c r="AF2934" t="s">
        <v>45541</v>
      </c>
      <c r="AG2934" t="s">
        <v>45559</v>
      </c>
      <c r="AH2934">
        <v>35</v>
      </c>
      <c r="AI2934">
        <v>2</v>
      </c>
      <c r="AJ2934">
        <v>0</v>
      </c>
      <c r="AK2934">
        <v>118.18</v>
      </c>
      <c r="AN2934" t="s">
        <v>7439</v>
      </c>
      <c r="AO2934">
        <v>19452</v>
      </c>
      <c r="AP2934" t="s">
        <v>45772</v>
      </c>
      <c r="AU2934">
        <v>1.3</v>
      </c>
      <c r="AV2934" t="s">
        <v>644</v>
      </c>
      <c r="AW2934" t="s">
        <v>46842</v>
      </c>
    </row>
    <row r="2935" spans="1:50">
      <c r="A2935" s="1">
        <f>HYPERLINK("https://lsnyc.legalserver.org/matter/dynamic-profile/view/1881517","18-1881517")</f>
        <v>0</v>
      </c>
      <c r="B2935" t="s">
        <v>207</v>
      </c>
      <c r="C2935" t="s">
        <v>341</v>
      </c>
      <c r="D2935" t="s">
        <v>624</v>
      </c>
      <c r="E2935" t="s">
        <v>685</v>
      </c>
      <c r="F2935" t="s">
        <v>1637</v>
      </c>
      <c r="G2935" t="s">
        <v>5269</v>
      </c>
      <c r="H2935" t="s">
        <v>11956</v>
      </c>
      <c r="I2935" t="s">
        <v>17409</v>
      </c>
      <c r="J2935" t="s">
        <v>18894</v>
      </c>
      <c r="K2935">
        <v>11225</v>
      </c>
      <c r="L2935" t="s">
        <v>18958</v>
      </c>
      <c r="M2935" t="s">
        <v>18960</v>
      </c>
      <c r="N2935" t="s">
        <v>21131</v>
      </c>
      <c r="O2935" t="s">
        <v>26523</v>
      </c>
      <c r="P2935" t="s">
        <v>26560</v>
      </c>
      <c r="Q2935" t="s">
        <v>26568</v>
      </c>
      <c r="R2935" t="s">
        <v>26588</v>
      </c>
      <c r="U2935" t="s">
        <v>26604</v>
      </c>
      <c r="W2935" t="s">
        <v>644</v>
      </c>
      <c r="X2935">
        <v>694</v>
      </c>
      <c r="Y2935" t="s">
        <v>26652</v>
      </c>
      <c r="Z2935" t="s">
        <v>26659</v>
      </c>
      <c r="AA2935" t="s">
        <v>26678</v>
      </c>
      <c r="AB2935" t="s">
        <v>29234</v>
      </c>
      <c r="AD2935" t="s">
        <v>39287</v>
      </c>
      <c r="AE2935">
        <v>44</v>
      </c>
      <c r="AF2935" t="s">
        <v>45541</v>
      </c>
      <c r="AG2935" t="s">
        <v>19330</v>
      </c>
      <c r="AH2935">
        <v>28</v>
      </c>
      <c r="AI2935">
        <v>2</v>
      </c>
      <c r="AJ2935">
        <v>1</v>
      </c>
      <c r="AK2935">
        <v>99.90000000000001</v>
      </c>
      <c r="AN2935" t="s">
        <v>7439</v>
      </c>
      <c r="AO2935">
        <v>20760</v>
      </c>
      <c r="AS2935" t="s">
        <v>46499</v>
      </c>
      <c r="AT2935" t="s">
        <v>46507</v>
      </c>
      <c r="AU2935">
        <v>15.1</v>
      </c>
      <c r="AV2935" t="s">
        <v>415</v>
      </c>
      <c r="AW2935" t="s">
        <v>46853</v>
      </c>
    </row>
    <row r="2936" spans="1:50">
      <c r="A2936" s="1">
        <f>HYPERLINK("https://lsnyc.legalserver.org/matter/dynamic-profile/view/1881629","18-1881629")</f>
        <v>0</v>
      </c>
      <c r="B2936" t="s">
        <v>53</v>
      </c>
      <c r="C2936" t="s">
        <v>341</v>
      </c>
      <c r="D2936" t="s">
        <v>618</v>
      </c>
      <c r="E2936" t="s">
        <v>832</v>
      </c>
      <c r="F2936" t="s">
        <v>1798</v>
      </c>
      <c r="G2936" t="s">
        <v>6673</v>
      </c>
      <c r="H2936" t="s">
        <v>11602</v>
      </c>
      <c r="I2936" t="s">
        <v>17902</v>
      </c>
      <c r="J2936" t="s">
        <v>18892</v>
      </c>
      <c r="K2936">
        <v>10467</v>
      </c>
      <c r="L2936" t="s">
        <v>18958</v>
      </c>
      <c r="M2936" t="s">
        <v>18958</v>
      </c>
      <c r="N2936" t="s">
        <v>21132</v>
      </c>
      <c r="O2936" t="s">
        <v>26523</v>
      </c>
      <c r="P2936" t="s">
        <v>26560</v>
      </c>
      <c r="Q2936" t="s">
        <v>26568</v>
      </c>
      <c r="R2936" t="s">
        <v>26579</v>
      </c>
      <c r="S2936" t="s">
        <v>18959</v>
      </c>
      <c r="U2936" t="s">
        <v>26604</v>
      </c>
      <c r="V2936" t="s">
        <v>26612</v>
      </c>
      <c r="W2936" t="s">
        <v>644</v>
      </c>
      <c r="X2936">
        <v>1239</v>
      </c>
      <c r="Y2936" t="s">
        <v>26650</v>
      </c>
      <c r="Z2936" t="s">
        <v>26659</v>
      </c>
      <c r="AA2936" t="s">
        <v>26678</v>
      </c>
      <c r="AB2936" t="s">
        <v>29235</v>
      </c>
      <c r="AC2936" t="s">
        <v>35363</v>
      </c>
      <c r="AD2936" t="s">
        <v>39288</v>
      </c>
      <c r="AE2936">
        <v>48</v>
      </c>
      <c r="AF2936" t="s">
        <v>45541</v>
      </c>
      <c r="AG2936" t="s">
        <v>19330</v>
      </c>
      <c r="AH2936">
        <v>6</v>
      </c>
      <c r="AI2936">
        <v>1</v>
      </c>
      <c r="AJ2936">
        <v>6</v>
      </c>
      <c r="AK2936">
        <v>0</v>
      </c>
      <c r="AN2936" t="s">
        <v>45581</v>
      </c>
      <c r="AO2936">
        <v>0</v>
      </c>
      <c r="AQ2936" t="s">
        <v>46365</v>
      </c>
      <c r="AR2936" t="s">
        <v>46408</v>
      </c>
      <c r="AS2936" t="s">
        <v>46499</v>
      </c>
      <c r="AT2936" t="s">
        <v>46506</v>
      </c>
      <c r="AU2936">
        <v>19.1</v>
      </c>
      <c r="AV2936" t="s">
        <v>832</v>
      </c>
      <c r="AW2936" t="s">
        <v>46860</v>
      </c>
      <c r="AX2936" t="s">
        <v>46897</v>
      </c>
    </row>
    <row r="2937" spans="1:50">
      <c r="A2937" s="1">
        <f>HYPERLINK("https://lsnyc.legalserver.org/matter/dynamic-profile/view/1881586","18-1881586")</f>
        <v>0</v>
      </c>
      <c r="B2937" t="s">
        <v>84</v>
      </c>
      <c r="C2937" t="s">
        <v>340</v>
      </c>
      <c r="D2937" t="s">
        <v>618</v>
      </c>
      <c r="F2937" t="s">
        <v>2066</v>
      </c>
      <c r="G2937" t="s">
        <v>5691</v>
      </c>
      <c r="H2937" t="s">
        <v>11957</v>
      </c>
      <c r="I2937">
        <v>54</v>
      </c>
      <c r="J2937" t="s">
        <v>18893</v>
      </c>
      <c r="K2937">
        <v>10031</v>
      </c>
      <c r="L2937" t="s">
        <v>18958</v>
      </c>
      <c r="M2937" t="s">
        <v>18958</v>
      </c>
      <c r="N2937" t="s">
        <v>21133</v>
      </c>
      <c r="O2937" t="s">
        <v>26523</v>
      </c>
      <c r="P2937" t="s">
        <v>26564</v>
      </c>
      <c r="R2937" t="s">
        <v>26578</v>
      </c>
      <c r="S2937" t="s">
        <v>18959</v>
      </c>
      <c r="U2937" t="s">
        <v>26604</v>
      </c>
      <c r="V2937" t="s">
        <v>26610</v>
      </c>
      <c r="W2937" t="s">
        <v>644</v>
      </c>
      <c r="X2937">
        <v>787.74</v>
      </c>
      <c r="Y2937" t="s">
        <v>26651</v>
      </c>
      <c r="Z2937" t="s">
        <v>26659</v>
      </c>
      <c r="AB2937" t="s">
        <v>29236</v>
      </c>
      <c r="AD2937" t="s">
        <v>39289</v>
      </c>
      <c r="AE2937">
        <v>0</v>
      </c>
      <c r="AF2937" t="s">
        <v>45541</v>
      </c>
      <c r="AG2937" t="s">
        <v>19330</v>
      </c>
      <c r="AH2937">
        <v>33</v>
      </c>
      <c r="AI2937">
        <v>1</v>
      </c>
      <c r="AJ2937">
        <v>0</v>
      </c>
      <c r="AK2937">
        <v>214.17</v>
      </c>
      <c r="AN2937" t="s">
        <v>45581</v>
      </c>
      <c r="AO2937">
        <v>26000</v>
      </c>
      <c r="AU2937">
        <v>0.6</v>
      </c>
      <c r="AV2937" t="s">
        <v>646</v>
      </c>
      <c r="AW2937" t="s">
        <v>314</v>
      </c>
    </row>
    <row r="2938" spans="1:50">
      <c r="A2938" s="1">
        <f>HYPERLINK("https://lsnyc.legalserver.org/matter/dynamic-profile/view/1881779","18-1881779")</f>
        <v>0</v>
      </c>
      <c r="B2938" t="s">
        <v>199</v>
      </c>
      <c r="C2938" t="s">
        <v>341</v>
      </c>
      <c r="D2938" t="s">
        <v>643</v>
      </c>
      <c r="E2938" t="s">
        <v>816</v>
      </c>
      <c r="F2938" t="s">
        <v>1603</v>
      </c>
      <c r="G2938" t="s">
        <v>6674</v>
      </c>
      <c r="H2938" t="s">
        <v>11958</v>
      </c>
      <c r="I2938" t="s">
        <v>17903</v>
      </c>
      <c r="J2938" t="s">
        <v>18894</v>
      </c>
      <c r="K2938">
        <v>11213</v>
      </c>
      <c r="L2938" t="s">
        <v>18958</v>
      </c>
      <c r="M2938" t="s">
        <v>18958</v>
      </c>
      <c r="O2938" t="s">
        <v>18997</v>
      </c>
      <c r="P2938" t="s">
        <v>26562</v>
      </c>
      <c r="Q2938" t="s">
        <v>26569</v>
      </c>
      <c r="R2938" t="s">
        <v>26578</v>
      </c>
      <c r="S2938" t="s">
        <v>18959</v>
      </c>
      <c r="U2938" t="s">
        <v>26607</v>
      </c>
      <c r="W2938" t="s">
        <v>644</v>
      </c>
      <c r="X2938">
        <v>1700</v>
      </c>
      <c r="Y2938" t="s">
        <v>26652</v>
      </c>
      <c r="Z2938" t="s">
        <v>26659</v>
      </c>
      <c r="AA2938" t="s">
        <v>26684</v>
      </c>
      <c r="AB2938" t="s">
        <v>29237</v>
      </c>
      <c r="AD2938" t="s">
        <v>39290</v>
      </c>
      <c r="AE2938">
        <v>54</v>
      </c>
      <c r="AF2938" t="s">
        <v>45543</v>
      </c>
      <c r="AG2938" t="s">
        <v>45556</v>
      </c>
      <c r="AH2938">
        <v>5</v>
      </c>
      <c r="AI2938">
        <v>1</v>
      </c>
      <c r="AJ2938">
        <v>0</v>
      </c>
      <c r="AK2938">
        <v>231.76</v>
      </c>
      <c r="AN2938" t="s">
        <v>7439</v>
      </c>
      <c r="AO2938">
        <v>28136</v>
      </c>
      <c r="AR2938" t="s">
        <v>46472</v>
      </c>
      <c r="AS2938" t="s">
        <v>46499</v>
      </c>
      <c r="AT2938" t="s">
        <v>46605</v>
      </c>
      <c r="AU2938">
        <v>1.25</v>
      </c>
      <c r="AV2938" t="s">
        <v>816</v>
      </c>
      <c r="AW2938" t="s">
        <v>46853</v>
      </c>
    </row>
    <row r="2939" spans="1:50">
      <c r="A2939" s="1">
        <f>HYPERLINK("https://lsnyc.legalserver.org/matter/dynamic-profile/view/1881758","18-1881758")</f>
        <v>0</v>
      </c>
      <c r="B2939" t="s">
        <v>147</v>
      </c>
      <c r="C2939" t="s">
        <v>340</v>
      </c>
      <c r="D2939" t="s">
        <v>643</v>
      </c>
      <c r="F2939" t="s">
        <v>2072</v>
      </c>
      <c r="G2939" t="s">
        <v>5570</v>
      </c>
      <c r="H2939" t="s">
        <v>11959</v>
      </c>
      <c r="I2939">
        <v>26</v>
      </c>
      <c r="J2939" t="s">
        <v>18894</v>
      </c>
      <c r="K2939">
        <v>11215</v>
      </c>
      <c r="L2939" t="s">
        <v>18958</v>
      </c>
      <c r="M2939" t="s">
        <v>18958</v>
      </c>
      <c r="N2939" t="s">
        <v>21134</v>
      </c>
      <c r="O2939" t="s">
        <v>26524</v>
      </c>
      <c r="P2939" t="s">
        <v>26560</v>
      </c>
      <c r="R2939" t="s">
        <v>26578</v>
      </c>
      <c r="S2939" t="s">
        <v>18959</v>
      </c>
      <c r="U2939" t="s">
        <v>26604</v>
      </c>
      <c r="V2939" t="s">
        <v>26610</v>
      </c>
      <c r="W2939" t="s">
        <v>644</v>
      </c>
      <c r="X2939">
        <v>1380</v>
      </c>
      <c r="Y2939" t="s">
        <v>26652</v>
      </c>
      <c r="Z2939" t="s">
        <v>26664</v>
      </c>
      <c r="AB2939" t="s">
        <v>29238</v>
      </c>
      <c r="AD2939" t="s">
        <v>39291</v>
      </c>
      <c r="AE2939">
        <v>26</v>
      </c>
      <c r="AF2939" t="s">
        <v>45541</v>
      </c>
      <c r="AG2939" t="s">
        <v>19330</v>
      </c>
      <c r="AH2939">
        <v>7</v>
      </c>
      <c r="AI2939">
        <v>1</v>
      </c>
      <c r="AJ2939">
        <v>2</v>
      </c>
      <c r="AK2939">
        <v>187.68</v>
      </c>
      <c r="AN2939" t="s">
        <v>7439</v>
      </c>
      <c r="AO2939">
        <v>39000</v>
      </c>
      <c r="AU2939">
        <v>124.5</v>
      </c>
      <c r="AV2939" t="s">
        <v>839</v>
      </c>
      <c r="AW2939" t="s">
        <v>281</v>
      </c>
    </row>
    <row r="2940" spans="1:50">
      <c r="A2940" s="1">
        <f>HYPERLINK("https://lsnyc.legalserver.org/matter/dynamic-profile/view/1881708","18-1881708")</f>
        <v>0</v>
      </c>
      <c r="B2940" t="s">
        <v>212</v>
      </c>
      <c r="C2940" t="s">
        <v>340</v>
      </c>
      <c r="D2940" t="s">
        <v>643</v>
      </c>
      <c r="F2940" t="s">
        <v>1106</v>
      </c>
      <c r="G2940" t="s">
        <v>6675</v>
      </c>
      <c r="H2940" t="s">
        <v>11960</v>
      </c>
      <c r="I2940" t="s">
        <v>17348</v>
      </c>
      <c r="J2940" t="s">
        <v>18914</v>
      </c>
      <c r="K2940">
        <v>11104</v>
      </c>
      <c r="L2940" t="s">
        <v>18958</v>
      </c>
      <c r="M2940" t="s">
        <v>18958</v>
      </c>
      <c r="N2940" t="s">
        <v>19840</v>
      </c>
      <c r="O2940" t="s">
        <v>26524</v>
      </c>
      <c r="P2940" t="s">
        <v>26560</v>
      </c>
      <c r="R2940" t="s">
        <v>26578</v>
      </c>
      <c r="S2940" t="s">
        <v>18959</v>
      </c>
      <c r="U2940" t="s">
        <v>26604</v>
      </c>
      <c r="V2940" t="s">
        <v>26610</v>
      </c>
      <c r="W2940" t="s">
        <v>644</v>
      </c>
      <c r="X2940">
        <v>1142</v>
      </c>
      <c r="Y2940" t="s">
        <v>26653</v>
      </c>
      <c r="Z2940" t="s">
        <v>26664</v>
      </c>
      <c r="AB2940" t="s">
        <v>29239</v>
      </c>
      <c r="AD2940" t="s">
        <v>39292</v>
      </c>
      <c r="AE2940">
        <v>54</v>
      </c>
      <c r="AF2940" t="s">
        <v>45541</v>
      </c>
      <c r="AG2940" t="s">
        <v>19330</v>
      </c>
      <c r="AH2940">
        <v>36</v>
      </c>
      <c r="AI2940">
        <v>1</v>
      </c>
      <c r="AJ2940">
        <v>0</v>
      </c>
      <c r="AK2940">
        <v>168.86</v>
      </c>
      <c r="AN2940" t="s">
        <v>7439</v>
      </c>
      <c r="AO2940">
        <v>20500</v>
      </c>
      <c r="AQ2940" t="s">
        <v>46361</v>
      </c>
      <c r="AR2940" t="s">
        <v>46473</v>
      </c>
      <c r="AU2940">
        <v>15.7</v>
      </c>
      <c r="AV2940" t="s">
        <v>784</v>
      </c>
      <c r="AW2940" t="s">
        <v>122</v>
      </c>
    </row>
    <row r="2941" spans="1:50">
      <c r="A2941" s="1">
        <f>HYPERLINK("https://lsnyc.legalserver.org/matter/dynamic-profile/view/1881944","18-1881944")</f>
        <v>0</v>
      </c>
      <c r="B2941" t="s">
        <v>121</v>
      </c>
      <c r="C2941" t="s">
        <v>340</v>
      </c>
      <c r="D2941" t="s">
        <v>645</v>
      </c>
      <c r="F2941" t="s">
        <v>887</v>
      </c>
      <c r="G2941" t="s">
        <v>6676</v>
      </c>
      <c r="H2941" t="s">
        <v>11961</v>
      </c>
      <c r="I2941" t="s">
        <v>17378</v>
      </c>
      <c r="J2941" t="s">
        <v>18892</v>
      </c>
      <c r="K2941">
        <v>10467</v>
      </c>
      <c r="L2941" t="s">
        <v>18958</v>
      </c>
      <c r="M2941" t="s">
        <v>18958</v>
      </c>
      <c r="N2941" t="s">
        <v>21135</v>
      </c>
      <c r="O2941" t="s">
        <v>26523</v>
      </c>
      <c r="P2941" t="s">
        <v>26560</v>
      </c>
      <c r="R2941" t="s">
        <v>26579</v>
      </c>
      <c r="U2941" t="s">
        <v>26604</v>
      </c>
      <c r="V2941" t="s">
        <v>26610</v>
      </c>
      <c r="W2941" t="s">
        <v>644</v>
      </c>
      <c r="X2941">
        <v>1299</v>
      </c>
      <c r="Y2941" t="s">
        <v>26650</v>
      </c>
      <c r="Z2941" t="s">
        <v>26657</v>
      </c>
      <c r="AB2941" t="s">
        <v>29240</v>
      </c>
      <c r="AD2941" t="s">
        <v>39293</v>
      </c>
      <c r="AE2941">
        <v>0</v>
      </c>
      <c r="AF2941" t="s">
        <v>20460</v>
      </c>
      <c r="AG2941" t="s">
        <v>45561</v>
      </c>
      <c r="AH2941">
        <v>6</v>
      </c>
      <c r="AI2941">
        <v>2</v>
      </c>
      <c r="AJ2941">
        <v>0</v>
      </c>
      <c r="AK2941">
        <v>56.35</v>
      </c>
      <c r="AN2941" t="s">
        <v>7439</v>
      </c>
      <c r="AO2941">
        <v>9276</v>
      </c>
      <c r="AU2941">
        <v>8.699999999999999</v>
      </c>
      <c r="AV2941" t="s">
        <v>752</v>
      </c>
      <c r="AW2941" t="s">
        <v>46859</v>
      </c>
    </row>
    <row r="2942" spans="1:50">
      <c r="A2942" s="1">
        <f>HYPERLINK("https://lsnyc.legalserver.org/matter/dynamic-profile/view/1881860","18-1881860")</f>
        <v>0</v>
      </c>
      <c r="B2942" t="s">
        <v>69</v>
      </c>
      <c r="C2942" t="s">
        <v>340</v>
      </c>
      <c r="D2942" t="s">
        <v>645</v>
      </c>
      <c r="F2942" t="s">
        <v>2457</v>
      </c>
      <c r="G2942" t="s">
        <v>5199</v>
      </c>
      <c r="H2942" t="s">
        <v>11962</v>
      </c>
      <c r="I2942" t="s">
        <v>17354</v>
      </c>
      <c r="J2942" t="s">
        <v>18892</v>
      </c>
      <c r="K2942">
        <v>10456</v>
      </c>
      <c r="L2942" t="s">
        <v>18958</v>
      </c>
      <c r="M2942" t="s">
        <v>18958</v>
      </c>
      <c r="O2942" t="s">
        <v>26524</v>
      </c>
      <c r="P2942" t="s">
        <v>26562</v>
      </c>
      <c r="R2942" t="s">
        <v>26578</v>
      </c>
      <c r="S2942" t="s">
        <v>18959</v>
      </c>
      <c r="U2942" t="s">
        <v>26604</v>
      </c>
      <c r="W2942" t="s">
        <v>644</v>
      </c>
      <c r="X2942">
        <v>971</v>
      </c>
      <c r="Y2942" t="s">
        <v>26650</v>
      </c>
      <c r="Z2942" t="s">
        <v>26659</v>
      </c>
      <c r="AB2942" t="s">
        <v>29241</v>
      </c>
      <c r="AD2942" t="s">
        <v>39294</v>
      </c>
      <c r="AE2942">
        <v>0</v>
      </c>
      <c r="AF2942" t="s">
        <v>45541</v>
      </c>
      <c r="AG2942" t="s">
        <v>45559</v>
      </c>
      <c r="AH2942">
        <v>60</v>
      </c>
      <c r="AI2942">
        <v>2</v>
      </c>
      <c r="AJ2942">
        <v>0</v>
      </c>
      <c r="AK2942">
        <v>207.48</v>
      </c>
      <c r="AN2942" t="s">
        <v>45581</v>
      </c>
      <c r="AO2942">
        <v>34152</v>
      </c>
      <c r="AU2942">
        <v>4.9</v>
      </c>
      <c r="AV2942" t="s">
        <v>659</v>
      </c>
      <c r="AW2942" t="s">
        <v>46870</v>
      </c>
    </row>
    <row r="2943" spans="1:50">
      <c r="A2943" s="1">
        <f>HYPERLINK("https://lsnyc.legalserver.org/matter/dynamic-profile/view/1882066","18-1882066")</f>
        <v>0</v>
      </c>
      <c r="B2943" t="s">
        <v>137</v>
      </c>
      <c r="C2943" t="s">
        <v>341</v>
      </c>
      <c r="D2943" t="s">
        <v>641</v>
      </c>
      <c r="E2943" t="s">
        <v>769</v>
      </c>
      <c r="F2943" t="s">
        <v>1111</v>
      </c>
      <c r="G2943" t="s">
        <v>5141</v>
      </c>
      <c r="H2943" t="s">
        <v>11963</v>
      </c>
      <c r="I2943" t="s">
        <v>17362</v>
      </c>
      <c r="J2943" t="s">
        <v>18892</v>
      </c>
      <c r="K2943">
        <v>10457</v>
      </c>
      <c r="L2943" t="s">
        <v>18958</v>
      </c>
      <c r="M2943" t="s">
        <v>18958</v>
      </c>
      <c r="N2943" t="s">
        <v>21136</v>
      </c>
      <c r="O2943" t="s">
        <v>26523</v>
      </c>
      <c r="P2943" t="s">
        <v>26560</v>
      </c>
      <c r="Q2943" t="s">
        <v>26568</v>
      </c>
      <c r="R2943" t="s">
        <v>26579</v>
      </c>
      <c r="S2943" t="s">
        <v>18959</v>
      </c>
      <c r="U2943" t="s">
        <v>26604</v>
      </c>
      <c r="V2943" t="s">
        <v>26611</v>
      </c>
      <c r="W2943" t="s">
        <v>644</v>
      </c>
      <c r="X2943">
        <v>1126.49</v>
      </c>
      <c r="Y2943" t="s">
        <v>26650</v>
      </c>
      <c r="Z2943" t="s">
        <v>26664</v>
      </c>
      <c r="AA2943" t="s">
        <v>26678</v>
      </c>
      <c r="AB2943" t="s">
        <v>29242</v>
      </c>
      <c r="AD2943" t="s">
        <v>39295</v>
      </c>
      <c r="AE2943">
        <v>27</v>
      </c>
      <c r="AF2943" t="s">
        <v>45541</v>
      </c>
      <c r="AG2943" t="s">
        <v>45556</v>
      </c>
      <c r="AH2943">
        <v>20</v>
      </c>
      <c r="AI2943">
        <v>1</v>
      </c>
      <c r="AJ2943">
        <v>0</v>
      </c>
      <c r="AK2943">
        <v>0</v>
      </c>
      <c r="AN2943" t="s">
        <v>7439</v>
      </c>
      <c r="AO2943">
        <v>0</v>
      </c>
      <c r="AR2943" t="s">
        <v>46383</v>
      </c>
      <c r="AS2943" t="s">
        <v>46499</v>
      </c>
      <c r="AT2943" t="s">
        <v>46554</v>
      </c>
      <c r="AU2943">
        <v>12.75</v>
      </c>
      <c r="AV2943" t="s">
        <v>754</v>
      </c>
      <c r="AW2943" t="s">
        <v>64</v>
      </c>
    </row>
    <row r="2944" spans="1:50">
      <c r="A2944" s="1">
        <f>HYPERLINK("https://lsnyc.legalserver.org/matter/dynamic-profile/view/1882076","18-1882076")</f>
        <v>0</v>
      </c>
      <c r="B2944" t="s">
        <v>245</v>
      </c>
      <c r="C2944" t="s">
        <v>340</v>
      </c>
      <c r="D2944" t="s">
        <v>641</v>
      </c>
      <c r="F2944" t="s">
        <v>972</v>
      </c>
      <c r="G2944" t="s">
        <v>5953</v>
      </c>
      <c r="H2944" t="s">
        <v>11964</v>
      </c>
      <c r="I2944" t="s">
        <v>17306</v>
      </c>
      <c r="J2944" t="s">
        <v>18892</v>
      </c>
      <c r="K2944">
        <v>10457</v>
      </c>
      <c r="L2944" t="s">
        <v>18958</v>
      </c>
      <c r="M2944" t="s">
        <v>18958</v>
      </c>
      <c r="N2944" t="s">
        <v>21137</v>
      </c>
      <c r="O2944" t="s">
        <v>26524</v>
      </c>
      <c r="P2944" t="s">
        <v>26560</v>
      </c>
      <c r="R2944" t="s">
        <v>26579</v>
      </c>
      <c r="S2944" t="s">
        <v>18959</v>
      </c>
      <c r="U2944" t="s">
        <v>26604</v>
      </c>
      <c r="V2944" t="s">
        <v>26609</v>
      </c>
      <c r="W2944" t="s">
        <v>644</v>
      </c>
      <c r="X2944">
        <v>1000</v>
      </c>
      <c r="Y2944" t="s">
        <v>26650</v>
      </c>
      <c r="Z2944" t="s">
        <v>26664</v>
      </c>
      <c r="AB2944" t="s">
        <v>29243</v>
      </c>
      <c r="AD2944" t="s">
        <v>39296</v>
      </c>
      <c r="AE2944">
        <v>32</v>
      </c>
      <c r="AF2944" t="s">
        <v>45541</v>
      </c>
      <c r="AG2944" t="s">
        <v>19330</v>
      </c>
      <c r="AH2944">
        <v>4</v>
      </c>
      <c r="AI2944">
        <v>2</v>
      </c>
      <c r="AJ2944">
        <v>0</v>
      </c>
      <c r="AK2944">
        <v>97.20999999999999</v>
      </c>
      <c r="AN2944" t="s">
        <v>7439</v>
      </c>
      <c r="AO2944">
        <v>16000</v>
      </c>
      <c r="AU2944">
        <v>41.1</v>
      </c>
      <c r="AV2944" t="s">
        <v>839</v>
      </c>
      <c r="AW2944" t="s">
        <v>46847</v>
      </c>
    </row>
    <row r="2945" spans="1:50">
      <c r="A2945" s="1">
        <f>HYPERLINK("https://lsnyc.legalserver.org/matter/dynamic-profile/view/1882004","18-1882004")</f>
        <v>0</v>
      </c>
      <c r="B2945" t="s">
        <v>173</v>
      </c>
      <c r="C2945" t="s">
        <v>340</v>
      </c>
      <c r="D2945" t="s">
        <v>641</v>
      </c>
      <c r="F2945" t="s">
        <v>913</v>
      </c>
      <c r="G2945" t="s">
        <v>5147</v>
      </c>
      <c r="H2945" t="s">
        <v>11965</v>
      </c>
      <c r="I2945" t="s">
        <v>17798</v>
      </c>
      <c r="J2945" t="s">
        <v>18893</v>
      </c>
      <c r="K2945">
        <v>10027</v>
      </c>
      <c r="L2945" t="s">
        <v>18958</v>
      </c>
      <c r="M2945" t="s">
        <v>18958</v>
      </c>
      <c r="N2945" t="s">
        <v>21138</v>
      </c>
      <c r="O2945" t="s">
        <v>26523</v>
      </c>
      <c r="P2945" t="s">
        <v>26560</v>
      </c>
      <c r="R2945" t="s">
        <v>26580</v>
      </c>
      <c r="S2945" t="s">
        <v>18959</v>
      </c>
      <c r="U2945" t="s">
        <v>26604</v>
      </c>
      <c r="V2945" t="s">
        <v>26610</v>
      </c>
      <c r="W2945" t="s">
        <v>644</v>
      </c>
      <c r="X2945">
        <v>2404</v>
      </c>
      <c r="Y2945" t="s">
        <v>26651</v>
      </c>
      <c r="Z2945" t="s">
        <v>26664</v>
      </c>
      <c r="AB2945" t="s">
        <v>29244</v>
      </c>
      <c r="AD2945" t="s">
        <v>39297</v>
      </c>
      <c r="AE2945">
        <v>170</v>
      </c>
      <c r="AF2945" t="s">
        <v>20460</v>
      </c>
      <c r="AG2945" t="s">
        <v>45556</v>
      </c>
      <c r="AH2945">
        <v>12</v>
      </c>
      <c r="AI2945">
        <v>1</v>
      </c>
      <c r="AJ2945">
        <v>0</v>
      </c>
      <c r="AK2945">
        <v>74.14</v>
      </c>
      <c r="AN2945" t="s">
        <v>7439</v>
      </c>
      <c r="AO2945">
        <v>9000</v>
      </c>
      <c r="AU2945">
        <v>2.5</v>
      </c>
      <c r="AV2945" t="s">
        <v>668</v>
      </c>
      <c r="AW2945" t="s">
        <v>314</v>
      </c>
    </row>
    <row r="2946" spans="1:50">
      <c r="A2946" s="1">
        <f>HYPERLINK("https://lsnyc.legalserver.org/matter/dynamic-profile/view/1882185","18-1882185")</f>
        <v>0</v>
      </c>
      <c r="B2946" t="s">
        <v>96</v>
      </c>
      <c r="C2946" t="s">
        <v>341</v>
      </c>
      <c r="D2946" t="s">
        <v>644</v>
      </c>
      <c r="E2946" t="s">
        <v>667</v>
      </c>
      <c r="F2946" t="s">
        <v>2111</v>
      </c>
      <c r="G2946" t="s">
        <v>5191</v>
      </c>
      <c r="H2946" t="s">
        <v>11966</v>
      </c>
      <c r="I2946">
        <v>20</v>
      </c>
      <c r="J2946" t="s">
        <v>18892</v>
      </c>
      <c r="K2946">
        <v>10468</v>
      </c>
      <c r="L2946" t="s">
        <v>18958</v>
      </c>
      <c r="M2946" t="s">
        <v>18958</v>
      </c>
      <c r="O2946" t="s">
        <v>26539</v>
      </c>
      <c r="P2946" t="s">
        <v>26562</v>
      </c>
      <c r="Q2946" t="s">
        <v>26572</v>
      </c>
      <c r="R2946" t="s">
        <v>26578</v>
      </c>
      <c r="S2946" t="s">
        <v>18959</v>
      </c>
      <c r="U2946" t="s">
        <v>26607</v>
      </c>
      <c r="W2946" t="s">
        <v>644</v>
      </c>
      <c r="X2946">
        <v>788.84</v>
      </c>
      <c r="Y2946" t="s">
        <v>26650</v>
      </c>
      <c r="Z2946" t="s">
        <v>26661</v>
      </c>
      <c r="AA2946" t="s">
        <v>26682</v>
      </c>
      <c r="AB2946" t="s">
        <v>29245</v>
      </c>
      <c r="AD2946" t="s">
        <v>39298</v>
      </c>
      <c r="AE2946">
        <v>28</v>
      </c>
      <c r="AF2946" t="s">
        <v>45541</v>
      </c>
      <c r="AH2946">
        <v>29</v>
      </c>
      <c r="AI2946">
        <v>1</v>
      </c>
      <c r="AJ2946">
        <v>0</v>
      </c>
      <c r="AK2946">
        <v>128.5</v>
      </c>
      <c r="AN2946" t="s">
        <v>45581</v>
      </c>
      <c r="AO2946">
        <v>15600</v>
      </c>
      <c r="AT2946" t="s">
        <v>46535</v>
      </c>
      <c r="AU2946">
        <v>0.4</v>
      </c>
      <c r="AV2946" t="s">
        <v>644</v>
      </c>
      <c r="AW2946" t="s">
        <v>46854</v>
      </c>
    </row>
    <row r="2947" spans="1:50">
      <c r="A2947" s="1">
        <f>HYPERLINK("https://lsnyc.legalserver.org/matter/dynamic-profile/view/1882136","18-1882136")</f>
        <v>0</v>
      </c>
      <c r="B2947" t="s">
        <v>133</v>
      </c>
      <c r="C2947" t="s">
        <v>341</v>
      </c>
      <c r="D2947" t="s">
        <v>644</v>
      </c>
      <c r="E2947" t="s">
        <v>692</v>
      </c>
      <c r="F2947" t="s">
        <v>2458</v>
      </c>
      <c r="G2947" t="s">
        <v>6677</v>
      </c>
      <c r="H2947" t="s">
        <v>11967</v>
      </c>
      <c r="I2947" t="s">
        <v>17348</v>
      </c>
      <c r="J2947" t="s">
        <v>18892</v>
      </c>
      <c r="K2947">
        <v>10467</v>
      </c>
      <c r="L2947" t="s">
        <v>18958</v>
      </c>
      <c r="M2947" t="s">
        <v>18958</v>
      </c>
      <c r="N2947" t="s">
        <v>21139</v>
      </c>
      <c r="O2947" t="s">
        <v>26524</v>
      </c>
      <c r="P2947" t="s">
        <v>26560</v>
      </c>
      <c r="Q2947" t="s">
        <v>26573</v>
      </c>
      <c r="R2947" t="s">
        <v>26579</v>
      </c>
      <c r="S2947" t="s">
        <v>18959</v>
      </c>
      <c r="U2947" t="s">
        <v>26604</v>
      </c>
      <c r="V2947" t="s">
        <v>26610</v>
      </c>
      <c r="W2947" t="s">
        <v>644</v>
      </c>
      <c r="X2947">
        <v>0</v>
      </c>
      <c r="Y2947" t="s">
        <v>26650</v>
      </c>
      <c r="Z2947" t="s">
        <v>26664</v>
      </c>
      <c r="AA2947" t="s">
        <v>26678</v>
      </c>
      <c r="AB2947" t="s">
        <v>29246</v>
      </c>
      <c r="AD2947" t="s">
        <v>39299</v>
      </c>
      <c r="AE2947">
        <v>0</v>
      </c>
      <c r="AF2947" t="s">
        <v>45541</v>
      </c>
      <c r="AG2947" t="s">
        <v>45557</v>
      </c>
      <c r="AH2947">
        <v>3</v>
      </c>
      <c r="AI2947">
        <v>1</v>
      </c>
      <c r="AJ2947">
        <v>7</v>
      </c>
      <c r="AK2947">
        <v>19.82</v>
      </c>
      <c r="AN2947" t="s">
        <v>7439</v>
      </c>
      <c r="AO2947">
        <v>8400</v>
      </c>
      <c r="AS2947" t="s">
        <v>46499</v>
      </c>
      <c r="AT2947" t="s">
        <v>46685</v>
      </c>
      <c r="AU2947">
        <v>1.5</v>
      </c>
      <c r="AV2947" t="s">
        <v>519</v>
      </c>
      <c r="AW2947" t="s">
        <v>334</v>
      </c>
    </row>
    <row r="2948" spans="1:50">
      <c r="A2948" s="1">
        <f>HYPERLINK("https://lsnyc.legalserver.org/matter/dynamic-profile/view/1882187","18-1882187")</f>
        <v>0</v>
      </c>
      <c r="B2948" t="s">
        <v>97</v>
      </c>
      <c r="C2948" t="s">
        <v>341</v>
      </c>
      <c r="D2948" t="s">
        <v>644</v>
      </c>
      <c r="E2948" t="s">
        <v>817</v>
      </c>
      <c r="F2948" t="s">
        <v>2459</v>
      </c>
      <c r="G2948" t="s">
        <v>6678</v>
      </c>
      <c r="H2948" t="s">
        <v>11968</v>
      </c>
      <c r="I2948" t="s">
        <v>17646</v>
      </c>
      <c r="J2948" t="s">
        <v>18892</v>
      </c>
      <c r="K2948">
        <v>10467</v>
      </c>
      <c r="L2948" t="s">
        <v>18958</v>
      </c>
      <c r="M2948" t="s">
        <v>18958</v>
      </c>
      <c r="N2948" t="s">
        <v>21140</v>
      </c>
      <c r="O2948" t="s">
        <v>26523</v>
      </c>
      <c r="P2948" t="s">
        <v>26560</v>
      </c>
      <c r="Q2948" t="s">
        <v>26573</v>
      </c>
      <c r="R2948" t="s">
        <v>26579</v>
      </c>
      <c r="U2948" t="s">
        <v>26604</v>
      </c>
      <c r="V2948" t="s">
        <v>26610</v>
      </c>
      <c r="W2948" t="s">
        <v>644</v>
      </c>
      <c r="X2948">
        <v>1054</v>
      </c>
      <c r="Y2948" t="s">
        <v>26650</v>
      </c>
      <c r="Z2948" t="s">
        <v>26664</v>
      </c>
      <c r="AA2948" t="s">
        <v>26678</v>
      </c>
      <c r="AB2948" t="s">
        <v>29247</v>
      </c>
      <c r="AD2948" t="s">
        <v>39300</v>
      </c>
      <c r="AE2948">
        <v>69</v>
      </c>
      <c r="AF2948" t="s">
        <v>45549</v>
      </c>
      <c r="AG2948" t="s">
        <v>45556</v>
      </c>
      <c r="AH2948">
        <v>9</v>
      </c>
      <c r="AI2948">
        <v>1</v>
      </c>
      <c r="AJ2948">
        <v>3</v>
      </c>
      <c r="AK2948">
        <v>186.45</v>
      </c>
      <c r="AN2948" t="s">
        <v>7439</v>
      </c>
      <c r="AO2948">
        <v>46800</v>
      </c>
      <c r="AS2948" t="s">
        <v>46499</v>
      </c>
      <c r="AT2948" t="s">
        <v>46708</v>
      </c>
      <c r="AU2948">
        <v>15.1</v>
      </c>
      <c r="AV2948" t="s">
        <v>817</v>
      </c>
      <c r="AW2948" t="s">
        <v>334</v>
      </c>
    </row>
    <row r="2949" spans="1:50">
      <c r="A2949" s="1">
        <f>HYPERLINK("https://lsnyc.legalserver.org/matter/dynamic-profile/view/1882128","18-1882128")</f>
        <v>0</v>
      </c>
      <c r="B2949" t="s">
        <v>130</v>
      </c>
      <c r="C2949" t="s">
        <v>341</v>
      </c>
      <c r="D2949" t="s">
        <v>644</v>
      </c>
      <c r="E2949" t="s">
        <v>675</v>
      </c>
      <c r="F2949" t="s">
        <v>2460</v>
      </c>
      <c r="G2949" t="s">
        <v>6679</v>
      </c>
      <c r="H2949" t="s">
        <v>11969</v>
      </c>
      <c r="I2949" t="s">
        <v>17440</v>
      </c>
      <c r="J2949" t="s">
        <v>18912</v>
      </c>
      <c r="K2949">
        <v>11374</v>
      </c>
      <c r="L2949" t="s">
        <v>18958</v>
      </c>
      <c r="M2949" t="s">
        <v>18958</v>
      </c>
      <c r="N2949" t="s">
        <v>21141</v>
      </c>
      <c r="O2949" t="s">
        <v>26524</v>
      </c>
      <c r="P2949" t="s">
        <v>26564</v>
      </c>
      <c r="Q2949" t="s">
        <v>26570</v>
      </c>
      <c r="R2949" t="s">
        <v>26584</v>
      </c>
      <c r="S2949" t="s">
        <v>18959</v>
      </c>
      <c r="U2949" t="s">
        <v>26604</v>
      </c>
      <c r="V2949" t="s">
        <v>26610</v>
      </c>
      <c r="W2949" t="s">
        <v>644</v>
      </c>
      <c r="X2949">
        <v>2200</v>
      </c>
      <c r="Y2949" t="s">
        <v>26653</v>
      </c>
      <c r="Z2949" t="s">
        <v>26664</v>
      </c>
      <c r="AA2949" t="s">
        <v>26683</v>
      </c>
      <c r="AB2949" t="s">
        <v>29248</v>
      </c>
      <c r="AD2949" t="s">
        <v>39301</v>
      </c>
      <c r="AE2949">
        <v>6</v>
      </c>
      <c r="AF2949" t="s">
        <v>45541</v>
      </c>
      <c r="AG2949" t="s">
        <v>19330</v>
      </c>
      <c r="AH2949">
        <v>2</v>
      </c>
      <c r="AI2949">
        <v>2</v>
      </c>
      <c r="AJ2949">
        <v>1</v>
      </c>
      <c r="AK2949">
        <v>120.31</v>
      </c>
      <c r="AN2949" t="s">
        <v>20460</v>
      </c>
      <c r="AO2949">
        <v>25000</v>
      </c>
      <c r="AU2949">
        <v>1.3</v>
      </c>
      <c r="AV2949" t="s">
        <v>675</v>
      </c>
      <c r="AW2949" t="s">
        <v>161</v>
      </c>
    </row>
    <row r="2950" spans="1:50">
      <c r="A2950" s="1">
        <f>HYPERLINK("https://lsnyc.legalserver.org/matter/dynamic-profile/view/1882148","18-1882148")</f>
        <v>0</v>
      </c>
      <c r="B2950" t="s">
        <v>130</v>
      </c>
      <c r="C2950" t="s">
        <v>341</v>
      </c>
      <c r="D2950" t="s">
        <v>644</v>
      </c>
      <c r="E2950" t="s">
        <v>427</v>
      </c>
      <c r="F2950" t="s">
        <v>2461</v>
      </c>
      <c r="G2950" t="s">
        <v>6680</v>
      </c>
      <c r="H2950" t="s">
        <v>11970</v>
      </c>
      <c r="I2950" t="s">
        <v>17374</v>
      </c>
      <c r="J2950" t="s">
        <v>18923</v>
      </c>
      <c r="K2950">
        <v>11418</v>
      </c>
      <c r="L2950" t="s">
        <v>18958</v>
      </c>
      <c r="M2950" t="s">
        <v>18958</v>
      </c>
      <c r="N2950" t="s">
        <v>21142</v>
      </c>
      <c r="O2950" t="s">
        <v>26524</v>
      </c>
      <c r="P2950" t="s">
        <v>26564</v>
      </c>
      <c r="Q2950" t="s">
        <v>26570</v>
      </c>
      <c r="R2950" t="s">
        <v>26584</v>
      </c>
      <c r="S2950" t="s">
        <v>18959</v>
      </c>
      <c r="U2950" t="s">
        <v>26604</v>
      </c>
      <c r="V2950" t="s">
        <v>26610</v>
      </c>
      <c r="W2950" t="s">
        <v>644</v>
      </c>
      <c r="X2950">
        <v>800</v>
      </c>
      <c r="Y2950" t="s">
        <v>26653</v>
      </c>
      <c r="Z2950" t="s">
        <v>26664</v>
      </c>
      <c r="AA2950" t="s">
        <v>26683</v>
      </c>
      <c r="AB2950" t="s">
        <v>29249</v>
      </c>
      <c r="AD2950" t="s">
        <v>39302</v>
      </c>
      <c r="AE2950">
        <v>3</v>
      </c>
      <c r="AF2950" t="s">
        <v>45547</v>
      </c>
      <c r="AG2950" t="s">
        <v>19330</v>
      </c>
      <c r="AH2950">
        <v>14</v>
      </c>
      <c r="AI2950">
        <v>1</v>
      </c>
      <c r="AJ2950">
        <v>0</v>
      </c>
      <c r="AK2950">
        <v>164.74</v>
      </c>
      <c r="AN2950" t="s">
        <v>7439</v>
      </c>
      <c r="AO2950">
        <v>20000</v>
      </c>
      <c r="AU2950">
        <v>1</v>
      </c>
      <c r="AV2950" t="s">
        <v>644</v>
      </c>
      <c r="AW2950" t="s">
        <v>161</v>
      </c>
    </row>
    <row r="2951" spans="1:50">
      <c r="A2951" s="1">
        <f>HYPERLINK("https://lsnyc.legalserver.org/matter/dynamic-profile/view/1882156","18-1882156")</f>
        <v>0</v>
      </c>
      <c r="B2951" t="s">
        <v>130</v>
      </c>
      <c r="C2951" t="s">
        <v>341</v>
      </c>
      <c r="D2951" t="s">
        <v>644</v>
      </c>
      <c r="E2951" t="s">
        <v>519</v>
      </c>
      <c r="F2951" t="s">
        <v>2462</v>
      </c>
      <c r="G2951" t="s">
        <v>6681</v>
      </c>
      <c r="H2951" t="s">
        <v>11971</v>
      </c>
      <c r="I2951" t="s">
        <v>17416</v>
      </c>
      <c r="J2951" t="s">
        <v>18901</v>
      </c>
      <c r="K2951">
        <v>11433</v>
      </c>
      <c r="L2951" t="s">
        <v>18958</v>
      </c>
      <c r="M2951" t="s">
        <v>18958</v>
      </c>
      <c r="N2951" t="s">
        <v>21143</v>
      </c>
      <c r="O2951" t="s">
        <v>26523</v>
      </c>
      <c r="P2951" t="s">
        <v>26564</v>
      </c>
      <c r="Q2951" t="s">
        <v>26570</v>
      </c>
      <c r="R2951" t="s">
        <v>26585</v>
      </c>
      <c r="S2951" t="s">
        <v>18959</v>
      </c>
      <c r="U2951" t="s">
        <v>26604</v>
      </c>
      <c r="V2951" t="s">
        <v>26610</v>
      </c>
      <c r="W2951" t="s">
        <v>644</v>
      </c>
      <c r="X2951">
        <v>1000</v>
      </c>
      <c r="Y2951" t="s">
        <v>26653</v>
      </c>
      <c r="Z2951" t="s">
        <v>26664</v>
      </c>
      <c r="AA2951" t="s">
        <v>26683</v>
      </c>
      <c r="AB2951" t="s">
        <v>29250</v>
      </c>
      <c r="AD2951" t="s">
        <v>39303</v>
      </c>
      <c r="AE2951">
        <v>4</v>
      </c>
      <c r="AF2951" t="s">
        <v>45547</v>
      </c>
      <c r="AG2951" t="s">
        <v>19330</v>
      </c>
      <c r="AH2951">
        <v>2</v>
      </c>
      <c r="AI2951">
        <v>1</v>
      </c>
      <c r="AJ2951">
        <v>0</v>
      </c>
      <c r="AK2951">
        <v>189.46</v>
      </c>
      <c r="AN2951" t="s">
        <v>7439</v>
      </c>
      <c r="AO2951">
        <v>23000</v>
      </c>
      <c r="AU2951">
        <v>2.8</v>
      </c>
      <c r="AV2951" t="s">
        <v>519</v>
      </c>
      <c r="AW2951" t="s">
        <v>161</v>
      </c>
    </row>
    <row r="2952" spans="1:50">
      <c r="A2952" s="1">
        <f>HYPERLINK("https://lsnyc.legalserver.org/matter/dynamic-profile/view/1882143","18-1882143")</f>
        <v>0</v>
      </c>
      <c r="B2952" t="s">
        <v>246</v>
      </c>
      <c r="C2952" t="s">
        <v>341</v>
      </c>
      <c r="D2952" t="s">
        <v>644</v>
      </c>
      <c r="E2952" t="s">
        <v>494</v>
      </c>
      <c r="F2952" t="s">
        <v>875</v>
      </c>
      <c r="G2952" t="s">
        <v>5285</v>
      </c>
      <c r="H2952" t="s">
        <v>11124</v>
      </c>
      <c r="I2952" t="s">
        <v>17724</v>
      </c>
      <c r="J2952" t="s">
        <v>18892</v>
      </c>
      <c r="K2952">
        <v>10454</v>
      </c>
      <c r="L2952" t="s">
        <v>18958</v>
      </c>
      <c r="M2952" t="s">
        <v>18958</v>
      </c>
      <c r="N2952" t="s">
        <v>20316</v>
      </c>
      <c r="O2952" t="s">
        <v>26523</v>
      </c>
      <c r="P2952" t="s">
        <v>26560</v>
      </c>
      <c r="Q2952" t="s">
        <v>26568</v>
      </c>
      <c r="R2952" t="s">
        <v>26577</v>
      </c>
      <c r="U2952" t="s">
        <v>26605</v>
      </c>
      <c r="W2952" t="s">
        <v>644</v>
      </c>
      <c r="X2952">
        <v>235</v>
      </c>
      <c r="Y2952" t="s">
        <v>26650</v>
      </c>
      <c r="Z2952" t="s">
        <v>26659</v>
      </c>
      <c r="AA2952" t="s">
        <v>26680</v>
      </c>
      <c r="AB2952" t="s">
        <v>28308</v>
      </c>
      <c r="AD2952" t="s">
        <v>38355</v>
      </c>
      <c r="AE2952">
        <v>0</v>
      </c>
      <c r="AH2952">
        <v>46</v>
      </c>
      <c r="AI2952">
        <v>2</v>
      </c>
      <c r="AJ2952">
        <v>0</v>
      </c>
      <c r="AK2952">
        <v>55.48</v>
      </c>
      <c r="AN2952" t="s">
        <v>7439</v>
      </c>
      <c r="AO2952">
        <v>9132</v>
      </c>
      <c r="AS2952" t="s">
        <v>46499</v>
      </c>
      <c r="AT2952" t="s">
        <v>46517</v>
      </c>
      <c r="AU2952">
        <v>0.1</v>
      </c>
      <c r="AV2952" t="s">
        <v>458</v>
      </c>
      <c r="AW2952" t="s">
        <v>46836</v>
      </c>
    </row>
    <row r="2953" spans="1:50">
      <c r="A2953" s="1">
        <f>HYPERLINK("https://lsnyc.legalserver.org/matter/dynamic-profile/view/1882104","18-1882104")</f>
        <v>0</v>
      </c>
      <c r="B2953" t="s">
        <v>246</v>
      </c>
      <c r="C2953" t="s">
        <v>341</v>
      </c>
      <c r="D2953" t="s">
        <v>644</v>
      </c>
      <c r="E2953" t="s">
        <v>703</v>
      </c>
      <c r="F2953" t="s">
        <v>2463</v>
      </c>
      <c r="G2953" t="s">
        <v>6682</v>
      </c>
      <c r="H2953" t="s">
        <v>11972</v>
      </c>
      <c r="I2953" t="s">
        <v>17388</v>
      </c>
      <c r="J2953" t="s">
        <v>18892</v>
      </c>
      <c r="K2953">
        <v>10467</v>
      </c>
      <c r="L2953" t="s">
        <v>18958</v>
      </c>
      <c r="M2953" t="s">
        <v>18958</v>
      </c>
      <c r="N2953" t="s">
        <v>21144</v>
      </c>
      <c r="O2953" t="s">
        <v>26523</v>
      </c>
      <c r="P2953" t="s">
        <v>26560</v>
      </c>
      <c r="Q2953" t="s">
        <v>26568</v>
      </c>
      <c r="R2953" t="s">
        <v>26579</v>
      </c>
      <c r="S2953" t="s">
        <v>18959</v>
      </c>
      <c r="U2953" t="s">
        <v>26604</v>
      </c>
      <c r="V2953" t="s">
        <v>26612</v>
      </c>
      <c r="W2953" t="s">
        <v>644</v>
      </c>
      <c r="X2953">
        <v>1005.04</v>
      </c>
      <c r="Y2953" t="s">
        <v>26650</v>
      </c>
      <c r="Z2953" t="s">
        <v>26668</v>
      </c>
      <c r="AA2953" t="s">
        <v>26678</v>
      </c>
      <c r="AB2953" t="s">
        <v>29251</v>
      </c>
      <c r="AC2953" t="s">
        <v>35364</v>
      </c>
      <c r="AD2953" t="s">
        <v>39304</v>
      </c>
      <c r="AE2953">
        <v>0</v>
      </c>
      <c r="AF2953" t="s">
        <v>45541</v>
      </c>
      <c r="AG2953" t="s">
        <v>19330</v>
      </c>
      <c r="AH2953">
        <v>6</v>
      </c>
      <c r="AI2953">
        <v>3</v>
      </c>
      <c r="AJ2953">
        <v>0</v>
      </c>
      <c r="AK2953">
        <v>104.06</v>
      </c>
      <c r="AO2953">
        <v>21624</v>
      </c>
      <c r="AS2953" t="s">
        <v>46499</v>
      </c>
      <c r="AT2953" t="s">
        <v>46521</v>
      </c>
      <c r="AU2953">
        <v>25.9</v>
      </c>
      <c r="AV2953" t="s">
        <v>703</v>
      </c>
      <c r="AW2953" t="s">
        <v>334</v>
      </c>
    </row>
    <row r="2954" spans="1:50">
      <c r="A2954" s="1">
        <f>HYPERLINK("https://lsnyc.legalserver.org/matter/dynamic-profile/view/1882159","18-1882159")</f>
        <v>0</v>
      </c>
      <c r="B2954" t="s">
        <v>212</v>
      </c>
      <c r="C2954" t="s">
        <v>341</v>
      </c>
      <c r="D2954" t="s">
        <v>644</v>
      </c>
      <c r="E2954" t="s">
        <v>427</v>
      </c>
      <c r="F2954" t="s">
        <v>2464</v>
      </c>
      <c r="G2954" t="s">
        <v>5932</v>
      </c>
      <c r="H2954" t="s">
        <v>11973</v>
      </c>
      <c r="J2954" t="s">
        <v>18901</v>
      </c>
      <c r="K2954">
        <v>11436</v>
      </c>
      <c r="L2954" t="s">
        <v>18958</v>
      </c>
      <c r="M2954" t="s">
        <v>18958</v>
      </c>
      <c r="N2954" t="s">
        <v>21145</v>
      </c>
      <c r="O2954" t="s">
        <v>26524</v>
      </c>
      <c r="P2954" t="s">
        <v>26564</v>
      </c>
      <c r="Q2954" t="s">
        <v>26570</v>
      </c>
      <c r="R2954" t="s">
        <v>26578</v>
      </c>
      <c r="S2954" t="s">
        <v>18959</v>
      </c>
      <c r="U2954" t="s">
        <v>26604</v>
      </c>
      <c r="V2954" t="s">
        <v>26611</v>
      </c>
      <c r="W2954" t="s">
        <v>644</v>
      </c>
      <c r="X2954">
        <v>1000</v>
      </c>
      <c r="Y2954" t="s">
        <v>26653</v>
      </c>
      <c r="Z2954" t="s">
        <v>26664</v>
      </c>
      <c r="AA2954" t="s">
        <v>26683</v>
      </c>
      <c r="AB2954" t="s">
        <v>26701</v>
      </c>
      <c r="AD2954" t="s">
        <v>39305</v>
      </c>
      <c r="AE2954">
        <v>1</v>
      </c>
      <c r="AF2954" t="s">
        <v>45547</v>
      </c>
      <c r="AG2954" t="s">
        <v>19330</v>
      </c>
      <c r="AH2954">
        <v>11</v>
      </c>
      <c r="AI2954">
        <v>3</v>
      </c>
      <c r="AJ2954">
        <v>2</v>
      </c>
      <c r="AK2954">
        <v>53.03</v>
      </c>
      <c r="AN2954" t="s">
        <v>7439</v>
      </c>
      <c r="AO2954">
        <v>15600</v>
      </c>
      <c r="AU2954">
        <v>0.6</v>
      </c>
      <c r="AV2954" t="s">
        <v>427</v>
      </c>
      <c r="AW2954" t="s">
        <v>161</v>
      </c>
    </row>
    <row r="2955" spans="1:50">
      <c r="A2955" s="1">
        <f>HYPERLINK("https://lsnyc.legalserver.org/matter/dynamic-profile/view/1882142","18-1882142")</f>
        <v>0</v>
      </c>
      <c r="B2955" t="s">
        <v>212</v>
      </c>
      <c r="C2955" t="s">
        <v>341</v>
      </c>
      <c r="D2955" t="s">
        <v>644</v>
      </c>
      <c r="E2955" t="s">
        <v>427</v>
      </c>
      <c r="F2955" t="s">
        <v>1246</v>
      </c>
      <c r="G2955" t="s">
        <v>6683</v>
      </c>
      <c r="H2955" t="s">
        <v>11974</v>
      </c>
      <c r="I2955" t="s">
        <v>17436</v>
      </c>
      <c r="J2955" t="s">
        <v>18897</v>
      </c>
      <c r="K2955">
        <v>11415</v>
      </c>
      <c r="L2955" t="s">
        <v>18958</v>
      </c>
      <c r="M2955" t="s">
        <v>18958</v>
      </c>
      <c r="N2955" t="s">
        <v>21146</v>
      </c>
      <c r="O2955" t="s">
        <v>26523</v>
      </c>
      <c r="P2955" t="s">
        <v>26564</v>
      </c>
      <c r="Q2955" t="s">
        <v>26570</v>
      </c>
      <c r="R2955" t="s">
        <v>26578</v>
      </c>
      <c r="S2955" t="s">
        <v>18959</v>
      </c>
      <c r="U2955" t="s">
        <v>26604</v>
      </c>
      <c r="V2955" t="s">
        <v>26610</v>
      </c>
      <c r="W2955" t="s">
        <v>644</v>
      </c>
      <c r="X2955">
        <v>1670</v>
      </c>
      <c r="Y2955" t="s">
        <v>26653</v>
      </c>
      <c r="Z2955" t="s">
        <v>26664</v>
      </c>
      <c r="AA2955" t="s">
        <v>26683</v>
      </c>
      <c r="AB2955" t="s">
        <v>28268</v>
      </c>
      <c r="AD2955" t="s">
        <v>39306</v>
      </c>
      <c r="AE2955">
        <v>66</v>
      </c>
      <c r="AF2955" t="s">
        <v>45547</v>
      </c>
      <c r="AG2955" t="s">
        <v>19330</v>
      </c>
      <c r="AH2955">
        <v>2</v>
      </c>
      <c r="AI2955">
        <v>1</v>
      </c>
      <c r="AJ2955">
        <v>0</v>
      </c>
      <c r="AK2955">
        <v>181.19</v>
      </c>
      <c r="AN2955" t="s">
        <v>7439</v>
      </c>
      <c r="AO2955">
        <v>21996</v>
      </c>
      <c r="AU2955">
        <v>0.6</v>
      </c>
      <c r="AV2955" t="s">
        <v>427</v>
      </c>
      <c r="AW2955" t="s">
        <v>161</v>
      </c>
    </row>
    <row r="2956" spans="1:50">
      <c r="A2956" s="1">
        <f>HYPERLINK("https://lsnyc.legalserver.org/matter/dynamic-profile/view/1882145","18-1882145")</f>
        <v>0</v>
      </c>
      <c r="B2956" t="s">
        <v>74</v>
      </c>
      <c r="C2956" t="s">
        <v>341</v>
      </c>
      <c r="D2956" t="s">
        <v>644</v>
      </c>
      <c r="E2956" t="s">
        <v>832</v>
      </c>
      <c r="F2956" t="s">
        <v>1738</v>
      </c>
      <c r="G2956" t="s">
        <v>6684</v>
      </c>
      <c r="H2956" t="s">
        <v>11975</v>
      </c>
      <c r="I2956" t="s">
        <v>17904</v>
      </c>
      <c r="J2956" t="s">
        <v>18893</v>
      </c>
      <c r="K2956">
        <v>10032</v>
      </c>
      <c r="L2956" t="s">
        <v>18958</v>
      </c>
      <c r="M2956" t="s">
        <v>18958</v>
      </c>
      <c r="O2956" t="s">
        <v>18997</v>
      </c>
      <c r="P2956" t="s">
        <v>26565</v>
      </c>
      <c r="Q2956" t="s">
        <v>26571</v>
      </c>
      <c r="R2956" t="s">
        <v>26578</v>
      </c>
      <c r="S2956" t="s">
        <v>18959</v>
      </c>
      <c r="U2956" t="s">
        <v>26604</v>
      </c>
      <c r="W2956" t="s">
        <v>644</v>
      </c>
      <c r="X2956">
        <v>850</v>
      </c>
      <c r="Y2956" t="s">
        <v>26651</v>
      </c>
      <c r="Z2956" t="s">
        <v>26661</v>
      </c>
      <c r="AA2956" t="s">
        <v>26682</v>
      </c>
      <c r="AB2956" t="s">
        <v>29252</v>
      </c>
      <c r="AD2956" t="s">
        <v>39307</v>
      </c>
      <c r="AE2956">
        <v>68</v>
      </c>
      <c r="AF2956" t="s">
        <v>45541</v>
      </c>
      <c r="AG2956" t="s">
        <v>19330</v>
      </c>
      <c r="AH2956">
        <v>18</v>
      </c>
      <c r="AI2956">
        <v>3</v>
      </c>
      <c r="AJ2956">
        <v>0</v>
      </c>
      <c r="AK2956">
        <v>44.47</v>
      </c>
      <c r="AN2956" t="s">
        <v>45581</v>
      </c>
      <c r="AO2956">
        <v>9240</v>
      </c>
      <c r="AU2956">
        <v>0.5</v>
      </c>
      <c r="AV2956" t="s">
        <v>832</v>
      </c>
      <c r="AW2956" t="s">
        <v>46840</v>
      </c>
      <c r="AX2956" t="s">
        <v>46897</v>
      </c>
    </row>
    <row r="2957" spans="1:50">
      <c r="A2957" s="1">
        <f>HYPERLINK("https://lsnyc.legalserver.org/matter/dynamic-profile/view/1882125","18-1882125")</f>
        <v>0</v>
      </c>
      <c r="B2957" t="s">
        <v>182</v>
      </c>
      <c r="C2957" t="s">
        <v>341</v>
      </c>
      <c r="D2957" t="s">
        <v>644</v>
      </c>
      <c r="E2957" t="s">
        <v>703</v>
      </c>
      <c r="F2957" t="s">
        <v>1021</v>
      </c>
      <c r="G2957" t="s">
        <v>6685</v>
      </c>
      <c r="H2957" t="s">
        <v>11976</v>
      </c>
      <c r="I2957" t="s">
        <v>17905</v>
      </c>
      <c r="J2957" t="s">
        <v>18892</v>
      </c>
      <c r="K2957">
        <v>10473</v>
      </c>
      <c r="L2957" t="s">
        <v>18958</v>
      </c>
      <c r="M2957" t="s">
        <v>18958</v>
      </c>
      <c r="N2957" t="s">
        <v>21147</v>
      </c>
      <c r="O2957" t="s">
        <v>26524</v>
      </c>
      <c r="P2957" t="s">
        <v>26564</v>
      </c>
      <c r="Q2957" t="s">
        <v>26570</v>
      </c>
      <c r="R2957" t="s">
        <v>26577</v>
      </c>
      <c r="S2957" t="s">
        <v>18959</v>
      </c>
      <c r="U2957" t="s">
        <v>26604</v>
      </c>
      <c r="V2957" t="s">
        <v>26612</v>
      </c>
      <c r="W2957" t="s">
        <v>644</v>
      </c>
      <c r="X2957">
        <v>891</v>
      </c>
      <c r="Y2957" t="s">
        <v>26650</v>
      </c>
      <c r="Z2957" t="s">
        <v>26664</v>
      </c>
      <c r="AA2957" t="s">
        <v>26679</v>
      </c>
      <c r="AB2957" t="s">
        <v>29253</v>
      </c>
      <c r="AD2957" t="s">
        <v>39308</v>
      </c>
      <c r="AE2957">
        <v>255</v>
      </c>
      <c r="AF2957" t="s">
        <v>45541</v>
      </c>
      <c r="AG2957" t="s">
        <v>19330</v>
      </c>
      <c r="AH2957">
        <v>4</v>
      </c>
      <c r="AI2957">
        <v>1</v>
      </c>
      <c r="AJ2957">
        <v>1</v>
      </c>
      <c r="AK2957">
        <v>78.98</v>
      </c>
      <c r="AN2957" t="s">
        <v>7439</v>
      </c>
      <c r="AO2957">
        <v>13000</v>
      </c>
      <c r="AU2957">
        <v>3.1</v>
      </c>
      <c r="AV2957" t="s">
        <v>675</v>
      </c>
      <c r="AW2957" t="s">
        <v>46871</v>
      </c>
    </row>
    <row r="2958" spans="1:50">
      <c r="A2958" s="1">
        <f>HYPERLINK("https://lsnyc.legalserver.org/matter/dynamic-profile/view/1882116","18-1882116")</f>
        <v>0</v>
      </c>
      <c r="B2958" t="s">
        <v>182</v>
      </c>
      <c r="C2958" t="s">
        <v>341</v>
      </c>
      <c r="D2958" t="s">
        <v>644</v>
      </c>
      <c r="E2958" t="s">
        <v>770</v>
      </c>
      <c r="F2958" t="s">
        <v>2465</v>
      </c>
      <c r="G2958" t="s">
        <v>6686</v>
      </c>
      <c r="H2958" t="s">
        <v>11977</v>
      </c>
      <c r="I2958" t="s">
        <v>17449</v>
      </c>
      <c r="J2958" t="s">
        <v>18892</v>
      </c>
      <c r="K2958">
        <v>10457</v>
      </c>
      <c r="L2958" t="s">
        <v>18958</v>
      </c>
      <c r="M2958" t="s">
        <v>18958</v>
      </c>
      <c r="N2958" t="s">
        <v>21148</v>
      </c>
      <c r="O2958" t="s">
        <v>26523</v>
      </c>
      <c r="P2958" t="s">
        <v>26560</v>
      </c>
      <c r="Q2958" t="s">
        <v>26568</v>
      </c>
      <c r="R2958" t="s">
        <v>26579</v>
      </c>
      <c r="U2958" t="s">
        <v>26604</v>
      </c>
      <c r="V2958" t="s">
        <v>26610</v>
      </c>
      <c r="W2958" t="s">
        <v>644</v>
      </c>
      <c r="X2958">
        <v>1985</v>
      </c>
      <c r="Y2958" t="s">
        <v>26650</v>
      </c>
      <c r="Z2958" t="s">
        <v>26664</v>
      </c>
      <c r="AA2958" t="s">
        <v>26677</v>
      </c>
      <c r="AB2958" t="s">
        <v>29254</v>
      </c>
      <c r="AD2958" t="s">
        <v>39309</v>
      </c>
      <c r="AE2958">
        <v>0</v>
      </c>
      <c r="AF2958" t="s">
        <v>45543</v>
      </c>
      <c r="AG2958" t="s">
        <v>45563</v>
      </c>
      <c r="AH2958">
        <v>2</v>
      </c>
      <c r="AI2958">
        <v>1</v>
      </c>
      <c r="AJ2958">
        <v>0</v>
      </c>
      <c r="AK2958">
        <v>84.12</v>
      </c>
      <c r="AN2958" t="s">
        <v>7439</v>
      </c>
      <c r="AO2958">
        <v>10212</v>
      </c>
      <c r="AQ2958" t="s">
        <v>46362</v>
      </c>
      <c r="AR2958" t="s">
        <v>46381</v>
      </c>
      <c r="AS2958" t="s">
        <v>46499</v>
      </c>
      <c r="AT2958" t="s">
        <v>46692</v>
      </c>
      <c r="AU2958">
        <v>10.6</v>
      </c>
      <c r="AV2958" t="s">
        <v>770</v>
      </c>
      <c r="AW2958" t="s">
        <v>334</v>
      </c>
    </row>
    <row r="2959" spans="1:50">
      <c r="A2959" s="1">
        <f>HYPERLINK("https://lsnyc.legalserver.org/matter/dynamic-profile/view/1882122","18-1882122")</f>
        <v>0</v>
      </c>
      <c r="B2959" t="s">
        <v>50</v>
      </c>
      <c r="C2959" t="s">
        <v>341</v>
      </c>
      <c r="D2959" t="s">
        <v>644</v>
      </c>
      <c r="E2959" t="s">
        <v>757</v>
      </c>
      <c r="F2959" t="s">
        <v>916</v>
      </c>
      <c r="G2959" t="s">
        <v>5147</v>
      </c>
      <c r="H2959" t="s">
        <v>11978</v>
      </c>
      <c r="I2959" t="s">
        <v>17322</v>
      </c>
      <c r="J2959" t="s">
        <v>18892</v>
      </c>
      <c r="K2959">
        <v>10453</v>
      </c>
      <c r="L2959" t="s">
        <v>18958</v>
      </c>
      <c r="M2959" t="s">
        <v>18958</v>
      </c>
      <c r="N2959" t="s">
        <v>21149</v>
      </c>
      <c r="O2959" t="s">
        <v>26523</v>
      </c>
      <c r="P2959" t="s">
        <v>26560</v>
      </c>
      <c r="Q2959" t="s">
        <v>26568</v>
      </c>
      <c r="R2959" t="s">
        <v>26577</v>
      </c>
      <c r="S2959" t="s">
        <v>18959</v>
      </c>
      <c r="U2959" t="s">
        <v>26604</v>
      </c>
      <c r="V2959" t="s">
        <v>26610</v>
      </c>
      <c r="W2959" t="s">
        <v>644</v>
      </c>
      <c r="X2959">
        <v>1453</v>
      </c>
      <c r="Y2959" t="s">
        <v>26650</v>
      </c>
      <c r="Z2959" t="s">
        <v>26664</v>
      </c>
      <c r="AA2959" t="s">
        <v>26678</v>
      </c>
      <c r="AB2959" t="s">
        <v>29255</v>
      </c>
      <c r="AC2959" t="s">
        <v>35365</v>
      </c>
      <c r="AD2959" t="s">
        <v>39310</v>
      </c>
      <c r="AE2959">
        <v>22</v>
      </c>
      <c r="AF2959" t="s">
        <v>45541</v>
      </c>
      <c r="AG2959" t="s">
        <v>45556</v>
      </c>
      <c r="AH2959">
        <v>4</v>
      </c>
      <c r="AI2959">
        <v>1</v>
      </c>
      <c r="AJ2959">
        <v>0</v>
      </c>
      <c r="AK2959">
        <v>127.22</v>
      </c>
      <c r="AN2959" t="s">
        <v>45581</v>
      </c>
      <c r="AO2959">
        <v>15444</v>
      </c>
      <c r="AQ2959" t="s">
        <v>46361</v>
      </c>
      <c r="AR2959" t="s">
        <v>46380</v>
      </c>
      <c r="AS2959" t="s">
        <v>46499</v>
      </c>
      <c r="AT2959" t="s">
        <v>46666</v>
      </c>
      <c r="AU2959">
        <v>19.3</v>
      </c>
      <c r="AV2959" t="s">
        <v>757</v>
      </c>
      <c r="AW2959" t="s">
        <v>46870</v>
      </c>
    </row>
    <row r="2960" spans="1:50">
      <c r="A2960" s="1">
        <f>HYPERLINK("https://lsnyc.legalserver.org/matter/dynamic-profile/view/1882135","18-1882135")</f>
        <v>0</v>
      </c>
      <c r="B2960" t="s">
        <v>223</v>
      </c>
      <c r="C2960" t="s">
        <v>341</v>
      </c>
      <c r="D2960" t="s">
        <v>644</v>
      </c>
      <c r="E2960" t="s">
        <v>644</v>
      </c>
      <c r="F2960" t="s">
        <v>1923</v>
      </c>
      <c r="G2960" t="s">
        <v>6336</v>
      </c>
      <c r="H2960" t="s">
        <v>11979</v>
      </c>
      <c r="I2960">
        <v>441</v>
      </c>
      <c r="J2960" t="s">
        <v>18893</v>
      </c>
      <c r="K2960">
        <v>10029</v>
      </c>
      <c r="L2960" t="s">
        <v>18959</v>
      </c>
      <c r="M2960" t="s">
        <v>18959</v>
      </c>
      <c r="N2960" t="s">
        <v>21150</v>
      </c>
      <c r="O2960" t="s">
        <v>26524</v>
      </c>
      <c r="P2960" t="s">
        <v>26564</v>
      </c>
      <c r="Q2960" t="s">
        <v>26570</v>
      </c>
      <c r="R2960" t="s">
        <v>26595</v>
      </c>
      <c r="S2960" t="s">
        <v>18959</v>
      </c>
      <c r="U2960" t="s">
        <v>26604</v>
      </c>
      <c r="V2960" t="s">
        <v>26610</v>
      </c>
      <c r="W2960" t="s">
        <v>644</v>
      </c>
      <c r="X2960">
        <v>750</v>
      </c>
      <c r="Y2960" t="s">
        <v>26651</v>
      </c>
      <c r="Z2960" t="s">
        <v>26672</v>
      </c>
      <c r="AA2960" t="s">
        <v>26683</v>
      </c>
      <c r="AB2960" t="s">
        <v>29256</v>
      </c>
      <c r="AE2960">
        <v>50</v>
      </c>
      <c r="AF2960" t="s">
        <v>45550</v>
      </c>
      <c r="AG2960" t="s">
        <v>19330</v>
      </c>
      <c r="AH2960">
        <v>15</v>
      </c>
      <c r="AI2960">
        <v>1</v>
      </c>
      <c r="AJ2960">
        <v>0</v>
      </c>
      <c r="AK2960">
        <v>158.15</v>
      </c>
      <c r="AN2960" t="s">
        <v>7439</v>
      </c>
      <c r="AO2960">
        <v>19200</v>
      </c>
      <c r="AU2960">
        <v>0.6</v>
      </c>
      <c r="AV2960" t="s">
        <v>519</v>
      </c>
      <c r="AW2960" t="s">
        <v>46829</v>
      </c>
    </row>
    <row r="2961" spans="1:50">
      <c r="A2961" s="1">
        <f>HYPERLINK("https://lsnyc.legalserver.org/matter/dynamic-profile/view/1882131","18-1882131")</f>
        <v>0</v>
      </c>
      <c r="B2961" t="s">
        <v>226</v>
      </c>
      <c r="C2961" t="s">
        <v>341</v>
      </c>
      <c r="D2961" t="s">
        <v>644</v>
      </c>
      <c r="E2961" t="s">
        <v>684</v>
      </c>
      <c r="F2961" t="s">
        <v>2466</v>
      </c>
      <c r="G2961" t="s">
        <v>6687</v>
      </c>
      <c r="H2961" t="s">
        <v>11980</v>
      </c>
      <c r="I2961" t="s">
        <v>17298</v>
      </c>
      <c r="J2961" t="s">
        <v>18892</v>
      </c>
      <c r="K2961">
        <v>10459</v>
      </c>
      <c r="L2961" t="s">
        <v>18958</v>
      </c>
      <c r="M2961" t="s">
        <v>18958</v>
      </c>
      <c r="O2961" t="s">
        <v>18997</v>
      </c>
      <c r="P2961" t="s">
        <v>26564</v>
      </c>
      <c r="Q2961" t="s">
        <v>26570</v>
      </c>
      <c r="R2961" t="s">
        <v>26578</v>
      </c>
      <c r="S2961" t="s">
        <v>18959</v>
      </c>
      <c r="U2961" t="s">
        <v>26604</v>
      </c>
      <c r="W2961" t="s">
        <v>644</v>
      </c>
      <c r="X2961">
        <v>1470</v>
      </c>
      <c r="Y2961" t="s">
        <v>26650</v>
      </c>
      <c r="Z2961" t="s">
        <v>26663</v>
      </c>
      <c r="AA2961" t="s">
        <v>26683</v>
      </c>
      <c r="AB2961" t="s">
        <v>29257</v>
      </c>
      <c r="AC2961" t="s">
        <v>35366</v>
      </c>
      <c r="AE2961">
        <v>50</v>
      </c>
      <c r="AF2961" t="s">
        <v>45541</v>
      </c>
      <c r="AG2961" t="s">
        <v>45556</v>
      </c>
      <c r="AH2961">
        <v>2</v>
      </c>
      <c r="AI2961">
        <v>1</v>
      </c>
      <c r="AJ2961">
        <v>2</v>
      </c>
      <c r="AK2961">
        <v>37.54</v>
      </c>
      <c r="AN2961" t="s">
        <v>7439</v>
      </c>
      <c r="AO2961">
        <v>7800</v>
      </c>
      <c r="AU2961">
        <v>2.5</v>
      </c>
      <c r="AV2961" t="s">
        <v>684</v>
      </c>
      <c r="AW2961" t="s">
        <v>226</v>
      </c>
    </row>
    <row r="2962" spans="1:50">
      <c r="A2962" s="1">
        <f>HYPERLINK("https://lsnyc.legalserver.org/matter/dynamic-profile/view/1882102","18-1882102")</f>
        <v>0</v>
      </c>
      <c r="B2962" t="s">
        <v>54</v>
      </c>
      <c r="C2962" t="s">
        <v>341</v>
      </c>
      <c r="D2962" t="s">
        <v>644</v>
      </c>
      <c r="E2962" t="s">
        <v>804</v>
      </c>
      <c r="F2962" t="s">
        <v>990</v>
      </c>
      <c r="G2962" t="s">
        <v>6688</v>
      </c>
      <c r="H2962" t="s">
        <v>11981</v>
      </c>
      <c r="I2962">
        <v>1</v>
      </c>
      <c r="J2962" t="s">
        <v>18892</v>
      </c>
      <c r="K2962">
        <v>10472</v>
      </c>
      <c r="L2962" t="s">
        <v>18958</v>
      </c>
      <c r="M2962" t="s">
        <v>18958</v>
      </c>
      <c r="N2962" t="s">
        <v>21151</v>
      </c>
      <c r="O2962" t="s">
        <v>26523</v>
      </c>
      <c r="P2962" t="s">
        <v>26560</v>
      </c>
      <c r="Q2962" t="s">
        <v>26568</v>
      </c>
      <c r="R2962" t="s">
        <v>26577</v>
      </c>
      <c r="S2962" t="s">
        <v>18959</v>
      </c>
      <c r="U2962" t="s">
        <v>26604</v>
      </c>
      <c r="V2962" t="s">
        <v>26612</v>
      </c>
      <c r="W2962" t="s">
        <v>644</v>
      </c>
      <c r="X2962">
        <v>2063</v>
      </c>
      <c r="Y2962" t="s">
        <v>26650</v>
      </c>
      <c r="Z2962" t="s">
        <v>26664</v>
      </c>
      <c r="AA2962" t="s">
        <v>26678</v>
      </c>
      <c r="AB2962" t="s">
        <v>29258</v>
      </c>
      <c r="AC2962" t="s">
        <v>35367</v>
      </c>
      <c r="AD2962" t="s">
        <v>39311</v>
      </c>
      <c r="AE2962">
        <v>5</v>
      </c>
      <c r="AF2962" t="s">
        <v>45541</v>
      </c>
      <c r="AG2962" t="s">
        <v>45556</v>
      </c>
      <c r="AH2962">
        <v>6</v>
      </c>
      <c r="AI2962">
        <v>5</v>
      </c>
      <c r="AJ2962">
        <v>1</v>
      </c>
      <c r="AK2962">
        <v>19.17</v>
      </c>
      <c r="AN2962" t="s">
        <v>7439</v>
      </c>
      <c r="AO2962">
        <v>6468</v>
      </c>
      <c r="AQ2962" t="s">
        <v>46366</v>
      </c>
      <c r="AR2962" t="s">
        <v>46379</v>
      </c>
      <c r="AS2962" t="s">
        <v>46499</v>
      </c>
      <c r="AT2962" t="s">
        <v>46762</v>
      </c>
      <c r="AU2962">
        <v>32.45</v>
      </c>
      <c r="AV2962" t="s">
        <v>804</v>
      </c>
      <c r="AW2962" t="s">
        <v>46870</v>
      </c>
    </row>
    <row r="2963" spans="1:50">
      <c r="A2963" s="1">
        <f>HYPERLINK("https://lsnyc.legalserver.org/matter/dynamic-profile/view/1882111","18-1882111")</f>
        <v>0</v>
      </c>
      <c r="B2963" t="s">
        <v>54</v>
      </c>
      <c r="C2963" t="s">
        <v>341</v>
      </c>
      <c r="D2963" t="s">
        <v>644</v>
      </c>
      <c r="E2963" t="s">
        <v>833</v>
      </c>
      <c r="F2963" t="s">
        <v>1256</v>
      </c>
      <c r="G2963" t="s">
        <v>5121</v>
      </c>
      <c r="H2963" t="s">
        <v>9723</v>
      </c>
      <c r="I2963" t="s">
        <v>17355</v>
      </c>
      <c r="J2963" t="s">
        <v>18892</v>
      </c>
      <c r="K2963">
        <v>10467</v>
      </c>
      <c r="L2963" t="s">
        <v>18958</v>
      </c>
      <c r="M2963" t="s">
        <v>18958</v>
      </c>
      <c r="N2963" t="s">
        <v>21152</v>
      </c>
      <c r="O2963" t="s">
        <v>26523</v>
      </c>
      <c r="P2963" t="s">
        <v>26560</v>
      </c>
      <c r="Q2963" t="s">
        <v>26568</v>
      </c>
      <c r="R2963" t="s">
        <v>26579</v>
      </c>
      <c r="S2963" t="s">
        <v>18959</v>
      </c>
      <c r="U2963" t="s">
        <v>26604</v>
      </c>
      <c r="V2963" t="s">
        <v>26610</v>
      </c>
      <c r="W2963" t="s">
        <v>644</v>
      </c>
      <c r="X2963">
        <v>1316.25</v>
      </c>
      <c r="Y2963" t="s">
        <v>26650</v>
      </c>
      <c r="Z2963" t="s">
        <v>26672</v>
      </c>
      <c r="AA2963" t="s">
        <v>26678</v>
      </c>
      <c r="AB2963" t="s">
        <v>29259</v>
      </c>
      <c r="AC2963" t="s">
        <v>35368</v>
      </c>
      <c r="AD2963" t="s">
        <v>39312</v>
      </c>
      <c r="AE2963">
        <v>60</v>
      </c>
      <c r="AF2963" t="s">
        <v>45541</v>
      </c>
      <c r="AG2963" t="s">
        <v>19330</v>
      </c>
      <c r="AH2963">
        <v>2</v>
      </c>
      <c r="AI2963">
        <v>1</v>
      </c>
      <c r="AJ2963">
        <v>0</v>
      </c>
      <c r="AK2963">
        <v>68.95999999999999</v>
      </c>
      <c r="AN2963" t="s">
        <v>7439</v>
      </c>
      <c r="AO2963">
        <v>8372</v>
      </c>
      <c r="AQ2963" t="s">
        <v>46365</v>
      </c>
      <c r="AR2963" t="s">
        <v>46415</v>
      </c>
      <c r="AS2963" t="s">
        <v>46499</v>
      </c>
      <c r="AT2963" t="s">
        <v>46506</v>
      </c>
      <c r="AU2963">
        <v>10.1</v>
      </c>
      <c r="AV2963" t="s">
        <v>735</v>
      </c>
      <c r="AW2963" t="s">
        <v>46857</v>
      </c>
    </row>
    <row r="2964" spans="1:50">
      <c r="A2964" s="1">
        <f>HYPERLINK("https://lsnyc.legalserver.org/matter/dynamic-profile/view/1882138","18-1882138")</f>
        <v>0</v>
      </c>
      <c r="B2964" t="s">
        <v>51</v>
      </c>
      <c r="C2964" t="s">
        <v>341</v>
      </c>
      <c r="D2964" t="s">
        <v>644</v>
      </c>
      <c r="E2964" t="s">
        <v>800</v>
      </c>
      <c r="F2964" t="s">
        <v>901</v>
      </c>
      <c r="G2964" t="s">
        <v>6529</v>
      </c>
      <c r="H2964" t="s">
        <v>11982</v>
      </c>
      <c r="I2964" t="s">
        <v>17906</v>
      </c>
      <c r="J2964" t="s">
        <v>18892</v>
      </c>
      <c r="K2964">
        <v>10468</v>
      </c>
      <c r="L2964" t="s">
        <v>18958</v>
      </c>
      <c r="M2964" t="s">
        <v>18958</v>
      </c>
      <c r="N2964" t="s">
        <v>21153</v>
      </c>
      <c r="O2964" t="s">
        <v>26523</v>
      </c>
      <c r="P2964" t="s">
        <v>26560</v>
      </c>
      <c r="Q2964" t="s">
        <v>26568</v>
      </c>
      <c r="R2964" t="s">
        <v>26579</v>
      </c>
      <c r="S2964" t="s">
        <v>18959</v>
      </c>
      <c r="U2964" t="s">
        <v>26604</v>
      </c>
      <c r="V2964" t="s">
        <v>26610</v>
      </c>
      <c r="W2964" t="s">
        <v>644</v>
      </c>
      <c r="X2964">
        <v>1425</v>
      </c>
      <c r="Y2964" t="s">
        <v>26650</v>
      </c>
      <c r="Z2964" t="s">
        <v>26668</v>
      </c>
      <c r="AA2964" t="s">
        <v>26680</v>
      </c>
      <c r="AB2964" t="s">
        <v>29260</v>
      </c>
      <c r="AE2964">
        <v>0</v>
      </c>
      <c r="AF2964" t="s">
        <v>45541</v>
      </c>
      <c r="AG2964" t="s">
        <v>19330</v>
      </c>
      <c r="AH2964">
        <v>4</v>
      </c>
      <c r="AI2964">
        <v>2</v>
      </c>
      <c r="AJ2964">
        <v>0</v>
      </c>
      <c r="AK2964">
        <v>63.18</v>
      </c>
      <c r="AO2964">
        <v>10400</v>
      </c>
      <c r="AQ2964" t="s">
        <v>46361</v>
      </c>
      <c r="AR2964" t="s">
        <v>46422</v>
      </c>
      <c r="AS2964" t="s">
        <v>46499</v>
      </c>
      <c r="AT2964" t="s">
        <v>46506</v>
      </c>
      <c r="AU2964">
        <v>9.800000000000001</v>
      </c>
      <c r="AV2964" t="s">
        <v>739</v>
      </c>
      <c r="AW2964" t="s">
        <v>46847</v>
      </c>
    </row>
    <row r="2965" spans="1:50">
      <c r="A2965" s="1">
        <f>HYPERLINK("https://lsnyc.legalserver.org/matter/dynamic-profile/view/1882132","18-1882132")</f>
        <v>0</v>
      </c>
      <c r="B2965" t="s">
        <v>221</v>
      </c>
      <c r="C2965" t="s">
        <v>341</v>
      </c>
      <c r="D2965" t="s">
        <v>644</v>
      </c>
      <c r="E2965" t="s">
        <v>494</v>
      </c>
      <c r="F2965" t="s">
        <v>2467</v>
      </c>
      <c r="G2965" t="s">
        <v>5678</v>
      </c>
      <c r="H2965" t="s">
        <v>11983</v>
      </c>
      <c r="I2965" t="s">
        <v>17316</v>
      </c>
      <c r="J2965" t="s">
        <v>18897</v>
      </c>
      <c r="K2965">
        <v>11415</v>
      </c>
      <c r="L2965" t="s">
        <v>18958</v>
      </c>
      <c r="M2965" t="s">
        <v>18958</v>
      </c>
      <c r="N2965" t="s">
        <v>21154</v>
      </c>
      <c r="O2965" t="s">
        <v>26524</v>
      </c>
      <c r="P2965" t="s">
        <v>26564</v>
      </c>
      <c r="Q2965" t="s">
        <v>26570</v>
      </c>
      <c r="R2965" t="s">
        <v>26584</v>
      </c>
      <c r="S2965" t="s">
        <v>18959</v>
      </c>
      <c r="U2965" t="s">
        <v>26604</v>
      </c>
      <c r="V2965" t="s">
        <v>26610</v>
      </c>
      <c r="W2965" t="s">
        <v>644</v>
      </c>
      <c r="X2965">
        <v>2000</v>
      </c>
      <c r="Y2965" t="s">
        <v>26653</v>
      </c>
      <c r="Z2965" t="s">
        <v>26664</v>
      </c>
      <c r="AA2965" t="s">
        <v>26683</v>
      </c>
      <c r="AB2965" t="s">
        <v>29261</v>
      </c>
      <c r="AD2965" t="s">
        <v>39313</v>
      </c>
      <c r="AE2965">
        <v>12</v>
      </c>
      <c r="AF2965" t="s">
        <v>45547</v>
      </c>
      <c r="AG2965" t="s">
        <v>19330</v>
      </c>
      <c r="AH2965">
        <v>3</v>
      </c>
      <c r="AI2965">
        <v>3</v>
      </c>
      <c r="AJ2965">
        <v>3</v>
      </c>
      <c r="AK2965">
        <v>157.08</v>
      </c>
      <c r="AN2965" t="s">
        <v>7439</v>
      </c>
      <c r="AO2965">
        <v>53000</v>
      </c>
      <c r="AU2965">
        <v>7.9</v>
      </c>
      <c r="AV2965" t="s">
        <v>709</v>
      </c>
      <c r="AW2965" t="s">
        <v>122</v>
      </c>
    </row>
    <row r="2966" spans="1:50">
      <c r="A2966" s="1">
        <f>HYPERLINK("https://lsnyc.legalserver.org/matter/dynamic-profile/view/1882153","18-1882153")</f>
        <v>0</v>
      </c>
      <c r="B2966" t="s">
        <v>107</v>
      </c>
      <c r="C2966" t="s">
        <v>340</v>
      </c>
      <c r="D2966" t="s">
        <v>644</v>
      </c>
      <c r="F2966" t="s">
        <v>2468</v>
      </c>
      <c r="G2966" t="s">
        <v>6494</v>
      </c>
      <c r="H2966" t="s">
        <v>11984</v>
      </c>
      <c r="I2966" t="s">
        <v>17312</v>
      </c>
      <c r="J2966" t="s">
        <v>18901</v>
      </c>
      <c r="K2966">
        <v>11434</v>
      </c>
      <c r="L2966" t="s">
        <v>18958</v>
      </c>
      <c r="M2966" t="s">
        <v>18958</v>
      </c>
      <c r="N2966" t="s">
        <v>21155</v>
      </c>
      <c r="O2966" t="s">
        <v>26523</v>
      </c>
      <c r="P2966" t="s">
        <v>26564</v>
      </c>
      <c r="R2966" t="s">
        <v>26585</v>
      </c>
      <c r="S2966" t="s">
        <v>18959</v>
      </c>
      <c r="U2966" t="s">
        <v>26604</v>
      </c>
      <c r="V2966" t="s">
        <v>26610</v>
      </c>
      <c r="W2966" t="s">
        <v>644</v>
      </c>
      <c r="X2966">
        <v>1200</v>
      </c>
      <c r="Y2966" t="s">
        <v>26653</v>
      </c>
      <c r="Z2966" t="s">
        <v>26664</v>
      </c>
      <c r="AB2966" t="s">
        <v>27102</v>
      </c>
      <c r="AC2966" t="s">
        <v>35369</v>
      </c>
      <c r="AD2966" t="s">
        <v>39314</v>
      </c>
      <c r="AE2966">
        <v>2</v>
      </c>
      <c r="AF2966" t="s">
        <v>45547</v>
      </c>
      <c r="AG2966" t="s">
        <v>19330</v>
      </c>
      <c r="AH2966">
        <v>4</v>
      </c>
      <c r="AI2966">
        <v>3</v>
      </c>
      <c r="AJ2966">
        <v>0</v>
      </c>
      <c r="AK2966">
        <v>67.37</v>
      </c>
      <c r="AN2966" t="s">
        <v>7439</v>
      </c>
      <c r="AO2966">
        <v>14000</v>
      </c>
      <c r="AQ2966" t="s">
        <v>46362</v>
      </c>
      <c r="AR2966" t="s">
        <v>26530</v>
      </c>
      <c r="AS2966" t="s">
        <v>46499</v>
      </c>
      <c r="AT2966" t="s">
        <v>46554</v>
      </c>
      <c r="AU2966">
        <v>2.6</v>
      </c>
      <c r="AV2966" t="s">
        <v>830</v>
      </c>
      <c r="AW2966" t="s">
        <v>161</v>
      </c>
      <c r="AX2966" t="s">
        <v>46897</v>
      </c>
    </row>
    <row r="2967" spans="1:50">
      <c r="A2967" s="1">
        <f>HYPERLINK("https://lsnyc.legalserver.org/matter/dynamic-profile/view/1882155","18-1882155")</f>
        <v>0</v>
      </c>
      <c r="B2967" t="s">
        <v>97</v>
      </c>
      <c r="C2967" t="s">
        <v>340</v>
      </c>
      <c r="D2967" t="s">
        <v>644</v>
      </c>
      <c r="F2967" t="s">
        <v>999</v>
      </c>
      <c r="G2967" t="s">
        <v>5191</v>
      </c>
      <c r="H2967" t="s">
        <v>11985</v>
      </c>
      <c r="I2967" t="s">
        <v>17566</v>
      </c>
      <c r="J2967" t="s">
        <v>18892</v>
      </c>
      <c r="K2967">
        <v>10468</v>
      </c>
      <c r="L2967" t="s">
        <v>18958</v>
      </c>
      <c r="M2967" t="s">
        <v>18958</v>
      </c>
      <c r="N2967" t="s">
        <v>21156</v>
      </c>
      <c r="O2967" t="s">
        <v>26523</v>
      </c>
      <c r="P2967" t="s">
        <v>26560</v>
      </c>
      <c r="R2967" t="s">
        <v>26579</v>
      </c>
      <c r="U2967" t="s">
        <v>26604</v>
      </c>
      <c r="V2967" t="s">
        <v>26610</v>
      </c>
      <c r="W2967" t="s">
        <v>644</v>
      </c>
      <c r="X2967">
        <v>1290</v>
      </c>
      <c r="Y2967" t="s">
        <v>26650</v>
      </c>
      <c r="Z2967" t="s">
        <v>26664</v>
      </c>
      <c r="AB2967" t="s">
        <v>29262</v>
      </c>
      <c r="AC2967" t="s">
        <v>35370</v>
      </c>
      <c r="AD2967" t="s">
        <v>39315</v>
      </c>
      <c r="AE2967">
        <v>43</v>
      </c>
      <c r="AF2967" t="s">
        <v>45541</v>
      </c>
      <c r="AG2967" t="s">
        <v>19330</v>
      </c>
      <c r="AH2967">
        <v>5</v>
      </c>
      <c r="AI2967">
        <v>1</v>
      </c>
      <c r="AJ2967">
        <v>0</v>
      </c>
      <c r="AK2967">
        <v>41.19</v>
      </c>
      <c r="AN2967" t="s">
        <v>45581</v>
      </c>
      <c r="AO2967">
        <v>5000</v>
      </c>
      <c r="AU2967">
        <v>21</v>
      </c>
      <c r="AV2967" t="s">
        <v>817</v>
      </c>
      <c r="AW2967" t="s">
        <v>334</v>
      </c>
    </row>
    <row r="2968" spans="1:50">
      <c r="A2968" s="1">
        <f>HYPERLINK("https://lsnyc.legalserver.org/matter/dynamic-profile/view/1882177","18-1882177")</f>
        <v>0</v>
      </c>
      <c r="B2968" t="s">
        <v>243</v>
      </c>
      <c r="C2968" t="s">
        <v>340</v>
      </c>
      <c r="D2968" t="s">
        <v>644</v>
      </c>
      <c r="F2968" t="s">
        <v>2469</v>
      </c>
      <c r="G2968" t="s">
        <v>6171</v>
      </c>
      <c r="H2968" t="s">
        <v>11986</v>
      </c>
      <c r="I2968">
        <v>2</v>
      </c>
      <c r="J2968" t="s">
        <v>18894</v>
      </c>
      <c r="K2968">
        <v>11206</v>
      </c>
      <c r="L2968" t="s">
        <v>18958</v>
      </c>
      <c r="M2968" t="s">
        <v>18958</v>
      </c>
      <c r="O2968" t="s">
        <v>26526</v>
      </c>
      <c r="P2968" t="s">
        <v>26560</v>
      </c>
      <c r="R2968" t="s">
        <v>26578</v>
      </c>
      <c r="U2968" t="s">
        <v>26604</v>
      </c>
      <c r="W2968" t="s">
        <v>644</v>
      </c>
      <c r="X2968">
        <v>0</v>
      </c>
      <c r="Y2968" t="s">
        <v>26652</v>
      </c>
      <c r="AB2968" t="s">
        <v>29263</v>
      </c>
      <c r="AD2968" t="s">
        <v>39316</v>
      </c>
      <c r="AE2968">
        <v>0</v>
      </c>
      <c r="AH2968">
        <v>0</v>
      </c>
      <c r="AI2968">
        <v>2</v>
      </c>
      <c r="AJ2968">
        <v>1</v>
      </c>
      <c r="AK2968">
        <v>75.06999999999999</v>
      </c>
      <c r="AN2968" t="s">
        <v>45581</v>
      </c>
      <c r="AO2968">
        <v>15600</v>
      </c>
      <c r="AU2968">
        <v>101.6</v>
      </c>
      <c r="AV2968" t="s">
        <v>835</v>
      </c>
      <c r="AW2968" t="s">
        <v>198</v>
      </c>
    </row>
    <row r="2969" spans="1:50">
      <c r="A2969" s="1">
        <f>HYPERLINK("https://lsnyc.legalserver.org/matter/dynamic-profile/view/1882171","18-1882171")</f>
        <v>0</v>
      </c>
      <c r="B2969" t="s">
        <v>243</v>
      </c>
      <c r="C2969" t="s">
        <v>340</v>
      </c>
      <c r="D2969" t="s">
        <v>644</v>
      </c>
      <c r="F2969" t="s">
        <v>2405</v>
      </c>
      <c r="G2969" t="s">
        <v>6689</v>
      </c>
      <c r="H2969" t="s">
        <v>11135</v>
      </c>
      <c r="I2969" t="s">
        <v>17283</v>
      </c>
      <c r="J2969" t="s">
        <v>18894</v>
      </c>
      <c r="K2969">
        <v>11225</v>
      </c>
      <c r="L2969" t="s">
        <v>18958</v>
      </c>
      <c r="M2969" t="s">
        <v>18960</v>
      </c>
      <c r="O2969" t="s">
        <v>26523</v>
      </c>
      <c r="P2969" t="s">
        <v>26560</v>
      </c>
      <c r="R2969" t="s">
        <v>26588</v>
      </c>
      <c r="U2969" t="s">
        <v>26604</v>
      </c>
      <c r="W2969" t="s">
        <v>644</v>
      </c>
      <c r="X2969">
        <v>1526.3</v>
      </c>
      <c r="Y2969" t="s">
        <v>26652</v>
      </c>
      <c r="Z2969" t="s">
        <v>26663</v>
      </c>
      <c r="AB2969" t="s">
        <v>29264</v>
      </c>
      <c r="AE2969">
        <v>11</v>
      </c>
      <c r="AF2969" t="s">
        <v>45541</v>
      </c>
      <c r="AH2969">
        <v>6</v>
      </c>
      <c r="AI2969">
        <v>2</v>
      </c>
      <c r="AJ2969">
        <v>0</v>
      </c>
      <c r="AK2969">
        <v>117.38</v>
      </c>
      <c r="AN2969" t="s">
        <v>7439</v>
      </c>
      <c r="AO2969">
        <v>19320</v>
      </c>
      <c r="AU2969">
        <v>27.9</v>
      </c>
      <c r="AV2969" t="s">
        <v>831</v>
      </c>
      <c r="AW2969" t="s">
        <v>46856</v>
      </c>
    </row>
    <row r="2970" spans="1:50">
      <c r="A2970" s="1">
        <f>HYPERLINK("https://lsnyc.legalserver.org/matter/dynamic-profile/view/1882115","18-1882115")</f>
        <v>0</v>
      </c>
      <c r="B2970" t="s">
        <v>135</v>
      </c>
      <c r="C2970" t="s">
        <v>340</v>
      </c>
      <c r="D2970" t="s">
        <v>644</v>
      </c>
      <c r="F2970" t="s">
        <v>2470</v>
      </c>
      <c r="G2970" t="s">
        <v>6538</v>
      </c>
      <c r="H2970" t="s">
        <v>10815</v>
      </c>
      <c r="I2970" t="s">
        <v>17907</v>
      </c>
      <c r="J2970" t="s">
        <v>18892</v>
      </c>
      <c r="K2970">
        <v>10453</v>
      </c>
      <c r="L2970" t="s">
        <v>18958</v>
      </c>
      <c r="M2970" t="s">
        <v>18958</v>
      </c>
      <c r="O2970" t="s">
        <v>26526</v>
      </c>
      <c r="P2970" t="s">
        <v>26560</v>
      </c>
      <c r="R2970" t="s">
        <v>26578</v>
      </c>
      <c r="S2970" t="s">
        <v>18959</v>
      </c>
      <c r="U2970" t="s">
        <v>26604</v>
      </c>
      <c r="W2970" t="s">
        <v>644</v>
      </c>
      <c r="X2970">
        <v>1931</v>
      </c>
      <c r="Y2970" t="s">
        <v>26650</v>
      </c>
      <c r="Z2970" t="s">
        <v>26659</v>
      </c>
      <c r="AB2970" t="s">
        <v>29265</v>
      </c>
      <c r="AC2970">
        <v>32013902</v>
      </c>
      <c r="AD2970" t="s">
        <v>39317</v>
      </c>
      <c r="AE2970">
        <v>1654</v>
      </c>
      <c r="AF2970" t="s">
        <v>45543</v>
      </c>
      <c r="AG2970" t="s">
        <v>45556</v>
      </c>
      <c r="AH2970">
        <v>9</v>
      </c>
      <c r="AI2970">
        <v>2</v>
      </c>
      <c r="AJ2970">
        <v>4</v>
      </c>
      <c r="AK2970">
        <v>40.9</v>
      </c>
      <c r="AN2970" t="s">
        <v>7439</v>
      </c>
      <c r="AO2970">
        <v>13800</v>
      </c>
      <c r="AU2970">
        <v>21.8</v>
      </c>
      <c r="AV2970" t="s">
        <v>804</v>
      </c>
      <c r="AW2970" t="s">
        <v>46847</v>
      </c>
    </row>
    <row r="2971" spans="1:50">
      <c r="A2971" s="1">
        <f>HYPERLINK("https://lsnyc.legalserver.org/matter/dynamic-profile/view/1882190","18-1882190")</f>
        <v>0</v>
      </c>
      <c r="B2971" t="s">
        <v>125</v>
      </c>
      <c r="C2971" t="s">
        <v>340</v>
      </c>
      <c r="D2971" t="s">
        <v>644</v>
      </c>
      <c r="F2971" t="s">
        <v>2471</v>
      </c>
      <c r="G2971" t="s">
        <v>5515</v>
      </c>
      <c r="H2971" t="s">
        <v>11987</v>
      </c>
      <c r="I2971" t="s">
        <v>17278</v>
      </c>
      <c r="J2971" t="s">
        <v>18894</v>
      </c>
      <c r="K2971">
        <v>11239</v>
      </c>
      <c r="L2971" t="s">
        <v>18958</v>
      </c>
      <c r="M2971" t="s">
        <v>18958</v>
      </c>
      <c r="N2971" t="s">
        <v>21157</v>
      </c>
      <c r="O2971" t="s">
        <v>26523</v>
      </c>
      <c r="P2971" t="s">
        <v>26560</v>
      </c>
      <c r="R2971" t="s">
        <v>26578</v>
      </c>
      <c r="U2971" t="s">
        <v>26604</v>
      </c>
      <c r="W2971" t="s">
        <v>644</v>
      </c>
      <c r="X2971">
        <v>689</v>
      </c>
      <c r="Y2971" t="s">
        <v>26652</v>
      </c>
      <c r="Z2971" t="s">
        <v>26668</v>
      </c>
      <c r="AB2971" t="s">
        <v>29266</v>
      </c>
      <c r="AD2971" t="s">
        <v>39318</v>
      </c>
      <c r="AE2971">
        <v>10</v>
      </c>
      <c r="AF2971" t="s">
        <v>45541</v>
      </c>
      <c r="AH2971">
        <v>3</v>
      </c>
      <c r="AI2971">
        <v>1</v>
      </c>
      <c r="AJ2971">
        <v>0</v>
      </c>
      <c r="AK2971">
        <v>119.8</v>
      </c>
      <c r="AN2971" t="s">
        <v>7439</v>
      </c>
      <c r="AO2971">
        <v>14544</v>
      </c>
      <c r="AP2971" t="s">
        <v>45666</v>
      </c>
      <c r="AU2971">
        <v>36.75</v>
      </c>
      <c r="AV2971" t="s">
        <v>724</v>
      </c>
      <c r="AW2971" t="s">
        <v>46856</v>
      </c>
    </row>
    <row r="2972" spans="1:50">
      <c r="A2972" s="1">
        <f>HYPERLINK("https://lsnyc.legalserver.org/matter/dynamic-profile/view/1882419","18-1882419")</f>
        <v>0</v>
      </c>
      <c r="B2972" t="s">
        <v>128</v>
      </c>
      <c r="C2972" t="s">
        <v>341</v>
      </c>
      <c r="D2972" t="s">
        <v>428</v>
      </c>
      <c r="E2972" t="s">
        <v>665</v>
      </c>
      <c r="F2972" t="s">
        <v>1246</v>
      </c>
      <c r="G2972" t="s">
        <v>5147</v>
      </c>
      <c r="H2972" t="s">
        <v>11988</v>
      </c>
      <c r="I2972" t="s">
        <v>17334</v>
      </c>
      <c r="J2972" t="s">
        <v>18894</v>
      </c>
      <c r="K2972">
        <v>11204</v>
      </c>
      <c r="L2972" t="s">
        <v>18958</v>
      </c>
      <c r="M2972" t="s">
        <v>18958</v>
      </c>
      <c r="N2972" t="s">
        <v>21158</v>
      </c>
      <c r="O2972" t="s">
        <v>26524</v>
      </c>
      <c r="P2972" t="s">
        <v>26564</v>
      </c>
      <c r="Q2972" t="s">
        <v>26570</v>
      </c>
      <c r="R2972" t="s">
        <v>26586</v>
      </c>
      <c r="S2972" t="s">
        <v>18959</v>
      </c>
      <c r="U2972" t="s">
        <v>26604</v>
      </c>
      <c r="V2972" t="s">
        <v>26610</v>
      </c>
      <c r="W2972" t="s">
        <v>644</v>
      </c>
      <c r="X2972">
        <v>1200</v>
      </c>
      <c r="Y2972" t="s">
        <v>26652</v>
      </c>
      <c r="Z2972" t="s">
        <v>26664</v>
      </c>
      <c r="AA2972" t="s">
        <v>26683</v>
      </c>
      <c r="AB2972" t="s">
        <v>29267</v>
      </c>
      <c r="AD2972" t="s">
        <v>39319</v>
      </c>
      <c r="AE2972">
        <v>3</v>
      </c>
      <c r="AF2972" t="s">
        <v>45547</v>
      </c>
      <c r="AG2972" t="s">
        <v>19330</v>
      </c>
      <c r="AH2972">
        <v>2</v>
      </c>
      <c r="AI2972">
        <v>1</v>
      </c>
      <c r="AJ2972">
        <v>0</v>
      </c>
      <c r="AK2972">
        <v>79.08</v>
      </c>
      <c r="AN2972" t="s">
        <v>7439</v>
      </c>
      <c r="AO2972">
        <v>9600</v>
      </c>
      <c r="AU2972">
        <v>2.1</v>
      </c>
      <c r="AV2972" t="s">
        <v>665</v>
      </c>
      <c r="AW2972" t="s">
        <v>46862</v>
      </c>
    </row>
    <row r="2973" spans="1:50">
      <c r="A2973" s="1">
        <f>HYPERLINK("https://lsnyc.legalserver.org/matter/dynamic-profile/view/1882566","18-1882566")</f>
        <v>0</v>
      </c>
      <c r="B2973" t="s">
        <v>80</v>
      </c>
      <c r="C2973" t="s">
        <v>341</v>
      </c>
      <c r="D2973" t="s">
        <v>646</v>
      </c>
      <c r="E2973" t="s">
        <v>678</v>
      </c>
      <c r="F2973" t="s">
        <v>901</v>
      </c>
      <c r="G2973" t="s">
        <v>5863</v>
      </c>
      <c r="H2973" t="s">
        <v>11989</v>
      </c>
      <c r="I2973" t="s">
        <v>17325</v>
      </c>
      <c r="J2973" t="s">
        <v>18893</v>
      </c>
      <c r="K2973">
        <v>10032</v>
      </c>
      <c r="L2973" t="s">
        <v>18958</v>
      </c>
      <c r="M2973" t="s">
        <v>18959</v>
      </c>
      <c r="N2973" t="s">
        <v>21159</v>
      </c>
      <c r="O2973" t="s">
        <v>26523</v>
      </c>
      <c r="Q2973" t="s">
        <v>26570</v>
      </c>
      <c r="R2973" t="s">
        <v>26582</v>
      </c>
      <c r="S2973" t="s">
        <v>18959</v>
      </c>
      <c r="U2973" t="s">
        <v>26604</v>
      </c>
      <c r="V2973" t="s">
        <v>26610</v>
      </c>
      <c r="W2973" t="s">
        <v>644</v>
      </c>
      <c r="X2973">
        <v>577.5</v>
      </c>
      <c r="Y2973" t="s">
        <v>26651</v>
      </c>
      <c r="Z2973" t="s">
        <v>26664</v>
      </c>
      <c r="AA2973" t="s">
        <v>26683</v>
      </c>
      <c r="AB2973" t="s">
        <v>29268</v>
      </c>
      <c r="AC2973">
        <v>72169751</v>
      </c>
      <c r="AD2973" t="s">
        <v>39320</v>
      </c>
      <c r="AE2973">
        <v>48</v>
      </c>
      <c r="AG2973" t="s">
        <v>45559</v>
      </c>
      <c r="AH2973">
        <v>53</v>
      </c>
      <c r="AI2973">
        <v>1</v>
      </c>
      <c r="AJ2973">
        <v>0</v>
      </c>
      <c r="AK2973">
        <v>79.08</v>
      </c>
      <c r="AN2973" t="s">
        <v>45581</v>
      </c>
      <c r="AO2973">
        <v>9600</v>
      </c>
      <c r="AU2973">
        <v>0.1</v>
      </c>
      <c r="AV2973" t="s">
        <v>667</v>
      </c>
      <c r="AW2973" t="s">
        <v>314</v>
      </c>
    </row>
    <row r="2974" spans="1:50">
      <c r="A2974" s="1">
        <f>HYPERLINK("https://lsnyc.legalserver.org/matter/dynamic-profile/view/1883042","18-1883042")</f>
        <v>0</v>
      </c>
      <c r="B2974" t="s">
        <v>126</v>
      </c>
      <c r="C2974" t="s">
        <v>341</v>
      </c>
      <c r="D2974" t="s">
        <v>651</v>
      </c>
      <c r="E2974" t="s">
        <v>697</v>
      </c>
      <c r="F2974" t="s">
        <v>2472</v>
      </c>
      <c r="G2974" t="s">
        <v>4588</v>
      </c>
      <c r="H2974" t="s">
        <v>11990</v>
      </c>
      <c r="J2974" t="s">
        <v>18894</v>
      </c>
      <c r="K2974">
        <v>11207</v>
      </c>
      <c r="L2974" t="s">
        <v>18958</v>
      </c>
      <c r="M2974" t="s">
        <v>18959</v>
      </c>
      <c r="N2974" t="s">
        <v>18993</v>
      </c>
      <c r="O2974" t="s">
        <v>26537</v>
      </c>
      <c r="P2974" t="s">
        <v>26564</v>
      </c>
      <c r="Q2974" t="s">
        <v>26571</v>
      </c>
      <c r="R2974" t="s">
        <v>26578</v>
      </c>
      <c r="S2974" t="s">
        <v>18959</v>
      </c>
      <c r="U2974" t="s">
        <v>26604</v>
      </c>
      <c r="V2974" t="s">
        <v>26610</v>
      </c>
      <c r="W2974" t="s">
        <v>644</v>
      </c>
      <c r="X2974">
        <v>1500</v>
      </c>
      <c r="Y2974" t="s">
        <v>26652</v>
      </c>
      <c r="AA2974" t="s">
        <v>26683</v>
      </c>
      <c r="AB2974" t="s">
        <v>29269</v>
      </c>
      <c r="AD2974" t="s">
        <v>39321</v>
      </c>
      <c r="AE2974">
        <v>2</v>
      </c>
      <c r="AG2974" t="s">
        <v>45556</v>
      </c>
      <c r="AH2974">
        <v>7</v>
      </c>
      <c r="AI2974">
        <v>2</v>
      </c>
      <c r="AJ2974">
        <v>2</v>
      </c>
      <c r="AK2974">
        <v>94.41</v>
      </c>
      <c r="AN2974" t="s">
        <v>45581</v>
      </c>
      <c r="AO2974">
        <v>23698</v>
      </c>
      <c r="AU2974">
        <v>1</v>
      </c>
      <c r="AV2974" t="s">
        <v>651</v>
      </c>
      <c r="AW2974" t="s">
        <v>126</v>
      </c>
      <c r="AX2974" t="s">
        <v>46897</v>
      </c>
    </row>
    <row r="2975" spans="1:50">
      <c r="A2975" s="1">
        <f>HYPERLINK("https://lsnyc.legalserver.org/matter/dynamic-profile/view/1884107","18-1884107")</f>
        <v>0</v>
      </c>
      <c r="B2975" t="s">
        <v>80</v>
      </c>
      <c r="C2975" t="s">
        <v>341</v>
      </c>
      <c r="D2975" t="s">
        <v>652</v>
      </c>
      <c r="E2975" t="s">
        <v>678</v>
      </c>
      <c r="F2975" t="s">
        <v>1703</v>
      </c>
      <c r="G2975" t="s">
        <v>6690</v>
      </c>
      <c r="H2975" t="s">
        <v>11991</v>
      </c>
      <c r="I2975" t="s">
        <v>17347</v>
      </c>
      <c r="J2975" t="s">
        <v>18893</v>
      </c>
      <c r="K2975">
        <v>10025</v>
      </c>
      <c r="L2975" t="s">
        <v>18958</v>
      </c>
      <c r="M2975" t="s">
        <v>18958</v>
      </c>
      <c r="N2975" t="s">
        <v>21160</v>
      </c>
      <c r="O2975" t="s">
        <v>26524</v>
      </c>
      <c r="P2975" t="s">
        <v>26564</v>
      </c>
      <c r="Q2975" t="s">
        <v>26570</v>
      </c>
      <c r="R2975" t="s">
        <v>26580</v>
      </c>
      <c r="S2975" t="s">
        <v>18959</v>
      </c>
      <c r="U2975" t="s">
        <v>26606</v>
      </c>
      <c r="V2975" t="s">
        <v>26610</v>
      </c>
      <c r="W2975" t="s">
        <v>644</v>
      </c>
      <c r="X2975">
        <v>138</v>
      </c>
      <c r="Y2975" t="s">
        <v>26651</v>
      </c>
      <c r="Z2975" t="s">
        <v>26530</v>
      </c>
      <c r="AA2975" t="s">
        <v>26683</v>
      </c>
      <c r="AB2975" t="s">
        <v>29270</v>
      </c>
      <c r="AD2975" t="s">
        <v>39322</v>
      </c>
      <c r="AE2975">
        <v>143</v>
      </c>
      <c r="AF2975" t="s">
        <v>45552</v>
      </c>
      <c r="AG2975" t="s">
        <v>26530</v>
      </c>
      <c r="AH2975">
        <v>24</v>
      </c>
      <c r="AI2975">
        <v>1</v>
      </c>
      <c r="AJ2975">
        <v>0</v>
      </c>
      <c r="AK2975">
        <v>160.63</v>
      </c>
      <c r="AN2975" t="s">
        <v>7439</v>
      </c>
      <c r="AO2975">
        <v>19500</v>
      </c>
      <c r="AU2975">
        <v>0.1</v>
      </c>
      <c r="AV2975" t="s">
        <v>667</v>
      </c>
      <c r="AW2975" t="s">
        <v>46875</v>
      </c>
    </row>
    <row r="2976" spans="1:50">
      <c r="A2976" s="1">
        <f>HYPERLINK("https://lsnyc.legalserver.org/matter/dynamic-profile/view/1887516","19-1887516")</f>
        <v>0</v>
      </c>
      <c r="B2976" t="s">
        <v>73</v>
      </c>
      <c r="C2976" t="s">
        <v>341</v>
      </c>
      <c r="D2976" t="s">
        <v>414</v>
      </c>
      <c r="E2976" t="s">
        <v>797</v>
      </c>
      <c r="F2976" t="s">
        <v>948</v>
      </c>
      <c r="G2976" t="s">
        <v>5140</v>
      </c>
      <c r="H2976" t="s">
        <v>9718</v>
      </c>
      <c r="I2976" t="s">
        <v>17334</v>
      </c>
      <c r="J2976" t="s">
        <v>18894</v>
      </c>
      <c r="K2976">
        <v>11233</v>
      </c>
      <c r="L2976" t="s">
        <v>18958</v>
      </c>
      <c r="M2976" t="s">
        <v>18958</v>
      </c>
      <c r="N2976" t="s">
        <v>21161</v>
      </c>
      <c r="O2976" t="s">
        <v>26534</v>
      </c>
      <c r="P2976" t="s">
        <v>26561</v>
      </c>
      <c r="Q2976" t="s">
        <v>26572</v>
      </c>
      <c r="R2976" t="s">
        <v>26578</v>
      </c>
      <c r="S2976" t="s">
        <v>18958</v>
      </c>
      <c r="U2976" t="s">
        <v>26604</v>
      </c>
      <c r="W2976" t="s">
        <v>644</v>
      </c>
      <c r="X2976">
        <v>2350</v>
      </c>
      <c r="Y2976" t="s">
        <v>26652</v>
      </c>
      <c r="Z2976" t="s">
        <v>26659</v>
      </c>
      <c r="AA2976" t="s">
        <v>26685</v>
      </c>
      <c r="AB2976" t="s">
        <v>26786</v>
      </c>
      <c r="AD2976" t="s">
        <v>36893</v>
      </c>
      <c r="AE2976">
        <v>7</v>
      </c>
      <c r="AF2976" t="s">
        <v>45541</v>
      </c>
      <c r="AG2976" t="s">
        <v>19330</v>
      </c>
      <c r="AH2976">
        <v>1</v>
      </c>
      <c r="AI2976">
        <v>1</v>
      </c>
      <c r="AJ2976">
        <v>0</v>
      </c>
      <c r="AK2976">
        <v>247.12</v>
      </c>
      <c r="AL2976" t="s">
        <v>574</v>
      </c>
      <c r="AM2976" t="s">
        <v>45575</v>
      </c>
      <c r="AN2976" t="s">
        <v>7439</v>
      </c>
      <c r="AO2976">
        <v>30000</v>
      </c>
      <c r="AU2976">
        <v>0.8</v>
      </c>
      <c r="AV2976" t="s">
        <v>779</v>
      </c>
      <c r="AW2976" t="s">
        <v>286</v>
      </c>
      <c r="AX2976" t="s">
        <v>46897</v>
      </c>
    </row>
    <row r="2977" spans="1:50">
      <c r="A2977" s="1">
        <f>HYPERLINK("https://lsnyc.legalserver.org/matter/dynamic-profile/view/1887682","19-1887682")</f>
        <v>0</v>
      </c>
      <c r="B2977" t="s">
        <v>73</v>
      </c>
      <c r="C2977" t="s">
        <v>341</v>
      </c>
      <c r="D2977" t="s">
        <v>415</v>
      </c>
      <c r="E2977" t="s">
        <v>494</v>
      </c>
      <c r="F2977" t="s">
        <v>949</v>
      </c>
      <c r="G2977" t="s">
        <v>2196</v>
      </c>
      <c r="H2977" t="s">
        <v>9719</v>
      </c>
      <c r="I2977" t="s">
        <v>17331</v>
      </c>
      <c r="J2977" t="s">
        <v>18894</v>
      </c>
      <c r="K2977">
        <v>11233</v>
      </c>
      <c r="L2977" t="s">
        <v>18958</v>
      </c>
      <c r="M2977" t="s">
        <v>18958</v>
      </c>
      <c r="N2977" t="s">
        <v>21162</v>
      </c>
      <c r="O2977" t="s">
        <v>26534</v>
      </c>
      <c r="P2977" t="s">
        <v>26561</v>
      </c>
      <c r="Q2977" t="s">
        <v>26569</v>
      </c>
      <c r="R2977" t="s">
        <v>26578</v>
      </c>
      <c r="S2977" t="s">
        <v>18958</v>
      </c>
      <c r="U2977" t="s">
        <v>26604</v>
      </c>
      <c r="W2977" t="s">
        <v>644</v>
      </c>
      <c r="X2977">
        <v>1433.14</v>
      </c>
      <c r="Y2977" t="s">
        <v>26652</v>
      </c>
      <c r="Z2977" t="s">
        <v>26660</v>
      </c>
      <c r="AA2977" t="s">
        <v>26682</v>
      </c>
      <c r="AB2977" t="s">
        <v>26787</v>
      </c>
      <c r="AD2977" t="s">
        <v>36894</v>
      </c>
      <c r="AE2977">
        <v>7</v>
      </c>
      <c r="AF2977" t="s">
        <v>45541</v>
      </c>
      <c r="AH2977">
        <v>3</v>
      </c>
      <c r="AI2977">
        <v>2</v>
      </c>
      <c r="AJ2977">
        <v>0</v>
      </c>
      <c r="AK2977">
        <v>282.27</v>
      </c>
      <c r="AL2977" t="s">
        <v>574</v>
      </c>
      <c r="AM2977" t="s">
        <v>45575</v>
      </c>
      <c r="AN2977" t="s">
        <v>7439</v>
      </c>
      <c r="AO2977">
        <v>46462</v>
      </c>
      <c r="AR2977" t="s">
        <v>26530</v>
      </c>
      <c r="AU2977">
        <v>0.5</v>
      </c>
      <c r="AV2977" t="s">
        <v>458</v>
      </c>
      <c r="AW2977" t="s">
        <v>286</v>
      </c>
    </row>
    <row r="2978" spans="1:50">
      <c r="A2978" s="1">
        <f>HYPERLINK("https://lsnyc.legalserver.org/matter/dynamic-profile/view/1887691","19-1887691")</f>
        <v>0</v>
      </c>
      <c r="B2978" t="s">
        <v>73</v>
      </c>
      <c r="C2978" t="s">
        <v>341</v>
      </c>
      <c r="D2978" t="s">
        <v>415</v>
      </c>
      <c r="E2978" t="s">
        <v>797</v>
      </c>
      <c r="F2978" t="s">
        <v>952</v>
      </c>
      <c r="G2978" t="s">
        <v>3283</v>
      </c>
      <c r="H2978" t="s">
        <v>9718</v>
      </c>
      <c r="I2978" t="s">
        <v>17291</v>
      </c>
      <c r="J2978" t="s">
        <v>18894</v>
      </c>
      <c r="K2978">
        <v>11233</v>
      </c>
      <c r="L2978" t="s">
        <v>18958</v>
      </c>
      <c r="M2978" t="s">
        <v>18958</v>
      </c>
      <c r="N2978" t="s">
        <v>21163</v>
      </c>
      <c r="O2978" t="s">
        <v>26534</v>
      </c>
      <c r="P2978" t="s">
        <v>26561</v>
      </c>
      <c r="Q2978" t="s">
        <v>26572</v>
      </c>
      <c r="R2978" t="s">
        <v>26578</v>
      </c>
      <c r="S2978" t="s">
        <v>18958</v>
      </c>
      <c r="U2978" t="s">
        <v>26604</v>
      </c>
      <c r="W2978" t="s">
        <v>644</v>
      </c>
      <c r="X2978">
        <v>840</v>
      </c>
      <c r="Y2978" t="s">
        <v>26652</v>
      </c>
      <c r="Z2978" t="s">
        <v>26666</v>
      </c>
      <c r="AA2978" t="s">
        <v>26685</v>
      </c>
      <c r="AB2978" t="s">
        <v>26790</v>
      </c>
      <c r="AD2978" t="s">
        <v>36896</v>
      </c>
      <c r="AE2978">
        <v>7</v>
      </c>
      <c r="AF2978" t="s">
        <v>45541</v>
      </c>
      <c r="AG2978" t="s">
        <v>19330</v>
      </c>
      <c r="AH2978">
        <v>30</v>
      </c>
      <c r="AI2978">
        <v>1</v>
      </c>
      <c r="AJ2978">
        <v>0</v>
      </c>
      <c r="AK2978">
        <v>576.61</v>
      </c>
      <c r="AN2978" t="s">
        <v>7439</v>
      </c>
      <c r="AO2978">
        <v>70000</v>
      </c>
      <c r="AU2978">
        <v>0.5</v>
      </c>
      <c r="AV2978" t="s">
        <v>825</v>
      </c>
      <c r="AW2978" t="s">
        <v>286</v>
      </c>
      <c r="AX2978" t="s">
        <v>46897</v>
      </c>
    </row>
    <row r="2979" spans="1:50">
      <c r="A2979" s="1">
        <f>HYPERLINK("https://lsnyc.legalserver.org/matter/dynamic-profile/view/1892341","19-1892341")</f>
        <v>0</v>
      </c>
      <c r="B2979" t="s">
        <v>83</v>
      </c>
      <c r="C2979" t="s">
        <v>340</v>
      </c>
      <c r="D2979" t="s">
        <v>416</v>
      </c>
      <c r="F2979" t="s">
        <v>2473</v>
      </c>
      <c r="G2979" t="s">
        <v>3173</v>
      </c>
      <c r="H2979" t="s">
        <v>11992</v>
      </c>
      <c r="I2979" t="s">
        <v>17277</v>
      </c>
      <c r="J2979" t="s">
        <v>18894</v>
      </c>
      <c r="K2979">
        <v>11233</v>
      </c>
      <c r="L2979" t="s">
        <v>18958</v>
      </c>
      <c r="M2979" t="s">
        <v>18958</v>
      </c>
      <c r="N2979" t="s">
        <v>21164</v>
      </c>
      <c r="O2979" t="s">
        <v>26523</v>
      </c>
      <c r="P2979" t="s">
        <v>26560</v>
      </c>
      <c r="R2979" t="s">
        <v>26578</v>
      </c>
      <c r="S2979" t="s">
        <v>18959</v>
      </c>
      <c r="U2979" t="s">
        <v>26604</v>
      </c>
      <c r="V2979" t="s">
        <v>26610</v>
      </c>
      <c r="W2979" t="s">
        <v>644</v>
      </c>
      <c r="X2979">
        <v>733.64</v>
      </c>
      <c r="Y2979" t="s">
        <v>26652</v>
      </c>
      <c r="Z2979" t="s">
        <v>26661</v>
      </c>
      <c r="AB2979" t="s">
        <v>29271</v>
      </c>
      <c r="AC2979" t="s">
        <v>19330</v>
      </c>
      <c r="AD2979" t="s">
        <v>39323</v>
      </c>
      <c r="AE2979">
        <v>32</v>
      </c>
      <c r="AF2979" t="s">
        <v>45541</v>
      </c>
      <c r="AG2979" t="s">
        <v>19330</v>
      </c>
      <c r="AH2979">
        <v>5</v>
      </c>
      <c r="AI2979">
        <v>1</v>
      </c>
      <c r="AJ2979">
        <v>1</v>
      </c>
      <c r="AK2979">
        <v>149.76</v>
      </c>
      <c r="AN2979" t="s">
        <v>7439</v>
      </c>
      <c r="AO2979">
        <v>25324</v>
      </c>
      <c r="AU2979">
        <v>0</v>
      </c>
      <c r="AW2979" t="s">
        <v>279</v>
      </c>
    </row>
    <row r="2980" spans="1:50">
      <c r="A2980" s="1">
        <f>HYPERLINK("https://lsnyc.legalserver.org/matter/dynamic-profile/view/0812972","16-0812972")</f>
        <v>0</v>
      </c>
      <c r="B2980" t="s">
        <v>53</v>
      </c>
      <c r="C2980" t="s">
        <v>340</v>
      </c>
      <c r="D2980" t="s">
        <v>653</v>
      </c>
      <c r="F2980" t="s">
        <v>871</v>
      </c>
      <c r="G2980" t="s">
        <v>1725</v>
      </c>
      <c r="H2980" t="s">
        <v>9639</v>
      </c>
      <c r="I2980" t="s">
        <v>17271</v>
      </c>
      <c r="J2980" t="s">
        <v>18892</v>
      </c>
      <c r="K2980">
        <v>10454</v>
      </c>
      <c r="L2980" t="s">
        <v>18958</v>
      </c>
      <c r="M2980" t="s">
        <v>18960</v>
      </c>
      <c r="N2980" t="s">
        <v>21165</v>
      </c>
      <c r="O2980" t="s">
        <v>26548</v>
      </c>
      <c r="P2980" t="s">
        <v>26566</v>
      </c>
      <c r="R2980" t="s">
        <v>26577</v>
      </c>
      <c r="S2980" t="s">
        <v>18958</v>
      </c>
      <c r="U2980" t="s">
        <v>26604</v>
      </c>
      <c r="V2980" t="s">
        <v>26610</v>
      </c>
      <c r="W2980" t="s">
        <v>427</v>
      </c>
      <c r="X2980">
        <v>1749.98</v>
      </c>
      <c r="Y2980" t="s">
        <v>26650</v>
      </c>
      <c r="Z2980" t="s">
        <v>26655</v>
      </c>
      <c r="AB2980" t="s">
        <v>26699</v>
      </c>
      <c r="AC2980" t="s">
        <v>35371</v>
      </c>
      <c r="AD2980" t="s">
        <v>39324</v>
      </c>
      <c r="AE2980">
        <v>0</v>
      </c>
      <c r="AF2980" t="s">
        <v>45541</v>
      </c>
      <c r="AG2980" t="s">
        <v>45557</v>
      </c>
      <c r="AH2980">
        <v>5</v>
      </c>
      <c r="AI2980">
        <v>3</v>
      </c>
      <c r="AJ2980">
        <v>3</v>
      </c>
      <c r="AK2980">
        <v>14.73</v>
      </c>
      <c r="AN2980" t="s">
        <v>45581</v>
      </c>
      <c r="AO2980">
        <v>4800</v>
      </c>
      <c r="AP2980" t="s">
        <v>45617</v>
      </c>
      <c r="AU2980">
        <v>87.7</v>
      </c>
      <c r="AV2980" t="s">
        <v>677</v>
      </c>
      <c r="AW2980" t="s">
        <v>46832</v>
      </c>
      <c r="AX2980" t="s">
        <v>46898</v>
      </c>
    </row>
    <row r="2981" spans="1:50">
      <c r="A2981" s="1">
        <f>HYPERLINK("https://lsnyc.legalserver.org/matter/dynamic-profile/view/0814781","16-0814781")</f>
        <v>0</v>
      </c>
      <c r="B2981" t="s">
        <v>50</v>
      </c>
      <c r="C2981" t="s">
        <v>340</v>
      </c>
      <c r="D2981" t="s">
        <v>654</v>
      </c>
      <c r="F2981" t="s">
        <v>2474</v>
      </c>
      <c r="G2981" t="s">
        <v>6691</v>
      </c>
      <c r="H2981" t="s">
        <v>11993</v>
      </c>
      <c r="I2981" t="s">
        <v>17842</v>
      </c>
      <c r="J2981" t="s">
        <v>18892</v>
      </c>
      <c r="K2981">
        <v>10454</v>
      </c>
      <c r="L2981" t="s">
        <v>18958</v>
      </c>
      <c r="M2981" t="s">
        <v>18960</v>
      </c>
      <c r="N2981" t="s">
        <v>21166</v>
      </c>
      <c r="O2981" t="s">
        <v>26548</v>
      </c>
      <c r="P2981" t="s">
        <v>26566</v>
      </c>
      <c r="R2981" t="s">
        <v>26577</v>
      </c>
      <c r="S2981" t="s">
        <v>18958</v>
      </c>
      <c r="U2981" t="s">
        <v>26604</v>
      </c>
      <c r="V2981" t="s">
        <v>26610</v>
      </c>
      <c r="W2981" t="s">
        <v>427</v>
      </c>
      <c r="X2981">
        <v>1419</v>
      </c>
      <c r="Y2981" t="s">
        <v>26650</v>
      </c>
      <c r="Z2981" t="s">
        <v>26659</v>
      </c>
      <c r="AB2981" t="s">
        <v>29272</v>
      </c>
      <c r="AC2981" t="s">
        <v>35372</v>
      </c>
      <c r="AD2981" t="s">
        <v>39325</v>
      </c>
      <c r="AE2981">
        <v>0</v>
      </c>
      <c r="AF2981" t="s">
        <v>45541</v>
      </c>
      <c r="AG2981" t="s">
        <v>45557</v>
      </c>
      <c r="AH2981">
        <v>7</v>
      </c>
      <c r="AI2981">
        <v>2</v>
      </c>
      <c r="AJ2981">
        <v>2</v>
      </c>
      <c r="AK2981">
        <v>80.64</v>
      </c>
      <c r="AN2981" t="s">
        <v>7439</v>
      </c>
      <c r="AO2981">
        <v>30396</v>
      </c>
      <c r="AP2981" t="s">
        <v>45617</v>
      </c>
      <c r="AU2981">
        <v>153.5</v>
      </c>
      <c r="AV2981" t="s">
        <v>720</v>
      </c>
      <c r="AW2981" t="s">
        <v>46836</v>
      </c>
      <c r="AX2981" t="s">
        <v>46898</v>
      </c>
    </row>
    <row r="2982" spans="1:50">
      <c r="A2982" s="1">
        <f>HYPERLINK("https://lsnyc.legalserver.org/matter/dynamic-profile/view/1880301","18-1880301")</f>
        <v>0</v>
      </c>
      <c r="B2982" t="s">
        <v>153</v>
      </c>
      <c r="C2982" t="s">
        <v>341</v>
      </c>
      <c r="D2982" t="s">
        <v>600</v>
      </c>
      <c r="E2982" t="s">
        <v>806</v>
      </c>
      <c r="F2982" t="s">
        <v>1292</v>
      </c>
      <c r="G2982" t="s">
        <v>2098</v>
      </c>
      <c r="H2982" t="s">
        <v>10352</v>
      </c>
      <c r="I2982" t="s">
        <v>17465</v>
      </c>
      <c r="J2982" t="s">
        <v>18902</v>
      </c>
      <c r="K2982">
        <v>10302</v>
      </c>
      <c r="L2982" t="s">
        <v>18958</v>
      </c>
      <c r="M2982" t="s">
        <v>18958</v>
      </c>
      <c r="N2982" t="s">
        <v>21167</v>
      </c>
      <c r="O2982" t="s">
        <v>26523</v>
      </c>
      <c r="P2982" t="s">
        <v>26560</v>
      </c>
      <c r="Q2982" t="s">
        <v>26568</v>
      </c>
      <c r="R2982" t="s">
        <v>26590</v>
      </c>
      <c r="S2982" t="s">
        <v>18959</v>
      </c>
      <c r="U2982" t="s">
        <v>26604</v>
      </c>
      <c r="V2982" t="s">
        <v>26610</v>
      </c>
      <c r="W2982" t="s">
        <v>427</v>
      </c>
      <c r="X2982">
        <v>847.4</v>
      </c>
      <c r="Y2982" t="s">
        <v>26654</v>
      </c>
      <c r="Z2982" t="s">
        <v>26659</v>
      </c>
      <c r="AA2982" t="s">
        <v>26678</v>
      </c>
      <c r="AB2982" t="s">
        <v>27458</v>
      </c>
      <c r="AD2982" t="s">
        <v>37519</v>
      </c>
      <c r="AE2982">
        <v>44</v>
      </c>
      <c r="AF2982" t="s">
        <v>45541</v>
      </c>
      <c r="AH2982">
        <v>9</v>
      </c>
      <c r="AI2982">
        <v>1</v>
      </c>
      <c r="AJ2982">
        <v>0</v>
      </c>
      <c r="AK2982">
        <v>179.31</v>
      </c>
      <c r="AN2982" t="s">
        <v>7439</v>
      </c>
      <c r="AO2982">
        <v>21768</v>
      </c>
      <c r="AS2982" t="s">
        <v>46499</v>
      </c>
      <c r="AT2982" t="s">
        <v>46619</v>
      </c>
      <c r="AU2982">
        <v>25.15</v>
      </c>
      <c r="AV2982" t="s">
        <v>810</v>
      </c>
      <c r="AW2982" t="s">
        <v>185</v>
      </c>
    </row>
    <row r="2983" spans="1:50">
      <c r="A2983" s="1">
        <f>HYPERLINK("https://lsnyc.legalserver.org/matter/dynamic-profile/view/1880773","18-1880773")</f>
        <v>0</v>
      </c>
      <c r="B2983" t="s">
        <v>133</v>
      </c>
      <c r="C2983" t="s">
        <v>341</v>
      </c>
      <c r="D2983" t="s">
        <v>630</v>
      </c>
      <c r="E2983" t="s">
        <v>692</v>
      </c>
      <c r="F2983" t="s">
        <v>1228</v>
      </c>
      <c r="G2983" t="s">
        <v>2504</v>
      </c>
      <c r="H2983" t="s">
        <v>11994</v>
      </c>
      <c r="I2983" t="s">
        <v>17908</v>
      </c>
      <c r="J2983" t="s">
        <v>18892</v>
      </c>
      <c r="K2983">
        <v>10465</v>
      </c>
      <c r="L2983" t="s">
        <v>18958</v>
      </c>
      <c r="M2983" t="s">
        <v>18958</v>
      </c>
      <c r="N2983" t="s">
        <v>21168</v>
      </c>
      <c r="O2983" t="s">
        <v>26524</v>
      </c>
      <c r="P2983" t="s">
        <v>26564</v>
      </c>
      <c r="Q2983" t="s">
        <v>26570</v>
      </c>
      <c r="R2983" t="s">
        <v>26577</v>
      </c>
      <c r="S2983" t="s">
        <v>18959</v>
      </c>
      <c r="U2983" t="s">
        <v>26604</v>
      </c>
      <c r="V2983" t="s">
        <v>26610</v>
      </c>
      <c r="W2983" t="s">
        <v>427</v>
      </c>
      <c r="X2983">
        <v>1850</v>
      </c>
      <c r="Y2983" t="s">
        <v>26650</v>
      </c>
      <c r="AA2983" t="s">
        <v>26683</v>
      </c>
      <c r="AB2983" t="s">
        <v>29273</v>
      </c>
      <c r="AC2983" t="s">
        <v>35373</v>
      </c>
      <c r="AD2983" t="s">
        <v>39326</v>
      </c>
      <c r="AE2983">
        <v>0</v>
      </c>
      <c r="AF2983" t="s">
        <v>45541</v>
      </c>
      <c r="AG2983" t="s">
        <v>19330</v>
      </c>
      <c r="AH2983">
        <v>1</v>
      </c>
      <c r="AI2983">
        <v>2</v>
      </c>
      <c r="AJ2983">
        <v>1</v>
      </c>
      <c r="AK2983">
        <v>196.9</v>
      </c>
      <c r="AN2983" t="s">
        <v>7439</v>
      </c>
      <c r="AO2983">
        <v>40915.6</v>
      </c>
      <c r="AU2983">
        <v>3.15</v>
      </c>
      <c r="AV2983" t="s">
        <v>427</v>
      </c>
      <c r="AW2983" t="s">
        <v>267</v>
      </c>
    </row>
    <row r="2984" spans="1:50">
      <c r="A2984" s="1">
        <f>HYPERLINK("https://lsnyc.legalserver.org/matter/dynamic-profile/view/1881549","18-1881549")</f>
        <v>0</v>
      </c>
      <c r="B2984" t="s">
        <v>207</v>
      </c>
      <c r="C2984" t="s">
        <v>341</v>
      </c>
      <c r="D2984" t="s">
        <v>624</v>
      </c>
      <c r="E2984" t="s">
        <v>427</v>
      </c>
      <c r="F2984" t="s">
        <v>2475</v>
      </c>
      <c r="G2984" t="s">
        <v>2173</v>
      </c>
      <c r="H2984" t="s">
        <v>11995</v>
      </c>
      <c r="I2984" t="s">
        <v>17676</v>
      </c>
      <c r="J2984" t="s">
        <v>18894</v>
      </c>
      <c r="K2984">
        <v>11226</v>
      </c>
      <c r="L2984" t="s">
        <v>18958</v>
      </c>
      <c r="M2984" t="s">
        <v>18958</v>
      </c>
      <c r="N2984" t="s">
        <v>21169</v>
      </c>
      <c r="O2984" t="s">
        <v>26523</v>
      </c>
      <c r="Q2984" t="s">
        <v>26570</v>
      </c>
      <c r="R2984" t="s">
        <v>26588</v>
      </c>
      <c r="U2984" t="s">
        <v>26604</v>
      </c>
      <c r="W2984" t="s">
        <v>427</v>
      </c>
      <c r="X2984">
        <v>1578.02</v>
      </c>
      <c r="Y2984" t="s">
        <v>26652</v>
      </c>
      <c r="AA2984" t="s">
        <v>26683</v>
      </c>
      <c r="AB2984" t="s">
        <v>29274</v>
      </c>
      <c r="AE2984">
        <v>0</v>
      </c>
      <c r="AG2984" t="s">
        <v>19330</v>
      </c>
      <c r="AH2984">
        <v>1</v>
      </c>
      <c r="AI2984">
        <v>1</v>
      </c>
      <c r="AJ2984">
        <v>3</v>
      </c>
      <c r="AK2984">
        <v>84.18000000000001</v>
      </c>
      <c r="AN2984" t="s">
        <v>7439</v>
      </c>
      <c r="AO2984">
        <v>21128</v>
      </c>
      <c r="AU2984">
        <v>1</v>
      </c>
      <c r="AV2984" t="s">
        <v>624</v>
      </c>
      <c r="AW2984" t="s">
        <v>46853</v>
      </c>
    </row>
    <row r="2985" spans="1:50">
      <c r="A2985" s="1">
        <f>HYPERLINK("https://lsnyc.legalserver.org/matter/dynamic-profile/view/1882218","18-1882218")</f>
        <v>0</v>
      </c>
      <c r="B2985" t="s">
        <v>133</v>
      </c>
      <c r="C2985" t="s">
        <v>341</v>
      </c>
      <c r="D2985" t="s">
        <v>427</v>
      </c>
      <c r="E2985" t="s">
        <v>692</v>
      </c>
      <c r="F2985" t="s">
        <v>2476</v>
      </c>
      <c r="G2985" t="s">
        <v>5013</v>
      </c>
      <c r="H2985" t="s">
        <v>11996</v>
      </c>
      <c r="I2985" t="s">
        <v>17334</v>
      </c>
      <c r="J2985" t="s">
        <v>18892</v>
      </c>
      <c r="K2985">
        <v>10458</v>
      </c>
      <c r="L2985" t="s">
        <v>18958</v>
      </c>
      <c r="M2985" t="s">
        <v>18958</v>
      </c>
      <c r="N2985" t="s">
        <v>21170</v>
      </c>
      <c r="O2985" t="s">
        <v>26524</v>
      </c>
      <c r="P2985" t="s">
        <v>26564</v>
      </c>
      <c r="Q2985" t="s">
        <v>26570</v>
      </c>
      <c r="R2985" t="s">
        <v>26577</v>
      </c>
      <c r="S2985" t="s">
        <v>18959</v>
      </c>
      <c r="U2985" t="s">
        <v>26604</v>
      </c>
      <c r="W2985" t="s">
        <v>427</v>
      </c>
      <c r="X2985">
        <v>1279</v>
      </c>
      <c r="Y2985" t="s">
        <v>26650</v>
      </c>
      <c r="Z2985" t="s">
        <v>26657</v>
      </c>
      <c r="AA2985" t="s">
        <v>26683</v>
      </c>
      <c r="AB2985" t="s">
        <v>29275</v>
      </c>
      <c r="AC2985" t="s">
        <v>35374</v>
      </c>
      <c r="AD2985" t="s">
        <v>39327</v>
      </c>
      <c r="AE2985">
        <v>0</v>
      </c>
      <c r="AF2985" t="s">
        <v>45547</v>
      </c>
      <c r="AG2985" t="s">
        <v>45556</v>
      </c>
      <c r="AH2985">
        <v>13</v>
      </c>
      <c r="AI2985">
        <v>1</v>
      </c>
      <c r="AJ2985">
        <v>0</v>
      </c>
      <c r="AK2985">
        <v>19.28</v>
      </c>
      <c r="AN2985" t="s">
        <v>7439</v>
      </c>
      <c r="AO2985">
        <v>2340</v>
      </c>
      <c r="AU2985">
        <v>0.8</v>
      </c>
      <c r="AV2985" t="s">
        <v>427</v>
      </c>
      <c r="AW2985" t="s">
        <v>46870</v>
      </c>
    </row>
    <row r="2986" spans="1:50">
      <c r="A2986" s="1">
        <f>HYPERLINK("https://lsnyc.legalserver.org/matter/dynamic-profile/view/1868578","18-1868578")</f>
        <v>0</v>
      </c>
      <c r="B2986" t="s">
        <v>214</v>
      </c>
      <c r="C2986" t="s">
        <v>341</v>
      </c>
      <c r="D2986" t="s">
        <v>427</v>
      </c>
      <c r="E2986" t="s">
        <v>452</v>
      </c>
      <c r="F2986" t="s">
        <v>1564</v>
      </c>
      <c r="G2986" t="s">
        <v>5753</v>
      </c>
      <c r="H2986" t="s">
        <v>10538</v>
      </c>
      <c r="I2986">
        <v>5</v>
      </c>
      <c r="J2986" t="s">
        <v>18913</v>
      </c>
      <c r="K2986">
        <v>11102</v>
      </c>
      <c r="L2986" t="s">
        <v>18958</v>
      </c>
      <c r="M2986" t="s">
        <v>18958</v>
      </c>
      <c r="N2986" t="s">
        <v>21171</v>
      </c>
      <c r="O2986" t="s">
        <v>26523</v>
      </c>
      <c r="P2986" t="s">
        <v>26560</v>
      </c>
      <c r="Q2986" t="s">
        <v>26568</v>
      </c>
      <c r="R2986" t="s">
        <v>26578</v>
      </c>
      <c r="S2986" t="s">
        <v>18959</v>
      </c>
      <c r="U2986" t="s">
        <v>26604</v>
      </c>
      <c r="V2986" t="s">
        <v>26610</v>
      </c>
      <c r="W2986" t="s">
        <v>427</v>
      </c>
      <c r="X2986">
        <v>1518.75</v>
      </c>
      <c r="Y2986" t="s">
        <v>26653</v>
      </c>
      <c r="Z2986" t="s">
        <v>26659</v>
      </c>
      <c r="AA2986" t="s">
        <v>26678</v>
      </c>
      <c r="AB2986" t="s">
        <v>27655</v>
      </c>
      <c r="AC2986" t="s">
        <v>34817</v>
      </c>
      <c r="AD2986" t="s">
        <v>37709</v>
      </c>
      <c r="AE2986">
        <v>8</v>
      </c>
      <c r="AF2986" t="s">
        <v>45541</v>
      </c>
      <c r="AG2986" t="s">
        <v>19330</v>
      </c>
      <c r="AH2986">
        <v>3</v>
      </c>
      <c r="AI2986">
        <v>1</v>
      </c>
      <c r="AJ2986">
        <v>2</v>
      </c>
      <c r="AK2986">
        <v>45.56</v>
      </c>
      <c r="AN2986" t="s">
        <v>45592</v>
      </c>
      <c r="AO2986">
        <v>9468</v>
      </c>
      <c r="AR2986" t="s">
        <v>46380</v>
      </c>
      <c r="AS2986" t="s">
        <v>46499</v>
      </c>
      <c r="AT2986" t="s">
        <v>46529</v>
      </c>
      <c r="AU2986">
        <v>7.05</v>
      </c>
      <c r="AV2986" t="s">
        <v>784</v>
      </c>
      <c r="AW2986" t="s">
        <v>46876</v>
      </c>
    </row>
    <row r="2987" spans="1:50">
      <c r="A2987" s="1">
        <f>HYPERLINK("https://lsnyc.legalserver.org/matter/dynamic-profile/view/1882273","18-1882273")</f>
        <v>0</v>
      </c>
      <c r="B2987" t="s">
        <v>214</v>
      </c>
      <c r="C2987" t="s">
        <v>341</v>
      </c>
      <c r="D2987" t="s">
        <v>427</v>
      </c>
      <c r="E2987" t="s">
        <v>428</v>
      </c>
      <c r="F2987" t="s">
        <v>2168</v>
      </c>
      <c r="G2987" t="s">
        <v>6174</v>
      </c>
      <c r="H2987" t="s">
        <v>11997</v>
      </c>
      <c r="I2987" t="s">
        <v>17533</v>
      </c>
      <c r="J2987" t="s">
        <v>7026</v>
      </c>
      <c r="K2987">
        <v>11368</v>
      </c>
      <c r="L2987" t="s">
        <v>18958</v>
      </c>
      <c r="M2987" t="s">
        <v>18958</v>
      </c>
      <c r="N2987" t="s">
        <v>21172</v>
      </c>
      <c r="O2987" t="s">
        <v>26524</v>
      </c>
      <c r="P2987" t="s">
        <v>26564</v>
      </c>
      <c r="Q2987" t="s">
        <v>26570</v>
      </c>
      <c r="R2987" t="s">
        <v>26578</v>
      </c>
      <c r="S2987" t="s">
        <v>18959</v>
      </c>
      <c r="U2987" t="s">
        <v>26604</v>
      </c>
      <c r="V2987" t="s">
        <v>26612</v>
      </c>
      <c r="W2987" t="s">
        <v>427</v>
      </c>
      <c r="X2987">
        <v>1360</v>
      </c>
      <c r="Y2987" t="s">
        <v>26653</v>
      </c>
      <c r="Z2987" t="s">
        <v>26670</v>
      </c>
      <c r="AA2987" t="s">
        <v>26683</v>
      </c>
      <c r="AB2987" t="s">
        <v>29276</v>
      </c>
      <c r="AD2987" t="s">
        <v>39328</v>
      </c>
      <c r="AE2987">
        <v>2</v>
      </c>
      <c r="AF2987" t="s">
        <v>45547</v>
      </c>
      <c r="AG2987" t="s">
        <v>19330</v>
      </c>
      <c r="AH2987">
        <v>13</v>
      </c>
      <c r="AI2987">
        <v>2</v>
      </c>
      <c r="AJ2987">
        <v>1</v>
      </c>
      <c r="AK2987">
        <v>178.06</v>
      </c>
      <c r="AN2987" t="s">
        <v>7439</v>
      </c>
      <c r="AO2987">
        <v>37000</v>
      </c>
      <c r="AU2987">
        <v>0.48</v>
      </c>
      <c r="AV2987" t="s">
        <v>427</v>
      </c>
      <c r="AW2987" t="s">
        <v>214</v>
      </c>
    </row>
    <row r="2988" spans="1:50">
      <c r="A2988" s="1">
        <f>HYPERLINK("https://lsnyc.legalserver.org/matter/dynamic-profile/view/1882231","18-1882231")</f>
        <v>0</v>
      </c>
      <c r="B2988" t="s">
        <v>64</v>
      </c>
      <c r="C2988" t="s">
        <v>341</v>
      </c>
      <c r="D2988" t="s">
        <v>427</v>
      </c>
      <c r="E2988" t="s">
        <v>785</v>
      </c>
      <c r="F2988" t="s">
        <v>2477</v>
      </c>
      <c r="G2988" t="s">
        <v>6692</v>
      </c>
      <c r="H2988" t="s">
        <v>11998</v>
      </c>
      <c r="I2988">
        <v>1</v>
      </c>
      <c r="J2988" t="s">
        <v>18892</v>
      </c>
      <c r="K2988">
        <v>10467</v>
      </c>
      <c r="L2988" t="s">
        <v>18958</v>
      </c>
      <c r="M2988" t="s">
        <v>18958</v>
      </c>
      <c r="N2988" t="s">
        <v>21173</v>
      </c>
      <c r="O2988" t="s">
        <v>26524</v>
      </c>
      <c r="P2988" t="s">
        <v>26560</v>
      </c>
      <c r="Q2988" t="s">
        <v>26568</v>
      </c>
      <c r="R2988" t="s">
        <v>26579</v>
      </c>
      <c r="U2988" t="s">
        <v>26604</v>
      </c>
      <c r="V2988" t="s">
        <v>26610</v>
      </c>
      <c r="W2988" t="s">
        <v>427</v>
      </c>
      <c r="X2988">
        <v>1100</v>
      </c>
      <c r="Y2988" t="s">
        <v>26650</v>
      </c>
      <c r="Z2988" t="s">
        <v>26664</v>
      </c>
      <c r="AA2988" t="s">
        <v>26679</v>
      </c>
      <c r="AB2988" t="s">
        <v>29277</v>
      </c>
      <c r="AC2988" t="s">
        <v>35375</v>
      </c>
      <c r="AD2988" t="s">
        <v>39329</v>
      </c>
      <c r="AE2988">
        <v>0</v>
      </c>
      <c r="AF2988" t="s">
        <v>45547</v>
      </c>
      <c r="AG2988" t="s">
        <v>19330</v>
      </c>
      <c r="AH2988">
        <v>5</v>
      </c>
      <c r="AI2988">
        <v>2</v>
      </c>
      <c r="AJ2988">
        <v>0</v>
      </c>
      <c r="AK2988">
        <v>71.08</v>
      </c>
      <c r="AN2988" t="s">
        <v>7439</v>
      </c>
      <c r="AO2988">
        <v>11699.1</v>
      </c>
      <c r="AP2988" t="s">
        <v>45654</v>
      </c>
      <c r="AQ2988" t="s">
        <v>46362</v>
      </c>
      <c r="AS2988" t="s">
        <v>46500</v>
      </c>
      <c r="AT2988" t="s">
        <v>46712</v>
      </c>
      <c r="AU2988">
        <v>5.25</v>
      </c>
      <c r="AV2988" t="s">
        <v>785</v>
      </c>
      <c r="AW2988" t="s">
        <v>334</v>
      </c>
    </row>
    <row r="2989" spans="1:50">
      <c r="A2989" s="1">
        <f>HYPERLINK("https://lsnyc.legalserver.org/matter/dynamic-profile/view/1882252","18-1882252")</f>
        <v>0</v>
      </c>
      <c r="B2989" t="s">
        <v>126</v>
      </c>
      <c r="C2989" t="s">
        <v>341</v>
      </c>
      <c r="D2989" t="s">
        <v>427</v>
      </c>
      <c r="E2989" t="s">
        <v>784</v>
      </c>
      <c r="F2989" t="s">
        <v>1136</v>
      </c>
      <c r="G2989" t="s">
        <v>5266</v>
      </c>
      <c r="H2989" t="s">
        <v>10101</v>
      </c>
      <c r="I2989" t="s">
        <v>17288</v>
      </c>
      <c r="J2989" t="s">
        <v>18894</v>
      </c>
      <c r="K2989">
        <v>11239</v>
      </c>
      <c r="L2989" t="s">
        <v>18958</v>
      </c>
      <c r="M2989" t="s">
        <v>18958</v>
      </c>
      <c r="N2989" t="s">
        <v>21174</v>
      </c>
      <c r="O2989" t="s">
        <v>26523</v>
      </c>
      <c r="P2989" t="s">
        <v>26560</v>
      </c>
      <c r="Q2989" t="s">
        <v>26573</v>
      </c>
      <c r="R2989" t="s">
        <v>26578</v>
      </c>
      <c r="S2989" t="s">
        <v>18959</v>
      </c>
      <c r="U2989" t="s">
        <v>26604</v>
      </c>
      <c r="V2989" t="s">
        <v>26610</v>
      </c>
      <c r="W2989" t="s">
        <v>427</v>
      </c>
      <c r="X2989">
        <v>1300</v>
      </c>
      <c r="Y2989" t="s">
        <v>26652</v>
      </c>
      <c r="Z2989" t="s">
        <v>26660</v>
      </c>
      <c r="AA2989" t="s">
        <v>26683</v>
      </c>
      <c r="AB2989" t="s">
        <v>29278</v>
      </c>
      <c r="AC2989" t="s">
        <v>35376</v>
      </c>
      <c r="AD2989" t="s">
        <v>39330</v>
      </c>
      <c r="AE2989">
        <v>1164</v>
      </c>
      <c r="AF2989" t="s">
        <v>45542</v>
      </c>
      <c r="AG2989" t="s">
        <v>45563</v>
      </c>
      <c r="AH2989">
        <v>27</v>
      </c>
      <c r="AI2989">
        <v>1</v>
      </c>
      <c r="AJ2989">
        <v>0</v>
      </c>
      <c r="AK2989">
        <v>163.1</v>
      </c>
      <c r="AN2989" t="s">
        <v>7439</v>
      </c>
      <c r="AO2989">
        <v>19800</v>
      </c>
      <c r="AU2989">
        <v>22</v>
      </c>
      <c r="AV2989" t="s">
        <v>784</v>
      </c>
      <c r="AW2989" t="s">
        <v>198</v>
      </c>
    </row>
    <row r="2990" spans="1:50">
      <c r="A2990" s="1">
        <f>HYPERLINK("https://lsnyc.legalserver.org/matter/dynamic-profile/view/1882303","18-1882303")</f>
        <v>0</v>
      </c>
      <c r="B2990" t="s">
        <v>136</v>
      </c>
      <c r="C2990" t="s">
        <v>340</v>
      </c>
      <c r="D2990" t="s">
        <v>427</v>
      </c>
      <c r="F2990" t="s">
        <v>879</v>
      </c>
      <c r="G2990" t="s">
        <v>6693</v>
      </c>
      <c r="H2990" t="s">
        <v>11913</v>
      </c>
      <c r="I2990" t="s">
        <v>17332</v>
      </c>
      <c r="J2990" t="s">
        <v>18892</v>
      </c>
      <c r="K2990">
        <v>10457</v>
      </c>
      <c r="L2990" t="s">
        <v>18958</v>
      </c>
      <c r="M2990" t="s">
        <v>18958</v>
      </c>
      <c r="N2990" t="s">
        <v>21175</v>
      </c>
      <c r="O2990" t="s">
        <v>26523</v>
      </c>
      <c r="P2990" t="s">
        <v>26560</v>
      </c>
      <c r="R2990" t="s">
        <v>26579</v>
      </c>
      <c r="S2990" t="s">
        <v>18959</v>
      </c>
      <c r="U2990" t="s">
        <v>26604</v>
      </c>
      <c r="V2990" t="s">
        <v>26610</v>
      </c>
      <c r="W2990" t="s">
        <v>427</v>
      </c>
      <c r="X2990">
        <v>1242</v>
      </c>
      <c r="Y2990" t="s">
        <v>26650</v>
      </c>
      <c r="Z2990" t="s">
        <v>26664</v>
      </c>
      <c r="AB2990" t="s">
        <v>29279</v>
      </c>
      <c r="AD2990" t="s">
        <v>39331</v>
      </c>
      <c r="AE2990">
        <v>54</v>
      </c>
      <c r="AF2990" t="s">
        <v>45544</v>
      </c>
      <c r="AG2990" t="s">
        <v>45556</v>
      </c>
      <c r="AH2990">
        <v>3</v>
      </c>
      <c r="AI2990">
        <v>1</v>
      </c>
      <c r="AJ2990">
        <v>0</v>
      </c>
      <c r="AK2990">
        <v>84.70999999999999</v>
      </c>
      <c r="AN2990" t="s">
        <v>7439</v>
      </c>
      <c r="AO2990">
        <v>10284</v>
      </c>
      <c r="AQ2990" t="s">
        <v>46362</v>
      </c>
      <c r="AR2990" t="s">
        <v>46407</v>
      </c>
      <c r="AS2990" t="s">
        <v>46499</v>
      </c>
      <c r="AT2990" t="s">
        <v>46601</v>
      </c>
      <c r="AU2990">
        <v>12.3</v>
      </c>
      <c r="AV2990" t="s">
        <v>767</v>
      </c>
      <c r="AW2990" t="s">
        <v>334</v>
      </c>
    </row>
    <row r="2991" spans="1:50">
      <c r="A2991" s="1">
        <f>HYPERLINK("https://lsnyc.legalserver.org/matter/dynamic-profile/view/1882240","18-1882240")</f>
        <v>0</v>
      </c>
      <c r="B2991" t="s">
        <v>53</v>
      </c>
      <c r="C2991" t="s">
        <v>340</v>
      </c>
      <c r="D2991" t="s">
        <v>427</v>
      </c>
      <c r="F2991" t="s">
        <v>1795</v>
      </c>
      <c r="G2991" t="s">
        <v>5243</v>
      </c>
      <c r="H2991" t="s">
        <v>10872</v>
      </c>
      <c r="I2991" t="s">
        <v>17550</v>
      </c>
      <c r="J2991" t="s">
        <v>18892</v>
      </c>
      <c r="K2991">
        <v>10459</v>
      </c>
      <c r="L2991" t="s">
        <v>18958</v>
      </c>
      <c r="M2991" t="s">
        <v>18958</v>
      </c>
      <c r="N2991" t="s">
        <v>21176</v>
      </c>
      <c r="O2991" t="s">
        <v>26549</v>
      </c>
      <c r="P2991" t="s">
        <v>26560</v>
      </c>
      <c r="R2991" t="s">
        <v>26577</v>
      </c>
      <c r="S2991" t="s">
        <v>18959</v>
      </c>
      <c r="U2991" t="s">
        <v>26606</v>
      </c>
      <c r="V2991" t="s">
        <v>26610</v>
      </c>
      <c r="W2991" t="s">
        <v>427</v>
      </c>
      <c r="X2991">
        <v>1506.56</v>
      </c>
      <c r="Y2991" t="s">
        <v>26650</v>
      </c>
      <c r="Z2991" t="s">
        <v>26667</v>
      </c>
      <c r="AB2991" t="s">
        <v>28032</v>
      </c>
      <c r="AC2991" t="s">
        <v>34948</v>
      </c>
      <c r="AD2991" t="s">
        <v>38083</v>
      </c>
      <c r="AE2991">
        <v>8</v>
      </c>
      <c r="AF2991" t="s">
        <v>45541</v>
      </c>
      <c r="AG2991" t="s">
        <v>45556</v>
      </c>
      <c r="AH2991">
        <v>15</v>
      </c>
      <c r="AI2991">
        <v>2</v>
      </c>
      <c r="AJ2991">
        <v>1</v>
      </c>
      <c r="AK2991">
        <v>72.18000000000001</v>
      </c>
      <c r="AN2991" t="s">
        <v>7439</v>
      </c>
      <c r="AO2991">
        <v>15000</v>
      </c>
      <c r="AU2991">
        <v>81.90000000000001</v>
      </c>
      <c r="AV2991" t="s">
        <v>832</v>
      </c>
      <c r="AW2991" t="s">
        <v>53</v>
      </c>
    </row>
    <row r="2992" spans="1:50">
      <c r="A2992" s="1">
        <f>HYPERLINK("https://lsnyc.legalserver.org/matter/dynamic-profile/view/1881303","18-1881303")</f>
        <v>0</v>
      </c>
      <c r="B2992" t="s">
        <v>153</v>
      </c>
      <c r="C2992" t="s">
        <v>340</v>
      </c>
      <c r="D2992" t="s">
        <v>427</v>
      </c>
      <c r="F2992" t="s">
        <v>1044</v>
      </c>
      <c r="G2992" t="s">
        <v>5094</v>
      </c>
      <c r="H2992" t="s">
        <v>11999</v>
      </c>
      <c r="J2992" t="s">
        <v>18902</v>
      </c>
      <c r="K2992">
        <v>10304</v>
      </c>
      <c r="L2992" t="s">
        <v>18958</v>
      </c>
      <c r="M2992" t="s">
        <v>18958</v>
      </c>
      <c r="N2992" t="s">
        <v>21177</v>
      </c>
      <c r="O2992" t="s">
        <v>26524</v>
      </c>
      <c r="P2992" t="s">
        <v>26560</v>
      </c>
      <c r="R2992" t="s">
        <v>26587</v>
      </c>
      <c r="S2992" t="s">
        <v>18959</v>
      </c>
      <c r="U2992" t="s">
        <v>26604</v>
      </c>
      <c r="V2992" t="s">
        <v>26610</v>
      </c>
      <c r="W2992" t="s">
        <v>427</v>
      </c>
      <c r="X2992">
        <v>300</v>
      </c>
      <c r="Y2992" t="s">
        <v>26654</v>
      </c>
      <c r="Z2992" t="s">
        <v>26659</v>
      </c>
      <c r="AB2992" t="s">
        <v>29280</v>
      </c>
      <c r="AD2992" t="s">
        <v>39332</v>
      </c>
      <c r="AE2992">
        <v>3</v>
      </c>
      <c r="AF2992" t="s">
        <v>45547</v>
      </c>
      <c r="AG2992" t="s">
        <v>45556</v>
      </c>
      <c r="AH2992">
        <v>3</v>
      </c>
      <c r="AI2992">
        <v>1</v>
      </c>
      <c r="AJ2992">
        <v>3</v>
      </c>
      <c r="AK2992">
        <v>71.70999999999999</v>
      </c>
      <c r="AN2992" t="s">
        <v>7439</v>
      </c>
      <c r="AO2992">
        <v>18000</v>
      </c>
      <c r="AU2992">
        <v>21.7</v>
      </c>
      <c r="AV2992" t="s">
        <v>821</v>
      </c>
      <c r="AW2992" t="s">
        <v>190</v>
      </c>
    </row>
    <row r="2993" spans="1:50">
      <c r="A2993" s="1">
        <f>HYPERLINK("https://lsnyc.legalserver.org/matter/dynamic-profile/view/1882297","18-1882297")</f>
        <v>0</v>
      </c>
      <c r="B2993" t="s">
        <v>64</v>
      </c>
      <c r="C2993" t="s">
        <v>340</v>
      </c>
      <c r="D2993" t="s">
        <v>427</v>
      </c>
      <c r="F2993" t="s">
        <v>2478</v>
      </c>
      <c r="G2993" t="s">
        <v>6694</v>
      </c>
      <c r="H2993" t="s">
        <v>12000</v>
      </c>
      <c r="I2993" t="s">
        <v>17306</v>
      </c>
      <c r="J2993" t="s">
        <v>18892</v>
      </c>
      <c r="K2993">
        <v>10457</v>
      </c>
      <c r="L2993" t="s">
        <v>18958</v>
      </c>
      <c r="M2993" t="s">
        <v>18958</v>
      </c>
      <c r="N2993" t="s">
        <v>21178</v>
      </c>
      <c r="O2993" t="s">
        <v>26523</v>
      </c>
      <c r="P2993" t="s">
        <v>26560</v>
      </c>
      <c r="R2993" t="s">
        <v>26579</v>
      </c>
      <c r="S2993" t="s">
        <v>18959</v>
      </c>
      <c r="U2993" t="s">
        <v>26604</v>
      </c>
      <c r="V2993" t="s">
        <v>26610</v>
      </c>
      <c r="W2993" t="s">
        <v>427</v>
      </c>
      <c r="X2993">
        <v>896.01</v>
      </c>
      <c r="Y2993" t="s">
        <v>26650</v>
      </c>
      <c r="Z2993" t="s">
        <v>26664</v>
      </c>
      <c r="AB2993" t="s">
        <v>29281</v>
      </c>
      <c r="AC2993" t="s">
        <v>35377</v>
      </c>
      <c r="AD2993" t="s">
        <v>39333</v>
      </c>
      <c r="AE2993">
        <v>0</v>
      </c>
      <c r="AF2993" t="s">
        <v>45541</v>
      </c>
      <c r="AG2993" t="s">
        <v>45562</v>
      </c>
      <c r="AH2993">
        <v>1</v>
      </c>
      <c r="AI2993">
        <v>1</v>
      </c>
      <c r="AJ2993">
        <v>1</v>
      </c>
      <c r="AK2993">
        <v>103.86</v>
      </c>
      <c r="AN2993" t="s">
        <v>7439</v>
      </c>
      <c r="AO2993">
        <v>17095</v>
      </c>
      <c r="AU2993">
        <v>18</v>
      </c>
      <c r="AV2993" t="s">
        <v>808</v>
      </c>
      <c r="AW2993" t="s">
        <v>46870</v>
      </c>
    </row>
    <row r="2994" spans="1:50">
      <c r="A2994" s="1">
        <f>HYPERLINK("https://lsnyc.legalserver.org/matter/dynamic-profile/view/1882223","18-1882223")</f>
        <v>0</v>
      </c>
      <c r="B2994" t="s">
        <v>102</v>
      </c>
      <c r="C2994" t="s">
        <v>340</v>
      </c>
      <c r="D2994" t="s">
        <v>427</v>
      </c>
      <c r="F2994" t="s">
        <v>881</v>
      </c>
      <c r="G2994" t="s">
        <v>5696</v>
      </c>
      <c r="H2994" t="s">
        <v>12001</v>
      </c>
      <c r="J2994" t="s">
        <v>18902</v>
      </c>
      <c r="K2994">
        <v>10303</v>
      </c>
      <c r="L2994" t="s">
        <v>18958</v>
      </c>
      <c r="M2994" t="s">
        <v>18958</v>
      </c>
      <c r="N2994" t="s">
        <v>21179</v>
      </c>
      <c r="O2994" t="s">
        <v>26523</v>
      </c>
      <c r="P2994" t="s">
        <v>26560</v>
      </c>
      <c r="R2994" t="s">
        <v>26590</v>
      </c>
      <c r="S2994" t="s">
        <v>18959</v>
      </c>
      <c r="U2994" t="s">
        <v>26604</v>
      </c>
      <c r="V2994" t="s">
        <v>26610</v>
      </c>
      <c r="W2994" t="s">
        <v>427</v>
      </c>
      <c r="X2994">
        <v>2200</v>
      </c>
      <c r="Y2994" t="s">
        <v>26654</v>
      </c>
      <c r="Z2994" t="s">
        <v>26668</v>
      </c>
      <c r="AB2994" t="s">
        <v>29027</v>
      </c>
      <c r="AD2994" t="s">
        <v>39334</v>
      </c>
      <c r="AE2994">
        <v>1</v>
      </c>
      <c r="AF2994" t="s">
        <v>45547</v>
      </c>
      <c r="AG2994" t="s">
        <v>19330</v>
      </c>
      <c r="AH2994">
        <v>1</v>
      </c>
      <c r="AI2994">
        <v>3</v>
      </c>
      <c r="AJ2994">
        <v>2</v>
      </c>
      <c r="AK2994">
        <v>70.7</v>
      </c>
      <c r="AN2994" t="s">
        <v>45581</v>
      </c>
      <c r="AO2994">
        <v>20800</v>
      </c>
      <c r="AU2994">
        <v>10.4</v>
      </c>
      <c r="AV2994" t="s">
        <v>718</v>
      </c>
      <c r="AW2994" t="s">
        <v>210</v>
      </c>
    </row>
    <row r="2995" spans="1:50">
      <c r="A2995" s="1">
        <f>HYPERLINK("https://lsnyc.legalserver.org/matter/dynamic-profile/view/1882238","18-1882238")</f>
        <v>0</v>
      </c>
      <c r="B2995" t="s">
        <v>103</v>
      </c>
      <c r="C2995" t="s">
        <v>340</v>
      </c>
      <c r="D2995" t="s">
        <v>427</v>
      </c>
      <c r="F2995" t="s">
        <v>886</v>
      </c>
      <c r="G2995" t="s">
        <v>5207</v>
      </c>
      <c r="H2995" t="s">
        <v>9787</v>
      </c>
      <c r="J2995" t="s">
        <v>18902</v>
      </c>
      <c r="K2995">
        <v>10303</v>
      </c>
      <c r="L2995" t="s">
        <v>18958</v>
      </c>
      <c r="M2995" t="s">
        <v>18958</v>
      </c>
      <c r="N2995" t="s">
        <v>21180</v>
      </c>
      <c r="O2995" t="s">
        <v>26523</v>
      </c>
      <c r="P2995" t="s">
        <v>26560</v>
      </c>
      <c r="R2995" t="s">
        <v>26590</v>
      </c>
      <c r="S2995" t="s">
        <v>18959</v>
      </c>
      <c r="U2995" t="s">
        <v>26604</v>
      </c>
      <c r="V2995" t="s">
        <v>26610</v>
      </c>
      <c r="W2995" t="s">
        <v>427</v>
      </c>
      <c r="X2995">
        <v>1260</v>
      </c>
      <c r="Y2995" t="s">
        <v>26654</v>
      </c>
      <c r="Z2995" t="s">
        <v>26668</v>
      </c>
      <c r="AB2995" t="s">
        <v>26870</v>
      </c>
      <c r="AD2995" t="s">
        <v>36967</v>
      </c>
      <c r="AE2995">
        <v>2</v>
      </c>
      <c r="AF2995" t="s">
        <v>45547</v>
      </c>
      <c r="AH2995">
        <v>2</v>
      </c>
      <c r="AI2995">
        <v>1</v>
      </c>
      <c r="AJ2995">
        <v>1</v>
      </c>
      <c r="AK2995">
        <v>59.93</v>
      </c>
      <c r="AN2995" t="s">
        <v>7439</v>
      </c>
      <c r="AO2995">
        <v>9864</v>
      </c>
      <c r="AU2995">
        <v>22.85</v>
      </c>
      <c r="AV2995" t="s">
        <v>836</v>
      </c>
      <c r="AW2995" t="s">
        <v>210</v>
      </c>
    </row>
    <row r="2996" spans="1:50">
      <c r="A2996" s="1">
        <f>HYPERLINK("https://lsnyc.legalserver.org/matter/dynamic-profile/view/1882232","18-1882232")</f>
        <v>0</v>
      </c>
      <c r="B2996" t="s">
        <v>103</v>
      </c>
      <c r="C2996" t="s">
        <v>340</v>
      </c>
      <c r="D2996" t="s">
        <v>427</v>
      </c>
      <c r="F2996" t="s">
        <v>1114</v>
      </c>
      <c r="G2996" t="s">
        <v>6695</v>
      </c>
      <c r="H2996" t="s">
        <v>12002</v>
      </c>
      <c r="J2996" t="s">
        <v>18902</v>
      </c>
      <c r="K2996">
        <v>10310</v>
      </c>
      <c r="L2996" t="s">
        <v>18958</v>
      </c>
      <c r="M2996" t="s">
        <v>18958</v>
      </c>
      <c r="N2996" t="s">
        <v>21181</v>
      </c>
      <c r="O2996" t="s">
        <v>26523</v>
      </c>
      <c r="P2996" t="s">
        <v>26560</v>
      </c>
      <c r="R2996" t="s">
        <v>26590</v>
      </c>
      <c r="S2996" t="s">
        <v>18959</v>
      </c>
      <c r="U2996" t="s">
        <v>26604</v>
      </c>
      <c r="V2996" t="s">
        <v>26610</v>
      </c>
      <c r="W2996" t="s">
        <v>427</v>
      </c>
      <c r="X2996">
        <v>900</v>
      </c>
      <c r="Y2996" t="s">
        <v>26654</v>
      </c>
      <c r="Z2996" t="s">
        <v>26668</v>
      </c>
      <c r="AB2996" t="s">
        <v>29282</v>
      </c>
      <c r="AD2996" t="s">
        <v>39335</v>
      </c>
      <c r="AE2996">
        <v>1</v>
      </c>
      <c r="AF2996" t="s">
        <v>45547</v>
      </c>
      <c r="AG2996" t="s">
        <v>19330</v>
      </c>
      <c r="AH2996">
        <v>4</v>
      </c>
      <c r="AI2996">
        <v>1</v>
      </c>
      <c r="AJ2996">
        <v>2</v>
      </c>
      <c r="AK2996">
        <v>86.68000000000001</v>
      </c>
      <c r="AN2996" t="s">
        <v>7439</v>
      </c>
      <c r="AO2996">
        <v>18012</v>
      </c>
      <c r="AU2996">
        <v>23</v>
      </c>
      <c r="AV2996" t="s">
        <v>821</v>
      </c>
      <c r="AW2996" t="s">
        <v>210</v>
      </c>
      <c r="AX2996" t="s">
        <v>46897</v>
      </c>
    </row>
    <row r="2997" spans="1:50">
      <c r="A2997" s="1">
        <f>HYPERLINK("https://lsnyc.legalserver.org/matter/dynamic-profile/view/1882255","18-1882255")</f>
        <v>0</v>
      </c>
      <c r="B2997" t="s">
        <v>91</v>
      </c>
      <c r="C2997" t="s">
        <v>340</v>
      </c>
      <c r="D2997" t="s">
        <v>427</v>
      </c>
      <c r="F2997" t="s">
        <v>920</v>
      </c>
      <c r="G2997" t="s">
        <v>6696</v>
      </c>
      <c r="H2997" t="s">
        <v>12003</v>
      </c>
      <c r="I2997" t="s">
        <v>17283</v>
      </c>
      <c r="J2997" t="s">
        <v>18928</v>
      </c>
      <c r="K2997">
        <v>11365</v>
      </c>
      <c r="L2997" t="s">
        <v>18958</v>
      </c>
      <c r="M2997" t="s">
        <v>18958</v>
      </c>
      <c r="N2997" t="s">
        <v>21182</v>
      </c>
      <c r="O2997" t="s">
        <v>26526</v>
      </c>
      <c r="P2997" t="s">
        <v>26560</v>
      </c>
      <c r="R2997" t="s">
        <v>26584</v>
      </c>
      <c r="S2997" t="s">
        <v>18959</v>
      </c>
      <c r="U2997" t="s">
        <v>26605</v>
      </c>
      <c r="W2997" t="s">
        <v>427</v>
      </c>
      <c r="X2997">
        <v>485</v>
      </c>
      <c r="Y2997" t="s">
        <v>26653</v>
      </c>
      <c r="Z2997" t="s">
        <v>26659</v>
      </c>
      <c r="AB2997" t="s">
        <v>29283</v>
      </c>
      <c r="AD2997" t="s">
        <v>39336</v>
      </c>
      <c r="AE2997">
        <v>28</v>
      </c>
      <c r="AF2997" t="s">
        <v>45549</v>
      </c>
      <c r="AG2997" t="s">
        <v>19330</v>
      </c>
      <c r="AH2997">
        <v>18</v>
      </c>
      <c r="AI2997">
        <v>1</v>
      </c>
      <c r="AJ2997">
        <v>0</v>
      </c>
      <c r="AK2997">
        <v>88.17</v>
      </c>
      <c r="AN2997" t="s">
        <v>7439</v>
      </c>
      <c r="AO2997">
        <v>10704</v>
      </c>
      <c r="AU2997">
        <v>2.8</v>
      </c>
      <c r="AV2997" t="s">
        <v>699</v>
      </c>
      <c r="AW2997" t="s">
        <v>208</v>
      </c>
    </row>
    <row r="2998" spans="1:50">
      <c r="A2998" s="1">
        <f>HYPERLINK("https://lsnyc.legalserver.org/matter/dynamic-profile/view/1850420","17-1850420")</f>
        <v>0</v>
      </c>
      <c r="B2998" t="s">
        <v>136</v>
      </c>
      <c r="C2998" t="s">
        <v>340</v>
      </c>
      <c r="D2998" t="s">
        <v>655</v>
      </c>
      <c r="F2998" t="s">
        <v>2479</v>
      </c>
      <c r="G2998" t="s">
        <v>6697</v>
      </c>
      <c r="H2998" t="s">
        <v>12004</v>
      </c>
      <c r="I2998" t="s">
        <v>17639</v>
      </c>
      <c r="J2998" t="s">
        <v>18892</v>
      </c>
      <c r="K2998">
        <v>10467</v>
      </c>
      <c r="L2998" t="s">
        <v>18958</v>
      </c>
      <c r="M2998" t="s">
        <v>18960</v>
      </c>
      <c r="N2998" t="s">
        <v>21183</v>
      </c>
      <c r="O2998" t="s">
        <v>26523</v>
      </c>
      <c r="P2998" t="s">
        <v>26560</v>
      </c>
      <c r="R2998" t="s">
        <v>26579</v>
      </c>
      <c r="U2998" t="s">
        <v>26604</v>
      </c>
      <c r="V2998" t="s">
        <v>26610</v>
      </c>
      <c r="W2998" t="s">
        <v>840</v>
      </c>
      <c r="X2998">
        <v>1748</v>
      </c>
      <c r="Y2998" t="s">
        <v>26650</v>
      </c>
      <c r="Z2998" t="s">
        <v>26662</v>
      </c>
      <c r="AB2998" t="s">
        <v>29284</v>
      </c>
      <c r="AC2998" t="s">
        <v>35378</v>
      </c>
      <c r="AD2998" t="s">
        <v>39337</v>
      </c>
      <c r="AE2998">
        <v>0</v>
      </c>
      <c r="AF2998" t="s">
        <v>45541</v>
      </c>
      <c r="AG2998" t="s">
        <v>19330</v>
      </c>
      <c r="AH2998">
        <v>1</v>
      </c>
      <c r="AI2998">
        <v>1</v>
      </c>
      <c r="AJ2998">
        <v>1</v>
      </c>
      <c r="AK2998">
        <v>50.74</v>
      </c>
      <c r="AN2998" t="s">
        <v>7439</v>
      </c>
      <c r="AO2998">
        <v>8240</v>
      </c>
      <c r="AP2998" t="s">
        <v>45621</v>
      </c>
      <c r="AU2998">
        <v>45.07</v>
      </c>
      <c r="AV2998" t="s">
        <v>810</v>
      </c>
      <c r="AW2998" t="s">
        <v>46848</v>
      </c>
      <c r="AX2998" t="s">
        <v>46898</v>
      </c>
    </row>
    <row r="2999" spans="1:50">
      <c r="A2999" s="1">
        <f>HYPERLINK("https://lsnyc.legalserver.org/matter/dynamic-profile/view/1850511","17-1850511")</f>
        <v>0</v>
      </c>
      <c r="B2999" t="s">
        <v>81</v>
      </c>
      <c r="C2999" t="s">
        <v>340</v>
      </c>
      <c r="D2999" t="s">
        <v>655</v>
      </c>
      <c r="F2999" t="s">
        <v>2480</v>
      </c>
      <c r="G2999" t="s">
        <v>6698</v>
      </c>
      <c r="H2999" t="s">
        <v>12005</v>
      </c>
      <c r="I2999" t="s">
        <v>17362</v>
      </c>
      <c r="J2999" t="s">
        <v>18892</v>
      </c>
      <c r="K2999">
        <v>10471</v>
      </c>
      <c r="L2999" t="s">
        <v>18958</v>
      </c>
      <c r="M2999" t="s">
        <v>18958</v>
      </c>
      <c r="N2999" t="s">
        <v>21184</v>
      </c>
      <c r="O2999" t="s">
        <v>26524</v>
      </c>
      <c r="P2999" t="s">
        <v>26560</v>
      </c>
      <c r="R2999" t="s">
        <v>26577</v>
      </c>
      <c r="U2999" t="s">
        <v>26604</v>
      </c>
      <c r="V2999" t="s">
        <v>26610</v>
      </c>
      <c r="W2999" t="s">
        <v>840</v>
      </c>
      <c r="X2999">
        <v>642.2</v>
      </c>
      <c r="Y2999" t="s">
        <v>26650</v>
      </c>
      <c r="AB2999" t="s">
        <v>29285</v>
      </c>
      <c r="AE2999">
        <v>49</v>
      </c>
      <c r="AF2999" t="s">
        <v>45541</v>
      </c>
      <c r="AH2999">
        <v>39</v>
      </c>
      <c r="AI2999">
        <v>3</v>
      </c>
      <c r="AJ2999">
        <v>2</v>
      </c>
      <c r="AK2999">
        <v>35.61</v>
      </c>
      <c r="AN2999" t="s">
        <v>45582</v>
      </c>
      <c r="AO2999">
        <v>10248</v>
      </c>
      <c r="AP2999" t="s">
        <v>45753</v>
      </c>
      <c r="AU2999">
        <v>69.59999999999999</v>
      </c>
      <c r="AV2999" t="s">
        <v>828</v>
      </c>
      <c r="AW2999" t="s">
        <v>46847</v>
      </c>
      <c r="AX2999" t="s">
        <v>46897</v>
      </c>
    </row>
    <row r="3000" spans="1:50">
      <c r="A3000" s="1">
        <f>HYPERLINK("https://lsnyc.legalserver.org/matter/dynamic-profile/view/1862606","18-1862606")</f>
        <v>0</v>
      </c>
      <c r="B3000" t="s">
        <v>163</v>
      </c>
      <c r="C3000" t="s">
        <v>341</v>
      </c>
      <c r="D3000" t="s">
        <v>532</v>
      </c>
      <c r="E3000" t="s">
        <v>840</v>
      </c>
      <c r="F3000" t="s">
        <v>2481</v>
      </c>
      <c r="G3000" t="s">
        <v>6699</v>
      </c>
      <c r="H3000" t="s">
        <v>12006</v>
      </c>
      <c r="I3000" t="s">
        <v>17312</v>
      </c>
      <c r="J3000" t="s">
        <v>18923</v>
      </c>
      <c r="K3000">
        <v>11418</v>
      </c>
      <c r="L3000" t="s">
        <v>18958</v>
      </c>
      <c r="M3000" t="s">
        <v>18960</v>
      </c>
      <c r="O3000" t="s">
        <v>26552</v>
      </c>
      <c r="P3000" t="s">
        <v>26564</v>
      </c>
      <c r="Q3000" t="s">
        <v>26570</v>
      </c>
      <c r="R3000" t="s">
        <v>26584</v>
      </c>
      <c r="S3000" t="s">
        <v>18959</v>
      </c>
      <c r="U3000" t="s">
        <v>26604</v>
      </c>
      <c r="W3000" t="s">
        <v>840</v>
      </c>
      <c r="X3000">
        <v>1500</v>
      </c>
      <c r="Y3000" t="s">
        <v>26653</v>
      </c>
      <c r="Z3000" t="s">
        <v>26663</v>
      </c>
      <c r="AA3000" t="s">
        <v>26683</v>
      </c>
      <c r="AB3000" t="s">
        <v>27196</v>
      </c>
      <c r="AC3000" t="s">
        <v>35379</v>
      </c>
      <c r="AE3000">
        <v>3</v>
      </c>
      <c r="AF3000" t="s">
        <v>45547</v>
      </c>
      <c r="AG3000" t="s">
        <v>45558</v>
      </c>
      <c r="AH3000">
        <v>1</v>
      </c>
      <c r="AI3000">
        <v>1</v>
      </c>
      <c r="AJ3000">
        <v>3</v>
      </c>
      <c r="AK3000">
        <v>23.95</v>
      </c>
      <c r="AN3000" t="s">
        <v>45592</v>
      </c>
      <c r="AO3000">
        <v>6012</v>
      </c>
      <c r="AU3000">
        <v>1.7</v>
      </c>
      <c r="AV3000" t="s">
        <v>487</v>
      </c>
      <c r="AW3000" t="s">
        <v>163</v>
      </c>
    </row>
    <row r="3001" spans="1:50">
      <c r="A3001" s="1">
        <f>HYPERLINK("https://lsnyc.legalserver.org/matter/dynamic-profile/view/1864629","18-1864629")</f>
        <v>0</v>
      </c>
      <c r="B3001" t="s">
        <v>163</v>
      </c>
      <c r="C3001" t="s">
        <v>341</v>
      </c>
      <c r="D3001" t="s">
        <v>437</v>
      </c>
      <c r="E3001" t="s">
        <v>840</v>
      </c>
      <c r="F3001" t="s">
        <v>2482</v>
      </c>
      <c r="G3001" t="s">
        <v>6700</v>
      </c>
      <c r="H3001" t="s">
        <v>10594</v>
      </c>
      <c r="I3001" t="s">
        <v>17909</v>
      </c>
      <c r="J3001" t="s">
        <v>18901</v>
      </c>
      <c r="K3001">
        <v>11432</v>
      </c>
      <c r="L3001" t="s">
        <v>18958</v>
      </c>
      <c r="M3001" t="s">
        <v>18958</v>
      </c>
      <c r="N3001" t="s">
        <v>19330</v>
      </c>
      <c r="O3001" t="s">
        <v>18997</v>
      </c>
      <c r="P3001" t="s">
        <v>26564</v>
      </c>
      <c r="Q3001" t="s">
        <v>26570</v>
      </c>
      <c r="R3001" t="s">
        <v>26584</v>
      </c>
      <c r="S3001" t="s">
        <v>18958</v>
      </c>
      <c r="T3001" t="s">
        <v>26591</v>
      </c>
      <c r="U3001" t="s">
        <v>26604</v>
      </c>
      <c r="V3001" t="s">
        <v>26610</v>
      </c>
      <c r="W3001" t="s">
        <v>840</v>
      </c>
      <c r="X3001">
        <v>824.92</v>
      </c>
      <c r="Y3001" t="s">
        <v>26653</v>
      </c>
      <c r="Z3001" t="s">
        <v>26659</v>
      </c>
      <c r="AA3001" t="s">
        <v>26683</v>
      </c>
      <c r="AB3001" t="s">
        <v>29286</v>
      </c>
      <c r="AD3001" t="s">
        <v>39338</v>
      </c>
      <c r="AE3001">
        <v>36</v>
      </c>
      <c r="AF3001" t="s">
        <v>45541</v>
      </c>
      <c r="AG3001" t="s">
        <v>45559</v>
      </c>
      <c r="AH3001">
        <v>21</v>
      </c>
      <c r="AI3001">
        <v>1</v>
      </c>
      <c r="AJ3001">
        <v>0</v>
      </c>
      <c r="AK3001">
        <v>112.78</v>
      </c>
      <c r="AO3001">
        <v>13692</v>
      </c>
      <c r="AU3001">
        <v>10.9</v>
      </c>
      <c r="AV3001" t="s">
        <v>539</v>
      </c>
      <c r="AW3001" t="s">
        <v>122</v>
      </c>
    </row>
    <row r="3002" spans="1:50">
      <c r="A3002" s="1">
        <f>HYPERLINK("https://lsnyc.legalserver.org/matter/dynamic-profile/view/1882954","18-1882954")</f>
        <v>0</v>
      </c>
      <c r="B3002" t="s">
        <v>235</v>
      </c>
      <c r="C3002" t="s">
        <v>341</v>
      </c>
      <c r="D3002" t="s">
        <v>651</v>
      </c>
      <c r="E3002" t="s">
        <v>525</v>
      </c>
      <c r="F3002" t="s">
        <v>2483</v>
      </c>
      <c r="G3002" t="s">
        <v>6701</v>
      </c>
      <c r="H3002" t="s">
        <v>12007</v>
      </c>
      <c r="I3002" t="s">
        <v>17312</v>
      </c>
      <c r="J3002" t="s">
        <v>18931</v>
      </c>
      <c r="K3002">
        <v>11412</v>
      </c>
      <c r="L3002" t="s">
        <v>18958</v>
      </c>
      <c r="M3002" t="s">
        <v>18958</v>
      </c>
      <c r="N3002" t="s">
        <v>21185</v>
      </c>
      <c r="O3002" t="s">
        <v>26524</v>
      </c>
      <c r="P3002" t="s">
        <v>26564</v>
      </c>
      <c r="Q3002" t="s">
        <v>26570</v>
      </c>
      <c r="R3002" t="s">
        <v>26584</v>
      </c>
      <c r="S3002" t="s">
        <v>18959</v>
      </c>
      <c r="U3002" t="s">
        <v>26604</v>
      </c>
      <c r="V3002" t="s">
        <v>26613</v>
      </c>
      <c r="W3002" t="s">
        <v>840</v>
      </c>
      <c r="X3002">
        <v>1473</v>
      </c>
      <c r="Y3002" t="s">
        <v>26653</v>
      </c>
      <c r="Z3002" t="s">
        <v>26664</v>
      </c>
      <c r="AA3002" t="s">
        <v>26683</v>
      </c>
      <c r="AB3002" t="s">
        <v>29113</v>
      </c>
      <c r="AD3002" t="s">
        <v>39339</v>
      </c>
      <c r="AE3002">
        <v>2</v>
      </c>
      <c r="AF3002" t="s">
        <v>20460</v>
      </c>
      <c r="AG3002" t="s">
        <v>45556</v>
      </c>
      <c r="AH3002">
        <v>3</v>
      </c>
      <c r="AI3002">
        <v>1</v>
      </c>
      <c r="AJ3002">
        <v>0</v>
      </c>
      <c r="AK3002">
        <v>69.19</v>
      </c>
      <c r="AN3002" t="s">
        <v>7439</v>
      </c>
      <c r="AO3002">
        <v>8400</v>
      </c>
      <c r="AU3002">
        <v>1.7</v>
      </c>
      <c r="AV3002" t="s">
        <v>525</v>
      </c>
      <c r="AW3002" t="s">
        <v>208</v>
      </c>
    </row>
    <row r="3003" spans="1:50">
      <c r="A3003" s="1">
        <f>HYPERLINK("https://lsnyc.legalserver.org/matter/dynamic-profile/view/1880993","18-1880993")</f>
        <v>0</v>
      </c>
      <c r="B3003" t="s">
        <v>106</v>
      </c>
      <c r="C3003" t="s">
        <v>341</v>
      </c>
      <c r="D3003" t="s">
        <v>605</v>
      </c>
      <c r="E3003" t="s">
        <v>428</v>
      </c>
      <c r="F3003" t="s">
        <v>2484</v>
      </c>
      <c r="G3003" t="s">
        <v>5330</v>
      </c>
      <c r="H3003" t="s">
        <v>12008</v>
      </c>
      <c r="I3003" t="s">
        <v>17277</v>
      </c>
      <c r="J3003" t="s">
        <v>18894</v>
      </c>
      <c r="K3003">
        <v>11216</v>
      </c>
      <c r="L3003" t="s">
        <v>18958</v>
      </c>
      <c r="M3003" t="s">
        <v>18958</v>
      </c>
      <c r="N3003" t="s">
        <v>21186</v>
      </c>
      <c r="O3003" t="s">
        <v>26523</v>
      </c>
      <c r="P3003" t="s">
        <v>26560</v>
      </c>
      <c r="Q3003" t="s">
        <v>26573</v>
      </c>
      <c r="R3003" t="s">
        <v>26588</v>
      </c>
      <c r="S3003" t="s">
        <v>18959</v>
      </c>
      <c r="U3003" t="s">
        <v>26604</v>
      </c>
      <c r="W3003" t="s">
        <v>428</v>
      </c>
      <c r="X3003">
        <v>1035</v>
      </c>
      <c r="Y3003" t="s">
        <v>26652</v>
      </c>
      <c r="Z3003" t="s">
        <v>26669</v>
      </c>
      <c r="AA3003" t="s">
        <v>26678</v>
      </c>
      <c r="AB3003" t="s">
        <v>29287</v>
      </c>
      <c r="AE3003">
        <v>7</v>
      </c>
      <c r="AG3003" t="s">
        <v>19330</v>
      </c>
      <c r="AH3003">
        <v>15</v>
      </c>
      <c r="AI3003">
        <v>1</v>
      </c>
      <c r="AJ3003">
        <v>0</v>
      </c>
      <c r="AK3003">
        <v>0</v>
      </c>
      <c r="AN3003" t="s">
        <v>7439</v>
      </c>
      <c r="AO3003">
        <v>0</v>
      </c>
      <c r="AQ3003" t="s">
        <v>46359</v>
      </c>
      <c r="AR3003" t="s">
        <v>46420</v>
      </c>
      <c r="AS3003" t="s">
        <v>46499</v>
      </c>
      <c r="AT3003" t="s">
        <v>46551</v>
      </c>
      <c r="AU3003">
        <v>3</v>
      </c>
      <c r="AV3003" t="s">
        <v>428</v>
      </c>
      <c r="AW3003" t="s">
        <v>46862</v>
      </c>
    </row>
    <row r="3004" spans="1:50">
      <c r="A3004" s="1">
        <f>HYPERLINK("https://lsnyc.legalserver.org/matter/dynamic-profile/view/1881431","18-1881431")</f>
        <v>0</v>
      </c>
      <c r="B3004" t="s">
        <v>163</v>
      </c>
      <c r="C3004" t="s">
        <v>341</v>
      </c>
      <c r="D3004" t="s">
        <v>632</v>
      </c>
      <c r="E3004" t="s">
        <v>428</v>
      </c>
      <c r="F3004" t="s">
        <v>1901</v>
      </c>
      <c r="G3004" t="s">
        <v>6702</v>
      </c>
      <c r="H3004" t="s">
        <v>12009</v>
      </c>
      <c r="I3004">
        <v>42</v>
      </c>
      <c r="J3004" t="s">
        <v>18907</v>
      </c>
      <c r="K3004">
        <v>11377</v>
      </c>
      <c r="L3004" t="s">
        <v>18958</v>
      </c>
      <c r="M3004" t="s">
        <v>18958</v>
      </c>
      <c r="N3004" t="s">
        <v>21187</v>
      </c>
      <c r="O3004" t="s">
        <v>26524</v>
      </c>
      <c r="P3004" t="s">
        <v>26564</v>
      </c>
      <c r="Q3004" t="s">
        <v>26570</v>
      </c>
      <c r="R3004" t="s">
        <v>26584</v>
      </c>
      <c r="S3004" t="s">
        <v>18959</v>
      </c>
      <c r="U3004" t="s">
        <v>26604</v>
      </c>
      <c r="W3004" t="s">
        <v>428</v>
      </c>
      <c r="X3004">
        <v>1465</v>
      </c>
      <c r="Y3004" t="s">
        <v>26653</v>
      </c>
      <c r="Z3004" t="s">
        <v>26664</v>
      </c>
      <c r="AA3004" t="s">
        <v>26683</v>
      </c>
      <c r="AB3004" t="s">
        <v>29288</v>
      </c>
      <c r="AC3004" t="s">
        <v>35380</v>
      </c>
      <c r="AD3004" t="s">
        <v>39340</v>
      </c>
      <c r="AE3004">
        <v>20</v>
      </c>
      <c r="AG3004" t="s">
        <v>19330</v>
      </c>
      <c r="AH3004">
        <v>6</v>
      </c>
      <c r="AI3004">
        <v>2</v>
      </c>
      <c r="AJ3004">
        <v>1</v>
      </c>
      <c r="AK3004">
        <v>107.8</v>
      </c>
      <c r="AN3004" t="s">
        <v>7439</v>
      </c>
      <c r="AO3004">
        <v>22400</v>
      </c>
      <c r="AU3004">
        <v>0.5</v>
      </c>
      <c r="AV3004" t="s">
        <v>632</v>
      </c>
      <c r="AW3004" t="s">
        <v>208</v>
      </c>
    </row>
    <row r="3005" spans="1:50">
      <c r="A3005" s="1">
        <f>HYPERLINK("https://lsnyc.legalserver.org/matter/dynamic-profile/view/1881753","18-1881753")</f>
        <v>0</v>
      </c>
      <c r="B3005" t="s">
        <v>200</v>
      </c>
      <c r="C3005" t="s">
        <v>340</v>
      </c>
      <c r="D3005" t="s">
        <v>643</v>
      </c>
      <c r="F3005" t="s">
        <v>2485</v>
      </c>
      <c r="G3005" t="s">
        <v>6703</v>
      </c>
      <c r="H3005" t="s">
        <v>12010</v>
      </c>
      <c r="I3005">
        <v>1</v>
      </c>
      <c r="J3005" t="s">
        <v>18894</v>
      </c>
      <c r="K3005">
        <v>11208</v>
      </c>
      <c r="L3005" t="s">
        <v>18958</v>
      </c>
      <c r="M3005" t="s">
        <v>18958</v>
      </c>
      <c r="N3005" t="s">
        <v>21188</v>
      </c>
      <c r="O3005" t="s">
        <v>26524</v>
      </c>
      <c r="P3005" t="s">
        <v>26564</v>
      </c>
      <c r="R3005" t="s">
        <v>26578</v>
      </c>
      <c r="S3005" t="s">
        <v>18959</v>
      </c>
      <c r="U3005" t="s">
        <v>26604</v>
      </c>
      <c r="V3005" t="s">
        <v>26610</v>
      </c>
      <c r="W3005" t="s">
        <v>428</v>
      </c>
      <c r="X3005">
        <v>1201</v>
      </c>
      <c r="Y3005" t="s">
        <v>26652</v>
      </c>
      <c r="Z3005" t="s">
        <v>26666</v>
      </c>
      <c r="AB3005" t="s">
        <v>29289</v>
      </c>
      <c r="AC3005" t="s">
        <v>25800</v>
      </c>
      <c r="AD3005" t="s">
        <v>39341</v>
      </c>
      <c r="AE3005">
        <v>3</v>
      </c>
      <c r="AF3005" t="s">
        <v>45547</v>
      </c>
      <c r="AG3005" t="s">
        <v>45556</v>
      </c>
      <c r="AH3005">
        <v>4</v>
      </c>
      <c r="AI3005">
        <v>1</v>
      </c>
      <c r="AJ3005">
        <v>0</v>
      </c>
      <c r="AK3005">
        <v>78.09</v>
      </c>
      <c r="AN3005" t="s">
        <v>7439</v>
      </c>
      <c r="AO3005">
        <v>9480</v>
      </c>
      <c r="AU3005">
        <v>1.3</v>
      </c>
      <c r="AV3005" t="s">
        <v>794</v>
      </c>
      <c r="AW3005" t="s">
        <v>279</v>
      </c>
      <c r="AX3005" t="s">
        <v>46897</v>
      </c>
    </row>
    <row r="3006" spans="1:50">
      <c r="A3006" s="1">
        <f>HYPERLINK("https://lsnyc.legalserver.org/matter/dynamic-profile/view/1882259","18-1882259")</f>
        <v>0</v>
      </c>
      <c r="B3006" t="s">
        <v>64</v>
      </c>
      <c r="C3006" t="s">
        <v>340</v>
      </c>
      <c r="D3006" t="s">
        <v>427</v>
      </c>
      <c r="F3006" t="s">
        <v>2486</v>
      </c>
      <c r="G3006" t="s">
        <v>6704</v>
      </c>
      <c r="H3006" t="s">
        <v>12011</v>
      </c>
      <c r="I3006" t="s">
        <v>17366</v>
      </c>
      <c r="J3006" t="s">
        <v>18892</v>
      </c>
      <c r="K3006">
        <v>10468</v>
      </c>
      <c r="L3006" t="s">
        <v>18958</v>
      </c>
      <c r="M3006" t="s">
        <v>18958</v>
      </c>
      <c r="N3006" t="s">
        <v>21189</v>
      </c>
      <c r="O3006" t="s">
        <v>26523</v>
      </c>
      <c r="P3006" t="s">
        <v>26560</v>
      </c>
      <c r="R3006" t="s">
        <v>26579</v>
      </c>
      <c r="U3006" t="s">
        <v>26604</v>
      </c>
      <c r="V3006" t="s">
        <v>26610</v>
      </c>
      <c r="W3006" t="s">
        <v>428</v>
      </c>
      <c r="X3006">
        <v>120</v>
      </c>
      <c r="Y3006" t="s">
        <v>26650</v>
      </c>
      <c r="Z3006" t="s">
        <v>26664</v>
      </c>
      <c r="AB3006" t="s">
        <v>27928</v>
      </c>
      <c r="AC3006" t="s">
        <v>35381</v>
      </c>
      <c r="AD3006" t="s">
        <v>39342</v>
      </c>
      <c r="AE3006">
        <v>0</v>
      </c>
      <c r="AF3006" t="s">
        <v>45541</v>
      </c>
      <c r="AG3006" t="s">
        <v>45556</v>
      </c>
      <c r="AH3006">
        <v>19</v>
      </c>
      <c r="AI3006">
        <v>1</v>
      </c>
      <c r="AJ3006">
        <v>1</v>
      </c>
      <c r="AK3006">
        <v>176.67</v>
      </c>
      <c r="AN3006" t="s">
        <v>7439</v>
      </c>
      <c r="AO3006">
        <v>29080</v>
      </c>
      <c r="AU3006">
        <v>9.65</v>
      </c>
      <c r="AV3006" t="s">
        <v>829</v>
      </c>
      <c r="AW3006" t="s">
        <v>334</v>
      </c>
    </row>
    <row r="3007" spans="1:50">
      <c r="A3007" s="1">
        <f>HYPERLINK("https://lsnyc.legalserver.org/matter/dynamic-profile/view/1882328","18-1882328")</f>
        <v>0</v>
      </c>
      <c r="B3007" t="s">
        <v>53</v>
      </c>
      <c r="C3007" t="s">
        <v>341</v>
      </c>
      <c r="D3007" t="s">
        <v>428</v>
      </c>
      <c r="E3007" t="s">
        <v>806</v>
      </c>
      <c r="F3007" t="s">
        <v>2487</v>
      </c>
      <c r="G3007" t="s">
        <v>6705</v>
      </c>
      <c r="H3007" t="s">
        <v>12012</v>
      </c>
      <c r="I3007" t="s">
        <v>17309</v>
      </c>
      <c r="J3007" t="s">
        <v>18892</v>
      </c>
      <c r="K3007">
        <v>10456</v>
      </c>
      <c r="L3007" t="s">
        <v>18958</v>
      </c>
      <c r="M3007" t="s">
        <v>18958</v>
      </c>
      <c r="N3007" t="s">
        <v>21190</v>
      </c>
      <c r="O3007" t="s">
        <v>26523</v>
      </c>
      <c r="P3007" t="s">
        <v>26560</v>
      </c>
      <c r="Q3007" t="s">
        <v>26568</v>
      </c>
      <c r="R3007" t="s">
        <v>26577</v>
      </c>
      <c r="S3007" t="s">
        <v>18959</v>
      </c>
      <c r="U3007" t="s">
        <v>26604</v>
      </c>
      <c r="V3007" t="s">
        <v>26610</v>
      </c>
      <c r="W3007" t="s">
        <v>428</v>
      </c>
      <c r="X3007">
        <v>1035</v>
      </c>
      <c r="Y3007" t="s">
        <v>26650</v>
      </c>
      <c r="Z3007" t="s">
        <v>26664</v>
      </c>
      <c r="AA3007" t="s">
        <v>26678</v>
      </c>
      <c r="AB3007" t="s">
        <v>29290</v>
      </c>
      <c r="AC3007" t="s">
        <v>35382</v>
      </c>
      <c r="AE3007">
        <v>50</v>
      </c>
      <c r="AF3007" t="s">
        <v>45541</v>
      </c>
      <c r="AG3007" t="s">
        <v>45556</v>
      </c>
      <c r="AH3007">
        <v>12</v>
      </c>
      <c r="AI3007">
        <v>1</v>
      </c>
      <c r="AJ3007">
        <v>6</v>
      </c>
      <c r="AK3007">
        <v>30.48</v>
      </c>
      <c r="AN3007" t="s">
        <v>7439</v>
      </c>
      <c r="AO3007">
        <v>11600</v>
      </c>
      <c r="AQ3007" t="s">
        <v>46362</v>
      </c>
      <c r="AR3007" t="s">
        <v>46385</v>
      </c>
      <c r="AS3007" t="s">
        <v>46499</v>
      </c>
      <c r="AT3007" t="s">
        <v>46615</v>
      </c>
      <c r="AU3007">
        <v>20.2</v>
      </c>
      <c r="AV3007" t="s">
        <v>779</v>
      </c>
      <c r="AW3007" t="s">
        <v>334</v>
      </c>
      <c r="AX3007" t="s">
        <v>46897</v>
      </c>
    </row>
    <row r="3008" spans="1:50">
      <c r="A3008" s="1">
        <f>HYPERLINK("https://lsnyc.legalserver.org/matter/dynamic-profile/view/1882392","18-1882392")</f>
        <v>0</v>
      </c>
      <c r="B3008" t="s">
        <v>232</v>
      </c>
      <c r="C3008" t="s">
        <v>341</v>
      </c>
      <c r="D3008" t="s">
        <v>428</v>
      </c>
      <c r="E3008" t="s">
        <v>791</v>
      </c>
      <c r="F3008" t="s">
        <v>1046</v>
      </c>
      <c r="G3008" t="s">
        <v>6706</v>
      </c>
      <c r="H3008" t="s">
        <v>12013</v>
      </c>
      <c r="J3008" t="s">
        <v>18894</v>
      </c>
      <c r="K3008">
        <v>11204</v>
      </c>
      <c r="L3008" t="s">
        <v>18958</v>
      </c>
      <c r="M3008" t="s">
        <v>18958</v>
      </c>
      <c r="N3008" t="s">
        <v>21191</v>
      </c>
      <c r="O3008" t="s">
        <v>26524</v>
      </c>
      <c r="P3008" t="s">
        <v>26560</v>
      </c>
      <c r="Q3008" t="s">
        <v>26568</v>
      </c>
      <c r="R3008" t="s">
        <v>26586</v>
      </c>
      <c r="S3008" t="s">
        <v>18959</v>
      </c>
      <c r="U3008" t="s">
        <v>26604</v>
      </c>
      <c r="V3008" t="s">
        <v>26610</v>
      </c>
      <c r="W3008" t="s">
        <v>428</v>
      </c>
      <c r="X3008">
        <v>800</v>
      </c>
      <c r="Y3008" t="s">
        <v>26652</v>
      </c>
      <c r="Z3008" t="s">
        <v>26664</v>
      </c>
      <c r="AA3008" t="s">
        <v>26679</v>
      </c>
      <c r="AB3008" t="s">
        <v>29291</v>
      </c>
      <c r="AD3008" t="s">
        <v>39343</v>
      </c>
      <c r="AE3008">
        <v>3</v>
      </c>
      <c r="AF3008" t="s">
        <v>45547</v>
      </c>
      <c r="AG3008" t="s">
        <v>19330</v>
      </c>
      <c r="AH3008">
        <v>8</v>
      </c>
      <c r="AI3008">
        <v>2</v>
      </c>
      <c r="AJ3008">
        <v>8</v>
      </c>
      <c r="AK3008">
        <v>67.27</v>
      </c>
      <c r="AN3008" t="s">
        <v>7439</v>
      </c>
      <c r="AO3008">
        <v>34320</v>
      </c>
      <c r="AU3008">
        <v>18.2</v>
      </c>
      <c r="AV3008" t="s">
        <v>777</v>
      </c>
      <c r="AW3008" t="s">
        <v>46862</v>
      </c>
    </row>
    <row r="3009" spans="1:50">
      <c r="A3009" s="1">
        <f>HYPERLINK("https://lsnyc.legalserver.org/matter/dynamic-profile/view/1882404","18-1882404")</f>
        <v>0</v>
      </c>
      <c r="B3009" t="s">
        <v>50</v>
      </c>
      <c r="C3009" t="s">
        <v>341</v>
      </c>
      <c r="D3009" t="s">
        <v>428</v>
      </c>
      <c r="E3009" t="s">
        <v>519</v>
      </c>
      <c r="F3009" t="s">
        <v>2488</v>
      </c>
      <c r="G3009" t="s">
        <v>1901</v>
      </c>
      <c r="H3009" t="s">
        <v>12014</v>
      </c>
      <c r="I3009" t="s">
        <v>17344</v>
      </c>
      <c r="J3009" t="s">
        <v>18892</v>
      </c>
      <c r="K3009">
        <v>10462</v>
      </c>
      <c r="L3009" t="s">
        <v>18958</v>
      </c>
      <c r="M3009" t="s">
        <v>18958</v>
      </c>
      <c r="N3009" t="s">
        <v>21192</v>
      </c>
      <c r="O3009" t="s">
        <v>26533</v>
      </c>
      <c r="P3009" t="s">
        <v>26564</v>
      </c>
      <c r="Q3009" t="s">
        <v>26570</v>
      </c>
      <c r="R3009" t="s">
        <v>26591</v>
      </c>
      <c r="S3009" t="s">
        <v>18959</v>
      </c>
      <c r="U3009" t="s">
        <v>26604</v>
      </c>
      <c r="V3009" t="s">
        <v>26614</v>
      </c>
      <c r="W3009" t="s">
        <v>428</v>
      </c>
      <c r="X3009">
        <v>700</v>
      </c>
      <c r="Y3009" t="s">
        <v>26650</v>
      </c>
      <c r="Z3009" t="s">
        <v>26530</v>
      </c>
      <c r="AA3009" t="s">
        <v>26683</v>
      </c>
      <c r="AB3009" t="s">
        <v>29292</v>
      </c>
      <c r="AD3009" t="s">
        <v>39344</v>
      </c>
      <c r="AE3009">
        <v>49</v>
      </c>
      <c r="AF3009" t="s">
        <v>45545</v>
      </c>
      <c r="AG3009" t="s">
        <v>19330</v>
      </c>
      <c r="AH3009">
        <v>1</v>
      </c>
      <c r="AI3009">
        <v>1</v>
      </c>
      <c r="AJ3009">
        <v>0</v>
      </c>
      <c r="AK3009">
        <v>154.86</v>
      </c>
      <c r="AN3009" t="s">
        <v>7439</v>
      </c>
      <c r="AO3009">
        <v>18800</v>
      </c>
      <c r="AP3009" t="s">
        <v>45773</v>
      </c>
      <c r="AR3009" t="s">
        <v>26530</v>
      </c>
      <c r="AS3009" t="s">
        <v>46499</v>
      </c>
      <c r="AT3009" t="s">
        <v>46627</v>
      </c>
      <c r="AU3009">
        <v>2</v>
      </c>
      <c r="AV3009" t="s">
        <v>651</v>
      </c>
      <c r="AW3009" t="s">
        <v>334</v>
      </c>
    </row>
    <row r="3010" spans="1:50">
      <c r="A3010" s="1">
        <f>HYPERLINK("https://lsnyc.legalserver.org/matter/dynamic-profile/view/1882394","18-1882394")</f>
        <v>0</v>
      </c>
      <c r="B3010" t="s">
        <v>121</v>
      </c>
      <c r="C3010" t="s">
        <v>341</v>
      </c>
      <c r="D3010" t="s">
        <v>428</v>
      </c>
      <c r="E3010" t="s">
        <v>829</v>
      </c>
      <c r="F3010" t="s">
        <v>913</v>
      </c>
      <c r="G3010" t="s">
        <v>5301</v>
      </c>
      <c r="H3010" t="s">
        <v>12015</v>
      </c>
      <c r="I3010" t="s">
        <v>17352</v>
      </c>
      <c r="J3010" t="s">
        <v>18892</v>
      </c>
      <c r="K3010">
        <v>10472</v>
      </c>
      <c r="L3010" t="s">
        <v>18958</v>
      </c>
      <c r="M3010" t="s">
        <v>18958</v>
      </c>
      <c r="N3010" t="s">
        <v>21193</v>
      </c>
      <c r="O3010" t="s">
        <v>26523</v>
      </c>
      <c r="P3010" t="s">
        <v>26560</v>
      </c>
      <c r="Q3010" t="s">
        <v>26568</v>
      </c>
      <c r="R3010" t="s">
        <v>26577</v>
      </c>
      <c r="S3010" t="s">
        <v>18959</v>
      </c>
      <c r="U3010" t="s">
        <v>26604</v>
      </c>
      <c r="V3010" t="s">
        <v>26612</v>
      </c>
      <c r="W3010" t="s">
        <v>428</v>
      </c>
      <c r="X3010">
        <v>1287</v>
      </c>
      <c r="Y3010" t="s">
        <v>26650</v>
      </c>
      <c r="Z3010" t="s">
        <v>26668</v>
      </c>
      <c r="AA3010" t="s">
        <v>26678</v>
      </c>
      <c r="AB3010" t="s">
        <v>29293</v>
      </c>
      <c r="AC3010" t="s">
        <v>35383</v>
      </c>
      <c r="AD3010" t="s">
        <v>39345</v>
      </c>
      <c r="AE3010">
        <v>0</v>
      </c>
      <c r="AF3010" t="s">
        <v>45541</v>
      </c>
      <c r="AG3010" t="s">
        <v>19330</v>
      </c>
      <c r="AH3010">
        <v>2</v>
      </c>
      <c r="AI3010">
        <v>1</v>
      </c>
      <c r="AJ3010">
        <v>3</v>
      </c>
      <c r="AK3010">
        <v>163.87</v>
      </c>
      <c r="AN3010" t="s">
        <v>7439</v>
      </c>
      <c r="AO3010">
        <v>41132</v>
      </c>
      <c r="AQ3010" t="s">
        <v>46365</v>
      </c>
      <c r="AR3010" t="s">
        <v>46379</v>
      </c>
      <c r="AS3010" t="s">
        <v>46499</v>
      </c>
      <c r="AT3010" t="s">
        <v>46692</v>
      </c>
      <c r="AU3010">
        <v>11.1</v>
      </c>
      <c r="AV3010" t="s">
        <v>710</v>
      </c>
      <c r="AW3010" t="s">
        <v>46870</v>
      </c>
    </row>
    <row r="3011" spans="1:50">
      <c r="A3011" s="1">
        <f>HYPERLINK("https://lsnyc.legalserver.org/matter/dynamic-profile/view/1882329","18-1882329")</f>
        <v>0</v>
      </c>
      <c r="B3011" t="s">
        <v>121</v>
      </c>
      <c r="C3011" t="s">
        <v>341</v>
      </c>
      <c r="D3011" t="s">
        <v>428</v>
      </c>
      <c r="E3011" t="s">
        <v>829</v>
      </c>
      <c r="F3011" t="s">
        <v>969</v>
      </c>
      <c r="G3011" t="s">
        <v>6707</v>
      </c>
      <c r="H3011" t="s">
        <v>12016</v>
      </c>
      <c r="I3011" t="s">
        <v>17910</v>
      </c>
      <c r="J3011" t="s">
        <v>18892</v>
      </c>
      <c r="K3011">
        <v>10462</v>
      </c>
      <c r="L3011" t="s">
        <v>18958</v>
      </c>
      <c r="M3011" t="s">
        <v>18958</v>
      </c>
      <c r="N3011" t="s">
        <v>21194</v>
      </c>
      <c r="O3011" t="s">
        <v>26523</v>
      </c>
      <c r="P3011" t="s">
        <v>26560</v>
      </c>
      <c r="Q3011" t="s">
        <v>26568</v>
      </c>
      <c r="R3011" t="s">
        <v>26579</v>
      </c>
      <c r="S3011" t="s">
        <v>18959</v>
      </c>
      <c r="U3011" t="s">
        <v>26604</v>
      </c>
      <c r="V3011" t="s">
        <v>26612</v>
      </c>
      <c r="W3011" t="s">
        <v>428</v>
      </c>
      <c r="X3011">
        <v>871</v>
      </c>
      <c r="Y3011" t="s">
        <v>26650</v>
      </c>
      <c r="Z3011" t="s">
        <v>26659</v>
      </c>
      <c r="AA3011" t="s">
        <v>26678</v>
      </c>
      <c r="AB3011" t="s">
        <v>29294</v>
      </c>
      <c r="AD3011" t="s">
        <v>39346</v>
      </c>
      <c r="AE3011">
        <v>0</v>
      </c>
      <c r="AF3011" t="s">
        <v>45541</v>
      </c>
      <c r="AG3011" t="s">
        <v>19330</v>
      </c>
      <c r="AH3011">
        <v>3</v>
      </c>
      <c r="AI3011">
        <v>1</v>
      </c>
      <c r="AJ3011">
        <v>1</v>
      </c>
      <c r="AK3011">
        <v>150.06</v>
      </c>
      <c r="AN3011" t="s">
        <v>7439</v>
      </c>
      <c r="AO3011">
        <v>24700</v>
      </c>
      <c r="AQ3011" t="s">
        <v>46365</v>
      </c>
      <c r="AR3011" t="s">
        <v>46379</v>
      </c>
      <c r="AS3011" t="s">
        <v>46499</v>
      </c>
      <c r="AT3011" t="s">
        <v>46759</v>
      </c>
      <c r="AU3011">
        <v>12.2</v>
      </c>
      <c r="AV3011" t="s">
        <v>702</v>
      </c>
      <c r="AW3011" t="s">
        <v>46871</v>
      </c>
    </row>
    <row r="3012" spans="1:50">
      <c r="A3012" s="1">
        <f>HYPERLINK("https://lsnyc.legalserver.org/matter/dynamic-profile/view/1882340","18-1882340")</f>
        <v>0</v>
      </c>
      <c r="B3012" t="s">
        <v>199</v>
      </c>
      <c r="C3012" t="s">
        <v>341</v>
      </c>
      <c r="D3012" t="s">
        <v>428</v>
      </c>
      <c r="E3012" t="s">
        <v>698</v>
      </c>
      <c r="F3012" t="s">
        <v>2489</v>
      </c>
      <c r="G3012" t="s">
        <v>5608</v>
      </c>
      <c r="H3012" t="s">
        <v>11236</v>
      </c>
      <c r="I3012" t="s">
        <v>17603</v>
      </c>
      <c r="J3012" t="s">
        <v>18894</v>
      </c>
      <c r="K3012">
        <v>11203</v>
      </c>
      <c r="L3012" t="s">
        <v>18958</v>
      </c>
      <c r="M3012" t="s">
        <v>18958</v>
      </c>
      <c r="O3012" t="s">
        <v>26531</v>
      </c>
      <c r="P3012" t="s">
        <v>26565</v>
      </c>
      <c r="Q3012" t="s">
        <v>26571</v>
      </c>
      <c r="R3012" t="s">
        <v>26578</v>
      </c>
      <c r="T3012" t="s">
        <v>26578</v>
      </c>
      <c r="U3012" t="s">
        <v>26604</v>
      </c>
      <c r="W3012" t="s">
        <v>428</v>
      </c>
      <c r="X3012">
        <v>166</v>
      </c>
      <c r="Y3012" t="s">
        <v>26652</v>
      </c>
      <c r="Z3012" t="s">
        <v>26659</v>
      </c>
      <c r="AA3012" t="s">
        <v>26682</v>
      </c>
      <c r="AB3012" t="s">
        <v>29064</v>
      </c>
      <c r="AD3012" t="s">
        <v>39347</v>
      </c>
      <c r="AE3012">
        <v>6</v>
      </c>
      <c r="AF3012" t="s">
        <v>45541</v>
      </c>
      <c r="AH3012">
        <v>4</v>
      </c>
      <c r="AI3012">
        <v>1</v>
      </c>
      <c r="AJ3012">
        <v>0</v>
      </c>
      <c r="AK3012">
        <v>103.2</v>
      </c>
      <c r="AN3012" t="s">
        <v>7439</v>
      </c>
      <c r="AO3012">
        <v>12528</v>
      </c>
      <c r="AU3012">
        <v>11.1</v>
      </c>
      <c r="AV3012" t="s">
        <v>698</v>
      </c>
      <c r="AW3012" t="s">
        <v>46856</v>
      </c>
    </row>
    <row r="3013" spans="1:50">
      <c r="A3013" s="1">
        <f>HYPERLINK("https://lsnyc.legalserver.org/matter/dynamic-profile/view/1882308","18-1882308")</f>
        <v>0</v>
      </c>
      <c r="B3013" t="s">
        <v>122</v>
      </c>
      <c r="C3013" t="s">
        <v>341</v>
      </c>
      <c r="D3013" t="s">
        <v>428</v>
      </c>
      <c r="E3013" t="s">
        <v>800</v>
      </c>
      <c r="F3013" t="s">
        <v>2490</v>
      </c>
      <c r="G3013" t="s">
        <v>6708</v>
      </c>
      <c r="H3013" t="s">
        <v>12017</v>
      </c>
      <c r="I3013" t="s">
        <v>17332</v>
      </c>
      <c r="J3013" t="s">
        <v>18899</v>
      </c>
      <c r="K3013">
        <v>11385</v>
      </c>
      <c r="L3013" t="s">
        <v>18958</v>
      </c>
      <c r="M3013" t="s">
        <v>18958</v>
      </c>
      <c r="N3013" t="s">
        <v>21195</v>
      </c>
      <c r="O3013" t="s">
        <v>26526</v>
      </c>
      <c r="P3013" t="s">
        <v>26564</v>
      </c>
      <c r="Q3013" t="s">
        <v>26570</v>
      </c>
      <c r="R3013" t="s">
        <v>26584</v>
      </c>
      <c r="S3013" t="s">
        <v>18959</v>
      </c>
      <c r="U3013" t="s">
        <v>26604</v>
      </c>
      <c r="V3013" t="s">
        <v>26610</v>
      </c>
      <c r="W3013" t="s">
        <v>428</v>
      </c>
      <c r="X3013">
        <v>1100</v>
      </c>
      <c r="Y3013" t="s">
        <v>26653</v>
      </c>
      <c r="Z3013" t="s">
        <v>26664</v>
      </c>
      <c r="AA3013" t="s">
        <v>26683</v>
      </c>
      <c r="AB3013" t="s">
        <v>29295</v>
      </c>
      <c r="AD3013" t="s">
        <v>39348</v>
      </c>
      <c r="AE3013">
        <v>6</v>
      </c>
      <c r="AF3013" t="s">
        <v>45541</v>
      </c>
      <c r="AG3013" t="s">
        <v>19330</v>
      </c>
      <c r="AH3013">
        <v>10</v>
      </c>
      <c r="AI3013">
        <v>1</v>
      </c>
      <c r="AJ3013">
        <v>1</v>
      </c>
      <c r="AK3013">
        <v>110.57</v>
      </c>
      <c r="AO3013">
        <v>18200</v>
      </c>
      <c r="AU3013">
        <v>5.15</v>
      </c>
      <c r="AV3013" t="s">
        <v>762</v>
      </c>
      <c r="AW3013" t="s">
        <v>122</v>
      </c>
    </row>
    <row r="3014" spans="1:50">
      <c r="A3014" s="1">
        <f>HYPERLINK("https://lsnyc.legalserver.org/matter/dynamic-profile/view/1882331","18-1882331")</f>
        <v>0</v>
      </c>
      <c r="B3014" t="s">
        <v>136</v>
      </c>
      <c r="C3014" t="s">
        <v>340</v>
      </c>
      <c r="D3014" t="s">
        <v>428</v>
      </c>
      <c r="F3014" t="s">
        <v>2491</v>
      </c>
      <c r="G3014" t="s">
        <v>5169</v>
      </c>
      <c r="H3014" t="s">
        <v>12018</v>
      </c>
      <c r="I3014" t="s">
        <v>17411</v>
      </c>
      <c r="J3014" t="s">
        <v>18892</v>
      </c>
      <c r="K3014">
        <v>10457</v>
      </c>
      <c r="L3014" t="s">
        <v>18958</v>
      </c>
      <c r="M3014" t="s">
        <v>18958</v>
      </c>
      <c r="N3014" t="s">
        <v>21196</v>
      </c>
      <c r="O3014" t="s">
        <v>26523</v>
      </c>
      <c r="P3014" t="s">
        <v>26560</v>
      </c>
      <c r="R3014" t="s">
        <v>26579</v>
      </c>
      <c r="S3014" t="s">
        <v>18959</v>
      </c>
      <c r="U3014" t="s">
        <v>26604</v>
      </c>
      <c r="V3014" t="s">
        <v>26610</v>
      </c>
      <c r="W3014" t="s">
        <v>428</v>
      </c>
      <c r="X3014">
        <v>1200</v>
      </c>
      <c r="Y3014" t="s">
        <v>26650</v>
      </c>
      <c r="Z3014" t="s">
        <v>26664</v>
      </c>
      <c r="AB3014" t="s">
        <v>29296</v>
      </c>
      <c r="AC3014" t="s">
        <v>35384</v>
      </c>
      <c r="AD3014" t="s">
        <v>39349</v>
      </c>
      <c r="AE3014">
        <v>74</v>
      </c>
      <c r="AF3014" t="s">
        <v>45541</v>
      </c>
      <c r="AG3014" t="s">
        <v>45561</v>
      </c>
      <c r="AH3014">
        <v>5</v>
      </c>
      <c r="AI3014">
        <v>1</v>
      </c>
      <c r="AJ3014">
        <v>0</v>
      </c>
      <c r="AK3014">
        <v>73.15000000000001</v>
      </c>
      <c r="AN3014" t="s">
        <v>45581</v>
      </c>
      <c r="AO3014">
        <v>8880</v>
      </c>
      <c r="AU3014">
        <v>15.75</v>
      </c>
      <c r="AV3014" t="s">
        <v>818</v>
      </c>
      <c r="AW3014" t="s">
        <v>334</v>
      </c>
    </row>
    <row r="3015" spans="1:50">
      <c r="A3015" s="1">
        <f>HYPERLINK("https://lsnyc.legalserver.org/matter/dynamic-profile/view/1882350","18-1882350")</f>
        <v>0</v>
      </c>
      <c r="B3015" t="s">
        <v>70</v>
      </c>
      <c r="C3015" t="s">
        <v>340</v>
      </c>
      <c r="D3015" t="s">
        <v>428</v>
      </c>
      <c r="F3015" t="s">
        <v>947</v>
      </c>
      <c r="G3015" t="s">
        <v>5340</v>
      </c>
      <c r="H3015" t="s">
        <v>11265</v>
      </c>
      <c r="I3015" t="s">
        <v>17307</v>
      </c>
      <c r="J3015" t="s">
        <v>18892</v>
      </c>
      <c r="K3015">
        <v>10467</v>
      </c>
      <c r="L3015" t="s">
        <v>18958</v>
      </c>
      <c r="M3015" t="s">
        <v>18958</v>
      </c>
      <c r="N3015" t="s">
        <v>21197</v>
      </c>
      <c r="O3015" t="s">
        <v>26526</v>
      </c>
      <c r="P3015" t="s">
        <v>26560</v>
      </c>
      <c r="R3015" t="s">
        <v>26577</v>
      </c>
      <c r="S3015" t="s">
        <v>18959</v>
      </c>
      <c r="U3015" t="s">
        <v>26604</v>
      </c>
      <c r="V3015" t="s">
        <v>26610</v>
      </c>
      <c r="W3015" t="s">
        <v>428</v>
      </c>
      <c r="X3015">
        <v>1350</v>
      </c>
      <c r="Y3015" t="s">
        <v>26650</v>
      </c>
      <c r="Z3015" t="s">
        <v>26664</v>
      </c>
      <c r="AB3015" t="s">
        <v>28459</v>
      </c>
      <c r="AD3015" t="s">
        <v>38512</v>
      </c>
      <c r="AE3015">
        <v>59</v>
      </c>
      <c r="AF3015" t="s">
        <v>45541</v>
      </c>
      <c r="AG3015" t="s">
        <v>19330</v>
      </c>
      <c r="AH3015">
        <v>1</v>
      </c>
      <c r="AI3015">
        <v>1</v>
      </c>
      <c r="AJ3015">
        <v>2</v>
      </c>
      <c r="AK3015">
        <v>175.17</v>
      </c>
      <c r="AN3015" t="s">
        <v>7439</v>
      </c>
      <c r="AO3015">
        <v>36400</v>
      </c>
      <c r="AU3015">
        <v>12.9</v>
      </c>
      <c r="AV3015" t="s">
        <v>817</v>
      </c>
      <c r="AW3015" t="s">
        <v>46870</v>
      </c>
    </row>
    <row r="3016" spans="1:50">
      <c r="A3016" s="1">
        <f>HYPERLINK("https://lsnyc.legalserver.org/matter/dynamic-profile/view/1882426","18-1882426")</f>
        <v>0</v>
      </c>
      <c r="B3016" t="s">
        <v>253</v>
      </c>
      <c r="C3016" t="s">
        <v>340</v>
      </c>
      <c r="D3016" t="s">
        <v>428</v>
      </c>
      <c r="F3016" t="s">
        <v>1309</v>
      </c>
      <c r="G3016" t="s">
        <v>5169</v>
      </c>
      <c r="H3016" t="s">
        <v>12019</v>
      </c>
      <c r="I3016" t="s">
        <v>17348</v>
      </c>
      <c r="J3016" t="s">
        <v>18892</v>
      </c>
      <c r="K3016">
        <v>10453</v>
      </c>
      <c r="L3016" t="s">
        <v>18958</v>
      </c>
      <c r="M3016" t="s">
        <v>18958</v>
      </c>
      <c r="N3016" t="s">
        <v>21198</v>
      </c>
      <c r="O3016" t="s">
        <v>26523</v>
      </c>
      <c r="P3016" t="s">
        <v>26560</v>
      </c>
      <c r="R3016" t="s">
        <v>26577</v>
      </c>
      <c r="S3016" t="s">
        <v>18959</v>
      </c>
      <c r="U3016" t="s">
        <v>26604</v>
      </c>
      <c r="V3016" t="s">
        <v>26611</v>
      </c>
      <c r="W3016" t="s">
        <v>428</v>
      </c>
      <c r="X3016">
        <v>870.86</v>
      </c>
      <c r="Y3016" t="s">
        <v>26650</v>
      </c>
      <c r="Z3016" t="s">
        <v>26668</v>
      </c>
      <c r="AB3016" t="s">
        <v>29297</v>
      </c>
      <c r="AD3016" t="s">
        <v>39350</v>
      </c>
      <c r="AE3016">
        <v>30</v>
      </c>
      <c r="AF3016" t="s">
        <v>45543</v>
      </c>
      <c r="AG3016" t="s">
        <v>45556</v>
      </c>
      <c r="AH3016">
        <v>25</v>
      </c>
      <c r="AI3016">
        <v>1</v>
      </c>
      <c r="AJ3016">
        <v>0</v>
      </c>
      <c r="AK3016">
        <v>85.67</v>
      </c>
      <c r="AO3016">
        <v>10400</v>
      </c>
      <c r="AQ3016" t="s">
        <v>46368</v>
      </c>
      <c r="AR3016" t="s">
        <v>46380</v>
      </c>
      <c r="AS3016" t="s">
        <v>46499</v>
      </c>
      <c r="AT3016" t="s">
        <v>46699</v>
      </c>
      <c r="AU3016">
        <v>95.5</v>
      </c>
      <c r="AV3016" t="s">
        <v>805</v>
      </c>
      <c r="AW3016" t="s">
        <v>46847</v>
      </c>
    </row>
    <row r="3017" spans="1:50">
      <c r="A3017" s="1">
        <f>HYPERLINK("https://lsnyc.legalserver.org/matter/dynamic-profile/view/1882417","18-1882417")</f>
        <v>0</v>
      </c>
      <c r="B3017" t="s">
        <v>82</v>
      </c>
      <c r="C3017" t="s">
        <v>340</v>
      </c>
      <c r="D3017" t="s">
        <v>428</v>
      </c>
      <c r="F3017" t="s">
        <v>1288</v>
      </c>
      <c r="G3017" t="s">
        <v>1203</v>
      </c>
      <c r="H3017" t="s">
        <v>12020</v>
      </c>
      <c r="I3017" t="s">
        <v>17306</v>
      </c>
      <c r="J3017" t="s">
        <v>18892</v>
      </c>
      <c r="K3017">
        <v>10457</v>
      </c>
      <c r="L3017" t="s">
        <v>18958</v>
      </c>
      <c r="M3017" t="s">
        <v>18958</v>
      </c>
      <c r="N3017" t="s">
        <v>21199</v>
      </c>
      <c r="O3017" t="s">
        <v>26524</v>
      </c>
      <c r="P3017" t="s">
        <v>26560</v>
      </c>
      <c r="R3017" t="s">
        <v>26579</v>
      </c>
      <c r="U3017" t="s">
        <v>26604</v>
      </c>
      <c r="V3017" t="s">
        <v>26610</v>
      </c>
      <c r="W3017" t="s">
        <v>428</v>
      </c>
      <c r="X3017">
        <v>1500</v>
      </c>
      <c r="Y3017" t="s">
        <v>26650</v>
      </c>
      <c r="Z3017" t="s">
        <v>26664</v>
      </c>
      <c r="AB3017" t="s">
        <v>29298</v>
      </c>
      <c r="AD3017" t="s">
        <v>39351</v>
      </c>
      <c r="AE3017">
        <v>0</v>
      </c>
      <c r="AF3017" t="s">
        <v>45547</v>
      </c>
      <c r="AG3017" t="s">
        <v>19330</v>
      </c>
      <c r="AH3017">
        <v>13</v>
      </c>
      <c r="AI3017">
        <v>2</v>
      </c>
      <c r="AJ3017">
        <v>0</v>
      </c>
      <c r="AK3017">
        <v>108.99</v>
      </c>
      <c r="AO3017">
        <v>17940</v>
      </c>
      <c r="AU3017">
        <v>10.99</v>
      </c>
      <c r="AV3017" t="s">
        <v>758</v>
      </c>
      <c r="AW3017" t="s">
        <v>334</v>
      </c>
    </row>
    <row r="3018" spans="1:50">
      <c r="A3018" s="1">
        <f>HYPERLINK("https://lsnyc.legalserver.org/matter/dynamic-profile/view/1862897","18-1862897")</f>
        <v>0</v>
      </c>
      <c r="B3018" t="s">
        <v>167</v>
      </c>
      <c r="C3018" t="s">
        <v>341</v>
      </c>
      <c r="D3018" t="s">
        <v>430</v>
      </c>
      <c r="E3018" t="s">
        <v>658</v>
      </c>
      <c r="F3018" t="s">
        <v>1409</v>
      </c>
      <c r="G3018" t="s">
        <v>5478</v>
      </c>
      <c r="H3018" t="s">
        <v>12021</v>
      </c>
      <c r="I3018" t="s">
        <v>17276</v>
      </c>
      <c r="J3018" t="s">
        <v>18911</v>
      </c>
      <c r="K3018">
        <v>11375</v>
      </c>
      <c r="L3018" t="s">
        <v>18958</v>
      </c>
      <c r="M3018" t="s">
        <v>18958</v>
      </c>
      <c r="N3018" t="s">
        <v>21200</v>
      </c>
      <c r="O3018" t="s">
        <v>26523</v>
      </c>
      <c r="P3018" t="s">
        <v>26560</v>
      </c>
      <c r="Q3018" t="s">
        <v>26568</v>
      </c>
      <c r="R3018" t="s">
        <v>26584</v>
      </c>
      <c r="S3018" t="s">
        <v>18959</v>
      </c>
      <c r="U3018" t="s">
        <v>26604</v>
      </c>
      <c r="V3018" t="s">
        <v>26610</v>
      </c>
      <c r="W3018" t="s">
        <v>658</v>
      </c>
      <c r="X3018">
        <v>2200</v>
      </c>
      <c r="Y3018" t="s">
        <v>26653</v>
      </c>
      <c r="Z3018" t="s">
        <v>26656</v>
      </c>
      <c r="AA3018" t="s">
        <v>26678</v>
      </c>
      <c r="AB3018" t="s">
        <v>27404</v>
      </c>
      <c r="AD3018" t="s">
        <v>37468</v>
      </c>
      <c r="AE3018">
        <v>74</v>
      </c>
      <c r="AF3018" t="s">
        <v>45541</v>
      </c>
      <c r="AG3018" t="s">
        <v>19330</v>
      </c>
      <c r="AH3018">
        <v>1</v>
      </c>
      <c r="AI3018">
        <v>1</v>
      </c>
      <c r="AJ3018">
        <v>3</v>
      </c>
      <c r="AK3018">
        <v>93.23</v>
      </c>
      <c r="AN3018" t="s">
        <v>7439</v>
      </c>
      <c r="AO3018">
        <v>23400</v>
      </c>
      <c r="AR3018" t="s">
        <v>46379</v>
      </c>
      <c r="AS3018" t="s">
        <v>46499</v>
      </c>
      <c r="AT3018" t="s">
        <v>46763</v>
      </c>
      <c r="AU3018">
        <v>14.8</v>
      </c>
      <c r="AV3018" t="s">
        <v>545</v>
      </c>
      <c r="AW3018" t="s">
        <v>167</v>
      </c>
    </row>
    <row r="3019" spans="1:50">
      <c r="A3019" s="1">
        <f>HYPERLINK("https://lsnyc.legalserver.org/matter/dynamic-profile/view/1875615","18-1875615")</f>
        <v>0</v>
      </c>
      <c r="B3019" t="s">
        <v>161</v>
      </c>
      <c r="C3019" t="s">
        <v>341</v>
      </c>
      <c r="D3019" t="s">
        <v>521</v>
      </c>
      <c r="E3019" t="s">
        <v>658</v>
      </c>
      <c r="F3019" t="s">
        <v>899</v>
      </c>
      <c r="G3019" t="s">
        <v>5266</v>
      </c>
      <c r="H3019" t="s">
        <v>12022</v>
      </c>
      <c r="I3019" t="s">
        <v>17580</v>
      </c>
      <c r="J3019" t="s">
        <v>18896</v>
      </c>
      <c r="K3019">
        <v>11419</v>
      </c>
      <c r="L3019" t="s">
        <v>18958</v>
      </c>
      <c r="M3019" t="s">
        <v>18958</v>
      </c>
      <c r="N3019" t="s">
        <v>21201</v>
      </c>
      <c r="O3019" t="s">
        <v>26524</v>
      </c>
      <c r="P3019" t="s">
        <v>26564</v>
      </c>
      <c r="Q3019" t="s">
        <v>26570</v>
      </c>
      <c r="R3019" t="s">
        <v>26584</v>
      </c>
      <c r="S3019" t="s">
        <v>18959</v>
      </c>
      <c r="U3019" t="s">
        <v>26604</v>
      </c>
      <c r="V3019" t="s">
        <v>26612</v>
      </c>
      <c r="W3019" t="s">
        <v>658</v>
      </c>
      <c r="X3019">
        <v>1500</v>
      </c>
      <c r="Y3019" t="s">
        <v>26653</v>
      </c>
      <c r="Z3019" t="s">
        <v>26664</v>
      </c>
      <c r="AA3019" t="s">
        <v>26683</v>
      </c>
      <c r="AB3019" t="s">
        <v>29299</v>
      </c>
      <c r="AC3019" t="s">
        <v>35385</v>
      </c>
      <c r="AD3019" t="s">
        <v>39352</v>
      </c>
      <c r="AE3019">
        <v>3</v>
      </c>
      <c r="AF3019" t="s">
        <v>45547</v>
      </c>
      <c r="AG3019" t="s">
        <v>45556</v>
      </c>
      <c r="AH3019">
        <v>1</v>
      </c>
      <c r="AI3019">
        <v>1</v>
      </c>
      <c r="AJ3019">
        <v>2</v>
      </c>
      <c r="AK3019">
        <v>0</v>
      </c>
      <c r="AN3019" t="s">
        <v>7439</v>
      </c>
      <c r="AO3019">
        <v>0</v>
      </c>
      <c r="AU3019">
        <v>1.25</v>
      </c>
      <c r="AV3019" t="s">
        <v>521</v>
      </c>
      <c r="AW3019" t="s">
        <v>161</v>
      </c>
    </row>
    <row r="3020" spans="1:50">
      <c r="A3020" s="1">
        <f>HYPERLINK("https://lsnyc.legalserver.org/matter/dynamic-profile/view/1879549","18-1879549")</f>
        <v>0</v>
      </c>
      <c r="B3020" t="s">
        <v>258</v>
      </c>
      <c r="C3020" t="s">
        <v>340</v>
      </c>
      <c r="D3020" t="s">
        <v>529</v>
      </c>
      <c r="F3020" t="s">
        <v>887</v>
      </c>
      <c r="G3020" t="s">
        <v>6709</v>
      </c>
      <c r="H3020" t="s">
        <v>12023</v>
      </c>
      <c r="I3020" t="s">
        <v>17375</v>
      </c>
      <c r="J3020" t="s">
        <v>18918</v>
      </c>
      <c r="K3020">
        <v>11416</v>
      </c>
      <c r="L3020" t="s">
        <v>18958</v>
      </c>
      <c r="M3020" t="s">
        <v>18958</v>
      </c>
      <c r="N3020" t="s">
        <v>21202</v>
      </c>
      <c r="O3020" t="s">
        <v>26524</v>
      </c>
      <c r="P3020" t="s">
        <v>26560</v>
      </c>
      <c r="R3020" t="s">
        <v>26584</v>
      </c>
      <c r="S3020" t="s">
        <v>18959</v>
      </c>
      <c r="U3020" t="s">
        <v>26604</v>
      </c>
      <c r="V3020" t="s">
        <v>26610</v>
      </c>
      <c r="W3020" t="s">
        <v>646</v>
      </c>
      <c r="X3020">
        <v>1515</v>
      </c>
      <c r="Y3020" t="s">
        <v>26653</v>
      </c>
      <c r="Z3020" t="s">
        <v>26664</v>
      </c>
      <c r="AB3020" t="s">
        <v>28158</v>
      </c>
      <c r="AC3020" t="s">
        <v>35386</v>
      </c>
      <c r="AD3020" t="s">
        <v>39353</v>
      </c>
      <c r="AE3020">
        <v>2</v>
      </c>
      <c r="AF3020" t="s">
        <v>45547</v>
      </c>
      <c r="AG3020" t="s">
        <v>45562</v>
      </c>
      <c r="AH3020">
        <v>2</v>
      </c>
      <c r="AI3020">
        <v>1</v>
      </c>
      <c r="AJ3020">
        <v>0</v>
      </c>
      <c r="AK3020">
        <v>167.05</v>
      </c>
      <c r="AN3020" t="s">
        <v>45581</v>
      </c>
      <c r="AO3020">
        <v>20280</v>
      </c>
      <c r="AQ3020" t="s">
        <v>46359</v>
      </c>
      <c r="AR3020" t="s">
        <v>46379</v>
      </c>
      <c r="AS3020" t="s">
        <v>46499</v>
      </c>
      <c r="AT3020" t="s">
        <v>46625</v>
      </c>
      <c r="AU3020">
        <v>55.84</v>
      </c>
      <c r="AV3020" t="s">
        <v>668</v>
      </c>
      <c r="AW3020" t="s">
        <v>208</v>
      </c>
    </row>
    <row r="3021" spans="1:50">
      <c r="A3021" s="1">
        <f>HYPERLINK("https://lsnyc.legalserver.org/matter/dynamic-profile/view/1881533","18-1881533")</f>
        <v>0</v>
      </c>
      <c r="B3021" t="s">
        <v>143</v>
      </c>
      <c r="C3021" t="s">
        <v>340</v>
      </c>
      <c r="D3021" t="s">
        <v>624</v>
      </c>
      <c r="F3021" t="s">
        <v>2492</v>
      </c>
      <c r="G3021" t="s">
        <v>5008</v>
      </c>
      <c r="H3021" t="s">
        <v>10879</v>
      </c>
      <c r="I3021" t="s">
        <v>17911</v>
      </c>
      <c r="J3021" t="s">
        <v>18892</v>
      </c>
      <c r="K3021">
        <v>10453</v>
      </c>
      <c r="L3021" t="s">
        <v>18958</v>
      </c>
      <c r="M3021" t="s">
        <v>18958</v>
      </c>
      <c r="N3021" t="s">
        <v>21203</v>
      </c>
      <c r="O3021" t="s">
        <v>26523</v>
      </c>
      <c r="P3021" t="s">
        <v>26564</v>
      </c>
      <c r="R3021" t="s">
        <v>26577</v>
      </c>
      <c r="S3021" t="s">
        <v>18959</v>
      </c>
      <c r="U3021" t="s">
        <v>26604</v>
      </c>
      <c r="V3021" t="s">
        <v>26611</v>
      </c>
      <c r="W3021" t="s">
        <v>646</v>
      </c>
      <c r="X3021">
        <v>1300</v>
      </c>
      <c r="Y3021" t="s">
        <v>26650</v>
      </c>
      <c r="Z3021" t="s">
        <v>26668</v>
      </c>
      <c r="AB3021" t="s">
        <v>29300</v>
      </c>
      <c r="AC3021" t="s">
        <v>35387</v>
      </c>
      <c r="AD3021" t="s">
        <v>39354</v>
      </c>
      <c r="AE3021">
        <v>0</v>
      </c>
      <c r="AF3021" t="s">
        <v>45543</v>
      </c>
      <c r="AG3021" t="s">
        <v>45556</v>
      </c>
      <c r="AH3021">
        <v>3</v>
      </c>
      <c r="AI3021">
        <v>1</v>
      </c>
      <c r="AJ3021">
        <v>0</v>
      </c>
      <c r="AK3021">
        <v>78.78</v>
      </c>
      <c r="AN3021" t="s">
        <v>7439</v>
      </c>
      <c r="AO3021">
        <v>9564</v>
      </c>
      <c r="AU3021">
        <v>9.800000000000001</v>
      </c>
      <c r="AV3021" t="s">
        <v>822</v>
      </c>
      <c r="AW3021" t="s">
        <v>46847</v>
      </c>
    </row>
    <row r="3022" spans="1:50">
      <c r="A3022" s="1">
        <f>HYPERLINK("https://lsnyc.legalserver.org/matter/dynamic-profile/view/1882512","18-1882512")</f>
        <v>0</v>
      </c>
      <c r="B3022" t="s">
        <v>183</v>
      </c>
      <c r="C3022" t="s">
        <v>341</v>
      </c>
      <c r="D3022" t="s">
        <v>646</v>
      </c>
      <c r="E3022" t="s">
        <v>821</v>
      </c>
      <c r="F3022" t="s">
        <v>2493</v>
      </c>
      <c r="G3022" t="s">
        <v>6710</v>
      </c>
      <c r="H3022" t="s">
        <v>12024</v>
      </c>
      <c r="I3022" t="s">
        <v>17496</v>
      </c>
      <c r="J3022" t="s">
        <v>18893</v>
      </c>
      <c r="K3022">
        <v>10027</v>
      </c>
      <c r="L3022" t="s">
        <v>18958</v>
      </c>
      <c r="M3022" t="s">
        <v>18958</v>
      </c>
      <c r="N3022" t="s">
        <v>21204</v>
      </c>
      <c r="O3022" t="s">
        <v>26523</v>
      </c>
      <c r="P3022" t="s">
        <v>26560</v>
      </c>
      <c r="Q3022" t="s">
        <v>26568</v>
      </c>
      <c r="R3022" t="s">
        <v>26580</v>
      </c>
      <c r="S3022" t="s">
        <v>18959</v>
      </c>
      <c r="U3022" t="s">
        <v>26604</v>
      </c>
      <c r="V3022" t="s">
        <v>26610</v>
      </c>
      <c r="W3022" t="s">
        <v>646</v>
      </c>
      <c r="X3022">
        <v>1187</v>
      </c>
      <c r="Y3022" t="s">
        <v>26651</v>
      </c>
      <c r="Z3022" t="s">
        <v>26664</v>
      </c>
      <c r="AA3022" t="s">
        <v>26678</v>
      </c>
      <c r="AB3022" t="s">
        <v>29301</v>
      </c>
      <c r="AC3022" t="s">
        <v>35388</v>
      </c>
      <c r="AD3022" t="s">
        <v>39355</v>
      </c>
      <c r="AE3022">
        <v>80</v>
      </c>
      <c r="AF3022" t="s">
        <v>45541</v>
      </c>
      <c r="AG3022" t="s">
        <v>45556</v>
      </c>
      <c r="AH3022">
        <v>1</v>
      </c>
      <c r="AI3022">
        <v>1</v>
      </c>
      <c r="AJ3022">
        <v>1</v>
      </c>
      <c r="AK3022">
        <v>22.35</v>
      </c>
      <c r="AM3022" t="s">
        <v>45575</v>
      </c>
      <c r="AN3022" t="s">
        <v>7439</v>
      </c>
      <c r="AO3022">
        <v>3679</v>
      </c>
      <c r="AQ3022" t="s">
        <v>46362</v>
      </c>
      <c r="AR3022" t="s">
        <v>46410</v>
      </c>
      <c r="AS3022" t="s">
        <v>46499</v>
      </c>
      <c r="AT3022" t="s">
        <v>46739</v>
      </c>
      <c r="AU3022">
        <v>33.5</v>
      </c>
      <c r="AV3022" t="s">
        <v>737</v>
      </c>
      <c r="AW3022" t="s">
        <v>317</v>
      </c>
    </row>
    <row r="3023" spans="1:50">
      <c r="A3023" s="1">
        <f>HYPERLINK("https://lsnyc.legalserver.org/matter/dynamic-profile/view/1882568","18-1882568")</f>
        <v>0</v>
      </c>
      <c r="B3023" t="s">
        <v>61</v>
      </c>
      <c r="C3023" t="s">
        <v>341</v>
      </c>
      <c r="D3023" t="s">
        <v>646</v>
      </c>
      <c r="E3023" t="s">
        <v>683</v>
      </c>
      <c r="F3023" t="s">
        <v>1826</v>
      </c>
      <c r="G3023" t="s">
        <v>6711</v>
      </c>
      <c r="H3023" t="s">
        <v>12025</v>
      </c>
      <c r="I3023" t="s">
        <v>17347</v>
      </c>
      <c r="J3023" t="s">
        <v>18893</v>
      </c>
      <c r="K3023">
        <v>10034</v>
      </c>
      <c r="L3023" t="s">
        <v>18958</v>
      </c>
      <c r="M3023" t="s">
        <v>18958</v>
      </c>
      <c r="O3023" t="s">
        <v>18997</v>
      </c>
      <c r="P3023" t="s">
        <v>26564</v>
      </c>
      <c r="Q3023" t="s">
        <v>26570</v>
      </c>
      <c r="R3023" t="s">
        <v>26578</v>
      </c>
      <c r="S3023" t="s">
        <v>18959</v>
      </c>
      <c r="U3023" t="s">
        <v>26604</v>
      </c>
      <c r="W3023" t="s">
        <v>646</v>
      </c>
      <c r="X3023">
        <v>129</v>
      </c>
      <c r="Y3023" t="s">
        <v>26651</v>
      </c>
      <c r="Z3023" t="s">
        <v>26661</v>
      </c>
      <c r="AA3023" t="s">
        <v>26683</v>
      </c>
      <c r="AB3023" t="s">
        <v>29302</v>
      </c>
      <c r="AD3023" t="s">
        <v>39356</v>
      </c>
      <c r="AE3023">
        <v>259</v>
      </c>
      <c r="AF3023" t="s">
        <v>45541</v>
      </c>
      <c r="AG3023" t="s">
        <v>45556</v>
      </c>
      <c r="AH3023">
        <v>40</v>
      </c>
      <c r="AI3023">
        <v>1</v>
      </c>
      <c r="AJ3023">
        <v>0</v>
      </c>
      <c r="AK3023">
        <v>79.37</v>
      </c>
      <c r="AN3023" t="s">
        <v>45581</v>
      </c>
      <c r="AO3023">
        <v>9636</v>
      </c>
      <c r="AU3023">
        <v>1</v>
      </c>
      <c r="AV3023" t="s">
        <v>632</v>
      </c>
      <c r="AW3023" t="s">
        <v>46840</v>
      </c>
      <c r="AX3023" t="s">
        <v>46897</v>
      </c>
    </row>
    <row r="3024" spans="1:50">
      <c r="A3024" s="1">
        <f>HYPERLINK("https://lsnyc.legalserver.org/matter/dynamic-profile/view/1882565","18-1882565")</f>
        <v>0</v>
      </c>
      <c r="B3024" t="s">
        <v>61</v>
      </c>
      <c r="C3024" t="s">
        <v>341</v>
      </c>
      <c r="D3024" t="s">
        <v>646</v>
      </c>
      <c r="E3024" t="s">
        <v>697</v>
      </c>
      <c r="F3024" t="s">
        <v>871</v>
      </c>
      <c r="G3024" t="s">
        <v>5706</v>
      </c>
      <c r="H3024" t="s">
        <v>12026</v>
      </c>
      <c r="I3024" t="s">
        <v>17307</v>
      </c>
      <c r="J3024" t="s">
        <v>18893</v>
      </c>
      <c r="K3024">
        <v>10031</v>
      </c>
      <c r="L3024" t="s">
        <v>18958</v>
      </c>
      <c r="M3024" t="s">
        <v>18958</v>
      </c>
      <c r="O3024" t="s">
        <v>26529</v>
      </c>
      <c r="P3024" t="s">
        <v>26565</v>
      </c>
      <c r="Q3024" t="s">
        <v>26571</v>
      </c>
      <c r="R3024" t="s">
        <v>26578</v>
      </c>
      <c r="S3024" t="s">
        <v>18959</v>
      </c>
      <c r="U3024" t="s">
        <v>26604</v>
      </c>
      <c r="W3024" t="s">
        <v>646</v>
      </c>
      <c r="X3024">
        <v>1019.08</v>
      </c>
      <c r="Y3024" t="s">
        <v>26651</v>
      </c>
      <c r="Z3024" t="s">
        <v>26661</v>
      </c>
      <c r="AA3024" t="s">
        <v>26682</v>
      </c>
      <c r="AB3024" t="s">
        <v>29303</v>
      </c>
      <c r="AD3024" t="s">
        <v>39357</v>
      </c>
      <c r="AE3024">
        <v>33</v>
      </c>
      <c r="AF3024" t="s">
        <v>45541</v>
      </c>
      <c r="AG3024" t="s">
        <v>19330</v>
      </c>
      <c r="AH3024">
        <v>28</v>
      </c>
      <c r="AI3024">
        <v>1</v>
      </c>
      <c r="AJ3024">
        <v>0</v>
      </c>
      <c r="AK3024">
        <v>94.89</v>
      </c>
      <c r="AN3024" t="s">
        <v>45581</v>
      </c>
      <c r="AO3024">
        <v>11520</v>
      </c>
      <c r="AU3024">
        <v>3.6</v>
      </c>
      <c r="AV3024" t="s">
        <v>518</v>
      </c>
      <c r="AW3024" t="s">
        <v>46840</v>
      </c>
    </row>
    <row r="3025" spans="1:50">
      <c r="A3025" s="1">
        <f>HYPERLINK("https://lsnyc.legalserver.org/matter/dynamic-profile/view/1882491","18-1882491")</f>
        <v>0</v>
      </c>
      <c r="B3025" t="s">
        <v>151</v>
      </c>
      <c r="C3025" t="s">
        <v>341</v>
      </c>
      <c r="D3025" t="s">
        <v>646</v>
      </c>
      <c r="E3025" t="s">
        <v>766</v>
      </c>
      <c r="F3025" t="s">
        <v>1009</v>
      </c>
      <c r="G3025" t="s">
        <v>6436</v>
      </c>
      <c r="H3025" t="s">
        <v>9669</v>
      </c>
      <c r="I3025" t="s">
        <v>17912</v>
      </c>
      <c r="J3025" t="s">
        <v>18893</v>
      </c>
      <c r="K3025">
        <v>10026</v>
      </c>
      <c r="L3025" t="s">
        <v>18958</v>
      </c>
      <c r="M3025" t="s">
        <v>18960</v>
      </c>
      <c r="N3025" t="s">
        <v>21205</v>
      </c>
      <c r="O3025" t="s">
        <v>26523</v>
      </c>
      <c r="P3025" t="s">
        <v>26560</v>
      </c>
      <c r="Q3025" t="s">
        <v>26568</v>
      </c>
      <c r="R3025" t="s">
        <v>26580</v>
      </c>
      <c r="S3025" t="s">
        <v>18959</v>
      </c>
      <c r="U3025" t="s">
        <v>26604</v>
      </c>
      <c r="V3025" t="s">
        <v>26610</v>
      </c>
      <c r="W3025" t="s">
        <v>646</v>
      </c>
      <c r="X3025">
        <v>868.17</v>
      </c>
      <c r="Y3025" t="s">
        <v>26651</v>
      </c>
      <c r="Z3025" t="s">
        <v>26664</v>
      </c>
      <c r="AA3025" t="s">
        <v>26678</v>
      </c>
      <c r="AB3025" t="s">
        <v>28413</v>
      </c>
      <c r="AC3025" t="s">
        <v>35389</v>
      </c>
      <c r="AD3025" t="s">
        <v>39358</v>
      </c>
      <c r="AE3025">
        <v>0</v>
      </c>
      <c r="AF3025" t="s">
        <v>45541</v>
      </c>
      <c r="AG3025" t="s">
        <v>19330</v>
      </c>
      <c r="AH3025">
        <v>5</v>
      </c>
      <c r="AI3025">
        <v>1</v>
      </c>
      <c r="AJ3025">
        <v>1</v>
      </c>
      <c r="AK3025">
        <v>104.73</v>
      </c>
      <c r="AM3025" t="s">
        <v>45575</v>
      </c>
      <c r="AN3025" t="s">
        <v>7439</v>
      </c>
      <c r="AO3025">
        <v>17238</v>
      </c>
      <c r="AQ3025" t="s">
        <v>46362</v>
      </c>
      <c r="AR3025" t="s">
        <v>46380</v>
      </c>
      <c r="AS3025" t="s">
        <v>46499</v>
      </c>
      <c r="AT3025" t="s">
        <v>46521</v>
      </c>
      <c r="AU3025">
        <v>7.8</v>
      </c>
      <c r="AV3025" t="s">
        <v>741</v>
      </c>
      <c r="AW3025" t="s">
        <v>317</v>
      </c>
    </row>
    <row r="3026" spans="1:50">
      <c r="A3026" s="1">
        <f>HYPERLINK("https://lsnyc.legalserver.org/matter/dynamic-profile/view/1882480","18-1882480")</f>
        <v>0</v>
      </c>
      <c r="B3026" t="s">
        <v>151</v>
      </c>
      <c r="C3026" t="s">
        <v>341</v>
      </c>
      <c r="D3026" t="s">
        <v>646</v>
      </c>
      <c r="E3026" t="s">
        <v>764</v>
      </c>
      <c r="F3026" t="s">
        <v>2494</v>
      </c>
      <c r="G3026" t="s">
        <v>1677</v>
      </c>
      <c r="H3026" t="s">
        <v>12027</v>
      </c>
      <c r="I3026" t="s">
        <v>17390</v>
      </c>
      <c r="J3026" t="s">
        <v>18893</v>
      </c>
      <c r="K3026">
        <v>10027</v>
      </c>
      <c r="L3026" t="s">
        <v>18958</v>
      </c>
      <c r="M3026" t="s">
        <v>18960</v>
      </c>
      <c r="N3026" t="s">
        <v>21206</v>
      </c>
      <c r="O3026" t="s">
        <v>26523</v>
      </c>
      <c r="P3026" t="s">
        <v>26560</v>
      </c>
      <c r="Q3026" t="s">
        <v>26568</v>
      </c>
      <c r="R3026" t="s">
        <v>26580</v>
      </c>
      <c r="S3026" t="s">
        <v>18959</v>
      </c>
      <c r="U3026" t="s">
        <v>26604</v>
      </c>
      <c r="V3026" t="s">
        <v>26610</v>
      </c>
      <c r="W3026" t="s">
        <v>646</v>
      </c>
      <c r="X3026">
        <v>604.66</v>
      </c>
      <c r="Y3026" t="s">
        <v>26651</v>
      </c>
      <c r="Z3026" t="s">
        <v>26664</v>
      </c>
      <c r="AA3026" t="s">
        <v>26678</v>
      </c>
      <c r="AB3026" t="s">
        <v>29304</v>
      </c>
      <c r="AC3026" t="s">
        <v>35390</v>
      </c>
      <c r="AD3026" t="s">
        <v>39359</v>
      </c>
      <c r="AE3026">
        <v>0</v>
      </c>
      <c r="AF3026" t="s">
        <v>45541</v>
      </c>
      <c r="AG3026" t="s">
        <v>19330</v>
      </c>
      <c r="AH3026">
        <v>14</v>
      </c>
      <c r="AI3026">
        <v>1</v>
      </c>
      <c r="AJ3026">
        <v>2</v>
      </c>
      <c r="AK3026">
        <v>106.81</v>
      </c>
      <c r="AM3026" t="s">
        <v>45575</v>
      </c>
      <c r="AN3026" t="s">
        <v>7439</v>
      </c>
      <c r="AO3026">
        <v>22196</v>
      </c>
      <c r="AS3026" t="s">
        <v>46499</v>
      </c>
      <c r="AT3026" t="s">
        <v>46545</v>
      </c>
      <c r="AU3026">
        <v>10.4</v>
      </c>
      <c r="AV3026" t="s">
        <v>741</v>
      </c>
      <c r="AW3026" t="s">
        <v>317</v>
      </c>
      <c r="AX3026" t="s">
        <v>46898</v>
      </c>
    </row>
    <row r="3027" spans="1:50">
      <c r="A3027" s="1">
        <f>HYPERLINK("https://lsnyc.legalserver.org/matter/dynamic-profile/view/1882990","18-1882990")</f>
        <v>0</v>
      </c>
      <c r="B3027" t="s">
        <v>262</v>
      </c>
      <c r="C3027" t="s">
        <v>341</v>
      </c>
      <c r="D3027" t="s">
        <v>646</v>
      </c>
      <c r="E3027" t="s">
        <v>808</v>
      </c>
      <c r="F3027" t="s">
        <v>1569</v>
      </c>
      <c r="G3027" t="s">
        <v>5627</v>
      </c>
      <c r="H3027" t="s">
        <v>12028</v>
      </c>
      <c r="I3027" t="s">
        <v>17540</v>
      </c>
      <c r="J3027" t="s">
        <v>18892</v>
      </c>
      <c r="K3027">
        <v>10454</v>
      </c>
      <c r="L3027" t="s">
        <v>18958</v>
      </c>
      <c r="M3027" t="s">
        <v>18958</v>
      </c>
      <c r="N3027" t="s">
        <v>21207</v>
      </c>
      <c r="O3027" t="s">
        <v>26524</v>
      </c>
      <c r="P3027" t="s">
        <v>26560</v>
      </c>
      <c r="Q3027" t="s">
        <v>26568</v>
      </c>
      <c r="R3027" t="s">
        <v>26577</v>
      </c>
      <c r="S3027" t="s">
        <v>18959</v>
      </c>
      <c r="U3027" t="s">
        <v>26604</v>
      </c>
      <c r="V3027" t="s">
        <v>26610</v>
      </c>
      <c r="W3027" t="s">
        <v>646</v>
      </c>
      <c r="X3027">
        <v>1402</v>
      </c>
      <c r="Y3027" t="s">
        <v>26650</v>
      </c>
      <c r="Z3027" t="s">
        <v>26664</v>
      </c>
      <c r="AA3027" t="s">
        <v>26678</v>
      </c>
      <c r="AB3027" t="s">
        <v>29305</v>
      </c>
      <c r="AC3027" t="s">
        <v>35391</v>
      </c>
      <c r="AD3027" t="s">
        <v>39360</v>
      </c>
      <c r="AE3027">
        <v>83</v>
      </c>
      <c r="AF3027" t="s">
        <v>45541</v>
      </c>
      <c r="AG3027" t="s">
        <v>45556</v>
      </c>
      <c r="AH3027">
        <v>6</v>
      </c>
      <c r="AI3027">
        <v>1</v>
      </c>
      <c r="AJ3027">
        <v>0</v>
      </c>
      <c r="AK3027">
        <v>17.79</v>
      </c>
      <c r="AN3027" t="s">
        <v>7439</v>
      </c>
      <c r="AO3027">
        <v>2160</v>
      </c>
      <c r="AS3027" t="s">
        <v>46499</v>
      </c>
      <c r="AT3027" t="s">
        <v>46764</v>
      </c>
      <c r="AU3027">
        <v>73.90000000000001</v>
      </c>
      <c r="AV3027" t="s">
        <v>808</v>
      </c>
      <c r="AW3027" t="s">
        <v>336</v>
      </c>
    </row>
    <row r="3028" spans="1:50">
      <c r="A3028" s="1">
        <f>HYPERLINK("https://lsnyc.legalserver.org/matter/dynamic-profile/view/1882552","18-1882552")</f>
        <v>0</v>
      </c>
      <c r="B3028" t="s">
        <v>262</v>
      </c>
      <c r="C3028" t="s">
        <v>341</v>
      </c>
      <c r="D3028" t="s">
        <v>646</v>
      </c>
      <c r="E3028" t="s">
        <v>820</v>
      </c>
      <c r="F3028" t="s">
        <v>1592</v>
      </c>
      <c r="G3028" t="s">
        <v>6712</v>
      </c>
      <c r="H3028" t="s">
        <v>12029</v>
      </c>
      <c r="I3028">
        <v>1</v>
      </c>
      <c r="J3028" t="s">
        <v>18892</v>
      </c>
      <c r="K3028">
        <v>10462</v>
      </c>
      <c r="L3028" t="s">
        <v>18958</v>
      </c>
      <c r="M3028" t="s">
        <v>18958</v>
      </c>
      <c r="N3028" t="s">
        <v>21208</v>
      </c>
      <c r="O3028" t="s">
        <v>26524</v>
      </c>
      <c r="P3028" t="s">
        <v>26560</v>
      </c>
      <c r="Q3028" t="s">
        <v>26573</v>
      </c>
      <c r="R3028" t="s">
        <v>26579</v>
      </c>
      <c r="S3028" t="s">
        <v>18959</v>
      </c>
      <c r="U3028" t="s">
        <v>26604</v>
      </c>
      <c r="V3028" t="s">
        <v>26612</v>
      </c>
      <c r="W3028" t="s">
        <v>646</v>
      </c>
      <c r="X3028">
        <v>1200</v>
      </c>
      <c r="Y3028" t="s">
        <v>26650</v>
      </c>
      <c r="Z3028" t="s">
        <v>26530</v>
      </c>
      <c r="AA3028" t="s">
        <v>26679</v>
      </c>
      <c r="AB3028" t="s">
        <v>29306</v>
      </c>
      <c r="AD3028" t="s">
        <v>39361</v>
      </c>
      <c r="AE3028">
        <v>3</v>
      </c>
      <c r="AF3028" t="s">
        <v>45547</v>
      </c>
      <c r="AG3028" t="s">
        <v>19330</v>
      </c>
      <c r="AH3028">
        <v>2</v>
      </c>
      <c r="AI3028">
        <v>2</v>
      </c>
      <c r="AJ3028">
        <v>2</v>
      </c>
      <c r="AK3028">
        <v>179.28</v>
      </c>
      <c r="AN3028" t="s">
        <v>7439</v>
      </c>
      <c r="AO3028">
        <v>45000</v>
      </c>
      <c r="AR3028" t="s">
        <v>26530</v>
      </c>
      <c r="AS3028" t="s">
        <v>46500</v>
      </c>
      <c r="AT3028" t="s">
        <v>46679</v>
      </c>
      <c r="AU3028">
        <v>89.59999999999999</v>
      </c>
      <c r="AV3028" t="s">
        <v>741</v>
      </c>
      <c r="AW3028" t="s">
        <v>46849</v>
      </c>
      <c r="AX3028" t="s">
        <v>46897</v>
      </c>
    </row>
    <row r="3029" spans="1:50">
      <c r="A3029" s="1">
        <f>HYPERLINK("https://lsnyc.legalserver.org/matter/dynamic-profile/view/1882489","18-1882489")</f>
        <v>0</v>
      </c>
      <c r="B3029" t="s">
        <v>109</v>
      </c>
      <c r="C3029" t="s">
        <v>341</v>
      </c>
      <c r="D3029" t="s">
        <v>646</v>
      </c>
      <c r="E3029" t="s">
        <v>761</v>
      </c>
      <c r="F3029" t="s">
        <v>2495</v>
      </c>
      <c r="G3029" t="s">
        <v>6713</v>
      </c>
      <c r="H3029" t="s">
        <v>10733</v>
      </c>
      <c r="I3029" t="s">
        <v>17516</v>
      </c>
      <c r="J3029" t="s">
        <v>18902</v>
      </c>
      <c r="K3029">
        <v>10303</v>
      </c>
      <c r="L3029" t="s">
        <v>18958</v>
      </c>
      <c r="M3029" t="s">
        <v>18958</v>
      </c>
      <c r="N3029" t="s">
        <v>21209</v>
      </c>
      <c r="O3029" t="s">
        <v>26523</v>
      </c>
      <c r="P3029" t="s">
        <v>26560</v>
      </c>
      <c r="Q3029" t="s">
        <v>26568</v>
      </c>
      <c r="R3029" t="s">
        <v>26590</v>
      </c>
      <c r="S3029" t="s">
        <v>18959</v>
      </c>
      <c r="U3029" t="s">
        <v>26606</v>
      </c>
      <c r="V3029" t="s">
        <v>26610</v>
      </c>
      <c r="W3029" t="s">
        <v>646</v>
      </c>
      <c r="X3029">
        <v>961</v>
      </c>
      <c r="Y3029" t="s">
        <v>26654</v>
      </c>
      <c r="Z3029" t="s">
        <v>26668</v>
      </c>
      <c r="AA3029" t="s">
        <v>26677</v>
      </c>
      <c r="AB3029" t="s">
        <v>29307</v>
      </c>
      <c r="AD3029" t="s">
        <v>39362</v>
      </c>
      <c r="AE3029">
        <v>0</v>
      </c>
      <c r="AF3029" t="s">
        <v>45543</v>
      </c>
      <c r="AG3029" t="s">
        <v>45556</v>
      </c>
      <c r="AH3029">
        <v>4</v>
      </c>
      <c r="AI3029">
        <v>1</v>
      </c>
      <c r="AJ3029">
        <v>1</v>
      </c>
      <c r="AK3029">
        <v>43.74</v>
      </c>
      <c r="AN3029" t="s">
        <v>7439</v>
      </c>
      <c r="AO3029">
        <v>7200</v>
      </c>
      <c r="AQ3029" t="s">
        <v>46362</v>
      </c>
      <c r="AS3029" t="s">
        <v>46499</v>
      </c>
      <c r="AT3029" t="s">
        <v>46616</v>
      </c>
      <c r="AU3029">
        <v>11</v>
      </c>
      <c r="AV3029" t="s">
        <v>761</v>
      </c>
      <c r="AW3029" t="s">
        <v>185</v>
      </c>
    </row>
    <row r="3030" spans="1:50">
      <c r="A3030" s="1">
        <f>HYPERLINK("https://lsnyc.legalserver.org/matter/dynamic-profile/view/1882478","18-1882478")</f>
        <v>0</v>
      </c>
      <c r="B3030" t="s">
        <v>153</v>
      </c>
      <c r="C3030" t="s">
        <v>341</v>
      </c>
      <c r="D3030" t="s">
        <v>646</v>
      </c>
      <c r="E3030" t="s">
        <v>660</v>
      </c>
      <c r="F3030" t="s">
        <v>2496</v>
      </c>
      <c r="G3030" t="s">
        <v>6714</v>
      </c>
      <c r="H3030" t="s">
        <v>12030</v>
      </c>
      <c r="I3030" t="s">
        <v>17913</v>
      </c>
      <c r="J3030" t="s">
        <v>18902</v>
      </c>
      <c r="K3030">
        <v>10302</v>
      </c>
      <c r="L3030" t="s">
        <v>18958</v>
      </c>
      <c r="M3030" t="s">
        <v>18958</v>
      </c>
      <c r="P3030" t="s">
        <v>26567</v>
      </c>
      <c r="Q3030" t="s">
        <v>26568</v>
      </c>
      <c r="R3030" t="s">
        <v>26589</v>
      </c>
      <c r="S3030" t="s">
        <v>18959</v>
      </c>
      <c r="U3030" t="s">
        <v>26604</v>
      </c>
      <c r="W3030" t="s">
        <v>646</v>
      </c>
      <c r="X3030">
        <v>0</v>
      </c>
      <c r="Y3030" t="s">
        <v>26654</v>
      </c>
      <c r="Z3030" t="s">
        <v>26671</v>
      </c>
      <c r="AA3030" t="s">
        <v>26678</v>
      </c>
      <c r="AB3030" t="s">
        <v>29308</v>
      </c>
      <c r="AD3030" t="s">
        <v>39363</v>
      </c>
      <c r="AE3030">
        <v>0</v>
      </c>
      <c r="AH3030">
        <v>0</v>
      </c>
      <c r="AI3030">
        <v>1</v>
      </c>
      <c r="AJ3030">
        <v>0</v>
      </c>
      <c r="AK3030">
        <v>128.5</v>
      </c>
      <c r="AL3030" t="s">
        <v>45567</v>
      </c>
      <c r="AM3030" t="s">
        <v>45577</v>
      </c>
      <c r="AO3030">
        <v>15600</v>
      </c>
      <c r="AU3030">
        <v>13.7</v>
      </c>
      <c r="AV3030" t="s">
        <v>732</v>
      </c>
      <c r="AW3030" t="s">
        <v>210</v>
      </c>
    </row>
    <row r="3031" spans="1:50">
      <c r="A3031" s="1">
        <f>HYPERLINK("https://lsnyc.legalserver.org/matter/dynamic-profile/view/1882553","18-1882553")</f>
        <v>0</v>
      </c>
      <c r="B3031" t="s">
        <v>268</v>
      </c>
      <c r="C3031" t="s">
        <v>341</v>
      </c>
      <c r="D3031" t="s">
        <v>646</v>
      </c>
      <c r="E3031" t="s">
        <v>801</v>
      </c>
      <c r="F3031" t="s">
        <v>2497</v>
      </c>
      <c r="G3031" t="s">
        <v>5199</v>
      </c>
      <c r="H3031" t="s">
        <v>10174</v>
      </c>
      <c r="I3031">
        <v>314</v>
      </c>
      <c r="J3031" t="s">
        <v>18893</v>
      </c>
      <c r="K3031">
        <v>10029</v>
      </c>
      <c r="L3031" t="s">
        <v>18958</v>
      </c>
      <c r="M3031" t="s">
        <v>18958</v>
      </c>
      <c r="O3031" t="s">
        <v>18997</v>
      </c>
      <c r="P3031" t="s">
        <v>26565</v>
      </c>
      <c r="Q3031" t="s">
        <v>26571</v>
      </c>
      <c r="R3031" t="s">
        <v>26578</v>
      </c>
      <c r="S3031" t="s">
        <v>18959</v>
      </c>
      <c r="U3031" t="s">
        <v>26604</v>
      </c>
      <c r="V3031" t="s">
        <v>26610</v>
      </c>
      <c r="W3031" t="s">
        <v>646</v>
      </c>
      <c r="X3031">
        <v>356</v>
      </c>
      <c r="Y3031" t="s">
        <v>26651</v>
      </c>
      <c r="Z3031" t="s">
        <v>26659</v>
      </c>
      <c r="AA3031" t="s">
        <v>26682</v>
      </c>
      <c r="AB3031" t="s">
        <v>29309</v>
      </c>
      <c r="AD3031" t="s">
        <v>39364</v>
      </c>
      <c r="AE3031">
        <v>108</v>
      </c>
      <c r="AF3031" t="s">
        <v>45541</v>
      </c>
      <c r="AG3031" t="s">
        <v>19330</v>
      </c>
      <c r="AH3031">
        <v>3</v>
      </c>
      <c r="AI3031">
        <v>2</v>
      </c>
      <c r="AJ3031">
        <v>0</v>
      </c>
      <c r="AK3031">
        <v>114.17</v>
      </c>
      <c r="AN3031" t="s">
        <v>45581</v>
      </c>
      <c r="AO3031">
        <v>18792</v>
      </c>
      <c r="AU3031">
        <v>5.4</v>
      </c>
      <c r="AV3031" t="s">
        <v>719</v>
      </c>
      <c r="AW3031" t="s">
        <v>46835</v>
      </c>
    </row>
    <row r="3032" spans="1:50">
      <c r="A3032" s="1">
        <f>HYPERLINK("https://lsnyc.legalserver.org/matter/dynamic-profile/view/1882457","18-1882457")</f>
        <v>0</v>
      </c>
      <c r="B3032" t="s">
        <v>104</v>
      </c>
      <c r="C3032" t="s">
        <v>341</v>
      </c>
      <c r="D3032" t="s">
        <v>646</v>
      </c>
      <c r="E3032" t="s">
        <v>660</v>
      </c>
      <c r="F3032" t="s">
        <v>2498</v>
      </c>
      <c r="G3032" t="s">
        <v>5079</v>
      </c>
      <c r="H3032" t="s">
        <v>11697</v>
      </c>
      <c r="I3032" t="s">
        <v>17361</v>
      </c>
      <c r="J3032" t="s">
        <v>18902</v>
      </c>
      <c r="K3032">
        <v>10303</v>
      </c>
      <c r="L3032" t="s">
        <v>18958</v>
      </c>
      <c r="M3032" t="s">
        <v>18958</v>
      </c>
      <c r="N3032" t="s">
        <v>21210</v>
      </c>
      <c r="O3032" t="s">
        <v>26523</v>
      </c>
      <c r="P3032" t="s">
        <v>26560</v>
      </c>
      <c r="Q3032" t="s">
        <v>26568</v>
      </c>
      <c r="R3032" t="s">
        <v>26590</v>
      </c>
      <c r="S3032" t="s">
        <v>18959</v>
      </c>
      <c r="U3032" t="s">
        <v>26606</v>
      </c>
      <c r="V3032" t="s">
        <v>26611</v>
      </c>
      <c r="W3032" t="s">
        <v>646</v>
      </c>
      <c r="X3032">
        <v>450</v>
      </c>
      <c r="Y3032" t="s">
        <v>26654</v>
      </c>
      <c r="Z3032" t="s">
        <v>26668</v>
      </c>
      <c r="AA3032" t="s">
        <v>26677</v>
      </c>
      <c r="AB3032" t="s">
        <v>27061</v>
      </c>
      <c r="AC3032" t="s">
        <v>35392</v>
      </c>
      <c r="AD3032" t="s">
        <v>39365</v>
      </c>
      <c r="AE3032">
        <v>0</v>
      </c>
      <c r="AF3032" t="s">
        <v>45543</v>
      </c>
      <c r="AG3032" t="s">
        <v>45556</v>
      </c>
      <c r="AH3032">
        <v>10</v>
      </c>
      <c r="AI3032">
        <v>1</v>
      </c>
      <c r="AJ3032">
        <v>3</v>
      </c>
      <c r="AK3032">
        <v>62.15</v>
      </c>
      <c r="AN3032" t="s">
        <v>7439</v>
      </c>
      <c r="AO3032">
        <v>15600</v>
      </c>
      <c r="AQ3032" t="s">
        <v>46365</v>
      </c>
      <c r="AR3032" t="s">
        <v>46379</v>
      </c>
      <c r="AS3032" t="s">
        <v>46499</v>
      </c>
      <c r="AT3032" t="s">
        <v>46524</v>
      </c>
      <c r="AU3032">
        <v>19.05</v>
      </c>
      <c r="AV3032" t="s">
        <v>659</v>
      </c>
      <c r="AW3032" t="s">
        <v>185</v>
      </c>
    </row>
    <row r="3033" spans="1:50">
      <c r="A3033" s="1">
        <f>HYPERLINK("https://lsnyc.legalserver.org/matter/dynamic-profile/view/1883132","18-1883132")</f>
        <v>0</v>
      </c>
      <c r="B3033" t="s">
        <v>173</v>
      </c>
      <c r="C3033" t="s">
        <v>341</v>
      </c>
      <c r="D3033" t="s">
        <v>646</v>
      </c>
      <c r="E3033" t="s">
        <v>836</v>
      </c>
      <c r="F3033" t="s">
        <v>1299</v>
      </c>
      <c r="G3033" t="s">
        <v>6715</v>
      </c>
      <c r="H3033" t="s">
        <v>12031</v>
      </c>
      <c r="I3033">
        <v>21</v>
      </c>
      <c r="J3033" t="s">
        <v>18893</v>
      </c>
      <c r="K3033">
        <v>10031</v>
      </c>
      <c r="L3033" t="s">
        <v>18958</v>
      </c>
      <c r="M3033" t="s">
        <v>18958</v>
      </c>
      <c r="N3033" t="s">
        <v>21211</v>
      </c>
      <c r="O3033" t="s">
        <v>26523</v>
      </c>
      <c r="P3033" t="s">
        <v>26564</v>
      </c>
      <c r="Q3033" t="s">
        <v>26570</v>
      </c>
      <c r="R3033" t="s">
        <v>26580</v>
      </c>
      <c r="S3033" t="s">
        <v>18959</v>
      </c>
      <c r="U3033" t="s">
        <v>26604</v>
      </c>
      <c r="V3033" t="s">
        <v>26612</v>
      </c>
      <c r="W3033" t="s">
        <v>646</v>
      </c>
      <c r="X3033">
        <v>910</v>
      </c>
      <c r="Y3033" t="s">
        <v>26651</v>
      </c>
      <c r="Z3033" t="s">
        <v>26664</v>
      </c>
      <c r="AA3033" t="s">
        <v>26683</v>
      </c>
      <c r="AB3033" t="s">
        <v>29310</v>
      </c>
      <c r="AD3033" t="s">
        <v>39366</v>
      </c>
      <c r="AE3033">
        <v>0</v>
      </c>
      <c r="AF3033" t="s">
        <v>45544</v>
      </c>
      <c r="AG3033" t="s">
        <v>19330</v>
      </c>
      <c r="AH3033">
        <v>26</v>
      </c>
      <c r="AI3033">
        <v>2</v>
      </c>
      <c r="AJ3033">
        <v>0</v>
      </c>
      <c r="AK3033">
        <v>91.06</v>
      </c>
      <c r="AN3033" t="s">
        <v>7439</v>
      </c>
      <c r="AO3033">
        <v>14988</v>
      </c>
      <c r="AU3033">
        <v>0.5</v>
      </c>
      <c r="AV3033" t="s">
        <v>838</v>
      </c>
      <c r="AW3033" t="s">
        <v>314</v>
      </c>
      <c r="AX3033" t="s">
        <v>46897</v>
      </c>
    </row>
    <row r="3034" spans="1:50">
      <c r="A3034" s="1">
        <f>HYPERLINK("https://lsnyc.legalserver.org/matter/dynamic-profile/view/1882501","18-1882501")</f>
        <v>0</v>
      </c>
      <c r="B3034" t="s">
        <v>70</v>
      </c>
      <c r="C3034" t="s">
        <v>340</v>
      </c>
      <c r="D3034" t="s">
        <v>646</v>
      </c>
      <c r="F3034" t="s">
        <v>2310</v>
      </c>
      <c r="G3034" t="s">
        <v>6513</v>
      </c>
      <c r="H3034" t="s">
        <v>11716</v>
      </c>
      <c r="I3034" t="s">
        <v>17854</v>
      </c>
      <c r="J3034" t="s">
        <v>18892</v>
      </c>
      <c r="K3034">
        <v>10468</v>
      </c>
      <c r="L3034" t="s">
        <v>18958</v>
      </c>
      <c r="M3034" t="s">
        <v>18958</v>
      </c>
      <c r="N3034" t="s">
        <v>19045</v>
      </c>
      <c r="O3034" t="s">
        <v>26542</v>
      </c>
      <c r="P3034" t="s">
        <v>26562</v>
      </c>
      <c r="R3034" t="s">
        <v>26578</v>
      </c>
      <c r="S3034" t="s">
        <v>18959</v>
      </c>
      <c r="U3034" t="s">
        <v>26606</v>
      </c>
      <c r="V3034" t="s">
        <v>26612</v>
      </c>
      <c r="W3034" t="s">
        <v>646</v>
      </c>
      <c r="X3034">
        <v>1550.24</v>
      </c>
      <c r="Y3034" t="s">
        <v>26650</v>
      </c>
      <c r="Z3034" t="s">
        <v>26663</v>
      </c>
      <c r="AB3034" t="s">
        <v>28953</v>
      </c>
      <c r="AC3034" t="s">
        <v>35274</v>
      </c>
      <c r="AD3034" t="s">
        <v>39010</v>
      </c>
      <c r="AE3034">
        <v>871</v>
      </c>
      <c r="AF3034" t="s">
        <v>45551</v>
      </c>
      <c r="AG3034" t="s">
        <v>45557</v>
      </c>
      <c r="AH3034">
        <v>3</v>
      </c>
      <c r="AI3034">
        <v>2</v>
      </c>
      <c r="AJ3034">
        <v>3</v>
      </c>
      <c r="AK3034">
        <v>20.39</v>
      </c>
      <c r="AN3034" t="s">
        <v>7439</v>
      </c>
      <c r="AO3034">
        <v>6000</v>
      </c>
      <c r="AP3034" t="s">
        <v>45653</v>
      </c>
      <c r="AQ3034" t="s">
        <v>46365</v>
      </c>
      <c r="AU3034">
        <v>5.3</v>
      </c>
      <c r="AV3034" t="s">
        <v>763</v>
      </c>
      <c r="AW3034" t="s">
        <v>254</v>
      </c>
    </row>
    <row r="3035" spans="1:50">
      <c r="A3035" s="1">
        <f>HYPERLINK("https://lsnyc.legalserver.org/matter/dynamic-profile/view/1883029","18-1883029")</f>
        <v>0</v>
      </c>
      <c r="B3035" t="s">
        <v>149</v>
      </c>
      <c r="C3035" t="s">
        <v>340</v>
      </c>
      <c r="D3035" t="s">
        <v>646</v>
      </c>
      <c r="F3035" t="s">
        <v>2499</v>
      </c>
      <c r="G3035" t="s">
        <v>3500</v>
      </c>
      <c r="H3035" t="s">
        <v>12032</v>
      </c>
      <c r="I3035" t="s">
        <v>17276</v>
      </c>
      <c r="J3035" t="s">
        <v>18892</v>
      </c>
      <c r="K3035">
        <v>10457</v>
      </c>
      <c r="L3035" t="s">
        <v>18958</v>
      </c>
      <c r="M3035" t="s">
        <v>18958</v>
      </c>
      <c r="N3035" t="s">
        <v>21212</v>
      </c>
      <c r="O3035" t="s">
        <v>26524</v>
      </c>
      <c r="P3035" t="s">
        <v>26560</v>
      </c>
      <c r="R3035" t="s">
        <v>26579</v>
      </c>
      <c r="S3035" t="s">
        <v>18959</v>
      </c>
      <c r="U3035" t="s">
        <v>26604</v>
      </c>
      <c r="V3035" t="s">
        <v>26610</v>
      </c>
      <c r="W3035" t="s">
        <v>646</v>
      </c>
      <c r="X3035">
        <v>1213</v>
      </c>
      <c r="Y3035" t="s">
        <v>26650</v>
      </c>
      <c r="Z3035" t="s">
        <v>26664</v>
      </c>
      <c r="AB3035" t="s">
        <v>29311</v>
      </c>
      <c r="AD3035" t="s">
        <v>39367</v>
      </c>
      <c r="AE3035">
        <v>54</v>
      </c>
      <c r="AF3035" t="s">
        <v>45541</v>
      </c>
      <c r="AG3035" t="s">
        <v>19330</v>
      </c>
      <c r="AH3035">
        <v>1</v>
      </c>
      <c r="AI3035">
        <v>1</v>
      </c>
      <c r="AJ3035">
        <v>0</v>
      </c>
      <c r="AK3035">
        <v>0</v>
      </c>
      <c r="AN3035" t="s">
        <v>7439</v>
      </c>
      <c r="AO3035">
        <v>0</v>
      </c>
      <c r="AU3035">
        <v>4.1</v>
      </c>
      <c r="AV3035" t="s">
        <v>770</v>
      </c>
      <c r="AW3035" t="s">
        <v>336</v>
      </c>
    </row>
    <row r="3036" spans="1:50">
      <c r="A3036" s="1">
        <f>HYPERLINK("https://lsnyc.legalserver.org/matter/dynamic-profile/view/1882560","18-1882560")</f>
        <v>0</v>
      </c>
      <c r="B3036" t="s">
        <v>97</v>
      </c>
      <c r="C3036" t="s">
        <v>340</v>
      </c>
      <c r="D3036" t="s">
        <v>646</v>
      </c>
      <c r="F3036" t="s">
        <v>2500</v>
      </c>
      <c r="G3036" t="s">
        <v>6362</v>
      </c>
      <c r="H3036" t="s">
        <v>12033</v>
      </c>
      <c r="I3036" t="s">
        <v>17415</v>
      </c>
      <c r="J3036" t="s">
        <v>18892</v>
      </c>
      <c r="K3036">
        <v>10462</v>
      </c>
      <c r="L3036" t="s">
        <v>18958</v>
      </c>
      <c r="M3036" t="s">
        <v>18958</v>
      </c>
      <c r="O3036" t="s">
        <v>26542</v>
      </c>
      <c r="P3036" t="s">
        <v>26562</v>
      </c>
      <c r="R3036" t="s">
        <v>26578</v>
      </c>
      <c r="S3036" t="s">
        <v>18959</v>
      </c>
      <c r="U3036" t="s">
        <v>26606</v>
      </c>
      <c r="W3036" t="s">
        <v>646</v>
      </c>
      <c r="X3036">
        <v>2181</v>
      </c>
      <c r="Y3036" t="s">
        <v>26650</v>
      </c>
      <c r="Z3036" t="s">
        <v>26530</v>
      </c>
      <c r="AB3036" t="s">
        <v>29312</v>
      </c>
      <c r="AD3036" t="s">
        <v>39368</v>
      </c>
      <c r="AE3036">
        <v>2</v>
      </c>
      <c r="AF3036" t="s">
        <v>45547</v>
      </c>
      <c r="AG3036" t="s">
        <v>45556</v>
      </c>
      <c r="AH3036">
        <v>2</v>
      </c>
      <c r="AI3036">
        <v>2</v>
      </c>
      <c r="AJ3036">
        <v>4</v>
      </c>
      <c r="AK3036">
        <v>88.92</v>
      </c>
      <c r="AN3036" t="s">
        <v>7439</v>
      </c>
      <c r="AO3036">
        <v>60000</v>
      </c>
      <c r="AU3036">
        <v>4.25</v>
      </c>
      <c r="AV3036" t="s">
        <v>757</v>
      </c>
      <c r="AW3036" t="s">
        <v>254</v>
      </c>
    </row>
    <row r="3037" spans="1:50">
      <c r="A3037" s="1">
        <f>HYPERLINK("https://lsnyc.legalserver.org/matter/dynamic-profile/view/1882503","18-1882503")</f>
        <v>0</v>
      </c>
      <c r="B3037" t="s">
        <v>94</v>
      </c>
      <c r="C3037" t="s">
        <v>340</v>
      </c>
      <c r="D3037" t="s">
        <v>646</v>
      </c>
      <c r="F3037" t="s">
        <v>1429</v>
      </c>
      <c r="G3037" t="s">
        <v>6716</v>
      </c>
      <c r="H3037" t="s">
        <v>12034</v>
      </c>
      <c r="I3037" t="s">
        <v>17348</v>
      </c>
      <c r="J3037" t="s">
        <v>18893</v>
      </c>
      <c r="K3037">
        <v>10031</v>
      </c>
      <c r="L3037" t="s">
        <v>18958</v>
      </c>
      <c r="M3037" t="s">
        <v>18958</v>
      </c>
      <c r="N3037" t="s">
        <v>21213</v>
      </c>
      <c r="O3037" t="s">
        <v>26523</v>
      </c>
      <c r="P3037" t="s">
        <v>26560</v>
      </c>
      <c r="R3037" t="s">
        <v>26580</v>
      </c>
      <c r="S3037" t="s">
        <v>18959</v>
      </c>
      <c r="U3037" t="s">
        <v>26604</v>
      </c>
      <c r="W3037" t="s">
        <v>646</v>
      </c>
      <c r="X3037">
        <v>1031</v>
      </c>
      <c r="Y3037" t="s">
        <v>26651</v>
      </c>
      <c r="Z3037" t="s">
        <v>26664</v>
      </c>
      <c r="AB3037" t="s">
        <v>29313</v>
      </c>
      <c r="AD3037" t="s">
        <v>39369</v>
      </c>
      <c r="AE3037">
        <v>0</v>
      </c>
      <c r="AF3037" t="s">
        <v>45541</v>
      </c>
      <c r="AG3037" t="s">
        <v>45559</v>
      </c>
      <c r="AH3037">
        <v>27</v>
      </c>
      <c r="AI3037">
        <v>1</v>
      </c>
      <c r="AJ3037">
        <v>0</v>
      </c>
      <c r="AK3037">
        <v>100.92</v>
      </c>
      <c r="AM3037" t="s">
        <v>45575</v>
      </c>
      <c r="AN3037" t="s">
        <v>7439</v>
      </c>
      <c r="AO3037">
        <v>12252</v>
      </c>
      <c r="AU3037">
        <v>36</v>
      </c>
      <c r="AV3037" t="s">
        <v>834</v>
      </c>
      <c r="AW3037" t="s">
        <v>317</v>
      </c>
    </row>
    <row r="3038" spans="1:50">
      <c r="A3038" s="1">
        <f>HYPERLINK("https://lsnyc.legalserver.org/matter/dynamic-profile/view/1882523","18-1882523")</f>
        <v>0</v>
      </c>
      <c r="B3038" t="s">
        <v>243</v>
      </c>
      <c r="C3038" t="s">
        <v>340</v>
      </c>
      <c r="D3038" t="s">
        <v>646</v>
      </c>
      <c r="F3038" t="s">
        <v>2068</v>
      </c>
      <c r="G3038" t="s">
        <v>6717</v>
      </c>
      <c r="H3038" t="s">
        <v>11532</v>
      </c>
      <c r="I3038" t="s">
        <v>17316</v>
      </c>
      <c r="J3038" t="s">
        <v>18894</v>
      </c>
      <c r="K3038">
        <v>11225</v>
      </c>
      <c r="L3038" t="s">
        <v>18958</v>
      </c>
      <c r="M3038" t="s">
        <v>18960</v>
      </c>
      <c r="P3038" t="s">
        <v>26560</v>
      </c>
      <c r="R3038" t="s">
        <v>26578</v>
      </c>
      <c r="U3038" t="s">
        <v>26604</v>
      </c>
      <c r="W3038" t="s">
        <v>646</v>
      </c>
      <c r="X3038">
        <v>0</v>
      </c>
      <c r="Y3038" t="s">
        <v>26652</v>
      </c>
      <c r="AB3038" t="s">
        <v>29314</v>
      </c>
      <c r="AD3038" t="s">
        <v>34738</v>
      </c>
      <c r="AE3038">
        <v>0</v>
      </c>
      <c r="AF3038" t="s">
        <v>45541</v>
      </c>
      <c r="AH3038">
        <v>0</v>
      </c>
      <c r="AI3038">
        <v>2</v>
      </c>
      <c r="AJ3038">
        <v>0</v>
      </c>
      <c r="AK3038">
        <v>493.32</v>
      </c>
      <c r="AN3038" t="s">
        <v>7439</v>
      </c>
      <c r="AO3038">
        <v>81200</v>
      </c>
      <c r="AU3038">
        <v>2.9</v>
      </c>
      <c r="AV3038" t="s">
        <v>762</v>
      </c>
      <c r="AW3038" t="s">
        <v>46856</v>
      </c>
      <c r="AX3038" t="s">
        <v>46897</v>
      </c>
    </row>
    <row r="3039" spans="1:50">
      <c r="A3039" s="1">
        <f>HYPERLINK("https://lsnyc.legalserver.org/matter/dynamic-profile/view/1882498","18-1882498")</f>
        <v>0</v>
      </c>
      <c r="B3039" t="s">
        <v>109</v>
      </c>
      <c r="C3039" t="s">
        <v>340</v>
      </c>
      <c r="D3039" t="s">
        <v>646</v>
      </c>
      <c r="F3039" t="s">
        <v>2239</v>
      </c>
      <c r="G3039" t="s">
        <v>6718</v>
      </c>
      <c r="H3039" t="s">
        <v>11697</v>
      </c>
      <c r="I3039" t="s">
        <v>17914</v>
      </c>
      <c r="J3039" t="s">
        <v>18902</v>
      </c>
      <c r="K3039">
        <v>10303</v>
      </c>
      <c r="L3039" t="s">
        <v>18958</v>
      </c>
      <c r="M3039" t="s">
        <v>18958</v>
      </c>
      <c r="N3039" t="s">
        <v>21214</v>
      </c>
      <c r="O3039" t="s">
        <v>26523</v>
      </c>
      <c r="P3039" t="s">
        <v>26560</v>
      </c>
      <c r="R3039" t="s">
        <v>26590</v>
      </c>
      <c r="S3039" t="s">
        <v>18959</v>
      </c>
      <c r="U3039" t="s">
        <v>26606</v>
      </c>
      <c r="V3039" t="s">
        <v>26610</v>
      </c>
      <c r="W3039" t="s">
        <v>646</v>
      </c>
      <c r="X3039">
        <v>643</v>
      </c>
      <c r="Y3039" t="s">
        <v>26654</v>
      </c>
      <c r="Z3039" t="s">
        <v>26668</v>
      </c>
      <c r="AB3039" t="s">
        <v>29315</v>
      </c>
      <c r="AD3039" t="s">
        <v>39370</v>
      </c>
      <c r="AE3039">
        <v>0</v>
      </c>
      <c r="AF3039" t="s">
        <v>45543</v>
      </c>
      <c r="AG3039" t="s">
        <v>45556</v>
      </c>
      <c r="AH3039">
        <v>9</v>
      </c>
      <c r="AI3039">
        <v>1</v>
      </c>
      <c r="AJ3039">
        <v>4</v>
      </c>
      <c r="AK3039">
        <v>77.05</v>
      </c>
      <c r="AN3039" t="s">
        <v>7439</v>
      </c>
      <c r="AO3039">
        <v>22668</v>
      </c>
      <c r="AU3039">
        <v>10.25</v>
      </c>
      <c r="AV3039" t="s">
        <v>695</v>
      </c>
      <c r="AW3039" t="s">
        <v>185</v>
      </c>
    </row>
    <row r="3040" spans="1:50">
      <c r="A3040" s="1">
        <f>HYPERLINK("https://lsnyc.legalserver.org/matter/dynamic-profile/view/1882502","18-1882502")</f>
        <v>0</v>
      </c>
      <c r="B3040" t="s">
        <v>191</v>
      </c>
      <c r="C3040" t="s">
        <v>340</v>
      </c>
      <c r="D3040" t="s">
        <v>646</v>
      </c>
      <c r="F3040" t="s">
        <v>952</v>
      </c>
      <c r="G3040" t="s">
        <v>5704</v>
      </c>
      <c r="H3040" t="s">
        <v>9886</v>
      </c>
      <c r="I3040">
        <v>5</v>
      </c>
      <c r="J3040" t="s">
        <v>18893</v>
      </c>
      <c r="K3040">
        <v>10026</v>
      </c>
      <c r="L3040" t="s">
        <v>18958</v>
      </c>
      <c r="M3040" t="s">
        <v>18958</v>
      </c>
      <c r="N3040" t="s">
        <v>21215</v>
      </c>
      <c r="O3040" t="s">
        <v>26523</v>
      </c>
      <c r="P3040" t="s">
        <v>26560</v>
      </c>
      <c r="R3040" t="s">
        <v>26580</v>
      </c>
      <c r="S3040" t="s">
        <v>18959</v>
      </c>
      <c r="U3040" t="s">
        <v>26604</v>
      </c>
      <c r="W3040" t="s">
        <v>646</v>
      </c>
      <c r="X3040">
        <v>782</v>
      </c>
      <c r="Y3040" t="s">
        <v>26651</v>
      </c>
      <c r="Z3040" t="s">
        <v>26664</v>
      </c>
      <c r="AB3040" t="s">
        <v>29316</v>
      </c>
      <c r="AD3040" t="s">
        <v>39371</v>
      </c>
      <c r="AE3040">
        <v>0</v>
      </c>
      <c r="AF3040" t="s">
        <v>45544</v>
      </c>
      <c r="AG3040" t="s">
        <v>19330</v>
      </c>
      <c r="AH3040">
        <v>20</v>
      </c>
      <c r="AI3040">
        <v>3</v>
      </c>
      <c r="AJ3040">
        <v>0</v>
      </c>
      <c r="AK3040">
        <v>72.38</v>
      </c>
      <c r="AN3040" t="s">
        <v>7439</v>
      </c>
      <c r="AO3040">
        <v>15040</v>
      </c>
      <c r="AU3040">
        <v>11.2</v>
      </c>
      <c r="AV3040" t="s">
        <v>822</v>
      </c>
      <c r="AW3040" t="s">
        <v>314</v>
      </c>
    </row>
    <row r="3041" spans="1:49">
      <c r="A3041" s="1">
        <f>HYPERLINK("https://lsnyc.legalserver.org/matter/dynamic-profile/view/1881986","18-1881986")</f>
        <v>0</v>
      </c>
      <c r="B3041" t="s">
        <v>153</v>
      </c>
      <c r="C3041" t="s">
        <v>340</v>
      </c>
      <c r="D3041" t="s">
        <v>646</v>
      </c>
      <c r="F3041" t="s">
        <v>2294</v>
      </c>
      <c r="G3041" t="s">
        <v>992</v>
      </c>
      <c r="H3041" t="s">
        <v>12035</v>
      </c>
      <c r="I3041" t="s">
        <v>17641</v>
      </c>
      <c r="J3041" t="s">
        <v>18902</v>
      </c>
      <c r="K3041">
        <v>10304</v>
      </c>
      <c r="L3041" t="s">
        <v>18958</v>
      </c>
      <c r="M3041" t="s">
        <v>18958</v>
      </c>
      <c r="N3041" t="s">
        <v>21216</v>
      </c>
      <c r="O3041" t="s">
        <v>26523</v>
      </c>
      <c r="P3041" t="s">
        <v>26560</v>
      </c>
      <c r="R3041" t="s">
        <v>26578</v>
      </c>
      <c r="S3041" t="s">
        <v>18959</v>
      </c>
      <c r="U3041" t="s">
        <v>26604</v>
      </c>
      <c r="V3041" t="s">
        <v>26610</v>
      </c>
      <c r="W3041" t="s">
        <v>646</v>
      </c>
      <c r="X3041">
        <v>141</v>
      </c>
      <c r="Y3041" t="s">
        <v>26654</v>
      </c>
      <c r="Z3041" t="s">
        <v>26668</v>
      </c>
      <c r="AB3041" t="s">
        <v>28786</v>
      </c>
      <c r="AD3041" t="s">
        <v>39372</v>
      </c>
      <c r="AE3041">
        <v>132</v>
      </c>
      <c r="AF3041" t="s">
        <v>45543</v>
      </c>
      <c r="AG3041" t="s">
        <v>45556</v>
      </c>
      <c r="AH3041">
        <v>18</v>
      </c>
      <c r="AI3041">
        <v>2</v>
      </c>
      <c r="AJ3041">
        <v>0</v>
      </c>
      <c r="AK3041">
        <v>59.78</v>
      </c>
      <c r="AN3041" t="s">
        <v>7439</v>
      </c>
      <c r="AO3041">
        <v>9840</v>
      </c>
      <c r="AU3041">
        <v>19</v>
      </c>
      <c r="AV3041" t="s">
        <v>834</v>
      </c>
      <c r="AW3041" t="s">
        <v>46852</v>
      </c>
    </row>
    <row r="3042" spans="1:49">
      <c r="A3042" s="1">
        <f>HYPERLINK("https://lsnyc.legalserver.org/matter/dynamic-profile/view/1882443","18-1882443")</f>
        <v>0</v>
      </c>
      <c r="B3042" t="s">
        <v>153</v>
      </c>
      <c r="C3042" t="s">
        <v>340</v>
      </c>
      <c r="D3042" t="s">
        <v>646</v>
      </c>
      <c r="F3042" t="s">
        <v>1789</v>
      </c>
      <c r="G3042" t="s">
        <v>5121</v>
      </c>
      <c r="H3042" t="s">
        <v>12036</v>
      </c>
      <c r="I3042" t="s">
        <v>17358</v>
      </c>
      <c r="J3042" t="s">
        <v>18902</v>
      </c>
      <c r="K3042">
        <v>10302</v>
      </c>
      <c r="L3042" t="s">
        <v>18958</v>
      </c>
      <c r="M3042" t="s">
        <v>18958</v>
      </c>
      <c r="N3042" t="s">
        <v>21217</v>
      </c>
      <c r="O3042" t="s">
        <v>26523</v>
      </c>
      <c r="P3042" t="s">
        <v>26560</v>
      </c>
      <c r="R3042" t="s">
        <v>26590</v>
      </c>
      <c r="S3042" t="s">
        <v>18959</v>
      </c>
      <c r="U3042" t="s">
        <v>26604</v>
      </c>
      <c r="V3042" t="s">
        <v>26610</v>
      </c>
      <c r="W3042" t="s">
        <v>646</v>
      </c>
      <c r="X3042">
        <v>681.22</v>
      </c>
      <c r="Y3042" t="s">
        <v>26654</v>
      </c>
      <c r="Z3042" t="s">
        <v>26668</v>
      </c>
      <c r="AB3042" t="s">
        <v>29317</v>
      </c>
      <c r="AD3042" t="s">
        <v>39373</v>
      </c>
      <c r="AE3042">
        <v>40</v>
      </c>
      <c r="AF3042" t="s">
        <v>45544</v>
      </c>
      <c r="AG3042" t="s">
        <v>45560</v>
      </c>
      <c r="AH3042">
        <v>6</v>
      </c>
      <c r="AI3042">
        <v>1</v>
      </c>
      <c r="AJ3042">
        <v>0</v>
      </c>
      <c r="AK3042">
        <v>81.65000000000001</v>
      </c>
      <c r="AN3042" t="s">
        <v>7439</v>
      </c>
      <c r="AO3042">
        <v>9912</v>
      </c>
      <c r="AU3042">
        <v>16.95</v>
      </c>
      <c r="AV3042" t="s">
        <v>787</v>
      </c>
      <c r="AW3042" t="s">
        <v>185</v>
      </c>
    </row>
    <row r="3043" spans="1:49">
      <c r="A3043" s="1">
        <f>HYPERLINK("https://lsnyc.legalserver.org/matter/dynamic-profile/view/1882450","18-1882450")</f>
        <v>0</v>
      </c>
      <c r="B3043" t="s">
        <v>153</v>
      </c>
      <c r="C3043" t="s">
        <v>340</v>
      </c>
      <c r="D3043" t="s">
        <v>646</v>
      </c>
      <c r="F3043" t="s">
        <v>1562</v>
      </c>
      <c r="G3043" t="s">
        <v>5607</v>
      </c>
      <c r="H3043" t="s">
        <v>11697</v>
      </c>
      <c r="I3043" t="s">
        <v>17915</v>
      </c>
      <c r="J3043" t="s">
        <v>18902</v>
      </c>
      <c r="K3043">
        <v>10303</v>
      </c>
      <c r="L3043" t="s">
        <v>18958</v>
      </c>
      <c r="M3043" t="s">
        <v>18958</v>
      </c>
      <c r="N3043" t="s">
        <v>21218</v>
      </c>
      <c r="O3043" t="s">
        <v>26523</v>
      </c>
      <c r="P3043" t="s">
        <v>26560</v>
      </c>
      <c r="R3043" t="s">
        <v>26590</v>
      </c>
      <c r="S3043" t="s">
        <v>18959</v>
      </c>
      <c r="U3043" t="s">
        <v>26606</v>
      </c>
      <c r="V3043" t="s">
        <v>26610</v>
      </c>
      <c r="W3043" t="s">
        <v>646</v>
      </c>
      <c r="X3043">
        <v>710</v>
      </c>
      <c r="Y3043" t="s">
        <v>26654</v>
      </c>
      <c r="Z3043" t="s">
        <v>26668</v>
      </c>
      <c r="AB3043" t="s">
        <v>29318</v>
      </c>
      <c r="AD3043" t="s">
        <v>39374</v>
      </c>
      <c r="AE3043">
        <v>0</v>
      </c>
      <c r="AF3043" t="s">
        <v>45543</v>
      </c>
      <c r="AG3043" t="s">
        <v>45556</v>
      </c>
      <c r="AH3043">
        <v>16</v>
      </c>
      <c r="AI3043">
        <v>1</v>
      </c>
      <c r="AJ3043">
        <v>2</v>
      </c>
      <c r="AK3043">
        <v>131.38</v>
      </c>
      <c r="AN3043" t="s">
        <v>7439</v>
      </c>
      <c r="AO3043">
        <v>27300</v>
      </c>
      <c r="AU3043">
        <v>34.85</v>
      </c>
      <c r="AV3043" t="s">
        <v>838</v>
      </c>
      <c r="AW3043" t="s">
        <v>185</v>
      </c>
    </row>
    <row r="3044" spans="1:49">
      <c r="A3044" s="1">
        <f>HYPERLINK("https://lsnyc.legalserver.org/matter/dynamic-profile/view/1882473","18-1882473")</f>
        <v>0</v>
      </c>
      <c r="B3044" t="s">
        <v>153</v>
      </c>
      <c r="C3044" t="s">
        <v>340</v>
      </c>
      <c r="D3044" t="s">
        <v>646</v>
      </c>
      <c r="F3044" t="s">
        <v>1095</v>
      </c>
      <c r="G3044" t="s">
        <v>6484</v>
      </c>
      <c r="H3044" t="s">
        <v>12037</v>
      </c>
      <c r="I3044" t="s">
        <v>17916</v>
      </c>
      <c r="J3044" t="s">
        <v>18902</v>
      </c>
      <c r="K3044">
        <v>10303</v>
      </c>
      <c r="L3044" t="s">
        <v>18958</v>
      </c>
      <c r="M3044" t="s">
        <v>18958</v>
      </c>
      <c r="N3044" t="s">
        <v>21219</v>
      </c>
      <c r="O3044" t="s">
        <v>26523</v>
      </c>
      <c r="P3044" t="s">
        <v>26560</v>
      </c>
      <c r="R3044" t="s">
        <v>26590</v>
      </c>
      <c r="S3044" t="s">
        <v>18959</v>
      </c>
      <c r="U3044" t="s">
        <v>26606</v>
      </c>
      <c r="V3044" t="s">
        <v>26610</v>
      </c>
      <c r="W3044" t="s">
        <v>646</v>
      </c>
      <c r="X3044">
        <v>694</v>
      </c>
      <c r="Y3044" t="s">
        <v>26654</v>
      </c>
      <c r="Z3044" t="s">
        <v>26668</v>
      </c>
      <c r="AB3044" t="s">
        <v>29161</v>
      </c>
      <c r="AD3044" t="s">
        <v>39375</v>
      </c>
      <c r="AE3044">
        <v>0</v>
      </c>
      <c r="AF3044" t="s">
        <v>45543</v>
      </c>
      <c r="AG3044" t="s">
        <v>45556</v>
      </c>
      <c r="AH3044">
        <v>15</v>
      </c>
      <c r="AI3044">
        <v>1</v>
      </c>
      <c r="AJ3044">
        <v>2</v>
      </c>
      <c r="AK3044">
        <v>147.83</v>
      </c>
      <c r="AN3044" t="s">
        <v>7439</v>
      </c>
      <c r="AO3044">
        <v>30720</v>
      </c>
      <c r="AU3044">
        <v>2.4</v>
      </c>
      <c r="AV3044" t="s">
        <v>820</v>
      </c>
      <c r="AW3044" t="s">
        <v>185</v>
      </c>
    </row>
    <row r="3045" spans="1:49">
      <c r="A3045" s="1">
        <f>HYPERLINK("https://lsnyc.legalserver.org/matter/dynamic-profile/view/1882538","18-1882538")</f>
        <v>0</v>
      </c>
      <c r="B3045" t="s">
        <v>162</v>
      </c>
      <c r="C3045" t="s">
        <v>340</v>
      </c>
      <c r="D3045" t="s">
        <v>646</v>
      </c>
      <c r="F3045" t="s">
        <v>947</v>
      </c>
      <c r="G3045" t="s">
        <v>6719</v>
      </c>
      <c r="H3045" t="s">
        <v>12038</v>
      </c>
      <c r="I3045" t="s">
        <v>17779</v>
      </c>
      <c r="J3045" t="s">
        <v>18894</v>
      </c>
      <c r="K3045">
        <v>11230</v>
      </c>
      <c r="L3045" t="s">
        <v>18958</v>
      </c>
      <c r="M3045" t="s">
        <v>18958</v>
      </c>
      <c r="N3045" t="s">
        <v>21220</v>
      </c>
      <c r="O3045" t="s">
        <v>26549</v>
      </c>
      <c r="P3045" t="s">
        <v>26560</v>
      </c>
      <c r="R3045" t="s">
        <v>26586</v>
      </c>
      <c r="S3045" t="s">
        <v>18959</v>
      </c>
      <c r="U3045" t="s">
        <v>26604</v>
      </c>
      <c r="V3045" t="s">
        <v>26610</v>
      </c>
      <c r="W3045" t="s">
        <v>646</v>
      </c>
      <c r="X3045">
        <v>1100</v>
      </c>
      <c r="Y3045" t="s">
        <v>26652</v>
      </c>
      <c r="Z3045" t="s">
        <v>26659</v>
      </c>
      <c r="AB3045" t="s">
        <v>29319</v>
      </c>
      <c r="AD3045" t="s">
        <v>39376</v>
      </c>
      <c r="AE3045">
        <v>90</v>
      </c>
      <c r="AF3045" t="s">
        <v>45541</v>
      </c>
      <c r="AG3045" t="s">
        <v>19330</v>
      </c>
      <c r="AH3045">
        <v>6</v>
      </c>
      <c r="AI3045">
        <v>1</v>
      </c>
      <c r="AJ3045">
        <v>0</v>
      </c>
      <c r="AK3045">
        <v>197.69</v>
      </c>
      <c r="AN3045" t="s">
        <v>7439</v>
      </c>
      <c r="AO3045">
        <v>24000</v>
      </c>
      <c r="AQ3045" t="s">
        <v>46366</v>
      </c>
      <c r="AR3045" t="s">
        <v>26530</v>
      </c>
      <c r="AU3045">
        <v>43.6</v>
      </c>
      <c r="AV3045" t="s">
        <v>835</v>
      </c>
      <c r="AW3045" t="s">
        <v>46877</v>
      </c>
    </row>
    <row r="3046" spans="1:49">
      <c r="A3046" s="1">
        <f>HYPERLINK("https://lsnyc.legalserver.org/matter/dynamic-profile/view/1882534","18-1882534")</f>
        <v>0</v>
      </c>
      <c r="B3046" t="s">
        <v>68</v>
      </c>
      <c r="C3046" t="s">
        <v>340</v>
      </c>
      <c r="D3046" t="s">
        <v>646</v>
      </c>
      <c r="F3046" t="s">
        <v>990</v>
      </c>
      <c r="G3046" t="s">
        <v>5269</v>
      </c>
      <c r="H3046" t="s">
        <v>12039</v>
      </c>
      <c r="I3046" t="s">
        <v>17917</v>
      </c>
      <c r="J3046" t="s">
        <v>18892</v>
      </c>
      <c r="K3046">
        <v>10459</v>
      </c>
      <c r="L3046" t="s">
        <v>18958</v>
      </c>
      <c r="M3046" t="s">
        <v>18958</v>
      </c>
      <c r="N3046" t="s">
        <v>21221</v>
      </c>
      <c r="O3046" t="s">
        <v>26524</v>
      </c>
      <c r="P3046" t="s">
        <v>26560</v>
      </c>
      <c r="R3046" t="s">
        <v>26577</v>
      </c>
      <c r="S3046" t="s">
        <v>18959</v>
      </c>
      <c r="U3046" t="s">
        <v>26604</v>
      </c>
      <c r="V3046" t="s">
        <v>26609</v>
      </c>
      <c r="W3046" t="s">
        <v>646</v>
      </c>
      <c r="X3046">
        <v>192</v>
      </c>
      <c r="Y3046" t="s">
        <v>26650</v>
      </c>
      <c r="AB3046" t="s">
        <v>29320</v>
      </c>
      <c r="AC3046" t="s">
        <v>35393</v>
      </c>
      <c r="AD3046" t="s">
        <v>39377</v>
      </c>
      <c r="AE3046">
        <v>68</v>
      </c>
      <c r="AF3046" t="s">
        <v>45541</v>
      </c>
      <c r="AG3046" t="s">
        <v>19330</v>
      </c>
      <c r="AH3046">
        <v>13</v>
      </c>
      <c r="AI3046">
        <v>1</v>
      </c>
      <c r="AJ3046">
        <v>0</v>
      </c>
      <c r="AK3046">
        <v>81.05</v>
      </c>
      <c r="AN3046" t="s">
        <v>7439</v>
      </c>
      <c r="AO3046">
        <v>9840</v>
      </c>
      <c r="AU3046">
        <v>23.8</v>
      </c>
      <c r="AV3046" t="s">
        <v>831</v>
      </c>
      <c r="AW3046" t="s">
        <v>46871</v>
      </c>
    </row>
    <row r="3047" spans="1:49">
      <c r="A3047" s="1">
        <f>HYPERLINK("https://lsnyc.legalserver.org/matter/dynamic-profile/view/1882494","18-1882494")</f>
        <v>0</v>
      </c>
      <c r="B3047" t="s">
        <v>82</v>
      </c>
      <c r="C3047" t="s">
        <v>340</v>
      </c>
      <c r="D3047" t="s">
        <v>646</v>
      </c>
      <c r="F3047" t="s">
        <v>1827</v>
      </c>
      <c r="G3047" t="s">
        <v>6720</v>
      </c>
      <c r="H3047" t="s">
        <v>12040</v>
      </c>
      <c r="I3047" t="s">
        <v>17283</v>
      </c>
      <c r="J3047" t="s">
        <v>18892</v>
      </c>
      <c r="K3047">
        <v>10467</v>
      </c>
      <c r="L3047" t="s">
        <v>18958</v>
      </c>
      <c r="M3047" t="s">
        <v>18958</v>
      </c>
      <c r="N3047" t="s">
        <v>21222</v>
      </c>
      <c r="O3047" t="s">
        <v>26523</v>
      </c>
      <c r="P3047" t="s">
        <v>26560</v>
      </c>
      <c r="R3047" t="s">
        <v>26579</v>
      </c>
      <c r="U3047" t="s">
        <v>26604</v>
      </c>
      <c r="V3047" t="s">
        <v>26610</v>
      </c>
      <c r="W3047" t="s">
        <v>646</v>
      </c>
      <c r="X3047">
        <v>1625</v>
      </c>
      <c r="Y3047" t="s">
        <v>26650</v>
      </c>
      <c r="Z3047" t="s">
        <v>26668</v>
      </c>
      <c r="AB3047" t="s">
        <v>29321</v>
      </c>
      <c r="AD3047" t="s">
        <v>39378</v>
      </c>
      <c r="AE3047">
        <v>0</v>
      </c>
      <c r="AF3047" t="s">
        <v>20460</v>
      </c>
      <c r="AG3047" t="s">
        <v>19330</v>
      </c>
      <c r="AH3047">
        <v>1</v>
      </c>
      <c r="AI3047">
        <v>2</v>
      </c>
      <c r="AJ3047">
        <v>2</v>
      </c>
      <c r="AK3047">
        <v>169.72</v>
      </c>
      <c r="AN3047" t="s">
        <v>7439</v>
      </c>
      <c r="AO3047">
        <v>42600</v>
      </c>
      <c r="AU3047">
        <v>7.85</v>
      </c>
      <c r="AV3047" t="s">
        <v>836</v>
      </c>
      <c r="AW3047" t="s">
        <v>46836</v>
      </c>
    </row>
    <row r="3048" spans="1:49">
      <c r="A3048" s="1">
        <f>HYPERLINK("https://lsnyc.legalserver.org/matter/dynamic-profile/view/1882541","18-1882541")</f>
        <v>0</v>
      </c>
      <c r="B3048" t="s">
        <v>120</v>
      </c>
      <c r="C3048" t="s">
        <v>340</v>
      </c>
      <c r="D3048" t="s">
        <v>646</v>
      </c>
      <c r="F3048" t="s">
        <v>875</v>
      </c>
      <c r="G3048" t="s">
        <v>5078</v>
      </c>
      <c r="H3048" t="s">
        <v>12041</v>
      </c>
      <c r="I3048" t="s">
        <v>17272</v>
      </c>
      <c r="J3048" t="s">
        <v>18892</v>
      </c>
      <c r="K3048">
        <v>10467</v>
      </c>
      <c r="L3048" t="s">
        <v>18958</v>
      </c>
      <c r="M3048" t="s">
        <v>18958</v>
      </c>
      <c r="N3048" t="s">
        <v>21223</v>
      </c>
      <c r="O3048" t="s">
        <v>26523</v>
      </c>
      <c r="P3048" t="s">
        <v>26560</v>
      </c>
      <c r="R3048" t="s">
        <v>26579</v>
      </c>
      <c r="U3048" t="s">
        <v>26604</v>
      </c>
      <c r="V3048" t="s">
        <v>26610</v>
      </c>
      <c r="W3048" t="s">
        <v>646</v>
      </c>
      <c r="X3048">
        <v>1224</v>
      </c>
      <c r="Y3048" t="s">
        <v>26650</v>
      </c>
      <c r="Z3048" t="s">
        <v>26661</v>
      </c>
      <c r="AB3048" t="s">
        <v>29322</v>
      </c>
      <c r="AC3048" t="s">
        <v>35394</v>
      </c>
      <c r="AD3048" t="s">
        <v>39379</v>
      </c>
      <c r="AE3048">
        <v>30</v>
      </c>
      <c r="AF3048" t="s">
        <v>45541</v>
      </c>
      <c r="AG3048" t="s">
        <v>45558</v>
      </c>
      <c r="AH3048">
        <v>4</v>
      </c>
      <c r="AI3048">
        <v>1</v>
      </c>
      <c r="AJ3048">
        <v>1</v>
      </c>
      <c r="AK3048">
        <v>85.45999999999999</v>
      </c>
      <c r="AN3048" t="s">
        <v>45581</v>
      </c>
      <c r="AO3048">
        <v>14066</v>
      </c>
      <c r="AU3048">
        <v>11.9</v>
      </c>
      <c r="AV3048" t="s">
        <v>825</v>
      </c>
      <c r="AW3048" t="s">
        <v>46849</v>
      </c>
    </row>
    <row r="3049" spans="1:49">
      <c r="A3049" s="1">
        <f>HYPERLINK("https://lsnyc.legalserver.org/matter/dynamic-profile/view/1882520","18-1882520")</f>
        <v>0</v>
      </c>
      <c r="B3049" t="s">
        <v>121</v>
      </c>
      <c r="C3049" t="s">
        <v>340</v>
      </c>
      <c r="D3049" t="s">
        <v>646</v>
      </c>
      <c r="F3049" t="s">
        <v>2154</v>
      </c>
      <c r="G3049" t="s">
        <v>6332</v>
      </c>
      <c r="H3049" t="s">
        <v>11467</v>
      </c>
      <c r="I3049" t="s">
        <v>17275</v>
      </c>
      <c r="J3049" t="s">
        <v>18892</v>
      </c>
      <c r="K3049">
        <v>10457</v>
      </c>
      <c r="L3049" t="s">
        <v>18958</v>
      </c>
      <c r="M3049" t="s">
        <v>18958</v>
      </c>
      <c r="N3049" t="s">
        <v>21224</v>
      </c>
      <c r="O3049" t="s">
        <v>26524</v>
      </c>
      <c r="P3049" t="s">
        <v>26560</v>
      </c>
      <c r="R3049" t="s">
        <v>26579</v>
      </c>
      <c r="S3049" t="s">
        <v>18959</v>
      </c>
      <c r="U3049" t="s">
        <v>26604</v>
      </c>
      <c r="V3049" t="s">
        <v>26610</v>
      </c>
      <c r="W3049" t="s">
        <v>646</v>
      </c>
      <c r="X3049">
        <v>815.34</v>
      </c>
      <c r="Y3049" t="s">
        <v>26650</v>
      </c>
      <c r="Z3049" t="s">
        <v>26659</v>
      </c>
      <c r="AB3049" t="s">
        <v>28671</v>
      </c>
      <c r="AD3049" t="s">
        <v>38721</v>
      </c>
      <c r="AE3049">
        <v>0</v>
      </c>
      <c r="AF3049" t="s">
        <v>45541</v>
      </c>
      <c r="AG3049" t="s">
        <v>19330</v>
      </c>
      <c r="AH3049">
        <v>12</v>
      </c>
      <c r="AI3049">
        <v>1</v>
      </c>
      <c r="AJ3049">
        <v>0</v>
      </c>
      <c r="AK3049">
        <v>123.56</v>
      </c>
      <c r="AN3049" t="s">
        <v>7439</v>
      </c>
      <c r="AO3049">
        <v>15000</v>
      </c>
      <c r="AU3049">
        <v>25.7</v>
      </c>
      <c r="AV3049" t="s">
        <v>765</v>
      </c>
      <c r="AW3049" t="s">
        <v>46836</v>
      </c>
    </row>
    <row r="3050" spans="1:49">
      <c r="A3050" s="1">
        <f>HYPERLINK("https://lsnyc.legalserver.org/matter/dynamic-profile/view/1882510","18-1882510")</f>
        <v>0</v>
      </c>
      <c r="B3050" t="s">
        <v>62</v>
      </c>
      <c r="C3050" t="s">
        <v>340</v>
      </c>
      <c r="D3050" t="s">
        <v>646</v>
      </c>
      <c r="F3050" t="s">
        <v>1620</v>
      </c>
      <c r="G3050" t="s">
        <v>6354</v>
      </c>
      <c r="H3050" t="s">
        <v>10209</v>
      </c>
      <c r="I3050" t="s">
        <v>17918</v>
      </c>
      <c r="J3050" t="s">
        <v>18893</v>
      </c>
      <c r="K3050">
        <v>10031</v>
      </c>
      <c r="L3050" t="s">
        <v>18958</v>
      </c>
      <c r="M3050" t="s">
        <v>18958</v>
      </c>
      <c r="N3050" t="s">
        <v>21225</v>
      </c>
      <c r="O3050" t="s">
        <v>26523</v>
      </c>
      <c r="P3050" t="s">
        <v>26560</v>
      </c>
      <c r="R3050" t="s">
        <v>26580</v>
      </c>
      <c r="S3050" t="s">
        <v>18959</v>
      </c>
      <c r="T3050" t="s">
        <v>26600</v>
      </c>
      <c r="U3050" t="s">
        <v>26606</v>
      </c>
      <c r="W3050" t="s">
        <v>646</v>
      </c>
      <c r="X3050">
        <v>2219</v>
      </c>
      <c r="Y3050" t="s">
        <v>26651</v>
      </c>
      <c r="Z3050" t="s">
        <v>26664</v>
      </c>
      <c r="AB3050" t="s">
        <v>29323</v>
      </c>
      <c r="AC3050" t="s">
        <v>35395</v>
      </c>
      <c r="AD3050" t="s">
        <v>39380</v>
      </c>
      <c r="AE3050">
        <v>282</v>
      </c>
      <c r="AF3050" t="s">
        <v>45543</v>
      </c>
      <c r="AG3050" t="s">
        <v>45556</v>
      </c>
      <c r="AH3050">
        <v>2</v>
      </c>
      <c r="AI3050">
        <v>2</v>
      </c>
      <c r="AJ3050">
        <v>0</v>
      </c>
      <c r="AK3050">
        <v>52.2</v>
      </c>
      <c r="AN3050" t="s">
        <v>7439</v>
      </c>
      <c r="AO3050">
        <v>8592</v>
      </c>
      <c r="AU3050">
        <v>13.2</v>
      </c>
      <c r="AV3050" t="s">
        <v>789</v>
      </c>
      <c r="AW3050" t="s">
        <v>314</v>
      </c>
    </row>
    <row r="3051" spans="1:49">
      <c r="A3051" s="1">
        <f>HYPERLINK("https://lsnyc.legalserver.org/matter/dynamic-profile/view/1882830","18-1882830")</f>
        <v>0</v>
      </c>
      <c r="B3051" t="s">
        <v>73</v>
      </c>
      <c r="C3051" t="s">
        <v>341</v>
      </c>
      <c r="D3051" t="s">
        <v>577</v>
      </c>
      <c r="E3051" t="s">
        <v>752</v>
      </c>
      <c r="F3051" t="s">
        <v>1383</v>
      </c>
      <c r="G3051" t="s">
        <v>948</v>
      </c>
      <c r="H3051" t="s">
        <v>10750</v>
      </c>
      <c r="I3051">
        <v>25</v>
      </c>
      <c r="J3051" t="s">
        <v>18894</v>
      </c>
      <c r="K3051">
        <v>11213</v>
      </c>
      <c r="L3051" t="s">
        <v>18958</v>
      </c>
      <c r="M3051" t="s">
        <v>18958</v>
      </c>
      <c r="O3051" t="s">
        <v>26526</v>
      </c>
      <c r="P3051" t="s">
        <v>26564</v>
      </c>
      <c r="Q3051" t="s">
        <v>26570</v>
      </c>
      <c r="R3051" t="s">
        <v>26578</v>
      </c>
      <c r="S3051" t="s">
        <v>18958</v>
      </c>
      <c r="U3051" t="s">
        <v>26604</v>
      </c>
      <c r="V3051" t="s">
        <v>26610</v>
      </c>
      <c r="W3051" t="s">
        <v>646</v>
      </c>
      <c r="X3051">
        <v>1103.14</v>
      </c>
      <c r="Y3051" t="s">
        <v>26652</v>
      </c>
      <c r="Z3051" t="s">
        <v>26667</v>
      </c>
      <c r="AA3051" t="s">
        <v>26683</v>
      </c>
      <c r="AB3051" t="s">
        <v>29324</v>
      </c>
      <c r="AE3051">
        <v>34</v>
      </c>
      <c r="AF3051" t="s">
        <v>45541</v>
      </c>
      <c r="AH3051">
        <v>25</v>
      </c>
      <c r="AI3051">
        <v>1</v>
      </c>
      <c r="AJ3051">
        <v>0</v>
      </c>
      <c r="AK3051">
        <v>257</v>
      </c>
      <c r="AL3051" t="s">
        <v>415</v>
      </c>
      <c r="AM3051" t="s">
        <v>45575</v>
      </c>
      <c r="AN3051" t="s">
        <v>7439</v>
      </c>
      <c r="AO3051">
        <v>31200</v>
      </c>
      <c r="AU3051">
        <v>0.8</v>
      </c>
      <c r="AV3051" t="s">
        <v>752</v>
      </c>
      <c r="AW3051" t="s">
        <v>286</v>
      </c>
    </row>
    <row r="3052" spans="1:49">
      <c r="A3052" s="1">
        <f>HYPERLINK("https://lsnyc.legalserver.org/matter/dynamic-profile/view/1865436","18-1865436")</f>
        <v>0</v>
      </c>
      <c r="B3052" t="s">
        <v>72</v>
      </c>
      <c r="C3052" t="s">
        <v>341</v>
      </c>
      <c r="D3052" t="s">
        <v>656</v>
      </c>
      <c r="E3052" t="s">
        <v>637</v>
      </c>
      <c r="F3052" t="s">
        <v>2501</v>
      </c>
      <c r="G3052" t="s">
        <v>6721</v>
      </c>
      <c r="H3052" t="s">
        <v>12042</v>
      </c>
      <c r="I3052" t="s">
        <v>17919</v>
      </c>
      <c r="J3052" t="s">
        <v>18893</v>
      </c>
      <c r="K3052">
        <v>10034</v>
      </c>
      <c r="L3052" t="s">
        <v>18958</v>
      </c>
      <c r="M3052" t="s">
        <v>18958</v>
      </c>
      <c r="N3052" t="s">
        <v>21226</v>
      </c>
      <c r="O3052" t="s">
        <v>26524</v>
      </c>
      <c r="P3052" t="s">
        <v>26560</v>
      </c>
      <c r="Q3052" t="s">
        <v>26575</v>
      </c>
      <c r="R3052" t="s">
        <v>26578</v>
      </c>
      <c r="S3052" t="s">
        <v>18959</v>
      </c>
      <c r="U3052" t="s">
        <v>26604</v>
      </c>
      <c r="W3052" t="s">
        <v>637</v>
      </c>
      <c r="X3052">
        <v>1795</v>
      </c>
      <c r="Y3052" t="s">
        <v>26651</v>
      </c>
      <c r="Z3052" t="s">
        <v>26659</v>
      </c>
      <c r="AA3052" t="s">
        <v>26680</v>
      </c>
      <c r="AB3052" t="s">
        <v>29325</v>
      </c>
      <c r="AD3052" t="s">
        <v>39381</v>
      </c>
      <c r="AE3052">
        <v>44</v>
      </c>
      <c r="AF3052" t="s">
        <v>45547</v>
      </c>
      <c r="AG3052" t="s">
        <v>19330</v>
      </c>
      <c r="AH3052">
        <v>3</v>
      </c>
      <c r="AI3052">
        <v>1</v>
      </c>
      <c r="AJ3052">
        <v>0</v>
      </c>
      <c r="AK3052">
        <v>132.05</v>
      </c>
      <c r="AN3052" t="s">
        <v>7439</v>
      </c>
      <c r="AO3052">
        <v>16031</v>
      </c>
      <c r="AU3052">
        <v>15.35</v>
      </c>
      <c r="AV3052" t="s">
        <v>646</v>
      </c>
      <c r="AW3052" t="s">
        <v>46840</v>
      </c>
    </row>
    <row r="3053" spans="1:49">
      <c r="A3053" s="1">
        <f>HYPERLINK("https://lsnyc.legalserver.org/matter/dynamic-profile/view/1882707","18-1882707")</f>
        <v>0</v>
      </c>
      <c r="B3053" t="s">
        <v>82</v>
      </c>
      <c r="C3053" t="s">
        <v>341</v>
      </c>
      <c r="D3053" t="s">
        <v>645</v>
      </c>
      <c r="E3053" t="s">
        <v>690</v>
      </c>
      <c r="F3053" t="s">
        <v>953</v>
      </c>
      <c r="G3053" t="s">
        <v>5008</v>
      </c>
      <c r="H3053" t="s">
        <v>12043</v>
      </c>
      <c r="I3053" t="s">
        <v>17451</v>
      </c>
      <c r="J3053" t="s">
        <v>18892</v>
      </c>
      <c r="K3053">
        <v>10456</v>
      </c>
      <c r="L3053" t="s">
        <v>18958</v>
      </c>
      <c r="M3053" t="s">
        <v>18958</v>
      </c>
      <c r="N3053" t="s">
        <v>21227</v>
      </c>
      <c r="O3053" t="s">
        <v>26523</v>
      </c>
      <c r="P3053" t="s">
        <v>26564</v>
      </c>
      <c r="Q3053" t="s">
        <v>26570</v>
      </c>
      <c r="R3053" t="s">
        <v>26577</v>
      </c>
      <c r="S3053" t="s">
        <v>18959</v>
      </c>
      <c r="U3053" t="s">
        <v>26604</v>
      </c>
      <c r="V3053" t="s">
        <v>26612</v>
      </c>
      <c r="W3053" t="s">
        <v>637</v>
      </c>
      <c r="X3053">
        <v>1533.94</v>
      </c>
      <c r="Y3053" t="s">
        <v>26650</v>
      </c>
      <c r="Z3053" t="s">
        <v>26664</v>
      </c>
      <c r="AA3053" t="s">
        <v>26683</v>
      </c>
      <c r="AB3053" t="s">
        <v>29326</v>
      </c>
      <c r="AC3053" t="s">
        <v>35396</v>
      </c>
      <c r="AD3053" t="s">
        <v>39382</v>
      </c>
      <c r="AE3053">
        <v>0</v>
      </c>
      <c r="AF3053" t="s">
        <v>45541</v>
      </c>
      <c r="AG3053" t="s">
        <v>45562</v>
      </c>
      <c r="AH3053">
        <v>4</v>
      </c>
      <c r="AI3053">
        <v>1</v>
      </c>
      <c r="AJ3053">
        <v>2</v>
      </c>
      <c r="AK3053">
        <v>0</v>
      </c>
      <c r="AN3053" t="s">
        <v>7439</v>
      </c>
      <c r="AO3053">
        <v>0</v>
      </c>
      <c r="AU3053">
        <v>1.7</v>
      </c>
      <c r="AV3053" t="s">
        <v>697</v>
      </c>
      <c r="AW3053" t="s">
        <v>336</v>
      </c>
    </row>
    <row r="3054" spans="1:49">
      <c r="A3054" s="1">
        <f>HYPERLINK("https://lsnyc.legalserver.org/matter/dynamic-profile/view/1882003","18-1882003")</f>
        <v>0</v>
      </c>
      <c r="B3054" t="s">
        <v>263</v>
      </c>
      <c r="C3054" t="s">
        <v>341</v>
      </c>
      <c r="D3054" t="s">
        <v>641</v>
      </c>
      <c r="E3054" t="s">
        <v>703</v>
      </c>
      <c r="F3054" t="s">
        <v>1282</v>
      </c>
      <c r="G3054" t="s">
        <v>5607</v>
      </c>
      <c r="H3054" t="s">
        <v>12044</v>
      </c>
      <c r="I3054" t="s">
        <v>17322</v>
      </c>
      <c r="J3054" t="s">
        <v>18892</v>
      </c>
      <c r="K3054">
        <v>10452</v>
      </c>
      <c r="L3054" t="s">
        <v>18958</v>
      </c>
      <c r="M3054" t="s">
        <v>18958</v>
      </c>
      <c r="O3054" t="s">
        <v>26529</v>
      </c>
      <c r="P3054" t="s">
        <v>26564</v>
      </c>
      <c r="Q3054" t="s">
        <v>26570</v>
      </c>
      <c r="R3054" t="s">
        <v>26578</v>
      </c>
      <c r="S3054" t="s">
        <v>18959</v>
      </c>
      <c r="U3054" t="s">
        <v>26604</v>
      </c>
      <c r="W3054" t="s">
        <v>637</v>
      </c>
      <c r="X3054">
        <v>2000</v>
      </c>
      <c r="Y3054" t="s">
        <v>26650</v>
      </c>
      <c r="Z3054" t="s">
        <v>26657</v>
      </c>
      <c r="AA3054" t="s">
        <v>26683</v>
      </c>
      <c r="AB3054" t="s">
        <v>29327</v>
      </c>
      <c r="AD3054" t="s">
        <v>39383</v>
      </c>
      <c r="AE3054">
        <v>8</v>
      </c>
      <c r="AF3054" t="s">
        <v>45541</v>
      </c>
      <c r="AG3054" t="s">
        <v>19330</v>
      </c>
      <c r="AH3054">
        <v>3</v>
      </c>
      <c r="AI3054">
        <v>1</v>
      </c>
      <c r="AJ3054">
        <v>1</v>
      </c>
      <c r="AK3054">
        <v>99.15000000000001</v>
      </c>
      <c r="AN3054" t="s">
        <v>7439</v>
      </c>
      <c r="AO3054">
        <v>16320</v>
      </c>
      <c r="AP3054" t="s">
        <v>45774</v>
      </c>
      <c r="AU3054">
        <v>2.25</v>
      </c>
      <c r="AV3054" t="s">
        <v>703</v>
      </c>
      <c r="AW3054" t="s">
        <v>46843</v>
      </c>
    </row>
    <row r="3055" spans="1:49">
      <c r="A3055" s="1">
        <f>HYPERLINK("https://lsnyc.legalserver.org/matter/dynamic-profile/view/1882401","18-1882401")</f>
        <v>0</v>
      </c>
      <c r="B3055" t="s">
        <v>187</v>
      </c>
      <c r="C3055" t="s">
        <v>341</v>
      </c>
      <c r="D3055" t="s">
        <v>428</v>
      </c>
      <c r="E3055" t="s">
        <v>719</v>
      </c>
      <c r="F3055" t="s">
        <v>920</v>
      </c>
      <c r="G3055" t="s">
        <v>6722</v>
      </c>
      <c r="H3055" t="s">
        <v>12045</v>
      </c>
      <c r="I3055" t="s">
        <v>17276</v>
      </c>
      <c r="J3055" t="s">
        <v>18892</v>
      </c>
      <c r="K3055">
        <v>10462</v>
      </c>
      <c r="L3055" t="s">
        <v>18958</v>
      </c>
      <c r="M3055" t="s">
        <v>18958</v>
      </c>
      <c r="N3055" t="s">
        <v>21228</v>
      </c>
      <c r="O3055" t="s">
        <v>26524</v>
      </c>
      <c r="P3055" t="s">
        <v>26560</v>
      </c>
      <c r="Q3055" t="s">
        <v>26568</v>
      </c>
      <c r="R3055" t="s">
        <v>26579</v>
      </c>
      <c r="S3055" t="s">
        <v>18959</v>
      </c>
      <c r="U3055" t="s">
        <v>26604</v>
      </c>
      <c r="V3055" t="s">
        <v>26610</v>
      </c>
      <c r="W3055" t="s">
        <v>637</v>
      </c>
      <c r="X3055">
        <v>1400</v>
      </c>
      <c r="Y3055" t="s">
        <v>26650</v>
      </c>
      <c r="Z3055" t="s">
        <v>26668</v>
      </c>
      <c r="AA3055" t="s">
        <v>26679</v>
      </c>
      <c r="AB3055" t="s">
        <v>29328</v>
      </c>
      <c r="AC3055" t="s">
        <v>35397</v>
      </c>
      <c r="AD3055" t="s">
        <v>39384</v>
      </c>
      <c r="AE3055">
        <v>3857</v>
      </c>
      <c r="AF3055" t="s">
        <v>45545</v>
      </c>
      <c r="AG3055" t="s">
        <v>19330</v>
      </c>
      <c r="AH3055">
        <v>1</v>
      </c>
      <c r="AI3055">
        <v>1</v>
      </c>
      <c r="AJ3055">
        <v>0</v>
      </c>
      <c r="AK3055">
        <v>18.58</v>
      </c>
      <c r="AN3055" t="s">
        <v>7439</v>
      </c>
      <c r="AO3055">
        <v>2256</v>
      </c>
      <c r="AQ3055" t="s">
        <v>46369</v>
      </c>
      <c r="AS3055" t="s">
        <v>46500</v>
      </c>
      <c r="AT3055" t="s">
        <v>46563</v>
      </c>
      <c r="AU3055">
        <v>17.2</v>
      </c>
      <c r="AV3055" t="s">
        <v>719</v>
      </c>
      <c r="AW3055" t="s">
        <v>46829</v>
      </c>
    </row>
    <row r="3056" spans="1:49">
      <c r="A3056" s="1">
        <f>HYPERLINK("https://lsnyc.legalserver.org/matter/dynamic-profile/view/1882585","18-1882585")</f>
        <v>0</v>
      </c>
      <c r="B3056" t="s">
        <v>137</v>
      </c>
      <c r="C3056" t="s">
        <v>341</v>
      </c>
      <c r="D3056" t="s">
        <v>637</v>
      </c>
      <c r="E3056" t="s">
        <v>706</v>
      </c>
      <c r="F3056" t="s">
        <v>2502</v>
      </c>
      <c r="G3056" t="s">
        <v>5191</v>
      </c>
      <c r="H3056" t="s">
        <v>12046</v>
      </c>
      <c r="I3056" t="s">
        <v>17355</v>
      </c>
      <c r="J3056" t="s">
        <v>18892</v>
      </c>
      <c r="K3056">
        <v>10452</v>
      </c>
      <c r="L3056" t="s">
        <v>18958</v>
      </c>
      <c r="M3056" t="s">
        <v>18958</v>
      </c>
      <c r="N3056" t="s">
        <v>21229</v>
      </c>
      <c r="O3056" t="s">
        <v>26523</v>
      </c>
      <c r="P3056" t="s">
        <v>26560</v>
      </c>
      <c r="Q3056" t="s">
        <v>26575</v>
      </c>
      <c r="R3056" t="s">
        <v>26577</v>
      </c>
      <c r="S3056" t="s">
        <v>18959</v>
      </c>
      <c r="U3056" t="s">
        <v>26604</v>
      </c>
      <c r="V3056" t="s">
        <v>26612</v>
      </c>
      <c r="W3056" t="s">
        <v>637</v>
      </c>
      <c r="X3056">
        <v>1328</v>
      </c>
      <c r="Y3056" t="s">
        <v>26650</v>
      </c>
      <c r="Z3056" t="s">
        <v>26664</v>
      </c>
      <c r="AA3056" t="s">
        <v>26679</v>
      </c>
      <c r="AB3056" t="s">
        <v>29329</v>
      </c>
      <c r="AC3056" t="s">
        <v>35398</v>
      </c>
      <c r="AD3056" t="s">
        <v>39385</v>
      </c>
      <c r="AE3056">
        <v>37</v>
      </c>
      <c r="AF3056" t="s">
        <v>45541</v>
      </c>
      <c r="AG3056" t="s">
        <v>19330</v>
      </c>
      <c r="AH3056">
        <v>7</v>
      </c>
      <c r="AI3056">
        <v>3</v>
      </c>
      <c r="AJ3056">
        <v>0</v>
      </c>
      <c r="AK3056">
        <v>195.19</v>
      </c>
      <c r="AN3056" t="s">
        <v>45581</v>
      </c>
      <c r="AO3056">
        <v>40560</v>
      </c>
      <c r="AQ3056" t="s">
        <v>46365</v>
      </c>
      <c r="AS3056" t="s">
        <v>46500</v>
      </c>
      <c r="AT3056" t="s">
        <v>46542</v>
      </c>
      <c r="AU3056">
        <v>14.15</v>
      </c>
      <c r="AV3056" t="s">
        <v>682</v>
      </c>
      <c r="AW3056" t="s">
        <v>46870</v>
      </c>
    </row>
    <row r="3057" spans="1:49">
      <c r="A3057" s="1">
        <f>HYPERLINK("https://lsnyc.legalserver.org/matter/dynamic-profile/view/1882632","18-1882632")</f>
        <v>0</v>
      </c>
      <c r="B3057" t="s">
        <v>58</v>
      </c>
      <c r="C3057" t="s">
        <v>341</v>
      </c>
      <c r="D3057" t="s">
        <v>637</v>
      </c>
      <c r="E3057" t="s">
        <v>772</v>
      </c>
      <c r="F3057" t="s">
        <v>1836</v>
      </c>
      <c r="G3057" t="s">
        <v>6098</v>
      </c>
      <c r="H3057" t="s">
        <v>12047</v>
      </c>
      <c r="I3057" t="s">
        <v>17920</v>
      </c>
      <c r="J3057" t="s">
        <v>18892</v>
      </c>
      <c r="K3057">
        <v>10467</v>
      </c>
      <c r="L3057" t="s">
        <v>18958</v>
      </c>
      <c r="M3057" t="s">
        <v>18958</v>
      </c>
      <c r="N3057" t="s">
        <v>21230</v>
      </c>
      <c r="O3057" t="s">
        <v>26524</v>
      </c>
      <c r="P3057" t="s">
        <v>26560</v>
      </c>
      <c r="Q3057" t="s">
        <v>26568</v>
      </c>
      <c r="R3057" t="s">
        <v>26579</v>
      </c>
      <c r="U3057" t="s">
        <v>26604</v>
      </c>
      <c r="V3057" t="s">
        <v>26610</v>
      </c>
      <c r="W3057" t="s">
        <v>637</v>
      </c>
      <c r="X3057">
        <v>935</v>
      </c>
      <c r="Y3057" t="s">
        <v>26650</v>
      </c>
      <c r="Z3057" t="s">
        <v>26664</v>
      </c>
      <c r="AA3057" t="s">
        <v>26679</v>
      </c>
      <c r="AB3057" t="s">
        <v>29330</v>
      </c>
      <c r="AC3057" t="s">
        <v>35399</v>
      </c>
      <c r="AD3057" t="s">
        <v>39386</v>
      </c>
      <c r="AE3057">
        <v>0</v>
      </c>
      <c r="AF3057" t="s">
        <v>45541</v>
      </c>
      <c r="AG3057" t="s">
        <v>19330</v>
      </c>
      <c r="AH3057">
        <v>20</v>
      </c>
      <c r="AI3057">
        <v>1</v>
      </c>
      <c r="AJ3057">
        <v>2</v>
      </c>
      <c r="AK3057">
        <v>105.87</v>
      </c>
      <c r="AN3057" t="s">
        <v>7439</v>
      </c>
      <c r="AO3057">
        <v>22000</v>
      </c>
      <c r="AU3057">
        <v>7.75</v>
      </c>
      <c r="AV3057" t="s">
        <v>772</v>
      </c>
      <c r="AW3057" t="s">
        <v>334</v>
      </c>
    </row>
    <row r="3058" spans="1:49">
      <c r="A3058" s="1">
        <f>HYPERLINK("https://lsnyc.legalserver.org/matter/dynamic-profile/view/1882660","18-1882660")</f>
        <v>0</v>
      </c>
      <c r="B3058" t="s">
        <v>85</v>
      </c>
      <c r="C3058" t="s">
        <v>341</v>
      </c>
      <c r="D3058" t="s">
        <v>637</v>
      </c>
      <c r="E3058" t="s">
        <v>699</v>
      </c>
      <c r="F3058" t="s">
        <v>1751</v>
      </c>
      <c r="G3058" t="s">
        <v>5220</v>
      </c>
      <c r="H3058" t="s">
        <v>12048</v>
      </c>
      <c r="I3058" t="s">
        <v>17287</v>
      </c>
      <c r="J3058" t="s">
        <v>18933</v>
      </c>
      <c r="K3058">
        <v>11422</v>
      </c>
      <c r="L3058" t="s">
        <v>18958</v>
      </c>
      <c r="M3058" t="s">
        <v>18958</v>
      </c>
      <c r="N3058" t="s">
        <v>21231</v>
      </c>
      <c r="O3058" t="s">
        <v>26523</v>
      </c>
      <c r="P3058" t="s">
        <v>26564</v>
      </c>
      <c r="Q3058" t="s">
        <v>26570</v>
      </c>
      <c r="R3058" t="s">
        <v>26584</v>
      </c>
      <c r="S3058" t="s">
        <v>18959</v>
      </c>
      <c r="U3058" t="s">
        <v>26604</v>
      </c>
      <c r="V3058" t="s">
        <v>26610</v>
      </c>
      <c r="W3058" t="s">
        <v>637</v>
      </c>
      <c r="X3058">
        <v>569</v>
      </c>
      <c r="Y3058" t="s">
        <v>26653</v>
      </c>
      <c r="Z3058" t="s">
        <v>26664</v>
      </c>
      <c r="AA3058" t="s">
        <v>26683</v>
      </c>
      <c r="AB3058" t="s">
        <v>29331</v>
      </c>
      <c r="AC3058" t="s">
        <v>35400</v>
      </c>
      <c r="AD3058" t="s">
        <v>39387</v>
      </c>
      <c r="AE3058">
        <v>20</v>
      </c>
      <c r="AF3058" t="s">
        <v>45547</v>
      </c>
      <c r="AG3058" t="s">
        <v>45556</v>
      </c>
      <c r="AH3058">
        <v>10</v>
      </c>
      <c r="AI3058">
        <v>2</v>
      </c>
      <c r="AJ3058">
        <v>1</v>
      </c>
      <c r="AK3058">
        <v>18.65</v>
      </c>
      <c r="AN3058" t="s">
        <v>7439</v>
      </c>
      <c r="AO3058">
        <v>3876</v>
      </c>
      <c r="AU3058">
        <v>0.35</v>
      </c>
      <c r="AV3058" t="s">
        <v>664</v>
      </c>
      <c r="AW3058" t="s">
        <v>161</v>
      </c>
    </row>
    <row r="3059" spans="1:49">
      <c r="A3059" s="1">
        <f>HYPERLINK("https://lsnyc.legalserver.org/matter/dynamic-profile/view/1878558","18-1878558")</f>
        <v>0</v>
      </c>
      <c r="B3059" t="s">
        <v>251</v>
      </c>
      <c r="C3059" t="s">
        <v>341</v>
      </c>
      <c r="D3059" t="s">
        <v>637</v>
      </c>
      <c r="E3059" t="s">
        <v>739</v>
      </c>
      <c r="F3059" t="s">
        <v>979</v>
      </c>
      <c r="G3059" t="s">
        <v>5607</v>
      </c>
      <c r="H3059" t="s">
        <v>12015</v>
      </c>
      <c r="I3059" t="s">
        <v>17369</v>
      </c>
      <c r="J3059" t="s">
        <v>18892</v>
      </c>
      <c r="K3059">
        <v>10472</v>
      </c>
      <c r="L3059" t="s">
        <v>18958</v>
      </c>
      <c r="M3059" t="s">
        <v>18958</v>
      </c>
      <c r="N3059" t="s">
        <v>21232</v>
      </c>
      <c r="O3059" t="s">
        <v>26523</v>
      </c>
      <c r="P3059" t="s">
        <v>26560</v>
      </c>
      <c r="Q3059" t="s">
        <v>26568</v>
      </c>
      <c r="R3059" t="s">
        <v>26577</v>
      </c>
      <c r="S3059" t="s">
        <v>18959</v>
      </c>
      <c r="U3059" t="s">
        <v>26604</v>
      </c>
      <c r="V3059" t="s">
        <v>26614</v>
      </c>
      <c r="W3059" t="s">
        <v>637</v>
      </c>
      <c r="X3059">
        <v>1850</v>
      </c>
      <c r="Y3059" t="s">
        <v>26650</v>
      </c>
      <c r="Z3059" t="s">
        <v>26668</v>
      </c>
      <c r="AA3059" t="s">
        <v>26691</v>
      </c>
      <c r="AB3059" t="s">
        <v>29332</v>
      </c>
      <c r="AC3059" t="s">
        <v>35401</v>
      </c>
      <c r="AD3059" t="s">
        <v>39388</v>
      </c>
      <c r="AE3059">
        <v>159</v>
      </c>
      <c r="AF3059" t="s">
        <v>45541</v>
      </c>
      <c r="AG3059" t="s">
        <v>26530</v>
      </c>
      <c r="AH3059">
        <v>2</v>
      </c>
      <c r="AI3059">
        <v>2</v>
      </c>
      <c r="AJ3059">
        <v>6</v>
      </c>
      <c r="AK3059">
        <v>87.25</v>
      </c>
      <c r="AN3059" t="s">
        <v>7439</v>
      </c>
      <c r="AO3059">
        <v>36976</v>
      </c>
      <c r="AQ3059" t="s">
        <v>46365</v>
      </c>
      <c r="AR3059" t="s">
        <v>46379</v>
      </c>
      <c r="AS3059" t="s">
        <v>46499</v>
      </c>
      <c r="AT3059" t="s">
        <v>46648</v>
      </c>
      <c r="AU3059">
        <v>23.75</v>
      </c>
      <c r="AV3059" t="s">
        <v>458</v>
      </c>
      <c r="AW3059" t="s">
        <v>46870</v>
      </c>
    </row>
    <row r="3060" spans="1:49">
      <c r="A3060" s="1">
        <f>HYPERLINK("https://lsnyc.legalserver.org/matter/dynamic-profile/view/1882584","18-1882584")</f>
        <v>0</v>
      </c>
      <c r="B3060" t="s">
        <v>251</v>
      </c>
      <c r="C3060" t="s">
        <v>341</v>
      </c>
      <c r="D3060" t="s">
        <v>637</v>
      </c>
      <c r="E3060" t="s">
        <v>699</v>
      </c>
      <c r="F3060" t="s">
        <v>1342</v>
      </c>
      <c r="G3060" t="s">
        <v>5322</v>
      </c>
      <c r="H3060" t="s">
        <v>10460</v>
      </c>
      <c r="I3060" t="s">
        <v>17272</v>
      </c>
      <c r="J3060" t="s">
        <v>18892</v>
      </c>
      <c r="K3060">
        <v>10457</v>
      </c>
      <c r="L3060" t="s">
        <v>18958</v>
      </c>
      <c r="M3060" t="s">
        <v>18958</v>
      </c>
      <c r="N3060" t="s">
        <v>21233</v>
      </c>
      <c r="O3060" t="s">
        <v>26523</v>
      </c>
      <c r="P3060" t="s">
        <v>26560</v>
      </c>
      <c r="Q3060" t="s">
        <v>26568</v>
      </c>
      <c r="R3060" t="s">
        <v>26579</v>
      </c>
      <c r="S3060" t="s">
        <v>18959</v>
      </c>
      <c r="U3060" t="s">
        <v>26604</v>
      </c>
      <c r="V3060" t="s">
        <v>26612</v>
      </c>
      <c r="W3060" t="s">
        <v>637</v>
      </c>
      <c r="X3060">
        <v>1600</v>
      </c>
      <c r="Y3060" t="s">
        <v>26650</v>
      </c>
      <c r="Z3060" t="s">
        <v>26668</v>
      </c>
      <c r="AA3060" t="s">
        <v>26678</v>
      </c>
      <c r="AB3060" t="s">
        <v>29333</v>
      </c>
      <c r="AC3060" t="s">
        <v>35402</v>
      </c>
      <c r="AD3060" t="s">
        <v>39389</v>
      </c>
      <c r="AE3060">
        <v>21</v>
      </c>
      <c r="AF3060" t="s">
        <v>45541</v>
      </c>
      <c r="AG3060" t="s">
        <v>19330</v>
      </c>
      <c r="AH3060">
        <v>8</v>
      </c>
      <c r="AI3060">
        <v>2</v>
      </c>
      <c r="AJ3060">
        <v>0</v>
      </c>
      <c r="AK3060">
        <v>170.12</v>
      </c>
      <c r="AN3060" t="s">
        <v>45581</v>
      </c>
      <c r="AO3060">
        <v>28002</v>
      </c>
      <c r="AR3060" t="s">
        <v>46379</v>
      </c>
      <c r="AS3060" t="s">
        <v>46499</v>
      </c>
      <c r="AT3060" t="s">
        <v>46542</v>
      </c>
      <c r="AU3060">
        <v>22.5</v>
      </c>
      <c r="AV3060" t="s">
        <v>519</v>
      </c>
      <c r="AW3060" t="s">
        <v>46871</v>
      </c>
    </row>
    <row r="3061" spans="1:49">
      <c r="A3061" s="1">
        <f>HYPERLINK("https://lsnyc.legalserver.org/matter/dynamic-profile/view/1882747","18-1882747")</f>
        <v>0</v>
      </c>
      <c r="B3061" t="s">
        <v>72</v>
      </c>
      <c r="C3061" t="s">
        <v>341</v>
      </c>
      <c r="D3061" t="s">
        <v>637</v>
      </c>
      <c r="E3061" t="s">
        <v>637</v>
      </c>
      <c r="F3061" t="s">
        <v>2501</v>
      </c>
      <c r="G3061" t="s">
        <v>6721</v>
      </c>
      <c r="H3061" t="s">
        <v>12042</v>
      </c>
      <c r="I3061" t="s">
        <v>17283</v>
      </c>
      <c r="J3061" t="s">
        <v>18893</v>
      </c>
      <c r="K3061">
        <v>10034</v>
      </c>
      <c r="L3061" t="s">
        <v>18958</v>
      </c>
      <c r="M3061" t="s">
        <v>18958</v>
      </c>
      <c r="O3061" t="s">
        <v>26553</v>
      </c>
      <c r="P3061" t="s">
        <v>26560</v>
      </c>
      <c r="Q3061" t="s">
        <v>26568</v>
      </c>
      <c r="R3061" t="s">
        <v>26578</v>
      </c>
      <c r="S3061" t="s">
        <v>18959</v>
      </c>
      <c r="U3061" t="s">
        <v>26604</v>
      </c>
      <c r="W3061" t="s">
        <v>637</v>
      </c>
      <c r="X3061">
        <v>1795</v>
      </c>
      <c r="Y3061" t="s">
        <v>26651</v>
      </c>
      <c r="Z3061" t="s">
        <v>26659</v>
      </c>
      <c r="AA3061" t="s">
        <v>26680</v>
      </c>
      <c r="AB3061" t="s">
        <v>29325</v>
      </c>
      <c r="AD3061" t="s">
        <v>39381</v>
      </c>
      <c r="AE3061">
        <v>44</v>
      </c>
      <c r="AF3061" t="s">
        <v>45541</v>
      </c>
      <c r="AG3061" t="s">
        <v>19330</v>
      </c>
      <c r="AH3061">
        <v>3</v>
      </c>
      <c r="AI3061">
        <v>1</v>
      </c>
      <c r="AJ3061">
        <v>0</v>
      </c>
      <c r="AK3061">
        <v>132.05</v>
      </c>
      <c r="AN3061" t="s">
        <v>7439</v>
      </c>
      <c r="AO3061">
        <v>16031</v>
      </c>
      <c r="AU3061">
        <v>0.1</v>
      </c>
      <c r="AV3061" t="s">
        <v>637</v>
      </c>
      <c r="AW3061" t="s">
        <v>46840</v>
      </c>
    </row>
    <row r="3062" spans="1:49">
      <c r="A3062" s="1">
        <f>HYPERLINK("https://lsnyc.legalserver.org/matter/dynamic-profile/view/1882716","18-1882716")</f>
        <v>0</v>
      </c>
      <c r="B3062" t="s">
        <v>74</v>
      </c>
      <c r="C3062" t="s">
        <v>341</v>
      </c>
      <c r="D3062" t="s">
        <v>637</v>
      </c>
      <c r="E3062" t="s">
        <v>678</v>
      </c>
      <c r="F3062" t="s">
        <v>2503</v>
      </c>
      <c r="G3062" t="s">
        <v>1725</v>
      </c>
      <c r="H3062" t="s">
        <v>12049</v>
      </c>
      <c r="I3062">
        <v>24</v>
      </c>
      <c r="J3062" t="s">
        <v>18893</v>
      </c>
      <c r="K3062">
        <v>10034</v>
      </c>
      <c r="L3062" t="s">
        <v>18958</v>
      </c>
      <c r="M3062" t="s">
        <v>18958</v>
      </c>
      <c r="P3062" t="s">
        <v>26564</v>
      </c>
      <c r="Q3062" t="s">
        <v>26570</v>
      </c>
      <c r="R3062" t="s">
        <v>26578</v>
      </c>
      <c r="S3062" t="s">
        <v>18959</v>
      </c>
      <c r="U3062" t="s">
        <v>26604</v>
      </c>
      <c r="W3062" t="s">
        <v>637</v>
      </c>
      <c r="X3062">
        <v>1264.81</v>
      </c>
      <c r="Y3062" t="s">
        <v>26651</v>
      </c>
      <c r="Z3062" t="s">
        <v>26661</v>
      </c>
      <c r="AA3062" t="s">
        <v>26683</v>
      </c>
      <c r="AB3062" t="s">
        <v>29334</v>
      </c>
      <c r="AE3062">
        <v>31</v>
      </c>
      <c r="AF3062" t="s">
        <v>45541</v>
      </c>
      <c r="AG3062" t="s">
        <v>19330</v>
      </c>
      <c r="AH3062">
        <v>31</v>
      </c>
      <c r="AI3062">
        <v>5</v>
      </c>
      <c r="AJ3062">
        <v>1</v>
      </c>
      <c r="AK3062">
        <v>11.74</v>
      </c>
      <c r="AN3062" t="s">
        <v>45581</v>
      </c>
      <c r="AO3062">
        <v>3960</v>
      </c>
      <c r="AU3062">
        <v>0.25</v>
      </c>
      <c r="AV3062" t="s">
        <v>678</v>
      </c>
      <c r="AW3062" t="s">
        <v>46840</v>
      </c>
    </row>
    <row r="3063" spans="1:49">
      <c r="A3063" s="1">
        <f>HYPERLINK("https://lsnyc.legalserver.org/matter/dynamic-profile/view/1871944","18-1871944")</f>
        <v>0</v>
      </c>
      <c r="B3063" t="s">
        <v>74</v>
      </c>
      <c r="C3063" t="s">
        <v>341</v>
      </c>
      <c r="D3063" t="s">
        <v>637</v>
      </c>
      <c r="E3063" t="s">
        <v>678</v>
      </c>
      <c r="F3063" t="s">
        <v>1026</v>
      </c>
      <c r="G3063" t="s">
        <v>5210</v>
      </c>
      <c r="H3063" t="s">
        <v>9791</v>
      </c>
      <c r="I3063" t="s">
        <v>17282</v>
      </c>
      <c r="J3063" t="s">
        <v>18893</v>
      </c>
      <c r="K3063">
        <v>10034</v>
      </c>
      <c r="L3063" t="s">
        <v>18958</v>
      </c>
      <c r="M3063" t="s">
        <v>18958</v>
      </c>
      <c r="P3063" t="s">
        <v>26564</v>
      </c>
      <c r="Q3063" t="s">
        <v>26570</v>
      </c>
      <c r="R3063" t="s">
        <v>26578</v>
      </c>
      <c r="S3063" t="s">
        <v>18959</v>
      </c>
      <c r="U3063" t="s">
        <v>26604</v>
      </c>
      <c r="W3063" t="s">
        <v>637</v>
      </c>
      <c r="X3063">
        <v>1928.54</v>
      </c>
      <c r="Y3063" t="s">
        <v>26651</v>
      </c>
      <c r="Z3063" t="s">
        <v>26661</v>
      </c>
      <c r="AA3063" t="s">
        <v>26683</v>
      </c>
      <c r="AB3063" t="s">
        <v>26876</v>
      </c>
      <c r="AD3063" t="s">
        <v>36971</v>
      </c>
      <c r="AE3063">
        <v>48</v>
      </c>
      <c r="AF3063" t="s">
        <v>45541</v>
      </c>
      <c r="AG3063" t="s">
        <v>19330</v>
      </c>
      <c r="AH3063">
        <v>7</v>
      </c>
      <c r="AI3063">
        <v>1</v>
      </c>
      <c r="AJ3063">
        <v>0</v>
      </c>
      <c r="AK3063">
        <v>33.11</v>
      </c>
      <c r="AN3063" t="s">
        <v>7439</v>
      </c>
      <c r="AO3063">
        <v>4020</v>
      </c>
      <c r="AU3063">
        <v>0.15</v>
      </c>
      <c r="AV3063" t="s">
        <v>678</v>
      </c>
      <c r="AW3063" t="s">
        <v>46840</v>
      </c>
    </row>
    <row r="3064" spans="1:49">
      <c r="A3064" s="1">
        <f>HYPERLINK("https://lsnyc.legalserver.org/matter/dynamic-profile/view/1882662","18-1882662")</f>
        <v>0</v>
      </c>
      <c r="B3064" t="s">
        <v>74</v>
      </c>
      <c r="C3064" t="s">
        <v>341</v>
      </c>
      <c r="D3064" t="s">
        <v>637</v>
      </c>
      <c r="E3064" t="s">
        <v>678</v>
      </c>
      <c r="F3064" t="s">
        <v>2504</v>
      </c>
      <c r="G3064" t="s">
        <v>6474</v>
      </c>
      <c r="H3064" t="s">
        <v>12050</v>
      </c>
      <c r="I3064">
        <v>51</v>
      </c>
      <c r="J3064" t="s">
        <v>18893</v>
      </c>
      <c r="K3064">
        <v>10034</v>
      </c>
      <c r="L3064" t="s">
        <v>18958</v>
      </c>
      <c r="M3064" t="s">
        <v>18958</v>
      </c>
      <c r="P3064" t="s">
        <v>26564</v>
      </c>
      <c r="Q3064" t="s">
        <v>26570</v>
      </c>
      <c r="R3064" t="s">
        <v>26578</v>
      </c>
      <c r="S3064" t="s">
        <v>18959</v>
      </c>
      <c r="U3064" t="s">
        <v>26604</v>
      </c>
      <c r="W3064" t="s">
        <v>637</v>
      </c>
      <c r="X3064">
        <v>946.96</v>
      </c>
      <c r="Y3064" t="s">
        <v>26651</v>
      </c>
      <c r="Z3064" t="s">
        <v>26661</v>
      </c>
      <c r="AA3064" t="s">
        <v>26683</v>
      </c>
      <c r="AB3064" t="s">
        <v>29335</v>
      </c>
      <c r="AD3064" t="s">
        <v>39390</v>
      </c>
      <c r="AE3064">
        <v>0</v>
      </c>
      <c r="AF3064" t="s">
        <v>45541</v>
      </c>
      <c r="AH3064">
        <v>23</v>
      </c>
      <c r="AI3064">
        <v>1</v>
      </c>
      <c r="AJ3064">
        <v>0</v>
      </c>
      <c r="AK3064">
        <v>82.37</v>
      </c>
      <c r="AN3064" t="s">
        <v>7439</v>
      </c>
      <c r="AO3064">
        <v>10000</v>
      </c>
      <c r="AU3064">
        <v>0.1</v>
      </c>
      <c r="AV3064" t="s">
        <v>525</v>
      </c>
      <c r="AW3064" t="s">
        <v>46840</v>
      </c>
    </row>
    <row r="3065" spans="1:49">
      <c r="A3065" s="1">
        <f>HYPERLINK("https://lsnyc.legalserver.org/matter/dynamic-profile/view/1882713","18-1882713")</f>
        <v>0</v>
      </c>
      <c r="B3065" t="s">
        <v>74</v>
      </c>
      <c r="C3065" t="s">
        <v>341</v>
      </c>
      <c r="D3065" t="s">
        <v>637</v>
      </c>
      <c r="E3065" t="s">
        <v>678</v>
      </c>
      <c r="F3065" t="s">
        <v>1119</v>
      </c>
      <c r="G3065" t="s">
        <v>5081</v>
      </c>
      <c r="H3065" t="s">
        <v>12051</v>
      </c>
      <c r="I3065" t="s">
        <v>17584</v>
      </c>
      <c r="J3065" t="s">
        <v>18893</v>
      </c>
      <c r="K3065">
        <v>10034</v>
      </c>
      <c r="L3065" t="s">
        <v>18958</v>
      </c>
      <c r="M3065" t="s">
        <v>18958</v>
      </c>
      <c r="O3065" t="s">
        <v>26534</v>
      </c>
      <c r="P3065" t="s">
        <v>26564</v>
      </c>
      <c r="Q3065" t="s">
        <v>26570</v>
      </c>
      <c r="R3065" t="s">
        <v>26578</v>
      </c>
      <c r="S3065" t="s">
        <v>18959</v>
      </c>
      <c r="U3065" t="s">
        <v>26604</v>
      </c>
      <c r="W3065" t="s">
        <v>637</v>
      </c>
      <c r="X3065">
        <v>959</v>
      </c>
      <c r="Y3065" t="s">
        <v>26651</v>
      </c>
      <c r="Z3065" t="s">
        <v>26659</v>
      </c>
      <c r="AA3065" t="s">
        <v>26683</v>
      </c>
      <c r="AB3065" t="s">
        <v>29336</v>
      </c>
      <c r="AD3065" t="s">
        <v>39391</v>
      </c>
      <c r="AE3065">
        <v>54</v>
      </c>
      <c r="AF3065" t="s">
        <v>45541</v>
      </c>
      <c r="AG3065" t="s">
        <v>19330</v>
      </c>
      <c r="AH3065">
        <v>19</v>
      </c>
      <c r="AI3065">
        <v>1</v>
      </c>
      <c r="AJ3065">
        <v>0</v>
      </c>
      <c r="AK3065">
        <v>84.02</v>
      </c>
      <c r="AN3065" t="s">
        <v>45581</v>
      </c>
      <c r="AO3065">
        <v>10200</v>
      </c>
      <c r="AU3065">
        <v>0.15</v>
      </c>
      <c r="AV3065" t="s">
        <v>678</v>
      </c>
      <c r="AW3065" t="s">
        <v>46840</v>
      </c>
    </row>
    <row r="3066" spans="1:49">
      <c r="A3066" s="1">
        <f>HYPERLINK("https://lsnyc.legalserver.org/matter/dynamic-profile/view/1882730","18-1882730")</f>
        <v>0</v>
      </c>
      <c r="B3066" t="s">
        <v>74</v>
      </c>
      <c r="C3066" t="s">
        <v>341</v>
      </c>
      <c r="D3066" t="s">
        <v>637</v>
      </c>
      <c r="E3066" t="s">
        <v>682</v>
      </c>
      <c r="F3066" t="s">
        <v>1666</v>
      </c>
      <c r="G3066" t="s">
        <v>6723</v>
      </c>
      <c r="H3066" t="s">
        <v>12052</v>
      </c>
      <c r="I3066" t="s">
        <v>17356</v>
      </c>
      <c r="J3066" t="s">
        <v>18893</v>
      </c>
      <c r="K3066">
        <v>10034</v>
      </c>
      <c r="L3066" t="s">
        <v>18958</v>
      </c>
      <c r="M3066" t="s">
        <v>18958</v>
      </c>
      <c r="P3066" t="s">
        <v>26564</v>
      </c>
      <c r="Q3066" t="s">
        <v>26570</v>
      </c>
      <c r="R3066" t="s">
        <v>26578</v>
      </c>
      <c r="S3066" t="s">
        <v>18959</v>
      </c>
      <c r="U3066" t="s">
        <v>26604</v>
      </c>
      <c r="W3066" t="s">
        <v>637</v>
      </c>
      <c r="X3066">
        <v>690.7</v>
      </c>
      <c r="Y3066" t="s">
        <v>26651</v>
      </c>
      <c r="Z3066" t="s">
        <v>26661</v>
      </c>
      <c r="AA3066" t="s">
        <v>26683</v>
      </c>
      <c r="AB3066" t="s">
        <v>29337</v>
      </c>
      <c r="AD3066" t="s">
        <v>39392</v>
      </c>
      <c r="AE3066">
        <v>22</v>
      </c>
      <c r="AF3066" t="s">
        <v>45541</v>
      </c>
      <c r="AG3066" t="s">
        <v>45559</v>
      </c>
      <c r="AH3066">
        <v>40</v>
      </c>
      <c r="AI3066">
        <v>1</v>
      </c>
      <c r="AJ3066">
        <v>0</v>
      </c>
      <c r="AK3066">
        <v>87.38</v>
      </c>
      <c r="AN3066" t="s">
        <v>45581</v>
      </c>
      <c r="AO3066">
        <v>10608</v>
      </c>
      <c r="AU3066">
        <v>0.2</v>
      </c>
      <c r="AV3066" t="s">
        <v>678</v>
      </c>
      <c r="AW3066" t="s">
        <v>46840</v>
      </c>
    </row>
    <row r="3067" spans="1:49">
      <c r="A3067" s="1">
        <f>HYPERLINK("https://lsnyc.legalserver.org/matter/dynamic-profile/view/1882699","18-1882699")</f>
        <v>0</v>
      </c>
      <c r="B3067" t="s">
        <v>74</v>
      </c>
      <c r="C3067" t="s">
        <v>341</v>
      </c>
      <c r="D3067" t="s">
        <v>637</v>
      </c>
      <c r="E3067" t="s">
        <v>678</v>
      </c>
      <c r="F3067" t="s">
        <v>1241</v>
      </c>
      <c r="G3067" t="s">
        <v>5422</v>
      </c>
      <c r="H3067" t="s">
        <v>10059</v>
      </c>
      <c r="I3067">
        <v>2</v>
      </c>
      <c r="J3067" t="s">
        <v>18893</v>
      </c>
      <c r="K3067">
        <v>10033</v>
      </c>
      <c r="L3067" t="s">
        <v>18958</v>
      </c>
      <c r="M3067" t="s">
        <v>18958</v>
      </c>
      <c r="P3067" t="s">
        <v>26565</v>
      </c>
      <c r="Q3067" t="s">
        <v>26571</v>
      </c>
      <c r="R3067" t="s">
        <v>26578</v>
      </c>
      <c r="S3067" t="s">
        <v>18959</v>
      </c>
      <c r="U3067" t="s">
        <v>26604</v>
      </c>
      <c r="W3067" t="s">
        <v>637</v>
      </c>
      <c r="X3067">
        <v>1150.76</v>
      </c>
      <c r="Y3067" t="s">
        <v>26651</v>
      </c>
      <c r="Z3067" t="s">
        <v>26659</v>
      </c>
      <c r="AA3067" t="s">
        <v>26682</v>
      </c>
      <c r="AB3067" t="s">
        <v>27150</v>
      </c>
      <c r="AD3067" t="s">
        <v>37231</v>
      </c>
      <c r="AE3067">
        <v>0</v>
      </c>
      <c r="AF3067" t="s">
        <v>45541</v>
      </c>
      <c r="AH3067">
        <v>33</v>
      </c>
      <c r="AI3067">
        <v>2</v>
      </c>
      <c r="AJ3067">
        <v>0</v>
      </c>
      <c r="AK3067">
        <v>101.19</v>
      </c>
      <c r="AN3067" t="s">
        <v>45581</v>
      </c>
      <c r="AO3067">
        <v>16656</v>
      </c>
      <c r="AU3067">
        <v>0.5</v>
      </c>
      <c r="AV3067" t="s">
        <v>664</v>
      </c>
      <c r="AW3067" t="s">
        <v>46840</v>
      </c>
    </row>
    <row r="3068" spans="1:49">
      <c r="A3068" s="1">
        <f>HYPERLINK("https://lsnyc.legalserver.org/matter/dynamic-profile/view/1882650","18-1882650")</f>
        <v>0</v>
      </c>
      <c r="B3068" t="s">
        <v>65</v>
      </c>
      <c r="C3068" t="s">
        <v>341</v>
      </c>
      <c r="D3068" t="s">
        <v>637</v>
      </c>
      <c r="E3068" t="s">
        <v>709</v>
      </c>
      <c r="F3068" t="s">
        <v>1926</v>
      </c>
      <c r="G3068" t="s">
        <v>6724</v>
      </c>
      <c r="H3068" t="s">
        <v>12053</v>
      </c>
      <c r="I3068" t="s">
        <v>17921</v>
      </c>
      <c r="J3068" t="s">
        <v>18892</v>
      </c>
      <c r="K3068">
        <v>10460</v>
      </c>
      <c r="L3068" t="s">
        <v>18958</v>
      </c>
      <c r="M3068" t="s">
        <v>18958</v>
      </c>
      <c r="N3068" t="s">
        <v>21234</v>
      </c>
      <c r="O3068" t="s">
        <v>26523</v>
      </c>
      <c r="P3068" t="s">
        <v>26560</v>
      </c>
      <c r="Q3068" t="s">
        <v>26568</v>
      </c>
      <c r="R3068" t="s">
        <v>26577</v>
      </c>
      <c r="S3068" t="s">
        <v>18959</v>
      </c>
      <c r="U3068" t="s">
        <v>26604</v>
      </c>
      <c r="V3068" t="s">
        <v>26612</v>
      </c>
      <c r="W3068" t="s">
        <v>637</v>
      </c>
      <c r="X3068">
        <v>1359.43</v>
      </c>
      <c r="Y3068" t="s">
        <v>26650</v>
      </c>
      <c r="Z3068" t="s">
        <v>26664</v>
      </c>
      <c r="AA3068" t="s">
        <v>26678</v>
      </c>
      <c r="AB3068" t="s">
        <v>29338</v>
      </c>
      <c r="AC3068" t="s">
        <v>35403</v>
      </c>
      <c r="AD3068" t="s">
        <v>39393</v>
      </c>
      <c r="AE3068">
        <v>59</v>
      </c>
      <c r="AF3068" t="s">
        <v>45541</v>
      </c>
      <c r="AG3068" t="s">
        <v>19330</v>
      </c>
      <c r="AH3068">
        <v>12</v>
      </c>
      <c r="AI3068">
        <v>2</v>
      </c>
      <c r="AJ3068">
        <v>3</v>
      </c>
      <c r="AK3068">
        <v>88.38</v>
      </c>
      <c r="AN3068" t="s">
        <v>7439</v>
      </c>
      <c r="AO3068">
        <v>26000</v>
      </c>
      <c r="AQ3068" t="s">
        <v>46361</v>
      </c>
      <c r="AR3068" t="s">
        <v>46385</v>
      </c>
      <c r="AS3068" t="s">
        <v>46499</v>
      </c>
      <c r="AT3068" t="s">
        <v>46581</v>
      </c>
      <c r="AU3068">
        <v>17.7</v>
      </c>
      <c r="AV3068" t="s">
        <v>713</v>
      </c>
      <c r="AW3068" t="s">
        <v>46831</v>
      </c>
    </row>
    <row r="3069" spans="1:49">
      <c r="A3069" s="1">
        <f>HYPERLINK("https://lsnyc.legalserver.org/matter/dynamic-profile/view/1882644","18-1882644")</f>
        <v>0</v>
      </c>
      <c r="B3069" t="s">
        <v>111</v>
      </c>
      <c r="C3069" t="s">
        <v>341</v>
      </c>
      <c r="D3069" t="s">
        <v>637</v>
      </c>
      <c r="E3069" t="s">
        <v>850</v>
      </c>
      <c r="F3069" t="s">
        <v>1045</v>
      </c>
      <c r="G3069" t="s">
        <v>5073</v>
      </c>
      <c r="H3069" t="s">
        <v>12054</v>
      </c>
      <c r="I3069" t="s">
        <v>17416</v>
      </c>
      <c r="J3069" t="s">
        <v>18934</v>
      </c>
      <c r="K3069">
        <v>11413</v>
      </c>
      <c r="L3069" t="s">
        <v>18958</v>
      </c>
      <c r="M3069" t="s">
        <v>18958</v>
      </c>
      <c r="N3069" t="s">
        <v>21235</v>
      </c>
      <c r="O3069" t="s">
        <v>26524</v>
      </c>
      <c r="P3069" t="s">
        <v>26564</v>
      </c>
      <c r="Q3069" t="s">
        <v>26570</v>
      </c>
      <c r="R3069" t="s">
        <v>26584</v>
      </c>
      <c r="S3069" t="s">
        <v>18959</v>
      </c>
      <c r="U3069" t="s">
        <v>26604</v>
      </c>
      <c r="V3069" t="s">
        <v>26610</v>
      </c>
      <c r="W3069" t="s">
        <v>637</v>
      </c>
      <c r="X3069">
        <v>1638</v>
      </c>
      <c r="Y3069" t="s">
        <v>26653</v>
      </c>
      <c r="Z3069" t="s">
        <v>26664</v>
      </c>
      <c r="AA3069" t="s">
        <v>26683</v>
      </c>
      <c r="AB3069" t="s">
        <v>29339</v>
      </c>
      <c r="AC3069" t="s">
        <v>35404</v>
      </c>
      <c r="AD3069" t="s">
        <v>39394</v>
      </c>
      <c r="AE3069">
        <v>2</v>
      </c>
      <c r="AF3069" t="s">
        <v>45547</v>
      </c>
      <c r="AG3069" t="s">
        <v>45556</v>
      </c>
      <c r="AH3069">
        <v>2</v>
      </c>
      <c r="AI3069">
        <v>2</v>
      </c>
      <c r="AJ3069">
        <v>0</v>
      </c>
      <c r="AK3069">
        <v>109.36</v>
      </c>
      <c r="AN3069" t="s">
        <v>7439</v>
      </c>
      <c r="AO3069">
        <v>18000</v>
      </c>
      <c r="AU3069">
        <v>1.2</v>
      </c>
      <c r="AV3069" t="s">
        <v>637</v>
      </c>
      <c r="AW3069" t="s">
        <v>161</v>
      </c>
    </row>
    <row r="3070" spans="1:49">
      <c r="A3070" s="1">
        <f>HYPERLINK("https://lsnyc.legalserver.org/matter/dynamic-profile/view/1882667","18-1882667")</f>
        <v>0</v>
      </c>
      <c r="B3070" t="s">
        <v>198</v>
      </c>
      <c r="C3070" t="s">
        <v>341</v>
      </c>
      <c r="D3070" t="s">
        <v>637</v>
      </c>
      <c r="E3070" t="s">
        <v>811</v>
      </c>
      <c r="F3070" t="s">
        <v>1836</v>
      </c>
      <c r="G3070" t="s">
        <v>5563</v>
      </c>
      <c r="H3070" t="s">
        <v>10934</v>
      </c>
      <c r="I3070" t="s">
        <v>17543</v>
      </c>
      <c r="J3070" t="s">
        <v>18894</v>
      </c>
      <c r="K3070">
        <v>11231</v>
      </c>
      <c r="L3070" t="s">
        <v>18958</v>
      </c>
      <c r="M3070" t="s">
        <v>18958</v>
      </c>
      <c r="O3070" t="s">
        <v>26542</v>
      </c>
      <c r="P3070" t="s">
        <v>26562</v>
      </c>
      <c r="Q3070" t="s">
        <v>26571</v>
      </c>
      <c r="R3070" t="s">
        <v>26578</v>
      </c>
      <c r="U3070" t="s">
        <v>26604</v>
      </c>
      <c r="W3070" t="s">
        <v>637</v>
      </c>
      <c r="X3070">
        <v>0</v>
      </c>
      <c r="Y3070" t="s">
        <v>26652</v>
      </c>
      <c r="AA3070" t="s">
        <v>26685</v>
      </c>
      <c r="AB3070" t="s">
        <v>28099</v>
      </c>
      <c r="AC3070" t="s">
        <v>34968</v>
      </c>
      <c r="AD3070" t="s">
        <v>38152</v>
      </c>
      <c r="AE3070">
        <v>10</v>
      </c>
      <c r="AH3070">
        <v>0</v>
      </c>
      <c r="AI3070">
        <v>4</v>
      </c>
      <c r="AJ3070">
        <v>1</v>
      </c>
      <c r="AK3070">
        <v>0</v>
      </c>
      <c r="AN3070" t="s">
        <v>7439</v>
      </c>
      <c r="AO3070">
        <v>0</v>
      </c>
      <c r="AU3070">
        <v>1.1</v>
      </c>
      <c r="AV3070" t="s">
        <v>811</v>
      </c>
      <c r="AW3070" t="s">
        <v>198</v>
      </c>
    </row>
    <row r="3071" spans="1:49">
      <c r="A3071" s="1">
        <f>HYPERLINK("https://lsnyc.legalserver.org/matter/dynamic-profile/view/1882742","18-1882742")</f>
        <v>0</v>
      </c>
      <c r="B3071" t="s">
        <v>198</v>
      </c>
      <c r="C3071" t="s">
        <v>341</v>
      </c>
      <c r="D3071" t="s">
        <v>637</v>
      </c>
      <c r="E3071" t="s">
        <v>765</v>
      </c>
      <c r="F3071" t="s">
        <v>1016</v>
      </c>
      <c r="G3071" t="s">
        <v>6725</v>
      </c>
      <c r="H3071" t="s">
        <v>12055</v>
      </c>
      <c r="I3071" t="s">
        <v>17347</v>
      </c>
      <c r="J3071" t="s">
        <v>18894</v>
      </c>
      <c r="K3071">
        <v>11210</v>
      </c>
      <c r="L3071" t="s">
        <v>18958</v>
      </c>
      <c r="M3071" t="s">
        <v>18958</v>
      </c>
      <c r="N3071" t="s">
        <v>21236</v>
      </c>
      <c r="O3071" t="s">
        <v>26523</v>
      </c>
      <c r="P3071" t="s">
        <v>26565</v>
      </c>
      <c r="Q3071" t="s">
        <v>26570</v>
      </c>
      <c r="R3071" t="s">
        <v>26578</v>
      </c>
      <c r="U3071" t="s">
        <v>26604</v>
      </c>
      <c r="W3071" t="s">
        <v>637</v>
      </c>
      <c r="X3071">
        <v>2350</v>
      </c>
      <c r="Y3071" t="s">
        <v>26652</v>
      </c>
      <c r="AA3071" t="s">
        <v>26683</v>
      </c>
      <c r="AB3071" t="s">
        <v>29340</v>
      </c>
      <c r="AD3071" t="s">
        <v>39395</v>
      </c>
      <c r="AE3071">
        <v>6</v>
      </c>
      <c r="AH3071">
        <v>2</v>
      </c>
      <c r="AI3071">
        <v>2</v>
      </c>
      <c r="AJ3071">
        <v>3</v>
      </c>
      <c r="AK3071">
        <v>9.18</v>
      </c>
      <c r="AN3071" t="s">
        <v>7439</v>
      </c>
      <c r="AO3071">
        <v>2700</v>
      </c>
      <c r="AU3071">
        <v>3.2</v>
      </c>
      <c r="AV3071" t="s">
        <v>720</v>
      </c>
      <c r="AW3071" t="s">
        <v>46856</v>
      </c>
    </row>
    <row r="3072" spans="1:49">
      <c r="A3072" s="1">
        <f>HYPERLINK("https://lsnyc.legalserver.org/matter/dynamic-profile/view/1882692","18-1882692")</f>
        <v>0</v>
      </c>
      <c r="B3072" t="s">
        <v>126</v>
      </c>
      <c r="C3072" t="s">
        <v>341</v>
      </c>
      <c r="D3072" t="s">
        <v>637</v>
      </c>
      <c r="E3072" t="s">
        <v>706</v>
      </c>
      <c r="F3072" t="s">
        <v>1120</v>
      </c>
      <c r="G3072" t="s">
        <v>5871</v>
      </c>
      <c r="H3072" t="s">
        <v>12056</v>
      </c>
      <c r="I3072" t="s">
        <v>17476</v>
      </c>
      <c r="J3072" t="s">
        <v>18894</v>
      </c>
      <c r="K3072">
        <v>11212</v>
      </c>
      <c r="L3072" t="s">
        <v>18958</v>
      </c>
      <c r="M3072" t="s">
        <v>18958</v>
      </c>
      <c r="P3072" t="s">
        <v>26565</v>
      </c>
      <c r="Q3072" t="s">
        <v>26571</v>
      </c>
      <c r="R3072" t="s">
        <v>26578</v>
      </c>
      <c r="U3072" t="s">
        <v>26604</v>
      </c>
      <c r="W3072" t="s">
        <v>637</v>
      </c>
      <c r="X3072">
        <v>600</v>
      </c>
      <c r="Y3072" t="s">
        <v>26652</v>
      </c>
      <c r="Z3072" t="s">
        <v>26661</v>
      </c>
      <c r="AA3072" t="s">
        <v>26683</v>
      </c>
      <c r="AB3072" t="s">
        <v>29341</v>
      </c>
      <c r="AC3072" t="s">
        <v>35405</v>
      </c>
      <c r="AD3072" t="s">
        <v>39396</v>
      </c>
      <c r="AE3072">
        <v>2</v>
      </c>
      <c r="AH3072">
        <v>1</v>
      </c>
      <c r="AI3072">
        <v>1</v>
      </c>
      <c r="AJ3072">
        <v>0</v>
      </c>
      <c r="AK3072">
        <v>2.57</v>
      </c>
      <c r="AN3072" t="s">
        <v>45596</v>
      </c>
      <c r="AO3072">
        <v>312</v>
      </c>
      <c r="AU3072">
        <v>2.1</v>
      </c>
      <c r="AV3072" t="s">
        <v>706</v>
      </c>
      <c r="AW3072" t="s">
        <v>46856</v>
      </c>
    </row>
    <row r="3073" spans="1:49">
      <c r="A3073" s="1">
        <f>HYPERLINK("https://lsnyc.legalserver.org/matter/dynamic-profile/view/1882719","18-1882719")</f>
        <v>0</v>
      </c>
      <c r="B3073" t="s">
        <v>112</v>
      </c>
      <c r="C3073" t="s">
        <v>341</v>
      </c>
      <c r="D3073" t="s">
        <v>637</v>
      </c>
      <c r="E3073" t="s">
        <v>769</v>
      </c>
      <c r="F3073" t="s">
        <v>2074</v>
      </c>
      <c r="G3073" t="s">
        <v>6726</v>
      </c>
      <c r="H3073" t="s">
        <v>12057</v>
      </c>
      <c r="I3073" t="s">
        <v>17298</v>
      </c>
      <c r="J3073" t="s">
        <v>18906</v>
      </c>
      <c r="K3073">
        <v>11373</v>
      </c>
      <c r="L3073" t="s">
        <v>18958</v>
      </c>
      <c r="M3073" t="s">
        <v>18958</v>
      </c>
      <c r="N3073" t="s">
        <v>21237</v>
      </c>
      <c r="O3073" t="s">
        <v>26523</v>
      </c>
      <c r="P3073" t="s">
        <v>26560</v>
      </c>
      <c r="Q3073" t="s">
        <v>26568</v>
      </c>
      <c r="R3073" t="s">
        <v>26585</v>
      </c>
      <c r="S3073" t="s">
        <v>18959</v>
      </c>
      <c r="U3073" t="s">
        <v>26604</v>
      </c>
      <c r="V3073" t="s">
        <v>26610</v>
      </c>
      <c r="W3073" t="s">
        <v>637</v>
      </c>
      <c r="X3073">
        <v>847.03</v>
      </c>
      <c r="Y3073" t="s">
        <v>26653</v>
      </c>
      <c r="Z3073" t="s">
        <v>26664</v>
      </c>
      <c r="AA3073" t="s">
        <v>26678</v>
      </c>
      <c r="AB3073" t="s">
        <v>29342</v>
      </c>
      <c r="AC3073" t="s">
        <v>35406</v>
      </c>
      <c r="AD3073" t="s">
        <v>39397</v>
      </c>
      <c r="AE3073">
        <v>168</v>
      </c>
      <c r="AF3073" t="s">
        <v>45541</v>
      </c>
      <c r="AG3073" t="s">
        <v>19330</v>
      </c>
      <c r="AH3073">
        <v>40</v>
      </c>
      <c r="AI3073">
        <v>3</v>
      </c>
      <c r="AJ3073">
        <v>1</v>
      </c>
      <c r="AK3073">
        <v>37.86</v>
      </c>
      <c r="AN3073" t="s">
        <v>7439</v>
      </c>
      <c r="AO3073">
        <v>9504</v>
      </c>
      <c r="AQ3073" t="s">
        <v>46362</v>
      </c>
      <c r="AR3073" t="s">
        <v>46407</v>
      </c>
      <c r="AS3073" t="s">
        <v>46499</v>
      </c>
      <c r="AT3073" t="s">
        <v>46662</v>
      </c>
      <c r="AU3073">
        <v>9.199999999999999</v>
      </c>
      <c r="AV3073" t="s">
        <v>780</v>
      </c>
      <c r="AW3073" t="s">
        <v>161</v>
      </c>
    </row>
    <row r="3074" spans="1:49">
      <c r="A3074" s="1">
        <f>HYPERLINK("https://lsnyc.legalserver.org/matter/dynamic-profile/view/1882666","18-1882666")</f>
        <v>0</v>
      </c>
      <c r="B3074" t="s">
        <v>91</v>
      </c>
      <c r="C3074" t="s">
        <v>341</v>
      </c>
      <c r="D3074" t="s">
        <v>637</v>
      </c>
      <c r="E3074" t="s">
        <v>692</v>
      </c>
      <c r="F3074" t="s">
        <v>1013</v>
      </c>
      <c r="G3074" t="s">
        <v>6727</v>
      </c>
      <c r="H3074" t="s">
        <v>12058</v>
      </c>
      <c r="I3074" t="s">
        <v>17427</v>
      </c>
      <c r="J3074" t="s">
        <v>18901</v>
      </c>
      <c r="K3074">
        <v>11434</v>
      </c>
      <c r="L3074" t="s">
        <v>18958</v>
      </c>
      <c r="M3074" t="s">
        <v>18958</v>
      </c>
      <c r="N3074" t="s">
        <v>21238</v>
      </c>
      <c r="O3074" t="s">
        <v>26524</v>
      </c>
      <c r="P3074" t="s">
        <v>26560</v>
      </c>
      <c r="Q3074" t="s">
        <v>26568</v>
      </c>
      <c r="R3074" t="s">
        <v>26585</v>
      </c>
      <c r="S3074" t="s">
        <v>18959</v>
      </c>
      <c r="U3074" t="s">
        <v>26604</v>
      </c>
      <c r="V3074" t="s">
        <v>26610</v>
      </c>
      <c r="W3074" t="s">
        <v>637</v>
      </c>
      <c r="X3074">
        <v>650</v>
      </c>
      <c r="Y3074" t="s">
        <v>26653</v>
      </c>
      <c r="Z3074" t="s">
        <v>26664</v>
      </c>
      <c r="AA3074" t="s">
        <v>26679</v>
      </c>
      <c r="AB3074" t="s">
        <v>29343</v>
      </c>
      <c r="AC3074" t="s">
        <v>35407</v>
      </c>
      <c r="AD3074" t="s">
        <v>34738</v>
      </c>
      <c r="AE3074">
        <v>2</v>
      </c>
      <c r="AF3074" t="s">
        <v>45547</v>
      </c>
      <c r="AG3074" t="s">
        <v>19330</v>
      </c>
      <c r="AH3074">
        <v>3</v>
      </c>
      <c r="AI3074">
        <v>1</v>
      </c>
      <c r="AJ3074">
        <v>2</v>
      </c>
      <c r="AK3074">
        <v>50.05</v>
      </c>
      <c r="AN3074" t="s">
        <v>7439</v>
      </c>
      <c r="AO3074">
        <v>10400</v>
      </c>
      <c r="AR3074" t="s">
        <v>26530</v>
      </c>
      <c r="AS3074" t="s">
        <v>46500</v>
      </c>
      <c r="AT3074" t="s">
        <v>46533</v>
      </c>
      <c r="AU3074">
        <v>7.1</v>
      </c>
      <c r="AV3074" t="s">
        <v>692</v>
      </c>
      <c r="AW3074" t="s">
        <v>161</v>
      </c>
    </row>
    <row r="3075" spans="1:49">
      <c r="A3075" s="1">
        <f>HYPERLINK("https://lsnyc.legalserver.org/matter/dynamic-profile/view/1882656","18-1882656")</f>
        <v>0</v>
      </c>
      <c r="B3075" t="s">
        <v>235</v>
      </c>
      <c r="C3075" t="s">
        <v>341</v>
      </c>
      <c r="D3075" t="s">
        <v>637</v>
      </c>
      <c r="E3075" t="s">
        <v>525</v>
      </c>
      <c r="F3075" t="s">
        <v>2505</v>
      </c>
      <c r="G3075" t="s">
        <v>6728</v>
      </c>
      <c r="H3075" t="s">
        <v>12059</v>
      </c>
      <c r="I3075" t="s">
        <v>17416</v>
      </c>
      <c r="J3075" t="s">
        <v>18896</v>
      </c>
      <c r="K3075">
        <v>11419</v>
      </c>
      <c r="L3075" t="s">
        <v>18958</v>
      </c>
      <c r="M3075" t="s">
        <v>18958</v>
      </c>
      <c r="N3075" t="s">
        <v>21239</v>
      </c>
      <c r="O3075" t="s">
        <v>26524</v>
      </c>
      <c r="P3075" t="s">
        <v>26564</v>
      </c>
      <c r="Q3075" t="s">
        <v>26570</v>
      </c>
      <c r="R3075" t="s">
        <v>26584</v>
      </c>
      <c r="S3075" t="s">
        <v>18959</v>
      </c>
      <c r="U3075" t="s">
        <v>26604</v>
      </c>
      <c r="V3075" t="s">
        <v>26610</v>
      </c>
      <c r="W3075" t="s">
        <v>637</v>
      </c>
      <c r="X3075">
        <v>1150</v>
      </c>
      <c r="Y3075" t="s">
        <v>26653</v>
      </c>
      <c r="Z3075" t="s">
        <v>26664</v>
      </c>
      <c r="AA3075" t="s">
        <v>26683</v>
      </c>
      <c r="AB3075" t="s">
        <v>29344</v>
      </c>
      <c r="AC3075" t="s">
        <v>35408</v>
      </c>
      <c r="AD3075" t="s">
        <v>39398</v>
      </c>
      <c r="AE3075">
        <v>2</v>
      </c>
      <c r="AF3075" t="s">
        <v>45547</v>
      </c>
      <c r="AG3075" t="s">
        <v>45557</v>
      </c>
      <c r="AH3075">
        <v>2</v>
      </c>
      <c r="AI3075">
        <v>1</v>
      </c>
      <c r="AJ3075">
        <v>1</v>
      </c>
      <c r="AK3075">
        <v>0</v>
      </c>
      <c r="AN3075" t="s">
        <v>7439</v>
      </c>
      <c r="AO3075">
        <v>0</v>
      </c>
      <c r="AU3075">
        <v>0.3</v>
      </c>
      <c r="AV3075" t="s">
        <v>525</v>
      </c>
      <c r="AW3075" t="s">
        <v>161</v>
      </c>
    </row>
    <row r="3076" spans="1:49">
      <c r="A3076" s="1">
        <f>HYPERLINK("https://lsnyc.legalserver.org/matter/dynamic-profile/view/1882608","18-1882608")</f>
        <v>0</v>
      </c>
      <c r="B3076" t="s">
        <v>235</v>
      </c>
      <c r="C3076" t="s">
        <v>341</v>
      </c>
      <c r="D3076" t="s">
        <v>637</v>
      </c>
      <c r="E3076" t="s">
        <v>718</v>
      </c>
      <c r="F3076" t="s">
        <v>2506</v>
      </c>
      <c r="G3076" t="s">
        <v>6729</v>
      </c>
      <c r="H3076" t="s">
        <v>12060</v>
      </c>
      <c r="I3076" t="s">
        <v>17327</v>
      </c>
      <c r="J3076" t="s">
        <v>18901</v>
      </c>
      <c r="K3076">
        <v>11435</v>
      </c>
      <c r="L3076" t="s">
        <v>18958</v>
      </c>
      <c r="M3076" t="s">
        <v>18958</v>
      </c>
      <c r="N3076" t="s">
        <v>21240</v>
      </c>
      <c r="O3076" t="s">
        <v>26523</v>
      </c>
      <c r="P3076" t="s">
        <v>26564</v>
      </c>
      <c r="Q3076" t="s">
        <v>26570</v>
      </c>
      <c r="R3076" t="s">
        <v>26584</v>
      </c>
      <c r="S3076" t="s">
        <v>18959</v>
      </c>
      <c r="U3076" t="s">
        <v>26604</v>
      </c>
      <c r="V3076" t="s">
        <v>26612</v>
      </c>
      <c r="W3076" t="s">
        <v>637</v>
      </c>
      <c r="X3076">
        <v>1569</v>
      </c>
      <c r="Y3076" t="s">
        <v>26653</v>
      </c>
      <c r="Z3076" t="s">
        <v>26664</v>
      </c>
      <c r="AA3076" t="s">
        <v>26683</v>
      </c>
      <c r="AB3076" t="s">
        <v>29345</v>
      </c>
      <c r="AC3076" t="s">
        <v>35409</v>
      </c>
      <c r="AD3076" t="s">
        <v>39399</v>
      </c>
      <c r="AE3076">
        <v>47</v>
      </c>
      <c r="AG3076" t="s">
        <v>45557</v>
      </c>
      <c r="AH3076">
        <v>6</v>
      </c>
      <c r="AI3076">
        <v>2</v>
      </c>
      <c r="AJ3076">
        <v>4</v>
      </c>
      <c r="AK3076">
        <v>32.6</v>
      </c>
      <c r="AN3076" t="s">
        <v>7439</v>
      </c>
      <c r="AO3076">
        <v>11000</v>
      </c>
      <c r="AU3076">
        <v>1.1</v>
      </c>
      <c r="AV3076" t="s">
        <v>718</v>
      </c>
      <c r="AW3076" t="s">
        <v>161</v>
      </c>
    </row>
    <row r="3077" spans="1:49">
      <c r="A3077" s="1">
        <f>HYPERLINK("https://lsnyc.legalserver.org/matter/dynamic-profile/view/1882727","18-1882727")</f>
        <v>0</v>
      </c>
      <c r="B3077" t="s">
        <v>221</v>
      </c>
      <c r="C3077" t="s">
        <v>341</v>
      </c>
      <c r="D3077" t="s">
        <v>637</v>
      </c>
      <c r="E3077" t="s">
        <v>494</v>
      </c>
      <c r="F3077" t="s">
        <v>2507</v>
      </c>
      <c r="G3077" t="s">
        <v>6730</v>
      </c>
      <c r="H3077" t="s">
        <v>12061</v>
      </c>
      <c r="I3077" t="s">
        <v>17374</v>
      </c>
      <c r="J3077" t="s">
        <v>18918</v>
      </c>
      <c r="K3077">
        <v>11416</v>
      </c>
      <c r="L3077" t="s">
        <v>18958</v>
      </c>
      <c r="M3077" t="s">
        <v>18958</v>
      </c>
      <c r="N3077" t="s">
        <v>21241</v>
      </c>
      <c r="O3077" t="s">
        <v>26524</v>
      </c>
      <c r="P3077" t="s">
        <v>26564</v>
      </c>
      <c r="Q3077" t="s">
        <v>26570</v>
      </c>
      <c r="R3077" t="s">
        <v>26584</v>
      </c>
      <c r="S3077" t="s">
        <v>18959</v>
      </c>
      <c r="U3077" t="s">
        <v>26604</v>
      </c>
      <c r="V3077" t="s">
        <v>26610</v>
      </c>
      <c r="W3077" t="s">
        <v>637</v>
      </c>
      <c r="X3077">
        <v>700</v>
      </c>
      <c r="Y3077" t="s">
        <v>26653</v>
      </c>
      <c r="Z3077" t="s">
        <v>26664</v>
      </c>
      <c r="AA3077" t="s">
        <v>26683</v>
      </c>
      <c r="AB3077" t="s">
        <v>29346</v>
      </c>
      <c r="AD3077" t="s">
        <v>39400</v>
      </c>
      <c r="AE3077">
        <v>2</v>
      </c>
      <c r="AF3077" t="s">
        <v>45547</v>
      </c>
      <c r="AG3077" t="s">
        <v>19330</v>
      </c>
      <c r="AH3077">
        <v>3</v>
      </c>
      <c r="AI3077">
        <v>1</v>
      </c>
      <c r="AJ3077">
        <v>0</v>
      </c>
      <c r="AK3077">
        <v>171.33</v>
      </c>
      <c r="AN3077" t="s">
        <v>7439</v>
      </c>
      <c r="AO3077">
        <v>20800</v>
      </c>
      <c r="AU3077">
        <v>2.25</v>
      </c>
      <c r="AV3077" t="s">
        <v>740</v>
      </c>
      <c r="AW3077" t="s">
        <v>161</v>
      </c>
    </row>
    <row r="3078" spans="1:49">
      <c r="A3078" s="1">
        <f>HYPERLINK("https://lsnyc.legalserver.org/matter/dynamic-profile/view/1882629","18-1882629")</f>
        <v>0</v>
      </c>
      <c r="B3078" t="s">
        <v>107</v>
      </c>
      <c r="C3078" t="s">
        <v>340</v>
      </c>
      <c r="D3078" t="s">
        <v>637</v>
      </c>
      <c r="F3078" t="s">
        <v>1021</v>
      </c>
      <c r="G3078" t="s">
        <v>6731</v>
      </c>
      <c r="H3078" t="s">
        <v>12062</v>
      </c>
      <c r="I3078" t="s">
        <v>17922</v>
      </c>
      <c r="J3078" t="s">
        <v>18910</v>
      </c>
      <c r="K3078">
        <v>11420</v>
      </c>
      <c r="L3078" t="s">
        <v>18958</v>
      </c>
      <c r="M3078" t="s">
        <v>18958</v>
      </c>
      <c r="N3078" t="s">
        <v>21242</v>
      </c>
      <c r="O3078" t="s">
        <v>26524</v>
      </c>
      <c r="P3078" t="s">
        <v>26564</v>
      </c>
      <c r="R3078" t="s">
        <v>26584</v>
      </c>
      <c r="S3078" t="s">
        <v>18959</v>
      </c>
      <c r="U3078" t="s">
        <v>26604</v>
      </c>
      <c r="V3078" t="s">
        <v>26610</v>
      </c>
      <c r="W3078" t="s">
        <v>637</v>
      </c>
      <c r="X3078">
        <v>0</v>
      </c>
      <c r="Y3078" t="s">
        <v>26653</v>
      </c>
      <c r="Z3078" t="s">
        <v>26664</v>
      </c>
      <c r="AB3078" t="s">
        <v>27171</v>
      </c>
      <c r="AC3078" t="s">
        <v>19045</v>
      </c>
      <c r="AD3078" t="s">
        <v>39401</v>
      </c>
      <c r="AE3078">
        <v>1</v>
      </c>
      <c r="AF3078" t="s">
        <v>45547</v>
      </c>
      <c r="AG3078" t="s">
        <v>19330</v>
      </c>
      <c r="AH3078">
        <v>3</v>
      </c>
      <c r="AI3078">
        <v>1</v>
      </c>
      <c r="AJ3078">
        <v>0</v>
      </c>
      <c r="AK3078">
        <v>0</v>
      </c>
      <c r="AN3078" t="s">
        <v>7439</v>
      </c>
      <c r="AO3078">
        <v>0</v>
      </c>
      <c r="AQ3078" t="s">
        <v>46365</v>
      </c>
      <c r="AR3078" t="s">
        <v>26530</v>
      </c>
      <c r="AS3078" t="s">
        <v>46499</v>
      </c>
      <c r="AT3078" t="s">
        <v>46542</v>
      </c>
      <c r="AU3078">
        <v>0.5</v>
      </c>
      <c r="AV3078" t="s">
        <v>519</v>
      </c>
      <c r="AW3078" t="s">
        <v>161</v>
      </c>
    </row>
    <row r="3079" spans="1:49">
      <c r="A3079" s="1">
        <f>HYPERLINK("https://lsnyc.legalserver.org/matter/dynamic-profile/view/1882649","18-1882649")</f>
        <v>0</v>
      </c>
      <c r="B3079" t="s">
        <v>107</v>
      </c>
      <c r="C3079" t="s">
        <v>340</v>
      </c>
      <c r="D3079" t="s">
        <v>637</v>
      </c>
      <c r="F3079" t="s">
        <v>2508</v>
      </c>
      <c r="G3079" t="s">
        <v>5026</v>
      </c>
      <c r="H3079" t="s">
        <v>12063</v>
      </c>
      <c r="J3079" t="s">
        <v>18901</v>
      </c>
      <c r="K3079">
        <v>11436</v>
      </c>
      <c r="L3079" t="s">
        <v>18958</v>
      </c>
      <c r="M3079" t="s">
        <v>18958</v>
      </c>
      <c r="N3079" t="s">
        <v>21243</v>
      </c>
      <c r="O3079" t="s">
        <v>26524</v>
      </c>
      <c r="P3079" t="s">
        <v>26564</v>
      </c>
      <c r="R3079" t="s">
        <v>26584</v>
      </c>
      <c r="S3079" t="s">
        <v>18959</v>
      </c>
      <c r="U3079" t="s">
        <v>26604</v>
      </c>
      <c r="V3079" t="s">
        <v>26612</v>
      </c>
      <c r="W3079" t="s">
        <v>637</v>
      </c>
      <c r="X3079">
        <v>600</v>
      </c>
      <c r="Y3079" t="s">
        <v>26653</v>
      </c>
      <c r="Z3079" t="s">
        <v>26664</v>
      </c>
      <c r="AB3079" t="s">
        <v>29347</v>
      </c>
      <c r="AC3079" t="s">
        <v>35410</v>
      </c>
      <c r="AD3079" t="s">
        <v>39402</v>
      </c>
      <c r="AE3079">
        <v>1</v>
      </c>
      <c r="AF3079" t="s">
        <v>45547</v>
      </c>
      <c r="AG3079" t="s">
        <v>19330</v>
      </c>
      <c r="AH3079">
        <v>4</v>
      </c>
      <c r="AI3079">
        <v>2</v>
      </c>
      <c r="AJ3079">
        <v>0</v>
      </c>
      <c r="AK3079">
        <v>58.32</v>
      </c>
      <c r="AN3079" t="s">
        <v>7439</v>
      </c>
      <c r="AO3079">
        <v>9600</v>
      </c>
      <c r="AQ3079" t="s">
        <v>46365</v>
      </c>
      <c r="AR3079" t="s">
        <v>26530</v>
      </c>
      <c r="AS3079" t="s">
        <v>46500</v>
      </c>
      <c r="AT3079" t="s">
        <v>46542</v>
      </c>
      <c r="AU3079">
        <v>0.9</v>
      </c>
      <c r="AV3079" t="s">
        <v>683</v>
      </c>
      <c r="AW3079" t="s">
        <v>161</v>
      </c>
    </row>
    <row r="3080" spans="1:49">
      <c r="A3080" s="1">
        <f>HYPERLINK("https://lsnyc.legalserver.org/matter/dynamic-profile/view/1882593","18-1882593")</f>
        <v>0</v>
      </c>
      <c r="B3080" t="s">
        <v>107</v>
      </c>
      <c r="C3080" t="s">
        <v>340</v>
      </c>
      <c r="D3080" t="s">
        <v>637</v>
      </c>
      <c r="F3080" t="s">
        <v>1475</v>
      </c>
      <c r="G3080" t="s">
        <v>5760</v>
      </c>
      <c r="H3080" t="s">
        <v>12064</v>
      </c>
      <c r="I3080" t="s">
        <v>17417</v>
      </c>
      <c r="J3080" t="s">
        <v>18923</v>
      </c>
      <c r="K3080">
        <v>11418</v>
      </c>
      <c r="L3080" t="s">
        <v>18958</v>
      </c>
      <c r="M3080" t="s">
        <v>18958</v>
      </c>
      <c r="N3080" t="s">
        <v>21244</v>
      </c>
      <c r="O3080" t="s">
        <v>26523</v>
      </c>
      <c r="P3080" t="s">
        <v>26564</v>
      </c>
      <c r="R3080" t="s">
        <v>26584</v>
      </c>
      <c r="S3080" t="s">
        <v>18959</v>
      </c>
      <c r="U3080" t="s">
        <v>26604</v>
      </c>
      <c r="V3080" t="s">
        <v>26611</v>
      </c>
      <c r="W3080" t="s">
        <v>637</v>
      </c>
      <c r="X3080">
        <v>1350</v>
      </c>
      <c r="Y3080" t="s">
        <v>26653</v>
      </c>
      <c r="Z3080" t="s">
        <v>26664</v>
      </c>
      <c r="AB3080" t="s">
        <v>29348</v>
      </c>
      <c r="AC3080" t="s">
        <v>19045</v>
      </c>
      <c r="AD3080" t="s">
        <v>39403</v>
      </c>
      <c r="AE3080">
        <v>44</v>
      </c>
      <c r="AF3080" t="s">
        <v>45541</v>
      </c>
      <c r="AG3080" t="s">
        <v>19330</v>
      </c>
      <c r="AH3080">
        <v>3</v>
      </c>
      <c r="AI3080">
        <v>1</v>
      </c>
      <c r="AJ3080">
        <v>2</v>
      </c>
      <c r="AK3080">
        <v>192.49</v>
      </c>
      <c r="AN3080" t="s">
        <v>7439</v>
      </c>
      <c r="AO3080">
        <v>40000</v>
      </c>
      <c r="AQ3080" t="s">
        <v>46365</v>
      </c>
      <c r="AR3080" t="s">
        <v>26530</v>
      </c>
      <c r="AS3080" t="s">
        <v>46499</v>
      </c>
      <c r="AT3080" t="s">
        <v>46542</v>
      </c>
      <c r="AU3080">
        <v>1.1</v>
      </c>
      <c r="AV3080" t="s">
        <v>691</v>
      </c>
      <c r="AW3080" t="s">
        <v>161</v>
      </c>
    </row>
    <row r="3081" spans="1:49">
      <c r="A3081" s="1">
        <f>HYPERLINK("https://lsnyc.legalserver.org/matter/dynamic-profile/view/1882598","18-1882598")</f>
        <v>0</v>
      </c>
      <c r="B3081" t="s">
        <v>107</v>
      </c>
      <c r="C3081" t="s">
        <v>340</v>
      </c>
      <c r="D3081" t="s">
        <v>637</v>
      </c>
      <c r="F3081" t="s">
        <v>928</v>
      </c>
      <c r="G3081" t="s">
        <v>6732</v>
      </c>
      <c r="H3081" t="s">
        <v>12065</v>
      </c>
      <c r="I3081" t="s">
        <v>17334</v>
      </c>
      <c r="J3081" t="s">
        <v>18899</v>
      </c>
      <c r="K3081">
        <v>11385</v>
      </c>
      <c r="L3081" t="s">
        <v>18958</v>
      </c>
      <c r="M3081" t="s">
        <v>18958</v>
      </c>
      <c r="N3081" t="s">
        <v>21245</v>
      </c>
      <c r="O3081" t="s">
        <v>26524</v>
      </c>
      <c r="P3081" t="s">
        <v>26560</v>
      </c>
      <c r="R3081" t="s">
        <v>26585</v>
      </c>
      <c r="S3081" t="s">
        <v>18959</v>
      </c>
      <c r="U3081" t="s">
        <v>26604</v>
      </c>
      <c r="V3081" t="s">
        <v>26610</v>
      </c>
      <c r="W3081" t="s">
        <v>637</v>
      </c>
      <c r="X3081">
        <v>870</v>
      </c>
      <c r="Y3081" t="s">
        <v>26653</v>
      </c>
      <c r="Z3081" t="s">
        <v>26664</v>
      </c>
      <c r="AB3081" t="s">
        <v>29349</v>
      </c>
      <c r="AD3081" t="s">
        <v>39404</v>
      </c>
      <c r="AE3081">
        <v>6</v>
      </c>
      <c r="AF3081" t="s">
        <v>45541</v>
      </c>
      <c r="AG3081" t="s">
        <v>19330</v>
      </c>
      <c r="AH3081">
        <v>30</v>
      </c>
      <c r="AI3081">
        <v>1</v>
      </c>
      <c r="AJ3081">
        <v>0</v>
      </c>
      <c r="AK3081">
        <v>0</v>
      </c>
      <c r="AN3081" t="s">
        <v>7439</v>
      </c>
      <c r="AO3081">
        <v>0</v>
      </c>
      <c r="AU3081">
        <v>56.95</v>
      </c>
      <c r="AV3081" t="s">
        <v>788</v>
      </c>
      <c r="AW3081" t="s">
        <v>161</v>
      </c>
    </row>
    <row r="3082" spans="1:49">
      <c r="A3082" s="1">
        <f>HYPERLINK("https://lsnyc.legalserver.org/matter/dynamic-profile/view/1882619","18-1882619")</f>
        <v>0</v>
      </c>
      <c r="B3082" t="s">
        <v>149</v>
      </c>
      <c r="C3082" t="s">
        <v>340</v>
      </c>
      <c r="D3082" t="s">
        <v>637</v>
      </c>
      <c r="F3082" t="s">
        <v>2509</v>
      </c>
      <c r="G3082" t="s">
        <v>6733</v>
      </c>
      <c r="H3082" t="s">
        <v>12066</v>
      </c>
      <c r="I3082" t="s">
        <v>17490</v>
      </c>
      <c r="J3082" t="s">
        <v>18892</v>
      </c>
      <c r="K3082">
        <v>10468</v>
      </c>
      <c r="L3082" t="s">
        <v>18958</v>
      </c>
      <c r="M3082" t="s">
        <v>18958</v>
      </c>
      <c r="N3082" t="s">
        <v>21246</v>
      </c>
      <c r="O3082" t="s">
        <v>26523</v>
      </c>
      <c r="P3082" t="s">
        <v>26560</v>
      </c>
      <c r="R3082" t="s">
        <v>26579</v>
      </c>
      <c r="U3082" t="s">
        <v>26604</v>
      </c>
      <c r="V3082" t="s">
        <v>26610</v>
      </c>
      <c r="W3082" t="s">
        <v>637</v>
      </c>
      <c r="X3082">
        <v>1252</v>
      </c>
      <c r="Y3082" t="s">
        <v>26650</v>
      </c>
      <c r="Z3082" t="s">
        <v>26664</v>
      </c>
      <c r="AB3082" t="s">
        <v>29350</v>
      </c>
      <c r="AC3082" t="s">
        <v>35411</v>
      </c>
      <c r="AD3082" t="s">
        <v>39405</v>
      </c>
      <c r="AE3082">
        <v>0</v>
      </c>
      <c r="AF3082" t="s">
        <v>20460</v>
      </c>
      <c r="AG3082" t="s">
        <v>45557</v>
      </c>
      <c r="AH3082">
        <v>2</v>
      </c>
      <c r="AI3082">
        <v>1</v>
      </c>
      <c r="AJ3082">
        <v>2</v>
      </c>
      <c r="AK3082">
        <v>65.72</v>
      </c>
      <c r="AN3082" t="s">
        <v>45581</v>
      </c>
      <c r="AO3082">
        <v>13656</v>
      </c>
      <c r="AU3082">
        <v>23.25</v>
      </c>
      <c r="AV3082" t="s">
        <v>830</v>
      </c>
      <c r="AW3082" t="s">
        <v>334</v>
      </c>
    </row>
    <row r="3083" spans="1:49">
      <c r="A3083" s="1">
        <f>HYPERLINK("https://lsnyc.legalserver.org/matter/dynamic-profile/view/1882748","18-1882748")</f>
        <v>0</v>
      </c>
      <c r="B3083" t="s">
        <v>258</v>
      </c>
      <c r="C3083" t="s">
        <v>340</v>
      </c>
      <c r="D3083" t="s">
        <v>637</v>
      </c>
      <c r="F3083" t="s">
        <v>1466</v>
      </c>
      <c r="G3083" t="s">
        <v>5152</v>
      </c>
      <c r="H3083" t="s">
        <v>12067</v>
      </c>
      <c r="I3083" t="s">
        <v>17469</v>
      </c>
      <c r="J3083" t="s">
        <v>18918</v>
      </c>
      <c r="K3083">
        <v>11416</v>
      </c>
      <c r="L3083" t="s">
        <v>18958</v>
      </c>
      <c r="M3083" t="s">
        <v>18958</v>
      </c>
      <c r="N3083" t="s">
        <v>21247</v>
      </c>
      <c r="O3083" t="s">
        <v>26523</v>
      </c>
      <c r="P3083" t="s">
        <v>26560</v>
      </c>
      <c r="R3083" t="s">
        <v>26584</v>
      </c>
      <c r="S3083" t="s">
        <v>18959</v>
      </c>
      <c r="U3083" t="s">
        <v>26604</v>
      </c>
      <c r="V3083" t="s">
        <v>26610</v>
      </c>
      <c r="W3083" t="s">
        <v>637</v>
      </c>
      <c r="X3083">
        <v>2000</v>
      </c>
      <c r="Y3083" t="s">
        <v>26653</v>
      </c>
      <c r="Z3083" t="s">
        <v>26664</v>
      </c>
      <c r="AB3083" t="s">
        <v>29351</v>
      </c>
      <c r="AC3083" t="s">
        <v>35412</v>
      </c>
      <c r="AD3083" t="s">
        <v>39406</v>
      </c>
      <c r="AE3083">
        <v>4</v>
      </c>
      <c r="AF3083" t="s">
        <v>45547</v>
      </c>
      <c r="AG3083" t="s">
        <v>45556</v>
      </c>
      <c r="AH3083">
        <v>3</v>
      </c>
      <c r="AI3083">
        <v>2</v>
      </c>
      <c r="AJ3083">
        <v>2</v>
      </c>
      <c r="AK3083">
        <v>117.05</v>
      </c>
      <c r="AN3083" t="s">
        <v>45581</v>
      </c>
      <c r="AO3083">
        <v>29380</v>
      </c>
      <c r="AQ3083" t="s">
        <v>46359</v>
      </c>
      <c r="AR3083" t="s">
        <v>46379</v>
      </c>
      <c r="AS3083" t="s">
        <v>46499</v>
      </c>
      <c r="AT3083" t="s">
        <v>46560</v>
      </c>
      <c r="AU3083">
        <v>17.1</v>
      </c>
      <c r="AV3083" t="s">
        <v>668</v>
      </c>
      <c r="AW3083" t="s">
        <v>161</v>
      </c>
    </row>
    <row r="3084" spans="1:49">
      <c r="A3084" s="1">
        <f>HYPERLINK("https://lsnyc.legalserver.org/matter/dynamic-profile/view/1882636","18-1882636")</f>
        <v>0</v>
      </c>
      <c r="B3084" t="s">
        <v>212</v>
      </c>
      <c r="C3084" t="s">
        <v>340</v>
      </c>
      <c r="D3084" t="s">
        <v>637</v>
      </c>
      <c r="F3084" t="s">
        <v>2510</v>
      </c>
      <c r="G3084" t="s">
        <v>5208</v>
      </c>
      <c r="H3084" t="s">
        <v>12068</v>
      </c>
      <c r="I3084" t="s">
        <v>17646</v>
      </c>
      <c r="J3084" t="s">
        <v>18932</v>
      </c>
      <c r="K3084">
        <v>11385</v>
      </c>
      <c r="L3084" t="s">
        <v>18958</v>
      </c>
      <c r="M3084" t="s">
        <v>18958</v>
      </c>
      <c r="N3084" t="s">
        <v>21248</v>
      </c>
      <c r="O3084" t="s">
        <v>26523</v>
      </c>
      <c r="P3084" t="s">
        <v>26560</v>
      </c>
      <c r="R3084" t="s">
        <v>26585</v>
      </c>
      <c r="S3084" t="s">
        <v>18959</v>
      </c>
      <c r="U3084" t="s">
        <v>26604</v>
      </c>
      <c r="V3084" t="s">
        <v>26610</v>
      </c>
      <c r="W3084" t="s">
        <v>637</v>
      </c>
      <c r="X3084">
        <v>1841</v>
      </c>
      <c r="Y3084" t="s">
        <v>26653</v>
      </c>
      <c r="Z3084" t="s">
        <v>26664</v>
      </c>
      <c r="AB3084" t="s">
        <v>29352</v>
      </c>
      <c r="AD3084" t="s">
        <v>39407</v>
      </c>
      <c r="AE3084">
        <v>24</v>
      </c>
      <c r="AF3084" t="s">
        <v>45541</v>
      </c>
      <c r="AG3084" t="s">
        <v>19330</v>
      </c>
      <c r="AH3084">
        <v>2</v>
      </c>
      <c r="AI3084">
        <v>1</v>
      </c>
      <c r="AJ3084">
        <v>1</v>
      </c>
      <c r="AK3084">
        <v>111.11</v>
      </c>
      <c r="AN3084" t="s">
        <v>45581</v>
      </c>
      <c r="AO3084">
        <v>18288</v>
      </c>
      <c r="AU3084">
        <v>4.2</v>
      </c>
      <c r="AV3084" t="s">
        <v>657</v>
      </c>
      <c r="AW3084" t="s">
        <v>161</v>
      </c>
    </row>
    <row r="3085" spans="1:49">
      <c r="A3085" s="1">
        <f>HYPERLINK("https://lsnyc.legalserver.org/matter/dynamic-profile/view/1882708","18-1882708")</f>
        <v>0</v>
      </c>
      <c r="B3085" t="s">
        <v>253</v>
      </c>
      <c r="C3085" t="s">
        <v>340</v>
      </c>
      <c r="D3085" t="s">
        <v>637</v>
      </c>
      <c r="F3085" t="s">
        <v>2511</v>
      </c>
      <c r="G3085" t="s">
        <v>3036</v>
      </c>
      <c r="H3085" t="s">
        <v>12069</v>
      </c>
      <c r="I3085" t="s">
        <v>17312</v>
      </c>
      <c r="J3085" t="s">
        <v>18892</v>
      </c>
      <c r="K3085">
        <v>10467</v>
      </c>
      <c r="L3085" t="s">
        <v>18958</v>
      </c>
      <c r="M3085" t="s">
        <v>18958</v>
      </c>
      <c r="N3085" t="s">
        <v>21249</v>
      </c>
      <c r="O3085" t="s">
        <v>26523</v>
      </c>
      <c r="P3085" t="s">
        <v>26560</v>
      </c>
      <c r="R3085" t="s">
        <v>26579</v>
      </c>
      <c r="U3085" t="s">
        <v>26604</v>
      </c>
      <c r="V3085" t="s">
        <v>26610</v>
      </c>
      <c r="W3085" t="s">
        <v>637</v>
      </c>
      <c r="X3085">
        <v>1450</v>
      </c>
      <c r="Y3085" t="s">
        <v>26650</v>
      </c>
      <c r="Z3085" t="s">
        <v>26667</v>
      </c>
      <c r="AB3085" t="s">
        <v>29353</v>
      </c>
      <c r="AD3085" t="s">
        <v>39408</v>
      </c>
      <c r="AE3085">
        <v>6</v>
      </c>
      <c r="AF3085" t="s">
        <v>45547</v>
      </c>
      <c r="AH3085">
        <v>7</v>
      </c>
      <c r="AI3085">
        <v>1</v>
      </c>
      <c r="AJ3085">
        <v>0</v>
      </c>
      <c r="AK3085">
        <v>329.46</v>
      </c>
      <c r="AL3085" t="s">
        <v>751</v>
      </c>
      <c r="AM3085" t="s">
        <v>45575</v>
      </c>
      <c r="AN3085" t="s">
        <v>7439</v>
      </c>
      <c r="AO3085">
        <v>39996</v>
      </c>
      <c r="AU3085">
        <v>33.25</v>
      </c>
      <c r="AV3085" t="s">
        <v>829</v>
      </c>
      <c r="AW3085" t="s">
        <v>46843</v>
      </c>
    </row>
    <row r="3086" spans="1:49">
      <c r="A3086" s="1">
        <f>HYPERLINK("https://lsnyc.legalserver.org/matter/dynamic-profile/view/1882697","18-1882697")</f>
        <v>0</v>
      </c>
      <c r="B3086" t="s">
        <v>82</v>
      </c>
      <c r="C3086" t="s">
        <v>340</v>
      </c>
      <c r="D3086" t="s">
        <v>637</v>
      </c>
      <c r="F3086" t="s">
        <v>1428</v>
      </c>
      <c r="G3086" t="s">
        <v>6734</v>
      </c>
      <c r="H3086" t="s">
        <v>12070</v>
      </c>
      <c r="I3086" t="s">
        <v>17278</v>
      </c>
      <c r="J3086" t="s">
        <v>18892</v>
      </c>
      <c r="K3086">
        <v>10468</v>
      </c>
      <c r="L3086" t="s">
        <v>18958</v>
      </c>
      <c r="M3086" t="s">
        <v>18958</v>
      </c>
      <c r="N3086" t="s">
        <v>21250</v>
      </c>
      <c r="O3086" t="s">
        <v>26523</v>
      </c>
      <c r="P3086" t="s">
        <v>26560</v>
      </c>
      <c r="R3086" t="s">
        <v>26579</v>
      </c>
      <c r="U3086" t="s">
        <v>26604</v>
      </c>
      <c r="V3086" t="s">
        <v>26610</v>
      </c>
      <c r="W3086" t="s">
        <v>637</v>
      </c>
      <c r="X3086">
        <v>973.46</v>
      </c>
      <c r="Y3086" t="s">
        <v>26650</v>
      </c>
      <c r="Z3086" t="s">
        <v>26664</v>
      </c>
      <c r="AB3086" t="s">
        <v>29354</v>
      </c>
      <c r="AC3086" t="s">
        <v>35413</v>
      </c>
      <c r="AE3086">
        <v>0</v>
      </c>
      <c r="AF3086" t="s">
        <v>45541</v>
      </c>
      <c r="AG3086" t="s">
        <v>19330</v>
      </c>
      <c r="AH3086">
        <v>14</v>
      </c>
      <c r="AI3086">
        <v>2</v>
      </c>
      <c r="AJ3086">
        <v>3</v>
      </c>
      <c r="AK3086">
        <v>65.26000000000001</v>
      </c>
      <c r="AN3086" t="s">
        <v>45581</v>
      </c>
      <c r="AO3086">
        <v>19200</v>
      </c>
      <c r="AU3086">
        <v>23.75</v>
      </c>
      <c r="AV3086" t="s">
        <v>806</v>
      </c>
      <c r="AW3086" t="s">
        <v>334</v>
      </c>
    </row>
    <row r="3087" spans="1:49">
      <c r="A3087" s="1">
        <f>HYPERLINK("https://lsnyc.legalserver.org/matter/dynamic-profile/view/1882672","18-1882672")</f>
        <v>0</v>
      </c>
      <c r="B3087" t="s">
        <v>112</v>
      </c>
      <c r="C3087" t="s">
        <v>340</v>
      </c>
      <c r="D3087" t="s">
        <v>637</v>
      </c>
      <c r="F3087" t="s">
        <v>999</v>
      </c>
      <c r="G3087" t="s">
        <v>5466</v>
      </c>
      <c r="H3087" t="s">
        <v>12071</v>
      </c>
      <c r="I3087" t="s">
        <v>17275</v>
      </c>
      <c r="J3087" t="s">
        <v>18913</v>
      </c>
      <c r="K3087">
        <v>11102</v>
      </c>
      <c r="L3087" t="s">
        <v>18958</v>
      </c>
      <c r="M3087" t="s">
        <v>18958</v>
      </c>
      <c r="N3087" t="s">
        <v>21251</v>
      </c>
      <c r="O3087" t="s">
        <v>26523</v>
      </c>
      <c r="P3087" t="s">
        <v>26564</v>
      </c>
      <c r="R3087" t="s">
        <v>26584</v>
      </c>
      <c r="S3087" t="s">
        <v>18959</v>
      </c>
      <c r="U3087" t="s">
        <v>26604</v>
      </c>
      <c r="V3087" t="s">
        <v>26611</v>
      </c>
      <c r="W3087" t="s">
        <v>637</v>
      </c>
      <c r="X3087">
        <v>664</v>
      </c>
      <c r="Y3087" t="s">
        <v>26653</v>
      </c>
      <c r="Z3087" t="s">
        <v>26664</v>
      </c>
      <c r="AB3087" t="s">
        <v>29355</v>
      </c>
      <c r="AC3087" t="s">
        <v>35414</v>
      </c>
      <c r="AD3087" t="s">
        <v>39409</v>
      </c>
      <c r="AE3087">
        <v>48</v>
      </c>
      <c r="AF3087" t="s">
        <v>45549</v>
      </c>
      <c r="AG3087" t="s">
        <v>19330</v>
      </c>
      <c r="AH3087">
        <v>4</v>
      </c>
      <c r="AI3087">
        <v>2</v>
      </c>
      <c r="AJ3087">
        <v>3</v>
      </c>
      <c r="AK3087">
        <v>78.65000000000001</v>
      </c>
      <c r="AN3087" t="s">
        <v>7439</v>
      </c>
      <c r="AO3087">
        <v>23140</v>
      </c>
      <c r="AU3087">
        <v>2.2</v>
      </c>
      <c r="AV3087" t="s">
        <v>811</v>
      </c>
      <c r="AW3087" t="s">
        <v>161</v>
      </c>
    </row>
    <row r="3088" spans="1:49">
      <c r="A3088" s="1">
        <f>HYPERLINK("https://lsnyc.legalserver.org/matter/dynamic-profile/view/1882753","18-1882753")</f>
        <v>0</v>
      </c>
      <c r="B3088" t="s">
        <v>112</v>
      </c>
      <c r="C3088" t="s">
        <v>340</v>
      </c>
      <c r="D3088" t="s">
        <v>637</v>
      </c>
      <c r="F3088" t="s">
        <v>2512</v>
      </c>
      <c r="G3088" t="s">
        <v>6735</v>
      </c>
      <c r="H3088" t="s">
        <v>12072</v>
      </c>
      <c r="I3088" t="s">
        <v>17284</v>
      </c>
      <c r="J3088" t="s">
        <v>18931</v>
      </c>
      <c r="K3088">
        <v>11412</v>
      </c>
      <c r="L3088" t="s">
        <v>18958</v>
      </c>
      <c r="M3088" t="s">
        <v>18958</v>
      </c>
      <c r="N3088" t="s">
        <v>21252</v>
      </c>
      <c r="O3088" t="s">
        <v>26524</v>
      </c>
      <c r="P3088" t="s">
        <v>26564</v>
      </c>
      <c r="R3088" t="s">
        <v>26584</v>
      </c>
      <c r="S3088" t="s">
        <v>18959</v>
      </c>
      <c r="U3088" t="s">
        <v>26604</v>
      </c>
      <c r="V3088" t="s">
        <v>26611</v>
      </c>
      <c r="W3088" t="s">
        <v>637</v>
      </c>
      <c r="X3088">
        <v>1156.76</v>
      </c>
      <c r="Y3088" t="s">
        <v>26653</v>
      </c>
      <c r="Z3088" t="s">
        <v>26664</v>
      </c>
      <c r="AB3088" t="s">
        <v>29356</v>
      </c>
      <c r="AC3088" t="s">
        <v>35415</v>
      </c>
      <c r="AD3088" t="s">
        <v>39410</v>
      </c>
      <c r="AE3088">
        <v>87</v>
      </c>
      <c r="AF3088" t="s">
        <v>45541</v>
      </c>
      <c r="AG3088" t="s">
        <v>19330</v>
      </c>
      <c r="AH3088">
        <v>12</v>
      </c>
      <c r="AI3088">
        <v>2</v>
      </c>
      <c r="AJ3088">
        <v>0</v>
      </c>
      <c r="AK3088">
        <v>87.48</v>
      </c>
      <c r="AN3088" t="s">
        <v>7439</v>
      </c>
      <c r="AO3088">
        <v>14400</v>
      </c>
      <c r="AU3088">
        <v>1</v>
      </c>
      <c r="AV3088" t="s">
        <v>637</v>
      </c>
      <c r="AW3088" t="s">
        <v>161</v>
      </c>
    </row>
    <row r="3089" spans="1:50">
      <c r="A3089" s="1">
        <f>HYPERLINK("https://lsnyc.legalserver.org/matter/dynamic-profile/view/1882743","18-1882743")</f>
        <v>0</v>
      </c>
      <c r="B3089" t="s">
        <v>91</v>
      </c>
      <c r="C3089" t="s">
        <v>340</v>
      </c>
      <c r="D3089" t="s">
        <v>637</v>
      </c>
      <c r="F3089" t="s">
        <v>2513</v>
      </c>
      <c r="G3089" t="s">
        <v>6736</v>
      </c>
      <c r="H3089" t="s">
        <v>12073</v>
      </c>
      <c r="I3089" t="s">
        <v>17350</v>
      </c>
      <c r="J3089" t="s">
        <v>7026</v>
      </c>
      <c r="K3089">
        <v>11368</v>
      </c>
      <c r="L3089" t="s">
        <v>18958</v>
      </c>
      <c r="M3089" t="s">
        <v>18958</v>
      </c>
      <c r="N3089" t="s">
        <v>21253</v>
      </c>
      <c r="O3089" t="s">
        <v>26523</v>
      </c>
      <c r="P3089" t="s">
        <v>26564</v>
      </c>
      <c r="R3089" t="s">
        <v>26584</v>
      </c>
      <c r="S3089" t="s">
        <v>18959</v>
      </c>
      <c r="U3089" t="s">
        <v>26604</v>
      </c>
      <c r="V3089" t="s">
        <v>26610</v>
      </c>
      <c r="W3089" t="s">
        <v>637</v>
      </c>
      <c r="X3089">
        <v>1850</v>
      </c>
      <c r="Y3089" t="s">
        <v>26653</v>
      </c>
      <c r="Z3089" t="s">
        <v>26664</v>
      </c>
      <c r="AB3089" t="s">
        <v>29357</v>
      </c>
      <c r="AC3089" t="s">
        <v>35416</v>
      </c>
      <c r="AD3089" t="s">
        <v>39411</v>
      </c>
      <c r="AE3089">
        <v>219</v>
      </c>
      <c r="AF3089" t="s">
        <v>45541</v>
      </c>
      <c r="AG3089" t="s">
        <v>19330</v>
      </c>
      <c r="AH3089">
        <v>4</v>
      </c>
      <c r="AI3089">
        <v>1</v>
      </c>
      <c r="AJ3089">
        <v>2</v>
      </c>
      <c r="AK3089">
        <v>43.31</v>
      </c>
      <c r="AN3089" t="s">
        <v>7439</v>
      </c>
      <c r="AO3089">
        <v>9000</v>
      </c>
      <c r="AU3089">
        <v>0.8</v>
      </c>
      <c r="AV3089" t="s">
        <v>754</v>
      </c>
      <c r="AW3089" t="s">
        <v>161</v>
      </c>
    </row>
    <row r="3090" spans="1:50">
      <c r="A3090" s="1">
        <f>HYPERLINK("https://lsnyc.legalserver.org/matter/dynamic-profile/view/1882703","18-1882703")</f>
        <v>0</v>
      </c>
      <c r="B3090" t="s">
        <v>91</v>
      </c>
      <c r="C3090" t="s">
        <v>340</v>
      </c>
      <c r="D3090" t="s">
        <v>637</v>
      </c>
      <c r="F3090" t="s">
        <v>2008</v>
      </c>
      <c r="G3090" t="s">
        <v>5147</v>
      </c>
      <c r="H3090" t="s">
        <v>12074</v>
      </c>
      <c r="I3090" t="s">
        <v>17430</v>
      </c>
      <c r="J3090" t="s">
        <v>18923</v>
      </c>
      <c r="K3090">
        <v>11418</v>
      </c>
      <c r="L3090" t="s">
        <v>18958</v>
      </c>
      <c r="M3090" t="s">
        <v>18958</v>
      </c>
      <c r="N3090" t="s">
        <v>21254</v>
      </c>
      <c r="O3090" t="s">
        <v>26523</v>
      </c>
      <c r="P3090" t="s">
        <v>26560</v>
      </c>
      <c r="R3090" t="s">
        <v>26584</v>
      </c>
      <c r="S3090" t="s">
        <v>18959</v>
      </c>
      <c r="U3090" t="s">
        <v>26604</v>
      </c>
      <c r="V3090" t="s">
        <v>26610</v>
      </c>
      <c r="W3090" t="s">
        <v>637</v>
      </c>
      <c r="X3090">
        <v>1950</v>
      </c>
      <c r="Y3090" t="s">
        <v>26653</v>
      </c>
      <c r="Z3090" t="s">
        <v>26664</v>
      </c>
      <c r="AB3090" t="s">
        <v>26911</v>
      </c>
      <c r="AD3090" t="s">
        <v>39412</v>
      </c>
      <c r="AE3090">
        <v>3</v>
      </c>
      <c r="AF3090" t="s">
        <v>45547</v>
      </c>
      <c r="AG3090" t="s">
        <v>45556</v>
      </c>
      <c r="AH3090">
        <v>14</v>
      </c>
      <c r="AI3090">
        <v>1</v>
      </c>
      <c r="AJ3090">
        <v>0</v>
      </c>
      <c r="AK3090">
        <v>48.43</v>
      </c>
      <c r="AN3090" t="s">
        <v>7439</v>
      </c>
      <c r="AO3090">
        <v>5880</v>
      </c>
      <c r="AU3090">
        <v>34</v>
      </c>
      <c r="AV3090" t="s">
        <v>720</v>
      </c>
      <c r="AW3090" t="s">
        <v>161</v>
      </c>
    </row>
    <row r="3091" spans="1:50">
      <c r="A3091" s="1">
        <f>HYPERLINK("https://lsnyc.legalserver.org/matter/dynamic-profile/view/1882737","18-1882737")</f>
        <v>0</v>
      </c>
      <c r="B3091" t="s">
        <v>91</v>
      </c>
      <c r="C3091" t="s">
        <v>340</v>
      </c>
      <c r="D3091" t="s">
        <v>637</v>
      </c>
      <c r="F3091" t="s">
        <v>2514</v>
      </c>
      <c r="G3091" t="s">
        <v>6737</v>
      </c>
      <c r="H3091" t="s">
        <v>12075</v>
      </c>
      <c r="I3091" t="s">
        <v>17316</v>
      </c>
      <c r="J3091" t="s">
        <v>18912</v>
      </c>
      <c r="K3091">
        <v>11374</v>
      </c>
      <c r="L3091" t="s">
        <v>18958</v>
      </c>
      <c r="M3091" t="s">
        <v>18958</v>
      </c>
      <c r="N3091" t="s">
        <v>21255</v>
      </c>
      <c r="O3091" t="s">
        <v>26523</v>
      </c>
      <c r="P3091" t="s">
        <v>26564</v>
      </c>
      <c r="R3091" t="s">
        <v>26584</v>
      </c>
      <c r="S3091" t="s">
        <v>18959</v>
      </c>
      <c r="U3091" t="s">
        <v>26604</v>
      </c>
      <c r="V3091" t="s">
        <v>26610</v>
      </c>
      <c r="W3091" t="s">
        <v>637</v>
      </c>
      <c r="X3091">
        <v>1258.76</v>
      </c>
      <c r="Y3091" t="s">
        <v>26653</v>
      </c>
      <c r="Z3091" t="s">
        <v>26664</v>
      </c>
      <c r="AB3091" t="s">
        <v>29358</v>
      </c>
      <c r="AD3091" t="s">
        <v>39413</v>
      </c>
      <c r="AE3091">
        <v>36</v>
      </c>
      <c r="AF3091" t="s">
        <v>45541</v>
      </c>
      <c r="AG3091" t="s">
        <v>19330</v>
      </c>
      <c r="AH3091">
        <v>14</v>
      </c>
      <c r="AI3091">
        <v>1</v>
      </c>
      <c r="AJ3091">
        <v>0</v>
      </c>
      <c r="AK3091">
        <v>71.06999999999999</v>
      </c>
      <c r="AN3091" t="s">
        <v>7439</v>
      </c>
      <c r="AO3091">
        <v>8628</v>
      </c>
      <c r="AU3091">
        <v>0.8</v>
      </c>
      <c r="AV3091" t="s">
        <v>754</v>
      </c>
      <c r="AW3091" t="s">
        <v>161</v>
      </c>
    </row>
    <row r="3092" spans="1:50">
      <c r="A3092" s="1">
        <f>HYPERLINK("https://lsnyc.legalserver.org/matter/dynamic-profile/view/1882617","18-1882617")</f>
        <v>0</v>
      </c>
      <c r="B3092" t="s">
        <v>91</v>
      </c>
      <c r="C3092" t="s">
        <v>340</v>
      </c>
      <c r="D3092" t="s">
        <v>637</v>
      </c>
      <c r="F3092" t="s">
        <v>2515</v>
      </c>
      <c r="G3092" t="s">
        <v>6075</v>
      </c>
      <c r="H3092" t="s">
        <v>12076</v>
      </c>
      <c r="I3092" t="s">
        <v>17471</v>
      </c>
      <c r="J3092" t="s">
        <v>18901</v>
      </c>
      <c r="K3092">
        <v>11434</v>
      </c>
      <c r="L3092" t="s">
        <v>18958</v>
      </c>
      <c r="M3092" t="s">
        <v>18958</v>
      </c>
      <c r="N3092" t="s">
        <v>21256</v>
      </c>
      <c r="O3092" t="s">
        <v>26523</v>
      </c>
      <c r="P3092" t="s">
        <v>26560</v>
      </c>
      <c r="R3092" t="s">
        <v>26585</v>
      </c>
      <c r="S3092" t="s">
        <v>18959</v>
      </c>
      <c r="U3092" t="s">
        <v>26604</v>
      </c>
      <c r="V3092" t="s">
        <v>26611</v>
      </c>
      <c r="W3092" t="s">
        <v>637</v>
      </c>
      <c r="X3092">
        <v>1023</v>
      </c>
      <c r="Y3092" t="s">
        <v>26653</v>
      </c>
      <c r="Z3092" t="s">
        <v>26664</v>
      </c>
      <c r="AB3092" t="s">
        <v>29359</v>
      </c>
      <c r="AD3092" t="s">
        <v>39414</v>
      </c>
      <c r="AE3092">
        <v>77</v>
      </c>
      <c r="AG3092" t="s">
        <v>19330</v>
      </c>
      <c r="AH3092">
        <v>28</v>
      </c>
      <c r="AI3092">
        <v>1</v>
      </c>
      <c r="AJ3092">
        <v>1</v>
      </c>
      <c r="AK3092">
        <v>142.16</v>
      </c>
      <c r="AN3092" t="s">
        <v>7439</v>
      </c>
      <c r="AO3092">
        <v>23400</v>
      </c>
      <c r="AU3092">
        <v>3.7</v>
      </c>
      <c r="AV3092" t="s">
        <v>806</v>
      </c>
      <c r="AW3092" t="s">
        <v>161</v>
      </c>
    </row>
    <row r="3093" spans="1:50">
      <c r="A3093" s="1">
        <f>HYPERLINK("https://lsnyc.legalserver.org/matter/dynamic-profile/view/1882800","18-1882800")</f>
        <v>0</v>
      </c>
      <c r="B3093" t="s">
        <v>117</v>
      </c>
      <c r="C3093" t="s">
        <v>341</v>
      </c>
      <c r="D3093" t="s">
        <v>577</v>
      </c>
      <c r="E3093" t="s">
        <v>744</v>
      </c>
      <c r="F3093" t="s">
        <v>1946</v>
      </c>
      <c r="G3093" t="s">
        <v>1725</v>
      </c>
      <c r="H3093" t="s">
        <v>11655</v>
      </c>
      <c r="I3093" t="s">
        <v>17332</v>
      </c>
      <c r="J3093" t="s">
        <v>18894</v>
      </c>
      <c r="K3093">
        <v>11207</v>
      </c>
      <c r="L3093" t="s">
        <v>18958</v>
      </c>
      <c r="M3093" t="s">
        <v>18958</v>
      </c>
      <c r="N3093" t="s">
        <v>21257</v>
      </c>
      <c r="O3093" t="s">
        <v>26545</v>
      </c>
      <c r="P3093" t="s">
        <v>26561</v>
      </c>
      <c r="Q3093" t="s">
        <v>26573</v>
      </c>
      <c r="R3093" t="s">
        <v>26578</v>
      </c>
      <c r="U3093" t="s">
        <v>26604</v>
      </c>
      <c r="V3093" t="s">
        <v>26609</v>
      </c>
      <c r="W3093" t="s">
        <v>637</v>
      </c>
      <c r="X3093">
        <v>1136.48</v>
      </c>
      <c r="Y3093" t="s">
        <v>26652</v>
      </c>
      <c r="Z3093" t="s">
        <v>26530</v>
      </c>
      <c r="AA3093" t="s">
        <v>26682</v>
      </c>
      <c r="AB3093" t="s">
        <v>28862</v>
      </c>
      <c r="AC3093" t="s">
        <v>35242</v>
      </c>
      <c r="AD3093" t="s">
        <v>38922</v>
      </c>
      <c r="AE3093">
        <v>542</v>
      </c>
      <c r="AF3093" t="s">
        <v>45541</v>
      </c>
      <c r="AG3093" t="s">
        <v>19330</v>
      </c>
      <c r="AH3093">
        <v>34</v>
      </c>
      <c r="AI3093">
        <v>2</v>
      </c>
      <c r="AJ3093">
        <v>0</v>
      </c>
      <c r="AK3093">
        <v>21.14</v>
      </c>
      <c r="AN3093" t="s">
        <v>7439</v>
      </c>
      <c r="AO3093">
        <v>3480</v>
      </c>
      <c r="AP3093" t="s">
        <v>45775</v>
      </c>
      <c r="AU3093">
        <v>2.25</v>
      </c>
      <c r="AV3093" t="s">
        <v>744</v>
      </c>
      <c r="AW3093" t="s">
        <v>279</v>
      </c>
    </row>
    <row r="3094" spans="1:50">
      <c r="A3094" s="1">
        <f>HYPERLINK("https://lsnyc.legalserver.org/matter/dynamic-profile/view/1882803","18-1882803")</f>
        <v>0</v>
      </c>
      <c r="B3094" t="s">
        <v>79</v>
      </c>
      <c r="C3094" t="s">
        <v>341</v>
      </c>
      <c r="D3094" t="s">
        <v>577</v>
      </c>
      <c r="E3094" t="s">
        <v>664</v>
      </c>
      <c r="F3094" t="s">
        <v>2516</v>
      </c>
      <c r="G3094" t="s">
        <v>6738</v>
      </c>
      <c r="H3094" t="s">
        <v>12077</v>
      </c>
      <c r="I3094" t="s">
        <v>17274</v>
      </c>
      <c r="J3094" t="s">
        <v>18893</v>
      </c>
      <c r="K3094">
        <v>10040</v>
      </c>
      <c r="L3094" t="s">
        <v>18958</v>
      </c>
      <c r="M3094" t="s">
        <v>18958</v>
      </c>
      <c r="O3094" t="s">
        <v>26524</v>
      </c>
      <c r="P3094" t="s">
        <v>26564</v>
      </c>
      <c r="Q3094" t="s">
        <v>26570</v>
      </c>
      <c r="R3094" t="s">
        <v>26578</v>
      </c>
      <c r="S3094" t="s">
        <v>18959</v>
      </c>
      <c r="U3094" t="s">
        <v>26604</v>
      </c>
      <c r="W3094" t="s">
        <v>637</v>
      </c>
      <c r="X3094">
        <v>250</v>
      </c>
      <c r="Y3094" t="s">
        <v>26651</v>
      </c>
      <c r="Z3094" t="s">
        <v>26661</v>
      </c>
      <c r="AA3094" t="s">
        <v>26683</v>
      </c>
      <c r="AB3094" t="s">
        <v>29360</v>
      </c>
      <c r="AD3094" t="s">
        <v>39415</v>
      </c>
      <c r="AE3094">
        <v>85</v>
      </c>
      <c r="AF3094" t="s">
        <v>45541</v>
      </c>
      <c r="AG3094" t="s">
        <v>19330</v>
      </c>
      <c r="AH3094">
        <v>1</v>
      </c>
      <c r="AI3094">
        <v>2</v>
      </c>
      <c r="AJ3094">
        <v>0</v>
      </c>
      <c r="AK3094">
        <v>880.92</v>
      </c>
      <c r="AN3094" t="s">
        <v>7439</v>
      </c>
      <c r="AO3094">
        <v>145000</v>
      </c>
      <c r="AU3094">
        <v>1.1</v>
      </c>
      <c r="AV3094" t="s">
        <v>664</v>
      </c>
      <c r="AW3094" t="s">
        <v>46840</v>
      </c>
    </row>
    <row r="3095" spans="1:50">
      <c r="A3095" s="1">
        <f>HYPERLINK("https://lsnyc.legalserver.org/matter/dynamic-profile/view/1878729","18-1878729")</f>
        <v>0</v>
      </c>
      <c r="B3095" t="s">
        <v>106</v>
      </c>
      <c r="C3095" t="s">
        <v>341</v>
      </c>
      <c r="D3095" t="s">
        <v>577</v>
      </c>
      <c r="E3095" t="s">
        <v>678</v>
      </c>
      <c r="F3095" t="s">
        <v>1080</v>
      </c>
      <c r="G3095" t="s">
        <v>6739</v>
      </c>
      <c r="H3095" t="s">
        <v>12078</v>
      </c>
      <c r="I3095">
        <v>109</v>
      </c>
      <c r="J3095" t="s">
        <v>18894</v>
      </c>
      <c r="K3095">
        <v>11221</v>
      </c>
      <c r="L3095" t="s">
        <v>18958</v>
      </c>
      <c r="M3095" t="s">
        <v>18960</v>
      </c>
      <c r="N3095" t="s">
        <v>21258</v>
      </c>
      <c r="O3095" t="s">
        <v>26523</v>
      </c>
      <c r="P3095" t="s">
        <v>26560</v>
      </c>
      <c r="Q3095" t="s">
        <v>26573</v>
      </c>
      <c r="R3095" t="s">
        <v>26588</v>
      </c>
      <c r="S3095" t="s">
        <v>18959</v>
      </c>
      <c r="U3095" t="s">
        <v>26604</v>
      </c>
      <c r="V3095" t="s">
        <v>26617</v>
      </c>
      <c r="W3095" t="s">
        <v>637</v>
      </c>
      <c r="X3095">
        <v>0</v>
      </c>
      <c r="Y3095" t="s">
        <v>26652</v>
      </c>
      <c r="Z3095" t="s">
        <v>26669</v>
      </c>
      <c r="AA3095" t="s">
        <v>26678</v>
      </c>
      <c r="AB3095" t="s">
        <v>29361</v>
      </c>
      <c r="AC3095" t="s">
        <v>35417</v>
      </c>
      <c r="AD3095" t="s">
        <v>39416</v>
      </c>
      <c r="AE3095">
        <v>42</v>
      </c>
      <c r="AF3095" t="s">
        <v>45543</v>
      </c>
      <c r="AG3095" t="s">
        <v>26530</v>
      </c>
      <c r="AH3095">
        <v>10</v>
      </c>
      <c r="AI3095">
        <v>1</v>
      </c>
      <c r="AJ3095">
        <v>0</v>
      </c>
      <c r="AK3095">
        <v>0</v>
      </c>
      <c r="AN3095" t="s">
        <v>7439</v>
      </c>
      <c r="AO3095">
        <v>0</v>
      </c>
      <c r="AR3095" t="s">
        <v>46379</v>
      </c>
      <c r="AS3095" t="s">
        <v>46499</v>
      </c>
      <c r="AT3095" t="s">
        <v>46533</v>
      </c>
      <c r="AU3095">
        <v>7</v>
      </c>
      <c r="AV3095" t="s">
        <v>675</v>
      </c>
      <c r="AW3095" t="s">
        <v>46862</v>
      </c>
    </row>
    <row r="3096" spans="1:50">
      <c r="A3096" s="1">
        <f>HYPERLINK("https://lsnyc.legalserver.org/matter/dynamic-profile/view/1879813","18-1879813")</f>
        <v>0</v>
      </c>
      <c r="B3096" t="s">
        <v>204</v>
      </c>
      <c r="C3096" t="s">
        <v>341</v>
      </c>
      <c r="D3096" t="s">
        <v>606</v>
      </c>
      <c r="E3096" t="s">
        <v>577</v>
      </c>
      <c r="F3096" t="s">
        <v>2517</v>
      </c>
      <c r="G3096" t="s">
        <v>6740</v>
      </c>
      <c r="H3096" t="s">
        <v>11073</v>
      </c>
      <c r="I3096" t="s">
        <v>17859</v>
      </c>
      <c r="J3096" t="s">
        <v>18894</v>
      </c>
      <c r="K3096">
        <v>11208</v>
      </c>
      <c r="L3096" t="s">
        <v>18958</v>
      </c>
      <c r="M3096" t="s">
        <v>18958</v>
      </c>
      <c r="N3096" t="s">
        <v>21259</v>
      </c>
      <c r="O3096" t="s">
        <v>26523</v>
      </c>
      <c r="P3096" t="s">
        <v>26560</v>
      </c>
      <c r="Q3096" t="s">
        <v>26568</v>
      </c>
      <c r="R3096" t="s">
        <v>26578</v>
      </c>
      <c r="U3096" t="s">
        <v>26604</v>
      </c>
      <c r="W3096" t="s">
        <v>577</v>
      </c>
      <c r="X3096">
        <v>0</v>
      </c>
      <c r="Y3096" t="s">
        <v>26652</v>
      </c>
      <c r="Z3096" t="s">
        <v>26659</v>
      </c>
      <c r="AA3096" t="s">
        <v>26677</v>
      </c>
      <c r="AB3096" t="s">
        <v>29362</v>
      </c>
      <c r="AD3096" t="s">
        <v>39417</v>
      </c>
      <c r="AE3096">
        <v>294</v>
      </c>
      <c r="AH3096">
        <v>8</v>
      </c>
      <c r="AI3096">
        <v>1</v>
      </c>
      <c r="AJ3096">
        <v>1</v>
      </c>
      <c r="AK3096">
        <v>199.07</v>
      </c>
      <c r="AN3096" t="s">
        <v>7439</v>
      </c>
      <c r="AO3096">
        <v>32767.43</v>
      </c>
      <c r="AR3096" t="s">
        <v>46381</v>
      </c>
      <c r="AS3096" t="s">
        <v>46499</v>
      </c>
      <c r="AT3096" t="s">
        <v>46640</v>
      </c>
      <c r="AU3096">
        <v>9.4</v>
      </c>
      <c r="AV3096" t="s">
        <v>577</v>
      </c>
      <c r="AW3096" t="s">
        <v>281</v>
      </c>
    </row>
    <row r="3097" spans="1:50">
      <c r="A3097" s="1">
        <f>HYPERLINK("https://lsnyc.legalserver.org/matter/dynamic-profile/view/1881171","18-1881171")</f>
        <v>0</v>
      </c>
      <c r="B3097" t="s">
        <v>169</v>
      </c>
      <c r="C3097" t="s">
        <v>341</v>
      </c>
      <c r="D3097" t="s">
        <v>631</v>
      </c>
      <c r="E3097" t="s">
        <v>577</v>
      </c>
      <c r="F3097" t="s">
        <v>979</v>
      </c>
      <c r="G3097" t="s">
        <v>6741</v>
      </c>
      <c r="H3097" t="s">
        <v>12079</v>
      </c>
      <c r="I3097" t="s">
        <v>17923</v>
      </c>
      <c r="J3097" t="s">
        <v>18892</v>
      </c>
      <c r="K3097">
        <v>10460</v>
      </c>
      <c r="L3097" t="s">
        <v>18958</v>
      </c>
      <c r="M3097" t="s">
        <v>18958</v>
      </c>
      <c r="N3097" t="s">
        <v>21260</v>
      </c>
      <c r="O3097" t="s">
        <v>26549</v>
      </c>
      <c r="P3097" t="s">
        <v>26564</v>
      </c>
      <c r="Q3097" t="s">
        <v>26570</v>
      </c>
      <c r="R3097" t="s">
        <v>26578</v>
      </c>
      <c r="S3097" t="s">
        <v>18959</v>
      </c>
      <c r="U3097" t="s">
        <v>26604</v>
      </c>
      <c r="W3097" t="s">
        <v>577</v>
      </c>
      <c r="X3097">
        <v>1685</v>
      </c>
      <c r="Y3097" t="s">
        <v>26650</v>
      </c>
      <c r="Z3097" t="s">
        <v>26661</v>
      </c>
      <c r="AA3097" t="s">
        <v>26683</v>
      </c>
      <c r="AB3097" t="s">
        <v>29363</v>
      </c>
      <c r="AC3097" t="s">
        <v>35418</v>
      </c>
      <c r="AD3097" t="s">
        <v>39418</v>
      </c>
      <c r="AE3097">
        <v>85</v>
      </c>
      <c r="AF3097" t="s">
        <v>45541</v>
      </c>
      <c r="AG3097" t="s">
        <v>45556</v>
      </c>
      <c r="AH3097">
        <v>2</v>
      </c>
      <c r="AI3097">
        <v>1</v>
      </c>
      <c r="AJ3097">
        <v>0</v>
      </c>
      <c r="AK3097">
        <v>79.08</v>
      </c>
      <c r="AN3097" t="s">
        <v>7439</v>
      </c>
      <c r="AO3097">
        <v>9600</v>
      </c>
      <c r="AU3097">
        <v>5.3</v>
      </c>
      <c r="AV3097" t="s">
        <v>577</v>
      </c>
      <c r="AW3097" t="s">
        <v>46829</v>
      </c>
    </row>
    <row r="3098" spans="1:50">
      <c r="A3098" s="1">
        <f>HYPERLINK("https://lsnyc.legalserver.org/matter/dynamic-profile/view/1881194","18-1881194")</f>
        <v>0</v>
      </c>
      <c r="B3098" t="s">
        <v>130</v>
      </c>
      <c r="C3098" t="s">
        <v>341</v>
      </c>
      <c r="D3098" t="s">
        <v>631</v>
      </c>
      <c r="E3098" t="s">
        <v>577</v>
      </c>
      <c r="F3098" t="s">
        <v>1342</v>
      </c>
      <c r="G3098" t="s">
        <v>5177</v>
      </c>
      <c r="H3098" t="s">
        <v>11203</v>
      </c>
      <c r="I3098" t="s">
        <v>17275</v>
      </c>
      <c r="J3098" t="s">
        <v>18898</v>
      </c>
      <c r="K3098">
        <v>11691</v>
      </c>
      <c r="L3098" t="s">
        <v>18958</v>
      </c>
      <c r="M3098" t="s">
        <v>18958</v>
      </c>
      <c r="N3098" t="s">
        <v>21261</v>
      </c>
      <c r="O3098" t="s">
        <v>26523</v>
      </c>
      <c r="P3098" t="s">
        <v>26564</v>
      </c>
      <c r="Q3098" t="s">
        <v>26570</v>
      </c>
      <c r="R3098" t="s">
        <v>26578</v>
      </c>
      <c r="S3098" t="s">
        <v>18959</v>
      </c>
      <c r="U3098" t="s">
        <v>26604</v>
      </c>
      <c r="V3098" t="s">
        <v>26610</v>
      </c>
      <c r="W3098" t="s">
        <v>577</v>
      </c>
      <c r="X3098">
        <v>1956</v>
      </c>
      <c r="Y3098" t="s">
        <v>26653</v>
      </c>
      <c r="Z3098" t="s">
        <v>26664</v>
      </c>
      <c r="AA3098" t="s">
        <v>26683</v>
      </c>
      <c r="AB3098" t="s">
        <v>29364</v>
      </c>
      <c r="AC3098" t="s">
        <v>35419</v>
      </c>
      <c r="AD3098" t="s">
        <v>39419</v>
      </c>
      <c r="AE3098">
        <v>20</v>
      </c>
      <c r="AF3098" t="s">
        <v>45541</v>
      </c>
      <c r="AG3098" t="s">
        <v>45558</v>
      </c>
      <c r="AH3098">
        <v>1</v>
      </c>
      <c r="AI3098">
        <v>1</v>
      </c>
      <c r="AJ3098">
        <v>5</v>
      </c>
      <c r="AK3098">
        <v>56.31</v>
      </c>
      <c r="AN3098" t="s">
        <v>7439</v>
      </c>
      <c r="AO3098">
        <v>19000</v>
      </c>
      <c r="AU3098">
        <v>1.95</v>
      </c>
      <c r="AV3098" t="s">
        <v>753</v>
      </c>
      <c r="AW3098" t="s">
        <v>208</v>
      </c>
    </row>
    <row r="3099" spans="1:50">
      <c r="A3099" s="1">
        <f>HYPERLINK("https://lsnyc.legalserver.org/matter/dynamic-profile/view/1881561","18-1881561")</f>
        <v>0</v>
      </c>
      <c r="B3099" t="s">
        <v>243</v>
      </c>
      <c r="C3099" t="s">
        <v>340</v>
      </c>
      <c r="D3099" t="s">
        <v>624</v>
      </c>
      <c r="F3099" t="s">
        <v>2518</v>
      </c>
      <c r="G3099" t="s">
        <v>5447</v>
      </c>
      <c r="H3099" t="s">
        <v>12080</v>
      </c>
      <c r="J3099" t="s">
        <v>18894</v>
      </c>
      <c r="K3099">
        <v>11220</v>
      </c>
      <c r="L3099" t="s">
        <v>18958</v>
      </c>
      <c r="M3099" t="s">
        <v>18960</v>
      </c>
      <c r="N3099" t="s">
        <v>21262</v>
      </c>
      <c r="O3099" t="s">
        <v>26534</v>
      </c>
      <c r="P3099" t="s">
        <v>26561</v>
      </c>
      <c r="R3099" t="s">
        <v>26578</v>
      </c>
      <c r="S3099" t="s">
        <v>18958</v>
      </c>
      <c r="U3099" t="s">
        <v>26604</v>
      </c>
      <c r="W3099" t="s">
        <v>577</v>
      </c>
      <c r="X3099">
        <v>1560</v>
      </c>
      <c r="Y3099" t="s">
        <v>26652</v>
      </c>
      <c r="Z3099" t="s">
        <v>26663</v>
      </c>
      <c r="AB3099" t="s">
        <v>29365</v>
      </c>
      <c r="AE3099">
        <v>12</v>
      </c>
      <c r="AF3099" t="s">
        <v>45541</v>
      </c>
      <c r="AG3099" t="s">
        <v>45556</v>
      </c>
      <c r="AH3099">
        <v>34</v>
      </c>
      <c r="AI3099">
        <v>1</v>
      </c>
      <c r="AJ3099">
        <v>0</v>
      </c>
      <c r="AK3099">
        <v>336.08</v>
      </c>
      <c r="AN3099" t="s">
        <v>7439</v>
      </c>
      <c r="AO3099">
        <v>40800</v>
      </c>
      <c r="AU3099">
        <v>5.35</v>
      </c>
      <c r="AV3099" t="s">
        <v>688</v>
      </c>
      <c r="AW3099" t="s">
        <v>172</v>
      </c>
      <c r="AX3099" t="s">
        <v>46897</v>
      </c>
    </row>
    <row r="3100" spans="1:50">
      <c r="A3100" s="1">
        <f>HYPERLINK("https://lsnyc.legalserver.org/matter/dynamic-profile/view/1882583","18-1882583")</f>
        <v>0</v>
      </c>
      <c r="B3100" t="s">
        <v>121</v>
      </c>
      <c r="C3100" t="s">
        <v>341</v>
      </c>
      <c r="D3100" t="s">
        <v>637</v>
      </c>
      <c r="E3100" t="s">
        <v>794</v>
      </c>
      <c r="F3100" t="s">
        <v>2519</v>
      </c>
      <c r="G3100" t="s">
        <v>5208</v>
      </c>
      <c r="H3100" t="s">
        <v>12081</v>
      </c>
      <c r="I3100" t="s">
        <v>17480</v>
      </c>
      <c r="J3100" t="s">
        <v>18892</v>
      </c>
      <c r="K3100">
        <v>10468</v>
      </c>
      <c r="L3100" t="s">
        <v>18958</v>
      </c>
      <c r="M3100" t="s">
        <v>18958</v>
      </c>
      <c r="N3100" t="s">
        <v>21263</v>
      </c>
      <c r="O3100" t="s">
        <v>26524</v>
      </c>
      <c r="P3100" t="s">
        <v>26560</v>
      </c>
      <c r="Q3100" t="s">
        <v>26568</v>
      </c>
      <c r="R3100" t="s">
        <v>26579</v>
      </c>
      <c r="U3100" t="s">
        <v>26604</v>
      </c>
      <c r="V3100" t="s">
        <v>26610</v>
      </c>
      <c r="W3100" t="s">
        <v>577</v>
      </c>
      <c r="X3100">
        <v>1750</v>
      </c>
      <c r="Y3100" t="s">
        <v>26650</v>
      </c>
      <c r="Z3100" t="s">
        <v>26664</v>
      </c>
      <c r="AA3100" t="s">
        <v>26678</v>
      </c>
      <c r="AB3100" t="s">
        <v>29366</v>
      </c>
      <c r="AD3100" t="s">
        <v>39420</v>
      </c>
      <c r="AE3100">
        <v>0</v>
      </c>
      <c r="AF3100" t="s">
        <v>45549</v>
      </c>
      <c r="AG3100" t="s">
        <v>45556</v>
      </c>
      <c r="AH3100">
        <v>10</v>
      </c>
      <c r="AI3100">
        <v>2</v>
      </c>
      <c r="AJ3100">
        <v>0</v>
      </c>
      <c r="AK3100">
        <v>145.81</v>
      </c>
      <c r="AN3100" t="s">
        <v>45581</v>
      </c>
      <c r="AO3100">
        <v>24000</v>
      </c>
      <c r="AR3100" t="s">
        <v>46380</v>
      </c>
      <c r="AS3100" t="s">
        <v>46499</v>
      </c>
      <c r="AT3100" t="s">
        <v>46543</v>
      </c>
      <c r="AU3100">
        <v>6.5</v>
      </c>
      <c r="AV3100" t="s">
        <v>682</v>
      </c>
      <c r="AW3100" t="s">
        <v>334</v>
      </c>
    </row>
    <row r="3101" spans="1:50">
      <c r="A3101" s="1">
        <f>HYPERLINK("https://lsnyc.legalserver.org/matter/dynamic-profile/view/1882884","18-1882884")</f>
        <v>0</v>
      </c>
      <c r="B3101" t="s">
        <v>99</v>
      </c>
      <c r="C3101" t="s">
        <v>341</v>
      </c>
      <c r="D3101" t="s">
        <v>577</v>
      </c>
      <c r="E3101" t="s">
        <v>771</v>
      </c>
      <c r="F3101" t="s">
        <v>1551</v>
      </c>
      <c r="G3101" t="s">
        <v>5664</v>
      </c>
      <c r="H3101" t="s">
        <v>12082</v>
      </c>
      <c r="I3101" t="s">
        <v>17299</v>
      </c>
      <c r="J3101" t="s">
        <v>18894</v>
      </c>
      <c r="K3101">
        <v>11216</v>
      </c>
      <c r="L3101" t="s">
        <v>18958</v>
      </c>
      <c r="M3101" t="s">
        <v>18958</v>
      </c>
      <c r="N3101" t="s">
        <v>21264</v>
      </c>
      <c r="O3101" t="s">
        <v>26523</v>
      </c>
      <c r="P3101" t="s">
        <v>26560</v>
      </c>
      <c r="Q3101" t="s">
        <v>26568</v>
      </c>
      <c r="R3101" t="s">
        <v>26588</v>
      </c>
      <c r="S3101" t="s">
        <v>18959</v>
      </c>
      <c r="U3101" t="s">
        <v>26604</v>
      </c>
      <c r="V3101" t="s">
        <v>26610</v>
      </c>
      <c r="W3101" t="s">
        <v>577</v>
      </c>
      <c r="X3101">
        <v>977</v>
      </c>
      <c r="Y3101" t="s">
        <v>26652</v>
      </c>
      <c r="Z3101" t="s">
        <v>26669</v>
      </c>
      <c r="AA3101" t="s">
        <v>26678</v>
      </c>
      <c r="AB3101" t="s">
        <v>28134</v>
      </c>
      <c r="AC3101" t="s">
        <v>35420</v>
      </c>
      <c r="AD3101" t="s">
        <v>39421</v>
      </c>
      <c r="AE3101">
        <v>10</v>
      </c>
      <c r="AF3101" t="s">
        <v>45541</v>
      </c>
      <c r="AG3101" t="s">
        <v>45556</v>
      </c>
      <c r="AH3101">
        <v>21</v>
      </c>
      <c r="AI3101">
        <v>2</v>
      </c>
      <c r="AJ3101">
        <v>2</v>
      </c>
      <c r="AK3101">
        <v>139.44</v>
      </c>
      <c r="AN3101" t="s">
        <v>7439</v>
      </c>
      <c r="AO3101">
        <v>35000</v>
      </c>
      <c r="AQ3101" t="s">
        <v>46362</v>
      </c>
      <c r="AR3101" t="s">
        <v>46381</v>
      </c>
      <c r="AS3101" t="s">
        <v>46499</v>
      </c>
      <c r="AT3101" t="s">
        <v>46601</v>
      </c>
      <c r="AU3101">
        <v>16.2</v>
      </c>
      <c r="AV3101" t="s">
        <v>771</v>
      </c>
      <c r="AW3101" t="s">
        <v>46862</v>
      </c>
    </row>
    <row r="3102" spans="1:50">
      <c r="A3102" s="1">
        <f>HYPERLINK("https://lsnyc.legalserver.org/matter/dynamic-profile/view/1882891","18-1882891")</f>
        <v>0</v>
      </c>
      <c r="B3102" t="s">
        <v>111</v>
      </c>
      <c r="C3102" t="s">
        <v>341</v>
      </c>
      <c r="D3102" t="s">
        <v>577</v>
      </c>
      <c r="E3102" t="s">
        <v>518</v>
      </c>
      <c r="F3102" t="s">
        <v>1976</v>
      </c>
      <c r="G3102" t="s">
        <v>6742</v>
      </c>
      <c r="H3102" t="s">
        <v>12083</v>
      </c>
      <c r="I3102" t="s">
        <v>17624</v>
      </c>
      <c r="J3102" t="s">
        <v>18898</v>
      </c>
      <c r="K3102">
        <v>11691</v>
      </c>
      <c r="L3102" t="s">
        <v>18958</v>
      </c>
      <c r="M3102" t="s">
        <v>18958</v>
      </c>
      <c r="N3102" t="s">
        <v>21265</v>
      </c>
      <c r="O3102" t="s">
        <v>26533</v>
      </c>
      <c r="P3102" t="s">
        <v>26560</v>
      </c>
      <c r="Q3102" t="s">
        <v>26568</v>
      </c>
      <c r="R3102" t="s">
        <v>26578</v>
      </c>
      <c r="S3102" t="s">
        <v>18959</v>
      </c>
      <c r="U3102" t="s">
        <v>26604</v>
      </c>
      <c r="V3102" t="s">
        <v>26610</v>
      </c>
      <c r="W3102" t="s">
        <v>577</v>
      </c>
      <c r="X3102">
        <v>600</v>
      </c>
      <c r="Y3102" t="s">
        <v>26653</v>
      </c>
      <c r="Z3102" t="s">
        <v>26664</v>
      </c>
      <c r="AA3102" t="s">
        <v>26686</v>
      </c>
      <c r="AB3102" t="s">
        <v>29367</v>
      </c>
      <c r="AD3102" t="s">
        <v>39422</v>
      </c>
      <c r="AE3102">
        <v>2</v>
      </c>
      <c r="AF3102" t="s">
        <v>45547</v>
      </c>
      <c r="AG3102" t="s">
        <v>19330</v>
      </c>
      <c r="AH3102">
        <v>1</v>
      </c>
      <c r="AI3102">
        <v>1</v>
      </c>
      <c r="AJ3102">
        <v>1</v>
      </c>
      <c r="AK3102">
        <v>0</v>
      </c>
      <c r="AN3102" t="s">
        <v>7439</v>
      </c>
      <c r="AO3102">
        <v>0</v>
      </c>
      <c r="AQ3102" t="s">
        <v>46359</v>
      </c>
      <c r="AR3102" t="s">
        <v>26530</v>
      </c>
      <c r="AS3102" t="s">
        <v>46499</v>
      </c>
      <c r="AT3102" t="s">
        <v>46617</v>
      </c>
      <c r="AU3102">
        <v>5.5</v>
      </c>
      <c r="AV3102" t="s">
        <v>651</v>
      </c>
      <c r="AW3102" t="s">
        <v>161</v>
      </c>
    </row>
    <row r="3103" spans="1:50">
      <c r="A3103" s="1">
        <f>HYPERLINK("https://lsnyc.legalserver.org/matter/dynamic-profile/view/1882768","18-1882768")</f>
        <v>0</v>
      </c>
      <c r="B3103" t="s">
        <v>87</v>
      </c>
      <c r="C3103" t="s">
        <v>341</v>
      </c>
      <c r="D3103" t="s">
        <v>577</v>
      </c>
      <c r="E3103" t="s">
        <v>823</v>
      </c>
      <c r="F3103" t="s">
        <v>932</v>
      </c>
      <c r="G3103" t="s">
        <v>5785</v>
      </c>
      <c r="H3103" t="s">
        <v>12084</v>
      </c>
      <c r="I3103" t="s">
        <v>17309</v>
      </c>
      <c r="J3103" t="s">
        <v>18892</v>
      </c>
      <c r="K3103">
        <v>10468</v>
      </c>
      <c r="L3103" t="s">
        <v>18958</v>
      </c>
      <c r="M3103" t="s">
        <v>18958</v>
      </c>
      <c r="N3103" t="s">
        <v>21266</v>
      </c>
      <c r="O3103" t="s">
        <v>26523</v>
      </c>
      <c r="P3103" t="s">
        <v>26560</v>
      </c>
      <c r="Q3103" t="s">
        <v>26568</v>
      </c>
      <c r="R3103" t="s">
        <v>26579</v>
      </c>
      <c r="S3103" t="s">
        <v>18959</v>
      </c>
      <c r="U3103" t="s">
        <v>26604</v>
      </c>
      <c r="V3103" t="s">
        <v>26610</v>
      </c>
      <c r="W3103" t="s">
        <v>577</v>
      </c>
      <c r="X3103">
        <v>1685</v>
      </c>
      <c r="Y3103" t="s">
        <v>26650</v>
      </c>
      <c r="Z3103" t="s">
        <v>26668</v>
      </c>
      <c r="AA3103" t="s">
        <v>26678</v>
      </c>
      <c r="AB3103" t="s">
        <v>29368</v>
      </c>
      <c r="AD3103" t="s">
        <v>39423</v>
      </c>
      <c r="AE3103">
        <v>0</v>
      </c>
      <c r="AF3103" t="s">
        <v>45541</v>
      </c>
      <c r="AG3103" t="s">
        <v>45556</v>
      </c>
      <c r="AH3103">
        <v>4</v>
      </c>
      <c r="AI3103">
        <v>2</v>
      </c>
      <c r="AJ3103">
        <v>0</v>
      </c>
      <c r="AK3103">
        <v>31.59</v>
      </c>
      <c r="AN3103" t="s">
        <v>7439</v>
      </c>
      <c r="AO3103">
        <v>5200</v>
      </c>
      <c r="AR3103" t="s">
        <v>46379</v>
      </c>
      <c r="AS3103" t="s">
        <v>46499</v>
      </c>
      <c r="AT3103" t="s">
        <v>46762</v>
      </c>
      <c r="AU3103">
        <v>12.3</v>
      </c>
      <c r="AV3103" t="s">
        <v>768</v>
      </c>
      <c r="AW3103" t="s">
        <v>46870</v>
      </c>
    </row>
    <row r="3104" spans="1:50">
      <c r="A3104" s="1">
        <f>HYPERLINK("https://lsnyc.legalserver.org/matter/dynamic-profile/view/1882765","18-1882765")</f>
        <v>0</v>
      </c>
      <c r="B3104" t="s">
        <v>87</v>
      </c>
      <c r="C3104" t="s">
        <v>341</v>
      </c>
      <c r="D3104" t="s">
        <v>577</v>
      </c>
      <c r="E3104" t="s">
        <v>785</v>
      </c>
      <c r="F3104" t="s">
        <v>2520</v>
      </c>
      <c r="G3104" t="s">
        <v>5349</v>
      </c>
      <c r="H3104" t="s">
        <v>12085</v>
      </c>
      <c r="I3104" t="s">
        <v>17339</v>
      </c>
      <c r="J3104" t="s">
        <v>18892</v>
      </c>
      <c r="K3104">
        <v>10468</v>
      </c>
      <c r="L3104" t="s">
        <v>18958</v>
      </c>
      <c r="M3104" t="s">
        <v>18958</v>
      </c>
      <c r="N3104" t="s">
        <v>21267</v>
      </c>
      <c r="O3104" t="s">
        <v>26523</v>
      </c>
      <c r="P3104" t="s">
        <v>26560</v>
      </c>
      <c r="Q3104" t="s">
        <v>26568</v>
      </c>
      <c r="R3104" t="s">
        <v>26579</v>
      </c>
      <c r="S3104" t="s">
        <v>18959</v>
      </c>
      <c r="U3104" t="s">
        <v>26604</v>
      </c>
      <c r="V3104" t="s">
        <v>26610</v>
      </c>
      <c r="W3104" t="s">
        <v>577</v>
      </c>
      <c r="X3104">
        <v>1992</v>
      </c>
      <c r="Y3104" t="s">
        <v>26650</v>
      </c>
      <c r="Z3104" t="s">
        <v>26664</v>
      </c>
      <c r="AA3104" t="s">
        <v>26678</v>
      </c>
      <c r="AB3104" t="s">
        <v>29369</v>
      </c>
      <c r="AC3104" t="s">
        <v>35421</v>
      </c>
      <c r="AD3104" t="s">
        <v>39424</v>
      </c>
      <c r="AE3104">
        <v>0</v>
      </c>
      <c r="AF3104" t="s">
        <v>45541</v>
      </c>
      <c r="AG3104" t="s">
        <v>45556</v>
      </c>
      <c r="AH3104">
        <v>16</v>
      </c>
      <c r="AI3104">
        <v>2</v>
      </c>
      <c r="AJ3104">
        <v>1</v>
      </c>
      <c r="AK3104">
        <v>122.37</v>
      </c>
      <c r="AO3104">
        <v>25428</v>
      </c>
      <c r="AR3104" t="s">
        <v>46381</v>
      </c>
      <c r="AS3104" t="s">
        <v>46499</v>
      </c>
      <c r="AT3104" t="s">
        <v>46506</v>
      </c>
      <c r="AU3104">
        <v>9.4</v>
      </c>
      <c r="AV3104" t="s">
        <v>735</v>
      </c>
      <c r="AW3104" t="s">
        <v>334</v>
      </c>
    </row>
    <row r="3105" spans="1:49">
      <c r="A3105" s="1">
        <f>HYPERLINK("https://lsnyc.legalserver.org/matter/dynamic-profile/view/1882764","18-1882764")</f>
        <v>0</v>
      </c>
      <c r="B3105" t="s">
        <v>87</v>
      </c>
      <c r="C3105" t="s">
        <v>341</v>
      </c>
      <c r="D3105" t="s">
        <v>577</v>
      </c>
      <c r="E3105" t="s">
        <v>766</v>
      </c>
      <c r="F3105" t="s">
        <v>2521</v>
      </c>
      <c r="G3105" t="s">
        <v>6743</v>
      </c>
      <c r="H3105" t="s">
        <v>12086</v>
      </c>
      <c r="I3105" t="s">
        <v>17352</v>
      </c>
      <c r="J3105" t="s">
        <v>18892</v>
      </c>
      <c r="K3105">
        <v>10467</v>
      </c>
      <c r="L3105" t="s">
        <v>18958</v>
      </c>
      <c r="M3105" t="s">
        <v>18958</v>
      </c>
      <c r="N3105" t="s">
        <v>21268</v>
      </c>
      <c r="O3105" t="s">
        <v>26523</v>
      </c>
      <c r="P3105" t="s">
        <v>26560</v>
      </c>
      <c r="Q3105" t="s">
        <v>26568</v>
      </c>
      <c r="R3105" t="s">
        <v>26579</v>
      </c>
      <c r="U3105" t="s">
        <v>26604</v>
      </c>
      <c r="V3105" t="s">
        <v>26610</v>
      </c>
      <c r="W3105" t="s">
        <v>577</v>
      </c>
      <c r="X3105">
        <v>1124</v>
      </c>
      <c r="Y3105" t="s">
        <v>26650</v>
      </c>
      <c r="Z3105" t="s">
        <v>26664</v>
      </c>
      <c r="AA3105" t="s">
        <v>26678</v>
      </c>
      <c r="AB3105" t="s">
        <v>28973</v>
      </c>
      <c r="AD3105" t="s">
        <v>39425</v>
      </c>
      <c r="AE3105">
        <v>0</v>
      </c>
      <c r="AF3105" t="s">
        <v>45541</v>
      </c>
      <c r="AG3105" t="s">
        <v>19330</v>
      </c>
      <c r="AH3105">
        <v>4</v>
      </c>
      <c r="AI3105">
        <v>1</v>
      </c>
      <c r="AJ3105">
        <v>2</v>
      </c>
      <c r="AK3105">
        <v>168.43</v>
      </c>
      <c r="AN3105" t="s">
        <v>7439</v>
      </c>
      <c r="AO3105">
        <v>35000</v>
      </c>
      <c r="AR3105" t="s">
        <v>46381</v>
      </c>
      <c r="AS3105" t="s">
        <v>46499</v>
      </c>
      <c r="AT3105" t="s">
        <v>46749</v>
      </c>
      <c r="AU3105">
        <v>10.5</v>
      </c>
      <c r="AV3105" t="s">
        <v>723</v>
      </c>
      <c r="AW3105" t="s">
        <v>334</v>
      </c>
    </row>
    <row r="3106" spans="1:49">
      <c r="A3106" s="1">
        <f>HYPERLINK("https://lsnyc.legalserver.org/matter/dynamic-profile/view/1882810","18-1882810")</f>
        <v>0</v>
      </c>
      <c r="B3106" t="s">
        <v>97</v>
      </c>
      <c r="C3106" t="s">
        <v>340</v>
      </c>
      <c r="D3106" t="s">
        <v>577</v>
      </c>
      <c r="F3106" t="s">
        <v>1353</v>
      </c>
      <c r="G3106" t="s">
        <v>6744</v>
      </c>
      <c r="H3106" t="s">
        <v>12087</v>
      </c>
      <c r="I3106" t="s">
        <v>17305</v>
      </c>
      <c r="J3106" t="s">
        <v>18892</v>
      </c>
      <c r="K3106">
        <v>10467</v>
      </c>
      <c r="L3106" t="s">
        <v>18958</v>
      </c>
      <c r="M3106" t="s">
        <v>18958</v>
      </c>
      <c r="N3106" t="s">
        <v>21269</v>
      </c>
      <c r="O3106" t="s">
        <v>26523</v>
      </c>
      <c r="P3106" t="s">
        <v>26560</v>
      </c>
      <c r="R3106" t="s">
        <v>26579</v>
      </c>
      <c r="S3106" t="s">
        <v>18959</v>
      </c>
      <c r="U3106" t="s">
        <v>26605</v>
      </c>
      <c r="V3106" t="s">
        <v>26610</v>
      </c>
      <c r="W3106" t="s">
        <v>577</v>
      </c>
      <c r="X3106">
        <v>1656</v>
      </c>
      <c r="Y3106" t="s">
        <v>26650</v>
      </c>
      <c r="Z3106" t="s">
        <v>26672</v>
      </c>
      <c r="AB3106" t="s">
        <v>27539</v>
      </c>
      <c r="AD3106" t="s">
        <v>39426</v>
      </c>
      <c r="AE3106">
        <v>50</v>
      </c>
      <c r="AF3106" t="s">
        <v>45549</v>
      </c>
      <c r="AG3106" t="s">
        <v>45556</v>
      </c>
      <c r="AH3106">
        <v>10</v>
      </c>
      <c r="AI3106">
        <v>1</v>
      </c>
      <c r="AJ3106">
        <v>1</v>
      </c>
      <c r="AK3106">
        <v>43.74</v>
      </c>
      <c r="AN3106" t="s">
        <v>7439</v>
      </c>
      <c r="AO3106">
        <v>7200</v>
      </c>
      <c r="AU3106">
        <v>12.05</v>
      </c>
      <c r="AV3106" t="s">
        <v>677</v>
      </c>
      <c r="AW3106" t="s">
        <v>46857</v>
      </c>
    </row>
    <row r="3107" spans="1:49">
      <c r="A3107" s="1">
        <f>HYPERLINK("https://lsnyc.legalserver.org/matter/dynamic-profile/view/1882809","18-1882809")</f>
        <v>0</v>
      </c>
      <c r="B3107" t="s">
        <v>60</v>
      </c>
      <c r="C3107" t="s">
        <v>340</v>
      </c>
      <c r="D3107" t="s">
        <v>577</v>
      </c>
      <c r="F3107" t="s">
        <v>974</v>
      </c>
      <c r="G3107" t="s">
        <v>5849</v>
      </c>
      <c r="H3107" t="s">
        <v>12088</v>
      </c>
      <c r="J3107" t="s">
        <v>18892</v>
      </c>
      <c r="K3107">
        <v>10466</v>
      </c>
      <c r="L3107" t="s">
        <v>18958</v>
      </c>
      <c r="M3107" t="s">
        <v>18958</v>
      </c>
      <c r="O3107" t="s">
        <v>26532</v>
      </c>
      <c r="P3107" t="s">
        <v>26561</v>
      </c>
      <c r="R3107" t="s">
        <v>26578</v>
      </c>
      <c r="S3107" t="s">
        <v>18959</v>
      </c>
      <c r="U3107" t="s">
        <v>26606</v>
      </c>
      <c r="W3107" t="s">
        <v>577</v>
      </c>
      <c r="X3107">
        <v>1172</v>
      </c>
      <c r="Y3107" t="s">
        <v>26650</v>
      </c>
      <c r="Z3107" t="s">
        <v>26657</v>
      </c>
      <c r="AD3107" t="s">
        <v>39427</v>
      </c>
      <c r="AE3107">
        <v>0</v>
      </c>
      <c r="AF3107" t="s">
        <v>45547</v>
      </c>
      <c r="AG3107" t="s">
        <v>45556</v>
      </c>
      <c r="AH3107">
        <v>0</v>
      </c>
      <c r="AI3107">
        <v>1</v>
      </c>
      <c r="AJ3107">
        <v>0</v>
      </c>
      <c r="AK3107">
        <v>257.03</v>
      </c>
      <c r="AL3107" t="s">
        <v>574</v>
      </c>
      <c r="AM3107" t="s">
        <v>45575</v>
      </c>
      <c r="AN3107" t="s">
        <v>7439</v>
      </c>
      <c r="AO3107">
        <v>31204</v>
      </c>
      <c r="AU3107">
        <v>72.15000000000001</v>
      </c>
      <c r="AV3107" t="s">
        <v>833</v>
      </c>
      <c r="AW3107" t="s">
        <v>60</v>
      </c>
    </row>
    <row r="3108" spans="1:49">
      <c r="A3108" s="1">
        <f>HYPERLINK("https://lsnyc.legalserver.org/matter/dynamic-profile/view/1882776","18-1882776")</f>
        <v>0</v>
      </c>
      <c r="B3108" t="s">
        <v>79</v>
      </c>
      <c r="C3108" t="s">
        <v>340</v>
      </c>
      <c r="D3108" t="s">
        <v>577</v>
      </c>
      <c r="F3108" t="s">
        <v>2522</v>
      </c>
      <c r="G3108" t="s">
        <v>6008</v>
      </c>
      <c r="H3108" t="s">
        <v>12089</v>
      </c>
      <c r="I3108">
        <v>4</v>
      </c>
      <c r="J3108" t="s">
        <v>18893</v>
      </c>
      <c r="K3108">
        <v>10032</v>
      </c>
      <c r="L3108" t="s">
        <v>18958</v>
      </c>
      <c r="M3108" t="s">
        <v>18958</v>
      </c>
      <c r="O3108" t="s">
        <v>26529</v>
      </c>
      <c r="P3108" t="s">
        <v>26565</v>
      </c>
      <c r="R3108" t="s">
        <v>26578</v>
      </c>
      <c r="S3108" t="s">
        <v>18959</v>
      </c>
      <c r="U3108" t="s">
        <v>26604</v>
      </c>
      <c r="W3108" t="s">
        <v>577</v>
      </c>
      <c r="X3108">
        <v>1025</v>
      </c>
      <c r="Y3108" t="s">
        <v>26651</v>
      </c>
      <c r="Z3108" t="s">
        <v>26661</v>
      </c>
      <c r="AB3108" t="s">
        <v>29370</v>
      </c>
      <c r="AD3108" t="s">
        <v>39428</v>
      </c>
      <c r="AE3108">
        <v>42</v>
      </c>
      <c r="AF3108" t="s">
        <v>45541</v>
      </c>
      <c r="AG3108" t="s">
        <v>19330</v>
      </c>
      <c r="AH3108">
        <v>24</v>
      </c>
      <c r="AI3108">
        <v>2</v>
      </c>
      <c r="AJ3108">
        <v>1</v>
      </c>
      <c r="AK3108">
        <v>87.58</v>
      </c>
      <c r="AN3108" t="s">
        <v>45581</v>
      </c>
      <c r="AO3108">
        <v>18200</v>
      </c>
      <c r="AU3108">
        <v>7.1</v>
      </c>
      <c r="AV3108" t="s">
        <v>671</v>
      </c>
      <c r="AW3108" t="s">
        <v>46840</v>
      </c>
    </row>
    <row r="3109" spans="1:49">
      <c r="A3109" s="1">
        <f>HYPERLINK("https://lsnyc.legalserver.org/matter/dynamic-profile/view/1882165","18-1882165")</f>
        <v>0</v>
      </c>
      <c r="B3109" t="s">
        <v>104</v>
      </c>
      <c r="C3109" t="s">
        <v>340</v>
      </c>
      <c r="D3109" t="s">
        <v>577</v>
      </c>
      <c r="F3109" t="s">
        <v>1730</v>
      </c>
      <c r="G3109" t="s">
        <v>6745</v>
      </c>
      <c r="H3109" t="s">
        <v>11431</v>
      </c>
      <c r="I3109" t="s">
        <v>17924</v>
      </c>
      <c r="J3109" t="s">
        <v>18902</v>
      </c>
      <c r="K3109">
        <v>10301</v>
      </c>
      <c r="L3109" t="s">
        <v>18958</v>
      </c>
      <c r="M3109" t="s">
        <v>18958</v>
      </c>
      <c r="N3109" t="s">
        <v>21270</v>
      </c>
      <c r="O3109" t="s">
        <v>26523</v>
      </c>
      <c r="P3109" t="s">
        <v>26560</v>
      </c>
      <c r="R3109" t="s">
        <v>26578</v>
      </c>
      <c r="S3109" t="s">
        <v>18959</v>
      </c>
      <c r="U3109" t="s">
        <v>26604</v>
      </c>
      <c r="V3109" t="s">
        <v>26610</v>
      </c>
      <c r="W3109" t="s">
        <v>577</v>
      </c>
      <c r="X3109">
        <v>1160</v>
      </c>
      <c r="Y3109" t="s">
        <v>26654</v>
      </c>
      <c r="AB3109" t="s">
        <v>29371</v>
      </c>
      <c r="AD3109" t="s">
        <v>39429</v>
      </c>
      <c r="AE3109">
        <v>122</v>
      </c>
      <c r="AF3109" t="s">
        <v>45541</v>
      </c>
      <c r="AG3109" t="s">
        <v>19330</v>
      </c>
      <c r="AH3109">
        <v>5</v>
      </c>
      <c r="AI3109">
        <v>1</v>
      </c>
      <c r="AJ3109">
        <v>1</v>
      </c>
      <c r="AK3109">
        <v>0</v>
      </c>
      <c r="AN3109" t="s">
        <v>7439</v>
      </c>
      <c r="AO3109">
        <v>0</v>
      </c>
      <c r="AS3109" t="s">
        <v>46500</v>
      </c>
      <c r="AT3109" t="s">
        <v>46765</v>
      </c>
      <c r="AU3109">
        <v>9</v>
      </c>
      <c r="AV3109" t="s">
        <v>713</v>
      </c>
      <c r="AW3109" t="s">
        <v>46855</v>
      </c>
    </row>
    <row r="3110" spans="1:49">
      <c r="A3110" s="1">
        <f>HYPERLINK("https://lsnyc.legalserver.org/matter/dynamic-profile/view/1882824","18-1882824")</f>
        <v>0</v>
      </c>
      <c r="B3110" t="s">
        <v>198</v>
      </c>
      <c r="C3110" t="s">
        <v>340</v>
      </c>
      <c r="D3110" t="s">
        <v>577</v>
      </c>
      <c r="F3110" t="s">
        <v>2405</v>
      </c>
      <c r="G3110" t="s">
        <v>6689</v>
      </c>
      <c r="H3110" t="s">
        <v>11135</v>
      </c>
      <c r="I3110" t="s">
        <v>17283</v>
      </c>
      <c r="J3110" t="s">
        <v>18894</v>
      </c>
      <c r="K3110">
        <v>11225</v>
      </c>
      <c r="L3110" t="s">
        <v>18958</v>
      </c>
      <c r="M3110" t="s">
        <v>18958</v>
      </c>
      <c r="O3110" t="s">
        <v>26539</v>
      </c>
      <c r="P3110" t="s">
        <v>26562</v>
      </c>
      <c r="R3110" t="s">
        <v>26578</v>
      </c>
      <c r="U3110" t="s">
        <v>26604</v>
      </c>
      <c r="W3110" t="s">
        <v>577</v>
      </c>
      <c r="X3110">
        <v>0</v>
      </c>
      <c r="Y3110" t="s">
        <v>26652</v>
      </c>
      <c r="AB3110" t="s">
        <v>29264</v>
      </c>
      <c r="AD3110" t="s">
        <v>39430</v>
      </c>
      <c r="AE3110">
        <v>0</v>
      </c>
      <c r="AH3110">
        <v>0</v>
      </c>
      <c r="AI3110">
        <v>1</v>
      </c>
      <c r="AJ3110">
        <v>1</v>
      </c>
      <c r="AK3110">
        <v>131.23</v>
      </c>
      <c r="AN3110" t="s">
        <v>7439</v>
      </c>
      <c r="AO3110">
        <v>21600</v>
      </c>
      <c r="AP3110" t="s">
        <v>45776</v>
      </c>
      <c r="AU3110">
        <v>20.2</v>
      </c>
      <c r="AV3110" t="s">
        <v>832</v>
      </c>
      <c r="AW3110" t="s">
        <v>198</v>
      </c>
    </row>
    <row r="3111" spans="1:49">
      <c r="A3111" s="1">
        <f>HYPERLINK("https://lsnyc.legalserver.org/matter/dynamic-profile/view/1882821","18-1882821")</f>
        <v>0</v>
      </c>
      <c r="B3111" t="s">
        <v>59</v>
      </c>
      <c r="C3111" t="s">
        <v>340</v>
      </c>
      <c r="D3111" t="s">
        <v>577</v>
      </c>
      <c r="F3111" t="s">
        <v>2523</v>
      </c>
      <c r="G3111" t="s">
        <v>5081</v>
      </c>
      <c r="H3111" t="s">
        <v>12090</v>
      </c>
      <c r="I3111" t="s">
        <v>17306</v>
      </c>
      <c r="J3111" t="s">
        <v>18893</v>
      </c>
      <c r="K3111">
        <v>10025</v>
      </c>
      <c r="L3111" t="s">
        <v>18958</v>
      </c>
      <c r="M3111" t="s">
        <v>18958</v>
      </c>
      <c r="N3111" t="s">
        <v>21271</v>
      </c>
      <c r="O3111" t="s">
        <v>26524</v>
      </c>
      <c r="P3111" t="s">
        <v>26560</v>
      </c>
      <c r="R3111" t="s">
        <v>26580</v>
      </c>
      <c r="S3111" t="s">
        <v>18959</v>
      </c>
      <c r="U3111" t="s">
        <v>26605</v>
      </c>
      <c r="W3111" t="s">
        <v>577</v>
      </c>
      <c r="X3111">
        <v>303</v>
      </c>
      <c r="Y3111" t="s">
        <v>26651</v>
      </c>
      <c r="Z3111" t="s">
        <v>26660</v>
      </c>
      <c r="AB3111" t="s">
        <v>29372</v>
      </c>
      <c r="AD3111" t="s">
        <v>39431</v>
      </c>
      <c r="AE3111">
        <v>0</v>
      </c>
      <c r="AF3111" t="s">
        <v>45549</v>
      </c>
      <c r="AG3111" t="s">
        <v>19330</v>
      </c>
      <c r="AH3111">
        <v>12</v>
      </c>
      <c r="AI3111">
        <v>1</v>
      </c>
      <c r="AJ3111">
        <v>0</v>
      </c>
      <c r="AK3111">
        <v>305.83</v>
      </c>
      <c r="AN3111" t="s">
        <v>7439</v>
      </c>
      <c r="AO3111">
        <v>37128</v>
      </c>
      <c r="AU3111">
        <v>20.8</v>
      </c>
      <c r="AV3111" t="s">
        <v>836</v>
      </c>
      <c r="AW3111" t="s">
        <v>46875</v>
      </c>
    </row>
    <row r="3112" spans="1:49">
      <c r="A3112" s="1">
        <f>HYPERLINK("https://lsnyc.legalserver.org/matter/dynamic-profile/view/1874754","18-1874754")</f>
        <v>0</v>
      </c>
      <c r="B3112" t="s">
        <v>170</v>
      </c>
      <c r="C3112" t="s">
        <v>341</v>
      </c>
      <c r="D3112" t="s">
        <v>493</v>
      </c>
      <c r="E3112" t="s">
        <v>651</v>
      </c>
      <c r="F3112" t="s">
        <v>1987</v>
      </c>
      <c r="G3112" t="s">
        <v>5360</v>
      </c>
      <c r="H3112" t="s">
        <v>12091</v>
      </c>
      <c r="I3112" t="s">
        <v>17925</v>
      </c>
      <c r="J3112" t="s">
        <v>18894</v>
      </c>
      <c r="K3112">
        <v>11232</v>
      </c>
      <c r="L3112" t="s">
        <v>18958</v>
      </c>
      <c r="M3112" t="s">
        <v>18958</v>
      </c>
      <c r="N3112" t="s">
        <v>21272</v>
      </c>
      <c r="O3112" t="s">
        <v>26524</v>
      </c>
      <c r="P3112" t="s">
        <v>26560</v>
      </c>
      <c r="Q3112" t="s">
        <v>26568</v>
      </c>
      <c r="R3112" t="s">
        <v>26586</v>
      </c>
      <c r="S3112" t="s">
        <v>18959</v>
      </c>
      <c r="U3112" t="s">
        <v>26604</v>
      </c>
      <c r="W3112" t="s">
        <v>651</v>
      </c>
      <c r="X3112">
        <v>910</v>
      </c>
      <c r="Y3112" t="s">
        <v>26652</v>
      </c>
      <c r="Z3112" t="s">
        <v>26660</v>
      </c>
      <c r="AA3112" t="s">
        <v>26678</v>
      </c>
      <c r="AB3112" t="s">
        <v>29373</v>
      </c>
      <c r="AD3112" t="s">
        <v>39432</v>
      </c>
      <c r="AE3112">
        <v>28</v>
      </c>
      <c r="AF3112" t="s">
        <v>45541</v>
      </c>
      <c r="AH3112">
        <v>6</v>
      </c>
      <c r="AI3112">
        <v>2</v>
      </c>
      <c r="AJ3112">
        <v>2</v>
      </c>
      <c r="AK3112">
        <v>183.27</v>
      </c>
      <c r="AO3112">
        <v>46000</v>
      </c>
      <c r="AQ3112" t="s">
        <v>46359</v>
      </c>
      <c r="AR3112" t="s">
        <v>46419</v>
      </c>
      <c r="AS3112" t="s">
        <v>46499</v>
      </c>
      <c r="AT3112" t="s">
        <v>46637</v>
      </c>
      <c r="AU3112">
        <v>7.95</v>
      </c>
      <c r="AV3112" t="s">
        <v>651</v>
      </c>
      <c r="AW3112" t="s">
        <v>265</v>
      </c>
    </row>
    <row r="3113" spans="1:49">
      <c r="A3113" s="1">
        <f>HYPERLINK("https://lsnyc.legalserver.org/matter/dynamic-profile/view/1876666","18-1876666")</f>
        <v>0</v>
      </c>
      <c r="B3113" t="s">
        <v>68</v>
      </c>
      <c r="C3113" t="s">
        <v>341</v>
      </c>
      <c r="D3113" t="s">
        <v>531</v>
      </c>
      <c r="E3113" t="s">
        <v>666</v>
      </c>
      <c r="F3113" t="s">
        <v>1119</v>
      </c>
      <c r="G3113" t="s">
        <v>6708</v>
      </c>
      <c r="H3113" t="s">
        <v>12092</v>
      </c>
      <c r="I3113" t="s">
        <v>17282</v>
      </c>
      <c r="J3113" t="s">
        <v>18892</v>
      </c>
      <c r="K3113">
        <v>10474</v>
      </c>
      <c r="L3113" t="s">
        <v>18958</v>
      </c>
      <c r="M3113" t="s">
        <v>18958</v>
      </c>
      <c r="N3113" t="s">
        <v>21273</v>
      </c>
      <c r="O3113" t="s">
        <v>26524</v>
      </c>
      <c r="P3113" t="s">
        <v>26564</v>
      </c>
      <c r="Q3113" t="s">
        <v>26570</v>
      </c>
      <c r="R3113" t="s">
        <v>26578</v>
      </c>
      <c r="S3113" t="s">
        <v>18959</v>
      </c>
      <c r="U3113" t="s">
        <v>26604</v>
      </c>
      <c r="V3113" t="s">
        <v>26609</v>
      </c>
      <c r="W3113" t="s">
        <v>651</v>
      </c>
      <c r="X3113">
        <v>1623.96</v>
      </c>
      <c r="Y3113" t="s">
        <v>26650</v>
      </c>
      <c r="AA3113" t="s">
        <v>26683</v>
      </c>
      <c r="AB3113" t="s">
        <v>29374</v>
      </c>
      <c r="AD3113" t="s">
        <v>39433</v>
      </c>
      <c r="AE3113">
        <v>37</v>
      </c>
      <c r="AF3113" t="s">
        <v>45543</v>
      </c>
      <c r="AH3113">
        <v>6</v>
      </c>
      <c r="AI3113">
        <v>4</v>
      </c>
      <c r="AJ3113">
        <v>0</v>
      </c>
      <c r="AK3113">
        <v>250.06</v>
      </c>
      <c r="AN3113" t="s">
        <v>7439</v>
      </c>
      <c r="AO3113">
        <v>62764</v>
      </c>
      <c r="AP3113" t="s">
        <v>45777</v>
      </c>
      <c r="AU3113">
        <v>6.2</v>
      </c>
      <c r="AV3113" t="s">
        <v>651</v>
      </c>
      <c r="AW3113" t="s">
        <v>46854</v>
      </c>
    </row>
    <row r="3114" spans="1:49">
      <c r="A3114" s="1">
        <f>HYPERLINK("https://lsnyc.legalserver.org/matter/dynamic-profile/view/1879126","18-1879126")</f>
        <v>0</v>
      </c>
      <c r="B3114" t="s">
        <v>67</v>
      </c>
      <c r="C3114" t="s">
        <v>340</v>
      </c>
      <c r="D3114" t="s">
        <v>583</v>
      </c>
      <c r="F3114" t="s">
        <v>2524</v>
      </c>
      <c r="G3114" t="s">
        <v>6746</v>
      </c>
      <c r="H3114" t="s">
        <v>10660</v>
      </c>
      <c r="I3114" t="s">
        <v>17926</v>
      </c>
      <c r="J3114" t="s">
        <v>18892</v>
      </c>
      <c r="K3114">
        <v>10453</v>
      </c>
      <c r="L3114" t="s">
        <v>18958</v>
      </c>
      <c r="M3114" t="s">
        <v>18958</v>
      </c>
      <c r="N3114" t="s">
        <v>21274</v>
      </c>
      <c r="O3114" t="s">
        <v>26523</v>
      </c>
      <c r="P3114" t="s">
        <v>26560</v>
      </c>
      <c r="R3114" t="s">
        <v>26578</v>
      </c>
      <c r="U3114" t="s">
        <v>26604</v>
      </c>
      <c r="V3114" t="s">
        <v>26613</v>
      </c>
      <c r="W3114" t="s">
        <v>651</v>
      </c>
      <c r="X3114">
        <v>820</v>
      </c>
      <c r="Y3114" t="s">
        <v>26650</v>
      </c>
      <c r="Z3114" t="s">
        <v>26530</v>
      </c>
      <c r="AB3114" t="s">
        <v>29375</v>
      </c>
      <c r="AD3114" t="s">
        <v>39434</v>
      </c>
      <c r="AE3114">
        <v>111</v>
      </c>
      <c r="AF3114" t="s">
        <v>20460</v>
      </c>
      <c r="AG3114" t="s">
        <v>19330</v>
      </c>
      <c r="AH3114">
        <v>40</v>
      </c>
      <c r="AI3114">
        <v>1</v>
      </c>
      <c r="AJ3114">
        <v>0</v>
      </c>
      <c r="AK3114">
        <v>197.36</v>
      </c>
      <c r="AN3114" t="s">
        <v>7439</v>
      </c>
      <c r="AO3114">
        <v>23959.2</v>
      </c>
      <c r="AT3114" t="s">
        <v>46618</v>
      </c>
      <c r="AU3114">
        <v>10.1</v>
      </c>
      <c r="AV3114" t="s">
        <v>728</v>
      </c>
      <c r="AW3114" t="s">
        <v>46859</v>
      </c>
    </row>
    <row r="3115" spans="1:49">
      <c r="A3115" s="1">
        <f>HYPERLINK("https://lsnyc.legalserver.org/matter/dynamic-profile/view/1880623","18-1880623")</f>
        <v>0</v>
      </c>
      <c r="B3115" t="s">
        <v>170</v>
      </c>
      <c r="C3115" t="s">
        <v>341</v>
      </c>
      <c r="D3115" t="s">
        <v>623</v>
      </c>
      <c r="E3115" t="s">
        <v>651</v>
      </c>
      <c r="F3115" t="s">
        <v>972</v>
      </c>
      <c r="G3115" t="s">
        <v>6747</v>
      </c>
      <c r="H3115" t="s">
        <v>12093</v>
      </c>
      <c r="I3115" t="s">
        <v>17439</v>
      </c>
      <c r="J3115" t="s">
        <v>18894</v>
      </c>
      <c r="K3115">
        <v>11218</v>
      </c>
      <c r="L3115" t="s">
        <v>18958</v>
      </c>
      <c r="M3115" t="s">
        <v>18958</v>
      </c>
      <c r="N3115" t="s">
        <v>21275</v>
      </c>
      <c r="O3115" t="s">
        <v>26526</v>
      </c>
      <c r="P3115" t="s">
        <v>26564</v>
      </c>
      <c r="Q3115" t="s">
        <v>26570</v>
      </c>
      <c r="R3115" t="s">
        <v>26586</v>
      </c>
      <c r="U3115" t="s">
        <v>26604</v>
      </c>
      <c r="W3115" t="s">
        <v>651</v>
      </c>
      <c r="X3115">
        <v>1084.51</v>
      </c>
      <c r="Y3115" t="s">
        <v>26652</v>
      </c>
      <c r="Z3115" t="s">
        <v>26664</v>
      </c>
      <c r="AA3115" t="s">
        <v>26683</v>
      </c>
      <c r="AB3115" t="s">
        <v>29376</v>
      </c>
      <c r="AD3115" t="s">
        <v>39435</v>
      </c>
      <c r="AE3115">
        <v>20</v>
      </c>
      <c r="AG3115" t="s">
        <v>19330</v>
      </c>
      <c r="AH3115">
        <v>25</v>
      </c>
      <c r="AI3115">
        <v>1</v>
      </c>
      <c r="AJ3115">
        <v>2</v>
      </c>
      <c r="AK3115">
        <v>72.18000000000001</v>
      </c>
      <c r="AN3115" t="s">
        <v>45581</v>
      </c>
      <c r="AO3115">
        <v>15000</v>
      </c>
      <c r="AU3115">
        <v>1.9</v>
      </c>
      <c r="AV3115" t="s">
        <v>651</v>
      </c>
      <c r="AW3115" t="s">
        <v>46862</v>
      </c>
    </row>
    <row r="3116" spans="1:49">
      <c r="A3116" s="1">
        <f>HYPERLINK("https://lsnyc.legalserver.org/matter/dynamic-profile/view/1880724","18-1880724")</f>
        <v>0</v>
      </c>
      <c r="B3116" t="s">
        <v>170</v>
      </c>
      <c r="C3116" t="s">
        <v>341</v>
      </c>
      <c r="D3116" t="s">
        <v>630</v>
      </c>
      <c r="E3116" t="s">
        <v>651</v>
      </c>
      <c r="F3116" t="s">
        <v>2525</v>
      </c>
      <c r="G3116" t="s">
        <v>6748</v>
      </c>
      <c r="H3116" t="s">
        <v>12094</v>
      </c>
      <c r="I3116">
        <v>2</v>
      </c>
      <c r="J3116" t="s">
        <v>18894</v>
      </c>
      <c r="K3116">
        <v>11219</v>
      </c>
      <c r="L3116" t="s">
        <v>18958</v>
      </c>
      <c r="M3116" t="s">
        <v>18958</v>
      </c>
      <c r="N3116" t="s">
        <v>21276</v>
      </c>
      <c r="O3116" t="s">
        <v>26524</v>
      </c>
      <c r="P3116" t="s">
        <v>26564</v>
      </c>
      <c r="Q3116" t="s">
        <v>26570</v>
      </c>
      <c r="R3116" t="s">
        <v>26586</v>
      </c>
      <c r="U3116" t="s">
        <v>26604</v>
      </c>
      <c r="W3116" t="s">
        <v>651</v>
      </c>
      <c r="X3116">
        <v>0</v>
      </c>
      <c r="Y3116" t="s">
        <v>26652</v>
      </c>
      <c r="Z3116" t="s">
        <v>26664</v>
      </c>
      <c r="AA3116" t="s">
        <v>26683</v>
      </c>
      <c r="AB3116" t="s">
        <v>29377</v>
      </c>
      <c r="AD3116" t="s">
        <v>39436</v>
      </c>
      <c r="AE3116">
        <v>0</v>
      </c>
      <c r="AG3116" t="s">
        <v>19330</v>
      </c>
      <c r="AH3116">
        <v>9</v>
      </c>
      <c r="AI3116">
        <v>1</v>
      </c>
      <c r="AJ3116">
        <v>0</v>
      </c>
      <c r="AK3116">
        <v>0</v>
      </c>
      <c r="AN3116" t="s">
        <v>7439</v>
      </c>
      <c r="AO3116">
        <v>0</v>
      </c>
      <c r="AU3116">
        <v>2.5</v>
      </c>
      <c r="AV3116" t="s">
        <v>651</v>
      </c>
      <c r="AW3116" t="s">
        <v>46862</v>
      </c>
    </row>
    <row r="3117" spans="1:49">
      <c r="A3117" s="1">
        <f>HYPERLINK("https://lsnyc.legalserver.org/matter/dynamic-profile/view/1882221","18-1882221")</f>
        <v>0</v>
      </c>
      <c r="B3117" t="s">
        <v>141</v>
      </c>
      <c r="C3117" t="s">
        <v>341</v>
      </c>
      <c r="D3117" t="s">
        <v>427</v>
      </c>
      <c r="E3117" t="s">
        <v>666</v>
      </c>
      <c r="F3117" t="s">
        <v>1107</v>
      </c>
      <c r="G3117" t="s">
        <v>6749</v>
      </c>
      <c r="H3117" t="s">
        <v>12095</v>
      </c>
      <c r="I3117" t="s">
        <v>17416</v>
      </c>
      <c r="J3117" t="s">
        <v>18901</v>
      </c>
      <c r="K3117">
        <v>11435</v>
      </c>
      <c r="L3117" t="s">
        <v>18958</v>
      </c>
      <c r="M3117" t="s">
        <v>18958</v>
      </c>
      <c r="N3117" t="s">
        <v>21277</v>
      </c>
      <c r="O3117" t="s">
        <v>26524</v>
      </c>
      <c r="P3117" t="s">
        <v>26564</v>
      </c>
      <c r="Q3117" t="s">
        <v>26570</v>
      </c>
      <c r="R3117" t="s">
        <v>26578</v>
      </c>
      <c r="S3117" t="s">
        <v>18959</v>
      </c>
      <c r="U3117" t="s">
        <v>26604</v>
      </c>
      <c r="V3117" t="s">
        <v>26610</v>
      </c>
      <c r="W3117" t="s">
        <v>651</v>
      </c>
      <c r="X3117">
        <v>1800</v>
      </c>
      <c r="Y3117" t="s">
        <v>26653</v>
      </c>
      <c r="Z3117" t="s">
        <v>26664</v>
      </c>
      <c r="AA3117" t="s">
        <v>26683</v>
      </c>
      <c r="AB3117" t="s">
        <v>29378</v>
      </c>
      <c r="AC3117" t="s">
        <v>19330</v>
      </c>
      <c r="AD3117" t="s">
        <v>34738</v>
      </c>
      <c r="AE3117">
        <v>2</v>
      </c>
      <c r="AF3117" t="s">
        <v>45547</v>
      </c>
      <c r="AG3117" t="s">
        <v>19330</v>
      </c>
      <c r="AH3117">
        <v>4</v>
      </c>
      <c r="AI3117">
        <v>1</v>
      </c>
      <c r="AJ3117">
        <v>0</v>
      </c>
      <c r="AK3117">
        <v>107.08</v>
      </c>
      <c r="AN3117" t="s">
        <v>7439</v>
      </c>
      <c r="AO3117">
        <v>13000</v>
      </c>
      <c r="AU3117">
        <v>1.7</v>
      </c>
      <c r="AV3117" t="s">
        <v>726</v>
      </c>
      <c r="AW3117" t="s">
        <v>161</v>
      </c>
    </row>
    <row r="3118" spans="1:49">
      <c r="A3118" s="1">
        <f>HYPERLINK("https://lsnyc.legalserver.org/matter/dynamic-profile/view/1882354","18-1882354")</f>
        <v>0</v>
      </c>
      <c r="B3118" t="s">
        <v>263</v>
      </c>
      <c r="C3118" t="s">
        <v>341</v>
      </c>
      <c r="D3118" t="s">
        <v>428</v>
      </c>
      <c r="E3118" t="s">
        <v>703</v>
      </c>
      <c r="F3118" t="s">
        <v>871</v>
      </c>
      <c r="G3118" t="s">
        <v>6183</v>
      </c>
      <c r="H3118" t="s">
        <v>12096</v>
      </c>
      <c r="I3118" t="s">
        <v>17272</v>
      </c>
      <c r="J3118" t="s">
        <v>18892</v>
      </c>
      <c r="K3118">
        <v>10458</v>
      </c>
      <c r="L3118" t="s">
        <v>18958</v>
      </c>
      <c r="M3118" t="s">
        <v>18958</v>
      </c>
      <c r="O3118" t="s">
        <v>18997</v>
      </c>
      <c r="P3118" t="s">
        <v>26565</v>
      </c>
      <c r="Q3118" t="s">
        <v>26571</v>
      </c>
      <c r="R3118" t="s">
        <v>26578</v>
      </c>
      <c r="S3118" t="s">
        <v>18959</v>
      </c>
      <c r="U3118" t="s">
        <v>26604</v>
      </c>
      <c r="W3118" t="s">
        <v>651</v>
      </c>
      <c r="X3118">
        <v>1360</v>
      </c>
      <c r="Y3118" t="s">
        <v>26650</v>
      </c>
      <c r="Z3118" t="s">
        <v>26663</v>
      </c>
      <c r="AA3118" t="s">
        <v>26683</v>
      </c>
      <c r="AB3118" t="s">
        <v>29379</v>
      </c>
      <c r="AD3118" t="s">
        <v>39437</v>
      </c>
      <c r="AE3118">
        <v>0</v>
      </c>
      <c r="AF3118" t="s">
        <v>45541</v>
      </c>
      <c r="AG3118" t="s">
        <v>19330</v>
      </c>
      <c r="AH3118">
        <v>10</v>
      </c>
      <c r="AI3118">
        <v>1</v>
      </c>
      <c r="AJ3118">
        <v>0</v>
      </c>
      <c r="AK3118">
        <v>55.55</v>
      </c>
      <c r="AN3118" t="s">
        <v>45581</v>
      </c>
      <c r="AO3118">
        <v>6744</v>
      </c>
      <c r="AU3118">
        <v>1.2</v>
      </c>
      <c r="AV3118" t="s">
        <v>651</v>
      </c>
      <c r="AW3118" t="s">
        <v>46878</v>
      </c>
    </row>
    <row r="3119" spans="1:49">
      <c r="A3119" s="1">
        <f>HYPERLINK("https://lsnyc.legalserver.org/matter/dynamic-profile/view/1882937","18-1882937")</f>
        <v>0</v>
      </c>
      <c r="B3119" t="s">
        <v>263</v>
      </c>
      <c r="C3119" t="s">
        <v>341</v>
      </c>
      <c r="D3119" t="s">
        <v>637</v>
      </c>
      <c r="E3119" t="s">
        <v>703</v>
      </c>
      <c r="F3119" t="s">
        <v>2526</v>
      </c>
      <c r="G3119" t="s">
        <v>6586</v>
      </c>
      <c r="H3119" t="s">
        <v>12097</v>
      </c>
      <c r="J3119" t="s">
        <v>18892</v>
      </c>
      <c r="K3119">
        <v>10452</v>
      </c>
      <c r="L3119" t="s">
        <v>18958</v>
      </c>
      <c r="M3119" t="s">
        <v>18958</v>
      </c>
      <c r="O3119" t="s">
        <v>18997</v>
      </c>
      <c r="P3119" t="s">
        <v>26564</v>
      </c>
      <c r="Q3119" t="s">
        <v>26570</v>
      </c>
      <c r="R3119" t="s">
        <v>26578</v>
      </c>
      <c r="S3119" t="s">
        <v>18959</v>
      </c>
      <c r="U3119" t="s">
        <v>26604</v>
      </c>
      <c r="W3119" t="s">
        <v>651</v>
      </c>
      <c r="X3119">
        <v>1122</v>
      </c>
      <c r="Y3119" t="s">
        <v>26650</v>
      </c>
      <c r="Z3119" t="s">
        <v>26659</v>
      </c>
      <c r="AA3119" t="s">
        <v>26683</v>
      </c>
      <c r="AB3119" t="s">
        <v>29380</v>
      </c>
      <c r="AE3119">
        <v>0</v>
      </c>
      <c r="AF3119" t="s">
        <v>45541</v>
      </c>
      <c r="AG3119" t="s">
        <v>19330</v>
      </c>
      <c r="AH3119">
        <v>4</v>
      </c>
      <c r="AI3119">
        <v>1</v>
      </c>
      <c r="AJ3119">
        <v>2</v>
      </c>
      <c r="AK3119">
        <v>195.48</v>
      </c>
      <c r="AN3119" t="s">
        <v>45581</v>
      </c>
      <c r="AO3119">
        <v>40620</v>
      </c>
      <c r="AU3119">
        <v>1</v>
      </c>
      <c r="AV3119" t="s">
        <v>651</v>
      </c>
      <c r="AW3119" t="s">
        <v>263</v>
      </c>
    </row>
    <row r="3120" spans="1:49">
      <c r="A3120" s="1">
        <f>HYPERLINK("https://lsnyc.legalserver.org/matter/dynamic-profile/view/1883034","18-1883034")</f>
        <v>0</v>
      </c>
      <c r="B3120" t="s">
        <v>61</v>
      </c>
      <c r="C3120" t="s">
        <v>341</v>
      </c>
      <c r="D3120" t="s">
        <v>651</v>
      </c>
      <c r="E3120" t="s">
        <v>692</v>
      </c>
      <c r="F3120" t="s">
        <v>2527</v>
      </c>
      <c r="G3120" t="s">
        <v>5673</v>
      </c>
      <c r="H3120" t="s">
        <v>11770</v>
      </c>
      <c r="I3120">
        <v>34</v>
      </c>
      <c r="J3120" t="s">
        <v>18893</v>
      </c>
      <c r="K3120">
        <v>10034</v>
      </c>
      <c r="L3120" t="s">
        <v>18958</v>
      </c>
      <c r="M3120" t="s">
        <v>18958</v>
      </c>
      <c r="O3120" t="s">
        <v>26539</v>
      </c>
      <c r="P3120" t="s">
        <v>26565</v>
      </c>
      <c r="Q3120" t="s">
        <v>26571</v>
      </c>
      <c r="R3120" t="s">
        <v>26578</v>
      </c>
      <c r="S3120" t="s">
        <v>18959</v>
      </c>
      <c r="U3120" t="s">
        <v>26604</v>
      </c>
      <c r="W3120" t="s">
        <v>651</v>
      </c>
      <c r="X3120">
        <v>810.26</v>
      </c>
      <c r="Y3120" t="s">
        <v>26651</v>
      </c>
      <c r="Z3120" t="s">
        <v>26659</v>
      </c>
      <c r="AA3120" t="s">
        <v>26683</v>
      </c>
      <c r="AB3120" t="s">
        <v>29381</v>
      </c>
      <c r="AD3120" t="s">
        <v>39438</v>
      </c>
      <c r="AE3120">
        <v>25</v>
      </c>
      <c r="AF3120" t="s">
        <v>45541</v>
      </c>
      <c r="AG3120" t="s">
        <v>45559</v>
      </c>
      <c r="AH3120">
        <v>52</v>
      </c>
      <c r="AI3120">
        <v>1</v>
      </c>
      <c r="AJ3120">
        <v>0</v>
      </c>
      <c r="AK3120">
        <v>249.59</v>
      </c>
      <c r="AL3120" t="s">
        <v>574</v>
      </c>
      <c r="AM3120" t="s">
        <v>45575</v>
      </c>
      <c r="AN3120" t="s">
        <v>45581</v>
      </c>
      <c r="AO3120">
        <v>30300</v>
      </c>
      <c r="AU3120">
        <v>2.7</v>
      </c>
      <c r="AV3120" t="s">
        <v>692</v>
      </c>
      <c r="AW3120" t="s">
        <v>46840</v>
      </c>
    </row>
    <row r="3121" spans="1:50">
      <c r="A3121" s="1">
        <f>HYPERLINK("https://lsnyc.legalserver.org/matter/dynamic-profile/view/1882946","18-1882946")</f>
        <v>0</v>
      </c>
      <c r="B3121" t="s">
        <v>246</v>
      </c>
      <c r="C3121" t="s">
        <v>341</v>
      </c>
      <c r="D3121" t="s">
        <v>651</v>
      </c>
      <c r="E3121" t="s">
        <v>494</v>
      </c>
      <c r="F3121" t="s">
        <v>1219</v>
      </c>
      <c r="G3121" t="s">
        <v>6750</v>
      </c>
      <c r="H3121" t="s">
        <v>12098</v>
      </c>
      <c r="I3121">
        <v>2</v>
      </c>
      <c r="J3121" t="s">
        <v>18892</v>
      </c>
      <c r="K3121">
        <v>10462</v>
      </c>
      <c r="L3121" t="s">
        <v>18958</v>
      </c>
      <c r="M3121" t="s">
        <v>18958</v>
      </c>
      <c r="N3121" t="s">
        <v>21278</v>
      </c>
      <c r="O3121" t="s">
        <v>26524</v>
      </c>
      <c r="P3121" t="s">
        <v>26560</v>
      </c>
      <c r="Q3121" t="s">
        <v>26568</v>
      </c>
      <c r="R3121" t="s">
        <v>26579</v>
      </c>
      <c r="S3121" t="s">
        <v>18959</v>
      </c>
      <c r="U3121" t="s">
        <v>26604</v>
      </c>
      <c r="V3121" t="s">
        <v>26610</v>
      </c>
      <c r="W3121" t="s">
        <v>651</v>
      </c>
      <c r="X3121">
        <v>1700</v>
      </c>
      <c r="Y3121" t="s">
        <v>26650</v>
      </c>
      <c r="Z3121" t="s">
        <v>26664</v>
      </c>
      <c r="AA3121" t="s">
        <v>26678</v>
      </c>
      <c r="AB3121" t="s">
        <v>29382</v>
      </c>
      <c r="AD3121" t="s">
        <v>39439</v>
      </c>
      <c r="AE3121">
        <v>3</v>
      </c>
      <c r="AF3121" t="s">
        <v>45547</v>
      </c>
      <c r="AG3121" t="s">
        <v>19330</v>
      </c>
      <c r="AH3121">
        <v>1</v>
      </c>
      <c r="AI3121">
        <v>1</v>
      </c>
      <c r="AJ3121">
        <v>1</v>
      </c>
      <c r="AK3121">
        <v>189.55</v>
      </c>
      <c r="AO3121">
        <v>31200</v>
      </c>
      <c r="AS3121" t="s">
        <v>46499</v>
      </c>
      <c r="AT3121" t="s">
        <v>46517</v>
      </c>
      <c r="AU3121">
        <v>10</v>
      </c>
      <c r="AV3121" t="s">
        <v>702</v>
      </c>
      <c r="AW3121" t="s">
        <v>334</v>
      </c>
    </row>
    <row r="3122" spans="1:50">
      <c r="A3122" s="1">
        <f>HYPERLINK("https://lsnyc.legalserver.org/matter/dynamic-profile/view/1882975","18-1882975")</f>
        <v>0</v>
      </c>
      <c r="B3122" t="s">
        <v>85</v>
      </c>
      <c r="C3122" t="s">
        <v>341</v>
      </c>
      <c r="D3122" t="s">
        <v>651</v>
      </c>
      <c r="E3122" t="s">
        <v>494</v>
      </c>
      <c r="F3122" t="s">
        <v>2528</v>
      </c>
      <c r="G3122" t="s">
        <v>3741</v>
      </c>
      <c r="H3122" t="s">
        <v>12099</v>
      </c>
      <c r="J3122" t="s">
        <v>7026</v>
      </c>
      <c r="K3122">
        <v>11368</v>
      </c>
      <c r="L3122" t="s">
        <v>18958</v>
      </c>
      <c r="M3122" t="s">
        <v>18958</v>
      </c>
      <c r="N3122" t="s">
        <v>21279</v>
      </c>
      <c r="O3122" t="s">
        <v>26524</v>
      </c>
      <c r="P3122" t="s">
        <v>26564</v>
      </c>
      <c r="Q3122" t="s">
        <v>26570</v>
      </c>
      <c r="R3122" t="s">
        <v>26584</v>
      </c>
      <c r="S3122" t="s">
        <v>18959</v>
      </c>
      <c r="U3122" t="s">
        <v>26604</v>
      </c>
      <c r="V3122" t="s">
        <v>26610</v>
      </c>
      <c r="W3122" t="s">
        <v>651</v>
      </c>
      <c r="X3122">
        <v>750</v>
      </c>
      <c r="Y3122" t="s">
        <v>26653</v>
      </c>
      <c r="Z3122" t="s">
        <v>26664</v>
      </c>
      <c r="AA3122" t="s">
        <v>26683</v>
      </c>
      <c r="AB3122" t="s">
        <v>29383</v>
      </c>
      <c r="AD3122" t="s">
        <v>39440</v>
      </c>
      <c r="AE3122">
        <v>0</v>
      </c>
      <c r="AF3122" t="s">
        <v>45553</v>
      </c>
      <c r="AG3122" t="s">
        <v>19330</v>
      </c>
      <c r="AH3122">
        <v>1</v>
      </c>
      <c r="AI3122">
        <v>1</v>
      </c>
      <c r="AJ3122">
        <v>0</v>
      </c>
      <c r="AK3122">
        <v>171.33</v>
      </c>
      <c r="AN3122" t="s">
        <v>45595</v>
      </c>
      <c r="AO3122">
        <v>20800</v>
      </c>
      <c r="AU3122">
        <v>0.4</v>
      </c>
      <c r="AV3122" t="s">
        <v>458</v>
      </c>
      <c r="AW3122" t="s">
        <v>208</v>
      </c>
    </row>
    <row r="3123" spans="1:50">
      <c r="A3123" s="1">
        <f>HYPERLINK("https://lsnyc.legalserver.org/matter/dynamic-profile/view/1882986","18-1882986")</f>
        <v>0</v>
      </c>
      <c r="B3123" t="s">
        <v>251</v>
      </c>
      <c r="C3123" t="s">
        <v>341</v>
      </c>
      <c r="D3123" t="s">
        <v>651</v>
      </c>
      <c r="E3123" t="s">
        <v>675</v>
      </c>
      <c r="F3123" t="s">
        <v>875</v>
      </c>
      <c r="G3123" t="s">
        <v>5908</v>
      </c>
      <c r="H3123" t="s">
        <v>12100</v>
      </c>
      <c r="I3123" t="s">
        <v>17307</v>
      </c>
      <c r="J3123" t="s">
        <v>18892</v>
      </c>
      <c r="K3123">
        <v>10467</v>
      </c>
      <c r="L3123" t="s">
        <v>18958</v>
      </c>
      <c r="M3123" t="s">
        <v>18958</v>
      </c>
      <c r="N3123" t="s">
        <v>21280</v>
      </c>
      <c r="O3123" t="s">
        <v>26523</v>
      </c>
      <c r="P3123" t="s">
        <v>26560</v>
      </c>
      <c r="Q3123" t="s">
        <v>26568</v>
      </c>
      <c r="R3123" t="s">
        <v>26579</v>
      </c>
      <c r="S3123" t="s">
        <v>18959</v>
      </c>
      <c r="U3123" t="s">
        <v>26604</v>
      </c>
      <c r="V3123" t="s">
        <v>26610</v>
      </c>
      <c r="W3123" t="s">
        <v>651</v>
      </c>
      <c r="X3123">
        <v>1500</v>
      </c>
      <c r="Y3123" t="s">
        <v>26650</v>
      </c>
      <c r="Z3123" t="s">
        <v>26664</v>
      </c>
      <c r="AA3123" t="s">
        <v>26678</v>
      </c>
      <c r="AB3123" t="s">
        <v>27660</v>
      </c>
      <c r="AC3123" t="s">
        <v>35422</v>
      </c>
      <c r="AD3123" t="s">
        <v>39441</v>
      </c>
      <c r="AE3123">
        <v>54</v>
      </c>
      <c r="AF3123" t="s">
        <v>20460</v>
      </c>
      <c r="AG3123" t="s">
        <v>45562</v>
      </c>
      <c r="AH3123">
        <v>4</v>
      </c>
      <c r="AI3123">
        <v>1</v>
      </c>
      <c r="AJ3123">
        <v>2</v>
      </c>
      <c r="AK3123">
        <v>32.8</v>
      </c>
      <c r="AN3123" t="s">
        <v>7439</v>
      </c>
      <c r="AO3123">
        <v>6816</v>
      </c>
      <c r="AR3123" t="s">
        <v>46380</v>
      </c>
      <c r="AS3123" t="s">
        <v>46499</v>
      </c>
      <c r="AT3123" t="s">
        <v>46580</v>
      </c>
      <c r="AU3123">
        <v>4.45</v>
      </c>
      <c r="AV3123" t="s">
        <v>665</v>
      </c>
      <c r="AW3123" t="s">
        <v>334</v>
      </c>
    </row>
    <row r="3124" spans="1:50">
      <c r="A3124" s="1">
        <f>HYPERLINK("https://lsnyc.legalserver.org/matter/dynamic-profile/view/1883063","18-1883063")</f>
        <v>0</v>
      </c>
      <c r="B3124" t="s">
        <v>258</v>
      </c>
      <c r="C3124" t="s">
        <v>341</v>
      </c>
      <c r="D3124" t="s">
        <v>651</v>
      </c>
      <c r="E3124" t="s">
        <v>705</v>
      </c>
      <c r="F3124" t="s">
        <v>2529</v>
      </c>
      <c r="G3124" t="s">
        <v>6751</v>
      </c>
      <c r="H3124" t="s">
        <v>12101</v>
      </c>
      <c r="I3124" t="s">
        <v>17414</v>
      </c>
      <c r="J3124" t="s">
        <v>18913</v>
      </c>
      <c r="K3124">
        <v>11105</v>
      </c>
      <c r="L3124" t="s">
        <v>18958</v>
      </c>
      <c r="M3124" t="s">
        <v>18958</v>
      </c>
      <c r="N3124" t="s">
        <v>21281</v>
      </c>
      <c r="O3124" t="s">
        <v>26523</v>
      </c>
      <c r="P3124" t="s">
        <v>26564</v>
      </c>
      <c r="Q3124" t="s">
        <v>26570</v>
      </c>
      <c r="R3124" t="s">
        <v>26584</v>
      </c>
      <c r="S3124" t="s">
        <v>18959</v>
      </c>
      <c r="U3124" t="s">
        <v>26604</v>
      </c>
      <c r="V3124" t="s">
        <v>26610</v>
      </c>
      <c r="W3124" t="s">
        <v>651</v>
      </c>
      <c r="X3124">
        <v>1095</v>
      </c>
      <c r="Y3124" t="s">
        <v>26653</v>
      </c>
      <c r="Z3124" t="s">
        <v>26664</v>
      </c>
      <c r="AA3124" t="s">
        <v>26683</v>
      </c>
      <c r="AB3124" t="s">
        <v>29384</v>
      </c>
      <c r="AD3124" t="s">
        <v>39442</v>
      </c>
      <c r="AE3124">
        <v>16</v>
      </c>
      <c r="AF3124" t="s">
        <v>45541</v>
      </c>
      <c r="AG3124" t="s">
        <v>19330</v>
      </c>
      <c r="AH3124">
        <v>26</v>
      </c>
      <c r="AI3124">
        <v>1</v>
      </c>
      <c r="AJ3124">
        <v>0</v>
      </c>
      <c r="AK3124">
        <v>164.74</v>
      </c>
      <c r="AN3124" t="s">
        <v>7439</v>
      </c>
      <c r="AO3124">
        <v>20000</v>
      </c>
      <c r="AU3124">
        <v>1.5</v>
      </c>
      <c r="AV3124" t="s">
        <v>517</v>
      </c>
      <c r="AW3124" t="s">
        <v>161</v>
      </c>
    </row>
    <row r="3125" spans="1:50">
      <c r="A3125" s="1">
        <f>HYPERLINK("https://lsnyc.legalserver.org/matter/dynamic-profile/view/1883017","18-1883017")</f>
        <v>0</v>
      </c>
      <c r="B3125" t="s">
        <v>141</v>
      </c>
      <c r="C3125" t="s">
        <v>341</v>
      </c>
      <c r="D3125" t="s">
        <v>651</v>
      </c>
      <c r="E3125" t="s">
        <v>666</v>
      </c>
      <c r="F3125" t="s">
        <v>2530</v>
      </c>
      <c r="G3125" t="s">
        <v>6752</v>
      </c>
      <c r="H3125" t="s">
        <v>12102</v>
      </c>
      <c r="I3125">
        <v>11</v>
      </c>
      <c r="J3125" t="s">
        <v>18913</v>
      </c>
      <c r="K3125">
        <v>11105</v>
      </c>
      <c r="L3125" t="s">
        <v>18958</v>
      </c>
      <c r="M3125" t="s">
        <v>18958</v>
      </c>
      <c r="N3125" t="s">
        <v>21282</v>
      </c>
      <c r="O3125" t="s">
        <v>26523</v>
      </c>
      <c r="P3125" t="s">
        <v>26564</v>
      </c>
      <c r="Q3125" t="s">
        <v>26570</v>
      </c>
      <c r="R3125" t="s">
        <v>26578</v>
      </c>
      <c r="S3125" t="s">
        <v>18959</v>
      </c>
      <c r="U3125" t="s">
        <v>26604</v>
      </c>
      <c r="V3125" t="s">
        <v>26610</v>
      </c>
      <c r="W3125" t="s">
        <v>651</v>
      </c>
      <c r="X3125">
        <v>1176</v>
      </c>
      <c r="Y3125" t="s">
        <v>26653</v>
      </c>
      <c r="Z3125" t="s">
        <v>26664</v>
      </c>
      <c r="AA3125" t="s">
        <v>26683</v>
      </c>
      <c r="AB3125" t="s">
        <v>29385</v>
      </c>
      <c r="AD3125" t="s">
        <v>39443</v>
      </c>
      <c r="AE3125">
        <v>12</v>
      </c>
      <c r="AF3125" t="s">
        <v>45541</v>
      </c>
      <c r="AG3125" t="s">
        <v>19330</v>
      </c>
      <c r="AH3125">
        <v>35</v>
      </c>
      <c r="AI3125">
        <v>1</v>
      </c>
      <c r="AJ3125">
        <v>0</v>
      </c>
      <c r="AK3125">
        <v>29.65</v>
      </c>
      <c r="AN3125" t="s">
        <v>7439</v>
      </c>
      <c r="AO3125">
        <v>3600</v>
      </c>
      <c r="AU3125">
        <v>4.3</v>
      </c>
      <c r="AV3125" t="s">
        <v>729</v>
      </c>
      <c r="AW3125" t="s">
        <v>161</v>
      </c>
    </row>
    <row r="3126" spans="1:50">
      <c r="A3126" s="1">
        <f>HYPERLINK("https://lsnyc.legalserver.org/matter/dynamic-profile/view/1882917","18-1882917")</f>
        <v>0</v>
      </c>
      <c r="B3126" t="s">
        <v>214</v>
      </c>
      <c r="C3126" t="s">
        <v>341</v>
      </c>
      <c r="D3126" t="s">
        <v>651</v>
      </c>
      <c r="E3126" t="s">
        <v>751</v>
      </c>
      <c r="F3126" t="s">
        <v>1009</v>
      </c>
      <c r="G3126" t="s">
        <v>6753</v>
      </c>
      <c r="H3126" t="s">
        <v>12103</v>
      </c>
      <c r="I3126" t="s">
        <v>17276</v>
      </c>
      <c r="J3126" t="s">
        <v>18912</v>
      </c>
      <c r="K3126">
        <v>11374</v>
      </c>
      <c r="L3126" t="s">
        <v>18958</v>
      </c>
      <c r="M3126" t="s">
        <v>18958</v>
      </c>
      <c r="N3126" t="s">
        <v>19840</v>
      </c>
      <c r="O3126" t="s">
        <v>26524</v>
      </c>
      <c r="P3126" t="s">
        <v>26564</v>
      </c>
      <c r="Q3126" t="s">
        <v>26570</v>
      </c>
      <c r="R3126" t="s">
        <v>26589</v>
      </c>
      <c r="S3126" t="s">
        <v>18959</v>
      </c>
      <c r="U3126" t="s">
        <v>26604</v>
      </c>
      <c r="V3126" t="s">
        <v>26610</v>
      </c>
      <c r="W3126" t="s">
        <v>651</v>
      </c>
      <c r="X3126">
        <v>2350</v>
      </c>
      <c r="Y3126" t="s">
        <v>26653</v>
      </c>
      <c r="Z3126" t="s">
        <v>26671</v>
      </c>
      <c r="AA3126" t="s">
        <v>26683</v>
      </c>
      <c r="AB3126" t="s">
        <v>29386</v>
      </c>
      <c r="AC3126" t="s">
        <v>34738</v>
      </c>
      <c r="AD3126" t="s">
        <v>39444</v>
      </c>
      <c r="AE3126">
        <v>65</v>
      </c>
      <c r="AF3126" t="s">
        <v>45541</v>
      </c>
      <c r="AG3126" t="s">
        <v>19330</v>
      </c>
      <c r="AH3126">
        <v>1</v>
      </c>
      <c r="AI3126">
        <v>1</v>
      </c>
      <c r="AJ3126">
        <v>3</v>
      </c>
      <c r="AK3126">
        <v>25.9</v>
      </c>
      <c r="AL3126" t="s">
        <v>45567</v>
      </c>
      <c r="AM3126" t="s">
        <v>45577</v>
      </c>
      <c r="AN3126" t="s">
        <v>7439</v>
      </c>
      <c r="AO3126">
        <v>6500</v>
      </c>
      <c r="AU3126">
        <v>1.73</v>
      </c>
      <c r="AV3126" t="s">
        <v>747</v>
      </c>
      <c r="AW3126" t="s">
        <v>214</v>
      </c>
    </row>
    <row r="3127" spans="1:50">
      <c r="A3127" s="1">
        <f>HYPERLINK("https://lsnyc.legalserver.org/matter/dynamic-profile/view/1883016","18-1883016")</f>
        <v>0</v>
      </c>
      <c r="B3127" t="s">
        <v>214</v>
      </c>
      <c r="C3127" t="s">
        <v>341</v>
      </c>
      <c r="D3127" t="s">
        <v>651</v>
      </c>
      <c r="E3127" t="s">
        <v>751</v>
      </c>
      <c r="F3127" t="s">
        <v>2531</v>
      </c>
      <c r="G3127" t="s">
        <v>5706</v>
      </c>
      <c r="H3127" t="s">
        <v>12104</v>
      </c>
      <c r="I3127" t="s">
        <v>17344</v>
      </c>
      <c r="J3127" t="s">
        <v>18909</v>
      </c>
      <c r="K3127">
        <v>11101</v>
      </c>
      <c r="L3127" t="s">
        <v>18958</v>
      </c>
      <c r="M3127" t="s">
        <v>18958</v>
      </c>
      <c r="N3127" t="s">
        <v>21283</v>
      </c>
      <c r="O3127" t="s">
        <v>26523</v>
      </c>
      <c r="P3127" t="s">
        <v>26560</v>
      </c>
      <c r="Q3127" t="s">
        <v>26568</v>
      </c>
      <c r="R3127" t="s">
        <v>26589</v>
      </c>
      <c r="S3127" t="s">
        <v>18959</v>
      </c>
      <c r="U3127" t="s">
        <v>26605</v>
      </c>
      <c r="V3127" t="s">
        <v>26610</v>
      </c>
      <c r="W3127" t="s">
        <v>651</v>
      </c>
      <c r="X3127">
        <v>562</v>
      </c>
      <c r="Y3127" t="s">
        <v>26653</v>
      </c>
      <c r="Z3127" t="s">
        <v>26671</v>
      </c>
      <c r="AA3127" t="s">
        <v>26680</v>
      </c>
      <c r="AB3127" t="s">
        <v>29387</v>
      </c>
      <c r="AD3127" t="s">
        <v>39445</v>
      </c>
      <c r="AE3127">
        <v>525</v>
      </c>
      <c r="AF3127" t="s">
        <v>45549</v>
      </c>
      <c r="AG3127" t="s">
        <v>45556</v>
      </c>
      <c r="AH3127">
        <v>2</v>
      </c>
      <c r="AI3127">
        <v>1</v>
      </c>
      <c r="AJ3127">
        <v>1</v>
      </c>
      <c r="AK3127">
        <v>273.39</v>
      </c>
      <c r="AL3127" t="s">
        <v>45567</v>
      </c>
      <c r="AM3127" t="s">
        <v>45577</v>
      </c>
      <c r="AN3127" t="s">
        <v>7439</v>
      </c>
      <c r="AO3127">
        <v>45000</v>
      </c>
      <c r="AQ3127" t="s">
        <v>46361</v>
      </c>
      <c r="AR3127" t="s">
        <v>46380</v>
      </c>
      <c r="AS3127" t="s">
        <v>46499</v>
      </c>
      <c r="AT3127" t="s">
        <v>46666</v>
      </c>
      <c r="AU3127">
        <v>13.85</v>
      </c>
      <c r="AV3127" t="s">
        <v>728</v>
      </c>
      <c r="AW3127" t="s">
        <v>214</v>
      </c>
    </row>
    <row r="3128" spans="1:50">
      <c r="A3128" s="1">
        <f>HYPERLINK("https://lsnyc.legalserver.org/matter/dynamic-profile/view/1883075","18-1883075")</f>
        <v>0</v>
      </c>
      <c r="B3128" t="s">
        <v>93</v>
      </c>
      <c r="C3128" t="s">
        <v>341</v>
      </c>
      <c r="D3128" t="s">
        <v>651</v>
      </c>
      <c r="E3128" t="s">
        <v>802</v>
      </c>
      <c r="F3128" t="s">
        <v>1136</v>
      </c>
      <c r="G3128" t="s">
        <v>5141</v>
      </c>
      <c r="H3128" t="s">
        <v>12105</v>
      </c>
      <c r="I3128" t="s">
        <v>17330</v>
      </c>
      <c r="J3128" t="s">
        <v>18899</v>
      </c>
      <c r="K3128">
        <v>11385</v>
      </c>
      <c r="L3128" t="s">
        <v>18958</v>
      </c>
      <c r="M3128" t="s">
        <v>18958</v>
      </c>
      <c r="N3128" t="s">
        <v>21284</v>
      </c>
      <c r="O3128" t="s">
        <v>26523</v>
      </c>
      <c r="P3128" t="s">
        <v>26560</v>
      </c>
      <c r="Q3128" t="s">
        <v>26568</v>
      </c>
      <c r="R3128" t="s">
        <v>26585</v>
      </c>
      <c r="S3128" t="s">
        <v>18959</v>
      </c>
      <c r="U3128" t="s">
        <v>26604</v>
      </c>
      <c r="V3128" t="s">
        <v>26610</v>
      </c>
      <c r="W3128" t="s">
        <v>651</v>
      </c>
      <c r="X3128">
        <v>2400</v>
      </c>
      <c r="Y3128" t="s">
        <v>26653</v>
      </c>
      <c r="Z3128" t="s">
        <v>26664</v>
      </c>
      <c r="AA3128" t="s">
        <v>26678</v>
      </c>
      <c r="AB3128" t="s">
        <v>29116</v>
      </c>
      <c r="AC3128" t="s">
        <v>35423</v>
      </c>
      <c r="AD3128" t="s">
        <v>39446</v>
      </c>
      <c r="AE3128">
        <v>4</v>
      </c>
      <c r="AF3128" t="s">
        <v>45547</v>
      </c>
      <c r="AG3128" t="s">
        <v>19330</v>
      </c>
      <c r="AH3128">
        <v>2</v>
      </c>
      <c r="AI3128">
        <v>2</v>
      </c>
      <c r="AJ3128">
        <v>1</v>
      </c>
      <c r="AK3128">
        <v>152.11</v>
      </c>
      <c r="AN3128" t="s">
        <v>7439</v>
      </c>
      <c r="AO3128">
        <v>31608</v>
      </c>
      <c r="AR3128" t="s">
        <v>46379</v>
      </c>
      <c r="AS3128" t="s">
        <v>46499</v>
      </c>
      <c r="AT3128" t="s">
        <v>46666</v>
      </c>
      <c r="AU3128">
        <v>13.92</v>
      </c>
      <c r="AV3128" t="s">
        <v>757</v>
      </c>
      <c r="AW3128" t="s">
        <v>161</v>
      </c>
    </row>
    <row r="3129" spans="1:50">
      <c r="A3129" s="1">
        <f>HYPERLINK("https://lsnyc.legalserver.org/matter/dynamic-profile/view/1883080","18-1883080")</f>
        <v>0</v>
      </c>
      <c r="B3129" t="s">
        <v>110</v>
      </c>
      <c r="C3129" t="s">
        <v>341</v>
      </c>
      <c r="D3129" t="s">
        <v>651</v>
      </c>
      <c r="E3129" t="s">
        <v>827</v>
      </c>
      <c r="F3129" t="s">
        <v>2532</v>
      </c>
      <c r="G3129" t="s">
        <v>5730</v>
      </c>
      <c r="H3129" t="s">
        <v>12106</v>
      </c>
      <c r="I3129" t="s">
        <v>17416</v>
      </c>
      <c r="J3129" t="s">
        <v>18932</v>
      </c>
      <c r="K3129">
        <v>11385</v>
      </c>
      <c r="L3129" t="s">
        <v>18958</v>
      </c>
      <c r="M3129" t="s">
        <v>18958</v>
      </c>
      <c r="N3129" t="s">
        <v>21285</v>
      </c>
      <c r="O3129" t="s">
        <v>26524</v>
      </c>
      <c r="P3129" t="s">
        <v>26560</v>
      </c>
      <c r="Q3129" t="s">
        <v>26570</v>
      </c>
      <c r="R3129" t="s">
        <v>26585</v>
      </c>
      <c r="S3129" t="s">
        <v>18959</v>
      </c>
      <c r="U3129" t="s">
        <v>26604</v>
      </c>
      <c r="V3129" t="s">
        <v>26614</v>
      </c>
      <c r="W3129" t="s">
        <v>651</v>
      </c>
      <c r="X3129">
        <v>1275</v>
      </c>
      <c r="Y3129" t="s">
        <v>26653</v>
      </c>
      <c r="Z3129" t="s">
        <v>26664</v>
      </c>
      <c r="AA3129" t="s">
        <v>26678</v>
      </c>
      <c r="AB3129" t="s">
        <v>29388</v>
      </c>
      <c r="AC3129" t="s">
        <v>35424</v>
      </c>
      <c r="AD3129" t="s">
        <v>39447</v>
      </c>
      <c r="AE3129">
        <v>3</v>
      </c>
      <c r="AF3129" t="s">
        <v>45547</v>
      </c>
      <c r="AG3129" t="s">
        <v>19330</v>
      </c>
      <c r="AH3129">
        <v>10</v>
      </c>
      <c r="AI3129">
        <v>1</v>
      </c>
      <c r="AJ3129">
        <v>1</v>
      </c>
      <c r="AK3129">
        <v>194.8</v>
      </c>
      <c r="AN3129" t="s">
        <v>7439</v>
      </c>
      <c r="AO3129">
        <v>32064</v>
      </c>
      <c r="AS3129" t="s">
        <v>46499</v>
      </c>
      <c r="AT3129" t="s">
        <v>46766</v>
      </c>
      <c r="AU3129">
        <v>3.1</v>
      </c>
      <c r="AV3129" t="s">
        <v>664</v>
      </c>
      <c r="AW3129" t="s">
        <v>161</v>
      </c>
      <c r="AX3129" t="s">
        <v>46897</v>
      </c>
    </row>
    <row r="3130" spans="1:50">
      <c r="A3130" s="1">
        <f>HYPERLINK("https://lsnyc.legalserver.org/matter/dynamic-profile/view/1882924","18-1882924")</f>
        <v>0</v>
      </c>
      <c r="B3130" t="s">
        <v>50</v>
      </c>
      <c r="C3130" t="s">
        <v>341</v>
      </c>
      <c r="D3130" t="s">
        <v>651</v>
      </c>
      <c r="E3130" t="s">
        <v>519</v>
      </c>
      <c r="F3130" t="s">
        <v>1162</v>
      </c>
      <c r="G3130" t="s">
        <v>1058</v>
      </c>
      <c r="H3130" t="s">
        <v>12107</v>
      </c>
      <c r="I3130" t="s">
        <v>17281</v>
      </c>
      <c r="J3130" t="s">
        <v>18892</v>
      </c>
      <c r="K3130">
        <v>10455</v>
      </c>
      <c r="L3130" t="s">
        <v>18958</v>
      </c>
      <c r="M3130" t="s">
        <v>18958</v>
      </c>
      <c r="N3130" t="s">
        <v>21286</v>
      </c>
      <c r="O3130" t="s">
        <v>26524</v>
      </c>
      <c r="P3130" t="s">
        <v>26564</v>
      </c>
      <c r="Q3130" t="s">
        <v>26570</v>
      </c>
      <c r="R3130" t="s">
        <v>26577</v>
      </c>
      <c r="U3130" t="s">
        <v>26604</v>
      </c>
      <c r="V3130" t="s">
        <v>26610</v>
      </c>
      <c r="W3130" t="s">
        <v>651</v>
      </c>
      <c r="X3130">
        <v>249.6</v>
      </c>
      <c r="Y3130" t="s">
        <v>26650</v>
      </c>
      <c r="Z3130" t="s">
        <v>26668</v>
      </c>
      <c r="AA3130" t="s">
        <v>26683</v>
      </c>
      <c r="AB3130" t="s">
        <v>29389</v>
      </c>
      <c r="AD3130" t="s">
        <v>39448</v>
      </c>
      <c r="AE3130">
        <v>130</v>
      </c>
      <c r="AF3130" t="s">
        <v>45549</v>
      </c>
      <c r="AH3130">
        <v>1</v>
      </c>
      <c r="AI3130">
        <v>1</v>
      </c>
      <c r="AJ3130">
        <v>0</v>
      </c>
      <c r="AK3130">
        <v>83.72</v>
      </c>
      <c r="AN3130" t="s">
        <v>45581</v>
      </c>
      <c r="AO3130">
        <v>10164</v>
      </c>
      <c r="AU3130">
        <v>3.75</v>
      </c>
      <c r="AV3130" t="s">
        <v>519</v>
      </c>
      <c r="AW3130" t="s">
        <v>334</v>
      </c>
    </row>
    <row r="3131" spans="1:50">
      <c r="A3131" s="1">
        <f>HYPERLINK("https://lsnyc.legalserver.org/matter/dynamic-profile/view/1882531","18-1882531")</f>
        <v>0</v>
      </c>
      <c r="B3131" t="s">
        <v>103</v>
      </c>
      <c r="C3131" t="s">
        <v>341</v>
      </c>
      <c r="D3131" t="s">
        <v>651</v>
      </c>
      <c r="E3131" t="s">
        <v>695</v>
      </c>
      <c r="F3131" t="s">
        <v>968</v>
      </c>
      <c r="G3131" t="s">
        <v>6754</v>
      </c>
      <c r="H3131" t="s">
        <v>12108</v>
      </c>
      <c r="I3131" t="s">
        <v>17312</v>
      </c>
      <c r="J3131" t="s">
        <v>18902</v>
      </c>
      <c r="K3131">
        <v>10304</v>
      </c>
      <c r="L3131" t="s">
        <v>18958</v>
      </c>
      <c r="M3131" t="s">
        <v>18958</v>
      </c>
      <c r="N3131" t="s">
        <v>21287</v>
      </c>
      <c r="O3131" t="s">
        <v>26523</v>
      </c>
      <c r="P3131" t="s">
        <v>26560</v>
      </c>
      <c r="Q3131" t="s">
        <v>26568</v>
      </c>
      <c r="R3131" t="s">
        <v>26578</v>
      </c>
      <c r="S3131" t="s">
        <v>18959</v>
      </c>
      <c r="U3131" t="s">
        <v>26604</v>
      </c>
      <c r="V3131" t="s">
        <v>26610</v>
      </c>
      <c r="W3131" t="s">
        <v>651</v>
      </c>
      <c r="X3131">
        <v>226</v>
      </c>
      <c r="Y3131" t="s">
        <v>26654</v>
      </c>
      <c r="Z3131" t="s">
        <v>26668</v>
      </c>
      <c r="AA3131" t="s">
        <v>26678</v>
      </c>
      <c r="AB3131" t="s">
        <v>29390</v>
      </c>
      <c r="AD3131" t="s">
        <v>39449</v>
      </c>
      <c r="AE3131">
        <v>132</v>
      </c>
      <c r="AF3131" t="s">
        <v>45543</v>
      </c>
      <c r="AG3131" t="s">
        <v>45556</v>
      </c>
      <c r="AH3131">
        <v>8</v>
      </c>
      <c r="AI3131">
        <v>2</v>
      </c>
      <c r="AJ3131">
        <v>0</v>
      </c>
      <c r="AK3131">
        <v>78.98</v>
      </c>
      <c r="AN3131" t="s">
        <v>7439</v>
      </c>
      <c r="AO3131">
        <v>13000</v>
      </c>
      <c r="AQ3131" t="s">
        <v>46359</v>
      </c>
      <c r="AR3131" t="s">
        <v>46381</v>
      </c>
      <c r="AS3131" t="s">
        <v>46499</v>
      </c>
      <c r="AT3131" t="s">
        <v>46524</v>
      </c>
      <c r="AU3131">
        <v>25.95</v>
      </c>
      <c r="AV3131" t="s">
        <v>695</v>
      </c>
      <c r="AW3131" t="s">
        <v>46852</v>
      </c>
    </row>
    <row r="3132" spans="1:50">
      <c r="A3132" s="1">
        <f>HYPERLINK("https://lsnyc.legalserver.org/matter/dynamic-profile/view/1882931","18-1882931")</f>
        <v>0</v>
      </c>
      <c r="B3132" t="s">
        <v>221</v>
      </c>
      <c r="C3132" t="s">
        <v>341</v>
      </c>
      <c r="D3132" t="s">
        <v>651</v>
      </c>
      <c r="E3132" t="s">
        <v>494</v>
      </c>
      <c r="F3132" t="s">
        <v>1328</v>
      </c>
      <c r="G3132" t="s">
        <v>6755</v>
      </c>
      <c r="H3132" t="s">
        <v>12109</v>
      </c>
      <c r="I3132" t="s">
        <v>17375</v>
      </c>
      <c r="J3132" t="s">
        <v>18933</v>
      </c>
      <c r="K3132">
        <v>11422</v>
      </c>
      <c r="L3132" t="s">
        <v>18958</v>
      </c>
      <c r="M3132" t="s">
        <v>18958</v>
      </c>
      <c r="N3132" t="s">
        <v>21288</v>
      </c>
      <c r="O3132" t="s">
        <v>26524</v>
      </c>
      <c r="P3132" t="s">
        <v>26564</v>
      </c>
      <c r="Q3132" t="s">
        <v>26570</v>
      </c>
      <c r="R3132" t="s">
        <v>26584</v>
      </c>
      <c r="S3132" t="s">
        <v>18959</v>
      </c>
      <c r="U3132" t="s">
        <v>26604</v>
      </c>
      <c r="V3132" t="s">
        <v>26610</v>
      </c>
      <c r="W3132" t="s">
        <v>651</v>
      </c>
      <c r="X3132">
        <v>1900</v>
      </c>
      <c r="Y3132" t="s">
        <v>26653</v>
      </c>
      <c r="Z3132" t="s">
        <v>26664</v>
      </c>
      <c r="AA3132" t="s">
        <v>26683</v>
      </c>
      <c r="AB3132" t="s">
        <v>27274</v>
      </c>
      <c r="AD3132" t="s">
        <v>39450</v>
      </c>
      <c r="AE3132">
        <v>0</v>
      </c>
      <c r="AF3132" t="s">
        <v>20460</v>
      </c>
      <c r="AG3132" t="s">
        <v>19330</v>
      </c>
      <c r="AH3132">
        <v>14</v>
      </c>
      <c r="AI3132">
        <v>1</v>
      </c>
      <c r="AJ3132">
        <v>2</v>
      </c>
      <c r="AK3132">
        <v>135.13</v>
      </c>
      <c r="AN3132" t="s">
        <v>7439</v>
      </c>
      <c r="AO3132">
        <v>28080</v>
      </c>
      <c r="AU3132">
        <v>1.7</v>
      </c>
      <c r="AV3132" t="s">
        <v>678</v>
      </c>
      <c r="AW3132" t="s">
        <v>208</v>
      </c>
    </row>
    <row r="3133" spans="1:50">
      <c r="A3133" s="1">
        <f>HYPERLINK("https://lsnyc.legalserver.org/matter/dynamic-profile/view/1882939","18-1882939")</f>
        <v>0</v>
      </c>
      <c r="B3133" t="s">
        <v>61</v>
      </c>
      <c r="C3133" t="s">
        <v>340</v>
      </c>
      <c r="D3133" t="s">
        <v>651</v>
      </c>
      <c r="F3133" t="s">
        <v>2533</v>
      </c>
      <c r="G3133" t="s">
        <v>6756</v>
      </c>
      <c r="H3133" t="s">
        <v>12110</v>
      </c>
      <c r="I3133" t="s">
        <v>17274</v>
      </c>
      <c r="J3133" t="s">
        <v>18893</v>
      </c>
      <c r="K3133">
        <v>10034</v>
      </c>
      <c r="L3133" t="s">
        <v>18958</v>
      </c>
      <c r="M3133" t="s">
        <v>18958</v>
      </c>
      <c r="O3133" t="s">
        <v>26529</v>
      </c>
      <c r="P3133" t="s">
        <v>26562</v>
      </c>
      <c r="R3133" t="s">
        <v>26578</v>
      </c>
      <c r="S3133" t="s">
        <v>18959</v>
      </c>
      <c r="U3133" t="s">
        <v>26604</v>
      </c>
      <c r="W3133" t="s">
        <v>651</v>
      </c>
      <c r="X3133">
        <v>999.88</v>
      </c>
      <c r="Y3133" t="s">
        <v>26651</v>
      </c>
      <c r="Z3133" t="s">
        <v>26661</v>
      </c>
      <c r="AB3133" t="s">
        <v>29391</v>
      </c>
      <c r="AD3133" t="s">
        <v>39451</v>
      </c>
      <c r="AE3133">
        <v>6</v>
      </c>
      <c r="AF3133" t="s">
        <v>45541</v>
      </c>
      <c r="AG3133" t="s">
        <v>45559</v>
      </c>
      <c r="AH3133">
        <v>11</v>
      </c>
      <c r="AI3133">
        <v>1</v>
      </c>
      <c r="AJ3133">
        <v>0</v>
      </c>
      <c r="AK3133">
        <v>156.33</v>
      </c>
      <c r="AN3133" t="s">
        <v>7439</v>
      </c>
      <c r="AO3133">
        <v>18978.96</v>
      </c>
      <c r="AU3133">
        <v>1.8</v>
      </c>
      <c r="AV3133" t="s">
        <v>651</v>
      </c>
      <c r="AW3133" t="s">
        <v>46840</v>
      </c>
    </row>
    <row r="3134" spans="1:50">
      <c r="A3134" s="1">
        <f>HYPERLINK("https://lsnyc.legalserver.org/matter/dynamic-profile/view/1882961","18-1882961")</f>
        <v>0</v>
      </c>
      <c r="B3134" t="s">
        <v>97</v>
      </c>
      <c r="C3134" t="s">
        <v>340</v>
      </c>
      <c r="D3134" t="s">
        <v>651</v>
      </c>
      <c r="F3134" t="s">
        <v>1253</v>
      </c>
      <c r="G3134" t="s">
        <v>6740</v>
      </c>
      <c r="H3134" t="s">
        <v>12111</v>
      </c>
      <c r="I3134" t="s">
        <v>17366</v>
      </c>
      <c r="J3134" t="s">
        <v>18892</v>
      </c>
      <c r="K3134">
        <v>10468</v>
      </c>
      <c r="L3134" t="s">
        <v>18958</v>
      </c>
      <c r="M3134" t="s">
        <v>18958</v>
      </c>
      <c r="N3134" t="s">
        <v>21289</v>
      </c>
      <c r="O3134" t="s">
        <v>26524</v>
      </c>
      <c r="P3134" t="s">
        <v>26560</v>
      </c>
      <c r="R3134" t="s">
        <v>26579</v>
      </c>
      <c r="S3134" t="s">
        <v>18959</v>
      </c>
      <c r="U3134" t="s">
        <v>26604</v>
      </c>
      <c r="V3134" t="s">
        <v>26610</v>
      </c>
      <c r="W3134" t="s">
        <v>651</v>
      </c>
      <c r="X3134">
        <v>944</v>
      </c>
      <c r="Y3134" t="s">
        <v>26650</v>
      </c>
      <c r="Z3134" t="s">
        <v>26664</v>
      </c>
      <c r="AB3134" t="s">
        <v>29392</v>
      </c>
      <c r="AD3134" t="s">
        <v>39452</v>
      </c>
      <c r="AE3134">
        <v>9</v>
      </c>
      <c r="AF3134" t="s">
        <v>45541</v>
      </c>
      <c r="AG3134" t="s">
        <v>45556</v>
      </c>
      <c r="AH3134">
        <v>10</v>
      </c>
      <c r="AI3134">
        <v>2</v>
      </c>
      <c r="AJ3134">
        <v>4</v>
      </c>
      <c r="AK3134">
        <v>130.39</v>
      </c>
      <c r="AN3134" t="s">
        <v>7439</v>
      </c>
      <c r="AO3134">
        <v>43994</v>
      </c>
      <c r="AU3134">
        <v>7.4</v>
      </c>
      <c r="AV3134" t="s">
        <v>716</v>
      </c>
      <c r="AW3134" t="s">
        <v>46836</v>
      </c>
    </row>
    <row r="3135" spans="1:50">
      <c r="A3135" s="1">
        <f>HYPERLINK("https://lsnyc.legalserver.org/matter/dynamic-profile/view/1882955","18-1882955")</f>
        <v>0</v>
      </c>
      <c r="B3135" t="s">
        <v>243</v>
      </c>
      <c r="C3135" t="s">
        <v>340</v>
      </c>
      <c r="D3135" t="s">
        <v>651</v>
      </c>
      <c r="F3135" t="s">
        <v>1132</v>
      </c>
      <c r="G3135" t="s">
        <v>6757</v>
      </c>
      <c r="H3135" t="s">
        <v>12112</v>
      </c>
      <c r="I3135">
        <v>1</v>
      </c>
      <c r="J3135" t="s">
        <v>18894</v>
      </c>
      <c r="K3135">
        <v>11215</v>
      </c>
      <c r="L3135" t="s">
        <v>18958</v>
      </c>
      <c r="M3135" t="s">
        <v>18960</v>
      </c>
      <c r="O3135" t="s">
        <v>18997</v>
      </c>
      <c r="P3135" t="s">
        <v>26565</v>
      </c>
      <c r="R3135" t="s">
        <v>26578</v>
      </c>
      <c r="U3135" t="s">
        <v>26604</v>
      </c>
      <c r="W3135" t="s">
        <v>651</v>
      </c>
      <c r="X3135">
        <v>153.7</v>
      </c>
      <c r="Y3135" t="s">
        <v>26652</v>
      </c>
      <c r="Z3135" t="s">
        <v>26659</v>
      </c>
      <c r="AB3135" t="s">
        <v>29393</v>
      </c>
      <c r="AD3135" t="s">
        <v>39453</v>
      </c>
      <c r="AE3135">
        <v>3</v>
      </c>
      <c r="AH3135">
        <v>0</v>
      </c>
      <c r="AI3135">
        <v>1</v>
      </c>
      <c r="AJ3135">
        <v>0</v>
      </c>
      <c r="AK3135">
        <v>115.65</v>
      </c>
      <c r="AN3135" t="s">
        <v>7439</v>
      </c>
      <c r="AO3135">
        <v>14040</v>
      </c>
      <c r="AU3135">
        <v>6.4</v>
      </c>
      <c r="AV3135" t="s">
        <v>835</v>
      </c>
      <c r="AW3135" t="s">
        <v>46856</v>
      </c>
      <c r="AX3135" t="s">
        <v>46897</v>
      </c>
    </row>
    <row r="3136" spans="1:50">
      <c r="A3136" s="1">
        <f>HYPERLINK("https://lsnyc.legalserver.org/matter/dynamic-profile/view/1882936","18-1882936")</f>
        <v>0</v>
      </c>
      <c r="B3136" t="s">
        <v>243</v>
      </c>
      <c r="C3136" t="s">
        <v>340</v>
      </c>
      <c r="D3136" t="s">
        <v>651</v>
      </c>
      <c r="F3136" t="s">
        <v>993</v>
      </c>
      <c r="G3136" t="s">
        <v>6757</v>
      </c>
      <c r="H3136" t="s">
        <v>12112</v>
      </c>
      <c r="I3136" t="s">
        <v>17927</v>
      </c>
      <c r="J3136" t="s">
        <v>18894</v>
      </c>
      <c r="K3136">
        <v>11215</v>
      </c>
      <c r="L3136" t="s">
        <v>18958</v>
      </c>
      <c r="M3136" t="s">
        <v>18960</v>
      </c>
      <c r="P3136" t="s">
        <v>26565</v>
      </c>
      <c r="R3136" t="s">
        <v>26578</v>
      </c>
      <c r="U3136" t="s">
        <v>26604</v>
      </c>
      <c r="W3136" t="s">
        <v>651</v>
      </c>
      <c r="X3136">
        <v>153.7</v>
      </c>
      <c r="Y3136" t="s">
        <v>26652</v>
      </c>
      <c r="Z3136" t="s">
        <v>26659</v>
      </c>
      <c r="AB3136" t="s">
        <v>29394</v>
      </c>
      <c r="AD3136" t="s">
        <v>39453</v>
      </c>
      <c r="AE3136">
        <v>3</v>
      </c>
      <c r="AH3136">
        <v>6</v>
      </c>
      <c r="AI3136">
        <v>1</v>
      </c>
      <c r="AJ3136">
        <v>0</v>
      </c>
      <c r="AK3136">
        <v>158.15</v>
      </c>
      <c r="AN3136" t="s">
        <v>7439</v>
      </c>
      <c r="AO3136">
        <v>19200</v>
      </c>
      <c r="AU3136">
        <v>7.9</v>
      </c>
      <c r="AV3136" t="s">
        <v>836</v>
      </c>
      <c r="AW3136" t="s">
        <v>46856</v>
      </c>
      <c r="AX3136" t="s">
        <v>46897</v>
      </c>
    </row>
    <row r="3137" spans="1:50">
      <c r="A3137" s="1">
        <f>HYPERLINK("https://lsnyc.legalserver.org/matter/dynamic-profile/view/1882935","18-1882935")</f>
        <v>0</v>
      </c>
      <c r="B3137" t="s">
        <v>262</v>
      </c>
      <c r="C3137" t="s">
        <v>340</v>
      </c>
      <c r="D3137" t="s">
        <v>651</v>
      </c>
      <c r="F3137" t="s">
        <v>2134</v>
      </c>
      <c r="G3137" t="s">
        <v>6691</v>
      </c>
      <c r="H3137" t="s">
        <v>12113</v>
      </c>
      <c r="I3137" t="s">
        <v>17375</v>
      </c>
      <c r="J3137" t="s">
        <v>18892</v>
      </c>
      <c r="K3137">
        <v>10467</v>
      </c>
      <c r="L3137" t="s">
        <v>18958</v>
      </c>
      <c r="M3137" t="s">
        <v>18958</v>
      </c>
      <c r="N3137" t="s">
        <v>21290</v>
      </c>
      <c r="O3137" t="s">
        <v>26526</v>
      </c>
      <c r="P3137" t="s">
        <v>26564</v>
      </c>
      <c r="R3137" t="s">
        <v>26577</v>
      </c>
      <c r="S3137" t="s">
        <v>18959</v>
      </c>
      <c r="U3137" t="s">
        <v>26604</v>
      </c>
      <c r="W3137" t="s">
        <v>651</v>
      </c>
      <c r="X3137">
        <v>1600</v>
      </c>
      <c r="Y3137" t="s">
        <v>26650</v>
      </c>
      <c r="Z3137" t="s">
        <v>26673</v>
      </c>
      <c r="AB3137" t="s">
        <v>29395</v>
      </c>
      <c r="AD3137" t="s">
        <v>39454</v>
      </c>
      <c r="AE3137">
        <v>2</v>
      </c>
      <c r="AF3137" t="s">
        <v>20460</v>
      </c>
      <c r="AG3137" t="s">
        <v>19330</v>
      </c>
      <c r="AH3137">
        <v>2</v>
      </c>
      <c r="AI3137">
        <v>2</v>
      </c>
      <c r="AJ3137">
        <v>3</v>
      </c>
      <c r="AK3137">
        <v>36.79</v>
      </c>
      <c r="AN3137" t="s">
        <v>7439</v>
      </c>
      <c r="AO3137">
        <v>10824</v>
      </c>
      <c r="AP3137" t="s">
        <v>45654</v>
      </c>
      <c r="AU3137">
        <v>15.7</v>
      </c>
      <c r="AV3137" t="s">
        <v>729</v>
      </c>
      <c r="AW3137" t="s">
        <v>46841</v>
      </c>
    </row>
    <row r="3138" spans="1:50">
      <c r="A3138" s="1">
        <f>HYPERLINK("https://lsnyc.legalserver.org/matter/dynamic-profile/view/1883046","18-1883046")</f>
        <v>0</v>
      </c>
      <c r="B3138" t="s">
        <v>258</v>
      </c>
      <c r="C3138" t="s">
        <v>340</v>
      </c>
      <c r="D3138" t="s">
        <v>651</v>
      </c>
      <c r="F3138" t="s">
        <v>2534</v>
      </c>
      <c r="G3138" t="s">
        <v>6758</v>
      </c>
      <c r="H3138" t="s">
        <v>12114</v>
      </c>
      <c r="I3138" t="s">
        <v>17333</v>
      </c>
      <c r="J3138" t="s">
        <v>18913</v>
      </c>
      <c r="K3138">
        <v>11103</v>
      </c>
      <c r="L3138" t="s">
        <v>18958</v>
      </c>
      <c r="M3138" t="s">
        <v>18958</v>
      </c>
      <c r="N3138" t="s">
        <v>21291</v>
      </c>
      <c r="O3138" t="s">
        <v>26524</v>
      </c>
      <c r="P3138" t="s">
        <v>26560</v>
      </c>
      <c r="R3138" t="s">
        <v>26584</v>
      </c>
      <c r="S3138" t="s">
        <v>18959</v>
      </c>
      <c r="U3138" t="s">
        <v>26604</v>
      </c>
      <c r="V3138" t="s">
        <v>26610</v>
      </c>
      <c r="W3138" t="s">
        <v>651</v>
      </c>
      <c r="X3138">
        <v>1231</v>
      </c>
      <c r="Y3138" t="s">
        <v>26653</v>
      </c>
      <c r="Z3138" t="s">
        <v>26664</v>
      </c>
      <c r="AB3138" t="s">
        <v>27734</v>
      </c>
      <c r="AD3138" t="s">
        <v>39455</v>
      </c>
      <c r="AE3138">
        <v>6</v>
      </c>
      <c r="AF3138" t="s">
        <v>45541</v>
      </c>
      <c r="AG3138" t="s">
        <v>19330</v>
      </c>
      <c r="AH3138">
        <v>8</v>
      </c>
      <c r="AI3138">
        <v>2</v>
      </c>
      <c r="AJ3138">
        <v>2</v>
      </c>
      <c r="AK3138">
        <v>99.59999999999999</v>
      </c>
      <c r="AN3138" t="s">
        <v>7439</v>
      </c>
      <c r="AO3138">
        <v>25000</v>
      </c>
      <c r="AU3138">
        <v>81.17</v>
      </c>
      <c r="AV3138" t="s">
        <v>838</v>
      </c>
      <c r="AW3138" t="s">
        <v>161</v>
      </c>
      <c r="AX3138" t="s">
        <v>46897</v>
      </c>
    </row>
    <row r="3139" spans="1:50">
      <c r="A3139" s="1">
        <f>HYPERLINK("https://lsnyc.legalserver.org/matter/dynamic-profile/view/1882894","18-1882894")</f>
        <v>0</v>
      </c>
      <c r="B3139" t="s">
        <v>140</v>
      </c>
      <c r="C3139" t="s">
        <v>340</v>
      </c>
      <c r="D3139" t="s">
        <v>651</v>
      </c>
      <c r="F3139" t="s">
        <v>2535</v>
      </c>
      <c r="G3139" t="s">
        <v>2644</v>
      </c>
      <c r="H3139" t="s">
        <v>12115</v>
      </c>
      <c r="I3139" t="s">
        <v>17332</v>
      </c>
      <c r="J3139" t="s">
        <v>18894</v>
      </c>
      <c r="K3139">
        <v>11225</v>
      </c>
      <c r="L3139" t="s">
        <v>18958</v>
      </c>
      <c r="M3139" t="s">
        <v>18958</v>
      </c>
      <c r="N3139" t="s">
        <v>21292</v>
      </c>
      <c r="O3139" t="s">
        <v>26524</v>
      </c>
      <c r="P3139" t="s">
        <v>26560</v>
      </c>
      <c r="R3139" t="s">
        <v>26588</v>
      </c>
      <c r="S3139" t="s">
        <v>18959</v>
      </c>
      <c r="U3139" t="s">
        <v>26604</v>
      </c>
      <c r="V3139" t="s">
        <v>26610</v>
      </c>
      <c r="W3139" t="s">
        <v>651</v>
      </c>
      <c r="X3139">
        <v>796.84</v>
      </c>
      <c r="Y3139" t="s">
        <v>26652</v>
      </c>
      <c r="Z3139" t="s">
        <v>26669</v>
      </c>
      <c r="AB3139" t="s">
        <v>29396</v>
      </c>
      <c r="AE3139">
        <v>8</v>
      </c>
      <c r="AF3139" t="s">
        <v>45541</v>
      </c>
      <c r="AG3139" t="s">
        <v>19330</v>
      </c>
      <c r="AH3139">
        <v>15</v>
      </c>
      <c r="AI3139">
        <v>2</v>
      </c>
      <c r="AJ3139">
        <v>2</v>
      </c>
      <c r="AK3139">
        <v>176.1</v>
      </c>
      <c r="AN3139" t="s">
        <v>7439</v>
      </c>
      <c r="AO3139">
        <v>44200</v>
      </c>
      <c r="AU3139">
        <v>29.8</v>
      </c>
      <c r="AV3139" t="s">
        <v>772</v>
      </c>
      <c r="AW3139" t="s">
        <v>46862</v>
      </c>
    </row>
    <row r="3140" spans="1:50">
      <c r="A3140" s="1">
        <f>HYPERLINK("https://lsnyc.legalserver.org/matter/dynamic-profile/view/1883057","18-1883057")</f>
        <v>0</v>
      </c>
      <c r="B3140" t="s">
        <v>141</v>
      </c>
      <c r="C3140" t="s">
        <v>340</v>
      </c>
      <c r="D3140" t="s">
        <v>651</v>
      </c>
      <c r="F3140" t="s">
        <v>1128</v>
      </c>
      <c r="G3140" t="s">
        <v>2975</v>
      </c>
      <c r="H3140" t="s">
        <v>9920</v>
      </c>
      <c r="I3140" t="s">
        <v>17330</v>
      </c>
      <c r="J3140" t="s">
        <v>18919</v>
      </c>
      <c r="K3140">
        <v>11427</v>
      </c>
      <c r="L3140" t="s">
        <v>18958</v>
      </c>
      <c r="M3140" t="s">
        <v>18958</v>
      </c>
      <c r="N3140" t="s">
        <v>21293</v>
      </c>
      <c r="O3140" t="s">
        <v>26524</v>
      </c>
      <c r="P3140" t="s">
        <v>26560</v>
      </c>
      <c r="R3140" t="s">
        <v>26578</v>
      </c>
      <c r="S3140" t="s">
        <v>18959</v>
      </c>
      <c r="U3140" t="s">
        <v>26604</v>
      </c>
      <c r="V3140" t="s">
        <v>26610</v>
      </c>
      <c r="W3140" t="s">
        <v>651</v>
      </c>
      <c r="X3140">
        <v>1073</v>
      </c>
      <c r="Y3140" t="s">
        <v>26653</v>
      </c>
      <c r="Z3140" t="s">
        <v>26664</v>
      </c>
      <c r="AB3140" t="s">
        <v>27008</v>
      </c>
      <c r="AD3140" t="s">
        <v>37095</v>
      </c>
      <c r="AE3140">
        <v>8</v>
      </c>
      <c r="AF3140" t="s">
        <v>45541</v>
      </c>
      <c r="AG3140" t="s">
        <v>19330</v>
      </c>
      <c r="AH3140">
        <v>23</v>
      </c>
      <c r="AI3140">
        <v>1</v>
      </c>
      <c r="AJ3140">
        <v>0</v>
      </c>
      <c r="AK3140">
        <v>74.14</v>
      </c>
      <c r="AN3140" t="s">
        <v>7439</v>
      </c>
      <c r="AO3140">
        <v>9000</v>
      </c>
      <c r="AU3140">
        <v>41.9</v>
      </c>
      <c r="AV3140" t="s">
        <v>838</v>
      </c>
      <c r="AW3140" t="s">
        <v>161</v>
      </c>
    </row>
    <row r="3141" spans="1:50">
      <c r="A3141" s="1">
        <f>HYPERLINK("https://lsnyc.legalserver.org/matter/dynamic-profile/view/1882909","18-1882909")</f>
        <v>0</v>
      </c>
      <c r="B3141" t="s">
        <v>50</v>
      </c>
      <c r="C3141" t="s">
        <v>340</v>
      </c>
      <c r="D3141" t="s">
        <v>651</v>
      </c>
      <c r="F3141" t="s">
        <v>2536</v>
      </c>
      <c r="G3141" t="s">
        <v>5266</v>
      </c>
      <c r="H3141" t="s">
        <v>12116</v>
      </c>
      <c r="I3141" t="s">
        <v>17388</v>
      </c>
      <c r="J3141" t="s">
        <v>18892</v>
      </c>
      <c r="K3141">
        <v>10460</v>
      </c>
      <c r="L3141" t="s">
        <v>18958</v>
      </c>
      <c r="M3141" t="s">
        <v>18958</v>
      </c>
      <c r="N3141" t="s">
        <v>21294</v>
      </c>
      <c r="O3141" t="s">
        <v>26523</v>
      </c>
      <c r="P3141" t="s">
        <v>26560</v>
      </c>
      <c r="R3141" t="s">
        <v>26577</v>
      </c>
      <c r="S3141" t="s">
        <v>18959</v>
      </c>
      <c r="U3141" t="s">
        <v>26604</v>
      </c>
      <c r="V3141" t="s">
        <v>26610</v>
      </c>
      <c r="W3141" t="s">
        <v>651</v>
      </c>
      <c r="X3141">
        <v>219</v>
      </c>
      <c r="Y3141" t="s">
        <v>26650</v>
      </c>
      <c r="Z3141" t="s">
        <v>26659</v>
      </c>
      <c r="AB3141" t="s">
        <v>29397</v>
      </c>
      <c r="AC3141" t="s">
        <v>35425</v>
      </c>
      <c r="AD3141" t="s">
        <v>39456</v>
      </c>
      <c r="AE3141">
        <v>52</v>
      </c>
      <c r="AF3141" t="s">
        <v>45554</v>
      </c>
      <c r="AG3141" t="s">
        <v>26530</v>
      </c>
      <c r="AH3141">
        <v>3</v>
      </c>
      <c r="AI3141">
        <v>1</v>
      </c>
      <c r="AJ3141">
        <v>0</v>
      </c>
      <c r="AK3141">
        <v>74.14</v>
      </c>
      <c r="AN3141" t="s">
        <v>7439</v>
      </c>
      <c r="AO3141">
        <v>9000</v>
      </c>
      <c r="AU3141">
        <v>52.75</v>
      </c>
      <c r="AV3141" t="s">
        <v>833</v>
      </c>
      <c r="AW3141" t="s">
        <v>334</v>
      </c>
    </row>
    <row r="3142" spans="1:50">
      <c r="A3142" s="1">
        <f>HYPERLINK("https://lsnyc.legalserver.org/matter/dynamic-profile/view/1883001","18-1883001")</f>
        <v>0</v>
      </c>
      <c r="B3142" t="s">
        <v>112</v>
      </c>
      <c r="C3142" t="s">
        <v>340</v>
      </c>
      <c r="D3142" t="s">
        <v>651</v>
      </c>
      <c r="F3142" t="s">
        <v>2537</v>
      </c>
      <c r="G3142" t="s">
        <v>6759</v>
      </c>
      <c r="H3142" t="s">
        <v>12117</v>
      </c>
      <c r="I3142" t="s">
        <v>17374</v>
      </c>
      <c r="J3142" t="s">
        <v>18931</v>
      </c>
      <c r="K3142">
        <v>11412</v>
      </c>
      <c r="L3142" t="s">
        <v>18958</v>
      </c>
      <c r="M3142" t="s">
        <v>18958</v>
      </c>
      <c r="N3142" t="s">
        <v>21295</v>
      </c>
      <c r="O3142" t="s">
        <v>26524</v>
      </c>
      <c r="P3142" t="s">
        <v>26564</v>
      </c>
      <c r="R3142" t="s">
        <v>26584</v>
      </c>
      <c r="S3142" t="s">
        <v>18959</v>
      </c>
      <c r="U3142" t="s">
        <v>26604</v>
      </c>
      <c r="V3142" t="s">
        <v>26610</v>
      </c>
      <c r="W3142" t="s">
        <v>651</v>
      </c>
      <c r="X3142">
        <v>600</v>
      </c>
      <c r="Y3142" t="s">
        <v>26653</v>
      </c>
      <c r="Z3142" t="s">
        <v>26664</v>
      </c>
      <c r="AB3142" t="s">
        <v>29398</v>
      </c>
      <c r="AD3142" t="s">
        <v>39457</v>
      </c>
      <c r="AE3142">
        <v>5</v>
      </c>
      <c r="AF3142" t="s">
        <v>45547</v>
      </c>
      <c r="AG3142" t="s">
        <v>19330</v>
      </c>
      <c r="AH3142">
        <v>1</v>
      </c>
      <c r="AI3142">
        <v>2</v>
      </c>
      <c r="AJ3142">
        <v>0</v>
      </c>
      <c r="AK3142">
        <v>0</v>
      </c>
      <c r="AN3142" t="s">
        <v>7439</v>
      </c>
      <c r="AO3142">
        <v>0</v>
      </c>
      <c r="AU3142">
        <v>1.2</v>
      </c>
      <c r="AV3142" t="s">
        <v>458</v>
      </c>
      <c r="AW3142" t="s">
        <v>161</v>
      </c>
    </row>
    <row r="3143" spans="1:50">
      <c r="A3143" s="1">
        <f>HYPERLINK("https://lsnyc.legalserver.org/matter/dynamic-profile/view/1883069","18-1883069")</f>
        <v>0</v>
      </c>
      <c r="B3143" t="s">
        <v>112</v>
      </c>
      <c r="C3143" t="s">
        <v>340</v>
      </c>
      <c r="D3143" t="s">
        <v>651</v>
      </c>
      <c r="F3143" t="s">
        <v>2538</v>
      </c>
      <c r="G3143" t="s">
        <v>3540</v>
      </c>
      <c r="H3143" t="s">
        <v>12118</v>
      </c>
      <c r="I3143" t="s">
        <v>17416</v>
      </c>
      <c r="J3143" t="s">
        <v>18928</v>
      </c>
      <c r="K3143">
        <v>11366</v>
      </c>
      <c r="L3143" t="s">
        <v>18958</v>
      </c>
      <c r="M3143" t="s">
        <v>18958</v>
      </c>
      <c r="N3143" t="s">
        <v>21296</v>
      </c>
      <c r="O3143" t="s">
        <v>26523</v>
      </c>
      <c r="P3143" t="s">
        <v>26564</v>
      </c>
      <c r="R3143" t="s">
        <v>26584</v>
      </c>
      <c r="S3143" t="s">
        <v>18959</v>
      </c>
      <c r="U3143" t="s">
        <v>26604</v>
      </c>
      <c r="V3143" t="s">
        <v>26610</v>
      </c>
      <c r="W3143" t="s">
        <v>651</v>
      </c>
      <c r="X3143">
        <v>1600</v>
      </c>
      <c r="Y3143" t="s">
        <v>26653</v>
      </c>
      <c r="Z3143" t="s">
        <v>26664</v>
      </c>
      <c r="AB3143" t="s">
        <v>29399</v>
      </c>
      <c r="AD3143" t="s">
        <v>39458</v>
      </c>
      <c r="AE3143">
        <v>2</v>
      </c>
      <c r="AG3143" t="s">
        <v>19330</v>
      </c>
      <c r="AH3143">
        <v>5</v>
      </c>
      <c r="AI3143">
        <v>1</v>
      </c>
      <c r="AJ3143">
        <v>0</v>
      </c>
      <c r="AK3143">
        <v>0</v>
      </c>
      <c r="AN3143" t="s">
        <v>7439</v>
      </c>
      <c r="AO3143">
        <v>0</v>
      </c>
      <c r="AU3143">
        <v>1</v>
      </c>
      <c r="AV3143" t="s">
        <v>702</v>
      </c>
      <c r="AW3143" t="s">
        <v>161</v>
      </c>
    </row>
    <row r="3144" spans="1:50">
      <c r="A3144" s="1">
        <f>HYPERLINK("https://lsnyc.legalserver.org/matter/dynamic-profile/view/1883051","18-1883051")</f>
        <v>0</v>
      </c>
      <c r="B3144" t="s">
        <v>112</v>
      </c>
      <c r="C3144" t="s">
        <v>340</v>
      </c>
      <c r="D3144" t="s">
        <v>651</v>
      </c>
      <c r="F3144" t="s">
        <v>975</v>
      </c>
      <c r="G3144" t="s">
        <v>6760</v>
      </c>
      <c r="H3144" t="s">
        <v>12119</v>
      </c>
      <c r="I3144" t="s">
        <v>17541</v>
      </c>
      <c r="J3144" t="s">
        <v>18914</v>
      </c>
      <c r="K3144">
        <v>11104</v>
      </c>
      <c r="L3144" t="s">
        <v>18958</v>
      </c>
      <c r="M3144" t="s">
        <v>18958</v>
      </c>
      <c r="N3144" t="s">
        <v>21297</v>
      </c>
      <c r="O3144" t="s">
        <v>26523</v>
      </c>
      <c r="P3144" t="s">
        <v>26564</v>
      </c>
      <c r="R3144" t="s">
        <v>26584</v>
      </c>
      <c r="S3144" t="s">
        <v>18959</v>
      </c>
      <c r="U3144" t="s">
        <v>26604</v>
      </c>
      <c r="V3144" t="s">
        <v>26610</v>
      </c>
      <c r="W3144" t="s">
        <v>651</v>
      </c>
      <c r="X3144">
        <v>823</v>
      </c>
      <c r="Y3144" t="s">
        <v>26653</v>
      </c>
      <c r="Z3144" t="s">
        <v>26664</v>
      </c>
      <c r="AB3144" t="s">
        <v>29400</v>
      </c>
      <c r="AC3144" t="s">
        <v>35426</v>
      </c>
      <c r="AD3144" t="s">
        <v>39459</v>
      </c>
      <c r="AE3144">
        <v>16</v>
      </c>
      <c r="AF3144" t="s">
        <v>45541</v>
      </c>
      <c r="AG3144" t="s">
        <v>19330</v>
      </c>
      <c r="AH3144">
        <v>38</v>
      </c>
      <c r="AI3144">
        <v>2</v>
      </c>
      <c r="AJ3144">
        <v>0</v>
      </c>
      <c r="AK3144">
        <v>69.98999999999999</v>
      </c>
      <c r="AN3144" t="s">
        <v>7439</v>
      </c>
      <c r="AO3144">
        <v>11520</v>
      </c>
      <c r="AU3144">
        <v>0.8</v>
      </c>
      <c r="AV3144" t="s">
        <v>683</v>
      </c>
      <c r="AW3144" t="s">
        <v>161</v>
      </c>
    </row>
    <row r="3145" spans="1:50">
      <c r="A3145" s="1">
        <f>HYPERLINK("https://lsnyc.legalserver.org/matter/dynamic-profile/view/1883076","18-1883076")</f>
        <v>0</v>
      </c>
      <c r="B3145" t="s">
        <v>112</v>
      </c>
      <c r="C3145" t="s">
        <v>340</v>
      </c>
      <c r="D3145" t="s">
        <v>651</v>
      </c>
      <c r="F3145" t="s">
        <v>2539</v>
      </c>
      <c r="G3145" t="s">
        <v>5147</v>
      </c>
      <c r="H3145" t="s">
        <v>12120</v>
      </c>
      <c r="I3145" t="s">
        <v>17416</v>
      </c>
      <c r="J3145" t="s">
        <v>18920</v>
      </c>
      <c r="K3145">
        <v>11369</v>
      </c>
      <c r="L3145" t="s">
        <v>18958</v>
      </c>
      <c r="M3145" t="s">
        <v>18958</v>
      </c>
      <c r="N3145" t="s">
        <v>21298</v>
      </c>
      <c r="O3145" t="s">
        <v>26524</v>
      </c>
      <c r="P3145" t="s">
        <v>26564</v>
      </c>
      <c r="R3145" t="s">
        <v>26584</v>
      </c>
      <c r="S3145" t="s">
        <v>18959</v>
      </c>
      <c r="U3145" t="s">
        <v>26604</v>
      </c>
      <c r="V3145" t="s">
        <v>26610</v>
      </c>
      <c r="W3145" t="s">
        <v>651</v>
      </c>
      <c r="X3145">
        <v>1100</v>
      </c>
      <c r="Y3145" t="s">
        <v>26653</v>
      </c>
      <c r="Z3145" t="s">
        <v>26664</v>
      </c>
      <c r="AB3145" t="s">
        <v>29401</v>
      </c>
      <c r="AD3145" t="s">
        <v>39460</v>
      </c>
      <c r="AE3145">
        <v>3</v>
      </c>
      <c r="AF3145" t="s">
        <v>45547</v>
      </c>
      <c r="AG3145" t="s">
        <v>19330</v>
      </c>
      <c r="AH3145">
        <v>8</v>
      </c>
      <c r="AI3145">
        <v>2</v>
      </c>
      <c r="AJ3145">
        <v>0</v>
      </c>
      <c r="AK3145">
        <v>194.41</v>
      </c>
      <c r="AN3145" t="s">
        <v>45581</v>
      </c>
      <c r="AO3145">
        <v>32000</v>
      </c>
      <c r="AU3145">
        <v>0</v>
      </c>
      <c r="AW3145" t="s">
        <v>161</v>
      </c>
    </row>
    <row r="3146" spans="1:50">
      <c r="A3146" s="1">
        <f>HYPERLINK("https://lsnyc.legalserver.org/matter/dynamic-profile/view/1882929","18-1882929")</f>
        <v>0</v>
      </c>
      <c r="B3146" t="s">
        <v>69</v>
      </c>
      <c r="C3146" t="s">
        <v>340</v>
      </c>
      <c r="D3146" t="s">
        <v>651</v>
      </c>
      <c r="F3146" t="s">
        <v>1211</v>
      </c>
      <c r="G3146" t="s">
        <v>4700</v>
      </c>
      <c r="H3146" t="s">
        <v>12121</v>
      </c>
      <c r="I3146" t="s">
        <v>17928</v>
      </c>
      <c r="J3146" t="s">
        <v>18892</v>
      </c>
      <c r="K3146">
        <v>10468</v>
      </c>
      <c r="L3146" t="s">
        <v>18958</v>
      </c>
      <c r="M3146" t="s">
        <v>18958</v>
      </c>
      <c r="N3146" t="s">
        <v>21299</v>
      </c>
      <c r="O3146" t="s">
        <v>26523</v>
      </c>
      <c r="P3146" t="s">
        <v>26560</v>
      </c>
      <c r="R3146" t="s">
        <v>26579</v>
      </c>
      <c r="U3146" t="s">
        <v>26604</v>
      </c>
      <c r="V3146" t="s">
        <v>26609</v>
      </c>
      <c r="W3146" t="s">
        <v>651</v>
      </c>
      <c r="X3146">
        <v>645</v>
      </c>
      <c r="Y3146" t="s">
        <v>26650</v>
      </c>
      <c r="Z3146" t="s">
        <v>26668</v>
      </c>
      <c r="AB3146" t="s">
        <v>29402</v>
      </c>
      <c r="AD3146" t="s">
        <v>39461</v>
      </c>
      <c r="AE3146">
        <v>54</v>
      </c>
      <c r="AF3146" t="s">
        <v>45541</v>
      </c>
      <c r="AG3146" t="s">
        <v>45559</v>
      </c>
      <c r="AH3146">
        <v>38</v>
      </c>
      <c r="AI3146">
        <v>1</v>
      </c>
      <c r="AJ3146">
        <v>0</v>
      </c>
      <c r="AK3146">
        <v>175.55</v>
      </c>
      <c r="AN3146" t="s">
        <v>7439</v>
      </c>
      <c r="AO3146">
        <v>21312</v>
      </c>
      <c r="AU3146">
        <v>8.15</v>
      </c>
      <c r="AV3146" t="s">
        <v>785</v>
      </c>
      <c r="AW3146" t="s">
        <v>46836</v>
      </c>
    </row>
    <row r="3147" spans="1:50">
      <c r="A3147" s="1">
        <f>HYPERLINK("https://lsnyc.legalserver.org/matter/dynamic-profile/view/1893447","19-1893447")</f>
        <v>0</v>
      </c>
      <c r="B3147" t="s">
        <v>211</v>
      </c>
      <c r="C3147" t="s">
        <v>340</v>
      </c>
      <c r="D3147" t="s">
        <v>657</v>
      </c>
      <c r="F3147" t="s">
        <v>948</v>
      </c>
      <c r="G3147" t="s">
        <v>5086</v>
      </c>
      <c r="H3147" t="s">
        <v>10317</v>
      </c>
      <c r="I3147" t="s">
        <v>17519</v>
      </c>
      <c r="J3147" t="s">
        <v>18894</v>
      </c>
      <c r="K3147">
        <v>11208</v>
      </c>
      <c r="L3147" t="s">
        <v>18958</v>
      </c>
      <c r="M3147" t="s">
        <v>18958</v>
      </c>
      <c r="O3147" t="s">
        <v>26531</v>
      </c>
      <c r="P3147" t="s">
        <v>26565</v>
      </c>
      <c r="R3147" t="s">
        <v>26578</v>
      </c>
      <c r="S3147" t="s">
        <v>18958</v>
      </c>
      <c r="U3147" t="s">
        <v>26604</v>
      </c>
      <c r="W3147" t="s">
        <v>651</v>
      </c>
      <c r="X3147">
        <v>400</v>
      </c>
      <c r="Y3147" t="s">
        <v>26652</v>
      </c>
      <c r="Z3147" t="s">
        <v>26530</v>
      </c>
      <c r="AB3147" t="s">
        <v>27422</v>
      </c>
      <c r="AD3147" t="s">
        <v>37487</v>
      </c>
      <c r="AE3147">
        <v>9</v>
      </c>
      <c r="AG3147" t="s">
        <v>19330</v>
      </c>
      <c r="AH3147">
        <v>0</v>
      </c>
      <c r="AI3147">
        <v>1</v>
      </c>
      <c r="AJ3147">
        <v>0</v>
      </c>
      <c r="AK3147">
        <v>81.67</v>
      </c>
      <c r="AN3147" t="s">
        <v>7439</v>
      </c>
      <c r="AO3147">
        <v>10200</v>
      </c>
      <c r="AU3147">
        <v>4.8</v>
      </c>
      <c r="AV3147" t="s">
        <v>808</v>
      </c>
      <c r="AW3147" t="s">
        <v>286</v>
      </c>
    </row>
    <row r="3148" spans="1:50">
      <c r="A3148" s="1">
        <f>HYPERLINK("https://lsnyc.legalserver.org/matter/dynamic-profile/view/1893451","19-1893451")</f>
        <v>0</v>
      </c>
      <c r="B3148" t="s">
        <v>211</v>
      </c>
      <c r="C3148" t="s">
        <v>340</v>
      </c>
      <c r="D3148" t="s">
        <v>657</v>
      </c>
      <c r="F3148" t="s">
        <v>1767</v>
      </c>
      <c r="G3148" t="s">
        <v>5138</v>
      </c>
      <c r="H3148" t="s">
        <v>12122</v>
      </c>
      <c r="J3148" t="s">
        <v>18894</v>
      </c>
      <c r="K3148">
        <v>11208</v>
      </c>
      <c r="L3148" t="s">
        <v>18958</v>
      </c>
      <c r="M3148" t="s">
        <v>18958</v>
      </c>
      <c r="O3148" t="s">
        <v>26531</v>
      </c>
      <c r="P3148" t="s">
        <v>26565</v>
      </c>
      <c r="R3148" t="s">
        <v>26578</v>
      </c>
      <c r="S3148" t="s">
        <v>18958</v>
      </c>
      <c r="U3148" t="s">
        <v>26604</v>
      </c>
      <c r="W3148" t="s">
        <v>651</v>
      </c>
      <c r="X3148">
        <v>0</v>
      </c>
      <c r="Y3148" t="s">
        <v>26652</v>
      </c>
      <c r="AB3148" t="s">
        <v>29403</v>
      </c>
      <c r="AE3148">
        <v>9</v>
      </c>
      <c r="AH3148">
        <v>0</v>
      </c>
      <c r="AI3148">
        <v>1</v>
      </c>
      <c r="AJ3148">
        <v>0</v>
      </c>
      <c r="AK3148">
        <v>81.67</v>
      </c>
      <c r="AN3148" t="s">
        <v>7439</v>
      </c>
      <c r="AO3148">
        <v>10200</v>
      </c>
      <c r="AU3148">
        <v>0</v>
      </c>
      <c r="AW3148" t="s">
        <v>286</v>
      </c>
    </row>
    <row r="3149" spans="1:50">
      <c r="A3149" s="1">
        <f>HYPERLINK("https://lsnyc.legalserver.org/matter/dynamic-profile/view/1893448","19-1893448")</f>
        <v>0</v>
      </c>
      <c r="B3149" t="s">
        <v>211</v>
      </c>
      <c r="C3149" t="s">
        <v>340</v>
      </c>
      <c r="D3149" t="s">
        <v>657</v>
      </c>
      <c r="F3149" t="s">
        <v>1575</v>
      </c>
      <c r="G3149" t="s">
        <v>5303</v>
      </c>
      <c r="H3149" t="s">
        <v>10317</v>
      </c>
      <c r="J3149" t="s">
        <v>18894</v>
      </c>
      <c r="K3149">
        <v>11208</v>
      </c>
      <c r="L3149" t="s">
        <v>18958</v>
      </c>
      <c r="M3149" t="s">
        <v>18958</v>
      </c>
      <c r="O3149" t="s">
        <v>26531</v>
      </c>
      <c r="P3149" t="s">
        <v>26565</v>
      </c>
      <c r="R3149" t="s">
        <v>26578</v>
      </c>
      <c r="S3149" t="s">
        <v>18958</v>
      </c>
      <c r="U3149" t="s">
        <v>26604</v>
      </c>
      <c r="V3149" t="s">
        <v>26610</v>
      </c>
      <c r="W3149" t="s">
        <v>651</v>
      </c>
      <c r="X3149">
        <v>0</v>
      </c>
      <c r="Y3149" t="s">
        <v>26652</v>
      </c>
      <c r="AB3149" t="s">
        <v>27671</v>
      </c>
      <c r="AD3149" t="s">
        <v>37724</v>
      </c>
      <c r="AE3149">
        <v>9</v>
      </c>
      <c r="AH3149">
        <v>0</v>
      </c>
      <c r="AI3149">
        <v>2</v>
      </c>
      <c r="AJ3149">
        <v>0</v>
      </c>
      <c r="AK3149">
        <v>215.26</v>
      </c>
      <c r="AL3149" t="s">
        <v>515</v>
      </c>
      <c r="AM3149" t="s">
        <v>45575</v>
      </c>
      <c r="AN3149" t="s">
        <v>7439</v>
      </c>
      <c r="AO3149">
        <v>36400</v>
      </c>
      <c r="AP3149" t="s">
        <v>45778</v>
      </c>
      <c r="AU3149">
        <v>0</v>
      </c>
      <c r="AW3149" t="s">
        <v>279</v>
      </c>
    </row>
    <row r="3150" spans="1:50">
      <c r="A3150" s="1">
        <f>HYPERLINK("https://lsnyc.legalserver.org/matter/dynamic-profile/view/1893454","19-1893454")</f>
        <v>0</v>
      </c>
      <c r="B3150" t="s">
        <v>211</v>
      </c>
      <c r="C3150" t="s">
        <v>340</v>
      </c>
      <c r="D3150" t="s">
        <v>657</v>
      </c>
      <c r="F3150" t="s">
        <v>1287</v>
      </c>
      <c r="G3150" t="s">
        <v>5762</v>
      </c>
      <c r="H3150" t="s">
        <v>10317</v>
      </c>
      <c r="J3150" t="s">
        <v>18894</v>
      </c>
      <c r="K3150">
        <v>11208</v>
      </c>
      <c r="L3150" t="s">
        <v>18958</v>
      </c>
      <c r="M3150" t="s">
        <v>18958</v>
      </c>
      <c r="O3150" t="s">
        <v>26531</v>
      </c>
      <c r="P3150" t="s">
        <v>26565</v>
      </c>
      <c r="R3150" t="s">
        <v>26578</v>
      </c>
      <c r="S3150" t="s">
        <v>18958</v>
      </c>
      <c r="U3150" t="s">
        <v>26604</v>
      </c>
      <c r="V3150" t="s">
        <v>26610</v>
      </c>
      <c r="W3150" t="s">
        <v>651</v>
      </c>
      <c r="X3150">
        <v>400</v>
      </c>
      <c r="Y3150" t="s">
        <v>26652</v>
      </c>
      <c r="AB3150" t="s">
        <v>27672</v>
      </c>
      <c r="AE3150">
        <v>0</v>
      </c>
      <c r="AH3150">
        <v>3</v>
      </c>
      <c r="AI3150">
        <v>1</v>
      </c>
      <c r="AJ3150">
        <v>0</v>
      </c>
      <c r="AK3150">
        <v>280.22</v>
      </c>
      <c r="AL3150" t="s">
        <v>515</v>
      </c>
      <c r="AM3150" t="s">
        <v>45575</v>
      </c>
      <c r="AO3150">
        <v>35000</v>
      </c>
      <c r="AP3150" t="s">
        <v>45779</v>
      </c>
      <c r="AU3150">
        <v>0</v>
      </c>
      <c r="AW3150" t="s">
        <v>279</v>
      </c>
    </row>
    <row r="3151" spans="1:50">
      <c r="A3151" s="1">
        <f>HYPERLINK("https://lsnyc.legalserver.org/matter/dynamic-profile/view/1877928","18-1877928")</f>
        <v>0</v>
      </c>
      <c r="B3151" t="s">
        <v>170</v>
      </c>
      <c r="C3151" t="s">
        <v>341</v>
      </c>
      <c r="D3151" t="s">
        <v>534</v>
      </c>
      <c r="E3151" t="s">
        <v>525</v>
      </c>
      <c r="F3151" t="s">
        <v>2445</v>
      </c>
      <c r="G3151" t="s">
        <v>5177</v>
      </c>
      <c r="H3151" t="s">
        <v>12123</v>
      </c>
      <c r="I3151" t="s">
        <v>17496</v>
      </c>
      <c r="J3151" t="s">
        <v>18894</v>
      </c>
      <c r="K3151">
        <v>11208</v>
      </c>
      <c r="L3151" t="s">
        <v>18958</v>
      </c>
      <c r="M3151" t="s">
        <v>18958</v>
      </c>
      <c r="N3151" t="s">
        <v>21300</v>
      </c>
      <c r="O3151" t="s">
        <v>26526</v>
      </c>
      <c r="P3151" t="s">
        <v>26564</v>
      </c>
      <c r="Q3151" t="s">
        <v>26570</v>
      </c>
      <c r="R3151" t="s">
        <v>26586</v>
      </c>
      <c r="U3151" t="s">
        <v>26605</v>
      </c>
      <c r="W3151" t="s">
        <v>525</v>
      </c>
      <c r="X3151">
        <v>292</v>
      </c>
      <c r="Y3151" t="s">
        <v>26652</v>
      </c>
      <c r="Z3151" t="s">
        <v>26664</v>
      </c>
      <c r="AA3151" t="s">
        <v>26683</v>
      </c>
      <c r="AB3151" t="s">
        <v>29404</v>
      </c>
      <c r="AD3151" t="s">
        <v>39462</v>
      </c>
      <c r="AE3151">
        <v>0</v>
      </c>
      <c r="AG3151" t="s">
        <v>19330</v>
      </c>
      <c r="AH3151">
        <v>12</v>
      </c>
      <c r="AI3151">
        <v>1</v>
      </c>
      <c r="AJ3151">
        <v>0</v>
      </c>
      <c r="AK3151">
        <v>93.90000000000001</v>
      </c>
      <c r="AN3151" t="s">
        <v>7439</v>
      </c>
      <c r="AO3151">
        <v>11400</v>
      </c>
      <c r="AU3151">
        <v>1.9</v>
      </c>
      <c r="AV3151" t="s">
        <v>525</v>
      </c>
      <c r="AW3151" t="s">
        <v>46862</v>
      </c>
    </row>
    <row r="3152" spans="1:50">
      <c r="A3152" s="1">
        <f>HYPERLINK("https://lsnyc.legalserver.org/matter/dynamic-profile/view/1880194","18-1880194")</f>
        <v>0</v>
      </c>
      <c r="B3152" t="s">
        <v>153</v>
      </c>
      <c r="C3152" t="s">
        <v>341</v>
      </c>
      <c r="D3152" t="s">
        <v>594</v>
      </c>
      <c r="E3152" t="s">
        <v>830</v>
      </c>
      <c r="F3152" t="s">
        <v>1369</v>
      </c>
      <c r="G3152" t="s">
        <v>6761</v>
      </c>
      <c r="H3152" t="s">
        <v>10296</v>
      </c>
      <c r="I3152">
        <v>60</v>
      </c>
      <c r="J3152" t="s">
        <v>18902</v>
      </c>
      <c r="K3152">
        <v>10304</v>
      </c>
      <c r="L3152" t="s">
        <v>18958</v>
      </c>
      <c r="M3152" t="s">
        <v>18958</v>
      </c>
      <c r="N3152" t="s">
        <v>21301</v>
      </c>
      <c r="O3152" t="s">
        <v>26523</v>
      </c>
      <c r="P3152" t="s">
        <v>26560</v>
      </c>
      <c r="Q3152" t="s">
        <v>26568</v>
      </c>
      <c r="R3152" t="s">
        <v>26578</v>
      </c>
      <c r="S3152" t="s">
        <v>18959</v>
      </c>
      <c r="U3152" t="s">
        <v>26606</v>
      </c>
      <c r="V3152" t="s">
        <v>26610</v>
      </c>
      <c r="W3152" t="s">
        <v>525</v>
      </c>
      <c r="X3152">
        <v>1120</v>
      </c>
      <c r="Y3152" t="s">
        <v>26654</v>
      </c>
      <c r="Z3152" t="s">
        <v>26659</v>
      </c>
      <c r="AA3152" t="s">
        <v>26677</v>
      </c>
      <c r="AB3152" t="s">
        <v>27774</v>
      </c>
      <c r="AD3152" t="s">
        <v>39463</v>
      </c>
      <c r="AE3152">
        <v>150</v>
      </c>
      <c r="AF3152" t="s">
        <v>45552</v>
      </c>
      <c r="AH3152">
        <v>6</v>
      </c>
      <c r="AI3152">
        <v>1</v>
      </c>
      <c r="AJ3152">
        <v>0</v>
      </c>
      <c r="AK3152">
        <v>6.62</v>
      </c>
      <c r="AN3152" t="s">
        <v>7439</v>
      </c>
      <c r="AO3152">
        <v>804</v>
      </c>
      <c r="AU3152">
        <v>18.35</v>
      </c>
      <c r="AV3152" t="s">
        <v>808</v>
      </c>
      <c r="AW3152" t="s">
        <v>190</v>
      </c>
    </row>
    <row r="3153" spans="1:50">
      <c r="A3153" s="1">
        <f>HYPERLINK("https://lsnyc.legalserver.org/matter/dynamic-profile/view/1882053","18-1882053")</f>
        <v>0</v>
      </c>
      <c r="B3153" t="s">
        <v>130</v>
      </c>
      <c r="C3153" t="s">
        <v>341</v>
      </c>
      <c r="D3153" t="s">
        <v>641</v>
      </c>
      <c r="E3153" t="s">
        <v>766</v>
      </c>
      <c r="F3153" t="s">
        <v>2540</v>
      </c>
      <c r="G3153" t="s">
        <v>6762</v>
      </c>
      <c r="H3153" t="s">
        <v>12124</v>
      </c>
      <c r="I3153" t="s">
        <v>17814</v>
      </c>
      <c r="J3153" t="s">
        <v>18906</v>
      </c>
      <c r="K3153">
        <v>11373</v>
      </c>
      <c r="L3153" t="s">
        <v>18958</v>
      </c>
      <c r="M3153" t="s">
        <v>18958</v>
      </c>
      <c r="N3153" t="s">
        <v>21302</v>
      </c>
      <c r="O3153" t="s">
        <v>26523</v>
      </c>
      <c r="P3153" t="s">
        <v>26564</v>
      </c>
      <c r="Q3153" t="s">
        <v>26570</v>
      </c>
      <c r="R3153" t="s">
        <v>26585</v>
      </c>
      <c r="S3153" t="s">
        <v>18959</v>
      </c>
      <c r="U3153" t="s">
        <v>26606</v>
      </c>
      <c r="V3153" t="s">
        <v>26610</v>
      </c>
      <c r="W3153" t="s">
        <v>525</v>
      </c>
      <c r="X3153">
        <v>1425</v>
      </c>
      <c r="Y3153" t="s">
        <v>26653</v>
      </c>
      <c r="Z3153" t="s">
        <v>26670</v>
      </c>
      <c r="AA3153" t="s">
        <v>26683</v>
      </c>
      <c r="AB3153" t="s">
        <v>29405</v>
      </c>
      <c r="AD3153" t="s">
        <v>39464</v>
      </c>
      <c r="AE3153">
        <v>127</v>
      </c>
      <c r="AF3153" t="s">
        <v>45541</v>
      </c>
      <c r="AG3153" t="s">
        <v>19330</v>
      </c>
      <c r="AH3153">
        <v>10</v>
      </c>
      <c r="AI3153">
        <v>1</v>
      </c>
      <c r="AJ3153">
        <v>0</v>
      </c>
      <c r="AK3153">
        <v>74.14</v>
      </c>
      <c r="AN3153" t="s">
        <v>45595</v>
      </c>
      <c r="AO3153">
        <v>9000</v>
      </c>
      <c r="AU3153">
        <v>17.85</v>
      </c>
      <c r="AV3153" t="s">
        <v>785</v>
      </c>
      <c r="AW3153" t="s">
        <v>122</v>
      </c>
    </row>
    <row r="3154" spans="1:50">
      <c r="A3154" s="1">
        <f>HYPERLINK("https://lsnyc.legalserver.org/matter/dynamic-profile/view/1883047","18-1883047")</f>
        <v>0</v>
      </c>
      <c r="B3154" t="s">
        <v>149</v>
      </c>
      <c r="C3154" t="s">
        <v>341</v>
      </c>
      <c r="D3154" t="s">
        <v>658</v>
      </c>
      <c r="E3154" t="s">
        <v>682</v>
      </c>
      <c r="F3154" t="s">
        <v>1363</v>
      </c>
      <c r="G3154" t="s">
        <v>5685</v>
      </c>
      <c r="H3154" t="s">
        <v>12125</v>
      </c>
      <c r="J3154" t="s">
        <v>18892</v>
      </c>
      <c r="K3154">
        <v>10461</v>
      </c>
      <c r="L3154" t="s">
        <v>18958</v>
      </c>
      <c r="M3154" t="s">
        <v>18958</v>
      </c>
      <c r="N3154" t="s">
        <v>21303</v>
      </c>
      <c r="O3154" t="s">
        <v>26523</v>
      </c>
      <c r="P3154" t="s">
        <v>26560</v>
      </c>
      <c r="Q3154" t="s">
        <v>26568</v>
      </c>
      <c r="R3154" t="s">
        <v>26577</v>
      </c>
      <c r="S3154" t="s">
        <v>18959</v>
      </c>
      <c r="U3154" t="s">
        <v>26604</v>
      </c>
      <c r="V3154" t="s">
        <v>26610</v>
      </c>
      <c r="W3154" t="s">
        <v>525</v>
      </c>
      <c r="X3154">
        <v>1509</v>
      </c>
      <c r="Y3154" t="s">
        <v>26650</v>
      </c>
      <c r="Z3154" t="s">
        <v>26668</v>
      </c>
      <c r="AA3154" t="s">
        <v>26678</v>
      </c>
      <c r="AB3154" t="s">
        <v>29406</v>
      </c>
      <c r="AD3154" t="s">
        <v>39465</v>
      </c>
      <c r="AE3154">
        <v>4</v>
      </c>
      <c r="AF3154" t="s">
        <v>45541</v>
      </c>
      <c r="AG3154" t="s">
        <v>19330</v>
      </c>
      <c r="AH3154">
        <v>14</v>
      </c>
      <c r="AI3154">
        <v>1</v>
      </c>
      <c r="AJ3154">
        <v>0</v>
      </c>
      <c r="AK3154">
        <v>74.14</v>
      </c>
      <c r="AN3154" t="s">
        <v>45581</v>
      </c>
      <c r="AO3154">
        <v>9000</v>
      </c>
      <c r="AR3154" t="s">
        <v>46380</v>
      </c>
      <c r="AS3154" t="s">
        <v>46499</v>
      </c>
      <c r="AT3154" t="s">
        <v>46602</v>
      </c>
      <c r="AU3154">
        <v>5.35</v>
      </c>
      <c r="AV3154" t="s">
        <v>682</v>
      </c>
      <c r="AW3154" t="s">
        <v>336</v>
      </c>
    </row>
    <row r="3155" spans="1:50">
      <c r="A3155" s="1">
        <f>HYPERLINK("https://lsnyc.legalserver.org/matter/dynamic-profile/view/1883098","18-1883098")</f>
        <v>0</v>
      </c>
      <c r="B3155" t="s">
        <v>107</v>
      </c>
      <c r="C3155" t="s">
        <v>341</v>
      </c>
      <c r="D3155" t="s">
        <v>525</v>
      </c>
      <c r="E3155" t="s">
        <v>819</v>
      </c>
      <c r="F3155" t="s">
        <v>1933</v>
      </c>
      <c r="G3155" t="s">
        <v>5269</v>
      </c>
      <c r="H3155" t="s">
        <v>12126</v>
      </c>
      <c r="I3155" t="s">
        <v>17929</v>
      </c>
      <c r="J3155" t="s">
        <v>18901</v>
      </c>
      <c r="K3155">
        <v>11433</v>
      </c>
      <c r="L3155" t="s">
        <v>18958</v>
      </c>
      <c r="M3155" t="s">
        <v>18958</v>
      </c>
      <c r="N3155" t="s">
        <v>21304</v>
      </c>
      <c r="O3155" t="s">
        <v>26523</v>
      </c>
      <c r="P3155" t="s">
        <v>26560</v>
      </c>
      <c r="Q3155" t="s">
        <v>26568</v>
      </c>
      <c r="R3155" t="s">
        <v>26585</v>
      </c>
      <c r="S3155" t="s">
        <v>18959</v>
      </c>
      <c r="U3155" t="s">
        <v>26604</v>
      </c>
      <c r="V3155" t="s">
        <v>26610</v>
      </c>
      <c r="W3155" t="s">
        <v>525</v>
      </c>
      <c r="X3155">
        <v>1850</v>
      </c>
      <c r="Y3155" t="s">
        <v>26653</v>
      </c>
      <c r="Z3155" t="s">
        <v>26668</v>
      </c>
      <c r="AA3155" t="s">
        <v>26678</v>
      </c>
      <c r="AB3155" t="s">
        <v>29407</v>
      </c>
      <c r="AC3155" t="s">
        <v>35427</v>
      </c>
      <c r="AD3155" t="s">
        <v>39466</v>
      </c>
      <c r="AE3155">
        <v>2</v>
      </c>
      <c r="AF3155" t="s">
        <v>45547</v>
      </c>
      <c r="AG3155" t="s">
        <v>19330</v>
      </c>
      <c r="AH3155">
        <v>-1</v>
      </c>
      <c r="AI3155">
        <v>2</v>
      </c>
      <c r="AJ3155">
        <v>2</v>
      </c>
      <c r="AK3155">
        <v>102.79</v>
      </c>
      <c r="AO3155">
        <v>25800</v>
      </c>
      <c r="AQ3155" t="s">
        <v>46362</v>
      </c>
      <c r="AR3155" t="s">
        <v>26530</v>
      </c>
      <c r="AS3155" t="s">
        <v>46499</v>
      </c>
      <c r="AT3155" t="s">
        <v>46662</v>
      </c>
      <c r="AU3155">
        <v>19</v>
      </c>
      <c r="AV3155" t="s">
        <v>677</v>
      </c>
      <c r="AW3155" t="s">
        <v>85</v>
      </c>
    </row>
    <row r="3156" spans="1:50">
      <c r="A3156" s="1">
        <f>HYPERLINK("https://lsnyc.legalserver.org/matter/dynamic-profile/view/1883113","18-1883113")</f>
        <v>0</v>
      </c>
      <c r="B3156" t="s">
        <v>107</v>
      </c>
      <c r="C3156" t="s">
        <v>341</v>
      </c>
      <c r="D3156" t="s">
        <v>525</v>
      </c>
      <c r="E3156" t="s">
        <v>820</v>
      </c>
      <c r="F3156" t="s">
        <v>1599</v>
      </c>
      <c r="G3156" t="s">
        <v>6763</v>
      </c>
      <c r="H3156" t="s">
        <v>12127</v>
      </c>
      <c r="I3156" t="s">
        <v>17416</v>
      </c>
      <c r="J3156" t="s">
        <v>18901</v>
      </c>
      <c r="K3156">
        <v>11434</v>
      </c>
      <c r="L3156" t="s">
        <v>18958</v>
      </c>
      <c r="M3156" t="s">
        <v>18958</v>
      </c>
      <c r="N3156" t="s">
        <v>21305</v>
      </c>
      <c r="O3156" t="s">
        <v>26524</v>
      </c>
      <c r="P3156" t="s">
        <v>26560</v>
      </c>
      <c r="Q3156" t="s">
        <v>26568</v>
      </c>
      <c r="R3156" t="s">
        <v>26585</v>
      </c>
      <c r="S3156" t="s">
        <v>18959</v>
      </c>
      <c r="U3156" t="s">
        <v>26604</v>
      </c>
      <c r="V3156" t="s">
        <v>26610</v>
      </c>
      <c r="W3156" t="s">
        <v>525</v>
      </c>
      <c r="X3156">
        <v>1350</v>
      </c>
      <c r="Y3156" t="s">
        <v>26653</v>
      </c>
      <c r="Z3156" t="s">
        <v>26668</v>
      </c>
      <c r="AA3156" t="s">
        <v>26679</v>
      </c>
      <c r="AB3156" t="s">
        <v>29408</v>
      </c>
      <c r="AC3156" t="s">
        <v>35428</v>
      </c>
      <c r="AD3156" t="s">
        <v>39467</v>
      </c>
      <c r="AE3156">
        <v>2</v>
      </c>
      <c r="AF3156" t="s">
        <v>45547</v>
      </c>
      <c r="AG3156" t="s">
        <v>45561</v>
      </c>
      <c r="AH3156">
        <v>3</v>
      </c>
      <c r="AI3156">
        <v>1</v>
      </c>
      <c r="AJ3156">
        <v>0</v>
      </c>
      <c r="AK3156">
        <v>132.45</v>
      </c>
      <c r="AN3156" t="s">
        <v>7439</v>
      </c>
      <c r="AO3156">
        <v>16080</v>
      </c>
      <c r="AQ3156" t="s">
        <v>46365</v>
      </c>
      <c r="AR3156" t="s">
        <v>26530</v>
      </c>
      <c r="AS3156" t="s">
        <v>46500</v>
      </c>
      <c r="AT3156" t="s">
        <v>46543</v>
      </c>
      <c r="AU3156">
        <v>5.7</v>
      </c>
      <c r="AV3156" t="s">
        <v>416</v>
      </c>
      <c r="AW3156" t="s">
        <v>107</v>
      </c>
      <c r="AX3156" t="s">
        <v>46897</v>
      </c>
    </row>
    <row r="3157" spans="1:50">
      <c r="A3157" s="1">
        <f>HYPERLINK("https://lsnyc.legalserver.org/matter/dynamic-profile/view/1883122","18-1883122")</f>
        <v>0</v>
      </c>
      <c r="B3157" t="s">
        <v>149</v>
      </c>
      <c r="C3157" t="s">
        <v>341</v>
      </c>
      <c r="D3157" t="s">
        <v>525</v>
      </c>
      <c r="E3157" t="s">
        <v>714</v>
      </c>
      <c r="F3157" t="s">
        <v>1024</v>
      </c>
      <c r="G3157" t="s">
        <v>5136</v>
      </c>
      <c r="H3157" t="s">
        <v>12016</v>
      </c>
      <c r="I3157" t="s">
        <v>17930</v>
      </c>
      <c r="J3157" t="s">
        <v>18892</v>
      </c>
      <c r="K3157">
        <v>10462</v>
      </c>
      <c r="L3157" t="s">
        <v>18958</v>
      </c>
      <c r="M3157" t="s">
        <v>18958</v>
      </c>
      <c r="N3157" t="s">
        <v>21306</v>
      </c>
      <c r="O3157" t="s">
        <v>26523</v>
      </c>
      <c r="P3157" t="s">
        <v>26560</v>
      </c>
      <c r="Q3157" t="s">
        <v>26568</v>
      </c>
      <c r="R3157" t="s">
        <v>26579</v>
      </c>
      <c r="S3157" t="s">
        <v>18959</v>
      </c>
      <c r="U3157" t="s">
        <v>26604</v>
      </c>
      <c r="V3157" t="s">
        <v>26610</v>
      </c>
      <c r="W3157" t="s">
        <v>525</v>
      </c>
      <c r="X3157">
        <v>250</v>
      </c>
      <c r="Y3157" t="s">
        <v>26650</v>
      </c>
      <c r="Z3157" t="s">
        <v>26668</v>
      </c>
      <c r="AA3157" t="s">
        <v>26678</v>
      </c>
      <c r="AB3157" t="s">
        <v>29409</v>
      </c>
      <c r="AD3157" t="s">
        <v>39468</v>
      </c>
      <c r="AE3157">
        <v>134</v>
      </c>
      <c r="AF3157" t="s">
        <v>20460</v>
      </c>
      <c r="AG3157" t="s">
        <v>45561</v>
      </c>
      <c r="AH3157">
        <v>1</v>
      </c>
      <c r="AI3157">
        <v>1</v>
      </c>
      <c r="AJ3157">
        <v>0</v>
      </c>
      <c r="AK3157">
        <v>83.03</v>
      </c>
      <c r="AN3157" t="s">
        <v>7439</v>
      </c>
      <c r="AO3157">
        <v>10080</v>
      </c>
      <c r="AQ3157" t="s">
        <v>46362</v>
      </c>
      <c r="AR3157" t="s">
        <v>46380</v>
      </c>
      <c r="AS3157" t="s">
        <v>46499</v>
      </c>
      <c r="AT3157" t="s">
        <v>46672</v>
      </c>
      <c r="AU3157">
        <v>12.55</v>
      </c>
      <c r="AV3157" t="s">
        <v>739</v>
      </c>
      <c r="AW3157" t="s">
        <v>336</v>
      </c>
    </row>
    <row r="3158" spans="1:50">
      <c r="A3158" s="1">
        <f>HYPERLINK("https://lsnyc.legalserver.org/matter/dynamic-profile/view/1883162","18-1883162")</f>
        <v>0</v>
      </c>
      <c r="B3158" t="s">
        <v>147</v>
      </c>
      <c r="C3158" t="s">
        <v>341</v>
      </c>
      <c r="D3158" t="s">
        <v>525</v>
      </c>
      <c r="E3158" t="s">
        <v>414</v>
      </c>
      <c r="F3158" t="s">
        <v>1428</v>
      </c>
      <c r="G3158" t="s">
        <v>5208</v>
      </c>
      <c r="H3158" t="s">
        <v>12128</v>
      </c>
      <c r="I3158" t="s">
        <v>17410</v>
      </c>
      <c r="J3158" t="s">
        <v>18894</v>
      </c>
      <c r="K3158">
        <v>11231</v>
      </c>
      <c r="L3158" t="s">
        <v>18958</v>
      </c>
      <c r="M3158" t="s">
        <v>18958</v>
      </c>
      <c r="N3158" t="s">
        <v>21307</v>
      </c>
      <c r="O3158" t="s">
        <v>26523</v>
      </c>
      <c r="P3158" t="s">
        <v>26560</v>
      </c>
      <c r="Q3158" t="s">
        <v>26569</v>
      </c>
      <c r="R3158" t="s">
        <v>26578</v>
      </c>
      <c r="S3158" t="s">
        <v>18959</v>
      </c>
      <c r="U3158" t="s">
        <v>26604</v>
      </c>
      <c r="V3158" t="s">
        <v>26610</v>
      </c>
      <c r="W3158" t="s">
        <v>525</v>
      </c>
      <c r="X3158">
        <v>787.48</v>
      </c>
      <c r="Y3158" t="s">
        <v>26652</v>
      </c>
      <c r="AA3158" t="s">
        <v>26678</v>
      </c>
      <c r="AB3158" t="s">
        <v>29410</v>
      </c>
      <c r="AD3158" t="s">
        <v>39469</v>
      </c>
      <c r="AE3158">
        <v>7</v>
      </c>
      <c r="AF3158" t="s">
        <v>45541</v>
      </c>
      <c r="AG3158" t="s">
        <v>19330</v>
      </c>
      <c r="AH3158">
        <v>0</v>
      </c>
      <c r="AI3158">
        <v>2</v>
      </c>
      <c r="AJ3158">
        <v>0</v>
      </c>
      <c r="AK3158">
        <v>54.31</v>
      </c>
      <c r="AN3158" t="s">
        <v>7439</v>
      </c>
      <c r="AO3158">
        <v>8940</v>
      </c>
      <c r="AQ3158" t="s">
        <v>46359</v>
      </c>
      <c r="AR3158" t="s">
        <v>46379</v>
      </c>
      <c r="AS3158" t="s">
        <v>46499</v>
      </c>
      <c r="AT3158" t="s">
        <v>46542</v>
      </c>
      <c r="AU3158">
        <v>15.3</v>
      </c>
      <c r="AV3158" t="s">
        <v>705</v>
      </c>
      <c r="AW3158" t="s">
        <v>198</v>
      </c>
    </row>
    <row r="3159" spans="1:50">
      <c r="A3159" s="1">
        <f>HYPERLINK("https://lsnyc.legalserver.org/matter/dynamic-profile/view/1883148","18-1883148")</f>
        <v>0</v>
      </c>
      <c r="B3159" t="s">
        <v>93</v>
      </c>
      <c r="C3159" t="s">
        <v>341</v>
      </c>
      <c r="D3159" t="s">
        <v>525</v>
      </c>
      <c r="E3159" t="s">
        <v>802</v>
      </c>
      <c r="F3159" t="s">
        <v>1009</v>
      </c>
      <c r="G3159" t="s">
        <v>6764</v>
      </c>
      <c r="H3159" t="s">
        <v>12129</v>
      </c>
      <c r="J3159" t="s">
        <v>18901</v>
      </c>
      <c r="K3159">
        <v>11434</v>
      </c>
      <c r="L3159" t="s">
        <v>18958</v>
      </c>
      <c r="M3159" t="s">
        <v>18958</v>
      </c>
      <c r="N3159" t="s">
        <v>21308</v>
      </c>
      <c r="O3159" t="s">
        <v>26524</v>
      </c>
      <c r="P3159" t="s">
        <v>26560</v>
      </c>
      <c r="Q3159" t="s">
        <v>26568</v>
      </c>
      <c r="R3159" t="s">
        <v>26585</v>
      </c>
      <c r="S3159" t="s">
        <v>18959</v>
      </c>
      <c r="U3159" t="s">
        <v>26604</v>
      </c>
      <c r="V3159" t="s">
        <v>26610</v>
      </c>
      <c r="W3159" t="s">
        <v>525</v>
      </c>
      <c r="X3159">
        <v>300</v>
      </c>
      <c r="Y3159" t="s">
        <v>26653</v>
      </c>
      <c r="Z3159" t="s">
        <v>26668</v>
      </c>
      <c r="AA3159" t="s">
        <v>26678</v>
      </c>
      <c r="AB3159" t="s">
        <v>29411</v>
      </c>
      <c r="AD3159" t="s">
        <v>39470</v>
      </c>
      <c r="AE3159">
        <v>2</v>
      </c>
      <c r="AF3159" t="s">
        <v>45547</v>
      </c>
      <c r="AG3159" t="s">
        <v>19330</v>
      </c>
      <c r="AH3159">
        <v>1</v>
      </c>
      <c r="AI3159">
        <v>2</v>
      </c>
      <c r="AJ3159">
        <v>0</v>
      </c>
      <c r="AK3159">
        <v>65.70999999999999</v>
      </c>
      <c r="AN3159" t="s">
        <v>7439</v>
      </c>
      <c r="AO3159">
        <v>10816</v>
      </c>
      <c r="AQ3159" t="s">
        <v>46359</v>
      </c>
      <c r="AR3159" t="s">
        <v>46415</v>
      </c>
      <c r="AS3159" t="s">
        <v>46499</v>
      </c>
      <c r="AT3159" t="s">
        <v>46507</v>
      </c>
      <c r="AU3159">
        <v>12.5</v>
      </c>
      <c r="AV3159" t="s">
        <v>784</v>
      </c>
      <c r="AW3159" t="s">
        <v>85</v>
      </c>
    </row>
    <row r="3160" spans="1:50">
      <c r="A3160" s="1">
        <f>HYPERLINK("https://lsnyc.legalserver.org/matter/dynamic-profile/view/1883211","18-1883211")</f>
        <v>0</v>
      </c>
      <c r="B3160" t="s">
        <v>120</v>
      </c>
      <c r="C3160" t="s">
        <v>341</v>
      </c>
      <c r="D3160" t="s">
        <v>525</v>
      </c>
      <c r="E3160" t="s">
        <v>692</v>
      </c>
      <c r="F3160" t="s">
        <v>1033</v>
      </c>
      <c r="G3160" t="s">
        <v>6765</v>
      </c>
      <c r="H3160" t="s">
        <v>10107</v>
      </c>
      <c r="I3160" t="s">
        <v>17284</v>
      </c>
      <c r="J3160" t="s">
        <v>18895</v>
      </c>
      <c r="K3160">
        <v>10468</v>
      </c>
      <c r="L3160" t="s">
        <v>18958</v>
      </c>
      <c r="M3160" t="s">
        <v>18958</v>
      </c>
      <c r="N3160" t="s">
        <v>21309</v>
      </c>
      <c r="O3160" t="s">
        <v>26523</v>
      </c>
      <c r="P3160" t="s">
        <v>26560</v>
      </c>
      <c r="Q3160" t="s">
        <v>26568</v>
      </c>
      <c r="R3160" t="s">
        <v>26579</v>
      </c>
      <c r="S3160" t="s">
        <v>18959</v>
      </c>
      <c r="U3160" t="s">
        <v>26604</v>
      </c>
      <c r="V3160" t="s">
        <v>26612</v>
      </c>
      <c r="W3160" t="s">
        <v>525</v>
      </c>
      <c r="X3160">
        <v>1150</v>
      </c>
      <c r="Y3160" t="s">
        <v>26650</v>
      </c>
      <c r="Z3160" t="s">
        <v>26668</v>
      </c>
      <c r="AA3160" t="s">
        <v>26678</v>
      </c>
      <c r="AB3160" t="s">
        <v>27203</v>
      </c>
      <c r="AD3160" t="s">
        <v>39471</v>
      </c>
      <c r="AE3160">
        <v>40</v>
      </c>
      <c r="AF3160" t="s">
        <v>45541</v>
      </c>
      <c r="AG3160" t="s">
        <v>19330</v>
      </c>
      <c r="AH3160">
        <v>9</v>
      </c>
      <c r="AI3160">
        <v>1</v>
      </c>
      <c r="AJ3160">
        <v>1</v>
      </c>
      <c r="AK3160">
        <v>206.56</v>
      </c>
      <c r="AL3160" t="s">
        <v>787</v>
      </c>
      <c r="AM3160" t="s">
        <v>45575</v>
      </c>
      <c r="AN3160" t="s">
        <v>45581</v>
      </c>
      <c r="AO3160">
        <v>34000</v>
      </c>
      <c r="AP3160" t="s">
        <v>45641</v>
      </c>
      <c r="AQ3160" t="s">
        <v>46365</v>
      </c>
      <c r="AR3160" t="s">
        <v>46379</v>
      </c>
      <c r="AS3160" t="s">
        <v>46499</v>
      </c>
      <c r="AT3160" t="s">
        <v>46560</v>
      </c>
      <c r="AU3160">
        <v>7.3</v>
      </c>
      <c r="AV3160" t="s">
        <v>710</v>
      </c>
      <c r="AW3160" t="s">
        <v>46832</v>
      </c>
    </row>
    <row r="3161" spans="1:50">
      <c r="A3161" s="1">
        <f>HYPERLINK("https://lsnyc.legalserver.org/matter/dynamic-profile/view/1883154","18-1883154")</f>
        <v>0</v>
      </c>
      <c r="B3161" t="s">
        <v>173</v>
      </c>
      <c r="C3161" t="s">
        <v>341</v>
      </c>
      <c r="D3161" t="s">
        <v>525</v>
      </c>
      <c r="E3161" t="s">
        <v>494</v>
      </c>
      <c r="F3161" t="s">
        <v>2541</v>
      </c>
      <c r="G3161" t="s">
        <v>2749</v>
      </c>
      <c r="H3161" t="s">
        <v>12130</v>
      </c>
      <c r="I3161" t="s">
        <v>17377</v>
      </c>
      <c r="J3161" t="s">
        <v>18893</v>
      </c>
      <c r="K3161">
        <v>10025</v>
      </c>
      <c r="L3161" t="s">
        <v>18958</v>
      </c>
      <c r="M3161" t="s">
        <v>18958</v>
      </c>
      <c r="N3161" t="s">
        <v>21310</v>
      </c>
      <c r="O3161" t="s">
        <v>26524</v>
      </c>
      <c r="P3161" t="s">
        <v>26564</v>
      </c>
      <c r="Q3161" t="s">
        <v>26570</v>
      </c>
      <c r="R3161" t="s">
        <v>26580</v>
      </c>
      <c r="S3161" t="s">
        <v>18959</v>
      </c>
      <c r="U3161" t="s">
        <v>26604</v>
      </c>
      <c r="V3161" t="s">
        <v>26610</v>
      </c>
      <c r="W3161" t="s">
        <v>525</v>
      </c>
      <c r="X3161">
        <v>0</v>
      </c>
      <c r="Y3161" t="s">
        <v>26651</v>
      </c>
      <c r="Z3161" t="s">
        <v>26664</v>
      </c>
      <c r="AA3161" t="s">
        <v>26683</v>
      </c>
      <c r="AB3161" t="s">
        <v>29412</v>
      </c>
      <c r="AD3161" t="s">
        <v>39472</v>
      </c>
      <c r="AE3161">
        <v>10</v>
      </c>
      <c r="AF3161" t="s">
        <v>20460</v>
      </c>
      <c r="AG3161" t="s">
        <v>19330</v>
      </c>
      <c r="AH3161">
        <v>1</v>
      </c>
      <c r="AI3161">
        <v>1</v>
      </c>
      <c r="AJ3161">
        <v>0</v>
      </c>
      <c r="AK3161">
        <v>106.66</v>
      </c>
      <c r="AN3161" t="s">
        <v>7439</v>
      </c>
      <c r="AO3161">
        <v>12948</v>
      </c>
      <c r="AU3161">
        <v>1</v>
      </c>
      <c r="AV3161" t="s">
        <v>688</v>
      </c>
      <c r="AW3161" t="s">
        <v>314</v>
      </c>
    </row>
    <row r="3162" spans="1:50">
      <c r="A3162" s="1">
        <f>HYPERLINK("https://lsnyc.legalserver.org/matter/dynamic-profile/view/1883185","18-1883185")</f>
        <v>0</v>
      </c>
      <c r="B3162" t="s">
        <v>117</v>
      </c>
      <c r="C3162" t="s">
        <v>340</v>
      </c>
      <c r="D3162" t="s">
        <v>525</v>
      </c>
      <c r="F3162" t="s">
        <v>893</v>
      </c>
      <c r="G3162" t="s">
        <v>6766</v>
      </c>
      <c r="H3162" t="s">
        <v>12131</v>
      </c>
      <c r="I3162" t="s">
        <v>17582</v>
      </c>
      <c r="J3162" t="s">
        <v>18894</v>
      </c>
      <c r="K3162">
        <v>11207</v>
      </c>
      <c r="L3162" t="s">
        <v>18958</v>
      </c>
      <c r="M3162" t="s">
        <v>18958</v>
      </c>
      <c r="N3162" t="s">
        <v>21311</v>
      </c>
      <c r="O3162" t="s">
        <v>26524</v>
      </c>
      <c r="P3162" t="s">
        <v>26560</v>
      </c>
      <c r="R3162" t="s">
        <v>26578</v>
      </c>
      <c r="S3162" t="s">
        <v>18959</v>
      </c>
      <c r="U3162" t="s">
        <v>26604</v>
      </c>
      <c r="W3162" t="s">
        <v>525</v>
      </c>
      <c r="X3162">
        <v>500</v>
      </c>
      <c r="Y3162" t="s">
        <v>26652</v>
      </c>
      <c r="Z3162" t="s">
        <v>26668</v>
      </c>
      <c r="AB3162" t="s">
        <v>29413</v>
      </c>
      <c r="AD3162" t="s">
        <v>39473</v>
      </c>
      <c r="AE3162">
        <v>4</v>
      </c>
      <c r="AF3162" t="s">
        <v>45547</v>
      </c>
      <c r="AG3162" t="s">
        <v>19330</v>
      </c>
      <c r="AH3162">
        <v>1</v>
      </c>
      <c r="AI3162">
        <v>1</v>
      </c>
      <c r="AJ3162">
        <v>0</v>
      </c>
      <c r="AK3162">
        <v>0</v>
      </c>
      <c r="AN3162" t="s">
        <v>7439</v>
      </c>
      <c r="AO3162">
        <v>0</v>
      </c>
      <c r="AP3162" t="s">
        <v>45780</v>
      </c>
      <c r="AU3162">
        <v>24.4</v>
      </c>
      <c r="AV3162" t="s">
        <v>788</v>
      </c>
      <c r="AW3162" t="s">
        <v>286</v>
      </c>
    </row>
    <row r="3163" spans="1:50">
      <c r="A3163" s="1">
        <f>HYPERLINK("https://lsnyc.legalserver.org/matter/dynamic-profile/view/1883131","18-1883131")</f>
        <v>0</v>
      </c>
      <c r="B3163" t="s">
        <v>117</v>
      </c>
      <c r="C3163" t="s">
        <v>340</v>
      </c>
      <c r="D3163" t="s">
        <v>525</v>
      </c>
      <c r="F3163" t="s">
        <v>2542</v>
      </c>
      <c r="G3163" t="s">
        <v>6767</v>
      </c>
      <c r="H3163" t="s">
        <v>12132</v>
      </c>
      <c r="I3163">
        <v>7</v>
      </c>
      <c r="J3163" t="s">
        <v>18894</v>
      </c>
      <c r="K3163">
        <v>11233</v>
      </c>
      <c r="L3163" t="s">
        <v>18958</v>
      </c>
      <c r="M3163" t="s">
        <v>18958</v>
      </c>
      <c r="N3163" t="s">
        <v>21312</v>
      </c>
      <c r="O3163" t="s">
        <v>26523</v>
      </c>
      <c r="P3163" t="s">
        <v>26560</v>
      </c>
      <c r="R3163" t="s">
        <v>26578</v>
      </c>
      <c r="S3163" t="s">
        <v>18959</v>
      </c>
      <c r="U3163" t="s">
        <v>26604</v>
      </c>
      <c r="V3163" t="s">
        <v>26610</v>
      </c>
      <c r="W3163" t="s">
        <v>525</v>
      </c>
      <c r="X3163">
        <v>1473.42</v>
      </c>
      <c r="Y3163" t="s">
        <v>26652</v>
      </c>
      <c r="Z3163" t="s">
        <v>26659</v>
      </c>
      <c r="AB3163" t="s">
        <v>29414</v>
      </c>
      <c r="AC3163" t="s">
        <v>35429</v>
      </c>
      <c r="AD3163" t="s">
        <v>39474</v>
      </c>
      <c r="AE3163">
        <v>8</v>
      </c>
      <c r="AF3163" t="s">
        <v>45541</v>
      </c>
      <c r="AG3163" t="s">
        <v>45559</v>
      </c>
      <c r="AH3163">
        <v>9</v>
      </c>
      <c r="AI3163">
        <v>2</v>
      </c>
      <c r="AJ3163">
        <v>1</v>
      </c>
      <c r="AK3163">
        <v>141.19</v>
      </c>
      <c r="AN3163" t="s">
        <v>7439</v>
      </c>
      <c r="AO3163">
        <v>29340</v>
      </c>
      <c r="AP3163" t="s">
        <v>45781</v>
      </c>
      <c r="AU3163">
        <v>22.5</v>
      </c>
      <c r="AV3163" t="s">
        <v>811</v>
      </c>
      <c r="AW3163" t="s">
        <v>279</v>
      </c>
    </row>
    <row r="3164" spans="1:50">
      <c r="A3164" s="1">
        <f>HYPERLINK("https://lsnyc.legalserver.org/matter/dynamic-profile/view/1883590","18-1883590")</f>
        <v>0</v>
      </c>
      <c r="B3164" t="s">
        <v>187</v>
      </c>
      <c r="C3164" t="s">
        <v>340</v>
      </c>
      <c r="D3164" t="s">
        <v>525</v>
      </c>
      <c r="F3164" t="s">
        <v>2543</v>
      </c>
      <c r="G3164" t="s">
        <v>5625</v>
      </c>
      <c r="H3164" t="s">
        <v>12133</v>
      </c>
      <c r="I3164" t="s">
        <v>17507</v>
      </c>
      <c r="J3164" t="s">
        <v>18892</v>
      </c>
      <c r="K3164">
        <v>10457</v>
      </c>
      <c r="L3164" t="s">
        <v>18958</v>
      </c>
      <c r="M3164" t="s">
        <v>18958</v>
      </c>
      <c r="N3164" t="s">
        <v>21313</v>
      </c>
      <c r="O3164" t="s">
        <v>26523</v>
      </c>
      <c r="P3164" t="s">
        <v>26560</v>
      </c>
      <c r="R3164" t="s">
        <v>26579</v>
      </c>
      <c r="S3164" t="s">
        <v>18959</v>
      </c>
      <c r="U3164" t="s">
        <v>26604</v>
      </c>
      <c r="V3164" t="s">
        <v>26610</v>
      </c>
      <c r="W3164" t="s">
        <v>525</v>
      </c>
      <c r="X3164">
        <v>1509.4</v>
      </c>
      <c r="Y3164" t="s">
        <v>26650</v>
      </c>
      <c r="Z3164" t="s">
        <v>26664</v>
      </c>
      <c r="AB3164" t="s">
        <v>29415</v>
      </c>
      <c r="AC3164" t="s">
        <v>35430</v>
      </c>
      <c r="AD3164" t="s">
        <v>39475</v>
      </c>
      <c r="AE3164">
        <v>0</v>
      </c>
      <c r="AF3164" t="s">
        <v>45541</v>
      </c>
      <c r="AG3164" t="s">
        <v>45557</v>
      </c>
      <c r="AH3164">
        <v>6</v>
      </c>
      <c r="AI3164">
        <v>1</v>
      </c>
      <c r="AJ3164">
        <v>4</v>
      </c>
      <c r="AK3164">
        <v>17.46</v>
      </c>
      <c r="AN3164" t="s">
        <v>7439</v>
      </c>
      <c r="AO3164">
        <v>5136</v>
      </c>
      <c r="AU3164">
        <v>12.7</v>
      </c>
      <c r="AV3164" t="s">
        <v>772</v>
      </c>
      <c r="AW3164" t="s">
        <v>336</v>
      </c>
    </row>
    <row r="3165" spans="1:50">
      <c r="A3165" s="1">
        <f>HYPERLINK("https://lsnyc.legalserver.org/matter/dynamic-profile/view/1883152","18-1883152")</f>
        <v>0</v>
      </c>
      <c r="B3165" t="s">
        <v>199</v>
      </c>
      <c r="C3165" t="s">
        <v>340</v>
      </c>
      <c r="D3165" t="s">
        <v>525</v>
      </c>
      <c r="F3165" t="s">
        <v>1021</v>
      </c>
      <c r="G3165" t="s">
        <v>6289</v>
      </c>
      <c r="H3165" t="s">
        <v>12134</v>
      </c>
      <c r="I3165" t="s">
        <v>17931</v>
      </c>
      <c r="J3165" t="s">
        <v>18894</v>
      </c>
      <c r="K3165">
        <v>11203</v>
      </c>
      <c r="L3165" t="s">
        <v>18958</v>
      </c>
      <c r="M3165" t="s">
        <v>18958</v>
      </c>
      <c r="N3165" t="s">
        <v>21314</v>
      </c>
      <c r="O3165" t="s">
        <v>26524</v>
      </c>
      <c r="P3165" t="s">
        <v>26560</v>
      </c>
      <c r="R3165" t="s">
        <v>26578</v>
      </c>
      <c r="S3165" t="s">
        <v>18959</v>
      </c>
      <c r="U3165" t="s">
        <v>26604</v>
      </c>
      <c r="V3165" t="s">
        <v>26609</v>
      </c>
      <c r="W3165" t="s">
        <v>525</v>
      </c>
      <c r="X3165">
        <v>1290.27</v>
      </c>
      <c r="Y3165" t="s">
        <v>26652</v>
      </c>
      <c r="Z3165" t="s">
        <v>26668</v>
      </c>
      <c r="AB3165" t="s">
        <v>29416</v>
      </c>
      <c r="AD3165" t="s">
        <v>39476</v>
      </c>
      <c r="AE3165">
        <v>103</v>
      </c>
      <c r="AF3165" t="s">
        <v>45541</v>
      </c>
      <c r="AG3165" t="s">
        <v>19330</v>
      </c>
      <c r="AH3165">
        <v>7</v>
      </c>
      <c r="AI3165">
        <v>1</v>
      </c>
      <c r="AJ3165">
        <v>1</v>
      </c>
      <c r="AK3165">
        <v>244.45</v>
      </c>
      <c r="AL3165" t="s">
        <v>415</v>
      </c>
      <c r="AM3165" t="s">
        <v>45575</v>
      </c>
      <c r="AN3165" t="s">
        <v>7439</v>
      </c>
      <c r="AO3165">
        <v>40236</v>
      </c>
      <c r="AQ3165" t="s">
        <v>46361</v>
      </c>
      <c r="AU3165">
        <v>88</v>
      </c>
      <c r="AV3165" t="s">
        <v>835</v>
      </c>
      <c r="AW3165" t="s">
        <v>198</v>
      </c>
      <c r="AX3165" t="s">
        <v>46897</v>
      </c>
    </row>
    <row r="3166" spans="1:50">
      <c r="A3166" s="1">
        <f>HYPERLINK("https://lsnyc.legalserver.org/matter/dynamic-profile/view/1881873","18-1881873")</f>
        <v>0</v>
      </c>
      <c r="B3166" t="s">
        <v>103</v>
      </c>
      <c r="C3166" t="s">
        <v>340</v>
      </c>
      <c r="D3166" t="s">
        <v>525</v>
      </c>
      <c r="F3166" t="s">
        <v>1785</v>
      </c>
      <c r="G3166" t="s">
        <v>5107</v>
      </c>
      <c r="H3166" t="s">
        <v>12135</v>
      </c>
      <c r="I3166" t="s">
        <v>17290</v>
      </c>
      <c r="J3166" t="s">
        <v>18902</v>
      </c>
      <c r="K3166">
        <v>10310</v>
      </c>
      <c r="L3166" t="s">
        <v>18958</v>
      </c>
      <c r="M3166" t="s">
        <v>18958</v>
      </c>
      <c r="N3166" t="s">
        <v>21315</v>
      </c>
      <c r="O3166" t="s">
        <v>26523</v>
      </c>
      <c r="P3166" t="s">
        <v>26560</v>
      </c>
      <c r="R3166" t="s">
        <v>26590</v>
      </c>
      <c r="S3166" t="s">
        <v>18959</v>
      </c>
      <c r="U3166" t="s">
        <v>26605</v>
      </c>
      <c r="V3166" t="s">
        <v>26610</v>
      </c>
      <c r="W3166" t="s">
        <v>525</v>
      </c>
      <c r="X3166">
        <v>335</v>
      </c>
      <c r="Y3166" t="s">
        <v>26654</v>
      </c>
      <c r="Z3166" t="s">
        <v>26668</v>
      </c>
      <c r="AB3166" t="s">
        <v>29417</v>
      </c>
      <c r="AD3166" t="s">
        <v>39477</v>
      </c>
      <c r="AE3166">
        <v>62</v>
      </c>
      <c r="AF3166" t="s">
        <v>45542</v>
      </c>
      <c r="AG3166" t="s">
        <v>45556</v>
      </c>
      <c r="AH3166">
        <v>11</v>
      </c>
      <c r="AI3166">
        <v>2</v>
      </c>
      <c r="AJ3166">
        <v>0</v>
      </c>
      <c r="AK3166">
        <v>72.03</v>
      </c>
      <c r="AN3166" t="s">
        <v>45581</v>
      </c>
      <c r="AO3166">
        <v>11856</v>
      </c>
      <c r="AU3166">
        <v>5.4</v>
      </c>
      <c r="AV3166" t="s">
        <v>763</v>
      </c>
      <c r="AW3166" t="s">
        <v>185</v>
      </c>
    </row>
    <row r="3167" spans="1:50">
      <c r="A3167" s="1">
        <f>HYPERLINK("https://lsnyc.legalserver.org/matter/dynamic-profile/view/1883114","18-1883114")</f>
        <v>0</v>
      </c>
      <c r="B3167" t="s">
        <v>91</v>
      </c>
      <c r="C3167" t="s">
        <v>340</v>
      </c>
      <c r="D3167" t="s">
        <v>525</v>
      </c>
      <c r="F3167" t="s">
        <v>2544</v>
      </c>
      <c r="G3167" t="s">
        <v>6768</v>
      </c>
      <c r="H3167" t="s">
        <v>12136</v>
      </c>
      <c r="I3167" t="s">
        <v>17299</v>
      </c>
      <c r="J3167" t="s">
        <v>18901</v>
      </c>
      <c r="K3167">
        <v>11434</v>
      </c>
      <c r="L3167" t="s">
        <v>18958</v>
      </c>
      <c r="M3167" t="s">
        <v>18958</v>
      </c>
      <c r="N3167" t="s">
        <v>21316</v>
      </c>
      <c r="O3167" t="s">
        <v>26524</v>
      </c>
      <c r="P3167" t="s">
        <v>26560</v>
      </c>
      <c r="R3167" t="s">
        <v>26585</v>
      </c>
      <c r="S3167" t="s">
        <v>18959</v>
      </c>
      <c r="U3167" t="s">
        <v>26604</v>
      </c>
      <c r="V3167" t="s">
        <v>26609</v>
      </c>
      <c r="W3167" t="s">
        <v>525</v>
      </c>
      <c r="X3167">
        <v>853.42</v>
      </c>
      <c r="Y3167" t="s">
        <v>26653</v>
      </c>
      <c r="Z3167" t="s">
        <v>26668</v>
      </c>
      <c r="AB3167" t="s">
        <v>27540</v>
      </c>
      <c r="AD3167" t="s">
        <v>39478</v>
      </c>
      <c r="AE3167">
        <v>312</v>
      </c>
      <c r="AF3167" t="s">
        <v>45550</v>
      </c>
      <c r="AG3167" t="s">
        <v>19330</v>
      </c>
      <c r="AH3167">
        <v>32</v>
      </c>
      <c r="AI3167">
        <v>2</v>
      </c>
      <c r="AJ3167">
        <v>2</v>
      </c>
      <c r="AK3167">
        <v>119.52</v>
      </c>
      <c r="AN3167" t="s">
        <v>7439</v>
      </c>
      <c r="AO3167">
        <v>30000</v>
      </c>
      <c r="AU3167">
        <v>1.3</v>
      </c>
      <c r="AV3167" t="s">
        <v>805</v>
      </c>
      <c r="AW3167" t="s">
        <v>208</v>
      </c>
    </row>
    <row r="3168" spans="1:50">
      <c r="A3168" s="1">
        <f>HYPERLINK("https://lsnyc.legalserver.org/matter/dynamic-profile/view/1883096","18-1883096")</f>
        <v>0</v>
      </c>
      <c r="B3168" t="s">
        <v>91</v>
      </c>
      <c r="C3168" t="s">
        <v>340</v>
      </c>
      <c r="D3168" t="s">
        <v>525</v>
      </c>
      <c r="F3168" t="s">
        <v>948</v>
      </c>
      <c r="G3168" t="s">
        <v>6703</v>
      </c>
      <c r="H3168" t="s">
        <v>12137</v>
      </c>
      <c r="I3168" t="s">
        <v>17932</v>
      </c>
      <c r="J3168" t="s">
        <v>18901</v>
      </c>
      <c r="K3168">
        <v>11434</v>
      </c>
      <c r="L3168" t="s">
        <v>18958</v>
      </c>
      <c r="M3168" t="s">
        <v>18958</v>
      </c>
      <c r="N3168" t="s">
        <v>21317</v>
      </c>
      <c r="O3168" t="s">
        <v>26523</v>
      </c>
      <c r="P3168" t="s">
        <v>26560</v>
      </c>
      <c r="R3168" t="s">
        <v>26585</v>
      </c>
      <c r="S3168" t="s">
        <v>18959</v>
      </c>
      <c r="U3168" t="s">
        <v>26604</v>
      </c>
      <c r="V3168" t="s">
        <v>26610</v>
      </c>
      <c r="W3168" t="s">
        <v>525</v>
      </c>
      <c r="X3168">
        <v>757</v>
      </c>
      <c r="Y3168" t="s">
        <v>26653</v>
      </c>
      <c r="Z3168" t="s">
        <v>26668</v>
      </c>
      <c r="AB3168" t="s">
        <v>29418</v>
      </c>
      <c r="AD3168" t="s">
        <v>39479</v>
      </c>
      <c r="AE3168">
        <v>148</v>
      </c>
      <c r="AF3168" t="s">
        <v>20460</v>
      </c>
      <c r="AG3168" t="s">
        <v>19330</v>
      </c>
      <c r="AH3168">
        <v>2</v>
      </c>
      <c r="AI3168">
        <v>1</v>
      </c>
      <c r="AJ3168">
        <v>1</v>
      </c>
      <c r="AK3168">
        <v>208.02</v>
      </c>
      <c r="AL3168" t="s">
        <v>800</v>
      </c>
      <c r="AM3168" t="s">
        <v>45575</v>
      </c>
      <c r="AN3168" t="s">
        <v>7439</v>
      </c>
      <c r="AO3168">
        <v>34240</v>
      </c>
      <c r="AU3168">
        <v>7.5</v>
      </c>
      <c r="AV3168" t="s">
        <v>720</v>
      </c>
      <c r="AW3168" t="s">
        <v>208</v>
      </c>
    </row>
    <row r="3169" spans="1:50">
      <c r="A3169" s="1">
        <f>HYPERLINK("https://lsnyc.legalserver.org/matter/dynamic-profile/view/1883104","18-1883104")</f>
        <v>0</v>
      </c>
      <c r="B3169" t="s">
        <v>188</v>
      </c>
      <c r="C3169" t="s">
        <v>340</v>
      </c>
      <c r="D3169" t="s">
        <v>525</v>
      </c>
      <c r="F3169" t="s">
        <v>1219</v>
      </c>
      <c r="G3169" t="s">
        <v>5868</v>
      </c>
      <c r="H3169" t="s">
        <v>12138</v>
      </c>
      <c r="I3169" t="s">
        <v>17436</v>
      </c>
      <c r="J3169" t="s">
        <v>18892</v>
      </c>
      <c r="K3169">
        <v>10455</v>
      </c>
      <c r="L3169" t="s">
        <v>18958</v>
      </c>
      <c r="M3169" t="s">
        <v>18958</v>
      </c>
      <c r="N3169" t="s">
        <v>21318</v>
      </c>
      <c r="O3169" t="s">
        <v>26523</v>
      </c>
      <c r="P3169" t="s">
        <v>26560</v>
      </c>
      <c r="R3169" t="s">
        <v>26578</v>
      </c>
      <c r="S3169" t="s">
        <v>18959</v>
      </c>
      <c r="U3169" t="s">
        <v>26604</v>
      </c>
      <c r="W3169" t="s">
        <v>525</v>
      </c>
      <c r="X3169">
        <v>1360</v>
      </c>
      <c r="Y3169" t="s">
        <v>26650</v>
      </c>
      <c r="Z3169" t="s">
        <v>26530</v>
      </c>
      <c r="AB3169" t="s">
        <v>29419</v>
      </c>
      <c r="AC3169" t="s">
        <v>35431</v>
      </c>
      <c r="AE3169">
        <v>16</v>
      </c>
      <c r="AF3169" t="s">
        <v>20460</v>
      </c>
      <c r="AG3169" t="s">
        <v>19330</v>
      </c>
      <c r="AH3169">
        <v>2</v>
      </c>
      <c r="AI3169">
        <v>1</v>
      </c>
      <c r="AJ3169">
        <v>1</v>
      </c>
      <c r="AK3169">
        <v>110.57</v>
      </c>
      <c r="AN3169" t="s">
        <v>45581</v>
      </c>
      <c r="AO3169">
        <v>18200</v>
      </c>
      <c r="AU3169">
        <v>25.1</v>
      </c>
      <c r="AV3169" t="s">
        <v>788</v>
      </c>
      <c r="AW3169" t="s">
        <v>336</v>
      </c>
    </row>
    <row r="3170" spans="1:50">
      <c r="A3170" s="1">
        <f>HYPERLINK("https://lsnyc.legalserver.org/matter/dynamic-profile/view/1883125","18-1883125")</f>
        <v>0</v>
      </c>
      <c r="B3170" t="s">
        <v>194</v>
      </c>
      <c r="C3170" t="s">
        <v>340</v>
      </c>
      <c r="D3170" t="s">
        <v>525</v>
      </c>
      <c r="F3170" t="s">
        <v>1985</v>
      </c>
      <c r="G3170" t="s">
        <v>6769</v>
      </c>
      <c r="H3170" t="s">
        <v>12139</v>
      </c>
      <c r="I3170">
        <v>18</v>
      </c>
      <c r="J3170" t="s">
        <v>18893</v>
      </c>
      <c r="K3170">
        <v>10027</v>
      </c>
      <c r="L3170" t="s">
        <v>18958</v>
      </c>
      <c r="M3170" t="s">
        <v>18958</v>
      </c>
      <c r="N3170" t="s">
        <v>21319</v>
      </c>
      <c r="O3170" t="s">
        <v>26524</v>
      </c>
      <c r="P3170" t="s">
        <v>26560</v>
      </c>
      <c r="R3170" t="s">
        <v>26580</v>
      </c>
      <c r="S3170" t="s">
        <v>18959</v>
      </c>
      <c r="U3170" t="s">
        <v>26604</v>
      </c>
      <c r="V3170" t="s">
        <v>26610</v>
      </c>
      <c r="W3170" t="s">
        <v>525</v>
      </c>
      <c r="X3170">
        <v>1537.32</v>
      </c>
      <c r="Y3170" t="s">
        <v>26651</v>
      </c>
      <c r="AB3170" t="s">
        <v>29420</v>
      </c>
      <c r="AD3170" t="s">
        <v>39480</v>
      </c>
      <c r="AE3170">
        <v>0</v>
      </c>
      <c r="AF3170" t="s">
        <v>45541</v>
      </c>
      <c r="AG3170" t="s">
        <v>19330</v>
      </c>
      <c r="AH3170">
        <v>14</v>
      </c>
      <c r="AI3170">
        <v>1</v>
      </c>
      <c r="AJ3170">
        <v>0</v>
      </c>
      <c r="AK3170">
        <v>0</v>
      </c>
      <c r="AN3170" t="s">
        <v>7439</v>
      </c>
      <c r="AO3170">
        <v>0</v>
      </c>
      <c r="AU3170">
        <v>27.2</v>
      </c>
      <c r="AV3170" t="s">
        <v>821</v>
      </c>
      <c r="AW3170" t="s">
        <v>46875</v>
      </c>
    </row>
    <row r="3171" spans="1:50">
      <c r="A3171" s="1">
        <f>HYPERLINK("https://lsnyc.legalserver.org/matter/dynamic-profile/view/1883178","18-1883178")</f>
        <v>0</v>
      </c>
      <c r="B3171" t="s">
        <v>173</v>
      </c>
      <c r="C3171" t="s">
        <v>340</v>
      </c>
      <c r="D3171" t="s">
        <v>525</v>
      </c>
      <c r="F3171" t="s">
        <v>916</v>
      </c>
      <c r="G3171" t="s">
        <v>5103</v>
      </c>
      <c r="H3171" t="s">
        <v>12140</v>
      </c>
      <c r="I3171" t="s">
        <v>17389</v>
      </c>
      <c r="J3171" t="s">
        <v>18893</v>
      </c>
      <c r="K3171">
        <v>10031</v>
      </c>
      <c r="L3171" t="s">
        <v>18958</v>
      </c>
      <c r="M3171" t="s">
        <v>18958</v>
      </c>
      <c r="N3171" t="s">
        <v>21320</v>
      </c>
      <c r="O3171" t="s">
        <v>26523</v>
      </c>
      <c r="P3171" t="s">
        <v>26560</v>
      </c>
      <c r="R3171" t="s">
        <v>26580</v>
      </c>
      <c r="S3171" t="s">
        <v>18959</v>
      </c>
      <c r="U3171" t="s">
        <v>26604</v>
      </c>
      <c r="V3171" t="s">
        <v>26611</v>
      </c>
      <c r="W3171" t="s">
        <v>525</v>
      </c>
      <c r="X3171">
        <v>1140</v>
      </c>
      <c r="Y3171" t="s">
        <v>26651</v>
      </c>
      <c r="Z3171" t="s">
        <v>26664</v>
      </c>
      <c r="AB3171" t="s">
        <v>29421</v>
      </c>
      <c r="AD3171" t="s">
        <v>39481</v>
      </c>
      <c r="AE3171">
        <v>0</v>
      </c>
      <c r="AF3171" t="s">
        <v>45548</v>
      </c>
      <c r="AG3171" t="s">
        <v>45559</v>
      </c>
      <c r="AH3171">
        <v>32</v>
      </c>
      <c r="AI3171">
        <v>3</v>
      </c>
      <c r="AJ3171">
        <v>3</v>
      </c>
      <c r="AK3171">
        <v>169.98</v>
      </c>
      <c r="AN3171" t="s">
        <v>45581</v>
      </c>
      <c r="AO3171">
        <v>57352</v>
      </c>
      <c r="AU3171">
        <v>36.9</v>
      </c>
      <c r="AV3171" t="s">
        <v>839</v>
      </c>
      <c r="AW3171" t="s">
        <v>46875</v>
      </c>
    </row>
    <row r="3172" spans="1:50">
      <c r="A3172" s="1">
        <f>HYPERLINK("https://lsnyc.legalserver.org/matter/dynamic-profile/view/1884207","18-1884207")</f>
        <v>0</v>
      </c>
      <c r="B3172" t="s">
        <v>78</v>
      </c>
      <c r="C3172" t="s">
        <v>340</v>
      </c>
      <c r="D3172" t="s">
        <v>652</v>
      </c>
      <c r="F3172" t="s">
        <v>1079</v>
      </c>
      <c r="G3172" t="s">
        <v>6770</v>
      </c>
      <c r="H3172" t="s">
        <v>11062</v>
      </c>
      <c r="I3172" t="s">
        <v>17344</v>
      </c>
      <c r="J3172" t="s">
        <v>18894</v>
      </c>
      <c r="K3172">
        <v>11213</v>
      </c>
      <c r="L3172" t="s">
        <v>18958</v>
      </c>
      <c r="M3172" t="s">
        <v>18958</v>
      </c>
      <c r="O3172" t="s">
        <v>26526</v>
      </c>
      <c r="P3172" t="s">
        <v>26560</v>
      </c>
      <c r="R3172" t="s">
        <v>26578</v>
      </c>
      <c r="S3172" t="s">
        <v>18958</v>
      </c>
      <c r="U3172" t="s">
        <v>26604</v>
      </c>
      <c r="V3172" t="s">
        <v>26610</v>
      </c>
      <c r="W3172" t="s">
        <v>525</v>
      </c>
      <c r="X3172">
        <v>659.52</v>
      </c>
      <c r="Y3172" t="s">
        <v>26652</v>
      </c>
      <c r="Z3172" t="s">
        <v>26663</v>
      </c>
      <c r="AB3172" t="s">
        <v>29069</v>
      </c>
      <c r="AC3172" t="s">
        <v>35432</v>
      </c>
      <c r="AE3172">
        <v>35</v>
      </c>
      <c r="AF3172" t="s">
        <v>45541</v>
      </c>
      <c r="AG3172" t="s">
        <v>19330</v>
      </c>
      <c r="AH3172">
        <v>30</v>
      </c>
      <c r="AI3172">
        <v>2</v>
      </c>
      <c r="AJ3172">
        <v>0</v>
      </c>
      <c r="AK3172">
        <v>94.78</v>
      </c>
      <c r="AN3172" t="s">
        <v>7439</v>
      </c>
      <c r="AO3172">
        <v>15600</v>
      </c>
      <c r="AU3172">
        <v>0.1</v>
      </c>
      <c r="AV3172" t="s">
        <v>716</v>
      </c>
      <c r="AW3172" t="s">
        <v>279</v>
      </c>
      <c r="AX3172" t="s">
        <v>46897</v>
      </c>
    </row>
    <row r="3173" spans="1:50">
      <c r="A3173" s="1">
        <f>HYPERLINK("https://lsnyc.legalserver.org/matter/dynamic-profile/view/1892214","19-1892214")</f>
        <v>0</v>
      </c>
      <c r="B3173" t="s">
        <v>78</v>
      </c>
      <c r="C3173" t="s">
        <v>340</v>
      </c>
      <c r="D3173" t="s">
        <v>659</v>
      </c>
      <c r="F3173" t="s">
        <v>1493</v>
      </c>
      <c r="G3173" t="s">
        <v>968</v>
      </c>
      <c r="H3173" t="s">
        <v>11062</v>
      </c>
      <c r="I3173" t="s">
        <v>17290</v>
      </c>
      <c r="J3173" t="s">
        <v>18894</v>
      </c>
      <c r="K3173">
        <v>11213</v>
      </c>
      <c r="L3173" t="s">
        <v>18958</v>
      </c>
      <c r="M3173" t="s">
        <v>18958</v>
      </c>
      <c r="N3173" t="s">
        <v>21321</v>
      </c>
      <c r="O3173" t="s">
        <v>26526</v>
      </c>
      <c r="P3173" t="s">
        <v>26560</v>
      </c>
      <c r="R3173" t="s">
        <v>26578</v>
      </c>
      <c r="S3173" t="s">
        <v>18958</v>
      </c>
      <c r="U3173" t="s">
        <v>26604</v>
      </c>
      <c r="V3173" t="s">
        <v>26610</v>
      </c>
      <c r="W3173" t="s">
        <v>525</v>
      </c>
      <c r="X3173">
        <v>1071.14</v>
      </c>
      <c r="Y3173" t="s">
        <v>26652</v>
      </c>
      <c r="AB3173" t="s">
        <v>29422</v>
      </c>
      <c r="AE3173">
        <v>35</v>
      </c>
      <c r="AF3173" t="s">
        <v>45541</v>
      </c>
      <c r="AG3173" t="s">
        <v>19330</v>
      </c>
      <c r="AH3173">
        <v>19</v>
      </c>
      <c r="AI3173">
        <v>3</v>
      </c>
      <c r="AJ3173">
        <v>1</v>
      </c>
      <c r="AK3173">
        <v>201.94</v>
      </c>
      <c r="AN3173" t="s">
        <v>7439</v>
      </c>
      <c r="AO3173">
        <v>52000</v>
      </c>
      <c r="AP3173" t="s">
        <v>45782</v>
      </c>
      <c r="AU3173">
        <v>0</v>
      </c>
      <c r="AW3173" t="s">
        <v>279</v>
      </c>
    </row>
    <row r="3174" spans="1:50">
      <c r="A3174" s="1">
        <f>HYPERLINK("https://lsnyc.legalserver.org/matter/dynamic-profile/view/1878787","18-1878787")</f>
        <v>0</v>
      </c>
      <c r="B3174" t="s">
        <v>85</v>
      </c>
      <c r="C3174" t="s">
        <v>341</v>
      </c>
      <c r="D3174" t="s">
        <v>599</v>
      </c>
      <c r="E3174" t="s">
        <v>699</v>
      </c>
      <c r="F3174" t="s">
        <v>1170</v>
      </c>
      <c r="G3174" t="s">
        <v>6771</v>
      </c>
      <c r="H3174" t="s">
        <v>12141</v>
      </c>
      <c r="I3174" t="s">
        <v>17933</v>
      </c>
      <c r="J3174" t="s">
        <v>18900</v>
      </c>
      <c r="K3174">
        <v>11377</v>
      </c>
      <c r="L3174" t="s">
        <v>18958</v>
      </c>
      <c r="M3174" t="s">
        <v>18958</v>
      </c>
      <c r="N3174" t="s">
        <v>21322</v>
      </c>
      <c r="O3174" t="s">
        <v>26523</v>
      </c>
      <c r="P3174" t="s">
        <v>26564</v>
      </c>
      <c r="Q3174" t="s">
        <v>26570</v>
      </c>
      <c r="R3174" t="s">
        <v>26584</v>
      </c>
      <c r="S3174" t="s">
        <v>18959</v>
      </c>
      <c r="U3174" t="s">
        <v>26604</v>
      </c>
      <c r="V3174" t="s">
        <v>26611</v>
      </c>
      <c r="W3174" t="s">
        <v>517</v>
      </c>
      <c r="X3174">
        <v>1300</v>
      </c>
      <c r="Y3174" t="s">
        <v>26653</v>
      </c>
      <c r="Z3174" t="s">
        <v>26664</v>
      </c>
      <c r="AA3174" t="s">
        <v>26683</v>
      </c>
      <c r="AB3174" t="s">
        <v>29423</v>
      </c>
      <c r="AD3174" t="s">
        <v>39482</v>
      </c>
      <c r="AE3174">
        <v>80</v>
      </c>
      <c r="AF3174" t="s">
        <v>20460</v>
      </c>
      <c r="AG3174" t="s">
        <v>19330</v>
      </c>
      <c r="AH3174">
        <v>19</v>
      </c>
      <c r="AI3174">
        <v>1</v>
      </c>
      <c r="AJ3174">
        <v>0</v>
      </c>
      <c r="AK3174">
        <v>33.17</v>
      </c>
      <c r="AN3174" t="s">
        <v>45586</v>
      </c>
      <c r="AO3174">
        <v>4027.2</v>
      </c>
      <c r="AU3174">
        <v>2.1</v>
      </c>
      <c r="AV3174" t="s">
        <v>517</v>
      </c>
      <c r="AW3174" t="s">
        <v>208</v>
      </c>
    </row>
    <row r="3175" spans="1:50">
      <c r="A3175" s="1">
        <f>HYPERLINK("https://lsnyc.legalserver.org/matter/dynamic-profile/view/1882027","18-1882027")</f>
        <v>0</v>
      </c>
      <c r="B3175" t="s">
        <v>258</v>
      </c>
      <c r="C3175" t="s">
        <v>341</v>
      </c>
      <c r="D3175" t="s">
        <v>641</v>
      </c>
      <c r="E3175" t="s">
        <v>675</v>
      </c>
      <c r="F3175" t="s">
        <v>2128</v>
      </c>
      <c r="G3175" t="s">
        <v>6772</v>
      </c>
      <c r="H3175" t="s">
        <v>12142</v>
      </c>
      <c r="I3175" t="s">
        <v>17416</v>
      </c>
      <c r="J3175" t="s">
        <v>18922</v>
      </c>
      <c r="K3175">
        <v>11694</v>
      </c>
      <c r="L3175" t="s">
        <v>18958</v>
      </c>
      <c r="M3175" t="s">
        <v>18958</v>
      </c>
      <c r="N3175" t="s">
        <v>21323</v>
      </c>
      <c r="O3175" t="s">
        <v>26524</v>
      </c>
      <c r="P3175" t="s">
        <v>26564</v>
      </c>
      <c r="Q3175" t="s">
        <v>26570</v>
      </c>
      <c r="R3175" t="s">
        <v>26584</v>
      </c>
      <c r="S3175" t="s">
        <v>18959</v>
      </c>
      <c r="U3175" t="s">
        <v>26604</v>
      </c>
      <c r="V3175" t="s">
        <v>26610</v>
      </c>
      <c r="W3175" t="s">
        <v>517</v>
      </c>
      <c r="X3175">
        <v>500</v>
      </c>
      <c r="Y3175" t="s">
        <v>26653</v>
      </c>
      <c r="Z3175" t="s">
        <v>26664</v>
      </c>
      <c r="AA3175" t="s">
        <v>26683</v>
      </c>
      <c r="AB3175" t="s">
        <v>29424</v>
      </c>
      <c r="AD3175" t="s">
        <v>39483</v>
      </c>
      <c r="AE3175">
        <v>19</v>
      </c>
      <c r="AF3175" t="s">
        <v>45541</v>
      </c>
      <c r="AG3175" t="s">
        <v>19330</v>
      </c>
      <c r="AH3175">
        <v>1</v>
      </c>
      <c r="AI3175">
        <v>1</v>
      </c>
      <c r="AJ3175">
        <v>0</v>
      </c>
      <c r="AK3175">
        <v>84.02</v>
      </c>
      <c r="AN3175" t="s">
        <v>7439</v>
      </c>
      <c r="AO3175">
        <v>10200</v>
      </c>
      <c r="AU3175">
        <v>4.25</v>
      </c>
      <c r="AV3175" t="s">
        <v>675</v>
      </c>
      <c r="AW3175" t="s">
        <v>161</v>
      </c>
    </row>
    <row r="3176" spans="1:50">
      <c r="A3176" s="1">
        <f>HYPERLINK("https://lsnyc.legalserver.org/matter/dynamic-profile/view/1882916","18-1882916")</f>
        <v>0</v>
      </c>
      <c r="B3176" t="s">
        <v>199</v>
      </c>
      <c r="C3176" t="s">
        <v>340</v>
      </c>
      <c r="D3176" t="s">
        <v>651</v>
      </c>
      <c r="F3176" t="s">
        <v>2545</v>
      </c>
      <c r="G3176" t="s">
        <v>6773</v>
      </c>
      <c r="H3176" t="s">
        <v>12143</v>
      </c>
      <c r="I3176" t="s">
        <v>17934</v>
      </c>
      <c r="J3176" t="s">
        <v>18894</v>
      </c>
      <c r="K3176">
        <v>11213</v>
      </c>
      <c r="L3176" t="s">
        <v>18958</v>
      </c>
      <c r="M3176" t="s">
        <v>18958</v>
      </c>
      <c r="N3176" t="s">
        <v>21324</v>
      </c>
      <c r="O3176" t="s">
        <v>26524</v>
      </c>
      <c r="P3176" t="s">
        <v>26560</v>
      </c>
      <c r="R3176" t="s">
        <v>26578</v>
      </c>
      <c r="S3176" t="s">
        <v>18959</v>
      </c>
      <c r="U3176" t="s">
        <v>26604</v>
      </c>
      <c r="V3176" t="s">
        <v>26610</v>
      </c>
      <c r="W3176" t="s">
        <v>517</v>
      </c>
      <c r="X3176">
        <v>1158.98</v>
      </c>
      <c r="Y3176" t="s">
        <v>26652</v>
      </c>
      <c r="Z3176" t="s">
        <v>26659</v>
      </c>
      <c r="AB3176" t="s">
        <v>29425</v>
      </c>
      <c r="AC3176" t="s">
        <v>35433</v>
      </c>
      <c r="AD3176" t="s">
        <v>39484</v>
      </c>
      <c r="AE3176">
        <v>134</v>
      </c>
      <c r="AF3176" t="s">
        <v>45541</v>
      </c>
      <c r="AG3176" t="s">
        <v>19330</v>
      </c>
      <c r="AH3176">
        <v>11</v>
      </c>
      <c r="AI3176">
        <v>1</v>
      </c>
      <c r="AJ3176">
        <v>1</v>
      </c>
      <c r="AK3176">
        <v>189.55</v>
      </c>
      <c r="AN3176" t="s">
        <v>7439</v>
      </c>
      <c r="AO3176">
        <v>31200</v>
      </c>
      <c r="AQ3176" t="s">
        <v>46361</v>
      </c>
      <c r="AU3176">
        <v>39.46</v>
      </c>
      <c r="AV3176" t="s">
        <v>822</v>
      </c>
      <c r="AW3176" t="s">
        <v>46856</v>
      </c>
      <c r="AX3176" t="s">
        <v>46897</v>
      </c>
    </row>
    <row r="3177" spans="1:50">
      <c r="A3177" s="1">
        <f>HYPERLINK("https://lsnyc.legalserver.org/matter/dynamic-profile/view/1883370","18-1883370")</f>
        <v>0</v>
      </c>
      <c r="B3177" t="s">
        <v>98</v>
      </c>
      <c r="C3177" t="s">
        <v>341</v>
      </c>
      <c r="D3177" t="s">
        <v>517</v>
      </c>
      <c r="E3177" t="s">
        <v>703</v>
      </c>
      <c r="F3177" t="s">
        <v>1092</v>
      </c>
      <c r="G3177" t="s">
        <v>6774</v>
      </c>
      <c r="H3177" t="s">
        <v>12144</v>
      </c>
      <c r="I3177" t="s">
        <v>17935</v>
      </c>
      <c r="J3177" t="s">
        <v>18892</v>
      </c>
      <c r="K3177">
        <v>10467</v>
      </c>
      <c r="L3177" t="s">
        <v>18958</v>
      </c>
      <c r="M3177" t="s">
        <v>18958</v>
      </c>
      <c r="O3177" t="s">
        <v>18997</v>
      </c>
      <c r="P3177" t="s">
        <v>26565</v>
      </c>
      <c r="Q3177" t="s">
        <v>26571</v>
      </c>
      <c r="R3177" t="s">
        <v>26578</v>
      </c>
      <c r="S3177" t="s">
        <v>18959</v>
      </c>
      <c r="U3177" t="s">
        <v>26604</v>
      </c>
      <c r="W3177" t="s">
        <v>517</v>
      </c>
      <c r="X3177">
        <v>1246</v>
      </c>
      <c r="Y3177" t="s">
        <v>26650</v>
      </c>
      <c r="Z3177" t="s">
        <v>26663</v>
      </c>
      <c r="AA3177" t="s">
        <v>26682</v>
      </c>
      <c r="AB3177" t="s">
        <v>29426</v>
      </c>
      <c r="AD3177" t="s">
        <v>39485</v>
      </c>
      <c r="AE3177">
        <v>1</v>
      </c>
      <c r="AF3177" t="s">
        <v>20460</v>
      </c>
      <c r="AG3177" t="s">
        <v>19330</v>
      </c>
      <c r="AH3177">
        <v>1</v>
      </c>
      <c r="AI3177">
        <v>2</v>
      </c>
      <c r="AJ3177">
        <v>0</v>
      </c>
      <c r="AK3177">
        <v>81.34999999999999</v>
      </c>
      <c r="AN3177" t="s">
        <v>7439</v>
      </c>
      <c r="AO3177">
        <v>13390.8</v>
      </c>
      <c r="AU3177">
        <v>2.7</v>
      </c>
      <c r="AV3177" t="s">
        <v>703</v>
      </c>
      <c r="AW3177" t="s">
        <v>98</v>
      </c>
    </row>
    <row r="3178" spans="1:50">
      <c r="A3178" s="1">
        <f>HYPERLINK("https://lsnyc.legalserver.org/matter/dynamic-profile/view/1883227","18-1883227")</f>
        <v>0</v>
      </c>
      <c r="B3178" t="s">
        <v>169</v>
      </c>
      <c r="C3178" t="s">
        <v>341</v>
      </c>
      <c r="D3178" t="s">
        <v>517</v>
      </c>
      <c r="E3178" t="s">
        <v>755</v>
      </c>
      <c r="F3178" t="s">
        <v>1136</v>
      </c>
      <c r="G3178" t="s">
        <v>6775</v>
      </c>
      <c r="H3178" t="s">
        <v>12145</v>
      </c>
      <c r="I3178">
        <v>10454</v>
      </c>
      <c r="J3178" t="s">
        <v>18892</v>
      </c>
      <c r="K3178">
        <v>10454</v>
      </c>
      <c r="L3178" t="s">
        <v>18958</v>
      </c>
      <c r="M3178" t="s">
        <v>18958</v>
      </c>
      <c r="N3178" t="s">
        <v>21325</v>
      </c>
      <c r="O3178" t="s">
        <v>26523</v>
      </c>
      <c r="P3178" t="s">
        <v>26565</v>
      </c>
      <c r="Q3178" t="s">
        <v>26571</v>
      </c>
      <c r="R3178" t="s">
        <v>26578</v>
      </c>
      <c r="S3178" t="s">
        <v>18959</v>
      </c>
      <c r="U3178" t="s">
        <v>26604</v>
      </c>
      <c r="V3178" t="s">
        <v>26610</v>
      </c>
      <c r="W3178" t="s">
        <v>517</v>
      </c>
      <c r="X3178">
        <v>462</v>
      </c>
      <c r="Y3178" t="s">
        <v>26650</v>
      </c>
      <c r="Z3178" t="s">
        <v>26663</v>
      </c>
      <c r="AA3178" t="s">
        <v>26682</v>
      </c>
      <c r="AB3178" t="s">
        <v>29427</v>
      </c>
      <c r="AC3178" t="s">
        <v>35434</v>
      </c>
      <c r="AD3178" t="s">
        <v>39486</v>
      </c>
      <c r="AE3178">
        <v>47</v>
      </c>
      <c r="AF3178" t="s">
        <v>45541</v>
      </c>
      <c r="AG3178" t="s">
        <v>26530</v>
      </c>
      <c r="AH3178">
        <v>20</v>
      </c>
      <c r="AI3178">
        <v>1</v>
      </c>
      <c r="AJ3178">
        <v>2</v>
      </c>
      <c r="AK3178">
        <v>69.3</v>
      </c>
      <c r="AN3178" t="s">
        <v>7439</v>
      </c>
      <c r="AO3178">
        <v>14400</v>
      </c>
      <c r="AU3178">
        <v>0.9</v>
      </c>
      <c r="AV3178" t="s">
        <v>706</v>
      </c>
      <c r="AW3178" t="s">
        <v>46847</v>
      </c>
    </row>
    <row r="3179" spans="1:50">
      <c r="A3179" s="1">
        <f>HYPERLINK("https://lsnyc.legalserver.org/matter/dynamic-profile/view/1883240","18-1883240")</f>
        <v>0</v>
      </c>
      <c r="B3179" t="s">
        <v>251</v>
      </c>
      <c r="C3179" t="s">
        <v>341</v>
      </c>
      <c r="D3179" t="s">
        <v>517</v>
      </c>
      <c r="E3179" t="s">
        <v>789</v>
      </c>
      <c r="F3179" t="s">
        <v>2546</v>
      </c>
      <c r="G3179" t="s">
        <v>5438</v>
      </c>
      <c r="H3179" t="s">
        <v>11089</v>
      </c>
      <c r="I3179" t="s">
        <v>17275</v>
      </c>
      <c r="J3179" t="s">
        <v>18892</v>
      </c>
      <c r="K3179">
        <v>10457</v>
      </c>
      <c r="L3179" t="s">
        <v>18958</v>
      </c>
      <c r="M3179" t="s">
        <v>18958</v>
      </c>
      <c r="N3179" t="s">
        <v>21326</v>
      </c>
      <c r="O3179" t="s">
        <v>26524</v>
      </c>
      <c r="P3179" t="s">
        <v>26560</v>
      </c>
      <c r="Q3179" t="s">
        <v>26573</v>
      </c>
      <c r="R3179" t="s">
        <v>26579</v>
      </c>
      <c r="S3179" t="s">
        <v>18959</v>
      </c>
      <c r="U3179" t="s">
        <v>26604</v>
      </c>
      <c r="V3179" t="s">
        <v>26611</v>
      </c>
      <c r="W3179" t="s">
        <v>517</v>
      </c>
      <c r="X3179">
        <v>677</v>
      </c>
      <c r="Y3179" t="s">
        <v>26650</v>
      </c>
      <c r="Z3179" t="s">
        <v>26673</v>
      </c>
      <c r="AA3179" t="s">
        <v>26678</v>
      </c>
      <c r="AB3179" t="s">
        <v>29428</v>
      </c>
      <c r="AC3179" t="s">
        <v>35435</v>
      </c>
      <c r="AD3179" t="s">
        <v>39487</v>
      </c>
      <c r="AE3179">
        <v>48</v>
      </c>
      <c r="AF3179" t="s">
        <v>45541</v>
      </c>
      <c r="AG3179" t="s">
        <v>19330</v>
      </c>
      <c r="AH3179">
        <v>4</v>
      </c>
      <c r="AI3179">
        <v>1</v>
      </c>
      <c r="AJ3179">
        <v>1</v>
      </c>
      <c r="AK3179">
        <v>126.37</v>
      </c>
      <c r="AN3179" t="s">
        <v>7439</v>
      </c>
      <c r="AO3179">
        <v>20800</v>
      </c>
      <c r="AQ3179" t="s">
        <v>46359</v>
      </c>
      <c r="AR3179" t="s">
        <v>46379</v>
      </c>
      <c r="AS3179" t="s">
        <v>46499</v>
      </c>
      <c r="AT3179" t="s">
        <v>46686</v>
      </c>
      <c r="AU3179">
        <v>18</v>
      </c>
      <c r="AV3179" t="s">
        <v>698</v>
      </c>
      <c r="AW3179" t="s">
        <v>46829</v>
      </c>
    </row>
    <row r="3180" spans="1:50">
      <c r="A3180" s="1">
        <f>HYPERLINK("https://lsnyc.legalserver.org/matter/dynamic-profile/view/1883283","18-1883283")</f>
        <v>0</v>
      </c>
      <c r="B3180" t="s">
        <v>258</v>
      </c>
      <c r="C3180" t="s">
        <v>341</v>
      </c>
      <c r="D3180" t="s">
        <v>517</v>
      </c>
      <c r="E3180" t="s">
        <v>822</v>
      </c>
      <c r="F3180" t="s">
        <v>2201</v>
      </c>
      <c r="G3180" t="s">
        <v>6776</v>
      </c>
      <c r="H3180" t="s">
        <v>12146</v>
      </c>
      <c r="I3180" t="s">
        <v>17936</v>
      </c>
      <c r="J3180" t="s">
        <v>18928</v>
      </c>
      <c r="K3180">
        <v>11365</v>
      </c>
      <c r="L3180" t="s">
        <v>18958</v>
      </c>
      <c r="M3180" t="s">
        <v>18958</v>
      </c>
      <c r="N3180" t="s">
        <v>21327</v>
      </c>
      <c r="O3180" t="s">
        <v>26524</v>
      </c>
      <c r="P3180" t="s">
        <v>26564</v>
      </c>
      <c r="Q3180" t="s">
        <v>26570</v>
      </c>
      <c r="R3180" t="s">
        <v>26584</v>
      </c>
      <c r="S3180" t="s">
        <v>18959</v>
      </c>
      <c r="U3180" t="s">
        <v>26604</v>
      </c>
      <c r="V3180" t="s">
        <v>26610</v>
      </c>
      <c r="W3180" t="s">
        <v>517</v>
      </c>
      <c r="X3180">
        <v>0</v>
      </c>
      <c r="Y3180" t="s">
        <v>26653</v>
      </c>
      <c r="Z3180" t="s">
        <v>26664</v>
      </c>
      <c r="AA3180" t="s">
        <v>26683</v>
      </c>
      <c r="AB3180" t="s">
        <v>29429</v>
      </c>
      <c r="AC3180" t="s">
        <v>34738</v>
      </c>
      <c r="AD3180" t="s">
        <v>39488</v>
      </c>
      <c r="AE3180">
        <v>37</v>
      </c>
      <c r="AF3180" t="s">
        <v>45547</v>
      </c>
      <c r="AG3180" t="s">
        <v>19330</v>
      </c>
      <c r="AH3180">
        <v>3</v>
      </c>
      <c r="AI3180">
        <v>3</v>
      </c>
      <c r="AJ3180">
        <v>2</v>
      </c>
      <c r="AK3180">
        <v>169.95</v>
      </c>
      <c r="AN3180" t="s">
        <v>7439</v>
      </c>
      <c r="AO3180">
        <v>50000</v>
      </c>
      <c r="AU3180">
        <v>5</v>
      </c>
      <c r="AV3180" t="s">
        <v>757</v>
      </c>
      <c r="AW3180" t="s">
        <v>161</v>
      </c>
      <c r="AX3180" t="s">
        <v>46897</v>
      </c>
    </row>
    <row r="3181" spans="1:50">
      <c r="A3181" s="1">
        <f>HYPERLINK("https://lsnyc.legalserver.org/matter/dynamic-profile/view/1883319","18-1883319")</f>
        <v>0</v>
      </c>
      <c r="B3181" t="s">
        <v>93</v>
      </c>
      <c r="C3181" t="s">
        <v>341</v>
      </c>
      <c r="D3181" t="s">
        <v>517</v>
      </c>
      <c r="E3181" t="s">
        <v>712</v>
      </c>
      <c r="F3181" t="s">
        <v>2547</v>
      </c>
      <c r="G3181" t="s">
        <v>6777</v>
      </c>
      <c r="H3181" t="s">
        <v>12147</v>
      </c>
      <c r="I3181" t="s">
        <v>17491</v>
      </c>
      <c r="J3181" t="s">
        <v>18931</v>
      </c>
      <c r="K3181">
        <v>11412</v>
      </c>
      <c r="L3181" t="s">
        <v>18958</v>
      </c>
      <c r="M3181" t="s">
        <v>18958</v>
      </c>
      <c r="N3181" t="s">
        <v>21328</v>
      </c>
      <c r="O3181" t="s">
        <v>26524</v>
      </c>
      <c r="P3181" t="s">
        <v>26564</v>
      </c>
      <c r="Q3181" t="s">
        <v>26570</v>
      </c>
      <c r="R3181" t="s">
        <v>26584</v>
      </c>
      <c r="S3181" t="s">
        <v>18959</v>
      </c>
      <c r="U3181" t="s">
        <v>26604</v>
      </c>
      <c r="V3181" t="s">
        <v>26611</v>
      </c>
      <c r="W3181" t="s">
        <v>517</v>
      </c>
      <c r="X3181">
        <v>600</v>
      </c>
      <c r="Y3181" t="s">
        <v>26653</v>
      </c>
      <c r="Z3181" t="s">
        <v>26664</v>
      </c>
      <c r="AA3181" t="s">
        <v>26683</v>
      </c>
      <c r="AB3181" t="s">
        <v>29430</v>
      </c>
      <c r="AC3181" t="s">
        <v>35436</v>
      </c>
      <c r="AD3181" t="s">
        <v>39489</v>
      </c>
      <c r="AE3181">
        <v>6</v>
      </c>
      <c r="AF3181" t="s">
        <v>45547</v>
      </c>
      <c r="AG3181" t="s">
        <v>19330</v>
      </c>
      <c r="AH3181">
        <v>11</v>
      </c>
      <c r="AI3181">
        <v>1</v>
      </c>
      <c r="AJ3181">
        <v>0</v>
      </c>
      <c r="AK3181">
        <v>111.37</v>
      </c>
      <c r="AN3181" t="s">
        <v>7439</v>
      </c>
      <c r="AO3181">
        <v>13520</v>
      </c>
      <c r="AU3181">
        <v>2.6</v>
      </c>
      <c r="AV3181" t="s">
        <v>747</v>
      </c>
      <c r="AW3181" t="s">
        <v>208</v>
      </c>
    </row>
    <row r="3182" spans="1:50">
      <c r="A3182" s="1">
        <f>HYPERLINK("https://lsnyc.legalserver.org/matter/dynamic-profile/view/1883315","18-1883315")</f>
        <v>0</v>
      </c>
      <c r="B3182" t="s">
        <v>64</v>
      </c>
      <c r="C3182" t="s">
        <v>341</v>
      </c>
      <c r="D3182" t="s">
        <v>517</v>
      </c>
      <c r="E3182" t="s">
        <v>707</v>
      </c>
      <c r="F3182" t="s">
        <v>2075</v>
      </c>
      <c r="G3182" t="s">
        <v>6778</v>
      </c>
      <c r="H3182" t="s">
        <v>12148</v>
      </c>
      <c r="I3182" t="s">
        <v>17282</v>
      </c>
      <c r="J3182" t="s">
        <v>18892</v>
      </c>
      <c r="K3182">
        <v>10460</v>
      </c>
      <c r="L3182" t="s">
        <v>18958</v>
      </c>
      <c r="M3182" t="s">
        <v>18958</v>
      </c>
      <c r="N3182" t="s">
        <v>21329</v>
      </c>
      <c r="O3182" t="s">
        <v>26524</v>
      </c>
      <c r="P3182" t="s">
        <v>26560</v>
      </c>
      <c r="Q3182" t="s">
        <v>26568</v>
      </c>
      <c r="R3182" t="s">
        <v>26577</v>
      </c>
      <c r="S3182" t="s">
        <v>18959</v>
      </c>
      <c r="U3182" t="s">
        <v>26604</v>
      </c>
      <c r="V3182" t="s">
        <v>26610</v>
      </c>
      <c r="W3182" t="s">
        <v>517</v>
      </c>
      <c r="X3182">
        <v>0</v>
      </c>
      <c r="Y3182" t="s">
        <v>26650</v>
      </c>
      <c r="Z3182" t="s">
        <v>26659</v>
      </c>
      <c r="AA3182" t="s">
        <v>26679</v>
      </c>
      <c r="AB3182" t="s">
        <v>27864</v>
      </c>
      <c r="AD3182" t="s">
        <v>39490</v>
      </c>
      <c r="AE3182">
        <v>0</v>
      </c>
      <c r="AF3182" t="s">
        <v>45541</v>
      </c>
      <c r="AG3182" t="s">
        <v>45556</v>
      </c>
      <c r="AH3182">
        <v>0</v>
      </c>
      <c r="AI3182">
        <v>2</v>
      </c>
      <c r="AJ3182">
        <v>2</v>
      </c>
      <c r="AK3182">
        <v>160.16</v>
      </c>
      <c r="AN3182" t="s">
        <v>7439</v>
      </c>
      <c r="AO3182">
        <v>40200</v>
      </c>
      <c r="AP3182" t="s">
        <v>45654</v>
      </c>
      <c r="AQ3182" t="s">
        <v>46362</v>
      </c>
      <c r="AR3182" t="s">
        <v>46380</v>
      </c>
      <c r="AS3182" t="s">
        <v>46499</v>
      </c>
      <c r="AT3182" t="s">
        <v>46689</v>
      </c>
      <c r="AU3182">
        <v>10.95</v>
      </c>
      <c r="AV3182" t="s">
        <v>707</v>
      </c>
      <c r="AW3182" t="s">
        <v>46870</v>
      </c>
    </row>
    <row r="3183" spans="1:50">
      <c r="A3183" s="1">
        <f>HYPERLINK("https://lsnyc.legalserver.org/matter/dynamic-profile/view/1883340","18-1883340")</f>
        <v>0</v>
      </c>
      <c r="B3183" t="s">
        <v>120</v>
      </c>
      <c r="C3183" t="s">
        <v>341</v>
      </c>
      <c r="D3183" t="s">
        <v>517</v>
      </c>
      <c r="E3183" t="s">
        <v>494</v>
      </c>
      <c r="F3183" t="s">
        <v>1441</v>
      </c>
      <c r="G3183" t="s">
        <v>5191</v>
      </c>
      <c r="H3183" t="s">
        <v>12149</v>
      </c>
      <c r="I3183">
        <v>1</v>
      </c>
      <c r="J3183" t="s">
        <v>18892</v>
      </c>
      <c r="K3183">
        <v>10469</v>
      </c>
      <c r="L3183" t="s">
        <v>18958</v>
      </c>
      <c r="M3183" t="s">
        <v>18958</v>
      </c>
      <c r="N3183" t="s">
        <v>21330</v>
      </c>
      <c r="O3183" t="s">
        <v>26523</v>
      </c>
      <c r="P3183" t="s">
        <v>26560</v>
      </c>
      <c r="Q3183" t="s">
        <v>26568</v>
      </c>
      <c r="R3183" t="s">
        <v>26577</v>
      </c>
      <c r="S3183" t="s">
        <v>18959</v>
      </c>
      <c r="U3183" t="s">
        <v>26604</v>
      </c>
      <c r="V3183" t="s">
        <v>26610</v>
      </c>
      <c r="W3183" t="s">
        <v>517</v>
      </c>
      <c r="X3183">
        <v>1833.16</v>
      </c>
      <c r="Y3183" t="s">
        <v>26650</v>
      </c>
      <c r="Z3183" t="s">
        <v>26659</v>
      </c>
      <c r="AA3183" t="s">
        <v>26678</v>
      </c>
      <c r="AB3183" t="s">
        <v>29431</v>
      </c>
      <c r="AC3183" t="s">
        <v>35437</v>
      </c>
      <c r="AD3183" t="s">
        <v>39491</v>
      </c>
      <c r="AE3183">
        <v>4</v>
      </c>
      <c r="AF3183" t="s">
        <v>45541</v>
      </c>
      <c r="AG3183" t="s">
        <v>45556</v>
      </c>
      <c r="AH3183">
        <v>13</v>
      </c>
      <c r="AI3183">
        <v>4</v>
      </c>
      <c r="AJ3183">
        <v>1</v>
      </c>
      <c r="AK3183">
        <v>64.58</v>
      </c>
      <c r="AN3183" t="s">
        <v>7439</v>
      </c>
      <c r="AO3183">
        <v>19000</v>
      </c>
      <c r="AQ3183" t="s">
        <v>46362</v>
      </c>
      <c r="AR3183" t="s">
        <v>46379</v>
      </c>
      <c r="AS3183" t="s">
        <v>46499</v>
      </c>
      <c r="AT3183" t="s">
        <v>46557</v>
      </c>
      <c r="AU3183">
        <v>0.15</v>
      </c>
      <c r="AV3183" t="s">
        <v>458</v>
      </c>
      <c r="AW3183" t="s">
        <v>46847</v>
      </c>
    </row>
    <row r="3184" spans="1:50">
      <c r="A3184" s="1">
        <f>HYPERLINK("https://lsnyc.legalserver.org/matter/dynamic-profile/view/1883309","18-1883309")</f>
        <v>0</v>
      </c>
      <c r="B3184" t="s">
        <v>65</v>
      </c>
      <c r="C3184" t="s">
        <v>341</v>
      </c>
      <c r="D3184" t="s">
        <v>517</v>
      </c>
      <c r="E3184" t="s">
        <v>857</v>
      </c>
      <c r="F3184" t="s">
        <v>2548</v>
      </c>
      <c r="G3184" t="s">
        <v>5097</v>
      </c>
      <c r="H3184" t="s">
        <v>12150</v>
      </c>
      <c r="I3184">
        <v>510</v>
      </c>
      <c r="J3184" t="s">
        <v>18892</v>
      </c>
      <c r="K3184">
        <v>10462</v>
      </c>
      <c r="L3184" t="s">
        <v>18958</v>
      </c>
      <c r="M3184" t="s">
        <v>18958</v>
      </c>
      <c r="N3184" t="s">
        <v>21331</v>
      </c>
      <c r="O3184" t="s">
        <v>26523</v>
      </c>
      <c r="P3184" t="s">
        <v>26560</v>
      </c>
      <c r="Q3184" t="s">
        <v>26568</v>
      </c>
      <c r="R3184" t="s">
        <v>26579</v>
      </c>
      <c r="U3184" t="s">
        <v>26604</v>
      </c>
      <c r="V3184" t="s">
        <v>26611</v>
      </c>
      <c r="W3184" t="s">
        <v>517</v>
      </c>
      <c r="X3184">
        <v>1172</v>
      </c>
      <c r="Y3184" t="s">
        <v>26650</v>
      </c>
      <c r="AA3184" t="s">
        <v>26678</v>
      </c>
      <c r="AB3184" t="s">
        <v>29432</v>
      </c>
      <c r="AC3184" t="s">
        <v>35438</v>
      </c>
      <c r="AD3184" t="s">
        <v>39492</v>
      </c>
      <c r="AE3184">
        <v>100</v>
      </c>
      <c r="AF3184" t="s">
        <v>45541</v>
      </c>
      <c r="AG3184" t="s">
        <v>45558</v>
      </c>
      <c r="AH3184">
        <v>2</v>
      </c>
      <c r="AI3184">
        <v>1</v>
      </c>
      <c r="AJ3184">
        <v>1</v>
      </c>
      <c r="AK3184">
        <v>59.05</v>
      </c>
      <c r="AN3184" t="s">
        <v>7439</v>
      </c>
      <c r="AO3184">
        <v>9720</v>
      </c>
      <c r="AQ3184" t="s">
        <v>46365</v>
      </c>
      <c r="AR3184" t="s">
        <v>46379</v>
      </c>
      <c r="AS3184" t="s">
        <v>46499</v>
      </c>
      <c r="AT3184" t="s">
        <v>46669</v>
      </c>
      <c r="AU3184">
        <v>12.8</v>
      </c>
      <c r="AV3184" t="s">
        <v>698</v>
      </c>
      <c r="AW3184" t="s">
        <v>46842</v>
      </c>
    </row>
    <row r="3185" spans="1:50">
      <c r="A3185" s="1">
        <f>HYPERLINK("https://lsnyc.legalserver.org/matter/dynamic-profile/view/1883577","18-1883577")</f>
        <v>0</v>
      </c>
      <c r="B3185" t="s">
        <v>187</v>
      </c>
      <c r="C3185" t="s">
        <v>341</v>
      </c>
      <c r="D3185" t="s">
        <v>517</v>
      </c>
      <c r="E3185" t="s">
        <v>719</v>
      </c>
      <c r="F3185" t="s">
        <v>958</v>
      </c>
      <c r="G3185" t="s">
        <v>5515</v>
      </c>
      <c r="H3185" t="s">
        <v>12151</v>
      </c>
      <c r="I3185" t="s">
        <v>17277</v>
      </c>
      <c r="J3185" t="s">
        <v>18892</v>
      </c>
      <c r="K3185">
        <v>10463</v>
      </c>
      <c r="L3185" t="s">
        <v>18958</v>
      </c>
      <c r="M3185" t="s">
        <v>18958</v>
      </c>
      <c r="N3185" t="s">
        <v>21332</v>
      </c>
      <c r="O3185" t="s">
        <v>26523</v>
      </c>
      <c r="P3185" t="s">
        <v>26560</v>
      </c>
      <c r="Q3185" t="s">
        <v>26573</v>
      </c>
      <c r="R3185" t="s">
        <v>26577</v>
      </c>
      <c r="S3185" t="s">
        <v>18959</v>
      </c>
      <c r="U3185" t="s">
        <v>26604</v>
      </c>
      <c r="V3185" t="s">
        <v>26610</v>
      </c>
      <c r="W3185" t="s">
        <v>517</v>
      </c>
      <c r="X3185">
        <v>1265</v>
      </c>
      <c r="Y3185" t="s">
        <v>26650</v>
      </c>
      <c r="Z3185" t="s">
        <v>26664</v>
      </c>
      <c r="AA3185" t="s">
        <v>26678</v>
      </c>
      <c r="AB3185" t="s">
        <v>29433</v>
      </c>
      <c r="AC3185" t="s">
        <v>35439</v>
      </c>
      <c r="AD3185" t="s">
        <v>39493</v>
      </c>
      <c r="AE3185">
        <v>0</v>
      </c>
      <c r="AF3185" t="s">
        <v>20460</v>
      </c>
      <c r="AG3185" t="s">
        <v>45556</v>
      </c>
      <c r="AH3185">
        <v>19</v>
      </c>
      <c r="AI3185">
        <v>2</v>
      </c>
      <c r="AJ3185">
        <v>0</v>
      </c>
      <c r="AK3185">
        <v>78.98</v>
      </c>
      <c r="AN3185" t="s">
        <v>45581</v>
      </c>
      <c r="AO3185">
        <v>13000</v>
      </c>
      <c r="AQ3185" t="s">
        <v>46362</v>
      </c>
      <c r="AR3185" t="s">
        <v>46379</v>
      </c>
      <c r="AS3185" t="s">
        <v>46499</v>
      </c>
      <c r="AT3185" t="s">
        <v>46698</v>
      </c>
      <c r="AU3185">
        <v>10.4</v>
      </c>
      <c r="AV3185" t="s">
        <v>719</v>
      </c>
      <c r="AW3185" t="s">
        <v>336</v>
      </c>
    </row>
    <row r="3186" spans="1:50">
      <c r="A3186" s="1">
        <f>HYPERLINK("https://lsnyc.legalserver.org/matter/dynamic-profile/view/1883310","18-1883310")</f>
        <v>0</v>
      </c>
      <c r="B3186" t="s">
        <v>187</v>
      </c>
      <c r="C3186" t="s">
        <v>341</v>
      </c>
      <c r="D3186" t="s">
        <v>517</v>
      </c>
      <c r="E3186" t="s">
        <v>828</v>
      </c>
      <c r="F3186" t="s">
        <v>2238</v>
      </c>
      <c r="G3186" t="s">
        <v>6779</v>
      </c>
      <c r="H3186" t="s">
        <v>12152</v>
      </c>
      <c r="I3186">
        <v>15</v>
      </c>
      <c r="J3186" t="s">
        <v>18892</v>
      </c>
      <c r="K3186">
        <v>10453</v>
      </c>
      <c r="L3186" t="s">
        <v>18958</v>
      </c>
      <c r="M3186" t="s">
        <v>18958</v>
      </c>
      <c r="N3186" t="s">
        <v>21333</v>
      </c>
      <c r="O3186" t="s">
        <v>26523</v>
      </c>
      <c r="P3186" t="s">
        <v>26560</v>
      </c>
      <c r="Q3186" t="s">
        <v>26568</v>
      </c>
      <c r="R3186" t="s">
        <v>26577</v>
      </c>
      <c r="S3186" t="s">
        <v>18959</v>
      </c>
      <c r="U3186" t="s">
        <v>26604</v>
      </c>
      <c r="V3186" t="s">
        <v>26611</v>
      </c>
      <c r="W3186" t="s">
        <v>517</v>
      </c>
      <c r="X3186">
        <v>1160</v>
      </c>
      <c r="Y3186" t="s">
        <v>26650</v>
      </c>
      <c r="Z3186" t="s">
        <v>26668</v>
      </c>
      <c r="AA3186" t="s">
        <v>26680</v>
      </c>
      <c r="AB3186" t="s">
        <v>29434</v>
      </c>
      <c r="AD3186" t="s">
        <v>39494</v>
      </c>
      <c r="AE3186">
        <v>30</v>
      </c>
      <c r="AF3186" t="s">
        <v>45541</v>
      </c>
      <c r="AG3186" t="s">
        <v>19330</v>
      </c>
      <c r="AH3186">
        <v>9</v>
      </c>
      <c r="AI3186">
        <v>1</v>
      </c>
      <c r="AJ3186">
        <v>2</v>
      </c>
      <c r="AK3186">
        <v>150.14</v>
      </c>
      <c r="AN3186" t="s">
        <v>7439</v>
      </c>
      <c r="AO3186">
        <v>31200</v>
      </c>
      <c r="AQ3186" t="s">
        <v>46366</v>
      </c>
      <c r="AR3186" t="s">
        <v>46381</v>
      </c>
      <c r="AS3186" t="s">
        <v>46499</v>
      </c>
      <c r="AT3186" t="s">
        <v>46767</v>
      </c>
      <c r="AU3186">
        <v>54.4</v>
      </c>
      <c r="AV3186" t="s">
        <v>828</v>
      </c>
      <c r="AW3186" t="s">
        <v>46871</v>
      </c>
      <c r="AX3186" t="s">
        <v>46897</v>
      </c>
    </row>
    <row r="3187" spans="1:50">
      <c r="A3187" s="1">
        <f>HYPERLINK("https://lsnyc.legalserver.org/matter/dynamic-profile/view/1883313","18-1883313")</f>
        <v>0</v>
      </c>
      <c r="B3187" t="s">
        <v>170</v>
      </c>
      <c r="C3187" t="s">
        <v>341</v>
      </c>
      <c r="D3187" t="s">
        <v>517</v>
      </c>
      <c r="E3187" t="s">
        <v>517</v>
      </c>
      <c r="F3187" t="s">
        <v>1376</v>
      </c>
      <c r="G3187" t="s">
        <v>5959</v>
      </c>
      <c r="H3187" t="s">
        <v>12153</v>
      </c>
      <c r="I3187">
        <v>1</v>
      </c>
      <c r="J3187" t="s">
        <v>18894</v>
      </c>
      <c r="K3187">
        <v>11205</v>
      </c>
      <c r="L3187" t="s">
        <v>18958</v>
      </c>
      <c r="M3187" t="s">
        <v>18960</v>
      </c>
      <c r="N3187" t="s">
        <v>21334</v>
      </c>
      <c r="O3187" t="s">
        <v>26524</v>
      </c>
      <c r="P3187" t="s">
        <v>26564</v>
      </c>
      <c r="Q3187" t="s">
        <v>26570</v>
      </c>
      <c r="R3187" t="s">
        <v>26583</v>
      </c>
      <c r="U3187" t="s">
        <v>26604</v>
      </c>
      <c r="W3187" t="s">
        <v>517</v>
      </c>
      <c r="X3187">
        <v>1100</v>
      </c>
      <c r="Y3187" t="s">
        <v>26652</v>
      </c>
      <c r="Z3187" t="s">
        <v>26661</v>
      </c>
      <c r="AA3187" t="s">
        <v>26683</v>
      </c>
      <c r="AB3187" t="s">
        <v>29435</v>
      </c>
      <c r="AD3187" t="s">
        <v>39495</v>
      </c>
      <c r="AE3187">
        <v>3</v>
      </c>
      <c r="AH3187">
        <v>1</v>
      </c>
      <c r="AI3187">
        <v>1</v>
      </c>
      <c r="AJ3187">
        <v>0</v>
      </c>
      <c r="AK3187">
        <v>700.16</v>
      </c>
      <c r="AN3187" t="s">
        <v>7439</v>
      </c>
      <c r="AO3187">
        <v>85000</v>
      </c>
      <c r="AU3187">
        <v>0.1</v>
      </c>
      <c r="AV3187" t="s">
        <v>517</v>
      </c>
      <c r="AW3187" t="s">
        <v>46856</v>
      </c>
    </row>
    <row r="3188" spans="1:50">
      <c r="A3188" s="1">
        <f>HYPERLINK("https://lsnyc.legalserver.org/matter/dynamic-profile/view/1883238","18-1883238")</f>
        <v>0</v>
      </c>
      <c r="B3188" t="s">
        <v>103</v>
      </c>
      <c r="C3188" t="s">
        <v>341</v>
      </c>
      <c r="D3188" t="s">
        <v>517</v>
      </c>
      <c r="E3188" t="s">
        <v>695</v>
      </c>
      <c r="F3188" t="s">
        <v>2002</v>
      </c>
      <c r="G3188" t="s">
        <v>5700</v>
      </c>
      <c r="H3188" t="s">
        <v>12154</v>
      </c>
      <c r="I3188" t="s">
        <v>17913</v>
      </c>
      <c r="J3188" t="s">
        <v>18902</v>
      </c>
      <c r="K3188">
        <v>10310</v>
      </c>
      <c r="L3188" t="s">
        <v>18958</v>
      </c>
      <c r="M3188" t="s">
        <v>18958</v>
      </c>
      <c r="N3188" t="s">
        <v>21335</v>
      </c>
      <c r="O3188" t="s">
        <v>26523</v>
      </c>
      <c r="P3188" t="s">
        <v>26560</v>
      </c>
      <c r="Q3188" t="s">
        <v>26568</v>
      </c>
      <c r="R3188" t="s">
        <v>26590</v>
      </c>
      <c r="S3188" t="s">
        <v>18959</v>
      </c>
      <c r="U3188" t="s">
        <v>26604</v>
      </c>
      <c r="V3188" t="s">
        <v>26610</v>
      </c>
      <c r="W3188" t="s">
        <v>517</v>
      </c>
      <c r="X3188">
        <v>1500</v>
      </c>
      <c r="Y3188" t="s">
        <v>26654</v>
      </c>
      <c r="Z3188" t="s">
        <v>26668</v>
      </c>
      <c r="AA3188" t="s">
        <v>26678</v>
      </c>
      <c r="AB3188" t="s">
        <v>29436</v>
      </c>
      <c r="AD3188" t="s">
        <v>39496</v>
      </c>
      <c r="AE3188">
        <v>2</v>
      </c>
      <c r="AF3188" t="s">
        <v>45547</v>
      </c>
      <c r="AH3188">
        <v>6</v>
      </c>
      <c r="AI3188">
        <v>2</v>
      </c>
      <c r="AJ3188">
        <v>2</v>
      </c>
      <c r="AK3188">
        <v>30.6</v>
      </c>
      <c r="AN3188" t="s">
        <v>7439</v>
      </c>
      <c r="AO3188">
        <v>7680</v>
      </c>
      <c r="AQ3188" t="s">
        <v>46362</v>
      </c>
      <c r="AR3188" t="s">
        <v>46474</v>
      </c>
      <c r="AS3188" t="s">
        <v>46499</v>
      </c>
      <c r="AT3188" t="s">
        <v>46662</v>
      </c>
      <c r="AU3188">
        <v>11.25</v>
      </c>
      <c r="AV3188" t="s">
        <v>695</v>
      </c>
      <c r="AW3188" t="s">
        <v>210</v>
      </c>
    </row>
    <row r="3189" spans="1:50">
      <c r="A3189" s="1">
        <f>HYPERLINK("https://lsnyc.legalserver.org/matter/dynamic-profile/view/1883229","18-1883229")</f>
        <v>0</v>
      </c>
      <c r="B3189" t="s">
        <v>104</v>
      </c>
      <c r="C3189" t="s">
        <v>341</v>
      </c>
      <c r="D3189" t="s">
        <v>517</v>
      </c>
      <c r="E3189" t="s">
        <v>786</v>
      </c>
      <c r="F3189" t="s">
        <v>1056</v>
      </c>
      <c r="G3189" t="s">
        <v>6780</v>
      </c>
      <c r="H3189" t="s">
        <v>12155</v>
      </c>
      <c r="I3189" t="s">
        <v>17913</v>
      </c>
      <c r="J3189" t="s">
        <v>18902</v>
      </c>
      <c r="K3189">
        <v>10303</v>
      </c>
      <c r="L3189" t="s">
        <v>18958</v>
      </c>
      <c r="M3189" t="s">
        <v>18958</v>
      </c>
      <c r="N3189" t="s">
        <v>21336</v>
      </c>
      <c r="O3189" t="s">
        <v>26524</v>
      </c>
      <c r="P3189" t="s">
        <v>26560</v>
      </c>
      <c r="Q3189" t="s">
        <v>26569</v>
      </c>
      <c r="R3189" t="s">
        <v>26590</v>
      </c>
      <c r="S3189" t="s">
        <v>18959</v>
      </c>
      <c r="U3189" t="s">
        <v>26604</v>
      </c>
      <c r="V3189" t="s">
        <v>26610</v>
      </c>
      <c r="W3189" t="s">
        <v>517</v>
      </c>
      <c r="X3189">
        <v>1500</v>
      </c>
      <c r="Y3189" t="s">
        <v>26654</v>
      </c>
      <c r="Z3189" t="s">
        <v>26668</v>
      </c>
      <c r="AA3189" t="s">
        <v>26687</v>
      </c>
      <c r="AB3189" t="s">
        <v>29437</v>
      </c>
      <c r="AD3189" t="s">
        <v>39497</v>
      </c>
      <c r="AE3189">
        <v>2</v>
      </c>
      <c r="AF3189" t="s">
        <v>45547</v>
      </c>
      <c r="AH3189">
        <v>3</v>
      </c>
      <c r="AI3189">
        <v>2</v>
      </c>
      <c r="AJ3189">
        <v>0</v>
      </c>
      <c r="AK3189">
        <v>123.13</v>
      </c>
      <c r="AO3189">
        <v>20268</v>
      </c>
      <c r="AT3189" t="s">
        <v>46604</v>
      </c>
      <c r="AU3189">
        <v>17.65</v>
      </c>
      <c r="AV3189" t="s">
        <v>755</v>
      </c>
      <c r="AW3189" t="s">
        <v>210</v>
      </c>
    </row>
    <row r="3190" spans="1:50">
      <c r="A3190" s="1">
        <f>HYPERLINK("https://lsnyc.legalserver.org/matter/dynamic-profile/view/1883326","18-1883326")</f>
        <v>0</v>
      </c>
      <c r="B3190" t="s">
        <v>69</v>
      </c>
      <c r="C3190" t="s">
        <v>341</v>
      </c>
      <c r="D3190" t="s">
        <v>517</v>
      </c>
      <c r="E3190" t="s">
        <v>786</v>
      </c>
      <c r="F3190" t="s">
        <v>1467</v>
      </c>
      <c r="G3190" t="s">
        <v>1685</v>
      </c>
      <c r="H3190" t="s">
        <v>12156</v>
      </c>
      <c r="I3190" t="s">
        <v>17355</v>
      </c>
      <c r="J3190" t="s">
        <v>18892</v>
      </c>
      <c r="K3190">
        <v>10455</v>
      </c>
      <c r="L3190" t="s">
        <v>18958</v>
      </c>
      <c r="M3190" t="s">
        <v>18958</v>
      </c>
      <c r="N3190" t="s">
        <v>21337</v>
      </c>
      <c r="O3190" t="s">
        <v>26523</v>
      </c>
      <c r="P3190" t="s">
        <v>26560</v>
      </c>
      <c r="Q3190" t="s">
        <v>26568</v>
      </c>
      <c r="R3190" t="s">
        <v>26577</v>
      </c>
      <c r="S3190" t="s">
        <v>18959</v>
      </c>
      <c r="U3190" t="s">
        <v>26604</v>
      </c>
      <c r="W3190" t="s">
        <v>517</v>
      </c>
      <c r="X3190">
        <v>1011</v>
      </c>
      <c r="Y3190" t="s">
        <v>26650</v>
      </c>
      <c r="Z3190" t="s">
        <v>26660</v>
      </c>
      <c r="AA3190" t="s">
        <v>26686</v>
      </c>
      <c r="AB3190" t="s">
        <v>29438</v>
      </c>
      <c r="AC3190" t="s">
        <v>35440</v>
      </c>
      <c r="AD3190" t="s">
        <v>39498</v>
      </c>
      <c r="AE3190">
        <v>0</v>
      </c>
      <c r="AF3190" t="s">
        <v>45541</v>
      </c>
      <c r="AG3190" t="s">
        <v>45562</v>
      </c>
      <c r="AH3190">
        <v>2</v>
      </c>
      <c r="AI3190">
        <v>2</v>
      </c>
      <c r="AJ3190">
        <v>2</v>
      </c>
      <c r="AK3190">
        <v>124.3</v>
      </c>
      <c r="AN3190" t="s">
        <v>7439</v>
      </c>
      <c r="AO3190">
        <v>31200</v>
      </c>
      <c r="AU3190">
        <v>5.7</v>
      </c>
      <c r="AV3190" t="s">
        <v>665</v>
      </c>
      <c r="AW3190" t="s">
        <v>46870</v>
      </c>
    </row>
    <row r="3191" spans="1:50">
      <c r="A3191" s="1">
        <f>HYPERLINK("https://lsnyc.legalserver.org/matter/dynamic-profile/view/1883362","18-1883362")</f>
        <v>0</v>
      </c>
      <c r="B3191" t="s">
        <v>52</v>
      </c>
      <c r="C3191" t="s">
        <v>341</v>
      </c>
      <c r="D3191" t="s">
        <v>517</v>
      </c>
      <c r="E3191" t="s">
        <v>669</v>
      </c>
      <c r="F3191" t="s">
        <v>2403</v>
      </c>
      <c r="G3191" t="s">
        <v>2008</v>
      </c>
      <c r="H3191" t="s">
        <v>12157</v>
      </c>
      <c r="I3191" t="s">
        <v>17277</v>
      </c>
      <c r="J3191" t="s">
        <v>18892</v>
      </c>
      <c r="K3191">
        <v>10452</v>
      </c>
      <c r="L3191" t="s">
        <v>18958</v>
      </c>
      <c r="M3191" t="s">
        <v>18958</v>
      </c>
      <c r="N3191" t="s">
        <v>18997</v>
      </c>
      <c r="O3191" t="s">
        <v>26529</v>
      </c>
      <c r="P3191" t="s">
        <v>26564</v>
      </c>
      <c r="Q3191" t="s">
        <v>26570</v>
      </c>
      <c r="R3191" t="s">
        <v>26578</v>
      </c>
      <c r="S3191" t="s">
        <v>18959</v>
      </c>
      <c r="U3191" t="s">
        <v>26604</v>
      </c>
      <c r="W3191" t="s">
        <v>517</v>
      </c>
      <c r="X3191">
        <v>900</v>
      </c>
      <c r="Y3191" t="s">
        <v>26650</v>
      </c>
      <c r="Z3191" t="s">
        <v>26663</v>
      </c>
      <c r="AA3191" t="s">
        <v>26683</v>
      </c>
      <c r="AB3191" t="s">
        <v>29439</v>
      </c>
      <c r="AD3191" t="s">
        <v>39499</v>
      </c>
      <c r="AE3191">
        <v>0</v>
      </c>
      <c r="AF3191" t="s">
        <v>45548</v>
      </c>
      <c r="AG3191" t="s">
        <v>19330</v>
      </c>
      <c r="AH3191">
        <v>12</v>
      </c>
      <c r="AI3191">
        <v>1</v>
      </c>
      <c r="AJ3191">
        <v>1</v>
      </c>
      <c r="AK3191">
        <v>110.57</v>
      </c>
      <c r="AN3191" t="s">
        <v>45581</v>
      </c>
      <c r="AO3191">
        <v>18200</v>
      </c>
      <c r="AU3191">
        <v>1</v>
      </c>
      <c r="AV3191" t="s">
        <v>525</v>
      </c>
      <c r="AW3191" t="s">
        <v>46847</v>
      </c>
    </row>
    <row r="3192" spans="1:50">
      <c r="A3192" s="1">
        <f>HYPERLINK("https://lsnyc.legalserver.org/matter/dynamic-profile/view/1883206","18-1883206")</f>
        <v>0</v>
      </c>
      <c r="B3192" t="s">
        <v>173</v>
      </c>
      <c r="C3192" t="s">
        <v>341</v>
      </c>
      <c r="D3192" t="s">
        <v>517</v>
      </c>
      <c r="E3192" t="s">
        <v>834</v>
      </c>
      <c r="F3192" t="s">
        <v>2549</v>
      </c>
      <c r="G3192" t="s">
        <v>6065</v>
      </c>
      <c r="H3192" t="s">
        <v>12158</v>
      </c>
      <c r="I3192" t="s">
        <v>17344</v>
      </c>
      <c r="J3192" t="s">
        <v>18893</v>
      </c>
      <c r="K3192">
        <v>10025</v>
      </c>
      <c r="L3192" t="s">
        <v>18958</v>
      </c>
      <c r="M3192" t="s">
        <v>18958</v>
      </c>
      <c r="N3192" t="s">
        <v>21338</v>
      </c>
      <c r="O3192" t="s">
        <v>26523</v>
      </c>
      <c r="P3192" t="s">
        <v>26560</v>
      </c>
      <c r="Q3192" t="s">
        <v>26573</v>
      </c>
      <c r="R3192" t="s">
        <v>26580</v>
      </c>
      <c r="S3192" t="s">
        <v>18959</v>
      </c>
      <c r="U3192" t="s">
        <v>26604</v>
      </c>
      <c r="V3192" t="s">
        <v>26610</v>
      </c>
      <c r="W3192" t="s">
        <v>517</v>
      </c>
      <c r="X3192">
        <v>187</v>
      </c>
      <c r="Y3192" t="s">
        <v>26651</v>
      </c>
      <c r="Z3192" t="s">
        <v>26659</v>
      </c>
      <c r="AA3192" t="s">
        <v>26678</v>
      </c>
      <c r="AB3192" t="s">
        <v>29440</v>
      </c>
      <c r="AD3192" t="s">
        <v>39500</v>
      </c>
      <c r="AE3192">
        <v>0</v>
      </c>
      <c r="AF3192" t="s">
        <v>45543</v>
      </c>
      <c r="AG3192" t="s">
        <v>45556</v>
      </c>
      <c r="AH3192">
        <v>25</v>
      </c>
      <c r="AI3192">
        <v>1</v>
      </c>
      <c r="AJ3192">
        <v>0</v>
      </c>
      <c r="AK3192">
        <v>55.19</v>
      </c>
      <c r="AO3192">
        <v>6699.87</v>
      </c>
      <c r="AS3192" t="s">
        <v>46499</v>
      </c>
      <c r="AU3192">
        <v>5.25</v>
      </c>
      <c r="AV3192" t="s">
        <v>834</v>
      </c>
      <c r="AW3192" t="s">
        <v>314</v>
      </c>
      <c r="AX3192" t="s">
        <v>46897</v>
      </c>
    </row>
    <row r="3193" spans="1:50">
      <c r="A3193" s="1">
        <f>HYPERLINK("https://lsnyc.legalserver.org/matter/dynamic-profile/view/1883258","18-1883258")</f>
        <v>0</v>
      </c>
      <c r="B3193" t="s">
        <v>125</v>
      </c>
      <c r="C3193" t="s">
        <v>341</v>
      </c>
      <c r="D3193" t="s">
        <v>517</v>
      </c>
      <c r="E3193" t="s">
        <v>697</v>
      </c>
      <c r="F3193" t="s">
        <v>1161</v>
      </c>
      <c r="G3193" t="s">
        <v>6781</v>
      </c>
      <c r="H3193" t="s">
        <v>12159</v>
      </c>
      <c r="I3193" t="s">
        <v>17299</v>
      </c>
      <c r="J3193" t="s">
        <v>18894</v>
      </c>
      <c r="K3193">
        <v>11233</v>
      </c>
      <c r="L3193" t="s">
        <v>18958</v>
      </c>
      <c r="M3193" t="s">
        <v>18958</v>
      </c>
      <c r="N3193" t="s">
        <v>21339</v>
      </c>
      <c r="O3193" t="s">
        <v>26523</v>
      </c>
      <c r="P3193" t="s">
        <v>26564</v>
      </c>
      <c r="Q3193" t="s">
        <v>26570</v>
      </c>
      <c r="R3193" t="s">
        <v>26578</v>
      </c>
      <c r="S3193" t="s">
        <v>18958</v>
      </c>
      <c r="U3193" t="s">
        <v>26604</v>
      </c>
      <c r="W3193" t="s">
        <v>517</v>
      </c>
      <c r="X3193">
        <v>67</v>
      </c>
      <c r="Y3193" t="s">
        <v>26652</v>
      </c>
      <c r="Z3193" t="s">
        <v>26657</v>
      </c>
      <c r="AA3193" t="s">
        <v>26683</v>
      </c>
      <c r="AB3193" t="s">
        <v>28785</v>
      </c>
      <c r="AC3193" t="s">
        <v>35441</v>
      </c>
      <c r="AD3193" t="s">
        <v>39501</v>
      </c>
      <c r="AE3193">
        <v>120</v>
      </c>
      <c r="AF3193" t="s">
        <v>45543</v>
      </c>
      <c r="AG3193" t="s">
        <v>45556</v>
      </c>
      <c r="AH3193">
        <v>20</v>
      </c>
      <c r="AI3193">
        <v>1</v>
      </c>
      <c r="AJ3193">
        <v>0</v>
      </c>
      <c r="AK3193">
        <v>14.83</v>
      </c>
      <c r="AN3193" t="s">
        <v>7439</v>
      </c>
      <c r="AO3193">
        <v>1800</v>
      </c>
      <c r="AU3193">
        <v>3.5</v>
      </c>
      <c r="AV3193" t="s">
        <v>687</v>
      </c>
      <c r="AW3193" t="s">
        <v>46843</v>
      </c>
    </row>
    <row r="3194" spans="1:50">
      <c r="A3194" s="1">
        <f>HYPERLINK("https://lsnyc.legalserver.org/matter/dynamic-profile/view/1883338","18-1883338")</f>
        <v>0</v>
      </c>
      <c r="B3194" t="s">
        <v>107</v>
      </c>
      <c r="C3194" t="s">
        <v>340</v>
      </c>
      <c r="D3194" t="s">
        <v>517</v>
      </c>
      <c r="F3194" t="s">
        <v>2550</v>
      </c>
      <c r="G3194" t="s">
        <v>6782</v>
      </c>
      <c r="H3194" t="s">
        <v>12160</v>
      </c>
      <c r="I3194" t="s">
        <v>17324</v>
      </c>
      <c r="J3194" t="s">
        <v>18898</v>
      </c>
      <c r="K3194">
        <v>11693</v>
      </c>
      <c r="L3194" t="s">
        <v>18958</v>
      </c>
      <c r="M3194" t="s">
        <v>18958</v>
      </c>
      <c r="N3194" t="s">
        <v>21340</v>
      </c>
      <c r="O3194" t="s">
        <v>26523</v>
      </c>
      <c r="P3194" t="s">
        <v>26565</v>
      </c>
      <c r="R3194" t="s">
        <v>26584</v>
      </c>
      <c r="S3194" t="s">
        <v>18959</v>
      </c>
      <c r="U3194" t="s">
        <v>26604</v>
      </c>
      <c r="V3194" t="s">
        <v>26612</v>
      </c>
      <c r="W3194" t="s">
        <v>517</v>
      </c>
      <c r="X3194">
        <v>1600</v>
      </c>
      <c r="Y3194" t="s">
        <v>26653</v>
      </c>
      <c r="Z3194" t="s">
        <v>26664</v>
      </c>
      <c r="AB3194" t="s">
        <v>29441</v>
      </c>
      <c r="AC3194" t="s">
        <v>35442</v>
      </c>
      <c r="AD3194" t="s">
        <v>39502</v>
      </c>
      <c r="AE3194">
        <v>2</v>
      </c>
      <c r="AF3194" t="s">
        <v>20460</v>
      </c>
      <c r="AG3194" t="s">
        <v>19330</v>
      </c>
      <c r="AH3194">
        <v>5</v>
      </c>
      <c r="AI3194">
        <v>2</v>
      </c>
      <c r="AJ3194">
        <v>3</v>
      </c>
      <c r="AK3194">
        <v>142.5</v>
      </c>
      <c r="AN3194" t="s">
        <v>7439</v>
      </c>
      <c r="AO3194">
        <v>41924</v>
      </c>
      <c r="AQ3194" t="s">
        <v>46362</v>
      </c>
      <c r="AR3194" t="s">
        <v>26530</v>
      </c>
      <c r="AS3194" t="s">
        <v>46499</v>
      </c>
      <c r="AT3194" t="s">
        <v>46767</v>
      </c>
      <c r="AU3194">
        <v>9.15</v>
      </c>
      <c r="AV3194" t="s">
        <v>826</v>
      </c>
      <c r="AW3194" t="s">
        <v>208</v>
      </c>
      <c r="AX3194" t="s">
        <v>46897</v>
      </c>
    </row>
    <row r="3195" spans="1:50">
      <c r="A3195" s="1">
        <f>HYPERLINK("https://lsnyc.legalserver.org/matter/dynamic-profile/view/1883346","18-1883346")</f>
        <v>0</v>
      </c>
      <c r="B3195" t="s">
        <v>133</v>
      </c>
      <c r="C3195" t="s">
        <v>340</v>
      </c>
      <c r="D3195" t="s">
        <v>517</v>
      </c>
      <c r="F3195" t="s">
        <v>1282</v>
      </c>
      <c r="G3195" t="s">
        <v>5785</v>
      </c>
      <c r="H3195" t="s">
        <v>10879</v>
      </c>
      <c r="I3195" t="s">
        <v>17937</v>
      </c>
      <c r="J3195" t="s">
        <v>18892</v>
      </c>
      <c r="K3195">
        <v>10453</v>
      </c>
      <c r="L3195" t="s">
        <v>18958</v>
      </c>
      <c r="M3195" t="s">
        <v>18958</v>
      </c>
      <c r="N3195" t="s">
        <v>21341</v>
      </c>
      <c r="O3195" t="s">
        <v>26524</v>
      </c>
      <c r="P3195" t="s">
        <v>26564</v>
      </c>
      <c r="R3195" t="s">
        <v>26577</v>
      </c>
      <c r="S3195" t="s">
        <v>18959</v>
      </c>
      <c r="U3195" t="s">
        <v>26604</v>
      </c>
      <c r="W3195" t="s">
        <v>517</v>
      </c>
      <c r="X3195">
        <v>1288</v>
      </c>
      <c r="Y3195" t="s">
        <v>26650</v>
      </c>
      <c r="Z3195" t="s">
        <v>26668</v>
      </c>
      <c r="AB3195" t="s">
        <v>29442</v>
      </c>
      <c r="AC3195" t="s">
        <v>35443</v>
      </c>
      <c r="AD3195" t="s">
        <v>39503</v>
      </c>
      <c r="AE3195">
        <v>0</v>
      </c>
      <c r="AF3195" t="s">
        <v>45541</v>
      </c>
      <c r="AH3195">
        <v>3</v>
      </c>
      <c r="AI3195">
        <v>1</v>
      </c>
      <c r="AJ3195">
        <v>1</v>
      </c>
      <c r="AK3195">
        <v>112.47</v>
      </c>
      <c r="AN3195" t="s">
        <v>7439</v>
      </c>
      <c r="AO3195">
        <v>18512</v>
      </c>
      <c r="AU3195">
        <v>0.2</v>
      </c>
      <c r="AV3195" t="s">
        <v>666</v>
      </c>
      <c r="AW3195" t="s">
        <v>46871</v>
      </c>
    </row>
    <row r="3196" spans="1:50">
      <c r="A3196" s="1">
        <f>HYPERLINK("https://lsnyc.legalserver.org/matter/dynamic-profile/view/1883253","18-1883253")</f>
        <v>0</v>
      </c>
      <c r="B3196" t="s">
        <v>117</v>
      </c>
      <c r="C3196" t="s">
        <v>340</v>
      </c>
      <c r="D3196" t="s">
        <v>517</v>
      </c>
      <c r="F3196" t="s">
        <v>1328</v>
      </c>
      <c r="G3196" t="s">
        <v>6783</v>
      </c>
      <c r="H3196" t="s">
        <v>12161</v>
      </c>
      <c r="I3196" t="s">
        <v>17293</v>
      </c>
      <c r="J3196" t="s">
        <v>18894</v>
      </c>
      <c r="K3196">
        <v>11233</v>
      </c>
      <c r="L3196" t="s">
        <v>18958</v>
      </c>
      <c r="M3196" t="s">
        <v>18958</v>
      </c>
      <c r="N3196" t="s">
        <v>21342</v>
      </c>
      <c r="O3196" t="s">
        <v>26523</v>
      </c>
      <c r="P3196" t="s">
        <v>26560</v>
      </c>
      <c r="R3196" t="s">
        <v>26578</v>
      </c>
      <c r="S3196" t="s">
        <v>18959</v>
      </c>
      <c r="U3196" t="s">
        <v>26604</v>
      </c>
      <c r="V3196" t="s">
        <v>26610</v>
      </c>
      <c r="W3196" t="s">
        <v>517</v>
      </c>
      <c r="X3196">
        <v>957.15</v>
      </c>
      <c r="Y3196" t="s">
        <v>26652</v>
      </c>
      <c r="Z3196" t="s">
        <v>26530</v>
      </c>
      <c r="AB3196" t="s">
        <v>29443</v>
      </c>
      <c r="AC3196" t="s">
        <v>35444</v>
      </c>
      <c r="AD3196" t="s">
        <v>39504</v>
      </c>
      <c r="AE3196">
        <v>15</v>
      </c>
      <c r="AF3196" t="s">
        <v>20460</v>
      </c>
      <c r="AG3196" t="s">
        <v>19330</v>
      </c>
      <c r="AH3196">
        <v>25</v>
      </c>
      <c r="AI3196">
        <v>1</v>
      </c>
      <c r="AJ3196">
        <v>0</v>
      </c>
      <c r="AK3196">
        <v>72.65000000000001</v>
      </c>
      <c r="AN3196" t="s">
        <v>7439</v>
      </c>
      <c r="AO3196">
        <v>8820</v>
      </c>
      <c r="AP3196" t="s">
        <v>45780</v>
      </c>
      <c r="AU3196">
        <v>15.65</v>
      </c>
      <c r="AV3196" t="s">
        <v>828</v>
      </c>
      <c r="AW3196" t="s">
        <v>46829</v>
      </c>
    </row>
    <row r="3197" spans="1:50">
      <c r="A3197" s="1">
        <f>HYPERLINK("https://lsnyc.legalserver.org/matter/dynamic-profile/view/1882312","18-1882312")</f>
        <v>0</v>
      </c>
      <c r="B3197" t="s">
        <v>243</v>
      </c>
      <c r="C3197" t="s">
        <v>340</v>
      </c>
      <c r="D3197" t="s">
        <v>517</v>
      </c>
      <c r="F3197" t="s">
        <v>1083</v>
      </c>
      <c r="G3197" t="s">
        <v>5435</v>
      </c>
      <c r="H3197" t="s">
        <v>12080</v>
      </c>
      <c r="I3197" t="s">
        <v>17322</v>
      </c>
      <c r="J3197" t="s">
        <v>18894</v>
      </c>
      <c r="K3197">
        <v>11220</v>
      </c>
      <c r="L3197" t="s">
        <v>18958</v>
      </c>
      <c r="M3197" t="s">
        <v>18958</v>
      </c>
      <c r="O3197" t="s">
        <v>26534</v>
      </c>
      <c r="P3197" t="s">
        <v>26561</v>
      </c>
      <c r="R3197" t="s">
        <v>26578</v>
      </c>
      <c r="S3197" t="s">
        <v>18958</v>
      </c>
      <c r="U3197" t="s">
        <v>26604</v>
      </c>
      <c r="W3197" t="s">
        <v>517</v>
      </c>
      <c r="X3197">
        <v>0</v>
      </c>
      <c r="Y3197" t="s">
        <v>26652</v>
      </c>
      <c r="AB3197" t="s">
        <v>29444</v>
      </c>
      <c r="AD3197" t="s">
        <v>39505</v>
      </c>
      <c r="AE3197">
        <v>28</v>
      </c>
      <c r="AH3197">
        <v>0</v>
      </c>
      <c r="AI3197">
        <v>1</v>
      </c>
      <c r="AJ3197">
        <v>0</v>
      </c>
      <c r="AK3197">
        <v>81.45</v>
      </c>
      <c r="AN3197" t="s">
        <v>45581</v>
      </c>
      <c r="AO3197">
        <v>9888</v>
      </c>
      <c r="AU3197">
        <v>1.2</v>
      </c>
      <c r="AV3197" t="s">
        <v>517</v>
      </c>
      <c r="AW3197" t="s">
        <v>124</v>
      </c>
    </row>
    <row r="3198" spans="1:50">
      <c r="A3198" s="1">
        <f>HYPERLINK("https://lsnyc.legalserver.org/matter/dynamic-profile/view/1883341","18-1883341")</f>
        <v>0</v>
      </c>
      <c r="B3198" t="s">
        <v>81</v>
      </c>
      <c r="C3198" t="s">
        <v>340</v>
      </c>
      <c r="D3198" t="s">
        <v>517</v>
      </c>
      <c r="F3198" t="s">
        <v>2551</v>
      </c>
      <c r="G3198" t="s">
        <v>6784</v>
      </c>
      <c r="H3198" t="s">
        <v>12162</v>
      </c>
      <c r="I3198" t="s">
        <v>17626</v>
      </c>
      <c r="J3198" t="s">
        <v>18892</v>
      </c>
      <c r="K3198">
        <v>10462</v>
      </c>
      <c r="L3198" t="s">
        <v>18958</v>
      </c>
      <c r="M3198" t="s">
        <v>18958</v>
      </c>
      <c r="N3198" t="s">
        <v>21343</v>
      </c>
      <c r="O3198" t="s">
        <v>26523</v>
      </c>
      <c r="P3198" t="s">
        <v>26560</v>
      </c>
      <c r="R3198" t="s">
        <v>26579</v>
      </c>
      <c r="S3198" t="s">
        <v>18959</v>
      </c>
      <c r="U3198" t="s">
        <v>26604</v>
      </c>
      <c r="W3198" t="s">
        <v>517</v>
      </c>
      <c r="X3198">
        <v>1550</v>
      </c>
      <c r="Y3198" t="s">
        <v>26650</v>
      </c>
      <c r="Z3198" t="s">
        <v>26663</v>
      </c>
      <c r="AB3198" t="s">
        <v>27643</v>
      </c>
      <c r="AE3198">
        <v>7</v>
      </c>
      <c r="AF3198" t="s">
        <v>45545</v>
      </c>
      <c r="AG3198" t="s">
        <v>45561</v>
      </c>
      <c r="AH3198">
        <v>13</v>
      </c>
      <c r="AI3198">
        <v>1</v>
      </c>
      <c r="AJ3198">
        <v>0</v>
      </c>
      <c r="AK3198">
        <v>18.19</v>
      </c>
      <c r="AN3198" t="s">
        <v>7439</v>
      </c>
      <c r="AO3198">
        <v>2208</v>
      </c>
      <c r="AU3198">
        <v>10.65</v>
      </c>
      <c r="AV3198" t="s">
        <v>672</v>
      </c>
      <c r="AW3198" t="s">
        <v>336</v>
      </c>
    </row>
    <row r="3199" spans="1:50">
      <c r="A3199" s="1">
        <f>HYPERLINK("https://lsnyc.legalserver.org/matter/dynamic-profile/view/1883323","18-1883323")</f>
        <v>0</v>
      </c>
      <c r="B3199" t="s">
        <v>191</v>
      </c>
      <c r="C3199" t="s">
        <v>340</v>
      </c>
      <c r="D3199" t="s">
        <v>517</v>
      </c>
      <c r="F3199" t="s">
        <v>1733</v>
      </c>
      <c r="G3199" t="s">
        <v>6785</v>
      </c>
      <c r="H3199" t="s">
        <v>12163</v>
      </c>
      <c r="I3199" t="s">
        <v>17307</v>
      </c>
      <c r="J3199" t="s">
        <v>18893</v>
      </c>
      <c r="K3199">
        <v>10027</v>
      </c>
      <c r="L3199" t="s">
        <v>18958</v>
      </c>
      <c r="M3199" t="s">
        <v>18958</v>
      </c>
      <c r="N3199" t="s">
        <v>21344</v>
      </c>
      <c r="O3199" t="s">
        <v>26523</v>
      </c>
      <c r="P3199" t="s">
        <v>26560</v>
      </c>
      <c r="R3199" t="s">
        <v>26580</v>
      </c>
      <c r="S3199" t="s">
        <v>18959</v>
      </c>
      <c r="U3199" t="s">
        <v>26605</v>
      </c>
      <c r="V3199" t="s">
        <v>26610</v>
      </c>
      <c r="W3199" t="s">
        <v>517</v>
      </c>
      <c r="X3199">
        <v>915</v>
      </c>
      <c r="Y3199" t="s">
        <v>26651</v>
      </c>
      <c r="Z3199" t="s">
        <v>26664</v>
      </c>
      <c r="AB3199" t="s">
        <v>29445</v>
      </c>
      <c r="AD3199" t="s">
        <v>39506</v>
      </c>
      <c r="AE3199">
        <v>10</v>
      </c>
      <c r="AF3199" t="s">
        <v>20460</v>
      </c>
      <c r="AG3199" t="s">
        <v>19330</v>
      </c>
      <c r="AH3199">
        <v>4</v>
      </c>
      <c r="AI3199">
        <v>1</v>
      </c>
      <c r="AJ3199">
        <v>0</v>
      </c>
      <c r="AK3199">
        <v>75.52</v>
      </c>
      <c r="AN3199" t="s">
        <v>7439</v>
      </c>
      <c r="AO3199">
        <v>9168</v>
      </c>
      <c r="AU3199">
        <v>6.5</v>
      </c>
      <c r="AV3199" t="s">
        <v>574</v>
      </c>
      <c r="AW3199" t="s">
        <v>314</v>
      </c>
    </row>
    <row r="3200" spans="1:50">
      <c r="A3200" s="1">
        <f>HYPERLINK("https://lsnyc.legalserver.org/matter/dynamic-profile/view/1883246","18-1883246")</f>
        <v>0</v>
      </c>
      <c r="B3200" t="s">
        <v>153</v>
      </c>
      <c r="C3200" t="s">
        <v>340</v>
      </c>
      <c r="D3200" t="s">
        <v>517</v>
      </c>
      <c r="F3200" t="s">
        <v>2552</v>
      </c>
      <c r="G3200" t="s">
        <v>6786</v>
      </c>
      <c r="H3200" t="s">
        <v>12164</v>
      </c>
      <c r="I3200" t="s">
        <v>17375</v>
      </c>
      <c r="J3200" t="s">
        <v>18902</v>
      </c>
      <c r="K3200">
        <v>10302</v>
      </c>
      <c r="L3200" t="s">
        <v>18958</v>
      </c>
      <c r="M3200" t="s">
        <v>18958</v>
      </c>
      <c r="N3200" t="s">
        <v>21345</v>
      </c>
      <c r="O3200" t="s">
        <v>26524</v>
      </c>
      <c r="P3200" t="s">
        <v>26560</v>
      </c>
      <c r="R3200" t="s">
        <v>26590</v>
      </c>
      <c r="S3200" t="s">
        <v>18959</v>
      </c>
      <c r="U3200" t="s">
        <v>26604</v>
      </c>
      <c r="V3200" t="s">
        <v>26610</v>
      </c>
      <c r="W3200" t="s">
        <v>517</v>
      </c>
      <c r="X3200">
        <v>1500</v>
      </c>
      <c r="Y3200" t="s">
        <v>26654</v>
      </c>
      <c r="Z3200" t="s">
        <v>26668</v>
      </c>
      <c r="AB3200" t="s">
        <v>29446</v>
      </c>
      <c r="AE3200">
        <v>2</v>
      </c>
      <c r="AF3200" t="s">
        <v>45547</v>
      </c>
      <c r="AH3200">
        <v>2</v>
      </c>
      <c r="AI3200">
        <v>1</v>
      </c>
      <c r="AJ3200">
        <v>4</v>
      </c>
      <c r="AK3200">
        <v>0</v>
      </c>
      <c r="AO3200">
        <v>0</v>
      </c>
      <c r="AP3200" t="s">
        <v>45783</v>
      </c>
      <c r="AU3200">
        <v>32.35</v>
      </c>
      <c r="AV3200" t="s">
        <v>807</v>
      </c>
      <c r="AW3200" t="s">
        <v>210</v>
      </c>
    </row>
    <row r="3201" spans="1:50">
      <c r="A3201" s="1">
        <f>HYPERLINK("https://lsnyc.legalserver.org/matter/dynamic-profile/view/1883270","18-1883270")</f>
        <v>0</v>
      </c>
      <c r="B3201" t="s">
        <v>152</v>
      </c>
      <c r="C3201" t="s">
        <v>340</v>
      </c>
      <c r="D3201" t="s">
        <v>517</v>
      </c>
      <c r="F3201" t="s">
        <v>1738</v>
      </c>
      <c r="G3201" t="s">
        <v>6787</v>
      </c>
      <c r="H3201" t="s">
        <v>12165</v>
      </c>
      <c r="I3201" t="s">
        <v>17283</v>
      </c>
      <c r="J3201" t="s">
        <v>18892</v>
      </c>
      <c r="K3201">
        <v>10467</v>
      </c>
      <c r="L3201" t="s">
        <v>18958</v>
      </c>
      <c r="M3201" t="s">
        <v>18958</v>
      </c>
      <c r="N3201" t="s">
        <v>21346</v>
      </c>
      <c r="O3201" t="s">
        <v>26523</v>
      </c>
      <c r="P3201" t="s">
        <v>26560</v>
      </c>
      <c r="R3201" t="s">
        <v>26579</v>
      </c>
      <c r="S3201" t="s">
        <v>18959</v>
      </c>
      <c r="U3201" t="s">
        <v>26604</v>
      </c>
      <c r="V3201" t="s">
        <v>26610</v>
      </c>
      <c r="W3201" t="s">
        <v>517</v>
      </c>
      <c r="X3201">
        <v>983.84</v>
      </c>
      <c r="Y3201" t="s">
        <v>26650</v>
      </c>
      <c r="Z3201" t="s">
        <v>26655</v>
      </c>
      <c r="AB3201" t="s">
        <v>29447</v>
      </c>
      <c r="AD3201" t="s">
        <v>39507</v>
      </c>
      <c r="AE3201">
        <v>54</v>
      </c>
      <c r="AF3201" t="s">
        <v>45541</v>
      </c>
      <c r="AG3201" t="s">
        <v>45559</v>
      </c>
      <c r="AH3201">
        <v>9</v>
      </c>
      <c r="AI3201">
        <v>1</v>
      </c>
      <c r="AJ3201">
        <v>0</v>
      </c>
      <c r="AK3201">
        <v>148.57</v>
      </c>
      <c r="AN3201" t="s">
        <v>7439</v>
      </c>
      <c r="AO3201">
        <v>18036</v>
      </c>
      <c r="AP3201" t="s">
        <v>45712</v>
      </c>
      <c r="AU3201">
        <v>15.7</v>
      </c>
      <c r="AV3201" t="s">
        <v>788</v>
      </c>
      <c r="AW3201" t="s">
        <v>46832</v>
      </c>
    </row>
    <row r="3202" spans="1:50">
      <c r="A3202" s="1">
        <f>HYPERLINK("https://lsnyc.legalserver.org/matter/dynamic-profile/view/1883230","18-1883230")</f>
        <v>0</v>
      </c>
      <c r="B3202" t="s">
        <v>68</v>
      </c>
      <c r="C3202" t="s">
        <v>340</v>
      </c>
      <c r="D3202" t="s">
        <v>517</v>
      </c>
      <c r="F3202" t="s">
        <v>1300</v>
      </c>
      <c r="G3202" t="s">
        <v>5783</v>
      </c>
      <c r="H3202" t="s">
        <v>12166</v>
      </c>
      <c r="I3202" t="s">
        <v>17307</v>
      </c>
      <c r="J3202" t="s">
        <v>18892</v>
      </c>
      <c r="K3202">
        <v>10468</v>
      </c>
      <c r="L3202" t="s">
        <v>18958</v>
      </c>
      <c r="M3202" t="s">
        <v>18958</v>
      </c>
      <c r="N3202" t="s">
        <v>21347</v>
      </c>
      <c r="O3202" t="s">
        <v>26523</v>
      </c>
      <c r="P3202" t="s">
        <v>26560</v>
      </c>
      <c r="R3202" t="s">
        <v>26579</v>
      </c>
      <c r="S3202" t="s">
        <v>18959</v>
      </c>
      <c r="U3202" t="s">
        <v>26604</v>
      </c>
      <c r="V3202" t="s">
        <v>26610</v>
      </c>
      <c r="W3202" t="s">
        <v>517</v>
      </c>
      <c r="X3202">
        <v>1367.63</v>
      </c>
      <c r="Y3202" t="s">
        <v>26650</v>
      </c>
      <c r="Z3202" t="s">
        <v>26664</v>
      </c>
      <c r="AB3202" t="s">
        <v>27286</v>
      </c>
      <c r="AC3202" t="s">
        <v>35445</v>
      </c>
      <c r="AD3202" t="s">
        <v>39508</v>
      </c>
      <c r="AE3202">
        <v>36</v>
      </c>
      <c r="AF3202" t="s">
        <v>45541</v>
      </c>
      <c r="AG3202" t="s">
        <v>45557</v>
      </c>
      <c r="AH3202">
        <v>9</v>
      </c>
      <c r="AI3202">
        <v>1</v>
      </c>
      <c r="AJ3202">
        <v>2</v>
      </c>
      <c r="AK3202">
        <v>5.77</v>
      </c>
      <c r="AN3202" t="s">
        <v>7439</v>
      </c>
      <c r="AO3202">
        <v>1200</v>
      </c>
      <c r="AQ3202" t="s">
        <v>46362</v>
      </c>
      <c r="AR3202" t="s">
        <v>46382</v>
      </c>
      <c r="AS3202" t="s">
        <v>46499</v>
      </c>
      <c r="AT3202" t="s">
        <v>46735</v>
      </c>
      <c r="AU3202">
        <v>8.65</v>
      </c>
      <c r="AV3202" t="s">
        <v>720</v>
      </c>
      <c r="AW3202" t="s">
        <v>334</v>
      </c>
    </row>
    <row r="3203" spans="1:50">
      <c r="A3203" s="1">
        <f>HYPERLINK("https://lsnyc.legalserver.org/matter/dynamic-profile/view/1883248","18-1883248")</f>
        <v>0</v>
      </c>
      <c r="B3203" t="s">
        <v>141</v>
      </c>
      <c r="C3203" t="s">
        <v>340</v>
      </c>
      <c r="D3203" t="s">
        <v>517</v>
      </c>
      <c r="F3203" t="s">
        <v>1233</v>
      </c>
      <c r="G3203" t="s">
        <v>6788</v>
      </c>
      <c r="H3203" t="s">
        <v>12167</v>
      </c>
      <c r="I3203" t="s">
        <v>17344</v>
      </c>
      <c r="J3203" t="s">
        <v>18900</v>
      </c>
      <c r="K3203">
        <v>11355</v>
      </c>
      <c r="L3203" t="s">
        <v>18958</v>
      </c>
      <c r="M3203" t="s">
        <v>18958</v>
      </c>
      <c r="N3203" t="s">
        <v>21348</v>
      </c>
      <c r="O3203" t="s">
        <v>26524</v>
      </c>
      <c r="P3203" t="s">
        <v>26560</v>
      </c>
      <c r="R3203" t="s">
        <v>26578</v>
      </c>
      <c r="S3203" t="s">
        <v>18959</v>
      </c>
      <c r="U3203" t="s">
        <v>26604</v>
      </c>
      <c r="V3203" t="s">
        <v>26610</v>
      </c>
      <c r="W3203" t="s">
        <v>517</v>
      </c>
      <c r="X3203">
        <v>1227.86</v>
      </c>
      <c r="Y3203" t="s">
        <v>26653</v>
      </c>
      <c r="Z3203" t="s">
        <v>26664</v>
      </c>
      <c r="AB3203" t="s">
        <v>29448</v>
      </c>
      <c r="AC3203" t="s">
        <v>35446</v>
      </c>
      <c r="AD3203" t="s">
        <v>39509</v>
      </c>
      <c r="AE3203">
        <v>86</v>
      </c>
      <c r="AF3203" t="s">
        <v>45541</v>
      </c>
      <c r="AG3203" t="s">
        <v>19330</v>
      </c>
      <c r="AH3203">
        <v>21</v>
      </c>
      <c r="AI3203">
        <v>1</v>
      </c>
      <c r="AJ3203">
        <v>0</v>
      </c>
      <c r="AK3203">
        <v>98.84999999999999</v>
      </c>
      <c r="AN3203" t="s">
        <v>45581</v>
      </c>
      <c r="AO3203">
        <v>12000</v>
      </c>
      <c r="AU3203">
        <v>43.2</v>
      </c>
      <c r="AV3203" t="s">
        <v>839</v>
      </c>
      <c r="AW3203" t="s">
        <v>161</v>
      </c>
    </row>
    <row r="3204" spans="1:50">
      <c r="A3204" s="1">
        <f>HYPERLINK("https://lsnyc.legalserver.org/matter/dynamic-profile/view/1883249","18-1883249")</f>
        <v>0</v>
      </c>
      <c r="B3204" t="s">
        <v>253</v>
      </c>
      <c r="C3204" t="s">
        <v>340</v>
      </c>
      <c r="D3204" t="s">
        <v>517</v>
      </c>
      <c r="F3204" t="s">
        <v>1111</v>
      </c>
      <c r="G3204" t="s">
        <v>6789</v>
      </c>
      <c r="H3204" t="s">
        <v>12168</v>
      </c>
      <c r="I3204" t="s">
        <v>17424</v>
      </c>
      <c r="J3204" t="s">
        <v>18892</v>
      </c>
      <c r="K3204">
        <v>10468</v>
      </c>
      <c r="L3204" t="s">
        <v>18958</v>
      </c>
      <c r="M3204" t="s">
        <v>18958</v>
      </c>
      <c r="N3204" t="s">
        <v>21349</v>
      </c>
      <c r="O3204" t="s">
        <v>26523</v>
      </c>
      <c r="P3204" t="s">
        <v>26560</v>
      </c>
      <c r="R3204" t="s">
        <v>26579</v>
      </c>
      <c r="S3204" t="s">
        <v>18959</v>
      </c>
      <c r="U3204" t="s">
        <v>26604</v>
      </c>
      <c r="V3204" t="s">
        <v>26610</v>
      </c>
      <c r="W3204" t="s">
        <v>517</v>
      </c>
      <c r="X3204">
        <v>1687.31</v>
      </c>
      <c r="Y3204" t="s">
        <v>26650</v>
      </c>
      <c r="Z3204" t="s">
        <v>26668</v>
      </c>
      <c r="AB3204" t="s">
        <v>29449</v>
      </c>
      <c r="AC3204" t="s">
        <v>35447</v>
      </c>
      <c r="AD3204" t="s">
        <v>39510</v>
      </c>
      <c r="AE3204">
        <v>0</v>
      </c>
      <c r="AF3204" t="s">
        <v>45541</v>
      </c>
      <c r="AG3204" t="s">
        <v>19330</v>
      </c>
      <c r="AH3204">
        <v>6</v>
      </c>
      <c r="AI3204">
        <v>2</v>
      </c>
      <c r="AJ3204">
        <v>3</v>
      </c>
      <c r="AK3204">
        <v>113.12</v>
      </c>
      <c r="AN3204" t="s">
        <v>7439</v>
      </c>
      <c r="AO3204">
        <v>33280</v>
      </c>
      <c r="AQ3204" t="s">
        <v>46362</v>
      </c>
      <c r="AR3204" t="s">
        <v>46379</v>
      </c>
      <c r="AS3204" t="s">
        <v>46499</v>
      </c>
      <c r="AT3204" t="s">
        <v>46768</v>
      </c>
      <c r="AU3204">
        <v>21.5</v>
      </c>
      <c r="AV3204" t="s">
        <v>758</v>
      </c>
      <c r="AW3204" t="s">
        <v>46847</v>
      </c>
    </row>
    <row r="3205" spans="1:50">
      <c r="A3205" s="1">
        <f>HYPERLINK("https://lsnyc.legalserver.org/matter/dynamic-profile/view/1883368","18-1883368")</f>
        <v>0</v>
      </c>
      <c r="B3205" t="s">
        <v>75</v>
      </c>
      <c r="C3205" t="s">
        <v>340</v>
      </c>
      <c r="D3205" t="s">
        <v>517</v>
      </c>
      <c r="F3205" t="s">
        <v>1288</v>
      </c>
      <c r="G3205" t="s">
        <v>6106</v>
      </c>
      <c r="H3205" t="s">
        <v>12169</v>
      </c>
      <c r="I3205" t="s">
        <v>17349</v>
      </c>
      <c r="J3205" t="s">
        <v>18892</v>
      </c>
      <c r="K3205">
        <v>10453</v>
      </c>
      <c r="L3205" t="s">
        <v>18958</v>
      </c>
      <c r="M3205" t="s">
        <v>18958</v>
      </c>
      <c r="O3205" t="s">
        <v>26526</v>
      </c>
      <c r="P3205" t="s">
        <v>26560</v>
      </c>
      <c r="R3205" t="s">
        <v>26578</v>
      </c>
      <c r="S3205" t="s">
        <v>18958</v>
      </c>
      <c r="U3205" t="s">
        <v>26604</v>
      </c>
      <c r="W3205" t="s">
        <v>517</v>
      </c>
      <c r="X3205">
        <v>1497.33</v>
      </c>
      <c r="Y3205" t="s">
        <v>26650</v>
      </c>
      <c r="Z3205" t="s">
        <v>26661</v>
      </c>
      <c r="AB3205" t="s">
        <v>29450</v>
      </c>
      <c r="AC3205" t="s">
        <v>35448</v>
      </c>
      <c r="AD3205" t="s">
        <v>39511</v>
      </c>
      <c r="AE3205">
        <v>44</v>
      </c>
      <c r="AF3205" t="s">
        <v>45541</v>
      </c>
      <c r="AG3205" t="s">
        <v>45558</v>
      </c>
      <c r="AH3205">
        <v>8</v>
      </c>
      <c r="AI3205">
        <v>2</v>
      </c>
      <c r="AJ3205">
        <v>2</v>
      </c>
      <c r="AK3205">
        <v>61.39</v>
      </c>
      <c r="AN3205" t="s">
        <v>7439</v>
      </c>
      <c r="AO3205">
        <v>15408</v>
      </c>
      <c r="AU3205">
        <v>175.3</v>
      </c>
      <c r="AV3205" t="s">
        <v>772</v>
      </c>
      <c r="AW3205" t="s">
        <v>98</v>
      </c>
    </row>
    <row r="3206" spans="1:50">
      <c r="A3206" s="1">
        <f>HYPERLINK("https://lsnyc.legalserver.org/matter/dynamic-profile/view/1883225","18-1883225")</f>
        <v>0</v>
      </c>
      <c r="B3206" t="s">
        <v>50</v>
      </c>
      <c r="C3206" t="s">
        <v>340</v>
      </c>
      <c r="D3206" t="s">
        <v>517</v>
      </c>
      <c r="F3206" t="s">
        <v>881</v>
      </c>
      <c r="G3206" t="s">
        <v>5147</v>
      </c>
      <c r="H3206" t="s">
        <v>11753</v>
      </c>
      <c r="I3206" t="s">
        <v>17284</v>
      </c>
      <c r="J3206" t="s">
        <v>18892</v>
      </c>
      <c r="K3206">
        <v>10467</v>
      </c>
      <c r="L3206" t="s">
        <v>18958</v>
      </c>
      <c r="M3206" t="s">
        <v>18958</v>
      </c>
      <c r="N3206" t="s">
        <v>21350</v>
      </c>
      <c r="O3206" t="s">
        <v>26523</v>
      </c>
      <c r="P3206" t="s">
        <v>26560</v>
      </c>
      <c r="R3206" t="s">
        <v>26579</v>
      </c>
      <c r="S3206" t="s">
        <v>18959</v>
      </c>
      <c r="U3206" t="s">
        <v>26604</v>
      </c>
      <c r="V3206" t="s">
        <v>26610</v>
      </c>
      <c r="W3206" t="s">
        <v>517</v>
      </c>
      <c r="X3206">
        <v>1124.34</v>
      </c>
      <c r="Y3206" t="s">
        <v>26650</v>
      </c>
      <c r="Z3206" t="s">
        <v>26664</v>
      </c>
      <c r="AA3206" t="s">
        <v>26688</v>
      </c>
      <c r="AB3206" t="s">
        <v>29451</v>
      </c>
      <c r="AD3206" t="s">
        <v>39512</v>
      </c>
      <c r="AE3206">
        <v>49</v>
      </c>
      <c r="AF3206" t="s">
        <v>45550</v>
      </c>
      <c r="AH3206">
        <v>0</v>
      </c>
      <c r="AI3206">
        <v>2</v>
      </c>
      <c r="AJ3206">
        <v>1</v>
      </c>
      <c r="AK3206">
        <v>161.69</v>
      </c>
      <c r="AN3206" t="s">
        <v>45581</v>
      </c>
      <c r="AO3206">
        <v>33600</v>
      </c>
      <c r="AP3206" t="s">
        <v>45654</v>
      </c>
      <c r="AR3206" t="s">
        <v>46381</v>
      </c>
      <c r="AS3206" t="s">
        <v>46499</v>
      </c>
      <c r="AT3206" t="s">
        <v>46527</v>
      </c>
      <c r="AU3206">
        <v>3.25</v>
      </c>
      <c r="AV3206" t="s">
        <v>718</v>
      </c>
      <c r="AW3206" t="s">
        <v>334</v>
      </c>
    </row>
    <row r="3207" spans="1:50">
      <c r="A3207" s="1">
        <f>HYPERLINK("https://lsnyc.legalserver.org/matter/dynamic-profile/view/1883266","18-1883266")</f>
        <v>0</v>
      </c>
      <c r="B3207" t="s">
        <v>218</v>
      </c>
      <c r="C3207" t="s">
        <v>340</v>
      </c>
      <c r="D3207" t="s">
        <v>517</v>
      </c>
      <c r="F3207" t="s">
        <v>1133</v>
      </c>
      <c r="G3207" t="s">
        <v>6790</v>
      </c>
      <c r="H3207" t="s">
        <v>12026</v>
      </c>
      <c r="I3207" t="s">
        <v>17436</v>
      </c>
      <c r="J3207" t="s">
        <v>18893</v>
      </c>
      <c r="K3207">
        <v>10031</v>
      </c>
      <c r="L3207" t="s">
        <v>18958</v>
      </c>
      <c r="M3207" t="s">
        <v>18958</v>
      </c>
      <c r="P3207" t="s">
        <v>26562</v>
      </c>
      <c r="R3207" t="s">
        <v>26578</v>
      </c>
      <c r="S3207" t="s">
        <v>18959</v>
      </c>
      <c r="U3207" t="s">
        <v>26604</v>
      </c>
      <c r="W3207" t="s">
        <v>517</v>
      </c>
      <c r="X3207">
        <v>818</v>
      </c>
      <c r="Y3207" t="s">
        <v>26651</v>
      </c>
      <c r="Z3207" t="s">
        <v>26661</v>
      </c>
      <c r="AB3207" t="s">
        <v>29452</v>
      </c>
      <c r="AC3207" t="s">
        <v>35449</v>
      </c>
      <c r="AD3207" t="s">
        <v>39513</v>
      </c>
      <c r="AE3207">
        <v>0</v>
      </c>
      <c r="AF3207" t="s">
        <v>45541</v>
      </c>
      <c r="AG3207" t="s">
        <v>19330</v>
      </c>
      <c r="AH3207">
        <v>0</v>
      </c>
      <c r="AI3207">
        <v>4</v>
      </c>
      <c r="AJ3207">
        <v>0</v>
      </c>
      <c r="AK3207">
        <v>63.11</v>
      </c>
      <c r="AN3207" t="s">
        <v>45581</v>
      </c>
      <c r="AO3207">
        <v>15840</v>
      </c>
      <c r="AU3207">
        <v>41.5</v>
      </c>
      <c r="AV3207" t="s">
        <v>720</v>
      </c>
      <c r="AW3207" t="s">
        <v>46840</v>
      </c>
    </row>
    <row r="3208" spans="1:50">
      <c r="A3208" s="1">
        <f>HYPERLINK("https://lsnyc.legalserver.org/matter/dynamic-profile/view/1883303","18-1883303")</f>
        <v>0</v>
      </c>
      <c r="B3208" t="s">
        <v>142</v>
      </c>
      <c r="C3208" t="s">
        <v>340</v>
      </c>
      <c r="D3208" t="s">
        <v>517</v>
      </c>
      <c r="F3208" t="s">
        <v>2553</v>
      </c>
      <c r="G3208" t="s">
        <v>6791</v>
      </c>
      <c r="H3208" t="s">
        <v>12170</v>
      </c>
      <c r="I3208" t="s">
        <v>17416</v>
      </c>
      <c r="J3208" t="s">
        <v>18918</v>
      </c>
      <c r="K3208">
        <v>11416</v>
      </c>
      <c r="L3208" t="s">
        <v>18958</v>
      </c>
      <c r="M3208" t="s">
        <v>18958</v>
      </c>
      <c r="N3208" t="s">
        <v>21351</v>
      </c>
      <c r="O3208" t="s">
        <v>26523</v>
      </c>
      <c r="P3208" t="s">
        <v>26560</v>
      </c>
      <c r="R3208" t="s">
        <v>26584</v>
      </c>
      <c r="S3208" t="s">
        <v>18959</v>
      </c>
      <c r="U3208" t="s">
        <v>26604</v>
      </c>
      <c r="V3208" t="s">
        <v>26610</v>
      </c>
      <c r="W3208" t="s">
        <v>517</v>
      </c>
      <c r="X3208">
        <v>1515</v>
      </c>
      <c r="Y3208" t="s">
        <v>26653</v>
      </c>
      <c r="Z3208" t="s">
        <v>26664</v>
      </c>
      <c r="AB3208" t="s">
        <v>29453</v>
      </c>
      <c r="AC3208" t="s">
        <v>35450</v>
      </c>
      <c r="AD3208" t="s">
        <v>39514</v>
      </c>
      <c r="AE3208">
        <v>2</v>
      </c>
      <c r="AF3208" t="s">
        <v>45547</v>
      </c>
      <c r="AG3208" t="s">
        <v>19330</v>
      </c>
      <c r="AH3208">
        <v>4</v>
      </c>
      <c r="AI3208">
        <v>2</v>
      </c>
      <c r="AJ3208">
        <v>2</v>
      </c>
      <c r="AK3208">
        <v>62.15</v>
      </c>
      <c r="AN3208" t="s">
        <v>7439</v>
      </c>
      <c r="AO3208">
        <v>15600</v>
      </c>
      <c r="AQ3208" t="s">
        <v>46359</v>
      </c>
      <c r="AR3208" t="s">
        <v>46379</v>
      </c>
      <c r="AS3208" t="s">
        <v>46499</v>
      </c>
      <c r="AT3208" t="s">
        <v>46607</v>
      </c>
      <c r="AU3208">
        <v>19.15</v>
      </c>
      <c r="AV3208" t="s">
        <v>780</v>
      </c>
      <c r="AW3208" t="s">
        <v>161</v>
      </c>
    </row>
    <row r="3209" spans="1:50">
      <c r="A3209" s="1">
        <f>HYPERLINK("https://lsnyc.legalserver.org/matter/dynamic-profile/view/1883353","18-1883353")</f>
        <v>0</v>
      </c>
      <c r="B3209" t="s">
        <v>199</v>
      </c>
      <c r="C3209" t="s">
        <v>340</v>
      </c>
      <c r="D3209" t="s">
        <v>517</v>
      </c>
      <c r="F3209" t="s">
        <v>2443</v>
      </c>
      <c r="G3209" t="s">
        <v>5693</v>
      </c>
      <c r="H3209" t="s">
        <v>11395</v>
      </c>
      <c r="I3209">
        <v>32</v>
      </c>
      <c r="J3209" t="s">
        <v>18894</v>
      </c>
      <c r="K3209">
        <v>11238</v>
      </c>
      <c r="L3209" t="s">
        <v>18958</v>
      </c>
      <c r="M3209" t="s">
        <v>18958</v>
      </c>
      <c r="N3209" t="s">
        <v>21352</v>
      </c>
      <c r="O3209" t="s">
        <v>26523</v>
      </c>
      <c r="P3209" t="s">
        <v>26560</v>
      </c>
      <c r="R3209" t="s">
        <v>26578</v>
      </c>
      <c r="S3209" t="s">
        <v>18959</v>
      </c>
      <c r="U3209" t="s">
        <v>26604</v>
      </c>
      <c r="V3209" t="s">
        <v>26609</v>
      </c>
      <c r="W3209" t="s">
        <v>517</v>
      </c>
      <c r="X3209">
        <v>892</v>
      </c>
      <c r="Y3209" t="s">
        <v>26652</v>
      </c>
      <c r="Z3209" t="s">
        <v>26659</v>
      </c>
      <c r="AB3209" t="s">
        <v>29203</v>
      </c>
      <c r="AD3209" t="s">
        <v>39261</v>
      </c>
      <c r="AE3209">
        <v>44</v>
      </c>
      <c r="AF3209" t="s">
        <v>45541</v>
      </c>
      <c r="AG3209" t="s">
        <v>19330</v>
      </c>
      <c r="AH3209">
        <v>13</v>
      </c>
      <c r="AI3209">
        <v>1</v>
      </c>
      <c r="AJ3209">
        <v>2</v>
      </c>
      <c r="AK3209">
        <v>192.49</v>
      </c>
      <c r="AN3209" t="s">
        <v>7439</v>
      </c>
      <c r="AO3209">
        <v>40000</v>
      </c>
      <c r="AU3209">
        <v>26.25</v>
      </c>
      <c r="AV3209" t="s">
        <v>729</v>
      </c>
      <c r="AW3209" t="s">
        <v>281</v>
      </c>
      <c r="AX3209" t="s">
        <v>46897</v>
      </c>
    </row>
    <row r="3210" spans="1:50">
      <c r="A3210" s="1">
        <f>HYPERLINK("https://lsnyc.legalserver.org/matter/dynamic-profile/view/1883260","18-1883260")</f>
        <v>0</v>
      </c>
      <c r="B3210" t="s">
        <v>103</v>
      </c>
      <c r="C3210" t="s">
        <v>340</v>
      </c>
      <c r="D3210" t="s">
        <v>517</v>
      </c>
      <c r="F3210" t="s">
        <v>2111</v>
      </c>
      <c r="G3210" t="s">
        <v>2564</v>
      </c>
      <c r="H3210" t="s">
        <v>12171</v>
      </c>
      <c r="I3210">
        <v>2</v>
      </c>
      <c r="J3210" t="s">
        <v>18902</v>
      </c>
      <c r="K3210">
        <v>10303</v>
      </c>
      <c r="L3210" t="s">
        <v>18958</v>
      </c>
      <c r="M3210" t="s">
        <v>18958</v>
      </c>
      <c r="N3210" t="s">
        <v>21353</v>
      </c>
      <c r="O3210" t="s">
        <v>26524</v>
      </c>
      <c r="P3210" t="s">
        <v>26560</v>
      </c>
      <c r="R3210" t="s">
        <v>26590</v>
      </c>
      <c r="S3210" t="s">
        <v>18959</v>
      </c>
      <c r="U3210" t="s">
        <v>26604</v>
      </c>
      <c r="V3210" t="s">
        <v>26610</v>
      </c>
      <c r="W3210" t="s">
        <v>517</v>
      </c>
      <c r="X3210">
        <v>2322</v>
      </c>
      <c r="Y3210" t="s">
        <v>26654</v>
      </c>
      <c r="Z3210" t="s">
        <v>26668</v>
      </c>
      <c r="AB3210" t="s">
        <v>29454</v>
      </c>
      <c r="AD3210" t="s">
        <v>39515</v>
      </c>
      <c r="AE3210">
        <v>2</v>
      </c>
      <c r="AF3210" t="s">
        <v>45547</v>
      </c>
      <c r="AG3210" t="s">
        <v>45556</v>
      </c>
      <c r="AH3210">
        <v>5</v>
      </c>
      <c r="AI3210">
        <v>1</v>
      </c>
      <c r="AJ3210">
        <v>7</v>
      </c>
      <c r="AK3210">
        <v>40.54</v>
      </c>
      <c r="AN3210" t="s">
        <v>7439</v>
      </c>
      <c r="AO3210">
        <v>17182</v>
      </c>
      <c r="AU3210">
        <v>10.5</v>
      </c>
      <c r="AV3210" t="s">
        <v>839</v>
      </c>
      <c r="AW3210" t="s">
        <v>210</v>
      </c>
    </row>
    <row r="3211" spans="1:50">
      <c r="A3211" s="1">
        <f>HYPERLINK("https://lsnyc.legalserver.org/matter/dynamic-profile/view/1883278","18-1883278")</f>
        <v>0</v>
      </c>
      <c r="B3211" t="s">
        <v>91</v>
      </c>
      <c r="C3211" t="s">
        <v>340</v>
      </c>
      <c r="D3211" t="s">
        <v>517</v>
      </c>
      <c r="F3211" t="s">
        <v>2554</v>
      </c>
      <c r="G3211" t="s">
        <v>6792</v>
      </c>
      <c r="H3211" t="s">
        <v>12172</v>
      </c>
      <c r="J3211" t="s">
        <v>18910</v>
      </c>
      <c r="K3211">
        <v>11420</v>
      </c>
      <c r="L3211" t="s">
        <v>18958</v>
      </c>
      <c r="M3211" t="s">
        <v>18958</v>
      </c>
      <c r="N3211" t="s">
        <v>21354</v>
      </c>
      <c r="O3211" t="s">
        <v>26524</v>
      </c>
      <c r="P3211" t="s">
        <v>26564</v>
      </c>
      <c r="R3211" t="s">
        <v>26584</v>
      </c>
      <c r="S3211" t="s">
        <v>18959</v>
      </c>
      <c r="U3211" t="s">
        <v>26604</v>
      </c>
      <c r="V3211" t="s">
        <v>26610</v>
      </c>
      <c r="W3211" t="s">
        <v>517</v>
      </c>
      <c r="X3211">
        <v>2700</v>
      </c>
      <c r="Y3211" t="s">
        <v>26653</v>
      </c>
      <c r="Z3211" t="s">
        <v>26664</v>
      </c>
      <c r="AB3211" t="s">
        <v>29455</v>
      </c>
      <c r="AD3211" t="s">
        <v>39516</v>
      </c>
      <c r="AE3211">
        <v>1</v>
      </c>
      <c r="AF3211" t="s">
        <v>45547</v>
      </c>
      <c r="AG3211" t="s">
        <v>19330</v>
      </c>
      <c r="AH3211">
        <v>14</v>
      </c>
      <c r="AI3211">
        <v>1</v>
      </c>
      <c r="AJ3211">
        <v>0</v>
      </c>
      <c r="AK3211">
        <v>180.76</v>
      </c>
      <c r="AN3211" t="s">
        <v>7439</v>
      </c>
      <c r="AO3211">
        <v>21944</v>
      </c>
      <c r="AU3211">
        <v>1.1</v>
      </c>
      <c r="AV3211" t="s">
        <v>754</v>
      </c>
      <c r="AW3211" t="s">
        <v>161</v>
      </c>
    </row>
    <row r="3212" spans="1:50">
      <c r="A3212" s="1">
        <f>HYPERLINK("https://lsnyc.legalserver.org/matter/dynamic-profile/view/1883290","18-1883290")</f>
        <v>0</v>
      </c>
      <c r="B3212" t="s">
        <v>114</v>
      </c>
      <c r="C3212" t="s">
        <v>340</v>
      </c>
      <c r="D3212" t="s">
        <v>517</v>
      </c>
      <c r="F3212" t="s">
        <v>1022</v>
      </c>
      <c r="G3212" t="s">
        <v>879</v>
      </c>
      <c r="H3212" t="s">
        <v>12173</v>
      </c>
      <c r="I3212" t="s">
        <v>17327</v>
      </c>
      <c r="J3212" t="s">
        <v>18901</v>
      </c>
      <c r="K3212">
        <v>11435</v>
      </c>
      <c r="L3212" t="s">
        <v>18958</v>
      </c>
      <c r="M3212" t="s">
        <v>18958</v>
      </c>
      <c r="N3212" t="s">
        <v>21355</v>
      </c>
      <c r="O3212" t="s">
        <v>26523</v>
      </c>
      <c r="P3212" t="s">
        <v>26564</v>
      </c>
      <c r="R3212" t="s">
        <v>26584</v>
      </c>
      <c r="S3212" t="s">
        <v>18959</v>
      </c>
      <c r="U3212" t="s">
        <v>26604</v>
      </c>
      <c r="V3212" t="s">
        <v>26614</v>
      </c>
      <c r="W3212" t="s">
        <v>517</v>
      </c>
      <c r="X3212">
        <v>1250</v>
      </c>
      <c r="Y3212" t="s">
        <v>26653</v>
      </c>
      <c r="Z3212" t="s">
        <v>26664</v>
      </c>
      <c r="AB3212" t="s">
        <v>29456</v>
      </c>
      <c r="AC3212" t="s">
        <v>35451</v>
      </c>
      <c r="AD3212" t="s">
        <v>39517</v>
      </c>
      <c r="AE3212">
        <v>65</v>
      </c>
      <c r="AF3212" t="s">
        <v>45541</v>
      </c>
      <c r="AG3212" t="s">
        <v>19330</v>
      </c>
      <c r="AH3212">
        <v>4</v>
      </c>
      <c r="AI3212">
        <v>3</v>
      </c>
      <c r="AJ3212">
        <v>3</v>
      </c>
      <c r="AK3212">
        <v>28.92</v>
      </c>
      <c r="AN3212" t="s">
        <v>7439</v>
      </c>
      <c r="AO3212">
        <v>9756</v>
      </c>
      <c r="AU3212">
        <v>0.15</v>
      </c>
      <c r="AV3212" t="s">
        <v>817</v>
      </c>
      <c r="AW3212" t="s">
        <v>161</v>
      </c>
    </row>
    <row r="3213" spans="1:50">
      <c r="A3213" s="1">
        <f>HYPERLINK("https://lsnyc.legalserver.org/matter/dynamic-profile/view/1883302","18-1883302")</f>
        <v>0</v>
      </c>
      <c r="B3213" t="s">
        <v>87</v>
      </c>
      <c r="C3213" t="s">
        <v>340</v>
      </c>
      <c r="D3213" t="s">
        <v>517</v>
      </c>
      <c r="F3213" t="s">
        <v>2555</v>
      </c>
      <c r="G3213" t="s">
        <v>6793</v>
      </c>
      <c r="H3213" t="s">
        <v>12174</v>
      </c>
      <c r="I3213" t="s">
        <v>17278</v>
      </c>
      <c r="J3213" t="s">
        <v>18892</v>
      </c>
      <c r="K3213">
        <v>10468</v>
      </c>
      <c r="L3213" t="s">
        <v>18958</v>
      </c>
      <c r="M3213" t="s">
        <v>18958</v>
      </c>
      <c r="N3213" t="s">
        <v>21356</v>
      </c>
      <c r="O3213" t="s">
        <v>26523</v>
      </c>
      <c r="P3213" t="s">
        <v>26560</v>
      </c>
      <c r="R3213" t="s">
        <v>26579</v>
      </c>
      <c r="S3213" t="s">
        <v>18959</v>
      </c>
      <c r="U3213" t="s">
        <v>26604</v>
      </c>
      <c r="V3213" t="s">
        <v>26610</v>
      </c>
      <c r="W3213" t="s">
        <v>517</v>
      </c>
      <c r="X3213">
        <v>1300</v>
      </c>
      <c r="Y3213" t="s">
        <v>26650</v>
      </c>
      <c r="AB3213" t="s">
        <v>27066</v>
      </c>
      <c r="AC3213" t="s">
        <v>35452</v>
      </c>
      <c r="AD3213" t="s">
        <v>39518</v>
      </c>
      <c r="AE3213">
        <v>24</v>
      </c>
      <c r="AF3213" t="s">
        <v>45543</v>
      </c>
      <c r="AG3213" t="s">
        <v>45556</v>
      </c>
      <c r="AH3213">
        <v>5</v>
      </c>
      <c r="AI3213">
        <v>2</v>
      </c>
      <c r="AJ3213">
        <v>0</v>
      </c>
      <c r="AK3213">
        <v>58.76</v>
      </c>
      <c r="AN3213" t="s">
        <v>7439</v>
      </c>
      <c r="AO3213">
        <v>9672</v>
      </c>
      <c r="AU3213">
        <v>15</v>
      </c>
      <c r="AV3213" t="s">
        <v>657</v>
      </c>
      <c r="AW3213" t="s">
        <v>46857</v>
      </c>
    </row>
    <row r="3214" spans="1:50">
      <c r="A3214" s="1">
        <f>HYPERLINK("https://lsnyc.legalserver.org/matter/dynamic-profile/view/1883299","18-1883299")</f>
        <v>0</v>
      </c>
      <c r="B3214" t="s">
        <v>221</v>
      </c>
      <c r="C3214" t="s">
        <v>340</v>
      </c>
      <c r="D3214" t="s">
        <v>517</v>
      </c>
      <c r="F3214" t="s">
        <v>2556</v>
      </c>
      <c r="G3214" t="s">
        <v>6794</v>
      </c>
      <c r="H3214" t="s">
        <v>12175</v>
      </c>
      <c r="I3214" t="s">
        <v>17360</v>
      </c>
      <c r="J3214" t="s">
        <v>18913</v>
      </c>
      <c r="K3214">
        <v>11106</v>
      </c>
      <c r="L3214" t="s">
        <v>18958</v>
      </c>
      <c r="M3214" t="s">
        <v>18958</v>
      </c>
      <c r="N3214" t="s">
        <v>21357</v>
      </c>
      <c r="O3214" t="s">
        <v>26523</v>
      </c>
      <c r="P3214" t="s">
        <v>26564</v>
      </c>
      <c r="R3214" t="s">
        <v>26584</v>
      </c>
      <c r="S3214" t="s">
        <v>18959</v>
      </c>
      <c r="U3214" t="s">
        <v>26604</v>
      </c>
      <c r="V3214" t="s">
        <v>26610</v>
      </c>
      <c r="W3214" t="s">
        <v>517</v>
      </c>
      <c r="X3214">
        <v>888</v>
      </c>
      <c r="Y3214" t="s">
        <v>26653</v>
      </c>
      <c r="Z3214" t="s">
        <v>26664</v>
      </c>
      <c r="AB3214" t="s">
        <v>29457</v>
      </c>
      <c r="AD3214" t="s">
        <v>39519</v>
      </c>
      <c r="AE3214">
        <v>18</v>
      </c>
      <c r="AF3214" t="s">
        <v>45541</v>
      </c>
      <c r="AG3214" t="s">
        <v>19330</v>
      </c>
      <c r="AH3214">
        <v>5</v>
      </c>
      <c r="AI3214">
        <v>1</v>
      </c>
      <c r="AJ3214">
        <v>2</v>
      </c>
      <c r="AK3214">
        <v>0</v>
      </c>
      <c r="AN3214" t="s">
        <v>7439</v>
      </c>
      <c r="AO3214">
        <v>0</v>
      </c>
      <c r="AU3214">
        <v>2.8</v>
      </c>
      <c r="AV3214" t="s">
        <v>760</v>
      </c>
      <c r="AW3214" t="s">
        <v>161</v>
      </c>
    </row>
    <row r="3215" spans="1:50">
      <c r="A3215" s="1">
        <f>HYPERLINK("https://lsnyc.legalserver.org/matter/dynamic-profile/view/1893738","19-1893738")</f>
        <v>0</v>
      </c>
      <c r="B3215" t="s">
        <v>126</v>
      </c>
      <c r="C3215" t="s">
        <v>341</v>
      </c>
      <c r="D3215" t="s">
        <v>660</v>
      </c>
      <c r="E3215" t="s">
        <v>777</v>
      </c>
      <c r="F3215" t="s">
        <v>1165</v>
      </c>
      <c r="G3215" t="s">
        <v>5689</v>
      </c>
      <c r="H3215" t="s">
        <v>12176</v>
      </c>
      <c r="I3215" t="s">
        <v>17274</v>
      </c>
      <c r="J3215" t="s">
        <v>18894</v>
      </c>
      <c r="K3215">
        <v>11207</v>
      </c>
      <c r="L3215" t="s">
        <v>18958</v>
      </c>
      <c r="M3215" t="s">
        <v>18958</v>
      </c>
      <c r="N3215" t="s">
        <v>18993</v>
      </c>
      <c r="O3215" t="s">
        <v>26538</v>
      </c>
      <c r="P3215" t="s">
        <v>26564</v>
      </c>
      <c r="Q3215" t="s">
        <v>26571</v>
      </c>
      <c r="R3215" t="s">
        <v>26578</v>
      </c>
      <c r="S3215" t="s">
        <v>18959</v>
      </c>
      <c r="U3215" t="s">
        <v>26604</v>
      </c>
      <c r="V3215" t="s">
        <v>26610</v>
      </c>
      <c r="W3215" t="s">
        <v>517</v>
      </c>
      <c r="X3215">
        <v>0</v>
      </c>
      <c r="Y3215" t="s">
        <v>26652</v>
      </c>
      <c r="Z3215" t="s">
        <v>26663</v>
      </c>
      <c r="AA3215" t="s">
        <v>26688</v>
      </c>
      <c r="AB3215" t="s">
        <v>27657</v>
      </c>
      <c r="AD3215" t="s">
        <v>39520</v>
      </c>
      <c r="AE3215">
        <v>576</v>
      </c>
      <c r="AH3215">
        <v>23</v>
      </c>
      <c r="AI3215">
        <v>2</v>
      </c>
      <c r="AJ3215">
        <v>0</v>
      </c>
      <c r="AK3215">
        <v>0</v>
      </c>
      <c r="AN3215" t="s">
        <v>7439</v>
      </c>
      <c r="AO3215">
        <v>0</v>
      </c>
      <c r="AU3215">
        <v>1</v>
      </c>
      <c r="AV3215" t="s">
        <v>784</v>
      </c>
      <c r="AW3215" t="s">
        <v>279</v>
      </c>
      <c r="AX3215" t="s">
        <v>46897</v>
      </c>
    </row>
    <row r="3216" spans="1:50">
      <c r="A3216" s="1">
        <f>HYPERLINK("https://lsnyc.legalserver.org/matter/dynamic-profile/view/1851415","17-1851415")</f>
        <v>0</v>
      </c>
      <c r="B3216" t="s">
        <v>68</v>
      </c>
      <c r="C3216" t="s">
        <v>340</v>
      </c>
      <c r="D3216" t="s">
        <v>661</v>
      </c>
      <c r="F3216" t="s">
        <v>2557</v>
      </c>
      <c r="G3216" t="s">
        <v>1056</v>
      </c>
      <c r="H3216" t="s">
        <v>12177</v>
      </c>
      <c r="I3216" t="s">
        <v>17272</v>
      </c>
      <c r="J3216" t="s">
        <v>18892</v>
      </c>
      <c r="K3216">
        <v>10467</v>
      </c>
      <c r="L3216" t="s">
        <v>18958</v>
      </c>
      <c r="M3216" t="s">
        <v>18958</v>
      </c>
      <c r="N3216" t="s">
        <v>21358</v>
      </c>
      <c r="O3216" t="s">
        <v>26523</v>
      </c>
      <c r="P3216" t="s">
        <v>26560</v>
      </c>
      <c r="R3216" t="s">
        <v>26579</v>
      </c>
      <c r="S3216" t="s">
        <v>18959</v>
      </c>
      <c r="U3216" t="s">
        <v>26604</v>
      </c>
      <c r="V3216" t="s">
        <v>26610</v>
      </c>
      <c r="W3216" t="s">
        <v>662</v>
      </c>
      <c r="X3216">
        <v>1370.97</v>
      </c>
      <c r="Y3216" t="s">
        <v>26650</v>
      </c>
      <c r="Z3216" t="s">
        <v>26662</v>
      </c>
      <c r="AB3216" t="s">
        <v>29458</v>
      </c>
      <c r="AC3216" t="s">
        <v>35453</v>
      </c>
      <c r="AD3216" t="s">
        <v>39521</v>
      </c>
      <c r="AE3216">
        <v>51</v>
      </c>
      <c r="AF3216" t="s">
        <v>45541</v>
      </c>
      <c r="AG3216" t="s">
        <v>45557</v>
      </c>
      <c r="AH3216">
        <v>4</v>
      </c>
      <c r="AI3216">
        <v>1</v>
      </c>
      <c r="AJ3216">
        <v>3</v>
      </c>
      <c r="AK3216">
        <v>57.07</v>
      </c>
      <c r="AN3216" t="s">
        <v>7439</v>
      </c>
      <c r="AO3216">
        <v>14040</v>
      </c>
      <c r="AP3216" t="s">
        <v>45620</v>
      </c>
      <c r="AU3216">
        <v>65.90000000000001</v>
      </c>
      <c r="AV3216" t="s">
        <v>821</v>
      </c>
      <c r="AW3216" t="s">
        <v>46848</v>
      </c>
    </row>
    <row r="3217" spans="1:50">
      <c r="A3217" s="1">
        <f>HYPERLINK("https://lsnyc.legalserver.org/matter/dynamic-profile/view/1874972","18-1874972")</f>
        <v>0</v>
      </c>
      <c r="B3217" t="s">
        <v>84</v>
      </c>
      <c r="C3217" t="s">
        <v>340</v>
      </c>
      <c r="D3217" t="s">
        <v>505</v>
      </c>
      <c r="F3217" t="s">
        <v>879</v>
      </c>
      <c r="G3217" t="s">
        <v>6795</v>
      </c>
      <c r="H3217" t="s">
        <v>12178</v>
      </c>
      <c r="I3217" t="s">
        <v>17626</v>
      </c>
      <c r="J3217" t="s">
        <v>18893</v>
      </c>
      <c r="K3217">
        <v>10002</v>
      </c>
      <c r="L3217" t="s">
        <v>18958</v>
      </c>
      <c r="M3217" t="s">
        <v>18958</v>
      </c>
      <c r="N3217" t="s">
        <v>21359</v>
      </c>
      <c r="O3217" t="s">
        <v>26523</v>
      </c>
      <c r="P3217" t="s">
        <v>26560</v>
      </c>
      <c r="R3217" t="s">
        <v>26582</v>
      </c>
      <c r="S3217" t="s">
        <v>18959</v>
      </c>
      <c r="U3217" t="s">
        <v>26604</v>
      </c>
      <c r="W3217" t="s">
        <v>662</v>
      </c>
      <c r="X3217">
        <v>0</v>
      </c>
      <c r="Y3217" t="s">
        <v>26651</v>
      </c>
      <c r="Z3217" t="s">
        <v>26657</v>
      </c>
      <c r="AB3217" t="s">
        <v>29459</v>
      </c>
      <c r="AD3217" t="s">
        <v>39522</v>
      </c>
      <c r="AE3217">
        <v>145</v>
      </c>
      <c r="AF3217" t="s">
        <v>45550</v>
      </c>
      <c r="AG3217" t="s">
        <v>45556</v>
      </c>
      <c r="AH3217">
        <v>58</v>
      </c>
      <c r="AI3217">
        <v>1</v>
      </c>
      <c r="AJ3217">
        <v>0</v>
      </c>
      <c r="AK3217">
        <v>79.08</v>
      </c>
      <c r="AN3217" t="s">
        <v>7439</v>
      </c>
      <c r="AO3217">
        <v>9600</v>
      </c>
      <c r="AU3217">
        <v>11.9</v>
      </c>
      <c r="AV3217" t="s">
        <v>802</v>
      </c>
      <c r="AW3217" t="s">
        <v>314</v>
      </c>
    </row>
    <row r="3218" spans="1:50">
      <c r="A3218" s="1">
        <f>HYPERLINK("https://lsnyc.legalserver.org/matter/dynamic-profile/view/1880942","18-1880942")</f>
        <v>0</v>
      </c>
      <c r="B3218" t="s">
        <v>111</v>
      </c>
      <c r="C3218" t="s">
        <v>340</v>
      </c>
      <c r="D3218" t="s">
        <v>605</v>
      </c>
      <c r="F3218" t="s">
        <v>2558</v>
      </c>
      <c r="G3218" t="s">
        <v>6796</v>
      </c>
      <c r="H3218" t="s">
        <v>12179</v>
      </c>
      <c r="I3218" t="s">
        <v>17307</v>
      </c>
      <c r="J3218" t="s">
        <v>18900</v>
      </c>
      <c r="K3218">
        <v>11358</v>
      </c>
      <c r="L3218" t="s">
        <v>18958</v>
      </c>
      <c r="M3218" t="s">
        <v>18958</v>
      </c>
      <c r="N3218" t="s">
        <v>21360</v>
      </c>
      <c r="O3218" t="s">
        <v>26533</v>
      </c>
      <c r="P3218" t="s">
        <v>26560</v>
      </c>
      <c r="R3218" t="s">
        <v>26578</v>
      </c>
      <c r="S3218" t="s">
        <v>18959</v>
      </c>
      <c r="U3218" t="s">
        <v>26604</v>
      </c>
      <c r="V3218" t="s">
        <v>26610</v>
      </c>
      <c r="W3218" t="s">
        <v>662</v>
      </c>
      <c r="X3218">
        <v>937</v>
      </c>
      <c r="Y3218" t="s">
        <v>26653</v>
      </c>
      <c r="Z3218" t="s">
        <v>26661</v>
      </c>
      <c r="AB3218" t="s">
        <v>29460</v>
      </c>
      <c r="AC3218" t="s">
        <v>19330</v>
      </c>
      <c r="AD3218" t="s">
        <v>39523</v>
      </c>
      <c r="AE3218">
        <v>20</v>
      </c>
      <c r="AF3218" t="s">
        <v>45541</v>
      </c>
      <c r="AG3218" t="s">
        <v>19330</v>
      </c>
      <c r="AH3218">
        <v>10</v>
      </c>
      <c r="AI3218">
        <v>1</v>
      </c>
      <c r="AJ3218">
        <v>0</v>
      </c>
      <c r="AK3218">
        <v>118.62</v>
      </c>
      <c r="AN3218" t="s">
        <v>7439</v>
      </c>
      <c r="AO3218">
        <v>14400</v>
      </c>
      <c r="AQ3218" t="s">
        <v>46359</v>
      </c>
      <c r="AR3218" t="s">
        <v>46406</v>
      </c>
      <c r="AS3218" t="s">
        <v>46500</v>
      </c>
      <c r="AT3218" t="s">
        <v>46663</v>
      </c>
      <c r="AU3218">
        <v>10.7</v>
      </c>
      <c r="AV3218" t="s">
        <v>784</v>
      </c>
      <c r="AW3218" t="s">
        <v>46857</v>
      </c>
    </row>
    <row r="3219" spans="1:50">
      <c r="A3219" s="1">
        <f>HYPERLINK("https://lsnyc.legalserver.org/matter/dynamic-profile/view/1882669","18-1882669")</f>
        <v>0</v>
      </c>
      <c r="B3219" t="s">
        <v>214</v>
      </c>
      <c r="C3219" t="s">
        <v>340</v>
      </c>
      <c r="D3219" t="s">
        <v>637</v>
      </c>
      <c r="F3219" t="s">
        <v>2559</v>
      </c>
      <c r="G3219" t="s">
        <v>6797</v>
      </c>
      <c r="H3219" t="s">
        <v>12180</v>
      </c>
      <c r="I3219">
        <v>1</v>
      </c>
      <c r="J3219" t="s">
        <v>18898</v>
      </c>
      <c r="K3219">
        <v>11691</v>
      </c>
      <c r="L3219" t="s">
        <v>18958</v>
      </c>
      <c r="M3219" t="s">
        <v>18958</v>
      </c>
      <c r="N3219" t="s">
        <v>19045</v>
      </c>
      <c r="O3219" t="s">
        <v>18997</v>
      </c>
      <c r="P3219" t="s">
        <v>26564</v>
      </c>
      <c r="R3219" t="s">
        <v>26578</v>
      </c>
      <c r="S3219" t="s">
        <v>18959</v>
      </c>
      <c r="U3219" t="s">
        <v>26604</v>
      </c>
      <c r="V3219" t="s">
        <v>26610</v>
      </c>
      <c r="W3219" t="s">
        <v>662</v>
      </c>
      <c r="X3219">
        <v>1450</v>
      </c>
      <c r="Y3219" t="s">
        <v>26653</v>
      </c>
      <c r="Z3219" t="s">
        <v>26659</v>
      </c>
      <c r="AB3219" t="s">
        <v>29461</v>
      </c>
      <c r="AC3219" t="s">
        <v>35263</v>
      </c>
      <c r="AD3219" t="s">
        <v>39524</v>
      </c>
      <c r="AE3219">
        <v>3</v>
      </c>
      <c r="AF3219" t="s">
        <v>45547</v>
      </c>
      <c r="AG3219" t="s">
        <v>45556</v>
      </c>
      <c r="AH3219">
        <v>4</v>
      </c>
      <c r="AI3219">
        <v>1</v>
      </c>
      <c r="AJ3219">
        <v>2</v>
      </c>
      <c r="AK3219">
        <v>199.07</v>
      </c>
      <c r="AN3219" t="s">
        <v>7439</v>
      </c>
      <c r="AO3219">
        <v>41366</v>
      </c>
      <c r="AU3219">
        <v>3</v>
      </c>
      <c r="AV3219" t="s">
        <v>834</v>
      </c>
      <c r="AW3219" t="s">
        <v>46859</v>
      </c>
      <c r="AX3219" t="s">
        <v>46897</v>
      </c>
    </row>
    <row r="3220" spans="1:50">
      <c r="A3220" s="1">
        <f>HYPERLINK("https://lsnyc.legalserver.org/matter/dynamic-profile/view/1882581","18-1882581")</f>
        <v>0</v>
      </c>
      <c r="B3220" t="s">
        <v>269</v>
      </c>
      <c r="C3220" t="s">
        <v>340</v>
      </c>
      <c r="D3220" t="s">
        <v>637</v>
      </c>
      <c r="F3220" t="s">
        <v>887</v>
      </c>
      <c r="G3220" t="s">
        <v>5147</v>
      </c>
      <c r="H3220" t="s">
        <v>12018</v>
      </c>
      <c r="I3220" t="s">
        <v>17351</v>
      </c>
      <c r="J3220" t="s">
        <v>18892</v>
      </c>
      <c r="K3220">
        <v>10457</v>
      </c>
      <c r="L3220" t="s">
        <v>18958</v>
      </c>
      <c r="M3220" t="s">
        <v>18958</v>
      </c>
      <c r="N3220" t="s">
        <v>21361</v>
      </c>
      <c r="O3220" t="s">
        <v>26523</v>
      </c>
      <c r="P3220" t="s">
        <v>26560</v>
      </c>
      <c r="R3220" t="s">
        <v>26579</v>
      </c>
      <c r="S3220" t="s">
        <v>18959</v>
      </c>
      <c r="U3220" t="s">
        <v>26604</v>
      </c>
      <c r="V3220" t="s">
        <v>26609</v>
      </c>
      <c r="W3220" t="s">
        <v>662</v>
      </c>
      <c r="X3220">
        <v>0</v>
      </c>
      <c r="Y3220" t="s">
        <v>26650</v>
      </c>
      <c r="Z3220" t="s">
        <v>26668</v>
      </c>
      <c r="AB3220" t="s">
        <v>29462</v>
      </c>
      <c r="AC3220" t="s">
        <v>35454</v>
      </c>
      <c r="AD3220" t="s">
        <v>39525</v>
      </c>
      <c r="AE3220">
        <v>0</v>
      </c>
      <c r="AF3220" t="s">
        <v>45541</v>
      </c>
      <c r="AG3220" t="s">
        <v>26530</v>
      </c>
      <c r="AH3220">
        <v>14</v>
      </c>
      <c r="AI3220">
        <v>1</v>
      </c>
      <c r="AJ3220">
        <v>0</v>
      </c>
      <c r="AK3220">
        <v>24.42</v>
      </c>
      <c r="AO3220">
        <v>2964</v>
      </c>
      <c r="AU3220">
        <v>18.2</v>
      </c>
      <c r="AV3220" t="s">
        <v>825</v>
      </c>
      <c r="AW3220" t="s">
        <v>46847</v>
      </c>
    </row>
    <row r="3221" spans="1:50">
      <c r="A3221" s="1">
        <f>HYPERLINK("https://lsnyc.legalserver.org/matter/dynamic-profile/view/1883061","18-1883061")</f>
        <v>0</v>
      </c>
      <c r="B3221" t="s">
        <v>112</v>
      </c>
      <c r="C3221" t="s">
        <v>340</v>
      </c>
      <c r="D3221" t="s">
        <v>651</v>
      </c>
      <c r="F3221" t="s">
        <v>887</v>
      </c>
      <c r="G3221" t="s">
        <v>6798</v>
      </c>
      <c r="H3221" t="s">
        <v>12181</v>
      </c>
      <c r="I3221" t="s">
        <v>17430</v>
      </c>
      <c r="J3221" t="s">
        <v>18896</v>
      </c>
      <c r="K3221">
        <v>11419</v>
      </c>
      <c r="L3221" t="s">
        <v>18958</v>
      </c>
      <c r="M3221" t="s">
        <v>18958</v>
      </c>
      <c r="N3221" t="s">
        <v>21362</v>
      </c>
      <c r="O3221" t="s">
        <v>26524</v>
      </c>
      <c r="P3221" t="s">
        <v>26564</v>
      </c>
      <c r="R3221" t="s">
        <v>26584</v>
      </c>
      <c r="S3221" t="s">
        <v>18959</v>
      </c>
      <c r="U3221" t="s">
        <v>26604</v>
      </c>
      <c r="V3221" t="s">
        <v>26610</v>
      </c>
      <c r="W3221" t="s">
        <v>662</v>
      </c>
      <c r="X3221">
        <v>511</v>
      </c>
      <c r="Y3221" t="s">
        <v>26653</v>
      </c>
      <c r="Z3221" t="s">
        <v>26664</v>
      </c>
      <c r="AB3221" t="s">
        <v>29463</v>
      </c>
      <c r="AC3221" t="s">
        <v>35455</v>
      </c>
      <c r="AD3221" t="s">
        <v>39526</v>
      </c>
      <c r="AE3221">
        <v>2</v>
      </c>
      <c r="AF3221" t="s">
        <v>45547</v>
      </c>
      <c r="AG3221" t="s">
        <v>45556</v>
      </c>
      <c r="AH3221">
        <v>23</v>
      </c>
      <c r="AI3221">
        <v>1</v>
      </c>
      <c r="AJ3221">
        <v>0</v>
      </c>
      <c r="AK3221">
        <v>82.04000000000001</v>
      </c>
      <c r="AN3221" t="s">
        <v>45581</v>
      </c>
      <c r="AO3221">
        <v>9960</v>
      </c>
      <c r="AU3221">
        <v>1.2</v>
      </c>
      <c r="AV3221" t="s">
        <v>458</v>
      </c>
      <c r="AW3221" t="s">
        <v>161</v>
      </c>
    </row>
    <row r="3222" spans="1:50">
      <c r="A3222" s="1">
        <f>HYPERLINK("https://lsnyc.legalserver.org/matter/dynamic-profile/view/1883090","18-1883090")</f>
        <v>0</v>
      </c>
      <c r="B3222" t="s">
        <v>69</v>
      </c>
      <c r="C3222" t="s">
        <v>341</v>
      </c>
      <c r="D3222" t="s">
        <v>525</v>
      </c>
      <c r="E3222" t="s">
        <v>494</v>
      </c>
      <c r="F3222" t="s">
        <v>2111</v>
      </c>
      <c r="G3222" t="s">
        <v>6799</v>
      </c>
      <c r="H3222" t="s">
        <v>12182</v>
      </c>
      <c r="I3222" t="s">
        <v>17312</v>
      </c>
      <c r="J3222" t="s">
        <v>18892</v>
      </c>
      <c r="K3222">
        <v>10473</v>
      </c>
      <c r="L3222" t="s">
        <v>18958</v>
      </c>
      <c r="M3222" t="s">
        <v>18958</v>
      </c>
      <c r="N3222" t="s">
        <v>21363</v>
      </c>
      <c r="O3222" t="s">
        <v>26524</v>
      </c>
      <c r="P3222" t="s">
        <v>26565</v>
      </c>
      <c r="Q3222" t="s">
        <v>26570</v>
      </c>
      <c r="R3222" t="s">
        <v>26577</v>
      </c>
      <c r="S3222" t="s">
        <v>18959</v>
      </c>
      <c r="U3222" t="s">
        <v>26604</v>
      </c>
      <c r="W3222" t="s">
        <v>662</v>
      </c>
      <c r="X3222">
        <v>1292</v>
      </c>
      <c r="Y3222" t="s">
        <v>26650</v>
      </c>
      <c r="Z3222" t="s">
        <v>26674</v>
      </c>
      <c r="AA3222" t="s">
        <v>26683</v>
      </c>
      <c r="AB3222" t="s">
        <v>29464</v>
      </c>
      <c r="AC3222" t="s">
        <v>35456</v>
      </c>
      <c r="AD3222" t="s">
        <v>39527</v>
      </c>
      <c r="AE3222">
        <v>0</v>
      </c>
      <c r="AF3222" t="s">
        <v>45547</v>
      </c>
      <c r="AG3222" t="s">
        <v>45556</v>
      </c>
      <c r="AH3222">
        <v>4</v>
      </c>
      <c r="AI3222">
        <v>1</v>
      </c>
      <c r="AJ3222">
        <v>0</v>
      </c>
      <c r="AK3222">
        <v>76.41</v>
      </c>
      <c r="AN3222" t="s">
        <v>7439</v>
      </c>
      <c r="AO3222">
        <v>9276</v>
      </c>
      <c r="AU3222">
        <v>6.4</v>
      </c>
      <c r="AV3222" t="s">
        <v>662</v>
      </c>
      <c r="AW3222" t="s">
        <v>46870</v>
      </c>
    </row>
    <row r="3223" spans="1:50">
      <c r="A3223" s="1">
        <f>HYPERLINK("https://lsnyc.legalserver.org/matter/dynamic-profile/view/1883422","18-1883422")</f>
        <v>0</v>
      </c>
      <c r="B3223" t="s">
        <v>64</v>
      </c>
      <c r="C3223" t="s">
        <v>341</v>
      </c>
      <c r="D3223" t="s">
        <v>662</v>
      </c>
      <c r="E3223" t="s">
        <v>781</v>
      </c>
      <c r="F3223" t="s">
        <v>2560</v>
      </c>
      <c r="G3223" t="s">
        <v>6800</v>
      </c>
      <c r="H3223" t="s">
        <v>12183</v>
      </c>
      <c r="I3223" t="s">
        <v>17622</v>
      </c>
      <c r="J3223" t="s">
        <v>18892</v>
      </c>
      <c r="K3223">
        <v>10467</v>
      </c>
      <c r="L3223" t="s">
        <v>18958</v>
      </c>
      <c r="M3223" t="s">
        <v>18958</v>
      </c>
      <c r="N3223" t="s">
        <v>21364</v>
      </c>
      <c r="O3223" t="s">
        <v>26523</v>
      </c>
      <c r="P3223" t="s">
        <v>26560</v>
      </c>
      <c r="Q3223" t="s">
        <v>26568</v>
      </c>
      <c r="R3223" t="s">
        <v>26579</v>
      </c>
      <c r="U3223" t="s">
        <v>26604</v>
      </c>
      <c r="V3223" t="s">
        <v>26610</v>
      </c>
      <c r="W3223" t="s">
        <v>662</v>
      </c>
      <c r="X3223">
        <v>700</v>
      </c>
      <c r="Y3223" t="s">
        <v>26650</v>
      </c>
      <c r="Z3223" t="s">
        <v>26664</v>
      </c>
      <c r="AA3223" t="s">
        <v>26679</v>
      </c>
      <c r="AB3223" t="s">
        <v>27728</v>
      </c>
      <c r="AD3223" t="s">
        <v>39528</v>
      </c>
      <c r="AE3223">
        <v>0</v>
      </c>
      <c r="AF3223" t="s">
        <v>45553</v>
      </c>
      <c r="AG3223" t="s">
        <v>19330</v>
      </c>
      <c r="AH3223">
        <v>2</v>
      </c>
      <c r="AI3223">
        <v>2</v>
      </c>
      <c r="AJ3223">
        <v>1</v>
      </c>
      <c r="AK3223">
        <v>125.12</v>
      </c>
      <c r="AN3223" t="s">
        <v>45581</v>
      </c>
      <c r="AO3223">
        <v>26000</v>
      </c>
      <c r="AU3223">
        <v>4.5</v>
      </c>
      <c r="AV3223" t="s">
        <v>670</v>
      </c>
      <c r="AW3223" t="s">
        <v>334</v>
      </c>
    </row>
    <row r="3224" spans="1:50">
      <c r="A3224" s="1">
        <f>HYPERLINK("https://lsnyc.legalserver.org/matter/dynamic-profile/view/1883404","18-1883404")</f>
        <v>0</v>
      </c>
      <c r="B3224" t="s">
        <v>121</v>
      </c>
      <c r="C3224" t="s">
        <v>341</v>
      </c>
      <c r="D3224" t="s">
        <v>662</v>
      </c>
      <c r="E3224" t="s">
        <v>829</v>
      </c>
      <c r="F3224" t="s">
        <v>2287</v>
      </c>
      <c r="G3224" t="s">
        <v>3283</v>
      </c>
      <c r="H3224" t="s">
        <v>11763</v>
      </c>
      <c r="I3224" t="s">
        <v>17349</v>
      </c>
      <c r="J3224" t="s">
        <v>18892</v>
      </c>
      <c r="K3224">
        <v>10468</v>
      </c>
      <c r="L3224" t="s">
        <v>18958</v>
      </c>
      <c r="M3224" t="s">
        <v>18958</v>
      </c>
      <c r="N3224" t="s">
        <v>21365</v>
      </c>
      <c r="O3224" t="s">
        <v>26524</v>
      </c>
      <c r="P3224" t="s">
        <v>26560</v>
      </c>
      <c r="Q3224" t="s">
        <v>26568</v>
      </c>
      <c r="R3224" t="s">
        <v>26579</v>
      </c>
      <c r="U3224" t="s">
        <v>26604</v>
      </c>
      <c r="V3224" t="s">
        <v>26612</v>
      </c>
      <c r="W3224" t="s">
        <v>662</v>
      </c>
      <c r="X3224">
        <v>1428</v>
      </c>
      <c r="Y3224" t="s">
        <v>26650</v>
      </c>
      <c r="Z3224" t="s">
        <v>26664</v>
      </c>
      <c r="AA3224" t="s">
        <v>26678</v>
      </c>
      <c r="AB3224" t="s">
        <v>29465</v>
      </c>
      <c r="AC3224" t="s">
        <v>35457</v>
      </c>
      <c r="AD3224" t="s">
        <v>39529</v>
      </c>
      <c r="AE3224">
        <v>0</v>
      </c>
      <c r="AF3224" t="s">
        <v>45541</v>
      </c>
      <c r="AG3224" t="s">
        <v>45556</v>
      </c>
      <c r="AH3224">
        <v>8</v>
      </c>
      <c r="AI3224">
        <v>1</v>
      </c>
      <c r="AJ3224">
        <v>0</v>
      </c>
      <c r="AK3224">
        <v>120.1</v>
      </c>
      <c r="AN3224" t="s">
        <v>7439</v>
      </c>
      <c r="AO3224">
        <v>14580</v>
      </c>
      <c r="AP3224" t="s">
        <v>45654</v>
      </c>
      <c r="AQ3224" t="s">
        <v>46359</v>
      </c>
      <c r="AR3224" t="s">
        <v>46380</v>
      </c>
      <c r="AS3224" t="s">
        <v>46499</v>
      </c>
      <c r="AT3224" t="s">
        <v>46692</v>
      </c>
      <c r="AU3224">
        <v>11.6</v>
      </c>
      <c r="AV3224" t="s">
        <v>737</v>
      </c>
      <c r="AW3224" t="s">
        <v>334</v>
      </c>
    </row>
    <row r="3225" spans="1:50">
      <c r="A3225" s="1">
        <f>HYPERLINK("https://lsnyc.legalserver.org/matter/dynamic-profile/view/1883391","18-1883391")</f>
        <v>0</v>
      </c>
      <c r="B3225" t="s">
        <v>52</v>
      </c>
      <c r="C3225" t="s">
        <v>341</v>
      </c>
      <c r="D3225" t="s">
        <v>662</v>
      </c>
      <c r="E3225" t="s">
        <v>494</v>
      </c>
      <c r="F3225" t="s">
        <v>2111</v>
      </c>
      <c r="G3225" t="s">
        <v>5147</v>
      </c>
      <c r="H3225" t="s">
        <v>12184</v>
      </c>
      <c r="I3225" t="s">
        <v>17272</v>
      </c>
      <c r="J3225" t="s">
        <v>18892</v>
      </c>
      <c r="K3225">
        <v>10452</v>
      </c>
      <c r="L3225" t="s">
        <v>18958</v>
      </c>
      <c r="M3225" t="s">
        <v>18958</v>
      </c>
      <c r="O3225" t="s">
        <v>26537</v>
      </c>
      <c r="P3225" t="s">
        <v>26565</v>
      </c>
      <c r="Q3225" t="s">
        <v>26571</v>
      </c>
      <c r="R3225" t="s">
        <v>26578</v>
      </c>
      <c r="S3225" t="s">
        <v>18959</v>
      </c>
      <c r="U3225" t="s">
        <v>26604</v>
      </c>
      <c r="W3225" t="s">
        <v>662</v>
      </c>
      <c r="X3225">
        <v>1684</v>
      </c>
      <c r="Y3225" t="s">
        <v>26650</v>
      </c>
      <c r="Z3225" t="s">
        <v>26663</v>
      </c>
      <c r="AA3225" t="s">
        <v>26683</v>
      </c>
      <c r="AB3225" t="s">
        <v>29466</v>
      </c>
      <c r="AD3225" t="s">
        <v>39530</v>
      </c>
      <c r="AE3225">
        <v>35</v>
      </c>
      <c r="AF3225" t="s">
        <v>45543</v>
      </c>
      <c r="AG3225" t="s">
        <v>45556</v>
      </c>
      <c r="AH3225">
        <v>25</v>
      </c>
      <c r="AI3225">
        <v>3</v>
      </c>
      <c r="AJ3225">
        <v>2</v>
      </c>
      <c r="AK3225">
        <v>40.79</v>
      </c>
      <c r="AN3225" t="s">
        <v>45581</v>
      </c>
      <c r="AO3225">
        <v>12000</v>
      </c>
      <c r="AU3225">
        <v>3.5</v>
      </c>
      <c r="AV3225" t="s">
        <v>687</v>
      </c>
      <c r="AW3225" t="s">
        <v>46847</v>
      </c>
    </row>
    <row r="3226" spans="1:50">
      <c r="A3226" s="1">
        <f>HYPERLINK("https://lsnyc.legalserver.org/matter/dynamic-profile/view/1883395","18-1883395")</f>
        <v>0</v>
      </c>
      <c r="B3226" t="s">
        <v>52</v>
      </c>
      <c r="C3226" t="s">
        <v>341</v>
      </c>
      <c r="D3226" t="s">
        <v>662</v>
      </c>
      <c r="E3226" t="s">
        <v>669</v>
      </c>
      <c r="F3226" t="s">
        <v>2561</v>
      </c>
      <c r="G3226" t="s">
        <v>3138</v>
      </c>
      <c r="H3226" t="s">
        <v>12185</v>
      </c>
      <c r="I3226" t="s">
        <v>17814</v>
      </c>
      <c r="J3226" t="s">
        <v>18892</v>
      </c>
      <c r="K3226">
        <v>10452</v>
      </c>
      <c r="L3226" t="s">
        <v>18958</v>
      </c>
      <c r="M3226" t="s">
        <v>18958</v>
      </c>
      <c r="N3226" t="s">
        <v>21366</v>
      </c>
      <c r="O3226" t="s">
        <v>26523</v>
      </c>
      <c r="P3226" t="s">
        <v>26564</v>
      </c>
      <c r="Q3226" t="s">
        <v>26570</v>
      </c>
      <c r="R3226" t="s">
        <v>26578</v>
      </c>
      <c r="S3226" t="s">
        <v>18959</v>
      </c>
      <c r="U3226" t="s">
        <v>26604</v>
      </c>
      <c r="V3226" t="s">
        <v>26610</v>
      </c>
      <c r="W3226" t="s">
        <v>662</v>
      </c>
      <c r="X3226">
        <v>2159</v>
      </c>
      <c r="Y3226" t="s">
        <v>26650</v>
      </c>
      <c r="Z3226" t="s">
        <v>26663</v>
      </c>
      <c r="AA3226" t="s">
        <v>26683</v>
      </c>
      <c r="AB3226" t="s">
        <v>29086</v>
      </c>
      <c r="AD3226" t="s">
        <v>39531</v>
      </c>
      <c r="AE3226">
        <v>140</v>
      </c>
      <c r="AF3226" t="s">
        <v>20460</v>
      </c>
      <c r="AG3226" t="s">
        <v>45556</v>
      </c>
      <c r="AH3226">
        <v>15</v>
      </c>
      <c r="AI3226">
        <v>3</v>
      </c>
      <c r="AJ3226">
        <v>0</v>
      </c>
      <c r="AK3226">
        <v>56.3</v>
      </c>
      <c r="AN3226" t="s">
        <v>45581</v>
      </c>
      <c r="AO3226">
        <v>11700</v>
      </c>
      <c r="AU3226">
        <v>1</v>
      </c>
      <c r="AV3226" t="s">
        <v>517</v>
      </c>
      <c r="AW3226" t="s">
        <v>46847</v>
      </c>
    </row>
    <row r="3227" spans="1:50">
      <c r="A3227" s="1">
        <f>HYPERLINK("https://lsnyc.legalserver.org/matter/dynamic-profile/view/1883387","18-1883387")</f>
        <v>0</v>
      </c>
      <c r="B3227" t="s">
        <v>82</v>
      </c>
      <c r="C3227" t="s">
        <v>340</v>
      </c>
      <c r="D3227" t="s">
        <v>662</v>
      </c>
      <c r="F3227" t="s">
        <v>2456</v>
      </c>
      <c r="G3227" t="s">
        <v>5103</v>
      </c>
      <c r="H3227" t="s">
        <v>12186</v>
      </c>
      <c r="I3227" t="s">
        <v>17284</v>
      </c>
      <c r="J3227" t="s">
        <v>18892</v>
      </c>
      <c r="K3227">
        <v>10467</v>
      </c>
      <c r="L3227" t="s">
        <v>18958</v>
      </c>
      <c r="M3227" t="s">
        <v>18958</v>
      </c>
      <c r="N3227" t="s">
        <v>21367</v>
      </c>
      <c r="O3227" t="s">
        <v>26523</v>
      </c>
      <c r="P3227" t="s">
        <v>26560</v>
      </c>
      <c r="R3227" t="s">
        <v>26579</v>
      </c>
      <c r="S3227" t="s">
        <v>18959</v>
      </c>
      <c r="U3227" t="s">
        <v>26604</v>
      </c>
      <c r="V3227" t="s">
        <v>26610</v>
      </c>
      <c r="W3227" t="s">
        <v>662</v>
      </c>
      <c r="X3227">
        <v>1445</v>
      </c>
      <c r="Y3227" t="s">
        <v>26650</v>
      </c>
      <c r="Z3227" t="s">
        <v>26530</v>
      </c>
      <c r="AA3227" t="s">
        <v>26688</v>
      </c>
      <c r="AB3227" t="s">
        <v>28798</v>
      </c>
      <c r="AC3227" t="s">
        <v>35458</v>
      </c>
      <c r="AD3227" t="s">
        <v>39532</v>
      </c>
      <c r="AE3227">
        <v>42</v>
      </c>
      <c r="AF3227" t="s">
        <v>45543</v>
      </c>
      <c r="AG3227" t="s">
        <v>45556</v>
      </c>
      <c r="AH3227">
        <v>25</v>
      </c>
      <c r="AI3227">
        <v>1</v>
      </c>
      <c r="AJ3227">
        <v>0</v>
      </c>
      <c r="AK3227">
        <v>12.57</v>
      </c>
      <c r="AN3227" t="s">
        <v>7439</v>
      </c>
      <c r="AO3227">
        <v>1526.4</v>
      </c>
      <c r="AU3227">
        <v>18.95</v>
      </c>
      <c r="AV3227" t="s">
        <v>810</v>
      </c>
      <c r="AW3227" t="s">
        <v>46846</v>
      </c>
    </row>
    <row r="3228" spans="1:50">
      <c r="A3228" s="1">
        <f>HYPERLINK("https://lsnyc.legalserver.org/matter/dynamic-profile/view/1883420","18-1883420")</f>
        <v>0</v>
      </c>
      <c r="B3228" t="s">
        <v>64</v>
      </c>
      <c r="C3228" t="s">
        <v>340</v>
      </c>
      <c r="D3228" t="s">
        <v>662</v>
      </c>
      <c r="F3228" t="s">
        <v>1332</v>
      </c>
      <c r="G3228" t="s">
        <v>5512</v>
      </c>
      <c r="H3228" t="s">
        <v>10187</v>
      </c>
      <c r="I3228" t="s">
        <v>17482</v>
      </c>
      <c r="J3228" t="s">
        <v>18892</v>
      </c>
      <c r="K3228">
        <v>10467</v>
      </c>
      <c r="L3228" t="s">
        <v>18958</v>
      </c>
      <c r="M3228" t="s">
        <v>18958</v>
      </c>
      <c r="N3228" t="s">
        <v>21368</v>
      </c>
      <c r="O3228" t="s">
        <v>26524</v>
      </c>
      <c r="P3228" t="s">
        <v>26560</v>
      </c>
      <c r="R3228" t="s">
        <v>26579</v>
      </c>
      <c r="S3228" t="s">
        <v>18959</v>
      </c>
      <c r="U3228" t="s">
        <v>26604</v>
      </c>
      <c r="V3228" t="s">
        <v>26610</v>
      </c>
      <c r="W3228" t="s">
        <v>662</v>
      </c>
      <c r="X3228">
        <v>960.62</v>
      </c>
      <c r="Y3228" t="s">
        <v>26650</v>
      </c>
      <c r="Z3228" t="s">
        <v>26659</v>
      </c>
      <c r="AB3228" t="s">
        <v>27284</v>
      </c>
      <c r="AC3228" t="s">
        <v>34690</v>
      </c>
      <c r="AD3228" t="s">
        <v>37353</v>
      </c>
      <c r="AE3228">
        <v>0</v>
      </c>
      <c r="AF3228" t="s">
        <v>45541</v>
      </c>
      <c r="AG3228" t="s">
        <v>45556</v>
      </c>
      <c r="AH3228">
        <v>34</v>
      </c>
      <c r="AI3228">
        <v>3</v>
      </c>
      <c r="AJ3228">
        <v>0</v>
      </c>
      <c r="AK3228">
        <v>174.74</v>
      </c>
      <c r="AN3228" t="s">
        <v>7439</v>
      </c>
      <c r="AO3228">
        <v>36311.52</v>
      </c>
      <c r="AU3228">
        <v>11.6</v>
      </c>
      <c r="AV3228" t="s">
        <v>810</v>
      </c>
      <c r="AW3228" t="s">
        <v>46870</v>
      </c>
    </row>
    <row r="3229" spans="1:50">
      <c r="A3229" s="1">
        <f>HYPERLINK("https://lsnyc.legalserver.org/matter/dynamic-profile/view/1885142","18-1885142")</f>
        <v>0</v>
      </c>
      <c r="B3229" t="s">
        <v>142</v>
      </c>
      <c r="C3229" t="s">
        <v>340</v>
      </c>
      <c r="D3229" t="s">
        <v>519</v>
      </c>
      <c r="F3229" t="s">
        <v>2558</v>
      </c>
      <c r="G3229" t="s">
        <v>6796</v>
      </c>
      <c r="H3229" t="s">
        <v>12179</v>
      </c>
      <c r="I3229" t="s">
        <v>17307</v>
      </c>
      <c r="J3229" t="s">
        <v>18900</v>
      </c>
      <c r="K3229">
        <v>11358</v>
      </c>
      <c r="L3229" t="s">
        <v>18958</v>
      </c>
      <c r="M3229" t="s">
        <v>18958</v>
      </c>
      <c r="N3229" t="s">
        <v>21369</v>
      </c>
      <c r="O3229" t="s">
        <v>26533</v>
      </c>
      <c r="P3229" t="s">
        <v>26560</v>
      </c>
      <c r="R3229" t="s">
        <v>26578</v>
      </c>
      <c r="S3229" t="s">
        <v>18959</v>
      </c>
      <c r="U3229" t="s">
        <v>26604</v>
      </c>
      <c r="V3229" t="s">
        <v>26610</v>
      </c>
      <c r="W3229" t="s">
        <v>662</v>
      </c>
      <c r="X3229">
        <v>937</v>
      </c>
      <c r="Y3229" t="s">
        <v>26653</v>
      </c>
      <c r="Z3229" t="s">
        <v>26661</v>
      </c>
      <c r="AB3229" t="s">
        <v>29460</v>
      </c>
      <c r="AD3229" t="s">
        <v>39523</v>
      </c>
      <c r="AE3229">
        <v>20</v>
      </c>
      <c r="AF3229" t="s">
        <v>45541</v>
      </c>
      <c r="AG3229" t="s">
        <v>19330</v>
      </c>
      <c r="AH3229">
        <v>10</v>
      </c>
      <c r="AI3229">
        <v>1</v>
      </c>
      <c r="AJ3229">
        <v>0</v>
      </c>
      <c r="AK3229">
        <v>118.62</v>
      </c>
      <c r="AN3229" t="s">
        <v>7439</v>
      </c>
      <c r="AO3229">
        <v>14400</v>
      </c>
      <c r="AQ3229" t="s">
        <v>46359</v>
      </c>
      <c r="AR3229" t="s">
        <v>46406</v>
      </c>
      <c r="AS3229" t="s">
        <v>46500</v>
      </c>
      <c r="AT3229" t="s">
        <v>46663</v>
      </c>
      <c r="AU3229">
        <v>75.75</v>
      </c>
      <c r="AV3229" t="s">
        <v>709</v>
      </c>
      <c r="AW3229" t="s">
        <v>161</v>
      </c>
    </row>
    <row r="3230" spans="1:50">
      <c r="A3230" s="1">
        <f>HYPERLINK("https://lsnyc.legalserver.org/matter/dynamic-profile/view/1885139","18-1885139")</f>
        <v>0</v>
      </c>
      <c r="B3230" t="s">
        <v>111</v>
      </c>
      <c r="C3230" t="s">
        <v>340</v>
      </c>
      <c r="D3230" t="s">
        <v>519</v>
      </c>
      <c r="F3230" t="s">
        <v>2558</v>
      </c>
      <c r="G3230" t="s">
        <v>6796</v>
      </c>
      <c r="H3230" t="s">
        <v>12179</v>
      </c>
      <c r="I3230" t="s">
        <v>17307</v>
      </c>
      <c r="J3230" t="s">
        <v>18900</v>
      </c>
      <c r="K3230">
        <v>11358</v>
      </c>
      <c r="L3230" t="s">
        <v>18958</v>
      </c>
      <c r="M3230" t="s">
        <v>18958</v>
      </c>
      <c r="N3230" t="s">
        <v>21370</v>
      </c>
      <c r="O3230" t="s">
        <v>26533</v>
      </c>
      <c r="P3230" t="s">
        <v>26560</v>
      </c>
      <c r="R3230" t="s">
        <v>26578</v>
      </c>
      <c r="S3230" t="s">
        <v>18959</v>
      </c>
      <c r="U3230" t="s">
        <v>26604</v>
      </c>
      <c r="V3230" t="s">
        <v>26610</v>
      </c>
      <c r="W3230" t="s">
        <v>662</v>
      </c>
      <c r="X3230">
        <v>937</v>
      </c>
      <c r="Y3230" t="s">
        <v>26653</v>
      </c>
      <c r="Z3230" t="s">
        <v>26661</v>
      </c>
      <c r="AB3230" t="s">
        <v>29460</v>
      </c>
      <c r="AD3230" t="s">
        <v>39523</v>
      </c>
      <c r="AE3230">
        <v>20</v>
      </c>
      <c r="AF3230" t="s">
        <v>45541</v>
      </c>
      <c r="AG3230" t="s">
        <v>19330</v>
      </c>
      <c r="AH3230">
        <v>10</v>
      </c>
      <c r="AI3230">
        <v>1</v>
      </c>
      <c r="AJ3230">
        <v>0</v>
      </c>
      <c r="AK3230">
        <v>118.62</v>
      </c>
      <c r="AN3230" t="s">
        <v>7439</v>
      </c>
      <c r="AO3230">
        <v>14400</v>
      </c>
      <c r="AQ3230" t="s">
        <v>46359</v>
      </c>
      <c r="AR3230" t="s">
        <v>46406</v>
      </c>
      <c r="AS3230" t="s">
        <v>46500</v>
      </c>
      <c r="AT3230" t="s">
        <v>46663</v>
      </c>
      <c r="AU3230">
        <v>5.3</v>
      </c>
      <c r="AV3230" t="s">
        <v>784</v>
      </c>
      <c r="AW3230" t="s">
        <v>161</v>
      </c>
    </row>
    <row r="3231" spans="1:50">
      <c r="A3231" s="1">
        <f>HYPERLINK("https://lsnyc.legalserver.org/matter/dynamic-profile/view/1851459","17-1851459")</f>
        <v>0</v>
      </c>
      <c r="B3231" t="s">
        <v>81</v>
      </c>
      <c r="C3231" t="s">
        <v>341</v>
      </c>
      <c r="D3231" t="s">
        <v>663</v>
      </c>
      <c r="E3231" t="s">
        <v>724</v>
      </c>
      <c r="F3231" t="s">
        <v>2562</v>
      </c>
      <c r="G3231" t="s">
        <v>1627</v>
      </c>
      <c r="H3231" t="s">
        <v>12187</v>
      </c>
      <c r="I3231" t="s">
        <v>17725</v>
      </c>
      <c r="J3231" t="s">
        <v>18892</v>
      </c>
      <c r="K3231">
        <v>10467</v>
      </c>
      <c r="L3231" t="s">
        <v>18958</v>
      </c>
      <c r="M3231" t="s">
        <v>18958</v>
      </c>
      <c r="N3231" t="s">
        <v>21371</v>
      </c>
      <c r="O3231" t="s">
        <v>26523</v>
      </c>
      <c r="P3231" t="s">
        <v>26560</v>
      </c>
      <c r="Q3231" t="s">
        <v>26568</v>
      </c>
      <c r="R3231" t="s">
        <v>26579</v>
      </c>
      <c r="S3231" t="s">
        <v>18959</v>
      </c>
      <c r="U3231" t="s">
        <v>26604</v>
      </c>
      <c r="V3231" t="s">
        <v>26611</v>
      </c>
      <c r="W3231" t="s">
        <v>799</v>
      </c>
      <c r="X3231">
        <v>1515</v>
      </c>
      <c r="Y3231" t="s">
        <v>26650</v>
      </c>
      <c r="Z3231" t="s">
        <v>26662</v>
      </c>
      <c r="AA3231" t="s">
        <v>26678</v>
      </c>
      <c r="AB3231" t="s">
        <v>28940</v>
      </c>
      <c r="AC3231" t="s">
        <v>35459</v>
      </c>
      <c r="AE3231">
        <v>75</v>
      </c>
      <c r="AF3231" t="s">
        <v>45541</v>
      </c>
      <c r="AG3231" t="s">
        <v>45558</v>
      </c>
      <c r="AH3231">
        <v>2</v>
      </c>
      <c r="AI3231">
        <v>1</v>
      </c>
      <c r="AJ3231">
        <v>3</v>
      </c>
      <c r="AK3231">
        <v>15.95</v>
      </c>
      <c r="AN3231" t="s">
        <v>7439</v>
      </c>
      <c r="AO3231">
        <v>3924</v>
      </c>
      <c r="AP3231" t="s">
        <v>45620</v>
      </c>
      <c r="AQ3231" t="s">
        <v>46365</v>
      </c>
      <c r="AR3231" t="s">
        <v>46379</v>
      </c>
      <c r="AS3231" t="s">
        <v>46499</v>
      </c>
      <c r="AT3231" t="s">
        <v>46506</v>
      </c>
      <c r="AU3231">
        <v>50.14</v>
      </c>
      <c r="AV3231" t="s">
        <v>739</v>
      </c>
      <c r="AW3231" t="s">
        <v>46848</v>
      </c>
      <c r="AX3231" t="s">
        <v>46897</v>
      </c>
    </row>
    <row r="3232" spans="1:50">
      <c r="A3232" s="1">
        <f>HYPERLINK("https://lsnyc.legalserver.org/matter/dynamic-profile/view/1851463","17-1851463")</f>
        <v>0</v>
      </c>
      <c r="B3232" t="s">
        <v>68</v>
      </c>
      <c r="C3232" t="s">
        <v>340</v>
      </c>
      <c r="D3232" t="s">
        <v>663</v>
      </c>
      <c r="F3232" t="s">
        <v>948</v>
      </c>
      <c r="G3232" t="s">
        <v>6801</v>
      </c>
      <c r="H3232" t="s">
        <v>12188</v>
      </c>
      <c r="I3232" t="s">
        <v>17275</v>
      </c>
      <c r="J3232" t="s">
        <v>18892</v>
      </c>
      <c r="K3232">
        <v>10467</v>
      </c>
      <c r="L3232" t="s">
        <v>18958</v>
      </c>
      <c r="M3232" t="s">
        <v>18958</v>
      </c>
      <c r="N3232" t="s">
        <v>21372</v>
      </c>
      <c r="O3232" t="s">
        <v>26523</v>
      </c>
      <c r="P3232" t="s">
        <v>26560</v>
      </c>
      <c r="R3232" t="s">
        <v>26579</v>
      </c>
      <c r="S3232" t="s">
        <v>18959</v>
      </c>
      <c r="U3232" t="s">
        <v>26604</v>
      </c>
      <c r="V3232" t="s">
        <v>26610</v>
      </c>
      <c r="W3232" t="s">
        <v>799</v>
      </c>
      <c r="X3232">
        <v>1271.97</v>
      </c>
      <c r="Y3232" t="s">
        <v>26650</v>
      </c>
      <c r="Z3232" t="s">
        <v>26662</v>
      </c>
      <c r="AB3232" t="s">
        <v>29467</v>
      </c>
      <c r="AC3232" t="s">
        <v>35460</v>
      </c>
      <c r="AD3232" t="s">
        <v>39533</v>
      </c>
      <c r="AE3232">
        <v>24</v>
      </c>
      <c r="AF3232" t="s">
        <v>45541</v>
      </c>
      <c r="AG3232" t="s">
        <v>19330</v>
      </c>
      <c r="AH3232">
        <v>14</v>
      </c>
      <c r="AI3232">
        <v>1</v>
      </c>
      <c r="AJ3232">
        <v>0</v>
      </c>
      <c r="AK3232">
        <v>0</v>
      </c>
      <c r="AN3232" t="s">
        <v>7439</v>
      </c>
      <c r="AO3232">
        <v>0</v>
      </c>
      <c r="AP3232" t="s">
        <v>45620</v>
      </c>
      <c r="AU3232">
        <v>93.8</v>
      </c>
      <c r="AV3232" t="s">
        <v>773</v>
      </c>
      <c r="AW3232" t="s">
        <v>46832</v>
      </c>
    </row>
    <row r="3233" spans="1:50">
      <c r="A3233" s="1">
        <f>HYPERLINK("https://lsnyc.legalserver.org/matter/dynamic-profile/view/1851427","17-1851427")</f>
        <v>0</v>
      </c>
      <c r="B3233" t="s">
        <v>82</v>
      </c>
      <c r="C3233" t="s">
        <v>340</v>
      </c>
      <c r="D3233" t="s">
        <v>663</v>
      </c>
      <c r="F3233" t="s">
        <v>1106</v>
      </c>
      <c r="G3233" t="s">
        <v>6802</v>
      </c>
      <c r="H3233" t="s">
        <v>12189</v>
      </c>
      <c r="I3233" t="s">
        <v>17407</v>
      </c>
      <c r="J3233" t="s">
        <v>18892</v>
      </c>
      <c r="K3233">
        <v>10466</v>
      </c>
      <c r="L3233" t="s">
        <v>18958</v>
      </c>
      <c r="M3233" t="s">
        <v>18960</v>
      </c>
      <c r="N3233" t="s">
        <v>21373</v>
      </c>
      <c r="O3233" t="s">
        <v>26524</v>
      </c>
      <c r="P3233" t="s">
        <v>26560</v>
      </c>
      <c r="R3233" t="s">
        <v>26577</v>
      </c>
      <c r="S3233" t="s">
        <v>18959</v>
      </c>
      <c r="U3233" t="s">
        <v>26604</v>
      </c>
      <c r="V3233" t="s">
        <v>26612</v>
      </c>
      <c r="W3233" t="s">
        <v>799</v>
      </c>
      <c r="X3233">
        <v>1480</v>
      </c>
      <c r="Y3233" t="s">
        <v>26650</v>
      </c>
      <c r="Z3233" t="s">
        <v>26656</v>
      </c>
      <c r="AB3233" t="s">
        <v>29468</v>
      </c>
      <c r="AC3233" t="s">
        <v>35461</v>
      </c>
      <c r="AD3233" t="s">
        <v>39534</v>
      </c>
      <c r="AE3233">
        <v>0</v>
      </c>
      <c r="AF3233" t="s">
        <v>45541</v>
      </c>
      <c r="AG3233" t="s">
        <v>45556</v>
      </c>
      <c r="AH3233">
        <v>13</v>
      </c>
      <c r="AI3233">
        <v>1</v>
      </c>
      <c r="AJ3233">
        <v>3</v>
      </c>
      <c r="AK3233">
        <v>36.29</v>
      </c>
      <c r="AN3233" t="s">
        <v>7439</v>
      </c>
      <c r="AO3233">
        <v>8928</v>
      </c>
      <c r="AP3233" t="s">
        <v>45620</v>
      </c>
      <c r="AU3233">
        <v>50.75</v>
      </c>
      <c r="AV3233" t="s">
        <v>652</v>
      </c>
      <c r="AW3233" t="s">
        <v>336</v>
      </c>
    </row>
    <row r="3234" spans="1:50">
      <c r="A3234" s="1">
        <f>HYPERLINK("https://lsnyc.legalserver.org/matter/dynamic-profile/view/0819421","16-0819421")</f>
        <v>0</v>
      </c>
      <c r="B3234" t="s">
        <v>121</v>
      </c>
      <c r="C3234" t="s">
        <v>341</v>
      </c>
      <c r="D3234" t="s">
        <v>354</v>
      </c>
      <c r="E3234" t="s">
        <v>829</v>
      </c>
      <c r="F3234" t="s">
        <v>1190</v>
      </c>
      <c r="G3234" t="s">
        <v>5208</v>
      </c>
      <c r="H3234" t="s">
        <v>12190</v>
      </c>
      <c r="I3234" t="s">
        <v>17938</v>
      </c>
      <c r="J3234" t="s">
        <v>18892</v>
      </c>
      <c r="K3234">
        <v>10457</v>
      </c>
      <c r="L3234" t="s">
        <v>18958</v>
      </c>
      <c r="M3234" t="s">
        <v>18960</v>
      </c>
      <c r="N3234" t="s">
        <v>21374</v>
      </c>
      <c r="O3234" t="s">
        <v>26524</v>
      </c>
      <c r="P3234" t="s">
        <v>26560</v>
      </c>
      <c r="Q3234" t="s">
        <v>26568</v>
      </c>
      <c r="R3234" t="s">
        <v>26579</v>
      </c>
      <c r="S3234" t="s">
        <v>18959</v>
      </c>
      <c r="U3234" t="s">
        <v>26604</v>
      </c>
      <c r="V3234" t="s">
        <v>26610</v>
      </c>
      <c r="W3234" t="s">
        <v>841</v>
      </c>
      <c r="X3234">
        <v>1338</v>
      </c>
      <c r="Y3234" t="s">
        <v>26650</v>
      </c>
      <c r="Z3234" t="s">
        <v>26656</v>
      </c>
      <c r="AA3234" t="s">
        <v>26678</v>
      </c>
      <c r="AB3234" t="s">
        <v>29469</v>
      </c>
      <c r="AD3234" t="s">
        <v>38111</v>
      </c>
      <c r="AE3234">
        <v>40</v>
      </c>
      <c r="AF3234" t="s">
        <v>45543</v>
      </c>
      <c r="AG3234" t="s">
        <v>19330</v>
      </c>
      <c r="AH3234">
        <v>15</v>
      </c>
      <c r="AI3234">
        <v>2</v>
      </c>
      <c r="AJ3234">
        <v>0</v>
      </c>
      <c r="AK3234">
        <v>8.99</v>
      </c>
      <c r="AN3234" t="s">
        <v>7439</v>
      </c>
      <c r="AO3234">
        <v>1440</v>
      </c>
      <c r="AP3234" t="s">
        <v>45617</v>
      </c>
      <c r="AR3234" t="s">
        <v>46380</v>
      </c>
      <c r="AS3234" t="s">
        <v>46499</v>
      </c>
      <c r="AT3234" t="s">
        <v>46661</v>
      </c>
      <c r="AU3234">
        <v>34.1</v>
      </c>
      <c r="AV3234" t="s">
        <v>718</v>
      </c>
      <c r="AW3234" t="s">
        <v>46842</v>
      </c>
    </row>
    <row r="3235" spans="1:50">
      <c r="A3235" s="1">
        <f>HYPERLINK("https://lsnyc.legalserver.org/matter/dynamic-profile/view/1883115","18-1883115")</f>
        <v>0</v>
      </c>
      <c r="B3235" t="s">
        <v>132</v>
      </c>
      <c r="C3235" t="s">
        <v>341</v>
      </c>
      <c r="D3235" t="s">
        <v>525</v>
      </c>
      <c r="E3235" t="s">
        <v>697</v>
      </c>
      <c r="F3235" t="s">
        <v>2563</v>
      </c>
      <c r="G3235" t="s">
        <v>2749</v>
      </c>
      <c r="H3235" t="s">
        <v>12191</v>
      </c>
      <c r="I3235" t="s">
        <v>17885</v>
      </c>
      <c r="J3235" t="s">
        <v>18894</v>
      </c>
      <c r="K3235">
        <v>11218</v>
      </c>
      <c r="L3235" t="s">
        <v>18958</v>
      </c>
      <c r="M3235" t="s">
        <v>18958</v>
      </c>
      <c r="N3235" t="s">
        <v>21375</v>
      </c>
      <c r="O3235" t="s">
        <v>26523</v>
      </c>
      <c r="P3235" t="s">
        <v>26564</v>
      </c>
      <c r="Q3235" t="s">
        <v>26570</v>
      </c>
      <c r="R3235" t="s">
        <v>26586</v>
      </c>
      <c r="S3235" t="s">
        <v>18959</v>
      </c>
      <c r="U3235" t="s">
        <v>26604</v>
      </c>
      <c r="V3235" t="s">
        <v>26612</v>
      </c>
      <c r="W3235" t="s">
        <v>841</v>
      </c>
      <c r="X3235">
        <v>1118.43</v>
      </c>
      <c r="Y3235" t="s">
        <v>26652</v>
      </c>
      <c r="Z3235" t="s">
        <v>26664</v>
      </c>
      <c r="AA3235" t="s">
        <v>26683</v>
      </c>
      <c r="AB3235" t="s">
        <v>29470</v>
      </c>
      <c r="AD3235" t="s">
        <v>39535</v>
      </c>
      <c r="AE3235">
        <v>35</v>
      </c>
      <c r="AF3235" t="s">
        <v>45541</v>
      </c>
      <c r="AG3235" t="s">
        <v>19330</v>
      </c>
      <c r="AH3235">
        <v>6</v>
      </c>
      <c r="AI3235">
        <v>2</v>
      </c>
      <c r="AJ3235">
        <v>0</v>
      </c>
      <c r="AK3235">
        <v>81.29000000000001</v>
      </c>
      <c r="AN3235" t="s">
        <v>7439</v>
      </c>
      <c r="AO3235">
        <v>13380</v>
      </c>
      <c r="AU3235">
        <v>2</v>
      </c>
      <c r="AV3235" t="s">
        <v>667</v>
      </c>
      <c r="AW3235" t="s">
        <v>46862</v>
      </c>
    </row>
    <row r="3236" spans="1:50">
      <c r="A3236" s="1">
        <f>HYPERLINK("https://lsnyc.legalserver.org/matter/dynamic-profile/view/1881117","18-1881117")</f>
        <v>0</v>
      </c>
      <c r="B3236" t="s">
        <v>118</v>
      </c>
      <c r="C3236" t="s">
        <v>341</v>
      </c>
      <c r="D3236" t="s">
        <v>639</v>
      </c>
      <c r="E3236" t="s">
        <v>737</v>
      </c>
      <c r="F3236" t="s">
        <v>2564</v>
      </c>
      <c r="G3236" t="s">
        <v>6467</v>
      </c>
      <c r="H3236" t="s">
        <v>10337</v>
      </c>
      <c r="I3236">
        <v>611</v>
      </c>
      <c r="J3236" t="s">
        <v>18893</v>
      </c>
      <c r="K3236">
        <v>10035</v>
      </c>
      <c r="L3236" t="s">
        <v>18958</v>
      </c>
      <c r="M3236" t="s">
        <v>18958</v>
      </c>
      <c r="O3236" t="s">
        <v>18997</v>
      </c>
      <c r="P3236" t="s">
        <v>26564</v>
      </c>
      <c r="Q3236" t="s">
        <v>26570</v>
      </c>
      <c r="R3236" t="s">
        <v>26578</v>
      </c>
      <c r="S3236" t="s">
        <v>18959</v>
      </c>
      <c r="U3236" t="s">
        <v>26604</v>
      </c>
      <c r="V3236" t="s">
        <v>26610</v>
      </c>
      <c r="W3236" t="s">
        <v>664</v>
      </c>
      <c r="X3236">
        <v>0</v>
      </c>
      <c r="Y3236" t="s">
        <v>26651</v>
      </c>
      <c r="Z3236" t="s">
        <v>26666</v>
      </c>
      <c r="AA3236" t="s">
        <v>26683</v>
      </c>
      <c r="AB3236" t="s">
        <v>29471</v>
      </c>
      <c r="AD3236" t="s">
        <v>39536</v>
      </c>
      <c r="AE3236">
        <v>91</v>
      </c>
      <c r="AF3236" t="s">
        <v>45554</v>
      </c>
      <c r="AG3236" t="s">
        <v>45556</v>
      </c>
      <c r="AH3236">
        <v>2</v>
      </c>
      <c r="AI3236">
        <v>1</v>
      </c>
      <c r="AJ3236">
        <v>0</v>
      </c>
      <c r="AK3236">
        <v>79.08</v>
      </c>
      <c r="AN3236" t="s">
        <v>7439</v>
      </c>
      <c r="AO3236">
        <v>9600</v>
      </c>
      <c r="AU3236">
        <v>1</v>
      </c>
      <c r="AV3236" t="s">
        <v>639</v>
      </c>
      <c r="AW3236" t="s">
        <v>46858</v>
      </c>
    </row>
    <row r="3237" spans="1:50">
      <c r="A3237" s="1">
        <f>HYPERLINK("https://lsnyc.legalserver.org/matter/dynamic-profile/view/1881197","18-1881197")</f>
        <v>0</v>
      </c>
      <c r="B3237" t="s">
        <v>99</v>
      </c>
      <c r="C3237" t="s">
        <v>341</v>
      </c>
      <c r="D3237" t="s">
        <v>631</v>
      </c>
      <c r="E3237" t="s">
        <v>664</v>
      </c>
      <c r="F3237" t="s">
        <v>1031</v>
      </c>
      <c r="G3237" t="s">
        <v>6803</v>
      </c>
      <c r="H3237" t="s">
        <v>12192</v>
      </c>
      <c r="I3237">
        <v>576</v>
      </c>
      <c r="J3237" t="s">
        <v>18894</v>
      </c>
      <c r="K3237">
        <v>11209</v>
      </c>
      <c r="L3237" t="s">
        <v>18958</v>
      </c>
      <c r="M3237" t="s">
        <v>18958</v>
      </c>
      <c r="N3237" t="s">
        <v>21376</v>
      </c>
      <c r="O3237" t="s">
        <v>26524</v>
      </c>
      <c r="P3237" t="s">
        <v>26564</v>
      </c>
      <c r="Q3237" t="s">
        <v>26570</v>
      </c>
      <c r="R3237" t="s">
        <v>26586</v>
      </c>
      <c r="S3237" t="s">
        <v>18959</v>
      </c>
      <c r="U3237" t="s">
        <v>26604</v>
      </c>
      <c r="V3237" t="s">
        <v>26610</v>
      </c>
      <c r="W3237" t="s">
        <v>664</v>
      </c>
      <c r="X3237">
        <v>360</v>
      </c>
      <c r="Y3237" t="s">
        <v>26652</v>
      </c>
      <c r="Z3237" t="s">
        <v>26664</v>
      </c>
      <c r="AA3237" t="s">
        <v>26683</v>
      </c>
      <c r="AB3237" t="s">
        <v>29472</v>
      </c>
      <c r="AD3237" t="s">
        <v>39537</v>
      </c>
      <c r="AE3237">
        <v>70</v>
      </c>
      <c r="AF3237" t="s">
        <v>45547</v>
      </c>
      <c r="AG3237" t="s">
        <v>19330</v>
      </c>
      <c r="AH3237">
        <v>-1</v>
      </c>
      <c r="AI3237">
        <v>1</v>
      </c>
      <c r="AJ3237">
        <v>0</v>
      </c>
      <c r="AK3237">
        <v>52.88</v>
      </c>
      <c r="AN3237" t="s">
        <v>7439</v>
      </c>
      <c r="AO3237">
        <v>6420</v>
      </c>
      <c r="AR3237" t="s">
        <v>26530</v>
      </c>
      <c r="AS3237" t="s">
        <v>46501</v>
      </c>
      <c r="AT3237" t="s">
        <v>46625</v>
      </c>
      <c r="AU3237">
        <v>3.2</v>
      </c>
      <c r="AV3237" t="s">
        <v>664</v>
      </c>
      <c r="AW3237" t="s">
        <v>46862</v>
      </c>
    </row>
    <row r="3238" spans="1:50">
      <c r="A3238" s="1">
        <f>HYPERLINK("https://lsnyc.legalserver.org/matter/dynamic-profile/view/1882838","18-1882838")</f>
        <v>0</v>
      </c>
      <c r="B3238" t="s">
        <v>99</v>
      </c>
      <c r="C3238" t="s">
        <v>341</v>
      </c>
      <c r="D3238" t="s">
        <v>577</v>
      </c>
      <c r="E3238" t="s">
        <v>719</v>
      </c>
      <c r="F3238" t="s">
        <v>1192</v>
      </c>
      <c r="G3238" t="s">
        <v>6804</v>
      </c>
      <c r="H3238" t="s">
        <v>12193</v>
      </c>
      <c r="I3238" t="s">
        <v>17272</v>
      </c>
      <c r="J3238" t="s">
        <v>18894</v>
      </c>
      <c r="K3238">
        <v>11220</v>
      </c>
      <c r="L3238" t="s">
        <v>18958</v>
      </c>
      <c r="M3238" t="s">
        <v>18958</v>
      </c>
      <c r="N3238" t="s">
        <v>21377</v>
      </c>
      <c r="O3238" t="s">
        <v>26523</v>
      </c>
      <c r="P3238" t="s">
        <v>26560</v>
      </c>
      <c r="Q3238" t="s">
        <v>26573</v>
      </c>
      <c r="R3238" t="s">
        <v>26586</v>
      </c>
      <c r="S3238" t="s">
        <v>18959</v>
      </c>
      <c r="U3238" t="s">
        <v>26604</v>
      </c>
      <c r="V3238" t="s">
        <v>26610</v>
      </c>
      <c r="W3238" t="s">
        <v>664</v>
      </c>
      <c r="X3238">
        <v>1459.66</v>
      </c>
      <c r="Y3238" t="s">
        <v>26652</v>
      </c>
      <c r="Z3238" t="s">
        <v>26659</v>
      </c>
      <c r="AA3238" t="s">
        <v>26677</v>
      </c>
      <c r="AB3238" t="s">
        <v>29473</v>
      </c>
      <c r="AD3238" t="s">
        <v>39538</v>
      </c>
      <c r="AE3238">
        <v>20</v>
      </c>
      <c r="AF3238" t="s">
        <v>45541</v>
      </c>
      <c r="AG3238" t="s">
        <v>45556</v>
      </c>
      <c r="AH3238">
        <v>4</v>
      </c>
      <c r="AI3238">
        <v>1</v>
      </c>
      <c r="AJ3238">
        <v>0</v>
      </c>
      <c r="AK3238">
        <v>0</v>
      </c>
      <c r="AN3238" t="s">
        <v>7439</v>
      </c>
      <c r="AO3238">
        <v>0</v>
      </c>
      <c r="AQ3238" t="s">
        <v>46359</v>
      </c>
      <c r="AR3238" t="s">
        <v>46381</v>
      </c>
      <c r="AS3238" t="s">
        <v>46499</v>
      </c>
      <c r="AT3238" t="s">
        <v>46563</v>
      </c>
      <c r="AU3238">
        <v>15.95</v>
      </c>
      <c r="AV3238" t="s">
        <v>719</v>
      </c>
      <c r="AW3238" t="s">
        <v>46862</v>
      </c>
    </row>
    <row r="3239" spans="1:50">
      <c r="A3239" s="1">
        <f>HYPERLINK("https://lsnyc.legalserver.org/matter/dynamic-profile/view/1882972","18-1882972")</f>
        <v>0</v>
      </c>
      <c r="B3239" t="s">
        <v>251</v>
      </c>
      <c r="C3239" t="s">
        <v>341</v>
      </c>
      <c r="D3239" t="s">
        <v>651</v>
      </c>
      <c r="E3239" t="s">
        <v>752</v>
      </c>
      <c r="F3239" t="s">
        <v>1587</v>
      </c>
      <c r="G3239" t="s">
        <v>5664</v>
      </c>
      <c r="H3239" t="s">
        <v>12194</v>
      </c>
      <c r="I3239" t="s">
        <v>17939</v>
      </c>
      <c r="J3239" t="s">
        <v>18892</v>
      </c>
      <c r="K3239">
        <v>10462</v>
      </c>
      <c r="L3239" t="s">
        <v>18958</v>
      </c>
      <c r="M3239" t="s">
        <v>18958</v>
      </c>
      <c r="N3239" t="s">
        <v>21378</v>
      </c>
      <c r="O3239" t="s">
        <v>26523</v>
      </c>
      <c r="P3239" t="s">
        <v>26560</v>
      </c>
      <c r="Q3239" t="s">
        <v>26568</v>
      </c>
      <c r="R3239" t="s">
        <v>26579</v>
      </c>
      <c r="U3239" t="s">
        <v>26604</v>
      </c>
      <c r="V3239" t="s">
        <v>26610</v>
      </c>
      <c r="W3239" t="s">
        <v>664</v>
      </c>
      <c r="X3239">
        <v>768</v>
      </c>
      <c r="Y3239" t="s">
        <v>26650</v>
      </c>
      <c r="Z3239" t="s">
        <v>26664</v>
      </c>
      <c r="AA3239" t="s">
        <v>26678</v>
      </c>
      <c r="AB3239" t="s">
        <v>29474</v>
      </c>
      <c r="AC3239" t="s">
        <v>35462</v>
      </c>
      <c r="AD3239" t="s">
        <v>39539</v>
      </c>
      <c r="AE3239">
        <v>2659</v>
      </c>
      <c r="AF3239" t="s">
        <v>45553</v>
      </c>
      <c r="AG3239" t="s">
        <v>45556</v>
      </c>
      <c r="AH3239">
        <v>5</v>
      </c>
      <c r="AI3239">
        <v>1</v>
      </c>
      <c r="AJ3239">
        <v>2</v>
      </c>
      <c r="AK3239">
        <v>130.13</v>
      </c>
      <c r="AN3239" t="s">
        <v>7439</v>
      </c>
      <c r="AO3239">
        <v>27040</v>
      </c>
      <c r="AQ3239" t="s">
        <v>46362</v>
      </c>
      <c r="AR3239" t="s">
        <v>46380</v>
      </c>
      <c r="AS3239" t="s">
        <v>46499</v>
      </c>
      <c r="AT3239" t="s">
        <v>46741</v>
      </c>
      <c r="AU3239">
        <v>20.45</v>
      </c>
      <c r="AV3239" t="s">
        <v>744</v>
      </c>
      <c r="AW3239" t="s">
        <v>334</v>
      </c>
    </row>
    <row r="3240" spans="1:50">
      <c r="A3240" s="1">
        <f>HYPERLINK("https://lsnyc.legalserver.org/matter/dynamic-profile/view/1883386","18-1883386")</f>
        <v>0</v>
      </c>
      <c r="B3240" t="s">
        <v>81</v>
      </c>
      <c r="C3240" t="s">
        <v>340</v>
      </c>
      <c r="D3240" t="s">
        <v>525</v>
      </c>
      <c r="F3240" t="s">
        <v>1235</v>
      </c>
      <c r="G3240" t="s">
        <v>6215</v>
      </c>
      <c r="H3240" t="s">
        <v>10707</v>
      </c>
      <c r="I3240" t="s">
        <v>17738</v>
      </c>
      <c r="J3240" t="s">
        <v>18892</v>
      </c>
      <c r="K3240">
        <v>10467</v>
      </c>
      <c r="L3240" t="s">
        <v>18958</v>
      </c>
      <c r="M3240" t="s">
        <v>18958</v>
      </c>
      <c r="N3240" t="s">
        <v>21379</v>
      </c>
      <c r="O3240" t="s">
        <v>26523</v>
      </c>
      <c r="P3240" t="s">
        <v>26560</v>
      </c>
      <c r="R3240" t="s">
        <v>26579</v>
      </c>
      <c r="S3240" t="s">
        <v>18959</v>
      </c>
      <c r="U3240" t="s">
        <v>26604</v>
      </c>
      <c r="W3240" t="s">
        <v>664</v>
      </c>
      <c r="X3240">
        <v>1400</v>
      </c>
      <c r="Y3240" t="s">
        <v>26650</v>
      </c>
      <c r="Z3240" t="s">
        <v>26664</v>
      </c>
      <c r="AB3240" t="s">
        <v>29475</v>
      </c>
      <c r="AD3240" t="s">
        <v>39540</v>
      </c>
      <c r="AE3240">
        <v>0</v>
      </c>
      <c r="AF3240" t="s">
        <v>20460</v>
      </c>
      <c r="AG3240" t="s">
        <v>19330</v>
      </c>
      <c r="AH3240">
        <v>1</v>
      </c>
      <c r="AI3240">
        <v>1</v>
      </c>
      <c r="AJ3240">
        <v>2</v>
      </c>
      <c r="AK3240">
        <v>91.43000000000001</v>
      </c>
      <c r="AN3240" t="s">
        <v>7439</v>
      </c>
      <c r="AO3240">
        <v>19000</v>
      </c>
      <c r="AU3240">
        <v>10.65</v>
      </c>
      <c r="AV3240" t="s">
        <v>694</v>
      </c>
      <c r="AW3240" t="s">
        <v>336</v>
      </c>
    </row>
    <row r="3241" spans="1:50">
      <c r="A3241" s="1">
        <f>HYPERLINK("https://lsnyc.legalserver.org/matter/dynamic-profile/view/1883452","18-1883452")</f>
        <v>0</v>
      </c>
      <c r="B3241" t="s">
        <v>216</v>
      </c>
      <c r="C3241" t="s">
        <v>341</v>
      </c>
      <c r="D3241" t="s">
        <v>664</v>
      </c>
      <c r="E3241" t="s">
        <v>688</v>
      </c>
      <c r="F3241" t="s">
        <v>1288</v>
      </c>
      <c r="G3241" t="s">
        <v>6805</v>
      </c>
      <c r="H3241" t="s">
        <v>12195</v>
      </c>
      <c r="I3241" t="s">
        <v>17331</v>
      </c>
      <c r="J3241" t="s">
        <v>18894</v>
      </c>
      <c r="K3241">
        <v>11212</v>
      </c>
      <c r="L3241" t="s">
        <v>18958</v>
      </c>
      <c r="M3241" t="s">
        <v>18958</v>
      </c>
      <c r="N3241" t="s">
        <v>21380</v>
      </c>
      <c r="O3241" t="s">
        <v>26524</v>
      </c>
      <c r="P3241" t="s">
        <v>26565</v>
      </c>
      <c r="Q3241" t="s">
        <v>26570</v>
      </c>
      <c r="R3241" t="s">
        <v>26578</v>
      </c>
      <c r="U3241" t="s">
        <v>26604</v>
      </c>
      <c r="W3241" t="s">
        <v>664</v>
      </c>
      <c r="X3241">
        <v>1350</v>
      </c>
      <c r="Y3241" t="s">
        <v>26652</v>
      </c>
      <c r="Z3241" t="s">
        <v>26664</v>
      </c>
      <c r="AA3241" t="s">
        <v>26683</v>
      </c>
      <c r="AB3241" t="s">
        <v>29476</v>
      </c>
      <c r="AD3241" t="s">
        <v>39541</v>
      </c>
      <c r="AE3241">
        <v>4</v>
      </c>
      <c r="AH3241">
        <v>7</v>
      </c>
      <c r="AI3241">
        <v>1</v>
      </c>
      <c r="AJ3241">
        <v>0</v>
      </c>
      <c r="AK3241">
        <v>0</v>
      </c>
      <c r="AM3241" t="s">
        <v>45575</v>
      </c>
      <c r="AN3241" t="s">
        <v>7439</v>
      </c>
      <c r="AO3241">
        <v>0</v>
      </c>
      <c r="AU3241">
        <v>1</v>
      </c>
      <c r="AV3241" t="s">
        <v>682</v>
      </c>
      <c r="AW3241" t="s">
        <v>46856</v>
      </c>
    </row>
    <row r="3242" spans="1:50">
      <c r="A3242" s="1">
        <f>HYPERLINK("https://lsnyc.legalserver.org/matter/dynamic-profile/view/1883510","18-1883510")</f>
        <v>0</v>
      </c>
      <c r="B3242" t="s">
        <v>224</v>
      </c>
      <c r="C3242" t="s">
        <v>341</v>
      </c>
      <c r="D3242" t="s">
        <v>664</v>
      </c>
      <c r="E3242" t="s">
        <v>862</v>
      </c>
      <c r="F3242" t="s">
        <v>2565</v>
      </c>
      <c r="G3242" t="s">
        <v>6806</v>
      </c>
      <c r="H3242" t="s">
        <v>12196</v>
      </c>
      <c r="I3242" t="s">
        <v>17333</v>
      </c>
      <c r="J3242" t="s">
        <v>18894</v>
      </c>
      <c r="K3242">
        <v>11233</v>
      </c>
      <c r="L3242" t="s">
        <v>18959</v>
      </c>
      <c r="M3242" t="s">
        <v>18958</v>
      </c>
      <c r="N3242" t="s">
        <v>18997</v>
      </c>
      <c r="O3242" t="s">
        <v>26529</v>
      </c>
      <c r="P3242" t="s">
        <v>26564</v>
      </c>
      <c r="Q3242" t="s">
        <v>26570</v>
      </c>
      <c r="R3242" t="s">
        <v>26578</v>
      </c>
      <c r="S3242" t="s">
        <v>18959</v>
      </c>
      <c r="U3242" t="s">
        <v>26604</v>
      </c>
      <c r="V3242" t="s">
        <v>26610</v>
      </c>
      <c r="W3242" t="s">
        <v>664</v>
      </c>
      <c r="X3242">
        <v>1066</v>
      </c>
      <c r="Y3242" t="s">
        <v>26652</v>
      </c>
      <c r="Z3242" t="s">
        <v>26657</v>
      </c>
      <c r="AA3242" t="s">
        <v>26683</v>
      </c>
      <c r="AB3242" t="s">
        <v>29477</v>
      </c>
      <c r="AD3242" t="s">
        <v>39542</v>
      </c>
      <c r="AE3242">
        <v>6</v>
      </c>
      <c r="AF3242" t="s">
        <v>45541</v>
      </c>
      <c r="AG3242" t="s">
        <v>19330</v>
      </c>
      <c r="AH3242">
        <v>20</v>
      </c>
      <c r="AI3242">
        <v>2</v>
      </c>
      <c r="AJ3242">
        <v>1</v>
      </c>
      <c r="AK3242">
        <v>158.81</v>
      </c>
      <c r="AN3242" t="s">
        <v>7439</v>
      </c>
      <c r="AO3242">
        <v>33000</v>
      </c>
      <c r="AU3242">
        <v>1</v>
      </c>
      <c r="AV3242" t="s">
        <v>664</v>
      </c>
      <c r="AW3242" t="s">
        <v>279</v>
      </c>
    </row>
    <row r="3243" spans="1:50">
      <c r="A3243" s="1">
        <f>HYPERLINK("https://lsnyc.legalserver.org/matter/dynamic-profile/view/1883548","18-1883548")</f>
        <v>0</v>
      </c>
      <c r="B3243" t="s">
        <v>56</v>
      </c>
      <c r="C3243" t="s">
        <v>341</v>
      </c>
      <c r="D3243" t="s">
        <v>664</v>
      </c>
      <c r="E3243" t="s">
        <v>820</v>
      </c>
      <c r="F3243" t="s">
        <v>2566</v>
      </c>
      <c r="G3243" t="s">
        <v>4612</v>
      </c>
      <c r="H3243" t="s">
        <v>12197</v>
      </c>
      <c r="I3243" t="s">
        <v>17356</v>
      </c>
      <c r="J3243" t="s">
        <v>18892</v>
      </c>
      <c r="K3243">
        <v>10453</v>
      </c>
      <c r="L3243" t="s">
        <v>18958</v>
      </c>
      <c r="M3243" t="s">
        <v>18958</v>
      </c>
      <c r="N3243" t="s">
        <v>21381</v>
      </c>
      <c r="O3243" t="s">
        <v>26523</v>
      </c>
      <c r="P3243" t="s">
        <v>26560</v>
      </c>
      <c r="Q3243" t="s">
        <v>26568</v>
      </c>
      <c r="R3243" t="s">
        <v>26577</v>
      </c>
      <c r="U3243" t="s">
        <v>26604</v>
      </c>
      <c r="V3243" t="s">
        <v>26609</v>
      </c>
      <c r="W3243" t="s">
        <v>664</v>
      </c>
      <c r="X3243">
        <v>468</v>
      </c>
      <c r="Y3243" t="s">
        <v>26650</v>
      </c>
      <c r="Z3243" t="s">
        <v>26664</v>
      </c>
      <c r="AA3243" t="s">
        <v>26678</v>
      </c>
      <c r="AB3243" t="s">
        <v>29478</v>
      </c>
      <c r="AC3243" t="s">
        <v>35463</v>
      </c>
      <c r="AD3243" t="s">
        <v>39543</v>
      </c>
      <c r="AE3243">
        <v>0</v>
      </c>
      <c r="AF3243" t="s">
        <v>45541</v>
      </c>
      <c r="AG3243" t="s">
        <v>19330</v>
      </c>
      <c r="AH3243">
        <v>21</v>
      </c>
      <c r="AI3243">
        <v>2</v>
      </c>
      <c r="AJ3243">
        <v>4</v>
      </c>
      <c r="AK3243">
        <v>97.61</v>
      </c>
      <c r="AN3243" t="s">
        <v>7439</v>
      </c>
      <c r="AO3243">
        <v>32933</v>
      </c>
      <c r="AQ3243" t="s">
        <v>46362</v>
      </c>
      <c r="AR3243" t="s">
        <v>46381</v>
      </c>
      <c r="AS3243" t="s">
        <v>46499</v>
      </c>
      <c r="AT3243" t="s">
        <v>46615</v>
      </c>
      <c r="AU3243">
        <v>10.1</v>
      </c>
      <c r="AV3243" t="s">
        <v>768</v>
      </c>
      <c r="AW3243" t="s">
        <v>334</v>
      </c>
      <c r="AX3243" t="s">
        <v>46897</v>
      </c>
    </row>
    <row r="3244" spans="1:50">
      <c r="A3244" s="1">
        <f>HYPERLINK("https://lsnyc.legalserver.org/matter/dynamic-profile/view/1883464","18-1883464")</f>
        <v>0</v>
      </c>
      <c r="B3244" t="s">
        <v>261</v>
      </c>
      <c r="C3244" t="s">
        <v>341</v>
      </c>
      <c r="D3244" t="s">
        <v>664</v>
      </c>
      <c r="E3244" t="s">
        <v>494</v>
      </c>
      <c r="F3244" t="s">
        <v>2567</v>
      </c>
      <c r="G3244" t="s">
        <v>5143</v>
      </c>
      <c r="H3244" t="s">
        <v>12198</v>
      </c>
      <c r="I3244" t="s">
        <v>17312</v>
      </c>
      <c r="J3244" t="s">
        <v>18892</v>
      </c>
      <c r="K3244">
        <v>10457</v>
      </c>
      <c r="L3244" t="s">
        <v>18958</v>
      </c>
      <c r="M3244" t="s">
        <v>18958</v>
      </c>
      <c r="N3244" t="s">
        <v>19330</v>
      </c>
      <c r="O3244" t="s">
        <v>26529</v>
      </c>
      <c r="P3244" t="s">
        <v>26564</v>
      </c>
      <c r="Q3244" t="s">
        <v>26570</v>
      </c>
      <c r="R3244" t="s">
        <v>26578</v>
      </c>
      <c r="S3244" t="s">
        <v>18959</v>
      </c>
      <c r="U3244" t="s">
        <v>26604</v>
      </c>
      <c r="V3244" t="s">
        <v>26610</v>
      </c>
      <c r="W3244" t="s">
        <v>664</v>
      </c>
      <c r="X3244">
        <v>595</v>
      </c>
      <c r="Y3244" t="s">
        <v>26650</v>
      </c>
      <c r="Z3244" t="s">
        <v>26661</v>
      </c>
      <c r="AA3244" t="s">
        <v>26683</v>
      </c>
      <c r="AB3244" t="s">
        <v>29479</v>
      </c>
      <c r="AD3244" t="s">
        <v>39544</v>
      </c>
      <c r="AE3244">
        <v>43</v>
      </c>
      <c r="AF3244" t="s">
        <v>45548</v>
      </c>
      <c r="AG3244" t="s">
        <v>19330</v>
      </c>
      <c r="AH3244">
        <v>15</v>
      </c>
      <c r="AI3244">
        <v>3</v>
      </c>
      <c r="AJ3244">
        <v>4</v>
      </c>
      <c r="AK3244">
        <v>165.72</v>
      </c>
      <c r="AN3244" t="s">
        <v>7439</v>
      </c>
      <c r="AO3244">
        <v>63072</v>
      </c>
      <c r="AP3244" t="s">
        <v>45784</v>
      </c>
      <c r="AU3244">
        <v>2.5</v>
      </c>
      <c r="AV3244" t="s">
        <v>718</v>
      </c>
      <c r="AW3244" t="s">
        <v>46858</v>
      </c>
    </row>
    <row r="3245" spans="1:50">
      <c r="A3245" s="1">
        <f>HYPERLINK("https://lsnyc.legalserver.org/matter/dynamic-profile/view/1886038","18-1886038")</f>
        <v>0</v>
      </c>
      <c r="B3245" t="s">
        <v>55</v>
      </c>
      <c r="C3245" t="s">
        <v>340</v>
      </c>
      <c r="D3245" t="s">
        <v>664</v>
      </c>
      <c r="F3245" t="s">
        <v>1107</v>
      </c>
      <c r="G3245" t="s">
        <v>6807</v>
      </c>
      <c r="H3245" t="s">
        <v>12199</v>
      </c>
      <c r="I3245" t="s">
        <v>17940</v>
      </c>
      <c r="J3245" t="s">
        <v>18892</v>
      </c>
      <c r="K3245">
        <v>10460</v>
      </c>
      <c r="L3245" t="s">
        <v>18958</v>
      </c>
      <c r="M3245" t="s">
        <v>18958</v>
      </c>
      <c r="O3245" t="s">
        <v>26526</v>
      </c>
      <c r="P3245" t="s">
        <v>26560</v>
      </c>
      <c r="R3245" t="s">
        <v>26578</v>
      </c>
      <c r="S3245" t="s">
        <v>18958</v>
      </c>
      <c r="U3245" t="s">
        <v>26604</v>
      </c>
      <c r="W3245" t="s">
        <v>664</v>
      </c>
      <c r="X3245">
        <v>955</v>
      </c>
      <c r="Y3245" t="s">
        <v>26650</v>
      </c>
      <c r="Z3245" t="s">
        <v>26663</v>
      </c>
      <c r="AB3245" t="s">
        <v>29480</v>
      </c>
      <c r="AD3245" t="s">
        <v>39545</v>
      </c>
      <c r="AE3245">
        <v>169</v>
      </c>
      <c r="AF3245" t="s">
        <v>45541</v>
      </c>
      <c r="AG3245" t="s">
        <v>45556</v>
      </c>
      <c r="AH3245">
        <v>34</v>
      </c>
      <c r="AI3245">
        <v>1</v>
      </c>
      <c r="AJ3245">
        <v>0</v>
      </c>
      <c r="AK3245">
        <v>257</v>
      </c>
      <c r="AN3245" t="s">
        <v>7439</v>
      </c>
      <c r="AO3245">
        <v>31200</v>
      </c>
      <c r="AU3245">
        <v>0</v>
      </c>
      <c r="AW3245" t="s">
        <v>292</v>
      </c>
    </row>
    <row r="3246" spans="1:50">
      <c r="A3246" s="1">
        <f>HYPERLINK("https://lsnyc.legalserver.org/matter/dynamic-profile/view/1883474","18-1883474")</f>
        <v>0</v>
      </c>
      <c r="B3246" t="s">
        <v>56</v>
      </c>
      <c r="C3246" t="s">
        <v>340</v>
      </c>
      <c r="D3246" t="s">
        <v>664</v>
      </c>
      <c r="F3246" t="s">
        <v>964</v>
      </c>
      <c r="G3246" t="s">
        <v>6808</v>
      </c>
      <c r="H3246" t="s">
        <v>12200</v>
      </c>
      <c r="I3246" t="s">
        <v>17406</v>
      </c>
      <c r="J3246" t="s">
        <v>18892</v>
      </c>
      <c r="K3246">
        <v>10458</v>
      </c>
      <c r="L3246" t="s">
        <v>18958</v>
      </c>
      <c r="M3246" t="s">
        <v>18958</v>
      </c>
      <c r="N3246" t="s">
        <v>21382</v>
      </c>
      <c r="O3246" t="s">
        <v>26524</v>
      </c>
      <c r="P3246" t="s">
        <v>26560</v>
      </c>
      <c r="R3246" t="s">
        <v>26577</v>
      </c>
      <c r="U3246" t="s">
        <v>26604</v>
      </c>
      <c r="V3246" t="s">
        <v>26609</v>
      </c>
      <c r="W3246" t="s">
        <v>664</v>
      </c>
      <c r="X3246">
        <v>1250</v>
      </c>
      <c r="Y3246" t="s">
        <v>26650</v>
      </c>
      <c r="Z3246" t="s">
        <v>26664</v>
      </c>
      <c r="AB3246" t="s">
        <v>29481</v>
      </c>
      <c r="AE3246">
        <v>0</v>
      </c>
      <c r="AF3246" t="s">
        <v>45541</v>
      </c>
      <c r="AG3246" t="s">
        <v>19330</v>
      </c>
      <c r="AH3246">
        <v>12</v>
      </c>
      <c r="AI3246">
        <v>1</v>
      </c>
      <c r="AJ3246">
        <v>2</v>
      </c>
      <c r="AK3246">
        <v>72.18000000000001</v>
      </c>
      <c r="AN3246" t="s">
        <v>7439</v>
      </c>
      <c r="AO3246">
        <v>15000</v>
      </c>
      <c r="AP3246" t="s">
        <v>45654</v>
      </c>
      <c r="AU3246">
        <v>9</v>
      </c>
      <c r="AV3246" t="s">
        <v>735</v>
      </c>
      <c r="AW3246" t="s">
        <v>334</v>
      </c>
    </row>
    <row r="3247" spans="1:50">
      <c r="A3247" s="1">
        <f>HYPERLINK("https://lsnyc.legalserver.org/matter/dynamic-profile/view/1883496","18-1883496")</f>
        <v>0</v>
      </c>
      <c r="B3247" t="s">
        <v>56</v>
      </c>
      <c r="C3247" t="s">
        <v>340</v>
      </c>
      <c r="D3247" t="s">
        <v>664</v>
      </c>
      <c r="F3247" t="s">
        <v>2568</v>
      </c>
      <c r="G3247" t="s">
        <v>5635</v>
      </c>
      <c r="H3247" t="s">
        <v>9950</v>
      </c>
      <c r="I3247" t="s">
        <v>17325</v>
      </c>
      <c r="J3247" t="s">
        <v>18892</v>
      </c>
      <c r="K3247">
        <v>10457</v>
      </c>
      <c r="L3247" t="s">
        <v>18958</v>
      </c>
      <c r="M3247" t="s">
        <v>18958</v>
      </c>
      <c r="N3247" t="s">
        <v>21383</v>
      </c>
      <c r="O3247" t="s">
        <v>26523</v>
      </c>
      <c r="P3247" t="s">
        <v>26560</v>
      </c>
      <c r="R3247" t="s">
        <v>26579</v>
      </c>
      <c r="U3247" t="s">
        <v>26604</v>
      </c>
      <c r="V3247" t="s">
        <v>26612</v>
      </c>
      <c r="W3247" t="s">
        <v>664</v>
      </c>
      <c r="X3247">
        <v>1200</v>
      </c>
      <c r="Y3247" t="s">
        <v>26650</v>
      </c>
      <c r="Z3247" t="s">
        <v>26664</v>
      </c>
      <c r="AB3247" t="s">
        <v>29482</v>
      </c>
      <c r="AC3247" t="s">
        <v>35464</v>
      </c>
      <c r="AD3247" t="s">
        <v>39546</v>
      </c>
      <c r="AE3247">
        <v>0</v>
      </c>
      <c r="AF3247" t="s">
        <v>45547</v>
      </c>
      <c r="AG3247" t="s">
        <v>45556</v>
      </c>
      <c r="AH3247">
        <v>12</v>
      </c>
      <c r="AI3247">
        <v>2</v>
      </c>
      <c r="AJ3247">
        <v>1</v>
      </c>
      <c r="AK3247">
        <v>81.75</v>
      </c>
      <c r="AO3247">
        <v>16986.95</v>
      </c>
      <c r="AU3247">
        <v>10</v>
      </c>
      <c r="AV3247" t="s">
        <v>829</v>
      </c>
      <c r="AW3247" t="s">
        <v>334</v>
      </c>
    </row>
    <row r="3248" spans="1:50">
      <c r="A3248" s="1">
        <f>HYPERLINK("https://lsnyc.legalserver.org/matter/dynamic-profile/view/1883463","18-1883463")</f>
        <v>0</v>
      </c>
      <c r="B3248" t="s">
        <v>121</v>
      </c>
      <c r="C3248" t="s">
        <v>340</v>
      </c>
      <c r="D3248" t="s">
        <v>664</v>
      </c>
      <c r="F3248" t="s">
        <v>1640</v>
      </c>
      <c r="G3248" t="s">
        <v>5199</v>
      </c>
      <c r="H3248" t="s">
        <v>12201</v>
      </c>
      <c r="I3248">
        <v>11</v>
      </c>
      <c r="J3248" t="s">
        <v>18892</v>
      </c>
      <c r="K3248">
        <v>10457</v>
      </c>
      <c r="L3248" t="s">
        <v>18958</v>
      </c>
      <c r="M3248" t="s">
        <v>18958</v>
      </c>
      <c r="N3248" t="s">
        <v>21384</v>
      </c>
      <c r="O3248" t="s">
        <v>26523</v>
      </c>
      <c r="P3248" t="s">
        <v>26560</v>
      </c>
      <c r="R3248" t="s">
        <v>26579</v>
      </c>
      <c r="U3248" t="s">
        <v>26604</v>
      </c>
      <c r="V3248" t="s">
        <v>26609</v>
      </c>
      <c r="W3248" t="s">
        <v>664</v>
      </c>
      <c r="X3248">
        <v>1600</v>
      </c>
      <c r="Y3248" t="s">
        <v>26650</v>
      </c>
      <c r="Z3248" t="s">
        <v>26664</v>
      </c>
      <c r="AB3248" t="s">
        <v>29483</v>
      </c>
      <c r="AC3248" t="s">
        <v>35465</v>
      </c>
      <c r="AD3248" t="s">
        <v>39547</v>
      </c>
      <c r="AE3248">
        <v>0</v>
      </c>
      <c r="AF3248" t="s">
        <v>45547</v>
      </c>
      <c r="AG3248" t="s">
        <v>19330</v>
      </c>
      <c r="AH3248">
        <v>1</v>
      </c>
      <c r="AI3248">
        <v>1</v>
      </c>
      <c r="AJ3248">
        <v>3</v>
      </c>
      <c r="AK3248">
        <v>47.52</v>
      </c>
      <c r="AN3248" t="s">
        <v>45581</v>
      </c>
      <c r="AO3248">
        <v>11928</v>
      </c>
      <c r="AU3248">
        <v>18.8</v>
      </c>
      <c r="AV3248" t="s">
        <v>785</v>
      </c>
      <c r="AW3248" t="s">
        <v>334</v>
      </c>
    </row>
    <row r="3249" spans="1:50">
      <c r="A3249" s="1">
        <f>HYPERLINK("https://lsnyc.legalserver.org/matter/dynamic-profile/view/1881975","18-1881975")</f>
        <v>0</v>
      </c>
      <c r="B3249" t="s">
        <v>207</v>
      </c>
      <c r="C3249" t="s">
        <v>341</v>
      </c>
      <c r="D3249" t="s">
        <v>641</v>
      </c>
      <c r="E3249" t="s">
        <v>603</v>
      </c>
      <c r="F3249" t="s">
        <v>918</v>
      </c>
      <c r="G3249" t="s">
        <v>5078</v>
      </c>
      <c r="H3249" t="s">
        <v>12202</v>
      </c>
      <c r="I3249" t="s">
        <v>17941</v>
      </c>
      <c r="J3249" t="s">
        <v>18894</v>
      </c>
      <c r="K3249">
        <v>11223</v>
      </c>
      <c r="L3249" t="s">
        <v>18958</v>
      </c>
      <c r="M3249" t="s">
        <v>18958</v>
      </c>
      <c r="N3249" t="s">
        <v>21385</v>
      </c>
      <c r="O3249" t="s">
        <v>26523</v>
      </c>
      <c r="P3249" t="s">
        <v>26563</v>
      </c>
      <c r="Q3249" t="s">
        <v>26570</v>
      </c>
      <c r="R3249" t="s">
        <v>26586</v>
      </c>
      <c r="U3249" t="s">
        <v>26604</v>
      </c>
      <c r="W3249" t="s">
        <v>603</v>
      </c>
      <c r="X3249">
        <v>1700</v>
      </c>
      <c r="Y3249" t="s">
        <v>26652</v>
      </c>
      <c r="Z3249" t="s">
        <v>26664</v>
      </c>
      <c r="AA3249" t="s">
        <v>26683</v>
      </c>
      <c r="AB3249" t="s">
        <v>29484</v>
      </c>
      <c r="AC3249" t="s">
        <v>35466</v>
      </c>
      <c r="AD3249" t="s">
        <v>39548</v>
      </c>
      <c r="AE3249">
        <v>0</v>
      </c>
      <c r="AG3249" t="s">
        <v>19330</v>
      </c>
      <c r="AH3249">
        <v>5</v>
      </c>
      <c r="AI3249">
        <v>1</v>
      </c>
      <c r="AJ3249">
        <v>0</v>
      </c>
      <c r="AK3249">
        <v>36.41</v>
      </c>
      <c r="AN3249" t="s">
        <v>7439</v>
      </c>
      <c r="AO3249">
        <v>4420</v>
      </c>
      <c r="AU3249">
        <v>1.5</v>
      </c>
      <c r="AV3249" t="s">
        <v>603</v>
      </c>
      <c r="AW3249" t="s">
        <v>281</v>
      </c>
    </row>
    <row r="3250" spans="1:50">
      <c r="A3250" s="1">
        <f>HYPERLINK("https://lsnyc.legalserver.org/matter/dynamic-profile/view/1881971","18-1881971")</f>
        <v>0</v>
      </c>
      <c r="B3250" t="s">
        <v>207</v>
      </c>
      <c r="C3250" t="s">
        <v>341</v>
      </c>
      <c r="D3250" t="s">
        <v>641</v>
      </c>
      <c r="E3250" t="s">
        <v>603</v>
      </c>
      <c r="F3250" t="s">
        <v>2002</v>
      </c>
      <c r="G3250" t="s">
        <v>5078</v>
      </c>
      <c r="H3250" t="s">
        <v>12203</v>
      </c>
      <c r="I3250">
        <v>13</v>
      </c>
      <c r="J3250" t="s">
        <v>18894</v>
      </c>
      <c r="K3250">
        <v>11220</v>
      </c>
      <c r="L3250" t="s">
        <v>18958</v>
      </c>
      <c r="M3250" t="s">
        <v>18958</v>
      </c>
      <c r="N3250" t="s">
        <v>21386</v>
      </c>
      <c r="O3250" t="s">
        <v>26523</v>
      </c>
      <c r="P3250" t="s">
        <v>26563</v>
      </c>
      <c r="Q3250" t="s">
        <v>26570</v>
      </c>
      <c r="R3250" t="s">
        <v>26586</v>
      </c>
      <c r="U3250" t="s">
        <v>26604</v>
      </c>
      <c r="W3250" t="s">
        <v>603</v>
      </c>
      <c r="X3250">
        <v>1211</v>
      </c>
      <c r="Y3250" t="s">
        <v>26652</v>
      </c>
      <c r="Z3250" t="s">
        <v>26664</v>
      </c>
      <c r="AA3250" t="s">
        <v>26683</v>
      </c>
      <c r="AB3250" t="s">
        <v>29485</v>
      </c>
      <c r="AC3250" t="s">
        <v>35467</v>
      </c>
      <c r="AD3250" t="s">
        <v>39549</v>
      </c>
      <c r="AE3250">
        <v>14</v>
      </c>
      <c r="AG3250" t="s">
        <v>45556</v>
      </c>
      <c r="AH3250">
        <v>23</v>
      </c>
      <c r="AI3250">
        <v>1</v>
      </c>
      <c r="AJ3250">
        <v>0</v>
      </c>
      <c r="AK3250">
        <v>84.02</v>
      </c>
      <c r="AN3250" t="s">
        <v>7439</v>
      </c>
      <c r="AO3250">
        <v>10200</v>
      </c>
      <c r="AU3250">
        <v>1</v>
      </c>
      <c r="AV3250" t="s">
        <v>651</v>
      </c>
      <c r="AW3250" t="s">
        <v>281</v>
      </c>
    </row>
    <row r="3251" spans="1:50">
      <c r="A3251" s="1">
        <f>HYPERLINK("https://lsnyc.legalserver.org/matter/dynamic-profile/view/1883064","18-1883064")</f>
        <v>0</v>
      </c>
      <c r="B3251" t="s">
        <v>120</v>
      </c>
      <c r="C3251" t="s">
        <v>340</v>
      </c>
      <c r="D3251" t="s">
        <v>651</v>
      </c>
      <c r="F3251" t="s">
        <v>2569</v>
      </c>
      <c r="G3251" t="s">
        <v>2915</v>
      </c>
      <c r="H3251" t="s">
        <v>12204</v>
      </c>
      <c r="I3251">
        <v>3</v>
      </c>
      <c r="J3251" t="s">
        <v>18892</v>
      </c>
      <c r="K3251">
        <v>10459</v>
      </c>
      <c r="L3251" t="s">
        <v>18958</v>
      </c>
      <c r="M3251" t="s">
        <v>18958</v>
      </c>
      <c r="N3251" t="s">
        <v>21387</v>
      </c>
      <c r="O3251" t="s">
        <v>26523</v>
      </c>
      <c r="P3251" t="s">
        <v>26560</v>
      </c>
      <c r="R3251" t="s">
        <v>26577</v>
      </c>
      <c r="S3251" t="s">
        <v>18959</v>
      </c>
      <c r="U3251" t="s">
        <v>26604</v>
      </c>
      <c r="V3251" t="s">
        <v>26610</v>
      </c>
      <c r="W3251" t="s">
        <v>603</v>
      </c>
      <c r="X3251">
        <v>1575</v>
      </c>
      <c r="Y3251" t="s">
        <v>26650</v>
      </c>
      <c r="Z3251" t="s">
        <v>26659</v>
      </c>
      <c r="AB3251" t="s">
        <v>29486</v>
      </c>
      <c r="AC3251" t="s">
        <v>35468</v>
      </c>
      <c r="AE3251">
        <v>4</v>
      </c>
      <c r="AF3251" t="s">
        <v>45547</v>
      </c>
      <c r="AG3251" t="s">
        <v>45558</v>
      </c>
      <c r="AH3251">
        <v>5</v>
      </c>
      <c r="AI3251">
        <v>3</v>
      </c>
      <c r="AJ3251">
        <v>3</v>
      </c>
      <c r="AK3251">
        <v>46.37</v>
      </c>
      <c r="AN3251" t="s">
        <v>7439</v>
      </c>
      <c r="AO3251">
        <v>15646.8</v>
      </c>
      <c r="AU3251">
        <v>13</v>
      </c>
      <c r="AV3251" t="s">
        <v>831</v>
      </c>
      <c r="AW3251" t="s">
        <v>46847</v>
      </c>
    </row>
    <row r="3252" spans="1:50">
      <c r="A3252" s="1">
        <f>HYPERLINK("https://lsnyc.legalserver.org/matter/dynamic-profile/view/1883668","18-1883668")</f>
        <v>0</v>
      </c>
      <c r="B3252" t="s">
        <v>98</v>
      </c>
      <c r="C3252" t="s">
        <v>341</v>
      </c>
      <c r="D3252" t="s">
        <v>603</v>
      </c>
      <c r="E3252" t="s">
        <v>703</v>
      </c>
      <c r="F3252" t="s">
        <v>2570</v>
      </c>
      <c r="G3252" t="s">
        <v>6809</v>
      </c>
      <c r="H3252" t="s">
        <v>12205</v>
      </c>
      <c r="I3252" t="s">
        <v>17436</v>
      </c>
      <c r="J3252" t="s">
        <v>18892</v>
      </c>
      <c r="K3252">
        <v>10452</v>
      </c>
      <c r="L3252" t="s">
        <v>18958</v>
      </c>
      <c r="M3252" t="s">
        <v>18958</v>
      </c>
      <c r="O3252" t="s">
        <v>18997</v>
      </c>
      <c r="P3252" t="s">
        <v>26565</v>
      </c>
      <c r="Q3252" t="s">
        <v>26571</v>
      </c>
      <c r="R3252" t="s">
        <v>26578</v>
      </c>
      <c r="S3252" t="s">
        <v>18959</v>
      </c>
      <c r="U3252" t="s">
        <v>26604</v>
      </c>
      <c r="W3252" t="s">
        <v>603</v>
      </c>
      <c r="X3252">
        <v>887.1900000000001</v>
      </c>
      <c r="Y3252" t="s">
        <v>26650</v>
      </c>
      <c r="Z3252" t="s">
        <v>26663</v>
      </c>
      <c r="AA3252" t="s">
        <v>26682</v>
      </c>
      <c r="AB3252" t="s">
        <v>29487</v>
      </c>
      <c r="AD3252" t="s">
        <v>39550</v>
      </c>
      <c r="AE3252">
        <v>57</v>
      </c>
      <c r="AF3252" t="s">
        <v>45541</v>
      </c>
      <c r="AG3252" t="s">
        <v>45559</v>
      </c>
      <c r="AH3252">
        <v>40</v>
      </c>
      <c r="AI3252">
        <v>1</v>
      </c>
      <c r="AJ3252">
        <v>0</v>
      </c>
      <c r="AK3252">
        <v>118.02</v>
      </c>
      <c r="AN3252" t="s">
        <v>45581</v>
      </c>
      <c r="AO3252">
        <v>14328</v>
      </c>
      <c r="AU3252">
        <v>0.7</v>
      </c>
      <c r="AV3252" t="s">
        <v>703</v>
      </c>
      <c r="AW3252" t="s">
        <v>98</v>
      </c>
    </row>
    <row r="3253" spans="1:50">
      <c r="A3253" s="1">
        <f>HYPERLINK("https://lsnyc.legalserver.org/matter/dynamic-profile/view/1883649","18-1883649")</f>
        <v>0</v>
      </c>
      <c r="B3253" t="s">
        <v>247</v>
      </c>
      <c r="C3253" t="s">
        <v>341</v>
      </c>
      <c r="D3253" t="s">
        <v>603</v>
      </c>
      <c r="E3253" t="s">
        <v>703</v>
      </c>
      <c r="F3253" t="s">
        <v>887</v>
      </c>
      <c r="G3253" t="s">
        <v>5147</v>
      </c>
      <c r="H3253" t="s">
        <v>11560</v>
      </c>
      <c r="I3253" t="s">
        <v>17430</v>
      </c>
      <c r="J3253" t="s">
        <v>18920</v>
      </c>
      <c r="K3253">
        <v>11369</v>
      </c>
      <c r="L3253" t="s">
        <v>18958</v>
      </c>
      <c r="M3253" t="s">
        <v>18958</v>
      </c>
      <c r="N3253" t="s">
        <v>20732</v>
      </c>
      <c r="O3253" t="s">
        <v>26524</v>
      </c>
      <c r="P3253" t="s">
        <v>26560</v>
      </c>
      <c r="Q3253" t="s">
        <v>26573</v>
      </c>
      <c r="R3253" t="s">
        <v>26584</v>
      </c>
      <c r="S3253" t="s">
        <v>18959</v>
      </c>
      <c r="U3253" t="s">
        <v>26604</v>
      </c>
      <c r="V3253" t="s">
        <v>26610</v>
      </c>
      <c r="W3253" t="s">
        <v>603</v>
      </c>
      <c r="X3253">
        <v>382</v>
      </c>
      <c r="Y3253" t="s">
        <v>26653</v>
      </c>
      <c r="Z3253" t="s">
        <v>26664</v>
      </c>
      <c r="AA3253" t="s">
        <v>26678</v>
      </c>
      <c r="AB3253" t="s">
        <v>29488</v>
      </c>
      <c r="AC3253" t="s">
        <v>35469</v>
      </c>
      <c r="AD3253" t="s">
        <v>39551</v>
      </c>
      <c r="AE3253">
        <v>2</v>
      </c>
      <c r="AF3253" t="s">
        <v>45547</v>
      </c>
      <c r="AG3253" t="s">
        <v>45556</v>
      </c>
      <c r="AH3253">
        <v>10</v>
      </c>
      <c r="AI3253">
        <v>2</v>
      </c>
      <c r="AJ3253">
        <v>0</v>
      </c>
      <c r="AK3253">
        <v>31.42</v>
      </c>
      <c r="AL3253" t="s">
        <v>603</v>
      </c>
      <c r="AN3253" t="s">
        <v>45581</v>
      </c>
      <c r="AO3253">
        <v>5172</v>
      </c>
      <c r="AQ3253" t="s">
        <v>46362</v>
      </c>
      <c r="AR3253" t="s">
        <v>46379</v>
      </c>
      <c r="AS3253" t="s">
        <v>46499</v>
      </c>
      <c r="AT3253" t="s">
        <v>46598</v>
      </c>
      <c r="AU3253">
        <v>53.24</v>
      </c>
      <c r="AV3253" t="s">
        <v>713</v>
      </c>
      <c r="AW3253" t="s">
        <v>161</v>
      </c>
    </row>
    <row r="3254" spans="1:50">
      <c r="A3254" s="1">
        <f>HYPERLINK("https://lsnyc.legalserver.org/matter/dynamic-profile/view/1883623","18-1883623")</f>
        <v>0</v>
      </c>
      <c r="B3254" t="s">
        <v>137</v>
      </c>
      <c r="C3254" t="s">
        <v>341</v>
      </c>
      <c r="D3254" t="s">
        <v>603</v>
      </c>
      <c r="E3254" t="s">
        <v>815</v>
      </c>
      <c r="F3254" t="s">
        <v>2571</v>
      </c>
      <c r="G3254" t="s">
        <v>6810</v>
      </c>
      <c r="H3254" t="s">
        <v>12206</v>
      </c>
      <c r="I3254" t="s">
        <v>17942</v>
      </c>
      <c r="J3254" t="s">
        <v>18892</v>
      </c>
      <c r="K3254">
        <v>10454</v>
      </c>
      <c r="L3254" t="s">
        <v>18958</v>
      </c>
      <c r="M3254" t="s">
        <v>18958</v>
      </c>
      <c r="N3254" t="s">
        <v>21388</v>
      </c>
      <c r="O3254" t="s">
        <v>26523</v>
      </c>
      <c r="P3254" t="s">
        <v>26560</v>
      </c>
      <c r="Q3254" t="s">
        <v>26568</v>
      </c>
      <c r="R3254" t="s">
        <v>26577</v>
      </c>
      <c r="S3254" t="s">
        <v>18959</v>
      </c>
      <c r="U3254" t="s">
        <v>26604</v>
      </c>
      <c r="V3254" t="s">
        <v>26609</v>
      </c>
      <c r="W3254" t="s">
        <v>603</v>
      </c>
      <c r="X3254">
        <v>1295</v>
      </c>
      <c r="Y3254" t="s">
        <v>26650</v>
      </c>
      <c r="Z3254" t="s">
        <v>26659</v>
      </c>
      <c r="AA3254" t="s">
        <v>26679</v>
      </c>
      <c r="AB3254" t="s">
        <v>26718</v>
      </c>
      <c r="AC3254" t="s">
        <v>35470</v>
      </c>
      <c r="AD3254" t="s">
        <v>39552</v>
      </c>
      <c r="AE3254">
        <v>31</v>
      </c>
      <c r="AF3254" t="s">
        <v>45541</v>
      </c>
      <c r="AG3254" t="s">
        <v>19330</v>
      </c>
      <c r="AH3254">
        <v>2</v>
      </c>
      <c r="AI3254">
        <v>2</v>
      </c>
      <c r="AJ3254">
        <v>3</v>
      </c>
      <c r="AK3254">
        <v>20.39</v>
      </c>
      <c r="AN3254" t="s">
        <v>8151</v>
      </c>
      <c r="AO3254">
        <v>6000</v>
      </c>
      <c r="AQ3254" t="s">
        <v>46365</v>
      </c>
      <c r="AR3254" t="s">
        <v>46475</v>
      </c>
      <c r="AS3254" t="s">
        <v>46500</v>
      </c>
      <c r="AT3254" t="s">
        <v>46709</v>
      </c>
      <c r="AU3254">
        <v>24.5</v>
      </c>
      <c r="AV3254" t="s">
        <v>764</v>
      </c>
      <c r="AW3254" t="s">
        <v>46832</v>
      </c>
      <c r="AX3254" t="s">
        <v>46897</v>
      </c>
    </row>
    <row r="3255" spans="1:50">
      <c r="A3255" s="1">
        <f>HYPERLINK("https://lsnyc.legalserver.org/matter/dynamic-profile/view/1883607","18-1883607")</f>
        <v>0</v>
      </c>
      <c r="B3255" t="s">
        <v>58</v>
      </c>
      <c r="C3255" t="s">
        <v>341</v>
      </c>
      <c r="D3255" t="s">
        <v>603</v>
      </c>
      <c r="E3255" t="s">
        <v>833</v>
      </c>
      <c r="F3255" t="s">
        <v>2572</v>
      </c>
      <c r="G3255" t="s">
        <v>5229</v>
      </c>
      <c r="H3255" t="s">
        <v>12207</v>
      </c>
      <c r="I3255" t="s">
        <v>17440</v>
      </c>
      <c r="J3255" t="s">
        <v>18892</v>
      </c>
      <c r="K3255">
        <v>10468</v>
      </c>
      <c r="L3255" t="s">
        <v>18958</v>
      </c>
      <c r="M3255" t="s">
        <v>18960</v>
      </c>
      <c r="N3255" t="s">
        <v>21389</v>
      </c>
      <c r="O3255" t="s">
        <v>26523</v>
      </c>
      <c r="P3255" t="s">
        <v>26560</v>
      </c>
      <c r="Q3255" t="s">
        <v>26568</v>
      </c>
      <c r="R3255" t="s">
        <v>26579</v>
      </c>
      <c r="S3255" t="s">
        <v>18959</v>
      </c>
      <c r="U3255" t="s">
        <v>26604</v>
      </c>
      <c r="V3255" t="s">
        <v>26610</v>
      </c>
      <c r="W3255" t="s">
        <v>603</v>
      </c>
      <c r="X3255">
        <v>914</v>
      </c>
      <c r="Y3255" t="s">
        <v>26650</v>
      </c>
      <c r="Z3255" t="s">
        <v>26665</v>
      </c>
      <c r="AA3255" t="s">
        <v>26679</v>
      </c>
      <c r="AB3255" t="s">
        <v>29489</v>
      </c>
      <c r="AC3255" t="s">
        <v>35471</v>
      </c>
      <c r="AD3255" t="s">
        <v>39553</v>
      </c>
      <c r="AE3255">
        <v>43</v>
      </c>
      <c r="AF3255" t="s">
        <v>45541</v>
      </c>
      <c r="AG3255" t="s">
        <v>19330</v>
      </c>
      <c r="AH3255">
        <v>7</v>
      </c>
      <c r="AI3255">
        <v>1</v>
      </c>
      <c r="AJ3255">
        <v>2</v>
      </c>
      <c r="AK3255">
        <v>182.68</v>
      </c>
      <c r="AN3255" t="s">
        <v>7439</v>
      </c>
      <c r="AO3255">
        <v>37960</v>
      </c>
      <c r="AQ3255" t="s">
        <v>46364</v>
      </c>
      <c r="AR3255" t="s">
        <v>26530</v>
      </c>
      <c r="AS3255" t="s">
        <v>46501</v>
      </c>
      <c r="AT3255" t="s">
        <v>46754</v>
      </c>
      <c r="AU3255">
        <v>30.55</v>
      </c>
      <c r="AV3255" t="s">
        <v>832</v>
      </c>
      <c r="AW3255" t="s">
        <v>46867</v>
      </c>
      <c r="AX3255" t="s">
        <v>46898</v>
      </c>
    </row>
    <row r="3256" spans="1:50">
      <c r="A3256" s="1">
        <f>HYPERLINK("https://lsnyc.legalserver.org/matter/dynamic-profile/view/1883606","18-1883606")</f>
        <v>0</v>
      </c>
      <c r="B3256" t="s">
        <v>109</v>
      </c>
      <c r="C3256" t="s">
        <v>341</v>
      </c>
      <c r="D3256" t="s">
        <v>603</v>
      </c>
      <c r="E3256" t="s">
        <v>712</v>
      </c>
      <c r="F3256" t="s">
        <v>2573</v>
      </c>
      <c r="G3256" t="s">
        <v>6811</v>
      </c>
      <c r="H3256" t="s">
        <v>12208</v>
      </c>
      <c r="I3256" t="s">
        <v>17272</v>
      </c>
      <c r="J3256" t="s">
        <v>18902</v>
      </c>
      <c r="K3256">
        <v>10310</v>
      </c>
      <c r="L3256" t="s">
        <v>18958</v>
      </c>
      <c r="M3256" t="s">
        <v>18958</v>
      </c>
      <c r="N3256" t="s">
        <v>21390</v>
      </c>
      <c r="O3256" t="s">
        <v>26523</v>
      </c>
      <c r="P3256" t="s">
        <v>26560</v>
      </c>
      <c r="Q3256" t="s">
        <v>26568</v>
      </c>
      <c r="R3256" t="s">
        <v>26590</v>
      </c>
      <c r="S3256" t="s">
        <v>18959</v>
      </c>
      <c r="U3256" t="s">
        <v>26606</v>
      </c>
      <c r="V3256" t="s">
        <v>26614</v>
      </c>
      <c r="W3256" t="s">
        <v>603</v>
      </c>
      <c r="X3256">
        <v>736</v>
      </c>
      <c r="Y3256" t="s">
        <v>26654</v>
      </c>
      <c r="Z3256" t="s">
        <v>26668</v>
      </c>
      <c r="AA3256" t="s">
        <v>26677</v>
      </c>
      <c r="AB3256" t="s">
        <v>29490</v>
      </c>
      <c r="AD3256" t="s">
        <v>39554</v>
      </c>
      <c r="AE3256">
        <v>0</v>
      </c>
      <c r="AF3256" t="s">
        <v>45543</v>
      </c>
      <c r="AG3256" t="s">
        <v>45556</v>
      </c>
      <c r="AH3256">
        <v>10</v>
      </c>
      <c r="AI3256">
        <v>2</v>
      </c>
      <c r="AJ3256">
        <v>1</v>
      </c>
      <c r="AK3256">
        <v>173.24</v>
      </c>
      <c r="AN3256" t="s">
        <v>7439</v>
      </c>
      <c r="AO3256">
        <v>36000</v>
      </c>
      <c r="AS3256" t="s">
        <v>46499</v>
      </c>
      <c r="AU3256">
        <v>0.2</v>
      </c>
      <c r="AV3256" t="s">
        <v>712</v>
      </c>
      <c r="AW3256" t="s">
        <v>185</v>
      </c>
    </row>
    <row r="3257" spans="1:50">
      <c r="A3257" s="1">
        <f>HYPERLINK("https://lsnyc.legalserver.org/matter/dynamic-profile/view/1883587","18-1883587")</f>
        <v>0</v>
      </c>
      <c r="B3257" t="s">
        <v>153</v>
      </c>
      <c r="C3257" t="s">
        <v>341</v>
      </c>
      <c r="D3257" t="s">
        <v>603</v>
      </c>
      <c r="E3257" t="s">
        <v>806</v>
      </c>
      <c r="F3257" t="s">
        <v>986</v>
      </c>
      <c r="G3257" t="s">
        <v>6634</v>
      </c>
      <c r="H3257" t="s">
        <v>12209</v>
      </c>
      <c r="I3257" t="s">
        <v>17343</v>
      </c>
      <c r="J3257" t="s">
        <v>18902</v>
      </c>
      <c r="K3257">
        <v>10303</v>
      </c>
      <c r="L3257" t="s">
        <v>18958</v>
      </c>
      <c r="M3257" t="s">
        <v>18958</v>
      </c>
      <c r="N3257" t="s">
        <v>21391</v>
      </c>
      <c r="O3257" t="s">
        <v>26523</v>
      </c>
      <c r="P3257" t="s">
        <v>26560</v>
      </c>
      <c r="Q3257" t="s">
        <v>26568</v>
      </c>
      <c r="R3257" t="s">
        <v>26590</v>
      </c>
      <c r="S3257" t="s">
        <v>18959</v>
      </c>
      <c r="U3257" t="s">
        <v>26605</v>
      </c>
      <c r="V3257" t="s">
        <v>26612</v>
      </c>
      <c r="W3257" t="s">
        <v>603</v>
      </c>
      <c r="X3257">
        <v>226</v>
      </c>
      <c r="Y3257" t="s">
        <v>26654</v>
      </c>
      <c r="Z3257" t="s">
        <v>26668</v>
      </c>
      <c r="AA3257" t="s">
        <v>26680</v>
      </c>
      <c r="AB3257" t="s">
        <v>29491</v>
      </c>
      <c r="AD3257" t="s">
        <v>39555</v>
      </c>
      <c r="AE3257">
        <v>0</v>
      </c>
      <c r="AF3257" t="s">
        <v>45549</v>
      </c>
      <c r="AH3257">
        <v>14</v>
      </c>
      <c r="AI3257">
        <v>2</v>
      </c>
      <c r="AJ3257">
        <v>0</v>
      </c>
      <c r="AK3257">
        <v>106.78</v>
      </c>
      <c r="AN3257" t="s">
        <v>7439</v>
      </c>
      <c r="AO3257">
        <v>17576.04</v>
      </c>
      <c r="AS3257" t="s">
        <v>46499</v>
      </c>
      <c r="AT3257" t="s">
        <v>46619</v>
      </c>
      <c r="AU3257">
        <v>15.1</v>
      </c>
      <c r="AV3257" t="s">
        <v>806</v>
      </c>
      <c r="AW3257" t="s">
        <v>210</v>
      </c>
    </row>
    <row r="3258" spans="1:50">
      <c r="A3258" s="1">
        <f>HYPERLINK("https://lsnyc.legalserver.org/matter/dynamic-profile/view/1883574","18-1883574")</f>
        <v>0</v>
      </c>
      <c r="B3258" t="s">
        <v>153</v>
      </c>
      <c r="C3258" t="s">
        <v>341</v>
      </c>
      <c r="D3258" t="s">
        <v>603</v>
      </c>
      <c r="E3258" t="s">
        <v>806</v>
      </c>
      <c r="F3258" t="s">
        <v>2574</v>
      </c>
      <c r="G3258" t="s">
        <v>6812</v>
      </c>
      <c r="H3258" t="s">
        <v>12135</v>
      </c>
      <c r="I3258" t="s">
        <v>17410</v>
      </c>
      <c r="J3258" t="s">
        <v>18902</v>
      </c>
      <c r="K3258">
        <v>10310</v>
      </c>
      <c r="L3258" t="s">
        <v>18958</v>
      </c>
      <c r="M3258" t="s">
        <v>18958</v>
      </c>
      <c r="N3258" t="s">
        <v>21392</v>
      </c>
      <c r="O3258" t="s">
        <v>26523</v>
      </c>
      <c r="P3258" t="s">
        <v>26560</v>
      </c>
      <c r="Q3258" t="s">
        <v>26568</v>
      </c>
      <c r="R3258" t="s">
        <v>26590</v>
      </c>
      <c r="S3258" t="s">
        <v>18959</v>
      </c>
      <c r="U3258" t="s">
        <v>26605</v>
      </c>
      <c r="V3258" t="s">
        <v>26611</v>
      </c>
      <c r="W3258" t="s">
        <v>603</v>
      </c>
      <c r="X3258">
        <v>1122</v>
      </c>
      <c r="Y3258" t="s">
        <v>26654</v>
      </c>
      <c r="Z3258" t="s">
        <v>26668</v>
      </c>
      <c r="AA3258" t="s">
        <v>26680</v>
      </c>
      <c r="AB3258" t="s">
        <v>29492</v>
      </c>
      <c r="AD3258" t="s">
        <v>39556</v>
      </c>
      <c r="AE3258">
        <v>0</v>
      </c>
      <c r="AF3258" t="s">
        <v>45549</v>
      </c>
      <c r="AG3258" t="s">
        <v>45556</v>
      </c>
      <c r="AH3258">
        <v>3</v>
      </c>
      <c r="AI3258">
        <v>1</v>
      </c>
      <c r="AJ3258">
        <v>1</v>
      </c>
      <c r="AK3258">
        <v>157.96</v>
      </c>
      <c r="AO3258">
        <v>26000</v>
      </c>
      <c r="AS3258" t="s">
        <v>46499</v>
      </c>
      <c r="AT3258" t="s">
        <v>46619</v>
      </c>
      <c r="AU3258">
        <v>16.05</v>
      </c>
      <c r="AV3258" t="s">
        <v>806</v>
      </c>
      <c r="AW3258" t="s">
        <v>210</v>
      </c>
    </row>
    <row r="3259" spans="1:50">
      <c r="A3259" s="1">
        <f>HYPERLINK("https://lsnyc.legalserver.org/matter/dynamic-profile/view/1883670","18-1883670")</f>
        <v>0</v>
      </c>
      <c r="B3259" t="s">
        <v>258</v>
      </c>
      <c r="C3259" t="s">
        <v>341</v>
      </c>
      <c r="D3259" t="s">
        <v>603</v>
      </c>
      <c r="E3259" t="s">
        <v>665</v>
      </c>
      <c r="F3259" t="s">
        <v>2575</v>
      </c>
      <c r="G3259" t="s">
        <v>5336</v>
      </c>
      <c r="H3259" t="s">
        <v>12210</v>
      </c>
      <c r="I3259" t="s">
        <v>17416</v>
      </c>
      <c r="J3259" t="s">
        <v>18896</v>
      </c>
      <c r="K3259">
        <v>11419</v>
      </c>
      <c r="L3259" t="s">
        <v>18958</v>
      </c>
      <c r="M3259" t="s">
        <v>18958</v>
      </c>
      <c r="N3259" t="s">
        <v>21393</v>
      </c>
      <c r="O3259" t="s">
        <v>26524</v>
      </c>
      <c r="P3259" t="s">
        <v>26564</v>
      </c>
      <c r="Q3259" t="s">
        <v>26570</v>
      </c>
      <c r="R3259" t="s">
        <v>26584</v>
      </c>
      <c r="S3259" t="s">
        <v>18959</v>
      </c>
      <c r="U3259" t="s">
        <v>26604</v>
      </c>
      <c r="V3259" t="s">
        <v>26611</v>
      </c>
      <c r="W3259" t="s">
        <v>603</v>
      </c>
      <c r="X3259">
        <v>1400</v>
      </c>
      <c r="Y3259" t="s">
        <v>26653</v>
      </c>
      <c r="Z3259" t="s">
        <v>26664</v>
      </c>
      <c r="AA3259" t="s">
        <v>26683</v>
      </c>
      <c r="AB3259" t="s">
        <v>29493</v>
      </c>
      <c r="AD3259" t="s">
        <v>39557</v>
      </c>
      <c r="AE3259">
        <v>3</v>
      </c>
      <c r="AF3259" t="s">
        <v>45547</v>
      </c>
      <c r="AG3259" t="s">
        <v>19330</v>
      </c>
      <c r="AH3259">
        <v>1</v>
      </c>
      <c r="AI3259">
        <v>1</v>
      </c>
      <c r="AJ3259">
        <v>0</v>
      </c>
      <c r="AK3259">
        <v>0</v>
      </c>
      <c r="AN3259" t="s">
        <v>7439</v>
      </c>
      <c r="AO3259">
        <v>0</v>
      </c>
      <c r="AU3259">
        <v>2.35</v>
      </c>
      <c r="AV3259" t="s">
        <v>675</v>
      </c>
      <c r="AW3259" t="s">
        <v>161</v>
      </c>
    </row>
    <row r="3260" spans="1:50">
      <c r="A3260" s="1">
        <f>HYPERLINK("https://lsnyc.legalserver.org/matter/dynamic-profile/view/1883655","18-1883655")</f>
        <v>0</v>
      </c>
      <c r="B3260" t="s">
        <v>258</v>
      </c>
      <c r="C3260" t="s">
        <v>341</v>
      </c>
      <c r="D3260" t="s">
        <v>603</v>
      </c>
      <c r="E3260" t="s">
        <v>822</v>
      </c>
      <c r="F3260" t="s">
        <v>1032</v>
      </c>
      <c r="G3260" t="s">
        <v>6813</v>
      </c>
      <c r="H3260" t="s">
        <v>12211</v>
      </c>
      <c r="I3260" t="s">
        <v>17307</v>
      </c>
      <c r="J3260" t="s">
        <v>18928</v>
      </c>
      <c r="K3260">
        <v>11365</v>
      </c>
      <c r="L3260" t="s">
        <v>18958</v>
      </c>
      <c r="M3260" t="s">
        <v>18958</v>
      </c>
      <c r="N3260" t="s">
        <v>21394</v>
      </c>
      <c r="O3260" t="s">
        <v>26524</v>
      </c>
      <c r="P3260" t="s">
        <v>26564</v>
      </c>
      <c r="Q3260" t="s">
        <v>26570</v>
      </c>
      <c r="R3260" t="s">
        <v>26584</v>
      </c>
      <c r="S3260" t="s">
        <v>18959</v>
      </c>
      <c r="U3260" t="s">
        <v>26604</v>
      </c>
      <c r="V3260" t="s">
        <v>26609</v>
      </c>
      <c r="W3260" t="s">
        <v>603</v>
      </c>
      <c r="X3260">
        <v>1112.48</v>
      </c>
      <c r="Y3260" t="s">
        <v>26653</v>
      </c>
      <c r="Z3260" t="s">
        <v>26664</v>
      </c>
      <c r="AA3260" t="s">
        <v>26683</v>
      </c>
      <c r="AB3260" t="s">
        <v>27416</v>
      </c>
      <c r="AC3260" t="s">
        <v>34738</v>
      </c>
      <c r="AD3260" t="s">
        <v>39558</v>
      </c>
      <c r="AE3260">
        <v>72</v>
      </c>
      <c r="AF3260" t="s">
        <v>45553</v>
      </c>
      <c r="AG3260" t="s">
        <v>19330</v>
      </c>
      <c r="AH3260">
        <v>11</v>
      </c>
      <c r="AI3260">
        <v>4</v>
      </c>
      <c r="AJ3260">
        <v>0</v>
      </c>
      <c r="AK3260">
        <v>77.45</v>
      </c>
      <c r="AN3260" t="s">
        <v>7439</v>
      </c>
      <c r="AO3260">
        <v>19440</v>
      </c>
      <c r="AU3260">
        <v>1.77</v>
      </c>
      <c r="AV3260" t="s">
        <v>754</v>
      </c>
      <c r="AW3260" t="s">
        <v>161</v>
      </c>
      <c r="AX3260" t="s">
        <v>46897</v>
      </c>
    </row>
    <row r="3261" spans="1:50">
      <c r="A3261" s="1">
        <f>HYPERLINK("https://lsnyc.legalserver.org/matter/dynamic-profile/view/1883589","18-1883589")</f>
        <v>0</v>
      </c>
      <c r="B3261" t="s">
        <v>102</v>
      </c>
      <c r="C3261" t="s">
        <v>341</v>
      </c>
      <c r="D3261" t="s">
        <v>603</v>
      </c>
      <c r="E3261" t="s">
        <v>731</v>
      </c>
      <c r="F3261" t="s">
        <v>2576</v>
      </c>
      <c r="G3261" t="s">
        <v>879</v>
      </c>
      <c r="H3261" t="s">
        <v>12212</v>
      </c>
      <c r="I3261" t="s">
        <v>17274</v>
      </c>
      <c r="J3261" t="s">
        <v>18902</v>
      </c>
      <c r="K3261">
        <v>10310</v>
      </c>
      <c r="L3261" t="s">
        <v>18958</v>
      </c>
      <c r="M3261" t="s">
        <v>18958</v>
      </c>
      <c r="N3261" t="s">
        <v>21395</v>
      </c>
      <c r="O3261" t="s">
        <v>26523</v>
      </c>
      <c r="P3261" t="s">
        <v>26560</v>
      </c>
      <c r="Q3261" t="s">
        <v>26568</v>
      </c>
      <c r="R3261" t="s">
        <v>26590</v>
      </c>
      <c r="S3261" t="s">
        <v>18959</v>
      </c>
      <c r="U3261" t="s">
        <v>26606</v>
      </c>
      <c r="V3261" t="s">
        <v>26610</v>
      </c>
      <c r="W3261" t="s">
        <v>603</v>
      </c>
      <c r="X3261">
        <v>864</v>
      </c>
      <c r="Y3261" t="s">
        <v>26654</v>
      </c>
      <c r="Z3261" t="s">
        <v>26668</v>
      </c>
      <c r="AA3261" t="s">
        <v>26677</v>
      </c>
      <c r="AB3261" t="s">
        <v>28430</v>
      </c>
      <c r="AD3261" t="s">
        <v>39559</v>
      </c>
      <c r="AE3261">
        <v>0</v>
      </c>
      <c r="AF3261" t="s">
        <v>45543</v>
      </c>
      <c r="AG3261" t="s">
        <v>45556</v>
      </c>
      <c r="AH3261">
        <v>3</v>
      </c>
      <c r="AI3261">
        <v>1</v>
      </c>
      <c r="AJ3261">
        <v>2</v>
      </c>
      <c r="AK3261">
        <v>167.47</v>
      </c>
      <c r="AN3261" t="s">
        <v>7439</v>
      </c>
      <c r="AO3261">
        <v>34800</v>
      </c>
      <c r="AS3261" t="s">
        <v>46499</v>
      </c>
      <c r="AU3261">
        <v>5.4</v>
      </c>
      <c r="AV3261" t="s">
        <v>694</v>
      </c>
      <c r="AW3261" t="s">
        <v>185</v>
      </c>
    </row>
    <row r="3262" spans="1:50">
      <c r="A3262" s="1">
        <f>HYPERLINK("https://lsnyc.legalserver.org/matter/dynamic-profile/view/1883575","18-1883575")</f>
        <v>0</v>
      </c>
      <c r="B3262" t="s">
        <v>104</v>
      </c>
      <c r="C3262" t="s">
        <v>341</v>
      </c>
      <c r="D3262" t="s">
        <v>603</v>
      </c>
      <c r="E3262" t="s">
        <v>692</v>
      </c>
      <c r="F3262" t="s">
        <v>2577</v>
      </c>
      <c r="G3262" t="s">
        <v>1263</v>
      </c>
      <c r="H3262" t="s">
        <v>12213</v>
      </c>
      <c r="I3262" t="s">
        <v>17316</v>
      </c>
      <c r="J3262" t="s">
        <v>18902</v>
      </c>
      <c r="K3262">
        <v>10303</v>
      </c>
      <c r="L3262" t="s">
        <v>18958</v>
      </c>
      <c r="M3262" t="s">
        <v>18958</v>
      </c>
      <c r="N3262" t="s">
        <v>21396</v>
      </c>
      <c r="O3262" t="s">
        <v>26523</v>
      </c>
      <c r="P3262" t="s">
        <v>26560</v>
      </c>
      <c r="Q3262" t="s">
        <v>26568</v>
      </c>
      <c r="R3262" t="s">
        <v>26590</v>
      </c>
      <c r="S3262" t="s">
        <v>18959</v>
      </c>
      <c r="U3262" t="s">
        <v>26605</v>
      </c>
      <c r="V3262" t="s">
        <v>26611</v>
      </c>
      <c r="W3262" t="s">
        <v>603</v>
      </c>
      <c r="X3262">
        <v>250</v>
      </c>
      <c r="Y3262" t="s">
        <v>26654</v>
      </c>
      <c r="Z3262" t="s">
        <v>26668</v>
      </c>
      <c r="AA3262" t="s">
        <v>26680</v>
      </c>
      <c r="AB3262" t="s">
        <v>27140</v>
      </c>
      <c r="AD3262" t="s">
        <v>39560</v>
      </c>
      <c r="AE3262">
        <v>0</v>
      </c>
      <c r="AF3262" t="s">
        <v>45549</v>
      </c>
      <c r="AG3262" t="s">
        <v>45556</v>
      </c>
      <c r="AH3262">
        <v>3</v>
      </c>
      <c r="AI3262">
        <v>3</v>
      </c>
      <c r="AJ3262">
        <v>1</v>
      </c>
      <c r="AK3262">
        <v>32.51</v>
      </c>
      <c r="AN3262" t="s">
        <v>7439</v>
      </c>
      <c r="AO3262">
        <v>8160</v>
      </c>
      <c r="AR3262" t="s">
        <v>46379</v>
      </c>
      <c r="AS3262" t="s">
        <v>46499</v>
      </c>
      <c r="AT3262" t="s">
        <v>46587</v>
      </c>
      <c r="AU3262">
        <v>0.1</v>
      </c>
      <c r="AV3262" t="s">
        <v>603</v>
      </c>
      <c r="AW3262" t="s">
        <v>185</v>
      </c>
    </row>
    <row r="3263" spans="1:50">
      <c r="A3263" s="1">
        <f>HYPERLINK("https://lsnyc.legalserver.org/matter/dynamic-profile/view/1883571","18-1883571")</f>
        <v>0</v>
      </c>
      <c r="B3263" t="s">
        <v>111</v>
      </c>
      <c r="C3263" t="s">
        <v>341</v>
      </c>
      <c r="D3263" t="s">
        <v>603</v>
      </c>
      <c r="E3263" t="s">
        <v>850</v>
      </c>
      <c r="F3263" t="s">
        <v>2578</v>
      </c>
      <c r="G3263" t="s">
        <v>6814</v>
      </c>
      <c r="H3263" t="s">
        <v>12214</v>
      </c>
      <c r="I3263" t="s">
        <v>17388</v>
      </c>
      <c r="J3263" t="s">
        <v>18904</v>
      </c>
      <c r="K3263">
        <v>11421</v>
      </c>
      <c r="L3263" t="s">
        <v>18958</v>
      </c>
      <c r="M3263" t="s">
        <v>18958</v>
      </c>
      <c r="N3263" t="s">
        <v>21397</v>
      </c>
      <c r="O3263" t="s">
        <v>26523</v>
      </c>
      <c r="P3263" t="s">
        <v>26564</v>
      </c>
      <c r="Q3263" t="s">
        <v>26570</v>
      </c>
      <c r="R3263" t="s">
        <v>26584</v>
      </c>
      <c r="S3263" t="s">
        <v>18959</v>
      </c>
      <c r="U3263" t="s">
        <v>26604</v>
      </c>
      <c r="V3263" t="s">
        <v>26610</v>
      </c>
      <c r="W3263" t="s">
        <v>603</v>
      </c>
      <c r="X3263">
        <v>1024</v>
      </c>
      <c r="Y3263" t="s">
        <v>26653</v>
      </c>
      <c r="Z3263" t="s">
        <v>26664</v>
      </c>
      <c r="AA3263" t="s">
        <v>26683</v>
      </c>
      <c r="AB3263" t="s">
        <v>29494</v>
      </c>
      <c r="AD3263" t="s">
        <v>39561</v>
      </c>
      <c r="AE3263">
        <v>60</v>
      </c>
      <c r="AF3263" t="s">
        <v>45541</v>
      </c>
      <c r="AG3263" t="s">
        <v>19330</v>
      </c>
      <c r="AH3263">
        <v>12</v>
      </c>
      <c r="AI3263">
        <v>1</v>
      </c>
      <c r="AJ3263">
        <v>2</v>
      </c>
      <c r="AK3263">
        <v>96.25</v>
      </c>
      <c r="AN3263" t="s">
        <v>7439</v>
      </c>
      <c r="AO3263">
        <v>20000</v>
      </c>
      <c r="AU3263">
        <v>1.1</v>
      </c>
      <c r="AV3263" t="s">
        <v>675</v>
      </c>
      <c r="AW3263" t="s">
        <v>208</v>
      </c>
    </row>
    <row r="3264" spans="1:50">
      <c r="A3264" s="1">
        <f>HYPERLINK("https://lsnyc.legalserver.org/matter/dynamic-profile/view/1883658","18-1883658")</f>
        <v>0</v>
      </c>
      <c r="B3264" t="s">
        <v>235</v>
      </c>
      <c r="C3264" t="s">
        <v>341</v>
      </c>
      <c r="D3264" t="s">
        <v>603</v>
      </c>
      <c r="E3264" t="s">
        <v>770</v>
      </c>
      <c r="F3264" t="s">
        <v>1371</v>
      </c>
      <c r="G3264" t="s">
        <v>6815</v>
      </c>
      <c r="H3264" t="s">
        <v>12215</v>
      </c>
      <c r="I3264" t="s">
        <v>17943</v>
      </c>
      <c r="J3264" t="s">
        <v>18913</v>
      </c>
      <c r="K3264">
        <v>11103</v>
      </c>
      <c r="L3264" t="s">
        <v>18958</v>
      </c>
      <c r="M3264" t="s">
        <v>18958</v>
      </c>
      <c r="N3264" t="s">
        <v>21398</v>
      </c>
      <c r="O3264" t="s">
        <v>26523</v>
      </c>
      <c r="P3264" t="s">
        <v>26560</v>
      </c>
      <c r="Q3264" t="s">
        <v>26568</v>
      </c>
      <c r="R3264" t="s">
        <v>26584</v>
      </c>
      <c r="S3264" t="s">
        <v>18959</v>
      </c>
      <c r="U3264" t="s">
        <v>26604</v>
      </c>
      <c r="V3264" t="s">
        <v>26610</v>
      </c>
      <c r="W3264" t="s">
        <v>603</v>
      </c>
      <c r="X3264">
        <v>588</v>
      </c>
      <c r="Y3264" t="s">
        <v>26653</v>
      </c>
      <c r="Z3264" t="s">
        <v>26664</v>
      </c>
      <c r="AA3264" t="s">
        <v>26678</v>
      </c>
      <c r="AB3264" t="s">
        <v>29495</v>
      </c>
      <c r="AD3264" t="s">
        <v>39562</v>
      </c>
      <c r="AE3264">
        <v>24</v>
      </c>
      <c r="AF3264" t="s">
        <v>45548</v>
      </c>
      <c r="AG3264" t="s">
        <v>19330</v>
      </c>
      <c r="AH3264">
        <v>56</v>
      </c>
      <c r="AI3264">
        <v>1</v>
      </c>
      <c r="AJ3264">
        <v>0</v>
      </c>
      <c r="AK3264">
        <v>108.73</v>
      </c>
      <c r="AN3264" t="s">
        <v>7439</v>
      </c>
      <c r="AO3264">
        <v>13200</v>
      </c>
      <c r="AQ3264" t="s">
        <v>46362</v>
      </c>
      <c r="AR3264" t="s">
        <v>46381</v>
      </c>
      <c r="AS3264" t="s">
        <v>46499</v>
      </c>
      <c r="AT3264" t="s">
        <v>46703</v>
      </c>
      <c r="AU3264">
        <v>26.3</v>
      </c>
      <c r="AV3264" t="s">
        <v>728</v>
      </c>
      <c r="AW3264" t="s">
        <v>161</v>
      </c>
    </row>
    <row r="3265" spans="1:50">
      <c r="A3265" s="1">
        <f>HYPERLINK("https://lsnyc.legalserver.org/matter/dynamic-profile/view/1883625","18-1883625")</f>
        <v>0</v>
      </c>
      <c r="B3265" t="s">
        <v>157</v>
      </c>
      <c r="C3265" t="s">
        <v>341</v>
      </c>
      <c r="D3265" t="s">
        <v>603</v>
      </c>
      <c r="E3265" t="s">
        <v>689</v>
      </c>
      <c r="F3265" t="s">
        <v>1226</v>
      </c>
      <c r="G3265" t="s">
        <v>6816</v>
      </c>
      <c r="H3265" t="s">
        <v>12216</v>
      </c>
      <c r="I3265">
        <v>6</v>
      </c>
      <c r="J3265" t="s">
        <v>18893</v>
      </c>
      <c r="K3265">
        <v>10033</v>
      </c>
      <c r="L3265" t="s">
        <v>18958</v>
      </c>
      <c r="M3265" t="s">
        <v>18958</v>
      </c>
      <c r="O3265" t="s">
        <v>26523</v>
      </c>
      <c r="P3265" t="s">
        <v>26564</v>
      </c>
      <c r="Q3265" t="s">
        <v>26570</v>
      </c>
      <c r="R3265" t="s">
        <v>26578</v>
      </c>
      <c r="S3265" t="s">
        <v>18959</v>
      </c>
      <c r="U3265" t="s">
        <v>26604</v>
      </c>
      <c r="W3265" t="s">
        <v>603</v>
      </c>
      <c r="X3265">
        <v>160</v>
      </c>
      <c r="Y3265" t="s">
        <v>26651</v>
      </c>
      <c r="Z3265" t="s">
        <v>26659</v>
      </c>
      <c r="AA3265" t="s">
        <v>26683</v>
      </c>
      <c r="AB3265" t="s">
        <v>29496</v>
      </c>
      <c r="AD3265" t="s">
        <v>39563</v>
      </c>
      <c r="AE3265">
        <v>0</v>
      </c>
      <c r="AF3265" t="s">
        <v>45541</v>
      </c>
      <c r="AG3265" t="s">
        <v>45556</v>
      </c>
      <c r="AH3265">
        <v>22</v>
      </c>
      <c r="AI3265">
        <v>1</v>
      </c>
      <c r="AJ3265">
        <v>0</v>
      </c>
      <c r="AK3265">
        <v>77.2</v>
      </c>
      <c r="AN3265" t="s">
        <v>45581</v>
      </c>
      <c r="AO3265">
        <v>9372</v>
      </c>
      <c r="AU3265">
        <v>2.5</v>
      </c>
      <c r="AV3265" t="s">
        <v>675</v>
      </c>
      <c r="AW3265" t="s">
        <v>46840</v>
      </c>
    </row>
    <row r="3266" spans="1:50">
      <c r="A3266" s="1">
        <f>HYPERLINK("https://lsnyc.legalserver.org/matter/dynamic-profile/view/1883946","18-1883946")</f>
        <v>0</v>
      </c>
      <c r="B3266" t="s">
        <v>262</v>
      </c>
      <c r="C3266" t="s">
        <v>340</v>
      </c>
      <c r="D3266" t="s">
        <v>603</v>
      </c>
      <c r="F3266" t="s">
        <v>887</v>
      </c>
      <c r="G3266" t="s">
        <v>6024</v>
      </c>
      <c r="H3266" t="s">
        <v>11262</v>
      </c>
      <c r="I3266" t="s">
        <v>17496</v>
      </c>
      <c r="J3266" t="s">
        <v>18892</v>
      </c>
      <c r="K3266">
        <v>10467</v>
      </c>
      <c r="L3266" t="s">
        <v>18958</v>
      </c>
      <c r="M3266" t="s">
        <v>18958</v>
      </c>
      <c r="N3266" t="s">
        <v>21399</v>
      </c>
      <c r="O3266" t="s">
        <v>26523</v>
      </c>
      <c r="P3266" t="s">
        <v>26560</v>
      </c>
      <c r="R3266" t="s">
        <v>26579</v>
      </c>
      <c r="S3266" t="s">
        <v>18959</v>
      </c>
      <c r="U3266" t="s">
        <v>26604</v>
      </c>
      <c r="V3266" t="s">
        <v>26609</v>
      </c>
      <c r="W3266" t="s">
        <v>603</v>
      </c>
      <c r="X3266">
        <v>463</v>
      </c>
      <c r="Y3266" t="s">
        <v>26650</v>
      </c>
      <c r="Z3266" t="s">
        <v>26668</v>
      </c>
      <c r="AB3266" t="s">
        <v>29497</v>
      </c>
      <c r="AC3266" t="s">
        <v>35472</v>
      </c>
      <c r="AD3266" t="s">
        <v>39564</v>
      </c>
      <c r="AE3266">
        <v>0</v>
      </c>
      <c r="AF3266" t="s">
        <v>45549</v>
      </c>
      <c r="AG3266" t="s">
        <v>19330</v>
      </c>
      <c r="AH3266">
        <v>3</v>
      </c>
      <c r="AI3266">
        <v>1</v>
      </c>
      <c r="AJ3266">
        <v>2</v>
      </c>
      <c r="AK3266">
        <v>88.95999999999999</v>
      </c>
      <c r="AN3266" t="s">
        <v>7439</v>
      </c>
      <c r="AO3266">
        <v>18486</v>
      </c>
      <c r="AU3266">
        <v>25.4</v>
      </c>
      <c r="AV3266" t="s">
        <v>761</v>
      </c>
      <c r="AW3266" t="s">
        <v>336</v>
      </c>
      <c r="AX3266" t="s">
        <v>46898</v>
      </c>
    </row>
    <row r="3267" spans="1:50">
      <c r="A3267" s="1">
        <f>HYPERLINK("https://lsnyc.legalserver.org/matter/dynamic-profile/view/1883588","18-1883588")</f>
        <v>0</v>
      </c>
      <c r="B3267" t="s">
        <v>101</v>
      </c>
      <c r="C3267" t="s">
        <v>340</v>
      </c>
      <c r="D3267" t="s">
        <v>603</v>
      </c>
      <c r="F3267" t="s">
        <v>2579</v>
      </c>
      <c r="G3267" t="s">
        <v>6817</v>
      </c>
      <c r="H3267" t="s">
        <v>12217</v>
      </c>
      <c r="I3267" t="s">
        <v>17885</v>
      </c>
      <c r="J3267" t="s">
        <v>18894</v>
      </c>
      <c r="K3267">
        <v>11213</v>
      </c>
      <c r="L3267" t="s">
        <v>18958</v>
      </c>
      <c r="M3267" t="s">
        <v>18960</v>
      </c>
      <c r="N3267" t="s">
        <v>21400</v>
      </c>
      <c r="O3267" t="s">
        <v>26523</v>
      </c>
      <c r="P3267" t="s">
        <v>26560</v>
      </c>
      <c r="R3267" t="s">
        <v>26586</v>
      </c>
      <c r="S3267" t="s">
        <v>18959</v>
      </c>
      <c r="U3267" t="s">
        <v>26604</v>
      </c>
      <c r="V3267" t="s">
        <v>26610</v>
      </c>
      <c r="W3267" t="s">
        <v>603</v>
      </c>
      <c r="X3267">
        <v>1112.8</v>
      </c>
      <c r="Y3267" t="s">
        <v>26652</v>
      </c>
      <c r="Z3267" t="s">
        <v>26668</v>
      </c>
      <c r="AB3267" t="s">
        <v>29498</v>
      </c>
      <c r="AD3267" t="s">
        <v>39565</v>
      </c>
      <c r="AE3267">
        <v>32</v>
      </c>
      <c r="AF3267" t="s">
        <v>45541</v>
      </c>
      <c r="AH3267">
        <v>6</v>
      </c>
      <c r="AI3267">
        <v>2</v>
      </c>
      <c r="AJ3267">
        <v>2</v>
      </c>
      <c r="AK3267">
        <v>127.49</v>
      </c>
      <c r="AN3267" t="s">
        <v>7439</v>
      </c>
      <c r="AO3267">
        <v>32000</v>
      </c>
      <c r="AU3267">
        <v>24.3</v>
      </c>
      <c r="AV3267" t="s">
        <v>46816</v>
      </c>
      <c r="AW3267" t="s">
        <v>46856</v>
      </c>
    </row>
    <row r="3268" spans="1:50">
      <c r="A3268" s="1">
        <f>HYPERLINK("https://lsnyc.legalserver.org/matter/dynamic-profile/view/1883597","18-1883597")</f>
        <v>0</v>
      </c>
      <c r="B3268" t="s">
        <v>102</v>
      </c>
      <c r="C3268" t="s">
        <v>340</v>
      </c>
      <c r="D3268" t="s">
        <v>603</v>
      </c>
      <c r="F3268" t="s">
        <v>1082</v>
      </c>
      <c r="G3268" t="s">
        <v>6065</v>
      </c>
      <c r="H3268" t="s">
        <v>12218</v>
      </c>
      <c r="I3268" t="s">
        <v>17283</v>
      </c>
      <c r="J3268" t="s">
        <v>18902</v>
      </c>
      <c r="K3268">
        <v>10303</v>
      </c>
      <c r="L3268" t="s">
        <v>18958</v>
      </c>
      <c r="M3268" t="s">
        <v>18958</v>
      </c>
      <c r="N3268" t="s">
        <v>21401</v>
      </c>
      <c r="O3268" t="s">
        <v>26523</v>
      </c>
      <c r="P3268" t="s">
        <v>26560</v>
      </c>
      <c r="R3268" t="s">
        <v>26590</v>
      </c>
      <c r="S3268" t="s">
        <v>18959</v>
      </c>
      <c r="U3268" t="s">
        <v>26605</v>
      </c>
      <c r="V3268" t="s">
        <v>26612</v>
      </c>
      <c r="W3268" t="s">
        <v>603</v>
      </c>
      <c r="X3268">
        <v>463</v>
      </c>
      <c r="Y3268" t="s">
        <v>26654</v>
      </c>
      <c r="Z3268" t="s">
        <v>26668</v>
      </c>
      <c r="AB3268" t="s">
        <v>28652</v>
      </c>
      <c r="AE3268">
        <v>0</v>
      </c>
      <c r="AF3268" t="s">
        <v>45549</v>
      </c>
      <c r="AG3268" t="s">
        <v>45556</v>
      </c>
      <c r="AH3268">
        <v>3</v>
      </c>
      <c r="AI3268">
        <v>1</v>
      </c>
      <c r="AJ3268">
        <v>2</v>
      </c>
      <c r="AK3268">
        <v>17.32</v>
      </c>
      <c r="AO3268">
        <v>3600</v>
      </c>
      <c r="AU3268">
        <v>10.75</v>
      </c>
      <c r="AV3268" t="s">
        <v>772</v>
      </c>
      <c r="AW3268" t="s">
        <v>210</v>
      </c>
    </row>
    <row r="3269" spans="1:50">
      <c r="A3269" s="1">
        <f>HYPERLINK("https://lsnyc.legalserver.org/matter/dynamic-profile/view/1883665","18-1883665")</f>
        <v>0</v>
      </c>
      <c r="B3269" t="s">
        <v>142</v>
      </c>
      <c r="C3269" t="s">
        <v>340</v>
      </c>
      <c r="D3269" t="s">
        <v>603</v>
      </c>
      <c r="F3269" t="s">
        <v>2580</v>
      </c>
      <c r="G3269" t="s">
        <v>5208</v>
      </c>
      <c r="H3269" t="s">
        <v>12219</v>
      </c>
      <c r="J3269" t="s">
        <v>18919</v>
      </c>
      <c r="K3269">
        <v>11429</v>
      </c>
      <c r="L3269" t="s">
        <v>18958</v>
      </c>
      <c r="M3269" t="s">
        <v>18958</v>
      </c>
      <c r="N3269" t="s">
        <v>21402</v>
      </c>
      <c r="O3269" t="s">
        <v>26524</v>
      </c>
      <c r="P3269" t="s">
        <v>26564</v>
      </c>
      <c r="R3269" t="s">
        <v>26584</v>
      </c>
      <c r="S3269" t="s">
        <v>18959</v>
      </c>
      <c r="U3269" t="s">
        <v>26604</v>
      </c>
      <c r="V3269" t="s">
        <v>26609</v>
      </c>
      <c r="W3269" t="s">
        <v>603</v>
      </c>
      <c r="X3269">
        <v>1780</v>
      </c>
      <c r="Y3269" t="s">
        <v>26653</v>
      </c>
      <c r="Z3269" t="s">
        <v>26664</v>
      </c>
      <c r="AB3269" t="s">
        <v>29499</v>
      </c>
      <c r="AC3269" t="s">
        <v>35473</v>
      </c>
      <c r="AD3269" t="s">
        <v>39566</v>
      </c>
      <c r="AE3269">
        <v>1</v>
      </c>
      <c r="AF3269" t="s">
        <v>45547</v>
      </c>
      <c r="AG3269" t="s">
        <v>19330</v>
      </c>
      <c r="AH3269">
        <v>2</v>
      </c>
      <c r="AI3269">
        <v>2</v>
      </c>
      <c r="AJ3269">
        <v>3</v>
      </c>
      <c r="AK3269">
        <v>118.97</v>
      </c>
      <c r="AN3269" t="s">
        <v>7439</v>
      </c>
      <c r="AO3269">
        <v>35000</v>
      </c>
      <c r="AU3269">
        <v>1.1</v>
      </c>
      <c r="AV3269" t="s">
        <v>666</v>
      </c>
      <c r="AW3269" t="s">
        <v>161</v>
      </c>
    </row>
    <row r="3270" spans="1:50">
      <c r="A3270" s="1">
        <f>HYPERLINK("https://lsnyc.legalserver.org/matter/dynamic-profile/view/1883679","18-1883679")</f>
        <v>0</v>
      </c>
      <c r="B3270" t="s">
        <v>69</v>
      </c>
      <c r="C3270" t="s">
        <v>340</v>
      </c>
      <c r="D3270" t="s">
        <v>603</v>
      </c>
      <c r="F3270" t="s">
        <v>1366</v>
      </c>
      <c r="G3270" t="s">
        <v>5738</v>
      </c>
      <c r="H3270" t="s">
        <v>12220</v>
      </c>
      <c r="J3270" t="s">
        <v>18892</v>
      </c>
      <c r="K3270">
        <v>10459</v>
      </c>
      <c r="L3270" t="s">
        <v>18958</v>
      </c>
      <c r="M3270" t="s">
        <v>18958</v>
      </c>
      <c r="N3270" t="s">
        <v>21403</v>
      </c>
      <c r="O3270" t="s">
        <v>26523</v>
      </c>
      <c r="P3270" t="s">
        <v>26560</v>
      </c>
      <c r="R3270" t="s">
        <v>26577</v>
      </c>
      <c r="S3270" t="s">
        <v>18959</v>
      </c>
      <c r="U3270" t="s">
        <v>26604</v>
      </c>
      <c r="V3270" t="s">
        <v>26610</v>
      </c>
      <c r="W3270" t="s">
        <v>603</v>
      </c>
      <c r="X3270">
        <v>1832.96</v>
      </c>
      <c r="Y3270" t="s">
        <v>26650</v>
      </c>
      <c r="Z3270" t="s">
        <v>26659</v>
      </c>
      <c r="AB3270" t="s">
        <v>28218</v>
      </c>
      <c r="AC3270" t="s">
        <v>35474</v>
      </c>
      <c r="AD3270" t="s">
        <v>39567</v>
      </c>
      <c r="AE3270">
        <v>0</v>
      </c>
      <c r="AF3270" t="s">
        <v>45541</v>
      </c>
      <c r="AG3270" t="s">
        <v>45556</v>
      </c>
      <c r="AH3270">
        <v>20</v>
      </c>
      <c r="AI3270">
        <v>3</v>
      </c>
      <c r="AJ3270">
        <v>1</v>
      </c>
      <c r="AK3270">
        <v>32.22</v>
      </c>
      <c r="AN3270" t="s">
        <v>7439</v>
      </c>
      <c r="AO3270">
        <v>8088</v>
      </c>
      <c r="AU3270">
        <v>6.7</v>
      </c>
      <c r="AV3270" t="s">
        <v>814</v>
      </c>
      <c r="AW3270" t="s">
        <v>69</v>
      </c>
    </row>
    <row r="3271" spans="1:50">
      <c r="A3271" s="1">
        <f>HYPERLINK("https://lsnyc.legalserver.org/matter/dynamic-profile/view/1883489","18-1883489")</f>
        <v>0</v>
      </c>
      <c r="B3271" t="s">
        <v>99</v>
      </c>
      <c r="C3271" t="s">
        <v>341</v>
      </c>
      <c r="D3271" t="s">
        <v>664</v>
      </c>
      <c r="E3271" t="s">
        <v>687</v>
      </c>
      <c r="F3271" t="s">
        <v>2581</v>
      </c>
      <c r="G3271" t="s">
        <v>5951</v>
      </c>
      <c r="H3271" t="s">
        <v>12221</v>
      </c>
      <c r="I3271" t="s">
        <v>17356</v>
      </c>
      <c r="J3271" t="s">
        <v>18894</v>
      </c>
      <c r="K3271">
        <v>11212</v>
      </c>
      <c r="L3271" t="s">
        <v>18958</v>
      </c>
      <c r="M3271" t="s">
        <v>18958</v>
      </c>
      <c r="N3271" t="s">
        <v>21404</v>
      </c>
      <c r="O3271" t="s">
        <v>26543</v>
      </c>
      <c r="P3271" t="s">
        <v>26564</v>
      </c>
      <c r="Q3271" t="s">
        <v>26570</v>
      </c>
      <c r="R3271" t="s">
        <v>26586</v>
      </c>
      <c r="S3271" t="s">
        <v>18959</v>
      </c>
      <c r="U3271" t="s">
        <v>26605</v>
      </c>
      <c r="V3271" t="s">
        <v>26612</v>
      </c>
      <c r="W3271" t="s">
        <v>665</v>
      </c>
      <c r="X3271">
        <v>188.88</v>
      </c>
      <c r="Y3271" t="s">
        <v>26652</v>
      </c>
      <c r="Z3271" t="s">
        <v>26664</v>
      </c>
      <c r="AA3271" t="s">
        <v>26683</v>
      </c>
      <c r="AB3271" t="s">
        <v>29500</v>
      </c>
      <c r="AC3271" t="s">
        <v>35475</v>
      </c>
      <c r="AD3271" t="s">
        <v>39568</v>
      </c>
      <c r="AE3271">
        <v>12</v>
      </c>
      <c r="AF3271" t="s">
        <v>45549</v>
      </c>
      <c r="AG3271" t="s">
        <v>19330</v>
      </c>
      <c r="AH3271">
        <v>5</v>
      </c>
      <c r="AI3271">
        <v>1</v>
      </c>
      <c r="AJ3271">
        <v>0</v>
      </c>
      <c r="AK3271">
        <v>2.57</v>
      </c>
      <c r="AN3271" t="s">
        <v>7439</v>
      </c>
      <c r="AO3271">
        <v>312</v>
      </c>
      <c r="AU3271">
        <v>3.1</v>
      </c>
      <c r="AV3271" t="s">
        <v>687</v>
      </c>
      <c r="AW3271" t="s">
        <v>46856</v>
      </c>
    </row>
    <row r="3272" spans="1:50">
      <c r="A3272" s="1">
        <f>HYPERLINK("https://lsnyc.legalserver.org/matter/dynamic-profile/view/1883471","18-1883471")</f>
        <v>0</v>
      </c>
      <c r="B3272" t="s">
        <v>117</v>
      </c>
      <c r="C3272" t="s">
        <v>340</v>
      </c>
      <c r="D3272" t="s">
        <v>664</v>
      </c>
      <c r="F3272" t="s">
        <v>979</v>
      </c>
      <c r="G3272" t="s">
        <v>6818</v>
      </c>
      <c r="H3272" t="s">
        <v>10025</v>
      </c>
      <c r="I3272" t="s">
        <v>17388</v>
      </c>
      <c r="J3272" t="s">
        <v>18894</v>
      </c>
      <c r="K3272">
        <v>11208</v>
      </c>
      <c r="L3272" t="s">
        <v>18958</v>
      </c>
      <c r="M3272" t="s">
        <v>18958</v>
      </c>
      <c r="N3272" t="s">
        <v>21405</v>
      </c>
      <c r="O3272" t="s">
        <v>26523</v>
      </c>
      <c r="P3272" t="s">
        <v>26560</v>
      </c>
      <c r="R3272" t="s">
        <v>26578</v>
      </c>
      <c r="U3272" t="s">
        <v>26604</v>
      </c>
      <c r="W3272" t="s">
        <v>665</v>
      </c>
      <c r="X3272">
        <v>1375</v>
      </c>
      <c r="Y3272" t="s">
        <v>26652</v>
      </c>
      <c r="Z3272" t="s">
        <v>26664</v>
      </c>
      <c r="AB3272" t="s">
        <v>29501</v>
      </c>
      <c r="AC3272" t="s">
        <v>35476</v>
      </c>
      <c r="AD3272" t="s">
        <v>39569</v>
      </c>
      <c r="AE3272">
        <v>56</v>
      </c>
      <c r="AF3272" t="s">
        <v>45541</v>
      </c>
      <c r="AH3272">
        <v>9</v>
      </c>
      <c r="AI3272">
        <v>1</v>
      </c>
      <c r="AJ3272">
        <v>0</v>
      </c>
      <c r="AK3272">
        <v>84.70999999999999</v>
      </c>
      <c r="AN3272" t="s">
        <v>7439</v>
      </c>
      <c r="AO3272">
        <v>10284</v>
      </c>
      <c r="AP3272" t="s">
        <v>45649</v>
      </c>
      <c r="AU3272">
        <v>46.4</v>
      </c>
      <c r="AV3272" t="s">
        <v>834</v>
      </c>
      <c r="AW3272" t="s">
        <v>46856</v>
      </c>
    </row>
    <row r="3273" spans="1:50">
      <c r="A3273" s="1">
        <f>HYPERLINK("https://lsnyc.legalserver.org/matter/dynamic-profile/view/1884072","18-1884072")</f>
        <v>0</v>
      </c>
      <c r="B3273" t="s">
        <v>149</v>
      </c>
      <c r="C3273" t="s">
        <v>341</v>
      </c>
      <c r="D3273" t="s">
        <v>665</v>
      </c>
      <c r="E3273" t="s">
        <v>714</v>
      </c>
      <c r="F3273" t="s">
        <v>2582</v>
      </c>
      <c r="G3273" t="s">
        <v>6819</v>
      </c>
      <c r="H3273" t="s">
        <v>10752</v>
      </c>
      <c r="I3273" t="s">
        <v>17496</v>
      </c>
      <c r="J3273" t="s">
        <v>18892</v>
      </c>
      <c r="K3273">
        <v>10457</v>
      </c>
      <c r="L3273" t="s">
        <v>18958</v>
      </c>
      <c r="M3273" t="s">
        <v>18958</v>
      </c>
      <c r="N3273" t="s">
        <v>21406</v>
      </c>
      <c r="O3273" t="s">
        <v>26523</v>
      </c>
      <c r="P3273" t="s">
        <v>26560</v>
      </c>
      <c r="Q3273" t="s">
        <v>26568</v>
      </c>
      <c r="R3273" t="s">
        <v>26579</v>
      </c>
      <c r="S3273" t="s">
        <v>18959</v>
      </c>
      <c r="U3273" t="s">
        <v>26604</v>
      </c>
      <c r="V3273" t="s">
        <v>26612</v>
      </c>
      <c r="W3273" t="s">
        <v>665</v>
      </c>
      <c r="X3273">
        <v>1100</v>
      </c>
      <c r="Y3273" t="s">
        <v>26650</v>
      </c>
      <c r="Z3273" t="s">
        <v>26664</v>
      </c>
      <c r="AA3273" t="s">
        <v>26678</v>
      </c>
      <c r="AB3273" t="s">
        <v>29502</v>
      </c>
      <c r="AD3273" t="s">
        <v>39570</v>
      </c>
      <c r="AE3273">
        <v>54</v>
      </c>
      <c r="AF3273" t="s">
        <v>45541</v>
      </c>
      <c r="AG3273" t="s">
        <v>19330</v>
      </c>
      <c r="AH3273">
        <v>4</v>
      </c>
      <c r="AI3273">
        <v>1</v>
      </c>
      <c r="AJ3273">
        <v>1</v>
      </c>
      <c r="AK3273">
        <v>42.65</v>
      </c>
      <c r="AN3273" t="s">
        <v>45581</v>
      </c>
      <c r="AO3273">
        <v>7020</v>
      </c>
      <c r="AR3273" t="s">
        <v>46427</v>
      </c>
      <c r="AS3273" t="s">
        <v>46499</v>
      </c>
      <c r="AT3273" t="s">
        <v>46662</v>
      </c>
      <c r="AU3273">
        <v>6.4</v>
      </c>
      <c r="AV3273" t="s">
        <v>739</v>
      </c>
      <c r="AW3273" t="s">
        <v>336</v>
      </c>
    </row>
    <row r="3274" spans="1:50">
      <c r="A3274" s="1">
        <f>HYPERLINK("https://lsnyc.legalserver.org/matter/dynamic-profile/view/1884198","18-1884198")</f>
        <v>0</v>
      </c>
      <c r="B3274" t="s">
        <v>137</v>
      </c>
      <c r="C3274" t="s">
        <v>341</v>
      </c>
      <c r="D3274" t="s">
        <v>665</v>
      </c>
      <c r="E3274" t="s">
        <v>815</v>
      </c>
      <c r="F3274" t="s">
        <v>1531</v>
      </c>
      <c r="G3274" t="s">
        <v>6820</v>
      </c>
      <c r="H3274" t="s">
        <v>12222</v>
      </c>
      <c r="I3274">
        <v>2</v>
      </c>
      <c r="J3274" t="s">
        <v>18892</v>
      </c>
      <c r="K3274">
        <v>10469</v>
      </c>
      <c r="L3274" t="s">
        <v>18958</v>
      </c>
      <c r="M3274" t="s">
        <v>18958</v>
      </c>
      <c r="N3274" t="s">
        <v>21407</v>
      </c>
      <c r="O3274" t="s">
        <v>26524</v>
      </c>
      <c r="P3274" t="s">
        <v>26564</v>
      </c>
      <c r="Q3274" t="s">
        <v>26570</v>
      </c>
      <c r="R3274" t="s">
        <v>26577</v>
      </c>
      <c r="S3274" t="s">
        <v>18959</v>
      </c>
      <c r="U3274" t="s">
        <v>26604</v>
      </c>
      <c r="V3274" t="s">
        <v>26612</v>
      </c>
      <c r="W3274" t="s">
        <v>665</v>
      </c>
      <c r="X3274">
        <v>1268</v>
      </c>
      <c r="Y3274" t="s">
        <v>26650</v>
      </c>
      <c r="Z3274" t="s">
        <v>26668</v>
      </c>
      <c r="AA3274" t="s">
        <v>26679</v>
      </c>
      <c r="AB3274" t="s">
        <v>29503</v>
      </c>
      <c r="AC3274" t="s">
        <v>35477</v>
      </c>
      <c r="AD3274" t="s">
        <v>39571</v>
      </c>
      <c r="AE3274">
        <v>3</v>
      </c>
      <c r="AF3274" t="s">
        <v>45547</v>
      </c>
      <c r="AG3274" t="s">
        <v>45557</v>
      </c>
      <c r="AH3274">
        <v>0</v>
      </c>
      <c r="AI3274">
        <v>1</v>
      </c>
      <c r="AJ3274">
        <v>2</v>
      </c>
      <c r="AK3274">
        <v>16.75</v>
      </c>
      <c r="AN3274" t="s">
        <v>7439</v>
      </c>
      <c r="AO3274">
        <v>3480</v>
      </c>
      <c r="AS3274" t="s">
        <v>46500</v>
      </c>
      <c r="AT3274" t="s">
        <v>46645</v>
      </c>
      <c r="AU3274">
        <v>1.75</v>
      </c>
      <c r="AV3274" t="s">
        <v>745</v>
      </c>
      <c r="AW3274" t="s">
        <v>336</v>
      </c>
    </row>
    <row r="3275" spans="1:50">
      <c r="A3275" s="1">
        <f>HYPERLINK("https://lsnyc.legalserver.org/matter/dynamic-profile/view/1884183","18-1884183")</f>
        <v>0</v>
      </c>
      <c r="B3275" t="s">
        <v>137</v>
      </c>
      <c r="C3275" t="s">
        <v>341</v>
      </c>
      <c r="D3275" t="s">
        <v>665</v>
      </c>
      <c r="E3275" t="s">
        <v>769</v>
      </c>
      <c r="F3275" t="s">
        <v>2583</v>
      </c>
      <c r="G3275" t="s">
        <v>5147</v>
      </c>
      <c r="H3275" t="s">
        <v>12223</v>
      </c>
      <c r="I3275" t="s">
        <v>17944</v>
      </c>
      <c r="J3275" t="s">
        <v>18892</v>
      </c>
      <c r="K3275">
        <v>10462</v>
      </c>
      <c r="L3275" t="s">
        <v>18958</v>
      </c>
      <c r="M3275" t="s">
        <v>18958</v>
      </c>
      <c r="N3275" t="s">
        <v>21408</v>
      </c>
      <c r="O3275" t="s">
        <v>26523</v>
      </c>
      <c r="P3275" t="s">
        <v>26560</v>
      </c>
      <c r="Q3275" t="s">
        <v>26568</v>
      </c>
      <c r="R3275" t="s">
        <v>26579</v>
      </c>
      <c r="S3275" t="s">
        <v>18959</v>
      </c>
      <c r="U3275" t="s">
        <v>26604</v>
      </c>
      <c r="V3275" t="s">
        <v>26609</v>
      </c>
      <c r="W3275" t="s">
        <v>665</v>
      </c>
      <c r="X3275">
        <v>1078</v>
      </c>
      <c r="Y3275" t="s">
        <v>26650</v>
      </c>
      <c r="Z3275" t="s">
        <v>26664</v>
      </c>
      <c r="AA3275" t="s">
        <v>26678</v>
      </c>
      <c r="AB3275" t="s">
        <v>29504</v>
      </c>
      <c r="AD3275" t="s">
        <v>39572</v>
      </c>
      <c r="AE3275">
        <v>60</v>
      </c>
      <c r="AF3275" t="s">
        <v>45541</v>
      </c>
      <c r="AG3275" t="s">
        <v>45557</v>
      </c>
      <c r="AH3275">
        <v>6</v>
      </c>
      <c r="AI3275">
        <v>1</v>
      </c>
      <c r="AJ3275">
        <v>1</v>
      </c>
      <c r="AK3275">
        <v>43.3</v>
      </c>
      <c r="AN3275" t="s">
        <v>7439</v>
      </c>
      <c r="AO3275">
        <v>7128</v>
      </c>
      <c r="AR3275" t="s">
        <v>46397</v>
      </c>
      <c r="AS3275" t="s">
        <v>46499</v>
      </c>
      <c r="AT3275" t="s">
        <v>46769</v>
      </c>
      <c r="AU3275">
        <v>7.5</v>
      </c>
      <c r="AV3275" t="s">
        <v>795</v>
      </c>
      <c r="AW3275" t="s">
        <v>336</v>
      </c>
    </row>
    <row r="3276" spans="1:50">
      <c r="A3276" s="1">
        <f>HYPERLINK("https://lsnyc.legalserver.org/matter/dynamic-profile/view/1883693","18-1883693")</f>
        <v>0</v>
      </c>
      <c r="B3276" t="s">
        <v>66</v>
      </c>
      <c r="C3276" t="s">
        <v>341</v>
      </c>
      <c r="D3276" t="s">
        <v>665</v>
      </c>
      <c r="E3276" t="s">
        <v>832</v>
      </c>
      <c r="F3276" t="s">
        <v>2306</v>
      </c>
      <c r="G3276" t="s">
        <v>6821</v>
      </c>
      <c r="H3276" t="s">
        <v>12224</v>
      </c>
      <c r="I3276">
        <v>502</v>
      </c>
      <c r="J3276" t="s">
        <v>18893</v>
      </c>
      <c r="K3276">
        <v>10025</v>
      </c>
      <c r="L3276" t="s">
        <v>18958</v>
      </c>
      <c r="M3276" t="s">
        <v>18958</v>
      </c>
      <c r="N3276" t="s">
        <v>21409</v>
      </c>
      <c r="O3276" t="s">
        <v>26523</v>
      </c>
      <c r="P3276" t="s">
        <v>26560</v>
      </c>
      <c r="Q3276" t="s">
        <v>26568</v>
      </c>
      <c r="R3276" t="s">
        <v>26580</v>
      </c>
      <c r="S3276" t="s">
        <v>18959</v>
      </c>
      <c r="U3276" t="s">
        <v>26604</v>
      </c>
      <c r="V3276" t="s">
        <v>26610</v>
      </c>
      <c r="W3276" t="s">
        <v>665</v>
      </c>
      <c r="X3276">
        <v>237</v>
      </c>
      <c r="Y3276" t="s">
        <v>26651</v>
      </c>
      <c r="Z3276" t="s">
        <v>26664</v>
      </c>
      <c r="AA3276" t="s">
        <v>26678</v>
      </c>
      <c r="AB3276" t="s">
        <v>29505</v>
      </c>
      <c r="AD3276" t="s">
        <v>39573</v>
      </c>
      <c r="AE3276">
        <v>0</v>
      </c>
      <c r="AF3276" t="s">
        <v>45554</v>
      </c>
      <c r="AG3276" t="s">
        <v>45556</v>
      </c>
      <c r="AH3276">
        <v>1</v>
      </c>
      <c r="AI3276">
        <v>1</v>
      </c>
      <c r="AJ3276">
        <v>0</v>
      </c>
      <c r="AK3276">
        <v>79.87</v>
      </c>
      <c r="AN3276" t="s">
        <v>7439</v>
      </c>
      <c r="AO3276">
        <v>9696</v>
      </c>
      <c r="AS3276" t="s">
        <v>46499</v>
      </c>
      <c r="AU3276">
        <v>5.75</v>
      </c>
      <c r="AV3276" t="s">
        <v>693</v>
      </c>
      <c r="AW3276" t="s">
        <v>314</v>
      </c>
      <c r="AX3276" t="s">
        <v>46897</v>
      </c>
    </row>
    <row r="3277" spans="1:50">
      <c r="A3277" s="1">
        <f>HYPERLINK("https://lsnyc.legalserver.org/matter/dynamic-profile/view/1883731","18-1883731")</f>
        <v>0</v>
      </c>
      <c r="B3277" t="s">
        <v>66</v>
      </c>
      <c r="C3277" t="s">
        <v>341</v>
      </c>
      <c r="D3277" t="s">
        <v>665</v>
      </c>
      <c r="E3277" t="s">
        <v>827</v>
      </c>
      <c r="F3277" t="s">
        <v>2584</v>
      </c>
      <c r="G3277" t="s">
        <v>6324</v>
      </c>
      <c r="H3277" t="s">
        <v>12225</v>
      </c>
      <c r="I3277" t="s">
        <v>17274</v>
      </c>
      <c r="J3277" t="s">
        <v>18893</v>
      </c>
      <c r="K3277">
        <v>10025</v>
      </c>
      <c r="L3277" t="s">
        <v>18958</v>
      </c>
      <c r="M3277" t="s">
        <v>18958</v>
      </c>
      <c r="N3277" t="s">
        <v>21410</v>
      </c>
      <c r="O3277" t="s">
        <v>26523</v>
      </c>
      <c r="P3277" t="s">
        <v>26560</v>
      </c>
      <c r="Q3277" t="s">
        <v>26568</v>
      </c>
      <c r="R3277" t="s">
        <v>26580</v>
      </c>
      <c r="S3277" t="s">
        <v>18959</v>
      </c>
      <c r="U3277" t="s">
        <v>26604</v>
      </c>
      <c r="V3277" t="s">
        <v>26610</v>
      </c>
      <c r="W3277" t="s">
        <v>665</v>
      </c>
      <c r="X3277">
        <v>309</v>
      </c>
      <c r="Y3277" t="s">
        <v>26651</v>
      </c>
      <c r="Z3277" t="s">
        <v>26664</v>
      </c>
      <c r="AA3277" t="s">
        <v>26678</v>
      </c>
      <c r="AB3277" t="s">
        <v>29506</v>
      </c>
      <c r="AC3277" t="s">
        <v>35478</v>
      </c>
      <c r="AD3277" t="s">
        <v>39574</v>
      </c>
      <c r="AE3277">
        <v>0</v>
      </c>
      <c r="AF3277" t="s">
        <v>45543</v>
      </c>
      <c r="AG3277" t="s">
        <v>45556</v>
      </c>
      <c r="AH3277">
        <v>37</v>
      </c>
      <c r="AI3277">
        <v>2</v>
      </c>
      <c r="AJ3277">
        <v>0</v>
      </c>
      <c r="AK3277">
        <v>91.64</v>
      </c>
      <c r="AN3277" t="s">
        <v>7439</v>
      </c>
      <c r="AO3277">
        <v>15084</v>
      </c>
      <c r="AQ3277" t="s">
        <v>46362</v>
      </c>
      <c r="AR3277" t="s">
        <v>46380</v>
      </c>
      <c r="AS3277" t="s">
        <v>46499</v>
      </c>
      <c r="AT3277" t="s">
        <v>46506</v>
      </c>
      <c r="AU3277">
        <v>12.25</v>
      </c>
      <c r="AV3277" t="s">
        <v>808</v>
      </c>
      <c r="AW3277" t="s">
        <v>314</v>
      </c>
      <c r="AX3277" t="s">
        <v>46897</v>
      </c>
    </row>
    <row r="3278" spans="1:50">
      <c r="A3278" s="1">
        <f>HYPERLINK("https://lsnyc.legalserver.org/matter/dynamic-profile/view/1883722","18-1883722")</f>
        <v>0</v>
      </c>
      <c r="B3278" t="s">
        <v>66</v>
      </c>
      <c r="C3278" t="s">
        <v>341</v>
      </c>
      <c r="D3278" t="s">
        <v>665</v>
      </c>
      <c r="E3278" t="s">
        <v>706</v>
      </c>
      <c r="F3278" t="s">
        <v>2585</v>
      </c>
      <c r="G3278" t="s">
        <v>6822</v>
      </c>
      <c r="H3278" t="s">
        <v>12226</v>
      </c>
      <c r="I3278" t="s">
        <v>17327</v>
      </c>
      <c r="J3278" t="s">
        <v>18893</v>
      </c>
      <c r="K3278">
        <v>10031</v>
      </c>
      <c r="L3278" t="s">
        <v>18958</v>
      </c>
      <c r="M3278" t="s">
        <v>18958</v>
      </c>
      <c r="N3278" t="s">
        <v>21411</v>
      </c>
      <c r="O3278" t="s">
        <v>26524</v>
      </c>
      <c r="P3278" t="s">
        <v>26564</v>
      </c>
      <c r="Q3278" t="s">
        <v>26570</v>
      </c>
      <c r="R3278" t="s">
        <v>26580</v>
      </c>
      <c r="S3278" t="s">
        <v>18959</v>
      </c>
      <c r="U3278" t="s">
        <v>26604</v>
      </c>
      <c r="V3278" t="s">
        <v>26610</v>
      </c>
      <c r="W3278" t="s">
        <v>665</v>
      </c>
      <c r="X3278">
        <v>175</v>
      </c>
      <c r="Y3278" t="s">
        <v>26651</v>
      </c>
      <c r="Z3278" t="s">
        <v>26664</v>
      </c>
      <c r="AA3278" t="s">
        <v>26683</v>
      </c>
      <c r="AB3278" t="s">
        <v>29507</v>
      </c>
      <c r="AD3278" t="s">
        <v>39575</v>
      </c>
      <c r="AE3278">
        <v>35</v>
      </c>
      <c r="AF3278" t="s">
        <v>20460</v>
      </c>
      <c r="AG3278" t="s">
        <v>19330</v>
      </c>
      <c r="AH3278">
        <v>11</v>
      </c>
      <c r="AI3278">
        <v>2</v>
      </c>
      <c r="AJ3278">
        <v>1</v>
      </c>
      <c r="AK3278">
        <v>97.59</v>
      </c>
      <c r="AN3278" t="s">
        <v>45581</v>
      </c>
      <c r="AO3278">
        <v>20280</v>
      </c>
      <c r="AU3278">
        <v>1</v>
      </c>
      <c r="AV3278" t="s">
        <v>706</v>
      </c>
      <c r="AW3278" t="s">
        <v>314</v>
      </c>
    </row>
    <row r="3279" spans="1:50">
      <c r="A3279" s="1">
        <f>HYPERLINK("https://lsnyc.legalserver.org/matter/dynamic-profile/view/1884263","18-1884263")</f>
        <v>0</v>
      </c>
      <c r="B3279" t="s">
        <v>270</v>
      </c>
      <c r="C3279" t="s">
        <v>341</v>
      </c>
      <c r="D3279" t="s">
        <v>665</v>
      </c>
      <c r="E3279" t="s">
        <v>768</v>
      </c>
      <c r="F3279" t="s">
        <v>1527</v>
      </c>
      <c r="G3279" t="s">
        <v>6823</v>
      </c>
      <c r="H3279" t="s">
        <v>12227</v>
      </c>
      <c r="I3279" t="s">
        <v>17362</v>
      </c>
      <c r="J3279" t="s">
        <v>18892</v>
      </c>
      <c r="K3279">
        <v>10468</v>
      </c>
      <c r="L3279" t="s">
        <v>18958</v>
      </c>
      <c r="M3279" t="s">
        <v>18958</v>
      </c>
      <c r="N3279" t="s">
        <v>21412</v>
      </c>
      <c r="O3279" t="s">
        <v>26523</v>
      </c>
      <c r="P3279" t="s">
        <v>26560</v>
      </c>
      <c r="Q3279" t="s">
        <v>26568</v>
      </c>
      <c r="R3279" t="s">
        <v>26579</v>
      </c>
      <c r="S3279" t="s">
        <v>18959</v>
      </c>
      <c r="U3279" t="s">
        <v>26604</v>
      </c>
      <c r="V3279" t="s">
        <v>26610</v>
      </c>
      <c r="W3279" t="s">
        <v>665</v>
      </c>
      <c r="X3279">
        <v>7.7</v>
      </c>
      <c r="Y3279" t="s">
        <v>26650</v>
      </c>
      <c r="Z3279" t="s">
        <v>26664</v>
      </c>
      <c r="AA3279" t="s">
        <v>26681</v>
      </c>
      <c r="AB3279" t="s">
        <v>29508</v>
      </c>
      <c r="AC3279" t="s">
        <v>35479</v>
      </c>
      <c r="AD3279" t="s">
        <v>39576</v>
      </c>
      <c r="AE3279">
        <v>65</v>
      </c>
      <c r="AF3279" t="s">
        <v>45541</v>
      </c>
      <c r="AG3279" t="s">
        <v>26530</v>
      </c>
      <c r="AH3279">
        <v>14</v>
      </c>
      <c r="AI3279">
        <v>1</v>
      </c>
      <c r="AJ3279">
        <v>0</v>
      </c>
      <c r="AK3279">
        <v>115.32</v>
      </c>
      <c r="AN3279" t="s">
        <v>7439</v>
      </c>
      <c r="AO3279">
        <v>14000</v>
      </c>
      <c r="AR3279" t="s">
        <v>46381</v>
      </c>
      <c r="AS3279" t="s">
        <v>46499</v>
      </c>
      <c r="AT3279" t="s">
        <v>46507</v>
      </c>
      <c r="AU3279">
        <v>19.3</v>
      </c>
      <c r="AV3279" t="s">
        <v>768</v>
      </c>
      <c r="AW3279" t="s">
        <v>336</v>
      </c>
    </row>
    <row r="3280" spans="1:50">
      <c r="A3280" s="1">
        <f>HYPERLINK("https://lsnyc.legalserver.org/matter/dynamic-profile/view/1883535","18-1883535")</f>
        <v>0</v>
      </c>
      <c r="B3280" t="s">
        <v>103</v>
      </c>
      <c r="C3280" t="s">
        <v>341</v>
      </c>
      <c r="D3280" t="s">
        <v>665</v>
      </c>
      <c r="E3280" t="s">
        <v>731</v>
      </c>
      <c r="F3280" t="s">
        <v>2586</v>
      </c>
      <c r="G3280" t="s">
        <v>5419</v>
      </c>
      <c r="H3280" t="s">
        <v>12228</v>
      </c>
      <c r="I3280">
        <v>1</v>
      </c>
      <c r="J3280" t="s">
        <v>18902</v>
      </c>
      <c r="K3280">
        <v>10301</v>
      </c>
      <c r="L3280" t="s">
        <v>18958</v>
      </c>
      <c r="M3280" t="s">
        <v>18958</v>
      </c>
      <c r="N3280" t="s">
        <v>21413</v>
      </c>
      <c r="O3280" t="s">
        <v>26524</v>
      </c>
      <c r="P3280" t="s">
        <v>26560</v>
      </c>
      <c r="Q3280" t="s">
        <v>26575</v>
      </c>
      <c r="R3280" t="s">
        <v>26578</v>
      </c>
      <c r="S3280" t="s">
        <v>18959</v>
      </c>
      <c r="U3280" t="s">
        <v>26604</v>
      </c>
      <c r="V3280" t="s">
        <v>26612</v>
      </c>
      <c r="W3280" t="s">
        <v>665</v>
      </c>
      <c r="X3280">
        <v>561</v>
      </c>
      <c r="Y3280" t="s">
        <v>26654</v>
      </c>
      <c r="Z3280" t="s">
        <v>26661</v>
      </c>
      <c r="AA3280" t="s">
        <v>26679</v>
      </c>
      <c r="AB3280" t="s">
        <v>29509</v>
      </c>
      <c r="AD3280" t="s">
        <v>34738</v>
      </c>
      <c r="AE3280">
        <v>3</v>
      </c>
      <c r="AF3280" t="s">
        <v>45547</v>
      </c>
      <c r="AG3280" t="s">
        <v>45556</v>
      </c>
      <c r="AH3280">
        <v>1</v>
      </c>
      <c r="AI3280">
        <v>1</v>
      </c>
      <c r="AJ3280">
        <v>2</v>
      </c>
      <c r="AK3280">
        <v>17.27</v>
      </c>
      <c r="AN3280" t="s">
        <v>7439</v>
      </c>
      <c r="AO3280">
        <v>3588</v>
      </c>
      <c r="AP3280" t="s">
        <v>45785</v>
      </c>
      <c r="AQ3280" t="s">
        <v>46364</v>
      </c>
      <c r="AR3280" t="s">
        <v>46384</v>
      </c>
      <c r="AS3280" t="s">
        <v>46500</v>
      </c>
      <c r="AT3280" t="s">
        <v>46750</v>
      </c>
      <c r="AU3280">
        <v>16.3</v>
      </c>
      <c r="AV3280" t="s">
        <v>735</v>
      </c>
      <c r="AW3280" t="s">
        <v>46855</v>
      </c>
    </row>
    <row r="3281" spans="1:50">
      <c r="A3281" s="1">
        <f>HYPERLINK("https://lsnyc.legalserver.org/matter/dynamic-profile/view/1883703","18-1883703")</f>
        <v>0</v>
      </c>
      <c r="B3281" t="s">
        <v>86</v>
      </c>
      <c r="C3281" t="s">
        <v>341</v>
      </c>
      <c r="D3281" t="s">
        <v>665</v>
      </c>
      <c r="E3281" t="s">
        <v>777</v>
      </c>
      <c r="F3281" t="s">
        <v>2587</v>
      </c>
      <c r="G3281" t="s">
        <v>5147</v>
      </c>
      <c r="H3281" t="s">
        <v>12229</v>
      </c>
      <c r="I3281" t="s">
        <v>17299</v>
      </c>
      <c r="J3281" t="s">
        <v>18893</v>
      </c>
      <c r="K3281">
        <v>10026</v>
      </c>
      <c r="L3281" t="s">
        <v>18959</v>
      </c>
      <c r="M3281" t="s">
        <v>18958</v>
      </c>
      <c r="N3281" t="s">
        <v>21414</v>
      </c>
      <c r="O3281" t="s">
        <v>26523</v>
      </c>
      <c r="P3281" t="s">
        <v>26564</v>
      </c>
      <c r="Q3281" t="s">
        <v>26570</v>
      </c>
      <c r="R3281" t="s">
        <v>26582</v>
      </c>
      <c r="S3281" t="s">
        <v>18959</v>
      </c>
      <c r="U3281" t="s">
        <v>26604</v>
      </c>
      <c r="V3281" t="s">
        <v>26610</v>
      </c>
      <c r="W3281" t="s">
        <v>665</v>
      </c>
      <c r="X3281">
        <v>1600</v>
      </c>
      <c r="Y3281" t="s">
        <v>26651</v>
      </c>
      <c r="Z3281" t="s">
        <v>26664</v>
      </c>
      <c r="AA3281" t="s">
        <v>26683</v>
      </c>
      <c r="AB3281" t="s">
        <v>27795</v>
      </c>
      <c r="AD3281" t="s">
        <v>39577</v>
      </c>
      <c r="AE3281">
        <v>0</v>
      </c>
      <c r="AF3281" t="s">
        <v>20460</v>
      </c>
      <c r="AG3281" t="s">
        <v>19330</v>
      </c>
      <c r="AH3281">
        <v>3</v>
      </c>
      <c r="AI3281">
        <v>4</v>
      </c>
      <c r="AJ3281">
        <v>2</v>
      </c>
      <c r="AK3281">
        <v>226.43</v>
      </c>
      <c r="AN3281" t="s">
        <v>7439</v>
      </c>
      <c r="AO3281">
        <v>76396</v>
      </c>
      <c r="AU3281">
        <v>0.2</v>
      </c>
      <c r="AV3281" t="s">
        <v>652</v>
      </c>
      <c r="AW3281" t="s">
        <v>314</v>
      </c>
      <c r="AX3281" t="s">
        <v>46897</v>
      </c>
    </row>
    <row r="3282" spans="1:50">
      <c r="A3282" s="1">
        <f>HYPERLINK("https://lsnyc.legalserver.org/matter/dynamic-profile/view/1883763","18-1883763")</f>
        <v>0</v>
      </c>
      <c r="B3282" t="s">
        <v>66</v>
      </c>
      <c r="C3282" t="s">
        <v>340</v>
      </c>
      <c r="D3282" t="s">
        <v>665</v>
      </c>
      <c r="F3282" t="s">
        <v>2588</v>
      </c>
      <c r="G3282" t="s">
        <v>6824</v>
      </c>
      <c r="H3282" t="s">
        <v>9929</v>
      </c>
      <c r="I3282" t="s">
        <v>17436</v>
      </c>
      <c r="J3282" t="s">
        <v>18893</v>
      </c>
      <c r="K3282">
        <v>10027</v>
      </c>
      <c r="L3282" t="s">
        <v>18958</v>
      </c>
      <c r="M3282" t="s">
        <v>18958</v>
      </c>
      <c r="N3282" t="s">
        <v>21415</v>
      </c>
      <c r="O3282" t="s">
        <v>26523</v>
      </c>
      <c r="P3282" t="s">
        <v>26560</v>
      </c>
      <c r="R3282" t="s">
        <v>26580</v>
      </c>
      <c r="S3282" t="s">
        <v>18959</v>
      </c>
      <c r="U3282" t="s">
        <v>26604</v>
      </c>
      <c r="V3282" t="s">
        <v>26609</v>
      </c>
      <c r="W3282" t="s">
        <v>665</v>
      </c>
      <c r="X3282">
        <v>524</v>
      </c>
      <c r="Y3282" t="s">
        <v>26651</v>
      </c>
      <c r="Z3282" t="s">
        <v>26664</v>
      </c>
      <c r="AB3282" t="s">
        <v>29510</v>
      </c>
      <c r="AC3282" t="s">
        <v>35480</v>
      </c>
      <c r="AD3282" t="s">
        <v>39578</v>
      </c>
      <c r="AE3282">
        <v>0</v>
      </c>
      <c r="AF3282" t="s">
        <v>45551</v>
      </c>
      <c r="AG3282" t="s">
        <v>26530</v>
      </c>
      <c r="AH3282">
        <v>5</v>
      </c>
      <c r="AI3282">
        <v>2</v>
      </c>
      <c r="AJ3282">
        <v>0</v>
      </c>
      <c r="AK3282">
        <v>17.69</v>
      </c>
      <c r="AN3282" t="s">
        <v>7439</v>
      </c>
      <c r="AO3282">
        <v>2912</v>
      </c>
      <c r="AU3282">
        <v>22.7</v>
      </c>
      <c r="AV3282" t="s">
        <v>836</v>
      </c>
      <c r="AW3282" t="s">
        <v>46875</v>
      </c>
    </row>
    <row r="3283" spans="1:50">
      <c r="A3283" s="1">
        <f>HYPERLINK("https://lsnyc.legalserver.org/matter/dynamic-profile/view/1883715","18-1883715")</f>
        <v>0</v>
      </c>
      <c r="B3283" t="s">
        <v>82</v>
      </c>
      <c r="C3283" t="s">
        <v>340</v>
      </c>
      <c r="D3283" t="s">
        <v>665</v>
      </c>
      <c r="F3283" t="s">
        <v>2589</v>
      </c>
      <c r="G3283" t="s">
        <v>6825</v>
      </c>
      <c r="H3283" t="s">
        <v>12230</v>
      </c>
      <c r="I3283" t="s">
        <v>17945</v>
      </c>
      <c r="J3283" t="s">
        <v>18892</v>
      </c>
      <c r="K3283">
        <v>10467</v>
      </c>
      <c r="L3283" t="s">
        <v>18958</v>
      </c>
      <c r="M3283" t="s">
        <v>18958</v>
      </c>
      <c r="N3283" t="s">
        <v>21416</v>
      </c>
      <c r="O3283" t="s">
        <v>26523</v>
      </c>
      <c r="P3283" t="s">
        <v>26560</v>
      </c>
      <c r="R3283" t="s">
        <v>26579</v>
      </c>
      <c r="S3283" t="s">
        <v>18959</v>
      </c>
      <c r="U3283" t="s">
        <v>26604</v>
      </c>
      <c r="V3283" t="s">
        <v>26610</v>
      </c>
      <c r="W3283" t="s">
        <v>665</v>
      </c>
      <c r="X3283">
        <v>1769</v>
      </c>
      <c r="Y3283" t="s">
        <v>26650</v>
      </c>
      <c r="Z3283" t="s">
        <v>26530</v>
      </c>
      <c r="AB3283" t="s">
        <v>27291</v>
      </c>
      <c r="AD3283" t="s">
        <v>39579</v>
      </c>
      <c r="AE3283">
        <v>0</v>
      </c>
      <c r="AF3283" t="s">
        <v>45541</v>
      </c>
      <c r="AG3283" t="s">
        <v>19330</v>
      </c>
      <c r="AH3283">
        <v>8</v>
      </c>
      <c r="AI3283">
        <v>4</v>
      </c>
      <c r="AJ3283">
        <v>0</v>
      </c>
      <c r="AK3283">
        <v>0</v>
      </c>
      <c r="AN3283" t="s">
        <v>45581</v>
      </c>
      <c r="AO3283">
        <v>0</v>
      </c>
      <c r="AU3283">
        <v>5.5</v>
      </c>
      <c r="AV3283" t="s">
        <v>757</v>
      </c>
      <c r="AW3283" t="s">
        <v>46871</v>
      </c>
    </row>
    <row r="3284" spans="1:50">
      <c r="A3284" s="1">
        <f>HYPERLINK("https://lsnyc.legalserver.org/matter/dynamic-profile/view/1883696","18-1883696")</f>
        <v>0</v>
      </c>
      <c r="B3284" t="s">
        <v>240</v>
      </c>
      <c r="C3284" t="s">
        <v>340</v>
      </c>
      <c r="D3284" t="s">
        <v>665</v>
      </c>
      <c r="F3284" t="s">
        <v>1769</v>
      </c>
      <c r="G3284" t="s">
        <v>6547</v>
      </c>
      <c r="H3284" t="s">
        <v>11765</v>
      </c>
      <c r="I3284" t="s">
        <v>17870</v>
      </c>
      <c r="J3284" t="s">
        <v>18894</v>
      </c>
      <c r="K3284">
        <v>11226</v>
      </c>
      <c r="L3284" t="s">
        <v>18958</v>
      </c>
      <c r="M3284" t="s">
        <v>18958</v>
      </c>
      <c r="O3284" t="s">
        <v>26540</v>
      </c>
      <c r="P3284" t="s">
        <v>26560</v>
      </c>
      <c r="R3284" t="s">
        <v>26578</v>
      </c>
      <c r="U3284" t="s">
        <v>26604</v>
      </c>
      <c r="V3284" t="s">
        <v>26610</v>
      </c>
      <c r="W3284" t="s">
        <v>665</v>
      </c>
      <c r="X3284">
        <v>1500</v>
      </c>
      <c r="Y3284" t="s">
        <v>26652</v>
      </c>
      <c r="Z3284" t="s">
        <v>26659</v>
      </c>
      <c r="AB3284" t="s">
        <v>29017</v>
      </c>
      <c r="AC3284">
        <v>35171648</v>
      </c>
      <c r="AD3284" t="s">
        <v>39069</v>
      </c>
      <c r="AE3284">
        <v>66</v>
      </c>
      <c r="AH3284">
        <v>4</v>
      </c>
      <c r="AI3284">
        <v>3</v>
      </c>
      <c r="AJ3284">
        <v>0</v>
      </c>
      <c r="AK3284">
        <v>188.12</v>
      </c>
      <c r="AN3284" t="s">
        <v>7439</v>
      </c>
      <c r="AO3284">
        <v>39092</v>
      </c>
      <c r="AU3284">
        <v>26.5</v>
      </c>
      <c r="AV3284" t="s">
        <v>414</v>
      </c>
      <c r="AW3284" t="s">
        <v>46856</v>
      </c>
    </row>
    <row r="3285" spans="1:50">
      <c r="A3285" s="1">
        <f>HYPERLINK("https://lsnyc.legalserver.org/matter/dynamic-profile/view/1884008","18-1884008")</f>
        <v>0</v>
      </c>
      <c r="B3285" t="s">
        <v>97</v>
      </c>
      <c r="C3285" t="s">
        <v>340</v>
      </c>
      <c r="D3285" t="s">
        <v>666</v>
      </c>
      <c r="F3285" t="s">
        <v>2590</v>
      </c>
      <c r="G3285" t="s">
        <v>6826</v>
      </c>
      <c r="H3285" t="s">
        <v>12231</v>
      </c>
      <c r="I3285" t="s">
        <v>17277</v>
      </c>
      <c r="J3285" t="s">
        <v>18892</v>
      </c>
      <c r="K3285">
        <v>10453</v>
      </c>
      <c r="L3285" t="s">
        <v>18958</v>
      </c>
      <c r="M3285" t="s">
        <v>18958</v>
      </c>
      <c r="N3285" t="s">
        <v>21417</v>
      </c>
      <c r="O3285" t="s">
        <v>26523</v>
      </c>
      <c r="P3285" t="s">
        <v>26560</v>
      </c>
      <c r="R3285" t="s">
        <v>26577</v>
      </c>
      <c r="S3285" t="s">
        <v>18959</v>
      </c>
      <c r="U3285" t="s">
        <v>26604</v>
      </c>
      <c r="V3285" t="s">
        <v>26610</v>
      </c>
      <c r="W3285" t="s">
        <v>665</v>
      </c>
      <c r="X3285">
        <v>1510</v>
      </c>
      <c r="Y3285" t="s">
        <v>26650</v>
      </c>
      <c r="Z3285" t="s">
        <v>26664</v>
      </c>
      <c r="AB3285" t="s">
        <v>29511</v>
      </c>
      <c r="AC3285" t="s">
        <v>35481</v>
      </c>
      <c r="AD3285" t="s">
        <v>39580</v>
      </c>
      <c r="AE3285">
        <v>225</v>
      </c>
      <c r="AF3285" t="s">
        <v>45541</v>
      </c>
      <c r="AG3285" t="s">
        <v>45558</v>
      </c>
      <c r="AH3285">
        <v>1</v>
      </c>
      <c r="AI3285">
        <v>1</v>
      </c>
      <c r="AJ3285">
        <v>2</v>
      </c>
      <c r="AK3285">
        <v>46.41</v>
      </c>
      <c r="AN3285" t="s">
        <v>7439</v>
      </c>
      <c r="AO3285">
        <v>9644</v>
      </c>
      <c r="AU3285">
        <v>6.5</v>
      </c>
      <c r="AV3285" t="s">
        <v>458</v>
      </c>
      <c r="AW3285" t="s">
        <v>46836</v>
      </c>
    </row>
    <row r="3286" spans="1:50">
      <c r="A3286" s="1">
        <f>HYPERLINK("https://lsnyc.legalserver.org/matter/dynamic-profile/view/1884436","18-1884436")</f>
        <v>0</v>
      </c>
      <c r="B3286" t="s">
        <v>59</v>
      </c>
      <c r="C3286" t="s">
        <v>340</v>
      </c>
      <c r="D3286" t="s">
        <v>667</v>
      </c>
      <c r="F3286" t="s">
        <v>2591</v>
      </c>
      <c r="G3286" t="s">
        <v>5341</v>
      </c>
      <c r="H3286" t="s">
        <v>12232</v>
      </c>
      <c r="I3286" t="s">
        <v>17380</v>
      </c>
      <c r="J3286" t="s">
        <v>18893</v>
      </c>
      <c r="K3286">
        <v>10034</v>
      </c>
      <c r="L3286" t="s">
        <v>18958</v>
      </c>
      <c r="M3286" t="s">
        <v>18958</v>
      </c>
      <c r="N3286" t="s">
        <v>21418</v>
      </c>
      <c r="O3286" t="s">
        <v>26523</v>
      </c>
      <c r="P3286" t="s">
        <v>26560</v>
      </c>
      <c r="R3286" t="s">
        <v>26582</v>
      </c>
      <c r="S3286" t="s">
        <v>18959</v>
      </c>
      <c r="U3286" t="s">
        <v>26604</v>
      </c>
      <c r="W3286" t="s">
        <v>665</v>
      </c>
      <c r="X3286">
        <v>2013.36</v>
      </c>
      <c r="Y3286" t="s">
        <v>26651</v>
      </c>
      <c r="Z3286" t="s">
        <v>26664</v>
      </c>
      <c r="AB3286" t="s">
        <v>29512</v>
      </c>
      <c r="AD3286" t="s">
        <v>39581</v>
      </c>
      <c r="AE3286">
        <v>0</v>
      </c>
      <c r="AG3286" t="s">
        <v>19330</v>
      </c>
      <c r="AH3286">
        <v>1</v>
      </c>
      <c r="AI3286">
        <v>2</v>
      </c>
      <c r="AJ3286">
        <v>1</v>
      </c>
      <c r="AK3286">
        <v>96.25</v>
      </c>
      <c r="AN3286" t="s">
        <v>45581</v>
      </c>
      <c r="AO3286">
        <v>20000</v>
      </c>
      <c r="AU3286">
        <v>1.6</v>
      </c>
      <c r="AV3286" t="s">
        <v>458</v>
      </c>
      <c r="AW3286" t="s">
        <v>46875</v>
      </c>
    </row>
    <row r="3287" spans="1:50">
      <c r="A3287" s="1">
        <f>HYPERLINK("https://lsnyc.legalserver.org/matter/dynamic-profile/view/1887074","19-1887074")</f>
        <v>0</v>
      </c>
      <c r="B3287" t="s">
        <v>216</v>
      </c>
      <c r="C3287" t="s">
        <v>341</v>
      </c>
      <c r="D3287" t="s">
        <v>668</v>
      </c>
      <c r="E3287" t="s">
        <v>494</v>
      </c>
      <c r="F3287" t="s">
        <v>1203</v>
      </c>
      <c r="G3287" t="s">
        <v>3540</v>
      </c>
      <c r="H3287" t="s">
        <v>10013</v>
      </c>
      <c r="I3287">
        <v>2</v>
      </c>
      <c r="J3287" t="s">
        <v>18894</v>
      </c>
      <c r="K3287">
        <v>11212</v>
      </c>
      <c r="L3287" t="s">
        <v>18958</v>
      </c>
      <c r="M3287" t="s">
        <v>18958</v>
      </c>
      <c r="O3287" t="s">
        <v>26526</v>
      </c>
      <c r="P3287" t="s">
        <v>26560</v>
      </c>
      <c r="Q3287" t="s">
        <v>26574</v>
      </c>
      <c r="R3287" t="s">
        <v>26578</v>
      </c>
      <c r="S3287" t="s">
        <v>18959</v>
      </c>
      <c r="U3287" t="s">
        <v>26604</v>
      </c>
      <c r="W3287" t="s">
        <v>26631</v>
      </c>
      <c r="X3287">
        <v>800</v>
      </c>
      <c r="Y3287" t="s">
        <v>26652</v>
      </c>
      <c r="Z3287" t="s">
        <v>26659</v>
      </c>
      <c r="AA3287" t="s">
        <v>26685</v>
      </c>
      <c r="AB3287" t="s">
        <v>27101</v>
      </c>
      <c r="AC3287" t="s">
        <v>34610</v>
      </c>
      <c r="AD3287" t="s">
        <v>37182</v>
      </c>
      <c r="AE3287">
        <v>4</v>
      </c>
      <c r="AF3287" t="s">
        <v>45547</v>
      </c>
      <c r="AH3287">
        <v>9</v>
      </c>
      <c r="AI3287">
        <v>2</v>
      </c>
      <c r="AJ3287">
        <v>0</v>
      </c>
      <c r="AK3287">
        <v>94.05</v>
      </c>
      <c r="AN3287" t="s">
        <v>7439</v>
      </c>
      <c r="AO3287">
        <v>15480</v>
      </c>
      <c r="AP3287" t="s">
        <v>45786</v>
      </c>
      <c r="AU3287">
        <v>0.75</v>
      </c>
      <c r="AV3287" t="s">
        <v>414</v>
      </c>
      <c r="AW3287" t="s">
        <v>279</v>
      </c>
    </row>
    <row r="3288" spans="1:50">
      <c r="A3288" s="1">
        <f>HYPERLINK("https://lsnyc.legalserver.org/matter/dynamic-profile/view/1864893","18-1864893")</f>
        <v>0</v>
      </c>
      <c r="B3288" t="s">
        <v>110</v>
      </c>
      <c r="C3288" t="s">
        <v>341</v>
      </c>
      <c r="D3288" t="s">
        <v>489</v>
      </c>
      <c r="E3288" t="s">
        <v>712</v>
      </c>
      <c r="F3288" t="s">
        <v>1048</v>
      </c>
      <c r="G3288" t="s">
        <v>6322</v>
      </c>
      <c r="H3288" t="s">
        <v>12233</v>
      </c>
      <c r="I3288" t="s">
        <v>17946</v>
      </c>
      <c r="J3288" t="s">
        <v>18901</v>
      </c>
      <c r="K3288">
        <v>11433</v>
      </c>
      <c r="L3288" t="s">
        <v>18958</v>
      </c>
      <c r="M3288" t="s">
        <v>18958</v>
      </c>
      <c r="N3288" t="s">
        <v>21419</v>
      </c>
      <c r="O3288" t="s">
        <v>26524</v>
      </c>
      <c r="P3288" t="s">
        <v>26560</v>
      </c>
      <c r="Q3288" t="s">
        <v>26568</v>
      </c>
      <c r="R3288" t="s">
        <v>26585</v>
      </c>
      <c r="S3288" t="s">
        <v>18959</v>
      </c>
      <c r="U3288" t="s">
        <v>26604</v>
      </c>
      <c r="V3288" t="s">
        <v>26610</v>
      </c>
      <c r="W3288" t="s">
        <v>669</v>
      </c>
      <c r="X3288">
        <v>1800</v>
      </c>
      <c r="Y3288" t="s">
        <v>26653</v>
      </c>
      <c r="Z3288" t="s">
        <v>26664</v>
      </c>
      <c r="AA3288" t="s">
        <v>26679</v>
      </c>
      <c r="AB3288" t="s">
        <v>29513</v>
      </c>
      <c r="AC3288" t="s">
        <v>19045</v>
      </c>
      <c r="AD3288" t="s">
        <v>39582</v>
      </c>
      <c r="AE3288">
        <v>3</v>
      </c>
      <c r="AF3288" t="s">
        <v>45547</v>
      </c>
      <c r="AG3288" t="s">
        <v>19330</v>
      </c>
      <c r="AH3288">
        <v>11</v>
      </c>
      <c r="AI3288">
        <v>1</v>
      </c>
      <c r="AJ3288">
        <v>4</v>
      </c>
      <c r="AK3288">
        <v>186.95</v>
      </c>
      <c r="AN3288" t="s">
        <v>45581</v>
      </c>
      <c r="AO3288">
        <v>55000</v>
      </c>
      <c r="AR3288" t="s">
        <v>46381</v>
      </c>
      <c r="AS3288" t="s">
        <v>46500</v>
      </c>
      <c r="AT3288" t="s">
        <v>46763</v>
      </c>
      <c r="AU3288">
        <v>4.65</v>
      </c>
      <c r="AV3288" t="s">
        <v>599</v>
      </c>
      <c r="AW3288" t="s">
        <v>85</v>
      </c>
    </row>
    <row r="3289" spans="1:50">
      <c r="A3289" s="1">
        <f>HYPERLINK("https://lsnyc.legalserver.org/matter/dynamic-profile/view/1866703","18-1866703")</f>
        <v>0</v>
      </c>
      <c r="B3289" t="s">
        <v>110</v>
      </c>
      <c r="C3289" t="s">
        <v>341</v>
      </c>
      <c r="D3289" t="s">
        <v>467</v>
      </c>
      <c r="E3289" t="s">
        <v>712</v>
      </c>
      <c r="F3289" t="s">
        <v>1417</v>
      </c>
      <c r="G3289" t="s">
        <v>3117</v>
      </c>
      <c r="H3289" t="s">
        <v>12234</v>
      </c>
      <c r="J3289" t="s">
        <v>18940</v>
      </c>
      <c r="K3289">
        <v>11413</v>
      </c>
      <c r="L3289" t="s">
        <v>18958</v>
      </c>
      <c r="M3289" t="s">
        <v>18958</v>
      </c>
      <c r="N3289" t="s">
        <v>21420</v>
      </c>
      <c r="O3289" t="s">
        <v>26524</v>
      </c>
      <c r="P3289" t="s">
        <v>26564</v>
      </c>
      <c r="Q3289" t="s">
        <v>26570</v>
      </c>
      <c r="R3289" t="s">
        <v>26584</v>
      </c>
      <c r="S3289" t="s">
        <v>18959</v>
      </c>
      <c r="U3289" t="s">
        <v>26604</v>
      </c>
      <c r="V3289" t="s">
        <v>26610</v>
      </c>
      <c r="W3289" t="s">
        <v>669</v>
      </c>
      <c r="X3289">
        <v>2000</v>
      </c>
      <c r="Y3289" t="s">
        <v>26653</v>
      </c>
      <c r="Z3289" t="s">
        <v>26664</v>
      </c>
      <c r="AA3289" t="s">
        <v>26683</v>
      </c>
      <c r="AB3289" t="s">
        <v>29514</v>
      </c>
      <c r="AC3289" t="s">
        <v>34507</v>
      </c>
      <c r="AD3289" t="s">
        <v>39583</v>
      </c>
      <c r="AE3289">
        <v>2</v>
      </c>
      <c r="AF3289" t="s">
        <v>45547</v>
      </c>
      <c r="AG3289" t="s">
        <v>19330</v>
      </c>
      <c r="AH3289">
        <v>12</v>
      </c>
      <c r="AI3289">
        <v>4</v>
      </c>
      <c r="AJ3289">
        <v>3</v>
      </c>
      <c r="AK3289">
        <v>59.43</v>
      </c>
      <c r="AN3289" t="s">
        <v>7439</v>
      </c>
      <c r="AO3289">
        <v>22620</v>
      </c>
      <c r="AU3289">
        <v>0.25</v>
      </c>
      <c r="AV3289" t="s">
        <v>669</v>
      </c>
      <c r="AW3289" t="s">
        <v>110</v>
      </c>
    </row>
    <row r="3290" spans="1:50">
      <c r="A3290" s="1">
        <f>HYPERLINK("https://lsnyc.legalserver.org/matter/dynamic-profile/view/1879130","18-1879130")</f>
        <v>0</v>
      </c>
      <c r="B3290" t="s">
        <v>172</v>
      </c>
      <c r="C3290" t="s">
        <v>341</v>
      </c>
      <c r="D3290" t="s">
        <v>583</v>
      </c>
      <c r="E3290" t="s">
        <v>669</v>
      </c>
      <c r="F3290" t="s">
        <v>2456</v>
      </c>
      <c r="G3290" t="s">
        <v>6827</v>
      </c>
      <c r="H3290" t="s">
        <v>12235</v>
      </c>
      <c r="I3290" t="s">
        <v>17312</v>
      </c>
      <c r="J3290" t="s">
        <v>18894</v>
      </c>
      <c r="K3290">
        <v>11213</v>
      </c>
      <c r="L3290" t="s">
        <v>18958</v>
      </c>
      <c r="M3290" t="s">
        <v>18958</v>
      </c>
      <c r="N3290" t="s">
        <v>21421</v>
      </c>
      <c r="O3290" t="s">
        <v>26523</v>
      </c>
      <c r="P3290" t="s">
        <v>26564</v>
      </c>
      <c r="Q3290" t="s">
        <v>26570</v>
      </c>
      <c r="R3290" t="s">
        <v>26586</v>
      </c>
      <c r="U3290" t="s">
        <v>26604</v>
      </c>
      <c r="W3290" t="s">
        <v>669</v>
      </c>
      <c r="X3290">
        <v>1361.44</v>
      </c>
      <c r="Y3290" t="s">
        <v>26652</v>
      </c>
      <c r="Z3290" t="s">
        <v>26664</v>
      </c>
      <c r="AA3290" t="s">
        <v>26683</v>
      </c>
      <c r="AB3290" t="s">
        <v>29515</v>
      </c>
      <c r="AD3290" t="s">
        <v>39584</v>
      </c>
      <c r="AE3290">
        <v>39</v>
      </c>
      <c r="AG3290" t="s">
        <v>19330</v>
      </c>
      <c r="AH3290">
        <v>6</v>
      </c>
      <c r="AI3290">
        <v>1</v>
      </c>
      <c r="AJ3290">
        <v>0</v>
      </c>
      <c r="AK3290">
        <v>164.74</v>
      </c>
      <c r="AN3290" t="s">
        <v>7439</v>
      </c>
      <c r="AO3290">
        <v>20000</v>
      </c>
      <c r="AU3290">
        <v>1.65</v>
      </c>
      <c r="AV3290" t="s">
        <v>669</v>
      </c>
      <c r="AW3290" t="s">
        <v>281</v>
      </c>
    </row>
    <row r="3291" spans="1:50">
      <c r="A3291" s="1">
        <f>HYPERLINK("https://lsnyc.legalserver.org/matter/dynamic-profile/view/1881311","18-1881311")</f>
        <v>0</v>
      </c>
      <c r="B3291" t="s">
        <v>172</v>
      </c>
      <c r="C3291" t="s">
        <v>341</v>
      </c>
      <c r="D3291" t="s">
        <v>632</v>
      </c>
      <c r="E3291" t="s">
        <v>669</v>
      </c>
      <c r="F3291" t="s">
        <v>2592</v>
      </c>
      <c r="G3291" t="s">
        <v>5515</v>
      </c>
      <c r="H3291" t="s">
        <v>12236</v>
      </c>
      <c r="I3291" t="s">
        <v>17272</v>
      </c>
      <c r="J3291" t="s">
        <v>18894</v>
      </c>
      <c r="K3291">
        <v>11220</v>
      </c>
      <c r="L3291" t="s">
        <v>18958</v>
      </c>
      <c r="M3291" t="s">
        <v>18958</v>
      </c>
      <c r="N3291" t="s">
        <v>21422</v>
      </c>
      <c r="O3291" t="s">
        <v>26523</v>
      </c>
      <c r="P3291" t="s">
        <v>26564</v>
      </c>
      <c r="Q3291" t="s">
        <v>26570</v>
      </c>
      <c r="R3291" t="s">
        <v>26586</v>
      </c>
      <c r="U3291" t="s">
        <v>26604</v>
      </c>
      <c r="W3291" t="s">
        <v>669</v>
      </c>
      <c r="X3291">
        <v>1400</v>
      </c>
      <c r="Y3291" t="s">
        <v>26652</v>
      </c>
      <c r="Z3291" t="s">
        <v>26664</v>
      </c>
      <c r="AA3291" t="s">
        <v>26678</v>
      </c>
      <c r="AB3291" t="s">
        <v>29516</v>
      </c>
      <c r="AC3291" t="s">
        <v>35482</v>
      </c>
      <c r="AE3291">
        <v>6</v>
      </c>
      <c r="AF3291" t="s">
        <v>45543</v>
      </c>
      <c r="AG3291" t="s">
        <v>45563</v>
      </c>
      <c r="AH3291">
        <v>11</v>
      </c>
      <c r="AI3291">
        <v>1</v>
      </c>
      <c r="AJ3291">
        <v>0</v>
      </c>
      <c r="AK3291">
        <v>59.31</v>
      </c>
      <c r="AN3291" t="s">
        <v>7439</v>
      </c>
      <c r="AO3291">
        <v>7200</v>
      </c>
      <c r="AU3291">
        <v>0.7</v>
      </c>
      <c r="AV3291" t="s">
        <v>594</v>
      </c>
      <c r="AW3291" t="s">
        <v>281</v>
      </c>
    </row>
    <row r="3292" spans="1:50">
      <c r="A3292" s="1">
        <f>HYPERLINK("https://lsnyc.legalserver.org/matter/dynamic-profile/view/1883364","18-1883364")</f>
        <v>0</v>
      </c>
      <c r="B3292" t="s">
        <v>52</v>
      </c>
      <c r="C3292" t="s">
        <v>341</v>
      </c>
      <c r="D3292" t="s">
        <v>517</v>
      </c>
      <c r="E3292" t="s">
        <v>669</v>
      </c>
      <c r="F3292" t="s">
        <v>1136</v>
      </c>
      <c r="G3292" t="s">
        <v>6828</v>
      </c>
      <c r="H3292" t="s">
        <v>12237</v>
      </c>
      <c r="I3292">
        <v>2</v>
      </c>
      <c r="J3292" t="s">
        <v>18892</v>
      </c>
      <c r="K3292">
        <v>10473</v>
      </c>
      <c r="L3292" t="s">
        <v>18958</v>
      </c>
      <c r="M3292" t="s">
        <v>18958</v>
      </c>
      <c r="N3292" t="s">
        <v>18997</v>
      </c>
      <c r="O3292" t="s">
        <v>26529</v>
      </c>
      <c r="P3292" t="s">
        <v>26565</v>
      </c>
      <c r="Q3292" t="s">
        <v>26571</v>
      </c>
      <c r="R3292" t="s">
        <v>26578</v>
      </c>
      <c r="S3292" t="s">
        <v>18959</v>
      </c>
      <c r="U3292" t="s">
        <v>26604</v>
      </c>
      <c r="W3292" t="s">
        <v>669</v>
      </c>
      <c r="X3292">
        <v>1400</v>
      </c>
      <c r="Y3292" t="s">
        <v>26650</v>
      </c>
      <c r="Z3292" t="s">
        <v>26663</v>
      </c>
      <c r="AA3292" t="s">
        <v>26685</v>
      </c>
      <c r="AB3292" t="s">
        <v>29517</v>
      </c>
      <c r="AE3292">
        <v>0</v>
      </c>
      <c r="AF3292" t="s">
        <v>20460</v>
      </c>
      <c r="AG3292" t="s">
        <v>19330</v>
      </c>
      <c r="AH3292">
        <v>2</v>
      </c>
      <c r="AI3292">
        <v>2</v>
      </c>
      <c r="AJ3292">
        <v>1</v>
      </c>
      <c r="AK3292">
        <v>144.37</v>
      </c>
      <c r="AO3292">
        <v>30000</v>
      </c>
      <c r="AU3292">
        <v>1</v>
      </c>
      <c r="AV3292" t="s">
        <v>525</v>
      </c>
      <c r="AW3292" t="s">
        <v>46847</v>
      </c>
    </row>
    <row r="3293" spans="1:50">
      <c r="A3293" s="1">
        <f>HYPERLINK("https://lsnyc.legalserver.org/matter/dynamic-profile/view/1883360","18-1883360")</f>
        <v>0</v>
      </c>
      <c r="B3293" t="s">
        <v>52</v>
      </c>
      <c r="C3293" t="s">
        <v>341</v>
      </c>
      <c r="D3293" t="s">
        <v>517</v>
      </c>
      <c r="E3293" t="s">
        <v>669</v>
      </c>
      <c r="F3293" t="s">
        <v>871</v>
      </c>
      <c r="G3293" t="s">
        <v>5138</v>
      </c>
      <c r="H3293" t="s">
        <v>12238</v>
      </c>
      <c r="I3293">
        <v>8</v>
      </c>
      <c r="J3293" t="s">
        <v>18892</v>
      </c>
      <c r="K3293">
        <v>10467</v>
      </c>
      <c r="L3293" t="s">
        <v>18958</v>
      </c>
      <c r="M3293" t="s">
        <v>18958</v>
      </c>
      <c r="O3293" t="s">
        <v>26529</v>
      </c>
      <c r="P3293" t="s">
        <v>26564</v>
      </c>
      <c r="Q3293" t="s">
        <v>26570</v>
      </c>
      <c r="R3293" t="s">
        <v>26578</v>
      </c>
      <c r="S3293" t="s">
        <v>18959</v>
      </c>
      <c r="U3293" t="s">
        <v>26604</v>
      </c>
      <c r="W3293" t="s">
        <v>669</v>
      </c>
      <c r="X3293">
        <v>541</v>
      </c>
      <c r="Y3293" t="s">
        <v>26650</v>
      </c>
      <c r="Z3293" t="s">
        <v>26663</v>
      </c>
      <c r="AA3293" t="s">
        <v>26683</v>
      </c>
      <c r="AB3293" t="s">
        <v>29518</v>
      </c>
      <c r="AD3293" t="s">
        <v>39585</v>
      </c>
      <c r="AE3293">
        <v>0</v>
      </c>
      <c r="AF3293" t="s">
        <v>45544</v>
      </c>
      <c r="AG3293" t="s">
        <v>19330</v>
      </c>
      <c r="AH3293">
        <v>8</v>
      </c>
      <c r="AI3293">
        <v>1</v>
      </c>
      <c r="AJ3293">
        <v>0</v>
      </c>
      <c r="AK3293">
        <v>175.06</v>
      </c>
      <c r="AN3293" t="s">
        <v>7439</v>
      </c>
      <c r="AO3293">
        <v>21252</v>
      </c>
      <c r="AU3293">
        <v>1</v>
      </c>
      <c r="AV3293" t="s">
        <v>517</v>
      </c>
      <c r="AW3293" t="s">
        <v>46847</v>
      </c>
    </row>
    <row r="3294" spans="1:50">
      <c r="A3294" s="1">
        <f>HYPERLINK("https://lsnyc.legalserver.org/matter/dynamic-profile/view/1882288","18-1882288")</f>
        <v>0</v>
      </c>
      <c r="B3294" t="s">
        <v>243</v>
      </c>
      <c r="C3294" t="s">
        <v>340</v>
      </c>
      <c r="D3294" t="s">
        <v>517</v>
      </c>
      <c r="F3294" t="s">
        <v>1602</v>
      </c>
      <c r="G3294" t="s">
        <v>5691</v>
      </c>
      <c r="H3294" t="s">
        <v>12080</v>
      </c>
      <c r="J3294" t="s">
        <v>18894</v>
      </c>
      <c r="K3294">
        <v>11220</v>
      </c>
      <c r="L3294" t="s">
        <v>18958</v>
      </c>
      <c r="M3294" t="s">
        <v>18958</v>
      </c>
      <c r="O3294" t="s">
        <v>26534</v>
      </c>
      <c r="P3294" t="s">
        <v>26561</v>
      </c>
      <c r="R3294" t="s">
        <v>26578</v>
      </c>
      <c r="S3294" t="s">
        <v>18958</v>
      </c>
      <c r="U3294" t="s">
        <v>26604</v>
      </c>
      <c r="W3294" t="s">
        <v>669</v>
      </c>
      <c r="X3294">
        <v>0</v>
      </c>
      <c r="Y3294" t="s">
        <v>26652</v>
      </c>
      <c r="AB3294" t="s">
        <v>29519</v>
      </c>
      <c r="AD3294" t="s">
        <v>39586</v>
      </c>
      <c r="AE3294">
        <v>0</v>
      </c>
      <c r="AH3294">
        <v>0</v>
      </c>
      <c r="AI3294">
        <v>2</v>
      </c>
      <c r="AJ3294">
        <v>0</v>
      </c>
      <c r="AK3294">
        <v>61.39</v>
      </c>
      <c r="AN3294" t="s">
        <v>45581</v>
      </c>
      <c r="AO3294">
        <v>10104</v>
      </c>
      <c r="AU3294">
        <v>33.95</v>
      </c>
      <c r="AV3294" t="s">
        <v>694</v>
      </c>
      <c r="AW3294" t="s">
        <v>124</v>
      </c>
    </row>
    <row r="3295" spans="1:50">
      <c r="A3295" s="1">
        <f>HYPERLINK("https://lsnyc.legalserver.org/matter/dynamic-profile/view/1882276","18-1882276")</f>
        <v>0</v>
      </c>
      <c r="B3295" t="s">
        <v>243</v>
      </c>
      <c r="C3295" t="s">
        <v>340</v>
      </c>
      <c r="D3295" t="s">
        <v>517</v>
      </c>
      <c r="F3295" t="s">
        <v>916</v>
      </c>
      <c r="G3295" t="s">
        <v>2749</v>
      </c>
      <c r="H3295" t="s">
        <v>12080</v>
      </c>
      <c r="I3295" t="s">
        <v>17312</v>
      </c>
      <c r="J3295" t="s">
        <v>18894</v>
      </c>
      <c r="K3295">
        <v>11220</v>
      </c>
      <c r="L3295" t="s">
        <v>18958</v>
      </c>
      <c r="M3295" t="s">
        <v>18958</v>
      </c>
      <c r="O3295" t="s">
        <v>26534</v>
      </c>
      <c r="P3295" t="s">
        <v>26561</v>
      </c>
      <c r="R3295" t="s">
        <v>26578</v>
      </c>
      <c r="S3295" t="s">
        <v>18958</v>
      </c>
      <c r="U3295" t="s">
        <v>26604</v>
      </c>
      <c r="W3295" t="s">
        <v>669</v>
      </c>
      <c r="X3295">
        <v>0</v>
      </c>
      <c r="Y3295" t="s">
        <v>26652</v>
      </c>
      <c r="AB3295" t="s">
        <v>29520</v>
      </c>
      <c r="AD3295" t="s">
        <v>39587</v>
      </c>
      <c r="AE3295">
        <v>28</v>
      </c>
      <c r="AH3295">
        <v>0</v>
      </c>
      <c r="AI3295">
        <v>1</v>
      </c>
      <c r="AJ3295">
        <v>0</v>
      </c>
      <c r="AK3295">
        <v>83.23</v>
      </c>
      <c r="AN3295" t="s">
        <v>45581</v>
      </c>
      <c r="AO3295">
        <v>10104</v>
      </c>
      <c r="AU3295">
        <v>3</v>
      </c>
      <c r="AV3295" t="s">
        <v>603</v>
      </c>
      <c r="AW3295" t="s">
        <v>124</v>
      </c>
    </row>
    <row r="3296" spans="1:50">
      <c r="A3296" s="1">
        <f>HYPERLINK("https://lsnyc.legalserver.org/matter/dynamic-profile/view/1883881","18-1883881")</f>
        <v>0</v>
      </c>
      <c r="B3296" t="s">
        <v>165</v>
      </c>
      <c r="C3296" t="s">
        <v>341</v>
      </c>
      <c r="D3296" t="s">
        <v>669</v>
      </c>
      <c r="E3296" t="s">
        <v>684</v>
      </c>
      <c r="F3296" t="s">
        <v>1221</v>
      </c>
      <c r="G3296" t="s">
        <v>6829</v>
      </c>
      <c r="H3296" t="s">
        <v>12239</v>
      </c>
      <c r="I3296" t="s">
        <v>17312</v>
      </c>
      <c r="J3296" t="s">
        <v>18893</v>
      </c>
      <c r="K3296">
        <v>10031</v>
      </c>
      <c r="L3296" t="s">
        <v>18958</v>
      </c>
      <c r="M3296" t="s">
        <v>18958</v>
      </c>
      <c r="N3296" t="s">
        <v>21423</v>
      </c>
      <c r="O3296" t="s">
        <v>26524</v>
      </c>
      <c r="P3296" t="s">
        <v>26564</v>
      </c>
      <c r="Q3296" t="s">
        <v>26568</v>
      </c>
      <c r="R3296" t="s">
        <v>26580</v>
      </c>
      <c r="S3296" t="s">
        <v>18959</v>
      </c>
      <c r="U3296" t="s">
        <v>26604</v>
      </c>
      <c r="W3296" t="s">
        <v>669</v>
      </c>
      <c r="X3296">
        <v>900</v>
      </c>
      <c r="Y3296" t="s">
        <v>26651</v>
      </c>
      <c r="Z3296" t="s">
        <v>26661</v>
      </c>
      <c r="AA3296" t="s">
        <v>26683</v>
      </c>
      <c r="AB3296" t="s">
        <v>29521</v>
      </c>
      <c r="AD3296" t="s">
        <v>39588</v>
      </c>
      <c r="AE3296">
        <v>49</v>
      </c>
      <c r="AF3296" t="s">
        <v>45541</v>
      </c>
      <c r="AG3296" t="s">
        <v>19330</v>
      </c>
      <c r="AH3296">
        <v>3</v>
      </c>
      <c r="AI3296">
        <v>1</v>
      </c>
      <c r="AJ3296">
        <v>0</v>
      </c>
      <c r="AK3296">
        <v>0</v>
      </c>
      <c r="AN3296" t="s">
        <v>7439</v>
      </c>
      <c r="AO3296">
        <v>0</v>
      </c>
      <c r="AU3296">
        <v>1.7</v>
      </c>
      <c r="AV3296" t="s">
        <v>684</v>
      </c>
      <c r="AW3296" t="s">
        <v>46840</v>
      </c>
    </row>
    <row r="3297" spans="1:50">
      <c r="A3297" s="1">
        <f>HYPERLINK("https://lsnyc.legalserver.org/matter/dynamic-profile/view/1883813","18-1883813")</f>
        <v>0</v>
      </c>
      <c r="B3297" t="s">
        <v>147</v>
      </c>
      <c r="C3297" t="s">
        <v>341</v>
      </c>
      <c r="D3297" t="s">
        <v>669</v>
      </c>
      <c r="E3297" t="s">
        <v>830</v>
      </c>
      <c r="F3297" t="s">
        <v>2094</v>
      </c>
      <c r="G3297" t="s">
        <v>6830</v>
      </c>
      <c r="H3297" t="s">
        <v>12240</v>
      </c>
      <c r="I3297">
        <v>43</v>
      </c>
      <c r="J3297" t="s">
        <v>18894</v>
      </c>
      <c r="K3297">
        <v>11210</v>
      </c>
      <c r="L3297" t="s">
        <v>18959</v>
      </c>
      <c r="M3297" t="s">
        <v>18959</v>
      </c>
      <c r="N3297" t="s">
        <v>21424</v>
      </c>
      <c r="O3297" t="s">
        <v>26534</v>
      </c>
      <c r="P3297" t="s">
        <v>26562</v>
      </c>
      <c r="Q3297" t="s">
        <v>26572</v>
      </c>
      <c r="R3297" t="s">
        <v>26578</v>
      </c>
      <c r="S3297" t="s">
        <v>18958</v>
      </c>
      <c r="U3297" t="s">
        <v>26604</v>
      </c>
      <c r="W3297" t="s">
        <v>669</v>
      </c>
      <c r="X3297">
        <v>831.92</v>
      </c>
      <c r="Y3297" t="s">
        <v>26652</v>
      </c>
      <c r="Z3297" t="s">
        <v>26663</v>
      </c>
      <c r="AA3297" t="s">
        <v>26687</v>
      </c>
      <c r="AB3297" t="s">
        <v>29522</v>
      </c>
      <c r="AD3297" t="s">
        <v>39589</v>
      </c>
      <c r="AE3297">
        <v>60</v>
      </c>
      <c r="AF3297" t="s">
        <v>45541</v>
      </c>
      <c r="AH3297">
        <v>38</v>
      </c>
      <c r="AI3297">
        <v>1</v>
      </c>
      <c r="AJ3297">
        <v>0</v>
      </c>
      <c r="AK3297">
        <v>94.3</v>
      </c>
      <c r="AN3297" t="s">
        <v>7439</v>
      </c>
      <c r="AO3297">
        <v>11448</v>
      </c>
      <c r="AU3297">
        <v>7.4</v>
      </c>
      <c r="AV3297" t="s">
        <v>685</v>
      </c>
      <c r="AW3297" t="s">
        <v>147</v>
      </c>
    </row>
    <row r="3298" spans="1:50">
      <c r="A3298" s="1">
        <f>HYPERLINK("https://lsnyc.legalserver.org/matter/dynamic-profile/view/1883900","18-1883900")</f>
        <v>0</v>
      </c>
      <c r="B3298" t="s">
        <v>103</v>
      </c>
      <c r="C3298" t="s">
        <v>341</v>
      </c>
      <c r="D3298" t="s">
        <v>669</v>
      </c>
      <c r="E3298" t="s">
        <v>863</v>
      </c>
      <c r="F3298" t="s">
        <v>2593</v>
      </c>
      <c r="G3298" t="s">
        <v>5206</v>
      </c>
      <c r="H3298" t="s">
        <v>12241</v>
      </c>
      <c r="J3298" t="s">
        <v>18902</v>
      </c>
      <c r="K3298">
        <v>10310</v>
      </c>
      <c r="L3298" t="s">
        <v>18958</v>
      </c>
      <c r="M3298" t="s">
        <v>18958</v>
      </c>
      <c r="N3298" t="s">
        <v>21425</v>
      </c>
      <c r="O3298" t="s">
        <v>26524</v>
      </c>
      <c r="P3298" t="s">
        <v>26560</v>
      </c>
      <c r="Q3298" t="s">
        <v>26568</v>
      </c>
      <c r="R3298" t="s">
        <v>26590</v>
      </c>
      <c r="S3298" t="s">
        <v>18959</v>
      </c>
      <c r="U3298" t="s">
        <v>26604</v>
      </c>
      <c r="V3298" t="s">
        <v>26612</v>
      </c>
      <c r="W3298" t="s">
        <v>669</v>
      </c>
      <c r="X3298">
        <v>200</v>
      </c>
      <c r="Y3298" t="s">
        <v>26654</v>
      </c>
      <c r="Z3298" t="s">
        <v>26674</v>
      </c>
      <c r="AA3298" t="s">
        <v>26679</v>
      </c>
      <c r="AB3298" t="s">
        <v>29523</v>
      </c>
      <c r="AD3298" t="s">
        <v>39590</v>
      </c>
      <c r="AE3298">
        <v>1</v>
      </c>
      <c r="AF3298" t="s">
        <v>45547</v>
      </c>
      <c r="AG3298" t="s">
        <v>45557</v>
      </c>
      <c r="AH3298">
        <v>3</v>
      </c>
      <c r="AI3298">
        <v>1</v>
      </c>
      <c r="AJ3298">
        <v>2</v>
      </c>
      <c r="AK3298">
        <v>75.59</v>
      </c>
      <c r="AN3298" t="s">
        <v>7439</v>
      </c>
      <c r="AO3298">
        <v>15708</v>
      </c>
      <c r="AQ3298" t="s">
        <v>46365</v>
      </c>
      <c r="AR3298" t="s">
        <v>46384</v>
      </c>
      <c r="AS3298" t="s">
        <v>46500</v>
      </c>
      <c r="AT3298" t="s">
        <v>46770</v>
      </c>
      <c r="AU3298">
        <v>9.199999999999999</v>
      </c>
      <c r="AV3298" t="s">
        <v>735</v>
      </c>
      <c r="AW3298" t="s">
        <v>46852</v>
      </c>
    </row>
    <row r="3299" spans="1:50">
      <c r="A3299" s="1">
        <f>HYPERLINK("https://lsnyc.legalserver.org/matter/dynamic-profile/view/1883882","18-1883882")</f>
        <v>0</v>
      </c>
      <c r="B3299" t="s">
        <v>165</v>
      </c>
      <c r="C3299" t="s">
        <v>340</v>
      </c>
      <c r="D3299" t="s">
        <v>669</v>
      </c>
      <c r="F3299" t="s">
        <v>872</v>
      </c>
      <c r="G3299" t="s">
        <v>3790</v>
      </c>
      <c r="H3299" t="s">
        <v>12242</v>
      </c>
      <c r="I3299">
        <v>3</v>
      </c>
      <c r="J3299" t="s">
        <v>18893</v>
      </c>
      <c r="K3299">
        <v>10031</v>
      </c>
      <c r="L3299" t="s">
        <v>18958</v>
      </c>
      <c r="M3299" t="s">
        <v>18958</v>
      </c>
      <c r="N3299" t="s">
        <v>21426</v>
      </c>
      <c r="O3299" t="s">
        <v>26524</v>
      </c>
      <c r="P3299" t="s">
        <v>26560</v>
      </c>
      <c r="R3299" t="s">
        <v>26580</v>
      </c>
      <c r="S3299" t="s">
        <v>18959</v>
      </c>
      <c r="U3299" t="s">
        <v>26604</v>
      </c>
      <c r="W3299" t="s">
        <v>669</v>
      </c>
      <c r="X3299">
        <v>250</v>
      </c>
      <c r="Y3299" t="s">
        <v>26651</v>
      </c>
      <c r="Z3299" t="s">
        <v>26664</v>
      </c>
      <c r="AB3299" t="s">
        <v>28588</v>
      </c>
      <c r="AD3299" t="s">
        <v>39591</v>
      </c>
      <c r="AE3299">
        <v>0</v>
      </c>
      <c r="AF3299" t="s">
        <v>45548</v>
      </c>
      <c r="AG3299" t="s">
        <v>19330</v>
      </c>
      <c r="AH3299">
        <v>58</v>
      </c>
      <c r="AI3299">
        <v>1</v>
      </c>
      <c r="AJ3299">
        <v>1</v>
      </c>
      <c r="AK3299">
        <v>113.73</v>
      </c>
      <c r="AN3299" t="s">
        <v>7439</v>
      </c>
      <c r="AO3299">
        <v>18720</v>
      </c>
      <c r="AU3299">
        <v>24.2</v>
      </c>
      <c r="AV3299" t="s">
        <v>830</v>
      </c>
      <c r="AW3299" t="s">
        <v>46875</v>
      </c>
    </row>
    <row r="3300" spans="1:50">
      <c r="A3300" s="1">
        <f>HYPERLINK("https://lsnyc.legalserver.org/matter/dynamic-profile/view/1882266","18-1882266")</f>
        <v>0</v>
      </c>
      <c r="B3300" t="s">
        <v>243</v>
      </c>
      <c r="C3300" t="s">
        <v>340</v>
      </c>
      <c r="D3300" t="s">
        <v>669</v>
      </c>
      <c r="F3300" t="s">
        <v>2594</v>
      </c>
      <c r="G3300" t="s">
        <v>6831</v>
      </c>
      <c r="H3300" t="s">
        <v>12080</v>
      </c>
      <c r="I3300" t="s">
        <v>17306</v>
      </c>
      <c r="J3300" t="s">
        <v>18894</v>
      </c>
      <c r="K3300">
        <v>11220</v>
      </c>
      <c r="L3300" t="s">
        <v>18958</v>
      </c>
      <c r="M3300" t="s">
        <v>18958</v>
      </c>
      <c r="O3300" t="s">
        <v>26534</v>
      </c>
      <c r="P3300" t="s">
        <v>26561</v>
      </c>
      <c r="R3300" t="s">
        <v>26578</v>
      </c>
      <c r="S3300" t="s">
        <v>18958</v>
      </c>
      <c r="U3300" t="s">
        <v>26604</v>
      </c>
      <c r="W3300" t="s">
        <v>669</v>
      </c>
      <c r="X3300">
        <v>0</v>
      </c>
      <c r="Y3300" t="s">
        <v>26652</v>
      </c>
      <c r="AB3300" t="s">
        <v>26931</v>
      </c>
      <c r="AD3300" t="s">
        <v>39592</v>
      </c>
      <c r="AE3300">
        <v>28</v>
      </c>
      <c r="AF3300" t="s">
        <v>45541</v>
      </c>
      <c r="AH3300">
        <v>0</v>
      </c>
      <c r="AI3300">
        <v>2</v>
      </c>
      <c r="AJ3300">
        <v>1</v>
      </c>
      <c r="AK3300">
        <v>298.36</v>
      </c>
      <c r="AN3300" t="s">
        <v>45581</v>
      </c>
      <c r="AO3300">
        <v>62000</v>
      </c>
      <c r="AU3300">
        <v>1</v>
      </c>
      <c r="AV3300" t="s">
        <v>427</v>
      </c>
      <c r="AW3300" t="s">
        <v>124</v>
      </c>
    </row>
    <row r="3301" spans="1:50">
      <c r="A3301" s="1">
        <f>HYPERLINK("https://lsnyc.legalserver.org/matter/dynamic-profile/view/1883829","18-1883829")</f>
        <v>0</v>
      </c>
      <c r="B3301" t="s">
        <v>257</v>
      </c>
      <c r="C3301" t="s">
        <v>340</v>
      </c>
      <c r="D3301" t="s">
        <v>669</v>
      </c>
      <c r="F3301" t="s">
        <v>883</v>
      </c>
      <c r="G3301" t="s">
        <v>5965</v>
      </c>
      <c r="H3301" t="s">
        <v>12243</v>
      </c>
      <c r="I3301" t="s">
        <v>17284</v>
      </c>
      <c r="J3301" t="s">
        <v>18894</v>
      </c>
      <c r="K3301">
        <v>11208</v>
      </c>
      <c r="L3301" t="s">
        <v>18958</v>
      </c>
      <c r="M3301" t="s">
        <v>18960</v>
      </c>
      <c r="O3301" t="s">
        <v>26534</v>
      </c>
      <c r="P3301" t="s">
        <v>26564</v>
      </c>
      <c r="R3301" t="s">
        <v>26578</v>
      </c>
      <c r="U3301" t="s">
        <v>26604</v>
      </c>
      <c r="W3301" t="s">
        <v>669</v>
      </c>
      <c r="X3301">
        <v>800</v>
      </c>
      <c r="Y3301" t="s">
        <v>26652</v>
      </c>
      <c r="Z3301" t="s">
        <v>26659</v>
      </c>
      <c r="AB3301" t="s">
        <v>29524</v>
      </c>
      <c r="AD3301" t="s">
        <v>39593</v>
      </c>
      <c r="AE3301">
        <v>11</v>
      </c>
      <c r="AF3301" t="s">
        <v>45547</v>
      </c>
      <c r="AH3301">
        <v>2</v>
      </c>
      <c r="AI3301">
        <v>1</v>
      </c>
      <c r="AJ3301">
        <v>1</v>
      </c>
      <c r="AK3301">
        <v>76.48</v>
      </c>
      <c r="AN3301" t="s">
        <v>7439</v>
      </c>
      <c r="AO3301">
        <v>12588</v>
      </c>
      <c r="AU3301">
        <v>12.2</v>
      </c>
      <c r="AV3301" t="s">
        <v>832</v>
      </c>
      <c r="AW3301" t="s">
        <v>46856</v>
      </c>
    </row>
    <row r="3302" spans="1:50">
      <c r="A3302" s="1">
        <f>HYPERLINK("https://lsnyc.legalserver.org/matter/dynamic-profile/view/1883775","18-1883775")</f>
        <v>0</v>
      </c>
      <c r="B3302" t="s">
        <v>87</v>
      </c>
      <c r="C3302" t="s">
        <v>340</v>
      </c>
      <c r="D3302" t="s">
        <v>669</v>
      </c>
      <c r="F3302" t="s">
        <v>2595</v>
      </c>
      <c r="G3302" t="s">
        <v>6832</v>
      </c>
      <c r="H3302" t="s">
        <v>12244</v>
      </c>
      <c r="I3302" t="s">
        <v>17348</v>
      </c>
      <c r="J3302" t="s">
        <v>18892</v>
      </c>
      <c r="K3302">
        <v>10467</v>
      </c>
      <c r="L3302" t="s">
        <v>18958</v>
      </c>
      <c r="M3302" t="s">
        <v>18958</v>
      </c>
      <c r="N3302" t="s">
        <v>21427</v>
      </c>
      <c r="O3302" t="s">
        <v>26523</v>
      </c>
      <c r="P3302" t="s">
        <v>26560</v>
      </c>
      <c r="R3302" t="s">
        <v>26579</v>
      </c>
      <c r="S3302" t="s">
        <v>18959</v>
      </c>
      <c r="U3302" t="s">
        <v>26604</v>
      </c>
      <c r="V3302" t="s">
        <v>26610</v>
      </c>
      <c r="W3302" t="s">
        <v>669</v>
      </c>
      <c r="X3302">
        <v>678</v>
      </c>
      <c r="Y3302" t="s">
        <v>26650</v>
      </c>
      <c r="Z3302" t="s">
        <v>26664</v>
      </c>
      <c r="AB3302" t="s">
        <v>29525</v>
      </c>
      <c r="AC3302" t="s">
        <v>35483</v>
      </c>
      <c r="AD3302" t="s">
        <v>39594</v>
      </c>
      <c r="AE3302">
        <v>24</v>
      </c>
      <c r="AF3302" t="s">
        <v>45549</v>
      </c>
      <c r="AG3302" t="s">
        <v>19330</v>
      </c>
      <c r="AH3302">
        <v>11</v>
      </c>
      <c r="AI3302">
        <v>2</v>
      </c>
      <c r="AJ3302">
        <v>4</v>
      </c>
      <c r="AK3302">
        <v>91.29000000000001</v>
      </c>
      <c r="AN3302" t="s">
        <v>7439</v>
      </c>
      <c r="AO3302">
        <v>30800</v>
      </c>
      <c r="AU3302">
        <v>41.75</v>
      </c>
      <c r="AV3302" t="s">
        <v>805</v>
      </c>
      <c r="AW3302" t="s">
        <v>334</v>
      </c>
    </row>
    <row r="3303" spans="1:50">
      <c r="A3303" s="1">
        <f>HYPERLINK("https://lsnyc.legalserver.org/matter/dynamic-profile/view/1883911","18-1883911")</f>
        <v>0</v>
      </c>
      <c r="B3303" t="s">
        <v>194</v>
      </c>
      <c r="C3303" t="s">
        <v>340</v>
      </c>
      <c r="D3303" t="s">
        <v>669</v>
      </c>
      <c r="F3303" t="s">
        <v>2596</v>
      </c>
      <c r="G3303" t="s">
        <v>6833</v>
      </c>
      <c r="H3303" t="s">
        <v>12245</v>
      </c>
      <c r="I3303" t="s">
        <v>17406</v>
      </c>
      <c r="J3303" t="s">
        <v>18893</v>
      </c>
      <c r="K3303">
        <v>10026</v>
      </c>
      <c r="L3303" t="s">
        <v>18958</v>
      </c>
      <c r="M3303" t="s">
        <v>18958</v>
      </c>
      <c r="N3303" t="s">
        <v>21428</v>
      </c>
      <c r="O3303" t="s">
        <v>26523</v>
      </c>
      <c r="P3303" t="s">
        <v>26560</v>
      </c>
      <c r="R3303" t="s">
        <v>26580</v>
      </c>
      <c r="S3303" t="s">
        <v>18959</v>
      </c>
      <c r="U3303" t="s">
        <v>26604</v>
      </c>
      <c r="V3303" t="s">
        <v>26610</v>
      </c>
      <c r="W3303" t="s">
        <v>669</v>
      </c>
      <c r="X3303">
        <v>524</v>
      </c>
      <c r="Y3303" t="s">
        <v>26651</v>
      </c>
      <c r="Z3303" t="s">
        <v>26664</v>
      </c>
      <c r="AB3303" t="s">
        <v>29526</v>
      </c>
      <c r="AC3303" t="s">
        <v>35484</v>
      </c>
      <c r="AD3303" t="s">
        <v>39595</v>
      </c>
      <c r="AE3303">
        <v>527</v>
      </c>
      <c r="AF3303" t="s">
        <v>45549</v>
      </c>
      <c r="AG3303" t="s">
        <v>26530</v>
      </c>
      <c r="AH3303">
        <v>2</v>
      </c>
      <c r="AI3303">
        <v>2</v>
      </c>
      <c r="AJ3303">
        <v>4</v>
      </c>
      <c r="AK3303">
        <v>3.73</v>
      </c>
      <c r="AN3303" t="s">
        <v>7439</v>
      </c>
      <c r="AO3303">
        <v>1260</v>
      </c>
      <c r="AU3303">
        <v>9.699999999999999</v>
      </c>
      <c r="AV3303" t="s">
        <v>784</v>
      </c>
      <c r="AW3303" t="s">
        <v>46840</v>
      </c>
    </row>
    <row r="3304" spans="1:50">
      <c r="A3304" s="1">
        <f>HYPERLINK("https://lsnyc.legalserver.org/matter/dynamic-profile/view/1883825","18-1883825")</f>
        <v>0</v>
      </c>
      <c r="B3304" t="s">
        <v>194</v>
      </c>
      <c r="C3304" t="s">
        <v>340</v>
      </c>
      <c r="D3304" t="s">
        <v>669</v>
      </c>
      <c r="F3304" t="s">
        <v>2597</v>
      </c>
      <c r="G3304" t="s">
        <v>4588</v>
      </c>
      <c r="H3304" t="s">
        <v>12246</v>
      </c>
      <c r="I3304" t="s">
        <v>17322</v>
      </c>
      <c r="J3304" t="s">
        <v>18893</v>
      </c>
      <c r="K3304">
        <v>10026</v>
      </c>
      <c r="L3304" t="s">
        <v>18958</v>
      </c>
      <c r="M3304" t="s">
        <v>18958</v>
      </c>
      <c r="N3304" t="s">
        <v>21429</v>
      </c>
      <c r="O3304" t="s">
        <v>26523</v>
      </c>
      <c r="P3304" t="s">
        <v>26560</v>
      </c>
      <c r="R3304" t="s">
        <v>26580</v>
      </c>
      <c r="S3304" t="s">
        <v>18959</v>
      </c>
      <c r="U3304" t="s">
        <v>26604</v>
      </c>
      <c r="W3304" t="s">
        <v>669</v>
      </c>
      <c r="X3304">
        <v>339</v>
      </c>
      <c r="Y3304" t="s">
        <v>26651</v>
      </c>
      <c r="Z3304" t="s">
        <v>26664</v>
      </c>
      <c r="AB3304" t="s">
        <v>29527</v>
      </c>
      <c r="AD3304" t="s">
        <v>39596</v>
      </c>
      <c r="AE3304">
        <v>109</v>
      </c>
      <c r="AF3304" t="s">
        <v>45541</v>
      </c>
      <c r="AG3304" t="s">
        <v>45556</v>
      </c>
      <c r="AH3304">
        <v>20</v>
      </c>
      <c r="AI3304">
        <v>3</v>
      </c>
      <c r="AJ3304">
        <v>1</v>
      </c>
      <c r="AK3304">
        <v>63.75</v>
      </c>
      <c r="AN3304" t="s">
        <v>45581</v>
      </c>
      <c r="AO3304">
        <v>16000</v>
      </c>
      <c r="AU3304">
        <v>16.3</v>
      </c>
      <c r="AV3304" t="s">
        <v>792</v>
      </c>
      <c r="AW3304" t="s">
        <v>46840</v>
      </c>
    </row>
    <row r="3305" spans="1:50">
      <c r="A3305" s="1">
        <f>HYPERLINK("https://lsnyc.legalserver.org/matter/dynamic-profile/view/1883786","18-1883786")</f>
        <v>0</v>
      </c>
      <c r="B3305" t="s">
        <v>194</v>
      </c>
      <c r="C3305" t="s">
        <v>340</v>
      </c>
      <c r="D3305" t="s">
        <v>669</v>
      </c>
      <c r="F3305" t="s">
        <v>2598</v>
      </c>
      <c r="G3305" t="s">
        <v>6834</v>
      </c>
      <c r="H3305" t="s">
        <v>12247</v>
      </c>
      <c r="I3305">
        <v>1</v>
      </c>
      <c r="J3305" t="s">
        <v>18893</v>
      </c>
      <c r="K3305">
        <v>10027</v>
      </c>
      <c r="L3305" t="s">
        <v>18958</v>
      </c>
      <c r="M3305" t="s">
        <v>18958</v>
      </c>
      <c r="N3305" t="s">
        <v>21430</v>
      </c>
      <c r="O3305" t="s">
        <v>26524</v>
      </c>
      <c r="P3305" t="s">
        <v>26564</v>
      </c>
      <c r="R3305" t="s">
        <v>26580</v>
      </c>
      <c r="S3305" t="s">
        <v>18959</v>
      </c>
      <c r="U3305" t="s">
        <v>26604</v>
      </c>
      <c r="W3305" t="s">
        <v>669</v>
      </c>
      <c r="X3305">
        <v>1500</v>
      </c>
      <c r="Y3305" t="s">
        <v>26651</v>
      </c>
      <c r="AB3305" t="s">
        <v>29528</v>
      </c>
      <c r="AD3305" t="s">
        <v>39597</v>
      </c>
      <c r="AE3305">
        <v>0</v>
      </c>
      <c r="AF3305" t="s">
        <v>45541</v>
      </c>
      <c r="AG3305" t="s">
        <v>19330</v>
      </c>
      <c r="AH3305">
        <v>9</v>
      </c>
      <c r="AI3305">
        <v>3</v>
      </c>
      <c r="AJ3305">
        <v>0</v>
      </c>
      <c r="AK3305">
        <v>173.24</v>
      </c>
      <c r="AN3305" t="s">
        <v>8151</v>
      </c>
      <c r="AO3305">
        <v>36000</v>
      </c>
      <c r="AU3305">
        <v>0</v>
      </c>
      <c r="AW3305" t="s">
        <v>46875</v>
      </c>
    </row>
    <row r="3306" spans="1:50">
      <c r="A3306" s="1">
        <f>HYPERLINK("https://lsnyc.legalserver.org/matter/dynamic-profile/view/1883831","18-1883831")</f>
        <v>0</v>
      </c>
      <c r="B3306" t="s">
        <v>62</v>
      </c>
      <c r="C3306" t="s">
        <v>340</v>
      </c>
      <c r="D3306" t="s">
        <v>669</v>
      </c>
      <c r="F3306" t="s">
        <v>2599</v>
      </c>
      <c r="G3306" t="s">
        <v>3492</v>
      </c>
      <c r="H3306" t="s">
        <v>12248</v>
      </c>
      <c r="I3306" t="s">
        <v>17355</v>
      </c>
      <c r="J3306" t="s">
        <v>18893</v>
      </c>
      <c r="K3306">
        <v>10031</v>
      </c>
      <c r="L3306" t="s">
        <v>18958</v>
      </c>
      <c r="M3306" t="s">
        <v>18958</v>
      </c>
      <c r="N3306" t="s">
        <v>21431</v>
      </c>
      <c r="O3306" t="s">
        <v>26524</v>
      </c>
      <c r="P3306" t="s">
        <v>26560</v>
      </c>
      <c r="R3306" t="s">
        <v>26580</v>
      </c>
      <c r="S3306" t="s">
        <v>18959</v>
      </c>
      <c r="U3306" t="s">
        <v>26604</v>
      </c>
      <c r="W3306" t="s">
        <v>669</v>
      </c>
      <c r="X3306">
        <v>1300</v>
      </c>
      <c r="Y3306" t="s">
        <v>26651</v>
      </c>
      <c r="Z3306" t="s">
        <v>26664</v>
      </c>
      <c r="AB3306" t="s">
        <v>29529</v>
      </c>
      <c r="AD3306" t="s">
        <v>39598</v>
      </c>
      <c r="AE3306">
        <v>19</v>
      </c>
      <c r="AF3306" t="s">
        <v>45541</v>
      </c>
      <c r="AG3306" t="s">
        <v>19330</v>
      </c>
      <c r="AH3306">
        <v>4</v>
      </c>
      <c r="AI3306">
        <v>1</v>
      </c>
      <c r="AJ3306">
        <v>0</v>
      </c>
      <c r="AK3306">
        <v>172.98</v>
      </c>
      <c r="AN3306" t="s">
        <v>7439</v>
      </c>
      <c r="AO3306">
        <v>21000</v>
      </c>
      <c r="AU3306">
        <v>7</v>
      </c>
      <c r="AV3306" t="s">
        <v>659</v>
      </c>
      <c r="AW3306" t="s">
        <v>46875</v>
      </c>
    </row>
    <row r="3307" spans="1:50">
      <c r="A3307" s="1">
        <f>HYPERLINK("https://lsnyc.legalserver.org/matter/dynamic-profile/view/1886032","18-1886032")</f>
        <v>0</v>
      </c>
      <c r="B3307" t="s">
        <v>174</v>
      </c>
      <c r="C3307" t="s">
        <v>340</v>
      </c>
      <c r="D3307" t="s">
        <v>670</v>
      </c>
      <c r="F3307" t="s">
        <v>2600</v>
      </c>
      <c r="G3307" t="s">
        <v>6835</v>
      </c>
      <c r="H3307" t="s">
        <v>12249</v>
      </c>
      <c r="J3307" t="s">
        <v>18894</v>
      </c>
      <c r="K3307">
        <v>11213</v>
      </c>
      <c r="L3307" t="s">
        <v>18958</v>
      </c>
      <c r="M3307" t="s">
        <v>18958</v>
      </c>
      <c r="O3307" t="s">
        <v>26526</v>
      </c>
      <c r="P3307" t="s">
        <v>26560</v>
      </c>
      <c r="R3307" t="s">
        <v>26578</v>
      </c>
      <c r="S3307" t="s">
        <v>18959</v>
      </c>
      <c r="U3307" t="s">
        <v>26604</v>
      </c>
      <c r="W3307" t="s">
        <v>669</v>
      </c>
      <c r="X3307">
        <v>551</v>
      </c>
      <c r="Y3307" t="s">
        <v>26652</v>
      </c>
      <c r="AB3307" t="s">
        <v>29530</v>
      </c>
      <c r="AD3307" t="s">
        <v>39599</v>
      </c>
      <c r="AE3307">
        <v>6</v>
      </c>
      <c r="AF3307" t="s">
        <v>45541</v>
      </c>
      <c r="AG3307" t="s">
        <v>19330</v>
      </c>
      <c r="AH3307">
        <v>15</v>
      </c>
      <c r="AI3307">
        <v>2</v>
      </c>
      <c r="AJ3307">
        <v>0</v>
      </c>
      <c r="AK3307">
        <v>51.03</v>
      </c>
      <c r="AN3307" t="s">
        <v>7439</v>
      </c>
      <c r="AO3307">
        <v>8400</v>
      </c>
      <c r="AU3307">
        <v>123.05</v>
      </c>
      <c r="AV3307" t="s">
        <v>817</v>
      </c>
      <c r="AW3307" t="s">
        <v>286</v>
      </c>
    </row>
    <row r="3308" spans="1:50">
      <c r="A3308" s="1">
        <f>HYPERLINK("https://lsnyc.legalserver.org/matter/dynamic-profile/view/1896646","19-1896646")</f>
        <v>0</v>
      </c>
      <c r="B3308" t="s">
        <v>88</v>
      </c>
      <c r="C3308" t="s">
        <v>340</v>
      </c>
      <c r="D3308" t="s">
        <v>671</v>
      </c>
      <c r="F3308" t="s">
        <v>1027</v>
      </c>
      <c r="G3308" t="s">
        <v>6836</v>
      </c>
      <c r="H3308" t="s">
        <v>12249</v>
      </c>
      <c r="I3308" t="s">
        <v>17947</v>
      </c>
      <c r="J3308" t="s">
        <v>18894</v>
      </c>
      <c r="K3308">
        <v>11213</v>
      </c>
      <c r="L3308" t="s">
        <v>18958</v>
      </c>
      <c r="M3308" t="s">
        <v>18958</v>
      </c>
      <c r="N3308" t="s">
        <v>18997</v>
      </c>
      <c r="O3308" t="s">
        <v>26531</v>
      </c>
      <c r="P3308" t="s">
        <v>26565</v>
      </c>
      <c r="R3308" t="s">
        <v>26578</v>
      </c>
      <c r="S3308" t="s">
        <v>18958</v>
      </c>
      <c r="U3308" t="s">
        <v>26604</v>
      </c>
      <c r="W3308" t="s">
        <v>669</v>
      </c>
      <c r="X3308">
        <v>540</v>
      </c>
      <c r="Y3308" t="s">
        <v>26652</v>
      </c>
      <c r="Z3308" t="s">
        <v>26663</v>
      </c>
      <c r="AB3308" t="s">
        <v>29531</v>
      </c>
      <c r="AD3308" t="s">
        <v>39600</v>
      </c>
      <c r="AE3308">
        <v>6</v>
      </c>
      <c r="AF3308" t="s">
        <v>45541</v>
      </c>
      <c r="AG3308" t="s">
        <v>19330</v>
      </c>
      <c r="AH3308">
        <v>18</v>
      </c>
      <c r="AI3308">
        <v>1</v>
      </c>
      <c r="AJ3308">
        <v>0</v>
      </c>
      <c r="AK3308">
        <v>512.41</v>
      </c>
      <c r="AN3308" t="s">
        <v>7439</v>
      </c>
      <c r="AO3308">
        <v>64000</v>
      </c>
      <c r="AU3308">
        <v>0</v>
      </c>
      <c r="AW3308" t="s">
        <v>286</v>
      </c>
      <c r="AX3308" t="s">
        <v>46897</v>
      </c>
    </row>
    <row r="3309" spans="1:50">
      <c r="A3309" s="1">
        <f>HYPERLINK("https://lsnyc.legalserver.org/matter/dynamic-profile/view/1896739","19-1896739")</f>
        <v>0</v>
      </c>
      <c r="B3309" t="s">
        <v>88</v>
      </c>
      <c r="C3309" t="s">
        <v>340</v>
      </c>
      <c r="D3309" t="s">
        <v>672</v>
      </c>
      <c r="F3309" t="s">
        <v>2600</v>
      </c>
      <c r="G3309" t="s">
        <v>6835</v>
      </c>
      <c r="H3309" t="s">
        <v>12249</v>
      </c>
      <c r="I3309" t="s">
        <v>17291</v>
      </c>
      <c r="J3309" t="s">
        <v>18894</v>
      </c>
      <c r="K3309">
        <v>11213</v>
      </c>
      <c r="L3309" t="s">
        <v>18958</v>
      </c>
      <c r="M3309" t="s">
        <v>18958</v>
      </c>
      <c r="N3309" t="s">
        <v>18997</v>
      </c>
      <c r="O3309" t="s">
        <v>26531</v>
      </c>
      <c r="P3309" t="s">
        <v>26565</v>
      </c>
      <c r="R3309" t="s">
        <v>26578</v>
      </c>
      <c r="S3309" t="s">
        <v>18958</v>
      </c>
      <c r="U3309" t="s">
        <v>26604</v>
      </c>
      <c r="W3309" t="s">
        <v>669</v>
      </c>
      <c r="X3309">
        <v>551</v>
      </c>
      <c r="Y3309" t="s">
        <v>26652</v>
      </c>
      <c r="Z3309" t="s">
        <v>26663</v>
      </c>
      <c r="AB3309" t="s">
        <v>29530</v>
      </c>
      <c r="AD3309" t="s">
        <v>39599</v>
      </c>
      <c r="AE3309">
        <v>6</v>
      </c>
      <c r="AF3309" t="s">
        <v>45541</v>
      </c>
      <c r="AG3309" t="s">
        <v>19330</v>
      </c>
      <c r="AH3309">
        <v>15</v>
      </c>
      <c r="AI3309">
        <v>2</v>
      </c>
      <c r="AJ3309">
        <v>0</v>
      </c>
      <c r="AK3309">
        <v>49.67</v>
      </c>
      <c r="AN3309" t="s">
        <v>7439</v>
      </c>
      <c r="AO3309">
        <v>8400</v>
      </c>
      <c r="AU3309">
        <v>0</v>
      </c>
      <c r="AW3309" t="s">
        <v>286</v>
      </c>
      <c r="AX3309" t="s">
        <v>46897</v>
      </c>
    </row>
    <row r="3310" spans="1:50">
      <c r="A3310" s="1">
        <f>HYPERLINK("https://lsnyc.legalserver.org/matter/dynamic-profile/view/1896778","19-1896778")</f>
        <v>0</v>
      </c>
      <c r="B3310" t="s">
        <v>88</v>
      </c>
      <c r="C3310" t="s">
        <v>340</v>
      </c>
      <c r="D3310" t="s">
        <v>672</v>
      </c>
      <c r="F3310" t="s">
        <v>2601</v>
      </c>
      <c r="G3310" t="s">
        <v>1384</v>
      </c>
      <c r="H3310" t="s">
        <v>12249</v>
      </c>
      <c r="I3310" t="s">
        <v>17330</v>
      </c>
      <c r="J3310" t="s">
        <v>18894</v>
      </c>
      <c r="K3310">
        <v>11213</v>
      </c>
      <c r="L3310" t="s">
        <v>18958</v>
      </c>
      <c r="M3310" t="s">
        <v>18958</v>
      </c>
      <c r="N3310" t="s">
        <v>18997</v>
      </c>
      <c r="O3310" t="s">
        <v>26531</v>
      </c>
      <c r="P3310" t="s">
        <v>26565</v>
      </c>
      <c r="R3310" t="s">
        <v>26578</v>
      </c>
      <c r="S3310" t="s">
        <v>18958</v>
      </c>
      <c r="U3310" t="s">
        <v>26604</v>
      </c>
      <c r="W3310" t="s">
        <v>669</v>
      </c>
      <c r="X3310">
        <v>855.86</v>
      </c>
      <c r="Y3310" t="s">
        <v>26652</v>
      </c>
      <c r="Z3310" t="s">
        <v>26663</v>
      </c>
      <c r="AB3310" t="s">
        <v>29532</v>
      </c>
      <c r="AE3310">
        <v>6</v>
      </c>
      <c r="AF3310" t="s">
        <v>45541</v>
      </c>
      <c r="AG3310" t="s">
        <v>19330</v>
      </c>
      <c r="AH3310">
        <v>26</v>
      </c>
      <c r="AI3310">
        <v>1</v>
      </c>
      <c r="AJ3310">
        <v>1</v>
      </c>
      <c r="AK3310">
        <v>52.58</v>
      </c>
      <c r="AN3310" t="s">
        <v>7439</v>
      </c>
      <c r="AO3310">
        <v>8892</v>
      </c>
      <c r="AU3310">
        <v>0</v>
      </c>
      <c r="AW3310" t="s">
        <v>286</v>
      </c>
      <c r="AX3310" t="s">
        <v>46897</v>
      </c>
    </row>
    <row r="3311" spans="1:50">
      <c r="A3311" s="1">
        <f>HYPERLINK("https://lsnyc.legalserver.org/matter/dynamic-profile/view/1896750","19-1896750")</f>
        <v>0</v>
      </c>
      <c r="B3311" t="s">
        <v>88</v>
      </c>
      <c r="C3311" t="s">
        <v>340</v>
      </c>
      <c r="D3311" t="s">
        <v>672</v>
      </c>
      <c r="F3311" t="s">
        <v>1024</v>
      </c>
      <c r="G3311" t="s">
        <v>5575</v>
      </c>
      <c r="H3311" t="s">
        <v>12249</v>
      </c>
      <c r="I3311" t="s">
        <v>17331</v>
      </c>
      <c r="J3311" t="s">
        <v>18894</v>
      </c>
      <c r="K3311">
        <v>11213</v>
      </c>
      <c r="L3311" t="s">
        <v>18958</v>
      </c>
      <c r="M3311" t="s">
        <v>18959</v>
      </c>
      <c r="N3311" t="s">
        <v>18997</v>
      </c>
      <c r="O3311" t="s">
        <v>26531</v>
      </c>
      <c r="P3311" t="s">
        <v>26565</v>
      </c>
      <c r="R3311" t="s">
        <v>26578</v>
      </c>
      <c r="S3311" t="s">
        <v>18958</v>
      </c>
      <c r="U3311" t="s">
        <v>26604</v>
      </c>
      <c r="W3311" t="s">
        <v>669</v>
      </c>
      <c r="X3311">
        <v>719</v>
      </c>
      <c r="Y3311" t="s">
        <v>26652</v>
      </c>
      <c r="Z3311" t="s">
        <v>26663</v>
      </c>
      <c r="AB3311" t="s">
        <v>29533</v>
      </c>
      <c r="AD3311" t="s">
        <v>39601</v>
      </c>
      <c r="AE3311">
        <v>6</v>
      </c>
      <c r="AF3311" t="s">
        <v>45541</v>
      </c>
      <c r="AG3311" t="s">
        <v>19330</v>
      </c>
      <c r="AH3311">
        <v>22</v>
      </c>
      <c r="AI3311">
        <v>5</v>
      </c>
      <c r="AJ3311">
        <v>1</v>
      </c>
      <c r="AK3311">
        <v>109.86</v>
      </c>
      <c r="AN3311" t="s">
        <v>7439</v>
      </c>
      <c r="AO3311">
        <v>38000</v>
      </c>
      <c r="AU3311">
        <v>0</v>
      </c>
      <c r="AW3311" t="s">
        <v>286</v>
      </c>
      <c r="AX3311" t="s">
        <v>19330</v>
      </c>
    </row>
    <row r="3312" spans="1:50">
      <c r="A3312" s="1">
        <f>HYPERLINK("https://lsnyc.legalserver.org/matter/dynamic-profile/view/1851842","17-1851842")</f>
        <v>0</v>
      </c>
      <c r="B3312" t="s">
        <v>110</v>
      </c>
      <c r="C3312" t="s">
        <v>341</v>
      </c>
      <c r="D3312" t="s">
        <v>673</v>
      </c>
      <c r="E3312" t="s">
        <v>699</v>
      </c>
      <c r="F3312" t="s">
        <v>1624</v>
      </c>
      <c r="G3312" t="s">
        <v>5269</v>
      </c>
      <c r="H3312" t="s">
        <v>12250</v>
      </c>
      <c r="I3312" t="s">
        <v>17416</v>
      </c>
      <c r="J3312" t="s">
        <v>18901</v>
      </c>
      <c r="K3312">
        <v>11433</v>
      </c>
      <c r="L3312" t="s">
        <v>18958</v>
      </c>
      <c r="M3312" t="s">
        <v>18958</v>
      </c>
      <c r="N3312" t="s">
        <v>21432</v>
      </c>
      <c r="O3312" t="s">
        <v>26524</v>
      </c>
      <c r="P3312" t="s">
        <v>26560</v>
      </c>
      <c r="Q3312" t="s">
        <v>26568</v>
      </c>
      <c r="R3312" t="s">
        <v>26585</v>
      </c>
      <c r="S3312" t="s">
        <v>18959</v>
      </c>
      <c r="T3312" t="s">
        <v>26602</v>
      </c>
      <c r="U3312" t="s">
        <v>26604</v>
      </c>
      <c r="W3312" t="s">
        <v>666</v>
      </c>
      <c r="X3312">
        <v>550</v>
      </c>
      <c r="Y3312" t="s">
        <v>26653</v>
      </c>
      <c r="Z3312" t="s">
        <v>26662</v>
      </c>
      <c r="AA3312" t="s">
        <v>26679</v>
      </c>
      <c r="AB3312" t="s">
        <v>29534</v>
      </c>
      <c r="AC3312" t="s">
        <v>19045</v>
      </c>
      <c r="AD3312" t="s">
        <v>39602</v>
      </c>
      <c r="AE3312">
        <v>1</v>
      </c>
      <c r="AF3312" t="s">
        <v>45547</v>
      </c>
      <c r="AG3312" t="s">
        <v>19330</v>
      </c>
      <c r="AH3312">
        <v>1</v>
      </c>
      <c r="AI3312">
        <v>1</v>
      </c>
      <c r="AJ3312">
        <v>2</v>
      </c>
      <c r="AK3312">
        <v>81.48999999999999</v>
      </c>
      <c r="AN3312" t="s">
        <v>7439</v>
      </c>
      <c r="AO3312">
        <v>16640</v>
      </c>
      <c r="AR3312" t="s">
        <v>46384</v>
      </c>
      <c r="AS3312" t="s">
        <v>46500</v>
      </c>
      <c r="AT3312" t="s">
        <v>46771</v>
      </c>
      <c r="AU3312">
        <v>24.2</v>
      </c>
      <c r="AV3312" t="s">
        <v>666</v>
      </c>
      <c r="AW3312" t="s">
        <v>122</v>
      </c>
    </row>
    <row r="3313" spans="1:49">
      <c r="A3313" s="1">
        <f>HYPERLINK("https://lsnyc.legalserver.org/matter/dynamic-profile/view/1857404","18-1857404")</f>
        <v>0</v>
      </c>
      <c r="B3313" t="s">
        <v>108</v>
      </c>
      <c r="C3313" t="s">
        <v>341</v>
      </c>
      <c r="D3313" t="s">
        <v>674</v>
      </c>
      <c r="E3313" t="s">
        <v>689</v>
      </c>
      <c r="F3313" t="s">
        <v>998</v>
      </c>
      <c r="G3313" t="s">
        <v>6837</v>
      </c>
      <c r="H3313" t="s">
        <v>12251</v>
      </c>
      <c r="I3313" t="s">
        <v>17948</v>
      </c>
      <c r="J3313" t="s">
        <v>18912</v>
      </c>
      <c r="K3313">
        <v>11374</v>
      </c>
      <c r="L3313" t="s">
        <v>18958</v>
      </c>
      <c r="M3313" t="s">
        <v>18958</v>
      </c>
      <c r="N3313" t="s">
        <v>21433</v>
      </c>
      <c r="O3313" t="s">
        <v>26523</v>
      </c>
      <c r="P3313" t="s">
        <v>26560</v>
      </c>
      <c r="Q3313" t="s">
        <v>26568</v>
      </c>
      <c r="R3313" t="s">
        <v>26584</v>
      </c>
      <c r="S3313" t="s">
        <v>18959</v>
      </c>
      <c r="U3313" t="s">
        <v>26604</v>
      </c>
      <c r="V3313" t="s">
        <v>26609</v>
      </c>
      <c r="W3313" t="s">
        <v>666</v>
      </c>
      <c r="X3313">
        <v>9332</v>
      </c>
      <c r="Y3313" t="s">
        <v>26653</v>
      </c>
      <c r="Z3313" t="s">
        <v>26664</v>
      </c>
      <c r="AA3313" t="s">
        <v>26678</v>
      </c>
      <c r="AB3313" t="s">
        <v>29535</v>
      </c>
      <c r="AC3313" t="s">
        <v>35485</v>
      </c>
      <c r="AD3313" t="s">
        <v>39603</v>
      </c>
      <c r="AE3313">
        <v>125</v>
      </c>
      <c r="AF3313" t="s">
        <v>45541</v>
      </c>
      <c r="AG3313" t="s">
        <v>19330</v>
      </c>
      <c r="AH3313">
        <v>40</v>
      </c>
      <c r="AI3313">
        <v>1</v>
      </c>
      <c r="AJ3313">
        <v>0</v>
      </c>
      <c r="AK3313">
        <v>138.39</v>
      </c>
      <c r="AN3313" t="s">
        <v>7439</v>
      </c>
      <c r="AO3313">
        <v>16800</v>
      </c>
      <c r="AQ3313" t="s">
        <v>46362</v>
      </c>
      <c r="AR3313" t="s">
        <v>46449</v>
      </c>
      <c r="AS3313" t="s">
        <v>46499</v>
      </c>
      <c r="AT3313" t="s">
        <v>46528</v>
      </c>
      <c r="AU3313">
        <v>47.5</v>
      </c>
      <c r="AV3313" t="s">
        <v>669</v>
      </c>
      <c r="AW3313" t="s">
        <v>110</v>
      </c>
    </row>
    <row r="3314" spans="1:49">
      <c r="A3314" s="1">
        <f>HYPERLINK("https://lsnyc.legalserver.org/matter/dynamic-profile/view/1880580","18-1880580")</f>
        <v>0</v>
      </c>
      <c r="B3314" t="s">
        <v>63</v>
      </c>
      <c r="C3314" t="s">
        <v>340</v>
      </c>
      <c r="D3314" t="s">
        <v>623</v>
      </c>
      <c r="F3314" t="s">
        <v>2602</v>
      </c>
      <c r="G3314" t="s">
        <v>5208</v>
      </c>
      <c r="H3314" t="s">
        <v>12252</v>
      </c>
      <c r="I3314">
        <v>4</v>
      </c>
      <c r="J3314" t="s">
        <v>18892</v>
      </c>
      <c r="K3314">
        <v>10453</v>
      </c>
      <c r="L3314" t="s">
        <v>18958</v>
      </c>
      <c r="M3314" t="s">
        <v>18958</v>
      </c>
      <c r="N3314" t="s">
        <v>21434</v>
      </c>
      <c r="O3314" t="s">
        <v>26523</v>
      </c>
      <c r="P3314" t="s">
        <v>26560</v>
      </c>
      <c r="R3314" t="s">
        <v>26578</v>
      </c>
      <c r="U3314" t="s">
        <v>26604</v>
      </c>
      <c r="W3314" t="s">
        <v>666</v>
      </c>
      <c r="X3314">
        <v>1351.5</v>
      </c>
      <c r="Y3314" t="s">
        <v>26650</v>
      </c>
      <c r="Z3314" t="s">
        <v>26668</v>
      </c>
      <c r="AB3314" t="s">
        <v>27862</v>
      </c>
      <c r="AC3314" t="s">
        <v>35486</v>
      </c>
      <c r="AD3314" t="s">
        <v>39604</v>
      </c>
      <c r="AE3314">
        <v>30</v>
      </c>
      <c r="AF3314" t="s">
        <v>20460</v>
      </c>
      <c r="AG3314" t="s">
        <v>19330</v>
      </c>
      <c r="AH3314">
        <v>2</v>
      </c>
      <c r="AI3314">
        <v>2</v>
      </c>
      <c r="AJ3314">
        <v>3</v>
      </c>
      <c r="AK3314">
        <v>42.6</v>
      </c>
      <c r="AN3314" t="s">
        <v>45581</v>
      </c>
      <c r="AO3314">
        <v>12532</v>
      </c>
      <c r="AU3314">
        <v>9.199999999999999</v>
      </c>
      <c r="AV3314" t="s">
        <v>831</v>
      </c>
      <c r="AW3314" t="s">
        <v>46846</v>
      </c>
    </row>
    <row r="3315" spans="1:49">
      <c r="A3315" s="1">
        <f>HYPERLINK("https://lsnyc.legalserver.org/matter/dynamic-profile/view/1883074","18-1883074")</f>
        <v>0</v>
      </c>
      <c r="B3315" t="s">
        <v>133</v>
      </c>
      <c r="C3315" t="s">
        <v>340</v>
      </c>
      <c r="D3315" t="s">
        <v>651</v>
      </c>
      <c r="F3315" t="s">
        <v>1318</v>
      </c>
      <c r="G3315" t="s">
        <v>5147</v>
      </c>
      <c r="H3315" t="s">
        <v>12253</v>
      </c>
      <c r="I3315" t="s">
        <v>17366</v>
      </c>
      <c r="J3315" t="s">
        <v>18892</v>
      </c>
      <c r="K3315">
        <v>10458</v>
      </c>
      <c r="L3315" t="s">
        <v>18958</v>
      </c>
      <c r="M3315" t="s">
        <v>18958</v>
      </c>
      <c r="N3315" t="s">
        <v>21435</v>
      </c>
      <c r="O3315" t="s">
        <v>26524</v>
      </c>
      <c r="P3315" t="s">
        <v>26564</v>
      </c>
      <c r="R3315" t="s">
        <v>26577</v>
      </c>
      <c r="S3315" t="s">
        <v>18959</v>
      </c>
      <c r="U3315" t="s">
        <v>26604</v>
      </c>
      <c r="V3315" t="s">
        <v>26613</v>
      </c>
      <c r="W3315" t="s">
        <v>666</v>
      </c>
      <c r="X3315">
        <v>1532</v>
      </c>
      <c r="Y3315" t="s">
        <v>26650</v>
      </c>
      <c r="Z3315" t="s">
        <v>26664</v>
      </c>
      <c r="AB3315" t="s">
        <v>29536</v>
      </c>
      <c r="AD3315" t="s">
        <v>39605</v>
      </c>
      <c r="AE3315">
        <v>0</v>
      </c>
      <c r="AF3315" t="s">
        <v>45541</v>
      </c>
      <c r="AG3315" t="s">
        <v>45556</v>
      </c>
      <c r="AH3315">
        <v>13</v>
      </c>
      <c r="AI3315">
        <v>2</v>
      </c>
      <c r="AJ3315">
        <v>4</v>
      </c>
      <c r="AK3315">
        <v>54.02</v>
      </c>
      <c r="AN3315" t="s">
        <v>7439</v>
      </c>
      <c r="AO3315">
        <v>18228</v>
      </c>
      <c r="AP3315" t="s">
        <v>45670</v>
      </c>
      <c r="AU3315">
        <v>1.7</v>
      </c>
      <c r="AV3315" t="s">
        <v>666</v>
      </c>
      <c r="AW3315" t="s">
        <v>46870</v>
      </c>
    </row>
    <row r="3316" spans="1:49">
      <c r="A3316" s="1">
        <f>HYPERLINK("https://lsnyc.legalserver.org/matter/dynamic-profile/view/1883006","18-1883006")</f>
        <v>0</v>
      </c>
      <c r="B3316" t="s">
        <v>147</v>
      </c>
      <c r="C3316" t="s">
        <v>340</v>
      </c>
      <c r="D3316" t="s">
        <v>651</v>
      </c>
      <c r="F3316" t="s">
        <v>1587</v>
      </c>
      <c r="G3316" t="s">
        <v>6838</v>
      </c>
      <c r="H3316" t="s">
        <v>10461</v>
      </c>
      <c r="I3316" t="s">
        <v>17570</v>
      </c>
      <c r="J3316" t="s">
        <v>18894</v>
      </c>
      <c r="K3316">
        <v>11226</v>
      </c>
      <c r="L3316" t="s">
        <v>18958</v>
      </c>
      <c r="M3316" t="s">
        <v>18958</v>
      </c>
      <c r="O3316" t="s">
        <v>26531</v>
      </c>
      <c r="P3316" t="s">
        <v>26565</v>
      </c>
      <c r="R3316" t="s">
        <v>26578</v>
      </c>
      <c r="S3316" t="s">
        <v>18959</v>
      </c>
      <c r="U3316" t="s">
        <v>26604</v>
      </c>
      <c r="W3316" t="s">
        <v>666</v>
      </c>
      <c r="X3316">
        <v>1822.5</v>
      </c>
      <c r="Y3316" t="s">
        <v>26652</v>
      </c>
      <c r="Z3316" t="s">
        <v>26663</v>
      </c>
      <c r="AB3316" t="s">
        <v>29537</v>
      </c>
      <c r="AD3316" t="s">
        <v>39606</v>
      </c>
      <c r="AE3316">
        <v>120</v>
      </c>
      <c r="AF3316" t="s">
        <v>45541</v>
      </c>
      <c r="AH3316">
        <v>0</v>
      </c>
      <c r="AI3316">
        <v>2</v>
      </c>
      <c r="AJ3316">
        <v>0</v>
      </c>
      <c r="AK3316">
        <v>258.81</v>
      </c>
      <c r="AN3316" t="s">
        <v>7439</v>
      </c>
      <c r="AO3316">
        <v>42600</v>
      </c>
      <c r="AU3316">
        <v>9.5</v>
      </c>
      <c r="AV3316" t="s">
        <v>761</v>
      </c>
      <c r="AW3316" t="s">
        <v>198</v>
      </c>
    </row>
    <row r="3317" spans="1:49">
      <c r="A3317" s="1">
        <f>HYPERLINK("https://lsnyc.legalserver.org/matter/dynamic-profile/view/1883112","18-1883112")</f>
        <v>0</v>
      </c>
      <c r="B3317" t="s">
        <v>199</v>
      </c>
      <c r="C3317" t="s">
        <v>341</v>
      </c>
      <c r="D3317" t="s">
        <v>525</v>
      </c>
      <c r="E3317" t="s">
        <v>707</v>
      </c>
      <c r="F3317" t="s">
        <v>2104</v>
      </c>
      <c r="G3317" t="s">
        <v>6839</v>
      </c>
      <c r="H3317" t="s">
        <v>11395</v>
      </c>
      <c r="I3317">
        <v>2</v>
      </c>
      <c r="J3317" t="s">
        <v>18894</v>
      </c>
      <c r="K3317">
        <v>11238</v>
      </c>
      <c r="L3317" t="s">
        <v>18958</v>
      </c>
      <c r="M3317" t="s">
        <v>18958</v>
      </c>
      <c r="N3317" t="s">
        <v>21436</v>
      </c>
      <c r="O3317" t="s">
        <v>26523</v>
      </c>
      <c r="P3317" t="s">
        <v>26560</v>
      </c>
      <c r="Q3317" t="s">
        <v>26568</v>
      </c>
      <c r="R3317" t="s">
        <v>26578</v>
      </c>
      <c r="S3317" t="s">
        <v>18959</v>
      </c>
      <c r="U3317" t="s">
        <v>26604</v>
      </c>
      <c r="V3317" t="s">
        <v>26610</v>
      </c>
      <c r="W3317" t="s">
        <v>666</v>
      </c>
      <c r="X3317">
        <v>909.72</v>
      </c>
      <c r="Y3317" t="s">
        <v>26652</v>
      </c>
      <c r="Z3317" t="s">
        <v>26659</v>
      </c>
      <c r="AA3317" t="s">
        <v>26678</v>
      </c>
      <c r="AB3317" t="s">
        <v>29538</v>
      </c>
      <c r="AD3317" t="s">
        <v>39607</v>
      </c>
      <c r="AE3317">
        <v>41</v>
      </c>
      <c r="AF3317" t="s">
        <v>45541</v>
      </c>
      <c r="AG3317" t="s">
        <v>19330</v>
      </c>
      <c r="AH3317">
        <v>4</v>
      </c>
      <c r="AI3317">
        <v>2</v>
      </c>
      <c r="AJ3317">
        <v>0</v>
      </c>
      <c r="AK3317">
        <v>80.05</v>
      </c>
      <c r="AN3317" t="s">
        <v>7439</v>
      </c>
      <c r="AO3317">
        <v>13176</v>
      </c>
      <c r="AQ3317" t="s">
        <v>46362</v>
      </c>
      <c r="AR3317" t="s">
        <v>46381</v>
      </c>
      <c r="AS3317" t="s">
        <v>46499</v>
      </c>
      <c r="AT3317" t="s">
        <v>46703</v>
      </c>
      <c r="AU3317">
        <v>12.2</v>
      </c>
      <c r="AV3317" t="s">
        <v>707</v>
      </c>
      <c r="AW3317" t="s">
        <v>46862</v>
      </c>
    </row>
    <row r="3318" spans="1:49">
      <c r="A3318" s="1">
        <f>HYPERLINK("https://lsnyc.legalserver.org/matter/dynamic-profile/view/1883403","18-1883403")</f>
        <v>0</v>
      </c>
      <c r="B3318" t="s">
        <v>270</v>
      </c>
      <c r="C3318" t="s">
        <v>341</v>
      </c>
      <c r="D3318" t="s">
        <v>662</v>
      </c>
      <c r="E3318" t="s">
        <v>763</v>
      </c>
      <c r="F3318" t="s">
        <v>875</v>
      </c>
      <c r="G3318" t="s">
        <v>5103</v>
      </c>
      <c r="H3318" t="s">
        <v>12254</v>
      </c>
      <c r="I3318">
        <v>41</v>
      </c>
      <c r="J3318" t="s">
        <v>18892</v>
      </c>
      <c r="K3318">
        <v>10457</v>
      </c>
      <c r="L3318" t="s">
        <v>18958</v>
      </c>
      <c r="M3318" t="s">
        <v>18958</v>
      </c>
      <c r="N3318" t="s">
        <v>21437</v>
      </c>
      <c r="O3318" t="s">
        <v>26523</v>
      </c>
      <c r="P3318" t="s">
        <v>26560</v>
      </c>
      <c r="Q3318" t="s">
        <v>26568</v>
      </c>
      <c r="R3318" t="s">
        <v>26579</v>
      </c>
      <c r="S3318" t="s">
        <v>18959</v>
      </c>
      <c r="U3318" t="s">
        <v>26604</v>
      </c>
      <c r="V3318" t="s">
        <v>26610</v>
      </c>
      <c r="W3318" t="s">
        <v>666</v>
      </c>
      <c r="X3318">
        <v>628</v>
      </c>
      <c r="Y3318" t="s">
        <v>26650</v>
      </c>
      <c r="Z3318" t="s">
        <v>26664</v>
      </c>
      <c r="AA3318" t="s">
        <v>26678</v>
      </c>
      <c r="AB3318" t="s">
        <v>29539</v>
      </c>
      <c r="AC3318" t="s">
        <v>35487</v>
      </c>
      <c r="AD3318" t="s">
        <v>39608</v>
      </c>
      <c r="AE3318">
        <v>0</v>
      </c>
      <c r="AF3318" t="s">
        <v>45553</v>
      </c>
      <c r="AG3318" t="s">
        <v>45556</v>
      </c>
      <c r="AH3318">
        <v>42</v>
      </c>
      <c r="AI3318">
        <v>2</v>
      </c>
      <c r="AJ3318">
        <v>0</v>
      </c>
      <c r="AK3318">
        <v>120.36</v>
      </c>
      <c r="AN3318" t="s">
        <v>7439</v>
      </c>
      <c r="AO3318">
        <v>19812</v>
      </c>
      <c r="AP3318" t="s">
        <v>45654</v>
      </c>
      <c r="AR3318" t="s">
        <v>46381</v>
      </c>
      <c r="AS3318" t="s">
        <v>46499</v>
      </c>
      <c r="AT3318" t="s">
        <v>46756</v>
      </c>
      <c r="AU3318">
        <v>20.8</v>
      </c>
      <c r="AV3318" t="s">
        <v>695</v>
      </c>
      <c r="AW3318" t="s">
        <v>46847</v>
      </c>
    </row>
    <row r="3319" spans="1:49">
      <c r="A3319" s="1">
        <f>HYPERLINK("https://lsnyc.legalserver.org/matter/dynamic-profile/view/1883906","18-1883906")</f>
        <v>0</v>
      </c>
      <c r="B3319" t="s">
        <v>188</v>
      </c>
      <c r="C3319" t="s">
        <v>341</v>
      </c>
      <c r="D3319" t="s">
        <v>669</v>
      </c>
      <c r="E3319" t="s">
        <v>519</v>
      </c>
      <c r="F3319" t="s">
        <v>2603</v>
      </c>
      <c r="G3319" t="s">
        <v>5748</v>
      </c>
      <c r="H3319" t="s">
        <v>12255</v>
      </c>
      <c r="I3319" t="s">
        <v>17309</v>
      </c>
      <c r="J3319" t="s">
        <v>18892</v>
      </c>
      <c r="K3319">
        <v>10452</v>
      </c>
      <c r="L3319" t="s">
        <v>18958</v>
      </c>
      <c r="M3319" t="s">
        <v>18958</v>
      </c>
      <c r="N3319" t="s">
        <v>21438</v>
      </c>
      <c r="O3319" t="s">
        <v>26523</v>
      </c>
      <c r="P3319" t="s">
        <v>26564</v>
      </c>
      <c r="Q3319" t="s">
        <v>26570</v>
      </c>
      <c r="R3319" t="s">
        <v>26578</v>
      </c>
      <c r="S3319" t="s">
        <v>18959</v>
      </c>
      <c r="U3319" t="s">
        <v>26604</v>
      </c>
      <c r="V3319" t="s">
        <v>26610</v>
      </c>
      <c r="W3319" t="s">
        <v>666</v>
      </c>
      <c r="X3319">
        <v>1375</v>
      </c>
      <c r="Y3319" t="s">
        <v>26650</v>
      </c>
      <c r="Z3319" t="s">
        <v>26655</v>
      </c>
      <c r="AA3319" t="s">
        <v>26683</v>
      </c>
      <c r="AB3319" t="s">
        <v>29540</v>
      </c>
      <c r="AD3319" t="s">
        <v>39609</v>
      </c>
      <c r="AE3319">
        <v>37</v>
      </c>
      <c r="AF3319" t="s">
        <v>45541</v>
      </c>
      <c r="AG3319" t="s">
        <v>19330</v>
      </c>
      <c r="AH3319">
        <v>5</v>
      </c>
      <c r="AI3319">
        <v>1</v>
      </c>
      <c r="AJ3319">
        <v>1</v>
      </c>
      <c r="AK3319">
        <v>85.05</v>
      </c>
      <c r="AN3319" t="s">
        <v>45581</v>
      </c>
      <c r="AO3319">
        <v>14000</v>
      </c>
      <c r="AU3319">
        <v>2.6</v>
      </c>
      <c r="AV3319" t="s">
        <v>519</v>
      </c>
      <c r="AW3319" t="s">
        <v>46832</v>
      </c>
    </row>
    <row r="3320" spans="1:49">
      <c r="A3320" s="1">
        <f>HYPERLINK("https://lsnyc.legalserver.org/matter/dynamic-profile/view/1883952","18-1883952")</f>
        <v>0</v>
      </c>
      <c r="B3320" t="s">
        <v>61</v>
      </c>
      <c r="C3320" t="s">
        <v>341</v>
      </c>
      <c r="D3320" t="s">
        <v>666</v>
      </c>
      <c r="E3320" t="s">
        <v>494</v>
      </c>
      <c r="F3320" t="s">
        <v>928</v>
      </c>
      <c r="G3320" t="s">
        <v>6840</v>
      </c>
      <c r="H3320" t="s">
        <v>9876</v>
      </c>
      <c r="I3320" t="s">
        <v>17949</v>
      </c>
      <c r="J3320" t="s">
        <v>18893</v>
      </c>
      <c r="K3320">
        <v>10034</v>
      </c>
      <c r="L3320" t="s">
        <v>18958</v>
      </c>
      <c r="M3320" t="s">
        <v>18958</v>
      </c>
      <c r="O3320" t="s">
        <v>26539</v>
      </c>
      <c r="P3320" t="s">
        <v>26565</v>
      </c>
      <c r="Q3320" t="s">
        <v>26571</v>
      </c>
      <c r="R3320" t="s">
        <v>26578</v>
      </c>
      <c r="S3320" t="s">
        <v>18959</v>
      </c>
      <c r="U3320" t="s">
        <v>26604</v>
      </c>
      <c r="W3320" t="s">
        <v>666</v>
      </c>
      <c r="X3320">
        <v>913.12</v>
      </c>
      <c r="Y3320" t="s">
        <v>26651</v>
      </c>
      <c r="Z3320" t="s">
        <v>26659</v>
      </c>
      <c r="AA3320" t="s">
        <v>26682</v>
      </c>
      <c r="AB3320" t="s">
        <v>29541</v>
      </c>
      <c r="AD3320" t="s">
        <v>39610</v>
      </c>
      <c r="AE3320">
        <v>69</v>
      </c>
      <c r="AF3320" t="s">
        <v>45541</v>
      </c>
      <c r="AG3320" t="s">
        <v>45559</v>
      </c>
      <c r="AH3320">
        <v>44</v>
      </c>
      <c r="AI3320">
        <v>1</v>
      </c>
      <c r="AJ3320">
        <v>0</v>
      </c>
      <c r="AK3320">
        <v>55.19</v>
      </c>
      <c r="AN3320" t="s">
        <v>7439</v>
      </c>
      <c r="AO3320">
        <v>6700</v>
      </c>
      <c r="AU3320">
        <v>0.1</v>
      </c>
      <c r="AV3320" t="s">
        <v>26637</v>
      </c>
      <c r="AW3320" t="s">
        <v>46840</v>
      </c>
    </row>
    <row r="3321" spans="1:49">
      <c r="A3321" s="1">
        <f>HYPERLINK("https://lsnyc.legalserver.org/matter/dynamic-profile/view/1884045","18-1884045")</f>
        <v>0</v>
      </c>
      <c r="B3321" t="s">
        <v>169</v>
      </c>
      <c r="C3321" t="s">
        <v>341</v>
      </c>
      <c r="D3321" t="s">
        <v>666</v>
      </c>
      <c r="E3321" t="s">
        <v>779</v>
      </c>
      <c r="F3321" t="s">
        <v>2604</v>
      </c>
      <c r="G3321" t="s">
        <v>5147</v>
      </c>
      <c r="H3321" t="s">
        <v>12256</v>
      </c>
      <c r="I3321" t="s">
        <v>17338</v>
      </c>
      <c r="J3321" t="s">
        <v>18892</v>
      </c>
      <c r="K3321">
        <v>10468</v>
      </c>
      <c r="L3321" t="s">
        <v>18958</v>
      </c>
      <c r="M3321" t="s">
        <v>18958</v>
      </c>
      <c r="O3321" t="s">
        <v>26534</v>
      </c>
      <c r="P3321" t="s">
        <v>26565</v>
      </c>
      <c r="Q3321" t="s">
        <v>26571</v>
      </c>
      <c r="R3321" t="s">
        <v>26578</v>
      </c>
      <c r="S3321" t="s">
        <v>18959</v>
      </c>
      <c r="U3321" t="s">
        <v>26604</v>
      </c>
      <c r="W3321" t="s">
        <v>666</v>
      </c>
      <c r="X3321">
        <v>1500</v>
      </c>
      <c r="Y3321" t="s">
        <v>26650</v>
      </c>
      <c r="Z3321" t="s">
        <v>26663</v>
      </c>
      <c r="AA3321" t="s">
        <v>26683</v>
      </c>
      <c r="AB3321" t="s">
        <v>29542</v>
      </c>
      <c r="AD3321" t="s">
        <v>39611</v>
      </c>
      <c r="AE3321">
        <v>50</v>
      </c>
      <c r="AF3321" t="s">
        <v>20460</v>
      </c>
      <c r="AG3321" t="s">
        <v>19330</v>
      </c>
      <c r="AH3321">
        <v>15</v>
      </c>
      <c r="AI3321">
        <v>2</v>
      </c>
      <c r="AJ3321">
        <v>0</v>
      </c>
      <c r="AK3321">
        <v>95.41</v>
      </c>
      <c r="AN3321" t="s">
        <v>45581</v>
      </c>
      <c r="AO3321">
        <v>15704</v>
      </c>
      <c r="AU3321">
        <v>1.8</v>
      </c>
      <c r="AV3321" t="s">
        <v>779</v>
      </c>
      <c r="AW3321" t="s">
        <v>46847</v>
      </c>
    </row>
    <row r="3322" spans="1:49">
      <c r="A3322" s="1">
        <f>HYPERLINK("https://lsnyc.legalserver.org/matter/dynamic-profile/view/1883994","18-1883994")</f>
        <v>0</v>
      </c>
      <c r="B3322" t="s">
        <v>85</v>
      </c>
      <c r="C3322" t="s">
        <v>341</v>
      </c>
      <c r="D3322" t="s">
        <v>666</v>
      </c>
      <c r="E3322" t="s">
        <v>712</v>
      </c>
      <c r="F3322" t="s">
        <v>2605</v>
      </c>
      <c r="G3322" t="s">
        <v>880</v>
      </c>
      <c r="H3322" t="s">
        <v>12257</v>
      </c>
      <c r="J3322" t="s">
        <v>18910</v>
      </c>
      <c r="K3322">
        <v>11420</v>
      </c>
      <c r="L3322" t="s">
        <v>18958</v>
      </c>
      <c r="M3322" t="s">
        <v>18958</v>
      </c>
      <c r="N3322" t="s">
        <v>21439</v>
      </c>
      <c r="O3322" t="s">
        <v>26524</v>
      </c>
      <c r="P3322" t="s">
        <v>26564</v>
      </c>
      <c r="Q3322" t="s">
        <v>26570</v>
      </c>
      <c r="R3322" t="s">
        <v>26584</v>
      </c>
      <c r="S3322" t="s">
        <v>18959</v>
      </c>
      <c r="U3322" t="s">
        <v>26604</v>
      </c>
      <c r="V3322" t="s">
        <v>26610</v>
      </c>
      <c r="W3322" t="s">
        <v>666</v>
      </c>
      <c r="X3322">
        <v>0</v>
      </c>
      <c r="Y3322" t="s">
        <v>26653</v>
      </c>
      <c r="Z3322" t="s">
        <v>26664</v>
      </c>
      <c r="AA3322" t="s">
        <v>26683</v>
      </c>
      <c r="AB3322" t="s">
        <v>29543</v>
      </c>
      <c r="AD3322" t="s">
        <v>34738</v>
      </c>
      <c r="AE3322">
        <v>2</v>
      </c>
      <c r="AF3322" t="s">
        <v>45547</v>
      </c>
      <c r="AG3322" t="s">
        <v>19330</v>
      </c>
      <c r="AH3322">
        <v>12</v>
      </c>
      <c r="AI3322">
        <v>1</v>
      </c>
      <c r="AJ3322">
        <v>0</v>
      </c>
      <c r="AK3322">
        <v>0</v>
      </c>
      <c r="AN3322" t="s">
        <v>7439</v>
      </c>
      <c r="AO3322">
        <v>0</v>
      </c>
      <c r="AU3322">
        <v>0.45</v>
      </c>
      <c r="AV3322" t="s">
        <v>712</v>
      </c>
      <c r="AW3322" t="s">
        <v>161</v>
      </c>
    </row>
    <row r="3323" spans="1:49">
      <c r="A3323" s="1">
        <f>HYPERLINK("https://lsnyc.legalserver.org/matter/dynamic-profile/view/1883973","18-1883973")</f>
        <v>0</v>
      </c>
      <c r="B3323" t="s">
        <v>85</v>
      </c>
      <c r="C3323" t="s">
        <v>341</v>
      </c>
      <c r="D3323" t="s">
        <v>666</v>
      </c>
      <c r="E3323" t="s">
        <v>712</v>
      </c>
      <c r="F3323" t="s">
        <v>887</v>
      </c>
      <c r="G3323" t="s">
        <v>1685</v>
      </c>
      <c r="H3323" t="s">
        <v>12258</v>
      </c>
      <c r="I3323" t="s">
        <v>17312</v>
      </c>
      <c r="J3323" t="s">
        <v>18915</v>
      </c>
      <c r="K3323">
        <v>11372</v>
      </c>
      <c r="L3323" t="s">
        <v>18958</v>
      </c>
      <c r="M3323" t="s">
        <v>18958</v>
      </c>
      <c r="N3323" t="s">
        <v>21440</v>
      </c>
      <c r="O3323" t="s">
        <v>26523</v>
      </c>
      <c r="P3323" t="s">
        <v>26564</v>
      </c>
      <c r="Q3323" t="s">
        <v>26570</v>
      </c>
      <c r="R3323" t="s">
        <v>26584</v>
      </c>
      <c r="S3323" t="s">
        <v>18959</v>
      </c>
      <c r="U3323" t="s">
        <v>26604</v>
      </c>
      <c r="V3323" t="s">
        <v>26611</v>
      </c>
      <c r="W3323" t="s">
        <v>666</v>
      </c>
      <c r="X3323">
        <v>1085</v>
      </c>
      <c r="Y3323" t="s">
        <v>26653</v>
      </c>
      <c r="Z3323" t="s">
        <v>26664</v>
      </c>
      <c r="AA3323" t="s">
        <v>26683</v>
      </c>
      <c r="AB3323" t="s">
        <v>27119</v>
      </c>
      <c r="AC3323" t="s">
        <v>35488</v>
      </c>
      <c r="AD3323" t="s">
        <v>39612</v>
      </c>
      <c r="AE3323">
        <v>36</v>
      </c>
      <c r="AF3323" t="s">
        <v>45541</v>
      </c>
      <c r="AG3323" t="s">
        <v>19330</v>
      </c>
      <c r="AH3323">
        <v>30</v>
      </c>
      <c r="AI3323">
        <v>1</v>
      </c>
      <c r="AJ3323">
        <v>0</v>
      </c>
      <c r="AK3323">
        <v>0</v>
      </c>
      <c r="AN3323" t="s">
        <v>45581</v>
      </c>
      <c r="AO3323">
        <v>0</v>
      </c>
      <c r="AU3323">
        <v>0.2</v>
      </c>
      <c r="AV3323" t="s">
        <v>712</v>
      </c>
      <c r="AW3323" t="s">
        <v>161</v>
      </c>
    </row>
    <row r="3324" spans="1:49">
      <c r="A3324" s="1">
        <f>HYPERLINK("https://lsnyc.legalserver.org/matter/dynamic-profile/view/1883986","18-1883986")</f>
        <v>0</v>
      </c>
      <c r="B3324" t="s">
        <v>258</v>
      </c>
      <c r="C3324" t="s">
        <v>341</v>
      </c>
      <c r="D3324" t="s">
        <v>666</v>
      </c>
      <c r="E3324" t="s">
        <v>705</v>
      </c>
      <c r="F3324" t="s">
        <v>2606</v>
      </c>
      <c r="G3324" t="s">
        <v>6540</v>
      </c>
      <c r="H3324" t="s">
        <v>12259</v>
      </c>
      <c r="I3324" t="s">
        <v>17298</v>
      </c>
      <c r="J3324" t="s">
        <v>18939</v>
      </c>
      <c r="K3324">
        <v>11423</v>
      </c>
      <c r="L3324" t="s">
        <v>18958</v>
      </c>
      <c r="M3324" t="s">
        <v>18958</v>
      </c>
      <c r="N3324" t="s">
        <v>21441</v>
      </c>
      <c r="O3324" t="s">
        <v>26524</v>
      </c>
      <c r="P3324" t="s">
        <v>26564</v>
      </c>
      <c r="Q3324" t="s">
        <v>26570</v>
      </c>
      <c r="R3324" t="s">
        <v>26584</v>
      </c>
      <c r="S3324" t="s">
        <v>18959</v>
      </c>
      <c r="U3324" t="s">
        <v>26604</v>
      </c>
      <c r="V3324" t="s">
        <v>26610</v>
      </c>
      <c r="W3324" t="s">
        <v>666</v>
      </c>
      <c r="X3324">
        <v>1137</v>
      </c>
      <c r="Y3324" t="s">
        <v>26653</v>
      </c>
      <c r="Z3324" t="s">
        <v>26664</v>
      </c>
      <c r="AA3324" t="s">
        <v>26683</v>
      </c>
      <c r="AB3324" t="s">
        <v>29544</v>
      </c>
      <c r="AC3324" t="s">
        <v>35489</v>
      </c>
      <c r="AD3324" t="s">
        <v>39613</v>
      </c>
      <c r="AE3324">
        <v>96</v>
      </c>
      <c r="AF3324" t="s">
        <v>45541</v>
      </c>
      <c r="AG3324" t="s">
        <v>19330</v>
      </c>
      <c r="AH3324">
        <v>3</v>
      </c>
      <c r="AI3324">
        <v>2</v>
      </c>
      <c r="AJ3324">
        <v>0</v>
      </c>
      <c r="AK3324">
        <v>297.38</v>
      </c>
      <c r="AN3324" t="s">
        <v>7439</v>
      </c>
      <c r="AO3324">
        <v>48948</v>
      </c>
      <c r="AU3324">
        <v>1.11</v>
      </c>
      <c r="AV3324" t="s">
        <v>452</v>
      </c>
      <c r="AW3324" t="s">
        <v>161</v>
      </c>
    </row>
    <row r="3325" spans="1:49">
      <c r="A3325" s="1">
        <f>HYPERLINK("https://lsnyc.legalserver.org/matter/dynamic-profile/view/1873278","18-1873278")</f>
        <v>0</v>
      </c>
      <c r="B3325" t="s">
        <v>258</v>
      </c>
      <c r="C3325" t="s">
        <v>341</v>
      </c>
      <c r="D3325" t="s">
        <v>666</v>
      </c>
      <c r="E3325" t="s">
        <v>705</v>
      </c>
      <c r="F3325" t="s">
        <v>2607</v>
      </c>
      <c r="G3325" t="s">
        <v>5761</v>
      </c>
      <c r="H3325" t="s">
        <v>12260</v>
      </c>
      <c r="I3325" t="s">
        <v>17415</v>
      </c>
      <c r="J3325" t="s">
        <v>18901</v>
      </c>
      <c r="K3325">
        <v>11434</v>
      </c>
      <c r="L3325" t="s">
        <v>18958</v>
      </c>
      <c r="M3325" t="s">
        <v>18958</v>
      </c>
      <c r="N3325" t="s">
        <v>21442</v>
      </c>
      <c r="O3325" t="s">
        <v>26524</v>
      </c>
      <c r="P3325" t="s">
        <v>26564</v>
      </c>
      <c r="Q3325" t="s">
        <v>26570</v>
      </c>
      <c r="R3325" t="s">
        <v>26585</v>
      </c>
      <c r="S3325" t="s">
        <v>18959</v>
      </c>
      <c r="U3325" t="s">
        <v>26604</v>
      </c>
      <c r="V3325" t="s">
        <v>26610</v>
      </c>
      <c r="W3325" t="s">
        <v>666</v>
      </c>
      <c r="X3325">
        <v>1050</v>
      </c>
      <c r="Y3325" t="s">
        <v>26653</v>
      </c>
      <c r="Z3325" t="s">
        <v>26664</v>
      </c>
      <c r="AA3325" t="s">
        <v>26683</v>
      </c>
      <c r="AB3325" t="s">
        <v>29545</v>
      </c>
      <c r="AD3325" t="s">
        <v>39614</v>
      </c>
      <c r="AE3325">
        <v>3</v>
      </c>
      <c r="AF3325" t="s">
        <v>45547</v>
      </c>
      <c r="AG3325" t="s">
        <v>19330</v>
      </c>
      <c r="AH3325">
        <v>17</v>
      </c>
      <c r="AI3325">
        <v>2</v>
      </c>
      <c r="AJ3325">
        <v>0</v>
      </c>
      <c r="AK3325">
        <v>182.26</v>
      </c>
      <c r="AN3325" t="s">
        <v>7439</v>
      </c>
      <c r="AO3325">
        <v>30000</v>
      </c>
      <c r="AU3325">
        <v>0.83</v>
      </c>
      <c r="AV3325" t="s">
        <v>652</v>
      </c>
      <c r="AW3325" t="s">
        <v>161</v>
      </c>
    </row>
    <row r="3326" spans="1:49">
      <c r="A3326" s="1">
        <f>HYPERLINK("https://lsnyc.legalserver.org/matter/dynamic-profile/view/1883936","18-1883936")</f>
        <v>0</v>
      </c>
      <c r="B3326" t="s">
        <v>74</v>
      </c>
      <c r="C3326" t="s">
        <v>341</v>
      </c>
      <c r="D3326" t="s">
        <v>666</v>
      </c>
      <c r="E3326" t="s">
        <v>652</v>
      </c>
      <c r="F3326" t="s">
        <v>896</v>
      </c>
      <c r="G3326" t="s">
        <v>5731</v>
      </c>
      <c r="H3326" t="s">
        <v>10374</v>
      </c>
      <c r="I3326">
        <v>55</v>
      </c>
      <c r="J3326" t="s">
        <v>18893</v>
      </c>
      <c r="K3326">
        <v>10034</v>
      </c>
      <c r="L3326" t="s">
        <v>18958</v>
      </c>
      <c r="M3326" t="s">
        <v>18958</v>
      </c>
      <c r="P3326" t="s">
        <v>26565</v>
      </c>
      <c r="Q3326" t="s">
        <v>26571</v>
      </c>
      <c r="R3326" t="s">
        <v>26578</v>
      </c>
      <c r="S3326" t="s">
        <v>18959</v>
      </c>
      <c r="U3326" t="s">
        <v>26604</v>
      </c>
      <c r="W3326" t="s">
        <v>666</v>
      </c>
      <c r="X3326">
        <v>856</v>
      </c>
      <c r="Y3326" t="s">
        <v>26651</v>
      </c>
      <c r="Z3326" t="s">
        <v>26661</v>
      </c>
      <c r="AA3326" t="s">
        <v>26682</v>
      </c>
      <c r="AB3326" t="s">
        <v>29546</v>
      </c>
      <c r="AD3326" t="s">
        <v>39615</v>
      </c>
      <c r="AE3326">
        <v>25</v>
      </c>
      <c r="AF3326" t="s">
        <v>45541</v>
      </c>
      <c r="AG3326" t="s">
        <v>45556</v>
      </c>
      <c r="AH3326">
        <v>43</v>
      </c>
      <c r="AI3326">
        <v>1</v>
      </c>
      <c r="AJ3326">
        <v>0</v>
      </c>
      <c r="AK3326">
        <v>85.59999999999999</v>
      </c>
      <c r="AN3326" t="s">
        <v>45581</v>
      </c>
      <c r="AO3326">
        <v>10392</v>
      </c>
      <c r="AU3326">
        <v>1</v>
      </c>
      <c r="AV3326" t="s">
        <v>666</v>
      </c>
      <c r="AW3326" t="s">
        <v>46840</v>
      </c>
    </row>
    <row r="3327" spans="1:49">
      <c r="A3327" s="1">
        <f>HYPERLINK("https://lsnyc.legalserver.org/matter/dynamic-profile/view/1884001","18-1884001")</f>
        <v>0</v>
      </c>
      <c r="B3327" t="s">
        <v>79</v>
      </c>
      <c r="C3327" t="s">
        <v>341</v>
      </c>
      <c r="D3327" t="s">
        <v>666</v>
      </c>
      <c r="E3327" t="s">
        <v>709</v>
      </c>
      <c r="F3327" t="s">
        <v>2608</v>
      </c>
      <c r="G3327" t="s">
        <v>6841</v>
      </c>
      <c r="H3327" t="s">
        <v>12261</v>
      </c>
      <c r="I3327" t="s">
        <v>17388</v>
      </c>
      <c r="J3327" t="s">
        <v>18893</v>
      </c>
      <c r="K3327">
        <v>10002</v>
      </c>
      <c r="L3327" t="s">
        <v>18958</v>
      </c>
      <c r="M3327" t="s">
        <v>18958</v>
      </c>
      <c r="O3327" t="s">
        <v>18997</v>
      </c>
      <c r="P3327" t="s">
        <v>26564</v>
      </c>
      <c r="Q3327" t="s">
        <v>26570</v>
      </c>
      <c r="R3327" t="s">
        <v>26578</v>
      </c>
      <c r="S3327" t="s">
        <v>18959</v>
      </c>
      <c r="U3327" t="s">
        <v>26604</v>
      </c>
      <c r="W3327" t="s">
        <v>666</v>
      </c>
      <c r="X3327">
        <v>756</v>
      </c>
      <c r="Y3327" t="s">
        <v>26651</v>
      </c>
      <c r="Z3327" t="s">
        <v>26661</v>
      </c>
      <c r="AA3327" t="s">
        <v>26683</v>
      </c>
      <c r="AB3327" t="s">
        <v>29547</v>
      </c>
      <c r="AC3327" t="s">
        <v>35490</v>
      </c>
      <c r="AD3327" t="s">
        <v>39616</v>
      </c>
      <c r="AE3327">
        <v>20</v>
      </c>
      <c r="AF3327" t="s">
        <v>45548</v>
      </c>
      <c r="AG3327" t="s">
        <v>19330</v>
      </c>
      <c r="AH3327">
        <v>8</v>
      </c>
      <c r="AI3327">
        <v>1</v>
      </c>
      <c r="AJ3327">
        <v>0</v>
      </c>
      <c r="AK3327">
        <v>19.77</v>
      </c>
      <c r="AN3327" t="s">
        <v>7439</v>
      </c>
      <c r="AO3327">
        <v>2400</v>
      </c>
      <c r="AU3327">
        <v>1.8</v>
      </c>
      <c r="AV3327" t="s">
        <v>709</v>
      </c>
      <c r="AW3327" t="s">
        <v>46840</v>
      </c>
    </row>
    <row r="3328" spans="1:49">
      <c r="A3328" s="1">
        <f>HYPERLINK("https://lsnyc.legalserver.org/matter/dynamic-profile/view/1883969","18-1883969")</f>
        <v>0</v>
      </c>
      <c r="B3328" t="s">
        <v>141</v>
      </c>
      <c r="C3328" t="s">
        <v>341</v>
      </c>
      <c r="D3328" t="s">
        <v>666</v>
      </c>
      <c r="E3328" t="s">
        <v>751</v>
      </c>
      <c r="F3328" t="s">
        <v>1171</v>
      </c>
      <c r="G3328" t="s">
        <v>5266</v>
      </c>
      <c r="H3328" t="s">
        <v>9974</v>
      </c>
      <c r="I3328" t="s">
        <v>17429</v>
      </c>
      <c r="J3328" t="s">
        <v>18905</v>
      </c>
      <c r="K3328">
        <v>11692</v>
      </c>
      <c r="L3328" t="s">
        <v>18958</v>
      </c>
      <c r="M3328" t="s">
        <v>18958</v>
      </c>
      <c r="N3328" t="s">
        <v>21443</v>
      </c>
      <c r="O3328" t="s">
        <v>26524</v>
      </c>
      <c r="P3328" t="s">
        <v>26560</v>
      </c>
      <c r="Q3328" t="s">
        <v>26568</v>
      </c>
      <c r="R3328" t="s">
        <v>26578</v>
      </c>
      <c r="S3328" t="s">
        <v>18959</v>
      </c>
      <c r="U3328" t="s">
        <v>26604</v>
      </c>
      <c r="V3328" t="s">
        <v>26610</v>
      </c>
      <c r="W3328" t="s">
        <v>666</v>
      </c>
      <c r="X3328">
        <v>1700</v>
      </c>
      <c r="Y3328" t="s">
        <v>26653</v>
      </c>
      <c r="Z3328" t="s">
        <v>26664</v>
      </c>
      <c r="AA3328" t="s">
        <v>26678</v>
      </c>
      <c r="AB3328" t="s">
        <v>27061</v>
      </c>
      <c r="AC3328" t="s">
        <v>35491</v>
      </c>
      <c r="AD3328" t="s">
        <v>39617</v>
      </c>
      <c r="AE3328">
        <v>3</v>
      </c>
      <c r="AF3328" t="s">
        <v>45547</v>
      </c>
      <c r="AG3328" t="s">
        <v>19330</v>
      </c>
      <c r="AH3328">
        <v>7</v>
      </c>
      <c r="AI3328">
        <v>1</v>
      </c>
      <c r="AJ3328">
        <v>3</v>
      </c>
      <c r="AK3328">
        <v>36</v>
      </c>
      <c r="AN3328" t="s">
        <v>7439</v>
      </c>
      <c r="AO3328">
        <v>9036</v>
      </c>
      <c r="AQ3328" t="s">
        <v>46361</v>
      </c>
      <c r="AR3328" t="s">
        <v>46379</v>
      </c>
      <c r="AS3328" t="s">
        <v>46499</v>
      </c>
      <c r="AT3328" t="s">
        <v>46759</v>
      </c>
      <c r="AU3328">
        <v>24.05</v>
      </c>
      <c r="AV3328" t="s">
        <v>784</v>
      </c>
      <c r="AW3328" t="s">
        <v>161</v>
      </c>
    </row>
    <row r="3329" spans="1:49">
      <c r="A3329" s="1">
        <f>HYPERLINK("https://lsnyc.legalserver.org/matter/dynamic-profile/view/1884010","18-1884010")</f>
        <v>0</v>
      </c>
      <c r="B3329" t="s">
        <v>110</v>
      </c>
      <c r="C3329" t="s">
        <v>341</v>
      </c>
      <c r="D3329" t="s">
        <v>666</v>
      </c>
      <c r="E3329" t="s">
        <v>705</v>
      </c>
      <c r="F3329" t="s">
        <v>2609</v>
      </c>
      <c r="G3329" t="s">
        <v>6842</v>
      </c>
      <c r="H3329" t="s">
        <v>11166</v>
      </c>
      <c r="I3329">
        <v>13</v>
      </c>
      <c r="J3329" t="s">
        <v>18909</v>
      </c>
      <c r="K3329">
        <v>11102</v>
      </c>
      <c r="L3329" t="s">
        <v>18958</v>
      </c>
      <c r="M3329" t="s">
        <v>18958</v>
      </c>
      <c r="N3329" t="s">
        <v>21444</v>
      </c>
      <c r="O3329" t="s">
        <v>26523</v>
      </c>
      <c r="P3329" t="s">
        <v>26564</v>
      </c>
      <c r="Q3329" t="s">
        <v>26570</v>
      </c>
      <c r="R3329" t="s">
        <v>26584</v>
      </c>
      <c r="S3329" t="s">
        <v>18959</v>
      </c>
      <c r="U3329" t="s">
        <v>26604</v>
      </c>
      <c r="V3329" t="s">
        <v>26609</v>
      </c>
      <c r="W3329" t="s">
        <v>666</v>
      </c>
      <c r="X3329">
        <v>1425</v>
      </c>
      <c r="Y3329" t="s">
        <v>26653</v>
      </c>
      <c r="Z3329" t="s">
        <v>26664</v>
      </c>
      <c r="AA3329" t="s">
        <v>26683</v>
      </c>
      <c r="AB3329" t="s">
        <v>28313</v>
      </c>
      <c r="AC3329" t="s">
        <v>19045</v>
      </c>
      <c r="AD3329" t="s">
        <v>39618</v>
      </c>
      <c r="AE3329">
        <v>16</v>
      </c>
      <c r="AF3329" t="s">
        <v>45541</v>
      </c>
      <c r="AG3329" t="s">
        <v>19330</v>
      </c>
      <c r="AH3329">
        <v>2</v>
      </c>
      <c r="AI3329">
        <v>2</v>
      </c>
      <c r="AJ3329">
        <v>2</v>
      </c>
      <c r="AK3329">
        <v>47.81</v>
      </c>
      <c r="AN3329" t="s">
        <v>7439</v>
      </c>
      <c r="AO3329">
        <v>12000</v>
      </c>
      <c r="AU3329">
        <v>1</v>
      </c>
      <c r="AV3329" t="s">
        <v>652</v>
      </c>
      <c r="AW3329" t="s">
        <v>161</v>
      </c>
    </row>
    <row r="3330" spans="1:49">
      <c r="A3330" s="1">
        <f>HYPERLINK("https://lsnyc.legalserver.org/matter/dynamic-profile/view/1884006","18-1884006")</f>
        <v>0</v>
      </c>
      <c r="B3330" t="s">
        <v>110</v>
      </c>
      <c r="C3330" t="s">
        <v>341</v>
      </c>
      <c r="D3330" t="s">
        <v>666</v>
      </c>
      <c r="E3330" t="s">
        <v>705</v>
      </c>
      <c r="F3330" t="s">
        <v>2610</v>
      </c>
      <c r="G3330" t="s">
        <v>5394</v>
      </c>
      <c r="H3330" t="s">
        <v>12262</v>
      </c>
      <c r="I3330">
        <v>2</v>
      </c>
      <c r="J3330" t="s">
        <v>18926</v>
      </c>
      <c r="K3330">
        <v>11378</v>
      </c>
      <c r="L3330" t="s">
        <v>18958</v>
      </c>
      <c r="M3330" t="s">
        <v>18958</v>
      </c>
      <c r="N3330" t="s">
        <v>21445</v>
      </c>
      <c r="O3330" t="s">
        <v>26523</v>
      </c>
      <c r="P3330" t="s">
        <v>26564</v>
      </c>
      <c r="Q3330" t="s">
        <v>26570</v>
      </c>
      <c r="R3330" t="s">
        <v>26584</v>
      </c>
      <c r="U3330" t="s">
        <v>26604</v>
      </c>
      <c r="V3330" t="s">
        <v>26612</v>
      </c>
      <c r="W3330" t="s">
        <v>666</v>
      </c>
      <c r="X3330">
        <v>2300</v>
      </c>
      <c r="Y3330" t="s">
        <v>26653</v>
      </c>
      <c r="Z3330" t="s">
        <v>26664</v>
      </c>
      <c r="AA3330" t="s">
        <v>26683</v>
      </c>
      <c r="AB3330" t="s">
        <v>29548</v>
      </c>
      <c r="AC3330" t="s">
        <v>19045</v>
      </c>
      <c r="AD3330" t="s">
        <v>39619</v>
      </c>
      <c r="AE3330">
        <v>2</v>
      </c>
      <c r="AG3330" t="s">
        <v>19330</v>
      </c>
      <c r="AH3330">
        <v>2</v>
      </c>
      <c r="AI3330">
        <v>2</v>
      </c>
      <c r="AJ3330">
        <v>2</v>
      </c>
      <c r="AK3330">
        <v>134.66</v>
      </c>
      <c r="AN3330" t="s">
        <v>7439</v>
      </c>
      <c r="AO3330">
        <v>33800</v>
      </c>
      <c r="AU3330">
        <v>1</v>
      </c>
      <c r="AV3330" t="s">
        <v>652</v>
      </c>
      <c r="AW3330" t="s">
        <v>161</v>
      </c>
    </row>
    <row r="3331" spans="1:49">
      <c r="A3331" s="1">
        <f>HYPERLINK("https://lsnyc.legalserver.org/matter/dynamic-profile/view/1884071","18-1884071")</f>
        <v>0</v>
      </c>
      <c r="B3331" t="s">
        <v>120</v>
      </c>
      <c r="C3331" t="s">
        <v>341</v>
      </c>
      <c r="D3331" t="s">
        <v>666</v>
      </c>
      <c r="E3331" t="s">
        <v>780</v>
      </c>
      <c r="F3331" t="s">
        <v>2611</v>
      </c>
      <c r="G3331" t="s">
        <v>6843</v>
      </c>
      <c r="H3331" t="s">
        <v>12263</v>
      </c>
      <c r="I3331" t="s">
        <v>17950</v>
      </c>
      <c r="J3331" t="s">
        <v>18892</v>
      </c>
      <c r="K3331">
        <v>10461</v>
      </c>
      <c r="L3331" t="s">
        <v>18958</v>
      </c>
      <c r="M3331" t="s">
        <v>18958</v>
      </c>
      <c r="N3331" t="s">
        <v>21446</v>
      </c>
      <c r="O3331" t="s">
        <v>26524</v>
      </c>
      <c r="P3331" t="s">
        <v>26560</v>
      </c>
      <c r="Q3331" t="s">
        <v>26568</v>
      </c>
      <c r="R3331" t="s">
        <v>26577</v>
      </c>
      <c r="S3331" t="s">
        <v>18959</v>
      </c>
      <c r="U3331" t="s">
        <v>26604</v>
      </c>
      <c r="V3331" t="s">
        <v>26610</v>
      </c>
      <c r="W3331" t="s">
        <v>666</v>
      </c>
      <c r="X3331">
        <v>1118.78</v>
      </c>
      <c r="Y3331" t="s">
        <v>26650</v>
      </c>
      <c r="Z3331" t="s">
        <v>26659</v>
      </c>
      <c r="AA3331" t="s">
        <v>26678</v>
      </c>
      <c r="AB3331" t="s">
        <v>26758</v>
      </c>
      <c r="AC3331" t="s">
        <v>35492</v>
      </c>
      <c r="AD3331" t="s">
        <v>39620</v>
      </c>
      <c r="AE3331">
        <v>4</v>
      </c>
      <c r="AF3331" t="s">
        <v>45541</v>
      </c>
      <c r="AG3331" t="s">
        <v>19330</v>
      </c>
      <c r="AH3331">
        <v>12</v>
      </c>
      <c r="AI3331">
        <v>3</v>
      </c>
      <c r="AJ3331">
        <v>6</v>
      </c>
      <c r="AK3331">
        <v>22.1</v>
      </c>
      <c r="AN3331" t="s">
        <v>7439</v>
      </c>
      <c r="AO3331">
        <v>10320</v>
      </c>
      <c r="AP3331" t="s">
        <v>45787</v>
      </c>
      <c r="AQ3331" t="s">
        <v>46359</v>
      </c>
      <c r="AR3331" t="s">
        <v>46379</v>
      </c>
      <c r="AS3331" t="s">
        <v>46499</v>
      </c>
      <c r="AT3331" t="s">
        <v>46698</v>
      </c>
      <c r="AU3331">
        <v>7.4</v>
      </c>
      <c r="AV3331" t="s">
        <v>714</v>
      </c>
      <c r="AW3331" t="s">
        <v>46847</v>
      </c>
    </row>
    <row r="3332" spans="1:49">
      <c r="A3332" s="1">
        <f>HYPERLINK("https://lsnyc.legalserver.org/matter/dynamic-profile/view/1884013","18-1884013")</f>
        <v>0</v>
      </c>
      <c r="B3332" t="s">
        <v>207</v>
      </c>
      <c r="C3332" t="s">
        <v>341</v>
      </c>
      <c r="D3332" t="s">
        <v>666</v>
      </c>
      <c r="E3332" t="s">
        <v>694</v>
      </c>
      <c r="F3332" t="s">
        <v>886</v>
      </c>
      <c r="G3332" t="s">
        <v>6844</v>
      </c>
      <c r="H3332" t="s">
        <v>12264</v>
      </c>
      <c r="I3332" t="s">
        <v>17347</v>
      </c>
      <c r="J3332" t="s">
        <v>18894</v>
      </c>
      <c r="K3332">
        <v>11221</v>
      </c>
      <c r="L3332" t="s">
        <v>18958</v>
      </c>
      <c r="M3332" t="s">
        <v>18960</v>
      </c>
      <c r="N3332" t="s">
        <v>21447</v>
      </c>
      <c r="O3332" t="s">
        <v>26523</v>
      </c>
      <c r="P3332" t="s">
        <v>26564</v>
      </c>
      <c r="Q3332" t="s">
        <v>26573</v>
      </c>
      <c r="R3332" t="s">
        <v>26588</v>
      </c>
      <c r="U3332" t="s">
        <v>26604</v>
      </c>
      <c r="W3332" t="s">
        <v>666</v>
      </c>
      <c r="X3332">
        <v>1437.82</v>
      </c>
      <c r="Y3332" t="s">
        <v>26652</v>
      </c>
      <c r="Z3332" t="s">
        <v>26659</v>
      </c>
      <c r="AA3332" t="s">
        <v>26678</v>
      </c>
      <c r="AB3332" t="s">
        <v>29549</v>
      </c>
      <c r="AC3332" t="s">
        <v>35493</v>
      </c>
      <c r="AD3332" t="s">
        <v>39621</v>
      </c>
      <c r="AE3332">
        <v>0</v>
      </c>
      <c r="AG3332" t="s">
        <v>45556</v>
      </c>
      <c r="AH3332">
        <v>16</v>
      </c>
      <c r="AI3332">
        <v>2</v>
      </c>
      <c r="AJ3332">
        <v>1</v>
      </c>
      <c r="AK3332">
        <v>14.51</v>
      </c>
      <c r="AN3332" t="s">
        <v>7439</v>
      </c>
      <c r="AO3332">
        <v>3016</v>
      </c>
      <c r="AS3332" t="s">
        <v>46499</v>
      </c>
      <c r="AT3332" t="s">
        <v>46669</v>
      </c>
      <c r="AU3332">
        <v>9.300000000000001</v>
      </c>
      <c r="AV3332" t="s">
        <v>694</v>
      </c>
      <c r="AW3332" t="s">
        <v>46856</v>
      </c>
    </row>
    <row r="3333" spans="1:49">
      <c r="A3333" s="1">
        <f>HYPERLINK("https://lsnyc.legalserver.org/matter/dynamic-profile/view/1883972","18-1883972")</f>
        <v>0</v>
      </c>
      <c r="B3333" t="s">
        <v>51</v>
      </c>
      <c r="C3333" t="s">
        <v>341</v>
      </c>
      <c r="D3333" t="s">
        <v>666</v>
      </c>
      <c r="E3333" t="s">
        <v>829</v>
      </c>
      <c r="F3333" t="s">
        <v>887</v>
      </c>
      <c r="G3333" t="s">
        <v>6845</v>
      </c>
      <c r="H3333" t="s">
        <v>12265</v>
      </c>
      <c r="I3333" t="s">
        <v>17352</v>
      </c>
      <c r="J3333" t="s">
        <v>18892</v>
      </c>
      <c r="K3333">
        <v>10467</v>
      </c>
      <c r="L3333" t="s">
        <v>18958</v>
      </c>
      <c r="M3333" t="s">
        <v>18958</v>
      </c>
      <c r="N3333" t="s">
        <v>21448</v>
      </c>
      <c r="O3333" t="s">
        <v>26523</v>
      </c>
      <c r="P3333" t="s">
        <v>26560</v>
      </c>
      <c r="Q3333" t="s">
        <v>26568</v>
      </c>
      <c r="R3333" t="s">
        <v>26579</v>
      </c>
      <c r="S3333" t="s">
        <v>18959</v>
      </c>
      <c r="U3333" t="s">
        <v>26604</v>
      </c>
      <c r="V3333" t="s">
        <v>26610</v>
      </c>
      <c r="W3333" t="s">
        <v>666</v>
      </c>
      <c r="X3333">
        <v>1533.94</v>
      </c>
      <c r="Y3333" t="s">
        <v>26650</v>
      </c>
      <c r="Z3333" t="s">
        <v>26668</v>
      </c>
      <c r="AA3333" t="s">
        <v>26678</v>
      </c>
      <c r="AB3333" t="s">
        <v>29550</v>
      </c>
      <c r="AC3333" t="s">
        <v>35494</v>
      </c>
      <c r="AD3333" t="s">
        <v>39622</v>
      </c>
      <c r="AE3333">
        <v>0</v>
      </c>
      <c r="AF3333" t="s">
        <v>45541</v>
      </c>
      <c r="AG3333" t="s">
        <v>45562</v>
      </c>
      <c r="AH3333">
        <v>4</v>
      </c>
      <c r="AI3333">
        <v>1</v>
      </c>
      <c r="AJ3333">
        <v>2</v>
      </c>
      <c r="AK3333">
        <v>57.71</v>
      </c>
      <c r="AN3333" t="s">
        <v>7439</v>
      </c>
      <c r="AO3333">
        <v>11992</v>
      </c>
      <c r="AR3333" t="s">
        <v>46380</v>
      </c>
      <c r="AS3333" t="s">
        <v>46499</v>
      </c>
      <c r="AT3333" t="s">
        <v>46668</v>
      </c>
      <c r="AU3333">
        <v>11.25</v>
      </c>
      <c r="AV3333" t="s">
        <v>810</v>
      </c>
      <c r="AW3333" t="s">
        <v>46832</v>
      </c>
    </row>
    <row r="3334" spans="1:49">
      <c r="A3334" s="1">
        <f>HYPERLINK("https://lsnyc.legalserver.org/matter/dynamic-profile/view/1877595","18-1877595")</f>
        <v>0</v>
      </c>
      <c r="B3334" t="s">
        <v>221</v>
      </c>
      <c r="C3334" t="s">
        <v>341</v>
      </c>
      <c r="D3334" t="s">
        <v>666</v>
      </c>
      <c r="E3334" t="s">
        <v>697</v>
      </c>
      <c r="F3334" t="s">
        <v>880</v>
      </c>
      <c r="G3334" t="s">
        <v>6846</v>
      </c>
      <c r="H3334" t="s">
        <v>12266</v>
      </c>
      <c r="I3334" t="s">
        <v>17469</v>
      </c>
      <c r="J3334" t="s">
        <v>18914</v>
      </c>
      <c r="K3334">
        <v>11104</v>
      </c>
      <c r="L3334" t="s">
        <v>18958</v>
      </c>
      <c r="M3334" t="s">
        <v>18958</v>
      </c>
      <c r="N3334" t="s">
        <v>21449</v>
      </c>
      <c r="O3334" t="s">
        <v>26523</v>
      </c>
      <c r="P3334" t="s">
        <v>26564</v>
      </c>
      <c r="Q3334" t="s">
        <v>26570</v>
      </c>
      <c r="R3334" t="s">
        <v>26584</v>
      </c>
      <c r="S3334" t="s">
        <v>18959</v>
      </c>
      <c r="U3334" t="s">
        <v>26604</v>
      </c>
      <c r="V3334" t="s">
        <v>26612</v>
      </c>
      <c r="W3334" t="s">
        <v>666</v>
      </c>
      <c r="X3334">
        <v>1305</v>
      </c>
      <c r="Y3334" t="s">
        <v>26653</v>
      </c>
      <c r="Z3334" t="s">
        <v>26664</v>
      </c>
      <c r="AA3334" t="s">
        <v>26683</v>
      </c>
      <c r="AB3334" t="s">
        <v>29551</v>
      </c>
      <c r="AD3334" t="s">
        <v>39623</v>
      </c>
      <c r="AE3334">
        <v>40</v>
      </c>
      <c r="AF3334" t="s">
        <v>45541</v>
      </c>
      <c r="AG3334" t="s">
        <v>19330</v>
      </c>
      <c r="AH3334">
        <v>19</v>
      </c>
      <c r="AI3334">
        <v>3</v>
      </c>
      <c r="AJ3334">
        <v>1</v>
      </c>
      <c r="AK3334">
        <v>124.3</v>
      </c>
      <c r="AN3334" t="s">
        <v>7439</v>
      </c>
      <c r="AO3334">
        <v>31200</v>
      </c>
      <c r="AU3334">
        <v>1</v>
      </c>
      <c r="AV3334" t="s">
        <v>697</v>
      </c>
      <c r="AW3334" t="s">
        <v>161</v>
      </c>
    </row>
    <row r="3335" spans="1:49">
      <c r="A3335" s="1">
        <f>HYPERLINK("https://lsnyc.legalserver.org/matter/dynamic-profile/view/1883976","18-1883976")</f>
        <v>0</v>
      </c>
      <c r="B3335" t="s">
        <v>221</v>
      </c>
      <c r="C3335" t="s">
        <v>341</v>
      </c>
      <c r="D3335" t="s">
        <v>666</v>
      </c>
      <c r="E3335" t="s">
        <v>678</v>
      </c>
      <c r="F3335" t="s">
        <v>1240</v>
      </c>
      <c r="G3335" t="s">
        <v>6847</v>
      </c>
      <c r="H3335" t="s">
        <v>12267</v>
      </c>
      <c r="I3335" t="s">
        <v>17427</v>
      </c>
      <c r="J3335" t="s">
        <v>18929</v>
      </c>
      <c r="K3335">
        <v>11379</v>
      </c>
      <c r="L3335" t="s">
        <v>18958</v>
      </c>
      <c r="M3335" t="s">
        <v>18958</v>
      </c>
      <c r="N3335" t="s">
        <v>21450</v>
      </c>
      <c r="O3335" t="s">
        <v>26524</v>
      </c>
      <c r="P3335" t="s">
        <v>26564</v>
      </c>
      <c r="Q3335" t="s">
        <v>26570</v>
      </c>
      <c r="R3335" t="s">
        <v>26584</v>
      </c>
      <c r="S3335" t="s">
        <v>18959</v>
      </c>
      <c r="U3335" t="s">
        <v>26604</v>
      </c>
      <c r="V3335" t="s">
        <v>26610</v>
      </c>
      <c r="W3335" t="s">
        <v>666</v>
      </c>
      <c r="X3335">
        <v>0</v>
      </c>
      <c r="Y3335" t="s">
        <v>26653</v>
      </c>
      <c r="Z3335" t="s">
        <v>26664</v>
      </c>
      <c r="AA3335" t="s">
        <v>26683</v>
      </c>
      <c r="AB3335" t="s">
        <v>29552</v>
      </c>
      <c r="AD3335" t="s">
        <v>39624</v>
      </c>
      <c r="AE3335">
        <v>2</v>
      </c>
      <c r="AF3335" t="s">
        <v>45547</v>
      </c>
      <c r="AG3335" t="s">
        <v>19330</v>
      </c>
      <c r="AH3335">
        <v>15</v>
      </c>
      <c r="AI3335">
        <v>2</v>
      </c>
      <c r="AJ3335">
        <v>0</v>
      </c>
      <c r="AK3335">
        <v>151.88</v>
      </c>
      <c r="AN3335" t="s">
        <v>45581</v>
      </c>
      <c r="AO3335">
        <v>25000</v>
      </c>
      <c r="AU3335">
        <v>2.2</v>
      </c>
      <c r="AV3335" t="s">
        <v>678</v>
      </c>
      <c r="AW3335" t="s">
        <v>161</v>
      </c>
    </row>
    <row r="3336" spans="1:49">
      <c r="A3336" s="1">
        <f>HYPERLINK("https://lsnyc.legalserver.org/matter/dynamic-profile/view/1884051","18-1884051")</f>
        <v>0</v>
      </c>
      <c r="B3336" t="s">
        <v>165</v>
      </c>
      <c r="C3336" t="s">
        <v>340</v>
      </c>
      <c r="D3336" t="s">
        <v>666</v>
      </c>
      <c r="F3336" t="s">
        <v>2612</v>
      </c>
      <c r="G3336" t="s">
        <v>5677</v>
      </c>
      <c r="H3336" t="s">
        <v>12268</v>
      </c>
      <c r="I3336" t="s">
        <v>17483</v>
      </c>
      <c r="J3336" t="s">
        <v>18893</v>
      </c>
      <c r="K3336">
        <v>10025</v>
      </c>
      <c r="L3336" t="s">
        <v>18958</v>
      </c>
      <c r="M3336" t="s">
        <v>18958</v>
      </c>
      <c r="N3336" t="s">
        <v>21451</v>
      </c>
      <c r="O3336" t="s">
        <v>26523</v>
      </c>
      <c r="P3336" t="s">
        <v>26560</v>
      </c>
      <c r="R3336" t="s">
        <v>26580</v>
      </c>
      <c r="S3336" t="s">
        <v>18959</v>
      </c>
      <c r="U3336" t="s">
        <v>26605</v>
      </c>
      <c r="V3336" t="s">
        <v>26610</v>
      </c>
      <c r="W3336" t="s">
        <v>666</v>
      </c>
      <c r="X3336">
        <v>283</v>
      </c>
      <c r="Y3336" t="s">
        <v>26651</v>
      </c>
      <c r="Z3336" t="s">
        <v>26664</v>
      </c>
      <c r="AB3336" t="s">
        <v>29553</v>
      </c>
      <c r="AD3336" t="s">
        <v>39625</v>
      </c>
      <c r="AE3336">
        <v>222</v>
      </c>
      <c r="AF3336" t="s">
        <v>45542</v>
      </c>
      <c r="AH3336">
        <v>5</v>
      </c>
      <c r="AI3336">
        <v>2</v>
      </c>
      <c r="AJ3336">
        <v>1</v>
      </c>
      <c r="AK3336">
        <v>0</v>
      </c>
      <c r="AN3336" t="s">
        <v>7439</v>
      </c>
      <c r="AO3336">
        <v>0</v>
      </c>
      <c r="AU3336">
        <v>7.3</v>
      </c>
      <c r="AV3336" t="s">
        <v>794</v>
      </c>
      <c r="AW3336" t="s">
        <v>46835</v>
      </c>
    </row>
    <row r="3337" spans="1:49">
      <c r="A3337" s="1">
        <f>HYPERLINK("https://lsnyc.legalserver.org/matter/dynamic-profile/view/1883940","18-1883940")</f>
        <v>0</v>
      </c>
      <c r="B3337" t="s">
        <v>97</v>
      </c>
      <c r="C3337" t="s">
        <v>340</v>
      </c>
      <c r="D3337" t="s">
        <v>666</v>
      </c>
      <c r="F3337" t="s">
        <v>2613</v>
      </c>
      <c r="G3337" t="s">
        <v>5081</v>
      </c>
      <c r="H3337" t="s">
        <v>12269</v>
      </c>
      <c r="I3337">
        <v>1</v>
      </c>
      <c r="J3337" t="s">
        <v>18892</v>
      </c>
      <c r="K3337">
        <v>10468</v>
      </c>
      <c r="L3337" t="s">
        <v>18958</v>
      </c>
      <c r="M3337" t="s">
        <v>18958</v>
      </c>
      <c r="N3337" t="s">
        <v>21452</v>
      </c>
      <c r="O3337" t="s">
        <v>26523</v>
      </c>
      <c r="P3337" t="s">
        <v>26560</v>
      </c>
      <c r="R3337" t="s">
        <v>26579</v>
      </c>
      <c r="U3337" t="s">
        <v>26604</v>
      </c>
      <c r="V3337" t="s">
        <v>26610</v>
      </c>
      <c r="W3337" t="s">
        <v>666</v>
      </c>
      <c r="X3337">
        <v>1215</v>
      </c>
      <c r="Y3337" t="s">
        <v>26650</v>
      </c>
      <c r="Z3337" t="s">
        <v>26664</v>
      </c>
      <c r="AB3337" t="s">
        <v>29554</v>
      </c>
      <c r="AC3337" t="s">
        <v>35495</v>
      </c>
      <c r="AD3337" t="s">
        <v>39626</v>
      </c>
      <c r="AE3337">
        <v>11</v>
      </c>
      <c r="AF3337" t="s">
        <v>45541</v>
      </c>
      <c r="AG3337" t="s">
        <v>19330</v>
      </c>
      <c r="AH3337">
        <v>3</v>
      </c>
      <c r="AI3337">
        <v>2</v>
      </c>
      <c r="AJ3337">
        <v>1</v>
      </c>
      <c r="AK3337">
        <v>153.99</v>
      </c>
      <c r="AN3337" t="s">
        <v>7439</v>
      </c>
      <c r="AO3337">
        <v>32000</v>
      </c>
      <c r="AU3337">
        <v>7.5</v>
      </c>
      <c r="AV3337" t="s">
        <v>694</v>
      </c>
      <c r="AW3337" t="s">
        <v>334</v>
      </c>
    </row>
    <row r="3338" spans="1:49">
      <c r="A3338" s="1">
        <f>HYPERLINK("https://lsnyc.legalserver.org/matter/dynamic-profile/view/1884060","18-1884060")</f>
        <v>0</v>
      </c>
      <c r="B3338" t="s">
        <v>147</v>
      </c>
      <c r="C3338" t="s">
        <v>340</v>
      </c>
      <c r="D3338" t="s">
        <v>666</v>
      </c>
      <c r="F3338" t="s">
        <v>1587</v>
      </c>
      <c r="G3338" t="s">
        <v>6838</v>
      </c>
      <c r="H3338" t="s">
        <v>10461</v>
      </c>
      <c r="I3338" t="s">
        <v>17570</v>
      </c>
      <c r="J3338" t="s">
        <v>18894</v>
      </c>
      <c r="K3338">
        <v>11226</v>
      </c>
      <c r="L3338" t="s">
        <v>18958</v>
      </c>
      <c r="M3338" t="s">
        <v>18958</v>
      </c>
      <c r="O3338" t="s">
        <v>18997</v>
      </c>
      <c r="P3338" t="s">
        <v>26565</v>
      </c>
      <c r="R3338" t="s">
        <v>26578</v>
      </c>
      <c r="S3338" t="s">
        <v>18959</v>
      </c>
      <c r="U3338" t="s">
        <v>26604</v>
      </c>
      <c r="W3338" t="s">
        <v>666</v>
      </c>
      <c r="X3338">
        <v>1822.5</v>
      </c>
      <c r="Y3338" t="s">
        <v>26652</v>
      </c>
      <c r="Z3338" t="s">
        <v>26663</v>
      </c>
      <c r="AB3338" t="s">
        <v>29537</v>
      </c>
      <c r="AD3338" t="s">
        <v>39606</v>
      </c>
      <c r="AE3338">
        <v>120</v>
      </c>
      <c r="AF3338" t="s">
        <v>45541</v>
      </c>
      <c r="AH3338">
        <v>4</v>
      </c>
      <c r="AI3338">
        <v>2</v>
      </c>
      <c r="AJ3338">
        <v>0</v>
      </c>
      <c r="AK3338">
        <v>146.74</v>
      </c>
      <c r="AN3338" t="s">
        <v>7439</v>
      </c>
      <c r="AO3338">
        <v>24154</v>
      </c>
      <c r="AU3338">
        <v>5.2</v>
      </c>
      <c r="AV3338" t="s">
        <v>819</v>
      </c>
      <c r="AW3338" t="s">
        <v>46856</v>
      </c>
    </row>
    <row r="3339" spans="1:49">
      <c r="A3339" s="1">
        <f>HYPERLINK("https://lsnyc.legalserver.org/matter/dynamic-profile/view/1883991","18-1883991")</f>
        <v>0</v>
      </c>
      <c r="B3339" t="s">
        <v>57</v>
      </c>
      <c r="C3339" t="s">
        <v>340</v>
      </c>
      <c r="D3339" t="s">
        <v>666</v>
      </c>
      <c r="F3339" t="s">
        <v>1125</v>
      </c>
      <c r="G3339" t="s">
        <v>1058</v>
      </c>
      <c r="H3339" t="s">
        <v>9681</v>
      </c>
      <c r="I3339" t="s">
        <v>17659</v>
      </c>
      <c r="J3339" t="s">
        <v>18892</v>
      </c>
      <c r="K3339">
        <v>10468</v>
      </c>
      <c r="L3339" t="s">
        <v>18958</v>
      </c>
      <c r="M3339" t="s">
        <v>18958</v>
      </c>
      <c r="N3339" t="s">
        <v>21453</v>
      </c>
      <c r="O3339" t="s">
        <v>26523</v>
      </c>
      <c r="P3339" t="s">
        <v>26560</v>
      </c>
      <c r="R3339" t="s">
        <v>26579</v>
      </c>
      <c r="S3339" t="s">
        <v>18959</v>
      </c>
      <c r="U3339" t="s">
        <v>26604</v>
      </c>
      <c r="V3339" t="s">
        <v>26610</v>
      </c>
      <c r="W3339" t="s">
        <v>666</v>
      </c>
      <c r="X3339">
        <v>1650</v>
      </c>
      <c r="Y3339" t="s">
        <v>26650</v>
      </c>
      <c r="Z3339" t="s">
        <v>26664</v>
      </c>
      <c r="AB3339" t="s">
        <v>29555</v>
      </c>
      <c r="AC3339" t="s">
        <v>35496</v>
      </c>
      <c r="AD3339" t="s">
        <v>39627</v>
      </c>
      <c r="AE3339">
        <v>27</v>
      </c>
      <c r="AF3339" t="s">
        <v>45547</v>
      </c>
      <c r="AG3339" t="s">
        <v>19330</v>
      </c>
      <c r="AH3339">
        <v>6</v>
      </c>
      <c r="AI3339">
        <v>2</v>
      </c>
      <c r="AJ3339">
        <v>1</v>
      </c>
      <c r="AK3339">
        <v>96.25</v>
      </c>
      <c r="AN3339" t="s">
        <v>45581</v>
      </c>
      <c r="AO3339">
        <v>20000</v>
      </c>
      <c r="AU3339">
        <v>11.4</v>
      </c>
      <c r="AV3339" t="s">
        <v>786</v>
      </c>
      <c r="AW3339" t="s">
        <v>334</v>
      </c>
    </row>
    <row r="3340" spans="1:49">
      <c r="A3340" s="1">
        <f>HYPERLINK("https://lsnyc.legalserver.org/matter/dynamic-profile/view/1883992","18-1883992")</f>
        <v>0</v>
      </c>
      <c r="B3340" t="s">
        <v>77</v>
      </c>
      <c r="C3340" t="s">
        <v>340</v>
      </c>
      <c r="D3340" t="s">
        <v>666</v>
      </c>
      <c r="F3340" t="s">
        <v>953</v>
      </c>
      <c r="G3340" t="s">
        <v>5727</v>
      </c>
      <c r="H3340" t="s">
        <v>12270</v>
      </c>
      <c r="I3340" t="s">
        <v>17896</v>
      </c>
      <c r="J3340" t="s">
        <v>18893</v>
      </c>
      <c r="K3340">
        <v>10025</v>
      </c>
      <c r="L3340" t="s">
        <v>18958</v>
      </c>
      <c r="M3340" t="s">
        <v>18958</v>
      </c>
      <c r="N3340" t="s">
        <v>21454</v>
      </c>
      <c r="O3340" t="s">
        <v>26523</v>
      </c>
      <c r="P3340" t="s">
        <v>26560</v>
      </c>
      <c r="R3340" t="s">
        <v>26580</v>
      </c>
      <c r="S3340" t="s">
        <v>18959</v>
      </c>
      <c r="U3340" t="s">
        <v>26605</v>
      </c>
      <c r="V3340" t="s">
        <v>26610</v>
      </c>
      <c r="W3340" t="s">
        <v>666</v>
      </c>
      <c r="X3340">
        <v>285</v>
      </c>
      <c r="Y3340" t="s">
        <v>26651</v>
      </c>
      <c r="Z3340" t="s">
        <v>26664</v>
      </c>
      <c r="AB3340" t="s">
        <v>28161</v>
      </c>
      <c r="AD3340" t="s">
        <v>39628</v>
      </c>
      <c r="AE3340">
        <v>899</v>
      </c>
      <c r="AF3340" t="s">
        <v>45542</v>
      </c>
      <c r="AH3340">
        <v>1</v>
      </c>
      <c r="AI3340">
        <v>2</v>
      </c>
      <c r="AJ3340">
        <v>1</v>
      </c>
      <c r="AK3340">
        <v>0</v>
      </c>
      <c r="AN3340" t="s">
        <v>7439</v>
      </c>
      <c r="AO3340">
        <v>0</v>
      </c>
      <c r="AU3340">
        <v>5.7</v>
      </c>
      <c r="AV3340" t="s">
        <v>827</v>
      </c>
      <c r="AW3340" t="s">
        <v>46835</v>
      </c>
    </row>
    <row r="3341" spans="1:49">
      <c r="A3341" s="1">
        <f>HYPERLINK("https://lsnyc.legalserver.org/matter/dynamic-profile/view/1883934","18-1883934")</f>
        <v>0</v>
      </c>
      <c r="B3341" t="s">
        <v>251</v>
      </c>
      <c r="C3341" t="s">
        <v>340</v>
      </c>
      <c r="D3341" t="s">
        <v>666</v>
      </c>
      <c r="F3341" t="s">
        <v>2614</v>
      </c>
      <c r="G3341" t="s">
        <v>5953</v>
      </c>
      <c r="H3341" t="s">
        <v>12271</v>
      </c>
      <c r="I3341" t="s">
        <v>17325</v>
      </c>
      <c r="J3341" t="s">
        <v>18892</v>
      </c>
      <c r="K3341">
        <v>10467</v>
      </c>
      <c r="L3341" t="s">
        <v>18958</v>
      </c>
      <c r="M3341" t="s">
        <v>18958</v>
      </c>
      <c r="N3341" t="s">
        <v>21455</v>
      </c>
      <c r="O3341" t="s">
        <v>26523</v>
      </c>
      <c r="P3341" t="s">
        <v>26560</v>
      </c>
      <c r="R3341" t="s">
        <v>26579</v>
      </c>
      <c r="U3341" t="s">
        <v>26604</v>
      </c>
      <c r="V3341" t="s">
        <v>26610</v>
      </c>
      <c r="W3341" t="s">
        <v>666</v>
      </c>
      <c r="X3341">
        <v>1200</v>
      </c>
      <c r="Y3341" t="s">
        <v>26650</v>
      </c>
      <c r="Z3341" t="s">
        <v>26664</v>
      </c>
      <c r="AB3341" t="s">
        <v>29556</v>
      </c>
      <c r="AD3341" t="s">
        <v>39629</v>
      </c>
      <c r="AE3341">
        <v>62</v>
      </c>
      <c r="AF3341" t="s">
        <v>45541</v>
      </c>
      <c r="AG3341" t="s">
        <v>19330</v>
      </c>
      <c r="AH3341">
        <v>2</v>
      </c>
      <c r="AI3341">
        <v>1</v>
      </c>
      <c r="AJ3341">
        <v>0</v>
      </c>
      <c r="AK3341">
        <v>131.8</v>
      </c>
      <c r="AN3341" t="s">
        <v>45581</v>
      </c>
      <c r="AO3341">
        <v>16000</v>
      </c>
      <c r="AU3341">
        <v>55.54</v>
      </c>
      <c r="AV3341" t="s">
        <v>834</v>
      </c>
      <c r="AW3341" t="s">
        <v>334</v>
      </c>
    </row>
    <row r="3342" spans="1:49">
      <c r="A3342" s="1">
        <f>HYPERLINK("https://lsnyc.legalserver.org/matter/dynamic-profile/view/1884038","18-1884038")</f>
        <v>0</v>
      </c>
      <c r="B3342" t="s">
        <v>191</v>
      </c>
      <c r="C3342" t="s">
        <v>340</v>
      </c>
      <c r="D3342" t="s">
        <v>666</v>
      </c>
      <c r="F3342" t="s">
        <v>2287</v>
      </c>
      <c r="G3342" t="s">
        <v>5566</v>
      </c>
      <c r="H3342" t="s">
        <v>12270</v>
      </c>
      <c r="I3342" t="s">
        <v>17951</v>
      </c>
      <c r="J3342" t="s">
        <v>18893</v>
      </c>
      <c r="K3342">
        <v>10025</v>
      </c>
      <c r="L3342" t="s">
        <v>18958</v>
      </c>
      <c r="M3342" t="s">
        <v>18958</v>
      </c>
      <c r="N3342" t="s">
        <v>21456</v>
      </c>
      <c r="O3342" t="s">
        <v>26523</v>
      </c>
      <c r="P3342" t="s">
        <v>26560</v>
      </c>
      <c r="R3342" t="s">
        <v>26580</v>
      </c>
      <c r="S3342" t="s">
        <v>18959</v>
      </c>
      <c r="U3342" t="s">
        <v>26605</v>
      </c>
      <c r="V3342" t="s">
        <v>26610</v>
      </c>
      <c r="W3342" t="s">
        <v>666</v>
      </c>
      <c r="X3342">
        <v>230.6</v>
      </c>
      <c r="Y3342" t="s">
        <v>26651</v>
      </c>
      <c r="Z3342" t="s">
        <v>26664</v>
      </c>
      <c r="AB3342" t="s">
        <v>29557</v>
      </c>
      <c r="AC3342" t="s">
        <v>35497</v>
      </c>
      <c r="AD3342" t="s">
        <v>39630</v>
      </c>
      <c r="AE3342">
        <v>899</v>
      </c>
      <c r="AF3342" t="s">
        <v>45542</v>
      </c>
      <c r="AG3342" t="s">
        <v>19330</v>
      </c>
      <c r="AH3342">
        <v>14</v>
      </c>
      <c r="AI3342">
        <v>1</v>
      </c>
      <c r="AJ3342">
        <v>0</v>
      </c>
      <c r="AK3342">
        <v>76.70999999999999</v>
      </c>
      <c r="AN3342" t="s">
        <v>7439</v>
      </c>
      <c r="AO3342">
        <v>9312</v>
      </c>
      <c r="AU3342">
        <v>5.4</v>
      </c>
      <c r="AV3342" t="s">
        <v>754</v>
      </c>
      <c r="AW3342" t="s">
        <v>314</v>
      </c>
    </row>
    <row r="3343" spans="1:49">
      <c r="A3343" s="1">
        <f>HYPERLINK("https://lsnyc.legalserver.org/matter/dynamic-profile/view/1883971","18-1883971")</f>
        <v>0</v>
      </c>
      <c r="B3343" t="s">
        <v>253</v>
      </c>
      <c r="C3343" t="s">
        <v>340</v>
      </c>
      <c r="D3343" t="s">
        <v>666</v>
      </c>
      <c r="F3343" t="s">
        <v>2615</v>
      </c>
      <c r="G3343" t="s">
        <v>5849</v>
      </c>
      <c r="H3343" t="s">
        <v>12272</v>
      </c>
      <c r="I3343" t="s">
        <v>17273</v>
      </c>
      <c r="J3343" t="s">
        <v>18892</v>
      </c>
      <c r="K3343">
        <v>10460</v>
      </c>
      <c r="L3343" t="s">
        <v>18958</v>
      </c>
      <c r="M3343" t="s">
        <v>18958</v>
      </c>
      <c r="N3343" t="s">
        <v>21457</v>
      </c>
      <c r="O3343" t="s">
        <v>26523</v>
      </c>
      <c r="P3343" t="s">
        <v>26560</v>
      </c>
      <c r="R3343" t="s">
        <v>26577</v>
      </c>
      <c r="S3343" t="s">
        <v>18959</v>
      </c>
      <c r="U3343" t="s">
        <v>26604</v>
      </c>
      <c r="V3343" t="s">
        <v>26609</v>
      </c>
      <c r="W3343" t="s">
        <v>666</v>
      </c>
      <c r="X3343">
        <v>1340</v>
      </c>
      <c r="Y3343" t="s">
        <v>26650</v>
      </c>
      <c r="Z3343" t="s">
        <v>26664</v>
      </c>
      <c r="AB3343" t="s">
        <v>29558</v>
      </c>
      <c r="AC3343" t="s">
        <v>35498</v>
      </c>
      <c r="AD3343" t="s">
        <v>39631</v>
      </c>
      <c r="AE3343">
        <v>0</v>
      </c>
      <c r="AF3343" t="s">
        <v>45541</v>
      </c>
      <c r="AG3343" t="s">
        <v>45556</v>
      </c>
      <c r="AH3343">
        <v>4</v>
      </c>
      <c r="AI3343">
        <v>2</v>
      </c>
      <c r="AJ3343">
        <v>5</v>
      </c>
      <c r="AK3343">
        <v>0</v>
      </c>
      <c r="AN3343" t="s">
        <v>7439</v>
      </c>
      <c r="AO3343">
        <v>0</v>
      </c>
      <c r="AP3343" t="s">
        <v>45654</v>
      </c>
      <c r="AU3343">
        <v>27.4</v>
      </c>
      <c r="AV3343" t="s">
        <v>831</v>
      </c>
      <c r="AW3343" t="s">
        <v>46847</v>
      </c>
    </row>
    <row r="3344" spans="1:49">
      <c r="A3344" s="1">
        <f>HYPERLINK("https://lsnyc.legalserver.org/matter/dynamic-profile/view/1883954","18-1883954")</f>
        <v>0</v>
      </c>
      <c r="B3344" t="s">
        <v>253</v>
      </c>
      <c r="C3344" t="s">
        <v>340</v>
      </c>
      <c r="D3344" t="s">
        <v>666</v>
      </c>
      <c r="F3344" t="s">
        <v>1134</v>
      </c>
      <c r="G3344" t="s">
        <v>6013</v>
      </c>
      <c r="H3344" t="s">
        <v>12273</v>
      </c>
      <c r="I3344">
        <v>1</v>
      </c>
      <c r="J3344" t="s">
        <v>18892</v>
      </c>
      <c r="K3344">
        <v>10455</v>
      </c>
      <c r="L3344" t="s">
        <v>18958</v>
      </c>
      <c r="M3344" t="s">
        <v>18958</v>
      </c>
      <c r="N3344" t="s">
        <v>21458</v>
      </c>
      <c r="O3344" t="s">
        <v>26523</v>
      </c>
      <c r="P3344" t="s">
        <v>26560</v>
      </c>
      <c r="R3344" t="s">
        <v>26577</v>
      </c>
      <c r="S3344" t="s">
        <v>18959</v>
      </c>
      <c r="T3344" t="s">
        <v>26577</v>
      </c>
      <c r="U3344" t="s">
        <v>26604</v>
      </c>
      <c r="V3344" t="s">
        <v>26610</v>
      </c>
      <c r="W3344" t="s">
        <v>666</v>
      </c>
      <c r="X3344">
        <v>2197</v>
      </c>
      <c r="Y3344" t="s">
        <v>26650</v>
      </c>
      <c r="Z3344" t="s">
        <v>26664</v>
      </c>
      <c r="AB3344" t="s">
        <v>28254</v>
      </c>
      <c r="AC3344" t="s">
        <v>35499</v>
      </c>
      <c r="AD3344" t="s">
        <v>39632</v>
      </c>
      <c r="AE3344">
        <v>3</v>
      </c>
      <c r="AF3344" t="s">
        <v>45547</v>
      </c>
      <c r="AG3344" t="s">
        <v>45562</v>
      </c>
      <c r="AH3344">
        <v>1</v>
      </c>
      <c r="AI3344">
        <v>2</v>
      </c>
      <c r="AJ3344">
        <v>6</v>
      </c>
      <c r="AK3344">
        <v>21.24</v>
      </c>
      <c r="AN3344" t="s">
        <v>7439</v>
      </c>
      <c r="AO3344">
        <v>9000</v>
      </c>
      <c r="AP3344" t="s">
        <v>45654</v>
      </c>
      <c r="AU3344">
        <v>32.45</v>
      </c>
      <c r="AV3344" t="s">
        <v>814</v>
      </c>
      <c r="AW3344" t="s">
        <v>46847</v>
      </c>
    </row>
    <row r="3345" spans="1:50">
      <c r="A3345" s="1">
        <f>HYPERLINK("https://lsnyc.legalserver.org/matter/dynamic-profile/view/1884015","18-1884015")</f>
        <v>0</v>
      </c>
      <c r="B3345" t="s">
        <v>269</v>
      </c>
      <c r="C3345" t="s">
        <v>340</v>
      </c>
      <c r="D3345" t="s">
        <v>666</v>
      </c>
      <c r="F3345" t="s">
        <v>2616</v>
      </c>
      <c r="G3345" t="s">
        <v>6848</v>
      </c>
      <c r="H3345" t="s">
        <v>12274</v>
      </c>
      <c r="I3345" t="s">
        <v>17952</v>
      </c>
      <c r="J3345" t="s">
        <v>18892</v>
      </c>
      <c r="K3345">
        <v>10457</v>
      </c>
      <c r="L3345" t="s">
        <v>18958</v>
      </c>
      <c r="M3345" t="s">
        <v>18958</v>
      </c>
      <c r="N3345" t="s">
        <v>21459</v>
      </c>
      <c r="O3345" t="s">
        <v>26523</v>
      </c>
      <c r="P3345" t="s">
        <v>26560</v>
      </c>
      <c r="R3345" t="s">
        <v>26579</v>
      </c>
      <c r="S3345" t="s">
        <v>18959</v>
      </c>
      <c r="U3345" t="s">
        <v>26604</v>
      </c>
      <c r="V3345" t="s">
        <v>26610</v>
      </c>
      <c r="W3345" t="s">
        <v>666</v>
      </c>
      <c r="X3345">
        <v>1179</v>
      </c>
      <c r="Y3345" t="s">
        <v>26650</v>
      </c>
      <c r="Z3345" t="s">
        <v>26668</v>
      </c>
      <c r="AB3345" t="s">
        <v>29559</v>
      </c>
      <c r="AC3345" t="s">
        <v>35500</v>
      </c>
      <c r="AD3345" t="s">
        <v>39633</v>
      </c>
      <c r="AE3345">
        <v>0</v>
      </c>
      <c r="AF3345" t="s">
        <v>45541</v>
      </c>
      <c r="AG3345" t="s">
        <v>19330</v>
      </c>
      <c r="AH3345">
        <v>29</v>
      </c>
      <c r="AI3345">
        <v>1</v>
      </c>
      <c r="AJ3345">
        <v>0</v>
      </c>
      <c r="AK3345">
        <v>90.44</v>
      </c>
      <c r="AN3345" t="s">
        <v>7439</v>
      </c>
      <c r="AO3345">
        <v>10980</v>
      </c>
      <c r="AU3345">
        <v>26.75</v>
      </c>
      <c r="AV3345" t="s">
        <v>839</v>
      </c>
      <c r="AW3345" t="s">
        <v>46832</v>
      </c>
      <c r="AX3345" t="s">
        <v>46898</v>
      </c>
    </row>
    <row r="3346" spans="1:50">
      <c r="A3346" s="1">
        <f>HYPERLINK("https://lsnyc.legalserver.org/matter/dynamic-profile/view/1884070","18-1884070")</f>
        <v>0</v>
      </c>
      <c r="B3346" t="s">
        <v>173</v>
      </c>
      <c r="C3346" t="s">
        <v>340</v>
      </c>
      <c r="D3346" t="s">
        <v>666</v>
      </c>
      <c r="F3346" t="s">
        <v>2617</v>
      </c>
      <c r="G3346" t="s">
        <v>6849</v>
      </c>
      <c r="H3346" t="s">
        <v>12275</v>
      </c>
      <c r="I3346" t="s">
        <v>17953</v>
      </c>
      <c r="J3346" t="s">
        <v>18893</v>
      </c>
      <c r="K3346">
        <v>10025</v>
      </c>
      <c r="L3346" t="s">
        <v>18958</v>
      </c>
      <c r="M3346" t="s">
        <v>18958</v>
      </c>
      <c r="N3346" t="s">
        <v>21460</v>
      </c>
      <c r="O3346" t="s">
        <v>26523</v>
      </c>
      <c r="P3346" t="s">
        <v>26560</v>
      </c>
      <c r="R3346" t="s">
        <v>26580</v>
      </c>
      <c r="S3346" t="s">
        <v>18959</v>
      </c>
      <c r="U3346" t="s">
        <v>26605</v>
      </c>
      <c r="W3346" t="s">
        <v>666</v>
      </c>
      <c r="X3346">
        <v>123</v>
      </c>
      <c r="Y3346" t="s">
        <v>26651</v>
      </c>
      <c r="Z3346" t="s">
        <v>26664</v>
      </c>
      <c r="AB3346" t="s">
        <v>29560</v>
      </c>
      <c r="AD3346" t="s">
        <v>39634</v>
      </c>
      <c r="AE3346">
        <v>159</v>
      </c>
      <c r="AF3346" t="s">
        <v>45542</v>
      </c>
      <c r="AH3346">
        <v>6</v>
      </c>
      <c r="AI3346">
        <v>2</v>
      </c>
      <c r="AJ3346">
        <v>2</v>
      </c>
      <c r="AK3346">
        <v>146.15</v>
      </c>
      <c r="AN3346" t="s">
        <v>7439</v>
      </c>
      <c r="AO3346">
        <v>36684</v>
      </c>
      <c r="AU3346">
        <v>6.75</v>
      </c>
      <c r="AV3346" t="s">
        <v>819</v>
      </c>
      <c r="AW3346" t="s">
        <v>46879</v>
      </c>
    </row>
    <row r="3347" spans="1:50">
      <c r="A3347" s="1">
        <f>HYPERLINK("https://lsnyc.legalserver.org/matter/dynamic-profile/view/1883959","18-1883959")</f>
        <v>0</v>
      </c>
      <c r="B3347" t="s">
        <v>173</v>
      </c>
      <c r="C3347" t="s">
        <v>340</v>
      </c>
      <c r="D3347" t="s">
        <v>666</v>
      </c>
      <c r="F3347" t="s">
        <v>2618</v>
      </c>
      <c r="G3347" t="s">
        <v>5479</v>
      </c>
      <c r="H3347" t="s">
        <v>10000</v>
      </c>
      <c r="I3347" t="s">
        <v>17954</v>
      </c>
      <c r="J3347" t="s">
        <v>18893</v>
      </c>
      <c r="K3347">
        <v>10027</v>
      </c>
      <c r="L3347" t="s">
        <v>18958</v>
      </c>
      <c r="M3347" t="s">
        <v>18958</v>
      </c>
      <c r="N3347" t="s">
        <v>21461</v>
      </c>
      <c r="O3347" t="s">
        <v>26523</v>
      </c>
      <c r="P3347" t="s">
        <v>26564</v>
      </c>
      <c r="R3347" t="s">
        <v>26580</v>
      </c>
      <c r="S3347" t="s">
        <v>18959</v>
      </c>
      <c r="U3347" t="s">
        <v>26605</v>
      </c>
      <c r="V3347" t="s">
        <v>26610</v>
      </c>
      <c r="W3347" t="s">
        <v>666</v>
      </c>
      <c r="X3347">
        <v>649</v>
      </c>
      <c r="Y3347" t="s">
        <v>26651</v>
      </c>
      <c r="Z3347" t="s">
        <v>26664</v>
      </c>
      <c r="AB3347" t="s">
        <v>29561</v>
      </c>
      <c r="AD3347" t="s">
        <v>39635</v>
      </c>
      <c r="AE3347">
        <v>1128</v>
      </c>
      <c r="AF3347" t="s">
        <v>45542</v>
      </c>
      <c r="AG3347" t="s">
        <v>19330</v>
      </c>
      <c r="AH3347">
        <v>60</v>
      </c>
      <c r="AI3347">
        <v>1</v>
      </c>
      <c r="AJ3347">
        <v>0</v>
      </c>
      <c r="AK3347">
        <v>227.35</v>
      </c>
      <c r="AN3347" t="s">
        <v>7439</v>
      </c>
      <c r="AO3347">
        <v>27600</v>
      </c>
      <c r="AU3347">
        <v>0</v>
      </c>
      <c r="AW3347" t="s">
        <v>46835</v>
      </c>
    </row>
    <row r="3348" spans="1:50">
      <c r="A3348" s="1">
        <f>HYPERLINK("https://lsnyc.legalserver.org/matter/dynamic-profile/view/1884268","18-1884268")</f>
        <v>0</v>
      </c>
      <c r="B3348" t="s">
        <v>200</v>
      </c>
      <c r="C3348" t="s">
        <v>340</v>
      </c>
      <c r="D3348" t="s">
        <v>675</v>
      </c>
      <c r="F3348" t="s">
        <v>1506</v>
      </c>
      <c r="G3348" t="s">
        <v>3248</v>
      </c>
      <c r="H3348" t="s">
        <v>12276</v>
      </c>
      <c r="J3348" t="s">
        <v>18894</v>
      </c>
      <c r="K3348">
        <v>11239</v>
      </c>
      <c r="L3348" t="s">
        <v>18958</v>
      </c>
      <c r="M3348" t="s">
        <v>18958</v>
      </c>
      <c r="N3348" t="s">
        <v>21462</v>
      </c>
      <c r="O3348" t="s">
        <v>26523</v>
      </c>
      <c r="P3348" t="s">
        <v>26560</v>
      </c>
      <c r="R3348" t="s">
        <v>26578</v>
      </c>
      <c r="S3348" t="s">
        <v>18959</v>
      </c>
      <c r="U3348" t="s">
        <v>26604</v>
      </c>
      <c r="V3348" t="s">
        <v>26609</v>
      </c>
      <c r="W3348" t="s">
        <v>666</v>
      </c>
      <c r="X3348">
        <v>793</v>
      </c>
      <c r="Y3348" t="s">
        <v>26652</v>
      </c>
      <c r="Z3348" t="s">
        <v>26660</v>
      </c>
      <c r="AB3348" t="s">
        <v>29562</v>
      </c>
      <c r="AC3348" t="s">
        <v>19045</v>
      </c>
      <c r="AE3348">
        <v>1092</v>
      </c>
      <c r="AF3348" t="s">
        <v>20460</v>
      </c>
      <c r="AG3348" t="s">
        <v>45556</v>
      </c>
      <c r="AH3348">
        <v>30</v>
      </c>
      <c r="AI3348">
        <v>1</v>
      </c>
      <c r="AJ3348">
        <v>0</v>
      </c>
      <c r="AK3348">
        <v>280.07</v>
      </c>
      <c r="AL3348" t="s">
        <v>574</v>
      </c>
      <c r="AM3348" t="s">
        <v>45575</v>
      </c>
      <c r="AO3348">
        <v>34000</v>
      </c>
      <c r="AR3348" t="s">
        <v>46379</v>
      </c>
      <c r="AS3348" t="s">
        <v>46499</v>
      </c>
      <c r="AU3348">
        <v>7.41</v>
      </c>
      <c r="AV3348" t="s">
        <v>809</v>
      </c>
      <c r="AW3348" t="s">
        <v>174</v>
      </c>
    </row>
    <row r="3349" spans="1:50">
      <c r="A3349" s="1">
        <f>HYPERLINK("https://lsnyc.legalserver.org/matter/dynamic-profile/view/1885160","18-1885160")</f>
        <v>0</v>
      </c>
      <c r="B3349" t="s">
        <v>108</v>
      </c>
      <c r="C3349" t="s">
        <v>341</v>
      </c>
      <c r="D3349" t="s">
        <v>519</v>
      </c>
      <c r="E3349" t="s">
        <v>706</v>
      </c>
      <c r="F3349" t="s">
        <v>2112</v>
      </c>
      <c r="G3349" t="s">
        <v>6850</v>
      </c>
      <c r="H3349" t="s">
        <v>12277</v>
      </c>
      <c r="I3349" t="s">
        <v>17807</v>
      </c>
      <c r="J3349" t="s">
        <v>18901</v>
      </c>
      <c r="K3349">
        <v>11432</v>
      </c>
      <c r="L3349" t="s">
        <v>18958</v>
      </c>
      <c r="M3349" t="s">
        <v>18959</v>
      </c>
      <c r="N3349" t="s">
        <v>21463</v>
      </c>
      <c r="O3349" t="s">
        <v>26524</v>
      </c>
      <c r="P3349" t="s">
        <v>26560</v>
      </c>
      <c r="Q3349" t="s">
        <v>26568</v>
      </c>
      <c r="R3349" t="s">
        <v>26584</v>
      </c>
      <c r="S3349" t="s">
        <v>18959</v>
      </c>
      <c r="U3349" t="s">
        <v>26604</v>
      </c>
      <c r="V3349" t="s">
        <v>26610</v>
      </c>
      <c r="W3349" t="s">
        <v>666</v>
      </c>
      <c r="X3349">
        <v>1416</v>
      </c>
      <c r="Y3349" t="s">
        <v>26653</v>
      </c>
      <c r="Z3349" t="s">
        <v>26659</v>
      </c>
      <c r="AA3349" t="s">
        <v>26678</v>
      </c>
      <c r="AB3349" t="s">
        <v>29563</v>
      </c>
      <c r="AC3349" t="s">
        <v>19045</v>
      </c>
      <c r="AD3349" t="s">
        <v>39636</v>
      </c>
      <c r="AE3349">
        <v>64</v>
      </c>
      <c r="AF3349" t="s">
        <v>45541</v>
      </c>
      <c r="AG3349" t="s">
        <v>19330</v>
      </c>
      <c r="AH3349">
        <v>4</v>
      </c>
      <c r="AI3349">
        <v>4</v>
      </c>
      <c r="AJ3349">
        <v>0</v>
      </c>
      <c r="AK3349">
        <v>239.04</v>
      </c>
      <c r="AL3349" t="s">
        <v>706</v>
      </c>
      <c r="AM3349" t="s">
        <v>45575</v>
      </c>
      <c r="AN3349" t="s">
        <v>45581</v>
      </c>
      <c r="AO3349">
        <v>60000</v>
      </c>
      <c r="AQ3349" t="s">
        <v>46362</v>
      </c>
      <c r="AR3349" t="s">
        <v>46381</v>
      </c>
      <c r="AS3349" t="s">
        <v>46499</v>
      </c>
      <c r="AT3349" t="s">
        <v>46528</v>
      </c>
      <c r="AU3349">
        <v>5.15</v>
      </c>
      <c r="AV3349" t="s">
        <v>691</v>
      </c>
      <c r="AW3349" t="s">
        <v>208</v>
      </c>
    </row>
    <row r="3350" spans="1:50">
      <c r="A3350" s="1">
        <f>HYPERLINK("https://lsnyc.legalserver.org/matter/dynamic-profile/view/1852017","17-1852017")</f>
        <v>0</v>
      </c>
      <c r="B3350" t="s">
        <v>70</v>
      </c>
      <c r="C3350" t="s">
        <v>340</v>
      </c>
      <c r="D3350" t="s">
        <v>676</v>
      </c>
      <c r="F3350" t="s">
        <v>887</v>
      </c>
      <c r="G3350" t="s">
        <v>6399</v>
      </c>
      <c r="H3350" t="s">
        <v>12278</v>
      </c>
      <c r="I3350" t="s">
        <v>17955</v>
      </c>
      <c r="J3350" t="s">
        <v>18892</v>
      </c>
      <c r="K3350">
        <v>10458</v>
      </c>
      <c r="L3350" t="s">
        <v>18958</v>
      </c>
      <c r="M3350" t="s">
        <v>18958</v>
      </c>
      <c r="N3350" t="s">
        <v>21464</v>
      </c>
      <c r="O3350" t="s">
        <v>26524</v>
      </c>
      <c r="P3350" t="s">
        <v>26560</v>
      </c>
      <c r="R3350" t="s">
        <v>26577</v>
      </c>
      <c r="S3350" t="s">
        <v>18959</v>
      </c>
      <c r="U3350" t="s">
        <v>26604</v>
      </c>
      <c r="V3350" t="s">
        <v>26610</v>
      </c>
      <c r="W3350" t="s">
        <v>652</v>
      </c>
      <c r="X3350">
        <v>1018.41</v>
      </c>
      <c r="Y3350" t="s">
        <v>26650</v>
      </c>
      <c r="Z3350" t="s">
        <v>26661</v>
      </c>
      <c r="AB3350" t="s">
        <v>29564</v>
      </c>
      <c r="AC3350" t="s">
        <v>35501</v>
      </c>
      <c r="AD3350" t="s">
        <v>39637</v>
      </c>
      <c r="AE3350">
        <v>0</v>
      </c>
      <c r="AF3350" t="s">
        <v>45541</v>
      </c>
      <c r="AG3350" t="s">
        <v>19330</v>
      </c>
      <c r="AH3350">
        <v>12</v>
      </c>
      <c r="AI3350">
        <v>2</v>
      </c>
      <c r="AJ3350">
        <v>0</v>
      </c>
      <c r="AK3350">
        <v>68.84999999999999</v>
      </c>
      <c r="AO3350">
        <v>11182</v>
      </c>
      <c r="AP3350" t="s">
        <v>45620</v>
      </c>
      <c r="AU3350">
        <v>130.45</v>
      </c>
      <c r="AV3350" t="s">
        <v>807</v>
      </c>
      <c r="AW3350" t="s">
        <v>46848</v>
      </c>
    </row>
    <row r="3351" spans="1:50">
      <c r="A3351" s="1">
        <f>HYPERLINK("https://lsnyc.legalserver.org/matter/dynamic-profile/view/1871469","18-1871469")</f>
        <v>0</v>
      </c>
      <c r="B3351" t="s">
        <v>106</v>
      </c>
      <c r="C3351" t="s">
        <v>341</v>
      </c>
      <c r="D3351" t="s">
        <v>420</v>
      </c>
      <c r="E3351" t="s">
        <v>652</v>
      </c>
      <c r="F3351" t="s">
        <v>2619</v>
      </c>
      <c r="G3351" t="s">
        <v>6851</v>
      </c>
      <c r="H3351" t="s">
        <v>12279</v>
      </c>
      <c r="I3351" t="s">
        <v>17306</v>
      </c>
      <c r="J3351" t="s">
        <v>18894</v>
      </c>
      <c r="K3351">
        <v>11238</v>
      </c>
      <c r="L3351" t="s">
        <v>18958</v>
      </c>
      <c r="M3351" t="s">
        <v>18958</v>
      </c>
      <c r="N3351" t="s">
        <v>21465</v>
      </c>
      <c r="O3351" t="s">
        <v>26524</v>
      </c>
      <c r="P3351" t="s">
        <v>26560</v>
      </c>
      <c r="Q3351" t="s">
        <v>26568</v>
      </c>
      <c r="R3351" t="s">
        <v>26586</v>
      </c>
      <c r="U3351" t="s">
        <v>26604</v>
      </c>
      <c r="W3351" t="s">
        <v>652</v>
      </c>
      <c r="X3351">
        <v>543.41</v>
      </c>
      <c r="Y3351" t="s">
        <v>26652</v>
      </c>
      <c r="Z3351" t="s">
        <v>26659</v>
      </c>
      <c r="AA3351" t="s">
        <v>26678</v>
      </c>
      <c r="AB3351" t="s">
        <v>29565</v>
      </c>
      <c r="AD3351" t="s">
        <v>39638</v>
      </c>
      <c r="AE3351">
        <v>10</v>
      </c>
      <c r="AF3351" t="s">
        <v>45541</v>
      </c>
      <c r="AH3351">
        <v>10</v>
      </c>
      <c r="AI3351">
        <v>1</v>
      </c>
      <c r="AJ3351">
        <v>0</v>
      </c>
      <c r="AK3351">
        <v>60.49</v>
      </c>
      <c r="AN3351" t="s">
        <v>7439</v>
      </c>
      <c r="AO3351">
        <v>7344</v>
      </c>
      <c r="AQ3351" t="s">
        <v>46359</v>
      </c>
      <c r="AR3351" t="s">
        <v>46419</v>
      </c>
      <c r="AS3351" t="s">
        <v>46499</v>
      </c>
      <c r="AT3351" t="s">
        <v>46504</v>
      </c>
      <c r="AU3351">
        <v>28.9</v>
      </c>
      <c r="AV3351" t="s">
        <v>744</v>
      </c>
      <c r="AW3351" t="s">
        <v>46853</v>
      </c>
    </row>
    <row r="3352" spans="1:50">
      <c r="A3352" s="1">
        <f>HYPERLINK("https://lsnyc.legalserver.org/matter/dynamic-profile/view/1880203","18-1880203")</f>
        <v>0</v>
      </c>
      <c r="B3352" t="s">
        <v>90</v>
      </c>
      <c r="C3352" t="s">
        <v>341</v>
      </c>
      <c r="D3352" t="s">
        <v>594</v>
      </c>
      <c r="E3352" t="s">
        <v>675</v>
      </c>
      <c r="F3352" t="s">
        <v>2620</v>
      </c>
      <c r="G3352" t="s">
        <v>5121</v>
      </c>
      <c r="H3352" t="s">
        <v>12280</v>
      </c>
      <c r="I3352" t="s">
        <v>17366</v>
      </c>
      <c r="J3352" t="s">
        <v>18893</v>
      </c>
      <c r="K3352">
        <v>10029</v>
      </c>
      <c r="L3352" t="s">
        <v>18958</v>
      </c>
      <c r="M3352" t="s">
        <v>18958</v>
      </c>
      <c r="O3352" t="s">
        <v>18997</v>
      </c>
      <c r="P3352" t="s">
        <v>26564</v>
      </c>
      <c r="Q3352" t="s">
        <v>26570</v>
      </c>
      <c r="R3352" t="s">
        <v>26578</v>
      </c>
      <c r="S3352" t="s">
        <v>18959</v>
      </c>
      <c r="U3352" t="s">
        <v>26604</v>
      </c>
      <c r="V3352" t="s">
        <v>26610</v>
      </c>
      <c r="W3352" t="s">
        <v>652</v>
      </c>
      <c r="X3352">
        <v>1885</v>
      </c>
      <c r="Y3352" t="s">
        <v>26651</v>
      </c>
      <c r="Z3352" t="s">
        <v>26670</v>
      </c>
      <c r="AA3352" t="s">
        <v>26683</v>
      </c>
      <c r="AB3352" t="s">
        <v>28192</v>
      </c>
      <c r="AD3352" t="s">
        <v>39639</v>
      </c>
      <c r="AE3352">
        <v>24</v>
      </c>
      <c r="AF3352" t="s">
        <v>45543</v>
      </c>
      <c r="AG3352" t="s">
        <v>45556</v>
      </c>
      <c r="AH3352">
        <v>6</v>
      </c>
      <c r="AI3352">
        <v>1</v>
      </c>
      <c r="AJ3352">
        <v>0</v>
      </c>
      <c r="AK3352">
        <v>108.63</v>
      </c>
      <c r="AN3352" t="s">
        <v>7439</v>
      </c>
      <c r="AO3352">
        <v>13188</v>
      </c>
      <c r="AU3352">
        <v>1.2</v>
      </c>
      <c r="AV3352" t="s">
        <v>652</v>
      </c>
      <c r="AW3352" t="s">
        <v>46857</v>
      </c>
    </row>
    <row r="3353" spans="1:50">
      <c r="A3353" s="1">
        <f>HYPERLINK("https://lsnyc.legalserver.org/matter/dynamic-profile/view/1883041","18-1883041")</f>
        <v>0</v>
      </c>
      <c r="B3353" t="s">
        <v>99</v>
      </c>
      <c r="C3353" t="s">
        <v>341</v>
      </c>
      <c r="D3353" t="s">
        <v>651</v>
      </c>
      <c r="E3353" t="s">
        <v>682</v>
      </c>
      <c r="F3353" t="s">
        <v>2621</v>
      </c>
      <c r="G3353" t="s">
        <v>6852</v>
      </c>
      <c r="H3353" t="s">
        <v>12281</v>
      </c>
      <c r="I3353" t="s">
        <v>17416</v>
      </c>
      <c r="J3353" t="s">
        <v>18894</v>
      </c>
      <c r="K3353">
        <v>11218</v>
      </c>
      <c r="L3353" t="s">
        <v>18958</v>
      </c>
      <c r="M3353" t="s">
        <v>18958</v>
      </c>
      <c r="N3353" t="s">
        <v>21466</v>
      </c>
      <c r="O3353" t="s">
        <v>26524</v>
      </c>
      <c r="P3353" t="s">
        <v>26564</v>
      </c>
      <c r="Q3353" t="s">
        <v>26570</v>
      </c>
      <c r="R3353" t="s">
        <v>26586</v>
      </c>
      <c r="S3353" t="s">
        <v>18959</v>
      </c>
      <c r="U3353" t="s">
        <v>26604</v>
      </c>
      <c r="V3353" t="s">
        <v>26610</v>
      </c>
      <c r="W3353" t="s">
        <v>652</v>
      </c>
      <c r="X3353">
        <v>2006</v>
      </c>
      <c r="Y3353" t="s">
        <v>26652</v>
      </c>
      <c r="Z3353" t="s">
        <v>26664</v>
      </c>
      <c r="AA3353" t="s">
        <v>26683</v>
      </c>
      <c r="AB3353" t="s">
        <v>27169</v>
      </c>
      <c r="AC3353" t="s">
        <v>35502</v>
      </c>
      <c r="AD3353" t="s">
        <v>39640</v>
      </c>
      <c r="AE3353">
        <v>2</v>
      </c>
      <c r="AF3353" t="s">
        <v>45547</v>
      </c>
      <c r="AG3353" t="s">
        <v>45556</v>
      </c>
      <c r="AH3353">
        <v>16</v>
      </c>
      <c r="AI3353">
        <v>3</v>
      </c>
      <c r="AJ3353">
        <v>7</v>
      </c>
      <c r="AK3353">
        <v>98</v>
      </c>
      <c r="AN3353" t="s">
        <v>7439</v>
      </c>
      <c r="AO3353">
        <v>50000</v>
      </c>
      <c r="AR3353" t="s">
        <v>26530</v>
      </c>
      <c r="AS3353" t="s">
        <v>46501</v>
      </c>
      <c r="AT3353" t="s">
        <v>46605</v>
      </c>
      <c r="AU3353">
        <v>2.2</v>
      </c>
      <c r="AV3353" t="s">
        <v>691</v>
      </c>
      <c r="AW3353" t="s">
        <v>46862</v>
      </c>
    </row>
    <row r="3354" spans="1:50">
      <c r="A3354" s="1">
        <f>HYPERLINK("https://lsnyc.legalserver.org/matter/dynamic-profile/view/1882867","18-1882867")</f>
        <v>0</v>
      </c>
      <c r="B3354" t="s">
        <v>170</v>
      </c>
      <c r="C3354" t="s">
        <v>341</v>
      </c>
      <c r="D3354" t="s">
        <v>651</v>
      </c>
      <c r="E3354" t="s">
        <v>652</v>
      </c>
      <c r="F3354" t="s">
        <v>2622</v>
      </c>
      <c r="G3354" t="s">
        <v>6853</v>
      </c>
      <c r="H3354" t="s">
        <v>12282</v>
      </c>
      <c r="I3354">
        <v>1</v>
      </c>
      <c r="J3354" t="s">
        <v>18894</v>
      </c>
      <c r="K3354">
        <v>11236</v>
      </c>
      <c r="L3354" t="s">
        <v>18958</v>
      </c>
      <c r="M3354" t="s">
        <v>18958</v>
      </c>
      <c r="N3354" t="s">
        <v>21467</v>
      </c>
      <c r="O3354" t="s">
        <v>26524</v>
      </c>
      <c r="P3354" t="s">
        <v>26564</v>
      </c>
      <c r="Q3354" t="s">
        <v>26570</v>
      </c>
      <c r="R3354" t="s">
        <v>26586</v>
      </c>
      <c r="U3354" t="s">
        <v>26604</v>
      </c>
      <c r="W3354" t="s">
        <v>652</v>
      </c>
      <c r="X3354">
        <v>1000</v>
      </c>
      <c r="Y3354" t="s">
        <v>26652</v>
      </c>
      <c r="Z3354" t="s">
        <v>26664</v>
      </c>
      <c r="AA3354" t="s">
        <v>26683</v>
      </c>
      <c r="AB3354" t="s">
        <v>29566</v>
      </c>
      <c r="AD3354" t="s">
        <v>39641</v>
      </c>
      <c r="AE3354">
        <v>2</v>
      </c>
      <c r="AF3354" t="s">
        <v>45547</v>
      </c>
      <c r="AH3354">
        <v>19</v>
      </c>
      <c r="AI3354">
        <v>1</v>
      </c>
      <c r="AJ3354">
        <v>4</v>
      </c>
      <c r="AK3354">
        <v>31.53</v>
      </c>
      <c r="AN3354" t="s">
        <v>7439</v>
      </c>
      <c r="AO3354">
        <v>9276</v>
      </c>
      <c r="AU3354">
        <v>0.8</v>
      </c>
      <c r="AV3354" t="s">
        <v>652</v>
      </c>
      <c r="AW3354" t="s">
        <v>281</v>
      </c>
    </row>
    <row r="3355" spans="1:50">
      <c r="A3355" s="1">
        <f>HYPERLINK("https://lsnyc.legalserver.org/matter/dynamic-profile/view/1884000","18-1884000")</f>
        <v>0</v>
      </c>
      <c r="B3355" t="s">
        <v>221</v>
      </c>
      <c r="C3355" t="s">
        <v>341</v>
      </c>
      <c r="D3355" t="s">
        <v>666</v>
      </c>
      <c r="E3355" t="s">
        <v>494</v>
      </c>
      <c r="F3355" t="s">
        <v>1133</v>
      </c>
      <c r="G3355" t="s">
        <v>6557</v>
      </c>
      <c r="H3355" t="s">
        <v>12283</v>
      </c>
      <c r="I3355" t="s">
        <v>17374</v>
      </c>
      <c r="J3355" t="s">
        <v>18901</v>
      </c>
      <c r="K3355">
        <v>11435</v>
      </c>
      <c r="L3355" t="s">
        <v>18958</v>
      </c>
      <c r="M3355" t="s">
        <v>18958</v>
      </c>
      <c r="N3355" t="s">
        <v>21468</v>
      </c>
      <c r="O3355" t="s">
        <v>26524</v>
      </c>
      <c r="P3355" t="s">
        <v>26564</v>
      </c>
      <c r="Q3355" t="s">
        <v>26570</v>
      </c>
      <c r="R3355" t="s">
        <v>26584</v>
      </c>
      <c r="S3355" t="s">
        <v>18959</v>
      </c>
      <c r="U3355" t="s">
        <v>26604</v>
      </c>
      <c r="V3355" t="s">
        <v>26610</v>
      </c>
      <c r="W3355" t="s">
        <v>652</v>
      </c>
      <c r="X3355">
        <v>1200</v>
      </c>
      <c r="Y3355" t="s">
        <v>26653</v>
      </c>
      <c r="Z3355" t="s">
        <v>26664</v>
      </c>
      <c r="AA3355" t="s">
        <v>26683</v>
      </c>
      <c r="AB3355" t="s">
        <v>27478</v>
      </c>
      <c r="AD3355" t="s">
        <v>39642</v>
      </c>
      <c r="AE3355">
        <v>1</v>
      </c>
      <c r="AF3355" t="s">
        <v>45547</v>
      </c>
      <c r="AG3355" t="s">
        <v>19330</v>
      </c>
      <c r="AH3355">
        <v>2</v>
      </c>
      <c r="AI3355">
        <v>1</v>
      </c>
      <c r="AJ3355">
        <v>0</v>
      </c>
      <c r="AK3355">
        <v>59.31</v>
      </c>
      <c r="AN3355" t="s">
        <v>7439</v>
      </c>
      <c r="AO3355">
        <v>7200</v>
      </c>
      <c r="AU3355">
        <v>1</v>
      </c>
      <c r="AV3355" t="s">
        <v>678</v>
      </c>
      <c r="AW3355" t="s">
        <v>161</v>
      </c>
    </row>
    <row r="3356" spans="1:50">
      <c r="A3356" s="1">
        <f>HYPERLINK("https://lsnyc.legalserver.org/matter/dynamic-profile/view/1884094","18-1884094")</f>
        <v>0</v>
      </c>
      <c r="B3356" t="s">
        <v>145</v>
      </c>
      <c r="C3356" t="s">
        <v>341</v>
      </c>
      <c r="D3356" t="s">
        <v>652</v>
      </c>
      <c r="E3356" t="s">
        <v>740</v>
      </c>
      <c r="F3356" t="s">
        <v>2623</v>
      </c>
      <c r="G3356" t="s">
        <v>6854</v>
      </c>
      <c r="H3356" t="s">
        <v>12284</v>
      </c>
      <c r="I3356" t="s">
        <v>17423</v>
      </c>
      <c r="J3356" t="s">
        <v>18902</v>
      </c>
      <c r="K3356">
        <v>10314</v>
      </c>
      <c r="L3356" t="s">
        <v>18958</v>
      </c>
      <c r="M3356" t="s">
        <v>18958</v>
      </c>
      <c r="N3356" t="s">
        <v>21469</v>
      </c>
      <c r="O3356" t="s">
        <v>26523</v>
      </c>
      <c r="P3356" t="s">
        <v>26560</v>
      </c>
      <c r="Q3356" t="s">
        <v>26568</v>
      </c>
      <c r="R3356" t="s">
        <v>26590</v>
      </c>
      <c r="S3356" t="s">
        <v>18959</v>
      </c>
      <c r="U3356" t="s">
        <v>26604</v>
      </c>
      <c r="V3356" t="s">
        <v>26610</v>
      </c>
      <c r="W3356" t="s">
        <v>652</v>
      </c>
      <c r="X3356">
        <v>1700</v>
      </c>
      <c r="Y3356" t="s">
        <v>26654</v>
      </c>
      <c r="Z3356" t="s">
        <v>26668</v>
      </c>
      <c r="AA3356" t="s">
        <v>26679</v>
      </c>
      <c r="AB3356" t="s">
        <v>29567</v>
      </c>
      <c r="AD3356" t="s">
        <v>39643</v>
      </c>
      <c r="AE3356">
        <v>2</v>
      </c>
      <c r="AF3356" t="s">
        <v>45547</v>
      </c>
      <c r="AG3356" t="s">
        <v>19330</v>
      </c>
      <c r="AH3356">
        <v>1</v>
      </c>
      <c r="AI3356">
        <v>2</v>
      </c>
      <c r="AJ3356">
        <v>3</v>
      </c>
      <c r="AK3356">
        <v>140.72</v>
      </c>
      <c r="AO3356">
        <v>41400</v>
      </c>
      <c r="AS3356" t="s">
        <v>46499</v>
      </c>
      <c r="AT3356" t="s">
        <v>46707</v>
      </c>
      <c r="AU3356">
        <v>4</v>
      </c>
      <c r="AV3356" t="s">
        <v>716</v>
      </c>
      <c r="AW3356" t="s">
        <v>210</v>
      </c>
    </row>
    <row r="3357" spans="1:50">
      <c r="A3357" s="1">
        <f>HYPERLINK("https://lsnyc.legalserver.org/matter/dynamic-profile/view/1884101","18-1884101")</f>
        <v>0</v>
      </c>
      <c r="B3357" t="s">
        <v>149</v>
      </c>
      <c r="C3357" t="s">
        <v>341</v>
      </c>
      <c r="D3357" t="s">
        <v>652</v>
      </c>
      <c r="E3357" t="s">
        <v>682</v>
      </c>
      <c r="F3357" t="s">
        <v>1789</v>
      </c>
      <c r="G3357" t="s">
        <v>6855</v>
      </c>
      <c r="H3357" t="s">
        <v>12285</v>
      </c>
      <c r="I3357" t="s">
        <v>17355</v>
      </c>
      <c r="J3357" t="s">
        <v>18892</v>
      </c>
      <c r="K3357">
        <v>10455</v>
      </c>
      <c r="L3357" t="s">
        <v>18958</v>
      </c>
      <c r="M3357" t="s">
        <v>18958</v>
      </c>
      <c r="N3357" t="s">
        <v>21470</v>
      </c>
      <c r="O3357" t="s">
        <v>26523</v>
      </c>
      <c r="P3357" t="s">
        <v>26560</v>
      </c>
      <c r="Q3357" t="s">
        <v>26568</v>
      </c>
      <c r="R3357" t="s">
        <v>26577</v>
      </c>
      <c r="S3357" t="s">
        <v>18959</v>
      </c>
      <c r="U3357" t="s">
        <v>26604</v>
      </c>
      <c r="V3357" t="s">
        <v>26612</v>
      </c>
      <c r="W3357" t="s">
        <v>652</v>
      </c>
      <c r="X3357">
        <v>914</v>
      </c>
      <c r="Y3357" t="s">
        <v>26650</v>
      </c>
      <c r="Z3357" t="s">
        <v>26668</v>
      </c>
      <c r="AA3357" t="s">
        <v>26678</v>
      </c>
      <c r="AB3357" t="s">
        <v>29568</v>
      </c>
      <c r="AD3357" t="s">
        <v>39644</v>
      </c>
      <c r="AE3357">
        <v>52</v>
      </c>
      <c r="AF3357" t="s">
        <v>45541</v>
      </c>
      <c r="AG3357" t="s">
        <v>45556</v>
      </c>
      <c r="AH3357">
        <v>7</v>
      </c>
      <c r="AI3357">
        <v>1</v>
      </c>
      <c r="AJ3357">
        <v>0</v>
      </c>
      <c r="AK3357">
        <v>74.14</v>
      </c>
      <c r="AN3357" t="s">
        <v>45581</v>
      </c>
      <c r="AO3357">
        <v>9000</v>
      </c>
      <c r="AR3357" t="s">
        <v>46380</v>
      </c>
      <c r="AS3357" t="s">
        <v>46499</v>
      </c>
      <c r="AT3357" t="s">
        <v>46543</v>
      </c>
      <c r="AU3357">
        <v>3.15</v>
      </c>
      <c r="AV3357" t="s">
        <v>682</v>
      </c>
      <c r="AW3357" t="s">
        <v>336</v>
      </c>
    </row>
    <row r="3358" spans="1:50">
      <c r="A3358" s="1">
        <f>HYPERLINK("https://lsnyc.legalserver.org/matter/dynamic-profile/view/1884204","18-1884204")</f>
        <v>0</v>
      </c>
      <c r="B3358" t="s">
        <v>68</v>
      </c>
      <c r="C3358" t="s">
        <v>341</v>
      </c>
      <c r="D3358" t="s">
        <v>652</v>
      </c>
      <c r="E3358" t="s">
        <v>763</v>
      </c>
      <c r="F3358" t="s">
        <v>1206</v>
      </c>
      <c r="G3358" t="s">
        <v>6856</v>
      </c>
      <c r="H3358" t="s">
        <v>12286</v>
      </c>
      <c r="I3358" t="s">
        <v>17288</v>
      </c>
      <c r="J3358" t="s">
        <v>18892</v>
      </c>
      <c r="K3358">
        <v>10459</v>
      </c>
      <c r="L3358" t="s">
        <v>18958</v>
      </c>
      <c r="M3358" t="s">
        <v>18958</v>
      </c>
      <c r="N3358" t="s">
        <v>21471</v>
      </c>
      <c r="O3358" t="s">
        <v>26523</v>
      </c>
      <c r="P3358" t="s">
        <v>26560</v>
      </c>
      <c r="Q3358" t="s">
        <v>26568</v>
      </c>
      <c r="R3358" t="s">
        <v>26577</v>
      </c>
      <c r="S3358" t="s">
        <v>18959</v>
      </c>
      <c r="U3358" t="s">
        <v>26604</v>
      </c>
      <c r="V3358" t="s">
        <v>26609</v>
      </c>
      <c r="W3358" t="s">
        <v>652</v>
      </c>
      <c r="X3358">
        <v>907.1900000000001</v>
      </c>
      <c r="Y3358" t="s">
        <v>26650</v>
      </c>
      <c r="Z3358" t="s">
        <v>26668</v>
      </c>
      <c r="AA3358" t="s">
        <v>26678</v>
      </c>
      <c r="AB3358" t="s">
        <v>27815</v>
      </c>
      <c r="AC3358" t="s">
        <v>35503</v>
      </c>
      <c r="AD3358" t="s">
        <v>39645</v>
      </c>
      <c r="AE3358">
        <v>47</v>
      </c>
      <c r="AF3358" t="s">
        <v>45541</v>
      </c>
      <c r="AG3358" t="s">
        <v>19330</v>
      </c>
      <c r="AH3358">
        <v>18</v>
      </c>
      <c r="AI3358">
        <v>2</v>
      </c>
      <c r="AJ3358">
        <v>4</v>
      </c>
      <c r="AK3358">
        <v>70.90000000000001</v>
      </c>
      <c r="AN3358" t="s">
        <v>7439</v>
      </c>
      <c r="AO3358">
        <v>23920</v>
      </c>
      <c r="AR3358" t="s">
        <v>46380</v>
      </c>
      <c r="AS3358" t="s">
        <v>46499</v>
      </c>
      <c r="AT3358" t="s">
        <v>46772</v>
      </c>
      <c r="AU3358">
        <v>7</v>
      </c>
      <c r="AV3358" t="s">
        <v>574</v>
      </c>
      <c r="AW3358" t="s">
        <v>46836</v>
      </c>
    </row>
    <row r="3359" spans="1:50">
      <c r="A3359" s="1">
        <f>HYPERLINK("https://lsnyc.legalserver.org/matter/dynamic-profile/view/1884089","18-1884089")</f>
        <v>0</v>
      </c>
      <c r="B3359" t="s">
        <v>71</v>
      </c>
      <c r="C3359" t="s">
        <v>341</v>
      </c>
      <c r="D3359" t="s">
        <v>652</v>
      </c>
      <c r="E3359" t="s">
        <v>784</v>
      </c>
      <c r="F3359" t="s">
        <v>901</v>
      </c>
      <c r="G3359" t="s">
        <v>5121</v>
      </c>
      <c r="H3359" t="s">
        <v>11262</v>
      </c>
      <c r="J3359" t="s">
        <v>18892</v>
      </c>
      <c r="K3359">
        <v>10467</v>
      </c>
      <c r="L3359" t="s">
        <v>18958</v>
      </c>
      <c r="M3359" t="s">
        <v>18958</v>
      </c>
      <c r="N3359" t="s">
        <v>21472</v>
      </c>
      <c r="O3359" t="s">
        <v>26523</v>
      </c>
      <c r="P3359" t="s">
        <v>26560</v>
      </c>
      <c r="Q3359" t="s">
        <v>26568</v>
      </c>
      <c r="R3359" t="s">
        <v>26579</v>
      </c>
      <c r="S3359" t="s">
        <v>18959</v>
      </c>
      <c r="U3359" t="s">
        <v>26605</v>
      </c>
      <c r="V3359" t="s">
        <v>26610</v>
      </c>
      <c r="W3359" t="s">
        <v>652</v>
      </c>
      <c r="X3359">
        <v>221</v>
      </c>
      <c r="Y3359" t="s">
        <v>26650</v>
      </c>
      <c r="Z3359" t="s">
        <v>26664</v>
      </c>
      <c r="AA3359" t="s">
        <v>26680</v>
      </c>
      <c r="AB3359" t="s">
        <v>29569</v>
      </c>
      <c r="AD3359" t="s">
        <v>39646</v>
      </c>
      <c r="AE3359">
        <v>9669</v>
      </c>
      <c r="AF3359" t="s">
        <v>45549</v>
      </c>
      <c r="AG3359" t="s">
        <v>19330</v>
      </c>
      <c r="AH3359">
        <v>19</v>
      </c>
      <c r="AI3359">
        <v>1</v>
      </c>
      <c r="AJ3359">
        <v>0</v>
      </c>
      <c r="AK3359">
        <v>82.14</v>
      </c>
      <c r="AN3359" t="s">
        <v>45581</v>
      </c>
      <c r="AO3359">
        <v>9972</v>
      </c>
      <c r="AR3359" t="s">
        <v>46385</v>
      </c>
      <c r="AS3359" t="s">
        <v>46499</v>
      </c>
      <c r="AT3359" t="s">
        <v>46525</v>
      </c>
      <c r="AU3359">
        <v>12.6</v>
      </c>
      <c r="AV3359" t="s">
        <v>784</v>
      </c>
      <c r="AW3359" t="s">
        <v>71</v>
      </c>
    </row>
    <row r="3360" spans="1:50">
      <c r="A3360" s="1">
        <f>HYPERLINK("https://lsnyc.legalserver.org/matter/dynamic-profile/view/1884221","18-1884221")</f>
        <v>0</v>
      </c>
      <c r="B3360" t="s">
        <v>79</v>
      </c>
      <c r="C3360" t="s">
        <v>341</v>
      </c>
      <c r="D3360" t="s">
        <v>652</v>
      </c>
      <c r="E3360" t="s">
        <v>709</v>
      </c>
      <c r="F3360" t="s">
        <v>2624</v>
      </c>
      <c r="G3360" t="s">
        <v>5229</v>
      </c>
      <c r="H3360" t="s">
        <v>12287</v>
      </c>
      <c r="I3360" t="s">
        <v>17956</v>
      </c>
      <c r="J3360" t="s">
        <v>18893</v>
      </c>
      <c r="K3360">
        <v>10032</v>
      </c>
      <c r="L3360" t="s">
        <v>18958</v>
      </c>
      <c r="M3360" t="s">
        <v>18958</v>
      </c>
      <c r="O3360" t="s">
        <v>26526</v>
      </c>
      <c r="P3360" t="s">
        <v>26564</v>
      </c>
      <c r="Q3360" t="s">
        <v>26570</v>
      </c>
      <c r="R3360" t="s">
        <v>26578</v>
      </c>
      <c r="S3360" t="s">
        <v>18959</v>
      </c>
      <c r="U3360" t="s">
        <v>26604</v>
      </c>
      <c r="W3360" t="s">
        <v>652</v>
      </c>
      <c r="X3360">
        <v>649.45</v>
      </c>
      <c r="Y3360" t="s">
        <v>26651</v>
      </c>
      <c r="Z3360" t="s">
        <v>26661</v>
      </c>
      <c r="AA3360" t="s">
        <v>26683</v>
      </c>
      <c r="AB3360" t="s">
        <v>29570</v>
      </c>
      <c r="AD3360" t="s">
        <v>39647</v>
      </c>
      <c r="AE3360">
        <v>47</v>
      </c>
      <c r="AF3360" t="s">
        <v>45541</v>
      </c>
      <c r="AG3360" t="s">
        <v>45559</v>
      </c>
      <c r="AH3360">
        <v>40</v>
      </c>
      <c r="AI3360">
        <v>2</v>
      </c>
      <c r="AJ3360">
        <v>0</v>
      </c>
      <c r="AK3360">
        <v>54.68</v>
      </c>
      <c r="AN3360" t="s">
        <v>45581</v>
      </c>
      <c r="AO3360">
        <v>9000</v>
      </c>
      <c r="AU3360">
        <v>1.1</v>
      </c>
      <c r="AV3360" t="s">
        <v>732</v>
      </c>
      <c r="AW3360" t="s">
        <v>46840</v>
      </c>
    </row>
    <row r="3361" spans="1:50">
      <c r="A3361" s="1">
        <f>HYPERLINK("https://lsnyc.legalserver.org/matter/dynamic-profile/view/1884181","18-1884181")</f>
        <v>0</v>
      </c>
      <c r="B3361" t="s">
        <v>121</v>
      </c>
      <c r="C3361" t="s">
        <v>341</v>
      </c>
      <c r="D3361" t="s">
        <v>652</v>
      </c>
      <c r="E3361" t="s">
        <v>829</v>
      </c>
      <c r="F3361" t="s">
        <v>2625</v>
      </c>
      <c r="G3361" t="s">
        <v>6772</v>
      </c>
      <c r="H3361" t="s">
        <v>12288</v>
      </c>
      <c r="I3361" t="s">
        <v>17315</v>
      </c>
      <c r="J3361" t="s">
        <v>18892</v>
      </c>
      <c r="K3361">
        <v>10470</v>
      </c>
      <c r="L3361" t="s">
        <v>18958</v>
      </c>
      <c r="M3361" t="s">
        <v>18958</v>
      </c>
      <c r="N3361" t="s">
        <v>21473</v>
      </c>
      <c r="O3361" t="s">
        <v>26523</v>
      </c>
      <c r="P3361" t="s">
        <v>26560</v>
      </c>
      <c r="Q3361" t="s">
        <v>26568</v>
      </c>
      <c r="R3361" t="s">
        <v>26577</v>
      </c>
      <c r="S3361" t="s">
        <v>18959</v>
      </c>
      <c r="U3361" t="s">
        <v>26604</v>
      </c>
      <c r="V3361" t="s">
        <v>26612</v>
      </c>
      <c r="W3361" t="s">
        <v>652</v>
      </c>
      <c r="X3361">
        <v>1387.13</v>
      </c>
      <c r="Y3361" t="s">
        <v>26650</v>
      </c>
      <c r="Z3361" t="s">
        <v>26530</v>
      </c>
      <c r="AA3361" t="s">
        <v>26678</v>
      </c>
      <c r="AB3361" t="s">
        <v>29571</v>
      </c>
      <c r="AD3361" t="s">
        <v>39648</v>
      </c>
      <c r="AE3361">
        <v>0</v>
      </c>
      <c r="AF3361" t="s">
        <v>45541</v>
      </c>
      <c r="AG3361" t="s">
        <v>45556</v>
      </c>
      <c r="AH3361">
        <v>2</v>
      </c>
      <c r="AI3361">
        <v>1</v>
      </c>
      <c r="AJ3361">
        <v>0</v>
      </c>
      <c r="AK3361">
        <v>206.74</v>
      </c>
      <c r="AL3361" t="s">
        <v>709</v>
      </c>
      <c r="AM3361" t="s">
        <v>45575</v>
      </c>
      <c r="AN3361" t="s">
        <v>7439</v>
      </c>
      <c r="AO3361">
        <v>25098</v>
      </c>
      <c r="AQ3361" t="s">
        <v>46365</v>
      </c>
      <c r="AR3361" t="s">
        <v>46399</v>
      </c>
      <c r="AS3361" t="s">
        <v>46499</v>
      </c>
      <c r="AT3361" t="s">
        <v>46686</v>
      </c>
      <c r="AU3361">
        <v>8.75</v>
      </c>
      <c r="AV3361" t="s">
        <v>698</v>
      </c>
      <c r="AW3361" t="s">
        <v>267</v>
      </c>
      <c r="AX3361" t="s">
        <v>46897</v>
      </c>
    </row>
    <row r="3362" spans="1:50">
      <c r="A3362" s="1">
        <f>HYPERLINK("https://lsnyc.legalserver.org/matter/dynamic-profile/view/1884141","18-1884141")</f>
        <v>0</v>
      </c>
      <c r="B3362" t="s">
        <v>207</v>
      </c>
      <c r="C3362" t="s">
        <v>341</v>
      </c>
      <c r="D3362" t="s">
        <v>652</v>
      </c>
      <c r="E3362" t="s">
        <v>698</v>
      </c>
      <c r="F3362" t="s">
        <v>2626</v>
      </c>
      <c r="G3362" t="s">
        <v>6661</v>
      </c>
      <c r="H3362" t="s">
        <v>10105</v>
      </c>
      <c r="J3362" t="s">
        <v>18894</v>
      </c>
      <c r="K3362">
        <v>11224</v>
      </c>
      <c r="L3362" t="s">
        <v>18958</v>
      </c>
      <c r="M3362" t="s">
        <v>18960</v>
      </c>
      <c r="O3362" t="s">
        <v>26524</v>
      </c>
      <c r="P3362" t="s">
        <v>26564</v>
      </c>
      <c r="Q3362" t="s">
        <v>26573</v>
      </c>
      <c r="R3362" t="s">
        <v>26586</v>
      </c>
      <c r="U3362" t="s">
        <v>26606</v>
      </c>
      <c r="W3362" t="s">
        <v>652</v>
      </c>
      <c r="X3362">
        <v>247</v>
      </c>
      <c r="Y3362" t="s">
        <v>26652</v>
      </c>
      <c r="Z3362" t="s">
        <v>26659</v>
      </c>
      <c r="AA3362" t="s">
        <v>26678</v>
      </c>
      <c r="AB3362" t="s">
        <v>29572</v>
      </c>
      <c r="AD3362" t="s">
        <v>39649</v>
      </c>
      <c r="AE3362">
        <v>80</v>
      </c>
      <c r="AF3362" t="s">
        <v>45543</v>
      </c>
      <c r="AG3362" t="s">
        <v>45556</v>
      </c>
      <c r="AH3362">
        <v>11</v>
      </c>
      <c r="AI3362">
        <v>1</v>
      </c>
      <c r="AJ3362">
        <v>0</v>
      </c>
      <c r="AK3362">
        <v>76.31</v>
      </c>
      <c r="AN3362" t="s">
        <v>7439</v>
      </c>
      <c r="AO3362">
        <v>9264</v>
      </c>
      <c r="AS3362" t="s">
        <v>46499</v>
      </c>
      <c r="AT3362" t="s">
        <v>46686</v>
      </c>
      <c r="AU3362">
        <v>7.5</v>
      </c>
      <c r="AV3362" t="s">
        <v>698</v>
      </c>
      <c r="AW3362" t="s">
        <v>46856</v>
      </c>
    </row>
    <row r="3363" spans="1:50">
      <c r="A3363" s="1">
        <f>HYPERLINK("https://lsnyc.legalserver.org/matter/dynamic-profile/view/1884099","18-1884099")</f>
        <v>0</v>
      </c>
      <c r="B3363" t="s">
        <v>95</v>
      </c>
      <c r="C3363" t="s">
        <v>341</v>
      </c>
      <c r="D3363" t="s">
        <v>652</v>
      </c>
      <c r="E3363" t="s">
        <v>826</v>
      </c>
      <c r="F3363" t="s">
        <v>2627</v>
      </c>
      <c r="G3363" t="s">
        <v>6857</v>
      </c>
      <c r="H3363" t="s">
        <v>12289</v>
      </c>
      <c r="I3363">
        <v>419</v>
      </c>
      <c r="J3363" t="s">
        <v>18894</v>
      </c>
      <c r="K3363">
        <v>11239</v>
      </c>
      <c r="L3363" t="s">
        <v>18958</v>
      </c>
      <c r="M3363" t="s">
        <v>18958</v>
      </c>
      <c r="N3363" t="s">
        <v>21474</v>
      </c>
      <c r="O3363" t="s">
        <v>26523</v>
      </c>
      <c r="P3363" t="s">
        <v>26560</v>
      </c>
      <c r="Q3363" t="s">
        <v>26573</v>
      </c>
      <c r="R3363" t="s">
        <v>26578</v>
      </c>
      <c r="S3363" t="s">
        <v>18959</v>
      </c>
      <c r="U3363" t="s">
        <v>26604</v>
      </c>
      <c r="V3363" t="s">
        <v>26610</v>
      </c>
      <c r="W3363" t="s">
        <v>652</v>
      </c>
      <c r="X3363">
        <v>963</v>
      </c>
      <c r="Y3363" t="s">
        <v>26652</v>
      </c>
      <c r="Z3363" t="s">
        <v>26659</v>
      </c>
      <c r="AA3363" t="s">
        <v>26678</v>
      </c>
      <c r="AB3363" t="s">
        <v>29573</v>
      </c>
      <c r="AC3363" t="s">
        <v>19330</v>
      </c>
      <c r="AD3363" t="s">
        <v>39650</v>
      </c>
      <c r="AE3363">
        <v>136</v>
      </c>
      <c r="AF3363" t="s">
        <v>45541</v>
      </c>
      <c r="AG3363" t="s">
        <v>19330</v>
      </c>
      <c r="AH3363">
        <v>2</v>
      </c>
      <c r="AI3363">
        <v>1</v>
      </c>
      <c r="AJ3363">
        <v>3</v>
      </c>
      <c r="AK3363">
        <v>160</v>
      </c>
      <c r="AN3363" t="s">
        <v>7439</v>
      </c>
      <c r="AO3363">
        <v>40159</v>
      </c>
      <c r="AU3363">
        <v>8.6</v>
      </c>
      <c r="AV3363" t="s">
        <v>735</v>
      </c>
      <c r="AW3363" t="s">
        <v>95</v>
      </c>
    </row>
    <row r="3364" spans="1:50">
      <c r="A3364" s="1">
        <f>HYPERLINK("https://lsnyc.legalserver.org/matter/dynamic-profile/view/1884200","18-1884200")</f>
        <v>0</v>
      </c>
      <c r="B3364" t="s">
        <v>144</v>
      </c>
      <c r="C3364" t="s">
        <v>340</v>
      </c>
      <c r="D3364" t="s">
        <v>652</v>
      </c>
      <c r="F3364" t="s">
        <v>1197</v>
      </c>
      <c r="G3364" t="s">
        <v>5419</v>
      </c>
      <c r="H3364" t="s">
        <v>12290</v>
      </c>
      <c r="I3364" t="s">
        <v>17274</v>
      </c>
      <c r="J3364" t="s">
        <v>18893</v>
      </c>
      <c r="K3364">
        <v>10027</v>
      </c>
      <c r="L3364" t="s">
        <v>18958</v>
      </c>
      <c r="M3364" t="s">
        <v>18958</v>
      </c>
      <c r="N3364" t="s">
        <v>21475</v>
      </c>
      <c r="O3364" t="s">
        <v>26523</v>
      </c>
      <c r="P3364" t="s">
        <v>26560</v>
      </c>
      <c r="R3364" t="s">
        <v>26580</v>
      </c>
      <c r="S3364" t="s">
        <v>18959</v>
      </c>
      <c r="U3364" t="s">
        <v>26604</v>
      </c>
      <c r="W3364" t="s">
        <v>652</v>
      </c>
      <c r="X3364">
        <v>1474.33</v>
      </c>
      <c r="Y3364" t="s">
        <v>26651</v>
      </c>
      <c r="Z3364" t="s">
        <v>26664</v>
      </c>
      <c r="AB3364" t="s">
        <v>29574</v>
      </c>
      <c r="AD3364" t="s">
        <v>39651</v>
      </c>
      <c r="AE3364">
        <v>24</v>
      </c>
      <c r="AF3364" t="s">
        <v>45541</v>
      </c>
      <c r="AG3364" t="s">
        <v>19330</v>
      </c>
      <c r="AH3364">
        <v>10</v>
      </c>
      <c r="AI3364">
        <v>1</v>
      </c>
      <c r="AJ3364">
        <v>0</v>
      </c>
      <c r="AK3364">
        <v>115.65</v>
      </c>
      <c r="AN3364" t="s">
        <v>7439</v>
      </c>
      <c r="AO3364">
        <v>14040</v>
      </c>
      <c r="AU3364">
        <v>10.75</v>
      </c>
      <c r="AV3364" t="s">
        <v>719</v>
      </c>
      <c r="AW3364" t="s">
        <v>314</v>
      </c>
    </row>
    <row r="3365" spans="1:50">
      <c r="A3365" s="1">
        <f>HYPERLINK("https://lsnyc.legalserver.org/matter/dynamic-profile/view/1884197","18-1884197")</f>
        <v>0</v>
      </c>
      <c r="B3365" t="s">
        <v>61</v>
      </c>
      <c r="C3365" t="s">
        <v>340</v>
      </c>
      <c r="D3365" t="s">
        <v>652</v>
      </c>
      <c r="F3365" t="s">
        <v>2628</v>
      </c>
      <c r="G3365" t="s">
        <v>5785</v>
      </c>
      <c r="H3365" t="s">
        <v>12291</v>
      </c>
      <c r="I3365">
        <v>21</v>
      </c>
      <c r="J3365" t="s">
        <v>18893</v>
      </c>
      <c r="K3365">
        <v>10034</v>
      </c>
      <c r="L3365" t="s">
        <v>18958</v>
      </c>
      <c r="M3365" t="s">
        <v>18958</v>
      </c>
      <c r="N3365" t="s">
        <v>21476</v>
      </c>
      <c r="O3365" t="s">
        <v>26529</v>
      </c>
      <c r="P3365" t="s">
        <v>26560</v>
      </c>
      <c r="R3365" t="s">
        <v>26578</v>
      </c>
      <c r="S3365" t="s">
        <v>18959</v>
      </c>
      <c r="U3365" t="s">
        <v>26604</v>
      </c>
      <c r="V3365" t="s">
        <v>26612</v>
      </c>
      <c r="W3365" t="s">
        <v>652</v>
      </c>
      <c r="X3365">
        <v>1382</v>
      </c>
      <c r="Y3365" t="s">
        <v>26651</v>
      </c>
      <c r="Z3365" t="s">
        <v>26661</v>
      </c>
      <c r="AB3365" t="s">
        <v>29575</v>
      </c>
      <c r="AD3365" t="s">
        <v>39652</v>
      </c>
      <c r="AE3365">
        <v>93</v>
      </c>
      <c r="AF3365" t="s">
        <v>45541</v>
      </c>
      <c r="AG3365" t="s">
        <v>19330</v>
      </c>
      <c r="AH3365">
        <v>5</v>
      </c>
      <c r="AI3365">
        <v>1</v>
      </c>
      <c r="AJ3365">
        <v>2</v>
      </c>
      <c r="AK3365">
        <v>25.02</v>
      </c>
      <c r="AN3365" t="s">
        <v>7439</v>
      </c>
      <c r="AO3365">
        <v>5200</v>
      </c>
      <c r="AU3365">
        <v>66.58</v>
      </c>
      <c r="AV3365" t="s">
        <v>821</v>
      </c>
      <c r="AW3365" t="s">
        <v>46840</v>
      </c>
    </row>
    <row r="3366" spans="1:50">
      <c r="A3366" s="1">
        <f>HYPERLINK("https://lsnyc.legalserver.org/matter/dynamic-profile/view/1884111","18-1884111")</f>
        <v>0</v>
      </c>
      <c r="B3366" t="s">
        <v>149</v>
      </c>
      <c r="C3366" t="s">
        <v>340</v>
      </c>
      <c r="D3366" t="s">
        <v>652</v>
      </c>
      <c r="F3366" t="s">
        <v>894</v>
      </c>
      <c r="G3366" t="s">
        <v>5466</v>
      </c>
      <c r="H3366" t="s">
        <v>12292</v>
      </c>
      <c r="I3366" t="s">
        <v>17672</v>
      </c>
      <c r="J3366" t="s">
        <v>18892</v>
      </c>
      <c r="K3366">
        <v>10455</v>
      </c>
      <c r="L3366" t="s">
        <v>18958</v>
      </c>
      <c r="M3366" t="s">
        <v>18958</v>
      </c>
      <c r="N3366" t="s">
        <v>21207</v>
      </c>
      <c r="O3366" t="s">
        <v>26524</v>
      </c>
      <c r="P3366" t="s">
        <v>26560</v>
      </c>
      <c r="R3366" t="s">
        <v>26577</v>
      </c>
      <c r="S3366" t="s">
        <v>18959</v>
      </c>
      <c r="U3366" t="s">
        <v>26604</v>
      </c>
      <c r="V3366" t="s">
        <v>26610</v>
      </c>
      <c r="W3366" t="s">
        <v>652</v>
      </c>
      <c r="X3366">
        <v>677.35</v>
      </c>
      <c r="Y3366" t="s">
        <v>26650</v>
      </c>
      <c r="Z3366" t="s">
        <v>26668</v>
      </c>
      <c r="AB3366" t="s">
        <v>26728</v>
      </c>
      <c r="AD3366" t="s">
        <v>39653</v>
      </c>
      <c r="AE3366">
        <v>0</v>
      </c>
      <c r="AF3366" t="s">
        <v>45541</v>
      </c>
      <c r="AG3366" t="s">
        <v>26530</v>
      </c>
      <c r="AH3366">
        <v>35</v>
      </c>
      <c r="AI3366">
        <v>2</v>
      </c>
      <c r="AJ3366">
        <v>0</v>
      </c>
      <c r="AK3366">
        <v>108</v>
      </c>
      <c r="AN3366" t="s">
        <v>45581</v>
      </c>
      <c r="AO3366">
        <v>17776</v>
      </c>
      <c r="AU3366">
        <v>30.7</v>
      </c>
      <c r="AV3366" t="s">
        <v>838</v>
      </c>
      <c r="AW3366" t="s">
        <v>336</v>
      </c>
    </row>
    <row r="3367" spans="1:50">
      <c r="A3367" s="1">
        <f>HYPERLINK("https://lsnyc.legalserver.org/matter/dynamic-profile/view/1884174","18-1884174")</f>
        <v>0</v>
      </c>
      <c r="B3367" t="s">
        <v>68</v>
      </c>
      <c r="C3367" t="s">
        <v>340</v>
      </c>
      <c r="D3367" t="s">
        <v>652</v>
      </c>
      <c r="F3367" t="s">
        <v>1136</v>
      </c>
      <c r="G3367" t="s">
        <v>5303</v>
      </c>
      <c r="H3367" t="s">
        <v>12293</v>
      </c>
      <c r="I3367">
        <v>3</v>
      </c>
      <c r="J3367" t="s">
        <v>18892</v>
      </c>
      <c r="K3367">
        <v>10462</v>
      </c>
      <c r="L3367" t="s">
        <v>18958</v>
      </c>
      <c r="M3367" t="s">
        <v>18958</v>
      </c>
      <c r="N3367" t="s">
        <v>21477</v>
      </c>
      <c r="O3367" t="s">
        <v>26523</v>
      </c>
      <c r="P3367" t="s">
        <v>26560</v>
      </c>
      <c r="R3367" t="s">
        <v>26579</v>
      </c>
      <c r="S3367" t="s">
        <v>18959</v>
      </c>
      <c r="U3367" t="s">
        <v>26604</v>
      </c>
      <c r="V3367" t="s">
        <v>26610</v>
      </c>
      <c r="W3367" t="s">
        <v>652</v>
      </c>
      <c r="X3367">
        <v>1050</v>
      </c>
      <c r="Y3367" t="s">
        <v>26650</v>
      </c>
      <c r="Z3367" t="s">
        <v>26668</v>
      </c>
      <c r="AB3367" t="s">
        <v>29576</v>
      </c>
      <c r="AD3367" t="s">
        <v>39654</v>
      </c>
      <c r="AE3367">
        <v>3</v>
      </c>
      <c r="AF3367" t="s">
        <v>45547</v>
      </c>
      <c r="AG3367" t="s">
        <v>19330</v>
      </c>
      <c r="AH3367">
        <v>10</v>
      </c>
      <c r="AI3367">
        <v>1</v>
      </c>
      <c r="AJ3367">
        <v>2</v>
      </c>
      <c r="AK3367">
        <v>40.04</v>
      </c>
      <c r="AN3367" t="s">
        <v>7439</v>
      </c>
      <c r="AO3367">
        <v>8320</v>
      </c>
      <c r="AR3367" t="s">
        <v>46380</v>
      </c>
      <c r="AS3367" t="s">
        <v>46499</v>
      </c>
      <c r="AT3367" t="s">
        <v>46639</v>
      </c>
      <c r="AU3367">
        <v>10.2</v>
      </c>
      <c r="AV3367" t="s">
        <v>767</v>
      </c>
      <c r="AW3367" t="s">
        <v>46870</v>
      </c>
    </row>
    <row r="3368" spans="1:50">
      <c r="A3368" s="1">
        <f>HYPERLINK("https://lsnyc.legalserver.org/matter/dynamic-profile/view/1884147","18-1884147")</f>
        <v>0</v>
      </c>
      <c r="B3368" t="s">
        <v>199</v>
      </c>
      <c r="C3368" t="s">
        <v>340</v>
      </c>
      <c r="D3368" t="s">
        <v>652</v>
      </c>
      <c r="F3368" t="s">
        <v>2116</v>
      </c>
      <c r="G3368" t="s">
        <v>6297</v>
      </c>
      <c r="H3368" t="s">
        <v>11395</v>
      </c>
      <c r="I3368">
        <v>26</v>
      </c>
      <c r="J3368" t="s">
        <v>18894</v>
      </c>
      <c r="K3368">
        <v>11238</v>
      </c>
      <c r="L3368" t="s">
        <v>18958</v>
      </c>
      <c r="M3368" t="s">
        <v>18960</v>
      </c>
      <c r="N3368" t="s">
        <v>21478</v>
      </c>
      <c r="O3368" t="s">
        <v>26523</v>
      </c>
      <c r="P3368" t="s">
        <v>26560</v>
      </c>
      <c r="R3368" t="s">
        <v>26578</v>
      </c>
      <c r="U3368" t="s">
        <v>26604</v>
      </c>
      <c r="V3368" t="s">
        <v>26610</v>
      </c>
      <c r="W3368" t="s">
        <v>652</v>
      </c>
      <c r="X3368">
        <v>1116.53</v>
      </c>
      <c r="Y3368" t="s">
        <v>26652</v>
      </c>
      <c r="Z3368" t="s">
        <v>26659</v>
      </c>
      <c r="AB3368" t="s">
        <v>28388</v>
      </c>
      <c r="AC3368" t="s">
        <v>35141</v>
      </c>
      <c r="AD3368" t="s">
        <v>38647</v>
      </c>
      <c r="AE3368">
        <v>41</v>
      </c>
      <c r="AF3368" t="s">
        <v>45541</v>
      </c>
      <c r="AH3368">
        <v>17</v>
      </c>
      <c r="AI3368">
        <v>2</v>
      </c>
      <c r="AJ3368">
        <v>0</v>
      </c>
      <c r="AK3368">
        <v>162.1</v>
      </c>
      <c r="AN3368" t="s">
        <v>7439</v>
      </c>
      <c r="AO3368">
        <v>26682</v>
      </c>
      <c r="AQ3368" t="s">
        <v>46362</v>
      </c>
      <c r="AR3368" t="s">
        <v>46395</v>
      </c>
      <c r="AU3368">
        <v>17.4</v>
      </c>
      <c r="AV3368" t="s">
        <v>835</v>
      </c>
      <c r="AW3368" t="s">
        <v>46856</v>
      </c>
      <c r="AX3368" t="s">
        <v>46897</v>
      </c>
    </row>
    <row r="3369" spans="1:50">
      <c r="A3369" s="1">
        <f>HYPERLINK("https://lsnyc.legalserver.org/matter/dynamic-profile/view/1884131","18-1884131")</f>
        <v>0</v>
      </c>
      <c r="B3369" t="s">
        <v>62</v>
      </c>
      <c r="C3369" t="s">
        <v>340</v>
      </c>
      <c r="D3369" t="s">
        <v>652</v>
      </c>
      <c r="F3369" t="s">
        <v>887</v>
      </c>
      <c r="G3369" t="s">
        <v>4588</v>
      </c>
      <c r="H3369" t="s">
        <v>12294</v>
      </c>
      <c r="I3369" t="s">
        <v>17316</v>
      </c>
      <c r="J3369" t="s">
        <v>18893</v>
      </c>
      <c r="K3369">
        <v>10027</v>
      </c>
      <c r="L3369" t="s">
        <v>18958</v>
      </c>
      <c r="M3369" t="s">
        <v>18958</v>
      </c>
      <c r="N3369" t="s">
        <v>21479</v>
      </c>
      <c r="O3369" t="s">
        <v>26523</v>
      </c>
      <c r="P3369" t="s">
        <v>26560</v>
      </c>
      <c r="R3369" t="s">
        <v>26580</v>
      </c>
      <c r="S3369" t="s">
        <v>18959</v>
      </c>
      <c r="U3369" t="s">
        <v>26604</v>
      </c>
      <c r="W3369" t="s">
        <v>652</v>
      </c>
      <c r="X3369">
        <v>1950</v>
      </c>
      <c r="Y3369" t="s">
        <v>26651</v>
      </c>
      <c r="Z3369" t="s">
        <v>26530</v>
      </c>
      <c r="AB3369" t="s">
        <v>26812</v>
      </c>
      <c r="AC3369" t="s">
        <v>35504</v>
      </c>
      <c r="AD3369" t="s">
        <v>34738</v>
      </c>
      <c r="AE3369">
        <v>0</v>
      </c>
      <c r="AG3369" t="s">
        <v>26530</v>
      </c>
      <c r="AH3369">
        <v>13</v>
      </c>
      <c r="AI3369">
        <v>2</v>
      </c>
      <c r="AJ3369">
        <v>5</v>
      </c>
      <c r="AK3369">
        <v>53.28</v>
      </c>
      <c r="AN3369" t="s">
        <v>45608</v>
      </c>
      <c r="AO3369">
        <v>20280</v>
      </c>
      <c r="AU3369">
        <v>20.05</v>
      </c>
      <c r="AV3369" t="s">
        <v>760</v>
      </c>
      <c r="AW3369" t="s">
        <v>46875</v>
      </c>
    </row>
    <row r="3370" spans="1:50">
      <c r="A3370" s="1">
        <f>HYPERLINK("https://lsnyc.legalserver.org/matter/dynamic-profile/view/1884301","18-1884301")</f>
        <v>0</v>
      </c>
      <c r="B3370" t="s">
        <v>64</v>
      </c>
      <c r="C3370" t="s">
        <v>341</v>
      </c>
      <c r="D3370" t="s">
        <v>667</v>
      </c>
      <c r="E3370" t="s">
        <v>452</v>
      </c>
      <c r="F3370" t="s">
        <v>1520</v>
      </c>
      <c r="G3370" t="s">
        <v>2409</v>
      </c>
      <c r="H3370" t="s">
        <v>10468</v>
      </c>
      <c r="I3370" t="s">
        <v>17557</v>
      </c>
      <c r="J3370" t="s">
        <v>18892</v>
      </c>
      <c r="K3370">
        <v>10467</v>
      </c>
      <c r="L3370" t="s">
        <v>18958</v>
      </c>
      <c r="M3370" t="s">
        <v>18958</v>
      </c>
      <c r="O3370" t="s">
        <v>26529</v>
      </c>
      <c r="P3370" t="s">
        <v>26565</v>
      </c>
      <c r="Q3370" t="s">
        <v>26571</v>
      </c>
      <c r="R3370" t="s">
        <v>26578</v>
      </c>
      <c r="U3370" t="s">
        <v>26604</v>
      </c>
      <c r="V3370" t="s">
        <v>26614</v>
      </c>
      <c r="W3370" t="s">
        <v>652</v>
      </c>
      <c r="X3370">
        <v>335</v>
      </c>
      <c r="Y3370" t="s">
        <v>26650</v>
      </c>
      <c r="Z3370" t="s">
        <v>26659</v>
      </c>
      <c r="AA3370" t="s">
        <v>26691</v>
      </c>
      <c r="AB3370" t="s">
        <v>27582</v>
      </c>
      <c r="AC3370" t="s">
        <v>34784</v>
      </c>
      <c r="AD3370" t="s">
        <v>37640</v>
      </c>
      <c r="AE3370">
        <v>0</v>
      </c>
      <c r="AF3370" t="s">
        <v>45541</v>
      </c>
      <c r="AG3370" t="s">
        <v>19330</v>
      </c>
      <c r="AH3370">
        <v>8</v>
      </c>
      <c r="AI3370">
        <v>1</v>
      </c>
      <c r="AJ3370">
        <v>0</v>
      </c>
      <c r="AK3370">
        <v>107.08</v>
      </c>
      <c r="AN3370" t="s">
        <v>7439</v>
      </c>
      <c r="AO3370">
        <v>13000</v>
      </c>
      <c r="AR3370" t="s">
        <v>46437</v>
      </c>
      <c r="AS3370" t="s">
        <v>46500</v>
      </c>
      <c r="AT3370" t="s">
        <v>46624</v>
      </c>
      <c r="AU3370">
        <v>6.1</v>
      </c>
      <c r="AV3370" t="s">
        <v>683</v>
      </c>
      <c r="AW3370" t="s">
        <v>46870</v>
      </c>
    </row>
    <row r="3371" spans="1:50">
      <c r="A3371" s="1">
        <f>HYPERLINK("https://lsnyc.legalserver.org/matter/dynamic-profile/view/1889424","19-1889424")</f>
        <v>0</v>
      </c>
      <c r="B3371" t="s">
        <v>134</v>
      </c>
      <c r="C3371" t="s">
        <v>340</v>
      </c>
      <c r="D3371" t="s">
        <v>677</v>
      </c>
      <c r="F3371" t="s">
        <v>2629</v>
      </c>
      <c r="G3371" t="s">
        <v>5170</v>
      </c>
      <c r="H3371" t="s">
        <v>12295</v>
      </c>
      <c r="I3371" t="s">
        <v>17349</v>
      </c>
      <c r="J3371" t="s">
        <v>18894</v>
      </c>
      <c r="K3371">
        <v>11208</v>
      </c>
      <c r="L3371" t="s">
        <v>18958</v>
      </c>
      <c r="M3371" t="s">
        <v>18958</v>
      </c>
      <c r="N3371" t="s">
        <v>18997</v>
      </c>
      <c r="O3371" t="s">
        <v>26534</v>
      </c>
      <c r="P3371" t="s">
        <v>26561</v>
      </c>
      <c r="R3371" t="s">
        <v>26578</v>
      </c>
      <c r="S3371" t="s">
        <v>18959</v>
      </c>
      <c r="U3371" t="s">
        <v>26604</v>
      </c>
      <c r="V3371" t="s">
        <v>26610</v>
      </c>
      <c r="W3371" t="s">
        <v>652</v>
      </c>
      <c r="X3371">
        <v>1350</v>
      </c>
      <c r="Y3371" t="s">
        <v>26652</v>
      </c>
      <c r="Z3371" t="s">
        <v>26659</v>
      </c>
      <c r="AB3371" t="s">
        <v>29577</v>
      </c>
      <c r="AC3371" t="s">
        <v>35505</v>
      </c>
      <c r="AD3371" t="s">
        <v>39655</v>
      </c>
      <c r="AE3371">
        <v>15</v>
      </c>
      <c r="AF3371" t="s">
        <v>45541</v>
      </c>
      <c r="AG3371" t="s">
        <v>19330</v>
      </c>
      <c r="AH3371">
        <v>2</v>
      </c>
      <c r="AI3371">
        <v>2</v>
      </c>
      <c r="AJ3371">
        <v>3</v>
      </c>
      <c r="AK3371">
        <v>64.43000000000001</v>
      </c>
      <c r="AN3371" t="s">
        <v>7439</v>
      </c>
      <c r="AO3371">
        <v>19440</v>
      </c>
      <c r="AP3371" t="s">
        <v>45788</v>
      </c>
      <c r="AU3371">
        <v>2.7</v>
      </c>
      <c r="AV3371" t="s">
        <v>819</v>
      </c>
      <c r="AW3371" t="s">
        <v>279</v>
      </c>
    </row>
    <row r="3372" spans="1:50">
      <c r="A3372" s="1">
        <f>HYPERLINK("https://lsnyc.legalserver.org/matter/dynamic-profile/view/1874438","18-1874438")</f>
        <v>0</v>
      </c>
      <c r="B3372" t="s">
        <v>216</v>
      </c>
      <c r="C3372" t="s">
        <v>341</v>
      </c>
      <c r="D3372" t="s">
        <v>498</v>
      </c>
      <c r="E3372" t="s">
        <v>675</v>
      </c>
      <c r="F3372" t="s">
        <v>2630</v>
      </c>
      <c r="G3372" t="s">
        <v>5990</v>
      </c>
      <c r="H3372" t="s">
        <v>9692</v>
      </c>
      <c r="I3372" t="s">
        <v>17957</v>
      </c>
      <c r="J3372" t="s">
        <v>18894</v>
      </c>
      <c r="K3372">
        <v>11233</v>
      </c>
      <c r="L3372" t="s">
        <v>18958</v>
      </c>
      <c r="M3372" t="s">
        <v>18958</v>
      </c>
      <c r="N3372" t="s">
        <v>21480</v>
      </c>
      <c r="O3372" t="s">
        <v>26524</v>
      </c>
      <c r="P3372" t="s">
        <v>26564</v>
      </c>
      <c r="Q3372" t="s">
        <v>26570</v>
      </c>
      <c r="R3372" t="s">
        <v>26578</v>
      </c>
      <c r="S3372" t="s">
        <v>18959</v>
      </c>
      <c r="U3372" t="s">
        <v>26604</v>
      </c>
      <c r="W3372" t="s">
        <v>675</v>
      </c>
      <c r="X3372">
        <v>1444.52</v>
      </c>
      <c r="Y3372" t="s">
        <v>26652</v>
      </c>
      <c r="Z3372" t="s">
        <v>26659</v>
      </c>
      <c r="AA3372" t="s">
        <v>26683</v>
      </c>
      <c r="AB3372" t="s">
        <v>29578</v>
      </c>
      <c r="AC3372" t="s">
        <v>35506</v>
      </c>
      <c r="AD3372" t="s">
        <v>39656</v>
      </c>
      <c r="AE3372">
        <v>764</v>
      </c>
      <c r="AF3372" t="s">
        <v>45541</v>
      </c>
      <c r="AG3372" t="s">
        <v>19330</v>
      </c>
      <c r="AH3372">
        <v>7</v>
      </c>
      <c r="AI3372">
        <v>1</v>
      </c>
      <c r="AJ3372">
        <v>3</v>
      </c>
      <c r="AK3372">
        <v>155.38</v>
      </c>
      <c r="AN3372" t="s">
        <v>7439</v>
      </c>
      <c r="AO3372">
        <v>39000</v>
      </c>
      <c r="AU3372">
        <v>4.6</v>
      </c>
      <c r="AV3372" t="s">
        <v>576</v>
      </c>
      <c r="AW3372" t="s">
        <v>279</v>
      </c>
    </row>
    <row r="3373" spans="1:50">
      <c r="A3373" s="1">
        <f>HYPERLINK("https://lsnyc.legalserver.org/matter/dynamic-profile/view/1883459","18-1883459")</f>
        <v>0</v>
      </c>
      <c r="B3373" t="s">
        <v>261</v>
      </c>
      <c r="C3373" t="s">
        <v>341</v>
      </c>
      <c r="D3373" t="s">
        <v>664</v>
      </c>
      <c r="E3373" t="s">
        <v>494</v>
      </c>
      <c r="F3373" t="s">
        <v>2631</v>
      </c>
      <c r="G3373" t="s">
        <v>5664</v>
      </c>
      <c r="H3373" t="s">
        <v>12296</v>
      </c>
      <c r="I3373" t="s">
        <v>17306</v>
      </c>
      <c r="J3373" t="s">
        <v>18892</v>
      </c>
      <c r="K3373">
        <v>10453</v>
      </c>
      <c r="L3373" t="s">
        <v>18958</v>
      </c>
      <c r="M3373" t="s">
        <v>18958</v>
      </c>
      <c r="O3373" t="s">
        <v>18997</v>
      </c>
      <c r="P3373" t="s">
        <v>26564</v>
      </c>
      <c r="Q3373" t="s">
        <v>26570</v>
      </c>
      <c r="R3373" t="s">
        <v>26578</v>
      </c>
      <c r="U3373" t="s">
        <v>26604</v>
      </c>
      <c r="W3373" t="s">
        <v>675</v>
      </c>
      <c r="X3373">
        <v>1350</v>
      </c>
      <c r="Y3373" t="s">
        <v>26650</v>
      </c>
      <c r="AA3373" t="s">
        <v>26683</v>
      </c>
      <c r="AB3373" t="s">
        <v>29579</v>
      </c>
      <c r="AD3373" t="s">
        <v>39657</v>
      </c>
      <c r="AE3373">
        <v>0</v>
      </c>
      <c r="AF3373" t="s">
        <v>20460</v>
      </c>
      <c r="AG3373" t="s">
        <v>19330</v>
      </c>
      <c r="AH3373">
        <v>19</v>
      </c>
      <c r="AI3373">
        <v>2</v>
      </c>
      <c r="AJ3373">
        <v>0</v>
      </c>
      <c r="AK3373">
        <v>0</v>
      </c>
      <c r="AN3373" t="s">
        <v>7439</v>
      </c>
      <c r="AO3373">
        <v>0</v>
      </c>
      <c r="AP3373" t="s">
        <v>45784</v>
      </c>
      <c r="AU3373">
        <v>3.25</v>
      </c>
      <c r="AV3373" t="s">
        <v>414</v>
      </c>
      <c r="AW3373" t="s">
        <v>46859</v>
      </c>
    </row>
    <row r="3374" spans="1:50">
      <c r="A3374" s="1">
        <f>HYPERLINK("https://lsnyc.legalserver.org/matter/dynamic-profile/view/1883780","18-1883780")</f>
        <v>0</v>
      </c>
      <c r="B3374" t="s">
        <v>189</v>
      </c>
      <c r="C3374" t="s">
        <v>341</v>
      </c>
      <c r="D3374" t="s">
        <v>669</v>
      </c>
      <c r="E3374" t="s">
        <v>682</v>
      </c>
      <c r="F3374" t="s">
        <v>1048</v>
      </c>
      <c r="G3374" t="s">
        <v>940</v>
      </c>
      <c r="H3374" t="s">
        <v>12297</v>
      </c>
      <c r="I3374">
        <v>3</v>
      </c>
      <c r="J3374" t="s">
        <v>18892</v>
      </c>
      <c r="K3374">
        <v>10459</v>
      </c>
      <c r="L3374" t="s">
        <v>18958</v>
      </c>
      <c r="M3374" t="s">
        <v>18958</v>
      </c>
      <c r="N3374" t="s">
        <v>21481</v>
      </c>
      <c r="O3374" t="s">
        <v>26524</v>
      </c>
      <c r="P3374" t="s">
        <v>26564</v>
      </c>
      <c r="Q3374" t="s">
        <v>26570</v>
      </c>
      <c r="R3374" t="s">
        <v>26578</v>
      </c>
      <c r="S3374" t="s">
        <v>18959</v>
      </c>
      <c r="U3374" t="s">
        <v>26604</v>
      </c>
      <c r="W3374" t="s">
        <v>675</v>
      </c>
      <c r="X3374">
        <v>2050</v>
      </c>
      <c r="Y3374" t="s">
        <v>26650</v>
      </c>
      <c r="Z3374" t="s">
        <v>26673</v>
      </c>
      <c r="AA3374" t="s">
        <v>26683</v>
      </c>
      <c r="AB3374" t="s">
        <v>29580</v>
      </c>
      <c r="AD3374" t="s">
        <v>39658</v>
      </c>
      <c r="AE3374">
        <v>4</v>
      </c>
      <c r="AF3374" t="s">
        <v>45543</v>
      </c>
      <c r="AG3374" t="s">
        <v>45556</v>
      </c>
      <c r="AH3374">
        <v>2</v>
      </c>
      <c r="AI3374">
        <v>3</v>
      </c>
      <c r="AJ3374">
        <v>1</v>
      </c>
      <c r="AK3374">
        <v>117.58</v>
      </c>
      <c r="AN3374" t="s">
        <v>45581</v>
      </c>
      <c r="AO3374">
        <v>29512</v>
      </c>
      <c r="AP3374" t="s">
        <v>45784</v>
      </c>
      <c r="AU3374">
        <v>0.75</v>
      </c>
      <c r="AV3374" t="s">
        <v>682</v>
      </c>
      <c r="AW3374" t="s">
        <v>46829</v>
      </c>
    </row>
    <row r="3375" spans="1:50">
      <c r="A3375" s="1">
        <f>HYPERLINK("https://lsnyc.legalserver.org/matter/dynamic-profile/view/1884338","18-1884338")</f>
        <v>0</v>
      </c>
      <c r="B3375" t="s">
        <v>163</v>
      </c>
      <c r="C3375" t="s">
        <v>341</v>
      </c>
      <c r="D3375" t="s">
        <v>675</v>
      </c>
      <c r="E3375" t="s">
        <v>494</v>
      </c>
      <c r="F3375" t="s">
        <v>1798</v>
      </c>
      <c r="G3375" t="s">
        <v>5785</v>
      </c>
      <c r="H3375" t="s">
        <v>12298</v>
      </c>
      <c r="I3375" t="s">
        <v>17491</v>
      </c>
      <c r="J3375" t="s">
        <v>18932</v>
      </c>
      <c r="K3375">
        <v>11385</v>
      </c>
      <c r="L3375" t="s">
        <v>18958</v>
      </c>
      <c r="M3375" t="s">
        <v>18958</v>
      </c>
      <c r="N3375" t="s">
        <v>21482</v>
      </c>
      <c r="O3375" t="s">
        <v>26524</v>
      </c>
      <c r="P3375" t="s">
        <v>26564</v>
      </c>
      <c r="Q3375" t="s">
        <v>26570</v>
      </c>
      <c r="R3375" t="s">
        <v>26585</v>
      </c>
      <c r="S3375" t="s">
        <v>18959</v>
      </c>
      <c r="U3375" t="s">
        <v>26604</v>
      </c>
      <c r="V3375" t="s">
        <v>26612</v>
      </c>
      <c r="W3375" t="s">
        <v>675</v>
      </c>
      <c r="X3375">
        <v>1600</v>
      </c>
      <c r="Y3375" t="s">
        <v>26653</v>
      </c>
      <c r="Z3375" t="s">
        <v>26664</v>
      </c>
      <c r="AA3375" t="s">
        <v>26683</v>
      </c>
      <c r="AB3375" t="s">
        <v>29248</v>
      </c>
      <c r="AC3375" t="s">
        <v>35507</v>
      </c>
      <c r="AD3375" t="s">
        <v>39659</v>
      </c>
      <c r="AE3375">
        <v>4</v>
      </c>
      <c r="AF3375" t="s">
        <v>20460</v>
      </c>
      <c r="AG3375" t="s">
        <v>19330</v>
      </c>
      <c r="AH3375">
        <v>1</v>
      </c>
      <c r="AI3375">
        <v>1</v>
      </c>
      <c r="AJ3375">
        <v>0</v>
      </c>
      <c r="AK3375">
        <v>98.84999999999999</v>
      </c>
      <c r="AN3375" t="s">
        <v>7439</v>
      </c>
      <c r="AO3375">
        <v>12000</v>
      </c>
      <c r="AU3375">
        <v>1.5</v>
      </c>
      <c r="AV3375" t="s">
        <v>853</v>
      </c>
      <c r="AW3375" t="s">
        <v>208</v>
      </c>
    </row>
    <row r="3376" spans="1:50">
      <c r="A3376" s="1">
        <f>HYPERLINK("https://lsnyc.legalserver.org/matter/dynamic-profile/view/1884334","18-1884334")</f>
        <v>0</v>
      </c>
      <c r="B3376" t="s">
        <v>97</v>
      </c>
      <c r="C3376" t="s">
        <v>341</v>
      </c>
      <c r="D3376" t="s">
        <v>675</v>
      </c>
      <c r="E3376" t="s">
        <v>772</v>
      </c>
      <c r="F3376" t="s">
        <v>2632</v>
      </c>
      <c r="G3376" t="s">
        <v>4429</v>
      </c>
      <c r="H3376" t="s">
        <v>12299</v>
      </c>
      <c r="I3376" t="s">
        <v>17322</v>
      </c>
      <c r="J3376" t="s">
        <v>18892</v>
      </c>
      <c r="K3376">
        <v>10457</v>
      </c>
      <c r="L3376" t="s">
        <v>18958</v>
      </c>
      <c r="M3376" t="s">
        <v>18958</v>
      </c>
      <c r="N3376" t="s">
        <v>21483</v>
      </c>
      <c r="O3376" t="s">
        <v>26523</v>
      </c>
      <c r="P3376" t="s">
        <v>26560</v>
      </c>
      <c r="Q3376" t="s">
        <v>26573</v>
      </c>
      <c r="R3376" t="s">
        <v>26579</v>
      </c>
      <c r="S3376" t="s">
        <v>18959</v>
      </c>
      <c r="U3376" t="s">
        <v>26604</v>
      </c>
      <c r="V3376" t="s">
        <v>26610</v>
      </c>
      <c r="W3376" t="s">
        <v>675</v>
      </c>
      <c r="X3376">
        <v>1145.45</v>
      </c>
      <c r="Y3376" t="s">
        <v>26650</v>
      </c>
      <c r="Z3376" t="s">
        <v>26664</v>
      </c>
      <c r="AA3376" t="s">
        <v>26678</v>
      </c>
      <c r="AB3376" t="s">
        <v>29581</v>
      </c>
      <c r="AD3376" t="s">
        <v>39660</v>
      </c>
      <c r="AE3376">
        <v>41</v>
      </c>
      <c r="AF3376" t="s">
        <v>45541</v>
      </c>
      <c r="AG3376" t="s">
        <v>19330</v>
      </c>
      <c r="AH3376">
        <v>2</v>
      </c>
      <c r="AI3376">
        <v>2</v>
      </c>
      <c r="AJ3376">
        <v>1</v>
      </c>
      <c r="AK3376">
        <v>91.43000000000001</v>
      </c>
      <c r="AN3376" t="s">
        <v>8151</v>
      </c>
      <c r="AO3376">
        <v>19000</v>
      </c>
      <c r="AS3376" t="s">
        <v>46499</v>
      </c>
      <c r="AU3376">
        <v>23.8</v>
      </c>
      <c r="AV3376" t="s">
        <v>657</v>
      </c>
      <c r="AW3376" t="s">
        <v>46870</v>
      </c>
    </row>
    <row r="3377" spans="1:50">
      <c r="A3377" s="1">
        <f>HYPERLINK("https://lsnyc.legalserver.org/matter/dynamic-profile/view/1884241","18-1884241")</f>
        <v>0</v>
      </c>
      <c r="B3377" t="s">
        <v>81</v>
      </c>
      <c r="C3377" t="s">
        <v>341</v>
      </c>
      <c r="D3377" t="s">
        <v>675</v>
      </c>
      <c r="E3377" t="s">
        <v>494</v>
      </c>
      <c r="F3377" t="s">
        <v>2633</v>
      </c>
      <c r="G3377" t="s">
        <v>5199</v>
      </c>
      <c r="H3377" t="s">
        <v>12300</v>
      </c>
      <c r="I3377" t="s">
        <v>17958</v>
      </c>
      <c r="J3377" t="s">
        <v>18892</v>
      </c>
      <c r="K3377">
        <v>10453</v>
      </c>
      <c r="L3377" t="s">
        <v>18958</v>
      </c>
      <c r="M3377" t="s">
        <v>18958</v>
      </c>
      <c r="N3377" t="s">
        <v>21484</v>
      </c>
      <c r="O3377" t="s">
        <v>26523</v>
      </c>
      <c r="P3377" t="s">
        <v>26560</v>
      </c>
      <c r="Q3377" t="s">
        <v>26568</v>
      </c>
      <c r="R3377" t="s">
        <v>26577</v>
      </c>
      <c r="S3377" t="s">
        <v>18959</v>
      </c>
      <c r="U3377" t="s">
        <v>26604</v>
      </c>
      <c r="W3377" t="s">
        <v>675</v>
      </c>
      <c r="X3377">
        <v>1409</v>
      </c>
      <c r="Y3377" t="s">
        <v>26650</v>
      </c>
      <c r="Z3377" t="s">
        <v>26664</v>
      </c>
      <c r="AA3377" t="s">
        <v>26680</v>
      </c>
      <c r="AB3377" t="s">
        <v>29582</v>
      </c>
      <c r="AD3377" t="s">
        <v>39661</v>
      </c>
      <c r="AE3377">
        <v>0</v>
      </c>
      <c r="AF3377" t="s">
        <v>45543</v>
      </c>
      <c r="AG3377" t="s">
        <v>45556</v>
      </c>
      <c r="AH3377">
        <v>1</v>
      </c>
      <c r="AI3377">
        <v>1</v>
      </c>
      <c r="AJ3377">
        <v>0</v>
      </c>
      <c r="AK3377">
        <v>0</v>
      </c>
      <c r="AN3377" t="s">
        <v>7439</v>
      </c>
      <c r="AO3377">
        <v>0</v>
      </c>
      <c r="AS3377" t="s">
        <v>46499</v>
      </c>
      <c r="AT3377" t="s">
        <v>46618</v>
      </c>
      <c r="AU3377">
        <v>6.85</v>
      </c>
      <c r="AV3377" t="s">
        <v>689</v>
      </c>
      <c r="AW3377" t="s">
        <v>46871</v>
      </c>
    </row>
    <row r="3378" spans="1:50">
      <c r="A3378" s="1">
        <f>HYPERLINK("https://lsnyc.legalserver.org/matter/dynamic-profile/view/1884328","18-1884328")</f>
        <v>0</v>
      </c>
      <c r="B3378" t="s">
        <v>162</v>
      </c>
      <c r="C3378" t="s">
        <v>341</v>
      </c>
      <c r="D3378" t="s">
        <v>675</v>
      </c>
      <c r="E3378" t="s">
        <v>704</v>
      </c>
      <c r="F3378" t="s">
        <v>2634</v>
      </c>
      <c r="G3378" t="s">
        <v>3036</v>
      </c>
      <c r="H3378" t="s">
        <v>12301</v>
      </c>
      <c r="I3378" t="s">
        <v>17322</v>
      </c>
      <c r="J3378" t="s">
        <v>18894</v>
      </c>
      <c r="K3378">
        <v>11236</v>
      </c>
      <c r="L3378" t="s">
        <v>18958</v>
      </c>
      <c r="M3378" t="s">
        <v>18958</v>
      </c>
      <c r="N3378" t="s">
        <v>21485</v>
      </c>
      <c r="O3378" t="s">
        <v>26533</v>
      </c>
      <c r="P3378" t="s">
        <v>26560</v>
      </c>
      <c r="Q3378" t="s">
        <v>26568</v>
      </c>
      <c r="R3378" t="s">
        <v>26586</v>
      </c>
      <c r="S3378" t="s">
        <v>18959</v>
      </c>
      <c r="U3378" t="s">
        <v>26605</v>
      </c>
      <c r="V3378" t="s">
        <v>26614</v>
      </c>
      <c r="W3378" t="s">
        <v>675</v>
      </c>
      <c r="X3378">
        <v>768</v>
      </c>
      <c r="Y3378" t="s">
        <v>26652</v>
      </c>
      <c r="Z3378" t="s">
        <v>26663</v>
      </c>
      <c r="AA3378" t="s">
        <v>26678</v>
      </c>
      <c r="AB3378" t="s">
        <v>29583</v>
      </c>
      <c r="AC3378" t="s">
        <v>35508</v>
      </c>
      <c r="AD3378" t="s">
        <v>39662</v>
      </c>
      <c r="AE3378">
        <v>60</v>
      </c>
      <c r="AF3378" t="s">
        <v>45549</v>
      </c>
      <c r="AG3378" t="s">
        <v>45556</v>
      </c>
      <c r="AH3378">
        <v>10</v>
      </c>
      <c r="AI3378">
        <v>1</v>
      </c>
      <c r="AJ3378">
        <v>2</v>
      </c>
      <c r="AK3378">
        <v>25.02</v>
      </c>
      <c r="AN3378" t="s">
        <v>7439</v>
      </c>
      <c r="AO3378">
        <v>5200</v>
      </c>
      <c r="AQ3378" t="s">
        <v>46365</v>
      </c>
      <c r="AR3378" t="s">
        <v>46379</v>
      </c>
      <c r="AS3378" t="s">
        <v>46499</v>
      </c>
      <c r="AT3378" t="s">
        <v>46535</v>
      </c>
      <c r="AU3378">
        <v>5</v>
      </c>
      <c r="AV3378" t="s">
        <v>667</v>
      </c>
      <c r="AW3378" t="s">
        <v>46856</v>
      </c>
    </row>
    <row r="3379" spans="1:50">
      <c r="A3379" s="1">
        <f>HYPERLINK("https://lsnyc.legalserver.org/matter/dynamic-profile/view/1884319","18-1884319")</f>
        <v>0</v>
      </c>
      <c r="B3379" t="s">
        <v>232</v>
      </c>
      <c r="C3379" t="s">
        <v>341</v>
      </c>
      <c r="D3379" t="s">
        <v>675</v>
      </c>
      <c r="E3379" t="s">
        <v>675</v>
      </c>
      <c r="F3379" t="s">
        <v>2635</v>
      </c>
      <c r="G3379" t="s">
        <v>6858</v>
      </c>
      <c r="H3379" t="s">
        <v>12302</v>
      </c>
      <c r="I3379" t="s">
        <v>17298</v>
      </c>
      <c r="J3379" t="s">
        <v>18894</v>
      </c>
      <c r="K3379">
        <v>11207</v>
      </c>
      <c r="L3379" t="s">
        <v>18958</v>
      </c>
      <c r="M3379" t="s">
        <v>18960</v>
      </c>
      <c r="N3379" t="s">
        <v>21486</v>
      </c>
      <c r="O3379" t="s">
        <v>26523</v>
      </c>
      <c r="P3379" t="s">
        <v>26565</v>
      </c>
      <c r="Q3379" t="s">
        <v>26571</v>
      </c>
      <c r="R3379" t="s">
        <v>26583</v>
      </c>
      <c r="U3379" t="s">
        <v>26604</v>
      </c>
      <c r="W3379" t="s">
        <v>675</v>
      </c>
      <c r="X3379">
        <v>398</v>
      </c>
      <c r="Y3379" t="s">
        <v>26652</v>
      </c>
      <c r="Z3379" t="s">
        <v>26659</v>
      </c>
      <c r="AA3379" t="s">
        <v>26682</v>
      </c>
      <c r="AB3379" t="s">
        <v>29584</v>
      </c>
      <c r="AD3379" t="s">
        <v>39663</v>
      </c>
      <c r="AE3379">
        <v>60</v>
      </c>
      <c r="AF3379" t="s">
        <v>45549</v>
      </c>
      <c r="AH3379">
        <v>2</v>
      </c>
      <c r="AI3379">
        <v>5</v>
      </c>
      <c r="AJ3379">
        <v>2</v>
      </c>
      <c r="AK3379">
        <v>43.86</v>
      </c>
      <c r="AN3379" t="s">
        <v>7439</v>
      </c>
      <c r="AO3379">
        <v>16692</v>
      </c>
      <c r="AU3379">
        <v>1</v>
      </c>
      <c r="AV3379" t="s">
        <v>675</v>
      </c>
      <c r="AW3379" t="s">
        <v>46856</v>
      </c>
    </row>
    <row r="3380" spans="1:50">
      <c r="A3380" s="1">
        <f>HYPERLINK("https://lsnyc.legalserver.org/matter/dynamic-profile/view/1884335","18-1884335")</f>
        <v>0</v>
      </c>
      <c r="B3380" t="s">
        <v>232</v>
      </c>
      <c r="C3380" t="s">
        <v>341</v>
      </c>
      <c r="D3380" t="s">
        <v>675</v>
      </c>
      <c r="E3380" t="s">
        <v>675</v>
      </c>
      <c r="F3380" t="s">
        <v>2529</v>
      </c>
      <c r="G3380" t="s">
        <v>5818</v>
      </c>
      <c r="H3380" t="s">
        <v>12303</v>
      </c>
      <c r="I3380">
        <v>1</v>
      </c>
      <c r="J3380" t="s">
        <v>18894</v>
      </c>
      <c r="K3380">
        <v>11223</v>
      </c>
      <c r="L3380" t="s">
        <v>18958</v>
      </c>
      <c r="M3380" t="s">
        <v>18960</v>
      </c>
      <c r="N3380" t="s">
        <v>21487</v>
      </c>
      <c r="O3380" t="s">
        <v>26524</v>
      </c>
      <c r="P3380" t="s">
        <v>26564</v>
      </c>
      <c r="Q3380" t="s">
        <v>26570</v>
      </c>
      <c r="R3380" t="s">
        <v>26586</v>
      </c>
      <c r="S3380" t="s">
        <v>18959</v>
      </c>
      <c r="U3380" t="s">
        <v>26604</v>
      </c>
      <c r="V3380" t="s">
        <v>26612</v>
      </c>
      <c r="W3380" t="s">
        <v>675</v>
      </c>
      <c r="X3380">
        <v>600</v>
      </c>
      <c r="Y3380" t="s">
        <v>26652</v>
      </c>
      <c r="Z3380" t="s">
        <v>26668</v>
      </c>
      <c r="AA3380" t="s">
        <v>26683</v>
      </c>
      <c r="AB3380" t="s">
        <v>29585</v>
      </c>
      <c r="AE3380">
        <v>3</v>
      </c>
      <c r="AF3380" t="s">
        <v>45547</v>
      </c>
      <c r="AG3380" t="s">
        <v>19330</v>
      </c>
      <c r="AH3380">
        <v>1</v>
      </c>
      <c r="AI3380">
        <v>1</v>
      </c>
      <c r="AJ3380">
        <v>0</v>
      </c>
      <c r="AK3380">
        <v>107.08</v>
      </c>
      <c r="AN3380" t="s">
        <v>7439</v>
      </c>
      <c r="AO3380">
        <v>13000</v>
      </c>
      <c r="AU3380">
        <v>1</v>
      </c>
      <c r="AV3380" t="s">
        <v>675</v>
      </c>
      <c r="AW3380" t="s">
        <v>46856</v>
      </c>
    </row>
    <row r="3381" spans="1:50">
      <c r="A3381" s="1">
        <f>HYPERLINK("https://lsnyc.legalserver.org/matter/dynamic-profile/view/1884253","18-1884253")</f>
        <v>0</v>
      </c>
      <c r="B3381" t="s">
        <v>71</v>
      </c>
      <c r="C3381" t="s">
        <v>341</v>
      </c>
      <c r="D3381" t="s">
        <v>675</v>
      </c>
      <c r="E3381" t="s">
        <v>692</v>
      </c>
      <c r="F3381" t="s">
        <v>2636</v>
      </c>
      <c r="G3381" t="s">
        <v>5094</v>
      </c>
      <c r="H3381" t="s">
        <v>12304</v>
      </c>
      <c r="I3381" t="s">
        <v>17725</v>
      </c>
      <c r="J3381" t="s">
        <v>18892</v>
      </c>
      <c r="K3381">
        <v>10462</v>
      </c>
      <c r="L3381" t="s">
        <v>18958</v>
      </c>
      <c r="M3381" t="s">
        <v>18958</v>
      </c>
      <c r="N3381" t="s">
        <v>21488</v>
      </c>
      <c r="O3381" t="s">
        <v>26523</v>
      </c>
      <c r="P3381" t="s">
        <v>26560</v>
      </c>
      <c r="Q3381" t="s">
        <v>26568</v>
      </c>
      <c r="R3381" t="s">
        <v>26579</v>
      </c>
      <c r="S3381" t="s">
        <v>18959</v>
      </c>
      <c r="U3381" t="s">
        <v>26604</v>
      </c>
      <c r="V3381" t="s">
        <v>26612</v>
      </c>
      <c r="W3381" t="s">
        <v>675</v>
      </c>
      <c r="X3381">
        <v>1417.8</v>
      </c>
      <c r="Y3381" t="s">
        <v>26650</v>
      </c>
      <c r="Z3381" t="s">
        <v>26663</v>
      </c>
      <c r="AA3381" t="s">
        <v>26678</v>
      </c>
      <c r="AB3381" t="s">
        <v>29586</v>
      </c>
      <c r="AD3381" t="s">
        <v>39664</v>
      </c>
      <c r="AE3381">
        <v>85</v>
      </c>
      <c r="AF3381" t="s">
        <v>45547</v>
      </c>
      <c r="AG3381" t="s">
        <v>19330</v>
      </c>
      <c r="AH3381">
        <v>1</v>
      </c>
      <c r="AI3381">
        <v>1</v>
      </c>
      <c r="AJ3381">
        <v>0</v>
      </c>
      <c r="AK3381">
        <v>128.5</v>
      </c>
      <c r="AN3381" t="s">
        <v>45581</v>
      </c>
      <c r="AO3381">
        <v>15600</v>
      </c>
      <c r="AQ3381" t="s">
        <v>46365</v>
      </c>
      <c r="AR3381" t="s">
        <v>46422</v>
      </c>
      <c r="AS3381" t="s">
        <v>46499</v>
      </c>
      <c r="AT3381" t="s">
        <v>46642</v>
      </c>
      <c r="AU3381">
        <v>11.5</v>
      </c>
      <c r="AV3381" t="s">
        <v>692</v>
      </c>
      <c r="AW3381" t="s">
        <v>46871</v>
      </c>
    </row>
    <row r="3382" spans="1:50">
      <c r="A3382" s="1">
        <f>HYPERLINK("https://lsnyc.legalserver.org/matter/dynamic-profile/view/1884298","18-1884298")</f>
        <v>0</v>
      </c>
      <c r="B3382" t="s">
        <v>200</v>
      </c>
      <c r="C3382" t="s">
        <v>341</v>
      </c>
      <c r="D3382" t="s">
        <v>675</v>
      </c>
      <c r="E3382" t="s">
        <v>697</v>
      </c>
      <c r="F3382" t="s">
        <v>1036</v>
      </c>
      <c r="G3382" t="s">
        <v>5335</v>
      </c>
      <c r="H3382" t="s">
        <v>12305</v>
      </c>
      <c r="I3382">
        <v>2</v>
      </c>
      <c r="J3382" t="s">
        <v>18894</v>
      </c>
      <c r="K3382">
        <v>11207</v>
      </c>
      <c r="L3382" t="s">
        <v>18958</v>
      </c>
      <c r="M3382" t="s">
        <v>18958</v>
      </c>
      <c r="N3382" t="s">
        <v>21489</v>
      </c>
      <c r="O3382" t="s">
        <v>26523</v>
      </c>
      <c r="P3382" t="s">
        <v>26565</v>
      </c>
      <c r="Q3382" t="s">
        <v>26570</v>
      </c>
      <c r="R3382" t="s">
        <v>26578</v>
      </c>
      <c r="U3382" t="s">
        <v>26604</v>
      </c>
      <c r="V3382" t="s">
        <v>26614</v>
      </c>
      <c r="W3382" t="s">
        <v>675</v>
      </c>
      <c r="X3382">
        <v>1575</v>
      </c>
      <c r="Y3382" t="s">
        <v>26652</v>
      </c>
      <c r="Z3382" t="s">
        <v>26664</v>
      </c>
      <c r="AA3382" t="s">
        <v>26683</v>
      </c>
      <c r="AB3382" t="s">
        <v>29587</v>
      </c>
      <c r="AD3382" t="s">
        <v>39665</v>
      </c>
      <c r="AE3382">
        <v>4</v>
      </c>
      <c r="AH3382">
        <v>2</v>
      </c>
      <c r="AI3382">
        <v>2</v>
      </c>
      <c r="AJ3382">
        <v>2</v>
      </c>
      <c r="AK3382">
        <v>108.89</v>
      </c>
      <c r="AN3382" t="s">
        <v>45581</v>
      </c>
      <c r="AO3382">
        <v>27332</v>
      </c>
      <c r="AU3382">
        <v>2.2</v>
      </c>
      <c r="AV3382" t="s">
        <v>519</v>
      </c>
      <c r="AW3382" t="s">
        <v>46856</v>
      </c>
    </row>
    <row r="3383" spans="1:50">
      <c r="A3383" s="1">
        <f>HYPERLINK("https://lsnyc.legalserver.org/matter/dynamic-profile/view/1884361","18-1884361")</f>
        <v>0</v>
      </c>
      <c r="B3383" t="s">
        <v>200</v>
      </c>
      <c r="C3383" t="s">
        <v>341</v>
      </c>
      <c r="D3383" t="s">
        <v>675</v>
      </c>
      <c r="E3383" t="s">
        <v>697</v>
      </c>
      <c r="F3383" t="s">
        <v>2637</v>
      </c>
      <c r="G3383" t="s">
        <v>6859</v>
      </c>
      <c r="H3383" t="s">
        <v>12306</v>
      </c>
      <c r="I3383" t="s">
        <v>17959</v>
      </c>
      <c r="J3383" t="s">
        <v>18894</v>
      </c>
      <c r="K3383">
        <v>11208</v>
      </c>
      <c r="L3383" t="s">
        <v>18958</v>
      </c>
      <c r="M3383" t="s">
        <v>18958</v>
      </c>
      <c r="N3383" t="s">
        <v>21490</v>
      </c>
      <c r="O3383" t="s">
        <v>26523</v>
      </c>
      <c r="P3383" t="s">
        <v>26565</v>
      </c>
      <c r="Q3383" t="s">
        <v>26570</v>
      </c>
      <c r="R3383" t="s">
        <v>26578</v>
      </c>
      <c r="U3383" t="s">
        <v>26604</v>
      </c>
      <c r="W3383" t="s">
        <v>675</v>
      </c>
      <c r="X3383">
        <v>1400</v>
      </c>
      <c r="Y3383" t="s">
        <v>26652</v>
      </c>
      <c r="Z3383" t="s">
        <v>26530</v>
      </c>
      <c r="AA3383" t="s">
        <v>26683</v>
      </c>
      <c r="AB3383" t="s">
        <v>28542</v>
      </c>
      <c r="AD3383" t="s">
        <v>39666</v>
      </c>
      <c r="AE3383">
        <v>2</v>
      </c>
      <c r="AF3383" t="s">
        <v>45541</v>
      </c>
      <c r="AH3383">
        <v>4</v>
      </c>
      <c r="AI3383">
        <v>1</v>
      </c>
      <c r="AJ3383">
        <v>0</v>
      </c>
      <c r="AK3383">
        <v>205.93</v>
      </c>
      <c r="AN3383" t="s">
        <v>7439</v>
      </c>
      <c r="AO3383">
        <v>25000</v>
      </c>
      <c r="AP3383" t="s">
        <v>45666</v>
      </c>
      <c r="AU3383">
        <v>1.7</v>
      </c>
      <c r="AV3383" t="s">
        <v>687</v>
      </c>
      <c r="AW3383" t="s">
        <v>46856</v>
      </c>
    </row>
    <row r="3384" spans="1:50">
      <c r="A3384" s="1">
        <f>HYPERLINK("https://lsnyc.legalserver.org/matter/dynamic-profile/view/1884247","18-1884247")</f>
        <v>0</v>
      </c>
      <c r="B3384" t="s">
        <v>270</v>
      </c>
      <c r="C3384" t="s">
        <v>341</v>
      </c>
      <c r="D3384" t="s">
        <v>675</v>
      </c>
      <c r="E3384" t="s">
        <v>494</v>
      </c>
      <c r="F3384" t="s">
        <v>2638</v>
      </c>
      <c r="G3384" t="s">
        <v>5657</v>
      </c>
      <c r="H3384" t="s">
        <v>12307</v>
      </c>
      <c r="I3384" t="s">
        <v>17535</v>
      </c>
      <c r="J3384" t="s">
        <v>18892</v>
      </c>
      <c r="K3384">
        <v>10473</v>
      </c>
      <c r="L3384" t="s">
        <v>18958</v>
      </c>
      <c r="M3384" t="s">
        <v>18958</v>
      </c>
      <c r="N3384" t="s">
        <v>21491</v>
      </c>
      <c r="O3384" t="s">
        <v>26523</v>
      </c>
      <c r="P3384" t="s">
        <v>26560</v>
      </c>
      <c r="Q3384" t="s">
        <v>26568</v>
      </c>
      <c r="R3384" t="s">
        <v>26577</v>
      </c>
      <c r="S3384" t="s">
        <v>18959</v>
      </c>
      <c r="U3384" t="s">
        <v>26604</v>
      </c>
      <c r="V3384" t="s">
        <v>26614</v>
      </c>
      <c r="W3384" t="s">
        <v>675</v>
      </c>
      <c r="X3384">
        <v>713</v>
      </c>
      <c r="Y3384" t="s">
        <v>26650</v>
      </c>
      <c r="Z3384" t="s">
        <v>26668</v>
      </c>
      <c r="AA3384" t="s">
        <v>26677</v>
      </c>
      <c r="AB3384" t="s">
        <v>29588</v>
      </c>
      <c r="AC3384" t="s">
        <v>35509</v>
      </c>
      <c r="AD3384" t="s">
        <v>39667</v>
      </c>
      <c r="AE3384">
        <v>0</v>
      </c>
      <c r="AF3384" t="s">
        <v>45543</v>
      </c>
      <c r="AG3384" t="s">
        <v>26530</v>
      </c>
      <c r="AH3384">
        <v>5</v>
      </c>
      <c r="AI3384">
        <v>1</v>
      </c>
      <c r="AJ3384">
        <v>1</v>
      </c>
      <c r="AK3384">
        <v>22.27</v>
      </c>
      <c r="AN3384" t="s">
        <v>7439</v>
      </c>
      <c r="AO3384">
        <v>3666</v>
      </c>
      <c r="AR3384" t="s">
        <v>46422</v>
      </c>
      <c r="AS3384" t="s">
        <v>46499</v>
      </c>
      <c r="AT3384" t="s">
        <v>46624</v>
      </c>
      <c r="AU3384">
        <v>6.9</v>
      </c>
      <c r="AV3384" t="s">
        <v>713</v>
      </c>
      <c r="AW3384" t="s">
        <v>46870</v>
      </c>
    </row>
    <row r="3385" spans="1:50">
      <c r="A3385" s="1">
        <f>HYPERLINK("https://lsnyc.legalserver.org/matter/dynamic-profile/view/1884352","18-1884352")</f>
        <v>0</v>
      </c>
      <c r="B3385" t="s">
        <v>270</v>
      </c>
      <c r="C3385" t="s">
        <v>341</v>
      </c>
      <c r="D3385" t="s">
        <v>675</v>
      </c>
      <c r="E3385" t="s">
        <v>693</v>
      </c>
      <c r="F3385" t="s">
        <v>2639</v>
      </c>
      <c r="G3385" t="s">
        <v>6860</v>
      </c>
      <c r="H3385" t="s">
        <v>10762</v>
      </c>
      <c r="I3385" t="s">
        <v>17278</v>
      </c>
      <c r="J3385" t="s">
        <v>18892</v>
      </c>
      <c r="K3385">
        <v>10467</v>
      </c>
      <c r="L3385" t="s">
        <v>18958</v>
      </c>
      <c r="M3385" t="s">
        <v>18958</v>
      </c>
      <c r="N3385" t="s">
        <v>21492</v>
      </c>
      <c r="O3385" t="s">
        <v>26523</v>
      </c>
      <c r="P3385" t="s">
        <v>26560</v>
      </c>
      <c r="Q3385" t="s">
        <v>26568</v>
      </c>
      <c r="R3385" t="s">
        <v>26579</v>
      </c>
      <c r="S3385" t="s">
        <v>18959</v>
      </c>
      <c r="U3385" t="s">
        <v>26604</v>
      </c>
      <c r="V3385" t="s">
        <v>26610</v>
      </c>
      <c r="W3385" t="s">
        <v>675</v>
      </c>
      <c r="X3385">
        <v>1046</v>
      </c>
      <c r="Y3385" t="s">
        <v>26650</v>
      </c>
      <c r="Z3385" t="s">
        <v>26668</v>
      </c>
      <c r="AA3385" t="s">
        <v>26677</v>
      </c>
      <c r="AB3385" t="s">
        <v>29589</v>
      </c>
      <c r="AC3385" t="s">
        <v>35510</v>
      </c>
      <c r="AD3385" t="s">
        <v>39668</v>
      </c>
      <c r="AE3385">
        <v>135</v>
      </c>
      <c r="AF3385" t="s">
        <v>45541</v>
      </c>
      <c r="AG3385" t="s">
        <v>26530</v>
      </c>
      <c r="AH3385">
        <v>2</v>
      </c>
      <c r="AI3385">
        <v>2</v>
      </c>
      <c r="AJ3385">
        <v>1</v>
      </c>
      <c r="AK3385">
        <v>150.14</v>
      </c>
      <c r="AN3385" t="s">
        <v>7439</v>
      </c>
      <c r="AO3385">
        <v>31200</v>
      </c>
      <c r="AR3385" t="s">
        <v>46381</v>
      </c>
      <c r="AS3385" t="s">
        <v>46499</v>
      </c>
      <c r="AT3385" t="s">
        <v>46756</v>
      </c>
      <c r="AU3385">
        <v>9.5</v>
      </c>
      <c r="AV3385" t="s">
        <v>693</v>
      </c>
      <c r="AW3385" t="s">
        <v>46847</v>
      </c>
    </row>
    <row r="3386" spans="1:50">
      <c r="A3386" s="1">
        <f>HYPERLINK("https://lsnyc.legalserver.org/matter/dynamic-profile/view/1884261","18-1884261")</f>
        <v>0</v>
      </c>
      <c r="B3386" t="s">
        <v>161</v>
      </c>
      <c r="C3386" t="s">
        <v>341</v>
      </c>
      <c r="D3386" t="s">
        <v>675</v>
      </c>
      <c r="E3386" t="s">
        <v>667</v>
      </c>
      <c r="F3386" t="s">
        <v>1406</v>
      </c>
      <c r="G3386" t="s">
        <v>6445</v>
      </c>
      <c r="H3386" t="s">
        <v>12308</v>
      </c>
      <c r="I3386" t="s">
        <v>17331</v>
      </c>
      <c r="J3386" t="s">
        <v>18913</v>
      </c>
      <c r="K3386">
        <v>11102</v>
      </c>
      <c r="L3386" t="s">
        <v>18958</v>
      </c>
      <c r="M3386" t="s">
        <v>18958</v>
      </c>
      <c r="N3386" t="s">
        <v>21493</v>
      </c>
      <c r="O3386" t="s">
        <v>26526</v>
      </c>
      <c r="P3386" t="s">
        <v>26564</v>
      </c>
      <c r="Q3386" t="s">
        <v>26570</v>
      </c>
      <c r="R3386" t="s">
        <v>26584</v>
      </c>
      <c r="S3386" t="s">
        <v>18959</v>
      </c>
      <c r="U3386" t="s">
        <v>26604</v>
      </c>
      <c r="V3386" t="s">
        <v>26610</v>
      </c>
      <c r="W3386" t="s">
        <v>675</v>
      </c>
      <c r="X3386">
        <v>0</v>
      </c>
      <c r="Y3386" t="s">
        <v>26653</v>
      </c>
      <c r="Z3386" t="s">
        <v>26664</v>
      </c>
      <c r="AA3386" t="s">
        <v>26683</v>
      </c>
      <c r="AB3386" t="s">
        <v>28837</v>
      </c>
      <c r="AD3386" t="s">
        <v>38897</v>
      </c>
      <c r="AE3386">
        <v>7</v>
      </c>
      <c r="AF3386" t="s">
        <v>45541</v>
      </c>
      <c r="AG3386" t="s">
        <v>19330</v>
      </c>
      <c r="AH3386">
        <v>3</v>
      </c>
      <c r="AI3386">
        <v>1</v>
      </c>
      <c r="AJ3386">
        <v>0</v>
      </c>
      <c r="AK3386">
        <v>57.66</v>
      </c>
      <c r="AN3386" t="s">
        <v>7439</v>
      </c>
      <c r="AO3386">
        <v>7000</v>
      </c>
      <c r="AU3386">
        <v>0.2</v>
      </c>
      <c r="AV3386" t="s">
        <v>667</v>
      </c>
      <c r="AW3386" t="s">
        <v>161</v>
      </c>
    </row>
    <row r="3387" spans="1:50">
      <c r="A3387" s="1">
        <f>HYPERLINK("https://lsnyc.legalserver.org/matter/dynamic-profile/view/1884350","18-1884350")</f>
        <v>0</v>
      </c>
      <c r="B3387" t="s">
        <v>112</v>
      </c>
      <c r="C3387" t="s">
        <v>341</v>
      </c>
      <c r="D3387" t="s">
        <v>675</v>
      </c>
      <c r="E3387" t="s">
        <v>769</v>
      </c>
      <c r="F3387" t="s">
        <v>972</v>
      </c>
      <c r="G3387" t="s">
        <v>5121</v>
      </c>
      <c r="H3387" t="s">
        <v>12309</v>
      </c>
      <c r="I3387" t="s">
        <v>17375</v>
      </c>
      <c r="J3387" t="s">
        <v>18901</v>
      </c>
      <c r="K3387">
        <v>11434</v>
      </c>
      <c r="L3387" t="s">
        <v>18958</v>
      </c>
      <c r="M3387" t="s">
        <v>18958</v>
      </c>
      <c r="N3387" t="s">
        <v>21494</v>
      </c>
      <c r="O3387" t="s">
        <v>26523</v>
      </c>
      <c r="P3387" t="s">
        <v>26560</v>
      </c>
      <c r="Q3387" t="s">
        <v>26573</v>
      </c>
      <c r="R3387" t="s">
        <v>26585</v>
      </c>
      <c r="S3387" t="s">
        <v>18959</v>
      </c>
      <c r="U3387" t="s">
        <v>26604</v>
      </c>
      <c r="V3387" t="s">
        <v>26610</v>
      </c>
      <c r="W3387" t="s">
        <v>675</v>
      </c>
      <c r="X3387">
        <v>2000</v>
      </c>
      <c r="Y3387" t="s">
        <v>26653</v>
      </c>
      <c r="Z3387" t="s">
        <v>26664</v>
      </c>
      <c r="AA3387" t="s">
        <v>26679</v>
      </c>
      <c r="AB3387" t="s">
        <v>29590</v>
      </c>
      <c r="AC3387" t="s">
        <v>35511</v>
      </c>
      <c r="AD3387" t="s">
        <v>39669</v>
      </c>
      <c r="AE3387">
        <v>2</v>
      </c>
      <c r="AF3387" t="s">
        <v>20460</v>
      </c>
      <c r="AG3387" t="s">
        <v>19330</v>
      </c>
      <c r="AH3387">
        <v>1</v>
      </c>
      <c r="AI3387">
        <v>1</v>
      </c>
      <c r="AJ3387">
        <v>4</v>
      </c>
      <c r="AK3387">
        <v>49.49</v>
      </c>
      <c r="AN3387" t="s">
        <v>45581</v>
      </c>
      <c r="AO3387">
        <v>14560</v>
      </c>
      <c r="AQ3387" t="s">
        <v>46359</v>
      </c>
      <c r="AR3387" t="s">
        <v>26530</v>
      </c>
      <c r="AS3387" t="s">
        <v>46500</v>
      </c>
      <c r="AT3387" t="s">
        <v>46507</v>
      </c>
      <c r="AU3387">
        <v>7.5</v>
      </c>
      <c r="AV3387" t="s">
        <v>803</v>
      </c>
      <c r="AW3387" t="s">
        <v>208</v>
      </c>
      <c r="AX3387" t="s">
        <v>46898</v>
      </c>
    </row>
    <row r="3388" spans="1:50">
      <c r="A3388" s="1">
        <f>HYPERLINK("https://lsnyc.legalserver.org/matter/dynamic-profile/view/1884520","18-1884520")</f>
        <v>0</v>
      </c>
      <c r="B3388" t="s">
        <v>189</v>
      </c>
      <c r="C3388" t="s">
        <v>341</v>
      </c>
      <c r="D3388" t="s">
        <v>675</v>
      </c>
      <c r="E3388" t="s">
        <v>682</v>
      </c>
      <c r="F3388" t="s">
        <v>972</v>
      </c>
      <c r="G3388" t="s">
        <v>6861</v>
      </c>
      <c r="H3388" t="s">
        <v>12310</v>
      </c>
      <c r="I3388" t="s">
        <v>17960</v>
      </c>
      <c r="J3388" t="s">
        <v>18892</v>
      </c>
      <c r="K3388">
        <v>10468</v>
      </c>
      <c r="L3388" t="s">
        <v>18958</v>
      </c>
      <c r="M3388" t="s">
        <v>18958</v>
      </c>
      <c r="O3388" t="s">
        <v>18997</v>
      </c>
      <c r="P3388" t="s">
        <v>26564</v>
      </c>
      <c r="Q3388" t="s">
        <v>26570</v>
      </c>
      <c r="R3388" t="s">
        <v>26578</v>
      </c>
      <c r="S3388" t="s">
        <v>18959</v>
      </c>
      <c r="U3388" t="s">
        <v>26604</v>
      </c>
      <c r="W3388" t="s">
        <v>675</v>
      </c>
      <c r="X3388">
        <v>0</v>
      </c>
      <c r="Y3388" t="s">
        <v>26650</v>
      </c>
      <c r="Z3388" t="s">
        <v>26663</v>
      </c>
      <c r="AA3388" t="s">
        <v>26683</v>
      </c>
      <c r="AB3388" t="s">
        <v>29591</v>
      </c>
      <c r="AC3388">
        <v>3268823</v>
      </c>
      <c r="AE3388">
        <v>0</v>
      </c>
      <c r="AG3388" t="s">
        <v>45561</v>
      </c>
      <c r="AH3388">
        <v>0</v>
      </c>
      <c r="AI3388">
        <v>1</v>
      </c>
      <c r="AJ3388">
        <v>0</v>
      </c>
      <c r="AK3388">
        <v>40.26</v>
      </c>
      <c r="AN3388" t="s">
        <v>7439</v>
      </c>
      <c r="AO3388">
        <v>4888</v>
      </c>
      <c r="AU3388">
        <v>0.25</v>
      </c>
      <c r="AV3388" t="s">
        <v>682</v>
      </c>
      <c r="AW3388" t="s">
        <v>336</v>
      </c>
    </row>
    <row r="3389" spans="1:50">
      <c r="A3389" s="1">
        <f>HYPERLINK("https://lsnyc.legalserver.org/matter/dynamic-profile/view/1884276","18-1884276")</f>
        <v>0</v>
      </c>
      <c r="B3389" t="s">
        <v>56</v>
      </c>
      <c r="C3389" t="s">
        <v>340</v>
      </c>
      <c r="D3389" t="s">
        <v>675</v>
      </c>
      <c r="F3389" t="s">
        <v>2640</v>
      </c>
      <c r="G3389" t="s">
        <v>2307</v>
      </c>
      <c r="H3389" t="s">
        <v>12311</v>
      </c>
      <c r="I3389" t="s">
        <v>17464</v>
      </c>
      <c r="J3389" t="s">
        <v>18892</v>
      </c>
      <c r="K3389">
        <v>10467</v>
      </c>
      <c r="L3389" t="s">
        <v>18958</v>
      </c>
      <c r="M3389" t="s">
        <v>18958</v>
      </c>
      <c r="N3389" t="s">
        <v>21495</v>
      </c>
      <c r="O3389" t="s">
        <v>26523</v>
      </c>
      <c r="P3389" t="s">
        <v>26560</v>
      </c>
      <c r="R3389" t="s">
        <v>26579</v>
      </c>
      <c r="U3389" t="s">
        <v>26604</v>
      </c>
      <c r="V3389" t="s">
        <v>26609</v>
      </c>
      <c r="W3389" t="s">
        <v>675</v>
      </c>
      <c r="X3389">
        <v>1046</v>
      </c>
      <c r="Y3389" t="s">
        <v>26650</v>
      </c>
      <c r="Z3389" t="s">
        <v>26664</v>
      </c>
      <c r="AB3389" t="s">
        <v>26839</v>
      </c>
      <c r="AD3389" t="s">
        <v>39670</v>
      </c>
      <c r="AE3389">
        <v>0</v>
      </c>
      <c r="AG3389" t="s">
        <v>45557</v>
      </c>
      <c r="AH3389">
        <v>3</v>
      </c>
      <c r="AI3389">
        <v>1</v>
      </c>
      <c r="AJ3389">
        <v>1</v>
      </c>
      <c r="AK3389">
        <v>60.66</v>
      </c>
      <c r="AN3389" t="s">
        <v>7439</v>
      </c>
      <c r="AO3389">
        <v>9984</v>
      </c>
      <c r="AU3389">
        <v>5</v>
      </c>
      <c r="AV3389" t="s">
        <v>727</v>
      </c>
      <c r="AW3389" t="s">
        <v>46836</v>
      </c>
    </row>
    <row r="3390" spans="1:50">
      <c r="A3390" s="1">
        <f>HYPERLINK("https://lsnyc.legalserver.org/matter/dynamic-profile/view/1884293","18-1884293")</f>
        <v>0</v>
      </c>
      <c r="B3390" t="s">
        <v>64</v>
      </c>
      <c r="C3390" t="s">
        <v>340</v>
      </c>
      <c r="D3390" t="s">
        <v>675</v>
      </c>
      <c r="F3390" t="s">
        <v>2641</v>
      </c>
      <c r="G3390" t="s">
        <v>6862</v>
      </c>
      <c r="H3390" t="s">
        <v>11466</v>
      </c>
      <c r="I3390" t="s">
        <v>17274</v>
      </c>
      <c r="J3390" t="s">
        <v>18892</v>
      </c>
      <c r="K3390">
        <v>10467</v>
      </c>
      <c r="L3390" t="s">
        <v>18958</v>
      </c>
      <c r="M3390" t="s">
        <v>18958</v>
      </c>
      <c r="N3390" t="s">
        <v>21496</v>
      </c>
      <c r="O3390" t="s">
        <v>26523</v>
      </c>
      <c r="P3390" t="s">
        <v>26560</v>
      </c>
      <c r="R3390" t="s">
        <v>26579</v>
      </c>
      <c r="S3390" t="s">
        <v>18959</v>
      </c>
      <c r="U3390" t="s">
        <v>26604</v>
      </c>
      <c r="V3390" t="s">
        <v>26610</v>
      </c>
      <c r="W3390" t="s">
        <v>675</v>
      </c>
      <c r="X3390">
        <v>633</v>
      </c>
      <c r="Y3390" t="s">
        <v>26650</v>
      </c>
      <c r="Z3390" t="s">
        <v>26664</v>
      </c>
      <c r="AB3390" t="s">
        <v>29592</v>
      </c>
      <c r="AD3390" t="s">
        <v>39671</v>
      </c>
      <c r="AE3390">
        <v>0</v>
      </c>
      <c r="AF3390" t="s">
        <v>45541</v>
      </c>
      <c r="AG3390" t="s">
        <v>19330</v>
      </c>
      <c r="AH3390">
        <v>1</v>
      </c>
      <c r="AI3390">
        <v>2</v>
      </c>
      <c r="AJ3390">
        <v>1</v>
      </c>
      <c r="AK3390">
        <v>75.06999999999999</v>
      </c>
      <c r="AN3390" t="s">
        <v>7439</v>
      </c>
      <c r="AO3390">
        <v>15600</v>
      </c>
      <c r="AU3390">
        <v>10.4</v>
      </c>
      <c r="AV3390" t="s">
        <v>831</v>
      </c>
      <c r="AW3390" t="s">
        <v>46870</v>
      </c>
    </row>
    <row r="3391" spans="1:50">
      <c r="A3391" s="1">
        <f>HYPERLINK("https://lsnyc.legalserver.org/matter/dynamic-profile/view/1883614","18-1883614")</f>
        <v>0</v>
      </c>
      <c r="B3391" t="s">
        <v>104</v>
      </c>
      <c r="C3391" t="s">
        <v>340</v>
      </c>
      <c r="D3391" t="s">
        <v>675</v>
      </c>
      <c r="F3391" t="s">
        <v>973</v>
      </c>
      <c r="G3391" t="s">
        <v>5347</v>
      </c>
      <c r="H3391" t="s">
        <v>12312</v>
      </c>
      <c r="I3391" t="s">
        <v>17548</v>
      </c>
      <c r="J3391" t="s">
        <v>18902</v>
      </c>
      <c r="K3391">
        <v>10301</v>
      </c>
      <c r="L3391" t="s">
        <v>18958</v>
      </c>
      <c r="M3391" t="s">
        <v>18958</v>
      </c>
      <c r="N3391" t="s">
        <v>21497</v>
      </c>
      <c r="O3391" t="s">
        <v>26523</v>
      </c>
      <c r="P3391" t="s">
        <v>26560</v>
      </c>
      <c r="R3391" t="s">
        <v>26578</v>
      </c>
      <c r="S3391" t="s">
        <v>18959</v>
      </c>
      <c r="U3391" t="s">
        <v>26604</v>
      </c>
      <c r="V3391" t="s">
        <v>26610</v>
      </c>
      <c r="W3391" t="s">
        <v>675</v>
      </c>
      <c r="X3391">
        <v>1213</v>
      </c>
      <c r="Y3391" t="s">
        <v>26654</v>
      </c>
      <c r="Z3391" t="s">
        <v>26674</v>
      </c>
      <c r="AB3391" t="s">
        <v>29593</v>
      </c>
      <c r="AD3391" t="s">
        <v>39672</v>
      </c>
      <c r="AE3391">
        <v>4</v>
      </c>
      <c r="AF3391" t="s">
        <v>45547</v>
      </c>
      <c r="AG3391" t="s">
        <v>45560</v>
      </c>
      <c r="AH3391">
        <v>2</v>
      </c>
      <c r="AI3391">
        <v>1</v>
      </c>
      <c r="AJ3391">
        <v>0</v>
      </c>
      <c r="AK3391">
        <v>96.59999999999999</v>
      </c>
      <c r="AN3391" t="s">
        <v>7439</v>
      </c>
      <c r="AO3391">
        <v>11727.12</v>
      </c>
      <c r="AU3391">
        <v>24.8</v>
      </c>
      <c r="AV3391" t="s">
        <v>773</v>
      </c>
      <c r="AW3391" t="s">
        <v>46855</v>
      </c>
      <c r="AX3391" t="s">
        <v>46897</v>
      </c>
    </row>
    <row r="3392" spans="1:50">
      <c r="A3392" s="1">
        <f>HYPERLINK("https://lsnyc.legalserver.org/matter/dynamic-profile/view/1884250","18-1884250")</f>
        <v>0</v>
      </c>
      <c r="B3392" t="s">
        <v>235</v>
      </c>
      <c r="C3392" t="s">
        <v>340</v>
      </c>
      <c r="D3392" t="s">
        <v>675</v>
      </c>
      <c r="F3392" t="s">
        <v>2642</v>
      </c>
      <c r="G3392" t="s">
        <v>6863</v>
      </c>
      <c r="H3392" t="s">
        <v>12313</v>
      </c>
      <c r="I3392" t="s">
        <v>17440</v>
      </c>
      <c r="J3392" t="s">
        <v>18913</v>
      </c>
      <c r="K3392">
        <v>11102</v>
      </c>
      <c r="L3392" t="s">
        <v>18958</v>
      </c>
      <c r="M3392" t="s">
        <v>18958</v>
      </c>
      <c r="N3392" t="s">
        <v>21498</v>
      </c>
      <c r="O3392" t="s">
        <v>26525</v>
      </c>
      <c r="P3392" t="s">
        <v>26564</v>
      </c>
      <c r="R3392" t="s">
        <v>26584</v>
      </c>
      <c r="S3392" t="s">
        <v>18959</v>
      </c>
      <c r="U3392" t="s">
        <v>26604</v>
      </c>
      <c r="V3392" t="s">
        <v>26610</v>
      </c>
      <c r="W3392" t="s">
        <v>675</v>
      </c>
      <c r="X3392">
        <v>375</v>
      </c>
      <c r="Y3392" t="s">
        <v>26653</v>
      </c>
      <c r="Z3392" t="s">
        <v>26664</v>
      </c>
      <c r="AB3392" t="s">
        <v>27452</v>
      </c>
      <c r="AD3392" t="s">
        <v>39673</v>
      </c>
      <c r="AE3392">
        <v>48</v>
      </c>
      <c r="AF3392" t="s">
        <v>45542</v>
      </c>
      <c r="AG3392" t="s">
        <v>19330</v>
      </c>
      <c r="AH3392">
        <v>3</v>
      </c>
      <c r="AI3392">
        <v>2</v>
      </c>
      <c r="AJ3392">
        <v>1</v>
      </c>
      <c r="AK3392">
        <v>38.58</v>
      </c>
      <c r="AN3392" t="s">
        <v>7439</v>
      </c>
      <c r="AO3392">
        <v>8016</v>
      </c>
      <c r="AU3392">
        <v>2.6</v>
      </c>
      <c r="AV3392" t="s">
        <v>691</v>
      </c>
      <c r="AW3392" t="s">
        <v>161</v>
      </c>
    </row>
    <row r="3393" spans="1:49">
      <c r="A3393" s="1">
        <f>HYPERLINK("https://lsnyc.legalserver.org/matter/dynamic-profile/view/1884239","18-1884239")</f>
        <v>0</v>
      </c>
      <c r="B3393" t="s">
        <v>63</v>
      </c>
      <c r="C3393" t="s">
        <v>340</v>
      </c>
      <c r="D3393" t="s">
        <v>675</v>
      </c>
      <c r="F3393" t="s">
        <v>916</v>
      </c>
      <c r="G3393" t="s">
        <v>6864</v>
      </c>
      <c r="H3393" t="s">
        <v>12314</v>
      </c>
      <c r="I3393" t="s">
        <v>17623</v>
      </c>
      <c r="J3393" t="s">
        <v>18892</v>
      </c>
      <c r="K3393">
        <v>10458</v>
      </c>
      <c r="L3393" t="s">
        <v>18958</v>
      </c>
      <c r="M3393" t="s">
        <v>18958</v>
      </c>
      <c r="N3393" t="s">
        <v>21499</v>
      </c>
      <c r="O3393" t="s">
        <v>26523</v>
      </c>
      <c r="P3393" t="s">
        <v>26560</v>
      </c>
      <c r="R3393" t="s">
        <v>26578</v>
      </c>
      <c r="U3393" t="s">
        <v>26604</v>
      </c>
      <c r="W3393" t="s">
        <v>675</v>
      </c>
      <c r="X3393">
        <v>2600</v>
      </c>
      <c r="Y3393" t="s">
        <v>26650</v>
      </c>
      <c r="Z3393" t="s">
        <v>26664</v>
      </c>
      <c r="AB3393" t="s">
        <v>29594</v>
      </c>
      <c r="AC3393" t="s">
        <v>35512</v>
      </c>
      <c r="AD3393" t="s">
        <v>39674</v>
      </c>
      <c r="AE3393">
        <v>0</v>
      </c>
      <c r="AF3393" t="s">
        <v>20460</v>
      </c>
      <c r="AH3393">
        <v>0</v>
      </c>
      <c r="AI3393">
        <v>1</v>
      </c>
      <c r="AJ3393">
        <v>2</v>
      </c>
      <c r="AK3393">
        <v>7.38</v>
      </c>
      <c r="AN3393" t="s">
        <v>45581</v>
      </c>
      <c r="AO3393">
        <v>1534</v>
      </c>
      <c r="AU3393">
        <v>9.300000000000001</v>
      </c>
      <c r="AV3393" t="s">
        <v>683</v>
      </c>
      <c r="AW3393" t="s">
        <v>46836</v>
      </c>
    </row>
    <row r="3394" spans="1:49">
      <c r="A3394" s="1">
        <f>HYPERLINK("https://lsnyc.legalserver.org/matter/dynamic-profile/view/1884240","18-1884240")</f>
        <v>0</v>
      </c>
      <c r="B3394" t="s">
        <v>63</v>
      </c>
      <c r="C3394" t="s">
        <v>340</v>
      </c>
      <c r="D3394" t="s">
        <v>675</v>
      </c>
      <c r="F3394" t="s">
        <v>2643</v>
      </c>
      <c r="G3394" t="s">
        <v>6280</v>
      </c>
      <c r="H3394" t="s">
        <v>12315</v>
      </c>
      <c r="I3394" t="s">
        <v>17327</v>
      </c>
      <c r="J3394" t="s">
        <v>18892</v>
      </c>
      <c r="K3394">
        <v>10456</v>
      </c>
      <c r="L3394" t="s">
        <v>18958</v>
      </c>
      <c r="M3394" t="s">
        <v>18958</v>
      </c>
      <c r="N3394" t="s">
        <v>21500</v>
      </c>
      <c r="O3394" t="s">
        <v>26523</v>
      </c>
      <c r="P3394" t="s">
        <v>26560</v>
      </c>
      <c r="R3394" t="s">
        <v>26578</v>
      </c>
      <c r="U3394" t="s">
        <v>26604</v>
      </c>
      <c r="V3394" t="s">
        <v>26614</v>
      </c>
      <c r="W3394" t="s">
        <v>675</v>
      </c>
      <c r="X3394">
        <v>1358</v>
      </c>
      <c r="Y3394" t="s">
        <v>26650</v>
      </c>
      <c r="Z3394" t="s">
        <v>26664</v>
      </c>
      <c r="AB3394" t="s">
        <v>29595</v>
      </c>
      <c r="AD3394" t="s">
        <v>39675</v>
      </c>
      <c r="AE3394">
        <v>0</v>
      </c>
      <c r="AF3394" t="s">
        <v>45547</v>
      </c>
      <c r="AG3394" t="s">
        <v>19330</v>
      </c>
      <c r="AH3394">
        <v>8</v>
      </c>
      <c r="AI3394">
        <v>2</v>
      </c>
      <c r="AJ3394">
        <v>1</v>
      </c>
      <c r="AK3394">
        <v>100.09</v>
      </c>
      <c r="AN3394" t="s">
        <v>7439</v>
      </c>
      <c r="AO3394">
        <v>20798.4</v>
      </c>
      <c r="AP3394" t="s">
        <v>45654</v>
      </c>
      <c r="AU3394">
        <v>9.300000000000001</v>
      </c>
      <c r="AV3394" t="s">
        <v>839</v>
      </c>
      <c r="AW3394" t="s">
        <v>334</v>
      </c>
    </row>
    <row r="3395" spans="1:49">
      <c r="A3395" s="1">
        <f>HYPERLINK("https://lsnyc.legalserver.org/matter/dynamic-profile/view/1884173","18-1884173")</f>
        <v>0</v>
      </c>
      <c r="B3395" t="s">
        <v>200</v>
      </c>
      <c r="C3395" t="s">
        <v>341</v>
      </c>
      <c r="D3395" t="s">
        <v>678</v>
      </c>
      <c r="E3395" t="s">
        <v>697</v>
      </c>
      <c r="F3395" t="s">
        <v>1489</v>
      </c>
      <c r="G3395" t="s">
        <v>5557</v>
      </c>
      <c r="H3395" t="s">
        <v>12316</v>
      </c>
      <c r="J3395" t="s">
        <v>18894</v>
      </c>
      <c r="K3395">
        <v>11207</v>
      </c>
      <c r="L3395" t="s">
        <v>18958</v>
      </c>
      <c r="M3395" t="s">
        <v>18958</v>
      </c>
      <c r="N3395" t="s">
        <v>21501</v>
      </c>
      <c r="O3395" t="s">
        <v>26523</v>
      </c>
      <c r="P3395" t="s">
        <v>26564</v>
      </c>
      <c r="Q3395" t="s">
        <v>26570</v>
      </c>
      <c r="R3395" t="s">
        <v>26578</v>
      </c>
      <c r="S3395" t="s">
        <v>18959</v>
      </c>
      <c r="U3395" t="s">
        <v>26604</v>
      </c>
      <c r="V3395" t="s">
        <v>26611</v>
      </c>
      <c r="W3395" t="s">
        <v>675</v>
      </c>
      <c r="X3395">
        <v>1775</v>
      </c>
      <c r="Y3395" t="s">
        <v>26652</v>
      </c>
      <c r="Z3395" t="s">
        <v>26668</v>
      </c>
      <c r="AA3395" t="s">
        <v>26683</v>
      </c>
      <c r="AB3395" t="s">
        <v>29596</v>
      </c>
      <c r="AD3395" t="s">
        <v>39676</v>
      </c>
      <c r="AE3395">
        <v>4</v>
      </c>
      <c r="AF3395" t="s">
        <v>45547</v>
      </c>
      <c r="AG3395" t="s">
        <v>19330</v>
      </c>
      <c r="AH3395">
        <v>2</v>
      </c>
      <c r="AI3395">
        <v>2</v>
      </c>
      <c r="AJ3395">
        <v>1</v>
      </c>
      <c r="AK3395">
        <v>125.12</v>
      </c>
      <c r="AN3395" t="s">
        <v>7439</v>
      </c>
      <c r="AO3395">
        <v>26000</v>
      </c>
      <c r="AU3395">
        <v>1.5</v>
      </c>
      <c r="AV3395" t="s">
        <v>678</v>
      </c>
      <c r="AW3395" t="s">
        <v>286</v>
      </c>
    </row>
    <row r="3396" spans="1:49">
      <c r="A3396" s="1">
        <f>HYPERLINK("https://lsnyc.legalserver.org/matter/dynamic-profile/view/1884539","18-1884539")</f>
        <v>0</v>
      </c>
      <c r="B3396" t="s">
        <v>221</v>
      </c>
      <c r="C3396" t="s">
        <v>340</v>
      </c>
      <c r="D3396" t="s">
        <v>678</v>
      </c>
      <c r="F3396" t="s">
        <v>979</v>
      </c>
      <c r="G3396" t="s">
        <v>6865</v>
      </c>
      <c r="H3396" t="s">
        <v>12317</v>
      </c>
      <c r="I3396" t="s">
        <v>17436</v>
      </c>
      <c r="J3396" t="s">
        <v>18901</v>
      </c>
      <c r="K3396">
        <v>11434</v>
      </c>
      <c r="L3396" t="s">
        <v>18958</v>
      </c>
      <c r="M3396" t="s">
        <v>18958</v>
      </c>
      <c r="N3396" t="s">
        <v>21502</v>
      </c>
      <c r="O3396" t="s">
        <v>26523</v>
      </c>
      <c r="P3396" t="s">
        <v>26560</v>
      </c>
      <c r="R3396" t="s">
        <v>26585</v>
      </c>
      <c r="U3396" t="s">
        <v>26605</v>
      </c>
      <c r="W3396" t="s">
        <v>675</v>
      </c>
      <c r="X3396">
        <v>0</v>
      </c>
      <c r="Y3396" t="s">
        <v>26653</v>
      </c>
      <c r="Z3396" t="s">
        <v>26668</v>
      </c>
      <c r="AB3396" t="s">
        <v>28157</v>
      </c>
      <c r="AD3396" t="s">
        <v>39677</v>
      </c>
      <c r="AE3396">
        <v>0</v>
      </c>
      <c r="AF3396" t="s">
        <v>45549</v>
      </c>
      <c r="AH3396">
        <v>4</v>
      </c>
      <c r="AI3396">
        <v>2</v>
      </c>
      <c r="AJ3396">
        <v>2</v>
      </c>
      <c r="AK3396">
        <v>0</v>
      </c>
      <c r="AN3396" t="s">
        <v>7439</v>
      </c>
      <c r="AO3396">
        <v>0</v>
      </c>
      <c r="AU3396">
        <v>26.3</v>
      </c>
      <c r="AV3396" t="s">
        <v>773</v>
      </c>
      <c r="AW3396" t="s">
        <v>208</v>
      </c>
    </row>
    <row r="3397" spans="1:49">
      <c r="A3397" s="1">
        <f>HYPERLINK("https://lsnyc.legalserver.org/matter/dynamic-profile/view/1884399","18-1884399")</f>
        <v>0</v>
      </c>
      <c r="B3397" t="s">
        <v>110</v>
      </c>
      <c r="C3397" t="s">
        <v>340</v>
      </c>
      <c r="D3397" t="s">
        <v>518</v>
      </c>
      <c r="F3397" t="s">
        <v>2644</v>
      </c>
      <c r="G3397" t="s">
        <v>6866</v>
      </c>
      <c r="H3397" t="s">
        <v>12318</v>
      </c>
      <c r="I3397">
        <v>506</v>
      </c>
      <c r="J3397" t="s">
        <v>18900</v>
      </c>
      <c r="K3397">
        <v>11355</v>
      </c>
      <c r="L3397" t="s">
        <v>18958</v>
      </c>
      <c r="M3397" t="s">
        <v>18958</v>
      </c>
      <c r="N3397" t="s">
        <v>21503</v>
      </c>
      <c r="O3397" t="s">
        <v>26523</v>
      </c>
      <c r="P3397" t="s">
        <v>26560</v>
      </c>
      <c r="R3397" t="s">
        <v>26584</v>
      </c>
      <c r="S3397" t="s">
        <v>18959</v>
      </c>
      <c r="U3397" t="s">
        <v>26604</v>
      </c>
      <c r="V3397" t="s">
        <v>26611</v>
      </c>
      <c r="W3397" t="s">
        <v>675</v>
      </c>
      <c r="X3397">
        <v>1325</v>
      </c>
      <c r="Y3397" t="s">
        <v>26653</v>
      </c>
      <c r="Z3397" t="s">
        <v>26664</v>
      </c>
      <c r="AB3397" t="s">
        <v>29597</v>
      </c>
      <c r="AD3397" t="s">
        <v>39678</v>
      </c>
      <c r="AE3397">
        <v>47</v>
      </c>
      <c r="AF3397" t="s">
        <v>20460</v>
      </c>
      <c r="AG3397" t="s">
        <v>19330</v>
      </c>
      <c r="AH3397">
        <v>3</v>
      </c>
      <c r="AI3397">
        <v>2</v>
      </c>
      <c r="AJ3397">
        <v>0</v>
      </c>
      <c r="AK3397">
        <v>217.5</v>
      </c>
      <c r="AL3397" t="s">
        <v>800</v>
      </c>
      <c r="AM3397" t="s">
        <v>45575</v>
      </c>
      <c r="AN3397" t="s">
        <v>7439</v>
      </c>
      <c r="AO3397">
        <v>35800</v>
      </c>
      <c r="AU3397">
        <v>13.65</v>
      </c>
      <c r="AV3397" t="s">
        <v>781</v>
      </c>
      <c r="AW3397" t="s">
        <v>214</v>
      </c>
    </row>
    <row r="3398" spans="1:49">
      <c r="A3398" s="1">
        <f>HYPERLINK("https://lsnyc.legalserver.org/matter/dynamic-profile/view/1875237","18-1875237")</f>
        <v>0</v>
      </c>
      <c r="B3398" t="s">
        <v>109</v>
      </c>
      <c r="C3398" t="s">
        <v>341</v>
      </c>
      <c r="D3398" t="s">
        <v>526</v>
      </c>
      <c r="E3398" t="s">
        <v>856</v>
      </c>
      <c r="F3398" t="s">
        <v>1136</v>
      </c>
      <c r="G3398" t="s">
        <v>6867</v>
      </c>
      <c r="H3398" t="s">
        <v>12319</v>
      </c>
      <c r="I3398" t="s">
        <v>17961</v>
      </c>
      <c r="J3398" t="s">
        <v>18902</v>
      </c>
      <c r="K3398">
        <v>10305</v>
      </c>
      <c r="L3398" t="s">
        <v>18958</v>
      </c>
      <c r="M3398" t="s">
        <v>18958</v>
      </c>
      <c r="N3398" t="s">
        <v>21504</v>
      </c>
      <c r="O3398" t="s">
        <v>26523</v>
      </c>
      <c r="P3398" t="s">
        <v>26560</v>
      </c>
      <c r="Q3398" t="s">
        <v>26568</v>
      </c>
      <c r="R3398" t="s">
        <v>26587</v>
      </c>
      <c r="S3398" t="s">
        <v>18959</v>
      </c>
      <c r="U3398" t="s">
        <v>26604</v>
      </c>
      <c r="V3398" t="s">
        <v>26610</v>
      </c>
      <c r="W3398" t="s">
        <v>667</v>
      </c>
      <c r="X3398">
        <v>1561</v>
      </c>
      <c r="Y3398" t="s">
        <v>26654</v>
      </c>
      <c r="Z3398" t="s">
        <v>26530</v>
      </c>
      <c r="AA3398" t="s">
        <v>26678</v>
      </c>
      <c r="AB3398" t="s">
        <v>29598</v>
      </c>
      <c r="AD3398" t="s">
        <v>39679</v>
      </c>
      <c r="AE3398">
        <v>3</v>
      </c>
      <c r="AF3398" t="s">
        <v>45547</v>
      </c>
      <c r="AG3398" t="s">
        <v>45556</v>
      </c>
      <c r="AH3398">
        <v>4</v>
      </c>
      <c r="AI3398">
        <v>2</v>
      </c>
      <c r="AJ3398">
        <v>1</v>
      </c>
      <c r="AK3398">
        <v>297.79</v>
      </c>
      <c r="AL3398" t="s">
        <v>759</v>
      </c>
      <c r="AM3398" t="s">
        <v>45575</v>
      </c>
      <c r="AN3398" t="s">
        <v>7439</v>
      </c>
      <c r="AO3398">
        <v>61880</v>
      </c>
      <c r="AR3398" t="s">
        <v>46379</v>
      </c>
      <c r="AS3398" t="s">
        <v>46499</v>
      </c>
      <c r="AT3398" t="s">
        <v>46560</v>
      </c>
      <c r="AU3398">
        <v>4.75</v>
      </c>
      <c r="AV3398" t="s">
        <v>683</v>
      </c>
      <c r="AW3398" t="s">
        <v>190</v>
      </c>
    </row>
    <row r="3399" spans="1:49">
      <c r="A3399" s="1">
        <f>HYPERLINK("https://lsnyc.legalserver.org/matter/dynamic-profile/view/1879953","18-1879953")</f>
        <v>0</v>
      </c>
      <c r="B3399" t="s">
        <v>227</v>
      </c>
      <c r="C3399" t="s">
        <v>341</v>
      </c>
      <c r="D3399" t="s">
        <v>412</v>
      </c>
      <c r="E3399" t="s">
        <v>667</v>
      </c>
      <c r="F3399" t="s">
        <v>913</v>
      </c>
      <c r="G3399" t="s">
        <v>6868</v>
      </c>
      <c r="H3399" t="s">
        <v>12320</v>
      </c>
      <c r="I3399" t="s">
        <v>17962</v>
      </c>
      <c r="J3399" t="s">
        <v>18894</v>
      </c>
      <c r="K3399">
        <v>11224</v>
      </c>
      <c r="L3399" t="s">
        <v>18958</v>
      </c>
      <c r="M3399" t="s">
        <v>18958</v>
      </c>
      <c r="N3399" t="s">
        <v>21505</v>
      </c>
      <c r="O3399" t="s">
        <v>26523</v>
      </c>
      <c r="P3399" t="s">
        <v>26560</v>
      </c>
      <c r="Q3399" t="s">
        <v>26570</v>
      </c>
      <c r="R3399" t="s">
        <v>26586</v>
      </c>
      <c r="U3399" t="s">
        <v>26604</v>
      </c>
      <c r="W3399" t="s">
        <v>667</v>
      </c>
      <c r="X3399">
        <v>1800</v>
      </c>
      <c r="Y3399" t="s">
        <v>26652</v>
      </c>
      <c r="Z3399" t="s">
        <v>26664</v>
      </c>
      <c r="AA3399" t="s">
        <v>26683</v>
      </c>
      <c r="AB3399" t="s">
        <v>29599</v>
      </c>
      <c r="AD3399" t="s">
        <v>39680</v>
      </c>
      <c r="AE3399">
        <v>0</v>
      </c>
      <c r="AG3399" t="s">
        <v>45556</v>
      </c>
      <c r="AH3399">
        <v>3</v>
      </c>
      <c r="AI3399">
        <v>1</v>
      </c>
      <c r="AJ3399">
        <v>1</v>
      </c>
      <c r="AK3399">
        <v>188.82</v>
      </c>
      <c r="AN3399" t="s">
        <v>7439</v>
      </c>
      <c r="AO3399">
        <v>31080</v>
      </c>
      <c r="AU3399">
        <v>0.7</v>
      </c>
      <c r="AV3399" t="s">
        <v>667</v>
      </c>
      <c r="AW3399" t="s">
        <v>281</v>
      </c>
    </row>
    <row r="3400" spans="1:49">
      <c r="A3400" s="1">
        <f>HYPERLINK("https://lsnyc.legalserver.org/matter/dynamic-profile/view/1880006","18-1880006")</f>
        <v>0</v>
      </c>
      <c r="B3400" t="s">
        <v>117</v>
      </c>
      <c r="C3400" t="s">
        <v>340</v>
      </c>
      <c r="D3400" t="s">
        <v>413</v>
      </c>
      <c r="F3400" t="s">
        <v>2645</v>
      </c>
      <c r="G3400" t="s">
        <v>6245</v>
      </c>
      <c r="H3400" t="s">
        <v>12321</v>
      </c>
      <c r="I3400" t="s">
        <v>17309</v>
      </c>
      <c r="J3400" t="s">
        <v>18894</v>
      </c>
      <c r="K3400">
        <v>11212</v>
      </c>
      <c r="L3400" t="s">
        <v>18958</v>
      </c>
      <c r="M3400" t="s">
        <v>18958</v>
      </c>
      <c r="N3400" t="s">
        <v>21506</v>
      </c>
      <c r="O3400" t="s">
        <v>26523</v>
      </c>
      <c r="P3400" t="s">
        <v>26560</v>
      </c>
      <c r="R3400" t="s">
        <v>26578</v>
      </c>
      <c r="S3400" t="s">
        <v>18959</v>
      </c>
      <c r="U3400" t="s">
        <v>26604</v>
      </c>
      <c r="V3400" t="s">
        <v>26610</v>
      </c>
      <c r="W3400" t="s">
        <v>667</v>
      </c>
      <c r="X3400">
        <v>1550</v>
      </c>
      <c r="Y3400" t="s">
        <v>26652</v>
      </c>
      <c r="Z3400" t="s">
        <v>26659</v>
      </c>
      <c r="AB3400" t="s">
        <v>28508</v>
      </c>
      <c r="AC3400" t="s">
        <v>34508</v>
      </c>
      <c r="AD3400" t="s">
        <v>39681</v>
      </c>
      <c r="AE3400">
        <v>6</v>
      </c>
      <c r="AF3400" t="s">
        <v>45541</v>
      </c>
      <c r="AG3400" t="s">
        <v>19330</v>
      </c>
      <c r="AH3400">
        <v>2</v>
      </c>
      <c r="AI3400">
        <v>1</v>
      </c>
      <c r="AJ3400">
        <v>2</v>
      </c>
      <c r="AK3400">
        <v>146.3</v>
      </c>
      <c r="AN3400" t="s">
        <v>7439</v>
      </c>
      <c r="AO3400">
        <v>30402</v>
      </c>
      <c r="AU3400">
        <v>45.4</v>
      </c>
      <c r="AV3400" t="s">
        <v>828</v>
      </c>
      <c r="AW3400" t="s">
        <v>279</v>
      </c>
    </row>
    <row r="3401" spans="1:49">
      <c r="A3401" s="1">
        <f>HYPERLINK("https://lsnyc.legalserver.org/matter/dynamic-profile/view/1882090","18-1882090")</f>
        <v>0</v>
      </c>
      <c r="B3401" t="s">
        <v>270</v>
      </c>
      <c r="C3401" t="s">
        <v>341</v>
      </c>
      <c r="D3401" t="s">
        <v>641</v>
      </c>
      <c r="E3401" t="s">
        <v>494</v>
      </c>
      <c r="F3401" t="s">
        <v>953</v>
      </c>
      <c r="G3401" t="s">
        <v>6428</v>
      </c>
      <c r="H3401" t="s">
        <v>12322</v>
      </c>
      <c r="I3401" t="s">
        <v>17304</v>
      </c>
      <c r="J3401" t="s">
        <v>18892</v>
      </c>
      <c r="K3401">
        <v>10457</v>
      </c>
      <c r="L3401" t="s">
        <v>18958</v>
      </c>
      <c r="M3401" t="s">
        <v>18958</v>
      </c>
      <c r="O3401" t="s">
        <v>26542</v>
      </c>
      <c r="P3401" t="s">
        <v>26565</v>
      </c>
      <c r="Q3401" t="s">
        <v>26570</v>
      </c>
      <c r="R3401" t="s">
        <v>26578</v>
      </c>
      <c r="S3401" t="s">
        <v>18959</v>
      </c>
      <c r="U3401" t="s">
        <v>26606</v>
      </c>
      <c r="W3401" t="s">
        <v>667</v>
      </c>
      <c r="X3401">
        <v>1100</v>
      </c>
      <c r="Y3401" t="s">
        <v>26650</v>
      </c>
      <c r="Z3401" t="s">
        <v>26666</v>
      </c>
      <c r="AA3401" t="s">
        <v>26683</v>
      </c>
      <c r="AB3401" t="s">
        <v>26870</v>
      </c>
      <c r="AD3401" t="s">
        <v>39682</v>
      </c>
      <c r="AE3401">
        <v>45</v>
      </c>
      <c r="AF3401" t="s">
        <v>45552</v>
      </c>
      <c r="AG3401" t="s">
        <v>45556</v>
      </c>
      <c r="AH3401">
        <v>3</v>
      </c>
      <c r="AI3401">
        <v>1</v>
      </c>
      <c r="AJ3401">
        <v>0</v>
      </c>
      <c r="AK3401">
        <v>40.72</v>
      </c>
      <c r="AN3401" t="s">
        <v>7439</v>
      </c>
      <c r="AO3401">
        <v>4944</v>
      </c>
      <c r="AP3401" t="s">
        <v>45789</v>
      </c>
      <c r="AU3401">
        <v>8.9</v>
      </c>
      <c r="AV3401" t="s">
        <v>716</v>
      </c>
      <c r="AW3401" t="s">
        <v>46843</v>
      </c>
    </row>
    <row r="3402" spans="1:49">
      <c r="A3402" s="1">
        <f>HYPERLINK("https://lsnyc.legalserver.org/matter/dynamic-profile/view/1884409","18-1884409")</f>
        <v>0</v>
      </c>
      <c r="B3402" t="s">
        <v>169</v>
      </c>
      <c r="C3402" t="s">
        <v>341</v>
      </c>
      <c r="D3402" t="s">
        <v>667</v>
      </c>
      <c r="E3402" t="s">
        <v>787</v>
      </c>
      <c r="F3402" t="s">
        <v>2646</v>
      </c>
      <c r="G3402" t="s">
        <v>6869</v>
      </c>
      <c r="H3402" t="s">
        <v>12323</v>
      </c>
      <c r="I3402" t="s">
        <v>17312</v>
      </c>
      <c r="J3402" t="s">
        <v>18892</v>
      </c>
      <c r="K3402">
        <v>10456</v>
      </c>
      <c r="L3402" t="s">
        <v>18958</v>
      </c>
      <c r="M3402" t="s">
        <v>18958</v>
      </c>
      <c r="N3402" t="s">
        <v>21507</v>
      </c>
      <c r="O3402" t="s">
        <v>26523</v>
      </c>
      <c r="P3402" t="s">
        <v>26560</v>
      </c>
      <c r="Q3402" t="s">
        <v>26568</v>
      </c>
      <c r="R3402" t="s">
        <v>26578</v>
      </c>
      <c r="S3402" t="s">
        <v>18959</v>
      </c>
      <c r="U3402" t="s">
        <v>26604</v>
      </c>
      <c r="V3402" t="s">
        <v>26610</v>
      </c>
      <c r="W3402" t="s">
        <v>667</v>
      </c>
      <c r="X3402">
        <v>1159.32</v>
      </c>
      <c r="Y3402" t="s">
        <v>26650</v>
      </c>
      <c r="Z3402" t="s">
        <v>26659</v>
      </c>
      <c r="AA3402" t="s">
        <v>26678</v>
      </c>
      <c r="AB3402" t="s">
        <v>29600</v>
      </c>
      <c r="AC3402" t="s">
        <v>35513</v>
      </c>
      <c r="AD3402" t="s">
        <v>39683</v>
      </c>
      <c r="AE3402">
        <v>100</v>
      </c>
      <c r="AF3402" t="s">
        <v>45541</v>
      </c>
      <c r="AG3402" t="s">
        <v>45558</v>
      </c>
      <c r="AH3402">
        <v>8</v>
      </c>
      <c r="AI3402">
        <v>1</v>
      </c>
      <c r="AJ3402">
        <v>0</v>
      </c>
      <c r="AK3402">
        <v>19.39</v>
      </c>
      <c r="AN3402" t="s">
        <v>45581</v>
      </c>
      <c r="AO3402">
        <v>2353.52</v>
      </c>
      <c r="AQ3402" t="s">
        <v>46362</v>
      </c>
      <c r="AR3402" t="s">
        <v>46476</v>
      </c>
      <c r="AS3402" t="s">
        <v>46499</v>
      </c>
      <c r="AT3402" t="s">
        <v>46570</v>
      </c>
      <c r="AU3402">
        <v>24.2</v>
      </c>
      <c r="AV3402" t="s">
        <v>787</v>
      </c>
      <c r="AW3402" t="s">
        <v>46847</v>
      </c>
    </row>
    <row r="3403" spans="1:49">
      <c r="A3403" s="1">
        <f>HYPERLINK("https://lsnyc.legalserver.org/matter/dynamic-profile/view/1884365","18-1884365")</f>
        <v>0</v>
      </c>
      <c r="B3403" t="s">
        <v>66</v>
      </c>
      <c r="C3403" t="s">
        <v>341</v>
      </c>
      <c r="D3403" t="s">
        <v>667</v>
      </c>
      <c r="E3403" t="s">
        <v>705</v>
      </c>
      <c r="F3403" t="s">
        <v>2647</v>
      </c>
      <c r="G3403" t="s">
        <v>6643</v>
      </c>
      <c r="H3403" t="s">
        <v>12324</v>
      </c>
      <c r="I3403" t="s">
        <v>17951</v>
      </c>
      <c r="J3403" t="s">
        <v>18893</v>
      </c>
      <c r="K3403">
        <v>10128</v>
      </c>
      <c r="L3403" t="s">
        <v>18958</v>
      </c>
      <c r="M3403" t="s">
        <v>18958</v>
      </c>
      <c r="N3403" t="s">
        <v>21508</v>
      </c>
      <c r="O3403" t="s">
        <v>26524</v>
      </c>
      <c r="P3403" t="s">
        <v>26564</v>
      </c>
      <c r="Q3403" t="s">
        <v>26570</v>
      </c>
      <c r="R3403" t="s">
        <v>26582</v>
      </c>
      <c r="S3403" t="s">
        <v>18959</v>
      </c>
      <c r="U3403" t="s">
        <v>26605</v>
      </c>
      <c r="V3403" t="s">
        <v>26610</v>
      </c>
      <c r="W3403" t="s">
        <v>667</v>
      </c>
      <c r="X3403">
        <v>1200</v>
      </c>
      <c r="Y3403" t="s">
        <v>26651</v>
      </c>
      <c r="Z3403" t="s">
        <v>26664</v>
      </c>
      <c r="AA3403" t="s">
        <v>26683</v>
      </c>
      <c r="AB3403" t="s">
        <v>27359</v>
      </c>
      <c r="AC3403" t="s">
        <v>35514</v>
      </c>
      <c r="AD3403" t="s">
        <v>39684</v>
      </c>
      <c r="AE3403">
        <v>636</v>
      </c>
      <c r="AF3403" t="s">
        <v>45542</v>
      </c>
      <c r="AH3403">
        <v>3</v>
      </c>
      <c r="AI3403">
        <v>1</v>
      </c>
      <c r="AJ3403">
        <v>2</v>
      </c>
      <c r="AK3403">
        <v>31.03</v>
      </c>
      <c r="AN3403" t="s">
        <v>7439</v>
      </c>
      <c r="AO3403">
        <v>6448</v>
      </c>
      <c r="AU3403">
        <v>1.5</v>
      </c>
      <c r="AV3403" t="s">
        <v>703</v>
      </c>
      <c r="AW3403" t="s">
        <v>46835</v>
      </c>
    </row>
    <row r="3404" spans="1:49">
      <c r="A3404" s="1">
        <f>HYPERLINK("https://lsnyc.legalserver.org/matter/dynamic-profile/view/1884371","18-1884371")</f>
        <v>0</v>
      </c>
      <c r="B3404" t="s">
        <v>66</v>
      </c>
      <c r="C3404" t="s">
        <v>341</v>
      </c>
      <c r="D3404" t="s">
        <v>667</v>
      </c>
      <c r="E3404" t="s">
        <v>705</v>
      </c>
      <c r="F3404" t="s">
        <v>1146</v>
      </c>
      <c r="G3404" t="s">
        <v>6870</v>
      </c>
      <c r="H3404" t="s">
        <v>12325</v>
      </c>
      <c r="I3404">
        <v>93</v>
      </c>
      <c r="J3404" t="s">
        <v>18893</v>
      </c>
      <c r="K3404">
        <v>10003</v>
      </c>
      <c r="L3404" t="s">
        <v>18958</v>
      </c>
      <c r="M3404" t="s">
        <v>18958</v>
      </c>
      <c r="N3404" t="s">
        <v>21509</v>
      </c>
      <c r="O3404" t="s">
        <v>26523</v>
      </c>
      <c r="P3404" t="s">
        <v>26564</v>
      </c>
      <c r="Q3404" t="s">
        <v>26570</v>
      </c>
      <c r="R3404" t="s">
        <v>26582</v>
      </c>
      <c r="S3404" t="s">
        <v>18959</v>
      </c>
      <c r="U3404" t="s">
        <v>26604</v>
      </c>
      <c r="V3404" t="s">
        <v>26610</v>
      </c>
      <c r="W3404" t="s">
        <v>667</v>
      </c>
      <c r="X3404">
        <v>766</v>
      </c>
      <c r="Y3404" t="s">
        <v>26651</v>
      </c>
      <c r="Z3404" t="s">
        <v>26664</v>
      </c>
      <c r="AA3404" t="s">
        <v>26683</v>
      </c>
      <c r="AB3404" t="s">
        <v>29601</v>
      </c>
      <c r="AD3404" t="s">
        <v>39685</v>
      </c>
      <c r="AE3404">
        <v>35</v>
      </c>
      <c r="AF3404" t="s">
        <v>45541</v>
      </c>
      <c r="AH3404">
        <v>35</v>
      </c>
      <c r="AI3404">
        <v>1</v>
      </c>
      <c r="AJ3404">
        <v>0</v>
      </c>
      <c r="AK3404">
        <v>192.75</v>
      </c>
      <c r="AN3404" t="s">
        <v>45595</v>
      </c>
      <c r="AO3404">
        <v>23400</v>
      </c>
      <c r="AU3404">
        <v>1.25</v>
      </c>
      <c r="AV3404" t="s">
        <v>703</v>
      </c>
      <c r="AW3404" t="s">
        <v>46875</v>
      </c>
    </row>
    <row r="3405" spans="1:49">
      <c r="A3405" s="1">
        <f>HYPERLINK("https://lsnyc.legalserver.org/matter/dynamic-profile/view/1884424","18-1884424")</f>
        <v>0</v>
      </c>
      <c r="B3405" t="s">
        <v>79</v>
      </c>
      <c r="C3405" t="s">
        <v>341</v>
      </c>
      <c r="D3405" t="s">
        <v>667</v>
      </c>
      <c r="E3405" t="s">
        <v>709</v>
      </c>
      <c r="F3405" t="s">
        <v>1004</v>
      </c>
      <c r="G3405" t="s">
        <v>5827</v>
      </c>
      <c r="H3405" t="s">
        <v>12326</v>
      </c>
      <c r="I3405">
        <v>24</v>
      </c>
      <c r="J3405" t="s">
        <v>18893</v>
      </c>
      <c r="K3405">
        <v>10034</v>
      </c>
      <c r="L3405" t="s">
        <v>18958</v>
      </c>
      <c r="M3405" t="s">
        <v>18958</v>
      </c>
      <c r="O3405" t="s">
        <v>26523</v>
      </c>
      <c r="P3405" t="s">
        <v>26564</v>
      </c>
      <c r="Q3405" t="s">
        <v>26570</v>
      </c>
      <c r="R3405" t="s">
        <v>26578</v>
      </c>
      <c r="S3405" t="s">
        <v>18959</v>
      </c>
      <c r="U3405" t="s">
        <v>26604</v>
      </c>
      <c r="W3405" t="s">
        <v>667</v>
      </c>
      <c r="X3405">
        <v>730.5599999999999</v>
      </c>
      <c r="Y3405" t="s">
        <v>26651</v>
      </c>
      <c r="Z3405" t="s">
        <v>26661</v>
      </c>
      <c r="AA3405" t="s">
        <v>26683</v>
      </c>
      <c r="AB3405" t="s">
        <v>29602</v>
      </c>
      <c r="AD3405" t="s">
        <v>39686</v>
      </c>
      <c r="AE3405">
        <v>30</v>
      </c>
      <c r="AF3405" t="s">
        <v>45541</v>
      </c>
      <c r="AG3405" t="s">
        <v>19330</v>
      </c>
      <c r="AH3405">
        <v>40</v>
      </c>
      <c r="AI3405">
        <v>1</v>
      </c>
      <c r="AJ3405">
        <v>0</v>
      </c>
      <c r="AK3405">
        <v>80.66</v>
      </c>
      <c r="AN3405" t="s">
        <v>7439</v>
      </c>
      <c r="AO3405">
        <v>9792</v>
      </c>
      <c r="AU3405">
        <v>1.6</v>
      </c>
      <c r="AV3405" t="s">
        <v>709</v>
      </c>
      <c r="AW3405" t="s">
        <v>46840</v>
      </c>
    </row>
    <row r="3406" spans="1:49">
      <c r="A3406" s="1">
        <f>HYPERLINK("https://lsnyc.legalserver.org/matter/dynamic-profile/view/1884439","18-1884439")</f>
        <v>0</v>
      </c>
      <c r="B3406" t="s">
        <v>64</v>
      </c>
      <c r="C3406" t="s">
        <v>341</v>
      </c>
      <c r="D3406" t="s">
        <v>667</v>
      </c>
      <c r="E3406" t="s">
        <v>777</v>
      </c>
      <c r="F3406" t="s">
        <v>2648</v>
      </c>
      <c r="G3406" t="s">
        <v>6871</v>
      </c>
      <c r="H3406" t="s">
        <v>12327</v>
      </c>
      <c r="I3406" t="s">
        <v>17293</v>
      </c>
      <c r="J3406" t="s">
        <v>18892</v>
      </c>
      <c r="K3406">
        <v>10468</v>
      </c>
      <c r="L3406" t="s">
        <v>18958</v>
      </c>
      <c r="M3406" t="s">
        <v>18958</v>
      </c>
      <c r="N3406" t="s">
        <v>21510</v>
      </c>
      <c r="O3406" t="s">
        <v>26523</v>
      </c>
      <c r="P3406" t="s">
        <v>26560</v>
      </c>
      <c r="Q3406" t="s">
        <v>26574</v>
      </c>
      <c r="R3406" t="s">
        <v>26579</v>
      </c>
      <c r="U3406" t="s">
        <v>26604</v>
      </c>
      <c r="V3406" t="s">
        <v>26610</v>
      </c>
      <c r="W3406" t="s">
        <v>667</v>
      </c>
      <c r="X3406">
        <v>1089.52</v>
      </c>
      <c r="Y3406" t="s">
        <v>26650</v>
      </c>
      <c r="Z3406" t="s">
        <v>26664</v>
      </c>
      <c r="AA3406" t="s">
        <v>26678</v>
      </c>
      <c r="AB3406" t="s">
        <v>29603</v>
      </c>
      <c r="AC3406" t="s">
        <v>35515</v>
      </c>
      <c r="AD3406" t="s">
        <v>39687</v>
      </c>
      <c r="AE3406">
        <v>0</v>
      </c>
      <c r="AF3406" t="s">
        <v>45541</v>
      </c>
      <c r="AG3406" t="s">
        <v>19330</v>
      </c>
      <c r="AH3406">
        <v>28</v>
      </c>
      <c r="AI3406">
        <v>2</v>
      </c>
      <c r="AJ3406">
        <v>3</v>
      </c>
      <c r="AK3406">
        <v>155.4</v>
      </c>
      <c r="AN3406" t="s">
        <v>45581</v>
      </c>
      <c r="AO3406">
        <v>45720</v>
      </c>
      <c r="AQ3406" t="s">
        <v>46362</v>
      </c>
      <c r="AR3406" t="s">
        <v>46383</v>
      </c>
      <c r="AS3406" t="s">
        <v>46499</v>
      </c>
      <c r="AT3406" t="s">
        <v>46623</v>
      </c>
      <c r="AU3406">
        <v>10.15</v>
      </c>
      <c r="AV3406" t="s">
        <v>775</v>
      </c>
      <c r="AW3406" t="s">
        <v>334</v>
      </c>
    </row>
    <row r="3407" spans="1:49">
      <c r="A3407" s="1">
        <f>HYPERLINK("https://lsnyc.legalserver.org/matter/dynamic-profile/view/1884456","18-1884456")</f>
        <v>0</v>
      </c>
      <c r="B3407" t="s">
        <v>50</v>
      </c>
      <c r="C3407" t="s">
        <v>341</v>
      </c>
      <c r="D3407" t="s">
        <v>667</v>
      </c>
      <c r="E3407" t="s">
        <v>757</v>
      </c>
      <c r="F3407" t="s">
        <v>916</v>
      </c>
      <c r="G3407" t="s">
        <v>5147</v>
      </c>
      <c r="H3407" t="s">
        <v>11978</v>
      </c>
      <c r="I3407" t="s">
        <v>17322</v>
      </c>
      <c r="J3407" t="s">
        <v>18892</v>
      </c>
      <c r="K3407">
        <v>10453</v>
      </c>
      <c r="L3407" t="s">
        <v>18958</v>
      </c>
      <c r="M3407" t="s">
        <v>18958</v>
      </c>
      <c r="O3407" t="s">
        <v>26536</v>
      </c>
      <c r="P3407" t="s">
        <v>26562</v>
      </c>
      <c r="Q3407" t="s">
        <v>26569</v>
      </c>
      <c r="R3407" t="s">
        <v>26578</v>
      </c>
      <c r="S3407" t="s">
        <v>18959</v>
      </c>
      <c r="U3407" t="s">
        <v>26606</v>
      </c>
      <c r="W3407" t="s">
        <v>667</v>
      </c>
      <c r="X3407">
        <v>1453</v>
      </c>
      <c r="Y3407" t="s">
        <v>26650</v>
      </c>
      <c r="Z3407" t="s">
        <v>26664</v>
      </c>
      <c r="AA3407" t="s">
        <v>26683</v>
      </c>
      <c r="AB3407" t="s">
        <v>29255</v>
      </c>
      <c r="AC3407" t="s">
        <v>35516</v>
      </c>
      <c r="AD3407" t="s">
        <v>39310</v>
      </c>
      <c r="AE3407">
        <v>22</v>
      </c>
      <c r="AF3407" t="s">
        <v>45541</v>
      </c>
      <c r="AG3407" t="s">
        <v>45556</v>
      </c>
      <c r="AH3407">
        <v>4</v>
      </c>
      <c r="AI3407">
        <v>1</v>
      </c>
      <c r="AJ3407">
        <v>0</v>
      </c>
      <c r="AK3407">
        <v>127.22</v>
      </c>
      <c r="AN3407" t="s">
        <v>45581</v>
      </c>
      <c r="AO3407">
        <v>15444</v>
      </c>
      <c r="AR3407" t="s">
        <v>26530</v>
      </c>
      <c r="AS3407" t="s">
        <v>46499</v>
      </c>
      <c r="AT3407" t="s">
        <v>46515</v>
      </c>
      <c r="AU3407">
        <v>1.25</v>
      </c>
      <c r="AV3407" t="s">
        <v>745</v>
      </c>
      <c r="AW3407" t="s">
        <v>46870</v>
      </c>
    </row>
    <row r="3408" spans="1:49">
      <c r="A3408" s="1">
        <f>HYPERLINK("https://lsnyc.legalserver.org/matter/dynamic-profile/view/1884368","18-1884368")</f>
        <v>0</v>
      </c>
      <c r="B3408" t="s">
        <v>270</v>
      </c>
      <c r="C3408" t="s">
        <v>341</v>
      </c>
      <c r="D3408" t="s">
        <v>667</v>
      </c>
      <c r="E3408" t="s">
        <v>763</v>
      </c>
      <c r="F3408" t="s">
        <v>2403</v>
      </c>
      <c r="G3408" t="s">
        <v>5335</v>
      </c>
      <c r="H3408" t="s">
        <v>12328</v>
      </c>
      <c r="I3408" t="s">
        <v>17316</v>
      </c>
      <c r="J3408" t="s">
        <v>18892</v>
      </c>
      <c r="K3408">
        <v>10457</v>
      </c>
      <c r="L3408" t="s">
        <v>18958</v>
      </c>
      <c r="M3408" t="s">
        <v>18958</v>
      </c>
      <c r="N3408" t="s">
        <v>21511</v>
      </c>
      <c r="O3408" t="s">
        <v>26523</v>
      </c>
      <c r="P3408" t="s">
        <v>26560</v>
      </c>
      <c r="Q3408" t="s">
        <v>26568</v>
      </c>
      <c r="R3408" t="s">
        <v>26579</v>
      </c>
      <c r="S3408" t="s">
        <v>18959</v>
      </c>
      <c r="U3408" t="s">
        <v>26604</v>
      </c>
      <c r="V3408" t="s">
        <v>26611</v>
      </c>
      <c r="W3408" t="s">
        <v>667</v>
      </c>
      <c r="X3408">
        <v>1268.07</v>
      </c>
      <c r="Y3408" t="s">
        <v>26650</v>
      </c>
      <c r="Z3408" t="s">
        <v>26668</v>
      </c>
      <c r="AA3408" t="s">
        <v>26678</v>
      </c>
      <c r="AB3408" t="s">
        <v>29604</v>
      </c>
      <c r="AC3408" t="s">
        <v>35517</v>
      </c>
      <c r="AD3408" t="s">
        <v>39688</v>
      </c>
      <c r="AE3408">
        <v>26</v>
      </c>
      <c r="AF3408" t="s">
        <v>20460</v>
      </c>
      <c r="AG3408" t="s">
        <v>26530</v>
      </c>
      <c r="AH3408">
        <v>14</v>
      </c>
      <c r="AI3408">
        <v>1</v>
      </c>
      <c r="AJ3408">
        <v>0</v>
      </c>
      <c r="AK3408">
        <v>13.64</v>
      </c>
      <c r="AN3408" t="s">
        <v>45581</v>
      </c>
      <c r="AO3408">
        <v>1656</v>
      </c>
      <c r="AR3408" t="s">
        <v>26530</v>
      </c>
      <c r="AS3408" t="s">
        <v>46499</v>
      </c>
      <c r="AT3408" t="s">
        <v>46599</v>
      </c>
      <c r="AU3408">
        <v>29.7</v>
      </c>
      <c r="AV3408" t="s">
        <v>672</v>
      </c>
      <c r="AW3408" t="s">
        <v>46847</v>
      </c>
    </row>
    <row r="3409" spans="1:50">
      <c r="A3409" s="1">
        <f>HYPERLINK("https://lsnyc.legalserver.org/matter/dynamic-profile/view/1884464","18-1884464")</f>
        <v>0</v>
      </c>
      <c r="B3409" t="s">
        <v>117</v>
      </c>
      <c r="C3409" t="s">
        <v>340</v>
      </c>
      <c r="D3409" t="s">
        <v>667</v>
      </c>
      <c r="F3409" t="s">
        <v>2649</v>
      </c>
      <c r="G3409" t="s">
        <v>6872</v>
      </c>
      <c r="H3409" t="s">
        <v>12329</v>
      </c>
      <c r="I3409" t="s">
        <v>17963</v>
      </c>
      <c r="J3409" t="s">
        <v>18894</v>
      </c>
      <c r="K3409">
        <v>11233</v>
      </c>
      <c r="L3409" t="s">
        <v>18958</v>
      </c>
      <c r="M3409" t="s">
        <v>18958</v>
      </c>
      <c r="N3409" t="s">
        <v>21512</v>
      </c>
      <c r="O3409" t="s">
        <v>26523</v>
      </c>
      <c r="P3409" t="s">
        <v>26560</v>
      </c>
      <c r="R3409" t="s">
        <v>26578</v>
      </c>
      <c r="S3409" t="s">
        <v>18959</v>
      </c>
      <c r="U3409" t="s">
        <v>26604</v>
      </c>
      <c r="V3409" t="s">
        <v>26610</v>
      </c>
      <c r="W3409" t="s">
        <v>667</v>
      </c>
      <c r="X3409">
        <v>2050</v>
      </c>
      <c r="Y3409" t="s">
        <v>26652</v>
      </c>
      <c r="Z3409" t="s">
        <v>26668</v>
      </c>
      <c r="AB3409" t="s">
        <v>29605</v>
      </c>
      <c r="AC3409" t="s">
        <v>19330</v>
      </c>
      <c r="AD3409" t="s">
        <v>39689</v>
      </c>
      <c r="AE3409">
        <v>6</v>
      </c>
      <c r="AF3409" t="s">
        <v>45541</v>
      </c>
      <c r="AG3409" t="s">
        <v>19330</v>
      </c>
      <c r="AH3409">
        <v>0</v>
      </c>
      <c r="AI3409">
        <v>1</v>
      </c>
      <c r="AJ3409">
        <v>0</v>
      </c>
      <c r="AK3409">
        <v>306.43</v>
      </c>
      <c r="AL3409" t="s">
        <v>820</v>
      </c>
      <c r="AM3409" t="s">
        <v>45575</v>
      </c>
      <c r="AN3409" t="s">
        <v>7439</v>
      </c>
      <c r="AO3409">
        <v>37200</v>
      </c>
      <c r="AP3409" t="s">
        <v>45780</v>
      </c>
      <c r="AU3409">
        <v>48.7</v>
      </c>
      <c r="AV3409" t="s">
        <v>767</v>
      </c>
      <c r="AW3409" t="s">
        <v>46850</v>
      </c>
    </row>
    <row r="3410" spans="1:50">
      <c r="A3410" s="1">
        <f>HYPERLINK("https://lsnyc.legalserver.org/matter/dynamic-profile/view/1884379","18-1884379")</f>
        <v>0</v>
      </c>
      <c r="B3410" t="s">
        <v>66</v>
      </c>
      <c r="C3410" t="s">
        <v>340</v>
      </c>
      <c r="D3410" t="s">
        <v>667</v>
      </c>
      <c r="F3410" t="s">
        <v>2650</v>
      </c>
      <c r="G3410" t="s">
        <v>6873</v>
      </c>
      <c r="H3410" t="s">
        <v>12330</v>
      </c>
      <c r="I3410" t="s">
        <v>17597</v>
      </c>
      <c r="J3410" t="s">
        <v>18893</v>
      </c>
      <c r="K3410">
        <v>10034</v>
      </c>
      <c r="L3410" t="s">
        <v>18958</v>
      </c>
      <c r="M3410" t="s">
        <v>18958</v>
      </c>
      <c r="N3410" t="s">
        <v>21513</v>
      </c>
      <c r="O3410" t="s">
        <v>26523</v>
      </c>
      <c r="P3410" t="s">
        <v>26564</v>
      </c>
      <c r="R3410" t="s">
        <v>26582</v>
      </c>
      <c r="S3410" t="s">
        <v>18959</v>
      </c>
      <c r="U3410" t="s">
        <v>26604</v>
      </c>
      <c r="V3410" t="s">
        <v>26610</v>
      </c>
      <c r="W3410" t="s">
        <v>667</v>
      </c>
      <c r="X3410">
        <v>1451.56</v>
      </c>
      <c r="Y3410" t="s">
        <v>26651</v>
      </c>
      <c r="Z3410" t="s">
        <v>26664</v>
      </c>
      <c r="AB3410" t="s">
        <v>29606</v>
      </c>
      <c r="AD3410" t="s">
        <v>39690</v>
      </c>
      <c r="AE3410">
        <v>60</v>
      </c>
      <c r="AF3410" t="s">
        <v>20460</v>
      </c>
      <c r="AH3410">
        <v>14</v>
      </c>
      <c r="AI3410">
        <v>3</v>
      </c>
      <c r="AJ3410">
        <v>1</v>
      </c>
      <c r="AK3410">
        <v>62.15</v>
      </c>
      <c r="AN3410" t="s">
        <v>45581</v>
      </c>
      <c r="AO3410">
        <v>15600</v>
      </c>
      <c r="AU3410">
        <v>0</v>
      </c>
      <c r="AW3410" t="s">
        <v>46835</v>
      </c>
    </row>
    <row r="3411" spans="1:50">
      <c r="A3411" s="1">
        <f>HYPERLINK("https://lsnyc.legalserver.org/matter/dynamic-profile/view/1884428","18-1884428")</f>
        <v>0</v>
      </c>
      <c r="B3411" t="s">
        <v>84</v>
      </c>
      <c r="C3411" t="s">
        <v>340</v>
      </c>
      <c r="D3411" t="s">
        <v>667</v>
      </c>
      <c r="F3411" t="s">
        <v>1650</v>
      </c>
      <c r="G3411" t="s">
        <v>6874</v>
      </c>
      <c r="H3411" t="s">
        <v>12331</v>
      </c>
      <c r="I3411" t="s">
        <v>17338</v>
      </c>
      <c r="J3411" t="s">
        <v>18893</v>
      </c>
      <c r="K3411">
        <v>10021</v>
      </c>
      <c r="L3411" t="s">
        <v>18958</v>
      </c>
      <c r="M3411" t="s">
        <v>18958</v>
      </c>
      <c r="N3411" t="s">
        <v>21514</v>
      </c>
      <c r="O3411" t="s">
        <v>26524</v>
      </c>
      <c r="P3411" t="s">
        <v>26565</v>
      </c>
      <c r="R3411" t="s">
        <v>26578</v>
      </c>
      <c r="S3411" t="s">
        <v>18959</v>
      </c>
      <c r="U3411" t="s">
        <v>26604</v>
      </c>
      <c r="W3411" t="s">
        <v>667</v>
      </c>
      <c r="X3411">
        <v>2250</v>
      </c>
      <c r="Y3411" t="s">
        <v>26651</v>
      </c>
      <c r="Z3411" t="s">
        <v>26664</v>
      </c>
      <c r="AB3411" t="s">
        <v>29607</v>
      </c>
      <c r="AD3411" t="s">
        <v>39691</v>
      </c>
      <c r="AE3411">
        <v>53</v>
      </c>
      <c r="AG3411" t="s">
        <v>19330</v>
      </c>
      <c r="AH3411">
        <v>10</v>
      </c>
      <c r="AI3411">
        <v>1</v>
      </c>
      <c r="AJ3411">
        <v>0</v>
      </c>
      <c r="AK3411">
        <v>0</v>
      </c>
      <c r="AN3411" t="s">
        <v>7439</v>
      </c>
      <c r="AO3411">
        <v>0</v>
      </c>
      <c r="AU3411">
        <v>0.65</v>
      </c>
      <c r="AV3411" t="s">
        <v>706</v>
      </c>
      <c r="AW3411" t="s">
        <v>46875</v>
      </c>
    </row>
    <row r="3412" spans="1:50">
      <c r="A3412" s="1">
        <f>HYPERLINK("https://lsnyc.legalserver.org/matter/dynamic-profile/view/1883827","18-1883827")</f>
        <v>0</v>
      </c>
      <c r="B3412" t="s">
        <v>84</v>
      </c>
      <c r="C3412" t="s">
        <v>340</v>
      </c>
      <c r="D3412" t="s">
        <v>667</v>
      </c>
      <c r="F3412" t="s">
        <v>1150</v>
      </c>
      <c r="G3412" t="s">
        <v>5785</v>
      </c>
      <c r="H3412" t="s">
        <v>12332</v>
      </c>
      <c r="I3412">
        <v>905</v>
      </c>
      <c r="J3412" t="s">
        <v>18893</v>
      </c>
      <c r="K3412">
        <v>10029</v>
      </c>
      <c r="L3412" t="s">
        <v>18958</v>
      </c>
      <c r="M3412" t="s">
        <v>18959</v>
      </c>
      <c r="O3412" t="s">
        <v>26538</v>
      </c>
      <c r="P3412" t="s">
        <v>26562</v>
      </c>
      <c r="R3412" t="s">
        <v>26578</v>
      </c>
      <c r="S3412" t="s">
        <v>18959</v>
      </c>
      <c r="U3412" t="s">
        <v>26604</v>
      </c>
      <c r="W3412" t="s">
        <v>667</v>
      </c>
      <c r="X3412">
        <v>860</v>
      </c>
      <c r="Y3412" t="s">
        <v>26651</v>
      </c>
      <c r="Z3412" t="s">
        <v>26659</v>
      </c>
      <c r="AB3412" t="s">
        <v>29608</v>
      </c>
      <c r="AD3412" t="s">
        <v>39692</v>
      </c>
      <c r="AE3412">
        <v>31</v>
      </c>
      <c r="AF3412" t="s">
        <v>45544</v>
      </c>
      <c r="AG3412" t="s">
        <v>19330</v>
      </c>
      <c r="AH3412">
        <v>40</v>
      </c>
      <c r="AI3412">
        <v>1</v>
      </c>
      <c r="AJ3412">
        <v>0</v>
      </c>
      <c r="AK3412">
        <v>141.94</v>
      </c>
      <c r="AN3412" t="s">
        <v>45581</v>
      </c>
      <c r="AO3412">
        <v>17232</v>
      </c>
      <c r="AU3412">
        <v>29.3</v>
      </c>
      <c r="AV3412" t="s">
        <v>797</v>
      </c>
      <c r="AW3412" t="s">
        <v>314</v>
      </c>
    </row>
    <row r="3413" spans="1:50">
      <c r="A3413" s="1">
        <f>HYPERLINK("https://lsnyc.legalserver.org/matter/dynamic-profile/view/1884369","18-1884369")</f>
        <v>0</v>
      </c>
      <c r="B3413" t="s">
        <v>84</v>
      </c>
      <c r="C3413" t="s">
        <v>340</v>
      </c>
      <c r="D3413" t="s">
        <v>667</v>
      </c>
      <c r="F3413" t="s">
        <v>1374</v>
      </c>
      <c r="G3413" t="s">
        <v>6875</v>
      </c>
      <c r="H3413" t="s">
        <v>12333</v>
      </c>
      <c r="I3413">
        <v>14</v>
      </c>
      <c r="J3413" t="s">
        <v>18893</v>
      </c>
      <c r="K3413">
        <v>10035</v>
      </c>
      <c r="L3413" t="s">
        <v>18958</v>
      </c>
      <c r="M3413" t="s">
        <v>18958</v>
      </c>
      <c r="N3413" t="s">
        <v>21515</v>
      </c>
      <c r="O3413" t="s">
        <v>26524</v>
      </c>
      <c r="P3413" t="s">
        <v>26564</v>
      </c>
      <c r="R3413" t="s">
        <v>26582</v>
      </c>
      <c r="S3413" t="s">
        <v>18959</v>
      </c>
      <c r="U3413" t="s">
        <v>26604</v>
      </c>
      <c r="V3413" t="s">
        <v>26610</v>
      </c>
      <c r="W3413" t="s">
        <v>667</v>
      </c>
      <c r="X3413">
        <v>1000</v>
      </c>
      <c r="Y3413" t="s">
        <v>26651</v>
      </c>
      <c r="Z3413" t="s">
        <v>26664</v>
      </c>
      <c r="AB3413" t="s">
        <v>29609</v>
      </c>
      <c r="AD3413" t="s">
        <v>39693</v>
      </c>
      <c r="AE3413">
        <v>31</v>
      </c>
      <c r="AF3413" t="s">
        <v>20460</v>
      </c>
      <c r="AH3413">
        <v>1</v>
      </c>
      <c r="AI3413">
        <v>1</v>
      </c>
      <c r="AJ3413">
        <v>0</v>
      </c>
      <c r="AK3413">
        <v>0</v>
      </c>
      <c r="AN3413" t="s">
        <v>7439</v>
      </c>
      <c r="AO3413">
        <v>0</v>
      </c>
      <c r="AU3413">
        <v>0.8</v>
      </c>
      <c r="AV3413" t="s">
        <v>688</v>
      </c>
      <c r="AW3413" t="s">
        <v>46835</v>
      </c>
    </row>
    <row r="3414" spans="1:50">
      <c r="A3414" s="1">
        <f>HYPERLINK("https://lsnyc.legalserver.org/matter/dynamic-profile/view/1884405","18-1884405")</f>
        <v>0</v>
      </c>
      <c r="B3414" t="s">
        <v>84</v>
      </c>
      <c r="C3414" t="s">
        <v>340</v>
      </c>
      <c r="D3414" t="s">
        <v>667</v>
      </c>
      <c r="F3414" t="s">
        <v>2651</v>
      </c>
      <c r="G3414" t="s">
        <v>5330</v>
      </c>
      <c r="H3414" t="s">
        <v>12334</v>
      </c>
      <c r="I3414">
        <v>4</v>
      </c>
      <c r="J3414" t="s">
        <v>18893</v>
      </c>
      <c r="K3414">
        <v>10034</v>
      </c>
      <c r="L3414" t="s">
        <v>18958</v>
      </c>
      <c r="M3414" t="s">
        <v>18958</v>
      </c>
      <c r="N3414" t="s">
        <v>21516</v>
      </c>
      <c r="O3414" t="s">
        <v>26523</v>
      </c>
      <c r="P3414" t="s">
        <v>26564</v>
      </c>
      <c r="R3414" t="s">
        <v>26582</v>
      </c>
      <c r="S3414" t="s">
        <v>18959</v>
      </c>
      <c r="U3414" t="s">
        <v>26604</v>
      </c>
      <c r="V3414" t="s">
        <v>26610</v>
      </c>
      <c r="W3414" t="s">
        <v>667</v>
      </c>
      <c r="X3414">
        <v>855.97</v>
      </c>
      <c r="Y3414" t="s">
        <v>26651</v>
      </c>
      <c r="Z3414" t="s">
        <v>26664</v>
      </c>
      <c r="AB3414" t="s">
        <v>29610</v>
      </c>
      <c r="AD3414" t="s">
        <v>39694</v>
      </c>
      <c r="AE3414">
        <v>25</v>
      </c>
      <c r="AF3414" t="s">
        <v>45541</v>
      </c>
      <c r="AG3414" t="s">
        <v>45556</v>
      </c>
      <c r="AH3414">
        <v>41</v>
      </c>
      <c r="AI3414">
        <v>3</v>
      </c>
      <c r="AJ3414">
        <v>1</v>
      </c>
      <c r="AK3414">
        <v>72.19</v>
      </c>
      <c r="AN3414" t="s">
        <v>45581</v>
      </c>
      <c r="AO3414">
        <v>18120</v>
      </c>
      <c r="AU3414">
        <v>1.9</v>
      </c>
      <c r="AV3414" t="s">
        <v>706</v>
      </c>
      <c r="AW3414" t="s">
        <v>46835</v>
      </c>
    </row>
    <row r="3415" spans="1:50">
      <c r="A3415" s="1">
        <f>HYPERLINK("https://lsnyc.legalserver.org/matter/dynamic-profile/view/1884435","18-1884435")</f>
        <v>0</v>
      </c>
      <c r="B3415" t="s">
        <v>84</v>
      </c>
      <c r="C3415" t="s">
        <v>340</v>
      </c>
      <c r="D3415" t="s">
        <v>667</v>
      </c>
      <c r="F3415" t="s">
        <v>2456</v>
      </c>
      <c r="G3415" t="s">
        <v>6399</v>
      </c>
      <c r="H3415" t="s">
        <v>10079</v>
      </c>
      <c r="I3415" t="s">
        <v>17582</v>
      </c>
      <c r="J3415" t="s">
        <v>18893</v>
      </c>
      <c r="K3415">
        <v>10040</v>
      </c>
      <c r="L3415" t="s">
        <v>18958</v>
      </c>
      <c r="M3415" t="s">
        <v>18958</v>
      </c>
      <c r="N3415" t="s">
        <v>21517</v>
      </c>
      <c r="O3415" t="s">
        <v>26524</v>
      </c>
      <c r="P3415" t="s">
        <v>26564</v>
      </c>
      <c r="R3415" t="s">
        <v>26582</v>
      </c>
      <c r="S3415" t="s">
        <v>18959</v>
      </c>
      <c r="U3415" t="s">
        <v>26604</v>
      </c>
      <c r="V3415" t="s">
        <v>26610</v>
      </c>
      <c r="W3415" t="s">
        <v>667</v>
      </c>
      <c r="X3415">
        <v>0</v>
      </c>
      <c r="Y3415" t="s">
        <v>26651</v>
      </c>
      <c r="Z3415" t="s">
        <v>26664</v>
      </c>
      <c r="AB3415" t="s">
        <v>29611</v>
      </c>
      <c r="AD3415" t="s">
        <v>39695</v>
      </c>
      <c r="AE3415">
        <v>40</v>
      </c>
      <c r="AF3415" t="s">
        <v>20460</v>
      </c>
      <c r="AH3415">
        <v>3</v>
      </c>
      <c r="AI3415">
        <v>2</v>
      </c>
      <c r="AJ3415">
        <v>1</v>
      </c>
      <c r="AK3415">
        <v>97.19</v>
      </c>
      <c r="AN3415" t="s">
        <v>7439</v>
      </c>
      <c r="AO3415">
        <v>20196</v>
      </c>
      <c r="AU3415">
        <v>0.85</v>
      </c>
      <c r="AV3415" t="s">
        <v>689</v>
      </c>
      <c r="AW3415" t="s">
        <v>46835</v>
      </c>
    </row>
    <row r="3416" spans="1:50">
      <c r="A3416" s="1">
        <f>HYPERLINK("https://lsnyc.legalserver.org/matter/dynamic-profile/view/1884425","18-1884425")</f>
        <v>0</v>
      </c>
      <c r="B3416" t="s">
        <v>253</v>
      </c>
      <c r="C3416" t="s">
        <v>340</v>
      </c>
      <c r="D3416" t="s">
        <v>667</v>
      </c>
      <c r="F3416" t="s">
        <v>2652</v>
      </c>
      <c r="G3416" t="s">
        <v>6876</v>
      </c>
      <c r="H3416" t="s">
        <v>11262</v>
      </c>
      <c r="I3416" t="s">
        <v>17814</v>
      </c>
      <c r="J3416" t="s">
        <v>18892</v>
      </c>
      <c r="K3416">
        <v>10467</v>
      </c>
      <c r="L3416" t="s">
        <v>18958</v>
      </c>
      <c r="M3416" t="s">
        <v>18958</v>
      </c>
      <c r="N3416" t="s">
        <v>21518</v>
      </c>
      <c r="O3416" t="s">
        <v>26523</v>
      </c>
      <c r="P3416" t="s">
        <v>26560</v>
      </c>
      <c r="R3416" t="s">
        <v>26579</v>
      </c>
      <c r="S3416" t="s">
        <v>18959</v>
      </c>
      <c r="U3416" t="s">
        <v>26604</v>
      </c>
      <c r="V3416" t="s">
        <v>26610</v>
      </c>
      <c r="W3416" t="s">
        <v>667</v>
      </c>
      <c r="X3416">
        <v>827</v>
      </c>
      <c r="Y3416" t="s">
        <v>26650</v>
      </c>
      <c r="Z3416" t="s">
        <v>26664</v>
      </c>
      <c r="AB3416" t="s">
        <v>29612</v>
      </c>
      <c r="AC3416" t="s">
        <v>35518</v>
      </c>
      <c r="AD3416" t="s">
        <v>39696</v>
      </c>
      <c r="AE3416">
        <v>0</v>
      </c>
      <c r="AF3416" t="s">
        <v>45549</v>
      </c>
      <c r="AG3416" t="s">
        <v>26530</v>
      </c>
      <c r="AH3416">
        <v>0</v>
      </c>
      <c r="AI3416">
        <v>2</v>
      </c>
      <c r="AJ3416">
        <v>0</v>
      </c>
      <c r="AK3416">
        <v>149.79</v>
      </c>
      <c r="AN3416" t="s">
        <v>7439</v>
      </c>
      <c r="AO3416">
        <v>24656</v>
      </c>
      <c r="AU3416">
        <v>26.95</v>
      </c>
      <c r="AV3416" t="s">
        <v>822</v>
      </c>
      <c r="AW3416" t="s">
        <v>46870</v>
      </c>
    </row>
    <row r="3417" spans="1:50">
      <c r="A3417" s="1">
        <f>HYPERLINK("https://lsnyc.legalserver.org/matter/dynamic-profile/view/1884419","18-1884419")</f>
        <v>0</v>
      </c>
      <c r="B3417" t="s">
        <v>120</v>
      </c>
      <c r="C3417" t="s">
        <v>340</v>
      </c>
      <c r="D3417" t="s">
        <v>667</v>
      </c>
      <c r="F3417" t="s">
        <v>947</v>
      </c>
      <c r="G3417" t="s">
        <v>6877</v>
      </c>
      <c r="H3417" t="s">
        <v>12335</v>
      </c>
      <c r="I3417" t="s">
        <v>17299</v>
      </c>
      <c r="J3417" t="s">
        <v>18892</v>
      </c>
      <c r="K3417">
        <v>10472</v>
      </c>
      <c r="L3417" t="s">
        <v>18958</v>
      </c>
      <c r="M3417" t="s">
        <v>18958</v>
      </c>
      <c r="N3417" t="s">
        <v>21519</v>
      </c>
      <c r="O3417" t="s">
        <v>26523</v>
      </c>
      <c r="P3417" t="s">
        <v>26560</v>
      </c>
      <c r="R3417" t="s">
        <v>26577</v>
      </c>
      <c r="S3417" t="s">
        <v>18959</v>
      </c>
      <c r="U3417" t="s">
        <v>26604</v>
      </c>
      <c r="V3417" t="s">
        <v>26610</v>
      </c>
      <c r="W3417" t="s">
        <v>667</v>
      </c>
      <c r="X3417">
        <v>1108.87</v>
      </c>
      <c r="Y3417" t="s">
        <v>26650</v>
      </c>
      <c r="Z3417" t="s">
        <v>26659</v>
      </c>
      <c r="AB3417" t="s">
        <v>29613</v>
      </c>
      <c r="AC3417" t="s">
        <v>35519</v>
      </c>
      <c r="AD3417" t="s">
        <v>39697</v>
      </c>
      <c r="AE3417">
        <v>50</v>
      </c>
      <c r="AF3417" t="s">
        <v>45541</v>
      </c>
      <c r="AG3417" t="s">
        <v>45556</v>
      </c>
      <c r="AH3417">
        <v>7</v>
      </c>
      <c r="AI3417">
        <v>1</v>
      </c>
      <c r="AJ3417">
        <v>4</v>
      </c>
      <c r="AK3417">
        <v>99.42</v>
      </c>
      <c r="AN3417" t="s">
        <v>7439</v>
      </c>
      <c r="AO3417">
        <v>29249.76</v>
      </c>
      <c r="AP3417" t="s">
        <v>45790</v>
      </c>
      <c r="AU3417">
        <v>14.8</v>
      </c>
      <c r="AV3417" t="s">
        <v>843</v>
      </c>
      <c r="AW3417" t="s">
        <v>46847</v>
      </c>
    </row>
    <row r="3418" spans="1:50">
      <c r="A3418" s="1">
        <f>HYPERLINK("https://lsnyc.legalserver.org/matter/dynamic-profile/view/1884482","18-1884482")</f>
        <v>0</v>
      </c>
      <c r="B3418" t="s">
        <v>65</v>
      </c>
      <c r="C3418" t="s">
        <v>340</v>
      </c>
      <c r="D3418" t="s">
        <v>667</v>
      </c>
      <c r="F3418" t="s">
        <v>1200</v>
      </c>
      <c r="G3418" t="s">
        <v>5379</v>
      </c>
      <c r="H3418" t="s">
        <v>10010</v>
      </c>
      <c r="I3418" t="s">
        <v>17436</v>
      </c>
      <c r="J3418" t="s">
        <v>18892</v>
      </c>
      <c r="K3418">
        <v>10467</v>
      </c>
      <c r="L3418" t="s">
        <v>18958</v>
      </c>
      <c r="M3418" t="s">
        <v>18958</v>
      </c>
      <c r="N3418" t="s">
        <v>21520</v>
      </c>
      <c r="O3418" t="s">
        <v>26523</v>
      </c>
      <c r="P3418" t="s">
        <v>26560</v>
      </c>
      <c r="R3418" t="s">
        <v>26579</v>
      </c>
      <c r="U3418" t="s">
        <v>26604</v>
      </c>
      <c r="V3418" t="s">
        <v>26610</v>
      </c>
      <c r="W3418" t="s">
        <v>667</v>
      </c>
      <c r="X3418">
        <v>1321</v>
      </c>
      <c r="Y3418" t="s">
        <v>26650</v>
      </c>
      <c r="Z3418" t="s">
        <v>26664</v>
      </c>
      <c r="AB3418" t="s">
        <v>27098</v>
      </c>
      <c r="AC3418" t="s">
        <v>35520</v>
      </c>
      <c r="AD3418" t="s">
        <v>37179</v>
      </c>
      <c r="AE3418">
        <v>0</v>
      </c>
      <c r="AF3418" t="s">
        <v>45541</v>
      </c>
      <c r="AG3418" t="s">
        <v>45558</v>
      </c>
      <c r="AH3418">
        <v>3</v>
      </c>
      <c r="AI3418">
        <v>1</v>
      </c>
      <c r="AJ3418">
        <v>2</v>
      </c>
      <c r="AK3418">
        <v>17.9</v>
      </c>
      <c r="AN3418" t="s">
        <v>7439</v>
      </c>
      <c r="AO3418">
        <v>3720</v>
      </c>
      <c r="AU3418">
        <v>17.7</v>
      </c>
      <c r="AV3418" t="s">
        <v>834</v>
      </c>
      <c r="AW3418" t="s">
        <v>334</v>
      </c>
    </row>
    <row r="3419" spans="1:50">
      <c r="A3419" s="1">
        <f>HYPERLINK("https://lsnyc.legalserver.org/matter/dynamic-profile/view/1884448","18-1884448")</f>
        <v>0</v>
      </c>
      <c r="B3419" t="s">
        <v>187</v>
      </c>
      <c r="C3419" t="s">
        <v>340</v>
      </c>
      <c r="D3419" t="s">
        <v>667</v>
      </c>
      <c r="F3419" t="s">
        <v>2327</v>
      </c>
      <c r="G3419" t="s">
        <v>5311</v>
      </c>
      <c r="H3419" t="s">
        <v>11746</v>
      </c>
      <c r="I3419" t="s">
        <v>17362</v>
      </c>
      <c r="J3419" t="s">
        <v>18892</v>
      </c>
      <c r="K3419">
        <v>10452</v>
      </c>
      <c r="L3419" t="s">
        <v>18958</v>
      </c>
      <c r="M3419" t="s">
        <v>18958</v>
      </c>
      <c r="N3419" t="s">
        <v>21521</v>
      </c>
      <c r="O3419" t="s">
        <v>26523</v>
      </c>
      <c r="P3419" t="s">
        <v>26560</v>
      </c>
      <c r="R3419" t="s">
        <v>26577</v>
      </c>
      <c r="S3419" t="s">
        <v>18959</v>
      </c>
      <c r="U3419" t="s">
        <v>26604</v>
      </c>
      <c r="V3419" t="s">
        <v>26610</v>
      </c>
      <c r="W3419" t="s">
        <v>667</v>
      </c>
      <c r="X3419">
        <v>1251.74</v>
      </c>
      <c r="Y3419" t="s">
        <v>26650</v>
      </c>
      <c r="Z3419" t="s">
        <v>26659</v>
      </c>
      <c r="AB3419" t="s">
        <v>28094</v>
      </c>
      <c r="AD3419" t="s">
        <v>39045</v>
      </c>
      <c r="AE3419">
        <v>0</v>
      </c>
      <c r="AF3419" t="s">
        <v>45541</v>
      </c>
      <c r="AG3419" t="s">
        <v>45556</v>
      </c>
      <c r="AH3419">
        <v>22</v>
      </c>
      <c r="AI3419">
        <v>1</v>
      </c>
      <c r="AJ3419">
        <v>1</v>
      </c>
      <c r="AK3419">
        <v>151.64</v>
      </c>
      <c r="AN3419" t="s">
        <v>45605</v>
      </c>
      <c r="AO3419">
        <v>24960</v>
      </c>
      <c r="AU3419">
        <v>16.6</v>
      </c>
      <c r="AV3419" t="s">
        <v>765</v>
      </c>
      <c r="AW3419" t="s">
        <v>336</v>
      </c>
    </row>
    <row r="3420" spans="1:50">
      <c r="A3420" s="1">
        <f>HYPERLINK("https://lsnyc.legalserver.org/matter/dynamic-profile/view/1884426","18-1884426")</f>
        <v>0</v>
      </c>
      <c r="B3420" t="s">
        <v>194</v>
      </c>
      <c r="C3420" t="s">
        <v>340</v>
      </c>
      <c r="D3420" t="s">
        <v>667</v>
      </c>
      <c r="F3420" t="s">
        <v>996</v>
      </c>
      <c r="G3420" t="s">
        <v>6515</v>
      </c>
      <c r="H3420" t="s">
        <v>11718</v>
      </c>
      <c r="I3420" t="s">
        <v>17306</v>
      </c>
      <c r="J3420" t="s">
        <v>18893</v>
      </c>
      <c r="K3420">
        <v>10029</v>
      </c>
      <c r="L3420" t="s">
        <v>18958</v>
      </c>
      <c r="M3420" t="s">
        <v>18958</v>
      </c>
      <c r="N3420" t="s">
        <v>21522</v>
      </c>
      <c r="O3420" t="s">
        <v>26523</v>
      </c>
      <c r="P3420" t="s">
        <v>26560</v>
      </c>
      <c r="R3420" t="s">
        <v>26582</v>
      </c>
      <c r="S3420" t="s">
        <v>18959</v>
      </c>
      <c r="U3420" t="s">
        <v>26604</v>
      </c>
      <c r="V3420" t="s">
        <v>26610</v>
      </c>
      <c r="W3420" t="s">
        <v>667</v>
      </c>
      <c r="X3420">
        <v>1323.03</v>
      </c>
      <c r="Y3420" t="s">
        <v>26651</v>
      </c>
      <c r="Z3420" t="s">
        <v>26664</v>
      </c>
      <c r="AB3420" t="s">
        <v>28955</v>
      </c>
      <c r="AD3420" t="s">
        <v>39012</v>
      </c>
      <c r="AE3420">
        <v>15</v>
      </c>
      <c r="AF3420" t="s">
        <v>45541</v>
      </c>
      <c r="AH3420">
        <v>6</v>
      </c>
      <c r="AI3420">
        <v>1</v>
      </c>
      <c r="AJ3420">
        <v>0</v>
      </c>
      <c r="AK3420">
        <v>93.41</v>
      </c>
      <c r="AN3420" t="s">
        <v>7439</v>
      </c>
      <c r="AO3420">
        <v>11340</v>
      </c>
      <c r="AU3420">
        <v>43.5</v>
      </c>
      <c r="AV3420" t="s">
        <v>814</v>
      </c>
      <c r="AW3420" t="s">
        <v>46835</v>
      </c>
    </row>
    <row r="3421" spans="1:50">
      <c r="A3421" s="1">
        <f>HYPERLINK("https://lsnyc.legalserver.org/matter/dynamic-profile/view/1884413","18-1884413")</f>
        <v>0</v>
      </c>
      <c r="B3421" t="s">
        <v>59</v>
      </c>
      <c r="C3421" t="s">
        <v>340</v>
      </c>
      <c r="D3421" t="s">
        <v>667</v>
      </c>
      <c r="F3421" t="s">
        <v>1390</v>
      </c>
      <c r="G3421" t="s">
        <v>5570</v>
      </c>
      <c r="H3421" t="s">
        <v>10271</v>
      </c>
      <c r="I3421">
        <v>43</v>
      </c>
      <c r="J3421" t="s">
        <v>18893</v>
      </c>
      <c r="K3421">
        <v>10032</v>
      </c>
      <c r="L3421" t="s">
        <v>18958</v>
      </c>
      <c r="M3421" t="s">
        <v>18958</v>
      </c>
      <c r="N3421" t="s">
        <v>21523</v>
      </c>
      <c r="O3421" t="s">
        <v>26523</v>
      </c>
      <c r="P3421" t="s">
        <v>26564</v>
      </c>
      <c r="R3421" t="s">
        <v>26582</v>
      </c>
      <c r="S3421" t="s">
        <v>18959</v>
      </c>
      <c r="U3421" t="s">
        <v>26604</v>
      </c>
      <c r="W3421" t="s">
        <v>667</v>
      </c>
      <c r="X3421">
        <v>1600</v>
      </c>
      <c r="Y3421" t="s">
        <v>26651</v>
      </c>
      <c r="Z3421" t="s">
        <v>26664</v>
      </c>
      <c r="AB3421" t="s">
        <v>27376</v>
      </c>
      <c r="AD3421" t="s">
        <v>37443</v>
      </c>
      <c r="AE3421">
        <v>30</v>
      </c>
      <c r="AF3421" t="s">
        <v>20460</v>
      </c>
      <c r="AH3421">
        <v>5</v>
      </c>
      <c r="AI3421">
        <v>1</v>
      </c>
      <c r="AJ3421">
        <v>1</v>
      </c>
      <c r="AK3421">
        <v>0</v>
      </c>
      <c r="AN3421" t="s">
        <v>7439</v>
      </c>
      <c r="AO3421">
        <v>0</v>
      </c>
      <c r="AU3421">
        <v>0.4</v>
      </c>
      <c r="AV3421" t="s">
        <v>691</v>
      </c>
      <c r="AW3421" t="s">
        <v>46875</v>
      </c>
    </row>
    <row r="3422" spans="1:50">
      <c r="A3422" s="1">
        <f>HYPERLINK("https://lsnyc.legalserver.org/matter/dynamic-profile/view/1884389","18-1884389")</f>
        <v>0</v>
      </c>
      <c r="B3422" t="s">
        <v>59</v>
      </c>
      <c r="C3422" t="s">
        <v>340</v>
      </c>
      <c r="D3422" t="s">
        <v>667</v>
      </c>
      <c r="F3422" t="s">
        <v>2653</v>
      </c>
      <c r="G3422" t="s">
        <v>5208</v>
      </c>
      <c r="H3422" t="s">
        <v>12336</v>
      </c>
      <c r="I3422" t="s">
        <v>17964</v>
      </c>
      <c r="J3422" t="s">
        <v>18893</v>
      </c>
      <c r="K3422">
        <v>10023</v>
      </c>
      <c r="L3422" t="s">
        <v>18958</v>
      </c>
      <c r="M3422" t="s">
        <v>18958</v>
      </c>
      <c r="N3422" t="s">
        <v>21524</v>
      </c>
      <c r="O3422" t="s">
        <v>26524</v>
      </c>
      <c r="P3422" t="s">
        <v>26564</v>
      </c>
      <c r="R3422" t="s">
        <v>26582</v>
      </c>
      <c r="S3422" t="s">
        <v>18959</v>
      </c>
      <c r="U3422" t="s">
        <v>26604</v>
      </c>
      <c r="W3422" t="s">
        <v>667</v>
      </c>
      <c r="X3422">
        <v>0</v>
      </c>
      <c r="Y3422" t="s">
        <v>26651</v>
      </c>
      <c r="Z3422" t="s">
        <v>26664</v>
      </c>
      <c r="AB3422" t="s">
        <v>29614</v>
      </c>
      <c r="AD3422" t="s">
        <v>39698</v>
      </c>
      <c r="AE3422">
        <v>0</v>
      </c>
      <c r="AF3422" t="s">
        <v>20460</v>
      </c>
      <c r="AG3422" t="s">
        <v>19330</v>
      </c>
      <c r="AH3422">
        <v>4</v>
      </c>
      <c r="AI3422">
        <v>1</v>
      </c>
      <c r="AJ3422">
        <v>1</v>
      </c>
      <c r="AK3422">
        <v>109.31</v>
      </c>
      <c r="AN3422" t="s">
        <v>45581</v>
      </c>
      <c r="AO3422">
        <v>17992</v>
      </c>
      <c r="AU3422">
        <v>1.75</v>
      </c>
      <c r="AV3422" t="s">
        <v>727</v>
      </c>
      <c r="AW3422" t="s">
        <v>46875</v>
      </c>
    </row>
    <row r="3423" spans="1:50">
      <c r="A3423" s="1">
        <f>HYPERLINK("https://lsnyc.legalserver.org/matter/dynamic-profile/view/1884417","18-1884417")</f>
        <v>0</v>
      </c>
      <c r="B3423" t="s">
        <v>59</v>
      </c>
      <c r="C3423" t="s">
        <v>340</v>
      </c>
      <c r="D3423" t="s">
        <v>667</v>
      </c>
      <c r="F3423" t="s">
        <v>2654</v>
      </c>
      <c r="G3423" t="s">
        <v>5265</v>
      </c>
      <c r="H3423" t="s">
        <v>12337</v>
      </c>
      <c r="I3423">
        <v>36</v>
      </c>
      <c r="J3423" t="s">
        <v>18893</v>
      </c>
      <c r="K3423">
        <v>10034</v>
      </c>
      <c r="L3423" t="s">
        <v>18958</v>
      </c>
      <c r="M3423" t="s">
        <v>18958</v>
      </c>
      <c r="N3423" t="s">
        <v>21525</v>
      </c>
      <c r="O3423" t="s">
        <v>26523</v>
      </c>
      <c r="P3423" t="s">
        <v>26564</v>
      </c>
      <c r="R3423" t="s">
        <v>26582</v>
      </c>
      <c r="S3423" t="s">
        <v>18959</v>
      </c>
      <c r="U3423" t="s">
        <v>26604</v>
      </c>
      <c r="V3423" t="s">
        <v>26610</v>
      </c>
      <c r="W3423" t="s">
        <v>667</v>
      </c>
      <c r="X3423">
        <v>751.53</v>
      </c>
      <c r="Y3423" t="s">
        <v>26651</v>
      </c>
      <c r="Z3423" t="s">
        <v>26664</v>
      </c>
      <c r="AB3423" t="s">
        <v>29615</v>
      </c>
      <c r="AD3423" t="s">
        <v>39699</v>
      </c>
      <c r="AE3423">
        <v>0</v>
      </c>
      <c r="AF3423" t="s">
        <v>45541</v>
      </c>
      <c r="AH3423">
        <v>36</v>
      </c>
      <c r="AI3423">
        <v>1</v>
      </c>
      <c r="AJ3423">
        <v>0</v>
      </c>
      <c r="AK3423">
        <v>156.92</v>
      </c>
      <c r="AN3423" t="s">
        <v>7439</v>
      </c>
      <c r="AO3423">
        <v>19050</v>
      </c>
      <c r="AU3423">
        <v>1</v>
      </c>
      <c r="AV3423" t="s">
        <v>767</v>
      </c>
      <c r="AW3423" t="s">
        <v>46835</v>
      </c>
    </row>
    <row r="3424" spans="1:50">
      <c r="A3424" s="1">
        <f>HYPERLINK("https://lsnyc.legalserver.org/matter/dynamic-profile/view/0832363","17-0832363")</f>
        <v>0</v>
      </c>
      <c r="B3424" t="s">
        <v>61</v>
      </c>
      <c r="C3424" t="s">
        <v>341</v>
      </c>
      <c r="D3424" t="s">
        <v>679</v>
      </c>
      <c r="E3424" t="s">
        <v>697</v>
      </c>
      <c r="F3424" t="s">
        <v>1323</v>
      </c>
      <c r="G3424" t="s">
        <v>1725</v>
      </c>
      <c r="H3424" t="s">
        <v>12338</v>
      </c>
      <c r="I3424">
        <v>53</v>
      </c>
      <c r="J3424" t="s">
        <v>18893</v>
      </c>
      <c r="K3424">
        <v>10034</v>
      </c>
      <c r="L3424" t="s">
        <v>18958</v>
      </c>
      <c r="M3424" t="s">
        <v>18958</v>
      </c>
      <c r="O3424" t="s">
        <v>18997</v>
      </c>
      <c r="P3424" t="s">
        <v>26565</v>
      </c>
      <c r="Q3424" t="s">
        <v>26571</v>
      </c>
      <c r="R3424" t="s">
        <v>26578</v>
      </c>
      <c r="S3424" t="s">
        <v>18959</v>
      </c>
      <c r="U3424" t="s">
        <v>26604</v>
      </c>
      <c r="W3424" t="s">
        <v>855</v>
      </c>
      <c r="X3424">
        <v>310.58</v>
      </c>
      <c r="Y3424" t="s">
        <v>26651</v>
      </c>
      <c r="Z3424" t="s">
        <v>26665</v>
      </c>
      <c r="AA3424" t="s">
        <v>26682</v>
      </c>
      <c r="AB3424" t="s">
        <v>29616</v>
      </c>
      <c r="AE3424">
        <v>20</v>
      </c>
      <c r="AF3424" t="s">
        <v>45548</v>
      </c>
      <c r="AG3424" t="s">
        <v>45559</v>
      </c>
      <c r="AH3424">
        <v>39</v>
      </c>
      <c r="AI3424">
        <v>1</v>
      </c>
      <c r="AJ3424">
        <v>0</v>
      </c>
      <c r="AK3424">
        <v>84.48</v>
      </c>
      <c r="AN3424" t="s">
        <v>45581</v>
      </c>
      <c r="AO3424">
        <v>10188</v>
      </c>
      <c r="AU3424">
        <v>2.7</v>
      </c>
      <c r="AV3424" t="s">
        <v>46817</v>
      </c>
      <c r="AW3424" t="s">
        <v>271</v>
      </c>
      <c r="AX3424" t="s">
        <v>46897</v>
      </c>
    </row>
    <row r="3425" spans="1:49">
      <c r="A3425" s="1">
        <f>HYPERLINK("https://lsnyc.legalserver.org/matter/dynamic-profile/view/1852035","17-1852035")</f>
        <v>0</v>
      </c>
      <c r="B3425" t="s">
        <v>52</v>
      </c>
      <c r="C3425" t="s">
        <v>341</v>
      </c>
      <c r="D3425" t="s">
        <v>676</v>
      </c>
      <c r="E3425" t="s">
        <v>829</v>
      </c>
      <c r="F3425" t="s">
        <v>1401</v>
      </c>
      <c r="G3425" t="s">
        <v>5219</v>
      </c>
      <c r="H3425" t="s">
        <v>10568</v>
      </c>
      <c r="I3425" t="s">
        <v>17693</v>
      </c>
      <c r="J3425" t="s">
        <v>18892</v>
      </c>
      <c r="K3425">
        <v>10456</v>
      </c>
      <c r="L3425" t="s">
        <v>18958</v>
      </c>
      <c r="M3425" t="s">
        <v>18960</v>
      </c>
      <c r="N3425" t="s">
        <v>21526</v>
      </c>
      <c r="O3425" t="s">
        <v>26523</v>
      </c>
      <c r="P3425" t="s">
        <v>26560</v>
      </c>
      <c r="Q3425" t="s">
        <v>26568</v>
      </c>
      <c r="R3425" t="s">
        <v>26577</v>
      </c>
      <c r="S3425" t="s">
        <v>18959</v>
      </c>
      <c r="U3425" t="s">
        <v>26604</v>
      </c>
      <c r="V3425" t="s">
        <v>26611</v>
      </c>
      <c r="W3425" t="s">
        <v>855</v>
      </c>
      <c r="X3425">
        <v>506</v>
      </c>
      <c r="Y3425" t="s">
        <v>26650</v>
      </c>
      <c r="Z3425" t="s">
        <v>26656</v>
      </c>
      <c r="AA3425" t="s">
        <v>26679</v>
      </c>
      <c r="AB3425" t="s">
        <v>29156</v>
      </c>
      <c r="AC3425" t="s">
        <v>35521</v>
      </c>
      <c r="AD3425" t="s">
        <v>39700</v>
      </c>
      <c r="AE3425">
        <v>227</v>
      </c>
      <c r="AF3425" t="s">
        <v>20460</v>
      </c>
      <c r="AG3425" t="s">
        <v>45559</v>
      </c>
      <c r="AH3425">
        <v>10</v>
      </c>
      <c r="AI3425">
        <v>1</v>
      </c>
      <c r="AJ3425">
        <v>0</v>
      </c>
      <c r="AK3425">
        <v>82.09</v>
      </c>
      <c r="AN3425" t="s">
        <v>45581</v>
      </c>
      <c r="AO3425">
        <v>9900</v>
      </c>
      <c r="AP3425" t="s">
        <v>45620</v>
      </c>
      <c r="AU3425">
        <v>28.55</v>
      </c>
      <c r="AV3425" t="s">
        <v>768</v>
      </c>
      <c r="AW3425" t="s">
        <v>46832</v>
      </c>
    </row>
    <row r="3426" spans="1:49">
      <c r="A3426" s="1">
        <f>HYPERLINK("https://lsnyc.legalserver.org/matter/dynamic-profile/view/1852438","17-1852438")</f>
        <v>0</v>
      </c>
      <c r="B3426" t="s">
        <v>71</v>
      </c>
      <c r="C3426" t="s">
        <v>340</v>
      </c>
      <c r="D3426" t="s">
        <v>680</v>
      </c>
      <c r="F3426" t="s">
        <v>1417</v>
      </c>
      <c r="G3426" t="s">
        <v>6878</v>
      </c>
      <c r="H3426" t="s">
        <v>12339</v>
      </c>
      <c r="I3426" t="s">
        <v>17569</v>
      </c>
      <c r="J3426" t="s">
        <v>18892</v>
      </c>
      <c r="K3426">
        <v>10457</v>
      </c>
      <c r="L3426" t="s">
        <v>18958</v>
      </c>
      <c r="M3426" t="s">
        <v>18958</v>
      </c>
      <c r="N3426" t="s">
        <v>21527</v>
      </c>
      <c r="O3426" t="s">
        <v>26524</v>
      </c>
      <c r="P3426" t="s">
        <v>26560</v>
      </c>
      <c r="R3426" t="s">
        <v>26579</v>
      </c>
      <c r="U3426" t="s">
        <v>26604</v>
      </c>
      <c r="V3426" t="s">
        <v>26610</v>
      </c>
      <c r="W3426" t="s">
        <v>855</v>
      </c>
      <c r="X3426">
        <v>0</v>
      </c>
      <c r="Y3426" t="s">
        <v>26650</v>
      </c>
      <c r="Z3426" t="s">
        <v>26662</v>
      </c>
      <c r="AB3426" t="s">
        <v>29617</v>
      </c>
      <c r="AE3426">
        <v>0</v>
      </c>
      <c r="AF3426" t="s">
        <v>45554</v>
      </c>
      <c r="AG3426" t="s">
        <v>45556</v>
      </c>
      <c r="AH3426">
        <v>6</v>
      </c>
      <c r="AI3426">
        <v>1</v>
      </c>
      <c r="AJ3426">
        <v>0</v>
      </c>
      <c r="AK3426">
        <v>81.79000000000001</v>
      </c>
      <c r="AN3426" t="s">
        <v>7439</v>
      </c>
      <c r="AO3426">
        <v>9864</v>
      </c>
      <c r="AP3426" t="s">
        <v>45620</v>
      </c>
      <c r="AU3426">
        <v>165.55</v>
      </c>
      <c r="AV3426" t="s">
        <v>773</v>
      </c>
      <c r="AW3426" t="s">
        <v>46848</v>
      </c>
    </row>
    <row r="3427" spans="1:49">
      <c r="A3427" s="1">
        <f>HYPERLINK("https://lsnyc.legalserver.org/matter/dynamic-profile/view/1852400","17-1852400")</f>
        <v>0</v>
      </c>
      <c r="B3427" t="s">
        <v>71</v>
      </c>
      <c r="C3427" t="s">
        <v>340</v>
      </c>
      <c r="D3427" t="s">
        <v>680</v>
      </c>
      <c r="F3427" t="s">
        <v>927</v>
      </c>
      <c r="G3427" t="s">
        <v>6879</v>
      </c>
      <c r="H3427" t="s">
        <v>12340</v>
      </c>
      <c r="I3427">
        <v>314</v>
      </c>
      <c r="J3427" t="s">
        <v>18892</v>
      </c>
      <c r="K3427">
        <v>10457</v>
      </c>
      <c r="L3427" t="s">
        <v>18958</v>
      </c>
      <c r="M3427" t="s">
        <v>18958</v>
      </c>
      <c r="N3427" t="s">
        <v>21528</v>
      </c>
      <c r="O3427" t="s">
        <v>26523</v>
      </c>
      <c r="P3427" t="s">
        <v>26560</v>
      </c>
      <c r="R3427" t="s">
        <v>26579</v>
      </c>
      <c r="U3427" t="s">
        <v>26604</v>
      </c>
      <c r="V3427" t="s">
        <v>26611</v>
      </c>
      <c r="W3427" t="s">
        <v>855</v>
      </c>
      <c r="X3427">
        <v>2175</v>
      </c>
      <c r="Y3427" t="s">
        <v>26650</v>
      </c>
      <c r="Z3427" t="s">
        <v>26662</v>
      </c>
      <c r="AB3427" t="s">
        <v>29618</v>
      </c>
      <c r="AC3427" t="s">
        <v>35522</v>
      </c>
      <c r="AD3427" t="s">
        <v>39701</v>
      </c>
      <c r="AE3427">
        <v>99</v>
      </c>
      <c r="AG3427" t="s">
        <v>45556</v>
      </c>
      <c r="AH3427">
        <v>20</v>
      </c>
      <c r="AI3427">
        <v>4</v>
      </c>
      <c r="AJ3427">
        <v>4</v>
      </c>
      <c r="AK3427">
        <v>111.02</v>
      </c>
      <c r="AO3427">
        <v>45872</v>
      </c>
      <c r="AP3427" t="s">
        <v>45620</v>
      </c>
      <c r="AU3427">
        <v>55.8</v>
      </c>
      <c r="AV3427" t="s">
        <v>833</v>
      </c>
      <c r="AW3427" t="s">
        <v>46848</v>
      </c>
    </row>
    <row r="3428" spans="1:49">
      <c r="A3428" s="1">
        <f>HYPERLINK("https://lsnyc.legalserver.org/matter/dynamic-profile/view/1861780","18-1861780")</f>
        <v>0</v>
      </c>
      <c r="B3428" t="s">
        <v>173</v>
      </c>
      <c r="C3428" t="s">
        <v>341</v>
      </c>
      <c r="D3428" t="s">
        <v>485</v>
      </c>
      <c r="E3428" t="s">
        <v>685</v>
      </c>
      <c r="F3428" t="s">
        <v>1283</v>
      </c>
      <c r="G3428" t="s">
        <v>3969</v>
      </c>
      <c r="H3428" t="s">
        <v>12341</v>
      </c>
      <c r="I3428" t="s">
        <v>17348</v>
      </c>
      <c r="J3428" t="s">
        <v>18893</v>
      </c>
      <c r="K3428">
        <v>10031</v>
      </c>
      <c r="L3428" t="s">
        <v>18958</v>
      </c>
      <c r="M3428" t="s">
        <v>18958</v>
      </c>
      <c r="N3428" t="s">
        <v>21529</v>
      </c>
      <c r="O3428" t="s">
        <v>26534</v>
      </c>
      <c r="P3428" t="s">
        <v>26564</v>
      </c>
      <c r="Q3428" t="s">
        <v>26570</v>
      </c>
      <c r="R3428" t="s">
        <v>26582</v>
      </c>
      <c r="S3428" t="s">
        <v>18959</v>
      </c>
      <c r="T3428" t="s">
        <v>26600</v>
      </c>
      <c r="U3428" t="s">
        <v>26604</v>
      </c>
      <c r="W3428" t="s">
        <v>855</v>
      </c>
      <c r="X3428">
        <v>0</v>
      </c>
      <c r="Y3428" t="s">
        <v>26651</v>
      </c>
      <c r="Z3428" t="s">
        <v>26667</v>
      </c>
      <c r="AA3428" t="s">
        <v>26683</v>
      </c>
      <c r="AB3428" t="s">
        <v>29619</v>
      </c>
      <c r="AD3428" t="s">
        <v>39702</v>
      </c>
      <c r="AE3428">
        <v>0</v>
      </c>
      <c r="AH3428">
        <v>0</v>
      </c>
      <c r="AI3428">
        <v>1</v>
      </c>
      <c r="AJ3428">
        <v>0</v>
      </c>
      <c r="AK3428">
        <v>86.98999999999999</v>
      </c>
      <c r="AN3428" t="s">
        <v>7439</v>
      </c>
      <c r="AO3428">
        <v>10560</v>
      </c>
      <c r="AU3428">
        <v>0.75</v>
      </c>
      <c r="AV3428" t="s">
        <v>381</v>
      </c>
      <c r="AW3428" t="s">
        <v>46838</v>
      </c>
    </row>
    <row r="3429" spans="1:49">
      <c r="A3429" s="1">
        <f>HYPERLINK("https://lsnyc.legalserver.org/matter/dynamic-profile/view/1861655","18-1861655")</f>
        <v>0</v>
      </c>
      <c r="B3429" t="s">
        <v>173</v>
      </c>
      <c r="C3429" t="s">
        <v>341</v>
      </c>
      <c r="D3429" t="s">
        <v>485</v>
      </c>
      <c r="E3429" t="s">
        <v>494</v>
      </c>
      <c r="F3429" t="s">
        <v>2655</v>
      </c>
      <c r="G3429" t="s">
        <v>5121</v>
      </c>
      <c r="H3429" t="s">
        <v>12342</v>
      </c>
      <c r="I3429">
        <v>32</v>
      </c>
      <c r="J3429" t="s">
        <v>18893</v>
      </c>
      <c r="K3429">
        <v>10031</v>
      </c>
      <c r="L3429" t="s">
        <v>18958</v>
      </c>
      <c r="M3429" t="s">
        <v>18958</v>
      </c>
      <c r="N3429" t="s">
        <v>21530</v>
      </c>
      <c r="O3429" t="s">
        <v>26524</v>
      </c>
      <c r="P3429" t="s">
        <v>26565</v>
      </c>
      <c r="Q3429" t="s">
        <v>26570</v>
      </c>
      <c r="R3429" t="s">
        <v>26580</v>
      </c>
      <c r="S3429" t="s">
        <v>18959</v>
      </c>
      <c r="T3429" t="s">
        <v>26600</v>
      </c>
      <c r="U3429" t="s">
        <v>26604</v>
      </c>
      <c r="W3429" t="s">
        <v>855</v>
      </c>
      <c r="X3429">
        <v>0</v>
      </c>
      <c r="Y3429" t="s">
        <v>26651</v>
      </c>
      <c r="Z3429" t="s">
        <v>26661</v>
      </c>
      <c r="AA3429" t="s">
        <v>26683</v>
      </c>
      <c r="AB3429" t="s">
        <v>29620</v>
      </c>
      <c r="AE3429">
        <v>0</v>
      </c>
      <c r="AF3429" t="s">
        <v>20460</v>
      </c>
      <c r="AG3429" t="s">
        <v>45556</v>
      </c>
      <c r="AH3429">
        <v>39</v>
      </c>
      <c r="AI3429">
        <v>1</v>
      </c>
      <c r="AJ3429">
        <v>0</v>
      </c>
      <c r="AK3429">
        <v>62.47</v>
      </c>
      <c r="AN3429" t="s">
        <v>45581</v>
      </c>
      <c r="AO3429">
        <v>7584</v>
      </c>
      <c r="AU3429">
        <v>0.15</v>
      </c>
      <c r="AV3429" t="s">
        <v>46818</v>
      </c>
      <c r="AW3429" t="s">
        <v>46838</v>
      </c>
    </row>
    <row r="3430" spans="1:49">
      <c r="A3430" s="1">
        <f>HYPERLINK("https://lsnyc.legalserver.org/matter/dynamic-profile/view/1861772","18-1861772")</f>
        <v>0</v>
      </c>
      <c r="B3430" t="s">
        <v>173</v>
      </c>
      <c r="C3430" t="s">
        <v>341</v>
      </c>
      <c r="D3430" t="s">
        <v>485</v>
      </c>
      <c r="E3430" t="s">
        <v>494</v>
      </c>
      <c r="F3430" t="s">
        <v>1072</v>
      </c>
      <c r="G3430" t="s">
        <v>4753</v>
      </c>
      <c r="H3430" t="s">
        <v>12343</v>
      </c>
      <c r="I3430" t="s">
        <v>17322</v>
      </c>
      <c r="J3430" t="s">
        <v>18893</v>
      </c>
      <c r="K3430">
        <v>10031</v>
      </c>
      <c r="L3430" t="s">
        <v>18958</v>
      </c>
      <c r="M3430" t="s">
        <v>18958</v>
      </c>
      <c r="N3430" t="s">
        <v>21531</v>
      </c>
      <c r="O3430" t="s">
        <v>26524</v>
      </c>
      <c r="P3430" t="s">
        <v>26564</v>
      </c>
      <c r="Q3430" t="s">
        <v>26570</v>
      </c>
      <c r="R3430" t="s">
        <v>26580</v>
      </c>
      <c r="S3430" t="s">
        <v>18959</v>
      </c>
      <c r="T3430" t="s">
        <v>26600</v>
      </c>
      <c r="U3430" t="s">
        <v>26604</v>
      </c>
      <c r="W3430" t="s">
        <v>855</v>
      </c>
      <c r="X3430">
        <v>0</v>
      </c>
      <c r="Y3430" t="s">
        <v>26651</v>
      </c>
      <c r="Z3430" t="s">
        <v>26667</v>
      </c>
      <c r="AA3430" t="s">
        <v>26683</v>
      </c>
      <c r="AB3430" t="s">
        <v>29621</v>
      </c>
      <c r="AD3430" t="s">
        <v>39703</v>
      </c>
      <c r="AE3430">
        <v>0</v>
      </c>
      <c r="AH3430">
        <v>0</v>
      </c>
      <c r="AI3430">
        <v>1</v>
      </c>
      <c r="AJ3430">
        <v>0</v>
      </c>
      <c r="AK3430">
        <v>172.98</v>
      </c>
      <c r="AN3430" t="s">
        <v>7439</v>
      </c>
      <c r="AO3430">
        <v>21000</v>
      </c>
      <c r="AU3430">
        <v>0.25</v>
      </c>
      <c r="AV3430" t="s">
        <v>716</v>
      </c>
      <c r="AW3430" t="s">
        <v>46838</v>
      </c>
    </row>
    <row r="3431" spans="1:49">
      <c r="A3431" s="1">
        <f>HYPERLINK("https://lsnyc.legalserver.org/matter/dynamic-profile/view/1866725","18-1866725")</f>
        <v>0</v>
      </c>
      <c r="B3431" t="s">
        <v>76</v>
      </c>
      <c r="C3431" t="s">
        <v>341</v>
      </c>
      <c r="D3431" t="s">
        <v>467</v>
      </c>
      <c r="E3431" t="s">
        <v>494</v>
      </c>
      <c r="F3431" t="s">
        <v>1763</v>
      </c>
      <c r="G3431" t="s">
        <v>6880</v>
      </c>
      <c r="H3431" t="s">
        <v>12344</v>
      </c>
      <c r="I3431" t="s">
        <v>17965</v>
      </c>
      <c r="J3431" t="s">
        <v>18893</v>
      </c>
      <c r="K3431">
        <v>10025</v>
      </c>
      <c r="L3431" t="s">
        <v>18958</v>
      </c>
      <c r="M3431" t="s">
        <v>18958</v>
      </c>
      <c r="N3431" t="s">
        <v>21532</v>
      </c>
      <c r="O3431" t="s">
        <v>26523</v>
      </c>
      <c r="P3431" t="s">
        <v>26560</v>
      </c>
      <c r="Q3431" t="s">
        <v>26568</v>
      </c>
      <c r="R3431" t="s">
        <v>26580</v>
      </c>
      <c r="S3431" t="s">
        <v>18959</v>
      </c>
      <c r="U3431" t="s">
        <v>26604</v>
      </c>
      <c r="W3431" t="s">
        <v>855</v>
      </c>
      <c r="X3431">
        <v>5094.26</v>
      </c>
      <c r="Y3431" t="s">
        <v>26651</v>
      </c>
      <c r="Z3431" t="s">
        <v>26660</v>
      </c>
      <c r="AA3431" t="s">
        <v>26679</v>
      </c>
      <c r="AB3431" t="s">
        <v>29622</v>
      </c>
      <c r="AD3431" t="s">
        <v>39704</v>
      </c>
      <c r="AE3431">
        <v>0</v>
      </c>
      <c r="AF3431" t="s">
        <v>45547</v>
      </c>
      <c r="AG3431" t="s">
        <v>19330</v>
      </c>
      <c r="AH3431">
        <v>9</v>
      </c>
      <c r="AI3431">
        <v>2</v>
      </c>
      <c r="AJ3431">
        <v>0</v>
      </c>
      <c r="AK3431">
        <v>189.55</v>
      </c>
      <c r="AN3431" t="s">
        <v>7439</v>
      </c>
      <c r="AO3431">
        <v>31200</v>
      </c>
      <c r="AU3431">
        <v>0.5</v>
      </c>
      <c r="AV3431" t="s">
        <v>440</v>
      </c>
      <c r="AW3431" t="s">
        <v>314</v>
      </c>
    </row>
    <row r="3432" spans="1:49">
      <c r="A3432" s="1">
        <f>HYPERLINK("https://lsnyc.legalserver.org/matter/dynamic-profile/view/1871078","18-1871078")</f>
        <v>0</v>
      </c>
      <c r="B3432" t="s">
        <v>183</v>
      </c>
      <c r="C3432" t="s">
        <v>340</v>
      </c>
      <c r="D3432" t="s">
        <v>405</v>
      </c>
      <c r="F3432" t="s">
        <v>948</v>
      </c>
      <c r="G3432" t="s">
        <v>6881</v>
      </c>
      <c r="H3432" t="s">
        <v>12345</v>
      </c>
      <c r="I3432" t="s">
        <v>17344</v>
      </c>
      <c r="J3432" t="s">
        <v>18893</v>
      </c>
      <c r="K3432">
        <v>10028</v>
      </c>
      <c r="L3432" t="s">
        <v>18958</v>
      </c>
      <c r="M3432" t="s">
        <v>18958</v>
      </c>
      <c r="N3432" t="s">
        <v>21533</v>
      </c>
      <c r="O3432" t="s">
        <v>26524</v>
      </c>
      <c r="P3432" t="s">
        <v>26560</v>
      </c>
      <c r="R3432" t="s">
        <v>26582</v>
      </c>
      <c r="S3432" t="s">
        <v>18959</v>
      </c>
      <c r="U3432" t="s">
        <v>26604</v>
      </c>
      <c r="W3432" t="s">
        <v>855</v>
      </c>
      <c r="X3432">
        <v>1300</v>
      </c>
      <c r="Y3432" t="s">
        <v>26651</v>
      </c>
      <c r="Z3432" t="s">
        <v>26664</v>
      </c>
      <c r="AB3432" t="s">
        <v>29623</v>
      </c>
      <c r="AD3432" t="s">
        <v>39705</v>
      </c>
      <c r="AE3432">
        <v>10</v>
      </c>
      <c r="AF3432" t="s">
        <v>45541</v>
      </c>
      <c r="AG3432" t="s">
        <v>19330</v>
      </c>
      <c r="AH3432">
        <v>22</v>
      </c>
      <c r="AI3432">
        <v>1</v>
      </c>
      <c r="AJ3432">
        <v>0</v>
      </c>
      <c r="AK3432">
        <v>82.37</v>
      </c>
      <c r="AN3432" t="s">
        <v>7439</v>
      </c>
      <c r="AO3432">
        <v>10000</v>
      </c>
      <c r="AU3432">
        <v>97.5</v>
      </c>
      <c r="AV3432" t="s">
        <v>834</v>
      </c>
      <c r="AW3432" t="s">
        <v>314</v>
      </c>
    </row>
    <row r="3433" spans="1:49">
      <c r="A3433" s="1">
        <f>HYPERLINK("https://lsnyc.legalserver.org/matter/dynamic-profile/view/1871521","18-1871521")</f>
        <v>0</v>
      </c>
      <c r="B3433" t="s">
        <v>99</v>
      </c>
      <c r="C3433" t="s">
        <v>340</v>
      </c>
      <c r="D3433" t="s">
        <v>420</v>
      </c>
      <c r="F3433" t="s">
        <v>1785</v>
      </c>
      <c r="G3433" t="s">
        <v>6882</v>
      </c>
      <c r="H3433" t="s">
        <v>12346</v>
      </c>
      <c r="I3433">
        <v>7</v>
      </c>
      <c r="J3433" t="s">
        <v>18894</v>
      </c>
      <c r="K3433">
        <v>11201</v>
      </c>
      <c r="L3433" t="s">
        <v>18958</v>
      </c>
      <c r="M3433" t="s">
        <v>18960</v>
      </c>
      <c r="N3433" t="s">
        <v>21534</v>
      </c>
      <c r="O3433" t="s">
        <v>26524</v>
      </c>
      <c r="P3433" t="s">
        <v>26560</v>
      </c>
      <c r="R3433" t="s">
        <v>26586</v>
      </c>
      <c r="S3433" t="s">
        <v>18959</v>
      </c>
      <c r="U3433" t="s">
        <v>26604</v>
      </c>
      <c r="V3433" t="s">
        <v>26610</v>
      </c>
      <c r="W3433" t="s">
        <v>855</v>
      </c>
      <c r="X3433">
        <v>532</v>
      </c>
      <c r="Y3433" t="s">
        <v>26652</v>
      </c>
      <c r="Z3433" t="s">
        <v>26662</v>
      </c>
      <c r="AB3433" t="s">
        <v>28915</v>
      </c>
      <c r="AD3433" t="s">
        <v>39706</v>
      </c>
      <c r="AE3433">
        <v>12</v>
      </c>
      <c r="AF3433" t="s">
        <v>45541</v>
      </c>
      <c r="AG3433" t="s">
        <v>19330</v>
      </c>
      <c r="AH3433">
        <v>41</v>
      </c>
      <c r="AI3433">
        <v>1</v>
      </c>
      <c r="AJ3433">
        <v>0</v>
      </c>
      <c r="AK3433">
        <v>128.5</v>
      </c>
      <c r="AN3433" t="s">
        <v>45581</v>
      </c>
      <c r="AO3433">
        <v>15600</v>
      </c>
      <c r="AU3433">
        <v>36.5</v>
      </c>
      <c r="AV3433" t="s">
        <v>763</v>
      </c>
      <c r="AW3433" t="s">
        <v>281</v>
      </c>
    </row>
    <row r="3434" spans="1:49">
      <c r="A3434" s="1">
        <f>HYPERLINK("https://lsnyc.legalserver.org/matter/dynamic-profile/view/1871729","18-1871729")</f>
        <v>0</v>
      </c>
      <c r="B3434" t="s">
        <v>227</v>
      </c>
      <c r="C3434" t="s">
        <v>341</v>
      </c>
      <c r="D3434" t="s">
        <v>426</v>
      </c>
      <c r="E3434" t="s">
        <v>803</v>
      </c>
      <c r="F3434" t="s">
        <v>1406</v>
      </c>
      <c r="G3434" t="s">
        <v>5103</v>
      </c>
      <c r="H3434" t="s">
        <v>12347</v>
      </c>
      <c r="I3434" t="s">
        <v>17393</v>
      </c>
      <c r="J3434" t="s">
        <v>18894</v>
      </c>
      <c r="K3434">
        <v>11221</v>
      </c>
      <c r="L3434" t="s">
        <v>18958</v>
      </c>
      <c r="M3434" t="s">
        <v>18960</v>
      </c>
      <c r="N3434" t="s">
        <v>21535</v>
      </c>
      <c r="O3434" t="s">
        <v>26524</v>
      </c>
      <c r="P3434" t="s">
        <v>26560</v>
      </c>
      <c r="Q3434" t="s">
        <v>26568</v>
      </c>
      <c r="R3434" t="s">
        <v>26588</v>
      </c>
      <c r="U3434" t="s">
        <v>26604</v>
      </c>
      <c r="W3434" t="s">
        <v>855</v>
      </c>
      <c r="X3434">
        <v>0</v>
      </c>
      <c r="Y3434" t="s">
        <v>26652</v>
      </c>
      <c r="Z3434" t="s">
        <v>26669</v>
      </c>
      <c r="AA3434" t="s">
        <v>26679</v>
      </c>
      <c r="AB3434" t="s">
        <v>28274</v>
      </c>
      <c r="AD3434" t="s">
        <v>39707</v>
      </c>
      <c r="AE3434">
        <v>0</v>
      </c>
      <c r="AH3434">
        <v>0</v>
      </c>
      <c r="AI3434">
        <v>5</v>
      </c>
      <c r="AJ3434">
        <v>0</v>
      </c>
      <c r="AK3434">
        <v>120.6</v>
      </c>
      <c r="AN3434" t="s">
        <v>45581</v>
      </c>
      <c r="AO3434">
        <v>35480</v>
      </c>
      <c r="AU3434">
        <v>16.5</v>
      </c>
      <c r="AV3434" t="s">
        <v>752</v>
      </c>
      <c r="AW3434" t="s">
        <v>46853</v>
      </c>
    </row>
    <row r="3435" spans="1:49">
      <c r="A3435" s="1">
        <f>HYPERLINK("https://lsnyc.legalserver.org/matter/dynamic-profile/view/1871783","18-1871783")</f>
        <v>0</v>
      </c>
      <c r="B3435" t="s">
        <v>167</v>
      </c>
      <c r="C3435" t="s">
        <v>340</v>
      </c>
      <c r="D3435" t="s">
        <v>431</v>
      </c>
      <c r="F3435" t="s">
        <v>990</v>
      </c>
      <c r="G3435" t="s">
        <v>6883</v>
      </c>
      <c r="H3435" t="s">
        <v>12348</v>
      </c>
      <c r="I3435" t="s">
        <v>17742</v>
      </c>
      <c r="J3435" t="s">
        <v>18894</v>
      </c>
      <c r="K3435">
        <v>11203</v>
      </c>
      <c r="L3435" t="s">
        <v>18958</v>
      </c>
      <c r="M3435" t="s">
        <v>18960</v>
      </c>
      <c r="N3435" t="s">
        <v>21536</v>
      </c>
      <c r="O3435" t="s">
        <v>26524</v>
      </c>
      <c r="P3435" t="s">
        <v>26560</v>
      </c>
      <c r="R3435" t="s">
        <v>26586</v>
      </c>
      <c r="S3435" t="s">
        <v>18959</v>
      </c>
      <c r="U3435" t="s">
        <v>26604</v>
      </c>
      <c r="V3435" t="s">
        <v>26610</v>
      </c>
      <c r="W3435" t="s">
        <v>855</v>
      </c>
      <c r="X3435">
        <v>1450</v>
      </c>
      <c r="Y3435" t="s">
        <v>26652</v>
      </c>
      <c r="Z3435" t="s">
        <v>26662</v>
      </c>
      <c r="AB3435" t="s">
        <v>29624</v>
      </c>
      <c r="AD3435" t="s">
        <v>39708</v>
      </c>
      <c r="AE3435">
        <v>59</v>
      </c>
      <c r="AF3435" t="s">
        <v>45541</v>
      </c>
      <c r="AH3435">
        <v>8</v>
      </c>
      <c r="AI3435">
        <v>1</v>
      </c>
      <c r="AJ3435">
        <v>0</v>
      </c>
      <c r="AK3435">
        <v>81.05</v>
      </c>
      <c r="AN3435" t="s">
        <v>7439</v>
      </c>
      <c r="AO3435">
        <v>9840</v>
      </c>
      <c r="AQ3435" t="s">
        <v>46359</v>
      </c>
      <c r="AR3435" t="s">
        <v>46379</v>
      </c>
      <c r="AS3435" t="s">
        <v>46499</v>
      </c>
      <c r="AT3435" t="s">
        <v>46618</v>
      </c>
      <c r="AU3435">
        <v>24.5</v>
      </c>
      <c r="AV3435" t="s">
        <v>817</v>
      </c>
      <c r="AW3435" t="s">
        <v>281</v>
      </c>
    </row>
    <row r="3436" spans="1:49">
      <c r="A3436" s="1">
        <f>HYPERLINK("https://lsnyc.legalserver.org/matter/dynamic-profile/view/1871799","18-1871799")</f>
        <v>0</v>
      </c>
      <c r="B3436" t="s">
        <v>167</v>
      </c>
      <c r="C3436" t="s">
        <v>340</v>
      </c>
      <c r="D3436" t="s">
        <v>431</v>
      </c>
      <c r="F3436" t="s">
        <v>2656</v>
      </c>
      <c r="G3436" t="s">
        <v>6884</v>
      </c>
      <c r="H3436" t="s">
        <v>12349</v>
      </c>
      <c r="I3436" t="s">
        <v>17966</v>
      </c>
      <c r="J3436" t="s">
        <v>18894</v>
      </c>
      <c r="K3436">
        <v>11211</v>
      </c>
      <c r="L3436" t="s">
        <v>18958</v>
      </c>
      <c r="M3436" t="s">
        <v>18960</v>
      </c>
      <c r="N3436" t="s">
        <v>21537</v>
      </c>
      <c r="O3436" t="s">
        <v>26523</v>
      </c>
      <c r="P3436" t="s">
        <v>26560</v>
      </c>
      <c r="R3436" t="s">
        <v>26586</v>
      </c>
      <c r="U3436" t="s">
        <v>26604</v>
      </c>
      <c r="V3436" t="s">
        <v>26610</v>
      </c>
      <c r="W3436" t="s">
        <v>855</v>
      </c>
      <c r="X3436">
        <v>655.75</v>
      </c>
      <c r="Y3436" t="s">
        <v>26652</v>
      </c>
      <c r="Z3436" t="s">
        <v>26662</v>
      </c>
      <c r="AB3436" t="s">
        <v>29625</v>
      </c>
      <c r="AD3436" t="s">
        <v>39709</v>
      </c>
      <c r="AE3436">
        <v>7</v>
      </c>
      <c r="AH3436">
        <v>38</v>
      </c>
      <c r="AI3436">
        <v>1</v>
      </c>
      <c r="AJ3436">
        <v>0</v>
      </c>
      <c r="AK3436">
        <v>111.4</v>
      </c>
      <c r="AN3436" t="s">
        <v>7439</v>
      </c>
      <c r="AO3436">
        <v>13524</v>
      </c>
      <c r="AQ3436" t="s">
        <v>46359</v>
      </c>
      <c r="AR3436" t="s">
        <v>46381</v>
      </c>
      <c r="AS3436" t="s">
        <v>46499</v>
      </c>
      <c r="AT3436" t="s">
        <v>46560</v>
      </c>
      <c r="AU3436">
        <v>38.5</v>
      </c>
      <c r="AV3436" t="s">
        <v>707</v>
      </c>
      <c r="AW3436" t="s">
        <v>281</v>
      </c>
    </row>
    <row r="3437" spans="1:49">
      <c r="A3437" s="1">
        <f>HYPERLINK("https://lsnyc.legalserver.org/matter/dynamic-profile/view/1872391","18-1872391")</f>
        <v>0</v>
      </c>
      <c r="B3437" t="s">
        <v>151</v>
      </c>
      <c r="C3437" t="s">
        <v>341</v>
      </c>
      <c r="D3437" t="s">
        <v>446</v>
      </c>
      <c r="E3437" t="s">
        <v>494</v>
      </c>
      <c r="F3437" t="s">
        <v>974</v>
      </c>
      <c r="G3437" t="s">
        <v>6885</v>
      </c>
      <c r="H3437" t="s">
        <v>12350</v>
      </c>
      <c r="I3437" t="s">
        <v>17293</v>
      </c>
      <c r="J3437" t="s">
        <v>18893</v>
      </c>
      <c r="K3437">
        <v>10031</v>
      </c>
      <c r="L3437" t="s">
        <v>18958</v>
      </c>
      <c r="M3437" t="s">
        <v>18960</v>
      </c>
      <c r="N3437" t="s">
        <v>21538</v>
      </c>
      <c r="O3437" t="s">
        <v>26523</v>
      </c>
      <c r="P3437" t="s">
        <v>26560</v>
      </c>
      <c r="Q3437" t="s">
        <v>26570</v>
      </c>
      <c r="R3437" t="s">
        <v>26580</v>
      </c>
      <c r="S3437" t="s">
        <v>18959</v>
      </c>
      <c r="U3437" t="s">
        <v>26604</v>
      </c>
      <c r="W3437" t="s">
        <v>855</v>
      </c>
      <c r="X3437">
        <v>1495</v>
      </c>
      <c r="Y3437" t="s">
        <v>26651</v>
      </c>
      <c r="AA3437" t="s">
        <v>26683</v>
      </c>
      <c r="AB3437" t="s">
        <v>29626</v>
      </c>
      <c r="AC3437" t="s">
        <v>35523</v>
      </c>
      <c r="AD3437" t="s">
        <v>39710</v>
      </c>
      <c r="AE3437">
        <v>0</v>
      </c>
      <c r="AF3437" t="s">
        <v>45543</v>
      </c>
      <c r="AG3437" t="s">
        <v>45556</v>
      </c>
      <c r="AH3437">
        <v>38</v>
      </c>
      <c r="AI3437">
        <v>1</v>
      </c>
      <c r="AJ3437">
        <v>0</v>
      </c>
      <c r="AK3437">
        <v>81.05</v>
      </c>
      <c r="AN3437" t="s">
        <v>7439</v>
      </c>
      <c r="AO3437">
        <v>9840</v>
      </c>
      <c r="AU3437">
        <v>3.2</v>
      </c>
      <c r="AV3437" t="s">
        <v>469</v>
      </c>
      <c r="AW3437" t="s">
        <v>314</v>
      </c>
    </row>
    <row r="3438" spans="1:49">
      <c r="A3438" s="1">
        <f>HYPERLINK("https://lsnyc.legalserver.org/matter/dynamic-profile/view/1872325","18-1872325")</f>
        <v>0</v>
      </c>
      <c r="B3438" t="s">
        <v>144</v>
      </c>
      <c r="C3438" t="s">
        <v>340</v>
      </c>
      <c r="D3438" t="s">
        <v>446</v>
      </c>
      <c r="F3438" t="s">
        <v>2128</v>
      </c>
      <c r="G3438" t="s">
        <v>6886</v>
      </c>
      <c r="H3438" t="s">
        <v>12351</v>
      </c>
      <c r="I3438">
        <v>20</v>
      </c>
      <c r="J3438" t="s">
        <v>18893</v>
      </c>
      <c r="K3438">
        <v>10032</v>
      </c>
      <c r="L3438" t="s">
        <v>18958</v>
      </c>
      <c r="M3438" t="s">
        <v>18960</v>
      </c>
      <c r="N3438" t="s">
        <v>21539</v>
      </c>
      <c r="O3438" t="s">
        <v>26524</v>
      </c>
      <c r="P3438" t="s">
        <v>26564</v>
      </c>
      <c r="R3438" t="s">
        <v>26582</v>
      </c>
      <c r="S3438" t="s">
        <v>18959</v>
      </c>
      <c r="U3438" t="s">
        <v>26604</v>
      </c>
      <c r="W3438" t="s">
        <v>855</v>
      </c>
      <c r="X3438">
        <v>2500</v>
      </c>
      <c r="Y3438" t="s">
        <v>26651</v>
      </c>
      <c r="Z3438" t="s">
        <v>26664</v>
      </c>
      <c r="AB3438" t="s">
        <v>29627</v>
      </c>
      <c r="AC3438" t="s">
        <v>35524</v>
      </c>
      <c r="AD3438" t="s">
        <v>39711</v>
      </c>
      <c r="AE3438">
        <v>24</v>
      </c>
      <c r="AF3438" t="s">
        <v>45554</v>
      </c>
      <c r="AG3438" t="s">
        <v>19330</v>
      </c>
      <c r="AH3438">
        <v>5</v>
      </c>
      <c r="AI3438">
        <v>1</v>
      </c>
      <c r="AJ3438">
        <v>0</v>
      </c>
      <c r="AK3438">
        <v>176.01</v>
      </c>
      <c r="AN3438" t="s">
        <v>7439</v>
      </c>
      <c r="AO3438">
        <v>21368</v>
      </c>
      <c r="AU3438">
        <v>2</v>
      </c>
      <c r="AV3438" t="s">
        <v>498</v>
      </c>
      <c r="AW3438" t="s">
        <v>314</v>
      </c>
    </row>
    <row r="3439" spans="1:49">
      <c r="A3439" s="1">
        <f>HYPERLINK("https://lsnyc.legalserver.org/matter/dynamic-profile/view/1872501","18-1872501")</f>
        <v>0</v>
      </c>
      <c r="B3439" t="s">
        <v>193</v>
      </c>
      <c r="C3439" t="s">
        <v>340</v>
      </c>
      <c r="D3439" t="s">
        <v>408</v>
      </c>
      <c r="F3439" t="s">
        <v>1235</v>
      </c>
      <c r="G3439" t="s">
        <v>6887</v>
      </c>
      <c r="H3439" t="s">
        <v>12352</v>
      </c>
      <c r="I3439" t="s">
        <v>17847</v>
      </c>
      <c r="J3439" t="s">
        <v>18894</v>
      </c>
      <c r="K3439">
        <v>11226</v>
      </c>
      <c r="L3439" t="s">
        <v>18958</v>
      </c>
      <c r="M3439" t="s">
        <v>18960</v>
      </c>
      <c r="N3439" t="s">
        <v>21540</v>
      </c>
      <c r="O3439" t="s">
        <v>26523</v>
      </c>
      <c r="P3439" t="s">
        <v>26560</v>
      </c>
      <c r="R3439" t="s">
        <v>26588</v>
      </c>
      <c r="S3439" t="s">
        <v>18959</v>
      </c>
      <c r="U3439" t="s">
        <v>26604</v>
      </c>
      <c r="W3439" t="s">
        <v>855</v>
      </c>
      <c r="X3439">
        <v>773</v>
      </c>
      <c r="Y3439" t="s">
        <v>26652</v>
      </c>
      <c r="Z3439" t="s">
        <v>26655</v>
      </c>
      <c r="AB3439" t="s">
        <v>29628</v>
      </c>
      <c r="AC3439" t="s">
        <v>35525</v>
      </c>
      <c r="AD3439" t="s">
        <v>39712</v>
      </c>
      <c r="AE3439">
        <v>0</v>
      </c>
      <c r="AF3439" t="s">
        <v>45541</v>
      </c>
      <c r="AG3439" t="s">
        <v>45556</v>
      </c>
      <c r="AH3439">
        <v>9</v>
      </c>
      <c r="AI3439">
        <v>3</v>
      </c>
      <c r="AJ3439">
        <v>0</v>
      </c>
      <c r="AK3439">
        <v>125.12</v>
      </c>
      <c r="AN3439" t="s">
        <v>7439</v>
      </c>
      <c r="AO3439">
        <v>26000</v>
      </c>
      <c r="AU3439">
        <v>87.75</v>
      </c>
      <c r="AV3439" t="s">
        <v>695</v>
      </c>
      <c r="AW3439" t="s">
        <v>237</v>
      </c>
    </row>
    <row r="3440" spans="1:49">
      <c r="A3440" s="1">
        <f>HYPERLINK("https://lsnyc.legalserver.org/matter/dynamic-profile/view/1872719","18-1872719")</f>
        <v>0</v>
      </c>
      <c r="B3440" t="s">
        <v>165</v>
      </c>
      <c r="C3440" t="s">
        <v>341</v>
      </c>
      <c r="D3440" t="s">
        <v>409</v>
      </c>
      <c r="E3440" t="s">
        <v>684</v>
      </c>
      <c r="F3440" t="s">
        <v>1697</v>
      </c>
      <c r="G3440" t="s">
        <v>6888</v>
      </c>
      <c r="H3440" t="s">
        <v>12353</v>
      </c>
      <c r="I3440" t="s">
        <v>17332</v>
      </c>
      <c r="J3440" t="s">
        <v>18893</v>
      </c>
      <c r="K3440">
        <v>10031</v>
      </c>
      <c r="L3440" t="s">
        <v>18958</v>
      </c>
      <c r="M3440" t="s">
        <v>18960</v>
      </c>
      <c r="N3440" t="s">
        <v>21541</v>
      </c>
      <c r="O3440" t="s">
        <v>26523</v>
      </c>
      <c r="P3440" t="s">
        <v>26564</v>
      </c>
      <c r="Q3440" t="s">
        <v>26570</v>
      </c>
      <c r="R3440" t="s">
        <v>26580</v>
      </c>
      <c r="S3440" t="s">
        <v>18959</v>
      </c>
      <c r="U3440" t="s">
        <v>26605</v>
      </c>
      <c r="W3440" t="s">
        <v>855</v>
      </c>
      <c r="X3440">
        <v>599</v>
      </c>
      <c r="Y3440" t="s">
        <v>26651</v>
      </c>
      <c r="Z3440" t="s">
        <v>26664</v>
      </c>
      <c r="AA3440" t="s">
        <v>26683</v>
      </c>
      <c r="AB3440" t="s">
        <v>29629</v>
      </c>
      <c r="AC3440" t="s">
        <v>35526</v>
      </c>
      <c r="AD3440" t="s">
        <v>39713</v>
      </c>
      <c r="AE3440">
        <v>70</v>
      </c>
      <c r="AF3440" t="s">
        <v>20460</v>
      </c>
      <c r="AG3440" t="s">
        <v>45556</v>
      </c>
      <c r="AH3440">
        <v>15</v>
      </c>
      <c r="AI3440">
        <v>3</v>
      </c>
      <c r="AJ3440">
        <v>1</v>
      </c>
      <c r="AK3440">
        <v>9.220000000000001</v>
      </c>
      <c r="AN3440" t="s">
        <v>7439</v>
      </c>
      <c r="AO3440">
        <v>2314</v>
      </c>
      <c r="AU3440">
        <v>1.1</v>
      </c>
      <c r="AV3440" t="s">
        <v>684</v>
      </c>
      <c r="AW3440" t="s">
        <v>314</v>
      </c>
    </row>
    <row r="3441" spans="1:49">
      <c r="A3441" s="1">
        <f>HYPERLINK("https://lsnyc.legalserver.org/matter/dynamic-profile/view/1872950","18-1872950")</f>
        <v>0</v>
      </c>
      <c r="B3441" t="s">
        <v>227</v>
      </c>
      <c r="C3441" t="s">
        <v>341</v>
      </c>
      <c r="D3441" t="s">
        <v>436</v>
      </c>
      <c r="E3441" t="s">
        <v>803</v>
      </c>
      <c r="F3441" t="s">
        <v>1074</v>
      </c>
      <c r="G3441" t="s">
        <v>5086</v>
      </c>
      <c r="H3441" t="s">
        <v>12354</v>
      </c>
      <c r="I3441" t="s">
        <v>17277</v>
      </c>
      <c r="J3441" t="s">
        <v>18894</v>
      </c>
      <c r="K3441">
        <v>11225</v>
      </c>
      <c r="L3441" t="s">
        <v>18958</v>
      </c>
      <c r="M3441" t="s">
        <v>18960</v>
      </c>
      <c r="N3441" t="s">
        <v>21542</v>
      </c>
      <c r="O3441" t="s">
        <v>26523</v>
      </c>
      <c r="P3441" t="s">
        <v>26560</v>
      </c>
      <c r="Q3441" t="s">
        <v>26568</v>
      </c>
      <c r="R3441" t="s">
        <v>26588</v>
      </c>
      <c r="U3441" t="s">
        <v>26604</v>
      </c>
      <c r="W3441" t="s">
        <v>855</v>
      </c>
      <c r="X3441">
        <v>820</v>
      </c>
      <c r="Y3441" t="s">
        <v>26652</v>
      </c>
      <c r="AA3441" t="s">
        <v>26678</v>
      </c>
      <c r="AB3441" t="s">
        <v>29630</v>
      </c>
      <c r="AD3441" t="s">
        <v>39714</v>
      </c>
      <c r="AE3441">
        <v>0</v>
      </c>
      <c r="AH3441">
        <v>42</v>
      </c>
      <c r="AI3441">
        <v>1</v>
      </c>
      <c r="AJ3441">
        <v>0</v>
      </c>
      <c r="AK3441">
        <v>127.51</v>
      </c>
      <c r="AN3441" t="s">
        <v>7439</v>
      </c>
      <c r="AO3441">
        <v>15480</v>
      </c>
      <c r="AS3441" t="s">
        <v>46499</v>
      </c>
      <c r="AT3441" t="s">
        <v>46740</v>
      </c>
      <c r="AU3441">
        <v>29.6</v>
      </c>
      <c r="AV3441" t="s">
        <v>659</v>
      </c>
      <c r="AW3441" t="s">
        <v>46853</v>
      </c>
    </row>
    <row r="3442" spans="1:49">
      <c r="A3442" s="1">
        <f>HYPERLINK("https://lsnyc.legalserver.org/matter/dynamic-profile/view/1873237","18-1873237")</f>
        <v>0</v>
      </c>
      <c r="B3442" t="s">
        <v>236</v>
      </c>
      <c r="C3442" t="s">
        <v>341</v>
      </c>
      <c r="D3442" t="s">
        <v>410</v>
      </c>
      <c r="E3442" t="s">
        <v>699</v>
      </c>
      <c r="F3442" t="s">
        <v>2657</v>
      </c>
      <c r="G3442" t="s">
        <v>5208</v>
      </c>
      <c r="H3442" t="s">
        <v>12355</v>
      </c>
      <c r="I3442" t="s">
        <v>17967</v>
      </c>
      <c r="J3442" t="s">
        <v>18892</v>
      </c>
      <c r="K3442">
        <v>10453</v>
      </c>
      <c r="L3442" t="s">
        <v>18958</v>
      </c>
      <c r="M3442" t="s">
        <v>18958</v>
      </c>
      <c r="O3442" t="s">
        <v>18997</v>
      </c>
      <c r="P3442" t="s">
        <v>26564</v>
      </c>
      <c r="Q3442" t="s">
        <v>26570</v>
      </c>
      <c r="R3442" t="s">
        <v>26578</v>
      </c>
      <c r="U3442" t="s">
        <v>26604</v>
      </c>
      <c r="W3442" t="s">
        <v>855</v>
      </c>
      <c r="X3442">
        <v>515.72</v>
      </c>
      <c r="Y3442" t="s">
        <v>26650</v>
      </c>
      <c r="AA3442" t="s">
        <v>26683</v>
      </c>
      <c r="AB3442" t="s">
        <v>29631</v>
      </c>
      <c r="AD3442" t="s">
        <v>39715</v>
      </c>
      <c r="AE3442">
        <v>50</v>
      </c>
      <c r="AF3442" t="s">
        <v>45541</v>
      </c>
      <c r="AG3442" t="s">
        <v>45559</v>
      </c>
      <c r="AH3442">
        <v>40</v>
      </c>
      <c r="AI3442">
        <v>1</v>
      </c>
      <c r="AJ3442">
        <v>0</v>
      </c>
      <c r="AK3442">
        <v>76.41</v>
      </c>
      <c r="AN3442" t="s">
        <v>7439</v>
      </c>
      <c r="AO3442">
        <v>9276</v>
      </c>
      <c r="AU3442">
        <v>0.75</v>
      </c>
      <c r="AV3442" t="s">
        <v>410</v>
      </c>
      <c r="AW3442" t="s">
        <v>46829</v>
      </c>
    </row>
    <row r="3443" spans="1:49">
      <c r="A3443" s="1">
        <f>HYPERLINK("https://lsnyc.legalserver.org/matter/dynamic-profile/view/1873213","18-1873213")</f>
        <v>0</v>
      </c>
      <c r="B3443" t="s">
        <v>112</v>
      </c>
      <c r="C3443" t="s">
        <v>340</v>
      </c>
      <c r="D3443" t="s">
        <v>410</v>
      </c>
      <c r="F3443" t="s">
        <v>2658</v>
      </c>
      <c r="G3443" t="s">
        <v>6889</v>
      </c>
      <c r="H3443" t="s">
        <v>12356</v>
      </c>
      <c r="J3443" t="s">
        <v>18898</v>
      </c>
      <c r="K3443">
        <v>11691</v>
      </c>
      <c r="L3443" t="s">
        <v>18958</v>
      </c>
      <c r="M3443" t="s">
        <v>18958</v>
      </c>
      <c r="N3443" t="s">
        <v>21543</v>
      </c>
      <c r="O3443" t="s">
        <v>26524</v>
      </c>
      <c r="P3443" t="s">
        <v>26564</v>
      </c>
      <c r="R3443" t="s">
        <v>26578</v>
      </c>
      <c r="S3443" t="s">
        <v>18959</v>
      </c>
      <c r="U3443" t="s">
        <v>26604</v>
      </c>
      <c r="V3443" t="s">
        <v>26610</v>
      </c>
      <c r="W3443" t="s">
        <v>855</v>
      </c>
      <c r="X3443">
        <v>500</v>
      </c>
      <c r="Y3443" t="s">
        <v>26653</v>
      </c>
      <c r="Z3443" t="s">
        <v>26664</v>
      </c>
      <c r="AB3443" t="s">
        <v>29632</v>
      </c>
      <c r="AC3443" t="s">
        <v>19079</v>
      </c>
      <c r="AD3443" t="s">
        <v>39716</v>
      </c>
      <c r="AE3443">
        <v>2</v>
      </c>
      <c r="AF3443" t="s">
        <v>45547</v>
      </c>
      <c r="AG3443" t="s">
        <v>19330</v>
      </c>
      <c r="AH3443">
        <v>3</v>
      </c>
      <c r="AI3443">
        <v>2</v>
      </c>
      <c r="AJ3443">
        <v>1</v>
      </c>
      <c r="AK3443">
        <v>86.62</v>
      </c>
      <c r="AM3443" t="s">
        <v>45576</v>
      </c>
      <c r="AN3443" t="s">
        <v>7439</v>
      </c>
      <c r="AO3443">
        <v>18000</v>
      </c>
      <c r="AU3443">
        <v>1.85</v>
      </c>
      <c r="AV3443" t="s">
        <v>458</v>
      </c>
      <c r="AW3443" t="s">
        <v>208</v>
      </c>
    </row>
    <row r="3444" spans="1:49">
      <c r="A3444" s="1">
        <f>HYPERLINK("https://lsnyc.legalserver.org/matter/dynamic-profile/view/1873473","18-1873473")</f>
        <v>0</v>
      </c>
      <c r="B3444" t="s">
        <v>168</v>
      </c>
      <c r="C3444" t="s">
        <v>341</v>
      </c>
      <c r="D3444" t="s">
        <v>447</v>
      </c>
      <c r="E3444" t="s">
        <v>707</v>
      </c>
      <c r="F3444" t="s">
        <v>2659</v>
      </c>
      <c r="G3444" t="s">
        <v>5305</v>
      </c>
      <c r="H3444" t="s">
        <v>12357</v>
      </c>
      <c r="I3444">
        <v>63</v>
      </c>
      <c r="J3444" t="s">
        <v>18893</v>
      </c>
      <c r="K3444">
        <v>10032</v>
      </c>
      <c r="L3444" t="s">
        <v>18958</v>
      </c>
      <c r="M3444" t="s">
        <v>18958</v>
      </c>
      <c r="O3444" t="s">
        <v>18997</v>
      </c>
      <c r="P3444" t="s">
        <v>26564</v>
      </c>
      <c r="Q3444" t="s">
        <v>26570</v>
      </c>
      <c r="R3444" t="s">
        <v>26582</v>
      </c>
      <c r="S3444" t="s">
        <v>18959</v>
      </c>
      <c r="U3444" t="s">
        <v>26604</v>
      </c>
      <c r="V3444" t="s">
        <v>26610</v>
      </c>
      <c r="W3444" t="s">
        <v>855</v>
      </c>
      <c r="X3444">
        <v>1613</v>
      </c>
      <c r="Y3444" t="s">
        <v>26651</v>
      </c>
      <c r="Z3444" t="s">
        <v>26530</v>
      </c>
      <c r="AA3444" t="s">
        <v>26683</v>
      </c>
      <c r="AB3444" t="s">
        <v>29633</v>
      </c>
      <c r="AD3444" t="s">
        <v>39717</v>
      </c>
      <c r="AE3444">
        <v>46</v>
      </c>
      <c r="AF3444" t="s">
        <v>20460</v>
      </c>
      <c r="AG3444" t="s">
        <v>19330</v>
      </c>
      <c r="AH3444">
        <v>2</v>
      </c>
      <c r="AI3444">
        <v>2</v>
      </c>
      <c r="AJ3444">
        <v>1</v>
      </c>
      <c r="AK3444">
        <v>197.31</v>
      </c>
      <c r="AN3444" t="s">
        <v>45581</v>
      </c>
      <c r="AO3444">
        <v>41000</v>
      </c>
      <c r="AU3444">
        <v>8.699999999999999</v>
      </c>
      <c r="AV3444" t="s">
        <v>707</v>
      </c>
      <c r="AW3444" t="s">
        <v>314</v>
      </c>
    </row>
    <row r="3445" spans="1:49">
      <c r="A3445" s="1">
        <f>HYPERLINK("https://lsnyc.legalserver.org/matter/dynamic-profile/view/1873655","18-1873655")</f>
        <v>0</v>
      </c>
      <c r="B3445" t="s">
        <v>91</v>
      </c>
      <c r="C3445" t="s">
        <v>340</v>
      </c>
      <c r="D3445" t="s">
        <v>476</v>
      </c>
      <c r="F3445" t="s">
        <v>939</v>
      </c>
      <c r="G3445" t="s">
        <v>6890</v>
      </c>
      <c r="H3445" t="s">
        <v>12358</v>
      </c>
      <c r="I3445" t="s">
        <v>17968</v>
      </c>
      <c r="J3445" t="s">
        <v>18898</v>
      </c>
      <c r="K3445">
        <v>11691</v>
      </c>
      <c r="L3445" t="s">
        <v>18958</v>
      </c>
      <c r="M3445" t="s">
        <v>18958</v>
      </c>
      <c r="N3445" t="s">
        <v>21544</v>
      </c>
      <c r="O3445" t="s">
        <v>26524</v>
      </c>
      <c r="P3445" t="s">
        <v>26564</v>
      </c>
      <c r="R3445" t="s">
        <v>26578</v>
      </c>
      <c r="S3445" t="s">
        <v>18959</v>
      </c>
      <c r="U3445" t="s">
        <v>26604</v>
      </c>
      <c r="V3445" t="s">
        <v>26609</v>
      </c>
      <c r="W3445" t="s">
        <v>855</v>
      </c>
      <c r="X3445">
        <v>1836</v>
      </c>
      <c r="Y3445" t="s">
        <v>26653</v>
      </c>
      <c r="Z3445" t="s">
        <v>26656</v>
      </c>
      <c r="AB3445" t="s">
        <v>28432</v>
      </c>
      <c r="AD3445" t="s">
        <v>39718</v>
      </c>
      <c r="AE3445">
        <v>3</v>
      </c>
      <c r="AF3445" t="s">
        <v>45547</v>
      </c>
      <c r="AG3445" t="s">
        <v>45556</v>
      </c>
      <c r="AH3445">
        <v>3</v>
      </c>
      <c r="AI3445">
        <v>3</v>
      </c>
      <c r="AJ3445">
        <v>1</v>
      </c>
      <c r="AK3445">
        <v>62.15</v>
      </c>
      <c r="AN3445" t="s">
        <v>7439</v>
      </c>
      <c r="AO3445">
        <v>15600</v>
      </c>
      <c r="AU3445">
        <v>2.6</v>
      </c>
      <c r="AV3445" t="s">
        <v>600</v>
      </c>
      <c r="AW3445" t="s">
        <v>91</v>
      </c>
    </row>
    <row r="3446" spans="1:49">
      <c r="A3446" s="1">
        <f>HYPERLINK("https://lsnyc.legalserver.org/matter/dynamic-profile/view/1873724","18-1873724")</f>
        <v>0</v>
      </c>
      <c r="B3446" t="s">
        <v>167</v>
      </c>
      <c r="C3446" t="s">
        <v>340</v>
      </c>
      <c r="D3446" t="s">
        <v>466</v>
      </c>
      <c r="F3446" t="s">
        <v>1021</v>
      </c>
      <c r="G3446" t="s">
        <v>6891</v>
      </c>
      <c r="H3446" t="s">
        <v>10886</v>
      </c>
      <c r="I3446" t="s">
        <v>17969</v>
      </c>
      <c r="J3446" t="s">
        <v>18894</v>
      </c>
      <c r="K3446">
        <v>11236</v>
      </c>
      <c r="L3446" t="s">
        <v>18958</v>
      </c>
      <c r="M3446" t="s">
        <v>18960</v>
      </c>
      <c r="N3446" t="s">
        <v>21545</v>
      </c>
      <c r="O3446" t="s">
        <v>26524</v>
      </c>
      <c r="P3446" t="s">
        <v>26560</v>
      </c>
      <c r="R3446" t="s">
        <v>26586</v>
      </c>
      <c r="U3446" t="s">
        <v>26604</v>
      </c>
      <c r="W3446" t="s">
        <v>855</v>
      </c>
      <c r="X3446">
        <v>0</v>
      </c>
      <c r="Y3446" t="s">
        <v>26652</v>
      </c>
      <c r="Z3446" t="s">
        <v>26662</v>
      </c>
      <c r="AB3446" t="s">
        <v>29634</v>
      </c>
      <c r="AD3446" t="s">
        <v>39719</v>
      </c>
      <c r="AE3446">
        <v>0</v>
      </c>
      <c r="AG3446" t="s">
        <v>45560</v>
      </c>
      <c r="AH3446">
        <v>1</v>
      </c>
      <c r="AI3446">
        <v>1</v>
      </c>
      <c r="AJ3446">
        <v>0</v>
      </c>
      <c r="AK3446">
        <v>19.6</v>
      </c>
      <c r="AN3446" t="s">
        <v>7439</v>
      </c>
      <c r="AO3446">
        <v>2379</v>
      </c>
      <c r="AU3446">
        <v>41.9</v>
      </c>
      <c r="AV3446" t="s">
        <v>833</v>
      </c>
      <c r="AW3446" t="s">
        <v>281</v>
      </c>
    </row>
    <row r="3447" spans="1:49">
      <c r="A3447" s="1">
        <f>HYPERLINK("https://lsnyc.legalserver.org/matter/dynamic-profile/view/1873749","18-1873749")</f>
        <v>0</v>
      </c>
      <c r="B3447" t="s">
        <v>142</v>
      </c>
      <c r="C3447" t="s">
        <v>340</v>
      </c>
      <c r="D3447" t="s">
        <v>466</v>
      </c>
      <c r="F3447" t="s">
        <v>2660</v>
      </c>
      <c r="G3447" t="s">
        <v>6892</v>
      </c>
      <c r="H3447" t="s">
        <v>11454</v>
      </c>
      <c r="I3447" t="s">
        <v>17306</v>
      </c>
      <c r="J3447" t="s">
        <v>18898</v>
      </c>
      <c r="K3447">
        <v>11691</v>
      </c>
      <c r="L3447" t="s">
        <v>18958</v>
      </c>
      <c r="M3447" t="s">
        <v>18958</v>
      </c>
      <c r="N3447" t="s">
        <v>21546</v>
      </c>
      <c r="O3447" t="s">
        <v>26523</v>
      </c>
      <c r="P3447" t="s">
        <v>26560</v>
      </c>
      <c r="R3447" t="s">
        <v>26578</v>
      </c>
      <c r="S3447" t="s">
        <v>18959</v>
      </c>
      <c r="U3447" t="s">
        <v>26604</v>
      </c>
      <c r="V3447" t="s">
        <v>26611</v>
      </c>
      <c r="W3447" t="s">
        <v>855</v>
      </c>
      <c r="X3447">
        <v>1956</v>
      </c>
      <c r="Y3447" t="s">
        <v>26653</v>
      </c>
      <c r="Z3447" t="s">
        <v>26664</v>
      </c>
      <c r="AB3447" t="s">
        <v>29635</v>
      </c>
      <c r="AD3447" t="s">
        <v>39720</v>
      </c>
      <c r="AE3447">
        <v>26</v>
      </c>
      <c r="AF3447" t="s">
        <v>45541</v>
      </c>
      <c r="AG3447" t="s">
        <v>45562</v>
      </c>
      <c r="AH3447">
        <v>3</v>
      </c>
      <c r="AI3447">
        <v>1</v>
      </c>
      <c r="AJ3447">
        <v>2</v>
      </c>
      <c r="AK3447">
        <v>14.51</v>
      </c>
      <c r="AM3447" t="s">
        <v>45576</v>
      </c>
      <c r="AN3447" t="s">
        <v>7439</v>
      </c>
      <c r="AO3447">
        <v>3016</v>
      </c>
      <c r="AQ3447" t="s">
        <v>46359</v>
      </c>
      <c r="AR3447" t="s">
        <v>46379</v>
      </c>
      <c r="AS3447" t="s">
        <v>46499</v>
      </c>
      <c r="AT3447" t="s">
        <v>46579</v>
      </c>
      <c r="AU3447">
        <v>19.7</v>
      </c>
      <c r="AV3447" t="s">
        <v>529</v>
      </c>
      <c r="AW3447" t="s">
        <v>208</v>
      </c>
    </row>
    <row r="3448" spans="1:49">
      <c r="A3448" s="1">
        <f>HYPERLINK("https://lsnyc.legalserver.org/matter/dynamic-profile/view/1873905","18-1873905")</f>
        <v>0</v>
      </c>
      <c r="B3448" t="s">
        <v>183</v>
      </c>
      <c r="C3448" t="s">
        <v>341</v>
      </c>
      <c r="D3448" t="s">
        <v>469</v>
      </c>
      <c r="E3448" t="s">
        <v>821</v>
      </c>
      <c r="F3448" t="s">
        <v>2661</v>
      </c>
      <c r="G3448" t="s">
        <v>2504</v>
      </c>
      <c r="H3448" t="s">
        <v>12359</v>
      </c>
      <c r="I3448" t="s">
        <v>17307</v>
      </c>
      <c r="J3448" t="s">
        <v>18893</v>
      </c>
      <c r="K3448">
        <v>10027</v>
      </c>
      <c r="L3448" t="s">
        <v>18958</v>
      </c>
      <c r="M3448" t="s">
        <v>18958</v>
      </c>
      <c r="N3448" t="s">
        <v>21547</v>
      </c>
      <c r="O3448" t="s">
        <v>26524</v>
      </c>
      <c r="P3448" t="s">
        <v>26560</v>
      </c>
      <c r="Q3448" t="s">
        <v>26568</v>
      </c>
      <c r="R3448" t="s">
        <v>26580</v>
      </c>
      <c r="S3448" t="s">
        <v>18959</v>
      </c>
      <c r="U3448" t="s">
        <v>26604</v>
      </c>
      <c r="V3448" t="s">
        <v>26610</v>
      </c>
      <c r="W3448" t="s">
        <v>855</v>
      </c>
      <c r="X3448">
        <v>780</v>
      </c>
      <c r="Y3448" t="s">
        <v>26651</v>
      </c>
      <c r="Z3448" t="s">
        <v>26662</v>
      </c>
      <c r="AA3448" t="s">
        <v>26678</v>
      </c>
      <c r="AB3448" t="s">
        <v>29636</v>
      </c>
      <c r="AD3448" t="s">
        <v>39721</v>
      </c>
      <c r="AE3448">
        <v>20</v>
      </c>
      <c r="AF3448" t="s">
        <v>45541</v>
      </c>
      <c r="AG3448" t="s">
        <v>19330</v>
      </c>
      <c r="AH3448">
        <v>16</v>
      </c>
      <c r="AI3448">
        <v>1</v>
      </c>
      <c r="AJ3448">
        <v>0</v>
      </c>
      <c r="AK3448">
        <v>64.25</v>
      </c>
      <c r="AN3448" t="s">
        <v>7439</v>
      </c>
      <c r="AO3448">
        <v>7800</v>
      </c>
      <c r="AQ3448" t="s">
        <v>46364</v>
      </c>
      <c r="AR3448" t="s">
        <v>46477</v>
      </c>
      <c r="AS3448" t="s">
        <v>46499</v>
      </c>
      <c r="AT3448" t="s">
        <v>46662</v>
      </c>
      <c r="AU3448">
        <v>49.37</v>
      </c>
      <c r="AV3448" t="s">
        <v>834</v>
      </c>
      <c r="AW3448" t="s">
        <v>314</v>
      </c>
    </row>
    <row r="3449" spans="1:49">
      <c r="A3449" s="1">
        <f>HYPERLINK("https://lsnyc.legalserver.org/matter/dynamic-profile/view/1874568","18-1874568")</f>
        <v>0</v>
      </c>
      <c r="B3449" t="s">
        <v>106</v>
      </c>
      <c r="C3449" t="s">
        <v>340</v>
      </c>
      <c r="D3449" t="s">
        <v>461</v>
      </c>
      <c r="F3449" t="s">
        <v>893</v>
      </c>
      <c r="G3449" t="s">
        <v>6893</v>
      </c>
      <c r="H3449" t="s">
        <v>12360</v>
      </c>
      <c r="I3449">
        <v>1</v>
      </c>
      <c r="J3449" t="s">
        <v>18894</v>
      </c>
      <c r="K3449">
        <v>11221</v>
      </c>
      <c r="L3449" t="s">
        <v>18958</v>
      </c>
      <c r="M3449" t="s">
        <v>18960</v>
      </c>
      <c r="N3449" t="s">
        <v>21548</v>
      </c>
      <c r="O3449" t="s">
        <v>26526</v>
      </c>
      <c r="P3449" t="s">
        <v>26560</v>
      </c>
      <c r="R3449" t="s">
        <v>26586</v>
      </c>
      <c r="S3449" t="s">
        <v>18959</v>
      </c>
      <c r="U3449" t="s">
        <v>26604</v>
      </c>
      <c r="V3449" t="s">
        <v>26610</v>
      </c>
      <c r="W3449" t="s">
        <v>855</v>
      </c>
      <c r="X3449">
        <v>0</v>
      </c>
      <c r="Y3449" t="s">
        <v>26652</v>
      </c>
      <c r="AB3449" t="s">
        <v>29637</v>
      </c>
      <c r="AD3449" t="s">
        <v>39722</v>
      </c>
      <c r="AE3449">
        <v>6</v>
      </c>
      <c r="AF3449" t="s">
        <v>20460</v>
      </c>
      <c r="AG3449" t="s">
        <v>19330</v>
      </c>
      <c r="AH3449">
        <v>3</v>
      </c>
      <c r="AI3449">
        <v>1</v>
      </c>
      <c r="AJ3449">
        <v>0</v>
      </c>
      <c r="AK3449">
        <v>19.77</v>
      </c>
      <c r="AN3449" t="s">
        <v>7439</v>
      </c>
      <c r="AO3449">
        <v>2400</v>
      </c>
      <c r="AU3449">
        <v>52.1</v>
      </c>
      <c r="AV3449" t="s">
        <v>672</v>
      </c>
      <c r="AW3449" t="s">
        <v>106</v>
      </c>
    </row>
    <row r="3450" spans="1:49">
      <c r="A3450" s="1">
        <f>HYPERLINK("https://lsnyc.legalserver.org/matter/dynamic-profile/view/1875100","18-1875100")</f>
        <v>0</v>
      </c>
      <c r="B3450" t="s">
        <v>165</v>
      </c>
      <c r="C3450" t="s">
        <v>341</v>
      </c>
      <c r="D3450" t="s">
        <v>515</v>
      </c>
      <c r="E3450" t="s">
        <v>729</v>
      </c>
      <c r="F3450" t="s">
        <v>899</v>
      </c>
      <c r="G3450" t="s">
        <v>6894</v>
      </c>
      <c r="H3450" t="s">
        <v>12361</v>
      </c>
      <c r="I3450" t="s">
        <v>17370</v>
      </c>
      <c r="J3450" t="s">
        <v>18893</v>
      </c>
      <c r="K3450">
        <v>10027</v>
      </c>
      <c r="L3450" t="s">
        <v>18958</v>
      </c>
      <c r="M3450" t="s">
        <v>18960</v>
      </c>
      <c r="N3450" t="s">
        <v>21549</v>
      </c>
      <c r="O3450" t="s">
        <v>26523</v>
      </c>
      <c r="P3450" t="s">
        <v>26560</v>
      </c>
      <c r="Q3450" t="s">
        <v>26568</v>
      </c>
      <c r="R3450" t="s">
        <v>26580</v>
      </c>
      <c r="S3450" t="s">
        <v>18959</v>
      </c>
      <c r="U3450" t="s">
        <v>26605</v>
      </c>
      <c r="W3450" t="s">
        <v>855</v>
      </c>
      <c r="X3450">
        <v>283</v>
      </c>
      <c r="Y3450" t="s">
        <v>26651</v>
      </c>
      <c r="Z3450" t="s">
        <v>26664</v>
      </c>
      <c r="AA3450" t="s">
        <v>26680</v>
      </c>
      <c r="AB3450" t="s">
        <v>29638</v>
      </c>
      <c r="AC3450" t="s">
        <v>35527</v>
      </c>
      <c r="AD3450" t="s">
        <v>39723</v>
      </c>
      <c r="AE3450">
        <v>650</v>
      </c>
      <c r="AF3450" t="s">
        <v>45549</v>
      </c>
      <c r="AG3450" t="s">
        <v>26530</v>
      </c>
      <c r="AH3450">
        <v>-1</v>
      </c>
      <c r="AI3450">
        <v>1</v>
      </c>
      <c r="AJ3450">
        <v>1</v>
      </c>
      <c r="AK3450">
        <v>168.7</v>
      </c>
      <c r="AN3450" t="s">
        <v>7439</v>
      </c>
      <c r="AO3450">
        <v>27768</v>
      </c>
      <c r="AS3450" t="s">
        <v>46499</v>
      </c>
      <c r="AT3450" t="s">
        <v>46709</v>
      </c>
      <c r="AU3450">
        <v>6.25</v>
      </c>
      <c r="AV3450" t="s">
        <v>635</v>
      </c>
      <c r="AW3450" t="s">
        <v>314</v>
      </c>
    </row>
    <row r="3451" spans="1:49">
      <c r="A3451" s="1">
        <f>HYPERLINK("https://lsnyc.legalserver.org/matter/dynamic-profile/view/1875213","18-1875213")</f>
        <v>0</v>
      </c>
      <c r="B3451" t="s">
        <v>172</v>
      </c>
      <c r="C3451" t="s">
        <v>341</v>
      </c>
      <c r="D3451" t="s">
        <v>515</v>
      </c>
      <c r="E3451" t="s">
        <v>692</v>
      </c>
      <c r="F3451" t="s">
        <v>1194</v>
      </c>
      <c r="G3451" t="s">
        <v>4588</v>
      </c>
      <c r="H3451" t="s">
        <v>10003</v>
      </c>
      <c r="I3451" t="s">
        <v>17347</v>
      </c>
      <c r="J3451" t="s">
        <v>18894</v>
      </c>
      <c r="K3451">
        <v>11217</v>
      </c>
      <c r="L3451" t="s">
        <v>18958</v>
      </c>
      <c r="M3451" t="s">
        <v>18960</v>
      </c>
      <c r="N3451" t="s">
        <v>21550</v>
      </c>
      <c r="O3451" t="s">
        <v>26525</v>
      </c>
      <c r="P3451" t="s">
        <v>26561</v>
      </c>
      <c r="Q3451" t="s">
        <v>26568</v>
      </c>
      <c r="R3451" t="s">
        <v>26586</v>
      </c>
      <c r="U3451" t="s">
        <v>26605</v>
      </c>
      <c r="W3451" t="s">
        <v>855</v>
      </c>
      <c r="X3451">
        <v>235</v>
      </c>
      <c r="Y3451" t="s">
        <v>26652</v>
      </c>
      <c r="Z3451" t="s">
        <v>26659</v>
      </c>
      <c r="AA3451" t="s">
        <v>26680</v>
      </c>
      <c r="AB3451" t="s">
        <v>27091</v>
      </c>
      <c r="AD3451" t="s">
        <v>37171</v>
      </c>
      <c r="AE3451">
        <v>91</v>
      </c>
      <c r="AF3451" t="s">
        <v>45549</v>
      </c>
      <c r="AH3451">
        <v>35</v>
      </c>
      <c r="AI3451">
        <v>4</v>
      </c>
      <c r="AJ3451">
        <v>0</v>
      </c>
      <c r="AK3451">
        <v>37.52</v>
      </c>
      <c r="AN3451" t="s">
        <v>7439</v>
      </c>
      <c r="AO3451">
        <v>9417.6</v>
      </c>
      <c r="AS3451" t="s">
        <v>46499</v>
      </c>
      <c r="AT3451" t="s">
        <v>46642</v>
      </c>
      <c r="AU3451">
        <v>5.05</v>
      </c>
      <c r="AV3451" t="s">
        <v>692</v>
      </c>
      <c r="AW3451" t="s">
        <v>46862</v>
      </c>
    </row>
    <row r="3452" spans="1:49">
      <c r="A3452" s="1">
        <f>HYPERLINK("https://lsnyc.legalserver.org/matter/dynamic-profile/view/1875293","18-1875293")</f>
        <v>0</v>
      </c>
      <c r="B3452" t="s">
        <v>129</v>
      </c>
      <c r="C3452" t="s">
        <v>340</v>
      </c>
      <c r="D3452" t="s">
        <v>526</v>
      </c>
      <c r="F3452" t="s">
        <v>2662</v>
      </c>
      <c r="G3452" t="s">
        <v>6895</v>
      </c>
      <c r="H3452" t="s">
        <v>12362</v>
      </c>
      <c r="I3452" t="s">
        <v>17277</v>
      </c>
      <c r="J3452" t="s">
        <v>18894</v>
      </c>
      <c r="K3452">
        <v>11225</v>
      </c>
      <c r="L3452" t="s">
        <v>18958</v>
      </c>
      <c r="M3452" t="s">
        <v>18960</v>
      </c>
      <c r="N3452" t="s">
        <v>21551</v>
      </c>
      <c r="O3452" t="s">
        <v>26523</v>
      </c>
      <c r="P3452" t="s">
        <v>26560</v>
      </c>
      <c r="R3452" t="s">
        <v>26588</v>
      </c>
      <c r="U3452" t="s">
        <v>26604</v>
      </c>
      <c r="V3452" t="s">
        <v>26612</v>
      </c>
      <c r="W3452" t="s">
        <v>855</v>
      </c>
      <c r="X3452">
        <v>1003</v>
      </c>
      <c r="Y3452" t="s">
        <v>26652</v>
      </c>
      <c r="Z3452" t="s">
        <v>26664</v>
      </c>
      <c r="AB3452" t="s">
        <v>29639</v>
      </c>
      <c r="AD3452" t="s">
        <v>39724</v>
      </c>
      <c r="AE3452">
        <v>16</v>
      </c>
      <c r="AH3452">
        <v>12</v>
      </c>
      <c r="AI3452">
        <v>1</v>
      </c>
      <c r="AJ3452">
        <v>0</v>
      </c>
      <c r="AK3452">
        <v>171.33</v>
      </c>
      <c r="AN3452" t="s">
        <v>7439</v>
      </c>
      <c r="AO3452">
        <v>20800</v>
      </c>
      <c r="AQ3452" t="s">
        <v>46359</v>
      </c>
      <c r="AR3452" t="s">
        <v>46419</v>
      </c>
      <c r="AS3452" t="s">
        <v>46499</v>
      </c>
      <c r="AT3452" t="s">
        <v>46644</v>
      </c>
      <c r="AU3452">
        <v>12.3</v>
      </c>
      <c r="AV3452" t="s">
        <v>704</v>
      </c>
      <c r="AW3452" t="s">
        <v>281</v>
      </c>
    </row>
    <row r="3453" spans="1:49">
      <c r="A3453" s="1">
        <f>HYPERLINK("https://lsnyc.legalserver.org/matter/dynamic-profile/view/1875437","18-1875437")</f>
        <v>0</v>
      </c>
      <c r="B3453" t="s">
        <v>256</v>
      </c>
      <c r="C3453" t="s">
        <v>341</v>
      </c>
      <c r="D3453" t="s">
        <v>681</v>
      </c>
      <c r="E3453" t="s">
        <v>574</v>
      </c>
      <c r="F3453" t="s">
        <v>2663</v>
      </c>
      <c r="G3453" t="s">
        <v>3056</v>
      </c>
      <c r="H3453" t="s">
        <v>12363</v>
      </c>
      <c r="I3453">
        <v>5</v>
      </c>
      <c r="J3453" t="s">
        <v>18894</v>
      </c>
      <c r="K3453">
        <v>11218</v>
      </c>
      <c r="L3453" t="s">
        <v>18958</v>
      </c>
      <c r="M3453" t="s">
        <v>18958</v>
      </c>
      <c r="N3453" t="s">
        <v>21552</v>
      </c>
      <c r="O3453" t="s">
        <v>26523</v>
      </c>
      <c r="P3453" t="s">
        <v>26560</v>
      </c>
      <c r="Q3453" t="s">
        <v>26568</v>
      </c>
      <c r="R3453" t="s">
        <v>26578</v>
      </c>
      <c r="S3453" t="s">
        <v>18959</v>
      </c>
      <c r="U3453" t="s">
        <v>26604</v>
      </c>
      <c r="W3453" t="s">
        <v>855</v>
      </c>
      <c r="X3453">
        <v>1230</v>
      </c>
      <c r="Y3453" t="s">
        <v>26652</v>
      </c>
      <c r="Z3453" t="s">
        <v>26670</v>
      </c>
      <c r="AA3453" t="s">
        <v>26681</v>
      </c>
      <c r="AB3453" t="s">
        <v>29640</v>
      </c>
      <c r="AE3453">
        <v>6</v>
      </c>
      <c r="AF3453" t="s">
        <v>45541</v>
      </c>
      <c r="AH3453">
        <v>8</v>
      </c>
      <c r="AI3453">
        <v>1</v>
      </c>
      <c r="AJ3453">
        <v>0</v>
      </c>
      <c r="AK3453">
        <v>148.27</v>
      </c>
      <c r="AN3453" t="s">
        <v>45592</v>
      </c>
      <c r="AO3453">
        <v>18000</v>
      </c>
      <c r="AQ3453" t="s">
        <v>46369</v>
      </c>
      <c r="AR3453" t="s">
        <v>26530</v>
      </c>
      <c r="AS3453" t="s">
        <v>46500</v>
      </c>
      <c r="AT3453" t="s">
        <v>46549</v>
      </c>
      <c r="AU3453">
        <v>10.3</v>
      </c>
      <c r="AV3453" t="s">
        <v>415</v>
      </c>
      <c r="AW3453" t="s">
        <v>259</v>
      </c>
    </row>
    <row r="3454" spans="1:49">
      <c r="A3454" s="1">
        <f>HYPERLINK("https://lsnyc.legalserver.org/matter/dynamic-profile/view/1875424","18-1875424")</f>
        <v>0</v>
      </c>
      <c r="B3454" t="s">
        <v>129</v>
      </c>
      <c r="C3454" t="s">
        <v>340</v>
      </c>
      <c r="D3454" t="s">
        <v>516</v>
      </c>
      <c r="F3454" t="s">
        <v>2664</v>
      </c>
      <c r="G3454" t="s">
        <v>5434</v>
      </c>
      <c r="H3454" t="s">
        <v>12364</v>
      </c>
      <c r="I3454" t="s">
        <v>17330</v>
      </c>
      <c r="J3454" t="s">
        <v>18894</v>
      </c>
      <c r="K3454">
        <v>11221</v>
      </c>
      <c r="L3454" t="s">
        <v>18958</v>
      </c>
      <c r="M3454" t="s">
        <v>18960</v>
      </c>
      <c r="N3454" t="s">
        <v>21553</v>
      </c>
      <c r="O3454" t="s">
        <v>26523</v>
      </c>
      <c r="P3454" t="s">
        <v>26560</v>
      </c>
      <c r="R3454" t="s">
        <v>26588</v>
      </c>
      <c r="U3454" t="s">
        <v>26604</v>
      </c>
      <c r="V3454" t="s">
        <v>26610</v>
      </c>
      <c r="W3454" t="s">
        <v>855</v>
      </c>
      <c r="X3454">
        <v>2002</v>
      </c>
      <c r="Y3454" t="s">
        <v>26652</v>
      </c>
      <c r="Z3454" t="s">
        <v>26669</v>
      </c>
      <c r="AB3454" t="s">
        <v>29641</v>
      </c>
      <c r="AD3454" t="s">
        <v>39725</v>
      </c>
      <c r="AE3454">
        <v>8</v>
      </c>
      <c r="AF3454" t="s">
        <v>45543</v>
      </c>
      <c r="AG3454" t="s">
        <v>45556</v>
      </c>
      <c r="AH3454">
        <v>8</v>
      </c>
      <c r="AI3454">
        <v>3</v>
      </c>
      <c r="AJ3454">
        <v>1</v>
      </c>
      <c r="AK3454">
        <v>86.8</v>
      </c>
      <c r="AN3454" t="s">
        <v>45581</v>
      </c>
      <c r="AO3454">
        <v>21788</v>
      </c>
      <c r="AQ3454" t="s">
        <v>46362</v>
      </c>
      <c r="AR3454" t="s">
        <v>46379</v>
      </c>
      <c r="AS3454" t="s">
        <v>46499</v>
      </c>
      <c r="AT3454" t="s">
        <v>46533</v>
      </c>
      <c r="AU3454">
        <v>12.3</v>
      </c>
      <c r="AV3454" t="s">
        <v>704</v>
      </c>
      <c r="AW3454" t="s">
        <v>46862</v>
      </c>
    </row>
    <row r="3455" spans="1:49">
      <c r="A3455" s="1">
        <f>HYPERLINK("https://lsnyc.legalserver.org/matter/dynamic-profile/view/1875726","18-1875726")</f>
        <v>0</v>
      </c>
      <c r="B3455" t="s">
        <v>55</v>
      </c>
      <c r="C3455" t="s">
        <v>341</v>
      </c>
      <c r="D3455" t="s">
        <v>533</v>
      </c>
      <c r="E3455" t="s">
        <v>692</v>
      </c>
      <c r="F3455" t="s">
        <v>887</v>
      </c>
      <c r="G3455" t="s">
        <v>6065</v>
      </c>
      <c r="H3455" t="s">
        <v>12365</v>
      </c>
      <c r="I3455" t="s">
        <v>17284</v>
      </c>
      <c r="J3455" t="s">
        <v>18892</v>
      </c>
      <c r="K3455">
        <v>10453</v>
      </c>
      <c r="L3455" t="s">
        <v>18958</v>
      </c>
      <c r="M3455" t="s">
        <v>18958</v>
      </c>
      <c r="N3455" t="s">
        <v>21554</v>
      </c>
      <c r="O3455" t="s">
        <v>26523</v>
      </c>
      <c r="P3455" t="s">
        <v>26560</v>
      </c>
      <c r="Q3455" t="s">
        <v>26568</v>
      </c>
      <c r="R3455" t="s">
        <v>26578</v>
      </c>
      <c r="S3455" t="s">
        <v>18959</v>
      </c>
      <c r="U3455" t="s">
        <v>26604</v>
      </c>
      <c r="W3455" t="s">
        <v>855</v>
      </c>
      <c r="X3455">
        <v>1286</v>
      </c>
      <c r="Y3455" t="s">
        <v>26650</v>
      </c>
      <c r="Z3455" t="s">
        <v>26664</v>
      </c>
      <c r="AA3455" t="s">
        <v>26678</v>
      </c>
      <c r="AB3455" t="s">
        <v>27338</v>
      </c>
      <c r="AC3455" t="s">
        <v>35528</v>
      </c>
      <c r="AD3455" t="s">
        <v>39726</v>
      </c>
      <c r="AE3455">
        <v>0</v>
      </c>
      <c r="AF3455" t="s">
        <v>20460</v>
      </c>
      <c r="AG3455" t="s">
        <v>45562</v>
      </c>
      <c r="AH3455">
        <v>3</v>
      </c>
      <c r="AI3455">
        <v>1</v>
      </c>
      <c r="AJ3455">
        <v>1</v>
      </c>
      <c r="AK3455">
        <v>0</v>
      </c>
      <c r="AN3455" t="s">
        <v>7439</v>
      </c>
      <c r="AO3455">
        <v>0</v>
      </c>
      <c r="AP3455" t="s">
        <v>45791</v>
      </c>
      <c r="AU3455">
        <v>13.7</v>
      </c>
      <c r="AV3455" t="s">
        <v>670</v>
      </c>
      <c r="AW3455" t="s">
        <v>46832</v>
      </c>
    </row>
    <row r="3456" spans="1:49">
      <c r="A3456" s="1">
        <f>HYPERLINK("https://lsnyc.legalserver.org/matter/dynamic-profile/view/1875772","18-1875772")</f>
        <v>0</v>
      </c>
      <c r="B3456" t="s">
        <v>80</v>
      </c>
      <c r="C3456" t="s">
        <v>341</v>
      </c>
      <c r="D3456" t="s">
        <v>533</v>
      </c>
      <c r="E3456" t="s">
        <v>709</v>
      </c>
      <c r="F3456" t="s">
        <v>1021</v>
      </c>
      <c r="G3456" t="s">
        <v>5755</v>
      </c>
      <c r="H3456" t="s">
        <v>12366</v>
      </c>
      <c r="I3456" t="s">
        <v>17397</v>
      </c>
      <c r="J3456" t="s">
        <v>18893</v>
      </c>
      <c r="K3456">
        <v>10025</v>
      </c>
      <c r="L3456" t="s">
        <v>18958</v>
      </c>
      <c r="M3456" t="s">
        <v>18958</v>
      </c>
      <c r="N3456" t="s">
        <v>21555</v>
      </c>
      <c r="O3456" t="s">
        <v>26523</v>
      </c>
      <c r="P3456" t="s">
        <v>26560</v>
      </c>
      <c r="Q3456" t="s">
        <v>26568</v>
      </c>
      <c r="R3456" t="s">
        <v>26580</v>
      </c>
      <c r="S3456" t="s">
        <v>18959</v>
      </c>
      <c r="U3456" t="s">
        <v>26604</v>
      </c>
      <c r="W3456" t="s">
        <v>855</v>
      </c>
      <c r="X3456">
        <v>965</v>
      </c>
      <c r="Y3456" t="s">
        <v>26651</v>
      </c>
      <c r="Z3456" t="s">
        <v>26664</v>
      </c>
      <c r="AA3456" t="s">
        <v>26678</v>
      </c>
      <c r="AB3456" t="s">
        <v>29642</v>
      </c>
      <c r="AD3456" t="s">
        <v>39727</v>
      </c>
      <c r="AE3456">
        <v>67</v>
      </c>
      <c r="AF3456" t="s">
        <v>45541</v>
      </c>
      <c r="AG3456" t="s">
        <v>19330</v>
      </c>
      <c r="AH3456">
        <v>38</v>
      </c>
      <c r="AI3456">
        <v>1</v>
      </c>
      <c r="AJ3456">
        <v>0</v>
      </c>
      <c r="AK3456">
        <v>78.09</v>
      </c>
      <c r="AN3456" t="s">
        <v>7439</v>
      </c>
      <c r="AO3456">
        <v>9480</v>
      </c>
      <c r="AS3456" t="s">
        <v>46499</v>
      </c>
      <c r="AT3456" t="s">
        <v>46663</v>
      </c>
      <c r="AU3456">
        <v>77.3</v>
      </c>
      <c r="AV3456" t="s">
        <v>726</v>
      </c>
      <c r="AW3456" t="s">
        <v>314</v>
      </c>
    </row>
    <row r="3457" spans="1:50">
      <c r="A3457" s="1">
        <f>HYPERLINK("https://lsnyc.legalserver.org/matter/dynamic-profile/view/1875918","18-1875918")</f>
        <v>0</v>
      </c>
      <c r="B3457" t="s">
        <v>180</v>
      </c>
      <c r="C3457" t="s">
        <v>341</v>
      </c>
      <c r="D3457" t="s">
        <v>511</v>
      </c>
      <c r="E3457" t="s">
        <v>756</v>
      </c>
      <c r="F3457" t="s">
        <v>1233</v>
      </c>
      <c r="G3457" t="s">
        <v>5121</v>
      </c>
      <c r="H3457" t="s">
        <v>12367</v>
      </c>
      <c r="I3457" t="s">
        <v>17638</v>
      </c>
      <c r="J3457" t="s">
        <v>18894</v>
      </c>
      <c r="K3457">
        <v>11221</v>
      </c>
      <c r="L3457" t="s">
        <v>18958</v>
      </c>
      <c r="M3457" t="s">
        <v>18960</v>
      </c>
      <c r="N3457" t="s">
        <v>21556</v>
      </c>
      <c r="O3457" t="s">
        <v>26523</v>
      </c>
      <c r="P3457" t="s">
        <v>26560</v>
      </c>
      <c r="Q3457" t="s">
        <v>26568</v>
      </c>
      <c r="R3457" t="s">
        <v>26588</v>
      </c>
      <c r="U3457" t="s">
        <v>26604</v>
      </c>
      <c r="V3457" t="s">
        <v>26610</v>
      </c>
      <c r="W3457" t="s">
        <v>855</v>
      </c>
      <c r="X3457">
        <v>1775</v>
      </c>
      <c r="Y3457" t="s">
        <v>26652</v>
      </c>
      <c r="Z3457" t="s">
        <v>26669</v>
      </c>
      <c r="AA3457" t="s">
        <v>26678</v>
      </c>
      <c r="AB3457" t="s">
        <v>29643</v>
      </c>
      <c r="AD3457" t="s">
        <v>39728</v>
      </c>
      <c r="AE3457">
        <v>97</v>
      </c>
      <c r="AF3457" t="s">
        <v>45543</v>
      </c>
      <c r="AG3457" t="s">
        <v>45556</v>
      </c>
      <c r="AH3457">
        <v>8</v>
      </c>
      <c r="AI3457">
        <v>2</v>
      </c>
      <c r="AJ3457">
        <v>0</v>
      </c>
      <c r="AK3457">
        <v>64.3</v>
      </c>
      <c r="AN3457" t="s">
        <v>7439</v>
      </c>
      <c r="AO3457">
        <v>10584</v>
      </c>
      <c r="AS3457" t="s">
        <v>46499</v>
      </c>
      <c r="AT3457" t="s">
        <v>46722</v>
      </c>
      <c r="AU3457">
        <v>17.5</v>
      </c>
      <c r="AV3457" t="s">
        <v>415</v>
      </c>
      <c r="AW3457" t="s">
        <v>46862</v>
      </c>
    </row>
    <row r="3458" spans="1:50">
      <c r="A3458" s="1">
        <f>HYPERLINK("https://lsnyc.legalserver.org/matter/dynamic-profile/view/1875987","18-1875987")</f>
        <v>0</v>
      </c>
      <c r="B3458" t="s">
        <v>180</v>
      </c>
      <c r="C3458" t="s">
        <v>341</v>
      </c>
      <c r="D3458" t="s">
        <v>512</v>
      </c>
      <c r="E3458" t="s">
        <v>765</v>
      </c>
      <c r="F3458" t="s">
        <v>2665</v>
      </c>
      <c r="G3458" t="s">
        <v>6896</v>
      </c>
      <c r="H3458" t="s">
        <v>12368</v>
      </c>
      <c r="I3458">
        <v>2</v>
      </c>
      <c r="J3458" t="s">
        <v>18894</v>
      </c>
      <c r="K3458">
        <v>11221</v>
      </c>
      <c r="L3458" t="s">
        <v>18958</v>
      </c>
      <c r="M3458" t="s">
        <v>18960</v>
      </c>
      <c r="N3458" t="s">
        <v>21557</v>
      </c>
      <c r="O3458" t="s">
        <v>26524</v>
      </c>
      <c r="P3458" t="s">
        <v>26560</v>
      </c>
      <c r="Q3458" t="s">
        <v>26568</v>
      </c>
      <c r="R3458" t="s">
        <v>26588</v>
      </c>
      <c r="S3458" t="s">
        <v>18959</v>
      </c>
      <c r="U3458" t="s">
        <v>26604</v>
      </c>
      <c r="V3458" t="s">
        <v>26610</v>
      </c>
      <c r="W3458" t="s">
        <v>855</v>
      </c>
      <c r="X3458">
        <v>1350</v>
      </c>
      <c r="Y3458" t="s">
        <v>26652</v>
      </c>
      <c r="Z3458" t="s">
        <v>26669</v>
      </c>
      <c r="AA3458" t="s">
        <v>26679</v>
      </c>
      <c r="AB3458" t="s">
        <v>29644</v>
      </c>
      <c r="AD3458" t="s">
        <v>39729</v>
      </c>
      <c r="AE3458">
        <v>2</v>
      </c>
      <c r="AH3458">
        <v>6</v>
      </c>
      <c r="AI3458">
        <v>1</v>
      </c>
      <c r="AJ3458">
        <v>0</v>
      </c>
      <c r="AK3458">
        <v>74.14</v>
      </c>
      <c r="AN3458" t="s">
        <v>7439</v>
      </c>
      <c r="AO3458">
        <v>9000</v>
      </c>
      <c r="AQ3458" t="s">
        <v>46366</v>
      </c>
      <c r="AR3458" t="s">
        <v>46381</v>
      </c>
      <c r="AS3458" t="s">
        <v>46500</v>
      </c>
      <c r="AT3458" t="s">
        <v>46756</v>
      </c>
      <c r="AU3458">
        <v>13</v>
      </c>
      <c r="AV3458" t="s">
        <v>747</v>
      </c>
      <c r="AW3458" t="s">
        <v>46862</v>
      </c>
    </row>
    <row r="3459" spans="1:50">
      <c r="A3459" s="1">
        <f>HYPERLINK("https://lsnyc.legalserver.org/matter/dynamic-profile/view/1876448","18-1876448")</f>
        <v>0</v>
      </c>
      <c r="B3459" t="s">
        <v>194</v>
      </c>
      <c r="C3459" t="s">
        <v>340</v>
      </c>
      <c r="D3459" t="s">
        <v>523</v>
      </c>
      <c r="F3459" t="s">
        <v>887</v>
      </c>
      <c r="G3459" t="s">
        <v>6684</v>
      </c>
      <c r="H3459" t="s">
        <v>12090</v>
      </c>
      <c r="I3459" t="s">
        <v>17516</v>
      </c>
      <c r="J3459" t="s">
        <v>18893</v>
      </c>
      <c r="K3459">
        <v>10025</v>
      </c>
      <c r="L3459" t="s">
        <v>18958</v>
      </c>
      <c r="M3459" t="s">
        <v>18958</v>
      </c>
      <c r="N3459" t="s">
        <v>21558</v>
      </c>
      <c r="O3459" t="s">
        <v>26523</v>
      </c>
      <c r="P3459" t="s">
        <v>26560</v>
      </c>
      <c r="R3459" t="s">
        <v>26580</v>
      </c>
      <c r="S3459" t="s">
        <v>18959</v>
      </c>
      <c r="U3459" t="s">
        <v>26605</v>
      </c>
      <c r="W3459" t="s">
        <v>855</v>
      </c>
      <c r="X3459">
        <v>400</v>
      </c>
      <c r="Y3459" t="s">
        <v>26651</v>
      </c>
      <c r="Z3459" t="s">
        <v>26659</v>
      </c>
      <c r="AB3459" t="s">
        <v>28256</v>
      </c>
      <c r="AD3459" t="s">
        <v>39730</v>
      </c>
      <c r="AE3459">
        <v>899</v>
      </c>
      <c r="AF3459" t="s">
        <v>45549</v>
      </c>
      <c r="AG3459" t="s">
        <v>19330</v>
      </c>
      <c r="AH3459">
        <v>19</v>
      </c>
      <c r="AI3459">
        <v>2</v>
      </c>
      <c r="AJ3459">
        <v>1</v>
      </c>
      <c r="AK3459">
        <v>98.37</v>
      </c>
      <c r="AN3459" t="s">
        <v>7439</v>
      </c>
      <c r="AO3459">
        <v>20440.68</v>
      </c>
      <c r="AU3459">
        <v>18.7</v>
      </c>
      <c r="AV3459" t="s">
        <v>494</v>
      </c>
      <c r="AW3459" t="s">
        <v>314</v>
      </c>
    </row>
    <row r="3460" spans="1:50">
      <c r="A3460" s="1">
        <f>HYPERLINK("https://lsnyc.legalserver.org/matter/dynamic-profile/view/1876491","18-1876491")</f>
        <v>0</v>
      </c>
      <c r="B3460" t="s">
        <v>194</v>
      </c>
      <c r="C3460" t="s">
        <v>340</v>
      </c>
      <c r="D3460" t="s">
        <v>530</v>
      </c>
      <c r="F3460" t="s">
        <v>2666</v>
      </c>
      <c r="G3460" t="s">
        <v>6322</v>
      </c>
      <c r="H3460" t="s">
        <v>12369</v>
      </c>
      <c r="I3460" t="s">
        <v>17299</v>
      </c>
      <c r="J3460" t="s">
        <v>18893</v>
      </c>
      <c r="K3460">
        <v>10030</v>
      </c>
      <c r="L3460" t="s">
        <v>18958</v>
      </c>
      <c r="M3460" t="s">
        <v>18958</v>
      </c>
      <c r="N3460" t="s">
        <v>21559</v>
      </c>
      <c r="O3460" t="s">
        <v>26523</v>
      </c>
      <c r="P3460" t="s">
        <v>26560</v>
      </c>
      <c r="R3460" t="s">
        <v>26582</v>
      </c>
      <c r="S3460" t="s">
        <v>18959</v>
      </c>
      <c r="U3460" t="s">
        <v>26604</v>
      </c>
      <c r="W3460" t="s">
        <v>855</v>
      </c>
      <c r="X3460">
        <v>805</v>
      </c>
      <c r="Y3460" t="s">
        <v>26651</v>
      </c>
      <c r="Z3460" t="s">
        <v>26659</v>
      </c>
      <c r="AB3460" t="s">
        <v>29645</v>
      </c>
      <c r="AD3460" t="s">
        <v>39731</v>
      </c>
      <c r="AE3460">
        <v>0</v>
      </c>
      <c r="AF3460" t="s">
        <v>45541</v>
      </c>
      <c r="AG3460" t="s">
        <v>45561</v>
      </c>
      <c r="AH3460">
        <v>10</v>
      </c>
      <c r="AI3460">
        <v>1</v>
      </c>
      <c r="AJ3460">
        <v>0</v>
      </c>
      <c r="AK3460">
        <v>76.11</v>
      </c>
      <c r="AN3460" t="s">
        <v>45581</v>
      </c>
      <c r="AO3460">
        <v>9240</v>
      </c>
      <c r="AU3460">
        <v>56.4</v>
      </c>
      <c r="AV3460" t="s">
        <v>728</v>
      </c>
      <c r="AW3460" t="s">
        <v>314</v>
      </c>
    </row>
    <row r="3461" spans="1:50">
      <c r="A3461" s="1">
        <f>HYPERLINK("https://lsnyc.legalserver.org/matter/dynamic-profile/view/1876548","18-1876548")</f>
        <v>0</v>
      </c>
      <c r="B3461" t="s">
        <v>99</v>
      </c>
      <c r="C3461" t="s">
        <v>340</v>
      </c>
      <c r="D3461" t="s">
        <v>531</v>
      </c>
      <c r="F3461" t="s">
        <v>2667</v>
      </c>
      <c r="G3461" t="s">
        <v>6897</v>
      </c>
      <c r="H3461" t="s">
        <v>12370</v>
      </c>
      <c r="I3461" t="s">
        <v>17970</v>
      </c>
      <c r="J3461" t="s">
        <v>18894</v>
      </c>
      <c r="K3461">
        <v>11213</v>
      </c>
      <c r="L3461" t="s">
        <v>18958</v>
      </c>
      <c r="M3461" t="s">
        <v>18958</v>
      </c>
      <c r="N3461" t="s">
        <v>21560</v>
      </c>
      <c r="O3461" t="s">
        <v>26523</v>
      </c>
      <c r="P3461" t="s">
        <v>26560</v>
      </c>
      <c r="R3461" t="s">
        <v>26586</v>
      </c>
      <c r="S3461" t="s">
        <v>18959</v>
      </c>
      <c r="U3461" t="s">
        <v>26604</v>
      </c>
      <c r="V3461" t="s">
        <v>26610</v>
      </c>
      <c r="W3461" t="s">
        <v>855</v>
      </c>
      <c r="X3461">
        <v>1249</v>
      </c>
      <c r="Y3461" t="s">
        <v>26652</v>
      </c>
      <c r="Z3461" t="s">
        <v>26664</v>
      </c>
      <c r="AB3461" t="s">
        <v>29646</v>
      </c>
      <c r="AD3461" t="s">
        <v>39732</v>
      </c>
      <c r="AE3461">
        <v>248</v>
      </c>
      <c r="AF3461" t="s">
        <v>45543</v>
      </c>
      <c r="AG3461" t="s">
        <v>45563</v>
      </c>
      <c r="AH3461">
        <v>4</v>
      </c>
      <c r="AI3461">
        <v>2</v>
      </c>
      <c r="AJ3461">
        <v>1</v>
      </c>
      <c r="AK3461">
        <v>110.13</v>
      </c>
      <c r="AN3461" t="s">
        <v>7439</v>
      </c>
      <c r="AO3461">
        <v>22884</v>
      </c>
      <c r="AU3461">
        <v>48.1</v>
      </c>
      <c r="AV3461" t="s">
        <v>835</v>
      </c>
      <c r="AW3461" t="s">
        <v>281</v>
      </c>
    </row>
    <row r="3462" spans="1:50">
      <c r="A3462" s="1">
        <f>HYPERLINK("https://lsnyc.legalserver.org/matter/dynamic-profile/view/1876852","18-1876852")</f>
        <v>0</v>
      </c>
      <c r="B3462" t="s">
        <v>77</v>
      </c>
      <c r="C3462" t="s">
        <v>341</v>
      </c>
      <c r="D3462" t="s">
        <v>422</v>
      </c>
      <c r="E3462" t="s">
        <v>828</v>
      </c>
      <c r="F3462" t="s">
        <v>1592</v>
      </c>
      <c r="G3462" t="s">
        <v>5121</v>
      </c>
      <c r="H3462" t="s">
        <v>12371</v>
      </c>
      <c r="I3462" t="s">
        <v>17971</v>
      </c>
      <c r="J3462" t="s">
        <v>18893</v>
      </c>
      <c r="K3462">
        <v>10025</v>
      </c>
      <c r="L3462" t="s">
        <v>18958</v>
      </c>
      <c r="M3462" t="s">
        <v>18958</v>
      </c>
      <c r="N3462" t="s">
        <v>21561</v>
      </c>
      <c r="O3462" t="s">
        <v>26523</v>
      </c>
      <c r="P3462" t="s">
        <v>26560</v>
      </c>
      <c r="Q3462" t="s">
        <v>26568</v>
      </c>
      <c r="R3462" t="s">
        <v>26580</v>
      </c>
      <c r="S3462" t="s">
        <v>18959</v>
      </c>
      <c r="U3462" t="s">
        <v>26605</v>
      </c>
      <c r="V3462" t="s">
        <v>26610</v>
      </c>
      <c r="W3462" t="s">
        <v>855</v>
      </c>
      <c r="X3462">
        <v>360</v>
      </c>
      <c r="Y3462" t="s">
        <v>26651</v>
      </c>
      <c r="AA3462" t="s">
        <v>26680</v>
      </c>
      <c r="AB3462" t="s">
        <v>29647</v>
      </c>
      <c r="AC3462" t="s">
        <v>35529</v>
      </c>
      <c r="AD3462" t="s">
        <v>39733</v>
      </c>
      <c r="AE3462">
        <v>899</v>
      </c>
      <c r="AH3462">
        <v>30</v>
      </c>
      <c r="AI3462">
        <v>2</v>
      </c>
      <c r="AJ3462">
        <v>0</v>
      </c>
      <c r="AK3462">
        <v>32.08</v>
      </c>
      <c r="AN3462" t="s">
        <v>45581</v>
      </c>
      <c r="AO3462">
        <v>5280</v>
      </c>
      <c r="AS3462" t="s">
        <v>46499</v>
      </c>
      <c r="AT3462" t="s">
        <v>46646</v>
      </c>
      <c r="AU3462">
        <v>5.5</v>
      </c>
      <c r="AV3462" t="s">
        <v>828</v>
      </c>
      <c r="AW3462" t="s">
        <v>46838</v>
      </c>
    </row>
    <row r="3463" spans="1:50">
      <c r="A3463" s="1">
        <f>HYPERLINK("https://lsnyc.legalserver.org/matter/dynamic-profile/view/1876866","18-1876866")</f>
        <v>0</v>
      </c>
      <c r="B3463" t="s">
        <v>123</v>
      </c>
      <c r="C3463" t="s">
        <v>341</v>
      </c>
      <c r="D3463" t="s">
        <v>422</v>
      </c>
      <c r="E3463" t="s">
        <v>494</v>
      </c>
      <c r="F3463" t="s">
        <v>1790</v>
      </c>
      <c r="G3463" t="s">
        <v>5169</v>
      </c>
      <c r="H3463" t="s">
        <v>12372</v>
      </c>
      <c r="I3463" t="s">
        <v>17300</v>
      </c>
      <c r="J3463" t="s">
        <v>18894</v>
      </c>
      <c r="K3463">
        <v>11216</v>
      </c>
      <c r="L3463" t="s">
        <v>18958</v>
      </c>
      <c r="M3463" t="s">
        <v>18960</v>
      </c>
      <c r="N3463" t="s">
        <v>21562</v>
      </c>
      <c r="O3463" t="s">
        <v>26524</v>
      </c>
      <c r="P3463" t="s">
        <v>26560</v>
      </c>
      <c r="Q3463" t="s">
        <v>26568</v>
      </c>
      <c r="R3463" t="s">
        <v>26588</v>
      </c>
      <c r="S3463" t="s">
        <v>18959</v>
      </c>
      <c r="U3463" t="s">
        <v>26604</v>
      </c>
      <c r="V3463" t="s">
        <v>26610</v>
      </c>
      <c r="W3463" t="s">
        <v>855</v>
      </c>
      <c r="X3463">
        <v>1000</v>
      </c>
      <c r="Y3463" t="s">
        <v>26652</v>
      </c>
      <c r="Z3463" t="s">
        <v>26669</v>
      </c>
      <c r="AA3463" t="s">
        <v>26678</v>
      </c>
      <c r="AB3463" t="s">
        <v>28816</v>
      </c>
      <c r="AD3463" t="s">
        <v>39734</v>
      </c>
      <c r="AE3463">
        <v>4</v>
      </c>
      <c r="AF3463" t="s">
        <v>45545</v>
      </c>
      <c r="AG3463" t="s">
        <v>19330</v>
      </c>
      <c r="AH3463">
        <v>2</v>
      </c>
      <c r="AI3463">
        <v>1</v>
      </c>
      <c r="AJ3463">
        <v>0</v>
      </c>
      <c r="AK3463">
        <v>42.83</v>
      </c>
      <c r="AN3463" t="s">
        <v>7439</v>
      </c>
      <c r="AO3463">
        <v>5200</v>
      </c>
      <c r="AQ3463" t="s">
        <v>46362</v>
      </c>
      <c r="AR3463" t="s">
        <v>46379</v>
      </c>
      <c r="AS3463" t="s">
        <v>46499</v>
      </c>
      <c r="AT3463" t="s">
        <v>46509</v>
      </c>
      <c r="AU3463">
        <v>8</v>
      </c>
      <c r="AV3463" t="s">
        <v>630</v>
      </c>
      <c r="AW3463" t="s">
        <v>46862</v>
      </c>
    </row>
    <row r="3464" spans="1:50">
      <c r="A3464" s="1">
        <f>HYPERLINK("https://lsnyc.legalserver.org/matter/dynamic-profile/view/1876818","18-1876818")</f>
        <v>0</v>
      </c>
      <c r="B3464" t="s">
        <v>123</v>
      </c>
      <c r="C3464" t="s">
        <v>341</v>
      </c>
      <c r="D3464" t="s">
        <v>422</v>
      </c>
      <c r="E3464" t="s">
        <v>858</v>
      </c>
      <c r="F3464" t="s">
        <v>2668</v>
      </c>
      <c r="G3464" t="s">
        <v>6898</v>
      </c>
      <c r="H3464" t="s">
        <v>12373</v>
      </c>
      <c r="I3464" t="s">
        <v>17282</v>
      </c>
      <c r="J3464" t="s">
        <v>18894</v>
      </c>
      <c r="K3464">
        <v>11225</v>
      </c>
      <c r="L3464" t="s">
        <v>18958</v>
      </c>
      <c r="M3464" t="s">
        <v>18960</v>
      </c>
      <c r="N3464" t="s">
        <v>21563</v>
      </c>
      <c r="O3464" t="s">
        <v>26523</v>
      </c>
      <c r="P3464" t="s">
        <v>26560</v>
      </c>
      <c r="Q3464" t="s">
        <v>26568</v>
      </c>
      <c r="R3464" t="s">
        <v>26588</v>
      </c>
      <c r="U3464" t="s">
        <v>26604</v>
      </c>
      <c r="V3464" t="s">
        <v>26610</v>
      </c>
      <c r="W3464" t="s">
        <v>855</v>
      </c>
      <c r="X3464">
        <v>0</v>
      </c>
      <c r="Y3464" t="s">
        <v>26652</v>
      </c>
      <c r="Z3464" t="s">
        <v>26669</v>
      </c>
      <c r="AA3464" t="s">
        <v>26678</v>
      </c>
      <c r="AB3464" t="s">
        <v>29648</v>
      </c>
      <c r="AC3464" t="s">
        <v>35530</v>
      </c>
      <c r="AD3464" t="s">
        <v>39735</v>
      </c>
      <c r="AE3464">
        <v>32</v>
      </c>
      <c r="AH3464">
        <v>5</v>
      </c>
      <c r="AI3464">
        <v>1</v>
      </c>
      <c r="AJ3464">
        <v>1</v>
      </c>
      <c r="AK3464">
        <v>68.51000000000001</v>
      </c>
      <c r="AN3464" t="s">
        <v>7439</v>
      </c>
      <c r="AO3464">
        <v>11276</v>
      </c>
      <c r="AQ3464" t="s">
        <v>46359</v>
      </c>
      <c r="AR3464" t="s">
        <v>46379</v>
      </c>
      <c r="AS3464" t="s">
        <v>46499</v>
      </c>
      <c r="AT3464" t="s">
        <v>46504</v>
      </c>
      <c r="AU3464">
        <v>13.1</v>
      </c>
      <c r="AV3464" t="s">
        <v>662</v>
      </c>
      <c r="AW3464" t="s">
        <v>46862</v>
      </c>
      <c r="AX3464" t="s">
        <v>46897</v>
      </c>
    </row>
    <row r="3465" spans="1:50">
      <c r="A3465" s="1">
        <f>HYPERLINK("https://lsnyc.legalserver.org/matter/dynamic-profile/view/1876771","18-1876771")</f>
        <v>0</v>
      </c>
      <c r="B3465" t="s">
        <v>123</v>
      </c>
      <c r="C3465" t="s">
        <v>341</v>
      </c>
      <c r="D3465" t="s">
        <v>422</v>
      </c>
      <c r="E3465" t="s">
        <v>813</v>
      </c>
      <c r="F3465" t="s">
        <v>2669</v>
      </c>
      <c r="G3465" t="s">
        <v>6899</v>
      </c>
      <c r="H3465" t="s">
        <v>12374</v>
      </c>
      <c r="I3465" t="s">
        <v>17355</v>
      </c>
      <c r="J3465" t="s">
        <v>18894</v>
      </c>
      <c r="K3465">
        <v>11225</v>
      </c>
      <c r="L3465" t="s">
        <v>18958</v>
      </c>
      <c r="M3465" t="s">
        <v>18960</v>
      </c>
      <c r="N3465" t="s">
        <v>21564</v>
      </c>
      <c r="O3465" t="s">
        <v>26523</v>
      </c>
      <c r="P3465" t="s">
        <v>26560</v>
      </c>
      <c r="Q3465" t="s">
        <v>26568</v>
      </c>
      <c r="R3465" t="s">
        <v>26588</v>
      </c>
      <c r="S3465" t="s">
        <v>18959</v>
      </c>
      <c r="U3465" t="s">
        <v>26604</v>
      </c>
      <c r="V3465" t="s">
        <v>26610</v>
      </c>
      <c r="W3465" t="s">
        <v>855</v>
      </c>
      <c r="X3465">
        <v>1052</v>
      </c>
      <c r="Y3465" t="s">
        <v>26652</v>
      </c>
      <c r="Z3465" t="s">
        <v>26669</v>
      </c>
      <c r="AA3465" t="s">
        <v>26678</v>
      </c>
      <c r="AB3465" t="s">
        <v>29649</v>
      </c>
      <c r="AC3465" t="s">
        <v>35531</v>
      </c>
      <c r="AD3465" t="s">
        <v>39736</v>
      </c>
      <c r="AE3465">
        <v>0</v>
      </c>
      <c r="AF3465" t="s">
        <v>45541</v>
      </c>
      <c r="AG3465" t="s">
        <v>19330</v>
      </c>
      <c r="AH3465">
        <v>38</v>
      </c>
      <c r="AI3465">
        <v>2</v>
      </c>
      <c r="AJ3465">
        <v>0</v>
      </c>
      <c r="AK3465">
        <v>126.37</v>
      </c>
      <c r="AN3465" t="s">
        <v>7439</v>
      </c>
      <c r="AO3465">
        <v>20800</v>
      </c>
      <c r="AQ3465" t="s">
        <v>46365</v>
      </c>
      <c r="AR3465" t="s">
        <v>46379</v>
      </c>
      <c r="AS3465" t="s">
        <v>46499</v>
      </c>
      <c r="AT3465" t="s">
        <v>46648</v>
      </c>
      <c r="AU3465">
        <v>22.11</v>
      </c>
      <c r="AV3465" t="s">
        <v>747</v>
      </c>
      <c r="AW3465" t="s">
        <v>46862</v>
      </c>
    </row>
    <row r="3466" spans="1:50">
      <c r="A3466" s="1">
        <f>HYPERLINK("https://lsnyc.legalserver.org/matter/dynamic-profile/view/1877028","18-1877028")</f>
        <v>0</v>
      </c>
      <c r="B3466" t="s">
        <v>203</v>
      </c>
      <c r="C3466" t="s">
        <v>341</v>
      </c>
      <c r="D3466" t="s">
        <v>579</v>
      </c>
      <c r="E3466" t="s">
        <v>835</v>
      </c>
      <c r="F3466" t="s">
        <v>2670</v>
      </c>
      <c r="G3466" t="s">
        <v>6860</v>
      </c>
      <c r="H3466" t="s">
        <v>12375</v>
      </c>
      <c r="J3466" t="s">
        <v>18894</v>
      </c>
      <c r="K3466">
        <v>11221</v>
      </c>
      <c r="L3466" t="s">
        <v>18958</v>
      </c>
      <c r="M3466" t="s">
        <v>18960</v>
      </c>
      <c r="N3466" t="s">
        <v>21565</v>
      </c>
      <c r="O3466" t="s">
        <v>26524</v>
      </c>
      <c r="P3466" t="s">
        <v>26560</v>
      </c>
      <c r="Q3466" t="s">
        <v>26568</v>
      </c>
      <c r="R3466" t="s">
        <v>26588</v>
      </c>
      <c r="U3466" t="s">
        <v>26604</v>
      </c>
      <c r="V3466" t="s">
        <v>26610</v>
      </c>
      <c r="W3466" t="s">
        <v>855</v>
      </c>
      <c r="X3466">
        <v>1200</v>
      </c>
      <c r="Y3466" t="s">
        <v>26652</v>
      </c>
      <c r="Z3466" t="s">
        <v>26669</v>
      </c>
      <c r="AA3466" t="s">
        <v>26679</v>
      </c>
      <c r="AB3466" t="s">
        <v>29650</v>
      </c>
      <c r="AD3466" t="s">
        <v>39737</v>
      </c>
      <c r="AE3466">
        <v>3</v>
      </c>
      <c r="AF3466" t="s">
        <v>45547</v>
      </c>
      <c r="AG3466" t="s">
        <v>19330</v>
      </c>
      <c r="AH3466">
        <v>2</v>
      </c>
      <c r="AI3466">
        <v>1</v>
      </c>
      <c r="AJ3466">
        <v>1</v>
      </c>
      <c r="AK3466">
        <v>68.58</v>
      </c>
      <c r="AN3466" t="s">
        <v>7439</v>
      </c>
      <c r="AO3466">
        <v>11288</v>
      </c>
      <c r="AQ3466" t="s">
        <v>46362</v>
      </c>
      <c r="AR3466" t="s">
        <v>26530</v>
      </c>
      <c r="AU3466">
        <v>20.8</v>
      </c>
      <c r="AV3466" t="s">
        <v>756</v>
      </c>
      <c r="AW3466" t="s">
        <v>281</v>
      </c>
    </row>
    <row r="3467" spans="1:50">
      <c r="A3467" s="1">
        <f>HYPERLINK("https://lsnyc.legalserver.org/matter/dynamic-profile/view/1877041","18-1877041")</f>
        <v>0</v>
      </c>
      <c r="B3467" t="s">
        <v>203</v>
      </c>
      <c r="C3467" t="s">
        <v>341</v>
      </c>
      <c r="D3467" t="s">
        <v>579</v>
      </c>
      <c r="E3467" t="s">
        <v>494</v>
      </c>
      <c r="F3467" t="s">
        <v>1136</v>
      </c>
      <c r="G3467" t="s">
        <v>1263</v>
      </c>
      <c r="H3467" t="s">
        <v>12376</v>
      </c>
      <c r="I3467" t="s">
        <v>17436</v>
      </c>
      <c r="J3467" t="s">
        <v>18894</v>
      </c>
      <c r="K3467">
        <v>11225</v>
      </c>
      <c r="L3467" t="s">
        <v>18958</v>
      </c>
      <c r="M3467" t="s">
        <v>18958</v>
      </c>
      <c r="N3467" t="s">
        <v>21566</v>
      </c>
      <c r="O3467" t="s">
        <v>26523</v>
      </c>
      <c r="P3467" t="s">
        <v>26560</v>
      </c>
      <c r="Q3467" t="s">
        <v>26568</v>
      </c>
      <c r="R3467" t="s">
        <v>26588</v>
      </c>
      <c r="U3467" t="s">
        <v>26604</v>
      </c>
      <c r="V3467" t="s">
        <v>26610</v>
      </c>
      <c r="W3467" t="s">
        <v>855</v>
      </c>
      <c r="X3467">
        <v>1600</v>
      </c>
      <c r="Y3467" t="s">
        <v>26652</v>
      </c>
      <c r="Z3467" t="s">
        <v>26669</v>
      </c>
      <c r="AA3467" t="s">
        <v>26680</v>
      </c>
      <c r="AB3467" t="s">
        <v>29651</v>
      </c>
      <c r="AC3467" t="s">
        <v>35532</v>
      </c>
      <c r="AD3467" t="s">
        <v>39738</v>
      </c>
      <c r="AE3467">
        <v>0</v>
      </c>
      <c r="AF3467" t="s">
        <v>45544</v>
      </c>
      <c r="AH3467">
        <v>25</v>
      </c>
      <c r="AI3467">
        <v>1</v>
      </c>
      <c r="AJ3467">
        <v>0</v>
      </c>
      <c r="AK3467">
        <v>158.15</v>
      </c>
      <c r="AN3467" t="s">
        <v>7439</v>
      </c>
      <c r="AO3467">
        <v>19200</v>
      </c>
      <c r="AR3467" t="s">
        <v>46381</v>
      </c>
      <c r="AS3467" t="s">
        <v>46499</v>
      </c>
      <c r="AT3467" t="s">
        <v>46671</v>
      </c>
      <c r="AU3467">
        <v>1.6</v>
      </c>
      <c r="AV3467" t="s">
        <v>588</v>
      </c>
      <c r="AW3467" t="s">
        <v>281</v>
      </c>
    </row>
    <row r="3468" spans="1:50">
      <c r="A3468" s="1">
        <f>HYPERLINK("https://lsnyc.legalserver.org/matter/dynamic-profile/view/1877599","18-1877599")</f>
        <v>0</v>
      </c>
      <c r="B3468" t="s">
        <v>151</v>
      </c>
      <c r="C3468" t="s">
        <v>341</v>
      </c>
      <c r="D3468" t="s">
        <v>545</v>
      </c>
      <c r="E3468" t="s">
        <v>494</v>
      </c>
      <c r="F3468" t="s">
        <v>2671</v>
      </c>
      <c r="G3468" t="s">
        <v>6282</v>
      </c>
      <c r="H3468" t="s">
        <v>12377</v>
      </c>
      <c r="J3468" t="s">
        <v>18893</v>
      </c>
      <c r="K3468">
        <v>10013</v>
      </c>
      <c r="L3468" t="s">
        <v>18958</v>
      </c>
      <c r="M3468" t="s">
        <v>18958</v>
      </c>
      <c r="N3468" t="s">
        <v>21567</v>
      </c>
      <c r="O3468" t="s">
        <v>26524</v>
      </c>
      <c r="P3468" t="s">
        <v>26564</v>
      </c>
      <c r="Q3468" t="s">
        <v>26570</v>
      </c>
      <c r="R3468" t="s">
        <v>26582</v>
      </c>
      <c r="S3468" t="s">
        <v>18959</v>
      </c>
      <c r="U3468" t="s">
        <v>26604</v>
      </c>
      <c r="W3468" t="s">
        <v>855</v>
      </c>
      <c r="X3468">
        <v>358</v>
      </c>
      <c r="Y3468" t="s">
        <v>26651</v>
      </c>
      <c r="Z3468" t="s">
        <v>26664</v>
      </c>
      <c r="AA3468" t="s">
        <v>26683</v>
      </c>
      <c r="AB3468" t="s">
        <v>29652</v>
      </c>
      <c r="AD3468" t="s">
        <v>39739</v>
      </c>
      <c r="AE3468">
        <v>0</v>
      </c>
      <c r="AH3468">
        <v>10</v>
      </c>
      <c r="AI3468">
        <v>1</v>
      </c>
      <c r="AJ3468">
        <v>0</v>
      </c>
      <c r="AK3468">
        <v>0</v>
      </c>
      <c r="AN3468" t="s">
        <v>7439</v>
      </c>
      <c r="AO3468">
        <v>0</v>
      </c>
      <c r="AU3468">
        <v>3.6</v>
      </c>
      <c r="AV3468" t="s">
        <v>639</v>
      </c>
      <c r="AW3468" t="s">
        <v>264</v>
      </c>
    </row>
    <row r="3469" spans="1:50">
      <c r="A3469" s="1">
        <f>HYPERLINK("https://lsnyc.legalserver.org/matter/dynamic-profile/view/1877445","18-1877445")</f>
        <v>0</v>
      </c>
      <c r="B3469" t="s">
        <v>158</v>
      </c>
      <c r="C3469" t="s">
        <v>340</v>
      </c>
      <c r="D3469" t="s">
        <v>545</v>
      </c>
      <c r="F3469" t="s">
        <v>2672</v>
      </c>
      <c r="G3469" t="s">
        <v>5956</v>
      </c>
      <c r="H3469" t="s">
        <v>12378</v>
      </c>
      <c r="I3469" t="s">
        <v>17273</v>
      </c>
      <c r="J3469" t="s">
        <v>18894</v>
      </c>
      <c r="K3469">
        <v>11212</v>
      </c>
      <c r="L3469" t="s">
        <v>18958</v>
      </c>
      <c r="M3469" t="s">
        <v>18958</v>
      </c>
      <c r="N3469" t="s">
        <v>21568</v>
      </c>
      <c r="O3469" t="s">
        <v>26523</v>
      </c>
      <c r="P3469" t="s">
        <v>26560</v>
      </c>
      <c r="R3469" t="s">
        <v>26586</v>
      </c>
      <c r="S3469" t="s">
        <v>18959</v>
      </c>
      <c r="U3469" t="s">
        <v>26605</v>
      </c>
      <c r="V3469" t="s">
        <v>26610</v>
      </c>
      <c r="W3469" t="s">
        <v>855</v>
      </c>
      <c r="X3469">
        <v>901</v>
      </c>
      <c r="Y3469" t="s">
        <v>26652</v>
      </c>
      <c r="Z3469" t="s">
        <v>26664</v>
      </c>
      <c r="AB3469" t="s">
        <v>29653</v>
      </c>
      <c r="AC3469" t="s">
        <v>35533</v>
      </c>
      <c r="AD3469" t="s">
        <v>39740</v>
      </c>
      <c r="AE3469">
        <v>54</v>
      </c>
      <c r="AF3469" t="s">
        <v>45549</v>
      </c>
      <c r="AG3469" t="s">
        <v>19330</v>
      </c>
      <c r="AH3469">
        <v>7</v>
      </c>
      <c r="AI3469">
        <v>1</v>
      </c>
      <c r="AJ3469">
        <v>3</v>
      </c>
      <c r="AK3469">
        <v>131.47</v>
      </c>
      <c r="AN3469" t="s">
        <v>45581</v>
      </c>
      <c r="AO3469">
        <v>33000</v>
      </c>
      <c r="AQ3469" t="s">
        <v>46359</v>
      </c>
      <c r="AR3469" t="s">
        <v>46395</v>
      </c>
      <c r="AU3469">
        <v>19.7</v>
      </c>
      <c r="AV3469" t="s">
        <v>784</v>
      </c>
      <c r="AW3469" t="s">
        <v>281</v>
      </c>
    </row>
    <row r="3470" spans="1:50">
      <c r="A3470" s="1">
        <f>HYPERLINK("https://lsnyc.legalserver.org/matter/dynamic-profile/view/1877792","18-1877792")</f>
        <v>0</v>
      </c>
      <c r="B3470" t="s">
        <v>180</v>
      </c>
      <c r="C3470" t="s">
        <v>341</v>
      </c>
      <c r="D3470" t="s">
        <v>571</v>
      </c>
      <c r="E3470" t="s">
        <v>832</v>
      </c>
      <c r="F3470" t="s">
        <v>2673</v>
      </c>
      <c r="G3470" t="s">
        <v>6346</v>
      </c>
      <c r="H3470" t="s">
        <v>12379</v>
      </c>
      <c r="I3470" t="s">
        <v>17334</v>
      </c>
      <c r="J3470" t="s">
        <v>18894</v>
      </c>
      <c r="K3470">
        <v>11221</v>
      </c>
      <c r="L3470" t="s">
        <v>18958</v>
      </c>
      <c r="M3470" t="s">
        <v>18960</v>
      </c>
      <c r="N3470" t="s">
        <v>21569</v>
      </c>
      <c r="O3470" t="s">
        <v>26523</v>
      </c>
      <c r="P3470" t="s">
        <v>26560</v>
      </c>
      <c r="Q3470" t="s">
        <v>26568</v>
      </c>
      <c r="R3470" t="s">
        <v>26588</v>
      </c>
      <c r="S3470" t="s">
        <v>18959</v>
      </c>
      <c r="U3470" t="s">
        <v>26604</v>
      </c>
      <c r="V3470" t="s">
        <v>26610</v>
      </c>
      <c r="W3470" t="s">
        <v>855</v>
      </c>
      <c r="X3470">
        <v>150</v>
      </c>
      <c r="Y3470" t="s">
        <v>26652</v>
      </c>
      <c r="Z3470" t="s">
        <v>26669</v>
      </c>
      <c r="AA3470" t="s">
        <v>26678</v>
      </c>
      <c r="AB3470" t="s">
        <v>29654</v>
      </c>
      <c r="AD3470" t="s">
        <v>39741</v>
      </c>
      <c r="AE3470">
        <v>8</v>
      </c>
      <c r="AG3470" t="s">
        <v>45556</v>
      </c>
      <c r="AH3470">
        <v>16</v>
      </c>
      <c r="AI3470">
        <v>2</v>
      </c>
      <c r="AJ3470">
        <v>1</v>
      </c>
      <c r="AK3470">
        <v>9.24</v>
      </c>
      <c r="AN3470" t="s">
        <v>7439</v>
      </c>
      <c r="AO3470">
        <v>1920</v>
      </c>
      <c r="AS3470" t="s">
        <v>46499</v>
      </c>
      <c r="AU3470">
        <v>16.2</v>
      </c>
      <c r="AV3470" t="s">
        <v>832</v>
      </c>
      <c r="AW3470" t="s">
        <v>46862</v>
      </c>
    </row>
    <row r="3471" spans="1:50">
      <c r="A3471" s="1">
        <f>HYPERLINK("https://lsnyc.legalserver.org/matter/dynamic-profile/view/1877773","18-1877773")</f>
        <v>0</v>
      </c>
      <c r="B3471" t="s">
        <v>180</v>
      </c>
      <c r="C3471" t="s">
        <v>341</v>
      </c>
      <c r="D3471" t="s">
        <v>571</v>
      </c>
      <c r="E3471" t="s">
        <v>494</v>
      </c>
      <c r="F3471" t="s">
        <v>2674</v>
      </c>
      <c r="G3471" t="s">
        <v>6900</v>
      </c>
      <c r="H3471" t="s">
        <v>12380</v>
      </c>
      <c r="I3471" t="s">
        <v>17284</v>
      </c>
      <c r="J3471" t="s">
        <v>18894</v>
      </c>
      <c r="K3471">
        <v>11216</v>
      </c>
      <c r="L3471" t="s">
        <v>18958</v>
      </c>
      <c r="M3471" t="s">
        <v>18960</v>
      </c>
      <c r="N3471" t="s">
        <v>21570</v>
      </c>
      <c r="O3471" t="s">
        <v>26523</v>
      </c>
      <c r="P3471" t="s">
        <v>26560</v>
      </c>
      <c r="Q3471" t="s">
        <v>26568</v>
      </c>
      <c r="R3471" t="s">
        <v>26588</v>
      </c>
      <c r="U3471" t="s">
        <v>26604</v>
      </c>
      <c r="V3471" t="s">
        <v>26610</v>
      </c>
      <c r="W3471" t="s">
        <v>855</v>
      </c>
      <c r="X3471">
        <v>0</v>
      </c>
      <c r="Y3471" t="s">
        <v>26652</v>
      </c>
      <c r="Z3471" t="s">
        <v>26669</v>
      </c>
      <c r="AA3471" t="s">
        <v>26678</v>
      </c>
      <c r="AB3471" t="s">
        <v>29655</v>
      </c>
      <c r="AC3471" t="s">
        <v>35534</v>
      </c>
      <c r="AE3471">
        <v>36</v>
      </c>
      <c r="AG3471" t="s">
        <v>45563</v>
      </c>
      <c r="AH3471">
        <v>29</v>
      </c>
      <c r="AI3471">
        <v>1</v>
      </c>
      <c r="AJ3471">
        <v>0</v>
      </c>
      <c r="AK3471">
        <v>83.13</v>
      </c>
      <c r="AN3471" t="s">
        <v>7439</v>
      </c>
      <c r="AO3471">
        <v>10092</v>
      </c>
      <c r="AR3471" t="s">
        <v>46381</v>
      </c>
      <c r="AS3471" t="s">
        <v>46499</v>
      </c>
      <c r="AU3471">
        <v>1.8</v>
      </c>
      <c r="AV3471" t="s">
        <v>577</v>
      </c>
      <c r="AW3471" t="s">
        <v>46862</v>
      </c>
    </row>
    <row r="3472" spans="1:50">
      <c r="A3472" s="1">
        <f>HYPERLINK("https://lsnyc.legalserver.org/matter/dynamic-profile/view/1877581","18-1877581")</f>
        <v>0</v>
      </c>
      <c r="B3472" t="s">
        <v>123</v>
      </c>
      <c r="C3472" t="s">
        <v>340</v>
      </c>
      <c r="D3472" t="s">
        <v>571</v>
      </c>
      <c r="F3472" t="s">
        <v>995</v>
      </c>
      <c r="G3472" t="s">
        <v>5330</v>
      </c>
      <c r="H3472" t="s">
        <v>12381</v>
      </c>
      <c r="I3472">
        <v>8</v>
      </c>
      <c r="J3472" t="s">
        <v>18894</v>
      </c>
      <c r="K3472">
        <v>11211</v>
      </c>
      <c r="L3472" t="s">
        <v>18958</v>
      </c>
      <c r="M3472" t="s">
        <v>18958</v>
      </c>
      <c r="N3472" t="s">
        <v>21571</v>
      </c>
      <c r="O3472" t="s">
        <v>26524</v>
      </c>
      <c r="P3472" t="s">
        <v>26560</v>
      </c>
      <c r="R3472" t="s">
        <v>26586</v>
      </c>
      <c r="S3472" t="s">
        <v>18959</v>
      </c>
      <c r="U3472" t="s">
        <v>26604</v>
      </c>
      <c r="V3472" t="s">
        <v>26613</v>
      </c>
      <c r="W3472" t="s">
        <v>855</v>
      </c>
      <c r="X3472">
        <v>798</v>
      </c>
      <c r="Y3472" t="s">
        <v>26652</v>
      </c>
      <c r="Z3472" t="s">
        <v>26663</v>
      </c>
      <c r="AB3472" t="s">
        <v>29656</v>
      </c>
      <c r="AD3472" t="s">
        <v>39742</v>
      </c>
      <c r="AE3472">
        <v>30</v>
      </c>
      <c r="AF3472" t="s">
        <v>20460</v>
      </c>
      <c r="AH3472">
        <v>28</v>
      </c>
      <c r="AI3472">
        <v>1</v>
      </c>
      <c r="AJ3472">
        <v>2</v>
      </c>
      <c r="AK3472">
        <v>229.07</v>
      </c>
      <c r="AL3472" t="s">
        <v>605</v>
      </c>
      <c r="AM3472" t="s">
        <v>45575</v>
      </c>
      <c r="AN3472" t="s">
        <v>7439</v>
      </c>
      <c r="AO3472">
        <v>47600</v>
      </c>
      <c r="AQ3472" t="s">
        <v>46369</v>
      </c>
      <c r="AU3472">
        <v>26.55</v>
      </c>
      <c r="AV3472" t="s">
        <v>772</v>
      </c>
      <c r="AW3472" t="s">
        <v>123</v>
      </c>
    </row>
    <row r="3473" spans="1:49">
      <c r="A3473" s="1">
        <f>HYPERLINK("https://lsnyc.legalserver.org/matter/dynamic-profile/view/1877916","18-1877916")</f>
        <v>0</v>
      </c>
      <c r="B3473" t="s">
        <v>180</v>
      </c>
      <c r="C3473" t="s">
        <v>341</v>
      </c>
      <c r="D3473" t="s">
        <v>588</v>
      </c>
      <c r="E3473" t="s">
        <v>810</v>
      </c>
      <c r="F3473" t="s">
        <v>1191</v>
      </c>
      <c r="G3473" t="s">
        <v>6901</v>
      </c>
      <c r="H3473" t="s">
        <v>10258</v>
      </c>
      <c r="I3473" t="s">
        <v>17661</v>
      </c>
      <c r="J3473" t="s">
        <v>18894</v>
      </c>
      <c r="K3473">
        <v>11221</v>
      </c>
      <c r="L3473" t="s">
        <v>18958</v>
      </c>
      <c r="M3473" t="s">
        <v>18960</v>
      </c>
      <c r="N3473" t="s">
        <v>21572</v>
      </c>
      <c r="O3473" t="s">
        <v>26523</v>
      </c>
      <c r="P3473" t="s">
        <v>26560</v>
      </c>
      <c r="Q3473" t="s">
        <v>26568</v>
      </c>
      <c r="R3473" t="s">
        <v>26588</v>
      </c>
      <c r="U3473" t="s">
        <v>26604</v>
      </c>
      <c r="W3473" t="s">
        <v>855</v>
      </c>
      <c r="X3473">
        <v>519</v>
      </c>
      <c r="Y3473" t="s">
        <v>26652</v>
      </c>
      <c r="Z3473" t="s">
        <v>26669</v>
      </c>
      <c r="AA3473" t="s">
        <v>26678</v>
      </c>
      <c r="AB3473" t="s">
        <v>29657</v>
      </c>
      <c r="AD3473" t="s">
        <v>39743</v>
      </c>
      <c r="AE3473">
        <v>59</v>
      </c>
      <c r="AH3473">
        <v>12</v>
      </c>
      <c r="AI3473">
        <v>1</v>
      </c>
      <c r="AJ3473">
        <v>0</v>
      </c>
      <c r="AK3473">
        <v>82.04000000000001</v>
      </c>
      <c r="AN3473" t="s">
        <v>7439</v>
      </c>
      <c r="AO3473">
        <v>9960</v>
      </c>
      <c r="AS3473" t="s">
        <v>46499</v>
      </c>
      <c r="AT3473" t="s">
        <v>46668</v>
      </c>
      <c r="AU3473">
        <v>25.8</v>
      </c>
      <c r="AV3473" t="s">
        <v>810</v>
      </c>
      <c r="AW3473" t="s">
        <v>46862</v>
      </c>
    </row>
    <row r="3474" spans="1:49">
      <c r="A3474" s="1">
        <f>HYPERLINK("https://lsnyc.legalserver.org/matter/dynamic-profile/view/1877836","18-1877836")</f>
        <v>0</v>
      </c>
      <c r="B3474" t="s">
        <v>158</v>
      </c>
      <c r="C3474" t="s">
        <v>340</v>
      </c>
      <c r="D3474" t="s">
        <v>588</v>
      </c>
      <c r="F3474" t="s">
        <v>2675</v>
      </c>
      <c r="G3474" t="s">
        <v>6902</v>
      </c>
      <c r="H3474" t="s">
        <v>12382</v>
      </c>
      <c r="I3474" t="s">
        <v>17293</v>
      </c>
      <c r="J3474" t="s">
        <v>18894</v>
      </c>
      <c r="K3474">
        <v>11207</v>
      </c>
      <c r="L3474" t="s">
        <v>18958</v>
      </c>
      <c r="M3474" t="s">
        <v>18958</v>
      </c>
      <c r="N3474" t="s">
        <v>21573</v>
      </c>
      <c r="O3474" t="s">
        <v>26523</v>
      </c>
      <c r="P3474" t="s">
        <v>26560</v>
      </c>
      <c r="R3474" t="s">
        <v>26586</v>
      </c>
      <c r="U3474" t="s">
        <v>26605</v>
      </c>
      <c r="V3474" t="s">
        <v>26610</v>
      </c>
      <c r="W3474" t="s">
        <v>855</v>
      </c>
      <c r="X3474">
        <v>886</v>
      </c>
      <c r="Y3474" t="s">
        <v>26652</v>
      </c>
      <c r="Z3474" t="s">
        <v>26664</v>
      </c>
      <c r="AB3474" t="s">
        <v>29658</v>
      </c>
      <c r="AD3474" t="s">
        <v>39744</v>
      </c>
      <c r="AE3474">
        <v>39</v>
      </c>
      <c r="AF3474" t="s">
        <v>45549</v>
      </c>
      <c r="AH3474">
        <v>20</v>
      </c>
      <c r="AI3474">
        <v>3</v>
      </c>
      <c r="AJ3474">
        <v>2</v>
      </c>
      <c r="AK3474">
        <v>164.69</v>
      </c>
      <c r="AN3474" t="s">
        <v>7439</v>
      </c>
      <c r="AO3474">
        <v>48452</v>
      </c>
      <c r="AQ3474" t="s">
        <v>46359</v>
      </c>
      <c r="AR3474" t="s">
        <v>46395</v>
      </c>
      <c r="AU3474">
        <v>15.7</v>
      </c>
      <c r="AV3474" t="s">
        <v>789</v>
      </c>
      <c r="AW3474" t="s">
        <v>281</v>
      </c>
    </row>
    <row r="3475" spans="1:49">
      <c r="A3475" s="1">
        <f>HYPERLINK("https://lsnyc.legalserver.org/matter/dynamic-profile/view/1878054","18-1878054")</f>
        <v>0</v>
      </c>
      <c r="B3475" t="s">
        <v>180</v>
      </c>
      <c r="C3475" t="s">
        <v>341</v>
      </c>
      <c r="D3475" t="s">
        <v>534</v>
      </c>
      <c r="E3475" t="s">
        <v>810</v>
      </c>
      <c r="F3475" t="s">
        <v>2673</v>
      </c>
      <c r="G3475" t="s">
        <v>6346</v>
      </c>
      <c r="H3475" t="s">
        <v>12379</v>
      </c>
      <c r="I3475" t="s">
        <v>17334</v>
      </c>
      <c r="J3475" t="s">
        <v>18894</v>
      </c>
      <c r="K3475">
        <v>11221</v>
      </c>
      <c r="L3475" t="s">
        <v>18958</v>
      </c>
      <c r="M3475" t="s">
        <v>18958</v>
      </c>
      <c r="N3475" t="s">
        <v>21569</v>
      </c>
      <c r="O3475" t="s">
        <v>26537</v>
      </c>
      <c r="P3475" t="s">
        <v>26562</v>
      </c>
      <c r="Q3475" t="s">
        <v>26571</v>
      </c>
      <c r="R3475" t="s">
        <v>26586</v>
      </c>
      <c r="S3475" t="s">
        <v>18959</v>
      </c>
      <c r="U3475" t="s">
        <v>26606</v>
      </c>
      <c r="V3475" t="s">
        <v>26610</v>
      </c>
      <c r="W3475" t="s">
        <v>855</v>
      </c>
      <c r="X3475">
        <v>150</v>
      </c>
      <c r="Y3475" t="s">
        <v>26652</v>
      </c>
      <c r="Z3475" t="s">
        <v>26659</v>
      </c>
      <c r="AA3475" t="s">
        <v>26682</v>
      </c>
      <c r="AB3475" t="s">
        <v>29654</v>
      </c>
      <c r="AD3475" t="s">
        <v>39741</v>
      </c>
      <c r="AE3475">
        <v>8</v>
      </c>
      <c r="AF3475" t="s">
        <v>20460</v>
      </c>
      <c r="AG3475" t="s">
        <v>45556</v>
      </c>
      <c r="AH3475">
        <v>16</v>
      </c>
      <c r="AI3475">
        <v>2</v>
      </c>
      <c r="AJ3475">
        <v>1</v>
      </c>
      <c r="AK3475">
        <v>9.24</v>
      </c>
      <c r="AN3475" t="s">
        <v>7439</v>
      </c>
      <c r="AO3475">
        <v>1920</v>
      </c>
      <c r="AU3475">
        <v>3.3</v>
      </c>
      <c r="AV3475" t="s">
        <v>810</v>
      </c>
      <c r="AW3475" t="s">
        <v>46862</v>
      </c>
    </row>
    <row r="3476" spans="1:49">
      <c r="A3476" s="1">
        <f>HYPERLINK("https://lsnyc.legalserver.org/matter/dynamic-profile/view/1878350","18-1878350")</f>
        <v>0</v>
      </c>
      <c r="B3476" t="s">
        <v>136</v>
      </c>
      <c r="C3476" t="s">
        <v>340</v>
      </c>
      <c r="D3476" t="s">
        <v>534</v>
      </c>
      <c r="F3476" t="s">
        <v>2676</v>
      </c>
      <c r="G3476" t="s">
        <v>994</v>
      </c>
      <c r="H3476" t="s">
        <v>12383</v>
      </c>
      <c r="I3476" t="s">
        <v>17972</v>
      </c>
      <c r="J3476" t="s">
        <v>18892</v>
      </c>
      <c r="K3476">
        <v>10454</v>
      </c>
      <c r="L3476" t="s">
        <v>18958</v>
      </c>
      <c r="M3476" t="s">
        <v>18958</v>
      </c>
      <c r="N3476" t="s">
        <v>21574</v>
      </c>
      <c r="O3476" t="s">
        <v>26524</v>
      </c>
      <c r="P3476" t="s">
        <v>26564</v>
      </c>
      <c r="R3476" t="s">
        <v>26577</v>
      </c>
      <c r="U3476" t="s">
        <v>26604</v>
      </c>
      <c r="W3476" t="s">
        <v>855</v>
      </c>
      <c r="X3476">
        <v>367</v>
      </c>
      <c r="Y3476" t="s">
        <v>26650</v>
      </c>
      <c r="Z3476" t="s">
        <v>26664</v>
      </c>
      <c r="AB3476" t="s">
        <v>28687</v>
      </c>
      <c r="AC3476" t="s">
        <v>35535</v>
      </c>
      <c r="AD3476" t="s">
        <v>39745</v>
      </c>
      <c r="AE3476">
        <v>0</v>
      </c>
      <c r="AF3476" t="s">
        <v>45549</v>
      </c>
      <c r="AH3476">
        <v>8</v>
      </c>
      <c r="AI3476">
        <v>1</v>
      </c>
      <c r="AJ3476">
        <v>0</v>
      </c>
      <c r="AK3476">
        <v>17.79</v>
      </c>
      <c r="AO3476">
        <v>2160</v>
      </c>
      <c r="AP3476" t="s">
        <v>45654</v>
      </c>
      <c r="AU3476">
        <v>1.5</v>
      </c>
      <c r="AV3476" t="s">
        <v>457</v>
      </c>
      <c r="AW3476" t="s">
        <v>334</v>
      </c>
    </row>
    <row r="3477" spans="1:49">
      <c r="A3477" s="1">
        <f>HYPERLINK("https://lsnyc.legalserver.org/matter/dynamic-profile/view/1878392","18-1878392")</f>
        <v>0</v>
      </c>
      <c r="B3477" t="s">
        <v>170</v>
      </c>
      <c r="C3477" t="s">
        <v>341</v>
      </c>
      <c r="D3477" t="s">
        <v>582</v>
      </c>
      <c r="E3477" t="s">
        <v>664</v>
      </c>
      <c r="F3477" t="s">
        <v>1342</v>
      </c>
      <c r="G3477" t="s">
        <v>5121</v>
      </c>
      <c r="H3477" t="s">
        <v>12384</v>
      </c>
      <c r="I3477" t="s">
        <v>17973</v>
      </c>
      <c r="J3477" t="s">
        <v>18894</v>
      </c>
      <c r="K3477">
        <v>11225</v>
      </c>
      <c r="L3477" t="s">
        <v>18958</v>
      </c>
      <c r="M3477" t="s">
        <v>18960</v>
      </c>
      <c r="N3477" t="s">
        <v>21575</v>
      </c>
      <c r="O3477" t="s">
        <v>26523</v>
      </c>
      <c r="P3477" t="s">
        <v>26560</v>
      </c>
      <c r="Q3477" t="s">
        <v>26568</v>
      </c>
      <c r="R3477" t="s">
        <v>26588</v>
      </c>
      <c r="U3477" t="s">
        <v>26604</v>
      </c>
      <c r="W3477" t="s">
        <v>855</v>
      </c>
      <c r="X3477">
        <v>2250</v>
      </c>
      <c r="Y3477" t="s">
        <v>26652</v>
      </c>
      <c r="Z3477" t="s">
        <v>26669</v>
      </c>
      <c r="AA3477" t="s">
        <v>26678</v>
      </c>
      <c r="AB3477" t="s">
        <v>29659</v>
      </c>
      <c r="AD3477" t="s">
        <v>39746</v>
      </c>
      <c r="AE3477">
        <v>0</v>
      </c>
      <c r="AG3477" t="s">
        <v>19330</v>
      </c>
      <c r="AH3477">
        <v>3</v>
      </c>
      <c r="AI3477">
        <v>3</v>
      </c>
      <c r="AJ3477">
        <v>0</v>
      </c>
      <c r="AK3477">
        <v>184.79</v>
      </c>
      <c r="AN3477" t="s">
        <v>7439</v>
      </c>
      <c r="AO3477">
        <v>38400</v>
      </c>
      <c r="AQ3477" t="s">
        <v>46359</v>
      </c>
      <c r="AR3477" t="s">
        <v>46422</v>
      </c>
      <c r="AS3477" t="s">
        <v>46499</v>
      </c>
      <c r="AT3477" t="s">
        <v>46625</v>
      </c>
      <c r="AU3477">
        <v>4.7</v>
      </c>
      <c r="AV3477" t="s">
        <v>664</v>
      </c>
      <c r="AW3477" t="s">
        <v>46862</v>
      </c>
    </row>
    <row r="3478" spans="1:49">
      <c r="A3478" s="1">
        <f>HYPERLINK("https://lsnyc.legalserver.org/matter/dynamic-profile/view/1878573","18-1878573")</f>
        <v>0</v>
      </c>
      <c r="B3478" t="s">
        <v>151</v>
      </c>
      <c r="C3478" t="s">
        <v>341</v>
      </c>
      <c r="D3478" t="s">
        <v>589</v>
      </c>
      <c r="E3478" t="s">
        <v>494</v>
      </c>
      <c r="F3478" t="s">
        <v>2677</v>
      </c>
      <c r="G3478" t="s">
        <v>5340</v>
      </c>
      <c r="H3478" t="s">
        <v>12385</v>
      </c>
      <c r="J3478" t="s">
        <v>18893</v>
      </c>
      <c r="K3478">
        <v>10030</v>
      </c>
      <c r="L3478" t="s">
        <v>18958</v>
      </c>
      <c r="M3478" t="s">
        <v>18958</v>
      </c>
      <c r="N3478" t="s">
        <v>21576</v>
      </c>
      <c r="O3478" t="s">
        <v>26523</v>
      </c>
      <c r="P3478" t="s">
        <v>26564</v>
      </c>
      <c r="Q3478" t="s">
        <v>26570</v>
      </c>
      <c r="R3478" t="s">
        <v>26582</v>
      </c>
      <c r="S3478" t="s">
        <v>18959</v>
      </c>
      <c r="U3478" t="s">
        <v>26604</v>
      </c>
      <c r="V3478" t="s">
        <v>26612</v>
      </c>
      <c r="W3478" t="s">
        <v>855</v>
      </c>
      <c r="X3478">
        <v>2400</v>
      </c>
      <c r="Y3478" t="s">
        <v>26651</v>
      </c>
      <c r="Z3478" t="s">
        <v>26664</v>
      </c>
      <c r="AA3478" t="s">
        <v>26683</v>
      </c>
      <c r="AB3478" t="s">
        <v>29408</v>
      </c>
      <c r="AD3478" t="s">
        <v>39747</v>
      </c>
      <c r="AE3478">
        <v>0</v>
      </c>
      <c r="AF3478" t="s">
        <v>45541</v>
      </c>
      <c r="AG3478" t="s">
        <v>19330</v>
      </c>
      <c r="AH3478">
        <v>2</v>
      </c>
      <c r="AI3478">
        <v>1</v>
      </c>
      <c r="AJ3478">
        <v>0</v>
      </c>
      <c r="AK3478">
        <v>71.47</v>
      </c>
      <c r="AN3478" t="s">
        <v>7439</v>
      </c>
      <c r="AO3478">
        <v>8676</v>
      </c>
      <c r="AU3478">
        <v>2.2</v>
      </c>
      <c r="AV3478" t="s">
        <v>575</v>
      </c>
      <c r="AW3478" t="s">
        <v>264</v>
      </c>
    </row>
    <row r="3479" spans="1:49">
      <c r="A3479" s="1">
        <f>HYPERLINK("https://lsnyc.legalserver.org/matter/dynamic-profile/view/1878554","18-1878554")</f>
        <v>0</v>
      </c>
      <c r="B3479" t="s">
        <v>151</v>
      </c>
      <c r="C3479" t="s">
        <v>341</v>
      </c>
      <c r="D3479" t="s">
        <v>589</v>
      </c>
      <c r="E3479" t="s">
        <v>494</v>
      </c>
      <c r="F3479" t="s">
        <v>1106</v>
      </c>
      <c r="G3479" t="s">
        <v>6903</v>
      </c>
      <c r="H3479" t="s">
        <v>12386</v>
      </c>
      <c r="J3479" t="s">
        <v>18893</v>
      </c>
      <c r="K3479">
        <v>10022</v>
      </c>
      <c r="L3479" t="s">
        <v>18958</v>
      </c>
      <c r="M3479" t="s">
        <v>18958</v>
      </c>
      <c r="N3479" t="s">
        <v>21577</v>
      </c>
      <c r="O3479" t="s">
        <v>26523</v>
      </c>
      <c r="P3479" t="s">
        <v>26564</v>
      </c>
      <c r="Q3479" t="s">
        <v>26570</v>
      </c>
      <c r="R3479" t="s">
        <v>26582</v>
      </c>
      <c r="S3479" t="s">
        <v>18959</v>
      </c>
      <c r="U3479" t="s">
        <v>26604</v>
      </c>
      <c r="W3479" t="s">
        <v>855</v>
      </c>
      <c r="X3479">
        <v>478.91</v>
      </c>
      <c r="Y3479" t="s">
        <v>26651</v>
      </c>
      <c r="Z3479" t="s">
        <v>26664</v>
      </c>
      <c r="AA3479" t="s">
        <v>26683</v>
      </c>
      <c r="AB3479" t="s">
        <v>29660</v>
      </c>
      <c r="AC3479" t="s">
        <v>35536</v>
      </c>
      <c r="AD3479" t="s">
        <v>39748</v>
      </c>
      <c r="AE3479">
        <v>14</v>
      </c>
      <c r="AF3479" t="s">
        <v>45541</v>
      </c>
      <c r="AG3479" t="s">
        <v>45559</v>
      </c>
      <c r="AH3479">
        <v>40</v>
      </c>
      <c r="AI3479">
        <v>1</v>
      </c>
      <c r="AJ3479">
        <v>0</v>
      </c>
      <c r="AK3479">
        <v>128.5</v>
      </c>
      <c r="AN3479" t="s">
        <v>7439</v>
      </c>
      <c r="AO3479">
        <v>15600</v>
      </c>
      <c r="AU3479">
        <v>2.25</v>
      </c>
      <c r="AV3479" t="s">
        <v>529</v>
      </c>
      <c r="AW3479" t="s">
        <v>264</v>
      </c>
    </row>
    <row r="3480" spans="1:49">
      <c r="A3480" s="1">
        <f>HYPERLINK("https://lsnyc.legalserver.org/matter/dynamic-profile/view/1878572","18-1878572")</f>
        <v>0</v>
      </c>
      <c r="B3480" t="s">
        <v>151</v>
      </c>
      <c r="C3480" t="s">
        <v>340</v>
      </c>
      <c r="D3480" t="s">
        <v>589</v>
      </c>
      <c r="F3480" t="s">
        <v>1533</v>
      </c>
      <c r="G3480" t="s">
        <v>5419</v>
      </c>
      <c r="H3480" t="s">
        <v>12387</v>
      </c>
      <c r="I3480" t="s">
        <v>17584</v>
      </c>
      <c r="J3480" t="s">
        <v>18893</v>
      </c>
      <c r="K3480">
        <v>10026</v>
      </c>
      <c r="L3480" t="s">
        <v>18958</v>
      </c>
      <c r="M3480" t="s">
        <v>18958</v>
      </c>
      <c r="N3480" t="s">
        <v>21578</v>
      </c>
      <c r="O3480" t="s">
        <v>26523</v>
      </c>
      <c r="P3480" t="s">
        <v>26560</v>
      </c>
      <c r="R3480" t="s">
        <v>26580</v>
      </c>
      <c r="U3480" t="s">
        <v>26604</v>
      </c>
      <c r="V3480" t="s">
        <v>26610</v>
      </c>
      <c r="W3480" t="s">
        <v>855</v>
      </c>
      <c r="X3480">
        <v>811</v>
      </c>
      <c r="Y3480" t="s">
        <v>26651</v>
      </c>
      <c r="Z3480" t="s">
        <v>26664</v>
      </c>
      <c r="AB3480" t="s">
        <v>29661</v>
      </c>
      <c r="AD3480" t="s">
        <v>39749</v>
      </c>
      <c r="AE3480">
        <v>0</v>
      </c>
      <c r="AF3480" t="s">
        <v>45544</v>
      </c>
      <c r="AG3480" t="s">
        <v>45556</v>
      </c>
      <c r="AH3480">
        <v>5</v>
      </c>
      <c r="AI3480">
        <v>1</v>
      </c>
      <c r="AJ3480">
        <v>0</v>
      </c>
      <c r="AK3480">
        <v>0</v>
      </c>
      <c r="AN3480" t="s">
        <v>7439</v>
      </c>
      <c r="AO3480">
        <v>0</v>
      </c>
      <c r="AU3480">
        <v>10.4</v>
      </c>
      <c r="AV3480" t="s">
        <v>807</v>
      </c>
      <c r="AW3480" t="s">
        <v>314</v>
      </c>
    </row>
    <row r="3481" spans="1:49">
      <c r="A3481" s="1">
        <f>HYPERLINK("https://lsnyc.legalserver.org/matter/dynamic-profile/view/1878741","18-1878741")</f>
        <v>0</v>
      </c>
      <c r="B3481" t="s">
        <v>77</v>
      </c>
      <c r="C3481" t="s">
        <v>341</v>
      </c>
      <c r="D3481" t="s">
        <v>599</v>
      </c>
      <c r="E3481" t="s">
        <v>828</v>
      </c>
      <c r="F3481" t="s">
        <v>881</v>
      </c>
      <c r="G3481" t="s">
        <v>5447</v>
      </c>
      <c r="H3481" t="s">
        <v>12388</v>
      </c>
      <c r="I3481" t="s">
        <v>17974</v>
      </c>
      <c r="J3481" t="s">
        <v>18893</v>
      </c>
      <c r="K3481">
        <v>10025</v>
      </c>
      <c r="L3481" t="s">
        <v>18958</v>
      </c>
      <c r="M3481" t="s">
        <v>18958</v>
      </c>
      <c r="N3481" t="s">
        <v>21579</v>
      </c>
      <c r="O3481" t="s">
        <v>26523</v>
      </c>
      <c r="P3481" t="s">
        <v>26560</v>
      </c>
      <c r="Q3481" t="s">
        <v>26568</v>
      </c>
      <c r="R3481" t="s">
        <v>26580</v>
      </c>
      <c r="U3481" t="s">
        <v>26604</v>
      </c>
      <c r="V3481" t="s">
        <v>26610</v>
      </c>
      <c r="W3481" t="s">
        <v>855</v>
      </c>
      <c r="X3481">
        <v>299</v>
      </c>
      <c r="Y3481" t="s">
        <v>26651</v>
      </c>
      <c r="Z3481" t="s">
        <v>26664</v>
      </c>
      <c r="AA3481" t="s">
        <v>26678</v>
      </c>
      <c r="AB3481" t="s">
        <v>29277</v>
      </c>
      <c r="AD3481" t="s">
        <v>39750</v>
      </c>
      <c r="AE3481">
        <v>1</v>
      </c>
      <c r="AF3481" t="s">
        <v>20460</v>
      </c>
      <c r="AG3481" t="s">
        <v>19330</v>
      </c>
      <c r="AH3481">
        <v>4</v>
      </c>
      <c r="AI3481">
        <v>1</v>
      </c>
      <c r="AJ3481">
        <v>0</v>
      </c>
      <c r="AK3481">
        <v>101.81</v>
      </c>
      <c r="AN3481" t="s">
        <v>45581</v>
      </c>
      <c r="AO3481">
        <v>12360</v>
      </c>
      <c r="AS3481" t="s">
        <v>46499</v>
      </c>
      <c r="AT3481" t="s">
        <v>46773</v>
      </c>
      <c r="AU3481">
        <v>2.1</v>
      </c>
      <c r="AV3481" t="s">
        <v>828</v>
      </c>
      <c r="AW3481" t="s">
        <v>314</v>
      </c>
    </row>
    <row r="3482" spans="1:49">
      <c r="A3482" s="1">
        <f>HYPERLINK("https://lsnyc.legalserver.org/matter/dynamic-profile/view/1878805","18-1878805")</f>
        <v>0</v>
      </c>
      <c r="B3482" t="s">
        <v>194</v>
      </c>
      <c r="C3482" t="s">
        <v>340</v>
      </c>
      <c r="D3482" t="s">
        <v>599</v>
      </c>
      <c r="F3482" t="s">
        <v>879</v>
      </c>
      <c r="G3482" t="s">
        <v>6904</v>
      </c>
      <c r="H3482" t="s">
        <v>10209</v>
      </c>
      <c r="I3482" t="s">
        <v>17975</v>
      </c>
      <c r="J3482" t="s">
        <v>18893</v>
      </c>
      <c r="K3482">
        <v>10031</v>
      </c>
      <c r="L3482" t="s">
        <v>18958</v>
      </c>
      <c r="M3482" t="s">
        <v>18958</v>
      </c>
      <c r="N3482" t="s">
        <v>21580</v>
      </c>
      <c r="O3482" t="s">
        <v>26523</v>
      </c>
      <c r="P3482" t="s">
        <v>26564</v>
      </c>
      <c r="R3482" t="s">
        <v>26580</v>
      </c>
      <c r="S3482" t="s">
        <v>18959</v>
      </c>
      <c r="U3482" t="s">
        <v>26604</v>
      </c>
      <c r="W3482" t="s">
        <v>855</v>
      </c>
      <c r="X3482">
        <v>1750</v>
      </c>
      <c r="Y3482" t="s">
        <v>26651</v>
      </c>
      <c r="AB3482" t="s">
        <v>29662</v>
      </c>
      <c r="AD3482" t="s">
        <v>39751</v>
      </c>
      <c r="AE3482">
        <v>0</v>
      </c>
      <c r="AG3482" t="s">
        <v>45556</v>
      </c>
      <c r="AH3482">
        <v>42</v>
      </c>
      <c r="AI3482">
        <v>2</v>
      </c>
      <c r="AJ3482">
        <v>0</v>
      </c>
      <c r="AK3482">
        <v>94.78</v>
      </c>
      <c r="AN3482" t="s">
        <v>7439</v>
      </c>
      <c r="AO3482">
        <v>15600</v>
      </c>
      <c r="AU3482">
        <v>1.6</v>
      </c>
      <c r="AV3482" t="s">
        <v>618</v>
      </c>
      <c r="AW3482" t="s">
        <v>46838</v>
      </c>
    </row>
    <row r="3483" spans="1:49">
      <c r="A3483" s="1">
        <f>HYPERLINK("https://lsnyc.legalserver.org/matter/dynamic-profile/view/1878745","18-1878745")</f>
        <v>0</v>
      </c>
      <c r="B3483" t="s">
        <v>106</v>
      </c>
      <c r="C3483" t="s">
        <v>340</v>
      </c>
      <c r="D3483" t="s">
        <v>599</v>
      </c>
      <c r="F3483" t="s">
        <v>2678</v>
      </c>
      <c r="G3483" t="s">
        <v>6372</v>
      </c>
      <c r="H3483" t="s">
        <v>11761</v>
      </c>
      <c r="I3483" t="s">
        <v>17641</v>
      </c>
      <c r="J3483" t="s">
        <v>18894</v>
      </c>
      <c r="K3483">
        <v>11225</v>
      </c>
      <c r="L3483" t="s">
        <v>18958</v>
      </c>
      <c r="M3483" t="s">
        <v>18958</v>
      </c>
      <c r="N3483" t="s">
        <v>21581</v>
      </c>
      <c r="O3483" t="s">
        <v>26524</v>
      </c>
      <c r="P3483" t="s">
        <v>26560</v>
      </c>
      <c r="R3483" t="s">
        <v>26588</v>
      </c>
      <c r="S3483" t="s">
        <v>18959</v>
      </c>
      <c r="U3483" t="s">
        <v>26604</v>
      </c>
      <c r="V3483" t="s">
        <v>26610</v>
      </c>
      <c r="W3483" t="s">
        <v>855</v>
      </c>
      <c r="X3483">
        <v>1060</v>
      </c>
      <c r="Y3483" t="s">
        <v>26652</v>
      </c>
      <c r="Z3483" t="s">
        <v>26669</v>
      </c>
      <c r="AB3483" t="s">
        <v>29663</v>
      </c>
      <c r="AD3483" t="s">
        <v>39752</v>
      </c>
      <c r="AE3483">
        <v>222</v>
      </c>
      <c r="AF3483" t="s">
        <v>45541</v>
      </c>
      <c r="AG3483" t="s">
        <v>19330</v>
      </c>
      <c r="AH3483">
        <v>18</v>
      </c>
      <c r="AI3483">
        <v>2</v>
      </c>
      <c r="AJ3483">
        <v>0</v>
      </c>
      <c r="AK3483">
        <v>135.97</v>
      </c>
      <c r="AN3483" t="s">
        <v>7439</v>
      </c>
      <c r="AO3483">
        <v>22380</v>
      </c>
      <c r="AU3483">
        <v>50.6</v>
      </c>
      <c r="AV3483" t="s">
        <v>807</v>
      </c>
      <c r="AW3483" t="s">
        <v>46862</v>
      </c>
    </row>
    <row r="3484" spans="1:49">
      <c r="A3484" s="1">
        <f>HYPERLINK("https://lsnyc.legalserver.org/matter/dynamic-profile/view/1878987","18-1878987")</f>
        <v>0</v>
      </c>
      <c r="B3484" t="s">
        <v>101</v>
      </c>
      <c r="C3484" t="s">
        <v>340</v>
      </c>
      <c r="D3484" t="s">
        <v>457</v>
      </c>
      <c r="F3484" t="s">
        <v>2679</v>
      </c>
      <c r="G3484" t="s">
        <v>6905</v>
      </c>
      <c r="H3484" t="s">
        <v>12389</v>
      </c>
      <c r="I3484">
        <v>1</v>
      </c>
      <c r="J3484" t="s">
        <v>18894</v>
      </c>
      <c r="K3484">
        <v>11226</v>
      </c>
      <c r="L3484" t="s">
        <v>18958</v>
      </c>
      <c r="M3484" t="s">
        <v>18960</v>
      </c>
      <c r="N3484" t="s">
        <v>21582</v>
      </c>
      <c r="O3484" t="s">
        <v>26524</v>
      </c>
      <c r="P3484" t="s">
        <v>26560</v>
      </c>
      <c r="R3484" t="s">
        <v>26588</v>
      </c>
      <c r="U3484" t="s">
        <v>26604</v>
      </c>
      <c r="V3484" t="s">
        <v>26612</v>
      </c>
      <c r="W3484" t="s">
        <v>855</v>
      </c>
      <c r="X3484">
        <v>2400</v>
      </c>
      <c r="Y3484" t="s">
        <v>26652</v>
      </c>
      <c r="Z3484" t="s">
        <v>26530</v>
      </c>
      <c r="AB3484" t="s">
        <v>28190</v>
      </c>
      <c r="AD3484" t="s">
        <v>39753</v>
      </c>
      <c r="AE3484">
        <v>4</v>
      </c>
      <c r="AG3484" t="s">
        <v>45556</v>
      </c>
      <c r="AH3484">
        <v>7</v>
      </c>
      <c r="AI3484">
        <v>2</v>
      </c>
      <c r="AJ3484">
        <v>2</v>
      </c>
      <c r="AK3484">
        <v>93.23</v>
      </c>
      <c r="AN3484" t="s">
        <v>7439</v>
      </c>
      <c r="AO3484">
        <v>23400</v>
      </c>
      <c r="AQ3484" t="s">
        <v>46365</v>
      </c>
      <c r="AS3484" t="s">
        <v>46500</v>
      </c>
      <c r="AT3484" t="s">
        <v>46676</v>
      </c>
      <c r="AU3484">
        <v>47.6</v>
      </c>
      <c r="AV3484" t="s">
        <v>574</v>
      </c>
      <c r="AW3484" t="s">
        <v>46853</v>
      </c>
    </row>
    <row r="3485" spans="1:49">
      <c r="A3485" s="1">
        <f>HYPERLINK("https://lsnyc.legalserver.org/matter/dynamic-profile/view/1879016","18-1879016")</f>
        <v>0</v>
      </c>
      <c r="B3485" t="s">
        <v>156</v>
      </c>
      <c r="C3485" t="s">
        <v>341</v>
      </c>
      <c r="D3485" t="s">
        <v>540</v>
      </c>
      <c r="E3485" t="s">
        <v>670</v>
      </c>
      <c r="F3485" t="s">
        <v>1551</v>
      </c>
      <c r="G3485" t="s">
        <v>4588</v>
      </c>
      <c r="H3485" t="s">
        <v>12390</v>
      </c>
      <c r="I3485" t="s">
        <v>17755</v>
      </c>
      <c r="J3485" t="s">
        <v>18893</v>
      </c>
      <c r="K3485">
        <v>10002</v>
      </c>
      <c r="L3485" t="s">
        <v>18958</v>
      </c>
      <c r="M3485" t="s">
        <v>18958</v>
      </c>
      <c r="N3485" t="s">
        <v>21583</v>
      </c>
      <c r="O3485" t="s">
        <v>26523</v>
      </c>
      <c r="P3485" t="s">
        <v>26564</v>
      </c>
      <c r="Q3485" t="s">
        <v>26570</v>
      </c>
      <c r="R3485" t="s">
        <v>26582</v>
      </c>
      <c r="U3485" t="s">
        <v>26605</v>
      </c>
      <c r="V3485" t="s">
        <v>26610</v>
      </c>
      <c r="W3485" t="s">
        <v>855</v>
      </c>
      <c r="X3485">
        <v>751</v>
      </c>
      <c r="Y3485" t="s">
        <v>26651</v>
      </c>
      <c r="Z3485" t="s">
        <v>26661</v>
      </c>
      <c r="AA3485" t="s">
        <v>26683</v>
      </c>
      <c r="AB3485" t="s">
        <v>29664</v>
      </c>
      <c r="AD3485" t="s">
        <v>39754</v>
      </c>
      <c r="AE3485">
        <v>0</v>
      </c>
      <c r="AF3485" t="s">
        <v>45549</v>
      </c>
      <c r="AG3485" t="s">
        <v>19330</v>
      </c>
      <c r="AH3485">
        <v>10</v>
      </c>
      <c r="AI3485">
        <v>2</v>
      </c>
      <c r="AJ3485">
        <v>1</v>
      </c>
      <c r="AK3485">
        <v>50.05</v>
      </c>
      <c r="AN3485" t="s">
        <v>7439</v>
      </c>
      <c r="AO3485">
        <v>10400</v>
      </c>
      <c r="AU3485">
        <v>0.1</v>
      </c>
      <c r="AV3485" t="s">
        <v>670</v>
      </c>
      <c r="AW3485" t="s">
        <v>314</v>
      </c>
    </row>
    <row r="3486" spans="1:49">
      <c r="A3486" s="1">
        <f>HYPERLINK("https://lsnyc.legalserver.org/matter/dynamic-profile/view/1879008","18-1879008")</f>
        <v>0</v>
      </c>
      <c r="B3486" t="s">
        <v>162</v>
      </c>
      <c r="C3486" t="s">
        <v>341</v>
      </c>
      <c r="D3486" t="s">
        <v>540</v>
      </c>
      <c r="E3486" t="s">
        <v>803</v>
      </c>
      <c r="F3486" t="s">
        <v>1827</v>
      </c>
      <c r="G3486" t="s">
        <v>1685</v>
      </c>
      <c r="H3486" t="s">
        <v>12391</v>
      </c>
      <c r="I3486">
        <v>225</v>
      </c>
      <c r="J3486" t="s">
        <v>18894</v>
      </c>
      <c r="K3486">
        <v>11221</v>
      </c>
      <c r="L3486" t="s">
        <v>18958</v>
      </c>
      <c r="M3486" t="s">
        <v>18958</v>
      </c>
      <c r="N3486" t="s">
        <v>21584</v>
      </c>
      <c r="O3486" t="s">
        <v>26523</v>
      </c>
      <c r="P3486" t="s">
        <v>26560</v>
      </c>
      <c r="Q3486" t="s">
        <v>26573</v>
      </c>
      <c r="R3486" t="s">
        <v>26588</v>
      </c>
      <c r="U3486" t="s">
        <v>26604</v>
      </c>
      <c r="W3486" t="s">
        <v>855</v>
      </c>
      <c r="X3486">
        <v>1250</v>
      </c>
      <c r="Y3486" t="s">
        <v>26652</v>
      </c>
      <c r="Z3486" t="s">
        <v>26669</v>
      </c>
      <c r="AA3486" t="s">
        <v>26678</v>
      </c>
      <c r="AB3486" t="s">
        <v>29665</v>
      </c>
      <c r="AD3486" t="s">
        <v>39755</v>
      </c>
      <c r="AE3486">
        <v>99</v>
      </c>
      <c r="AG3486" t="s">
        <v>45556</v>
      </c>
      <c r="AH3486">
        <v>6</v>
      </c>
      <c r="AI3486">
        <v>1</v>
      </c>
      <c r="AJ3486">
        <v>0</v>
      </c>
      <c r="AK3486">
        <v>74.14</v>
      </c>
      <c r="AN3486" t="s">
        <v>45581</v>
      </c>
      <c r="AO3486">
        <v>9000</v>
      </c>
      <c r="AS3486" t="s">
        <v>46499</v>
      </c>
      <c r="AT3486" t="s">
        <v>46740</v>
      </c>
      <c r="AU3486">
        <v>8.949999999999999</v>
      </c>
      <c r="AV3486" t="s">
        <v>416</v>
      </c>
      <c r="AW3486" t="s">
        <v>281</v>
      </c>
    </row>
    <row r="3487" spans="1:49">
      <c r="A3487" s="1">
        <f>HYPERLINK("https://lsnyc.legalserver.org/matter/dynamic-profile/view/1878999","18-1878999")</f>
        <v>0</v>
      </c>
      <c r="B3487" t="s">
        <v>206</v>
      </c>
      <c r="C3487" t="s">
        <v>341</v>
      </c>
      <c r="D3487" t="s">
        <v>540</v>
      </c>
      <c r="E3487" t="s">
        <v>735</v>
      </c>
      <c r="F3487" t="s">
        <v>2680</v>
      </c>
      <c r="G3487" t="s">
        <v>6906</v>
      </c>
      <c r="H3487" t="s">
        <v>12392</v>
      </c>
      <c r="J3487" t="s">
        <v>18894</v>
      </c>
      <c r="K3487">
        <v>11208</v>
      </c>
      <c r="L3487" t="s">
        <v>18958</v>
      </c>
      <c r="M3487" t="s">
        <v>18958</v>
      </c>
      <c r="N3487" t="s">
        <v>21585</v>
      </c>
      <c r="O3487" t="s">
        <v>26524</v>
      </c>
      <c r="P3487" t="s">
        <v>26560</v>
      </c>
      <c r="Q3487" t="s">
        <v>26568</v>
      </c>
      <c r="R3487" t="s">
        <v>26588</v>
      </c>
      <c r="U3487" t="s">
        <v>26604</v>
      </c>
      <c r="W3487" t="s">
        <v>855</v>
      </c>
      <c r="X3487">
        <v>400</v>
      </c>
      <c r="Y3487" t="s">
        <v>26652</v>
      </c>
      <c r="Z3487" t="s">
        <v>26669</v>
      </c>
      <c r="AA3487" t="s">
        <v>26678</v>
      </c>
      <c r="AB3487" t="s">
        <v>29666</v>
      </c>
      <c r="AD3487" t="s">
        <v>39756</v>
      </c>
      <c r="AE3487">
        <v>2</v>
      </c>
      <c r="AF3487" t="s">
        <v>45547</v>
      </c>
      <c r="AG3487" t="s">
        <v>19330</v>
      </c>
      <c r="AH3487">
        <v>10</v>
      </c>
      <c r="AI3487">
        <v>1</v>
      </c>
      <c r="AJ3487">
        <v>0</v>
      </c>
      <c r="AK3487">
        <v>109.69</v>
      </c>
      <c r="AN3487" t="s">
        <v>7439</v>
      </c>
      <c r="AO3487">
        <v>13316</v>
      </c>
      <c r="AS3487" t="s">
        <v>46499</v>
      </c>
      <c r="AT3487" t="s">
        <v>46506</v>
      </c>
      <c r="AU3487">
        <v>44</v>
      </c>
      <c r="AV3487" t="s">
        <v>668</v>
      </c>
      <c r="AW3487" t="s">
        <v>281</v>
      </c>
    </row>
    <row r="3488" spans="1:49">
      <c r="A3488" s="1">
        <f>HYPERLINK("https://lsnyc.legalserver.org/matter/dynamic-profile/view/1879021","18-1879021")</f>
        <v>0</v>
      </c>
      <c r="B3488" t="s">
        <v>230</v>
      </c>
      <c r="C3488" t="s">
        <v>340</v>
      </c>
      <c r="D3488" t="s">
        <v>540</v>
      </c>
      <c r="F3488" t="s">
        <v>1904</v>
      </c>
      <c r="G3488" t="s">
        <v>5121</v>
      </c>
      <c r="H3488" t="s">
        <v>12393</v>
      </c>
      <c r="I3488" t="s">
        <v>17347</v>
      </c>
      <c r="J3488" t="s">
        <v>18894</v>
      </c>
      <c r="K3488">
        <v>11221</v>
      </c>
      <c r="L3488" t="s">
        <v>18958</v>
      </c>
      <c r="M3488" t="s">
        <v>18958</v>
      </c>
      <c r="N3488" t="s">
        <v>21586</v>
      </c>
      <c r="O3488" t="s">
        <v>26523</v>
      </c>
      <c r="P3488" t="s">
        <v>26560</v>
      </c>
      <c r="R3488" t="s">
        <v>26588</v>
      </c>
      <c r="S3488" t="s">
        <v>18959</v>
      </c>
      <c r="U3488" t="s">
        <v>26604</v>
      </c>
      <c r="V3488" t="s">
        <v>26610</v>
      </c>
      <c r="W3488" t="s">
        <v>855</v>
      </c>
      <c r="X3488">
        <v>1413</v>
      </c>
      <c r="Y3488" t="s">
        <v>26652</v>
      </c>
      <c r="Z3488" t="s">
        <v>26669</v>
      </c>
      <c r="AB3488" t="s">
        <v>28921</v>
      </c>
      <c r="AD3488" t="s">
        <v>39757</v>
      </c>
      <c r="AE3488">
        <v>36</v>
      </c>
      <c r="AF3488" t="s">
        <v>45541</v>
      </c>
      <c r="AG3488" t="s">
        <v>19330</v>
      </c>
      <c r="AH3488">
        <v>4</v>
      </c>
      <c r="AI3488">
        <v>1</v>
      </c>
      <c r="AJ3488">
        <v>3</v>
      </c>
      <c r="AK3488">
        <v>61.77</v>
      </c>
      <c r="AN3488" t="s">
        <v>7439</v>
      </c>
      <c r="AO3488">
        <v>15504</v>
      </c>
      <c r="AQ3488" t="s">
        <v>46361</v>
      </c>
      <c r="AR3488" t="s">
        <v>46379</v>
      </c>
      <c r="AS3488" t="s">
        <v>46499</v>
      </c>
      <c r="AT3488" t="s">
        <v>46524</v>
      </c>
      <c r="AU3488">
        <v>18.9</v>
      </c>
      <c r="AV3488" t="s">
        <v>657</v>
      </c>
      <c r="AW3488" t="s">
        <v>281</v>
      </c>
    </row>
    <row r="3489" spans="1:50">
      <c r="A3489" s="1">
        <f>HYPERLINK("https://lsnyc.legalserver.org/matter/dynamic-profile/view/1878997","18-1878997")</f>
        <v>0</v>
      </c>
      <c r="B3489" t="s">
        <v>158</v>
      </c>
      <c r="C3489" t="s">
        <v>340</v>
      </c>
      <c r="D3489" t="s">
        <v>540</v>
      </c>
      <c r="F3489" t="s">
        <v>2681</v>
      </c>
      <c r="G3489" t="s">
        <v>6907</v>
      </c>
      <c r="H3489" t="s">
        <v>12394</v>
      </c>
      <c r="I3489">
        <v>1</v>
      </c>
      <c r="J3489" t="s">
        <v>18894</v>
      </c>
      <c r="K3489">
        <v>11236</v>
      </c>
      <c r="L3489" t="s">
        <v>18958</v>
      </c>
      <c r="M3489" t="s">
        <v>18959</v>
      </c>
      <c r="N3489" t="s">
        <v>21587</v>
      </c>
      <c r="O3489" t="s">
        <v>26524</v>
      </c>
      <c r="P3489" t="s">
        <v>26560</v>
      </c>
      <c r="R3489" t="s">
        <v>26586</v>
      </c>
      <c r="U3489" t="s">
        <v>26604</v>
      </c>
      <c r="W3489" t="s">
        <v>855</v>
      </c>
      <c r="X3489">
        <v>600</v>
      </c>
      <c r="Y3489" t="s">
        <v>26652</v>
      </c>
      <c r="Z3489" t="s">
        <v>26664</v>
      </c>
      <c r="AB3489" t="s">
        <v>27977</v>
      </c>
      <c r="AD3489" t="s">
        <v>39758</v>
      </c>
      <c r="AE3489">
        <v>2</v>
      </c>
      <c r="AF3489" t="s">
        <v>45547</v>
      </c>
      <c r="AG3489" t="s">
        <v>19330</v>
      </c>
      <c r="AH3489">
        <v>60</v>
      </c>
      <c r="AI3489">
        <v>1</v>
      </c>
      <c r="AJ3489">
        <v>0</v>
      </c>
      <c r="AK3489">
        <v>98.84999999999999</v>
      </c>
      <c r="AN3489" t="s">
        <v>7439</v>
      </c>
      <c r="AO3489">
        <v>12000</v>
      </c>
      <c r="AQ3489" t="s">
        <v>46362</v>
      </c>
      <c r="AU3489">
        <v>39.6</v>
      </c>
      <c r="AV3489" t="s">
        <v>767</v>
      </c>
      <c r="AW3489" t="s">
        <v>281</v>
      </c>
    </row>
    <row r="3490" spans="1:50">
      <c r="A3490" s="1">
        <f>HYPERLINK("https://lsnyc.legalserver.org/matter/dynamic-profile/view/1879158","18-1879158")</f>
        <v>0</v>
      </c>
      <c r="B3490" t="s">
        <v>123</v>
      </c>
      <c r="C3490" t="s">
        <v>341</v>
      </c>
      <c r="D3490" t="s">
        <v>583</v>
      </c>
      <c r="E3490" t="s">
        <v>813</v>
      </c>
      <c r="F3490" t="s">
        <v>2682</v>
      </c>
      <c r="G3490" t="s">
        <v>6908</v>
      </c>
      <c r="H3490" t="s">
        <v>12395</v>
      </c>
      <c r="I3490">
        <v>11</v>
      </c>
      <c r="J3490" t="s">
        <v>18894</v>
      </c>
      <c r="K3490">
        <v>11216</v>
      </c>
      <c r="L3490" t="s">
        <v>18958</v>
      </c>
      <c r="M3490" t="s">
        <v>18960</v>
      </c>
      <c r="N3490" t="s">
        <v>21588</v>
      </c>
      <c r="O3490" t="s">
        <v>26523</v>
      </c>
      <c r="P3490" t="s">
        <v>26560</v>
      </c>
      <c r="Q3490" t="s">
        <v>26568</v>
      </c>
      <c r="R3490" t="s">
        <v>26588</v>
      </c>
      <c r="S3490" t="s">
        <v>18959</v>
      </c>
      <c r="U3490" t="s">
        <v>26604</v>
      </c>
      <c r="V3490" t="s">
        <v>26610</v>
      </c>
      <c r="W3490" t="s">
        <v>855</v>
      </c>
      <c r="X3490">
        <v>1036.27</v>
      </c>
      <c r="Y3490" t="s">
        <v>26652</v>
      </c>
      <c r="Z3490" t="s">
        <v>26669</v>
      </c>
      <c r="AA3490" t="s">
        <v>26678</v>
      </c>
      <c r="AB3490" t="s">
        <v>29667</v>
      </c>
      <c r="AC3490" t="s">
        <v>35537</v>
      </c>
      <c r="AD3490" t="s">
        <v>39759</v>
      </c>
      <c r="AE3490">
        <v>23</v>
      </c>
      <c r="AF3490" t="s">
        <v>45541</v>
      </c>
      <c r="AG3490" t="s">
        <v>19330</v>
      </c>
      <c r="AH3490">
        <v>19</v>
      </c>
      <c r="AI3490">
        <v>3</v>
      </c>
      <c r="AJ3490">
        <v>0</v>
      </c>
      <c r="AK3490">
        <v>51.89</v>
      </c>
      <c r="AN3490" t="s">
        <v>7439</v>
      </c>
      <c r="AO3490">
        <v>10782.72</v>
      </c>
      <c r="AQ3490" t="s">
        <v>46362</v>
      </c>
      <c r="AR3490" t="s">
        <v>46381</v>
      </c>
      <c r="AS3490" t="s">
        <v>46499</v>
      </c>
      <c r="AT3490" t="s">
        <v>46589</v>
      </c>
      <c r="AU3490">
        <v>11.46</v>
      </c>
      <c r="AV3490" t="s">
        <v>718</v>
      </c>
      <c r="AW3490" t="s">
        <v>46862</v>
      </c>
      <c r="AX3490" t="s">
        <v>46897</v>
      </c>
    </row>
    <row r="3491" spans="1:50">
      <c r="A3491" s="1">
        <f>HYPERLINK("https://lsnyc.legalserver.org/matter/dynamic-profile/view/1879204","18-1879204")</f>
        <v>0</v>
      </c>
      <c r="B3491" t="s">
        <v>123</v>
      </c>
      <c r="C3491" t="s">
        <v>341</v>
      </c>
      <c r="D3491" t="s">
        <v>583</v>
      </c>
      <c r="E3491" t="s">
        <v>813</v>
      </c>
      <c r="F3491" t="s">
        <v>1002</v>
      </c>
      <c r="G3491" t="s">
        <v>6909</v>
      </c>
      <c r="H3491" t="s">
        <v>12396</v>
      </c>
      <c r="I3491" t="s">
        <v>17278</v>
      </c>
      <c r="J3491" t="s">
        <v>18894</v>
      </c>
      <c r="K3491">
        <v>11225</v>
      </c>
      <c r="L3491" t="s">
        <v>18958</v>
      </c>
      <c r="M3491" t="s">
        <v>18960</v>
      </c>
      <c r="N3491" t="s">
        <v>21589</v>
      </c>
      <c r="O3491" t="s">
        <v>26523</v>
      </c>
      <c r="P3491" t="s">
        <v>26560</v>
      </c>
      <c r="Q3491" t="s">
        <v>26568</v>
      </c>
      <c r="R3491" t="s">
        <v>26588</v>
      </c>
      <c r="S3491" t="s">
        <v>18959</v>
      </c>
      <c r="U3491" t="s">
        <v>26604</v>
      </c>
      <c r="V3491" t="s">
        <v>26610</v>
      </c>
      <c r="W3491" t="s">
        <v>855</v>
      </c>
      <c r="X3491">
        <v>818</v>
      </c>
      <c r="Y3491" t="s">
        <v>26652</v>
      </c>
      <c r="Z3491" t="s">
        <v>26669</v>
      </c>
      <c r="AA3491" t="s">
        <v>26678</v>
      </c>
      <c r="AB3491" t="s">
        <v>29668</v>
      </c>
      <c r="AD3491" t="s">
        <v>39760</v>
      </c>
      <c r="AE3491">
        <v>83</v>
      </c>
      <c r="AF3491" t="s">
        <v>45541</v>
      </c>
      <c r="AG3491" t="s">
        <v>45559</v>
      </c>
      <c r="AH3491">
        <v>21</v>
      </c>
      <c r="AI3491">
        <v>1</v>
      </c>
      <c r="AJ3491">
        <v>0</v>
      </c>
      <c r="AK3491">
        <v>74.93000000000001</v>
      </c>
      <c r="AN3491" t="s">
        <v>7439</v>
      </c>
      <c r="AO3491">
        <v>9096</v>
      </c>
      <c r="AQ3491" t="s">
        <v>46359</v>
      </c>
      <c r="AR3491" t="s">
        <v>46381</v>
      </c>
      <c r="AS3491" t="s">
        <v>46499</v>
      </c>
      <c r="AT3491" t="s">
        <v>46651</v>
      </c>
      <c r="AU3491">
        <v>10.38</v>
      </c>
      <c r="AV3491" t="s">
        <v>723</v>
      </c>
      <c r="AW3491" t="s">
        <v>46862</v>
      </c>
      <c r="AX3491" t="s">
        <v>46897</v>
      </c>
    </row>
    <row r="3492" spans="1:50">
      <c r="A3492" s="1">
        <f>HYPERLINK("https://lsnyc.legalserver.org/matter/dynamic-profile/view/1879258","18-1879258")</f>
        <v>0</v>
      </c>
      <c r="B3492" t="s">
        <v>123</v>
      </c>
      <c r="C3492" t="s">
        <v>341</v>
      </c>
      <c r="D3492" t="s">
        <v>583</v>
      </c>
      <c r="E3492" t="s">
        <v>494</v>
      </c>
      <c r="F3492" t="s">
        <v>886</v>
      </c>
      <c r="G3492" t="s">
        <v>6910</v>
      </c>
      <c r="H3492" t="s">
        <v>12397</v>
      </c>
      <c r="I3492" t="s">
        <v>17659</v>
      </c>
      <c r="J3492" t="s">
        <v>18894</v>
      </c>
      <c r="K3492">
        <v>11221</v>
      </c>
      <c r="L3492" t="s">
        <v>18958</v>
      </c>
      <c r="M3492" t="s">
        <v>18960</v>
      </c>
      <c r="N3492" t="s">
        <v>21590</v>
      </c>
      <c r="O3492" t="s">
        <v>26523</v>
      </c>
      <c r="P3492" t="s">
        <v>26560</v>
      </c>
      <c r="Q3492" t="s">
        <v>26574</v>
      </c>
      <c r="R3492" t="s">
        <v>26588</v>
      </c>
      <c r="S3492" t="s">
        <v>18959</v>
      </c>
      <c r="U3492" t="s">
        <v>26604</v>
      </c>
      <c r="V3492" t="s">
        <v>26610</v>
      </c>
      <c r="W3492" t="s">
        <v>855</v>
      </c>
      <c r="X3492">
        <v>0</v>
      </c>
      <c r="Y3492" t="s">
        <v>26652</v>
      </c>
      <c r="Z3492" t="s">
        <v>26669</v>
      </c>
      <c r="AA3492" t="s">
        <v>26678</v>
      </c>
      <c r="AB3492" t="s">
        <v>29669</v>
      </c>
      <c r="AD3492" t="s">
        <v>39761</v>
      </c>
      <c r="AE3492">
        <v>40</v>
      </c>
      <c r="AF3492" t="s">
        <v>45541</v>
      </c>
      <c r="AG3492" t="s">
        <v>45560</v>
      </c>
      <c r="AH3492">
        <v>12</v>
      </c>
      <c r="AI3492">
        <v>1</v>
      </c>
      <c r="AJ3492">
        <v>0</v>
      </c>
      <c r="AK3492">
        <v>131.66</v>
      </c>
      <c r="AN3492" t="s">
        <v>7439</v>
      </c>
      <c r="AO3492">
        <v>15984</v>
      </c>
      <c r="AR3492" t="s">
        <v>46410</v>
      </c>
      <c r="AS3492" t="s">
        <v>46499</v>
      </c>
      <c r="AT3492" t="s">
        <v>46647</v>
      </c>
      <c r="AU3492">
        <v>2.35</v>
      </c>
      <c r="AV3492" t="s">
        <v>606</v>
      </c>
      <c r="AW3492" t="s">
        <v>46862</v>
      </c>
    </row>
    <row r="3493" spans="1:50">
      <c r="A3493" s="1">
        <f>HYPERLINK("https://lsnyc.legalserver.org/matter/dynamic-profile/view/1879136","18-1879136")</f>
        <v>0</v>
      </c>
      <c r="B3493" t="s">
        <v>80</v>
      </c>
      <c r="C3493" t="s">
        <v>341</v>
      </c>
      <c r="D3493" t="s">
        <v>583</v>
      </c>
      <c r="E3493" t="s">
        <v>494</v>
      </c>
      <c r="F3493" t="s">
        <v>1328</v>
      </c>
      <c r="G3493" t="s">
        <v>5121</v>
      </c>
      <c r="H3493" t="s">
        <v>12398</v>
      </c>
      <c r="I3493" t="s">
        <v>17390</v>
      </c>
      <c r="J3493" t="s">
        <v>18893</v>
      </c>
      <c r="K3493">
        <v>10027</v>
      </c>
      <c r="L3493" t="s">
        <v>18958</v>
      </c>
      <c r="M3493" t="s">
        <v>18958</v>
      </c>
      <c r="N3493" t="s">
        <v>21591</v>
      </c>
      <c r="O3493" t="s">
        <v>26523</v>
      </c>
      <c r="P3493" t="s">
        <v>26560</v>
      </c>
      <c r="Q3493" t="s">
        <v>26568</v>
      </c>
      <c r="R3493" t="s">
        <v>26580</v>
      </c>
      <c r="S3493" t="s">
        <v>18959</v>
      </c>
      <c r="U3493" t="s">
        <v>26604</v>
      </c>
      <c r="V3493" t="s">
        <v>26610</v>
      </c>
      <c r="W3493" t="s">
        <v>855</v>
      </c>
      <c r="X3493">
        <v>1225</v>
      </c>
      <c r="Y3493" t="s">
        <v>26651</v>
      </c>
      <c r="Z3493" t="s">
        <v>26664</v>
      </c>
      <c r="AA3493" t="s">
        <v>26678</v>
      </c>
      <c r="AB3493" t="s">
        <v>29670</v>
      </c>
      <c r="AD3493" t="s">
        <v>39762</v>
      </c>
      <c r="AE3493">
        <v>24</v>
      </c>
      <c r="AF3493" t="s">
        <v>45541</v>
      </c>
      <c r="AG3493" t="s">
        <v>19330</v>
      </c>
      <c r="AH3493">
        <v>9</v>
      </c>
      <c r="AI3493">
        <v>1</v>
      </c>
      <c r="AJ3493">
        <v>3</v>
      </c>
      <c r="AK3493">
        <v>139.44</v>
      </c>
      <c r="AN3493" t="s">
        <v>7439</v>
      </c>
      <c r="AO3493">
        <v>35000</v>
      </c>
      <c r="AS3493" t="s">
        <v>46499</v>
      </c>
      <c r="AT3493" t="s">
        <v>46517</v>
      </c>
      <c r="AU3493">
        <v>1.7</v>
      </c>
      <c r="AV3493" t="s">
        <v>691</v>
      </c>
      <c r="AW3493" t="s">
        <v>314</v>
      </c>
    </row>
    <row r="3494" spans="1:50">
      <c r="A3494" s="1">
        <f>HYPERLINK("https://lsnyc.legalserver.org/matter/dynamic-profile/view/1879280","18-1879280")</f>
        <v>0</v>
      </c>
      <c r="B3494" t="s">
        <v>202</v>
      </c>
      <c r="C3494" t="s">
        <v>341</v>
      </c>
      <c r="D3494" t="s">
        <v>575</v>
      </c>
      <c r="E3494" t="s">
        <v>690</v>
      </c>
      <c r="F3494" t="s">
        <v>1211</v>
      </c>
      <c r="G3494" t="s">
        <v>6911</v>
      </c>
      <c r="H3494" t="s">
        <v>12399</v>
      </c>
      <c r="I3494" t="s">
        <v>17299</v>
      </c>
      <c r="J3494" t="s">
        <v>18894</v>
      </c>
      <c r="K3494">
        <v>11225</v>
      </c>
      <c r="L3494" t="s">
        <v>18958</v>
      </c>
      <c r="M3494" t="s">
        <v>18958</v>
      </c>
      <c r="N3494" t="s">
        <v>21592</v>
      </c>
      <c r="O3494" t="s">
        <v>26523</v>
      </c>
      <c r="P3494" t="s">
        <v>26560</v>
      </c>
      <c r="Q3494" t="s">
        <v>26573</v>
      </c>
      <c r="R3494" t="s">
        <v>26588</v>
      </c>
      <c r="S3494" t="s">
        <v>18959</v>
      </c>
      <c r="U3494" t="s">
        <v>26604</v>
      </c>
      <c r="V3494" t="s">
        <v>26610</v>
      </c>
      <c r="W3494" t="s">
        <v>855</v>
      </c>
      <c r="X3494">
        <v>930</v>
      </c>
      <c r="Y3494" t="s">
        <v>26652</v>
      </c>
      <c r="Z3494" t="s">
        <v>26669</v>
      </c>
      <c r="AA3494" t="s">
        <v>26678</v>
      </c>
      <c r="AB3494" t="s">
        <v>28159</v>
      </c>
      <c r="AC3494" t="s">
        <v>35538</v>
      </c>
      <c r="AD3494" t="s">
        <v>39763</v>
      </c>
      <c r="AE3494">
        <v>23</v>
      </c>
      <c r="AF3494" t="s">
        <v>20460</v>
      </c>
      <c r="AG3494" t="s">
        <v>19330</v>
      </c>
      <c r="AH3494">
        <v>45</v>
      </c>
      <c r="AI3494">
        <v>3</v>
      </c>
      <c r="AJ3494">
        <v>0</v>
      </c>
      <c r="AK3494">
        <v>95.8</v>
      </c>
      <c r="AN3494" t="s">
        <v>7439</v>
      </c>
      <c r="AO3494">
        <v>19908</v>
      </c>
      <c r="AQ3494" t="s">
        <v>46362</v>
      </c>
      <c r="AR3494" t="s">
        <v>26530</v>
      </c>
      <c r="AS3494" t="s">
        <v>46499</v>
      </c>
      <c r="AT3494" t="s">
        <v>46724</v>
      </c>
      <c r="AU3494">
        <v>14.9</v>
      </c>
      <c r="AV3494" t="s">
        <v>690</v>
      </c>
      <c r="AW3494" t="s">
        <v>281</v>
      </c>
    </row>
    <row r="3495" spans="1:50">
      <c r="A3495" s="1">
        <f>HYPERLINK("https://lsnyc.legalserver.org/matter/dynamic-profile/view/1879288","18-1879288")</f>
        <v>0</v>
      </c>
      <c r="B3495" t="s">
        <v>123</v>
      </c>
      <c r="C3495" t="s">
        <v>340</v>
      </c>
      <c r="D3495" t="s">
        <v>575</v>
      </c>
      <c r="F3495" t="s">
        <v>2018</v>
      </c>
      <c r="G3495" t="s">
        <v>6912</v>
      </c>
      <c r="H3495" t="s">
        <v>12400</v>
      </c>
      <c r="I3495" t="s">
        <v>17976</v>
      </c>
      <c r="J3495" t="s">
        <v>18894</v>
      </c>
      <c r="K3495">
        <v>11216</v>
      </c>
      <c r="L3495" t="s">
        <v>18958</v>
      </c>
      <c r="M3495" t="s">
        <v>18958</v>
      </c>
      <c r="N3495" t="s">
        <v>21593</v>
      </c>
      <c r="O3495" t="s">
        <v>26524</v>
      </c>
      <c r="P3495" t="s">
        <v>26560</v>
      </c>
      <c r="R3495" t="s">
        <v>26588</v>
      </c>
      <c r="S3495" t="s">
        <v>18959</v>
      </c>
      <c r="U3495" t="s">
        <v>26604</v>
      </c>
      <c r="V3495" t="s">
        <v>26610</v>
      </c>
      <c r="W3495" t="s">
        <v>855</v>
      </c>
      <c r="X3495">
        <v>1322.11</v>
      </c>
      <c r="Y3495" t="s">
        <v>26652</v>
      </c>
      <c r="Z3495" t="s">
        <v>26669</v>
      </c>
      <c r="AB3495" t="s">
        <v>28839</v>
      </c>
      <c r="AD3495" t="s">
        <v>39764</v>
      </c>
      <c r="AE3495">
        <v>42</v>
      </c>
      <c r="AF3495" t="s">
        <v>45541</v>
      </c>
      <c r="AG3495" t="s">
        <v>26530</v>
      </c>
      <c r="AH3495">
        <v>9</v>
      </c>
      <c r="AI3495">
        <v>1</v>
      </c>
      <c r="AJ3495">
        <v>1</v>
      </c>
      <c r="AK3495">
        <v>160.9</v>
      </c>
      <c r="AN3495" t="s">
        <v>7439</v>
      </c>
      <c r="AO3495">
        <v>26484</v>
      </c>
      <c r="AQ3495" t="s">
        <v>46362</v>
      </c>
      <c r="AU3495">
        <v>33.25</v>
      </c>
      <c r="AV3495" t="s">
        <v>820</v>
      </c>
      <c r="AW3495" t="s">
        <v>46862</v>
      </c>
      <c r="AX3495" t="s">
        <v>46897</v>
      </c>
    </row>
    <row r="3496" spans="1:50">
      <c r="A3496" s="1">
        <f>HYPERLINK("https://lsnyc.legalserver.org/matter/dynamic-profile/view/1879469","18-1879469")</f>
        <v>0</v>
      </c>
      <c r="B3496" t="s">
        <v>271</v>
      </c>
      <c r="C3496" t="s">
        <v>341</v>
      </c>
      <c r="D3496" t="s">
        <v>529</v>
      </c>
      <c r="E3496" t="s">
        <v>835</v>
      </c>
      <c r="F3496" t="s">
        <v>1134</v>
      </c>
      <c r="G3496" t="s">
        <v>5269</v>
      </c>
      <c r="H3496" t="s">
        <v>11353</v>
      </c>
      <c r="I3496" t="s">
        <v>17307</v>
      </c>
      <c r="J3496" t="s">
        <v>18894</v>
      </c>
      <c r="K3496">
        <v>11221</v>
      </c>
      <c r="L3496" t="s">
        <v>18958</v>
      </c>
      <c r="M3496" t="s">
        <v>18958</v>
      </c>
      <c r="N3496" t="s">
        <v>21594</v>
      </c>
      <c r="O3496" t="s">
        <v>26523</v>
      </c>
      <c r="P3496" t="s">
        <v>26560</v>
      </c>
      <c r="Q3496" t="s">
        <v>26568</v>
      </c>
      <c r="R3496" t="s">
        <v>26588</v>
      </c>
      <c r="U3496" t="s">
        <v>26604</v>
      </c>
      <c r="W3496" t="s">
        <v>855</v>
      </c>
      <c r="X3496">
        <v>699.72</v>
      </c>
      <c r="Y3496" t="s">
        <v>26652</v>
      </c>
      <c r="Z3496" t="s">
        <v>26669</v>
      </c>
      <c r="AA3496" t="s">
        <v>26678</v>
      </c>
      <c r="AB3496" t="s">
        <v>29671</v>
      </c>
      <c r="AE3496">
        <v>0</v>
      </c>
      <c r="AH3496">
        <v>8</v>
      </c>
      <c r="AI3496">
        <v>1</v>
      </c>
      <c r="AJ3496">
        <v>1</v>
      </c>
      <c r="AK3496">
        <v>49.21</v>
      </c>
      <c r="AN3496" t="s">
        <v>7439</v>
      </c>
      <c r="AO3496">
        <v>8100</v>
      </c>
      <c r="AS3496" t="s">
        <v>46499</v>
      </c>
      <c r="AU3496">
        <v>21.35</v>
      </c>
      <c r="AV3496" t="s">
        <v>835</v>
      </c>
      <c r="AW3496" t="s">
        <v>281</v>
      </c>
    </row>
    <row r="3497" spans="1:50">
      <c r="A3497" s="1">
        <f>HYPERLINK("https://lsnyc.legalserver.org/matter/dynamic-profile/view/1879517","18-1879517")</f>
        <v>0</v>
      </c>
      <c r="B3497" t="s">
        <v>162</v>
      </c>
      <c r="C3497" t="s">
        <v>341</v>
      </c>
      <c r="D3497" t="s">
        <v>529</v>
      </c>
      <c r="E3497" t="s">
        <v>819</v>
      </c>
      <c r="F3497" t="s">
        <v>923</v>
      </c>
      <c r="G3497" t="s">
        <v>5266</v>
      </c>
      <c r="H3497" t="s">
        <v>12401</v>
      </c>
      <c r="I3497" t="s">
        <v>17282</v>
      </c>
      <c r="J3497" t="s">
        <v>18894</v>
      </c>
      <c r="K3497">
        <v>11225</v>
      </c>
      <c r="L3497" t="s">
        <v>18958</v>
      </c>
      <c r="M3497" t="s">
        <v>18958</v>
      </c>
      <c r="N3497" t="s">
        <v>21595</v>
      </c>
      <c r="O3497" t="s">
        <v>26523</v>
      </c>
      <c r="P3497" t="s">
        <v>26560</v>
      </c>
      <c r="Q3497" t="s">
        <v>26573</v>
      </c>
      <c r="R3497" t="s">
        <v>26588</v>
      </c>
      <c r="S3497" t="s">
        <v>18959</v>
      </c>
      <c r="U3497" t="s">
        <v>26604</v>
      </c>
      <c r="V3497" t="s">
        <v>26610</v>
      </c>
      <c r="W3497" t="s">
        <v>855</v>
      </c>
      <c r="X3497">
        <v>1557</v>
      </c>
      <c r="Y3497" t="s">
        <v>26652</v>
      </c>
      <c r="Z3497" t="s">
        <v>26669</v>
      </c>
      <c r="AA3497" t="s">
        <v>26678</v>
      </c>
      <c r="AB3497" t="s">
        <v>26888</v>
      </c>
      <c r="AD3497" t="s">
        <v>39765</v>
      </c>
      <c r="AE3497">
        <v>28</v>
      </c>
      <c r="AF3497" t="s">
        <v>45553</v>
      </c>
      <c r="AG3497" t="s">
        <v>19330</v>
      </c>
      <c r="AH3497">
        <v>27</v>
      </c>
      <c r="AI3497">
        <v>1</v>
      </c>
      <c r="AJ3497">
        <v>0</v>
      </c>
      <c r="AK3497">
        <v>0</v>
      </c>
      <c r="AN3497" t="s">
        <v>7439</v>
      </c>
      <c r="AO3497">
        <v>0</v>
      </c>
      <c r="AS3497" t="s">
        <v>46499</v>
      </c>
      <c r="AT3497" t="s">
        <v>46694</v>
      </c>
      <c r="AU3497">
        <v>9.6</v>
      </c>
      <c r="AV3497" t="s">
        <v>770</v>
      </c>
      <c r="AW3497" t="s">
        <v>46862</v>
      </c>
    </row>
    <row r="3498" spans="1:50">
      <c r="A3498" s="1">
        <f>HYPERLINK("https://lsnyc.legalserver.org/matter/dynamic-profile/view/1879482","18-1879482")</f>
        <v>0</v>
      </c>
      <c r="B3498" t="s">
        <v>123</v>
      </c>
      <c r="C3498" t="s">
        <v>341</v>
      </c>
      <c r="D3498" t="s">
        <v>529</v>
      </c>
      <c r="E3498" t="s">
        <v>858</v>
      </c>
      <c r="F3498" t="s">
        <v>2683</v>
      </c>
      <c r="G3498" t="s">
        <v>6913</v>
      </c>
      <c r="H3498" t="s">
        <v>12402</v>
      </c>
      <c r="I3498" t="s">
        <v>17639</v>
      </c>
      <c r="J3498" t="s">
        <v>18894</v>
      </c>
      <c r="K3498">
        <v>11221</v>
      </c>
      <c r="L3498" t="s">
        <v>18958</v>
      </c>
      <c r="M3498" t="s">
        <v>18960</v>
      </c>
      <c r="N3498" t="s">
        <v>21596</v>
      </c>
      <c r="O3498" t="s">
        <v>26523</v>
      </c>
      <c r="P3498" t="s">
        <v>26560</v>
      </c>
      <c r="Q3498" t="s">
        <v>26568</v>
      </c>
      <c r="R3498" t="s">
        <v>26588</v>
      </c>
      <c r="S3498" t="s">
        <v>18959</v>
      </c>
      <c r="U3498" t="s">
        <v>26605</v>
      </c>
      <c r="V3498" t="s">
        <v>26612</v>
      </c>
      <c r="W3498" t="s">
        <v>855</v>
      </c>
      <c r="X3498">
        <v>400</v>
      </c>
      <c r="Y3498" t="s">
        <v>26652</v>
      </c>
      <c r="Z3498" t="s">
        <v>26664</v>
      </c>
      <c r="AA3498" t="s">
        <v>26680</v>
      </c>
      <c r="AB3498" t="s">
        <v>29672</v>
      </c>
      <c r="AC3498" t="s">
        <v>35539</v>
      </c>
      <c r="AD3498" t="s">
        <v>39766</v>
      </c>
      <c r="AE3498">
        <v>112</v>
      </c>
      <c r="AF3498" t="s">
        <v>45549</v>
      </c>
      <c r="AG3498" t="s">
        <v>19330</v>
      </c>
      <c r="AH3498">
        <v>29</v>
      </c>
      <c r="AI3498">
        <v>3</v>
      </c>
      <c r="AJ3498">
        <v>2</v>
      </c>
      <c r="AK3498">
        <v>50.94</v>
      </c>
      <c r="AN3498" t="s">
        <v>7439</v>
      </c>
      <c r="AO3498">
        <v>14988</v>
      </c>
      <c r="AQ3498" t="s">
        <v>46359</v>
      </c>
      <c r="AR3498" t="s">
        <v>46379</v>
      </c>
      <c r="AS3498" t="s">
        <v>46499</v>
      </c>
      <c r="AT3498" t="s">
        <v>46627</v>
      </c>
      <c r="AU3498">
        <v>5.02</v>
      </c>
      <c r="AV3498" t="s">
        <v>428</v>
      </c>
      <c r="AW3498" t="s">
        <v>46862</v>
      </c>
    </row>
    <row r="3499" spans="1:50">
      <c r="A3499" s="1">
        <f>HYPERLINK("https://lsnyc.legalserver.org/matter/dynamic-profile/view/1879383","18-1879383")</f>
        <v>0</v>
      </c>
      <c r="B3499" t="s">
        <v>158</v>
      </c>
      <c r="C3499" t="s">
        <v>340</v>
      </c>
      <c r="D3499" t="s">
        <v>529</v>
      </c>
      <c r="F3499" t="s">
        <v>2684</v>
      </c>
      <c r="G3499" t="s">
        <v>6914</v>
      </c>
      <c r="H3499" t="s">
        <v>12403</v>
      </c>
      <c r="I3499">
        <v>3</v>
      </c>
      <c r="J3499" t="s">
        <v>18894</v>
      </c>
      <c r="K3499">
        <v>11225</v>
      </c>
      <c r="L3499" t="s">
        <v>18958</v>
      </c>
      <c r="M3499" t="s">
        <v>18958</v>
      </c>
      <c r="N3499" t="s">
        <v>21597</v>
      </c>
      <c r="O3499" t="s">
        <v>26523</v>
      </c>
      <c r="P3499" t="s">
        <v>26560</v>
      </c>
      <c r="R3499" t="s">
        <v>26588</v>
      </c>
      <c r="U3499" t="s">
        <v>26604</v>
      </c>
      <c r="V3499" t="s">
        <v>26610</v>
      </c>
      <c r="W3499" t="s">
        <v>855</v>
      </c>
      <c r="X3499">
        <v>969.49</v>
      </c>
      <c r="Y3499" t="s">
        <v>26652</v>
      </c>
      <c r="Z3499" t="s">
        <v>26669</v>
      </c>
      <c r="AB3499" t="s">
        <v>29673</v>
      </c>
      <c r="AD3499" t="s">
        <v>39767</v>
      </c>
      <c r="AE3499">
        <v>0</v>
      </c>
      <c r="AG3499" t="s">
        <v>19330</v>
      </c>
      <c r="AH3499">
        <v>19</v>
      </c>
      <c r="AI3499">
        <v>1</v>
      </c>
      <c r="AJ3499">
        <v>1</v>
      </c>
      <c r="AK3499">
        <v>0</v>
      </c>
      <c r="AN3499" t="s">
        <v>7439</v>
      </c>
      <c r="AO3499">
        <v>0</v>
      </c>
      <c r="AU3499">
        <v>14.8</v>
      </c>
      <c r="AV3499" t="s">
        <v>822</v>
      </c>
      <c r="AW3499" t="s">
        <v>281</v>
      </c>
    </row>
    <row r="3500" spans="1:50">
      <c r="A3500" s="1">
        <f>HYPERLINK("https://lsnyc.legalserver.org/matter/dynamic-profile/view/1879443","18-1879443")</f>
        <v>0</v>
      </c>
      <c r="B3500" t="s">
        <v>158</v>
      </c>
      <c r="C3500" t="s">
        <v>340</v>
      </c>
      <c r="D3500" t="s">
        <v>529</v>
      </c>
      <c r="F3500" t="s">
        <v>1859</v>
      </c>
      <c r="G3500" t="s">
        <v>6915</v>
      </c>
      <c r="H3500" t="s">
        <v>12404</v>
      </c>
      <c r="I3500">
        <v>1</v>
      </c>
      <c r="J3500" t="s">
        <v>18894</v>
      </c>
      <c r="K3500">
        <v>11216</v>
      </c>
      <c r="L3500" t="s">
        <v>18958</v>
      </c>
      <c r="M3500" t="s">
        <v>18958</v>
      </c>
      <c r="N3500" t="s">
        <v>21598</v>
      </c>
      <c r="O3500" t="s">
        <v>26523</v>
      </c>
      <c r="P3500" t="s">
        <v>26560</v>
      </c>
      <c r="R3500" t="s">
        <v>26588</v>
      </c>
      <c r="U3500" t="s">
        <v>26604</v>
      </c>
      <c r="V3500" t="s">
        <v>26610</v>
      </c>
      <c r="W3500" t="s">
        <v>855</v>
      </c>
      <c r="X3500">
        <v>1264.29</v>
      </c>
      <c r="Y3500" t="s">
        <v>26652</v>
      </c>
      <c r="Z3500" t="s">
        <v>26669</v>
      </c>
      <c r="AB3500" t="s">
        <v>29674</v>
      </c>
      <c r="AD3500" t="s">
        <v>39768</v>
      </c>
      <c r="AE3500">
        <v>0</v>
      </c>
      <c r="AH3500">
        <v>15</v>
      </c>
      <c r="AI3500">
        <v>1</v>
      </c>
      <c r="AJ3500">
        <v>0</v>
      </c>
      <c r="AK3500">
        <v>164.45</v>
      </c>
      <c r="AN3500" t="s">
        <v>7439</v>
      </c>
      <c r="AO3500">
        <v>19964</v>
      </c>
      <c r="AQ3500" t="s">
        <v>46359</v>
      </c>
      <c r="AR3500" t="s">
        <v>26530</v>
      </c>
      <c r="AS3500" t="s">
        <v>46499</v>
      </c>
      <c r="AT3500" t="s">
        <v>46589</v>
      </c>
      <c r="AU3500">
        <v>34</v>
      </c>
      <c r="AV3500" t="s">
        <v>731</v>
      </c>
      <c r="AW3500" t="s">
        <v>281</v>
      </c>
    </row>
    <row r="3501" spans="1:50">
      <c r="A3501" s="1">
        <f>HYPERLINK("https://lsnyc.legalserver.org/matter/dynamic-profile/view/1879446","18-1879446")</f>
        <v>0</v>
      </c>
      <c r="B3501" t="s">
        <v>162</v>
      </c>
      <c r="C3501" t="s">
        <v>340</v>
      </c>
      <c r="D3501" t="s">
        <v>529</v>
      </c>
      <c r="F3501" t="s">
        <v>1191</v>
      </c>
      <c r="G3501" t="s">
        <v>992</v>
      </c>
      <c r="H3501" t="s">
        <v>12405</v>
      </c>
      <c r="I3501" t="s">
        <v>17334</v>
      </c>
      <c r="J3501" t="s">
        <v>18894</v>
      </c>
      <c r="K3501">
        <v>11221</v>
      </c>
      <c r="L3501" t="s">
        <v>18958</v>
      </c>
      <c r="M3501" t="s">
        <v>18958</v>
      </c>
      <c r="N3501" t="s">
        <v>21599</v>
      </c>
      <c r="O3501" t="s">
        <v>26523</v>
      </c>
      <c r="P3501" t="s">
        <v>26560</v>
      </c>
      <c r="R3501" t="s">
        <v>26588</v>
      </c>
      <c r="S3501" t="s">
        <v>18959</v>
      </c>
      <c r="U3501" t="s">
        <v>26604</v>
      </c>
      <c r="V3501" t="s">
        <v>26610</v>
      </c>
      <c r="W3501" t="s">
        <v>855</v>
      </c>
      <c r="X3501">
        <v>510</v>
      </c>
      <c r="Y3501" t="s">
        <v>26652</v>
      </c>
      <c r="Z3501" t="s">
        <v>26669</v>
      </c>
      <c r="AB3501" t="s">
        <v>29675</v>
      </c>
      <c r="AD3501" t="s">
        <v>39769</v>
      </c>
      <c r="AE3501">
        <v>8</v>
      </c>
      <c r="AF3501" t="s">
        <v>45551</v>
      </c>
      <c r="AG3501" t="s">
        <v>26530</v>
      </c>
      <c r="AH3501">
        <v>7</v>
      </c>
      <c r="AI3501">
        <v>1</v>
      </c>
      <c r="AJ3501">
        <v>1</v>
      </c>
      <c r="AK3501">
        <v>166.46</v>
      </c>
      <c r="AN3501" t="s">
        <v>7439</v>
      </c>
      <c r="AO3501">
        <v>27400</v>
      </c>
      <c r="AU3501">
        <v>39.65</v>
      </c>
      <c r="AV3501" t="s">
        <v>820</v>
      </c>
      <c r="AW3501" t="s">
        <v>46862</v>
      </c>
    </row>
    <row r="3502" spans="1:50">
      <c r="A3502" s="1">
        <f>HYPERLINK("https://lsnyc.legalserver.org/matter/dynamic-profile/view/1879735","18-1879735")</f>
        <v>0</v>
      </c>
      <c r="B3502" t="s">
        <v>170</v>
      </c>
      <c r="C3502" t="s">
        <v>341</v>
      </c>
      <c r="D3502" t="s">
        <v>411</v>
      </c>
      <c r="E3502" t="s">
        <v>416</v>
      </c>
      <c r="F3502" t="s">
        <v>916</v>
      </c>
      <c r="G3502" t="s">
        <v>5125</v>
      </c>
      <c r="H3502" t="s">
        <v>12406</v>
      </c>
      <c r="I3502" t="s">
        <v>17942</v>
      </c>
      <c r="J3502" t="s">
        <v>18894</v>
      </c>
      <c r="K3502">
        <v>11213</v>
      </c>
      <c r="L3502" t="s">
        <v>18958</v>
      </c>
      <c r="M3502" t="s">
        <v>18960</v>
      </c>
      <c r="N3502" t="s">
        <v>21600</v>
      </c>
      <c r="O3502" t="s">
        <v>26523</v>
      </c>
      <c r="P3502" t="s">
        <v>26560</v>
      </c>
      <c r="Q3502" t="s">
        <v>26568</v>
      </c>
      <c r="R3502" t="s">
        <v>26588</v>
      </c>
      <c r="U3502" t="s">
        <v>26604</v>
      </c>
      <c r="V3502" t="s">
        <v>26612</v>
      </c>
      <c r="W3502" t="s">
        <v>855</v>
      </c>
      <c r="X3502">
        <v>599</v>
      </c>
      <c r="Y3502" t="s">
        <v>26652</v>
      </c>
      <c r="Z3502" t="s">
        <v>26669</v>
      </c>
      <c r="AA3502" t="s">
        <v>26678</v>
      </c>
      <c r="AB3502" t="s">
        <v>29676</v>
      </c>
      <c r="AD3502" t="s">
        <v>39770</v>
      </c>
      <c r="AE3502">
        <v>0</v>
      </c>
      <c r="AG3502" t="s">
        <v>19330</v>
      </c>
      <c r="AH3502">
        <v>8</v>
      </c>
      <c r="AI3502">
        <v>1</v>
      </c>
      <c r="AJ3502">
        <v>0</v>
      </c>
      <c r="AK3502">
        <v>74.14</v>
      </c>
      <c r="AN3502" t="s">
        <v>45581</v>
      </c>
      <c r="AO3502">
        <v>9000</v>
      </c>
      <c r="AQ3502" t="s">
        <v>46366</v>
      </c>
      <c r="AR3502" t="s">
        <v>26530</v>
      </c>
      <c r="AS3502" t="s">
        <v>46499</v>
      </c>
      <c r="AT3502" t="s">
        <v>46609</v>
      </c>
      <c r="AU3502">
        <v>23.3</v>
      </c>
      <c r="AV3502" t="s">
        <v>784</v>
      </c>
      <c r="AW3502" t="s">
        <v>46853</v>
      </c>
    </row>
    <row r="3503" spans="1:50">
      <c r="A3503" s="1">
        <f>HYPERLINK("https://lsnyc.legalserver.org/matter/dynamic-profile/view/1879604","18-1879604")</f>
        <v>0</v>
      </c>
      <c r="B3503" t="s">
        <v>242</v>
      </c>
      <c r="C3503" t="s">
        <v>340</v>
      </c>
      <c r="D3503" t="s">
        <v>411</v>
      </c>
      <c r="F3503" t="s">
        <v>1066</v>
      </c>
      <c r="G3503" t="s">
        <v>6916</v>
      </c>
      <c r="H3503" t="s">
        <v>12407</v>
      </c>
      <c r="I3503" t="s">
        <v>17291</v>
      </c>
      <c r="J3503" t="s">
        <v>18894</v>
      </c>
      <c r="K3503">
        <v>11225</v>
      </c>
      <c r="L3503" t="s">
        <v>18958</v>
      </c>
      <c r="M3503" t="s">
        <v>18958</v>
      </c>
      <c r="N3503" t="s">
        <v>21601</v>
      </c>
      <c r="O3503" t="s">
        <v>26523</v>
      </c>
      <c r="P3503" t="s">
        <v>26560</v>
      </c>
      <c r="R3503" t="s">
        <v>26588</v>
      </c>
      <c r="S3503" t="s">
        <v>18959</v>
      </c>
      <c r="U3503" t="s">
        <v>26604</v>
      </c>
      <c r="V3503" t="s">
        <v>26610</v>
      </c>
      <c r="W3503" t="s">
        <v>855</v>
      </c>
      <c r="X3503">
        <v>1145</v>
      </c>
      <c r="Y3503" t="s">
        <v>26652</v>
      </c>
      <c r="Z3503" t="s">
        <v>26669</v>
      </c>
      <c r="AB3503" t="s">
        <v>29677</v>
      </c>
      <c r="AD3503" t="s">
        <v>39771</v>
      </c>
      <c r="AE3503">
        <v>82</v>
      </c>
      <c r="AF3503" t="s">
        <v>45541</v>
      </c>
      <c r="AH3503">
        <v>12</v>
      </c>
      <c r="AI3503">
        <v>1</v>
      </c>
      <c r="AJ3503">
        <v>0</v>
      </c>
      <c r="AK3503">
        <v>106.85</v>
      </c>
      <c r="AN3503" t="s">
        <v>7439</v>
      </c>
      <c r="AO3503">
        <v>12972</v>
      </c>
      <c r="AU3503">
        <v>21.25</v>
      </c>
      <c r="AV3503" t="s">
        <v>833</v>
      </c>
      <c r="AW3503" t="s">
        <v>281</v>
      </c>
    </row>
    <row r="3504" spans="1:50">
      <c r="A3504" s="1">
        <f>HYPERLINK("https://lsnyc.legalserver.org/matter/dynamic-profile/view/1879761","18-1879761")</f>
        <v>0</v>
      </c>
      <c r="B3504" t="s">
        <v>207</v>
      </c>
      <c r="C3504" t="s">
        <v>341</v>
      </c>
      <c r="D3504" t="s">
        <v>606</v>
      </c>
      <c r="E3504" t="s">
        <v>652</v>
      </c>
      <c r="F3504" t="s">
        <v>2685</v>
      </c>
      <c r="G3504" t="s">
        <v>5473</v>
      </c>
      <c r="H3504" t="s">
        <v>12408</v>
      </c>
      <c r="I3504" t="s">
        <v>17326</v>
      </c>
      <c r="J3504" t="s">
        <v>18894</v>
      </c>
      <c r="K3504">
        <v>11221</v>
      </c>
      <c r="L3504" t="s">
        <v>18958</v>
      </c>
      <c r="M3504" t="s">
        <v>18958</v>
      </c>
      <c r="N3504" t="s">
        <v>21602</v>
      </c>
      <c r="O3504" t="s">
        <v>26523</v>
      </c>
      <c r="P3504" t="s">
        <v>26560</v>
      </c>
      <c r="Q3504" t="s">
        <v>26573</v>
      </c>
      <c r="R3504" t="s">
        <v>26588</v>
      </c>
      <c r="U3504" t="s">
        <v>26604</v>
      </c>
      <c r="W3504" t="s">
        <v>855</v>
      </c>
      <c r="X3504">
        <v>860</v>
      </c>
      <c r="Y3504" t="s">
        <v>26652</v>
      </c>
      <c r="Z3504" t="s">
        <v>26669</v>
      </c>
      <c r="AA3504" t="s">
        <v>26678</v>
      </c>
      <c r="AB3504" t="s">
        <v>29678</v>
      </c>
      <c r="AD3504" t="s">
        <v>39772</v>
      </c>
      <c r="AE3504">
        <v>0</v>
      </c>
      <c r="AH3504">
        <v>18</v>
      </c>
      <c r="AI3504">
        <v>1</v>
      </c>
      <c r="AJ3504">
        <v>0</v>
      </c>
      <c r="AK3504">
        <v>19.77</v>
      </c>
      <c r="AN3504" t="s">
        <v>7439</v>
      </c>
      <c r="AO3504">
        <v>2400</v>
      </c>
      <c r="AS3504" t="s">
        <v>46499</v>
      </c>
      <c r="AT3504" t="s">
        <v>46605</v>
      </c>
      <c r="AU3504">
        <v>7</v>
      </c>
      <c r="AV3504" t="s">
        <v>652</v>
      </c>
      <c r="AW3504" t="s">
        <v>281</v>
      </c>
    </row>
    <row r="3505" spans="1:49">
      <c r="A3505" s="1">
        <f>HYPERLINK("https://lsnyc.legalserver.org/matter/dynamic-profile/view/1879829","18-1879829")</f>
        <v>0</v>
      </c>
      <c r="B3505" t="s">
        <v>230</v>
      </c>
      <c r="C3505" t="s">
        <v>341</v>
      </c>
      <c r="D3505" t="s">
        <v>412</v>
      </c>
      <c r="E3505" t="s">
        <v>830</v>
      </c>
      <c r="F3505" t="s">
        <v>1783</v>
      </c>
      <c r="G3505" t="s">
        <v>5419</v>
      </c>
      <c r="H3505" t="s">
        <v>12409</v>
      </c>
      <c r="I3505">
        <v>411</v>
      </c>
      <c r="J3505" t="s">
        <v>18894</v>
      </c>
      <c r="K3505">
        <v>11225</v>
      </c>
      <c r="L3505" t="s">
        <v>18958</v>
      </c>
      <c r="M3505" t="s">
        <v>18958</v>
      </c>
      <c r="N3505" t="s">
        <v>21603</v>
      </c>
      <c r="O3505" t="s">
        <v>26524</v>
      </c>
      <c r="P3505" t="s">
        <v>26560</v>
      </c>
      <c r="Q3505" t="s">
        <v>26568</v>
      </c>
      <c r="R3505" t="s">
        <v>26588</v>
      </c>
      <c r="S3505" t="s">
        <v>18959</v>
      </c>
      <c r="U3505" t="s">
        <v>26604</v>
      </c>
      <c r="V3505" t="s">
        <v>26609</v>
      </c>
      <c r="W3505" t="s">
        <v>855</v>
      </c>
      <c r="X3505">
        <v>1082</v>
      </c>
      <c r="Y3505" t="s">
        <v>26652</v>
      </c>
      <c r="Z3505" t="s">
        <v>26669</v>
      </c>
      <c r="AA3505" t="s">
        <v>26677</v>
      </c>
      <c r="AB3505" t="s">
        <v>29679</v>
      </c>
      <c r="AE3505">
        <v>82</v>
      </c>
      <c r="AF3505" t="s">
        <v>20460</v>
      </c>
      <c r="AG3505" t="s">
        <v>45556</v>
      </c>
      <c r="AH3505">
        <v>15</v>
      </c>
      <c r="AI3505">
        <v>1</v>
      </c>
      <c r="AJ3505">
        <v>0</v>
      </c>
      <c r="AK3505">
        <v>59.31</v>
      </c>
      <c r="AN3505" t="s">
        <v>7439</v>
      </c>
      <c r="AO3505">
        <v>7200</v>
      </c>
      <c r="AQ3505" t="s">
        <v>46359</v>
      </c>
      <c r="AR3505" t="s">
        <v>46399</v>
      </c>
      <c r="AS3505" t="s">
        <v>46499</v>
      </c>
      <c r="AT3505" t="s">
        <v>46602</v>
      </c>
      <c r="AU3505">
        <v>26</v>
      </c>
      <c r="AV3505" t="s">
        <v>765</v>
      </c>
      <c r="AW3505" t="s">
        <v>281</v>
      </c>
    </row>
    <row r="3506" spans="1:49">
      <c r="A3506" s="1">
        <f>HYPERLINK("https://lsnyc.legalserver.org/matter/dynamic-profile/view/1879937","18-1879937")</f>
        <v>0</v>
      </c>
      <c r="B3506" t="s">
        <v>227</v>
      </c>
      <c r="C3506" t="s">
        <v>341</v>
      </c>
      <c r="D3506" t="s">
        <v>412</v>
      </c>
      <c r="E3506" t="s">
        <v>803</v>
      </c>
      <c r="F3506" t="s">
        <v>1548</v>
      </c>
      <c r="G3506" t="s">
        <v>6917</v>
      </c>
      <c r="H3506" t="s">
        <v>12410</v>
      </c>
      <c r="I3506" t="s">
        <v>17309</v>
      </c>
      <c r="J3506" t="s">
        <v>18894</v>
      </c>
      <c r="K3506">
        <v>11219</v>
      </c>
      <c r="L3506" t="s">
        <v>18958</v>
      </c>
      <c r="M3506" t="s">
        <v>18958</v>
      </c>
      <c r="N3506" t="s">
        <v>21604</v>
      </c>
      <c r="O3506" t="s">
        <v>26523</v>
      </c>
      <c r="P3506" t="s">
        <v>26560</v>
      </c>
      <c r="Q3506" t="s">
        <v>26568</v>
      </c>
      <c r="R3506" t="s">
        <v>26586</v>
      </c>
      <c r="U3506" t="s">
        <v>26604</v>
      </c>
      <c r="W3506" t="s">
        <v>855</v>
      </c>
      <c r="X3506">
        <v>1326</v>
      </c>
      <c r="Y3506" t="s">
        <v>26652</v>
      </c>
      <c r="Z3506" t="s">
        <v>26664</v>
      </c>
      <c r="AA3506" t="s">
        <v>26678</v>
      </c>
      <c r="AB3506" t="s">
        <v>29680</v>
      </c>
      <c r="AC3506" t="s">
        <v>35540</v>
      </c>
      <c r="AD3506" t="s">
        <v>39773</v>
      </c>
      <c r="AE3506">
        <v>6</v>
      </c>
      <c r="AG3506" t="s">
        <v>19330</v>
      </c>
      <c r="AH3506">
        <v>3</v>
      </c>
      <c r="AI3506">
        <v>1</v>
      </c>
      <c r="AJ3506">
        <v>0</v>
      </c>
      <c r="AK3506">
        <v>110.08</v>
      </c>
      <c r="AN3506" t="s">
        <v>7439</v>
      </c>
      <c r="AO3506">
        <v>13364</v>
      </c>
      <c r="AS3506" t="s">
        <v>46499</v>
      </c>
      <c r="AT3506" t="s">
        <v>46740</v>
      </c>
      <c r="AU3506">
        <v>4.4</v>
      </c>
      <c r="AV3506" t="s">
        <v>704</v>
      </c>
      <c r="AW3506" t="s">
        <v>281</v>
      </c>
    </row>
    <row r="3507" spans="1:49">
      <c r="A3507" s="1">
        <f>HYPERLINK("https://lsnyc.legalserver.org/matter/dynamic-profile/view/1879845","18-1879845")</f>
        <v>0</v>
      </c>
      <c r="B3507" t="s">
        <v>227</v>
      </c>
      <c r="C3507" t="s">
        <v>341</v>
      </c>
      <c r="D3507" t="s">
        <v>412</v>
      </c>
      <c r="E3507" t="s">
        <v>735</v>
      </c>
      <c r="F3507" t="s">
        <v>2686</v>
      </c>
      <c r="G3507" t="s">
        <v>5086</v>
      </c>
      <c r="H3507" t="s">
        <v>12411</v>
      </c>
      <c r="I3507" t="s">
        <v>17278</v>
      </c>
      <c r="J3507" t="s">
        <v>18894</v>
      </c>
      <c r="K3507">
        <v>11225</v>
      </c>
      <c r="L3507" t="s">
        <v>18958</v>
      </c>
      <c r="M3507" t="s">
        <v>18958</v>
      </c>
      <c r="N3507" t="s">
        <v>21605</v>
      </c>
      <c r="O3507" t="s">
        <v>26523</v>
      </c>
      <c r="P3507" t="s">
        <v>26560</v>
      </c>
      <c r="Q3507" t="s">
        <v>26569</v>
      </c>
      <c r="R3507" t="s">
        <v>26588</v>
      </c>
      <c r="U3507" t="s">
        <v>26604</v>
      </c>
      <c r="W3507" t="s">
        <v>855</v>
      </c>
      <c r="X3507">
        <v>1059</v>
      </c>
      <c r="Y3507" t="s">
        <v>26652</v>
      </c>
      <c r="Z3507" t="s">
        <v>26669</v>
      </c>
      <c r="AA3507" t="s">
        <v>26681</v>
      </c>
      <c r="AB3507" t="s">
        <v>29681</v>
      </c>
      <c r="AE3507">
        <v>0</v>
      </c>
      <c r="AH3507">
        <v>14</v>
      </c>
      <c r="AI3507">
        <v>2</v>
      </c>
      <c r="AJ3507">
        <v>3</v>
      </c>
      <c r="AK3507">
        <v>0</v>
      </c>
      <c r="AN3507" t="s">
        <v>7439</v>
      </c>
      <c r="AO3507">
        <v>0</v>
      </c>
      <c r="AU3507">
        <v>10.5</v>
      </c>
      <c r="AV3507" t="s">
        <v>699</v>
      </c>
      <c r="AW3507" t="s">
        <v>281</v>
      </c>
    </row>
    <row r="3508" spans="1:49">
      <c r="A3508" s="1">
        <f>HYPERLINK("https://lsnyc.legalserver.org/matter/dynamic-profile/view/1879830","18-1879830")</f>
        <v>0</v>
      </c>
      <c r="B3508" t="s">
        <v>227</v>
      </c>
      <c r="C3508" t="s">
        <v>341</v>
      </c>
      <c r="D3508" t="s">
        <v>412</v>
      </c>
      <c r="E3508" t="s">
        <v>803</v>
      </c>
      <c r="F3508" t="s">
        <v>1801</v>
      </c>
      <c r="G3508" t="s">
        <v>6918</v>
      </c>
      <c r="H3508" t="s">
        <v>12412</v>
      </c>
      <c r="I3508" t="s">
        <v>17312</v>
      </c>
      <c r="J3508" t="s">
        <v>18894</v>
      </c>
      <c r="K3508">
        <v>11225</v>
      </c>
      <c r="L3508" t="s">
        <v>18958</v>
      </c>
      <c r="M3508" t="s">
        <v>18958</v>
      </c>
      <c r="N3508" t="s">
        <v>21606</v>
      </c>
      <c r="O3508" t="s">
        <v>26523</v>
      </c>
      <c r="P3508" t="s">
        <v>26560</v>
      </c>
      <c r="Q3508" t="s">
        <v>26568</v>
      </c>
      <c r="R3508" t="s">
        <v>26588</v>
      </c>
      <c r="U3508" t="s">
        <v>26604</v>
      </c>
      <c r="W3508" t="s">
        <v>855</v>
      </c>
      <c r="X3508">
        <v>875</v>
      </c>
      <c r="Y3508" t="s">
        <v>26652</v>
      </c>
      <c r="Z3508" t="s">
        <v>26669</v>
      </c>
      <c r="AA3508" t="s">
        <v>26678</v>
      </c>
      <c r="AB3508" t="s">
        <v>29682</v>
      </c>
      <c r="AD3508" t="s">
        <v>39774</v>
      </c>
      <c r="AE3508">
        <v>0</v>
      </c>
      <c r="AH3508">
        <v>44</v>
      </c>
      <c r="AI3508">
        <v>1</v>
      </c>
      <c r="AJ3508">
        <v>0</v>
      </c>
      <c r="AK3508">
        <v>100.82</v>
      </c>
      <c r="AN3508" t="s">
        <v>7439</v>
      </c>
      <c r="AO3508">
        <v>12240</v>
      </c>
      <c r="AS3508" t="s">
        <v>46499</v>
      </c>
      <c r="AT3508" t="s">
        <v>46740</v>
      </c>
      <c r="AU3508">
        <v>10.4</v>
      </c>
      <c r="AV3508" t="s">
        <v>727</v>
      </c>
      <c r="AW3508" t="s">
        <v>281</v>
      </c>
    </row>
    <row r="3509" spans="1:49">
      <c r="A3509" s="1">
        <f>HYPERLINK("https://lsnyc.legalserver.org/matter/dynamic-profile/view/1879818","18-1879818")</f>
        <v>0</v>
      </c>
      <c r="B3509" t="s">
        <v>129</v>
      </c>
      <c r="C3509" t="s">
        <v>341</v>
      </c>
      <c r="D3509" t="s">
        <v>412</v>
      </c>
      <c r="E3509" t="s">
        <v>494</v>
      </c>
      <c r="F3509" t="s">
        <v>2687</v>
      </c>
      <c r="G3509" t="s">
        <v>6919</v>
      </c>
      <c r="H3509" t="s">
        <v>12413</v>
      </c>
      <c r="I3509" t="s">
        <v>17323</v>
      </c>
      <c r="J3509" t="s">
        <v>18894</v>
      </c>
      <c r="K3509">
        <v>11213</v>
      </c>
      <c r="L3509" t="s">
        <v>18958</v>
      </c>
      <c r="M3509" t="s">
        <v>18960</v>
      </c>
      <c r="N3509" t="s">
        <v>21607</v>
      </c>
      <c r="O3509" t="s">
        <v>26523</v>
      </c>
      <c r="P3509" t="s">
        <v>26560</v>
      </c>
      <c r="Q3509" t="s">
        <v>26568</v>
      </c>
      <c r="R3509" t="s">
        <v>26586</v>
      </c>
      <c r="U3509" t="s">
        <v>26604</v>
      </c>
      <c r="V3509" t="s">
        <v>26610</v>
      </c>
      <c r="W3509" t="s">
        <v>855</v>
      </c>
      <c r="X3509">
        <v>1018.64</v>
      </c>
      <c r="Y3509" t="s">
        <v>26652</v>
      </c>
      <c r="Z3509" t="s">
        <v>26664</v>
      </c>
      <c r="AA3509" t="s">
        <v>26678</v>
      </c>
      <c r="AB3509" t="s">
        <v>29683</v>
      </c>
      <c r="AD3509" t="s">
        <v>39775</v>
      </c>
      <c r="AE3509">
        <v>94</v>
      </c>
      <c r="AG3509" t="s">
        <v>19330</v>
      </c>
      <c r="AH3509">
        <v>9</v>
      </c>
      <c r="AI3509">
        <v>1</v>
      </c>
      <c r="AJ3509">
        <v>1</v>
      </c>
      <c r="AK3509">
        <v>153.22</v>
      </c>
      <c r="AN3509" t="s">
        <v>7439</v>
      </c>
      <c r="AO3509">
        <v>25220</v>
      </c>
      <c r="AQ3509" t="s">
        <v>46359</v>
      </c>
      <c r="AR3509" t="s">
        <v>46380</v>
      </c>
      <c r="AS3509" t="s">
        <v>46499</v>
      </c>
      <c r="AT3509" t="s">
        <v>46559</v>
      </c>
      <c r="AU3509">
        <v>16.4</v>
      </c>
      <c r="AV3509" t="s">
        <v>415</v>
      </c>
      <c r="AW3509" t="s">
        <v>46862</v>
      </c>
    </row>
    <row r="3510" spans="1:49">
      <c r="A3510" s="1">
        <f>HYPERLINK("https://lsnyc.legalserver.org/matter/dynamic-profile/view/1879877","18-1879877")</f>
        <v>0</v>
      </c>
      <c r="B3510" t="s">
        <v>227</v>
      </c>
      <c r="C3510" t="s">
        <v>340</v>
      </c>
      <c r="D3510" t="s">
        <v>412</v>
      </c>
      <c r="F3510" t="s">
        <v>2688</v>
      </c>
      <c r="G3510" t="s">
        <v>6920</v>
      </c>
      <c r="H3510" t="s">
        <v>12414</v>
      </c>
      <c r="I3510" t="s">
        <v>17360</v>
      </c>
      <c r="J3510" t="s">
        <v>18894</v>
      </c>
      <c r="K3510">
        <v>11225</v>
      </c>
      <c r="L3510" t="s">
        <v>18958</v>
      </c>
      <c r="M3510" t="s">
        <v>18958</v>
      </c>
      <c r="N3510" t="s">
        <v>21608</v>
      </c>
      <c r="O3510" t="s">
        <v>26524</v>
      </c>
      <c r="P3510" t="s">
        <v>26560</v>
      </c>
      <c r="R3510" t="s">
        <v>26588</v>
      </c>
      <c r="U3510" t="s">
        <v>26604</v>
      </c>
      <c r="W3510" t="s">
        <v>855</v>
      </c>
      <c r="X3510">
        <v>877.0700000000001</v>
      </c>
      <c r="Y3510" t="s">
        <v>26652</v>
      </c>
      <c r="Z3510" t="s">
        <v>26669</v>
      </c>
      <c r="AB3510" t="s">
        <v>27808</v>
      </c>
      <c r="AD3510" t="s">
        <v>39776</v>
      </c>
      <c r="AE3510">
        <v>0</v>
      </c>
      <c r="AG3510" t="s">
        <v>19330</v>
      </c>
      <c r="AH3510">
        <v>34</v>
      </c>
      <c r="AI3510">
        <v>2</v>
      </c>
      <c r="AJ3510">
        <v>0</v>
      </c>
      <c r="AK3510">
        <v>0</v>
      </c>
      <c r="AN3510" t="s">
        <v>7439</v>
      </c>
      <c r="AO3510">
        <v>0</v>
      </c>
      <c r="AU3510">
        <v>46.5</v>
      </c>
      <c r="AV3510" t="s">
        <v>813</v>
      </c>
      <c r="AW3510" t="s">
        <v>281</v>
      </c>
    </row>
    <row r="3511" spans="1:49">
      <c r="A3511" s="1">
        <f>HYPERLINK("https://lsnyc.legalserver.org/matter/dynamic-profile/view/1880069","18-1880069")</f>
        <v>0</v>
      </c>
      <c r="B3511" t="s">
        <v>194</v>
      </c>
      <c r="C3511" t="s">
        <v>340</v>
      </c>
      <c r="D3511" t="s">
        <v>413</v>
      </c>
      <c r="F3511" t="s">
        <v>2689</v>
      </c>
      <c r="G3511" t="s">
        <v>6921</v>
      </c>
      <c r="H3511" t="s">
        <v>12415</v>
      </c>
      <c r="I3511" t="s">
        <v>17344</v>
      </c>
      <c r="J3511" t="s">
        <v>18893</v>
      </c>
      <c r="K3511">
        <v>10002</v>
      </c>
      <c r="L3511" t="s">
        <v>18958</v>
      </c>
      <c r="M3511" t="s">
        <v>18958</v>
      </c>
      <c r="N3511" t="s">
        <v>21609</v>
      </c>
      <c r="O3511" t="s">
        <v>26523</v>
      </c>
      <c r="P3511" t="s">
        <v>26565</v>
      </c>
      <c r="R3511" t="s">
        <v>26582</v>
      </c>
      <c r="S3511" t="s">
        <v>18959</v>
      </c>
      <c r="U3511" t="s">
        <v>26605</v>
      </c>
      <c r="W3511" t="s">
        <v>855</v>
      </c>
      <c r="X3511">
        <v>250</v>
      </c>
      <c r="Y3511" t="s">
        <v>26651</v>
      </c>
      <c r="AB3511" t="s">
        <v>29684</v>
      </c>
      <c r="AC3511" t="s">
        <v>35541</v>
      </c>
      <c r="AD3511" t="s">
        <v>39777</v>
      </c>
      <c r="AE3511">
        <v>0</v>
      </c>
      <c r="AF3511" t="s">
        <v>45549</v>
      </c>
      <c r="AH3511">
        <v>30</v>
      </c>
      <c r="AI3511">
        <v>2</v>
      </c>
      <c r="AJ3511">
        <v>0</v>
      </c>
      <c r="AK3511">
        <v>28.92</v>
      </c>
      <c r="AN3511" t="s">
        <v>7439</v>
      </c>
      <c r="AO3511">
        <v>4760</v>
      </c>
      <c r="AU3511">
        <v>4.3</v>
      </c>
      <c r="AV3511" t="s">
        <v>670</v>
      </c>
      <c r="AW3511" t="s">
        <v>46838</v>
      </c>
    </row>
    <row r="3512" spans="1:49">
      <c r="A3512" s="1">
        <f>HYPERLINK("https://lsnyc.legalserver.org/matter/dynamic-profile/view/1880122","18-1880122")</f>
        <v>0</v>
      </c>
      <c r="B3512" t="s">
        <v>194</v>
      </c>
      <c r="C3512" t="s">
        <v>340</v>
      </c>
      <c r="D3512" t="s">
        <v>413</v>
      </c>
      <c r="F3512" t="s">
        <v>1457</v>
      </c>
      <c r="G3512" t="s">
        <v>6922</v>
      </c>
      <c r="H3512" t="s">
        <v>12416</v>
      </c>
      <c r="I3512" t="s">
        <v>17356</v>
      </c>
      <c r="J3512" t="s">
        <v>18893</v>
      </c>
      <c r="K3512">
        <v>10030</v>
      </c>
      <c r="L3512" t="s">
        <v>18958</v>
      </c>
      <c r="M3512" t="s">
        <v>18958</v>
      </c>
      <c r="N3512" t="s">
        <v>21610</v>
      </c>
      <c r="O3512" t="s">
        <v>26523</v>
      </c>
      <c r="P3512" t="s">
        <v>26564</v>
      </c>
      <c r="R3512" t="s">
        <v>26582</v>
      </c>
      <c r="S3512" t="s">
        <v>18959</v>
      </c>
      <c r="U3512" t="s">
        <v>26606</v>
      </c>
      <c r="V3512" t="s">
        <v>26610</v>
      </c>
      <c r="W3512" t="s">
        <v>855</v>
      </c>
      <c r="X3512">
        <v>189</v>
      </c>
      <c r="Y3512" t="s">
        <v>26651</v>
      </c>
      <c r="Z3512" t="s">
        <v>26664</v>
      </c>
      <c r="AB3512" t="s">
        <v>29685</v>
      </c>
      <c r="AC3512" t="s">
        <v>35542</v>
      </c>
      <c r="AD3512" t="s">
        <v>39778</v>
      </c>
      <c r="AE3512">
        <v>91</v>
      </c>
      <c r="AF3512" t="s">
        <v>20460</v>
      </c>
      <c r="AG3512" t="s">
        <v>45556</v>
      </c>
      <c r="AH3512">
        <v>10</v>
      </c>
      <c r="AI3512">
        <v>2</v>
      </c>
      <c r="AJ3512">
        <v>0</v>
      </c>
      <c r="AK3512">
        <v>58.32</v>
      </c>
      <c r="AN3512" t="s">
        <v>7439</v>
      </c>
      <c r="AO3512">
        <v>9600</v>
      </c>
      <c r="AU3512">
        <v>0</v>
      </c>
      <c r="AW3512" t="s">
        <v>314</v>
      </c>
    </row>
    <row r="3513" spans="1:49">
      <c r="A3513" s="1">
        <f>HYPERLINK("https://lsnyc.legalserver.org/matter/dynamic-profile/view/1880947","18-1880947")</f>
        <v>0</v>
      </c>
      <c r="B3513" t="s">
        <v>188</v>
      </c>
      <c r="C3513" t="s">
        <v>340</v>
      </c>
      <c r="D3513" t="s">
        <v>594</v>
      </c>
      <c r="F3513" t="s">
        <v>1266</v>
      </c>
      <c r="G3513" t="s">
        <v>6582</v>
      </c>
      <c r="H3513" t="s">
        <v>12417</v>
      </c>
      <c r="I3513" t="s">
        <v>17440</v>
      </c>
      <c r="J3513" t="s">
        <v>18892</v>
      </c>
      <c r="K3513">
        <v>10452</v>
      </c>
      <c r="L3513" t="s">
        <v>18958</v>
      </c>
      <c r="M3513" t="s">
        <v>18958</v>
      </c>
      <c r="O3513" t="s">
        <v>26524</v>
      </c>
      <c r="P3513" t="s">
        <v>26560</v>
      </c>
      <c r="R3513" t="s">
        <v>26578</v>
      </c>
      <c r="S3513" t="s">
        <v>18959</v>
      </c>
      <c r="U3513" t="s">
        <v>26604</v>
      </c>
      <c r="V3513" t="s">
        <v>26610</v>
      </c>
      <c r="W3513" t="s">
        <v>855</v>
      </c>
      <c r="X3513">
        <v>1175</v>
      </c>
      <c r="Y3513" t="s">
        <v>26650</v>
      </c>
      <c r="Z3513" t="s">
        <v>26663</v>
      </c>
      <c r="AB3513" t="s">
        <v>29686</v>
      </c>
      <c r="AD3513" t="s">
        <v>39779</v>
      </c>
      <c r="AE3513">
        <v>67</v>
      </c>
      <c r="AF3513" t="s">
        <v>45541</v>
      </c>
      <c r="AG3513" t="s">
        <v>19330</v>
      </c>
      <c r="AH3513">
        <v>3</v>
      </c>
      <c r="AI3513">
        <v>1</v>
      </c>
      <c r="AJ3513">
        <v>0</v>
      </c>
      <c r="AK3513">
        <v>126.52</v>
      </c>
      <c r="AN3513" t="s">
        <v>7439</v>
      </c>
      <c r="AO3513">
        <v>15360</v>
      </c>
      <c r="AU3513">
        <v>37.1</v>
      </c>
      <c r="AV3513" t="s">
        <v>836</v>
      </c>
      <c r="AW3513" t="s">
        <v>336</v>
      </c>
    </row>
    <row r="3514" spans="1:49">
      <c r="A3514" s="1">
        <f>HYPERLINK("https://lsnyc.legalserver.org/matter/dynamic-profile/view/1880329","18-1880329")</f>
        <v>0</v>
      </c>
      <c r="B3514" t="s">
        <v>167</v>
      </c>
      <c r="C3514" t="s">
        <v>340</v>
      </c>
      <c r="D3514" t="s">
        <v>614</v>
      </c>
      <c r="F3514" t="s">
        <v>1216</v>
      </c>
      <c r="G3514" t="s">
        <v>2489</v>
      </c>
      <c r="H3514" t="s">
        <v>12418</v>
      </c>
      <c r="I3514" t="s">
        <v>17275</v>
      </c>
      <c r="J3514" t="s">
        <v>18894</v>
      </c>
      <c r="K3514">
        <v>11216</v>
      </c>
      <c r="L3514" t="s">
        <v>18958</v>
      </c>
      <c r="M3514" t="s">
        <v>18958</v>
      </c>
      <c r="N3514" t="s">
        <v>21611</v>
      </c>
      <c r="O3514" t="s">
        <v>26523</v>
      </c>
      <c r="P3514" t="s">
        <v>26560</v>
      </c>
      <c r="R3514" t="s">
        <v>26588</v>
      </c>
      <c r="U3514" t="s">
        <v>26604</v>
      </c>
      <c r="V3514" t="s">
        <v>26610</v>
      </c>
      <c r="W3514" t="s">
        <v>855</v>
      </c>
      <c r="X3514">
        <v>1677</v>
      </c>
      <c r="Y3514" t="s">
        <v>26652</v>
      </c>
      <c r="Z3514" t="s">
        <v>26669</v>
      </c>
      <c r="AB3514" t="s">
        <v>29687</v>
      </c>
      <c r="AD3514" t="s">
        <v>39780</v>
      </c>
      <c r="AE3514">
        <v>20</v>
      </c>
      <c r="AF3514" t="s">
        <v>45543</v>
      </c>
      <c r="AG3514" t="s">
        <v>45563</v>
      </c>
      <c r="AH3514">
        <v>23</v>
      </c>
      <c r="AI3514">
        <v>1</v>
      </c>
      <c r="AJ3514">
        <v>0</v>
      </c>
      <c r="AK3514">
        <v>75.22</v>
      </c>
      <c r="AN3514" t="s">
        <v>7439</v>
      </c>
      <c r="AO3514">
        <v>9132</v>
      </c>
      <c r="AR3514" t="s">
        <v>46381</v>
      </c>
      <c r="AS3514" t="s">
        <v>46499</v>
      </c>
      <c r="AT3514" t="s">
        <v>46581</v>
      </c>
      <c r="AU3514">
        <v>14.2</v>
      </c>
      <c r="AV3514" t="s">
        <v>704</v>
      </c>
      <c r="AW3514" t="s">
        <v>281</v>
      </c>
    </row>
    <row r="3515" spans="1:49">
      <c r="A3515" s="1">
        <f>HYPERLINK("https://lsnyc.legalserver.org/matter/dynamic-profile/view/1880551","18-1880551")</f>
        <v>0</v>
      </c>
      <c r="B3515" t="s">
        <v>91</v>
      </c>
      <c r="C3515" t="s">
        <v>341</v>
      </c>
      <c r="D3515" t="s">
        <v>623</v>
      </c>
      <c r="E3515" t="s">
        <v>494</v>
      </c>
      <c r="F3515" t="s">
        <v>1603</v>
      </c>
      <c r="G3515" t="s">
        <v>6923</v>
      </c>
      <c r="H3515" t="s">
        <v>12419</v>
      </c>
      <c r="J3515" t="s">
        <v>18896</v>
      </c>
      <c r="K3515">
        <v>11419</v>
      </c>
      <c r="L3515" t="s">
        <v>18958</v>
      </c>
      <c r="M3515" t="s">
        <v>18958</v>
      </c>
      <c r="N3515" t="s">
        <v>21612</v>
      </c>
      <c r="O3515" t="s">
        <v>26524</v>
      </c>
      <c r="P3515" t="s">
        <v>26564</v>
      </c>
      <c r="Q3515" t="s">
        <v>26570</v>
      </c>
      <c r="R3515" t="s">
        <v>26584</v>
      </c>
      <c r="S3515" t="s">
        <v>18959</v>
      </c>
      <c r="U3515" t="s">
        <v>26604</v>
      </c>
      <c r="V3515" t="s">
        <v>26610</v>
      </c>
      <c r="W3515" t="s">
        <v>855</v>
      </c>
      <c r="X3515">
        <v>860</v>
      </c>
      <c r="Y3515" t="s">
        <v>26653</v>
      </c>
      <c r="Z3515" t="s">
        <v>26664</v>
      </c>
      <c r="AA3515" t="s">
        <v>26683</v>
      </c>
      <c r="AB3515" t="s">
        <v>28128</v>
      </c>
      <c r="AC3515" t="s">
        <v>35543</v>
      </c>
      <c r="AD3515" t="s">
        <v>39781</v>
      </c>
      <c r="AE3515">
        <v>3</v>
      </c>
      <c r="AF3515" t="s">
        <v>20460</v>
      </c>
      <c r="AH3515">
        <v>3</v>
      </c>
      <c r="AI3515">
        <v>1</v>
      </c>
      <c r="AJ3515">
        <v>1</v>
      </c>
      <c r="AK3515">
        <v>29.4</v>
      </c>
      <c r="AN3515" t="s">
        <v>7439</v>
      </c>
      <c r="AO3515">
        <v>4840</v>
      </c>
      <c r="AU3515">
        <v>1.3</v>
      </c>
      <c r="AV3515" t="s">
        <v>668</v>
      </c>
      <c r="AW3515" t="s">
        <v>208</v>
      </c>
    </row>
    <row r="3516" spans="1:49">
      <c r="A3516" s="1">
        <f>HYPERLINK("https://lsnyc.legalserver.org/matter/dynamic-profile/view/1880782","18-1880782")</f>
        <v>0</v>
      </c>
      <c r="B3516" t="s">
        <v>170</v>
      </c>
      <c r="C3516" t="s">
        <v>341</v>
      </c>
      <c r="D3516" t="s">
        <v>630</v>
      </c>
      <c r="E3516" t="s">
        <v>821</v>
      </c>
      <c r="F3516" t="s">
        <v>2690</v>
      </c>
      <c r="G3516" t="s">
        <v>6924</v>
      </c>
      <c r="H3516" t="s">
        <v>12420</v>
      </c>
      <c r="I3516" t="s">
        <v>17300</v>
      </c>
      <c r="J3516" t="s">
        <v>18894</v>
      </c>
      <c r="K3516">
        <v>11213</v>
      </c>
      <c r="L3516" t="s">
        <v>18958</v>
      </c>
      <c r="M3516" t="s">
        <v>18960</v>
      </c>
      <c r="N3516" t="s">
        <v>21613</v>
      </c>
      <c r="O3516" t="s">
        <v>26524</v>
      </c>
      <c r="P3516" t="s">
        <v>26560</v>
      </c>
      <c r="Q3516" t="s">
        <v>26568</v>
      </c>
      <c r="R3516" t="s">
        <v>26586</v>
      </c>
      <c r="U3516" t="s">
        <v>26604</v>
      </c>
      <c r="W3516" t="s">
        <v>855</v>
      </c>
      <c r="X3516">
        <v>3150</v>
      </c>
      <c r="Y3516" t="s">
        <v>26652</v>
      </c>
      <c r="Z3516" t="s">
        <v>26664</v>
      </c>
      <c r="AA3516" t="s">
        <v>26678</v>
      </c>
      <c r="AB3516" t="s">
        <v>27636</v>
      </c>
      <c r="AD3516" t="s">
        <v>39782</v>
      </c>
      <c r="AE3516">
        <v>2</v>
      </c>
      <c r="AG3516" t="s">
        <v>19330</v>
      </c>
      <c r="AH3516">
        <v>1</v>
      </c>
      <c r="AI3516">
        <v>1</v>
      </c>
      <c r="AJ3516">
        <v>0</v>
      </c>
      <c r="AK3516">
        <v>0</v>
      </c>
      <c r="AN3516" t="s">
        <v>7439</v>
      </c>
      <c r="AO3516">
        <v>0</v>
      </c>
      <c r="AQ3516" t="s">
        <v>46361</v>
      </c>
      <c r="AR3516" t="s">
        <v>26530</v>
      </c>
      <c r="AS3516" t="s">
        <v>46499</v>
      </c>
      <c r="AU3516">
        <v>11.4</v>
      </c>
      <c r="AV3516" t="s">
        <v>786</v>
      </c>
      <c r="AW3516" t="s">
        <v>46862</v>
      </c>
    </row>
    <row r="3517" spans="1:49">
      <c r="A3517" s="1">
        <f>HYPERLINK("https://lsnyc.legalserver.org/matter/dynamic-profile/view/1880817","18-1880817")</f>
        <v>0</v>
      </c>
      <c r="B3517" t="s">
        <v>170</v>
      </c>
      <c r="C3517" t="s">
        <v>341</v>
      </c>
      <c r="D3517" t="s">
        <v>630</v>
      </c>
      <c r="E3517" t="s">
        <v>779</v>
      </c>
      <c r="F3517" t="s">
        <v>2002</v>
      </c>
      <c r="G3517" t="s">
        <v>6925</v>
      </c>
      <c r="H3517" t="s">
        <v>12421</v>
      </c>
      <c r="I3517" t="s">
        <v>17356</v>
      </c>
      <c r="J3517" t="s">
        <v>18894</v>
      </c>
      <c r="K3517">
        <v>11233</v>
      </c>
      <c r="L3517" t="s">
        <v>18958</v>
      </c>
      <c r="M3517" t="s">
        <v>18958</v>
      </c>
      <c r="N3517" t="s">
        <v>21614</v>
      </c>
      <c r="O3517" t="s">
        <v>26523</v>
      </c>
      <c r="P3517" t="s">
        <v>26560</v>
      </c>
      <c r="Q3517" t="s">
        <v>26568</v>
      </c>
      <c r="R3517" t="s">
        <v>26586</v>
      </c>
      <c r="S3517" t="s">
        <v>18959</v>
      </c>
      <c r="U3517" t="s">
        <v>26605</v>
      </c>
      <c r="V3517" t="s">
        <v>26610</v>
      </c>
      <c r="W3517" t="s">
        <v>855</v>
      </c>
      <c r="X3517">
        <v>170</v>
      </c>
      <c r="Y3517" t="s">
        <v>26652</v>
      </c>
      <c r="Z3517" t="s">
        <v>26664</v>
      </c>
      <c r="AA3517" t="s">
        <v>26680</v>
      </c>
      <c r="AB3517" t="s">
        <v>29688</v>
      </c>
      <c r="AC3517" t="s">
        <v>35544</v>
      </c>
      <c r="AD3517" t="s">
        <v>39783</v>
      </c>
      <c r="AE3517">
        <v>70</v>
      </c>
      <c r="AF3517" t="s">
        <v>45549</v>
      </c>
      <c r="AG3517" t="s">
        <v>19330</v>
      </c>
      <c r="AH3517">
        <v>2</v>
      </c>
      <c r="AI3517">
        <v>1</v>
      </c>
      <c r="AJ3517">
        <v>1</v>
      </c>
      <c r="AK3517">
        <v>109.36</v>
      </c>
      <c r="AN3517" t="s">
        <v>7439</v>
      </c>
      <c r="AO3517">
        <v>18000</v>
      </c>
      <c r="AQ3517" t="s">
        <v>46359</v>
      </c>
      <c r="AR3517" t="s">
        <v>26530</v>
      </c>
      <c r="AS3517" t="s">
        <v>46499</v>
      </c>
      <c r="AT3517" t="s">
        <v>46615</v>
      </c>
      <c r="AU3517">
        <v>4.7</v>
      </c>
      <c r="AV3517" t="s">
        <v>758</v>
      </c>
      <c r="AW3517" t="s">
        <v>46862</v>
      </c>
    </row>
    <row r="3518" spans="1:49">
      <c r="A3518" s="1">
        <f>HYPERLINK("https://lsnyc.legalserver.org/matter/dynamic-profile/view/1880678","18-1880678")</f>
        <v>0</v>
      </c>
      <c r="B3518" t="s">
        <v>191</v>
      </c>
      <c r="C3518" t="s">
        <v>340</v>
      </c>
      <c r="D3518" t="s">
        <v>630</v>
      </c>
      <c r="F3518" t="s">
        <v>1510</v>
      </c>
      <c r="G3518" t="s">
        <v>6926</v>
      </c>
      <c r="H3518" t="s">
        <v>12422</v>
      </c>
      <c r="I3518" t="s">
        <v>17299</v>
      </c>
      <c r="J3518" t="s">
        <v>18893</v>
      </c>
      <c r="K3518">
        <v>10026</v>
      </c>
      <c r="L3518" t="s">
        <v>18958</v>
      </c>
      <c r="M3518" t="s">
        <v>18958</v>
      </c>
      <c r="N3518" t="s">
        <v>21615</v>
      </c>
      <c r="O3518" t="s">
        <v>26523</v>
      </c>
      <c r="P3518" t="s">
        <v>26560</v>
      </c>
      <c r="R3518" t="s">
        <v>26580</v>
      </c>
      <c r="S3518" t="s">
        <v>18959</v>
      </c>
      <c r="U3518" t="s">
        <v>26605</v>
      </c>
      <c r="W3518" t="s">
        <v>855</v>
      </c>
      <c r="X3518">
        <v>854</v>
      </c>
      <c r="Y3518" t="s">
        <v>26651</v>
      </c>
      <c r="Z3518" t="s">
        <v>26659</v>
      </c>
      <c r="AB3518" t="s">
        <v>29689</v>
      </c>
      <c r="AD3518" t="s">
        <v>39784</v>
      </c>
      <c r="AE3518">
        <v>53</v>
      </c>
      <c r="AG3518" t="s">
        <v>45559</v>
      </c>
      <c r="AH3518">
        <v>21</v>
      </c>
      <c r="AI3518">
        <v>1</v>
      </c>
      <c r="AJ3518">
        <v>0</v>
      </c>
      <c r="AK3518">
        <v>74.14</v>
      </c>
      <c r="AM3518" t="s">
        <v>45575</v>
      </c>
      <c r="AN3518" t="s">
        <v>7439</v>
      </c>
      <c r="AO3518">
        <v>9000</v>
      </c>
      <c r="AU3518">
        <v>33.55</v>
      </c>
      <c r="AV3518" t="s">
        <v>832</v>
      </c>
      <c r="AW3518" t="s">
        <v>317</v>
      </c>
    </row>
    <row r="3519" spans="1:49">
      <c r="A3519" s="1">
        <f>HYPERLINK("https://lsnyc.legalserver.org/matter/dynamic-profile/view/1880930","18-1880930")</f>
        <v>0</v>
      </c>
      <c r="B3519" t="s">
        <v>230</v>
      </c>
      <c r="C3519" t="s">
        <v>341</v>
      </c>
      <c r="D3519" t="s">
        <v>605</v>
      </c>
      <c r="E3519" t="s">
        <v>830</v>
      </c>
      <c r="F3519" t="s">
        <v>2691</v>
      </c>
      <c r="G3519" t="s">
        <v>6927</v>
      </c>
      <c r="H3519" t="s">
        <v>12264</v>
      </c>
      <c r="I3519" t="s">
        <v>17315</v>
      </c>
      <c r="J3519" t="s">
        <v>18894</v>
      </c>
      <c r="K3519">
        <v>11221</v>
      </c>
      <c r="L3519" t="s">
        <v>18958</v>
      </c>
      <c r="M3519" t="s">
        <v>18958</v>
      </c>
      <c r="N3519" t="s">
        <v>21616</v>
      </c>
      <c r="O3519" t="s">
        <v>26523</v>
      </c>
      <c r="P3519" t="s">
        <v>26560</v>
      </c>
      <c r="Q3519" t="s">
        <v>26568</v>
      </c>
      <c r="R3519" t="s">
        <v>26588</v>
      </c>
      <c r="S3519" t="s">
        <v>18959</v>
      </c>
      <c r="U3519" t="s">
        <v>26604</v>
      </c>
      <c r="V3519" t="s">
        <v>26610</v>
      </c>
      <c r="W3519" t="s">
        <v>855</v>
      </c>
      <c r="X3519">
        <v>0</v>
      </c>
      <c r="Y3519" t="s">
        <v>26652</v>
      </c>
      <c r="Z3519" t="s">
        <v>26669</v>
      </c>
      <c r="AA3519" t="s">
        <v>26677</v>
      </c>
      <c r="AB3519" t="s">
        <v>29690</v>
      </c>
      <c r="AE3519">
        <v>196</v>
      </c>
      <c r="AF3519" t="s">
        <v>20460</v>
      </c>
      <c r="AG3519" t="s">
        <v>19330</v>
      </c>
      <c r="AH3519">
        <v>1</v>
      </c>
      <c r="AI3519">
        <v>1</v>
      </c>
      <c r="AJ3519">
        <v>2</v>
      </c>
      <c r="AK3519">
        <v>56.96</v>
      </c>
      <c r="AN3519" t="s">
        <v>7439</v>
      </c>
      <c r="AO3519">
        <v>11836</v>
      </c>
      <c r="AS3519" t="s">
        <v>46499</v>
      </c>
      <c r="AU3519">
        <v>42.9</v>
      </c>
      <c r="AV3519" t="s">
        <v>754</v>
      </c>
      <c r="AW3519" t="s">
        <v>281</v>
      </c>
    </row>
    <row r="3520" spans="1:49">
      <c r="A3520" s="1">
        <f>HYPERLINK("https://lsnyc.legalserver.org/matter/dynamic-profile/view/1881003","18-1881003")</f>
        <v>0</v>
      </c>
      <c r="B3520" t="s">
        <v>203</v>
      </c>
      <c r="C3520" t="s">
        <v>341</v>
      </c>
      <c r="D3520" t="s">
        <v>605</v>
      </c>
      <c r="E3520" t="s">
        <v>835</v>
      </c>
      <c r="F3520" t="s">
        <v>2692</v>
      </c>
      <c r="G3520" t="s">
        <v>5266</v>
      </c>
      <c r="H3520" t="s">
        <v>12264</v>
      </c>
      <c r="I3520" t="s">
        <v>17603</v>
      </c>
      <c r="J3520" t="s">
        <v>18894</v>
      </c>
      <c r="K3520">
        <v>11221</v>
      </c>
      <c r="L3520" t="s">
        <v>18958</v>
      </c>
      <c r="M3520" t="s">
        <v>18958</v>
      </c>
      <c r="N3520" t="s">
        <v>21617</v>
      </c>
      <c r="O3520" t="s">
        <v>26523</v>
      </c>
      <c r="P3520" t="s">
        <v>26560</v>
      </c>
      <c r="Q3520" t="s">
        <v>26568</v>
      </c>
      <c r="R3520" t="s">
        <v>26588</v>
      </c>
      <c r="U3520" t="s">
        <v>26604</v>
      </c>
      <c r="V3520" t="s">
        <v>26611</v>
      </c>
      <c r="W3520" t="s">
        <v>855</v>
      </c>
      <c r="X3520">
        <v>1300</v>
      </c>
      <c r="Y3520" t="s">
        <v>26652</v>
      </c>
      <c r="Z3520" t="s">
        <v>26669</v>
      </c>
      <c r="AA3520" t="s">
        <v>26678</v>
      </c>
      <c r="AB3520" t="s">
        <v>29691</v>
      </c>
      <c r="AD3520" t="s">
        <v>39785</v>
      </c>
      <c r="AE3520">
        <v>0</v>
      </c>
      <c r="AG3520" t="s">
        <v>45558</v>
      </c>
      <c r="AH3520">
        <v>2</v>
      </c>
      <c r="AI3520">
        <v>1</v>
      </c>
      <c r="AJ3520">
        <v>0</v>
      </c>
      <c r="AK3520">
        <v>40.53</v>
      </c>
      <c r="AN3520" t="s">
        <v>7439</v>
      </c>
      <c r="AO3520">
        <v>4920</v>
      </c>
      <c r="AQ3520" t="s">
        <v>46365</v>
      </c>
      <c r="AR3520" t="s">
        <v>46410</v>
      </c>
      <c r="AS3520" t="s">
        <v>46499</v>
      </c>
      <c r="AT3520" t="s">
        <v>46761</v>
      </c>
      <c r="AU3520">
        <v>19.6</v>
      </c>
      <c r="AV3520" t="s">
        <v>780</v>
      </c>
      <c r="AW3520" t="s">
        <v>281</v>
      </c>
    </row>
    <row r="3521" spans="1:50">
      <c r="A3521" s="1">
        <f>HYPERLINK("https://lsnyc.legalserver.org/matter/dynamic-profile/view/1880990","18-1880990")</f>
        <v>0</v>
      </c>
      <c r="B3521" t="s">
        <v>203</v>
      </c>
      <c r="C3521" t="s">
        <v>341</v>
      </c>
      <c r="D3521" t="s">
        <v>605</v>
      </c>
      <c r="E3521" t="s">
        <v>458</v>
      </c>
      <c r="F3521" t="s">
        <v>919</v>
      </c>
      <c r="G3521" t="s">
        <v>5008</v>
      </c>
      <c r="H3521" t="s">
        <v>12423</v>
      </c>
      <c r="I3521" t="s">
        <v>17322</v>
      </c>
      <c r="J3521" t="s">
        <v>18894</v>
      </c>
      <c r="K3521">
        <v>11221</v>
      </c>
      <c r="L3521" t="s">
        <v>18958</v>
      </c>
      <c r="M3521" t="s">
        <v>18958</v>
      </c>
      <c r="N3521" t="s">
        <v>21618</v>
      </c>
      <c r="O3521" t="s">
        <v>26523</v>
      </c>
      <c r="P3521" t="s">
        <v>26560</v>
      </c>
      <c r="Q3521" t="s">
        <v>26568</v>
      </c>
      <c r="R3521" t="s">
        <v>26588</v>
      </c>
      <c r="U3521" t="s">
        <v>26604</v>
      </c>
      <c r="V3521" t="s">
        <v>26611</v>
      </c>
      <c r="W3521" t="s">
        <v>855</v>
      </c>
      <c r="X3521">
        <v>938</v>
      </c>
      <c r="Y3521" t="s">
        <v>26652</v>
      </c>
      <c r="Z3521" t="s">
        <v>26669</v>
      </c>
      <c r="AA3521" t="s">
        <v>26678</v>
      </c>
      <c r="AB3521" t="s">
        <v>29692</v>
      </c>
      <c r="AC3521" t="s">
        <v>35545</v>
      </c>
      <c r="AD3521" t="s">
        <v>39786</v>
      </c>
      <c r="AE3521">
        <v>16</v>
      </c>
      <c r="AF3521" t="s">
        <v>45544</v>
      </c>
      <c r="AG3521" t="s">
        <v>45560</v>
      </c>
      <c r="AH3521">
        <v>2</v>
      </c>
      <c r="AI3521">
        <v>1</v>
      </c>
      <c r="AJ3521">
        <v>0</v>
      </c>
      <c r="AK3521">
        <v>74.14</v>
      </c>
      <c r="AN3521" t="s">
        <v>7439</v>
      </c>
      <c r="AO3521">
        <v>9000</v>
      </c>
      <c r="AR3521" t="s">
        <v>46381</v>
      </c>
      <c r="AS3521" t="s">
        <v>46499</v>
      </c>
      <c r="AT3521" t="s">
        <v>46648</v>
      </c>
      <c r="AU3521">
        <v>0.5</v>
      </c>
      <c r="AV3521" t="s">
        <v>458</v>
      </c>
      <c r="AW3521" t="s">
        <v>281</v>
      </c>
    </row>
    <row r="3522" spans="1:50">
      <c r="A3522" s="1">
        <f>HYPERLINK("https://lsnyc.legalserver.org/matter/dynamic-profile/view/1880986","18-1880986")</f>
        <v>0</v>
      </c>
      <c r="B3522" t="s">
        <v>106</v>
      </c>
      <c r="C3522" t="s">
        <v>341</v>
      </c>
      <c r="D3522" t="s">
        <v>605</v>
      </c>
      <c r="E3522" t="s">
        <v>739</v>
      </c>
      <c r="F3522" t="s">
        <v>2693</v>
      </c>
      <c r="G3522" t="s">
        <v>6928</v>
      </c>
      <c r="H3522" t="s">
        <v>12424</v>
      </c>
      <c r="I3522" t="s">
        <v>17977</v>
      </c>
      <c r="J3522" t="s">
        <v>18894</v>
      </c>
      <c r="K3522">
        <v>11225</v>
      </c>
      <c r="L3522" t="s">
        <v>18958</v>
      </c>
      <c r="M3522" t="s">
        <v>18958</v>
      </c>
      <c r="N3522" t="s">
        <v>21619</v>
      </c>
      <c r="O3522" t="s">
        <v>26524</v>
      </c>
      <c r="P3522" t="s">
        <v>26560</v>
      </c>
      <c r="Q3522" t="s">
        <v>26573</v>
      </c>
      <c r="R3522" t="s">
        <v>26588</v>
      </c>
      <c r="S3522" t="s">
        <v>18959</v>
      </c>
      <c r="U3522" t="s">
        <v>26604</v>
      </c>
      <c r="V3522" t="s">
        <v>26610</v>
      </c>
      <c r="W3522" t="s">
        <v>855</v>
      </c>
      <c r="X3522">
        <v>1500</v>
      </c>
      <c r="Y3522" t="s">
        <v>26652</v>
      </c>
      <c r="Z3522" t="s">
        <v>26669</v>
      </c>
      <c r="AA3522" t="s">
        <v>26678</v>
      </c>
      <c r="AB3522" t="s">
        <v>29693</v>
      </c>
      <c r="AE3522">
        <v>269</v>
      </c>
      <c r="AG3522" t="s">
        <v>19330</v>
      </c>
      <c r="AH3522">
        <v>25</v>
      </c>
      <c r="AI3522">
        <v>2</v>
      </c>
      <c r="AJ3522">
        <v>1</v>
      </c>
      <c r="AK3522">
        <v>187.68</v>
      </c>
      <c r="AN3522" t="s">
        <v>7439</v>
      </c>
      <c r="AO3522">
        <v>39000</v>
      </c>
      <c r="AR3522" t="s">
        <v>46439</v>
      </c>
      <c r="AS3522" t="s">
        <v>46499</v>
      </c>
      <c r="AT3522" t="s">
        <v>46672</v>
      </c>
      <c r="AU3522">
        <v>13.8</v>
      </c>
      <c r="AV3522" t="s">
        <v>739</v>
      </c>
      <c r="AW3522" t="s">
        <v>46862</v>
      </c>
    </row>
    <row r="3523" spans="1:50">
      <c r="A3523" s="1">
        <f>HYPERLINK("https://lsnyc.legalserver.org/matter/dynamic-profile/view/1881043","18-1881043")</f>
        <v>0</v>
      </c>
      <c r="B3523" t="s">
        <v>203</v>
      </c>
      <c r="C3523" t="s">
        <v>341</v>
      </c>
      <c r="D3523" t="s">
        <v>639</v>
      </c>
      <c r="E3523" t="s">
        <v>494</v>
      </c>
      <c r="F3523" t="s">
        <v>1756</v>
      </c>
      <c r="G3523" t="s">
        <v>3283</v>
      </c>
      <c r="H3523" t="s">
        <v>12425</v>
      </c>
      <c r="I3523" t="s">
        <v>17388</v>
      </c>
      <c r="J3523" t="s">
        <v>18894</v>
      </c>
      <c r="K3523">
        <v>11225</v>
      </c>
      <c r="L3523" t="s">
        <v>18958</v>
      </c>
      <c r="M3523" t="s">
        <v>18958</v>
      </c>
      <c r="N3523" t="s">
        <v>21620</v>
      </c>
      <c r="O3523" t="s">
        <v>26523</v>
      </c>
      <c r="P3523" t="s">
        <v>26560</v>
      </c>
      <c r="Q3523" t="s">
        <v>26568</v>
      </c>
      <c r="R3523" t="s">
        <v>26588</v>
      </c>
      <c r="U3523" t="s">
        <v>26604</v>
      </c>
      <c r="V3523" t="s">
        <v>26610</v>
      </c>
      <c r="W3523" t="s">
        <v>855</v>
      </c>
      <c r="X3523">
        <v>862.24</v>
      </c>
      <c r="Y3523" t="s">
        <v>26652</v>
      </c>
      <c r="AA3523" t="s">
        <v>26678</v>
      </c>
      <c r="AB3523" t="s">
        <v>29694</v>
      </c>
      <c r="AC3523" t="s">
        <v>35546</v>
      </c>
      <c r="AD3523" t="s">
        <v>39787</v>
      </c>
      <c r="AE3523">
        <v>0</v>
      </c>
      <c r="AG3523" t="s">
        <v>45559</v>
      </c>
      <c r="AH3523">
        <v>40</v>
      </c>
      <c r="AI3523">
        <v>2</v>
      </c>
      <c r="AJ3523">
        <v>0</v>
      </c>
      <c r="AK3523">
        <v>78.44</v>
      </c>
      <c r="AN3523" t="s">
        <v>7439</v>
      </c>
      <c r="AO3523">
        <v>12912</v>
      </c>
      <c r="AR3523" t="s">
        <v>46381</v>
      </c>
      <c r="AS3523" t="s">
        <v>46499</v>
      </c>
      <c r="AT3523" t="s">
        <v>46617</v>
      </c>
      <c r="AU3523">
        <v>0.2</v>
      </c>
      <c r="AV3523" t="s">
        <v>458</v>
      </c>
      <c r="AW3523" t="s">
        <v>281</v>
      </c>
    </row>
    <row r="3524" spans="1:50">
      <c r="A3524" s="1">
        <f>HYPERLINK("https://lsnyc.legalserver.org/matter/dynamic-profile/view/1881044","18-1881044")</f>
        <v>0</v>
      </c>
      <c r="B3524" t="s">
        <v>203</v>
      </c>
      <c r="C3524" t="s">
        <v>341</v>
      </c>
      <c r="D3524" t="s">
        <v>639</v>
      </c>
      <c r="E3524" t="s">
        <v>494</v>
      </c>
      <c r="F3524" t="s">
        <v>1062</v>
      </c>
      <c r="G3524" t="s">
        <v>5608</v>
      </c>
      <c r="H3524" t="s">
        <v>10938</v>
      </c>
      <c r="I3524" t="s">
        <v>17358</v>
      </c>
      <c r="J3524" t="s">
        <v>18894</v>
      </c>
      <c r="K3524">
        <v>11225</v>
      </c>
      <c r="L3524" t="s">
        <v>18958</v>
      </c>
      <c r="M3524" t="s">
        <v>18958</v>
      </c>
      <c r="N3524" t="s">
        <v>21621</v>
      </c>
      <c r="O3524" t="s">
        <v>26523</v>
      </c>
      <c r="P3524" t="s">
        <v>26560</v>
      </c>
      <c r="Q3524" t="s">
        <v>26568</v>
      </c>
      <c r="R3524" t="s">
        <v>26588</v>
      </c>
      <c r="U3524" t="s">
        <v>26604</v>
      </c>
      <c r="V3524" t="s">
        <v>26609</v>
      </c>
      <c r="W3524" t="s">
        <v>855</v>
      </c>
      <c r="X3524">
        <v>0</v>
      </c>
      <c r="Y3524" t="s">
        <v>26652</v>
      </c>
      <c r="Z3524" t="s">
        <v>26669</v>
      </c>
      <c r="AA3524" t="s">
        <v>26678</v>
      </c>
      <c r="AB3524" t="s">
        <v>29695</v>
      </c>
      <c r="AC3524" t="s">
        <v>35547</v>
      </c>
      <c r="AD3524" t="s">
        <v>39787</v>
      </c>
      <c r="AE3524">
        <v>100</v>
      </c>
      <c r="AH3524">
        <v>5</v>
      </c>
      <c r="AI3524">
        <v>2</v>
      </c>
      <c r="AJ3524">
        <v>2</v>
      </c>
      <c r="AK3524">
        <v>179.28</v>
      </c>
      <c r="AN3524" t="s">
        <v>7439</v>
      </c>
      <c r="AO3524">
        <v>45000</v>
      </c>
      <c r="AQ3524" t="s">
        <v>46365</v>
      </c>
      <c r="AR3524" t="s">
        <v>46381</v>
      </c>
      <c r="AS3524" t="s">
        <v>46499</v>
      </c>
      <c r="AT3524" t="s">
        <v>46653</v>
      </c>
      <c r="AU3524">
        <v>0.1</v>
      </c>
      <c r="AV3524" t="s">
        <v>458</v>
      </c>
      <c r="AW3524" t="s">
        <v>281</v>
      </c>
    </row>
    <row r="3525" spans="1:50">
      <c r="A3525" s="1">
        <f>HYPERLINK("https://lsnyc.legalserver.org/matter/dynamic-profile/view/1881073","18-1881073")</f>
        <v>0</v>
      </c>
      <c r="B3525" t="s">
        <v>106</v>
      </c>
      <c r="C3525" t="s">
        <v>341</v>
      </c>
      <c r="D3525" t="s">
        <v>639</v>
      </c>
      <c r="E3525" t="s">
        <v>786</v>
      </c>
      <c r="F3525" t="s">
        <v>1143</v>
      </c>
      <c r="G3525" t="s">
        <v>6929</v>
      </c>
      <c r="H3525" t="s">
        <v>12426</v>
      </c>
      <c r="I3525" t="s">
        <v>17331</v>
      </c>
      <c r="J3525" t="s">
        <v>18894</v>
      </c>
      <c r="K3525">
        <v>11221</v>
      </c>
      <c r="L3525" t="s">
        <v>18958</v>
      </c>
      <c r="M3525" t="s">
        <v>18958</v>
      </c>
      <c r="N3525" t="s">
        <v>21622</v>
      </c>
      <c r="O3525" t="s">
        <v>26523</v>
      </c>
      <c r="P3525" t="s">
        <v>26560</v>
      </c>
      <c r="Q3525" t="s">
        <v>26568</v>
      </c>
      <c r="R3525" t="s">
        <v>26588</v>
      </c>
      <c r="S3525" t="s">
        <v>18959</v>
      </c>
      <c r="U3525" t="s">
        <v>26604</v>
      </c>
      <c r="V3525" t="s">
        <v>26610</v>
      </c>
      <c r="W3525" t="s">
        <v>855</v>
      </c>
      <c r="X3525">
        <v>2300</v>
      </c>
      <c r="Y3525" t="s">
        <v>26652</v>
      </c>
      <c r="Z3525" t="s">
        <v>26669</v>
      </c>
      <c r="AA3525" t="s">
        <v>26678</v>
      </c>
      <c r="AB3525" t="s">
        <v>29696</v>
      </c>
      <c r="AD3525" t="s">
        <v>39788</v>
      </c>
      <c r="AE3525">
        <v>8</v>
      </c>
      <c r="AG3525" t="s">
        <v>19330</v>
      </c>
      <c r="AH3525">
        <v>2</v>
      </c>
      <c r="AI3525">
        <v>1</v>
      </c>
      <c r="AJ3525">
        <v>1</v>
      </c>
      <c r="AK3525">
        <v>87.48</v>
      </c>
      <c r="AN3525" t="s">
        <v>7439</v>
      </c>
      <c r="AO3525">
        <v>14400</v>
      </c>
      <c r="AS3525" t="s">
        <v>46499</v>
      </c>
      <c r="AT3525" t="s">
        <v>46545</v>
      </c>
      <c r="AU3525">
        <v>34.4</v>
      </c>
      <c r="AV3525" t="s">
        <v>416</v>
      </c>
      <c r="AW3525" t="s">
        <v>46862</v>
      </c>
    </row>
    <row r="3526" spans="1:50">
      <c r="A3526" s="1">
        <f>HYPERLINK("https://lsnyc.legalserver.org/matter/dynamic-profile/view/1881041","18-1881041")</f>
        <v>0</v>
      </c>
      <c r="B3526" t="s">
        <v>203</v>
      </c>
      <c r="C3526" t="s">
        <v>340</v>
      </c>
      <c r="D3526" t="s">
        <v>639</v>
      </c>
      <c r="F3526" t="s">
        <v>1221</v>
      </c>
      <c r="G3526" t="s">
        <v>6537</v>
      </c>
      <c r="H3526" t="s">
        <v>12427</v>
      </c>
      <c r="I3526" t="s">
        <v>17388</v>
      </c>
      <c r="J3526" t="s">
        <v>18894</v>
      </c>
      <c r="K3526">
        <v>11216</v>
      </c>
      <c r="L3526" t="s">
        <v>18958</v>
      </c>
      <c r="M3526" t="s">
        <v>18958</v>
      </c>
      <c r="N3526" t="s">
        <v>21623</v>
      </c>
      <c r="O3526" t="s">
        <v>26523</v>
      </c>
      <c r="P3526" t="s">
        <v>26560</v>
      </c>
      <c r="R3526" t="s">
        <v>26588</v>
      </c>
      <c r="U3526" t="s">
        <v>26604</v>
      </c>
      <c r="V3526" t="s">
        <v>26610</v>
      </c>
      <c r="W3526" t="s">
        <v>855</v>
      </c>
      <c r="X3526">
        <v>829</v>
      </c>
      <c r="Y3526" t="s">
        <v>26652</v>
      </c>
      <c r="Z3526" t="s">
        <v>26669</v>
      </c>
      <c r="AB3526" t="s">
        <v>28990</v>
      </c>
      <c r="AE3526">
        <v>136</v>
      </c>
      <c r="AG3526" t="s">
        <v>45556</v>
      </c>
      <c r="AH3526">
        <v>40</v>
      </c>
      <c r="AI3526">
        <v>2</v>
      </c>
      <c r="AJ3526">
        <v>0</v>
      </c>
      <c r="AK3526">
        <v>3.32</v>
      </c>
      <c r="AN3526" t="s">
        <v>7439</v>
      </c>
      <c r="AO3526">
        <v>546</v>
      </c>
      <c r="AU3526">
        <v>5.5</v>
      </c>
      <c r="AV3526" t="s">
        <v>786</v>
      </c>
      <c r="AW3526" t="s">
        <v>281</v>
      </c>
    </row>
    <row r="3527" spans="1:50">
      <c r="A3527" s="1">
        <f>HYPERLINK("https://lsnyc.legalserver.org/matter/dynamic-profile/view/1881082","18-1881082")</f>
        <v>0</v>
      </c>
      <c r="B3527" t="s">
        <v>193</v>
      </c>
      <c r="C3527" t="s">
        <v>340</v>
      </c>
      <c r="D3527" t="s">
        <v>639</v>
      </c>
      <c r="F3527" t="s">
        <v>2694</v>
      </c>
      <c r="G3527" t="s">
        <v>5177</v>
      </c>
      <c r="H3527" t="s">
        <v>12428</v>
      </c>
      <c r="I3527" t="s">
        <v>17333</v>
      </c>
      <c r="J3527" t="s">
        <v>18894</v>
      </c>
      <c r="K3527">
        <v>11224</v>
      </c>
      <c r="L3527" t="s">
        <v>18958</v>
      </c>
      <c r="M3527" t="s">
        <v>18958</v>
      </c>
      <c r="N3527" t="s">
        <v>21624</v>
      </c>
      <c r="O3527" t="s">
        <v>26523</v>
      </c>
      <c r="P3527" t="s">
        <v>26560</v>
      </c>
      <c r="R3527" t="s">
        <v>26586</v>
      </c>
      <c r="U3527" t="s">
        <v>26605</v>
      </c>
      <c r="W3527" t="s">
        <v>855</v>
      </c>
      <c r="X3527">
        <v>1231.35</v>
      </c>
      <c r="Y3527" t="s">
        <v>26652</v>
      </c>
      <c r="Z3527" t="s">
        <v>26664</v>
      </c>
      <c r="AB3527" t="s">
        <v>29697</v>
      </c>
      <c r="AD3527" t="s">
        <v>39789</v>
      </c>
      <c r="AE3527">
        <v>0</v>
      </c>
      <c r="AF3527" t="s">
        <v>45549</v>
      </c>
      <c r="AG3527" t="s">
        <v>19330</v>
      </c>
      <c r="AH3527">
        <v>6</v>
      </c>
      <c r="AI3527">
        <v>1</v>
      </c>
      <c r="AJ3527">
        <v>0</v>
      </c>
      <c r="AK3527">
        <v>164.74</v>
      </c>
      <c r="AN3527" t="s">
        <v>7439</v>
      </c>
      <c r="AO3527">
        <v>20000</v>
      </c>
      <c r="AU3527">
        <v>20.85</v>
      </c>
      <c r="AV3527" t="s">
        <v>747</v>
      </c>
      <c r="AW3527" t="s">
        <v>281</v>
      </c>
    </row>
    <row r="3528" spans="1:50">
      <c r="A3528" s="1">
        <f>HYPERLINK("https://lsnyc.legalserver.org/matter/dynamic-profile/view/1881296","18-1881296")</f>
        <v>0</v>
      </c>
      <c r="B3528" t="s">
        <v>99</v>
      </c>
      <c r="C3528" t="s">
        <v>341</v>
      </c>
      <c r="D3528" t="s">
        <v>631</v>
      </c>
      <c r="E3528" t="s">
        <v>817</v>
      </c>
      <c r="F3528" t="s">
        <v>969</v>
      </c>
      <c r="G3528" t="s">
        <v>5639</v>
      </c>
      <c r="H3528" t="s">
        <v>12429</v>
      </c>
      <c r="I3528" t="s">
        <v>17272</v>
      </c>
      <c r="J3528" t="s">
        <v>18894</v>
      </c>
      <c r="K3528">
        <v>11238</v>
      </c>
      <c r="L3528" t="s">
        <v>18958</v>
      </c>
      <c r="M3528" t="s">
        <v>18958</v>
      </c>
      <c r="N3528" t="s">
        <v>21625</v>
      </c>
      <c r="O3528" t="s">
        <v>26523</v>
      </c>
      <c r="P3528" t="s">
        <v>26560</v>
      </c>
      <c r="Q3528" t="s">
        <v>26568</v>
      </c>
      <c r="R3528" t="s">
        <v>26586</v>
      </c>
      <c r="S3528" t="s">
        <v>18959</v>
      </c>
      <c r="U3528" t="s">
        <v>26604</v>
      </c>
      <c r="V3528" t="s">
        <v>26609</v>
      </c>
      <c r="W3528" t="s">
        <v>855</v>
      </c>
      <c r="X3528">
        <v>584.1900000000001</v>
      </c>
      <c r="Y3528" t="s">
        <v>26652</v>
      </c>
      <c r="Z3528" t="s">
        <v>26664</v>
      </c>
      <c r="AA3528" t="s">
        <v>26678</v>
      </c>
      <c r="AB3528" t="s">
        <v>29698</v>
      </c>
      <c r="AC3528" t="s">
        <v>35548</v>
      </c>
      <c r="AD3528" t="s">
        <v>39790</v>
      </c>
      <c r="AE3528">
        <v>15</v>
      </c>
      <c r="AF3528" t="s">
        <v>45541</v>
      </c>
      <c r="AG3528" t="s">
        <v>19330</v>
      </c>
      <c r="AH3528">
        <v>21</v>
      </c>
      <c r="AI3528">
        <v>2</v>
      </c>
      <c r="AJ3528">
        <v>0</v>
      </c>
      <c r="AK3528">
        <v>97.81</v>
      </c>
      <c r="AN3528" t="s">
        <v>7439</v>
      </c>
      <c r="AO3528">
        <v>16100.18</v>
      </c>
      <c r="AQ3528" t="s">
        <v>46359</v>
      </c>
      <c r="AR3528" t="s">
        <v>46381</v>
      </c>
      <c r="AS3528" t="s">
        <v>46499</v>
      </c>
      <c r="AT3528" t="s">
        <v>46762</v>
      </c>
      <c r="AU3528">
        <v>16.9</v>
      </c>
      <c r="AV3528" t="s">
        <v>817</v>
      </c>
      <c r="AW3528" t="s">
        <v>46862</v>
      </c>
      <c r="AX3528" t="s">
        <v>46897</v>
      </c>
    </row>
    <row r="3529" spans="1:50">
      <c r="A3529" s="1">
        <f>HYPERLINK("https://lsnyc.legalserver.org/matter/dynamic-profile/view/1881248","18-1881248")</f>
        <v>0</v>
      </c>
      <c r="B3529" t="s">
        <v>172</v>
      </c>
      <c r="C3529" t="s">
        <v>341</v>
      </c>
      <c r="D3529" t="s">
        <v>631</v>
      </c>
      <c r="E3529" t="s">
        <v>735</v>
      </c>
      <c r="F3529" t="s">
        <v>1125</v>
      </c>
      <c r="G3529" t="s">
        <v>6930</v>
      </c>
      <c r="H3529" t="s">
        <v>12430</v>
      </c>
      <c r="I3529" t="s">
        <v>17334</v>
      </c>
      <c r="J3529" t="s">
        <v>18894</v>
      </c>
      <c r="K3529">
        <v>11220</v>
      </c>
      <c r="L3529" t="s">
        <v>18958</v>
      </c>
      <c r="M3529" t="s">
        <v>18960</v>
      </c>
      <c r="N3529" t="s">
        <v>21626</v>
      </c>
      <c r="O3529" t="s">
        <v>26523</v>
      </c>
      <c r="P3529" t="s">
        <v>26560</v>
      </c>
      <c r="Q3529" t="s">
        <v>26568</v>
      </c>
      <c r="R3529" t="s">
        <v>26586</v>
      </c>
      <c r="U3529" t="s">
        <v>26604</v>
      </c>
      <c r="W3529" t="s">
        <v>855</v>
      </c>
      <c r="X3529">
        <v>766.17</v>
      </c>
      <c r="Y3529" t="s">
        <v>26652</v>
      </c>
      <c r="Z3529" t="s">
        <v>26664</v>
      </c>
      <c r="AA3529" t="s">
        <v>26678</v>
      </c>
      <c r="AB3529" t="s">
        <v>29699</v>
      </c>
      <c r="AD3529" t="s">
        <v>39791</v>
      </c>
      <c r="AE3529">
        <v>6</v>
      </c>
      <c r="AH3529">
        <v>20</v>
      </c>
      <c r="AI3529">
        <v>2</v>
      </c>
      <c r="AJ3529">
        <v>2</v>
      </c>
      <c r="AK3529">
        <v>28.69</v>
      </c>
      <c r="AN3529" t="s">
        <v>7439</v>
      </c>
      <c r="AO3529">
        <v>7200</v>
      </c>
      <c r="AS3529" t="s">
        <v>46499</v>
      </c>
      <c r="AT3529" t="s">
        <v>46506</v>
      </c>
      <c r="AU3529">
        <v>13.7</v>
      </c>
      <c r="AV3529" t="s">
        <v>735</v>
      </c>
      <c r="AW3529" t="s">
        <v>46862</v>
      </c>
    </row>
    <row r="3530" spans="1:50">
      <c r="A3530" s="1">
        <f>HYPERLINK("https://lsnyc.legalserver.org/matter/dynamic-profile/view/1881160","18-1881160")</f>
        <v>0</v>
      </c>
      <c r="B3530" t="s">
        <v>193</v>
      </c>
      <c r="C3530" t="s">
        <v>340</v>
      </c>
      <c r="D3530" t="s">
        <v>631</v>
      </c>
      <c r="F3530" t="s">
        <v>1790</v>
      </c>
      <c r="G3530" t="s">
        <v>6931</v>
      </c>
      <c r="H3530" t="s">
        <v>12431</v>
      </c>
      <c r="I3530" t="s">
        <v>17951</v>
      </c>
      <c r="J3530" t="s">
        <v>18894</v>
      </c>
      <c r="K3530">
        <v>11217</v>
      </c>
      <c r="L3530" t="s">
        <v>18958</v>
      </c>
      <c r="M3530" t="s">
        <v>18958</v>
      </c>
      <c r="N3530" t="s">
        <v>21627</v>
      </c>
      <c r="O3530" t="s">
        <v>26523</v>
      </c>
      <c r="P3530" t="s">
        <v>26560</v>
      </c>
      <c r="R3530" t="s">
        <v>26586</v>
      </c>
      <c r="U3530" t="s">
        <v>26604</v>
      </c>
      <c r="W3530" t="s">
        <v>855</v>
      </c>
      <c r="X3530">
        <v>770</v>
      </c>
      <c r="Y3530" t="s">
        <v>26652</v>
      </c>
      <c r="Z3530" t="s">
        <v>26664</v>
      </c>
      <c r="AB3530" t="s">
        <v>29339</v>
      </c>
      <c r="AC3530" t="s">
        <v>35549</v>
      </c>
      <c r="AD3530" t="s">
        <v>39792</v>
      </c>
      <c r="AE3530">
        <v>0</v>
      </c>
      <c r="AG3530" t="s">
        <v>45562</v>
      </c>
      <c r="AH3530">
        <v>-1</v>
      </c>
      <c r="AI3530">
        <v>2</v>
      </c>
      <c r="AJ3530">
        <v>0</v>
      </c>
      <c r="AK3530">
        <v>81.94</v>
      </c>
      <c r="AN3530" t="s">
        <v>7439</v>
      </c>
      <c r="AO3530">
        <v>13488</v>
      </c>
      <c r="AU3530">
        <v>24.9</v>
      </c>
      <c r="AV3530" t="s">
        <v>573</v>
      </c>
      <c r="AW3530" t="s">
        <v>281</v>
      </c>
    </row>
    <row r="3531" spans="1:50">
      <c r="A3531" s="1">
        <f>HYPERLINK("https://lsnyc.legalserver.org/matter/dynamic-profile/view/1881531","18-1881531")</f>
        <v>0</v>
      </c>
      <c r="B3531" t="s">
        <v>101</v>
      </c>
      <c r="C3531" t="s">
        <v>341</v>
      </c>
      <c r="D3531" t="s">
        <v>624</v>
      </c>
      <c r="E3531" t="s">
        <v>855</v>
      </c>
      <c r="F3531" t="s">
        <v>1397</v>
      </c>
      <c r="G3531" t="s">
        <v>6932</v>
      </c>
      <c r="H3531" t="s">
        <v>12432</v>
      </c>
      <c r="J3531" t="s">
        <v>18894</v>
      </c>
      <c r="K3531">
        <v>11236</v>
      </c>
      <c r="L3531" t="s">
        <v>18958</v>
      </c>
      <c r="M3531" t="s">
        <v>18959</v>
      </c>
      <c r="P3531" t="s">
        <v>26564</v>
      </c>
      <c r="Q3531" t="s">
        <v>26570</v>
      </c>
      <c r="R3531" t="s">
        <v>26586</v>
      </c>
      <c r="U3531" t="s">
        <v>26604</v>
      </c>
      <c r="W3531" t="s">
        <v>855</v>
      </c>
      <c r="X3531">
        <v>425</v>
      </c>
      <c r="Y3531" t="s">
        <v>26652</v>
      </c>
      <c r="Z3531" t="s">
        <v>26663</v>
      </c>
      <c r="AA3531" t="s">
        <v>26683</v>
      </c>
      <c r="AB3531" t="s">
        <v>28501</v>
      </c>
      <c r="AD3531" t="s">
        <v>39793</v>
      </c>
      <c r="AE3531">
        <v>2</v>
      </c>
      <c r="AG3531" t="s">
        <v>19330</v>
      </c>
      <c r="AH3531">
        <v>8</v>
      </c>
      <c r="AI3531">
        <v>1</v>
      </c>
      <c r="AJ3531">
        <v>0</v>
      </c>
      <c r="AK3531">
        <v>18.19</v>
      </c>
      <c r="AN3531" t="s">
        <v>7439</v>
      </c>
      <c r="AO3531">
        <v>2208</v>
      </c>
      <c r="AU3531">
        <v>1.4</v>
      </c>
      <c r="AV3531" t="s">
        <v>643</v>
      </c>
      <c r="AW3531" t="s">
        <v>46853</v>
      </c>
      <c r="AX3531" t="s">
        <v>46897</v>
      </c>
    </row>
    <row r="3532" spans="1:50">
      <c r="A3532" s="1">
        <f>HYPERLINK("https://lsnyc.legalserver.org/matter/dynamic-profile/view/1881514","18-1881514")</f>
        <v>0</v>
      </c>
      <c r="B3532" t="s">
        <v>67</v>
      </c>
      <c r="C3532" t="s">
        <v>340</v>
      </c>
      <c r="D3532" t="s">
        <v>624</v>
      </c>
      <c r="F3532" t="s">
        <v>1125</v>
      </c>
      <c r="G3532" t="s">
        <v>5121</v>
      </c>
      <c r="H3532" t="s">
        <v>12433</v>
      </c>
      <c r="I3532" t="s">
        <v>17978</v>
      </c>
      <c r="J3532" t="s">
        <v>18892</v>
      </c>
      <c r="K3532">
        <v>10459</v>
      </c>
      <c r="L3532" t="s">
        <v>18958</v>
      </c>
      <c r="M3532" t="s">
        <v>18958</v>
      </c>
      <c r="N3532" t="s">
        <v>21628</v>
      </c>
      <c r="O3532" t="s">
        <v>26523</v>
      </c>
      <c r="P3532" t="s">
        <v>26564</v>
      </c>
      <c r="R3532" t="s">
        <v>26578</v>
      </c>
      <c r="U3532" t="s">
        <v>26604</v>
      </c>
      <c r="W3532" t="s">
        <v>855</v>
      </c>
      <c r="X3532">
        <v>242</v>
      </c>
      <c r="Y3532" t="s">
        <v>26650</v>
      </c>
      <c r="Z3532" t="s">
        <v>26673</v>
      </c>
      <c r="AB3532" t="s">
        <v>29700</v>
      </c>
      <c r="AD3532" t="s">
        <v>39794</v>
      </c>
      <c r="AE3532">
        <v>48</v>
      </c>
      <c r="AF3532" t="s">
        <v>45541</v>
      </c>
      <c r="AG3532" t="s">
        <v>26530</v>
      </c>
      <c r="AH3532">
        <v>6</v>
      </c>
      <c r="AI3532">
        <v>1</v>
      </c>
      <c r="AJ3532">
        <v>0</v>
      </c>
      <c r="AK3532">
        <v>69.19</v>
      </c>
      <c r="AN3532" t="s">
        <v>45581</v>
      </c>
      <c r="AO3532">
        <v>8400</v>
      </c>
      <c r="AS3532" t="s">
        <v>46500</v>
      </c>
      <c r="AT3532" t="s">
        <v>46528</v>
      </c>
      <c r="AU3532">
        <v>2.7</v>
      </c>
      <c r="AV3532" t="s">
        <v>666</v>
      </c>
      <c r="AW3532" t="s">
        <v>46861</v>
      </c>
    </row>
    <row r="3533" spans="1:50">
      <c r="A3533" s="1">
        <f>HYPERLINK("https://lsnyc.legalserver.org/matter/dynamic-profile/view/1881593","18-1881593")</f>
        <v>0</v>
      </c>
      <c r="B3533" t="s">
        <v>106</v>
      </c>
      <c r="C3533" t="s">
        <v>341</v>
      </c>
      <c r="D3533" t="s">
        <v>618</v>
      </c>
      <c r="E3533" t="s">
        <v>755</v>
      </c>
      <c r="F3533" t="s">
        <v>1371</v>
      </c>
      <c r="G3533" t="s">
        <v>6933</v>
      </c>
      <c r="H3533" t="s">
        <v>12434</v>
      </c>
      <c r="I3533">
        <v>1</v>
      </c>
      <c r="J3533" t="s">
        <v>18894</v>
      </c>
      <c r="K3533">
        <v>11221</v>
      </c>
      <c r="L3533" t="s">
        <v>18958</v>
      </c>
      <c r="M3533" t="s">
        <v>18958</v>
      </c>
      <c r="N3533" t="s">
        <v>21629</v>
      </c>
      <c r="O3533" t="s">
        <v>26523</v>
      </c>
      <c r="P3533" t="s">
        <v>26560</v>
      </c>
      <c r="Q3533" t="s">
        <v>26573</v>
      </c>
      <c r="R3533" t="s">
        <v>26588</v>
      </c>
      <c r="U3533" t="s">
        <v>26604</v>
      </c>
      <c r="W3533" t="s">
        <v>855</v>
      </c>
      <c r="X3533">
        <v>2240</v>
      </c>
      <c r="Y3533" t="s">
        <v>26652</v>
      </c>
      <c r="Z3533" t="s">
        <v>26669</v>
      </c>
      <c r="AA3533" t="s">
        <v>26678</v>
      </c>
      <c r="AB3533" t="s">
        <v>29701</v>
      </c>
      <c r="AD3533" t="s">
        <v>39795</v>
      </c>
      <c r="AE3533">
        <v>3</v>
      </c>
      <c r="AF3533" t="s">
        <v>45547</v>
      </c>
      <c r="AG3533" t="s">
        <v>45556</v>
      </c>
      <c r="AH3533">
        <v>2</v>
      </c>
      <c r="AI3533">
        <v>1</v>
      </c>
      <c r="AJ3533">
        <v>4</v>
      </c>
      <c r="AK3533">
        <v>182.45</v>
      </c>
      <c r="AN3533" t="s">
        <v>7439</v>
      </c>
      <c r="AO3533">
        <v>53676</v>
      </c>
      <c r="AS3533" t="s">
        <v>46499</v>
      </c>
      <c r="AT3533" t="s">
        <v>46604</v>
      </c>
      <c r="AU3533">
        <v>9.800000000000001</v>
      </c>
      <c r="AV3533" t="s">
        <v>755</v>
      </c>
      <c r="AW3533" t="s">
        <v>281</v>
      </c>
    </row>
    <row r="3534" spans="1:50">
      <c r="A3534" s="1">
        <f>HYPERLINK("https://lsnyc.legalserver.org/matter/dynamic-profile/view/1881610","18-1881610")</f>
        <v>0</v>
      </c>
      <c r="B3534" t="s">
        <v>206</v>
      </c>
      <c r="C3534" t="s">
        <v>341</v>
      </c>
      <c r="D3534" t="s">
        <v>618</v>
      </c>
      <c r="E3534" t="s">
        <v>735</v>
      </c>
      <c r="F3534" t="s">
        <v>918</v>
      </c>
      <c r="G3534" t="s">
        <v>6934</v>
      </c>
      <c r="H3534" t="s">
        <v>12435</v>
      </c>
      <c r="I3534">
        <v>309</v>
      </c>
      <c r="J3534" t="s">
        <v>18894</v>
      </c>
      <c r="K3534">
        <v>11221</v>
      </c>
      <c r="L3534" t="s">
        <v>18958</v>
      </c>
      <c r="M3534" t="s">
        <v>18958</v>
      </c>
      <c r="N3534" t="s">
        <v>21630</v>
      </c>
      <c r="O3534" t="s">
        <v>26523</v>
      </c>
      <c r="P3534" t="s">
        <v>26560</v>
      </c>
      <c r="Q3534" t="s">
        <v>26568</v>
      </c>
      <c r="R3534" t="s">
        <v>26588</v>
      </c>
      <c r="U3534" t="s">
        <v>26604</v>
      </c>
      <c r="W3534" t="s">
        <v>855</v>
      </c>
      <c r="X3534">
        <v>0</v>
      </c>
      <c r="Y3534" t="s">
        <v>26652</v>
      </c>
      <c r="Z3534" t="s">
        <v>26669</v>
      </c>
      <c r="AA3534" t="s">
        <v>26678</v>
      </c>
      <c r="AB3534" t="s">
        <v>29506</v>
      </c>
      <c r="AD3534" t="s">
        <v>39796</v>
      </c>
      <c r="AE3534">
        <v>90</v>
      </c>
      <c r="AH3534">
        <v>7</v>
      </c>
      <c r="AI3534">
        <v>1</v>
      </c>
      <c r="AJ3534">
        <v>0</v>
      </c>
      <c r="AK3534">
        <v>84.70999999999999</v>
      </c>
      <c r="AN3534" t="s">
        <v>7439</v>
      </c>
      <c r="AO3534">
        <v>10284</v>
      </c>
      <c r="AS3534" t="s">
        <v>46499</v>
      </c>
      <c r="AT3534" t="s">
        <v>46506</v>
      </c>
      <c r="AU3534">
        <v>7.25</v>
      </c>
      <c r="AV3534" t="s">
        <v>694</v>
      </c>
      <c r="AW3534" t="s">
        <v>281</v>
      </c>
    </row>
    <row r="3535" spans="1:50">
      <c r="A3535" s="1">
        <f>HYPERLINK("https://lsnyc.legalserver.org/matter/dynamic-profile/view/1881587","18-1881587")</f>
        <v>0</v>
      </c>
      <c r="B3535" t="s">
        <v>129</v>
      </c>
      <c r="C3535" t="s">
        <v>340</v>
      </c>
      <c r="D3535" t="s">
        <v>618</v>
      </c>
      <c r="F3535" t="s">
        <v>1502</v>
      </c>
      <c r="G3535" t="s">
        <v>6935</v>
      </c>
      <c r="H3535" t="s">
        <v>10258</v>
      </c>
      <c r="I3535" t="s">
        <v>17923</v>
      </c>
      <c r="J3535" t="s">
        <v>18894</v>
      </c>
      <c r="K3535">
        <v>11221</v>
      </c>
      <c r="L3535" t="s">
        <v>18958</v>
      </c>
      <c r="M3535" t="s">
        <v>18958</v>
      </c>
      <c r="N3535" t="s">
        <v>21631</v>
      </c>
      <c r="O3535" t="s">
        <v>26523</v>
      </c>
      <c r="P3535" t="s">
        <v>26560</v>
      </c>
      <c r="R3535" t="s">
        <v>26588</v>
      </c>
      <c r="S3535" t="s">
        <v>18959</v>
      </c>
      <c r="U3535" t="s">
        <v>26604</v>
      </c>
      <c r="V3535" t="s">
        <v>26610</v>
      </c>
      <c r="W3535" t="s">
        <v>855</v>
      </c>
      <c r="X3535">
        <v>1226</v>
      </c>
      <c r="Y3535" t="s">
        <v>26652</v>
      </c>
      <c r="Z3535" t="s">
        <v>26669</v>
      </c>
      <c r="AB3535" t="s">
        <v>28842</v>
      </c>
      <c r="AC3535" t="s">
        <v>35550</v>
      </c>
      <c r="AD3535" t="s">
        <v>39797</v>
      </c>
      <c r="AE3535">
        <v>59</v>
      </c>
      <c r="AF3535" t="s">
        <v>45541</v>
      </c>
      <c r="AG3535" t="s">
        <v>45556</v>
      </c>
      <c r="AH3535">
        <v>4</v>
      </c>
      <c r="AI3535">
        <v>1</v>
      </c>
      <c r="AJ3535">
        <v>0</v>
      </c>
      <c r="AK3535">
        <v>57.33</v>
      </c>
      <c r="AN3535" t="s">
        <v>7439</v>
      </c>
      <c r="AO3535">
        <v>6960</v>
      </c>
      <c r="AU3535">
        <v>18</v>
      </c>
      <c r="AV3535" t="s">
        <v>814</v>
      </c>
      <c r="AW3535" t="s">
        <v>281</v>
      </c>
      <c r="AX3535" t="s">
        <v>46897</v>
      </c>
    </row>
    <row r="3536" spans="1:50">
      <c r="A3536" s="1">
        <f>HYPERLINK("https://lsnyc.legalserver.org/matter/dynamic-profile/view/1881628","18-1881628")</f>
        <v>0</v>
      </c>
      <c r="B3536" t="s">
        <v>123</v>
      </c>
      <c r="C3536" t="s">
        <v>340</v>
      </c>
      <c r="D3536" t="s">
        <v>618</v>
      </c>
      <c r="F3536" t="s">
        <v>996</v>
      </c>
      <c r="G3536" t="s">
        <v>5008</v>
      </c>
      <c r="H3536" t="s">
        <v>12436</v>
      </c>
      <c r="I3536" t="s">
        <v>17306</v>
      </c>
      <c r="J3536" t="s">
        <v>18894</v>
      </c>
      <c r="K3536">
        <v>11216</v>
      </c>
      <c r="L3536" t="s">
        <v>18958</v>
      </c>
      <c r="M3536" t="s">
        <v>18960</v>
      </c>
      <c r="N3536" t="s">
        <v>21632</v>
      </c>
      <c r="O3536" t="s">
        <v>26523</v>
      </c>
      <c r="P3536" t="s">
        <v>26560</v>
      </c>
      <c r="R3536" t="s">
        <v>26588</v>
      </c>
      <c r="U3536" t="s">
        <v>26604</v>
      </c>
      <c r="V3536" t="s">
        <v>26610</v>
      </c>
      <c r="W3536" t="s">
        <v>855</v>
      </c>
      <c r="X3536">
        <v>193</v>
      </c>
      <c r="Y3536" t="s">
        <v>26652</v>
      </c>
      <c r="Z3536" t="s">
        <v>26669</v>
      </c>
      <c r="AB3536" t="s">
        <v>29702</v>
      </c>
      <c r="AE3536">
        <v>13</v>
      </c>
      <c r="AF3536" t="s">
        <v>45541</v>
      </c>
      <c r="AG3536" t="s">
        <v>45556</v>
      </c>
      <c r="AH3536">
        <v>12</v>
      </c>
      <c r="AI3536">
        <v>1</v>
      </c>
      <c r="AJ3536">
        <v>0</v>
      </c>
      <c r="AK3536">
        <v>83.23</v>
      </c>
      <c r="AN3536" t="s">
        <v>7439</v>
      </c>
      <c r="AO3536">
        <v>10104</v>
      </c>
      <c r="AR3536" t="s">
        <v>46381</v>
      </c>
      <c r="AS3536" t="s">
        <v>46499</v>
      </c>
      <c r="AT3536" t="s">
        <v>46529</v>
      </c>
      <c r="AU3536">
        <v>9.57</v>
      </c>
      <c r="AV3536" t="s">
        <v>821</v>
      </c>
      <c r="AW3536" t="s">
        <v>46862</v>
      </c>
    </row>
    <row r="3537" spans="1:50">
      <c r="A3537" s="1">
        <f>HYPERLINK("https://lsnyc.legalserver.org/matter/dynamic-profile/view/1881577","18-1881577")</f>
        <v>0</v>
      </c>
      <c r="B3537" t="s">
        <v>194</v>
      </c>
      <c r="C3537" t="s">
        <v>340</v>
      </c>
      <c r="D3537" t="s">
        <v>618</v>
      </c>
      <c r="F3537" t="s">
        <v>1796</v>
      </c>
      <c r="G3537" t="s">
        <v>6936</v>
      </c>
      <c r="H3537" t="s">
        <v>12437</v>
      </c>
      <c r="I3537">
        <v>3</v>
      </c>
      <c r="J3537" t="s">
        <v>18893</v>
      </c>
      <c r="K3537">
        <v>10027</v>
      </c>
      <c r="L3537" t="s">
        <v>18958</v>
      </c>
      <c r="M3537" t="s">
        <v>18958</v>
      </c>
      <c r="O3537" t="s">
        <v>18997</v>
      </c>
      <c r="P3537" t="s">
        <v>26564</v>
      </c>
      <c r="R3537" t="s">
        <v>26578</v>
      </c>
      <c r="S3537" t="s">
        <v>18959</v>
      </c>
      <c r="U3537" t="s">
        <v>26604</v>
      </c>
      <c r="W3537" t="s">
        <v>855</v>
      </c>
      <c r="X3537">
        <v>1428</v>
      </c>
      <c r="Y3537" t="s">
        <v>26651</v>
      </c>
      <c r="Z3537" t="s">
        <v>26661</v>
      </c>
      <c r="AB3537" t="s">
        <v>29703</v>
      </c>
      <c r="AD3537" t="s">
        <v>39798</v>
      </c>
      <c r="AE3537">
        <v>7</v>
      </c>
      <c r="AF3537" t="s">
        <v>45541</v>
      </c>
      <c r="AG3537" t="s">
        <v>19330</v>
      </c>
      <c r="AH3537">
        <v>5</v>
      </c>
      <c r="AI3537">
        <v>1</v>
      </c>
      <c r="AJ3537">
        <v>0</v>
      </c>
      <c r="AK3537">
        <v>0</v>
      </c>
      <c r="AN3537" t="s">
        <v>7439</v>
      </c>
      <c r="AO3537">
        <v>0</v>
      </c>
      <c r="AU3537">
        <v>0</v>
      </c>
      <c r="AW3537" t="s">
        <v>314</v>
      </c>
    </row>
    <row r="3538" spans="1:50">
      <c r="A3538" s="1">
        <f>HYPERLINK("https://lsnyc.legalserver.org/matter/dynamic-profile/view/1881682","18-1881682")</f>
        <v>0</v>
      </c>
      <c r="B3538" t="s">
        <v>170</v>
      </c>
      <c r="C3538" t="s">
        <v>341</v>
      </c>
      <c r="D3538" t="s">
        <v>643</v>
      </c>
      <c r="E3538" t="s">
        <v>784</v>
      </c>
      <c r="F3538" t="s">
        <v>2695</v>
      </c>
      <c r="G3538" t="s">
        <v>5473</v>
      </c>
      <c r="H3538" t="s">
        <v>12438</v>
      </c>
      <c r="I3538" t="s">
        <v>17299</v>
      </c>
      <c r="J3538" t="s">
        <v>18894</v>
      </c>
      <c r="K3538">
        <v>11216</v>
      </c>
      <c r="L3538" t="s">
        <v>18958</v>
      </c>
      <c r="M3538" t="s">
        <v>18958</v>
      </c>
      <c r="N3538" t="s">
        <v>21633</v>
      </c>
      <c r="O3538" t="s">
        <v>26523</v>
      </c>
      <c r="P3538" t="s">
        <v>26560</v>
      </c>
      <c r="Q3538" t="s">
        <v>26568</v>
      </c>
      <c r="R3538" t="s">
        <v>26588</v>
      </c>
      <c r="U3538" t="s">
        <v>26604</v>
      </c>
      <c r="W3538" t="s">
        <v>855</v>
      </c>
      <c r="X3538">
        <v>0</v>
      </c>
      <c r="Y3538" t="s">
        <v>26652</v>
      </c>
      <c r="Z3538" t="s">
        <v>26669</v>
      </c>
      <c r="AA3538" t="s">
        <v>26678</v>
      </c>
      <c r="AB3538" t="s">
        <v>29704</v>
      </c>
      <c r="AD3538" t="s">
        <v>39799</v>
      </c>
      <c r="AE3538">
        <v>0</v>
      </c>
      <c r="AH3538">
        <v>10</v>
      </c>
      <c r="AI3538">
        <v>1</v>
      </c>
      <c r="AJ3538">
        <v>0</v>
      </c>
      <c r="AK3538">
        <v>119.93</v>
      </c>
      <c r="AN3538" t="s">
        <v>7439</v>
      </c>
      <c r="AO3538">
        <v>14560</v>
      </c>
      <c r="AS3538" t="s">
        <v>46499</v>
      </c>
      <c r="AT3538" t="s">
        <v>46531</v>
      </c>
      <c r="AU3538">
        <v>5.75</v>
      </c>
      <c r="AV3538" t="s">
        <v>784</v>
      </c>
      <c r="AW3538" t="s">
        <v>281</v>
      </c>
    </row>
    <row r="3539" spans="1:50">
      <c r="A3539" s="1">
        <f>HYPERLINK("https://lsnyc.legalserver.org/matter/dynamic-profile/view/1881729","18-1881729")</f>
        <v>0</v>
      </c>
      <c r="B3539" t="s">
        <v>123</v>
      </c>
      <c r="C3539" t="s">
        <v>341</v>
      </c>
      <c r="D3539" t="s">
        <v>643</v>
      </c>
      <c r="E3539" t="s">
        <v>813</v>
      </c>
      <c r="F3539" t="s">
        <v>953</v>
      </c>
      <c r="G3539" t="s">
        <v>5269</v>
      </c>
      <c r="H3539" t="s">
        <v>12439</v>
      </c>
      <c r="I3539" t="s">
        <v>17334</v>
      </c>
      <c r="J3539" t="s">
        <v>18894</v>
      </c>
      <c r="K3539">
        <v>11221</v>
      </c>
      <c r="L3539" t="s">
        <v>18958</v>
      </c>
      <c r="M3539" t="s">
        <v>18960</v>
      </c>
      <c r="N3539" t="s">
        <v>21634</v>
      </c>
      <c r="O3539" t="s">
        <v>26523</v>
      </c>
      <c r="P3539" t="s">
        <v>26560</v>
      </c>
      <c r="Q3539" t="s">
        <v>26568</v>
      </c>
      <c r="R3539" t="s">
        <v>26588</v>
      </c>
      <c r="S3539" t="s">
        <v>18959</v>
      </c>
      <c r="U3539" t="s">
        <v>26604</v>
      </c>
      <c r="V3539" t="s">
        <v>26612</v>
      </c>
      <c r="W3539" t="s">
        <v>855</v>
      </c>
      <c r="X3539">
        <v>645</v>
      </c>
      <c r="Y3539" t="s">
        <v>26652</v>
      </c>
      <c r="Z3539" t="s">
        <v>26669</v>
      </c>
      <c r="AA3539" t="s">
        <v>26678</v>
      </c>
      <c r="AB3539" t="s">
        <v>29705</v>
      </c>
      <c r="AC3539" t="s">
        <v>35551</v>
      </c>
      <c r="AD3539" t="s">
        <v>39800</v>
      </c>
      <c r="AE3539">
        <v>7</v>
      </c>
      <c r="AF3539" t="s">
        <v>45541</v>
      </c>
      <c r="AG3539" t="s">
        <v>19330</v>
      </c>
      <c r="AH3539">
        <v>31</v>
      </c>
      <c r="AI3539">
        <v>3</v>
      </c>
      <c r="AJ3539">
        <v>1</v>
      </c>
      <c r="AK3539">
        <v>62.15</v>
      </c>
      <c r="AN3539" t="s">
        <v>7439</v>
      </c>
      <c r="AO3539">
        <v>15600</v>
      </c>
      <c r="AQ3539" t="s">
        <v>46359</v>
      </c>
      <c r="AR3539" t="s">
        <v>46379</v>
      </c>
      <c r="AS3539" t="s">
        <v>46499</v>
      </c>
      <c r="AT3539" t="s">
        <v>46677</v>
      </c>
      <c r="AU3539">
        <v>12.35</v>
      </c>
      <c r="AV3539" t="s">
        <v>763</v>
      </c>
      <c r="AW3539" t="s">
        <v>46862</v>
      </c>
      <c r="AX3539" t="s">
        <v>46897</v>
      </c>
    </row>
    <row r="3540" spans="1:50">
      <c r="A3540" s="1">
        <f>HYPERLINK("https://lsnyc.legalserver.org/matter/dynamic-profile/view/1881684","18-1881684")</f>
        <v>0</v>
      </c>
      <c r="B3540" t="s">
        <v>206</v>
      </c>
      <c r="C3540" t="s">
        <v>341</v>
      </c>
      <c r="D3540" t="s">
        <v>643</v>
      </c>
      <c r="E3540" t="s">
        <v>735</v>
      </c>
      <c r="F3540" t="s">
        <v>2696</v>
      </c>
      <c r="G3540" t="s">
        <v>2749</v>
      </c>
      <c r="H3540" t="s">
        <v>12440</v>
      </c>
      <c r="I3540">
        <v>1</v>
      </c>
      <c r="J3540" t="s">
        <v>18894</v>
      </c>
      <c r="K3540">
        <v>11221</v>
      </c>
      <c r="L3540" t="s">
        <v>18958</v>
      </c>
      <c r="M3540" t="s">
        <v>18958</v>
      </c>
      <c r="N3540" t="s">
        <v>21635</v>
      </c>
      <c r="O3540" t="s">
        <v>26523</v>
      </c>
      <c r="P3540" t="s">
        <v>26560</v>
      </c>
      <c r="Q3540" t="s">
        <v>26568</v>
      </c>
      <c r="R3540" t="s">
        <v>26588</v>
      </c>
      <c r="U3540" t="s">
        <v>26604</v>
      </c>
      <c r="W3540" t="s">
        <v>855</v>
      </c>
      <c r="X3540">
        <v>2600</v>
      </c>
      <c r="Y3540" t="s">
        <v>26652</v>
      </c>
      <c r="AA3540" t="s">
        <v>26679</v>
      </c>
      <c r="AB3540" t="s">
        <v>29706</v>
      </c>
      <c r="AD3540" t="s">
        <v>39801</v>
      </c>
      <c r="AE3540">
        <v>3</v>
      </c>
      <c r="AF3540" t="s">
        <v>45547</v>
      </c>
      <c r="AH3540">
        <v>1</v>
      </c>
      <c r="AI3540">
        <v>4</v>
      </c>
      <c r="AJ3540">
        <v>1</v>
      </c>
      <c r="AK3540">
        <v>81.58</v>
      </c>
      <c r="AN3540" t="s">
        <v>7439</v>
      </c>
      <c r="AO3540">
        <v>24000</v>
      </c>
      <c r="AU3540">
        <v>7.25</v>
      </c>
      <c r="AV3540" t="s">
        <v>677</v>
      </c>
      <c r="AW3540" t="s">
        <v>281</v>
      </c>
    </row>
    <row r="3541" spans="1:50">
      <c r="A3541" s="1">
        <f>HYPERLINK("https://lsnyc.legalserver.org/matter/dynamic-profile/view/1881845","18-1881845")</f>
        <v>0</v>
      </c>
      <c r="B3541" t="s">
        <v>158</v>
      </c>
      <c r="C3541" t="s">
        <v>340</v>
      </c>
      <c r="D3541" t="s">
        <v>645</v>
      </c>
      <c r="F3541" t="s">
        <v>2697</v>
      </c>
      <c r="G3541" t="s">
        <v>3248</v>
      </c>
      <c r="H3541" t="s">
        <v>12441</v>
      </c>
      <c r="I3541" t="s">
        <v>17272</v>
      </c>
      <c r="J3541" t="s">
        <v>18894</v>
      </c>
      <c r="K3541">
        <v>11213</v>
      </c>
      <c r="L3541" t="s">
        <v>18958</v>
      </c>
      <c r="M3541" t="s">
        <v>18958</v>
      </c>
      <c r="N3541" t="s">
        <v>21636</v>
      </c>
      <c r="O3541" t="s">
        <v>26523</v>
      </c>
      <c r="P3541" t="s">
        <v>26560</v>
      </c>
      <c r="R3541" t="s">
        <v>26586</v>
      </c>
      <c r="U3541" t="s">
        <v>26604</v>
      </c>
      <c r="V3541" t="s">
        <v>26610</v>
      </c>
      <c r="W3541" t="s">
        <v>855</v>
      </c>
      <c r="X3541">
        <v>2207</v>
      </c>
      <c r="Y3541" t="s">
        <v>26652</v>
      </c>
      <c r="Z3541" t="s">
        <v>26664</v>
      </c>
      <c r="AB3541" t="s">
        <v>29707</v>
      </c>
      <c r="AD3541" t="s">
        <v>39802</v>
      </c>
      <c r="AE3541">
        <v>16</v>
      </c>
      <c r="AG3541" t="s">
        <v>45556</v>
      </c>
      <c r="AH3541">
        <v>3</v>
      </c>
      <c r="AI3541">
        <v>2</v>
      </c>
      <c r="AJ3541">
        <v>0</v>
      </c>
      <c r="AK3541">
        <v>68.52</v>
      </c>
      <c r="AN3541" t="s">
        <v>7439</v>
      </c>
      <c r="AO3541">
        <v>11278</v>
      </c>
      <c r="AQ3541" t="s">
        <v>46359</v>
      </c>
      <c r="AR3541" t="s">
        <v>46395</v>
      </c>
      <c r="AU3541">
        <v>20.3</v>
      </c>
      <c r="AV3541" t="s">
        <v>724</v>
      </c>
      <c r="AW3541" t="s">
        <v>281</v>
      </c>
    </row>
    <row r="3542" spans="1:50">
      <c r="A3542" s="1">
        <f>HYPERLINK("https://lsnyc.legalserver.org/matter/dynamic-profile/view/1881990","18-1881990")</f>
        <v>0</v>
      </c>
      <c r="B3542" t="s">
        <v>173</v>
      </c>
      <c r="C3542" t="s">
        <v>341</v>
      </c>
      <c r="D3542" t="s">
        <v>641</v>
      </c>
      <c r="E3542" t="s">
        <v>834</v>
      </c>
      <c r="F3542" t="s">
        <v>2698</v>
      </c>
      <c r="G3542" t="s">
        <v>6937</v>
      </c>
      <c r="H3542" t="s">
        <v>12442</v>
      </c>
      <c r="I3542" t="s">
        <v>17299</v>
      </c>
      <c r="J3542" t="s">
        <v>18893</v>
      </c>
      <c r="K3542">
        <v>10027</v>
      </c>
      <c r="L3542" t="s">
        <v>18958</v>
      </c>
      <c r="M3542" t="s">
        <v>18958</v>
      </c>
      <c r="N3542" t="s">
        <v>21637</v>
      </c>
      <c r="O3542" t="s">
        <v>26523</v>
      </c>
      <c r="P3542" t="s">
        <v>26560</v>
      </c>
      <c r="Q3542" t="s">
        <v>26570</v>
      </c>
      <c r="R3542" t="s">
        <v>26580</v>
      </c>
      <c r="S3542" t="s">
        <v>18959</v>
      </c>
      <c r="U3542" t="s">
        <v>26604</v>
      </c>
      <c r="V3542" t="s">
        <v>26610</v>
      </c>
      <c r="W3542" t="s">
        <v>855</v>
      </c>
      <c r="X3542">
        <v>916.1900000000001</v>
      </c>
      <c r="Y3542" t="s">
        <v>26651</v>
      </c>
      <c r="Z3542" t="s">
        <v>26530</v>
      </c>
      <c r="AA3542" t="s">
        <v>26683</v>
      </c>
      <c r="AB3542" t="s">
        <v>29708</v>
      </c>
      <c r="AD3542" t="s">
        <v>39803</v>
      </c>
      <c r="AE3542">
        <v>10</v>
      </c>
      <c r="AF3542" t="s">
        <v>20460</v>
      </c>
      <c r="AG3542" t="s">
        <v>19330</v>
      </c>
      <c r="AH3542">
        <v>19</v>
      </c>
      <c r="AI3542">
        <v>1</v>
      </c>
      <c r="AJ3542">
        <v>0</v>
      </c>
      <c r="AK3542">
        <v>88.95999999999999</v>
      </c>
      <c r="AN3542" t="s">
        <v>7439</v>
      </c>
      <c r="AO3542">
        <v>10800</v>
      </c>
      <c r="AU3542">
        <v>0.25</v>
      </c>
      <c r="AV3542" t="s">
        <v>834</v>
      </c>
      <c r="AW3542" t="s">
        <v>314</v>
      </c>
      <c r="AX3542" t="s">
        <v>46897</v>
      </c>
    </row>
    <row r="3543" spans="1:50">
      <c r="A3543" s="1">
        <f>HYPERLINK("https://lsnyc.legalserver.org/matter/dynamic-profile/view/1882072","18-1882072")</f>
        <v>0</v>
      </c>
      <c r="B3543" t="s">
        <v>84</v>
      </c>
      <c r="C3543" t="s">
        <v>340</v>
      </c>
      <c r="D3543" t="s">
        <v>641</v>
      </c>
      <c r="F3543" t="s">
        <v>1282</v>
      </c>
      <c r="G3543" t="s">
        <v>6350</v>
      </c>
      <c r="H3543" t="s">
        <v>12443</v>
      </c>
      <c r="I3543" t="s">
        <v>17273</v>
      </c>
      <c r="J3543" t="s">
        <v>18893</v>
      </c>
      <c r="K3543">
        <v>10026</v>
      </c>
      <c r="L3543" t="s">
        <v>18958</v>
      </c>
      <c r="M3543" t="s">
        <v>18958</v>
      </c>
      <c r="N3543" t="s">
        <v>21638</v>
      </c>
      <c r="O3543" t="s">
        <v>26523</v>
      </c>
      <c r="P3543" t="s">
        <v>26560</v>
      </c>
      <c r="R3543" t="s">
        <v>26580</v>
      </c>
      <c r="S3543" t="s">
        <v>18959</v>
      </c>
      <c r="U3543" t="s">
        <v>26606</v>
      </c>
      <c r="V3543" t="s">
        <v>26611</v>
      </c>
      <c r="W3543" t="s">
        <v>855</v>
      </c>
      <c r="X3543">
        <v>676</v>
      </c>
      <c r="Y3543" t="s">
        <v>26651</v>
      </c>
      <c r="Z3543" t="s">
        <v>26664</v>
      </c>
      <c r="AB3543" t="s">
        <v>29709</v>
      </c>
      <c r="AD3543" t="s">
        <v>39804</v>
      </c>
      <c r="AE3543">
        <v>30</v>
      </c>
      <c r="AF3543" t="s">
        <v>20460</v>
      </c>
      <c r="AG3543" t="s">
        <v>19330</v>
      </c>
      <c r="AH3543">
        <v>9</v>
      </c>
      <c r="AI3543">
        <v>2</v>
      </c>
      <c r="AJ3543">
        <v>1</v>
      </c>
      <c r="AK3543">
        <v>84.58</v>
      </c>
      <c r="AN3543" t="s">
        <v>7439</v>
      </c>
      <c r="AO3543">
        <v>17576</v>
      </c>
      <c r="AU3543">
        <v>34.52</v>
      </c>
      <c r="AV3543" t="s">
        <v>671</v>
      </c>
      <c r="AW3543" t="s">
        <v>314</v>
      </c>
    </row>
    <row r="3544" spans="1:50">
      <c r="A3544" s="1">
        <f>HYPERLINK("https://lsnyc.legalserver.org/matter/dynamic-profile/view/1882194","18-1882194")</f>
        <v>0</v>
      </c>
      <c r="B3544" t="s">
        <v>211</v>
      </c>
      <c r="C3544" t="s">
        <v>340</v>
      </c>
      <c r="D3544" t="s">
        <v>644</v>
      </c>
      <c r="F3544" t="s">
        <v>1025</v>
      </c>
      <c r="G3544" t="s">
        <v>5627</v>
      </c>
      <c r="H3544" t="s">
        <v>10362</v>
      </c>
      <c r="I3544" t="s">
        <v>17332</v>
      </c>
      <c r="J3544" t="s">
        <v>18894</v>
      </c>
      <c r="K3544">
        <v>11233</v>
      </c>
      <c r="L3544" t="s">
        <v>18958</v>
      </c>
      <c r="M3544" t="s">
        <v>18958</v>
      </c>
      <c r="N3544" t="s">
        <v>18997</v>
      </c>
      <c r="O3544" t="s">
        <v>26531</v>
      </c>
      <c r="P3544" t="s">
        <v>26565</v>
      </c>
      <c r="R3544" t="s">
        <v>26578</v>
      </c>
      <c r="S3544" t="s">
        <v>18958</v>
      </c>
      <c r="U3544" t="s">
        <v>26604</v>
      </c>
      <c r="V3544" t="s">
        <v>26610</v>
      </c>
      <c r="W3544" t="s">
        <v>855</v>
      </c>
      <c r="X3544">
        <v>623</v>
      </c>
      <c r="Y3544" t="s">
        <v>26652</v>
      </c>
      <c r="Z3544" t="s">
        <v>26659</v>
      </c>
      <c r="AB3544" t="s">
        <v>27469</v>
      </c>
      <c r="AC3544" t="s">
        <v>19330</v>
      </c>
      <c r="AD3544" t="s">
        <v>37529</v>
      </c>
      <c r="AE3544">
        <v>6</v>
      </c>
      <c r="AF3544" t="s">
        <v>45541</v>
      </c>
      <c r="AG3544" t="s">
        <v>19330</v>
      </c>
      <c r="AH3544">
        <v>38</v>
      </c>
      <c r="AI3544">
        <v>1</v>
      </c>
      <c r="AJ3544">
        <v>0</v>
      </c>
      <c r="AK3544">
        <v>304.78</v>
      </c>
      <c r="AL3544" t="s">
        <v>614</v>
      </c>
      <c r="AM3544" t="s">
        <v>45575</v>
      </c>
      <c r="AN3544" t="s">
        <v>7439</v>
      </c>
      <c r="AO3544">
        <v>37000</v>
      </c>
      <c r="AU3544">
        <v>70.59999999999999</v>
      </c>
      <c r="AV3544" t="s">
        <v>836</v>
      </c>
      <c r="AW3544" t="s">
        <v>279</v>
      </c>
    </row>
    <row r="3545" spans="1:50">
      <c r="A3545" s="1">
        <f>HYPERLINK("https://lsnyc.legalserver.org/matter/dynamic-profile/view/1882309","18-1882309")</f>
        <v>0</v>
      </c>
      <c r="B3545" t="s">
        <v>180</v>
      </c>
      <c r="C3545" t="s">
        <v>341</v>
      </c>
      <c r="D3545" t="s">
        <v>427</v>
      </c>
      <c r="E3545" t="s">
        <v>494</v>
      </c>
      <c r="F3545" t="s">
        <v>940</v>
      </c>
      <c r="G3545" t="s">
        <v>5929</v>
      </c>
      <c r="H3545" t="s">
        <v>12444</v>
      </c>
      <c r="I3545">
        <v>2</v>
      </c>
      <c r="J3545" t="s">
        <v>18894</v>
      </c>
      <c r="K3545">
        <v>11235</v>
      </c>
      <c r="L3545" t="s">
        <v>18958</v>
      </c>
      <c r="M3545" t="s">
        <v>18960</v>
      </c>
      <c r="N3545" t="s">
        <v>21639</v>
      </c>
      <c r="O3545" t="s">
        <v>26523</v>
      </c>
      <c r="P3545" t="s">
        <v>26560</v>
      </c>
      <c r="Q3545" t="s">
        <v>26568</v>
      </c>
      <c r="R3545" t="s">
        <v>26586</v>
      </c>
      <c r="U3545" t="s">
        <v>26604</v>
      </c>
      <c r="V3545" t="s">
        <v>26610</v>
      </c>
      <c r="W3545" t="s">
        <v>855</v>
      </c>
      <c r="X3545">
        <v>1600</v>
      </c>
      <c r="Y3545" t="s">
        <v>26652</v>
      </c>
      <c r="Z3545" t="s">
        <v>26664</v>
      </c>
      <c r="AA3545" t="s">
        <v>26679</v>
      </c>
      <c r="AB3545" t="s">
        <v>29710</v>
      </c>
      <c r="AE3545">
        <v>1</v>
      </c>
      <c r="AG3545" t="s">
        <v>19330</v>
      </c>
      <c r="AH3545">
        <v>4</v>
      </c>
      <c r="AI3545">
        <v>2</v>
      </c>
      <c r="AJ3545">
        <v>1</v>
      </c>
      <c r="AK3545">
        <v>37.54</v>
      </c>
      <c r="AN3545" t="s">
        <v>45581</v>
      </c>
      <c r="AO3545">
        <v>7800</v>
      </c>
      <c r="AR3545" t="s">
        <v>46379</v>
      </c>
      <c r="AU3545">
        <v>16.4</v>
      </c>
      <c r="AV3545" t="s">
        <v>716</v>
      </c>
      <c r="AW3545" t="s">
        <v>46862</v>
      </c>
    </row>
    <row r="3546" spans="1:50">
      <c r="A3546" s="1">
        <f>HYPERLINK("https://lsnyc.legalserver.org/matter/dynamic-profile/view/1882300","18-1882300")</f>
        <v>0</v>
      </c>
      <c r="B3546" t="s">
        <v>180</v>
      </c>
      <c r="C3546" t="s">
        <v>341</v>
      </c>
      <c r="D3546" t="s">
        <v>427</v>
      </c>
      <c r="E3546" t="s">
        <v>494</v>
      </c>
      <c r="F3546" t="s">
        <v>940</v>
      </c>
      <c r="G3546" t="s">
        <v>5929</v>
      </c>
      <c r="H3546" t="s">
        <v>12444</v>
      </c>
      <c r="I3546">
        <v>2</v>
      </c>
      <c r="J3546" t="s">
        <v>18894</v>
      </c>
      <c r="K3546">
        <v>11235</v>
      </c>
      <c r="L3546" t="s">
        <v>18958</v>
      </c>
      <c r="M3546" t="s">
        <v>18960</v>
      </c>
      <c r="N3546" t="s">
        <v>21640</v>
      </c>
      <c r="O3546" t="s">
        <v>26526</v>
      </c>
      <c r="P3546" t="s">
        <v>26565</v>
      </c>
      <c r="Q3546" t="s">
        <v>26571</v>
      </c>
      <c r="R3546" t="s">
        <v>26586</v>
      </c>
      <c r="S3546" t="s">
        <v>18959</v>
      </c>
      <c r="U3546" t="s">
        <v>26604</v>
      </c>
      <c r="V3546" t="s">
        <v>26610</v>
      </c>
      <c r="W3546" t="s">
        <v>855</v>
      </c>
      <c r="X3546">
        <v>1600</v>
      </c>
      <c r="Y3546" t="s">
        <v>26652</v>
      </c>
      <c r="Z3546" t="s">
        <v>26664</v>
      </c>
      <c r="AA3546" t="s">
        <v>26683</v>
      </c>
      <c r="AB3546" t="s">
        <v>29710</v>
      </c>
      <c r="AE3546">
        <v>1</v>
      </c>
      <c r="AF3546" t="s">
        <v>20460</v>
      </c>
      <c r="AG3546" t="s">
        <v>19330</v>
      </c>
      <c r="AH3546">
        <v>4</v>
      </c>
      <c r="AI3546">
        <v>2</v>
      </c>
      <c r="AJ3546">
        <v>1</v>
      </c>
      <c r="AK3546">
        <v>95.28</v>
      </c>
      <c r="AN3546" t="s">
        <v>45581</v>
      </c>
      <c r="AO3546">
        <v>19800</v>
      </c>
      <c r="AR3546" t="s">
        <v>46395</v>
      </c>
      <c r="AU3546">
        <v>3.3</v>
      </c>
      <c r="AV3546" t="s">
        <v>666</v>
      </c>
      <c r="AW3546" t="s">
        <v>46862</v>
      </c>
    </row>
    <row r="3547" spans="1:50">
      <c r="A3547" s="1">
        <f>HYPERLINK("https://lsnyc.legalserver.org/matter/dynamic-profile/view/1882264","18-1882264")</f>
        <v>0</v>
      </c>
      <c r="B3547" t="s">
        <v>180</v>
      </c>
      <c r="C3547" t="s">
        <v>341</v>
      </c>
      <c r="D3547" t="s">
        <v>427</v>
      </c>
      <c r="E3547" t="s">
        <v>494</v>
      </c>
      <c r="F3547" t="s">
        <v>1457</v>
      </c>
      <c r="G3547" t="s">
        <v>5191</v>
      </c>
      <c r="H3547" t="s">
        <v>12444</v>
      </c>
      <c r="J3547" t="s">
        <v>18894</v>
      </c>
      <c r="K3547">
        <v>11235</v>
      </c>
      <c r="L3547" t="s">
        <v>18958</v>
      </c>
      <c r="M3547" t="s">
        <v>18958</v>
      </c>
      <c r="N3547" t="s">
        <v>21641</v>
      </c>
      <c r="O3547" t="s">
        <v>26526</v>
      </c>
      <c r="P3547" t="s">
        <v>26565</v>
      </c>
      <c r="Q3547" t="s">
        <v>26571</v>
      </c>
      <c r="R3547" t="s">
        <v>26586</v>
      </c>
      <c r="S3547" t="s">
        <v>18959</v>
      </c>
      <c r="U3547" t="s">
        <v>26604</v>
      </c>
      <c r="W3547" t="s">
        <v>855</v>
      </c>
      <c r="X3547">
        <v>1800</v>
      </c>
      <c r="Y3547" t="s">
        <v>26652</v>
      </c>
      <c r="Z3547" t="s">
        <v>26664</v>
      </c>
      <c r="AA3547" t="s">
        <v>26683</v>
      </c>
      <c r="AB3547" t="s">
        <v>29141</v>
      </c>
      <c r="AE3547">
        <v>1</v>
      </c>
      <c r="AG3547" t="s">
        <v>19330</v>
      </c>
      <c r="AH3547">
        <v>4</v>
      </c>
      <c r="AI3547">
        <v>2</v>
      </c>
      <c r="AJ3547">
        <v>3</v>
      </c>
      <c r="AK3547">
        <v>132.56</v>
      </c>
      <c r="AN3547" t="s">
        <v>45581</v>
      </c>
      <c r="AO3547">
        <v>39000</v>
      </c>
      <c r="AR3547" t="s">
        <v>46395</v>
      </c>
      <c r="AU3547">
        <v>1.7</v>
      </c>
      <c r="AV3547" t="s">
        <v>666</v>
      </c>
      <c r="AW3547" t="s">
        <v>46862</v>
      </c>
    </row>
    <row r="3548" spans="1:50">
      <c r="A3548" s="1">
        <f>HYPERLINK("https://lsnyc.legalserver.org/matter/dynamic-profile/view/1882245","18-1882245")</f>
        <v>0</v>
      </c>
      <c r="B3548" t="s">
        <v>227</v>
      </c>
      <c r="C3548" t="s">
        <v>341</v>
      </c>
      <c r="D3548" t="s">
        <v>427</v>
      </c>
      <c r="E3548" t="s">
        <v>803</v>
      </c>
      <c r="F3548" t="s">
        <v>2699</v>
      </c>
      <c r="G3548" t="s">
        <v>6893</v>
      </c>
      <c r="H3548" t="s">
        <v>12445</v>
      </c>
      <c r="I3548" t="s">
        <v>17896</v>
      </c>
      <c r="J3548" t="s">
        <v>18894</v>
      </c>
      <c r="K3548">
        <v>11225</v>
      </c>
      <c r="L3548" t="s">
        <v>18958</v>
      </c>
      <c r="M3548" t="s">
        <v>18958</v>
      </c>
      <c r="N3548" t="s">
        <v>21642</v>
      </c>
      <c r="O3548" t="s">
        <v>26523</v>
      </c>
      <c r="P3548" t="s">
        <v>26560</v>
      </c>
      <c r="Q3548" t="s">
        <v>26568</v>
      </c>
      <c r="R3548" t="s">
        <v>26588</v>
      </c>
      <c r="U3548" t="s">
        <v>26604</v>
      </c>
      <c r="W3548" t="s">
        <v>855</v>
      </c>
      <c r="X3548">
        <v>1300</v>
      </c>
      <c r="Y3548" t="s">
        <v>26652</v>
      </c>
      <c r="Z3548" t="s">
        <v>26669</v>
      </c>
      <c r="AA3548" t="s">
        <v>26678</v>
      </c>
      <c r="AB3548" t="s">
        <v>29711</v>
      </c>
      <c r="AE3548">
        <v>0</v>
      </c>
      <c r="AG3548" t="s">
        <v>19330</v>
      </c>
      <c r="AH3548">
        <v>20</v>
      </c>
      <c r="AI3548">
        <v>3</v>
      </c>
      <c r="AJ3548">
        <v>0</v>
      </c>
      <c r="AK3548">
        <v>0</v>
      </c>
      <c r="AN3548" t="s">
        <v>7439</v>
      </c>
      <c r="AO3548">
        <v>0</v>
      </c>
      <c r="AS3548" t="s">
        <v>46499</v>
      </c>
      <c r="AT3548" t="s">
        <v>46740</v>
      </c>
      <c r="AU3548">
        <v>5.7</v>
      </c>
      <c r="AV3548" t="s">
        <v>803</v>
      </c>
      <c r="AW3548" t="s">
        <v>281</v>
      </c>
    </row>
    <row r="3549" spans="1:50">
      <c r="A3549" s="1">
        <f>HYPERLINK("https://lsnyc.legalserver.org/matter/dynamic-profile/view/1882250","18-1882250")</f>
        <v>0</v>
      </c>
      <c r="B3549" t="s">
        <v>227</v>
      </c>
      <c r="C3549" t="s">
        <v>341</v>
      </c>
      <c r="D3549" t="s">
        <v>427</v>
      </c>
      <c r="E3549" t="s">
        <v>830</v>
      </c>
      <c r="F3549" t="s">
        <v>1877</v>
      </c>
      <c r="G3549" t="s">
        <v>6938</v>
      </c>
      <c r="H3549" t="s">
        <v>12446</v>
      </c>
      <c r="I3549" t="s">
        <v>17339</v>
      </c>
      <c r="J3549" t="s">
        <v>18894</v>
      </c>
      <c r="K3549">
        <v>11225</v>
      </c>
      <c r="L3549" t="s">
        <v>18958</v>
      </c>
      <c r="M3549" t="s">
        <v>18958</v>
      </c>
      <c r="N3549" t="s">
        <v>21643</v>
      </c>
      <c r="O3549" t="s">
        <v>26523</v>
      </c>
      <c r="P3549" t="s">
        <v>26560</v>
      </c>
      <c r="Q3549" t="s">
        <v>26568</v>
      </c>
      <c r="R3549" t="s">
        <v>26588</v>
      </c>
      <c r="U3549" t="s">
        <v>26604</v>
      </c>
      <c r="W3549" t="s">
        <v>855</v>
      </c>
      <c r="X3549">
        <v>825</v>
      </c>
      <c r="Y3549" t="s">
        <v>26652</v>
      </c>
      <c r="Z3549" t="s">
        <v>26669</v>
      </c>
      <c r="AA3549" t="s">
        <v>26678</v>
      </c>
      <c r="AB3549" t="s">
        <v>29712</v>
      </c>
      <c r="AD3549" t="s">
        <v>39805</v>
      </c>
      <c r="AE3549">
        <v>60</v>
      </c>
      <c r="AF3549" t="s">
        <v>45544</v>
      </c>
      <c r="AH3549">
        <v>4</v>
      </c>
      <c r="AI3549">
        <v>1</v>
      </c>
      <c r="AJ3549">
        <v>1</v>
      </c>
      <c r="AK3549">
        <v>0</v>
      </c>
      <c r="AN3549" t="s">
        <v>7439</v>
      </c>
      <c r="AO3549">
        <v>0</v>
      </c>
      <c r="AS3549" t="s">
        <v>46499</v>
      </c>
      <c r="AU3549">
        <v>14.3</v>
      </c>
      <c r="AV3549" t="s">
        <v>805</v>
      </c>
      <c r="AW3549" t="s">
        <v>281</v>
      </c>
    </row>
    <row r="3550" spans="1:50">
      <c r="A3550" s="1">
        <f>HYPERLINK("https://lsnyc.legalserver.org/matter/dynamic-profile/view/1882262","18-1882262")</f>
        <v>0</v>
      </c>
      <c r="B3550" t="s">
        <v>227</v>
      </c>
      <c r="C3550" t="s">
        <v>341</v>
      </c>
      <c r="D3550" t="s">
        <v>427</v>
      </c>
      <c r="E3550" t="s">
        <v>760</v>
      </c>
      <c r="F3550" t="s">
        <v>2123</v>
      </c>
      <c r="G3550" t="s">
        <v>3718</v>
      </c>
      <c r="H3550" t="s">
        <v>12393</v>
      </c>
      <c r="I3550" t="s">
        <v>17325</v>
      </c>
      <c r="J3550" t="s">
        <v>18894</v>
      </c>
      <c r="K3550">
        <v>11221</v>
      </c>
      <c r="L3550" t="s">
        <v>18958</v>
      </c>
      <c r="M3550" t="s">
        <v>18958</v>
      </c>
      <c r="N3550" t="s">
        <v>21644</v>
      </c>
      <c r="O3550" t="s">
        <v>26523</v>
      </c>
      <c r="P3550" t="s">
        <v>26560</v>
      </c>
      <c r="Q3550" t="s">
        <v>26568</v>
      </c>
      <c r="R3550" t="s">
        <v>26588</v>
      </c>
      <c r="U3550" t="s">
        <v>26604</v>
      </c>
      <c r="W3550" t="s">
        <v>855</v>
      </c>
      <c r="X3550">
        <v>1632</v>
      </c>
      <c r="Y3550" t="s">
        <v>26652</v>
      </c>
      <c r="Z3550" t="s">
        <v>26669</v>
      </c>
      <c r="AA3550" t="s">
        <v>26678</v>
      </c>
      <c r="AB3550" t="s">
        <v>29713</v>
      </c>
      <c r="AE3550">
        <v>0</v>
      </c>
      <c r="AG3550" t="s">
        <v>45556</v>
      </c>
      <c r="AH3550">
        <v>13</v>
      </c>
      <c r="AI3550">
        <v>2</v>
      </c>
      <c r="AJ3550">
        <v>0</v>
      </c>
      <c r="AK3550">
        <v>54.68</v>
      </c>
      <c r="AN3550" t="s">
        <v>7439</v>
      </c>
      <c r="AO3550">
        <v>9000</v>
      </c>
      <c r="AS3550" t="s">
        <v>46499</v>
      </c>
      <c r="AT3550" t="s">
        <v>46616</v>
      </c>
      <c r="AU3550">
        <v>11</v>
      </c>
      <c r="AV3550" t="s">
        <v>659</v>
      </c>
      <c r="AW3550" t="s">
        <v>281</v>
      </c>
    </row>
    <row r="3551" spans="1:50">
      <c r="A3551" s="1">
        <f>HYPERLINK("https://lsnyc.legalserver.org/matter/dynamic-profile/view/1882278","18-1882278")</f>
        <v>0</v>
      </c>
      <c r="B3551" t="s">
        <v>227</v>
      </c>
      <c r="C3551" t="s">
        <v>340</v>
      </c>
      <c r="D3551" t="s">
        <v>427</v>
      </c>
      <c r="F3551" t="s">
        <v>968</v>
      </c>
      <c r="G3551" t="s">
        <v>6939</v>
      </c>
      <c r="H3551" t="s">
        <v>12447</v>
      </c>
      <c r="I3551" t="s">
        <v>17274</v>
      </c>
      <c r="J3551" t="s">
        <v>18894</v>
      </c>
      <c r="K3551">
        <v>11216</v>
      </c>
      <c r="L3551" t="s">
        <v>18958</v>
      </c>
      <c r="M3551" t="s">
        <v>18958</v>
      </c>
      <c r="N3551" t="s">
        <v>21645</v>
      </c>
      <c r="O3551" t="s">
        <v>26523</v>
      </c>
      <c r="P3551" t="s">
        <v>26560</v>
      </c>
      <c r="R3551" t="s">
        <v>26588</v>
      </c>
      <c r="U3551" t="s">
        <v>26604</v>
      </c>
      <c r="W3551" t="s">
        <v>855</v>
      </c>
      <c r="X3551">
        <v>0</v>
      </c>
      <c r="Y3551" t="s">
        <v>26652</v>
      </c>
      <c r="Z3551" t="s">
        <v>26669</v>
      </c>
      <c r="AB3551" t="s">
        <v>29714</v>
      </c>
      <c r="AD3551" t="s">
        <v>39806</v>
      </c>
      <c r="AE3551">
        <v>8</v>
      </c>
      <c r="AG3551" t="s">
        <v>19330</v>
      </c>
      <c r="AH3551">
        <v>22</v>
      </c>
      <c r="AI3551">
        <v>2</v>
      </c>
      <c r="AJ3551">
        <v>0</v>
      </c>
      <c r="AK3551">
        <v>152.81</v>
      </c>
      <c r="AN3551" t="s">
        <v>7439</v>
      </c>
      <c r="AO3551">
        <v>25152</v>
      </c>
      <c r="AU3551">
        <v>22.3</v>
      </c>
      <c r="AV3551" t="s">
        <v>808</v>
      </c>
      <c r="AW3551" t="s">
        <v>281</v>
      </c>
    </row>
    <row r="3552" spans="1:50">
      <c r="A3552" s="1">
        <f>HYPERLINK("https://lsnyc.legalserver.org/matter/dynamic-profile/view/1882330","18-1882330")</f>
        <v>0</v>
      </c>
      <c r="B3552" t="s">
        <v>202</v>
      </c>
      <c r="C3552" t="s">
        <v>341</v>
      </c>
      <c r="D3552" t="s">
        <v>428</v>
      </c>
      <c r="E3552" t="s">
        <v>723</v>
      </c>
      <c r="F3552" t="s">
        <v>1339</v>
      </c>
      <c r="G3552" t="s">
        <v>6940</v>
      </c>
      <c r="H3552" t="s">
        <v>12448</v>
      </c>
      <c r="I3552" t="s">
        <v>17728</v>
      </c>
      <c r="J3552" t="s">
        <v>18894</v>
      </c>
      <c r="K3552">
        <v>11218</v>
      </c>
      <c r="L3552" t="s">
        <v>18958</v>
      </c>
      <c r="M3552" t="s">
        <v>18958</v>
      </c>
      <c r="N3552" t="s">
        <v>21646</v>
      </c>
      <c r="O3552" t="s">
        <v>26523</v>
      </c>
      <c r="P3552" t="s">
        <v>26560</v>
      </c>
      <c r="Q3552" t="s">
        <v>26568</v>
      </c>
      <c r="R3552" t="s">
        <v>26586</v>
      </c>
      <c r="S3552" t="s">
        <v>18959</v>
      </c>
      <c r="U3552" t="s">
        <v>26604</v>
      </c>
      <c r="V3552" t="s">
        <v>26610</v>
      </c>
      <c r="W3552" t="s">
        <v>855</v>
      </c>
      <c r="X3552">
        <v>1200</v>
      </c>
      <c r="Y3552" t="s">
        <v>26652</v>
      </c>
      <c r="Z3552" t="s">
        <v>26659</v>
      </c>
      <c r="AA3552" t="s">
        <v>26678</v>
      </c>
      <c r="AB3552" t="s">
        <v>29715</v>
      </c>
      <c r="AD3552" t="s">
        <v>34738</v>
      </c>
      <c r="AE3552">
        <v>24</v>
      </c>
      <c r="AF3552" t="s">
        <v>20460</v>
      </c>
      <c r="AG3552" t="s">
        <v>45559</v>
      </c>
      <c r="AH3552">
        <v>25</v>
      </c>
      <c r="AI3552">
        <v>2</v>
      </c>
      <c r="AJ3552">
        <v>0</v>
      </c>
      <c r="AK3552">
        <v>88.20999999999999</v>
      </c>
      <c r="AN3552" t="s">
        <v>45581</v>
      </c>
      <c r="AO3552">
        <v>14520</v>
      </c>
      <c r="AQ3552" t="s">
        <v>46362</v>
      </c>
      <c r="AR3552" t="s">
        <v>46379</v>
      </c>
      <c r="AS3552" t="s">
        <v>46499</v>
      </c>
      <c r="AT3552" t="s">
        <v>46706</v>
      </c>
      <c r="AU3552">
        <v>13.7</v>
      </c>
      <c r="AV3552" t="s">
        <v>747</v>
      </c>
      <c r="AW3552" t="s">
        <v>281</v>
      </c>
    </row>
    <row r="3553" spans="1:50">
      <c r="A3553" s="1">
        <f>HYPERLINK("https://lsnyc.legalserver.org/matter/dynamic-profile/view/1882332","18-1882332")</f>
        <v>0</v>
      </c>
      <c r="B3553" t="s">
        <v>65</v>
      </c>
      <c r="C3553" t="s">
        <v>341</v>
      </c>
      <c r="D3553" t="s">
        <v>428</v>
      </c>
      <c r="E3553" t="s">
        <v>709</v>
      </c>
      <c r="F3553" t="s">
        <v>2700</v>
      </c>
      <c r="G3553" t="s">
        <v>5183</v>
      </c>
      <c r="H3553" t="s">
        <v>12449</v>
      </c>
      <c r="I3553" t="s">
        <v>17315</v>
      </c>
      <c r="J3553" t="s">
        <v>18892</v>
      </c>
      <c r="K3553">
        <v>10452</v>
      </c>
      <c r="L3553" t="s">
        <v>18958</v>
      </c>
      <c r="M3553" t="s">
        <v>18958</v>
      </c>
      <c r="N3553" t="s">
        <v>21647</v>
      </c>
      <c r="O3553" t="s">
        <v>26523</v>
      </c>
      <c r="P3553" t="s">
        <v>26560</v>
      </c>
      <c r="Q3553" t="s">
        <v>26568</v>
      </c>
      <c r="R3553" t="s">
        <v>26577</v>
      </c>
      <c r="S3553" t="s">
        <v>18959</v>
      </c>
      <c r="U3553" t="s">
        <v>26604</v>
      </c>
      <c r="V3553" t="s">
        <v>26612</v>
      </c>
      <c r="W3553" t="s">
        <v>855</v>
      </c>
      <c r="X3553">
        <v>936.36</v>
      </c>
      <c r="Y3553" t="s">
        <v>26650</v>
      </c>
      <c r="Z3553" t="s">
        <v>26659</v>
      </c>
      <c r="AA3553" t="s">
        <v>26678</v>
      </c>
      <c r="AB3553" t="s">
        <v>29716</v>
      </c>
      <c r="AC3553" t="s">
        <v>35552</v>
      </c>
      <c r="AD3553" t="s">
        <v>39807</v>
      </c>
      <c r="AE3553">
        <v>61</v>
      </c>
      <c r="AF3553" t="s">
        <v>45541</v>
      </c>
      <c r="AG3553" t="s">
        <v>19330</v>
      </c>
      <c r="AH3553">
        <v>5</v>
      </c>
      <c r="AI3553">
        <v>1</v>
      </c>
      <c r="AJ3553">
        <v>0</v>
      </c>
      <c r="AK3553">
        <v>125.5</v>
      </c>
      <c r="AN3553" t="s">
        <v>7439</v>
      </c>
      <c r="AO3553">
        <v>15236</v>
      </c>
      <c r="AQ3553" t="s">
        <v>46361</v>
      </c>
      <c r="AR3553" t="s">
        <v>46399</v>
      </c>
      <c r="AS3553" t="s">
        <v>46499</v>
      </c>
      <c r="AT3553" t="s">
        <v>46642</v>
      </c>
      <c r="AU3553">
        <v>10.7</v>
      </c>
      <c r="AV3553" t="s">
        <v>415</v>
      </c>
      <c r="AW3553" t="s">
        <v>46831</v>
      </c>
    </row>
    <row r="3554" spans="1:50">
      <c r="A3554" s="1">
        <f>HYPERLINK("https://lsnyc.legalserver.org/matter/dynamic-profile/view/1878682","18-1878682")</f>
        <v>0</v>
      </c>
      <c r="B3554" t="s">
        <v>117</v>
      </c>
      <c r="C3554" t="s">
        <v>340</v>
      </c>
      <c r="D3554" t="s">
        <v>428</v>
      </c>
      <c r="F3554" t="s">
        <v>2701</v>
      </c>
      <c r="G3554" t="s">
        <v>5266</v>
      </c>
      <c r="H3554" t="s">
        <v>12450</v>
      </c>
      <c r="I3554">
        <v>1</v>
      </c>
      <c r="J3554" t="s">
        <v>18894</v>
      </c>
      <c r="K3554">
        <v>11208</v>
      </c>
      <c r="L3554" t="s">
        <v>18958</v>
      </c>
      <c r="M3554" t="s">
        <v>18959</v>
      </c>
      <c r="N3554" t="s">
        <v>21648</v>
      </c>
      <c r="O3554" t="s">
        <v>26523</v>
      </c>
      <c r="P3554" t="s">
        <v>26560</v>
      </c>
      <c r="R3554" t="s">
        <v>26578</v>
      </c>
      <c r="S3554" t="s">
        <v>18959</v>
      </c>
      <c r="U3554" t="s">
        <v>26604</v>
      </c>
      <c r="V3554" t="s">
        <v>26610</v>
      </c>
      <c r="W3554" t="s">
        <v>855</v>
      </c>
      <c r="X3554">
        <v>1956</v>
      </c>
      <c r="Y3554" t="s">
        <v>26652</v>
      </c>
      <c r="Z3554" t="s">
        <v>26668</v>
      </c>
      <c r="AA3554" t="s">
        <v>26678</v>
      </c>
      <c r="AB3554" t="s">
        <v>29717</v>
      </c>
      <c r="AC3554" t="s">
        <v>35553</v>
      </c>
      <c r="AD3554" t="s">
        <v>39808</v>
      </c>
      <c r="AE3554">
        <v>4</v>
      </c>
      <c r="AF3554" t="s">
        <v>45547</v>
      </c>
      <c r="AG3554" t="s">
        <v>45562</v>
      </c>
      <c r="AH3554">
        <v>3</v>
      </c>
      <c r="AI3554">
        <v>2</v>
      </c>
      <c r="AJ3554">
        <v>3</v>
      </c>
      <c r="AK3554">
        <v>74.23999999999999</v>
      </c>
      <c r="AN3554" t="s">
        <v>7439</v>
      </c>
      <c r="AO3554">
        <v>21840</v>
      </c>
      <c r="AP3554" t="s">
        <v>45792</v>
      </c>
      <c r="AU3554">
        <v>13.5</v>
      </c>
      <c r="AV3554" t="s">
        <v>753</v>
      </c>
      <c r="AW3554" t="s">
        <v>279</v>
      </c>
      <c r="AX3554" t="s">
        <v>46898</v>
      </c>
    </row>
    <row r="3555" spans="1:50">
      <c r="A3555" s="1">
        <f>HYPERLINK("https://lsnyc.legalserver.org/matter/dynamic-profile/view/1882571","18-1882571")</f>
        <v>0</v>
      </c>
      <c r="B3555" t="s">
        <v>151</v>
      </c>
      <c r="C3555" t="s">
        <v>341</v>
      </c>
      <c r="D3555" t="s">
        <v>646</v>
      </c>
      <c r="E3555" t="s">
        <v>494</v>
      </c>
      <c r="F3555" t="s">
        <v>993</v>
      </c>
      <c r="G3555" t="s">
        <v>6941</v>
      </c>
      <c r="H3555" t="s">
        <v>12451</v>
      </c>
      <c r="I3555" t="s">
        <v>17979</v>
      </c>
      <c r="J3555" t="s">
        <v>18893</v>
      </c>
      <c r="K3555">
        <v>10016</v>
      </c>
      <c r="L3555" t="s">
        <v>18958</v>
      </c>
      <c r="M3555" t="s">
        <v>18958</v>
      </c>
      <c r="N3555" t="s">
        <v>21649</v>
      </c>
      <c r="O3555" t="s">
        <v>26523</v>
      </c>
      <c r="P3555" t="s">
        <v>26564</v>
      </c>
      <c r="Q3555" t="s">
        <v>26570</v>
      </c>
      <c r="R3555" t="s">
        <v>26582</v>
      </c>
      <c r="S3555" t="s">
        <v>18959</v>
      </c>
      <c r="U3555" t="s">
        <v>26604</v>
      </c>
      <c r="W3555" t="s">
        <v>855</v>
      </c>
      <c r="X3555">
        <v>1205</v>
      </c>
      <c r="Y3555" t="s">
        <v>26651</v>
      </c>
      <c r="Z3555" t="s">
        <v>26664</v>
      </c>
      <c r="AA3555" t="s">
        <v>26683</v>
      </c>
      <c r="AB3555" t="s">
        <v>29718</v>
      </c>
      <c r="AD3555" t="s">
        <v>39809</v>
      </c>
      <c r="AE3555">
        <v>0</v>
      </c>
      <c r="AF3555" t="s">
        <v>45541</v>
      </c>
      <c r="AH3555">
        <v>24</v>
      </c>
      <c r="AI3555">
        <v>1</v>
      </c>
      <c r="AJ3555">
        <v>0</v>
      </c>
      <c r="AK3555">
        <v>123.56</v>
      </c>
      <c r="AM3555" t="s">
        <v>45575</v>
      </c>
      <c r="AO3555">
        <v>15000</v>
      </c>
      <c r="AU3555">
        <v>1.5</v>
      </c>
      <c r="AV3555" t="s">
        <v>525</v>
      </c>
      <c r="AW3555" t="s">
        <v>317</v>
      </c>
    </row>
    <row r="3556" spans="1:50">
      <c r="A3556" s="1">
        <f>HYPERLINK("https://lsnyc.legalserver.org/matter/dynamic-profile/view/1882471","18-1882471")</f>
        <v>0</v>
      </c>
      <c r="B3556" t="s">
        <v>151</v>
      </c>
      <c r="C3556" t="s">
        <v>341</v>
      </c>
      <c r="D3556" t="s">
        <v>646</v>
      </c>
      <c r="E3556" t="s">
        <v>494</v>
      </c>
      <c r="F3556" t="s">
        <v>1095</v>
      </c>
      <c r="G3556" t="s">
        <v>6942</v>
      </c>
      <c r="H3556" t="s">
        <v>12452</v>
      </c>
      <c r="I3556">
        <v>6</v>
      </c>
      <c r="J3556" t="s">
        <v>18893</v>
      </c>
      <c r="K3556">
        <v>10021</v>
      </c>
      <c r="L3556" t="s">
        <v>18958</v>
      </c>
      <c r="M3556" t="s">
        <v>18958</v>
      </c>
      <c r="N3556" t="s">
        <v>21650</v>
      </c>
      <c r="O3556" t="s">
        <v>26524</v>
      </c>
      <c r="P3556" t="s">
        <v>26564</v>
      </c>
      <c r="Q3556" t="s">
        <v>26570</v>
      </c>
      <c r="R3556" t="s">
        <v>26582</v>
      </c>
      <c r="S3556" t="s">
        <v>18959</v>
      </c>
      <c r="U3556" t="s">
        <v>26604</v>
      </c>
      <c r="W3556" t="s">
        <v>855</v>
      </c>
      <c r="X3556">
        <v>876</v>
      </c>
      <c r="Y3556" t="s">
        <v>26651</v>
      </c>
      <c r="Z3556" t="s">
        <v>26664</v>
      </c>
      <c r="AA3556" t="s">
        <v>26683</v>
      </c>
      <c r="AB3556" t="s">
        <v>29719</v>
      </c>
      <c r="AD3556" t="s">
        <v>39810</v>
      </c>
      <c r="AE3556">
        <v>0</v>
      </c>
      <c r="AF3556" t="s">
        <v>20460</v>
      </c>
      <c r="AH3556">
        <v>38</v>
      </c>
      <c r="AI3556">
        <v>2</v>
      </c>
      <c r="AJ3556">
        <v>0</v>
      </c>
      <c r="AK3556">
        <v>143.74</v>
      </c>
      <c r="AM3556" t="s">
        <v>45575</v>
      </c>
      <c r="AO3556">
        <v>23660</v>
      </c>
      <c r="AU3556">
        <v>1.7</v>
      </c>
      <c r="AV3556" t="s">
        <v>668</v>
      </c>
      <c r="AW3556" t="s">
        <v>317</v>
      </c>
    </row>
    <row r="3557" spans="1:50">
      <c r="A3557" s="1">
        <f>HYPERLINK("https://lsnyc.legalserver.org/matter/dynamic-profile/view/1882468","18-1882468")</f>
        <v>0</v>
      </c>
      <c r="B3557" t="s">
        <v>80</v>
      </c>
      <c r="C3557" t="s">
        <v>341</v>
      </c>
      <c r="D3557" t="s">
        <v>646</v>
      </c>
      <c r="E3557" t="s">
        <v>494</v>
      </c>
      <c r="F3557" t="s">
        <v>990</v>
      </c>
      <c r="G3557" t="s">
        <v>5438</v>
      </c>
      <c r="H3557" t="s">
        <v>12453</v>
      </c>
      <c r="I3557" t="s">
        <v>17390</v>
      </c>
      <c r="J3557" t="s">
        <v>18893</v>
      </c>
      <c r="K3557">
        <v>10026</v>
      </c>
      <c r="L3557" t="s">
        <v>18958</v>
      </c>
      <c r="M3557" t="s">
        <v>18958</v>
      </c>
      <c r="N3557" t="s">
        <v>21651</v>
      </c>
      <c r="O3557" t="s">
        <v>26523</v>
      </c>
      <c r="P3557" t="s">
        <v>26560</v>
      </c>
      <c r="Q3557" t="s">
        <v>26568</v>
      </c>
      <c r="R3557" t="s">
        <v>26580</v>
      </c>
      <c r="S3557" t="s">
        <v>18959</v>
      </c>
      <c r="U3557" t="s">
        <v>26604</v>
      </c>
      <c r="V3557" t="s">
        <v>26610</v>
      </c>
      <c r="W3557" t="s">
        <v>855</v>
      </c>
      <c r="X3557">
        <v>1013</v>
      </c>
      <c r="Y3557" t="s">
        <v>26651</v>
      </c>
      <c r="Z3557" t="s">
        <v>26664</v>
      </c>
      <c r="AA3557" t="s">
        <v>26678</v>
      </c>
      <c r="AB3557" t="s">
        <v>26858</v>
      </c>
      <c r="AD3557" t="s">
        <v>39811</v>
      </c>
      <c r="AE3557">
        <v>39</v>
      </c>
      <c r="AF3557" t="s">
        <v>20460</v>
      </c>
      <c r="AG3557" t="s">
        <v>45563</v>
      </c>
      <c r="AH3557">
        <v>21</v>
      </c>
      <c r="AI3557">
        <v>1</v>
      </c>
      <c r="AJ3557">
        <v>0</v>
      </c>
      <c r="AK3557">
        <v>82.73</v>
      </c>
      <c r="AN3557" t="s">
        <v>7439</v>
      </c>
      <c r="AO3557">
        <v>10044</v>
      </c>
      <c r="AS3557" t="s">
        <v>46499</v>
      </c>
      <c r="AT3557" t="s">
        <v>46517</v>
      </c>
      <c r="AU3557">
        <v>22.7</v>
      </c>
      <c r="AV3557" t="s">
        <v>668</v>
      </c>
      <c r="AW3557" t="s">
        <v>314</v>
      </c>
    </row>
    <row r="3558" spans="1:50">
      <c r="A3558" s="1">
        <f>HYPERLINK("https://lsnyc.legalserver.org/matter/dynamic-profile/view/1882550","18-1882550")</f>
        <v>0</v>
      </c>
      <c r="B3558" t="s">
        <v>144</v>
      </c>
      <c r="C3558" t="s">
        <v>340</v>
      </c>
      <c r="D3558" t="s">
        <v>646</v>
      </c>
      <c r="F3558" t="s">
        <v>2702</v>
      </c>
      <c r="G3558" t="s">
        <v>4693</v>
      </c>
      <c r="H3558" t="s">
        <v>12454</v>
      </c>
      <c r="I3558">
        <v>17</v>
      </c>
      <c r="J3558" t="s">
        <v>18893</v>
      </c>
      <c r="K3558">
        <v>10009</v>
      </c>
      <c r="L3558" t="s">
        <v>18958</v>
      </c>
      <c r="M3558" t="s">
        <v>18958</v>
      </c>
      <c r="N3558" t="s">
        <v>21652</v>
      </c>
      <c r="O3558" t="s">
        <v>26523</v>
      </c>
      <c r="P3558" t="s">
        <v>26564</v>
      </c>
      <c r="R3558" t="s">
        <v>26582</v>
      </c>
      <c r="S3558" t="s">
        <v>18959</v>
      </c>
      <c r="U3558" t="s">
        <v>26604</v>
      </c>
      <c r="V3558" t="s">
        <v>26610</v>
      </c>
      <c r="W3558" t="s">
        <v>855</v>
      </c>
      <c r="X3558">
        <v>2450</v>
      </c>
      <c r="Y3558" t="s">
        <v>26651</v>
      </c>
      <c r="Z3558" t="s">
        <v>26664</v>
      </c>
      <c r="AB3558" t="s">
        <v>29720</v>
      </c>
      <c r="AD3558" t="s">
        <v>39812</v>
      </c>
      <c r="AE3558">
        <v>18</v>
      </c>
      <c r="AF3558" t="s">
        <v>45541</v>
      </c>
      <c r="AG3558" t="s">
        <v>19330</v>
      </c>
      <c r="AH3558">
        <v>3</v>
      </c>
      <c r="AI3558">
        <v>1</v>
      </c>
      <c r="AJ3558">
        <v>0</v>
      </c>
      <c r="AK3558">
        <v>0</v>
      </c>
      <c r="AN3558" t="s">
        <v>7439</v>
      </c>
      <c r="AO3558">
        <v>0</v>
      </c>
      <c r="AU3558">
        <v>1</v>
      </c>
      <c r="AV3558" t="s">
        <v>646</v>
      </c>
      <c r="AW3558" t="s">
        <v>314</v>
      </c>
    </row>
    <row r="3559" spans="1:50">
      <c r="A3559" s="1">
        <f>HYPERLINK("https://lsnyc.legalserver.org/matter/dynamic-profile/view/1882573","18-1882573")</f>
        <v>0</v>
      </c>
      <c r="B3559" t="s">
        <v>144</v>
      </c>
      <c r="C3559" t="s">
        <v>340</v>
      </c>
      <c r="D3559" t="s">
        <v>646</v>
      </c>
      <c r="F3559" t="s">
        <v>2620</v>
      </c>
      <c r="G3559" t="s">
        <v>6943</v>
      </c>
      <c r="H3559" t="s">
        <v>12455</v>
      </c>
      <c r="I3559" t="s">
        <v>17980</v>
      </c>
      <c r="J3559" t="s">
        <v>18893</v>
      </c>
      <c r="K3559">
        <v>10009</v>
      </c>
      <c r="L3559" t="s">
        <v>18958</v>
      </c>
      <c r="M3559" t="s">
        <v>18958</v>
      </c>
      <c r="N3559" t="s">
        <v>21653</v>
      </c>
      <c r="O3559" t="s">
        <v>26523</v>
      </c>
      <c r="P3559" t="s">
        <v>26564</v>
      </c>
      <c r="R3559" t="s">
        <v>26582</v>
      </c>
      <c r="S3559" t="s">
        <v>18959</v>
      </c>
      <c r="U3559" t="s">
        <v>26604</v>
      </c>
      <c r="V3559" t="s">
        <v>26612</v>
      </c>
      <c r="W3559" t="s">
        <v>855</v>
      </c>
      <c r="X3559">
        <v>1228.67</v>
      </c>
      <c r="Y3559" t="s">
        <v>26651</v>
      </c>
      <c r="Z3559" t="s">
        <v>26664</v>
      </c>
      <c r="AB3559" t="s">
        <v>29302</v>
      </c>
      <c r="AD3559" t="s">
        <v>39813</v>
      </c>
      <c r="AE3559">
        <v>8764</v>
      </c>
      <c r="AF3559" t="s">
        <v>45541</v>
      </c>
      <c r="AG3559" t="s">
        <v>19330</v>
      </c>
      <c r="AH3559">
        <v>42</v>
      </c>
      <c r="AI3559">
        <v>1</v>
      </c>
      <c r="AJ3559">
        <v>0</v>
      </c>
      <c r="AK3559">
        <v>151.53</v>
      </c>
      <c r="AN3559" t="s">
        <v>7439</v>
      </c>
      <c r="AO3559">
        <v>18396</v>
      </c>
      <c r="AU3559">
        <v>2.25</v>
      </c>
      <c r="AV3559" t="s">
        <v>525</v>
      </c>
      <c r="AW3559" t="s">
        <v>314</v>
      </c>
    </row>
    <row r="3560" spans="1:50">
      <c r="A3560" s="1">
        <f>HYPERLINK("https://lsnyc.legalserver.org/matter/dynamic-profile/view/1882452","18-1882452")</f>
        <v>0</v>
      </c>
      <c r="B3560" t="s">
        <v>144</v>
      </c>
      <c r="C3560" t="s">
        <v>340</v>
      </c>
      <c r="D3560" t="s">
        <v>646</v>
      </c>
      <c r="F3560" t="s">
        <v>2703</v>
      </c>
      <c r="G3560" t="s">
        <v>5186</v>
      </c>
      <c r="H3560" t="s">
        <v>10997</v>
      </c>
      <c r="I3560">
        <v>504</v>
      </c>
      <c r="J3560" t="s">
        <v>18893</v>
      </c>
      <c r="K3560">
        <v>10026</v>
      </c>
      <c r="L3560" t="s">
        <v>18958</v>
      </c>
      <c r="M3560" t="s">
        <v>18958</v>
      </c>
      <c r="N3560" t="s">
        <v>21654</v>
      </c>
      <c r="O3560" t="s">
        <v>26523</v>
      </c>
      <c r="P3560" t="s">
        <v>26560</v>
      </c>
      <c r="R3560" t="s">
        <v>26580</v>
      </c>
      <c r="S3560" t="s">
        <v>18959</v>
      </c>
      <c r="U3560" t="s">
        <v>26604</v>
      </c>
      <c r="V3560" t="s">
        <v>26610</v>
      </c>
      <c r="W3560" t="s">
        <v>855</v>
      </c>
      <c r="X3560">
        <v>839</v>
      </c>
      <c r="Y3560" t="s">
        <v>26651</v>
      </c>
      <c r="Z3560" t="s">
        <v>26664</v>
      </c>
      <c r="AB3560" t="s">
        <v>29721</v>
      </c>
      <c r="AD3560" t="s">
        <v>39814</v>
      </c>
      <c r="AE3560">
        <v>70</v>
      </c>
      <c r="AF3560" t="s">
        <v>20460</v>
      </c>
      <c r="AG3560" t="s">
        <v>19330</v>
      </c>
      <c r="AH3560">
        <v>3</v>
      </c>
      <c r="AI3560">
        <v>1</v>
      </c>
      <c r="AJ3560">
        <v>1</v>
      </c>
      <c r="AK3560">
        <v>0</v>
      </c>
      <c r="AN3560" t="s">
        <v>7439</v>
      </c>
      <c r="AO3560">
        <v>0</v>
      </c>
      <c r="AU3560">
        <v>1.25</v>
      </c>
      <c r="AV3560" t="s">
        <v>667</v>
      </c>
      <c r="AW3560" t="s">
        <v>314</v>
      </c>
    </row>
    <row r="3561" spans="1:50">
      <c r="A3561" s="1">
        <f>HYPERLINK("https://lsnyc.legalserver.org/matter/dynamic-profile/view/1882487","18-1882487")</f>
        <v>0</v>
      </c>
      <c r="B3561" t="s">
        <v>144</v>
      </c>
      <c r="C3561" t="s">
        <v>340</v>
      </c>
      <c r="D3561" t="s">
        <v>646</v>
      </c>
      <c r="F3561" t="s">
        <v>968</v>
      </c>
      <c r="G3561" t="s">
        <v>6944</v>
      </c>
      <c r="H3561" t="s">
        <v>12456</v>
      </c>
      <c r="I3561" t="s">
        <v>17981</v>
      </c>
      <c r="J3561" t="s">
        <v>18893</v>
      </c>
      <c r="K3561">
        <v>10025</v>
      </c>
      <c r="L3561" t="s">
        <v>18958</v>
      </c>
      <c r="M3561" t="s">
        <v>18958</v>
      </c>
      <c r="N3561" t="s">
        <v>21655</v>
      </c>
      <c r="O3561" t="s">
        <v>26523</v>
      </c>
      <c r="P3561" t="s">
        <v>26560</v>
      </c>
      <c r="R3561" t="s">
        <v>26580</v>
      </c>
      <c r="S3561" t="s">
        <v>18959</v>
      </c>
      <c r="U3561" t="s">
        <v>26604</v>
      </c>
      <c r="V3561" t="s">
        <v>26610</v>
      </c>
      <c r="W3561" t="s">
        <v>855</v>
      </c>
      <c r="X3561">
        <v>1040</v>
      </c>
      <c r="Y3561" t="s">
        <v>26651</v>
      </c>
      <c r="Z3561" t="s">
        <v>26664</v>
      </c>
      <c r="AB3561" t="s">
        <v>29722</v>
      </c>
      <c r="AD3561" t="s">
        <v>39815</v>
      </c>
      <c r="AE3561">
        <v>226</v>
      </c>
      <c r="AF3561" t="s">
        <v>20460</v>
      </c>
      <c r="AG3561" t="s">
        <v>19330</v>
      </c>
      <c r="AH3561">
        <v>40</v>
      </c>
      <c r="AI3561">
        <v>1</v>
      </c>
      <c r="AJ3561">
        <v>0</v>
      </c>
      <c r="AK3561">
        <v>174.96</v>
      </c>
      <c r="AN3561" t="s">
        <v>7439</v>
      </c>
      <c r="AO3561">
        <v>21240</v>
      </c>
      <c r="AU3561">
        <v>6.58</v>
      </c>
      <c r="AV3561" t="s">
        <v>712</v>
      </c>
      <c r="AW3561" t="s">
        <v>314</v>
      </c>
    </row>
    <row r="3562" spans="1:50">
      <c r="A3562" s="1">
        <f>HYPERLINK("https://lsnyc.legalserver.org/matter/dynamic-profile/view/1882490","18-1882490")</f>
        <v>0</v>
      </c>
      <c r="B3562" t="s">
        <v>129</v>
      </c>
      <c r="C3562" t="s">
        <v>340</v>
      </c>
      <c r="D3562" t="s">
        <v>646</v>
      </c>
      <c r="F3562" t="s">
        <v>2704</v>
      </c>
      <c r="G3562" t="s">
        <v>5419</v>
      </c>
      <c r="H3562" t="s">
        <v>12457</v>
      </c>
      <c r="I3562" t="s">
        <v>17333</v>
      </c>
      <c r="J3562" t="s">
        <v>18894</v>
      </c>
      <c r="K3562">
        <v>11224</v>
      </c>
      <c r="L3562" t="s">
        <v>18958</v>
      </c>
      <c r="M3562" t="s">
        <v>18960</v>
      </c>
      <c r="N3562" t="s">
        <v>21656</v>
      </c>
      <c r="O3562" t="s">
        <v>26524</v>
      </c>
      <c r="P3562" t="s">
        <v>26560</v>
      </c>
      <c r="R3562" t="s">
        <v>26586</v>
      </c>
      <c r="U3562" t="s">
        <v>26604</v>
      </c>
      <c r="W3562" t="s">
        <v>855</v>
      </c>
      <c r="X3562">
        <v>800</v>
      </c>
      <c r="Y3562" t="s">
        <v>26652</v>
      </c>
      <c r="Z3562" t="s">
        <v>26664</v>
      </c>
      <c r="AB3562" t="s">
        <v>29723</v>
      </c>
      <c r="AD3562" t="s">
        <v>39816</v>
      </c>
      <c r="AE3562">
        <v>6</v>
      </c>
      <c r="AG3562" t="s">
        <v>26530</v>
      </c>
      <c r="AH3562">
        <v>41</v>
      </c>
      <c r="AI3562">
        <v>2</v>
      </c>
      <c r="AJ3562">
        <v>1</v>
      </c>
      <c r="AK3562">
        <v>0</v>
      </c>
      <c r="AN3562" t="s">
        <v>7439</v>
      </c>
      <c r="AO3562">
        <v>0</v>
      </c>
      <c r="AQ3562" t="s">
        <v>46362</v>
      </c>
      <c r="AR3562" t="s">
        <v>26530</v>
      </c>
      <c r="AU3562">
        <v>25.05</v>
      </c>
      <c r="AV3562" t="s">
        <v>831</v>
      </c>
      <c r="AW3562" t="s">
        <v>46862</v>
      </c>
    </row>
    <row r="3563" spans="1:50">
      <c r="A3563" s="1">
        <f>HYPERLINK("https://lsnyc.legalserver.org/matter/dynamic-profile/view/1882574","18-1882574")</f>
        <v>0</v>
      </c>
      <c r="B3563" t="s">
        <v>256</v>
      </c>
      <c r="C3563" t="s">
        <v>340</v>
      </c>
      <c r="D3563" t="s">
        <v>646</v>
      </c>
      <c r="F3563" t="s">
        <v>2705</v>
      </c>
      <c r="G3563" t="s">
        <v>6945</v>
      </c>
      <c r="H3563" t="s">
        <v>11893</v>
      </c>
      <c r="I3563" t="s">
        <v>17423</v>
      </c>
      <c r="J3563" t="s">
        <v>18894</v>
      </c>
      <c r="K3563">
        <v>11233</v>
      </c>
      <c r="L3563" t="s">
        <v>18958</v>
      </c>
      <c r="M3563" t="s">
        <v>18958</v>
      </c>
      <c r="N3563" t="s">
        <v>21069</v>
      </c>
      <c r="O3563" t="s">
        <v>26524</v>
      </c>
      <c r="P3563" t="s">
        <v>26560</v>
      </c>
      <c r="R3563" t="s">
        <v>26578</v>
      </c>
      <c r="S3563" t="s">
        <v>18959</v>
      </c>
      <c r="U3563" t="s">
        <v>26604</v>
      </c>
      <c r="V3563" t="s">
        <v>26609</v>
      </c>
      <c r="W3563" t="s">
        <v>855</v>
      </c>
      <c r="X3563">
        <v>800</v>
      </c>
      <c r="Y3563" t="s">
        <v>26652</v>
      </c>
      <c r="Z3563" t="s">
        <v>26664</v>
      </c>
      <c r="AB3563" t="s">
        <v>29724</v>
      </c>
      <c r="AC3563">
        <v>88034031</v>
      </c>
      <c r="AD3563" t="s">
        <v>39817</v>
      </c>
      <c r="AE3563">
        <v>2</v>
      </c>
      <c r="AF3563" t="s">
        <v>45547</v>
      </c>
      <c r="AG3563" t="s">
        <v>45564</v>
      </c>
      <c r="AH3563">
        <v>2</v>
      </c>
      <c r="AI3563">
        <v>1</v>
      </c>
      <c r="AJ3563">
        <v>0</v>
      </c>
      <c r="AK3563">
        <v>0</v>
      </c>
      <c r="AN3563" t="s">
        <v>45581</v>
      </c>
      <c r="AO3563">
        <v>0</v>
      </c>
      <c r="AP3563" t="s">
        <v>45793</v>
      </c>
      <c r="AU3563">
        <v>1</v>
      </c>
      <c r="AV3563" t="s">
        <v>666</v>
      </c>
      <c r="AW3563" t="s">
        <v>279</v>
      </c>
    </row>
    <row r="3564" spans="1:50">
      <c r="A3564" s="1">
        <f>HYPERLINK("https://lsnyc.legalserver.org/matter/dynamic-profile/view/1882591","18-1882591")</f>
        <v>0</v>
      </c>
      <c r="B3564" t="s">
        <v>65</v>
      </c>
      <c r="C3564" t="s">
        <v>340</v>
      </c>
      <c r="D3564" t="s">
        <v>637</v>
      </c>
      <c r="F3564" t="s">
        <v>1858</v>
      </c>
      <c r="G3564" t="s">
        <v>5515</v>
      </c>
      <c r="H3564" t="s">
        <v>12458</v>
      </c>
      <c r="I3564" t="s">
        <v>17982</v>
      </c>
      <c r="J3564" t="s">
        <v>18892</v>
      </c>
      <c r="K3564">
        <v>10463</v>
      </c>
      <c r="L3564" t="s">
        <v>18958</v>
      </c>
      <c r="M3564" t="s">
        <v>18958</v>
      </c>
      <c r="N3564" t="s">
        <v>21657</v>
      </c>
      <c r="O3564" t="s">
        <v>26523</v>
      </c>
      <c r="P3564" t="s">
        <v>26560</v>
      </c>
      <c r="R3564" t="s">
        <v>26577</v>
      </c>
      <c r="S3564" t="s">
        <v>18959</v>
      </c>
      <c r="U3564" t="s">
        <v>26604</v>
      </c>
      <c r="V3564" t="s">
        <v>26611</v>
      </c>
      <c r="W3564" t="s">
        <v>855</v>
      </c>
      <c r="X3564">
        <v>1600</v>
      </c>
      <c r="Y3564" t="s">
        <v>26650</v>
      </c>
      <c r="Z3564" t="s">
        <v>26664</v>
      </c>
      <c r="AB3564" t="s">
        <v>29532</v>
      </c>
      <c r="AC3564" t="s">
        <v>35554</v>
      </c>
      <c r="AD3564" t="s">
        <v>39818</v>
      </c>
      <c r="AE3564">
        <v>45</v>
      </c>
      <c r="AF3564" t="s">
        <v>45541</v>
      </c>
      <c r="AG3564" t="s">
        <v>45557</v>
      </c>
      <c r="AH3564">
        <v>5</v>
      </c>
      <c r="AI3564">
        <v>4</v>
      </c>
      <c r="AJ3564">
        <v>1</v>
      </c>
      <c r="AK3564">
        <v>86.34</v>
      </c>
      <c r="AN3564" t="s">
        <v>7439</v>
      </c>
      <c r="AO3564">
        <v>25400</v>
      </c>
      <c r="AQ3564" t="s">
        <v>46365</v>
      </c>
      <c r="AR3564" t="s">
        <v>46379</v>
      </c>
      <c r="AS3564" t="s">
        <v>46499</v>
      </c>
      <c r="AT3564" t="s">
        <v>46723</v>
      </c>
      <c r="AU3564">
        <v>25.4</v>
      </c>
      <c r="AV3564" t="s">
        <v>830</v>
      </c>
      <c r="AW3564" t="s">
        <v>334</v>
      </c>
    </row>
    <row r="3565" spans="1:50">
      <c r="A3565" s="1">
        <f>HYPERLINK("https://lsnyc.legalserver.org/matter/dynamic-profile/view/1882610","18-1882610")</f>
        <v>0</v>
      </c>
      <c r="B3565" t="s">
        <v>256</v>
      </c>
      <c r="C3565" t="s">
        <v>340</v>
      </c>
      <c r="D3565" t="s">
        <v>637</v>
      </c>
      <c r="F3565" t="s">
        <v>893</v>
      </c>
      <c r="G3565" t="s">
        <v>6946</v>
      </c>
      <c r="H3565" t="s">
        <v>11893</v>
      </c>
      <c r="I3565" t="s">
        <v>17983</v>
      </c>
      <c r="J3565" t="s">
        <v>18894</v>
      </c>
      <c r="K3565">
        <v>11233</v>
      </c>
      <c r="L3565" t="s">
        <v>18958</v>
      </c>
      <c r="M3565" t="s">
        <v>18959</v>
      </c>
      <c r="N3565" t="s">
        <v>21069</v>
      </c>
      <c r="O3565" t="s">
        <v>26524</v>
      </c>
      <c r="P3565" t="s">
        <v>26560</v>
      </c>
      <c r="R3565" t="s">
        <v>26578</v>
      </c>
      <c r="S3565" t="s">
        <v>18959</v>
      </c>
      <c r="U3565" t="s">
        <v>26604</v>
      </c>
      <c r="V3565" t="s">
        <v>26609</v>
      </c>
      <c r="W3565" t="s">
        <v>855</v>
      </c>
      <c r="X3565">
        <v>50</v>
      </c>
      <c r="Y3565" t="s">
        <v>26652</v>
      </c>
      <c r="Z3565" t="s">
        <v>26664</v>
      </c>
      <c r="AB3565" t="s">
        <v>26951</v>
      </c>
      <c r="AC3565" t="s">
        <v>20460</v>
      </c>
      <c r="AD3565" t="s">
        <v>39819</v>
      </c>
      <c r="AE3565">
        <v>3</v>
      </c>
      <c r="AF3565" t="s">
        <v>45547</v>
      </c>
      <c r="AG3565" t="s">
        <v>45564</v>
      </c>
      <c r="AH3565">
        <v>0</v>
      </c>
      <c r="AI3565">
        <v>1</v>
      </c>
      <c r="AJ3565">
        <v>0</v>
      </c>
      <c r="AK3565">
        <v>128.5</v>
      </c>
      <c r="AN3565" t="s">
        <v>7439</v>
      </c>
      <c r="AO3565">
        <v>15600</v>
      </c>
      <c r="AU3565">
        <v>0.5</v>
      </c>
      <c r="AV3565" t="s">
        <v>666</v>
      </c>
      <c r="AW3565" t="s">
        <v>279</v>
      </c>
    </row>
    <row r="3566" spans="1:50">
      <c r="A3566" s="1">
        <f>HYPERLINK("https://lsnyc.legalserver.org/matter/dynamic-profile/view/1882773","18-1882773")</f>
        <v>0</v>
      </c>
      <c r="B3566" t="s">
        <v>227</v>
      </c>
      <c r="C3566" t="s">
        <v>341</v>
      </c>
      <c r="D3566" t="s">
        <v>577</v>
      </c>
      <c r="E3566" t="s">
        <v>803</v>
      </c>
      <c r="F3566" t="s">
        <v>1148</v>
      </c>
      <c r="G3566" t="s">
        <v>6947</v>
      </c>
      <c r="H3566" t="s">
        <v>12459</v>
      </c>
      <c r="I3566">
        <v>1105</v>
      </c>
      <c r="J3566" t="s">
        <v>18894</v>
      </c>
      <c r="K3566">
        <v>11224</v>
      </c>
      <c r="L3566" t="s">
        <v>18958</v>
      </c>
      <c r="M3566" t="s">
        <v>18958</v>
      </c>
      <c r="N3566" t="s">
        <v>21658</v>
      </c>
      <c r="O3566" t="s">
        <v>26523</v>
      </c>
      <c r="P3566" t="s">
        <v>26560</v>
      </c>
      <c r="Q3566" t="s">
        <v>26568</v>
      </c>
      <c r="R3566" t="s">
        <v>26586</v>
      </c>
      <c r="U3566" t="s">
        <v>26604</v>
      </c>
      <c r="W3566" t="s">
        <v>855</v>
      </c>
      <c r="X3566">
        <v>2220</v>
      </c>
      <c r="Y3566" t="s">
        <v>26652</v>
      </c>
      <c r="AA3566" t="s">
        <v>26678</v>
      </c>
      <c r="AB3566" t="s">
        <v>26763</v>
      </c>
      <c r="AD3566" t="s">
        <v>39820</v>
      </c>
      <c r="AE3566">
        <v>0</v>
      </c>
      <c r="AG3566" t="s">
        <v>45556</v>
      </c>
      <c r="AH3566">
        <v>16</v>
      </c>
      <c r="AI3566">
        <v>2</v>
      </c>
      <c r="AJ3566">
        <v>0</v>
      </c>
      <c r="AK3566">
        <v>0</v>
      </c>
      <c r="AN3566" t="s">
        <v>7439</v>
      </c>
      <c r="AO3566">
        <v>0</v>
      </c>
      <c r="AS3566" t="s">
        <v>46499</v>
      </c>
      <c r="AT3566" t="s">
        <v>46740</v>
      </c>
      <c r="AU3566">
        <v>12.3</v>
      </c>
      <c r="AV3566" t="s">
        <v>803</v>
      </c>
      <c r="AW3566" t="s">
        <v>281</v>
      </c>
    </row>
    <row r="3567" spans="1:50">
      <c r="A3567" s="1">
        <f>HYPERLINK("https://lsnyc.legalserver.org/matter/dynamic-profile/view/1882921","18-1882921")</f>
        <v>0</v>
      </c>
      <c r="B3567" t="s">
        <v>99</v>
      </c>
      <c r="C3567" t="s">
        <v>341</v>
      </c>
      <c r="D3567" t="s">
        <v>651</v>
      </c>
      <c r="E3567" t="s">
        <v>739</v>
      </c>
      <c r="F3567" t="s">
        <v>1146</v>
      </c>
      <c r="G3567" t="s">
        <v>6948</v>
      </c>
      <c r="H3567" t="s">
        <v>12460</v>
      </c>
      <c r="I3567" t="s">
        <v>17330</v>
      </c>
      <c r="J3567" t="s">
        <v>18894</v>
      </c>
      <c r="K3567">
        <v>11221</v>
      </c>
      <c r="L3567" t="s">
        <v>18958</v>
      </c>
      <c r="M3567" t="s">
        <v>18958</v>
      </c>
      <c r="N3567" t="s">
        <v>21659</v>
      </c>
      <c r="O3567" t="s">
        <v>26524</v>
      </c>
      <c r="P3567" t="s">
        <v>26560</v>
      </c>
      <c r="Q3567" t="s">
        <v>26568</v>
      </c>
      <c r="R3567" t="s">
        <v>26588</v>
      </c>
      <c r="S3567" t="s">
        <v>18959</v>
      </c>
      <c r="U3567" t="s">
        <v>26604</v>
      </c>
      <c r="V3567" t="s">
        <v>26610</v>
      </c>
      <c r="W3567" t="s">
        <v>855</v>
      </c>
      <c r="X3567">
        <v>2250</v>
      </c>
      <c r="Y3567" t="s">
        <v>26652</v>
      </c>
      <c r="Z3567" t="s">
        <v>26669</v>
      </c>
      <c r="AA3567" t="s">
        <v>26679</v>
      </c>
      <c r="AB3567" t="s">
        <v>29725</v>
      </c>
      <c r="AD3567" t="s">
        <v>39821</v>
      </c>
      <c r="AE3567">
        <v>3</v>
      </c>
      <c r="AF3567" t="s">
        <v>45547</v>
      </c>
      <c r="AG3567" t="s">
        <v>19330</v>
      </c>
      <c r="AH3567">
        <v>2</v>
      </c>
      <c r="AI3567">
        <v>1</v>
      </c>
      <c r="AJ3567">
        <v>0</v>
      </c>
      <c r="AK3567">
        <v>197.69</v>
      </c>
      <c r="AN3567" t="s">
        <v>7439</v>
      </c>
      <c r="AO3567">
        <v>24000</v>
      </c>
      <c r="AQ3567" t="s">
        <v>46359</v>
      </c>
      <c r="AR3567" t="s">
        <v>26530</v>
      </c>
      <c r="AS3567" t="s">
        <v>46500</v>
      </c>
      <c r="AT3567" t="s">
        <v>46672</v>
      </c>
      <c r="AU3567">
        <v>8</v>
      </c>
      <c r="AV3567" t="s">
        <v>739</v>
      </c>
      <c r="AW3567" t="s">
        <v>281</v>
      </c>
    </row>
    <row r="3568" spans="1:50">
      <c r="A3568" s="1">
        <f>HYPERLINK("https://lsnyc.legalserver.org/matter/dynamic-profile/view/1882933","18-1882933")</f>
        <v>0</v>
      </c>
      <c r="B3568" t="s">
        <v>180</v>
      </c>
      <c r="C3568" t="s">
        <v>341</v>
      </c>
      <c r="D3568" t="s">
        <v>651</v>
      </c>
      <c r="E3568" t="s">
        <v>724</v>
      </c>
      <c r="F3568" t="s">
        <v>2706</v>
      </c>
      <c r="G3568" t="s">
        <v>6949</v>
      </c>
      <c r="H3568" t="s">
        <v>12461</v>
      </c>
      <c r="I3568" t="s">
        <v>17984</v>
      </c>
      <c r="J3568" t="s">
        <v>18894</v>
      </c>
      <c r="K3568">
        <v>11212</v>
      </c>
      <c r="L3568" t="s">
        <v>18958</v>
      </c>
      <c r="M3568" t="s">
        <v>18960</v>
      </c>
      <c r="N3568" t="s">
        <v>21660</v>
      </c>
      <c r="O3568" t="s">
        <v>26523</v>
      </c>
      <c r="P3568" t="s">
        <v>26560</v>
      </c>
      <c r="Q3568" t="s">
        <v>26568</v>
      </c>
      <c r="R3568" t="s">
        <v>26586</v>
      </c>
      <c r="U3568" t="s">
        <v>26605</v>
      </c>
      <c r="V3568" t="s">
        <v>26611</v>
      </c>
      <c r="W3568" t="s">
        <v>855</v>
      </c>
      <c r="X3568">
        <v>0</v>
      </c>
      <c r="Y3568" t="s">
        <v>26652</v>
      </c>
      <c r="Z3568" t="s">
        <v>26659</v>
      </c>
      <c r="AA3568" t="s">
        <v>26680</v>
      </c>
      <c r="AB3568" t="s">
        <v>29726</v>
      </c>
      <c r="AD3568" t="s">
        <v>39822</v>
      </c>
      <c r="AE3568">
        <v>50</v>
      </c>
      <c r="AF3568" t="s">
        <v>45542</v>
      </c>
      <c r="AG3568" t="s">
        <v>19330</v>
      </c>
      <c r="AH3568">
        <v>0</v>
      </c>
      <c r="AI3568">
        <v>1</v>
      </c>
      <c r="AJ3568">
        <v>2</v>
      </c>
      <c r="AK3568">
        <v>112.61</v>
      </c>
      <c r="AN3568" t="s">
        <v>7439</v>
      </c>
      <c r="AO3568">
        <v>23400</v>
      </c>
      <c r="AS3568" t="s">
        <v>46499</v>
      </c>
      <c r="AT3568" t="s">
        <v>46654</v>
      </c>
      <c r="AU3568">
        <v>7.5</v>
      </c>
      <c r="AV3568" t="s">
        <v>724</v>
      </c>
      <c r="AW3568" t="s">
        <v>46862</v>
      </c>
    </row>
    <row r="3569" spans="1:49">
      <c r="A3569" s="1">
        <f>HYPERLINK("https://lsnyc.legalserver.org/matter/dynamic-profile/view/1882907","18-1882907")</f>
        <v>0</v>
      </c>
      <c r="B3569" t="s">
        <v>232</v>
      </c>
      <c r="C3569" t="s">
        <v>341</v>
      </c>
      <c r="D3569" t="s">
        <v>651</v>
      </c>
      <c r="E3569" t="s">
        <v>791</v>
      </c>
      <c r="F3569" t="s">
        <v>881</v>
      </c>
      <c r="G3569" t="s">
        <v>5121</v>
      </c>
      <c r="H3569" t="s">
        <v>12462</v>
      </c>
      <c r="I3569" t="s">
        <v>17312</v>
      </c>
      <c r="J3569" t="s">
        <v>18894</v>
      </c>
      <c r="K3569">
        <v>11220</v>
      </c>
      <c r="L3569" t="s">
        <v>18958</v>
      </c>
      <c r="M3569" t="s">
        <v>18958</v>
      </c>
      <c r="N3569" t="s">
        <v>21661</v>
      </c>
      <c r="O3569" t="s">
        <v>26524</v>
      </c>
      <c r="P3569" t="s">
        <v>26560</v>
      </c>
      <c r="Q3569" t="s">
        <v>26568</v>
      </c>
      <c r="R3569" t="s">
        <v>26586</v>
      </c>
      <c r="S3569" t="s">
        <v>18959</v>
      </c>
      <c r="U3569" t="s">
        <v>26604</v>
      </c>
      <c r="V3569" t="s">
        <v>26610</v>
      </c>
      <c r="W3569" t="s">
        <v>855</v>
      </c>
      <c r="X3569">
        <v>1000</v>
      </c>
      <c r="Y3569" t="s">
        <v>26652</v>
      </c>
      <c r="Z3569" t="s">
        <v>26664</v>
      </c>
      <c r="AA3569" t="s">
        <v>26678</v>
      </c>
      <c r="AB3569" t="s">
        <v>29727</v>
      </c>
      <c r="AC3569" t="s">
        <v>35555</v>
      </c>
      <c r="AD3569" t="s">
        <v>39823</v>
      </c>
      <c r="AE3569">
        <v>6</v>
      </c>
      <c r="AF3569" t="s">
        <v>45541</v>
      </c>
      <c r="AG3569" t="s">
        <v>19330</v>
      </c>
      <c r="AH3569">
        <v>11</v>
      </c>
      <c r="AI3569">
        <v>1</v>
      </c>
      <c r="AJ3569">
        <v>0</v>
      </c>
      <c r="AK3569">
        <v>72.65000000000001</v>
      </c>
      <c r="AN3569" t="s">
        <v>7439</v>
      </c>
      <c r="AO3569">
        <v>8820</v>
      </c>
      <c r="AS3569" t="s">
        <v>46499</v>
      </c>
      <c r="AT3569" t="s">
        <v>46744</v>
      </c>
      <c r="AU3569">
        <v>13.4</v>
      </c>
      <c r="AV3569" t="s">
        <v>791</v>
      </c>
      <c r="AW3569" t="s">
        <v>281</v>
      </c>
    </row>
    <row r="3570" spans="1:49">
      <c r="A3570" s="1">
        <f>HYPERLINK("https://lsnyc.legalserver.org/matter/dynamic-profile/view/1883024","18-1883024")</f>
        <v>0</v>
      </c>
      <c r="B3570" t="s">
        <v>167</v>
      </c>
      <c r="C3570" t="s">
        <v>340</v>
      </c>
      <c r="D3570" t="s">
        <v>651</v>
      </c>
      <c r="F3570" t="s">
        <v>2707</v>
      </c>
      <c r="G3570" t="s">
        <v>5693</v>
      </c>
      <c r="H3570" t="s">
        <v>12463</v>
      </c>
      <c r="I3570" t="s">
        <v>17339</v>
      </c>
      <c r="J3570" t="s">
        <v>18894</v>
      </c>
      <c r="K3570">
        <v>11216</v>
      </c>
      <c r="L3570" t="s">
        <v>18958</v>
      </c>
      <c r="M3570" t="s">
        <v>18958</v>
      </c>
      <c r="N3570" t="s">
        <v>21662</v>
      </c>
      <c r="O3570" t="s">
        <v>26524</v>
      </c>
      <c r="P3570" t="s">
        <v>26560</v>
      </c>
      <c r="R3570" t="s">
        <v>26588</v>
      </c>
      <c r="U3570" t="s">
        <v>26604</v>
      </c>
      <c r="W3570" t="s">
        <v>855</v>
      </c>
      <c r="X3570">
        <v>0</v>
      </c>
      <c r="Y3570" t="s">
        <v>26652</v>
      </c>
      <c r="Z3570" t="s">
        <v>26669</v>
      </c>
      <c r="AB3570" t="s">
        <v>28800</v>
      </c>
      <c r="AD3570" t="s">
        <v>39824</v>
      </c>
      <c r="AE3570">
        <v>0</v>
      </c>
      <c r="AG3570" t="s">
        <v>26530</v>
      </c>
      <c r="AH3570">
        <v>8</v>
      </c>
      <c r="AI3570">
        <v>1</v>
      </c>
      <c r="AJ3570">
        <v>0</v>
      </c>
      <c r="AK3570">
        <v>18.42</v>
      </c>
      <c r="AN3570" t="s">
        <v>7439</v>
      </c>
      <c r="AO3570">
        <v>2236</v>
      </c>
      <c r="AU3570">
        <v>35.3</v>
      </c>
      <c r="AV3570" t="s">
        <v>806</v>
      </c>
      <c r="AW3570" t="s">
        <v>281</v>
      </c>
    </row>
    <row r="3571" spans="1:49">
      <c r="A3571" s="1">
        <f>HYPERLINK("https://lsnyc.legalserver.org/matter/dynamic-profile/view/1882993","18-1882993")</f>
        <v>0</v>
      </c>
      <c r="B3571" t="s">
        <v>112</v>
      </c>
      <c r="C3571" t="s">
        <v>340</v>
      </c>
      <c r="D3571" t="s">
        <v>651</v>
      </c>
      <c r="F3571" t="s">
        <v>1131</v>
      </c>
      <c r="G3571" t="s">
        <v>5145</v>
      </c>
      <c r="H3571" t="s">
        <v>12464</v>
      </c>
      <c r="I3571" t="s">
        <v>17334</v>
      </c>
      <c r="J3571" t="s">
        <v>18899</v>
      </c>
      <c r="K3571">
        <v>11385</v>
      </c>
      <c r="L3571" t="s">
        <v>18958</v>
      </c>
      <c r="M3571" t="s">
        <v>18958</v>
      </c>
      <c r="N3571" t="s">
        <v>21663</v>
      </c>
      <c r="O3571" t="s">
        <v>26523</v>
      </c>
      <c r="P3571" t="s">
        <v>26560</v>
      </c>
      <c r="R3571" t="s">
        <v>26585</v>
      </c>
      <c r="S3571" t="s">
        <v>18959</v>
      </c>
      <c r="U3571" t="s">
        <v>26604</v>
      </c>
      <c r="W3571" t="s">
        <v>855</v>
      </c>
      <c r="X3571">
        <v>1000</v>
      </c>
      <c r="Y3571" t="s">
        <v>26653</v>
      </c>
      <c r="Z3571" t="s">
        <v>26664</v>
      </c>
      <c r="AB3571" t="s">
        <v>29728</v>
      </c>
      <c r="AD3571" t="s">
        <v>39825</v>
      </c>
      <c r="AE3571">
        <v>6</v>
      </c>
      <c r="AF3571" t="s">
        <v>45541</v>
      </c>
      <c r="AG3571" t="s">
        <v>19330</v>
      </c>
      <c r="AH3571">
        <v>23</v>
      </c>
      <c r="AI3571">
        <v>3</v>
      </c>
      <c r="AJ3571">
        <v>0</v>
      </c>
      <c r="AK3571">
        <v>78.88</v>
      </c>
      <c r="AN3571" t="s">
        <v>45581</v>
      </c>
      <c r="AO3571">
        <v>16392</v>
      </c>
      <c r="AU3571">
        <v>75.15000000000001</v>
      </c>
      <c r="AV3571" t="s">
        <v>818</v>
      </c>
      <c r="AW3571" t="s">
        <v>208</v>
      </c>
    </row>
    <row r="3572" spans="1:49">
      <c r="A3572" s="1">
        <f>HYPERLINK("https://lsnyc.legalserver.org/matter/dynamic-profile/view/1883087","18-1883087")</f>
        <v>0</v>
      </c>
      <c r="B3572" t="s">
        <v>193</v>
      </c>
      <c r="C3572" t="s">
        <v>341</v>
      </c>
      <c r="D3572" t="s">
        <v>525</v>
      </c>
      <c r="E3572" t="s">
        <v>791</v>
      </c>
      <c r="F3572" t="s">
        <v>1139</v>
      </c>
      <c r="G3572" t="s">
        <v>6950</v>
      </c>
      <c r="H3572" t="s">
        <v>12465</v>
      </c>
      <c r="I3572" t="s">
        <v>17273</v>
      </c>
      <c r="J3572" t="s">
        <v>18894</v>
      </c>
      <c r="K3572">
        <v>11221</v>
      </c>
      <c r="L3572" t="s">
        <v>18958</v>
      </c>
      <c r="M3572" t="s">
        <v>18958</v>
      </c>
      <c r="N3572" t="s">
        <v>21664</v>
      </c>
      <c r="O3572" t="s">
        <v>26523</v>
      </c>
      <c r="P3572" t="s">
        <v>26560</v>
      </c>
      <c r="Q3572" t="s">
        <v>26568</v>
      </c>
      <c r="R3572" t="s">
        <v>26588</v>
      </c>
      <c r="S3572" t="s">
        <v>18959</v>
      </c>
      <c r="U3572" t="s">
        <v>26604</v>
      </c>
      <c r="W3572" t="s">
        <v>855</v>
      </c>
      <c r="X3572">
        <v>1285</v>
      </c>
      <c r="Y3572" t="s">
        <v>26652</v>
      </c>
      <c r="Z3572" t="s">
        <v>26669</v>
      </c>
      <c r="AA3572" t="s">
        <v>26678</v>
      </c>
      <c r="AB3572" t="s">
        <v>29729</v>
      </c>
      <c r="AC3572" t="s">
        <v>35556</v>
      </c>
      <c r="AD3572" t="s">
        <v>39826</v>
      </c>
      <c r="AE3572">
        <v>42</v>
      </c>
      <c r="AG3572" t="s">
        <v>19330</v>
      </c>
      <c r="AH3572">
        <v>12</v>
      </c>
      <c r="AI3572">
        <v>3</v>
      </c>
      <c r="AJ3572">
        <v>1</v>
      </c>
      <c r="AK3572">
        <v>159.36</v>
      </c>
      <c r="AN3572" t="s">
        <v>7439</v>
      </c>
      <c r="AO3572">
        <v>40000</v>
      </c>
      <c r="AQ3572" t="s">
        <v>46362</v>
      </c>
      <c r="AR3572" t="s">
        <v>46379</v>
      </c>
      <c r="AS3572" t="s">
        <v>46499</v>
      </c>
      <c r="AT3572" t="s">
        <v>46537</v>
      </c>
      <c r="AU3572">
        <v>7.9</v>
      </c>
      <c r="AV3572" t="s">
        <v>795</v>
      </c>
      <c r="AW3572" t="s">
        <v>281</v>
      </c>
    </row>
    <row r="3573" spans="1:49">
      <c r="A3573" s="1">
        <f>HYPERLINK("https://lsnyc.legalserver.org/matter/dynamic-profile/view/1883167","18-1883167")</f>
        <v>0</v>
      </c>
      <c r="B3573" t="s">
        <v>57</v>
      </c>
      <c r="C3573" t="s">
        <v>340</v>
      </c>
      <c r="D3573" t="s">
        <v>525</v>
      </c>
      <c r="F3573" t="s">
        <v>881</v>
      </c>
      <c r="G3573" t="s">
        <v>5138</v>
      </c>
      <c r="H3573" t="s">
        <v>12466</v>
      </c>
      <c r="I3573" t="s">
        <v>17985</v>
      </c>
      <c r="J3573" t="s">
        <v>18892</v>
      </c>
      <c r="K3573">
        <v>10473</v>
      </c>
      <c r="L3573" t="s">
        <v>18958</v>
      </c>
      <c r="M3573" t="s">
        <v>18958</v>
      </c>
      <c r="N3573" t="s">
        <v>21665</v>
      </c>
      <c r="O3573" t="s">
        <v>26523</v>
      </c>
      <c r="P3573" t="s">
        <v>26560</v>
      </c>
      <c r="R3573" t="s">
        <v>26577</v>
      </c>
      <c r="S3573" t="s">
        <v>18959</v>
      </c>
      <c r="U3573" t="s">
        <v>26604</v>
      </c>
      <c r="W3573" t="s">
        <v>855</v>
      </c>
      <c r="X3573">
        <v>1535</v>
      </c>
      <c r="Y3573" t="s">
        <v>26650</v>
      </c>
      <c r="Z3573" t="s">
        <v>26530</v>
      </c>
      <c r="AB3573" t="s">
        <v>28475</v>
      </c>
      <c r="AC3573" t="s">
        <v>35557</v>
      </c>
      <c r="AD3573" t="s">
        <v>39827</v>
      </c>
      <c r="AE3573">
        <v>5</v>
      </c>
      <c r="AF3573" t="s">
        <v>45547</v>
      </c>
      <c r="AG3573" t="s">
        <v>45562</v>
      </c>
      <c r="AH3573">
        <v>2</v>
      </c>
      <c r="AI3573">
        <v>2</v>
      </c>
      <c r="AJ3573">
        <v>0</v>
      </c>
      <c r="AK3573">
        <v>173.75</v>
      </c>
      <c r="AN3573" t="s">
        <v>45581</v>
      </c>
      <c r="AO3573">
        <v>28600</v>
      </c>
      <c r="AU3573">
        <v>35</v>
      </c>
      <c r="AV3573" t="s">
        <v>729</v>
      </c>
      <c r="AW3573" t="s">
        <v>46850</v>
      </c>
    </row>
    <row r="3574" spans="1:49">
      <c r="A3574" s="1">
        <f>HYPERLINK("https://lsnyc.legalserver.org/matter/dynamic-profile/view/1883092","18-1883092")</f>
        <v>0</v>
      </c>
      <c r="B3574" t="s">
        <v>53</v>
      </c>
      <c r="C3574" t="s">
        <v>340</v>
      </c>
      <c r="D3574" t="s">
        <v>525</v>
      </c>
      <c r="F3574" t="s">
        <v>2708</v>
      </c>
      <c r="G3574" t="s">
        <v>5199</v>
      </c>
      <c r="H3574" t="s">
        <v>12467</v>
      </c>
      <c r="I3574" t="s">
        <v>17838</v>
      </c>
      <c r="J3574" t="s">
        <v>18892</v>
      </c>
      <c r="K3574">
        <v>10453</v>
      </c>
      <c r="L3574" t="s">
        <v>18958</v>
      </c>
      <c r="M3574" t="s">
        <v>18958</v>
      </c>
      <c r="N3574" t="s">
        <v>21666</v>
      </c>
      <c r="O3574" t="s">
        <v>26524</v>
      </c>
      <c r="P3574" t="s">
        <v>26560</v>
      </c>
      <c r="R3574" t="s">
        <v>26577</v>
      </c>
      <c r="S3574" t="s">
        <v>18959</v>
      </c>
      <c r="U3574" t="s">
        <v>26604</v>
      </c>
      <c r="V3574" t="s">
        <v>26612</v>
      </c>
      <c r="W3574" t="s">
        <v>855</v>
      </c>
      <c r="X3574">
        <v>1181.16</v>
      </c>
      <c r="Y3574" t="s">
        <v>26650</v>
      </c>
      <c r="Z3574" t="s">
        <v>26661</v>
      </c>
      <c r="AB3574" t="s">
        <v>29730</v>
      </c>
      <c r="AD3574" t="s">
        <v>39828</v>
      </c>
      <c r="AE3574">
        <v>0</v>
      </c>
      <c r="AF3574" t="s">
        <v>45541</v>
      </c>
      <c r="AG3574" t="s">
        <v>19330</v>
      </c>
      <c r="AH3574">
        <v>20</v>
      </c>
      <c r="AI3574">
        <v>4</v>
      </c>
      <c r="AJ3574">
        <v>1</v>
      </c>
      <c r="AK3574">
        <v>176.75</v>
      </c>
      <c r="AO3574">
        <v>52000</v>
      </c>
      <c r="AU3574">
        <v>100.6</v>
      </c>
      <c r="AV3574" t="s">
        <v>834</v>
      </c>
      <c r="AW3574" t="s">
        <v>46871</v>
      </c>
    </row>
    <row r="3575" spans="1:49">
      <c r="A3575" s="1">
        <f>HYPERLINK("https://lsnyc.legalserver.org/matter/dynamic-profile/view/1883216","18-1883216")</f>
        <v>0</v>
      </c>
      <c r="B3575" t="s">
        <v>194</v>
      </c>
      <c r="C3575" t="s">
        <v>340</v>
      </c>
      <c r="D3575" t="s">
        <v>525</v>
      </c>
      <c r="F3575" t="s">
        <v>1488</v>
      </c>
      <c r="G3575" t="s">
        <v>6951</v>
      </c>
      <c r="H3575" t="s">
        <v>12468</v>
      </c>
      <c r="I3575" t="s">
        <v>17986</v>
      </c>
      <c r="J3575" t="s">
        <v>18893</v>
      </c>
      <c r="K3575">
        <v>10026</v>
      </c>
      <c r="L3575" t="s">
        <v>18958</v>
      </c>
      <c r="M3575" t="s">
        <v>18958</v>
      </c>
      <c r="N3575" t="s">
        <v>21667</v>
      </c>
      <c r="O3575" t="s">
        <v>26524</v>
      </c>
      <c r="P3575" t="s">
        <v>26560</v>
      </c>
      <c r="R3575" t="s">
        <v>26580</v>
      </c>
      <c r="S3575" t="s">
        <v>18959</v>
      </c>
      <c r="U3575" t="s">
        <v>26605</v>
      </c>
      <c r="V3575" t="s">
        <v>26610</v>
      </c>
      <c r="W3575" t="s">
        <v>855</v>
      </c>
      <c r="X3575">
        <v>215</v>
      </c>
      <c r="Y3575" t="s">
        <v>26651</v>
      </c>
      <c r="Z3575" t="s">
        <v>26664</v>
      </c>
      <c r="AB3575" t="s">
        <v>29731</v>
      </c>
      <c r="AC3575" t="s">
        <v>35558</v>
      </c>
      <c r="AD3575" t="s">
        <v>39829</v>
      </c>
      <c r="AE3575">
        <v>0</v>
      </c>
      <c r="AF3575" t="s">
        <v>45549</v>
      </c>
      <c r="AH3575">
        <v>56</v>
      </c>
      <c r="AI3575">
        <v>1</v>
      </c>
      <c r="AJ3575">
        <v>0</v>
      </c>
      <c r="AK3575">
        <v>82.54000000000001</v>
      </c>
      <c r="AN3575" t="s">
        <v>7439</v>
      </c>
      <c r="AO3575">
        <v>10020</v>
      </c>
      <c r="AU3575">
        <v>9.9</v>
      </c>
      <c r="AV3575" t="s">
        <v>758</v>
      </c>
      <c r="AW3575" t="s">
        <v>46875</v>
      </c>
    </row>
    <row r="3576" spans="1:49">
      <c r="A3576" s="1">
        <f>HYPERLINK("https://lsnyc.legalserver.org/matter/dynamic-profile/view/1883119","18-1883119")</f>
        <v>0</v>
      </c>
      <c r="B3576" t="s">
        <v>194</v>
      </c>
      <c r="C3576" t="s">
        <v>340</v>
      </c>
      <c r="D3576" t="s">
        <v>525</v>
      </c>
      <c r="F3576" t="s">
        <v>1352</v>
      </c>
      <c r="G3576" t="s">
        <v>1592</v>
      </c>
      <c r="H3576" t="s">
        <v>9946</v>
      </c>
      <c r="I3576">
        <v>906</v>
      </c>
      <c r="J3576" t="s">
        <v>18893</v>
      </c>
      <c r="K3576">
        <v>10027</v>
      </c>
      <c r="L3576" t="s">
        <v>18958</v>
      </c>
      <c r="M3576" t="s">
        <v>18958</v>
      </c>
      <c r="N3576" t="s">
        <v>21668</v>
      </c>
      <c r="O3576" t="s">
        <v>26523</v>
      </c>
      <c r="P3576" t="s">
        <v>26560</v>
      </c>
      <c r="R3576" t="s">
        <v>26580</v>
      </c>
      <c r="S3576" t="s">
        <v>18959</v>
      </c>
      <c r="U3576" t="s">
        <v>26604</v>
      </c>
      <c r="V3576" t="s">
        <v>26611</v>
      </c>
      <c r="W3576" t="s">
        <v>855</v>
      </c>
      <c r="X3576">
        <v>306</v>
      </c>
      <c r="Y3576" t="s">
        <v>26651</v>
      </c>
      <c r="Z3576" t="s">
        <v>26664</v>
      </c>
      <c r="AB3576" t="s">
        <v>29732</v>
      </c>
      <c r="AD3576" t="s">
        <v>39830</v>
      </c>
      <c r="AE3576">
        <v>61</v>
      </c>
      <c r="AF3576" t="s">
        <v>45548</v>
      </c>
      <c r="AG3576" t="s">
        <v>19330</v>
      </c>
      <c r="AH3576">
        <v>2</v>
      </c>
      <c r="AI3576">
        <v>1</v>
      </c>
      <c r="AJ3576">
        <v>0</v>
      </c>
      <c r="AK3576">
        <v>194.89</v>
      </c>
      <c r="AN3576" t="s">
        <v>7439</v>
      </c>
      <c r="AO3576">
        <v>23660.04</v>
      </c>
      <c r="AU3576">
        <v>36.45</v>
      </c>
      <c r="AV3576" t="s">
        <v>833</v>
      </c>
      <c r="AW3576" t="s">
        <v>314</v>
      </c>
    </row>
    <row r="3577" spans="1:49">
      <c r="A3577" s="1">
        <f>HYPERLINK("https://lsnyc.legalserver.org/matter/dynamic-profile/view/1883335","18-1883335")</f>
        <v>0</v>
      </c>
      <c r="B3577" t="s">
        <v>193</v>
      </c>
      <c r="C3577" t="s">
        <v>341</v>
      </c>
      <c r="D3577" t="s">
        <v>517</v>
      </c>
      <c r="E3577" t="s">
        <v>760</v>
      </c>
      <c r="F3577" t="s">
        <v>2709</v>
      </c>
      <c r="G3577" t="s">
        <v>6893</v>
      </c>
      <c r="H3577" t="s">
        <v>12469</v>
      </c>
      <c r="I3577">
        <v>618</v>
      </c>
      <c r="J3577" t="s">
        <v>18894</v>
      </c>
      <c r="K3577">
        <v>11226</v>
      </c>
      <c r="L3577" t="s">
        <v>18958</v>
      </c>
      <c r="M3577" t="s">
        <v>18958</v>
      </c>
      <c r="N3577" t="s">
        <v>21669</v>
      </c>
      <c r="O3577" t="s">
        <v>26533</v>
      </c>
      <c r="P3577" t="s">
        <v>26560</v>
      </c>
      <c r="Q3577" t="s">
        <v>26568</v>
      </c>
      <c r="R3577" t="s">
        <v>26588</v>
      </c>
      <c r="U3577" t="s">
        <v>26604</v>
      </c>
      <c r="W3577" t="s">
        <v>855</v>
      </c>
      <c r="X3577">
        <v>1070.58</v>
      </c>
      <c r="Y3577" t="s">
        <v>26652</v>
      </c>
      <c r="Z3577" t="s">
        <v>26668</v>
      </c>
      <c r="AA3577" t="s">
        <v>26678</v>
      </c>
      <c r="AB3577" t="s">
        <v>29733</v>
      </c>
      <c r="AC3577" t="s">
        <v>35559</v>
      </c>
      <c r="AD3577" t="s">
        <v>39831</v>
      </c>
      <c r="AE3577">
        <v>6</v>
      </c>
      <c r="AF3577" t="s">
        <v>45541</v>
      </c>
      <c r="AH3577">
        <v>20</v>
      </c>
      <c r="AI3577">
        <v>4</v>
      </c>
      <c r="AJ3577">
        <v>2</v>
      </c>
      <c r="AK3577">
        <v>115.59</v>
      </c>
      <c r="AN3577" t="s">
        <v>7439</v>
      </c>
      <c r="AO3577">
        <v>39000</v>
      </c>
      <c r="AQ3577" t="s">
        <v>46365</v>
      </c>
      <c r="AR3577" t="s">
        <v>46379</v>
      </c>
      <c r="AS3577" t="s">
        <v>46499</v>
      </c>
      <c r="AT3577" t="s">
        <v>46535</v>
      </c>
      <c r="AU3577">
        <v>9.1</v>
      </c>
      <c r="AV3577" t="s">
        <v>718</v>
      </c>
      <c r="AW3577" t="s">
        <v>46856</v>
      </c>
    </row>
    <row r="3578" spans="1:49">
      <c r="A3578" s="1">
        <f>HYPERLINK("https://lsnyc.legalserver.org/matter/dynamic-profile/view/1883458","18-1883458")</f>
        <v>0</v>
      </c>
      <c r="B3578" t="s">
        <v>180</v>
      </c>
      <c r="C3578" t="s">
        <v>341</v>
      </c>
      <c r="D3578" t="s">
        <v>664</v>
      </c>
      <c r="E3578" t="s">
        <v>789</v>
      </c>
      <c r="F3578" t="s">
        <v>2287</v>
      </c>
      <c r="G3578" t="s">
        <v>6952</v>
      </c>
      <c r="H3578" t="s">
        <v>12470</v>
      </c>
      <c r="I3578" t="s">
        <v>17325</v>
      </c>
      <c r="J3578" t="s">
        <v>18894</v>
      </c>
      <c r="K3578">
        <v>11221</v>
      </c>
      <c r="L3578" t="s">
        <v>18958</v>
      </c>
      <c r="M3578" t="s">
        <v>18958</v>
      </c>
      <c r="N3578" t="s">
        <v>21670</v>
      </c>
      <c r="O3578" t="s">
        <v>26523</v>
      </c>
      <c r="P3578" t="s">
        <v>26560</v>
      </c>
      <c r="Q3578" t="s">
        <v>26574</v>
      </c>
      <c r="R3578" t="s">
        <v>26588</v>
      </c>
      <c r="U3578" t="s">
        <v>26604</v>
      </c>
      <c r="W3578" t="s">
        <v>855</v>
      </c>
      <c r="X3578">
        <v>1216</v>
      </c>
      <c r="Y3578" t="s">
        <v>26652</v>
      </c>
      <c r="Z3578" t="s">
        <v>26669</v>
      </c>
      <c r="AA3578" t="s">
        <v>26679</v>
      </c>
      <c r="AB3578" t="s">
        <v>29734</v>
      </c>
      <c r="AD3578" t="s">
        <v>39832</v>
      </c>
      <c r="AE3578">
        <v>6</v>
      </c>
      <c r="AG3578" t="s">
        <v>19330</v>
      </c>
      <c r="AH3578">
        <v>10</v>
      </c>
      <c r="AI3578">
        <v>1</v>
      </c>
      <c r="AJ3578">
        <v>1</v>
      </c>
      <c r="AK3578">
        <v>0</v>
      </c>
      <c r="AN3578" t="s">
        <v>7439</v>
      </c>
      <c r="AO3578">
        <v>0</v>
      </c>
      <c r="AU3578">
        <v>11.8</v>
      </c>
      <c r="AV3578" t="s">
        <v>787</v>
      </c>
      <c r="AW3578" t="s">
        <v>281</v>
      </c>
    </row>
    <row r="3579" spans="1:49">
      <c r="A3579" s="1">
        <f>HYPERLINK("https://lsnyc.legalserver.org/matter/dynamic-profile/view/1883465","18-1883465")</f>
        <v>0</v>
      </c>
      <c r="B3579" t="s">
        <v>203</v>
      </c>
      <c r="C3579" t="s">
        <v>341</v>
      </c>
      <c r="D3579" t="s">
        <v>664</v>
      </c>
      <c r="E3579" t="s">
        <v>835</v>
      </c>
      <c r="F3579" t="s">
        <v>1704</v>
      </c>
      <c r="G3579" t="s">
        <v>5639</v>
      </c>
      <c r="H3579" t="s">
        <v>12471</v>
      </c>
      <c r="I3579" t="s">
        <v>17319</v>
      </c>
      <c r="J3579" t="s">
        <v>18894</v>
      </c>
      <c r="K3579">
        <v>11226</v>
      </c>
      <c r="L3579" t="s">
        <v>18958</v>
      </c>
      <c r="M3579" t="s">
        <v>18958</v>
      </c>
      <c r="N3579" t="s">
        <v>21671</v>
      </c>
      <c r="O3579" t="s">
        <v>26523</v>
      </c>
      <c r="P3579" t="s">
        <v>26560</v>
      </c>
      <c r="Q3579" t="s">
        <v>26568</v>
      </c>
      <c r="R3579" t="s">
        <v>26588</v>
      </c>
      <c r="U3579" t="s">
        <v>26604</v>
      </c>
      <c r="V3579" t="s">
        <v>26610</v>
      </c>
      <c r="W3579" t="s">
        <v>855</v>
      </c>
      <c r="X3579">
        <v>1106</v>
      </c>
      <c r="Y3579" t="s">
        <v>26652</v>
      </c>
      <c r="Z3579" t="s">
        <v>26664</v>
      </c>
      <c r="AA3579" t="s">
        <v>26678</v>
      </c>
      <c r="AB3579" t="s">
        <v>29735</v>
      </c>
      <c r="AD3579" t="s">
        <v>39833</v>
      </c>
      <c r="AE3579">
        <v>0</v>
      </c>
      <c r="AG3579" t="s">
        <v>19330</v>
      </c>
      <c r="AH3579">
        <v>14</v>
      </c>
      <c r="AI3579">
        <v>2</v>
      </c>
      <c r="AJ3579">
        <v>0</v>
      </c>
      <c r="AK3579">
        <v>188.34</v>
      </c>
      <c r="AN3579" t="s">
        <v>7439</v>
      </c>
      <c r="AO3579">
        <v>31000</v>
      </c>
      <c r="AS3579" t="s">
        <v>46499</v>
      </c>
      <c r="AU3579">
        <v>0.5</v>
      </c>
      <c r="AV3579" t="s">
        <v>835</v>
      </c>
      <c r="AW3579" t="s">
        <v>281</v>
      </c>
    </row>
    <row r="3580" spans="1:49">
      <c r="A3580" s="1">
        <f>HYPERLINK("https://lsnyc.legalserver.org/matter/dynamic-profile/view/1883508","18-1883508")</f>
        <v>0</v>
      </c>
      <c r="B3580" t="s">
        <v>140</v>
      </c>
      <c r="C3580" t="s">
        <v>341</v>
      </c>
      <c r="D3580" t="s">
        <v>664</v>
      </c>
      <c r="E3580" t="s">
        <v>794</v>
      </c>
      <c r="F3580" t="s">
        <v>2710</v>
      </c>
      <c r="G3580" t="s">
        <v>5431</v>
      </c>
      <c r="H3580" t="s">
        <v>12472</v>
      </c>
      <c r="I3580" t="s">
        <v>17432</v>
      </c>
      <c r="J3580" t="s">
        <v>18894</v>
      </c>
      <c r="K3580">
        <v>11218</v>
      </c>
      <c r="L3580" t="s">
        <v>18958</v>
      </c>
      <c r="M3580" t="s">
        <v>18958</v>
      </c>
      <c r="N3580" t="s">
        <v>21672</v>
      </c>
      <c r="O3580" t="s">
        <v>26524</v>
      </c>
      <c r="P3580" t="s">
        <v>26560</v>
      </c>
      <c r="Q3580" t="s">
        <v>26569</v>
      </c>
      <c r="R3580" t="s">
        <v>26586</v>
      </c>
      <c r="S3580" t="s">
        <v>18959</v>
      </c>
      <c r="U3580" t="s">
        <v>26604</v>
      </c>
      <c r="V3580" t="s">
        <v>26610</v>
      </c>
      <c r="W3580" t="s">
        <v>855</v>
      </c>
      <c r="X3580">
        <v>1054</v>
      </c>
      <c r="Y3580" t="s">
        <v>26652</v>
      </c>
      <c r="Z3580" t="s">
        <v>26655</v>
      </c>
      <c r="AA3580" t="s">
        <v>26683</v>
      </c>
      <c r="AB3580" t="s">
        <v>28291</v>
      </c>
      <c r="AD3580" t="s">
        <v>39834</v>
      </c>
      <c r="AE3580">
        <v>1</v>
      </c>
      <c r="AH3580">
        <v>10</v>
      </c>
      <c r="AI3580">
        <v>1</v>
      </c>
      <c r="AJ3580">
        <v>0</v>
      </c>
      <c r="AK3580">
        <v>321.25</v>
      </c>
      <c r="AL3580" t="s">
        <v>794</v>
      </c>
      <c r="AM3580" t="s">
        <v>45575</v>
      </c>
      <c r="AN3580" t="s">
        <v>7439</v>
      </c>
      <c r="AO3580">
        <v>39000</v>
      </c>
      <c r="AU3580">
        <v>32.8</v>
      </c>
      <c r="AV3580" t="s">
        <v>660</v>
      </c>
      <c r="AW3580" t="s">
        <v>46856</v>
      </c>
    </row>
    <row r="3581" spans="1:49">
      <c r="A3581" s="1">
        <f>HYPERLINK("https://lsnyc.legalserver.org/matter/dynamic-profile/view/1883453","18-1883453")</f>
        <v>0</v>
      </c>
      <c r="B3581" t="s">
        <v>167</v>
      </c>
      <c r="C3581" t="s">
        <v>340</v>
      </c>
      <c r="D3581" t="s">
        <v>664</v>
      </c>
      <c r="F3581" t="s">
        <v>2711</v>
      </c>
      <c r="G3581" t="s">
        <v>6953</v>
      </c>
      <c r="H3581" t="s">
        <v>12473</v>
      </c>
      <c r="I3581" t="s">
        <v>17275</v>
      </c>
      <c r="J3581" t="s">
        <v>18894</v>
      </c>
      <c r="K3581">
        <v>11226</v>
      </c>
      <c r="L3581" t="s">
        <v>18958</v>
      </c>
      <c r="M3581" t="s">
        <v>18958</v>
      </c>
      <c r="N3581" t="s">
        <v>21673</v>
      </c>
      <c r="O3581" t="s">
        <v>26523</v>
      </c>
      <c r="P3581" t="s">
        <v>26560</v>
      </c>
      <c r="R3581" t="s">
        <v>26588</v>
      </c>
      <c r="U3581" t="s">
        <v>26604</v>
      </c>
      <c r="W3581" t="s">
        <v>855</v>
      </c>
      <c r="X3581">
        <v>726</v>
      </c>
      <c r="Y3581" t="s">
        <v>26652</v>
      </c>
      <c r="Z3581" t="s">
        <v>26664</v>
      </c>
      <c r="AB3581" t="s">
        <v>29736</v>
      </c>
      <c r="AD3581" t="s">
        <v>39835</v>
      </c>
      <c r="AE3581">
        <v>16</v>
      </c>
      <c r="AG3581" t="s">
        <v>19330</v>
      </c>
      <c r="AH3581">
        <v>18</v>
      </c>
      <c r="AI3581">
        <v>1</v>
      </c>
      <c r="AJ3581">
        <v>0</v>
      </c>
      <c r="AK3581">
        <v>88.95999999999999</v>
      </c>
      <c r="AN3581" t="s">
        <v>7439</v>
      </c>
      <c r="AO3581">
        <v>10800</v>
      </c>
      <c r="AU3581">
        <v>11.3</v>
      </c>
      <c r="AV3581" t="s">
        <v>800</v>
      </c>
      <c r="AW3581" t="s">
        <v>281</v>
      </c>
    </row>
    <row r="3582" spans="1:49">
      <c r="A3582" s="1">
        <f>HYPERLINK("https://lsnyc.legalserver.org/matter/dynamic-profile/view/1883560","18-1883560")</f>
        <v>0</v>
      </c>
      <c r="B3582" t="s">
        <v>101</v>
      </c>
      <c r="C3582" t="s">
        <v>340</v>
      </c>
      <c r="D3582" t="s">
        <v>664</v>
      </c>
      <c r="F3582" t="s">
        <v>1101</v>
      </c>
      <c r="G3582" t="s">
        <v>6954</v>
      </c>
      <c r="H3582" t="s">
        <v>12474</v>
      </c>
      <c r="I3582" t="s">
        <v>17358</v>
      </c>
      <c r="J3582" t="s">
        <v>18894</v>
      </c>
      <c r="K3582">
        <v>11225</v>
      </c>
      <c r="L3582" t="s">
        <v>18958</v>
      </c>
      <c r="M3582" t="s">
        <v>18958</v>
      </c>
      <c r="N3582" t="s">
        <v>21674</v>
      </c>
      <c r="O3582" t="s">
        <v>26523</v>
      </c>
      <c r="P3582" t="s">
        <v>26560</v>
      </c>
      <c r="R3582" t="s">
        <v>26588</v>
      </c>
      <c r="U3582" t="s">
        <v>26604</v>
      </c>
      <c r="W3582" t="s">
        <v>855</v>
      </c>
      <c r="X3582">
        <v>1312.84</v>
      </c>
      <c r="Y3582" t="s">
        <v>26652</v>
      </c>
      <c r="Z3582" t="s">
        <v>26668</v>
      </c>
      <c r="AB3582" t="s">
        <v>29737</v>
      </c>
      <c r="AD3582" t="s">
        <v>39836</v>
      </c>
      <c r="AE3582">
        <v>6</v>
      </c>
      <c r="AF3582" t="s">
        <v>45541</v>
      </c>
      <c r="AG3582" t="s">
        <v>45561</v>
      </c>
      <c r="AH3582">
        <v>13</v>
      </c>
      <c r="AI3582">
        <v>2</v>
      </c>
      <c r="AJ3582">
        <v>0</v>
      </c>
      <c r="AK3582">
        <v>0</v>
      </c>
      <c r="AN3582" t="s">
        <v>7439</v>
      </c>
      <c r="AO3582">
        <v>0</v>
      </c>
      <c r="AU3582">
        <v>13.85</v>
      </c>
      <c r="AV3582" t="s">
        <v>815</v>
      </c>
      <c r="AW3582" t="s">
        <v>46856</v>
      </c>
    </row>
    <row r="3583" spans="1:49">
      <c r="A3583" s="1">
        <f>HYPERLINK("https://lsnyc.legalserver.org/matter/dynamic-profile/view/1883451","18-1883451")</f>
        <v>0</v>
      </c>
      <c r="B3583" t="s">
        <v>101</v>
      </c>
      <c r="C3583" t="s">
        <v>340</v>
      </c>
      <c r="D3583" t="s">
        <v>664</v>
      </c>
      <c r="F3583" t="s">
        <v>2712</v>
      </c>
      <c r="G3583" t="s">
        <v>5561</v>
      </c>
      <c r="H3583" t="s">
        <v>12470</v>
      </c>
      <c r="I3583" t="s">
        <v>17322</v>
      </c>
      <c r="J3583" t="s">
        <v>18894</v>
      </c>
      <c r="K3583">
        <v>11221</v>
      </c>
      <c r="L3583" t="s">
        <v>18958</v>
      </c>
      <c r="M3583" t="s">
        <v>18958</v>
      </c>
      <c r="N3583" t="s">
        <v>21675</v>
      </c>
      <c r="O3583" t="s">
        <v>26524</v>
      </c>
      <c r="P3583" t="s">
        <v>26560</v>
      </c>
      <c r="R3583" t="s">
        <v>26588</v>
      </c>
      <c r="U3583" t="s">
        <v>26604</v>
      </c>
      <c r="W3583" t="s">
        <v>855</v>
      </c>
      <c r="X3583">
        <v>1600</v>
      </c>
      <c r="Y3583" t="s">
        <v>26652</v>
      </c>
      <c r="Z3583" t="s">
        <v>26669</v>
      </c>
      <c r="AB3583" t="s">
        <v>29738</v>
      </c>
      <c r="AD3583" t="s">
        <v>39837</v>
      </c>
      <c r="AE3583">
        <v>0</v>
      </c>
      <c r="AH3583">
        <v>0</v>
      </c>
      <c r="AI3583">
        <v>2</v>
      </c>
      <c r="AJ3583">
        <v>1</v>
      </c>
      <c r="AK3583">
        <v>196.34</v>
      </c>
      <c r="AN3583" t="s">
        <v>7439</v>
      </c>
      <c r="AO3583">
        <v>40800</v>
      </c>
      <c r="AU3583">
        <v>24.15</v>
      </c>
      <c r="AV3583" t="s">
        <v>821</v>
      </c>
      <c r="AW3583" t="s">
        <v>281</v>
      </c>
    </row>
    <row r="3584" spans="1:49">
      <c r="A3584" s="1">
        <f>HYPERLINK("https://lsnyc.legalserver.org/matter/dynamic-profile/view/1883565","18-1883565")</f>
        <v>0</v>
      </c>
      <c r="B3584" t="s">
        <v>203</v>
      </c>
      <c r="C3584" t="s">
        <v>341</v>
      </c>
      <c r="D3584" t="s">
        <v>603</v>
      </c>
      <c r="E3584" t="s">
        <v>458</v>
      </c>
      <c r="F3584" t="s">
        <v>2055</v>
      </c>
      <c r="G3584" t="s">
        <v>5147</v>
      </c>
      <c r="H3584" t="s">
        <v>11128</v>
      </c>
      <c r="I3584" t="s">
        <v>17436</v>
      </c>
      <c r="J3584" t="s">
        <v>18894</v>
      </c>
      <c r="K3584">
        <v>11221</v>
      </c>
      <c r="L3584" t="s">
        <v>18958</v>
      </c>
      <c r="M3584" t="s">
        <v>18958</v>
      </c>
      <c r="N3584" t="s">
        <v>21676</v>
      </c>
      <c r="O3584" t="s">
        <v>26523</v>
      </c>
      <c r="P3584" t="s">
        <v>26560</v>
      </c>
      <c r="Q3584" t="s">
        <v>26568</v>
      </c>
      <c r="R3584" t="s">
        <v>26588</v>
      </c>
      <c r="U3584" t="s">
        <v>26604</v>
      </c>
      <c r="V3584" t="s">
        <v>26612</v>
      </c>
      <c r="W3584" t="s">
        <v>855</v>
      </c>
      <c r="X3584">
        <v>972</v>
      </c>
      <c r="Y3584" t="s">
        <v>26652</v>
      </c>
      <c r="Z3584" t="s">
        <v>26669</v>
      </c>
      <c r="AA3584" t="s">
        <v>26678</v>
      </c>
      <c r="AB3584" t="s">
        <v>29739</v>
      </c>
      <c r="AC3584" t="s">
        <v>35560</v>
      </c>
      <c r="AD3584" t="s">
        <v>39838</v>
      </c>
      <c r="AE3584">
        <v>0</v>
      </c>
      <c r="AH3584">
        <v>5</v>
      </c>
      <c r="AI3584">
        <v>1</v>
      </c>
      <c r="AJ3584">
        <v>0</v>
      </c>
      <c r="AK3584">
        <v>61.29</v>
      </c>
      <c r="AN3584" t="s">
        <v>7439</v>
      </c>
      <c r="AO3584">
        <v>7440</v>
      </c>
      <c r="AR3584" t="s">
        <v>46381</v>
      </c>
      <c r="AS3584" t="s">
        <v>46499</v>
      </c>
      <c r="AT3584" t="s">
        <v>46653</v>
      </c>
      <c r="AU3584">
        <v>2</v>
      </c>
      <c r="AV3584" t="s">
        <v>458</v>
      </c>
      <c r="AW3584" t="s">
        <v>281</v>
      </c>
    </row>
    <row r="3585" spans="1:50">
      <c r="A3585" s="1">
        <f>HYPERLINK("https://lsnyc.legalserver.org/matter/dynamic-profile/view/1883563","18-1883563")</f>
        <v>0</v>
      </c>
      <c r="B3585" t="s">
        <v>140</v>
      </c>
      <c r="C3585" t="s">
        <v>341</v>
      </c>
      <c r="D3585" t="s">
        <v>603</v>
      </c>
      <c r="E3585" t="s">
        <v>823</v>
      </c>
      <c r="F3585" t="s">
        <v>1796</v>
      </c>
      <c r="G3585" t="s">
        <v>5498</v>
      </c>
      <c r="H3585" t="s">
        <v>12475</v>
      </c>
      <c r="J3585" t="s">
        <v>18894</v>
      </c>
      <c r="K3585">
        <v>11225</v>
      </c>
      <c r="L3585" t="s">
        <v>18958</v>
      </c>
      <c r="M3585" t="s">
        <v>18958</v>
      </c>
      <c r="N3585" t="s">
        <v>21677</v>
      </c>
      <c r="O3585" t="s">
        <v>26524</v>
      </c>
      <c r="P3585" t="s">
        <v>26560</v>
      </c>
      <c r="Q3585" t="s">
        <v>26568</v>
      </c>
      <c r="R3585" t="s">
        <v>26588</v>
      </c>
      <c r="S3585" t="s">
        <v>18959</v>
      </c>
      <c r="U3585" t="s">
        <v>26604</v>
      </c>
      <c r="V3585" t="s">
        <v>26610</v>
      </c>
      <c r="W3585" t="s">
        <v>855</v>
      </c>
      <c r="X3585">
        <v>0</v>
      </c>
      <c r="Y3585" t="s">
        <v>26652</v>
      </c>
      <c r="Z3585" t="s">
        <v>26669</v>
      </c>
      <c r="AA3585" t="s">
        <v>26679</v>
      </c>
      <c r="AB3585" t="s">
        <v>29740</v>
      </c>
      <c r="AD3585" t="s">
        <v>39839</v>
      </c>
      <c r="AE3585">
        <v>6</v>
      </c>
      <c r="AF3585" t="s">
        <v>45547</v>
      </c>
      <c r="AH3585">
        <v>1</v>
      </c>
      <c r="AI3585">
        <v>1</v>
      </c>
      <c r="AJ3585">
        <v>0</v>
      </c>
      <c r="AK3585">
        <v>171.33</v>
      </c>
      <c r="AN3585" t="s">
        <v>7439</v>
      </c>
      <c r="AO3585">
        <v>20800</v>
      </c>
      <c r="AU3585">
        <v>6.6</v>
      </c>
      <c r="AV3585" t="s">
        <v>786</v>
      </c>
      <c r="AW3585" t="s">
        <v>281</v>
      </c>
    </row>
    <row r="3586" spans="1:50">
      <c r="A3586" s="1">
        <f>HYPERLINK("https://lsnyc.legalserver.org/matter/dynamic-profile/view/1882959","18-1882959")</f>
        <v>0</v>
      </c>
      <c r="B3586" t="s">
        <v>65</v>
      </c>
      <c r="C3586" t="s">
        <v>341</v>
      </c>
      <c r="D3586" t="s">
        <v>603</v>
      </c>
      <c r="E3586" t="s">
        <v>857</v>
      </c>
      <c r="F3586" t="s">
        <v>1900</v>
      </c>
      <c r="G3586" t="s">
        <v>6687</v>
      </c>
      <c r="H3586" t="s">
        <v>12476</v>
      </c>
      <c r="I3586" t="s">
        <v>17362</v>
      </c>
      <c r="J3586" t="s">
        <v>18892</v>
      </c>
      <c r="K3586">
        <v>10468</v>
      </c>
      <c r="L3586" t="s">
        <v>18958</v>
      </c>
      <c r="M3586" t="s">
        <v>18958</v>
      </c>
      <c r="N3586" t="s">
        <v>21678</v>
      </c>
      <c r="O3586" t="s">
        <v>26523</v>
      </c>
      <c r="P3586" t="s">
        <v>26560</v>
      </c>
      <c r="Q3586" t="s">
        <v>26568</v>
      </c>
      <c r="R3586" t="s">
        <v>26579</v>
      </c>
      <c r="S3586" t="s">
        <v>18959</v>
      </c>
      <c r="U3586" t="s">
        <v>26604</v>
      </c>
      <c r="V3586" t="s">
        <v>26610</v>
      </c>
      <c r="W3586" t="s">
        <v>855</v>
      </c>
      <c r="X3586">
        <v>1200</v>
      </c>
      <c r="Y3586" t="s">
        <v>26650</v>
      </c>
      <c r="Z3586" t="s">
        <v>26659</v>
      </c>
      <c r="AA3586" t="s">
        <v>26678</v>
      </c>
      <c r="AB3586" t="s">
        <v>28050</v>
      </c>
      <c r="AC3586" t="s">
        <v>35561</v>
      </c>
      <c r="AD3586" t="s">
        <v>39840</v>
      </c>
      <c r="AE3586">
        <v>49</v>
      </c>
      <c r="AF3586" t="s">
        <v>45541</v>
      </c>
      <c r="AG3586" t="s">
        <v>45557</v>
      </c>
      <c r="AH3586">
        <v>5</v>
      </c>
      <c r="AI3586">
        <v>1</v>
      </c>
      <c r="AJ3586">
        <v>3</v>
      </c>
      <c r="AK3586">
        <v>56.97</v>
      </c>
      <c r="AN3586" t="s">
        <v>45581</v>
      </c>
      <c r="AO3586">
        <v>14300</v>
      </c>
      <c r="AQ3586" t="s">
        <v>46362</v>
      </c>
      <c r="AR3586" t="s">
        <v>46385</v>
      </c>
      <c r="AS3586" t="s">
        <v>46499</v>
      </c>
      <c r="AT3586" t="s">
        <v>46615</v>
      </c>
      <c r="AU3586">
        <v>9.85</v>
      </c>
      <c r="AV3586" t="s">
        <v>781</v>
      </c>
      <c r="AW3586" t="s">
        <v>46831</v>
      </c>
    </row>
    <row r="3587" spans="1:50">
      <c r="A3587" s="1">
        <f>HYPERLINK("https://lsnyc.legalserver.org/matter/dynamic-profile/view/1883633","18-1883633")</f>
        <v>0</v>
      </c>
      <c r="B3587" t="s">
        <v>68</v>
      </c>
      <c r="C3587" t="s">
        <v>340</v>
      </c>
      <c r="D3587" t="s">
        <v>603</v>
      </c>
      <c r="F3587" t="s">
        <v>2713</v>
      </c>
      <c r="G3587" t="s">
        <v>6955</v>
      </c>
      <c r="H3587" t="s">
        <v>11175</v>
      </c>
      <c r="I3587" t="s">
        <v>17987</v>
      </c>
      <c r="J3587" t="s">
        <v>18892</v>
      </c>
      <c r="K3587">
        <v>10467</v>
      </c>
      <c r="L3587" t="s">
        <v>18958</v>
      </c>
      <c r="M3587" t="s">
        <v>18958</v>
      </c>
      <c r="N3587" t="s">
        <v>21679</v>
      </c>
      <c r="O3587" t="s">
        <v>26523</v>
      </c>
      <c r="P3587" t="s">
        <v>26560</v>
      </c>
      <c r="R3587" t="s">
        <v>26579</v>
      </c>
      <c r="S3587" t="s">
        <v>18959</v>
      </c>
      <c r="U3587" t="s">
        <v>26604</v>
      </c>
      <c r="V3587" t="s">
        <v>26610</v>
      </c>
      <c r="W3587" t="s">
        <v>855</v>
      </c>
      <c r="X3587">
        <v>1300</v>
      </c>
      <c r="Y3587" t="s">
        <v>26650</v>
      </c>
      <c r="Z3587" t="s">
        <v>26668</v>
      </c>
      <c r="AB3587" t="s">
        <v>29741</v>
      </c>
      <c r="AD3587" t="s">
        <v>39841</v>
      </c>
      <c r="AE3587">
        <v>0</v>
      </c>
      <c r="AG3587" t="s">
        <v>45560</v>
      </c>
      <c r="AH3587">
        <v>2</v>
      </c>
      <c r="AI3587">
        <v>1</v>
      </c>
      <c r="AJ3587">
        <v>0</v>
      </c>
      <c r="AK3587">
        <v>14.99</v>
      </c>
      <c r="AN3587" t="s">
        <v>7439</v>
      </c>
      <c r="AO3587">
        <v>1820</v>
      </c>
      <c r="AU3587">
        <v>16.75</v>
      </c>
      <c r="AV3587" t="s">
        <v>807</v>
      </c>
      <c r="AW3587" t="s">
        <v>46871</v>
      </c>
    </row>
    <row r="3588" spans="1:50">
      <c r="A3588" s="1">
        <f>HYPERLINK("https://lsnyc.legalserver.org/matter/dynamic-profile/view/1883689","18-1883689")</f>
        <v>0</v>
      </c>
      <c r="B3588" t="s">
        <v>202</v>
      </c>
      <c r="C3588" t="s">
        <v>340</v>
      </c>
      <c r="D3588" t="s">
        <v>665</v>
      </c>
      <c r="F3588" t="s">
        <v>2714</v>
      </c>
      <c r="G3588" t="s">
        <v>5419</v>
      </c>
      <c r="H3588" t="s">
        <v>12477</v>
      </c>
      <c r="I3588" t="s">
        <v>17356</v>
      </c>
      <c r="J3588" t="s">
        <v>18894</v>
      </c>
      <c r="K3588">
        <v>11221</v>
      </c>
      <c r="L3588" t="s">
        <v>18958</v>
      </c>
      <c r="M3588" t="s">
        <v>18958</v>
      </c>
      <c r="N3588" t="s">
        <v>21680</v>
      </c>
      <c r="O3588" t="s">
        <v>26523</v>
      </c>
      <c r="P3588" t="s">
        <v>26560</v>
      </c>
      <c r="R3588" t="s">
        <v>26588</v>
      </c>
      <c r="S3588" t="s">
        <v>18959</v>
      </c>
      <c r="U3588" t="s">
        <v>26604</v>
      </c>
      <c r="V3588" t="s">
        <v>26610</v>
      </c>
      <c r="W3588" t="s">
        <v>855</v>
      </c>
      <c r="X3588">
        <v>1413</v>
      </c>
      <c r="Y3588" t="s">
        <v>26652</v>
      </c>
      <c r="Z3588" t="s">
        <v>26669</v>
      </c>
      <c r="AB3588" t="s">
        <v>29742</v>
      </c>
      <c r="AD3588" t="s">
        <v>39842</v>
      </c>
      <c r="AE3588">
        <v>30</v>
      </c>
      <c r="AG3588" t="s">
        <v>45557</v>
      </c>
      <c r="AH3588">
        <v>9</v>
      </c>
      <c r="AI3588">
        <v>1</v>
      </c>
      <c r="AJ3588">
        <v>4</v>
      </c>
      <c r="AK3588">
        <v>8.16</v>
      </c>
      <c r="AN3588" t="s">
        <v>7439</v>
      </c>
      <c r="AO3588">
        <v>2400</v>
      </c>
      <c r="AQ3588" t="s">
        <v>46362</v>
      </c>
      <c r="AR3588" t="s">
        <v>26530</v>
      </c>
      <c r="AU3588">
        <v>18.4</v>
      </c>
      <c r="AV3588" t="s">
        <v>838</v>
      </c>
      <c r="AW3588" t="s">
        <v>281</v>
      </c>
    </row>
    <row r="3589" spans="1:50">
      <c r="A3589" s="1">
        <f>HYPERLINK("https://lsnyc.legalserver.org/matter/dynamic-profile/view/1883704","18-1883704")</f>
        <v>0</v>
      </c>
      <c r="B3589" t="s">
        <v>202</v>
      </c>
      <c r="C3589" t="s">
        <v>340</v>
      </c>
      <c r="D3589" t="s">
        <v>665</v>
      </c>
      <c r="F3589" t="s">
        <v>1106</v>
      </c>
      <c r="G3589" t="s">
        <v>6956</v>
      </c>
      <c r="H3589" t="s">
        <v>12478</v>
      </c>
      <c r="I3589" t="s">
        <v>17349</v>
      </c>
      <c r="J3589" t="s">
        <v>18894</v>
      </c>
      <c r="K3589">
        <v>11221</v>
      </c>
      <c r="L3589" t="s">
        <v>18958</v>
      </c>
      <c r="M3589" t="s">
        <v>18958</v>
      </c>
      <c r="N3589" t="s">
        <v>21681</v>
      </c>
      <c r="O3589" t="s">
        <v>26523</v>
      </c>
      <c r="P3589" t="s">
        <v>26560</v>
      </c>
      <c r="R3589" t="s">
        <v>26588</v>
      </c>
      <c r="S3589" t="s">
        <v>18959</v>
      </c>
      <c r="U3589" t="s">
        <v>26604</v>
      </c>
      <c r="V3589" t="s">
        <v>26610</v>
      </c>
      <c r="W3589" t="s">
        <v>855</v>
      </c>
      <c r="X3589">
        <v>1293</v>
      </c>
      <c r="Y3589" t="s">
        <v>26652</v>
      </c>
      <c r="Z3589" t="s">
        <v>26669</v>
      </c>
      <c r="AB3589" t="s">
        <v>29743</v>
      </c>
      <c r="AD3589" t="s">
        <v>39843</v>
      </c>
      <c r="AE3589">
        <v>104</v>
      </c>
      <c r="AG3589" t="s">
        <v>19330</v>
      </c>
      <c r="AH3589">
        <v>9</v>
      </c>
      <c r="AI3589">
        <v>2</v>
      </c>
      <c r="AJ3589">
        <v>0</v>
      </c>
      <c r="AK3589">
        <v>118.3</v>
      </c>
      <c r="AN3589" t="s">
        <v>7439</v>
      </c>
      <c r="AO3589">
        <v>19472</v>
      </c>
      <c r="AQ3589" t="s">
        <v>46362</v>
      </c>
      <c r="AR3589" t="s">
        <v>26530</v>
      </c>
      <c r="AU3589">
        <v>16.7</v>
      </c>
      <c r="AV3589" t="s">
        <v>770</v>
      </c>
      <c r="AW3589" t="s">
        <v>281</v>
      </c>
    </row>
    <row r="3590" spans="1:50">
      <c r="A3590" s="1">
        <f>HYPERLINK("https://lsnyc.legalserver.org/matter/dynamic-profile/view/1883705","18-1883705")</f>
        <v>0</v>
      </c>
      <c r="B3590" t="s">
        <v>82</v>
      </c>
      <c r="C3590" t="s">
        <v>340</v>
      </c>
      <c r="D3590" t="s">
        <v>665</v>
      </c>
      <c r="F3590" t="s">
        <v>1228</v>
      </c>
      <c r="G3590" t="s">
        <v>5691</v>
      </c>
      <c r="H3590" t="s">
        <v>9996</v>
      </c>
      <c r="I3590" t="s">
        <v>17338</v>
      </c>
      <c r="J3590" t="s">
        <v>18892</v>
      </c>
      <c r="K3590">
        <v>10457</v>
      </c>
      <c r="L3590" t="s">
        <v>18958</v>
      </c>
      <c r="M3590" t="s">
        <v>18959</v>
      </c>
      <c r="N3590" t="s">
        <v>21682</v>
      </c>
      <c r="O3590" t="s">
        <v>26523</v>
      </c>
      <c r="P3590" t="s">
        <v>26560</v>
      </c>
      <c r="R3590" t="s">
        <v>26579</v>
      </c>
      <c r="S3590" t="s">
        <v>18959</v>
      </c>
      <c r="U3590" t="s">
        <v>26604</v>
      </c>
      <c r="V3590" t="s">
        <v>26610</v>
      </c>
      <c r="W3590" t="s">
        <v>855</v>
      </c>
      <c r="X3590">
        <v>1627</v>
      </c>
      <c r="Y3590" t="s">
        <v>26650</v>
      </c>
      <c r="Z3590" t="s">
        <v>26664</v>
      </c>
      <c r="AB3590" t="s">
        <v>29744</v>
      </c>
      <c r="AC3590" t="s">
        <v>35562</v>
      </c>
      <c r="AD3590" t="s">
        <v>39844</v>
      </c>
      <c r="AE3590">
        <v>167</v>
      </c>
      <c r="AF3590" t="s">
        <v>45552</v>
      </c>
      <c r="AG3590" t="s">
        <v>19330</v>
      </c>
      <c r="AH3590">
        <v>1</v>
      </c>
      <c r="AI3590">
        <v>4</v>
      </c>
      <c r="AJ3590">
        <v>6</v>
      </c>
      <c r="AK3590">
        <v>187.13</v>
      </c>
      <c r="AN3590" t="s">
        <v>45581</v>
      </c>
      <c r="AO3590">
        <v>95472</v>
      </c>
      <c r="AU3590">
        <v>3.1</v>
      </c>
      <c r="AV3590" t="s">
        <v>814</v>
      </c>
      <c r="AW3590" t="s">
        <v>46867</v>
      </c>
    </row>
    <row r="3591" spans="1:50">
      <c r="A3591" s="1">
        <f>HYPERLINK("https://lsnyc.legalserver.org/matter/dynamic-profile/view/1883803","18-1883803")</f>
        <v>0</v>
      </c>
      <c r="B3591" t="s">
        <v>55</v>
      </c>
      <c r="C3591" t="s">
        <v>341</v>
      </c>
      <c r="D3591" t="s">
        <v>669</v>
      </c>
      <c r="E3591" t="s">
        <v>808</v>
      </c>
      <c r="F3591" t="s">
        <v>2715</v>
      </c>
      <c r="G3591" t="s">
        <v>5300</v>
      </c>
      <c r="H3591" t="s">
        <v>12150</v>
      </c>
      <c r="I3591">
        <v>701</v>
      </c>
      <c r="J3591" t="s">
        <v>18892</v>
      </c>
      <c r="K3591">
        <v>10462</v>
      </c>
      <c r="L3591" t="s">
        <v>18958</v>
      </c>
      <c r="M3591" t="s">
        <v>18958</v>
      </c>
      <c r="N3591" t="s">
        <v>21683</v>
      </c>
      <c r="O3591" t="s">
        <v>26523</v>
      </c>
      <c r="P3591" t="s">
        <v>26565</v>
      </c>
      <c r="Q3591" t="s">
        <v>26570</v>
      </c>
      <c r="R3591" t="s">
        <v>26578</v>
      </c>
      <c r="S3591" t="s">
        <v>18959</v>
      </c>
      <c r="U3591" t="s">
        <v>26604</v>
      </c>
      <c r="V3591" t="s">
        <v>26614</v>
      </c>
      <c r="W3591" t="s">
        <v>855</v>
      </c>
      <c r="X3591">
        <v>1166</v>
      </c>
      <c r="Y3591" t="s">
        <v>26650</v>
      </c>
      <c r="Z3591" t="s">
        <v>26530</v>
      </c>
      <c r="AA3591" t="s">
        <v>26683</v>
      </c>
      <c r="AB3591" t="s">
        <v>28350</v>
      </c>
      <c r="AD3591" t="s">
        <v>39845</v>
      </c>
      <c r="AE3591">
        <v>0</v>
      </c>
      <c r="AF3591" t="s">
        <v>45541</v>
      </c>
      <c r="AH3591">
        <v>2</v>
      </c>
      <c r="AI3591">
        <v>1</v>
      </c>
      <c r="AJ3591">
        <v>0</v>
      </c>
      <c r="AK3591">
        <v>128.5</v>
      </c>
      <c r="AN3591" t="s">
        <v>7439</v>
      </c>
      <c r="AO3591">
        <v>15600</v>
      </c>
      <c r="AU3591">
        <v>5.9</v>
      </c>
      <c r="AV3591" t="s">
        <v>670</v>
      </c>
      <c r="AW3591" t="s">
        <v>46871</v>
      </c>
    </row>
    <row r="3592" spans="1:50">
      <c r="A3592" s="1">
        <f>HYPERLINK("https://lsnyc.legalserver.org/matter/dynamic-profile/view/1883905","18-1883905")</f>
        <v>0</v>
      </c>
      <c r="B3592" t="s">
        <v>238</v>
      </c>
      <c r="C3592" t="s">
        <v>341</v>
      </c>
      <c r="D3592" t="s">
        <v>669</v>
      </c>
      <c r="E3592" t="s">
        <v>670</v>
      </c>
      <c r="F3592" t="s">
        <v>2716</v>
      </c>
      <c r="G3592" t="s">
        <v>6957</v>
      </c>
      <c r="J3592" t="s">
        <v>18894</v>
      </c>
      <c r="K3592">
        <v>11226</v>
      </c>
      <c r="L3592" t="s">
        <v>18958</v>
      </c>
      <c r="M3592" t="s">
        <v>18958</v>
      </c>
      <c r="N3592" t="s">
        <v>21684</v>
      </c>
      <c r="O3592" t="s">
        <v>26526</v>
      </c>
      <c r="P3592" t="s">
        <v>26564</v>
      </c>
      <c r="Q3592" t="s">
        <v>26570</v>
      </c>
      <c r="R3592" t="s">
        <v>26586</v>
      </c>
      <c r="S3592" t="s">
        <v>18959</v>
      </c>
      <c r="U3592" t="s">
        <v>26604</v>
      </c>
      <c r="W3592" t="s">
        <v>855</v>
      </c>
      <c r="X3592">
        <v>0</v>
      </c>
      <c r="Y3592" t="s">
        <v>26652</v>
      </c>
      <c r="Z3592" t="s">
        <v>26664</v>
      </c>
      <c r="AA3592" t="s">
        <v>26683</v>
      </c>
      <c r="AB3592" t="s">
        <v>29745</v>
      </c>
      <c r="AD3592" t="s">
        <v>39846</v>
      </c>
      <c r="AE3592">
        <v>0</v>
      </c>
      <c r="AH3592">
        <v>38</v>
      </c>
      <c r="AI3592">
        <v>2</v>
      </c>
      <c r="AJ3592">
        <v>1</v>
      </c>
      <c r="AK3592">
        <v>89.61</v>
      </c>
      <c r="AN3592" t="s">
        <v>7439</v>
      </c>
      <c r="AO3592">
        <v>18620</v>
      </c>
      <c r="AU3592">
        <v>1.5</v>
      </c>
      <c r="AV3592" t="s">
        <v>670</v>
      </c>
      <c r="AW3592" t="s">
        <v>46862</v>
      </c>
    </row>
    <row r="3593" spans="1:50">
      <c r="A3593" s="1">
        <f>HYPERLINK("https://lsnyc.legalserver.org/matter/dynamic-profile/view/1883961","18-1883961")</f>
        <v>0</v>
      </c>
      <c r="B3593" t="s">
        <v>77</v>
      </c>
      <c r="C3593" t="s">
        <v>341</v>
      </c>
      <c r="D3593" t="s">
        <v>666</v>
      </c>
      <c r="E3593" t="s">
        <v>828</v>
      </c>
      <c r="F3593" t="s">
        <v>1031</v>
      </c>
      <c r="G3593" t="s">
        <v>5639</v>
      </c>
      <c r="H3593" t="s">
        <v>9969</v>
      </c>
      <c r="I3593" t="s">
        <v>17463</v>
      </c>
      <c r="J3593" t="s">
        <v>18893</v>
      </c>
      <c r="K3593">
        <v>10025</v>
      </c>
      <c r="L3593" t="s">
        <v>18958</v>
      </c>
      <c r="M3593" t="s">
        <v>18958</v>
      </c>
      <c r="N3593" t="s">
        <v>21685</v>
      </c>
      <c r="O3593" t="s">
        <v>26523</v>
      </c>
      <c r="P3593" t="s">
        <v>26560</v>
      </c>
      <c r="Q3593" t="s">
        <v>26568</v>
      </c>
      <c r="R3593" t="s">
        <v>26580</v>
      </c>
      <c r="S3593" t="s">
        <v>18959</v>
      </c>
      <c r="U3593" t="s">
        <v>26605</v>
      </c>
      <c r="V3593" t="s">
        <v>26610</v>
      </c>
      <c r="W3593" t="s">
        <v>855</v>
      </c>
      <c r="X3593">
        <v>250</v>
      </c>
      <c r="Y3593" t="s">
        <v>26651</v>
      </c>
      <c r="Z3593" t="s">
        <v>26664</v>
      </c>
      <c r="AA3593" t="s">
        <v>26678</v>
      </c>
      <c r="AB3593" t="s">
        <v>29746</v>
      </c>
      <c r="AD3593" t="s">
        <v>39847</v>
      </c>
      <c r="AE3593">
        <v>1162</v>
      </c>
      <c r="AF3593" t="s">
        <v>45549</v>
      </c>
      <c r="AH3593">
        <v>3</v>
      </c>
      <c r="AI3593">
        <v>1</v>
      </c>
      <c r="AJ3593">
        <v>0</v>
      </c>
      <c r="AK3593">
        <v>80.66</v>
      </c>
      <c r="AN3593" t="s">
        <v>7439</v>
      </c>
      <c r="AO3593">
        <v>9792</v>
      </c>
      <c r="AS3593" t="s">
        <v>46499</v>
      </c>
      <c r="AT3593" t="s">
        <v>46609</v>
      </c>
      <c r="AU3593">
        <v>3.2</v>
      </c>
      <c r="AV3593" t="s">
        <v>416</v>
      </c>
      <c r="AW3593" t="s">
        <v>46879</v>
      </c>
    </row>
    <row r="3594" spans="1:50">
      <c r="A3594" s="1">
        <f>HYPERLINK("https://lsnyc.legalserver.org/matter/dynamic-profile/view/1884081","18-1884081")</f>
        <v>0</v>
      </c>
      <c r="B3594" t="s">
        <v>54</v>
      </c>
      <c r="C3594" t="s">
        <v>341</v>
      </c>
      <c r="D3594" t="s">
        <v>666</v>
      </c>
      <c r="E3594" t="s">
        <v>809</v>
      </c>
      <c r="F3594" t="s">
        <v>891</v>
      </c>
      <c r="G3594" t="s">
        <v>6958</v>
      </c>
      <c r="H3594" t="s">
        <v>10048</v>
      </c>
      <c r="I3594" t="s">
        <v>17312</v>
      </c>
      <c r="J3594" t="s">
        <v>18892</v>
      </c>
      <c r="K3594">
        <v>10457</v>
      </c>
      <c r="L3594" t="s">
        <v>18958</v>
      </c>
      <c r="M3594" t="s">
        <v>18958</v>
      </c>
      <c r="N3594" t="s">
        <v>21686</v>
      </c>
      <c r="O3594" t="s">
        <v>26523</v>
      </c>
      <c r="P3594" t="s">
        <v>26560</v>
      </c>
      <c r="Q3594" t="s">
        <v>26568</v>
      </c>
      <c r="R3594" t="s">
        <v>26579</v>
      </c>
      <c r="S3594" t="s">
        <v>18959</v>
      </c>
      <c r="U3594" t="s">
        <v>26604</v>
      </c>
      <c r="V3594" t="s">
        <v>26610</v>
      </c>
      <c r="W3594" t="s">
        <v>855</v>
      </c>
      <c r="X3594">
        <v>255</v>
      </c>
      <c r="Y3594" t="s">
        <v>26650</v>
      </c>
      <c r="Z3594" t="s">
        <v>26659</v>
      </c>
      <c r="AA3594" t="s">
        <v>26678</v>
      </c>
      <c r="AB3594" t="s">
        <v>29747</v>
      </c>
      <c r="AD3594" t="s">
        <v>39848</v>
      </c>
      <c r="AE3594">
        <v>28</v>
      </c>
      <c r="AF3594" t="s">
        <v>45543</v>
      </c>
      <c r="AG3594" t="s">
        <v>45556</v>
      </c>
      <c r="AH3594">
        <v>9</v>
      </c>
      <c r="AI3594">
        <v>1</v>
      </c>
      <c r="AJ3594">
        <v>0</v>
      </c>
      <c r="AK3594">
        <v>74.14</v>
      </c>
      <c r="AN3594" t="s">
        <v>7439</v>
      </c>
      <c r="AO3594">
        <v>9000</v>
      </c>
      <c r="AQ3594" t="s">
        <v>46362</v>
      </c>
      <c r="AR3594" t="s">
        <v>46380</v>
      </c>
      <c r="AS3594" t="s">
        <v>46499</v>
      </c>
      <c r="AT3594" t="s">
        <v>46666</v>
      </c>
      <c r="AU3594">
        <v>6.5</v>
      </c>
      <c r="AV3594" t="s">
        <v>757</v>
      </c>
      <c r="AW3594" t="s">
        <v>54</v>
      </c>
    </row>
    <row r="3595" spans="1:50">
      <c r="A3595" s="1">
        <f>HYPERLINK("https://lsnyc.legalserver.org/matter/dynamic-profile/view/1884080","18-1884080")</f>
        <v>0</v>
      </c>
      <c r="B3595" t="s">
        <v>54</v>
      </c>
      <c r="C3595" t="s">
        <v>340</v>
      </c>
      <c r="D3595" t="s">
        <v>666</v>
      </c>
      <c r="F3595" t="s">
        <v>1829</v>
      </c>
      <c r="G3595" t="s">
        <v>5275</v>
      </c>
      <c r="H3595" t="s">
        <v>12479</v>
      </c>
      <c r="I3595" t="s">
        <v>17299</v>
      </c>
      <c r="J3595" t="s">
        <v>18892</v>
      </c>
      <c r="K3595">
        <v>10468</v>
      </c>
      <c r="L3595" t="s">
        <v>18958</v>
      </c>
      <c r="M3595" t="s">
        <v>18958</v>
      </c>
      <c r="N3595" t="s">
        <v>21687</v>
      </c>
      <c r="O3595" t="s">
        <v>26524</v>
      </c>
      <c r="P3595" t="s">
        <v>26560</v>
      </c>
      <c r="R3595" t="s">
        <v>26579</v>
      </c>
      <c r="S3595" t="s">
        <v>18959</v>
      </c>
      <c r="U3595" t="s">
        <v>26604</v>
      </c>
      <c r="V3595" t="s">
        <v>26610</v>
      </c>
      <c r="W3595" t="s">
        <v>855</v>
      </c>
      <c r="X3595">
        <v>1430</v>
      </c>
      <c r="Y3595" t="s">
        <v>26650</v>
      </c>
      <c r="Z3595" t="s">
        <v>26659</v>
      </c>
      <c r="AB3595" t="s">
        <v>28087</v>
      </c>
      <c r="AD3595" t="s">
        <v>38139</v>
      </c>
      <c r="AE3595">
        <v>3</v>
      </c>
      <c r="AF3595" t="s">
        <v>45547</v>
      </c>
      <c r="AG3595" t="s">
        <v>19330</v>
      </c>
      <c r="AH3595">
        <v>7</v>
      </c>
      <c r="AI3595">
        <v>1</v>
      </c>
      <c r="AJ3595">
        <v>0</v>
      </c>
      <c r="AK3595">
        <v>74.14</v>
      </c>
      <c r="AN3595" t="s">
        <v>45581</v>
      </c>
      <c r="AO3595">
        <v>9000</v>
      </c>
      <c r="AU3595">
        <v>39.2</v>
      </c>
      <c r="AV3595" t="s">
        <v>773</v>
      </c>
      <c r="AW3595" t="s">
        <v>46832</v>
      </c>
      <c r="AX3595" t="s">
        <v>46897</v>
      </c>
    </row>
    <row r="3596" spans="1:50">
      <c r="A3596" s="1">
        <f>HYPERLINK("https://lsnyc.legalserver.org/matter/dynamic-profile/view/1884117","18-1884117")</f>
        <v>0</v>
      </c>
      <c r="B3596" t="s">
        <v>98</v>
      </c>
      <c r="C3596" t="s">
        <v>341</v>
      </c>
      <c r="D3596" t="s">
        <v>652</v>
      </c>
      <c r="E3596" t="s">
        <v>823</v>
      </c>
      <c r="F3596" t="s">
        <v>1870</v>
      </c>
      <c r="G3596" t="s">
        <v>1725</v>
      </c>
      <c r="H3596" t="s">
        <v>9648</v>
      </c>
      <c r="J3596" t="s">
        <v>18892</v>
      </c>
      <c r="K3596">
        <v>10452</v>
      </c>
      <c r="L3596" t="s">
        <v>18958</v>
      </c>
      <c r="M3596" t="s">
        <v>18958</v>
      </c>
      <c r="O3596" t="s">
        <v>26539</v>
      </c>
      <c r="P3596" t="s">
        <v>26562</v>
      </c>
      <c r="Q3596" t="s">
        <v>26572</v>
      </c>
      <c r="R3596" t="s">
        <v>26578</v>
      </c>
      <c r="S3596" t="s">
        <v>18959</v>
      </c>
      <c r="U3596" t="s">
        <v>26607</v>
      </c>
      <c r="W3596" t="s">
        <v>855</v>
      </c>
      <c r="X3596">
        <v>700.84</v>
      </c>
      <c r="Y3596" t="s">
        <v>26650</v>
      </c>
      <c r="Z3596" t="s">
        <v>26659</v>
      </c>
      <c r="AA3596" t="s">
        <v>26682</v>
      </c>
      <c r="AB3596" t="s">
        <v>29748</v>
      </c>
      <c r="AD3596" t="s">
        <v>39849</v>
      </c>
      <c r="AE3596">
        <v>122</v>
      </c>
      <c r="AF3596" t="s">
        <v>45541</v>
      </c>
      <c r="AG3596" t="s">
        <v>45559</v>
      </c>
      <c r="AH3596">
        <v>26</v>
      </c>
      <c r="AI3596">
        <v>1</v>
      </c>
      <c r="AJ3596">
        <v>0</v>
      </c>
      <c r="AK3596">
        <v>97.44</v>
      </c>
      <c r="AN3596" t="s">
        <v>7439</v>
      </c>
      <c r="AO3596">
        <v>11829.6</v>
      </c>
      <c r="AU3596">
        <v>10.1</v>
      </c>
      <c r="AV3596" t="s">
        <v>823</v>
      </c>
      <c r="AW3596" t="s">
        <v>98</v>
      </c>
    </row>
    <row r="3597" spans="1:50">
      <c r="A3597" s="1">
        <f>HYPERLINK("https://lsnyc.legalserver.org/matter/dynamic-profile/view/1884172","18-1884172")</f>
        <v>0</v>
      </c>
      <c r="B3597" t="s">
        <v>227</v>
      </c>
      <c r="C3597" t="s">
        <v>341</v>
      </c>
      <c r="D3597" t="s">
        <v>652</v>
      </c>
      <c r="E3597" t="s">
        <v>780</v>
      </c>
      <c r="F3597" t="s">
        <v>2717</v>
      </c>
      <c r="G3597" t="s">
        <v>6959</v>
      </c>
      <c r="H3597" t="s">
        <v>12480</v>
      </c>
      <c r="I3597" t="s">
        <v>17755</v>
      </c>
      <c r="J3597" t="s">
        <v>18894</v>
      </c>
      <c r="K3597">
        <v>11249</v>
      </c>
      <c r="L3597" t="s">
        <v>18958</v>
      </c>
      <c r="M3597" t="s">
        <v>18958</v>
      </c>
      <c r="N3597" t="s">
        <v>21688</v>
      </c>
      <c r="O3597" t="s">
        <v>26524</v>
      </c>
      <c r="P3597" t="s">
        <v>26560</v>
      </c>
      <c r="Q3597" t="s">
        <v>26570</v>
      </c>
      <c r="R3597" t="s">
        <v>26586</v>
      </c>
      <c r="U3597" t="s">
        <v>26605</v>
      </c>
      <c r="W3597" t="s">
        <v>855</v>
      </c>
      <c r="X3597">
        <v>273</v>
      </c>
      <c r="Y3597" t="s">
        <v>26652</v>
      </c>
      <c r="Z3597" t="s">
        <v>26664</v>
      </c>
      <c r="AA3597" t="s">
        <v>26683</v>
      </c>
      <c r="AB3597" t="s">
        <v>29749</v>
      </c>
      <c r="AD3597" t="s">
        <v>39850</v>
      </c>
      <c r="AE3597">
        <v>0</v>
      </c>
      <c r="AF3597" t="s">
        <v>45549</v>
      </c>
      <c r="AH3597">
        <v>23</v>
      </c>
      <c r="AI3597">
        <v>4</v>
      </c>
      <c r="AJ3597">
        <v>5</v>
      </c>
      <c r="AK3597">
        <v>43.43</v>
      </c>
      <c r="AN3597" t="s">
        <v>7439</v>
      </c>
      <c r="AO3597">
        <v>20280</v>
      </c>
      <c r="AU3597">
        <v>0.6</v>
      </c>
      <c r="AV3597" t="s">
        <v>780</v>
      </c>
      <c r="AW3597" t="s">
        <v>281</v>
      </c>
    </row>
    <row r="3598" spans="1:50">
      <c r="A3598" s="1">
        <f>HYPERLINK("https://lsnyc.legalserver.org/matter/dynamic-profile/view/1884252","18-1884252")</f>
        <v>0</v>
      </c>
      <c r="B3598" t="s">
        <v>187</v>
      </c>
      <c r="C3598" t="s">
        <v>341</v>
      </c>
      <c r="D3598" t="s">
        <v>652</v>
      </c>
      <c r="E3598" t="s">
        <v>758</v>
      </c>
      <c r="F3598" t="s">
        <v>1076</v>
      </c>
      <c r="G3598" t="s">
        <v>2749</v>
      </c>
      <c r="H3598" t="s">
        <v>10141</v>
      </c>
      <c r="I3598">
        <v>114</v>
      </c>
      <c r="J3598" t="s">
        <v>18892</v>
      </c>
      <c r="K3598">
        <v>10457</v>
      </c>
      <c r="L3598" t="s">
        <v>18958</v>
      </c>
      <c r="M3598" t="s">
        <v>18958</v>
      </c>
      <c r="N3598" t="s">
        <v>21689</v>
      </c>
      <c r="O3598" t="s">
        <v>26523</v>
      </c>
      <c r="P3598" t="s">
        <v>26564</v>
      </c>
      <c r="Q3598" t="s">
        <v>26570</v>
      </c>
      <c r="R3598" t="s">
        <v>26579</v>
      </c>
      <c r="S3598" t="s">
        <v>18959</v>
      </c>
      <c r="U3598" t="s">
        <v>26604</v>
      </c>
      <c r="V3598" t="s">
        <v>26610</v>
      </c>
      <c r="W3598" t="s">
        <v>855</v>
      </c>
      <c r="X3598">
        <v>2050</v>
      </c>
      <c r="Y3598" t="s">
        <v>26650</v>
      </c>
      <c r="Z3598" t="s">
        <v>26664</v>
      </c>
      <c r="AA3598" t="s">
        <v>26683</v>
      </c>
      <c r="AB3598" t="s">
        <v>29750</v>
      </c>
      <c r="AD3598" t="s">
        <v>39851</v>
      </c>
      <c r="AE3598">
        <v>0</v>
      </c>
      <c r="AF3598" t="s">
        <v>20460</v>
      </c>
      <c r="AG3598" t="s">
        <v>19330</v>
      </c>
      <c r="AH3598">
        <v>12</v>
      </c>
      <c r="AI3598">
        <v>2</v>
      </c>
      <c r="AJ3598">
        <v>1</v>
      </c>
      <c r="AK3598">
        <v>127.05</v>
      </c>
      <c r="AN3598" t="s">
        <v>45581</v>
      </c>
      <c r="AO3598">
        <v>26400</v>
      </c>
      <c r="AS3598" t="s">
        <v>46502</v>
      </c>
      <c r="AT3598" t="s">
        <v>46645</v>
      </c>
      <c r="AU3598">
        <v>1.6</v>
      </c>
      <c r="AV3598" t="s">
        <v>458</v>
      </c>
      <c r="AW3598" t="s">
        <v>336</v>
      </c>
    </row>
    <row r="3599" spans="1:50">
      <c r="A3599" s="1">
        <f>HYPERLINK("https://lsnyc.legalserver.org/matter/dynamic-profile/view/1884084","18-1884084")</f>
        <v>0</v>
      </c>
      <c r="B3599" t="s">
        <v>172</v>
      </c>
      <c r="C3599" t="s">
        <v>341</v>
      </c>
      <c r="D3599" t="s">
        <v>652</v>
      </c>
      <c r="E3599" t="s">
        <v>813</v>
      </c>
      <c r="F3599" t="s">
        <v>1091</v>
      </c>
      <c r="G3599" t="s">
        <v>5206</v>
      </c>
      <c r="H3599" t="s">
        <v>12481</v>
      </c>
      <c r="I3599" t="s">
        <v>17274</v>
      </c>
      <c r="J3599" t="s">
        <v>18894</v>
      </c>
      <c r="K3599">
        <v>11233</v>
      </c>
      <c r="L3599" t="s">
        <v>18958</v>
      </c>
      <c r="M3599" t="s">
        <v>18958</v>
      </c>
      <c r="N3599" t="s">
        <v>21690</v>
      </c>
      <c r="O3599" t="s">
        <v>26523</v>
      </c>
      <c r="P3599" t="s">
        <v>26560</v>
      </c>
      <c r="Q3599" t="s">
        <v>26568</v>
      </c>
      <c r="R3599" t="s">
        <v>26586</v>
      </c>
      <c r="U3599" t="s">
        <v>26605</v>
      </c>
      <c r="W3599" t="s">
        <v>855</v>
      </c>
      <c r="X3599">
        <v>215</v>
      </c>
      <c r="Y3599" t="s">
        <v>26652</v>
      </c>
      <c r="Z3599" t="s">
        <v>26664</v>
      </c>
      <c r="AA3599" t="s">
        <v>26680</v>
      </c>
      <c r="AB3599" t="s">
        <v>29751</v>
      </c>
      <c r="AD3599" t="s">
        <v>39852</v>
      </c>
      <c r="AE3599">
        <v>4</v>
      </c>
      <c r="AF3599" t="s">
        <v>45549</v>
      </c>
      <c r="AH3599">
        <v>11</v>
      </c>
      <c r="AI3599">
        <v>2</v>
      </c>
      <c r="AJ3599">
        <v>0</v>
      </c>
      <c r="AK3599">
        <v>14.45</v>
      </c>
      <c r="AN3599" t="s">
        <v>7439</v>
      </c>
      <c r="AO3599">
        <v>2379</v>
      </c>
      <c r="AR3599" t="s">
        <v>46392</v>
      </c>
      <c r="AS3599" t="s">
        <v>46499</v>
      </c>
      <c r="AT3599" t="s">
        <v>46745</v>
      </c>
      <c r="AU3599">
        <v>8.300000000000001</v>
      </c>
      <c r="AV3599" t="s">
        <v>813</v>
      </c>
      <c r="AW3599" t="s">
        <v>281</v>
      </c>
    </row>
    <row r="3600" spans="1:50">
      <c r="A3600" s="1">
        <f>HYPERLINK("https://lsnyc.legalserver.org/matter/dynamic-profile/view/1884132","18-1884132")</f>
        <v>0</v>
      </c>
      <c r="B3600" t="s">
        <v>172</v>
      </c>
      <c r="C3600" t="s">
        <v>341</v>
      </c>
      <c r="D3600" t="s">
        <v>652</v>
      </c>
      <c r="E3600" t="s">
        <v>792</v>
      </c>
      <c r="F3600" t="s">
        <v>1139</v>
      </c>
      <c r="G3600" t="s">
        <v>6960</v>
      </c>
      <c r="H3600" t="s">
        <v>12482</v>
      </c>
      <c r="I3600" t="s">
        <v>17293</v>
      </c>
      <c r="J3600" t="s">
        <v>18894</v>
      </c>
      <c r="K3600">
        <v>11238</v>
      </c>
      <c r="L3600" t="s">
        <v>18958</v>
      </c>
      <c r="M3600" t="s">
        <v>18958</v>
      </c>
      <c r="N3600" t="s">
        <v>21691</v>
      </c>
      <c r="O3600" t="s">
        <v>26523</v>
      </c>
      <c r="P3600" t="s">
        <v>26560</v>
      </c>
      <c r="Q3600" t="s">
        <v>26568</v>
      </c>
      <c r="R3600" t="s">
        <v>26586</v>
      </c>
      <c r="U3600" t="s">
        <v>26604</v>
      </c>
      <c r="W3600" t="s">
        <v>855</v>
      </c>
      <c r="X3600">
        <v>959.79</v>
      </c>
      <c r="Y3600" t="s">
        <v>26652</v>
      </c>
      <c r="Z3600" t="s">
        <v>26664</v>
      </c>
      <c r="AA3600" t="s">
        <v>26678</v>
      </c>
      <c r="AB3600" t="s">
        <v>29752</v>
      </c>
      <c r="AD3600" t="s">
        <v>39853</v>
      </c>
      <c r="AE3600">
        <v>0</v>
      </c>
      <c r="AF3600" t="s">
        <v>45541</v>
      </c>
      <c r="AG3600" t="s">
        <v>19330</v>
      </c>
      <c r="AH3600">
        <v>15</v>
      </c>
      <c r="AI3600">
        <v>1</v>
      </c>
      <c r="AJ3600">
        <v>0</v>
      </c>
      <c r="AK3600">
        <v>128.5</v>
      </c>
      <c r="AN3600" t="s">
        <v>45581</v>
      </c>
      <c r="AO3600">
        <v>15600</v>
      </c>
      <c r="AS3600" t="s">
        <v>46499</v>
      </c>
      <c r="AT3600" t="s">
        <v>46774</v>
      </c>
      <c r="AU3600">
        <v>9.699999999999999</v>
      </c>
      <c r="AV3600" t="s">
        <v>792</v>
      </c>
      <c r="AW3600" t="s">
        <v>281</v>
      </c>
    </row>
    <row r="3601" spans="1:50">
      <c r="A3601" s="1">
        <f>HYPERLINK("https://lsnyc.legalserver.org/matter/dynamic-profile/view/1884091","18-1884091")</f>
        <v>0</v>
      </c>
      <c r="B3601" t="s">
        <v>202</v>
      </c>
      <c r="C3601" t="s">
        <v>340</v>
      </c>
      <c r="D3601" t="s">
        <v>652</v>
      </c>
      <c r="F3601" t="s">
        <v>1351</v>
      </c>
      <c r="G3601" t="s">
        <v>6961</v>
      </c>
      <c r="H3601" t="s">
        <v>12483</v>
      </c>
      <c r="I3601" t="s">
        <v>17299</v>
      </c>
      <c r="J3601" t="s">
        <v>18894</v>
      </c>
      <c r="K3601">
        <v>11221</v>
      </c>
      <c r="L3601" t="s">
        <v>18958</v>
      </c>
      <c r="M3601" t="s">
        <v>18958</v>
      </c>
      <c r="N3601" t="s">
        <v>21692</v>
      </c>
      <c r="O3601" t="s">
        <v>26524</v>
      </c>
      <c r="P3601" t="s">
        <v>26560</v>
      </c>
      <c r="R3601" t="s">
        <v>26588</v>
      </c>
      <c r="S3601" t="s">
        <v>18959</v>
      </c>
      <c r="U3601" t="s">
        <v>26604</v>
      </c>
      <c r="V3601" t="s">
        <v>26613</v>
      </c>
      <c r="W3601" t="s">
        <v>855</v>
      </c>
      <c r="X3601">
        <v>1264</v>
      </c>
      <c r="Y3601" t="s">
        <v>26652</v>
      </c>
      <c r="Z3601" t="s">
        <v>26669</v>
      </c>
      <c r="AB3601" t="s">
        <v>29753</v>
      </c>
      <c r="AD3601" t="s">
        <v>39854</v>
      </c>
      <c r="AE3601">
        <v>6</v>
      </c>
      <c r="AF3601" t="s">
        <v>45541</v>
      </c>
      <c r="AG3601" t="s">
        <v>19330</v>
      </c>
      <c r="AH3601">
        <v>7</v>
      </c>
      <c r="AI3601">
        <v>2</v>
      </c>
      <c r="AJ3601">
        <v>1</v>
      </c>
      <c r="AK3601">
        <v>386.24</v>
      </c>
      <c r="AN3601" t="s">
        <v>7439</v>
      </c>
      <c r="AO3601">
        <v>80260</v>
      </c>
      <c r="AQ3601" t="s">
        <v>46359</v>
      </c>
      <c r="AR3601" t="s">
        <v>26530</v>
      </c>
      <c r="AS3601" t="s">
        <v>46499</v>
      </c>
      <c r="AT3601" t="s">
        <v>46775</v>
      </c>
      <c r="AU3601">
        <v>16.65</v>
      </c>
      <c r="AV3601" t="s">
        <v>807</v>
      </c>
      <c r="AW3601" t="s">
        <v>281</v>
      </c>
    </row>
    <row r="3602" spans="1:50">
      <c r="A3602" s="1">
        <f>HYPERLINK("https://lsnyc.legalserver.org/matter/dynamic-profile/view/1885008","18-1885008")</f>
        <v>0</v>
      </c>
      <c r="B3602" t="s">
        <v>262</v>
      </c>
      <c r="C3602" t="s">
        <v>340</v>
      </c>
      <c r="D3602" t="s">
        <v>652</v>
      </c>
      <c r="F3602" t="s">
        <v>2134</v>
      </c>
      <c r="G3602" t="s">
        <v>5100</v>
      </c>
      <c r="H3602" t="s">
        <v>12484</v>
      </c>
      <c r="I3602" t="s">
        <v>17277</v>
      </c>
      <c r="J3602" t="s">
        <v>18892</v>
      </c>
      <c r="K3602">
        <v>10452</v>
      </c>
      <c r="L3602" t="s">
        <v>18958</v>
      </c>
      <c r="M3602" t="s">
        <v>18958</v>
      </c>
      <c r="N3602" t="s">
        <v>21693</v>
      </c>
      <c r="O3602" t="s">
        <v>26523</v>
      </c>
      <c r="P3602" t="s">
        <v>26560</v>
      </c>
      <c r="R3602" t="s">
        <v>26577</v>
      </c>
      <c r="S3602" t="s">
        <v>18959</v>
      </c>
      <c r="U3602" t="s">
        <v>26604</v>
      </c>
      <c r="W3602" t="s">
        <v>855</v>
      </c>
      <c r="X3602">
        <v>1620.9</v>
      </c>
      <c r="Y3602" t="s">
        <v>26650</v>
      </c>
      <c r="Z3602" t="s">
        <v>26664</v>
      </c>
      <c r="AB3602" t="s">
        <v>29754</v>
      </c>
      <c r="AC3602" t="s">
        <v>35563</v>
      </c>
      <c r="AE3602">
        <v>41</v>
      </c>
      <c r="AF3602" t="s">
        <v>45541</v>
      </c>
      <c r="AG3602" t="s">
        <v>45556</v>
      </c>
      <c r="AH3602">
        <v>17</v>
      </c>
      <c r="AI3602">
        <v>2</v>
      </c>
      <c r="AJ3602">
        <v>2</v>
      </c>
      <c r="AK3602">
        <v>48.86</v>
      </c>
      <c r="AN3602" t="s">
        <v>7439</v>
      </c>
      <c r="AO3602">
        <v>12264</v>
      </c>
      <c r="AP3602" t="s">
        <v>45654</v>
      </c>
      <c r="AU3602">
        <v>149.3</v>
      </c>
      <c r="AV3602" t="s">
        <v>830</v>
      </c>
      <c r="AW3602" t="s">
        <v>336</v>
      </c>
    </row>
    <row r="3603" spans="1:50">
      <c r="A3603" s="1">
        <f>HYPERLINK("https://lsnyc.legalserver.org/matter/dynamic-profile/view/1884145","18-1884145")</f>
        <v>0</v>
      </c>
      <c r="B3603" t="s">
        <v>191</v>
      </c>
      <c r="C3603" t="s">
        <v>340</v>
      </c>
      <c r="D3603" t="s">
        <v>652</v>
      </c>
      <c r="F3603" t="s">
        <v>2718</v>
      </c>
      <c r="G3603" t="s">
        <v>6962</v>
      </c>
      <c r="H3603" t="s">
        <v>12485</v>
      </c>
      <c r="I3603" t="s">
        <v>17322</v>
      </c>
      <c r="J3603" t="s">
        <v>18893</v>
      </c>
      <c r="K3603">
        <v>10027</v>
      </c>
      <c r="L3603" t="s">
        <v>18958</v>
      </c>
      <c r="M3603" t="s">
        <v>18958</v>
      </c>
      <c r="N3603" t="s">
        <v>21694</v>
      </c>
      <c r="O3603" t="s">
        <v>26523</v>
      </c>
      <c r="P3603" t="s">
        <v>26560</v>
      </c>
      <c r="R3603" t="s">
        <v>26580</v>
      </c>
      <c r="S3603" t="s">
        <v>18959</v>
      </c>
      <c r="U3603" t="s">
        <v>26604</v>
      </c>
      <c r="W3603" t="s">
        <v>855</v>
      </c>
      <c r="X3603">
        <v>349</v>
      </c>
      <c r="Y3603" t="s">
        <v>26651</v>
      </c>
      <c r="Z3603" t="s">
        <v>26664</v>
      </c>
      <c r="AB3603" t="s">
        <v>29755</v>
      </c>
      <c r="AC3603" t="s">
        <v>35564</v>
      </c>
      <c r="AD3603" t="s">
        <v>39855</v>
      </c>
      <c r="AE3603">
        <v>35</v>
      </c>
      <c r="AF3603" t="s">
        <v>45541</v>
      </c>
      <c r="AG3603" t="s">
        <v>26530</v>
      </c>
      <c r="AH3603">
        <v>13</v>
      </c>
      <c r="AI3603">
        <v>1</v>
      </c>
      <c r="AJ3603">
        <v>0</v>
      </c>
      <c r="AK3603">
        <v>14.78</v>
      </c>
      <c r="AN3603" t="s">
        <v>7439</v>
      </c>
      <c r="AO3603">
        <v>1794</v>
      </c>
      <c r="AU3603">
        <v>16.4</v>
      </c>
      <c r="AV3603" t="s">
        <v>768</v>
      </c>
      <c r="AW3603" t="s">
        <v>46875</v>
      </c>
    </row>
    <row r="3604" spans="1:50">
      <c r="A3604" s="1">
        <f>HYPERLINK("https://lsnyc.legalserver.org/matter/dynamic-profile/view/1884104","18-1884104")</f>
        <v>0</v>
      </c>
      <c r="B3604" t="s">
        <v>191</v>
      </c>
      <c r="C3604" t="s">
        <v>340</v>
      </c>
      <c r="D3604" t="s">
        <v>652</v>
      </c>
      <c r="F3604" t="s">
        <v>2719</v>
      </c>
      <c r="G3604" t="s">
        <v>5676</v>
      </c>
      <c r="H3604" t="s">
        <v>12486</v>
      </c>
      <c r="I3604" t="s">
        <v>17274</v>
      </c>
      <c r="J3604" t="s">
        <v>18893</v>
      </c>
      <c r="K3604">
        <v>10027</v>
      </c>
      <c r="L3604" t="s">
        <v>18958</v>
      </c>
      <c r="M3604" t="s">
        <v>18958</v>
      </c>
      <c r="N3604" t="s">
        <v>21695</v>
      </c>
      <c r="O3604" t="s">
        <v>26523</v>
      </c>
      <c r="P3604" t="s">
        <v>26560</v>
      </c>
      <c r="R3604" t="s">
        <v>26580</v>
      </c>
      <c r="S3604" t="s">
        <v>18959</v>
      </c>
      <c r="U3604" t="s">
        <v>26604</v>
      </c>
      <c r="W3604" t="s">
        <v>855</v>
      </c>
      <c r="X3604">
        <v>896.62</v>
      </c>
      <c r="Y3604" t="s">
        <v>26651</v>
      </c>
      <c r="Z3604" t="s">
        <v>26664</v>
      </c>
      <c r="AB3604" t="s">
        <v>28221</v>
      </c>
      <c r="AD3604" t="s">
        <v>39856</v>
      </c>
      <c r="AE3604">
        <v>28</v>
      </c>
      <c r="AF3604" t="s">
        <v>45541</v>
      </c>
      <c r="AG3604" t="s">
        <v>19330</v>
      </c>
      <c r="AH3604">
        <v>19</v>
      </c>
      <c r="AI3604">
        <v>4</v>
      </c>
      <c r="AJ3604">
        <v>2</v>
      </c>
      <c r="AK3604">
        <v>168.94</v>
      </c>
      <c r="AN3604" t="s">
        <v>7439</v>
      </c>
      <c r="AO3604">
        <v>57000</v>
      </c>
      <c r="AU3604">
        <v>5.3</v>
      </c>
      <c r="AV3604" t="s">
        <v>744</v>
      </c>
      <c r="AW3604" t="s">
        <v>314</v>
      </c>
    </row>
    <row r="3605" spans="1:50">
      <c r="A3605" s="1">
        <f>HYPERLINK("https://lsnyc.legalserver.org/matter/dynamic-profile/view/1884123","18-1884123")</f>
        <v>0</v>
      </c>
      <c r="B3605" t="s">
        <v>64</v>
      </c>
      <c r="C3605" t="s">
        <v>340</v>
      </c>
      <c r="D3605" t="s">
        <v>652</v>
      </c>
      <c r="F3605" t="s">
        <v>2075</v>
      </c>
      <c r="G3605" t="s">
        <v>6963</v>
      </c>
      <c r="H3605" t="s">
        <v>12148</v>
      </c>
      <c r="I3605" t="s">
        <v>17282</v>
      </c>
      <c r="J3605" t="s">
        <v>18892</v>
      </c>
      <c r="K3605">
        <v>10460</v>
      </c>
      <c r="L3605" t="s">
        <v>18958</v>
      </c>
      <c r="M3605" t="s">
        <v>18958</v>
      </c>
      <c r="N3605" t="s">
        <v>21696</v>
      </c>
      <c r="O3605" t="s">
        <v>26540</v>
      </c>
      <c r="P3605" t="s">
        <v>26560</v>
      </c>
      <c r="R3605" t="s">
        <v>26577</v>
      </c>
      <c r="S3605" t="s">
        <v>18959</v>
      </c>
      <c r="U3605" t="s">
        <v>26604</v>
      </c>
      <c r="V3605" t="s">
        <v>26613</v>
      </c>
      <c r="W3605" t="s">
        <v>855</v>
      </c>
      <c r="X3605">
        <v>0</v>
      </c>
      <c r="Y3605" t="s">
        <v>26650</v>
      </c>
      <c r="Z3605" t="s">
        <v>26659</v>
      </c>
      <c r="AA3605" t="s">
        <v>26684</v>
      </c>
      <c r="AB3605" t="s">
        <v>27864</v>
      </c>
      <c r="AD3605" t="s">
        <v>39490</v>
      </c>
      <c r="AE3605">
        <v>0</v>
      </c>
      <c r="AF3605" t="s">
        <v>45541</v>
      </c>
      <c r="AG3605" t="s">
        <v>45556</v>
      </c>
      <c r="AH3605">
        <v>0</v>
      </c>
      <c r="AI3605">
        <v>2</v>
      </c>
      <c r="AJ3605">
        <v>2</v>
      </c>
      <c r="AK3605">
        <v>160.16</v>
      </c>
      <c r="AN3605" t="s">
        <v>7439</v>
      </c>
      <c r="AO3605">
        <v>40200</v>
      </c>
      <c r="AQ3605" t="s">
        <v>46362</v>
      </c>
      <c r="AR3605" t="s">
        <v>46420</v>
      </c>
      <c r="AS3605" t="s">
        <v>46499</v>
      </c>
      <c r="AT3605" t="s">
        <v>46734</v>
      </c>
      <c r="AU3605">
        <v>6.05</v>
      </c>
      <c r="AV3605" t="s">
        <v>767</v>
      </c>
      <c r="AW3605" t="s">
        <v>46870</v>
      </c>
    </row>
    <row r="3606" spans="1:50">
      <c r="A3606" s="1">
        <f>HYPERLINK("https://lsnyc.legalserver.org/matter/dynamic-profile/view/1884230","18-1884230")</f>
        <v>0</v>
      </c>
      <c r="B3606" t="s">
        <v>101</v>
      </c>
      <c r="C3606" t="s">
        <v>340</v>
      </c>
      <c r="D3606" t="s">
        <v>652</v>
      </c>
      <c r="F3606" t="s">
        <v>1444</v>
      </c>
      <c r="G3606" t="s">
        <v>5620</v>
      </c>
      <c r="H3606" t="s">
        <v>10347</v>
      </c>
      <c r="I3606" t="s">
        <v>17527</v>
      </c>
      <c r="J3606" t="s">
        <v>18894</v>
      </c>
      <c r="K3606">
        <v>11208</v>
      </c>
      <c r="L3606" t="s">
        <v>18958</v>
      </c>
      <c r="M3606" t="s">
        <v>18960</v>
      </c>
      <c r="N3606" t="s">
        <v>19589</v>
      </c>
      <c r="O3606" t="s">
        <v>26543</v>
      </c>
      <c r="P3606" t="s">
        <v>26561</v>
      </c>
      <c r="R3606" t="s">
        <v>26586</v>
      </c>
      <c r="U3606" t="s">
        <v>26605</v>
      </c>
      <c r="W3606" t="s">
        <v>855</v>
      </c>
      <c r="X3606">
        <v>1065</v>
      </c>
      <c r="Y3606" t="s">
        <v>26652</v>
      </c>
      <c r="Z3606" t="s">
        <v>26659</v>
      </c>
      <c r="AB3606" t="s">
        <v>27453</v>
      </c>
      <c r="AD3606" t="s">
        <v>37514</v>
      </c>
      <c r="AE3606">
        <v>78</v>
      </c>
      <c r="AF3606" t="s">
        <v>45549</v>
      </c>
      <c r="AH3606">
        <v>24</v>
      </c>
      <c r="AI3606">
        <v>3</v>
      </c>
      <c r="AJ3606">
        <v>0</v>
      </c>
      <c r="AK3606">
        <v>142.11</v>
      </c>
      <c r="AN3606" t="s">
        <v>7439</v>
      </c>
      <c r="AO3606">
        <v>29530</v>
      </c>
      <c r="AU3606">
        <v>16.7</v>
      </c>
      <c r="AV3606" t="s">
        <v>808</v>
      </c>
      <c r="AW3606" t="s">
        <v>46862</v>
      </c>
    </row>
    <row r="3607" spans="1:50">
      <c r="A3607" s="1">
        <f>HYPERLINK("https://lsnyc.legalserver.org/matter/dynamic-profile/view/1884285","18-1884285")</f>
        <v>0</v>
      </c>
      <c r="B3607" t="s">
        <v>123</v>
      </c>
      <c r="C3607" t="s">
        <v>341</v>
      </c>
      <c r="D3607" t="s">
        <v>675</v>
      </c>
      <c r="E3607" t="s">
        <v>813</v>
      </c>
      <c r="F3607" t="s">
        <v>2720</v>
      </c>
      <c r="G3607" t="s">
        <v>6964</v>
      </c>
      <c r="H3607" t="s">
        <v>12487</v>
      </c>
      <c r="I3607">
        <v>2</v>
      </c>
      <c r="J3607" t="s">
        <v>18894</v>
      </c>
      <c r="K3607">
        <v>11221</v>
      </c>
      <c r="L3607" t="s">
        <v>18958</v>
      </c>
      <c r="M3607" t="s">
        <v>18958</v>
      </c>
      <c r="N3607" t="s">
        <v>21697</v>
      </c>
      <c r="O3607" t="s">
        <v>26524</v>
      </c>
      <c r="P3607" t="s">
        <v>26560</v>
      </c>
      <c r="Q3607" t="s">
        <v>26568</v>
      </c>
      <c r="R3607" t="s">
        <v>26588</v>
      </c>
      <c r="S3607" t="s">
        <v>18959</v>
      </c>
      <c r="U3607" t="s">
        <v>26604</v>
      </c>
      <c r="V3607" t="s">
        <v>26610</v>
      </c>
      <c r="W3607" t="s">
        <v>855</v>
      </c>
      <c r="X3607">
        <v>2150</v>
      </c>
      <c r="Y3607" t="s">
        <v>26652</v>
      </c>
      <c r="Z3607" t="s">
        <v>26669</v>
      </c>
      <c r="AA3607" t="s">
        <v>26679</v>
      </c>
      <c r="AB3607" t="s">
        <v>29756</v>
      </c>
      <c r="AD3607" t="s">
        <v>39857</v>
      </c>
      <c r="AE3607">
        <v>3</v>
      </c>
      <c r="AF3607" t="s">
        <v>45547</v>
      </c>
      <c r="AH3607">
        <v>2</v>
      </c>
      <c r="AI3607">
        <v>1</v>
      </c>
      <c r="AJ3607">
        <v>0</v>
      </c>
      <c r="AK3607">
        <v>59.31</v>
      </c>
      <c r="AM3607" t="s">
        <v>45575</v>
      </c>
      <c r="AN3607" t="s">
        <v>7439</v>
      </c>
      <c r="AO3607">
        <v>7200</v>
      </c>
      <c r="AR3607" t="s">
        <v>26530</v>
      </c>
      <c r="AS3607" t="s">
        <v>46501</v>
      </c>
      <c r="AT3607" t="s">
        <v>46577</v>
      </c>
      <c r="AU3607">
        <v>6.25</v>
      </c>
      <c r="AV3607" t="s">
        <v>704</v>
      </c>
      <c r="AW3607" t="s">
        <v>281</v>
      </c>
      <c r="AX3607" t="s">
        <v>46897</v>
      </c>
    </row>
    <row r="3608" spans="1:50">
      <c r="A3608" s="1">
        <f>HYPERLINK("https://lsnyc.legalserver.org/matter/dynamic-profile/view/1884287","18-1884287")</f>
        <v>0</v>
      </c>
      <c r="B3608" t="s">
        <v>56</v>
      </c>
      <c r="C3608" t="s">
        <v>340</v>
      </c>
      <c r="D3608" t="s">
        <v>675</v>
      </c>
      <c r="F3608" t="s">
        <v>2721</v>
      </c>
      <c r="G3608" t="s">
        <v>6965</v>
      </c>
      <c r="H3608" t="s">
        <v>12018</v>
      </c>
      <c r="I3608" t="s">
        <v>17440</v>
      </c>
      <c r="J3608" t="s">
        <v>18892</v>
      </c>
      <c r="K3608">
        <v>10457</v>
      </c>
      <c r="L3608" t="s">
        <v>18958</v>
      </c>
      <c r="M3608" t="s">
        <v>18958</v>
      </c>
      <c r="N3608" t="s">
        <v>21698</v>
      </c>
      <c r="O3608" t="s">
        <v>26523</v>
      </c>
      <c r="P3608" t="s">
        <v>26560</v>
      </c>
      <c r="R3608" t="s">
        <v>26579</v>
      </c>
      <c r="U3608" t="s">
        <v>26604</v>
      </c>
      <c r="V3608" t="s">
        <v>26609</v>
      </c>
      <c r="W3608" t="s">
        <v>855</v>
      </c>
      <c r="X3608">
        <v>980</v>
      </c>
      <c r="Y3608" t="s">
        <v>26650</v>
      </c>
      <c r="Z3608" t="s">
        <v>26659</v>
      </c>
      <c r="AB3608" t="s">
        <v>27845</v>
      </c>
      <c r="AD3608" t="s">
        <v>39858</v>
      </c>
      <c r="AE3608">
        <v>0</v>
      </c>
      <c r="AF3608" t="s">
        <v>45541</v>
      </c>
      <c r="AG3608" t="s">
        <v>19330</v>
      </c>
      <c r="AH3608">
        <v>13</v>
      </c>
      <c r="AI3608">
        <v>3</v>
      </c>
      <c r="AJ3608">
        <v>1</v>
      </c>
      <c r="AK3608">
        <v>145.02</v>
      </c>
      <c r="AN3608" t="s">
        <v>7439</v>
      </c>
      <c r="AO3608">
        <v>36400</v>
      </c>
      <c r="AU3608">
        <v>5</v>
      </c>
      <c r="AV3608" t="s">
        <v>458</v>
      </c>
      <c r="AW3608" t="s">
        <v>46836</v>
      </c>
    </row>
    <row r="3609" spans="1:50">
      <c r="A3609" s="1">
        <f>HYPERLINK("https://lsnyc.legalserver.org/matter/dynamic-profile/view/1884355","18-1884355")</f>
        <v>0</v>
      </c>
      <c r="B3609" t="s">
        <v>212</v>
      </c>
      <c r="C3609" t="s">
        <v>340</v>
      </c>
      <c r="D3609" t="s">
        <v>675</v>
      </c>
      <c r="F3609" t="s">
        <v>881</v>
      </c>
      <c r="G3609" t="s">
        <v>6966</v>
      </c>
      <c r="H3609" t="s">
        <v>12488</v>
      </c>
      <c r="I3609" t="s">
        <v>17274</v>
      </c>
      <c r="J3609" t="s">
        <v>18915</v>
      </c>
      <c r="K3609">
        <v>11372</v>
      </c>
      <c r="L3609" t="s">
        <v>18958</v>
      </c>
      <c r="M3609" t="s">
        <v>18958</v>
      </c>
      <c r="N3609" t="s">
        <v>21699</v>
      </c>
      <c r="O3609" t="s">
        <v>26524</v>
      </c>
      <c r="P3609" t="s">
        <v>26560</v>
      </c>
      <c r="R3609" t="s">
        <v>26578</v>
      </c>
      <c r="S3609" t="s">
        <v>18959</v>
      </c>
      <c r="U3609" t="s">
        <v>26604</v>
      </c>
      <c r="V3609" t="s">
        <v>26610</v>
      </c>
      <c r="W3609" t="s">
        <v>855</v>
      </c>
      <c r="X3609">
        <v>1150</v>
      </c>
      <c r="Y3609" t="s">
        <v>26653</v>
      </c>
      <c r="Z3609" t="s">
        <v>26664</v>
      </c>
      <c r="AB3609" t="s">
        <v>27269</v>
      </c>
      <c r="AC3609" t="s">
        <v>35565</v>
      </c>
      <c r="AD3609" t="s">
        <v>39859</v>
      </c>
      <c r="AE3609">
        <v>101</v>
      </c>
      <c r="AF3609" t="s">
        <v>45541</v>
      </c>
      <c r="AG3609" t="s">
        <v>19330</v>
      </c>
      <c r="AH3609">
        <v>22</v>
      </c>
      <c r="AI3609">
        <v>3</v>
      </c>
      <c r="AJ3609">
        <v>0</v>
      </c>
      <c r="AK3609">
        <v>130.9</v>
      </c>
      <c r="AN3609" t="s">
        <v>45581</v>
      </c>
      <c r="AO3609">
        <v>27200</v>
      </c>
      <c r="AQ3609" t="s">
        <v>46359</v>
      </c>
      <c r="AR3609" t="s">
        <v>46478</v>
      </c>
      <c r="AS3609" t="s">
        <v>46499</v>
      </c>
      <c r="AT3609" t="s">
        <v>46734</v>
      </c>
      <c r="AU3609">
        <v>13.85</v>
      </c>
      <c r="AV3609" t="s">
        <v>784</v>
      </c>
      <c r="AW3609" t="s">
        <v>208</v>
      </c>
    </row>
    <row r="3610" spans="1:50">
      <c r="A3610" s="1">
        <f>HYPERLINK("https://lsnyc.legalserver.org/matter/dynamic-profile/view/1884282","18-1884282")</f>
        <v>0</v>
      </c>
      <c r="B3610" t="s">
        <v>198</v>
      </c>
      <c r="C3610" t="s">
        <v>340</v>
      </c>
      <c r="D3610" t="s">
        <v>675</v>
      </c>
      <c r="F3610" t="s">
        <v>1428</v>
      </c>
      <c r="G3610" t="s">
        <v>5208</v>
      </c>
      <c r="H3610" t="s">
        <v>12128</v>
      </c>
      <c r="I3610" t="s">
        <v>17410</v>
      </c>
      <c r="J3610" t="s">
        <v>18894</v>
      </c>
      <c r="K3610">
        <v>11231</v>
      </c>
      <c r="L3610" t="s">
        <v>18959</v>
      </c>
      <c r="M3610" t="s">
        <v>18959</v>
      </c>
      <c r="P3610" t="s">
        <v>26562</v>
      </c>
      <c r="R3610" t="s">
        <v>26578</v>
      </c>
      <c r="U3610" t="s">
        <v>26604</v>
      </c>
      <c r="W3610" t="s">
        <v>855</v>
      </c>
      <c r="X3610">
        <v>0</v>
      </c>
      <c r="Y3610" t="s">
        <v>26652</v>
      </c>
      <c r="AB3610" t="s">
        <v>29410</v>
      </c>
      <c r="AD3610" t="s">
        <v>39469</v>
      </c>
      <c r="AE3610">
        <v>0</v>
      </c>
      <c r="AH3610">
        <v>0</v>
      </c>
      <c r="AI3610">
        <v>2</v>
      </c>
      <c r="AJ3610">
        <v>0</v>
      </c>
      <c r="AK3610">
        <v>0</v>
      </c>
      <c r="AN3610" t="s">
        <v>7439</v>
      </c>
      <c r="AO3610">
        <v>0</v>
      </c>
      <c r="AU3610">
        <v>2.8</v>
      </c>
      <c r="AV3610" t="s">
        <v>821</v>
      </c>
      <c r="AW3610" t="s">
        <v>198</v>
      </c>
    </row>
    <row r="3611" spans="1:50">
      <c r="A3611" s="1">
        <f>HYPERLINK("https://lsnyc.legalserver.org/matter/dynamic-profile/view/1884364","18-1884364")</f>
        <v>0</v>
      </c>
      <c r="B3611" t="s">
        <v>137</v>
      </c>
      <c r="C3611" t="s">
        <v>341</v>
      </c>
      <c r="D3611" t="s">
        <v>667</v>
      </c>
      <c r="E3611" t="s">
        <v>805</v>
      </c>
      <c r="F3611" t="s">
        <v>2722</v>
      </c>
      <c r="G3611" t="s">
        <v>5187</v>
      </c>
      <c r="H3611" t="s">
        <v>10591</v>
      </c>
      <c r="I3611">
        <v>612</v>
      </c>
      <c r="J3611" t="s">
        <v>18892</v>
      </c>
      <c r="K3611">
        <v>10457</v>
      </c>
      <c r="L3611" t="s">
        <v>18958</v>
      </c>
      <c r="M3611" t="s">
        <v>18958</v>
      </c>
      <c r="N3611" t="s">
        <v>21700</v>
      </c>
      <c r="O3611" t="s">
        <v>26524</v>
      </c>
      <c r="P3611" t="s">
        <v>26560</v>
      </c>
      <c r="Q3611" t="s">
        <v>26568</v>
      </c>
      <c r="R3611" t="s">
        <v>26579</v>
      </c>
      <c r="S3611" t="s">
        <v>18959</v>
      </c>
      <c r="U3611" t="s">
        <v>26604</v>
      </c>
      <c r="V3611" t="s">
        <v>26610</v>
      </c>
      <c r="W3611" t="s">
        <v>855</v>
      </c>
      <c r="X3611">
        <v>770.12</v>
      </c>
      <c r="Y3611" t="s">
        <v>26650</v>
      </c>
      <c r="Z3611" t="s">
        <v>26659</v>
      </c>
      <c r="AA3611" t="s">
        <v>26678</v>
      </c>
      <c r="AB3611" t="s">
        <v>29757</v>
      </c>
      <c r="AC3611" t="s">
        <v>35566</v>
      </c>
      <c r="AD3611" t="s">
        <v>39860</v>
      </c>
      <c r="AE3611">
        <v>119</v>
      </c>
      <c r="AF3611" t="s">
        <v>45541</v>
      </c>
      <c r="AG3611" t="s">
        <v>19330</v>
      </c>
      <c r="AH3611">
        <v>20</v>
      </c>
      <c r="AI3611">
        <v>1</v>
      </c>
      <c r="AJ3611">
        <v>2</v>
      </c>
      <c r="AK3611">
        <v>34.65</v>
      </c>
      <c r="AN3611" t="s">
        <v>45581</v>
      </c>
      <c r="AO3611">
        <v>7200</v>
      </c>
      <c r="AR3611" t="s">
        <v>46380</v>
      </c>
      <c r="AS3611" t="s">
        <v>46499</v>
      </c>
      <c r="AT3611" t="s">
        <v>46537</v>
      </c>
      <c r="AU3611">
        <v>6</v>
      </c>
      <c r="AV3611" t="s">
        <v>728</v>
      </c>
      <c r="AW3611" t="s">
        <v>46847</v>
      </c>
      <c r="AX3611" t="s">
        <v>46897</v>
      </c>
    </row>
    <row r="3612" spans="1:50">
      <c r="A3612" s="1">
        <f>HYPERLINK("https://lsnyc.legalserver.org/matter/dynamic-profile/view/1884378","18-1884378")</f>
        <v>0</v>
      </c>
      <c r="B3612" t="s">
        <v>270</v>
      </c>
      <c r="C3612" t="s">
        <v>341</v>
      </c>
      <c r="D3612" t="s">
        <v>667</v>
      </c>
      <c r="E3612" t="s">
        <v>763</v>
      </c>
      <c r="F3612" t="s">
        <v>992</v>
      </c>
      <c r="G3612" t="s">
        <v>2769</v>
      </c>
      <c r="H3612" t="s">
        <v>12489</v>
      </c>
      <c r="I3612" t="s">
        <v>17355</v>
      </c>
      <c r="J3612" t="s">
        <v>18892</v>
      </c>
      <c r="K3612">
        <v>10468</v>
      </c>
      <c r="L3612" t="s">
        <v>18958</v>
      </c>
      <c r="M3612" t="s">
        <v>18958</v>
      </c>
      <c r="N3612" t="s">
        <v>21701</v>
      </c>
      <c r="O3612" t="s">
        <v>26523</v>
      </c>
      <c r="P3612" t="s">
        <v>26560</v>
      </c>
      <c r="Q3612" t="s">
        <v>26568</v>
      </c>
      <c r="R3612" t="s">
        <v>26579</v>
      </c>
      <c r="S3612" t="s">
        <v>18959</v>
      </c>
      <c r="U3612" t="s">
        <v>26604</v>
      </c>
      <c r="V3612" t="s">
        <v>26610</v>
      </c>
      <c r="W3612" t="s">
        <v>855</v>
      </c>
      <c r="X3612">
        <v>1266</v>
      </c>
      <c r="Y3612" t="s">
        <v>26650</v>
      </c>
      <c r="Z3612" t="s">
        <v>26664</v>
      </c>
      <c r="AA3612" t="s">
        <v>26678</v>
      </c>
      <c r="AB3612" t="s">
        <v>29758</v>
      </c>
      <c r="AC3612" t="s">
        <v>35567</v>
      </c>
      <c r="AD3612" t="s">
        <v>39861</v>
      </c>
      <c r="AE3612">
        <v>60</v>
      </c>
      <c r="AF3612" t="s">
        <v>45541</v>
      </c>
      <c r="AG3612" t="s">
        <v>26530</v>
      </c>
      <c r="AH3612">
        <v>24</v>
      </c>
      <c r="AI3612">
        <v>2</v>
      </c>
      <c r="AJ3612">
        <v>1</v>
      </c>
      <c r="AK3612">
        <v>92.40000000000001</v>
      </c>
      <c r="AN3612" t="s">
        <v>7439</v>
      </c>
      <c r="AO3612">
        <v>19200</v>
      </c>
      <c r="AR3612" t="s">
        <v>46479</v>
      </c>
      <c r="AS3612" t="s">
        <v>46499</v>
      </c>
      <c r="AT3612" t="s">
        <v>46577</v>
      </c>
      <c r="AU3612">
        <v>14.7</v>
      </c>
      <c r="AV3612" t="s">
        <v>780</v>
      </c>
      <c r="AW3612" t="s">
        <v>46847</v>
      </c>
    </row>
    <row r="3613" spans="1:50">
      <c r="A3613" s="1">
        <f>HYPERLINK("https://lsnyc.legalserver.org/matter/dynamic-profile/view/1884373","18-1884373")</f>
        <v>0</v>
      </c>
      <c r="B3613" t="s">
        <v>123</v>
      </c>
      <c r="C3613" t="s">
        <v>341</v>
      </c>
      <c r="D3613" t="s">
        <v>667</v>
      </c>
      <c r="E3613" t="s">
        <v>813</v>
      </c>
      <c r="F3613" t="s">
        <v>900</v>
      </c>
      <c r="G3613" t="s">
        <v>5208</v>
      </c>
      <c r="H3613" t="s">
        <v>11129</v>
      </c>
      <c r="I3613">
        <v>736</v>
      </c>
      <c r="J3613" t="s">
        <v>18894</v>
      </c>
      <c r="K3613">
        <v>11203</v>
      </c>
      <c r="L3613" t="s">
        <v>18958</v>
      </c>
      <c r="M3613" t="s">
        <v>18958</v>
      </c>
      <c r="N3613" t="s">
        <v>21702</v>
      </c>
      <c r="O3613" t="s">
        <v>26523</v>
      </c>
      <c r="P3613" t="s">
        <v>26560</v>
      </c>
      <c r="Q3613" t="s">
        <v>26568</v>
      </c>
      <c r="R3613" t="s">
        <v>26586</v>
      </c>
      <c r="S3613" t="s">
        <v>18959</v>
      </c>
      <c r="U3613" t="s">
        <v>26604</v>
      </c>
      <c r="V3613" t="s">
        <v>26611</v>
      </c>
      <c r="W3613" t="s">
        <v>855</v>
      </c>
      <c r="X3613">
        <v>1297</v>
      </c>
      <c r="Y3613" t="s">
        <v>26652</v>
      </c>
      <c r="Z3613" t="s">
        <v>26664</v>
      </c>
      <c r="AA3613" t="s">
        <v>26678</v>
      </c>
      <c r="AB3613" t="s">
        <v>29759</v>
      </c>
      <c r="AC3613" t="s">
        <v>35568</v>
      </c>
      <c r="AD3613" t="s">
        <v>39862</v>
      </c>
      <c r="AE3613">
        <v>300</v>
      </c>
      <c r="AF3613" t="s">
        <v>45543</v>
      </c>
      <c r="AG3613" t="s">
        <v>45556</v>
      </c>
      <c r="AH3613">
        <v>1</v>
      </c>
      <c r="AI3613">
        <v>1</v>
      </c>
      <c r="AJ3613">
        <v>0</v>
      </c>
      <c r="AK3613">
        <v>74.14</v>
      </c>
      <c r="AN3613" t="s">
        <v>7439</v>
      </c>
      <c r="AO3613">
        <v>9000</v>
      </c>
      <c r="AR3613" t="s">
        <v>46420</v>
      </c>
      <c r="AS3613" t="s">
        <v>46499</v>
      </c>
      <c r="AT3613" t="s">
        <v>46515</v>
      </c>
      <c r="AU3613">
        <v>8</v>
      </c>
      <c r="AV3613" t="s">
        <v>777</v>
      </c>
      <c r="AW3613" t="s">
        <v>281</v>
      </c>
    </row>
    <row r="3614" spans="1:50">
      <c r="A3614" s="1">
        <f>HYPERLINK("https://lsnyc.legalserver.org/matter/dynamic-profile/view/1884367","18-1884367")</f>
        <v>0</v>
      </c>
      <c r="B3614" t="s">
        <v>71</v>
      </c>
      <c r="C3614" t="s">
        <v>340</v>
      </c>
      <c r="D3614" t="s">
        <v>667</v>
      </c>
      <c r="F3614" t="s">
        <v>2723</v>
      </c>
      <c r="G3614" t="s">
        <v>5688</v>
      </c>
      <c r="H3614" t="s">
        <v>11602</v>
      </c>
      <c r="I3614" t="s">
        <v>17988</v>
      </c>
      <c r="J3614" t="s">
        <v>18892</v>
      </c>
      <c r="K3614">
        <v>10467</v>
      </c>
      <c r="L3614" t="s">
        <v>18958</v>
      </c>
      <c r="M3614" t="s">
        <v>18958</v>
      </c>
      <c r="N3614" t="s">
        <v>21703</v>
      </c>
      <c r="O3614" t="s">
        <v>26523</v>
      </c>
      <c r="P3614" t="s">
        <v>26560</v>
      </c>
      <c r="R3614" t="s">
        <v>26579</v>
      </c>
      <c r="S3614" t="s">
        <v>18959</v>
      </c>
      <c r="U3614" t="s">
        <v>26604</v>
      </c>
      <c r="V3614" t="s">
        <v>26610</v>
      </c>
      <c r="W3614" t="s">
        <v>855</v>
      </c>
      <c r="X3614">
        <v>1130</v>
      </c>
      <c r="Y3614" t="s">
        <v>26650</v>
      </c>
      <c r="Z3614" t="s">
        <v>26664</v>
      </c>
      <c r="AB3614" t="s">
        <v>26780</v>
      </c>
      <c r="AD3614" t="s">
        <v>39863</v>
      </c>
      <c r="AE3614">
        <v>49</v>
      </c>
      <c r="AF3614" t="s">
        <v>45541</v>
      </c>
      <c r="AH3614">
        <v>8</v>
      </c>
      <c r="AI3614">
        <v>1</v>
      </c>
      <c r="AJ3614">
        <v>1</v>
      </c>
      <c r="AK3614">
        <v>103.28</v>
      </c>
      <c r="AN3614" t="s">
        <v>7439</v>
      </c>
      <c r="AO3614">
        <v>17000</v>
      </c>
      <c r="AU3614">
        <v>20.6</v>
      </c>
      <c r="AV3614" t="s">
        <v>832</v>
      </c>
      <c r="AW3614" t="s">
        <v>334</v>
      </c>
    </row>
    <row r="3615" spans="1:50">
      <c r="A3615" s="1">
        <f>HYPERLINK("https://lsnyc.legalserver.org/matter/dynamic-profile/view/1884476","18-1884476")</f>
        <v>0</v>
      </c>
      <c r="B3615" t="s">
        <v>106</v>
      </c>
      <c r="C3615" t="s">
        <v>340</v>
      </c>
      <c r="D3615" t="s">
        <v>667</v>
      </c>
      <c r="F3615" t="s">
        <v>2724</v>
      </c>
      <c r="G3615" t="s">
        <v>5639</v>
      </c>
      <c r="H3615" t="s">
        <v>12490</v>
      </c>
      <c r="I3615" t="s">
        <v>17272</v>
      </c>
      <c r="J3615" t="s">
        <v>18894</v>
      </c>
      <c r="K3615">
        <v>11226</v>
      </c>
      <c r="L3615" t="s">
        <v>18958</v>
      </c>
      <c r="M3615" t="s">
        <v>18958</v>
      </c>
      <c r="N3615" t="s">
        <v>21704</v>
      </c>
      <c r="O3615" t="s">
        <v>26523</v>
      </c>
      <c r="P3615" t="s">
        <v>26560</v>
      </c>
      <c r="R3615" t="s">
        <v>26588</v>
      </c>
      <c r="S3615" t="s">
        <v>18959</v>
      </c>
      <c r="U3615" t="s">
        <v>26604</v>
      </c>
      <c r="V3615" t="s">
        <v>26610</v>
      </c>
      <c r="W3615" t="s">
        <v>855</v>
      </c>
      <c r="X3615">
        <v>1047</v>
      </c>
      <c r="Y3615" t="s">
        <v>26652</v>
      </c>
      <c r="Z3615" t="s">
        <v>26664</v>
      </c>
      <c r="AB3615" t="s">
        <v>29760</v>
      </c>
      <c r="AD3615" t="s">
        <v>39864</v>
      </c>
      <c r="AE3615">
        <v>8</v>
      </c>
      <c r="AF3615" t="s">
        <v>45541</v>
      </c>
      <c r="AG3615" t="s">
        <v>45556</v>
      </c>
      <c r="AH3615">
        <v>6</v>
      </c>
      <c r="AI3615">
        <v>1</v>
      </c>
      <c r="AJ3615">
        <v>0</v>
      </c>
      <c r="AK3615">
        <v>181.22</v>
      </c>
      <c r="AN3615" t="s">
        <v>7439</v>
      </c>
      <c r="AO3615">
        <v>22000</v>
      </c>
      <c r="AU3615">
        <v>15</v>
      </c>
      <c r="AV3615" t="s">
        <v>833</v>
      </c>
      <c r="AW3615" t="s">
        <v>46862</v>
      </c>
    </row>
    <row r="3616" spans="1:50">
      <c r="A3616" s="1">
        <f>HYPERLINK("https://lsnyc.legalserver.org/matter/dynamic-profile/view/1884421","18-1884421")</f>
        <v>0</v>
      </c>
      <c r="B3616" t="s">
        <v>172</v>
      </c>
      <c r="C3616" t="s">
        <v>340</v>
      </c>
      <c r="D3616" t="s">
        <v>667</v>
      </c>
      <c r="F3616" t="s">
        <v>2725</v>
      </c>
      <c r="G3616" t="s">
        <v>6967</v>
      </c>
      <c r="H3616" t="s">
        <v>12491</v>
      </c>
      <c r="I3616" t="s">
        <v>17307</v>
      </c>
      <c r="J3616" t="s">
        <v>18894</v>
      </c>
      <c r="K3616">
        <v>11221</v>
      </c>
      <c r="L3616" t="s">
        <v>18958</v>
      </c>
      <c r="M3616" t="s">
        <v>18960</v>
      </c>
      <c r="N3616" t="s">
        <v>21705</v>
      </c>
      <c r="O3616" t="s">
        <v>26524</v>
      </c>
      <c r="P3616" t="s">
        <v>26560</v>
      </c>
      <c r="R3616" t="s">
        <v>26588</v>
      </c>
      <c r="U3616" t="s">
        <v>26605</v>
      </c>
      <c r="W3616" t="s">
        <v>855</v>
      </c>
      <c r="X3616">
        <v>193</v>
      </c>
      <c r="Y3616" t="s">
        <v>26652</v>
      </c>
      <c r="Z3616" t="s">
        <v>26664</v>
      </c>
      <c r="AB3616" t="s">
        <v>29761</v>
      </c>
      <c r="AD3616" t="s">
        <v>39865</v>
      </c>
      <c r="AE3616">
        <v>117</v>
      </c>
      <c r="AG3616" t="s">
        <v>19330</v>
      </c>
      <c r="AH3616">
        <v>26</v>
      </c>
      <c r="AI3616">
        <v>3</v>
      </c>
      <c r="AJ3616">
        <v>0</v>
      </c>
      <c r="AK3616">
        <v>44.64</v>
      </c>
      <c r="AN3616" t="s">
        <v>7439</v>
      </c>
      <c r="AO3616">
        <v>9276</v>
      </c>
      <c r="AU3616">
        <v>26</v>
      </c>
      <c r="AV3616" t="s">
        <v>834</v>
      </c>
      <c r="AW3616" t="s">
        <v>46862</v>
      </c>
    </row>
    <row r="3617" spans="1:50">
      <c r="A3617" s="1">
        <f>HYPERLINK("https://lsnyc.legalserver.org/matter/dynamic-profile/view/1883979","18-1883979")</f>
        <v>0</v>
      </c>
      <c r="B3617" t="s">
        <v>238</v>
      </c>
      <c r="C3617" t="s">
        <v>341</v>
      </c>
      <c r="D3617" t="s">
        <v>682</v>
      </c>
      <c r="E3617" t="s">
        <v>670</v>
      </c>
      <c r="F3617" t="s">
        <v>1397</v>
      </c>
      <c r="G3617" t="s">
        <v>6968</v>
      </c>
      <c r="H3617" t="s">
        <v>10276</v>
      </c>
      <c r="I3617" t="s">
        <v>17394</v>
      </c>
      <c r="J3617" t="s">
        <v>18894</v>
      </c>
      <c r="K3617">
        <v>11225</v>
      </c>
      <c r="L3617" t="s">
        <v>18958</v>
      </c>
      <c r="M3617" t="s">
        <v>18958</v>
      </c>
      <c r="N3617" t="s">
        <v>21706</v>
      </c>
      <c r="O3617" t="s">
        <v>26526</v>
      </c>
      <c r="P3617" t="s">
        <v>26564</v>
      </c>
      <c r="Q3617" t="s">
        <v>26570</v>
      </c>
      <c r="R3617" t="s">
        <v>26586</v>
      </c>
      <c r="U3617" t="s">
        <v>26604</v>
      </c>
      <c r="W3617" t="s">
        <v>855</v>
      </c>
      <c r="X3617">
        <v>1256</v>
      </c>
      <c r="Y3617" t="s">
        <v>26652</v>
      </c>
      <c r="Z3617" t="s">
        <v>26664</v>
      </c>
      <c r="AA3617" t="s">
        <v>26683</v>
      </c>
      <c r="AB3617" t="s">
        <v>29762</v>
      </c>
      <c r="AD3617" t="s">
        <v>39866</v>
      </c>
      <c r="AE3617">
        <v>165</v>
      </c>
      <c r="AG3617" t="s">
        <v>19330</v>
      </c>
      <c r="AH3617">
        <v>16</v>
      </c>
      <c r="AI3617">
        <v>3</v>
      </c>
      <c r="AJ3617">
        <v>3</v>
      </c>
      <c r="AK3617">
        <v>67.58</v>
      </c>
      <c r="AN3617" t="s">
        <v>7439</v>
      </c>
      <c r="AO3617">
        <v>22800</v>
      </c>
      <c r="AU3617">
        <v>1.5</v>
      </c>
      <c r="AV3617" t="s">
        <v>670</v>
      </c>
      <c r="AW3617" t="s">
        <v>46862</v>
      </c>
    </row>
    <row r="3618" spans="1:50">
      <c r="A3618" s="1">
        <f>HYPERLINK("https://lsnyc.legalserver.org/matter/dynamic-profile/view/1885268","18-1885268")</f>
        <v>0</v>
      </c>
      <c r="B3618" t="s">
        <v>68</v>
      </c>
      <c r="C3618" t="s">
        <v>340</v>
      </c>
      <c r="D3618" t="s">
        <v>683</v>
      </c>
      <c r="F3618" t="s">
        <v>1806</v>
      </c>
      <c r="G3618" t="s">
        <v>5562</v>
      </c>
      <c r="H3618" t="s">
        <v>12492</v>
      </c>
      <c r="I3618" t="s">
        <v>17338</v>
      </c>
      <c r="J3618" t="s">
        <v>18892</v>
      </c>
      <c r="K3618">
        <v>10468</v>
      </c>
      <c r="L3618" t="s">
        <v>18958</v>
      </c>
      <c r="M3618" t="s">
        <v>18958</v>
      </c>
      <c r="N3618" t="s">
        <v>21707</v>
      </c>
      <c r="O3618" t="s">
        <v>26523</v>
      </c>
      <c r="P3618" t="s">
        <v>26560</v>
      </c>
      <c r="R3618" t="s">
        <v>26579</v>
      </c>
      <c r="S3618" t="s">
        <v>18959</v>
      </c>
      <c r="U3618" t="s">
        <v>26604</v>
      </c>
      <c r="V3618" t="s">
        <v>26610</v>
      </c>
      <c r="W3618" t="s">
        <v>855</v>
      </c>
      <c r="X3618">
        <v>1010</v>
      </c>
      <c r="Y3618" t="s">
        <v>26650</v>
      </c>
      <c r="AB3618" t="s">
        <v>29763</v>
      </c>
      <c r="AD3618" t="s">
        <v>39867</v>
      </c>
      <c r="AE3618">
        <v>53</v>
      </c>
      <c r="AF3618" t="s">
        <v>45541</v>
      </c>
      <c r="AG3618" t="s">
        <v>19330</v>
      </c>
      <c r="AH3618">
        <v>9</v>
      </c>
      <c r="AI3618">
        <v>3</v>
      </c>
      <c r="AJ3618">
        <v>1</v>
      </c>
      <c r="AK3618">
        <v>102.47</v>
      </c>
      <c r="AN3618" t="s">
        <v>7439</v>
      </c>
      <c r="AO3618">
        <v>25720</v>
      </c>
      <c r="AU3618">
        <v>15.6</v>
      </c>
      <c r="AV3618" t="s">
        <v>773</v>
      </c>
      <c r="AW3618" t="s">
        <v>46871</v>
      </c>
    </row>
    <row r="3619" spans="1:50">
      <c r="A3619" s="1">
        <f>HYPERLINK("https://lsnyc.legalserver.org/matter/dynamic-profile/view/1886304","18-1886304")</f>
        <v>0</v>
      </c>
      <c r="B3619" t="s">
        <v>98</v>
      </c>
      <c r="C3619" t="s">
        <v>341</v>
      </c>
      <c r="D3619" t="s">
        <v>684</v>
      </c>
      <c r="E3619" t="s">
        <v>754</v>
      </c>
      <c r="F3619" t="s">
        <v>2247</v>
      </c>
      <c r="G3619" t="s">
        <v>6437</v>
      </c>
      <c r="H3619" t="s">
        <v>11614</v>
      </c>
      <c r="I3619" t="s">
        <v>17361</v>
      </c>
      <c r="J3619" t="s">
        <v>18892</v>
      </c>
      <c r="K3619">
        <v>10453</v>
      </c>
      <c r="L3619" t="s">
        <v>18958</v>
      </c>
      <c r="M3619" t="s">
        <v>18958</v>
      </c>
      <c r="O3619" t="s">
        <v>18997</v>
      </c>
      <c r="P3619" t="s">
        <v>26565</v>
      </c>
      <c r="Q3619" t="s">
        <v>26571</v>
      </c>
      <c r="R3619" t="s">
        <v>26578</v>
      </c>
      <c r="S3619" t="s">
        <v>18959</v>
      </c>
      <c r="U3619" t="s">
        <v>26604</v>
      </c>
      <c r="W3619" t="s">
        <v>855</v>
      </c>
      <c r="X3619">
        <v>1067.91</v>
      </c>
      <c r="Y3619" t="s">
        <v>26650</v>
      </c>
      <c r="Z3619" t="s">
        <v>26659</v>
      </c>
      <c r="AA3619" t="s">
        <v>26683</v>
      </c>
      <c r="AB3619" t="s">
        <v>28820</v>
      </c>
      <c r="AD3619" t="s">
        <v>38878</v>
      </c>
      <c r="AE3619">
        <v>70</v>
      </c>
      <c r="AF3619" t="s">
        <v>45541</v>
      </c>
      <c r="AG3619" t="s">
        <v>45556</v>
      </c>
      <c r="AH3619">
        <v>20</v>
      </c>
      <c r="AI3619">
        <v>1</v>
      </c>
      <c r="AJ3619">
        <v>0</v>
      </c>
      <c r="AK3619">
        <v>122.08</v>
      </c>
      <c r="AN3619" t="s">
        <v>45581</v>
      </c>
      <c r="AO3619">
        <v>14820</v>
      </c>
      <c r="AU3619">
        <v>2.5</v>
      </c>
      <c r="AV3619" t="s">
        <v>754</v>
      </c>
      <c r="AW3619" t="s">
        <v>98</v>
      </c>
    </row>
    <row r="3620" spans="1:50">
      <c r="A3620" s="1">
        <f>HYPERLINK("https://lsnyc.legalserver.org/matter/dynamic-profile/view/1888079","19-1888079")</f>
        <v>0</v>
      </c>
      <c r="B3620" t="s">
        <v>174</v>
      </c>
      <c r="C3620" t="s">
        <v>340</v>
      </c>
      <c r="D3620" t="s">
        <v>685</v>
      </c>
      <c r="F3620" t="s">
        <v>1203</v>
      </c>
      <c r="G3620" t="s">
        <v>3540</v>
      </c>
      <c r="H3620" t="s">
        <v>10013</v>
      </c>
      <c r="I3620">
        <v>2</v>
      </c>
      <c r="J3620" t="s">
        <v>18894</v>
      </c>
      <c r="K3620">
        <v>11212</v>
      </c>
      <c r="L3620" t="s">
        <v>18958</v>
      </c>
      <c r="M3620" t="s">
        <v>18958</v>
      </c>
      <c r="N3620" t="s">
        <v>21708</v>
      </c>
      <c r="O3620" t="s">
        <v>26524</v>
      </c>
      <c r="P3620" t="s">
        <v>26560</v>
      </c>
      <c r="R3620" t="s">
        <v>26578</v>
      </c>
      <c r="S3620" t="s">
        <v>18959</v>
      </c>
      <c r="U3620" t="s">
        <v>26604</v>
      </c>
      <c r="V3620" t="s">
        <v>26610</v>
      </c>
      <c r="W3620" t="s">
        <v>855</v>
      </c>
      <c r="X3620">
        <v>800</v>
      </c>
      <c r="Y3620" t="s">
        <v>26652</v>
      </c>
      <c r="Z3620" t="s">
        <v>26659</v>
      </c>
      <c r="AB3620" t="s">
        <v>27101</v>
      </c>
      <c r="AC3620" t="s">
        <v>34610</v>
      </c>
      <c r="AD3620" t="s">
        <v>37182</v>
      </c>
      <c r="AE3620">
        <v>4</v>
      </c>
      <c r="AF3620" t="s">
        <v>45547</v>
      </c>
      <c r="AG3620" t="s">
        <v>19330</v>
      </c>
      <c r="AH3620">
        <v>9</v>
      </c>
      <c r="AI3620">
        <v>2</v>
      </c>
      <c r="AJ3620">
        <v>0</v>
      </c>
      <c r="AK3620">
        <v>94.05</v>
      </c>
      <c r="AN3620" t="s">
        <v>7439</v>
      </c>
      <c r="AO3620">
        <v>15480</v>
      </c>
      <c r="AP3620" t="s">
        <v>45794</v>
      </c>
      <c r="AU3620">
        <v>8.699999999999999</v>
      </c>
      <c r="AV3620" t="s">
        <v>781</v>
      </c>
      <c r="AW3620" t="s">
        <v>279</v>
      </c>
      <c r="AX3620" t="s">
        <v>46897</v>
      </c>
    </row>
    <row r="3621" spans="1:50">
      <c r="A3621" s="1">
        <f>HYPERLINK("https://lsnyc.legalserver.org/matter/dynamic-profile/view/1884434","18-1884434")</f>
        <v>0</v>
      </c>
      <c r="B3621" t="s">
        <v>135</v>
      </c>
      <c r="C3621" t="s">
        <v>340</v>
      </c>
      <c r="D3621" t="s">
        <v>667</v>
      </c>
      <c r="F3621" t="s">
        <v>1046</v>
      </c>
      <c r="G3621" t="s">
        <v>6969</v>
      </c>
      <c r="H3621" t="s">
        <v>12493</v>
      </c>
      <c r="I3621" t="s">
        <v>17348</v>
      </c>
      <c r="J3621" t="s">
        <v>18892</v>
      </c>
      <c r="K3621">
        <v>10451</v>
      </c>
      <c r="L3621" t="s">
        <v>18958</v>
      </c>
      <c r="M3621" t="s">
        <v>18958</v>
      </c>
      <c r="N3621" t="s">
        <v>21709</v>
      </c>
      <c r="O3621" t="s">
        <v>26523</v>
      </c>
      <c r="P3621" t="s">
        <v>26560</v>
      </c>
      <c r="R3621" t="s">
        <v>26578</v>
      </c>
      <c r="S3621" t="s">
        <v>18959</v>
      </c>
      <c r="U3621" t="s">
        <v>26604</v>
      </c>
      <c r="W3621" t="s">
        <v>26632</v>
      </c>
      <c r="X3621">
        <v>1640</v>
      </c>
      <c r="Y3621" t="s">
        <v>26650</v>
      </c>
      <c r="Z3621" t="s">
        <v>26659</v>
      </c>
      <c r="AB3621" t="s">
        <v>29764</v>
      </c>
      <c r="AC3621" t="s">
        <v>35569</v>
      </c>
      <c r="AD3621" t="s">
        <v>39868</v>
      </c>
      <c r="AE3621">
        <v>0</v>
      </c>
      <c r="AF3621" t="s">
        <v>45552</v>
      </c>
      <c r="AG3621" t="s">
        <v>45561</v>
      </c>
      <c r="AH3621">
        <v>2</v>
      </c>
      <c r="AI3621">
        <v>3</v>
      </c>
      <c r="AJ3621">
        <v>1</v>
      </c>
      <c r="AK3621">
        <v>82.52</v>
      </c>
      <c r="AO3621">
        <v>20712</v>
      </c>
      <c r="AU3621">
        <v>8.9</v>
      </c>
      <c r="AV3621" t="s">
        <v>811</v>
      </c>
      <c r="AW3621" t="s">
        <v>46847</v>
      </c>
    </row>
    <row r="3622" spans="1:50">
      <c r="A3622" s="1">
        <f>HYPERLINK("https://lsnyc.legalserver.org/matter/dynamic-profile/view/1879476","18-1879476")</f>
        <v>0</v>
      </c>
      <c r="B3622" t="s">
        <v>130</v>
      </c>
      <c r="C3622" t="s">
        <v>341</v>
      </c>
      <c r="D3622" t="s">
        <v>529</v>
      </c>
      <c r="E3622" t="s">
        <v>683</v>
      </c>
      <c r="F3622" t="s">
        <v>1370</v>
      </c>
      <c r="G3622" t="s">
        <v>6970</v>
      </c>
      <c r="H3622" t="s">
        <v>12494</v>
      </c>
      <c r="I3622" t="s">
        <v>17989</v>
      </c>
      <c r="J3622" t="s">
        <v>18901</v>
      </c>
      <c r="K3622">
        <v>11434</v>
      </c>
      <c r="L3622" t="s">
        <v>18958</v>
      </c>
      <c r="M3622" t="s">
        <v>18958</v>
      </c>
      <c r="N3622" t="s">
        <v>21710</v>
      </c>
      <c r="O3622" t="s">
        <v>26524</v>
      </c>
      <c r="P3622" t="s">
        <v>26560</v>
      </c>
      <c r="Q3622" t="s">
        <v>26568</v>
      </c>
      <c r="R3622" t="s">
        <v>26585</v>
      </c>
      <c r="S3622" t="s">
        <v>18959</v>
      </c>
      <c r="U3622" t="s">
        <v>26604</v>
      </c>
      <c r="V3622" t="s">
        <v>26610</v>
      </c>
      <c r="W3622" t="s">
        <v>678</v>
      </c>
      <c r="X3622">
        <v>2000</v>
      </c>
      <c r="Y3622" t="s">
        <v>26653</v>
      </c>
      <c r="Z3622" t="s">
        <v>26668</v>
      </c>
      <c r="AA3622" t="s">
        <v>26678</v>
      </c>
      <c r="AB3622" t="s">
        <v>29765</v>
      </c>
      <c r="AD3622" t="s">
        <v>39869</v>
      </c>
      <c r="AE3622">
        <v>3</v>
      </c>
      <c r="AF3622" t="s">
        <v>45547</v>
      </c>
      <c r="AG3622" t="s">
        <v>19330</v>
      </c>
      <c r="AH3622">
        <v>3</v>
      </c>
      <c r="AI3622">
        <v>3</v>
      </c>
      <c r="AJ3622">
        <v>1</v>
      </c>
      <c r="AK3622">
        <v>105.18</v>
      </c>
      <c r="AN3622" t="s">
        <v>7439</v>
      </c>
      <c r="AO3622">
        <v>26400</v>
      </c>
      <c r="AQ3622" t="s">
        <v>46359</v>
      </c>
      <c r="AR3622" t="s">
        <v>46379</v>
      </c>
      <c r="AS3622" t="s">
        <v>46499</v>
      </c>
      <c r="AT3622" t="s">
        <v>46624</v>
      </c>
      <c r="AU3622">
        <v>16.9</v>
      </c>
      <c r="AV3622" t="s">
        <v>735</v>
      </c>
      <c r="AW3622" t="s">
        <v>85</v>
      </c>
    </row>
    <row r="3623" spans="1:50">
      <c r="A3623" s="1">
        <f>HYPERLINK("https://lsnyc.legalserver.org/matter/dynamic-profile/view/1880672","18-1880672")</f>
        <v>0</v>
      </c>
      <c r="B3623" t="s">
        <v>106</v>
      </c>
      <c r="C3623" t="s">
        <v>341</v>
      </c>
      <c r="D3623" t="s">
        <v>623</v>
      </c>
      <c r="E3623" t="s">
        <v>678</v>
      </c>
      <c r="F3623" t="s">
        <v>2726</v>
      </c>
      <c r="G3623" t="s">
        <v>5385</v>
      </c>
      <c r="H3623" t="s">
        <v>12495</v>
      </c>
      <c r="I3623" t="s">
        <v>17990</v>
      </c>
      <c r="J3623" t="s">
        <v>18894</v>
      </c>
      <c r="K3623">
        <v>11213</v>
      </c>
      <c r="L3623" t="s">
        <v>18958</v>
      </c>
      <c r="M3623" t="s">
        <v>18958</v>
      </c>
      <c r="N3623" t="s">
        <v>21711</v>
      </c>
      <c r="O3623" t="s">
        <v>26523</v>
      </c>
      <c r="P3623" t="s">
        <v>26560</v>
      </c>
      <c r="Q3623" t="s">
        <v>26573</v>
      </c>
      <c r="R3623" t="s">
        <v>26586</v>
      </c>
      <c r="S3623" t="s">
        <v>18959</v>
      </c>
      <c r="U3623" t="s">
        <v>26604</v>
      </c>
      <c r="V3623" t="s">
        <v>26611</v>
      </c>
      <c r="W3623" t="s">
        <v>678</v>
      </c>
      <c r="X3623">
        <v>1850</v>
      </c>
      <c r="Y3623" t="s">
        <v>26652</v>
      </c>
      <c r="Z3623" t="s">
        <v>26659</v>
      </c>
      <c r="AA3623" t="s">
        <v>26678</v>
      </c>
      <c r="AB3623" t="s">
        <v>29766</v>
      </c>
      <c r="AD3623" t="s">
        <v>39870</v>
      </c>
      <c r="AE3623">
        <v>4</v>
      </c>
      <c r="AF3623" t="s">
        <v>20460</v>
      </c>
      <c r="AG3623" t="s">
        <v>19330</v>
      </c>
      <c r="AH3623">
        <v>2</v>
      </c>
      <c r="AI3623">
        <v>2</v>
      </c>
      <c r="AJ3623">
        <v>1</v>
      </c>
      <c r="AK3623">
        <v>202.12</v>
      </c>
      <c r="AL3623" t="s">
        <v>574</v>
      </c>
      <c r="AM3623" t="s">
        <v>45575</v>
      </c>
      <c r="AN3623" t="s">
        <v>7439</v>
      </c>
      <c r="AO3623">
        <v>42000</v>
      </c>
      <c r="AQ3623" t="s">
        <v>46365</v>
      </c>
      <c r="AR3623" t="s">
        <v>46379</v>
      </c>
      <c r="AS3623" t="s">
        <v>46500</v>
      </c>
      <c r="AT3623" t="s">
        <v>46738</v>
      </c>
      <c r="AU3623">
        <v>6</v>
      </c>
      <c r="AV3623" t="s">
        <v>667</v>
      </c>
      <c r="AW3623" t="s">
        <v>106</v>
      </c>
    </row>
    <row r="3624" spans="1:50">
      <c r="A3624" s="1">
        <f>HYPERLINK("https://lsnyc.legalserver.org/matter/dynamic-profile/view/1881204","18-1881204")</f>
        <v>0</v>
      </c>
      <c r="B3624" t="s">
        <v>130</v>
      </c>
      <c r="C3624" t="s">
        <v>341</v>
      </c>
      <c r="D3624" t="s">
        <v>631</v>
      </c>
      <c r="E3624" t="s">
        <v>519</v>
      </c>
      <c r="F3624" t="s">
        <v>2727</v>
      </c>
      <c r="G3624" t="s">
        <v>2053</v>
      </c>
      <c r="H3624" t="s">
        <v>12496</v>
      </c>
      <c r="I3624" t="s">
        <v>17491</v>
      </c>
      <c r="J3624" t="s">
        <v>18901</v>
      </c>
      <c r="K3624">
        <v>11434</v>
      </c>
      <c r="L3624" t="s">
        <v>18958</v>
      </c>
      <c r="M3624" t="s">
        <v>18958</v>
      </c>
      <c r="N3624" t="s">
        <v>21712</v>
      </c>
      <c r="O3624" t="s">
        <v>26524</v>
      </c>
      <c r="P3624" t="s">
        <v>26564</v>
      </c>
      <c r="Q3624" t="s">
        <v>26570</v>
      </c>
      <c r="R3624" t="s">
        <v>26585</v>
      </c>
      <c r="S3624" t="s">
        <v>18959</v>
      </c>
      <c r="U3624" t="s">
        <v>26604</v>
      </c>
      <c r="V3624" t="s">
        <v>26610</v>
      </c>
      <c r="W3624" t="s">
        <v>678</v>
      </c>
      <c r="X3624">
        <v>1400</v>
      </c>
      <c r="Y3624" t="s">
        <v>26653</v>
      </c>
      <c r="Z3624" t="s">
        <v>26664</v>
      </c>
      <c r="AA3624" t="s">
        <v>26683</v>
      </c>
      <c r="AB3624" t="s">
        <v>29767</v>
      </c>
      <c r="AC3624" t="s">
        <v>35570</v>
      </c>
      <c r="AD3624" t="s">
        <v>39871</v>
      </c>
      <c r="AE3624">
        <v>3</v>
      </c>
      <c r="AF3624" t="s">
        <v>45547</v>
      </c>
      <c r="AG3624" t="s">
        <v>19330</v>
      </c>
      <c r="AH3624">
        <v>16</v>
      </c>
      <c r="AI3624">
        <v>2</v>
      </c>
      <c r="AJ3624">
        <v>0</v>
      </c>
      <c r="AK3624">
        <v>139.54</v>
      </c>
      <c r="AN3624" t="s">
        <v>7439</v>
      </c>
      <c r="AO3624">
        <v>22968</v>
      </c>
      <c r="AU3624">
        <v>2.1</v>
      </c>
      <c r="AV3624" t="s">
        <v>519</v>
      </c>
      <c r="AW3624" t="s">
        <v>208</v>
      </c>
    </row>
    <row r="3625" spans="1:50">
      <c r="A3625" s="1">
        <f>HYPERLINK("https://lsnyc.legalserver.org/matter/dynamic-profile/view/1881563","18-1881563")</f>
        <v>0</v>
      </c>
      <c r="B3625" t="s">
        <v>207</v>
      </c>
      <c r="C3625" t="s">
        <v>341</v>
      </c>
      <c r="D3625" t="s">
        <v>624</v>
      </c>
      <c r="E3625" t="s">
        <v>678</v>
      </c>
      <c r="F3625" t="s">
        <v>2728</v>
      </c>
      <c r="G3625" t="s">
        <v>6971</v>
      </c>
      <c r="H3625" t="s">
        <v>12497</v>
      </c>
      <c r="I3625" t="s">
        <v>17280</v>
      </c>
      <c r="J3625" t="s">
        <v>18894</v>
      </c>
      <c r="K3625">
        <v>11210</v>
      </c>
      <c r="L3625" t="s">
        <v>18958</v>
      </c>
      <c r="M3625" t="s">
        <v>18958</v>
      </c>
      <c r="N3625" t="s">
        <v>21713</v>
      </c>
      <c r="O3625" t="s">
        <v>26523</v>
      </c>
      <c r="Q3625" t="s">
        <v>26570</v>
      </c>
      <c r="R3625" t="s">
        <v>26586</v>
      </c>
      <c r="U3625" t="s">
        <v>26604</v>
      </c>
      <c r="W3625" t="s">
        <v>678</v>
      </c>
      <c r="X3625">
        <v>1077.11</v>
      </c>
      <c r="Y3625" t="s">
        <v>26652</v>
      </c>
      <c r="Z3625" t="s">
        <v>26668</v>
      </c>
      <c r="AA3625" t="s">
        <v>26683</v>
      </c>
      <c r="AB3625" t="s">
        <v>29768</v>
      </c>
      <c r="AD3625" t="s">
        <v>39872</v>
      </c>
      <c r="AE3625">
        <v>28</v>
      </c>
      <c r="AF3625" t="s">
        <v>45541</v>
      </c>
      <c r="AG3625" t="s">
        <v>19330</v>
      </c>
      <c r="AH3625">
        <v>18</v>
      </c>
      <c r="AI3625">
        <v>1</v>
      </c>
      <c r="AJ3625">
        <v>0</v>
      </c>
      <c r="AK3625">
        <v>16.12</v>
      </c>
      <c r="AN3625" t="s">
        <v>7439</v>
      </c>
      <c r="AO3625">
        <v>1957.2</v>
      </c>
      <c r="AU3625">
        <v>0.25</v>
      </c>
      <c r="AV3625" t="s">
        <v>678</v>
      </c>
      <c r="AW3625" t="s">
        <v>46853</v>
      </c>
    </row>
    <row r="3626" spans="1:50">
      <c r="A3626" s="1">
        <f>HYPERLINK("https://lsnyc.legalserver.org/matter/dynamic-profile/view/1882031","18-1882031")</f>
        <v>0</v>
      </c>
      <c r="B3626" t="s">
        <v>207</v>
      </c>
      <c r="C3626" t="s">
        <v>341</v>
      </c>
      <c r="D3626" t="s">
        <v>641</v>
      </c>
      <c r="E3626" t="s">
        <v>678</v>
      </c>
      <c r="F3626" t="s">
        <v>2729</v>
      </c>
      <c r="G3626" t="s">
        <v>6972</v>
      </c>
      <c r="H3626" t="s">
        <v>12498</v>
      </c>
      <c r="I3626" t="s">
        <v>17306</v>
      </c>
      <c r="J3626" t="s">
        <v>18894</v>
      </c>
      <c r="K3626">
        <v>11219</v>
      </c>
      <c r="L3626" t="s">
        <v>18958</v>
      </c>
      <c r="M3626" t="s">
        <v>18958</v>
      </c>
      <c r="N3626" t="s">
        <v>21714</v>
      </c>
      <c r="O3626" t="s">
        <v>26524</v>
      </c>
      <c r="P3626" t="s">
        <v>26563</v>
      </c>
      <c r="Q3626" t="s">
        <v>26570</v>
      </c>
      <c r="R3626" t="s">
        <v>26586</v>
      </c>
      <c r="U3626" t="s">
        <v>26604</v>
      </c>
      <c r="W3626" t="s">
        <v>678</v>
      </c>
      <c r="X3626">
        <v>0</v>
      </c>
      <c r="Y3626" t="s">
        <v>26652</v>
      </c>
      <c r="Z3626" t="s">
        <v>26664</v>
      </c>
      <c r="AA3626" t="s">
        <v>26683</v>
      </c>
      <c r="AB3626" t="s">
        <v>29769</v>
      </c>
      <c r="AE3626">
        <v>0</v>
      </c>
      <c r="AH3626">
        <v>20</v>
      </c>
      <c r="AI3626">
        <v>1</v>
      </c>
      <c r="AJ3626">
        <v>0</v>
      </c>
      <c r="AK3626">
        <v>0</v>
      </c>
      <c r="AN3626" t="s">
        <v>7439</v>
      </c>
      <c r="AO3626">
        <v>0</v>
      </c>
      <c r="AU3626">
        <v>1.2</v>
      </c>
      <c r="AV3626" t="s">
        <v>669</v>
      </c>
      <c r="AW3626" t="s">
        <v>281</v>
      </c>
    </row>
    <row r="3627" spans="1:50">
      <c r="A3627" s="1">
        <f>HYPERLINK("https://lsnyc.legalserver.org/matter/dynamic-profile/view/1883681","18-1883681")</f>
        <v>0</v>
      </c>
      <c r="B3627" t="s">
        <v>69</v>
      </c>
      <c r="C3627" t="s">
        <v>340</v>
      </c>
      <c r="D3627" t="s">
        <v>603</v>
      </c>
      <c r="F3627" t="s">
        <v>1367</v>
      </c>
      <c r="G3627" t="s">
        <v>5639</v>
      </c>
      <c r="H3627" t="s">
        <v>12499</v>
      </c>
      <c r="I3627" t="s">
        <v>17991</v>
      </c>
      <c r="J3627" t="s">
        <v>18892</v>
      </c>
      <c r="K3627">
        <v>10466</v>
      </c>
      <c r="L3627" t="s">
        <v>18958</v>
      </c>
      <c r="M3627" t="s">
        <v>18958</v>
      </c>
      <c r="N3627" t="s">
        <v>21715</v>
      </c>
      <c r="O3627" t="s">
        <v>26523</v>
      </c>
      <c r="P3627" t="s">
        <v>26560</v>
      </c>
      <c r="R3627" t="s">
        <v>26577</v>
      </c>
      <c r="S3627" t="s">
        <v>18959</v>
      </c>
      <c r="U3627" t="s">
        <v>26604</v>
      </c>
      <c r="V3627" t="s">
        <v>26610</v>
      </c>
      <c r="W3627" t="s">
        <v>678</v>
      </c>
      <c r="X3627">
        <v>1571.38</v>
      </c>
      <c r="Y3627" t="s">
        <v>26650</v>
      </c>
      <c r="Z3627" t="s">
        <v>26659</v>
      </c>
      <c r="AB3627" t="s">
        <v>29770</v>
      </c>
      <c r="AD3627" t="s">
        <v>39873</v>
      </c>
      <c r="AE3627">
        <v>0</v>
      </c>
      <c r="AF3627" t="s">
        <v>45541</v>
      </c>
      <c r="AG3627" t="s">
        <v>19330</v>
      </c>
      <c r="AH3627">
        <v>2</v>
      </c>
      <c r="AI3627">
        <v>2</v>
      </c>
      <c r="AJ3627">
        <v>1</v>
      </c>
      <c r="AK3627">
        <v>100.1</v>
      </c>
      <c r="AN3627" t="s">
        <v>7439</v>
      </c>
      <c r="AO3627">
        <v>20800</v>
      </c>
      <c r="AU3627">
        <v>20.5</v>
      </c>
      <c r="AV3627" t="s">
        <v>759</v>
      </c>
      <c r="AW3627" t="s">
        <v>69</v>
      </c>
    </row>
    <row r="3628" spans="1:50">
      <c r="A3628" s="1">
        <f>HYPERLINK("https://lsnyc.legalserver.org/matter/dynamic-profile/view/1884300","18-1884300")</f>
        <v>0</v>
      </c>
      <c r="B3628" t="s">
        <v>56</v>
      </c>
      <c r="C3628" t="s">
        <v>340</v>
      </c>
      <c r="D3628" t="s">
        <v>675</v>
      </c>
      <c r="F3628" t="s">
        <v>1119</v>
      </c>
      <c r="G3628" t="s">
        <v>3790</v>
      </c>
      <c r="H3628" t="s">
        <v>12500</v>
      </c>
      <c r="I3628" t="s">
        <v>17301</v>
      </c>
      <c r="J3628" t="s">
        <v>18892</v>
      </c>
      <c r="K3628">
        <v>10467</v>
      </c>
      <c r="L3628" t="s">
        <v>18958</v>
      </c>
      <c r="M3628" t="s">
        <v>18958</v>
      </c>
      <c r="N3628" t="s">
        <v>21716</v>
      </c>
      <c r="O3628" t="s">
        <v>26523</v>
      </c>
      <c r="P3628" t="s">
        <v>26560</v>
      </c>
      <c r="R3628" t="s">
        <v>26579</v>
      </c>
      <c r="U3628" t="s">
        <v>26604</v>
      </c>
      <c r="V3628" t="s">
        <v>26609</v>
      </c>
      <c r="W3628" t="s">
        <v>678</v>
      </c>
      <c r="X3628">
        <v>3</v>
      </c>
      <c r="Y3628" t="s">
        <v>26650</v>
      </c>
      <c r="Z3628" t="s">
        <v>26664</v>
      </c>
      <c r="AB3628" t="s">
        <v>29771</v>
      </c>
      <c r="AD3628" t="s">
        <v>39874</v>
      </c>
      <c r="AE3628">
        <v>0</v>
      </c>
      <c r="AF3628" t="s">
        <v>45541</v>
      </c>
      <c r="AG3628" t="s">
        <v>19330</v>
      </c>
      <c r="AH3628">
        <v>28</v>
      </c>
      <c r="AI3628">
        <v>1</v>
      </c>
      <c r="AJ3628">
        <v>0</v>
      </c>
      <c r="AK3628">
        <v>0</v>
      </c>
      <c r="AN3628" t="s">
        <v>7439</v>
      </c>
      <c r="AO3628">
        <v>0</v>
      </c>
      <c r="AU3628">
        <v>10</v>
      </c>
      <c r="AV3628" t="s">
        <v>806</v>
      </c>
      <c r="AW3628" t="s">
        <v>46836</v>
      </c>
    </row>
    <row r="3629" spans="1:50">
      <c r="A3629" s="1">
        <f>HYPERLINK("https://lsnyc.legalserver.org/matter/dynamic-profile/view/1884444","18-1884444")</f>
        <v>0</v>
      </c>
      <c r="B3629" t="s">
        <v>200</v>
      </c>
      <c r="C3629" t="s">
        <v>340</v>
      </c>
      <c r="D3629" t="s">
        <v>667</v>
      </c>
      <c r="F3629" t="s">
        <v>1165</v>
      </c>
      <c r="G3629" t="s">
        <v>5189</v>
      </c>
      <c r="H3629" t="s">
        <v>10028</v>
      </c>
      <c r="I3629" t="s">
        <v>17976</v>
      </c>
      <c r="J3629" t="s">
        <v>18894</v>
      </c>
      <c r="K3629">
        <v>11207</v>
      </c>
      <c r="L3629" t="s">
        <v>18960</v>
      </c>
      <c r="M3629" t="s">
        <v>18960</v>
      </c>
      <c r="N3629" t="s">
        <v>18997</v>
      </c>
      <c r="O3629" t="s">
        <v>26526</v>
      </c>
      <c r="P3629" t="s">
        <v>26565</v>
      </c>
      <c r="R3629" t="s">
        <v>26578</v>
      </c>
      <c r="S3629" t="s">
        <v>18959</v>
      </c>
      <c r="U3629" t="s">
        <v>26604</v>
      </c>
      <c r="V3629" t="s">
        <v>26610</v>
      </c>
      <c r="W3629" t="s">
        <v>678</v>
      </c>
      <c r="X3629">
        <v>1300</v>
      </c>
      <c r="Y3629" t="s">
        <v>26652</v>
      </c>
      <c r="AB3629" t="s">
        <v>29772</v>
      </c>
      <c r="AD3629" t="s">
        <v>39875</v>
      </c>
      <c r="AE3629">
        <v>23</v>
      </c>
      <c r="AH3629">
        <v>4</v>
      </c>
      <c r="AI3629">
        <v>1</v>
      </c>
      <c r="AJ3629">
        <v>0</v>
      </c>
      <c r="AK3629">
        <v>73.15000000000001</v>
      </c>
      <c r="AN3629" t="s">
        <v>7439</v>
      </c>
      <c r="AO3629">
        <v>8880</v>
      </c>
      <c r="AU3629">
        <v>2.25</v>
      </c>
      <c r="AV3629" t="s">
        <v>678</v>
      </c>
      <c r="AW3629" t="s">
        <v>46857</v>
      </c>
    </row>
    <row r="3630" spans="1:50">
      <c r="A3630" s="1">
        <f>HYPERLINK("https://lsnyc.legalserver.org/matter/dynamic-profile/view/1884558","18-1884558")</f>
        <v>0</v>
      </c>
      <c r="B3630" t="s">
        <v>107</v>
      </c>
      <c r="C3630" t="s">
        <v>341</v>
      </c>
      <c r="D3630" t="s">
        <v>678</v>
      </c>
      <c r="E3630" t="s">
        <v>699</v>
      </c>
      <c r="F3630" t="s">
        <v>964</v>
      </c>
      <c r="G3630" t="s">
        <v>6973</v>
      </c>
      <c r="H3630" t="s">
        <v>12501</v>
      </c>
      <c r="I3630" t="s">
        <v>17743</v>
      </c>
      <c r="J3630" t="s">
        <v>18901</v>
      </c>
      <c r="K3630">
        <v>11434</v>
      </c>
      <c r="L3630" t="s">
        <v>18958</v>
      </c>
      <c r="M3630" t="s">
        <v>18958</v>
      </c>
      <c r="N3630" t="s">
        <v>21717</v>
      </c>
      <c r="O3630" t="s">
        <v>26523</v>
      </c>
      <c r="P3630" t="s">
        <v>26560</v>
      </c>
      <c r="Q3630" t="s">
        <v>26568</v>
      </c>
      <c r="R3630" t="s">
        <v>26585</v>
      </c>
      <c r="S3630" t="s">
        <v>18959</v>
      </c>
      <c r="U3630" t="s">
        <v>26605</v>
      </c>
      <c r="V3630" t="s">
        <v>26611</v>
      </c>
      <c r="W3630" t="s">
        <v>678</v>
      </c>
      <c r="X3630">
        <v>1072</v>
      </c>
      <c r="Y3630" t="s">
        <v>26653</v>
      </c>
      <c r="Z3630" t="s">
        <v>26668</v>
      </c>
      <c r="AA3630" t="s">
        <v>26680</v>
      </c>
      <c r="AB3630" t="s">
        <v>29773</v>
      </c>
      <c r="AC3630" t="s">
        <v>35571</v>
      </c>
      <c r="AD3630" t="s">
        <v>39876</v>
      </c>
      <c r="AE3630">
        <v>602</v>
      </c>
      <c r="AF3630" t="s">
        <v>45549</v>
      </c>
      <c r="AG3630" t="s">
        <v>19330</v>
      </c>
      <c r="AH3630">
        <v>16</v>
      </c>
      <c r="AI3630">
        <v>3</v>
      </c>
      <c r="AJ3630">
        <v>0</v>
      </c>
      <c r="AK3630">
        <v>126.99</v>
      </c>
      <c r="AN3630" t="s">
        <v>7439</v>
      </c>
      <c r="AO3630">
        <v>26388</v>
      </c>
      <c r="AQ3630" t="s">
        <v>46365</v>
      </c>
      <c r="AR3630" t="s">
        <v>46379</v>
      </c>
      <c r="AS3630" t="s">
        <v>46499</v>
      </c>
      <c r="AT3630" t="s">
        <v>46598</v>
      </c>
      <c r="AU3630">
        <v>8.949999999999999</v>
      </c>
      <c r="AV3630" t="s">
        <v>684</v>
      </c>
      <c r="AW3630" t="s">
        <v>208</v>
      </c>
    </row>
    <row r="3631" spans="1:50">
      <c r="A3631" s="1">
        <f>HYPERLINK("https://lsnyc.legalserver.org/matter/dynamic-profile/view/1884624","18-1884624")</f>
        <v>0</v>
      </c>
      <c r="B3631" t="s">
        <v>58</v>
      </c>
      <c r="C3631" t="s">
        <v>341</v>
      </c>
      <c r="D3631" t="s">
        <v>678</v>
      </c>
      <c r="E3631" t="s">
        <v>830</v>
      </c>
      <c r="F3631" t="s">
        <v>2730</v>
      </c>
      <c r="G3631" t="s">
        <v>5385</v>
      </c>
      <c r="H3631" t="s">
        <v>11006</v>
      </c>
      <c r="I3631" t="s">
        <v>17278</v>
      </c>
      <c r="J3631" t="s">
        <v>18892</v>
      </c>
      <c r="K3631">
        <v>10453</v>
      </c>
      <c r="L3631" t="s">
        <v>18958</v>
      </c>
      <c r="M3631" t="s">
        <v>18958</v>
      </c>
      <c r="N3631" t="s">
        <v>21718</v>
      </c>
      <c r="O3631" t="s">
        <v>26523</v>
      </c>
      <c r="P3631" t="s">
        <v>26560</v>
      </c>
      <c r="Q3631" t="s">
        <v>26574</v>
      </c>
      <c r="R3631" t="s">
        <v>26577</v>
      </c>
      <c r="S3631" t="s">
        <v>18959</v>
      </c>
      <c r="U3631" t="s">
        <v>26604</v>
      </c>
      <c r="V3631" t="s">
        <v>26612</v>
      </c>
      <c r="W3631" t="s">
        <v>678</v>
      </c>
      <c r="X3631">
        <v>1625</v>
      </c>
      <c r="Y3631" t="s">
        <v>26650</v>
      </c>
      <c r="AA3631" t="s">
        <v>26679</v>
      </c>
      <c r="AB3631" t="s">
        <v>29774</v>
      </c>
      <c r="AC3631" t="s">
        <v>35572</v>
      </c>
      <c r="AD3631" t="s">
        <v>39877</v>
      </c>
      <c r="AE3631">
        <v>0</v>
      </c>
      <c r="AF3631" t="s">
        <v>45541</v>
      </c>
      <c r="AG3631" t="s">
        <v>19330</v>
      </c>
      <c r="AH3631">
        <v>11</v>
      </c>
      <c r="AI3631">
        <v>1</v>
      </c>
      <c r="AJ3631">
        <v>2</v>
      </c>
      <c r="AK3631">
        <v>31.28</v>
      </c>
      <c r="AN3631" t="s">
        <v>45581</v>
      </c>
      <c r="AO3631">
        <v>6500</v>
      </c>
      <c r="AU3631">
        <v>43</v>
      </c>
      <c r="AV3631" t="s">
        <v>830</v>
      </c>
      <c r="AW3631" t="s">
        <v>46871</v>
      </c>
    </row>
    <row r="3632" spans="1:50">
      <c r="A3632" s="1">
        <f>HYPERLINK("https://lsnyc.legalserver.org/matter/dynamic-profile/view/1884486","18-1884486")</f>
        <v>0</v>
      </c>
      <c r="B3632" t="s">
        <v>51</v>
      </c>
      <c r="C3632" t="s">
        <v>341</v>
      </c>
      <c r="D3632" t="s">
        <v>678</v>
      </c>
      <c r="E3632" t="s">
        <v>800</v>
      </c>
      <c r="F3632" t="s">
        <v>2731</v>
      </c>
      <c r="G3632" t="s">
        <v>5706</v>
      </c>
      <c r="H3632" t="s">
        <v>12502</v>
      </c>
      <c r="I3632" t="s">
        <v>17657</v>
      </c>
      <c r="J3632" t="s">
        <v>18892</v>
      </c>
      <c r="K3632">
        <v>10462</v>
      </c>
      <c r="L3632" t="s">
        <v>18958</v>
      </c>
      <c r="M3632" t="s">
        <v>18958</v>
      </c>
      <c r="N3632" t="s">
        <v>21719</v>
      </c>
      <c r="O3632" t="s">
        <v>26523</v>
      </c>
      <c r="P3632" t="s">
        <v>26560</v>
      </c>
      <c r="Q3632" t="s">
        <v>26568</v>
      </c>
      <c r="R3632" t="s">
        <v>26579</v>
      </c>
      <c r="S3632" t="s">
        <v>18959</v>
      </c>
      <c r="U3632" t="s">
        <v>26604</v>
      </c>
      <c r="V3632" t="s">
        <v>26612</v>
      </c>
      <c r="W3632" t="s">
        <v>678</v>
      </c>
      <c r="X3632">
        <v>1600</v>
      </c>
      <c r="Y3632" t="s">
        <v>26650</v>
      </c>
      <c r="Z3632" t="s">
        <v>26668</v>
      </c>
      <c r="AA3632" t="s">
        <v>26678</v>
      </c>
      <c r="AB3632" t="s">
        <v>27809</v>
      </c>
      <c r="AC3632" t="s">
        <v>35573</v>
      </c>
      <c r="AD3632" t="s">
        <v>39878</v>
      </c>
      <c r="AE3632">
        <v>0</v>
      </c>
      <c r="AF3632" t="s">
        <v>45541</v>
      </c>
      <c r="AG3632" t="s">
        <v>19330</v>
      </c>
      <c r="AH3632">
        <v>1</v>
      </c>
      <c r="AI3632">
        <v>2</v>
      </c>
      <c r="AJ3632">
        <v>1</v>
      </c>
      <c r="AK3632">
        <v>120.12</v>
      </c>
      <c r="AN3632" t="s">
        <v>45581</v>
      </c>
      <c r="AO3632">
        <v>24960</v>
      </c>
      <c r="AR3632" t="s">
        <v>46424</v>
      </c>
      <c r="AS3632" t="s">
        <v>46499</v>
      </c>
      <c r="AT3632" t="s">
        <v>46506</v>
      </c>
      <c r="AU3632">
        <v>6.7</v>
      </c>
      <c r="AV3632" t="s">
        <v>739</v>
      </c>
      <c r="AW3632" t="s">
        <v>46832</v>
      </c>
    </row>
    <row r="3633" spans="1:49">
      <c r="A3633" s="1">
        <f>HYPERLINK("https://lsnyc.legalserver.org/matter/dynamic-profile/view/1884492","18-1884492")</f>
        <v>0</v>
      </c>
      <c r="B3633" t="s">
        <v>106</v>
      </c>
      <c r="C3633" t="s">
        <v>341</v>
      </c>
      <c r="D3633" t="s">
        <v>678</v>
      </c>
      <c r="E3633" t="s">
        <v>716</v>
      </c>
      <c r="F3633" t="s">
        <v>2383</v>
      </c>
      <c r="G3633" t="s">
        <v>5221</v>
      </c>
      <c r="H3633" t="s">
        <v>12503</v>
      </c>
      <c r="I3633" t="s">
        <v>17312</v>
      </c>
      <c r="J3633" t="s">
        <v>18894</v>
      </c>
      <c r="K3633">
        <v>11226</v>
      </c>
      <c r="L3633" t="s">
        <v>18958</v>
      </c>
      <c r="M3633" t="s">
        <v>18960</v>
      </c>
      <c r="N3633" t="s">
        <v>21720</v>
      </c>
      <c r="O3633" t="s">
        <v>26523</v>
      </c>
      <c r="P3633" t="s">
        <v>26560</v>
      </c>
      <c r="Q3633" t="s">
        <v>26573</v>
      </c>
      <c r="R3633" t="s">
        <v>26588</v>
      </c>
      <c r="U3633" t="s">
        <v>26604</v>
      </c>
      <c r="W3633" t="s">
        <v>678</v>
      </c>
      <c r="X3633">
        <v>1400</v>
      </c>
      <c r="Y3633" t="s">
        <v>26652</v>
      </c>
      <c r="Z3633" t="s">
        <v>26664</v>
      </c>
      <c r="AA3633" t="s">
        <v>26678</v>
      </c>
      <c r="AB3633" t="s">
        <v>29775</v>
      </c>
      <c r="AD3633" t="s">
        <v>39879</v>
      </c>
      <c r="AE3633">
        <v>4</v>
      </c>
      <c r="AG3633" t="s">
        <v>19330</v>
      </c>
      <c r="AH3633">
        <v>4</v>
      </c>
      <c r="AI3633">
        <v>2</v>
      </c>
      <c r="AJ3633">
        <v>1</v>
      </c>
      <c r="AK3633">
        <v>67.56</v>
      </c>
      <c r="AN3633" t="s">
        <v>7439</v>
      </c>
      <c r="AO3633">
        <v>14040</v>
      </c>
      <c r="AS3633" t="s">
        <v>46499</v>
      </c>
      <c r="AT3633" t="s">
        <v>46648</v>
      </c>
      <c r="AU3633">
        <v>1.9</v>
      </c>
      <c r="AV3633" t="s">
        <v>678</v>
      </c>
      <c r="AW3633" t="s">
        <v>46862</v>
      </c>
    </row>
    <row r="3634" spans="1:49">
      <c r="A3634" s="1">
        <f>HYPERLINK("https://lsnyc.legalserver.org/matter/dynamic-profile/view/1884583","18-1884583")</f>
        <v>0</v>
      </c>
      <c r="B3634" t="s">
        <v>172</v>
      </c>
      <c r="C3634" t="s">
        <v>341</v>
      </c>
      <c r="D3634" t="s">
        <v>678</v>
      </c>
      <c r="E3634" t="s">
        <v>751</v>
      </c>
      <c r="F3634" t="s">
        <v>974</v>
      </c>
      <c r="G3634" t="s">
        <v>5761</v>
      </c>
      <c r="H3634" t="s">
        <v>12504</v>
      </c>
      <c r="I3634" t="s">
        <v>17293</v>
      </c>
      <c r="J3634" t="s">
        <v>18894</v>
      </c>
      <c r="K3634">
        <v>11221</v>
      </c>
      <c r="L3634" t="s">
        <v>18958</v>
      </c>
      <c r="M3634" t="s">
        <v>18960</v>
      </c>
      <c r="N3634" t="s">
        <v>21721</v>
      </c>
      <c r="O3634" t="s">
        <v>26523</v>
      </c>
      <c r="P3634" t="s">
        <v>26560</v>
      </c>
      <c r="Q3634" t="s">
        <v>26568</v>
      </c>
      <c r="R3634" t="s">
        <v>26588</v>
      </c>
      <c r="U3634" t="s">
        <v>26605</v>
      </c>
      <c r="W3634" t="s">
        <v>678</v>
      </c>
      <c r="X3634">
        <v>1052</v>
      </c>
      <c r="Y3634" t="s">
        <v>26652</v>
      </c>
      <c r="Z3634" t="s">
        <v>26664</v>
      </c>
      <c r="AA3634" t="s">
        <v>26680</v>
      </c>
      <c r="AB3634" t="s">
        <v>29776</v>
      </c>
      <c r="AD3634" t="s">
        <v>39880</v>
      </c>
      <c r="AE3634">
        <v>0</v>
      </c>
      <c r="AF3634" t="s">
        <v>45549</v>
      </c>
      <c r="AG3634" t="s">
        <v>19330</v>
      </c>
      <c r="AH3634">
        <v>46</v>
      </c>
      <c r="AI3634">
        <v>5</v>
      </c>
      <c r="AJ3634">
        <v>1</v>
      </c>
      <c r="AK3634">
        <v>24.79</v>
      </c>
      <c r="AN3634" t="s">
        <v>7439</v>
      </c>
      <c r="AO3634">
        <v>8364</v>
      </c>
      <c r="AS3634" t="s">
        <v>46499</v>
      </c>
      <c r="AT3634" t="s">
        <v>46586</v>
      </c>
      <c r="AU3634">
        <v>5.1</v>
      </c>
      <c r="AV3634" t="s">
        <v>751</v>
      </c>
      <c r="AW3634" t="s">
        <v>46862</v>
      </c>
    </row>
    <row r="3635" spans="1:49">
      <c r="A3635" s="1">
        <f>HYPERLINK("https://lsnyc.legalserver.org/matter/dynamic-profile/view/1884550","18-1884550")</f>
        <v>0</v>
      </c>
      <c r="B3635" t="s">
        <v>82</v>
      </c>
      <c r="C3635" t="s">
        <v>340</v>
      </c>
      <c r="D3635" t="s">
        <v>678</v>
      </c>
      <c r="F3635" t="s">
        <v>1062</v>
      </c>
      <c r="G3635" t="s">
        <v>6974</v>
      </c>
      <c r="H3635" t="s">
        <v>12505</v>
      </c>
      <c r="I3635">
        <v>31</v>
      </c>
      <c r="J3635" t="s">
        <v>18892</v>
      </c>
      <c r="K3635">
        <v>10468</v>
      </c>
      <c r="L3635" t="s">
        <v>18958</v>
      </c>
      <c r="M3635" t="s">
        <v>18958</v>
      </c>
      <c r="N3635" t="s">
        <v>21722</v>
      </c>
      <c r="O3635" t="s">
        <v>26523</v>
      </c>
      <c r="P3635" t="s">
        <v>26560</v>
      </c>
      <c r="R3635" t="s">
        <v>26579</v>
      </c>
      <c r="S3635" t="s">
        <v>18959</v>
      </c>
      <c r="U3635" t="s">
        <v>26604</v>
      </c>
      <c r="V3635" t="s">
        <v>26614</v>
      </c>
      <c r="W3635" t="s">
        <v>678</v>
      </c>
      <c r="X3635">
        <v>1107.38</v>
      </c>
      <c r="Y3635" t="s">
        <v>26650</v>
      </c>
      <c r="Z3635" t="s">
        <v>26661</v>
      </c>
      <c r="AB3635" t="s">
        <v>29777</v>
      </c>
      <c r="AD3635" t="s">
        <v>39881</v>
      </c>
      <c r="AE3635">
        <v>0</v>
      </c>
      <c r="AF3635" t="s">
        <v>45548</v>
      </c>
      <c r="AG3635" t="s">
        <v>45558</v>
      </c>
      <c r="AH3635">
        <v>25</v>
      </c>
      <c r="AI3635">
        <v>2</v>
      </c>
      <c r="AJ3635">
        <v>1</v>
      </c>
      <c r="AK3635">
        <v>36.27</v>
      </c>
      <c r="AN3635" t="s">
        <v>7439</v>
      </c>
      <c r="AO3635">
        <v>7536</v>
      </c>
      <c r="AU3635">
        <v>10.25</v>
      </c>
      <c r="AV3635" t="s">
        <v>697</v>
      </c>
      <c r="AW3635" t="s">
        <v>46842</v>
      </c>
    </row>
    <row r="3636" spans="1:49">
      <c r="A3636" s="1">
        <f>HYPERLINK("https://lsnyc.legalserver.org/matter/dynamic-profile/view/1884506","18-1884506")</f>
        <v>0</v>
      </c>
      <c r="B3636" t="s">
        <v>104</v>
      </c>
      <c r="C3636" t="s">
        <v>340</v>
      </c>
      <c r="D3636" t="s">
        <v>678</v>
      </c>
      <c r="F3636" t="s">
        <v>1048</v>
      </c>
      <c r="G3636" t="s">
        <v>5208</v>
      </c>
      <c r="H3636" t="s">
        <v>12506</v>
      </c>
      <c r="I3636">
        <v>142</v>
      </c>
      <c r="J3636" t="s">
        <v>18902</v>
      </c>
      <c r="K3636">
        <v>10314</v>
      </c>
      <c r="L3636" t="s">
        <v>18958</v>
      </c>
      <c r="M3636" t="s">
        <v>18958</v>
      </c>
      <c r="N3636" t="s">
        <v>21723</v>
      </c>
      <c r="O3636" t="s">
        <v>26524</v>
      </c>
      <c r="P3636" t="s">
        <v>26560</v>
      </c>
      <c r="R3636" t="s">
        <v>26590</v>
      </c>
      <c r="S3636" t="s">
        <v>18959</v>
      </c>
      <c r="U3636" t="s">
        <v>26604</v>
      </c>
      <c r="V3636" t="s">
        <v>26610</v>
      </c>
      <c r="W3636" t="s">
        <v>678</v>
      </c>
      <c r="X3636">
        <v>1800</v>
      </c>
      <c r="Y3636" t="s">
        <v>26654</v>
      </c>
      <c r="Z3636" t="s">
        <v>26668</v>
      </c>
      <c r="AB3636" t="s">
        <v>29778</v>
      </c>
      <c r="AD3636" t="s">
        <v>39882</v>
      </c>
      <c r="AE3636">
        <v>2</v>
      </c>
      <c r="AF3636" t="s">
        <v>45547</v>
      </c>
      <c r="AG3636" t="s">
        <v>45558</v>
      </c>
      <c r="AH3636">
        <v>2</v>
      </c>
      <c r="AI3636">
        <v>2</v>
      </c>
      <c r="AJ3636">
        <v>2</v>
      </c>
      <c r="AK3636">
        <v>45.67</v>
      </c>
      <c r="AN3636" t="s">
        <v>45581</v>
      </c>
      <c r="AO3636">
        <v>11464</v>
      </c>
      <c r="AU3636">
        <v>54.2</v>
      </c>
      <c r="AV3636" t="s">
        <v>835</v>
      </c>
      <c r="AW3636" t="s">
        <v>185</v>
      </c>
    </row>
    <row r="3637" spans="1:49">
      <c r="A3637" s="1">
        <f>HYPERLINK("https://lsnyc.legalserver.org/matter/dynamic-profile/view/1852557","17-1852557")</f>
        <v>0</v>
      </c>
      <c r="B3637" t="s">
        <v>69</v>
      </c>
      <c r="C3637" t="s">
        <v>341</v>
      </c>
      <c r="D3637" t="s">
        <v>686</v>
      </c>
      <c r="E3637" t="s">
        <v>786</v>
      </c>
      <c r="F3637" t="s">
        <v>2732</v>
      </c>
      <c r="G3637" t="s">
        <v>6975</v>
      </c>
      <c r="H3637" t="s">
        <v>12507</v>
      </c>
      <c r="I3637">
        <v>15</v>
      </c>
      <c r="J3637" t="s">
        <v>18892</v>
      </c>
      <c r="K3637">
        <v>10460</v>
      </c>
      <c r="L3637" t="s">
        <v>18958</v>
      </c>
      <c r="M3637" t="s">
        <v>18960</v>
      </c>
      <c r="N3637" t="s">
        <v>21724</v>
      </c>
      <c r="O3637" t="s">
        <v>26523</v>
      </c>
      <c r="P3637" t="s">
        <v>26560</v>
      </c>
      <c r="Q3637" t="s">
        <v>26568</v>
      </c>
      <c r="R3637" t="s">
        <v>26577</v>
      </c>
      <c r="S3637" t="s">
        <v>18959</v>
      </c>
      <c r="U3637" t="s">
        <v>26604</v>
      </c>
      <c r="V3637" t="s">
        <v>26609</v>
      </c>
      <c r="W3637" t="s">
        <v>687</v>
      </c>
      <c r="X3637">
        <v>1033</v>
      </c>
      <c r="Y3637" t="s">
        <v>26650</v>
      </c>
      <c r="Z3637" t="s">
        <v>26656</v>
      </c>
      <c r="AA3637" t="s">
        <v>26678</v>
      </c>
      <c r="AB3637" t="s">
        <v>29779</v>
      </c>
      <c r="AC3637" t="s">
        <v>35574</v>
      </c>
      <c r="AD3637" t="s">
        <v>39883</v>
      </c>
      <c r="AE3637">
        <v>0</v>
      </c>
      <c r="AF3637" t="s">
        <v>45541</v>
      </c>
      <c r="AG3637" t="s">
        <v>45562</v>
      </c>
      <c r="AH3637">
        <v>3</v>
      </c>
      <c r="AI3637">
        <v>1</v>
      </c>
      <c r="AJ3637">
        <v>4</v>
      </c>
      <c r="AK3637">
        <v>0</v>
      </c>
      <c r="AN3637" t="s">
        <v>7439</v>
      </c>
      <c r="AO3637">
        <v>0</v>
      </c>
      <c r="AP3637" t="s">
        <v>45620</v>
      </c>
      <c r="AS3637" t="s">
        <v>46499</v>
      </c>
      <c r="AT3637" t="s">
        <v>46545</v>
      </c>
      <c r="AU3637">
        <v>23.6</v>
      </c>
      <c r="AV3637" t="s">
        <v>739</v>
      </c>
      <c r="AW3637" t="s">
        <v>46832</v>
      </c>
    </row>
    <row r="3638" spans="1:49">
      <c r="A3638" s="1">
        <f>HYPERLINK("https://lsnyc.legalserver.org/matter/dynamic-profile/view/1852594","17-1852594")</f>
        <v>0</v>
      </c>
      <c r="B3638" t="s">
        <v>68</v>
      </c>
      <c r="C3638" t="s">
        <v>340</v>
      </c>
      <c r="D3638" t="s">
        <v>686</v>
      </c>
      <c r="F3638" t="s">
        <v>1712</v>
      </c>
      <c r="G3638" t="s">
        <v>6976</v>
      </c>
      <c r="H3638" t="s">
        <v>12508</v>
      </c>
      <c r="I3638">
        <v>8</v>
      </c>
      <c r="J3638" t="s">
        <v>18892</v>
      </c>
      <c r="K3638">
        <v>10458</v>
      </c>
      <c r="L3638" t="s">
        <v>18958</v>
      </c>
      <c r="M3638" t="s">
        <v>18960</v>
      </c>
      <c r="N3638" t="s">
        <v>21725</v>
      </c>
      <c r="O3638" t="s">
        <v>26523</v>
      </c>
      <c r="P3638" t="s">
        <v>26560</v>
      </c>
      <c r="R3638" t="s">
        <v>26577</v>
      </c>
      <c r="S3638" t="s">
        <v>18959</v>
      </c>
      <c r="U3638" t="s">
        <v>26604</v>
      </c>
      <c r="V3638" t="s">
        <v>26611</v>
      </c>
      <c r="W3638" t="s">
        <v>687</v>
      </c>
      <c r="X3638">
        <v>1702.42</v>
      </c>
      <c r="Y3638" t="s">
        <v>26650</v>
      </c>
      <c r="Z3638" t="s">
        <v>26664</v>
      </c>
      <c r="AB3638" t="s">
        <v>29206</v>
      </c>
      <c r="AC3638" t="s">
        <v>35575</v>
      </c>
      <c r="AD3638" t="s">
        <v>39884</v>
      </c>
      <c r="AE3638">
        <v>9</v>
      </c>
      <c r="AF3638" t="s">
        <v>45543</v>
      </c>
      <c r="AG3638" t="s">
        <v>45556</v>
      </c>
      <c r="AH3638">
        <v>12</v>
      </c>
      <c r="AI3638">
        <v>5</v>
      </c>
      <c r="AJ3638">
        <v>2</v>
      </c>
      <c r="AK3638">
        <v>45.62</v>
      </c>
      <c r="AN3638" t="s">
        <v>7439</v>
      </c>
      <c r="AO3638">
        <v>16944</v>
      </c>
      <c r="AP3638" t="s">
        <v>45617</v>
      </c>
      <c r="AU3638">
        <v>68.55</v>
      </c>
      <c r="AV3638" t="s">
        <v>729</v>
      </c>
      <c r="AW3638" t="s">
        <v>46848</v>
      </c>
    </row>
    <row r="3639" spans="1:49">
      <c r="A3639" s="1">
        <f>HYPERLINK("https://lsnyc.legalserver.org/matter/dynamic-profile/view/1881346","18-1881346")</f>
        <v>0</v>
      </c>
      <c r="B3639" t="s">
        <v>258</v>
      </c>
      <c r="C3639" t="s">
        <v>340</v>
      </c>
      <c r="D3639" t="s">
        <v>632</v>
      </c>
      <c r="F3639" t="s">
        <v>2733</v>
      </c>
      <c r="G3639" t="s">
        <v>1056</v>
      </c>
      <c r="H3639" t="s">
        <v>12509</v>
      </c>
      <c r="I3639" t="s">
        <v>17992</v>
      </c>
      <c r="J3639" t="s">
        <v>18901</v>
      </c>
      <c r="K3639">
        <v>11433</v>
      </c>
      <c r="L3639" t="s">
        <v>18958</v>
      </c>
      <c r="M3639" t="s">
        <v>18958</v>
      </c>
      <c r="N3639" t="s">
        <v>21726</v>
      </c>
      <c r="O3639" t="s">
        <v>26524</v>
      </c>
      <c r="P3639" t="s">
        <v>26560</v>
      </c>
      <c r="R3639" t="s">
        <v>26585</v>
      </c>
      <c r="S3639" t="s">
        <v>18959</v>
      </c>
      <c r="U3639" t="s">
        <v>26604</v>
      </c>
      <c r="V3639" t="s">
        <v>26610</v>
      </c>
      <c r="W3639" t="s">
        <v>687</v>
      </c>
      <c r="X3639">
        <v>1200</v>
      </c>
      <c r="Y3639" t="s">
        <v>26653</v>
      </c>
      <c r="Z3639" t="s">
        <v>26668</v>
      </c>
      <c r="AB3639" t="s">
        <v>29780</v>
      </c>
      <c r="AD3639" t="s">
        <v>39885</v>
      </c>
      <c r="AE3639">
        <v>2</v>
      </c>
      <c r="AF3639" t="s">
        <v>45547</v>
      </c>
      <c r="AG3639" t="s">
        <v>19330</v>
      </c>
      <c r="AH3639">
        <v>1</v>
      </c>
      <c r="AI3639">
        <v>1</v>
      </c>
      <c r="AJ3639">
        <v>1</v>
      </c>
      <c r="AK3639">
        <v>109.36</v>
      </c>
      <c r="AN3639" t="s">
        <v>7439</v>
      </c>
      <c r="AO3639">
        <v>18000</v>
      </c>
      <c r="AQ3639" t="s">
        <v>46362</v>
      </c>
      <c r="AR3639" t="s">
        <v>46381</v>
      </c>
      <c r="AS3639" t="s">
        <v>46499</v>
      </c>
      <c r="AT3639" t="s">
        <v>46651</v>
      </c>
      <c r="AU3639">
        <v>6.6</v>
      </c>
      <c r="AV3639" t="s">
        <v>740</v>
      </c>
      <c r="AW3639" t="s">
        <v>85</v>
      </c>
    </row>
    <row r="3640" spans="1:49">
      <c r="A3640" s="1">
        <f>HYPERLINK("https://lsnyc.legalserver.org/matter/dynamic-profile/view/1881953","18-1881953")</f>
        <v>0</v>
      </c>
      <c r="B3640" t="s">
        <v>72</v>
      </c>
      <c r="C3640" t="s">
        <v>340</v>
      </c>
      <c r="D3640" t="s">
        <v>645</v>
      </c>
      <c r="F3640" t="s">
        <v>887</v>
      </c>
      <c r="G3640" t="s">
        <v>5692</v>
      </c>
      <c r="H3640" t="s">
        <v>12510</v>
      </c>
      <c r="I3640" t="s">
        <v>17993</v>
      </c>
      <c r="J3640" t="s">
        <v>18893</v>
      </c>
      <c r="K3640">
        <v>10034</v>
      </c>
      <c r="L3640" t="s">
        <v>18958</v>
      </c>
      <c r="M3640" t="s">
        <v>18958</v>
      </c>
      <c r="O3640" t="s">
        <v>26523</v>
      </c>
      <c r="P3640" t="s">
        <v>26564</v>
      </c>
      <c r="R3640" t="s">
        <v>26578</v>
      </c>
      <c r="U3640" t="s">
        <v>26604</v>
      </c>
      <c r="W3640" t="s">
        <v>687</v>
      </c>
      <c r="X3640">
        <v>822.3200000000001</v>
      </c>
      <c r="Y3640" t="s">
        <v>26651</v>
      </c>
      <c r="Z3640" t="s">
        <v>26661</v>
      </c>
      <c r="AB3640" t="s">
        <v>29781</v>
      </c>
      <c r="AD3640" t="s">
        <v>39886</v>
      </c>
      <c r="AE3640">
        <v>35</v>
      </c>
      <c r="AG3640" t="s">
        <v>45556</v>
      </c>
      <c r="AH3640">
        <v>38</v>
      </c>
      <c r="AI3640">
        <v>1</v>
      </c>
      <c r="AJ3640">
        <v>0</v>
      </c>
      <c r="AK3640">
        <v>75.12</v>
      </c>
      <c r="AN3640" t="s">
        <v>45581</v>
      </c>
      <c r="AO3640">
        <v>9120</v>
      </c>
      <c r="AU3640">
        <v>0.65</v>
      </c>
      <c r="AV3640" t="s">
        <v>666</v>
      </c>
      <c r="AW3640" t="s">
        <v>46849</v>
      </c>
    </row>
    <row r="3641" spans="1:49">
      <c r="A3641" s="1">
        <f>HYPERLINK("https://lsnyc.legalserver.org/matter/dynamic-profile/view/1882546","18-1882546")</f>
        <v>0</v>
      </c>
      <c r="B3641" t="s">
        <v>72</v>
      </c>
      <c r="C3641" t="s">
        <v>341</v>
      </c>
      <c r="D3641" t="s">
        <v>646</v>
      </c>
      <c r="E3641" t="s">
        <v>768</v>
      </c>
      <c r="F3641" t="s">
        <v>871</v>
      </c>
      <c r="G3641" t="s">
        <v>6399</v>
      </c>
      <c r="H3641" t="s">
        <v>12511</v>
      </c>
      <c r="I3641">
        <v>31</v>
      </c>
      <c r="J3641" t="s">
        <v>18893</v>
      </c>
      <c r="K3641">
        <v>10034</v>
      </c>
      <c r="L3641" t="s">
        <v>18958</v>
      </c>
      <c r="M3641" t="s">
        <v>18958</v>
      </c>
      <c r="N3641" t="s">
        <v>21727</v>
      </c>
      <c r="O3641" t="s">
        <v>26523</v>
      </c>
      <c r="P3641" t="s">
        <v>26564</v>
      </c>
      <c r="Q3641" t="s">
        <v>26570</v>
      </c>
      <c r="R3641" t="s">
        <v>26578</v>
      </c>
      <c r="S3641" t="s">
        <v>18959</v>
      </c>
      <c r="U3641" t="s">
        <v>26604</v>
      </c>
      <c r="V3641" t="s">
        <v>26610</v>
      </c>
      <c r="W3641" t="s">
        <v>687</v>
      </c>
      <c r="X3641">
        <v>984.99</v>
      </c>
      <c r="Y3641" t="s">
        <v>26651</v>
      </c>
      <c r="Z3641" t="s">
        <v>26664</v>
      </c>
      <c r="AA3641" t="s">
        <v>26683</v>
      </c>
      <c r="AB3641" t="s">
        <v>28443</v>
      </c>
      <c r="AD3641" t="s">
        <v>39887</v>
      </c>
      <c r="AE3641">
        <v>42</v>
      </c>
      <c r="AF3641" t="s">
        <v>45541</v>
      </c>
      <c r="AG3641" t="s">
        <v>26530</v>
      </c>
      <c r="AH3641">
        <v>16</v>
      </c>
      <c r="AI3641">
        <v>1</v>
      </c>
      <c r="AJ3641">
        <v>0</v>
      </c>
      <c r="AK3641">
        <v>38.55</v>
      </c>
      <c r="AM3641" t="s">
        <v>45575</v>
      </c>
      <c r="AN3641" t="s">
        <v>45581</v>
      </c>
      <c r="AO3641">
        <v>4680</v>
      </c>
      <c r="AU3641">
        <v>0.35</v>
      </c>
      <c r="AV3641" t="s">
        <v>747</v>
      </c>
      <c r="AW3641" t="s">
        <v>317</v>
      </c>
    </row>
    <row r="3642" spans="1:49">
      <c r="A3642" s="1">
        <f>HYPERLINK("https://lsnyc.legalserver.org/matter/dynamic-profile/view/1884623","18-1884623")</f>
        <v>0</v>
      </c>
      <c r="B3642" t="s">
        <v>72</v>
      </c>
      <c r="C3642" t="s">
        <v>341</v>
      </c>
      <c r="D3642" t="s">
        <v>678</v>
      </c>
      <c r="E3642" t="s">
        <v>739</v>
      </c>
      <c r="F3642" t="s">
        <v>1292</v>
      </c>
      <c r="G3642" t="s">
        <v>6977</v>
      </c>
      <c r="H3642" t="s">
        <v>12512</v>
      </c>
      <c r="I3642" t="s">
        <v>17274</v>
      </c>
      <c r="J3642" t="s">
        <v>18893</v>
      </c>
      <c r="K3642">
        <v>10034</v>
      </c>
      <c r="L3642" t="s">
        <v>18958</v>
      </c>
      <c r="M3642" t="s">
        <v>18958</v>
      </c>
      <c r="P3642" t="s">
        <v>26565</v>
      </c>
      <c r="Q3642" t="s">
        <v>26571</v>
      </c>
      <c r="R3642" t="s">
        <v>26578</v>
      </c>
      <c r="S3642" t="s">
        <v>18959</v>
      </c>
      <c r="U3642" t="s">
        <v>26604</v>
      </c>
      <c r="W3642" t="s">
        <v>687</v>
      </c>
      <c r="X3642">
        <v>1050</v>
      </c>
      <c r="Y3642" t="s">
        <v>26651</v>
      </c>
      <c r="Z3642" t="s">
        <v>26661</v>
      </c>
      <c r="AA3642" t="s">
        <v>26682</v>
      </c>
      <c r="AB3642" t="s">
        <v>29782</v>
      </c>
      <c r="AE3642">
        <v>0</v>
      </c>
      <c r="AF3642" t="s">
        <v>45553</v>
      </c>
      <c r="AG3642" t="s">
        <v>19330</v>
      </c>
      <c r="AH3642">
        <v>20</v>
      </c>
      <c r="AI3642">
        <v>1</v>
      </c>
      <c r="AJ3642">
        <v>0</v>
      </c>
      <c r="AK3642">
        <v>266</v>
      </c>
      <c r="AN3642" t="s">
        <v>7439</v>
      </c>
      <c r="AO3642">
        <v>32292</v>
      </c>
      <c r="AU3642">
        <v>0.1</v>
      </c>
      <c r="AV3642" t="s">
        <v>739</v>
      </c>
      <c r="AW3642" t="s">
        <v>46840</v>
      </c>
    </row>
    <row r="3643" spans="1:49">
      <c r="A3643" s="1">
        <f>HYPERLINK("https://lsnyc.legalserver.org/matter/dynamic-profile/view/1884631","18-1884631")</f>
        <v>0</v>
      </c>
      <c r="B3643" t="s">
        <v>96</v>
      </c>
      <c r="C3643" t="s">
        <v>341</v>
      </c>
      <c r="D3643" t="s">
        <v>687</v>
      </c>
      <c r="E3643" t="s">
        <v>807</v>
      </c>
      <c r="F3643" t="s">
        <v>2734</v>
      </c>
      <c r="G3643" t="s">
        <v>6978</v>
      </c>
      <c r="H3643" t="s">
        <v>12513</v>
      </c>
      <c r="I3643" t="s">
        <v>17389</v>
      </c>
      <c r="J3643" t="s">
        <v>18892</v>
      </c>
      <c r="K3643">
        <v>10457</v>
      </c>
      <c r="L3643" t="s">
        <v>18958</v>
      </c>
      <c r="M3643" t="s">
        <v>18958</v>
      </c>
      <c r="N3643" t="s">
        <v>21728</v>
      </c>
      <c r="O3643" t="s">
        <v>26523</v>
      </c>
      <c r="P3643" t="s">
        <v>26560</v>
      </c>
      <c r="Q3643" t="s">
        <v>26568</v>
      </c>
      <c r="R3643" t="s">
        <v>26579</v>
      </c>
      <c r="U3643" t="s">
        <v>26604</v>
      </c>
      <c r="V3643" t="s">
        <v>26610</v>
      </c>
      <c r="W3643" t="s">
        <v>687</v>
      </c>
      <c r="X3643">
        <v>702</v>
      </c>
      <c r="Y3643" t="s">
        <v>26650</v>
      </c>
      <c r="Z3643" t="s">
        <v>26664</v>
      </c>
      <c r="AA3643" t="s">
        <v>26678</v>
      </c>
      <c r="AB3643" t="s">
        <v>29783</v>
      </c>
      <c r="AC3643" t="s">
        <v>35576</v>
      </c>
      <c r="AD3643" t="s">
        <v>39888</v>
      </c>
      <c r="AE3643">
        <v>51</v>
      </c>
      <c r="AF3643" t="s">
        <v>45541</v>
      </c>
      <c r="AG3643" t="s">
        <v>45562</v>
      </c>
      <c r="AH3643">
        <v>1</v>
      </c>
      <c r="AI3643">
        <v>1</v>
      </c>
      <c r="AJ3643">
        <v>2</v>
      </c>
      <c r="AK3643">
        <v>70.09999999999999</v>
      </c>
      <c r="AN3643" t="s">
        <v>7439</v>
      </c>
      <c r="AO3643">
        <v>14566</v>
      </c>
      <c r="AQ3643" t="s">
        <v>46362</v>
      </c>
      <c r="AR3643" t="s">
        <v>46380</v>
      </c>
      <c r="AS3643" t="s">
        <v>46499</v>
      </c>
      <c r="AT3643" t="s">
        <v>46714</v>
      </c>
      <c r="AU3643">
        <v>5.7</v>
      </c>
      <c r="AV3643" t="s">
        <v>753</v>
      </c>
      <c r="AW3643" t="s">
        <v>334</v>
      </c>
    </row>
    <row r="3644" spans="1:49">
      <c r="A3644" s="1">
        <f>HYPERLINK("https://lsnyc.legalserver.org/matter/dynamic-profile/view/1884630","18-1884630")</f>
        <v>0</v>
      </c>
      <c r="B3644" t="s">
        <v>53</v>
      </c>
      <c r="C3644" t="s">
        <v>341</v>
      </c>
      <c r="D3644" t="s">
        <v>687</v>
      </c>
      <c r="E3644" t="s">
        <v>806</v>
      </c>
      <c r="F3644" t="s">
        <v>1136</v>
      </c>
      <c r="G3644" t="s">
        <v>5311</v>
      </c>
      <c r="H3644" t="s">
        <v>12514</v>
      </c>
      <c r="I3644" t="s">
        <v>17360</v>
      </c>
      <c r="J3644" t="s">
        <v>18892</v>
      </c>
      <c r="K3644">
        <v>10467</v>
      </c>
      <c r="L3644" t="s">
        <v>18958</v>
      </c>
      <c r="M3644" t="s">
        <v>18958</v>
      </c>
      <c r="N3644" t="s">
        <v>21729</v>
      </c>
      <c r="O3644" t="s">
        <v>26523</v>
      </c>
      <c r="P3644" t="s">
        <v>26560</v>
      </c>
      <c r="Q3644" t="s">
        <v>26568</v>
      </c>
      <c r="R3644" t="s">
        <v>26579</v>
      </c>
      <c r="S3644" t="s">
        <v>18959</v>
      </c>
      <c r="U3644" t="s">
        <v>26604</v>
      </c>
      <c r="V3644" t="s">
        <v>26610</v>
      </c>
      <c r="W3644" t="s">
        <v>687</v>
      </c>
      <c r="X3644">
        <v>1980</v>
      </c>
      <c r="Y3644" t="s">
        <v>26650</v>
      </c>
      <c r="Z3644" t="s">
        <v>26664</v>
      </c>
      <c r="AA3644" t="s">
        <v>26678</v>
      </c>
      <c r="AB3644" t="s">
        <v>29784</v>
      </c>
      <c r="AC3644" t="s">
        <v>35577</v>
      </c>
      <c r="AD3644" t="s">
        <v>39889</v>
      </c>
      <c r="AE3644">
        <v>23</v>
      </c>
      <c r="AF3644" t="s">
        <v>45541</v>
      </c>
      <c r="AG3644" t="s">
        <v>45557</v>
      </c>
      <c r="AH3644">
        <v>1</v>
      </c>
      <c r="AI3644">
        <v>2</v>
      </c>
      <c r="AJ3644">
        <v>3</v>
      </c>
      <c r="AK3644">
        <v>40.79</v>
      </c>
      <c r="AN3644" t="s">
        <v>7439</v>
      </c>
      <c r="AO3644">
        <v>12000</v>
      </c>
      <c r="AQ3644" t="s">
        <v>46362</v>
      </c>
      <c r="AR3644" t="s">
        <v>46385</v>
      </c>
      <c r="AS3644" t="s">
        <v>46499</v>
      </c>
      <c r="AT3644" t="s">
        <v>46686</v>
      </c>
      <c r="AU3644">
        <v>7.6</v>
      </c>
      <c r="AV3644" t="s">
        <v>806</v>
      </c>
      <c r="AW3644" t="s">
        <v>334</v>
      </c>
    </row>
    <row r="3645" spans="1:49">
      <c r="A3645" s="1">
        <f>HYPERLINK("https://lsnyc.legalserver.org/matter/dynamic-profile/view/1884744","18-1884744")</f>
        <v>0</v>
      </c>
      <c r="B3645" t="s">
        <v>258</v>
      </c>
      <c r="C3645" t="s">
        <v>341</v>
      </c>
      <c r="D3645" t="s">
        <v>687</v>
      </c>
      <c r="E3645" t="s">
        <v>414</v>
      </c>
      <c r="F3645" t="s">
        <v>898</v>
      </c>
      <c r="G3645" t="s">
        <v>5103</v>
      </c>
      <c r="H3645" t="s">
        <v>12515</v>
      </c>
      <c r="I3645" t="s">
        <v>17276</v>
      </c>
      <c r="J3645" t="s">
        <v>18915</v>
      </c>
      <c r="K3645">
        <v>11372</v>
      </c>
      <c r="L3645" t="s">
        <v>18958</v>
      </c>
      <c r="M3645" t="s">
        <v>18958</v>
      </c>
      <c r="N3645" t="s">
        <v>21730</v>
      </c>
      <c r="O3645" t="s">
        <v>26523</v>
      </c>
      <c r="P3645" t="s">
        <v>26564</v>
      </c>
      <c r="Q3645" t="s">
        <v>26570</v>
      </c>
      <c r="R3645" t="s">
        <v>26584</v>
      </c>
      <c r="S3645" t="s">
        <v>18959</v>
      </c>
      <c r="U3645" t="s">
        <v>26604</v>
      </c>
      <c r="V3645" t="s">
        <v>26609</v>
      </c>
      <c r="W3645" t="s">
        <v>687</v>
      </c>
      <c r="X3645">
        <v>1113</v>
      </c>
      <c r="Y3645" t="s">
        <v>26653</v>
      </c>
      <c r="Z3645" t="s">
        <v>26664</v>
      </c>
      <c r="AA3645" t="s">
        <v>26678</v>
      </c>
      <c r="AB3645" t="s">
        <v>27678</v>
      </c>
      <c r="AC3645" t="s">
        <v>35578</v>
      </c>
      <c r="AD3645" t="s">
        <v>39890</v>
      </c>
      <c r="AE3645">
        <v>6</v>
      </c>
      <c r="AF3645" t="s">
        <v>45541</v>
      </c>
      <c r="AG3645" t="s">
        <v>19330</v>
      </c>
      <c r="AH3645">
        <v>15</v>
      </c>
      <c r="AI3645">
        <v>3</v>
      </c>
      <c r="AJ3645">
        <v>0</v>
      </c>
      <c r="AK3645">
        <v>74.67</v>
      </c>
      <c r="AN3645" t="s">
        <v>7439</v>
      </c>
      <c r="AO3645">
        <v>15516</v>
      </c>
      <c r="AU3645">
        <v>2.77</v>
      </c>
      <c r="AV3645" t="s">
        <v>414</v>
      </c>
      <c r="AW3645" t="s">
        <v>122</v>
      </c>
    </row>
    <row r="3646" spans="1:49">
      <c r="A3646" s="1">
        <f>HYPERLINK("https://lsnyc.legalserver.org/matter/dynamic-profile/view/1884698","18-1884698")</f>
        <v>0</v>
      </c>
      <c r="B3646" t="s">
        <v>212</v>
      </c>
      <c r="C3646" t="s">
        <v>341</v>
      </c>
      <c r="D3646" t="s">
        <v>687</v>
      </c>
      <c r="E3646" t="s">
        <v>494</v>
      </c>
      <c r="F3646" t="s">
        <v>2735</v>
      </c>
      <c r="G3646" t="s">
        <v>5419</v>
      </c>
      <c r="H3646" t="s">
        <v>12516</v>
      </c>
      <c r="J3646" t="s">
        <v>18919</v>
      </c>
      <c r="K3646">
        <v>11429</v>
      </c>
      <c r="L3646" t="s">
        <v>18958</v>
      </c>
      <c r="M3646" t="s">
        <v>18958</v>
      </c>
      <c r="N3646" t="s">
        <v>21731</v>
      </c>
      <c r="O3646" t="s">
        <v>26524</v>
      </c>
      <c r="P3646" t="s">
        <v>26564</v>
      </c>
      <c r="Q3646" t="s">
        <v>26570</v>
      </c>
      <c r="R3646" t="s">
        <v>26578</v>
      </c>
      <c r="S3646" t="s">
        <v>18959</v>
      </c>
      <c r="U3646" t="s">
        <v>26604</v>
      </c>
      <c r="V3646" t="s">
        <v>26610</v>
      </c>
      <c r="W3646" t="s">
        <v>687</v>
      </c>
      <c r="X3646">
        <v>811.14</v>
      </c>
      <c r="Y3646" t="s">
        <v>26653</v>
      </c>
      <c r="Z3646" t="s">
        <v>26664</v>
      </c>
      <c r="AA3646" t="s">
        <v>26683</v>
      </c>
      <c r="AB3646" t="s">
        <v>27685</v>
      </c>
      <c r="AD3646" t="s">
        <v>39891</v>
      </c>
      <c r="AE3646">
        <v>20</v>
      </c>
      <c r="AF3646" t="s">
        <v>20460</v>
      </c>
      <c r="AG3646" t="s">
        <v>19330</v>
      </c>
      <c r="AH3646">
        <v>5</v>
      </c>
      <c r="AI3646">
        <v>1</v>
      </c>
      <c r="AJ3646">
        <v>0</v>
      </c>
      <c r="AK3646">
        <v>192.43</v>
      </c>
      <c r="AN3646" t="s">
        <v>7439</v>
      </c>
      <c r="AO3646">
        <v>23361.29</v>
      </c>
      <c r="AU3646">
        <v>0.7</v>
      </c>
      <c r="AV3646" t="s">
        <v>494</v>
      </c>
      <c r="AW3646" t="s">
        <v>208</v>
      </c>
    </row>
    <row r="3647" spans="1:49">
      <c r="A3647" s="1">
        <f>HYPERLINK("https://lsnyc.legalserver.org/matter/dynamic-profile/view/1884779","18-1884779")</f>
        <v>0</v>
      </c>
      <c r="B3647" t="s">
        <v>141</v>
      </c>
      <c r="C3647" t="s">
        <v>341</v>
      </c>
      <c r="D3647" t="s">
        <v>687</v>
      </c>
      <c r="E3647" t="s">
        <v>519</v>
      </c>
      <c r="F3647" t="s">
        <v>2736</v>
      </c>
      <c r="G3647" t="s">
        <v>5177</v>
      </c>
      <c r="H3647" t="s">
        <v>12517</v>
      </c>
      <c r="I3647" t="s">
        <v>17415</v>
      </c>
      <c r="J3647" t="s">
        <v>18896</v>
      </c>
      <c r="K3647">
        <v>11419</v>
      </c>
      <c r="L3647" t="s">
        <v>18958</v>
      </c>
      <c r="M3647" t="s">
        <v>18958</v>
      </c>
      <c r="N3647" t="s">
        <v>21732</v>
      </c>
      <c r="O3647" t="s">
        <v>26524</v>
      </c>
      <c r="P3647" t="s">
        <v>26564</v>
      </c>
      <c r="Q3647" t="s">
        <v>26570</v>
      </c>
      <c r="R3647" t="s">
        <v>26578</v>
      </c>
      <c r="S3647" t="s">
        <v>18959</v>
      </c>
      <c r="U3647" t="s">
        <v>26604</v>
      </c>
      <c r="V3647" t="s">
        <v>26611</v>
      </c>
      <c r="W3647" t="s">
        <v>687</v>
      </c>
      <c r="X3647">
        <v>1400</v>
      </c>
      <c r="Y3647" t="s">
        <v>26653</v>
      </c>
      <c r="Z3647" t="s">
        <v>26664</v>
      </c>
      <c r="AA3647" t="s">
        <v>26683</v>
      </c>
      <c r="AB3647" t="s">
        <v>29785</v>
      </c>
      <c r="AC3647" t="s">
        <v>35579</v>
      </c>
      <c r="AD3647" t="s">
        <v>39892</v>
      </c>
      <c r="AE3647">
        <v>2</v>
      </c>
      <c r="AF3647" t="s">
        <v>45547</v>
      </c>
      <c r="AG3647" t="s">
        <v>19330</v>
      </c>
      <c r="AH3647">
        <v>3</v>
      </c>
      <c r="AI3647">
        <v>2</v>
      </c>
      <c r="AJ3647">
        <v>0</v>
      </c>
      <c r="AK3647">
        <v>18.06</v>
      </c>
      <c r="AN3647" t="s">
        <v>7439</v>
      </c>
      <c r="AO3647">
        <v>2973</v>
      </c>
      <c r="AU3647">
        <v>2.7</v>
      </c>
      <c r="AV3647" t="s">
        <v>519</v>
      </c>
      <c r="AW3647" t="s">
        <v>141</v>
      </c>
    </row>
    <row r="3648" spans="1:49">
      <c r="A3648" s="1">
        <f>HYPERLINK("https://lsnyc.legalserver.org/matter/dynamic-profile/view/1884648","18-1884648")</f>
        <v>0</v>
      </c>
      <c r="B3648" t="s">
        <v>54</v>
      </c>
      <c r="C3648" t="s">
        <v>341</v>
      </c>
      <c r="D3648" t="s">
        <v>687</v>
      </c>
      <c r="E3648" t="s">
        <v>809</v>
      </c>
      <c r="F3648" t="s">
        <v>2737</v>
      </c>
      <c r="G3648" t="s">
        <v>5269</v>
      </c>
      <c r="H3648" t="s">
        <v>11921</v>
      </c>
      <c r="I3648" t="s">
        <v>17585</v>
      </c>
      <c r="J3648" t="s">
        <v>18892</v>
      </c>
      <c r="K3648">
        <v>10455</v>
      </c>
      <c r="L3648" t="s">
        <v>18958</v>
      </c>
      <c r="M3648" t="s">
        <v>18958</v>
      </c>
      <c r="N3648" t="s">
        <v>21733</v>
      </c>
      <c r="O3648" t="s">
        <v>26523</v>
      </c>
      <c r="P3648" t="s">
        <v>26560</v>
      </c>
      <c r="Q3648" t="s">
        <v>26568</v>
      </c>
      <c r="R3648" t="s">
        <v>26577</v>
      </c>
      <c r="S3648" t="s">
        <v>18959</v>
      </c>
      <c r="U3648" t="s">
        <v>26604</v>
      </c>
      <c r="V3648" t="s">
        <v>26612</v>
      </c>
      <c r="W3648" t="s">
        <v>687</v>
      </c>
      <c r="X3648">
        <v>1829</v>
      </c>
      <c r="Y3648" t="s">
        <v>26650</v>
      </c>
      <c r="Z3648" t="s">
        <v>26663</v>
      </c>
      <c r="AA3648" t="s">
        <v>26678</v>
      </c>
      <c r="AB3648" t="s">
        <v>29786</v>
      </c>
      <c r="AC3648" t="s">
        <v>35580</v>
      </c>
      <c r="AD3648" t="s">
        <v>39893</v>
      </c>
      <c r="AE3648">
        <v>480</v>
      </c>
      <c r="AF3648" t="s">
        <v>45541</v>
      </c>
      <c r="AG3648" t="s">
        <v>45557</v>
      </c>
      <c r="AH3648">
        <v>5</v>
      </c>
      <c r="AI3648">
        <v>1</v>
      </c>
      <c r="AJ3648">
        <v>4</v>
      </c>
      <c r="AK3648">
        <v>67.45</v>
      </c>
      <c r="AN3648" t="s">
        <v>7439</v>
      </c>
      <c r="AO3648">
        <v>19844.4</v>
      </c>
      <c r="AQ3648" t="s">
        <v>46365</v>
      </c>
      <c r="AR3648" t="s">
        <v>46474</v>
      </c>
      <c r="AS3648" t="s">
        <v>46499</v>
      </c>
      <c r="AT3648" t="s">
        <v>46677</v>
      </c>
      <c r="AU3648">
        <v>10.2</v>
      </c>
      <c r="AV3648" t="s">
        <v>659</v>
      </c>
      <c r="AW3648" t="s">
        <v>313</v>
      </c>
    </row>
    <row r="3649" spans="1:49">
      <c r="A3649" s="1">
        <f>HYPERLINK("https://lsnyc.legalserver.org/matter/dynamic-profile/view/1884690","18-1884690")</f>
        <v>0</v>
      </c>
      <c r="B3649" t="s">
        <v>54</v>
      </c>
      <c r="C3649" t="s">
        <v>341</v>
      </c>
      <c r="D3649" t="s">
        <v>687</v>
      </c>
      <c r="E3649" t="s">
        <v>744</v>
      </c>
      <c r="F3649" t="s">
        <v>948</v>
      </c>
      <c r="G3649" t="s">
        <v>5570</v>
      </c>
      <c r="H3649" t="s">
        <v>12518</v>
      </c>
      <c r="I3649" t="s">
        <v>17994</v>
      </c>
      <c r="J3649" t="s">
        <v>18892</v>
      </c>
      <c r="K3649">
        <v>10462</v>
      </c>
      <c r="L3649" t="s">
        <v>18958</v>
      </c>
      <c r="M3649" t="s">
        <v>18958</v>
      </c>
      <c r="N3649" t="s">
        <v>21734</v>
      </c>
      <c r="O3649" t="s">
        <v>26523</v>
      </c>
      <c r="P3649" t="s">
        <v>26560</v>
      </c>
      <c r="Q3649" t="s">
        <v>26568</v>
      </c>
      <c r="R3649" t="s">
        <v>26579</v>
      </c>
      <c r="S3649" t="s">
        <v>18959</v>
      </c>
      <c r="U3649" t="s">
        <v>26604</v>
      </c>
      <c r="V3649" t="s">
        <v>26610</v>
      </c>
      <c r="W3649" t="s">
        <v>687</v>
      </c>
      <c r="X3649">
        <v>1900</v>
      </c>
      <c r="Y3649" t="s">
        <v>26650</v>
      </c>
      <c r="Z3649" t="s">
        <v>26668</v>
      </c>
      <c r="AA3649" t="s">
        <v>26678</v>
      </c>
      <c r="AB3649" t="s">
        <v>29787</v>
      </c>
      <c r="AC3649" t="s">
        <v>35581</v>
      </c>
      <c r="AD3649" t="s">
        <v>39894</v>
      </c>
      <c r="AE3649">
        <v>61</v>
      </c>
      <c r="AF3649" t="s">
        <v>45541</v>
      </c>
      <c r="AG3649" t="s">
        <v>45561</v>
      </c>
      <c r="AH3649">
        <v>10</v>
      </c>
      <c r="AI3649">
        <v>1</v>
      </c>
      <c r="AJ3649">
        <v>0</v>
      </c>
      <c r="AK3649">
        <v>37.36</v>
      </c>
      <c r="AN3649" t="s">
        <v>7439</v>
      </c>
      <c r="AO3649">
        <v>4536</v>
      </c>
      <c r="AQ3649" t="s">
        <v>46362</v>
      </c>
      <c r="AR3649" t="s">
        <v>46380</v>
      </c>
      <c r="AS3649" t="s">
        <v>46499</v>
      </c>
      <c r="AT3649" t="s">
        <v>46756</v>
      </c>
      <c r="AU3649">
        <v>4.1</v>
      </c>
      <c r="AV3649" t="s">
        <v>744</v>
      </c>
      <c r="AW3649" t="s">
        <v>336</v>
      </c>
    </row>
    <row r="3650" spans="1:49">
      <c r="A3650" s="1">
        <f>HYPERLINK("https://lsnyc.legalserver.org/matter/dynamic-profile/view/1884650","18-1884650")</f>
        <v>0</v>
      </c>
      <c r="B3650" t="s">
        <v>221</v>
      </c>
      <c r="C3650" t="s">
        <v>341</v>
      </c>
      <c r="D3650" t="s">
        <v>687</v>
      </c>
      <c r="E3650" t="s">
        <v>494</v>
      </c>
      <c r="F3650" t="s">
        <v>1754</v>
      </c>
      <c r="G3650" t="s">
        <v>6979</v>
      </c>
      <c r="H3650" t="s">
        <v>12519</v>
      </c>
      <c r="I3650" t="s">
        <v>17416</v>
      </c>
      <c r="J3650" t="s">
        <v>18896</v>
      </c>
      <c r="K3650">
        <v>11419</v>
      </c>
      <c r="L3650" t="s">
        <v>18958</v>
      </c>
      <c r="M3650" t="s">
        <v>18958</v>
      </c>
      <c r="N3650" t="s">
        <v>21735</v>
      </c>
      <c r="O3650" t="s">
        <v>26523</v>
      </c>
      <c r="P3650" t="s">
        <v>26564</v>
      </c>
      <c r="Q3650" t="s">
        <v>26570</v>
      </c>
      <c r="R3650" t="s">
        <v>26584</v>
      </c>
      <c r="S3650" t="s">
        <v>18959</v>
      </c>
      <c r="U3650" t="s">
        <v>26604</v>
      </c>
      <c r="V3650" t="s">
        <v>26610</v>
      </c>
      <c r="W3650" t="s">
        <v>687</v>
      </c>
      <c r="X3650">
        <v>850</v>
      </c>
      <c r="Y3650" t="s">
        <v>26653</v>
      </c>
      <c r="Z3650" t="s">
        <v>26664</v>
      </c>
      <c r="AA3650" t="s">
        <v>26683</v>
      </c>
      <c r="AB3650" t="s">
        <v>29788</v>
      </c>
      <c r="AC3650" t="s">
        <v>35582</v>
      </c>
      <c r="AD3650" t="s">
        <v>39895</v>
      </c>
      <c r="AE3650">
        <v>2</v>
      </c>
      <c r="AF3650" t="s">
        <v>45547</v>
      </c>
      <c r="AH3650">
        <v>1</v>
      </c>
      <c r="AI3650">
        <v>2</v>
      </c>
      <c r="AJ3650">
        <v>1</v>
      </c>
      <c r="AK3650">
        <v>0</v>
      </c>
      <c r="AN3650" t="s">
        <v>7439</v>
      </c>
      <c r="AO3650">
        <v>0</v>
      </c>
      <c r="AU3650">
        <v>2</v>
      </c>
      <c r="AV3650" t="s">
        <v>687</v>
      </c>
      <c r="AW3650" t="s">
        <v>161</v>
      </c>
    </row>
    <row r="3651" spans="1:49">
      <c r="A3651" s="1">
        <f>HYPERLINK("https://lsnyc.legalserver.org/matter/dynamic-profile/view/1884638","18-1884638")</f>
        <v>0</v>
      </c>
      <c r="B3651" t="s">
        <v>96</v>
      </c>
      <c r="C3651" t="s">
        <v>340</v>
      </c>
      <c r="D3651" t="s">
        <v>687</v>
      </c>
      <c r="F3651" t="s">
        <v>2738</v>
      </c>
      <c r="G3651" t="s">
        <v>6980</v>
      </c>
      <c r="H3651" t="s">
        <v>12520</v>
      </c>
      <c r="I3651" t="s">
        <v>17352</v>
      </c>
      <c r="J3651" t="s">
        <v>18892</v>
      </c>
      <c r="K3651">
        <v>10468</v>
      </c>
      <c r="L3651" t="s">
        <v>18958</v>
      </c>
      <c r="M3651" t="s">
        <v>18958</v>
      </c>
      <c r="N3651" t="s">
        <v>21736</v>
      </c>
      <c r="O3651" t="s">
        <v>26523</v>
      </c>
      <c r="P3651" t="s">
        <v>26560</v>
      </c>
      <c r="R3651" t="s">
        <v>26579</v>
      </c>
      <c r="U3651" t="s">
        <v>26604</v>
      </c>
      <c r="V3651" t="s">
        <v>26610</v>
      </c>
      <c r="W3651" t="s">
        <v>687</v>
      </c>
      <c r="X3651">
        <v>1382</v>
      </c>
      <c r="Y3651" t="s">
        <v>26650</v>
      </c>
      <c r="Z3651" t="s">
        <v>26664</v>
      </c>
      <c r="AB3651" t="s">
        <v>27841</v>
      </c>
      <c r="AC3651" t="s">
        <v>35583</v>
      </c>
      <c r="AD3651" t="s">
        <v>39896</v>
      </c>
      <c r="AE3651">
        <v>72</v>
      </c>
      <c r="AF3651" t="s">
        <v>45541</v>
      </c>
      <c r="AG3651" t="s">
        <v>45557</v>
      </c>
      <c r="AH3651">
        <v>20</v>
      </c>
      <c r="AI3651">
        <v>1</v>
      </c>
      <c r="AJ3651">
        <v>2</v>
      </c>
      <c r="AK3651">
        <v>39.33</v>
      </c>
      <c r="AN3651" t="s">
        <v>7439</v>
      </c>
      <c r="AO3651">
        <v>8172</v>
      </c>
      <c r="AU3651">
        <v>3.8</v>
      </c>
      <c r="AV3651" t="s">
        <v>752</v>
      </c>
      <c r="AW3651" t="s">
        <v>334</v>
      </c>
    </row>
    <row r="3652" spans="1:49">
      <c r="A3652" s="1">
        <f>HYPERLINK("https://lsnyc.legalserver.org/matter/dynamic-profile/view/1884664","18-1884664")</f>
        <v>0</v>
      </c>
      <c r="B3652" t="s">
        <v>96</v>
      </c>
      <c r="C3652" t="s">
        <v>340</v>
      </c>
      <c r="D3652" t="s">
        <v>687</v>
      </c>
      <c r="F3652" t="s">
        <v>2739</v>
      </c>
      <c r="G3652" t="s">
        <v>4029</v>
      </c>
      <c r="H3652" t="s">
        <v>12018</v>
      </c>
      <c r="I3652" t="s">
        <v>17278</v>
      </c>
      <c r="J3652" t="s">
        <v>18892</v>
      </c>
      <c r="K3652">
        <v>10457</v>
      </c>
      <c r="L3652" t="s">
        <v>18958</v>
      </c>
      <c r="M3652" t="s">
        <v>18958</v>
      </c>
      <c r="N3652" t="s">
        <v>21737</v>
      </c>
      <c r="O3652" t="s">
        <v>26523</v>
      </c>
      <c r="P3652" t="s">
        <v>26560</v>
      </c>
      <c r="R3652" t="s">
        <v>26579</v>
      </c>
      <c r="U3652" t="s">
        <v>26604</v>
      </c>
      <c r="V3652" t="s">
        <v>26610</v>
      </c>
      <c r="W3652" t="s">
        <v>687</v>
      </c>
      <c r="X3652">
        <v>936</v>
      </c>
      <c r="Y3652" t="s">
        <v>26650</v>
      </c>
      <c r="Z3652" t="s">
        <v>26664</v>
      </c>
      <c r="AB3652" t="s">
        <v>28227</v>
      </c>
      <c r="AD3652" t="s">
        <v>39897</v>
      </c>
      <c r="AE3652">
        <v>0</v>
      </c>
      <c r="AF3652" t="s">
        <v>45541</v>
      </c>
      <c r="AH3652">
        <v>14</v>
      </c>
      <c r="AI3652">
        <v>1</v>
      </c>
      <c r="AJ3652">
        <v>1</v>
      </c>
      <c r="AK3652">
        <v>189.55</v>
      </c>
      <c r="AO3652">
        <v>31200</v>
      </c>
      <c r="AU3652">
        <v>3.4</v>
      </c>
      <c r="AV3652" t="s">
        <v>752</v>
      </c>
      <c r="AW3652" t="s">
        <v>334</v>
      </c>
    </row>
    <row r="3653" spans="1:49">
      <c r="A3653" s="1">
        <f>HYPERLINK("https://lsnyc.legalserver.org/matter/dynamic-profile/view/1884674","18-1884674")</f>
        <v>0</v>
      </c>
      <c r="B3653" t="s">
        <v>70</v>
      </c>
      <c r="C3653" t="s">
        <v>340</v>
      </c>
      <c r="D3653" t="s">
        <v>687</v>
      </c>
      <c r="F3653" t="s">
        <v>2740</v>
      </c>
      <c r="G3653" t="s">
        <v>6981</v>
      </c>
      <c r="H3653" t="s">
        <v>10983</v>
      </c>
      <c r="I3653" t="s">
        <v>17374</v>
      </c>
      <c r="J3653" t="s">
        <v>18892</v>
      </c>
      <c r="K3653">
        <v>10468</v>
      </c>
      <c r="L3653" t="s">
        <v>18958</v>
      </c>
      <c r="M3653" t="s">
        <v>18958</v>
      </c>
      <c r="N3653" t="s">
        <v>21738</v>
      </c>
      <c r="O3653" t="s">
        <v>26524</v>
      </c>
      <c r="P3653" t="s">
        <v>26560</v>
      </c>
      <c r="R3653" t="s">
        <v>26579</v>
      </c>
      <c r="S3653" t="s">
        <v>18959</v>
      </c>
      <c r="U3653" t="s">
        <v>26604</v>
      </c>
      <c r="V3653" t="s">
        <v>26610</v>
      </c>
      <c r="W3653" t="s">
        <v>687</v>
      </c>
      <c r="X3653">
        <v>700</v>
      </c>
      <c r="Y3653" t="s">
        <v>26650</v>
      </c>
      <c r="Z3653" t="s">
        <v>26664</v>
      </c>
      <c r="AB3653" t="s">
        <v>29789</v>
      </c>
      <c r="AC3653" t="s">
        <v>19045</v>
      </c>
      <c r="AE3653">
        <v>36</v>
      </c>
      <c r="AF3653" t="s">
        <v>20460</v>
      </c>
      <c r="AG3653" t="s">
        <v>19330</v>
      </c>
      <c r="AH3653">
        <v>-1</v>
      </c>
      <c r="AI3653">
        <v>1</v>
      </c>
      <c r="AJ3653">
        <v>0</v>
      </c>
      <c r="AK3653">
        <v>0</v>
      </c>
      <c r="AN3653" t="s">
        <v>7439</v>
      </c>
      <c r="AO3653">
        <v>0</v>
      </c>
      <c r="AU3653">
        <v>10.1</v>
      </c>
      <c r="AV3653" t="s">
        <v>821</v>
      </c>
      <c r="AW3653" t="s">
        <v>334</v>
      </c>
    </row>
    <row r="3654" spans="1:49">
      <c r="A3654" s="1">
        <f>HYPERLINK("https://lsnyc.legalserver.org/matter/dynamic-profile/view/1884739","18-1884739")</f>
        <v>0</v>
      </c>
      <c r="B3654" t="s">
        <v>169</v>
      </c>
      <c r="C3654" t="s">
        <v>340</v>
      </c>
      <c r="D3654" t="s">
        <v>687</v>
      </c>
      <c r="F3654" t="s">
        <v>1771</v>
      </c>
      <c r="G3654" t="s">
        <v>5147</v>
      </c>
      <c r="H3654" t="s">
        <v>10746</v>
      </c>
      <c r="I3654" t="s">
        <v>17995</v>
      </c>
      <c r="J3654" t="s">
        <v>18892</v>
      </c>
      <c r="K3654">
        <v>10457</v>
      </c>
      <c r="L3654" t="s">
        <v>18958</v>
      </c>
      <c r="M3654" t="s">
        <v>18958</v>
      </c>
      <c r="O3654" t="s">
        <v>26537</v>
      </c>
      <c r="P3654" t="s">
        <v>26565</v>
      </c>
      <c r="R3654" t="s">
        <v>26578</v>
      </c>
      <c r="S3654" t="s">
        <v>18959</v>
      </c>
      <c r="U3654" t="s">
        <v>26606</v>
      </c>
      <c r="W3654" t="s">
        <v>687</v>
      </c>
      <c r="X3654">
        <v>227</v>
      </c>
      <c r="Y3654" t="s">
        <v>26650</v>
      </c>
      <c r="Z3654" t="s">
        <v>26659</v>
      </c>
      <c r="AB3654" t="s">
        <v>29465</v>
      </c>
      <c r="AD3654" t="s">
        <v>39898</v>
      </c>
      <c r="AE3654">
        <v>47</v>
      </c>
      <c r="AF3654" t="s">
        <v>45541</v>
      </c>
      <c r="AG3654" t="s">
        <v>45556</v>
      </c>
      <c r="AH3654">
        <v>25</v>
      </c>
      <c r="AI3654">
        <v>1</v>
      </c>
      <c r="AJ3654">
        <v>0</v>
      </c>
      <c r="AK3654">
        <v>75.81999999999999</v>
      </c>
      <c r="AN3654" t="s">
        <v>45581</v>
      </c>
      <c r="AO3654">
        <v>9204</v>
      </c>
      <c r="AP3654" t="s">
        <v>45795</v>
      </c>
      <c r="AU3654">
        <v>1</v>
      </c>
      <c r="AV3654" t="s">
        <v>801</v>
      </c>
      <c r="AW3654" t="s">
        <v>46847</v>
      </c>
    </row>
    <row r="3655" spans="1:49">
      <c r="A3655" s="1">
        <f>HYPERLINK("https://lsnyc.legalserver.org/matter/dynamic-profile/view/1884673","18-1884673")</f>
        <v>0</v>
      </c>
      <c r="B3655" t="s">
        <v>147</v>
      </c>
      <c r="C3655" t="s">
        <v>340</v>
      </c>
      <c r="D3655" t="s">
        <v>687</v>
      </c>
      <c r="F3655" t="s">
        <v>1587</v>
      </c>
      <c r="G3655" t="s">
        <v>5987</v>
      </c>
      <c r="H3655" t="s">
        <v>12521</v>
      </c>
      <c r="I3655" t="s">
        <v>17390</v>
      </c>
      <c r="J3655" t="s">
        <v>18894</v>
      </c>
      <c r="K3655">
        <v>11236</v>
      </c>
      <c r="L3655" t="s">
        <v>18958</v>
      </c>
      <c r="M3655" t="s">
        <v>18958</v>
      </c>
      <c r="N3655" t="s">
        <v>21739</v>
      </c>
      <c r="O3655" t="s">
        <v>26532</v>
      </c>
      <c r="P3655" t="s">
        <v>26561</v>
      </c>
      <c r="R3655" t="s">
        <v>26578</v>
      </c>
      <c r="S3655" t="s">
        <v>18959</v>
      </c>
      <c r="U3655" t="s">
        <v>26604</v>
      </c>
      <c r="W3655" t="s">
        <v>687</v>
      </c>
      <c r="X3655">
        <v>1289.69</v>
      </c>
      <c r="Y3655" t="s">
        <v>26652</v>
      </c>
      <c r="Z3655" t="s">
        <v>26659</v>
      </c>
      <c r="AB3655" t="s">
        <v>29790</v>
      </c>
      <c r="AC3655" t="s">
        <v>35584</v>
      </c>
      <c r="AD3655" t="s">
        <v>39899</v>
      </c>
      <c r="AE3655">
        <v>37</v>
      </c>
      <c r="AF3655" t="s">
        <v>45541</v>
      </c>
      <c r="AG3655" t="s">
        <v>45556</v>
      </c>
      <c r="AH3655">
        <v>5</v>
      </c>
      <c r="AI3655">
        <v>1</v>
      </c>
      <c r="AJ3655">
        <v>0</v>
      </c>
      <c r="AK3655">
        <v>129.93</v>
      </c>
      <c r="AN3655" t="s">
        <v>7439</v>
      </c>
      <c r="AO3655">
        <v>15774</v>
      </c>
      <c r="AU3655">
        <v>58.3</v>
      </c>
      <c r="AV3655" t="s">
        <v>838</v>
      </c>
      <c r="AW3655" t="s">
        <v>46856</v>
      </c>
    </row>
    <row r="3656" spans="1:49">
      <c r="A3656" s="1">
        <f>HYPERLINK("https://lsnyc.legalserver.org/matter/dynamic-profile/view/1884677","18-1884677")</f>
        <v>0</v>
      </c>
      <c r="B3656" t="s">
        <v>147</v>
      </c>
      <c r="C3656" t="s">
        <v>340</v>
      </c>
      <c r="D3656" t="s">
        <v>687</v>
      </c>
      <c r="F3656" t="s">
        <v>1587</v>
      </c>
      <c r="G3656" t="s">
        <v>5987</v>
      </c>
      <c r="H3656" t="s">
        <v>12521</v>
      </c>
      <c r="I3656" t="s">
        <v>17390</v>
      </c>
      <c r="J3656" t="s">
        <v>18894</v>
      </c>
      <c r="K3656">
        <v>11236</v>
      </c>
      <c r="L3656" t="s">
        <v>18958</v>
      </c>
      <c r="M3656" t="s">
        <v>18958</v>
      </c>
      <c r="O3656" t="s">
        <v>26537</v>
      </c>
      <c r="P3656" t="s">
        <v>26562</v>
      </c>
      <c r="R3656" t="s">
        <v>26578</v>
      </c>
      <c r="S3656" t="s">
        <v>18959</v>
      </c>
      <c r="U3656" t="s">
        <v>26604</v>
      </c>
      <c r="W3656" t="s">
        <v>687</v>
      </c>
      <c r="X3656">
        <v>1289.69</v>
      </c>
      <c r="Y3656" t="s">
        <v>26652</v>
      </c>
      <c r="Z3656" t="s">
        <v>26659</v>
      </c>
      <c r="AB3656" t="s">
        <v>29790</v>
      </c>
      <c r="AC3656" t="s">
        <v>35584</v>
      </c>
      <c r="AD3656" t="s">
        <v>39899</v>
      </c>
      <c r="AE3656">
        <v>37</v>
      </c>
      <c r="AF3656" t="s">
        <v>45541</v>
      </c>
      <c r="AG3656" t="s">
        <v>45556</v>
      </c>
      <c r="AH3656">
        <v>5</v>
      </c>
      <c r="AI3656">
        <v>1</v>
      </c>
      <c r="AJ3656">
        <v>0</v>
      </c>
      <c r="AK3656">
        <v>129.93</v>
      </c>
      <c r="AN3656" t="s">
        <v>7439</v>
      </c>
      <c r="AO3656">
        <v>15774</v>
      </c>
      <c r="AR3656" t="s">
        <v>46410</v>
      </c>
      <c r="AS3656" t="s">
        <v>46499</v>
      </c>
      <c r="AT3656" t="s">
        <v>46713</v>
      </c>
      <c r="AU3656">
        <v>17.1</v>
      </c>
      <c r="AV3656" t="s">
        <v>672</v>
      </c>
      <c r="AW3656" t="s">
        <v>46856</v>
      </c>
    </row>
    <row r="3657" spans="1:49">
      <c r="A3657" s="1">
        <f>HYPERLINK("https://lsnyc.legalserver.org/matter/dynamic-profile/view/1883688","18-1883688")</f>
        <v>0</v>
      </c>
      <c r="B3657" t="s">
        <v>153</v>
      </c>
      <c r="C3657" t="s">
        <v>340</v>
      </c>
      <c r="D3657" t="s">
        <v>687</v>
      </c>
      <c r="F3657" t="s">
        <v>2741</v>
      </c>
      <c r="G3657" t="s">
        <v>6982</v>
      </c>
      <c r="H3657" t="s">
        <v>12522</v>
      </c>
      <c r="I3657" t="s">
        <v>17436</v>
      </c>
      <c r="J3657" t="s">
        <v>18902</v>
      </c>
      <c r="K3657">
        <v>10301</v>
      </c>
      <c r="L3657" t="s">
        <v>18958</v>
      </c>
      <c r="M3657" t="s">
        <v>18958</v>
      </c>
      <c r="N3657" t="s">
        <v>21740</v>
      </c>
      <c r="O3657" t="s">
        <v>26523</v>
      </c>
      <c r="P3657" t="s">
        <v>26560</v>
      </c>
      <c r="R3657" t="s">
        <v>26578</v>
      </c>
      <c r="S3657" t="s">
        <v>18958</v>
      </c>
      <c r="U3657" t="s">
        <v>26604</v>
      </c>
      <c r="V3657" t="s">
        <v>26611</v>
      </c>
      <c r="W3657" t="s">
        <v>687</v>
      </c>
      <c r="X3657">
        <v>1825</v>
      </c>
      <c r="Y3657" t="s">
        <v>26654</v>
      </c>
      <c r="Z3657" t="s">
        <v>26668</v>
      </c>
      <c r="AB3657" t="s">
        <v>29791</v>
      </c>
      <c r="AC3657" t="s">
        <v>35585</v>
      </c>
      <c r="AD3657" t="s">
        <v>39900</v>
      </c>
      <c r="AE3657">
        <v>60</v>
      </c>
      <c r="AF3657" t="s">
        <v>45541</v>
      </c>
      <c r="AH3657">
        <v>13</v>
      </c>
      <c r="AI3657">
        <v>1</v>
      </c>
      <c r="AJ3657">
        <v>0</v>
      </c>
      <c r="AK3657">
        <v>38.57</v>
      </c>
      <c r="AN3657" t="s">
        <v>7439</v>
      </c>
      <c r="AO3657">
        <v>4683</v>
      </c>
      <c r="AU3657">
        <v>25.4</v>
      </c>
      <c r="AV3657" t="s">
        <v>820</v>
      </c>
      <c r="AW3657" t="s">
        <v>316</v>
      </c>
    </row>
    <row r="3658" spans="1:49">
      <c r="A3658" s="1">
        <f>HYPERLINK("https://lsnyc.legalserver.org/matter/dynamic-profile/view/1884654","18-1884654")</f>
        <v>0</v>
      </c>
      <c r="B3658" t="s">
        <v>82</v>
      </c>
      <c r="C3658" t="s">
        <v>340</v>
      </c>
      <c r="D3658" t="s">
        <v>687</v>
      </c>
      <c r="F3658" t="s">
        <v>1332</v>
      </c>
      <c r="G3658" t="s">
        <v>6983</v>
      </c>
      <c r="H3658" t="s">
        <v>12523</v>
      </c>
      <c r="I3658" t="s">
        <v>17275</v>
      </c>
      <c r="J3658" t="s">
        <v>18892</v>
      </c>
      <c r="K3658">
        <v>10458</v>
      </c>
      <c r="L3658" t="s">
        <v>18958</v>
      </c>
      <c r="M3658" t="s">
        <v>18958</v>
      </c>
      <c r="N3658" t="s">
        <v>21741</v>
      </c>
      <c r="O3658" t="s">
        <v>26523</v>
      </c>
      <c r="P3658" t="s">
        <v>26560</v>
      </c>
      <c r="R3658" t="s">
        <v>26577</v>
      </c>
      <c r="U3658" t="s">
        <v>26604</v>
      </c>
      <c r="V3658" t="s">
        <v>26610</v>
      </c>
      <c r="W3658" t="s">
        <v>687</v>
      </c>
      <c r="X3658">
        <v>1104.45</v>
      </c>
      <c r="Y3658" t="s">
        <v>26650</v>
      </c>
      <c r="Z3658" t="s">
        <v>26668</v>
      </c>
      <c r="AB3658" t="s">
        <v>29792</v>
      </c>
      <c r="AD3658" t="s">
        <v>39901</v>
      </c>
      <c r="AE3658">
        <v>0</v>
      </c>
      <c r="AF3658" t="s">
        <v>45541</v>
      </c>
      <c r="AG3658" t="s">
        <v>45556</v>
      </c>
      <c r="AH3658">
        <v>11</v>
      </c>
      <c r="AI3658">
        <v>3</v>
      </c>
      <c r="AJ3658">
        <v>1</v>
      </c>
      <c r="AK3658">
        <v>110.01</v>
      </c>
      <c r="AN3658" t="s">
        <v>45581</v>
      </c>
      <c r="AO3658">
        <v>27612</v>
      </c>
      <c r="AU3658">
        <v>5.3</v>
      </c>
      <c r="AV3658" t="s">
        <v>791</v>
      </c>
      <c r="AW3658" t="s">
        <v>334</v>
      </c>
    </row>
    <row r="3659" spans="1:49">
      <c r="A3659" s="1">
        <f>HYPERLINK("https://lsnyc.legalserver.org/matter/dynamic-profile/view/1884633","18-1884633")</f>
        <v>0</v>
      </c>
      <c r="B3659" t="s">
        <v>82</v>
      </c>
      <c r="C3659" t="s">
        <v>340</v>
      </c>
      <c r="D3659" t="s">
        <v>687</v>
      </c>
      <c r="F3659" t="s">
        <v>2742</v>
      </c>
      <c r="G3659" t="s">
        <v>6984</v>
      </c>
      <c r="H3659" t="s">
        <v>12524</v>
      </c>
      <c r="I3659" t="s">
        <v>17309</v>
      </c>
      <c r="J3659" t="s">
        <v>18892</v>
      </c>
      <c r="K3659">
        <v>10468</v>
      </c>
      <c r="L3659" t="s">
        <v>18958</v>
      </c>
      <c r="M3659" t="s">
        <v>18958</v>
      </c>
      <c r="N3659" t="s">
        <v>21742</v>
      </c>
      <c r="O3659" t="s">
        <v>26523</v>
      </c>
      <c r="P3659" t="s">
        <v>26560</v>
      </c>
      <c r="R3659" t="s">
        <v>26579</v>
      </c>
      <c r="S3659" t="s">
        <v>18959</v>
      </c>
      <c r="U3659" t="s">
        <v>26604</v>
      </c>
      <c r="V3659" t="s">
        <v>26610</v>
      </c>
      <c r="W3659" t="s">
        <v>687</v>
      </c>
      <c r="X3659">
        <v>1060</v>
      </c>
      <c r="Y3659" t="s">
        <v>26650</v>
      </c>
      <c r="Z3659" t="s">
        <v>26664</v>
      </c>
      <c r="AB3659" t="s">
        <v>29793</v>
      </c>
      <c r="AC3659" t="s">
        <v>35586</v>
      </c>
      <c r="AD3659" t="s">
        <v>39902</v>
      </c>
      <c r="AE3659">
        <v>0</v>
      </c>
      <c r="AF3659" t="s">
        <v>45548</v>
      </c>
      <c r="AG3659" t="s">
        <v>45557</v>
      </c>
      <c r="AH3659">
        <v>5</v>
      </c>
      <c r="AI3659">
        <v>1</v>
      </c>
      <c r="AJ3659">
        <v>2</v>
      </c>
      <c r="AK3659">
        <v>80.08</v>
      </c>
      <c r="AN3659" t="s">
        <v>45581</v>
      </c>
      <c r="AO3659">
        <v>16640</v>
      </c>
      <c r="AU3659">
        <v>6</v>
      </c>
      <c r="AV3659" t="s">
        <v>801</v>
      </c>
      <c r="AW3659" t="s">
        <v>46836</v>
      </c>
    </row>
    <row r="3660" spans="1:49">
      <c r="A3660" s="1">
        <f>HYPERLINK("https://lsnyc.legalserver.org/matter/dynamic-profile/view/1884675","18-1884675")</f>
        <v>0</v>
      </c>
      <c r="B3660" t="s">
        <v>82</v>
      </c>
      <c r="C3660" t="s">
        <v>340</v>
      </c>
      <c r="D3660" t="s">
        <v>687</v>
      </c>
      <c r="F3660" t="s">
        <v>1366</v>
      </c>
      <c r="G3660" t="s">
        <v>5008</v>
      </c>
      <c r="H3660" t="s">
        <v>11402</v>
      </c>
      <c r="I3660" t="s">
        <v>17776</v>
      </c>
      <c r="J3660" t="s">
        <v>18892</v>
      </c>
      <c r="K3660">
        <v>10457</v>
      </c>
      <c r="L3660" t="s">
        <v>18958</v>
      </c>
      <c r="M3660" t="s">
        <v>18958</v>
      </c>
      <c r="N3660" t="s">
        <v>21743</v>
      </c>
      <c r="O3660" t="s">
        <v>26523</v>
      </c>
      <c r="P3660" t="s">
        <v>26560</v>
      </c>
      <c r="R3660" t="s">
        <v>26579</v>
      </c>
      <c r="U3660" t="s">
        <v>26604</v>
      </c>
      <c r="V3660" t="s">
        <v>26610</v>
      </c>
      <c r="W3660" t="s">
        <v>687</v>
      </c>
      <c r="X3660">
        <v>1165</v>
      </c>
      <c r="Y3660" t="s">
        <v>26650</v>
      </c>
      <c r="AB3660" t="s">
        <v>28602</v>
      </c>
      <c r="AD3660" t="s">
        <v>38656</v>
      </c>
      <c r="AE3660">
        <v>0</v>
      </c>
      <c r="AF3660" t="s">
        <v>45541</v>
      </c>
      <c r="AG3660" t="s">
        <v>19330</v>
      </c>
      <c r="AH3660">
        <v>6</v>
      </c>
      <c r="AI3660">
        <v>2</v>
      </c>
      <c r="AJ3660">
        <v>0</v>
      </c>
      <c r="AK3660">
        <v>236.94</v>
      </c>
      <c r="AL3660" t="s">
        <v>787</v>
      </c>
      <c r="AM3660" t="s">
        <v>45575</v>
      </c>
      <c r="AN3660" t="s">
        <v>7439</v>
      </c>
      <c r="AO3660">
        <v>39000</v>
      </c>
      <c r="AP3660" t="s">
        <v>45641</v>
      </c>
      <c r="AU3660">
        <v>0</v>
      </c>
      <c r="AW3660" t="s">
        <v>46836</v>
      </c>
    </row>
    <row r="3661" spans="1:49">
      <c r="A3661" s="1">
        <f>HYPERLINK("https://lsnyc.legalserver.org/matter/dynamic-profile/view/1884683","18-1884683")</f>
        <v>0</v>
      </c>
      <c r="B3661" t="s">
        <v>54</v>
      </c>
      <c r="C3661" t="s">
        <v>340</v>
      </c>
      <c r="D3661" t="s">
        <v>687</v>
      </c>
      <c r="F3661" t="s">
        <v>1577</v>
      </c>
      <c r="G3661" t="s">
        <v>3283</v>
      </c>
      <c r="H3661" t="s">
        <v>12525</v>
      </c>
      <c r="I3661" t="s">
        <v>17445</v>
      </c>
      <c r="J3661" t="s">
        <v>18892</v>
      </c>
      <c r="K3661">
        <v>10453</v>
      </c>
      <c r="L3661" t="s">
        <v>18958</v>
      </c>
      <c r="M3661" t="s">
        <v>18958</v>
      </c>
      <c r="N3661" t="s">
        <v>21744</v>
      </c>
      <c r="O3661" t="s">
        <v>26523</v>
      </c>
      <c r="P3661" t="s">
        <v>26560</v>
      </c>
      <c r="R3661" t="s">
        <v>26577</v>
      </c>
      <c r="S3661" t="s">
        <v>18959</v>
      </c>
      <c r="U3661" t="s">
        <v>26604</v>
      </c>
      <c r="V3661" t="s">
        <v>26610</v>
      </c>
      <c r="W3661" t="s">
        <v>687</v>
      </c>
      <c r="X3661">
        <v>900.16</v>
      </c>
      <c r="Y3661" t="s">
        <v>26650</v>
      </c>
      <c r="Z3661" t="s">
        <v>26664</v>
      </c>
      <c r="AB3661" t="s">
        <v>29794</v>
      </c>
      <c r="AC3661" t="s">
        <v>35587</v>
      </c>
      <c r="AD3661" t="s">
        <v>39903</v>
      </c>
      <c r="AE3661">
        <v>72</v>
      </c>
      <c r="AF3661" t="s">
        <v>45541</v>
      </c>
      <c r="AG3661" t="s">
        <v>45559</v>
      </c>
      <c r="AH3661">
        <v>36</v>
      </c>
      <c r="AI3661">
        <v>4</v>
      </c>
      <c r="AJ3661">
        <v>0</v>
      </c>
      <c r="AK3661">
        <v>197.15</v>
      </c>
      <c r="AN3661" t="s">
        <v>7439</v>
      </c>
      <c r="AO3661">
        <v>49484</v>
      </c>
      <c r="AQ3661" t="s">
        <v>46362</v>
      </c>
      <c r="AR3661" t="s">
        <v>46383</v>
      </c>
      <c r="AS3661" t="s">
        <v>46499</v>
      </c>
      <c r="AT3661" t="s">
        <v>46674</v>
      </c>
      <c r="AU3661">
        <v>14.4</v>
      </c>
      <c r="AV3661" t="s">
        <v>797</v>
      </c>
      <c r="AW3661" t="s">
        <v>46832</v>
      </c>
    </row>
    <row r="3662" spans="1:49">
      <c r="A3662" s="1">
        <f>HYPERLINK("https://lsnyc.legalserver.org/matter/dynamic-profile/view/1884710","18-1884710")</f>
        <v>0</v>
      </c>
      <c r="B3662" t="s">
        <v>221</v>
      </c>
      <c r="C3662" t="s">
        <v>340</v>
      </c>
      <c r="D3662" t="s">
        <v>687</v>
      </c>
      <c r="F3662" t="s">
        <v>2743</v>
      </c>
      <c r="G3662" t="s">
        <v>5103</v>
      </c>
      <c r="H3662" t="s">
        <v>12526</v>
      </c>
      <c r="I3662" t="s">
        <v>17491</v>
      </c>
      <c r="J3662" t="s">
        <v>18899</v>
      </c>
      <c r="K3662">
        <v>11385</v>
      </c>
      <c r="L3662" t="s">
        <v>18958</v>
      </c>
      <c r="M3662" t="s">
        <v>18958</v>
      </c>
      <c r="N3662" t="s">
        <v>21745</v>
      </c>
      <c r="O3662" t="s">
        <v>26523</v>
      </c>
      <c r="P3662" t="s">
        <v>26564</v>
      </c>
      <c r="R3662" t="s">
        <v>26585</v>
      </c>
      <c r="S3662" t="s">
        <v>18959</v>
      </c>
      <c r="U3662" t="s">
        <v>26604</v>
      </c>
      <c r="W3662" t="s">
        <v>687</v>
      </c>
      <c r="X3662">
        <v>2000</v>
      </c>
      <c r="Y3662" t="s">
        <v>26653</v>
      </c>
      <c r="Z3662" t="s">
        <v>26664</v>
      </c>
      <c r="AB3662" t="s">
        <v>27835</v>
      </c>
      <c r="AD3662" t="s">
        <v>39904</v>
      </c>
      <c r="AE3662">
        <v>3</v>
      </c>
      <c r="AF3662" t="s">
        <v>20460</v>
      </c>
      <c r="AG3662" t="s">
        <v>19330</v>
      </c>
      <c r="AH3662">
        <v>1</v>
      </c>
      <c r="AI3662">
        <v>1</v>
      </c>
      <c r="AJ3662">
        <v>0</v>
      </c>
      <c r="AK3662">
        <v>79.08</v>
      </c>
      <c r="AN3662" t="s">
        <v>7439</v>
      </c>
      <c r="AO3662">
        <v>9600</v>
      </c>
      <c r="AU3662">
        <v>9.5</v>
      </c>
      <c r="AV3662" t="s">
        <v>685</v>
      </c>
      <c r="AW3662" t="s">
        <v>208</v>
      </c>
    </row>
    <row r="3663" spans="1:49">
      <c r="A3663" s="1">
        <f>HYPERLINK("https://lsnyc.legalserver.org/matter/dynamic-profile/view/1851528","17-1851528")</f>
        <v>0</v>
      </c>
      <c r="B3663" t="s">
        <v>272</v>
      </c>
      <c r="C3663" t="s">
        <v>341</v>
      </c>
      <c r="D3663" t="s">
        <v>663</v>
      </c>
      <c r="E3663" t="s">
        <v>408</v>
      </c>
      <c r="F3663" t="s">
        <v>1401</v>
      </c>
      <c r="G3663" t="s">
        <v>6985</v>
      </c>
      <c r="H3663" t="s">
        <v>12527</v>
      </c>
      <c r="I3663">
        <v>2</v>
      </c>
      <c r="J3663" t="s">
        <v>18894</v>
      </c>
      <c r="K3663">
        <v>11207</v>
      </c>
      <c r="L3663" t="s">
        <v>18958</v>
      </c>
      <c r="M3663" t="s">
        <v>18958</v>
      </c>
      <c r="O3663" t="s">
        <v>18997</v>
      </c>
      <c r="P3663" t="s">
        <v>26564</v>
      </c>
      <c r="Q3663" t="s">
        <v>26570</v>
      </c>
      <c r="R3663" t="s">
        <v>26578</v>
      </c>
      <c r="S3663" t="s">
        <v>18959</v>
      </c>
      <c r="U3663" t="s">
        <v>26604</v>
      </c>
      <c r="W3663" t="s">
        <v>682</v>
      </c>
      <c r="X3663">
        <v>1750</v>
      </c>
      <c r="Y3663" t="s">
        <v>26652</v>
      </c>
      <c r="Z3663" t="s">
        <v>26659</v>
      </c>
      <c r="AA3663" t="s">
        <v>26683</v>
      </c>
      <c r="AB3663" t="s">
        <v>29795</v>
      </c>
      <c r="AD3663" t="s">
        <v>39905</v>
      </c>
      <c r="AE3663">
        <v>2</v>
      </c>
      <c r="AF3663" t="s">
        <v>20460</v>
      </c>
      <c r="AG3663" t="s">
        <v>45556</v>
      </c>
      <c r="AH3663">
        <v>18</v>
      </c>
      <c r="AI3663">
        <v>1</v>
      </c>
      <c r="AJ3663">
        <v>0</v>
      </c>
      <c r="AK3663">
        <v>98.51000000000001</v>
      </c>
      <c r="AN3663" t="s">
        <v>7439</v>
      </c>
      <c r="AO3663">
        <v>11880</v>
      </c>
      <c r="AP3663" t="s">
        <v>45649</v>
      </c>
      <c r="AU3663">
        <v>1</v>
      </c>
      <c r="AV3663" t="s">
        <v>46819</v>
      </c>
      <c r="AW3663" t="s">
        <v>46841</v>
      </c>
    </row>
    <row r="3664" spans="1:49">
      <c r="A3664" s="1">
        <f>HYPERLINK("https://lsnyc.legalserver.org/matter/dynamic-profile/view/1884762","18-1884762")</f>
        <v>0</v>
      </c>
      <c r="B3664" t="s">
        <v>189</v>
      </c>
      <c r="C3664" t="s">
        <v>341</v>
      </c>
      <c r="D3664" t="s">
        <v>675</v>
      </c>
      <c r="E3664" t="s">
        <v>682</v>
      </c>
      <c r="F3664" t="s">
        <v>2744</v>
      </c>
      <c r="G3664" t="s">
        <v>5147</v>
      </c>
      <c r="H3664" t="s">
        <v>12528</v>
      </c>
      <c r="I3664" t="s">
        <v>17527</v>
      </c>
      <c r="J3664" t="s">
        <v>18892</v>
      </c>
      <c r="K3664">
        <v>10452</v>
      </c>
      <c r="L3664" t="s">
        <v>18958</v>
      </c>
      <c r="M3664" t="s">
        <v>18958</v>
      </c>
      <c r="O3664" t="s">
        <v>26526</v>
      </c>
      <c r="P3664" t="s">
        <v>26564</v>
      </c>
      <c r="Q3664" t="s">
        <v>26570</v>
      </c>
      <c r="R3664" t="s">
        <v>26578</v>
      </c>
      <c r="S3664" t="s">
        <v>18959</v>
      </c>
      <c r="U3664" t="s">
        <v>26604</v>
      </c>
      <c r="W3664" t="s">
        <v>682</v>
      </c>
      <c r="X3664">
        <v>1037</v>
      </c>
      <c r="Y3664" t="s">
        <v>26650</v>
      </c>
      <c r="Z3664" t="s">
        <v>26663</v>
      </c>
      <c r="AA3664" t="s">
        <v>26683</v>
      </c>
      <c r="AB3664" t="s">
        <v>28181</v>
      </c>
      <c r="AD3664" t="s">
        <v>39906</v>
      </c>
      <c r="AE3664">
        <v>0</v>
      </c>
      <c r="AF3664" t="s">
        <v>45541</v>
      </c>
      <c r="AG3664" t="s">
        <v>45557</v>
      </c>
      <c r="AH3664">
        <v>5</v>
      </c>
      <c r="AI3664">
        <v>1</v>
      </c>
      <c r="AJ3664">
        <v>3</v>
      </c>
      <c r="AK3664">
        <v>26.39</v>
      </c>
      <c r="AN3664" t="s">
        <v>7439</v>
      </c>
      <c r="AO3664">
        <v>6624</v>
      </c>
      <c r="AU3664">
        <v>0.25</v>
      </c>
      <c r="AV3664" t="s">
        <v>682</v>
      </c>
      <c r="AW3664" t="s">
        <v>336</v>
      </c>
    </row>
    <row r="3665" spans="1:50">
      <c r="A3665" s="1">
        <f>HYPERLINK("https://lsnyc.legalserver.org/matter/dynamic-profile/view/1884797","18-1884797")</f>
        <v>0</v>
      </c>
      <c r="B3665" t="s">
        <v>189</v>
      </c>
      <c r="C3665" t="s">
        <v>341</v>
      </c>
      <c r="D3665" t="s">
        <v>675</v>
      </c>
      <c r="E3665" t="s">
        <v>682</v>
      </c>
      <c r="F3665" t="s">
        <v>1417</v>
      </c>
      <c r="G3665" t="s">
        <v>6986</v>
      </c>
      <c r="H3665" t="s">
        <v>12529</v>
      </c>
      <c r="I3665" t="s">
        <v>17996</v>
      </c>
      <c r="J3665" t="s">
        <v>18892</v>
      </c>
      <c r="K3665">
        <v>10451</v>
      </c>
      <c r="L3665" t="s">
        <v>18958</v>
      </c>
      <c r="M3665" t="s">
        <v>18958</v>
      </c>
      <c r="O3665" t="s">
        <v>18997</v>
      </c>
      <c r="P3665" t="s">
        <v>26564</v>
      </c>
      <c r="Q3665" t="s">
        <v>26570</v>
      </c>
      <c r="R3665" t="s">
        <v>26578</v>
      </c>
      <c r="U3665" t="s">
        <v>26604</v>
      </c>
      <c r="V3665" t="s">
        <v>26610</v>
      </c>
      <c r="W3665" t="s">
        <v>682</v>
      </c>
      <c r="X3665">
        <v>502</v>
      </c>
      <c r="Y3665" t="s">
        <v>26650</v>
      </c>
      <c r="Z3665" t="s">
        <v>26663</v>
      </c>
      <c r="AA3665" t="s">
        <v>26683</v>
      </c>
      <c r="AB3665" t="s">
        <v>29796</v>
      </c>
      <c r="AD3665" t="s">
        <v>39907</v>
      </c>
      <c r="AE3665">
        <v>298</v>
      </c>
      <c r="AF3665" t="s">
        <v>45543</v>
      </c>
      <c r="AG3665" t="s">
        <v>19330</v>
      </c>
      <c r="AH3665">
        <v>0</v>
      </c>
      <c r="AI3665">
        <v>1</v>
      </c>
      <c r="AJ3665">
        <v>0</v>
      </c>
      <c r="AK3665">
        <v>81.84999999999999</v>
      </c>
      <c r="AN3665" t="s">
        <v>7439</v>
      </c>
      <c r="AO3665">
        <v>9936</v>
      </c>
      <c r="AU3665">
        <v>0.25</v>
      </c>
      <c r="AV3665" t="s">
        <v>682</v>
      </c>
      <c r="AW3665" t="s">
        <v>336</v>
      </c>
    </row>
    <row r="3666" spans="1:50">
      <c r="A3666" s="1">
        <f>HYPERLINK("https://lsnyc.legalserver.org/matter/dynamic-profile/view/1884755","18-1884755")</f>
        <v>0</v>
      </c>
      <c r="B3666" t="s">
        <v>189</v>
      </c>
      <c r="C3666" t="s">
        <v>341</v>
      </c>
      <c r="D3666" t="s">
        <v>675</v>
      </c>
      <c r="E3666" t="s">
        <v>682</v>
      </c>
      <c r="F3666" t="s">
        <v>1063</v>
      </c>
      <c r="G3666" t="s">
        <v>5147</v>
      </c>
      <c r="H3666" t="s">
        <v>12530</v>
      </c>
      <c r="I3666" t="s">
        <v>17389</v>
      </c>
      <c r="J3666" t="s">
        <v>18892</v>
      </c>
      <c r="K3666">
        <v>10451</v>
      </c>
      <c r="L3666" t="s">
        <v>18958</v>
      </c>
      <c r="M3666" t="s">
        <v>18958</v>
      </c>
      <c r="O3666" t="s">
        <v>26523</v>
      </c>
      <c r="P3666" t="s">
        <v>26564</v>
      </c>
      <c r="Q3666" t="s">
        <v>26570</v>
      </c>
      <c r="R3666" t="s">
        <v>26578</v>
      </c>
      <c r="S3666" t="s">
        <v>18959</v>
      </c>
      <c r="U3666" t="s">
        <v>26604</v>
      </c>
      <c r="W3666" t="s">
        <v>682</v>
      </c>
      <c r="X3666">
        <v>793</v>
      </c>
      <c r="Y3666" t="s">
        <v>26650</v>
      </c>
      <c r="Z3666" t="s">
        <v>26663</v>
      </c>
      <c r="AA3666" t="s">
        <v>26683</v>
      </c>
      <c r="AB3666" t="s">
        <v>28840</v>
      </c>
      <c r="AD3666" t="s">
        <v>39908</v>
      </c>
      <c r="AE3666">
        <v>0</v>
      </c>
      <c r="AF3666" t="s">
        <v>45541</v>
      </c>
      <c r="AG3666" t="s">
        <v>19330</v>
      </c>
      <c r="AH3666">
        <v>9</v>
      </c>
      <c r="AI3666">
        <v>1</v>
      </c>
      <c r="AJ3666">
        <v>0</v>
      </c>
      <c r="AK3666">
        <v>103.79</v>
      </c>
      <c r="AN3666" t="s">
        <v>45581</v>
      </c>
      <c r="AO3666">
        <v>12600</v>
      </c>
      <c r="AU3666">
        <v>0.25</v>
      </c>
      <c r="AV3666" t="s">
        <v>682</v>
      </c>
      <c r="AW3666" t="s">
        <v>336</v>
      </c>
    </row>
    <row r="3667" spans="1:50">
      <c r="A3667" s="1">
        <f>HYPERLINK("https://lsnyc.legalserver.org/matter/dynamic-profile/view/1884494","18-1884494")</f>
        <v>0</v>
      </c>
      <c r="B3667" t="s">
        <v>57</v>
      </c>
      <c r="C3667" t="s">
        <v>341</v>
      </c>
      <c r="D3667" t="s">
        <v>678</v>
      </c>
      <c r="E3667" t="s">
        <v>692</v>
      </c>
      <c r="F3667" t="s">
        <v>1767</v>
      </c>
      <c r="G3667" t="s">
        <v>6987</v>
      </c>
      <c r="H3667" t="s">
        <v>12531</v>
      </c>
      <c r="I3667" t="s">
        <v>17379</v>
      </c>
      <c r="J3667" t="s">
        <v>18894</v>
      </c>
      <c r="K3667">
        <v>11238</v>
      </c>
      <c r="L3667" t="s">
        <v>18958</v>
      </c>
      <c r="M3667" t="s">
        <v>18958</v>
      </c>
      <c r="N3667" t="s">
        <v>21746</v>
      </c>
      <c r="O3667" t="s">
        <v>26523</v>
      </c>
      <c r="P3667" t="s">
        <v>26564</v>
      </c>
      <c r="Q3667" t="s">
        <v>26570</v>
      </c>
      <c r="R3667" t="s">
        <v>26578</v>
      </c>
      <c r="S3667" t="s">
        <v>18959</v>
      </c>
      <c r="U3667" t="s">
        <v>26604</v>
      </c>
      <c r="W3667" t="s">
        <v>682</v>
      </c>
      <c r="X3667">
        <v>1302.02</v>
      </c>
      <c r="Y3667" t="s">
        <v>26650</v>
      </c>
      <c r="AA3667" t="s">
        <v>26681</v>
      </c>
      <c r="AB3667" t="s">
        <v>28666</v>
      </c>
      <c r="AC3667" t="s">
        <v>35588</v>
      </c>
      <c r="AD3667" t="s">
        <v>39909</v>
      </c>
      <c r="AE3667">
        <v>304</v>
      </c>
      <c r="AF3667" t="s">
        <v>45550</v>
      </c>
      <c r="AG3667" t="s">
        <v>19330</v>
      </c>
      <c r="AH3667">
        <v>3</v>
      </c>
      <c r="AI3667">
        <v>2</v>
      </c>
      <c r="AJ3667">
        <v>1</v>
      </c>
      <c r="AK3667">
        <v>298.36</v>
      </c>
      <c r="AN3667" t="s">
        <v>7439</v>
      </c>
      <c r="AO3667">
        <v>62000</v>
      </c>
      <c r="AP3667" t="s">
        <v>45796</v>
      </c>
      <c r="AU3667">
        <v>2.5</v>
      </c>
      <c r="AV3667" t="s">
        <v>678</v>
      </c>
      <c r="AW3667" t="s">
        <v>46870</v>
      </c>
    </row>
    <row r="3668" spans="1:50">
      <c r="A3668" s="1">
        <f>HYPERLINK("https://lsnyc.legalserver.org/matter/dynamic-profile/view/1884828","18-1884828")</f>
        <v>0</v>
      </c>
      <c r="B3668" t="s">
        <v>70</v>
      </c>
      <c r="C3668" t="s">
        <v>341</v>
      </c>
      <c r="D3668" t="s">
        <v>682</v>
      </c>
      <c r="E3668" t="s">
        <v>833</v>
      </c>
      <c r="F3668" t="s">
        <v>2394</v>
      </c>
      <c r="G3668" t="s">
        <v>6988</v>
      </c>
      <c r="H3668" t="s">
        <v>12532</v>
      </c>
      <c r="I3668" t="s">
        <v>17388</v>
      </c>
      <c r="J3668" t="s">
        <v>18892</v>
      </c>
      <c r="K3668">
        <v>10468</v>
      </c>
      <c r="L3668" t="s">
        <v>18958</v>
      </c>
      <c r="M3668" t="s">
        <v>18958</v>
      </c>
      <c r="N3668" t="s">
        <v>21747</v>
      </c>
      <c r="O3668" t="s">
        <v>26523</v>
      </c>
      <c r="P3668" t="s">
        <v>26560</v>
      </c>
      <c r="Q3668" t="s">
        <v>26568</v>
      </c>
      <c r="R3668" t="s">
        <v>26579</v>
      </c>
      <c r="S3668" t="s">
        <v>18959</v>
      </c>
      <c r="U3668" t="s">
        <v>26604</v>
      </c>
      <c r="V3668" t="s">
        <v>26610</v>
      </c>
      <c r="W3668" t="s">
        <v>682</v>
      </c>
      <c r="X3668">
        <v>1650</v>
      </c>
      <c r="Y3668" t="s">
        <v>26650</v>
      </c>
      <c r="Z3668" t="s">
        <v>26668</v>
      </c>
      <c r="AA3668" t="s">
        <v>26678</v>
      </c>
      <c r="AB3668" t="s">
        <v>29797</v>
      </c>
      <c r="AD3668" t="s">
        <v>39910</v>
      </c>
      <c r="AE3668">
        <v>28</v>
      </c>
      <c r="AF3668" t="s">
        <v>45545</v>
      </c>
      <c r="AG3668" t="s">
        <v>19330</v>
      </c>
      <c r="AH3668">
        <v>1</v>
      </c>
      <c r="AI3668">
        <v>1</v>
      </c>
      <c r="AJ3668">
        <v>0</v>
      </c>
      <c r="AK3668">
        <v>171.33</v>
      </c>
      <c r="AN3668" t="s">
        <v>7439</v>
      </c>
      <c r="AO3668">
        <v>20800</v>
      </c>
      <c r="AQ3668" t="s">
        <v>46362</v>
      </c>
      <c r="AR3668" t="s">
        <v>46380</v>
      </c>
      <c r="AS3668" t="s">
        <v>46499</v>
      </c>
      <c r="AT3668" t="s">
        <v>46747</v>
      </c>
      <c r="AU3668">
        <v>6</v>
      </c>
      <c r="AV3668" t="s">
        <v>806</v>
      </c>
      <c r="AW3668" t="s">
        <v>46870</v>
      </c>
    </row>
    <row r="3669" spans="1:50">
      <c r="A3669" s="1">
        <f>HYPERLINK("https://lsnyc.legalserver.org/matter/dynamic-profile/view/1885382","18-1885382")</f>
        <v>0</v>
      </c>
      <c r="B3669" t="s">
        <v>149</v>
      </c>
      <c r="C3669" t="s">
        <v>341</v>
      </c>
      <c r="D3669" t="s">
        <v>682</v>
      </c>
      <c r="E3669" t="s">
        <v>833</v>
      </c>
      <c r="F3669" t="s">
        <v>1615</v>
      </c>
      <c r="G3669" t="s">
        <v>6436</v>
      </c>
      <c r="H3669" t="s">
        <v>9866</v>
      </c>
      <c r="I3669">
        <v>1101</v>
      </c>
      <c r="J3669" t="s">
        <v>18892</v>
      </c>
      <c r="K3669">
        <v>10457</v>
      </c>
      <c r="L3669" t="s">
        <v>18958</v>
      </c>
      <c r="M3669" t="s">
        <v>18958</v>
      </c>
      <c r="N3669" t="s">
        <v>21748</v>
      </c>
      <c r="O3669" t="s">
        <v>26523</v>
      </c>
      <c r="P3669" t="s">
        <v>26560</v>
      </c>
      <c r="Q3669" t="s">
        <v>26568</v>
      </c>
      <c r="R3669" t="s">
        <v>26579</v>
      </c>
      <c r="S3669" t="s">
        <v>18959</v>
      </c>
      <c r="U3669" t="s">
        <v>26604</v>
      </c>
      <c r="V3669" t="s">
        <v>26610</v>
      </c>
      <c r="W3669" t="s">
        <v>682</v>
      </c>
      <c r="X3669">
        <v>1082</v>
      </c>
      <c r="Y3669" t="s">
        <v>26650</v>
      </c>
      <c r="Z3669" t="s">
        <v>26664</v>
      </c>
      <c r="AA3669" t="s">
        <v>26678</v>
      </c>
      <c r="AB3669" t="s">
        <v>29798</v>
      </c>
      <c r="AD3669" t="s">
        <v>39911</v>
      </c>
      <c r="AE3669">
        <v>41</v>
      </c>
      <c r="AG3669" t="s">
        <v>45562</v>
      </c>
      <c r="AH3669">
        <v>1</v>
      </c>
      <c r="AI3669">
        <v>1</v>
      </c>
      <c r="AJ3669">
        <v>3</v>
      </c>
      <c r="AK3669">
        <v>23.82</v>
      </c>
      <c r="AN3669" t="s">
        <v>45581</v>
      </c>
      <c r="AO3669">
        <v>5980</v>
      </c>
      <c r="AR3669" t="s">
        <v>46385</v>
      </c>
      <c r="AS3669" t="s">
        <v>46499</v>
      </c>
      <c r="AT3669" t="s">
        <v>46569</v>
      </c>
      <c r="AU3669">
        <v>12.65</v>
      </c>
      <c r="AV3669" t="s">
        <v>833</v>
      </c>
      <c r="AW3669" t="s">
        <v>336</v>
      </c>
      <c r="AX3669" t="s">
        <v>46897</v>
      </c>
    </row>
    <row r="3670" spans="1:50">
      <c r="A3670" s="1">
        <f>HYPERLINK("https://lsnyc.legalserver.org/matter/dynamic-profile/view/1884837","18-1884837")</f>
        <v>0</v>
      </c>
      <c r="B3670" t="s">
        <v>108</v>
      </c>
      <c r="C3670" t="s">
        <v>341</v>
      </c>
      <c r="D3670" t="s">
        <v>682</v>
      </c>
      <c r="E3670" t="s">
        <v>819</v>
      </c>
      <c r="F3670" t="s">
        <v>872</v>
      </c>
      <c r="G3670" t="s">
        <v>6989</v>
      </c>
      <c r="H3670" t="s">
        <v>12533</v>
      </c>
      <c r="I3670" t="s">
        <v>17322</v>
      </c>
      <c r="J3670" t="s">
        <v>18906</v>
      </c>
      <c r="K3670">
        <v>11373</v>
      </c>
      <c r="L3670" t="s">
        <v>18958</v>
      </c>
      <c r="M3670" t="s">
        <v>18958</v>
      </c>
      <c r="N3670" t="s">
        <v>21749</v>
      </c>
      <c r="O3670" t="s">
        <v>26524</v>
      </c>
      <c r="P3670" t="s">
        <v>26560</v>
      </c>
      <c r="Q3670" t="s">
        <v>26568</v>
      </c>
      <c r="R3670" t="s">
        <v>26585</v>
      </c>
      <c r="S3670" t="s">
        <v>18959</v>
      </c>
      <c r="U3670" t="s">
        <v>26604</v>
      </c>
      <c r="V3670" t="s">
        <v>26610</v>
      </c>
      <c r="W3670" t="s">
        <v>682</v>
      </c>
      <c r="X3670">
        <v>1600</v>
      </c>
      <c r="Y3670" t="s">
        <v>26653</v>
      </c>
      <c r="Z3670" t="s">
        <v>26668</v>
      </c>
      <c r="AA3670" t="s">
        <v>26679</v>
      </c>
      <c r="AE3670">
        <v>6</v>
      </c>
      <c r="AF3670" t="s">
        <v>45547</v>
      </c>
      <c r="AG3670" t="s">
        <v>19330</v>
      </c>
      <c r="AH3670">
        <v>0</v>
      </c>
      <c r="AI3670">
        <v>3</v>
      </c>
      <c r="AJ3670">
        <v>0</v>
      </c>
      <c r="AK3670">
        <v>225.22</v>
      </c>
      <c r="AL3670" t="s">
        <v>800</v>
      </c>
      <c r="AM3670" t="s">
        <v>45575</v>
      </c>
      <c r="AN3670" t="s">
        <v>45581</v>
      </c>
      <c r="AO3670">
        <v>46800</v>
      </c>
      <c r="AQ3670" t="s">
        <v>46362</v>
      </c>
      <c r="AR3670" t="s">
        <v>26530</v>
      </c>
      <c r="AS3670" t="s">
        <v>46500</v>
      </c>
      <c r="AT3670" t="s">
        <v>46604</v>
      </c>
      <c r="AU3670">
        <v>4.3</v>
      </c>
      <c r="AV3670" t="s">
        <v>695</v>
      </c>
      <c r="AW3670" t="s">
        <v>85</v>
      </c>
      <c r="AX3670" t="s">
        <v>46897</v>
      </c>
    </row>
    <row r="3671" spans="1:50">
      <c r="A3671" s="1">
        <f>HYPERLINK("https://lsnyc.legalserver.org/matter/dynamic-profile/view/1884792","18-1884792")</f>
        <v>0</v>
      </c>
      <c r="B3671" t="s">
        <v>66</v>
      </c>
      <c r="C3671" t="s">
        <v>341</v>
      </c>
      <c r="D3671" t="s">
        <v>682</v>
      </c>
      <c r="E3671" t="s">
        <v>797</v>
      </c>
      <c r="F3671" t="s">
        <v>2745</v>
      </c>
      <c r="G3671" t="s">
        <v>6990</v>
      </c>
      <c r="H3671" t="s">
        <v>12534</v>
      </c>
      <c r="I3671" t="s">
        <v>17600</v>
      </c>
      <c r="J3671" t="s">
        <v>18893</v>
      </c>
      <c r="K3671">
        <v>10027</v>
      </c>
      <c r="L3671" t="s">
        <v>18958</v>
      </c>
      <c r="M3671" t="s">
        <v>18958</v>
      </c>
      <c r="N3671" t="s">
        <v>21750</v>
      </c>
      <c r="O3671" t="s">
        <v>26523</v>
      </c>
      <c r="P3671" t="s">
        <v>26560</v>
      </c>
      <c r="Q3671" t="s">
        <v>26568</v>
      </c>
      <c r="R3671" t="s">
        <v>26580</v>
      </c>
      <c r="S3671" t="s">
        <v>18959</v>
      </c>
      <c r="U3671" t="s">
        <v>26604</v>
      </c>
      <c r="V3671" t="s">
        <v>26610</v>
      </c>
      <c r="W3671" t="s">
        <v>682</v>
      </c>
      <c r="X3671">
        <v>737</v>
      </c>
      <c r="Y3671" t="s">
        <v>26651</v>
      </c>
      <c r="Z3671" t="s">
        <v>26668</v>
      </c>
      <c r="AA3671" t="s">
        <v>26678</v>
      </c>
      <c r="AB3671" t="s">
        <v>29799</v>
      </c>
      <c r="AD3671" t="s">
        <v>39912</v>
      </c>
      <c r="AE3671">
        <v>0</v>
      </c>
      <c r="AF3671" t="s">
        <v>45541</v>
      </c>
      <c r="AG3671" t="s">
        <v>19330</v>
      </c>
      <c r="AH3671">
        <v>20</v>
      </c>
      <c r="AI3671">
        <v>1</v>
      </c>
      <c r="AJ3671">
        <v>0</v>
      </c>
      <c r="AK3671">
        <v>171.33</v>
      </c>
      <c r="AN3671" t="s">
        <v>7439</v>
      </c>
      <c r="AO3671">
        <v>20800</v>
      </c>
      <c r="AQ3671" t="s">
        <v>46375</v>
      </c>
      <c r="AR3671" t="s">
        <v>46379</v>
      </c>
      <c r="AS3671" t="s">
        <v>46499</v>
      </c>
      <c r="AT3671" t="s">
        <v>46506</v>
      </c>
      <c r="AU3671">
        <v>3</v>
      </c>
      <c r="AV3671" t="s">
        <v>808</v>
      </c>
      <c r="AW3671" t="s">
        <v>46875</v>
      </c>
      <c r="AX3671" t="s">
        <v>46897</v>
      </c>
    </row>
    <row r="3672" spans="1:50">
      <c r="A3672" s="1">
        <f>HYPERLINK("https://lsnyc.legalserver.org/matter/dynamic-profile/view/1883812","18-1883812")</f>
        <v>0</v>
      </c>
      <c r="B3672" t="s">
        <v>153</v>
      </c>
      <c r="C3672" t="s">
        <v>341</v>
      </c>
      <c r="D3672" t="s">
        <v>682</v>
      </c>
      <c r="E3672" t="s">
        <v>660</v>
      </c>
      <c r="F3672" t="s">
        <v>900</v>
      </c>
      <c r="G3672" t="s">
        <v>5515</v>
      </c>
      <c r="H3672" t="s">
        <v>12535</v>
      </c>
      <c r="I3672" t="s">
        <v>17316</v>
      </c>
      <c r="J3672" t="s">
        <v>18902</v>
      </c>
      <c r="K3672">
        <v>10304</v>
      </c>
      <c r="L3672" t="s">
        <v>18958</v>
      </c>
      <c r="M3672" t="s">
        <v>18958</v>
      </c>
      <c r="N3672" t="s">
        <v>21751</v>
      </c>
      <c r="O3672" t="s">
        <v>26523</v>
      </c>
      <c r="P3672" t="s">
        <v>26560</v>
      </c>
      <c r="Q3672" t="s">
        <v>26568</v>
      </c>
      <c r="R3672" t="s">
        <v>26578</v>
      </c>
      <c r="S3672" t="s">
        <v>18959</v>
      </c>
      <c r="U3672" t="s">
        <v>26604</v>
      </c>
      <c r="V3672" t="s">
        <v>26610</v>
      </c>
      <c r="W3672" t="s">
        <v>682</v>
      </c>
      <c r="X3672">
        <v>1300</v>
      </c>
      <c r="Y3672" t="s">
        <v>26654</v>
      </c>
      <c r="Z3672" t="s">
        <v>26659</v>
      </c>
      <c r="AA3672" t="s">
        <v>26687</v>
      </c>
      <c r="AB3672" t="s">
        <v>26783</v>
      </c>
      <c r="AC3672" t="s">
        <v>35589</v>
      </c>
      <c r="AD3672" t="s">
        <v>39913</v>
      </c>
      <c r="AE3672">
        <v>8</v>
      </c>
      <c r="AF3672" t="s">
        <v>45541</v>
      </c>
      <c r="AG3672" t="s">
        <v>19330</v>
      </c>
      <c r="AH3672">
        <v>7</v>
      </c>
      <c r="AI3672">
        <v>4</v>
      </c>
      <c r="AJ3672">
        <v>2</v>
      </c>
      <c r="AK3672">
        <v>32.65</v>
      </c>
      <c r="AN3672" t="s">
        <v>7439</v>
      </c>
      <c r="AO3672">
        <v>11016</v>
      </c>
      <c r="AU3672">
        <v>9.65</v>
      </c>
      <c r="AV3672" t="s">
        <v>775</v>
      </c>
      <c r="AW3672" t="s">
        <v>185</v>
      </c>
    </row>
    <row r="3673" spans="1:50">
      <c r="A3673" s="1">
        <f>HYPERLINK("https://lsnyc.legalserver.org/matter/dynamic-profile/view/1884860","18-1884860")</f>
        <v>0</v>
      </c>
      <c r="B3673" t="s">
        <v>68</v>
      </c>
      <c r="C3673" t="s">
        <v>341</v>
      </c>
      <c r="D3673" t="s">
        <v>682</v>
      </c>
      <c r="E3673" t="s">
        <v>763</v>
      </c>
      <c r="F3673" t="s">
        <v>2746</v>
      </c>
      <c r="G3673" t="s">
        <v>6991</v>
      </c>
      <c r="H3673" t="s">
        <v>12536</v>
      </c>
      <c r="I3673">
        <v>51</v>
      </c>
      <c r="J3673" t="s">
        <v>18892</v>
      </c>
      <c r="K3673">
        <v>10468</v>
      </c>
      <c r="L3673" t="s">
        <v>18958</v>
      </c>
      <c r="M3673" t="s">
        <v>18958</v>
      </c>
      <c r="N3673" t="s">
        <v>21752</v>
      </c>
      <c r="O3673" t="s">
        <v>26523</v>
      </c>
      <c r="P3673" t="s">
        <v>26560</v>
      </c>
      <c r="Q3673" t="s">
        <v>26568</v>
      </c>
      <c r="R3673" t="s">
        <v>26579</v>
      </c>
      <c r="S3673" t="s">
        <v>18959</v>
      </c>
      <c r="U3673" t="s">
        <v>26604</v>
      </c>
      <c r="V3673" t="s">
        <v>26612</v>
      </c>
      <c r="W3673" t="s">
        <v>682</v>
      </c>
      <c r="X3673">
        <v>1518</v>
      </c>
      <c r="Y3673" t="s">
        <v>26650</v>
      </c>
      <c r="AA3673" t="s">
        <v>26678</v>
      </c>
      <c r="AB3673" t="s">
        <v>27869</v>
      </c>
      <c r="AC3673" t="s">
        <v>35590</v>
      </c>
      <c r="AD3673" t="s">
        <v>39914</v>
      </c>
      <c r="AE3673">
        <v>21</v>
      </c>
      <c r="AF3673" t="s">
        <v>45541</v>
      </c>
      <c r="AG3673" t="s">
        <v>45558</v>
      </c>
      <c r="AH3673">
        <v>5</v>
      </c>
      <c r="AI3673">
        <v>1</v>
      </c>
      <c r="AJ3673">
        <v>3</v>
      </c>
      <c r="AK3673">
        <v>50.82</v>
      </c>
      <c r="AN3673" t="s">
        <v>7439</v>
      </c>
      <c r="AO3673">
        <v>12756</v>
      </c>
      <c r="AQ3673" t="s">
        <v>46364</v>
      </c>
      <c r="AR3673" t="s">
        <v>46408</v>
      </c>
      <c r="AS3673" t="s">
        <v>46499</v>
      </c>
      <c r="AT3673" t="s">
        <v>46677</v>
      </c>
      <c r="AU3673">
        <v>26.2</v>
      </c>
      <c r="AV3673" t="s">
        <v>659</v>
      </c>
      <c r="AW3673" t="s">
        <v>291</v>
      </c>
    </row>
    <row r="3674" spans="1:50">
      <c r="A3674" s="1">
        <f>HYPERLINK("https://lsnyc.legalserver.org/matter/dynamic-profile/view/1884800","18-1884800")</f>
        <v>0</v>
      </c>
      <c r="B3674" t="s">
        <v>112</v>
      </c>
      <c r="C3674" t="s">
        <v>341</v>
      </c>
      <c r="D3674" t="s">
        <v>682</v>
      </c>
      <c r="E3674" t="s">
        <v>769</v>
      </c>
      <c r="F3674" t="s">
        <v>2747</v>
      </c>
      <c r="G3674" t="s">
        <v>6992</v>
      </c>
      <c r="H3674" t="s">
        <v>12537</v>
      </c>
      <c r="I3674" t="s">
        <v>17415</v>
      </c>
      <c r="J3674" t="s">
        <v>18901</v>
      </c>
      <c r="K3674">
        <v>11434</v>
      </c>
      <c r="L3674" t="s">
        <v>18958</v>
      </c>
      <c r="M3674" t="s">
        <v>18958</v>
      </c>
      <c r="N3674" t="s">
        <v>21753</v>
      </c>
      <c r="O3674" t="s">
        <v>26524</v>
      </c>
      <c r="P3674" t="s">
        <v>26560</v>
      </c>
      <c r="Q3674" t="s">
        <v>26573</v>
      </c>
      <c r="R3674" t="s">
        <v>26585</v>
      </c>
      <c r="S3674" t="s">
        <v>18959</v>
      </c>
      <c r="U3674" t="s">
        <v>26604</v>
      </c>
      <c r="V3674" t="s">
        <v>26610</v>
      </c>
      <c r="W3674" t="s">
        <v>682</v>
      </c>
      <c r="X3674">
        <v>2000</v>
      </c>
      <c r="Y3674" t="s">
        <v>26653</v>
      </c>
      <c r="Z3674" t="s">
        <v>26668</v>
      </c>
      <c r="AA3674" t="s">
        <v>26679</v>
      </c>
      <c r="AB3674" t="s">
        <v>27415</v>
      </c>
      <c r="AD3674" t="s">
        <v>39915</v>
      </c>
      <c r="AE3674">
        <v>2</v>
      </c>
      <c r="AF3674" t="s">
        <v>45547</v>
      </c>
      <c r="AG3674" t="s">
        <v>19330</v>
      </c>
      <c r="AH3674">
        <v>1</v>
      </c>
      <c r="AI3674">
        <v>2</v>
      </c>
      <c r="AJ3674">
        <v>4</v>
      </c>
      <c r="AK3674">
        <v>74.09999999999999</v>
      </c>
      <c r="AN3674" t="s">
        <v>7439</v>
      </c>
      <c r="AO3674">
        <v>25000</v>
      </c>
      <c r="AQ3674" t="s">
        <v>46359</v>
      </c>
      <c r="AR3674" t="s">
        <v>26530</v>
      </c>
      <c r="AS3674" t="s">
        <v>46500</v>
      </c>
      <c r="AT3674" t="s">
        <v>46506</v>
      </c>
      <c r="AU3674">
        <v>6.7</v>
      </c>
      <c r="AV3674" t="s">
        <v>780</v>
      </c>
      <c r="AW3674" t="s">
        <v>85</v>
      </c>
    </row>
    <row r="3675" spans="1:50">
      <c r="A3675" s="1">
        <f>HYPERLINK("https://lsnyc.legalserver.org/matter/dynamic-profile/view/1884793","18-1884793")</f>
        <v>0</v>
      </c>
      <c r="B3675" t="s">
        <v>235</v>
      </c>
      <c r="C3675" t="s">
        <v>341</v>
      </c>
      <c r="D3675" t="s">
        <v>682</v>
      </c>
      <c r="E3675" t="s">
        <v>770</v>
      </c>
      <c r="F3675" t="s">
        <v>2748</v>
      </c>
      <c r="G3675" t="s">
        <v>6993</v>
      </c>
      <c r="H3675" t="s">
        <v>12538</v>
      </c>
      <c r="J3675" t="s">
        <v>18901</v>
      </c>
      <c r="K3675">
        <v>11434</v>
      </c>
      <c r="L3675" t="s">
        <v>18958</v>
      </c>
      <c r="M3675" t="s">
        <v>18958</v>
      </c>
      <c r="N3675" t="s">
        <v>21754</v>
      </c>
      <c r="O3675" t="s">
        <v>26524</v>
      </c>
      <c r="P3675" t="s">
        <v>26560</v>
      </c>
      <c r="Q3675" t="s">
        <v>26568</v>
      </c>
      <c r="R3675" t="s">
        <v>26585</v>
      </c>
      <c r="S3675" t="s">
        <v>18959</v>
      </c>
      <c r="U3675" t="s">
        <v>26604</v>
      </c>
      <c r="V3675" t="s">
        <v>26610</v>
      </c>
      <c r="W3675" t="s">
        <v>682</v>
      </c>
      <c r="X3675">
        <v>0</v>
      </c>
      <c r="Y3675" t="s">
        <v>26653</v>
      </c>
      <c r="AA3675" t="s">
        <v>26679</v>
      </c>
      <c r="AB3675" t="s">
        <v>29800</v>
      </c>
      <c r="AD3675" t="s">
        <v>39916</v>
      </c>
      <c r="AE3675">
        <v>1</v>
      </c>
      <c r="AF3675" t="s">
        <v>45547</v>
      </c>
      <c r="AH3675">
        <v>29</v>
      </c>
      <c r="AI3675">
        <v>1</v>
      </c>
      <c r="AJ3675">
        <v>0</v>
      </c>
      <c r="AK3675">
        <v>171.33</v>
      </c>
      <c r="AN3675" t="s">
        <v>7439</v>
      </c>
      <c r="AO3675">
        <v>20800</v>
      </c>
      <c r="AQ3675" t="s">
        <v>46359</v>
      </c>
      <c r="AR3675" t="s">
        <v>46406</v>
      </c>
      <c r="AS3675" t="s">
        <v>46500</v>
      </c>
      <c r="AT3675" t="s">
        <v>46506</v>
      </c>
      <c r="AU3675">
        <v>5.9</v>
      </c>
      <c r="AV3675" t="s">
        <v>775</v>
      </c>
      <c r="AW3675" t="s">
        <v>85</v>
      </c>
    </row>
    <row r="3676" spans="1:50">
      <c r="A3676" s="1">
        <f>HYPERLINK("https://lsnyc.legalserver.org/matter/dynamic-profile/view/1884841","18-1884841")</f>
        <v>0</v>
      </c>
      <c r="B3676" t="s">
        <v>183</v>
      </c>
      <c r="C3676" t="s">
        <v>340</v>
      </c>
      <c r="D3676" t="s">
        <v>682</v>
      </c>
      <c r="F3676" t="s">
        <v>876</v>
      </c>
      <c r="G3676" t="s">
        <v>2975</v>
      </c>
      <c r="H3676" t="s">
        <v>12539</v>
      </c>
      <c r="I3676" t="s">
        <v>17814</v>
      </c>
      <c r="J3676" t="s">
        <v>18893</v>
      </c>
      <c r="K3676">
        <v>10027</v>
      </c>
      <c r="L3676" t="s">
        <v>18958</v>
      </c>
      <c r="M3676" t="s">
        <v>18958</v>
      </c>
      <c r="N3676" t="s">
        <v>21755</v>
      </c>
      <c r="O3676" t="s">
        <v>26523</v>
      </c>
      <c r="P3676" t="s">
        <v>26560</v>
      </c>
      <c r="R3676" t="s">
        <v>26580</v>
      </c>
      <c r="S3676" t="s">
        <v>18959</v>
      </c>
      <c r="U3676" t="s">
        <v>26605</v>
      </c>
      <c r="V3676" t="s">
        <v>26610</v>
      </c>
      <c r="W3676" t="s">
        <v>682</v>
      </c>
      <c r="X3676">
        <v>810</v>
      </c>
      <c r="Y3676" t="s">
        <v>26651</v>
      </c>
      <c r="Z3676" t="s">
        <v>26664</v>
      </c>
      <c r="AB3676" t="s">
        <v>28749</v>
      </c>
      <c r="AD3676" t="s">
        <v>39917</v>
      </c>
      <c r="AE3676">
        <v>0</v>
      </c>
      <c r="AF3676" t="s">
        <v>45549</v>
      </c>
      <c r="AG3676" t="s">
        <v>19330</v>
      </c>
      <c r="AH3676">
        <v>4</v>
      </c>
      <c r="AI3676">
        <v>1</v>
      </c>
      <c r="AJ3676">
        <v>3</v>
      </c>
      <c r="AK3676">
        <v>148.16</v>
      </c>
      <c r="AN3676" t="s">
        <v>7439</v>
      </c>
      <c r="AO3676">
        <v>37188</v>
      </c>
      <c r="AU3676">
        <v>35.02</v>
      </c>
      <c r="AV3676" t="s">
        <v>672</v>
      </c>
      <c r="AW3676" t="s">
        <v>314</v>
      </c>
    </row>
    <row r="3677" spans="1:50">
      <c r="A3677" s="1">
        <f>HYPERLINK("https://lsnyc.legalserver.org/matter/dynamic-profile/view/1884872","18-1884872")</f>
        <v>0</v>
      </c>
      <c r="B3677" t="s">
        <v>165</v>
      </c>
      <c r="C3677" t="s">
        <v>340</v>
      </c>
      <c r="D3677" t="s">
        <v>682</v>
      </c>
      <c r="F3677" t="s">
        <v>1125</v>
      </c>
      <c r="G3677" t="s">
        <v>5644</v>
      </c>
      <c r="H3677" t="s">
        <v>12540</v>
      </c>
      <c r="I3677" t="s">
        <v>17445</v>
      </c>
      <c r="J3677" t="s">
        <v>18893</v>
      </c>
      <c r="K3677">
        <v>10027</v>
      </c>
      <c r="L3677" t="s">
        <v>18958</v>
      </c>
      <c r="M3677" t="s">
        <v>18958</v>
      </c>
      <c r="N3677" t="s">
        <v>21756</v>
      </c>
      <c r="O3677" t="s">
        <v>26523</v>
      </c>
      <c r="P3677" t="s">
        <v>26560</v>
      </c>
      <c r="R3677" t="s">
        <v>26580</v>
      </c>
      <c r="S3677" t="s">
        <v>18959</v>
      </c>
      <c r="U3677" t="s">
        <v>26604</v>
      </c>
      <c r="V3677" t="s">
        <v>26611</v>
      </c>
      <c r="W3677" t="s">
        <v>682</v>
      </c>
      <c r="X3677">
        <v>1148</v>
      </c>
      <c r="Y3677" t="s">
        <v>26651</v>
      </c>
      <c r="Z3677" t="s">
        <v>26668</v>
      </c>
      <c r="AB3677" t="s">
        <v>29228</v>
      </c>
      <c r="AD3677" t="s">
        <v>39918</v>
      </c>
      <c r="AE3677">
        <v>0</v>
      </c>
      <c r="AF3677" t="s">
        <v>20460</v>
      </c>
      <c r="AG3677" t="s">
        <v>45556</v>
      </c>
      <c r="AH3677">
        <v>5</v>
      </c>
      <c r="AI3677">
        <v>1</v>
      </c>
      <c r="AJ3677">
        <v>2</v>
      </c>
      <c r="AK3677">
        <v>42.39</v>
      </c>
      <c r="AN3677" t="s">
        <v>7439</v>
      </c>
      <c r="AO3677">
        <v>8808</v>
      </c>
      <c r="AU3677">
        <v>7</v>
      </c>
      <c r="AV3677" t="s">
        <v>724</v>
      </c>
      <c r="AW3677" t="s">
        <v>46875</v>
      </c>
      <c r="AX3677" t="s">
        <v>46897</v>
      </c>
    </row>
    <row r="3678" spans="1:50">
      <c r="A3678" s="1">
        <f>HYPERLINK("https://lsnyc.legalserver.org/matter/dynamic-profile/view/1884808","18-1884808")</f>
        <v>0</v>
      </c>
      <c r="B3678" t="s">
        <v>165</v>
      </c>
      <c r="C3678" t="s">
        <v>340</v>
      </c>
      <c r="D3678" t="s">
        <v>682</v>
      </c>
      <c r="F3678" t="s">
        <v>887</v>
      </c>
      <c r="G3678" t="s">
        <v>6994</v>
      </c>
      <c r="H3678" t="s">
        <v>12541</v>
      </c>
      <c r="I3678" t="s">
        <v>17299</v>
      </c>
      <c r="J3678" t="s">
        <v>18893</v>
      </c>
      <c r="K3678">
        <v>10026</v>
      </c>
      <c r="L3678" t="s">
        <v>18958</v>
      </c>
      <c r="M3678" t="s">
        <v>18958</v>
      </c>
      <c r="N3678" t="s">
        <v>21757</v>
      </c>
      <c r="O3678" t="s">
        <v>26523</v>
      </c>
      <c r="P3678" t="s">
        <v>26560</v>
      </c>
      <c r="R3678" t="s">
        <v>26580</v>
      </c>
      <c r="S3678" t="s">
        <v>18959</v>
      </c>
      <c r="U3678" t="s">
        <v>26604</v>
      </c>
      <c r="V3678" t="s">
        <v>26610</v>
      </c>
      <c r="W3678" t="s">
        <v>682</v>
      </c>
      <c r="X3678">
        <v>707.98</v>
      </c>
      <c r="Y3678" t="s">
        <v>26651</v>
      </c>
      <c r="Z3678" t="s">
        <v>26668</v>
      </c>
      <c r="AB3678" t="s">
        <v>29801</v>
      </c>
      <c r="AD3678" t="s">
        <v>39919</v>
      </c>
      <c r="AE3678">
        <v>0</v>
      </c>
      <c r="AF3678" t="s">
        <v>20460</v>
      </c>
      <c r="AG3678" t="s">
        <v>19330</v>
      </c>
      <c r="AH3678">
        <v>22</v>
      </c>
      <c r="AI3678">
        <v>2</v>
      </c>
      <c r="AJ3678">
        <v>0</v>
      </c>
      <c r="AK3678">
        <v>126.37</v>
      </c>
      <c r="AN3678" t="s">
        <v>45607</v>
      </c>
      <c r="AO3678">
        <v>20800</v>
      </c>
      <c r="AU3678">
        <v>16.15</v>
      </c>
      <c r="AV3678" t="s">
        <v>838</v>
      </c>
      <c r="AW3678" t="s">
        <v>46875</v>
      </c>
    </row>
    <row r="3679" spans="1:50">
      <c r="A3679" s="1">
        <f>HYPERLINK("https://lsnyc.legalserver.org/matter/dynamic-profile/view/1884627","18-1884627")</f>
        <v>0</v>
      </c>
      <c r="B3679" t="s">
        <v>70</v>
      </c>
      <c r="C3679" t="s">
        <v>340</v>
      </c>
      <c r="D3679" t="s">
        <v>682</v>
      </c>
      <c r="F3679" t="s">
        <v>901</v>
      </c>
      <c r="G3679" t="s">
        <v>5187</v>
      </c>
      <c r="H3679" t="s">
        <v>12542</v>
      </c>
      <c r="I3679" t="s">
        <v>17775</v>
      </c>
      <c r="J3679" t="s">
        <v>18892</v>
      </c>
      <c r="K3679">
        <v>10457</v>
      </c>
      <c r="L3679" t="s">
        <v>18958</v>
      </c>
      <c r="M3679" t="s">
        <v>18958</v>
      </c>
      <c r="N3679" t="s">
        <v>21758</v>
      </c>
      <c r="O3679" t="s">
        <v>26523</v>
      </c>
      <c r="P3679" t="s">
        <v>26560</v>
      </c>
      <c r="R3679" t="s">
        <v>26579</v>
      </c>
      <c r="S3679" t="s">
        <v>18959</v>
      </c>
      <c r="U3679" t="s">
        <v>26604</v>
      </c>
      <c r="V3679" t="s">
        <v>26609</v>
      </c>
      <c r="W3679" t="s">
        <v>682</v>
      </c>
      <c r="X3679">
        <v>796</v>
      </c>
      <c r="Y3679" t="s">
        <v>26650</v>
      </c>
      <c r="Z3679" t="s">
        <v>26668</v>
      </c>
      <c r="AB3679" t="s">
        <v>29802</v>
      </c>
      <c r="AD3679" t="s">
        <v>39920</v>
      </c>
      <c r="AE3679">
        <v>0</v>
      </c>
      <c r="AF3679" t="s">
        <v>45541</v>
      </c>
      <c r="AH3679">
        <v>10</v>
      </c>
      <c r="AI3679">
        <v>4</v>
      </c>
      <c r="AJ3679">
        <v>0</v>
      </c>
      <c r="AK3679">
        <v>112.91</v>
      </c>
      <c r="AN3679" t="s">
        <v>7439</v>
      </c>
      <c r="AO3679">
        <v>28340</v>
      </c>
      <c r="AU3679">
        <v>11.8</v>
      </c>
      <c r="AV3679" t="s">
        <v>831</v>
      </c>
      <c r="AW3679" t="s">
        <v>46870</v>
      </c>
    </row>
    <row r="3680" spans="1:50">
      <c r="A3680" s="1">
        <f>HYPERLINK("https://lsnyc.legalserver.org/matter/dynamic-profile/view/1885390","18-1885390")</f>
        <v>0</v>
      </c>
      <c r="B3680" t="s">
        <v>149</v>
      </c>
      <c r="C3680" t="s">
        <v>340</v>
      </c>
      <c r="D3680" t="s">
        <v>682</v>
      </c>
      <c r="F3680" t="s">
        <v>2749</v>
      </c>
      <c r="G3680" t="s">
        <v>5330</v>
      </c>
      <c r="H3680" t="s">
        <v>12543</v>
      </c>
      <c r="I3680" t="s">
        <v>17312</v>
      </c>
      <c r="J3680" t="s">
        <v>18892</v>
      </c>
      <c r="K3680">
        <v>10471</v>
      </c>
      <c r="L3680" t="s">
        <v>18958</v>
      </c>
      <c r="M3680" t="s">
        <v>18958</v>
      </c>
      <c r="N3680" t="s">
        <v>21759</v>
      </c>
      <c r="O3680" t="s">
        <v>26523</v>
      </c>
      <c r="P3680" t="s">
        <v>26560</v>
      </c>
      <c r="R3680" t="s">
        <v>26577</v>
      </c>
      <c r="S3680" t="s">
        <v>18959</v>
      </c>
      <c r="U3680" t="s">
        <v>26604</v>
      </c>
      <c r="V3680" t="s">
        <v>26610</v>
      </c>
      <c r="W3680" t="s">
        <v>682</v>
      </c>
      <c r="X3680">
        <v>1695</v>
      </c>
      <c r="Y3680" t="s">
        <v>26650</v>
      </c>
      <c r="Z3680" t="s">
        <v>26668</v>
      </c>
      <c r="AB3680" t="s">
        <v>29803</v>
      </c>
      <c r="AD3680" t="s">
        <v>39921</v>
      </c>
      <c r="AE3680">
        <v>0</v>
      </c>
      <c r="AF3680" t="s">
        <v>45547</v>
      </c>
      <c r="AG3680" t="s">
        <v>45556</v>
      </c>
      <c r="AH3680">
        <v>0</v>
      </c>
      <c r="AI3680">
        <v>2</v>
      </c>
      <c r="AJ3680">
        <v>2</v>
      </c>
      <c r="AK3680">
        <v>31.54</v>
      </c>
      <c r="AO3680">
        <v>7916.04</v>
      </c>
      <c r="AU3680">
        <v>14</v>
      </c>
      <c r="AV3680" t="s">
        <v>800</v>
      </c>
      <c r="AW3680" t="s">
        <v>336</v>
      </c>
    </row>
    <row r="3681" spans="1:50">
      <c r="A3681" s="1">
        <f>HYPERLINK("https://lsnyc.legalserver.org/matter/dynamic-profile/view/1884854","18-1884854")</f>
        <v>0</v>
      </c>
      <c r="B3681" t="s">
        <v>148</v>
      </c>
      <c r="C3681" t="s">
        <v>340</v>
      </c>
      <c r="D3681" t="s">
        <v>682</v>
      </c>
      <c r="F3681" t="s">
        <v>2750</v>
      </c>
      <c r="G3681" t="s">
        <v>6995</v>
      </c>
      <c r="H3681" t="s">
        <v>12544</v>
      </c>
      <c r="I3681" t="s">
        <v>17582</v>
      </c>
      <c r="J3681" t="s">
        <v>18894</v>
      </c>
      <c r="K3681">
        <v>11234</v>
      </c>
      <c r="L3681" t="s">
        <v>18958</v>
      </c>
      <c r="M3681" t="s">
        <v>18958</v>
      </c>
      <c r="N3681" t="s">
        <v>21760</v>
      </c>
      <c r="O3681" t="s">
        <v>26524</v>
      </c>
      <c r="P3681" t="s">
        <v>26564</v>
      </c>
      <c r="R3681" t="s">
        <v>26586</v>
      </c>
      <c r="U3681" t="s">
        <v>26604</v>
      </c>
      <c r="W3681" t="s">
        <v>682</v>
      </c>
      <c r="X3681">
        <v>0</v>
      </c>
      <c r="Y3681" t="s">
        <v>26652</v>
      </c>
      <c r="Z3681" t="s">
        <v>26664</v>
      </c>
      <c r="AB3681" t="s">
        <v>29804</v>
      </c>
      <c r="AC3681" t="s">
        <v>35591</v>
      </c>
      <c r="AD3681" t="s">
        <v>39922</v>
      </c>
      <c r="AE3681">
        <v>0</v>
      </c>
      <c r="AG3681" t="s">
        <v>19330</v>
      </c>
      <c r="AH3681">
        <v>15</v>
      </c>
      <c r="AI3681">
        <v>2</v>
      </c>
      <c r="AJ3681">
        <v>1</v>
      </c>
      <c r="AK3681">
        <v>40.42</v>
      </c>
      <c r="AN3681" t="s">
        <v>7439</v>
      </c>
      <c r="AO3681">
        <v>8400</v>
      </c>
      <c r="AU3681">
        <v>0</v>
      </c>
      <c r="AW3681" t="s">
        <v>281</v>
      </c>
      <c r="AX3681" t="s">
        <v>46897</v>
      </c>
    </row>
    <row r="3682" spans="1:50">
      <c r="A3682" s="1">
        <f>HYPERLINK("https://lsnyc.legalserver.org/matter/dynamic-profile/view/1884858","18-1884858")</f>
        <v>0</v>
      </c>
      <c r="B3682" t="s">
        <v>148</v>
      </c>
      <c r="C3682" t="s">
        <v>340</v>
      </c>
      <c r="D3682" t="s">
        <v>682</v>
      </c>
      <c r="F3682" t="s">
        <v>2751</v>
      </c>
      <c r="G3682" t="s">
        <v>5639</v>
      </c>
      <c r="H3682" t="s">
        <v>12545</v>
      </c>
      <c r="I3682">
        <v>2</v>
      </c>
      <c r="J3682" t="s">
        <v>18894</v>
      </c>
      <c r="K3682">
        <v>11226</v>
      </c>
      <c r="L3682" t="s">
        <v>18958</v>
      </c>
      <c r="M3682" t="s">
        <v>18958</v>
      </c>
      <c r="N3682" t="s">
        <v>21761</v>
      </c>
      <c r="O3682" t="s">
        <v>26524</v>
      </c>
      <c r="P3682" t="s">
        <v>26564</v>
      </c>
      <c r="R3682" t="s">
        <v>26588</v>
      </c>
      <c r="U3682" t="s">
        <v>26604</v>
      </c>
      <c r="W3682" t="s">
        <v>682</v>
      </c>
      <c r="X3682">
        <v>1107</v>
      </c>
      <c r="Y3682" t="s">
        <v>26652</v>
      </c>
      <c r="Z3682" t="s">
        <v>26664</v>
      </c>
      <c r="AB3682" t="s">
        <v>29805</v>
      </c>
      <c r="AD3682" t="s">
        <v>39923</v>
      </c>
      <c r="AE3682">
        <v>0</v>
      </c>
      <c r="AH3682">
        <v>16</v>
      </c>
      <c r="AI3682">
        <v>2</v>
      </c>
      <c r="AJ3682">
        <v>0</v>
      </c>
      <c r="AK3682">
        <v>115.43</v>
      </c>
      <c r="AN3682" t="s">
        <v>7439</v>
      </c>
      <c r="AO3682">
        <v>19000</v>
      </c>
      <c r="AU3682">
        <v>0</v>
      </c>
      <c r="AW3682" t="s">
        <v>281</v>
      </c>
    </row>
    <row r="3683" spans="1:50">
      <c r="A3683" s="1">
        <f>HYPERLINK("https://lsnyc.legalserver.org/matter/dynamic-profile/view/1884819","18-1884819")</f>
        <v>0</v>
      </c>
      <c r="B3683" t="s">
        <v>151</v>
      </c>
      <c r="C3683" t="s">
        <v>340</v>
      </c>
      <c r="D3683" t="s">
        <v>682</v>
      </c>
      <c r="F3683" t="s">
        <v>2752</v>
      </c>
      <c r="G3683" t="s">
        <v>6171</v>
      </c>
      <c r="H3683" t="s">
        <v>12546</v>
      </c>
      <c r="I3683" t="s">
        <v>17362</v>
      </c>
      <c r="J3683" t="s">
        <v>18893</v>
      </c>
      <c r="K3683">
        <v>10031</v>
      </c>
      <c r="L3683" t="s">
        <v>18958</v>
      </c>
      <c r="M3683" t="s">
        <v>18958</v>
      </c>
      <c r="N3683" t="s">
        <v>21762</v>
      </c>
      <c r="O3683" t="s">
        <v>26523</v>
      </c>
      <c r="P3683" t="s">
        <v>26560</v>
      </c>
      <c r="R3683" t="s">
        <v>26580</v>
      </c>
      <c r="S3683" t="s">
        <v>18959</v>
      </c>
      <c r="U3683" t="s">
        <v>26604</v>
      </c>
      <c r="V3683" t="s">
        <v>26610</v>
      </c>
      <c r="W3683" t="s">
        <v>682</v>
      </c>
      <c r="X3683">
        <v>1078</v>
      </c>
      <c r="Y3683" t="s">
        <v>26651</v>
      </c>
      <c r="Z3683" t="s">
        <v>26668</v>
      </c>
      <c r="AB3683" t="s">
        <v>27171</v>
      </c>
      <c r="AD3683" t="s">
        <v>39924</v>
      </c>
      <c r="AE3683">
        <v>0</v>
      </c>
      <c r="AF3683" t="s">
        <v>45544</v>
      </c>
      <c r="AG3683" t="s">
        <v>19330</v>
      </c>
      <c r="AH3683">
        <v>10</v>
      </c>
      <c r="AI3683">
        <v>1</v>
      </c>
      <c r="AJ3683">
        <v>3</v>
      </c>
      <c r="AK3683">
        <v>133.48</v>
      </c>
      <c r="AN3683" t="s">
        <v>45581</v>
      </c>
      <c r="AO3683">
        <v>33503.6</v>
      </c>
      <c r="AU3683">
        <v>34.95</v>
      </c>
      <c r="AV3683" t="s">
        <v>773</v>
      </c>
      <c r="AW3683" t="s">
        <v>314</v>
      </c>
    </row>
    <row r="3684" spans="1:50">
      <c r="A3684" s="1">
        <f>HYPERLINK("https://lsnyc.legalserver.org/matter/dynamic-profile/view/1885116","18-1885116")</f>
        <v>0</v>
      </c>
      <c r="B3684" t="s">
        <v>262</v>
      </c>
      <c r="C3684" t="s">
        <v>340</v>
      </c>
      <c r="D3684" t="s">
        <v>682</v>
      </c>
      <c r="F3684" t="s">
        <v>2134</v>
      </c>
      <c r="G3684" t="s">
        <v>6691</v>
      </c>
      <c r="H3684" t="s">
        <v>12113</v>
      </c>
      <c r="I3684" t="s">
        <v>17312</v>
      </c>
      <c r="J3684" t="s">
        <v>18892</v>
      </c>
      <c r="K3684">
        <v>10467</v>
      </c>
      <c r="L3684" t="s">
        <v>18958</v>
      </c>
      <c r="M3684" t="s">
        <v>18958</v>
      </c>
      <c r="N3684" t="s">
        <v>21763</v>
      </c>
      <c r="O3684" t="s">
        <v>26523</v>
      </c>
      <c r="P3684" t="s">
        <v>26560</v>
      </c>
      <c r="R3684" t="s">
        <v>26579</v>
      </c>
      <c r="S3684" t="s">
        <v>18959</v>
      </c>
      <c r="U3684" t="s">
        <v>26604</v>
      </c>
      <c r="V3684" t="s">
        <v>26610</v>
      </c>
      <c r="W3684" t="s">
        <v>682</v>
      </c>
      <c r="X3684">
        <v>1600</v>
      </c>
      <c r="Y3684" t="s">
        <v>26650</v>
      </c>
      <c r="Z3684" t="s">
        <v>26664</v>
      </c>
      <c r="AB3684" t="s">
        <v>27725</v>
      </c>
      <c r="AC3684" t="s">
        <v>35592</v>
      </c>
      <c r="AD3684" t="s">
        <v>39925</v>
      </c>
      <c r="AE3684">
        <v>2</v>
      </c>
      <c r="AG3684" t="s">
        <v>26530</v>
      </c>
      <c r="AH3684">
        <v>0</v>
      </c>
      <c r="AI3684">
        <v>3</v>
      </c>
      <c r="AJ3684">
        <v>2</v>
      </c>
      <c r="AK3684">
        <v>0</v>
      </c>
      <c r="AN3684" t="s">
        <v>7439</v>
      </c>
      <c r="AO3684">
        <v>0</v>
      </c>
      <c r="AU3684">
        <v>71.2</v>
      </c>
      <c r="AV3684" t="s">
        <v>829</v>
      </c>
      <c r="AW3684" t="s">
        <v>336</v>
      </c>
    </row>
    <row r="3685" spans="1:50">
      <c r="A3685" s="1">
        <f>HYPERLINK("https://lsnyc.legalserver.org/matter/dynamic-profile/view/1885421","18-1885421")</f>
        <v>0</v>
      </c>
      <c r="B3685" t="s">
        <v>81</v>
      </c>
      <c r="C3685" t="s">
        <v>340</v>
      </c>
      <c r="D3685" t="s">
        <v>682</v>
      </c>
      <c r="F3685" t="s">
        <v>2753</v>
      </c>
      <c r="G3685" t="s">
        <v>5173</v>
      </c>
      <c r="H3685" t="s">
        <v>10630</v>
      </c>
      <c r="I3685" t="s">
        <v>17436</v>
      </c>
      <c r="J3685" t="s">
        <v>18892</v>
      </c>
      <c r="K3685">
        <v>10468</v>
      </c>
      <c r="L3685" t="s">
        <v>18958</v>
      </c>
      <c r="M3685" t="s">
        <v>18958</v>
      </c>
      <c r="N3685" t="s">
        <v>21764</v>
      </c>
      <c r="O3685" t="s">
        <v>26523</v>
      </c>
      <c r="P3685" t="s">
        <v>26560</v>
      </c>
      <c r="R3685" t="s">
        <v>26579</v>
      </c>
      <c r="S3685" t="s">
        <v>18959</v>
      </c>
      <c r="U3685" t="s">
        <v>26604</v>
      </c>
      <c r="V3685" t="s">
        <v>26610</v>
      </c>
      <c r="W3685" t="s">
        <v>682</v>
      </c>
      <c r="X3685">
        <v>861.99</v>
      </c>
      <c r="Y3685" t="s">
        <v>26650</v>
      </c>
      <c r="Z3685" t="s">
        <v>26664</v>
      </c>
      <c r="AB3685" t="s">
        <v>29806</v>
      </c>
      <c r="AD3685" t="s">
        <v>39926</v>
      </c>
      <c r="AE3685">
        <v>57</v>
      </c>
      <c r="AF3685" t="s">
        <v>45541</v>
      </c>
      <c r="AG3685" t="s">
        <v>45556</v>
      </c>
      <c r="AH3685">
        <v>25</v>
      </c>
      <c r="AI3685">
        <v>1</v>
      </c>
      <c r="AJ3685">
        <v>0</v>
      </c>
      <c r="AK3685">
        <v>84.61</v>
      </c>
      <c r="AN3685" t="s">
        <v>7439</v>
      </c>
      <c r="AO3685">
        <v>10272</v>
      </c>
      <c r="AP3685" t="s">
        <v>45654</v>
      </c>
      <c r="AU3685">
        <v>8.15</v>
      </c>
      <c r="AV3685" t="s">
        <v>801</v>
      </c>
      <c r="AW3685" t="s">
        <v>336</v>
      </c>
      <c r="AX3685" t="s">
        <v>46897</v>
      </c>
    </row>
    <row r="3686" spans="1:50">
      <c r="A3686" s="1">
        <f>HYPERLINK("https://lsnyc.legalserver.org/matter/dynamic-profile/view/1884862","18-1884862")</f>
        <v>0</v>
      </c>
      <c r="B3686" t="s">
        <v>256</v>
      </c>
      <c r="C3686" t="s">
        <v>340</v>
      </c>
      <c r="D3686" t="s">
        <v>682</v>
      </c>
      <c r="F3686" t="s">
        <v>2581</v>
      </c>
      <c r="G3686" t="s">
        <v>6996</v>
      </c>
      <c r="H3686" t="s">
        <v>12547</v>
      </c>
      <c r="I3686">
        <v>8</v>
      </c>
      <c r="J3686" t="s">
        <v>18894</v>
      </c>
      <c r="K3686">
        <v>11226</v>
      </c>
      <c r="L3686" t="s">
        <v>18958</v>
      </c>
      <c r="M3686" t="s">
        <v>18958</v>
      </c>
      <c r="O3686" t="s">
        <v>26529</v>
      </c>
      <c r="P3686" t="s">
        <v>26562</v>
      </c>
      <c r="R3686" t="s">
        <v>26578</v>
      </c>
      <c r="U3686" t="s">
        <v>26604</v>
      </c>
      <c r="W3686" t="s">
        <v>682</v>
      </c>
      <c r="X3686">
        <v>763.86</v>
      </c>
      <c r="Y3686" t="s">
        <v>26652</v>
      </c>
      <c r="AB3686" t="s">
        <v>29807</v>
      </c>
      <c r="AD3686" t="s">
        <v>39927</v>
      </c>
      <c r="AE3686">
        <v>0</v>
      </c>
      <c r="AF3686" t="s">
        <v>45541</v>
      </c>
      <c r="AH3686">
        <v>21</v>
      </c>
      <c r="AI3686">
        <v>4</v>
      </c>
      <c r="AJ3686">
        <v>1</v>
      </c>
      <c r="AK3686">
        <v>138.68</v>
      </c>
      <c r="AN3686" t="s">
        <v>7439</v>
      </c>
      <c r="AO3686">
        <v>40800</v>
      </c>
      <c r="AU3686">
        <v>1.7</v>
      </c>
      <c r="AV3686" t="s">
        <v>452</v>
      </c>
      <c r="AW3686" t="s">
        <v>219</v>
      </c>
    </row>
    <row r="3687" spans="1:50">
      <c r="A3687" s="1">
        <f>HYPERLINK("https://lsnyc.legalserver.org/matter/dynamic-profile/view/1884823","18-1884823")</f>
        <v>0</v>
      </c>
      <c r="B3687" t="s">
        <v>235</v>
      </c>
      <c r="C3687" t="s">
        <v>340</v>
      </c>
      <c r="D3687" t="s">
        <v>682</v>
      </c>
      <c r="F3687" t="s">
        <v>2754</v>
      </c>
      <c r="G3687" t="s">
        <v>6997</v>
      </c>
      <c r="H3687" t="s">
        <v>12548</v>
      </c>
      <c r="J3687" t="s">
        <v>18901</v>
      </c>
      <c r="K3687">
        <v>11434</v>
      </c>
      <c r="L3687" t="s">
        <v>18958</v>
      </c>
      <c r="M3687" t="s">
        <v>18958</v>
      </c>
      <c r="N3687" t="s">
        <v>21765</v>
      </c>
      <c r="O3687" t="s">
        <v>26524</v>
      </c>
      <c r="P3687" t="s">
        <v>26560</v>
      </c>
      <c r="R3687" t="s">
        <v>26585</v>
      </c>
      <c r="S3687" t="s">
        <v>18959</v>
      </c>
      <c r="U3687" t="s">
        <v>26604</v>
      </c>
      <c r="V3687" t="s">
        <v>26610</v>
      </c>
      <c r="W3687" t="s">
        <v>682</v>
      </c>
      <c r="X3687">
        <v>1878</v>
      </c>
      <c r="Y3687" t="s">
        <v>26653</v>
      </c>
      <c r="Z3687" t="s">
        <v>26668</v>
      </c>
      <c r="AB3687" t="s">
        <v>29808</v>
      </c>
      <c r="AD3687" t="s">
        <v>39928</v>
      </c>
      <c r="AE3687">
        <v>1</v>
      </c>
      <c r="AF3687" t="s">
        <v>45547</v>
      </c>
      <c r="AG3687" t="s">
        <v>45556</v>
      </c>
      <c r="AH3687">
        <v>6</v>
      </c>
      <c r="AI3687">
        <v>1</v>
      </c>
      <c r="AJ3687">
        <v>3</v>
      </c>
      <c r="AK3687">
        <v>14.61</v>
      </c>
      <c r="AN3687" t="s">
        <v>7439</v>
      </c>
      <c r="AO3687">
        <v>3666</v>
      </c>
      <c r="AU3687">
        <v>19.9</v>
      </c>
      <c r="AV3687" t="s">
        <v>834</v>
      </c>
      <c r="AW3687" t="s">
        <v>85</v>
      </c>
    </row>
    <row r="3688" spans="1:50">
      <c r="A3688" s="1">
        <f>HYPERLINK("https://lsnyc.legalserver.org/matter/dynamic-profile/view/1885062","18-1885062")</f>
        <v>0</v>
      </c>
      <c r="B3688" t="s">
        <v>147</v>
      </c>
      <c r="C3688" t="s">
        <v>340</v>
      </c>
      <c r="D3688" t="s">
        <v>688</v>
      </c>
      <c r="F3688" t="s">
        <v>2755</v>
      </c>
      <c r="G3688" t="s">
        <v>2825</v>
      </c>
      <c r="H3688" t="s">
        <v>11510</v>
      </c>
      <c r="J3688" t="s">
        <v>18894</v>
      </c>
      <c r="K3688">
        <v>11226</v>
      </c>
      <c r="L3688" t="s">
        <v>18958</v>
      </c>
      <c r="M3688" t="s">
        <v>18958</v>
      </c>
      <c r="N3688" t="s">
        <v>21766</v>
      </c>
      <c r="O3688" t="s">
        <v>26534</v>
      </c>
      <c r="P3688" t="s">
        <v>26563</v>
      </c>
      <c r="R3688" t="s">
        <v>26578</v>
      </c>
      <c r="S3688" t="s">
        <v>18958</v>
      </c>
      <c r="U3688" t="s">
        <v>26604</v>
      </c>
      <c r="W3688" t="s">
        <v>682</v>
      </c>
      <c r="X3688">
        <v>1295</v>
      </c>
      <c r="Y3688" t="s">
        <v>26652</v>
      </c>
      <c r="Z3688" t="s">
        <v>26663</v>
      </c>
      <c r="AB3688" t="s">
        <v>29809</v>
      </c>
      <c r="AE3688">
        <v>48</v>
      </c>
      <c r="AF3688" t="s">
        <v>45541</v>
      </c>
      <c r="AH3688">
        <v>10</v>
      </c>
      <c r="AI3688">
        <v>2</v>
      </c>
      <c r="AJ3688">
        <v>2</v>
      </c>
      <c r="AK3688">
        <v>163.35</v>
      </c>
      <c r="AN3688" t="s">
        <v>7439</v>
      </c>
      <c r="AO3688">
        <v>41000</v>
      </c>
      <c r="AU3688">
        <v>1.1</v>
      </c>
      <c r="AV3688" t="s">
        <v>718</v>
      </c>
      <c r="AW3688" t="s">
        <v>219</v>
      </c>
    </row>
    <row r="3689" spans="1:50">
      <c r="A3689" s="1">
        <f>HYPERLINK("https://lsnyc.legalserver.org/matter/dynamic-profile/view/1876930","18-1876930")</f>
        <v>0</v>
      </c>
      <c r="B3689" t="s">
        <v>189</v>
      </c>
      <c r="C3689" t="s">
        <v>341</v>
      </c>
      <c r="D3689" t="s">
        <v>504</v>
      </c>
      <c r="E3689" t="s">
        <v>518</v>
      </c>
      <c r="F3689" t="s">
        <v>2756</v>
      </c>
      <c r="G3689" t="s">
        <v>6998</v>
      </c>
      <c r="H3689" t="s">
        <v>11021</v>
      </c>
      <c r="I3689" t="s">
        <v>17275</v>
      </c>
      <c r="J3689" t="s">
        <v>18892</v>
      </c>
      <c r="K3689">
        <v>10452</v>
      </c>
      <c r="L3689" t="s">
        <v>18958</v>
      </c>
      <c r="M3689" t="s">
        <v>18958</v>
      </c>
      <c r="N3689" t="s">
        <v>18993</v>
      </c>
      <c r="O3689" t="s">
        <v>26529</v>
      </c>
      <c r="P3689" t="s">
        <v>26564</v>
      </c>
      <c r="Q3689" t="s">
        <v>26570</v>
      </c>
      <c r="R3689" t="s">
        <v>26578</v>
      </c>
      <c r="S3689" t="s">
        <v>18959</v>
      </c>
      <c r="U3689" t="s">
        <v>26604</v>
      </c>
      <c r="W3689" t="s">
        <v>518</v>
      </c>
      <c r="X3689">
        <v>1075</v>
      </c>
      <c r="Y3689" t="s">
        <v>26650</v>
      </c>
      <c r="Z3689" t="s">
        <v>26663</v>
      </c>
      <c r="AA3689" t="s">
        <v>26683</v>
      </c>
      <c r="AB3689" t="s">
        <v>29810</v>
      </c>
      <c r="AD3689" t="s">
        <v>39929</v>
      </c>
      <c r="AE3689">
        <v>30</v>
      </c>
      <c r="AH3689">
        <v>0</v>
      </c>
      <c r="AI3689">
        <v>3</v>
      </c>
      <c r="AJ3689">
        <v>2</v>
      </c>
      <c r="AK3689">
        <v>74.78</v>
      </c>
      <c r="AN3689" t="s">
        <v>45581</v>
      </c>
      <c r="AO3689">
        <v>22000</v>
      </c>
      <c r="AU3689">
        <v>0.1</v>
      </c>
      <c r="AV3689" t="s">
        <v>518</v>
      </c>
      <c r="AW3689" t="s">
        <v>336</v>
      </c>
    </row>
    <row r="3690" spans="1:50">
      <c r="A3690" s="1">
        <f>HYPERLINK("https://lsnyc.legalserver.org/matter/dynamic-profile/view/1878080","18-1878080")</f>
        <v>0</v>
      </c>
      <c r="B3690" t="s">
        <v>130</v>
      </c>
      <c r="C3690" t="s">
        <v>341</v>
      </c>
      <c r="D3690" t="s">
        <v>534</v>
      </c>
      <c r="E3690" t="s">
        <v>519</v>
      </c>
      <c r="F3690" t="s">
        <v>2757</v>
      </c>
      <c r="G3690" t="s">
        <v>6999</v>
      </c>
      <c r="H3690" t="s">
        <v>11213</v>
      </c>
      <c r="I3690" t="s">
        <v>17582</v>
      </c>
      <c r="J3690" t="s">
        <v>18901</v>
      </c>
      <c r="K3690">
        <v>11433</v>
      </c>
      <c r="L3690" t="s">
        <v>18958</v>
      </c>
      <c r="M3690" t="s">
        <v>18958</v>
      </c>
      <c r="N3690" t="s">
        <v>21767</v>
      </c>
      <c r="O3690" t="s">
        <v>26524</v>
      </c>
      <c r="P3690" t="s">
        <v>26560</v>
      </c>
      <c r="Q3690" t="s">
        <v>26568</v>
      </c>
      <c r="R3690" t="s">
        <v>26585</v>
      </c>
      <c r="S3690" t="s">
        <v>18959</v>
      </c>
      <c r="U3690" t="s">
        <v>26604</v>
      </c>
      <c r="V3690" t="s">
        <v>26610</v>
      </c>
      <c r="W3690" t="s">
        <v>518</v>
      </c>
      <c r="X3690">
        <v>1000</v>
      </c>
      <c r="Y3690" t="s">
        <v>26653</v>
      </c>
      <c r="Z3690" t="s">
        <v>26668</v>
      </c>
      <c r="AA3690" t="s">
        <v>26678</v>
      </c>
      <c r="AB3690" t="s">
        <v>29811</v>
      </c>
      <c r="AD3690" t="s">
        <v>39930</v>
      </c>
      <c r="AE3690">
        <v>3</v>
      </c>
      <c r="AF3690" t="s">
        <v>45547</v>
      </c>
      <c r="AG3690" t="s">
        <v>19330</v>
      </c>
      <c r="AH3690">
        <v>10</v>
      </c>
      <c r="AI3690">
        <v>1</v>
      </c>
      <c r="AJ3690">
        <v>0</v>
      </c>
      <c r="AK3690">
        <v>134.43</v>
      </c>
      <c r="AN3690" t="s">
        <v>7439</v>
      </c>
      <c r="AO3690">
        <v>16320</v>
      </c>
      <c r="AQ3690" t="s">
        <v>46362</v>
      </c>
      <c r="AR3690" t="s">
        <v>46406</v>
      </c>
      <c r="AS3690" t="s">
        <v>46500</v>
      </c>
      <c r="AT3690" t="s">
        <v>46535</v>
      </c>
      <c r="AU3690">
        <v>7.4</v>
      </c>
      <c r="AV3690" t="s">
        <v>519</v>
      </c>
      <c r="AW3690" t="s">
        <v>85</v>
      </c>
    </row>
    <row r="3691" spans="1:50">
      <c r="A3691" s="1">
        <f>HYPERLINK("https://lsnyc.legalserver.org/matter/dynamic-profile/view/1881834","18-1881834")</f>
        <v>0</v>
      </c>
      <c r="B3691" t="s">
        <v>263</v>
      </c>
      <c r="C3691" t="s">
        <v>341</v>
      </c>
      <c r="D3691" t="s">
        <v>624</v>
      </c>
      <c r="E3691" t="s">
        <v>684</v>
      </c>
      <c r="F3691" t="s">
        <v>2758</v>
      </c>
      <c r="G3691" t="s">
        <v>5103</v>
      </c>
      <c r="H3691" t="s">
        <v>12549</v>
      </c>
      <c r="I3691" t="s">
        <v>17301</v>
      </c>
      <c r="J3691" t="s">
        <v>18892</v>
      </c>
      <c r="K3691">
        <v>10456</v>
      </c>
      <c r="L3691" t="s">
        <v>18958</v>
      </c>
      <c r="M3691" t="s">
        <v>18958</v>
      </c>
      <c r="O3691" t="s">
        <v>18997</v>
      </c>
      <c r="P3691" t="s">
        <v>26565</v>
      </c>
      <c r="Q3691" t="s">
        <v>26571</v>
      </c>
      <c r="R3691" t="s">
        <v>26578</v>
      </c>
      <c r="S3691" t="s">
        <v>18959</v>
      </c>
      <c r="U3691" t="s">
        <v>26604</v>
      </c>
      <c r="W3691" t="s">
        <v>518</v>
      </c>
      <c r="X3691">
        <v>441.73</v>
      </c>
      <c r="Y3691" t="s">
        <v>26650</v>
      </c>
      <c r="Z3691" t="s">
        <v>26663</v>
      </c>
      <c r="AA3691" t="s">
        <v>26683</v>
      </c>
      <c r="AB3691" t="s">
        <v>29812</v>
      </c>
      <c r="AE3691">
        <v>0</v>
      </c>
      <c r="AF3691" t="s">
        <v>20460</v>
      </c>
      <c r="AG3691" t="s">
        <v>45556</v>
      </c>
      <c r="AH3691">
        <v>46</v>
      </c>
      <c r="AI3691">
        <v>1</v>
      </c>
      <c r="AJ3691">
        <v>0</v>
      </c>
      <c r="AK3691">
        <v>82.73</v>
      </c>
      <c r="AN3691" t="s">
        <v>7439</v>
      </c>
      <c r="AO3691">
        <v>10044</v>
      </c>
      <c r="AU3691">
        <v>4</v>
      </c>
      <c r="AV3691" t="s">
        <v>684</v>
      </c>
      <c r="AW3691" t="s">
        <v>263</v>
      </c>
    </row>
    <row r="3692" spans="1:50">
      <c r="A3692" s="1">
        <f>HYPERLINK("https://lsnyc.legalserver.org/matter/dynamic-profile/view/1881893","18-1881893")</f>
        <v>0</v>
      </c>
      <c r="B3692" t="s">
        <v>93</v>
      </c>
      <c r="C3692" t="s">
        <v>341</v>
      </c>
      <c r="D3692" t="s">
        <v>645</v>
      </c>
      <c r="E3692" t="s">
        <v>802</v>
      </c>
      <c r="F3692" t="s">
        <v>2329</v>
      </c>
      <c r="G3692" t="s">
        <v>7000</v>
      </c>
      <c r="H3692" t="s">
        <v>12550</v>
      </c>
      <c r="I3692" t="s">
        <v>17997</v>
      </c>
      <c r="J3692" t="s">
        <v>18911</v>
      </c>
      <c r="K3692">
        <v>11375</v>
      </c>
      <c r="L3692" t="s">
        <v>18958</v>
      </c>
      <c r="M3692" t="s">
        <v>18958</v>
      </c>
      <c r="N3692" t="s">
        <v>21768</v>
      </c>
      <c r="O3692" t="s">
        <v>26523</v>
      </c>
      <c r="P3692" t="s">
        <v>26560</v>
      </c>
      <c r="Q3692" t="s">
        <v>26568</v>
      </c>
      <c r="R3692" t="s">
        <v>26578</v>
      </c>
      <c r="S3692" t="s">
        <v>18959</v>
      </c>
      <c r="U3692" t="s">
        <v>26604</v>
      </c>
      <c r="V3692" t="s">
        <v>26610</v>
      </c>
      <c r="W3692" t="s">
        <v>518</v>
      </c>
      <c r="X3692">
        <v>1250</v>
      </c>
      <c r="Y3692" t="s">
        <v>26653</v>
      </c>
      <c r="Z3692" t="s">
        <v>26664</v>
      </c>
      <c r="AA3692" t="s">
        <v>26678</v>
      </c>
      <c r="AB3692" t="s">
        <v>29813</v>
      </c>
      <c r="AD3692" t="s">
        <v>39931</v>
      </c>
      <c r="AE3692">
        <v>100</v>
      </c>
      <c r="AF3692" t="s">
        <v>45547</v>
      </c>
      <c r="AG3692" t="s">
        <v>19330</v>
      </c>
      <c r="AH3692">
        <v>8</v>
      </c>
      <c r="AI3692">
        <v>1</v>
      </c>
      <c r="AJ3692">
        <v>0</v>
      </c>
      <c r="AK3692">
        <v>38.25</v>
      </c>
      <c r="AN3692" t="s">
        <v>7439</v>
      </c>
      <c r="AO3692">
        <v>4644</v>
      </c>
      <c r="AQ3692" t="s">
        <v>46362</v>
      </c>
      <c r="AR3692" t="s">
        <v>46480</v>
      </c>
      <c r="AS3692" t="s">
        <v>46499</v>
      </c>
      <c r="AT3692" t="s">
        <v>46672</v>
      </c>
      <c r="AU3692">
        <v>19.5</v>
      </c>
      <c r="AV3692" t="s">
        <v>737</v>
      </c>
      <c r="AW3692" t="s">
        <v>122</v>
      </c>
    </row>
    <row r="3693" spans="1:50">
      <c r="A3693" s="1">
        <f>HYPERLINK("https://lsnyc.legalserver.org/matter/dynamic-profile/view/1882984","18-1882984")</f>
        <v>0</v>
      </c>
      <c r="B3693" t="s">
        <v>97</v>
      </c>
      <c r="C3693" t="s">
        <v>340</v>
      </c>
      <c r="D3693" t="s">
        <v>651</v>
      </c>
      <c r="F3693" t="s">
        <v>1687</v>
      </c>
      <c r="G3693" t="s">
        <v>5349</v>
      </c>
      <c r="H3693" t="s">
        <v>9792</v>
      </c>
      <c r="I3693" t="s">
        <v>17410</v>
      </c>
      <c r="J3693" t="s">
        <v>18892</v>
      </c>
      <c r="K3693">
        <v>10467</v>
      </c>
      <c r="L3693" t="s">
        <v>18958</v>
      </c>
      <c r="M3693" t="s">
        <v>18958</v>
      </c>
      <c r="N3693" t="s">
        <v>21769</v>
      </c>
      <c r="O3693" t="s">
        <v>26523</v>
      </c>
      <c r="P3693" t="s">
        <v>26560</v>
      </c>
      <c r="R3693" t="s">
        <v>26579</v>
      </c>
      <c r="U3693" t="s">
        <v>26604</v>
      </c>
      <c r="V3693" t="s">
        <v>26611</v>
      </c>
      <c r="W3693" t="s">
        <v>518</v>
      </c>
      <c r="X3693">
        <v>1048</v>
      </c>
      <c r="Y3693" t="s">
        <v>26650</v>
      </c>
      <c r="Z3693" t="s">
        <v>26668</v>
      </c>
      <c r="AB3693" t="s">
        <v>29814</v>
      </c>
      <c r="AD3693" t="s">
        <v>39932</v>
      </c>
      <c r="AE3693">
        <v>61</v>
      </c>
      <c r="AF3693" t="s">
        <v>45541</v>
      </c>
      <c r="AG3693" t="s">
        <v>19330</v>
      </c>
      <c r="AH3693">
        <v>4</v>
      </c>
      <c r="AI3693">
        <v>1</v>
      </c>
      <c r="AJ3693">
        <v>0</v>
      </c>
      <c r="AK3693">
        <v>222.73</v>
      </c>
      <c r="AL3693" t="s">
        <v>709</v>
      </c>
      <c r="AM3693" t="s">
        <v>45575</v>
      </c>
      <c r="AN3693" t="s">
        <v>45581</v>
      </c>
      <c r="AO3693">
        <v>27040</v>
      </c>
      <c r="AU3693">
        <v>14.65</v>
      </c>
      <c r="AV3693" t="s">
        <v>695</v>
      </c>
      <c r="AW3693" t="s">
        <v>46836</v>
      </c>
    </row>
    <row r="3694" spans="1:50">
      <c r="A3694" s="1">
        <f>HYPERLINK("https://lsnyc.legalserver.org/matter/dynamic-profile/view/1883109","18-1883109")</f>
        <v>0</v>
      </c>
      <c r="B3694" t="s">
        <v>108</v>
      </c>
      <c r="C3694" t="s">
        <v>341</v>
      </c>
      <c r="D3694" t="s">
        <v>525</v>
      </c>
      <c r="E3694" t="s">
        <v>689</v>
      </c>
      <c r="F3694" t="s">
        <v>2420</v>
      </c>
      <c r="G3694" t="s">
        <v>5269</v>
      </c>
      <c r="H3694" t="s">
        <v>12551</v>
      </c>
      <c r="J3694" t="s">
        <v>18901</v>
      </c>
      <c r="K3694">
        <v>11434</v>
      </c>
      <c r="L3694" t="s">
        <v>18958</v>
      </c>
      <c r="M3694" t="s">
        <v>18958</v>
      </c>
      <c r="N3694" t="s">
        <v>21770</v>
      </c>
      <c r="O3694" t="s">
        <v>26524</v>
      </c>
      <c r="P3694" t="s">
        <v>26560</v>
      </c>
      <c r="Q3694" t="s">
        <v>26568</v>
      </c>
      <c r="R3694" t="s">
        <v>26585</v>
      </c>
      <c r="S3694" t="s">
        <v>18959</v>
      </c>
      <c r="U3694" t="s">
        <v>26604</v>
      </c>
      <c r="V3694" t="s">
        <v>26610</v>
      </c>
      <c r="W3694" t="s">
        <v>518</v>
      </c>
      <c r="X3694">
        <v>500</v>
      </c>
      <c r="Y3694" t="s">
        <v>26653</v>
      </c>
      <c r="Z3694" t="s">
        <v>26668</v>
      </c>
      <c r="AA3694" t="s">
        <v>26678</v>
      </c>
      <c r="AB3694" t="s">
        <v>29642</v>
      </c>
      <c r="AD3694" t="s">
        <v>39933</v>
      </c>
      <c r="AE3694">
        <v>4</v>
      </c>
      <c r="AF3694" t="s">
        <v>45547</v>
      </c>
      <c r="AG3694" t="s">
        <v>19330</v>
      </c>
      <c r="AH3694">
        <v>9</v>
      </c>
      <c r="AI3694">
        <v>1</v>
      </c>
      <c r="AJ3694">
        <v>0</v>
      </c>
      <c r="AK3694">
        <v>64.25</v>
      </c>
      <c r="AN3694" t="s">
        <v>7439</v>
      </c>
      <c r="AO3694">
        <v>7800</v>
      </c>
      <c r="AQ3694" t="s">
        <v>46362</v>
      </c>
      <c r="AR3694" t="s">
        <v>26530</v>
      </c>
      <c r="AS3694" t="s">
        <v>46499</v>
      </c>
      <c r="AT3694" t="s">
        <v>46624</v>
      </c>
      <c r="AU3694">
        <v>1.7</v>
      </c>
      <c r="AV3694" t="s">
        <v>689</v>
      </c>
      <c r="AW3694" t="s">
        <v>85</v>
      </c>
    </row>
    <row r="3695" spans="1:50">
      <c r="A3695" s="1">
        <f>HYPERLINK("https://lsnyc.legalserver.org/matter/dynamic-profile/view/1883259","18-1883259")</f>
        <v>0</v>
      </c>
      <c r="B3695" t="s">
        <v>138</v>
      </c>
      <c r="C3695" t="s">
        <v>340</v>
      </c>
      <c r="D3695" t="s">
        <v>517</v>
      </c>
      <c r="F3695" t="s">
        <v>1652</v>
      </c>
      <c r="G3695" t="s">
        <v>7001</v>
      </c>
      <c r="H3695" t="s">
        <v>12552</v>
      </c>
      <c r="I3695" t="s">
        <v>17998</v>
      </c>
      <c r="J3695" t="s">
        <v>18893</v>
      </c>
      <c r="K3695">
        <v>10035</v>
      </c>
      <c r="L3695" t="s">
        <v>18958</v>
      </c>
      <c r="M3695" t="s">
        <v>18958</v>
      </c>
      <c r="N3695" t="s">
        <v>21771</v>
      </c>
      <c r="O3695" t="s">
        <v>26523</v>
      </c>
      <c r="P3695" t="s">
        <v>26560</v>
      </c>
      <c r="R3695" t="s">
        <v>26578</v>
      </c>
      <c r="S3695" t="s">
        <v>18959</v>
      </c>
      <c r="U3695" t="s">
        <v>26604</v>
      </c>
      <c r="V3695" t="s">
        <v>26610</v>
      </c>
      <c r="W3695" t="s">
        <v>518</v>
      </c>
      <c r="X3695">
        <v>186</v>
      </c>
      <c r="Y3695" t="s">
        <v>26651</v>
      </c>
      <c r="Z3695" t="s">
        <v>26661</v>
      </c>
      <c r="AB3695" t="s">
        <v>29815</v>
      </c>
      <c r="AD3695" t="s">
        <v>39934</v>
      </c>
      <c r="AE3695">
        <v>134</v>
      </c>
      <c r="AF3695" t="s">
        <v>45543</v>
      </c>
      <c r="AG3695" t="s">
        <v>45556</v>
      </c>
      <c r="AH3695">
        <v>17</v>
      </c>
      <c r="AI3695">
        <v>2</v>
      </c>
      <c r="AJ3695">
        <v>0</v>
      </c>
      <c r="AK3695">
        <v>156.06</v>
      </c>
      <c r="AN3695" t="s">
        <v>7439</v>
      </c>
      <c r="AO3695">
        <v>25688</v>
      </c>
      <c r="AU3695">
        <v>36.8</v>
      </c>
      <c r="AV3695" t="s">
        <v>807</v>
      </c>
      <c r="AW3695" t="s">
        <v>46849</v>
      </c>
      <c r="AX3695" t="s">
        <v>46897</v>
      </c>
    </row>
    <row r="3696" spans="1:50">
      <c r="A3696" s="1">
        <f>HYPERLINK("https://lsnyc.legalserver.org/matter/dynamic-profile/view/1883527","18-1883527")</f>
        <v>0</v>
      </c>
      <c r="B3696" t="s">
        <v>138</v>
      </c>
      <c r="C3696" t="s">
        <v>340</v>
      </c>
      <c r="D3696" t="s">
        <v>664</v>
      </c>
      <c r="F3696" t="s">
        <v>1219</v>
      </c>
      <c r="G3696" t="s">
        <v>5410</v>
      </c>
      <c r="H3696" t="s">
        <v>12553</v>
      </c>
      <c r="I3696" t="s">
        <v>17999</v>
      </c>
      <c r="J3696" t="s">
        <v>18893</v>
      </c>
      <c r="K3696">
        <v>10029</v>
      </c>
      <c r="L3696" t="s">
        <v>18958</v>
      </c>
      <c r="M3696" t="s">
        <v>18958</v>
      </c>
      <c r="N3696" t="s">
        <v>21772</v>
      </c>
      <c r="O3696" t="s">
        <v>26523</v>
      </c>
      <c r="P3696" t="s">
        <v>26560</v>
      </c>
      <c r="R3696" t="s">
        <v>26578</v>
      </c>
      <c r="S3696" t="s">
        <v>18959</v>
      </c>
      <c r="U3696" t="s">
        <v>26604</v>
      </c>
      <c r="V3696" t="s">
        <v>26610</v>
      </c>
      <c r="W3696" t="s">
        <v>518</v>
      </c>
      <c r="X3696">
        <v>2944</v>
      </c>
      <c r="Y3696" t="s">
        <v>26651</v>
      </c>
      <c r="Z3696" t="s">
        <v>26530</v>
      </c>
      <c r="AB3696" t="s">
        <v>29816</v>
      </c>
      <c r="AD3696" t="s">
        <v>39935</v>
      </c>
      <c r="AE3696">
        <v>700</v>
      </c>
      <c r="AF3696" t="s">
        <v>45547</v>
      </c>
      <c r="AG3696" t="s">
        <v>26530</v>
      </c>
      <c r="AH3696">
        <v>35</v>
      </c>
      <c r="AI3696">
        <v>4</v>
      </c>
      <c r="AJ3696">
        <v>1</v>
      </c>
      <c r="AK3696">
        <v>82.94</v>
      </c>
      <c r="AN3696" t="s">
        <v>7439</v>
      </c>
      <c r="AO3696">
        <v>24400</v>
      </c>
      <c r="AU3696">
        <v>72.56999999999999</v>
      </c>
      <c r="AV3696" t="s">
        <v>826</v>
      </c>
      <c r="AW3696" t="s">
        <v>46846</v>
      </c>
    </row>
    <row r="3697" spans="1:50">
      <c r="A3697" s="1">
        <f>HYPERLINK("https://lsnyc.legalserver.org/matter/dynamic-profile/view/1883904","18-1883904")</f>
        <v>0</v>
      </c>
      <c r="B3697" t="s">
        <v>263</v>
      </c>
      <c r="C3697" t="s">
        <v>341</v>
      </c>
      <c r="D3697" t="s">
        <v>669</v>
      </c>
      <c r="E3697" t="s">
        <v>703</v>
      </c>
      <c r="F3697" t="s">
        <v>1049</v>
      </c>
      <c r="G3697" t="s">
        <v>7002</v>
      </c>
      <c r="H3697" t="s">
        <v>12554</v>
      </c>
      <c r="I3697">
        <v>1</v>
      </c>
      <c r="J3697" t="s">
        <v>18892</v>
      </c>
      <c r="K3697">
        <v>10457</v>
      </c>
      <c r="L3697" t="s">
        <v>18958</v>
      </c>
      <c r="M3697" t="s">
        <v>18958</v>
      </c>
      <c r="O3697" t="s">
        <v>26524</v>
      </c>
      <c r="P3697" t="s">
        <v>26564</v>
      </c>
      <c r="Q3697" t="s">
        <v>26570</v>
      </c>
      <c r="R3697" t="s">
        <v>26578</v>
      </c>
      <c r="S3697" t="s">
        <v>18959</v>
      </c>
      <c r="U3697" t="s">
        <v>26604</v>
      </c>
      <c r="V3697" t="s">
        <v>26610</v>
      </c>
      <c r="W3697" t="s">
        <v>518</v>
      </c>
      <c r="X3697">
        <v>900</v>
      </c>
      <c r="Y3697" t="s">
        <v>26650</v>
      </c>
      <c r="Z3697" t="s">
        <v>26657</v>
      </c>
      <c r="AA3697" t="s">
        <v>26683</v>
      </c>
      <c r="AB3697" t="s">
        <v>29817</v>
      </c>
      <c r="AD3697" t="s">
        <v>39936</v>
      </c>
      <c r="AE3697">
        <v>3</v>
      </c>
      <c r="AH3697">
        <v>8</v>
      </c>
      <c r="AI3697">
        <v>1</v>
      </c>
      <c r="AJ3697">
        <v>1</v>
      </c>
      <c r="AK3697">
        <v>151.64</v>
      </c>
      <c r="AN3697" t="s">
        <v>7439</v>
      </c>
      <c r="AO3697">
        <v>24960</v>
      </c>
      <c r="AP3697" t="s">
        <v>45797</v>
      </c>
      <c r="AU3697">
        <v>1.25</v>
      </c>
      <c r="AV3697" t="s">
        <v>703</v>
      </c>
      <c r="AW3697" t="s">
        <v>46849</v>
      </c>
    </row>
    <row r="3698" spans="1:50">
      <c r="A3698" s="1">
        <f>HYPERLINK("https://lsnyc.legalserver.org/matter/dynamic-profile/view/1883970","18-1883970")</f>
        <v>0</v>
      </c>
      <c r="B3698" t="s">
        <v>60</v>
      </c>
      <c r="C3698" t="s">
        <v>340</v>
      </c>
      <c r="D3698" t="s">
        <v>666</v>
      </c>
      <c r="F3698" t="s">
        <v>2121</v>
      </c>
      <c r="G3698" t="s">
        <v>1093</v>
      </c>
      <c r="H3698" t="s">
        <v>12555</v>
      </c>
      <c r="I3698" t="s">
        <v>17322</v>
      </c>
      <c r="J3698" t="s">
        <v>18892</v>
      </c>
      <c r="K3698">
        <v>10453</v>
      </c>
      <c r="L3698" t="s">
        <v>18958</v>
      </c>
      <c r="M3698" t="s">
        <v>18958</v>
      </c>
      <c r="N3698" t="s">
        <v>21773</v>
      </c>
      <c r="O3698" t="s">
        <v>26523</v>
      </c>
      <c r="P3698" t="s">
        <v>26564</v>
      </c>
      <c r="R3698" t="s">
        <v>26578</v>
      </c>
      <c r="U3698" t="s">
        <v>26604</v>
      </c>
      <c r="V3698" t="s">
        <v>26612</v>
      </c>
      <c r="W3698" t="s">
        <v>518</v>
      </c>
      <c r="X3698">
        <v>833.1</v>
      </c>
      <c r="Y3698" t="s">
        <v>26650</v>
      </c>
      <c r="Z3698" t="s">
        <v>26659</v>
      </c>
      <c r="AB3698" t="s">
        <v>29818</v>
      </c>
      <c r="AD3698" t="s">
        <v>39937</v>
      </c>
      <c r="AE3698">
        <v>30</v>
      </c>
      <c r="AF3698" t="s">
        <v>45548</v>
      </c>
      <c r="AG3698" t="s">
        <v>45559</v>
      </c>
      <c r="AH3698">
        <v>7</v>
      </c>
      <c r="AI3698">
        <v>2</v>
      </c>
      <c r="AJ3698">
        <v>0</v>
      </c>
      <c r="AK3698">
        <v>58.32</v>
      </c>
      <c r="AN3698" t="s">
        <v>7439</v>
      </c>
      <c r="AO3698">
        <v>9600</v>
      </c>
      <c r="AP3698" t="s">
        <v>45797</v>
      </c>
      <c r="AU3698">
        <v>1.6</v>
      </c>
      <c r="AV3698" t="s">
        <v>724</v>
      </c>
      <c r="AW3698" t="s">
        <v>46858</v>
      </c>
    </row>
    <row r="3699" spans="1:50">
      <c r="A3699" s="1">
        <f>HYPERLINK("https://lsnyc.legalserver.org/matter/dynamic-profile/view/1885006","18-1885006")</f>
        <v>0</v>
      </c>
      <c r="B3699" t="s">
        <v>247</v>
      </c>
      <c r="C3699" t="s">
        <v>341</v>
      </c>
      <c r="D3699" t="s">
        <v>518</v>
      </c>
      <c r="E3699" t="s">
        <v>703</v>
      </c>
      <c r="F3699" t="s">
        <v>893</v>
      </c>
      <c r="G3699" t="s">
        <v>7003</v>
      </c>
      <c r="H3699" t="s">
        <v>12556</v>
      </c>
      <c r="I3699" t="s">
        <v>17509</v>
      </c>
      <c r="J3699" t="s">
        <v>18918</v>
      </c>
      <c r="K3699">
        <v>11417</v>
      </c>
      <c r="L3699" t="s">
        <v>18958</v>
      </c>
      <c r="M3699" t="s">
        <v>18958</v>
      </c>
      <c r="N3699" t="s">
        <v>21774</v>
      </c>
      <c r="O3699" t="s">
        <v>26523</v>
      </c>
      <c r="P3699" t="s">
        <v>26564</v>
      </c>
      <c r="Q3699" t="s">
        <v>26570</v>
      </c>
      <c r="R3699" t="s">
        <v>26584</v>
      </c>
      <c r="S3699" t="s">
        <v>18959</v>
      </c>
      <c r="U3699" t="s">
        <v>26604</v>
      </c>
      <c r="V3699" t="s">
        <v>26610</v>
      </c>
      <c r="W3699" t="s">
        <v>518</v>
      </c>
      <c r="X3699">
        <v>1050</v>
      </c>
      <c r="Y3699" t="s">
        <v>26653</v>
      </c>
      <c r="Z3699" t="s">
        <v>26664</v>
      </c>
      <c r="AA3699" t="s">
        <v>26678</v>
      </c>
      <c r="AB3699" t="s">
        <v>29819</v>
      </c>
      <c r="AD3699" t="s">
        <v>39938</v>
      </c>
      <c r="AE3699">
        <v>7</v>
      </c>
      <c r="AF3699" t="s">
        <v>45547</v>
      </c>
      <c r="AG3699" t="s">
        <v>19330</v>
      </c>
      <c r="AH3699">
        <v>4</v>
      </c>
      <c r="AI3699">
        <v>1</v>
      </c>
      <c r="AJ3699">
        <v>0</v>
      </c>
      <c r="AK3699">
        <v>90.61</v>
      </c>
      <c r="AN3699" t="s">
        <v>7439</v>
      </c>
      <c r="AO3699">
        <v>11000</v>
      </c>
      <c r="AU3699">
        <v>2.25</v>
      </c>
      <c r="AV3699" t="s">
        <v>703</v>
      </c>
      <c r="AW3699" t="s">
        <v>161</v>
      </c>
      <c r="AX3699" t="s">
        <v>46897</v>
      </c>
    </row>
    <row r="3700" spans="1:50">
      <c r="A3700" s="1">
        <f>HYPERLINK("https://lsnyc.legalserver.org/matter/dynamic-profile/view/1884937","18-1884937")</f>
        <v>0</v>
      </c>
      <c r="B3700" t="s">
        <v>137</v>
      </c>
      <c r="C3700" t="s">
        <v>341</v>
      </c>
      <c r="D3700" t="s">
        <v>518</v>
      </c>
      <c r="E3700" t="s">
        <v>771</v>
      </c>
      <c r="F3700" t="s">
        <v>2759</v>
      </c>
      <c r="G3700" t="s">
        <v>4195</v>
      </c>
      <c r="H3700" t="s">
        <v>12557</v>
      </c>
      <c r="I3700" t="s">
        <v>17293</v>
      </c>
      <c r="J3700" t="s">
        <v>18892</v>
      </c>
      <c r="K3700">
        <v>10457</v>
      </c>
      <c r="L3700" t="s">
        <v>18958</v>
      </c>
      <c r="M3700" t="s">
        <v>18958</v>
      </c>
      <c r="N3700" t="s">
        <v>21775</v>
      </c>
      <c r="O3700" t="s">
        <v>26523</v>
      </c>
      <c r="P3700" t="s">
        <v>26560</v>
      </c>
      <c r="Q3700" t="s">
        <v>26568</v>
      </c>
      <c r="R3700" t="s">
        <v>26579</v>
      </c>
      <c r="S3700" t="s">
        <v>18959</v>
      </c>
      <c r="U3700" t="s">
        <v>26604</v>
      </c>
      <c r="V3700" t="s">
        <v>26609</v>
      </c>
      <c r="W3700" t="s">
        <v>518</v>
      </c>
      <c r="X3700">
        <v>989.5700000000001</v>
      </c>
      <c r="Y3700" t="s">
        <v>26650</v>
      </c>
      <c r="Z3700" t="s">
        <v>26664</v>
      </c>
      <c r="AA3700" t="s">
        <v>26678</v>
      </c>
      <c r="AB3700" t="s">
        <v>29820</v>
      </c>
      <c r="AC3700" t="s">
        <v>35593</v>
      </c>
      <c r="AD3700" t="s">
        <v>39939</v>
      </c>
      <c r="AE3700">
        <v>15</v>
      </c>
      <c r="AF3700" t="s">
        <v>45541</v>
      </c>
      <c r="AG3700" t="s">
        <v>45562</v>
      </c>
      <c r="AH3700">
        <v>3</v>
      </c>
      <c r="AI3700">
        <v>1</v>
      </c>
      <c r="AJ3700">
        <v>0</v>
      </c>
      <c r="AK3700">
        <v>73.15000000000001</v>
      </c>
      <c r="AN3700" t="s">
        <v>7439</v>
      </c>
      <c r="AO3700">
        <v>8880</v>
      </c>
      <c r="AR3700" t="s">
        <v>46397</v>
      </c>
      <c r="AS3700" t="s">
        <v>46499</v>
      </c>
      <c r="AT3700" t="s">
        <v>46615</v>
      </c>
      <c r="AU3700">
        <v>17.5</v>
      </c>
      <c r="AV3700" t="s">
        <v>779</v>
      </c>
      <c r="AW3700" t="s">
        <v>46847</v>
      </c>
    </row>
    <row r="3701" spans="1:50">
      <c r="A3701" s="1">
        <f>HYPERLINK("https://lsnyc.legalserver.org/matter/dynamic-profile/view/1884991","18-1884991")</f>
        <v>0</v>
      </c>
      <c r="B3701" t="s">
        <v>137</v>
      </c>
      <c r="C3701" t="s">
        <v>341</v>
      </c>
      <c r="D3701" t="s">
        <v>518</v>
      </c>
      <c r="E3701" t="s">
        <v>806</v>
      </c>
      <c r="F3701" t="s">
        <v>1629</v>
      </c>
      <c r="G3701" t="s">
        <v>6171</v>
      </c>
      <c r="H3701" t="s">
        <v>10490</v>
      </c>
      <c r="I3701" t="s">
        <v>17410</v>
      </c>
      <c r="J3701" t="s">
        <v>18892</v>
      </c>
      <c r="K3701">
        <v>10467</v>
      </c>
      <c r="L3701" t="s">
        <v>18958</v>
      </c>
      <c r="M3701" t="s">
        <v>18958</v>
      </c>
      <c r="N3701" t="s">
        <v>21776</v>
      </c>
      <c r="O3701" t="s">
        <v>26523</v>
      </c>
      <c r="P3701" t="s">
        <v>26560</v>
      </c>
      <c r="Q3701" t="s">
        <v>26568</v>
      </c>
      <c r="R3701" t="s">
        <v>26579</v>
      </c>
      <c r="S3701" t="s">
        <v>18959</v>
      </c>
      <c r="U3701" t="s">
        <v>26604</v>
      </c>
      <c r="V3701" t="s">
        <v>26609</v>
      </c>
      <c r="W3701" t="s">
        <v>518</v>
      </c>
      <c r="X3701">
        <v>1121</v>
      </c>
      <c r="Y3701" t="s">
        <v>26650</v>
      </c>
      <c r="Z3701" t="s">
        <v>26664</v>
      </c>
      <c r="AA3701" t="s">
        <v>26678</v>
      </c>
      <c r="AB3701" t="s">
        <v>29821</v>
      </c>
      <c r="AC3701" t="s">
        <v>35594</v>
      </c>
      <c r="AD3701" t="s">
        <v>39940</v>
      </c>
      <c r="AE3701">
        <v>80</v>
      </c>
      <c r="AF3701" t="s">
        <v>45541</v>
      </c>
      <c r="AG3701" t="s">
        <v>19330</v>
      </c>
      <c r="AH3701">
        <v>2</v>
      </c>
      <c r="AI3701">
        <v>1</v>
      </c>
      <c r="AJ3701">
        <v>2</v>
      </c>
      <c r="AK3701">
        <v>197.31</v>
      </c>
      <c r="AN3701" t="s">
        <v>7439</v>
      </c>
      <c r="AO3701">
        <v>41000</v>
      </c>
      <c r="AS3701" t="s">
        <v>46499</v>
      </c>
      <c r="AT3701" t="s">
        <v>46619</v>
      </c>
      <c r="AU3701">
        <v>13.5</v>
      </c>
      <c r="AV3701" t="s">
        <v>775</v>
      </c>
      <c r="AW3701" t="s">
        <v>46847</v>
      </c>
    </row>
    <row r="3702" spans="1:50">
      <c r="A3702" s="1">
        <f>HYPERLINK("https://lsnyc.legalserver.org/matter/dynamic-profile/view/1884930","18-1884930")</f>
        <v>0</v>
      </c>
      <c r="B3702" t="s">
        <v>153</v>
      </c>
      <c r="C3702" t="s">
        <v>341</v>
      </c>
      <c r="D3702" t="s">
        <v>518</v>
      </c>
      <c r="E3702" t="s">
        <v>830</v>
      </c>
      <c r="F3702" t="s">
        <v>879</v>
      </c>
      <c r="G3702" t="s">
        <v>7004</v>
      </c>
      <c r="H3702" t="s">
        <v>12558</v>
      </c>
      <c r="I3702" t="s">
        <v>17465</v>
      </c>
      <c r="J3702" t="s">
        <v>18902</v>
      </c>
      <c r="K3702">
        <v>10303</v>
      </c>
      <c r="L3702" t="s">
        <v>18958</v>
      </c>
      <c r="M3702" t="s">
        <v>18958</v>
      </c>
      <c r="N3702" t="s">
        <v>21777</v>
      </c>
      <c r="O3702" t="s">
        <v>26523</v>
      </c>
      <c r="P3702" t="s">
        <v>26560</v>
      </c>
      <c r="Q3702" t="s">
        <v>26568</v>
      </c>
      <c r="R3702" t="s">
        <v>26590</v>
      </c>
      <c r="S3702" t="s">
        <v>18959</v>
      </c>
      <c r="U3702" t="s">
        <v>26604</v>
      </c>
      <c r="V3702" t="s">
        <v>26610</v>
      </c>
      <c r="W3702" t="s">
        <v>518</v>
      </c>
      <c r="X3702">
        <v>850</v>
      </c>
      <c r="Y3702" t="s">
        <v>26654</v>
      </c>
      <c r="Z3702" t="s">
        <v>26668</v>
      </c>
      <c r="AA3702" t="s">
        <v>26678</v>
      </c>
      <c r="AB3702" t="s">
        <v>29822</v>
      </c>
      <c r="AD3702" t="s">
        <v>39941</v>
      </c>
      <c r="AE3702">
        <v>0</v>
      </c>
      <c r="AF3702" t="s">
        <v>45541</v>
      </c>
      <c r="AG3702" t="s">
        <v>19330</v>
      </c>
      <c r="AH3702">
        <v>8</v>
      </c>
      <c r="AI3702">
        <v>2</v>
      </c>
      <c r="AJ3702">
        <v>0</v>
      </c>
      <c r="AK3702">
        <v>126.37</v>
      </c>
      <c r="AO3702">
        <v>20800</v>
      </c>
      <c r="AS3702" t="s">
        <v>46499</v>
      </c>
      <c r="AU3702">
        <v>2.5</v>
      </c>
      <c r="AV3702" t="s">
        <v>720</v>
      </c>
      <c r="AW3702" t="s">
        <v>210</v>
      </c>
    </row>
    <row r="3703" spans="1:50">
      <c r="A3703" s="1">
        <f>HYPERLINK("https://lsnyc.legalserver.org/matter/dynamic-profile/view/1884919","18-1884919")</f>
        <v>0</v>
      </c>
      <c r="B3703" t="s">
        <v>153</v>
      </c>
      <c r="C3703" t="s">
        <v>341</v>
      </c>
      <c r="D3703" t="s">
        <v>518</v>
      </c>
      <c r="E3703" t="s">
        <v>762</v>
      </c>
      <c r="F3703" t="s">
        <v>893</v>
      </c>
      <c r="G3703" t="s">
        <v>1495</v>
      </c>
      <c r="H3703" t="s">
        <v>12559</v>
      </c>
      <c r="I3703" t="s">
        <v>18000</v>
      </c>
      <c r="J3703" t="s">
        <v>18902</v>
      </c>
      <c r="K3703">
        <v>10314</v>
      </c>
      <c r="L3703" t="s">
        <v>18958</v>
      </c>
      <c r="M3703" t="s">
        <v>18958</v>
      </c>
      <c r="N3703" t="s">
        <v>21778</v>
      </c>
      <c r="O3703" t="s">
        <v>26523</v>
      </c>
      <c r="P3703" t="s">
        <v>26560</v>
      </c>
      <c r="Q3703" t="s">
        <v>26568</v>
      </c>
      <c r="R3703" t="s">
        <v>26590</v>
      </c>
      <c r="S3703" t="s">
        <v>18959</v>
      </c>
      <c r="U3703" t="s">
        <v>26604</v>
      </c>
      <c r="V3703" t="s">
        <v>26610</v>
      </c>
      <c r="W3703" t="s">
        <v>518</v>
      </c>
      <c r="X3703">
        <v>1200</v>
      </c>
      <c r="Y3703" t="s">
        <v>26654</v>
      </c>
      <c r="Z3703" t="s">
        <v>26668</v>
      </c>
      <c r="AA3703" t="s">
        <v>26679</v>
      </c>
      <c r="AB3703" t="s">
        <v>29823</v>
      </c>
      <c r="AD3703" t="s">
        <v>39942</v>
      </c>
      <c r="AE3703">
        <v>50</v>
      </c>
      <c r="AF3703" t="s">
        <v>45547</v>
      </c>
      <c r="AH3703">
        <v>0</v>
      </c>
      <c r="AI3703">
        <v>1</v>
      </c>
      <c r="AJ3703">
        <v>0</v>
      </c>
      <c r="AK3703">
        <v>153.99</v>
      </c>
      <c r="AN3703" t="s">
        <v>7439</v>
      </c>
      <c r="AO3703">
        <v>18693.96</v>
      </c>
      <c r="AQ3703" t="s">
        <v>46376</v>
      </c>
      <c r="AS3703" t="s">
        <v>46500</v>
      </c>
      <c r="AT3703" t="s">
        <v>46604</v>
      </c>
      <c r="AU3703">
        <v>8.050000000000001</v>
      </c>
      <c r="AV3703" t="s">
        <v>755</v>
      </c>
      <c r="AW3703" t="s">
        <v>210</v>
      </c>
    </row>
    <row r="3704" spans="1:50">
      <c r="A3704" s="1">
        <f>HYPERLINK("https://lsnyc.legalserver.org/matter/dynamic-profile/view/1885022","18-1885022")</f>
        <v>0</v>
      </c>
      <c r="B3704" t="s">
        <v>214</v>
      </c>
      <c r="C3704" t="s">
        <v>341</v>
      </c>
      <c r="D3704" t="s">
        <v>518</v>
      </c>
      <c r="E3704" t="s">
        <v>751</v>
      </c>
      <c r="F3704" t="s">
        <v>2760</v>
      </c>
      <c r="G3704" t="s">
        <v>4406</v>
      </c>
      <c r="H3704" t="s">
        <v>12560</v>
      </c>
      <c r="I3704" t="s">
        <v>17374</v>
      </c>
      <c r="J3704" t="s">
        <v>18900</v>
      </c>
      <c r="K3704">
        <v>11358</v>
      </c>
      <c r="L3704" t="s">
        <v>18958</v>
      </c>
      <c r="M3704" t="s">
        <v>18958</v>
      </c>
      <c r="N3704" t="s">
        <v>21779</v>
      </c>
      <c r="O3704" t="s">
        <v>26524</v>
      </c>
      <c r="P3704" t="s">
        <v>26560</v>
      </c>
      <c r="Q3704" t="s">
        <v>26568</v>
      </c>
      <c r="R3704" t="s">
        <v>26578</v>
      </c>
      <c r="S3704" t="s">
        <v>18959</v>
      </c>
      <c r="U3704" t="s">
        <v>26604</v>
      </c>
      <c r="V3704" t="s">
        <v>26611</v>
      </c>
      <c r="W3704" t="s">
        <v>518</v>
      </c>
      <c r="X3704">
        <v>1050</v>
      </c>
      <c r="Y3704" t="s">
        <v>26653</v>
      </c>
      <c r="Z3704" t="s">
        <v>26664</v>
      </c>
      <c r="AA3704" t="s">
        <v>26679</v>
      </c>
      <c r="AB3704" t="s">
        <v>29824</v>
      </c>
      <c r="AD3704" t="s">
        <v>39943</v>
      </c>
      <c r="AE3704">
        <v>3</v>
      </c>
      <c r="AF3704" t="s">
        <v>45547</v>
      </c>
      <c r="AG3704" t="s">
        <v>19330</v>
      </c>
      <c r="AH3704">
        <v>1</v>
      </c>
      <c r="AI3704">
        <v>2</v>
      </c>
      <c r="AJ3704">
        <v>0</v>
      </c>
      <c r="AK3704">
        <v>0</v>
      </c>
      <c r="AN3704" t="s">
        <v>45583</v>
      </c>
      <c r="AO3704">
        <v>0</v>
      </c>
      <c r="AQ3704" t="s">
        <v>46368</v>
      </c>
      <c r="AR3704" t="s">
        <v>26530</v>
      </c>
      <c r="AS3704" t="s">
        <v>46500</v>
      </c>
      <c r="AT3704" t="s">
        <v>46739</v>
      </c>
      <c r="AU3704">
        <v>24.68</v>
      </c>
      <c r="AV3704" t="s">
        <v>416</v>
      </c>
      <c r="AW3704" t="s">
        <v>161</v>
      </c>
    </row>
    <row r="3705" spans="1:50">
      <c r="A3705" s="1">
        <f>HYPERLINK("https://lsnyc.legalserver.org/matter/dynamic-profile/view/1884993","18-1884993")</f>
        <v>0</v>
      </c>
      <c r="B3705" t="s">
        <v>214</v>
      </c>
      <c r="C3705" t="s">
        <v>341</v>
      </c>
      <c r="D3705" t="s">
        <v>518</v>
      </c>
      <c r="E3705" t="s">
        <v>697</v>
      </c>
      <c r="F3705" t="s">
        <v>2761</v>
      </c>
      <c r="G3705" t="s">
        <v>7005</v>
      </c>
      <c r="H3705" t="s">
        <v>12561</v>
      </c>
      <c r="I3705" t="s">
        <v>17509</v>
      </c>
      <c r="J3705" t="s">
        <v>18907</v>
      </c>
      <c r="K3705">
        <v>11377</v>
      </c>
      <c r="L3705" t="s">
        <v>18958</v>
      </c>
      <c r="M3705" t="s">
        <v>18958</v>
      </c>
      <c r="N3705" t="s">
        <v>21780</v>
      </c>
      <c r="O3705" t="s">
        <v>26523</v>
      </c>
      <c r="P3705" t="s">
        <v>26564</v>
      </c>
      <c r="Q3705" t="s">
        <v>26570</v>
      </c>
      <c r="R3705" t="s">
        <v>26578</v>
      </c>
      <c r="S3705" t="s">
        <v>18959</v>
      </c>
      <c r="U3705" t="s">
        <v>26604</v>
      </c>
      <c r="V3705" t="s">
        <v>26610</v>
      </c>
      <c r="W3705" t="s">
        <v>518</v>
      </c>
      <c r="X3705">
        <v>1700</v>
      </c>
      <c r="Y3705" t="s">
        <v>26653</v>
      </c>
      <c r="Z3705" t="s">
        <v>26664</v>
      </c>
      <c r="AA3705" t="s">
        <v>26683</v>
      </c>
      <c r="AB3705" t="s">
        <v>29825</v>
      </c>
      <c r="AD3705" t="s">
        <v>39944</v>
      </c>
      <c r="AE3705">
        <v>113</v>
      </c>
      <c r="AF3705" t="s">
        <v>45541</v>
      </c>
      <c r="AG3705" t="s">
        <v>19330</v>
      </c>
      <c r="AH3705">
        <v>6</v>
      </c>
      <c r="AI3705">
        <v>1</v>
      </c>
      <c r="AJ3705">
        <v>0</v>
      </c>
      <c r="AK3705">
        <v>172.98</v>
      </c>
      <c r="AN3705" t="s">
        <v>7439</v>
      </c>
      <c r="AO3705">
        <v>21000</v>
      </c>
      <c r="AU3705">
        <v>0.9</v>
      </c>
      <c r="AV3705" t="s">
        <v>691</v>
      </c>
      <c r="AW3705" t="s">
        <v>161</v>
      </c>
    </row>
    <row r="3706" spans="1:50">
      <c r="A3706" s="1">
        <f>HYPERLINK("https://lsnyc.legalserver.org/matter/dynamic-profile/view/1884928","18-1884928")</f>
        <v>0</v>
      </c>
      <c r="B3706" t="s">
        <v>182</v>
      </c>
      <c r="C3706" t="s">
        <v>341</v>
      </c>
      <c r="D3706" t="s">
        <v>518</v>
      </c>
      <c r="E3706" t="s">
        <v>770</v>
      </c>
      <c r="F3706" t="s">
        <v>1252</v>
      </c>
      <c r="G3706" t="s">
        <v>7006</v>
      </c>
      <c r="H3706" t="s">
        <v>12562</v>
      </c>
      <c r="I3706" t="s">
        <v>17430</v>
      </c>
      <c r="J3706" t="s">
        <v>18892</v>
      </c>
      <c r="K3706">
        <v>10473</v>
      </c>
      <c r="L3706" t="s">
        <v>18958</v>
      </c>
      <c r="M3706" t="s">
        <v>18958</v>
      </c>
      <c r="N3706" t="s">
        <v>21781</v>
      </c>
      <c r="O3706" t="s">
        <v>26524</v>
      </c>
      <c r="P3706" t="s">
        <v>26560</v>
      </c>
      <c r="Q3706" t="s">
        <v>26569</v>
      </c>
      <c r="R3706" t="s">
        <v>26577</v>
      </c>
      <c r="U3706" t="s">
        <v>26604</v>
      </c>
      <c r="V3706" t="s">
        <v>26612</v>
      </c>
      <c r="W3706" t="s">
        <v>518</v>
      </c>
      <c r="X3706">
        <v>1650</v>
      </c>
      <c r="Y3706" t="s">
        <v>26650</v>
      </c>
      <c r="Z3706" t="s">
        <v>26530</v>
      </c>
      <c r="AA3706" t="s">
        <v>26679</v>
      </c>
      <c r="AB3706" t="s">
        <v>29826</v>
      </c>
      <c r="AC3706">
        <v>739316995</v>
      </c>
      <c r="AD3706" t="s">
        <v>39945</v>
      </c>
      <c r="AE3706">
        <v>0</v>
      </c>
      <c r="AF3706" t="s">
        <v>45547</v>
      </c>
      <c r="AG3706" t="s">
        <v>45564</v>
      </c>
      <c r="AH3706">
        <v>2</v>
      </c>
      <c r="AI3706">
        <v>1</v>
      </c>
      <c r="AJ3706">
        <v>3</v>
      </c>
      <c r="AK3706">
        <v>116.65</v>
      </c>
      <c r="AN3706" t="s">
        <v>45581</v>
      </c>
      <c r="AO3706">
        <v>29280</v>
      </c>
      <c r="AQ3706" t="s">
        <v>46366</v>
      </c>
      <c r="AR3706" t="s">
        <v>46422</v>
      </c>
      <c r="AS3706" t="s">
        <v>46499</v>
      </c>
      <c r="AT3706" t="s">
        <v>46524</v>
      </c>
      <c r="AU3706">
        <v>19</v>
      </c>
      <c r="AV3706" t="s">
        <v>770</v>
      </c>
      <c r="AW3706" t="s">
        <v>46871</v>
      </c>
    </row>
    <row r="3707" spans="1:50">
      <c r="A3707" s="1">
        <f>HYPERLINK("https://lsnyc.legalserver.org/matter/dynamic-profile/view/1884948","18-1884948")</f>
        <v>0</v>
      </c>
      <c r="B3707" t="s">
        <v>182</v>
      </c>
      <c r="C3707" t="s">
        <v>341</v>
      </c>
      <c r="D3707" t="s">
        <v>518</v>
      </c>
      <c r="E3707" t="s">
        <v>770</v>
      </c>
      <c r="F3707" t="s">
        <v>2762</v>
      </c>
      <c r="G3707" t="s">
        <v>5479</v>
      </c>
      <c r="H3707" t="s">
        <v>12563</v>
      </c>
      <c r="I3707" t="s">
        <v>17315</v>
      </c>
      <c r="J3707" t="s">
        <v>18892</v>
      </c>
      <c r="K3707">
        <v>10457</v>
      </c>
      <c r="L3707" t="s">
        <v>18958</v>
      </c>
      <c r="M3707" t="s">
        <v>18958</v>
      </c>
      <c r="N3707" t="s">
        <v>21782</v>
      </c>
      <c r="O3707" t="s">
        <v>26523</v>
      </c>
      <c r="P3707" t="s">
        <v>26560</v>
      </c>
      <c r="Q3707" t="s">
        <v>26569</v>
      </c>
      <c r="R3707" t="s">
        <v>26579</v>
      </c>
      <c r="U3707" t="s">
        <v>26604</v>
      </c>
      <c r="V3707" t="s">
        <v>26610</v>
      </c>
      <c r="W3707" t="s">
        <v>518</v>
      </c>
      <c r="X3707">
        <v>932</v>
      </c>
      <c r="Y3707" t="s">
        <v>26650</v>
      </c>
      <c r="Z3707" t="s">
        <v>26664</v>
      </c>
      <c r="AA3707" t="s">
        <v>26678</v>
      </c>
      <c r="AB3707" t="s">
        <v>29827</v>
      </c>
      <c r="AD3707" t="s">
        <v>39946</v>
      </c>
      <c r="AE3707">
        <v>0</v>
      </c>
      <c r="AF3707" t="s">
        <v>45541</v>
      </c>
      <c r="AG3707" t="s">
        <v>19330</v>
      </c>
      <c r="AH3707">
        <v>8</v>
      </c>
      <c r="AI3707">
        <v>1</v>
      </c>
      <c r="AJ3707">
        <v>0</v>
      </c>
      <c r="AK3707">
        <v>173.9</v>
      </c>
      <c r="AN3707" t="s">
        <v>7439</v>
      </c>
      <c r="AO3707">
        <v>21112</v>
      </c>
      <c r="AQ3707" t="s">
        <v>46362</v>
      </c>
      <c r="AR3707" t="s">
        <v>46381</v>
      </c>
      <c r="AS3707" t="s">
        <v>46499</v>
      </c>
      <c r="AT3707" t="s">
        <v>46660</v>
      </c>
      <c r="AU3707">
        <v>9.800000000000001</v>
      </c>
      <c r="AV3707" t="s">
        <v>657</v>
      </c>
      <c r="AW3707" t="s">
        <v>334</v>
      </c>
    </row>
    <row r="3708" spans="1:50">
      <c r="A3708" s="1">
        <f>HYPERLINK("https://lsnyc.legalserver.org/matter/dynamic-profile/view/1884927","18-1884927")</f>
        <v>0</v>
      </c>
      <c r="B3708" t="s">
        <v>65</v>
      </c>
      <c r="C3708" t="s">
        <v>341</v>
      </c>
      <c r="D3708" t="s">
        <v>518</v>
      </c>
      <c r="E3708" t="s">
        <v>768</v>
      </c>
      <c r="F3708" t="s">
        <v>1032</v>
      </c>
      <c r="G3708" t="s">
        <v>5311</v>
      </c>
      <c r="H3708" t="s">
        <v>12564</v>
      </c>
      <c r="I3708" t="s">
        <v>17496</v>
      </c>
      <c r="J3708" t="s">
        <v>18892</v>
      </c>
      <c r="K3708">
        <v>10457</v>
      </c>
      <c r="L3708" t="s">
        <v>18958</v>
      </c>
      <c r="M3708" t="s">
        <v>18958</v>
      </c>
      <c r="N3708" t="s">
        <v>21783</v>
      </c>
      <c r="O3708" t="s">
        <v>26523</v>
      </c>
      <c r="P3708" t="s">
        <v>26560</v>
      </c>
      <c r="Q3708" t="s">
        <v>26573</v>
      </c>
      <c r="R3708" t="s">
        <v>26579</v>
      </c>
      <c r="U3708" t="s">
        <v>26604</v>
      </c>
      <c r="V3708" t="s">
        <v>26610</v>
      </c>
      <c r="W3708" t="s">
        <v>518</v>
      </c>
      <c r="X3708">
        <v>631.6900000000001</v>
      </c>
      <c r="Y3708" t="s">
        <v>26650</v>
      </c>
      <c r="Z3708" t="s">
        <v>26664</v>
      </c>
      <c r="AA3708" t="s">
        <v>26678</v>
      </c>
      <c r="AB3708" t="s">
        <v>29828</v>
      </c>
      <c r="AC3708" t="s">
        <v>35595</v>
      </c>
      <c r="AD3708" t="s">
        <v>39947</v>
      </c>
      <c r="AE3708">
        <v>0</v>
      </c>
      <c r="AF3708" t="s">
        <v>45553</v>
      </c>
      <c r="AG3708" t="s">
        <v>19330</v>
      </c>
      <c r="AH3708">
        <v>38</v>
      </c>
      <c r="AI3708">
        <v>1</v>
      </c>
      <c r="AJ3708">
        <v>0</v>
      </c>
      <c r="AK3708">
        <v>0</v>
      </c>
      <c r="AO3708">
        <v>0</v>
      </c>
      <c r="AQ3708" t="s">
        <v>46362</v>
      </c>
      <c r="AR3708" t="s">
        <v>46385</v>
      </c>
      <c r="AS3708" t="s">
        <v>46499</v>
      </c>
      <c r="AT3708" t="s">
        <v>46641</v>
      </c>
      <c r="AU3708">
        <v>12.3</v>
      </c>
      <c r="AV3708" t="s">
        <v>768</v>
      </c>
      <c r="AW3708" t="s">
        <v>334</v>
      </c>
    </row>
    <row r="3709" spans="1:50">
      <c r="A3709" s="1">
        <f>HYPERLINK("https://lsnyc.legalserver.org/matter/dynamic-profile/view/1884903","18-1884903")</f>
        <v>0</v>
      </c>
      <c r="B3709" t="s">
        <v>65</v>
      </c>
      <c r="C3709" t="s">
        <v>341</v>
      </c>
      <c r="D3709" t="s">
        <v>518</v>
      </c>
      <c r="E3709" t="s">
        <v>857</v>
      </c>
      <c r="F3709" t="s">
        <v>2763</v>
      </c>
      <c r="G3709" t="s">
        <v>7007</v>
      </c>
      <c r="H3709" t="s">
        <v>10867</v>
      </c>
      <c r="I3709">
        <v>1</v>
      </c>
      <c r="J3709" t="s">
        <v>18892</v>
      </c>
      <c r="K3709">
        <v>10467</v>
      </c>
      <c r="L3709" t="s">
        <v>18958</v>
      </c>
      <c r="M3709" t="s">
        <v>18958</v>
      </c>
      <c r="N3709" t="s">
        <v>21784</v>
      </c>
      <c r="O3709" t="s">
        <v>26523</v>
      </c>
      <c r="P3709" t="s">
        <v>26560</v>
      </c>
      <c r="Q3709" t="s">
        <v>26568</v>
      </c>
      <c r="R3709" t="s">
        <v>26579</v>
      </c>
      <c r="U3709" t="s">
        <v>26604</v>
      </c>
      <c r="V3709" t="s">
        <v>26610</v>
      </c>
      <c r="W3709" t="s">
        <v>518</v>
      </c>
      <c r="X3709">
        <v>1178.85</v>
      </c>
      <c r="Y3709" t="s">
        <v>26650</v>
      </c>
      <c r="Z3709" t="s">
        <v>26664</v>
      </c>
      <c r="AA3709" t="s">
        <v>26678</v>
      </c>
      <c r="AB3709" t="s">
        <v>29829</v>
      </c>
      <c r="AD3709" t="s">
        <v>39948</v>
      </c>
      <c r="AE3709">
        <v>8</v>
      </c>
      <c r="AF3709" t="s">
        <v>45541</v>
      </c>
      <c r="AG3709" t="s">
        <v>19330</v>
      </c>
      <c r="AH3709">
        <v>17</v>
      </c>
      <c r="AI3709">
        <v>3</v>
      </c>
      <c r="AJ3709">
        <v>2</v>
      </c>
      <c r="AK3709">
        <v>97.20999999999999</v>
      </c>
      <c r="AN3709" t="s">
        <v>7439</v>
      </c>
      <c r="AO3709">
        <v>28600</v>
      </c>
      <c r="AR3709" t="s">
        <v>46385</v>
      </c>
      <c r="AS3709" t="s">
        <v>46499</v>
      </c>
      <c r="AT3709" t="s">
        <v>46606</v>
      </c>
      <c r="AU3709">
        <v>9.800000000000001</v>
      </c>
      <c r="AV3709" t="s">
        <v>787</v>
      </c>
      <c r="AW3709" t="s">
        <v>334</v>
      </c>
    </row>
    <row r="3710" spans="1:50">
      <c r="A3710" s="1">
        <f>HYPERLINK("https://lsnyc.legalserver.org/matter/dynamic-profile/view/1884906","18-1884906")</f>
        <v>0</v>
      </c>
      <c r="B3710" t="s">
        <v>87</v>
      </c>
      <c r="C3710" t="s">
        <v>341</v>
      </c>
      <c r="D3710" t="s">
        <v>518</v>
      </c>
      <c r="E3710" t="s">
        <v>719</v>
      </c>
      <c r="F3710" t="s">
        <v>998</v>
      </c>
      <c r="G3710" t="s">
        <v>7008</v>
      </c>
      <c r="H3710" t="s">
        <v>12565</v>
      </c>
      <c r="I3710" t="s">
        <v>17550</v>
      </c>
      <c r="J3710" t="s">
        <v>18892</v>
      </c>
      <c r="K3710">
        <v>10458</v>
      </c>
      <c r="L3710" t="s">
        <v>18958</v>
      </c>
      <c r="M3710" t="s">
        <v>18958</v>
      </c>
      <c r="N3710" t="s">
        <v>21785</v>
      </c>
      <c r="O3710" t="s">
        <v>26523</v>
      </c>
      <c r="P3710" t="s">
        <v>26564</v>
      </c>
      <c r="Q3710" t="s">
        <v>26570</v>
      </c>
      <c r="R3710" t="s">
        <v>26577</v>
      </c>
      <c r="S3710" t="s">
        <v>18959</v>
      </c>
      <c r="U3710" t="s">
        <v>26604</v>
      </c>
      <c r="W3710" t="s">
        <v>518</v>
      </c>
      <c r="X3710">
        <v>960.37</v>
      </c>
      <c r="Y3710" t="s">
        <v>26650</v>
      </c>
      <c r="Z3710" t="s">
        <v>26530</v>
      </c>
      <c r="AA3710" t="s">
        <v>26678</v>
      </c>
      <c r="AB3710" t="s">
        <v>29830</v>
      </c>
      <c r="AD3710" t="s">
        <v>39949</v>
      </c>
      <c r="AE3710">
        <v>0</v>
      </c>
      <c r="AF3710" t="s">
        <v>45541</v>
      </c>
      <c r="AG3710" t="s">
        <v>19330</v>
      </c>
      <c r="AH3710">
        <v>25</v>
      </c>
      <c r="AI3710">
        <v>2</v>
      </c>
      <c r="AJ3710">
        <v>0</v>
      </c>
      <c r="AK3710">
        <v>132.69</v>
      </c>
      <c r="AN3710" t="s">
        <v>7439</v>
      </c>
      <c r="AO3710">
        <v>21840</v>
      </c>
      <c r="AU3710">
        <v>1.3</v>
      </c>
      <c r="AV3710" t="s">
        <v>719</v>
      </c>
      <c r="AW3710" t="s">
        <v>46871</v>
      </c>
    </row>
    <row r="3711" spans="1:50">
      <c r="A3711" s="1">
        <f>HYPERLINK("https://lsnyc.legalserver.org/matter/dynamic-profile/view/1884918","18-1884918")</f>
        <v>0</v>
      </c>
      <c r="B3711" t="s">
        <v>87</v>
      </c>
      <c r="C3711" t="s">
        <v>341</v>
      </c>
      <c r="D3711" t="s">
        <v>518</v>
      </c>
      <c r="E3711" t="s">
        <v>688</v>
      </c>
      <c r="F3711" t="s">
        <v>1783</v>
      </c>
      <c r="G3711" t="s">
        <v>7009</v>
      </c>
      <c r="H3711" t="s">
        <v>12566</v>
      </c>
      <c r="I3711" t="s">
        <v>17432</v>
      </c>
      <c r="J3711" t="s">
        <v>18892</v>
      </c>
      <c r="K3711">
        <v>10453</v>
      </c>
      <c r="L3711" t="s">
        <v>18958</v>
      </c>
      <c r="M3711" t="s">
        <v>18958</v>
      </c>
      <c r="N3711" t="s">
        <v>21786</v>
      </c>
      <c r="O3711" t="s">
        <v>26523</v>
      </c>
      <c r="P3711" t="s">
        <v>26564</v>
      </c>
      <c r="Q3711" t="s">
        <v>26570</v>
      </c>
      <c r="R3711" t="s">
        <v>26577</v>
      </c>
      <c r="S3711" t="s">
        <v>18959</v>
      </c>
      <c r="U3711" t="s">
        <v>26604</v>
      </c>
      <c r="W3711" t="s">
        <v>518</v>
      </c>
      <c r="X3711">
        <v>2162.39</v>
      </c>
      <c r="Y3711" t="s">
        <v>26650</v>
      </c>
      <c r="Z3711" t="s">
        <v>26664</v>
      </c>
      <c r="AA3711" t="s">
        <v>26679</v>
      </c>
      <c r="AB3711" t="s">
        <v>29831</v>
      </c>
      <c r="AC3711" t="s">
        <v>35596</v>
      </c>
      <c r="AD3711" t="s">
        <v>39950</v>
      </c>
      <c r="AE3711">
        <v>0</v>
      </c>
      <c r="AF3711" t="s">
        <v>45541</v>
      </c>
      <c r="AG3711" t="s">
        <v>45560</v>
      </c>
      <c r="AH3711">
        <v>2</v>
      </c>
      <c r="AI3711">
        <v>1</v>
      </c>
      <c r="AJ3711">
        <v>0</v>
      </c>
      <c r="AK3711">
        <v>141.25</v>
      </c>
      <c r="AN3711" t="s">
        <v>7439</v>
      </c>
      <c r="AO3711">
        <v>17148</v>
      </c>
      <c r="AU3711">
        <v>6.5</v>
      </c>
      <c r="AV3711" t="s">
        <v>697</v>
      </c>
      <c r="AW3711" t="s">
        <v>46870</v>
      </c>
    </row>
    <row r="3712" spans="1:50">
      <c r="A3712" s="1">
        <f>HYPERLINK("https://lsnyc.legalserver.org/matter/dynamic-profile/view/1884950","18-1884950")</f>
        <v>0</v>
      </c>
      <c r="B3712" t="s">
        <v>221</v>
      </c>
      <c r="C3712" t="s">
        <v>341</v>
      </c>
      <c r="D3712" t="s">
        <v>518</v>
      </c>
      <c r="E3712" t="s">
        <v>494</v>
      </c>
      <c r="F3712" t="s">
        <v>2251</v>
      </c>
      <c r="G3712" t="s">
        <v>7010</v>
      </c>
      <c r="H3712" t="s">
        <v>12567</v>
      </c>
      <c r="I3712" t="s">
        <v>17582</v>
      </c>
      <c r="J3712" t="s">
        <v>18919</v>
      </c>
      <c r="K3712">
        <v>11429</v>
      </c>
      <c r="L3712" t="s">
        <v>18958</v>
      </c>
      <c r="M3712" t="s">
        <v>18958</v>
      </c>
      <c r="N3712" t="s">
        <v>21787</v>
      </c>
      <c r="O3712" t="s">
        <v>26524</v>
      </c>
      <c r="P3712" t="s">
        <v>26564</v>
      </c>
      <c r="Q3712" t="s">
        <v>26570</v>
      </c>
      <c r="R3712" t="s">
        <v>26584</v>
      </c>
      <c r="U3712" t="s">
        <v>26604</v>
      </c>
      <c r="V3712" t="s">
        <v>26610</v>
      </c>
      <c r="W3712" t="s">
        <v>518</v>
      </c>
      <c r="X3712">
        <v>700</v>
      </c>
      <c r="Y3712" t="s">
        <v>26653</v>
      </c>
      <c r="Z3712" t="s">
        <v>26664</v>
      </c>
      <c r="AA3712" t="s">
        <v>26683</v>
      </c>
      <c r="AB3712" t="s">
        <v>29832</v>
      </c>
      <c r="AC3712" t="s">
        <v>35597</v>
      </c>
      <c r="AD3712" t="s">
        <v>39951</v>
      </c>
      <c r="AE3712">
        <v>2</v>
      </c>
      <c r="AF3712" t="s">
        <v>45547</v>
      </c>
      <c r="AG3712" t="s">
        <v>19330</v>
      </c>
      <c r="AH3712">
        <v>1</v>
      </c>
      <c r="AI3712">
        <v>2</v>
      </c>
      <c r="AJ3712">
        <v>2</v>
      </c>
      <c r="AK3712">
        <v>0</v>
      </c>
      <c r="AN3712" t="s">
        <v>7439</v>
      </c>
      <c r="AO3712">
        <v>0</v>
      </c>
      <c r="AU3712">
        <v>3.1</v>
      </c>
      <c r="AV3712" t="s">
        <v>683</v>
      </c>
      <c r="AW3712" t="s">
        <v>122</v>
      </c>
    </row>
    <row r="3713" spans="1:50">
      <c r="A3713" s="1">
        <f>HYPERLINK("https://lsnyc.legalserver.org/matter/dynamic-profile/view/1885023","18-1885023")</f>
        <v>0</v>
      </c>
      <c r="B3713" t="s">
        <v>221</v>
      </c>
      <c r="C3713" t="s">
        <v>341</v>
      </c>
      <c r="D3713" t="s">
        <v>518</v>
      </c>
      <c r="E3713" t="s">
        <v>494</v>
      </c>
      <c r="F3713" t="s">
        <v>1282</v>
      </c>
      <c r="G3713" t="s">
        <v>7011</v>
      </c>
      <c r="H3713" t="s">
        <v>12568</v>
      </c>
      <c r="I3713" t="s">
        <v>17331</v>
      </c>
      <c r="J3713" t="s">
        <v>18932</v>
      </c>
      <c r="K3713">
        <v>11385</v>
      </c>
      <c r="L3713" t="s">
        <v>18958</v>
      </c>
      <c r="M3713" t="s">
        <v>18959</v>
      </c>
      <c r="N3713" t="s">
        <v>21788</v>
      </c>
      <c r="O3713" t="s">
        <v>26523</v>
      </c>
      <c r="P3713" t="s">
        <v>26564</v>
      </c>
      <c r="Q3713" t="s">
        <v>26570</v>
      </c>
      <c r="R3713" t="s">
        <v>26585</v>
      </c>
      <c r="S3713" t="s">
        <v>18959</v>
      </c>
      <c r="U3713" t="s">
        <v>26604</v>
      </c>
      <c r="V3713" t="s">
        <v>26609</v>
      </c>
      <c r="W3713" t="s">
        <v>518</v>
      </c>
      <c r="X3713">
        <v>1450</v>
      </c>
      <c r="Y3713" t="s">
        <v>26653</v>
      </c>
      <c r="Z3713" t="s">
        <v>26664</v>
      </c>
      <c r="AA3713" t="s">
        <v>26683</v>
      </c>
      <c r="AB3713" t="s">
        <v>29833</v>
      </c>
      <c r="AC3713" t="s">
        <v>35598</v>
      </c>
      <c r="AD3713" t="s">
        <v>39952</v>
      </c>
      <c r="AE3713">
        <v>6</v>
      </c>
      <c r="AF3713" t="s">
        <v>20460</v>
      </c>
      <c r="AG3713" t="s">
        <v>19330</v>
      </c>
      <c r="AH3713">
        <v>5</v>
      </c>
      <c r="AI3713">
        <v>2</v>
      </c>
      <c r="AJ3713">
        <v>2</v>
      </c>
      <c r="AK3713">
        <v>139.44</v>
      </c>
      <c r="AN3713" t="s">
        <v>7439</v>
      </c>
      <c r="AO3713">
        <v>35000</v>
      </c>
      <c r="AU3713">
        <v>1.5</v>
      </c>
      <c r="AV3713" t="s">
        <v>684</v>
      </c>
      <c r="AW3713" t="s">
        <v>161</v>
      </c>
    </row>
    <row r="3714" spans="1:50">
      <c r="A3714" s="1">
        <f>HYPERLINK("https://lsnyc.legalserver.org/matter/dynamic-profile/view/1864146","18-1864146")</f>
        <v>0</v>
      </c>
      <c r="B3714" t="s">
        <v>57</v>
      </c>
      <c r="C3714" t="s">
        <v>340</v>
      </c>
      <c r="D3714" t="s">
        <v>518</v>
      </c>
      <c r="F3714" t="s">
        <v>877</v>
      </c>
      <c r="G3714" t="s">
        <v>5078</v>
      </c>
      <c r="H3714" t="s">
        <v>9645</v>
      </c>
      <c r="I3714" t="s">
        <v>17276</v>
      </c>
      <c r="J3714" t="s">
        <v>18892</v>
      </c>
      <c r="K3714">
        <v>10457</v>
      </c>
      <c r="L3714" t="s">
        <v>18958</v>
      </c>
      <c r="M3714" t="s">
        <v>18959</v>
      </c>
      <c r="N3714" t="s">
        <v>21789</v>
      </c>
      <c r="O3714" t="s">
        <v>26524</v>
      </c>
      <c r="P3714" t="s">
        <v>26560</v>
      </c>
      <c r="R3714" t="s">
        <v>26579</v>
      </c>
      <c r="S3714" t="s">
        <v>18959</v>
      </c>
      <c r="U3714" t="s">
        <v>26604</v>
      </c>
      <c r="V3714" t="s">
        <v>26612</v>
      </c>
      <c r="W3714" t="s">
        <v>518</v>
      </c>
      <c r="X3714">
        <v>859.88</v>
      </c>
      <c r="Y3714" t="s">
        <v>26650</v>
      </c>
      <c r="Z3714" t="s">
        <v>26659</v>
      </c>
      <c r="AB3714" t="s">
        <v>26705</v>
      </c>
      <c r="AC3714" t="s">
        <v>34468</v>
      </c>
      <c r="AD3714" t="s">
        <v>39953</v>
      </c>
      <c r="AE3714">
        <v>70</v>
      </c>
      <c r="AF3714" t="s">
        <v>45541</v>
      </c>
      <c r="AG3714" t="s">
        <v>19330</v>
      </c>
      <c r="AH3714">
        <v>19</v>
      </c>
      <c r="AI3714">
        <v>4</v>
      </c>
      <c r="AJ3714">
        <v>1</v>
      </c>
      <c r="AK3714">
        <v>67.26000000000001</v>
      </c>
      <c r="AN3714" t="s">
        <v>45581</v>
      </c>
      <c r="AO3714">
        <v>19789.2</v>
      </c>
      <c r="AU3714">
        <v>10.8</v>
      </c>
      <c r="AV3714" t="s">
        <v>631</v>
      </c>
      <c r="AW3714" t="s">
        <v>254</v>
      </c>
    </row>
    <row r="3715" spans="1:50">
      <c r="A3715" s="1">
        <f>HYPERLINK("https://lsnyc.legalserver.org/matter/dynamic-profile/view/1884899","18-1884899")</f>
        <v>0</v>
      </c>
      <c r="B3715" t="s">
        <v>57</v>
      </c>
      <c r="C3715" t="s">
        <v>340</v>
      </c>
      <c r="D3715" t="s">
        <v>518</v>
      </c>
      <c r="F3715" t="s">
        <v>877</v>
      </c>
      <c r="G3715" t="s">
        <v>5078</v>
      </c>
      <c r="H3715" t="s">
        <v>9645</v>
      </c>
      <c r="I3715" t="s">
        <v>17276</v>
      </c>
      <c r="J3715" t="s">
        <v>18892</v>
      </c>
      <c r="K3715">
        <v>10457</v>
      </c>
      <c r="L3715" t="s">
        <v>18958</v>
      </c>
      <c r="M3715" t="s">
        <v>18959</v>
      </c>
      <c r="N3715" t="s">
        <v>21790</v>
      </c>
      <c r="O3715" t="s">
        <v>26523</v>
      </c>
      <c r="P3715" t="s">
        <v>26560</v>
      </c>
      <c r="R3715" t="s">
        <v>26579</v>
      </c>
      <c r="S3715" t="s">
        <v>18959</v>
      </c>
      <c r="U3715" t="s">
        <v>26604</v>
      </c>
      <c r="V3715" t="s">
        <v>26610</v>
      </c>
      <c r="W3715" t="s">
        <v>518</v>
      </c>
      <c r="X3715">
        <v>0</v>
      </c>
      <c r="Y3715" t="s">
        <v>26650</v>
      </c>
      <c r="AB3715" t="s">
        <v>26705</v>
      </c>
      <c r="AC3715" t="s">
        <v>34468</v>
      </c>
      <c r="AD3715" t="s">
        <v>39953</v>
      </c>
      <c r="AE3715">
        <v>0</v>
      </c>
      <c r="AH3715">
        <v>0</v>
      </c>
      <c r="AI3715">
        <v>4</v>
      </c>
      <c r="AJ3715">
        <v>1</v>
      </c>
      <c r="AK3715">
        <v>177.73</v>
      </c>
      <c r="AO3715">
        <v>52289.2</v>
      </c>
      <c r="AU3715">
        <v>17.7</v>
      </c>
      <c r="AV3715" t="s">
        <v>832</v>
      </c>
      <c r="AW3715" t="s">
        <v>284</v>
      </c>
    </row>
    <row r="3716" spans="1:50">
      <c r="A3716" s="1">
        <f>HYPERLINK("https://lsnyc.legalserver.org/matter/dynamic-profile/view/1884931","18-1884931")</f>
        <v>0</v>
      </c>
      <c r="B3716" t="s">
        <v>143</v>
      </c>
      <c r="C3716" t="s">
        <v>340</v>
      </c>
      <c r="D3716" t="s">
        <v>518</v>
      </c>
      <c r="F3716" t="s">
        <v>1178</v>
      </c>
      <c r="G3716" t="s">
        <v>6306</v>
      </c>
      <c r="H3716" t="s">
        <v>11262</v>
      </c>
      <c r="I3716" t="s">
        <v>17287</v>
      </c>
      <c r="J3716" t="s">
        <v>18892</v>
      </c>
      <c r="K3716">
        <v>10467</v>
      </c>
      <c r="L3716" t="s">
        <v>18958</v>
      </c>
      <c r="M3716" t="s">
        <v>18958</v>
      </c>
      <c r="N3716" t="s">
        <v>21791</v>
      </c>
      <c r="O3716" t="s">
        <v>26523</v>
      </c>
      <c r="P3716" t="s">
        <v>26560</v>
      </c>
      <c r="R3716" t="s">
        <v>26579</v>
      </c>
      <c r="S3716" t="s">
        <v>18959</v>
      </c>
      <c r="U3716" t="s">
        <v>26605</v>
      </c>
      <c r="V3716" t="s">
        <v>26610</v>
      </c>
      <c r="W3716" t="s">
        <v>518</v>
      </c>
      <c r="X3716">
        <v>539.6</v>
      </c>
      <c r="Y3716" t="s">
        <v>26650</v>
      </c>
      <c r="Z3716" t="s">
        <v>26664</v>
      </c>
      <c r="AB3716" t="s">
        <v>29834</v>
      </c>
      <c r="AC3716" t="s">
        <v>35599</v>
      </c>
      <c r="AD3716" t="s">
        <v>39954</v>
      </c>
      <c r="AE3716">
        <v>0</v>
      </c>
      <c r="AF3716" t="s">
        <v>45549</v>
      </c>
      <c r="AH3716">
        <v>15</v>
      </c>
      <c r="AI3716">
        <v>1</v>
      </c>
      <c r="AJ3716">
        <v>1</v>
      </c>
      <c r="AK3716">
        <v>169.67</v>
      </c>
      <c r="AN3716" t="s">
        <v>7439</v>
      </c>
      <c r="AO3716">
        <v>27928</v>
      </c>
      <c r="AU3716">
        <v>12</v>
      </c>
      <c r="AV3716" t="s">
        <v>833</v>
      </c>
      <c r="AW3716" t="s">
        <v>46832</v>
      </c>
    </row>
    <row r="3717" spans="1:50">
      <c r="A3717" s="1">
        <f>HYPERLINK("https://lsnyc.legalserver.org/matter/dynamic-profile/view/1884972","18-1884972")</f>
        <v>0</v>
      </c>
      <c r="B3717" t="s">
        <v>60</v>
      </c>
      <c r="C3717" t="s">
        <v>340</v>
      </c>
      <c r="D3717" t="s">
        <v>518</v>
      </c>
      <c r="F3717" t="s">
        <v>872</v>
      </c>
      <c r="G3717" t="s">
        <v>7012</v>
      </c>
      <c r="H3717" t="s">
        <v>10413</v>
      </c>
      <c r="I3717" t="s">
        <v>17302</v>
      </c>
      <c r="J3717" t="s">
        <v>18892</v>
      </c>
      <c r="K3717">
        <v>10467</v>
      </c>
      <c r="L3717" t="s">
        <v>18958</v>
      </c>
      <c r="M3717" t="s">
        <v>18958</v>
      </c>
      <c r="N3717" t="s">
        <v>21792</v>
      </c>
      <c r="O3717" t="s">
        <v>26526</v>
      </c>
      <c r="P3717" t="s">
        <v>26565</v>
      </c>
      <c r="R3717" t="s">
        <v>26578</v>
      </c>
      <c r="S3717" t="s">
        <v>18959</v>
      </c>
      <c r="U3717" t="s">
        <v>26604</v>
      </c>
      <c r="V3717" t="s">
        <v>26610</v>
      </c>
      <c r="W3717" t="s">
        <v>518</v>
      </c>
      <c r="X3717">
        <v>1509</v>
      </c>
      <c r="Y3717" t="s">
        <v>26650</v>
      </c>
      <c r="Z3717" t="s">
        <v>26661</v>
      </c>
      <c r="AB3717" t="s">
        <v>27526</v>
      </c>
      <c r="AC3717">
        <v>4043580</v>
      </c>
      <c r="AD3717" t="s">
        <v>37584</v>
      </c>
      <c r="AE3717">
        <v>0</v>
      </c>
      <c r="AF3717" t="s">
        <v>45541</v>
      </c>
      <c r="AG3717" t="s">
        <v>45556</v>
      </c>
      <c r="AH3717">
        <v>0</v>
      </c>
      <c r="AI3717">
        <v>2</v>
      </c>
      <c r="AJ3717">
        <v>0</v>
      </c>
      <c r="AK3717">
        <v>67.52</v>
      </c>
      <c r="AN3717" t="s">
        <v>7439</v>
      </c>
      <c r="AO3717">
        <v>11114</v>
      </c>
      <c r="AU3717">
        <v>1</v>
      </c>
      <c r="AV3717" t="s">
        <v>791</v>
      </c>
      <c r="AW3717" t="s">
        <v>60</v>
      </c>
    </row>
    <row r="3718" spans="1:50">
      <c r="A3718" s="1">
        <f>HYPERLINK("https://lsnyc.legalserver.org/matter/dynamic-profile/view/1884939","18-1884939")</f>
        <v>0</v>
      </c>
      <c r="B3718" t="s">
        <v>60</v>
      </c>
      <c r="C3718" t="s">
        <v>340</v>
      </c>
      <c r="D3718" t="s">
        <v>518</v>
      </c>
      <c r="F3718" t="s">
        <v>1677</v>
      </c>
      <c r="G3718" t="s">
        <v>7013</v>
      </c>
      <c r="H3718" t="s">
        <v>12569</v>
      </c>
      <c r="I3718" t="s">
        <v>17290</v>
      </c>
      <c r="J3718" t="s">
        <v>18892</v>
      </c>
      <c r="K3718">
        <v>10459</v>
      </c>
      <c r="L3718" t="s">
        <v>18958</v>
      </c>
      <c r="M3718" t="s">
        <v>18958</v>
      </c>
      <c r="N3718" t="s">
        <v>21793</v>
      </c>
      <c r="O3718" t="s">
        <v>26524</v>
      </c>
      <c r="P3718" t="s">
        <v>26564</v>
      </c>
      <c r="R3718" t="s">
        <v>26578</v>
      </c>
      <c r="S3718" t="s">
        <v>18959</v>
      </c>
      <c r="U3718" t="s">
        <v>26604</v>
      </c>
      <c r="V3718" t="s">
        <v>26610</v>
      </c>
      <c r="W3718" t="s">
        <v>518</v>
      </c>
      <c r="X3718">
        <v>843.08</v>
      </c>
      <c r="Y3718" t="s">
        <v>26650</v>
      </c>
      <c r="Z3718" t="s">
        <v>26661</v>
      </c>
      <c r="AB3718" t="s">
        <v>29835</v>
      </c>
      <c r="AD3718" t="s">
        <v>39955</v>
      </c>
      <c r="AE3718">
        <v>0</v>
      </c>
      <c r="AF3718" t="s">
        <v>45541</v>
      </c>
      <c r="AG3718" t="s">
        <v>19330</v>
      </c>
      <c r="AH3718">
        <v>1</v>
      </c>
      <c r="AI3718">
        <v>1</v>
      </c>
      <c r="AJ3718">
        <v>0</v>
      </c>
      <c r="AK3718">
        <v>171.33</v>
      </c>
      <c r="AN3718" t="s">
        <v>7439</v>
      </c>
      <c r="AO3718">
        <v>20800</v>
      </c>
      <c r="AU3718">
        <v>1.2</v>
      </c>
      <c r="AV3718" t="s">
        <v>761</v>
      </c>
      <c r="AW3718" t="s">
        <v>60</v>
      </c>
      <c r="AX3718" t="s">
        <v>46897</v>
      </c>
    </row>
    <row r="3719" spans="1:50">
      <c r="A3719" s="1">
        <f>HYPERLINK("https://lsnyc.legalserver.org/matter/dynamic-profile/view/1884912","18-1884912")</f>
        <v>0</v>
      </c>
      <c r="B3719" t="s">
        <v>67</v>
      </c>
      <c r="C3719" t="s">
        <v>340</v>
      </c>
      <c r="D3719" t="s">
        <v>518</v>
      </c>
      <c r="F3719" t="s">
        <v>2764</v>
      </c>
      <c r="G3719" t="s">
        <v>7014</v>
      </c>
      <c r="H3719" t="s">
        <v>12570</v>
      </c>
      <c r="I3719" t="s">
        <v>18001</v>
      </c>
      <c r="J3719" t="s">
        <v>18892</v>
      </c>
      <c r="K3719">
        <v>10453</v>
      </c>
      <c r="L3719" t="s">
        <v>18958</v>
      </c>
      <c r="M3719" t="s">
        <v>18958</v>
      </c>
      <c r="N3719" t="s">
        <v>21794</v>
      </c>
      <c r="O3719" t="s">
        <v>26523</v>
      </c>
      <c r="P3719" t="s">
        <v>26560</v>
      </c>
      <c r="R3719" t="s">
        <v>26578</v>
      </c>
      <c r="S3719" t="s">
        <v>18959</v>
      </c>
      <c r="U3719" t="s">
        <v>26604</v>
      </c>
      <c r="V3719" t="s">
        <v>26612</v>
      </c>
      <c r="W3719" t="s">
        <v>518</v>
      </c>
      <c r="X3719">
        <v>185.34</v>
      </c>
      <c r="Y3719" t="s">
        <v>26650</v>
      </c>
      <c r="Z3719" t="s">
        <v>26664</v>
      </c>
      <c r="AB3719" t="s">
        <v>29836</v>
      </c>
      <c r="AC3719" t="s">
        <v>35600</v>
      </c>
      <c r="AD3719" t="s">
        <v>39956</v>
      </c>
      <c r="AE3719">
        <v>110</v>
      </c>
      <c r="AF3719" t="s">
        <v>45541</v>
      </c>
      <c r="AG3719" t="s">
        <v>19330</v>
      </c>
      <c r="AH3719">
        <v>3</v>
      </c>
      <c r="AI3719">
        <v>1</v>
      </c>
      <c r="AJ3719">
        <v>1</v>
      </c>
      <c r="AK3719">
        <v>56.65</v>
      </c>
      <c r="AN3719" t="s">
        <v>7439</v>
      </c>
      <c r="AO3719">
        <v>9324</v>
      </c>
      <c r="AU3719">
        <v>5.75</v>
      </c>
      <c r="AV3719" t="s">
        <v>755</v>
      </c>
      <c r="AW3719" t="s">
        <v>336</v>
      </c>
    </row>
    <row r="3720" spans="1:50">
      <c r="A3720" s="1">
        <f>HYPERLINK("https://lsnyc.legalserver.org/matter/dynamic-profile/view/1884909","18-1884909")</f>
        <v>0</v>
      </c>
      <c r="B3720" t="s">
        <v>56</v>
      </c>
      <c r="C3720" t="s">
        <v>340</v>
      </c>
      <c r="D3720" t="s">
        <v>518</v>
      </c>
      <c r="F3720" t="s">
        <v>2698</v>
      </c>
      <c r="G3720" t="s">
        <v>7015</v>
      </c>
      <c r="H3720" t="s">
        <v>12571</v>
      </c>
      <c r="I3720" t="s">
        <v>17312</v>
      </c>
      <c r="J3720" t="s">
        <v>18892</v>
      </c>
      <c r="K3720">
        <v>10456</v>
      </c>
      <c r="L3720" t="s">
        <v>18958</v>
      </c>
      <c r="M3720" t="s">
        <v>18958</v>
      </c>
      <c r="N3720" t="s">
        <v>21795</v>
      </c>
      <c r="O3720" t="s">
        <v>26523</v>
      </c>
      <c r="P3720" t="s">
        <v>26560</v>
      </c>
      <c r="R3720" t="s">
        <v>26577</v>
      </c>
      <c r="U3720" t="s">
        <v>26604</v>
      </c>
      <c r="V3720" t="s">
        <v>26614</v>
      </c>
      <c r="W3720" t="s">
        <v>518</v>
      </c>
      <c r="X3720">
        <v>789</v>
      </c>
      <c r="Y3720" t="s">
        <v>26650</v>
      </c>
      <c r="Z3720" t="s">
        <v>26664</v>
      </c>
      <c r="AB3720" t="s">
        <v>29837</v>
      </c>
      <c r="AD3720" t="s">
        <v>39957</v>
      </c>
      <c r="AE3720">
        <v>0</v>
      </c>
      <c r="AF3720" t="s">
        <v>45541</v>
      </c>
      <c r="AG3720" t="s">
        <v>19330</v>
      </c>
      <c r="AH3720">
        <v>4</v>
      </c>
      <c r="AI3720">
        <v>2</v>
      </c>
      <c r="AJ3720">
        <v>2</v>
      </c>
      <c r="AK3720">
        <v>196.81</v>
      </c>
      <c r="AO3720">
        <v>49400</v>
      </c>
      <c r="AU3720">
        <v>5</v>
      </c>
      <c r="AV3720" t="s">
        <v>519</v>
      </c>
      <c r="AW3720" t="s">
        <v>334</v>
      </c>
    </row>
    <row r="3721" spans="1:50">
      <c r="A3721" s="1">
        <f>HYPERLINK("https://lsnyc.legalserver.org/matter/dynamic-profile/view/1884996","18-1884996")</f>
        <v>0</v>
      </c>
      <c r="B3721" t="s">
        <v>253</v>
      </c>
      <c r="C3721" t="s">
        <v>340</v>
      </c>
      <c r="D3721" t="s">
        <v>518</v>
      </c>
      <c r="F3721" t="s">
        <v>1093</v>
      </c>
      <c r="G3721" t="s">
        <v>5604</v>
      </c>
      <c r="H3721" t="s">
        <v>12572</v>
      </c>
      <c r="I3721" t="s">
        <v>18002</v>
      </c>
      <c r="J3721" t="s">
        <v>18892</v>
      </c>
      <c r="K3721">
        <v>10467</v>
      </c>
      <c r="L3721" t="s">
        <v>18958</v>
      </c>
      <c r="M3721" t="s">
        <v>18958</v>
      </c>
      <c r="N3721" t="s">
        <v>21796</v>
      </c>
      <c r="O3721" t="s">
        <v>26524</v>
      </c>
      <c r="P3721" t="s">
        <v>26560</v>
      </c>
      <c r="R3721" t="s">
        <v>26579</v>
      </c>
      <c r="S3721" t="s">
        <v>18959</v>
      </c>
      <c r="U3721" t="s">
        <v>26604</v>
      </c>
      <c r="V3721" t="s">
        <v>26610</v>
      </c>
      <c r="W3721" t="s">
        <v>518</v>
      </c>
      <c r="X3721">
        <v>943.87</v>
      </c>
      <c r="Y3721" t="s">
        <v>26650</v>
      </c>
      <c r="Z3721" t="s">
        <v>26668</v>
      </c>
      <c r="AB3721" t="s">
        <v>29838</v>
      </c>
      <c r="AD3721" t="s">
        <v>39958</v>
      </c>
      <c r="AE3721">
        <v>0</v>
      </c>
      <c r="AF3721" t="s">
        <v>45541</v>
      </c>
      <c r="AG3721" t="s">
        <v>19330</v>
      </c>
      <c r="AH3721">
        <v>15</v>
      </c>
      <c r="AI3721">
        <v>1</v>
      </c>
      <c r="AJ3721">
        <v>0</v>
      </c>
      <c r="AK3721">
        <v>197.49</v>
      </c>
      <c r="AN3721" t="s">
        <v>7439</v>
      </c>
      <c r="AO3721">
        <v>23975</v>
      </c>
      <c r="AQ3721" t="s">
        <v>46362</v>
      </c>
      <c r="AR3721" t="s">
        <v>46379</v>
      </c>
      <c r="AS3721" t="s">
        <v>46499</v>
      </c>
      <c r="AT3721" t="s">
        <v>46772</v>
      </c>
      <c r="AU3721">
        <v>46</v>
      </c>
      <c r="AV3721" t="s">
        <v>574</v>
      </c>
      <c r="AW3721" t="s">
        <v>46847</v>
      </c>
    </row>
    <row r="3722" spans="1:50">
      <c r="A3722" s="1">
        <f>HYPERLINK("https://lsnyc.legalserver.org/matter/dynamic-profile/view/1884905","18-1884905")</f>
        <v>0</v>
      </c>
      <c r="B3722" t="s">
        <v>120</v>
      </c>
      <c r="C3722" t="s">
        <v>340</v>
      </c>
      <c r="D3722" t="s">
        <v>518</v>
      </c>
      <c r="F3722" t="s">
        <v>2765</v>
      </c>
      <c r="G3722" t="s">
        <v>7016</v>
      </c>
      <c r="H3722" t="s">
        <v>10303</v>
      </c>
      <c r="I3722" t="s">
        <v>17277</v>
      </c>
      <c r="J3722" t="s">
        <v>18892</v>
      </c>
      <c r="K3722">
        <v>10457</v>
      </c>
      <c r="L3722" t="s">
        <v>18958</v>
      </c>
      <c r="M3722" t="s">
        <v>18958</v>
      </c>
      <c r="N3722" t="s">
        <v>21797</v>
      </c>
      <c r="O3722" t="s">
        <v>26523</v>
      </c>
      <c r="P3722" t="s">
        <v>26560</v>
      </c>
      <c r="R3722" t="s">
        <v>26579</v>
      </c>
      <c r="S3722" t="s">
        <v>18959</v>
      </c>
      <c r="U3722" t="s">
        <v>26604</v>
      </c>
      <c r="V3722" t="s">
        <v>26610</v>
      </c>
      <c r="W3722" t="s">
        <v>518</v>
      </c>
      <c r="X3722">
        <v>1435</v>
      </c>
      <c r="Y3722" t="s">
        <v>26650</v>
      </c>
      <c r="Z3722" t="s">
        <v>26668</v>
      </c>
      <c r="AB3722" t="s">
        <v>29839</v>
      </c>
      <c r="AC3722" t="s">
        <v>35601</v>
      </c>
      <c r="AD3722" t="s">
        <v>39959</v>
      </c>
      <c r="AE3722">
        <v>30</v>
      </c>
      <c r="AF3722" t="s">
        <v>45541</v>
      </c>
      <c r="AG3722" t="s">
        <v>19330</v>
      </c>
      <c r="AH3722">
        <v>1</v>
      </c>
      <c r="AI3722">
        <v>2</v>
      </c>
      <c r="AJ3722">
        <v>0</v>
      </c>
      <c r="AK3722">
        <v>12.98</v>
      </c>
      <c r="AN3722" t="s">
        <v>45581</v>
      </c>
      <c r="AO3722">
        <v>2136</v>
      </c>
      <c r="AU3722">
        <v>5.3</v>
      </c>
      <c r="AV3722" t="s">
        <v>801</v>
      </c>
      <c r="AW3722" t="s">
        <v>46847</v>
      </c>
    </row>
    <row r="3723" spans="1:50">
      <c r="A3723" s="1">
        <f>HYPERLINK("https://lsnyc.legalserver.org/matter/dynamic-profile/view/1884934","18-1884934")</f>
        <v>0</v>
      </c>
      <c r="B3723" t="s">
        <v>65</v>
      </c>
      <c r="C3723" t="s">
        <v>340</v>
      </c>
      <c r="D3723" t="s">
        <v>518</v>
      </c>
      <c r="F3723" t="s">
        <v>1045</v>
      </c>
      <c r="G3723" t="s">
        <v>7017</v>
      </c>
      <c r="H3723" t="s">
        <v>11336</v>
      </c>
      <c r="I3723" t="s">
        <v>17411</v>
      </c>
      <c r="J3723" t="s">
        <v>18892</v>
      </c>
      <c r="K3723">
        <v>10457</v>
      </c>
      <c r="L3723" t="s">
        <v>18958</v>
      </c>
      <c r="M3723" t="s">
        <v>18958</v>
      </c>
      <c r="N3723" t="s">
        <v>21798</v>
      </c>
      <c r="O3723" t="s">
        <v>26523</v>
      </c>
      <c r="P3723" t="s">
        <v>26560</v>
      </c>
      <c r="R3723" t="s">
        <v>26579</v>
      </c>
      <c r="U3723" t="s">
        <v>26604</v>
      </c>
      <c r="V3723" t="s">
        <v>26610</v>
      </c>
      <c r="W3723" t="s">
        <v>518</v>
      </c>
      <c r="X3723">
        <v>871.14</v>
      </c>
      <c r="Y3723" t="s">
        <v>26650</v>
      </c>
      <c r="Z3723" t="s">
        <v>26664</v>
      </c>
      <c r="AB3723" t="s">
        <v>29840</v>
      </c>
      <c r="AD3723" t="s">
        <v>39960</v>
      </c>
      <c r="AE3723">
        <v>0</v>
      </c>
      <c r="AF3723" t="s">
        <v>45541</v>
      </c>
      <c r="AG3723" t="s">
        <v>19330</v>
      </c>
      <c r="AH3723">
        <v>10</v>
      </c>
      <c r="AI3723">
        <v>1</v>
      </c>
      <c r="AJ3723">
        <v>0</v>
      </c>
      <c r="AK3723">
        <v>172.98</v>
      </c>
      <c r="AN3723" t="s">
        <v>7439</v>
      </c>
      <c r="AO3723">
        <v>21000</v>
      </c>
      <c r="AU3723">
        <v>11.8</v>
      </c>
      <c r="AV3723" t="s">
        <v>773</v>
      </c>
      <c r="AW3723" t="s">
        <v>334</v>
      </c>
    </row>
    <row r="3724" spans="1:50">
      <c r="A3724" s="1">
        <f>HYPERLINK("https://lsnyc.legalserver.org/matter/dynamic-profile/view/1884958","18-1884958")</f>
        <v>0</v>
      </c>
      <c r="B3724" t="s">
        <v>121</v>
      </c>
      <c r="C3724" t="s">
        <v>340</v>
      </c>
      <c r="D3724" t="s">
        <v>518</v>
      </c>
      <c r="F3724" t="s">
        <v>1489</v>
      </c>
      <c r="G3724" t="s">
        <v>7018</v>
      </c>
      <c r="H3724" t="s">
        <v>12573</v>
      </c>
      <c r="I3724" t="s">
        <v>17424</v>
      </c>
      <c r="J3724" t="s">
        <v>18892</v>
      </c>
      <c r="K3724">
        <v>10456</v>
      </c>
      <c r="L3724" t="s">
        <v>18958</v>
      </c>
      <c r="M3724" t="s">
        <v>18958</v>
      </c>
      <c r="N3724" t="s">
        <v>21799</v>
      </c>
      <c r="O3724" t="s">
        <v>26523</v>
      </c>
      <c r="P3724" t="s">
        <v>26560</v>
      </c>
      <c r="R3724" t="s">
        <v>26577</v>
      </c>
      <c r="S3724" t="s">
        <v>18959</v>
      </c>
      <c r="U3724" t="s">
        <v>26604</v>
      </c>
      <c r="V3724" t="s">
        <v>26612</v>
      </c>
      <c r="W3724" t="s">
        <v>518</v>
      </c>
      <c r="X3724">
        <v>949.37</v>
      </c>
      <c r="Y3724" t="s">
        <v>26650</v>
      </c>
      <c r="Z3724" t="s">
        <v>26659</v>
      </c>
      <c r="AB3724" t="s">
        <v>29841</v>
      </c>
      <c r="AD3724" t="s">
        <v>39961</v>
      </c>
      <c r="AE3724">
        <v>0</v>
      </c>
      <c r="AF3724" t="s">
        <v>45541</v>
      </c>
      <c r="AG3724" t="s">
        <v>19330</v>
      </c>
      <c r="AH3724">
        <v>24</v>
      </c>
      <c r="AI3724">
        <v>2</v>
      </c>
      <c r="AJ3724">
        <v>0</v>
      </c>
      <c r="AK3724">
        <v>113.73</v>
      </c>
      <c r="AN3724" t="s">
        <v>7439</v>
      </c>
      <c r="AO3724">
        <v>18720</v>
      </c>
      <c r="AU3724">
        <v>16.6</v>
      </c>
      <c r="AV3724" t="s">
        <v>822</v>
      </c>
      <c r="AW3724" t="s">
        <v>46871</v>
      </c>
    </row>
    <row r="3725" spans="1:50">
      <c r="A3725" s="1">
        <f>HYPERLINK("https://lsnyc.legalserver.org/matter/dynamic-profile/view/1884973","18-1884973")</f>
        <v>0</v>
      </c>
      <c r="B3725" t="s">
        <v>112</v>
      </c>
      <c r="C3725" t="s">
        <v>340</v>
      </c>
      <c r="D3725" t="s">
        <v>518</v>
      </c>
      <c r="F3725" t="s">
        <v>2403</v>
      </c>
      <c r="G3725" t="s">
        <v>7019</v>
      </c>
      <c r="H3725" t="s">
        <v>12574</v>
      </c>
      <c r="I3725" t="s">
        <v>17316</v>
      </c>
      <c r="J3725" t="s">
        <v>7026</v>
      </c>
      <c r="K3725">
        <v>11368</v>
      </c>
      <c r="L3725" t="s">
        <v>18958</v>
      </c>
      <c r="M3725" t="s">
        <v>18958</v>
      </c>
      <c r="N3725" t="s">
        <v>21800</v>
      </c>
      <c r="O3725" t="s">
        <v>26523</v>
      </c>
      <c r="P3725" t="s">
        <v>26564</v>
      </c>
      <c r="R3725" t="s">
        <v>26584</v>
      </c>
      <c r="S3725" t="s">
        <v>18959</v>
      </c>
      <c r="U3725" t="s">
        <v>26604</v>
      </c>
      <c r="V3725" t="s">
        <v>26610</v>
      </c>
      <c r="W3725" t="s">
        <v>518</v>
      </c>
      <c r="X3725">
        <v>1500</v>
      </c>
      <c r="Y3725" t="s">
        <v>26653</v>
      </c>
      <c r="Z3725" t="s">
        <v>26664</v>
      </c>
      <c r="AB3725" t="s">
        <v>29842</v>
      </c>
      <c r="AC3725" t="s">
        <v>35602</v>
      </c>
      <c r="AD3725" t="s">
        <v>39962</v>
      </c>
      <c r="AE3725">
        <v>12</v>
      </c>
      <c r="AG3725" t="s">
        <v>19330</v>
      </c>
      <c r="AH3725">
        <v>8</v>
      </c>
      <c r="AI3725">
        <v>2</v>
      </c>
      <c r="AJ3725">
        <v>0</v>
      </c>
      <c r="AK3725">
        <v>20.14</v>
      </c>
      <c r="AN3725" t="s">
        <v>45581</v>
      </c>
      <c r="AO3725">
        <v>3315</v>
      </c>
      <c r="AU3725">
        <v>1.7</v>
      </c>
      <c r="AV3725" t="s">
        <v>458</v>
      </c>
      <c r="AW3725" t="s">
        <v>122</v>
      </c>
    </row>
    <row r="3726" spans="1:50">
      <c r="A3726" s="1">
        <f>HYPERLINK("https://lsnyc.legalserver.org/matter/dynamic-profile/view/1884941","18-1884941")</f>
        <v>0</v>
      </c>
      <c r="B3726" t="s">
        <v>112</v>
      </c>
      <c r="C3726" t="s">
        <v>340</v>
      </c>
      <c r="D3726" t="s">
        <v>518</v>
      </c>
      <c r="F3726" t="s">
        <v>1569</v>
      </c>
      <c r="G3726" t="s">
        <v>6777</v>
      </c>
      <c r="H3726" t="s">
        <v>12575</v>
      </c>
      <c r="I3726" t="s">
        <v>17334</v>
      </c>
      <c r="J3726" t="s">
        <v>18901</v>
      </c>
      <c r="K3726">
        <v>11435</v>
      </c>
      <c r="L3726" t="s">
        <v>18958</v>
      </c>
      <c r="M3726" t="s">
        <v>18958</v>
      </c>
      <c r="N3726" t="s">
        <v>21801</v>
      </c>
      <c r="O3726" t="s">
        <v>26524</v>
      </c>
      <c r="P3726" t="s">
        <v>26560</v>
      </c>
      <c r="R3726" t="s">
        <v>26584</v>
      </c>
      <c r="S3726" t="s">
        <v>26598</v>
      </c>
      <c r="U3726" t="s">
        <v>26604</v>
      </c>
      <c r="W3726" t="s">
        <v>518</v>
      </c>
      <c r="X3726">
        <v>850</v>
      </c>
      <c r="Y3726" t="s">
        <v>26653</v>
      </c>
      <c r="Z3726" t="s">
        <v>26664</v>
      </c>
      <c r="AB3726" t="s">
        <v>28664</v>
      </c>
      <c r="AC3726" t="s">
        <v>35603</v>
      </c>
      <c r="AD3726" t="s">
        <v>39963</v>
      </c>
      <c r="AE3726">
        <v>2</v>
      </c>
      <c r="AF3726" t="s">
        <v>45547</v>
      </c>
      <c r="AG3726" t="s">
        <v>19330</v>
      </c>
      <c r="AH3726">
        <v>12</v>
      </c>
      <c r="AI3726">
        <v>1</v>
      </c>
      <c r="AJ3726">
        <v>2</v>
      </c>
      <c r="AK3726">
        <v>51.97</v>
      </c>
      <c r="AN3726" t="s">
        <v>7439</v>
      </c>
      <c r="AO3726">
        <v>10800</v>
      </c>
      <c r="AU3726">
        <v>2.8</v>
      </c>
      <c r="AV3726" t="s">
        <v>709</v>
      </c>
      <c r="AW3726" t="s">
        <v>122</v>
      </c>
    </row>
    <row r="3727" spans="1:50">
      <c r="A3727" s="1">
        <f>HYPERLINK("https://lsnyc.legalserver.org/matter/dynamic-profile/view/1884978","18-1884978")</f>
        <v>0</v>
      </c>
      <c r="B3727" t="s">
        <v>193</v>
      </c>
      <c r="C3727" t="s">
        <v>340</v>
      </c>
      <c r="D3727" t="s">
        <v>518</v>
      </c>
      <c r="F3727" t="s">
        <v>1773</v>
      </c>
      <c r="G3727" t="s">
        <v>5363</v>
      </c>
      <c r="H3727" t="s">
        <v>12576</v>
      </c>
      <c r="I3727" t="s">
        <v>18003</v>
      </c>
      <c r="J3727" t="s">
        <v>18894</v>
      </c>
      <c r="K3727">
        <v>11226</v>
      </c>
      <c r="L3727" t="s">
        <v>18958</v>
      </c>
      <c r="M3727" t="s">
        <v>18960</v>
      </c>
      <c r="N3727" t="s">
        <v>21802</v>
      </c>
      <c r="O3727" t="s">
        <v>26523</v>
      </c>
      <c r="P3727" t="s">
        <v>26565</v>
      </c>
      <c r="R3727" t="s">
        <v>26588</v>
      </c>
      <c r="U3727" t="s">
        <v>26604</v>
      </c>
      <c r="W3727" t="s">
        <v>518</v>
      </c>
      <c r="X3727">
        <v>1032</v>
      </c>
      <c r="Y3727" t="s">
        <v>26652</v>
      </c>
      <c r="Z3727" t="s">
        <v>26668</v>
      </c>
      <c r="AB3727" t="s">
        <v>29843</v>
      </c>
      <c r="AD3727" t="s">
        <v>39964</v>
      </c>
      <c r="AE3727">
        <v>48</v>
      </c>
      <c r="AF3727" t="s">
        <v>45541</v>
      </c>
      <c r="AH3727">
        <v>7</v>
      </c>
      <c r="AI3727">
        <v>1</v>
      </c>
      <c r="AJ3727">
        <v>0</v>
      </c>
      <c r="AK3727">
        <v>222.73</v>
      </c>
      <c r="AN3727" t="s">
        <v>7439</v>
      </c>
      <c r="AO3727">
        <v>27040</v>
      </c>
      <c r="AU3727">
        <v>4.6</v>
      </c>
      <c r="AV3727" t="s">
        <v>415</v>
      </c>
      <c r="AW3727" t="s">
        <v>46856</v>
      </c>
    </row>
    <row r="3728" spans="1:50">
      <c r="A3728" s="1">
        <f>HYPERLINK("https://lsnyc.legalserver.org/matter/dynamic-profile/view/1884940","18-1884940")</f>
        <v>0</v>
      </c>
      <c r="B3728" t="s">
        <v>188</v>
      </c>
      <c r="C3728" t="s">
        <v>340</v>
      </c>
      <c r="D3728" t="s">
        <v>518</v>
      </c>
      <c r="F3728" t="s">
        <v>2766</v>
      </c>
      <c r="G3728" t="s">
        <v>1397</v>
      </c>
      <c r="H3728" t="s">
        <v>10353</v>
      </c>
      <c r="I3728" t="s">
        <v>17380</v>
      </c>
      <c r="J3728" t="s">
        <v>18892</v>
      </c>
      <c r="K3728">
        <v>10451</v>
      </c>
      <c r="L3728" t="s">
        <v>18958</v>
      </c>
      <c r="M3728" t="s">
        <v>18958</v>
      </c>
      <c r="N3728" t="s">
        <v>21803</v>
      </c>
      <c r="O3728" t="s">
        <v>26523</v>
      </c>
      <c r="P3728" t="s">
        <v>26560</v>
      </c>
      <c r="R3728" t="s">
        <v>26578</v>
      </c>
      <c r="S3728" t="s">
        <v>18959</v>
      </c>
      <c r="U3728" t="s">
        <v>26604</v>
      </c>
      <c r="W3728" t="s">
        <v>518</v>
      </c>
      <c r="X3728">
        <v>1284.38</v>
      </c>
      <c r="Y3728" t="s">
        <v>26650</v>
      </c>
      <c r="Z3728" t="s">
        <v>26659</v>
      </c>
      <c r="AB3728" t="s">
        <v>29844</v>
      </c>
      <c r="AD3728" t="s">
        <v>39965</v>
      </c>
      <c r="AE3728">
        <v>0</v>
      </c>
      <c r="AF3728" t="s">
        <v>45541</v>
      </c>
      <c r="AG3728" t="s">
        <v>19330</v>
      </c>
      <c r="AH3728">
        <v>8</v>
      </c>
      <c r="AI3728">
        <v>1</v>
      </c>
      <c r="AJ3728">
        <v>0</v>
      </c>
      <c r="AK3728">
        <v>168.93</v>
      </c>
      <c r="AN3728" t="s">
        <v>7439</v>
      </c>
      <c r="AO3728">
        <v>20508</v>
      </c>
      <c r="AU3728">
        <v>16.3</v>
      </c>
      <c r="AV3728" t="s">
        <v>831</v>
      </c>
      <c r="AW3728" t="s">
        <v>336</v>
      </c>
    </row>
    <row r="3729" spans="1:49">
      <c r="A3729" s="1">
        <f>HYPERLINK("https://lsnyc.legalserver.org/matter/dynamic-profile/view/1885515","18-1885515")</f>
        <v>0</v>
      </c>
      <c r="B3729" t="s">
        <v>117</v>
      </c>
      <c r="C3729" t="s">
        <v>341</v>
      </c>
      <c r="D3729" t="s">
        <v>689</v>
      </c>
      <c r="E3729" t="s">
        <v>494</v>
      </c>
      <c r="F3729" t="s">
        <v>2767</v>
      </c>
      <c r="G3729" t="s">
        <v>7020</v>
      </c>
      <c r="H3729" t="s">
        <v>12577</v>
      </c>
      <c r="I3729" t="s">
        <v>18004</v>
      </c>
      <c r="J3729" t="s">
        <v>18894</v>
      </c>
      <c r="K3729">
        <v>11212</v>
      </c>
      <c r="L3729" t="s">
        <v>18958</v>
      </c>
      <c r="M3729" t="s">
        <v>18958</v>
      </c>
      <c r="N3729" t="s">
        <v>21804</v>
      </c>
      <c r="O3729" t="s">
        <v>26523</v>
      </c>
      <c r="P3729" t="s">
        <v>26564</v>
      </c>
      <c r="Q3729" t="s">
        <v>26570</v>
      </c>
      <c r="R3729" t="s">
        <v>26578</v>
      </c>
      <c r="U3729" t="s">
        <v>26604</v>
      </c>
      <c r="W3729" t="s">
        <v>518</v>
      </c>
      <c r="X3729">
        <v>1600</v>
      </c>
      <c r="Y3729" t="s">
        <v>26652</v>
      </c>
      <c r="Z3729" t="s">
        <v>26664</v>
      </c>
      <c r="AA3729" t="s">
        <v>26683</v>
      </c>
      <c r="AB3729" t="s">
        <v>29845</v>
      </c>
      <c r="AD3729" t="s">
        <v>39966</v>
      </c>
      <c r="AE3729">
        <v>0</v>
      </c>
      <c r="AG3729" t="s">
        <v>26530</v>
      </c>
      <c r="AH3729">
        <v>8</v>
      </c>
      <c r="AI3729">
        <v>1</v>
      </c>
      <c r="AJ3729">
        <v>1</v>
      </c>
      <c r="AK3729">
        <v>79.01000000000001</v>
      </c>
      <c r="AN3729" t="s">
        <v>7439</v>
      </c>
      <c r="AO3729">
        <v>13005</v>
      </c>
      <c r="AU3729">
        <v>1</v>
      </c>
      <c r="AV3729" t="s">
        <v>684</v>
      </c>
      <c r="AW3729" t="s">
        <v>46853</v>
      </c>
    </row>
    <row r="3730" spans="1:49">
      <c r="A3730" s="1">
        <f>HYPERLINK("https://lsnyc.legalserver.org/matter/dynamic-profile/view/1884953","18-1884953")</f>
        <v>0</v>
      </c>
      <c r="B3730" t="s">
        <v>158</v>
      </c>
      <c r="C3730" t="s">
        <v>340</v>
      </c>
      <c r="D3730" t="s">
        <v>690</v>
      </c>
      <c r="F3730" t="s">
        <v>1367</v>
      </c>
      <c r="G3730" t="s">
        <v>6119</v>
      </c>
      <c r="H3730" t="s">
        <v>12578</v>
      </c>
      <c r="I3730" t="s">
        <v>17292</v>
      </c>
      <c r="J3730" t="s">
        <v>18894</v>
      </c>
      <c r="K3730">
        <v>11208</v>
      </c>
      <c r="L3730" t="s">
        <v>18958</v>
      </c>
      <c r="M3730" t="s">
        <v>18960</v>
      </c>
      <c r="N3730" t="s">
        <v>21805</v>
      </c>
      <c r="O3730" t="s">
        <v>26523</v>
      </c>
      <c r="P3730" t="s">
        <v>26560</v>
      </c>
      <c r="R3730" t="s">
        <v>26586</v>
      </c>
      <c r="U3730" t="s">
        <v>26605</v>
      </c>
      <c r="V3730" t="s">
        <v>26610</v>
      </c>
      <c r="W3730" t="s">
        <v>518</v>
      </c>
      <c r="X3730">
        <v>768</v>
      </c>
      <c r="Y3730" t="s">
        <v>26652</v>
      </c>
      <c r="Z3730" t="s">
        <v>26664</v>
      </c>
      <c r="AB3730" t="s">
        <v>29846</v>
      </c>
      <c r="AD3730" t="s">
        <v>39967</v>
      </c>
      <c r="AE3730">
        <v>63</v>
      </c>
      <c r="AG3730" t="s">
        <v>19330</v>
      </c>
      <c r="AH3730">
        <v>27</v>
      </c>
      <c r="AI3730">
        <v>1</v>
      </c>
      <c r="AJ3730">
        <v>0</v>
      </c>
      <c r="AK3730">
        <v>178.19</v>
      </c>
      <c r="AN3730" t="s">
        <v>7439</v>
      </c>
      <c r="AO3730">
        <v>21632</v>
      </c>
      <c r="AU3730">
        <v>8.300000000000001</v>
      </c>
      <c r="AV3730" t="s">
        <v>574</v>
      </c>
      <c r="AW3730" t="s">
        <v>140</v>
      </c>
    </row>
    <row r="3731" spans="1:49">
      <c r="A3731" s="1">
        <f>HYPERLINK("https://lsnyc.legalserver.org/matter/dynamic-profile/view/1879751","18-1879751")</f>
        <v>0</v>
      </c>
      <c r="B3731" t="s">
        <v>187</v>
      </c>
      <c r="C3731" t="s">
        <v>341</v>
      </c>
      <c r="D3731" t="s">
        <v>599</v>
      </c>
      <c r="E3731" t="s">
        <v>519</v>
      </c>
      <c r="F3731" t="s">
        <v>2768</v>
      </c>
      <c r="G3731" t="s">
        <v>7021</v>
      </c>
      <c r="H3731" t="s">
        <v>12579</v>
      </c>
      <c r="I3731" t="s">
        <v>17283</v>
      </c>
      <c r="J3731" t="s">
        <v>18892</v>
      </c>
      <c r="K3731">
        <v>10461</v>
      </c>
      <c r="L3731" t="s">
        <v>18958</v>
      </c>
      <c r="M3731" t="s">
        <v>18958</v>
      </c>
      <c r="N3731" t="s">
        <v>21806</v>
      </c>
      <c r="O3731" t="s">
        <v>26523</v>
      </c>
      <c r="P3731" t="s">
        <v>26564</v>
      </c>
      <c r="Q3731" t="s">
        <v>26570</v>
      </c>
      <c r="R3731" t="s">
        <v>26578</v>
      </c>
      <c r="S3731" t="s">
        <v>18959</v>
      </c>
      <c r="U3731" t="s">
        <v>26604</v>
      </c>
      <c r="V3731" t="s">
        <v>26610</v>
      </c>
      <c r="W3731" t="s">
        <v>519</v>
      </c>
      <c r="X3731">
        <v>1600</v>
      </c>
      <c r="Y3731" t="s">
        <v>26650</v>
      </c>
      <c r="Z3731" t="s">
        <v>26664</v>
      </c>
      <c r="AA3731" t="s">
        <v>26683</v>
      </c>
      <c r="AB3731" t="s">
        <v>29847</v>
      </c>
      <c r="AC3731" t="s">
        <v>35604</v>
      </c>
      <c r="AD3731" t="s">
        <v>39968</v>
      </c>
      <c r="AE3731">
        <v>13</v>
      </c>
      <c r="AF3731" t="s">
        <v>45541</v>
      </c>
      <c r="AG3731" t="s">
        <v>19330</v>
      </c>
      <c r="AH3731">
        <v>1</v>
      </c>
      <c r="AI3731">
        <v>2</v>
      </c>
      <c r="AJ3731">
        <v>1</v>
      </c>
      <c r="AK3731">
        <v>202.12</v>
      </c>
      <c r="AN3731" t="s">
        <v>7439</v>
      </c>
      <c r="AO3731">
        <v>42000</v>
      </c>
      <c r="AP3731" t="s">
        <v>45798</v>
      </c>
      <c r="AR3731" t="s">
        <v>46379</v>
      </c>
      <c r="AT3731" t="s">
        <v>46509</v>
      </c>
      <c r="AU3731">
        <v>1.2</v>
      </c>
      <c r="AV3731" t="s">
        <v>519</v>
      </c>
      <c r="AW3731" t="s">
        <v>336</v>
      </c>
    </row>
    <row r="3732" spans="1:49">
      <c r="A3732" s="1">
        <f>HYPERLINK("https://lsnyc.legalserver.org/matter/dynamic-profile/view/1883347","18-1883347")</f>
        <v>0</v>
      </c>
      <c r="B3732" t="s">
        <v>65</v>
      </c>
      <c r="C3732" t="s">
        <v>341</v>
      </c>
      <c r="D3732" t="s">
        <v>517</v>
      </c>
      <c r="E3732" t="s">
        <v>768</v>
      </c>
      <c r="F3732" t="s">
        <v>1233</v>
      </c>
      <c r="G3732" t="s">
        <v>5691</v>
      </c>
      <c r="H3732" t="s">
        <v>10918</v>
      </c>
      <c r="I3732" t="s">
        <v>18005</v>
      </c>
      <c r="J3732" t="s">
        <v>18892</v>
      </c>
      <c r="K3732">
        <v>10451</v>
      </c>
      <c r="L3732" t="s">
        <v>18958</v>
      </c>
      <c r="M3732" t="s">
        <v>18958</v>
      </c>
      <c r="N3732" t="s">
        <v>21807</v>
      </c>
      <c r="O3732" t="s">
        <v>26523</v>
      </c>
      <c r="P3732" t="s">
        <v>26560</v>
      </c>
      <c r="Q3732" t="s">
        <v>26573</v>
      </c>
      <c r="R3732" t="s">
        <v>26577</v>
      </c>
      <c r="U3732" t="s">
        <v>26604</v>
      </c>
      <c r="V3732" t="s">
        <v>26610</v>
      </c>
      <c r="W3732" t="s">
        <v>519</v>
      </c>
      <c r="X3732">
        <v>1598</v>
      </c>
      <c r="Y3732" t="s">
        <v>26650</v>
      </c>
      <c r="Z3732" t="s">
        <v>26659</v>
      </c>
      <c r="AA3732" t="s">
        <v>26678</v>
      </c>
      <c r="AB3732" t="s">
        <v>29848</v>
      </c>
      <c r="AD3732" t="s">
        <v>39969</v>
      </c>
      <c r="AE3732">
        <v>107</v>
      </c>
      <c r="AF3732" t="s">
        <v>45541</v>
      </c>
      <c r="AG3732" t="s">
        <v>45559</v>
      </c>
      <c r="AH3732">
        <v>19</v>
      </c>
      <c r="AI3732">
        <v>5</v>
      </c>
      <c r="AJ3732">
        <v>0</v>
      </c>
      <c r="AK3732">
        <v>139.5</v>
      </c>
      <c r="AN3732" t="s">
        <v>7439</v>
      </c>
      <c r="AO3732">
        <v>41040</v>
      </c>
      <c r="AQ3732" t="s">
        <v>46362</v>
      </c>
      <c r="AR3732" t="s">
        <v>46385</v>
      </c>
      <c r="AS3732" t="s">
        <v>46499</v>
      </c>
      <c r="AT3732" t="s">
        <v>46641</v>
      </c>
      <c r="AU3732">
        <v>13</v>
      </c>
      <c r="AV3732" t="s">
        <v>768</v>
      </c>
      <c r="AW3732" t="s">
        <v>334</v>
      </c>
    </row>
    <row r="3733" spans="1:49">
      <c r="A3733" s="1">
        <f>HYPERLINK("https://lsnyc.legalserver.org/matter/dynamic-profile/view/1883578","18-1883578")</f>
        <v>0</v>
      </c>
      <c r="B3733" t="s">
        <v>130</v>
      </c>
      <c r="C3733" t="s">
        <v>341</v>
      </c>
      <c r="D3733" t="s">
        <v>603</v>
      </c>
      <c r="E3733" t="s">
        <v>519</v>
      </c>
      <c r="F3733" t="s">
        <v>973</v>
      </c>
      <c r="G3733" t="s">
        <v>7022</v>
      </c>
      <c r="H3733" t="s">
        <v>12580</v>
      </c>
      <c r="I3733" t="s">
        <v>18006</v>
      </c>
      <c r="J3733" t="s">
        <v>18934</v>
      </c>
      <c r="K3733">
        <v>11413</v>
      </c>
      <c r="L3733" t="s">
        <v>18958</v>
      </c>
      <c r="M3733" t="s">
        <v>18958</v>
      </c>
      <c r="N3733" t="s">
        <v>21808</v>
      </c>
      <c r="O3733" t="s">
        <v>26524</v>
      </c>
      <c r="P3733" t="s">
        <v>26564</v>
      </c>
      <c r="Q3733" t="s">
        <v>26570</v>
      </c>
      <c r="R3733" t="s">
        <v>26584</v>
      </c>
      <c r="S3733" t="s">
        <v>18959</v>
      </c>
      <c r="U3733" t="s">
        <v>26604</v>
      </c>
      <c r="V3733" t="s">
        <v>26610</v>
      </c>
      <c r="W3733" t="s">
        <v>519</v>
      </c>
      <c r="X3733">
        <v>600</v>
      </c>
      <c r="Y3733" t="s">
        <v>26653</v>
      </c>
      <c r="Z3733" t="s">
        <v>26664</v>
      </c>
      <c r="AA3733" t="s">
        <v>26683</v>
      </c>
      <c r="AB3733" t="s">
        <v>29159</v>
      </c>
      <c r="AD3733" t="s">
        <v>39970</v>
      </c>
      <c r="AE3733">
        <v>2</v>
      </c>
      <c r="AF3733" t="s">
        <v>45547</v>
      </c>
      <c r="AG3733" t="s">
        <v>19330</v>
      </c>
      <c r="AH3733">
        <v>8</v>
      </c>
      <c r="AI3733">
        <v>1</v>
      </c>
      <c r="AJ3733">
        <v>0</v>
      </c>
      <c r="AK3733">
        <v>171.33</v>
      </c>
      <c r="AN3733" t="s">
        <v>7439</v>
      </c>
      <c r="AO3733">
        <v>20800</v>
      </c>
      <c r="AU3733">
        <v>2.05</v>
      </c>
      <c r="AV3733" t="s">
        <v>519</v>
      </c>
      <c r="AW3733" t="s">
        <v>130</v>
      </c>
    </row>
    <row r="3734" spans="1:49">
      <c r="A3734" s="1">
        <f>HYPERLINK("https://lsnyc.legalserver.org/matter/dynamic-profile/view/1883620","18-1883620")</f>
        <v>0</v>
      </c>
      <c r="B3734" t="s">
        <v>111</v>
      </c>
      <c r="C3734" t="s">
        <v>340</v>
      </c>
      <c r="D3734" t="s">
        <v>603</v>
      </c>
      <c r="F3734" t="s">
        <v>876</v>
      </c>
      <c r="G3734" t="s">
        <v>5311</v>
      </c>
      <c r="H3734" t="s">
        <v>12581</v>
      </c>
      <c r="I3734" t="s">
        <v>17424</v>
      </c>
      <c r="J3734" t="s">
        <v>18897</v>
      </c>
      <c r="K3734">
        <v>11415</v>
      </c>
      <c r="L3734" t="s">
        <v>18958</v>
      </c>
      <c r="M3734" t="s">
        <v>18958</v>
      </c>
      <c r="N3734" t="s">
        <v>21809</v>
      </c>
      <c r="O3734" t="s">
        <v>26523</v>
      </c>
      <c r="P3734" t="s">
        <v>26564</v>
      </c>
      <c r="R3734" t="s">
        <v>26584</v>
      </c>
      <c r="S3734" t="s">
        <v>18959</v>
      </c>
      <c r="U3734" t="s">
        <v>26604</v>
      </c>
      <c r="V3734" t="s">
        <v>26614</v>
      </c>
      <c r="W3734" t="s">
        <v>519</v>
      </c>
      <c r="X3734">
        <v>1750</v>
      </c>
      <c r="Y3734" t="s">
        <v>26653</v>
      </c>
      <c r="Z3734" t="s">
        <v>26664</v>
      </c>
      <c r="AB3734" t="s">
        <v>29849</v>
      </c>
      <c r="AC3734" t="s">
        <v>19045</v>
      </c>
      <c r="AD3734" t="s">
        <v>39971</v>
      </c>
      <c r="AE3734">
        <v>48</v>
      </c>
      <c r="AF3734" t="s">
        <v>20460</v>
      </c>
      <c r="AG3734" t="s">
        <v>19330</v>
      </c>
      <c r="AH3734">
        <v>-1</v>
      </c>
      <c r="AI3734">
        <v>1</v>
      </c>
      <c r="AJ3734">
        <v>2</v>
      </c>
      <c r="AK3734">
        <v>125.12</v>
      </c>
      <c r="AN3734" t="s">
        <v>45581</v>
      </c>
      <c r="AO3734">
        <v>26000</v>
      </c>
      <c r="AQ3734" t="s">
        <v>46365</v>
      </c>
      <c r="AR3734" t="s">
        <v>26530</v>
      </c>
      <c r="AS3734" t="s">
        <v>46500</v>
      </c>
      <c r="AT3734" t="s">
        <v>46542</v>
      </c>
      <c r="AU3734">
        <v>2</v>
      </c>
      <c r="AV3734" t="s">
        <v>519</v>
      </c>
      <c r="AW3734" t="s">
        <v>208</v>
      </c>
    </row>
    <row r="3735" spans="1:49">
      <c r="A3735" s="1">
        <f>HYPERLINK("https://lsnyc.legalserver.org/matter/dynamic-profile/view/1884534","18-1884534")</f>
        <v>0</v>
      </c>
      <c r="B3735" t="s">
        <v>50</v>
      </c>
      <c r="C3735" t="s">
        <v>341</v>
      </c>
      <c r="D3735" t="s">
        <v>678</v>
      </c>
      <c r="E3735" t="s">
        <v>737</v>
      </c>
      <c r="F3735" t="s">
        <v>1466</v>
      </c>
      <c r="G3735" t="s">
        <v>5265</v>
      </c>
      <c r="H3735" t="s">
        <v>11884</v>
      </c>
      <c r="I3735" t="s">
        <v>17356</v>
      </c>
      <c r="J3735" t="s">
        <v>18892</v>
      </c>
      <c r="K3735">
        <v>10468</v>
      </c>
      <c r="L3735" t="s">
        <v>18958</v>
      </c>
      <c r="M3735" t="s">
        <v>18958</v>
      </c>
      <c r="O3735" t="s">
        <v>26528</v>
      </c>
      <c r="P3735" t="s">
        <v>26565</v>
      </c>
      <c r="Q3735" t="s">
        <v>26570</v>
      </c>
      <c r="R3735" t="s">
        <v>26578</v>
      </c>
      <c r="S3735" t="s">
        <v>18958</v>
      </c>
      <c r="T3735" t="s">
        <v>26578</v>
      </c>
      <c r="U3735" t="s">
        <v>26604</v>
      </c>
      <c r="W3735" t="s">
        <v>519</v>
      </c>
      <c r="X3735">
        <v>532</v>
      </c>
      <c r="Y3735" t="s">
        <v>26650</v>
      </c>
      <c r="Z3735" t="s">
        <v>26664</v>
      </c>
      <c r="AA3735" t="s">
        <v>26683</v>
      </c>
      <c r="AB3735" t="s">
        <v>29151</v>
      </c>
      <c r="AC3735" t="s">
        <v>35605</v>
      </c>
      <c r="AD3735" t="s">
        <v>39204</v>
      </c>
      <c r="AE3735">
        <v>45</v>
      </c>
      <c r="AF3735" t="s">
        <v>45541</v>
      </c>
      <c r="AG3735" t="s">
        <v>45556</v>
      </c>
      <c r="AH3735">
        <v>10</v>
      </c>
      <c r="AI3735">
        <v>1</v>
      </c>
      <c r="AJ3735">
        <v>2</v>
      </c>
      <c r="AK3735">
        <v>92.23999999999999</v>
      </c>
      <c r="AN3735" t="s">
        <v>7439</v>
      </c>
      <c r="AO3735">
        <v>19168</v>
      </c>
      <c r="AP3735" t="s">
        <v>45799</v>
      </c>
      <c r="AU3735">
        <v>1</v>
      </c>
      <c r="AV3735" t="s">
        <v>519</v>
      </c>
      <c r="AW3735" t="s">
        <v>46870</v>
      </c>
    </row>
    <row r="3736" spans="1:49">
      <c r="A3736" s="1">
        <f>HYPERLINK("https://lsnyc.legalserver.org/matter/dynamic-profile/view/1885169","18-1885169")</f>
        <v>0</v>
      </c>
      <c r="B3736" t="s">
        <v>70</v>
      </c>
      <c r="C3736" t="s">
        <v>341</v>
      </c>
      <c r="D3736" t="s">
        <v>519</v>
      </c>
      <c r="E3736" t="s">
        <v>786</v>
      </c>
      <c r="F3736" t="s">
        <v>1402</v>
      </c>
      <c r="G3736" t="s">
        <v>6958</v>
      </c>
      <c r="H3736" t="s">
        <v>12582</v>
      </c>
      <c r="I3736" t="s">
        <v>17331</v>
      </c>
      <c r="J3736" t="s">
        <v>18892</v>
      </c>
      <c r="K3736">
        <v>10467</v>
      </c>
      <c r="L3736" t="s">
        <v>18958</v>
      </c>
      <c r="M3736" t="s">
        <v>18958</v>
      </c>
      <c r="N3736" t="s">
        <v>21810</v>
      </c>
      <c r="O3736" t="s">
        <v>26524</v>
      </c>
      <c r="P3736" t="s">
        <v>26560</v>
      </c>
      <c r="Q3736" t="s">
        <v>26573</v>
      </c>
      <c r="R3736" t="s">
        <v>26579</v>
      </c>
      <c r="S3736" t="s">
        <v>18959</v>
      </c>
      <c r="U3736" t="s">
        <v>26604</v>
      </c>
      <c r="V3736" t="s">
        <v>26612</v>
      </c>
      <c r="W3736" t="s">
        <v>519</v>
      </c>
      <c r="X3736">
        <v>1800</v>
      </c>
      <c r="Y3736" t="s">
        <v>26650</v>
      </c>
      <c r="Z3736" t="s">
        <v>26668</v>
      </c>
      <c r="AA3736" t="s">
        <v>26679</v>
      </c>
      <c r="AB3736" t="s">
        <v>29850</v>
      </c>
      <c r="AC3736" t="s">
        <v>35606</v>
      </c>
      <c r="AD3736" t="s">
        <v>39972</v>
      </c>
      <c r="AE3736">
        <v>2</v>
      </c>
      <c r="AF3736" t="s">
        <v>45547</v>
      </c>
      <c r="AG3736" t="s">
        <v>45556</v>
      </c>
      <c r="AH3736">
        <v>8</v>
      </c>
      <c r="AI3736">
        <v>2</v>
      </c>
      <c r="AJ3736">
        <v>1</v>
      </c>
      <c r="AK3736">
        <v>109.48</v>
      </c>
      <c r="AN3736" t="s">
        <v>7439</v>
      </c>
      <c r="AO3736">
        <v>22750</v>
      </c>
      <c r="AQ3736" t="s">
        <v>46365</v>
      </c>
      <c r="AR3736" t="s">
        <v>46418</v>
      </c>
      <c r="AS3736" t="s">
        <v>46500</v>
      </c>
      <c r="AT3736" t="s">
        <v>46604</v>
      </c>
      <c r="AU3736">
        <v>6.7</v>
      </c>
      <c r="AV3736" t="s">
        <v>755</v>
      </c>
      <c r="AW3736" t="s">
        <v>46857</v>
      </c>
    </row>
    <row r="3737" spans="1:49">
      <c r="A3737" s="1">
        <f>HYPERLINK("https://lsnyc.legalserver.org/matter/dynamic-profile/view/1884722","18-1884722")</f>
        <v>0</v>
      </c>
      <c r="B3737" t="s">
        <v>169</v>
      </c>
      <c r="C3737" t="s">
        <v>341</v>
      </c>
      <c r="D3737" t="s">
        <v>519</v>
      </c>
      <c r="E3737" t="s">
        <v>779</v>
      </c>
      <c r="F3737" t="s">
        <v>1228</v>
      </c>
      <c r="G3737" t="s">
        <v>5147</v>
      </c>
      <c r="H3737" t="s">
        <v>12583</v>
      </c>
      <c r="I3737" t="s">
        <v>17284</v>
      </c>
      <c r="J3737" t="s">
        <v>18892</v>
      </c>
      <c r="K3737">
        <v>10453</v>
      </c>
      <c r="L3737" t="s">
        <v>18958</v>
      </c>
      <c r="M3737" t="s">
        <v>18958</v>
      </c>
      <c r="O3737" t="s">
        <v>26537</v>
      </c>
      <c r="P3737" t="s">
        <v>26562</v>
      </c>
      <c r="Q3737" t="s">
        <v>26571</v>
      </c>
      <c r="R3737" t="s">
        <v>26578</v>
      </c>
      <c r="S3737" t="s">
        <v>18959</v>
      </c>
      <c r="U3737" t="s">
        <v>26606</v>
      </c>
      <c r="W3737" t="s">
        <v>519</v>
      </c>
      <c r="X3737">
        <v>227</v>
      </c>
      <c r="Y3737" t="s">
        <v>26650</v>
      </c>
      <c r="Z3737" t="s">
        <v>26659</v>
      </c>
      <c r="AA3737" t="s">
        <v>26682</v>
      </c>
      <c r="AB3737" t="s">
        <v>29851</v>
      </c>
      <c r="AC3737" t="s">
        <v>35607</v>
      </c>
      <c r="AD3737" t="s">
        <v>39973</v>
      </c>
      <c r="AE3737">
        <v>27</v>
      </c>
      <c r="AF3737" t="s">
        <v>45541</v>
      </c>
      <c r="AG3737" t="s">
        <v>45556</v>
      </c>
      <c r="AH3737">
        <v>26</v>
      </c>
      <c r="AI3737">
        <v>3</v>
      </c>
      <c r="AJ3737">
        <v>0</v>
      </c>
      <c r="AK3737">
        <v>42.33</v>
      </c>
      <c r="AN3737" t="s">
        <v>7439</v>
      </c>
      <c r="AO3737">
        <v>8796</v>
      </c>
      <c r="AU3737">
        <v>0.5</v>
      </c>
      <c r="AV3737" t="s">
        <v>712</v>
      </c>
      <c r="AW3737" t="s">
        <v>46847</v>
      </c>
    </row>
    <row r="3738" spans="1:49">
      <c r="A3738" s="1">
        <f>HYPERLINK("https://lsnyc.legalserver.org/matter/dynamic-profile/view/1885175","18-1885175")</f>
        <v>0</v>
      </c>
      <c r="B3738" t="s">
        <v>180</v>
      </c>
      <c r="C3738" t="s">
        <v>341</v>
      </c>
      <c r="D3738" t="s">
        <v>519</v>
      </c>
      <c r="E3738" t="s">
        <v>724</v>
      </c>
      <c r="F3738" t="s">
        <v>2769</v>
      </c>
      <c r="G3738" t="s">
        <v>994</v>
      </c>
      <c r="H3738" t="s">
        <v>12584</v>
      </c>
      <c r="I3738" t="s">
        <v>18007</v>
      </c>
      <c r="J3738" t="s">
        <v>18894</v>
      </c>
      <c r="K3738">
        <v>11226</v>
      </c>
      <c r="L3738" t="s">
        <v>18958</v>
      </c>
      <c r="M3738" t="s">
        <v>18960</v>
      </c>
      <c r="N3738" t="s">
        <v>21811</v>
      </c>
      <c r="O3738" t="s">
        <v>26523</v>
      </c>
      <c r="P3738" t="s">
        <v>26560</v>
      </c>
      <c r="Q3738" t="s">
        <v>26568</v>
      </c>
      <c r="R3738" t="s">
        <v>26588</v>
      </c>
      <c r="S3738" t="s">
        <v>18959</v>
      </c>
      <c r="U3738" t="s">
        <v>26604</v>
      </c>
      <c r="V3738" t="s">
        <v>26612</v>
      </c>
      <c r="W3738" t="s">
        <v>519</v>
      </c>
      <c r="X3738">
        <v>1095</v>
      </c>
      <c r="Y3738" t="s">
        <v>26652</v>
      </c>
      <c r="Z3738" t="s">
        <v>26664</v>
      </c>
      <c r="AA3738" t="s">
        <v>26678</v>
      </c>
      <c r="AB3738" t="s">
        <v>29852</v>
      </c>
      <c r="AD3738" t="s">
        <v>39974</v>
      </c>
      <c r="AE3738">
        <v>46</v>
      </c>
      <c r="AF3738" t="s">
        <v>20460</v>
      </c>
      <c r="AG3738" t="s">
        <v>19330</v>
      </c>
      <c r="AH3738">
        <v>10</v>
      </c>
      <c r="AI3738">
        <v>1</v>
      </c>
      <c r="AJ3738">
        <v>1</v>
      </c>
      <c r="AK3738">
        <v>189.55</v>
      </c>
      <c r="AN3738" t="s">
        <v>7439</v>
      </c>
      <c r="AO3738">
        <v>31200</v>
      </c>
      <c r="AQ3738" t="s">
        <v>46359</v>
      </c>
      <c r="AR3738" t="s">
        <v>46379</v>
      </c>
      <c r="AS3738" t="s">
        <v>46499</v>
      </c>
      <c r="AU3738">
        <v>3.4</v>
      </c>
      <c r="AV3738" t="s">
        <v>724</v>
      </c>
      <c r="AW3738" t="s">
        <v>46862</v>
      </c>
    </row>
    <row r="3739" spans="1:49">
      <c r="A3739" s="1">
        <f>HYPERLINK("https://lsnyc.legalserver.org/matter/dynamic-profile/view/1885077","18-1885077")</f>
        <v>0</v>
      </c>
      <c r="B3739" t="s">
        <v>84</v>
      </c>
      <c r="C3739" t="s">
        <v>341</v>
      </c>
      <c r="D3739" t="s">
        <v>519</v>
      </c>
      <c r="E3739" t="s">
        <v>494</v>
      </c>
      <c r="F3739" t="s">
        <v>945</v>
      </c>
      <c r="G3739" t="s">
        <v>7023</v>
      </c>
      <c r="H3739" t="s">
        <v>12585</v>
      </c>
      <c r="I3739">
        <v>56</v>
      </c>
      <c r="J3739" t="s">
        <v>18893</v>
      </c>
      <c r="K3739">
        <v>10040</v>
      </c>
      <c r="L3739" t="s">
        <v>18958</v>
      </c>
      <c r="M3739" t="s">
        <v>18958</v>
      </c>
      <c r="N3739" t="s">
        <v>21812</v>
      </c>
      <c r="O3739" t="s">
        <v>26524</v>
      </c>
      <c r="P3739" t="s">
        <v>26564</v>
      </c>
      <c r="Q3739" t="s">
        <v>26570</v>
      </c>
      <c r="R3739" t="s">
        <v>26582</v>
      </c>
      <c r="S3739" t="s">
        <v>18959</v>
      </c>
      <c r="U3739" t="s">
        <v>26604</v>
      </c>
      <c r="W3739" t="s">
        <v>519</v>
      </c>
      <c r="X3739">
        <v>288</v>
      </c>
      <c r="Y3739" t="s">
        <v>26651</v>
      </c>
      <c r="Z3739" t="s">
        <v>26664</v>
      </c>
      <c r="AA3739" t="s">
        <v>26683</v>
      </c>
      <c r="AB3739" t="s">
        <v>29485</v>
      </c>
      <c r="AC3739" t="s">
        <v>35608</v>
      </c>
      <c r="AD3739" t="s">
        <v>39975</v>
      </c>
      <c r="AE3739">
        <v>0</v>
      </c>
      <c r="AF3739" t="s">
        <v>45548</v>
      </c>
      <c r="AG3739" t="s">
        <v>26530</v>
      </c>
      <c r="AH3739">
        <v>37</v>
      </c>
      <c r="AI3739">
        <v>1</v>
      </c>
      <c r="AJ3739">
        <v>0</v>
      </c>
      <c r="AK3739">
        <v>16.92</v>
      </c>
      <c r="AN3739" t="s">
        <v>7439</v>
      </c>
      <c r="AO3739">
        <v>2054</v>
      </c>
      <c r="AU3739">
        <v>1.1</v>
      </c>
      <c r="AV3739" t="s">
        <v>704</v>
      </c>
      <c r="AW3739" t="s">
        <v>46875</v>
      </c>
    </row>
    <row r="3740" spans="1:49">
      <c r="A3740" s="1">
        <f>HYPERLINK("https://lsnyc.legalserver.org/matter/dynamic-profile/view/1885146","18-1885146")</f>
        <v>0</v>
      </c>
      <c r="B3740" t="s">
        <v>218</v>
      </c>
      <c r="C3740" t="s">
        <v>341</v>
      </c>
      <c r="D3740" t="s">
        <v>519</v>
      </c>
      <c r="E3740" t="s">
        <v>707</v>
      </c>
      <c r="F3740" t="s">
        <v>1251</v>
      </c>
      <c r="G3740" t="s">
        <v>3662</v>
      </c>
      <c r="H3740" t="s">
        <v>12586</v>
      </c>
      <c r="I3740" t="s">
        <v>17300</v>
      </c>
      <c r="J3740" t="s">
        <v>18893</v>
      </c>
      <c r="K3740">
        <v>10034</v>
      </c>
      <c r="L3740" t="s">
        <v>18958</v>
      </c>
      <c r="M3740" t="s">
        <v>18958</v>
      </c>
      <c r="O3740" t="s">
        <v>26529</v>
      </c>
      <c r="P3740" t="s">
        <v>26564</v>
      </c>
      <c r="Q3740" t="s">
        <v>26570</v>
      </c>
      <c r="R3740" t="s">
        <v>26578</v>
      </c>
      <c r="S3740" t="s">
        <v>18959</v>
      </c>
      <c r="U3740" t="s">
        <v>26604</v>
      </c>
      <c r="W3740" t="s">
        <v>519</v>
      </c>
      <c r="X3740">
        <v>776</v>
      </c>
      <c r="Y3740" t="s">
        <v>26651</v>
      </c>
      <c r="Z3740" t="s">
        <v>26661</v>
      </c>
      <c r="AA3740" t="s">
        <v>26683</v>
      </c>
      <c r="AB3740" t="s">
        <v>29853</v>
      </c>
      <c r="AE3740">
        <v>0</v>
      </c>
      <c r="AF3740" t="s">
        <v>45541</v>
      </c>
      <c r="AG3740" t="s">
        <v>19330</v>
      </c>
      <c r="AH3740">
        <v>36</v>
      </c>
      <c r="AI3740">
        <v>1</v>
      </c>
      <c r="AJ3740">
        <v>0</v>
      </c>
      <c r="AK3740">
        <v>80.56</v>
      </c>
      <c r="AN3740" t="s">
        <v>7439</v>
      </c>
      <c r="AO3740">
        <v>9780</v>
      </c>
      <c r="AU3740">
        <v>2.7</v>
      </c>
      <c r="AV3740" t="s">
        <v>713</v>
      </c>
      <c r="AW3740" t="s">
        <v>46840</v>
      </c>
    </row>
    <row r="3741" spans="1:49">
      <c r="A3741" s="1">
        <f>HYPERLINK("https://lsnyc.legalserver.org/matter/dynamic-profile/view/1885153","18-1885153")</f>
        <v>0</v>
      </c>
      <c r="B3741" t="s">
        <v>218</v>
      </c>
      <c r="C3741" t="s">
        <v>341</v>
      </c>
      <c r="D3741" t="s">
        <v>519</v>
      </c>
      <c r="E3741" t="s">
        <v>707</v>
      </c>
      <c r="F3741" t="s">
        <v>887</v>
      </c>
      <c r="G3741" t="s">
        <v>6106</v>
      </c>
      <c r="H3741" t="s">
        <v>12587</v>
      </c>
      <c r="I3741" t="s">
        <v>17277</v>
      </c>
      <c r="J3741" t="s">
        <v>18893</v>
      </c>
      <c r="K3741">
        <v>10034</v>
      </c>
      <c r="L3741" t="s">
        <v>18958</v>
      </c>
      <c r="M3741" t="s">
        <v>18958</v>
      </c>
      <c r="O3741" t="s">
        <v>18997</v>
      </c>
      <c r="P3741" t="s">
        <v>26564</v>
      </c>
      <c r="Q3741" t="s">
        <v>26570</v>
      </c>
      <c r="R3741" t="s">
        <v>26578</v>
      </c>
      <c r="S3741" t="s">
        <v>18959</v>
      </c>
      <c r="U3741" t="s">
        <v>26604</v>
      </c>
      <c r="W3741" t="s">
        <v>519</v>
      </c>
      <c r="X3741">
        <v>1208.23</v>
      </c>
      <c r="Y3741" t="s">
        <v>26651</v>
      </c>
      <c r="Z3741" t="s">
        <v>26661</v>
      </c>
      <c r="AA3741" t="s">
        <v>26683</v>
      </c>
      <c r="AB3741" t="s">
        <v>29854</v>
      </c>
      <c r="AE3741">
        <v>0</v>
      </c>
      <c r="AF3741" t="s">
        <v>45541</v>
      </c>
      <c r="AG3741" t="s">
        <v>19330</v>
      </c>
      <c r="AH3741">
        <v>12</v>
      </c>
      <c r="AI3741">
        <v>1</v>
      </c>
      <c r="AJ3741">
        <v>0</v>
      </c>
      <c r="AK3741">
        <v>81.05</v>
      </c>
      <c r="AN3741" t="s">
        <v>7439</v>
      </c>
      <c r="AO3741">
        <v>9840</v>
      </c>
      <c r="AU3741">
        <v>1.6</v>
      </c>
      <c r="AV3741" t="s">
        <v>692</v>
      </c>
      <c r="AW3741" t="s">
        <v>46840</v>
      </c>
    </row>
    <row r="3742" spans="1:49">
      <c r="A3742" s="1">
        <f>HYPERLINK("https://lsnyc.legalserver.org/matter/dynamic-profile/view/1885148","18-1885148")</f>
        <v>0</v>
      </c>
      <c r="B3742" t="s">
        <v>218</v>
      </c>
      <c r="C3742" t="s">
        <v>341</v>
      </c>
      <c r="D3742" t="s">
        <v>519</v>
      </c>
      <c r="E3742" t="s">
        <v>737</v>
      </c>
      <c r="F3742" t="s">
        <v>1489</v>
      </c>
      <c r="G3742" t="s">
        <v>5191</v>
      </c>
      <c r="H3742" t="s">
        <v>12588</v>
      </c>
      <c r="I3742">
        <v>1</v>
      </c>
      <c r="J3742" t="s">
        <v>18893</v>
      </c>
      <c r="K3742">
        <v>10033</v>
      </c>
      <c r="L3742" t="s">
        <v>18958</v>
      </c>
      <c r="M3742" t="s">
        <v>18958</v>
      </c>
      <c r="O3742" t="s">
        <v>18997</v>
      </c>
      <c r="P3742" t="s">
        <v>26564</v>
      </c>
      <c r="Q3742" t="s">
        <v>26570</v>
      </c>
      <c r="R3742" t="s">
        <v>26578</v>
      </c>
      <c r="S3742" t="s">
        <v>18959</v>
      </c>
      <c r="U3742" t="s">
        <v>26604</v>
      </c>
      <c r="W3742" t="s">
        <v>519</v>
      </c>
      <c r="X3742">
        <v>600</v>
      </c>
      <c r="Y3742" t="s">
        <v>26651</v>
      </c>
      <c r="Z3742" t="s">
        <v>26661</v>
      </c>
      <c r="AA3742" t="s">
        <v>26683</v>
      </c>
      <c r="AB3742" t="s">
        <v>29855</v>
      </c>
      <c r="AD3742" t="s">
        <v>39976</v>
      </c>
      <c r="AE3742">
        <v>0</v>
      </c>
      <c r="AF3742" t="s">
        <v>45541</v>
      </c>
      <c r="AG3742" t="s">
        <v>19330</v>
      </c>
      <c r="AH3742">
        <v>10</v>
      </c>
      <c r="AI3742">
        <v>2</v>
      </c>
      <c r="AJ3742">
        <v>2</v>
      </c>
      <c r="AK3742">
        <v>81.20999999999999</v>
      </c>
      <c r="AN3742" t="s">
        <v>7439</v>
      </c>
      <c r="AO3742">
        <v>20384</v>
      </c>
      <c r="AU3742">
        <v>0.7</v>
      </c>
      <c r="AV3742" t="s">
        <v>670</v>
      </c>
      <c r="AW3742" t="s">
        <v>46840</v>
      </c>
    </row>
    <row r="3743" spans="1:49">
      <c r="A3743" s="1">
        <f>HYPERLINK("https://lsnyc.legalserver.org/matter/dynamic-profile/view/1885156","18-1885156")</f>
        <v>0</v>
      </c>
      <c r="B3743" t="s">
        <v>218</v>
      </c>
      <c r="C3743" t="s">
        <v>341</v>
      </c>
      <c r="D3743" t="s">
        <v>519</v>
      </c>
      <c r="E3743" t="s">
        <v>737</v>
      </c>
      <c r="F3743" t="s">
        <v>2770</v>
      </c>
      <c r="G3743" t="s">
        <v>6171</v>
      </c>
      <c r="H3743" t="s">
        <v>12589</v>
      </c>
      <c r="I3743" t="s">
        <v>17348</v>
      </c>
      <c r="J3743" t="s">
        <v>18893</v>
      </c>
      <c r="K3743">
        <v>10034</v>
      </c>
      <c r="L3743" t="s">
        <v>18958</v>
      </c>
      <c r="M3743" t="s">
        <v>18958</v>
      </c>
      <c r="P3743" t="s">
        <v>26564</v>
      </c>
      <c r="Q3743" t="s">
        <v>26570</v>
      </c>
      <c r="R3743" t="s">
        <v>26578</v>
      </c>
      <c r="S3743" t="s">
        <v>18959</v>
      </c>
      <c r="U3743" t="s">
        <v>26604</v>
      </c>
      <c r="W3743" t="s">
        <v>519</v>
      </c>
      <c r="X3743">
        <v>802</v>
      </c>
      <c r="Y3743" t="s">
        <v>26651</v>
      </c>
      <c r="Z3743" t="s">
        <v>26661</v>
      </c>
      <c r="AA3743" t="s">
        <v>26683</v>
      </c>
      <c r="AB3743" t="s">
        <v>29856</v>
      </c>
      <c r="AD3743" t="s">
        <v>39977</v>
      </c>
      <c r="AE3743">
        <v>0</v>
      </c>
      <c r="AF3743" t="s">
        <v>45541</v>
      </c>
      <c r="AG3743" t="s">
        <v>45556</v>
      </c>
      <c r="AH3743">
        <v>27</v>
      </c>
      <c r="AI3743">
        <v>1</v>
      </c>
      <c r="AJ3743">
        <v>0</v>
      </c>
      <c r="AK3743">
        <v>197.69</v>
      </c>
      <c r="AN3743" t="s">
        <v>45581</v>
      </c>
      <c r="AO3743">
        <v>24000</v>
      </c>
      <c r="AU3743">
        <v>7.4</v>
      </c>
      <c r="AV3743" t="s">
        <v>668</v>
      </c>
      <c r="AW3743" t="s">
        <v>46840</v>
      </c>
    </row>
    <row r="3744" spans="1:49">
      <c r="A3744" s="1">
        <f>HYPERLINK("https://lsnyc.legalserver.org/matter/dynamic-profile/view/1885110","18-1885110")</f>
        <v>0</v>
      </c>
      <c r="B3744" t="s">
        <v>106</v>
      </c>
      <c r="C3744" t="s">
        <v>341</v>
      </c>
      <c r="D3744" t="s">
        <v>519</v>
      </c>
      <c r="E3744" t="s">
        <v>787</v>
      </c>
      <c r="F3744" t="s">
        <v>1631</v>
      </c>
      <c r="G3744" t="s">
        <v>5086</v>
      </c>
      <c r="H3744" t="s">
        <v>12590</v>
      </c>
      <c r="I3744" t="s">
        <v>17334</v>
      </c>
      <c r="J3744" t="s">
        <v>18894</v>
      </c>
      <c r="K3744">
        <v>11216</v>
      </c>
      <c r="L3744" t="s">
        <v>18958</v>
      </c>
      <c r="M3744" t="s">
        <v>18958</v>
      </c>
      <c r="N3744" t="s">
        <v>21813</v>
      </c>
      <c r="O3744" t="s">
        <v>26524</v>
      </c>
      <c r="P3744" t="s">
        <v>26560</v>
      </c>
      <c r="Q3744" t="s">
        <v>26568</v>
      </c>
      <c r="R3744" t="s">
        <v>26588</v>
      </c>
      <c r="U3744" t="s">
        <v>26604</v>
      </c>
      <c r="W3744" t="s">
        <v>519</v>
      </c>
      <c r="X3744">
        <v>1000</v>
      </c>
      <c r="Y3744" t="s">
        <v>26652</v>
      </c>
      <c r="Z3744" t="s">
        <v>26669</v>
      </c>
      <c r="AA3744" t="s">
        <v>26678</v>
      </c>
      <c r="AB3744" t="s">
        <v>29857</v>
      </c>
      <c r="AD3744" t="s">
        <v>39978</v>
      </c>
      <c r="AE3744">
        <v>6</v>
      </c>
      <c r="AH3744">
        <v>4</v>
      </c>
      <c r="AI3744">
        <v>1</v>
      </c>
      <c r="AJ3744">
        <v>0</v>
      </c>
      <c r="AK3744">
        <v>139.11</v>
      </c>
      <c r="AN3744" t="s">
        <v>7439</v>
      </c>
      <c r="AO3744">
        <v>16888</v>
      </c>
      <c r="AS3744" t="s">
        <v>46499</v>
      </c>
      <c r="AT3744" t="s">
        <v>46606</v>
      </c>
      <c r="AU3744">
        <v>29.4</v>
      </c>
      <c r="AV3744" t="s">
        <v>758</v>
      </c>
      <c r="AW3744" t="s">
        <v>281</v>
      </c>
    </row>
    <row r="3745" spans="1:50">
      <c r="A3745" s="1">
        <f>HYPERLINK("https://lsnyc.legalserver.org/matter/dynamic-profile/view/1885046","18-1885046")</f>
        <v>0</v>
      </c>
      <c r="B3745" t="s">
        <v>206</v>
      </c>
      <c r="C3745" t="s">
        <v>341</v>
      </c>
      <c r="D3745" t="s">
        <v>519</v>
      </c>
      <c r="E3745" t="s">
        <v>677</v>
      </c>
      <c r="F3745" t="s">
        <v>2771</v>
      </c>
      <c r="G3745" t="s">
        <v>7024</v>
      </c>
      <c r="H3745" t="s">
        <v>12591</v>
      </c>
      <c r="I3745" t="s">
        <v>17306</v>
      </c>
      <c r="J3745" t="s">
        <v>18894</v>
      </c>
      <c r="K3745">
        <v>11216</v>
      </c>
      <c r="L3745" t="s">
        <v>18958</v>
      </c>
      <c r="M3745" t="s">
        <v>18958</v>
      </c>
      <c r="N3745" t="s">
        <v>21814</v>
      </c>
      <c r="O3745" t="s">
        <v>26523</v>
      </c>
      <c r="P3745" t="s">
        <v>26560</v>
      </c>
      <c r="Q3745" t="s">
        <v>26568</v>
      </c>
      <c r="R3745" t="s">
        <v>26588</v>
      </c>
      <c r="S3745" t="s">
        <v>18959</v>
      </c>
      <c r="U3745" t="s">
        <v>26604</v>
      </c>
      <c r="W3745" t="s">
        <v>519</v>
      </c>
      <c r="X3745">
        <v>785</v>
      </c>
      <c r="Y3745" t="s">
        <v>26652</v>
      </c>
      <c r="Z3745" t="s">
        <v>26669</v>
      </c>
      <c r="AA3745" t="s">
        <v>26678</v>
      </c>
      <c r="AB3745" t="s">
        <v>29858</v>
      </c>
      <c r="AD3745" t="s">
        <v>39979</v>
      </c>
      <c r="AE3745">
        <v>5</v>
      </c>
      <c r="AG3745" t="s">
        <v>19330</v>
      </c>
      <c r="AH3745">
        <v>8</v>
      </c>
      <c r="AI3745">
        <v>2</v>
      </c>
      <c r="AJ3745">
        <v>2</v>
      </c>
      <c r="AK3745">
        <v>183.27</v>
      </c>
      <c r="AN3745" t="s">
        <v>7439</v>
      </c>
      <c r="AO3745">
        <v>46000</v>
      </c>
      <c r="AS3745" t="s">
        <v>46499</v>
      </c>
      <c r="AT3745" t="s">
        <v>46662</v>
      </c>
      <c r="AU3745">
        <v>10.75</v>
      </c>
      <c r="AV3745" t="s">
        <v>693</v>
      </c>
      <c r="AW3745" t="s">
        <v>281</v>
      </c>
    </row>
    <row r="3746" spans="1:50">
      <c r="A3746" s="1">
        <f>HYPERLINK("https://lsnyc.legalserver.org/matter/dynamic-profile/view/1884518","18-1884518")</f>
        <v>0</v>
      </c>
      <c r="B3746" t="s">
        <v>147</v>
      </c>
      <c r="C3746" t="s">
        <v>340</v>
      </c>
      <c r="D3746" t="s">
        <v>519</v>
      </c>
      <c r="F3746" t="s">
        <v>1283</v>
      </c>
      <c r="G3746" t="s">
        <v>6775</v>
      </c>
      <c r="H3746" t="s">
        <v>12592</v>
      </c>
      <c r="J3746" t="s">
        <v>18894</v>
      </c>
      <c r="K3746">
        <v>11217</v>
      </c>
      <c r="L3746" t="s">
        <v>18958</v>
      </c>
      <c r="M3746" t="s">
        <v>18959</v>
      </c>
      <c r="N3746" t="s">
        <v>21815</v>
      </c>
      <c r="O3746" t="s">
        <v>26523</v>
      </c>
      <c r="P3746" t="s">
        <v>26560</v>
      </c>
      <c r="R3746" t="s">
        <v>26578</v>
      </c>
      <c r="S3746" t="s">
        <v>18959</v>
      </c>
      <c r="U3746" t="s">
        <v>26604</v>
      </c>
      <c r="V3746" t="s">
        <v>26610</v>
      </c>
      <c r="W3746" t="s">
        <v>519</v>
      </c>
      <c r="X3746">
        <v>1104</v>
      </c>
      <c r="Y3746" t="s">
        <v>26652</v>
      </c>
      <c r="Z3746" t="s">
        <v>26530</v>
      </c>
      <c r="AB3746" t="s">
        <v>29859</v>
      </c>
      <c r="AD3746" t="s">
        <v>39980</v>
      </c>
      <c r="AE3746">
        <v>303</v>
      </c>
      <c r="AF3746" t="s">
        <v>45541</v>
      </c>
      <c r="AG3746" t="s">
        <v>19330</v>
      </c>
      <c r="AH3746">
        <v>1</v>
      </c>
      <c r="AI3746">
        <v>2</v>
      </c>
      <c r="AJ3746">
        <v>1</v>
      </c>
      <c r="AK3746">
        <v>92.70999999999999</v>
      </c>
      <c r="AN3746" t="s">
        <v>7439</v>
      </c>
      <c r="AO3746">
        <v>19266</v>
      </c>
      <c r="AR3746" t="s">
        <v>46380</v>
      </c>
      <c r="AS3746" t="s">
        <v>46499</v>
      </c>
      <c r="AT3746" t="s">
        <v>46645</v>
      </c>
      <c r="AU3746">
        <v>17.2</v>
      </c>
      <c r="AV3746" t="s">
        <v>777</v>
      </c>
      <c r="AW3746" t="s">
        <v>219</v>
      </c>
    </row>
    <row r="3747" spans="1:50">
      <c r="A3747" s="1">
        <f>HYPERLINK("https://lsnyc.legalserver.org/matter/dynamic-profile/view/1885059","18-1885059")</f>
        <v>0</v>
      </c>
      <c r="B3747" t="s">
        <v>211</v>
      </c>
      <c r="C3747" t="s">
        <v>340</v>
      </c>
      <c r="D3747" t="s">
        <v>519</v>
      </c>
      <c r="F3747" t="s">
        <v>2772</v>
      </c>
      <c r="G3747" t="s">
        <v>1263</v>
      </c>
      <c r="H3747" t="s">
        <v>12593</v>
      </c>
      <c r="I3747" t="s">
        <v>17362</v>
      </c>
      <c r="J3747" t="s">
        <v>18894</v>
      </c>
      <c r="K3747">
        <v>11212</v>
      </c>
      <c r="L3747" t="s">
        <v>18958</v>
      </c>
      <c r="M3747" t="s">
        <v>18958</v>
      </c>
      <c r="N3747" t="s">
        <v>21816</v>
      </c>
      <c r="O3747" t="s">
        <v>26523</v>
      </c>
      <c r="P3747" t="s">
        <v>26560</v>
      </c>
      <c r="R3747" t="s">
        <v>26578</v>
      </c>
      <c r="S3747" t="s">
        <v>18959</v>
      </c>
      <c r="U3747" t="s">
        <v>26604</v>
      </c>
      <c r="V3747" t="s">
        <v>26610</v>
      </c>
      <c r="W3747" t="s">
        <v>519</v>
      </c>
      <c r="X3747">
        <v>0</v>
      </c>
      <c r="Y3747" t="s">
        <v>26652</v>
      </c>
      <c r="Z3747" t="s">
        <v>26663</v>
      </c>
      <c r="AB3747" t="s">
        <v>29860</v>
      </c>
      <c r="AC3747" t="s">
        <v>34508</v>
      </c>
      <c r="AD3747" t="s">
        <v>39981</v>
      </c>
      <c r="AE3747">
        <v>96</v>
      </c>
      <c r="AF3747" t="s">
        <v>45541</v>
      </c>
      <c r="AG3747" t="s">
        <v>45559</v>
      </c>
      <c r="AH3747">
        <v>35</v>
      </c>
      <c r="AI3747">
        <v>1</v>
      </c>
      <c r="AJ3747">
        <v>0</v>
      </c>
      <c r="AK3747">
        <v>80.36</v>
      </c>
      <c r="AN3747" t="s">
        <v>7439</v>
      </c>
      <c r="AO3747">
        <v>9756</v>
      </c>
      <c r="AP3747" t="s">
        <v>45800</v>
      </c>
      <c r="AU3747">
        <v>37.2</v>
      </c>
      <c r="AV3747" t="s">
        <v>809</v>
      </c>
      <c r="AW3747" t="s">
        <v>279</v>
      </c>
    </row>
    <row r="3748" spans="1:50">
      <c r="A3748" s="1">
        <f>HYPERLINK("https://lsnyc.legalserver.org/matter/dynamic-profile/view/1885058","18-1885058")</f>
        <v>0</v>
      </c>
      <c r="B3748" t="s">
        <v>84</v>
      </c>
      <c r="C3748" t="s">
        <v>340</v>
      </c>
      <c r="D3748" t="s">
        <v>519</v>
      </c>
      <c r="F3748" t="s">
        <v>2773</v>
      </c>
      <c r="G3748" t="s">
        <v>5657</v>
      </c>
      <c r="H3748" t="s">
        <v>12594</v>
      </c>
      <c r="I3748" t="s">
        <v>17355</v>
      </c>
      <c r="J3748" t="s">
        <v>18893</v>
      </c>
      <c r="K3748">
        <v>10033</v>
      </c>
      <c r="L3748" t="s">
        <v>18958</v>
      </c>
      <c r="M3748" t="s">
        <v>18958</v>
      </c>
      <c r="N3748" t="s">
        <v>21817</v>
      </c>
      <c r="O3748" t="s">
        <v>26523</v>
      </c>
      <c r="P3748" t="s">
        <v>26564</v>
      </c>
      <c r="R3748" t="s">
        <v>26582</v>
      </c>
      <c r="S3748" t="s">
        <v>18959</v>
      </c>
      <c r="U3748" t="s">
        <v>26604</v>
      </c>
      <c r="W3748" t="s">
        <v>519</v>
      </c>
      <c r="X3748">
        <v>940</v>
      </c>
      <c r="Y3748" t="s">
        <v>26651</v>
      </c>
      <c r="Z3748" t="s">
        <v>26664</v>
      </c>
      <c r="AB3748" t="s">
        <v>29861</v>
      </c>
      <c r="AD3748" t="s">
        <v>39982</v>
      </c>
      <c r="AE3748">
        <v>0</v>
      </c>
      <c r="AF3748" t="s">
        <v>45548</v>
      </c>
      <c r="AG3748" t="s">
        <v>19330</v>
      </c>
      <c r="AH3748">
        <v>4</v>
      </c>
      <c r="AI3748">
        <v>1</v>
      </c>
      <c r="AJ3748">
        <v>0</v>
      </c>
      <c r="AK3748">
        <v>212.88</v>
      </c>
      <c r="AO3748">
        <v>25844</v>
      </c>
      <c r="AU3748">
        <v>0</v>
      </c>
      <c r="AW3748" t="s">
        <v>46875</v>
      </c>
    </row>
    <row r="3749" spans="1:50">
      <c r="A3749" s="1">
        <f>HYPERLINK("https://lsnyc.legalserver.org/matter/dynamic-profile/view/1885147","18-1885147")</f>
        <v>0</v>
      </c>
      <c r="B3749" t="s">
        <v>82</v>
      </c>
      <c r="C3749" t="s">
        <v>340</v>
      </c>
      <c r="D3749" t="s">
        <v>519</v>
      </c>
      <c r="F3749" t="s">
        <v>962</v>
      </c>
      <c r="G3749" t="s">
        <v>5138</v>
      </c>
      <c r="H3749" t="s">
        <v>12595</v>
      </c>
      <c r="I3749" t="s">
        <v>17272</v>
      </c>
      <c r="J3749" t="s">
        <v>18892</v>
      </c>
      <c r="K3749">
        <v>10467</v>
      </c>
      <c r="L3749" t="s">
        <v>18958</v>
      </c>
      <c r="M3749" t="s">
        <v>18958</v>
      </c>
      <c r="N3749" t="s">
        <v>21818</v>
      </c>
      <c r="O3749" t="s">
        <v>26524</v>
      </c>
      <c r="P3749" t="s">
        <v>26560</v>
      </c>
      <c r="R3749" t="s">
        <v>26579</v>
      </c>
      <c r="S3749" t="s">
        <v>18959</v>
      </c>
      <c r="U3749" t="s">
        <v>26604</v>
      </c>
      <c r="V3749" t="s">
        <v>26610</v>
      </c>
      <c r="W3749" t="s">
        <v>519</v>
      </c>
      <c r="X3749">
        <v>1000</v>
      </c>
      <c r="Y3749" t="s">
        <v>26650</v>
      </c>
      <c r="Z3749" t="s">
        <v>26657</v>
      </c>
      <c r="AB3749" t="s">
        <v>29566</v>
      </c>
      <c r="AD3749" t="s">
        <v>39983</v>
      </c>
      <c r="AE3749">
        <v>4</v>
      </c>
      <c r="AF3749" t="s">
        <v>45547</v>
      </c>
      <c r="AG3749" t="s">
        <v>19330</v>
      </c>
      <c r="AH3749">
        <v>25</v>
      </c>
      <c r="AI3749">
        <v>1</v>
      </c>
      <c r="AJ3749">
        <v>0</v>
      </c>
      <c r="AK3749">
        <v>197.69</v>
      </c>
      <c r="AN3749" t="s">
        <v>7439</v>
      </c>
      <c r="AO3749">
        <v>24000</v>
      </c>
      <c r="AU3749">
        <v>10.25</v>
      </c>
      <c r="AV3749" t="s">
        <v>826</v>
      </c>
      <c r="AW3749" t="s">
        <v>46842</v>
      </c>
    </row>
    <row r="3750" spans="1:50">
      <c r="A3750" s="1">
        <f>HYPERLINK("https://lsnyc.legalserver.org/matter/dynamic-profile/view/1885141","18-1885141")</f>
        <v>0</v>
      </c>
      <c r="B3750" t="s">
        <v>218</v>
      </c>
      <c r="C3750" t="s">
        <v>340</v>
      </c>
      <c r="D3750" t="s">
        <v>519</v>
      </c>
      <c r="F3750" t="s">
        <v>1125</v>
      </c>
      <c r="G3750" t="s">
        <v>5048</v>
      </c>
      <c r="H3750" t="s">
        <v>12596</v>
      </c>
      <c r="I3750" t="s">
        <v>17283</v>
      </c>
      <c r="J3750" t="s">
        <v>18893</v>
      </c>
      <c r="K3750">
        <v>10034</v>
      </c>
      <c r="L3750" t="s">
        <v>18958</v>
      </c>
      <c r="M3750" t="s">
        <v>18958</v>
      </c>
      <c r="P3750" t="s">
        <v>26562</v>
      </c>
      <c r="R3750" t="s">
        <v>26578</v>
      </c>
      <c r="S3750" t="s">
        <v>18959</v>
      </c>
      <c r="U3750" t="s">
        <v>26604</v>
      </c>
      <c r="W3750" t="s">
        <v>519</v>
      </c>
      <c r="X3750">
        <v>1231.91</v>
      </c>
      <c r="Y3750" t="s">
        <v>26651</v>
      </c>
      <c r="Z3750" t="s">
        <v>26661</v>
      </c>
      <c r="AB3750" t="s">
        <v>29862</v>
      </c>
      <c r="AD3750" t="s">
        <v>39984</v>
      </c>
      <c r="AE3750">
        <v>0</v>
      </c>
      <c r="AF3750" t="s">
        <v>45541</v>
      </c>
      <c r="AG3750" t="s">
        <v>19330</v>
      </c>
      <c r="AH3750">
        <v>14</v>
      </c>
      <c r="AI3750">
        <v>1</v>
      </c>
      <c r="AJ3750">
        <v>0</v>
      </c>
      <c r="AK3750">
        <v>114.66</v>
      </c>
      <c r="AN3750" t="s">
        <v>45581</v>
      </c>
      <c r="AO3750">
        <v>13920</v>
      </c>
      <c r="AU3750">
        <v>19.9</v>
      </c>
      <c r="AV3750" t="s">
        <v>811</v>
      </c>
      <c r="AW3750" t="s">
        <v>46840</v>
      </c>
    </row>
    <row r="3751" spans="1:50">
      <c r="A3751" s="1">
        <f>HYPERLINK("https://lsnyc.legalserver.org/matter/dynamic-profile/view/1885138","18-1885138")</f>
        <v>0</v>
      </c>
      <c r="B3751" t="s">
        <v>218</v>
      </c>
      <c r="C3751" t="s">
        <v>340</v>
      </c>
      <c r="D3751" t="s">
        <v>519</v>
      </c>
      <c r="F3751" t="s">
        <v>947</v>
      </c>
      <c r="G3751" t="s">
        <v>5295</v>
      </c>
      <c r="H3751" t="s">
        <v>12597</v>
      </c>
      <c r="I3751" t="s">
        <v>17277</v>
      </c>
      <c r="J3751" t="s">
        <v>18893</v>
      </c>
      <c r="K3751">
        <v>10032</v>
      </c>
      <c r="L3751" t="s">
        <v>18958</v>
      </c>
      <c r="M3751" t="s">
        <v>18958</v>
      </c>
      <c r="P3751" t="s">
        <v>26560</v>
      </c>
      <c r="R3751" t="s">
        <v>26578</v>
      </c>
      <c r="S3751" t="s">
        <v>18959</v>
      </c>
      <c r="U3751" t="s">
        <v>26604</v>
      </c>
      <c r="W3751" t="s">
        <v>519</v>
      </c>
      <c r="X3751">
        <v>775</v>
      </c>
      <c r="Y3751" t="s">
        <v>26651</v>
      </c>
      <c r="Z3751" t="s">
        <v>26661</v>
      </c>
      <c r="AB3751" t="s">
        <v>29863</v>
      </c>
      <c r="AD3751" t="s">
        <v>39985</v>
      </c>
      <c r="AE3751">
        <v>48</v>
      </c>
      <c r="AF3751" t="s">
        <v>45541</v>
      </c>
      <c r="AG3751" t="s">
        <v>19330</v>
      </c>
      <c r="AH3751">
        <v>20</v>
      </c>
      <c r="AI3751">
        <v>3</v>
      </c>
      <c r="AJ3751">
        <v>0</v>
      </c>
      <c r="AK3751">
        <v>144.37</v>
      </c>
      <c r="AN3751" t="s">
        <v>7439</v>
      </c>
      <c r="AO3751">
        <v>30000</v>
      </c>
      <c r="AU3751">
        <v>107</v>
      </c>
      <c r="AV3751" t="s">
        <v>839</v>
      </c>
      <c r="AW3751" t="s">
        <v>46840</v>
      </c>
      <c r="AX3751" t="s">
        <v>46897</v>
      </c>
    </row>
    <row r="3752" spans="1:50">
      <c r="A3752" s="1">
        <f>HYPERLINK("https://lsnyc.legalserver.org/matter/dynamic-profile/view/1885075","18-1885075")</f>
        <v>0</v>
      </c>
      <c r="B3752" t="s">
        <v>194</v>
      </c>
      <c r="C3752" t="s">
        <v>340</v>
      </c>
      <c r="D3752" t="s">
        <v>519</v>
      </c>
      <c r="F3752" t="s">
        <v>2774</v>
      </c>
      <c r="G3752" t="s">
        <v>7025</v>
      </c>
      <c r="H3752" t="s">
        <v>12598</v>
      </c>
      <c r="I3752" t="s">
        <v>17361</v>
      </c>
      <c r="J3752" t="s">
        <v>18893</v>
      </c>
      <c r="K3752">
        <v>10030</v>
      </c>
      <c r="L3752" t="s">
        <v>18958</v>
      </c>
      <c r="M3752" t="s">
        <v>18958</v>
      </c>
      <c r="N3752" t="s">
        <v>21819</v>
      </c>
      <c r="O3752" t="s">
        <v>26523</v>
      </c>
      <c r="P3752" t="s">
        <v>26564</v>
      </c>
      <c r="R3752" t="s">
        <v>26582</v>
      </c>
      <c r="S3752" t="s">
        <v>18959</v>
      </c>
      <c r="U3752" t="s">
        <v>26605</v>
      </c>
      <c r="W3752" t="s">
        <v>519</v>
      </c>
      <c r="X3752">
        <v>251</v>
      </c>
      <c r="Y3752" t="s">
        <v>26651</v>
      </c>
      <c r="AB3752" t="s">
        <v>29864</v>
      </c>
      <c r="AC3752" t="s">
        <v>35609</v>
      </c>
      <c r="AD3752" t="s">
        <v>39986</v>
      </c>
      <c r="AE3752">
        <v>249</v>
      </c>
      <c r="AF3752" t="s">
        <v>45549</v>
      </c>
      <c r="AG3752" t="s">
        <v>19330</v>
      </c>
      <c r="AH3752">
        <v>4</v>
      </c>
      <c r="AI3752">
        <v>2</v>
      </c>
      <c r="AJ3752">
        <v>3</v>
      </c>
      <c r="AK3752">
        <v>38.99</v>
      </c>
      <c r="AN3752" t="s">
        <v>7439</v>
      </c>
      <c r="AO3752">
        <v>11472</v>
      </c>
      <c r="AU3752">
        <v>0</v>
      </c>
      <c r="AW3752" t="s">
        <v>314</v>
      </c>
    </row>
    <row r="3753" spans="1:50">
      <c r="A3753" s="1">
        <f>HYPERLINK("https://lsnyc.legalserver.org/matter/dynamic-profile/view/1885100","18-1885100")</f>
        <v>0</v>
      </c>
      <c r="B3753" t="s">
        <v>194</v>
      </c>
      <c r="C3753" t="s">
        <v>340</v>
      </c>
      <c r="D3753" t="s">
        <v>519</v>
      </c>
      <c r="F3753" t="s">
        <v>2775</v>
      </c>
      <c r="G3753" t="s">
        <v>7026</v>
      </c>
      <c r="H3753" t="s">
        <v>12599</v>
      </c>
      <c r="I3753" t="s">
        <v>17309</v>
      </c>
      <c r="J3753" t="s">
        <v>18893</v>
      </c>
      <c r="K3753">
        <v>10033</v>
      </c>
      <c r="L3753" t="s">
        <v>18958</v>
      </c>
      <c r="M3753" t="s">
        <v>18958</v>
      </c>
      <c r="N3753" t="s">
        <v>21820</v>
      </c>
      <c r="O3753" t="s">
        <v>26523</v>
      </c>
      <c r="P3753" t="s">
        <v>26560</v>
      </c>
      <c r="R3753" t="s">
        <v>26582</v>
      </c>
      <c r="S3753" t="s">
        <v>18959</v>
      </c>
      <c r="U3753" t="s">
        <v>26604</v>
      </c>
      <c r="W3753" t="s">
        <v>519</v>
      </c>
      <c r="X3753">
        <v>862</v>
      </c>
      <c r="Y3753" t="s">
        <v>26651</v>
      </c>
      <c r="Z3753" t="s">
        <v>26664</v>
      </c>
      <c r="AB3753" t="s">
        <v>29865</v>
      </c>
      <c r="AD3753" t="s">
        <v>39987</v>
      </c>
      <c r="AE3753">
        <v>0</v>
      </c>
      <c r="AF3753" t="s">
        <v>45553</v>
      </c>
      <c r="AG3753" t="s">
        <v>19330</v>
      </c>
      <c r="AH3753">
        <v>7</v>
      </c>
      <c r="AI3753">
        <v>1</v>
      </c>
      <c r="AJ3753">
        <v>3</v>
      </c>
      <c r="AK3753">
        <v>59.76</v>
      </c>
      <c r="AN3753" t="s">
        <v>7439</v>
      </c>
      <c r="AO3753">
        <v>15000</v>
      </c>
      <c r="AU3753">
        <v>0</v>
      </c>
      <c r="AW3753" t="s">
        <v>46875</v>
      </c>
    </row>
    <row r="3754" spans="1:50">
      <c r="A3754" s="1">
        <f>HYPERLINK("https://lsnyc.legalserver.org/matter/dynamic-profile/view/1885060","18-1885060")</f>
        <v>0</v>
      </c>
      <c r="B3754" t="s">
        <v>194</v>
      </c>
      <c r="C3754" t="s">
        <v>340</v>
      </c>
      <c r="D3754" t="s">
        <v>519</v>
      </c>
      <c r="F3754" t="s">
        <v>1592</v>
      </c>
      <c r="G3754" t="s">
        <v>5673</v>
      </c>
      <c r="H3754" t="s">
        <v>12600</v>
      </c>
      <c r="I3754" t="s">
        <v>17298</v>
      </c>
      <c r="J3754" t="s">
        <v>18893</v>
      </c>
      <c r="K3754">
        <v>10030</v>
      </c>
      <c r="L3754" t="s">
        <v>18958</v>
      </c>
      <c r="M3754" t="s">
        <v>18958</v>
      </c>
      <c r="N3754" t="s">
        <v>21821</v>
      </c>
      <c r="O3754" t="s">
        <v>26523</v>
      </c>
      <c r="P3754" t="s">
        <v>26564</v>
      </c>
      <c r="R3754" t="s">
        <v>26582</v>
      </c>
      <c r="S3754" t="s">
        <v>18959</v>
      </c>
      <c r="U3754" t="s">
        <v>26605</v>
      </c>
      <c r="W3754" t="s">
        <v>519</v>
      </c>
      <c r="X3754">
        <v>247</v>
      </c>
      <c r="Y3754" t="s">
        <v>26651</v>
      </c>
      <c r="Z3754" t="s">
        <v>26664</v>
      </c>
      <c r="AB3754" t="s">
        <v>26967</v>
      </c>
      <c r="AD3754" t="s">
        <v>39988</v>
      </c>
      <c r="AE3754">
        <v>0</v>
      </c>
      <c r="AF3754" t="s">
        <v>45549</v>
      </c>
      <c r="AG3754" t="s">
        <v>19330</v>
      </c>
      <c r="AH3754">
        <v>1</v>
      </c>
      <c r="AI3754">
        <v>1</v>
      </c>
      <c r="AJ3754">
        <v>0</v>
      </c>
      <c r="AK3754">
        <v>86.29000000000001</v>
      </c>
      <c r="AN3754" t="s">
        <v>45581</v>
      </c>
      <c r="AO3754">
        <v>10476</v>
      </c>
      <c r="AU3754">
        <v>0.1</v>
      </c>
      <c r="AV3754" t="s">
        <v>684</v>
      </c>
      <c r="AW3754" t="s">
        <v>314</v>
      </c>
    </row>
    <row r="3755" spans="1:50">
      <c r="A3755" s="1">
        <f>HYPERLINK("https://lsnyc.legalserver.org/matter/dynamic-profile/view/1885047","18-1885047")</f>
        <v>0</v>
      </c>
      <c r="B3755" t="s">
        <v>194</v>
      </c>
      <c r="C3755" t="s">
        <v>340</v>
      </c>
      <c r="D3755" t="s">
        <v>519</v>
      </c>
      <c r="F3755" t="s">
        <v>1336</v>
      </c>
      <c r="G3755" t="s">
        <v>5447</v>
      </c>
      <c r="H3755" t="s">
        <v>12601</v>
      </c>
      <c r="I3755" t="s">
        <v>17330</v>
      </c>
      <c r="J3755" t="s">
        <v>18893</v>
      </c>
      <c r="K3755">
        <v>10034</v>
      </c>
      <c r="L3755" t="s">
        <v>18958</v>
      </c>
      <c r="M3755" t="s">
        <v>18958</v>
      </c>
      <c r="N3755" t="s">
        <v>21822</v>
      </c>
      <c r="O3755" t="s">
        <v>26523</v>
      </c>
      <c r="P3755" t="s">
        <v>26560</v>
      </c>
      <c r="R3755" t="s">
        <v>26582</v>
      </c>
      <c r="S3755" t="s">
        <v>18959</v>
      </c>
      <c r="U3755" t="s">
        <v>26604</v>
      </c>
      <c r="W3755" t="s">
        <v>519</v>
      </c>
      <c r="X3755">
        <v>1480</v>
      </c>
      <c r="Y3755" t="s">
        <v>26651</v>
      </c>
      <c r="Z3755" t="s">
        <v>26664</v>
      </c>
      <c r="AB3755" t="s">
        <v>29866</v>
      </c>
      <c r="AC3755" t="s">
        <v>35610</v>
      </c>
      <c r="AD3755" t="s">
        <v>39989</v>
      </c>
      <c r="AE3755">
        <v>0</v>
      </c>
      <c r="AF3755" t="s">
        <v>20460</v>
      </c>
      <c r="AG3755" t="s">
        <v>45559</v>
      </c>
      <c r="AH3755">
        <v>20</v>
      </c>
      <c r="AI3755">
        <v>2</v>
      </c>
      <c r="AJ3755">
        <v>0</v>
      </c>
      <c r="AK3755">
        <v>86.90000000000001</v>
      </c>
      <c r="AN3755" t="s">
        <v>45581</v>
      </c>
      <c r="AO3755">
        <v>14304</v>
      </c>
      <c r="AU3755">
        <v>0.3</v>
      </c>
      <c r="AV3755" t="s">
        <v>705</v>
      </c>
      <c r="AW3755" t="s">
        <v>46875</v>
      </c>
    </row>
    <row r="3756" spans="1:50">
      <c r="A3756" s="1">
        <f>HYPERLINK("https://lsnyc.legalserver.org/matter/dynamic-profile/view/1885040","18-1885040")</f>
        <v>0</v>
      </c>
      <c r="B3756" t="s">
        <v>194</v>
      </c>
      <c r="C3756" t="s">
        <v>340</v>
      </c>
      <c r="D3756" t="s">
        <v>519</v>
      </c>
      <c r="F3756" t="s">
        <v>2776</v>
      </c>
      <c r="G3756" t="s">
        <v>7027</v>
      </c>
      <c r="H3756" t="s">
        <v>12602</v>
      </c>
      <c r="I3756" t="s">
        <v>17700</v>
      </c>
      <c r="J3756" t="s">
        <v>18893</v>
      </c>
      <c r="K3756">
        <v>10032</v>
      </c>
      <c r="L3756" t="s">
        <v>18958</v>
      </c>
      <c r="M3756" t="s">
        <v>18958</v>
      </c>
      <c r="N3756" t="s">
        <v>21823</v>
      </c>
      <c r="O3756" t="s">
        <v>26523</v>
      </c>
      <c r="P3756" t="s">
        <v>26560</v>
      </c>
      <c r="R3756" t="s">
        <v>26582</v>
      </c>
      <c r="S3756" t="s">
        <v>18959</v>
      </c>
      <c r="U3756" t="s">
        <v>26604</v>
      </c>
      <c r="W3756" t="s">
        <v>519</v>
      </c>
      <c r="X3756">
        <v>1163</v>
      </c>
      <c r="Y3756" t="s">
        <v>26651</v>
      </c>
      <c r="Z3756" t="s">
        <v>26664</v>
      </c>
      <c r="AB3756" t="s">
        <v>29867</v>
      </c>
      <c r="AC3756" t="s">
        <v>35611</v>
      </c>
      <c r="AD3756" t="s">
        <v>39990</v>
      </c>
      <c r="AE3756">
        <v>0</v>
      </c>
      <c r="AF3756" t="s">
        <v>20460</v>
      </c>
      <c r="AG3756" t="s">
        <v>45562</v>
      </c>
      <c r="AH3756">
        <v>4</v>
      </c>
      <c r="AI3756">
        <v>1</v>
      </c>
      <c r="AJ3756">
        <v>1</v>
      </c>
      <c r="AK3756">
        <v>88.40000000000001</v>
      </c>
      <c r="AN3756" t="s">
        <v>7439</v>
      </c>
      <c r="AO3756">
        <v>14550</v>
      </c>
      <c r="AU3756">
        <v>0</v>
      </c>
      <c r="AW3756" t="s">
        <v>46875</v>
      </c>
    </row>
    <row r="3757" spans="1:50">
      <c r="A3757" s="1">
        <f>HYPERLINK("https://lsnyc.legalserver.org/matter/dynamic-profile/view/1885091","18-1885091")</f>
        <v>0</v>
      </c>
      <c r="B3757" t="s">
        <v>155</v>
      </c>
      <c r="C3757" t="s">
        <v>340</v>
      </c>
      <c r="D3757" t="s">
        <v>519</v>
      </c>
      <c r="F3757" t="s">
        <v>983</v>
      </c>
      <c r="G3757" t="s">
        <v>7028</v>
      </c>
      <c r="H3757" t="s">
        <v>12603</v>
      </c>
      <c r="J3757" t="s">
        <v>18894</v>
      </c>
      <c r="K3757">
        <v>11235</v>
      </c>
      <c r="L3757" t="s">
        <v>18958</v>
      </c>
      <c r="M3757" t="s">
        <v>18958</v>
      </c>
      <c r="N3757" t="s">
        <v>21824</v>
      </c>
      <c r="O3757" t="s">
        <v>26524</v>
      </c>
      <c r="P3757" t="s">
        <v>26560</v>
      </c>
      <c r="R3757" t="s">
        <v>26586</v>
      </c>
      <c r="U3757" t="s">
        <v>26604</v>
      </c>
      <c r="W3757" t="s">
        <v>519</v>
      </c>
      <c r="X3757">
        <v>1050</v>
      </c>
      <c r="Y3757" t="s">
        <v>26652</v>
      </c>
      <c r="Z3757" t="s">
        <v>26664</v>
      </c>
      <c r="AB3757" t="s">
        <v>29868</v>
      </c>
      <c r="AE3757">
        <v>3</v>
      </c>
      <c r="AF3757" t="s">
        <v>45547</v>
      </c>
      <c r="AH3757">
        <v>6</v>
      </c>
      <c r="AI3757">
        <v>2</v>
      </c>
      <c r="AJ3757">
        <v>2</v>
      </c>
      <c r="AK3757">
        <v>0</v>
      </c>
      <c r="AN3757" t="s">
        <v>7439</v>
      </c>
      <c r="AO3757">
        <v>0</v>
      </c>
      <c r="AU3757">
        <v>4.4</v>
      </c>
      <c r="AV3757" t="s">
        <v>784</v>
      </c>
      <c r="AW3757" t="s">
        <v>281</v>
      </c>
      <c r="AX3757" t="s">
        <v>46897</v>
      </c>
    </row>
    <row r="3758" spans="1:50">
      <c r="A3758" s="1">
        <f>HYPERLINK("https://lsnyc.legalserver.org/matter/dynamic-profile/view/1885117","18-1885117")</f>
        <v>0</v>
      </c>
      <c r="B3758" t="s">
        <v>155</v>
      </c>
      <c r="C3758" t="s">
        <v>340</v>
      </c>
      <c r="D3758" t="s">
        <v>519</v>
      </c>
      <c r="F3758" t="s">
        <v>1192</v>
      </c>
      <c r="G3758" t="s">
        <v>4381</v>
      </c>
      <c r="H3758" t="s">
        <v>12604</v>
      </c>
      <c r="I3758" t="s">
        <v>17976</v>
      </c>
      <c r="J3758" t="s">
        <v>18894</v>
      </c>
      <c r="K3758">
        <v>11225</v>
      </c>
      <c r="L3758" t="s">
        <v>18958</v>
      </c>
      <c r="M3758" t="s">
        <v>18958</v>
      </c>
      <c r="N3758" t="s">
        <v>21825</v>
      </c>
      <c r="O3758" t="s">
        <v>26523</v>
      </c>
      <c r="P3758" t="s">
        <v>26560</v>
      </c>
      <c r="R3758" t="s">
        <v>26588</v>
      </c>
      <c r="U3758" t="s">
        <v>26604</v>
      </c>
      <c r="W3758" t="s">
        <v>519</v>
      </c>
      <c r="X3758">
        <v>1406</v>
      </c>
      <c r="Y3758" t="s">
        <v>26652</v>
      </c>
      <c r="Z3758" t="s">
        <v>26669</v>
      </c>
      <c r="AB3758" t="s">
        <v>29869</v>
      </c>
      <c r="AD3758" t="s">
        <v>39991</v>
      </c>
      <c r="AE3758">
        <v>55</v>
      </c>
      <c r="AH3758">
        <v>4</v>
      </c>
      <c r="AI3758">
        <v>2</v>
      </c>
      <c r="AJ3758">
        <v>0</v>
      </c>
      <c r="AK3758">
        <v>164.03</v>
      </c>
      <c r="AN3758" t="s">
        <v>7439</v>
      </c>
      <c r="AO3758">
        <v>27000</v>
      </c>
      <c r="AU3758">
        <v>16.8</v>
      </c>
      <c r="AV3758" t="s">
        <v>804</v>
      </c>
      <c r="AW3758" t="s">
        <v>281</v>
      </c>
      <c r="AX3758" t="s">
        <v>46897</v>
      </c>
    </row>
    <row r="3759" spans="1:50">
      <c r="A3759" s="1">
        <f>HYPERLINK("https://lsnyc.legalserver.org/matter/dynamic-profile/view/1885086","18-1885086")</f>
        <v>0</v>
      </c>
      <c r="B3759" t="s">
        <v>69</v>
      </c>
      <c r="C3759" t="s">
        <v>340</v>
      </c>
      <c r="D3759" t="s">
        <v>519</v>
      </c>
      <c r="F3759" t="s">
        <v>2777</v>
      </c>
      <c r="G3759" t="s">
        <v>7029</v>
      </c>
      <c r="H3759" t="s">
        <v>12605</v>
      </c>
      <c r="I3759" t="s">
        <v>17439</v>
      </c>
      <c r="J3759" t="s">
        <v>18892</v>
      </c>
      <c r="K3759">
        <v>10468</v>
      </c>
      <c r="L3759" t="s">
        <v>18958</v>
      </c>
      <c r="M3759" t="s">
        <v>18958</v>
      </c>
      <c r="N3759" t="s">
        <v>21826</v>
      </c>
      <c r="O3759" t="s">
        <v>26523</v>
      </c>
      <c r="P3759" t="s">
        <v>26560</v>
      </c>
      <c r="R3759" t="s">
        <v>26579</v>
      </c>
      <c r="U3759" t="s">
        <v>26604</v>
      </c>
      <c r="W3759" t="s">
        <v>519</v>
      </c>
      <c r="X3759">
        <v>1650</v>
      </c>
      <c r="Y3759" t="s">
        <v>26650</v>
      </c>
      <c r="Z3759" t="s">
        <v>26670</v>
      </c>
      <c r="AB3759" t="s">
        <v>29870</v>
      </c>
      <c r="AD3759" t="s">
        <v>39992</v>
      </c>
      <c r="AE3759">
        <v>20</v>
      </c>
      <c r="AF3759" t="s">
        <v>20460</v>
      </c>
      <c r="AG3759" t="s">
        <v>19330</v>
      </c>
      <c r="AH3759">
        <v>1</v>
      </c>
      <c r="AI3759">
        <v>2</v>
      </c>
      <c r="AJ3759">
        <v>1</v>
      </c>
      <c r="AK3759">
        <v>86.62</v>
      </c>
      <c r="AN3759" t="s">
        <v>7439</v>
      </c>
      <c r="AO3759">
        <v>18000</v>
      </c>
      <c r="AU3759">
        <v>28.8</v>
      </c>
      <c r="AV3759" t="s">
        <v>827</v>
      </c>
      <c r="AW3759" t="s">
        <v>46857</v>
      </c>
    </row>
    <row r="3760" spans="1:50">
      <c r="A3760" s="1">
        <f>HYPERLINK("https://lsnyc.legalserver.org/matter/dynamic-profile/view/1887126","19-1887126")</f>
        <v>0</v>
      </c>
      <c r="B3760" t="s">
        <v>199</v>
      </c>
      <c r="C3760" t="s">
        <v>340</v>
      </c>
      <c r="D3760" t="s">
        <v>668</v>
      </c>
      <c r="F3760" t="s">
        <v>1442</v>
      </c>
      <c r="G3760" t="s">
        <v>7030</v>
      </c>
      <c r="H3760" t="s">
        <v>12606</v>
      </c>
      <c r="J3760" t="s">
        <v>18894</v>
      </c>
      <c r="K3760">
        <v>11226</v>
      </c>
      <c r="L3760" t="s">
        <v>18959</v>
      </c>
      <c r="M3760" t="s">
        <v>18958</v>
      </c>
      <c r="N3760" t="s">
        <v>21827</v>
      </c>
      <c r="O3760" t="s">
        <v>26534</v>
      </c>
      <c r="P3760" t="s">
        <v>26561</v>
      </c>
      <c r="R3760" t="s">
        <v>26578</v>
      </c>
      <c r="S3760" t="s">
        <v>18958</v>
      </c>
      <c r="U3760" t="s">
        <v>26604</v>
      </c>
      <c r="W3760" t="s">
        <v>519</v>
      </c>
      <c r="X3760">
        <v>856.9299999999999</v>
      </c>
      <c r="Y3760" t="s">
        <v>26652</v>
      </c>
      <c r="Z3760" t="s">
        <v>26667</v>
      </c>
      <c r="AB3760" t="s">
        <v>29871</v>
      </c>
      <c r="AD3760" t="s">
        <v>39993</v>
      </c>
      <c r="AE3760">
        <v>43</v>
      </c>
      <c r="AF3760" t="s">
        <v>45541</v>
      </c>
      <c r="AH3760">
        <v>40</v>
      </c>
      <c r="AI3760">
        <v>2</v>
      </c>
      <c r="AJ3760">
        <v>0</v>
      </c>
      <c r="AK3760">
        <v>62.7</v>
      </c>
      <c r="AN3760" t="s">
        <v>7439</v>
      </c>
      <c r="AO3760">
        <v>10320</v>
      </c>
      <c r="AQ3760" t="s">
        <v>46359</v>
      </c>
      <c r="AU3760">
        <v>2.6</v>
      </c>
      <c r="AV3760" t="s">
        <v>801</v>
      </c>
      <c r="AW3760" t="s">
        <v>219</v>
      </c>
    </row>
    <row r="3761" spans="1:49">
      <c r="A3761" s="1">
        <f>HYPERLINK("https://lsnyc.legalserver.org/matter/dynamic-profile/view/1880272","18-1880272")</f>
        <v>0</v>
      </c>
      <c r="B3761" t="s">
        <v>205</v>
      </c>
      <c r="C3761" t="s">
        <v>340</v>
      </c>
      <c r="D3761" t="s">
        <v>594</v>
      </c>
      <c r="F3761" t="s">
        <v>2778</v>
      </c>
      <c r="G3761" t="s">
        <v>2620</v>
      </c>
      <c r="H3761" t="s">
        <v>10750</v>
      </c>
      <c r="I3761">
        <v>7</v>
      </c>
      <c r="J3761" t="s">
        <v>18894</v>
      </c>
      <c r="K3761">
        <v>11213</v>
      </c>
      <c r="L3761" t="s">
        <v>18958</v>
      </c>
      <c r="M3761" t="s">
        <v>18958</v>
      </c>
      <c r="N3761" t="s">
        <v>19951</v>
      </c>
      <c r="O3761" t="s">
        <v>26526</v>
      </c>
      <c r="P3761" t="s">
        <v>26560</v>
      </c>
      <c r="R3761" t="s">
        <v>26578</v>
      </c>
      <c r="S3761" t="s">
        <v>18958</v>
      </c>
      <c r="U3761" t="s">
        <v>26604</v>
      </c>
      <c r="V3761" t="s">
        <v>26610</v>
      </c>
      <c r="W3761" t="s">
        <v>856</v>
      </c>
      <c r="X3761">
        <v>931.36</v>
      </c>
      <c r="Y3761" t="s">
        <v>26652</v>
      </c>
      <c r="Z3761" t="s">
        <v>26663</v>
      </c>
      <c r="AB3761" t="s">
        <v>29872</v>
      </c>
      <c r="AC3761" t="s">
        <v>19330</v>
      </c>
      <c r="AE3761">
        <v>31</v>
      </c>
      <c r="AF3761" t="s">
        <v>45541</v>
      </c>
      <c r="AG3761" t="s">
        <v>19330</v>
      </c>
      <c r="AH3761">
        <v>35</v>
      </c>
      <c r="AI3761">
        <v>2</v>
      </c>
      <c r="AJ3761">
        <v>0</v>
      </c>
      <c r="AK3761">
        <v>194.41</v>
      </c>
      <c r="AN3761" t="s">
        <v>7439</v>
      </c>
      <c r="AO3761">
        <v>32000</v>
      </c>
      <c r="AU3761">
        <v>1.15</v>
      </c>
      <c r="AV3761" t="s">
        <v>811</v>
      </c>
      <c r="AW3761" t="s">
        <v>279</v>
      </c>
    </row>
    <row r="3762" spans="1:49">
      <c r="A3762" s="1">
        <f>HYPERLINK("https://lsnyc.legalserver.org/matter/dynamic-profile/view/1880271","18-1880271")</f>
        <v>0</v>
      </c>
      <c r="B3762" t="s">
        <v>205</v>
      </c>
      <c r="C3762" t="s">
        <v>340</v>
      </c>
      <c r="D3762" t="s">
        <v>594</v>
      </c>
      <c r="F3762" t="s">
        <v>2111</v>
      </c>
      <c r="G3762" t="s">
        <v>7031</v>
      </c>
      <c r="H3762" t="s">
        <v>10751</v>
      </c>
      <c r="I3762" t="s">
        <v>18008</v>
      </c>
      <c r="J3762" t="s">
        <v>18894</v>
      </c>
      <c r="K3762">
        <v>11213</v>
      </c>
      <c r="L3762" t="s">
        <v>18958</v>
      </c>
      <c r="M3762" t="s">
        <v>18958</v>
      </c>
      <c r="N3762" t="s">
        <v>19951</v>
      </c>
      <c r="O3762" t="s">
        <v>26526</v>
      </c>
      <c r="P3762" t="s">
        <v>26560</v>
      </c>
      <c r="R3762" t="s">
        <v>26578</v>
      </c>
      <c r="S3762" t="s">
        <v>18958</v>
      </c>
      <c r="U3762" t="s">
        <v>26604</v>
      </c>
      <c r="V3762" t="s">
        <v>26610</v>
      </c>
      <c r="W3762" t="s">
        <v>856</v>
      </c>
      <c r="X3762">
        <v>1205</v>
      </c>
      <c r="Y3762" t="s">
        <v>26652</v>
      </c>
      <c r="Z3762" t="s">
        <v>26663</v>
      </c>
      <c r="AB3762" t="s">
        <v>29873</v>
      </c>
      <c r="AC3762" t="s">
        <v>19330</v>
      </c>
      <c r="AE3762">
        <v>34</v>
      </c>
      <c r="AF3762" t="s">
        <v>45541</v>
      </c>
      <c r="AG3762" t="s">
        <v>19330</v>
      </c>
      <c r="AH3762">
        <v>34</v>
      </c>
      <c r="AI3762">
        <v>3</v>
      </c>
      <c r="AJ3762">
        <v>0</v>
      </c>
      <c r="AK3762">
        <v>393.85</v>
      </c>
      <c r="AM3762" t="s">
        <v>45575</v>
      </c>
      <c r="AN3762" t="s">
        <v>7439</v>
      </c>
      <c r="AO3762">
        <v>81843</v>
      </c>
      <c r="AU3762">
        <v>0.1</v>
      </c>
      <c r="AV3762" t="s">
        <v>758</v>
      </c>
      <c r="AW3762" t="s">
        <v>279</v>
      </c>
    </row>
    <row r="3763" spans="1:49">
      <c r="A3763" s="1">
        <f>HYPERLINK("https://lsnyc.legalserver.org/matter/dynamic-profile/view/1885317","18-1885317")</f>
        <v>0</v>
      </c>
      <c r="B3763" t="s">
        <v>78</v>
      </c>
      <c r="C3763" t="s">
        <v>340</v>
      </c>
      <c r="D3763" t="s">
        <v>683</v>
      </c>
      <c r="F3763" t="s">
        <v>1299</v>
      </c>
      <c r="G3763" t="s">
        <v>968</v>
      </c>
      <c r="H3763" t="s">
        <v>10751</v>
      </c>
      <c r="I3763" t="s">
        <v>17845</v>
      </c>
      <c r="J3763" t="s">
        <v>18894</v>
      </c>
      <c r="K3763">
        <v>11213</v>
      </c>
      <c r="L3763" t="s">
        <v>18958</v>
      </c>
      <c r="M3763" t="s">
        <v>18958</v>
      </c>
      <c r="N3763" t="s">
        <v>19951</v>
      </c>
      <c r="O3763" t="s">
        <v>26526</v>
      </c>
      <c r="P3763" t="s">
        <v>26560</v>
      </c>
      <c r="R3763" t="s">
        <v>26578</v>
      </c>
      <c r="S3763" t="s">
        <v>18958</v>
      </c>
      <c r="U3763" t="s">
        <v>26604</v>
      </c>
      <c r="V3763" t="s">
        <v>26610</v>
      </c>
      <c r="W3763" t="s">
        <v>856</v>
      </c>
      <c r="X3763">
        <v>1197</v>
      </c>
      <c r="Y3763" t="s">
        <v>26652</v>
      </c>
      <c r="Z3763" t="s">
        <v>26663</v>
      </c>
      <c r="AB3763" t="s">
        <v>29874</v>
      </c>
      <c r="AC3763" t="s">
        <v>19330</v>
      </c>
      <c r="AD3763" t="s">
        <v>39994</v>
      </c>
      <c r="AE3763">
        <v>34</v>
      </c>
      <c r="AF3763" t="s">
        <v>45541</v>
      </c>
      <c r="AG3763" t="s">
        <v>19330</v>
      </c>
      <c r="AH3763">
        <v>7</v>
      </c>
      <c r="AI3763">
        <v>3</v>
      </c>
      <c r="AJ3763">
        <v>0</v>
      </c>
      <c r="AK3763">
        <v>457.41</v>
      </c>
      <c r="AN3763" t="s">
        <v>7439</v>
      </c>
      <c r="AO3763">
        <v>95050.08</v>
      </c>
      <c r="AU3763">
        <v>0.1</v>
      </c>
      <c r="AV3763" t="s">
        <v>758</v>
      </c>
      <c r="AW3763" t="s">
        <v>279</v>
      </c>
    </row>
    <row r="3764" spans="1:49">
      <c r="A3764" s="1">
        <f>HYPERLINK("https://lsnyc.legalserver.org/matter/dynamic-profile/view/1855717","18-1855717")</f>
        <v>0</v>
      </c>
      <c r="B3764" t="s">
        <v>77</v>
      </c>
      <c r="C3764" t="s">
        <v>341</v>
      </c>
      <c r="D3764" t="s">
        <v>373</v>
      </c>
      <c r="E3764" t="s">
        <v>670</v>
      </c>
      <c r="F3764" t="s">
        <v>2779</v>
      </c>
      <c r="G3764" t="s">
        <v>7032</v>
      </c>
      <c r="H3764" t="s">
        <v>12607</v>
      </c>
      <c r="I3764" t="s">
        <v>17299</v>
      </c>
      <c r="J3764" t="s">
        <v>18893</v>
      </c>
      <c r="K3764">
        <v>10026</v>
      </c>
      <c r="L3764" t="s">
        <v>18958</v>
      </c>
      <c r="M3764" t="s">
        <v>18960</v>
      </c>
      <c r="N3764" t="s">
        <v>21828</v>
      </c>
      <c r="O3764" t="s">
        <v>26523</v>
      </c>
      <c r="P3764" t="s">
        <v>26560</v>
      </c>
      <c r="Q3764" t="s">
        <v>26568</v>
      </c>
      <c r="R3764" t="s">
        <v>26580</v>
      </c>
      <c r="S3764" t="s">
        <v>18959</v>
      </c>
      <c r="U3764" t="s">
        <v>26604</v>
      </c>
      <c r="W3764" t="s">
        <v>683</v>
      </c>
      <c r="X3764">
        <v>1272.72</v>
      </c>
      <c r="Y3764" t="s">
        <v>26651</v>
      </c>
      <c r="Z3764" t="s">
        <v>26664</v>
      </c>
      <c r="AA3764" t="s">
        <v>26678</v>
      </c>
      <c r="AB3764" t="s">
        <v>29657</v>
      </c>
      <c r="AE3764">
        <v>0</v>
      </c>
      <c r="AF3764" t="s">
        <v>45541</v>
      </c>
      <c r="AG3764" t="s">
        <v>19330</v>
      </c>
      <c r="AH3764">
        <v>0</v>
      </c>
      <c r="AI3764">
        <v>2</v>
      </c>
      <c r="AJ3764">
        <v>5</v>
      </c>
      <c r="AK3764">
        <v>151.69</v>
      </c>
      <c r="AN3764" t="s">
        <v>7439</v>
      </c>
      <c r="AO3764">
        <v>56336</v>
      </c>
      <c r="AS3764" t="s">
        <v>46499</v>
      </c>
      <c r="AT3764" t="s">
        <v>46527</v>
      </c>
      <c r="AU3764">
        <v>14.2</v>
      </c>
      <c r="AV3764" t="s">
        <v>398</v>
      </c>
      <c r="AW3764" t="s">
        <v>46840</v>
      </c>
    </row>
    <row r="3765" spans="1:49">
      <c r="A3765" s="1">
        <f>HYPERLINK("https://lsnyc.legalserver.org/matter/dynamic-profile/view/1881334","18-1881334")</f>
        <v>0</v>
      </c>
      <c r="B3765" t="s">
        <v>108</v>
      </c>
      <c r="C3765" t="s">
        <v>341</v>
      </c>
      <c r="D3765" t="s">
        <v>632</v>
      </c>
      <c r="E3765" t="s">
        <v>691</v>
      </c>
      <c r="F3765" t="s">
        <v>1495</v>
      </c>
      <c r="G3765" t="s">
        <v>7033</v>
      </c>
      <c r="H3765" t="s">
        <v>12608</v>
      </c>
      <c r="J3765" t="s">
        <v>18901</v>
      </c>
      <c r="K3765">
        <v>11433</v>
      </c>
      <c r="L3765" t="s">
        <v>18958</v>
      </c>
      <c r="M3765" t="s">
        <v>18958</v>
      </c>
      <c r="N3765" t="s">
        <v>21829</v>
      </c>
      <c r="O3765" t="s">
        <v>26524</v>
      </c>
      <c r="P3765" t="s">
        <v>26560</v>
      </c>
      <c r="Q3765" t="s">
        <v>26568</v>
      </c>
      <c r="R3765" t="s">
        <v>26585</v>
      </c>
      <c r="S3765" t="s">
        <v>18959</v>
      </c>
      <c r="U3765" t="s">
        <v>26604</v>
      </c>
      <c r="V3765" t="s">
        <v>26610</v>
      </c>
      <c r="W3765" t="s">
        <v>683</v>
      </c>
      <c r="X3765">
        <v>720</v>
      </c>
      <c r="Y3765" t="s">
        <v>26653</v>
      </c>
      <c r="Z3765" t="s">
        <v>26668</v>
      </c>
      <c r="AA3765" t="s">
        <v>26678</v>
      </c>
      <c r="AB3765" t="s">
        <v>27338</v>
      </c>
      <c r="AD3765" t="s">
        <v>39995</v>
      </c>
      <c r="AE3765">
        <v>2</v>
      </c>
      <c r="AF3765" t="s">
        <v>45547</v>
      </c>
      <c r="AG3765" t="s">
        <v>19330</v>
      </c>
      <c r="AH3765">
        <v>1</v>
      </c>
      <c r="AI3765">
        <v>1</v>
      </c>
      <c r="AJ3765">
        <v>0</v>
      </c>
      <c r="AK3765">
        <v>195.43</v>
      </c>
      <c r="AN3765" t="s">
        <v>7439</v>
      </c>
      <c r="AO3765">
        <v>23724.96</v>
      </c>
      <c r="AQ3765" t="s">
        <v>46359</v>
      </c>
      <c r="AR3765" t="s">
        <v>46379</v>
      </c>
      <c r="AS3765" t="s">
        <v>46499</v>
      </c>
      <c r="AT3765" t="s">
        <v>46753</v>
      </c>
      <c r="AU3765">
        <v>0.6</v>
      </c>
      <c r="AV3765" t="s">
        <v>689</v>
      </c>
      <c r="AW3765" t="s">
        <v>85</v>
      </c>
    </row>
    <row r="3766" spans="1:49">
      <c r="A3766" s="1">
        <f>HYPERLINK("https://lsnyc.legalserver.org/matter/dynamic-profile/view/1883449","18-1883449")</f>
        <v>0</v>
      </c>
      <c r="B3766" t="s">
        <v>165</v>
      </c>
      <c r="C3766" t="s">
        <v>340</v>
      </c>
      <c r="D3766" t="s">
        <v>662</v>
      </c>
      <c r="F3766" t="s">
        <v>2780</v>
      </c>
      <c r="G3766" t="s">
        <v>7034</v>
      </c>
      <c r="H3766" t="s">
        <v>12609</v>
      </c>
      <c r="J3766" t="s">
        <v>18893</v>
      </c>
      <c r="K3766">
        <v>10032</v>
      </c>
      <c r="L3766" t="s">
        <v>18958</v>
      </c>
      <c r="M3766" t="s">
        <v>18958</v>
      </c>
      <c r="N3766" t="s">
        <v>21830</v>
      </c>
      <c r="O3766" t="s">
        <v>26524</v>
      </c>
      <c r="P3766" t="s">
        <v>26560</v>
      </c>
      <c r="R3766" t="s">
        <v>26582</v>
      </c>
      <c r="S3766" t="s">
        <v>18959</v>
      </c>
      <c r="U3766" t="s">
        <v>26604</v>
      </c>
      <c r="W3766" t="s">
        <v>683</v>
      </c>
      <c r="X3766">
        <v>175</v>
      </c>
      <c r="Y3766" t="s">
        <v>26651</v>
      </c>
      <c r="Z3766" t="s">
        <v>26659</v>
      </c>
      <c r="AB3766" t="s">
        <v>29875</v>
      </c>
      <c r="AD3766" t="s">
        <v>39996</v>
      </c>
      <c r="AE3766">
        <v>7</v>
      </c>
      <c r="AF3766" t="s">
        <v>45554</v>
      </c>
      <c r="AG3766" t="s">
        <v>19330</v>
      </c>
      <c r="AH3766">
        <v>4</v>
      </c>
      <c r="AI3766">
        <v>1</v>
      </c>
      <c r="AJ3766">
        <v>0</v>
      </c>
      <c r="AK3766">
        <v>0</v>
      </c>
      <c r="AN3766" t="s">
        <v>7439</v>
      </c>
      <c r="AO3766">
        <v>0</v>
      </c>
      <c r="AU3766">
        <v>2.3</v>
      </c>
      <c r="AV3766" t="s">
        <v>763</v>
      </c>
      <c r="AW3766" t="s">
        <v>46875</v>
      </c>
    </row>
    <row r="3767" spans="1:49">
      <c r="A3767" s="1">
        <f>HYPERLINK("https://lsnyc.legalserver.org/matter/dynamic-profile/view/1883473","18-1883473")</f>
        <v>0</v>
      </c>
      <c r="B3767" t="s">
        <v>261</v>
      </c>
      <c r="C3767" t="s">
        <v>341</v>
      </c>
      <c r="D3767" t="s">
        <v>664</v>
      </c>
      <c r="E3767" t="s">
        <v>683</v>
      </c>
      <c r="F3767" t="s">
        <v>1228</v>
      </c>
      <c r="G3767" t="s">
        <v>7035</v>
      </c>
      <c r="H3767" t="s">
        <v>12610</v>
      </c>
      <c r="I3767" t="s">
        <v>18009</v>
      </c>
      <c r="J3767" t="s">
        <v>18892</v>
      </c>
      <c r="K3767">
        <v>10452</v>
      </c>
      <c r="L3767" t="s">
        <v>18958</v>
      </c>
      <c r="M3767" t="s">
        <v>18958</v>
      </c>
      <c r="O3767" t="s">
        <v>26529</v>
      </c>
      <c r="P3767" t="s">
        <v>26564</v>
      </c>
      <c r="Q3767" t="s">
        <v>26570</v>
      </c>
      <c r="R3767" t="s">
        <v>26578</v>
      </c>
      <c r="S3767" t="s">
        <v>18959</v>
      </c>
      <c r="U3767" t="s">
        <v>26604</v>
      </c>
      <c r="W3767" t="s">
        <v>683</v>
      </c>
      <c r="X3767">
        <v>790</v>
      </c>
      <c r="Y3767" t="s">
        <v>26650</v>
      </c>
      <c r="Z3767" t="s">
        <v>26673</v>
      </c>
      <c r="AA3767" t="s">
        <v>26683</v>
      </c>
      <c r="AB3767" t="s">
        <v>29876</v>
      </c>
      <c r="AD3767" t="s">
        <v>39997</v>
      </c>
      <c r="AE3767">
        <v>100</v>
      </c>
      <c r="AF3767" t="s">
        <v>45541</v>
      </c>
      <c r="AG3767" t="s">
        <v>45559</v>
      </c>
      <c r="AH3767">
        <v>38</v>
      </c>
      <c r="AI3767">
        <v>2</v>
      </c>
      <c r="AJ3767">
        <v>0</v>
      </c>
      <c r="AK3767">
        <v>100.61</v>
      </c>
      <c r="AN3767" t="s">
        <v>45581</v>
      </c>
      <c r="AO3767">
        <v>16560</v>
      </c>
      <c r="AP3767" t="s">
        <v>45801</v>
      </c>
      <c r="AU3767">
        <v>1.9</v>
      </c>
      <c r="AV3767" t="s">
        <v>683</v>
      </c>
      <c r="AW3767" t="s">
        <v>46850</v>
      </c>
    </row>
    <row r="3768" spans="1:49">
      <c r="A3768" s="1">
        <f>HYPERLINK("https://lsnyc.legalserver.org/matter/dynamic-profile/view/1885212","18-1885212")</f>
        <v>0</v>
      </c>
      <c r="B3768" t="s">
        <v>169</v>
      </c>
      <c r="C3768" t="s">
        <v>341</v>
      </c>
      <c r="D3768" t="s">
        <v>683</v>
      </c>
      <c r="E3768" t="s">
        <v>702</v>
      </c>
      <c r="F3768" t="s">
        <v>2781</v>
      </c>
      <c r="G3768" t="s">
        <v>7036</v>
      </c>
      <c r="H3768" t="s">
        <v>12611</v>
      </c>
      <c r="I3768" t="s">
        <v>18010</v>
      </c>
      <c r="J3768" t="s">
        <v>18892</v>
      </c>
      <c r="K3768">
        <v>10460</v>
      </c>
      <c r="L3768" t="s">
        <v>18958</v>
      </c>
      <c r="M3768" t="s">
        <v>18958</v>
      </c>
      <c r="O3768" t="s">
        <v>26542</v>
      </c>
      <c r="P3768" t="s">
        <v>26562</v>
      </c>
      <c r="Q3768" t="s">
        <v>26571</v>
      </c>
      <c r="R3768" t="s">
        <v>26578</v>
      </c>
      <c r="S3768" t="s">
        <v>18959</v>
      </c>
      <c r="U3768" t="s">
        <v>26604</v>
      </c>
      <c r="V3768" t="s">
        <v>26610</v>
      </c>
      <c r="W3768" t="s">
        <v>683</v>
      </c>
      <c r="X3768">
        <v>1231</v>
      </c>
      <c r="Y3768" t="s">
        <v>26650</v>
      </c>
      <c r="Z3768" t="s">
        <v>26657</v>
      </c>
      <c r="AA3768" t="s">
        <v>26682</v>
      </c>
      <c r="AB3768" t="s">
        <v>29877</v>
      </c>
      <c r="AD3768" t="s">
        <v>39998</v>
      </c>
      <c r="AE3768">
        <v>100</v>
      </c>
      <c r="AF3768" t="s">
        <v>45552</v>
      </c>
      <c r="AG3768" t="s">
        <v>45556</v>
      </c>
      <c r="AH3768">
        <v>15</v>
      </c>
      <c r="AI3768">
        <v>1</v>
      </c>
      <c r="AJ3768">
        <v>4</v>
      </c>
      <c r="AK3768">
        <v>135.96</v>
      </c>
      <c r="AN3768" t="s">
        <v>7439</v>
      </c>
      <c r="AO3768">
        <v>40000</v>
      </c>
      <c r="AU3768">
        <v>3</v>
      </c>
      <c r="AV3768" t="s">
        <v>712</v>
      </c>
      <c r="AW3768" t="s">
        <v>46858</v>
      </c>
    </row>
    <row r="3769" spans="1:49">
      <c r="A3769" s="1">
        <f>HYPERLINK("https://lsnyc.legalserver.org/matter/dynamic-profile/view/1885069","18-1885069")</f>
        <v>0</v>
      </c>
      <c r="B3769" t="s">
        <v>68</v>
      </c>
      <c r="C3769" t="s">
        <v>341</v>
      </c>
      <c r="D3769" t="s">
        <v>683</v>
      </c>
      <c r="E3769" t="s">
        <v>816</v>
      </c>
      <c r="F3769" t="s">
        <v>1763</v>
      </c>
      <c r="G3769" t="s">
        <v>5956</v>
      </c>
      <c r="H3769" t="s">
        <v>10824</v>
      </c>
      <c r="I3769" t="s">
        <v>17344</v>
      </c>
      <c r="J3769" t="s">
        <v>18892</v>
      </c>
      <c r="K3769">
        <v>10457</v>
      </c>
      <c r="L3769" t="s">
        <v>18958</v>
      </c>
      <c r="M3769" t="s">
        <v>18958</v>
      </c>
      <c r="N3769" t="s">
        <v>21831</v>
      </c>
      <c r="O3769" t="s">
        <v>26523</v>
      </c>
      <c r="P3769" t="s">
        <v>26560</v>
      </c>
      <c r="Q3769" t="s">
        <v>26568</v>
      </c>
      <c r="R3769" t="s">
        <v>26579</v>
      </c>
      <c r="S3769" t="s">
        <v>18959</v>
      </c>
      <c r="U3769" t="s">
        <v>26604</v>
      </c>
      <c r="V3769" t="s">
        <v>26612</v>
      </c>
      <c r="W3769" t="s">
        <v>683</v>
      </c>
      <c r="X3769">
        <v>1200</v>
      </c>
      <c r="Y3769" t="s">
        <v>26650</v>
      </c>
      <c r="Z3769" t="s">
        <v>26661</v>
      </c>
      <c r="AA3769" t="s">
        <v>26678</v>
      </c>
      <c r="AB3769" t="s">
        <v>27081</v>
      </c>
      <c r="AD3769" t="s">
        <v>38032</v>
      </c>
      <c r="AE3769">
        <v>42</v>
      </c>
      <c r="AF3769" t="s">
        <v>45541</v>
      </c>
      <c r="AG3769" t="s">
        <v>19330</v>
      </c>
      <c r="AH3769">
        <v>4</v>
      </c>
      <c r="AI3769">
        <v>2</v>
      </c>
      <c r="AJ3769">
        <v>2</v>
      </c>
      <c r="AK3769">
        <v>63.75</v>
      </c>
      <c r="AN3769" t="s">
        <v>45581</v>
      </c>
      <c r="AO3769">
        <v>16000</v>
      </c>
      <c r="AR3769" t="s">
        <v>46394</v>
      </c>
      <c r="AS3769" t="s">
        <v>46499</v>
      </c>
      <c r="AT3769" t="s">
        <v>46737</v>
      </c>
      <c r="AU3769">
        <v>8.449999999999999</v>
      </c>
      <c r="AV3769" t="s">
        <v>781</v>
      </c>
      <c r="AW3769" t="s">
        <v>46831</v>
      </c>
    </row>
    <row r="3770" spans="1:49">
      <c r="A3770" s="1">
        <f>HYPERLINK("https://lsnyc.legalserver.org/matter/dynamic-profile/view/1885183","18-1885183")</f>
        <v>0</v>
      </c>
      <c r="B3770" t="s">
        <v>68</v>
      </c>
      <c r="C3770" t="s">
        <v>341</v>
      </c>
      <c r="D3770" t="s">
        <v>683</v>
      </c>
      <c r="E3770" t="s">
        <v>763</v>
      </c>
      <c r="F3770" t="s">
        <v>962</v>
      </c>
      <c r="G3770" t="s">
        <v>7037</v>
      </c>
      <c r="H3770" t="s">
        <v>12612</v>
      </c>
      <c r="I3770" t="s">
        <v>17403</v>
      </c>
      <c r="J3770" t="s">
        <v>18892</v>
      </c>
      <c r="K3770">
        <v>10468</v>
      </c>
      <c r="L3770" t="s">
        <v>18958</v>
      </c>
      <c r="M3770" t="s">
        <v>18958</v>
      </c>
      <c r="N3770" t="s">
        <v>21832</v>
      </c>
      <c r="O3770" t="s">
        <v>26523</v>
      </c>
      <c r="P3770" t="s">
        <v>26560</v>
      </c>
      <c r="Q3770" t="s">
        <v>26568</v>
      </c>
      <c r="R3770" t="s">
        <v>26579</v>
      </c>
      <c r="S3770" t="s">
        <v>18959</v>
      </c>
      <c r="U3770" t="s">
        <v>26604</v>
      </c>
      <c r="V3770" t="s">
        <v>26610</v>
      </c>
      <c r="W3770" t="s">
        <v>683</v>
      </c>
      <c r="X3770">
        <v>1100</v>
      </c>
      <c r="Y3770" t="s">
        <v>26650</v>
      </c>
      <c r="Z3770" t="s">
        <v>26664</v>
      </c>
      <c r="AA3770" t="s">
        <v>26678</v>
      </c>
      <c r="AB3770" t="s">
        <v>29878</v>
      </c>
      <c r="AC3770" t="s">
        <v>35612</v>
      </c>
      <c r="AD3770" t="s">
        <v>39999</v>
      </c>
      <c r="AE3770">
        <v>28</v>
      </c>
      <c r="AF3770" t="s">
        <v>45541</v>
      </c>
      <c r="AG3770" t="s">
        <v>19330</v>
      </c>
      <c r="AH3770">
        <v>1</v>
      </c>
      <c r="AI3770">
        <v>2</v>
      </c>
      <c r="AJ3770">
        <v>0</v>
      </c>
      <c r="AK3770">
        <v>110.57</v>
      </c>
      <c r="AN3770" t="s">
        <v>7439</v>
      </c>
      <c r="AO3770">
        <v>18200</v>
      </c>
      <c r="AQ3770" t="s">
        <v>46362</v>
      </c>
      <c r="AR3770" t="s">
        <v>46385</v>
      </c>
      <c r="AS3770" t="s">
        <v>46499</v>
      </c>
      <c r="AT3770" t="s">
        <v>46714</v>
      </c>
      <c r="AU3770">
        <v>8.5</v>
      </c>
      <c r="AV3770" t="s">
        <v>657</v>
      </c>
      <c r="AW3770" t="s">
        <v>334</v>
      </c>
    </row>
    <row r="3771" spans="1:49">
      <c r="A3771" s="1">
        <f>HYPERLINK("https://lsnyc.legalserver.org/matter/dynamic-profile/view/1885249","18-1885249")</f>
        <v>0</v>
      </c>
      <c r="B3771" t="s">
        <v>120</v>
      </c>
      <c r="C3771" t="s">
        <v>341</v>
      </c>
      <c r="D3771" t="s">
        <v>683</v>
      </c>
      <c r="E3771" t="s">
        <v>494</v>
      </c>
      <c r="F3771" t="s">
        <v>1058</v>
      </c>
      <c r="G3771" t="s">
        <v>879</v>
      </c>
      <c r="H3771" t="s">
        <v>12613</v>
      </c>
      <c r="I3771" t="s">
        <v>17805</v>
      </c>
      <c r="J3771" t="s">
        <v>18892</v>
      </c>
      <c r="K3771">
        <v>10473</v>
      </c>
      <c r="L3771" t="s">
        <v>18958</v>
      </c>
      <c r="M3771" t="s">
        <v>18958</v>
      </c>
      <c r="N3771" t="s">
        <v>21833</v>
      </c>
      <c r="O3771" t="s">
        <v>26524</v>
      </c>
      <c r="P3771" t="s">
        <v>26560</v>
      </c>
      <c r="Q3771" t="s">
        <v>26568</v>
      </c>
      <c r="R3771" t="s">
        <v>26577</v>
      </c>
      <c r="S3771" t="s">
        <v>18959</v>
      </c>
      <c r="U3771" t="s">
        <v>26604</v>
      </c>
      <c r="V3771" t="s">
        <v>26612</v>
      </c>
      <c r="W3771" t="s">
        <v>683</v>
      </c>
      <c r="X3771">
        <v>1234</v>
      </c>
      <c r="Y3771" t="s">
        <v>26650</v>
      </c>
      <c r="Z3771" t="s">
        <v>26668</v>
      </c>
      <c r="AA3771" t="s">
        <v>26679</v>
      </c>
      <c r="AB3771" t="s">
        <v>29879</v>
      </c>
      <c r="AC3771" t="s">
        <v>35613</v>
      </c>
      <c r="AD3771" t="s">
        <v>40000</v>
      </c>
      <c r="AE3771">
        <v>3</v>
      </c>
      <c r="AF3771" t="s">
        <v>45541</v>
      </c>
      <c r="AG3771" t="s">
        <v>45560</v>
      </c>
      <c r="AH3771">
        <v>6</v>
      </c>
      <c r="AI3771">
        <v>1</v>
      </c>
      <c r="AJ3771">
        <v>0</v>
      </c>
      <c r="AK3771">
        <v>82.73</v>
      </c>
      <c r="AN3771" t="s">
        <v>7439</v>
      </c>
      <c r="AO3771">
        <v>10044</v>
      </c>
      <c r="AQ3771" t="s">
        <v>46359</v>
      </c>
      <c r="AR3771" t="s">
        <v>46406</v>
      </c>
      <c r="AS3771" t="s">
        <v>46500</v>
      </c>
      <c r="AT3771" t="s">
        <v>46521</v>
      </c>
      <c r="AU3771">
        <v>8.699999999999999</v>
      </c>
      <c r="AV3771" t="s">
        <v>703</v>
      </c>
      <c r="AW3771" t="s">
        <v>46847</v>
      </c>
    </row>
    <row r="3772" spans="1:49">
      <c r="A3772" s="1">
        <f>HYPERLINK("https://lsnyc.legalserver.org/matter/dynamic-profile/view/1885281","18-1885281")</f>
        <v>0</v>
      </c>
      <c r="B3772" t="s">
        <v>198</v>
      </c>
      <c r="C3772" t="s">
        <v>341</v>
      </c>
      <c r="D3772" t="s">
        <v>683</v>
      </c>
      <c r="E3772" t="s">
        <v>765</v>
      </c>
      <c r="F3772" t="s">
        <v>2782</v>
      </c>
      <c r="G3772" t="s">
        <v>7038</v>
      </c>
      <c r="H3772" t="s">
        <v>12614</v>
      </c>
      <c r="I3772" t="s">
        <v>18011</v>
      </c>
      <c r="J3772" t="s">
        <v>18894</v>
      </c>
      <c r="K3772">
        <v>11206</v>
      </c>
      <c r="L3772" t="s">
        <v>18960</v>
      </c>
      <c r="M3772" t="s">
        <v>18960</v>
      </c>
      <c r="N3772" t="s">
        <v>21834</v>
      </c>
      <c r="Q3772" t="s">
        <v>26570</v>
      </c>
      <c r="R3772" t="s">
        <v>26578</v>
      </c>
      <c r="U3772" t="s">
        <v>26604</v>
      </c>
      <c r="W3772" t="s">
        <v>683</v>
      </c>
      <c r="X3772">
        <v>0</v>
      </c>
      <c r="Y3772" t="s">
        <v>26652</v>
      </c>
      <c r="AA3772" t="s">
        <v>26683</v>
      </c>
      <c r="AB3772" t="s">
        <v>29880</v>
      </c>
      <c r="AD3772" t="s">
        <v>40001</v>
      </c>
      <c r="AE3772">
        <v>0</v>
      </c>
      <c r="AH3772">
        <v>0</v>
      </c>
      <c r="AI3772">
        <v>1</v>
      </c>
      <c r="AJ3772">
        <v>0</v>
      </c>
      <c r="AK3772">
        <v>148.27</v>
      </c>
      <c r="AN3772" t="s">
        <v>7439</v>
      </c>
      <c r="AO3772">
        <v>18000</v>
      </c>
      <c r="AU3772">
        <v>3.2</v>
      </c>
      <c r="AV3772" t="s">
        <v>765</v>
      </c>
      <c r="AW3772" t="s">
        <v>198</v>
      </c>
    </row>
    <row r="3773" spans="1:49">
      <c r="A3773" s="1">
        <f>HYPERLINK("https://lsnyc.legalserver.org/matter/dynamic-profile/view/1885190","18-1885190")</f>
        <v>0</v>
      </c>
      <c r="B3773" t="s">
        <v>86</v>
      </c>
      <c r="C3773" t="s">
        <v>341</v>
      </c>
      <c r="D3773" t="s">
        <v>683</v>
      </c>
      <c r="E3773" t="s">
        <v>670</v>
      </c>
      <c r="F3773" t="s">
        <v>1206</v>
      </c>
      <c r="G3773" t="s">
        <v>5686</v>
      </c>
      <c r="H3773" t="s">
        <v>12615</v>
      </c>
      <c r="I3773">
        <v>17</v>
      </c>
      <c r="J3773" t="s">
        <v>18893</v>
      </c>
      <c r="K3773">
        <v>10032</v>
      </c>
      <c r="L3773" t="s">
        <v>18958</v>
      </c>
      <c r="M3773" t="s">
        <v>18958</v>
      </c>
      <c r="N3773" t="s">
        <v>21835</v>
      </c>
      <c r="O3773" t="s">
        <v>26524</v>
      </c>
      <c r="P3773" t="s">
        <v>26564</v>
      </c>
      <c r="Q3773" t="s">
        <v>26570</v>
      </c>
      <c r="R3773" t="s">
        <v>26578</v>
      </c>
      <c r="S3773" t="s">
        <v>18959</v>
      </c>
      <c r="U3773" t="s">
        <v>26604</v>
      </c>
      <c r="W3773" t="s">
        <v>683</v>
      </c>
      <c r="X3773">
        <v>742.08</v>
      </c>
      <c r="Y3773" t="s">
        <v>26651</v>
      </c>
      <c r="Z3773" t="s">
        <v>26668</v>
      </c>
      <c r="AA3773" t="s">
        <v>26683</v>
      </c>
      <c r="AB3773" t="s">
        <v>29881</v>
      </c>
      <c r="AD3773" t="s">
        <v>40002</v>
      </c>
      <c r="AE3773">
        <v>0</v>
      </c>
      <c r="AF3773" t="s">
        <v>45548</v>
      </c>
      <c r="AH3773">
        <v>40</v>
      </c>
      <c r="AI3773">
        <v>2</v>
      </c>
      <c r="AJ3773">
        <v>0</v>
      </c>
      <c r="AK3773">
        <v>360.87</v>
      </c>
      <c r="AN3773" t="s">
        <v>45581</v>
      </c>
      <c r="AO3773">
        <v>59400</v>
      </c>
      <c r="AU3773">
        <v>0.3</v>
      </c>
      <c r="AV3773" t="s">
        <v>688</v>
      </c>
      <c r="AW3773" t="s">
        <v>46875</v>
      </c>
    </row>
    <row r="3774" spans="1:49">
      <c r="A3774" s="1">
        <f>HYPERLINK("https://lsnyc.legalserver.org/matter/dynamic-profile/view/1885322","18-1885322")</f>
        <v>0</v>
      </c>
      <c r="B3774" t="s">
        <v>261</v>
      </c>
      <c r="C3774" t="s">
        <v>341</v>
      </c>
      <c r="D3774" t="s">
        <v>683</v>
      </c>
      <c r="E3774" t="s">
        <v>683</v>
      </c>
      <c r="F3774" t="s">
        <v>893</v>
      </c>
      <c r="G3774" t="s">
        <v>7039</v>
      </c>
      <c r="H3774" t="s">
        <v>12616</v>
      </c>
      <c r="J3774" t="s">
        <v>18892</v>
      </c>
      <c r="K3774">
        <v>10467</v>
      </c>
      <c r="L3774" t="s">
        <v>18958</v>
      </c>
      <c r="M3774" t="s">
        <v>18958</v>
      </c>
      <c r="N3774" t="s">
        <v>19330</v>
      </c>
      <c r="O3774" t="s">
        <v>26529</v>
      </c>
      <c r="P3774" t="s">
        <v>26564</v>
      </c>
      <c r="Q3774" t="s">
        <v>26570</v>
      </c>
      <c r="R3774" t="s">
        <v>26578</v>
      </c>
      <c r="S3774" t="s">
        <v>18959</v>
      </c>
      <c r="U3774" t="s">
        <v>26604</v>
      </c>
      <c r="V3774" t="s">
        <v>26610</v>
      </c>
      <c r="W3774" t="s">
        <v>683</v>
      </c>
      <c r="X3774">
        <v>0</v>
      </c>
      <c r="Y3774" t="s">
        <v>26650</v>
      </c>
      <c r="Z3774" t="s">
        <v>26663</v>
      </c>
      <c r="AA3774" t="s">
        <v>26683</v>
      </c>
      <c r="AB3774" t="s">
        <v>29882</v>
      </c>
      <c r="AC3774" t="s">
        <v>19045</v>
      </c>
      <c r="AE3774">
        <v>0</v>
      </c>
      <c r="AF3774" t="s">
        <v>20460</v>
      </c>
      <c r="AG3774" t="s">
        <v>19330</v>
      </c>
      <c r="AH3774">
        <v>0</v>
      </c>
      <c r="AI3774">
        <v>1</v>
      </c>
      <c r="AJ3774">
        <v>0</v>
      </c>
      <c r="AK3774">
        <v>0</v>
      </c>
      <c r="AN3774" t="s">
        <v>7439</v>
      </c>
      <c r="AO3774">
        <v>0</v>
      </c>
      <c r="AU3774">
        <v>1.25</v>
      </c>
      <c r="AV3774" t="s">
        <v>683</v>
      </c>
      <c r="AW3774" t="s">
        <v>261</v>
      </c>
    </row>
    <row r="3775" spans="1:49">
      <c r="A3775" s="1">
        <f>HYPERLINK("https://lsnyc.legalserver.org/matter/dynamic-profile/view/1885320","18-1885320")</f>
        <v>0</v>
      </c>
      <c r="B3775" t="s">
        <v>211</v>
      </c>
      <c r="C3775" t="s">
        <v>340</v>
      </c>
      <c r="D3775" t="s">
        <v>683</v>
      </c>
      <c r="F3775" t="s">
        <v>2240</v>
      </c>
      <c r="G3775" t="s">
        <v>4309</v>
      </c>
      <c r="H3775" t="s">
        <v>12617</v>
      </c>
      <c r="I3775" t="s">
        <v>17299</v>
      </c>
      <c r="J3775" t="s">
        <v>18894</v>
      </c>
      <c r="K3775">
        <v>11212</v>
      </c>
      <c r="L3775" t="s">
        <v>18958</v>
      </c>
      <c r="M3775" t="s">
        <v>18958</v>
      </c>
      <c r="P3775" t="s">
        <v>26560</v>
      </c>
      <c r="R3775" t="s">
        <v>26578</v>
      </c>
      <c r="S3775" t="s">
        <v>18958</v>
      </c>
      <c r="U3775" t="s">
        <v>26604</v>
      </c>
      <c r="W3775" t="s">
        <v>683</v>
      </c>
      <c r="X3775">
        <v>0</v>
      </c>
      <c r="Y3775" t="s">
        <v>26652</v>
      </c>
      <c r="AB3775" t="s">
        <v>29883</v>
      </c>
      <c r="AD3775" t="s">
        <v>40003</v>
      </c>
      <c r="AE3775">
        <v>36</v>
      </c>
      <c r="AH3775">
        <v>0</v>
      </c>
      <c r="AI3775">
        <v>2</v>
      </c>
      <c r="AJ3775">
        <v>0</v>
      </c>
      <c r="AK3775">
        <v>85.73999999999999</v>
      </c>
      <c r="AN3775" t="s">
        <v>7439</v>
      </c>
      <c r="AO3775">
        <v>14112</v>
      </c>
      <c r="AU3775">
        <v>18.7</v>
      </c>
      <c r="AV3775" t="s">
        <v>816</v>
      </c>
      <c r="AW3775" t="s">
        <v>279</v>
      </c>
    </row>
    <row r="3776" spans="1:49">
      <c r="A3776" s="1">
        <f>HYPERLINK("https://lsnyc.legalserver.org/matter/dynamic-profile/view/1885311","18-1885311")</f>
        <v>0</v>
      </c>
      <c r="B3776" t="s">
        <v>158</v>
      </c>
      <c r="C3776" t="s">
        <v>340</v>
      </c>
      <c r="D3776" t="s">
        <v>683</v>
      </c>
      <c r="F3776" t="s">
        <v>967</v>
      </c>
      <c r="G3776" t="s">
        <v>5330</v>
      </c>
      <c r="H3776" t="s">
        <v>12618</v>
      </c>
      <c r="I3776" t="s">
        <v>17362</v>
      </c>
      <c r="J3776" t="s">
        <v>18894</v>
      </c>
      <c r="K3776">
        <v>11231</v>
      </c>
      <c r="L3776" t="s">
        <v>18958</v>
      </c>
      <c r="M3776" t="s">
        <v>18958</v>
      </c>
      <c r="N3776" t="s">
        <v>21836</v>
      </c>
      <c r="O3776" t="s">
        <v>26523</v>
      </c>
      <c r="P3776" t="s">
        <v>26564</v>
      </c>
      <c r="R3776" t="s">
        <v>26586</v>
      </c>
      <c r="S3776" t="s">
        <v>18959</v>
      </c>
      <c r="U3776" t="s">
        <v>26604</v>
      </c>
      <c r="V3776" t="s">
        <v>26610</v>
      </c>
      <c r="W3776" t="s">
        <v>683</v>
      </c>
      <c r="X3776">
        <v>373.6</v>
      </c>
      <c r="Y3776" t="s">
        <v>26652</v>
      </c>
      <c r="Z3776" t="s">
        <v>26668</v>
      </c>
      <c r="AB3776" t="s">
        <v>29884</v>
      </c>
      <c r="AC3776" t="s">
        <v>35614</v>
      </c>
      <c r="AD3776" t="s">
        <v>40004</v>
      </c>
      <c r="AE3776">
        <v>30</v>
      </c>
      <c r="AF3776" t="s">
        <v>45549</v>
      </c>
      <c r="AH3776">
        <v>6</v>
      </c>
      <c r="AI3776">
        <v>1</v>
      </c>
      <c r="AJ3776">
        <v>0</v>
      </c>
      <c r="AK3776">
        <v>121.68</v>
      </c>
      <c r="AN3776" t="s">
        <v>7439</v>
      </c>
      <c r="AO3776">
        <v>14772</v>
      </c>
      <c r="AU3776">
        <v>4.5</v>
      </c>
      <c r="AV3776" t="s">
        <v>857</v>
      </c>
      <c r="AW3776" t="s">
        <v>46856</v>
      </c>
    </row>
    <row r="3777" spans="1:49">
      <c r="A3777" s="1">
        <f>HYPERLINK("https://lsnyc.legalserver.org/matter/dynamic-profile/view/1885279","18-1885279")</f>
        <v>0</v>
      </c>
      <c r="B3777" t="s">
        <v>90</v>
      </c>
      <c r="C3777" t="s">
        <v>340</v>
      </c>
      <c r="D3777" t="s">
        <v>683</v>
      </c>
      <c r="F3777" t="s">
        <v>2783</v>
      </c>
      <c r="G3777" t="s">
        <v>7040</v>
      </c>
      <c r="H3777" t="s">
        <v>11849</v>
      </c>
      <c r="I3777">
        <v>3</v>
      </c>
      <c r="J3777" t="s">
        <v>18893</v>
      </c>
      <c r="K3777">
        <v>10029</v>
      </c>
      <c r="L3777" t="s">
        <v>18958</v>
      </c>
      <c r="M3777" t="s">
        <v>18958</v>
      </c>
      <c r="N3777" t="s">
        <v>21035</v>
      </c>
      <c r="O3777" t="s">
        <v>26526</v>
      </c>
      <c r="P3777" t="s">
        <v>26560</v>
      </c>
      <c r="R3777" t="s">
        <v>26578</v>
      </c>
      <c r="S3777" t="s">
        <v>18958</v>
      </c>
      <c r="U3777" t="s">
        <v>26604</v>
      </c>
      <c r="V3777" t="s">
        <v>26610</v>
      </c>
      <c r="W3777" t="s">
        <v>683</v>
      </c>
      <c r="X3777">
        <v>1542</v>
      </c>
      <c r="Y3777" t="s">
        <v>26651</v>
      </c>
      <c r="Z3777" t="s">
        <v>26667</v>
      </c>
      <c r="AB3777" t="s">
        <v>29885</v>
      </c>
      <c r="AD3777" t="s">
        <v>40005</v>
      </c>
      <c r="AE3777">
        <v>6</v>
      </c>
      <c r="AF3777" t="s">
        <v>45541</v>
      </c>
      <c r="AG3777" t="s">
        <v>19330</v>
      </c>
      <c r="AH3777">
        <v>10</v>
      </c>
      <c r="AI3777">
        <v>3</v>
      </c>
      <c r="AJ3777">
        <v>2</v>
      </c>
      <c r="AK3777">
        <v>136.98</v>
      </c>
      <c r="AN3777" t="s">
        <v>7439</v>
      </c>
      <c r="AO3777">
        <v>40300</v>
      </c>
      <c r="AU3777">
        <v>0.75</v>
      </c>
      <c r="AV3777" t="s">
        <v>792</v>
      </c>
      <c r="AW3777" t="s">
        <v>46835</v>
      </c>
    </row>
    <row r="3778" spans="1:49">
      <c r="A3778" s="1">
        <f>HYPERLINK("https://lsnyc.legalserver.org/matter/dynamic-profile/view/1885272","18-1885272")</f>
        <v>0</v>
      </c>
      <c r="B3778" t="s">
        <v>90</v>
      </c>
      <c r="C3778" t="s">
        <v>340</v>
      </c>
      <c r="D3778" t="s">
        <v>683</v>
      </c>
      <c r="F3778" t="s">
        <v>2784</v>
      </c>
      <c r="G3778" t="s">
        <v>5496</v>
      </c>
      <c r="H3778" t="s">
        <v>11709</v>
      </c>
      <c r="I3778">
        <v>62</v>
      </c>
      <c r="J3778" t="s">
        <v>18893</v>
      </c>
      <c r="K3778">
        <v>10039</v>
      </c>
      <c r="L3778" t="s">
        <v>18958</v>
      </c>
      <c r="M3778" t="s">
        <v>18958</v>
      </c>
      <c r="N3778" t="s">
        <v>20891</v>
      </c>
      <c r="O3778" t="s">
        <v>26526</v>
      </c>
      <c r="P3778" t="s">
        <v>26560</v>
      </c>
      <c r="R3778" t="s">
        <v>26578</v>
      </c>
      <c r="S3778" t="s">
        <v>18958</v>
      </c>
      <c r="U3778" t="s">
        <v>26604</v>
      </c>
      <c r="V3778" t="s">
        <v>26610</v>
      </c>
      <c r="W3778" t="s">
        <v>683</v>
      </c>
      <c r="X3778">
        <v>235</v>
      </c>
      <c r="Y3778" t="s">
        <v>26651</v>
      </c>
      <c r="Z3778" t="s">
        <v>26667</v>
      </c>
      <c r="AB3778" t="s">
        <v>29886</v>
      </c>
      <c r="AD3778" t="s">
        <v>40006</v>
      </c>
      <c r="AE3778">
        <v>24</v>
      </c>
      <c r="AF3778" t="s">
        <v>45548</v>
      </c>
      <c r="AG3778" t="s">
        <v>19330</v>
      </c>
      <c r="AH3778">
        <v>49</v>
      </c>
      <c r="AI3778">
        <v>1</v>
      </c>
      <c r="AJ3778">
        <v>0</v>
      </c>
      <c r="AK3778">
        <v>235.58</v>
      </c>
      <c r="AN3778" t="s">
        <v>7439</v>
      </c>
      <c r="AO3778">
        <v>28600</v>
      </c>
      <c r="AU3778">
        <v>0</v>
      </c>
      <c r="AW3778" t="s">
        <v>46835</v>
      </c>
    </row>
    <row r="3779" spans="1:49">
      <c r="A3779" s="1">
        <f>HYPERLINK("https://lsnyc.legalserver.org/matter/dynamic-profile/view/1885256","18-1885256")</f>
        <v>0</v>
      </c>
      <c r="B3779" t="s">
        <v>90</v>
      </c>
      <c r="C3779" t="s">
        <v>340</v>
      </c>
      <c r="D3779" t="s">
        <v>683</v>
      </c>
      <c r="F3779" t="s">
        <v>2785</v>
      </c>
      <c r="G3779" t="s">
        <v>6908</v>
      </c>
      <c r="H3779" t="s">
        <v>11709</v>
      </c>
      <c r="I3779">
        <v>24</v>
      </c>
      <c r="J3779" t="s">
        <v>18893</v>
      </c>
      <c r="K3779">
        <v>10039</v>
      </c>
      <c r="L3779" t="s">
        <v>18958</v>
      </c>
      <c r="M3779" t="s">
        <v>18958</v>
      </c>
      <c r="N3779" t="s">
        <v>20891</v>
      </c>
      <c r="O3779" t="s">
        <v>26526</v>
      </c>
      <c r="P3779" t="s">
        <v>26560</v>
      </c>
      <c r="R3779" t="s">
        <v>26578</v>
      </c>
      <c r="S3779" t="s">
        <v>18958</v>
      </c>
      <c r="U3779" t="s">
        <v>26604</v>
      </c>
      <c r="V3779" t="s">
        <v>26610</v>
      </c>
      <c r="W3779" t="s">
        <v>683</v>
      </c>
      <c r="X3779">
        <v>1475</v>
      </c>
      <c r="Y3779" t="s">
        <v>26651</v>
      </c>
      <c r="Z3779" t="s">
        <v>26667</v>
      </c>
      <c r="AB3779" t="s">
        <v>29887</v>
      </c>
      <c r="AD3779" t="s">
        <v>40007</v>
      </c>
      <c r="AE3779">
        <v>24</v>
      </c>
      <c r="AF3779" t="s">
        <v>45541</v>
      </c>
      <c r="AG3779" t="s">
        <v>19330</v>
      </c>
      <c r="AH3779">
        <v>8</v>
      </c>
      <c r="AI3779">
        <v>2</v>
      </c>
      <c r="AJ3779">
        <v>0</v>
      </c>
      <c r="AK3779">
        <v>327.76</v>
      </c>
      <c r="AN3779" t="s">
        <v>7439</v>
      </c>
      <c r="AO3779">
        <v>53950</v>
      </c>
      <c r="AU3779">
        <v>0</v>
      </c>
      <c r="AW3779" t="s">
        <v>46835</v>
      </c>
    </row>
    <row r="3780" spans="1:49">
      <c r="A3780" s="1">
        <f>HYPERLINK("https://lsnyc.legalserver.org/matter/dynamic-profile/view/1885229","18-1885229")</f>
        <v>0</v>
      </c>
      <c r="B3780" t="s">
        <v>90</v>
      </c>
      <c r="C3780" t="s">
        <v>340</v>
      </c>
      <c r="D3780" t="s">
        <v>683</v>
      </c>
      <c r="F3780" t="s">
        <v>2786</v>
      </c>
      <c r="G3780" t="s">
        <v>7041</v>
      </c>
      <c r="H3780" t="s">
        <v>11709</v>
      </c>
      <c r="I3780">
        <v>64</v>
      </c>
      <c r="J3780" t="s">
        <v>18893</v>
      </c>
      <c r="K3780">
        <v>10039</v>
      </c>
      <c r="L3780" t="s">
        <v>18958</v>
      </c>
      <c r="M3780" t="s">
        <v>18958</v>
      </c>
      <c r="N3780" t="s">
        <v>20891</v>
      </c>
      <c r="O3780" t="s">
        <v>26526</v>
      </c>
      <c r="P3780" t="s">
        <v>26560</v>
      </c>
      <c r="R3780" t="s">
        <v>26578</v>
      </c>
      <c r="S3780" t="s">
        <v>18958</v>
      </c>
      <c r="U3780" t="s">
        <v>26604</v>
      </c>
      <c r="V3780" t="s">
        <v>26610</v>
      </c>
      <c r="W3780" t="s">
        <v>683</v>
      </c>
      <c r="X3780">
        <v>611.4400000000001</v>
      </c>
      <c r="Y3780" t="s">
        <v>26651</v>
      </c>
      <c r="Z3780" t="s">
        <v>26667</v>
      </c>
      <c r="AB3780" t="s">
        <v>27453</v>
      </c>
      <c r="AD3780" t="s">
        <v>40008</v>
      </c>
      <c r="AE3780">
        <v>245</v>
      </c>
      <c r="AF3780" t="s">
        <v>45541</v>
      </c>
      <c r="AG3780" t="s">
        <v>19330</v>
      </c>
      <c r="AH3780">
        <v>39</v>
      </c>
      <c r="AI3780">
        <v>2</v>
      </c>
      <c r="AJ3780">
        <v>0</v>
      </c>
      <c r="AK3780">
        <v>419.2</v>
      </c>
      <c r="AN3780" t="s">
        <v>7439</v>
      </c>
      <c r="AO3780">
        <v>69000</v>
      </c>
      <c r="AU3780">
        <v>0</v>
      </c>
      <c r="AW3780" t="s">
        <v>46835</v>
      </c>
    </row>
    <row r="3781" spans="1:49">
      <c r="A3781" s="1">
        <f>HYPERLINK("https://lsnyc.legalserver.org/matter/dynamic-profile/view/1885299","18-1885299")</f>
        <v>0</v>
      </c>
      <c r="B3781" t="s">
        <v>162</v>
      </c>
      <c r="C3781" t="s">
        <v>340</v>
      </c>
      <c r="D3781" t="s">
        <v>683</v>
      </c>
      <c r="F3781" t="s">
        <v>2787</v>
      </c>
      <c r="G3781" t="s">
        <v>5639</v>
      </c>
      <c r="H3781" t="s">
        <v>12619</v>
      </c>
      <c r="I3781" t="s">
        <v>17944</v>
      </c>
      <c r="J3781" t="s">
        <v>18894</v>
      </c>
      <c r="K3781">
        <v>11226</v>
      </c>
      <c r="L3781" t="s">
        <v>18958</v>
      </c>
      <c r="M3781" t="s">
        <v>18958</v>
      </c>
      <c r="N3781" t="s">
        <v>21837</v>
      </c>
      <c r="O3781" t="s">
        <v>26523</v>
      </c>
      <c r="P3781" t="s">
        <v>26560</v>
      </c>
      <c r="R3781" t="s">
        <v>26588</v>
      </c>
      <c r="U3781" t="s">
        <v>26604</v>
      </c>
      <c r="W3781" t="s">
        <v>683</v>
      </c>
      <c r="X3781">
        <v>1163</v>
      </c>
      <c r="Y3781" t="s">
        <v>26652</v>
      </c>
      <c r="Z3781" t="s">
        <v>26664</v>
      </c>
      <c r="AB3781" t="s">
        <v>29888</v>
      </c>
      <c r="AD3781" t="s">
        <v>40009</v>
      </c>
      <c r="AE3781">
        <v>66</v>
      </c>
      <c r="AG3781" t="s">
        <v>19330</v>
      </c>
      <c r="AH3781">
        <v>8</v>
      </c>
      <c r="AI3781">
        <v>2</v>
      </c>
      <c r="AJ3781">
        <v>1</v>
      </c>
      <c r="AK3781">
        <v>281.04</v>
      </c>
      <c r="AL3781" t="s">
        <v>794</v>
      </c>
      <c r="AM3781" t="s">
        <v>45575</v>
      </c>
      <c r="AN3781" t="s">
        <v>7439</v>
      </c>
      <c r="AO3781">
        <v>58400</v>
      </c>
      <c r="AU3781">
        <v>22.2</v>
      </c>
      <c r="AV3781" t="s">
        <v>834</v>
      </c>
      <c r="AW3781" t="s">
        <v>198</v>
      </c>
    </row>
    <row r="3782" spans="1:49">
      <c r="A3782" s="1">
        <f>HYPERLINK("https://lsnyc.legalserver.org/matter/dynamic-profile/view/1885248","18-1885248")</f>
        <v>0</v>
      </c>
      <c r="B3782" t="s">
        <v>69</v>
      </c>
      <c r="C3782" t="s">
        <v>340</v>
      </c>
      <c r="D3782" t="s">
        <v>683</v>
      </c>
      <c r="F3782" t="s">
        <v>994</v>
      </c>
      <c r="G3782" t="s">
        <v>2053</v>
      </c>
      <c r="H3782" t="s">
        <v>12620</v>
      </c>
      <c r="I3782">
        <v>3</v>
      </c>
      <c r="J3782" t="s">
        <v>18892</v>
      </c>
      <c r="K3782">
        <v>10457</v>
      </c>
      <c r="L3782" t="s">
        <v>18958</v>
      </c>
      <c r="M3782" t="s">
        <v>18958</v>
      </c>
      <c r="N3782" t="s">
        <v>21838</v>
      </c>
      <c r="O3782" t="s">
        <v>26523</v>
      </c>
      <c r="P3782" t="s">
        <v>26560</v>
      </c>
      <c r="R3782" t="s">
        <v>26579</v>
      </c>
      <c r="U3782" t="s">
        <v>26604</v>
      </c>
      <c r="V3782" t="s">
        <v>26610</v>
      </c>
      <c r="W3782" t="s">
        <v>683</v>
      </c>
      <c r="X3782">
        <v>237.9</v>
      </c>
      <c r="Y3782" t="s">
        <v>26650</v>
      </c>
      <c r="Z3782" t="s">
        <v>26664</v>
      </c>
      <c r="AB3782" t="s">
        <v>29889</v>
      </c>
      <c r="AD3782" t="s">
        <v>40010</v>
      </c>
      <c r="AE3782">
        <v>0</v>
      </c>
      <c r="AF3782" t="s">
        <v>45547</v>
      </c>
      <c r="AG3782" t="s">
        <v>45562</v>
      </c>
      <c r="AH3782">
        <v>3</v>
      </c>
      <c r="AI3782">
        <v>2</v>
      </c>
      <c r="AJ3782">
        <v>8</v>
      </c>
      <c r="AK3782">
        <v>50.52</v>
      </c>
      <c r="AN3782" t="s">
        <v>7439</v>
      </c>
      <c r="AO3782">
        <v>25776</v>
      </c>
      <c r="AU3782">
        <v>17.9</v>
      </c>
      <c r="AV3782" t="s">
        <v>729</v>
      </c>
      <c r="AW3782" t="s">
        <v>334</v>
      </c>
    </row>
    <row r="3783" spans="1:49">
      <c r="A3783" s="1">
        <f>HYPERLINK("https://lsnyc.legalserver.org/matter/dynamic-profile/view/1885186","18-1885186")</f>
        <v>0</v>
      </c>
      <c r="B3783" t="s">
        <v>54</v>
      </c>
      <c r="C3783" t="s">
        <v>340</v>
      </c>
      <c r="D3783" t="s">
        <v>683</v>
      </c>
      <c r="F3783" t="s">
        <v>1745</v>
      </c>
      <c r="G3783" t="s">
        <v>7042</v>
      </c>
      <c r="H3783" t="s">
        <v>12621</v>
      </c>
      <c r="I3783" t="s">
        <v>17273</v>
      </c>
      <c r="J3783" t="s">
        <v>18892</v>
      </c>
      <c r="K3783">
        <v>10462</v>
      </c>
      <c r="L3783" t="s">
        <v>18958</v>
      </c>
      <c r="M3783" t="s">
        <v>18958</v>
      </c>
      <c r="N3783" t="s">
        <v>21839</v>
      </c>
      <c r="O3783" t="s">
        <v>26523</v>
      </c>
      <c r="P3783" t="s">
        <v>26560</v>
      </c>
      <c r="R3783" t="s">
        <v>26579</v>
      </c>
      <c r="S3783" t="s">
        <v>18959</v>
      </c>
      <c r="U3783" t="s">
        <v>26604</v>
      </c>
      <c r="V3783" t="s">
        <v>26610</v>
      </c>
      <c r="W3783" t="s">
        <v>683</v>
      </c>
      <c r="X3783">
        <v>1366</v>
      </c>
      <c r="Y3783" t="s">
        <v>26650</v>
      </c>
      <c r="Z3783" t="s">
        <v>26664</v>
      </c>
      <c r="AB3783" t="s">
        <v>29890</v>
      </c>
      <c r="AC3783" t="s">
        <v>35615</v>
      </c>
      <c r="AE3783">
        <v>90</v>
      </c>
      <c r="AF3783" t="s">
        <v>45541</v>
      </c>
      <c r="AG3783" t="s">
        <v>45561</v>
      </c>
      <c r="AH3783">
        <v>4</v>
      </c>
      <c r="AI3783">
        <v>2</v>
      </c>
      <c r="AJ3783">
        <v>0</v>
      </c>
      <c r="AK3783">
        <v>74.14</v>
      </c>
      <c r="AN3783" t="s">
        <v>7439</v>
      </c>
      <c r="AO3783">
        <v>12204</v>
      </c>
      <c r="AU3783">
        <v>52.35</v>
      </c>
      <c r="AV3783" t="s">
        <v>835</v>
      </c>
      <c r="AW3783" t="s">
        <v>334</v>
      </c>
    </row>
    <row r="3784" spans="1:49">
      <c r="A3784" s="1">
        <f>HYPERLINK("https://lsnyc.legalserver.org/matter/dynamic-profile/view/1882564","18-1882564")</f>
        <v>0</v>
      </c>
      <c r="B3784" t="s">
        <v>273</v>
      </c>
      <c r="C3784" t="s">
        <v>340</v>
      </c>
      <c r="D3784" t="s">
        <v>646</v>
      </c>
      <c r="F3784" t="s">
        <v>959</v>
      </c>
      <c r="G3784" t="s">
        <v>7043</v>
      </c>
      <c r="H3784" t="s">
        <v>11324</v>
      </c>
      <c r="I3784">
        <v>52</v>
      </c>
      <c r="J3784" t="s">
        <v>18893</v>
      </c>
      <c r="K3784">
        <v>10034</v>
      </c>
      <c r="L3784" t="s">
        <v>18958</v>
      </c>
      <c r="M3784" t="s">
        <v>18958</v>
      </c>
      <c r="N3784" t="s">
        <v>21840</v>
      </c>
      <c r="O3784" t="s">
        <v>26523</v>
      </c>
      <c r="P3784" t="s">
        <v>26560</v>
      </c>
      <c r="R3784" t="s">
        <v>26578</v>
      </c>
      <c r="S3784" t="s">
        <v>18959</v>
      </c>
      <c r="U3784" t="s">
        <v>26604</v>
      </c>
      <c r="W3784" t="s">
        <v>452</v>
      </c>
      <c r="X3784">
        <v>896</v>
      </c>
      <c r="Y3784" t="s">
        <v>26651</v>
      </c>
      <c r="Z3784" t="s">
        <v>26664</v>
      </c>
      <c r="AB3784" t="s">
        <v>29762</v>
      </c>
      <c r="AD3784" t="s">
        <v>40011</v>
      </c>
      <c r="AE3784">
        <v>25</v>
      </c>
      <c r="AF3784" t="s">
        <v>45541</v>
      </c>
      <c r="AH3784">
        <v>30</v>
      </c>
      <c r="AI3784">
        <v>2</v>
      </c>
      <c r="AJ3784">
        <v>1</v>
      </c>
      <c r="AK3784">
        <v>179.4</v>
      </c>
      <c r="AN3784" t="s">
        <v>7439</v>
      </c>
      <c r="AO3784">
        <v>37280</v>
      </c>
      <c r="AU3784">
        <v>118.95</v>
      </c>
      <c r="AV3784" t="s">
        <v>826</v>
      </c>
      <c r="AW3784" t="s">
        <v>317</v>
      </c>
    </row>
    <row r="3785" spans="1:49">
      <c r="A3785" s="1">
        <f>HYPERLINK("https://lsnyc.legalserver.org/matter/dynamic-profile/view/1883716","18-1883716")</f>
        <v>0</v>
      </c>
      <c r="B3785" t="s">
        <v>82</v>
      </c>
      <c r="C3785" t="s">
        <v>340</v>
      </c>
      <c r="D3785" t="s">
        <v>665</v>
      </c>
      <c r="F3785" t="s">
        <v>2788</v>
      </c>
      <c r="G3785" t="s">
        <v>7044</v>
      </c>
      <c r="H3785" t="s">
        <v>10081</v>
      </c>
      <c r="I3785" t="s">
        <v>17306</v>
      </c>
      <c r="J3785" t="s">
        <v>18892</v>
      </c>
      <c r="K3785">
        <v>10468</v>
      </c>
      <c r="L3785" t="s">
        <v>18958</v>
      </c>
      <c r="M3785" t="s">
        <v>18958</v>
      </c>
      <c r="N3785" t="s">
        <v>21841</v>
      </c>
      <c r="O3785" t="s">
        <v>26523</v>
      </c>
      <c r="P3785" t="s">
        <v>26560</v>
      </c>
      <c r="R3785" t="s">
        <v>26579</v>
      </c>
      <c r="S3785" t="s">
        <v>18959</v>
      </c>
      <c r="U3785" t="s">
        <v>26604</v>
      </c>
      <c r="V3785" t="s">
        <v>26611</v>
      </c>
      <c r="W3785" t="s">
        <v>452</v>
      </c>
      <c r="X3785">
        <v>1145</v>
      </c>
      <c r="Y3785" t="s">
        <v>26650</v>
      </c>
      <c r="Z3785" t="s">
        <v>26673</v>
      </c>
      <c r="AB3785" t="s">
        <v>29891</v>
      </c>
      <c r="AD3785" t="s">
        <v>40012</v>
      </c>
      <c r="AE3785">
        <v>20</v>
      </c>
      <c r="AF3785" t="s">
        <v>45541</v>
      </c>
      <c r="AG3785" t="s">
        <v>19330</v>
      </c>
      <c r="AH3785">
        <v>8</v>
      </c>
      <c r="AI3785">
        <v>1</v>
      </c>
      <c r="AJ3785">
        <v>0</v>
      </c>
      <c r="AK3785">
        <v>128.5</v>
      </c>
      <c r="AN3785" t="s">
        <v>45581</v>
      </c>
      <c r="AO3785">
        <v>15600</v>
      </c>
      <c r="AU3785">
        <v>10.6</v>
      </c>
      <c r="AV3785" t="s">
        <v>777</v>
      </c>
      <c r="AW3785" t="s">
        <v>46861</v>
      </c>
    </row>
    <row r="3786" spans="1:49">
      <c r="A3786" s="1">
        <f>HYPERLINK("https://lsnyc.legalserver.org/matter/dynamic-profile/view/1883912","18-1883912")</f>
        <v>0</v>
      </c>
      <c r="B3786" t="s">
        <v>117</v>
      </c>
      <c r="C3786" t="s">
        <v>341</v>
      </c>
      <c r="D3786" t="s">
        <v>675</v>
      </c>
      <c r="E3786" t="s">
        <v>494</v>
      </c>
      <c r="F3786" t="s">
        <v>1033</v>
      </c>
      <c r="G3786" t="s">
        <v>7045</v>
      </c>
      <c r="H3786" t="s">
        <v>12622</v>
      </c>
      <c r="I3786" t="s">
        <v>17334</v>
      </c>
      <c r="J3786" t="s">
        <v>18894</v>
      </c>
      <c r="K3786">
        <v>11212</v>
      </c>
      <c r="L3786" t="s">
        <v>18958</v>
      </c>
      <c r="M3786" t="s">
        <v>18958</v>
      </c>
      <c r="N3786" t="s">
        <v>21842</v>
      </c>
      <c r="O3786" t="s">
        <v>26523</v>
      </c>
      <c r="P3786" t="s">
        <v>26564</v>
      </c>
      <c r="Q3786" t="s">
        <v>26570</v>
      </c>
      <c r="R3786" t="s">
        <v>26578</v>
      </c>
      <c r="S3786" t="s">
        <v>18959</v>
      </c>
      <c r="U3786" t="s">
        <v>26604</v>
      </c>
      <c r="V3786" t="s">
        <v>26610</v>
      </c>
      <c r="W3786" t="s">
        <v>452</v>
      </c>
      <c r="X3786">
        <v>1700</v>
      </c>
      <c r="Y3786" t="s">
        <v>26652</v>
      </c>
      <c r="Z3786" t="s">
        <v>26663</v>
      </c>
      <c r="AA3786" t="s">
        <v>26683</v>
      </c>
      <c r="AB3786" t="s">
        <v>29892</v>
      </c>
      <c r="AC3786" t="s">
        <v>35616</v>
      </c>
      <c r="AD3786" t="s">
        <v>40013</v>
      </c>
      <c r="AE3786">
        <v>5</v>
      </c>
      <c r="AF3786" t="s">
        <v>45547</v>
      </c>
      <c r="AG3786" t="s">
        <v>19330</v>
      </c>
      <c r="AH3786">
        <v>1</v>
      </c>
      <c r="AI3786">
        <v>1</v>
      </c>
      <c r="AJ3786">
        <v>1</v>
      </c>
      <c r="AK3786">
        <v>130.63</v>
      </c>
      <c r="AN3786" t="s">
        <v>7439</v>
      </c>
      <c r="AO3786">
        <v>21502</v>
      </c>
      <c r="AU3786">
        <v>2.1</v>
      </c>
      <c r="AV3786" t="s">
        <v>452</v>
      </c>
      <c r="AW3786" t="s">
        <v>286</v>
      </c>
    </row>
    <row r="3787" spans="1:49">
      <c r="A3787" s="1">
        <f>HYPERLINK("https://lsnyc.legalserver.org/matter/dynamic-profile/view/1885067","18-1885067")</f>
        <v>0</v>
      </c>
      <c r="B3787" t="s">
        <v>249</v>
      </c>
      <c r="C3787" t="s">
        <v>341</v>
      </c>
      <c r="D3787" t="s">
        <v>519</v>
      </c>
      <c r="E3787" t="s">
        <v>494</v>
      </c>
      <c r="F3787" t="s">
        <v>1191</v>
      </c>
      <c r="G3787" t="s">
        <v>4753</v>
      </c>
      <c r="H3787" t="s">
        <v>9671</v>
      </c>
      <c r="I3787" t="s">
        <v>18012</v>
      </c>
      <c r="J3787" t="s">
        <v>18894</v>
      </c>
      <c r="K3787">
        <v>11239</v>
      </c>
      <c r="L3787" t="s">
        <v>18958</v>
      </c>
      <c r="M3787" t="s">
        <v>18958</v>
      </c>
      <c r="N3787" t="s">
        <v>18997</v>
      </c>
      <c r="O3787" t="s">
        <v>26554</v>
      </c>
      <c r="P3787" t="s">
        <v>26562</v>
      </c>
      <c r="Q3787" t="s">
        <v>26570</v>
      </c>
      <c r="R3787" t="s">
        <v>26578</v>
      </c>
      <c r="S3787" t="s">
        <v>18959</v>
      </c>
      <c r="U3787" t="s">
        <v>26604</v>
      </c>
      <c r="V3787" t="s">
        <v>26610</v>
      </c>
      <c r="W3787" t="s">
        <v>452</v>
      </c>
      <c r="X3787">
        <v>0</v>
      </c>
      <c r="Y3787" t="s">
        <v>26652</v>
      </c>
      <c r="Z3787" t="s">
        <v>26665</v>
      </c>
      <c r="AA3787" t="s">
        <v>26683</v>
      </c>
      <c r="AB3787" t="s">
        <v>26734</v>
      </c>
      <c r="AC3787" t="s">
        <v>34485</v>
      </c>
      <c r="AD3787" t="s">
        <v>36846</v>
      </c>
      <c r="AE3787">
        <v>1463</v>
      </c>
      <c r="AF3787" t="s">
        <v>45543</v>
      </c>
      <c r="AH3787">
        <v>0</v>
      </c>
      <c r="AI3787">
        <v>3</v>
      </c>
      <c r="AJ3787">
        <v>0</v>
      </c>
      <c r="AK3787">
        <v>32.92</v>
      </c>
      <c r="AN3787" t="s">
        <v>7439</v>
      </c>
      <c r="AO3787">
        <v>6840</v>
      </c>
      <c r="AU3787">
        <v>1.65</v>
      </c>
      <c r="AV3787" t="s">
        <v>713</v>
      </c>
      <c r="AW3787" t="s">
        <v>46849</v>
      </c>
    </row>
    <row r="3788" spans="1:49">
      <c r="A3788" s="1">
        <f>HYPERLINK("https://lsnyc.legalserver.org/matter/dynamic-profile/view/1885286","18-1885286")</f>
        <v>0</v>
      </c>
      <c r="B3788" t="s">
        <v>249</v>
      </c>
      <c r="C3788" t="s">
        <v>341</v>
      </c>
      <c r="D3788" t="s">
        <v>683</v>
      </c>
      <c r="E3788" t="s">
        <v>861</v>
      </c>
      <c r="F3788" t="s">
        <v>2789</v>
      </c>
      <c r="G3788" t="s">
        <v>7046</v>
      </c>
      <c r="H3788" t="s">
        <v>12623</v>
      </c>
      <c r="I3788" t="s">
        <v>17299</v>
      </c>
      <c r="J3788" t="s">
        <v>18894</v>
      </c>
      <c r="K3788">
        <v>11208</v>
      </c>
      <c r="L3788" t="s">
        <v>18958</v>
      </c>
      <c r="M3788" t="s">
        <v>18958</v>
      </c>
      <c r="N3788" t="s">
        <v>18997</v>
      </c>
      <c r="O3788" t="s">
        <v>26555</v>
      </c>
      <c r="P3788" t="s">
        <v>26565</v>
      </c>
      <c r="Q3788" t="s">
        <v>26571</v>
      </c>
      <c r="R3788" t="s">
        <v>26578</v>
      </c>
      <c r="S3788" t="s">
        <v>18959</v>
      </c>
      <c r="U3788" t="s">
        <v>26604</v>
      </c>
      <c r="V3788" t="s">
        <v>26610</v>
      </c>
      <c r="W3788" t="s">
        <v>452</v>
      </c>
      <c r="X3788">
        <v>1268</v>
      </c>
      <c r="Y3788" t="s">
        <v>26652</v>
      </c>
      <c r="Z3788" t="s">
        <v>26659</v>
      </c>
      <c r="AA3788" t="s">
        <v>26682</v>
      </c>
      <c r="AB3788" t="s">
        <v>29893</v>
      </c>
      <c r="AC3788" t="s">
        <v>35617</v>
      </c>
      <c r="AD3788" t="s">
        <v>40014</v>
      </c>
      <c r="AE3788">
        <v>0</v>
      </c>
      <c r="AF3788" t="s">
        <v>45541</v>
      </c>
      <c r="AG3788" t="s">
        <v>45562</v>
      </c>
      <c r="AH3788">
        <v>4</v>
      </c>
      <c r="AI3788">
        <v>1</v>
      </c>
      <c r="AJ3788">
        <v>0</v>
      </c>
      <c r="AK3788">
        <v>119.93</v>
      </c>
      <c r="AN3788" t="s">
        <v>7439</v>
      </c>
      <c r="AO3788">
        <v>14560</v>
      </c>
      <c r="AU3788">
        <v>3.75</v>
      </c>
      <c r="AV3788" t="s">
        <v>861</v>
      </c>
      <c r="AW3788" t="s">
        <v>279</v>
      </c>
    </row>
    <row r="3789" spans="1:49">
      <c r="A3789" s="1">
        <f>HYPERLINK("https://lsnyc.legalserver.org/matter/dynamic-profile/view/1885351","18-1885351")</f>
        <v>0</v>
      </c>
      <c r="B3789" t="s">
        <v>247</v>
      </c>
      <c r="C3789" t="s">
        <v>341</v>
      </c>
      <c r="D3789" t="s">
        <v>452</v>
      </c>
      <c r="E3789" t="s">
        <v>697</v>
      </c>
      <c r="F3789" t="s">
        <v>2495</v>
      </c>
      <c r="G3789" t="s">
        <v>7047</v>
      </c>
      <c r="H3789" t="s">
        <v>12624</v>
      </c>
      <c r="J3789" t="s">
        <v>18901</v>
      </c>
      <c r="K3789">
        <v>11434</v>
      </c>
      <c r="L3789" t="s">
        <v>18958</v>
      </c>
      <c r="M3789" t="s">
        <v>18958</v>
      </c>
      <c r="N3789" t="s">
        <v>21843</v>
      </c>
      <c r="O3789" t="s">
        <v>26524</v>
      </c>
      <c r="P3789" t="s">
        <v>26560</v>
      </c>
      <c r="Q3789" t="s">
        <v>26568</v>
      </c>
      <c r="R3789" t="s">
        <v>26585</v>
      </c>
      <c r="S3789" t="s">
        <v>18959</v>
      </c>
      <c r="U3789" t="s">
        <v>26604</v>
      </c>
      <c r="W3789" t="s">
        <v>452</v>
      </c>
      <c r="X3789">
        <v>0</v>
      </c>
      <c r="Y3789" t="s">
        <v>26653</v>
      </c>
      <c r="Z3789" t="s">
        <v>26664</v>
      </c>
      <c r="AA3789" t="s">
        <v>26678</v>
      </c>
      <c r="AB3789" t="s">
        <v>29894</v>
      </c>
      <c r="AC3789" t="s">
        <v>35618</v>
      </c>
      <c r="AD3789" t="s">
        <v>40015</v>
      </c>
      <c r="AE3789">
        <v>1</v>
      </c>
      <c r="AF3789" t="s">
        <v>20460</v>
      </c>
      <c r="AG3789" t="s">
        <v>19330</v>
      </c>
      <c r="AH3789">
        <v>35</v>
      </c>
      <c r="AI3789">
        <v>1</v>
      </c>
      <c r="AJ3789">
        <v>1</v>
      </c>
      <c r="AK3789">
        <v>1.17</v>
      </c>
      <c r="AN3789" t="s">
        <v>7439</v>
      </c>
      <c r="AO3789">
        <v>192</v>
      </c>
      <c r="AR3789" t="s">
        <v>46379</v>
      </c>
      <c r="AS3789" t="s">
        <v>46501</v>
      </c>
      <c r="AT3789" t="s">
        <v>46618</v>
      </c>
      <c r="AU3789">
        <v>6.97</v>
      </c>
      <c r="AV3789" t="s">
        <v>699</v>
      </c>
      <c r="AW3789" t="s">
        <v>208</v>
      </c>
    </row>
    <row r="3790" spans="1:49">
      <c r="A3790" s="1">
        <f>HYPERLINK("https://lsnyc.legalserver.org/matter/dynamic-profile/view/1885347","18-1885347")</f>
        <v>0</v>
      </c>
      <c r="B3790" t="s">
        <v>258</v>
      </c>
      <c r="C3790" t="s">
        <v>341</v>
      </c>
      <c r="D3790" t="s">
        <v>452</v>
      </c>
      <c r="E3790" t="s">
        <v>705</v>
      </c>
      <c r="F3790" t="s">
        <v>2112</v>
      </c>
      <c r="G3790" t="s">
        <v>7048</v>
      </c>
      <c r="H3790" t="s">
        <v>12625</v>
      </c>
      <c r="I3790" t="s">
        <v>17375</v>
      </c>
      <c r="J3790" t="s">
        <v>18913</v>
      </c>
      <c r="K3790">
        <v>11102</v>
      </c>
      <c r="L3790" t="s">
        <v>18958</v>
      </c>
      <c r="M3790" t="s">
        <v>18958</v>
      </c>
      <c r="N3790" t="s">
        <v>21844</v>
      </c>
      <c r="O3790" t="s">
        <v>26524</v>
      </c>
      <c r="P3790" t="s">
        <v>26564</v>
      </c>
      <c r="Q3790" t="s">
        <v>26570</v>
      </c>
      <c r="R3790" t="s">
        <v>26584</v>
      </c>
      <c r="S3790" t="s">
        <v>18959</v>
      </c>
      <c r="U3790" t="s">
        <v>26604</v>
      </c>
      <c r="V3790" t="s">
        <v>26610</v>
      </c>
      <c r="W3790" t="s">
        <v>452</v>
      </c>
      <c r="X3790">
        <v>1956</v>
      </c>
      <c r="Y3790" t="s">
        <v>26653</v>
      </c>
      <c r="Z3790" t="s">
        <v>26664</v>
      </c>
      <c r="AA3790" t="s">
        <v>26683</v>
      </c>
      <c r="AB3790" t="s">
        <v>29895</v>
      </c>
      <c r="AC3790" t="s">
        <v>35619</v>
      </c>
      <c r="AD3790" t="s">
        <v>40016</v>
      </c>
      <c r="AE3790">
        <v>2</v>
      </c>
      <c r="AF3790" t="s">
        <v>20460</v>
      </c>
      <c r="AG3790" t="s">
        <v>45558</v>
      </c>
      <c r="AH3790">
        <v>3</v>
      </c>
      <c r="AI3790">
        <v>2</v>
      </c>
      <c r="AJ3790">
        <v>2</v>
      </c>
      <c r="AK3790">
        <v>109.32</v>
      </c>
      <c r="AN3790" t="s">
        <v>45581</v>
      </c>
      <c r="AO3790">
        <v>27439.36</v>
      </c>
      <c r="AU3790">
        <v>1.5</v>
      </c>
      <c r="AV3790" t="s">
        <v>689</v>
      </c>
      <c r="AW3790" t="s">
        <v>208</v>
      </c>
    </row>
    <row r="3791" spans="1:49">
      <c r="A3791" s="1">
        <f>HYPERLINK("https://lsnyc.legalserver.org/matter/dynamic-profile/view/1885368","18-1885368")</f>
        <v>0</v>
      </c>
      <c r="B3791" t="s">
        <v>140</v>
      </c>
      <c r="C3791" t="s">
        <v>341</v>
      </c>
      <c r="D3791" t="s">
        <v>452</v>
      </c>
      <c r="E3791" t="s">
        <v>697</v>
      </c>
      <c r="F3791" t="s">
        <v>2790</v>
      </c>
      <c r="G3791" t="s">
        <v>7049</v>
      </c>
      <c r="H3791" t="s">
        <v>12626</v>
      </c>
      <c r="I3791" t="s">
        <v>18013</v>
      </c>
      <c r="J3791" t="s">
        <v>18894</v>
      </c>
      <c r="K3791">
        <v>11235</v>
      </c>
      <c r="L3791" t="s">
        <v>18958</v>
      </c>
      <c r="M3791" t="s">
        <v>18958</v>
      </c>
      <c r="N3791" t="s">
        <v>21845</v>
      </c>
      <c r="O3791" t="s">
        <v>26524</v>
      </c>
      <c r="P3791" t="s">
        <v>26564</v>
      </c>
      <c r="Q3791" t="s">
        <v>26570</v>
      </c>
      <c r="R3791" t="s">
        <v>26586</v>
      </c>
      <c r="S3791" t="s">
        <v>18959</v>
      </c>
      <c r="U3791" t="s">
        <v>26604</v>
      </c>
      <c r="V3791" t="s">
        <v>26610</v>
      </c>
      <c r="W3791" t="s">
        <v>452</v>
      </c>
      <c r="X3791">
        <v>1450</v>
      </c>
      <c r="Y3791" t="s">
        <v>26652</v>
      </c>
      <c r="Z3791" t="s">
        <v>26664</v>
      </c>
      <c r="AA3791" t="s">
        <v>26683</v>
      </c>
      <c r="AB3791" t="s">
        <v>29896</v>
      </c>
      <c r="AD3791" t="s">
        <v>40017</v>
      </c>
      <c r="AE3791">
        <v>2</v>
      </c>
      <c r="AF3791" t="s">
        <v>45547</v>
      </c>
      <c r="AH3791">
        <v>2</v>
      </c>
      <c r="AI3791">
        <v>1</v>
      </c>
      <c r="AJ3791">
        <v>0</v>
      </c>
      <c r="AK3791">
        <v>77</v>
      </c>
      <c r="AN3791" t="s">
        <v>7439</v>
      </c>
      <c r="AO3791">
        <v>9348</v>
      </c>
      <c r="AU3791">
        <v>2.3</v>
      </c>
      <c r="AV3791" t="s">
        <v>689</v>
      </c>
      <c r="AW3791" t="s">
        <v>46862</v>
      </c>
    </row>
    <row r="3792" spans="1:49">
      <c r="A3792" s="1">
        <f>HYPERLINK("https://lsnyc.legalserver.org/matter/dynamic-profile/view/1885362","18-1885362")</f>
        <v>0</v>
      </c>
      <c r="B3792" t="s">
        <v>79</v>
      </c>
      <c r="C3792" t="s">
        <v>341</v>
      </c>
      <c r="D3792" t="s">
        <v>452</v>
      </c>
      <c r="E3792" t="s">
        <v>707</v>
      </c>
      <c r="F3792" t="s">
        <v>1083</v>
      </c>
      <c r="G3792" t="s">
        <v>5885</v>
      </c>
      <c r="H3792" t="s">
        <v>12627</v>
      </c>
      <c r="I3792" t="s">
        <v>18014</v>
      </c>
      <c r="J3792" t="s">
        <v>18893</v>
      </c>
      <c r="K3792">
        <v>10034</v>
      </c>
      <c r="L3792" t="s">
        <v>18958</v>
      </c>
      <c r="M3792" t="s">
        <v>18958</v>
      </c>
      <c r="O3792" t="s">
        <v>26529</v>
      </c>
      <c r="P3792" t="s">
        <v>26564</v>
      </c>
      <c r="Q3792" t="s">
        <v>26570</v>
      </c>
      <c r="R3792" t="s">
        <v>26578</v>
      </c>
      <c r="S3792" t="s">
        <v>18959</v>
      </c>
      <c r="U3792" t="s">
        <v>26604</v>
      </c>
      <c r="W3792" t="s">
        <v>452</v>
      </c>
      <c r="X3792">
        <v>912.6900000000001</v>
      </c>
      <c r="Y3792" t="s">
        <v>26651</v>
      </c>
      <c r="Z3792" t="s">
        <v>26661</v>
      </c>
      <c r="AA3792" t="s">
        <v>26683</v>
      </c>
      <c r="AB3792" t="s">
        <v>29897</v>
      </c>
      <c r="AE3792">
        <v>78</v>
      </c>
      <c r="AF3792" t="s">
        <v>45541</v>
      </c>
      <c r="AG3792" t="s">
        <v>19330</v>
      </c>
      <c r="AH3792">
        <v>20</v>
      </c>
      <c r="AI3792">
        <v>2</v>
      </c>
      <c r="AJ3792">
        <v>3</v>
      </c>
      <c r="AK3792">
        <v>19.39</v>
      </c>
      <c r="AN3792" t="s">
        <v>7439</v>
      </c>
      <c r="AO3792">
        <v>5706</v>
      </c>
      <c r="AU3792">
        <v>4.8</v>
      </c>
      <c r="AV3792" t="s">
        <v>692</v>
      </c>
      <c r="AW3792" t="s">
        <v>46840</v>
      </c>
    </row>
    <row r="3793" spans="1:50">
      <c r="A3793" s="1">
        <f>HYPERLINK("https://lsnyc.legalserver.org/matter/dynamic-profile/view/1885373","18-1885373")</f>
        <v>0</v>
      </c>
      <c r="B3793" t="s">
        <v>141</v>
      </c>
      <c r="C3793" t="s">
        <v>341</v>
      </c>
      <c r="D3793" t="s">
        <v>452</v>
      </c>
      <c r="E3793" t="s">
        <v>689</v>
      </c>
      <c r="F3793" t="s">
        <v>2791</v>
      </c>
      <c r="G3793" t="s">
        <v>7050</v>
      </c>
      <c r="H3793" t="s">
        <v>12628</v>
      </c>
      <c r="I3793" t="s">
        <v>17316</v>
      </c>
      <c r="J3793" t="s">
        <v>18923</v>
      </c>
      <c r="K3793">
        <v>11418</v>
      </c>
      <c r="L3793" t="s">
        <v>18958</v>
      </c>
      <c r="M3793" t="s">
        <v>18958</v>
      </c>
      <c r="N3793" t="s">
        <v>19045</v>
      </c>
      <c r="O3793" t="s">
        <v>18997</v>
      </c>
      <c r="P3793" t="s">
        <v>26564</v>
      </c>
      <c r="Q3793" t="s">
        <v>26570</v>
      </c>
      <c r="R3793" t="s">
        <v>26589</v>
      </c>
      <c r="S3793" t="s">
        <v>18959</v>
      </c>
      <c r="U3793" t="s">
        <v>26604</v>
      </c>
      <c r="V3793" t="s">
        <v>26610</v>
      </c>
      <c r="W3793" t="s">
        <v>452</v>
      </c>
      <c r="X3793">
        <v>1950</v>
      </c>
      <c r="Y3793" t="s">
        <v>26653</v>
      </c>
      <c r="Z3793" t="s">
        <v>26671</v>
      </c>
      <c r="AA3793" t="s">
        <v>26683</v>
      </c>
      <c r="AB3793" t="s">
        <v>28429</v>
      </c>
      <c r="AC3793" t="s">
        <v>19330</v>
      </c>
      <c r="AD3793" t="s">
        <v>34738</v>
      </c>
      <c r="AE3793">
        <v>18</v>
      </c>
      <c r="AF3793" t="s">
        <v>45547</v>
      </c>
      <c r="AG3793" t="s">
        <v>19330</v>
      </c>
      <c r="AH3793">
        <v>1</v>
      </c>
      <c r="AI3793">
        <v>1</v>
      </c>
      <c r="AJ3793">
        <v>0</v>
      </c>
      <c r="AK3793">
        <v>370.68</v>
      </c>
      <c r="AL3793" t="s">
        <v>45567</v>
      </c>
      <c r="AM3793" t="s">
        <v>45577</v>
      </c>
      <c r="AN3793" t="s">
        <v>7439</v>
      </c>
      <c r="AO3793">
        <v>45000</v>
      </c>
      <c r="AU3793">
        <v>1.9</v>
      </c>
      <c r="AV3793" t="s">
        <v>689</v>
      </c>
      <c r="AW3793" t="s">
        <v>141</v>
      </c>
    </row>
    <row r="3794" spans="1:50">
      <c r="A3794" s="1">
        <f>HYPERLINK("https://lsnyc.legalserver.org/matter/dynamic-profile/view/1885385","18-1885385")</f>
        <v>0</v>
      </c>
      <c r="B3794" t="s">
        <v>141</v>
      </c>
      <c r="C3794" t="s">
        <v>341</v>
      </c>
      <c r="D3794" t="s">
        <v>452</v>
      </c>
      <c r="E3794" t="s">
        <v>805</v>
      </c>
      <c r="F3794" t="s">
        <v>899</v>
      </c>
      <c r="G3794" t="s">
        <v>7051</v>
      </c>
      <c r="H3794" t="s">
        <v>9888</v>
      </c>
      <c r="I3794" t="s">
        <v>18015</v>
      </c>
      <c r="J3794" t="s">
        <v>18898</v>
      </c>
      <c r="K3794">
        <v>11691</v>
      </c>
      <c r="L3794" t="s">
        <v>18958</v>
      </c>
      <c r="M3794" t="s">
        <v>18958</v>
      </c>
      <c r="N3794" t="s">
        <v>21846</v>
      </c>
      <c r="O3794" t="s">
        <v>26523</v>
      </c>
      <c r="P3794" t="s">
        <v>26560</v>
      </c>
      <c r="Q3794" t="s">
        <v>26568</v>
      </c>
      <c r="R3794" t="s">
        <v>26578</v>
      </c>
      <c r="S3794" t="s">
        <v>18959</v>
      </c>
      <c r="U3794" t="s">
        <v>26604</v>
      </c>
      <c r="V3794" t="s">
        <v>26610</v>
      </c>
      <c r="W3794" t="s">
        <v>452</v>
      </c>
      <c r="X3794">
        <v>1497</v>
      </c>
      <c r="Y3794" t="s">
        <v>26653</v>
      </c>
      <c r="Z3794" t="s">
        <v>26659</v>
      </c>
      <c r="AA3794" t="s">
        <v>26678</v>
      </c>
      <c r="AB3794" t="s">
        <v>29898</v>
      </c>
      <c r="AC3794" t="s">
        <v>35620</v>
      </c>
      <c r="AD3794" t="s">
        <v>40018</v>
      </c>
      <c r="AE3794">
        <v>231</v>
      </c>
      <c r="AF3794" t="s">
        <v>45550</v>
      </c>
      <c r="AG3794" t="s">
        <v>45556</v>
      </c>
      <c r="AH3794">
        <v>35</v>
      </c>
      <c r="AI3794">
        <v>1</v>
      </c>
      <c r="AJ3794">
        <v>3</v>
      </c>
      <c r="AK3794">
        <v>0</v>
      </c>
      <c r="AN3794" t="s">
        <v>7439</v>
      </c>
      <c r="AO3794">
        <v>0</v>
      </c>
      <c r="AQ3794" t="s">
        <v>46362</v>
      </c>
      <c r="AR3794" t="s">
        <v>46481</v>
      </c>
      <c r="AS3794" t="s">
        <v>46499</v>
      </c>
      <c r="AT3794" t="s">
        <v>46707</v>
      </c>
      <c r="AU3794">
        <v>8.6</v>
      </c>
      <c r="AV3794" t="s">
        <v>574</v>
      </c>
      <c r="AW3794" t="s">
        <v>208</v>
      </c>
      <c r="AX3794" t="s">
        <v>46897</v>
      </c>
    </row>
    <row r="3795" spans="1:50">
      <c r="A3795" s="1">
        <f>HYPERLINK("https://lsnyc.legalserver.org/matter/dynamic-profile/view/1885383","18-1885383")</f>
        <v>0</v>
      </c>
      <c r="B3795" t="s">
        <v>214</v>
      </c>
      <c r="C3795" t="s">
        <v>341</v>
      </c>
      <c r="D3795" t="s">
        <v>452</v>
      </c>
      <c r="E3795" t="s">
        <v>689</v>
      </c>
      <c r="F3795" t="s">
        <v>2792</v>
      </c>
      <c r="G3795" t="s">
        <v>2749</v>
      </c>
      <c r="H3795" t="s">
        <v>12629</v>
      </c>
      <c r="I3795" t="s">
        <v>17416</v>
      </c>
      <c r="J3795" t="s">
        <v>18918</v>
      </c>
      <c r="K3795">
        <v>11417</v>
      </c>
      <c r="L3795" t="s">
        <v>18958</v>
      </c>
      <c r="M3795" t="s">
        <v>18958</v>
      </c>
      <c r="N3795" t="s">
        <v>21847</v>
      </c>
      <c r="O3795" t="s">
        <v>26524</v>
      </c>
      <c r="P3795" t="s">
        <v>26564</v>
      </c>
      <c r="Q3795" t="s">
        <v>26570</v>
      </c>
      <c r="R3795" t="s">
        <v>26578</v>
      </c>
      <c r="S3795" t="s">
        <v>18959</v>
      </c>
      <c r="U3795" t="s">
        <v>26604</v>
      </c>
      <c r="V3795" t="s">
        <v>26610</v>
      </c>
      <c r="W3795" t="s">
        <v>452</v>
      </c>
      <c r="X3795">
        <v>1750</v>
      </c>
      <c r="Y3795" t="s">
        <v>26653</v>
      </c>
      <c r="Z3795" t="s">
        <v>26664</v>
      </c>
      <c r="AA3795" t="s">
        <v>26683</v>
      </c>
      <c r="AB3795" t="s">
        <v>29899</v>
      </c>
      <c r="AC3795" t="s">
        <v>35621</v>
      </c>
      <c r="AD3795" t="s">
        <v>40019</v>
      </c>
      <c r="AE3795">
        <v>2</v>
      </c>
      <c r="AF3795" t="s">
        <v>45547</v>
      </c>
      <c r="AG3795" t="s">
        <v>19330</v>
      </c>
      <c r="AH3795">
        <v>1</v>
      </c>
      <c r="AI3795">
        <v>1</v>
      </c>
      <c r="AJ3795">
        <v>1</v>
      </c>
      <c r="AK3795">
        <v>0</v>
      </c>
      <c r="AN3795" t="s">
        <v>7439</v>
      </c>
      <c r="AO3795">
        <v>0</v>
      </c>
      <c r="AU3795">
        <v>0.88</v>
      </c>
      <c r="AV3795" t="s">
        <v>689</v>
      </c>
      <c r="AW3795" t="s">
        <v>161</v>
      </c>
    </row>
    <row r="3796" spans="1:50">
      <c r="A3796" s="1">
        <f>HYPERLINK("https://lsnyc.legalserver.org/matter/dynamic-profile/view/1885398","18-1885398")</f>
        <v>0</v>
      </c>
      <c r="B3796" t="s">
        <v>64</v>
      </c>
      <c r="C3796" t="s">
        <v>341</v>
      </c>
      <c r="D3796" t="s">
        <v>452</v>
      </c>
      <c r="E3796" t="s">
        <v>788</v>
      </c>
      <c r="F3796" t="s">
        <v>1069</v>
      </c>
      <c r="G3796" t="s">
        <v>5252</v>
      </c>
      <c r="H3796" t="s">
        <v>9841</v>
      </c>
      <c r="I3796" t="s">
        <v>17348</v>
      </c>
      <c r="J3796" t="s">
        <v>18892</v>
      </c>
      <c r="K3796">
        <v>10461</v>
      </c>
      <c r="L3796" t="s">
        <v>18958</v>
      </c>
      <c r="M3796" t="s">
        <v>18958</v>
      </c>
      <c r="O3796" t="s">
        <v>26539</v>
      </c>
      <c r="P3796" t="s">
        <v>26565</v>
      </c>
      <c r="Q3796" t="s">
        <v>26571</v>
      </c>
      <c r="R3796" t="s">
        <v>26578</v>
      </c>
      <c r="U3796" t="s">
        <v>26607</v>
      </c>
      <c r="V3796" t="s">
        <v>26610</v>
      </c>
      <c r="W3796" t="s">
        <v>452</v>
      </c>
      <c r="X3796">
        <v>800</v>
      </c>
      <c r="Y3796" t="s">
        <v>26650</v>
      </c>
      <c r="Z3796" t="s">
        <v>26659</v>
      </c>
      <c r="AA3796" t="s">
        <v>26682</v>
      </c>
      <c r="AB3796" t="s">
        <v>26927</v>
      </c>
      <c r="AC3796" t="s">
        <v>34556</v>
      </c>
      <c r="AD3796" t="s">
        <v>37020</v>
      </c>
      <c r="AE3796">
        <v>0</v>
      </c>
      <c r="AF3796" t="s">
        <v>45541</v>
      </c>
      <c r="AG3796" t="s">
        <v>19330</v>
      </c>
      <c r="AH3796">
        <v>22</v>
      </c>
      <c r="AI3796">
        <v>1</v>
      </c>
      <c r="AJ3796">
        <v>0</v>
      </c>
      <c r="AK3796">
        <v>81.84999999999999</v>
      </c>
      <c r="AN3796" t="s">
        <v>7439</v>
      </c>
      <c r="AO3796">
        <v>9936</v>
      </c>
      <c r="AU3796">
        <v>1.8</v>
      </c>
      <c r="AV3796" t="s">
        <v>788</v>
      </c>
      <c r="AW3796" t="s">
        <v>46870</v>
      </c>
    </row>
    <row r="3797" spans="1:50">
      <c r="A3797" s="1">
        <f>HYPERLINK("https://lsnyc.legalserver.org/matter/dynamic-profile/view/1885334","18-1885334")</f>
        <v>0</v>
      </c>
      <c r="B3797" t="s">
        <v>102</v>
      </c>
      <c r="C3797" t="s">
        <v>341</v>
      </c>
      <c r="D3797" t="s">
        <v>452</v>
      </c>
      <c r="E3797" t="s">
        <v>690</v>
      </c>
      <c r="F3797" t="s">
        <v>1191</v>
      </c>
      <c r="G3797" t="s">
        <v>6103</v>
      </c>
      <c r="H3797" t="s">
        <v>12630</v>
      </c>
      <c r="J3797" t="s">
        <v>18902</v>
      </c>
      <c r="K3797">
        <v>10310</v>
      </c>
      <c r="L3797" t="s">
        <v>18958</v>
      </c>
      <c r="M3797" t="s">
        <v>18958</v>
      </c>
      <c r="N3797" t="s">
        <v>21848</v>
      </c>
      <c r="O3797" t="s">
        <v>26524</v>
      </c>
      <c r="P3797" t="s">
        <v>26560</v>
      </c>
      <c r="Q3797" t="s">
        <v>26568</v>
      </c>
      <c r="R3797" t="s">
        <v>26590</v>
      </c>
      <c r="S3797" t="s">
        <v>18959</v>
      </c>
      <c r="U3797" t="s">
        <v>26604</v>
      </c>
      <c r="V3797" t="s">
        <v>26610</v>
      </c>
      <c r="W3797" t="s">
        <v>452</v>
      </c>
      <c r="X3797">
        <v>0</v>
      </c>
      <c r="Y3797" t="s">
        <v>26654</v>
      </c>
      <c r="Z3797" t="s">
        <v>26668</v>
      </c>
      <c r="AA3797" t="s">
        <v>26678</v>
      </c>
      <c r="AB3797" t="s">
        <v>29900</v>
      </c>
      <c r="AD3797" t="s">
        <v>40020</v>
      </c>
      <c r="AE3797">
        <v>1</v>
      </c>
      <c r="AF3797" t="s">
        <v>45547</v>
      </c>
      <c r="AG3797" t="s">
        <v>19330</v>
      </c>
      <c r="AH3797">
        <v>20</v>
      </c>
      <c r="AI3797">
        <v>2</v>
      </c>
      <c r="AJ3797">
        <v>0</v>
      </c>
      <c r="AK3797">
        <v>247.87</v>
      </c>
      <c r="AL3797" t="s">
        <v>712</v>
      </c>
      <c r="AM3797" t="s">
        <v>45575</v>
      </c>
      <c r="AN3797" t="s">
        <v>7439</v>
      </c>
      <c r="AO3797">
        <v>40800</v>
      </c>
      <c r="AS3797" t="s">
        <v>46499</v>
      </c>
      <c r="AT3797" t="s">
        <v>46688</v>
      </c>
      <c r="AU3797">
        <v>3.8</v>
      </c>
      <c r="AV3797" t="s">
        <v>694</v>
      </c>
      <c r="AW3797" t="s">
        <v>185</v>
      </c>
    </row>
    <row r="3798" spans="1:50">
      <c r="A3798" s="1">
        <f>HYPERLINK("https://lsnyc.legalserver.org/matter/dynamic-profile/view/1885802","18-1885802")</f>
        <v>0</v>
      </c>
      <c r="B3798" t="s">
        <v>270</v>
      </c>
      <c r="C3798" t="s">
        <v>341</v>
      </c>
      <c r="D3798" t="s">
        <v>452</v>
      </c>
      <c r="E3798" t="s">
        <v>763</v>
      </c>
      <c r="F3798" t="s">
        <v>1219</v>
      </c>
      <c r="G3798" t="s">
        <v>7052</v>
      </c>
      <c r="H3798" t="s">
        <v>12631</v>
      </c>
      <c r="I3798" t="s">
        <v>17346</v>
      </c>
      <c r="J3798" t="s">
        <v>18892</v>
      </c>
      <c r="K3798">
        <v>10453</v>
      </c>
      <c r="L3798" t="s">
        <v>18958</v>
      </c>
      <c r="M3798" t="s">
        <v>18958</v>
      </c>
      <c r="N3798" t="s">
        <v>21849</v>
      </c>
      <c r="O3798" t="s">
        <v>26523</v>
      </c>
      <c r="P3798" t="s">
        <v>26560</v>
      </c>
      <c r="Q3798" t="s">
        <v>26568</v>
      </c>
      <c r="R3798" t="s">
        <v>26577</v>
      </c>
      <c r="S3798" t="s">
        <v>18959</v>
      </c>
      <c r="U3798" t="s">
        <v>26604</v>
      </c>
      <c r="V3798" t="s">
        <v>26610</v>
      </c>
      <c r="W3798" t="s">
        <v>452</v>
      </c>
      <c r="X3798">
        <v>850</v>
      </c>
      <c r="Y3798" t="s">
        <v>26650</v>
      </c>
      <c r="Z3798" t="s">
        <v>26664</v>
      </c>
      <c r="AA3798" t="s">
        <v>26680</v>
      </c>
      <c r="AB3798" t="s">
        <v>29901</v>
      </c>
      <c r="AC3798" t="s">
        <v>35622</v>
      </c>
      <c r="AD3798" t="s">
        <v>40021</v>
      </c>
      <c r="AE3798">
        <v>50</v>
      </c>
      <c r="AF3798" t="s">
        <v>45541</v>
      </c>
      <c r="AG3798" t="s">
        <v>26530</v>
      </c>
      <c r="AH3798">
        <v>29</v>
      </c>
      <c r="AI3798">
        <v>1</v>
      </c>
      <c r="AJ3798">
        <v>0</v>
      </c>
      <c r="AK3798">
        <v>77.69</v>
      </c>
      <c r="AN3798" t="s">
        <v>45581</v>
      </c>
      <c r="AO3798">
        <v>9432</v>
      </c>
      <c r="AR3798" t="s">
        <v>46401</v>
      </c>
      <c r="AS3798" t="s">
        <v>46499</v>
      </c>
      <c r="AT3798" t="s">
        <v>46606</v>
      </c>
      <c r="AU3798">
        <v>23.7</v>
      </c>
      <c r="AV3798" t="s">
        <v>760</v>
      </c>
      <c r="AW3798" t="s">
        <v>46847</v>
      </c>
    </row>
    <row r="3799" spans="1:50">
      <c r="A3799" s="1">
        <f>HYPERLINK("https://lsnyc.legalserver.org/matter/dynamic-profile/view/1885366","18-1885366")</f>
        <v>0</v>
      </c>
      <c r="B3799" t="s">
        <v>218</v>
      </c>
      <c r="C3799" t="s">
        <v>341</v>
      </c>
      <c r="D3799" t="s">
        <v>452</v>
      </c>
      <c r="E3799" t="s">
        <v>707</v>
      </c>
      <c r="F3799" t="s">
        <v>2793</v>
      </c>
      <c r="G3799" t="s">
        <v>6269</v>
      </c>
      <c r="H3799" t="s">
        <v>12632</v>
      </c>
      <c r="I3799" t="s">
        <v>17355</v>
      </c>
      <c r="J3799" t="s">
        <v>18893</v>
      </c>
      <c r="K3799">
        <v>10033</v>
      </c>
      <c r="L3799" t="s">
        <v>18958</v>
      </c>
      <c r="M3799" t="s">
        <v>18958</v>
      </c>
      <c r="O3799" t="s">
        <v>18997</v>
      </c>
      <c r="P3799" t="s">
        <v>26564</v>
      </c>
      <c r="Q3799" t="s">
        <v>26570</v>
      </c>
      <c r="R3799" t="s">
        <v>26578</v>
      </c>
      <c r="S3799" t="s">
        <v>18959</v>
      </c>
      <c r="U3799" t="s">
        <v>26604</v>
      </c>
      <c r="W3799" t="s">
        <v>452</v>
      </c>
      <c r="X3799">
        <v>390</v>
      </c>
      <c r="Y3799" t="s">
        <v>26651</v>
      </c>
      <c r="Z3799" t="s">
        <v>26661</v>
      </c>
      <c r="AA3799" t="s">
        <v>26683</v>
      </c>
      <c r="AB3799" t="s">
        <v>29902</v>
      </c>
      <c r="AD3799" t="s">
        <v>40022</v>
      </c>
      <c r="AE3799">
        <v>0</v>
      </c>
      <c r="AF3799" t="s">
        <v>45541</v>
      </c>
      <c r="AG3799" t="s">
        <v>19330</v>
      </c>
      <c r="AH3799">
        <v>4</v>
      </c>
      <c r="AI3799">
        <v>1</v>
      </c>
      <c r="AJ3799">
        <v>2</v>
      </c>
      <c r="AK3799">
        <v>112.49</v>
      </c>
      <c r="AN3799" t="s">
        <v>7439</v>
      </c>
      <c r="AO3799">
        <v>23376</v>
      </c>
      <c r="AU3799">
        <v>1.3</v>
      </c>
      <c r="AV3799" t="s">
        <v>697</v>
      </c>
      <c r="AW3799" t="s">
        <v>46840</v>
      </c>
    </row>
    <row r="3800" spans="1:50">
      <c r="A3800" s="1">
        <f>HYPERLINK("https://lsnyc.legalserver.org/matter/dynamic-profile/view/1885376","18-1885376")</f>
        <v>0</v>
      </c>
      <c r="B3800" t="s">
        <v>263</v>
      </c>
      <c r="C3800" t="s">
        <v>341</v>
      </c>
      <c r="D3800" t="s">
        <v>452</v>
      </c>
      <c r="E3800" t="s">
        <v>684</v>
      </c>
      <c r="F3800" t="s">
        <v>1972</v>
      </c>
      <c r="G3800" t="s">
        <v>5639</v>
      </c>
      <c r="H3800" t="s">
        <v>12633</v>
      </c>
      <c r="I3800">
        <v>1</v>
      </c>
      <c r="J3800" t="s">
        <v>18892</v>
      </c>
      <c r="K3800">
        <v>10456</v>
      </c>
      <c r="L3800" t="s">
        <v>18958</v>
      </c>
      <c r="M3800" t="s">
        <v>18958</v>
      </c>
      <c r="O3800" t="s">
        <v>18997</v>
      </c>
      <c r="P3800" t="s">
        <v>26565</v>
      </c>
      <c r="Q3800" t="s">
        <v>26571</v>
      </c>
      <c r="R3800" t="s">
        <v>26578</v>
      </c>
      <c r="S3800" t="s">
        <v>18959</v>
      </c>
      <c r="U3800" t="s">
        <v>26604</v>
      </c>
      <c r="W3800" t="s">
        <v>452</v>
      </c>
      <c r="X3800">
        <v>1375</v>
      </c>
      <c r="Y3800" t="s">
        <v>26650</v>
      </c>
      <c r="Z3800" t="s">
        <v>26666</v>
      </c>
      <c r="AA3800" t="s">
        <v>26683</v>
      </c>
      <c r="AB3800" t="s">
        <v>29903</v>
      </c>
      <c r="AC3800" t="s">
        <v>35623</v>
      </c>
      <c r="AD3800" t="s">
        <v>40023</v>
      </c>
      <c r="AE3800">
        <v>42</v>
      </c>
      <c r="AF3800" t="s">
        <v>45541</v>
      </c>
      <c r="AG3800" t="s">
        <v>45557</v>
      </c>
      <c r="AH3800">
        <v>25</v>
      </c>
      <c r="AI3800">
        <v>1</v>
      </c>
      <c r="AJ3800">
        <v>1</v>
      </c>
      <c r="AK3800">
        <v>69.91</v>
      </c>
      <c r="AN3800" t="s">
        <v>7439</v>
      </c>
      <c r="AO3800">
        <v>11508</v>
      </c>
      <c r="AU3800">
        <v>0.75</v>
      </c>
      <c r="AV3800" t="s">
        <v>684</v>
      </c>
      <c r="AW3800" t="s">
        <v>263</v>
      </c>
    </row>
    <row r="3801" spans="1:50">
      <c r="A3801" s="1">
        <f>HYPERLINK("https://lsnyc.legalserver.org/matter/dynamic-profile/view/1885380","18-1885380")</f>
        <v>0</v>
      </c>
      <c r="B3801" t="s">
        <v>263</v>
      </c>
      <c r="C3801" t="s">
        <v>341</v>
      </c>
      <c r="D3801" t="s">
        <v>452</v>
      </c>
      <c r="E3801" t="s">
        <v>684</v>
      </c>
      <c r="F3801" t="s">
        <v>2794</v>
      </c>
      <c r="G3801" t="s">
        <v>5221</v>
      </c>
      <c r="H3801" t="s">
        <v>12634</v>
      </c>
      <c r="I3801" t="s">
        <v>17389</v>
      </c>
      <c r="J3801" t="s">
        <v>18892</v>
      </c>
      <c r="K3801">
        <v>10452</v>
      </c>
      <c r="L3801" t="s">
        <v>18958</v>
      </c>
      <c r="M3801" t="s">
        <v>18958</v>
      </c>
      <c r="O3801" t="s">
        <v>18997</v>
      </c>
      <c r="P3801" t="s">
        <v>26565</v>
      </c>
      <c r="Q3801" t="s">
        <v>26571</v>
      </c>
      <c r="R3801" t="s">
        <v>26578</v>
      </c>
      <c r="S3801" t="s">
        <v>18959</v>
      </c>
      <c r="U3801" t="s">
        <v>26604</v>
      </c>
      <c r="W3801" t="s">
        <v>452</v>
      </c>
      <c r="X3801">
        <v>1277.64</v>
      </c>
      <c r="Y3801" t="s">
        <v>26650</v>
      </c>
      <c r="Z3801" t="s">
        <v>26530</v>
      </c>
      <c r="AA3801" t="s">
        <v>26683</v>
      </c>
      <c r="AB3801" t="s">
        <v>29904</v>
      </c>
      <c r="AD3801" t="s">
        <v>40024</v>
      </c>
      <c r="AE3801">
        <v>129</v>
      </c>
      <c r="AF3801" t="s">
        <v>45541</v>
      </c>
      <c r="AG3801" t="s">
        <v>19330</v>
      </c>
      <c r="AH3801">
        <v>20</v>
      </c>
      <c r="AI3801">
        <v>2</v>
      </c>
      <c r="AJ3801">
        <v>0</v>
      </c>
      <c r="AK3801">
        <v>364.52</v>
      </c>
      <c r="AN3801" t="s">
        <v>7439</v>
      </c>
      <c r="AO3801">
        <v>60000</v>
      </c>
      <c r="AU3801">
        <v>0.75</v>
      </c>
      <c r="AV3801" t="s">
        <v>684</v>
      </c>
      <c r="AW3801" t="s">
        <v>263</v>
      </c>
    </row>
    <row r="3802" spans="1:50">
      <c r="A3802" s="1">
        <f>HYPERLINK("https://lsnyc.legalserver.org/matter/dynamic-profile/view/1885356","18-1885356")</f>
        <v>0</v>
      </c>
      <c r="B3802" t="s">
        <v>103</v>
      </c>
      <c r="C3802" t="s">
        <v>341</v>
      </c>
      <c r="D3802" t="s">
        <v>452</v>
      </c>
      <c r="E3802" t="s">
        <v>788</v>
      </c>
      <c r="F3802" t="s">
        <v>2795</v>
      </c>
      <c r="G3802" t="s">
        <v>5655</v>
      </c>
      <c r="H3802" t="s">
        <v>12635</v>
      </c>
      <c r="I3802" t="s">
        <v>17360</v>
      </c>
      <c r="J3802" t="s">
        <v>18902</v>
      </c>
      <c r="K3802">
        <v>10303</v>
      </c>
      <c r="L3802" t="s">
        <v>18958</v>
      </c>
      <c r="M3802" t="s">
        <v>18958</v>
      </c>
      <c r="N3802" t="s">
        <v>21850</v>
      </c>
      <c r="O3802" t="s">
        <v>26523</v>
      </c>
      <c r="P3802" t="s">
        <v>26560</v>
      </c>
      <c r="Q3802" t="s">
        <v>26568</v>
      </c>
      <c r="R3802" t="s">
        <v>26590</v>
      </c>
      <c r="S3802" t="s">
        <v>18959</v>
      </c>
      <c r="U3802" t="s">
        <v>26605</v>
      </c>
      <c r="V3802" t="s">
        <v>26610</v>
      </c>
      <c r="W3802" t="s">
        <v>452</v>
      </c>
      <c r="X3802">
        <v>770</v>
      </c>
      <c r="Y3802" t="s">
        <v>26654</v>
      </c>
      <c r="Z3802" t="s">
        <v>26668</v>
      </c>
      <c r="AA3802" t="s">
        <v>26680</v>
      </c>
      <c r="AB3802" t="s">
        <v>29905</v>
      </c>
      <c r="AD3802" t="s">
        <v>40025</v>
      </c>
      <c r="AE3802">
        <v>0</v>
      </c>
      <c r="AF3802" t="s">
        <v>45542</v>
      </c>
      <c r="AG3802" t="s">
        <v>45556</v>
      </c>
      <c r="AH3802">
        <v>2</v>
      </c>
      <c r="AI3802">
        <v>1</v>
      </c>
      <c r="AJ3802">
        <v>0</v>
      </c>
      <c r="AK3802">
        <v>192.75</v>
      </c>
      <c r="AN3802" t="s">
        <v>7439</v>
      </c>
      <c r="AO3802">
        <v>23400</v>
      </c>
      <c r="AQ3802" t="s">
        <v>46365</v>
      </c>
      <c r="AR3802" t="s">
        <v>46379</v>
      </c>
      <c r="AS3802" t="s">
        <v>46499</v>
      </c>
      <c r="AT3802" t="s">
        <v>46623</v>
      </c>
      <c r="AU3802">
        <v>11.6</v>
      </c>
      <c r="AV3802" t="s">
        <v>788</v>
      </c>
      <c r="AW3802" t="s">
        <v>185</v>
      </c>
    </row>
    <row r="3803" spans="1:50">
      <c r="A3803" s="1">
        <f>HYPERLINK("https://lsnyc.legalserver.org/matter/dynamic-profile/view/1885353","18-1885353")</f>
        <v>0</v>
      </c>
      <c r="B3803" t="s">
        <v>104</v>
      </c>
      <c r="C3803" t="s">
        <v>341</v>
      </c>
      <c r="D3803" t="s">
        <v>452</v>
      </c>
      <c r="E3803" t="s">
        <v>732</v>
      </c>
      <c r="F3803" t="s">
        <v>1471</v>
      </c>
      <c r="G3803" t="s">
        <v>6517</v>
      </c>
      <c r="H3803" t="s">
        <v>12636</v>
      </c>
      <c r="I3803" t="s">
        <v>17406</v>
      </c>
      <c r="J3803" t="s">
        <v>18902</v>
      </c>
      <c r="K3803">
        <v>10310</v>
      </c>
      <c r="L3803" t="s">
        <v>18958</v>
      </c>
      <c r="M3803" t="s">
        <v>18958</v>
      </c>
      <c r="N3803" t="s">
        <v>21851</v>
      </c>
      <c r="O3803" t="s">
        <v>26523</v>
      </c>
      <c r="P3803" t="s">
        <v>26560</v>
      </c>
      <c r="Q3803" t="s">
        <v>26568</v>
      </c>
      <c r="R3803" t="s">
        <v>26590</v>
      </c>
      <c r="S3803" t="s">
        <v>18959</v>
      </c>
      <c r="U3803" t="s">
        <v>26605</v>
      </c>
      <c r="V3803" t="s">
        <v>26612</v>
      </c>
      <c r="W3803" t="s">
        <v>452</v>
      </c>
      <c r="X3803">
        <v>546</v>
      </c>
      <c r="Y3803" t="s">
        <v>26654</v>
      </c>
      <c r="Z3803" t="s">
        <v>26668</v>
      </c>
      <c r="AA3803" t="s">
        <v>26680</v>
      </c>
      <c r="AB3803" t="s">
        <v>29906</v>
      </c>
      <c r="AD3803" t="s">
        <v>40026</v>
      </c>
      <c r="AE3803">
        <v>0</v>
      </c>
      <c r="AF3803" t="s">
        <v>45549</v>
      </c>
      <c r="AG3803" t="s">
        <v>45556</v>
      </c>
      <c r="AH3803">
        <v>1</v>
      </c>
      <c r="AI3803">
        <v>2</v>
      </c>
      <c r="AJ3803">
        <v>3</v>
      </c>
      <c r="AK3803">
        <v>46.91</v>
      </c>
      <c r="AN3803" t="s">
        <v>7439</v>
      </c>
      <c r="AO3803">
        <v>13800</v>
      </c>
      <c r="AR3803" t="s">
        <v>46379</v>
      </c>
      <c r="AS3803" t="s">
        <v>46499</v>
      </c>
      <c r="AT3803" t="s">
        <v>46507</v>
      </c>
      <c r="AU3803">
        <v>3.9</v>
      </c>
      <c r="AV3803" t="s">
        <v>685</v>
      </c>
      <c r="AW3803" t="s">
        <v>210</v>
      </c>
    </row>
    <row r="3804" spans="1:50">
      <c r="A3804" s="1">
        <f>HYPERLINK("https://lsnyc.legalserver.org/matter/dynamic-profile/view/1885357","18-1885357")</f>
        <v>0</v>
      </c>
      <c r="B3804" t="s">
        <v>104</v>
      </c>
      <c r="C3804" t="s">
        <v>341</v>
      </c>
      <c r="D3804" t="s">
        <v>452</v>
      </c>
      <c r="E3804" t="s">
        <v>830</v>
      </c>
      <c r="F3804" t="s">
        <v>2796</v>
      </c>
      <c r="G3804" t="s">
        <v>6151</v>
      </c>
      <c r="H3804" t="s">
        <v>12637</v>
      </c>
      <c r="I3804" t="s">
        <v>17268</v>
      </c>
      <c r="J3804" t="s">
        <v>18902</v>
      </c>
      <c r="K3804">
        <v>10310</v>
      </c>
      <c r="L3804" t="s">
        <v>18958</v>
      </c>
      <c r="M3804" t="s">
        <v>18958</v>
      </c>
      <c r="N3804" t="s">
        <v>21852</v>
      </c>
      <c r="O3804" t="s">
        <v>26523</v>
      </c>
      <c r="P3804" t="s">
        <v>26560</v>
      </c>
      <c r="Q3804" t="s">
        <v>26568</v>
      </c>
      <c r="R3804" t="s">
        <v>26590</v>
      </c>
      <c r="S3804" t="s">
        <v>18959</v>
      </c>
      <c r="U3804" t="s">
        <v>26605</v>
      </c>
      <c r="V3804" t="s">
        <v>26612</v>
      </c>
      <c r="W3804" t="s">
        <v>452</v>
      </c>
      <c r="X3804">
        <v>556</v>
      </c>
      <c r="Y3804" t="s">
        <v>26654</v>
      </c>
      <c r="Z3804" t="s">
        <v>26668</v>
      </c>
      <c r="AA3804" t="s">
        <v>26680</v>
      </c>
      <c r="AB3804" t="s">
        <v>29907</v>
      </c>
      <c r="AD3804" t="s">
        <v>40027</v>
      </c>
      <c r="AE3804">
        <v>0</v>
      </c>
      <c r="AF3804" t="s">
        <v>45549</v>
      </c>
      <c r="AG3804" t="s">
        <v>45556</v>
      </c>
      <c r="AH3804">
        <v>12</v>
      </c>
      <c r="AI3804">
        <v>1</v>
      </c>
      <c r="AJ3804">
        <v>3</v>
      </c>
      <c r="AK3804">
        <v>50.68</v>
      </c>
      <c r="AN3804" t="s">
        <v>7439</v>
      </c>
      <c r="AO3804">
        <v>12720</v>
      </c>
      <c r="AQ3804" t="s">
        <v>46365</v>
      </c>
      <c r="AR3804" t="s">
        <v>46379</v>
      </c>
      <c r="AS3804" t="s">
        <v>46499</v>
      </c>
      <c r="AT3804" t="s">
        <v>46646</v>
      </c>
      <c r="AU3804">
        <v>12.6</v>
      </c>
      <c r="AV3804" t="s">
        <v>771</v>
      </c>
      <c r="AW3804" t="s">
        <v>210</v>
      </c>
      <c r="AX3804" t="s">
        <v>46897</v>
      </c>
    </row>
    <row r="3805" spans="1:50">
      <c r="A3805" s="1">
        <f>HYPERLINK("https://lsnyc.legalserver.org/matter/dynamic-profile/view/1885396","18-1885396")</f>
        <v>0</v>
      </c>
      <c r="B3805" t="s">
        <v>235</v>
      </c>
      <c r="C3805" t="s">
        <v>341</v>
      </c>
      <c r="D3805" t="s">
        <v>452</v>
      </c>
      <c r="E3805" t="s">
        <v>805</v>
      </c>
      <c r="F3805" t="s">
        <v>2797</v>
      </c>
      <c r="G3805" t="s">
        <v>5464</v>
      </c>
      <c r="H3805" t="s">
        <v>12638</v>
      </c>
      <c r="I3805">
        <v>12</v>
      </c>
      <c r="J3805" t="s">
        <v>18916</v>
      </c>
      <c r="K3805">
        <v>11693</v>
      </c>
      <c r="L3805" t="s">
        <v>18958</v>
      </c>
      <c r="M3805" t="s">
        <v>18958</v>
      </c>
      <c r="N3805" t="s">
        <v>21853</v>
      </c>
      <c r="O3805" t="s">
        <v>26524</v>
      </c>
      <c r="P3805" t="s">
        <v>26560</v>
      </c>
      <c r="Q3805" t="s">
        <v>26575</v>
      </c>
      <c r="R3805" t="s">
        <v>26584</v>
      </c>
      <c r="S3805" t="s">
        <v>18959</v>
      </c>
      <c r="U3805" t="s">
        <v>26604</v>
      </c>
      <c r="V3805" t="s">
        <v>26612</v>
      </c>
      <c r="W3805" t="s">
        <v>452</v>
      </c>
      <c r="X3805">
        <v>1268</v>
      </c>
      <c r="Y3805" t="s">
        <v>26653</v>
      </c>
      <c r="Z3805" t="s">
        <v>26664</v>
      </c>
      <c r="AA3805" t="s">
        <v>26679</v>
      </c>
      <c r="AB3805" t="s">
        <v>29908</v>
      </c>
      <c r="AC3805" t="s">
        <v>35624</v>
      </c>
      <c r="AD3805" t="s">
        <v>40028</v>
      </c>
      <c r="AE3805">
        <v>2</v>
      </c>
      <c r="AF3805" t="s">
        <v>45547</v>
      </c>
      <c r="AG3805" t="s">
        <v>45557</v>
      </c>
      <c r="AH3805">
        <v>2</v>
      </c>
      <c r="AI3805">
        <v>1</v>
      </c>
      <c r="AJ3805">
        <v>2</v>
      </c>
      <c r="AK3805">
        <v>0</v>
      </c>
      <c r="AN3805" t="s">
        <v>7439</v>
      </c>
      <c r="AO3805">
        <v>0</v>
      </c>
      <c r="AQ3805" t="s">
        <v>46359</v>
      </c>
      <c r="AR3805" t="s">
        <v>26530</v>
      </c>
      <c r="AS3805" t="s">
        <v>46500</v>
      </c>
      <c r="AT3805" t="s">
        <v>46743</v>
      </c>
      <c r="AU3805">
        <v>44.7</v>
      </c>
      <c r="AV3805" t="s">
        <v>805</v>
      </c>
      <c r="AW3805" t="s">
        <v>161</v>
      </c>
      <c r="AX3805" t="s">
        <v>46897</v>
      </c>
    </row>
    <row r="3806" spans="1:50">
      <c r="A3806" s="1">
        <f>HYPERLINK("https://lsnyc.legalserver.org/matter/dynamic-profile/view/1885330","18-1885330")</f>
        <v>0</v>
      </c>
      <c r="B3806" t="s">
        <v>261</v>
      </c>
      <c r="C3806" t="s">
        <v>341</v>
      </c>
      <c r="D3806" t="s">
        <v>452</v>
      </c>
      <c r="E3806" t="s">
        <v>494</v>
      </c>
      <c r="F3806" t="s">
        <v>1031</v>
      </c>
      <c r="G3806" t="s">
        <v>5221</v>
      </c>
      <c r="H3806" t="s">
        <v>12639</v>
      </c>
      <c r="J3806" t="s">
        <v>18892</v>
      </c>
      <c r="K3806">
        <v>10456</v>
      </c>
      <c r="L3806" t="s">
        <v>18958</v>
      </c>
      <c r="M3806" t="s">
        <v>18958</v>
      </c>
      <c r="N3806" t="s">
        <v>19850</v>
      </c>
      <c r="O3806" t="s">
        <v>26523</v>
      </c>
      <c r="P3806" t="s">
        <v>26564</v>
      </c>
      <c r="Q3806" t="s">
        <v>26570</v>
      </c>
      <c r="R3806" t="s">
        <v>26578</v>
      </c>
      <c r="S3806" t="s">
        <v>18959</v>
      </c>
      <c r="U3806" t="s">
        <v>26604</v>
      </c>
      <c r="V3806" t="s">
        <v>26610</v>
      </c>
      <c r="W3806" t="s">
        <v>452</v>
      </c>
      <c r="X3806">
        <v>600</v>
      </c>
      <c r="Y3806" t="s">
        <v>26650</v>
      </c>
      <c r="Z3806" t="s">
        <v>26663</v>
      </c>
      <c r="AA3806" t="s">
        <v>26683</v>
      </c>
      <c r="AB3806" t="s">
        <v>29909</v>
      </c>
      <c r="AD3806" t="s">
        <v>40029</v>
      </c>
      <c r="AE3806">
        <v>0</v>
      </c>
      <c r="AF3806" t="s">
        <v>20460</v>
      </c>
      <c r="AG3806" t="s">
        <v>19330</v>
      </c>
      <c r="AH3806">
        <v>2</v>
      </c>
      <c r="AI3806">
        <v>1</v>
      </c>
      <c r="AJ3806">
        <v>0</v>
      </c>
      <c r="AK3806">
        <v>79.08</v>
      </c>
      <c r="AN3806" t="s">
        <v>7439</v>
      </c>
      <c r="AO3806">
        <v>9600</v>
      </c>
      <c r="AU3806">
        <v>1.7</v>
      </c>
      <c r="AV3806" t="s">
        <v>718</v>
      </c>
      <c r="AW3806" t="s">
        <v>261</v>
      </c>
    </row>
    <row r="3807" spans="1:50">
      <c r="A3807" s="1">
        <f>HYPERLINK("https://lsnyc.legalserver.org/matter/dynamic-profile/view/1885399","18-1885399")</f>
        <v>0</v>
      </c>
      <c r="B3807" t="s">
        <v>125</v>
      </c>
      <c r="C3807" t="s">
        <v>341</v>
      </c>
      <c r="D3807" t="s">
        <v>452</v>
      </c>
      <c r="E3807" t="s">
        <v>691</v>
      </c>
      <c r="F3807" t="s">
        <v>2111</v>
      </c>
      <c r="G3807" t="s">
        <v>3599</v>
      </c>
      <c r="H3807" t="s">
        <v>12640</v>
      </c>
      <c r="J3807" t="s">
        <v>18894</v>
      </c>
      <c r="K3807">
        <v>11226</v>
      </c>
      <c r="L3807" t="s">
        <v>18958</v>
      </c>
      <c r="M3807" t="s">
        <v>18958</v>
      </c>
      <c r="P3807" t="s">
        <v>26564</v>
      </c>
      <c r="Q3807" t="s">
        <v>26570</v>
      </c>
      <c r="R3807" t="s">
        <v>26591</v>
      </c>
      <c r="U3807" t="s">
        <v>26604</v>
      </c>
      <c r="W3807" t="s">
        <v>452</v>
      </c>
      <c r="X3807">
        <v>0</v>
      </c>
      <c r="Y3807" t="s">
        <v>26652</v>
      </c>
      <c r="AA3807" t="s">
        <v>26683</v>
      </c>
      <c r="AB3807" t="s">
        <v>29910</v>
      </c>
      <c r="AE3807">
        <v>0</v>
      </c>
      <c r="AH3807">
        <v>0</v>
      </c>
      <c r="AI3807">
        <v>2</v>
      </c>
      <c r="AJ3807">
        <v>0</v>
      </c>
      <c r="AK3807">
        <v>56.14</v>
      </c>
      <c r="AN3807" t="s">
        <v>7439</v>
      </c>
      <c r="AO3807">
        <v>9240</v>
      </c>
      <c r="AU3807">
        <v>0.75</v>
      </c>
      <c r="AV3807" t="s">
        <v>452</v>
      </c>
      <c r="AW3807" t="s">
        <v>125</v>
      </c>
    </row>
    <row r="3808" spans="1:50">
      <c r="A3808" s="1">
        <f>HYPERLINK("https://lsnyc.legalserver.org/matter/dynamic-profile/view/1885400","18-1885400")</f>
        <v>0</v>
      </c>
      <c r="B3808" t="s">
        <v>125</v>
      </c>
      <c r="C3808" t="s">
        <v>341</v>
      </c>
      <c r="D3808" t="s">
        <v>452</v>
      </c>
      <c r="E3808" t="s">
        <v>689</v>
      </c>
      <c r="F3808" t="s">
        <v>2798</v>
      </c>
      <c r="G3808" t="s">
        <v>7053</v>
      </c>
      <c r="H3808" t="s">
        <v>12641</v>
      </c>
      <c r="I3808">
        <v>1</v>
      </c>
      <c r="J3808" t="s">
        <v>18894</v>
      </c>
      <c r="K3808">
        <v>11207</v>
      </c>
      <c r="L3808" t="s">
        <v>18958</v>
      </c>
      <c r="M3808" t="s">
        <v>18958</v>
      </c>
      <c r="P3808" t="s">
        <v>26564</v>
      </c>
      <c r="Q3808" t="s">
        <v>26570</v>
      </c>
      <c r="R3808" t="s">
        <v>26578</v>
      </c>
      <c r="U3808" t="s">
        <v>26604</v>
      </c>
      <c r="W3808" t="s">
        <v>452</v>
      </c>
      <c r="X3808">
        <v>0</v>
      </c>
      <c r="Y3808" t="s">
        <v>26652</v>
      </c>
      <c r="AA3808" t="s">
        <v>26683</v>
      </c>
      <c r="AB3808" t="s">
        <v>29911</v>
      </c>
      <c r="AD3808" t="s">
        <v>40030</v>
      </c>
      <c r="AE3808">
        <v>0</v>
      </c>
      <c r="AH3808">
        <v>0</v>
      </c>
      <c r="AI3808">
        <v>1</v>
      </c>
      <c r="AJ3808">
        <v>2</v>
      </c>
      <c r="AK3808">
        <v>44.52</v>
      </c>
      <c r="AO3808">
        <v>9252</v>
      </c>
      <c r="AU3808">
        <v>0.75</v>
      </c>
      <c r="AV3808" t="s">
        <v>452</v>
      </c>
      <c r="AW3808" t="s">
        <v>125</v>
      </c>
    </row>
    <row r="3809" spans="1:49">
      <c r="A3809" s="1">
        <f>HYPERLINK("https://lsnyc.legalserver.org/matter/dynamic-profile/view/1885397","18-1885397")</f>
        <v>0</v>
      </c>
      <c r="B3809" t="s">
        <v>57</v>
      </c>
      <c r="C3809" t="s">
        <v>340</v>
      </c>
      <c r="D3809" t="s">
        <v>452</v>
      </c>
      <c r="F3809" t="s">
        <v>2799</v>
      </c>
      <c r="G3809" t="s">
        <v>902</v>
      </c>
      <c r="H3809" t="s">
        <v>12642</v>
      </c>
      <c r="I3809" t="s">
        <v>17300</v>
      </c>
      <c r="J3809" t="s">
        <v>18892</v>
      </c>
      <c r="K3809">
        <v>10467</v>
      </c>
      <c r="L3809" t="s">
        <v>18958</v>
      </c>
      <c r="M3809" t="s">
        <v>18958</v>
      </c>
      <c r="N3809" t="s">
        <v>21854</v>
      </c>
      <c r="O3809" t="s">
        <v>26523</v>
      </c>
      <c r="P3809" t="s">
        <v>26560</v>
      </c>
      <c r="R3809" t="s">
        <v>26579</v>
      </c>
      <c r="S3809" t="s">
        <v>18959</v>
      </c>
      <c r="U3809" t="s">
        <v>26604</v>
      </c>
      <c r="W3809" t="s">
        <v>452</v>
      </c>
      <c r="X3809">
        <v>1125</v>
      </c>
      <c r="Y3809" t="s">
        <v>26650</v>
      </c>
      <c r="AB3809" t="s">
        <v>29348</v>
      </c>
      <c r="AC3809">
        <v>112227963</v>
      </c>
      <c r="AD3809" t="s">
        <v>40031</v>
      </c>
      <c r="AE3809">
        <v>47</v>
      </c>
      <c r="AF3809" t="s">
        <v>45541</v>
      </c>
      <c r="AH3809">
        <v>8</v>
      </c>
      <c r="AI3809">
        <v>2</v>
      </c>
      <c r="AJ3809">
        <v>3</v>
      </c>
      <c r="AK3809">
        <v>79.54000000000001</v>
      </c>
      <c r="AN3809" t="s">
        <v>7439</v>
      </c>
      <c r="AO3809">
        <v>23400</v>
      </c>
      <c r="AU3809">
        <v>13.05</v>
      </c>
      <c r="AV3809" t="s">
        <v>819</v>
      </c>
      <c r="AW3809" t="s">
        <v>46836</v>
      </c>
    </row>
    <row r="3810" spans="1:49">
      <c r="A3810" s="1">
        <f>HYPERLINK("https://lsnyc.legalserver.org/matter/dynamic-profile/view/1885381","18-1885381")</f>
        <v>0</v>
      </c>
      <c r="B3810" t="s">
        <v>108</v>
      </c>
      <c r="C3810" t="s">
        <v>340</v>
      </c>
      <c r="D3810" t="s">
        <v>452</v>
      </c>
      <c r="F3810" t="s">
        <v>2800</v>
      </c>
      <c r="G3810" t="s">
        <v>1748</v>
      </c>
      <c r="H3810" t="s">
        <v>12643</v>
      </c>
      <c r="I3810" t="s">
        <v>17416</v>
      </c>
      <c r="J3810" t="s">
        <v>18932</v>
      </c>
      <c r="K3810">
        <v>11385</v>
      </c>
      <c r="L3810" t="s">
        <v>18958</v>
      </c>
      <c r="M3810" t="s">
        <v>18958</v>
      </c>
      <c r="N3810" t="s">
        <v>21855</v>
      </c>
      <c r="O3810" t="s">
        <v>26524</v>
      </c>
      <c r="P3810" t="s">
        <v>26560</v>
      </c>
      <c r="R3810" t="s">
        <v>26585</v>
      </c>
      <c r="S3810" t="s">
        <v>18959</v>
      </c>
      <c r="U3810" t="s">
        <v>26604</v>
      </c>
      <c r="V3810" t="s">
        <v>26610</v>
      </c>
      <c r="W3810" t="s">
        <v>452</v>
      </c>
      <c r="X3810">
        <v>2300</v>
      </c>
      <c r="Y3810" t="s">
        <v>26653</v>
      </c>
      <c r="Z3810" t="s">
        <v>26664</v>
      </c>
      <c r="AB3810" t="s">
        <v>29912</v>
      </c>
      <c r="AC3810" t="s">
        <v>35625</v>
      </c>
      <c r="AD3810" t="s">
        <v>40032</v>
      </c>
      <c r="AE3810">
        <v>2</v>
      </c>
      <c r="AF3810" t="s">
        <v>45547</v>
      </c>
      <c r="AG3810" t="s">
        <v>19330</v>
      </c>
      <c r="AH3810">
        <v>1</v>
      </c>
      <c r="AI3810">
        <v>1</v>
      </c>
      <c r="AJ3810">
        <v>2</v>
      </c>
      <c r="AK3810">
        <v>76.20999999999999</v>
      </c>
      <c r="AN3810" t="s">
        <v>7439</v>
      </c>
      <c r="AO3810">
        <v>15836</v>
      </c>
      <c r="AU3810">
        <v>10.7</v>
      </c>
      <c r="AV3810" t="s">
        <v>753</v>
      </c>
      <c r="AW3810" t="s">
        <v>161</v>
      </c>
    </row>
    <row r="3811" spans="1:49">
      <c r="A3811" s="1">
        <f>HYPERLINK("https://lsnyc.legalserver.org/matter/dynamic-profile/view/1884970","18-1884970")</f>
        <v>0</v>
      </c>
      <c r="B3811" t="s">
        <v>167</v>
      </c>
      <c r="C3811" t="s">
        <v>340</v>
      </c>
      <c r="D3811" t="s">
        <v>452</v>
      </c>
      <c r="F3811" t="s">
        <v>1587</v>
      </c>
      <c r="G3811" t="s">
        <v>7054</v>
      </c>
      <c r="H3811" t="s">
        <v>11760</v>
      </c>
      <c r="I3811" t="s">
        <v>17307</v>
      </c>
      <c r="J3811" t="s">
        <v>18894</v>
      </c>
      <c r="K3811">
        <v>11203</v>
      </c>
      <c r="L3811" t="s">
        <v>18958</v>
      </c>
      <c r="M3811" t="s">
        <v>18958</v>
      </c>
      <c r="N3811" t="s">
        <v>21856</v>
      </c>
      <c r="O3811" t="s">
        <v>26524</v>
      </c>
      <c r="P3811" t="s">
        <v>26560</v>
      </c>
      <c r="R3811" t="s">
        <v>26586</v>
      </c>
      <c r="U3811" t="s">
        <v>26604</v>
      </c>
      <c r="V3811" t="s">
        <v>26609</v>
      </c>
      <c r="W3811" t="s">
        <v>452</v>
      </c>
      <c r="X3811">
        <v>1000</v>
      </c>
      <c r="Y3811" t="s">
        <v>26652</v>
      </c>
      <c r="Z3811" t="s">
        <v>26668</v>
      </c>
      <c r="AB3811" t="s">
        <v>29913</v>
      </c>
      <c r="AD3811" t="s">
        <v>40033</v>
      </c>
      <c r="AE3811">
        <v>42</v>
      </c>
      <c r="AF3811" t="s">
        <v>45541</v>
      </c>
      <c r="AH3811">
        <v>7</v>
      </c>
      <c r="AI3811">
        <v>1</v>
      </c>
      <c r="AJ3811">
        <v>2</v>
      </c>
      <c r="AK3811">
        <v>205.2</v>
      </c>
      <c r="AN3811" t="s">
        <v>7439</v>
      </c>
      <c r="AO3811">
        <v>42640</v>
      </c>
      <c r="AU3811">
        <v>9.199999999999999</v>
      </c>
      <c r="AV3811" t="s">
        <v>775</v>
      </c>
      <c r="AW3811" t="s">
        <v>301</v>
      </c>
    </row>
    <row r="3812" spans="1:49">
      <c r="A3812" s="1">
        <f>HYPERLINK("https://lsnyc.legalserver.org/matter/dynamic-profile/view/1885344","18-1885344")</f>
        <v>0</v>
      </c>
      <c r="B3812" t="s">
        <v>153</v>
      </c>
      <c r="C3812" t="s">
        <v>340</v>
      </c>
      <c r="D3812" t="s">
        <v>452</v>
      </c>
      <c r="F3812" t="s">
        <v>1638</v>
      </c>
      <c r="G3812" t="s">
        <v>7055</v>
      </c>
      <c r="H3812" t="s">
        <v>12135</v>
      </c>
      <c r="I3812" t="s">
        <v>17566</v>
      </c>
      <c r="J3812" t="s">
        <v>18902</v>
      </c>
      <c r="K3812">
        <v>10310</v>
      </c>
      <c r="L3812" t="s">
        <v>18958</v>
      </c>
      <c r="M3812" t="s">
        <v>18958</v>
      </c>
      <c r="N3812" t="s">
        <v>21857</v>
      </c>
      <c r="O3812" t="s">
        <v>26523</v>
      </c>
      <c r="P3812" t="s">
        <v>26560</v>
      </c>
      <c r="R3812" t="s">
        <v>26590</v>
      </c>
      <c r="S3812" t="s">
        <v>18959</v>
      </c>
      <c r="U3812" t="s">
        <v>26605</v>
      </c>
      <c r="V3812" t="s">
        <v>26612</v>
      </c>
      <c r="W3812" t="s">
        <v>452</v>
      </c>
      <c r="X3812">
        <v>459</v>
      </c>
      <c r="Y3812" t="s">
        <v>26654</v>
      </c>
      <c r="Z3812" t="s">
        <v>26668</v>
      </c>
      <c r="AB3812" t="s">
        <v>29914</v>
      </c>
      <c r="AD3812" t="s">
        <v>40034</v>
      </c>
      <c r="AE3812">
        <v>0</v>
      </c>
      <c r="AF3812" t="s">
        <v>45549</v>
      </c>
      <c r="AG3812" t="s">
        <v>45556</v>
      </c>
      <c r="AH3812">
        <v>17</v>
      </c>
      <c r="AI3812">
        <v>3</v>
      </c>
      <c r="AJ3812">
        <v>1</v>
      </c>
      <c r="AK3812">
        <v>35.38</v>
      </c>
      <c r="AN3812" t="s">
        <v>7439</v>
      </c>
      <c r="AO3812">
        <v>8880</v>
      </c>
      <c r="AU3812">
        <v>4.79</v>
      </c>
      <c r="AV3812" t="s">
        <v>810</v>
      </c>
      <c r="AW3812" t="s">
        <v>210</v>
      </c>
    </row>
    <row r="3813" spans="1:49">
      <c r="A3813" s="1">
        <f>HYPERLINK("https://lsnyc.legalserver.org/matter/dynamic-profile/view/1885375","18-1885375")</f>
        <v>0</v>
      </c>
      <c r="B3813" t="s">
        <v>121</v>
      </c>
      <c r="C3813" t="s">
        <v>340</v>
      </c>
      <c r="D3813" t="s">
        <v>452</v>
      </c>
      <c r="F3813" t="s">
        <v>2801</v>
      </c>
      <c r="G3813" t="s">
        <v>7056</v>
      </c>
      <c r="H3813" t="s">
        <v>11265</v>
      </c>
      <c r="I3813" t="s">
        <v>17639</v>
      </c>
      <c r="J3813" t="s">
        <v>18892</v>
      </c>
      <c r="K3813">
        <v>10467</v>
      </c>
      <c r="L3813" t="s">
        <v>18958</v>
      </c>
      <c r="M3813" t="s">
        <v>18958</v>
      </c>
      <c r="N3813" t="s">
        <v>21858</v>
      </c>
      <c r="O3813" t="s">
        <v>26523</v>
      </c>
      <c r="P3813" t="s">
        <v>26560</v>
      </c>
      <c r="R3813" t="s">
        <v>26579</v>
      </c>
      <c r="S3813" t="s">
        <v>18959</v>
      </c>
      <c r="U3813" t="s">
        <v>26604</v>
      </c>
      <c r="V3813" t="s">
        <v>26610</v>
      </c>
      <c r="W3813" t="s">
        <v>452</v>
      </c>
      <c r="X3813">
        <v>1666.68</v>
      </c>
      <c r="Y3813" t="s">
        <v>26650</v>
      </c>
      <c r="Z3813" t="s">
        <v>26659</v>
      </c>
      <c r="AB3813" t="s">
        <v>29915</v>
      </c>
      <c r="AC3813" t="s">
        <v>35626</v>
      </c>
      <c r="AD3813" t="s">
        <v>40035</v>
      </c>
      <c r="AE3813">
        <v>0</v>
      </c>
      <c r="AF3813" t="s">
        <v>45541</v>
      </c>
      <c r="AG3813" t="s">
        <v>45561</v>
      </c>
      <c r="AH3813">
        <v>2</v>
      </c>
      <c r="AI3813">
        <v>1</v>
      </c>
      <c r="AJ3813">
        <v>0</v>
      </c>
      <c r="AK3813">
        <v>76.61</v>
      </c>
      <c r="AN3813" t="s">
        <v>7439</v>
      </c>
      <c r="AO3813">
        <v>9300</v>
      </c>
      <c r="AU3813">
        <v>13.4</v>
      </c>
      <c r="AV3813" t="s">
        <v>838</v>
      </c>
      <c r="AW3813" t="s">
        <v>46870</v>
      </c>
    </row>
    <row r="3814" spans="1:49">
      <c r="A3814" s="1">
        <f>HYPERLINK("https://lsnyc.legalserver.org/matter/dynamic-profile/view/1885343","18-1885343")</f>
        <v>0</v>
      </c>
      <c r="B3814" t="s">
        <v>104</v>
      </c>
      <c r="C3814" t="s">
        <v>340</v>
      </c>
      <c r="D3814" t="s">
        <v>452</v>
      </c>
      <c r="F3814" t="s">
        <v>2802</v>
      </c>
      <c r="G3814" t="s">
        <v>7057</v>
      </c>
      <c r="H3814" t="s">
        <v>12208</v>
      </c>
      <c r="I3814" t="s">
        <v>17306</v>
      </c>
      <c r="J3814" t="s">
        <v>18902</v>
      </c>
      <c r="K3814">
        <v>10310</v>
      </c>
      <c r="L3814" t="s">
        <v>18958</v>
      </c>
      <c r="M3814" t="s">
        <v>18958</v>
      </c>
      <c r="N3814" t="s">
        <v>21859</v>
      </c>
      <c r="O3814" t="s">
        <v>26523</v>
      </c>
      <c r="P3814" t="s">
        <v>26560</v>
      </c>
      <c r="R3814" t="s">
        <v>26590</v>
      </c>
      <c r="S3814" t="s">
        <v>18959</v>
      </c>
      <c r="U3814" t="s">
        <v>26604</v>
      </c>
      <c r="V3814" t="s">
        <v>26612</v>
      </c>
      <c r="W3814" t="s">
        <v>452</v>
      </c>
      <c r="X3814">
        <v>1010</v>
      </c>
      <c r="Y3814" t="s">
        <v>26654</v>
      </c>
      <c r="Z3814" t="s">
        <v>26668</v>
      </c>
      <c r="AB3814" t="s">
        <v>29916</v>
      </c>
      <c r="AD3814" t="s">
        <v>40036</v>
      </c>
      <c r="AE3814">
        <v>0</v>
      </c>
      <c r="AF3814" t="s">
        <v>45541</v>
      </c>
      <c r="AH3814">
        <v>6</v>
      </c>
      <c r="AI3814">
        <v>1</v>
      </c>
      <c r="AJ3814">
        <v>0</v>
      </c>
      <c r="AK3814">
        <v>171.33</v>
      </c>
      <c r="AN3814" t="s">
        <v>7439</v>
      </c>
      <c r="AO3814">
        <v>20800</v>
      </c>
      <c r="AU3814">
        <v>13.8</v>
      </c>
      <c r="AV3814" t="s">
        <v>764</v>
      </c>
      <c r="AW3814" t="s">
        <v>185</v>
      </c>
    </row>
    <row r="3815" spans="1:49">
      <c r="A3815" s="1">
        <f>HYPERLINK("https://lsnyc.legalserver.org/matter/dynamic-profile/view/1885349","18-1885349")</f>
        <v>0</v>
      </c>
      <c r="B3815" t="s">
        <v>69</v>
      </c>
      <c r="C3815" t="s">
        <v>340</v>
      </c>
      <c r="D3815" t="s">
        <v>452</v>
      </c>
      <c r="F3815" t="s">
        <v>1125</v>
      </c>
      <c r="G3815" t="s">
        <v>5086</v>
      </c>
      <c r="H3815" t="s">
        <v>12644</v>
      </c>
      <c r="I3815" t="s">
        <v>17623</v>
      </c>
      <c r="J3815" t="s">
        <v>18892</v>
      </c>
      <c r="K3815">
        <v>10473</v>
      </c>
      <c r="L3815" t="s">
        <v>18958</v>
      </c>
      <c r="M3815" t="s">
        <v>18958</v>
      </c>
      <c r="N3815" t="s">
        <v>21860</v>
      </c>
      <c r="O3815" t="s">
        <v>26524</v>
      </c>
      <c r="P3815" t="s">
        <v>26560</v>
      </c>
      <c r="R3815" t="s">
        <v>26577</v>
      </c>
      <c r="S3815" t="s">
        <v>18959</v>
      </c>
      <c r="U3815" t="s">
        <v>26604</v>
      </c>
      <c r="V3815" t="s">
        <v>26612</v>
      </c>
      <c r="W3815" t="s">
        <v>452</v>
      </c>
      <c r="X3815">
        <v>2197</v>
      </c>
      <c r="Y3815" t="s">
        <v>26650</v>
      </c>
      <c r="Z3815" t="s">
        <v>26664</v>
      </c>
      <c r="AB3815" t="s">
        <v>29917</v>
      </c>
      <c r="AC3815" t="s">
        <v>35627</v>
      </c>
      <c r="AD3815" t="s">
        <v>40037</v>
      </c>
      <c r="AE3815">
        <v>0</v>
      </c>
      <c r="AF3815" t="s">
        <v>20460</v>
      </c>
      <c r="AG3815" t="s">
        <v>45558</v>
      </c>
      <c r="AH3815">
        <v>1</v>
      </c>
      <c r="AI3815">
        <v>2</v>
      </c>
      <c r="AJ3815">
        <v>6</v>
      </c>
      <c r="AK3815">
        <v>24.63</v>
      </c>
      <c r="AN3815" t="s">
        <v>7439</v>
      </c>
      <c r="AO3815">
        <v>10440</v>
      </c>
      <c r="AU3815">
        <v>29.6</v>
      </c>
      <c r="AV3815" t="s">
        <v>831</v>
      </c>
      <c r="AW3815" t="s">
        <v>46831</v>
      </c>
    </row>
    <row r="3816" spans="1:49">
      <c r="A3816" s="1">
        <f>HYPERLINK("https://lsnyc.legalserver.org/matter/dynamic-profile/view/1885377","18-1885377")</f>
        <v>0</v>
      </c>
      <c r="B3816" t="s">
        <v>125</v>
      </c>
      <c r="C3816" t="s">
        <v>341</v>
      </c>
      <c r="D3816" t="s">
        <v>691</v>
      </c>
      <c r="E3816" t="s">
        <v>691</v>
      </c>
      <c r="F3816" t="s">
        <v>871</v>
      </c>
      <c r="G3816" t="s">
        <v>7058</v>
      </c>
      <c r="H3816" t="s">
        <v>12645</v>
      </c>
      <c r="J3816" t="s">
        <v>18894</v>
      </c>
      <c r="K3816">
        <v>11208</v>
      </c>
      <c r="L3816" t="s">
        <v>18958</v>
      </c>
      <c r="M3816" t="s">
        <v>18958</v>
      </c>
      <c r="P3816" t="s">
        <v>26564</v>
      </c>
      <c r="Q3816" t="s">
        <v>26570</v>
      </c>
      <c r="R3816" t="s">
        <v>26578</v>
      </c>
      <c r="U3816" t="s">
        <v>26604</v>
      </c>
      <c r="W3816" t="s">
        <v>452</v>
      </c>
      <c r="X3816">
        <v>0</v>
      </c>
      <c r="Y3816" t="s">
        <v>26652</v>
      </c>
      <c r="AA3816" t="s">
        <v>26683</v>
      </c>
      <c r="AB3816" t="s">
        <v>29918</v>
      </c>
      <c r="AD3816" t="s">
        <v>40038</v>
      </c>
      <c r="AE3816">
        <v>0</v>
      </c>
      <c r="AH3816">
        <v>0</v>
      </c>
      <c r="AI3816">
        <v>2</v>
      </c>
      <c r="AJ3816">
        <v>0</v>
      </c>
      <c r="AK3816">
        <v>137.42</v>
      </c>
      <c r="AN3816" t="s">
        <v>45581</v>
      </c>
      <c r="AO3816">
        <v>22620</v>
      </c>
      <c r="AU3816">
        <v>0.75</v>
      </c>
      <c r="AV3816" t="s">
        <v>452</v>
      </c>
      <c r="AW3816" t="s">
        <v>125</v>
      </c>
    </row>
    <row r="3817" spans="1:49">
      <c r="A3817" s="1">
        <f>HYPERLINK("https://lsnyc.legalserver.org/matter/dynamic-profile/view/1886089","18-1886089")</f>
        <v>0</v>
      </c>
      <c r="B3817" t="s">
        <v>95</v>
      </c>
      <c r="C3817" t="s">
        <v>340</v>
      </c>
      <c r="D3817" t="s">
        <v>692</v>
      </c>
      <c r="F3817" t="s">
        <v>948</v>
      </c>
      <c r="G3817" t="s">
        <v>7059</v>
      </c>
      <c r="H3817" t="s">
        <v>9692</v>
      </c>
      <c r="I3817" t="s">
        <v>17553</v>
      </c>
      <c r="J3817" t="s">
        <v>18894</v>
      </c>
      <c r="K3817">
        <v>11233</v>
      </c>
      <c r="L3817" t="s">
        <v>18958</v>
      </c>
      <c r="M3817" t="s">
        <v>18958</v>
      </c>
      <c r="N3817" t="s">
        <v>18997</v>
      </c>
      <c r="O3817" t="s">
        <v>26534</v>
      </c>
      <c r="P3817" t="s">
        <v>26562</v>
      </c>
      <c r="R3817" t="s">
        <v>26578</v>
      </c>
      <c r="S3817" t="s">
        <v>18958</v>
      </c>
      <c r="U3817" t="s">
        <v>26604</v>
      </c>
      <c r="V3817" t="s">
        <v>26610</v>
      </c>
      <c r="W3817" t="s">
        <v>452</v>
      </c>
      <c r="X3817">
        <v>955.08</v>
      </c>
      <c r="Y3817" t="s">
        <v>26652</v>
      </c>
      <c r="Z3817" t="s">
        <v>26655</v>
      </c>
      <c r="AB3817" t="s">
        <v>28688</v>
      </c>
      <c r="AC3817" t="s">
        <v>35628</v>
      </c>
      <c r="AD3817" t="s">
        <v>40039</v>
      </c>
      <c r="AE3817">
        <v>764</v>
      </c>
      <c r="AF3817" t="s">
        <v>45541</v>
      </c>
      <c r="AG3817" t="s">
        <v>19330</v>
      </c>
      <c r="AH3817">
        <v>16</v>
      </c>
      <c r="AI3817">
        <v>2</v>
      </c>
      <c r="AJ3817">
        <v>0</v>
      </c>
      <c r="AK3817">
        <v>83.37</v>
      </c>
      <c r="AN3817" t="s">
        <v>7439</v>
      </c>
      <c r="AO3817">
        <v>13722.36</v>
      </c>
      <c r="AP3817" t="s">
        <v>45802</v>
      </c>
      <c r="AU3817">
        <v>560.15</v>
      </c>
      <c r="AV3817" t="s">
        <v>832</v>
      </c>
      <c r="AW3817" t="s">
        <v>279</v>
      </c>
    </row>
    <row r="3818" spans="1:49">
      <c r="A3818" s="1">
        <f>HYPERLINK("https://lsnyc.legalserver.org/matter/dynamic-profile/view/1887097","19-1887097")</f>
        <v>0</v>
      </c>
      <c r="B3818" t="s">
        <v>95</v>
      </c>
      <c r="C3818" t="s">
        <v>340</v>
      </c>
      <c r="D3818" t="s">
        <v>668</v>
      </c>
      <c r="F3818" t="s">
        <v>2803</v>
      </c>
      <c r="G3818" t="s">
        <v>7060</v>
      </c>
      <c r="H3818" t="s">
        <v>9692</v>
      </c>
      <c r="I3818" t="s">
        <v>18016</v>
      </c>
      <c r="J3818" t="s">
        <v>18894</v>
      </c>
      <c r="K3818">
        <v>11233</v>
      </c>
      <c r="L3818" t="s">
        <v>18958</v>
      </c>
      <c r="M3818" t="s">
        <v>18958</v>
      </c>
      <c r="N3818" t="s">
        <v>19045</v>
      </c>
      <c r="O3818" t="s">
        <v>26534</v>
      </c>
      <c r="P3818" t="s">
        <v>26562</v>
      </c>
      <c r="R3818" t="s">
        <v>26578</v>
      </c>
      <c r="S3818" t="s">
        <v>18958</v>
      </c>
      <c r="U3818" t="s">
        <v>26604</v>
      </c>
      <c r="V3818" t="s">
        <v>26610</v>
      </c>
      <c r="W3818" t="s">
        <v>452</v>
      </c>
      <c r="X3818">
        <v>1353.11</v>
      </c>
      <c r="Y3818" t="s">
        <v>26652</v>
      </c>
      <c r="Z3818" t="s">
        <v>26667</v>
      </c>
      <c r="AB3818" t="s">
        <v>29919</v>
      </c>
      <c r="AC3818" t="s">
        <v>19330</v>
      </c>
      <c r="AD3818" t="s">
        <v>40040</v>
      </c>
      <c r="AE3818">
        <v>764</v>
      </c>
      <c r="AF3818" t="s">
        <v>45541</v>
      </c>
      <c r="AG3818" t="s">
        <v>19330</v>
      </c>
      <c r="AH3818">
        <v>24</v>
      </c>
      <c r="AI3818">
        <v>5</v>
      </c>
      <c r="AJ3818">
        <v>0</v>
      </c>
      <c r="AK3818">
        <v>174.03</v>
      </c>
      <c r="AN3818" t="s">
        <v>7439</v>
      </c>
      <c r="AO3818">
        <v>51200</v>
      </c>
      <c r="AU3818">
        <v>0</v>
      </c>
      <c r="AW3818" t="s">
        <v>279</v>
      </c>
    </row>
    <row r="3819" spans="1:49">
      <c r="A3819" s="1">
        <f>HYPERLINK("https://lsnyc.legalserver.org/matter/dynamic-profile/view/1887085","19-1887085")</f>
        <v>0</v>
      </c>
      <c r="B3819" t="s">
        <v>199</v>
      </c>
      <c r="C3819" t="s">
        <v>340</v>
      </c>
      <c r="D3819" t="s">
        <v>668</v>
      </c>
      <c r="F3819" t="s">
        <v>887</v>
      </c>
      <c r="G3819" t="s">
        <v>5634</v>
      </c>
      <c r="H3819" t="s">
        <v>12606</v>
      </c>
      <c r="J3819" t="s">
        <v>18894</v>
      </c>
      <c r="K3819">
        <v>11226</v>
      </c>
      <c r="L3819" t="s">
        <v>18959</v>
      </c>
      <c r="M3819" t="s">
        <v>18958</v>
      </c>
      <c r="P3819" t="s">
        <v>26561</v>
      </c>
      <c r="R3819" t="s">
        <v>26578</v>
      </c>
      <c r="S3819" t="s">
        <v>18958</v>
      </c>
      <c r="U3819" t="s">
        <v>26604</v>
      </c>
      <c r="W3819" t="s">
        <v>452</v>
      </c>
      <c r="X3819">
        <v>945.2</v>
      </c>
      <c r="Y3819" t="s">
        <v>26652</v>
      </c>
      <c r="AB3819" t="s">
        <v>29920</v>
      </c>
      <c r="AE3819">
        <v>0</v>
      </c>
      <c r="AH3819">
        <v>20</v>
      </c>
      <c r="AI3819">
        <v>1</v>
      </c>
      <c r="AJ3819">
        <v>0</v>
      </c>
      <c r="AK3819">
        <v>0</v>
      </c>
      <c r="AN3819" t="s">
        <v>45581</v>
      </c>
      <c r="AO3819">
        <v>0</v>
      </c>
      <c r="AU3819">
        <v>0</v>
      </c>
      <c r="AW3819" t="s">
        <v>219</v>
      </c>
    </row>
    <row r="3820" spans="1:49">
      <c r="A3820" s="1">
        <f>HYPERLINK("https://lsnyc.legalserver.org/matter/dynamic-profile/view/1889094","19-1889094")</f>
        <v>0</v>
      </c>
      <c r="B3820" t="s">
        <v>199</v>
      </c>
      <c r="C3820" t="s">
        <v>340</v>
      </c>
      <c r="D3820" t="s">
        <v>693</v>
      </c>
      <c r="F3820" t="s">
        <v>1495</v>
      </c>
      <c r="G3820" t="s">
        <v>7061</v>
      </c>
      <c r="H3820" t="s">
        <v>12606</v>
      </c>
      <c r="I3820" t="s">
        <v>17312</v>
      </c>
      <c r="J3820" t="s">
        <v>18894</v>
      </c>
      <c r="K3820">
        <v>11226</v>
      </c>
      <c r="L3820" t="s">
        <v>18959</v>
      </c>
      <c r="M3820" t="s">
        <v>18960</v>
      </c>
      <c r="O3820" t="s">
        <v>26534</v>
      </c>
      <c r="P3820" t="s">
        <v>26561</v>
      </c>
      <c r="R3820" t="s">
        <v>26578</v>
      </c>
      <c r="S3820" t="s">
        <v>18958</v>
      </c>
      <c r="U3820" t="s">
        <v>26604</v>
      </c>
      <c r="W3820" t="s">
        <v>452</v>
      </c>
      <c r="X3820">
        <v>838</v>
      </c>
      <c r="Y3820" t="s">
        <v>26652</v>
      </c>
      <c r="AB3820" t="s">
        <v>29921</v>
      </c>
      <c r="AD3820" t="s">
        <v>40041</v>
      </c>
      <c r="AE3820">
        <v>0</v>
      </c>
      <c r="AF3820" t="s">
        <v>45541</v>
      </c>
      <c r="AH3820">
        <v>26</v>
      </c>
      <c r="AI3820">
        <v>1</v>
      </c>
      <c r="AJ3820">
        <v>0</v>
      </c>
      <c r="AK3820">
        <v>448.36</v>
      </c>
      <c r="AN3820" t="s">
        <v>7439</v>
      </c>
      <c r="AO3820">
        <v>56000</v>
      </c>
      <c r="AU3820">
        <v>0.1</v>
      </c>
      <c r="AV3820" t="s">
        <v>735</v>
      </c>
      <c r="AW3820" t="s">
        <v>219</v>
      </c>
    </row>
    <row r="3821" spans="1:49">
      <c r="A3821" s="1">
        <f>HYPERLINK("https://lsnyc.legalserver.org/matter/dynamic-profile/view/1889315","19-1889315")</f>
        <v>0</v>
      </c>
      <c r="B3821" t="s">
        <v>73</v>
      </c>
      <c r="C3821" t="s">
        <v>341</v>
      </c>
      <c r="D3821" t="s">
        <v>694</v>
      </c>
      <c r="E3821" t="s">
        <v>794</v>
      </c>
      <c r="F3821" t="s">
        <v>1840</v>
      </c>
      <c r="G3821" t="s">
        <v>3283</v>
      </c>
      <c r="H3821" t="s">
        <v>9779</v>
      </c>
      <c r="I3821">
        <v>7</v>
      </c>
      <c r="J3821" t="s">
        <v>18894</v>
      </c>
      <c r="K3821">
        <v>11208</v>
      </c>
      <c r="L3821" t="s">
        <v>18958</v>
      </c>
      <c r="M3821" t="s">
        <v>18958</v>
      </c>
      <c r="O3821" t="s">
        <v>26531</v>
      </c>
      <c r="P3821" t="s">
        <v>26565</v>
      </c>
      <c r="Q3821" t="s">
        <v>26571</v>
      </c>
      <c r="R3821" t="s">
        <v>26578</v>
      </c>
      <c r="S3821" t="s">
        <v>18958</v>
      </c>
      <c r="U3821" t="s">
        <v>26604</v>
      </c>
      <c r="V3821" t="s">
        <v>26610</v>
      </c>
      <c r="W3821" t="s">
        <v>452</v>
      </c>
      <c r="X3821">
        <v>600</v>
      </c>
      <c r="Y3821" t="s">
        <v>26652</v>
      </c>
      <c r="Z3821" t="s">
        <v>26667</v>
      </c>
      <c r="AA3821" t="s">
        <v>26685</v>
      </c>
      <c r="AB3821" t="s">
        <v>28104</v>
      </c>
      <c r="AD3821" t="s">
        <v>38156</v>
      </c>
      <c r="AE3821">
        <v>7</v>
      </c>
      <c r="AF3821" t="s">
        <v>45547</v>
      </c>
      <c r="AG3821" t="s">
        <v>19330</v>
      </c>
      <c r="AH3821">
        <v>2</v>
      </c>
      <c r="AI3821">
        <v>1</v>
      </c>
      <c r="AJ3821">
        <v>0</v>
      </c>
      <c r="AK3821">
        <v>0</v>
      </c>
      <c r="AN3821" t="s">
        <v>7439</v>
      </c>
      <c r="AO3821">
        <v>0</v>
      </c>
      <c r="AU3821">
        <v>0.1</v>
      </c>
      <c r="AV3821" t="s">
        <v>737</v>
      </c>
      <c r="AW3821" t="s">
        <v>286</v>
      </c>
    </row>
    <row r="3822" spans="1:49">
      <c r="A3822" s="1">
        <f>HYPERLINK("https://lsnyc.legalserver.org/matter/dynamic-profile/view/1889318","19-1889318")</f>
        <v>0</v>
      </c>
      <c r="B3822" t="s">
        <v>73</v>
      </c>
      <c r="C3822" t="s">
        <v>341</v>
      </c>
      <c r="D3822" t="s">
        <v>694</v>
      </c>
      <c r="E3822" t="s">
        <v>794</v>
      </c>
      <c r="F3822" t="s">
        <v>1283</v>
      </c>
      <c r="G3822" t="s">
        <v>5173</v>
      </c>
      <c r="H3822" t="s">
        <v>9779</v>
      </c>
      <c r="I3822" t="s">
        <v>17374</v>
      </c>
      <c r="J3822" t="s">
        <v>18894</v>
      </c>
      <c r="K3822">
        <v>11208</v>
      </c>
      <c r="L3822" t="s">
        <v>18958</v>
      </c>
      <c r="M3822" t="s">
        <v>18958</v>
      </c>
      <c r="O3822" t="s">
        <v>26531</v>
      </c>
      <c r="P3822" t="s">
        <v>26565</v>
      </c>
      <c r="Q3822" t="s">
        <v>26571</v>
      </c>
      <c r="R3822" t="s">
        <v>26578</v>
      </c>
      <c r="S3822" t="s">
        <v>18958</v>
      </c>
      <c r="U3822" t="s">
        <v>26604</v>
      </c>
      <c r="V3822" t="s">
        <v>26610</v>
      </c>
      <c r="W3822" t="s">
        <v>452</v>
      </c>
      <c r="X3822">
        <v>0</v>
      </c>
      <c r="Y3822" t="s">
        <v>26652</v>
      </c>
      <c r="Z3822" t="s">
        <v>26667</v>
      </c>
      <c r="AA3822" t="s">
        <v>26682</v>
      </c>
      <c r="AB3822" t="s">
        <v>28179</v>
      </c>
      <c r="AD3822" t="s">
        <v>38229</v>
      </c>
      <c r="AE3822">
        <v>7</v>
      </c>
      <c r="AF3822" t="s">
        <v>45541</v>
      </c>
      <c r="AH3822">
        <v>17</v>
      </c>
      <c r="AI3822">
        <v>1</v>
      </c>
      <c r="AJ3822">
        <v>0</v>
      </c>
      <c r="AK3822">
        <v>38.43</v>
      </c>
      <c r="AN3822" t="s">
        <v>45581</v>
      </c>
      <c r="AO3822">
        <v>4800</v>
      </c>
      <c r="AU3822">
        <v>0.6</v>
      </c>
      <c r="AV3822" t="s">
        <v>731</v>
      </c>
      <c r="AW3822" t="s">
        <v>286</v>
      </c>
    </row>
    <row r="3823" spans="1:49">
      <c r="A3823" s="1">
        <f>HYPERLINK("https://lsnyc.legalserver.org/matter/dynamic-profile/view/1889304","19-1889304")</f>
        <v>0</v>
      </c>
      <c r="B3823" t="s">
        <v>73</v>
      </c>
      <c r="C3823" t="s">
        <v>341</v>
      </c>
      <c r="D3823" t="s">
        <v>694</v>
      </c>
      <c r="E3823" t="s">
        <v>794</v>
      </c>
      <c r="F3823" t="s">
        <v>1300</v>
      </c>
      <c r="G3823" t="s">
        <v>5385</v>
      </c>
      <c r="H3823" t="s">
        <v>9779</v>
      </c>
      <c r="I3823">
        <v>1</v>
      </c>
      <c r="J3823" t="s">
        <v>18894</v>
      </c>
      <c r="K3823">
        <v>11208</v>
      </c>
      <c r="L3823" t="s">
        <v>18958</v>
      </c>
      <c r="M3823" t="s">
        <v>18958</v>
      </c>
      <c r="N3823" t="s">
        <v>19330</v>
      </c>
      <c r="O3823" t="s">
        <v>26531</v>
      </c>
      <c r="P3823" t="s">
        <v>26565</v>
      </c>
      <c r="Q3823" t="s">
        <v>26571</v>
      </c>
      <c r="R3823" t="s">
        <v>26578</v>
      </c>
      <c r="S3823" t="s">
        <v>18958</v>
      </c>
      <c r="U3823" t="s">
        <v>26604</v>
      </c>
      <c r="V3823" t="s">
        <v>26610</v>
      </c>
      <c r="W3823" t="s">
        <v>452</v>
      </c>
      <c r="X3823">
        <v>450</v>
      </c>
      <c r="Y3823" t="s">
        <v>26652</v>
      </c>
      <c r="AA3823" t="s">
        <v>26682</v>
      </c>
      <c r="AB3823" t="s">
        <v>28105</v>
      </c>
      <c r="AE3823">
        <v>7</v>
      </c>
      <c r="AF3823" t="s">
        <v>45547</v>
      </c>
      <c r="AG3823" t="s">
        <v>19330</v>
      </c>
      <c r="AH3823">
        <v>5</v>
      </c>
      <c r="AI3823">
        <v>2</v>
      </c>
      <c r="AJ3823">
        <v>0</v>
      </c>
      <c r="AK3823">
        <v>58.19</v>
      </c>
      <c r="AN3823" t="s">
        <v>45581</v>
      </c>
      <c r="AO3823">
        <v>9840</v>
      </c>
      <c r="AU3823">
        <v>0.1</v>
      </c>
      <c r="AV3823" t="s">
        <v>737</v>
      </c>
      <c r="AW3823" t="s">
        <v>286</v>
      </c>
    </row>
    <row r="3824" spans="1:49">
      <c r="A3824" s="1">
        <f>HYPERLINK("https://lsnyc.legalserver.org/matter/dynamic-profile/view/1889327","19-1889327")</f>
        <v>0</v>
      </c>
      <c r="B3824" t="s">
        <v>73</v>
      </c>
      <c r="C3824" t="s">
        <v>341</v>
      </c>
      <c r="D3824" t="s">
        <v>694</v>
      </c>
      <c r="E3824" t="s">
        <v>781</v>
      </c>
      <c r="F3824" t="s">
        <v>1015</v>
      </c>
      <c r="G3824" t="s">
        <v>5200</v>
      </c>
      <c r="H3824" t="s">
        <v>9779</v>
      </c>
      <c r="J3824" t="s">
        <v>18894</v>
      </c>
      <c r="K3824">
        <v>11208</v>
      </c>
      <c r="L3824" t="s">
        <v>18958</v>
      </c>
      <c r="M3824" t="s">
        <v>18958</v>
      </c>
      <c r="O3824" t="s">
        <v>26531</v>
      </c>
      <c r="P3824" t="s">
        <v>26565</v>
      </c>
      <c r="Q3824" t="s">
        <v>26571</v>
      </c>
      <c r="R3824" t="s">
        <v>26578</v>
      </c>
      <c r="S3824" t="s">
        <v>18958</v>
      </c>
      <c r="U3824" t="s">
        <v>26604</v>
      </c>
      <c r="V3824" t="s">
        <v>26610</v>
      </c>
      <c r="W3824" t="s">
        <v>452</v>
      </c>
      <c r="X3824">
        <v>320</v>
      </c>
      <c r="Y3824" t="s">
        <v>26652</v>
      </c>
      <c r="AA3824" t="s">
        <v>26683</v>
      </c>
      <c r="AB3824" t="s">
        <v>26862</v>
      </c>
      <c r="AD3824" t="s">
        <v>36959</v>
      </c>
      <c r="AE3824">
        <v>7</v>
      </c>
      <c r="AF3824" t="s">
        <v>45547</v>
      </c>
      <c r="AH3824">
        <v>4</v>
      </c>
      <c r="AI3824">
        <v>1</v>
      </c>
      <c r="AJ3824">
        <v>0</v>
      </c>
      <c r="AK3824">
        <v>78.01000000000001</v>
      </c>
      <c r="AN3824" t="s">
        <v>45587</v>
      </c>
      <c r="AO3824">
        <v>9744</v>
      </c>
      <c r="AU3824">
        <v>0.1</v>
      </c>
      <c r="AV3824" t="s">
        <v>737</v>
      </c>
      <c r="AW3824" t="s">
        <v>286</v>
      </c>
    </row>
    <row r="3825" spans="1:50">
      <c r="A3825" s="1">
        <f>HYPERLINK("https://lsnyc.legalserver.org/matter/dynamic-profile/view/1889312","19-1889312")</f>
        <v>0</v>
      </c>
      <c r="B3825" t="s">
        <v>73</v>
      </c>
      <c r="C3825" t="s">
        <v>341</v>
      </c>
      <c r="D3825" t="s">
        <v>694</v>
      </c>
      <c r="E3825" t="s">
        <v>781</v>
      </c>
      <c r="F3825" t="s">
        <v>887</v>
      </c>
      <c r="G3825" t="s">
        <v>6021</v>
      </c>
      <c r="H3825" t="s">
        <v>9779</v>
      </c>
      <c r="I3825" t="s">
        <v>17685</v>
      </c>
      <c r="J3825" t="s">
        <v>18894</v>
      </c>
      <c r="K3825">
        <v>11208</v>
      </c>
      <c r="L3825" t="s">
        <v>18958</v>
      </c>
      <c r="M3825" t="s">
        <v>18958</v>
      </c>
      <c r="O3825" t="s">
        <v>26531</v>
      </c>
      <c r="P3825" t="s">
        <v>26565</v>
      </c>
      <c r="Q3825" t="s">
        <v>26571</v>
      </c>
      <c r="R3825" t="s">
        <v>26578</v>
      </c>
      <c r="S3825" t="s">
        <v>18958</v>
      </c>
      <c r="U3825" t="s">
        <v>26604</v>
      </c>
      <c r="V3825" t="s">
        <v>26610</v>
      </c>
      <c r="W3825" t="s">
        <v>452</v>
      </c>
      <c r="X3825">
        <v>300</v>
      </c>
      <c r="Y3825" t="s">
        <v>26652</v>
      </c>
      <c r="AA3825" t="s">
        <v>26682</v>
      </c>
      <c r="AB3825" t="s">
        <v>28106</v>
      </c>
      <c r="AD3825" t="s">
        <v>38157</v>
      </c>
      <c r="AE3825">
        <v>7</v>
      </c>
      <c r="AF3825" t="s">
        <v>45547</v>
      </c>
      <c r="AG3825" t="s">
        <v>19330</v>
      </c>
      <c r="AH3825">
        <v>3</v>
      </c>
      <c r="AI3825">
        <v>1</v>
      </c>
      <c r="AJ3825">
        <v>0</v>
      </c>
      <c r="AK3825">
        <v>104.08</v>
      </c>
      <c r="AN3825" t="s">
        <v>45581</v>
      </c>
      <c r="AO3825">
        <v>13000</v>
      </c>
      <c r="AU3825">
        <v>0.1</v>
      </c>
      <c r="AV3825" t="s">
        <v>737</v>
      </c>
      <c r="AW3825" t="s">
        <v>286</v>
      </c>
    </row>
    <row r="3826" spans="1:50">
      <c r="A3826" s="1">
        <f>HYPERLINK("https://lsnyc.legalserver.org/matter/dynamic-profile/view/1889442","19-1889442")</f>
        <v>0</v>
      </c>
      <c r="B3826" t="s">
        <v>95</v>
      </c>
      <c r="C3826" t="s">
        <v>340</v>
      </c>
      <c r="D3826" t="s">
        <v>677</v>
      </c>
      <c r="F3826" t="s">
        <v>2804</v>
      </c>
      <c r="G3826" t="s">
        <v>7062</v>
      </c>
      <c r="H3826" t="s">
        <v>12646</v>
      </c>
      <c r="I3826" t="s">
        <v>18017</v>
      </c>
      <c r="J3826" t="s">
        <v>18894</v>
      </c>
      <c r="K3826">
        <v>11233</v>
      </c>
      <c r="L3826" t="s">
        <v>18958</v>
      </c>
      <c r="M3826" t="s">
        <v>18958</v>
      </c>
      <c r="O3826" t="s">
        <v>26534</v>
      </c>
      <c r="P3826" t="s">
        <v>26562</v>
      </c>
      <c r="R3826" t="s">
        <v>26578</v>
      </c>
      <c r="S3826" t="s">
        <v>18958</v>
      </c>
      <c r="U3826" t="s">
        <v>26604</v>
      </c>
      <c r="V3826" t="s">
        <v>26610</v>
      </c>
      <c r="W3826" t="s">
        <v>452</v>
      </c>
      <c r="X3826">
        <v>0</v>
      </c>
      <c r="Y3826" t="s">
        <v>26652</v>
      </c>
      <c r="AB3826" t="s">
        <v>29432</v>
      </c>
      <c r="AE3826">
        <v>0</v>
      </c>
      <c r="AF3826" t="s">
        <v>45541</v>
      </c>
      <c r="AH3826">
        <v>0</v>
      </c>
      <c r="AI3826">
        <v>3</v>
      </c>
      <c r="AJ3826">
        <v>0</v>
      </c>
      <c r="AK3826">
        <v>909.52</v>
      </c>
      <c r="AN3826" t="s">
        <v>7439</v>
      </c>
      <c r="AO3826">
        <v>194000</v>
      </c>
      <c r="AU3826">
        <v>0</v>
      </c>
      <c r="AW3826" t="s">
        <v>286</v>
      </c>
    </row>
    <row r="3827" spans="1:50">
      <c r="A3827" s="1">
        <f>HYPERLINK("https://lsnyc.legalserver.org/matter/dynamic-profile/view/1895111","19-1895111")</f>
        <v>0</v>
      </c>
      <c r="B3827" t="s">
        <v>164</v>
      </c>
      <c r="C3827" t="s">
        <v>340</v>
      </c>
      <c r="D3827" t="s">
        <v>695</v>
      </c>
      <c r="F3827" t="s">
        <v>899</v>
      </c>
      <c r="G3827" t="s">
        <v>7051</v>
      </c>
      <c r="H3827" t="s">
        <v>9888</v>
      </c>
      <c r="I3827" t="s">
        <v>18015</v>
      </c>
      <c r="J3827" t="s">
        <v>18898</v>
      </c>
      <c r="K3827">
        <v>11691</v>
      </c>
      <c r="L3827" t="s">
        <v>18958</v>
      </c>
      <c r="M3827" t="s">
        <v>18958</v>
      </c>
      <c r="O3827" t="s">
        <v>26554</v>
      </c>
      <c r="P3827" t="s">
        <v>26562</v>
      </c>
      <c r="R3827" t="s">
        <v>26578</v>
      </c>
      <c r="S3827" t="s">
        <v>18959</v>
      </c>
      <c r="U3827" t="s">
        <v>26604</v>
      </c>
      <c r="V3827" t="s">
        <v>26610</v>
      </c>
      <c r="W3827" t="s">
        <v>452</v>
      </c>
      <c r="X3827">
        <v>0</v>
      </c>
      <c r="Y3827" t="s">
        <v>26653</v>
      </c>
      <c r="Z3827" t="s">
        <v>26659</v>
      </c>
      <c r="AB3827" t="s">
        <v>29898</v>
      </c>
      <c r="AC3827" t="s">
        <v>35620</v>
      </c>
      <c r="AD3827" t="s">
        <v>40018</v>
      </c>
      <c r="AE3827">
        <v>231</v>
      </c>
      <c r="AF3827" t="s">
        <v>45550</v>
      </c>
      <c r="AG3827" t="s">
        <v>45556</v>
      </c>
      <c r="AH3827">
        <v>35</v>
      </c>
      <c r="AI3827">
        <v>1</v>
      </c>
      <c r="AJ3827">
        <v>3</v>
      </c>
      <c r="AK3827">
        <v>0</v>
      </c>
      <c r="AN3827" t="s">
        <v>7439</v>
      </c>
      <c r="AO3827">
        <v>0</v>
      </c>
      <c r="AQ3827" t="s">
        <v>46362</v>
      </c>
      <c r="AR3827" t="s">
        <v>46481</v>
      </c>
      <c r="AS3827" t="s">
        <v>46499</v>
      </c>
      <c r="AT3827" t="s">
        <v>46707</v>
      </c>
      <c r="AU3827">
        <v>0.4</v>
      </c>
      <c r="AV3827" t="s">
        <v>792</v>
      </c>
      <c r="AW3827" t="s">
        <v>141</v>
      </c>
    </row>
    <row r="3828" spans="1:50">
      <c r="A3828" s="1">
        <f>HYPERLINK("https://lsnyc.legalserver.org/matter/dynamic-profile/view/1839193","17-1839193")</f>
        <v>0</v>
      </c>
      <c r="B3828" t="s">
        <v>110</v>
      </c>
      <c r="C3828" t="s">
        <v>341</v>
      </c>
      <c r="D3828" t="s">
        <v>444</v>
      </c>
      <c r="E3828" t="s">
        <v>712</v>
      </c>
      <c r="F3828" t="s">
        <v>880</v>
      </c>
      <c r="G3828" t="s">
        <v>7063</v>
      </c>
      <c r="H3828" t="s">
        <v>12647</v>
      </c>
      <c r="I3828" t="s">
        <v>17416</v>
      </c>
      <c r="J3828" t="s">
        <v>18901</v>
      </c>
      <c r="K3828">
        <v>11433</v>
      </c>
      <c r="L3828" t="s">
        <v>18958</v>
      </c>
      <c r="M3828" t="s">
        <v>18958</v>
      </c>
      <c r="N3828" t="s">
        <v>21861</v>
      </c>
      <c r="O3828" t="s">
        <v>26524</v>
      </c>
      <c r="P3828" t="s">
        <v>26560</v>
      </c>
      <c r="Q3828" t="s">
        <v>26568</v>
      </c>
      <c r="R3828" t="s">
        <v>26585</v>
      </c>
      <c r="S3828" t="s">
        <v>18959</v>
      </c>
      <c r="U3828" t="s">
        <v>26604</v>
      </c>
      <c r="V3828" t="s">
        <v>26610</v>
      </c>
      <c r="W3828" t="s">
        <v>689</v>
      </c>
      <c r="X3828">
        <v>1735</v>
      </c>
      <c r="Y3828" t="s">
        <v>26653</v>
      </c>
      <c r="Z3828" t="s">
        <v>26666</v>
      </c>
      <c r="AA3828" t="s">
        <v>26678</v>
      </c>
      <c r="AB3828" t="s">
        <v>28654</v>
      </c>
      <c r="AC3828" t="s">
        <v>19045</v>
      </c>
      <c r="AD3828" t="s">
        <v>40042</v>
      </c>
      <c r="AE3828">
        <v>2</v>
      </c>
      <c r="AF3828" t="s">
        <v>45547</v>
      </c>
      <c r="AG3828" t="s">
        <v>19330</v>
      </c>
      <c r="AH3828">
        <v>10</v>
      </c>
      <c r="AI3828">
        <v>3</v>
      </c>
      <c r="AJ3828">
        <v>1</v>
      </c>
      <c r="AK3828">
        <v>162.6</v>
      </c>
      <c r="AN3828" t="s">
        <v>7439</v>
      </c>
      <c r="AO3828">
        <v>40000</v>
      </c>
      <c r="AR3828" t="s">
        <v>46379</v>
      </c>
      <c r="AS3828" t="s">
        <v>46499</v>
      </c>
      <c r="AT3828" t="s">
        <v>46667</v>
      </c>
      <c r="AU3828">
        <v>9.800000000000001</v>
      </c>
      <c r="AV3828" t="s">
        <v>587</v>
      </c>
      <c r="AW3828" t="s">
        <v>110</v>
      </c>
    </row>
    <row r="3829" spans="1:50">
      <c r="A3829" s="1">
        <f>HYPERLINK("https://lsnyc.legalserver.org/matter/dynamic-profile/view/1851826","17-1851826")</f>
        <v>0</v>
      </c>
      <c r="B3829" t="s">
        <v>110</v>
      </c>
      <c r="C3829" t="s">
        <v>341</v>
      </c>
      <c r="D3829" t="s">
        <v>673</v>
      </c>
      <c r="E3829" t="s">
        <v>691</v>
      </c>
      <c r="F3829" t="s">
        <v>2805</v>
      </c>
      <c r="G3829" t="s">
        <v>5419</v>
      </c>
      <c r="H3829" t="s">
        <v>12648</v>
      </c>
      <c r="I3829" t="s">
        <v>17334</v>
      </c>
      <c r="J3829" t="s">
        <v>18901</v>
      </c>
      <c r="K3829">
        <v>11434</v>
      </c>
      <c r="L3829" t="s">
        <v>18958</v>
      </c>
      <c r="M3829" t="s">
        <v>18958</v>
      </c>
      <c r="N3829" t="s">
        <v>21862</v>
      </c>
      <c r="O3829" t="s">
        <v>26523</v>
      </c>
      <c r="P3829" t="s">
        <v>26560</v>
      </c>
      <c r="Q3829" t="s">
        <v>26568</v>
      </c>
      <c r="R3829" t="s">
        <v>26585</v>
      </c>
      <c r="S3829" t="s">
        <v>18959</v>
      </c>
      <c r="U3829" t="s">
        <v>26604</v>
      </c>
      <c r="V3829" t="s">
        <v>26610</v>
      </c>
      <c r="W3829" t="s">
        <v>689</v>
      </c>
      <c r="X3829">
        <v>800</v>
      </c>
      <c r="Y3829" t="s">
        <v>26653</v>
      </c>
      <c r="Z3829" t="s">
        <v>26530</v>
      </c>
      <c r="AA3829" t="s">
        <v>26679</v>
      </c>
      <c r="AB3829" t="s">
        <v>29922</v>
      </c>
      <c r="AC3829" t="s">
        <v>19045</v>
      </c>
      <c r="AD3829" t="s">
        <v>40043</v>
      </c>
      <c r="AE3829">
        <v>3</v>
      </c>
      <c r="AF3829" t="s">
        <v>45547</v>
      </c>
      <c r="AG3829" t="s">
        <v>19330</v>
      </c>
      <c r="AH3829">
        <v>2</v>
      </c>
      <c r="AI3829">
        <v>2</v>
      </c>
      <c r="AJ3829">
        <v>1</v>
      </c>
      <c r="AK3829">
        <v>193.85</v>
      </c>
      <c r="AN3829" t="s">
        <v>7439</v>
      </c>
      <c r="AO3829">
        <v>39585</v>
      </c>
      <c r="AR3829" t="s">
        <v>46381</v>
      </c>
      <c r="AS3829" t="s">
        <v>46500</v>
      </c>
      <c r="AT3829" t="s">
        <v>46776</v>
      </c>
      <c r="AU3829">
        <v>6.7</v>
      </c>
      <c r="AV3829" t="s">
        <v>456</v>
      </c>
      <c r="AW3829" t="s">
        <v>85</v>
      </c>
    </row>
    <row r="3830" spans="1:50">
      <c r="A3830" s="1">
        <f>HYPERLINK("https://lsnyc.legalserver.org/matter/dynamic-profile/view/1853515","17-1853515")</f>
        <v>0</v>
      </c>
      <c r="B3830" t="s">
        <v>82</v>
      </c>
      <c r="C3830" t="s">
        <v>340</v>
      </c>
      <c r="D3830" t="s">
        <v>696</v>
      </c>
      <c r="F3830" t="s">
        <v>990</v>
      </c>
      <c r="G3830" t="s">
        <v>7064</v>
      </c>
      <c r="H3830" t="s">
        <v>12649</v>
      </c>
      <c r="I3830" t="s">
        <v>18018</v>
      </c>
      <c r="J3830" t="s">
        <v>18892</v>
      </c>
      <c r="K3830">
        <v>10460</v>
      </c>
      <c r="L3830" t="s">
        <v>18958</v>
      </c>
      <c r="M3830" t="s">
        <v>18960</v>
      </c>
      <c r="N3830" t="s">
        <v>21863</v>
      </c>
      <c r="O3830" t="s">
        <v>26524</v>
      </c>
      <c r="P3830" t="s">
        <v>26560</v>
      </c>
      <c r="R3830" t="s">
        <v>26577</v>
      </c>
      <c r="U3830" t="s">
        <v>26604</v>
      </c>
      <c r="V3830" t="s">
        <v>26611</v>
      </c>
      <c r="W3830" t="s">
        <v>689</v>
      </c>
      <c r="X3830">
        <v>1341</v>
      </c>
      <c r="Y3830" t="s">
        <v>26650</v>
      </c>
      <c r="Z3830" t="s">
        <v>26659</v>
      </c>
      <c r="AB3830" t="s">
        <v>29923</v>
      </c>
      <c r="AC3830" t="s">
        <v>35629</v>
      </c>
      <c r="AD3830" t="s">
        <v>40044</v>
      </c>
      <c r="AE3830">
        <v>0</v>
      </c>
      <c r="AF3830" t="s">
        <v>45541</v>
      </c>
      <c r="AG3830" t="s">
        <v>45557</v>
      </c>
      <c r="AH3830">
        <v>2</v>
      </c>
      <c r="AI3830">
        <v>1</v>
      </c>
      <c r="AJ3830">
        <v>5</v>
      </c>
      <c r="AK3830">
        <v>66.31999999999999</v>
      </c>
      <c r="AN3830" t="s">
        <v>45588</v>
      </c>
      <c r="AO3830">
        <v>21858</v>
      </c>
      <c r="AP3830" t="s">
        <v>45617</v>
      </c>
      <c r="AU3830">
        <v>21.7</v>
      </c>
      <c r="AV3830" t="s">
        <v>833</v>
      </c>
      <c r="AW3830" t="s">
        <v>46836</v>
      </c>
    </row>
    <row r="3831" spans="1:50">
      <c r="A3831" s="1">
        <f>HYPERLINK("https://lsnyc.legalserver.org/matter/dynamic-profile/view/1864932","18-1864932")</f>
        <v>0</v>
      </c>
      <c r="B3831" t="s">
        <v>110</v>
      </c>
      <c r="C3831" t="s">
        <v>341</v>
      </c>
      <c r="D3831" t="s">
        <v>489</v>
      </c>
      <c r="E3831" t="s">
        <v>691</v>
      </c>
      <c r="F3831" t="s">
        <v>2806</v>
      </c>
      <c r="G3831" t="s">
        <v>7065</v>
      </c>
      <c r="H3831" t="s">
        <v>12650</v>
      </c>
      <c r="I3831" t="s">
        <v>17308</v>
      </c>
      <c r="J3831" t="s">
        <v>18901</v>
      </c>
      <c r="K3831">
        <v>11433</v>
      </c>
      <c r="L3831" t="s">
        <v>18958</v>
      </c>
      <c r="M3831" t="s">
        <v>18958</v>
      </c>
      <c r="N3831" t="s">
        <v>21864</v>
      </c>
      <c r="O3831" t="s">
        <v>26524</v>
      </c>
      <c r="P3831" t="s">
        <v>26560</v>
      </c>
      <c r="Q3831" t="s">
        <v>26568</v>
      </c>
      <c r="R3831" t="s">
        <v>26585</v>
      </c>
      <c r="S3831" t="s">
        <v>18959</v>
      </c>
      <c r="U3831" t="s">
        <v>26604</v>
      </c>
      <c r="V3831" t="s">
        <v>26610</v>
      </c>
      <c r="W3831" t="s">
        <v>689</v>
      </c>
      <c r="X3831">
        <v>800</v>
      </c>
      <c r="Y3831" t="s">
        <v>26653</v>
      </c>
      <c r="Z3831" t="s">
        <v>26656</v>
      </c>
      <c r="AA3831" t="s">
        <v>26679</v>
      </c>
      <c r="AB3831" t="s">
        <v>29924</v>
      </c>
      <c r="AC3831" t="s">
        <v>35630</v>
      </c>
      <c r="AD3831" t="s">
        <v>40045</v>
      </c>
      <c r="AE3831">
        <v>3</v>
      </c>
      <c r="AF3831" t="s">
        <v>45547</v>
      </c>
      <c r="AG3831" t="s">
        <v>45560</v>
      </c>
      <c r="AH3831">
        <v>1</v>
      </c>
      <c r="AI3831">
        <v>1</v>
      </c>
      <c r="AJ3831">
        <v>0</v>
      </c>
      <c r="AK3831">
        <v>19.6</v>
      </c>
      <c r="AN3831" t="s">
        <v>7439</v>
      </c>
      <c r="AO3831">
        <v>2379</v>
      </c>
      <c r="AR3831" t="s">
        <v>46381</v>
      </c>
      <c r="AS3831" t="s">
        <v>46500</v>
      </c>
      <c r="AT3831" t="s">
        <v>46534</v>
      </c>
      <c r="AU3831">
        <v>18.9</v>
      </c>
      <c r="AV3831" t="s">
        <v>529</v>
      </c>
      <c r="AW3831" t="s">
        <v>85</v>
      </c>
    </row>
    <row r="3832" spans="1:50">
      <c r="A3832" s="1">
        <f>HYPERLINK("https://lsnyc.legalserver.org/matter/dynamic-profile/view/1875582","18-1875582")</f>
        <v>0</v>
      </c>
      <c r="B3832" t="s">
        <v>110</v>
      </c>
      <c r="C3832" t="s">
        <v>341</v>
      </c>
      <c r="D3832" t="s">
        <v>521</v>
      </c>
      <c r="E3832" t="s">
        <v>691</v>
      </c>
      <c r="F3832" t="s">
        <v>2807</v>
      </c>
      <c r="G3832" t="s">
        <v>7066</v>
      </c>
      <c r="H3832" t="s">
        <v>12651</v>
      </c>
      <c r="I3832" t="s">
        <v>17490</v>
      </c>
      <c r="J3832" t="s">
        <v>18912</v>
      </c>
      <c r="K3832">
        <v>11374</v>
      </c>
      <c r="L3832" t="s">
        <v>18958</v>
      </c>
      <c r="M3832" t="s">
        <v>18958</v>
      </c>
      <c r="N3832" t="s">
        <v>21865</v>
      </c>
      <c r="O3832" t="s">
        <v>26523</v>
      </c>
      <c r="P3832" t="s">
        <v>26560</v>
      </c>
      <c r="Q3832" t="s">
        <v>26568</v>
      </c>
      <c r="R3832" t="s">
        <v>26584</v>
      </c>
      <c r="S3832" t="s">
        <v>18959</v>
      </c>
      <c r="U3832" t="s">
        <v>26604</v>
      </c>
      <c r="W3832" t="s">
        <v>689</v>
      </c>
      <c r="X3832">
        <v>1670.63</v>
      </c>
      <c r="Y3832" t="s">
        <v>26653</v>
      </c>
      <c r="Z3832" t="s">
        <v>26664</v>
      </c>
      <c r="AA3832" t="s">
        <v>26679</v>
      </c>
      <c r="AB3832" t="s">
        <v>29925</v>
      </c>
      <c r="AC3832" t="s">
        <v>19330</v>
      </c>
      <c r="AD3832" t="s">
        <v>40046</v>
      </c>
      <c r="AE3832">
        <v>50</v>
      </c>
      <c r="AF3832" t="s">
        <v>45541</v>
      </c>
      <c r="AG3832" t="s">
        <v>19330</v>
      </c>
      <c r="AH3832">
        <v>4</v>
      </c>
      <c r="AI3832">
        <v>1</v>
      </c>
      <c r="AJ3832">
        <v>1</v>
      </c>
      <c r="AK3832">
        <v>221.14</v>
      </c>
      <c r="AL3832" t="s">
        <v>800</v>
      </c>
      <c r="AM3832" t="s">
        <v>45575</v>
      </c>
      <c r="AN3832" t="s">
        <v>7439</v>
      </c>
      <c r="AO3832">
        <v>36400</v>
      </c>
      <c r="AR3832" t="s">
        <v>46381</v>
      </c>
      <c r="AS3832" t="s">
        <v>46500</v>
      </c>
      <c r="AT3832" t="s">
        <v>46661</v>
      </c>
      <c r="AU3832">
        <v>4.35</v>
      </c>
      <c r="AV3832" t="s">
        <v>641</v>
      </c>
      <c r="AW3832" t="s">
        <v>161</v>
      </c>
    </row>
    <row r="3833" spans="1:50">
      <c r="A3833" s="1">
        <f>HYPERLINK("https://lsnyc.legalserver.org/matter/dynamic-profile/view/1877052","18-1877052")</f>
        <v>0</v>
      </c>
      <c r="B3833" t="s">
        <v>110</v>
      </c>
      <c r="C3833" t="s">
        <v>341</v>
      </c>
      <c r="D3833" t="s">
        <v>579</v>
      </c>
      <c r="E3833" t="s">
        <v>691</v>
      </c>
      <c r="F3833" t="s">
        <v>2808</v>
      </c>
      <c r="G3833" t="s">
        <v>7067</v>
      </c>
      <c r="H3833" t="s">
        <v>12652</v>
      </c>
      <c r="I3833" t="s">
        <v>17568</v>
      </c>
      <c r="J3833" t="s">
        <v>18901</v>
      </c>
      <c r="K3833">
        <v>11432</v>
      </c>
      <c r="L3833" t="s">
        <v>18958</v>
      </c>
      <c r="M3833" t="s">
        <v>18958</v>
      </c>
      <c r="N3833" t="s">
        <v>21866</v>
      </c>
      <c r="O3833" t="s">
        <v>26524</v>
      </c>
      <c r="P3833" t="s">
        <v>26564</v>
      </c>
      <c r="Q3833" t="s">
        <v>26570</v>
      </c>
      <c r="R3833" t="s">
        <v>26584</v>
      </c>
      <c r="S3833" t="s">
        <v>18959</v>
      </c>
      <c r="U3833" t="s">
        <v>26604</v>
      </c>
      <c r="V3833" t="s">
        <v>26610</v>
      </c>
      <c r="W3833" t="s">
        <v>689</v>
      </c>
      <c r="X3833">
        <v>1086</v>
      </c>
      <c r="Y3833" t="s">
        <v>26653</v>
      </c>
      <c r="Z3833" t="s">
        <v>26664</v>
      </c>
      <c r="AA3833" t="s">
        <v>26683</v>
      </c>
      <c r="AB3833" t="s">
        <v>29926</v>
      </c>
      <c r="AC3833" t="s">
        <v>35631</v>
      </c>
      <c r="AD3833" t="s">
        <v>40047</v>
      </c>
      <c r="AE3833">
        <v>64</v>
      </c>
      <c r="AF3833" t="s">
        <v>45553</v>
      </c>
      <c r="AG3833" t="s">
        <v>45556</v>
      </c>
      <c r="AH3833">
        <v>5</v>
      </c>
      <c r="AI3833">
        <v>1</v>
      </c>
      <c r="AJ3833">
        <v>0</v>
      </c>
      <c r="AK3833">
        <v>123.56</v>
      </c>
      <c r="AN3833" t="s">
        <v>7439</v>
      </c>
      <c r="AO3833">
        <v>15000</v>
      </c>
      <c r="AU3833">
        <v>0.25</v>
      </c>
      <c r="AV3833" t="s">
        <v>689</v>
      </c>
      <c r="AW3833" t="s">
        <v>208</v>
      </c>
    </row>
    <row r="3834" spans="1:50">
      <c r="A3834" s="1">
        <f>HYPERLINK("https://lsnyc.legalserver.org/matter/dynamic-profile/view/1877549","18-1877549")</f>
        <v>0</v>
      </c>
      <c r="B3834" t="s">
        <v>126</v>
      </c>
      <c r="C3834" t="s">
        <v>341</v>
      </c>
      <c r="D3834" t="s">
        <v>545</v>
      </c>
      <c r="E3834" t="s">
        <v>657</v>
      </c>
      <c r="F3834" t="s">
        <v>1857</v>
      </c>
      <c r="G3834" t="s">
        <v>1384</v>
      </c>
      <c r="H3834" t="s">
        <v>12653</v>
      </c>
      <c r="I3834" t="s">
        <v>18019</v>
      </c>
      <c r="J3834" t="s">
        <v>18894</v>
      </c>
      <c r="K3834">
        <v>11207</v>
      </c>
      <c r="L3834" t="s">
        <v>18958</v>
      </c>
      <c r="M3834" t="s">
        <v>18958</v>
      </c>
      <c r="N3834" t="s">
        <v>18997</v>
      </c>
      <c r="O3834" t="s">
        <v>18997</v>
      </c>
      <c r="P3834" t="s">
        <v>26565</v>
      </c>
      <c r="Q3834" t="s">
        <v>26569</v>
      </c>
      <c r="R3834" t="s">
        <v>26578</v>
      </c>
      <c r="S3834" t="s">
        <v>18959</v>
      </c>
      <c r="U3834" t="s">
        <v>26604</v>
      </c>
      <c r="V3834" t="s">
        <v>26610</v>
      </c>
      <c r="W3834" t="s">
        <v>689</v>
      </c>
      <c r="X3834">
        <v>1425</v>
      </c>
      <c r="Y3834" t="s">
        <v>26652</v>
      </c>
      <c r="AA3834" t="s">
        <v>26687</v>
      </c>
      <c r="AB3834" t="s">
        <v>29927</v>
      </c>
      <c r="AC3834" t="s">
        <v>35632</v>
      </c>
      <c r="AD3834" t="s">
        <v>40048</v>
      </c>
      <c r="AE3834">
        <v>72</v>
      </c>
      <c r="AF3834" t="s">
        <v>45552</v>
      </c>
      <c r="AG3834" t="s">
        <v>19330</v>
      </c>
      <c r="AH3834">
        <v>4</v>
      </c>
      <c r="AI3834">
        <v>1</v>
      </c>
      <c r="AJ3834">
        <v>0</v>
      </c>
      <c r="AK3834">
        <v>65.23999999999999</v>
      </c>
      <c r="AN3834" t="s">
        <v>7439</v>
      </c>
      <c r="AO3834">
        <v>7920</v>
      </c>
      <c r="AU3834">
        <v>2.6</v>
      </c>
      <c r="AV3834" t="s">
        <v>657</v>
      </c>
      <c r="AW3834" t="s">
        <v>46849</v>
      </c>
      <c r="AX3834" t="s">
        <v>46897</v>
      </c>
    </row>
    <row r="3835" spans="1:50">
      <c r="A3835" s="1">
        <f>HYPERLINK("https://lsnyc.legalserver.org/matter/dynamic-profile/view/1884106","18-1884106")</f>
        <v>0</v>
      </c>
      <c r="B3835" t="s">
        <v>110</v>
      </c>
      <c r="C3835" t="s">
        <v>341</v>
      </c>
      <c r="D3835" t="s">
        <v>652</v>
      </c>
      <c r="E3835" t="s">
        <v>691</v>
      </c>
      <c r="F3835" t="s">
        <v>1021</v>
      </c>
      <c r="G3835" t="s">
        <v>6213</v>
      </c>
      <c r="H3835" t="s">
        <v>12654</v>
      </c>
      <c r="J3835" t="s">
        <v>18943</v>
      </c>
      <c r="K3835">
        <v>11414</v>
      </c>
      <c r="L3835" t="s">
        <v>18958</v>
      </c>
      <c r="M3835" t="s">
        <v>18958</v>
      </c>
      <c r="N3835" t="s">
        <v>21867</v>
      </c>
      <c r="O3835" t="s">
        <v>26523</v>
      </c>
      <c r="P3835" t="s">
        <v>26564</v>
      </c>
      <c r="Q3835" t="s">
        <v>26570</v>
      </c>
      <c r="R3835" t="s">
        <v>26584</v>
      </c>
      <c r="S3835" t="s">
        <v>18959</v>
      </c>
      <c r="U3835" t="s">
        <v>26604</v>
      </c>
      <c r="V3835" t="s">
        <v>26611</v>
      </c>
      <c r="W3835" t="s">
        <v>689</v>
      </c>
      <c r="X3835">
        <v>1600</v>
      </c>
      <c r="Y3835" t="s">
        <v>26653</v>
      </c>
      <c r="Z3835" t="s">
        <v>26664</v>
      </c>
      <c r="AA3835" t="s">
        <v>26683</v>
      </c>
      <c r="AB3835" t="s">
        <v>29928</v>
      </c>
      <c r="AD3835" t="s">
        <v>40049</v>
      </c>
      <c r="AE3835">
        <v>2</v>
      </c>
      <c r="AF3835" t="s">
        <v>20460</v>
      </c>
      <c r="AG3835" t="s">
        <v>19330</v>
      </c>
      <c r="AH3835">
        <v>18</v>
      </c>
      <c r="AI3835">
        <v>1</v>
      </c>
      <c r="AJ3835">
        <v>0</v>
      </c>
      <c r="AK3835">
        <v>0</v>
      </c>
      <c r="AN3835" t="s">
        <v>7439</v>
      </c>
      <c r="AO3835">
        <v>0</v>
      </c>
      <c r="AU3835">
        <v>0.5</v>
      </c>
      <c r="AV3835" t="s">
        <v>687</v>
      </c>
      <c r="AW3835" t="s">
        <v>208</v>
      </c>
    </row>
    <row r="3836" spans="1:50">
      <c r="A3836" s="1">
        <f>HYPERLINK("https://lsnyc.legalserver.org/matter/dynamic-profile/view/1884559","18-1884559")</f>
        <v>0</v>
      </c>
      <c r="B3836" t="s">
        <v>199</v>
      </c>
      <c r="C3836" t="s">
        <v>340</v>
      </c>
      <c r="D3836" t="s">
        <v>678</v>
      </c>
      <c r="F3836" t="s">
        <v>2809</v>
      </c>
      <c r="G3836" t="s">
        <v>6119</v>
      </c>
      <c r="H3836" t="s">
        <v>11395</v>
      </c>
      <c r="I3836">
        <v>10</v>
      </c>
      <c r="J3836" t="s">
        <v>18894</v>
      </c>
      <c r="K3836">
        <v>11238</v>
      </c>
      <c r="L3836" t="s">
        <v>18958</v>
      </c>
      <c r="M3836" t="s">
        <v>18958</v>
      </c>
      <c r="O3836" t="s">
        <v>26531</v>
      </c>
      <c r="P3836" t="s">
        <v>26562</v>
      </c>
      <c r="R3836" t="s">
        <v>26578</v>
      </c>
      <c r="S3836" t="s">
        <v>18958</v>
      </c>
      <c r="U3836" t="s">
        <v>26604</v>
      </c>
      <c r="V3836" t="s">
        <v>26610</v>
      </c>
      <c r="W3836" t="s">
        <v>689</v>
      </c>
      <c r="X3836">
        <v>0</v>
      </c>
      <c r="Y3836" t="s">
        <v>26652</v>
      </c>
      <c r="AB3836" t="s">
        <v>29929</v>
      </c>
      <c r="AE3836">
        <v>41</v>
      </c>
      <c r="AF3836" t="s">
        <v>45541</v>
      </c>
      <c r="AH3836">
        <v>0</v>
      </c>
      <c r="AI3836">
        <v>2</v>
      </c>
      <c r="AJ3836">
        <v>0</v>
      </c>
      <c r="AK3836">
        <v>236.94</v>
      </c>
      <c r="AN3836" t="s">
        <v>7439</v>
      </c>
      <c r="AO3836">
        <v>39000</v>
      </c>
      <c r="AU3836">
        <v>0.5</v>
      </c>
      <c r="AV3836" t="s">
        <v>731</v>
      </c>
      <c r="AW3836" t="s">
        <v>46856</v>
      </c>
    </row>
    <row r="3837" spans="1:50">
      <c r="A3837" s="1">
        <f>HYPERLINK("https://lsnyc.legalserver.org/matter/dynamic-profile/view/1885230","18-1885230")</f>
        <v>0</v>
      </c>
      <c r="B3837" t="s">
        <v>149</v>
      </c>
      <c r="C3837" t="s">
        <v>340</v>
      </c>
      <c r="D3837" t="s">
        <v>682</v>
      </c>
      <c r="F3837" t="s">
        <v>999</v>
      </c>
      <c r="G3837" t="s">
        <v>1725</v>
      </c>
      <c r="H3837" t="s">
        <v>12655</v>
      </c>
      <c r="I3837" t="s">
        <v>17792</v>
      </c>
      <c r="J3837" t="s">
        <v>18892</v>
      </c>
      <c r="K3837">
        <v>10467</v>
      </c>
      <c r="L3837" t="s">
        <v>18958</v>
      </c>
      <c r="M3837" t="s">
        <v>18958</v>
      </c>
      <c r="N3837" t="s">
        <v>21868</v>
      </c>
      <c r="O3837" t="s">
        <v>26523</v>
      </c>
      <c r="P3837" t="s">
        <v>26560</v>
      </c>
      <c r="R3837" t="s">
        <v>26579</v>
      </c>
      <c r="S3837" t="s">
        <v>18959</v>
      </c>
      <c r="U3837" t="s">
        <v>26604</v>
      </c>
      <c r="V3837" t="s">
        <v>26610</v>
      </c>
      <c r="W3837" t="s">
        <v>689</v>
      </c>
      <c r="X3837">
        <v>1400</v>
      </c>
      <c r="Y3837" t="s">
        <v>26650</v>
      </c>
      <c r="Z3837" t="s">
        <v>26664</v>
      </c>
      <c r="AB3837" t="s">
        <v>29930</v>
      </c>
      <c r="AE3837">
        <v>54</v>
      </c>
      <c r="AF3837" t="s">
        <v>20460</v>
      </c>
      <c r="AG3837" t="s">
        <v>19330</v>
      </c>
      <c r="AH3837">
        <v>5</v>
      </c>
      <c r="AI3837">
        <v>2</v>
      </c>
      <c r="AJ3837">
        <v>1</v>
      </c>
      <c r="AK3837">
        <v>86.62</v>
      </c>
      <c r="AN3837" t="s">
        <v>45581</v>
      </c>
      <c r="AO3837">
        <v>18000</v>
      </c>
      <c r="AU3837">
        <v>13.65</v>
      </c>
      <c r="AV3837" t="s">
        <v>835</v>
      </c>
      <c r="AW3837" t="s">
        <v>336</v>
      </c>
    </row>
    <row r="3838" spans="1:50">
      <c r="A3838" s="1">
        <f>HYPERLINK("https://lsnyc.legalserver.org/matter/dynamic-profile/view/1884900","18-1884900")</f>
        <v>0</v>
      </c>
      <c r="B3838" t="s">
        <v>120</v>
      </c>
      <c r="C3838" t="s">
        <v>340</v>
      </c>
      <c r="D3838" t="s">
        <v>518</v>
      </c>
      <c r="F3838" t="s">
        <v>2810</v>
      </c>
      <c r="G3838" t="s">
        <v>7068</v>
      </c>
      <c r="H3838" t="s">
        <v>12532</v>
      </c>
      <c r="I3838" t="s">
        <v>17275</v>
      </c>
      <c r="J3838" t="s">
        <v>18892</v>
      </c>
      <c r="K3838">
        <v>10468</v>
      </c>
      <c r="L3838" t="s">
        <v>18958</v>
      </c>
      <c r="M3838" t="s">
        <v>18958</v>
      </c>
      <c r="N3838" t="s">
        <v>21869</v>
      </c>
      <c r="O3838" t="s">
        <v>26523</v>
      </c>
      <c r="P3838" t="s">
        <v>26560</v>
      </c>
      <c r="R3838" t="s">
        <v>26579</v>
      </c>
      <c r="S3838" t="s">
        <v>18959</v>
      </c>
      <c r="U3838" t="s">
        <v>26604</v>
      </c>
      <c r="V3838" t="s">
        <v>26610</v>
      </c>
      <c r="W3838" t="s">
        <v>689</v>
      </c>
      <c r="X3838">
        <v>1400</v>
      </c>
      <c r="Y3838" t="s">
        <v>26650</v>
      </c>
      <c r="Z3838" t="s">
        <v>26668</v>
      </c>
      <c r="AB3838" t="s">
        <v>29931</v>
      </c>
      <c r="AC3838" t="s">
        <v>35633</v>
      </c>
      <c r="AD3838" t="s">
        <v>40050</v>
      </c>
      <c r="AE3838">
        <v>0</v>
      </c>
      <c r="AF3838" t="s">
        <v>20460</v>
      </c>
      <c r="AG3838" t="s">
        <v>45558</v>
      </c>
      <c r="AH3838">
        <v>7</v>
      </c>
      <c r="AI3838">
        <v>1</v>
      </c>
      <c r="AJ3838">
        <v>1</v>
      </c>
      <c r="AK3838">
        <v>16.91</v>
      </c>
      <c r="AN3838" t="s">
        <v>45581</v>
      </c>
      <c r="AO3838">
        <v>2784</v>
      </c>
      <c r="AQ3838" t="s">
        <v>46359</v>
      </c>
      <c r="AR3838" t="s">
        <v>46381</v>
      </c>
      <c r="AS3838" t="s">
        <v>46499</v>
      </c>
      <c r="AT3838" t="s">
        <v>46569</v>
      </c>
      <c r="AU3838">
        <v>11.8</v>
      </c>
      <c r="AV3838" t="s">
        <v>672</v>
      </c>
      <c r="AW3838" t="s">
        <v>46847</v>
      </c>
    </row>
    <row r="3839" spans="1:50">
      <c r="A3839" s="1">
        <f>HYPERLINK("https://lsnyc.legalserver.org/matter/dynamic-profile/view/1885423","18-1885423")</f>
        <v>0</v>
      </c>
      <c r="B3839" t="s">
        <v>77</v>
      </c>
      <c r="C3839" t="s">
        <v>341</v>
      </c>
      <c r="D3839" t="s">
        <v>689</v>
      </c>
      <c r="E3839" t="s">
        <v>670</v>
      </c>
      <c r="F3839" t="s">
        <v>2811</v>
      </c>
      <c r="G3839" t="s">
        <v>6289</v>
      </c>
      <c r="H3839" t="s">
        <v>12656</v>
      </c>
      <c r="I3839" t="s">
        <v>17275</v>
      </c>
      <c r="J3839" t="s">
        <v>18893</v>
      </c>
      <c r="K3839">
        <v>10026</v>
      </c>
      <c r="L3839" t="s">
        <v>18958</v>
      </c>
      <c r="M3839" t="s">
        <v>18958</v>
      </c>
      <c r="N3839" t="s">
        <v>21870</v>
      </c>
      <c r="O3839" t="s">
        <v>26523</v>
      </c>
      <c r="P3839" t="s">
        <v>26564</v>
      </c>
      <c r="Q3839" t="s">
        <v>26570</v>
      </c>
      <c r="R3839" t="s">
        <v>26578</v>
      </c>
      <c r="S3839" t="s">
        <v>18959</v>
      </c>
      <c r="U3839" t="s">
        <v>26604</v>
      </c>
      <c r="V3839" t="s">
        <v>26610</v>
      </c>
      <c r="W3839" t="s">
        <v>689</v>
      </c>
      <c r="X3839">
        <v>3850</v>
      </c>
      <c r="Y3839" t="s">
        <v>26651</v>
      </c>
      <c r="Z3839" t="s">
        <v>26668</v>
      </c>
      <c r="AA3839" t="s">
        <v>26683</v>
      </c>
      <c r="AB3839" t="s">
        <v>29932</v>
      </c>
      <c r="AD3839" t="s">
        <v>40051</v>
      </c>
      <c r="AE3839">
        <v>0</v>
      </c>
      <c r="AF3839" t="s">
        <v>20460</v>
      </c>
      <c r="AG3839" t="s">
        <v>19330</v>
      </c>
      <c r="AH3839">
        <v>-1</v>
      </c>
      <c r="AI3839">
        <v>1</v>
      </c>
      <c r="AJ3839">
        <v>0</v>
      </c>
      <c r="AK3839">
        <v>370.68</v>
      </c>
      <c r="AN3839" t="s">
        <v>7439</v>
      </c>
      <c r="AO3839">
        <v>45000</v>
      </c>
      <c r="AU3839">
        <v>0.6</v>
      </c>
      <c r="AV3839" t="s">
        <v>689</v>
      </c>
      <c r="AW3839" t="s">
        <v>314</v>
      </c>
    </row>
    <row r="3840" spans="1:50">
      <c r="A3840" s="1">
        <f>HYPERLINK("https://lsnyc.legalserver.org/matter/dynamic-profile/view/1885455","18-1885455")</f>
        <v>0</v>
      </c>
      <c r="B3840" t="s">
        <v>251</v>
      </c>
      <c r="C3840" t="s">
        <v>341</v>
      </c>
      <c r="D3840" t="s">
        <v>689</v>
      </c>
      <c r="E3840" t="s">
        <v>770</v>
      </c>
      <c r="F3840" t="s">
        <v>1136</v>
      </c>
      <c r="G3840" t="s">
        <v>7069</v>
      </c>
      <c r="H3840" t="s">
        <v>12657</v>
      </c>
      <c r="I3840" t="s">
        <v>17274</v>
      </c>
      <c r="J3840" t="s">
        <v>18892</v>
      </c>
      <c r="K3840">
        <v>10457</v>
      </c>
      <c r="L3840" t="s">
        <v>18958</v>
      </c>
      <c r="M3840" t="s">
        <v>18958</v>
      </c>
      <c r="N3840" t="s">
        <v>21871</v>
      </c>
      <c r="O3840" t="s">
        <v>26523</v>
      </c>
      <c r="P3840" t="s">
        <v>26560</v>
      </c>
      <c r="Q3840" t="s">
        <v>26573</v>
      </c>
      <c r="R3840" t="s">
        <v>26579</v>
      </c>
      <c r="S3840" t="s">
        <v>18959</v>
      </c>
      <c r="U3840" t="s">
        <v>26604</v>
      </c>
      <c r="V3840" t="s">
        <v>26610</v>
      </c>
      <c r="W3840" t="s">
        <v>689</v>
      </c>
      <c r="X3840">
        <v>1900</v>
      </c>
      <c r="Y3840" t="s">
        <v>26650</v>
      </c>
      <c r="Z3840" t="s">
        <v>26664</v>
      </c>
      <c r="AA3840" t="s">
        <v>26678</v>
      </c>
      <c r="AB3840" t="s">
        <v>29933</v>
      </c>
      <c r="AC3840" t="s">
        <v>35634</v>
      </c>
      <c r="AD3840" t="s">
        <v>40052</v>
      </c>
      <c r="AE3840">
        <v>28</v>
      </c>
      <c r="AF3840" t="s">
        <v>45541</v>
      </c>
      <c r="AG3840" t="s">
        <v>19330</v>
      </c>
      <c r="AH3840">
        <v>-1</v>
      </c>
      <c r="AI3840">
        <v>1</v>
      </c>
      <c r="AJ3840">
        <v>2</v>
      </c>
      <c r="AK3840">
        <v>87.58</v>
      </c>
      <c r="AN3840" t="s">
        <v>45581</v>
      </c>
      <c r="AO3840">
        <v>18200</v>
      </c>
      <c r="AQ3840" t="s">
        <v>46362</v>
      </c>
      <c r="AS3840" t="s">
        <v>46499</v>
      </c>
      <c r="AT3840" t="s">
        <v>46645</v>
      </c>
      <c r="AU3840">
        <v>30.85</v>
      </c>
      <c r="AV3840" t="s">
        <v>792</v>
      </c>
      <c r="AW3840" t="s">
        <v>334</v>
      </c>
    </row>
    <row r="3841" spans="1:50">
      <c r="A3841" s="1">
        <f>HYPERLINK("https://lsnyc.legalserver.org/matter/dynamic-profile/view/1885425","18-1885425")</f>
        <v>0</v>
      </c>
      <c r="B3841" t="s">
        <v>214</v>
      </c>
      <c r="C3841" t="s">
        <v>341</v>
      </c>
      <c r="D3841" t="s">
        <v>689</v>
      </c>
      <c r="E3841" t="s">
        <v>693</v>
      </c>
      <c r="F3841" t="s">
        <v>2812</v>
      </c>
      <c r="G3841" t="s">
        <v>7070</v>
      </c>
      <c r="H3841" t="s">
        <v>12658</v>
      </c>
      <c r="I3841">
        <v>402</v>
      </c>
      <c r="J3841" t="s">
        <v>18905</v>
      </c>
      <c r="K3841">
        <v>11692</v>
      </c>
      <c r="L3841" t="s">
        <v>18958</v>
      </c>
      <c r="M3841" t="s">
        <v>18958</v>
      </c>
      <c r="N3841" t="s">
        <v>21872</v>
      </c>
      <c r="O3841" t="s">
        <v>26523</v>
      </c>
      <c r="P3841" t="s">
        <v>26560</v>
      </c>
      <c r="Q3841" t="s">
        <v>26568</v>
      </c>
      <c r="R3841" t="s">
        <v>26589</v>
      </c>
      <c r="S3841" t="s">
        <v>18959</v>
      </c>
      <c r="U3841" t="s">
        <v>26604</v>
      </c>
      <c r="V3841" t="s">
        <v>26611</v>
      </c>
      <c r="W3841" t="s">
        <v>689</v>
      </c>
      <c r="X3841">
        <v>2181</v>
      </c>
      <c r="Y3841" t="s">
        <v>26653</v>
      </c>
      <c r="Z3841" t="s">
        <v>26671</v>
      </c>
      <c r="AA3841" t="s">
        <v>26678</v>
      </c>
      <c r="AB3841" t="s">
        <v>29934</v>
      </c>
      <c r="AD3841" t="s">
        <v>40053</v>
      </c>
      <c r="AE3841">
        <v>1091</v>
      </c>
      <c r="AF3841" t="s">
        <v>45550</v>
      </c>
      <c r="AG3841" t="s">
        <v>45556</v>
      </c>
      <c r="AH3841">
        <v>5</v>
      </c>
      <c r="AI3841">
        <v>2</v>
      </c>
      <c r="AJ3841">
        <v>1</v>
      </c>
      <c r="AK3841">
        <v>27.03</v>
      </c>
      <c r="AL3841" t="s">
        <v>45567</v>
      </c>
      <c r="AM3841" t="s">
        <v>45577</v>
      </c>
      <c r="AN3841" t="s">
        <v>7439</v>
      </c>
      <c r="AO3841">
        <v>5616</v>
      </c>
      <c r="AQ3841" t="s">
        <v>46361</v>
      </c>
      <c r="AR3841" t="s">
        <v>46380</v>
      </c>
      <c r="AS3841" t="s">
        <v>46499</v>
      </c>
      <c r="AT3841" t="s">
        <v>46686</v>
      </c>
      <c r="AU3841">
        <v>10.95</v>
      </c>
      <c r="AV3841" t="s">
        <v>693</v>
      </c>
      <c r="AW3841" t="s">
        <v>214</v>
      </c>
    </row>
    <row r="3842" spans="1:50">
      <c r="A3842" s="1">
        <f>HYPERLINK("https://lsnyc.legalserver.org/matter/dynamic-profile/view/1885517","18-1885517")</f>
        <v>0</v>
      </c>
      <c r="B3842" t="s">
        <v>86</v>
      </c>
      <c r="C3842" t="s">
        <v>341</v>
      </c>
      <c r="D3842" t="s">
        <v>689</v>
      </c>
      <c r="E3842" t="s">
        <v>833</v>
      </c>
      <c r="F3842" t="s">
        <v>2813</v>
      </c>
      <c r="G3842" t="s">
        <v>7071</v>
      </c>
      <c r="H3842" t="s">
        <v>9673</v>
      </c>
      <c r="I3842">
        <v>21</v>
      </c>
      <c r="J3842" t="s">
        <v>18893</v>
      </c>
      <c r="K3842">
        <v>10031</v>
      </c>
      <c r="L3842" t="s">
        <v>18958</v>
      </c>
      <c r="M3842" t="s">
        <v>18958</v>
      </c>
      <c r="N3842" t="s">
        <v>21873</v>
      </c>
      <c r="O3842" t="s">
        <v>26523</v>
      </c>
      <c r="P3842" t="s">
        <v>26560</v>
      </c>
      <c r="Q3842" t="s">
        <v>26574</v>
      </c>
      <c r="R3842" t="s">
        <v>26580</v>
      </c>
      <c r="S3842" t="s">
        <v>18959</v>
      </c>
      <c r="U3842" t="s">
        <v>26604</v>
      </c>
      <c r="V3842" t="s">
        <v>26611</v>
      </c>
      <c r="W3842" t="s">
        <v>689</v>
      </c>
      <c r="X3842">
        <v>785</v>
      </c>
      <c r="Y3842" t="s">
        <v>26651</v>
      </c>
      <c r="Z3842" t="s">
        <v>26664</v>
      </c>
      <c r="AA3842" t="s">
        <v>26680</v>
      </c>
      <c r="AB3842" t="s">
        <v>28333</v>
      </c>
      <c r="AC3842" t="s">
        <v>35635</v>
      </c>
      <c r="AD3842" t="s">
        <v>40054</v>
      </c>
      <c r="AE3842">
        <v>30</v>
      </c>
      <c r="AF3842" t="s">
        <v>45548</v>
      </c>
      <c r="AG3842" t="s">
        <v>45556</v>
      </c>
      <c r="AH3842">
        <v>34</v>
      </c>
      <c r="AI3842">
        <v>1</v>
      </c>
      <c r="AJ3842">
        <v>0</v>
      </c>
      <c r="AK3842">
        <v>78.09</v>
      </c>
      <c r="AN3842" t="s">
        <v>7439</v>
      </c>
      <c r="AO3842">
        <v>9480</v>
      </c>
      <c r="AS3842" t="s">
        <v>46499</v>
      </c>
      <c r="AU3842">
        <v>12.8</v>
      </c>
      <c r="AV3842" t="s">
        <v>791</v>
      </c>
      <c r="AW3842" t="s">
        <v>46875</v>
      </c>
      <c r="AX3842" t="s">
        <v>46898</v>
      </c>
    </row>
    <row r="3843" spans="1:50">
      <c r="A3843" s="1">
        <f>HYPERLINK("https://lsnyc.legalserver.org/matter/dynamic-profile/view/1885468","18-1885468")</f>
        <v>0</v>
      </c>
      <c r="B3843" t="s">
        <v>86</v>
      </c>
      <c r="C3843" t="s">
        <v>341</v>
      </c>
      <c r="D3843" t="s">
        <v>689</v>
      </c>
      <c r="E3843" t="s">
        <v>703</v>
      </c>
      <c r="F3843" t="s">
        <v>881</v>
      </c>
      <c r="G3843" t="s">
        <v>5447</v>
      </c>
      <c r="H3843" t="s">
        <v>12659</v>
      </c>
      <c r="I3843">
        <v>21</v>
      </c>
      <c r="J3843" t="s">
        <v>18893</v>
      </c>
      <c r="K3843">
        <v>10031</v>
      </c>
      <c r="L3843" t="s">
        <v>18958</v>
      </c>
      <c r="M3843" t="s">
        <v>18958</v>
      </c>
      <c r="N3843" t="s">
        <v>21874</v>
      </c>
      <c r="O3843" t="s">
        <v>26524</v>
      </c>
      <c r="P3843" t="s">
        <v>26564</v>
      </c>
      <c r="Q3843" t="s">
        <v>26570</v>
      </c>
      <c r="R3843" t="s">
        <v>26580</v>
      </c>
      <c r="S3843" t="s">
        <v>18959</v>
      </c>
      <c r="U3843" t="s">
        <v>26604</v>
      </c>
      <c r="V3843" t="s">
        <v>26610</v>
      </c>
      <c r="W3843" t="s">
        <v>689</v>
      </c>
      <c r="X3843">
        <v>1283.26</v>
      </c>
      <c r="Y3843" t="s">
        <v>26651</v>
      </c>
      <c r="Z3843" t="s">
        <v>26664</v>
      </c>
      <c r="AA3843" t="s">
        <v>26683</v>
      </c>
      <c r="AB3843" t="s">
        <v>29460</v>
      </c>
      <c r="AD3843" t="s">
        <v>40055</v>
      </c>
      <c r="AE3843">
        <v>24</v>
      </c>
      <c r="AF3843" t="s">
        <v>45548</v>
      </c>
      <c r="AG3843" t="s">
        <v>19330</v>
      </c>
      <c r="AH3843">
        <v>22</v>
      </c>
      <c r="AI3843">
        <v>3</v>
      </c>
      <c r="AJ3843">
        <v>0</v>
      </c>
      <c r="AK3843">
        <v>191.96</v>
      </c>
      <c r="AN3843" t="s">
        <v>45581</v>
      </c>
      <c r="AO3843">
        <v>39890.24</v>
      </c>
      <c r="AU3843">
        <v>1.3</v>
      </c>
      <c r="AV3843" t="s">
        <v>670</v>
      </c>
      <c r="AW3843" t="s">
        <v>46875</v>
      </c>
    </row>
    <row r="3844" spans="1:50">
      <c r="A3844" s="1">
        <f>HYPERLINK("https://lsnyc.legalserver.org/matter/dynamic-profile/view/1885449","18-1885449")</f>
        <v>0</v>
      </c>
      <c r="B3844" t="s">
        <v>86</v>
      </c>
      <c r="C3844" t="s">
        <v>341</v>
      </c>
      <c r="D3844" t="s">
        <v>689</v>
      </c>
      <c r="E3844" t="s">
        <v>670</v>
      </c>
      <c r="F3844" t="s">
        <v>1222</v>
      </c>
      <c r="G3844" t="s">
        <v>7072</v>
      </c>
      <c r="H3844" t="s">
        <v>12660</v>
      </c>
      <c r="I3844" t="s">
        <v>18020</v>
      </c>
      <c r="J3844" t="s">
        <v>18893</v>
      </c>
      <c r="K3844">
        <v>10027</v>
      </c>
      <c r="L3844" t="s">
        <v>18958</v>
      </c>
      <c r="M3844" t="s">
        <v>18958</v>
      </c>
      <c r="N3844" t="s">
        <v>21875</v>
      </c>
      <c r="O3844" t="s">
        <v>26523</v>
      </c>
      <c r="P3844" t="s">
        <v>26564</v>
      </c>
      <c r="Q3844" t="s">
        <v>26570</v>
      </c>
      <c r="R3844" t="s">
        <v>26580</v>
      </c>
      <c r="S3844" t="s">
        <v>18959</v>
      </c>
      <c r="U3844" t="s">
        <v>26604</v>
      </c>
      <c r="V3844" t="s">
        <v>26610</v>
      </c>
      <c r="W3844" t="s">
        <v>689</v>
      </c>
      <c r="X3844">
        <v>808.5599999999999</v>
      </c>
      <c r="Y3844" t="s">
        <v>26651</v>
      </c>
      <c r="Z3844" t="s">
        <v>26668</v>
      </c>
      <c r="AA3844" t="s">
        <v>26683</v>
      </c>
      <c r="AB3844" t="s">
        <v>27515</v>
      </c>
      <c r="AD3844" t="s">
        <v>40056</v>
      </c>
      <c r="AE3844">
        <v>29</v>
      </c>
      <c r="AF3844" t="s">
        <v>45548</v>
      </c>
      <c r="AG3844" t="s">
        <v>19330</v>
      </c>
      <c r="AH3844">
        <v>12</v>
      </c>
      <c r="AI3844">
        <v>1</v>
      </c>
      <c r="AJ3844">
        <v>0</v>
      </c>
      <c r="AK3844">
        <v>387.15</v>
      </c>
      <c r="AN3844" t="s">
        <v>7439</v>
      </c>
      <c r="AO3844">
        <v>47000</v>
      </c>
      <c r="AU3844">
        <v>0.5</v>
      </c>
      <c r="AV3844" t="s">
        <v>689</v>
      </c>
      <c r="AW3844" t="s">
        <v>46875</v>
      </c>
    </row>
    <row r="3845" spans="1:50">
      <c r="A3845" s="1">
        <f>HYPERLINK("https://lsnyc.legalserver.org/matter/dynamic-profile/view/1885374","18-1885374")</f>
        <v>0</v>
      </c>
      <c r="B3845" t="s">
        <v>125</v>
      </c>
      <c r="C3845" t="s">
        <v>341</v>
      </c>
      <c r="D3845" t="s">
        <v>689</v>
      </c>
      <c r="E3845" t="s">
        <v>689</v>
      </c>
      <c r="F3845" t="s">
        <v>2814</v>
      </c>
      <c r="G3845" t="s">
        <v>5191</v>
      </c>
      <c r="H3845" t="s">
        <v>12661</v>
      </c>
      <c r="I3845">
        <v>2</v>
      </c>
      <c r="J3845" t="s">
        <v>18894</v>
      </c>
      <c r="K3845">
        <v>11208</v>
      </c>
      <c r="L3845" t="s">
        <v>18958</v>
      </c>
      <c r="M3845" t="s">
        <v>18958</v>
      </c>
      <c r="P3845" t="s">
        <v>26564</v>
      </c>
      <c r="Q3845" t="s">
        <v>26570</v>
      </c>
      <c r="R3845" t="s">
        <v>26578</v>
      </c>
      <c r="U3845" t="s">
        <v>26604</v>
      </c>
      <c r="W3845" t="s">
        <v>689</v>
      </c>
      <c r="X3845">
        <v>0</v>
      </c>
      <c r="Y3845" t="s">
        <v>26652</v>
      </c>
      <c r="AA3845" t="s">
        <v>26683</v>
      </c>
      <c r="AB3845" t="s">
        <v>29935</v>
      </c>
      <c r="AD3845" t="s">
        <v>40057</v>
      </c>
      <c r="AE3845">
        <v>0</v>
      </c>
      <c r="AH3845">
        <v>0</v>
      </c>
      <c r="AI3845">
        <v>1</v>
      </c>
      <c r="AJ3845">
        <v>0</v>
      </c>
      <c r="AK3845">
        <v>82.54000000000001</v>
      </c>
      <c r="AN3845" t="s">
        <v>45581</v>
      </c>
      <c r="AO3845">
        <v>10020</v>
      </c>
      <c r="AU3845">
        <v>0.75</v>
      </c>
      <c r="AV3845" t="s">
        <v>452</v>
      </c>
      <c r="AW3845" t="s">
        <v>125</v>
      </c>
    </row>
    <row r="3846" spans="1:50">
      <c r="A3846" s="1">
        <f>HYPERLINK("https://lsnyc.legalserver.org/matter/dynamic-profile/view/1885409","18-1885409")</f>
        <v>0</v>
      </c>
      <c r="B3846" t="s">
        <v>183</v>
      </c>
      <c r="C3846" t="s">
        <v>340</v>
      </c>
      <c r="D3846" t="s">
        <v>689</v>
      </c>
      <c r="F3846" t="s">
        <v>1269</v>
      </c>
      <c r="G3846" t="s">
        <v>4966</v>
      </c>
      <c r="H3846" t="s">
        <v>12662</v>
      </c>
      <c r="I3846" t="s">
        <v>17273</v>
      </c>
      <c r="J3846" t="s">
        <v>18893</v>
      </c>
      <c r="K3846">
        <v>10026</v>
      </c>
      <c r="L3846" t="s">
        <v>18958</v>
      </c>
      <c r="M3846" t="s">
        <v>18958</v>
      </c>
      <c r="N3846" t="s">
        <v>21876</v>
      </c>
      <c r="O3846" t="s">
        <v>26523</v>
      </c>
      <c r="P3846" t="s">
        <v>26560</v>
      </c>
      <c r="R3846" t="s">
        <v>26580</v>
      </c>
      <c r="S3846" t="s">
        <v>18959</v>
      </c>
      <c r="U3846" t="s">
        <v>26604</v>
      </c>
      <c r="V3846" t="s">
        <v>26610</v>
      </c>
      <c r="W3846" t="s">
        <v>689</v>
      </c>
      <c r="X3846">
        <v>1488</v>
      </c>
      <c r="Y3846" t="s">
        <v>26651</v>
      </c>
      <c r="Z3846" t="s">
        <v>26664</v>
      </c>
      <c r="AB3846" t="s">
        <v>29936</v>
      </c>
      <c r="AD3846" t="s">
        <v>40058</v>
      </c>
      <c r="AE3846">
        <v>148</v>
      </c>
      <c r="AF3846" t="s">
        <v>20460</v>
      </c>
      <c r="AG3846" t="s">
        <v>19330</v>
      </c>
      <c r="AH3846">
        <v>2</v>
      </c>
      <c r="AI3846">
        <v>2</v>
      </c>
      <c r="AJ3846">
        <v>3</v>
      </c>
      <c r="AK3846">
        <v>163.97</v>
      </c>
      <c r="AN3846" t="s">
        <v>26530</v>
      </c>
      <c r="AO3846">
        <v>48240</v>
      </c>
      <c r="AU3846">
        <v>18.2</v>
      </c>
      <c r="AV3846" t="s">
        <v>744</v>
      </c>
      <c r="AW3846" t="s">
        <v>46875</v>
      </c>
    </row>
    <row r="3847" spans="1:50">
      <c r="A3847" s="1">
        <f>HYPERLINK("https://lsnyc.legalserver.org/matter/dynamic-profile/view/1885453","18-1885453")</f>
        <v>0</v>
      </c>
      <c r="B3847" t="s">
        <v>97</v>
      </c>
      <c r="C3847" t="s">
        <v>340</v>
      </c>
      <c r="D3847" t="s">
        <v>689</v>
      </c>
      <c r="F3847" t="s">
        <v>2815</v>
      </c>
      <c r="G3847" t="s">
        <v>7073</v>
      </c>
      <c r="H3847" t="s">
        <v>12663</v>
      </c>
      <c r="I3847" t="s">
        <v>17277</v>
      </c>
      <c r="J3847" t="s">
        <v>18892</v>
      </c>
      <c r="K3847">
        <v>10453</v>
      </c>
      <c r="L3847" t="s">
        <v>18958</v>
      </c>
      <c r="M3847" t="s">
        <v>18958</v>
      </c>
      <c r="N3847" t="s">
        <v>21877</v>
      </c>
      <c r="O3847" t="s">
        <v>26523</v>
      </c>
      <c r="P3847" t="s">
        <v>26560</v>
      </c>
      <c r="R3847" t="s">
        <v>26577</v>
      </c>
      <c r="U3847" t="s">
        <v>26604</v>
      </c>
      <c r="V3847" t="s">
        <v>26610</v>
      </c>
      <c r="W3847" t="s">
        <v>689</v>
      </c>
      <c r="X3847">
        <v>1225</v>
      </c>
      <c r="Y3847" t="s">
        <v>26650</v>
      </c>
      <c r="Z3847" t="s">
        <v>26664</v>
      </c>
      <c r="AB3847" t="s">
        <v>29937</v>
      </c>
      <c r="AD3847" t="s">
        <v>40059</v>
      </c>
      <c r="AE3847">
        <v>46</v>
      </c>
      <c r="AF3847" t="s">
        <v>45541</v>
      </c>
      <c r="AH3847">
        <v>3</v>
      </c>
      <c r="AI3847">
        <v>1</v>
      </c>
      <c r="AJ3847">
        <v>3</v>
      </c>
      <c r="AK3847">
        <v>32.51</v>
      </c>
      <c r="AN3847" t="s">
        <v>45581</v>
      </c>
      <c r="AO3847">
        <v>8160</v>
      </c>
      <c r="AU3847">
        <v>17.7</v>
      </c>
      <c r="AV3847" t="s">
        <v>771</v>
      </c>
      <c r="AW3847" t="s">
        <v>46836</v>
      </c>
    </row>
    <row r="3848" spans="1:50">
      <c r="A3848" s="1">
        <f>HYPERLINK("https://lsnyc.legalserver.org/matter/dynamic-profile/view/1885464","18-1885464")</f>
        <v>0</v>
      </c>
      <c r="B3848" t="s">
        <v>97</v>
      </c>
      <c r="C3848" t="s">
        <v>340</v>
      </c>
      <c r="D3848" t="s">
        <v>689</v>
      </c>
      <c r="F3848" t="s">
        <v>2816</v>
      </c>
      <c r="G3848" t="s">
        <v>7074</v>
      </c>
      <c r="H3848" t="s">
        <v>12664</v>
      </c>
      <c r="I3848" t="s">
        <v>17804</v>
      </c>
      <c r="J3848" t="s">
        <v>18892</v>
      </c>
      <c r="K3848">
        <v>10456</v>
      </c>
      <c r="L3848" t="s">
        <v>18958</v>
      </c>
      <c r="M3848" t="s">
        <v>18958</v>
      </c>
      <c r="N3848" t="s">
        <v>21878</v>
      </c>
      <c r="O3848" t="s">
        <v>26523</v>
      </c>
      <c r="P3848" t="s">
        <v>26560</v>
      </c>
      <c r="R3848" t="s">
        <v>26577</v>
      </c>
      <c r="U3848" t="s">
        <v>26604</v>
      </c>
      <c r="V3848" t="s">
        <v>26610</v>
      </c>
      <c r="W3848" t="s">
        <v>689</v>
      </c>
      <c r="X3848">
        <v>1956</v>
      </c>
      <c r="Y3848" t="s">
        <v>26650</v>
      </c>
      <c r="Z3848" t="s">
        <v>26664</v>
      </c>
      <c r="AB3848" t="s">
        <v>27116</v>
      </c>
      <c r="AC3848" t="s">
        <v>35636</v>
      </c>
      <c r="AD3848" t="s">
        <v>40060</v>
      </c>
      <c r="AE3848">
        <v>10</v>
      </c>
      <c r="AG3848" t="s">
        <v>45562</v>
      </c>
      <c r="AH3848">
        <v>3</v>
      </c>
      <c r="AI3848">
        <v>2</v>
      </c>
      <c r="AJ3848">
        <v>2</v>
      </c>
      <c r="AK3848">
        <v>198.09</v>
      </c>
      <c r="AN3848" t="s">
        <v>7439</v>
      </c>
      <c r="AO3848">
        <v>49721.17</v>
      </c>
      <c r="AU3848">
        <v>37.15</v>
      </c>
      <c r="AV3848" t="s">
        <v>836</v>
      </c>
      <c r="AW3848" t="s">
        <v>46836</v>
      </c>
    </row>
    <row r="3849" spans="1:50">
      <c r="A3849" s="1">
        <f>HYPERLINK("https://lsnyc.legalserver.org/matter/dynamic-profile/view/1885416","18-1885416")</f>
        <v>0</v>
      </c>
      <c r="B3849" t="s">
        <v>57</v>
      </c>
      <c r="C3849" t="s">
        <v>340</v>
      </c>
      <c r="D3849" t="s">
        <v>689</v>
      </c>
      <c r="F3849" t="s">
        <v>982</v>
      </c>
      <c r="G3849" t="s">
        <v>5401</v>
      </c>
      <c r="H3849" t="s">
        <v>12665</v>
      </c>
      <c r="I3849" t="s">
        <v>17299</v>
      </c>
      <c r="J3849" t="s">
        <v>18892</v>
      </c>
      <c r="K3849">
        <v>10457</v>
      </c>
      <c r="L3849" t="s">
        <v>18958</v>
      </c>
      <c r="M3849" t="s">
        <v>18958</v>
      </c>
      <c r="N3849" t="s">
        <v>21879</v>
      </c>
      <c r="O3849" t="s">
        <v>26523</v>
      </c>
      <c r="P3849" t="s">
        <v>26560</v>
      </c>
      <c r="R3849" t="s">
        <v>26579</v>
      </c>
      <c r="S3849" t="s">
        <v>18959</v>
      </c>
      <c r="U3849" t="s">
        <v>26604</v>
      </c>
      <c r="V3849" t="s">
        <v>26610</v>
      </c>
      <c r="W3849" t="s">
        <v>689</v>
      </c>
      <c r="X3849">
        <v>1044</v>
      </c>
      <c r="Y3849" t="s">
        <v>26650</v>
      </c>
      <c r="Z3849" t="s">
        <v>26664</v>
      </c>
      <c r="AB3849" t="s">
        <v>29938</v>
      </c>
      <c r="AC3849" t="s">
        <v>35637</v>
      </c>
      <c r="AD3849" t="s">
        <v>40061</v>
      </c>
      <c r="AE3849">
        <v>89</v>
      </c>
      <c r="AF3849" t="s">
        <v>45541</v>
      </c>
      <c r="AG3849" t="s">
        <v>45561</v>
      </c>
      <c r="AH3849">
        <v>1</v>
      </c>
      <c r="AI3849">
        <v>1</v>
      </c>
      <c r="AJ3849">
        <v>1</v>
      </c>
      <c r="AK3849">
        <v>38.07</v>
      </c>
      <c r="AN3849" t="s">
        <v>45581</v>
      </c>
      <c r="AO3849">
        <v>6266</v>
      </c>
      <c r="AU3849">
        <v>6.6</v>
      </c>
      <c r="AV3849" t="s">
        <v>756</v>
      </c>
      <c r="AW3849" t="s">
        <v>46836</v>
      </c>
      <c r="AX3849" t="s">
        <v>46897</v>
      </c>
    </row>
    <row r="3850" spans="1:50">
      <c r="A3850" s="1">
        <f>HYPERLINK("https://lsnyc.legalserver.org/matter/dynamic-profile/view/1885435","18-1885435")</f>
        <v>0</v>
      </c>
      <c r="B3850" t="s">
        <v>57</v>
      </c>
      <c r="C3850" t="s">
        <v>340</v>
      </c>
      <c r="D3850" t="s">
        <v>689</v>
      </c>
      <c r="F3850" t="s">
        <v>939</v>
      </c>
      <c r="G3850" t="s">
        <v>7075</v>
      </c>
      <c r="H3850" t="s">
        <v>12666</v>
      </c>
      <c r="I3850">
        <v>7</v>
      </c>
      <c r="J3850" t="s">
        <v>18892</v>
      </c>
      <c r="K3850">
        <v>10457</v>
      </c>
      <c r="L3850" t="s">
        <v>18958</v>
      </c>
      <c r="M3850" t="s">
        <v>18958</v>
      </c>
      <c r="N3850" t="s">
        <v>21880</v>
      </c>
      <c r="O3850" t="s">
        <v>26523</v>
      </c>
      <c r="P3850" t="s">
        <v>26560</v>
      </c>
      <c r="R3850" t="s">
        <v>26579</v>
      </c>
      <c r="U3850" t="s">
        <v>26604</v>
      </c>
      <c r="W3850" t="s">
        <v>689</v>
      </c>
      <c r="X3850">
        <v>1190</v>
      </c>
      <c r="Y3850" t="s">
        <v>26650</v>
      </c>
      <c r="Z3850" t="s">
        <v>26668</v>
      </c>
      <c r="AB3850" t="s">
        <v>29939</v>
      </c>
      <c r="AC3850" t="s">
        <v>35638</v>
      </c>
      <c r="AE3850">
        <v>0</v>
      </c>
      <c r="AF3850" t="s">
        <v>20460</v>
      </c>
      <c r="AG3850" t="s">
        <v>45556</v>
      </c>
      <c r="AH3850">
        <v>5</v>
      </c>
      <c r="AI3850">
        <v>2</v>
      </c>
      <c r="AJ3850">
        <v>3</v>
      </c>
      <c r="AK3850">
        <v>150.24</v>
      </c>
      <c r="AN3850" t="s">
        <v>7439</v>
      </c>
      <c r="AO3850">
        <v>44200</v>
      </c>
      <c r="AU3850">
        <v>9.6</v>
      </c>
      <c r="AV3850" t="s">
        <v>779</v>
      </c>
      <c r="AW3850" t="s">
        <v>46836</v>
      </c>
    </row>
    <row r="3851" spans="1:50">
      <c r="A3851" s="1">
        <f>HYPERLINK("https://lsnyc.legalserver.org/matter/dynamic-profile/view/1885484","18-1885484")</f>
        <v>0</v>
      </c>
      <c r="B3851" t="s">
        <v>94</v>
      </c>
      <c r="C3851" t="s">
        <v>340</v>
      </c>
      <c r="D3851" t="s">
        <v>689</v>
      </c>
      <c r="F3851" t="s">
        <v>2368</v>
      </c>
      <c r="G3851" t="s">
        <v>7076</v>
      </c>
      <c r="H3851" t="s">
        <v>12667</v>
      </c>
      <c r="I3851" t="s">
        <v>17424</v>
      </c>
      <c r="J3851" t="s">
        <v>18893</v>
      </c>
      <c r="K3851">
        <v>10027</v>
      </c>
      <c r="L3851" t="s">
        <v>18958</v>
      </c>
      <c r="M3851" t="s">
        <v>18958</v>
      </c>
      <c r="N3851" t="s">
        <v>21881</v>
      </c>
      <c r="O3851" t="s">
        <v>26523</v>
      </c>
      <c r="P3851" t="s">
        <v>26560</v>
      </c>
      <c r="R3851" t="s">
        <v>26580</v>
      </c>
      <c r="S3851" t="s">
        <v>18959</v>
      </c>
      <c r="U3851" t="s">
        <v>26604</v>
      </c>
      <c r="V3851" t="s">
        <v>26610</v>
      </c>
      <c r="W3851" t="s">
        <v>689</v>
      </c>
      <c r="X3851">
        <v>1249.92</v>
      </c>
      <c r="Y3851" t="s">
        <v>26651</v>
      </c>
      <c r="Z3851" t="s">
        <v>26664</v>
      </c>
      <c r="AB3851" t="s">
        <v>29940</v>
      </c>
      <c r="AC3851" t="s">
        <v>35639</v>
      </c>
      <c r="AD3851" t="s">
        <v>40062</v>
      </c>
      <c r="AE3851">
        <v>0</v>
      </c>
      <c r="AF3851" t="s">
        <v>45548</v>
      </c>
      <c r="AG3851" t="s">
        <v>19330</v>
      </c>
      <c r="AH3851">
        <v>10</v>
      </c>
      <c r="AI3851">
        <v>2</v>
      </c>
      <c r="AJ3851">
        <v>1</v>
      </c>
      <c r="AK3851">
        <v>40.42</v>
      </c>
      <c r="AO3851">
        <v>8400</v>
      </c>
      <c r="AU3851">
        <v>21.5</v>
      </c>
      <c r="AV3851" t="s">
        <v>836</v>
      </c>
      <c r="AW3851" t="s">
        <v>314</v>
      </c>
    </row>
    <row r="3852" spans="1:50">
      <c r="A3852" s="1">
        <f>HYPERLINK("https://lsnyc.legalserver.org/matter/dynamic-profile/view/1885462","18-1885462")</f>
        <v>0</v>
      </c>
      <c r="B3852" t="s">
        <v>143</v>
      </c>
      <c r="C3852" t="s">
        <v>340</v>
      </c>
      <c r="D3852" t="s">
        <v>689</v>
      </c>
      <c r="F3852" t="s">
        <v>871</v>
      </c>
      <c r="G3852" t="s">
        <v>5121</v>
      </c>
      <c r="H3852" t="s">
        <v>12668</v>
      </c>
      <c r="I3852" t="s">
        <v>18003</v>
      </c>
      <c r="J3852" t="s">
        <v>18892</v>
      </c>
      <c r="K3852">
        <v>10457</v>
      </c>
      <c r="L3852" t="s">
        <v>18958</v>
      </c>
      <c r="M3852" t="s">
        <v>18958</v>
      </c>
      <c r="N3852" t="s">
        <v>21882</v>
      </c>
      <c r="O3852" t="s">
        <v>26523</v>
      </c>
      <c r="P3852" t="s">
        <v>26560</v>
      </c>
      <c r="R3852" t="s">
        <v>26579</v>
      </c>
      <c r="S3852" t="s">
        <v>18959</v>
      </c>
      <c r="U3852" t="s">
        <v>26604</v>
      </c>
      <c r="V3852" t="s">
        <v>26610</v>
      </c>
      <c r="W3852" t="s">
        <v>689</v>
      </c>
      <c r="X3852">
        <v>1515</v>
      </c>
      <c r="Y3852" t="s">
        <v>26650</v>
      </c>
      <c r="Z3852" t="s">
        <v>26668</v>
      </c>
      <c r="AB3852" t="s">
        <v>29941</v>
      </c>
      <c r="AD3852" t="s">
        <v>40063</v>
      </c>
      <c r="AE3852">
        <v>44</v>
      </c>
      <c r="AF3852" t="s">
        <v>45552</v>
      </c>
      <c r="AG3852" t="s">
        <v>45562</v>
      </c>
      <c r="AH3852">
        <v>2</v>
      </c>
      <c r="AI3852">
        <v>1</v>
      </c>
      <c r="AJ3852">
        <v>2</v>
      </c>
      <c r="AK3852">
        <v>104.29</v>
      </c>
      <c r="AN3852" t="s">
        <v>45581</v>
      </c>
      <c r="AO3852">
        <v>21672</v>
      </c>
      <c r="AU3852">
        <v>20.8</v>
      </c>
      <c r="AV3852" t="s">
        <v>836</v>
      </c>
      <c r="AW3852" t="s">
        <v>336</v>
      </c>
    </row>
    <row r="3853" spans="1:50">
      <c r="A3853" s="1">
        <f>HYPERLINK("https://lsnyc.legalserver.org/matter/dynamic-profile/view/1885424","18-1885424")</f>
        <v>0</v>
      </c>
      <c r="B3853" t="s">
        <v>77</v>
      </c>
      <c r="C3853" t="s">
        <v>340</v>
      </c>
      <c r="D3853" t="s">
        <v>689</v>
      </c>
      <c r="F3853" t="s">
        <v>1281</v>
      </c>
      <c r="G3853" t="s">
        <v>879</v>
      </c>
      <c r="H3853" t="s">
        <v>10209</v>
      </c>
      <c r="I3853" t="s">
        <v>18021</v>
      </c>
      <c r="J3853" t="s">
        <v>18893</v>
      </c>
      <c r="K3853">
        <v>10031</v>
      </c>
      <c r="L3853" t="s">
        <v>18958</v>
      </c>
      <c r="M3853" t="s">
        <v>18958</v>
      </c>
      <c r="N3853" t="s">
        <v>21883</v>
      </c>
      <c r="O3853" t="s">
        <v>26523</v>
      </c>
      <c r="P3853" t="s">
        <v>26560</v>
      </c>
      <c r="R3853" t="s">
        <v>26580</v>
      </c>
      <c r="S3853" t="s">
        <v>18959</v>
      </c>
      <c r="U3853" t="s">
        <v>26604</v>
      </c>
      <c r="V3853" t="s">
        <v>26610</v>
      </c>
      <c r="W3853" t="s">
        <v>689</v>
      </c>
      <c r="X3853">
        <v>1803</v>
      </c>
      <c r="Y3853" t="s">
        <v>26651</v>
      </c>
      <c r="Z3853" t="s">
        <v>26664</v>
      </c>
      <c r="AB3853" t="s">
        <v>29942</v>
      </c>
      <c r="AC3853" t="s">
        <v>35640</v>
      </c>
      <c r="AD3853" t="s">
        <v>40064</v>
      </c>
      <c r="AE3853">
        <v>282</v>
      </c>
      <c r="AF3853" t="s">
        <v>20460</v>
      </c>
      <c r="AG3853" t="s">
        <v>45556</v>
      </c>
      <c r="AH3853">
        <v>28</v>
      </c>
      <c r="AI3853">
        <v>2</v>
      </c>
      <c r="AJ3853">
        <v>0</v>
      </c>
      <c r="AK3853">
        <v>73.13</v>
      </c>
      <c r="AN3853" t="s">
        <v>7439</v>
      </c>
      <c r="AO3853">
        <v>12036.7</v>
      </c>
      <c r="AU3853">
        <v>14.9</v>
      </c>
      <c r="AV3853" t="s">
        <v>832</v>
      </c>
      <c r="AW3853" t="s">
        <v>46875</v>
      </c>
    </row>
    <row r="3854" spans="1:50">
      <c r="A3854" s="1">
        <f>HYPERLINK("https://lsnyc.legalserver.org/matter/dynamic-profile/view/1885509","18-1885509")</f>
        <v>0</v>
      </c>
      <c r="B3854" t="s">
        <v>67</v>
      </c>
      <c r="C3854" t="s">
        <v>340</v>
      </c>
      <c r="D3854" t="s">
        <v>689</v>
      </c>
      <c r="F3854" t="s">
        <v>1233</v>
      </c>
      <c r="G3854" t="s">
        <v>7077</v>
      </c>
      <c r="H3854" t="s">
        <v>12669</v>
      </c>
      <c r="I3854" t="s">
        <v>18022</v>
      </c>
      <c r="J3854" t="s">
        <v>18892</v>
      </c>
      <c r="K3854">
        <v>10472</v>
      </c>
      <c r="L3854" t="s">
        <v>18958</v>
      </c>
      <c r="M3854" t="s">
        <v>18958</v>
      </c>
      <c r="N3854" t="s">
        <v>21884</v>
      </c>
      <c r="O3854" t="s">
        <v>26524</v>
      </c>
      <c r="P3854" t="s">
        <v>26560</v>
      </c>
      <c r="R3854" t="s">
        <v>26578</v>
      </c>
      <c r="S3854" t="s">
        <v>18959</v>
      </c>
      <c r="U3854" t="s">
        <v>26604</v>
      </c>
      <c r="V3854" t="s">
        <v>26614</v>
      </c>
      <c r="W3854" t="s">
        <v>689</v>
      </c>
      <c r="X3854">
        <v>854.9</v>
      </c>
      <c r="Y3854" t="s">
        <v>26650</v>
      </c>
      <c r="Z3854" t="s">
        <v>26668</v>
      </c>
      <c r="AB3854" t="s">
        <v>29943</v>
      </c>
      <c r="AC3854" t="s">
        <v>35641</v>
      </c>
      <c r="AD3854" t="s">
        <v>40065</v>
      </c>
      <c r="AE3854">
        <v>46</v>
      </c>
      <c r="AF3854" t="s">
        <v>45542</v>
      </c>
      <c r="AG3854" t="s">
        <v>45556</v>
      </c>
      <c r="AH3854">
        <v>2</v>
      </c>
      <c r="AI3854">
        <v>1</v>
      </c>
      <c r="AJ3854">
        <v>0</v>
      </c>
      <c r="AK3854">
        <v>74.14</v>
      </c>
      <c r="AN3854" t="s">
        <v>7439</v>
      </c>
      <c r="AO3854">
        <v>9000</v>
      </c>
      <c r="AU3854">
        <v>37.85</v>
      </c>
      <c r="AV3854" t="s">
        <v>668</v>
      </c>
      <c r="AW3854" t="s">
        <v>46831</v>
      </c>
    </row>
    <row r="3855" spans="1:50">
      <c r="A3855" s="1">
        <f>HYPERLINK("https://lsnyc.legalserver.org/matter/dynamic-profile/view/1885427","18-1885427")</f>
        <v>0</v>
      </c>
      <c r="B3855" t="s">
        <v>251</v>
      </c>
      <c r="C3855" t="s">
        <v>340</v>
      </c>
      <c r="D3855" t="s">
        <v>689</v>
      </c>
      <c r="F3855" t="s">
        <v>2817</v>
      </c>
      <c r="G3855" t="s">
        <v>7078</v>
      </c>
      <c r="H3855" t="s">
        <v>12670</v>
      </c>
      <c r="I3855">
        <v>1</v>
      </c>
      <c r="J3855" t="s">
        <v>18892</v>
      </c>
      <c r="K3855">
        <v>10460</v>
      </c>
      <c r="L3855" t="s">
        <v>18958</v>
      </c>
      <c r="M3855" t="s">
        <v>18958</v>
      </c>
      <c r="N3855" t="s">
        <v>21885</v>
      </c>
      <c r="O3855" t="s">
        <v>26523</v>
      </c>
      <c r="P3855" t="s">
        <v>26560</v>
      </c>
      <c r="R3855" t="s">
        <v>26577</v>
      </c>
      <c r="U3855" t="s">
        <v>26604</v>
      </c>
      <c r="V3855" t="s">
        <v>26610</v>
      </c>
      <c r="W3855" t="s">
        <v>689</v>
      </c>
      <c r="X3855">
        <v>1268</v>
      </c>
      <c r="Y3855" t="s">
        <v>26650</v>
      </c>
      <c r="Z3855" t="s">
        <v>26664</v>
      </c>
      <c r="AB3855" t="s">
        <v>29944</v>
      </c>
      <c r="AC3855" t="s">
        <v>35642</v>
      </c>
      <c r="AD3855" t="s">
        <v>40066</v>
      </c>
      <c r="AE3855">
        <v>21</v>
      </c>
      <c r="AF3855" t="s">
        <v>45541</v>
      </c>
      <c r="AG3855" t="s">
        <v>45562</v>
      </c>
      <c r="AH3855">
        <v>4</v>
      </c>
      <c r="AI3855">
        <v>1</v>
      </c>
      <c r="AJ3855">
        <v>1</v>
      </c>
      <c r="AK3855">
        <v>17.5</v>
      </c>
      <c r="AN3855" t="s">
        <v>45581</v>
      </c>
      <c r="AO3855">
        <v>2880</v>
      </c>
      <c r="AU3855">
        <v>39.35</v>
      </c>
      <c r="AV3855" t="s">
        <v>827</v>
      </c>
      <c r="AW3855" t="s">
        <v>334</v>
      </c>
    </row>
    <row r="3856" spans="1:50">
      <c r="A3856" s="1">
        <f>HYPERLINK("https://lsnyc.legalserver.org/matter/dynamic-profile/view/1885506","18-1885506")</f>
        <v>0</v>
      </c>
      <c r="B3856" t="s">
        <v>84</v>
      </c>
      <c r="C3856" t="s">
        <v>340</v>
      </c>
      <c r="D3856" t="s">
        <v>689</v>
      </c>
      <c r="F3856" t="s">
        <v>947</v>
      </c>
      <c r="G3856" t="s">
        <v>5849</v>
      </c>
      <c r="H3856" t="s">
        <v>12671</v>
      </c>
      <c r="I3856" t="s">
        <v>17312</v>
      </c>
      <c r="J3856" t="s">
        <v>18893</v>
      </c>
      <c r="K3856">
        <v>10027</v>
      </c>
      <c r="L3856" t="s">
        <v>18958</v>
      </c>
      <c r="M3856" t="s">
        <v>18958</v>
      </c>
      <c r="N3856" t="s">
        <v>21886</v>
      </c>
      <c r="O3856" t="s">
        <v>26524</v>
      </c>
      <c r="P3856" t="s">
        <v>26560</v>
      </c>
      <c r="R3856" t="s">
        <v>26580</v>
      </c>
      <c r="S3856" t="s">
        <v>18959</v>
      </c>
      <c r="U3856" t="s">
        <v>26604</v>
      </c>
      <c r="V3856" t="s">
        <v>26610</v>
      </c>
      <c r="W3856" t="s">
        <v>689</v>
      </c>
      <c r="X3856">
        <v>1200</v>
      </c>
      <c r="Y3856" t="s">
        <v>26651</v>
      </c>
      <c r="Z3856" t="s">
        <v>26664</v>
      </c>
      <c r="AB3856" t="s">
        <v>29945</v>
      </c>
      <c r="AD3856" t="s">
        <v>40067</v>
      </c>
      <c r="AE3856">
        <v>0</v>
      </c>
      <c r="AF3856" t="s">
        <v>20460</v>
      </c>
      <c r="AG3856" t="s">
        <v>19330</v>
      </c>
      <c r="AH3856">
        <v>15</v>
      </c>
      <c r="AI3856">
        <v>1</v>
      </c>
      <c r="AJ3856">
        <v>0</v>
      </c>
      <c r="AK3856">
        <v>13.18</v>
      </c>
      <c r="AN3856" t="s">
        <v>7439</v>
      </c>
      <c r="AO3856">
        <v>1600</v>
      </c>
      <c r="AU3856">
        <v>14.53</v>
      </c>
      <c r="AV3856" t="s">
        <v>752</v>
      </c>
      <c r="AW3856" t="s">
        <v>314</v>
      </c>
    </row>
    <row r="3857" spans="1:50">
      <c r="A3857" s="1">
        <f>HYPERLINK("https://lsnyc.legalserver.org/matter/dynamic-profile/view/1885498","18-1885498")</f>
        <v>0</v>
      </c>
      <c r="B3857" t="s">
        <v>50</v>
      </c>
      <c r="C3857" t="s">
        <v>340</v>
      </c>
      <c r="D3857" t="s">
        <v>689</v>
      </c>
      <c r="F3857" t="s">
        <v>2818</v>
      </c>
      <c r="G3857" t="s">
        <v>4334</v>
      </c>
      <c r="H3857" t="s">
        <v>12672</v>
      </c>
      <c r="I3857" t="s">
        <v>17298</v>
      </c>
      <c r="J3857" t="s">
        <v>18892</v>
      </c>
      <c r="K3857">
        <v>10462</v>
      </c>
      <c r="L3857" t="s">
        <v>18958</v>
      </c>
      <c r="M3857" t="s">
        <v>18958</v>
      </c>
      <c r="N3857" t="s">
        <v>21887</v>
      </c>
      <c r="O3857" t="s">
        <v>26523</v>
      </c>
      <c r="P3857" t="s">
        <v>26560</v>
      </c>
      <c r="R3857" t="s">
        <v>26579</v>
      </c>
      <c r="S3857" t="s">
        <v>18959</v>
      </c>
      <c r="U3857" t="s">
        <v>26604</v>
      </c>
      <c r="V3857" t="s">
        <v>26610</v>
      </c>
      <c r="W3857" t="s">
        <v>689</v>
      </c>
      <c r="X3857">
        <v>1650</v>
      </c>
      <c r="Y3857" t="s">
        <v>26650</v>
      </c>
      <c r="Z3857" t="s">
        <v>26664</v>
      </c>
      <c r="AB3857" t="s">
        <v>29946</v>
      </c>
      <c r="AD3857" t="s">
        <v>40068</v>
      </c>
      <c r="AE3857">
        <v>59</v>
      </c>
      <c r="AF3857" t="s">
        <v>45541</v>
      </c>
      <c r="AG3857" t="s">
        <v>19330</v>
      </c>
      <c r="AH3857">
        <v>4</v>
      </c>
      <c r="AI3857">
        <v>2</v>
      </c>
      <c r="AJ3857">
        <v>4</v>
      </c>
      <c r="AK3857">
        <v>177.83</v>
      </c>
      <c r="AN3857" t="s">
        <v>7439</v>
      </c>
      <c r="AO3857">
        <v>60000</v>
      </c>
      <c r="AU3857">
        <v>32.75</v>
      </c>
      <c r="AV3857" t="s">
        <v>839</v>
      </c>
      <c r="AW3857" t="s">
        <v>334</v>
      </c>
    </row>
    <row r="3858" spans="1:50">
      <c r="A3858" s="1">
        <f>HYPERLINK("https://lsnyc.legalserver.org/matter/dynamic-profile/view/1885496","18-1885496")</f>
        <v>0</v>
      </c>
      <c r="B3858" t="s">
        <v>121</v>
      </c>
      <c r="C3858" t="s">
        <v>340</v>
      </c>
      <c r="D3858" t="s">
        <v>689</v>
      </c>
      <c r="F3858" t="s">
        <v>1852</v>
      </c>
      <c r="G3858" t="s">
        <v>7079</v>
      </c>
      <c r="H3858" t="s">
        <v>12673</v>
      </c>
      <c r="I3858" t="s">
        <v>17430</v>
      </c>
      <c r="J3858" t="s">
        <v>18892</v>
      </c>
      <c r="K3858">
        <v>10467</v>
      </c>
      <c r="L3858" t="s">
        <v>18958</v>
      </c>
      <c r="M3858" t="s">
        <v>18958</v>
      </c>
      <c r="N3858" t="s">
        <v>21888</v>
      </c>
      <c r="O3858" t="s">
        <v>26524</v>
      </c>
      <c r="P3858" t="s">
        <v>26560</v>
      </c>
      <c r="R3858" t="s">
        <v>26579</v>
      </c>
      <c r="U3858" t="s">
        <v>26604</v>
      </c>
      <c r="V3858" t="s">
        <v>26610</v>
      </c>
      <c r="W3858" t="s">
        <v>689</v>
      </c>
      <c r="X3858">
        <v>300</v>
      </c>
      <c r="Y3858" t="s">
        <v>26650</v>
      </c>
      <c r="Z3858" t="s">
        <v>26530</v>
      </c>
      <c r="AB3858" t="s">
        <v>29947</v>
      </c>
      <c r="AC3858" t="s">
        <v>35643</v>
      </c>
      <c r="AD3858" t="s">
        <v>40069</v>
      </c>
      <c r="AE3858">
        <v>2</v>
      </c>
      <c r="AF3858" t="s">
        <v>45547</v>
      </c>
      <c r="AG3858" t="s">
        <v>19330</v>
      </c>
      <c r="AH3858">
        <v>21</v>
      </c>
      <c r="AI3858">
        <v>1</v>
      </c>
      <c r="AJ3858">
        <v>0</v>
      </c>
      <c r="AK3858">
        <v>82.04000000000001</v>
      </c>
      <c r="AN3858" t="s">
        <v>7439</v>
      </c>
      <c r="AO3858">
        <v>9960</v>
      </c>
      <c r="AU3858">
        <v>19</v>
      </c>
      <c r="AV3858" t="s">
        <v>810</v>
      </c>
      <c r="AW3858" t="s">
        <v>46846</v>
      </c>
    </row>
    <row r="3859" spans="1:50">
      <c r="A3859" s="1">
        <f>HYPERLINK("https://lsnyc.legalserver.org/matter/dynamic-profile/view/1885443","18-1885443")</f>
        <v>0</v>
      </c>
      <c r="B3859" t="s">
        <v>59</v>
      </c>
      <c r="C3859" t="s">
        <v>340</v>
      </c>
      <c r="D3859" t="s">
        <v>689</v>
      </c>
      <c r="F3859" t="s">
        <v>2819</v>
      </c>
      <c r="G3859" t="s">
        <v>7080</v>
      </c>
      <c r="H3859" t="s">
        <v>9899</v>
      </c>
      <c r="I3859" t="s">
        <v>17347</v>
      </c>
      <c r="J3859" t="s">
        <v>18893</v>
      </c>
      <c r="K3859">
        <v>10026</v>
      </c>
      <c r="L3859" t="s">
        <v>18958</v>
      </c>
      <c r="M3859" t="s">
        <v>18958</v>
      </c>
      <c r="N3859" t="s">
        <v>21889</v>
      </c>
      <c r="O3859" t="s">
        <v>26523</v>
      </c>
      <c r="P3859" t="s">
        <v>26560</v>
      </c>
      <c r="R3859" t="s">
        <v>26580</v>
      </c>
      <c r="S3859" t="s">
        <v>18959</v>
      </c>
      <c r="U3859" t="s">
        <v>26604</v>
      </c>
      <c r="V3859" t="s">
        <v>26610</v>
      </c>
      <c r="W3859" t="s">
        <v>689</v>
      </c>
      <c r="X3859">
        <v>1310</v>
      </c>
      <c r="Y3859" t="s">
        <v>26651</v>
      </c>
      <c r="Z3859" t="s">
        <v>26664</v>
      </c>
      <c r="AB3859" t="s">
        <v>29948</v>
      </c>
      <c r="AD3859" t="s">
        <v>40070</v>
      </c>
      <c r="AE3859">
        <v>0</v>
      </c>
      <c r="AF3859" t="s">
        <v>45541</v>
      </c>
      <c r="AG3859" t="s">
        <v>19330</v>
      </c>
      <c r="AH3859">
        <v>5</v>
      </c>
      <c r="AI3859">
        <v>1</v>
      </c>
      <c r="AJ3859">
        <v>0</v>
      </c>
      <c r="AK3859">
        <v>0</v>
      </c>
      <c r="AN3859" t="s">
        <v>7439</v>
      </c>
      <c r="AO3859">
        <v>0</v>
      </c>
      <c r="AU3859">
        <v>18</v>
      </c>
      <c r="AV3859" t="s">
        <v>821</v>
      </c>
      <c r="AW3859" t="s">
        <v>314</v>
      </c>
    </row>
    <row r="3860" spans="1:50">
      <c r="A3860" s="1">
        <f>HYPERLINK("https://lsnyc.legalserver.org/matter/dynamic-profile/view/1885412","18-1885412")</f>
        <v>0</v>
      </c>
      <c r="B3860" t="s">
        <v>59</v>
      </c>
      <c r="C3860" t="s">
        <v>340</v>
      </c>
      <c r="D3860" t="s">
        <v>689</v>
      </c>
      <c r="F3860" t="s">
        <v>1161</v>
      </c>
      <c r="G3860" t="s">
        <v>5208</v>
      </c>
      <c r="H3860" t="s">
        <v>12674</v>
      </c>
      <c r="I3860" t="s">
        <v>17378</v>
      </c>
      <c r="J3860" t="s">
        <v>18893</v>
      </c>
      <c r="K3860">
        <v>10031</v>
      </c>
      <c r="L3860" t="s">
        <v>18958</v>
      </c>
      <c r="M3860" t="s">
        <v>18958</v>
      </c>
      <c r="N3860" t="s">
        <v>21890</v>
      </c>
      <c r="O3860" t="s">
        <v>26523</v>
      </c>
      <c r="P3860" t="s">
        <v>26560</v>
      </c>
      <c r="R3860" t="s">
        <v>26580</v>
      </c>
      <c r="S3860" t="s">
        <v>18959</v>
      </c>
      <c r="U3860" t="s">
        <v>26604</v>
      </c>
      <c r="V3860" t="s">
        <v>26610</v>
      </c>
      <c r="W3860" t="s">
        <v>689</v>
      </c>
      <c r="X3860">
        <v>1191.91</v>
      </c>
      <c r="Y3860" t="s">
        <v>26651</v>
      </c>
      <c r="Z3860" t="s">
        <v>26668</v>
      </c>
      <c r="AB3860" t="s">
        <v>29949</v>
      </c>
      <c r="AD3860" t="s">
        <v>40071</v>
      </c>
      <c r="AE3860">
        <v>0</v>
      </c>
      <c r="AF3860" t="s">
        <v>20460</v>
      </c>
      <c r="AG3860" t="s">
        <v>26530</v>
      </c>
      <c r="AH3860">
        <v>17</v>
      </c>
      <c r="AI3860">
        <v>2</v>
      </c>
      <c r="AJ3860">
        <v>1</v>
      </c>
      <c r="AK3860">
        <v>177.31</v>
      </c>
      <c r="AN3860" t="s">
        <v>45581</v>
      </c>
      <c r="AO3860">
        <v>36846</v>
      </c>
      <c r="AU3860">
        <v>8</v>
      </c>
      <c r="AV3860" t="s">
        <v>777</v>
      </c>
      <c r="AW3860" t="s">
        <v>314</v>
      </c>
    </row>
    <row r="3861" spans="1:50">
      <c r="A3861" s="1">
        <f>HYPERLINK("https://lsnyc.legalserver.org/matter/dynamic-profile/view/1885771","18-1885771")</f>
        <v>0</v>
      </c>
      <c r="B3861" t="s">
        <v>211</v>
      </c>
      <c r="C3861" t="s">
        <v>340</v>
      </c>
      <c r="D3861" t="s">
        <v>697</v>
      </c>
      <c r="F3861" t="s">
        <v>2820</v>
      </c>
      <c r="G3861" t="s">
        <v>7081</v>
      </c>
      <c r="H3861" t="s">
        <v>12675</v>
      </c>
      <c r="I3861" t="s">
        <v>17316</v>
      </c>
      <c r="J3861" t="s">
        <v>18894</v>
      </c>
      <c r="K3861">
        <v>11238</v>
      </c>
      <c r="L3861" t="s">
        <v>18958</v>
      </c>
      <c r="M3861" t="s">
        <v>18958</v>
      </c>
      <c r="N3861" t="s">
        <v>18997</v>
      </c>
      <c r="O3861" t="s">
        <v>26529</v>
      </c>
      <c r="P3861" t="s">
        <v>26561</v>
      </c>
      <c r="R3861" t="s">
        <v>26578</v>
      </c>
      <c r="S3861" t="s">
        <v>18958</v>
      </c>
      <c r="U3861" t="s">
        <v>26604</v>
      </c>
      <c r="V3861" t="s">
        <v>26610</v>
      </c>
      <c r="W3861" t="s">
        <v>689</v>
      </c>
      <c r="X3861">
        <v>0</v>
      </c>
      <c r="Y3861" t="s">
        <v>26652</v>
      </c>
      <c r="AB3861" t="s">
        <v>29950</v>
      </c>
      <c r="AC3861" t="s">
        <v>34508</v>
      </c>
      <c r="AD3861" t="s">
        <v>40072</v>
      </c>
      <c r="AE3861">
        <v>0</v>
      </c>
      <c r="AF3861" t="s">
        <v>45541</v>
      </c>
      <c r="AG3861" t="s">
        <v>45558</v>
      </c>
      <c r="AH3861">
        <v>0</v>
      </c>
      <c r="AI3861">
        <v>1</v>
      </c>
      <c r="AJ3861">
        <v>1</v>
      </c>
      <c r="AK3861">
        <v>41.85</v>
      </c>
      <c r="AN3861" t="s">
        <v>7439</v>
      </c>
      <c r="AO3861">
        <v>6888</v>
      </c>
      <c r="AU3861">
        <v>37.95</v>
      </c>
      <c r="AV3861" t="s">
        <v>838</v>
      </c>
      <c r="AW3861" t="s">
        <v>279</v>
      </c>
    </row>
    <row r="3862" spans="1:50">
      <c r="A3862" s="1">
        <f>HYPERLINK("https://lsnyc.legalserver.org/matter/dynamic-profile/view/1887144","19-1887144")</f>
        <v>0</v>
      </c>
      <c r="B3862" t="s">
        <v>199</v>
      </c>
      <c r="C3862" t="s">
        <v>340</v>
      </c>
      <c r="D3862" t="s">
        <v>698</v>
      </c>
      <c r="F3862" t="s">
        <v>2821</v>
      </c>
      <c r="G3862" t="s">
        <v>2989</v>
      </c>
      <c r="H3862" t="s">
        <v>12606</v>
      </c>
      <c r="I3862" t="s">
        <v>17275</v>
      </c>
      <c r="J3862" t="s">
        <v>18894</v>
      </c>
      <c r="K3862">
        <v>11226</v>
      </c>
      <c r="L3862" t="s">
        <v>18958</v>
      </c>
      <c r="M3862" t="s">
        <v>18958</v>
      </c>
      <c r="N3862" t="s">
        <v>21891</v>
      </c>
      <c r="O3862" t="s">
        <v>26534</v>
      </c>
      <c r="P3862" t="s">
        <v>26561</v>
      </c>
      <c r="R3862" t="s">
        <v>26578</v>
      </c>
      <c r="S3862" t="s">
        <v>18958</v>
      </c>
      <c r="U3862" t="s">
        <v>26604</v>
      </c>
      <c r="W3862" t="s">
        <v>689</v>
      </c>
      <c r="X3862">
        <v>820</v>
      </c>
      <c r="Y3862" t="s">
        <v>26652</v>
      </c>
      <c r="Z3862" t="s">
        <v>26663</v>
      </c>
      <c r="AB3862" t="s">
        <v>27624</v>
      </c>
      <c r="AE3862">
        <v>43</v>
      </c>
      <c r="AF3862" t="s">
        <v>45541</v>
      </c>
      <c r="AH3862">
        <v>32</v>
      </c>
      <c r="AI3862">
        <v>4</v>
      </c>
      <c r="AJ3862">
        <v>2</v>
      </c>
      <c r="AK3862">
        <v>1.39</v>
      </c>
      <c r="AN3862" t="s">
        <v>7439</v>
      </c>
      <c r="AO3862">
        <v>468</v>
      </c>
      <c r="AQ3862" t="s">
        <v>46359</v>
      </c>
      <c r="AU3862">
        <v>0.1</v>
      </c>
      <c r="AV3862" t="s">
        <v>771</v>
      </c>
      <c r="AW3862" t="s">
        <v>219</v>
      </c>
      <c r="AX3862" t="s">
        <v>46897</v>
      </c>
    </row>
    <row r="3863" spans="1:50">
      <c r="A3863" s="1">
        <f>HYPERLINK("https://lsnyc.legalserver.org/matter/dynamic-profile/view/1889208","19-1889208")</f>
        <v>0</v>
      </c>
      <c r="B3863" t="s">
        <v>199</v>
      </c>
      <c r="C3863" t="s">
        <v>340</v>
      </c>
      <c r="D3863" t="s">
        <v>693</v>
      </c>
      <c r="F3863" t="s">
        <v>2822</v>
      </c>
      <c r="G3863" t="s">
        <v>5224</v>
      </c>
      <c r="H3863" t="s">
        <v>12606</v>
      </c>
      <c r="J3863" t="s">
        <v>18894</v>
      </c>
      <c r="K3863">
        <v>11226</v>
      </c>
      <c r="L3863" t="s">
        <v>18959</v>
      </c>
      <c r="M3863" t="s">
        <v>18958</v>
      </c>
      <c r="P3863" t="s">
        <v>26561</v>
      </c>
      <c r="R3863" t="s">
        <v>26578</v>
      </c>
      <c r="S3863" t="s">
        <v>18958</v>
      </c>
      <c r="U3863" t="s">
        <v>26604</v>
      </c>
      <c r="W3863" t="s">
        <v>689</v>
      </c>
      <c r="X3863">
        <v>916</v>
      </c>
      <c r="Y3863" t="s">
        <v>26652</v>
      </c>
      <c r="AB3863" t="s">
        <v>689</v>
      </c>
      <c r="AE3863">
        <v>0</v>
      </c>
      <c r="AH3863">
        <v>33</v>
      </c>
      <c r="AI3863">
        <v>1</v>
      </c>
      <c r="AJ3863">
        <v>0</v>
      </c>
      <c r="AK3863">
        <v>80.06</v>
      </c>
      <c r="AN3863" t="s">
        <v>7439</v>
      </c>
      <c r="AO3863">
        <v>10000</v>
      </c>
      <c r="AU3863">
        <v>0</v>
      </c>
      <c r="AW3863" t="s">
        <v>219</v>
      </c>
    </row>
    <row r="3864" spans="1:50">
      <c r="A3864" s="1">
        <f>HYPERLINK("https://lsnyc.legalserver.org/matter/dynamic-profile/view/1877495","18-1877495")</f>
        <v>0</v>
      </c>
      <c r="B3864" t="s">
        <v>151</v>
      </c>
      <c r="C3864" t="s">
        <v>341</v>
      </c>
      <c r="D3864" t="s">
        <v>545</v>
      </c>
      <c r="E3864" t="s">
        <v>765</v>
      </c>
      <c r="F3864" t="s">
        <v>2823</v>
      </c>
      <c r="G3864" t="s">
        <v>7082</v>
      </c>
      <c r="H3864" t="s">
        <v>12676</v>
      </c>
      <c r="I3864" t="s">
        <v>17347</v>
      </c>
      <c r="J3864" t="s">
        <v>18893</v>
      </c>
      <c r="K3864">
        <v>10027</v>
      </c>
      <c r="L3864" t="s">
        <v>18959</v>
      </c>
      <c r="M3864" t="s">
        <v>18958</v>
      </c>
      <c r="N3864" t="s">
        <v>21892</v>
      </c>
      <c r="O3864" t="s">
        <v>26523</v>
      </c>
      <c r="P3864" t="s">
        <v>26560</v>
      </c>
      <c r="Q3864" t="s">
        <v>26574</v>
      </c>
      <c r="R3864" t="s">
        <v>26592</v>
      </c>
      <c r="S3864" t="s">
        <v>18959</v>
      </c>
      <c r="U3864" t="s">
        <v>26604</v>
      </c>
      <c r="V3864" t="s">
        <v>26611</v>
      </c>
      <c r="W3864" t="s">
        <v>691</v>
      </c>
      <c r="X3864">
        <v>836</v>
      </c>
      <c r="Y3864" t="s">
        <v>26651</v>
      </c>
      <c r="Z3864" t="s">
        <v>26664</v>
      </c>
      <c r="AA3864" t="s">
        <v>26683</v>
      </c>
      <c r="AB3864" t="s">
        <v>29951</v>
      </c>
      <c r="AD3864" t="s">
        <v>40073</v>
      </c>
      <c r="AE3864">
        <v>0</v>
      </c>
      <c r="AF3864" t="s">
        <v>20460</v>
      </c>
      <c r="AG3864" t="s">
        <v>26530</v>
      </c>
      <c r="AH3864">
        <v>5</v>
      </c>
      <c r="AI3864">
        <v>1</v>
      </c>
      <c r="AJ3864">
        <v>2</v>
      </c>
      <c r="AK3864">
        <v>45.8</v>
      </c>
      <c r="AN3864" t="s">
        <v>7439</v>
      </c>
      <c r="AO3864">
        <v>9517</v>
      </c>
      <c r="AS3864" t="s">
        <v>46501</v>
      </c>
      <c r="AU3864">
        <v>18.1</v>
      </c>
      <c r="AV3864" t="s">
        <v>719</v>
      </c>
      <c r="AW3864" t="s">
        <v>314</v>
      </c>
    </row>
    <row r="3865" spans="1:50">
      <c r="A3865" s="1">
        <f>HYPERLINK("https://lsnyc.legalserver.org/matter/dynamic-profile/view/1880142","18-1880142")</f>
        <v>0</v>
      </c>
      <c r="B3865" t="s">
        <v>110</v>
      </c>
      <c r="C3865" t="s">
        <v>341</v>
      </c>
      <c r="D3865" t="s">
        <v>614</v>
      </c>
      <c r="E3865" t="s">
        <v>697</v>
      </c>
      <c r="F3865" t="s">
        <v>2655</v>
      </c>
      <c r="G3865" t="s">
        <v>7083</v>
      </c>
      <c r="H3865" t="s">
        <v>12677</v>
      </c>
      <c r="I3865" t="s">
        <v>17284</v>
      </c>
      <c r="J3865" t="s">
        <v>18900</v>
      </c>
      <c r="K3865">
        <v>11367</v>
      </c>
      <c r="L3865" t="s">
        <v>18958</v>
      </c>
      <c r="M3865" t="s">
        <v>18958</v>
      </c>
      <c r="N3865" t="s">
        <v>21893</v>
      </c>
      <c r="O3865" t="s">
        <v>26523</v>
      </c>
      <c r="P3865" t="s">
        <v>26564</v>
      </c>
      <c r="Q3865" t="s">
        <v>26570</v>
      </c>
      <c r="R3865" t="s">
        <v>26584</v>
      </c>
      <c r="S3865" t="s">
        <v>18959</v>
      </c>
      <c r="U3865" t="s">
        <v>26604</v>
      </c>
      <c r="V3865" t="s">
        <v>26610</v>
      </c>
      <c r="W3865" t="s">
        <v>691</v>
      </c>
      <c r="X3865">
        <v>905</v>
      </c>
      <c r="Y3865" t="s">
        <v>26653</v>
      </c>
      <c r="Z3865" t="s">
        <v>26664</v>
      </c>
      <c r="AA3865" t="s">
        <v>26683</v>
      </c>
      <c r="AB3865" t="s">
        <v>29952</v>
      </c>
      <c r="AC3865" t="s">
        <v>35644</v>
      </c>
      <c r="AD3865" t="s">
        <v>40074</v>
      </c>
      <c r="AE3865">
        <v>14</v>
      </c>
      <c r="AF3865" t="s">
        <v>20460</v>
      </c>
      <c r="AG3865" t="s">
        <v>19330</v>
      </c>
      <c r="AH3865">
        <v>15</v>
      </c>
      <c r="AI3865">
        <v>2</v>
      </c>
      <c r="AJ3865">
        <v>0</v>
      </c>
      <c r="AK3865">
        <v>85.01000000000001</v>
      </c>
      <c r="AN3865" t="s">
        <v>45581</v>
      </c>
      <c r="AO3865">
        <v>13992</v>
      </c>
      <c r="AU3865">
        <v>0.7</v>
      </c>
      <c r="AV3865" t="s">
        <v>691</v>
      </c>
      <c r="AW3865" t="s">
        <v>208</v>
      </c>
    </row>
    <row r="3866" spans="1:50">
      <c r="A3866" s="1">
        <f>HYPERLINK("https://lsnyc.legalserver.org/matter/dynamic-profile/view/1883685","18-1883685")</f>
        <v>0</v>
      </c>
      <c r="B3866" t="s">
        <v>82</v>
      </c>
      <c r="C3866" t="s">
        <v>340</v>
      </c>
      <c r="D3866" t="s">
        <v>665</v>
      </c>
      <c r="F3866" t="s">
        <v>1345</v>
      </c>
      <c r="G3866" t="s">
        <v>7084</v>
      </c>
      <c r="H3866" t="s">
        <v>12678</v>
      </c>
      <c r="I3866" t="s">
        <v>17361</v>
      </c>
      <c r="J3866" t="s">
        <v>18892</v>
      </c>
      <c r="K3866">
        <v>10472</v>
      </c>
      <c r="L3866" t="s">
        <v>18958</v>
      </c>
      <c r="M3866" t="s">
        <v>18958</v>
      </c>
      <c r="N3866" t="s">
        <v>21329</v>
      </c>
      <c r="O3866" t="s">
        <v>26524</v>
      </c>
      <c r="P3866" t="s">
        <v>26560</v>
      </c>
      <c r="R3866" t="s">
        <v>26577</v>
      </c>
      <c r="S3866" t="s">
        <v>18959</v>
      </c>
      <c r="U3866" t="s">
        <v>26604</v>
      </c>
      <c r="V3866" t="s">
        <v>26610</v>
      </c>
      <c r="W3866" t="s">
        <v>691</v>
      </c>
      <c r="X3866">
        <v>0</v>
      </c>
      <c r="Y3866" t="s">
        <v>26650</v>
      </c>
      <c r="Z3866" t="s">
        <v>26664</v>
      </c>
      <c r="AB3866" t="s">
        <v>29953</v>
      </c>
      <c r="AE3866">
        <v>0</v>
      </c>
      <c r="AF3866" t="s">
        <v>45541</v>
      </c>
      <c r="AG3866" t="s">
        <v>19330</v>
      </c>
      <c r="AH3866">
        <v>0</v>
      </c>
      <c r="AI3866">
        <v>1</v>
      </c>
      <c r="AJ3866">
        <v>0</v>
      </c>
      <c r="AK3866">
        <v>0</v>
      </c>
      <c r="AN3866" t="s">
        <v>45581</v>
      </c>
      <c r="AO3866">
        <v>0</v>
      </c>
      <c r="AU3866">
        <v>8</v>
      </c>
      <c r="AV3866" t="s">
        <v>747</v>
      </c>
      <c r="AW3866" t="s">
        <v>46867</v>
      </c>
    </row>
    <row r="3867" spans="1:50">
      <c r="A3867" s="1">
        <f>HYPERLINK("https://lsnyc.legalserver.org/matter/dynamic-profile/view/1885593","18-1885593")</f>
        <v>0</v>
      </c>
      <c r="B3867" t="s">
        <v>98</v>
      </c>
      <c r="C3867" t="s">
        <v>341</v>
      </c>
      <c r="D3867" t="s">
        <v>691</v>
      </c>
      <c r="E3867" t="s">
        <v>753</v>
      </c>
      <c r="F3867" t="s">
        <v>916</v>
      </c>
      <c r="G3867" t="s">
        <v>5836</v>
      </c>
      <c r="H3867" t="s">
        <v>12679</v>
      </c>
      <c r="I3867" t="s">
        <v>17388</v>
      </c>
      <c r="J3867" t="s">
        <v>18892</v>
      </c>
      <c r="K3867">
        <v>10453</v>
      </c>
      <c r="L3867" t="s">
        <v>18958</v>
      </c>
      <c r="M3867" t="s">
        <v>18958</v>
      </c>
      <c r="O3867" t="s">
        <v>18997</v>
      </c>
      <c r="P3867" t="s">
        <v>26565</v>
      </c>
      <c r="Q3867" t="s">
        <v>26571</v>
      </c>
      <c r="R3867" t="s">
        <v>26578</v>
      </c>
      <c r="S3867" t="s">
        <v>18959</v>
      </c>
      <c r="U3867" t="s">
        <v>26604</v>
      </c>
      <c r="W3867" t="s">
        <v>691</v>
      </c>
      <c r="X3867">
        <v>169</v>
      </c>
      <c r="Y3867" t="s">
        <v>26650</v>
      </c>
      <c r="Z3867" t="s">
        <v>26663</v>
      </c>
      <c r="AA3867" t="s">
        <v>26683</v>
      </c>
      <c r="AB3867" t="s">
        <v>29954</v>
      </c>
      <c r="AD3867" t="s">
        <v>40075</v>
      </c>
      <c r="AE3867">
        <v>298</v>
      </c>
      <c r="AF3867" t="s">
        <v>45541</v>
      </c>
      <c r="AG3867" t="s">
        <v>45556</v>
      </c>
      <c r="AH3867">
        <v>37</v>
      </c>
      <c r="AI3867">
        <v>2</v>
      </c>
      <c r="AJ3867">
        <v>0</v>
      </c>
      <c r="AK3867">
        <v>53.95</v>
      </c>
      <c r="AN3867" t="s">
        <v>45581</v>
      </c>
      <c r="AO3867">
        <v>8880</v>
      </c>
      <c r="AU3867">
        <v>2.6</v>
      </c>
      <c r="AV3867" t="s">
        <v>753</v>
      </c>
      <c r="AW3867" t="s">
        <v>60</v>
      </c>
    </row>
    <row r="3868" spans="1:50">
      <c r="A3868" s="1">
        <f>HYPERLINK("https://lsnyc.legalserver.org/matter/dynamic-profile/view/1885601","18-1885601")</f>
        <v>0</v>
      </c>
      <c r="B3868" t="s">
        <v>202</v>
      </c>
      <c r="C3868" t="s">
        <v>341</v>
      </c>
      <c r="D3868" t="s">
        <v>691</v>
      </c>
      <c r="E3868" t="s">
        <v>777</v>
      </c>
      <c r="F3868" t="s">
        <v>916</v>
      </c>
      <c r="G3868" t="s">
        <v>7085</v>
      </c>
      <c r="H3868" t="s">
        <v>12680</v>
      </c>
      <c r="I3868" t="s">
        <v>18023</v>
      </c>
      <c r="J3868" t="s">
        <v>18894</v>
      </c>
      <c r="K3868">
        <v>11206</v>
      </c>
      <c r="L3868" t="s">
        <v>18958</v>
      </c>
      <c r="M3868" t="s">
        <v>18960</v>
      </c>
      <c r="N3868" t="s">
        <v>21894</v>
      </c>
      <c r="O3868" t="s">
        <v>26523</v>
      </c>
      <c r="P3868" t="s">
        <v>26560</v>
      </c>
      <c r="Q3868" t="s">
        <v>26568</v>
      </c>
      <c r="R3868" t="s">
        <v>26586</v>
      </c>
      <c r="S3868" t="s">
        <v>18959</v>
      </c>
      <c r="U3868" t="s">
        <v>26604</v>
      </c>
      <c r="V3868" t="s">
        <v>26611</v>
      </c>
      <c r="W3868" t="s">
        <v>691</v>
      </c>
      <c r="X3868">
        <v>0</v>
      </c>
      <c r="Y3868" t="s">
        <v>26652</v>
      </c>
      <c r="Z3868" t="s">
        <v>26668</v>
      </c>
      <c r="AA3868" t="s">
        <v>26678</v>
      </c>
      <c r="AB3868" t="s">
        <v>29955</v>
      </c>
      <c r="AD3868" t="s">
        <v>40076</v>
      </c>
      <c r="AE3868">
        <v>20</v>
      </c>
      <c r="AF3868" t="s">
        <v>45541</v>
      </c>
      <c r="AG3868" t="s">
        <v>45559</v>
      </c>
      <c r="AH3868">
        <v>35</v>
      </c>
      <c r="AI3868">
        <v>1</v>
      </c>
      <c r="AJ3868">
        <v>0</v>
      </c>
      <c r="AK3868">
        <v>164.74</v>
      </c>
      <c r="AN3868" t="s">
        <v>45596</v>
      </c>
      <c r="AO3868">
        <v>20000</v>
      </c>
      <c r="AQ3868" t="s">
        <v>46365</v>
      </c>
      <c r="AR3868" t="s">
        <v>46380</v>
      </c>
      <c r="AS3868" t="s">
        <v>46499</v>
      </c>
      <c r="AT3868" t="s">
        <v>46666</v>
      </c>
      <c r="AU3868">
        <v>24.25</v>
      </c>
      <c r="AV3868" t="s">
        <v>777</v>
      </c>
      <c r="AW3868" t="s">
        <v>46856</v>
      </c>
    </row>
    <row r="3869" spans="1:50">
      <c r="A3869" s="1">
        <f>HYPERLINK("https://lsnyc.legalserver.org/matter/dynamic-profile/view/1885655","18-1885655")</f>
        <v>0</v>
      </c>
      <c r="B3869" t="s">
        <v>113</v>
      </c>
      <c r="C3869" t="s">
        <v>341</v>
      </c>
      <c r="D3869" t="s">
        <v>691</v>
      </c>
      <c r="E3869" t="s">
        <v>670</v>
      </c>
      <c r="F3869" t="s">
        <v>2362</v>
      </c>
      <c r="G3869" t="s">
        <v>7086</v>
      </c>
      <c r="H3869" t="s">
        <v>12681</v>
      </c>
      <c r="I3869" t="s">
        <v>18024</v>
      </c>
      <c r="J3869" t="s">
        <v>18892</v>
      </c>
      <c r="K3869">
        <v>10452</v>
      </c>
      <c r="L3869" t="s">
        <v>18958</v>
      </c>
      <c r="M3869" t="s">
        <v>18958</v>
      </c>
      <c r="N3869" t="s">
        <v>21895</v>
      </c>
      <c r="O3869" t="s">
        <v>26523</v>
      </c>
      <c r="P3869" t="s">
        <v>26564</v>
      </c>
      <c r="Q3869" t="s">
        <v>26570</v>
      </c>
      <c r="R3869" t="s">
        <v>26578</v>
      </c>
      <c r="S3869" t="s">
        <v>18959</v>
      </c>
      <c r="U3869" t="s">
        <v>26604</v>
      </c>
      <c r="V3869" t="s">
        <v>26611</v>
      </c>
      <c r="W3869" t="s">
        <v>691</v>
      </c>
      <c r="X3869">
        <v>1200</v>
      </c>
      <c r="Y3869" t="s">
        <v>26650</v>
      </c>
      <c r="Z3869" t="s">
        <v>26661</v>
      </c>
      <c r="AA3869" t="s">
        <v>26683</v>
      </c>
      <c r="AB3869" t="s">
        <v>29956</v>
      </c>
      <c r="AD3869" t="s">
        <v>40077</v>
      </c>
      <c r="AE3869">
        <v>59</v>
      </c>
      <c r="AG3869" t="s">
        <v>19330</v>
      </c>
      <c r="AH3869">
        <v>10</v>
      </c>
      <c r="AI3869">
        <v>2</v>
      </c>
      <c r="AJ3869">
        <v>2</v>
      </c>
      <c r="AK3869">
        <v>243.03</v>
      </c>
      <c r="AN3869" t="s">
        <v>45609</v>
      </c>
      <c r="AO3869">
        <v>61000</v>
      </c>
      <c r="AU3869">
        <v>0.8</v>
      </c>
      <c r="AV3869" t="s">
        <v>691</v>
      </c>
      <c r="AW3869" t="s">
        <v>113</v>
      </c>
    </row>
    <row r="3870" spans="1:50">
      <c r="A3870" s="1">
        <f>HYPERLINK("https://lsnyc.legalserver.org/matter/dynamic-profile/view/1885651","18-1885651")</f>
        <v>0</v>
      </c>
      <c r="B3870" t="s">
        <v>274</v>
      </c>
      <c r="C3870" t="s">
        <v>341</v>
      </c>
      <c r="D3870" t="s">
        <v>691</v>
      </c>
      <c r="E3870" t="s">
        <v>697</v>
      </c>
      <c r="F3870" t="s">
        <v>2824</v>
      </c>
      <c r="G3870" t="s">
        <v>1938</v>
      </c>
      <c r="H3870" t="s">
        <v>12682</v>
      </c>
      <c r="I3870" t="s">
        <v>17301</v>
      </c>
      <c r="J3870" t="s">
        <v>18894</v>
      </c>
      <c r="K3870">
        <v>11206</v>
      </c>
      <c r="L3870" t="s">
        <v>18960</v>
      </c>
      <c r="M3870" t="s">
        <v>18960</v>
      </c>
      <c r="P3870" t="s">
        <v>26564</v>
      </c>
      <c r="Q3870" t="s">
        <v>26570</v>
      </c>
      <c r="R3870" t="s">
        <v>26583</v>
      </c>
      <c r="U3870" t="s">
        <v>26605</v>
      </c>
      <c r="W3870" t="s">
        <v>691</v>
      </c>
      <c r="X3870">
        <v>0</v>
      </c>
      <c r="Y3870" t="s">
        <v>26652</v>
      </c>
      <c r="AA3870" t="s">
        <v>26683</v>
      </c>
      <c r="AB3870" t="s">
        <v>29957</v>
      </c>
      <c r="AE3870">
        <v>0</v>
      </c>
      <c r="AH3870">
        <v>0</v>
      </c>
      <c r="AI3870">
        <v>3</v>
      </c>
      <c r="AJ3870">
        <v>0</v>
      </c>
      <c r="AK3870">
        <v>168.43</v>
      </c>
      <c r="AN3870" t="s">
        <v>7439</v>
      </c>
      <c r="AO3870">
        <v>35000</v>
      </c>
      <c r="AU3870">
        <v>1.5</v>
      </c>
      <c r="AV3870" t="s">
        <v>697</v>
      </c>
      <c r="AW3870" t="s">
        <v>274</v>
      </c>
    </row>
    <row r="3871" spans="1:50">
      <c r="A3871" s="1">
        <f>HYPERLINK("https://lsnyc.legalserver.org/matter/dynamic-profile/view/1885640","18-1885640")</f>
        <v>0</v>
      </c>
      <c r="B3871" t="s">
        <v>251</v>
      </c>
      <c r="C3871" t="s">
        <v>341</v>
      </c>
      <c r="D3871" t="s">
        <v>691</v>
      </c>
      <c r="E3871" t="s">
        <v>770</v>
      </c>
      <c r="F3871" t="s">
        <v>1926</v>
      </c>
      <c r="G3871" t="s">
        <v>5461</v>
      </c>
      <c r="H3871" t="s">
        <v>12683</v>
      </c>
      <c r="I3871" t="s">
        <v>17469</v>
      </c>
      <c r="J3871" t="s">
        <v>18892</v>
      </c>
      <c r="K3871">
        <v>10467</v>
      </c>
      <c r="L3871" t="s">
        <v>18958</v>
      </c>
      <c r="M3871" t="s">
        <v>18958</v>
      </c>
      <c r="N3871" t="s">
        <v>21896</v>
      </c>
      <c r="O3871" t="s">
        <v>26524</v>
      </c>
      <c r="P3871" t="s">
        <v>26560</v>
      </c>
      <c r="Q3871" t="s">
        <v>26573</v>
      </c>
      <c r="R3871" t="s">
        <v>26579</v>
      </c>
      <c r="S3871" t="s">
        <v>18959</v>
      </c>
      <c r="U3871" t="s">
        <v>26604</v>
      </c>
      <c r="V3871" t="s">
        <v>26610</v>
      </c>
      <c r="W3871" t="s">
        <v>691</v>
      </c>
      <c r="X3871">
        <v>1600</v>
      </c>
      <c r="Y3871" t="s">
        <v>26650</v>
      </c>
      <c r="Z3871" t="s">
        <v>26661</v>
      </c>
      <c r="AA3871" t="s">
        <v>26679</v>
      </c>
      <c r="AB3871" t="s">
        <v>29958</v>
      </c>
      <c r="AD3871" t="s">
        <v>40078</v>
      </c>
      <c r="AE3871">
        <v>3</v>
      </c>
      <c r="AF3871" t="s">
        <v>45547</v>
      </c>
      <c r="AG3871" t="s">
        <v>19330</v>
      </c>
      <c r="AH3871">
        <v>7</v>
      </c>
      <c r="AI3871">
        <v>3</v>
      </c>
      <c r="AJ3871">
        <v>1</v>
      </c>
      <c r="AK3871">
        <v>35.86</v>
      </c>
      <c r="AN3871" t="s">
        <v>26530</v>
      </c>
      <c r="AO3871">
        <v>9000</v>
      </c>
      <c r="AQ3871" t="s">
        <v>46362</v>
      </c>
      <c r="AR3871" t="s">
        <v>26530</v>
      </c>
      <c r="AS3871" t="s">
        <v>46500</v>
      </c>
      <c r="AT3871" t="s">
        <v>46623</v>
      </c>
      <c r="AU3871">
        <v>15.7</v>
      </c>
      <c r="AV3871" t="s">
        <v>789</v>
      </c>
      <c r="AW3871" t="s">
        <v>113</v>
      </c>
    </row>
    <row r="3872" spans="1:50">
      <c r="A3872" s="1">
        <f>HYPERLINK("https://lsnyc.legalserver.org/matter/dynamic-profile/view/1885567","18-1885567")</f>
        <v>0</v>
      </c>
      <c r="B3872" t="s">
        <v>74</v>
      </c>
      <c r="C3872" t="s">
        <v>341</v>
      </c>
      <c r="D3872" t="s">
        <v>691</v>
      </c>
      <c r="E3872" t="s">
        <v>739</v>
      </c>
      <c r="F3872" t="s">
        <v>2825</v>
      </c>
      <c r="G3872" t="s">
        <v>7087</v>
      </c>
      <c r="H3872" t="s">
        <v>10272</v>
      </c>
      <c r="I3872" t="s">
        <v>17693</v>
      </c>
      <c r="J3872" t="s">
        <v>18893</v>
      </c>
      <c r="K3872">
        <v>10033</v>
      </c>
      <c r="L3872" t="s">
        <v>18958</v>
      </c>
      <c r="M3872" t="s">
        <v>18958</v>
      </c>
      <c r="P3872" t="s">
        <v>26564</v>
      </c>
      <c r="Q3872" t="s">
        <v>26570</v>
      </c>
      <c r="R3872" t="s">
        <v>26578</v>
      </c>
      <c r="S3872" t="s">
        <v>18959</v>
      </c>
      <c r="U3872" t="s">
        <v>26604</v>
      </c>
      <c r="W3872" t="s">
        <v>691</v>
      </c>
      <c r="X3872">
        <v>1738.44</v>
      </c>
      <c r="Y3872" t="s">
        <v>26651</v>
      </c>
      <c r="Z3872" t="s">
        <v>26661</v>
      </c>
      <c r="AA3872" t="s">
        <v>26683</v>
      </c>
      <c r="AB3872" t="s">
        <v>29959</v>
      </c>
      <c r="AD3872" t="s">
        <v>40079</v>
      </c>
      <c r="AE3872">
        <v>485</v>
      </c>
      <c r="AF3872" t="s">
        <v>45541</v>
      </c>
      <c r="AG3872" t="s">
        <v>19330</v>
      </c>
      <c r="AH3872">
        <v>11</v>
      </c>
      <c r="AI3872">
        <v>3</v>
      </c>
      <c r="AJ3872">
        <v>0</v>
      </c>
      <c r="AK3872">
        <v>144.37</v>
      </c>
      <c r="AN3872" t="s">
        <v>45581</v>
      </c>
      <c r="AO3872">
        <v>30000</v>
      </c>
      <c r="AU3872">
        <v>0.2</v>
      </c>
      <c r="AV3872" t="s">
        <v>739</v>
      </c>
      <c r="AW3872" t="s">
        <v>46840</v>
      </c>
    </row>
    <row r="3873" spans="1:50">
      <c r="A3873" s="1">
        <f>HYPERLINK("https://lsnyc.legalserver.org/matter/dynamic-profile/view/1885560","18-1885560")</f>
        <v>0</v>
      </c>
      <c r="B3873" t="s">
        <v>74</v>
      </c>
      <c r="C3873" t="s">
        <v>341</v>
      </c>
      <c r="D3873" t="s">
        <v>691</v>
      </c>
      <c r="E3873" t="s">
        <v>739</v>
      </c>
      <c r="F3873" t="s">
        <v>1687</v>
      </c>
      <c r="G3873" t="s">
        <v>1627</v>
      </c>
      <c r="H3873" t="s">
        <v>12684</v>
      </c>
      <c r="I3873">
        <v>31</v>
      </c>
      <c r="J3873" t="s">
        <v>18893</v>
      </c>
      <c r="K3873">
        <v>10032</v>
      </c>
      <c r="L3873" t="s">
        <v>18958</v>
      </c>
      <c r="M3873" t="s">
        <v>18958</v>
      </c>
      <c r="P3873" t="s">
        <v>26564</v>
      </c>
      <c r="Q3873" t="s">
        <v>26570</v>
      </c>
      <c r="R3873" t="s">
        <v>26578</v>
      </c>
      <c r="U3873" t="s">
        <v>26604</v>
      </c>
      <c r="W3873" t="s">
        <v>691</v>
      </c>
      <c r="X3873">
        <v>1042.85</v>
      </c>
      <c r="Y3873" t="s">
        <v>26651</v>
      </c>
      <c r="Z3873" t="s">
        <v>26661</v>
      </c>
      <c r="AA3873" t="s">
        <v>26683</v>
      </c>
      <c r="AB3873" t="s">
        <v>28894</v>
      </c>
      <c r="AD3873" t="s">
        <v>40080</v>
      </c>
      <c r="AE3873">
        <v>44</v>
      </c>
      <c r="AF3873" t="s">
        <v>45541</v>
      </c>
      <c r="AG3873" t="s">
        <v>19330</v>
      </c>
      <c r="AH3873">
        <v>23</v>
      </c>
      <c r="AI3873">
        <v>3</v>
      </c>
      <c r="AJ3873">
        <v>0</v>
      </c>
      <c r="AK3873">
        <v>196.44</v>
      </c>
      <c r="AN3873" t="s">
        <v>45581</v>
      </c>
      <c r="AO3873">
        <v>40820</v>
      </c>
      <c r="AU3873">
        <v>0.2</v>
      </c>
      <c r="AV3873" t="s">
        <v>739</v>
      </c>
      <c r="AW3873" t="s">
        <v>46840</v>
      </c>
    </row>
    <row r="3874" spans="1:50">
      <c r="A3874" s="1">
        <f>HYPERLINK("https://lsnyc.legalserver.org/matter/dynamic-profile/view/1885600","18-1885600")</f>
        <v>0</v>
      </c>
      <c r="B3874" t="s">
        <v>141</v>
      </c>
      <c r="C3874" t="s">
        <v>341</v>
      </c>
      <c r="D3874" t="s">
        <v>691</v>
      </c>
      <c r="E3874" t="s">
        <v>714</v>
      </c>
      <c r="F3874" t="s">
        <v>2826</v>
      </c>
      <c r="G3874" t="s">
        <v>5177</v>
      </c>
      <c r="H3874" t="s">
        <v>12685</v>
      </c>
      <c r="J3874" t="s">
        <v>18933</v>
      </c>
      <c r="K3874">
        <v>11422</v>
      </c>
      <c r="L3874" t="s">
        <v>18958</v>
      </c>
      <c r="M3874" t="s">
        <v>18958</v>
      </c>
      <c r="N3874" t="s">
        <v>21897</v>
      </c>
      <c r="O3874" t="s">
        <v>26524</v>
      </c>
      <c r="P3874" t="s">
        <v>26560</v>
      </c>
      <c r="Q3874" t="s">
        <v>26568</v>
      </c>
      <c r="R3874" t="s">
        <v>26578</v>
      </c>
      <c r="S3874" t="s">
        <v>18959</v>
      </c>
      <c r="U3874" t="s">
        <v>26604</v>
      </c>
      <c r="V3874" t="s">
        <v>26610</v>
      </c>
      <c r="W3874" t="s">
        <v>691</v>
      </c>
      <c r="X3874">
        <v>0</v>
      </c>
      <c r="Y3874" t="s">
        <v>26653</v>
      </c>
      <c r="Z3874" t="s">
        <v>26664</v>
      </c>
      <c r="AA3874" t="s">
        <v>26678</v>
      </c>
      <c r="AB3874" t="s">
        <v>29960</v>
      </c>
      <c r="AD3874" t="s">
        <v>40081</v>
      </c>
      <c r="AE3874">
        <v>2</v>
      </c>
      <c r="AF3874" t="s">
        <v>45547</v>
      </c>
      <c r="AG3874" t="s">
        <v>19330</v>
      </c>
      <c r="AH3874">
        <v>1</v>
      </c>
      <c r="AI3874">
        <v>1</v>
      </c>
      <c r="AJ3874">
        <v>4</v>
      </c>
      <c r="AK3874">
        <v>91.56</v>
      </c>
      <c r="AN3874" t="s">
        <v>7439</v>
      </c>
      <c r="AO3874">
        <v>26936</v>
      </c>
      <c r="AQ3874" t="s">
        <v>46361</v>
      </c>
      <c r="AR3874" t="s">
        <v>46379</v>
      </c>
      <c r="AS3874" t="s">
        <v>46499</v>
      </c>
      <c r="AT3874" t="s">
        <v>46577</v>
      </c>
      <c r="AU3874">
        <v>23.35</v>
      </c>
      <c r="AV3874" t="s">
        <v>784</v>
      </c>
      <c r="AW3874" t="s">
        <v>161</v>
      </c>
    </row>
    <row r="3875" spans="1:50">
      <c r="A3875" s="1">
        <f>HYPERLINK("https://lsnyc.legalserver.org/matter/dynamic-profile/view/1885545","18-1885545")</f>
        <v>0</v>
      </c>
      <c r="B3875" t="s">
        <v>50</v>
      </c>
      <c r="C3875" t="s">
        <v>341</v>
      </c>
      <c r="D3875" t="s">
        <v>691</v>
      </c>
      <c r="E3875" t="s">
        <v>415</v>
      </c>
      <c r="F3875" t="s">
        <v>2827</v>
      </c>
      <c r="G3875" t="s">
        <v>7088</v>
      </c>
      <c r="H3875" t="s">
        <v>12686</v>
      </c>
      <c r="I3875">
        <v>48</v>
      </c>
      <c r="J3875" t="s">
        <v>18892</v>
      </c>
      <c r="K3875">
        <v>10468</v>
      </c>
      <c r="L3875" t="s">
        <v>18958</v>
      </c>
      <c r="M3875" t="s">
        <v>18958</v>
      </c>
      <c r="N3875" t="s">
        <v>21898</v>
      </c>
      <c r="O3875" t="s">
        <v>26523</v>
      </c>
      <c r="P3875" t="s">
        <v>26560</v>
      </c>
      <c r="Q3875" t="s">
        <v>26568</v>
      </c>
      <c r="R3875" t="s">
        <v>26579</v>
      </c>
      <c r="S3875" t="s">
        <v>18959</v>
      </c>
      <c r="U3875" t="s">
        <v>26604</v>
      </c>
      <c r="W3875" t="s">
        <v>691</v>
      </c>
      <c r="X3875">
        <v>1275</v>
      </c>
      <c r="Y3875" t="s">
        <v>26650</v>
      </c>
      <c r="Z3875" t="s">
        <v>26664</v>
      </c>
      <c r="AA3875" t="s">
        <v>26678</v>
      </c>
      <c r="AB3875" t="s">
        <v>29961</v>
      </c>
      <c r="AC3875" t="s">
        <v>35645</v>
      </c>
      <c r="AD3875" t="s">
        <v>40082</v>
      </c>
      <c r="AE3875">
        <v>49</v>
      </c>
      <c r="AF3875" t="s">
        <v>45541</v>
      </c>
      <c r="AG3875" t="s">
        <v>19330</v>
      </c>
      <c r="AH3875">
        <v>2</v>
      </c>
      <c r="AI3875">
        <v>1</v>
      </c>
      <c r="AJ3875">
        <v>1</v>
      </c>
      <c r="AK3875">
        <v>118.47</v>
      </c>
      <c r="AN3875" t="s">
        <v>45581</v>
      </c>
      <c r="AO3875">
        <v>19500</v>
      </c>
      <c r="AR3875" t="s">
        <v>46379</v>
      </c>
      <c r="AS3875" t="s">
        <v>46499</v>
      </c>
      <c r="AT3875" t="s">
        <v>46775</v>
      </c>
      <c r="AU3875">
        <v>9.25</v>
      </c>
      <c r="AV3875" t="s">
        <v>414</v>
      </c>
      <c r="AW3875" t="s">
        <v>334</v>
      </c>
    </row>
    <row r="3876" spans="1:50">
      <c r="A3876" s="1">
        <f>HYPERLINK("https://lsnyc.legalserver.org/matter/dynamic-profile/view/1885529","18-1885529")</f>
        <v>0</v>
      </c>
      <c r="B3876" t="s">
        <v>50</v>
      </c>
      <c r="C3876" t="s">
        <v>341</v>
      </c>
      <c r="D3876" t="s">
        <v>691</v>
      </c>
      <c r="E3876" t="s">
        <v>760</v>
      </c>
      <c r="F3876" t="s">
        <v>1363</v>
      </c>
      <c r="G3876" t="s">
        <v>7089</v>
      </c>
      <c r="H3876" t="s">
        <v>12687</v>
      </c>
      <c r="I3876" t="s">
        <v>18025</v>
      </c>
      <c r="J3876" t="s">
        <v>18892</v>
      </c>
      <c r="K3876">
        <v>10457</v>
      </c>
      <c r="L3876" t="s">
        <v>18958</v>
      </c>
      <c r="M3876" t="s">
        <v>18958</v>
      </c>
      <c r="N3876" t="s">
        <v>21899</v>
      </c>
      <c r="O3876" t="s">
        <v>26523</v>
      </c>
      <c r="P3876" t="s">
        <v>26560</v>
      </c>
      <c r="Q3876" t="s">
        <v>26568</v>
      </c>
      <c r="R3876" t="s">
        <v>26579</v>
      </c>
      <c r="S3876" t="s">
        <v>18959</v>
      </c>
      <c r="U3876" t="s">
        <v>26604</v>
      </c>
      <c r="V3876" t="s">
        <v>26610</v>
      </c>
      <c r="W3876" t="s">
        <v>691</v>
      </c>
      <c r="X3876">
        <v>1004.87</v>
      </c>
      <c r="Y3876" t="s">
        <v>26650</v>
      </c>
      <c r="Z3876" t="s">
        <v>26664</v>
      </c>
      <c r="AA3876" t="s">
        <v>26678</v>
      </c>
      <c r="AB3876" t="s">
        <v>29962</v>
      </c>
      <c r="AC3876" t="s">
        <v>35646</v>
      </c>
      <c r="AD3876" t="s">
        <v>40083</v>
      </c>
      <c r="AE3876">
        <v>48</v>
      </c>
      <c r="AF3876" t="s">
        <v>45541</v>
      </c>
      <c r="AG3876" t="s">
        <v>45556</v>
      </c>
      <c r="AH3876">
        <v>7</v>
      </c>
      <c r="AI3876">
        <v>2</v>
      </c>
      <c r="AJ3876">
        <v>1</v>
      </c>
      <c r="AK3876">
        <v>180.65</v>
      </c>
      <c r="AN3876" t="s">
        <v>45581</v>
      </c>
      <c r="AO3876">
        <v>37540</v>
      </c>
      <c r="AQ3876" t="s">
        <v>46362</v>
      </c>
      <c r="AR3876" t="s">
        <v>46380</v>
      </c>
      <c r="AS3876" t="s">
        <v>46499</v>
      </c>
      <c r="AT3876" t="s">
        <v>46569</v>
      </c>
      <c r="AU3876">
        <v>12.75</v>
      </c>
      <c r="AV3876" t="s">
        <v>780</v>
      </c>
      <c r="AW3876" t="s">
        <v>334</v>
      </c>
    </row>
    <row r="3877" spans="1:50">
      <c r="A3877" s="1">
        <f>HYPERLINK("https://lsnyc.legalserver.org/matter/dynamic-profile/view/1885643","18-1885643")</f>
        <v>0</v>
      </c>
      <c r="B3877" t="s">
        <v>122</v>
      </c>
      <c r="C3877" t="s">
        <v>341</v>
      </c>
      <c r="D3877" t="s">
        <v>691</v>
      </c>
      <c r="E3877" t="s">
        <v>697</v>
      </c>
      <c r="F3877" t="s">
        <v>2828</v>
      </c>
      <c r="G3877" t="s">
        <v>5634</v>
      </c>
      <c r="H3877" t="s">
        <v>12688</v>
      </c>
      <c r="I3877" t="s">
        <v>17374</v>
      </c>
      <c r="J3877" t="s">
        <v>18920</v>
      </c>
      <c r="K3877">
        <v>11370</v>
      </c>
      <c r="L3877" t="s">
        <v>18958</v>
      </c>
      <c r="M3877" t="s">
        <v>18958</v>
      </c>
      <c r="N3877" t="s">
        <v>21900</v>
      </c>
      <c r="O3877" t="s">
        <v>26533</v>
      </c>
      <c r="P3877" t="s">
        <v>26564</v>
      </c>
      <c r="Q3877" t="s">
        <v>26570</v>
      </c>
      <c r="R3877" t="s">
        <v>26578</v>
      </c>
      <c r="S3877" t="s">
        <v>18959</v>
      </c>
      <c r="U3877" t="s">
        <v>26604</v>
      </c>
      <c r="V3877" t="s">
        <v>26610</v>
      </c>
      <c r="W3877" t="s">
        <v>691</v>
      </c>
      <c r="X3877">
        <v>500</v>
      </c>
      <c r="Y3877" t="s">
        <v>26653</v>
      </c>
      <c r="Z3877" t="s">
        <v>26664</v>
      </c>
      <c r="AA3877" t="s">
        <v>26683</v>
      </c>
      <c r="AB3877" t="s">
        <v>29963</v>
      </c>
      <c r="AD3877" t="s">
        <v>40084</v>
      </c>
      <c r="AE3877">
        <v>3</v>
      </c>
      <c r="AF3877" t="s">
        <v>45547</v>
      </c>
      <c r="AG3877" t="s">
        <v>19330</v>
      </c>
      <c r="AH3877">
        <v>1</v>
      </c>
      <c r="AI3877">
        <v>1</v>
      </c>
      <c r="AJ3877">
        <v>0</v>
      </c>
      <c r="AK3877">
        <v>0</v>
      </c>
      <c r="AN3877" t="s">
        <v>45581</v>
      </c>
      <c r="AO3877">
        <v>0</v>
      </c>
      <c r="AU3877">
        <v>1.04</v>
      </c>
      <c r="AV3877" t="s">
        <v>697</v>
      </c>
      <c r="AW3877" t="s">
        <v>122</v>
      </c>
    </row>
    <row r="3878" spans="1:50">
      <c r="A3878" s="1">
        <f>HYPERLINK("https://lsnyc.legalserver.org/matter/dynamic-profile/view/1885580","18-1885580")</f>
        <v>0</v>
      </c>
      <c r="B3878" t="s">
        <v>226</v>
      </c>
      <c r="C3878" t="s">
        <v>341</v>
      </c>
      <c r="D3878" t="s">
        <v>691</v>
      </c>
      <c r="E3878" t="s">
        <v>684</v>
      </c>
      <c r="F3878" t="s">
        <v>2829</v>
      </c>
      <c r="G3878" t="s">
        <v>7090</v>
      </c>
      <c r="H3878" t="s">
        <v>12689</v>
      </c>
      <c r="I3878">
        <v>3</v>
      </c>
      <c r="J3878" t="s">
        <v>18892</v>
      </c>
      <c r="K3878">
        <v>10452</v>
      </c>
      <c r="L3878" t="s">
        <v>18958</v>
      </c>
      <c r="M3878" t="s">
        <v>18958</v>
      </c>
      <c r="O3878" t="s">
        <v>18997</v>
      </c>
      <c r="P3878" t="s">
        <v>26564</v>
      </c>
      <c r="Q3878" t="s">
        <v>26570</v>
      </c>
      <c r="R3878" t="s">
        <v>26578</v>
      </c>
      <c r="S3878" t="s">
        <v>18959</v>
      </c>
      <c r="U3878" t="s">
        <v>26604</v>
      </c>
      <c r="W3878" t="s">
        <v>691</v>
      </c>
      <c r="X3878">
        <v>1252.36</v>
      </c>
      <c r="Y3878" t="s">
        <v>26650</v>
      </c>
      <c r="Z3878" t="s">
        <v>26663</v>
      </c>
      <c r="AA3878" t="s">
        <v>26683</v>
      </c>
      <c r="AB3878" t="s">
        <v>27658</v>
      </c>
      <c r="AC3878">
        <v>5265005</v>
      </c>
      <c r="AE3878">
        <v>0</v>
      </c>
      <c r="AF3878" t="s">
        <v>45541</v>
      </c>
      <c r="AG3878" t="s">
        <v>19330</v>
      </c>
      <c r="AH3878">
        <v>9</v>
      </c>
      <c r="AI3878">
        <v>4</v>
      </c>
      <c r="AJ3878">
        <v>1</v>
      </c>
      <c r="AK3878">
        <v>91.72</v>
      </c>
      <c r="AN3878" t="s">
        <v>7439</v>
      </c>
      <c r="AO3878">
        <v>26984</v>
      </c>
      <c r="AU3878">
        <v>3.5</v>
      </c>
      <c r="AV3878" t="s">
        <v>684</v>
      </c>
      <c r="AW3878" t="s">
        <v>226</v>
      </c>
    </row>
    <row r="3879" spans="1:50">
      <c r="A3879" s="1">
        <f>HYPERLINK("https://lsnyc.legalserver.org/matter/dynamic-profile/view/1885608","18-1885608")</f>
        <v>0</v>
      </c>
      <c r="B3879" t="s">
        <v>126</v>
      </c>
      <c r="C3879" t="s">
        <v>341</v>
      </c>
      <c r="D3879" t="s">
        <v>691</v>
      </c>
      <c r="E3879" t="s">
        <v>709</v>
      </c>
      <c r="F3879" t="s">
        <v>2830</v>
      </c>
      <c r="G3879" t="s">
        <v>7091</v>
      </c>
      <c r="H3879" t="s">
        <v>12690</v>
      </c>
      <c r="I3879" t="s">
        <v>18026</v>
      </c>
      <c r="J3879" t="s">
        <v>18894</v>
      </c>
      <c r="K3879">
        <v>11208</v>
      </c>
      <c r="L3879" t="s">
        <v>18958</v>
      </c>
      <c r="M3879" t="s">
        <v>18958</v>
      </c>
      <c r="N3879" t="s">
        <v>21901</v>
      </c>
      <c r="O3879" t="s">
        <v>26523</v>
      </c>
      <c r="P3879" t="s">
        <v>26565</v>
      </c>
      <c r="Q3879" t="s">
        <v>26571</v>
      </c>
      <c r="R3879" t="s">
        <v>26578</v>
      </c>
      <c r="S3879" t="s">
        <v>18959</v>
      </c>
      <c r="U3879" t="s">
        <v>26604</v>
      </c>
      <c r="W3879" t="s">
        <v>691</v>
      </c>
      <c r="X3879">
        <v>725</v>
      </c>
      <c r="Y3879" t="s">
        <v>26652</v>
      </c>
      <c r="Z3879" t="s">
        <v>26664</v>
      </c>
      <c r="AA3879" t="s">
        <v>26683</v>
      </c>
      <c r="AB3879" t="s">
        <v>29964</v>
      </c>
      <c r="AD3879" t="s">
        <v>40085</v>
      </c>
      <c r="AE3879">
        <v>3</v>
      </c>
      <c r="AF3879" t="s">
        <v>45547</v>
      </c>
      <c r="AH3879">
        <v>1</v>
      </c>
      <c r="AI3879">
        <v>1</v>
      </c>
      <c r="AJ3879">
        <v>0</v>
      </c>
      <c r="AK3879">
        <v>109.23</v>
      </c>
      <c r="AN3879" t="s">
        <v>7439</v>
      </c>
      <c r="AO3879">
        <v>13260</v>
      </c>
      <c r="AU3879">
        <v>3.1</v>
      </c>
      <c r="AV3879" t="s">
        <v>668</v>
      </c>
      <c r="AW3879" t="s">
        <v>46853</v>
      </c>
    </row>
    <row r="3880" spans="1:50">
      <c r="A3880" s="1">
        <f>HYPERLINK("https://lsnyc.legalserver.org/matter/dynamic-profile/view/1885664","18-1885664")</f>
        <v>0</v>
      </c>
      <c r="B3880" t="s">
        <v>172</v>
      </c>
      <c r="C3880" t="s">
        <v>341</v>
      </c>
      <c r="D3880" t="s">
        <v>691</v>
      </c>
      <c r="E3880" t="s">
        <v>684</v>
      </c>
      <c r="F3880" t="s">
        <v>2831</v>
      </c>
      <c r="G3880" t="s">
        <v>7092</v>
      </c>
      <c r="H3880" t="s">
        <v>12691</v>
      </c>
      <c r="I3880" t="s">
        <v>17342</v>
      </c>
      <c r="J3880" t="s">
        <v>18894</v>
      </c>
      <c r="K3880">
        <v>11238</v>
      </c>
      <c r="L3880" t="s">
        <v>18958</v>
      </c>
      <c r="M3880" t="s">
        <v>18960</v>
      </c>
      <c r="N3880" t="s">
        <v>21902</v>
      </c>
      <c r="O3880" t="s">
        <v>26524</v>
      </c>
      <c r="P3880" t="s">
        <v>26564</v>
      </c>
      <c r="Q3880" t="s">
        <v>26570</v>
      </c>
      <c r="R3880" t="s">
        <v>26586</v>
      </c>
      <c r="U3880" t="s">
        <v>26604</v>
      </c>
      <c r="W3880" t="s">
        <v>691</v>
      </c>
      <c r="X3880">
        <v>149.07</v>
      </c>
      <c r="Y3880" t="s">
        <v>26652</v>
      </c>
      <c r="AA3880" t="s">
        <v>26679</v>
      </c>
      <c r="AB3880" t="s">
        <v>29965</v>
      </c>
      <c r="AD3880" t="s">
        <v>40086</v>
      </c>
      <c r="AE3880">
        <v>8</v>
      </c>
      <c r="AF3880" t="s">
        <v>20460</v>
      </c>
      <c r="AH3880">
        <v>12</v>
      </c>
      <c r="AI3880">
        <v>3</v>
      </c>
      <c r="AJ3880">
        <v>0</v>
      </c>
      <c r="AK3880">
        <v>0</v>
      </c>
      <c r="AN3880" t="s">
        <v>7439</v>
      </c>
      <c r="AO3880">
        <v>0</v>
      </c>
      <c r="AU3880">
        <v>3.2</v>
      </c>
      <c r="AV3880" t="s">
        <v>692</v>
      </c>
      <c r="AW3880" t="s">
        <v>46856</v>
      </c>
    </row>
    <row r="3881" spans="1:50">
      <c r="A3881" s="1">
        <f>HYPERLINK("https://lsnyc.legalserver.org/matter/dynamic-profile/view/1885606","18-1885606")</f>
        <v>0</v>
      </c>
      <c r="B3881" t="s">
        <v>172</v>
      </c>
      <c r="C3881" t="s">
        <v>341</v>
      </c>
      <c r="D3881" t="s">
        <v>691</v>
      </c>
      <c r="E3881" t="s">
        <v>719</v>
      </c>
      <c r="F3881" t="s">
        <v>1517</v>
      </c>
      <c r="G3881" t="s">
        <v>5664</v>
      </c>
      <c r="H3881" t="s">
        <v>12692</v>
      </c>
      <c r="I3881" t="s">
        <v>17757</v>
      </c>
      <c r="J3881" t="s">
        <v>18894</v>
      </c>
      <c r="K3881">
        <v>11201</v>
      </c>
      <c r="L3881" t="s">
        <v>18958</v>
      </c>
      <c r="M3881" t="s">
        <v>18960</v>
      </c>
      <c r="N3881" t="s">
        <v>21903</v>
      </c>
      <c r="O3881" t="s">
        <v>26523</v>
      </c>
      <c r="P3881" t="s">
        <v>26564</v>
      </c>
      <c r="Q3881" t="s">
        <v>26570</v>
      </c>
      <c r="R3881" t="s">
        <v>26586</v>
      </c>
      <c r="U3881" t="s">
        <v>26604</v>
      </c>
      <c r="W3881" t="s">
        <v>691</v>
      </c>
      <c r="X3881">
        <v>0</v>
      </c>
      <c r="Y3881" t="s">
        <v>26652</v>
      </c>
      <c r="Z3881" t="s">
        <v>26668</v>
      </c>
      <c r="AA3881" t="s">
        <v>26683</v>
      </c>
      <c r="AB3881" t="s">
        <v>28312</v>
      </c>
      <c r="AE3881">
        <v>10</v>
      </c>
      <c r="AH3881">
        <v>4</v>
      </c>
      <c r="AI3881">
        <v>2</v>
      </c>
      <c r="AJ3881">
        <v>0</v>
      </c>
      <c r="AK3881">
        <v>36.45</v>
      </c>
      <c r="AN3881" t="s">
        <v>7439</v>
      </c>
      <c r="AO3881">
        <v>6000</v>
      </c>
      <c r="AU3881">
        <v>3.6</v>
      </c>
      <c r="AV3881" t="s">
        <v>704</v>
      </c>
      <c r="AW3881" t="s">
        <v>46856</v>
      </c>
    </row>
    <row r="3882" spans="1:50">
      <c r="A3882" s="1">
        <f>HYPERLINK("https://lsnyc.legalserver.org/matter/dynamic-profile/view/1885552","18-1885552")</f>
        <v>0</v>
      </c>
      <c r="B3882" t="s">
        <v>136</v>
      </c>
      <c r="C3882" t="s">
        <v>340</v>
      </c>
      <c r="D3882" t="s">
        <v>691</v>
      </c>
      <c r="F3882" t="s">
        <v>2137</v>
      </c>
      <c r="G3882" t="s">
        <v>7093</v>
      </c>
      <c r="H3882" t="s">
        <v>12693</v>
      </c>
      <c r="I3882" t="s">
        <v>17600</v>
      </c>
      <c r="J3882" t="s">
        <v>18892</v>
      </c>
      <c r="K3882">
        <v>10453</v>
      </c>
      <c r="L3882" t="s">
        <v>18958</v>
      </c>
      <c r="M3882" t="s">
        <v>18959</v>
      </c>
      <c r="N3882" t="s">
        <v>21904</v>
      </c>
      <c r="O3882" t="s">
        <v>26523</v>
      </c>
      <c r="P3882" t="s">
        <v>26560</v>
      </c>
      <c r="R3882" t="s">
        <v>26577</v>
      </c>
      <c r="U3882" t="s">
        <v>26604</v>
      </c>
      <c r="V3882" t="s">
        <v>26610</v>
      </c>
      <c r="W3882" t="s">
        <v>691</v>
      </c>
      <c r="X3882">
        <v>1150</v>
      </c>
      <c r="Y3882" t="s">
        <v>26650</v>
      </c>
      <c r="Z3882" t="s">
        <v>26664</v>
      </c>
      <c r="AB3882" t="s">
        <v>523</v>
      </c>
      <c r="AD3882" t="s">
        <v>40087</v>
      </c>
      <c r="AE3882">
        <v>6</v>
      </c>
      <c r="AF3882" t="s">
        <v>45541</v>
      </c>
      <c r="AH3882">
        <v>4</v>
      </c>
      <c r="AI3882">
        <v>1</v>
      </c>
      <c r="AJ3882">
        <v>2</v>
      </c>
      <c r="AK3882">
        <v>50.05</v>
      </c>
      <c r="AN3882" t="s">
        <v>45581</v>
      </c>
      <c r="AO3882">
        <v>10400</v>
      </c>
      <c r="AU3882">
        <v>3</v>
      </c>
      <c r="AV3882" t="s">
        <v>684</v>
      </c>
      <c r="AW3882" t="s">
        <v>46836</v>
      </c>
      <c r="AX3882" t="s">
        <v>46898</v>
      </c>
    </row>
    <row r="3883" spans="1:50">
      <c r="A3883" s="1">
        <f>HYPERLINK("https://lsnyc.legalserver.org/matter/dynamic-profile/view/1885570","18-1885570")</f>
        <v>0</v>
      </c>
      <c r="B3883" t="s">
        <v>136</v>
      </c>
      <c r="C3883" t="s">
        <v>340</v>
      </c>
      <c r="D3883" t="s">
        <v>691</v>
      </c>
      <c r="F3883" t="s">
        <v>2832</v>
      </c>
      <c r="G3883" t="s">
        <v>5461</v>
      </c>
      <c r="H3883" t="s">
        <v>12694</v>
      </c>
      <c r="I3883">
        <v>41</v>
      </c>
      <c r="J3883" t="s">
        <v>18892</v>
      </c>
      <c r="K3883">
        <v>10457</v>
      </c>
      <c r="L3883" t="s">
        <v>18958</v>
      </c>
      <c r="M3883" t="s">
        <v>18958</v>
      </c>
      <c r="N3883" t="s">
        <v>21905</v>
      </c>
      <c r="O3883" t="s">
        <v>26523</v>
      </c>
      <c r="P3883" t="s">
        <v>26560</v>
      </c>
      <c r="R3883" t="s">
        <v>26579</v>
      </c>
      <c r="U3883" t="s">
        <v>26604</v>
      </c>
      <c r="V3883" t="s">
        <v>26610</v>
      </c>
      <c r="W3883" t="s">
        <v>691</v>
      </c>
      <c r="X3883">
        <v>1005</v>
      </c>
      <c r="Y3883" t="s">
        <v>26650</v>
      </c>
      <c r="AB3883" t="s">
        <v>29966</v>
      </c>
      <c r="AE3883">
        <v>0</v>
      </c>
      <c r="AF3883" t="s">
        <v>45544</v>
      </c>
      <c r="AG3883" t="s">
        <v>45556</v>
      </c>
      <c r="AH3883">
        <v>6</v>
      </c>
      <c r="AI3883">
        <v>2</v>
      </c>
      <c r="AJ3883">
        <v>3</v>
      </c>
      <c r="AK3883">
        <v>88.38</v>
      </c>
      <c r="AN3883" t="s">
        <v>7439</v>
      </c>
      <c r="AO3883">
        <v>26000</v>
      </c>
      <c r="AU3883">
        <v>4.1</v>
      </c>
      <c r="AV3883" t="s">
        <v>574</v>
      </c>
      <c r="AW3883" t="s">
        <v>46836</v>
      </c>
      <c r="AX3883" t="s">
        <v>46897</v>
      </c>
    </row>
    <row r="3884" spans="1:50">
      <c r="A3884" s="1">
        <f>HYPERLINK("https://lsnyc.legalserver.org/matter/dynamic-profile/view/1885564","18-1885564")</f>
        <v>0</v>
      </c>
      <c r="B3884" t="s">
        <v>60</v>
      </c>
      <c r="C3884" t="s">
        <v>340</v>
      </c>
      <c r="D3884" t="s">
        <v>691</v>
      </c>
      <c r="F3884" t="s">
        <v>1379</v>
      </c>
      <c r="G3884" t="s">
        <v>7094</v>
      </c>
      <c r="H3884" t="s">
        <v>10464</v>
      </c>
      <c r="I3884" t="s">
        <v>17274</v>
      </c>
      <c r="J3884" t="s">
        <v>18892</v>
      </c>
      <c r="K3884">
        <v>10459</v>
      </c>
      <c r="L3884" t="s">
        <v>18958</v>
      </c>
      <c r="M3884" t="s">
        <v>18958</v>
      </c>
      <c r="O3884" t="s">
        <v>26529</v>
      </c>
      <c r="P3884" t="s">
        <v>26564</v>
      </c>
      <c r="R3884" t="s">
        <v>26578</v>
      </c>
      <c r="S3884" t="s">
        <v>18959</v>
      </c>
      <c r="U3884" t="s">
        <v>26604</v>
      </c>
      <c r="W3884" t="s">
        <v>691</v>
      </c>
      <c r="X3884">
        <v>186</v>
      </c>
      <c r="Y3884" t="s">
        <v>26650</v>
      </c>
      <c r="Z3884" t="s">
        <v>26661</v>
      </c>
      <c r="AB3884" t="s">
        <v>27578</v>
      </c>
      <c r="AD3884" t="s">
        <v>40088</v>
      </c>
      <c r="AE3884">
        <v>21</v>
      </c>
      <c r="AF3884" t="s">
        <v>45543</v>
      </c>
      <c r="AG3884" t="s">
        <v>45556</v>
      </c>
      <c r="AH3884">
        <v>20</v>
      </c>
      <c r="AI3884">
        <v>1</v>
      </c>
      <c r="AJ3884">
        <v>0</v>
      </c>
      <c r="AK3884">
        <v>128.5</v>
      </c>
      <c r="AN3884" t="s">
        <v>7439</v>
      </c>
      <c r="AO3884">
        <v>15600</v>
      </c>
      <c r="AU3884">
        <v>0.6</v>
      </c>
      <c r="AV3884" t="s">
        <v>691</v>
      </c>
      <c r="AW3884" t="s">
        <v>60</v>
      </c>
    </row>
    <row r="3885" spans="1:50">
      <c r="A3885" s="1">
        <f>HYPERLINK("https://lsnyc.legalserver.org/matter/dynamic-profile/view/1885657","18-1885657")</f>
        <v>0</v>
      </c>
      <c r="B3885" t="s">
        <v>212</v>
      </c>
      <c r="C3885" t="s">
        <v>340</v>
      </c>
      <c r="D3885" t="s">
        <v>691</v>
      </c>
      <c r="F3885" t="s">
        <v>1531</v>
      </c>
      <c r="G3885" t="s">
        <v>5657</v>
      </c>
      <c r="H3885" t="s">
        <v>12695</v>
      </c>
      <c r="I3885" t="s">
        <v>17307</v>
      </c>
      <c r="J3885" t="s">
        <v>18914</v>
      </c>
      <c r="K3885">
        <v>11104</v>
      </c>
      <c r="L3885" t="s">
        <v>18958</v>
      </c>
      <c r="M3885" t="s">
        <v>18958</v>
      </c>
      <c r="N3885" t="s">
        <v>21906</v>
      </c>
      <c r="O3885" t="s">
        <v>26523</v>
      </c>
      <c r="P3885" t="s">
        <v>26560</v>
      </c>
      <c r="R3885" t="s">
        <v>26578</v>
      </c>
      <c r="S3885" t="s">
        <v>18959</v>
      </c>
      <c r="U3885" t="s">
        <v>26604</v>
      </c>
      <c r="V3885" t="s">
        <v>26610</v>
      </c>
      <c r="W3885" t="s">
        <v>691</v>
      </c>
      <c r="X3885">
        <v>1308.56</v>
      </c>
      <c r="Y3885" t="s">
        <v>26653</v>
      </c>
      <c r="Z3885" t="s">
        <v>26664</v>
      </c>
      <c r="AB3885" t="s">
        <v>29967</v>
      </c>
      <c r="AC3885" t="s">
        <v>35647</v>
      </c>
      <c r="AD3885" t="s">
        <v>40089</v>
      </c>
      <c r="AE3885">
        <v>8</v>
      </c>
      <c r="AF3885" t="s">
        <v>45541</v>
      </c>
      <c r="AG3885" t="s">
        <v>19330</v>
      </c>
      <c r="AH3885">
        <v>35</v>
      </c>
      <c r="AI3885">
        <v>2</v>
      </c>
      <c r="AJ3885">
        <v>0</v>
      </c>
      <c r="AK3885">
        <v>510.91</v>
      </c>
      <c r="AN3885" t="s">
        <v>7439</v>
      </c>
      <c r="AO3885">
        <v>84096</v>
      </c>
      <c r="AQ3885" t="s">
        <v>46362</v>
      </c>
      <c r="AR3885" t="s">
        <v>26530</v>
      </c>
      <c r="AS3885" t="s">
        <v>46501</v>
      </c>
      <c r="AT3885" t="s">
        <v>46609</v>
      </c>
      <c r="AU3885">
        <v>9.1</v>
      </c>
      <c r="AV3885" t="s">
        <v>784</v>
      </c>
      <c r="AW3885" t="s">
        <v>141</v>
      </c>
    </row>
    <row r="3886" spans="1:50">
      <c r="A3886" s="1">
        <f>HYPERLINK("https://lsnyc.legalserver.org/matter/dynamic-profile/view/1885647","18-1885647")</f>
        <v>0</v>
      </c>
      <c r="B3886" t="s">
        <v>212</v>
      </c>
      <c r="C3886" t="s">
        <v>340</v>
      </c>
      <c r="D3886" t="s">
        <v>691</v>
      </c>
      <c r="F3886" t="s">
        <v>2833</v>
      </c>
      <c r="G3886" t="s">
        <v>7095</v>
      </c>
      <c r="H3886" t="s">
        <v>12696</v>
      </c>
      <c r="J3886" t="s">
        <v>18928</v>
      </c>
      <c r="K3886">
        <v>11366</v>
      </c>
      <c r="L3886" t="s">
        <v>18958</v>
      </c>
      <c r="M3886" t="s">
        <v>18958</v>
      </c>
      <c r="N3886" t="s">
        <v>21907</v>
      </c>
      <c r="O3886" t="s">
        <v>26524</v>
      </c>
      <c r="P3886" t="s">
        <v>26564</v>
      </c>
      <c r="R3886" t="s">
        <v>26584</v>
      </c>
      <c r="S3886" t="s">
        <v>18959</v>
      </c>
      <c r="U3886" t="s">
        <v>26604</v>
      </c>
      <c r="V3886" t="s">
        <v>26609</v>
      </c>
      <c r="W3886" t="s">
        <v>691</v>
      </c>
      <c r="X3886">
        <v>0</v>
      </c>
      <c r="Y3886" t="s">
        <v>26653</v>
      </c>
      <c r="Z3886" t="s">
        <v>26664</v>
      </c>
      <c r="AB3886" t="s">
        <v>29968</v>
      </c>
      <c r="AD3886" t="s">
        <v>40090</v>
      </c>
      <c r="AE3886">
        <v>1</v>
      </c>
      <c r="AF3886" t="s">
        <v>45547</v>
      </c>
      <c r="AG3886" t="s">
        <v>19330</v>
      </c>
      <c r="AH3886">
        <v>20</v>
      </c>
      <c r="AI3886">
        <v>1</v>
      </c>
      <c r="AJ3886">
        <v>0</v>
      </c>
      <c r="AK3886">
        <v>164.74</v>
      </c>
      <c r="AN3886" t="s">
        <v>7439</v>
      </c>
      <c r="AO3886">
        <v>20000</v>
      </c>
      <c r="AU3886">
        <v>0</v>
      </c>
      <c r="AW3886" t="s">
        <v>212</v>
      </c>
    </row>
    <row r="3887" spans="1:50">
      <c r="A3887" s="1">
        <f>HYPERLINK("https://lsnyc.legalserver.org/matter/dynamic-profile/view/1885649","18-1885649")</f>
        <v>0</v>
      </c>
      <c r="B3887" t="s">
        <v>142</v>
      </c>
      <c r="C3887" t="s">
        <v>340</v>
      </c>
      <c r="D3887" t="s">
        <v>691</v>
      </c>
      <c r="F3887" t="s">
        <v>1342</v>
      </c>
      <c r="G3887" t="s">
        <v>7096</v>
      </c>
      <c r="H3887" t="s">
        <v>12697</v>
      </c>
      <c r="I3887">
        <v>1</v>
      </c>
      <c r="J3887" t="s">
        <v>18905</v>
      </c>
      <c r="K3887">
        <v>11692</v>
      </c>
      <c r="L3887" t="s">
        <v>18958</v>
      </c>
      <c r="M3887" t="s">
        <v>18958</v>
      </c>
      <c r="N3887" t="s">
        <v>21908</v>
      </c>
      <c r="O3887" t="s">
        <v>26524</v>
      </c>
      <c r="P3887" t="s">
        <v>26564</v>
      </c>
      <c r="R3887" t="s">
        <v>26578</v>
      </c>
      <c r="S3887" t="s">
        <v>18959</v>
      </c>
      <c r="U3887" t="s">
        <v>26604</v>
      </c>
      <c r="V3887" t="s">
        <v>26610</v>
      </c>
      <c r="W3887" t="s">
        <v>691</v>
      </c>
      <c r="X3887">
        <v>1</v>
      </c>
      <c r="Y3887" t="s">
        <v>26653</v>
      </c>
      <c r="Z3887" t="s">
        <v>26664</v>
      </c>
      <c r="AB3887" t="s">
        <v>29969</v>
      </c>
      <c r="AC3887" t="s">
        <v>35648</v>
      </c>
      <c r="AD3887" t="s">
        <v>40091</v>
      </c>
      <c r="AE3887">
        <v>2</v>
      </c>
      <c r="AF3887" t="s">
        <v>45547</v>
      </c>
      <c r="AG3887" t="s">
        <v>19330</v>
      </c>
      <c r="AH3887">
        <v>22</v>
      </c>
      <c r="AI3887">
        <v>2</v>
      </c>
      <c r="AJ3887">
        <v>1</v>
      </c>
      <c r="AK3887">
        <v>62.06</v>
      </c>
      <c r="AN3887" t="s">
        <v>7439</v>
      </c>
      <c r="AO3887">
        <v>12896</v>
      </c>
      <c r="AU3887">
        <v>1</v>
      </c>
      <c r="AV3887" t="s">
        <v>691</v>
      </c>
      <c r="AW3887" t="s">
        <v>122</v>
      </c>
    </row>
    <row r="3888" spans="1:50">
      <c r="A3888" s="1">
        <f>HYPERLINK("https://lsnyc.legalserver.org/matter/dynamic-profile/view/1885620","18-1885620")</f>
        <v>0</v>
      </c>
      <c r="B3888" t="s">
        <v>65</v>
      </c>
      <c r="C3888" t="s">
        <v>340</v>
      </c>
      <c r="D3888" t="s">
        <v>691</v>
      </c>
      <c r="F3888" t="s">
        <v>2834</v>
      </c>
      <c r="G3888" t="s">
        <v>7097</v>
      </c>
      <c r="H3888" t="s">
        <v>12698</v>
      </c>
      <c r="I3888">
        <v>33</v>
      </c>
      <c r="J3888" t="s">
        <v>18892</v>
      </c>
      <c r="K3888">
        <v>10460</v>
      </c>
      <c r="L3888" t="s">
        <v>18958</v>
      </c>
      <c r="M3888" t="s">
        <v>18958</v>
      </c>
      <c r="N3888" t="s">
        <v>21909</v>
      </c>
      <c r="O3888" t="s">
        <v>26523</v>
      </c>
      <c r="P3888" t="s">
        <v>26560</v>
      </c>
      <c r="R3888" t="s">
        <v>26577</v>
      </c>
      <c r="S3888" t="s">
        <v>18959</v>
      </c>
      <c r="U3888" t="s">
        <v>26604</v>
      </c>
      <c r="V3888" t="s">
        <v>26611</v>
      </c>
      <c r="W3888" t="s">
        <v>691</v>
      </c>
      <c r="X3888">
        <v>1500</v>
      </c>
      <c r="Y3888" t="s">
        <v>26650</v>
      </c>
      <c r="Z3888" t="s">
        <v>26659</v>
      </c>
      <c r="AB3888" t="s">
        <v>29970</v>
      </c>
      <c r="AD3888" t="s">
        <v>40092</v>
      </c>
      <c r="AE3888">
        <v>25</v>
      </c>
      <c r="AF3888" t="s">
        <v>45541</v>
      </c>
      <c r="AG3888" t="s">
        <v>45560</v>
      </c>
      <c r="AH3888">
        <v>3</v>
      </c>
      <c r="AI3888">
        <v>2</v>
      </c>
      <c r="AJ3888">
        <v>0</v>
      </c>
      <c r="AK3888">
        <v>55.63</v>
      </c>
      <c r="AN3888" t="s">
        <v>7439</v>
      </c>
      <c r="AO3888">
        <v>9156</v>
      </c>
      <c r="AQ3888" t="s">
        <v>46365</v>
      </c>
      <c r="AR3888" t="s">
        <v>46379</v>
      </c>
      <c r="AS3888" t="s">
        <v>46499</v>
      </c>
      <c r="AT3888" t="s">
        <v>46731</v>
      </c>
      <c r="AU3888">
        <v>22.88</v>
      </c>
      <c r="AV3888" t="s">
        <v>772</v>
      </c>
      <c r="AW3888" t="s">
        <v>46841</v>
      </c>
    </row>
    <row r="3889" spans="1:50">
      <c r="A3889" s="1">
        <f>HYPERLINK("https://lsnyc.legalserver.org/matter/dynamic-profile/view/1885591","18-1885591")</f>
        <v>0</v>
      </c>
      <c r="B3889" t="s">
        <v>121</v>
      </c>
      <c r="C3889" t="s">
        <v>340</v>
      </c>
      <c r="D3889" t="s">
        <v>691</v>
      </c>
      <c r="F3889" t="s">
        <v>2676</v>
      </c>
      <c r="G3889" t="s">
        <v>7098</v>
      </c>
      <c r="H3889" t="s">
        <v>12699</v>
      </c>
      <c r="I3889">
        <v>3</v>
      </c>
      <c r="J3889" t="s">
        <v>18892</v>
      </c>
      <c r="K3889">
        <v>10466</v>
      </c>
      <c r="L3889" t="s">
        <v>18958</v>
      </c>
      <c r="M3889" t="s">
        <v>18958</v>
      </c>
      <c r="N3889" t="s">
        <v>21910</v>
      </c>
      <c r="O3889" t="s">
        <v>26523</v>
      </c>
      <c r="P3889" t="s">
        <v>26560</v>
      </c>
      <c r="R3889" t="s">
        <v>26577</v>
      </c>
      <c r="U3889" t="s">
        <v>26604</v>
      </c>
      <c r="V3889" t="s">
        <v>26610</v>
      </c>
      <c r="W3889" t="s">
        <v>691</v>
      </c>
      <c r="X3889">
        <v>1400</v>
      </c>
      <c r="Y3889" t="s">
        <v>26650</v>
      </c>
      <c r="Z3889" t="s">
        <v>26664</v>
      </c>
      <c r="AB3889" t="s">
        <v>29971</v>
      </c>
      <c r="AD3889" t="s">
        <v>40093</v>
      </c>
      <c r="AE3889">
        <v>0</v>
      </c>
      <c r="AF3889" t="s">
        <v>45541</v>
      </c>
      <c r="AG3889" t="s">
        <v>19330</v>
      </c>
      <c r="AH3889">
        <v>12</v>
      </c>
      <c r="AI3889">
        <v>4</v>
      </c>
      <c r="AJ3889">
        <v>1</v>
      </c>
      <c r="AK3889">
        <v>188.99</v>
      </c>
      <c r="AN3889" t="s">
        <v>7439</v>
      </c>
      <c r="AO3889">
        <v>55600</v>
      </c>
      <c r="AU3889">
        <v>9.4</v>
      </c>
      <c r="AV3889" t="s">
        <v>833</v>
      </c>
      <c r="AW3889" t="s">
        <v>46836</v>
      </c>
    </row>
    <row r="3890" spans="1:50">
      <c r="A3890" s="1">
        <f>HYPERLINK("https://lsnyc.legalserver.org/matter/dynamic-profile/view/1885571","18-1885571")</f>
        <v>0</v>
      </c>
      <c r="B3890" t="s">
        <v>126</v>
      </c>
      <c r="C3890" t="s">
        <v>340</v>
      </c>
      <c r="D3890" t="s">
        <v>691</v>
      </c>
      <c r="F3890" t="s">
        <v>2835</v>
      </c>
      <c r="G3890" t="s">
        <v>7099</v>
      </c>
      <c r="H3890" t="s">
        <v>12700</v>
      </c>
      <c r="I3890" t="s">
        <v>18014</v>
      </c>
      <c r="J3890" t="s">
        <v>18894</v>
      </c>
      <c r="K3890">
        <v>11208</v>
      </c>
      <c r="L3890" t="s">
        <v>18958</v>
      </c>
      <c r="M3890" t="s">
        <v>18958</v>
      </c>
      <c r="N3890" t="s">
        <v>21911</v>
      </c>
      <c r="O3890" t="s">
        <v>26523</v>
      </c>
      <c r="P3890" t="s">
        <v>26560</v>
      </c>
      <c r="R3890" t="s">
        <v>26578</v>
      </c>
      <c r="U3890" t="s">
        <v>26604</v>
      </c>
      <c r="W3890" t="s">
        <v>691</v>
      </c>
      <c r="X3890">
        <v>0</v>
      </c>
      <c r="Y3890" t="s">
        <v>26652</v>
      </c>
      <c r="Z3890" t="s">
        <v>26668</v>
      </c>
      <c r="AB3890" t="s">
        <v>29972</v>
      </c>
      <c r="AC3890" t="s">
        <v>35649</v>
      </c>
      <c r="AD3890" t="s">
        <v>40094</v>
      </c>
      <c r="AE3890">
        <v>3</v>
      </c>
      <c r="AH3890">
        <v>0</v>
      </c>
      <c r="AI3890">
        <v>3</v>
      </c>
      <c r="AJ3890">
        <v>2</v>
      </c>
      <c r="AK3890">
        <v>71.53</v>
      </c>
      <c r="AN3890" t="s">
        <v>7439</v>
      </c>
      <c r="AO3890">
        <v>21044</v>
      </c>
      <c r="AU3890">
        <v>13</v>
      </c>
      <c r="AV3890" t="s">
        <v>780</v>
      </c>
      <c r="AW3890" t="s">
        <v>46856</v>
      </c>
    </row>
    <row r="3891" spans="1:50">
      <c r="A3891" s="1">
        <f>HYPERLINK("https://lsnyc.legalserver.org/matter/dynamic-profile/view/1885585","18-1885585")</f>
        <v>0</v>
      </c>
      <c r="B3891" t="s">
        <v>235</v>
      </c>
      <c r="C3891" t="s">
        <v>340</v>
      </c>
      <c r="D3891" t="s">
        <v>691</v>
      </c>
      <c r="F3891" t="s">
        <v>2329</v>
      </c>
      <c r="G3891" t="s">
        <v>5473</v>
      </c>
      <c r="H3891" t="s">
        <v>9743</v>
      </c>
      <c r="J3891" t="s">
        <v>18905</v>
      </c>
      <c r="K3891">
        <v>11692</v>
      </c>
      <c r="L3891" t="s">
        <v>18958</v>
      </c>
      <c r="M3891" t="s">
        <v>18958</v>
      </c>
      <c r="N3891" t="s">
        <v>21912</v>
      </c>
      <c r="O3891" t="s">
        <v>26524</v>
      </c>
      <c r="P3891" t="s">
        <v>26564</v>
      </c>
      <c r="R3891" t="s">
        <v>26584</v>
      </c>
      <c r="S3891" t="s">
        <v>18959</v>
      </c>
      <c r="U3891" t="s">
        <v>26604</v>
      </c>
      <c r="V3891" t="s">
        <v>26610</v>
      </c>
      <c r="W3891" t="s">
        <v>691</v>
      </c>
      <c r="X3891">
        <v>1981</v>
      </c>
      <c r="Y3891" t="s">
        <v>26653</v>
      </c>
      <c r="Z3891" t="s">
        <v>26664</v>
      </c>
      <c r="AB3891" t="s">
        <v>29973</v>
      </c>
      <c r="AC3891" t="s">
        <v>35650</v>
      </c>
      <c r="AD3891" t="s">
        <v>40095</v>
      </c>
      <c r="AE3891">
        <v>198</v>
      </c>
      <c r="AF3891" t="s">
        <v>45541</v>
      </c>
      <c r="AG3891" t="s">
        <v>45556</v>
      </c>
      <c r="AH3891">
        <v>13</v>
      </c>
      <c r="AI3891">
        <v>2</v>
      </c>
      <c r="AJ3891">
        <v>0</v>
      </c>
      <c r="AK3891">
        <v>0</v>
      </c>
      <c r="AN3891" t="s">
        <v>7439</v>
      </c>
      <c r="AO3891">
        <v>0</v>
      </c>
      <c r="AU3891">
        <v>1</v>
      </c>
      <c r="AV3891" t="s">
        <v>691</v>
      </c>
      <c r="AW3891" t="s">
        <v>161</v>
      </c>
    </row>
    <row r="3892" spans="1:50">
      <c r="A3892" s="1">
        <f>HYPERLINK("https://lsnyc.legalserver.org/matter/dynamic-profile/view/1885578","18-1885578")</f>
        <v>0</v>
      </c>
      <c r="B3892" t="s">
        <v>221</v>
      </c>
      <c r="C3892" t="s">
        <v>340</v>
      </c>
      <c r="D3892" t="s">
        <v>691</v>
      </c>
      <c r="F3892" t="s">
        <v>887</v>
      </c>
      <c r="G3892" t="s">
        <v>7100</v>
      </c>
      <c r="H3892" t="s">
        <v>12701</v>
      </c>
      <c r="I3892" t="s">
        <v>17331</v>
      </c>
      <c r="J3892" t="s">
        <v>7026</v>
      </c>
      <c r="K3892">
        <v>11368</v>
      </c>
      <c r="L3892" t="s">
        <v>18958</v>
      </c>
      <c r="M3892" t="s">
        <v>18958</v>
      </c>
      <c r="N3892" t="s">
        <v>21913</v>
      </c>
      <c r="O3892" t="s">
        <v>26524</v>
      </c>
      <c r="P3892" t="s">
        <v>26564</v>
      </c>
      <c r="R3892" t="s">
        <v>26584</v>
      </c>
      <c r="S3892" t="s">
        <v>18959</v>
      </c>
      <c r="U3892" t="s">
        <v>26604</v>
      </c>
      <c r="V3892" t="s">
        <v>26610</v>
      </c>
      <c r="W3892" t="s">
        <v>691</v>
      </c>
      <c r="X3892">
        <v>1725</v>
      </c>
      <c r="Y3892" t="s">
        <v>26653</v>
      </c>
      <c r="Z3892" t="s">
        <v>26664</v>
      </c>
      <c r="AB3892" t="s">
        <v>28652</v>
      </c>
      <c r="AC3892" t="s">
        <v>35651</v>
      </c>
      <c r="AD3892" t="s">
        <v>34738</v>
      </c>
      <c r="AE3892">
        <v>4</v>
      </c>
      <c r="AF3892" t="s">
        <v>45547</v>
      </c>
      <c r="AG3892" t="s">
        <v>19330</v>
      </c>
      <c r="AH3892">
        <v>10</v>
      </c>
      <c r="AI3892">
        <v>4</v>
      </c>
      <c r="AJ3892">
        <v>2</v>
      </c>
      <c r="AK3892">
        <v>30.82</v>
      </c>
      <c r="AN3892" t="s">
        <v>45581</v>
      </c>
      <c r="AO3892">
        <v>10400</v>
      </c>
      <c r="AU3892">
        <v>5.3</v>
      </c>
      <c r="AV3892" t="s">
        <v>804</v>
      </c>
      <c r="AW3892" t="s">
        <v>161</v>
      </c>
    </row>
    <row r="3893" spans="1:50">
      <c r="A3893" s="1">
        <f>HYPERLINK("https://lsnyc.legalserver.org/matter/dynamic-profile/view/1885719","18-1885719")</f>
        <v>0</v>
      </c>
      <c r="B3893" t="s">
        <v>125</v>
      </c>
      <c r="C3893" t="s">
        <v>340</v>
      </c>
      <c r="D3893" t="s">
        <v>697</v>
      </c>
      <c r="F3893" t="s">
        <v>1228</v>
      </c>
      <c r="G3893" t="s">
        <v>5121</v>
      </c>
      <c r="H3893" t="s">
        <v>12702</v>
      </c>
      <c r="I3893" t="s">
        <v>17534</v>
      </c>
      <c r="J3893" t="s">
        <v>18894</v>
      </c>
      <c r="K3893">
        <v>11212</v>
      </c>
      <c r="L3893" t="s">
        <v>18958</v>
      </c>
      <c r="M3893" t="s">
        <v>18958</v>
      </c>
      <c r="N3893" t="s">
        <v>21914</v>
      </c>
      <c r="O3893" t="s">
        <v>26524</v>
      </c>
      <c r="P3893" t="s">
        <v>26564</v>
      </c>
      <c r="R3893" t="s">
        <v>26578</v>
      </c>
      <c r="S3893" t="s">
        <v>18959</v>
      </c>
      <c r="U3893" t="s">
        <v>26604</v>
      </c>
      <c r="W3893" t="s">
        <v>691</v>
      </c>
      <c r="X3893">
        <v>1260</v>
      </c>
      <c r="Y3893" t="s">
        <v>26652</v>
      </c>
      <c r="Z3893" t="s">
        <v>26664</v>
      </c>
      <c r="AB3893" t="s">
        <v>29974</v>
      </c>
      <c r="AC3893" t="s">
        <v>35652</v>
      </c>
      <c r="AD3893" t="s">
        <v>40096</v>
      </c>
      <c r="AE3893">
        <v>7</v>
      </c>
      <c r="AF3893" t="s">
        <v>45547</v>
      </c>
      <c r="AG3893" t="s">
        <v>45562</v>
      </c>
      <c r="AH3893">
        <v>2</v>
      </c>
      <c r="AI3893">
        <v>1</v>
      </c>
      <c r="AJ3893">
        <v>0</v>
      </c>
      <c r="AK3893">
        <v>82.04000000000001</v>
      </c>
      <c r="AN3893" t="s">
        <v>7439</v>
      </c>
      <c r="AO3893">
        <v>9960</v>
      </c>
      <c r="AU3893">
        <v>15</v>
      </c>
      <c r="AV3893" t="s">
        <v>751</v>
      </c>
      <c r="AW3893" t="s">
        <v>286</v>
      </c>
    </row>
    <row r="3894" spans="1:50">
      <c r="A3894" s="1">
        <f>HYPERLINK("https://lsnyc.legalserver.org/matter/dynamic-profile/view/1885788","18-1885788")</f>
        <v>0</v>
      </c>
      <c r="B3894" t="s">
        <v>199</v>
      </c>
      <c r="C3894" t="s">
        <v>340</v>
      </c>
      <c r="D3894" t="s">
        <v>688</v>
      </c>
      <c r="F3894" t="s">
        <v>1113</v>
      </c>
      <c r="G3894" t="s">
        <v>7101</v>
      </c>
      <c r="H3894" t="s">
        <v>9895</v>
      </c>
      <c r="I3894">
        <v>4</v>
      </c>
      <c r="J3894" t="s">
        <v>18894</v>
      </c>
      <c r="K3894">
        <v>11216</v>
      </c>
      <c r="L3894" t="s">
        <v>18958</v>
      </c>
      <c r="M3894" t="s">
        <v>18958</v>
      </c>
      <c r="N3894" t="s">
        <v>21915</v>
      </c>
      <c r="O3894" t="s">
        <v>26526</v>
      </c>
      <c r="P3894" t="s">
        <v>26560</v>
      </c>
      <c r="R3894" t="s">
        <v>26578</v>
      </c>
      <c r="S3894" t="s">
        <v>18959</v>
      </c>
      <c r="U3894" t="s">
        <v>26604</v>
      </c>
      <c r="V3894" t="s">
        <v>26610</v>
      </c>
      <c r="W3894" t="s">
        <v>691</v>
      </c>
      <c r="X3894">
        <v>0</v>
      </c>
      <c r="Y3894" t="s">
        <v>26652</v>
      </c>
      <c r="Z3894" t="s">
        <v>26668</v>
      </c>
      <c r="AB3894" t="s">
        <v>29975</v>
      </c>
      <c r="AE3894">
        <v>10</v>
      </c>
      <c r="AF3894" t="s">
        <v>45548</v>
      </c>
      <c r="AH3894">
        <v>48</v>
      </c>
      <c r="AI3894">
        <v>2</v>
      </c>
      <c r="AJ3894">
        <v>0</v>
      </c>
      <c r="AK3894">
        <v>54.68</v>
      </c>
      <c r="AN3894" t="s">
        <v>7439</v>
      </c>
      <c r="AO3894">
        <v>9000</v>
      </c>
      <c r="AQ3894" t="s">
        <v>46369</v>
      </c>
      <c r="AR3894" t="s">
        <v>46395</v>
      </c>
      <c r="AU3894">
        <v>32.3</v>
      </c>
      <c r="AV3894" t="s">
        <v>843</v>
      </c>
      <c r="AW3894" t="s">
        <v>219</v>
      </c>
      <c r="AX3894" t="s">
        <v>46897</v>
      </c>
    </row>
    <row r="3895" spans="1:50">
      <c r="A3895" s="1">
        <f>HYPERLINK("https://lsnyc.legalserver.org/matter/dynamic-profile/view/1886583","18-1886583")</f>
        <v>0</v>
      </c>
      <c r="B3895" t="s">
        <v>211</v>
      </c>
      <c r="C3895" t="s">
        <v>340</v>
      </c>
      <c r="D3895" t="s">
        <v>699</v>
      </c>
      <c r="F3895" t="s">
        <v>2836</v>
      </c>
      <c r="G3895" t="s">
        <v>5147</v>
      </c>
      <c r="H3895" t="s">
        <v>12703</v>
      </c>
      <c r="J3895" t="s">
        <v>18892</v>
      </c>
      <c r="K3895">
        <v>10453</v>
      </c>
      <c r="L3895" t="s">
        <v>18958</v>
      </c>
      <c r="M3895" t="s">
        <v>18958</v>
      </c>
      <c r="O3895" t="s">
        <v>26538</v>
      </c>
      <c r="P3895" t="s">
        <v>26560</v>
      </c>
      <c r="R3895" t="s">
        <v>26578</v>
      </c>
      <c r="S3895" t="s">
        <v>18959</v>
      </c>
      <c r="U3895" t="s">
        <v>26604</v>
      </c>
      <c r="W3895" t="s">
        <v>691</v>
      </c>
      <c r="X3895">
        <v>0</v>
      </c>
      <c r="Y3895" t="s">
        <v>26652</v>
      </c>
      <c r="Z3895" t="s">
        <v>26530</v>
      </c>
      <c r="AB3895" t="s">
        <v>29976</v>
      </c>
      <c r="AD3895" t="s">
        <v>40097</v>
      </c>
      <c r="AE3895">
        <v>28</v>
      </c>
      <c r="AG3895" t="s">
        <v>45562</v>
      </c>
      <c r="AH3895">
        <v>0</v>
      </c>
      <c r="AI3895">
        <v>1</v>
      </c>
      <c r="AJ3895">
        <v>0</v>
      </c>
      <c r="AK3895">
        <v>82.64</v>
      </c>
      <c r="AN3895" t="s">
        <v>7439</v>
      </c>
      <c r="AO3895">
        <v>10032</v>
      </c>
      <c r="AU3895">
        <v>16.5</v>
      </c>
      <c r="AV3895" t="s">
        <v>797</v>
      </c>
      <c r="AW3895" t="s">
        <v>286</v>
      </c>
    </row>
    <row r="3896" spans="1:50">
      <c r="A3896" s="1">
        <f>HYPERLINK("https://lsnyc.legalserver.org/matter/dynamic-profile/view/1855235","18-1855235")</f>
        <v>0</v>
      </c>
      <c r="B3896" t="s">
        <v>110</v>
      </c>
      <c r="C3896" t="s">
        <v>341</v>
      </c>
      <c r="D3896" t="s">
        <v>700</v>
      </c>
      <c r="E3896" t="s">
        <v>699</v>
      </c>
      <c r="F3896" t="s">
        <v>2837</v>
      </c>
      <c r="G3896" t="s">
        <v>5199</v>
      </c>
      <c r="H3896" t="s">
        <v>12704</v>
      </c>
      <c r="J3896" t="s">
        <v>18904</v>
      </c>
      <c r="K3896">
        <v>11421</v>
      </c>
      <c r="L3896" t="s">
        <v>18958</v>
      </c>
      <c r="M3896" t="s">
        <v>18958</v>
      </c>
      <c r="N3896" t="s">
        <v>21916</v>
      </c>
      <c r="O3896" t="s">
        <v>26524</v>
      </c>
      <c r="P3896" t="s">
        <v>26564</v>
      </c>
      <c r="Q3896" t="s">
        <v>26570</v>
      </c>
      <c r="R3896" t="s">
        <v>26584</v>
      </c>
      <c r="S3896" t="s">
        <v>18959</v>
      </c>
      <c r="U3896" t="s">
        <v>26604</v>
      </c>
      <c r="V3896" t="s">
        <v>26610</v>
      </c>
      <c r="W3896" t="s">
        <v>697</v>
      </c>
      <c r="X3896">
        <v>1450</v>
      </c>
      <c r="Y3896" t="s">
        <v>26653</v>
      </c>
      <c r="Z3896" t="s">
        <v>26664</v>
      </c>
      <c r="AA3896" t="s">
        <v>26683</v>
      </c>
      <c r="AB3896" t="s">
        <v>29977</v>
      </c>
      <c r="AC3896" t="s">
        <v>35653</v>
      </c>
      <c r="AD3896" t="s">
        <v>40098</v>
      </c>
      <c r="AE3896">
        <v>2</v>
      </c>
      <c r="AF3896" t="s">
        <v>45547</v>
      </c>
      <c r="AG3896" t="s">
        <v>19330</v>
      </c>
      <c r="AH3896">
        <v>7</v>
      </c>
      <c r="AI3896">
        <v>1</v>
      </c>
      <c r="AJ3896">
        <v>0</v>
      </c>
      <c r="AK3896">
        <v>75.92</v>
      </c>
      <c r="AM3896" t="s">
        <v>45576</v>
      </c>
      <c r="AN3896" t="s">
        <v>7439</v>
      </c>
      <c r="AO3896">
        <v>9156</v>
      </c>
      <c r="AU3896">
        <v>1</v>
      </c>
      <c r="AV3896" t="s">
        <v>700</v>
      </c>
      <c r="AW3896" t="s">
        <v>208</v>
      </c>
    </row>
    <row r="3897" spans="1:50">
      <c r="A3897" s="1">
        <f>HYPERLINK("https://lsnyc.legalserver.org/matter/dynamic-profile/view/1861596","18-1861596")</f>
        <v>0</v>
      </c>
      <c r="B3897" t="s">
        <v>111</v>
      </c>
      <c r="C3897" t="s">
        <v>341</v>
      </c>
      <c r="D3897" t="s">
        <v>485</v>
      </c>
      <c r="E3897" t="s">
        <v>705</v>
      </c>
      <c r="F3897" t="s">
        <v>2838</v>
      </c>
      <c r="G3897" t="s">
        <v>6784</v>
      </c>
      <c r="H3897" t="s">
        <v>12705</v>
      </c>
      <c r="I3897" t="s">
        <v>17273</v>
      </c>
      <c r="J3897" t="s">
        <v>18901</v>
      </c>
      <c r="K3897">
        <v>11435</v>
      </c>
      <c r="L3897" t="s">
        <v>18958</v>
      </c>
      <c r="M3897" t="s">
        <v>18958</v>
      </c>
      <c r="N3897" t="s">
        <v>21917</v>
      </c>
      <c r="O3897" t="s">
        <v>26523</v>
      </c>
      <c r="P3897" t="s">
        <v>26560</v>
      </c>
      <c r="Q3897" t="s">
        <v>26568</v>
      </c>
      <c r="R3897" t="s">
        <v>26584</v>
      </c>
      <c r="S3897" t="s">
        <v>18959</v>
      </c>
      <c r="U3897" t="s">
        <v>26604</v>
      </c>
      <c r="V3897" t="s">
        <v>26610</v>
      </c>
      <c r="W3897" t="s">
        <v>697</v>
      </c>
      <c r="X3897">
        <v>1128.62</v>
      </c>
      <c r="Y3897" t="s">
        <v>26653</v>
      </c>
      <c r="Z3897" t="s">
        <v>26664</v>
      </c>
      <c r="AA3897" t="s">
        <v>26678</v>
      </c>
      <c r="AB3897" t="s">
        <v>29978</v>
      </c>
      <c r="AD3897" t="s">
        <v>40099</v>
      </c>
      <c r="AE3897">
        <v>6</v>
      </c>
      <c r="AF3897" t="s">
        <v>45541</v>
      </c>
      <c r="AG3897" t="s">
        <v>45558</v>
      </c>
      <c r="AH3897">
        <v>6</v>
      </c>
      <c r="AI3897">
        <v>1</v>
      </c>
      <c r="AJ3897">
        <v>1</v>
      </c>
      <c r="AK3897">
        <v>90.48999999999999</v>
      </c>
      <c r="AO3897">
        <v>14894</v>
      </c>
      <c r="AQ3897" t="s">
        <v>46365</v>
      </c>
      <c r="AR3897" t="s">
        <v>46482</v>
      </c>
      <c r="AS3897" t="s">
        <v>46499</v>
      </c>
      <c r="AT3897" t="s">
        <v>46527</v>
      </c>
      <c r="AU3897">
        <v>84.84999999999999</v>
      </c>
      <c r="AV3897" t="s">
        <v>688</v>
      </c>
      <c r="AW3897" t="s">
        <v>122</v>
      </c>
    </row>
    <row r="3898" spans="1:50">
      <c r="A3898" s="1">
        <f>HYPERLINK("https://lsnyc.legalserver.org/matter/dynamic-profile/view/1861199","18-1861199")</f>
        <v>0</v>
      </c>
      <c r="B3898" t="s">
        <v>70</v>
      </c>
      <c r="C3898" t="s">
        <v>341</v>
      </c>
      <c r="D3898" t="s">
        <v>701</v>
      </c>
      <c r="E3898" t="s">
        <v>697</v>
      </c>
      <c r="F3898" t="s">
        <v>1401</v>
      </c>
      <c r="G3898" t="s">
        <v>7102</v>
      </c>
      <c r="H3898" t="s">
        <v>12706</v>
      </c>
      <c r="I3898" t="s">
        <v>18027</v>
      </c>
      <c r="J3898" t="s">
        <v>18892</v>
      </c>
      <c r="K3898">
        <v>10454</v>
      </c>
      <c r="L3898" t="s">
        <v>18958</v>
      </c>
      <c r="M3898" t="s">
        <v>18960</v>
      </c>
      <c r="N3898" t="s">
        <v>21918</v>
      </c>
      <c r="O3898" t="s">
        <v>26543</v>
      </c>
      <c r="P3898" t="s">
        <v>26564</v>
      </c>
      <c r="Q3898" t="s">
        <v>26571</v>
      </c>
      <c r="R3898" t="s">
        <v>26577</v>
      </c>
      <c r="S3898" t="s">
        <v>18959</v>
      </c>
      <c r="U3898" t="s">
        <v>26605</v>
      </c>
      <c r="V3898" t="s">
        <v>26610</v>
      </c>
      <c r="W3898" t="s">
        <v>697</v>
      </c>
      <c r="X3898">
        <v>1206</v>
      </c>
      <c r="Y3898" t="s">
        <v>26650</v>
      </c>
      <c r="Z3898" t="s">
        <v>26661</v>
      </c>
      <c r="AA3898" t="s">
        <v>26683</v>
      </c>
      <c r="AB3898" t="s">
        <v>29979</v>
      </c>
      <c r="AD3898" t="s">
        <v>40100</v>
      </c>
      <c r="AE3898">
        <v>117</v>
      </c>
      <c r="AF3898" t="s">
        <v>45549</v>
      </c>
      <c r="AG3898" t="s">
        <v>45556</v>
      </c>
      <c r="AH3898">
        <v>4</v>
      </c>
      <c r="AI3898">
        <v>2</v>
      </c>
      <c r="AJ3898">
        <v>0</v>
      </c>
      <c r="AK3898">
        <v>55.12</v>
      </c>
      <c r="AN3898" t="s">
        <v>7439</v>
      </c>
      <c r="AO3898">
        <v>9072</v>
      </c>
      <c r="AP3898" t="s">
        <v>45803</v>
      </c>
      <c r="AS3898" t="s">
        <v>46499</v>
      </c>
      <c r="AT3898" t="s">
        <v>46596</v>
      </c>
      <c r="AU3898">
        <v>5</v>
      </c>
      <c r="AV3898" t="s">
        <v>641</v>
      </c>
      <c r="AW3898" t="s">
        <v>70</v>
      </c>
    </row>
    <row r="3899" spans="1:50">
      <c r="A3899" s="1">
        <f>HYPERLINK("https://lsnyc.legalserver.org/matter/dynamic-profile/view/1872762","18-1872762")</f>
        <v>0</v>
      </c>
      <c r="B3899" t="s">
        <v>216</v>
      </c>
      <c r="C3899" t="s">
        <v>341</v>
      </c>
      <c r="D3899" t="s">
        <v>449</v>
      </c>
      <c r="E3899" t="s">
        <v>697</v>
      </c>
      <c r="F3899" t="s">
        <v>2839</v>
      </c>
      <c r="G3899" t="s">
        <v>5026</v>
      </c>
      <c r="H3899" t="s">
        <v>12707</v>
      </c>
      <c r="I3899" t="s">
        <v>17299</v>
      </c>
      <c r="J3899" t="s">
        <v>18894</v>
      </c>
      <c r="K3899">
        <v>11233</v>
      </c>
      <c r="L3899" t="s">
        <v>18958</v>
      </c>
      <c r="M3899" t="s">
        <v>18958</v>
      </c>
      <c r="N3899" t="s">
        <v>21919</v>
      </c>
      <c r="O3899" t="s">
        <v>26524</v>
      </c>
      <c r="P3899" t="s">
        <v>26564</v>
      </c>
      <c r="Q3899" t="s">
        <v>26570</v>
      </c>
      <c r="R3899" t="s">
        <v>26578</v>
      </c>
      <c r="U3899" t="s">
        <v>26604</v>
      </c>
      <c r="W3899" t="s">
        <v>697</v>
      </c>
      <c r="X3899">
        <v>173</v>
      </c>
      <c r="Y3899" t="s">
        <v>26652</v>
      </c>
      <c r="Z3899" t="s">
        <v>26676</v>
      </c>
      <c r="AA3899" t="s">
        <v>26683</v>
      </c>
      <c r="AB3899" t="s">
        <v>28537</v>
      </c>
      <c r="AC3899" t="s">
        <v>35654</v>
      </c>
      <c r="AD3899" t="s">
        <v>40101</v>
      </c>
      <c r="AE3899">
        <v>6</v>
      </c>
      <c r="AF3899" t="s">
        <v>45552</v>
      </c>
      <c r="AG3899" t="s">
        <v>45556</v>
      </c>
      <c r="AH3899">
        <v>24</v>
      </c>
      <c r="AI3899">
        <v>1</v>
      </c>
      <c r="AJ3899">
        <v>0</v>
      </c>
      <c r="AK3899">
        <v>74.14</v>
      </c>
      <c r="AN3899" t="s">
        <v>7439</v>
      </c>
      <c r="AO3899">
        <v>9000</v>
      </c>
      <c r="AP3899" t="s">
        <v>45804</v>
      </c>
      <c r="AU3899">
        <v>5.45</v>
      </c>
      <c r="AV3899" t="s">
        <v>492</v>
      </c>
      <c r="AW3899" t="s">
        <v>46843</v>
      </c>
    </row>
    <row r="3900" spans="1:50">
      <c r="A3900" s="1">
        <f>HYPERLINK("https://lsnyc.legalserver.org/matter/dynamic-profile/view/1875284","18-1875284")</f>
        <v>0</v>
      </c>
      <c r="B3900" t="s">
        <v>204</v>
      </c>
      <c r="C3900" t="s">
        <v>341</v>
      </c>
      <c r="D3900" t="s">
        <v>526</v>
      </c>
      <c r="E3900" t="s">
        <v>697</v>
      </c>
      <c r="F3900" t="s">
        <v>2840</v>
      </c>
      <c r="G3900" t="s">
        <v>5008</v>
      </c>
      <c r="H3900" t="s">
        <v>9895</v>
      </c>
      <c r="I3900">
        <v>4</v>
      </c>
      <c r="J3900" t="s">
        <v>18894</v>
      </c>
      <c r="K3900">
        <v>11216</v>
      </c>
      <c r="L3900" t="s">
        <v>18958</v>
      </c>
      <c r="M3900" t="s">
        <v>18958</v>
      </c>
      <c r="N3900" t="s">
        <v>21920</v>
      </c>
      <c r="O3900" t="s">
        <v>26533</v>
      </c>
      <c r="Q3900" t="s">
        <v>26570</v>
      </c>
      <c r="R3900" t="s">
        <v>26588</v>
      </c>
      <c r="U3900" t="s">
        <v>26604</v>
      </c>
      <c r="W3900" t="s">
        <v>697</v>
      </c>
      <c r="X3900">
        <v>650</v>
      </c>
      <c r="Y3900" t="s">
        <v>26652</v>
      </c>
      <c r="Z3900" t="s">
        <v>26659</v>
      </c>
      <c r="AA3900" t="s">
        <v>26678</v>
      </c>
      <c r="AB3900" t="s">
        <v>29980</v>
      </c>
      <c r="AD3900" t="s">
        <v>40102</v>
      </c>
      <c r="AE3900">
        <v>0</v>
      </c>
      <c r="AF3900" t="s">
        <v>45547</v>
      </c>
      <c r="AH3900">
        <v>5</v>
      </c>
      <c r="AI3900">
        <v>1</v>
      </c>
      <c r="AJ3900">
        <v>0</v>
      </c>
      <c r="AK3900">
        <v>9.880000000000001</v>
      </c>
      <c r="AN3900" t="s">
        <v>7439</v>
      </c>
      <c r="AO3900">
        <v>1200</v>
      </c>
      <c r="AU3900">
        <v>1.1</v>
      </c>
      <c r="AV3900" t="s">
        <v>697</v>
      </c>
      <c r="AW3900" t="s">
        <v>279</v>
      </c>
    </row>
    <row r="3901" spans="1:50">
      <c r="A3901" s="1">
        <f>HYPERLINK("https://lsnyc.legalserver.org/matter/dynamic-profile/view/1875367","18-1875367")</f>
        <v>0</v>
      </c>
      <c r="B3901" t="s">
        <v>125</v>
      </c>
      <c r="C3901" t="s">
        <v>341</v>
      </c>
      <c r="D3901" t="s">
        <v>528</v>
      </c>
      <c r="E3901" t="s">
        <v>697</v>
      </c>
      <c r="F3901" t="s">
        <v>2841</v>
      </c>
      <c r="G3901" t="s">
        <v>7103</v>
      </c>
      <c r="H3901" t="s">
        <v>12708</v>
      </c>
      <c r="I3901">
        <v>1</v>
      </c>
      <c r="J3901" t="s">
        <v>18894</v>
      </c>
      <c r="K3901">
        <v>11208</v>
      </c>
      <c r="L3901" t="s">
        <v>18958</v>
      </c>
      <c r="M3901" t="s">
        <v>18958</v>
      </c>
      <c r="N3901" t="s">
        <v>21921</v>
      </c>
      <c r="O3901" t="s">
        <v>26524</v>
      </c>
      <c r="P3901" t="s">
        <v>26564</v>
      </c>
      <c r="Q3901" t="s">
        <v>26570</v>
      </c>
      <c r="R3901" t="s">
        <v>26578</v>
      </c>
      <c r="U3901" t="s">
        <v>26604</v>
      </c>
      <c r="W3901" t="s">
        <v>697</v>
      </c>
      <c r="X3901">
        <v>1301</v>
      </c>
      <c r="Y3901" t="s">
        <v>26652</v>
      </c>
      <c r="Z3901" t="s">
        <v>26664</v>
      </c>
      <c r="AA3901" t="s">
        <v>26683</v>
      </c>
      <c r="AB3901" t="s">
        <v>29981</v>
      </c>
      <c r="AD3901" t="s">
        <v>40103</v>
      </c>
      <c r="AE3901">
        <v>3</v>
      </c>
      <c r="AF3901" t="s">
        <v>45543</v>
      </c>
      <c r="AG3901" t="s">
        <v>45556</v>
      </c>
      <c r="AH3901">
        <v>16</v>
      </c>
      <c r="AI3901">
        <v>2</v>
      </c>
      <c r="AJ3901">
        <v>0</v>
      </c>
      <c r="AK3901">
        <v>123.21</v>
      </c>
      <c r="AN3901" t="s">
        <v>7439</v>
      </c>
      <c r="AO3901">
        <v>20280</v>
      </c>
      <c r="AU3901">
        <v>3.95</v>
      </c>
      <c r="AV3901" t="s">
        <v>522</v>
      </c>
      <c r="AW3901" t="s">
        <v>46862</v>
      </c>
    </row>
    <row r="3902" spans="1:50">
      <c r="A3902" s="1">
        <f>HYPERLINK("https://lsnyc.legalserver.org/matter/dynamic-profile/view/1875859","18-1875859")</f>
        <v>0</v>
      </c>
      <c r="B3902" t="s">
        <v>216</v>
      </c>
      <c r="C3902" t="s">
        <v>341</v>
      </c>
      <c r="D3902" t="s">
        <v>441</v>
      </c>
      <c r="E3902" t="s">
        <v>697</v>
      </c>
      <c r="F3902" t="s">
        <v>2842</v>
      </c>
      <c r="G3902" t="s">
        <v>5269</v>
      </c>
      <c r="H3902" t="s">
        <v>12709</v>
      </c>
      <c r="J3902" t="s">
        <v>18894</v>
      </c>
      <c r="K3902">
        <v>11233</v>
      </c>
      <c r="L3902" t="s">
        <v>18958</v>
      </c>
      <c r="M3902" t="s">
        <v>18958</v>
      </c>
      <c r="N3902" t="s">
        <v>21922</v>
      </c>
      <c r="O3902" t="s">
        <v>26524</v>
      </c>
      <c r="P3902" t="s">
        <v>26564</v>
      </c>
      <c r="Q3902" t="s">
        <v>26570</v>
      </c>
      <c r="R3902" t="s">
        <v>26578</v>
      </c>
      <c r="U3902" t="s">
        <v>26604</v>
      </c>
      <c r="W3902" t="s">
        <v>697</v>
      </c>
      <c r="X3902">
        <v>0</v>
      </c>
      <c r="Y3902" t="s">
        <v>26652</v>
      </c>
      <c r="AA3902" t="s">
        <v>26683</v>
      </c>
      <c r="AB3902" t="s">
        <v>29982</v>
      </c>
      <c r="AD3902" t="s">
        <v>40104</v>
      </c>
      <c r="AE3902">
        <v>0</v>
      </c>
      <c r="AF3902" t="s">
        <v>45547</v>
      </c>
      <c r="AH3902">
        <v>40</v>
      </c>
      <c r="AI3902">
        <v>1</v>
      </c>
      <c r="AJ3902">
        <v>0</v>
      </c>
      <c r="AK3902">
        <v>0</v>
      </c>
      <c r="AN3902" t="s">
        <v>7439</v>
      </c>
      <c r="AO3902">
        <v>0</v>
      </c>
      <c r="AU3902">
        <v>1.25</v>
      </c>
      <c r="AV3902" t="s">
        <v>441</v>
      </c>
      <c r="AW3902" t="s">
        <v>216</v>
      </c>
    </row>
    <row r="3903" spans="1:50">
      <c r="A3903" s="1">
        <f>HYPERLINK("https://lsnyc.legalserver.org/matter/dynamic-profile/view/1876366","18-1876366")</f>
        <v>0</v>
      </c>
      <c r="B3903" t="s">
        <v>101</v>
      </c>
      <c r="C3903" t="s">
        <v>341</v>
      </c>
      <c r="D3903" t="s">
        <v>493</v>
      </c>
      <c r="E3903" t="s">
        <v>697</v>
      </c>
      <c r="F3903" t="s">
        <v>2843</v>
      </c>
      <c r="G3903" t="s">
        <v>7104</v>
      </c>
      <c r="H3903" t="s">
        <v>12134</v>
      </c>
      <c r="I3903" t="s">
        <v>17342</v>
      </c>
      <c r="J3903" t="s">
        <v>18894</v>
      </c>
      <c r="K3903">
        <v>11203</v>
      </c>
      <c r="L3903" t="s">
        <v>18958</v>
      </c>
      <c r="M3903" t="s">
        <v>18958</v>
      </c>
      <c r="N3903" t="s">
        <v>21923</v>
      </c>
      <c r="O3903" t="s">
        <v>26524</v>
      </c>
      <c r="P3903" t="s">
        <v>26564</v>
      </c>
      <c r="Q3903" t="s">
        <v>26570</v>
      </c>
      <c r="R3903" t="s">
        <v>26586</v>
      </c>
      <c r="U3903" t="s">
        <v>26604</v>
      </c>
      <c r="W3903" t="s">
        <v>697</v>
      </c>
      <c r="X3903">
        <v>0</v>
      </c>
      <c r="Y3903" t="s">
        <v>26652</v>
      </c>
      <c r="Z3903" t="s">
        <v>26664</v>
      </c>
      <c r="AA3903" t="s">
        <v>26683</v>
      </c>
      <c r="AB3903" t="s">
        <v>29983</v>
      </c>
      <c r="AD3903" t="s">
        <v>40105</v>
      </c>
      <c r="AE3903">
        <v>103</v>
      </c>
      <c r="AG3903" t="s">
        <v>19330</v>
      </c>
      <c r="AH3903">
        <v>19</v>
      </c>
      <c r="AI3903">
        <v>1</v>
      </c>
      <c r="AJ3903">
        <v>0</v>
      </c>
      <c r="AK3903">
        <v>65.90000000000001</v>
      </c>
      <c r="AN3903" t="s">
        <v>7439</v>
      </c>
      <c r="AO3903">
        <v>8000</v>
      </c>
      <c r="AU3903">
        <v>3</v>
      </c>
      <c r="AV3903" t="s">
        <v>575</v>
      </c>
      <c r="AW3903" t="s">
        <v>46862</v>
      </c>
    </row>
    <row r="3904" spans="1:50">
      <c r="A3904" s="1">
        <f>HYPERLINK("https://lsnyc.legalserver.org/matter/dynamic-profile/view/1876668","18-1876668")</f>
        <v>0</v>
      </c>
      <c r="B3904" t="s">
        <v>110</v>
      </c>
      <c r="C3904" t="s">
        <v>340</v>
      </c>
      <c r="D3904" t="s">
        <v>531</v>
      </c>
      <c r="F3904" t="s">
        <v>2844</v>
      </c>
      <c r="G3904" t="s">
        <v>1339</v>
      </c>
      <c r="H3904" t="s">
        <v>12710</v>
      </c>
      <c r="J3904" t="s">
        <v>18919</v>
      </c>
      <c r="K3904">
        <v>11429</v>
      </c>
      <c r="L3904" t="s">
        <v>18958</v>
      </c>
      <c r="M3904" t="s">
        <v>18958</v>
      </c>
      <c r="N3904" t="s">
        <v>21924</v>
      </c>
      <c r="O3904" t="s">
        <v>26524</v>
      </c>
      <c r="P3904" t="s">
        <v>26564</v>
      </c>
      <c r="R3904" t="s">
        <v>26584</v>
      </c>
      <c r="S3904" t="s">
        <v>18959</v>
      </c>
      <c r="U3904" t="s">
        <v>26604</v>
      </c>
      <c r="V3904" t="s">
        <v>26610</v>
      </c>
      <c r="W3904" t="s">
        <v>697</v>
      </c>
      <c r="X3904">
        <v>1500</v>
      </c>
      <c r="Y3904" t="s">
        <v>26653</v>
      </c>
      <c r="Z3904" t="s">
        <v>26664</v>
      </c>
      <c r="AB3904" t="s">
        <v>29054</v>
      </c>
      <c r="AC3904" t="s">
        <v>19045</v>
      </c>
      <c r="AD3904" t="s">
        <v>40106</v>
      </c>
      <c r="AE3904">
        <v>0</v>
      </c>
      <c r="AF3904" t="s">
        <v>20460</v>
      </c>
      <c r="AG3904" t="s">
        <v>19330</v>
      </c>
      <c r="AH3904">
        <v>1</v>
      </c>
      <c r="AI3904">
        <v>2</v>
      </c>
      <c r="AJ3904">
        <v>1</v>
      </c>
      <c r="AK3904">
        <v>114.61</v>
      </c>
      <c r="AN3904" t="s">
        <v>7439</v>
      </c>
      <c r="AO3904">
        <v>23816</v>
      </c>
      <c r="AU3904">
        <v>1</v>
      </c>
      <c r="AV3904" t="s">
        <v>531</v>
      </c>
      <c r="AW3904" t="s">
        <v>208</v>
      </c>
    </row>
    <row r="3905" spans="1:49">
      <c r="A3905" s="1">
        <f>HYPERLINK("https://lsnyc.legalserver.org/matter/dynamic-profile/view/1877456","18-1877456")</f>
        <v>0</v>
      </c>
      <c r="B3905" t="s">
        <v>200</v>
      </c>
      <c r="C3905" t="s">
        <v>341</v>
      </c>
      <c r="D3905" t="s">
        <v>545</v>
      </c>
      <c r="E3905" t="s">
        <v>697</v>
      </c>
      <c r="F3905" t="s">
        <v>1051</v>
      </c>
      <c r="G3905" t="s">
        <v>6858</v>
      </c>
      <c r="H3905" t="s">
        <v>12711</v>
      </c>
      <c r="I3905" t="s">
        <v>17306</v>
      </c>
      <c r="J3905" t="s">
        <v>18894</v>
      </c>
      <c r="K3905">
        <v>11212</v>
      </c>
      <c r="L3905" t="s">
        <v>18958</v>
      </c>
      <c r="M3905" t="s">
        <v>18958</v>
      </c>
      <c r="N3905" t="s">
        <v>21925</v>
      </c>
      <c r="O3905" t="s">
        <v>26523</v>
      </c>
      <c r="P3905" t="s">
        <v>26560</v>
      </c>
      <c r="Q3905" t="s">
        <v>26573</v>
      </c>
      <c r="R3905" t="s">
        <v>26578</v>
      </c>
      <c r="S3905" t="s">
        <v>18959</v>
      </c>
      <c r="U3905" t="s">
        <v>26604</v>
      </c>
      <c r="V3905" t="s">
        <v>26610</v>
      </c>
      <c r="W3905" t="s">
        <v>697</v>
      </c>
      <c r="X3905">
        <v>1521</v>
      </c>
      <c r="Y3905" t="s">
        <v>26652</v>
      </c>
      <c r="Z3905" t="s">
        <v>26659</v>
      </c>
      <c r="AA3905" t="s">
        <v>26678</v>
      </c>
      <c r="AB3905" t="s">
        <v>29984</v>
      </c>
      <c r="AC3905" t="s">
        <v>35655</v>
      </c>
      <c r="AD3905" t="s">
        <v>40107</v>
      </c>
      <c r="AE3905">
        <v>6</v>
      </c>
      <c r="AF3905" t="s">
        <v>45541</v>
      </c>
      <c r="AG3905" t="s">
        <v>45563</v>
      </c>
      <c r="AH3905">
        <v>24</v>
      </c>
      <c r="AI3905">
        <v>1</v>
      </c>
      <c r="AJ3905">
        <v>0</v>
      </c>
      <c r="AK3905">
        <v>96.08</v>
      </c>
      <c r="AN3905" t="s">
        <v>7439</v>
      </c>
      <c r="AO3905">
        <v>11664</v>
      </c>
      <c r="AU3905">
        <v>3.6</v>
      </c>
      <c r="AV3905" t="s">
        <v>643</v>
      </c>
      <c r="AW3905" t="s">
        <v>279</v>
      </c>
    </row>
    <row r="3906" spans="1:49">
      <c r="A3906" s="1">
        <f>HYPERLINK("https://lsnyc.legalserver.org/matter/dynamic-profile/view/1879327","18-1879327")</f>
        <v>0</v>
      </c>
      <c r="B3906" t="s">
        <v>110</v>
      </c>
      <c r="C3906" t="s">
        <v>341</v>
      </c>
      <c r="D3906" t="s">
        <v>575</v>
      </c>
      <c r="E3906" t="s">
        <v>699</v>
      </c>
      <c r="F3906" t="s">
        <v>1134</v>
      </c>
      <c r="G3906" t="s">
        <v>7105</v>
      </c>
      <c r="H3906" t="s">
        <v>12712</v>
      </c>
      <c r="I3906" t="s">
        <v>17491</v>
      </c>
      <c r="J3906" t="s">
        <v>18910</v>
      </c>
      <c r="K3906">
        <v>11420</v>
      </c>
      <c r="L3906" t="s">
        <v>18958</v>
      </c>
      <c r="M3906" t="s">
        <v>18958</v>
      </c>
      <c r="N3906" t="s">
        <v>21926</v>
      </c>
      <c r="O3906" t="s">
        <v>26524</v>
      </c>
      <c r="P3906" t="s">
        <v>26564</v>
      </c>
      <c r="Q3906" t="s">
        <v>26570</v>
      </c>
      <c r="R3906" t="s">
        <v>26584</v>
      </c>
      <c r="S3906" t="s">
        <v>18959</v>
      </c>
      <c r="U3906" t="s">
        <v>26604</v>
      </c>
      <c r="W3906" t="s">
        <v>697</v>
      </c>
      <c r="X3906">
        <v>1500</v>
      </c>
      <c r="Y3906" t="s">
        <v>26653</v>
      </c>
      <c r="Z3906" t="s">
        <v>26664</v>
      </c>
      <c r="AA3906" t="s">
        <v>26683</v>
      </c>
      <c r="AB3906" t="s">
        <v>29985</v>
      </c>
      <c r="AC3906" t="s">
        <v>19045</v>
      </c>
      <c r="AD3906" t="s">
        <v>40108</v>
      </c>
      <c r="AE3906">
        <v>2</v>
      </c>
      <c r="AF3906" t="s">
        <v>20460</v>
      </c>
      <c r="AG3906" t="s">
        <v>19330</v>
      </c>
      <c r="AH3906">
        <v>11</v>
      </c>
      <c r="AI3906">
        <v>3</v>
      </c>
      <c r="AJ3906">
        <v>2</v>
      </c>
      <c r="AK3906">
        <v>0</v>
      </c>
      <c r="AN3906" t="s">
        <v>7439</v>
      </c>
      <c r="AO3906">
        <v>0</v>
      </c>
      <c r="AU3906">
        <v>0.6</v>
      </c>
      <c r="AV3906" t="s">
        <v>618</v>
      </c>
      <c r="AW3906" t="s">
        <v>208</v>
      </c>
    </row>
    <row r="3907" spans="1:49">
      <c r="A3907" s="1">
        <f>HYPERLINK("https://lsnyc.legalserver.org/matter/dynamic-profile/view/1880387","18-1880387")</f>
        <v>0</v>
      </c>
      <c r="B3907" t="s">
        <v>132</v>
      </c>
      <c r="C3907" t="s">
        <v>341</v>
      </c>
      <c r="D3907" t="s">
        <v>614</v>
      </c>
      <c r="E3907" t="s">
        <v>697</v>
      </c>
      <c r="F3907" t="s">
        <v>2845</v>
      </c>
      <c r="G3907" t="s">
        <v>7106</v>
      </c>
      <c r="H3907" t="s">
        <v>12713</v>
      </c>
      <c r="I3907" t="s">
        <v>17293</v>
      </c>
      <c r="J3907" t="s">
        <v>18894</v>
      </c>
      <c r="K3907">
        <v>11217</v>
      </c>
      <c r="L3907" t="s">
        <v>18958</v>
      </c>
      <c r="M3907" t="s">
        <v>18958</v>
      </c>
      <c r="N3907" t="s">
        <v>21927</v>
      </c>
      <c r="O3907" t="s">
        <v>26524</v>
      </c>
      <c r="P3907" t="s">
        <v>26564</v>
      </c>
      <c r="Q3907" t="s">
        <v>26570</v>
      </c>
      <c r="R3907" t="s">
        <v>26578</v>
      </c>
      <c r="U3907" t="s">
        <v>26604</v>
      </c>
      <c r="W3907" t="s">
        <v>697</v>
      </c>
      <c r="X3907">
        <v>1400</v>
      </c>
      <c r="Y3907" t="s">
        <v>26652</v>
      </c>
      <c r="Z3907" t="s">
        <v>26664</v>
      </c>
      <c r="AA3907" t="s">
        <v>26683</v>
      </c>
      <c r="AB3907" t="s">
        <v>29986</v>
      </c>
      <c r="AD3907" t="s">
        <v>40109</v>
      </c>
      <c r="AE3907">
        <v>20</v>
      </c>
      <c r="AG3907" t="s">
        <v>19330</v>
      </c>
      <c r="AH3907">
        <v>2</v>
      </c>
      <c r="AI3907">
        <v>1</v>
      </c>
      <c r="AJ3907">
        <v>0</v>
      </c>
      <c r="AK3907">
        <v>148.27</v>
      </c>
      <c r="AN3907" t="s">
        <v>7439</v>
      </c>
      <c r="AO3907">
        <v>18000</v>
      </c>
      <c r="AU3907">
        <v>3.2</v>
      </c>
      <c r="AV3907" t="s">
        <v>600</v>
      </c>
      <c r="AW3907" t="s">
        <v>46862</v>
      </c>
    </row>
    <row r="3908" spans="1:49">
      <c r="A3908" s="1">
        <f>HYPERLINK("https://lsnyc.legalserver.org/matter/dynamic-profile/view/1880404","18-1880404")</f>
        <v>0</v>
      </c>
      <c r="B3908" t="s">
        <v>132</v>
      </c>
      <c r="C3908" t="s">
        <v>341</v>
      </c>
      <c r="D3908" t="s">
        <v>600</v>
      </c>
      <c r="E3908" t="s">
        <v>697</v>
      </c>
      <c r="F3908" t="s">
        <v>2846</v>
      </c>
      <c r="G3908" t="s">
        <v>7107</v>
      </c>
      <c r="H3908" t="s">
        <v>12714</v>
      </c>
      <c r="I3908" t="s">
        <v>17355</v>
      </c>
      <c r="J3908" t="s">
        <v>18894</v>
      </c>
      <c r="K3908">
        <v>11213</v>
      </c>
      <c r="L3908" t="s">
        <v>18958</v>
      </c>
      <c r="M3908" t="s">
        <v>18958</v>
      </c>
      <c r="N3908" t="s">
        <v>21928</v>
      </c>
      <c r="O3908" t="s">
        <v>26523</v>
      </c>
      <c r="P3908" t="s">
        <v>26560</v>
      </c>
      <c r="Q3908" t="s">
        <v>26573</v>
      </c>
      <c r="R3908" t="s">
        <v>26586</v>
      </c>
      <c r="S3908" t="s">
        <v>18958</v>
      </c>
      <c r="U3908" t="s">
        <v>26604</v>
      </c>
      <c r="W3908" t="s">
        <v>697</v>
      </c>
      <c r="X3908">
        <v>1094</v>
      </c>
      <c r="Y3908" t="s">
        <v>26652</v>
      </c>
      <c r="AA3908" t="s">
        <v>26678</v>
      </c>
      <c r="AB3908" t="s">
        <v>26998</v>
      </c>
      <c r="AD3908" t="s">
        <v>40110</v>
      </c>
      <c r="AE3908">
        <v>0</v>
      </c>
      <c r="AH3908">
        <v>17</v>
      </c>
      <c r="AI3908">
        <v>1</v>
      </c>
      <c r="AJ3908">
        <v>3</v>
      </c>
      <c r="AK3908">
        <v>139.44</v>
      </c>
      <c r="AN3908" t="s">
        <v>7439</v>
      </c>
      <c r="AO3908">
        <v>35000.04</v>
      </c>
      <c r="AS3908" t="s">
        <v>46499</v>
      </c>
      <c r="AT3908" t="s">
        <v>46596</v>
      </c>
      <c r="AU3908">
        <v>1.3</v>
      </c>
      <c r="AV3908" t="s">
        <v>600</v>
      </c>
      <c r="AW3908" t="s">
        <v>46877</v>
      </c>
    </row>
    <row r="3909" spans="1:49">
      <c r="A3909" s="1">
        <f>HYPERLINK("https://lsnyc.legalserver.org/matter/dynamic-profile/view/1880901","18-1880901")</f>
        <v>0</v>
      </c>
      <c r="B3909" t="s">
        <v>117</v>
      </c>
      <c r="C3909" t="s">
        <v>341</v>
      </c>
      <c r="D3909" t="s">
        <v>635</v>
      </c>
      <c r="E3909" t="s">
        <v>697</v>
      </c>
      <c r="F3909" t="s">
        <v>1830</v>
      </c>
      <c r="G3909" t="s">
        <v>7108</v>
      </c>
      <c r="H3909" t="s">
        <v>12715</v>
      </c>
      <c r="I3909" t="s">
        <v>17333</v>
      </c>
      <c r="J3909" t="s">
        <v>18894</v>
      </c>
      <c r="K3909">
        <v>11207</v>
      </c>
      <c r="L3909" t="s">
        <v>18958</v>
      </c>
      <c r="M3909" t="s">
        <v>18958</v>
      </c>
      <c r="N3909" t="s">
        <v>21929</v>
      </c>
      <c r="O3909" t="s">
        <v>26523</v>
      </c>
      <c r="P3909" t="s">
        <v>26565</v>
      </c>
      <c r="Q3909" t="s">
        <v>26571</v>
      </c>
      <c r="R3909" t="s">
        <v>26578</v>
      </c>
      <c r="S3909" t="s">
        <v>18959</v>
      </c>
      <c r="U3909" t="s">
        <v>26604</v>
      </c>
      <c r="W3909" t="s">
        <v>697</v>
      </c>
      <c r="X3909">
        <v>1100</v>
      </c>
      <c r="Y3909" t="s">
        <v>26652</v>
      </c>
      <c r="Z3909" t="s">
        <v>26657</v>
      </c>
      <c r="AA3909" t="s">
        <v>26683</v>
      </c>
      <c r="AB3909" t="s">
        <v>29987</v>
      </c>
      <c r="AD3909" t="s">
        <v>40111</v>
      </c>
      <c r="AE3909">
        <v>6</v>
      </c>
      <c r="AF3909" t="s">
        <v>45541</v>
      </c>
      <c r="AG3909" t="s">
        <v>19330</v>
      </c>
      <c r="AH3909">
        <v>5</v>
      </c>
      <c r="AI3909">
        <v>2</v>
      </c>
      <c r="AJ3909">
        <v>0</v>
      </c>
      <c r="AK3909">
        <v>0</v>
      </c>
      <c r="AN3909" t="s">
        <v>7439</v>
      </c>
      <c r="AO3909">
        <v>0</v>
      </c>
      <c r="AU3909">
        <v>6.6</v>
      </c>
      <c r="AV3909" t="s">
        <v>652</v>
      </c>
      <c r="AW3909" t="s">
        <v>46829</v>
      </c>
    </row>
    <row r="3910" spans="1:49">
      <c r="A3910" s="1">
        <f>HYPERLINK("https://lsnyc.legalserver.org/matter/dynamic-profile/view/1882383","18-1882383")</f>
        <v>0</v>
      </c>
      <c r="B3910" t="s">
        <v>200</v>
      </c>
      <c r="C3910" t="s">
        <v>341</v>
      </c>
      <c r="D3910" t="s">
        <v>428</v>
      </c>
      <c r="E3910" t="s">
        <v>697</v>
      </c>
      <c r="F3910" t="s">
        <v>2847</v>
      </c>
      <c r="G3910" t="s">
        <v>7109</v>
      </c>
      <c r="H3910" t="s">
        <v>12716</v>
      </c>
      <c r="I3910">
        <v>2</v>
      </c>
      <c r="J3910" t="s">
        <v>18894</v>
      </c>
      <c r="K3910">
        <v>11233</v>
      </c>
      <c r="L3910" t="s">
        <v>18958</v>
      </c>
      <c r="M3910" t="s">
        <v>18958</v>
      </c>
      <c r="N3910" t="s">
        <v>21930</v>
      </c>
      <c r="O3910" t="s">
        <v>26523</v>
      </c>
      <c r="P3910" t="s">
        <v>26564</v>
      </c>
      <c r="Q3910" t="s">
        <v>26570</v>
      </c>
      <c r="R3910" t="s">
        <v>26578</v>
      </c>
      <c r="U3910" t="s">
        <v>26604</v>
      </c>
      <c r="W3910" t="s">
        <v>697</v>
      </c>
      <c r="X3910">
        <v>2550</v>
      </c>
      <c r="Y3910" t="s">
        <v>26652</v>
      </c>
      <c r="Z3910" t="s">
        <v>26664</v>
      </c>
      <c r="AA3910" t="s">
        <v>26683</v>
      </c>
      <c r="AB3910" t="s">
        <v>29988</v>
      </c>
      <c r="AC3910" t="s">
        <v>35656</v>
      </c>
      <c r="AD3910" t="s">
        <v>40112</v>
      </c>
      <c r="AE3910">
        <v>3</v>
      </c>
      <c r="AG3910" t="s">
        <v>26530</v>
      </c>
      <c r="AH3910">
        <v>-5</v>
      </c>
      <c r="AI3910">
        <v>1</v>
      </c>
      <c r="AJ3910">
        <v>1</v>
      </c>
      <c r="AK3910">
        <v>188.34</v>
      </c>
      <c r="AN3910" t="s">
        <v>7439</v>
      </c>
      <c r="AO3910">
        <v>31000</v>
      </c>
      <c r="AU3910">
        <v>4.3</v>
      </c>
      <c r="AV3910" t="s">
        <v>664</v>
      </c>
      <c r="AW3910" t="s">
        <v>46862</v>
      </c>
    </row>
    <row r="3911" spans="1:49">
      <c r="A3911" s="1">
        <f>HYPERLINK("https://lsnyc.legalserver.org/matter/dynamic-profile/view/1882535","18-1882535")</f>
        <v>0</v>
      </c>
      <c r="B3911" t="s">
        <v>121</v>
      </c>
      <c r="C3911" t="s">
        <v>340</v>
      </c>
      <c r="D3911" t="s">
        <v>646</v>
      </c>
      <c r="F3911" t="s">
        <v>2848</v>
      </c>
      <c r="G3911" t="s">
        <v>5849</v>
      </c>
      <c r="H3911" t="s">
        <v>12717</v>
      </c>
      <c r="I3911" t="s">
        <v>17390</v>
      </c>
      <c r="J3911" t="s">
        <v>18892</v>
      </c>
      <c r="K3911">
        <v>10452</v>
      </c>
      <c r="L3911" t="s">
        <v>18958</v>
      </c>
      <c r="M3911" t="s">
        <v>18958</v>
      </c>
      <c r="N3911" t="s">
        <v>21931</v>
      </c>
      <c r="O3911" t="s">
        <v>26523</v>
      </c>
      <c r="P3911" t="s">
        <v>26560</v>
      </c>
      <c r="R3911" t="s">
        <v>26578</v>
      </c>
      <c r="S3911" t="s">
        <v>18959</v>
      </c>
      <c r="U3911" t="s">
        <v>26604</v>
      </c>
      <c r="V3911" t="s">
        <v>26612</v>
      </c>
      <c r="W3911" t="s">
        <v>697</v>
      </c>
      <c r="X3911">
        <v>1300</v>
      </c>
      <c r="Y3911" t="s">
        <v>26650</v>
      </c>
      <c r="Z3911" t="s">
        <v>26663</v>
      </c>
      <c r="AB3911" t="s">
        <v>29989</v>
      </c>
      <c r="AD3911" t="s">
        <v>40113</v>
      </c>
      <c r="AE3911">
        <v>0</v>
      </c>
      <c r="AF3911" t="s">
        <v>45541</v>
      </c>
      <c r="AG3911" t="s">
        <v>19330</v>
      </c>
      <c r="AH3911">
        <v>4</v>
      </c>
      <c r="AI3911">
        <v>2</v>
      </c>
      <c r="AJ3911">
        <v>1</v>
      </c>
      <c r="AK3911">
        <v>282.96</v>
      </c>
      <c r="AL3911" t="s">
        <v>820</v>
      </c>
      <c r="AM3911" t="s">
        <v>45575</v>
      </c>
      <c r="AN3911" t="s">
        <v>7439</v>
      </c>
      <c r="AO3911">
        <v>58800</v>
      </c>
      <c r="AP3911" t="s">
        <v>45701</v>
      </c>
      <c r="AU3911">
        <v>16.5</v>
      </c>
      <c r="AV3911" t="s">
        <v>818</v>
      </c>
      <c r="AW3911" t="s">
        <v>267</v>
      </c>
    </row>
    <row r="3912" spans="1:49">
      <c r="A3912" s="1">
        <f>HYPERLINK("https://lsnyc.legalserver.org/matter/dynamic-profile/view/1883107","18-1883107")</f>
        <v>0</v>
      </c>
      <c r="B3912" t="s">
        <v>247</v>
      </c>
      <c r="C3912" t="s">
        <v>341</v>
      </c>
      <c r="D3912" t="s">
        <v>525</v>
      </c>
      <c r="E3912" t="s">
        <v>697</v>
      </c>
      <c r="F3912" t="s">
        <v>1096</v>
      </c>
      <c r="G3912" t="s">
        <v>1685</v>
      </c>
      <c r="H3912" t="s">
        <v>12718</v>
      </c>
      <c r="I3912" t="s">
        <v>17491</v>
      </c>
      <c r="J3912" t="s">
        <v>18901</v>
      </c>
      <c r="K3912">
        <v>11434</v>
      </c>
      <c r="L3912" t="s">
        <v>18958</v>
      </c>
      <c r="M3912" t="s">
        <v>18958</v>
      </c>
      <c r="N3912" t="s">
        <v>21932</v>
      </c>
      <c r="O3912" t="s">
        <v>26524</v>
      </c>
      <c r="P3912" t="s">
        <v>26564</v>
      </c>
      <c r="Q3912" t="s">
        <v>26570</v>
      </c>
      <c r="R3912" t="s">
        <v>26585</v>
      </c>
      <c r="S3912" t="s">
        <v>18959</v>
      </c>
      <c r="U3912" t="s">
        <v>26604</v>
      </c>
      <c r="V3912" t="s">
        <v>26610</v>
      </c>
      <c r="W3912" t="s">
        <v>697</v>
      </c>
      <c r="X3912">
        <v>1000</v>
      </c>
      <c r="Y3912" t="s">
        <v>26653</v>
      </c>
      <c r="Z3912" t="s">
        <v>26668</v>
      </c>
      <c r="AA3912" t="s">
        <v>26683</v>
      </c>
      <c r="AB3912" t="s">
        <v>29904</v>
      </c>
      <c r="AC3912" t="s">
        <v>19045</v>
      </c>
      <c r="AD3912" t="s">
        <v>40114</v>
      </c>
      <c r="AE3912">
        <v>2</v>
      </c>
      <c r="AF3912" t="s">
        <v>20460</v>
      </c>
      <c r="AG3912" t="s">
        <v>19330</v>
      </c>
      <c r="AH3912">
        <v>12</v>
      </c>
      <c r="AI3912">
        <v>2</v>
      </c>
      <c r="AJ3912">
        <v>0</v>
      </c>
      <c r="AK3912">
        <v>94.78</v>
      </c>
      <c r="AN3912" t="s">
        <v>7439</v>
      </c>
      <c r="AO3912">
        <v>15600</v>
      </c>
      <c r="AU3912">
        <v>24.52</v>
      </c>
      <c r="AV3912" t="s">
        <v>697</v>
      </c>
      <c r="AW3912" t="s">
        <v>208</v>
      </c>
    </row>
    <row r="3913" spans="1:49">
      <c r="A3913" s="1">
        <f>HYPERLINK("https://lsnyc.legalserver.org/matter/dynamic-profile/view/1884064","18-1884064")</f>
        <v>0</v>
      </c>
      <c r="B3913" t="s">
        <v>110</v>
      </c>
      <c r="C3913" t="s">
        <v>341</v>
      </c>
      <c r="D3913" t="s">
        <v>666</v>
      </c>
      <c r="E3913" t="s">
        <v>705</v>
      </c>
      <c r="F3913" t="s">
        <v>1128</v>
      </c>
      <c r="G3913" t="s">
        <v>7110</v>
      </c>
      <c r="H3913" t="s">
        <v>12719</v>
      </c>
      <c r="I3913" t="s">
        <v>17423</v>
      </c>
      <c r="J3913" t="s">
        <v>18920</v>
      </c>
      <c r="K3913">
        <v>11369</v>
      </c>
      <c r="L3913" t="s">
        <v>18958</v>
      </c>
      <c r="M3913" t="s">
        <v>18958</v>
      </c>
      <c r="N3913" t="s">
        <v>21933</v>
      </c>
      <c r="O3913" t="s">
        <v>26524</v>
      </c>
      <c r="P3913" t="s">
        <v>26564</v>
      </c>
      <c r="Q3913" t="s">
        <v>26570</v>
      </c>
      <c r="R3913" t="s">
        <v>26584</v>
      </c>
      <c r="S3913" t="s">
        <v>18959</v>
      </c>
      <c r="U3913" t="s">
        <v>26604</v>
      </c>
      <c r="V3913" t="s">
        <v>26610</v>
      </c>
      <c r="W3913" t="s">
        <v>697</v>
      </c>
      <c r="X3913">
        <v>325</v>
      </c>
      <c r="Y3913" t="s">
        <v>26653</v>
      </c>
      <c r="Z3913" t="s">
        <v>26664</v>
      </c>
      <c r="AA3913" t="s">
        <v>26683</v>
      </c>
      <c r="AB3913" t="s">
        <v>29990</v>
      </c>
      <c r="AC3913" t="s">
        <v>19045</v>
      </c>
      <c r="AD3913" t="s">
        <v>40115</v>
      </c>
      <c r="AE3913">
        <v>0</v>
      </c>
      <c r="AF3913" t="s">
        <v>20460</v>
      </c>
      <c r="AG3913" t="s">
        <v>19330</v>
      </c>
      <c r="AH3913">
        <v>1</v>
      </c>
      <c r="AI3913">
        <v>1</v>
      </c>
      <c r="AJ3913">
        <v>0</v>
      </c>
      <c r="AK3913">
        <v>88.95999999999999</v>
      </c>
      <c r="AN3913" t="s">
        <v>7439</v>
      </c>
      <c r="AO3913">
        <v>10800</v>
      </c>
      <c r="AU3913">
        <v>1</v>
      </c>
      <c r="AV3913" t="s">
        <v>666</v>
      </c>
      <c r="AW3913" t="s">
        <v>208</v>
      </c>
    </row>
    <row r="3914" spans="1:49">
      <c r="A3914" s="1">
        <f>HYPERLINK("https://lsnyc.legalserver.org/matter/dynamic-profile/view/1885185","18-1885185")</f>
        <v>0</v>
      </c>
      <c r="B3914" t="s">
        <v>97</v>
      </c>
      <c r="C3914" t="s">
        <v>340</v>
      </c>
      <c r="D3914" t="s">
        <v>683</v>
      </c>
      <c r="F3914" t="s">
        <v>2849</v>
      </c>
      <c r="G3914" t="s">
        <v>5849</v>
      </c>
      <c r="H3914" t="s">
        <v>10785</v>
      </c>
      <c r="I3914" t="s">
        <v>18028</v>
      </c>
      <c r="J3914" t="s">
        <v>18892</v>
      </c>
      <c r="K3914">
        <v>10455</v>
      </c>
      <c r="L3914" t="s">
        <v>18958</v>
      </c>
      <c r="M3914" t="s">
        <v>18958</v>
      </c>
      <c r="N3914" t="s">
        <v>21934</v>
      </c>
      <c r="O3914" t="s">
        <v>26523</v>
      </c>
      <c r="P3914" t="s">
        <v>26560</v>
      </c>
      <c r="R3914" t="s">
        <v>26577</v>
      </c>
      <c r="S3914" t="s">
        <v>18959</v>
      </c>
      <c r="U3914" t="s">
        <v>26604</v>
      </c>
      <c r="V3914" t="s">
        <v>26612</v>
      </c>
      <c r="W3914" t="s">
        <v>697</v>
      </c>
      <c r="X3914">
        <v>1019</v>
      </c>
      <c r="Y3914" t="s">
        <v>26650</v>
      </c>
      <c r="Z3914" t="s">
        <v>26661</v>
      </c>
      <c r="AB3914" t="s">
        <v>29991</v>
      </c>
      <c r="AC3914" t="s">
        <v>35657</v>
      </c>
      <c r="AD3914" t="s">
        <v>40116</v>
      </c>
      <c r="AE3914">
        <v>0</v>
      </c>
      <c r="AF3914" t="s">
        <v>45541</v>
      </c>
      <c r="AG3914" t="s">
        <v>19330</v>
      </c>
      <c r="AH3914">
        <v>6</v>
      </c>
      <c r="AI3914">
        <v>2</v>
      </c>
      <c r="AJ3914">
        <v>0</v>
      </c>
      <c r="AK3914">
        <v>244.25</v>
      </c>
      <c r="AL3914" t="s">
        <v>697</v>
      </c>
      <c r="AM3914" t="s">
        <v>45575</v>
      </c>
      <c r="AN3914" t="s">
        <v>7439</v>
      </c>
      <c r="AO3914">
        <v>40204</v>
      </c>
      <c r="AU3914">
        <v>62.05</v>
      </c>
      <c r="AV3914" t="s">
        <v>780</v>
      </c>
      <c r="AW3914" t="s">
        <v>46871</v>
      </c>
    </row>
    <row r="3915" spans="1:49">
      <c r="A3915" s="1">
        <f>HYPERLINK("https://lsnyc.legalserver.org/matter/dynamic-profile/view/1885782","18-1885782")</f>
        <v>0</v>
      </c>
      <c r="B3915" t="s">
        <v>211</v>
      </c>
      <c r="C3915" t="s">
        <v>341</v>
      </c>
      <c r="D3915" t="s">
        <v>697</v>
      </c>
      <c r="E3915" t="s">
        <v>699</v>
      </c>
      <c r="F3915" t="s">
        <v>2850</v>
      </c>
      <c r="G3915" t="s">
        <v>7111</v>
      </c>
      <c r="H3915" t="s">
        <v>12720</v>
      </c>
      <c r="I3915" t="s">
        <v>17356</v>
      </c>
      <c r="J3915" t="s">
        <v>18894</v>
      </c>
      <c r="K3915">
        <v>11217</v>
      </c>
      <c r="L3915" t="s">
        <v>18959</v>
      </c>
      <c r="M3915" t="s">
        <v>18959</v>
      </c>
      <c r="O3915" t="s">
        <v>26531</v>
      </c>
      <c r="P3915" t="s">
        <v>26564</v>
      </c>
      <c r="Q3915" t="s">
        <v>26570</v>
      </c>
      <c r="R3915" t="s">
        <v>26578</v>
      </c>
      <c r="S3915" t="s">
        <v>18959</v>
      </c>
      <c r="U3915" t="s">
        <v>26604</v>
      </c>
      <c r="V3915" t="s">
        <v>26610</v>
      </c>
      <c r="W3915" t="s">
        <v>697</v>
      </c>
      <c r="X3915">
        <v>577.6</v>
      </c>
      <c r="Y3915" t="s">
        <v>26652</v>
      </c>
      <c r="Z3915" t="s">
        <v>26670</v>
      </c>
      <c r="AA3915" t="s">
        <v>26689</v>
      </c>
      <c r="AB3915" t="s">
        <v>27657</v>
      </c>
      <c r="AC3915" t="s">
        <v>19045</v>
      </c>
      <c r="AE3915">
        <v>0</v>
      </c>
      <c r="AF3915" t="s">
        <v>45553</v>
      </c>
      <c r="AG3915" t="s">
        <v>19330</v>
      </c>
      <c r="AH3915">
        <v>30</v>
      </c>
      <c r="AI3915">
        <v>2</v>
      </c>
      <c r="AJ3915">
        <v>0</v>
      </c>
      <c r="AK3915">
        <v>55.41</v>
      </c>
      <c r="AN3915" t="s">
        <v>7439</v>
      </c>
      <c r="AO3915">
        <v>9120</v>
      </c>
      <c r="AU3915">
        <v>0.6</v>
      </c>
      <c r="AV3915" t="s">
        <v>699</v>
      </c>
      <c r="AW3915" t="s">
        <v>279</v>
      </c>
    </row>
    <row r="3916" spans="1:49">
      <c r="A3916" s="1">
        <f>HYPERLINK("https://lsnyc.legalserver.org/matter/dynamic-profile/view/1885781","18-1885781")</f>
        <v>0</v>
      </c>
      <c r="B3916" t="s">
        <v>171</v>
      </c>
      <c r="C3916" t="s">
        <v>341</v>
      </c>
      <c r="D3916" t="s">
        <v>697</v>
      </c>
      <c r="E3916" t="s">
        <v>416</v>
      </c>
      <c r="F3916" t="s">
        <v>2462</v>
      </c>
      <c r="G3916" t="s">
        <v>5419</v>
      </c>
      <c r="H3916" t="s">
        <v>12721</v>
      </c>
      <c r="I3916" t="s">
        <v>17349</v>
      </c>
      <c r="J3916" t="s">
        <v>18893</v>
      </c>
      <c r="K3916">
        <v>10039</v>
      </c>
      <c r="L3916" t="s">
        <v>18958</v>
      </c>
      <c r="M3916" t="s">
        <v>18958</v>
      </c>
      <c r="N3916" t="s">
        <v>21935</v>
      </c>
      <c r="O3916" t="s">
        <v>26523</v>
      </c>
      <c r="P3916" t="s">
        <v>26564</v>
      </c>
      <c r="Q3916" t="s">
        <v>26570</v>
      </c>
      <c r="R3916" t="s">
        <v>26582</v>
      </c>
      <c r="S3916" t="s">
        <v>18959</v>
      </c>
      <c r="U3916" t="s">
        <v>26604</v>
      </c>
      <c r="W3916" t="s">
        <v>697</v>
      </c>
      <c r="X3916">
        <v>700</v>
      </c>
      <c r="Y3916" t="s">
        <v>26651</v>
      </c>
      <c r="Z3916" t="s">
        <v>26664</v>
      </c>
      <c r="AA3916" t="s">
        <v>26683</v>
      </c>
      <c r="AB3916" t="s">
        <v>29992</v>
      </c>
      <c r="AD3916" t="s">
        <v>40117</v>
      </c>
      <c r="AE3916">
        <v>15</v>
      </c>
      <c r="AF3916" t="s">
        <v>45541</v>
      </c>
      <c r="AG3916" t="s">
        <v>26530</v>
      </c>
      <c r="AH3916">
        <v>10</v>
      </c>
      <c r="AI3916">
        <v>2</v>
      </c>
      <c r="AJ3916">
        <v>0</v>
      </c>
      <c r="AK3916">
        <v>28.75</v>
      </c>
      <c r="AN3916" t="s">
        <v>7439</v>
      </c>
      <c r="AO3916">
        <v>4732</v>
      </c>
      <c r="AU3916">
        <v>0.2</v>
      </c>
      <c r="AV3916" t="s">
        <v>707</v>
      </c>
      <c r="AW3916" t="s">
        <v>314</v>
      </c>
    </row>
    <row r="3917" spans="1:49">
      <c r="A3917" s="1">
        <f>HYPERLINK("https://lsnyc.legalserver.org/matter/dynamic-profile/view/1885732","18-1885732")</f>
        <v>0</v>
      </c>
      <c r="B3917" t="s">
        <v>64</v>
      </c>
      <c r="C3917" t="s">
        <v>341</v>
      </c>
      <c r="D3917" t="s">
        <v>697</v>
      </c>
      <c r="E3917" t="s">
        <v>779</v>
      </c>
      <c r="F3917" t="s">
        <v>2075</v>
      </c>
      <c r="G3917" t="s">
        <v>7112</v>
      </c>
      <c r="H3917" t="s">
        <v>10745</v>
      </c>
      <c r="I3917" t="s">
        <v>17325</v>
      </c>
      <c r="J3917" t="s">
        <v>18892</v>
      </c>
      <c r="K3917">
        <v>10467</v>
      </c>
      <c r="L3917" t="s">
        <v>18958</v>
      </c>
      <c r="M3917" t="s">
        <v>18958</v>
      </c>
      <c r="N3917" t="s">
        <v>21936</v>
      </c>
      <c r="O3917" t="s">
        <v>26523</v>
      </c>
      <c r="P3917" t="s">
        <v>26560</v>
      </c>
      <c r="Q3917" t="s">
        <v>26568</v>
      </c>
      <c r="R3917" t="s">
        <v>26579</v>
      </c>
      <c r="U3917" t="s">
        <v>26604</v>
      </c>
      <c r="V3917" t="s">
        <v>26610</v>
      </c>
      <c r="W3917" t="s">
        <v>697</v>
      </c>
      <c r="X3917">
        <v>1096</v>
      </c>
      <c r="Y3917" t="s">
        <v>26650</v>
      </c>
      <c r="Z3917" t="s">
        <v>26664</v>
      </c>
      <c r="AA3917" t="s">
        <v>26678</v>
      </c>
      <c r="AB3917" t="s">
        <v>27119</v>
      </c>
      <c r="AC3917" t="s">
        <v>35658</v>
      </c>
      <c r="AD3917" t="s">
        <v>40118</v>
      </c>
      <c r="AE3917">
        <v>0</v>
      </c>
      <c r="AF3917" t="s">
        <v>45541</v>
      </c>
      <c r="AG3917" t="s">
        <v>19330</v>
      </c>
      <c r="AH3917">
        <v>5</v>
      </c>
      <c r="AI3917">
        <v>1</v>
      </c>
      <c r="AJ3917">
        <v>0</v>
      </c>
      <c r="AK3917">
        <v>75.31999999999999</v>
      </c>
      <c r="AO3917">
        <v>9144</v>
      </c>
      <c r="AQ3917" t="s">
        <v>46362</v>
      </c>
      <c r="AR3917" t="s">
        <v>46380</v>
      </c>
      <c r="AS3917" t="s">
        <v>46499</v>
      </c>
      <c r="AT3917" t="s">
        <v>46777</v>
      </c>
      <c r="AU3917">
        <v>11.2</v>
      </c>
      <c r="AV3917" t="s">
        <v>793</v>
      </c>
      <c r="AW3917" t="s">
        <v>334</v>
      </c>
    </row>
    <row r="3918" spans="1:49">
      <c r="A3918" s="1">
        <f>HYPERLINK("https://lsnyc.legalserver.org/matter/dynamic-profile/view/1885757","18-1885757")</f>
        <v>0</v>
      </c>
      <c r="B3918" t="s">
        <v>64</v>
      </c>
      <c r="C3918" t="s">
        <v>341</v>
      </c>
      <c r="D3918" t="s">
        <v>697</v>
      </c>
      <c r="E3918" t="s">
        <v>785</v>
      </c>
      <c r="F3918" t="s">
        <v>1187</v>
      </c>
      <c r="G3918" t="s">
        <v>7113</v>
      </c>
      <c r="H3918" t="s">
        <v>12722</v>
      </c>
      <c r="I3918" t="s">
        <v>17343</v>
      </c>
      <c r="J3918" t="s">
        <v>18892</v>
      </c>
      <c r="K3918">
        <v>10457</v>
      </c>
      <c r="L3918" t="s">
        <v>18958</v>
      </c>
      <c r="M3918" t="s">
        <v>18958</v>
      </c>
      <c r="N3918" t="s">
        <v>21937</v>
      </c>
      <c r="O3918" t="s">
        <v>26523</v>
      </c>
      <c r="P3918" t="s">
        <v>26560</v>
      </c>
      <c r="Q3918" t="s">
        <v>26568</v>
      </c>
      <c r="R3918" t="s">
        <v>26579</v>
      </c>
      <c r="U3918" t="s">
        <v>26604</v>
      </c>
      <c r="V3918" t="s">
        <v>26610</v>
      </c>
      <c r="W3918" t="s">
        <v>697</v>
      </c>
      <c r="X3918">
        <v>1616.62</v>
      </c>
      <c r="Y3918" t="s">
        <v>26650</v>
      </c>
      <c r="Z3918" t="s">
        <v>26664</v>
      </c>
      <c r="AA3918" t="s">
        <v>26678</v>
      </c>
      <c r="AB3918" t="s">
        <v>26955</v>
      </c>
      <c r="AC3918" t="s">
        <v>35659</v>
      </c>
      <c r="AD3918" t="s">
        <v>40119</v>
      </c>
      <c r="AE3918">
        <v>0</v>
      </c>
      <c r="AF3918" t="s">
        <v>45547</v>
      </c>
      <c r="AG3918" t="s">
        <v>19330</v>
      </c>
      <c r="AH3918">
        <v>3</v>
      </c>
      <c r="AI3918">
        <v>2</v>
      </c>
      <c r="AJ3918">
        <v>0</v>
      </c>
      <c r="AK3918">
        <v>103.28</v>
      </c>
      <c r="AO3918">
        <v>17000</v>
      </c>
      <c r="AQ3918" t="s">
        <v>46362</v>
      </c>
      <c r="AR3918" t="s">
        <v>46420</v>
      </c>
      <c r="AS3918" t="s">
        <v>46499</v>
      </c>
      <c r="AT3918" t="s">
        <v>46563</v>
      </c>
      <c r="AU3918">
        <v>11.1</v>
      </c>
      <c r="AV3918" t="s">
        <v>785</v>
      </c>
      <c r="AW3918" t="s">
        <v>334</v>
      </c>
    </row>
    <row r="3919" spans="1:49">
      <c r="A3919" s="1">
        <f>HYPERLINK("https://lsnyc.legalserver.org/matter/dynamic-profile/view/1885707","18-1885707")</f>
        <v>0</v>
      </c>
      <c r="B3919" t="s">
        <v>157</v>
      </c>
      <c r="C3919" t="s">
        <v>341</v>
      </c>
      <c r="D3919" t="s">
        <v>697</v>
      </c>
      <c r="E3919" t="s">
        <v>751</v>
      </c>
      <c r="F3919" t="s">
        <v>881</v>
      </c>
      <c r="G3919" t="s">
        <v>5208</v>
      </c>
      <c r="H3919" t="s">
        <v>12723</v>
      </c>
      <c r="I3919">
        <v>24</v>
      </c>
      <c r="J3919" t="s">
        <v>18893</v>
      </c>
      <c r="K3919">
        <v>10040</v>
      </c>
      <c r="L3919" t="s">
        <v>18958</v>
      </c>
      <c r="M3919" t="s">
        <v>18958</v>
      </c>
      <c r="N3919" t="s">
        <v>21938</v>
      </c>
      <c r="O3919" t="s">
        <v>26523</v>
      </c>
      <c r="P3919" t="s">
        <v>26560</v>
      </c>
      <c r="Q3919" t="s">
        <v>26568</v>
      </c>
      <c r="R3919" t="s">
        <v>26578</v>
      </c>
      <c r="S3919" t="s">
        <v>18959</v>
      </c>
      <c r="U3919" t="s">
        <v>26604</v>
      </c>
      <c r="W3919" t="s">
        <v>697</v>
      </c>
      <c r="X3919">
        <v>1400</v>
      </c>
      <c r="Y3919" t="s">
        <v>26651</v>
      </c>
      <c r="Z3919" t="s">
        <v>26657</v>
      </c>
      <c r="AA3919" t="s">
        <v>26679</v>
      </c>
      <c r="AB3919" t="s">
        <v>29993</v>
      </c>
      <c r="AD3919" t="s">
        <v>40120</v>
      </c>
      <c r="AE3919">
        <v>21</v>
      </c>
      <c r="AF3919" t="s">
        <v>45541</v>
      </c>
      <c r="AG3919" t="s">
        <v>19330</v>
      </c>
      <c r="AH3919">
        <v>1</v>
      </c>
      <c r="AI3919">
        <v>3</v>
      </c>
      <c r="AJ3919">
        <v>3</v>
      </c>
      <c r="AK3919">
        <v>107.88</v>
      </c>
      <c r="AN3919" t="s">
        <v>45581</v>
      </c>
      <c r="AO3919">
        <v>36400</v>
      </c>
      <c r="AU3919">
        <v>50.2</v>
      </c>
      <c r="AV3919" t="s">
        <v>751</v>
      </c>
      <c r="AW3919" t="s">
        <v>46840</v>
      </c>
    </row>
    <row r="3920" spans="1:49">
      <c r="A3920" s="1">
        <f>HYPERLINK("https://lsnyc.legalserver.org/matter/dynamic-profile/view/1885761","18-1885761")</f>
        <v>0</v>
      </c>
      <c r="B3920" t="s">
        <v>157</v>
      </c>
      <c r="C3920" t="s">
        <v>341</v>
      </c>
      <c r="D3920" t="s">
        <v>697</v>
      </c>
      <c r="E3920" t="s">
        <v>494</v>
      </c>
      <c r="F3920" t="s">
        <v>2851</v>
      </c>
      <c r="G3920" t="s">
        <v>7114</v>
      </c>
      <c r="H3920" t="s">
        <v>11918</v>
      </c>
      <c r="I3920" t="s">
        <v>17348</v>
      </c>
      <c r="J3920" t="s">
        <v>18893</v>
      </c>
      <c r="K3920">
        <v>10040</v>
      </c>
      <c r="L3920" t="s">
        <v>18958</v>
      </c>
      <c r="M3920" t="s">
        <v>18958</v>
      </c>
      <c r="P3920" t="s">
        <v>26564</v>
      </c>
      <c r="Q3920" t="s">
        <v>26570</v>
      </c>
      <c r="R3920" t="s">
        <v>26578</v>
      </c>
      <c r="S3920" t="s">
        <v>18959</v>
      </c>
      <c r="U3920" t="s">
        <v>26604</v>
      </c>
      <c r="W3920" t="s">
        <v>697</v>
      </c>
      <c r="X3920">
        <v>1200.06</v>
      </c>
      <c r="Y3920" t="s">
        <v>26651</v>
      </c>
      <c r="Z3920" t="s">
        <v>26661</v>
      </c>
      <c r="AA3920" t="s">
        <v>26683</v>
      </c>
      <c r="AB3920" t="s">
        <v>29994</v>
      </c>
      <c r="AE3920">
        <v>0</v>
      </c>
      <c r="AF3920" t="s">
        <v>45541</v>
      </c>
      <c r="AG3920" t="s">
        <v>19330</v>
      </c>
      <c r="AH3920">
        <v>20</v>
      </c>
      <c r="AI3920">
        <v>1</v>
      </c>
      <c r="AJ3920">
        <v>1</v>
      </c>
      <c r="AK3920">
        <v>224.14</v>
      </c>
      <c r="AN3920" t="s">
        <v>45586</v>
      </c>
      <c r="AO3920">
        <v>36894</v>
      </c>
      <c r="AU3920">
        <v>1.5</v>
      </c>
      <c r="AV3920" t="s">
        <v>697</v>
      </c>
      <c r="AW3920" t="s">
        <v>46840</v>
      </c>
    </row>
    <row r="3921" spans="1:50">
      <c r="A3921" s="1">
        <f>HYPERLINK("https://lsnyc.legalserver.org/matter/dynamic-profile/view/1885693","18-1885693")</f>
        <v>0</v>
      </c>
      <c r="B3921" t="s">
        <v>157</v>
      </c>
      <c r="C3921" t="s">
        <v>341</v>
      </c>
      <c r="D3921" t="s">
        <v>697</v>
      </c>
      <c r="E3921" t="s">
        <v>697</v>
      </c>
      <c r="F3921" t="s">
        <v>2852</v>
      </c>
      <c r="G3921" t="s">
        <v>6528</v>
      </c>
      <c r="H3921" t="s">
        <v>12724</v>
      </c>
      <c r="I3921">
        <v>52</v>
      </c>
      <c r="J3921" t="s">
        <v>18893</v>
      </c>
      <c r="K3921">
        <v>10032</v>
      </c>
      <c r="L3921" t="s">
        <v>18958</v>
      </c>
      <c r="M3921" t="s">
        <v>18958</v>
      </c>
      <c r="P3921" t="s">
        <v>26564</v>
      </c>
      <c r="Q3921" t="s">
        <v>26570</v>
      </c>
      <c r="R3921" t="s">
        <v>26578</v>
      </c>
      <c r="S3921" t="s">
        <v>18959</v>
      </c>
      <c r="U3921" t="s">
        <v>26604</v>
      </c>
      <c r="W3921" t="s">
        <v>697</v>
      </c>
      <c r="X3921">
        <v>900.88</v>
      </c>
      <c r="Y3921" t="s">
        <v>26651</v>
      </c>
      <c r="Z3921" t="s">
        <v>26661</v>
      </c>
      <c r="AA3921" t="s">
        <v>26683</v>
      </c>
      <c r="AB3921" t="s">
        <v>29995</v>
      </c>
      <c r="AD3921" t="s">
        <v>40121</v>
      </c>
      <c r="AE3921">
        <v>0</v>
      </c>
      <c r="AF3921" t="s">
        <v>45541</v>
      </c>
      <c r="AG3921" t="s">
        <v>19330</v>
      </c>
      <c r="AH3921">
        <v>20</v>
      </c>
      <c r="AI3921">
        <v>2</v>
      </c>
      <c r="AJ3921">
        <v>0</v>
      </c>
      <c r="AK3921">
        <v>325.64</v>
      </c>
      <c r="AN3921" t="s">
        <v>7439</v>
      </c>
      <c r="AO3921">
        <v>53600</v>
      </c>
      <c r="AU3921">
        <v>1</v>
      </c>
      <c r="AV3921" t="s">
        <v>697</v>
      </c>
      <c r="AW3921" t="s">
        <v>46840</v>
      </c>
    </row>
    <row r="3922" spans="1:50">
      <c r="A3922" s="1">
        <f>HYPERLINK("https://lsnyc.legalserver.org/matter/dynamic-profile/view/1885710","18-1885710")</f>
        <v>0</v>
      </c>
      <c r="B3922" t="s">
        <v>64</v>
      </c>
      <c r="C3922" t="s">
        <v>340</v>
      </c>
      <c r="D3922" t="s">
        <v>697</v>
      </c>
      <c r="F3922" t="s">
        <v>2853</v>
      </c>
      <c r="G3922" t="s">
        <v>7115</v>
      </c>
      <c r="H3922" t="s">
        <v>12725</v>
      </c>
      <c r="I3922" t="s">
        <v>17410</v>
      </c>
      <c r="J3922" t="s">
        <v>18892</v>
      </c>
      <c r="K3922">
        <v>10467</v>
      </c>
      <c r="L3922" t="s">
        <v>18958</v>
      </c>
      <c r="M3922" t="s">
        <v>18958</v>
      </c>
      <c r="N3922" t="s">
        <v>21939</v>
      </c>
      <c r="O3922" t="s">
        <v>26523</v>
      </c>
      <c r="P3922" t="s">
        <v>26560</v>
      </c>
      <c r="R3922" t="s">
        <v>26579</v>
      </c>
      <c r="U3922" t="s">
        <v>26604</v>
      </c>
      <c r="V3922" t="s">
        <v>26610</v>
      </c>
      <c r="W3922" t="s">
        <v>697</v>
      </c>
      <c r="X3922">
        <v>0</v>
      </c>
      <c r="Y3922" t="s">
        <v>26650</v>
      </c>
      <c r="Z3922" t="s">
        <v>26664</v>
      </c>
      <c r="AB3922" t="s">
        <v>29996</v>
      </c>
      <c r="AD3922" t="s">
        <v>40122</v>
      </c>
      <c r="AE3922">
        <v>0</v>
      </c>
      <c r="AF3922" t="s">
        <v>45541</v>
      </c>
      <c r="AG3922" t="s">
        <v>19330</v>
      </c>
      <c r="AH3922">
        <v>0</v>
      </c>
      <c r="AI3922">
        <v>1</v>
      </c>
      <c r="AJ3922">
        <v>3</v>
      </c>
      <c r="AK3922">
        <v>70.44</v>
      </c>
      <c r="AN3922" t="s">
        <v>45581</v>
      </c>
      <c r="AO3922">
        <v>17680</v>
      </c>
      <c r="AU3922">
        <v>10.75</v>
      </c>
      <c r="AV3922" t="s">
        <v>820</v>
      </c>
      <c r="AW3922" t="s">
        <v>334</v>
      </c>
    </row>
    <row r="3923" spans="1:50">
      <c r="A3923" s="1">
        <f>HYPERLINK("https://lsnyc.legalserver.org/matter/dynamic-profile/view/1885688","18-1885688")</f>
        <v>0</v>
      </c>
      <c r="B3923" t="s">
        <v>102</v>
      </c>
      <c r="C3923" t="s">
        <v>340</v>
      </c>
      <c r="D3923" t="s">
        <v>697</v>
      </c>
      <c r="F3923" t="s">
        <v>2854</v>
      </c>
      <c r="G3923" t="s">
        <v>7116</v>
      </c>
      <c r="H3923" t="s">
        <v>12726</v>
      </c>
      <c r="I3923" t="s">
        <v>18029</v>
      </c>
      <c r="J3923" t="s">
        <v>18902</v>
      </c>
      <c r="K3923">
        <v>10310</v>
      </c>
      <c r="L3923" t="s">
        <v>18958</v>
      </c>
      <c r="M3923" t="s">
        <v>18958</v>
      </c>
      <c r="N3923" t="s">
        <v>21940</v>
      </c>
      <c r="O3923" t="s">
        <v>26523</v>
      </c>
      <c r="P3923" t="s">
        <v>26560</v>
      </c>
      <c r="R3923" t="s">
        <v>26590</v>
      </c>
      <c r="S3923" t="s">
        <v>18959</v>
      </c>
      <c r="U3923" t="s">
        <v>26604</v>
      </c>
      <c r="V3923" t="s">
        <v>26610</v>
      </c>
      <c r="W3923" t="s">
        <v>697</v>
      </c>
      <c r="X3923">
        <v>1515</v>
      </c>
      <c r="Y3923" t="s">
        <v>26654</v>
      </c>
      <c r="Z3923" t="s">
        <v>26668</v>
      </c>
      <c r="AB3923" t="s">
        <v>29997</v>
      </c>
      <c r="AD3923" t="s">
        <v>40123</v>
      </c>
      <c r="AE3923">
        <v>2</v>
      </c>
      <c r="AF3923" t="s">
        <v>45547</v>
      </c>
      <c r="AG3923" t="s">
        <v>45557</v>
      </c>
      <c r="AH3923">
        <v>4</v>
      </c>
      <c r="AI3923">
        <v>2</v>
      </c>
      <c r="AJ3923">
        <v>1</v>
      </c>
      <c r="AK3923">
        <v>13.46</v>
      </c>
      <c r="AN3923" t="s">
        <v>45581</v>
      </c>
      <c r="AO3923">
        <v>2796</v>
      </c>
      <c r="AU3923">
        <v>29.85</v>
      </c>
      <c r="AV3923" t="s">
        <v>807</v>
      </c>
      <c r="AW3923" t="s">
        <v>210</v>
      </c>
    </row>
    <row r="3924" spans="1:50">
      <c r="A3924" s="1">
        <f>HYPERLINK("https://lsnyc.legalserver.org/matter/dynamic-profile/view/1885708","18-1885708")</f>
        <v>0</v>
      </c>
      <c r="B3924" t="s">
        <v>102</v>
      </c>
      <c r="C3924" t="s">
        <v>340</v>
      </c>
      <c r="D3924" t="s">
        <v>697</v>
      </c>
      <c r="F3924" t="s">
        <v>1417</v>
      </c>
      <c r="G3924" t="s">
        <v>2975</v>
      </c>
      <c r="H3924" t="s">
        <v>12727</v>
      </c>
      <c r="I3924" t="s">
        <v>17773</v>
      </c>
      <c r="J3924" t="s">
        <v>18902</v>
      </c>
      <c r="K3924">
        <v>10302</v>
      </c>
      <c r="L3924" t="s">
        <v>18958</v>
      </c>
      <c r="M3924" t="s">
        <v>18958</v>
      </c>
      <c r="N3924" t="s">
        <v>21941</v>
      </c>
      <c r="O3924" t="s">
        <v>26524</v>
      </c>
      <c r="P3924" t="s">
        <v>26560</v>
      </c>
      <c r="R3924" t="s">
        <v>26590</v>
      </c>
      <c r="S3924" t="s">
        <v>18959</v>
      </c>
      <c r="U3924" t="s">
        <v>26604</v>
      </c>
      <c r="V3924" t="s">
        <v>26610</v>
      </c>
      <c r="W3924" t="s">
        <v>697</v>
      </c>
      <c r="X3924">
        <v>1250</v>
      </c>
      <c r="Y3924" t="s">
        <v>26654</v>
      </c>
      <c r="Z3924" t="s">
        <v>26668</v>
      </c>
      <c r="AB3924" t="s">
        <v>29998</v>
      </c>
      <c r="AC3924" t="s">
        <v>35660</v>
      </c>
      <c r="AD3924" t="s">
        <v>40124</v>
      </c>
      <c r="AE3924">
        <v>3</v>
      </c>
      <c r="AG3924" t="s">
        <v>45557</v>
      </c>
      <c r="AH3924">
        <v>4</v>
      </c>
      <c r="AI3924">
        <v>1</v>
      </c>
      <c r="AJ3924">
        <v>1</v>
      </c>
      <c r="AK3924">
        <v>66.2</v>
      </c>
      <c r="AN3924" t="s">
        <v>7439</v>
      </c>
      <c r="AO3924">
        <v>10896</v>
      </c>
      <c r="AU3924">
        <v>13.8</v>
      </c>
      <c r="AV3924" t="s">
        <v>672</v>
      </c>
      <c r="AW3924" t="s">
        <v>210</v>
      </c>
    </row>
    <row r="3925" spans="1:50">
      <c r="A3925" s="1">
        <f>HYPERLINK("https://lsnyc.legalserver.org/matter/dynamic-profile/view/1885725","18-1885725")</f>
        <v>0</v>
      </c>
      <c r="B3925" t="s">
        <v>142</v>
      </c>
      <c r="C3925" t="s">
        <v>340</v>
      </c>
      <c r="D3925" t="s">
        <v>697</v>
      </c>
      <c r="F3925" t="s">
        <v>2855</v>
      </c>
      <c r="G3925" t="s">
        <v>5191</v>
      </c>
      <c r="H3925" t="s">
        <v>12728</v>
      </c>
      <c r="I3925" t="s">
        <v>17781</v>
      </c>
      <c r="J3925" t="s">
        <v>18916</v>
      </c>
      <c r="K3925">
        <v>11693</v>
      </c>
      <c r="L3925" t="s">
        <v>18958</v>
      </c>
      <c r="M3925" t="s">
        <v>18958</v>
      </c>
      <c r="N3925" t="s">
        <v>21942</v>
      </c>
      <c r="O3925" t="s">
        <v>26524</v>
      </c>
      <c r="P3925" t="s">
        <v>26564</v>
      </c>
      <c r="R3925" t="s">
        <v>26584</v>
      </c>
      <c r="S3925" t="s">
        <v>18959</v>
      </c>
      <c r="U3925" t="s">
        <v>26604</v>
      </c>
      <c r="V3925" t="s">
        <v>26614</v>
      </c>
      <c r="W3925" t="s">
        <v>697</v>
      </c>
      <c r="X3925">
        <v>2050</v>
      </c>
      <c r="Y3925" t="s">
        <v>26653</v>
      </c>
      <c r="Z3925" t="s">
        <v>26664</v>
      </c>
      <c r="AB3925" t="s">
        <v>29999</v>
      </c>
      <c r="AC3925" t="s">
        <v>35661</v>
      </c>
      <c r="AD3925" t="s">
        <v>40125</v>
      </c>
      <c r="AE3925">
        <v>3</v>
      </c>
      <c r="AF3925" t="s">
        <v>45547</v>
      </c>
      <c r="AG3925" t="s">
        <v>45557</v>
      </c>
      <c r="AH3925">
        <v>4</v>
      </c>
      <c r="AI3925">
        <v>1</v>
      </c>
      <c r="AJ3925">
        <v>2</v>
      </c>
      <c r="AK3925">
        <v>0</v>
      </c>
      <c r="AN3925" t="s">
        <v>7439</v>
      </c>
      <c r="AO3925">
        <v>0</v>
      </c>
      <c r="AU3925">
        <v>1</v>
      </c>
      <c r="AV3925" t="s">
        <v>697</v>
      </c>
      <c r="AW3925" t="s">
        <v>161</v>
      </c>
    </row>
    <row r="3926" spans="1:50">
      <c r="A3926" s="1">
        <f>HYPERLINK("https://lsnyc.legalserver.org/matter/dynamic-profile/view/1885765","18-1885765")</f>
        <v>0</v>
      </c>
      <c r="B3926" t="s">
        <v>87</v>
      </c>
      <c r="C3926" t="s">
        <v>340</v>
      </c>
      <c r="D3926" t="s">
        <v>697</v>
      </c>
      <c r="F3926" t="s">
        <v>2856</v>
      </c>
      <c r="G3926" t="s">
        <v>7117</v>
      </c>
      <c r="H3926" t="s">
        <v>12729</v>
      </c>
      <c r="I3926" t="s">
        <v>18030</v>
      </c>
      <c r="J3926" t="s">
        <v>18892</v>
      </c>
      <c r="K3926">
        <v>10457</v>
      </c>
      <c r="L3926" t="s">
        <v>18958</v>
      </c>
      <c r="M3926" t="s">
        <v>18958</v>
      </c>
      <c r="N3926" t="s">
        <v>21943</v>
      </c>
      <c r="O3926" t="s">
        <v>26523</v>
      </c>
      <c r="P3926" t="s">
        <v>26560</v>
      </c>
      <c r="R3926" t="s">
        <v>26579</v>
      </c>
      <c r="U3926" t="s">
        <v>26604</v>
      </c>
      <c r="V3926" t="s">
        <v>26610</v>
      </c>
      <c r="W3926" t="s">
        <v>697</v>
      </c>
      <c r="X3926">
        <v>1611</v>
      </c>
      <c r="Y3926" t="s">
        <v>26650</v>
      </c>
      <c r="AB3926" t="s">
        <v>29756</v>
      </c>
      <c r="AD3926" t="s">
        <v>40126</v>
      </c>
      <c r="AE3926">
        <v>43</v>
      </c>
      <c r="AF3926" t="s">
        <v>45541</v>
      </c>
      <c r="AG3926" t="s">
        <v>19330</v>
      </c>
      <c r="AH3926">
        <v>3</v>
      </c>
      <c r="AI3926">
        <v>2</v>
      </c>
      <c r="AJ3926">
        <v>5</v>
      </c>
      <c r="AK3926">
        <v>184.45</v>
      </c>
      <c r="AN3926" t="s">
        <v>7439</v>
      </c>
      <c r="AO3926">
        <v>70200</v>
      </c>
      <c r="AU3926">
        <v>16</v>
      </c>
      <c r="AV3926" t="s">
        <v>843</v>
      </c>
      <c r="AW3926" t="s">
        <v>46850</v>
      </c>
    </row>
    <row r="3927" spans="1:50">
      <c r="A3927" s="1">
        <f>HYPERLINK("https://lsnyc.legalserver.org/matter/dynamic-profile/view/1853779","17-1853779")</f>
        <v>0</v>
      </c>
      <c r="B3927" t="s">
        <v>81</v>
      </c>
      <c r="C3927" t="s">
        <v>340</v>
      </c>
      <c r="D3927" t="s">
        <v>554</v>
      </c>
      <c r="F3927" t="s">
        <v>2857</v>
      </c>
      <c r="G3927" t="s">
        <v>4160</v>
      </c>
      <c r="H3927" t="s">
        <v>9736</v>
      </c>
      <c r="I3927" t="s">
        <v>17353</v>
      </c>
      <c r="J3927" t="s">
        <v>18892</v>
      </c>
      <c r="K3927">
        <v>10457</v>
      </c>
      <c r="L3927" t="s">
        <v>18958</v>
      </c>
      <c r="M3927" t="s">
        <v>18958</v>
      </c>
      <c r="N3927" t="s">
        <v>21944</v>
      </c>
      <c r="O3927" t="s">
        <v>26524</v>
      </c>
      <c r="P3927" t="s">
        <v>26560</v>
      </c>
      <c r="R3927" t="s">
        <v>26579</v>
      </c>
      <c r="S3927" t="s">
        <v>18959</v>
      </c>
      <c r="U3927" t="s">
        <v>26604</v>
      </c>
      <c r="V3927" t="s">
        <v>26610</v>
      </c>
      <c r="W3927" t="s">
        <v>859</v>
      </c>
      <c r="X3927">
        <v>852</v>
      </c>
      <c r="Y3927" t="s">
        <v>26650</v>
      </c>
      <c r="Z3927" t="s">
        <v>26662</v>
      </c>
      <c r="AB3927" t="s">
        <v>28138</v>
      </c>
      <c r="AD3927" t="s">
        <v>40127</v>
      </c>
      <c r="AE3927">
        <v>74</v>
      </c>
      <c r="AF3927" t="s">
        <v>45541</v>
      </c>
      <c r="AG3927" t="s">
        <v>19330</v>
      </c>
      <c r="AH3927">
        <v>0</v>
      </c>
      <c r="AI3927">
        <v>2</v>
      </c>
      <c r="AJ3927">
        <v>0</v>
      </c>
      <c r="AK3927">
        <v>153.94</v>
      </c>
      <c r="AN3927" t="s">
        <v>7439</v>
      </c>
      <c r="AO3927">
        <v>25000</v>
      </c>
      <c r="AP3927" t="s">
        <v>45753</v>
      </c>
      <c r="AU3927">
        <v>55.6</v>
      </c>
      <c r="AV3927" t="s">
        <v>843</v>
      </c>
      <c r="AW3927" t="s">
        <v>46848</v>
      </c>
    </row>
    <row r="3928" spans="1:50">
      <c r="A3928" s="1">
        <f>HYPERLINK("https://lsnyc.legalserver.org/matter/dynamic-profile/view/1882204","18-1882204")</f>
        <v>0</v>
      </c>
      <c r="B3928" t="s">
        <v>211</v>
      </c>
      <c r="C3928" t="s">
        <v>340</v>
      </c>
      <c r="D3928" t="s">
        <v>644</v>
      </c>
      <c r="F3928" t="s">
        <v>1494</v>
      </c>
      <c r="G3928" t="s">
        <v>5143</v>
      </c>
      <c r="H3928" t="s">
        <v>10362</v>
      </c>
      <c r="I3928" t="s">
        <v>17331</v>
      </c>
      <c r="J3928" t="s">
        <v>18894</v>
      </c>
      <c r="K3928">
        <v>11233</v>
      </c>
      <c r="L3928" t="s">
        <v>18958</v>
      </c>
      <c r="M3928" t="s">
        <v>18958</v>
      </c>
      <c r="N3928" t="s">
        <v>18997</v>
      </c>
      <c r="O3928" t="s">
        <v>26531</v>
      </c>
      <c r="P3928" t="s">
        <v>26565</v>
      </c>
      <c r="R3928" t="s">
        <v>26578</v>
      </c>
      <c r="S3928" t="s">
        <v>18958</v>
      </c>
      <c r="U3928" t="s">
        <v>26604</v>
      </c>
      <c r="V3928" t="s">
        <v>26610</v>
      </c>
      <c r="W3928" t="s">
        <v>688</v>
      </c>
      <c r="X3928">
        <v>1290</v>
      </c>
      <c r="Y3928" t="s">
        <v>26652</v>
      </c>
      <c r="Z3928" t="s">
        <v>26659</v>
      </c>
      <c r="AB3928" t="s">
        <v>27061</v>
      </c>
      <c r="AC3928" t="s">
        <v>34508</v>
      </c>
      <c r="AD3928" t="s">
        <v>37731</v>
      </c>
      <c r="AE3928">
        <v>6</v>
      </c>
      <c r="AF3928" t="s">
        <v>45541</v>
      </c>
      <c r="AG3928" t="s">
        <v>45557</v>
      </c>
      <c r="AH3928">
        <v>13</v>
      </c>
      <c r="AI3928">
        <v>3</v>
      </c>
      <c r="AJ3928">
        <v>4</v>
      </c>
      <c r="AK3928">
        <v>81.98</v>
      </c>
      <c r="AN3928" t="s">
        <v>7439</v>
      </c>
      <c r="AO3928">
        <v>31200</v>
      </c>
      <c r="AU3928">
        <v>0.2</v>
      </c>
      <c r="AV3928" t="s">
        <v>577</v>
      </c>
      <c r="AW3928" t="s">
        <v>279</v>
      </c>
    </row>
    <row r="3929" spans="1:50">
      <c r="A3929" s="1">
        <f>HYPERLINK("https://lsnyc.legalserver.org/matter/dynamic-profile/view/1883311","18-1883311")</f>
        <v>0</v>
      </c>
      <c r="B3929" t="s">
        <v>69</v>
      </c>
      <c r="C3929" t="s">
        <v>341</v>
      </c>
      <c r="D3929" t="s">
        <v>517</v>
      </c>
      <c r="E3929" t="s">
        <v>786</v>
      </c>
      <c r="F3929" t="s">
        <v>2858</v>
      </c>
      <c r="G3929" t="s">
        <v>7118</v>
      </c>
      <c r="H3929" t="s">
        <v>12730</v>
      </c>
      <c r="I3929" t="s">
        <v>17298</v>
      </c>
      <c r="J3929" t="s">
        <v>18892</v>
      </c>
      <c r="K3929">
        <v>10457</v>
      </c>
      <c r="L3929" t="s">
        <v>18958</v>
      </c>
      <c r="M3929" t="s">
        <v>18958</v>
      </c>
      <c r="N3929" t="s">
        <v>21945</v>
      </c>
      <c r="O3929" t="s">
        <v>26523</v>
      </c>
      <c r="P3929" t="s">
        <v>26560</v>
      </c>
      <c r="Q3929" t="s">
        <v>26568</v>
      </c>
      <c r="R3929" t="s">
        <v>26579</v>
      </c>
      <c r="U3929" t="s">
        <v>26604</v>
      </c>
      <c r="V3929" t="s">
        <v>26612</v>
      </c>
      <c r="W3929" t="s">
        <v>688</v>
      </c>
      <c r="X3929">
        <v>1200</v>
      </c>
      <c r="Y3929" t="s">
        <v>26650</v>
      </c>
      <c r="Z3929" t="s">
        <v>26668</v>
      </c>
      <c r="AA3929" t="s">
        <v>26678</v>
      </c>
      <c r="AB3929" t="s">
        <v>30000</v>
      </c>
      <c r="AD3929" t="s">
        <v>40128</v>
      </c>
      <c r="AE3929">
        <v>0</v>
      </c>
      <c r="AG3929" t="s">
        <v>19330</v>
      </c>
      <c r="AH3929">
        <v>8</v>
      </c>
      <c r="AI3929">
        <v>3</v>
      </c>
      <c r="AJ3929">
        <v>1</v>
      </c>
      <c r="AK3929">
        <v>238.25</v>
      </c>
      <c r="AL3929" t="s">
        <v>688</v>
      </c>
      <c r="AM3929" t="s">
        <v>45575</v>
      </c>
      <c r="AN3929" t="s">
        <v>45581</v>
      </c>
      <c r="AO3929">
        <v>59800</v>
      </c>
      <c r="AS3929" t="s">
        <v>46499</v>
      </c>
      <c r="AT3929" t="s">
        <v>46545</v>
      </c>
      <c r="AU3929">
        <v>3.7</v>
      </c>
      <c r="AV3929" t="s">
        <v>662</v>
      </c>
      <c r="AW3929" t="s">
        <v>334</v>
      </c>
    </row>
    <row r="3930" spans="1:50">
      <c r="A3930" s="1">
        <f>HYPERLINK("https://lsnyc.legalserver.org/matter/dynamic-profile/view/1884280","18-1884280")</f>
        <v>0</v>
      </c>
      <c r="B3930" t="s">
        <v>187</v>
      </c>
      <c r="C3930" t="s">
        <v>341</v>
      </c>
      <c r="D3930" t="s">
        <v>665</v>
      </c>
      <c r="E3930" t="s">
        <v>822</v>
      </c>
      <c r="F3930" t="s">
        <v>2859</v>
      </c>
      <c r="G3930" t="s">
        <v>2925</v>
      </c>
      <c r="H3930" t="s">
        <v>12227</v>
      </c>
      <c r="I3930" t="s">
        <v>17327</v>
      </c>
      <c r="J3930" t="s">
        <v>18892</v>
      </c>
      <c r="K3930">
        <v>10468</v>
      </c>
      <c r="L3930" t="s">
        <v>18958</v>
      </c>
      <c r="M3930" t="s">
        <v>18958</v>
      </c>
      <c r="N3930" t="s">
        <v>21946</v>
      </c>
      <c r="O3930" t="s">
        <v>26523</v>
      </c>
      <c r="P3930" t="s">
        <v>26560</v>
      </c>
      <c r="Q3930" t="s">
        <v>26573</v>
      </c>
      <c r="R3930" t="s">
        <v>26579</v>
      </c>
      <c r="S3930" t="s">
        <v>18959</v>
      </c>
      <c r="U3930" t="s">
        <v>26604</v>
      </c>
      <c r="V3930" t="s">
        <v>26610</v>
      </c>
      <c r="W3930" t="s">
        <v>688</v>
      </c>
      <c r="X3930">
        <v>656.92</v>
      </c>
      <c r="Y3930" t="s">
        <v>26650</v>
      </c>
      <c r="Z3930" t="s">
        <v>26664</v>
      </c>
      <c r="AA3930" t="s">
        <v>26680</v>
      </c>
      <c r="AB3930" t="s">
        <v>27185</v>
      </c>
      <c r="AD3930" t="s">
        <v>40129</v>
      </c>
      <c r="AE3930">
        <v>65</v>
      </c>
      <c r="AF3930" t="s">
        <v>45548</v>
      </c>
      <c r="AG3930" t="s">
        <v>19330</v>
      </c>
      <c r="AH3930">
        <v>13</v>
      </c>
      <c r="AI3930">
        <v>1</v>
      </c>
      <c r="AJ3930">
        <v>0</v>
      </c>
      <c r="AK3930">
        <v>192.75</v>
      </c>
      <c r="AN3930" t="s">
        <v>45581</v>
      </c>
      <c r="AO3930">
        <v>23400</v>
      </c>
      <c r="AQ3930" t="s">
        <v>46362</v>
      </c>
      <c r="AR3930" t="s">
        <v>46379</v>
      </c>
      <c r="AS3930" t="s">
        <v>46499</v>
      </c>
      <c r="AT3930" t="s">
        <v>46668</v>
      </c>
      <c r="AU3930">
        <v>10.05</v>
      </c>
      <c r="AV3930" t="s">
        <v>767</v>
      </c>
      <c r="AW3930" t="s">
        <v>336</v>
      </c>
      <c r="AX3930" t="s">
        <v>46897</v>
      </c>
    </row>
    <row r="3931" spans="1:50">
      <c r="A3931" s="1">
        <f>HYPERLINK("https://lsnyc.legalserver.org/matter/dynamic-profile/view/1885799","18-1885799")</f>
        <v>0</v>
      </c>
      <c r="B3931" t="s">
        <v>58</v>
      </c>
      <c r="C3931" t="s">
        <v>341</v>
      </c>
      <c r="D3931" t="s">
        <v>688</v>
      </c>
      <c r="E3931" t="s">
        <v>826</v>
      </c>
      <c r="F3931" t="s">
        <v>2860</v>
      </c>
      <c r="G3931" t="s">
        <v>5089</v>
      </c>
      <c r="H3931" t="s">
        <v>12731</v>
      </c>
      <c r="I3931">
        <v>1</v>
      </c>
      <c r="J3931" t="s">
        <v>18892</v>
      </c>
      <c r="K3931">
        <v>10452</v>
      </c>
      <c r="L3931" t="s">
        <v>18958</v>
      </c>
      <c r="M3931" t="s">
        <v>18958</v>
      </c>
      <c r="N3931" t="s">
        <v>21947</v>
      </c>
      <c r="O3931" t="s">
        <v>26524</v>
      </c>
      <c r="P3931" t="s">
        <v>26565</v>
      </c>
      <c r="Q3931" t="s">
        <v>26570</v>
      </c>
      <c r="R3931" t="s">
        <v>26577</v>
      </c>
      <c r="U3931" t="s">
        <v>26604</v>
      </c>
      <c r="V3931" t="s">
        <v>26610</v>
      </c>
      <c r="W3931" t="s">
        <v>688</v>
      </c>
      <c r="X3931">
        <v>1400</v>
      </c>
      <c r="Y3931" t="s">
        <v>26650</v>
      </c>
      <c r="Z3931" t="s">
        <v>26664</v>
      </c>
      <c r="AA3931" t="s">
        <v>26683</v>
      </c>
      <c r="AB3931" t="s">
        <v>30001</v>
      </c>
      <c r="AC3931" t="s">
        <v>35662</v>
      </c>
      <c r="AD3931" t="s">
        <v>40130</v>
      </c>
      <c r="AE3931">
        <v>0</v>
      </c>
      <c r="AF3931" t="s">
        <v>20460</v>
      </c>
      <c r="AG3931" t="s">
        <v>19330</v>
      </c>
      <c r="AH3931">
        <v>10</v>
      </c>
      <c r="AI3931">
        <v>1</v>
      </c>
      <c r="AJ3931">
        <v>3</v>
      </c>
      <c r="AK3931">
        <v>47.43</v>
      </c>
      <c r="AN3931" t="s">
        <v>7439</v>
      </c>
      <c r="AO3931">
        <v>11904</v>
      </c>
      <c r="AP3931" t="s">
        <v>45654</v>
      </c>
      <c r="AR3931" t="s">
        <v>46379</v>
      </c>
      <c r="AS3931" t="s">
        <v>46499</v>
      </c>
      <c r="AT3931" t="s">
        <v>46642</v>
      </c>
      <c r="AU3931">
        <v>1.45</v>
      </c>
      <c r="AV3931" t="s">
        <v>826</v>
      </c>
      <c r="AW3931" t="s">
        <v>334</v>
      </c>
    </row>
    <row r="3932" spans="1:50">
      <c r="A3932" s="1">
        <f>HYPERLINK("https://lsnyc.legalserver.org/matter/dynamic-profile/view/1885903","18-1885903")</f>
        <v>0</v>
      </c>
      <c r="B3932" t="s">
        <v>50</v>
      </c>
      <c r="C3932" t="s">
        <v>341</v>
      </c>
      <c r="D3932" t="s">
        <v>688</v>
      </c>
      <c r="E3932" t="s">
        <v>415</v>
      </c>
      <c r="F3932" t="s">
        <v>2827</v>
      </c>
      <c r="G3932" t="s">
        <v>7088</v>
      </c>
      <c r="H3932" t="s">
        <v>12686</v>
      </c>
      <c r="I3932">
        <v>48</v>
      </c>
      <c r="J3932" t="s">
        <v>18892</v>
      </c>
      <c r="K3932">
        <v>10468</v>
      </c>
      <c r="L3932" t="s">
        <v>18958</v>
      </c>
      <c r="M3932" t="s">
        <v>18958</v>
      </c>
      <c r="N3932" t="s">
        <v>21948</v>
      </c>
      <c r="O3932" t="s">
        <v>26526</v>
      </c>
      <c r="P3932" t="s">
        <v>26560</v>
      </c>
      <c r="Q3932" t="s">
        <v>26568</v>
      </c>
      <c r="R3932" t="s">
        <v>26577</v>
      </c>
      <c r="S3932" t="s">
        <v>18959</v>
      </c>
      <c r="U3932" t="s">
        <v>26604</v>
      </c>
      <c r="W3932" t="s">
        <v>688</v>
      </c>
      <c r="X3932">
        <v>1275</v>
      </c>
      <c r="Y3932" t="s">
        <v>26650</v>
      </c>
      <c r="Z3932" t="s">
        <v>26664</v>
      </c>
      <c r="AA3932" t="s">
        <v>26685</v>
      </c>
      <c r="AB3932" t="s">
        <v>29961</v>
      </c>
      <c r="AD3932" t="s">
        <v>40082</v>
      </c>
      <c r="AE3932">
        <v>49</v>
      </c>
      <c r="AF3932" t="s">
        <v>45541</v>
      </c>
      <c r="AG3932" t="s">
        <v>19330</v>
      </c>
      <c r="AH3932">
        <v>2</v>
      </c>
      <c r="AI3932">
        <v>1</v>
      </c>
      <c r="AJ3932">
        <v>1</v>
      </c>
      <c r="AK3932">
        <v>39.49</v>
      </c>
      <c r="AN3932" t="s">
        <v>45581</v>
      </c>
      <c r="AO3932">
        <v>6500</v>
      </c>
      <c r="AR3932" t="s">
        <v>46395</v>
      </c>
      <c r="AS3932" t="s">
        <v>46499</v>
      </c>
      <c r="AT3932" t="s">
        <v>46775</v>
      </c>
      <c r="AU3932">
        <v>4.5</v>
      </c>
      <c r="AV3932" t="s">
        <v>414</v>
      </c>
      <c r="AW3932" t="s">
        <v>46870</v>
      </c>
    </row>
    <row r="3933" spans="1:50">
      <c r="A3933" s="1">
        <f>HYPERLINK("https://lsnyc.legalserver.org/matter/dynamic-profile/view/1885813","18-1885813")</f>
        <v>0</v>
      </c>
      <c r="B3933" t="s">
        <v>270</v>
      </c>
      <c r="C3933" t="s">
        <v>341</v>
      </c>
      <c r="D3933" t="s">
        <v>688</v>
      </c>
      <c r="E3933" t="s">
        <v>763</v>
      </c>
      <c r="F3933" t="s">
        <v>2861</v>
      </c>
      <c r="G3933" t="s">
        <v>5419</v>
      </c>
      <c r="H3933" t="s">
        <v>12732</v>
      </c>
      <c r="I3933" t="s">
        <v>17272</v>
      </c>
      <c r="J3933" t="s">
        <v>18892</v>
      </c>
      <c r="K3933">
        <v>10462</v>
      </c>
      <c r="L3933" t="s">
        <v>18958</v>
      </c>
      <c r="M3933" t="s">
        <v>18958</v>
      </c>
      <c r="N3933" t="s">
        <v>21949</v>
      </c>
      <c r="O3933" t="s">
        <v>26523</v>
      </c>
      <c r="P3933" t="s">
        <v>26560</v>
      </c>
      <c r="Q3933" t="s">
        <v>26568</v>
      </c>
      <c r="R3933" t="s">
        <v>26579</v>
      </c>
      <c r="S3933" t="s">
        <v>18959</v>
      </c>
      <c r="U3933" t="s">
        <v>26604</v>
      </c>
      <c r="V3933" t="s">
        <v>26610</v>
      </c>
      <c r="W3933" t="s">
        <v>688</v>
      </c>
      <c r="X3933">
        <v>1268</v>
      </c>
      <c r="Y3933" t="s">
        <v>26650</v>
      </c>
      <c r="Z3933" t="s">
        <v>26668</v>
      </c>
      <c r="AA3933" t="s">
        <v>26681</v>
      </c>
      <c r="AB3933" t="s">
        <v>30002</v>
      </c>
      <c r="AC3933" t="s">
        <v>35663</v>
      </c>
      <c r="AD3933" t="s">
        <v>40131</v>
      </c>
      <c r="AE3933">
        <v>8</v>
      </c>
      <c r="AF3933" t="s">
        <v>45541</v>
      </c>
      <c r="AG3933" t="s">
        <v>19330</v>
      </c>
      <c r="AH3933">
        <v>2</v>
      </c>
      <c r="AI3933">
        <v>1</v>
      </c>
      <c r="AJ3933">
        <v>1</v>
      </c>
      <c r="AK3933">
        <v>36.45</v>
      </c>
      <c r="AN3933" t="s">
        <v>7439</v>
      </c>
      <c r="AO3933">
        <v>6000</v>
      </c>
      <c r="AR3933" t="s">
        <v>46483</v>
      </c>
      <c r="AS3933" t="s">
        <v>46499</v>
      </c>
      <c r="AT3933" t="s">
        <v>46662</v>
      </c>
      <c r="AU3933">
        <v>12.7</v>
      </c>
      <c r="AV3933" t="s">
        <v>793</v>
      </c>
      <c r="AW3933" t="s">
        <v>46847</v>
      </c>
    </row>
    <row r="3934" spans="1:50">
      <c r="A3934" s="1">
        <f>HYPERLINK("https://lsnyc.legalserver.org/matter/dynamic-profile/view/1885797","18-1885797")</f>
        <v>0</v>
      </c>
      <c r="B3934" t="s">
        <v>270</v>
      </c>
      <c r="C3934" t="s">
        <v>341</v>
      </c>
      <c r="D3934" t="s">
        <v>688</v>
      </c>
      <c r="E3934" t="s">
        <v>763</v>
      </c>
      <c r="F3934" t="s">
        <v>2862</v>
      </c>
      <c r="G3934" t="s">
        <v>7119</v>
      </c>
      <c r="H3934" t="s">
        <v>12733</v>
      </c>
      <c r="I3934" t="s">
        <v>17316</v>
      </c>
      <c r="J3934" t="s">
        <v>18892</v>
      </c>
      <c r="K3934">
        <v>10457</v>
      </c>
      <c r="L3934" t="s">
        <v>18958</v>
      </c>
      <c r="M3934" t="s">
        <v>18958</v>
      </c>
      <c r="N3934" t="s">
        <v>21950</v>
      </c>
      <c r="O3934" t="s">
        <v>26523</v>
      </c>
      <c r="P3934" t="s">
        <v>26560</v>
      </c>
      <c r="Q3934" t="s">
        <v>26568</v>
      </c>
      <c r="R3934" t="s">
        <v>26579</v>
      </c>
      <c r="S3934" t="s">
        <v>18959</v>
      </c>
      <c r="U3934" t="s">
        <v>26604</v>
      </c>
      <c r="V3934" t="s">
        <v>26610</v>
      </c>
      <c r="W3934" t="s">
        <v>688</v>
      </c>
      <c r="X3934">
        <v>1068.98</v>
      </c>
      <c r="Y3934" t="s">
        <v>26650</v>
      </c>
      <c r="Z3934" t="s">
        <v>26668</v>
      </c>
      <c r="AA3934" t="s">
        <v>26681</v>
      </c>
      <c r="AB3934" t="s">
        <v>28075</v>
      </c>
      <c r="AD3934" t="s">
        <v>40132</v>
      </c>
      <c r="AE3934">
        <v>73</v>
      </c>
      <c r="AF3934" t="s">
        <v>45541</v>
      </c>
      <c r="AG3934" t="s">
        <v>19330</v>
      </c>
      <c r="AH3934">
        <v>19</v>
      </c>
      <c r="AI3934">
        <v>1</v>
      </c>
      <c r="AJ3934">
        <v>0</v>
      </c>
      <c r="AK3934">
        <v>141.35</v>
      </c>
      <c r="AN3934" t="s">
        <v>7439</v>
      </c>
      <c r="AO3934">
        <v>17160</v>
      </c>
      <c r="AR3934" t="s">
        <v>26530</v>
      </c>
      <c r="AS3934" t="s">
        <v>46499</v>
      </c>
      <c r="AT3934" t="s">
        <v>46643</v>
      </c>
      <c r="AU3934">
        <v>20.2</v>
      </c>
      <c r="AV3934" t="s">
        <v>762</v>
      </c>
      <c r="AW3934" t="s">
        <v>46847</v>
      </c>
    </row>
    <row r="3935" spans="1:50">
      <c r="A3935" s="1">
        <f>HYPERLINK("https://lsnyc.legalserver.org/matter/dynamic-profile/view/1885844","18-1885844")</f>
        <v>0</v>
      </c>
      <c r="B3935" t="s">
        <v>136</v>
      </c>
      <c r="C3935" t="s">
        <v>340</v>
      </c>
      <c r="D3935" t="s">
        <v>688</v>
      </c>
      <c r="F3935" t="s">
        <v>2800</v>
      </c>
      <c r="G3935" t="s">
        <v>5623</v>
      </c>
      <c r="H3935" t="s">
        <v>12734</v>
      </c>
      <c r="I3935" t="s">
        <v>17366</v>
      </c>
      <c r="J3935" t="s">
        <v>18892</v>
      </c>
      <c r="K3935">
        <v>10457</v>
      </c>
      <c r="L3935" t="s">
        <v>18958</v>
      </c>
      <c r="M3935" t="s">
        <v>18960</v>
      </c>
      <c r="N3935" t="s">
        <v>21951</v>
      </c>
      <c r="O3935" t="s">
        <v>26523</v>
      </c>
      <c r="P3935" t="s">
        <v>26560</v>
      </c>
      <c r="R3935" t="s">
        <v>26579</v>
      </c>
      <c r="S3935" t="s">
        <v>18959</v>
      </c>
      <c r="U3935" t="s">
        <v>26604</v>
      </c>
      <c r="V3935" t="s">
        <v>26610</v>
      </c>
      <c r="W3935" t="s">
        <v>688</v>
      </c>
      <c r="X3935">
        <v>1061.65</v>
      </c>
      <c r="Y3935" t="s">
        <v>26650</v>
      </c>
      <c r="Z3935" t="s">
        <v>26659</v>
      </c>
      <c r="AB3935" t="s">
        <v>30003</v>
      </c>
      <c r="AC3935" t="s">
        <v>35664</v>
      </c>
      <c r="AD3935" t="s">
        <v>40133</v>
      </c>
      <c r="AE3935">
        <v>0</v>
      </c>
      <c r="AF3935" t="s">
        <v>45541</v>
      </c>
      <c r="AG3935" t="s">
        <v>45559</v>
      </c>
      <c r="AH3935">
        <v>20</v>
      </c>
      <c r="AI3935">
        <v>2</v>
      </c>
      <c r="AJ3935">
        <v>0</v>
      </c>
      <c r="AK3935">
        <v>54.24</v>
      </c>
      <c r="AN3935" t="s">
        <v>7439</v>
      </c>
      <c r="AO3935">
        <v>8928</v>
      </c>
      <c r="AU3935">
        <v>5.75</v>
      </c>
      <c r="AV3935" t="s">
        <v>801</v>
      </c>
      <c r="AW3935" t="s">
        <v>136</v>
      </c>
    </row>
    <row r="3936" spans="1:50">
      <c r="A3936" s="1">
        <f>HYPERLINK("https://lsnyc.legalserver.org/matter/dynamic-profile/view/1886699","18-1886699")</f>
        <v>0</v>
      </c>
      <c r="B3936" t="s">
        <v>55</v>
      </c>
      <c r="C3936" t="s">
        <v>340</v>
      </c>
      <c r="D3936" t="s">
        <v>688</v>
      </c>
      <c r="F3936" t="s">
        <v>1196</v>
      </c>
      <c r="G3936" t="s">
        <v>7120</v>
      </c>
      <c r="H3936" t="s">
        <v>12199</v>
      </c>
      <c r="I3936" t="s">
        <v>18031</v>
      </c>
      <c r="J3936" t="s">
        <v>18892</v>
      </c>
      <c r="K3936">
        <v>10460</v>
      </c>
      <c r="L3936" t="s">
        <v>18958</v>
      </c>
      <c r="M3936" t="s">
        <v>18958</v>
      </c>
      <c r="O3936" t="s">
        <v>26526</v>
      </c>
      <c r="P3936" t="s">
        <v>26560</v>
      </c>
      <c r="R3936" t="s">
        <v>26578</v>
      </c>
      <c r="S3936" t="s">
        <v>18958</v>
      </c>
      <c r="U3936" t="s">
        <v>26604</v>
      </c>
      <c r="W3936" t="s">
        <v>688</v>
      </c>
      <c r="X3936">
        <v>1300</v>
      </c>
      <c r="Y3936" t="s">
        <v>26650</v>
      </c>
      <c r="Z3936" t="s">
        <v>26663</v>
      </c>
      <c r="AB3936" t="s">
        <v>30004</v>
      </c>
      <c r="AD3936" t="s">
        <v>40134</v>
      </c>
      <c r="AE3936">
        <v>168</v>
      </c>
      <c r="AF3936" t="s">
        <v>45547</v>
      </c>
      <c r="AG3936" t="s">
        <v>45556</v>
      </c>
      <c r="AH3936">
        <v>19</v>
      </c>
      <c r="AI3936">
        <v>1</v>
      </c>
      <c r="AJ3936">
        <v>0</v>
      </c>
      <c r="AK3936">
        <v>41.19</v>
      </c>
      <c r="AN3936" t="s">
        <v>7439</v>
      </c>
      <c r="AO3936">
        <v>5000</v>
      </c>
      <c r="AU3936">
        <v>0</v>
      </c>
      <c r="AW3936" t="s">
        <v>292</v>
      </c>
    </row>
    <row r="3937" spans="1:50">
      <c r="A3937" s="1">
        <f>HYPERLINK("https://lsnyc.legalserver.org/matter/dynamic-profile/view/1885804","18-1885804")</f>
        <v>0</v>
      </c>
      <c r="B3937" t="s">
        <v>56</v>
      </c>
      <c r="C3937" t="s">
        <v>340</v>
      </c>
      <c r="D3937" t="s">
        <v>688</v>
      </c>
      <c r="F3937" t="s">
        <v>1191</v>
      </c>
      <c r="G3937" t="s">
        <v>4122</v>
      </c>
      <c r="H3937" t="s">
        <v>12735</v>
      </c>
      <c r="I3937" t="s">
        <v>17416</v>
      </c>
      <c r="J3937" t="s">
        <v>18892</v>
      </c>
      <c r="K3937">
        <v>10466</v>
      </c>
      <c r="L3937" t="s">
        <v>18958</v>
      </c>
      <c r="M3937" t="s">
        <v>18958</v>
      </c>
      <c r="N3937" t="s">
        <v>21952</v>
      </c>
      <c r="O3937" t="s">
        <v>26524</v>
      </c>
      <c r="P3937" t="s">
        <v>26560</v>
      </c>
      <c r="R3937" t="s">
        <v>26577</v>
      </c>
      <c r="U3937" t="s">
        <v>26604</v>
      </c>
      <c r="V3937" t="s">
        <v>26610</v>
      </c>
      <c r="W3937" t="s">
        <v>688</v>
      </c>
      <c r="X3937">
        <v>2</v>
      </c>
      <c r="Y3937" t="s">
        <v>26650</v>
      </c>
      <c r="Z3937" t="s">
        <v>26659</v>
      </c>
      <c r="AB3937" t="s">
        <v>30005</v>
      </c>
      <c r="AC3937" t="s">
        <v>35665</v>
      </c>
      <c r="AD3937" t="s">
        <v>40135</v>
      </c>
      <c r="AE3937">
        <v>0</v>
      </c>
      <c r="AF3937" t="s">
        <v>45543</v>
      </c>
      <c r="AG3937" t="s">
        <v>45556</v>
      </c>
      <c r="AH3937">
        <v>2</v>
      </c>
      <c r="AI3937">
        <v>1</v>
      </c>
      <c r="AJ3937">
        <v>2</v>
      </c>
      <c r="AK3937">
        <v>0</v>
      </c>
      <c r="AN3937" t="s">
        <v>7439</v>
      </c>
      <c r="AO3937">
        <v>0</v>
      </c>
      <c r="AU3937">
        <v>10.5</v>
      </c>
      <c r="AV3937" t="s">
        <v>759</v>
      </c>
      <c r="AW3937" t="s">
        <v>334</v>
      </c>
    </row>
    <row r="3938" spans="1:50">
      <c r="A3938" s="1">
        <f>HYPERLINK("https://lsnyc.legalserver.org/matter/dynamic-profile/view/1885901","18-1885901")</f>
        <v>0</v>
      </c>
      <c r="B3938" t="s">
        <v>82</v>
      </c>
      <c r="C3938" t="s">
        <v>340</v>
      </c>
      <c r="D3938" t="s">
        <v>688</v>
      </c>
      <c r="F3938" t="s">
        <v>2863</v>
      </c>
      <c r="G3938" t="s">
        <v>7121</v>
      </c>
      <c r="H3938" t="s">
        <v>12736</v>
      </c>
      <c r="I3938">
        <v>35</v>
      </c>
      <c r="J3938" t="s">
        <v>18892</v>
      </c>
      <c r="K3938">
        <v>10457</v>
      </c>
      <c r="L3938" t="s">
        <v>18958</v>
      </c>
      <c r="M3938" t="s">
        <v>18958</v>
      </c>
      <c r="N3938" t="s">
        <v>21953</v>
      </c>
      <c r="O3938" t="s">
        <v>26523</v>
      </c>
      <c r="P3938" t="s">
        <v>26560</v>
      </c>
      <c r="R3938" t="s">
        <v>26579</v>
      </c>
      <c r="U3938" t="s">
        <v>26604</v>
      </c>
      <c r="V3938" t="s">
        <v>26610</v>
      </c>
      <c r="W3938" t="s">
        <v>688</v>
      </c>
      <c r="X3938">
        <v>1010.58</v>
      </c>
      <c r="Y3938" t="s">
        <v>26650</v>
      </c>
      <c r="Z3938" t="s">
        <v>26664</v>
      </c>
      <c r="AB3938" t="s">
        <v>30006</v>
      </c>
      <c r="AC3938" t="s">
        <v>35666</v>
      </c>
      <c r="AD3938" t="s">
        <v>40136</v>
      </c>
      <c r="AE3938">
        <v>0</v>
      </c>
      <c r="AF3938" t="s">
        <v>45541</v>
      </c>
      <c r="AG3938" t="s">
        <v>19330</v>
      </c>
      <c r="AH3938">
        <v>7</v>
      </c>
      <c r="AI3938">
        <v>1</v>
      </c>
      <c r="AJ3938">
        <v>1</v>
      </c>
      <c r="AK3938">
        <v>123.21</v>
      </c>
      <c r="AN3938" t="s">
        <v>45581</v>
      </c>
      <c r="AO3938">
        <v>20280</v>
      </c>
      <c r="AU3938">
        <v>2.5</v>
      </c>
      <c r="AV3938" t="s">
        <v>737</v>
      </c>
      <c r="AW3938" t="s">
        <v>46836</v>
      </c>
    </row>
    <row r="3939" spans="1:50">
      <c r="A3939" s="1">
        <f>HYPERLINK("https://lsnyc.legalserver.org/matter/dynamic-profile/view/1885876","18-1885876")</f>
        <v>0</v>
      </c>
      <c r="B3939" t="s">
        <v>64</v>
      </c>
      <c r="C3939" t="s">
        <v>340</v>
      </c>
      <c r="D3939" t="s">
        <v>688</v>
      </c>
      <c r="F3939" t="s">
        <v>2319</v>
      </c>
      <c r="G3939" t="s">
        <v>6520</v>
      </c>
      <c r="H3939" t="s">
        <v>11732</v>
      </c>
      <c r="I3939" t="s">
        <v>17301</v>
      </c>
      <c r="J3939" t="s">
        <v>18892</v>
      </c>
      <c r="K3939">
        <v>10453</v>
      </c>
      <c r="L3939" t="s">
        <v>18958</v>
      </c>
      <c r="M3939" t="s">
        <v>18958</v>
      </c>
      <c r="N3939" t="s">
        <v>21954</v>
      </c>
      <c r="O3939" t="s">
        <v>26524</v>
      </c>
      <c r="P3939" t="s">
        <v>26560</v>
      </c>
      <c r="R3939" t="s">
        <v>26578</v>
      </c>
      <c r="S3939" t="s">
        <v>18959</v>
      </c>
      <c r="U3939" t="s">
        <v>26604</v>
      </c>
      <c r="V3939" t="s">
        <v>26610</v>
      </c>
      <c r="W3939" t="s">
        <v>688</v>
      </c>
      <c r="X3939">
        <v>863</v>
      </c>
      <c r="Y3939" t="s">
        <v>26650</v>
      </c>
      <c r="Z3939" t="s">
        <v>26664</v>
      </c>
      <c r="AB3939" t="s">
        <v>28973</v>
      </c>
      <c r="AD3939" t="s">
        <v>39029</v>
      </c>
      <c r="AE3939">
        <v>0</v>
      </c>
      <c r="AF3939" t="s">
        <v>45541</v>
      </c>
      <c r="AG3939" t="s">
        <v>19330</v>
      </c>
      <c r="AH3939">
        <v>38</v>
      </c>
      <c r="AI3939">
        <v>1</v>
      </c>
      <c r="AJ3939">
        <v>0</v>
      </c>
      <c r="AK3939">
        <v>247.12</v>
      </c>
      <c r="AL3939" t="s">
        <v>574</v>
      </c>
      <c r="AM3939" t="s">
        <v>45575</v>
      </c>
      <c r="AN3939" t="s">
        <v>7439</v>
      </c>
      <c r="AO3939">
        <v>30000</v>
      </c>
      <c r="AP3939" t="s">
        <v>45712</v>
      </c>
      <c r="AU3939">
        <v>31.8</v>
      </c>
      <c r="AV3939" t="s">
        <v>720</v>
      </c>
      <c r="AW3939" t="s">
        <v>46870</v>
      </c>
    </row>
    <row r="3940" spans="1:50">
      <c r="A3940" s="1">
        <f>HYPERLINK("https://lsnyc.legalserver.org/matter/dynamic-profile/view/1885819","18-1885819")</f>
        <v>0</v>
      </c>
      <c r="B3940" t="s">
        <v>54</v>
      </c>
      <c r="C3940" t="s">
        <v>340</v>
      </c>
      <c r="D3940" t="s">
        <v>688</v>
      </c>
      <c r="F3940" t="s">
        <v>1426</v>
      </c>
      <c r="G3940" t="s">
        <v>2564</v>
      </c>
      <c r="H3940" t="s">
        <v>12737</v>
      </c>
      <c r="I3940">
        <v>2</v>
      </c>
      <c r="J3940" t="s">
        <v>18895</v>
      </c>
      <c r="K3940">
        <v>10468</v>
      </c>
      <c r="L3940" t="s">
        <v>18958</v>
      </c>
      <c r="M3940" t="s">
        <v>18958</v>
      </c>
      <c r="N3940" t="s">
        <v>21955</v>
      </c>
      <c r="O3940" t="s">
        <v>26523</v>
      </c>
      <c r="P3940" t="s">
        <v>26560</v>
      </c>
      <c r="R3940" t="s">
        <v>26579</v>
      </c>
      <c r="S3940" t="s">
        <v>18959</v>
      </c>
      <c r="U3940" t="s">
        <v>26604</v>
      </c>
      <c r="V3940" t="s">
        <v>26610</v>
      </c>
      <c r="W3940" t="s">
        <v>688</v>
      </c>
      <c r="X3940">
        <v>1700</v>
      </c>
      <c r="Y3940" t="s">
        <v>26650</v>
      </c>
      <c r="Z3940" t="s">
        <v>26668</v>
      </c>
      <c r="AB3940" t="s">
        <v>30007</v>
      </c>
      <c r="AD3940" t="s">
        <v>40137</v>
      </c>
      <c r="AE3940">
        <v>3</v>
      </c>
      <c r="AF3940" t="s">
        <v>20460</v>
      </c>
      <c r="AG3940" t="s">
        <v>19330</v>
      </c>
      <c r="AH3940">
        <v>6</v>
      </c>
      <c r="AI3940">
        <v>2</v>
      </c>
      <c r="AJ3940">
        <v>2</v>
      </c>
      <c r="AK3940">
        <v>95.62</v>
      </c>
      <c r="AN3940" t="s">
        <v>7439</v>
      </c>
      <c r="AO3940">
        <v>24000</v>
      </c>
      <c r="AU3940">
        <v>27.8</v>
      </c>
      <c r="AV3940" t="s">
        <v>839</v>
      </c>
      <c r="AW3940" t="s">
        <v>46832</v>
      </c>
    </row>
    <row r="3941" spans="1:50">
      <c r="A3941" s="1">
        <f>HYPERLINK("https://lsnyc.legalserver.org/matter/dynamic-profile/view/1890304","19-1890304")</f>
        <v>0</v>
      </c>
      <c r="B3941" t="s">
        <v>73</v>
      </c>
      <c r="C3941" t="s">
        <v>341</v>
      </c>
      <c r="D3941" t="s">
        <v>702</v>
      </c>
      <c r="E3941" t="s">
        <v>827</v>
      </c>
      <c r="F3941" t="s">
        <v>887</v>
      </c>
      <c r="G3941" t="s">
        <v>5340</v>
      </c>
      <c r="H3941" t="s">
        <v>9665</v>
      </c>
      <c r="I3941" t="s">
        <v>17331</v>
      </c>
      <c r="J3941" t="s">
        <v>18894</v>
      </c>
      <c r="K3941">
        <v>11237</v>
      </c>
      <c r="L3941" t="s">
        <v>18958</v>
      </c>
      <c r="M3941" t="s">
        <v>18958</v>
      </c>
      <c r="N3941" t="s">
        <v>18997</v>
      </c>
      <c r="O3941" t="s">
        <v>26531</v>
      </c>
      <c r="P3941" t="s">
        <v>26562</v>
      </c>
      <c r="Q3941" t="s">
        <v>26569</v>
      </c>
      <c r="R3941" t="s">
        <v>26578</v>
      </c>
      <c r="S3941" t="s">
        <v>18958</v>
      </c>
      <c r="U3941" t="s">
        <v>26604</v>
      </c>
      <c r="W3941" t="s">
        <v>688</v>
      </c>
      <c r="X3941">
        <v>1150</v>
      </c>
      <c r="Y3941" t="s">
        <v>26652</v>
      </c>
      <c r="Z3941" t="s">
        <v>26667</v>
      </c>
      <c r="AA3941" t="s">
        <v>26682</v>
      </c>
      <c r="AB3941" t="s">
        <v>29054</v>
      </c>
      <c r="AC3941" t="s">
        <v>35305</v>
      </c>
      <c r="AD3941" t="s">
        <v>34738</v>
      </c>
      <c r="AE3941">
        <v>6</v>
      </c>
      <c r="AF3941" t="s">
        <v>45541</v>
      </c>
      <c r="AH3941">
        <v>9</v>
      </c>
      <c r="AI3941">
        <v>3</v>
      </c>
      <c r="AJ3941">
        <v>3</v>
      </c>
      <c r="AK3941">
        <v>67.65000000000001</v>
      </c>
      <c r="AN3941" t="s">
        <v>45581</v>
      </c>
      <c r="AO3941">
        <v>23400</v>
      </c>
      <c r="AU3941">
        <v>0.1</v>
      </c>
      <c r="AV3941" t="s">
        <v>737</v>
      </c>
      <c r="AW3941" t="s">
        <v>279</v>
      </c>
      <c r="AX3941" t="s">
        <v>46897</v>
      </c>
    </row>
    <row r="3942" spans="1:50">
      <c r="A3942" s="1">
        <f>HYPERLINK("https://lsnyc.legalserver.org/matter/dynamic-profile/view/1890309","19-1890309")</f>
        <v>0</v>
      </c>
      <c r="B3942" t="s">
        <v>73</v>
      </c>
      <c r="C3942" t="s">
        <v>341</v>
      </c>
      <c r="D3942" t="s">
        <v>702</v>
      </c>
      <c r="E3942" t="s">
        <v>827</v>
      </c>
      <c r="F3942" t="s">
        <v>938</v>
      </c>
      <c r="G3942" t="s">
        <v>5340</v>
      </c>
      <c r="H3942" t="s">
        <v>9665</v>
      </c>
      <c r="I3942" t="s">
        <v>17333</v>
      </c>
      <c r="J3942" t="s">
        <v>18894</v>
      </c>
      <c r="K3942">
        <v>11237</v>
      </c>
      <c r="L3942" t="s">
        <v>18958</v>
      </c>
      <c r="M3942" t="s">
        <v>18958</v>
      </c>
      <c r="N3942" t="s">
        <v>18997</v>
      </c>
      <c r="O3942" t="s">
        <v>26531</v>
      </c>
      <c r="P3942" t="s">
        <v>26562</v>
      </c>
      <c r="Q3942" t="s">
        <v>26569</v>
      </c>
      <c r="R3942" t="s">
        <v>26578</v>
      </c>
      <c r="S3942" t="s">
        <v>18958</v>
      </c>
      <c r="U3942" t="s">
        <v>26604</v>
      </c>
      <c r="W3942" t="s">
        <v>688</v>
      </c>
      <c r="X3942">
        <v>1080</v>
      </c>
      <c r="Y3942" t="s">
        <v>26652</v>
      </c>
      <c r="Z3942" t="s">
        <v>26667</v>
      </c>
      <c r="AA3942" t="s">
        <v>26682</v>
      </c>
      <c r="AB3942" t="s">
        <v>29055</v>
      </c>
      <c r="AC3942">
        <v>12563767</v>
      </c>
      <c r="AD3942" t="s">
        <v>34738</v>
      </c>
      <c r="AE3942">
        <v>6</v>
      </c>
      <c r="AF3942" t="s">
        <v>45541</v>
      </c>
      <c r="AH3942">
        <v>7</v>
      </c>
      <c r="AI3942">
        <v>2</v>
      </c>
      <c r="AJ3942">
        <v>2</v>
      </c>
      <c r="AK3942">
        <v>83.88</v>
      </c>
      <c r="AN3942" t="s">
        <v>45581</v>
      </c>
      <c r="AO3942">
        <v>21600</v>
      </c>
      <c r="AU3942">
        <v>0.1</v>
      </c>
      <c r="AV3942" t="s">
        <v>737</v>
      </c>
      <c r="AW3942" t="s">
        <v>279</v>
      </c>
      <c r="AX3942" t="s">
        <v>46897</v>
      </c>
    </row>
    <row r="3943" spans="1:50">
      <c r="A3943" s="1">
        <f>HYPERLINK("https://lsnyc.legalserver.org/matter/dynamic-profile/view/1872005","18-1872005")</f>
        <v>0</v>
      </c>
      <c r="B3943" t="s">
        <v>100</v>
      </c>
      <c r="C3943" t="s">
        <v>341</v>
      </c>
      <c r="D3943" t="s">
        <v>434</v>
      </c>
      <c r="E3943" t="s">
        <v>692</v>
      </c>
      <c r="F3943" t="s">
        <v>2864</v>
      </c>
      <c r="G3943" t="s">
        <v>7122</v>
      </c>
      <c r="H3943" t="s">
        <v>12738</v>
      </c>
      <c r="I3943" t="s">
        <v>17600</v>
      </c>
      <c r="J3943" t="s">
        <v>18892</v>
      </c>
      <c r="K3943">
        <v>10452</v>
      </c>
      <c r="L3943" t="s">
        <v>18958</v>
      </c>
      <c r="M3943" t="s">
        <v>18958</v>
      </c>
      <c r="O3943" t="s">
        <v>26542</v>
      </c>
      <c r="P3943" t="s">
        <v>26565</v>
      </c>
      <c r="Q3943" t="s">
        <v>26571</v>
      </c>
      <c r="R3943" t="s">
        <v>26578</v>
      </c>
      <c r="S3943" t="s">
        <v>18959</v>
      </c>
      <c r="U3943" t="s">
        <v>26604</v>
      </c>
      <c r="W3943" t="s">
        <v>670</v>
      </c>
      <c r="X3943">
        <v>0</v>
      </c>
      <c r="Y3943" t="s">
        <v>26650</v>
      </c>
      <c r="Z3943" t="s">
        <v>26663</v>
      </c>
      <c r="AA3943" t="s">
        <v>26682</v>
      </c>
      <c r="AB3943" t="s">
        <v>30008</v>
      </c>
      <c r="AD3943" t="s">
        <v>40138</v>
      </c>
      <c r="AE3943">
        <v>112</v>
      </c>
      <c r="AF3943" t="s">
        <v>45545</v>
      </c>
      <c r="AG3943" t="s">
        <v>19330</v>
      </c>
      <c r="AH3943">
        <v>1</v>
      </c>
      <c r="AI3943">
        <v>3</v>
      </c>
      <c r="AJ3943">
        <v>0</v>
      </c>
      <c r="AK3943">
        <v>30.55</v>
      </c>
      <c r="AN3943" t="s">
        <v>7439</v>
      </c>
      <c r="AO3943">
        <v>6348</v>
      </c>
      <c r="AU3943">
        <v>0.4</v>
      </c>
      <c r="AV3943" t="s">
        <v>670</v>
      </c>
      <c r="AW3943" t="s">
        <v>46847</v>
      </c>
    </row>
    <row r="3944" spans="1:50">
      <c r="A3944" s="1">
        <f>HYPERLINK("https://lsnyc.legalserver.org/matter/dynamic-profile/view/1875370","18-1875370")</f>
        <v>0</v>
      </c>
      <c r="B3944" t="s">
        <v>206</v>
      </c>
      <c r="C3944" t="s">
        <v>341</v>
      </c>
      <c r="D3944" t="s">
        <v>528</v>
      </c>
      <c r="E3944" t="s">
        <v>670</v>
      </c>
      <c r="F3944" t="s">
        <v>1353</v>
      </c>
      <c r="G3944" t="s">
        <v>7123</v>
      </c>
      <c r="H3944" t="s">
        <v>12739</v>
      </c>
      <c r="I3944" t="s">
        <v>17274</v>
      </c>
      <c r="J3944" t="s">
        <v>18894</v>
      </c>
      <c r="K3944">
        <v>11203</v>
      </c>
      <c r="L3944" t="s">
        <v>18958</v>
      </c>
      <c r="M3944" t="s">
        <v>18958</v>
      </c>
      <c r="N3944" t="s">
        <v>21956</v>
      </c>
      <c r="O3944" t="s">
        <v>26523</v>
      </c>
      <c r="P3944" t="s">
        <v>26563</v>
      </c>
      <c r="Q3944" t="s">
        <v>26568</v>
      </c>
      <c r="R3944" t="s">
        <v>26586</v>
      </c>
      <c r="U3944" t="s">
        <v>26604</v>
      </c>
      <c r="W3944" t="s">
        <v>670</v>
      </c>
      <c r="X3944">
        <v>1386</v>
      </c>
      <c r="Y3944" t="s">
        <v>26652</v>
      </c>
      <c r="Z3944" t="s">
        <v>26664</v>
      </c>
      <c r="AA3944" t="s">
        <v>26681</v>
      </c>
      <c r="AB3944" t="s">
        <v>30009</v>
      </c>
      <c r="AC3944" t="s">
        <v>35667</v>
      </c>
      <c r="AD3944" t="s">
        <v>40139</v>
      </c>
      <c r="AE3944">
        <v>24</v>
      </c>
      <c r="AG3944" t="s">
        <v>45556</v>
      </c>
      <c r="AH3944">
        <v>19</v>
      </c>
      <c r="AI3944">
        <v>1</v>
      </c>
      <c r="AJ3944">
        <v>1</v>
      </c>
      <c r="AK3944">
        <v>127.95</v>
      </c>
      <c r="AN3944" t="s">
        <v>7439</v>
      </c>
      <c r="AO3944">
        <v>21060</v>
      </c>
      <c r="AU3944">
        <v>14.75</v>
      </c>
      <c r="AV3944" t="s">
        <v>683</v>
      </c>
      <c r="AW3944" t="s">
        <v>281</v>
      </c>
    </row>
    <row r="3945" spans="1:50">
      <c r="A3945" s="1">
        <f>HYPERLINK("https://lsnyc.legalserver.org/matter/dynamic-profile/view/1881932","18-1881932")</f>
        <v>0</v>
      </c>
      <c r="B3945" t="s">
        <v>238</v>
      </c>
      <c r="C3945" t="s">
        <v>341</v>
      </c>
      <c r="D3945" t="s">
        <v>645</v>
      </c>
      <c r="E3945" t="s">
        <v>670</v>
      </c>
      <c r="F3945" t="s">
        <v>2865</v>
      </c>
      <c r="G3945" t="s">
        <v>5901</v>
      </c>
      <c r="H3945" t="s">
        <v>12740</v>
      </c>
      <c r="I3945" t="s">
        <v>17306</v>
      </c>
      <c r="J3945" t="s">
        <v>18894</v>
      </c>
      <c r="K3945">
        <v>11233</v>
      </c>
      <c r="L3945" t="s">
        <v>18958</v>
      </c>
      <c r="M3945" t="s">
        <v>18958</v>
      </c>
      <c r="N3945" t="s">
        <v>21957</v>
      </c>
      <c r="O3945" t="s">
        <v>26524</v>
      </c>
      <c r="P3945" t="s">
        <v>26565</v>
      </c>
      <c r="Q3945" t="s">
        <v>26571</v>
      </c>
      <c r="R3945" t="s">
        <v>26578</v>
      </c>
      <c r="U3945" t="s">
        <v>26604</v>
      </c>
      <c r="W3945" t="s">
        <v>670</v>
      </c>
      <c r="X3945">
        <v>1515</v>
      </c>
      <c r="Y3945" t="s">
        <v>26652</v>
      </c>
      <c r="Z3945" t="s">
        <v>26664</v>
      </c>
      <c r="AA3945" t="s">
        <v>26681</v>
      </c>
      <c r="AB3945" t="s">
        <v>30010</v>
      </c>
      <c r="AC3945" t="s">
        <v>35668</v>
      </c>
      <c r="AD3945" t="s">
        <v>40140</v>
      </c>
      <c r="AE3945">
        <v>2</v>
      </c>
      <c r="AG3945" t="s">
        <v>45558</v>
      </c>
      <c r="AH3945">
        <v>2</v>
      </c>
      <c r="AI3945">
        <v>1</v>
      </c>
      <c r="AJ3945">
        <v>1</v>
      </c>
      <c r="AK3945">
        <v>28.29</v>
      </c>
      <c r="AN3945" t="s">
        <v>7439</v>
      </c>
      <c r="AO3945">
        <v>4656</v>
      </c>
      <c r="AU3945">
        <v>2.6</v>
      </c>
      <c r="AV3945" t="s">
        <v>670</v>
      </c>
      <c r="AW3945" t="s">
        <v>46862</v>
      </c>
    </row>
    <row r="3946" spans="1:50">
      <c r="A3946" s="1">
        <f>HYPERLINK("https://lsnyc.legalserver.org/matter/dynamic-profile/view/1885361","18-1885361")</f>
        <v>0</v>
      </c>
      <c r="B3946" t="s">
        <v>258</v>
      </c>
      <c r="C3946" t="s">
        <v>341</v>
      </c>
      <c r="D3946" t="s">
        <v>452</v>
      </c>
      <c r="E3946" t="s">
        <v>744</v>
      </c>
      <c r="F3946" t="s">
        <v>2866</v>
      </c>
      <c r="G3946" t="s">
        <v>7124</v>
      </c>
      <c r="H3946" t="s">
        <v>12741</v>
      </c>
      <c r="I3946" t="s">
        <v>18032</v>
      </c>
      <c r="J3946" t="s">
        <v>18935</v>
      </c>
      <c r="K3946">
        <v>11364</v>
      </c>
      <c r="L3946" t="s">
        <v>18958</v>
      </c>
      <c r="M3946" t="s">
        <v>18958</v>
      </c>
      <c r="N3946" t="s">
        <v>21958</v>
      </c>
      <c r="O3946" t="s">
        <v>26523</v>
      </c>
      <c r="P3946" t="s">
        <v>26564</v>
      </c>
      <c r="Q3946" t="s">
        <v>26570</v>
      </c>
      <c r="R3946" t="s">
        <v>26584</v>
      </c>
      <c r="S3946" t="s">
        <v>18959</v>
      </c>
      <c r="U3946" t="s">
        <v>26604</v>
      </c>
      <c r="V3946" t="s">
        <v>26610</v>
      </c>
      <c r="W3946" t="s">
        <v>670</v>
      </c>
      <c r="X3946">
        <v>1850</v>
      </c>
      <c r="Y3946" t="s">
        <v>26653</v>
      </c>
      <c r="Z3946" t="s">
        <v>26664</v>
      </c>
      <c r="AA3946" t="s">
        <v>26683</v>
      </c>
      <c r="AB3946" t="s">
        <v>30011</v>
      </c>
      <c r="AC3946" t="s">
        <v>35669</v>
      </c>
      <c r="AD3946" t="s">
        <v>40141</v>
      </c>
      <c r="AE3946">
        <v>2</v>
      </c>
      <c r="AF3946" t="s">
        <v>20460</v>
      </c>
      <c r="AG3946" t="s">
        <v>19330</v>
      </c>
      <c r="AH3946">
        <v>3</v>
      </c>
      <c r="AI3946">
        <v>2</v>
      </c>
      <c r="AJ3946">
        <v>1</v>
      </c>
      <c r="AK3946">
        <v>0</v>
      </c>
      <c r="AN3946" t="s">
        <v>7439</v>
      </c>
      <c r="AO3946">
        <v>0</v>
      </c>
      <c r="AU3946">
        <v>2.6</v>
      </c>
      <c r="AV3946" t="s">
        <v>714</v>
      </c>
      <c r="AW3946" t="s">
        <v>208</v>
      </c>
    </row>
    <row r="3947" spans="1:50">
      <c r="A3947" s="1">
        <f>HYPERLINK("https://lsnyc.legalserver.org/matter/dynamic-profile/view/1885437","18-1885437")</f>
        <v>0</v>
      </c>
      <c r="B3947" t="s">
        <v>97</v>
      </c>
      <c r="C3947" t="s">
        <v>341</v>
      </c>
      <c r="D3947" t="s">
        <v>689</v>
      </c>
      <c r="E3947" t="s">
        <v>692</v>
      </c>
      <c r="F3947" t="s">
        <v>2867</v>
      </c>
      <c r="G3947" t="s">
        <v>5138</v>
      </c>
      <c r="H3947" t="s">
        <v>12742</v>
      </c>
      <c r="I3947" t="s">
        <v>17309</v>
      </c>
      <c r="J3947" t="s">
        <v>18892</v>
      </c>
      <c r="K3947">
        <v>10474</v>
      </c>
      <c r="L3947" t="s">
        <v>18958</v>
      </c>
      <c r="M3947" t="s">
        <v>18958</v>
      </c>
      <c r="N3947" t="s">
        <v>21959</v>
      </c>
      <c r="O3947" t="s">
        <v>26523</v>
      </c>
      <c r="P3947" t="s">
        <v>26564</v>
      </c>
      <c r="Q3947" t="s">
        <v>26570</v>
      </c>
      <c r="R3947" t="s">
        <v>26577</v>
      </c>
      <c r="U3947" t="s">
        <v>26604</v>
      </c>
      <c r="V3947" t="s">
        <v>26610</v>
      </c>
      <c r="W3947" t="s">
        <v>670</v>
      </c>
      <c r="X3947">
        <v>1800</v>
      </c>
      <c r="Y3947" t="s">
        <v>26650</v>
      </c>
      <c r="Z3947" t="s">
        <v>26664</v>
      </c>
      <c r="AA3947" t="s">
        <v>26683</v>
      </c>
      <c r="AB3947" t="s">
        <v>28748</v>
      </c>
      <c r="AC3947" t="s">
        <v>35670</v>
      </c>
      <c r="AD3947" t="s">
        <v>40142</v>
      </c>
      <c r="AE3947">
        <v>3</v>
      </c>
      <c r="AF3947" t="s">
        <v>45547</v>
      </c>
      <c r="AG3947" t="s">
        <v>45558</v>
      </c>
      <c r="AH3947">
        <v>1</v>
      </c>
      <c r="AI3947">
        <v>1</v>
      </c>
      <c r="AJ3947">
        <v>2</v>
      </c>
      <c r="AK3947">
        <v>160.04</v>
      </c>
      <c r="AN3947" t="s">
        <v>7439</v>
      </c>
      <c r="AO3947">
        <v>33256</v>
      </c>
      <c r="AU3947">
        <v>6.1</v>
      </c>
      <c r="AV3947" t="s">
        <v>414</v>
      </c>
      <c r="AW3947" t="s">
        <v>334</v>
      </c>
    </row>
    <row r="3948" spans="1:50">
      <c r="A3948" s="1">
        <f>HYPERLINK("https://lsnyc.legalserver.org/matter/dynamic-profile/view/1885444","18-1885444")</f>
        <v>0</v>
      </c>
      <c r="B3948" t="s">
        <v>174</v>
      </c>
      <c r="C3948" t="s">
        <v>341</v>
      </c>
      <c r="D3948" t="s">
        <v>689</v>
      </c>
      <c r="E3948" t="s">
        <v>797</v>
      </c>
      <c r="F3948" t="s">
        <v>1157</v>
      </c>
      <c r="G3948" t="s">
        <v>1253</v>
      </c>
      <c r="H3948" t="s">
        <v>12743</v>
      </c>
      <c r="I3948">
        <v>526</v>
      </c>
      <c r="J3948" t="s">
        <v>18894</v>
      </c>
      <c r="K3948">
        <v>11212</v>
      </c>
      <c r="L3948" t="s">
        <v>18958</v>
      </c>
      <c r="M3948" t="s">
        <v>18958</v>
      </c>
      <c r="N3948" t="s">
        <v>18997</v>
      </c>
      <c r="O3948" t="s">
        <v>18997</v>
      </c>
      <c r="P3948" t="s">
        <v>26565</v>
      </c>
      <c r="Q3948" t="s">
        <v>26571</v>
      </c>
      <c r="R3948" t="s">
        <v>26578</v>
      </c>
      <c r="S3948" t="s">
        <v>18959</v>
      </c>
      <c r="U3948" t="s">
        <v>26604</v>
      </c>
      <c r="V3948" t="s">
        <v>26610</v>
      </c>
      <c r="W3948" t="s">
        <v>670</v>
      </c>
      <c r="X3948">
        <v>1273.3</v>
      </c>
      <c r="Y3948" t="s">
        <v>26652</v>
      </c>
      <c r="Z3948" t="s">
        <v>26659</v>
      </c>
      <c r="AA3948" t="s">
        <v>26683</v>
      </c>
      <c r="AB3948" t="s">
        <v>30012</v>
      </c>
      <c r="AC3948">
        <v>21753438</v>
      </c>
      <c r="AD3948" t="s">
        <v>40143</v>
      </c>
      <c r="AE3948">
        <v>20</v>
      </c>
      <c r="AF3948" t="s">
        <v>45541</v>
      </c>
      <c r="AG3948" t="s">
        <v>19330</v>
      </c>
      <c r="AH3948">
        <v>19</v>
      </c>
      <c r="AI3948">
        <v>1</v>
      </c>
      <c r="AJ3948">
        <v>0</v>
      </c>
      <c r="AK3948">
        <v>94.7</v>
      </c>
      <c r="AN3948" t="s">
        <v>7439</v>
      </c>
      <c r="AO3948">
        <v>11496</v>
      </c>
      <c r="AU3948">
        <v>1.5</v>
      </c>
      <c r="AV3948" t="s">
        <v>670</v>
      </c>
      <c r="AW3948" t="s">
        <v>46841</v>
      </c>
      <c r="AX3948" t="s">
        <v>46897</v>
      </c>
    </row>
    <row r="3949" spans="1:50">
      <c r="A3949" s="1">
        <f>HYPERLINK("https://lsnyc.legalserver.org/matter/dynamic-profile/view/1885957","18-1885957")</f>
        <v>0</v>
      </c>
      <c r="B3949" t="s">
        <v>137</v>
      </c>
      <c r="C3949" t="s">
        <v>341</v>
      </c>
      <c r="D3949" t="s">
        <v>670</v>
      </c>
      <c r="E3949" t="s">
        <v>805</v>
      </c>
      <c r="F3949" t="s">
        <v>2722</v>
      </c>
      <c r="G3949" t="s">
        <v>5187</v>
      </c>
      <c r="H3949" t="s">
        <v>10591</v>
      </c>
      <c r="I3949">
        <v>612</v>
      </c>
      <c r="J3949" t="s">
        <v>18892</v>
      </c>
      <c r="K3949">
        <v>10457</v>
      </c>
      <c r="L3949" t="s">
        <v>18958</v>
      </c>
      <c r="M3949" t="s">
        <v>18958</v>
      </c>
      <c r="N3949" t="s">
        <v>21960</v>
      </c>
      <c r="O3949" t="s">
        <v>26526</v>
      </c>
      <c r="P3949" t="s">
        <v>26560</v>
      </c>
      <c r="Q3949" t="s">
        <v>26575</v>
      </c>
      <c r="R3949" t="s">
        <v>26577</v>
      </c>
      <c r="S3949" t="s">
        <v>18959</v>
      </c>
      <c r="U3949" t="s">
        <v>26604</v>
      </c>
      <c r="W3949" t="s">
        <v>670</v>
      </c>
      <c r="X3949">
        <v>770.12</v>
      </c>
      <c r="Y3949" t="s">
        <v>26650</v>
      </c>
      <c r="Z3949" t="s">
        <v>26659</v>
      </c>
      <c r="AA3949" t="s">
        <v>26685</v>
      </c>
      <c r="AB3949" t="s">
        <v>29757</v>
      </c>
      <c r="AC3949" t="s">
        <v>35566</v>
      </c>
      <c r="AD3949" t="s">
        <v>39860</v>
      </c>
      <c r="AE3949">
        <v>119</v>
      </c>
      <c r="AF3949" t="s">
        <v>45541</v>
      </c>
      <c r="AG3949" t="s">
        <v>19330</v>
      </c>
      <c r="AH3949">
        <v>20</v>
      </c>
      <c r="AI3949">
        <v>2</v>
      </c>
      <c r="AJ3949">
        <v>0</v>
      </c>
      <c r="AK3949">
        <v>43.74</v>
      </c>
      <c r="AN3949" t="s">
        <v>45581</v>
      </c>
      <c r="AO3949">
        <v>7200</v>
      </c>
      <c r="AS3949" t="s">
        <v>46499</v>
      </c>
      <c r="AT3949" t="s">
        <v>46596</v>
      </c>
      <c r="AU3949">
        <v>4</v>
      </c>
      <c r="AV3949" t="s">
        <v>697</v>
      </c>
      <c r="AW3949" t="s">
        <v>46847</v>
      </c>
      <c r="AX3949" t="s">
        <v>46897</v>
      </c>
    </row>
    <row r="3950" spans="1:50">
      <c r="A3950" s="1">
        <f>HYPERLINK("https://lsnyc.legalserver.org/matter/dynamic-profile/view/1885978","18-1885978")</f>
        <v>0</v>
      </c>
      <c r="B3950" t="s">
        <v>79</v>
      </c>
      <c r="C3950" t="s">
        <v>341</v>
      </c>
      <c r="D3950" t="s">
        <v>670</v>
      </c>
      <c r="E3950" t="s">
        <v>789</v>
      </c>
      <c r="F3950" t="s">
        <v>1219</v>
      </c>
      <c r="G3950" t="s">
        <v>5100</v>
      </c>
      <c r="H3950" t="s">
        <v>12744</v>
      </c>
      <c r="I3950" t="s">
        <v>17277</v>
      </c>
      <c r="J3950" t="s">
        <v>18893</v>
      </c>
      <c r="K3950">
        <v>10034</v>
      </c>
      <c r="L3950" t="s">
        <v>18958</v>
      </c>
      <c r="M3950" t="s">
        <v>18958</v>
      </c>
      <c r="N3950" t="s">
        <v>21961</v>
      </c>
      <c r="O3950" t="s">
        <v>26524</v>
      </c>
      <c r="P3950" t="s">
        <v>26564</v>
      </c>
      <c r="Q3950" t="s">
        <v>26570</v>
      </c>
      <c r="R3950" t="s">
        <v>26578</v>
      </c>
      <c r="S3950" t="s">
        <v>18959</v>
      </c>
      <c r="U3950" t="s">
        <v>26604</v>
      </c>
      <c r="W3950" t="s">
        <v>670</v>
      </c>
      <c r="X3950">
        <v>1200</v>
      </c>
      <c r="Y3950" t="s">
        <v>26651</v>
      </c>
      <c r="Z3950" t="s">
        <v>26530</v>
      </c>
      <c r="AA3950" t="s">
        <v>26683</v>
      </c>
      <c r="AB3950" t="s">
        <v>30013</v>
      </c>
      <c r="AD3950" t="s">
        <v>40144</v>
      </c>
      <c r="AE3950">
        <v>15</v>
      </c>
      <c r="AF3950" t="s">
        <v>45548</v>
      </c>
      <c r="AG3950" t="s">
        <v>45556</v>
      </c>
      <c r="AH3950">
        <v>8</v>
      </c>
      <c r="AI3950">
        <v>1</v>
      </c>
      <c r="AJ3950">
        <v>0</v>
      </c>
      <c r="AK3950">
        <v>76.11</v>
      </c>
      <c r="AN3950" t="s">
        <v>45581</v>
      </c>
      <c r="AO3950">
        <v>9240</v>
      </c>
      <c r="AU3950">
        <v>2.55</v>
      </c>
      <c r="AV3950" t="s">
        <v>657</v>
      </c>
      <c r="AW3950" t="s">
        <v>46829</v>
      </c>
    </row>
    <row r="3951" spans="1:50">
      <c r="A3951" s="1">
        <f>HYPERLINK("https://lsnyc.legalserver.org/matter/dynamic-profile/view/1885930","18-1885930")</f>
        <v>0</v>
      </c>
      <c r="B3951" t="s">
        <v>93</v>
      </c>
      <c r="C3951" t="s">
        <v>341</v>
      </c>
      <c r="D3951" t="s">
        <v>670</v>
      </c>
      <c r="E3951" t="s">
        <v>693</v>
      </c>
      <c r="F3951" t="s">
        <v>1494</v>
      </c>
      <c r="G3951" t="s">
        <v>7125</v>
      </c>
      <c r="H3951" t="s">
        <v>12745</v>
      </c>
      <c r="I3951" t="s">
        <v>17375</v>
      </c>
      <c r="J3951" t="s">
        <v>18926</v>
      </c>
      <c r="K3951">
        <v>11378</v>
      </c>
      <c r="L3951" t="s">
        <v>18958</v>
      </c>
      <c r="M3951" t="s">
        <v>18958</v>
      </c>
      <c r="N3951" t="s">
        <v>21962</v>
      </c>
      <c r="O3951" t="s">
        <v>26524</v>
      </c>
      <c r="P3951" t="s">
        <v>26564</v>
      </c>
      <c r="Q3951" t="s">
        <v>26570</v>
      </c>
      <c r="R3951" t="s">
        <v>26584</v>
      </c>
      <c r="S3951" t="s">
        <v>18959</v>
      </c>
      <c r="U3951" t="s">
        <v>26604</v>
      </c>
      <c r="V3951" t="s">
        <v>26610</v>
      </c>
      <c r="W3951" t="s">
        <v>670</v>
      </c>
      <c r="X3951">
        <v>0</v>
      </c>
      <c r="Y3951" t="s">
        <v>26653</v>
      </c>
      <c r="Z3951" t="s">
        <v>26664</v>
      </c>
      <c r="AA3951" t="s">
        <v>26683</v>
      </c>
      <c r="AB3951" t="s">
        <v>30014</v>
      </c>
      <c r="AC3951" t="s">
        <v>35671</v>
      </c>
      <c r="AD3951" t="s">
        <v>40145</v>
      </c>
      <c r="AE3951">
        <v>2</v>
      </c>
      <c r="AF3951" t="s">
        <v>45547</v>
      </c>
      <c r="AG3951" t="s">
        <v>19330</v>
      </c>
      <c r="AH3951">
        <v>35</v>
      </c>
      <c r="AI3951">
        <v>2</v>
      </c>
      <c r="AJ3951">
        <v>0</v>
      </c>
      <c r="AK3951">
        <v>25.81</v>
      </c>
      <c r="AN3951" t="s">
        <v>7439</v>
      </c>
      <c r="AO3951">
        <v>4248</v>
      </c>
      <c r="AU3951">
        <v>2.85</v>
      </c>
      <c r="AV3951" t="s">
        <v>789</v>
      </c>
      <c r="AW3951" t="s">
        <v>208</v>
      </c>
    </row>
    <row r="3952" spans="1:50">
      <c r="A3952" s="1">
        <f>HYPERLINK("https://lsnyc.legalserver.org/matter/dynamic-profile/view/1886000","18-1886000")</f>
        <v>0</v>
      </c>
      <c r="B3952" t="s">
        <v>93</v>
      </c>
      <c r="C3952" t="s">
        <v>341</v>
      </c>
      <c r="D3952" t="s">
        <v>670</v>
      </c>
      <c r="E3952" t="s">
        <v>802</v>
      </c>
      <c r="F3952" t="s">
        <v>2868</v>
      </c>
      <c r="G3952" t="s">
        <v>4309</v>
      </c>
      <c r="H3952" t="s">
        <v>12746</v>
      </c>
      <c r="I3952" t="s">
        <v>18033</v>
      </c>
      <c r="J3952" t="s">
        <v>18909</v>
      </c>
      <c r="K3952">
        <v>11101</v>
      </c>
      <c r="L3952" t="s">
        <v>18958</v>
      </c>
      <c r="M3952" t="s">
        <v>18958</v>
      </c>
      <c r="N3952" t="s">
        <v>21963</v>
      </c>
      <c r="O3952" t="s">
        <v>26523</v>
      </c>
      <c r="P3952" t="s">
        <v>26560</v>
      </c>
      <c r="Q3952" t="s">
        <v>26568</v>
      </c>
      <c r="R3952" t="s">
        <v>26584</v>
      </c>
      <c r="S3952" t="s">
        <v>18959</v>
      </c>
      <c r="U3952" t="s">
        <v>26604</v>
      </c>
      <c r="V3952" t="s">
        <v>26610</v>
      </c>
      <c r="W3952" t="s">
        <v>670</v>
      </c>
      <c r="X3952">
        <v>221</v>
      </c>
      <c r="Y3952" t="s">
        <v>26653</v>
      </c>
      <c r="Z3952" t="s">
        <v>26664</v>
      </c>
      <c r="AA3952" t="s">
        <v>26678</v>
      </c>
      <c r="AB3952" t="s">
        <v>30015</v>
      </c>
      <c r="AC3952" t="s">
        <v>35672</v>
      </c>
      <c r="AD3952" t="s">
        <v>40146</v>
      </c>
      <c r="AE3952">
        <v>63</v>
      </c>
      <c r="AF3952" t="s">
        <v>45549</v>
      </c>
      <c r="AG3952" t="s">
        <v>19330</v>
      </c>
      <c r="AH3952">
        <v>1</v>
      </c>
      <c r="AI3952">
        <v>1</v>
      </c>
      <c r="AJ3952">
        <v>0</v>
      </c>
      <c r="AK3952">
        <v>77.09999999999999</v>
      </c>
      <c r="AN3952" t="s">
        <v>7439</v>
      </c>
      <c r="AO3952">
        <v>9360</v>
      </c>
      <c r="AR3952" t="s">
        <v>46379</v>
      </c>
      <c r="AS3952" t="s">
        <v>46499</v>
      </c>
      <c r="AT3952" t="s">
        <v>46545</v>
      </c>
      <c r="AU3952">
        <v>17.85</v>
      </c>
      <c r="AV3952" t="s">
        <v>786</v>
      </c>
      <c r="AW3952" t="s">
        <v>161</v>
      </c>
    </row>
    <row r="3953" spans="1:50">
      <c r="A3953" s="1">
        <f>HYPERLINK("https://lsnyc.legalserver.org/matter/dynamic-profile/view/1885988","18-1885988")</f>
        <v>0</v>
      </c>
      <c r="B3953" t="s">
        <v>122</v>
      </c>
      <c r="C3953" t="s">
        <v>341</v>
      </c>
      <c r="D3953" t="s">
        <v>670</v>
      </c>
      <c r="E3953" t="s">
        <v>705</v>
      </c>
      <c r="F3953" t="s">
        <v>2869</v>
      </c>
      <c r="G3953" t="s">
        <v>5079</v>
      </c>
      <c r="H3953" t="s">
        <v>12747</v>
      </c>
      <c r="I3953" t="s">
        <v>17491</v>
      </c>
      <c r="J3953" t="s">
        <v>18934</v>
      </c>
      <c r="K3953">
        <v>11413</v>
      </c>
      <c r="L3953" t="s">
        <v>18958</v>
      </c>
      <c r="M3953" t="s">
        <v>18958</v>
      </c>
      <c r="N3953" t="s">
        <v>21964</v>
      </c>
      <c r="O3953" t="s">
        <v>26524</v>
      </c>
      <c r="P3953" t="s">
        <v>26564</v>
      </c>
      <c r="Q3953" t="s">
        <v>26570</v>
      </c>
      <c r="R3953" t="s">
        <v>26584</v>
      </c>
      <c r="S3953" t="s">
        <v>18959</v>
      </c>
      <c r="U3953" t="s">
        <v>26604</v>
      </c>
      <c r="W3953" t="s">
        <v>670</v>
      </c>
      <c r="X3953">
        <v>1550</v>
      </c>
      <c r="Y3953" t="s">
        <v>26653</v>
      </c>
      <c r="Z3953" t="s">
        <v>26664</v>
      </c>
      <c r="AA3953" t="s">
        <v>26683</v>
      </c>
      <c r="AB3953" t="s">
        <v>30016</v>
      </c>
      <c r="AD3953" t="s">
        <v>40147</v>
      </c>
      <c r="AE3953">
        <v>2</v>
      </c>
      <c r="AF3953" t="s">
        <v>45547</v>
      </c>
      <c r="AG3953" t="s">
        <v>19330</v>
      </c>
      <c r="AH3953">
        <v>2</v>
      </c>
      <c r="AI3953">
        <v>2</v>
      </c>
      <c r="AJ3953">
        <v>3</v>
      </c>
      <c r="AK3953">
        <v>20.87</v>
      </c>
      <c r="AN3953" t="s">
        <v>7439</v>
      </c>
      <c r="AO3953">
        <v>6140</v>
      </c>
      <c r="AU3953">
        <v>1.75</v>
      </c>
      <c r="AV3953" t="s">
        <v>703</v>
      </c>
      <c r="AW3953" t="s">
        <v>122</v>
      </c>
    </row>
    <row r="3954" spans="1:50">
      <c r="A3954" s="1">
        <f>HYPERLINK("https://lsnyc.legalserver.org/matter/dynamic-profile/view/1886042","18-1886042")</f>
        <v>0</v>
      </c>
      <c r="B3954" t="s">
        <v>111</v>
      </c>
      <c r="C3954" t="s">
        <v>341</v>
      </c>
      <c r="D3954" t="s">
        <v>670</v>
      </c>
      <c r="E3954" t="s">
        <v>494</v>
      </c>
      <c r="F3954" t="s">
        <v>1139</v>
      </c>
      <c r="G3954" t="s">
        <v>5706</v>
      </c>
      <c r="H3954" t="s">
        <v>12748</v>
      </c>
      <c r="I3954" t="s">
        <v>17307</v>
      </c>
      <c r="J3954" t="s">
        <v>18915</v>
      </c>
      <c r="K3954">
        <v>11372</v>
      </c>
      <c r="L3954" t="s">
        <v>18958</v>
      </c>
      <c r="M3954" t="s">
        <v>18958</v>
      </c>
      <c r="N3954" t="s">
        <v>21965</v>
      </c>
      <c r="O3954" t="s">
        <v>26523</v>
      </c>
      <c r="P3954" t="s">
        <v>26564</v>
      </c>
      <c r="Q3954" t="s">
        <v>26570</v>
      </c>
      <c r="R3954" t="s">
        <v>26584</v>
      </c>
      <c r="S3954" t="s">
        <v>18959</v>
      </c>
      <c r="U3954" t="s">
        <v>26604</v>
      </c>
      <c r="V3954" t="s">
        <v>26609</v>
      </c>
      <c r="W3954" t="s">
        <v>670</v>
      </c>
      <c r="X3954">
        <v>1700</v>
      </c>
      <c r="Y3954" t="s">
        <v>26653</v>
      </c>
      <c r="Z3954" t="s">
        <v>26664</v>
      </c>
      <c r="AA3954" t="s">
        <v>26683</v>
      </c>
      <c r="AB3954" t="s">
        <v>30017</v>
      </c>
      <c r="AC3954" t="s">
        <v>35673</v>
      </c>
      <c r="AE3954">
        <v>16</v>
      </c>
      <c r="AF3954" t="s">
        <v>45541</v>
      </c>
      <c r="AG3954" t="s">
        <v>19330</v>
      </c>
      <c r="AH3954">
        <v>4</v>
      </c>
      <c r="AI3954">
        <v>1</v>
      </c>
      <c r="AJ3954">
        <v>2</v>
      </c>
      <c r="AK3954">
        <v>7.51</v>
      </c>
      <c r="AN3954" t="s">
        <v>45581</v>
      </c>
      <c r="AO3954">
        <v>1560</v>
      </c>
      <c r="AU3954">
        <v>1</v>
      </c>
      <c r="AV3954" t="s">
        <v>670</v>
      </c>
      <c r="AW3954" t="s">
        <v>161</v>
      </c>
    </row>
    <row r="3955" spans="1:50">
      <c r="A3955" s="1">
        <f>HYPERLINK("https://lsnyc.legalserver.org/matter/dynamic-profile/view/1885991","18-1885991")</f>
        <v>0</v>
      </c>
      <c r="B3955" t="s">
        <v>111</v>
      </c>
      <c r="C3955" t="s">
        <v>341</v>
      </c>
      <c r="D3955" t="s">
        <v>670</v>
      </c>
      <c r="E3955" t="s">
        <v>458</v>
      </c>
      <c r="F3955" t="s">
        <v>2207</v>
      </c>
      <c r="G3955" t="s">
        <v>7126</v>
      </c>
      <c r="H3955" t="s">
        <v>12749</v>
      </c>
      <c r="I3955">
        <v>12</v>
      </c>
      <c r="J3955" t="s">
        <v>18913</v>
      </c>
      <c r="K3955">
        <v>11102</v>
      </c>
      <c r="L3955" t="s">
        <v>18958</v>
      </c>
      <c r="M3955" t="s">
        <v>18958</v>
      </c>
      <c r="N3955" t="s">
        <v>21966</v>
      </c>
      <c r="O3955" t="s">
        <v>26523</v>
      </c>
      <c r="P3955" t="s">
        <v>26564</v>
      </c>
      <c r="Q3955" t="s">
        <v>26570</v>
      </c>
      <c r="R3955" t="s">
        <v>26584</v>
      </c>
      <c r="S3955" t="s">
        <v>18959</v>
      </c>
      <c r="U3955" t="s">
        <v>26604</v>
      </c>
      <c r="V3955" t="s">
        <v>26612</v>
      </c>
      <c r="W3955" t="s">
        <v>670</v>
      </c>
      <c r="X3955">
        <v>1785</v>
      </c>
      <c r="Y3955" t="s">
        <v>26653</v>
      </c>
      <c r="Z3955" t="s">
        <v>26664</v>
      </c>
      <c r="AA3955" t="s">
        <v>26683</v>
      </c>
      <c r="AB3955" t="s">
        <v>30018</v>
      </c>
      <c r="AC3955" t="s">
        <v>35674</v>
      </c>
      <c r="AD3955" t="s">
        <v>40148</v>
      </c>
      <c r="AE3955">
        <v>12</v>
      </c>
      <c r="AF3955" t="s">
        <v>45541</v>
      </c>
      <c r="AG3955" t="s">
        <v>19330</v>
      </c>
      <c r="AH3955">
        <v>1</v>
      </c>
      <c r="AI3955">
        <v>1</v>
      </c>
      <c r="AJ3955">
        <v>0</v>
      </c>
      <c r="AK3955">
        <v>12.85</v>
      </c>
      <c r="AN3955" t="s">
        <v>7439</v>
      </c>
      <c r="AO3955">
        <v>1560</v>
      </c>
      <c r="AU3955">
        <v>1.5</v>
      </c>
      <c r="AV3955" t="s">
        <v>703</v>
      </c>
      <c r="AW3955" t="s">
        <v>122</v>
      </c>
    </row>
    <row r="3956" spans="1:50">
      <c r="A3956" s="1">
        <f>HYPERLINK("https://lsnyc.legalserver.org/matter/dynamic-profile/view/1886008","18-1886008")</f>
        <v>0</v>
      </c>
      <c r="B3956" t="s">
        <v>87</v>
      </c>
      <c r="C3956" t="s">
        <v>341</v>
      </c>
      <c r="D3956" t="s">
        <v>670</v>
      </c>
      <c r="E3956" t="s">
        <v>719</v>
      </c>
      <c r="F3956" t="s">
        <v>2825</v>
      </c>
      <c r="G3956" t="s">
        <v>6715</v>
      </c>
      <c r="H3956" t="s">
        <v>12750</v>
      </c>
      <c r="I3956" t="s">
        <v>18034</v>
      </c>
      <c r="J3956" t="s">
        <v>18892</v>
      </c>
      <c r="K3956">
        <v>10452</v>
      </c>
      <c r="L3956" t="s">
        <v>18958</v>
      </c>
      <c r="M3956" t="s">
        <v>18958</v>
      </c>
      <c r="N3956" t="s">
        <v>21967</v>
      </c>
      <c r="O3956" t="s">
        <v>26523</v>
      </c>
      <c r="P3956" t="s">
        <v>26564</v>
      </c>
      <c r="Q3956" t="s">
        <v>26570</v>
      </c>
      <c r="R3956" t="s">
        <v>26578</v>
      </c>
      <c r="S3956" t="s">
        <v>18959</v>
      </c>
      <c r="U3956" t="s">
        <v>26604</v>
      </c>
      <c r="W3956" t="s">
        <v>670</v>
      </c>
      <c r="X3956">
        <v>1599</v>
      </c>
      <c r="Y3956" t="s">
        <v>26650</v>
      </c>
      <c r="AA3956" t="s">
        <v>26678</v>
      </c>
      <c r="AB3956" t="s">
        <v>30019</v>
      </c>
      <c r="AC3956" t="s">
        <v>35675</v>
      </c>
      <c r="AD3956" t="s">
        <v>40149</v>
      </c>
      <c r="AE3956">
        <v>1</v>
      </c>
      <c r="AF3956" t="s">
        <v>45541</v>
      </c>
      <c r="AG3956" t="s">
        <v>45557</v>
      </c>
      <c r="AH3956">
        <v>1</v>
      </c>
      <c r="AI3956">
        <v>1</v>
      </c>
      <c r="AJ3956">
        <v>0</v>
      </c>
      <c r="AK3956">
        <v>299.9</v>
      </c>
      <c r="AN3956" t="s">
        <v>7439</v>
      </c>
      <c r="AO3956">
        <v>36408</v>
      </c>
      <c r="AP3956" t="s">
        <v>45805</v>
      </c>
      <c r="AU3956">
        <v>2.75</v>
      </c>
      <c r="AV3956" t="s">
        <v>668</v>
      </c>
      <c r="AW3956" t="s">
        <v>46850</v>
      </c>
    </row>
    <row r="3957" spans="1:50">
      <c r="A3957" s="1">
        <f>HYPERLINK("https://lsnyc.legalserver.org/matter/dynamic-profile/view/1885984","18-1885984")</f>
        <v>0</v>
      </c>
      <c r="B3957" t="s">
        <v>235</v>
      </c>
      <c r="C3957" t="s">
        <v>341</v>
      </c>
      <c r="D3957" t="s">
        <v>670</v>
      </c>
      <c r="E3957" t="s">
        <v>804</v>
      </c>
      <c r="F3957" t="s">
        <v>1048</v>
      </c>
      <c r="G3957" t="s">
        <v>7127</v>
      </c>
      <c r="H3957" t="s">
        <v>12751</v>
      </c>
      <c r="I3957" t="s">
        <v>17661</v>
      </c>
      <c r="J3957" t="s">
        <v>18906</v>
      </c>
      <c r="K3957">
        <v>11373</v>
      </c>
      <c r="L3957" t="s">
        <v>18958</v>
      </c>
      <c r="M3957" t="s">
        <v>18958</v>
      </c>
      <c r="N3957" t="s">
        <v>21968</v>
      </c>
      <c r="O3957" t="s">
        <v>26523</v>
      </c>
      <c r="P3957" t="s">
        <v>26560</v>
      </c>
      <c r="Q3957" t="s">
        <v>26568</v>
      </c>
      <c r="R3957" t="s">
        <v>26585</v>
      </c>
      <c r="S3957" t="s">
        <v>18959</v>
      </c>
      <c r="U3957" t="s">
        <v>26604</v>
      </c>
      <c r="V3957" t="s">
        <v>26610</v>
      </c>
      <c r="W3957" t="s">
        <v>670</v>
      </c>
      <c r="X3957">
        <v>1468</v>
      </c>
      <c r="Y3957" t="s">
        <v>26653</v>
      </c>
      <c r="Z3957" t="s">
        <v>26664</v>
      </c>
      <c r="AA3957" t="s">
        <v>26679</v>
      </c>
      <c r="AB3957" t="s">
        <v>30020</v>
      </c>
      <c r="AD3957" t="s">
        <v>40150</v>
      </c>
      <c r="AE3957">
        <v>42</v>
      </c>
      <c r="AF3957" t="s">
        <v>45541</v>
      </c>
      <c r="AG3957" t="s">
        <v>19330</v>
      </c>
      <c r="AH3957">
        <v>2</v>
      </c>
      <c r="AI3957">
        <v>1</v>
      </c>
      <c r="AJ3957">
        <v>1</v>
      </c>
      <c r="AK3957">
        <v>0</v>
      </c>
      <c r="AN3957" t="s">
        <v>7439</v>
      </c>
      <c r="AO3957">
        <v>0</v>
      </c>
      <c r="AQ3957" t="s">
        <v>46362</v>
      </c>
      <c r="AR3957" t="s">
        <v>26530</v>
      </c>
      <c r="AS3957" t="s">
        <v>46500</v>
      </c>
      <c r="AT3957" t="s">
        <v>46687</v>
      </c>
      <c r="AU3957">
        <v>6.45</v>
      </c>
      <c r="AV3957" t="s">
        <v>819</v>
      </c>
      <c r="AW3957" t="s">
        <v>122</v>
      </c>
      <c r="AX3957" t="s">
        <v>46897</v>
      </c>
    </row>
    <row r="3958" spans="1:50">
      <c r="A3958" s="1">
        <f>HYPERLINK("https://lsnyc.legalserver.org/matter/dynamic-profile/view/1885900","18-1885900")</f>
        <v>0</v>
      </c>
      <c r="B3958" t="s">
        <v>136</v>
      </c>
      <c r="C3958" t="s">
        <v>340</v>
      </c>
      <c r="D3958" t="s">
        <v>670</v>
      </c>
      <c r="F3958" t="s">
        <v>871</v>
      </c>
      <c r="G3958" t="s">
        <v>1725</v>
      </c>
      <c r="H3958" t="s">
        <v>12752</v>
      </c>
      <c r="I3958" t="s">
        <v>17277</v>
      </c>
      <c r="J3958" t="s">
        <v>18892</v>
      </c>
      <c r="K3958">
        <v>10460</v>
      </c>
      <c r="L3958" t="s">
        <v>18958</v>
      </c>
      <c r="M3958" t="s">
        <v>18958</v>
      </c>
      <c r="N3958" t="s">
        <v>21969</v>
      </c>
      <c r="O3958" t="s">
        <v>26523</v>
      </c>
      <c r="P3958" t="s">
        <v>26560</v>
      </c>
      <c r="R3958" t="s">
        <v>26577</v>
      </c>
      <c r="S3958" t="s">
        <v>18959</v>
      </c>
      <c r="U3958" t="s">
        <v>26604</v>
      </c>
      <c r="V3958" t="s">
        <v>26610</v>
      </c>
      <c r="W3958" t="s">
        <v>670</v>
      </c>
      <c r="X3958">
        <v>1210.49</v>
      </c>
      <c r="Y3958" t="s">
        <v>26650</v>
      </c>
      <c r="Z3958" t="s">
        <v>26664</v>
      </c>
      <c r="AB3958" t="s">
        <v>30021</v>
      </c>
      <c r="AC3958" t="s">
        <v>35676</v>
      </c>
      <c r="AD3958" t="s">
        <v>40151</v>
      </c>
      <c r="AE3958">
        <v>19</v>
      </c>
      <c r="AF3958" t="s">
        <v>45541</v>
      </c>
      <c r="AG3958" t="s">
        <v>45559</v>
      </c>
      <c r="AH3958">
        <v>60</v>
      </c>
      <c r="AI3958">
        <v>2</v>
      </c>
      <c r="AJ3958">
        <v>0</v>
      </c>
      <c r="AK3958">
        <v>109.36</v>
      </c>
      <c r="AN3958" t="s">
        <v>45581</v>
      </c>
      <c r="AO3958">
        <v>18000</v>
      </c>
      <c r="AU3958">
        <v>11</v>
      </c>
      <c r="AV3958" t="s">
        <v>767</v>
      </c>
      <c r="AW3958" t="s">
        <v>334</v>
      </c>
    </row>
    <row r="3959" spans="1:50">
      <c r="A3959" s="1">
        <f>HYPERLINK("https://lsnyc.legalserver.org/matter/dynamic-profile/view/1885921","18-1885921")</f>
        <v>0</v>
      </c>
      <c r="B3959" t="s">
        <v>70</v>
      </c>
      <c r="C3959" t="s">
        <v>340</v>
      </c>
      <c r="D3959" t="s">
        <v>670</v>
      </c>
      <c r="F3959" t="s">
        <v>2870</v>
      </c>
      <c r="G3959" t="s">
        <v>4588</v>
      </c>
      <c r="H3959" t="s">
        <v>12753</v>
      </c>
      <c r="I3959" t="s">
        <v>17407</v>
      </c>
      <c r="J3959" t="s">
        <v>18892</v>
      </c>
      <c r="K3959">
        <v>10467</v>
      </c>
      <c r="L3959" t="s">
        <v>18958</v>
      </c>
      <c r="M3959" t="s">
        <v>18958</v>
      </c>
      <c r="N3959" t="s">
        <v>21970</v>
      </c>
      <c r="O3959" t="s">
        <v>26523</v>
      </c>
      <c r="P3959" t="s">
        <v>26560</v>
      </c>
      <c r="R3959" t="s">
        <v>26579</v>
      </c>
      <c r="S3959" t="s">
        <v>18959</v>
      </c>
      <c r="U3959" t="s">
        <v>26604</v>
      </c>
      <c r="V3959" t="s">
        <v>26610</v>
      </c>
      <c r="W3959" t="s">
        <v>670</v>
      </c>
      <c r="X3959">
        <v>1240</v>
      </c>
      <c r="Y3959" t="s">
        <v>26650</v>
      </c>
      <c r="Z3959" t="s">
        <v>26664</v>
      </c>
      <c r="AB3959" t="s">
        <v>30022</v>
      </c>
      <c r="AC3959" t="s">
        <v>35677</v>
      </c>
      <c r="AD3959" t="s">
        <v>40152</v>
      </c>
      <c r="AE3959">
        <v>85</v>
      </c>
      <c r="AF3959" t="s">
        <v>45541</v>
      </c>
      <c r="AG3959" t="s">
        <v>45557</v>
      </c>
      <c r="AH3959">
        <v>9</v>
      </c>
      <c r="AI3959">
        <v>2</v>
      </c>
      <c r="AJ3959">
        <v>1</v>
      </c>
      <c r="AK3959">
        <v>110.3</v>
      </c>
      <c r="AN3959" t="s">
        <v>7439</v>
      </c>
      <c r="AO3959">
        <v>22920</v>
      </c>
      <c r="AU3959">
        <v>21.2</v>
      </c>
      <c r="AV3959" t="s">
        <v>806</v>
      </c>
      <c r="AW3959" t="s">
        <v>334</v>
      </c>
    </row>
    <row r="3960" spans="1:50">
      <c r="A3960" s="1">
        <f>HYPERLINK("https://lsnyc.legalserver.org/matter/dynamic-profile/view/1886035","18-1886035")</f>
        <v>0</v>
      </c>
      <c r="B3960" t="s">
        <v>85</v>
      </c>
      <c r="C3960" t="s">
        <v>340</v>
      </c>
      <c r="D3960" t="s">
        <v>670</v>
      </c>
      <c r="F3960" t="s">
        <v>2871</v>
      </c>
      <c r="G3960" t="s">
        <v>3138</v>
      </c>
      <c r="H3960" t="s">
        <v>12754</v>
      </c>
      <c r="I3960" t="s">
        <v>17275</v>
      </c>
      <c r="J3960" t="s">
        <v>18928</v>
      </c>
      <c r="K3960">
        <v>11365</v>
      </c>
      <c r="L3960" t="s">
        <v>18958</v>
      </c>
      <c r="M3960" t="s">
        <v>18958</v>
      </c>
      <c r="N3960" t="s">
        <v>19045</v>
      </c>
      <c r="O3960" t="s">
        <v>18997</v>
      </c>
      <c r="P3960" t="s">
        <v>26562</v>
      </c>
      <c r="R3960" t="s">
        <v>26584</v>
      </c>
      <c r="S3960" t="s">
        <v>18959</v>
      </c>
      <c r="U3960" t="s">
        <v>26604</v>
      </c>
      <c r="V3960" t="s">
        <v>26610</v>
      </c>
      <c r="W3960" t="s">
        <v>670</v>
      </c>
      <c r="X3960">
        <v>684</v>
      </c>
      <c r="Y3960" t="s">
        <v>26653</v>
      </c>
      <c r="Z3960" t="s">
        <v>26664</v>
      </c>
      <c r="AB3960" t="s">
        <v>30023</v>
      </c>
      <c r="AC3960" t="s">
        <v>35678</v>
      </c>
      <c r="AD3960" t="s">
        <v>40153</v>
      </c>
      <c r="AE3960">
        <v>84</v>
      </c>
      <c r="AF3960" t="s">
        <v>45549</v>
      </c>
      <c r="AG3960" t="s">
        <v>19330</v>
      </c>
      <c r="AH3960">
        <v>5</v>
      </c>
      <c r="AI3960">
        <v>1</v>
      </c>
      <c r="AJ3960">
        <v>0</v>
      </c>
      <c r="AK3960">
        <v>0</v>
      </c>
      <c r="AN3960" t="s">
        <v>7439</v>
      </c>
      <c r="AO3960">
        <v>0</v>
      </c>
      <c r="AU3960">
        <v>0.7</v>
      </c>
      <c r="AV3960" t="s">
        <v>684</v>
      </c>
      <c r="AW3960" t="s">
        <v>161</v>
      </c>
    </row>
    <row r="3961" spans="1:50">
      <c r="A3961" s="1">
        <f>HYPERLINK("https://lsnyc.legalserver.org/matter/dynamic-profile/view/1885975","18-1885975")</f>
        <v>0</v>
      </c>
      <c r="B3961" t="s">
        <v>262</v>
      </c>
      <c r="C3961" t="s">
        <v>340</v>
      </c>
      <c r="D3961" t="s">
        <v>670</v>
      </c>
      <c r="F3961" t="s">
        <v>1543</v>
      </c>
      <c r="G3961" t="s">
        <v>7128</v>
      </c>
      <c r="H3961" t="s">
        <v>12755</v>
      </c>
      <c r="I3961" t="s">
        <v>17282</v>
      </c>
      <c r="J3961" t="s">
        <v>18892</v>
      </c>
      <c r="K3961">
        <v>10453</v>
      </c>
      <c r="L3961" t="s">
        <v>18958</v>
      </c>
      <c r="M3961" t="s">
        <v>18958</v>
      </c>
      <c r="N3961" t="s">
        <v>21971</v>
      </c>
      <c r="O3961" t="s">
        <v>26524</v>
      </c>
      <c r="P3961" t="s">
        <v>26560</v>
      </c>
      <c r="R3961" t="s">
        <v>26577</v>
      </c>
      <c r="U3961" t="s">
        <v>26604</v>
      </c>
      <c r="W3961" t="s">
        <v>670</v>
      </c>
      <c r="X3961">
        <v>900</v>
      </c>
      <c r="Y3961" t="s">
        <v>26650</v>
      </c>
      <c r="AB3961" t="s">
        <v>30024</v>
      </c>
      <c r="AD3961" t="s">
        <v>40154</v>
      </c>
      <c r="AE3961">
        <v>40</v>
      </c>
      <c r="AF3961" t="s">
        <v>45541</v>
      </c>
      <c r="AG3961" t="s">
        <v>19330</v>
      </c>
      <c r="AH3961">
        <v>26</v>
      </c>
      <c r="AI3961">
        <v>1</v>
      </c>
      <c r="AJ3961">
        <v>2</v>
      </c>
      <c r="AK3961">
        <v>150.14</v>
      </c>
      <c r="AN3961" t="s">
        <v>7439</v>
      </c>
      <c r="AO3961">
        <v>31200</v>
      </c>
      <c r="AU3961">
        <v>68.8</v>
      </c>
      <c r="AV3961" t="s">
        <v>832</v>
      </c>
      <c r="AW3961" t="s">
        <v>46859</v>
      </c>
      <c r="AX3961" t="s">
        <v>46897</v>
      </c>
    </row>
    <row r="3962" spans="1:50">
      <c r="A3962" s="1">
        <f>HYPERLINK("https://lsnyc.legalserver.org/matter/dynamic-profile/view/1885982","18-1885982")</f>
        <v>0</v>
      </c>
      <c r="B3962" t="s">
        <v>141</v>
      </c>
      <c r="C3962" t="s">
        <v>340</v>
      </c>
      <c r="D3962" t="s">
        <v>670</v>
      </c>
      <c r="F3962" t="s">
        <v>899</v>
      </c>
      <c r="G3962" t="s">
        <v>5330</v>
      </c>
      <c r="H3962" t="s">
        <v>12756</v>
      </c>
      <c r="I3962" t="s">
        <v>18035</v>
      </c>
      <c r="J3962" t="s">
        <v>18898</v>
      </c>
      <c r="K3962">
        <v>11691</v>
      </c>
      <c r="L3962" t="s">
        <v>18958</v>
      </c>
      <c r="M3962" t="s">
        <v>18958</v>
      </c>
      <c r="N3962" t="s">
        <v>21972</v>
      </c>
      <c r="O3962" t="s">
        <v>26523</v>
      </c>
      <c r="P3962" t="s">
        <v>26560</v>
      </c>
      <c r="R3962" t="s">
        <v>26578</v>
      </c>
      <c r="S3962" t="s">
        <v>18959</v>
      </c>
      <c r="U3962" t="s">
        <v>26604</v>
      </c>
      <c r="V3962" t="s">
        <v>26610</v>
      </c>
      <c r="W3962" t="s">
        <v>670</v>
      </c>
      <c r="X3962">
        <v>780</v>
      </c>
      <c r="Y3962" t="s">
        <v>26653</v>
      </c>
      <c r="Z3962" t="s">
        <v>26664</v>
      </c>
      <c r="AB3962" t="s">
        <v>30025</v>
      </c>
      <c r="AD3962" t="s">
        <v>40155</v>
      </c>
      <c r="AE3962">
        <v>72</v>
      </c>
      <c r="AF3962" t="s">
        <v>45543</v>
      </c>
      <c r="AG3962" t="s">
        <v>19330</v>
      </c>
      <c r="AH3962">
        <v>2</v>
      </c>
      <c r="AI3962">
        <v>1</v>
      </c>
      <c r="AJ3962">
        <v>2</v>
      </c>
      <c r="AK3962">
        <v>153.99</v>
      </c>
      <c r="AN3962" t="s">
        <v>7439</v>
      </c>
      <c r="AO3962">
        <v>32000</v>
      </c>
      <c r="AQ3962" t="s">
        <v>46362</v>
      </c>
      <c r="AR3962" t="s">
        <v>46379</v>
      </c>
      <c r="AS3962" t="s">
        <v>46499</v>
      </c>
      <c r="AT3962" t="s">
        <v>46775</v>
      </c>
      <c r="AU3962">
        <v>3.6</v>
      </c>
      <c r="AV3962" t="s">
        <v>415</v>
      </c>
      <c r="AW3962" t="s">
        <v>208</v>
      </c>
    </row>
    <row r="3963" spans="1:50">
      <c r="A3963" s="1">
        <f>HYPERLINK("https://lsnyc.legalserver.org/matter/dynamic-profile/view/1885958","18-1885958")</f>
        <v>0</v>
      </c>
      <c r="B3963" t="s">
        <v>82</v>
      </c>
      <c r="C3963" t="s">
        <v>340</v>
      </c>
      <c r="D3963" t="s">
        <v>670</v>
      </c>
      <c r="F3963" t="s">
        <v>2872</v>
      </c>
      <c r="G3963" t="s">
        <v>7129</v>
      </c>
      <c r="H3963" t="s">
        <v>12757</v>
      </c>
      <c r="I3963" t="s">
        <v>17348</v>
      </c>
      <c r="J3963" t="s">
        <v>18892</v>
      </c>
      <c r="K3963">
        <v>10457</v>
      </c>
      <c r="L3963" t="s">
        <v>18958</v>
      </c>
      <c r="M3963" t="s">
        <v>18958</v>
      </c>
      <c r="N3963" t="s">
        <v>21973</v>
      </c>
      <c r="O3963" t="s">
        <v>26523</v>
      </c>
      <c r="P3963" t="s">
        <v>26560</v>
      </c>
      <c r="R3963" t="s">
        <v>26579</v>
      </c>
      <c r="S3963" t="s">
        <v>18959</v>
      </c>
      <c r="U3963" t="s">
        <v>26604</v>
      </c>
      <c r="V3963" t="s">
        <v>26610</v>
      </c>
      <c r="W3963" t="s">
        <v>670</v>
      </c>
      <c r="X3963">
        <v>1400</v>
      </c>
      <c r="Y3963" t="s">
        <v>26650</v>
      </c>
      <c r="Z3963" t="s">
        <v>26664</v>
      </c>
      <c r="AB3963" t="s">
        <v>30026</v>
      </c>
      <c r="AD3963" t="s">
        <v>40156</v>
      </c>
      <c r="AE3963">
        <v>0</v>
      </c>
      <c r="AF3963" t="s">
        <v>45541</v>
      </c>
      <c r="AG3963" t="s">
        <v>19330</v>
      </c>
      <c r="AH3963">
        <v>-1</v>
      </c>
      <c r="AI3963">
        <v>2</v>
      </c>
      <c r="AJ3963">
        <v>3</v>
      </c>
      <c r="AK3963">
        <v>85.55</v>
      </c>
      <c r="AN3963" t="s">
        <v>45581</v>
      </c>
      <c r="AO3963">
        <v>25168</v>
      </c>
      <c r="AU3963">
        <v>13.4</v>
      </c>
      <c r="AV3963" t="s">
        <v>781</v>
      </c>
      <c r="AW3963" t="s">
        <v>46836</v>
      </c>
    </row>
    <row r="3964" spans="1:50">
      <c r="A3964" s="1">
        <f>HYPERLINK("https://lsnyc.legalserver.org/matter/dynamic-profile/view/1885977","18-1885977")</f>
        <v>0</v>
      </c>
      <c r="B3964" t="s">
        <v>199</v>
      </c>
      <c r="C3964" t="s">
        <v>340</v>
      </c>
      <c r="D3964" t="s">
        <v>670</v>
      </c>
      <c r="F3964" t="s">
        <v>1192</v>
      </c>
      <c r="G3964" t="s">
        <v>5608</v>
      </c>
      <c r="H3964" t="s">
        <v>11236</v>
      </c>
      <c r="I3964" t="s">
        <v>17603</v>
      </c>
      <c r="J3964" t="s">
        <v>18894</v>
      </c>
      <c r="K3964">
        <v>11203</v>
      </c>
      <c r="L3964" t="s">
        <v>18958</v>
      </c>
      <c r="M3964" t="s">
        <v>18958</v>
      </c>
      <c r="N3964" t="s">
        <v>21974</v>
      </c>
      <c r="O3964" t="s">
        <v>26523</v>
      </c>
      <c r="P3964" t="s">
        <v>26560</v>
      </c>
      <c r="R3964" t="s">
        <v>26578</v>
      </c>
      <c r="S3964" t="s">
        <v>18959</v>
      </c>
      <c r="U3964" t="s">
        <v>26604</v>
      </c>
      <c r="V3964" t="s">
        <v>26610</v>
      </c>
      <c r="W3964" t="s">
        <v>670</v>
      </c>
      <c r="X3964">
        <v>166</v>
      </c>
      <c r="Y3964" t="s">
        <v>26652</v>
      </c>
      <c r="Z3964" t="s">
        <v>26659</v>
      </c>
      <c r="AB3964" t="s">
        <v>29064</v>
      </c>
      <c r="AD3964" t="s">
        <v>39347</v>
      </c>
      <c r="AE3964">
        <v>114</v>
      </c>
      <c r="AF3964" t="s">
        <v>45554</v>
      </c>
      <c r="AH3964">
        <v>4</v>
      </c>
      <c r="AI3964">
        <v>1</v>
      </c>
      <c r="AJ3964">
        <v>0</v>
      </c>
      <c r="AK3964">
        <v>103.2</v>
      </c>
      <c r="AN3964" t="s">
        <v>7439</v>
      </c>
      <c r="AO3964">
        <v>12528</v>
      </c>
      <c r="AQ3964" t="s">
        <v>46362</v>
      </c>
      <c r="AU3964">
        <v>29.9</v>
      </c>
      <c r="AV3964" t="s">
        <v>833</v>
      </c>
      <c r="AW3964" t="s">
        <v>219</v>
      </c>
      <c r="AX3964" t="s">
        <v>46897</v>
      </c>
    </row>
    <row r="3965" spans="1:50">
      <c r="A3965" s="1">
        <f>HYPERLINK("https://lsnyc.legalserver.org/matter/dynamic-profile/view/1886046","18-1886046")</f>
        <v>0</v>
      </c>
      <c r="B3965" t="s">
        <v>91</v>
      </c>
      <c r="C3965" t="s">
        <v>340</v>
      </c>
      <c r="D3965" t="s">
        <v>670</v>
      </c>
      <c r="F3965" t="s">
        <v>1262</v>
      </c>
      <c r="G3965" t="s">
        <v>6480</v>
      </c>
      <c r="H3965" t="s">
        <v>12758</v>
      </c>
      <c r="I3965" t="s">
        <v>17416</v>
      </c>
      <c r="J3965" t="s">
        <v>18919</v>
      </c>
      <c r="K3965">
        <v>11429</v>
      </c>
      <c r="L3965" t="s">
        <v>18958</v>
      </c>
      <c r="M3965" t="s">
        <v>18958</v>
      </c>
      <c r="N3965" t="s">
        <v>21975</v>
      </c>
      <c r="O3965" t="s">
        <v>26524</v>
      </c>
      <c r="P3965" t="s">
        <v>26564</v>
      </c>
      <c r="R3965" t="s">
        <v>26584</v>
      </c>
      <c r="S3965" t="s">
        <v>18959</v>
      </c>
      <c r="U3965" t="s">
        <v>26604</v>
      </c>
      <c r="V3965" t="s">
        <v>26610</v>
      </c>
      <c r="W3965" t="s">
        <v>670</v>
      </c>
      <c r="X3965">
        <v>1650</v>
      </c>
      <c r="Y3965" t="s">
        <v>26653</v>
      </c>
      <c r="Z3965" t="s">
        <v>26664</v>
      </c>
      <c r="AB3965" t="s">
        <v>30027</v>
      </c>
      <c r="AD3965" t="s">
        <v>40157</v>
      </c>
      <c r="AE3965">
        <v>2</v>
      </c>
      <c r="AF3965" t="s">
        <v>45547</v>
      </c>
      <c r="AG3965" t="s">
        <v>19330</v>
      </c>
      <c r="AH3965">
        <v>5</v>
      </c>
      <c r="AI3965">
        <v>3</v>
      </c>
      <c r="AJ3965">
        <v>0</v>
      </c>
      <c r="AK3965">
        <v>156.9</v>
      </c>
      <c r="AN3965" t="s">
        <v>7439</v>
      </c>
      <c r="AO3965">
        <v>32604</v>
      </c>
      <c r="AU3965">
        <v>0.7</v>
      </c>
      <c r="AV3965" t="s">
        <v>754</v>
      </c>
      <c r="AW3965" t="s">
        <v>161</v>
      </c>
    </row>
    <row r="3966" spans="1:50">
      <c r="A3966" s="1">
        <f>HYPERLINK("https://lsnyc.legalserver.org/matter/dynamic-profile/view/1886037","18-1886037")</f>
        <v>0</v>
      </c>
      <c r="B3966" t="s">
        <v>54</v>
      </c>
      <c r="C3966" t="s">
        <v>340</v>
      </c>
      <c r="D3966" t="s">
        <v>670</v>
      </c>
      <c r="F3966" t="s">
        <v>1577</v>
      </c>
      <c r="G3966" t="s">
        <v>3283</v>
      </c>
      <c r="H3966" t="s">
        <v>12525</v>
      </c>
      <c r="I3966" t="s">
        <v>17445</v>
      </c>
      <c r="J3966" t="s">
        <v>18892</v>
      </c>
      <c r="K3966">
        <v>10453</v>
      </c>
      <c r="L3966" t="s">
        <v>18958</v>
      </c>
      <c r="M3966" t="s">
        <v>18958</v>
      </c>
      <c r="O3966" t="s">
        <v>26539</v>
      </c>
      <c r="P3966" t="s">
        <v>26562</v>
      </c>
      <c r="R3966" t="s">
        <v>26578</v>
      </c>
      <c r="S3966" t="s">
        <v>18959</v>
      </c>
      <c r="U3966" t="s">
        <v>26607</v>
      </c>
      <c r="W3966" t="s">
        <v>670</v>
      </c>
      <c r="X3966">
        <v>900.16</v>
      </c>
      <c r="Y3966" t="s">
        <v>26650</v>
      </c>
      <c r="Z3966" t="s">
        <v>26655</v>
      </c>
      <c r="AB3966" t="s">
        <v>29794</v>
      </c>
      <c r="AC3966" t="s">
        <v>35587</v>
      </c>
      <c r="AD3966" t="s">
        <v>39903</v>
      </c>
      <c r="AE3966">
        <v>72</v>
      </c>
      <c r="AF3966" t="s">
        <v>45541</v>
      </c>
      <c r="AG3966" t="s">
        <v>45559</v>
      </c>
      <c r="AH3966">
        <v>36</v>
      </c>
      <c r="AI3966">
        <v>4</v>
      </c>
      <c r="AJ3966">
        <v>0</v>
      </c>
      <c r="AK3966">
        <v>197.15</v>
      </c>
      <c r="AN3966" t="s">
        <v>7439</v>
      </c>
      <c r="AO3966">
        <v>49484</v>
      </c>
      <c r="AP3966" t="s">
        <v>45806</v>
      </c>
      <c r="AU3966">
        <v>4.6</v>
      </c>
      <c r="AV3966" t="s">
        <v>773</v>
      </c>
      <c r="AW3966" t="s">
        <v>46832</v>
      </c>
    </row>
    <row r="3967" spans="1:50">
      <c r="A3967" s="1">
        <f>HYPERLINK("https://lsnyc.legalserver.org/matter/dynamic-profile/view/1885948","18-1885948")</f>
        <v>0</v>
      </c>
      <c r="B3967" t="s">
        <v>275</v>
      </c>
      <c r="C3967" t="s">
        <v>340</v>
      </c>
      <c r="D3967" t="s">
        <v>670</v>
      </c>
      <c r="F3967" t="s">
        <v>2873</v>
      </c>
      <c r="G3967" t="s">
        <v>6414</v>
      </c>
      <c r="H3967" t="s">
        <v>9662</v>
      </c>
      <c r="I3967">
        <v>1501</v>
      </c>
      <c r="J3967" t="s">
        <v>18892</v>
      </c>
      <c r="K3967">
        <v>10457</v>
      </c>
      <c r="L3967" t="s">
        <v>18958</v>
      </c>
      <c r="M3967" t="s">
        <v>18958</v>
      </c>
      <c r="N3967" t="s">
        <v>21976</v>
      </c>
      <c r="O3967" t="s">
        <v>26524</v>
      </c>
      <c r="P3967" t="s">
        <v>26560</v>
      </c>
      <c r="R3967" t="s">
        <v>26579</v>
      </c>
      <c r="S3967" t="s">
        <v>18959</v>
      </c>
      <c r="U3967" t="s">
        <v>26604</v>
      </c>
      <c r="V3967" t="s">
        <v>26610</v>
      </c>
      <c r="W3967" t="s">
        <v>670</v>
      </c>
      <c r="X3967">
        <v>1796</v>
      </c>
      <c r="Y3967" t="s">
        <v>26650</v>
      </c>
      <c r="Z3967" t="s">
        <v>26664</v>
      </c>
      <c r="AB3967" t="s">
        <v>30028</v>
      </c>
      <c r="AD3967" t="s">
        <v>40158</v>
      </c>
      <c r="AE3967">
        <v>99</v>
      </c>
      <c r="AF3967" t="s">
        <v>45541</v>
      </c>
      <c r="AG3967" t="s">
        <v>45556</v>
      </c>
      <c r="AH3967">
        <v>6</v>
      </c>
      <c r="AI3967">
        <v>1</v>
      </c>
      <c r="AJ3967">
        <v>1</v>
      </c>
      <c r="AK3967">
        <v>94.78</v>
      </c>
      <c r="AN3967" t="s">
        <v>7439</v>
      </c>
      <c r="AO3967">
        <v>15600</v>
      </c>
      <c r="AU3967">
        <v>31</v>
      </c>
      <c r="AV3967" t="s">
        <v>832</v>
      </c>
      <c r="AW3967" t="s">
        <v>46858</v>
      </c>
    </row>
    <row r="3968" spans="1:50">
      <c r="A3968" s="1">
        <f>HYPERLINK("https://lsnyc.legalserver.org/matter/dynamic-profile/view/1885942","18-1885942")</f>
        <v>0</v>
      </c>
      <c r="B3968" t="s">
        <v>168</v>
      </c>
      <c r="C3968" t="s">
        <v>340</v>
      </c>
      <c r="D3968" t="s">
        <v>670</v>
      </c>
      <c r="F3968" t="s">
        <v>2874</v>
      </c>
      <c r="G3968" t="s">
        <v>5208</v>
      </c>
      <c r="H3968" t="s">
        <v>12759</v>
      </c>
      <c r="I3968" t="s">
        <v>17352</v>
      </c>
      <c r="J3968" t="s">
        <v>18893</v>
      </c>
      <c r="K3968">
        <v>10032</v>
      </c>
      <c r="L3968" t="s">
        <v>18958</v>
      </c>
      <c r="M3968" t="s">
        <v>18958</v>
      </c>
      <c r="P3968" t="s">
        <v>26563</v>
      </c>
      <c r="R3968" t="s">
        <v>26578</v>
      </c>
      <c r="S3968" t="s">
        <v>18959</v>
      </c>
      <c r="U3968" t="s">
        <v>26604</v>
      </c>
      <c r="W3968" t="s">
        <v>670</v>
      </c>
      <c r="X3968">
        <v>558</v>
      </c>
      <c r="Y3968" t="s">
        <v>26651</v>
      </c>
      <c r="Z3968" t="s">
        <v>26661</v>
      </c>
      <c r="AB3968" t="s">
        <v>30029</v>
      </c>
      <c r="AD3968" t="s">
        <v>40159</v>
      </c>
      <c r="AE3968">
        <v>0</v>
      </c>
      <c r="AF3968" t="s">
        <v>45541</v>
      </c>
      <c r="AG3968" t="s">
        <v>19330</v>
      </c>
      <c r="AH3968">
        <v>48</v>
      </c>
      <c r="AI3968">
        <v>2</v>
      </c>
      <c r="AJ3968">
        <v>0</v>
      </c>
      <c r="AK3968">
        <v>61.02</v>
      </c>
      <c r="AN3968" t="s">
        <v>45606</v>
      </c>
      <c r="AO3968">
        <v>10044</v>
      </c>
      <c r="AU3968">
        <v>6.5</v>
      </c>
      <c r="AV3968" t="s">
        <v>823</v>
      </c>
      <c r="AW3968" t="s">
        <v>46840</v>
      </c>
    </row>
    <row r="3969" spans="1:49">
      <c r="A3969" s="1">
        <f>HYPERLINK("https://lsnyc.legalserver.org/matter/dynamic-profile/view/1886156","18-1886156")</f>
        <v>0</v>
      </c>
      <c r="B3969" t="s">
        <v>130</v>
      </c>
      <c r="C3969" t="s">
        <v>341</v>
      </c>
      <c r="D3969" t="s">
        <v>692</v>
      </c>
      <c r="E3969" t="s">
        <v>728</v>
      </c>
      <c r="F3969" t="s">
        <v>1527</v>
      </c>
      <c r="G3969" t="s">
        <v>7130</v>
      </c>
      <c r="H3969" t="s">
        <v>12760</v>
      </c>
      <c r="I3969" t="s">
        <v>17285</v>
      </c>
      <c r="J3969" t="s">
        <v>18912</v>
      </c>
      <c r="K3969">
        <v>11374</v>
      </c>
      <c r="L3969" t="s">
        <v>18958</v>
      </c>
      <c r="M3969" t="s">
        <v>18958</v>
      </c>
      <c r="N3969" t="s">
        <v>21977</v>
      </c>
      <c r="O3969" t="s">
        <v>26523</v>
      </c>
      <c r="P3969" t="s">
        <v>26560</v>
      </c>
      <c r="Q3969" t="s">
        <v>26568</v>
      </c>
      <c r="R3969" t="s">
        <v>26584</v>
      </c>
      <c r="S3969" t="s">
        <v>18959</v>
      </c>
      <c r="U3969" t="s">
        <v>26604</v>
      </c>
      <c r="V3969" t="s">
        <v>26610</v>
      </c>
      <c r="W3969" t="s">
        <v>670</v>
      </c>
      <c r="X3969">
        <v>761</v>
      </c>
      <c r="Y3969" t="s">
        <v>26653</v>
      </c>
      <c r="Z3969" t="s">
        <v>26664</v>
      </c>
      <c r="AA3969" t="s">
        <v>26678</v>
      </c>
      <c r="AB3969" t="s">
        <v>30030</v>
      </c>
      <c r="AC3969" t="s">
        <v>35679</v>
      </c>
      <c r="AD3969" t="s">
        <v>40160</v>
      </c>
      <c r="AE3969">
        <v>284</v>
      </c>
      <c r="AF3969" t="s">
        <v>45541</v>
      </c>
      <c r="AG3969" t="s">
        <v>45559</v>
      </c>
      <c r="AH3969">
        <v>40</v>
      </c>
      <c r="AI3969">
        <v>1</v>
      </c>
      <c r="AJ3969">
        <v>0</v>
      </c>
      <c r="AK3969">
        <v>84.02</v>
      </c>
      <c r="AN3969" t="s">
        <v>7439</v>
      </c>
      <c r="AO3969">
        <v>10200</v>
      </c>
      <c r="AQ3969" t="s">
        <v>46359</v>
      </c>
      <c r="AR3969" t="s">
        <v>46379</v>
      </c>
      <c r="AS3969" t="s">
        <v>46499</v>
      </c>
      <c r="AT3969" t="s">
        <v>46666</v>
      </c>
      <c r="AU3969">
        <v>28.55</v>
      </c>
      <c r="AV3969" t="s">
        <v>757</v>
      </c>
      <c r="AW3969" t="s">
        <v>161</v>
      </c>
    </row>
    <row r="3970" spans="1:49">
      <c r="A3970" s="1">
        <f>HYPERLINK("https://lsnyc.legalserver.org/matter/dynamic-profile/view/1886113","18-1886113")</f>
        <v>0</v>
      </c>
      <c r="B3970" t="s">
        <v>95</v>
      </c>
      <c r="C3970" t="s">
        <v>340</v>
      </c>
      <c r="D3970" t="s">
        <v>692</v>
      </c>
      <c r="F3970" t="s">
        <v>2875</v>
      </c>
      <c r="G3970" t="s">
        <v>5428</v>
      </c>
      <c r="H3970" t="s">
        <v>12646</v>
      </c>
      <c r="I3970" t="s">
        <v>18036</v>
      </c>
      <c r="J3970" t="s">
        <v>18894</v>
      </c>
      <c r="K3970">
        <v>11233</v>
      </c>
      <c r="L3970" t="s">
        <v>18958</v>
      </c>
      <c r="M3970" t="s">
        <v>18958</v>
      </c>
      <c r="N3970" t="s">
        <v>18993</v>
      </c>
      <c r="O3970" t="s">
        <v>26534</v>
      </c>
      <c r="P3970" t="s">
        <v>26562</v>
      </c>
      <c r="R3970" t="s">
        <v>26578</v>
      </c>
      <c r="S3970" t="s">
        <v>18958</v>
      </c>
      <c r="U3970" t="s">
        <v>26604</v>
      </c>
      <c r="V3970" t="s">
        <v>26610</v>
      </c>
      <c r="W3970" t="s">
        <v>670</v>
      </c>
      <c r="X3970">
        <v>1094</v>
      </c>
      <c r="Y3970" t="s">
        <v>26652</v>
      </c>
      <c r="Z3970" t="s">
        <v>26667</v>
      </c>
      <c r="AB3970" t="s">
        <v>29785</v>
      </c>
      <c r="AC3970" t="s">
        <v>19330</v>
      </c>
      <c r="AE3970">
        <v>764</v>
      </c>
      <c r="AF3970" t="s">
        <v>45541</v>
      </c>
      <c r="AG3970" t="s">
        <v>19330</v>
      </c>
      <c r="AH3970">
        <v>40</v>
      </c>
      <c r="AI3970">
        <v>1</v>
      </c>
      <c r="AJ3970">
        <v>0</v>
      </c>
      <c r="AK3970">
        <v>230.64</v>
      </c>
      <c r="AL3970" t="s">
        <v>672</v>
      </c>
      <c r="AM3970" t="s">
        <v>45575</v>
      </c>
      <c r="AN3970" t="s">
        <v>7439</v>
      </c>
      <c r="AO3970">
        <v>28000</v>
      </c>
      <c r="AU3970">
        <v>0</v>
      </c>
      <c r="AW3970" t="s">
        <v>279</v>
      </c>
    </row>
    <row r="3971" spans="1:49">
      <c r="A3971" s="1">
        <f>HYPERLINK("https://lsnyc.legalserver.org/matter/dynamic-profile/view/1886109","18-1886109")</f>
        <v>0</v>
      </c>
      <c r="B3971" t="s">
        <v>95</v>
      </c>
      <c r="C3971" t="s">
        <v>340</v>
      </c>
      <c r="D3971" t="s">
        <v>692</v>
      </c>
      <c r="F3971" t="s">
        <v>2876</v>
      </c>
      <c r="G3971" t="s">
        <v>4085</v>
      </c>
      <c r="H3971" t="s">
        <v>12646</v>
      </c>
      <c r="I3971" t="s">
        <v>17422</v>
      </c>
      <c r="J3971" t="s">
        <v>18894</v>
      </c>
      <c r="K3971">
        <v>11233</v>
      </c>
      <c r="L3971" t="s">
        <v>18958</v>
      </c>
      <c r="M3971" t="s">
        <v>18958</v>
      </c>
      <c r="N3971" t="s">
        <v>18997</v>
      </c>
      <c r="O3971" t="s">
        <v>26534</v>
      </c>
      <c r="P3971" t="s">
        <v>26562</v>
      </c>
      <c r="R3971" t="s">
        <v>26578</v>
      </c>
      <c r="S3971" t="s">
        <v>18958</v>
      </c>
      <c r="U3971" t="s">
        <v>26604</v>
      </c>
      <c r="V3971" t="s">
        <v>26610</v>
      </c>
      <c r="W3971" t="s">
        <v>670</v>
      </c>
      <c r="X3971">
        <v>628</v>
      </c>
      <c r="Y3971" t="s">
        <v>26652</v>
      </c>
      <c r="Z3971" t="s">
        <v>26667</v>
      </c>
      <c r="AB3971" t="s">
        <v>30031</v>
      </c>
      <c r="AC3971" t="s">
        <v>19330</v>
      </c>
      <c r="AD3971" t="s">
        <v>40161</v>
      </c>
      <c r="AE3971">
        <v>764</v>
      </c>
      <c r="AF3971" t="s">
        <v>45541</v>
      </c>
      <c r="AG3971" t="s">
        <v>19330</v>
      </c>
      <c r="AH3971">
        <v>18</v>
      </c>
      <c r="AI3971">
        <v>1</v>
      </c>
      <c r="AJ3971">
        <v>0</v>
      </c>
      <c r="AK3971">
        <v>329.49</v>
      </c>
      <c r="AL3971" t="s">
        <v>672</v>
      </c>
      <c r="AM3971" t="s">
        <v>45575</v>
      </c>
      <c r="AN3971" t="s">
        <v>7439</v>
      </c>
      <c r="AO3971">
        <v>40000</v>
      </c>
      <c r="AU3971">
        <v>0</v>
      </c>
      <c r="AW3971" t="s">
        <v>279</v>
      </c>
    </row>
    <row r="3972" spans="1:49">
      <c r="A3972" s="1">
        <f>HYPERLINK("https://lsnyc.legalserver.org/matter/dynamic-profile/view/1886163","18-1886163")</f>
        <v>0</v>
      </c>
      <c r="B3972" t="s">
        <v>95</v>
      </c>
      <c r="C3972" t="s">
        <v>340</v>
      </c>
      <c r="D3972" t="s">
        <v>692</v>
      </c>
      <c r="F3972" t="s">
        <v>2877</v>
      </c>
      <c r="G3972" t="s">
        <v>7131</v>
      </c>
      <c r="H3972" t="s">
        <v>9692</v>
      </c>
      <c r="I3972" t="s">
        <v>17601</v>
      </c>
      <c r="J3972" t="s">
        <v>18894</v>
      </c>
      <c r="K3972">
        <v>11233</v>
      </c>
      <c r="L3972" t="s">
        <v>18958</v>
      </c>
      <c r="M3972" t="s">
        <v>18958</v>
      </c>
      <c r="N3972" t="s">
        <v>18993</v>
      </c>
      <c r="O3972" t="s">
        <v>26534</v>
      </c>
      <c r="P3972" t="s">
        <v>26562</v>
      </c>
      <c r="R3972" t="s">
        <v>26578</v>
      </c>
      <c r="S3972" t="s">
        <v>18958</v>
      </c>
      <c r="U3972" t="s">
        <v>26604</v>
      </c>
      <c r="V3972" t="s">
        <v>26610</v>
      </c>
      <c r="W3972" t="s">
        <v>670</v>
      </c>
      <c r="X3972">
        <v>583.25</v>
      </c>
      <c r="Y3972" t="s">
        <v>26652</v>
      </c>
      <c r="AB3972" t="s">
        <v>30032</v>
      </c>
      <c r="AC3972" t="s">
        <v>19330</v>
      </c>
      <c r="AD3972" t="s">
        <v>40162</v>
      </c>
      <c r="AE3972">
        <v>764</v>
      </c>
      <c r="AF3972" t="s">
        <v>45541</v>
      </c>
      <c r="AG3972" t="s">
        <v>19330</v>
      </c>
      <c r="AH3972">
        <v>0</v>
      </c>
      <c r="AI3972">
        <v>1</v>
      </c>
      <c r="AJ3972">
        <v>0</v>
      </c>
      <c r="AK3972">
        <v>345.96</v>
      </c>
      <c r="AN3972" t="s">
        <v>7439</v>
      </c>
      <c r="AO3972">
        <v>42000</v>
      </c>
      <c r="AU3972">
        <v>0</v>
      </c>
      <c r="AW3972" t="s">
        <v>279</v>
      </c>
    </row>
    <row r="3973" spans="1:49">
      <c r="A3973" s="1">
        <f>HYPERLINK("https://lsnyc.legalserver.org/matter/dynamic-profile/view/1886359","18-1886359")</f>
        <v>0</v>
      </c>
      <c r="B3973" t="s">
        <v>211</v>
      </c>
      <c r="C3973" t="s">
        <v>341</v>
      </c>
      <c r="D3973" t="s">
        <v>703</v>
      </c>
      <c r="E3973" t="s">
        <v>415</v>
      </c>
      <c r="F3973" t="s">
        <v>1106</v>
      </c>
      <c r="G3973" t="s">
        <v>7132</v>
      </c>
      <c r="H3973" t="s">
        <v>12761</v>
      </c>
      <c r="I3973" t="s">
        <v>17274</v>
      </c>
      <c r="J3973" t="s">
        <v>18894</v>
      </c>
      <c r="K3973">
        <v>11213</v>
      </c>
      <c r="L3973" t="s">
        <v>18958</v>
      </c>
      <c r="M3973" t="s">
        <v>18958</v>
      </c>
      <c r="N3973" t="s">
        <v>21978</v>
      </c>
      <c r="O3973" t="s">
        <v>26526</v>
      </c>
      <c r="P3973" t="s">
        <v>26565</v>
      </c>
      <c r="Q3973" t="s">
        <v>26571</v>
      </c>
      <c r="R3973" t="s">
        <v>26578</v>
      </c>
      <c r="S3973" t="s">
        <v>18959</v>
      </c>
      <c r="U3973" t="s">
        <v>26604</v>
      </c>
      <c r="W3973" t="s">
        <v>670</v>
      </c>
      <c r="X3973">
        <v>1500</v>
      </c>
      <c r="Y3973" t="s">
        <v>26652</v>
      </c>
      <c r="Z3973" t="s">
        <v>26667</v>
      </c>
      <c r="AA3973" t="s">
        <v>26683</v>
      </c>
      <c r="AB3973" t="s">
        <v>30033</v>
      </c>
      <c r="AE3973">
        <v>4</v>
      </c>
      <c r="AF3973" t="s">
        <v>45541</v>
      </c>
      <c r="AH3973">
        <v>0</v>
      </c>
      <c r="AI3973">
        <v>1</v>
      </c>
      <c r="AJ3973">
        <v>0</v>
      </c>
      <c r="AK3973">
        <v>109.42</v>
      </c>
      <c r="AN3973" t="s">
        <v>7439</v>
      </c>
      <c r="AO3973">
        <v>13284</v>
      </c>
      <c r="AU3973">
        <v>4.2</v>
      </c>
      <c r="AV3973" t="s">
        <v>415</v>
      </c>
      <c r="AW3973" t="s">
        <v>286</v>
      </c>
    </row>
    <row r="3974" spans="1:49">
      <c r="A3974" s="1">
        <f>HYPERLINK("https://lsnyc.legalserver.org/matter/dynamic-profile/view/1886348","18-1886348")</f>
        <v>0</v>
      </c>
      <c r="B3974" t="s">
        <v>134</v>
      </c>
      <c r="C3974" t="s">
        <v>341</v>
      </c>
      <c r="D3974" t="s">
        <v>703</v>
      </c>
      <c r="E3974" t="s">
        <v>699</v>
      </c>
      <c r="F3974" t="s">
        <v>870</v>
      </c>
      <c r="G3974" t="s">
        <v>7133</v>
      </c>
      <c r="H3974" t="s">
        <v>12762</v>
      </c>
      <c r="I3974" t="s">
        <v>17366</v>
      </c>
      <c r="J3974" t="s">
        <v>18894</v>
      </c>
      <c r="K3974">
        <v>11225</v>
      </c>
      <c r="L3974" t="s">
        <v>18958</v>
      </c>
      <c r="M3974" t="s">
        <v>18958</v>
      </c>
      <c r="P3974" t="s">
        <v>26564</v>
      </c>
      <c r="Q3974" t="s">
        <v>26570</v>
      </c>
      <c r="R3974" t="s">
        <v>26578</v>
      </c>
      <c r="S3974" t="s">
        <v>18959</v>
      </c>
      <c r="U3974" t="s">
        <v>26604</v>
      </c>
      <c r="W3974" t="s">
        <v>670</v>
      </c>
      <c r="X3974">
        <v>1637.8</v>
      </c>
      <c r="Y3974" t="s">
        <v>26652</v>
      </c>
      <c r="Z3974" t="s">
        <v>26667</v>
      </c>
      <c r="AA3974" t="s">
        <v>26683</v>
      </c>
      <c r="AB3974" t="s">
        <v>30034</v>
      </c>
      <c r="AE3974">
        <v>75</v>
      </c>
      <c r="AF3974" t="s">
        <v>45541</v>
      </c>
      <c r="AG3974" t="s">
        <v>19330</v>
      </c>
      <c r="AH3974">
        <v>48</v>
      </c>
      <c r="AI3974">
        <v>1</v>
      </c>
      <c r="AJ3974">
        <v>0</v>
      </c>
      <c r="AK3974">
        <v>593.08</v>
      </c>
      <c r="AN3974" t="s">
        <v>7439</v>
      </c>
      <c r="AO3974">
        <v>72000</v>
      </c>
      <c r="AU3974">
        <v>1</v>
      </c>
      <c r="AV3974" t="s">
        <v>699</v>
      </c>
      <c r="AW3974" t="s">
        <v>286</v>
      </c>
    </row>
    <row r="3975" spans="1:49">
      <c r="A3975" s="1">
        <f>HYPERLINK("https://lsnyc.legalserver.org/matter/dynamic-profile/view/1886319","18-1886319")</f>
        <v>0</v>
      </c>
      <c r="B3975" t="s">
        <v>134</v>
      </c>
      <c r="C3975" t="s">
        <v>341</v>
      </c>
      <c r="D3975" t="s">
        <v>703</v>
      </c>
      <c r="E3975" t="s">
        <v>792</v>
      </c>
      <c r="F3975" t="s">
        <v>1366</v>
      </c>
      <c r="G3975" t="s">
        <v>5882</v>
      </c>
      <c r="H3975" t="s">
        <v>12763</v>
      </c>
      <c r="I3975" t="s">
        <v>17274</v>
      </c>
      <c r="J3975" t="s">
        <v>18894</v>
      </c>
      <c r="K3975">
        <v>11217</v>
      </c>
      <c r="L3975" t="s">
        <v>18959</v>
      </c>
      <c r="M3975" t="s">
        <v>18958</v>
      </c>
      <c r="P3975" t="s">
        <v>26564</v>
      </c>
      <c r="Q3975" t="s">
        <v>26570</v>
      </c>
      <c r="R3975" t="s">
        <v>26583</v>
      </c>
      <c r="S3975" t="s">
        <v>18959</v>
      </c>
      <c r="U3975" t="s">
        <v>26605</v>
      </c>
      <c r="W3975" t="s">
        <v>670</v>
      </c>
      <c r="X3975">
        <v>432</v>
      </c>
      <c r="Y3975" t="s">
        <v>26652</v>
      </c>
      <c r="Z3975" t="s">
        <v>26667</v>
      </c>
      <c r="AA3975" t="s">
        <v>26683</v>
      </c>
      <c r="AB3975" t="s">
        <v>30035</v>
      </c>
      <c r="AD3975" t="s">
        <v>40163</v>
      </c>
      <c r="AE3975">
        <v>392</v>
      </c>
      <c r="AF3975" t="s">
        <v>45549</v>
      </c>
      <c r="AH3975">
        <v>3</v>
      </c>
      <c r="AI3975">
        <v>1</v>
      </c>
      <c r="AJ3975">
        <v>0</v>
      </c>
      <c r="AK3975">
        <v>0</v>
      </c>
      <c r="AN3975" t="s">
        <v>7439</v>
      </c>
      <c r="AO3975">
        <v>0</v>
      </c>
      <c r="AU3975">
        <v>0.3</v>
      </c>
      <c r="AV3975" t="s">
        <v>415</v>
      </c>
      <c r="AW3975" t="s">
        <v>286</v>
      </c>
    </row>
    <row r="3976" spans="1:49">
      <c r="A3976" s="1">
        <f>HYPERLINK("https://lsnyc.legalserver.org/matter/dynamic-profile/view/1886323","18-1886323")</f>
        <v>0</v>
      </c>
      <c r="B3976" t="s">
        <v>134</v>
      </c>
      <c r="C3976" t="s">
        <v>341</v>
      </c>
      <c r="D3976" t="s">
        <v>703</v>
      </c>
      <c r="E3976" t="s">
        <v>792</v>
      </c>
      <c r="F3976" t="s">
        <v>874</v>
      </c>
      <c r="G3976" t="s">
        <v>5987</v>
      </c>
      <c r="H3976" t="s">
        <v>12763</v>
      </c>
      <c r="I3976" t="s">
        <v>17274</v>
      </c>
      <c r="J3976" t="s">
        <v>18894</v>
      </c>
      <c r="K3976">
        <v>11217</v>
      </c>
      <c r="L3976" t="s">
        <v>18959</v>
      </c>
      <c r="M3976" t="s">
        <v>18958</v>
      </c>
      <c r="P3976" t="s">
        <v>26564</v>
      </c>
      <c r="Q3976" t="s">
        <v>26570</v>
      </c>
      <c r="R3976" t="s">
        <v>26583</v>
      </c>
      <c r="S3976" t="s">
        <v>18959</v>
      </c>
      <c r="U3976" t="s">
        <v>26605</v>
      </c>
      <c r="W3976" t="s">
        <v>670</v>
      </c>
      <c r="X3976">
        <v>422</v>
      </c>
      <c r="Y3976" t="s">
        <v>26652</v>
      </c>
      <c r="Z3976" t="s">
        <v>26667</v>
      </c>
      <c r="AA3976" t="s">
        <v>26683</v>
      </c>
      <c r="AB3976" t="s">
        <v>30036</v>
      </c>
      <c r="AD3976" t="s">
        <v>40164</v>
      </c>
      <c r="AE3976">
        <v>392</v>
      </c>
      <c r="AF3976" t="s">
        <v>45549</v>
      </c>
      <c r="AH3976">
        <v>4</v>
      </c>
      <c r="AI3976">
        <v>1</v>
      </c>
      <c r="AJ3976">
        <v>0</v>
      </c>
      <c r="AK3976">
        <v>17.99</v>
      </c>
      <c r="AN3976" t="s">
        <v>7439</v>
      </c>
      <c r="AO3976">
        <v>2184</v>
      </c>
      <c r="AU3976">
        <v>0.5</v>
      </c>
      <c r="AV3976" t="s">
        <v>415</v>
      </c>
      <c r="AW3976" t="s">
        <v>286</v>
      </c>
    </row>
    <row r="3977" spans="1:49">
      <c r="A3977" s="1">
        <f>HYPERLINK("https://lsnyc.legalserver.org/matter/dynamic-profile/view/1887329","19-1887329")</f>
        <v>0</v>
      </c>
      <c r="B3977" t="s">
        <v>211</v>
      </c>
      <c r="C3977" t="s">
        <v>341</v>
      </c>
      <c r="D3977" t="s">
        <v>704</v>
      </c>
      <c r="E3977" t="s">
        <v>415</v>
      </c>
      <c r="F3977" t="s">
        <v>2878</v>
      </c>
      <c r="G3977" t="s">
        <v>7134</v>
      </c>
      <c r="H3977" t="s">
        <v>12764</v>
      </c>
      <c r="I3977" t="s">
        <v>18037</v>
      </c>
      <c r="J3977" t="s">
        <v>18894</v>
      </c>
      <c r="K3977">
        <v>11213</v>
      </c>
      <c r="L3977" t="s">
        <v>18958</v>
      </c>
      <c r="M3977" t="s">
        <v>18958</v>
      </c>
      <c r="O3977" t="s">
        <v>26523</v>
      </c>
      <c r="P3977" t="s">
        <v>26565</v>
      </c>
      <c r="Q3977" t="s">
        <v>26570</v>
      </c>
      <c r="R3977" t="s">
        <v>26578</v>
      </c>
      <c r="S3977" t="s">
        <v>18959</v>
      </c>
      <c r="U3977" t="s">
        <v>26604</v>
      </c>
      <c r="W3977" t="s">
        <v>670</v>
      </c>
      <c r="X3977">
        <v>1186</v>
      </c>
      <c r="Y3977" t="s">
        <v>26652</v>
      </c>
      <c r="Z3977" t="s">
        <v>26530</v>
      </c>
      <c r="AA3977" t="s">
        <v>26683</v>
      </c>
      <c r="AB3977" t="s">
        <v>30037</v>
      </c>
      <c r="AC3977" t="s">
        <v>35680</v>
      </c>
      <c r="AD3977" t="s">
        <v>40165</v>
      </c>
      <c r="AE3977">
        <v>28</v>
      </c>
      <c r="AF3977" t="s">
        <v>45541</v>
      </c>
      <c r="AG3977" t="s">
        <v>45559</v>
      </c>
      <c r="AH3977">
        <v>31</v>
      </c>
      <c r="AI3977">
        <v>2</v>
      </c>
      <c r="AJ3977">
        <v>0</v>
      </c>
      <c r="AK3977">
        <v>43.67</v>
      </c>
      <c r="AN3977" t="s">
        <v>7439</v>
      </c>
      <c r="AO3977">
        <v>7188</v>
      </c>
      <c r="AU3977">
        <v>0.2</v>
      </c>
      <c r="AV3977" t="s">
        <v>415</v>
      </c>
      <c r="AW3977" t="s">
        <v>286</v>
      </c>
    </row>
    <row r="3978" spans="1:49">
      <c r="A3978" s="1">
        <f>HYPERLINK("https://lsnyc.legalserver.org/matter/dynamic-profile/view/1887343","19-1887343")</f>
        <v>0</v>
      </c>
      <c r="B3978" t="s">
        <v>211</v>
      </c>
      <c r="C3978" t="s">
        <v>341</v>
      </c>
      <c r="D3978" t="s">
        <v>704</v>
      </c>
      <c r="E3978" t="s">
        <v>415</v>
      </c>
      <c r="F3978" t="s">
        <v>2879</v>
      </c>
      <c r="G3978" t="s">
        <v>5849</v>
      </c>
      <c r="H3978" t="s">
        <v>12765</v>
      </c>
      <c r="I3978" t="s">
        <v>18038</v>
      </c>
      <c r="J3978" t="s">
        <v>18894</v>
      </c>
      <c r="K3978">
        <v>11238</v>
      </c>
      <c r="L3978" t="s">
        <v>18958</v>
      </c>
      <c r="M3978" t="s">
        <v>18958</v>
      </c>
      <c r="N3978" t="s">
        <v>18997</v>
      </c>
      <c r="P3978" t="s">
        <v>26565</v>
      </c>
      <c r="Q3978" t="s">
        <v>26571</v>
      </c>
      <c r="R3978" t="s">
        <v>26578</v>
      </c>
      <c r="S3978" t="s">
        <v>18959</v>
      </c>
      <c r="U3978" t="s">
        <v>26607</v>
      </c>
      <c r="W3978" t="s">
        <v>670</v>
      </c>
      <c r="X3978">
        <v>1270.18</v>
      </c>
      <c r="Y3978" t="s">
        <v>26652</v>
      </c>
      <c r="Z3978" t="s">
        <v>26530</v>
      </c>
      <c r="AA3978" t="s">
        <v>26681</v>
      </c>
      <c r="AB3978" t="s">
        <v>30038</v>
      </c>
      <c r="AD3978" t="s">
        <v>40166</v>
      </c>
      <c r="AE3978">
        <v>14</v>
      </c>
      <c r="AF3978" t="s">
        <v>45541</v>
      </c>
      <c r="AG3978" t="s">
        <v>19330</v>
      </c>
      <c r="AH3978">
        <v>19</v>
      </c>
      <c r="AI3978">
        <v>1</v>
      </c>
      <c r="AJ3978">
        <v>1</v>
      </c>
      <c r="AK3978">
        <v>236.94</v>
      </c>
      <c r="AN3978" t="s">
        <v>7439</v>
      </c>
      <c r="AO3978">
        <v>39000</v>
      </c>
      <c r="AU3978">
        <v>0.1</v>
      </c>
      <c r="AV3978" t="s">
        <v>415</v>
      </c>
      <c r="AW3978" t="s">
        <v>286</v>
      </c>
    </row>
    <row r="3979" spans="1:49">
      <c r="A3979" s="1">
        <f>HYPERLINK("https://lsnyc.legalserver.org/matter/dynamic-profile/view/1887315","19-1887315")</f>
        <v>0</v>
      </c>
      <c r="B3979" t="s">
        <v>134</v>
      </c>
      <c r="C3979" t="s">
        <v>341</v>
      </c>
      <c r="D3979" t="s">
        <v>704</v>
      </c>
      <c r="E3979" t="s">
        <v>704</v>
      </c>
      <c r="F3979" t="s">
        <v>1114</v>
      </c>
      <c r="G3979" t="s">
        <v>1145</v>
      </c>
      <c r="H3979" t="s">
        <v>12766</v>
      </c>
      <c r="I3979" t="s">
        <v>17725</v>
      </c>
      <c r="J3979" t="s">
        <v>18894</v>
      </c>
      <c r="K3979">
        <v>11238</v>
      </c>
      <c r="L3979" t="s">
        <v>18958</v>
      </c>
      <c r="M3979" t="s">
        <v>18958</v>
      </c>
      <c r="O3979" t="s">
        <v>26526</v>
      </c>
      <c r="P3979" t="s">
        <v>26564</v>
      </c>
      <c r="Q3979" t="s">
        <v>26570</v>
      </c>
      <c r="R3979" t="s">
        <v>26578</v>
      </c>
      <c r="S3979" t="s">
        <v>18959</v>
      </c>
      <c r="U3979" t="s">
        <v>26604</v>
      </c>
      <c r="W3979" t="s">
        <v>670</v>
      </c>
      <c r="X3979">
        <v>938</v>
      </c>
      <c r="Y3979" t="s">
        <v>26652</v>
      </c>
      <c r="Z3979" t="s">
        <v>26667</v>
      </c>
      <c r="AA3979" t="s">
        <v>26683</v>
      </c>
      <c r="AB3979" t="s">
        <v>30039</v>
      </c>
      <c r="AD3979" t="s">
        <v>40167</v>
      </c>
      <c r="AE3979">
        <v>0</v>
      </c>
      <c r="AG3979" t="s">
        <v>19330</v>
      </c>
      <c r="AH3979">
        <v>25</v>
      </c>
      <c r="AI3979">
        <v>1</v>
      </c>
      <c r="AJ3979">
        <v>0</v>
      </c>
      <c r="AK3979">
        <v>98.84999999999999</v>
      </c>
      <c r="AN3979" t="s">
        <v>7439</v>
      </c>
      <c r="AO3979">
        <v>12000</v>
      </c>
      <c r="AU3979">
        <v>0.2</v>
      </c>
      <c r="AV3979" t="s">
        <v>704</v>
      </c>
      <c r="AW3979" t="s">
        <v>286</v>
      </c>
    </row>
    <row r="3980" spans="1:49">
      <c r="A3980" s="1">
        <f>HYPERLINK("https://lsnyc.legalserver.org/matter/dynamic-profile/view/1887309","19-1887309")</f>
        <v>0</v>
      </c>
      <c r="B3980" t="s">
        <v>134</v>
      </c>
      <c r="C3980" t="s">
        <v>341</v>
      </c>
      <c r="D3980" t="s">
        <v>704</v>
      </c>
      <c r="E3980" t="s">
        <v>704</v>
      </c>
      <c r="F3980" t="s">
        <v>1114</v>
      </c>
      <c r="G3980" t="s">
        <v>7135</v>
      </c>
      <c r="H3980" t="s">
        <v>12767</v>
      </c>
      <c r="I3980">
        <v>3</v>
      </c>
      <c r="J3980" t="s">
        <v>18894</v>
      </c>
      <c r="K3980">
        <v>11236</v>
      </c>
      <c r="L3980" t="s">
        <v>18958</v>
      </c>
      <c r="M3980" t="s">
        <v>18958</v>
      </c>
      <c r="N3980" t="s">
        <v>18993</v>
      </c>
      <c r="P3980" t="s">
        <v>26564</v>
      </c>
      <c r="Q3980" t="s">
        <v>26570</v>
      </c>
      <c r="R3980" t="s">
        <v>26578</v>
      </c>
      <c r="S3980" t="s">
        <v>18959</v>
      </c>
      <c r="U3980" t="s">
        <v>26607</v>
      </c>
      <c r="W3980" t="s">
        <v>670</v>
      </c>
      <c r="X3980">
        <v>0</v>
      </c>
      <c r="Y3980" t="s">
        <v>26652</v>
      </c>
      <c r="Z3980" t="s">
        <v>26667</v>
      </c>
      <c r="AA3980" t="s">
        <v>26683</v>
      </c>
      <c r="AB3980" t="s">
        <v>30040</v>
      </c>
      <c r="AD3980" t="s">
        <v>40168</v>
      </c>
      <c r="AE3980">
        <v>0</v>
      </c>
      <c r="AG3980" t="s">
        <v>19330</v>
      </c>
      <c r="AH3980">
        <v>1</v>
      </c>
      <c r="AI3980">
        <v>1</v>
      </c>
      <c r="AJ3980">
        <v>1</v>
      </c>
      <c r="AK3980">
        <v>200.49</v>
      </c>
      <c r="AN3980" t="s">
        <v>7439</v>
      </c>
      <c r="AO3980">
        <v>33000</v>
      </c>
      <c r="AU3980">
        <v>0.2</v>
      </c>
      <c r="AV3980" t="s">
        <v>704</v>
      </c>
      <c r="AW3980" t="s">
        <v>286</v>
      </c>
    </row>
    <row r="3981" spans="1:49">
      <c r="A3981" s="1">
        <f>HYPERLINK("https://lsnyc.legalserver.org/matter/dynamic-profile/view/1887518","19-1887518")</f>
        <v>0</v>
      </c>
      <c r="B3981" t="s">
        <v>73</v>
      </c>
      <c r="C3981" t="s">
        <v>341</v>
      </c>
      <c r="D3981" t="s">
        <v>414</v>
      </c>
      <c r="E3981" t="s">
        <v>494</v>
      </c>
      <c r="F3981" t="s">
        <v>948</v>
      </c>
      <c r="G3981" t="s">
        <v>5140</v>
      </c>
      <c r="H3981" t="s">
        <v>9718</v>
      </c>
      <c r="I3981" t="s">
        <v>17334</v>
      </c>
      <c r="J3981" t="s">
        <v>18894</v>
      </c>
      <c r="K3981">
        <v>11233</v>
      </c>
      <c r="L3981" t="s">
        <v>18958</v>
      </c>
      <c r="M3981" t="s">
        <v>18958</v>
      </c>
      <c r="O3981" t="s">
        <v>26531</v>
      </c>
      <c r="P3981" t="s">
        <v>26565</v>
      </c>
      <c r="Q3981" t="s">
        <v>26571</v>
      </c>
      <c r="R3981" t="s">
        <v>26578</v>
      </c>
      <c r="S3981" t="s">
        <v>18958</v>
      </c>
      <c r="U3981" t="s">
        <v>26604</v>
      </c>
      <c r="W3981" t="s">
        <v>670</v>
      </c>
      <c r="X3981">
        <v>2350</v>
      </c>
      <c r="Y3981" t="s">
        <v>26652</v>
      </c>
      <c r="Z3981" t="s">
        <v>26659</v>
      </c>
      <c r="AA3981" t="s">
        <v>26682</v>
      </c>
      <c r="AB3981" t="s">
        <v>26786</v>
      </c>
      <c r="AD3981" t="s">
        <v>36893</v>
      </c>
      <c r="AE3981">
        <v>7</v>
      </c>
      <c r="AF3981" t="s">
        <v>45541</v>
      </c>
      <c r="AG3981" t="s">
        <v>19330</v>
      </c>
      <c r="AH3981">
        <v>1</v>
      </c>
      <c r="AI3981">
        <v>1</v>
      </c>
      <c r="AJ3981">
        <v>0</v>
      </c>
      <c r="AK3981">
        <v>247.12</v>
      </c>
      <c r="AL3981" t="s">
        <v>574</v>
      </c>
      <c r="AM3981" t="s">
        <v>45575</v>
      </c>
      <c r="AN3981" t="s">
        <v>7439</v>
      </c>
      <c r="AO3981">
        <v>30000</v>
      </c>
      <c r="AR3981" t="s">
        <v>26530</v>
      </c>
      <c r="AU3981">
        <v>0.3</v>
      </c>
      <c r="AV3981" t="s">
        <v>415</v>
      </c>
      <c r="AW3981" t="s">
        <v>286</v>
      </c>
    </row>
    <row r="3982" spans="1:49">
      <c r="A3982" s="1">
        <f>HYPERLINK("https://lsnyc.legalserver.org/matter/dynamic-profile/view/1887582","19-1887582")</f>
        <v>0</v>
      </c>
      <c r="B3982" t="s">
        <v>73</v>
      </c>
      <c r="C3982" t="s">
        <v>341</v>
      </c>
      <c r="D3982" t="s">
        <v>415</v>
      </c>
      <c r="E3982" t="s">
        <v>494</v>
      </c>
      <c r="F3982" t="s">
        <v>950</v>
      </c>
      <c r="G3982" t="s">
        <v>5141</v>
      </c>
      <c r="H3982" t="s">
        <v>9718</v>
      </c>
      <c r="I3982" t="s">
        <v>17333</v>
      </c>
      <c r="J3982" t="s">
        <v>18894</v>
      </c>
      <c r="K3982">
        <v>11233</v>
      </c>
      <c r="L3982" t="s">
        <v>18958</v>
      </c>
      <c r="M3982" t="s">
        <v>18958</v>
      </c>
      <c r="O3982" t="s">
        <v>26531</v>
      </c>
      <c r="P3982" t="s">
        <v>26565</v>
      </c>
      <c r="Q3982" t="s">
        <v>26571</v>
      </c>
      <c r="R3982" t="s">
        <v>26578</v>
      </c>
      <c r="S3982" t="s">
        <v>18958</v>
      </c>
      <c r="U3982" t="s">
        <v>26604</v>
      </c>
      <c r="W3982" t="s">
        <v>670</v>
      </c>
      <c r="X3982">
        <v>2400</v>
      </c>
      <c r="Y3982" t="s">
        <v>26652</v>
      </c>
      <c r="Z3982" t="s">
        <v>26666</v>
      </c>
      <c r="AA3982" t="s">
        <v>26682</v>
      </c>
      <c r="AB3982" t="s">
        <v>26788</v>
      </c>
      <c r="AD3982" t="s">
        <v>36895</v>
      </c>
      <c r="AE3982">
        <v>7</v>
      </c>
      <c r="AF3982" t="s">
        <v>45541</v>
      </c>
      <c r="AG3982" t="s">
        <v>19330</v>
      </c>
      <c r="AH3982">
        <v>1</v>
      </c>
      <c r="AI3982">
        <v>1</v>
      </c>
      <c r="AJ3982">
        <v>0</v>
      </c>
      <c r="AK3982">
        <v>329.49</v>
      </c>
      <c r="AN3982" t="s">
        <v>7439</v>
      </c>
      <c r="AO3982">
        <v>40000</v>
      </c>
      <c r="AR3982" t="s">
        <v>26530</v>
      </c>
      <c r="AU3982">
        <v>0.2</v>
      </c>
      <c r="AV3982" t="s">
        <v>415</v>
      </c>
      <c r="AW3982" t="s">
        <v>286</v>
      </c>
    </row>
    <row r="3983" spans="1:49">
      <c r="A3983" s="1">
        <f>HYPERLINK("https://lsnyc.legalserver.org/matter/dynamic-profile/view/1887692","19-1887692")</f>
        <v>0</v>
      </c>
      <c r="B3983" t="s">
        <v>73</v>
      </c>
      <c r="C3983" t="s">
        <v>341</v>
      </c>
      <c r="D3983" t="s">
        <v>415</v>
      </c>
      <c r="E3983" t="s">
        <v>494</v>
      </c>
      <c r="F3983" t="s">
        <v>952</v>
      </c>
      <c r="G3983" t="s">
        <v>3283</v>
      </c>
      <c r="H3983" t="s">
        <v>9718</v>
      </c>
      <c r="I3983" t="s">
        <v>17291</v>
      </c>
      <c r="J3983" t="s">
        <v>18894</v>
      </c>
      <c r="K3983">
        <v>11233</v>
      </c>
      <c r="L3983" t="s">
        <v>18958</v>
      </c>
      <c r="M3983" t="s">
        <v>18958</v>
      </c>
      <c r="O3983" t="s">
        <v>26531</v>
      </c>
      <c r="P3983" t="s">
        <v>26565</v>
      </c>
      <c r="Q3983" t="s">
        <v>26571</v>
      </c>
      <c r="R3983" t="s">
        <v>26578</v>
      </c>
      <c r="S3983" t="s">
        <v>18958</v>
      </c>
      <c r="U3983" t="s">
        <v>26604</v>
      </c>
      <c r="W3983" t="s">
        <v>670</v>
      </c>
      <c r="X3983">
        <v>840</v>
      </c>
      <c r="Y3983" t="s">
        <v>26652</v>
      </c>
      <c r="Z3983" t="s">
        <v>26666</v>
      </c>
      <c r="AA3983" t="s">
        <v>26682</v>
      </c>
      <c r="AB3983" t="s">
        <v>26790</v>
      </c>
      <c r="AD3983" t="s">
        <v>36896</v>
      </c>
      <c r="AE3983">
        <v>7</v>
      </c>
      <c r="AF3983" t="s">
        <v>45541</v>
      </c>
      <c r="AG3983" t="s">
        <v>19330</v>
      </c>
      <c r="AH3983">
        <v>30</v>
      </c>
      <c r="AI3983">
        <v>1</v>
      </c>
      <c r="AJ3983">
        <v>0</v>
      </c>
      <c r="AK3983">
        <v>6919.28</v>
      </c>
      <c r="AM3983" t="s">
        <v>45575</v>
      </c>
      <c r="AN3983" t="s">
        <v>7439</v>
      </c>
      <c r="AO3983">
        <v>840000</v>
      </c>
      <c r="AR3983" t="s">
        <v>26530</v>
      </c>
      <c r="AU3983">
        <v>0.2</v>
      </c>
      <c r="AV3983" t="s">
        <v>415</v>
      </c>
      <c r="AW3983" t="s">
        <v>286</v>
      </c>
    </row>
    <row r="3984" spans="1:49">
      <c r="A3984" s="1">
        <f>HYPERLINK("https://lsnyc.legalserver.org/matter/dynamic-profile/view/1871677","18-1871677")</f>
        <v>0</v>
      </c>
      <c r="B3984" t="s">
        <v>202</v>
      </c>
      <c r="C3984" t="s">
        <v>341</v>
      </c>
      <c r="D3984" t="s">
        <v>426</v>
      </c>
      <c r="E3984" t="s">
        <v>692</v>
      </c>
      <c r="F3984" t="s">
        <v>2880</v>
      </c>
      <c r="G3984" t="s">
        <v>7136</v>
      </c>
      <c r="H3984" t="s">
        <v>12768</v>
      </c>
      <c r="I3984" t="s">
        <v>17343</v>
      </c>
      <c r="J3984" t="s">
        <v>18894</v>
      </c>
      <c r="K3984">
        <v>11229</v>
      </c>
      <c r="L3984" t="s">
        <v>18958</v>
      </c>
      <c r="M3984" t="s">
        <v>18958</v>
      </c>
      <c r="N3984" t="s">
        <v>21979</v>
      </c>
      <c r="O3984" t="s">
        <v>26523</v>
      </c>
      <c r="P3984" t="s">
        <v>26560</v>
      </c>
      <c r="Q3984" t="s">
        <v>26568</v>
      </c>
      <c r="R3984" t="s">
        <v>26586</v>
      </c>
      <c r="S3984" t="s">
        <v>18959</v>
      </c>
      <c r="U3984" t="s">
        <v>26604</v>
      </c>
      <c r="V3984" t="s">
        <v>26609</v>
      </c>
      <c r="W3984" t="s">
        <v>692</v>
      </c>
      <c r="X3984">
        <v>1275.27</v>
      </c>
      <c r="Y3984" t="s">
        <v>26652</v>
      </c>
      <c r="Z3984" t="s">
        <v>26662</v>
      </c>
      <c r="AA3984" t="s">
        <v>26678</v>
      </c>
      <c r="AB3984" t="s">
        <v>29092</v>
      </c>
      <c r="AD3984" t="s">
        <v>40169</v>
      </c>
      <c r="AE3984">
        <v>42</v>
      </c>
      <c r="AF3984" t="s">
        <v>45541</v>
      </c>
      <c r="AG3984" t="s">
        <v>45557</v>
      </c>
      <c r="AH3984">
        <v>8</v>
      </c>
      <c r="AI3984">
        <v>1</v>
      </c>
      <c r="AJ3984">
        <v>2</v>
      </c>
      <c r="AK3984">
        <v>17.9</v>
      </c>
      <c r="AN3984" t="s">
        <v>7439</v>
      </c>
      <c r="AO3984">
        <v>3720</v>
      </c>
      <c r="AQ3984" t="s">
        <v>46359</v>
      </c>
      <c r="AR3984" t="s">
        <v>46401</v>
      </c>
      <c r="AS3984" t="s">
        <v>46499</v>
      </c>
      <c r="AT3984" t="s">
        <v>46564</v>
      </c>
      <c r="AU3984">
        <v>10.5</v>
      </c>
      <c r="AV3984" t="s">
        <v>692</v>
      </c>
      <c r="AW3984" t="s">
        <v>46853</v>
      </c>
    </row>
    <row r="3985" spans="1:49">
      <c r="A3985" s="1">
        <f>HYPERLINK("https://lsnyc.legalserver.org/matter/dynamic-profile/view/1873961","18-1873961")</f>
        <v>0</v>
      </c>
      <c r="B3985" t="s">
        <v>91</v>
      </c>
      <c r="C3985" t="s">
        <v>341</v>
      </c>
      <c r="D3985" t="s">
        <v>469</v>
      </c>
      <c r="E3985" t="s">
        <v>494</v>
      </c>
      <c r="F3985" t="s">
        <v>887</v>
      </c>
      <c r="G3985" t="s">
        <v>7137</v>
      </c>
      <c r="H3985" t="s">
        <v>12769</v>
      </c>
      <c r="I3985" t="s">
        <v>17323</v>
      </c>
      <c r="J3985" t="s">
        <v>7026</v>
      </c>
      <c r="K3985">
        <v>11368</v>
      </c>
      <c r="L3985" t="s">
        <v>18958</v>
      </c>
      <c r="M3985" t="s">
        <v>18958</v>
      </c>
      <c r="N3985" t="s">
        <v>21980</v>
      </c>
      <c r="O3985" t="s">
        <v>26524</v>
      </c>
      <c r="P3985" t="s">
        <v>26560</v>
      </c>
      <c r="Q3985" t="s">
        <v>26568</v>
      </c>
      <c r="R3985" t="s">
        <v>26584</v>
      </c>
      <c r="S3985" t="s">
        <v>18959</v>
      </c>
      <c r="U3985" t="s">
        <v>26604</v>
      </c>
      <c r="V3985" t="s">
        <v>26610</v>
      </c>
      <c r="W3985" t="s">
        <v>692</v>
      </c>
      <c r="X3985">
        <v>1900</v>
      </c>
      <c r="Y3985" t="s">
        <v>26653</v>
      </c>
      <c r="Z3985" t="s">
        <v>26664</v>
      </c>
      <c r="AA3985" t="s">
        <v>26678</v>
      </c>
      <c r="AB3985" t="s">
        <v>30041</v>
      </c>
      <c r="AC3985" t="s">
        <v>35681</v>
      </c>
      <c r="AD3985" t="s">
        <v>40170</v>
      </c>
      <c r="AE3985">
        <v>457</v>
      </c>
      <c r="AF3985" t="s">
        <v>45541</v>
      </c>
      <c r="AG3985" t="s">
        <v>19330</v>
      </c>
      <c r="AH3985">
        <v>1</v>
      </c>
      <c r="AI3985">
        <v>1</v>
      </c>
      <c r="AJ3985">
        <v>2</v>
      </c>
      <c r="AK3985">
        <v>120.31</v>
      </c>
      <c r="AN3985" t="s">
        <v>45581</v>
      </c>
      <c r="AO3985">
        <v>25000</v>
      </c>
      <c r="AR3985" t="s">
        <v>46379</v>
      </c>
      <c r="AS3985" t="s">
        <v>46499</v>
      </c>
      <c r="AT3985" t="s">
        <v>46625</v>
      </c>
      <c r="AU3985">
        <v>12.4</v>
      </c>
      <c r="AV3985" t="s">
        <v>705</v>
      </c>
      <c r="AW3985" t="s">
        <v>161</v>
      </c>
    </row>
    <row r="3986" spans="1:49">
      <c r="A3986" s="1">
        <f>HYPERLINK("https://lsnyc.legalserver.org/matter/dynamic-profile/view/1877065","18-1877065")</f>
        <v>0</v>
      </c>
      <c r="B3986" t="s">
        <v>202</v>
      </c>
      <c r="C3986" t="s">
        <v>341</v>
      </c>
      <c r="D3986" t="s">
        <v>579</v>
      </c>
      <c r="E3986" t="s">
        <v>692</v>
      </c>
      <c r="F3986" t="s">
        <v>1256</v>
      </c>
      <c r="G3986" t="s">
        <v>5419</v>
      </c>
      <c r="H3986" t="s">
        <v>12770</v>
      </c>
      <c r="I3986" t="s">
        <v>17312</v>
      </c>
      <c r="J3986" t="s">
        <v>18894</v>
      </c>
      <c r="K3986">
        <v>11226</v>
      </c>
      <c r="L3986" t="s">
        <v>18958</v>
      </c>
      <c r="M3986" t="s">
        <v>18958</v>
      </c>
      <c r="N3986" t="s">
        <v>21981</v>
      </c>
      <c r="O3986" t="s">
        <v>26523</v>
      </c>
      <c r="P3986" t="s">
        <v>26560</v>
      </c>
      <c r="Q3986" t="s">
        <v>26568</v>
      </c>
      <c r="R3986" t="s">
        <v>26588</v>
      </c>
      <c r="S3986" t="s">
        <v>18959</v>
      </c>
      <c r="U3986" t="s">
        <v>26604</v>
      </c>
      <c r="V3986" t="s">
        <v>26610</v>
      </c>
      <c r="W3986" t="s">
        <v>692</v>
      </c>
      <c r="X3986">
        <v>832.4400000000001</v>
      </c>
      <c r="Y3986" t="s">
        <v>26652</v>
      </c>
      <c r="Z3986" t="s">
        <v>26664</v>
      </c>
      <c r="AA3986" t="s">
        <v>26678</v>
      </c>
      <c r="AB3986" t="s">
        <v>30042</v>
      </c>
      <c r="AE3986">
        <v>54</v>
      </c>
      <c r="AF3986" t="s">
        <v>20460</v>
      </c>
      <c r="AG3986" t="s">
        <v>45558</v>
      </c>
      <c r="AH3986">
        <v>22</v>
      </c>
      <c r="AI3986">
        <v>2</v>
      </c>
      <c r="AJ3986">
        <v>1</v>
      </c>
      <c r="AK3986">
        <v>0</v>
      </c>
      <c r="AN3986" t="s">
        <v>7439</v>
      </c>
      <c r="AO3986">
        <v>0</v>
      </c>
      <c r="AQ3986" t="s">
        <v>46359</v>
      </c>
      <c r="AR3986" t="s">
        <v>46380</v>
      </c>
      <c r="AS3986" t="s">
        <v>46499</v>
      </c>
      <c r="AT3986" t="s">
        <v>46533</v>
      </c>
      <c r="AU3986">
        <v>9.9</v>
      </c>
      <c r="AV3986" t="s">
        <v>692</v>
      </c>
      <c r="AW3986" t="s">
        <v>46862</v>
      </c>
    </row>
    <row r="3987" spans="1:49">
      <c r="A3987" s="1">
        <f>HYPERLINK("https://lsnyc.legalserver.org/matter/dynamic-profile/view/1879147","18-1879147")</f>
        <v>0</v>
      </c>
      <c r="B3987" t="s">
        <v>202</v>
      </c>
      <c r="C3987" t="s">
        <v>341</v>
      </c>
      <c r="D3987" t="s">
        <v>583</v>
      </c>
      <c r="E3987" t="s">
        <v>692</v>
      </c>
      <c r="F3987" t="s">
        <v>1938</v>
      </c>
      <c r="G3987" t="s">
        <v>6903</v>
      </c>
      <c r="H3987" t="s">
        <v>12771</v>
      </c>
      <c r="I3987" t="s">
        <v>17306</v>
      </c>
      <c r="J3987" t="s">
        <v>18894</v>
      </c>
      <c r="K3987">
        <v>11221</v>
      </c>
      <c r="L3987" t="s">
        <v>18958</v>
      </c>
      <c r="M3987" t="s">
        <v>18958</v>
      </c>
      <c r="N3987" t="s">
        <v>21982</v>
      </c>
      <c r="O3987" t="s">
        <v>26523</v>
      </c>
      <c r="P3987" t="s">
        <v>26564</v>
      </c>
      <c r="Q3987" t="s">
        <v>26570</v>
      </c>
      <c r="R3987" t="s">
        <v>26588</v>
      </c>
      <c r="S3987" t="s">
        <v>18959</v>
      </c>
      <c r="U3987" t="s">
        <v>26604</v>
      </c>
      <c r="V3987" t="s">
        <v>26610</v>
      </c>
      <c r="W3987" t="s">
        <v>692</v>
      </c>
      <c r="X3987">
        <v>3150</v>
      </c>
      <c r="Y3987" t="s">
        <v>26652</v>
      </c>
      <c r="Z3987" t="s">
        <v>26669</v>
      </c>
      <c r="AA3987" t="s">
        <v>26683</v>
      </c>
      <c r="AB3987" t="s">
        <v>30043</v>
      </c>
      <c r="AD3987" t="s">
        <v>40171</v>
      </c>
      <c r="AE3987">
        <v>10</v>
      </c>
      <c r="AF3987" t="s">
        <v>20460</v>
      </c>
      <c r="AG3987" t="s">
        <v>19330</v>
      </c>
      <c r="AH3987">
        <v>1</v>
      </c>
      <c r="AI3987">
        <v>1</v>
      </c>
      <c r="AJ3987">
        <v>0</v>
      </c>
      <c r="AK3987">
        <v>0</v>
      </c>
      <c r="AN3987" t="s">
        <v>7439</v>
      </c>
      <c r="AO3987">
        <v>0</v>
      </c>
      <c r="AU3987">
        <v>4.3</v>
      </c>
      <c r="AV3987" t="s">
        <v>692</v>
      </c>
      <c r="AW3987" t="s">
        <v>281</v>
      </c>
    </row>
    <row r="3988" spans="1:49">
      <c r="A3988" s="1">
        <f>HYPERLINK("https://lsnyc.legalserver.org/matter/dynamic-profile/view/1881836","18-1881836")</f>
        <v>0</v>
      </c>
      <c r="B3988" t="s">
        <v>263</v>
      </c>
      <c r="C3988" t="s">
        <v>341</v>
      </c>
      <c r="D3988" t="s">
        <v>624</v>
      </c>
      <c r="E3988" t="s">
        <v>703</v>
      </c>
      <c r="F3988" t="s">
        <v>1049</v>
      </c>
      <c r="G3988" t="s">
        <v>6469</v>
      </c>
      <c r="H3988" t="s">
        <v>12772</v>
      </c>
      <c r="I3988">
        <v>5</v>
      </c>
      <c r="J3988" t="s">
        <v>18892</v>
      </c>
      <c r="K3988">
        <v>10467</v>
      </c>
      <c r="L3988" t="s">
        <v>18958</v>
      </c>
      <c r="M3988" t="s">
        <v>18958</v>
      </c>
      <c r="O3988" t="s">
        <v>18997</v>
      </c>
      <c r="P3988" t="s">
        <v>26564</v>
      </c>
      <c r="Q3988" t="s">
        <v>26570</v>
      </c>
      <c r="R3988" t="s">
        <v>26578</v>
      </c>
      <c r="U3988" t="s">
        <v>26604</v>
      </c>
      <c r="W3988" t="s">
        <v>692</v>
      </c>
      <c r="X3988">
        <v>1400</v>
      </c>
      <c r="Y3988" t="s">
        <v>26650</v>
      </c>
      <c r="AA3988" t="s">
        <v>26683</v>
      </c>
      <c r="AB3988" t="s">
        <v>30044</v>
      </c>
      <c r="AE3988">
        <v>0</v>
      </c>
      <c r="AF3988" t="s">
        <v>45541</v>
      </c>
      <c r="AH3988">
        <v>6</v>
      </c>
      <c r="AI3988">
        <v>1</v>
      </c>
      <c r="AJ3988">
        <v>0</v>
      </c>
      <c r="AK3988">
        <v>288.3</v>
      </c>
      <c r="AN3988" t="s">
        <v>7439</v>
      </c>
      <c r="AO3988">
        <v>35000</v>
      </c>
      <c r="AU3988">
        <v>0.75</v>
      </c>
      <c r="AV3988" t="s">
        <v>643</v>
      </c>
      <c r="AW3988" t="s">
        <v>263</v>
      </c>
    </row>
    <row r="3989" spans="1:49">
      <c r="A3989" s="1">
        <f>HYPERLINK("https://lsnyc.legalserver.org/matter/dynamic-profile/view/1885003","18-1885003")</f>
        <v>0</v>
      </c>
      <c r="B3989" t="s">
        <v>60</v>
      </c>
      <c r="C3989" t="s">
        <v>340</v>
      </c>
      <c r="D3989" t="s">
        <v>518</v>
      </c>
      <c r="F3989" t="s">
        <v>1493</v>
      </c>
      <c r="G3989" t="s">
        <v>7138</v>
      </c>
      <c r="H3989" t="s">
        <v>10759</v>
      </c>
      <c r="I3989" t="s">
        <v>17332</v>
      </c>
      <c r="J3989" t="s">
        <v>18892</v>
      </c>
      <c r="K3989">
        <v>10456</v>
      </c>
      <c r="L3989" t="s">
        <v>18958</v>
      </c>
      <c r="M3989" t="s">
        <v>18958</v>
      </c>
      <c r="N3989" t="s">
        <v>21983</v>
      </c>
      <c r="O3989" t="s">
        <v>26534</v>
      </c>
      <c r="P3989" t="s">
        <v>26565</v>
      </c>
      <c r="R3989" t="s">
        <v>26578</v>
      </c>
      <c r="S3989" t="s">
        <v>18959</v>
      </c>
      <c r="U3989" t="s">
        <v>26604</v>
      </c>
      <c r="V3989" t="s">
        <v>26610</v>
      </c>
      <c r="W3989" t="s">
        <v>692</v>
      </c>
      <c r="X3989">
        <v>515.24</v>
      </c>
      <c r="Y3989" t="s">
        <v>26650</v>
      </c>
      <c r="AB3989" t="s">
        <v>30045</v>
      </c>
      <c r="AD3989" t="s">
        <v>40172</v>
      </c>
      <c r="AE3989">
        <v>0</v>
      </c>
      <c r="AF3989" t="s">
        <v>45548</v>
      </c>
      <c r="AG3989" t="s">
        <v>19330</v>
      </c>
      <c r="AH3989">
        <v>40</v>
      </c>
      <c r="AI3989">
        <v>1</v>
      </c>
      <c r="AJ3989">
        <v>1</v>
      </c>
      <c r="AK3989">
        <v>102.11</v>
      </c>
      <c r="AN3989" t="s">
        <v>7439</v>
      </c>
      <c r="AO3989">
        <v>16807.92</v>
      </c>
      <c r="AU3989">
        <v>0.5</v>
      </c>
      <c r="AV3989" t="s">
        <v>518</v>
      </c>
      <c r="AW3989" t="s">
        <v>60</v>
      </c>
    </row>
    <row r="3990" spans="1:49">
      <c r="A3990" s="1">
        <f>HYPERLINK("https://lsnyc.legalserver.org/matter/dynamic-profile/view/1886100","18-1886100")</f>
        <v>0</v>
      </c>
      <c r="B3990" t="s">
        <v>151</v>
      </c>
      <c r="C3990" t="s">
        <v>341</v>
      </c>
      <c r="D3990" t="s">
        <v>692</v>
      </c>
      <c r="E3990" t="s">
        <v>494</v>
      </c>
      <c r="F3990" t="s">
        <v>1218</v>
      </c>
      <c r="G3990" t="s">
        <v>7139</v>
      </c>
      <c r="H3990" t="s">
        <v>12773</v>
      </c>
      <c r="I3990" t="s">
        <v>17316</v>
      </c>
      <c r="J3990" t="s">
        <v>18893</v>
      </c>
      <c r="K3990">
        <v>10026</v>
      </c>
      <c r="L3990" t="s">
        <v>18958</v>
      </c>
      <c r="M3990" t="s">
        <v>18958</v>
      </c>
      <c r="N3990" t="s">
        <v>21984</v>
      </c>
      <c r="O3990" t="s">
        <v>26523</v>
      </c>
      <c r="P3990" t="s">
        <v>26564</v>
      </c>
      <c r="Q3990" t="s">
        <v>26570</v>
      </c>
      <c r="R3990" t="s">
        <v>26578</v>
      </c>
      <c r="S3990" t="s">
        <v>18959</v>
      </c>
      <c r="U3990" t="s">
        <v>26604</v>
      </c>
      <c r="V3990" t="s">
        <v>26611</v>
      </c>
      <c r="W3990" t="s">
        <v>692</v>
      </c>
      <c r="X3990">
        <v>702</v>
      </c>
      <c r="Y3990" t="s">
        <v>26651</v>
      </c>
      <c r="Z3990" t="s">
        <v>26668</v>
      </c>
      <c r="AA3990" t="s">
        <v>26683</v>
      </c>
      <c r="AB3990" t="s">
        <v>30046</v>
      </c>
      <c r="AD3990" t="s">
        <v>40173</v>
      </c>
      <c r="AE3990">
        <v>8</v>
      </c>
      <c r="AF3990" t="s">
        <v>45551</v>
      </c>
      <c r="AG3990" t="s">
        <v>19330</v>
      </c>
      <c r="AH3990">
        <v>3</v>
      </c>
      <c r="AI3990">
        <v>1</v>
      </c>
      <c r="AJ3990">
        <v>0</v>
      </c>
      <c r="AK3990">
        <v>370.68</v>
      </c>
      <c r="AN3990" t="s">
        <v>7439</v>
      </c>
      <c r="AO3990">
        <v>45000</v>
      </c>
      <c r="AU3990">
        <v>1.2</v>
      </c>
      <c r="AV3990" t="s">
        <v>684</v>
      </c>
      <c r="AW3990" t="s">
        <v>314</v>
      </c>
    </row>
    <row r="3991" spans="1:49">
      <c r="A3991" s="1">
        <f>HYPERLINK("https://lsnyc.legalserver.org/matter/dynamic-profile/view/1886158","18-1886158")</f>
        <v>0</v>
      </c>
      <c r="B3991" t="s">
        <v>151</v>
      </c>
      <c r="C3991" t="s">
        <v>341</v>
      </c>
      <c r="D3991" t="s">
        <v>692</v>
      </c>
      <c r="E3991" t="s">
        <v>494</v>
      </c>
      <c r="F3991" t="s">
        <v>2881</v>
      </c>
      <c r="G3991" t="s">
        <v>7140</v>
      </c>
      <c r="H3991" t="s">
        <v>12774</v>
      </c>
      <c r="I3991" t="s">
        <v>17307</v>
      </c>
      <c r="J3991" t="s">
        <v>18893</v>
      </c>
      <c r="K3991">
        <v>10031</v>
      </c>
      <c r="L3991" t="s">
        <v>18958</v>
      </c>
      <c r="M3991" t="s">
        <v>18958</v>
      </c>
      <c r="N3991" t="s">
        <v>21985</v>
      </c>
      <c r="O3991" t="s">
        <v>26523</v>
      </c>
      <c r="P3991" t="s">
        <v>26564</v>
      </c>
      <c r="Q3991" t="s">
        <v>26570</v>
      </c>
      <c r="R3991" t="s">
        <v>26580</v>
      </c>
      <c r="S3991" t="s">
        <v>18959</v>
      </c>
      <c r="U3991" t="s">
        <v>26604</v>
      </c>
      <c r="V3991" t="s">
        <v>26614</v>
      </c>
      <c r="W3991" t="s">
        <v>692</v>
      </c>
      <c r="X3991">
        <v>865.53</v>
      </c>
      <c r="Y3991" t="s">
        <v>26651</v>
      </c>
      <c r="Z3991" t="s">
        <v>26664</v>
      </c>
      <c r="AA3991" t="s">
        <v>26683</v>
      </c>
      <c r="AB3991" t="s">
        <v>30047</v>
      </c>
      <c r="AD3991" t="s">
        <v>40174</v>
      </c>
      <c r="AE3991">
        <v>16</v>
      </c>
      <c r="AF3991" t="s">
        <v>45548</v>
      </c>
      <c r="AG3991" t="s">
        <v>19330</v>
      </c>
      <c r="AH3991">
        <v>23</v>
      </c>
      <c r="AI3991">
        <v>1</v>
      </c>
      <c r="AJ3991">
        <v>1</v>
      </c>
      <c r="AK3991">
        <v>97.20999999999999</v>
      </c>
      <c r="AN3991" t="s">
        <v>7439</v>
      </c>
      <c r="AO3991">
        <v>16000</v>
      </c>
      <c r="AU3991">
        <v>1.3</v>
      </c>
      <c r="AV3991" t="s">
        <v>684</v>
      </c>
      <c r="AW3991" t="s">
        <v>314</v>
      </c>
    </row>
    <row r="3992" spans="1:49">
      <c r="A3992" s="1">
        <f>HYPERLINK("https://lsnyc.legalserver.org/matter/dynamic-profile/view/1841872","17-1841872")</f>
        <v>0</v>
      </c>
      <c r="B3992" t="s">
        <v>90</v>
      </c>
      <c r="C3992" t="s">
        <v>341</v>
      </c>
      <c r="D3992" t="s">
        <v>692</v>
      </c>
      <c r="E3992" t="s">
        <v>707</v>
      </c>
      <c r="F3992" t="s">
        <v>2882</v>
      </c>
      <c r="G3992" t="s">
        <v>7141</v>
      </c>
      <c r="H3992" t="s">
        <v>12775</v>
      </c>
      <c r="I3992" t="s">
        <v>17362</v>
      </c>
      <c r="J3992" t="s">
        <v>18893</v>
      </c>
      <c r="K3992">
        <v>10040</v>
      </c>
      <c r="L3992" t="s">
        <v>18958</v>
      </c>
      <c r="M3992" t="s">
        <v>18958</v>
      </c>
      <c r="O3992" t="s">
        <v>18997</v>
      </c>
      <c r="P3992" t="s">
        <v>26564</v>
      </c>
      <c r="Q3992" t="s">
        <v>26570</v>
      </c>
      <c r="R3992" t="s">
        <v>26578</v>
      </c>
      <c r="S3992" t="s">
        <v>18958</v>
      </c>
      <c r="U3992" t="s">
        <v>26604</v>
      </c>
      <c r="V3992" t="s">
        <v>26610</v>
      </c>
      <c r="W3992" t="s">
        <v>692</v>
      </c>
      <c r="X3992">
        <v>1148</v>
      </c>
      <c r="Y3992" t="s">
        <v>26651</v>
      </c>
      <c r="Z3992" t="s">
        <v>26661</v>
      </c>
      <c r="AA3992" t="s">
        <v>26683</v>
      </c>
      <c r="AB3992" t="s">
        <v>30048</v>
      </c>
      <c r="AD3992" t="s">
        <v>40175</v>
      </c>
      <c r="AE3992">
        <v>30</v>
      </c>
      <c r="AF3992" t="s">
        <v>45541</v>
      </c>
      <c r="AG3992" t="s">
        <v>19330</v>
      </c>
      <c r="AH3992">
        <v>9</v>
      </c>
      <c r="AI3992">
        <v>1</v>
      </c>
      <c r="AJ3992">
        <v>0</v>
      </c>
      <c r="AK3992">
        <v>0</v>
      </c>
      <c r="AN3992" t="s">
        <v>7439</v>
      </c>
      <c r="AO3992">
        <v>0</v>
      </c>
      <c r="AU3992">
        <v>0.7</v>
      </c>
      <c r="AV3992" t="s">
        <v>707</v>
      </c>
      <c r="AW3992" t="s">
        <v>46840</v>
      </c>
    </row>
    <row r="3993" spans="1:49">
      <c r="A3993" s="1">
        <f>HYPERLINK("https://lsnyc.legalserver.org/matter/dynamic-profile/view/1886091","18-1886091")</f>
        <v>0</v>
      </c>
      <c r="B3993" t="s">
        <v>61</v>
      </c>
      <c r="C3993" t="s">
        <v>340</v>
      </c>
      <c r="D3993" t="s">
        <v>692</v>
      </c>
      <c r="F3993" t="s">
        <v>871</v>
      </c>
      <c r="G3993" t="s">
        <v>5169</v>
      </c>
      <c r="H3993" t="s">
        <v>11324</v>
      </c>
      <c r="I3993">
        <v>35</v>
      </c>
      <c r="J3993" t="s">
        <v>18893</v>
      </c>
      <c r="K3993">
        <v>10034</v>
      </c>
      <c r="L3993" t="s">
        <v>18958</v>
      </c>
      <c r="M3993" t="s">
        <v>18958</v>
      </c>
      <c r="O3993" t="s">
        <v>26526</v>
      </c>
      <c r="P3993" t="s">
        <v>26560</v>
      </c>
      <c r="R3993" t="s">
        <v>26578</v>
      </c>
      <c r="S3993" t="s">
        <v>18958</v>
      </c>
      <c r="U3993" t="s">
        <v>26604</v>
      </c>
      <c r="W3993" t="s">
        <v>692</v>
      </c>
      <c r="X3993">
        <v>961.5</v>
      </c>
      <c r="Y3993" t="s">
        <v>26651</v>
      </c>
      <c r="Z3993" t="s">
        <v>26661</v>
      </c>
      <c r="AB3993" t="s">
        <v>30049</v>
      </c>
      <c r="AD3993" t="s">
        <v>40176</v>
      </c>
      <c r="AE3993">
        <v>25</v>
      </c>
      <c r="AF3993" t="s">
        <v>45541</v>
      </c>
      <c r="AG3993" t="s">
        <v>19330</v>
      </c>
      <c r="AH3993">
        <v>26</v>
      </c>
      <c r="AI3993">
        <v>2</v>
      </c>
      <c r="AJ3993">
        <v>0</v>
      </c>
      <c r="AK3993">
        <v>94.78</v>
      </c>
      <c r="AN3993" t="s">
        <v>45581</v>
      </c>
      <c r="AO3993">
        <v>15600</v>
      </c>
      <c r="AU3993">
        <v>104.6</v>
      </c>
      <c r="AV3993" t="s">
        <v>839</v>
      </c>
      <c r="AW3993" t="s">
        <v>46840</v>
      </c>
    </row>
    <row r="3994" spans="1:49">
      <c r="A3994" s="1">
        <f>HYPERLINK("https://lsnyc.legalserver.org/matter/dynamic-profile/view/1886382","18-1886382")</f>
        <v>0</v>
      </c>
      <c r="B3994" t="s">
        <v>149</v>
      </c>
      <c r="C3994" t="s">
        <v>340</v>
      </c>
      <c r="D3994" t="s">
        <v>692</v>
      </c>
      <c r="F3994" t="s">
        <v>2248</v>
      </c>
      <c r="G3994" t="s">
        <v>5748</v>
      </c>
      <c r="H3994" t="s">
        <v>9849</v>
      </c>
      <c r="I3994" t="s">
        <v>17520</v>
      </c>
      <c r="J3994" t="s">
        <v>18892</v>
      </c>
      <c r="K3994">
        <v>10451</v>
      </c>
      <c r="L3994" t="s">
        <v>18958</v>
      </c>
      <c r="M3994" t="s">
        <v>18958</v>
      </c>
      <c r="N3994" t="s">
        <v>21986</v>
      </c>
      <c r="O3994" t="s">
        <v>26524</v>
      </c>
      <c r="P3994" t="s">
        <v>26560</v>
      </c>
      <c r="R3994" t="s">
        <v>26577</v>
      </c>
      <c r="S3994" t="s">
        <v>18959</v>
      </c>
      <c r="U3994" t="s">
        <v>26604</v>
      </c>
      <c r="V3994" t="s">
        <v>26610</v>
      </c>
      <c r="W3994" t="s">
        <v>692</v>
      </c>
      <c r="X3994">
        <v>0</v>
      </c>
      <c r="Y3994" t="s">
        <v>26650</v>
      </c>
      <c r="Z3994" t="s">
        <v>26664</v>
      </c>
      <c r="AB3994" t="s">
        <v>30050</v>
      </c>
      <c r="AD3994" t="s">
        <v>40177</v>
      </c>
      <c r="AE3994">
        <v>72</v>
      </c>
      <c r="AF3994" t="s">
        <v>20460</v>
      </c>
      <c r="AG3994" t="s">
        <v>19330</v>
      </c>
      <c r="AH3994">
        <v>3</v>
      </c>
      <c r="AI3994">
        <v>5</v>
      </c>
      <c r="AJ3994">
        <v>5</v>
      </c>
      <c r="AK3994">
        <v>70.31999999999999</v>
      </c>
      <c r="AN3994" t="s">
        <v>45581</v>
      </c>
      <c r="AO3994">
        <v>35877.26</v>
      </c>
      <c r="AP3994" t="s">
        <v>45807</v>
      </c>
      <c r="AU3994">
        <v>18.5</v>
      </c>
      <c r="AV3994" t="s">
        <v>831</v>
      </c>
      <c r="AW3994" t="s">
        <v>336</v>
      </c>
    </row>
    <row r="3995" spans="1:49">
      <c r="A3995" s="1">
        <f>HYPERLINK("https://lsnyc.legalserver.org/matter/dynamic-profile/view/1886104","18-1886104")</f>
        <v>0</v>
      </c>
      <c r="B3995" t="s">
        <v>276</v>
      </c>
      <c r="C3995" t="s">
        <v>340</v>
      </c>
      <c r="D3995" t="s">
        <v>692</v>
      </c>
      <c r="F3995" t="s">
        <v>1045</v>
      </c>
      <c r="G3995" t="s">
        <v>7142</v>
      </c>
      <c r="H3995" t="s">
        <v>12776</v>
      </c>
      <c r="J3995" t="s">
        <v>18894</v>
      </c>
      <c r="K3995">
        <v>11210</v>
      </c>
      <c r="L3995" t="s">
        <v>18958</v>
      </c>
      <c r="M3995" t="s">
        <v>18958</v>
      </c>
      <c r="N3995" t="s">
        <v>21987</v>
      </c>
      <c r="O3995" t="s">
        <v>26523</v>
      </c>
      <c r="P3995" t="s">
        <v>26560</v>
      </c>
      <c r="R3995" t="s">
        <v>26578</v>
      </c>
      <c r="S3995" t="s">
        <v>18959</v>
      </c>
      <c r="U3995" t="s">
        <v>26604</v>
      </c>
      <c r="W3995" t="s">
        <v>692</v>
      </c>
      <c r="X3995">
        <v>0</v>
      </c>
      <c r="Y3995" t="s">
        <v>26652</v>
      </c>
      <c r="AB3995" t="s">
        <v>29387</v>
      </c>
      <c r="AD3995" t="s">
        <v>40178</v>
      </c>
      <c r="AE3995">
        <v>0</v>
      </c>
      <c r="AF3995" t="s">
        <v>45547</v>
      </c>
      <c r="AH3995">
        <v>6</v>
      </c>
      <c r="AI3995">
        <v>1</v>
      </c>
      <c r="AJ3995">
        <v>1</v>
      </c>
      <c r="AK3995">
        <v>0</v>
      </c>
      <c r="AO3995">
        <v>0</v>
      </c>
      <c r="AU3995">
        <v>61</v>
      </c>
      <c r="AV3995" t="s">
        <v>823</v>
      </c>
      <c r="AW3995" t="s">
        <v>219</v>
      </c>
    </row>
    <row r="3996" spans="1:49">
      <c r="A3996" s="1">
        <f>HYPERLINK("https://lsnyc.legalserver.org/matter/dynamic-profile/view/1886140","18-1886140")</f>
        <v>0</v>
      </c>
      <c r="B3996" t="s">
        <v>94</v>
      </c>
      <c r="C3996" t="s">
        <v>340</v>
      </c>
      <c r="D3996" t="s">
        <v>692</v>
      </c>
      <c r="F3996" t="s">
        <v>871</v>
      </c>
      <c r="G3996" t="s">
        <v>1685</v>
      </c>
      <c r="H3996" t="s">
        <v>12777</v>
      </c>
      <c r="I3996" t="s">
        <v>18039</v>
      </c>
      <c r="J3996" t="s">
        <v>18893</v>
      </c>
      <c r="K3996">
        <v>10031</v>
      </c>
      <c r="L3996" t="s">
        <v>18958</v>
      </c>
      <c r="M3996" t="s">
        <v>18958</v>
      </c>
      <c r="N3996" t="s">
        <v>21988</v>
      </c>
      <c r="O3996" t="s">
        <v>26523</v>
      </c>
      <c r="P3996" t="s">
        <v>26560</v>
      </c>
      <c r="R3996" t="s">
        <v>26580</v>
      </c>
      <c r="S3996" t="s">
        <v>18959</v>
      </c>
      <c r="U3996" t="s">
        <v>26604</v>
      </c>
      <c r="W3996" t="s">
        <v>692</v>
      </c>
      <c r="X3996">
        <v>745</v>
      </c>
      <c r="Y3996" t="s">
        <v>26651</v>
      </c>
      <c r="Z3996" t="s">
        <v>26664</v>
      </c>
      <c r="AB3996" t="s">
        <v>30051</v>
      </c>
      <c r="AD3996" t="s">
        <v>40179</v>
      </c>
      <c r="AE3996">
        <v>0</v>
      </c>
      <c r="AF3996" t="s">
        <v>45541</v>
      </c>
      <c r="AG3996" t="s">
        <v>45559</v>
      </c>
      <c r="AH3996">
        <v>39</v>
      </c>
      <c r="AI3996">
        <v>3</v>
      </c>
      <c r="AJ3996">
        <v>0</v>
      </c>
      <c r="AK3996">
        <v>175.71</v>
      </c>
      <c r="AN3996" t="s">
        <v>45581</v>
      </c>
      <c r="AO3996">
        <v>36512</v>
      </c>
      <c r="AU3996">
        <v>27.2</v>
      </c>
      <c r="AV3996" t="s">
        <v>834</v>
      </c>
      <c r="AW3996" t="s">
        <v>46875</v>
      </c>
    </row>
    <row r="3997" spans="1:49">
      <c r="A3997" s="1">
        <f>HYPERLINK("https://lsnyc.legalserver.org/matter/dynamic-profile/view/1886139","18-1886139")</f>
        <v>0</v>
      </c>
      <c r="B3997" t="s">
        <v>151</v>
      </c>
      <c r="C3997" t="s">
        <v>340</v>
      </c>
      <c r="D3997" t="s">
        <v>692</v>
      </c>
      <c r="F3997" t="s">
        <v>918</v>
      </c>
      <c r="G3997" t="s">
        <v>5806</v>
      </c>
      <c r="H3997" t="s">
        <v>12778</v>
      </c>
      <c r="I3997" t="s">
        <v>17349</v>
      </c>
      <c r="J3997" t="s">
        <v>18893</v>
      </c>
      <c r="K3997">
        <v>10026</v>
      </c>
      <c r="L3997" t="s">
        <v>18958</v>
      </c>
      <c r="M3997" t="s">
        <v>18958</v>
      </c>
      <c r="N3997" t="s">
        <v>21989</v>
      </c>
      <c r="O3997" t="s">
        <v>26524</v>
      </c>
      <c r="P3997" t="s">
        <v>26560</v>
      </c>
      <c r="R3997" t="s">
        <v>26580</v>
      </c>
      <c r="S3997" t="s">
        <v>18959</v>
      </c>
      <c r="U3997" t="s">
        <v>26604</v>
      </c>
      <c r="V3997" t="s">
        <v>26610</v>
      </c>
      <c r="W3997" t="s">
        <v>692</v>
      </c>
      <c r="X3997">
        <v>302</v>
      </c>
      <c r="Y3997" t="s">
        <v>26651</v>
      </c>
      <c r="Z3997" t="s">
        <v>26668</v>
      </c>
      <c r="AB3997" t="s">
        <v>30052</v>
      </c>
      <c r="AD3997" t="s">
        <v>40180</v>
      </c>
      <c r="AE3997">
        <v>17</v>
      </c>
      <c r="AF3997" t="s">
        <v>20460</v>
      </c>
      <c r="AG3997" t="s">
        <v>19330</v>
      </c>
      <c r="AH3997">
        <v>1</v>
      </c>
      <c r="AI3997">
        <v>1</v>
      </c>
      <c r="AJ3997">
        <v>0</v>
      </c>
      <c r="AK3997">
        <v>74.14</v>
      </c>
      <c r="AN3997" t="s">
        <v>7439</v>
      </c>
      <c r="AO3997">
        <v>9000</v>
      </c>
      <c r="AU3997">
        <v>26.1</v>
      </c>
      <c r="AV3997" t="s">
        <v>838</v>
      </c>
      <c r="AW3997" t="s">
        <v>314</v>
      </c>
    </row>
    <row r="3998" spans="1:49">
      <c r="A3998" s="1">
        <f>HYPERLINK("https://lsnyc.legalserver.org/matter/dynamic-profile/view/1886062","18-1886062")</f>
        <v>0</v>
      </c>
      <c r="B3998" t="s">
        <v>151</v>
      </c>
      <c r="C3998" t="s">
        <v>340</v>
      </c>
      <c r="D3998" t="s">
        <v>692</v>
      </c>
      <c r="F3998" t="s">
        <v>2883</v>
      </c>
      <c r="G3998" t="s">
        <v>5385</v>
      </c>
      <c r="H3998" t="s">
        <v>12027</v>
      </c>
      <c r="I3998" t="s">
        <v>17325</v>
      </c>
      <c r="J3998" t="s">
        <v>18893</v>
      </c>
      <c r="K3998">
        <v>10027</v>
      </c>
      <c r="L3998" t="s">
        <v>18958</v>
      </c>
      <c r="M3998" t="s">
        <v>18958</v>
      </c>
      <c r="N3998" t="s">
        <v>21990</v>
      </c>
      <c r="O3998" t="s">
        <v>26523</v>
      </c>
      <c r="P3998" t="s">
        <v>26560</v>
      </c>
      <c r="R3998" t="s">
        <v>26580</v>
      </c>
      <c r="S3998" t="s">
        <v>18959</v>
      </c>
      <c r="U3998" t="s">
        <v>26604</v>
      </c>
      <c r="V3998" t="s">
        <v>26611</v>
      </c>
      <c r="W3998" t="s">
        <v>692</v>
      </c>
      <c r="X3998">
        <v>598</v>
      </c>
      <c r="Y3998" t="s">
        <v>26651</v>
      </c>
      <c r="Z3998" t="s">
        <v>26664</v>
      </c>
      <c r="AB3998" t="s">
        <v>30053</v>
      </c>
      <c r="AD3998" t="s">
        <v>40181</v>
      </c>
      <c r="AE3998">
        <v>24</v>
      </c>
      <c r="AF3998" t="s">
        <v>45548</v>
      </c>
      <c r="AG3998" t="s">
        <v>19330</v>
      </c>
      <c r="AH3998">
        <v>14</v>
      </c>
      <c r="AI3998">
        <v>1</v>
      </c>
      <c r="AJ3998">
        <v>2</v>
      </c>
      <c r="AK3998">
        <v>173.24</v>
      </c>
      <c r="AN3998" t="s">
        <v>7439</v>
      </c>
      <c r="AO3998">
        <v>36000</v>
      </c>
      <c r="AU3998">
        <v>8.800000000000001</v>
      </c>
      <c r="AV3998" t="s">
        <v>805</v>
      </c>
      <c r="AW3998" t="s">
        <v>46875</v>
      </c>
    </row>
    <row r="3999" spans="1:49">
      <c r="A3999" s="1">
        <f>HYPERLINK("https://lsnyc.legalserver.org/matter/dynamic-profile/view/1886125","18-1886125")</f>
        <v>0</v>
      </c>
      <c r="B3999" t="s">
        <v>243</v>
      </c>
      <c r="C3999" t="s">
        <v>340</v>
      </c>
      <c r="D3999" t="s">
        <v>692</v>
      </c>
      <c r="F3999" t="s">
        <v>2405</v>
      </c>
      <c r="G3999" t="s">
        <v>6689</v>
      </c>
      <c r="H3999" t="s">
        <v>11135</v>
      </c>
      <c r="I3999" t="s">
        <v>17919</v>
      </c>
      <c r="J3999" t="s">
        <v>18894</v>
      </c>
      <c r="K3999">
        <v>11225</v>
      </c>
      <c r="L3999" t="s">
        <v>18958</v>
      </c>
      <c r="M3999" t="s">
        <v>18958</v>
      </c>
      <c r="N3999" t="s">
        <v>21991</v>
      </c>
      <c r="O3999" t="s">
        <v>26523</v>
      </c>
      <c r="P3999" t="s">
        <v>26560</v>
      </c>
      <c r="R3999" t="s">
        <v>26588</v>
      </c>
      <c r="U3999" t="s">
        <v>26604</v>
      </c>
      <c r="V3999" t="s">
        <v>26610</v>
      </c>
      <c r="W3999" t="s">
        <v>692</v>
      </c>
      <c r="X3999">
        <v>1526.3</v>
      </c>
      <c r="Y3999" t="s">
        <v>26652</v>
      </c>
      <c r="Z3999" t="s">
        <v>26667</v>
      </c>
      <c r="AB3999" t="s">
        <v>29264</v>
      </c>
      <c r="AE3999">
        <v>0</v>
      </c>
      <c r="AF3999" t="s">
        <v>45541</v>
      </c>
      <c r="AH3999">
        <v>6</v>
      </c>
      <c r="AI3999">
        <v>1</v>
      </c>
      <c r="AJ3999">
        <v>1</v>
      </c>
      <c r="AK3999">
        <v>131.23</v>
      </c>
      <c r="AO3999">
        <v>21600</v>
      </c>
      <c r="AQ3999" t="s">
        <v>46362</v>
      </c>
      <c r="AU3999">
        <v>22.9</v>
      </c>
      <c r="AV3999" t="s">
        <v>831</v>
      </c>
      <c r="AW3999" t="s">
        <v>219</v>
      </c>
    </row>
    <row r="4000" spans="1:49">
      <c r="A4000" s="1">
        <f>HYPERLINK("https://lsnyc.legalserver.org/matter/dynamic-profile/view/1886080","18-1886080")</f>
        <v>0</v>
      </c>
      <c r="B4000" t="s">
        <v>191</v>
      </c>
      <c r="C4000" t="s">
        <v>340</v>
      </c>
      <c r="D4000" t="s">
        <v>692</v>
      </c>
      <c r="F4000" t="s">
        <v>1323</v>
      </c>
      <c r="G4000" t="s">
        <v>5078</v>
      </c>
      <c r="H4000" t="s">
        <v>12779</v>
      </c>
      <c r="I4000">
        <v>14</v>
      </c>
      <c r="J4000" t="s">
        <v>18893</v>
      </c>
      <c r="K4000">
        <v>10027</v>
      </c>
      <c r="L4000" t="s">
        <v>18958</v>
      </c>
      <c r="M4000" t="s">
        <v>18958</v>
      </c>
      <c r="N4000" t="s">
        <v>21992</v>
      </c>
      <c r="O4000" t="s">
        <v>26524</v>
      </c>
      <c r="P4000" t="s">
        <v>26560</v>
      </c>
      <c r="R4000" t="s">
        <v>26580</v>
      </c>
      <c r="S4000" t="s">
        <v>18959</v>
      </c>
      <c r="U4000" t="s">
        <v>26604</v>
      </c>
      <c r="V4000" t="s">
        <v>26610</v>
      </c>
      <c r="W4000" t="s">
        <v>692</v>
      </c>
      <c r="X4000">
        <v>940</v>
      </c>
      <c r="Y4000" t="s">
        <v>26651</v>
      </c>
      <c r="Z4000" t="s">
        <v>26664</v>
      </c>
      <c r="AB4000" t="s">
        <v>30054</v>
      </c>
      <c r="AD4000" t="s">
        <v>40182</v>
      </c>
      <c r="AE4000">
        <v>26</v>
      </c>
      <c r="AF4000" t="s">
        <v>45548</v>
      </c>
      <c r="AG4000" t="s">
        <v>19330</v>
      </c>
      <c r="AH4000">
        <v>30</v>
      </c>
      <c r="AI4000">
        <v>2</v>
      </c>
      <c r="AJ4000">
        <v>2</v>
      </c>
      <c r="AK4000">
        <v>0</v>
      </c>
      <c r="AO4000">
        <v>0</v>
      </c>
      <c r="AU4000">
        <v>14.3</v>
      </c>
      <c r="AV4000" t="s">
        <v>831</v>
      </c>
      <c r="AW4000" t="s">
        <v>46875</v>
      </c>
    </row>
    <row r="4001" spans="1:49">
      <c r="A4001" s="1">
        <f>HYPERLINK("https://lsnyc.legalserver.org/matter/dynamic-profile/view/1886105","18-1886105")</f>
        <v>0</v>
      </c>
      <c r="B4001" t="s">
        <v>90</v>
      </c>
      <c r="C4001" t="s">
        <v>340</v>
      </c>
      <c r="D4001" t="s">
        <v>692</v>
      </c>
      <c r="F4001" t="s">
        <v>901</v>
      </c>
      <c r="G4001" t="s">
        <v>5685</v>
      </c>
      <c r="H4001" t="s">
        <v>11849</v>
      </c>
      <c r="I4001">
        <v>4</v>
      </c>
      <c r="J4001" t="s">
        <v>18893</v>
      </c>
      <c r="K4001">
        <v>10029</v>
      </c>
      <c r="L4001" t="s">
        <v>18958</v>
      </c>
      <c r="M4001" t="s">
        <v>18958</v>
      </c>
      <c r="N4001" t="s">
        <v>21035</v>
      </c>
      <c r="O4001" t="s">
        <v>26526</v>
      </c>
      <c r="P4001" t="s">
        <v>26560</v>
      </c>
      <c r="R4001" t="s">
        <v>26578</v>
      </c>
      <c r="S4001" t="s">
        <v>18958</v>
      </c>
      <c r="U4001" t="s">
        <v>26604</v>
      </c>
      <c r="V4001" t="s">
        <v>26610</v>
      </c>
      <c r="W4001" t="s">
        <v>692</v>
      </c>
      <c r="X4001">
        <v>1081</v>
      </c>
      <c r="Y4001" t="s">
        <v>26651</v>
      </c>
      <c r="Z4001" t="s">
        <v>26667</v>
      </c>
      <c r="AB4001" t="s">
        <v>30055</v>
      </c>
      <c r="AD4001" t="s">
        <v>40183</v>
      </c>
      <c r="AE4001">
        <v>6</v>
      </c>
      <c r="AF4001" t="s">
        <v>45541</v>
      </c>
      <c r="AG4001" t="s">
        <v>19330</v>
      </c>
      <c r="AH4001">
        <v>21</v>
      </c>
      <c r="AI4001">
        <v>2</v>
      </c>
      <c r="AJ4001">
        <v>2</v>
      </c>
      <c r="AK4001">
        <v>242.07</v>
      </c>
      <c r="AN4001" t="s">
        <v>7439</v>
      </c>
      <c r="AO4001">
        <v>60760</v>
      </c>
      <c r="AU4001">
        <v>0.5</v>
      </c>
      <c r="AV4001" t="s">
        <v>792</v>
      </c>
      <c r="AW4001" t="s">
        <v>46835</v>
      </c>
    </row>
    <row r="4002" spans="1:49">
      <c r="A4002" s="1">
        <f>HYPERLINK("https://lsnyc.legalserver.org/matter/dynamic-profile/view/1886079","18-1886079")</f>
        <v>0</v>
      </c>
      <c r="B4002" t="s">
        <v>90</v>
      </c>
      <c r="C4002" t="s">
        <v>340</v>
      </c>
      <c r="D4002" t="s">
        <v>692</v>
      </c>
      <c r="F4002" t="s">
        <v>2111</v>
      </c>
      <c r="G4002" t="s">
        <v>5748</v>
      </c>
      <c r="H4002" t="s">
        <v>11849</v>
      </c>
      <c r="I4002">
        <v>8</v>
      </c>
      <c r="J4002" t="s">
        <v>18893</v>
      </c>
      <c r="K4002">
        <v>10029</v>
      </c>
      <c r="L4002" t="s">
        <v>18958</v>
      </c>
      <c r="M4002" t="s">
        <v>18958</v>
      </c>
      <c r="N4002" t="s">
        <v>21035</v>
      </c>
      <c r="O4002" t="s">
        <v>26526</v>
      </c>
      <c r="P4002" t="s">
        <v>26560</v>
      </c>
      <c r="R4002" t="s">
        <v>26578</v>
      </c>
      <c r="S4002" t="s">
        <v>18958</v>
      </c>
      <c r="U4002" t="s">
        <v>26604</v>
      </c>
      <c r="V4002" t="s">
        <v>26610</v>
      </c>
      <c r="W4002" t="s">
        <v>692</v>
      </c>
      <c r="X4002">
        <v>932.17</v>
      </c>
      <c r="Y4002" t="s">
        <v>26651</v>
      </c>
      <c r="Z4002" t="s">
        <v>26667</v>
      </c>
      <c r="AB4002" t="s">
        <v>28171</v>
      </c>
      <c r="AD4002" t="s">
        <v>40184</v>
      </c>
      <c r="AE4002">
        <v>6</v>
      </c>
      <c r="AF4002" t="s">
        <v>45541</v>
      </c>
      <c r="AG4002" t="s">
        <v>19330</v>
      </c>
      <c r="AH4002">
        <v>23</v>
      </c>
      <c r="AI4002">
        <v>4</v>
      </c>
      <c r="AJ4002">
        <v>1</v>
      </c>
      <c r="AK4002">
        <v>516.66</v>
      </c>
      <c r="AN4002" t="s">
        <v>45581</v>
      </c>
      <c r="AO4002">
        <v>152000</v>
      </c>
      <c r="AU4002">
        <v>0.5</v>
      </c>
      <c r="AV4002" t="s">
        <v>792</v>
      </c>
      <c r="AW4002" t="s">
        <v>46835</v>
      </c>
    </row>
    <row r="4003" spans="1:49">
      <c r="A4003" s="1">
        <f>HYPERLINK("https://lsnyc.legalserver.org/matter/dynamic-profile/view/1886057","18-1886057")</f>
        <v>0</v>
      </c>
      <c r="B4003" t="s">
        <v>153</v>
      </c>
      <c r="C4003" t="s">
        <v>340</v>
      </c>
      <c r="D4003" t="s">
        <v>692</v>
      </c>
      <c r="F4003" t="s">
        <v>1562</v>
      </c>
      <c r="G4003" t="s">
        <v>5608</v>
      </c>
      <c r="H4003" t="s">
        <v>12780</v>
      </c>
      <c r="I4003" t="s">
        <v>17430</v>
      </c>
      <c r="J4003" t="s">
        <v>18902</v>
      </c>
      <c r="K4003">
        <v>10303</v>
      </c>
      <c r="L4003" t="s">
        <v>18958</v>
      </c>
      <c r="M4003" t="s">
        <v>18958</v>
      </c>
      <c r="N4003" t="s">
        <v>21993</v>
      </c>
      <c r="O4003" t="s">
        <v>26524</v>
      </c>
      <c r="P4003" t="s">
        <v>26560</v>
      </c>
      <c r="R4003" t="s">
        <v>26590</v>
      </c>
      <c r="S4003" t="s">
        <v>18959</v>
      </c>
      <c r="U4003" t="s">
        <v>26604</v>
      </c>
      <c r="V4003" t="s">
        <v>26610</v>
      </c>
      <c r="W4003" t="s">
        <v>692</v>
      </c>
      <c r="X4003">
        <v>1956</v>
      </c>
      <c r="Y4003" t="s">
        <v>26654</v>
      </c>
      <c r="Z4003" t="s">
        <v>26668</v>
      </c>
      <c r="AB4003" t="s">
        <v>30056</v>
      </c>
      <c r="AC4003" t="s">
        <v>35682</v>
      </c>
      <c r="AD4003" t="s">
        <v>40185</v>
      </c>
      <c r="AE4003">
        <v>2</v>
      </c>
      <c r="AF4003" t="s">
        <v>45547</v>
      </c>
      <c r="AG4003" t="s">
        <v>45558</v>
      </c>
      <c r="AH4003">
        <v>1</v>
      </c>
      <c r="AI4003">
        <v>2</v>
      </c>
      <c r="AJ4003">
        <v>4</v>
      </c>
      <c r="AK4003">
        <v>75.61</v>
      </c>
      <c r="AN4003" t="s">
        <v>7439</v>
      </c>
      <c r="AO4003">
        <v>25512</v>
      </c>
      <c r="AU4003">
        <v>29.2</v>
      </c>
      <c r="AV4003" t="s">
        <v>826</v>
      </c>
      <c r="AW4003" t="s">
        <v>185</v>
      </c>
    </row>
    <row r="4004" spans="1:49">
      <c r="A4004" s="1">
        <f>HYPERLINK("https://lsnyc.legalserver.org/matter/dynamic-profile/view/1886087","18-1886087")</f>
        <v>0</v>
      </c>
      <c r="B4004" t="s">
        <v>102</v>
      </c>
      <c r="C4004" t="s">
        <v>340</v>
      </c>
      <c r="D4004" t="s">
        <v>692</v>
      </c>
      <c r="F4004" t="s">
        <v>2884</v>
      </c>
      <c r="G4004" t="s">
        <v>7143</v>
      </c>
      <c r="H4004" t="s">
        <v>12781</v>
      </c>
      <c r="I4004" t="s">
        <v>17430</v>
      </c>
      <c r="J4004" t="s">
        <v>18902</v>
      </c>
      <c r="K4004">
        <v>10314</v>
      </c>
      <c r="L4004" t="s">
        <v>18958</v>
      </c>
      <c r="M4004" t="s">
        <v>18958</v>
      </c>
      <c r="N4004" t="s">
        <v>21994</v>
      </c>
      <c r="O4004" t="s">
        <v>26523</v>
      </c>
      <c r="P4004" t="s">
        <v>26560</v>
      </c>
      <c r="R4004" t="s">
        <v>26578</v>
      </c>
      <c r="S4004" t="s">
        <v>18959</v>
      </c>
      <c r="U4004" t="s">
        <v>26604</v>
      </c>
      <c r="W4004" t="s">
        <v>692</v>
      </c>
      <c r="X4004">
        <v>164</v>
      </c>
      <c r="Y4004" t="s">
        <v>26654</v>
      </c>
      <c r="Z4004" t="s">
        <v>26664</v>
      </c>
      <c r="AB4004" t="s">
        <v>27102</v>
      </c>
      <c r="AD4004" t="s">
        <v>40186</v>
      </c>
      <c r="AE4004">
        <v>2</v>
      </c>
      <c r="AF4004" t="s">
        <v>45552</v>
      </c>
      <c r="AG4004" t="s">
        <v>45556</v>
      </c>
      <c r="AH4004">
        <v>1</v>
      </c>
      <c r="AI4004">
        <v>2</v>
      </c>
      <c r="AJ4004">
        <v>0</v>
      </c>
      <c r="AK4004">
        <v>61.6</v>
      </c>
      <c r="AN4004" t="s">
        <v>7439</v>
      </c>
      <c r="AO4004">
        <v>10140</v>
      </c>
      <c r="AU4004">
        <v>8</v>
      </c>
      <c r="AV4004" t="s">
        <v>804</v>
      </c>
      <c r="AW4004" t="s">
        <v>316</v>
      </c>
    </row>
    <row r="4005" spans="1:49">
      <c r="A4005" s="1">
        <f>HYPERLINK("https://lsnyc.legalserver.org/matter/dynamic-profile/view/1886074","18-1886074")</f>
        <v>0</v>
      </c>
      <c r="B4005" t="s">
        <v>104</v>
      </c>
      <c r="C4005" t="s">
        <v>340</v>
      </c>
      <c r="D4005" t="s">
        <v>692</v>
      </c>
      <c r="F4005" t="s">
        <v>2885</v>
      </c>
      <c r="G4005" t="s">
        <v>2749</v>
      </c>
      <c r="H4005" t="s">
        <v>12782</v>
      </c>
      <c r="J4005" t="s">
        <v>18902</v>
      </c>
      <c r="K4005">
        <v>10310</v>
      </c>
      <c r="L4005" t="s">
        <v>18958</v>
      </c>
      <c r="M4005" t="s">
        <v>18958</v>
      </c>
      <c r="N4005" t="s">
        <v>21995</v>
      </c>
      <c r="O4005" t="s">
        <v>26524</v>
      </c>
      <c r="P4005" t="s">
        <v>26560</v>
      </c>
      <c r="R4005" t="s">
        <v>26590</v>
      </c>
      <c r="S4005" t="s">
        <v>18959</v>
      </c>
      <c r="U4005" t="s">
        <v>26604</v>
      </c>
      <c r="V4005" t="s">
        <v>26610</v>
      </c>
      <c r="W4005" t="s">
        <v>692</v>
      </c>
      <c r="X4005">
        <v>0</v>
      </c>
      <c r="Y4005" t="s">
        <v>26654</v>
      </c>
      <c r="Z4005" t="s">
        <v>26668</v>
      </c>
      <c r="AB4005" t="s">
        <v>30057</v>
      </c>
      <c r="AC4005" t="s">
        <v>35683</v>
      </c>
      <c r="AD4005" t="s">
        <v>40187</v>
      </c>
      <c r="AE4005">
        <v>1</v>
      </c>
      <c r="AF4005" t="s">
        <v>45547</v>
      </c>
      <c r="AG4005" t="s">
        <v>19330</v>
      </c>
      <c r="AH4005">
        <v>-1</v>
      </c>
      <c r="AI4005">
        <v>3</v>
      </c>
      <c r="AJ4005">
        <v>4</v>
      </c>
      <c r="AK4005">
        <v>108.08</v>
      </c>
      <c r="AN4005" t="s">
        <v>7439</v>
      </c>
      <c r="AO4005">
        <v>41136</v>
      </c>
      <c r="AU4005">
        <v>25.75</v>
      </c>
      <c r="AV4005" t="s">
        <v>834</v>
      </c>
      <c r="AW4005" t="s">
        <v>185</v>
      </c>
    </row>
    <row r="4006" spans="1:49">
      <c r="A4006" s="1">
        <f>HYPERLINK("https://lsnyc.legalserver.org/matter/dynamic-profile/view/1886096","18-1886096")</f>
        <v>0</v>
      </c>
      <c r="B4006" t="s">
        <v>59</v>
      </c>
      <c r="C4006" t="s">
        <v>340</v>
      </c>
      <c r="D4006" t="s">
        <v>692</v>
      </c>
      <c r="F4006" t="s">
        <v>2886</v>
      </c>
      <c r="G4006" t="s">
        <v>7144</v>
      </c>
      <c r="H4006" t="s">
        <v>12783</v>
      </c>
      <c r="I4006" t="s">
        <v>17316</v>
      </c>
      <c r="J4006" t="s">
        <v>18893</v>
      </c>
      <c r="K4006">
        <v>10027</v>
      </c>
      <c r="L4006" t="s">
        <v>18958</v>
      </c>
      <c r="M4006" t="s">
        <v>18958</v>
      </c>
      <c r="N4006" t="s">
        <v>21996</v>
      </c>
      <c r="O4006" t="s">
        <v>26523</v>
      </c>
      <c r="P4006" t="s">
        <v>26560</v>
      </c>
      <c r="R4006" t="s">
        <v>26580</v>
      </c>
      <c r="S4006" t="s">
        <v>18959</v>
      </c>
      <c r="U4006" t="s">
        <v>26604</v>
      </c>
      <c r="W4006" t="s">
        <v>692</v>
      </c>
      <c r="X4006">
        <v>760</v>
      </c>
      <c r="Y4006" t="s">
        <v>26651</v>
      </c>
      <c r="Z4006" t="s">
        <v>26664</v>
      </c>
      <c r="AB4006" t="s">
        <v>30058</v>
      </c>
      <c r="AD4006" t="s">
        <v>40188</v>
      </c>
      <c r="AE4006">
        <v>0</v>
      </c>
      <c r="AF4006" t="s">
        <v>45548</v>
      </c>
      <c r="AG4006" t="s">
        <v>19330</v>
      </c>
      <c r="AH4006">
        <v>2</v>
      </c>
      <c r="AI4006">
        <v>1</v>
      </c>
      <c r="AJ4006">
        <v>1</v>
      </c>
      <c r="AK4006">
        <v>58.32</v>
      </c>
      <c r="AN4006" t="s">
        <v>45581</v>
      </c>
      <c r="AO4006">
        <v>9600</v>
      </c>
      <c r="AU4006">
        <v>19.6</v>
      </c>
      <c r="AV4006" t="s">
        <v>835</v>
      </c>
      <c r="AW4006" t="s">
        <v>46875</v>
      </c>
    </row>
    <row r="4007" spans="1:49">
      <c r="A4007" s="1">
        <f>HYPERLINK("https://lsnyc.legalserver.org/matter/dynamic-profile/view/1886103","18-1886103")</f>
        <v>0</v>
      </c>
      <c r="B4007" t="s">
        <v>173</v>
      </c>
      <c r="C4007" t="s">
        <v>340</v>
      </c>
      <c r="D4007" t="s">
        <v>692</v>
      </c>
      <c r="F4007" t="s">
        <v>2887</v>
      </c>
      <c r="G4007" t="s">
        <v>5603</v>
      </c>
      <c r="H4007" t="s">
        <v>12784</v>
      </c>
      <c r="I4007">
        <v>202</v>
      </c>
      <c r="J4007" t="s">
        <v>18893</v>
      </c>
      <c r="K4007">
        <v>10027</v>
      </c>
      <c r="L4007" t="s">
        <v>18958</v>
      </c>
      <c r="M4007" t="s">
        <v>18958</v>
      </c>
      <c r="N4007" t="s">
        <v>21997</v>
      </c>
      <c r="O4007" t="s">
        <v>26524</v>
      </c>
      <c r="P4007" t="s">
        <v>26560</v>
      </c>
      <c r="R4007" t="s">
        <v>26578</v>
      </c>
      <c r="S4007" t="s">
        <v>18959</v>
      </c>
      <c r="U4007" t="s">
        <v>26604</v>
      </c>
      <c r="V4007" t="s">
        <v>26611</v>
      </c>
      <c r="W4007" t="s">
        <v>692</v>
      </c>
      <c r="X4007">
        <v>734</v>
      </c>
      <c r="Y4007" t="s">
        <v>26651</v>
      </c>
      <c r="Z4007" t="s">
        <v>26668</v>
      </c>
      <c r="AB4007" t="s">
        <v>30059</v>
      </c>
      <c r="AD4007" t="s">
        <v>40189</v>
      </c>
      <c r="AE4007">
        <v>27</v>
      </c>
      <c r="AF4007" t="s">
        <v>45541</v>
      </c>
      <c r="AG4007" t="s">
        <v>19330</v>
      </c>
      <c r="AH4007">
        <v>10</v>
      </c>
      <c r="AI4007">
        <v>1</v>
      </c>
      <c r="AJ4007">
        <v>3</v>
      </c>
      <c r="AK4007">
        <v>302.79</v>
      </c>
      <c r="AN4007" t="s">
        <v>7439</v>
      </c>
      <c r="AO4007">
        <v>76000</v>
      </c>
      <c r="AU4007">
        <v>5.75</v>
      </c>
      <c r="AV4007" t="s">
        <v>752</v>
      </c>
      <c r="AW4007" t="s">
        <v>46875</v>
      </c>
    </row>
    <row r="4008" spans="1:49">
      <c r="A4008" s="1">
        <f>HYPERLINK("https://lsnyc.legalserver.org/matter/dynamic-profile/view/1886545","18-1886545")</f>
        <v>0</v>
      </c>
      <c r="B4008" t="s">
        <v>138</v>
      </c>
      <c r="C4008" t="s">
        <v>341</v>
      </c>
      <c r="D4008" t="s">
        <v>699</v>
      </c>
      <c r="E4008" t="s">
        <v>494</v>
      </c>
      <c r="F4008" t="s">
        <v>2134</v>
      </c>
      <c r="G4008" t="s">
        <v>5199</v>
      </c>
      <c r="H4008" t="s">
        <v>12785</v>
      </c>
      <c r="J4008" t="s">
        <v>18893</v>
      </c>
      <c r="K4008">
        <v>10026</v>
      </c>
      <c r="L4008" t="s">
        <v>18958</v>
      </c>
      <c r="M4008" t="s">
        <v>18958</v>
      </c>
      <c r="N4008" t="s">
        <v>21998</v>
      </c>
      <c r="O4008" t="s">
        <v>26524</v>
      </c>
      <c r="P4008" t="s">
        <v>26564</v>
      </c>
      <c r="Q4008" t="s">
        <v>26570</v>
      </c>
      <c r="R4008" t="s">
        <v>26578</v>
      </c>
      <c r="S4008" t="s">
        <v>18959</v>
      </c>
      <c r="U4008" t="s">
        <v>26607</v>
      </c>
      <c r="V4008" t="s">
        <v>26610</v>
      </c>
      <c r="W4008" t="s">
        <v>692</v>
      </c>
      <c r="X4008">
        <v>629</v>
      </c>
      <c r="Y4008" t="s">
        <v>26651</v>
      </c>
      <c r="Z4008" t="s">
        <v>26667</v>
      </c>
      <c r="AA4008" t="s">
        <v>26683</v>
      </c>
      <c r="AB4008" t="s">
        <v>30060</v>
      </c>
      <c r="AD4008" t="s">
        <v>40190</v>
      </c>
      <c r="AE4008">
        <v>15</v>
      </c>
      <c r="AF4008" t="s">
        <v>20460</v>
      </c>
      <c r="AG4008" t="s">
        <v>19330</v>
      </c>
      <c r="AH4008">
        <v>25</v>
      </c>
      <c r="AI4008">
        <v>2</v>
      </c>
      <c r="AJ4008">
        <v>1</v>
      </c>
      <c r="AK4008">
        <v>125.12</v>
      </c>
      <c r="AN4008" t="s">
        <v>45581</v>
      </c>
      <c r="AO4008">
        <v>26000</v>
      </c>
      <c r="AU4008">
        <v>2</v>
      </c>
      <c r="AV4008" t="s">
        <v>692</v>
      </c>
      <c r="AW4008" t="s">
        <v>46835</v>
      </c>
    </row>
    <row r="4009" spans="1:49">
      <c r="A4009" s="1">
        <f>HYPERLINK("https://lsnyc.legalserver.org/matter/dynamic-profile/view/1857083","18-1857083")</f>
        <v>0</v>
      </c>
      <c r="B4009" t="s">
        <v>93</v>
      </c>
      <c r="C4009" t="s">
        <v>341</v>
      </c>
      <c r="D4009" t="s">
        <v>374</v>
      </c>
      <c r="E4009" t="s">
        <v>684</v>
      </c>
      <c r="F4009" t="s">
        <v>2888</v>
      </c>
      <c r="G4009" t="s">
        <v>5318</v>
      </c>
      <c r="H4009" t="s">
        <v>12786</v>
      </c>
      <c r="I4009">
        <v>537</v>
      </c>
      <c r="J4009" t="s">
        <v>18906</v>
      </c>
      <c r="K4009">
        <v>11373</v>
      </c>
      <c r="L4009" t="s">
        <v>18958</v>
      </c>
      <c r="M4009" t="s">
        <v>18958</v>
      </c>
      <c r="N4009" t="s">
        <v>21999</v>
      </c>
      <c r="O4009" t="s">
        <v>26524</v>
      </c>
      <c r="P4009" t="s">
        <v>26560</v>
      </c>
      <c r="Q4009" t="s">
        <v>26568</v>
      </c>
      <c r="R4009" t="s">
        <v>26585</v>
      </c>
      <c r="S4009" t="s">
        <v>18958</v>
      </c>
      <c r="U4009" t="s">
        <v>26604</v>
      </c>
      <c r="W4009" t="s">
        <v>684</v>
      </c>
      <c r="X4009">
        <v>970</v>
      </c>
      <c r="Y4009" t="s">
        <v>26653</v>
      </c>
      <c r="Z4009" t="s">
        <v>26664</v>
      </c>
      <c r="AA4009" t="s">
        <v>26678</v>
      </c>
      <c r="AB4009" t="s">
        <v>30061</v>
      </c>
      <c r="AD4009" t="s">
        <v>40191</v>
      </c>
      <c r="AE4009">
        <v>200</v>
      </c>
      <c r="AF4009" t="s">
        <v>45541</v>
      </c>
      <c r="AG4009" t="s">
        <v>45559</v>
      </c>
      <c r="AH4009">
        <v>20</v>
      </c>
      <c r="AI4009">
        <v>1</v>
      </c>
      <c r="AJ4009">
        <v>0</v>
      </c>
      <c r="AK4009">
        <v>89.55</v>
      </c>
      <c r="AN4009" t="s">
        <v>7439</v>
      </c>
      <c r="AO4009">
        <v>10800</v>
      </c>
      <c r="AR4009" t="s">
        <v>26530</v>
      </c>
      <c r="AS4009" t="s">
        <v>46501</v>
      </c>
      <c r="AT4009" t="s">
        <v>46778</v>
      </c>
      <c r="AU4009">
        <v>28.15</v>
      </c>
      <c r="AV4009" t="s">
        <v>415</v>
      </c>
      <c r="AW4009" t="s">
        <v>85</v>
      </c>
    </row>
    <row r="4010" spans="1:49">
      <c r="A4010" s="1">
        <f>HYPERLINK("https://lsnyc.legalserver.org/matter/dynamic-profile/view/1880927","18-1880927")</f>
        <v>0</v>
      </c>
      <c r="B4010" t="s">
        <v>100</v>
      </c>
      <c r="C4010" t="s">
        <v>340</v>
      </c>
      <c r="D4010" t="s">
        <v>645</v>
      </c>
      <c r="F4010" t="s">
        <v>916</v>
      </c>
      <c r="G4010" t="s">
        <v>7145</v>
      </c>
      <c r="H4010" t="s">
        <v>12787</v>
      </c>
      <c r="I4010" t="s">
        <v>17284</v>
      </c>
      <c r="J4010" t="s">
        <v>18892</v>
      </c>
      <c r="K4010">
        <v>10453</v>
      </c>
      <c r="L4010" t="s">
        <v>18958</v>
      </c>
      <c r="M4010" t="s">
        <v>18958</v>
      </c>
      <c r="O4010" t="s">
        <v>26529</v>
      </c>
      <c r="P4010" t="s">
        <v>26564</v>
      </c>
      <c r="R4010" t="s">
        <v>26578</v>
      </c>
      <c r="U4010" t="s">
        <v>26604</v>
      </c>
      <c r="W4010" t="s">
        <v>684</v>
      </c>
      <c r="X4010">
        <v>1335.48</v>
      </c>
      <c r="Y4010" t="s">
        <v>26650</v>
      </c>
      <c r="Z4010" t="s">
        <v>26663</v>
      </c>
      <c r="AB4010" t="s">
        <v>30062</v>
      </c>
      <c r="AD4010" t="s">
        <v>40192</v>
      </c>
      <c r="AE4010">
        <v>0</v>
      </c>
      <c r="AF4010" t="s">
        <v>45541</v>
      </c>
      <c r="AH4010">
        <v>0</v>
      </c>
      <c r="AI4010">
        <v>3</v>
      </c>
      <c r="AJ4010">
        <v>0</v>
      </c>
      <c r="AK4010">
        <v>95.28</v>
      </c>
      <c r="AN4010" t="s">
        <v>45581</v>
      </c>
      <c r="AO4010">
        <v>19800</v>
      </c>
      <c r="AU4010">
        <v>0.1</v>
      </c>
      <c r="AV4010" t="s">
        <v>684</v>
      </c>
      <c r="AW4010" t="s">
        <v>261</v>
      </c>
    </row>
    <row r="4011" spans="1:49">
      <c r="A4011" s="1">
        <f>HYPERLINK("https://lsnyc.legalserver.org/matter/dynamic-profile/view/1884579","18-1884579")</f>
        <v>0</v>
      </c>
      <c r="B4011" t="s">
        <v>51</v>
      </c>
      <c r="C4011" t="s">
        <v>341</v>
      </c>
      <c r="D4011" t="s">
        <v>678</v>
      </c>
      <c r="E4011" t="s">
        <v>829</v>
      </c>
      <c r="F4011" t="s">
        <v>2889</v>
      </c>
      <c r="G4011" t="s">
        <v>7146</v>
      </c>
      <c r="H4011" t="s">
        <v>9770</v>
      </c>
      <c r="I4011">
        <v>4</v>
      </c>
      <c r="J4011" t="s">
        <v>18892</v>
      </c>
      <c r="K4011">
        <v>10462</v>
      </c>
      <c r="L4011" t="s">
        <v>18958</v>
      </c>
      <c r="M4011" t="s">
        <v>18958</v>
      </c>
      <c r="N4011" t="s">
        <v>22000</v>
      </c>
      <c r="O4011" t="s">
        <v>26524</v>
      </c>
      <c r="P4011" t="s">
        <v>26560</v>
      </c>
      <c r="Q4011" t="s">
        <v>26575</v>
      </c>
      <c r="R4011" t="s">
        <v>26579</v>
      </c>
      <c r="S4011" t="s">
        <v>18959</v>
      </c>
      <c r="U4011" t="s">
        <v>26604</v>
      </c>
      <c r="V4011" t="s">
        <v>26610</v>
      </c>
      <c r="W4011" t="s">
        <v>684</v>
      </c>
      <c r="X4011">
        <v>509.34</v>
      </c>
      <c r="Y4011" t="s">
        <v>26650</v>
      </c>
      <c r="Z4011" t="s">
        <v>26668</v>
      </c>
      <c r="AA4011" t="s">
        <v>26678</v>
      </c>
      <c r="AB4011" t="s">
        <v>30063</v>
      </c>
      <c r="AC4011" t="s">
        <v>35684</v>
      </c>
      <c r="AD4011" t="s">
        <v>40193</v>
      </c>
      <c r="AE4011">
        <v>0</v>
      </c>
      <c r="AF4011" t="s">
        <v>45541</v>
      </c>
      <c r="AG4011" t="s">
        <v>26530</v>
      </c>
      <c r="AH4011">
        <v>32</v>
      </c>
      <c r="AI4011">
        <v>1</v>
      </c>
      <c r="AJ4011">
        <v>0</v>
      </c>
      <c r="AK4011">
        <v>129.85</v>
      </c>
      <c r="AN4011" t="s">
        <v>7439</v>
      </c>
      <c r="AO4011">
        <v>15764</v>
      </c>
      <c r="AQ4011" t="s">
        <v>46359</v>
      </c>
      <c r="AR4011" t="s">
        <v>46380</v>
      </c>
      <c r="AS4011" t="s">
        <v>46499</v>
      </c>
      <c r="AT4011" t="s">
        <v>46774</v>
      </c>
      <c r="AU4011">
        <v>17.8</v>
      </c>
      <c r="AV4011" t="s">
        <v>792</v>
      </c>
      <c r="AW4011" t="s">
        <v>46832</v>
      </c>
    </row>
    <row r="4012" spans="1:49">
      <c r="A4012" s="1">
        <f>HYPERLINK("https://lsnyc.legalserver.org/matter/dynamic-profile/view/1884790","18-1884790")</f>
        <v>0</v>
      </c>
      <c r="B4012" t="s">
        <v>169</v>
      </c>
      <c r="C4012" t="s">
        <v>341</v>
      </c>
      <c r="D4012" t="s">
        <v>682</v>
      </c>
      <c r="E4012" t="s">
        <v>699</v>
      </c>
      <c r="F4012" t="s">
        <v>1551</v>
      </c>
      <c r="G4012" t="s">
        <v>6985</v>
      </c>
      <c r="H4012" t="s">
        <v>12788</v>
      </c>
      <c r="I4012" t="s">
        <v>17388</v>
      </c>
      <c r="J4012" t="s">
        <v>18892</v>
      </c>
      <c r="K4012">
        <v>10453</v>
      </c>
      <c r="L4012" t="s">
        <v>18958</v>
      </c>
      <c r="M4012" t="s">
        <v>18958</v>
      </c>
      <c r="N4012" t="s">
        <v>22001</v>
      </c>
      <c r="O4012" t="s">
        <v>26523</v>
      </c>
      <c r="P4012" t="s">
        <v>26565</v>
      </c>
      <c r="Q4012" t="s">
        <v>26570</v>
      </c>
      <c r="R4012" t="s">
        <v>26578</v>
      </c>
      <c r="S4012" t="s">
        <v>18959</v>
      </c>
      <c r="U4012" t="s">
        <v>26604</v>
      </c>
      <c r="V4012" t="s">
        <v>26609</v>
      </c>
      <c r="W4012" t="s">
        <v>684</v>
      </c>
      <c r="X4012">
        <v>744</v>
      </c>
      <c r="Y4012" t="s">
        <v>26650</v>
      </c>
      <c r="AA4012" t="s">
        <v>26683</v>
      </c>
      <c r="AB4012" t="s">
        <v>30064</v>
      </c>
      <c r="AD4012" t="s">
        <v>40194</v>
      </c>
      <c r="AE4012">
        <v>0</v>
      </c>
      <c r="AF4012" t="s">
        <v>45541</v>
      </c>
      <c r="AG4012" t="s">
        <v>45559</v>
      </c>
      <c r="AH4012">
        <v>25</v>
      </c>
      <c r="AI4012">
        <v>1</v>
      </c>
      <c r="AJ4012">
        <v>0</v>
      </c>
      <c r="AK4012">
        <v>75.91</v>
      </c>
      <c r="AN4012" t="s">
        <v>7439</v>
      </c>
      <c r="AO4012">
        <v>9216</v>
      </c>
      <c r="AU4012">
        <v>1.9</v>
      </c>
      <c r="AV4012" t="s">
        <v>684</v>
      </c>
      <c r="AW4012" t="s">
        <v>46849</v>
      </c>
    </row>
    <row r="4013" spans="1:49">
      <c r="A4013" s="1">
        <f>HYPERLINK("https://lsnyc.legalserver.org/matter/dynamic-profile/view/1885216","18-1885216")</f>
        <v>0</v>
      </c>
      <c r="B4013" t="s">
        <v>169</v>
      </c>
      <c r="C4013" t="s">
        <v>341</v>
      </c>
      <c r="D4013" t="s">
        <v>683</v>
      </c>
      <c r="E4013" t="s">
        <v>782</v>
      </c>
      <c r="F4013" t="s">
        <v>2890</v>
      </c>
      <c r="G4013" t="s">
        <v>5748</v>
      </c>
      <c r="H4013" t="s">
        <v>10871</v>
      </c>
      <c r="I4013" t="s">
        <v>17388</v>
      </c>
      <c r="J4013" t="s">
        <v>18892</v>
      </c>
      <c r="K4013">
        <v>10460</v>
      </c>
      <c r="L4013" t="s">
        <v>18958</v>
      </c>
      <c r="M4013" t="s">
        <v>18958</v>
      </c>
      <c r="N4013" t="s">
        <v>22002</v>
      </c>
      <c r="O4013" t="s">
        <v>26523</v>
      </c>
      <c r="P4013" t="s">
        <v>26564</v>
      </c>
      <c r="Q4013" t="s">
        <v>26570</v>
      </c>
      <c r="R4013" t="s">
        <v>26578</v>
      </c>
      <c r="S4013" t="s">
        <v>18959</v>
      </c>
      <c r="U4013" t="s">
        <v>26604</v>
      </c>
      <c r="V4013" t="s">
        <v>26611</v>
      </c>
      <c r="W4013" t="s">
        <v>684</v>
      </c>
      <c r="X4013">
        <v>1500</v>
      </c>
      <c r="Y4013" t="s">
        <v>26650</v>
      </c>
      <c r="Z4013" t="s">
        <v>26530</v>
      </c>
      <c r="AA4013" t="s">
        <v>26683</v>
      </c>
      <c r="AB4013" t="s">
        <v>30065</v>
      </c>
      <c r="AD4013" t="s">
        <v>40195</v>
      </c>
      <c r="AE4013">
        <v>40</v>
      </c>
      <c r="AF4013" t="s">
        <v>20460</v>
      </c>
      <c r="AG4013" t="s">
        <v>19330</v>
      </c>
      <c r="AH4013">
        <v>1</v>
      </c>
      <c r="AI4013">
        <v>2</v>
      </c>
      <c r="AJ4013">
        <v>3</v>
      </c>
      <c r="AK4013">
        <v>150.92</v>
      </c>
      <c r="AN4013" t="s">
        <v>45581</v>
      </c>
      <c r="AO4013">
        <v>44400</v>
      </c>
      <c r="AU4013">
        <v>1.6</v>
      </c>
      <c r="AV4013" t="s">
        <v>684</v>
      </c>
      <c r="AW4013" t="s">
        <v>46846</v>
      </c>
    </row>
    <row r="4014" spans="1:49">
      <c r="A4014" s="1">
        <f>HYPERLINK("https://lsnyc.legalserver.org/matter/dynamic-profile/view/1885365","18-1885365")</f>
        <v>0</v>
      </c>
      <c r="B4014" t="s">
        <v>258</v>
      </c>
      <c r="C4014" t="s">
        <v>341</v>
      </c>
      <c r="D4014" t="s">
        <v>452</v>
      </c>
      <c r="E4014" t="s">
        <v>795</v>
      </c>
      <c r="F4014" t="s">
        <v>2891</v>
      </c>
      <c r="G4014" t="s">
        <v>7147</v>
      </c>
      <c r="H4014" t="s">
        <v>12789</v>
      </c>
      <c r="I4014" t="s">
        <v>17370</v>
      </c>
      <c r="J4014" t="s">
        <v>18901</v>
      </c>
      <c r="K4014">
        <v>11434</v>
      </c>
      <c r="L4014" t="s">
        <v>18958</v>
      </c>
      <c r="M4014" t="s">
        <v>18958</v>
      </c>
      <c r="N4014" t="s">
        <v>22003</v>
      </c>
      <c r="O4014" t="s">
        <v>26523</v>
      </c>
      <c r="P4014" t="s">
        <v>26560</v>
      </c>
      <c r="Q4014" t="s">
        <v>26575</v>
      </c>
      <c r="R4014" t="s">
        <v>26585</v>
      </c>
      <c r="S4014" t="s">
        <v>18959</v>
      </c>
      <c r="U4014" t="s">
        <v>26604</v>
      </c>
      <c r="V4014" t="s">
        <v>26610</v>
      </c>
      <c r="W4014" t="s">
        <v>684</v>
      </c>
      <c r="X4014">
        <v>1000</v>
      </c>
      <c r="Y4014" t="s">
        <v>26653</v>
      </c>
      <c r="Z4014" t="s">
        <v>26664</v>
      </c>
      <c r="AA4014" t="s">
        <v>26678</v>
      </c>
      <c r="AB4014" t="s">
        <v>30066</v>
      </c>
      <c r="AC4014" t="s">
        <v>19045</v>
      </c>
      <c r="AD4014" t="s">
        <v>40196</v>
      </c>
      <c r="AE4014">
        <v>104</v>
      </c>
      <c r="AF4014" t="s">
        <v>45550</v>
      </c>
      <c r="AG4014" t="s">
        <v>19330</v>
      </c>
      <c r="AH4014">
        <v>15</v>
      </c>
      <c r="AI4014">
        <v>1</v>
      </c>
      <c r="AJ4014">
        <v>2</v>
      </c>
      <c r="AK4014">
        <v>58.68</v>
      </c>
      <c r="AN4014" t="s">
        <v>7439</v>
      </c>
      <c r="AO4014">
        <v>12194</v>
      </c>
      <c r="AQ4014" t="s">
        <v>46359</v>
      </c>
      <c r="AR4014" t="s">
        <v>46379</v>
      </c>
      <c r="AS4014" t="s">
        <v>46499</v>
      </c>
      <c r="AT4014" t="s">
        <v>46734</v>
      </c>
      <c r="AU4014">
        <v>41.1</v>
      </c>
      <c r="AV4014" t="s">
        <v>795</v>
      </c>
      <c r="AW4014" t="s">
        <v>208</v>
      </c>
    </row>
    <row r="4015" spans="1:49">
      <c r="A4015" s="1">
        <f>HYPERLINK("https://lsnyc.legalserver.org/matter/dynamic-profile/view/1886237","18-1886237")</f>
        <v>0</v>
      </c>
      <c r="B4015" t="s">
        <v>98</v>
      </c>
      <c r="C4015" t="s">
        <v>341</v>
      </c>
      <c r="D4015" t="s">
        <v>684</v>
      </c>
      <c r="E4015" t="s">
        <v>753</v>
      </c>
      <c r="F4015" t="s">
        <v>1417</v>
      </c>
      <c r="G4015" t="s">
        <v>6986</v>
      </c>
      <c r="H4015" t="s">
        <v>12529</v>
      </c>
      <c r="I4015" t="s">
        <v>17996</v>
      </c>
      <c r="J4015" t="s">
        <v>18892</v>
      </c>
      <c r="K4015">
        <v>10451</v>
      </c>
      <c r="L4015" t="s">
        <v>18958</v>
      </c>
      <c r="M4015" t="s">
        <v>18958</v>
      </c>
      <c r="O4015" t="s">
        <v>18997</v>
      </c>
      <c r="P4015" t="s">
        <v>26564</v>
      </c>
      <c r="Q4015" t="s">
        <v>26570</v>
      </c>
      <c r="R4015" t="s">
        <v>26578</v>
      </c>
      <c r="S4015" t="s">
        <v>18959</v>
      </c>
      <c r="U4015" t="s">
        <v>26604</v>
      </c>
      <c r="W4015" t="s">
        <v>684</v>
      </c>
      <c r="X4015">
        <v>1425</v>
      </c>
      <c r="Y4015" t="s">
        <v>26650</v>
      </c>
      <c r="Z4015" t="s">
        <v>26663</v>
      </c>
      <c r="AA4015" t="s">
        <v>26683</v>
      </c>
      <c r="AB4015" t="s">
        <v>29796</v>
      </c>
      <c r="AD4015" t="s">
        <v>39907</v>
      </c>
      <c r="AE4015">
        <v>298</v>
      </c>
      <c r="AF4015" t="s">
        <v>45543</v>
      </c>
      <c r="AG4015" t="s">
        <v>45556</v>
      </c>
      <c r="AH4015">
        <v>1</v>
      </c>
      <c r="AI4015">
        <v>1</v>
      </c>
      <c r="AJ4015">
        <v>0</v>
      </c>
      <c r="AK4015">
        <v>81.84999999999999</v>
      </c>
      <c r="AN4015" t="s">
        <v>7439</v>
      </c>
      <c r="AO4015">
        <v>9936</v>
      </c>
      <c r="AU4015">
        <v>1.4</v>
      </c>
      <c r="AV4015" t="s">
        <v>753</v>
      </c>
      <c r="AW4015" t="s">
        <v>98</v>
      </c>
    </row>
    <row r="4016" spans="1:49">
      <c r="A4016" s="1">
        <f>HYPERLINK("https://lsnyc.legalserver.org/matter/dynamic-profile/view/1886281","18-1886281")</f>
        <v>0</v>
      </c>
      <c r="B4016" t="s">
        <v>96</v>
      </c>
      <c r="C4016" t="s">
        <v>341</v>
      </c>
      <c r="D4016" t="s">
        <v>684</v>
      </c>
      <c r="E4016" t="s">
        <v>729</v>
      </c>
      <c r="F4016" t="s">
        <v>887</v>
      </c>
      <c r="G4016" t="s">
        <v>7148</v>
      </c>
      <c r="H4016" t="s">
        <v>12790</v>
      </c>
      <c r="I4016" t="s">
        <v>17464</v>
      </c>
      <c r="J4016" t="s">
        <v>18892</v>
      </c>
      <c r="K4016">
        <v>10452</v>
      </c>
      <c r="L4016" t="s">
        <v>18958</v>
      </c>
      <c r="M4016" t="s">
        <v>18958</v>
      </c>
      <c r="N4016" t="s">
        <v>22004</v>
      </c>
      <c r="O4016" t="s">
        <v>26523</v>
      </c>
      <c r="P4016" t="s">
        <v>26560</v>
      </c>
      <c r="Q4016" t="s">
        <v>26568</v>
      </c>
      <c r="R4016" t="s">
        <v>26577</v>
      </c>
      <c r="U4016" t="s">
        <v>26604</v>
      </c>
      <c r="W4016" t="s">
        <v>684</v>
      </c>
      <c r="X4016">
        <v>1130</v>
      </c>
      <c r="Y4016" t="s">
        <v>26650</v>
      </c>
      <c r="AA4016" t="s">
        <v>26678</v>
      </c>
      <c r="AB4016" t="s">
        <v>30067</v>
      </c>
      <c r="AD4016" t="s">
        <v>40197</v>
      </c>
      <c r="AE4016">
        <v>0</v>
      </c>
      <c r="AH4016">
        <v>5</v>
      </c>
      <c r="AI4016">
        <v>1</v>
      </c>
      <c r="AJ4016">
        <v>0</v>
      </c>
      <c r="AK4016">
        <v>165.34</v>
      </c>
      <c r="AN4016" t="s">
        <v>7439</v>
      </c>
      <c r="AO4016">
        <v>20072</v>
      </c>
      <c r="AR4016" t="s">
        <v>46443</v>
      </c>
      <c r="AS4016" t="s">
        <v>46499</v>
      </c>
      <c r="AT4016" t="s">
        <v>46703</v>
      </c>
      <c r="AU4016">
        <v>7.4</v>
      </c>
      <c r="AV4016" t="s">
        <v>718</v>
      </c>
      <c r="AW4016" t="s">
        <v>46871</v>
      </c>
    </row>
    <row r="4017" spans="1:50">
      <c r="A4017" s="1">
        <f>HYPERLINK("https://lsnyc.legalserver.org/matter/dynamic-profile/view/1886442","18-1886442")</f>
        <v>0</v>
      </c>
      <c r="B4017" t="s">
        <v>169</v>
      </c>
      <c r="C4017" t="s">
        <v>341</v>
      </c>
      <c r="D4017" t="s">
        <v>684</v>
      </c>
      <c r="E4017" t="s">
        <v>699</v>
      </c>
      <c r="F4017" t="s">
        <v>2892</v>
      </c>
      <c r="G4017" t="s">
        <v>7149</v>
      </c>
      <c r="H4017" t="s">
        <v>12791</v>
      </c>
      <c r="I4017" t="s">
        <v>17659</v>
      </c>
      <c r="J4017" t="s">
        <v>18892</v>
      </c>
      <c r="K4017">
        <v>10455</v>
      </c>
      <c r="L4017" t="s">
        <v>18958</v>
      </c>
      <c r="M4017" t="s">
        <v>18958</v>
      </c>
      <c r="N4017" t="s">
        <v>22005</v>
      </c>
      <c r="O4017" t="s">
        <v>26523</v>
      </c>
      <c r="P4017" t="s">
        <v>26565</v>
      </c>
      <c r="Q4017" t="s">
        <v>26571</v>
      </c>
      <c r="R4017" t="s">
        <v>26578</v>
      </c>
      <c r="S4017" t="s">
        <v>18959</v>
      </c>
      <c r="U4017" t="s">
        <v>26604</v>
      </c>
      <c r="V4017" t="s">
        <v>26609</v>
      </c>
      <c r="W4017" t="s">
        <v>684</v>
      </c>
      <c r="X4017">
        <v>499</v>
      </c>
      <c r="Y4017" t="s">
        <v>26650</v>
      </c>
      <c r="Z4017" t="s">
        <v>26663</v>
      </c>
      <c r="AA4017" t="s">
        <v>26683</v>
      </c>
      <c r="AB4017" t="s">
        <v>30068</v>
      </c>
      <c r="AE4017">
        <v>50</v>
      </c>
      <c r="AF4017" t="s">
        <v>45541</v>
      </c>
      <c r="AG4017" t="s">
        <v>26530</v>
      </c>
      <c r="AH4017">
        <v>29</v>
      </c>
      <c r="AI4017">
        <v>2</v>
      </c>
      <c r="AJ4017">
        <v>1</v>
      </c>
      <c r="AK4017">
        <v>75.06999999999999</v>
      </c>
      <c r="AN4017" t="s">
        <v>7439</v>
      </c>
      <c r="AO4017">
        <v>15600</v>
      </c>
      <c r="AU4017">
        <v>1</v>
      </c>
      <c r="AV4017" t="s">
        <v>684</v>
      </c>
      <c r="AW4017" t="s">
        <v>169</v>
      </c>
    </row>
    <row r="4018" spans="1:50">
      <c r="A4018" s="1">
        <f>HYPERLINK("https://lsnyc.legalserver.org/matter/dynamic-profile/view/1886222","18-1886222")</f>
        <v>0</v>
      </c>
      <c r="B4018" t="s">
        <v>169</v>
      </c>
      <c r="C4018" t="s">
        <v>341</v>
      </c>
      <c r="D4018" t="s">
        <v>684</v>
      </c>
      <c r="E4018" t="s">
        <v>755</v>
      </c>
      <c r="F4018" t="s">
        <v>1228</v>
      </c>
      <c r="G4018" t="s">
        <v>7035</v>
      </c>
      <c r="H4018" t="s">
        <v>12610</v>
      </c>
      <c r="I4018" t="s">
        <v>17397</v>
      </c>
      <c r="J4018" t="s">
        <v>18892</v>
      </c>
      <c r="K4018">
        <v>10452</v>
      </c>
      <c r="L4018" t="s">
        <v>18958</v>
      </c>
      <c r="M4018" t="s">
        <v>18958</v>
      </c>
      <c r="O4018" t="s">
        <v>26539</v>
      </c>
      <c r="P4018" t="s">
        <v>26565</v>
      </c>
      <c r="Q4018" t="s">
        <v>26571</v>
      </c>
      <c r="R4018" t="s">
        <v>26578</v>
      </c>
      <c r="S4018" t="s">
        <v>18959</v>
      </c>
      <c r="U4018" t="s">
        <v>26604</v>
      </c>
      <c r="V4018" t="s">
        <v>26610</v>
      </c>
      <c r="W4018" t="s">
        <v>684</v>
      </c>
      <c r="X4018">
        <v>770.72</v>
      </c>
      <c r="Y4018" t="s">
        <v>26650</v>
      </c>
      <c r="Z4018" t="s">
        <v>26663</v>
      </c>
      <c r="AA4018" t="s">
        <v>26682</v>
      </c>
      <c r="AB4018" t="s">
        <v>29876</v>
      </c>
      <c r="AD4018" t="s">
        <v>39997</v>
      </c>
      <c r="AE4018">
        <v>100</v>
      </c>
      <c r="AF4018" t="s">
        <v>45541</v>
      </c>
      <c r="AG4018" t="s">
        <v>45559</v>
      </c>
      <c r="AH4018">
        <v>38</v>
      </c>
      <c r="AI4018">
        <v>2</v>
      </c>
      <c r="AJ4018">
        <v>0</v>
      </c>
      <c r="AK4018">
        <v>126.37</v>
      </c>
      <c r="AN4018" t="s">
        <v>45581</v>
      </c>
      <c r="AO4018">
        <v>20800</v>
      </c>
      <c r="AP4018" t="s">
        <v>45801</v>
      </c>
      <c r="AU4018">
        <v>0.5</v>
      </c>
      <c r="AV4018" t="s">
        <v>706</v>
      </c>
      <c r="AW4018" t="s">
        <v>169</v>
      </c>
    </row>
    <row r="4019" spans="1:50">
      <c r="A4019" s="1">
        <f>HYPERLINK("https://lsnyc.legalserver.org/matter/dynamic-profile/view/1886440","18-1886440")</f>
        <v>0</v>
      </c>
      <c r="B4019" t="s">
        <v>169</v>
      </c>
      <c r="C4019" t="s">
        <v>341</v>
      </c>
      <c r="D4019" t="s">
        <v>684</v>
      </c>
      <c r="E4019" t="s">
        <v>699</v>
      </c>
      <c r="F4019" t="s">
        <v>1355</v>
      </c>
      <c r="G4019" t="s">
        <v>5832</v>
      </c>
      <c r="H4019" t="s">
        <v>12792</v>
      </c>
      <c r="I4019" t="s">
        <v>17302</v>
      </c>
      <c r="J4019" t="s">
        <v>18892</v>
      </c>
      <c r="K4019">
        <v>10456</v>
      </c>
      <c r="L4019" t="s">
        <v>18958</v>
      </c>
      <c r="M4019" t="s">
        <v>18958</v>
      </c>
      <c r="N4019" t="s">
        <v>22006</v>
      </c>
      <c r="O4019" t="s">
        <v>26523</v>
      </c>
      <c r="P4019" t="s">
        <v>26564</v>
      </c>
      <c r="Q4019" t="s">
        <v>26570</v>
      </c>
      <c r="R4019" t="s">
        <v>26577</v>
      </c>
      <c r="S4019" t="s">
        <v>18959</v>
      </c>
      <c r="U4019" t="s">
        <v>26605</v>
      </c>
      <c r="V4019" t="s">
        <v>26609</v>
      </c>
      <c r="W4019" t="s">
        <v>684</v>
      </c>
      <c r="X4019">
        <v>217</v>
      </c>
      <c r="Y4019" t="s">
        <v>26650</v>
      </c>
      <c r="Z4019" t="s">
        <v>26663</v>
      </c>
      <c r="AA4019" t="s">
        <v>26683</v>
      </c>
      <c r="AB4019" t="s">
        <v>30069</v>
      </c>
      <c r="AD4019" t="s">
        <v>40198</v>
      </c>
      <c r="AE4019">
        <v>100</v>
      </c>
      <c r="AF4019" t="s">
        <v>45549</v>
      </c>
      <c r="AG4019" t="s">
        <v>26530</v>
      </c>
      <c r="AH4019">
        <v>1</v>
      </c>
      <c r="AI4019">
        <v>1</v>
      </c>
      <c r="AJ4019">
        <v>0</v>
      </c>
      <c r="AK4019">
        <v>76.70999999999999</v>
      </c>
      <c r="AN4019" t="s">
        <v>7439</v>
      </c>
      <c r="AO4019">
        <v>9312</v>
      </c>
      <c r="AP4019" t="s">
        <v>45764</v>
      </c>
      <c r="AU4019">
        <v>1</v>
      </c>
      <c r="AV4019" t="s">
        <v>684</v>
      </c>
      <c r="AW4019" t="s">
        <v>169</v>
      </c>
    </row>
    <row r="4020" spans="1:50">
      <c r="A4020" s="1">
        <f>HYPERLINK("https://lsnyc.legalserver.org/matter/dynamic-profile/view/1886188","18-1886188")</f>
        <v>0</v>
      </c>
      <c r="B4020" t="s">
        <v>149</v>
      </c>
      <c r="C4020" t="s">
        <v>341</v>
      </c>
      <c r="D4020" t="s">
        <v>684</v>
      </c>
      <c r="E4020" t="s">
        <v>693</v>
      </c>
      <c r="F4020" t="s">
        <v>893</v>
      </c>
      <c r="G4020" t="s">
        <v>5269</v>
      </c>
      <c r="H4020" t="s">
        <v>12793</v>
      </c>
      <c r="I4020" t="s">
        <v>17362</v>
      </c>
      <c r="J4020" t="s">
        <v>18892</v>
      </c>
      <c r="K4020">
        <v>10451</v>
      </c>
      <c r="L4020" t="s">
        <v>18958</v>
      </c>
      <c r="M4020" t="s">
        <v>18958</v>
      </c>
      <c r="N4020" t="s">
        <v>22007</v>
      </c>
      <c r="O4020" t="s">
        <v>26524</v>
      </c>
      <c r="P4020" t="s">
        <v>26560</v>
      </c>
      <c r="Q4020" t="s">
        <v>26568</v>
      </c>
      <c r="R4020" t="s">
        <v>26577</v>
      </c>
      <c r="S4020" t="s">
        <v>18959</v>
      </c>
      <c r="U4020" t="s">
        <v>26604</v>
      </c>
      <c r="V4020" t="s">
        <v>26614</v>
      </c>
      <c r="W4020" t="s">
        <v>684</v>
      </c>
      <c r="X4020">
        <v>1100</v>
      </c>
      <c r="Y4020" t="s">
        <v>26650</v>
      </c>
      <c r="Z4020" t="s">
        <v>26666</v>
      </c>
      <c r="AA4020" t="s">
        <v>26683</v>
      </c>
      <c r="AB4020" t="s">
        <v>30070</v>
      </c>
      <c r="AD4020" t="s">
        <v>40199</v>
      </c>
      <c r="AE4020">
        <v>83</v>
      </c>
      <c r="AF4020" t="s">
        <v>45541</v>
      </c>
      <c r="AG4020" t="s">
        <v>19330</v>
      </c>
      <c r="AH4020">
        <v>5</v>
      </c>
      <c r="AI4020">
        <v>1</v>
      </c>
      <c r="AJ4020">
        <v>0</v>
      </c>
      <c r="AK4020">
        <v>24.63</v>
      </c>
      <c r="AN4020" t="s">
        <v>7439</v>
      </c>
      <c r="AO4020">
        <v>2990</v>
      </c>
      <c r="AQ4020" t="s">
        <v>46365</v>
      </c>
      <c r="AR4020" t="s">
        <v>26530</v>
      </c>
      <c r="AS4020" t="s">
        <v>46500</v>
      </c>
      <c r="AT4020" t="s">
        <v>46515</v>
      </c>
      <c r="AU4020">
        <v>11.55</v>
      </c>
      <c r="AV4020" t="s">
        <v>415</v>
      </c>
      <c r="AW4020" t="s">
        <v>46871</v>
      </c>
    </row>
    <row r="4021" spans="1:50">
      <c r="A4021" s="1">
        <f>HYPERLINK("https://lsnyc.legalserver.org/matter/dynamic-profile/view/1886176","18-1886176")</f>
        <v>0</v>
      </c>
      <c r="B4021" t="s">
        <v>149</v>
      </c>
      <c r="C4021" t="s">
        <v>341</v>
      </c>
      <c r="D4021" t="s">
        <v>684</v>
      </c>
      <c r="E4021" t="s">
        <v>494</v>
      </c>
      <c r="F4021" t="s">
        <v>2893</v>
      </c>
      <c r="G4021" t="s">
        <v>4588</v>
      </c>
      <c r="H4021" t="s">
        <v>11622</v>
      </c>
      <c r="I4021" t="s">
        <v>17928</v>
      </c>
      <c r="J4021" t="s">
        <v>18892</v>
      </c>
      <c r="K4021">
        <v>10453</v>
      </c>
      <c r="L4021" t="s">
        <v>18958</v>
      </c>
      <c r="M4021" t="s">
        <v>18958</v>
      </c>
      <c r="N4021" t="s">
        <v>22008</v>
      </c>
      <c r="O4021" t="s">
        <v>26523</v>
      </c>
      <c r="P4021" t="s">
        <v>26560</v>
      </c>
      <c r="Q4021" t="s">
        <v>26568</v>
      </c>
      <c r="R4021" t="s">
        <v>26577</v>
      </c>
      <c r="S4021" t="s">
        <v>18959</v>
      </c>
      <c r="U4021" t="s">
        <v>26604</v>
      </c>
      <c r="V4021" t="s">
        <v>26614</v>
      </c>
      <c r="W4021" t="s">
        <v>684</v>
      </c>
      <c r="X4021">
        <v>1222</v>
      </c>
      <c r="Y4021" t="s">
        <v>26650</v>
      </c>
      <c r="Z4021" t="s">
        <v>26666</v>
      </c>
      <c r="AA4021" t="s">
        <v>26678</v>
      </c>
      <c r="AB4021" t="s">
        <v>29759</v>
      </c>
      <c r="AD4021" t="s">
        <v>40200</v>
      </c>
      <c r="AE4021">
        <v>45</v>
      </c>
      <c r="AF4021" t="s">
        <v>45541</v>
      </c>
      <c r="AH4021">
        <v>4</v>
      </c>
      <c r="AI4021">
        <v>2</v>
      </c>
      <c r="AJ4021">
        <v>1</v>
      </c>
      <c r="AK4021">
        <v>102.35</v>
      </c>
      <c r="AN4021" t="s">
        <v>45581</v>
      </c>
      <c r="AO4021">
        <v>21268</v>
      </c>
      <c r="AQ4021" t="s">
        <v>46365</v>
      </c>
      <c r="AR4021" t="s">
        <v>46385</v>
      </c>
      <c r="AS4021" t="s">
        <v>46499</v>
      </c>
      <c r="AT4021" t="s">
        <v>46515</v>
      </c>
      <c r="AU4021">
        <v>21.4</v>
      </c>
      <c r="AV4021" t="s">
        <v>713</v>
      </c>
      <c r="AW4021" t="s">
        <v>334</v>
      </c>
    </row>
    <row r="4022" spans="1:50">
      <c r="A4022" s="1">
        <f>HYPERLINK("https://lsnyc.legalserver.org/matter/dynamic-profile/view/1886183","18-1886183")</f>
        <v>0</v>
      </c>
      <c r="B4022" t="s">
        <v>53</v>
      </c>
      <c r="C4022" t="s">
        <v>341</v>
      </c>
      <c r="D4022" t="s">
        <v>684</v>
      </c>
      <c r="E4022" t="s">
        <v>705</v>
      </c>
      <c r="F4022" t="s">
        <v>1283</v>
      </c>
      <c r="G4022" t="s">
        <v>5008</v>
      </c>
      <c r="H4022" t="s">
        <v>11230</v>
      </c>
      <c r="I4022" t="s">
        <v>18040</v>
      </c>
      <c r="J4022" t="s">
        <v>18892</v>
      </c>
      <c r="K4022">
        <v>10460</v>
      </c>
      <c r="L4022" t="s">
        <v>18958</v>
      </c>
      <c r="M4022" t="s">
        <v>18958</v>
      </c>
      <c r="N4022" t="s">
        <v>22009</v>
      </c>
      <c r="O4022" t="s">
        <v>26523</v>
      </c>
      <c r="P4022" t="s">
        <v>26564</v>
      </c>
      <c r="Q4022" t="s">
        <v>26570</v>
      </c>
      <c r="R4022" t="s">
        <v>26577</v>
      </c>
      <c r="S4022" t="s">
        <v>18959</v>
      </c>
      <c r="U4022" t="s">
        <v>26604</v>
      </c>
      <c r="V4022" t="s">
        <v>26614</v>
      </c>
      <c r="W4022" t="s">
        <v>684</v>
      </c>
      <c r="X4022">
        <v>1233</v>
      </c>
      <c r="Y4022" t="s">
        <v>26650</v>
      </c>
      <c r="Z4022" t="s">
        <v>26668</v>
      </c>
      <c r="AA4022" t="s">
        <v>26683</v>
      </c>
      <c r="AB4022" t="s">
        <v>28063</v>
      </c>
      <c r="AC4022" t="s">
        <v>35685</v>
      </c>
      <c r="AD4022" t="s">
        <v>40201</v>
      </c>
      <c r="AE4022">
        <v>102</v>
      </c>
      <c r="AF4022" t="s">
        <v>45553</v>
      </c>
      <c r="AG4022" t="s">
        <v>26530</v>
      </c>
      <c r="AH4022">
        <v>5</v>
      </c>
      <c r="AI4022">
        <v>2</v>
      </c>
      <c r="AJ4022">
        <v>0</v>
      </c>
      <c r="AK4022">
        <v>108.19</v>
      </c>
      <c r="AN4022" t="s">
        <v>7439</v>
      </c>
      <c r="AO4022">
        <v>17808</v>
      </c>
      <c r="AU4022">
        <v>3.7</v>
      </c>
      <c r="AV4022" t="s">
        <v>684</v>
      </c>
      <c r="AW4022" t="s">
        <v>46831</v>
      </c>
    </row>
    <row r="4023" spans="1:50">
      <c r="A4023" s="1">
        <f>HYPERLINK("https://lsnyc.legalserver.org/matter/dynamic-profile/view/1886244","18-1886244")</f>
        <v>0</v>
      </c>
      <c r="B4023" t="s">
        <v>56</v>
      </c>
      <c r="C4023" t="s">
        <v>341</v>
      </c>
      <c r="D4023" t="s">
        <v>684</v>
      </c>
      <c r="E4023" t="s">
        <v>838</v>
      </c>
      <c r="F4023" t="s">
        <v>1650</v>
      </c>
      <c r="G4023" t="s">
        <v>6467</v>
      </c>
      <c r="H4023" t="s">
        <v>10811</v>
      </c>
      <c r="I4023" t="s">
        <v>17425</v>
      </c>
      <c r="J4023" t="s">
        <v>18892</v>
      </c>
      <c r="K4023">
        <v>10467</v>
      </c>
      <c r="L4023" t="s">
        <v>18958</v>
      </c>
      <c r="M4023" t="s">
        <v>18958</v>
      </c>
      <c r="N4023" t="s">
        <v>22010</v>
      </c>
      <c r="O4023" t="s">
        <v>26523</v>
      </c>
      <c r="P4023" t="s">
        <v>26560</v>
      </c>
      <c r="Q4023" t="s">
        <v>26568</v>
      </c>
      <c r="R4023" t="s">
        <v>26579</v>
      </c>
      <c r="U4023" t="s">
        <v>26604</v>
      </c>
      <c r="V4023" t="s">
        <v>26609</v>
      </c>
      <c r="W4023" t="s">
        <v>684</v>
      </c>
      <c r="X4023">
        <v>1500</v>
      </c>
      <c r="Y4023" t="s">
        <v>26650</v>
      </c>
      <c r="Z4023" t="s">
        <v>26661</v>
      </c>
      <c r="AA4023" t="s">
        <v>26678</v>
      </c>
      <c r="AB4023" t="s">
        <v>30071</v>
      </c>
      <c r="AD4023" t="s">
        <v>40202</v>
      </c>
      <c r="AE4023">
        <v>0</v>
      </c>
      <c r="AF4023" t="s">
        <v>45541</v>
      </c>
      <c r="AG4023" t="s">
        <v>45558</v>
      </c>
      <c r="AH4023">
        <v>0</v>
      </c>
      <c r="AI4023">
        <v>2</v>
      </c>
      <c r="AJ4023">
        <v>1</v>
      </c>
      <c r="AK4023">
        <v>13.86</v>
      </c>
      <c r="AN4023" t="s">
        <v>45581</v>
      </c>
      <c r="AO4023">
        <v>2880</v>
      </c>
      <c r="AR4023" t="s">
        <v>46381</v>
      </c>
      <c r="AS4023" t="s">
        <v>46499</v>
      </c>
      <c r="AT4023" t="s">
        <v>46703</v>
      </c>
      <c r="AU4023">
        <v>4</v>
      </c>
      <c r="AV4023" t="s">
        <v>668</v>
      </c>
      <c r="AW4023" t="s">
        <v>46859</v>
      </c>
    </row>
    <row r="4024" spans="1:50">
      <c r="A4024" s="1">
        <f>HYPERLINK("https://lsnyc.legalserver.org/matter/dynamic-profile/view/1886238","18-1886238")</f>
        <v>0</v>
      </c>
      <c r="B4024" t="s">
        <v>93</v>
      </c>
      <c r="C4024" t="s">
        <v>341</v>
      </c>
      <c r="D4024" t="s">
        <v>684</v>
      </c>
      <c r="E4024" t="s">
        <v>660</v>
      </c>
      <c r="F4024" t="s">
        <v>2002</v>
      </c>
      <c r="G4024" t="s">
        <v>7150</v>
      </c>
      <c r="H4024" t="s">
        <v>12488</v>
      </c>
      <c r="I4024" t="s">
        <v>17397</v>
      </c>
      <c r="J4024" t="s">
        <v>18915</v>
      </c>
      <c r="K4024">
        <v>11372</v>
      </c>
      <c r="L4024" t="s">
        <v>18958</v>
      </c>
      <c r="M4024" t="s">
        <v>18958</v>
      </c>
      <c r="N4024" t="s">
        <v>22011</v>
      </c>
      <c r="O4024" t="s">
        <v>26524</v>
      </c>
      <c r="P4024" t="s">
        <v>26564</v>
      </c>
      <c r="Q4024" t="s">
        <v>26570</v>
      </c>
      <c r="R4024" t="s">
        <v>26584</v>
      </c>
      <c r="S4024" t="s">
        <v>18959</v>
      </c>
      <c r="U4024" t="s">
        <v>26604</v>
      </c>
      <c r="V4024" t="s">
        <v>26610</v>
      </c>
      <c r="W4024" t="s">
        <v>684</v>
      </c>
      <c r="X4024">
        <v>1200</v>
      </c>
      <c r="Y4024" t="s">
        <v>26653</v>
      </c>
      <c r="Z4024" t="s">
        <v>26664</v>
      </c>
      <c r="AA4024" t="s">
        <v>26683</v>
      </c>
      <c r="AB4024" t="s">
        <v>30072</v>
      </c>
      <c r="AD4024" t="s">
        <v>40203</v>
      </c>
      <c r="AE4024">
        <v>101</v>
      </c>
      <c r="AF4024" t="s">
        <v>45541</v>
      </c>
      <c r="AG4024" t="s">
        <v>19330</v>
      </c>
      <c r="AH4024">
        <v>7</v>
      </c>
      <c r="AI4024">
        <v>1</v>
      </c>
      <c r="AJ4024">
        <v>1</v>
      </c>
      <c r="AK4024">
        <v>66.83</v>
      </c>
      <c r="AN4024" t="s">
        <v>45581</v>
      </c>
      <c r="AO4024">
        <v>11000</v>
      </c>
      <c r="AU4024">
        <v>2.75</v>
      </c>
      <c r="AV4024" t="s">
        <v>573</v>
      </c>
      <c r="AW4024" t="s">
        <v>161</v>
      </c>
    </row>
    <row r="4025" spans="1:50">
      <c r="A4025" s="1">
        <f>HYPERLINK("https://lsnyc.legalserver.org/matter/dynamic-profile/view/1886177","18-1886177")</f>
        <v>0</v>
      </c>
      <c r="B4025" t="s">
        <v>118</v>
      </c>
      <c r="C4025" t="s">
        <v>341</v>
      </c>
      <c r="D4025" t="s">
        <v>684</v>
      </c>
      <c r="E4025" t="s">
        <v>416</v>
      </c>
      <c r="F4025" t="s">
        <v>1830</v>
      </c>
      <c r="G4025" t="s">
        <v>5341</v>
      </c>
      <c r="H4025" t="s">
        <v>12794</v>
      </c>
      <c r="J4025" t="s">
        <v>18893</v>
      </c>
      <c r="K4025">
        <v>10029</v>
      </c>
      <c r="L4025" t="s">
        <v>18958</v>
      </c>
      <c r="M4025" t="s">
        <v>18958</v>
      </c>
      <c r="O4025" t="s">
        <v>18997</v>
      </c>
      <c r="P4025" t="s">
        <v>26564</v>
      </c>
      <c r="Q4025" t="s">
        <v>26570</v>
      </c>
      <c r="R4025" t="s">
        <v>26578</v>
      </c>
      <c r="S4025" t="s">
        <v>18959</v>
      </c>
      <c r="U4025" t="s">
        <v>26604</v>
      </c>
      <c r="V4025" t="s">
        <v>26610</v>
      </c>
      <c r="W4025" t="s">
        <v>684</v>
      </c>
      <c r="X4025">
        <v>1396</v>
      </c>
      <c r="Y4025" t="s">
        <v>26651</v>
      </c>
      <c r="Z4025" t="s">
        <v>26661</v>
      </c>
      <c r="AA4025" t="s">
        <v>26683</v>
      </c>
      <c r="AB4025" t="s">
        <v>30073</v>
      </c>
      <c r="AE4025">
        <v>90</v>
      </c>
      <c r="AF4025" t="s">
        <v>45541</v>
      </c>
      <c r="AG4025" t="s">
        <v>45556</v>
      </c>
      <c r="AH4025">
        <v>38</v>
      </c>
      <c r="AI4025">
        <v>1</v>
      </c>
      <c r="AJ4025">
        <v>0</v>
      </c>
      <c r="AK4025">
        <v>71.95999999999999</v>
      </c>
      <c r="AN4025" t="s">
        <v>7439</v>
      </c>
      <c r="AO4025">
        <v>8736</v>
      </c>
      <c r="AP4025" t="s">
        <v>45663</v>
      </c>
      <c r="AU4025">
        <v>0.1</v>
      </c>
      <c r="AV4025" t="s">
        <v>745</v>
      </c>
      <c r="AW4025" t="s">
        <v>46835</v>
      </c>
    </row>
    <row r="4026" spans="1:50">
      <c r="A4026" s="1">
        <f>HYPERLINK("https://lsnyc.legalserver.org/matter/dynamic-profile/view/1886234","18-1886234")</f>
        <v>0</v>
      </c>
      <c r="B4026" t="s">
        <v>118</v>
      </c>
      <c r="C4026" t="s">
        <v>341</v>
      </c>
      <c r="D4026" t="s">
        <v>684</v>
      </c>
      <c r="E4026" t="s">
        <v>416</v>
      </c>
      <c r="F4026" t="s">
        <v>2894</v>
      </c>
      <c r="G4026" t="s">
        <v>2564</v>
      </c>
      <c r="H4026" t="s">
        <v>9768</v>
      </c>
      <c r="I4026">
        <v>201</v>
      </c>
      <c r="J4026" t="s">
        <v>18893</v>
      </c>
      <c r="K4026">
        <v>10029</v>
      </c>
      <c r="L4026" t="s">
        <v>18958</v>
      </c>
      <c r="M4026" t="s">
        <v>18958</v>
      </c>
      <c r="O4026" t="s">
        <v>18997</v>
      </c>
      <c r="P4026" t="s">
        <v>26564</v>
      </c>
      <c r="Q4026" t="s">
        <v>26570</v>
      </c>
      <c r="R4026" t="s">
        <v>26578</v>
      </c>
      <c r="S4026" t="s">
        <v>18959</v>
      </c>
      <c r="U4026" t="s">
        <v>26604</v>
      </c>
      <c r="V4026" t="s">
        <v>26610</v>
      </c>
      <c r="W4026" t="s">
        <v>684</v>
      </c>
      <c r="X4026">
        <v>398</v>
      </c>
      <c r="Y4026" t="s">
        <v>26651</v>
      </c>
      <c r="Z4026" t="s">
        <v>26667</v>
      </c>
      <c r="AA4026" t="s">
        <v>26683</v>
      </c>
      <c r="AB4026" t="s">
        <v>30074</v>
      </c>
      <c r="AD4026" t="s">
        <v>40204</v>
      </c>
      <c r="AE4026">
        <v>82</v>
      </c>
      <c r="AF4026" t="s">
        <v>45543</v>
      </c>
      <c r="AG4026" t="s">
        <v>45556</v>
      </c>
      <c r="AH4026">
        <v>32</v>
      </c>
      <c r="AI4026">
        <v>3</v>
      </c>
      <c r="AJ4026">
        <v>0</v>
      </c>
      <c r="AK4026">
        <v>309.05</v>
      </c>
      <c r="AN4026" t="s">
        <v>7439</v>
      </c>
      <c r="AO4026">
        <v>64220</v>
      </c>
      <c r="AU4026">
        <v>0.1</v>
      </c>
      <c r="AV4026" t="s">
        <v>745</v>
      </c>
      <c r="AW4026" t="s">
        <v>46835</v>
      </c>
    </row>
    <row r="4027" spans="1:50">
      <c r="A4027" s="1">
        <f>HYPERLINK("https://lsnyc.legalserver.org/matter/dynamic-profile/view/1886194","18-1886194")</f>
        <v>0</v>
      </c>
      <c r="B4027" t="s">
        <v>118</v>
      </c>
      <c r="C4027" t="s">
        <v>341</v>
      </c>
      <c r="D4027" t="s">
        <v>684</v>
      </c>
      <c r="E4027" t="s">
        <v>737</v>
      </c>
      <c r="F4027" t="s">
        <v>2120</v>
      </c>
      <c r="G4027" t="s">
        <v>6790</v>
      </c>
      <c r="H4027" t="s">
        <v>12795</v>
      </c>
      <c r="I4027" t="s">
        <v>17569</v>
      </c>
      <c r="J4027" t="s">
        <v>18892</v>
      </c>
      <c r="K4027">
        <v>10452</v>
      </c>
      <c r="L4027" t="s">
        <v>18958</v>
      </c>
      <c r="M4027" t="s">
        <v>18958</v>
      </c>
      <c r="P4027" t="s">
        <v>26564</v>
      </c>
      <c r="Q4027" t="s">
        <v>26570</v>
      </c>
      <c r="R4027" t="s">
        <v>26592</v>
      </c>
      <c r="S4027" t="s">
        <v>18959</v>
      </c>
      <c r="U4027" t="s">
        <v>26605</v>
      </c>
      <c r="V4027" t="s">
        <v>26610</v>
      </c>
      <c r="W4027" t="s">
        <v>684</v>
      </c>
      <c r="X4027">
        <v>1040</v>
      </c>
      <c r="Y4027" t="s">
        <v>26651</v>
      </c>
      <c r="Z4027" t="s">
        <v>26667</v>
      </c>
      <c r="AA4027" t="s">
        <v>26683</v>
      </c>
      <c r="AB4027" t="s">
        <v>30075</v>
      </c>
      <c r="AD4027" t="s">
        <v>40205</v>
      </c>
      <c r="AE4027">
        <v>0</v>
      </c>
      <c r="AF4027" t="s">
        <v>45542</v>
      </c>
      <c r="AG4027" t="s">
        <v>19330</v>
      </c>
      <c r="AH4027">
        <v>10</v>
      </c>
      <c r="AI4027">
        <v>2</v>
      </c>
      <c r="AJ4027">
        <v>0</v>
      </c>
      <c r="AK4027">
        <v>49.21</v>
      </c>
      <c r="AN4027" t="s">
        <v>7439</v>
      </c>
      <c r="AO4027">
        <v>8100</v>
      </c>
      <c r="AU4027">
        <v>0.1</v>
      </c>
      <c r="AV4027" t="s">
        <v>745</v>
      </c>
      <c r="AW4027" t="s">
        <v>46835</v>
      </c>
    </row>
    <row r="4028" spans="1:50">
      <c r="A4028" s="1">
        <f>HYPERLINK("https://lsnyc.legalserver.org/matter/dynamic-profile/view/1886302","18-1886302")</f>
        <v>0</v>
      </c>
      <c r="B4028" t="s">
        <v>87</v>
      </c>
      <c r="C4028" t="s">
        <v>341</v>
      </c>
      <c r="D4028" t="s">
        <v>684</v>
      </c>
      <c r="E4028" t="s">
        <v>785</v>
      </c>
      <c r="F4028" t="s">
        <v>2895</v>
      </c>
      <c r="G4028" t="s">
        <v>7151</v>
      </c>
      <c r="H4028" t="s">
        <v>12796</v>
      </c>
      <c r="I4028" t="s">
        <v>17306</v>
      </c>
      <c r="J4028" t="s">
        <v>18892</v>
      </c>
      <c r="K4028">
        <v>10457</v>
      </c>
      <c r="L4028" t="s">
        <v>18958</v>
      </c>
      <c r="M4028" t="s">
        <v>18958</v>
      </c>
      <c r="N4028" t="s">
        <v>22012</v>
      </c>
      <c r="O4028" t="s">
        <v>26523</v>
      </c>
      <c r="P4028" t="s">
        <v>26560</v>
      </c>
      <c r="Q4028" t="s">
        <v>26568</v>
      </c>
      <c r="R4028" t="s">
        <v>26579</v>
      </c>
      <c r="S4028" t="s">
        <v>18959</v>
      </c>
      <c r="U4028" t="s">
        <v>26604</v>
      </c>
      <c r="V4028" t="s">
        <v>26610</v>
      </c>
      <c r="W4028" t="s">
        <v>684</v>
      </c>
      <c r="X4028">
        <v>844.97</v>
      </c>
      <c r="Y4028" t="s">
        <v>26650</v>
      </c>
      <c r="Z4028" t="s">
        <v>26668</v>
      </c>
      <c r="AA4028" t="s">
        <v>26678</v>
      </c>
      <c r="AB4028" t="s">
        <v>30076</v>
      </c>
      <c r="AC4028" t="s">
        <v>35686</v>
      </c>
      <c r="AD4028" t="s">
        <v>40206</v>
      </c>
      <c r="AE4028">
        <v>0</v>
      </c>
      <c r="AF4028" t="s">
        <v>45541</v>
      </c>
      <c r="AG4028" t="s">
        <v>19330</v>
      </c>
      <c r="AH4028">
        <v>19</v>
      </c>
      <c r="AI4028">
        <v>1</v>
      </c>
      <c r="AJ4028">
        <v>0</v>
      </c>
      <c r="AK4028">
        <v>18.09</v>
      </c>
      <c r="AN4028" t="s">
        <v>7439</v>
      </c>
      <c r="AO4028">
        <v>2196</v>
      </c>
      <c r="AR4028" t="s">
        <v>46379</v>
      </c>
      <c r="AS4028" t="s">
        <v>46499</v>
      </c>
      <c r="AT4028" t="s">
        <v>46662</v>
      </c>
      <c r="AU4028">
        <v>4.5</v>
      </c>
      <c r="AV4028" t="s">
        <v>677</v>
      </c>
      <c r="AW4028" t="s">
        <v>46870</v>
      </c>
    </row>
    <row r="4029" spans="1:50">
      <c r="A4029" s="1">
        <f>HYPERLINK("https://lsnyc.legalserver.org/matter/dynamic-profile/view/1886260","18-1886260")</f>
        <v>0</v>
      </c>
      <c r="B4029" t="s">
        <v>87</v>
      </c>
      <c r="C4029" t="s">
        <v>341</v>
      </c>
      <c r="D4029" t="s">
        <v>684</v>
      </c>
      <c r="E4029" t="s">
        <v>802</v>
      </c>
      <c r="F4029" t="s">
        <v>903</v>
      </c>
      <c r="G4029" t="s">
        <v>7152</v>
      </c>
      <c r="H4029" t="s">
        <v>12518</v>
      </c>
      <c r="I4029" t="s">
        <v>17728</v>
      </c>
      <c r="J4029" t="s">
        <v>18892</v>
      </c>
      <c r="K4029">
        <v>10462</v>
      </c>
      <c r="L4029" t="s">
        <v>18958</v>
      </c>
      <c r="M4029" t="s">
        <v>18958</v>
      </c>
      <c r="N4029" t="s">
        <v>22013</v>
      </c>
      <c r="O4029" t="s">
        <v>26523</v>
      </c>
      <c r="P4029" t="s">
        <v>26560</v>
      </c>
      <c r="Q4029" t="s">
        <v>26568</v>
      </c>
      <c r="R4029" t="s">
        <v>26579</v>
      </c>
      <c r="S4029" t="s">
        <v>18959</v>
      </c>
      <c r="U4029" t="s">
        <v>26604</v>
      </c>
      <c r="V4029" t="s">
        <v>26610</v>
      </c>
      <c r="W4029" t="s">
        <v>684</v>
      </c>
      <c r="X4029">
        <v>1620</v>
      </c>
      <c r="Y4029" t="s">
        <v>26650</v>
      </c>
      <c r="Z4029" t="s">
        <v>26668</v>
      </c>
      <c r="AA4029" t="s">
        <v>26678</v>
      </c>
      <c r="AB4029" t="s">
        <v>30077</v>
      </c>
      <c r="AC4029" t="s">
        <v>35687</v>
      </c>
      <c r="AD4029" t="s">
        <v>40207</v>
      </c>
      <c r="AE4029">
        <v>0</v>
      </c>
      <c r="AF4029" t="s">
        <v>45541</v>
      </c>
      <c r="AG4029" t="s">
        <v>19330</v>
      </c>
      <c r="AH4029">
        <v>3</v>
      </c>
      <c r="AI4029">
        <v>2</v>
      </c>
      <c r="AJ4029">
        <v>0</v>
      </c>
      <c r="AK4029">
        <v>103.28</v>
      </c>
      <c r="AN4029" t="s">
        <v>7439</v>
      </c>
      <c r="AO4029">
        <v>17000</v>
      </c>
      <c r="AR4029" t="s">
        <v>46379</v>
      </c>
      <c r="AS4029" t="s">
        <v>46499</v>
      </c>
      <c r="AT4029" t="s">
        <v>46655</v>
      </c>
      <c r="AU4029">
        <v>11.8</v>
      </c>
      <c r="AV4029" t="s">
        <v>758</v>
      </c>
      <c r="AW4029" t="s">
        <v>46870</v>
      </c>
    </row>
    <row r="4030" spans="1:50">
      <c r="A4030" s="1">
        <f>HYPERLINK("https://lsnyc.legalserver.org/matter/dynamic-profile/view/1886186","18-1886186")</f>
        <v>0</v>
      </c>
      <c r="B4030" t="s">
        <v>136</v>
      </c>
      <c r="C4030" t="s">
        <v>340</v>
      </c>
      <c r="D4030" t="s">
        <v>684</v>
      </c>
      <c r="F4030" t="s">
        <v>2896</v>
      </c>
      <c r="G4030" t="s">
        <v>5269</v>
      </c>
      <c r="H4030" t="s">
        <v>12797</v>
      </c>
      <c r="I4030" t="s">
        <v>17283</v>
      </c>
      <c r="J4030" t="s">
        <v>18892</v>
      </c>
      <c r="K4030">
        <v>10453</v>
      </c>
      <c r="L4030" t="s">
        <v>18958</v>
      </c>
      <c r="M4030" t="s">
        <v>18958</v>
      </c>
      <c r="N4030" t="s">
        <v>22014</v>
      </c>
      <c r="O4030" t="s">
        <v>26523</v>
      </c>
      <c r="P4030" t="s">
        <v>26560</v>
      </c>
      <c r="R4030" t="s">
        <v>26577</v>
      </c>
      <c r="S4030" t="s">
        <v>18959</v>
      </c>
      <c r="U4030" t="s">
        <v>26604</v>
      </c>
      <c r="V4030" t="s">
        <v>26611</v>
      </c>
      <c r="W4030" t="s">
        <v>684</v>
      </c>
      <c r="X4030">
        <v>1729.74</v>
      </c>
      <c r="Y4030" t="s">
        <v>26650</v>
      </c>
      <c r="Z4030" t="s">
        <v>26668</v>
      </c>
      <c r="AB4030" t="s">
        <v>30078</v>
      </c>
      <c r="AC4030" t="s">
        <v>35688</v>
      </c>
      <c r="AD4030" t="s">
        <v>40208</v>
      </c>
      <c r="AE4030">
        <v>0</v>
      </c>
      <c r="AF4030" t="s">
        <v>45541</v>
      </c>
      <c r="AG4030" t="s">
        <v>45556</v>
      </c>
      <c r="AH4030">
        <v>6</v>
      </c>
      <c r="AI4030">
        <v>1</v>
      </c>
      <c r="AJ4030">
        <v>3</v>
      </c>
      <c r="AK4030">
        <v>59.49</v>
      </c>
      <c r="AN4030" t="s">
        <v>7439</v>
      </c>
      <c r="AO4030">
        <v>14932</v>
      </c>
      <c r="AU4030">
        <v>15.25</v>
      </c>
      <c r="AV4030" t="s">
        <v>770</v>
      </c>
      <c r="AW4030" t="s">
        <v>46870</v>
      </c>
    </row>
    <row r="4031" spans="1:50">
      <c r="A4031" s="1">
        <f>HYPERLINK("https://lsnyc.legalserver.org/matter/dynamic-profile/view/1886227","18-1886227")</f>
        <v>0</v>
      </c>
      <c r="B4031" t="s">
        <v>67</v>
      </c>
      <c r="C4031" t="s">
        <v>340</v>
      </c>
      <c r="D4031" t="s">
        <v>684</v>
      </c>
      <c r="F4031" t="s">
        <v>1075</v>
      </c>
      <c r="G4031" t="s">
        <v>7153</v>
      </c>
      <c r="H4031" t="s">
        <v>12798</v>
      </c>
      <c r="I4031" t="s">
        <v>17272</v>
      </c>
      <c r="J4031" t="s">
        <v>18892</v>
      </c>
      <c r="K4031">
        <v>10452</v>
      </c>
      <c r="L4031" t="s">
        <v>18958</v>
      </c>
      <c r="M4031" t="s">
        <v>18958</v>
      </c>
      <c r="O4031" t="s">
        <v>26537</v>
      </c>
      <c r="P4031" t="s">
        <v>26564</v>
      </c>
      <c r="R4031" t="s">
        <v>26578</v>
      </c>
      <c r="S4031" t="s">
        <v>18959</v>
      </c>
      <c r="U4031" t="s">
        <v>26606</v>
      </c>
      <c r="V4031" t="s">
        <v>26610</v>
      </c>
      <c r="W4031" t="s">
        <v>684</v>
      </c>
      <c r="X4031">
        <v>462</v>
      </c>
      <c r="Y4031" t="s">
        <v>26650</v>
      </c>
      <c r="Z4031" t="s">
        <v>26663</v>
      </c>
      <c r="AB4031" t="s">
        <v>30079</v>
      </c>
      <c r="AD4031" t="s">
        <v>40209</v>
      </c>
      <c r="AE4031">
        <v>40</v>
      </c>
      <c r="AF4031" t="s">
        <v>45541</v>
      </c>
      <c r="AG4031" t="s">
        <v>45556</v>
      </c>
      <c r="AH4031">
        <v>6</v>
      </c>
      <c r="AI4031">
        <v>1</v>
      </c>
      <c r="AJ4031">
        <v>1</v>
      </c>
      <c r="AK4031">
        <v>3.28</v>
      </c>
      <c r="AN4031" t="s">
        <v>45581</v>
      </c>
      <c r="AO4031">
        <v>540</v>
      </c>
      <c r="AU4031">
        <v>2</v>
      </c>
      <c r="AV4031" t="s">
        <v>718</v>
      </c>
      <c r="AW4031" t="s">
        <v>169</v>
      </c>
    </row>
    <row r="4032" spans="1:50">
      <c r="A4032" s="1">
        <f>HYPERLINK("https://lsnyc.legalserver.org/matter/dynamic-profile/view/1886182","18-1886182")</f>
        <v>0</v>
      </c>
      <c r="B4032" t="s">
        <v>90</v>
      </c>
      <c r="C4032" t="s">
        <v>340</v>
      </c>
      <c r="D4032" t="s">
        <v>684</v>
      </c>
      <c r="F4032" t="s">
        <v>1844</v>
      </c>
      <c r="G4032" t="s">
        <v>5466</v>
      </c>
      <c r="H4032" t="s">
        <v>12799</v>
      </c>
      <c r="I4032" t="s">
        <v>17272</v>
      </c>
      <c r="J4032" t="s">
        <v>18893</v>
      </c>
      <c r="K4032">
        <v>10029</v>
      </c>
      <c r="L4032" t="s">
        <v>18958</v>
      </c>
      <c r="M4032" t="s">
        <v>18958</v>
      </c>
      <c r="N4032" t="s">
        <v>22015</v>
      </c>
      <c r="O4032" t="s">
        <v>26524</v>
      </c>
      <c r="P4032" t="s">
        <v>26560</v>
      </c>
      <c r="R4032" t="s">
        <v>26578</v>
      </c>
      <c r="S4032" t="s">
        <v>18959</v>
      </c>
      <c r="U4032" t="s">
        <v>26604</v>
      </c>
      <c r="V4032" t="s">
        <v>26610</v>
      </c>
      <c r="W4032" t="s">
        <v>684</v>
      </c>
      <c r="X4032">
        <v>250</v>
      </c>
      <c r="Y4032" t="s">
        <v>26651</v>
      </c>
      <c r="Z4032" t="s">
        <v>26659</v>
      </c>
      <c r="AB4032" t="s">
        <v>30080</v>
      </c>
      <c r="AD4032" t="s">
        <v>40210</v>
      </c>
      <c r="AE4032">
        <v>10</v>
      </c>
      <c r="AF4032" t="s">
        <v>45541</v>
      </c>
      <c r="AG4032" t="s">
        <v>19330</v>
      </c>
      <c r="AH4032">
        <v>45</v>
      </c>
      <c r="AI4032">
        <v>2</v>
      </c>
      <c r="AJ4032">
        <v>0</v>
      </c>
      <c r="AK4032">
        <v>42.07</v>
      </c>
      <c r="AN4032" t="s">
        <v>7439</v>
      </c>
      <c r="AO4032">
        <v>6924</v>
      </c>
      <c r="AU4032">
        <v>22.3</v>
      </c>
      <c r="AV4032" t="s">
        <v>838</v>
      </c>
      <c r="AW4032" t="s">
        <v>46835</v>
      </c>
      <c r="AX4032" t="s">
        <v>46897</v>
      </c>
    </row>
    <row r="4033" spans="1:49">
      <c r="A4033" s="1">
        <f>HYPERLINK("https://lsnyc.legalserver.org/matter/dynamic-profile/view/1886266","18-1886266")</f>
        <v>0</v>
      </c>
      <c r="B4033" t="s">
        <v>50</v>
      </c>
      <c r="C4033" t="s">
        <v>340</v>
      </c>
      <c r="D4033" t="s">
        <v>684</v>
      </c>
      <c r="F4033" t="s">
        <v>1555</v>
      </c>
      <c r="G4033" t="s">
        <v>1680</v>
      </c>
      <c r="H4033" t="s">
        <v>9971</v>
      </c>
      <c r="I4033" t="s">
        <v>17352</v>
      </c>
      <c r="J4033" t="s">
        <v>18892</v>
      </c>
      <c r="K4033">
        <v>10468</v>
      </c>
      <c r="L4033" t="s">
        <v>18958</v>
      </c>
      <c r="M4033" t="s">
        <v>18958</v>
      </c>
      <c r="N4033" t="s">
        <v>22016</v>
      </c>
      <c r="O4033" t="s">
        <v>26523</v>
      </c>
      <c r="P4033" t="s">
        <v>26560</v>
      </c>
      <c r="R4033" t="s">
        <v>26579</v>
      </c>
      <c r="S4033" t="s">
        <v>18959</v>
      </c>
      <c r="U4033" t="s">
        <v>26604</v>
      </c>
      <c r="V4033" t="s">
        <v>26612</v>
      </c>
      <c r="W4033" t="s">
        <v>684</v>
      </c>
      <c r="X4033">
        <v>1508</v>
      </c>
      <c r="Y4033" t="s">
        <v>26650</v>
      </c>
      <c r="Z4033" t="s">
        <v>26659</v>
      </c>
      <c r="AA4033" t="s">
        <v>26680</v>
      </c>
      <c r="AB4033" t="s">
        <v>30081</v>
      </c>
      <c r="AC4033" t="s">
        <v>35689</v>
      </c>
      <c r="AD4033" t="s">
        <v>40211</v>
      </c>
      <c r="AE4033">
        <v>46</v>
      </c>
      <c r="AF4033" t="s">
        <v>45541</v>
      </c>
      <c r="AG4033" t="s">
        <v>19330</v>
      </c>
      <c r="AH4033">
        <v>20</v>
      </c>
      <c r="AI4033">
        <v>3</v>
      </c>
      <c r="AJ4033">
        <v>0</v>
      </c>
      <c r="AK4033">
        <v>40.89</v>
      </c>
      <c r="AN4033" t="s">
        <v>7439</v>
      </c>
      <c r="AO4033">
        <v>8496</v>
      </c>
      <c r="AU4033">
        <v>33.25</v>
      </c>
      <c r="AV4033" t="s">
        <v>821</v>
      </c>
      <c r="AW4033" t="s">
        <v>46858</v>
      </c>
    </row>
    <row r="4034" spans="1:49">
      <c r="A4034" s="1">
        <f>HYPERLINK("https://lsnyc.legalserver.org/matter/dynamic-profile/view/1886249","18-1886249")</f>
        <v>0</v>
      </c>
      <c r="B4034" t="s">
        <v>142</v>
      </c>
      <c r="C4034" t="s">
        <v>340</v>
      </c>
      <c r="D4034" t="s">
        <v>684</v>
      </c>
      <c r="F4034" t="s">
        <v>2897</v>
      </c>
      <c r="G4034" t="s">
        <v>6610</v>
      </c>
      <c r="H4034" t="s">
        <v>12800</v>
      </c>
      <c r="I4034" t="s">
        <v>17421</v>
      </c>
      <c r="J4034" t="s">
        <v>7026</v>
      </c>
      <c r="K4034">
        <v>11368</v>
      </c>
      <c r="L4034" t="s">
        <v>18958</v>
      </c>
      <c r="M4034" t="s">
        <v>18958</v>
      </c>
      <c r="N4034" t="s">
        <v>22017</v>
      </c>
      <c r="O4034" t="s">
        <v>26523</v>
      </c>
      <c r="P4034" t="s">
        <v>26564</v>
      </c>
      <c r="R4034" t="s">
        <v>26584</v>
      </c>
      <c r="S4034" t="s">
        <v>18959</v>
      </c>
      <c r="U4034" t="s">
        <v>26604</v>
      </c>
      <c r="V4034" t="s">
        <v>26609</v>
      </c>
      <c r="W4034" t="s">
        <v>684</v>
      </c>
      <c r="X4034">
        <v>1213</v>
      </c>
      <c r="Y4034" t="s">
        <v>26653</v>
      </c>
      <c r="Z4034" t="s">
        <v>26664</v>
      </c>
      <c r="AB4034" t="s">
        <v>30082</v>
      </c>
      <c r="AC4034" t="s">
        <v>35690</v>
      </c>
      <c r="AD4034" t="s">
        <v>40212</v>
      </c>
      <c r="AE4034">
        <v>229</v>
      </c>
      <c r="AF4034" t="s">
        <v>45541</v>
      </c>
      <c r="AG4034" t="s">
        <v>19330</v>
      </c>
      <c r="AH4034">
        <v>41</v>
      </c>
      <c r="AI4034">
        <v>3</v>
      </c>
      <c r="AJ4034">
        <v>1</v>
      </c>
      <c r="AK4034">
        <v>65.55</v>
      </c>
      <c r="AN4034" t="s">
        <v>7439</v>
      </c>
      <c r="AO4034">
        <v>16452</v>
      </c>
      <c r="AU4034">
        <v>1</v>
      </c>
      <c r="AV4034" t="s">
        <v>684</v>
      </c>
      <c r="AW4034" t="s">
        <v>161</v>
      </c>
    </row>
    <row r="4035" spans="1:49">
      <c r="A4035" s="1">
        <f>HYPERLINK("https://lsnyc.legalserver.org/matter/dynamic-profile/view/1886226","18-1886226")</f>
        <v>0</v>
      </c>
      <c r="B4035" t="s">
        <v>91</v>
      </c>
      <c r="C4035" t="s">
        <v>340</v>
      </c>
      <c r="D4035" t="s">
        <v>684</v>
      </c>
      <c r="F4035" t="s">
        <v>887</v>
      </c>
      <c r="G4035" t="s">
        <v>7154</v>
      </c>
      <c r="H4035" t="s">
        <v>12801</v>
      </c>
      <c r="I4035" t="s">
        <v>17356</v>
      </c>
      <c r="J4035" t="s">
        <v>7026</v>
      </c>
      <c r="K4035">
        <v>11368</v>
      </c>
      <c r="L4035" t="s">
        <v>18958</v>
      </c>
      <c r="M4035" t="s">
        <v>18958</v>
      </c>
      <c r="N4035" t="s">
        <v>22018</v>
      </c>
      <c r="O4035" t="s">
        <v>26523</v>
      </c>
      <c r="P4035" t="s">
        <v>26564</v>
      </c>
      <c r="R4035" t="s">
        <v>26584</v>
      </c>
      <c r="S4035" t="s">
        <v>18959</v>
      </c>
      <c r="U4035" t="s">
        <v>26604</v>
      </c>
      <c r="V4035" t="s">
        <v>26610</v>
      </c>
      <c r="W4035" t="s">
        <v>684</v>
      </c>
      <c r="X4035">
        <v>1800</v>
      </c>
      <c r="Y4035" t="s">
        <v>26653</v>
      </c>
      <c r="Z4035" t="s">
        <v>26664</v>
      </c>
      <c r="AB4035" t="s">
        <v>29428</v>
      </c>
      <c r="AC4035" t="s">
        <v>35691</v>
      </c>
      <c r="AD4035" t="s">
        <v>40213</v>
      </c>
      <c r="AE4035">
        <v>18</v>
      </c>
      <c r="AF4035" t="s">
        <v>45547</v>
      </c>
      <c r="AG4035" t="s">
        <v>19330</v>
      </c>
      <c r="AH4035">
        <v>6</v>
      </c>
      <c r="AI4035">
        <v>1</v>
      </c>
      <c r="AJ4035">
        <v>3</v>
      </c>
      <c r="AK4035">
        <v>95.62</v>
      </c>
      <c r="AN4035" t="s">
        <v>7439</v>
      </c>
      <c r="AO4035">
        <v>24000</v>
      </c>
      <c r="AU4035">
        <v>1.6</v>
      </c>
      <c r="AV4035" t="s">
        <v>754</v>
      </c>
      <c r="AW4035" t="s">
        <v>161</v>
      </c>
    </row>
    <row r="4036" spans="1:49">
      <c r="A4036" s="1">
        <f>HYPERLINK("https://lsnyc.legalserver.org/matter/dynamic-profile/view/1886203","18-1886203")</f>
        <v>0</v>
      </c>
      <c r="B4036" t="s">
        <v>188</v>
      </c>
      <c r="C4036" t="s">
        <v>340</v>
      </c>
      <c r="D4036" t="s">
        <v>684</v>
      </c>
      <c r="F4036" t="s">
        <v>2898</v>
      </c>
      <c r="G4036" t="s">
        <v>7105</v>
      </c>
      <c r="H4036" t="s">
        <v>11980</v>
      </c>
      <c r="I4036" t="s">
        <v>17343</v>
      </c>
      <c r="J4036" t="s">
        <v>18892</v>
      </c>
      <c r="K4036">
        <v>10459</v>
      </c>
      <c r="L4036" t="s">
        <v>18958</v>
      </c>
      <c r="M4036" t="s">
        <v>18958</v>
      </c>
      <c r="N4036" t="s">
        <v>22019</v>
      </c>
      <c r="O4036" t="s">
        <v>26523</v>
      </c>
      <c r="P4036" t="s">
        <v>26560</v>
      </c>
      <c r="R4036" t="s">
        <v>26578</v>
      </c>
      <c r="S4036" t="s">
        <v>18959</v>
      </c>
      <c r="U4036" t="s">
        <v>26604</v>
      </c>
      <c r="W4036" t="s">
        <v>684</v>
      </c>
      <c r="X4036">
        <v>1442</v>
      </c>
      <c r="Y4036" t="s">
        <v>26650</v>
      </c>
      <c r="Z4036" t="s">
        <v>26663</v>
      </c>
      <c r="AB4036" t="s">
        <v>30083</v>
      </c>
      <c r="AC4036" t="s">
        <v>35692</v>
      </c>
      <c r="AD4036" t="s">
        <v>40214</v>
      </c>
      <c r="AE4036">
        <v>42</v>
      </c>
      <c r="AF4036" t="s">
        <v>45552</v>
      </c>
      <c r="AG4036" t="s">
        <v>45563</v>
      </c>
      <c r="AH4036">
        <v>23</v>
      </c>
      <c r="AI4036">
        <v>2</v>
      </c>
      <c r="AJ4036">
        <v>2</v>
      </c>
      <c r="AK4036">
        <v>66.93000000000001</v>
      </c>
      <c r="AN4036" t="s">
        <v>7439</v>
      </c>
      <c r="AO4036">
        <v>16800</v>
      </c>
      <c r="AU4036">
        <v>41.4</v>
      </c>
      <c r="AV4036" t="s">
        <v>839</v>
      </c>
      <c r="AW4036" t="s">
        <v>336</v>
      </c>
    </row>
    <row r="4037" spans="1:49">
      <c r="A4037" s="1">
        <f>HYPERLINK("https://lsnyc.legalserver.org/matter/dynamic-profile/view/1886236","18-1886236")</f>
        <v>0</v>
      </c>
      <c r="B4037" t="s">
        <v>87</v>
      </c>
      <c r="C4037" t="s">
        <v>340</v>
      </c>
      <c r="D4037" t="s">
        <v>684</v>
      </c>
      <c r="F4037" t="s">
        <v>2899</v>
      </c>
      <c r="G4037" t="s">
        <v>6901</v>
      </c>
      <c r="H4037" t="s">
        <v>12802</v>
      </c>
      <c r="I4037" t="s">
        <v>17833</v>
      </c>
      <c r="J4037" t="s">
        <v>18892</v>
      </c>
      <c r="K4037">
        <v>10460</v>
      </c>
      <c r="L4037" t="s">
        <v>18958</v>
      </c>
      <c r="M4037" t="s">
        <v>18958</v>
      </c>
      <c r="N4037" t="s">
        <v>22020</v>
      </c>
      <c r="O4037" t="s">
        <v>26523</v>
      </c>
      <c r="P4037" t="s">
        <v>26560</v>
      </c>
      <c r="R4037" t="s">
        <v>26577</v>
      </c>
      <c r="U4037" t="s">
        <v>26604</v>
      </c>
      <c r="V4037" t="s">
        <v>26610</v>
      </c>
      <c r="W4037" t="s">
        <v>684</v>
      </c>
      <c r="X4037">
        <v>1250</v>
      </c>
      <c r="Y4037" t="s">
        <v>26650</v>
      </c>
      <c r="Z4037" t="s">
        <v>26664</v>
      </c>
      <c r="AB4037" t="s">
        <v>30084</v>
      </c>
      <c r="AD4037" t="s">
        <v>40215</v>
      </c>
      <c r="AE4037">
        <v>0</v>
      </c>
      <c r="AF4037" t="s">
        <v>45541</v>
      </c>
      <c r="AG4037" t="s">
        <v>19330</v>
      </c>
      <c r="AH4037">
        <v>2</v>
      </c>
      <c r="AI4037">
        <v>1</v>
      </c>
      <c r="AJ4037">
        <v>2</v>
      </c>
      <c r="AK4037">
        <v>171.87</v>
      </c>
      <c r="AN4037" t="s">
        <v>7439</v>
      </c>
      <c r="AO4037">
        <v>35715</v>
      </c>
      <c r="AU4037">
        <v>15.5</v>
      </c>
      <c r="AV4037" t="s">
        <v>720</v>
      </c>
      <c r="AW4037" t="s">
        <v>334</v>
      </c>
    </row>
    <row r="4038" spans="1:49">
      <c r="A4038" s="1">
        <f>HYPERLINK("https://lsnyc.legalserver.org/matter/dynamic-profile/view/1886258","18-1886258")</f>
        <v>0</v>
      </c>
      <c r="B4038" t="s">
        <v>235</v>
      </c>
      <c r="C4038" t="s">
        <v>340</v>
      </c>
      <c r="D4038" t="s">
        <v>684</v>
      </c>
      <c r="F4038" t="s">
        <v>2556</v>
      </c>
      <c r="G4038" t="s">
        <v>5352</v>
      </c>
      <c r="H4038" t="s">
        <v>12175</v>
      </c>
      <c r="I4038" t="s">
        <v>17360</v>
      </c>
      <c r="J4038" t="s">
        <v>18913</v>
      </c>
      <c r="K4038">
        <v>11106</v>
      </c>
      <c r="L4038" t="s">
        <v>18958</v>
      </c>
      <c r="M4038" t="s">
        <v>18958</v>
      </c>
      <c r="N4038" t="s">
        <v>21357</v>
      </c>
      <c r="O4038" t="s">
        <v>26523</v>
      </c>
      <c r="P4038" t="s">
        <v>26563</v>
      </c>
      <c r="R4038" t="s">
        <v>26584</v>
      </c>
      <c r="S4038" t="s">
        <v>18959</v>
      </c>
      <c r="U4038" t="s">
        <v>26604</v>
      </c>
      <c r="W4038" t="s">
        <v>684</v>
      </c>
      <c r="X4038">
        <v>888</v>
      </c>
      <c r="Y4038" t="s">
        <v>26653</v>
      </c>
      <c r="Z4038" t="s">
        <v>26664</v>
      </c>
      <c r="AB4038" t="s">
        <v>30085</v>
      </c>
      <c r="AC4038" t="s">
        <v>35693</v>
      </c>
      <c r="AD4038" t="s">
        <v>39519</v>
      </c>
      <c r="AE4038">
        <v>18</v>
      </c>
      <c r="AF4038" t="s">
        <v>20460</v>
      </c>
      <c r="AG4038" t="s">
        <v>19330</v>
      </c>
      <c r="AH4038">
        <v>5</v>
      </c>
      <c r="AI4038">
        <v>1</v>
      </c>
      <c r="AJ4038">
        <v>2</v>
      </c>
      <c r="AK4038">
        <v>0</v>
      </c>
      <c r="AN4038" t="s">
        <v>7439</v>
      </c>
      <c r="AO4038">
        <v>0</v>
      </c>
      <c r="AU4038">
        <v>2.8</v>
      </c>
      <c r="AV4038" t="s">
        <v>754</v>
      </c>
      <c r="AW4038" t="s">
        <v>161</v>
      </c>
    </row>
    <row r="4039" spans="1:49">
      <c r="A4039" s="1">
        <f>HYPERLINK("https://lsnyc.legalserver.org/matter/dynamic-profile/view/1886406","18-1886406")</f>
        <v>0</v>
      </c>
      <c r="B4039" t="s">
        <v>95</v>
      </c>
      <c r="C4039" t="s">
        <v>340</v>
      </c>
      <c r="D4039" t="s">
        <v>705</v>
      </c>
      <c r="F4039" t="s">
        <v>1812</v>
      </c>
      <c r="G4039" t="s">
        <v>5720</v>
      </c>
      <c r="H4039" t="s">
        <v>9692</v>
      </c>
      <c r="I4039" t="s">
        <v>18041</v>
      </c>
      <c r="J4039" t="s">
        <v>18894</v>
      </c>
      <c r="K4039">
        <v>11233</v>
      </c>
      <c r="L4039" t="s">
        <v>18958</v>
      </c>
      <c r="M4039" t="s">
        <v>18958</v>
      </c>
      <c r="N4039" t="s">
        <v>18997</v>
      </c>
      <c r="O4039" t="s">
        <v>26534</v>
      </c>
      <c r="P4039" t="s">
        <v>26562</v>
      </c>
      <c r="R4039" t="s">
        <v>26578</v>
      </c>
      <c r="S4039" t="s">
        <v>18958</v>
      </c>
      <c r="U4039" t="s">
        <v>26604</v>
      </c>
      <c r="V4039" t="s">
        <v>26610</v>
      </c>
      <c r="W4039" t="s">
        <v>684</v>
      </c>
      <c r="X4039">
        <v>1036</v>
      </c>
      <c r="Y4039" t="s">
        <v>26652</v>
      </c>
      <c r="Z4039" t="s">
        <v>26655</v>
      </c>
      <c r="AB4039" t="s">
        <v>28658</v>
      </c>
      <c r="AD4039" t="s">
        <v>40216</v>
      </c>
      <c r="AE4039">
        <v>764</v>
      </c>
      <c r="AF4039" t="s">
        <v>45541</v>
      </c>
      <c r="AG4039" t="s">
        <v>45556</v>
      </c>
      <c r="AH4039">
        <v>13</v>
      </c>
      <c r="AI4039">
        <v>2</v>
      </c>
      <c r="AJ4039">
        <v>4</v>
      </c>
      <c r="AK4039">
        <v>0.06</v>
      </c>
      <c r="AN4039" t="s">
        <v>7439</v>
      </c>
      <c r="AO4039">
        <v>20</v>
      </c>
      <c r="AU4039">
        <v>0</v>
      </c>
      <c r="AW4039" t="s">
        <v>286</v>
      </c>
    </row>
    <row r="4040" spans="1:49">
      <c r="A4040" s="1">
        <f>HYPERLINK("https://lsnyc.legalserver.org/matter/dynamic-profile/view/1886444","18-1886444")</f>
        <v>0</v>
      </c>
      <c r="B4040" t="s">
        <v>200</v>
      </c>
      <c r="C4040" t="s">
        <v>340</v>
      </c>
      <c r="D4040" t="s">
        <v>706</v>
      </c>
      <c r="F4040" t="s">
        <v>938</v>
      </c>
      <c r="G4040" t="s">
        <v>6524</v>
      </c>
      <c r="H4040" t="s">
        <v>12803</v>
      </c>
      <c r="I4040" t="s">
        <v>17416</v>
      </c>
      <c r="J4040" t="s">
        <v>18894</v>
      </c>
      <c r="K4040">
        <v>11208</v>
      </c>
      <c r="L4040" t="s">
        <v>18958</v>
      </c>
      <c r="M4040" t="s">
        <v>18958</v>
      </c>
      <c r="N4040" t="s">
        <v>22021</v>
      </c>
      <c r="O4040" t="s">
        <v>26526</v>
      </c>
      <c r="P4040" t="s">
        <v>26564</v>
      </c>
      <c r="R4040" t="s">
        <v>26578</v>
      </c>
      <c r="S4040" t="s">
        <v>18959</v>
      </c>
      <c r="U4040" t="s">
        <v>26604</v>
      </c>
      <c r="W4040" t="s">
        <v>684</v>
      </c>
      <c r="X4040">
        <v>600</v>
      </c>
      <c r="Y4040" t="s">
        <v>26652</v>
      </c>
      <c r="Z4040" t="s">
        <v>26664</v>
      </c>
      <c r="AB4040" t="s">
        <v>30086</v>
      </c>
      <c r="AD4040" t="s">
        <v>40217</v>
      </c>
      <c r="AE4040">
        <v>3</v>
      </c>
      <c r="AF4040" t="s">
        <v>45547</v>
      </c>
      <c r="AG4040" t="s">
        <v>19330</v>
      </c>
      <c r="AH4040">
        <v>1</v>
      </c>
      <c r="AI4040">
        <v>1</v>
      </c>
      <c r="AJ4040">
        <v>0</v>
      </c>
      <c r="AK4040">
        <v>172.98</v>
      </c>
      <c r="AN4040" t="s">
        <v>7439</v>
      </c>
      <c r="AO4040">
        <v>21000</v>
      </c>
      <c r="AU4040">
        <v>0</v>
      </c>
      <c r="AW4040" t="s">
        <v>286</v>
      </c>
    </row>
    <row r="4041" spans="1:49">
      <c r="A4041" s="1">
        <f>HYPERLINK("https://lsnyc.legalserver.org/matter/dynamic-profile/view/1887685","19-1887685")</f>
        <v>0</v>
      </c>
      <c r="B4041" t="s">
        <v>73</v>
      </c>
      <c r="C4041" t="s">
        <v>341</v>
      </c>
      <c r="D4041" t="s">
        <v>415</v>
      </c>
      <c r="E4041" t="s">
        <v>494</v>
      </c>
      <c r="F4041" t="s">
        <v>949</v>
      </c>
      <c r="G4041" t="s">
        <v>2196</v>
      </c>
      <c r="H4041" t="s">
        <v>9719</v>
      </c>
      <c r="I4041" t="s">
        <v>17331</v>
      </c>
      <c r="J4041" t="s">
        <v>18894</v>
      </c>
      <c r="K4041">
        <v>11233</v>
      </c>
      <c r="L4041" t="s">
        <v>18958</v>
      </c>
      <c r="M4041" t="s">
        <v>18958</v>
      </c>
      <c r="O4041" t="s">
        <v>26531</v>
      </c>
      <c r="P4041" t="s">
        <v>26565</v>
      </c>
      <c r="Q4041" t="s">
        <v>26571</v>
      </c>
      <c r="R4041" t="s">
        <v>26578</v>
      </c>
      <c r="S4041" t="s">
        <v>18958</v>
      </c>
      <c r="U4041" t="s">
        <v>26604</v>
      </c>
      <c r="W4041" t="s">
        <v>684</v>
      </c>
      <c r="X4041">
        <v>1433.14</v>
      </c>
      <c r="Y4041" t="s">
        <v>26652</v>
      </c>
      <c r="Z4041" t="s">
        <v>26660</v>
      </c>
      <c r="AA4041" t="s">
        <v>26682</v>
      </c>
      <c r="AB4041" t="s">
        <v>26787</v>
      </c>
      <c r="AD4041" t="s">
        <v>36894</v>
      </c>
      <c r="AE4041">
        <v>7</v>
      </c>
      <c r="AF4041" t="s">
        <v>45541</v>
      </c>
      <c r="AH4041">
        <v>3</v>
      </c>
      <c r="AI4041">
        <v>2</v>
      </c>
      <c r="AJ4041">
        <v>0</v>
      </c>
      <c r="AK4041">
        <v>282.26</v>
      </c>
      <c r="AL4041" t="s">
        <v>574</v>
      </c>
      <c r="AM4041" t="s">
        <v>45575</v>
      </c>
      <c r="AN4041" t="s">
        <v>7439</v>
      </c>
      <c r="AO4041">
        <v>46460</v>
      </c>
      <c r="AR4041" t="s">
        <v>26530</v>
      </c>
      <c r="AU4041">
        <v>0.2</v>
      </c>
      <c r="AV4041" t="s">
        <v>415</v>
      </c>
      <c r="AW4041" t="s">
        <v>286</v>
      </c>
    </row>
    <row r="4042" spans="1:49">
      <c r="A4042" s="1">
        <f>HYPERLINK("https://lsnyc.legalserver.org/matter/dynamic-profile/view/1888758","19-1888758")</f>
        <v>0</v>
      </c>
      <c r="B4042" t="s">
        <v>199</v>
      </c>
      <c r="C4042" t="s">
        <v>340</v>
      </c>
      <c r="D4042" t="s">
        <v>698</v>
      </c>
      <c r="F4042" t="s">
        <v>1620</v>
      </c>
      <c r="G4042" t="s">
        <v>7155</v>
      </c>
      <c r="H4042" t="s">
        <v>12606</v>
      </c>
      <c r="I4042" t="s">
        <v>17360</v>
      </c>
      <c r="J4042" t="s">
        <v>18894</v>
      </c>
      <c r="K4042">
        <v>11226</v>
      </c>
      <c r="L4042" t="s">
        <v>18959</v>
      </c>
      <c r="M4042" t="s">
        <v>18958</v>
      </c>
      <c r="P4042" t="s">
        <v>26561</v>
      </c>
      <c r="R4042" t="s">
        <v>26578</v>
      </c>
      <c r="S4042" t="s">
        <v>18958</v>
      </c>
      <c r="U4042" t="s">
        <v>26604</v>
      </c>
      <c r="W4042" t="s">
        <v>684</v>
      </c>
      <c r="X4042">
        <v>904.1900000000001</v>
      </c>
      <c r="Y4042" t="s">
        <v>26652</v>
      </c>
      <c r="AB4042" t="s">
        <v>27657</v>
      </c>
      <c r="AE4042">
        <v>0</v>
      </c>
      <c r="AH4042">
        <v>38</v>
      </c>
      <c r="AI4042">
        <v>1</v>
      </c>
      <c r="AJ4042">
        <v>0</v>
      </c>
      <c r="AK4042">
        <v>331.18</v>
      </c>
      <c r="AN4042" t="s">
        <v>7439</v>
      </c>
      <c r="AO4042">
        <v>41364.96</v>
      </c>
      <c r="AU4042">
        <v>0.1</v>
      </c>
      <c r="AV4042" t="s">
        <v>771</v>
      </c>
      <c r="AW4042" t="s">
        <v>219</v>
      </c>
    </row>
    <row r="4043" spans="1:49">
      <c r="A4043" s="1">
        <f>HYPERLINK("https://lsnyc.legalserver.org/matter/dynamic-profile/view/1861658","18-1861658")</f>
        <v>0</v>
      </c>
      <c r="B4043" t="s">
        <v>173</v>
      </c>
      <c r="C4043" t="s">
        <v>341</v>
      </c>
      <c r="D4043" t="s">
        <v>485</v>
      </c>
      <c r="E4043" t="s">
        <v>703</v>
      </c>
      <c r="F4043" t="s">
        <v>2900</v>
      </c>
      <c r="G4043" t="s">
        <v>7156</v>
      </c>
      <c r="H4043" t="s">
        <v>12804</v>
      </c>
      <c r="I4043">
        <v>1</v>
      </c>
      <c r="J4043" t="s">
        <v>18893</v>
      </c>
      <c r="K4043">
        <v>10031</v>
      </c>
      <c r="L4043" t="s">
        <v>18958</v>
      </c>
      <c r="M4043" t="s">
        <v>18958</v>
      </c>
      <c r="N4043" t="s">
        <v>22022</v>
      </c>
      <c r="O4043" t="s">
        <v>26527</v>
      </c>
      <c r="P4043" t="s">
        <v>26564</v>
      </c>
      <c r="Q4043" t="s">
        <v>26570</v>
      </c>
      <c r="R4043" t="s">
        <v>26582</v>
      </c>
      <c r="S4043" t="s">
        <v>18959</v>
      </c>
      <c r="T4043" t="s">
        <v>26600</v>
      </c>
      <c r="U4043" t="s">
        <v>26604</v>
      </c>
      <c r="W4043" t="s">
        <v>703</v>
      </c>
      <c r="X4043">
        <v>0</v>
      </c>
      <c r="Y4043" t="s">
        <v>26651</v>
      </c>
      <c r="AA4043" t="s">
        <v>26683</v>
      </c>
      <c r="AB4043" t="s">
        <v>30087</v>
      </c>
      <c r="AD4043" t="s">
        <v>40218</v>
      </c>
      <c r="AE4043">
        <v>0</v>
      </c>
      <c r="AF4043" t="s">
        <v>45541</v>
      </c>
      <c r="AH4043">
        <v>0</v>
      </c>
      <c r="AI4043">
        <v>1</v>
      </c>
      <c r="AJ4043">
        <v>0</v>
      </c>
      <c r="AK4043">
        <v>192.75</v>
      </c>
      <c r="AN4043" t="s">
        <v>7439</v>
      </c>
      <c r="AO4043">
        <v>23400</v>
      </c>
      <c r="AU4043">
        <v>0.75</v>
      </c>
      <c r="AV4043" t="s">
        <v>381</v>
      </c>
      <c r="AW4043" t="s">
        <v>46838</v>
      </c>
    </row>
    <row r="4044" spans="1:49">
      <c r="A4044" s="1">
        <f>HYPERLINK("https://lsnyc.legalserver.org/matter/dynamic-profile/view/1864915","18-1864915")</f>
        <v>0</v>
      </c>
      <c r="B4044" t="s">
        <v>66</v>
      </c>
      <c r="C4044" t="s">
        <v>341</v>
      </c>
      <c r="D4044" t="s">
        <v>489</v>
      </c>
      <c r="E4044" t="s">
        <v>714</v>
      </c>
      <c r="F4044" t="s">
        <v>1081</v>
      </c>
      <c r="G4044" t="s">
        <v>5889</v>
      </c>
      <c r="H4044" t="s">
        <v>11384</v>
      </c>
      <c r="I4044">
        <v>404</v>
      </c>
      <c r="J4044" t="s">
        <v>18893</v>
      </c>
      <c r="K4044">
        <v>10036</v>
      </c>
      <c r="L4044" t="s">
        <v>18958</v>
      </c>
      <c r="M4044" t="s">
        <v>18958</v>
      </c>
      <c r="N4044" t="s">
        <v>22023</v>
      </c>
      <c r="O4044" t="s">
        <v>26524</v>
      </c>
      <c r="P4044" t="s">
        <v>26564</v>
      </c>
      <c r="Q4044" t="s">
        <v>26570</v>
      </c>
      <c r="R4044" t="s">
        <v>26582</v>
      </c>
      <c r="S4044" t="s">
        <v>18959</v>
      </c>
      <c r="U4044" t="s">
        <v>26604</v>
      </c>
      <c r="W4044" t="s">
        <v>703</v>
      </c>
      <c r="X4044">
        <v>1268</v>
      </c>
      <c r="Y4044" t="s">
        <v>26651</v>
      </c>
      <c r="Z4044" t="s">
        <v>26664</v>
      </c>
      <c r="AA4044" t="s">
        <v>26683</v>
      </c>
      <c r="AB4044" t="s">
        <v>27252</v>
      </c>
      <c r="AC4044" t="s">
        <v>35694</v>
      </c>
      <c r="AD4044" t="s">
        <v>40219</v>
      </c>
      <c r="AE4044">
        <v>0</v>
      </c>
      <c r="AF4044" t="s">
        <v>45544</v>
      </c>
      <c r="AG4044" t="s">
        <v>45562</v>
      </c>
      <c r="AH4044">
        <v>1</v>
      </c>
      <c r="AI4044">
        <v>1</v>
      </c>
      <c r="AJ4044">
        <v>0</v>
      </c>
      <c r="AK4044">
        <v>108.73</v>
      </c>
      <c r="AO4044">
        <v>13200</v>
      </c>
      <c r="AU4044">
        <v>2.1</v>
      </c>
      <c r="AV4044" t="s">
        <v>703</v>
      </c>
      <c r="AW4044" t="s">
        <v>46845</v>
      </c>
    </row>
    <row r="4045" spans="1:49">
      <c r="A4045" s="1">
        <f>HYPERLINK("https://lsnyc.legalserver.org/matter/dynamic-profile/view/1866433","18-1866433")</f>
        <v>0</v>
      </c>
      <c r="B4045" t="s">
        <v>66</v>
      </c>
      <c r="C4045" t="s">
        <v>341</v>
      </c>
      <c r="D4045" t="s">
        <v>491</v>
      </c>
      <c r="E4045" t="s">
        <v>714</v>
      </c>
      <c r="F4045" t="s">
        <v>2142</v>
      </c>
      <c r="G4045" t="s">
        <v>7157</v>
      </c>
      <c r="H4045" t="s">
        <v>12805</v>
      </c>
      <c r="I4045" t="s">
        <v>18042</v>
      </c>
      <c r="J4045" t="s">
        <v>18893</v>
      </c>
      <c r="K4045">
        <v>10023</v>
      </c>
      <c r="L4045" t="s">
        <v>18958</v>
      </c>
      <c r="M4045" t="s">
        <v>18958</v>
      </c>
      <c r="N4045" t="s">
        <v>22024</v>
      </c>
      <c r="O4045" t="s">
        <v>26524</v>
      </c>
      <c r="P4045" t="s">
        <v>26564</v>
      </c>
      <c r="Q4045" t="s">
        <v>26570</v>
      </c>
      <c r="R4045" t="s">
        <v>26582</v>
      </c>
      <c r="S4045" t="s">
        <v>18959</v>
      </c>
      <c r="U4045" t="s">
        <v>26604</v>
      </c>
      <c r="W4045" t="s">
        <v>703</v>
      </c>
      <c r="X4045">
        <v>0</v>
      </c>
      <c r="Y4045" t="s">
        <v>26651</v>
      </c>
      <c r="Z4045" t="s">
        <v>26664</v>
      </c>
      <c r="AA4045" t="s">
        <v>26683</v>
      </c>
      <c r="AB4045" t="s">
        <v>30088</v>
      </c>
      <c r="AD4045" t="s">
        <v>40220</v>
      </c>
      <c r="AE4045">
        <v>0</v>
      </c>
      <c r="AF4045" t="s">
        <v>20460</v>
      </c>
      <c r="AG4045" t="s">
        <v>19330</v>
      </c>
      <c r="AH4045">
        <v>0</v>
      </c>
      <c r="AI4045">
        <v>1</v>
      </c>
      <c r="AJ4045">
        <v>0</v>
      </c>
      <c r="AK4045">
        <v>179.9</v>
      </c>
      <c r="AN4045" t="s">
        <v>7439</v>
      </c>
      <c r="AO4045">
        <v>21840</v>
      </c>
      <c r="AU4045">
        <v>1.75</v>
      </c>
      <c r="AV4045" t="s">
        <v>703</v>
      </c>
      <c r="AW4045" t="s">
        <v>46845</v>
      </c>
    </row>
    <row r="4046" spans="1:49">
      <c r="A4046" s="1">
        <f>HYPERLINK("https://lsnyc.legalserver.org/matter/dynamic-profile/view/1871121","18-1871121")</f>
        <v>0</v>
      </c>
      <c r="B4046" t="s">
        <v>133</v>
      </c>
      <c r="C4046" t="s">
        <v>341</v>
      </c>
      <c r="D4046" t="s">
        <v>406</v>
      </c>
      <c r="E4046" t="s">
        <v>703</v>
      </c>
      <c r="F4046" t="s">
        <v>2901</v>
      </c>
      <c r="G4046" t="s">
        <v>7158</v>
      </c>
      <c r="H4046" t="s">
        <v>12806</v>
      </c>
      <c r="I4046" t="s">
        <v>17327</v>
      </c>
      <c r="J4046" t="s">
        <v>18892</v>
      </c>
      <c r="K4046">
        <v>10456</v>
      </c>
      <c r="L4046" t="s">
        <v>18958</v>
      </c>
      <c r="M4046" t="s">
        <v>18958</v>
      </c>
      <c r="N4046" t="s">
        <v>22025</v>
      </c>
      <c r="O4046" t="s">
        <v>26523</v>
      </c>
      <c r="P4046" t="s">
        <v>26560</v>
      </c>
      <c r="Q4046" t="s">
        <v>26570</v>
      </c>
      <c r="R4046" t="s">
        <v>26577</v>
      </c>
      <c r="U4046" t="s">
        <v>26604</v>
      </c>
      <c r="V4046" t="s">
        <v>26610</v>
      </c>
      <c r="W4046" t="s">
        <v>703</v>
      </c>
      <c r="X4046">
        <v>848.49</v>
      </c>
      <c r="Y4046" t="s">
        <v>26650</v>
      </c>
      <c r="AA4046" t="s">
        <v>26683</v>
      </c>
      <c r="AB4046" t="s">
        <v>30089</v>
      </c>
      <c r="AD4046" t="s">
        <v>40221</v>
      </c>
      <c r="AE4046">
        <v>0</v>
      </c>
      <c r="AF4046" t="s">
        <v>45541</v>
      </c>
      <c r="AG4046" t="s">
        <v>19330</v>
      </c>
      <c r="AH4046">
        <v>8</v>
      </c>
      <c r="AI4046">
        <v>3</v>
      </c>
      <c r="AJ4046">
        <v>3</v>
      </c>
      <c r="AK4046">
        <v>134.08</v>
      </c>
      <c r="AN4046" t="s">
        <v>7439</v>
      </c>
      <c r="AO4046">
        <v>45240</v>
      </c>
      <c r="AP4046" t="s">
        <v>45808</v>
      </c>
      <c r="AU4046">
        <v>3.3</v>
      </c>
      <c r="AV4046" t="s">
        <v>497</v>
      </c>
      <c r="AW4046" t="s">
        <v>46854</v>
      </c>
    </row>
    <row r="4047" spans="1:49">
      <c r="A4047" s="1">
        <f>HYPERLINK("https://lsnyc.legalserver.org/matter/dynamic-profile/view/1881523","18-1881523")</f>
        <v>0</v>
      </c>
      <c r="B4047" t="s">
        <v>246</v>
      </c>
      <c r="C4047" t="s">
        <v>341</v>
      </c>
      <c r="D4047" t="s">
        <v>624</v>
      </c>
      <c r="E4047" t="s">
        <v>703</v>
      </c>
      <c r="F4047" t="s">
        <v>1461</v>
      </c>
      <c r="G4047" t="s">
        <v>7159</v>
      </c>
      <c r="H4047" t="s">
        <v>11717</v>
      </c>
      <c r="I4047">
        <v>2</v>
      </c>
      <c r="J4047" t="s">
        <v>18892</v>
      </c>
      <c r="K4047">
        <v>10461</v>
      </c>
      <c r="L4047" t="s">
        <v>18958</v>
      </c>
      <c r="M4047" t="s">
        <v>18958</v>
      </c>
      <c r="N4047" t="s">
        <v>20903</v>
      </c>
      <c r="O4047" t="s">
        <v>26524</v>
      </c>
      <c r="P4047" t="s">
        <v>26564</v>
      </c>
      <c r="Q4047" t="s">
        <v>26570</v>
      </c>
      <c r="R4047" t="s">
        <v>26578</v>
      </c>
      <c r="S4047" t="s">
        <v>18959</v>
      </c>
      <c r="U4047" t="s">
        <v>26604</v>
      </c>
      <c r="V4047" t="s">
        <v>26610</v>
      </c>
      <c r="W4047" t="s">
        <v>703</v>
      </c>
      <c r="X4047">
        <v>1500</v>
      </c>
      <c r="Y4047" t="s">
        <v>26650</v>
      </c>
      <c r="Z4047" t="s">
        <v>26664</v>
      </c>
      <c r="AA4047" t="s">
        <v>26683</v>
      </c>
      <c r="AB4047" t="s">
        <v>30090</v>
      </c>
      <c r="AE4047">
        <v>3</v>
      </c>
      <c r="AF4047" t="s">
        <v>45547</v>
      </c>
      <c r="AG4047" t="s">
        <v>19330</v>
      </c>
      <c r="AH4047">
        <v>2</v>
      </c>
      <c r="AI4047">
        <v>4</v>
      </c>
      <c r="AJ4047">
        <v>0</v>
      </c>
      <c r="AK4047">
        <v>301.2</v>
      </c>
      <c r="AN4047" t="s">
        <v>7439</v>
      </c>
      <c r="AO4047">
        <v>75600.2</v>
      </c>
      <c r="AP4047" t="s">
        <v>45798</v>
      </c>
      <c r="AU4047">
        <v>1</v>
      </c>
      <c r="AV4047" t="s">
        <v>652</v>
      </c>
      <c r="AW4047" t="s">
        <v>46871</v>
      </c>
    </row>
    <row r="4048" spans="1:49">
      <c r="A4048" s="1">
        <f>HYPERLINK("https://lsnyc.legalserver.org/matter/dynamic-profile/view/1884621","18-1884621")</f>
        <v>0</v>
      </c>
      <c r="B4048" t="s">
        <v>51</v>
      </c>
      <c r="C4048" t="s">
        <v>340</v>
      </c>
      <c r="D4048" t="s">
        <v>678</v>
      </c>
      <c r="F4048" t="s">
        <v>1858</v>
      </c>
      <c r="G4048" t="s">
        <v>5269</v>
      </c>
      <c r="H4048" t="s">
        <v>12807</v>
      </c>
      <c r="I4048">
        <v>2</v>
      </c>
      <c r="J4048" t="s">
        <v>18892</v>
      </c>
      <c r="K4048">
        <v>10467</v>
      </c>
      <c r="L4048" t="s">
        <v>18958</v>
      </c>
      <c r="M4048" t="s">
        <v>18958</v>
      </c>
      <c r="N4048" t="s">
        <v>22026</v>
      </c>
      <c r="O4048" t="s">
        <v>26524</v>
      </c>
      <c r="P4048" t="s">
        <v>26560</v>
      </c>
      <c r="R4048" t="s">
        <v>26579</v>
      </c>
      <c r="S4048" t="s">
        <v>18959</v>
      </c>
      <c r="U4048" t="s">
        <v>26604</v>
      </c>
      <c r="V4048" t="s">
        <v>26612</v>
      </c>
      <c r="W4048" t="s">
        <v>703</v>
      </c>
      <c r="X4048">
        <v>1533</v>
      </c>
      <c r="Y4048" t="s">
        <v>26650</v>
      </c>
      <c r="Z4048" t="s">
        <v>26668</v>
      </c>
      <c r="AB4048" t="s">
        <v>29468</v>
      </c>
      <c r="AC4048" t="s">
        <v>35695</v>
      </c>
      <c r="AD4048" t="s">
        <v>40222</v>
      </c>
      <c r="AE4048">
        <v>0</v>
      </c>
      <c r="AF4048" t="s">
        <v>45547</v>
      </c>
      <c r="AG4048" t="s">
        <v>19330</v>
      </c>
      <c r="AH4048">
        <v>7</v>
      </c>
      <c r="AI4048">
        <v>3</v>
      </c>
      <c r="AJ4048">
        <v>1</v>
      </c>
      <c r="AK4048">
        <v>41.43</v>
      </c>
      <c r="AN4048" t="s">
        <v>7439</v>
      </c>
      <c r="AO4048">
        <v>10400</v>
      </c>
      <c r="AQ4048" t="s">
        <v>46365</v>
      </c>
      <c r="AR4048" t="s">
        <v>46384</v>
      </c>
      <c r="AS4048" t="s">
        <v>46500</v>
      </c>
      <c r="AT4048" t="s">
        <v>46646</v>
      </c>
      <c r="AU4048">
        <v>14.2</v>
      </c>
      <c r="AV4048" t="s">
        <v>828</v>
      </c>
      <c r="AW4048" t="s">
        <v>46832</v>
      </c>
    </row>
    <row r="4049" spans="1:50">
      <c r="A4049" s="1">
        <f>HYPERLINK("https://lsnyc.legalserver.org/matter/dynamic-profile/view/1884814","18-1884814")</f>
        <v>0</v>
      </c>
      <c r="B4049" t="s">
        <v>130</v>
      </c>
      <c r="C4049" t="s">
        <v>341</v>
      </c>
      <c r="D4049" t="s">
        <v>682</v>
      </c>
      <c r="E4049" t="s">
        <v>494</v>
      </c>
      <c r="F4049" t="s">
        <v>2902</v>
      </c>
      <c r="G4049" t="s">
        <v>7160</v>
      </c>
      <c r="H4049" t="s">
        <v>12808</v>
      </c>
      <c r="I4049" t="s">
        <v>18043</v>
      </c>
      <c r="J4049" t="s">
        <v>18901</v>
      </c>
      <c r="K4049">
        <v>11433</v>
      </c>
      <c r="L4049" t="s">
        <v>18958</v>
      </c>
      <c r="M4049" t="s">
        <v>18958</v>
      </c>
      <c r="N4049" t="s">
        <v>22027</v>
      </c>
      <c r="O4049" t="s">
        <v>26523</v>
      </c>
      <c r="P4049" t="s">
        <v>26560</v>
      </c>
      <c r="Q4049" t="s">
        <v>26568</v>
      </c>
      <c r="R4049" t="s">
        <v>26585</v>
      </c>
      <c r="S4049" t="s">
        <v>18959</v>
      </c>
      <c r="U4049" t="s">
        <v>26604</v>
      </c>
      <c r="V4049" t="s">
        <v>26610</v>
      </c>
      <c r="W4049" t="s">
        <v>703</v>
      </c>
      <c r="X4049">
        <v>624</v>
      </c>
      <c r="Y4049" t="s">
        <v>26653</v>
      </c>
      <c r="Z4049" t="s">
        <v>26668</v>
      </c>
      <c r="AA4049" t="s">
        <v>26678</v>
      </c>
      <c r="AB4049" t="s">
        <v>28320</v>
      </c>
      <c r="AD4049" t="s">
        <v>40223</v>
      </c>
      <c r="AE4049">
        <v>312</v>
      </c>
      <c r="AF4049" t="s">
        <v>45549</v>
      </c>
      <c r="AG4049" t="s">
        <v>19330</v>
      </c>
      <c r="AH4049">
        <v>6</v>
      </c>
      <c r="AI4049">
        <v>2</v>
      </c>
      <c r="AJ4049">
        <v>0</v>
      </c>
      <c r="AK4049">
        <v>206.56</v>
      </c>
      <c r="AL4049" t="s">
        <v>703</v>
      </c>
      <c r="AM4049" t="s">
        <v>45575</v>
      </c>
      <c r="AN4049" t="s">
        <v>7439</v>
      </c>
      <c r="AO4049">
        <v>34000</v>
      </c>
      <c r="AP4049" t="s">
        <v>45575</v>
      </c>
      <c r="AR4049" t="s">
        <v>46379</v>
      </c>
      <c r="AS4049" t="s">
        <v>46499</v>
      </c>
      <c r="AT4049" t="s">
        <v>46598</v>
      </c>
      <c r="AU4049">
        <v>4.9</v>
      </c>
      <c r="AV4049" t="s">
        <v>712</v>
      </c>
      <c r="AW4049" t="s">
        <v>85</v>
      </c>
    </row>
    <row r="4050" spans="1:50">
      <c r="A4050" s="1">
        <f>HYPERLINK("https://lsnyc.legalserver.org/matter/dynamic-profile/view/1885093","18-1885093")</f>
        <v>0</v>
      </c>
      <c r="B4050" t="s">
        <v>253</v>
      </c>
      <c r="C4050" t="s">
        <v>340</v>
      </c>
      <c r="D4050" t="s">
        <v>519</v>
      </c>
      <c r="F4050" t="s">
        <v>875</v>
      </c>
      <c r="G4050" t="s">
        <v>1685</v>
      </c>
      <c r="H4050" t="s">
        <v>12809</v>
      </c>
      <c r="I4050" t="s">
        <v>17445</v>
      </c>
      <c r="J4050" t="s">
        <v>18892</v>
      </c>
      <c r="K4050">
        <v>10462</v>
      </c>
      <c r="L4050" t="s">
        <v>18958</v>
      </c>
      <c r="M4050" t="s">
        <v>18958</v>
      </c>
      <c r="N4050" t="s">
        <v>22028</v>
      </c>
      <c r="O4050" t="s">
        <v>26523</v>
      </c>
      <c r="P4050" t="s">
        <v>26560</v>
      </c>
      <c r="R4050" t="s">
        <v>26579</v>
      </c>
      <c r="S4050" t="s">
        <v>18959</v>
      </c>
      <c r="U4050" t="s">
        <v>26604</v>
      </c>
      <c r="V4050" t="s">
        <v>26610</v>
      </c>
      <c r="W4050" t="s">
        <v>703</v>
      </c>
      <c r="X4050">
        <v>1493</v>
      </c>
      <c r="Y4050" t="s">
        <v>26650</v>
      </c>
      <c r="Z4050" t="s">
        <v>26668</v>
      </c>
      <c r="AB4050" t="s">
        <v>30091</v>
      </c>
      <c r="AD4050" t="s">
        <v>40224</v>
      </c>
      <c r="AE4050">
        <v>0</v>
      </c>
      <c r="AF4050" t="s">
        <v>45541</v>
      </c>
      <c r="AG4050" t="s">
        <v>19330</v>
      </c>
      <c r="AH4050">
        <v>5</v>
      </c>
      <c r="AI4050">
        <v>2</v>
      </c>
      <c r="AJ4050">
        <v>2</v>
      </c>
      <c r="AK4050">
        <v>203.19</v>
      </c>
      <c r="AL4050" t="s">
        <v>709</v>
      </c>
      <c r="AM4050" t="s">
        <v>45575</v>
      </c>
      <c r="AN4050" t="s">
        <v>7439</v>
      </c>
      <c r="AO4050">
        <v>51000</v>
      </c>
      <c r="AU4050">
        <v>27.2</v>
      </c>
      <c r="AV4050" t="s">
        <v>833</v>
      </c>
      <c r="AW4050" t="s">
        <v>46847</v>
      </c>
    </row>
    <row r="4051" spans="1:50">
      <c r="A4051" s="1">
        <f>HYPERLINK("https://lsnyc.legalserver.org/matter/dynamic-profile/view/1886378","18-1886378")</f>
        <v>0</v>
      </c>
      <c r="B4051" t="s">
        <v>140</v>
      </c>
      <c r="C4051" t="s">
        <v>341</v>
      </c>
      <c r="D4051" t="s">
        <v>703</v>
      </c>
      <c r="E4051" t="s">
        <v>830</v>
      </c>
      <c r="F4051" t="s">
        <v>2303</v>
      </c>
      <c r="G4051" t="s">
        <v>6350</v>
      </c>
      <c r="H4051" t="s">
        <v>12810</v>
      </c>
      <c r="I4051" t="s">
        <v>17507</v>
      </c>
      <c r="J4051" t="s">
        <v>18894</v>
      </c>
      <c r="K4051">
        <v>11217</v>
      </c>
      <c r="L4051" t="s">
        <v>18958</v>
      </c>
      <c r="M4051" t="s">
        <v>18960</v>
      </c>
      <c r="O4051" t="s">
        <v>18997</v>
      </c>
      <c r="P4051" t="s">
        <v>26562</v>
      </c>
      <c r="Q4051" t="s">
        <v>26571</v>
      </c>
      <c r="R4051" t="s">
        <v>26586</v>
      </c>
      <c r="S4051" t="s">
        <v>18959</v>
      </c>
      <c r="U4051" t="s">
        <v>26604</v>
      </c>
      <c r="W4051" t="s">
        <v>703</v>
      </c>
      <c r="X4051">
        <v>902.45</v>
      </c>
      <c r="Y4051" t="s">
        <v>26652</v>
      </c>
      <c r="Z4051" t="s">
        <v>26659</v>
      </c>
      <c r="AA4051" t="s">
        <v>26682</v>
      </c>
      <c r="AB4051" t="s">
        <v>30092</v>
      </c>
      <c r="AC4051" t="s">
        <v>35696</v>
      </c>
      <c r="AD4051" t="s">
        <v>40225</v>
      </c>
      <c r="AE4051">
        <v>10</v>
      </c>
      <c r="AF4051" t="s">
        <v>45541</v>
      </c>
      <c r="AG4051" t="s">
        <v>45558</v>
      </c>
      <c r="AH4051">
        <v>23</v>
      </c>
      <c r="AI4051">
        <v>1</v>
      </c>
      <c r="AJ4051">
        <v>1</v>
      </c>
      <c r="AK4051">
        <v>14.15</v>
      </c>
      <c r="AN4051" t="s">
        <v>7439</v>
      </c>
      <c r="AO4051">
        <v>2329.2</v>
      </c>
      <c r="AU4051">
        <v>7.3</v>
      </c>
      <c r="AV4051" t="s">
        <v>828</v>
      </c>
      <c r="AW4051" t="s">
        <v>140</v>
      </c>
      <c r="AX4051" t="s">
        <v>46897</v>
      </c>
    </row>
    <row r="4052" spans="1:50">
      <c r="A4052" s="1">
        <f>HYPERLINK("https://lsnyc.legalserver.org/matter/dynamic-profile/view/1886373","18-1886373")</f>
        <v>0</v>
      </c>
      <c r="B4052" t="s">
        <v>110</v>
      </c>
      <c r="C4052" t="s">
        <v>341</v>
      </c>
      <c r="D4052" t="s">
        <v>703</v>
      </c>
      <c r="E4052" t="s">
        <v>705</v>
      </c>
      <c r="F4052" t="s">
        <v>2903</v>
      </c>
      <c r="G4052" t="s">
        <v>5419</v>
      </c>
      <c r="H4052" t="s">
        <v>12811</v>
      </c>
      <c r="I4052" t="s">
        <v>17416</v>
      </c>
      <c r="J4052" t="s">
        <v>18931</v>
      </c>
      <c r="K4052">
        <v>11412</v>
      </c>
      <c r="L4052" t="s">
        <v>18958</v>
      </c>
      <c r="M4052" t="s">
        <v>18958</v>
      </c>
      <c r="N4052" t="s">
        <v>22029</v>
      </c>
      <c r="O4052" t="s">
        <v>26524</v>
      </c>
      <c r="P4052" t="s">
        <v>26564</v>
      </c>
      <c r="Q4052" t="s">
        <v>26570</v>
      </c>
      <c r="R4052" t="s">
        <v>26584</v>
      </c>
      <c r="S4052" t="s">
        <v>18959</v>
      </c>
      <c r="U4052" t="s">
        <v>26604</v>
      </c>
      <c r="V4052" t="s">
        <v>26612</v>
      </c>
      <c r="W4052" t="s">
        <v>703</v>
      </c>
      <c r="X4052">
        <v>0</v>
      </c>
      <c r="Y4052" t="s">
        <v>26653</v>
      </c>
      <c r="Z4052" t="s">
        <v>26661</v>
      </c>
      <c r="AA4052" t="s">
        <v>26683</v>
      </c>
      <c r="AB4052" t="s">
        <v>30093</v>
      </c>
      <c r="AE4052">
        <v>6</v>
      </c>
      <c r="AF4052" t="s">
        <v>45547</v>
      </c>
      <c r="AG4052" t="s">
        <v>19330</v>
      </c>
      <c r="AH4052">
        <v>2</v>
      </c>
      <c r="AI4052">
        <v>1</v>
      </c>
      <c r="AJ4052">
        <v>0</v>
      </c>
      <c r="AK4052">
        <v>0</v>
      </c>
      <c r="AN4052" t="s">
        <v>7439</v>
      </c>
      <c r="AO4052">
        <v>0</v>
      </c>
      <c r="AU4052">
        <v>1</v>
      </c>
      <c r="AV4052" t="s">
        <v>703</v>
      </c>
      <c r="AW4052" t="s">
        <v>161</v>
      </c>
    </row>
    <row r="4053" spans="1:50">
      <c r="A4053" s="1">
        <f>HYPERLINK("https://lsnyc.legalserver.org/matter/dynamic-profile/view/1871824","18-1871824")</f>
        <v>0</v>
      </c>
      <c r="B4053" t="s">
        <v>238</v>
      </c>
      <c r="C4053" t="s">
        <v>341</v>
      </c>
      <c r="D4053" t="s">
        <v>703</v>
      </c>
      <c r="E4053" t="s">
        <v>703</v>
      </c>
      <c r="F4053" t="s">
        <v>2904</v>
      </c>
      <c r="G4053" t="s">
        <v>7161</v>
      </c>
      <c r="H4053" t="s">
        <v>12812</v>
      </c>
      <c r="J4053" t="s">
        <v>18894</v>
      </c>
      <c r="K4053">
        <v>11230</v>
      </c>
      <c r="L4053" t="s">
        <v>18958</v>
      </c>
      <c r="M4053" t="s">
        <v>18958</v>
      </c>
      <c r="N4053" t="s">
        <v>22030</v>
      </c>
      <c r="O4053" t="s">
        <v>26524</v>
      </c>
      <c r="P4053" t="s">
        <v>26564</v>
      </c>
      <c r="Q4053" t="s">
        <v>26570</v>
      </c>
      <c r="R4053" t="s">
        <v>26586</v>
      </c>
      <c r="U4053" t="s">
        <v>26604</v>
      </c>
      <c r="W4053" t="s">
        <v>703</v>
      </c>
      <c r="X4053">
        <v>3500</v>
      </c>
      <c r="Y4053" t="s">
        <v>26652</v>
      </c>
      <c r="Z4053" t="s">
        <v>26662</v>
      </c>
      <c r="AA4053" t="s">
        <v>26683</v>
      </c>
      <c r="AB4053" t="s">
        <v>28833</v>
      </c>
      <c r="AC4053" t="s">
        <v>35697</v>
      </c>
      <c r="AD4053" t="s">
        <v>40226</v>
      </c>
      <c r="AE4053">
        <v>1</v>
      </c>
      <c r="AH4053">
        <v>6</v>
      </c>
      <c r="AI4053">
        <v>2</v>
      </c>
      <c r="AJ4053">
        <v>5</v>
      </c>
      <c r="AK4053">
        <v>120.63</v>
      </c>
      <c r="AN4053" t="s">
        <v>7439</v>
      </c>
      <c r="AO4053">
        <v>45912</v>
      </c>
      <c r="AU4053">
        <v>0.3</v>
      </c>
      <c r="AV4053" t="s">
        <v>703</v>
      </c>
      <c r="AW4053" t="s">
        <v>46853</v>
      </c>
      <c r="AX4053" t="s">
        <v>46897</v>
      </c>
    </row>
    <row r="4054" spans="1:50">
      <c r="A4054" s="1">
        <f>HYPERLINK("https://lsnyc.legalserver.org/matter/dynamic-profile/view/1886374","18-1886374")</f>
        <v>0</v>
      </c>
      <c r="B4054" t="s">
        <v>131</v>
      </c>
      <c r="C4054" t="s">
        <v>340</v>
      </c>
      <c r="D4054" t="s">
        <v>703</v>
      </c>
      <c r="F4054" t="s">
        <v>1200</v>
      </c>
      <c r="G4054" t="s">
        <v>7162</v>
      </c>
      <c r="H4054" t="s">
        <v>12813</v>
      </c>
      <c r="I4054" t="s">
        <v>17356</v>
      </c>
      <c r="J4054" t="s">
        <v>18902</v>
      </c>
      <c r="K4054">
        <v>10303</v>
      </c>
      <c r="L4054" t="s">
        <v>18958</v>
      </c>
      <c r="M4054" t="s">
        <v>18960</v>
      </c>
      <c r="N4054" t="s">
        <v>22031</v>
      </c>
      <c r="O4054" t="s">
        <v>26525</v>
      </c>
      <c r="P4054" t="s">
        <v>26561</v>
      </c>
      <c r="R4054" t="s">
        <v>26590</v>
      </c>
      <c r="S4054" t="s">
        <v>18959</v>
      </c>
      <c r="U4054" t="s">
        <v>26605</v>
      </c>
      <c r="V4054" t="s">
        <v>26610</v>
      </c>
      <c r="W4054" t="s">
        <v>703</v>
      </c>
      <c r="X4054">
        <v>510</v>
      </c>
      <c r="Y4054" t="s">
        <v>26654</v>
      </c>
      <c r="Z4054" t="s">
        <v>26659</v>
      </c>
      <c r="AB4054" t="s">
        <v>30094</v>
      </c>
      <c r="AD4054" t="s">
        <v>40227</v>
      </c>
      <c r="AE4054">
        <v>224</v>
      </c>
      <c r="AF4054" t="s">
        <v>45549</v>
      </c>
      <c r="AG4054" t="s">
        <v>26530</v>
      </c>
      <c r="AH4054">
        <v>18</v>
      </c>
      <c r="AI4054">
        <v>2</v>
      </c>
      <c r="AJ4054">
        <v>1</v>
      </c>
      <c r="AK4054">
        <v>10.97</v>
      </c>
      <c r="AN4054" t="s">
        <v>7439</v>
      </c>
      <c r="AO4054">
        <v>2280</v>
      </c>
      <c r="AU4054">
        <v>13.26</v>
      </c>
      <c r="AV4054" t="s">
        <v>771</v>
      </c>
      <c r="AW4054" t="s">
        <v>131</v>
      </c>
    </row>
    <row r="4055" spans="1:50">
      <c r="A4055" s="1">
        <f>HYPERLINK("https://lsnyc.legalserver.org/matter/dynamic-profile/view/1886344","18-1886344")</f>
        <v>0</v>
      </c>
      <c r="B4055" t="s">
        <v>258</v>
      </c>
      <c r="C4055" t="s">
        <v>340</v>
      </c>
      <c r="D4055" t="s">
        <v>703</v>
      </c>
      <c r="F4055" t="s">
        <v>1072</v>
      </c>
      <c r="G4055" t="s">
        <v>5086</v>
      </c>
      <c r="H4055" t="s">
        <v>12814</v>
      </c>
      <c r="I4055" t="s">
        <v>17299</v>
      </c>
      <c r="J4055" t="s">
        <v>18901</v>
      </c>
      <c r="K4055">
        <v>11433</v>
      </c>
      <c r="L4055" t="s">
        <v>18958</v>
      </c>
      <c r="M4055" t="s">
        <v>18958</v>
      </c>
      <c r="N4055" t="s">
        <v>22032</v>
      </c>
      <c r="O4055" t="s">
        <v>26523</v>
      </c>
      <c r="P4055" t="s">
        <v>26560</v>
      </c>
      <c r="R4055" t="s">
        <v>26585</v>
      </c>
      <c r="S4055" t="s">
        <v>18959</v>
      </c>
      <c r="U4055" t="s">
        <v>26605</v>
      </c>
      <c r="V4055" t="s">
        <v>26610</v>
      </c>
      <c r="W4055" t="s">
        <v>703</v>
      </c>
      <c r="X4055">
        <v>224</v>
      </c>
      <c r="Y4055" t="s">
        <v>26653</v>
      </c>
      <c r="Z4055" t="s">
        <v>26664</v>
      </c>
      <c r="AB4055" t="s">
        <v>30095</v>
      </c>
      <c r="AC4055" t="s">
        <v>35698</v>
      </c>
      <c r="AD4055" t="s">
        <v>40228</v>
      </c>
      <c r="AE4055">
        <v>38</v>
      </c>
      <c r="AF4055" t="s">
        <v>45549</v>
      </c>
      <c r="AG4055" t="s">
        <v>26530</v>
      </c>
      <c r="AH4055">
        <v>15</v>
      </c>
      <c r="AI4055">
        <v>2</v>
      </c>
      <c r="AJ4055">
        <v>1</v>
      </c>
      <c r="AK4055">
        <v>69.3</v>
      </c>
      <c r="AN4055" t="s">
        <v>7439</v>
      </c>
      <c r="AO4055">
        <v>14400</v>
      </c>
      <c r="AU4055">
        <v>11.4</v>
      </c>
      <c r="AV4055" t="s">
        <v>823</v>
      </c>
      <c r="AW4055" t="s">
        <v>208</v>
      </c>
    </row>
    <row r="4056" spans="1:50">
      <c r="A4056" s="1">
        <f>HYPERLINK("https://lsnyc.legalserver.org/matter/dynamic-profile/view/1886341","18-1886341")</f>
        <v>0</v>
      </c>
      <c r="B4056" t="s">
        <v>253</v>
      </c>
      <c r="C4056" t="s">
        <v>340</v>
      </c>
      <c r="D4056" t="s">
        <v>703</v>
      </c>
      <c r="F4056" t="s">
        <v>1246</v>
      </c>
      <c r="G4056" t="s">
        <v>7163</v>
      </c>
      <c r="H4056" t="s">
        <v>12815</v>
      </c>
      <c r="I4056" t="s">
        <v>17306</v>
      </c>
      <c r="J4056" t="s">
        <v>18892</v>
      </c>
      <c r="K4056">
        <v>10457</v>
      </c>
      <c r="L4056" t="s">
        <v>18958</v>
      </c>
      <c r="M4056" t="s">
        <v>18958</v>
      </c>
      <c r="N4056" t="s">
        <v>22033</v>
      </c>
      <c r="O4056" t="s">
        <v>26523</v>
      </c>
      <c r="P4056" t="s">
        <v>26560</v>
      </c>
      <c r="R4056" t="s">
        <v>26579</v>
      </c>
      <c r="S4056" t="s">
        <v>18959</v>
      </c>
      <c r="U4056" t="s">
        <v>26604</v>
      </c>
      <c r="V4056" t="s">
        <v>26610</v>
      </c>
      <c r="W4056" t="s">
        <v>703</v>
      </c>
      <c r="X4056">
        <v>0</v>
      </c>
      <c r="Y4056" t="s">
        <v>26650</v>
      </c>
      <c r="Z4056" t="s">
        <v>26668</v>
      </c>
      <c r="AB4056" t="s">
        <v>30096</v>
      </c>
      <c r="AD4056" t="s">
        <v>40229</v>
      </c>
      <c r="AE4056">
        <v>11</v>
      </c>
      <c r="AF4056" t="s">
        <v>45541</v>
      </c>
      <c r="AG4056" t="s">
        <v>45560</v>
      </c>
      <c r="AH4056">
        <v>2</v>
      </c>
      <c r="AI4056">
        <v>1</v>
      </c>
      <c r="AJ4056">
        <v>0</v>
      </c>
      <c r="AK4056">
        <v>53.38</v>
      </c>
      <c r="AN4056" t="s">
        <v>7439</v>
      </c>
      <c r="AO4056">
        <v>6480</v>
      </c>
      <c r="AQ4056" t="s">
        <v>46362</v>
      </c>
      <c r="AR4056" t="s">
        <v>46385</v>
      </c>
      <c r="AS4056" t="s">
        <v>46499</v>
      </c>
      <c r="AT4056" t="s">
        <v>46779</v>
      </c>
      <c r="AU4056">
        <v>37.25</v>
      </c>
      <c r="AV4056" t="s">
        <v>834</v>
      </c>
      <c r="AW4056" t="s">
        <v>46847</v>
      </c>
    </row>
    <row r="4057" spans="1:50">
      <c r="A4057" s="1">
        <f>HYPERLINK("https://lsnyc.legalserver.org/matter/dynamic-profile/view/1886331","18-1886331")</f>
        <v>0</v>
      </c>
      <c r="B4057" t="s">
        <v>253</v>
      </c>
      <c r="C4057" t="s">
        <v>340</v>
      </c>
      <c r="D4057" t="s">
        <v>703</v>
      </c>
      <c r="F4057" t="s">
        <v>1256</v>
      </c>
      <c r="G4057" t="s">
        <v>5270</v>
      </c>
      <c r="H4057" t="s">
        <v>12816</v>
      </c>
      <c r="I4057" t="s">
        <v>17430</v>
      </c>
      <c r="J4057" t="s">
        <v>18892</v>
      </c>
      <c r="K4057">
        <v>10457</v>
      </c>
      <c r="L4057" t="s">
        <v>18958</v>
      </c>
      <c r="M4057" t="s">
        <v>18958</v>
      </c>
      <c r="N4057" t="s">
        <v>22034</v>
      </c>
      <c r="O4057" t="s">
        <v>26524</v>
      </c>
      <c r="P4057" t="s">
        <v>26560</v>
      </c>
      <c r="R4057" t="s">
        <v>26579</v>
      </c>
      <c r="S4057" t="s">
        <v>18959</v>
      </c>
      <c r="U4057" t="s">
        <v>26604</v>
      </c>
      <c r="V4057" t="s">
        <v>26609</v>
      </c>
      <c r="W4057" t="s">
        <v>703</v>
      </c>
      <c r="X4057">
        <v>750</v>
      </c>
      <c r="Y4057" t="s">
        <v>26650</v>
      </c>
      <c r="Z4057" t="s">
        <v>26668</v>
      </c>
      <c r="AB4057" t="s">
        <v>30097</v>
      </c>
      <c r="AD4057" t="s">
        <v>40230</v>
      </c>
      <c r="AE4057">
        <v>2</v>
      </c>
      <c r="AF4057" t="s">
        <v>45547</v>
      </c>
      <c r="AG4057" t="s">
        <v>45557</v>
      </c>
      <c r="AH4057">
        <v>6</v>
      </c>
      <c r="AI4057">
        <v>2</v>
      </c>
      <c r="AJ4057">
        <v>3</v>
      </c>
      <c r="AK4057">
        <v>115.57</v>
      </c>
      <c r="AO4057">
        <v>34000</v>
      </c>
      <c r="AQ4057" t="s">
        <v>46362</v>
      </c>
      <c r="AR4057" t="s">
        <v>26530</v>
      </c>
      <c r="AT4057" t="s">
        <v>46774</v>
      </c>
      <c r="AU4057">
        <v>9.9</v>
      </c>
      <c r="AV4057" t="s">
        <v>792</v>
      </c>
      <c r="AW4057" t="s">
        <v>46847</v>
      </c>
    </row>
    <row r="4058" spans="1:50">
      <c r="A4058" s="1">
        <f>HYPERLINK("https://lsnyc.legalserver.org/matter/dynamic-profile/view/1886372","18-1886372")</f>
        <v>0</v>
      </c>
      <c r="B4058" t="s">
        <v>253</v>
      </c>
      <c r="C4058" t="s">
        <v>340</v>
      </c>
      <c r="D4058" t="s">
        <v>703</v>
      </c>
      <c r="F4058" t="s">
        <v>1759</v>
      </c>
      <c r="G4058" t="s">
        <v>2975</v>
      </c>
      <c r="H4058" t="s">
        <v>12817</v>
      </c>
      <c r="I4058" t="s">
        <v>17278</v>
      </c>
      <c r="J4058" t="s">
        <v>18892</v>
      </c>
      <c r="K4058">
        <v>10462</v>
      </c>
      <c r="L4058" t="s">
        <v>18958</v>
      </c>
      <c r="M4058" t="s">
        <v>18958</v>
      </c>
      <c r="N4058" t="s">
        <v>22035</v>
      </c>
      <c r="O4058" t="s">
        <v>26524</v>
      </c>
      <c r="P4058" t="s">
        <v>26560</v>
      </c>
      <c r="R4058" t="s">
        <v>26579</v>
      </c>
      <c r="S4058" t="s">
        <v>18959</v>
      </c>
      <c r="U4058" t="s">
        <v>26604</v>
      </c>
      <c r="W4058" t="s">
        <v>703</v>
      </c>
      <c r="X4058">
        <v>1533.39</v>
      </c>
      <c r="Y4058" t="s">
        <v>26650</v>
      </c>
      <c r="Z4058" t="s">
        <v>26668</v>
      </c>
      <c r="AB4058" t="s">
        <v>30098</v>
      </c>
      <c r="AD4058" t="s">
        <v>40231</v>
      </c>
      <c r="AE4058">
        <v>67</v>
      </c>
      <c r="AF4058" t="s">
        <v>45549</v>
      </c>
      <c r="AG4058" t="s">
        <v>45556</v>
      </c>
      <c r="AH4058">
        <v>16</v>
      </c>
      <c r="AI4058">
        <v>1</v>
      </c>
      <c r="AJ4058">
        <v>0</v>
      </c>
      <c r="AK4058">
        <v>289.23</v>
      </c>
      <c r="AL4058" t="s">
        <v>787</v>
      </c>
      <c r="AM4058" t="s">
        <v>45575</v>
      </c>
      <c r="AN4058" t="s">
        <v>7439</v>
      </c>
      <c r="AO4058">
        <v>35112.48</v>
      </c>
      <c r="AP4058" t="s">
        <v>45641</v>
      </c>
      <c r="AQ4058" t="s">
        <v>46359</v>
      </c>
      <c r="AR4058" t="s">
        <v>46484</v>
      </c>
      <c r="AS4058" t="s">
        <v>46500</v>
      </c>
      <c r="AT4058" t="s">
        <v>46780</v>
      </c>
      <c r="AU4058">
        <v>56</v>
      </c>
      <c r="AV4058" t="s">
        <v>772</v>
      </c>
      <c r="AW4058" t="s">
        <v>46847</v>
      </c>
    </row>
    <row r="4059" spans="1:50">
      <c r="A4059" s="1">
        <f>HYPERLINK("https://lsnyc.legalserver.org/matter/dynamic-profile/view/1886330","18-1886330")</f>
        <v>0</v>
      </c>
      <c r="B4059" t="s">
        <v>200</v>
      </c>
      <c r="C4059" t="s">
        <v>340</v>
      </c>
      <c r="D4059" t="s">
        <v>703</v>
      </c>
      <c r="F4059" t="s">
        <v>953</v>
      </c>
      <c r="G4059" t="s">
        <v>4381</v>
      </c>
      <c r="H4059" t="s">
        <v>11073</v>
      </c>
      <c r="I4059" t="s">
        <v>18044</v>
      </c>
      <c r="J4059" t="s">
        <v>18894</v>
      </c>
      <c r="K4059">
        <v>11208</v>
      </c>
      <c r="L4059" t="s">
        <v>18958</v>
      </c>
      <c r="M4059" t="s">
        <v>18958</v>
      </c>
      <c r="N4059" t="s">
        <v>22036</v>
      </c>
      <c r="O4059" t="s">
        <v>26523</v>
      </c>
      <c r="P4059" t="s">
        <v>26560</v>
      </c>
      <c r="R4059" t="s">
        <v>26578</v>
      </c>
      <c r="S4059" t="s">
        <v>18959</v>
      </c>
      <c r="U4059" t="s">
        <v>26604</v>
      </c>
      <c r="W4059" t="s">
        <v>703</v>
      </c>
      <c r="X4059">
        <v>247</v>
      </c>
      <c r="Y4059" t="s">
        <v>26652</v>
      </c>
      <c r="Z4059" t="s">
        <v>26667</v>
      </c>
      <c r="AB4059" t="s">
        <v>30099</v>
      </c>
      <c r="AD4059" t="s">
        <v>40232</v>
      </c>
      <c r="AE4059">
        <v>0</v>
      </c>
      <c r="AF4059" t="s">
        <v>45543</v>
      </c>
      <c r="AH4059">
        <v>9</v>
      </c>
      <c r="AI4059">
        <v>1</v>
      </c>
      <c r="AJ4059">
        <v>0</v>
      </c>
      <c r="AK4059">
        <v>38.35</v>
      </c>
      <c r="AN4059" t="s">
        <v>7439</v>
      </c>
      <c r="AO4059">
        <v>4656</v>
      </c>
      <c r="AU4059">
        <v>17.6</v>
      </c>
      <c r="AV4059" t="s">
        <v>838</v>
      </c>
      <c r="AW4059" t="s">
        <v>46849</v>
      </c>
    </row>
    <row r="4060" spans="1:50">
      <c r="A4060" s="1">
        <f>HYPERLINK("https://lsnyc.legalserver.org/matter/dynamic-profile/view/1887027","19-1887027")</f>
        <v>0</v>
      </c>
      <c r="B4060" t="s">
        <v>214</v>
      </c>
      <c r="C4060" t="s">
        <v>340</v>
      </c>
      <c r="D4060" t="s">
        <v>668</v>
      </c>
      <c r="F4060" t="s">
        <v>2905</v>
      </c>
      <c r="G4060" t="s">
        <v>5524</v>
      </c>
      <c r="H4060" t="s">
        <v>12818</v>
      </c>
      <c r="I4060" t="s">
        <v>17342</v>
      </c>
      <c r="J4060" t="s">
        <v>18901</v>
      </c>
      <c r="K4060">
        <v>11433</v>
      </c>
      <c r="L4060" t="s">
        <v>18958</v>
      </c>
      <c r="M4060" t="s">
        <v>18958</v>
      </c>
      <c r="N4060" t="s">
        <v>22037</v>
      </c>
      <c r="O4060" t="s">
        <v>26523</v>
      </c>
      <c r="P4060" t="s">
        <v>26560</v>
      </c>
      <c r="R4060" t="s">
        <v>26585</v>
      </c>
      <c r="S4060" t="s">
        <v>18959</v>
      </c>
      <c r="U4060" t="s">
        <v>26604</v>
      </c>
      <c r="V4060" t="s">
        <v>26610</v>
      </c>
      <c r="W4060" t="s">
        <v>703</v>
      </c>
      <c r="X4060">
        <v>587</v>
      </c>
      <c r="Y4060" t="s">
        <v>26653</v>
      </c>
      <c r="Z4060" t="s">
        <v>26659</v>
      </c>
      <c r="AA4060" t="s">
        <v>26678</v>
      </c>
      <c r="AB4060" t="s">
        <v>30100</v>
      </c>
      <c r="AC4060" t="s">
        <v>35263</v>
      </c>
      <c r="AD4060" t="s">
        <v>40233</v>
      </c>
      <c r="AE4060">
        <v>50</v>
      </c>
      <c r="AF4060" t="s">
        <v>45541</v>
      </c>
      <c r="AG4060" t="s">
        <v>45559</v>
      </c>
      <c r="AH4060">
        <v>9</v>
      </c>
      <c r="AI4060">
        <v>1</v>
      </c>
      <c r="AJ4060">
        <v>0</v>
      </c>
      <c r="AK4060">
        <v>148.27</v>
      </c>
      <c r="AN4060" t="s">
        <v>7439</v>
      </c>
      <c r="AO4060">
        <v>18000</v>
      </c>
      <c r="AR4060" t="s">
        <v>46381</v>
      </c>
      <c r="AS4060" t="s">
        <v>46499</v>
      </c>
      <c r="AT4060" t="s">
        <v>46703</v>
      </c>
      <c r="AU4060">
        <v>27.65</v>
      </c>
      <c r="AV4060" t="s">
        <v>836</v>
      </c>
      <c r="AW4060" t="s">
        <v>93</v>
      </c>
      <c r="AX4060" t="s">
        <v>46897</v>
      </c>
    </row>
    <row r="4061" spans="1:50">
      <c r="A4061" s="1">
        <f>HYPERLINK("https://lsnyc.legalserver.org/matter/dynamic-profile/view/1888596","19-1888596")</f>
        <v>0</v>
      </c>
      <c r="B4061" t="s">
        <v>99</v>
      </c>
      <c r="C4061" t="s">
        <v>340</v>
      </c>
      <c r="D4061" t="s">
        <v>707</v>
      </c>
      <c r="F4061" t="s">
        <v>2906</v>
      </c>
      <c r="G4061" t="s">
        <v>968</v>
      </c>
      <c r="H4061" t="s">
        <v>12819</v>
      </c>
      <c r="I4061" t="s">
        <v>18045</v>
      </c>
      <c r="J4061" t="s">
        <v>18894</v>
      </c>
      <c r="K4061">
        <v>11226</v>
      </c>
      <c r="L4061" t="s">
        <v>18958</v>
      </c>
      <c r="M4061" t="s">
        <v>18958</v>
      </c>
      <c r="N4061" t="s">
        <v>22038</v>
      </c>
      <c r="O4061" t="s">
        <v>26524</v>
      </c>
      <c r="P4061" t="s">
        <v>26560</v>
      </c>
      <c r="R4061" t="s">
        <v>26588</v>
      </c>
      <c r="S4061" t="s">
        <v>18959</v>
      </c>
      <c r="U4061" t="s">
        <v>26604</v>
      </c>
      <c r="V4061" t="s">
        <v>26610</v>
      </c>
      <c r="W4061" t="s">
        <v>703</v>
      </c>
      <c r="X4061">
        <v>965</v>
      </c>
      <c r="Y4061" t="s">
        <v>26652</v>
      </c>
      <c r="Z4061" t="s">
        <v>26669</v>
      </c>
      <c r="AB4061" t="s">
        <v>30101</v>
      </c>
      <c r="AC4061" t="s">
        <v>19330</v>
      </c>
      <c r="AD4061" t="s">
        <v>40234</v>
      </c>
      <c r="AE4061">
        <v>20</v>
      </c>
      <c r="AF4061" t="s">
        <v>45541</v>
      </c>
      <c r="AG4061" t="s">
        <v>19330</v>
      </c>
      <c r="AH4061">
        <v>28</v>
      </c>
      <c r="AI4061">
        <v>4</v>
      </c>
      <c r="AJ4061">
        <v>0</v>
      </c>
      <c r="AK4061">
        <v>75.73</v>
      </c>
      <c r="AN4061" t="s">
        <v>7439</v>
      </c>
      <c r="AO4061">
        <v>19500</v>
      </c>
      <c r="AU4061">
        <v>57.9</v>
      </c>
      <c r="AV4061" t="s">
        <v>838</v>
      </c>
      <c r="AW4061" t="s">
        <v>46853</v>
      </c>
    </row>
    <row r="4062" spans="1:50">
      <c r="A4062" s="1">
        <f>HYPERLINK("https://lsnyc.legalserver.org/matter/dynamic-profile/view/1854412","17-1854412")</f>
        <v>0</v>
      </c>
      <c r="B4062" t="s">
        <v>254</v>
      </c>
      <c r="C4062" t="s">
        <v>341</v>
      </c>
      <c r="D4062" t="s">
        <v>708</v>
      </c>
      <c r="E4062" t="s">
        <v>815</v>
      </c>
      <c r="F4062" t="s">
        <v>2907</v>
      </c>
      <c r="G4062" t="s">
        <v>1901</v>
      </c>
      <c r="H4062" t="s">
        <v>12820</v>
      </c>
      <c r="I4062" t="s">
        <v>17864</v>
      </c>
      <c r="J4062" t="s">
        <v>18892</v>
      </c>
      <c r="K4062">
        <v>10467</v>
      </c>
      <c r="L4062" t="s">
        <v>18958</v>
      </c>
      <c r="M4062" t="s">
        <v>18960</v>
      </c>
      <c r="N4062" t="s">
        <v>22039</v>
      </c>
      <c r="O4062" t="s">
        <v>26549</v>
      </c>
      <c r="P4062" t="s">
        <v>26560</v>
      </c>
      <c r="Q4062" t="s">
        <v>26575</v>
      </c>
      <c r="R4062" t="s">
        <v>26577</v>
      </c>
      <c r="U4062" t="s">
        <v>26604</v>
      </c>
      <c r="V4062" t="s">
        <v>26614</v>
      </c>
      <c r="W4062" t="s">
        <v>852</v>
      </c>
      <c r="X4062">
        <v>675.8</v>
      </c>
      <c r="Y4062" t="s">
        <v>26650</v>
      </c>
      <c r="Z4062" t="s">
        <v>26659</v>
      </c>
      <c r="AA4062" t="s">
        <v>26684</v>
      </c>
      <c r="AB4062" t="s">
        <v>30102</v>
      </c>
      <c r="AD4062" t="s">
        <v>40235</v>
      </c>
      <c r="AE4062">
        <v>0</v>
      </c>
      <c r="AF4062" t="s">
        <v>45541</v>
      </c>
      <c r="AG4062" t="s">
        <v>19330</v>
      </c>
      <c r="AH4062">
        <v>21</v>
      </c>
      <c r="AI4062">
        <v>1</v>
      </c>
      <c r="AJ4062">
        <v>0</v>
      </c>
      <c r="AK4062">
        <v>80.59999999999999</v>
      </c>
      <c r="AN4062" t="s">
        <v>7439</v>
      </c>
      <c r="AO4062">
        <v>9720</v>
      </c>
      <c r="AP4062" t="s">
        <v>45617</v>
      </c>
      <c r="AT4062" t="s">
        <v>46781</v>
      </c>
      <c r="AU4062">
        <v>8.4</v>
      </c>
      <c r="AV4062" t="s">
        <v>815</v>
      </c>
      <c r="AW4062" t="s">
        <v>254</v>
      </c>
    </row>
    <row r="4063" spans="1:50">
      <c r="A4063" s="1">
        <f>HYPERLINK("https://lsnyc.legalserver.org/matter/dynamic-profile/view/1886541","18-1886541")</f>
        <v>0</v>
      </c>
      <c r="B4063" t="s">
        <v>95</v>
      </c>
      <c r="C4063" t="s">
        <v>340</v>
      </c>
      <c r="D4063" t="s">
        <v>699</v>
      </c>
      <c r="F4063" t="s">
        <v>1045</v>
      </c>
      <c r="G4063" t="s">
        <v>7164</v>
      </c>
      <c r="H4063" t="s">
        <v>12646</v>
      </c>
      <c r="I4063" t="s">
        <v>17600</v>
      </c>
      <c r="J4063" t="s">
        <v>18894</v>
      </c>
      <c r="K4063">
        <v>11233</v>
      </c>
      <c r="L4063" t="s">
        <v>18958</v>
      </c>
      <c r="M4063" t="s">
        <v>18958</v>
      </c>
      <c r="N4063" t="s">
        <v>18997</v>
      </c>
      <c r="O4063" t="s">
        <v>26534</v>
      </c>
      <c r="P4063" t="s">
        <v>26562</v>
      </c>
      <c r="R4063" t="s">
        <v>26578</v>
      </c>
      <c r="S4063" t="s">
        <v>18958</v>
      </c>
      <c r="U4063" t="s">
        <v>26604</v>
      </c>
      <c r="V4063" t="s">
        <v>26610</v>
      </c>
      <c r="W4063" t="s">
        <v>852</v>
      </c>
      <c r="X4063">
        <v>1133</v>
      </c>
      <c r="Y4063" t="s">
        <v>26652</v>
      </c>
      <c r="Z4063" t="s">
        <v>26655</v>
      </c>
      <c r="AB4063" t="s">
        <v>30103</v>
      </c>
      <c r="AD4063" t="s">
        <v>40236</v>
      </c>
      <c r="AE4063">
        <v>764</v>
      </c>
      <c r="AF4063" t="s">
        <v>45541</v>
      </c>
      <c r="AG4063" t="s">
        <v>19330</v>
      </c>
      <c r="AH4063">
        <v>36</v>
      </c>
      <c r="AI4063">
        <v>2</v>
      </c>
      <c r="AJ4063">
        <v>0</v>
      </c>
      <c r="AK4063">
        <v>692.59</v>
      </c>
      <c r="AN4063" t="s">
        <v>7439</v>
      </c>
      <c r="AO4063">
        <v>114000</v>
      </c>
      <c r="AU4063">
        <v>0</v>
      </c>
      <c r="AW4063" t="s">
        <v>286</v>
      </c>
    </row>
    <row r="4064" spans="1:50">
      <c r="A4064" s="1">
        <f>HYPERLINK("https://lsnyc.legalserver.org/matter/dynamic-profile/view/1886536","18-1886536")</f>
        <v>0</v>
      </c>
      <c r="B4064" t="s">
        <v>95</v>
      </c>
      <c r="C4064" t="s">
        <v>340</v>
      </c>
      <c r="D4064" t="s">
        <v>699</v>
      </c>
      <c r="F4064" t="s">
        <v>1116</v>
      </c>
      <c r="G4064" t="s">
        <v>5173</v>
      </c>
      <c r="H4064" t="s">
        <v>12821</v>
      </c>
      <c r="I4064" t="s">
        <v>17467</v>
      </c>
      <c r="J4064" t="s">
        <v>18894</v>
      </c>
      <c r="K4064">
        <v>11233</v>
      </c>
      <c r="L4064" t="s">
        <v>18958</v>
      </c>
      <c r="M4064" t="s">
        <v>18958</v>
      </c>
      <c r="N4064" t="s">
        <v>18997</v>
      </c>
      <c r="O4064" t="s">
        <v>26534</v>
      </c>
      <c r="P4064" t="s">
        <v>26562</v>
      </c>
      <c r="R4064" t="s">
        <v>26578</v>
      </c>
      <c r="S4064" t="s">
        <v>18958</v>
      </c>
      <c r="U4064" t="s">
        <v>26604</v>
      </c>
      <c r="V4064" t="s">
        <v>26610</v>
      </c>
      <c r="W4064" t="s">
        <v>26633</v>
      </c>
      <c r="X4064">
        <v>446</v>
      </c>
      <c r="Y4064" t="s">
        <v>26652</v>
      </c>
      <c r="Z4064" t="s">
        <v>26655</v>
      </c>
      <c r="AB4064" t="s">
        <v>27657</v>
      </c>
      <c r="AD4064" t="s">
        <v>40237</v>
      </c>
      <c r="AE4064">
        <v>764</v>
      </c>
      <c r="AF4064" t="s">
        <v>45541</v>
      </c>
      <c r="AG4064" t="s">
        <v>45556</v>
      </c>
      <c r="AH4064">
        <v>0</v>
      </c>
      <c r="AI4064">
        <v>1</v>
      </c>
      <c r="AJ4064">
        <v>0</v>
      </c>
      <c r="AK4064">
        <v>172.98</v>
      </c>
      <c r="AN4064" t="s">
        <v>7439</v>
      </c>
      <c r="AO4064">
        <v>21000</v>
      </c>
      <c r="AU4064">
        <v>0</v>
      </c>
      <c r="AW4064" t="s">
        <v>286</v>
      </c>
    </row>
    <row r="4065" spans="1:50">
      <c r="A4065" s="1">
        <f>HYPERLINK("https://lsnyc.legalserver.org/matter/dynamic-profile/view/1889010","19-1889010")</f>
        <v>0</v>
      </c>
      <c r="B4065" t="s">
        <v>199</v>
      </c>
      <c r="C4065" t="s">
        <v>340</v>
      </c>
      <c r="D4065" t="s">
        <v>709</v>
      </c>
      <c r="F4065" t="s">
        <v>2908</v>
      </c>
      <c r="G4065" t="s">
        <v>5611</v>
      </c>
      <c r="H4065" t="s">
        <v>12606</v>
      </c>
      <c r="I4065" t="s">
        <v>17356</v>
      </c>
      <c r="J4065" t="s">
        <v>18894</v>
      </c>
      <c r="K4065">
        <v>11226</v>
      </c>
      <c r="L4065" t="s">
        <v>18959</v>
      </c>
      <c r="M4065" t="s">
        <v>18958</v>
      </c>
      <c r="O4065" t="s">
        <v>26534</v>
      </c>
      <c r="P4065" t="s">
        <v>26561</v>
      </c>
      <c r="R4065" t="s">
        <v>26578</v>
      </c>
      <c r="S4065" t="s">
        <v>18958</v>
      </c>
      <c r="U4065" t="s">
        <v>26604</v>
      </c>
      <c r="V4065" t="s">
        <v>26610</v>
      </c>
      <c r="W4065" t="s">
        <v>26633</v>
      </c>
      <c r="X4065">
        <v>1107</v>
      </c>
      <c r="Y4065" t="s">
        <v>26652</v>
      </c>
      <c r="AB4065" t="s">
        <v>30104</v>
      </c>
      <c r="AE4065">
        <v>0</v>
      </c>
      <c r="AH4065">
        <v>13</v>
      </c>
      <c r="AI4065">
        <v>1</v>
      </c>
      <c r="AJ4065">
        <v>1</v>
      </c>
      <c r="AK4065">
        <v>212.89</v>
      </c>
      <c r="AN4065" t="s">
        <v>7439</v>
      </c>
      <c r="AO4065">
        <v>36000</v>
      </c>
      <c r="AU4065">
        <v>0.1</v>
      </c>
      <c r="AV4065" t="s">
        <v>766</v>
      </c>
      <c r="AW4065" t="s">
        <v>219</v>
      </c>
    </row>
    <row r="4066" spans="1:50">
      <c r="A4066" s="1">
        <f>HYPERLINK("https://lsnyc.legalserver.org/matter/dynamic-profile/view/1890177","19-1890177")</f>
        <v>0</v>
      </c>
      <c r="B4066" t="s">
        <v>95</v>
      </c>
      <c r="C4066" t="s">
        <v>340</v>
      </c>
      <c r="D4066" t="s">
        <v>710</v>
      </c>
      <c r="F4066" t="s">
        <v>938</v>
      </c>
      <c r="G4066" t="s">
        <v>7165</v>
      </c>
      <c r="H4066" t="s">
        <v>12646</v>
      </c>
      <c r="I4066" t="s">
        <v>18046</v>
      </c>
      <c r="J4066" t="s">
        <v>18894</v>
      </c>
      <c r="K4066">
        <v>11233</v>
      </c>
      <c r="L4066" t="s">
        <v>18958</v>
      </c>
      <c r="M4066" t="s">
        <v>18958</v>
      </c>
      <c r="O4066" t="s">
        <v>26534</v>
      </c>
      <c r="P4066" t="s">
        <v>26562</v>
      </c>
      <c r="R4066" t="s">
        <v>26578</v>
      </c>
      <c r="S4066" t="s">
        <v>18958</v>
      </c>
      <c r="U4066" t="s">
        <v>26604</v>
      </c>
      <c r="V4066" t="s">
        <v>26610</v>
      </c>
      <c r="W4066" t="s">
        <v>26633</v>
      </c>
      <c r="X4066">
        <v>841.4299999999999</v>
      </c>
      <c r="Y4066" t="s">
        <v>26652</v>
      </c>
      <c r="Z4066" t="s">
        <v>26655</v>
      </c>
      <c r="AB4066" t="s">
        <v>27569</v>
      </c>
      <c r="AC4066" t="s">
        <v>19330</v>
      </c>
      <c r="AD4066" t="s">
        <v>40238</v>
      </c>
      <c r="AE4066">
        <v>764</v>
      </c>
      <c r="AF4066" t="s">
        <v>45541</v>
      </c>
      <c r="AG4066" t="s">
        <v>45556</v>
      </c>
      <c r="AH4066">
        <v>31</v>
      </c>
      <c r="AI4066">
        <v>1</v>
      </c>
      <c r="AJ4066">
        <v>0</v>
      </c>
      <c r="AK4066">
        <v>133.64</v>
      </c>
      <c r="AN4066" t="s">
        <v>7439</v>
      </c>
      <c r="AO4066">
        <v>16692</v>
      </c>
      <c r="AU4066">
        <v>0</v>
      </c>
      <c r="AW4066" t="s">
        <v>279</v>
      </c>
    </row>
    <row r="4067" spans="1:50">
      <c r="A4067" s="1">
        <f>HYPERLINK("https://lsnyc.legalserver.org/matter/dynamic-profile/view/1877900","18-1877900")</f>
        <v>0</v>
      </c>
      <c r="B4067" t="s">
        <v>227</v>
      </c>
      <c r="C4067" t="s">
        <v>341</v>
      </c>
      <c r="D4067" t="s">
        <v>588</v>
      </c>
      <c r="E4067" t="s">
        <v>697</v>
      </c>
      <c r="F4067" t="s">
        <v>1106</v>
      </c>
      <c r="G4067" t="s">
        <v>7166</v>
      </c>
      <c r="H4067" t="s">
        <v>12822</v>
      </c>
      <c r="I4067" t="s">
        <v>17277</v>
      </c>
      <c r="J4067" t="s">
        <v>18894</v>
      </c>
      <c r="K4067">
        <v>11216</v>
      </c>
      <c r="L4067" t="s">
        <v>18958</v>
      </c>
      <c r="M4067" t="s">
        <v>18958</v>
      </c>
      <c r="N4067" t="s">
        <v>22040</v>
      </c>
      <c r="O4067" t="s">
        <v>26523</v>
      </c>
      <c r="P4067" t="s">
        <v>26560</v>
      </c>
      <c r="Q4067" t="s">
        <v>26568</v>
      </c>
      <c r="R4067" t="s">
        <v>26588</v>
      </c>
      <c r="U4067" t="s">
        <v>26604</v>
      </c>
      <c r="W4067" t="s">
        <v>705</v>
      </c>
      <c r="X4067">
        <v>515.1</v>
      </c>
      <c r="Y4067" t="s">
        <v>26652</v>
      </c>
      <c r="AA4067" t="s">
        <v>26678</v>
      </c>
      <c r="AB4067" t="s">
        <v>30105</v>
      </c>
      <c r="AE4067">
        <v>0</v>
      </c>
      <c r="AG4067" t="s">
        <v>19330</v>
      </c>
      <c r="AH4067">
        <v>7</v>
      </c>
      <c r="AI4067">
        <v>1</v>
      </c>
      <c r="AJ4067">
        <v>0</v>
      </c>
      <c r="AK4067">
        <v>186.72</v>
      </c>
      <c r="AN4067" t="s">
        <v>7439</v>
      </c>
      <c r="AO4067">
        <v>22668</v>
      </c>
      <c r="AS4067" t="s">
        <v>46499</v>
      </c>
      <c r="AT4067" t="s">
        <v>46596</v>
      </c>
      <c r="AU4067">
        <v>6</v>
      </c>
      <c r="AV4067" t="s">
        <v>529</v>
      </c>
      <c r="AW4067" t="s">
        <v>46862</v>
      </c>
    </row>
    <row r="4068" spans="1:50">
      <c r="A4068" s="1">
        <f>HYPERLINK("https://lsnyc.legalserver.org/matter/dynamic-profile/view/1884043","18-1884043")</f>
        <v>0</v>
      </c>
      <c r="B4068" t="s">
        <v>105</v>
      </c>
      <c r="C4068" t="s">
        <v>341</v>
      </c>
      <c r="D4068" t="s">
        <v>666</v>
      </c>
      <c r="E4068" t="s">
        <v>714</v>
      </c>
      <c r="F4068" t="s">
        <v>2909</v>
      </c>
      <c r="G4068" t="s">
        <v>6372</v>
      </c>
      <c r="H4068" t="s">
        <v>12823</v>
      </c>
      <c r="I4068" t="s">
        <v>17509</v>
      </c>
      <c r="J4068" t="s">
        <v>18939</v>
      </c>
      <c r="K4068">
        <v>11423</v>
      </c>
      <c r="L4068" t="s">
        <v>18958</v>
      </c>
      <c r="M4068" t="s">
        <v>18958</v>
      </c>
      <c r="N4068" t="s">
        <v>22041</v>
      </c>
      <c r="O4068" t="s">
        <v>26523</v>
      </c>
      <c r="P4068" t="s">
        <v>26560</v>
      </c>
      <c r="Q4068" t="s">
        <v>26568</v>
      </c>
      <c r="R4068" t="s">
        <v>26584</v>
      </c>
      <c r="S4068" t="s">
        <v>18959</v>
      </c>
      <c r="U4068" t="s">
        <v>26604</v>
      </c>
      <c r="V4068" t="s">
        <v>26611</v>
      </c>
      <c r="W4068" t="s">
        <v>705</v>
      </c>
      <c r="X4068">
        <v>866</v>
      </c>
      <c r="Y4068" t="s">
        <v>26653</v>
      </c>
      <c r="Z4068" t="s">
        <v>26664</v>
      </c>
      <c r="AA4068" t="s">
        <v>26678</v>
      </c>
      <c r="AB4068" t="s">
        <v>29007</v>
      </c>
      <c r="AC4068" t="s">
        <v>35699</v>
      </c>
      <c r="AD4068" t="s">
        <v>40239</v>
      </c>
      <c r="AE4068">
        <v>60</v>
      </c>
      <c r="AF4068" t="s">
        <v>20460</v>
      </c>
      <c r="AG4068" t="s">
        <v>19330</v>
      </c>
      <c r="AH4068">
        <v>10</v>
      </c>
      <c r="AI4068">
        <v>1</v>
      </c>
      <c r="AJ4068">
        <v>1</v>
      </c>
      <c r="AK4068">
        <v>0</v>
      </c>
      <c r="AN4068" t="s">
        <v>7439</v>
      </c>
      <c r="AO4068">
        <v>0</v>
      </c>
      <c r="AQ4068" t="s">
        <v>46365</v>
      </c>
      <c r="AR4068" t="s">
        <v>46379</v>
      </c>
      <c r="AS4068" t="s">
        <v>46499</v>
      </c>
      <c r="AT4068" t="s">
        <v>46724</v>
      </c>
      <c r="AU4068">
        <v>5.3</v>
      </c>
      <c r="AV4068" t="s">
        <v>714</v>
      </c>
      <c r="AW4068" t="s">
        <v>208</v>
      </c>
    </row>
    <row r="4069" spans="1:50">
      <c r="A4069" s="1">
        <f>HYPERLINK("https://lsnyc.legalserver.org/matter/dynamic-profile/view/1885916","18-1885916")</f>
        <v>0</v>
      </c>
      <c r="B4069" t="s">
        <v>140</v>
      </c>
      <c r="C4069" t="s">
        <v>341</v>
      </c>
      <c r="D4069" t="s">
        <v>670</v>
      </c>
      <c r="E4069" t="s">
        <v>705</v>
      </c>
      <c r="F4069" t="s">
        <v>895</v>
      </c>
      <c r="G4069" t="s">
        <v>5103</v>
      </c>
      <c r="H4069" t="s">
        <v>12824</v>
      </c>
      <c r="I4069" t="s">
        <v>18047</v>
      </c>
      <c r="J4069" t="s">
        <v>18894</v>
      </c>
      <c r="K4069">
        <v>11233</v>
      </c>
      <c r="L4069" t="s">
        <v>18958</v>
      </c>
      <c r="M4069" t="s">
        <v>18958</v>
      </c>
      <c r="N4069" t="s">
        <v>22042</v>
      </c>
      <c r="O4069" t="s">
        <v>26524</v>
      </c>
      <c r="P4069" t="s">
        <v>26564</v>
      </c>
      <c r="Q4069" t="s">
        <v>26570</v>
      </c>
      <c r="R4069" t="s">
        <v>26586</v>
      </c>
      <c r="S4069" t="s">
        <v>18959</v>
      </c>
      <c r="U4069" t="s">
        <v>26604</v>
      </c>
      <c r="V4069" t="s">
        <v>26612</v>
      </c>
      <c r="W4069" t="s">
        <v>705</v>
      </c>
      <c r="X4069">
        <v>1956</v>
      </c>
      <c r="Y4069" t="s">
        <v>26652</v>
      </c>
      <c r="Z4069" t="s">
        <v>26664</v>
      </c>
      <c r="AA4069" t="s">
        <v>26683</v>
      </c>
      <c r="AB4069" t="s">
        <v>30106</v>
      </c>
      <c r="AD4069" t="s">
        <v>40240</v>
      </c>
      <c r="AE4069">
        <v>2</v>
      </c>
      <c r="AG4069" t="s">
        <v>45558</v>
      </c>
      <c r="AH4069">
        <v>2</v>
      </c>
      <c r="AI4069">
        <v>2</v>
      </c>
      <c r="AJ4069">
        <v>3</v>
      </c>
      <c r="AK4069">
        <v>22.09</v>
      </c>
      <c r="AN4069" t="s">
        <v>7439</v>
      </c>
      <c r="AO4069">
        <v>6500</v>
      </c>
      <c r="AU4069">
        <v>2.1</v>
      </c>
      <c r="AV4069" t="s">
        <v>705</v>
      </c>
      <c r="AW4069" t="s">
        <v>46862</v>
      </c>
    </row>
    <row r="4070" spans="1:50">
      <c r="A4070" s="1">
        <f>HYPERLINK("https://lsnyc.legalserver.org/matter/dynamic-profile/view/1886400","18-1886400")</f>
        <v>0</v>
      </c>
      <c r="B4070" t="s">
        <v>66</v>
      </c>
      <c r="C4070" t="s">
        <v>341</v>
      </c>
      <c r="D4070" t="s">
        <v>705</v>
      </c>
      <c r="E4070" t="s">
        <v>827</v>
      </c>
      <c r="F4070" t="s">
        <v>2910</v>
      </c>
      <c r="G4070" t="s">
        <v>3036</v>
      </c>
      <c r="H4070" t="s">
        <v>12825</v>
      </c>
      <c r="I4070" t="s">
        <v>18048</v>
      </c>
      <c r="J4070" t="s">
        <v>18893</v>
      </c>
      <c r="K4070">
        <v>10025</v>
      </c>
      <c r="L4070" t="s">
        <v>18958</v>
      </c>
      <c r="M4070" t="s">
        <v>18958</v>
      </c>
      <c r="N4070" t="s">
        <v>22043</v>
      </c>
      <c r="O4070" t="s">
        <v>26523</v>
      </c>
      <c r="P4070" t="s">
        <v>26560</v>
      </c>
      <c r="Q4070" t="s">
        <v>26568</v>
      </c>
      <c r="R4070" t="s">
        <v>26580</v>
      </c>
      <c r="S4070" t="s">
        <v>18959</v>
      </c>
      <c r="U4070" t="s">
        <v>26605</v>
      </c>
      <c r="V4070" t="s">
        <v>26610</v>
      </c>
      <c r="W4070" t="s">
        <v>705</v>
      </c>
      <c r="X4070">
        <v>411</v>
      </c>
      <c r="Y4070" t="s">
        <v>26651</v>
      </c>
      <c r="Z4070" t="s">
        <v>26664</v>
      </c>
      <c r="AA4070" t="s">
        <v>26680</v>
      </c>
      <c r="AB4070" t="s">
        <v>30107</v>
      </c>
      <c r="AC4070" t="s">
        <v>35700</v>
      </c>
      <c r="AD4070" t="s">
        <v>40241</v>
      </c>
      <c r="AE4070">
        <v>40</v>
      </c>
      <c r="AF4070" t="s">
        <v>45549</v>
      </c>
      <c r="AG4070" t="s">
        <v>19330</v>
      </c>
      <c r="AH4070">
        <v>1</v>
      </c>
      <c r="AI4070">
        <v>1</v>
      </c>
      <c r="AJ4070">
        <v>1</v>
      </c>
      <c r="AK4070">
        <v>0</v>
      </c>
      <c r="AN4070" t="s">
        <v>7439</v>
      </c>
      <c r="AO4070">
        <v>0</v>
      </c>
      <c r="AR4070" t="s">
        <v>46379</v>
      </c>
      <c r="AS4070" t="s">
        <v>46499</v>
      </c>
      <c r="AT4070" t="s">
        <v>46669</v>
      </c>
      <c r="AU4070">
        <v>6.25</v>
      </c>
      <c r="AV4070" t="s">
        <v>795</v>
      </c>
      <c r="AW4070" t="s">
        <v>46875</v>
      </c>
      <c r="AX4070" t="s">
        <v>46898</v>
      </c>
    </row>
    <row r="4071" spans="1:50">
      <c r="A4071" s="1">
        <f>HYPERLINK("https://lsnyc.legalserver.org/matter/dynamic-profile/view/1886404","18-1886404")</f>
        <v>0</v>
      </c>
      <c r="B4071" t="s">
        <v>251</v>
      </c>
      <c r="C4071" t="s">
        <v>341</v>
      </c>
      <c r="D4071" t="s">
        <v>705</v>
      </c>
      <c r="E4071" t="s">
        <v>789</v>
      </c>
      <c r="F4071" t="s">
        <v>1253</v>
      </c>
      <c r="G4071" t="s">
        <v>7167</v>
      </c>
      <c r="H4071" t="s">
        <v>12826</v>
      </c>
      <c r="I4071" t="s">
        <v>18049</v>
      </c>
      <c r="J4071" t="s">
        <v>18892</v>
      </c>
      <c r="K4071">
        <v>10453</v>
      </c>
      <c r="L4071" t="s">
        <v>18958</v>
      </c>
      <c r="M4071" t="s">
        <v>18958</v>
      </c>
      <c r="N4071" t="s">
        <v>22044</v>
      </c>
      <c r="O4071" t="s">
        <v>26524</v>
      </c>
      <c r="P4071" t="s">
        <v>26564</v>
      </c>
      <c r="Q4071" t="s">
        <v>26570</v>
      </c>
      <c r="R4071" t="s">
        <v>26577</v>
      </c>
      <c r="U4071" t="s">
        <v>26604</v>
      </c>
      <c r="V4071" t="s">
        <v>26610</v>
      </c>
      <c r="W4071" t="s">
        <v>705</v>
      </c>
      <c r="X4071">
        <v>1133.95</v>
      </c>
      <c r="Y4071" t="s">
        <v>26650</v>
      </c>
      <c r="Z4071" t="s">
        <v>26664</v>
      </c>
      <c r="AA4071" t="s">
        <v>26688</v>
      </c>
      <c r="AB4071" t="s">
        <v>30108</v>
      </c>
      <c r="AC4071" t="s">
        <v>35701</v>
      </c>
      <c r="AD4071" t="s">
        <v>40242</v>
      </c>
      <c r="AE4071">
        <v>103</v>
      </c>
      <c r="AF4071" t="s">
        <v>45541</v>
      </c>
      <c r="AG4071" t="s">
        <v>19330</v>
      </c>
      <c r="AH4071">
        <v>32</v>
      </c>
      <c r="AI4071">
        <v>1</v>
      </c>
      <c r="AJ4071">
        <v>0</v>
      </c>
      <c r="AK4071">
        <v>0</v>
      </c>
      <c r="AN4071" t="s">
        <v>7439</v>
      </c>
      <c r="AO4071">
        <v>0</v>
      </c>
      <c r="AP4071" t="s">
        <v>45654</v>
      </c>
      <c r="AU4071">
        <v>7.15</v>
      </c>
      <c r="AV4071" t="s">
        <v>732</v>
      </c>
      <c r="AW4071" t="s">
        <v>334</v>
      </c>
    </row>
    <row r="4072" spans="1:50">
      <c r="A4072" s="1">
        <f>HYPERLINK("https://lsnyc.legalserver.org/matter/dynamic-profile/view/1886435","18-1886435")</f>
        <v>0</v>
      </c>
      <c r="B4072" t="s">
        <v>140</v>
      </c>
      <c r="C4072" t="s">
        <v>341</v>
      </c>
      <c r="D4072" t="s">
        <v>705</v>
      </c>
      <c r="E4072" t="s">
        <v>494</v>
      </c>
      <c r="F4072" t="s">
        <v>2911</v>
      </c>
      <c r="G4072" t="s">
        <v>7168</v>
      </c>
      <c r="H4072" t="s">
        <v>12827</v>
      </c>
      <c r="I4072" t="s">
        <v>17416</v>
      </c>
      <c r="J4072" t="s">
        <v>18894</v>
      </c>
      <c r="K4072">
        <v>11234</v>
      </c>
      <c r="L4072" t="s">
        <v>18958</v>
      </c>
      <c r="M4072" t="s">
        <v>18958</v>
      </c>
      <c r="N4072" t="s">
        <v>22045</v>
      </c>
      <c r="O4072" t="s">
        <v>26524</v>
      </c>
      <c r="P4072" t="s">
        <v>26564</v>
      </c>
      <c r="Q4072" t="s">
        <v>26570</v>
      </c>
      <c r="R4072" t="s">
        <v>26586</v>
      </c>
      <c r="S4072" t="s">
        <v>18959</v>
      </c>
      <c r="U4072" t="s">
        <v>26604</v>
      </c>
      <c r="V4072" t="s">
        <v>26610</v>
      </c>
      <c r="W4072" t="s">
        <v>705</v>
      </c>
      <c r="X4072">
        <v>2000</v>
      </c>
      <c r="Y4072" t="s">
        <v>26652</v>
      </c>
      <c r="Z4072" t="s">
        <v>26664</v>
      </c>
      <c r="AA4072" t="s">
        <v>26683</v>
      </c>
      <c r="AB4072" t="s">
        <v>30109</v>
      </c>
      <c r="AD4072" t="s">
        <v>40243</v>
      </c>
      <c r="AE4072">
        <v>5</v>
      </c>
      <c r="AG4072" t="s">
        <v>26530</v>
      </c>
      <c r="AH4072">
        <v>5</v>
      </c>
      <c r="AI4072">
        <v>2</v>
      </c>
      <c r="AJ4072">
        <v>3</v>
      </c>
      <c r="AK4072">
        <v>101.97</v>
      </c>
      <c r="AN4072" t="s">
        <v>7439</v>
      </c>
      <c r="AO4072">
        <v>30000</v>
      </c>
      <c r="AU4072">
        <v>0.7</v>
      </c>
      <c r="AV4072" t="s">
        <v>684</v>
      </c>
      <c r="AW4072" t="s">
        <v>46853</v>
      </c>
    </row>
    <row r="4073" spans="1:50">
      <c r="A4073" s="1">
        <f>HYPERLINK("https://lsnyc.legalserver.org/matter/dynamic-profile/view/1886416","18-1886416")</f>
        <v>0</v>
      </c>
      <c r="B4073" t="s">
        <v>200</v>
      </c>
      <c r="C4073" t="s">
        <v>341</v>
      </c>
      <c r="D4073" t="s">
        <v>705</v>
      </c>
      <c r="E4073" t="s">
        <v>744</v>
      </c>
      <c r="F4073" t="s">
        <v>2912</v>
      </c>
      <c r="G4073" t="s">
        <v>5266</v>
      </c>
      <c r="H4073" t="s">
        <v>12828</v>
      </c>
      <c r="I4073" t="s">
        <v>17410</v>
      </c>
      <c r="J4073" t="s">
        <v>18894</v>
      </c>
      <c r="K4073">
        <v>11212</v>
      </c>
      <c r="L4073" t="s">
        <v>18958</v>
      </c>
      <c r="M4073" t="s">
        <v>18958</v>
      </c>
      <c r="N4073" t="s">
        <v>22046</v>
      </c>
      <c r="O4073" t="s">
        <v>26523</v>
      </c>
      <c r="P4073" t="s">
        <v>26564</v>
      </c>
      <c r="Q4073" t="s">
        <v>26570</v>
      </c>
      <c r="R4073" t="s">
        <v>26578</v>
      </c>
      <c r="S4073" t="s">
        <v>18959</v>
      </c>
      <c r="U4073" t="s">
        <v>26604</v>
      </c>
      <c r="W4073" t="s">
        <v>705</v>
      </c>
      <c r="X4073">
        <v>1001</v>
      </c>
      <c r="Y4073" t="s">
        <v>26652</v>
      </c>
      <c r="Z4073" t="s">
        <v>26530</v>
      </c>
      <c r="AA4073" t="s">
        <v>26683</v>
      </c>
      <c r="AB4073" t="s">
        <v>30110</v>
      </c>
      <c r="AD4073" t="s">
        <v>40244</v>
      </c>
      <c r="AE4073">
        <v>172</v>
      </c>
      <c r="AF4073" t="s">
        <v>45541</v>
      </c>
      <c r="AG4073" t="s">
        <v>19330</v>
      </c>
      <c r="AH4073">
        <v>20</v>
      </c>
      <c r="AI4073">
        <v>3</v>
      </c>
      <c r="AJ4073">
        <v>1</v>
      </c>
      <c r="AK4073">
        <v>211.16</v>
      </c>
      <c r="AN4073" t="s">
        <v>7439</v>
      </c>
      <c r="AO4073">
        <v>53000</v>
      </c>
      <c r="AP4073" t="s">
        <v>45809</v>
      </c>
      <c r="AU4073">
        <v>2.7</v>
      </c>
      <c r="AV4073" t="s">
        <v>677</v>
      </c>
      <c r="AW4073" t="s">
        <v>286</v>
      </c>
    </row>
    <row r="4074" spans="1:50">
      <c r="A4074" s="1">
        <f>HYPERLINK("https://lsnyc.legalserver.org/matter/dynamic-profile/view/1886397","18-1886397")</f>
        <v>0</v>
      </c>
      <c r="B4074" t="s">
        <v>65</v>
      </c>
      <c r="C4074" t="s">
        <v>341</v>
      </c>
      <c r="D4074" t="s">
        <v>705</v>
      </c>
      <c r="E4074" t="s">
        <v>857</v>
      </c>
      <c r="F4074" t="s">
        <v>1688</v>
      </c>
      <c r="G4074" t="s">
        <v>7169</v>
      </c>
      <c r="H4074" t="s">
        <v>12829</v>
      </c>
      <c r="I4074" t="s">
        <v>18050</v>
      </c>
      <c r="J4074" t="s">
        <v>18892</v>
      </c>
      <c r="K4074">
        <v>10457</v>
      </c>
      <c r="L4074" t="s">
        <v>18958</v>
      </c>
      <c r="M4074" t="s">
        <v>18958</v>
      </c>
      <c r="N4074" t="s">
        <v>22020</v>
      </c>
      <c r="O4074" t="s">
        <v>26523</v>
      </c>
      <c r="P4074" t="s">
        <v>26560</v>
      </c>
      <c r="Q4074" t="s">
        <v>26568</v>
      </c>
      <c r="R4074" t="s">
        <v>26579</v>
      </c>
      <c r="U4074" t="s">
        <v>26604</v>
      </c>
      <c r="V4074" t="s">
        <v>26610</v>
      </c>
      <c r="W4074" t="s">
        <v>705</v>
      </c>
      <c r="X4074">
        <v>0</v>
      </c>
      <c r="Y4074" t="s">
        <v>26650</v>
      </c>
      <c r="Z4074" t="s">
        <v>26664</v>
      </c>
      <c r="AA4074" t="s">
        <v>26678</v>
      </c>
      <c r="AB4074" t="s">
        <v>28981</v>
      </c>
      <c r="AC4074" t="s">
        <v>35702</v>
      </c>
      <c r="AD4074" t="s">
        <v>40245</v>
      </c>
      <c r="AE4074">
        <v>0</v>
      </c>
      <c r="AF4074" t="s">
        <v>45541</v>
      </c>
      <c r="AG4074" t="s">
        <v>45558</v>
      </c>
      <c r="AH4074">
        <v>0</v>
      </c>
      <c r="AI4074">
        <v>1</v>
      </c>
      <c r="AJ4074">
        <v>2</v>
      </c>
      <c r="AK4074">
        <v>81.33</v>
      </c>
      <c r="AO4074">
        <v>16900</v>
      </c>
      <c r="AQ4074" t="s">
        <v>46362</v>
      </c>
      <c r="AR4074" t="s">
        <v>46380</v>
      </c>
      <c r="AS4074" t="s">
        <v>46499</v>
      </c>
      <c r="AT4074" t="s">
        <v>46606</v>
      </c>
      <c r="AU4074">
        <v>10.9</v>
      </c>
      <c r="AV4074" t="s">
        <v>788</v>
      </c>
      <c r="AW4074" t="s">
        <v>334</v>
      </c>
    </row>
    <row r="4075" spans="1:50">
      <c r="A4075" s="1">
        <f>HYPERLINK("https://lsnyc.legalserver.org/matter/dynamic-profile/view/1886415","18-1886415")</f>
        <v>0</v>
      </c>
      <c r="B4075" t="s">
        <v>57</v>
      </c>
      <c r="C4075" t="s">
        <v>340</v>
      </c>
      <c r="D4075" t="s">
        <v>705</v>
      </c>
      <c r="F4075" t="s">
        <v>1082</v>
      </c>
      <c r="G4075" t="s">
        <v>7170</v>
      </c>
      <c r="H4075" t="s">
        <v>12830</v>
      </c>
      <c r="J4075" t="s">
        <v>18892</v>
      </c>
      <c r="K4075">
        <v>10468</v>
      </c>
      <c r="L4075" t="s">
        <v>18958</v>
      </c>
      <c r="M4075" t="s">
        <v>18958</v>
      </c>
      <c r="N4075" t="s">
        <v>22047</v>
      </c>
      <c r="O4075" t="s">
        <v>26523</v>
      </c>
      <c r="P4075" t="s">
        <v>26560</v>
      </c>
      <c r="R4075" t="s">
        <v>26579</v>
      </c>
      <c r="U4075" t="s">
        <v>26604</v>
      </c>
      <c r="V4075" t="s">
        <v>26610</v>
      </c>
      <c r="W4075" t="s">
        <v>705</v>
      </c>
      <c r="X4075">
        <v>194.98</v>
      </c>
      <c r="Y4075" t="s">
        <v>26650</v>
      </c>
      <c r="Z4075" t="s">
        <v>26664</v>
      </c>
      <c r="AB4075" t="s">
        <v>30111</v>
      </c>
      <c r="AC4075" t="s">
        <v>35703</v>
      </c>
      <c r="AD4075" t="s">
        <v>40246</v>
      </c>
      <c r="AE4075">
        <v>0</v>
      </c>
      <c r="AG4075" t="s">
        <v>45557</v>
      </c>
      <c r="AH4075">
        <v>15</v>
      </c>
      <c r="AI4075">
        <v>1</v>
      </c>
      <c r="AJ4075">
        <v>3</v>
      </c>
      <c r="AK4075">
        <v>51.01</v>
      </c>
      <c r="AN4075" t="s">
        <v>45581</v>
      </c>
      <c r="AO4075">
        <v>12804</v>
      </c>
      <c r="AU4075">
        <v>11.25</v>
      </c>
      <c r="AV4075" t="s">
        <v>827</v>
      </c>
      <c r="AW4075" t="s">
        <v>334</v>
      </c>
    </row>
    <row r="4076" spans="1:50">
      <c r="A4076" s="1">
        <f>HYPERLINK("https://lsnyc.legalserver.org/matter/dynamic-profile/view/1854492","17-1854492")</f>
        <v>0</v>
      </c>
      <c r="B4076" t="s">
        <v>120</v>
      </c>
      <c r="C4076" t="s">
        <v>341</v>
      </c>
      <c r="D4076" t="s">
        <v>711</v>
      </c>
      <c r="E4076" t="s">
        <v>494</v>
      </c>
      <c r="F4076" t="s">
        <v>887</v>
      </c>
      <c r="G4076" t="s">
        <v>5706</v>
      </c>
      <c r="H4076" t="s">
        <v>12831</v>
      </c>
      <c r="I4076" t="s">
        <v>17550</v>
      </c>
      <c r="J4076" t="s">
        <v>18892</v>
      </c>
      <c r="K4076">
        <v>10455</v>
      </c>
      <c r="L4076" t="s">
        <v>18958</v>
      </c>
      <c r="M4076" t="s">
        <v>18960</v>
      </c>
      <c r="N4076" t="s">
        <v>22048</v>
      </c>
      <c r="O4076" t="s">
        <v>26523</v>
      </c>
      <c r="P4076" t="s">
        <v>26560</v>
      </c>
      <c r="Q4076" t="s">
        <v>26568</v>
      </c>
      <c r="R4076" t="s">
        <v>26577</v>
      </c>
      <c r="U4076" t="s">
        <v>26604</v>
      </c>
      <c r="V4076" t="s">
        <v>26609</v>
      </c>
      <c r="W4076" t="s">
        <v>706</v>
      </c>
      <c r="X4076">
        <v>1600</v>
      </c>
      <c r="Y4076" t="s">
        <v>26650</v>
      </c>
      <c r="Z4076" t="s">
        <v>26664</v>
      </c>
      <c r="AA4076" t="s">
        <v>26678</v>
      </c>
      <c r="AB4076" t="s">
        <v>30112</v>
      </c>
      <c r="AC4076" t="s">
        <v>35704</v>
      </c>
      <c r="AD4076" t="s">
        <v>40247</v>
      </c>
      <c r="AE4076">
        <v>0</v>
      </c>
      <c r="AF4076" t="s">
        <v>45541</v>
      </c>
      <c r="AG4076" t="s">
        <v>19330</v>
      </c>
      <c r="AH4076">
        <v>1</v>
      </c>
      <c r="AI4076">
        <v>2</v>
      </c>
      <c r="AJ4076">
        <v>0</v>
      </c>
      <c r="AK4076">
        <v>118.23</v>
      </c>
      <c r="AN4076" t="s">
        <v>45581</v>
      </c>
      <c r="AO4076">
        <v>19200</v>
      </c>
      <c r="AP4076" t="s">
        <v>45621</v>
      </c>
      <c r="AQ4076" t="s">
        <v>46362</v>
      </c>
      <c r="AR4076" t="s">
        <v>46381</v>
      </c>
      <c r="AS4076" t="s">
        <v>46499</v>
      </c>
      <c r="AT4076" t="s">
        <v>46648</v>
      </c>
      <c r="AU4076">
        <v>51.9</v>
      </c>
      <c r="AV4076" t="s">
        <v>716</v>
      </c>
      <c r="AW4076" t="s">
        <v>46848</v>
      </c>
    </row>
    <row r="4077" spans="1:50">
      <c r="A4077" s="1">
        <f>HYPERLINK("https://lsnyc.legalserver.org/matter/dynamic-profile/view/1878777","18-1878777")</f>
        <v>0</v>
      </c>
      <c r="B4077" t="s">
        <v>85</v>
      </c>
      <c r="C4077" t="s">
        <v>341</v>
      </c>
      <c r="D4077" t="s">
        <v>599</v>
      </c>
      <c r="E4077" t="s">
        <v>699</v>
      </c>
      <c r="F4077" t="s">
        <v>2561</v>
      </c>
      <c r="G4077" t="s">
        <v>5185</v>
      </c>
      <c r="H4077" t="s">
        <v>12832</v>
      </c>
      <c r="I4077" t="s">
        <v>17733</v>
      </c>
      <c r="J4077" t="s">
        <v>18900</v>
      </c>
      <c r="K4077">
        <v>11358</v>
      </c>
      <c r="L4077" t="s">
        <v>18958</v>
      </c>
      <c r="M4077" t="s">
        <v>18958</v>
      </c>
      <c r="N4077" t="s">
        <v>22049</v>
      </c>
      <c r="O4077" t="s">
        <v>26524</v>
      </c>
      <c r="P4077" t="s">
        <v>26564</v>
      </c>
      <c r="Q4077" t="s">
        <v>26570</v>
      </c>
      <c r="R4077" t="s">
        <v>26584</v>
      </c>
      <c r="S4077" t="s">
        <v>18959</v>
      </c>
      <c r="U4077" t="s">
        <v>26604</v>
      </c>
      <c r="V4077" t="s">
        <v>26610</v>
      </c>
      <c r="W4077" t="s">
        <v>706</v>
      </c>
      <c r="X4077">
        <v>1900</v>
      </c>
      <c r="Y4077" t="s">
        <v>26653</v>
      </c>
      <c r="Z4077" t="s">
        <v>26664</v>
      </c>
      <c r="AA4077" t="s">
        <v>26683</v>
      </c>
      <c r="AB4077" t="s">
        <v>30113</v>
      </c>
      <c r="AD4077" t="s">
        <v>40248</v>
      </c>
      <c r="AE4077">
        <v>3</v>
      </c>
      <c r="AF4077" t="s">
        <v>45547</v>
      </c>
      <c r="AG4077" t="s">
        <v>19330</v>
      </c>
      <c r="AH4077">
        <v>17</v>
      </c>
      <c r="AI4077">
        <v>3</v>
      </c>
      <c r="AJ4077">
        <v>0</v>
      </c>
      <c r="AK4077">
        <v>58.31</v>
      </c>
      <c r="AN4077" t="s">
        <v>45581</v>
      </c>
      <c r="AO4077">
        <v>12116</v>
      </c>
      <c r="AU4077">
        <v>0.2</v>
      </c>
      <c r="AV4077" t="s">
        <v>639</v>
      </c>
      <c r="AW4077" t="s">
        <v>208</v>
      </c>
    </row>
    <row r="4078" spans="1:50">
      <c r="A4078" s="1">
        <f>HYPERLINK("https://lsnyc.legalserver.org/matter/dynamic-profile/view/1878751","18-1878751")</f>
        <v>0</v>
      </c>
      <c r="B4078" t="s">
        <v>85</v>
      </c>
      <c r="C4078" t="s">
        <v>341</v>
      </c>
      <c r="D4078" t="s">
        <v>599</v>
      </c>
      <c r="E4078" t="s">
        <v>699</v>
      </c>
      <c r="F4078" t="s">
        <v>2913</v>
      </c>
      <c r="G4078" t="s">
        <v>2362</v>
      </c>
      <c r="H4078" t="s">
        <v>12833</v>
      </c>
      <c r="I4078">
        <v>10</v>
      </c>
      <c r="J4078" t="s">
        <v>18901</v>
      </c>
      <c r="K4078">
        <v>11432</v>
      </c>
      <c r="L4078" t="s">
        <v>18958</v>
      </c>
      <c r="M4078" t="s">
        <v>18958</v>
      </c>
      <c r="N4078" t="s">
        <v>22050</v>
      </c>
      <c r="O4078" t="s">
        <v>26524</v>
      </c>
      <c r="P4078" t="s">
        <v>26564</v>
      </c>
      <c r="Q4078" t="s">
        <v>26570</v>
      </c>
      <c r="R4078" t="s">
        <v>26584</v>
      </c>
      <c r="S4078" t="s">
        <v>18959</v>
      </c>
      <c r="U4078" t="s">
        <v>26604</v>
      </c>
      <c r="V4078" t="s">
        <v>26610</v>
      </c>
      <c r="W4078" t="s">
        <v>706</v>
      </c>
      <c r="X4078">
        <v>1500</v>
      </c>
      <c r="Y4078" t="s">
        <v>26653</v>
      </c>
      <c r="Z4078" t="s">
        <v>26664</v>
      </c>
      <c r="AA4078" t="s">
        <v>26683</v>
      </c>
      <c r="AB4078" t="s">
        <v>30114</v>
      </c>
      <c r="AD4078" t="s">
        <v>40249</v>
      </c>
      <c r="AE4078">
        <v>12</v>
      </c>
      <c r="AF4078" t="s">
        <v>45541</v>
      </c>
      <c r="AG4078" t="s">
        <v>19330</v>
      </c>
      <c r="AH4078">
        <v>1</v>
      </c>
      <c r="AI4078">
        <v>3</v>
      </c>
      <c r="AJ4078">
        <v>1</v>
      </c>
      <c r="AK4078">
        <v>173.31</v>
      </c>
      <c r="AN4078" t="s">
        <v>7439</v>
      </c>
      <c r="AO4078">
        <v>43500</v>
      </c>
      <c r="AU4078">
        <v>0.7</v>
      </c>
      <c r="AV4078" t="s">
        <v>639</v>
      </c>
      <c r="AW4078" t="s">
        <v>208</v>
      </c>
    </row>
    <row r="4079" spans="1:50">
      <c r="A4079" s="1">
        <f>HYPERLINK("https://lsnyc.legalserver.org/matter/dynamic-profile/view/1880367","18-1880367")</f>
        <v>0</v>
      </c>
      <c r="B4079" t="s">
        <v>85</v>
      </c>
      <c r="C4079" t="s">
        <v>341</v>
      </c>
      <c r="D4079" t="s">
        <v>614</v>
      </c>
      <c r="E4079" t="s">
        <v>699</v>
      </c>
      <c r="F4079" t="s">
        <v>1081</v>
      </c>
      <c r="G4079" t="s">
        <v>7171</v>
      </c>
      <c r="H4079" t="s">
        <v>12834</v>
      </c>
      <c r="I4079" t="s">
        <v>17322</v>
      </c>
      <c r="J4079" t="s">
        <v>18941</v>
      </c>
      <c r="K4079">
        <v>11428</v>
      </c>
      <c r="L4079" t="s">
        <v>18958</v>
      </c>
      <c r="M4079" t="s">
        <v>18958</v>
      </c>
      <c r="N4079" t="s">
        <v>22051</v>
      </c>
      <c r="O4079" t="s">
        <v>26523</v>
      </c>
      <c r="P4079" t="s">
        <v>26564</v>
      </c>
      <c r="Q4079" t="s">
        <v>26570</v>
      </c>
      <c r="R4079" t="s">
        <v>26584</v>
      </c>
      <c r="S4079" t="s">
        <v>18959</v>
      </c>
      <c r="U4079" t="s">
        <v>26604</v>
      </c>
      <c r="W4079" t="s">
        <v>706</v>
      </c>
      <c r="X4079">
        <v>560</v>
      </c>
      <c r="Y4079" t="s">
        <v>26653</v>
      </c>
      <c r="Z4079" t="s">
        <v>26661</v>
      </c>
      <c r="AA4079" t="s">
        <v>26683</v>
      </c>
      <c r="AB4079" t="s">
        <v>30115</v>
      </c>
      <c r="AD4079" t="s">
        <v>40250</v>
      </c>
      <c r="AE4079">
        <v>6</v>
      </c>
      <c r="AH4079">
        <v>4</v>
      </c>
      <c r="AI4079">
        <v>1</v>
      </c>
      <c r="AJ4079">
        <v>0</v>
      </c>
      <c r="AK4079">
        <v>74.14</v>
      </c>
      <c r="AN4079" t="s">
        <v>7439</v>
      </c>
      <c r="AO4079">
        <v>9000</v>
      </c>
      <c r="AU4079">
        <v>0.85</v>
      </c>
      <c r="AV4079" t="s">
        <v>630</v>
      </c>
      <c r="AW4079" t="s">
        <v>208</v>
      </c>
    </row>
    <row r="4080" spans="1:50">
      <c r="A4080" s="1">
        <f>HYPERLINK("https://lsnyc.legalserver.org/matter/dynamic-profile/view/1881520","18-1881520")</f>
        <v>0</v>
      </c>
      <c r="B4080" t="s">
        <v>174</v>
      </c>
      <c r="C4080" t="s">
        <v>341</v>
      </c>
      <c r="D4080" t="s">
        <v>624</v>
      </c>
      <c r="E4080" t="s">
        <v>826</v>
      </c>
      <c r="F4080" t="s">
        <v>1116</v>
      </c>
      <c r="G4080" t="s">
        <v>5849</v>
      </c>
      <c r="H4080" t="s">
        <v>12835</v>
      </c>
      <c r="I4080" t="s">
        <v>17284</v>
      </c>
      <c r="J4080" t="s">
        <v>18894</v>
      </c>
      <c r="K4080">
        <v>11207</v>
      </c>
      <c r="L4080" t="s">
        <v>18958</v>
      </c>
      <c r="M4080" t="s">
        <v>18958</v>
      </c>
      <c r="N4080" t="s">
        <v>22052</v>
      </c>
      <c r="O4080" t="s">
        <v>26523</v>
      </c>
      <c r="P4080" t="s">
        <v>26560</v>
      </c>
      <c r="Q4080" t="s">
        <v>26568</v>
      </c>
      <c r="R4080" t="s">
        <v>26578</v>
      </c>
      <c r="S4080" t="s">
        <v>18959</v>
      </c>
      <c r="U4080" t="s">
        <v>26604</v>
      </c>
      <c r="V4080" t="s">
        <v>26610</v>
      </c>
      <c r="W4080" t="s">
        <v>706</v>
      </c>
      <c r="X4080">
        <v>2006</v>
      </c>
      <c r="Y4080" t="s">
        <v>26652</v>
      </c>
      <c r="Z4080" t="s">
        <v>26659</v>
      </c>
      <c r="AA4080" t="s">
        <v>26678</v>
      </c>
      <c r="AB4080" t="s">
        <v>30116</v>
      </c>
      <c r="AC4080">
        <v>33709173</v>
      </c>
      <c r="AD4080" t="s">
        <v>40251</v>
      </c>
      <c r="AE4080">
        <v>14</v>
      </c>
      <c r="AF4080" t="s">
        <v>45541</v>
      </c>
      <c r="AG4080" t="s">
        <v>45562</v>
      </c>
      <c r="AH4080">
        <v>3</v>
      </c>
      <c r="AI4080">
        <v>3</v>
      </c>
      <c r="AJ4080">
        <v>2</v>
      </c>
      <c r="AK4080">
        <v>61.18</v>
      </c>
      <c r="AN4080" t="s">
        <v>7439</v>
      </c>
      <c r="AO4080">
        <v>18000</v>
      </c>
      <c r="AU4080">
        <v>22.1</v>
      </c>
      <c r="AV4080" t="s">
        <v>769</v>
      </c>
      <c r="AW4080" t="s">
        <v>279</v>
      </c>
    </row>
    <row r="4081" spans="1:49">
      <c r="A4081" s="1">
        <f>HYPERLINK("https://lsnyc.legalserver.org/matter/dynamic-profile/view/1881859","18-1881859")</f>
        <v>0</v>
      </c>
      <c r="B4081" t="s">
        <v>85</v>
      </c>
      <c r="C4081" t="s">
        <v>341</v>
      </c>
      <c r="D4081" t="s">
        <v>645</v>
      </c>
      <c r="E4081" t="s">
        <v>699</v>
      </c>
      <c r="F4081" t="s">
        <v>2914</v>
      </c>
      <c r="G4081" t="s">
        <v>5131</v>
      </c>
      <c r="H4081" t="s">
        <v>12836</v>
      </c>
      <c r="I4081" t="s">
        <v>17375</v>
      </c>
      <c r="J4081" t="s">
        <v>18933</v>
      </c>
      <c r="K4081">
        <v>11422</v>
      </c>
      <c r="L4081" t="s">
        <v>18958</v>
      </c>
      <c r="M4081" t="s">
        <v>18958</v>
      </c>
      <c r="N4081" t="s">
        <v>22053</v>
      </c>
      <c r="O4081" t="s">
        <v>26524</v>
      </c>
      <c r="P4081" t="s">
        <v>26564</v>
      </c>
      <c r="Q4081" t="s">
        <v>26570</v>
      </c>
      <c r="R4081" t="s">
        <v>26584</v>
      </c>
      <c r="S4081" t="s">
        <v>18959</v>
      </c>
      <c r="U4081" t="s">
        <v>26604</v>
      </c>
      <c r="V4081" t="s">
        <v>26610</v>
      </c>
      <c r="W4081" t="s">
        <v>706</v>
      </c>
      <c r="X4081">
        <v>800</v>
      </c>
      <c r="Y4081" t="s">
        <v>26653</v>
      </c>
      <c r="Z4081" t="s">
        <v>26664</v>
      </c>
      <c r="AA4081" t="s">
        <v>26683</v>
      </c>
      <c r="AB4081" t="s">
        <v>30117</v>
      </c>
      <c r="AC4081" t="s">
        <v>35705</v>
      </c>
      <c r="AD4081" t="s">
        <v>40252</v>
      </c>
      <c r="AE4081">
        <v>2</v>
      </c>
      <c r="AF4081" t="s">
        <v>45547</v>
      </c>
      <c r="AG4081" t="s">
        <v>45560</v>
      </c>
      <c r="AH4081">
        <v>2</v>
      </c>
      <c r="AI4081">
        <v>1</v>
      </c>
      <c r="AJ4081">
        <v>0</v>
      </c>
      <c r="AK4081">
        <v>19.18</v>
      </c>
      <c r="AN4081" t="s">
        <v>7439</v>
      </c>
      <c r="AO4081">
        <v>2328</v>
      </c>
      <c r="AU4081">
        <v>0.2</v>
      </c>
      <c r="AV4081" t="s">
        <v>699</v>
      </c>
      <c r="AW4081" t="s">
        <v>208</v>
      </c>
    </row>
    <row r="4082" spans="1:49">
      <c r="A4082" s="1">
        <f>HYPERLINK("https://lsnyc.legalserver.org/matter/dynamic-profile/view/1881875","18-1881875")</f>
        <v>0</v>
      </c>
      <c r="B4082" t="s">
        <v>85</v>
      </c>
      <c r="C4082" t="s">
        <v>341</v>
      </c>
      <c r="D4082" t="s">
        <v>645</v>
      </c>
      <c r="E4082" t="s">
        <v>699</v>
      </c>
      <c r="F4082" t="s">
        <v>2915</v>
      </c>
      <c r="G4082" t="s">
        <v>4693</v>
      </c>
      <c r="H4082" t="s">
        <v>12837</v>
      </c>
      <c r="J4082" t="s">
        <v>18910</v>
      </c>
      <c r="K4082">
        <v>11420</v>
      </c>
      <c r="L4082" t="s">
        <v>18958</v>
      </c>
      <c r="M4082" t="s">
        <v>18958</v>
      </c>
      <c r="N4082" t="s">
        <v>22054</v>
      </c>
      <c r="O4082" t="s">
        <v>26524</v>
      </c>
      <c r="P4082" t="s">
        <v>26564</v>
      </c>
      <c r="Q4082" t="s">
        <v>26570</v>
      </c>
      <c r="R4082" t="s">
        <v>26584</v>
      </c>
      <c r="S4082" t="s">
        <v>18959</v>
      </c>
      <c r="U4082" t="s">
        <v>26604</v>
      </c>
      <c r="W4082" t="s">
        <v>706</v>
      </c>
      <c r="X4082">
        <v>400</v>
      </c>
      <c r="Y4082" t="s">
        <v>26653</v>
      </c>
      <c r="Z4082" t="s">
        <v>26664</v>
      </c>
      <c r="AA4082" t="s">
        <v>26683</v>
      </c>
      <c r="AB4082" t="s">
        <v>30118</v>
      </c>
      <c r="AD4082" t="s">
        <v>40253</v>
      </c>
      <c r="AE4082">
        <v>2</v>
      </c>
      <c r="AF4082" t="s">
        <v>20460</v>
      </c>
      <c r="AG4082" t="s">
        <v>19330</v>
      </c>
      <c r="AH4082">
        <v>1</v>
      </c>
      <c r="AI4082">
        <v>1</v>
      </c>
      <c r="AJ4082">
        <v>0</v>
      </c>
      <c r="AK4082">
        <v>85.67</v>
      </c>
      <c r="AN4082" t="s">
        <v>7439</v>
      </c>
      <c r="AO4082">
        <v>10400</v>
      </c>
      <c r="AU4082">
        <v>0.1</v>
      </c>
      <c r="AV4082" t="s">
        <v>689</v>
      </c>
      <c r="AW4082" t="s">
        <v>208</v>
      </c>
    </row>
    <row r="4083" spans="1:49">
      <c r="A4083" s="1">
        <f>HYPERLINK("https://lsnyc.legalserver.org/matter/dynamic-profile/view/1882942","18-1882942")</f>
        <v>0</v>
      </c>
      <c r="B4083" t="s">
        <v>85</v>
      </c>
      <c r="C4083" t="s">
        <v>341</v>
      </c>
      <c r="D4083" t="s">
        <v>651</v>
      </c>
      <c r="E4083" t="s">
        <v>712</v>
      </c>
      <c r="F4083" t="s">
        <v>2167</v>
      </c>
      <c r="G4083" t="s">
        <v>3138</v>
      </c>
      <c r="H4083" t="s">
        <v>12838</v>
      </c>
      <c r="I4083" t="s">
        <v>18051</v>
      </c>
      <c r="J4083" t="s">
        <v>18896</v>
      </c>
      <c r="K4083">
        <v>11419</v>
      </c>
      <c r="L4083" t="s">
        <v>18958</v>
      </c>
      <c r="M4083" t="s">
        <v>18958</v>
      </c>
      <c r="N4083" t="s">
        <v>22055</v>
      </c>
      <c r="O4083" t="s">
        <v>26524</v>
      </c>
      <c r="P4083" t="s">
        <v>26564</v>
      </c>
      <c r="Q4083" t="s">
        <v>26570</v>
      </c>
      <c r="R4083" t="s">
        <v>26584</v>
      </c>
      <c r="S4083" t="s">
        <v>18959</v>
      </c>
      <c r="U4083" t="s">
        <v>26604</v>
      </c>
      <c r="W4083" t="s">
        <v>706</v>
      </c>
      <c r="X4083">
        <v>1514</v>
      </c>
      <c r="Y4083" t="s">
        <v>26653</v>
      </c>
      <c r="Z4083" t="s">
        <v>26664</v>
      </c>
      <c r="AA4083" t="s">
        <v>26683</v>
      </c>
      <c r="AB4083" t="s">
        <v>27329</v>
      </c>
      <c r="AC4083" t="s">
        <v>35706</v>
      </c>
      <c r="AD4083" t="s">
        <v>40254</v>
      </c>
      <c r="AE4083">
        <v>2</v>
      </c>
      <c r="AG4083" t="s">
        <v>45556</v>
      </c>
      <c r="AH4083">
        <v>5</v>
      </c>
      <c r="AI4083">
        <v>1</v>
      </c>
      <c r="AJ4083">
        <v>2</v>
      </c>
      <c r="AK4083">
        <v>41.58</v>
      </c>
      <c r="AN4083" t="s">
        <v>7439</v>
      </c>
      <c r="AO4083">
        <v>8640</v>
      </c>
      <c r="AU4083">
        <v>0.3</v>
      </c>
      <c r="AV4083" t="s">
        <v>712</v>
      </c>
      <c r="AW4083" t="s">
        <v>208</v>
      </c>
    </row>
    <row r="4084" spans="1:49">
      <c r="A4084" s="1">
        <f>HYPERLINK("https://lsnyc.legalserver.org/matter/dynamic-profile/view/1882915","18-1882915")</f>
        <v>0</v>
      </c>
      <c r="B4084" t="s">
        <v>85</v>
      </c>
      <c r="C4084" t="s">
        <v>341</v>
      </c>
      <c r="D4084" t="s">
        <v>651</v>
      </c>
      <c r="E4084" t="s">
        <v>712</v>
      </c>
      <c r="F4084" t="s">
        <v>2797</v>
      </c>
      <c r="G4084" t="s">
        <v>5827</v>
      </c>
      <c r="H4084" t="s">
        <v>12839</v>
      </c>
      <c r="I4084" t="s">
        <v>17375</v>
      </c>
      <c r="J4084" t="s">
        <v>7026</v>
      </c>
      <c r="K4084">
        <v>11368</v>
      </c>
      <c r="L4084" t="s">
        <v>18958</v>
      </c>
      <c r="M4084" t="s">
        <v>18958</v>
      </c>
      <c r="N4084" t="s">
        <v>22056</v>
      </c>
      <c r="O4084" t="s">
        <v>26523</v>
      </c>
      <c r="P4084" t="s">
        <v>26564</v>
      </c>
      <c r="Q4084" t="s">
        <v>26570</v>
      </c>
      <c r="R4084" t="s">
        <v>26584</v>
      </c>
      <c r="S4084" t="s">
        <v>18959</v>
      </c>
      <c r="U4084" t="s">
        <v>26604</v>
      </c>
      <c r="W4084" t="s">
        <v>706</v>
      </c>
      <c r="X4084">
        <v>1500</v>
      </c>
      <c r="Y4084" t="s">
        <v>26653</v>
      </c>
      <c r="Z4084" t="s">
        <v>26664</v>
      </c>
      <c r="AA4084" t="s">
        <v>26683</v>
      </c>
      <c r="AB4084" t="s">
        <v>30119</v>
      </c>
      <c r="AC4084" t="s">
        <v>35707</v>
      </c>
      <c r="AD4084" t="s">
        <v>40255</v>
      </c>
      <c r="AE4084">
        <v>0</v>
      </c>
      <c r="AF4084" t="s">
        <v>20460</v>
      </c>
      <c r="AG4084" t="s">
        <v>19330</v>
      </c>
      <c r="AH4084">
        <v>6</v>
      </c>
      <c r="AI4084">
        <v>1</v>
      </c>
      <c r="AJ4084">
        <v>1</v>
      </c>
      <c r="AK4084">
        <v>51.03</v>
      </c>
      <c r="AN4084" t="s">
        <v>45581</v>
      </c>
      <c r="AO4084">
        <v>8400</v>
      </c>
      <c r="AU4084">
        <v>0.75</v>
      </c>
      <c r="AV4084" t="s">
        <v>698</v>
      </c>
      <c r="AW4084" t="s">
        <v>208</v>
      </c>
    </row>
    <row r="4085" spans="1:49">
      <c r="A4085" s="1">
        <f>HYPERLINK("https://lsnyc.legalserver.org/matter/dynamic-profile/view/1885199","18-1885199")</f>
        <v>0</v>
      </c>
      <c r="B4085" t="s">
        <v>207</v>
      </c>
      <c r="C4085" t="s">
        <v>341</v>
      </c>
      <c r="D4085" t="s">
        <v>683</v>
      </c>
      <c r="E4085" t="s">
        <v>706</v>
      </c>
      <c r="F4085" t="s">
        <v>2916</v>
      </c>
      <c r="G4085" t="s">
        <v>7172</v>
      </c>
      <c r="H4085" t="s">
        <v>12840</v>
      </c>
      <c r="I4085">
        <v>2</v>
      </c>
      <c r="J4085" t="s">
        <v>18894</v>
      </c>
      <c r="K4085">
        <v>11230</v>
      </c>
      <c r="L4085" t="s">
        <v>18958</v>
      </c>
      <c r="M4085" t="s">
        <v>18958</v>
      </c>
      <c r="N4085" t="s">
        <v>22057</v>
      </c>
      <c r="O4085" t="s">
        <v>26524</v>
      </c>
      <c r="P4085" t="s">
        <v>26563</v>
      </c>
      <c r="Q4085" t="s">
        <v>26570</v>
      </c>
      <c r="R4085" t="s">
        <v>26586</v>
      </c>
      <c r="U4085" t="s">
        <v>26604</v>
      </c>
      <c r="W4085" t="s">
        <v>706</v>
      </c>
      <c r="X4085">
        <v>2600</v>
      </c>
      <c r="Y4085" t="s">
        <v>26652</v>
      </c>
      <c r="Z4085" t="s">
        <v>26664</v>
      </c>
      <c r="AA4085" t="s">
        <v>26683</v>
      </c>
      <c r="AB4085" t="s">
        <v>30120</v>
      </c>
      <c r="AD4085" t="s">
        <v>40256</v>
      </c>
      <c r="AE4085">
        <v>3</v>
      </c>
      <c r="AG4085" t="s">
        <v>19330</v>
      </c>
      <c r="AH4085">
        <v>2</v>
      </c>
      <c r="AI4085">
        <v>2</v>
      </c>
      <c r="AJ4085">
        <v>1</v>
      </c>
      <c r="AK4085">
        <v>175.17</v>
      </c>
      <c r="AN4085" t="s">
        <v>7439</v>
      </c>
      <c r="AO4085">
        <v>36400</v>
      </c>
      <c r="AU4085">
        <v>1.5</v>
      </c>
      <c r="AV4085" t="s">
        <v>706</v>
      </c>
      <c r="AW4085" t="s">
        <v>281</v>
      </c>
    </row>
    <row r="4086" spans="1:49">
      <c r="A4086" s="1">
        <f>HYPERLINK("https://lsnyc.legalserver.org/matter/dynamic-profile/view/1885961","18-1885961")</f>
        <v>0</v>
      </c>
      <c r="B4086" t="s">
        <v>130</v>
      </c>
      <c r="C4086" t="s">
        <v>341</v>
      </c>
      <c r="D4086" t="s">
        <v>670</v>
      </c>
      <c r="E4086" t="s">
        <v>494</v>
      </c>
      <c r="F4086" t="s">
        <v>1108</v>
      </c>
      <c r="G4086" t="s">
        <v>6172</v>
      </c>
      <c r="H4086" t="s">
        <v>12841</v>
      </c>
      <c r="I4086" t="s">
        <v>17375</v>
      </c>
      <c r="J4086" t="s">
        <v>18934</v>
      </c>
      <c r="K4086">
        <v>11413</v>
      </c>
      <c r="L4086" t="s">
        <v>18958</v>
      </c>
      <c r="M4086" t="s">
        <v>18958</v>
      </c>
      <c r="N4086" t="s">
        <v>22058</v>
      </c>
      <c r="O4086" t="s">
        <v>26524</v>
      </c>
      <c r="P4086" t="s">
        <v>26564</v>
      </c>
      <c r="Q4086" t="s">
        <v>26570</v>
      </c>
      <c r="R4086" t="s">
        <v>26584</v>
      </c>
      <c r="S4086" t="s">
        <v>18959</v>
      </c>
      <c r="U4086" t="s">
        <v>26604</v>
      </c>
      <c r="V4086" t="s">
        <v>26612</v>
      </c>
      <c r="W4086" t="s">
        <v>706</v>
      </c>
      <c r="X4086">
        <v>2050</v>
      </c>
      <c r="Y4086" t="s">
        <v>26653</v>
      </c>
      <c r="Z4086" t="s">
        <v>26664</v>
      </c>
      <c r="AA4086" t="s">
        <v>26683</v>
      </c>
      <c r="AB4086" t="s">
        <v>30121</v>
      </c>
      <c r="AC4086" t="s">
        <v>35708</v>
      </c>
      <c r="AD4086" t="s">
        <v>40257</v>
      </c>
      <c r="AE4086">
        <v>2</v>
      </c>
      <c r="AF4086" t="s">
        <v>20460</v>
      </c>
      <c r="AG4086" t="s">
        <v>19330</v>
      </c>
      <c r="AH4086">
        <v>8</v>
      </c>
      <c r="AI4086">
        <v>3</v>
      </c>
      <c r="AJ4086">
        <v>3</v>
      </c>
      <c r="AK4086">
        <v>0</v>
      </c>
      <c r="AN4086" t="s">
        <v>7439</v>
      </c>
      <c r="AO4086">
        <v>0</v>
      </c>
      <c r="AU4086">
        <v>0.85</v>
      </c>
      <c r="AV4086" t="s">
        <v>706</v>
      </c>
      <c r="AW4086" t="s">
        <v>208</v>
      </c>
    </row>
    <row r="4087" spans="1:49">
      <c r="A4087" s="1">
        <f>HYPERLINK("https://lsnyc.legalserver.org/matter/dynamic-profile/view/1885955","18-1885955")</f>
        <v>0</v>
      </c>
      <c r="B4087" t="s">
        <v>258</v>
      </c>
      <c r="C4087" t="s">
        <v>341</v>
      </c>
      <c r="D4087" t="s">
        <v>670</v>
      </c>
      <c r="E4087" t="s">
        <v>795</v>
      </c>
      <c r="F4087" t="s">
        <v>982</v>
      </c>
      <c r="G4087" t="s">
        <v>5169</v>
      </c>
      <c r="H4087" t="s">
        <v>9745</v>
      </c>
      <c r="I4087">
        <v>11</v>
      </c>
      <c r="J4087" t="s">
        <v>18901</v>
      </c>
      <c r="K4087">
        <v>11435</v>
      </c>
      <c r="L4087" t="s">
        <v>18958</v>
      </c>
      <c r="M4087" t="s">
        <v>18958</v>
      </c>
      <c r="N4087" t="s">
        <v>22059</v>
      </c>
      <c r="O4087" t="s">
        <v>26524</v>
      </c>
      <c r="P4087" t="s">
        <v>26560</v>
      </c>
      <c r="Q4087" t="s">
        <v>26568</v>
      </c>
      <c r="R4087" t="s">
        <v>26584</v>
      </c>
      <c r="S4087" t="s">
        <v>18959</v>
      </c>
      <c r="U4087" t="s">
        <v>26604</v>
      </c>
      <c r="V4087" t="s">
        <v>26610</v>
      </c>
      <c r="W4087" t="s">
        <v>706</v>
      </c>
      <c r="X4087">
        <v>910</v>
      </c>
      <c r="Y4087" t="s">
        <v>26653</v>
      </c>
      <c r="Z4087" t="s">
        <v>26664</v>
      </c>
      <c r="AA4087" t="s">
        <v>26678</v>
      </c>
      <c r="AB4087" t="s">
        <v>26822</v>
      </c>
      <c r="AC4087" t="s">
        <v>19045</v>
      </c>
      <c r="AD4087" t="s">
        <v>36926</v>
      </c>
      <c r="AE4087">
        <v>24</v>
      </c>
      <c r="AF4087" t="s">
        <v>45541</v>
      </c>
      <c r="AG4087" t="s">
        <v>19330</v>
      </c>
      <c r="AH4087">
        <v>28</v>
      </c>
      <c r="AI4087">
        <v>1</v>
      </c>
      <c r="AJ4087">
        <v>0</v>
      </c>
      <c r="AK4087">
        <v>0</v>
      </c>
      <c r="AN4087" t="s">
        <v>45581</v>
      </c>
      <c r="AO4087">
        <v>0</v>
      </c>
      <c r="AQ4087" t="s">
        <v>46359</v>
      </c>
      <c r="AR4087" t="s">
        <v>46379</v>
      </c>
      <c r="AS4087" t="s">
        <v>46499</v>
      </c>
      <c r="AT4087" t="s">
        <v>46663</v>
      </c>
      <c r="AU4087">
        <v>40.85</v>
      </c>
      <c r="AV4087" t="s">
        <v>709</v>
      </c>
      <c r="AW4087" t="s">
        <v>208</v>
      </c>
    </row>
    <row r="4088" spans="1:49">
      <c r="A4088" s="1">
        <f>HYPERLINK("https://lsnyc.legalserver.org/matter/dynamic-profile/view/1886256","18-1886256")</f>
        <v>0</v>
      </c>
      <c r="B4088" t="s">
        <v>169</v>
      </c>
      <c r="C4088" t="s">
        <v>341</v>
      </c>
      <c r="D4088" t="s">
        <v>684</v>
      </c>
      <c r="E4088" t="s">
        <v>699</v>
      </c>
      <c r="F4088" t="s">
        <v>2456</v>
      </c>
      <c r="G4088" t="s">
        <v>1685</v>
      </c>
      <c r="H4088" t="s">
        <v>12842</v>
      </c>
      <c r="I4088" t="s">
        <v>17301</v>
      </c>
      <c r="J4088" t="s">
        <v>18892</v>
      </c>
      <c r="K4088">
        <v>10474</v>
      </c>
      <c r="L4088" t="s">
        <v>18958</v>
      </c>
      <c r="M4088" t="s">
        <v>18958</v>
      </c>
      <c r="N4088" t="s">
        <v>22060</v>
      </c>
      <c r="O4088" t="s">
        <v>26523</v>
      </c>
      <c r="P4088" t="s">
        <v>26564</v>
      </c>
      <c r="Q4088" t="s">
        <v>26570</v>
      </c>
      <c r="R4088" t="s">
        <v>26578</v>
      </c>
      <c r="S4088" t="s">
        <v>18959</v>
      </c>
      <c r="U4088" t="s">
        <v>26604</v>
      </c>
      <c r="V4088" t="s">
        <v>26615</v>
      </c>
      <c r="W4088" t="s">
        <v>706</v>
      </c>
      <c r="X4088">
        <v>1175</v>
      </c>
      <c r="Y4088" t="s">
        <v>26650</v>
      </c>
      <c r="Z4088" t="s">
        <v>26663</v>
      </c>
      <c r="AA4088" t="s">
        <v>26683</v>
      </c>
      <c r="AB4088" t="s">
        <v>27139</v>
      </c>
      <c r="AD4088" t="s">
        <v>40258</v>
      </c>
      <c r="AE4088">
        <v>100</v>
      </c>
      <c r="AF4088" t="s">
        <v>45552</v>
      </c>
      <c r="AG4088" t="s">
        <v>26530</v>
      </c>
      <c r="AH4088">
        <v>14</v>
      </c>
      <c r="AI4088">
        <v>2</v>
      </c>
      <c r="AJ4088">
        <v>3</v>
      </c>
      <c r="AK4088">
        <v>4.08</v>
      </c>
      <c r="AN4088" t="s">
        <v>45581</v>
      </c>
      <c r="AO4088">
        <v>1200</v>
      </c>
      <c r="AU4088">
        <v>1.5</v>
      </c>
      <c r="AV4088" t="s">
        <v>706</v>
      </c>
      <c r="AW4088" t="s">
        <v>169</v>
      </c>
    </row>
    <row r="4089" spans="1:49">
      <c r="A4089" s="1">
        <f>HYPERLINK("https://lsnyc.legalserver.org/matter/dynamic-profile/view/1886517","18-1886517")</f>
        <v>0</v>
      </c>
      <c r="B4089" t="s">
        <v>163</v>
      </c>
      <c r="C4089" t="s">
        <v>341</v>
      </c>
      <c r="D4089" t="s">
        <v>706</v>
      </c>
      <c r="E4089" t="s">
        <v>706</v>
      </c>
      <c r="F4089" t="s">
        <v>2917</v>
      </c>
      <c r="G4089" t="s">
        <v>7173</v>
      </c>
      <c r="H4089" t="s">
        <v>12843</v>
      </c>
      <c r="I4089" t="s">
        <v>17388</v>
      </c>
      <c r="J4089" t="s">
        <v>18906</v>
      </c>
      <c r="K4089">
        <v>11373</v>
      </c>
      <c r="L4089" t="s">
        <v>18958</v>
      </c>
      <c r="M4089" t="s">
        <v>18958</v>
      </c>
      <c r="N4089" t="s">
        <v>22061</v>
      </c>
      <c r="O4089" t="s">
        <v>26524</v>
      </c>
      <c r="P4089" t="s">
        <v>26565</v>
      </c>
      <c r="Q4089" t="s">
        <v>26571</v>
      </c>
      <c r="R4089" t="s">
        <v>26585</v>
      </c>
      <c r="S4089" t="s">
        <v>18959</v>
      </c>
      <c r="U4089" t="s">
        <v>26604</v>
      </c>
      <c r="V4089" t="s">
        <v>26610</v>
      </c>
      <c r="W4089" t="s">
        <v>706</v>
      </c>
      <c r="X4089">
        <v>2000</v>
      </c>
      <c r="Y4089" t="s">
        <v>26653</v>
      </c>
      <c r="Z4089" t="s">
        <v>26668</v>
      </c>
      <c r="AA4089" t="s">
        <v>26683</v>
      </c>
      <c r="AB4089" t="s">
        <v>28952</v>
      </c>
      <c r="AD4089" t="s">
        <v>40259</v>
      </c>
      <c r="AE4089">
        <v>24</v>
      </c>
      <c r="AF4089" t="s">
        <v>45547</v>
      </c>
      <c r="AH4089">
        <v>2</v>
      </c>
      <c r="AI4089">
        <v>2</v>
      </c>
      <c r="AJ4089">
        <v>1</v>
      </c>
      <c r="AK4089">
        <v>327.24</v>
      </c>
      <c r="AN4089" t="s">
        <v>7439</v>
      </c>
      <c r="AO4089">
        <v>68000</v>
      </c>
      <c r="AU4089">
        <v>0.4</v>
      </c>
      <c r="AV4089" t="s">
        <v>706</v>
      </c>
      <c r="AW4089" t="s">
        <v>163</v>
      </c>
    </row>
    <row r="4090" spans="1:49">
      <c r="A4090" s="1">
        <f>HYPERLINK("https://lsnyc.legalserver.org/matter/dynamic-profile/view/1886460","18-1886460")</f>
        <v>0</v>
      </c>
      <c r="B4090" t="s">
        <v>149</v>
      </c>
      <c r="C4090" t="s">
        <v>341</v>
      </c>
      <c r="D4090" t="s">
        <v>706</v>
      </c>
      <c r="E4090" t="s">
        <v>693</v>
      </c>
      <c r="F4090" t="s">
        <v>2918</v>
      </c>
      <c r="G4090" t="s">
        <v>5939</v>
      </c>
      <c r="H4090" t="s">
        <v>12844</v>
      </c>
      <c r="I4090" t="s">
        <v>18052</v>
      </c>
      <c r="J4090" t="s">
        <v>18892</v>
      </c>
      <c r="K4090">
        <v>10457</v>
      </c>
      <c r="L4090" t="s">
        <v>18958</v>
      </c>
      <c r="M4090" t="s">
        <v>18958</v>
      </c>
      <c r="N4090" t="s">
        <v>22062</v>
      </c>
      <c r="O4090" t="s">
        <v>26523</v>
      </c>
      <c r="P4090" t="s">
        <v>26560</v>
      </c>
      <c r="Q4090" t="s">
        <v>26568</v>
      </c>
      <c r="R4090" t="s">
        <v>26579</v>
      </c>
      <c r="S4090" t="s">
        <v>18959</v>
      </c>
      <c r="U4090" t="s">
        <v>26604</v>
      </c>
      <c r="V4090" t="s">
        <v>26610</v>
      </c>
      <c r="W4090" t="s">
        <v>706</v>
      </c>
      <c r="X4090">
        <v>208</v>
      </c>
      <c r="Y4090" t="s">
        <v>26650</v>
      </c>
      <c r="Z4090" t="s">
        <v>26664</v>
      </c>
      <c r="AA4090" t="s">
        <v>26680</v>
      </c>
      <c r="AB4090" t="s">
        <v>30122</v>
      </c>
      <c r="AD4090" t="s">
        <v>40260</v>
      </c>
      <c r="AE4090">
        <v>0</v>
      </c>
      <c r="AF4090" t="s">
        <v>45549</v>
      </c>
      <c r="AG4090" t="s">
        <v>19330</v>
      </c>
      <c r="AH4090">
        <v>6</v>
      </c>
      <c r="AI4090">
        <v>1</v>
      </c>
      <c r="AJ4090">
        <v>0</v>
      </c>
      <c r="AK4090">
        <v>89.95</v>
      </c>
      <c r="AO4090">
        <v>10920</v>
      </c>
      <c r="AR4090" t="s">
        <v>46399</v>
      </c>
      <c r="AS4090" t="s">
        <v>46499</v>
      </c>
      <c r="AT4090" t="s">
        <v>46645</v>
      </c>
      <c r="AU4090">
        <v>6.25</v>
      </c>
      <c r="AV4090" t="s">
        <v>458</v>
      </c>
      <c r="AW4090" t="s">
        <v>334</v>
      </c>
    </row>
    <row r="4091" spans="1:49">
      <c r="A4091" s="1">
        <f>HYPERLINK("https://lsnyc.legalserver.org/matter/dynamic-profile/view/1886511","18-1886511")</f>
        <v>0</v>
      </c>
      <c r="B4091" t="s">
        <v>112</v>
      </c>
      <c r="C4091" t="s">
        <v>341</v>
      </c>
      <c r="D4091" t="s">
        <v>706</v>
      </c>
      <c r="E4091" t="s">
        <v>769</v>
      </c>
      <c r="F4091" t="s">
        <v>2919</v>
      </c>
      <c r="G4091" t="s">
        <v>7174</v>
      </c>
      <c r="H4091" t="s">
        <v>12845</v>
      </c>
      <c r="I4091" t="s">
        <v>17374</v>
      </c>
      <c r="J4091" t="s">
        <v>18901</v>
      </c>
      <c r="K4091">
        <v>11433</v>
      </c>
      <c r="L4091" t="s">
        <v>18958</v>
      </c>
      <c r="M4091" t="s">
        <v>18958</v>
      </c>
      <c r="N4091" t="s">
        <v>22063</v>
      </c>
      <c r="O4091" t="s">
        <v>26524</v>
      </c>
      <c r="P4091" t="s">
        <v>26560</v>
      </c>
      <c r="Q4091" t="s">
        <v>26568</v>
      </c>
      <c r="R4091" t="s">
        <v>26585</v>
      </c>
      <c r="S4091" t="s">
        <v>18959</v>
      </c>
      <c r="U4091" t="s">
        <v>26604</v>
      </c>
      <c r="V4091" t="s">
        <v>26610</v>
      </c>
      <c r="W4091" t="s">
        <v>706</v>
      </c>
      <c r="X4091">
        <v>800</v>
      </c>
      <c r="Y4091" t="s">
        <v>26653</v>
      </c>
      <c r="Z4091" t="s">
        <v>26668</v>
      </c>
      <c r="AA4091" t="s">
        <v>26678</v>
      </c>
      <c r="AB4091" t="s">
        <v>30123</v>
      </c>
      <c r="AD4091" t="s">
        <v>40261</v>
      </c>
      <c r="AE4091">
        <v>2</v>
      </c>
      <c r="AF4091" t="s">
        <v>45547</v>
      </c>
      <c r="AG4091" t="s">
        <v>19330</v>
      </c>
      <c r="AH4091">
        <v>1</v>
      </c>
      <c r="AI4091">
        <v>1</v>
      </c>
      <c r="AJ4091">
        <v>0</v>
      </c>
      <c r="AK4091">
        <v>128.5</v>
      </c>
      <c r="AN4091" t="s">
        <v>7439</v>
      </c>
      <c r="AO4091">
        <v>15600</v>
      </c>
      <c r="AQ4091" t="s">
        <v>46359</v>
      </c>
      <c r="AR4091" t="s">
        <v>46379</v>
      </c>
      <c r="AS4091" t="s">
        <v>46499</v>
      </c>
      <c r="AT4091" t="s">
        <v>46669</v>
      </c>
      <c r="AU4091">
        <v>12.5</v>
      </c>
      <c r="AV4091" t="s">
        <v>780</v>
      </c>
      <c r="AW4091" t="s">
        <v>161</v>
      </c>
    </row>
    <row r="4092" spans="1:49">
      <c r="A4092" s="1">
        <f>HYPERLINK("https://lsnyc.legalserver.org/matter/dynamic-profile/view/1886481","18-1886481")</f>
        <v>0</v>
      </c>
      <c r="B4092" t="s">
        <v>149</v>
      </c>
      <c r="C4092" t="s">
        <v>340</v>
      </c>
      <c r="D4092" t="s">
        <v>706</v>
      </c>
      <c r="F4092" t="s">
        <v>2920</v>
      </c>
      <c r="G4092" t="s">
        <v>1738</v>
      </c>
      <c r="H4092" t="s">
        <v>12846</v>
      </c>
      <c r="I4092">
        <v>5</v>
      </c>
      <c r="J4092" t="s">
        <v>18892</v>
      </c>
      <c r="K4092">
        <v>10457</v>
      </c>
      <c r="L4092" t="s">
        <v>18958</v>
      </c>
      <c r="M4092" t="s">
        <v>18958</v>
      </c>
      <c r="N4092" t="s">
        <v>22064</v>
      </c>
      <c r="O4092" t="s">
        <v>26523</v>
      </c>
      <c r="P4092" t="s">
        <v>26560</v>
      </c>
      <c r="R4092" t="s">
        <v>26579</v>
      </c>
      <c r="S4092" t="s">
        <v>18959</v>
      </c>
      <c r="U4092" t="s">
        <v>26604</v>
      </c>
      <c r="V4092" t="s">
        <v>26610</v>
      </c>
      <c r="W4092" t="s">
        <v>706</v>
      </c>
      <c r="X4092">
        <v>1400</v>
      </c>
      <c r="Y4092" t="s">
        <v>26650</v>
      </c>
      <c r="Z4092" t="s">
        <v>26664</v>
      </c>
      <c r="AB4092" t="s">
        <v>30124</v>
      </c>
      <c r="AE4092">
        <v>24</v>
      </c>
      <c r="AF4092" t="s">
        <v>45541</v>
      </c>
      <c r="AG4092" t="s">
        <v>19330</v>
      </c>
      <c r="AH4092">
        <v>5</v>
      </c>
      <c r="AI4092">
        <v>3</v>
      </c>
      <c r="AJ4092">
        <v>1</v>
      </c>
      <c r="AK4092">
        <v>144.61</v>
      </c>
      <c r="AN4092" t="s">
        <v>45581</v>
      </c>
      <c r="AO4092">
        <v>36296</v>
      </c>
      <c r="AU4092">
        <v>9.15</v>
      </c>
      <c r="AV4092" t="s">
        <v>797</v>
      </c>
      <c r="AW4092" t="s">
        <v>336</v>
      </c>
    </row>
    <row r="4093" spans="1:49">
      <c r="A4093" s="1">
        <f>HYPERLINK("https://lsnyc.legalserver.org/matter/dynamic-profile/view/1886501","18-1886501")</f>
        <v>0</v>
      </c>
      <c r="B4093" t="s">
        <v>147</v>
      </c>
      <c r="C4093" t="s">
        <v>340</v>
      </c>
      <c r="D4093" t="s">
        <v>706</v>
      </c>
      <c r="F4093" t="s">
        <v>2921</v>
      </c>
      <c r="G4093" t="s">
        <v>7175</v>
      </c>
      <c r="H4093" t="s">
        <v>11569</v>
      </c>
      <c r="J4093" t="s">
        <v>18894</v>
      </c>
      <c r="K4093">
        <v>11230</v>
      </c>
      <c r="L4093" t="s">
        <v>18958</v>
      </c>
      <c r="M4093" t="s">
        <v>18958</v>
      </c>
      <c r="N4093" t="s">
        <v>22065</v>
      </c>
      <c r="O4093" t="s">
        <v>26523</v>
      </c>
      <c r="P4093" t="s">
        <v>26560</v>
      </c>
      <c r="R4093" t="s">
        <v>26578</v>
      </c>
      <c r="S4093" t="s">
        <v>18959</v>
      </c>
      <c r="T4093" t="s">
        <v>26578</v>
      </c>
      <c r="U4093" t="s">
        <v>26604</v>
      </c>
      <c r="V4093" t="s">
        <v>26611</v>
      </c>
      <c r="W4093" t="s">
        <v>706</v>
      </c>
      <c r="X4093">
        <v>1345.21</v>
      </c>
      <c r="Y4093" t="s">
        <v>26652</v>
      </c>
      <c r="Z4093" t="s">
        <v>26666</v>
      </c>
      <c r="AB4093" t="s">
        <v>30125</v>
      </c>
      <c r="AD4093" t="s">
        <v>40262</v>
      </c>
      <c r="AE4093">
        <v>60</v>
      </c>
      <c r="AF4093" t="s">
        <v>45541</v>
      </c>
      <c r="AG4093" t="s">
        <v>19330</v>
      </c>
      <c r="AH4093">
        <v>6</v>
      </c>
      <c r="AI4093">
        <v>2</v>
      </c>
      <c r="AJ4093">
        <v>2</v>
      </c>
      <c r="AK4093">
        <v>108.05</v>
      </c>
      <c r="AN4093" t="s">
        <v>7439</v>
      </c>
      <c r="AO4093">
        <v>27120</v>
      </c>
      <c r="AU4093">
        <v>13.4</v>
      </c>
      <c r="AV4093" t="s">
        <v>729</v>
      </c>
      <c r="AW4093" t="s">
        <v>219</v>
      </c>
    </row>
    <row r="4094" spans="1:49">
      <c r="A4094" s="1">
        <f>HYPERLINK("https://lsnyc.legalserver.org/matter/dynamic-profile/view/1886491","18-1886491")</f>
        <v>0</v>
      </c>
      <c r="B4094" t="s">
        <v>191</v>
      </c>
      <c r="C4094" t="s">
        <v>340</v>
      </c>
      <c r="D4094" t="s">
        <v>706</v>
      </c>
      <c r="F4094" t="s">
        <v>2138</v>
      </c>
      <c r="G4094" t="s">
        <v>7176</v>
      </c>
      <c r="H4094" t="s">
        <v>9946</v>
      </c>
      <c r="I4094">
        <v>1003</v>
      </c>
      <c r="J4094" t="s">
        <v>18893</v>
      </c>
      <c r="K4094">
        <v>10027</v>
      </c>
      <c r="L4094" t="s">
        <v>18958</v>
      </c>
      <c r="M4094" t="s">
        <v>18958</v>
      </c>
      <c r="N4094" t="s">
        <v>22066</v>
      </c>
      <c r="O4094" t="s">
        <v>26523</v>
      </c>
      <c r="P4094" t="s">
        <v>26560</v>
      </c>
      <c r="R4094" t="s">
        <v>26580</v>
      </c>
      <c r="S4094" t="s">
        <v>18959</v>
      </c>
      <c r="U4094" t="s">
        <v>26604</v>
      </c>
      <c r="V4094" t="s">
        <v>26610</v>
      </c>
      <c r="W4094" t="s">
        <v>706</v>
      </c>
      <c r="X4094">
        <v>399</v>
      </c>
      <c r="Y4094" t="s">
        <v>26651</v>
      </c>
      <c r="Z4094" t="s">
        <v>26664</v>
      </c>
      <c r="AB4094" t="s">
        <v>30126</v>
      </c>
      <c r="AD4094" t="s">
        <v>40263</v>
      </c>
      <c r="AE4094">
        <v>70</v>
      </c>
      <c r="AH4094">
        <v>2</v>
      </c>
      <c r="AI4094">
        <v>1</v>
      </c>
      <c r="AJ4094">
        <v>0</v>
      </c>
      <c r="AK4094">
        <v>171.33</v>
      </c>
      <c r="AN4094" t="s">
        <v>7439</v>
      </c>
      <c r="AO4094">
        <v>20800</v>
      </c>
      <c r="AU4094">
        <v>27.8</v>
      </c>
      <c r="AV4094" t="s">
        <v>832</v>
      </c>
      <c r="AW4094" t="s">
        <v>264</v>
      </c>
    </row>
    <row r="4095" spans="1:49">
      <c r="A4095" s="1">
        <f>HYPERLINK("https://lsnyc.legalserver.org/matter/dynamic-profile/view/1884078","18-1884078")</f>
        <v>0</v>
      </c>
      <c r="B4095" t="s">
        <v>199</v>
      </c>
      <c r="C4095" t="s">
        <v>340</v>
      </c>
      <c r="D4095" t="s">
        <v>706</v>
      </c>
      <c r="F4095" t="s">
        <v>999</v>
      </c>
      <c r="G4095" t="s">
        <v>6812</v>
      </c>
      <c r="H4095" t="s">
        <v>12606</v>
      </c>
      <c r="I4095" t="s">
        <v>17277</v>
      </c>
      <c r="J4095" t="s">
        <v>18894</v>
      </c>
      <c r="K4095">
        <v>11226</v>
      </c>
      <c r="L4095" t="s">
        <v>18959</v>
      </c>
      <c r="M4095" t="s">
        <v>18958</v>
      </c>
      <c r="N4095" t="s">
        <v>21827</v>
      </c>
      <c r="O4095" t="s">
        <v>26534</v>
      </c>
      <c r="P4095" t="s">
        <v>26561</v>
      </c>
      <c r="R4095" t="s">
        <v>26578</v>
      </c>
      <c r="S4095" t="s">
        <v>18958</v>
      </c>
      <c r="U4095" t="s">
        <v>26604</v>
      </c>
      <c r="V4095" t="s">
        <v>26610</v>
      </c>
      <c r="W4095" t="s">
        <v>706</v>
      </c>
      <c r="X4095">
        <v>966.09</v>
      </c>
      <c r="Y4095" t="s">
        <v>26652</v>
      </c>
      <c r="Z4095" t="s">
        <v>26667</v>
      </c>
      <c r="AB4095" t="s">
        <v>30127</v>
      </c>
      <c r="AE4095">
        <v>43</v>
      </c>
      <c r="AF4095" t="s">
        <v>45541</v>
      </c>
      <c r="AH4095">
        <v>17</v>
      </c>
      <c r="AI4095">
        <v>2</v>
      </c>
      <c r="AJ4095">
        <v>0</v>
      </c>
      <c r="AK4095">
        <v>0</v>
      </c>
      <c r="AN4095" t="s">
        <v>7439</v>
      </c>
      <c r="AO4095">
        <v>0</v>
      </c>
      <c r="AQ4095" t="s">
        <v>46359</v>
      </c>
      <c r="AU4095">
        <v>0.2</v>
      </c>
      <c r="AV4095" t="s">
        <v>729</v>
      </c>
      <c r="AW4095" t="s">
        <v>219</v>
      </c>
    </row>
    <row r="4096" spans="1:49">
      <c r="A4096" s="1">
        <f>HYPERLINK("https://lsnyc.legalserver.org/matter/dynamic-profile/view/1886437","18-1886437")</f>
        <v>0</v>
      </c>
      <c r="B4096" t="s">
        <v>275</v>
      </c>
      <c r="C4096" t="s">
        <v>340</v>
      </c>
      <c r="D4096" t="s">
        <v>706</v>
      </c>
      <c r="F4096" t="s">
        <v>2922</v>
      </c>
      <c r="G4096" t="s">
        <v>7177</v>
      </c>
      <c r="H4096" t="s">
        <v>9659</v>
      </c>
      <c r="I4096" t="s">
        <v>17352</v>
      </c>
      <c r="J4096" t="s">
        <v>18892</v>
      </c>
      <c r="K4096">
        <v>10457</v>
      </c>
      <c r="L4096" t="s">
        <v>18958</v>
      </c>
      <c r="M4096" t="s">
        <v>18958</v>
      </c>
      <c r="N4096" t="s">
        <v>22067</v>
      </c>
      <c r="O4096" t="s">
        <v>26523</v>
      </c>
      <c r="P4096" t="s">
        <v>26560</v>
      </c>
      <c r="R4096" t="s">
        <v>26579</v>
      </c>
      <c r="U4096" t="s">
        <v>26604</v>
      </c>
      <c r="V4096" t="s">
        <v>26610</v>
      </c>
      <c r="W4096" t="s">
        <v>706</v>
      </c>
      <c r="X4096">
        <v>668.1</v>
      </c>
      <c r="Y4096" t="s">
        <v>26650</v>
      </c>
      <c r="Z4096" t="s">
        <v>26664</v>
      </c>
      <c r="AB4096" t="s">
        <v>30128</v>
      </c>
      <c r="AD4096" t="s">
        <v>40264</v>
      </c>
      <c r="AE4096">
        <v>108</v>
      </c>
      <c r="AF4096" t="s">
        <v>45541</v>
      </c>
      <c r="AG4096" t="s">
        <v>19330</v>
      </c>
      <c r="AH4096">
        <v>2</v>
      </c>
      <c r="AI4096">
        <v>1</v>
      </c>
      <c r="AJ4096">
        <v>0</v>
      </c>
      <c r="AK4096">
        <v>199.6</v>
      </c>
      <c r="AO4096">
        <v>24232</v>
      </c>
      <c r="AU4096">
        <v>45.9</v>
      </c>
      <c r="AV4096" t="s">
        <v>801</v>
      </c>
      <c r="AW4096" t="s">
        <v>334</v>
      </c>
    </row>
    <row r="4097" spans="1:50">
      <c r="A4097" s="1">
        <f>HYPERLINK("https://lsnyc.legalserver.org/matter/dynamic-profile/view/1886734","18-1886734")</f>
        <v>0</v>
      </c>
      <c r="B4097" t="s">
        <v>95</v>
      </c>
      <c r="C4097" t="s">
        <v>340</v>
      </c>
      <c r="D4097" t="s">
        <v>494</v>
      </c>
      <c r="F4097" t="s">
        <v>868</v>
      </c>
      <c r="G4097" t="s">
        <v>6564</v>
      </c>
      <c r="H4097" t="s">
        <v>9692</v>
      </c>
      <c r="I4097" t="s">
        <v>18053</v>
      </c>
      <c r="J4097" t="s">
        <v>18894</v>
      </c>
      <c r="K4097">
        <v>11233</v>
      </c>
      <c r="L4097" t="s">
        <v>18958</v>
      </c>
      <c r="M4097" t="s">
        <v>18958</v>
      </c>
      <c r="O4097" t="s">
        <v>26534</v>
      </c>
      <c r="P4097" t="s">
        <v>26562</v>
      </c>
      <c r="R4097" t="s">
        <v>26578</v>
      </c>
      <c r="S4097" t="s">
        <v>18958</v>
      </c>
      <c r="U4097" t="s">
        <v>26604</v>
      </c>
      <c r="V4097" t="s">
        <v>26610</v>
      </c>
      <c r="W4097" t="s">
        <v>706</v>
      </c>
      <c r="X4097">
        <v>1076.55</v>
      </c>
      <c r="Y4097" t="s">
        <v>26652</v>
      </c>
      <c r="Z4097" t="s">
        <v>26655</v>
      </c>
      <c r="AB4097" t="s">
        <v>30129</v>
      </c>
      <c r="AD4097" t="s">
        <v>40265</v>
      </c>
      <c r="AE4097">
        <v>764</v>
      </c>
      <c r="AF4097" t="s">
        <v>45541</v>
      </c>
      <c r="AG4097" t="s">
        <v>45559</v>
      </c>
      <c r="AH4097">
        <v>21</v>
      </c>
      <c r="AI4097">
        <v>1</v>
      </c>
      <c r="AJ4097">
        <v>0</v>
      </c>
      <c r="AK4097">
        <v>190.71</v>
      </c>
      <c r="AN4097" t="s">
        <v>7439</v>
      </c>
      <c r="AO4097">
        <v>23152.8</v>
      </c>
      <c r="AU4097">
        <v>0</v>
      </c>
      <c r="AW4097" t="s">
        <v>286</v>
      </c>
    </row>
    <row r="4098" spans="1:50">
      <c r="A4098" s="1">
        <f>HYPERLINK("https://lsnyc.legalserver.org/matter/dynamic-profile/view/1854651","17-1854651")</f>
        <v>0</v>
      </c>
      <c r="B4098" t="s">
        <v>64</v>
      </c>
      <c r="C4098" t="s">
        <v>340</v>
      </c>
      <c r="D4098" t="s">
        <v>555</v>
      </c>
      <c r="F4098" t="s">
        <v>2923</v>
      </c>
      <c r="G4098" t="s">
        <v>7178</v>
      </c>
      <c r="H4098" t="s">
        <v>12847</v>
      </c>
      <c r="I4098" t="s">
        <v>17389</v>
      </c>
      <c r="J4098" t="s">
        <v>18892</v>
      </c>
      <c r="K4098">
        <v>10456</v>
      </c>
      <c r="L4098" t="s">
        <v>18958</v>
      </c>
      <c r="M4098" t="s">
        <v>18960</v>
      </c>
      <c r="N4098" t="s">
        <v>22068</v>
      </c>
      <c r="O4098" t="s">
        <v>26523</v>
      </c>
      <c r="P4098" t="s">
        <v>26560</v>
      </c>
      <c r="R4098" t="s">
        <v>26577</v>
      </c>
      <c r="U4098" t="s">
        <v>26605</v>
      </c>
      <c r="V4098" t="s">
        <v>26609</v>
      </c>
      <c r="W4098" t="s">
        <v>699</v>
      </c>
      <c r="X4098">
        <v>194</v>
      </c>
      <c r="Y4098" t="s">
        <v>26650</v>
      </c>
      <c r="Z4098" t="s">
        <v>26656</v>
      </c>
      <c r="AB4098" t="s">
        <v>30130</v>
      </c>
      <c r="AC4098" t="s">
        <v>35709</v>
      </c>
      <c r="AD4098" t="s">
        <v>40266</v>
      </c>
      <c r="AE4098">
        <v>0</v>
      </c>
      <c r="AF4098" t="s">
        <v>45542</v>
      </c>
      <c r="AG4098" t="s">
        <v>19330</v>
      </c>
      <c r="AH4098">
        <v>2</v>
      </c>
      <c r="AI4098">
        <v>1</v>
      </c>
      <c r="AJ4098">
        <v>0</v>
      </c>
      <c r="AK4098">
        <v>107.79</v>
      </c>
      <c r="AN4098" t="s">
        <v>7439</v>
      </c>
      <c r="AO4098">
        <v>13000</v>
      </c>
      <c r="AP4098" t="s">
        <v>45621</v>
      </c>
      <c r="AU4098">
        <v>29.1</v>
      </c>
      <c r="AV4098" t="s">
        <v>826</v>
      </c>
      <c r="AW4098" t="s">
        <v>336</v>
      </c>
    </row>
    <row r="4099" spans="1:50">
      <c r="A4099" s="1">
        <f>HYPERLINK("https://lsnyc.legalserver.org/matter/dynamic-profile/view/1874181","18-1874181")</f>
        <v>0</v>
      </c>
      <c r="B4099" t="s">
        <v>217</v>
      </c>
      <c r="C4099" t="s">
        <v>341</v>
      </c>
      <c r="D4099" t="s">
        <v>497</v>
      </c>
      <c r="E4099" t="s">
        <v>623</v>
      </c>
      <c r="F4099" t="s">
        <v>1026</v>
      </c>
      <c r="G4099" t="s">
        <v>7089</v>
      </c>
      <c r="H4099" t="s">
        <v>12848</v>
      </c>
      <c r="I4099" t="s">
        <v>17356</v>
      </c>
      <c r="J4099" t="s">
        <v>18892</v>
      </c>
      <c r="K4099">
        <v>10459</v>
      </c>
      <c r="L4099" t="s">
        <v>18958</v>
      </c>
      <c r="M4099" t="s">
        <v>18958</v>
      </c>
      <c r="O4099" t="s">
        <v>26529</v>
      </c>
      <c r="P4099" t="s">
        <v>26565</v>
      </c>
      <c r="Q4099" t="s">
        <v>26570</v>
      </c>
      <c r="R4099" t="s">
        <v>26578</v>
      </c>
      <c r="S4099" t="s">
        <v>18959</v>
      </c>
      <c r="U4099" t="s">
        <v>26604</v>
      </c>
      <c r="W4099" t="s">
        <v>699</v>
      </c>
      <c r="X4099">
        <v>880</v>
      </c>
      <c r="Y4099" t="s">
        <v>26650</v>
      </c>
      <c r="Z4099" t="s">
        <v>26663</v>
      </c>
      <c r="AA4099" t="s">
        <v>26683</v>
      </c>
      <c r="AB4099" t="s">
        <v>30131</v>
      </c>
      <c r="AE4099">
        <v>0</v>
      </c>
      <c r="AF4099" t="s">
        <v>45541</v>
      </c>
      <c r="AH4099">
        <v>36</v>
      </c>
      <c r="AI4099">
        <v>2</v>
      </c>
      <c r="AJ4099">
        <v>1</v>
      </c>
      <c r="AK4099">
        <v>109.72</v>
      </c>
      <c r="AN4099" t="s">
        <v>45581</v>
      </c>
      <c r="AO4099">
        <v>22800</v>
      </c>
      <c r="AU4099">
        <v>0.2</v>
      </c>
      <c r="AV4099" t="s">
        <v>699</v>
      </c>
      <c r="AW4099" t="s">
        <v>217</v>
      </c>
    </row>
    <row r="4100" spans="1:50">
      <c r="A4100" s="1">
        <f>HYPERLINK("https://lsnyc.legalserver.org/matter/dynamic-profile/view/1874437","18-1874437")</f>
        <v>0</v>
      </c>
      <c r="B4100" t="s">
        <v>91</v>
      </c>
      <c r="C4100" t="s">
        <v>341</v>
      </c>
      <c r="D4100" t="s">
        <v>498</v>
      </c>
      <c r="E4100" t="s">
        <v>494</v>
      </c>
      <c r="F4100" t="s">
        <v>2924</v>
      </c>
      <c r="G4100" t="s">
        <v>6961</v>
      </c>
      <c r="H4100" t="s">
        <v>12849</v>
      </c>
      <c r="I4100" t="s">
        <v>17415</v>
      </c>
      <c r="J4100" t="s">
        <v>18910</v>
      </c>
      <c r="K4100">
        <v>11420</v>
      </c>
      <c r="L4100" t="s">
        <v>18958</v>
      </c>
      <c r="M4100" t="s">
        <v>18958</v>
      </c>
      <c r="N4100" t="s">
        <v>22069</v>
      </c>
      <c r="O4100" t="s">
        <v>26524</v>
      </c>
      <c r="P4100" t="s">
        <v>26564</v>
      </c>
      <c r="Q4100" t="s">
        <v>26570</v>
      </c>
      <c r="R4100" t="s">
        <v>26584</v>
      </c>
      <c r="S4100" t="s">
        <v>18959</v>
      </c>
      <c r="U4100" t="s">
        <v>26604</v>
      </c>
      <c r="V4100" t="s">
        <v>26610</v>
      </c>
      <c r="W4100" t="s">
        <v>699</v>
      </c>
      <c r="X4100">
        <v>1100</v>
      </c>
      <c r="Y4100" t="s">
        <v>26653</v>
      </c>
      <c r="Z4100" t="s">
        <v>26664</v>
      </c>
      <c r="AA4100" t="s">
        <v>26683</v>
      </c>
      <c r="AB4100" t="s">
        <v>30132</v>
      </c>
      <c r="AC4100" t="s">
        <v>35710</v>
      </c>
      <c r="AD4100" t="s">
        <v>40267</v>
      </c>
      <c r="AE4100">
        <v>3</v>
      </c>
      <c r="AF4100" t="s">
        <v>45547</v>
      </c>
      <c r="AG4100" t="s">
        <v>19330</v>
      </c>
      <c r="AH4100">
        <v>1</v>
      </c>
      <c r="AI4100">
        <v>1</v>
      </c>
      <c r="AJ4100">
        <v>0</v>
      </c>
      <c r="AK4100">
        <v>123.56</v>
      </c>
      <c r="AN4100" t="s">
        <v>7439</v>
      </c>
      <c r="AO4100">
        <v>15000</v>
      </c>
      <c r="AU4100">
        <v>0.5</v>
      </c>
      <c r="AV4100" t="s">
        <v>699</v>
      </c>
      <c r="AW4100" t="s">
        <v>91</v>
      </c>
    </row>
    <row r="4101" spans="1:50">
      <c r="A4101" s="1">
        <f>HYPERLINK("https://lsnyc.legalserver.org/matter/dynamic-profile/view/1875551","18-1875551")</f>
        <v>0</v>
      </c>
      <c r="B4101" t="s">
        <v>236</v>
      </c>
      <c r="C4101" t="s">
        <v>341</v>
      </c>
      <c r="D4101" t="s">
        <v>521</v>
      </c>
      <c r="E4101" t="s">
        <v>699</v>
      </c>
      <c r="F4101" t="s">
        <v>2340</v>
      </c>
      <c r="G4101" t="s">
        <v>6469</v>
      </c>
      <c r="H4101" t="s">
        <v>11550</v>
      </c>
      <c r="I4101" t="s">
        <v>17849</v>
      </c>
      <c r="J4101" t="s">
        <v>18892</v>
      </c>
      <c r="K4101">
        <v>10453</v>
      </c>
      <c r="L4101" t="s">
        <v>18958</v>
      </c>
      <c r="M4101" t="s">
        <v>18958</v>
      </c>
      <c r="N4101" t="s">
        <v>22070</v>
      </c>
      <c r="O4101" t="s">
        <v>26523</v>
      </c>
      <c r="P4101" t="s">
        <v>26564</v>
      </c>
      <c r="Q4101" t="s">
        <v>26570</v>
      </c>
      <c r="R4101" t="s">
        <v>26578</v>
      </c>
      <c r="S4101" t="s">
        <v>18959</v>
      </c>
      <c r="U4101" t="s">
        <v>26604</v>
      </c>
      <c r="W4101" t="s">
        <v>699</v>
      </c>
      <c r="X4101">
        <v>835</v>
      </c>
      <c r="Y4101" t="s">
        <v>26650</v>
      </c>
      <c r="Z4101" t="s">
        <v>26663</v>
      </c>
      <c r="AA4101" t="s">
        <v>26683</v>
      </c>
      <c r="AB4101" t="s">
        <v>30133</v>
      </c>
      <c r="AD4101" t="s">
        <v>40268</v>
      </c>
      <c r="AE4101">
        <v>30</v>
      </c>
      <c r="AH4101">
        <v>3</v>
      </c>
      <c r="AI4101">
        <v>1</v>
      </c>
      <c r="AJ4101">
        <v>0</v>
      </c>
      <c r="AK4101">
        <v>198.32</v>
      </c>
      <c r="AN4101" t="s">
        <v>7439</v>
      </c>
      <c r="AO4101">
        <v>24076</v>
      </c>
      <c r="AU4101">
        <v>1.1</v>
      </c>
      <c r="AV4101" t="s">
        <v>699</v>
      </c>
      <c r="AW4101" t="s">
        <v>46857</v>
      </c>
    </row>
    <row r="4102" spans="1:50">
      <c r="A4102" s="1">
        <f>HYPERLINK("https://lsnyc.legalserver.org/matter/dynamic-profile/view/1883176","18-1883176")</f>
        <v>0</v>
      </c>
      <c r="B4102" t="s">
        <v>200</v>
      </c>
      <c r="C4102" t="s">
        <v>340</v>
      </c>
      <c r="D4102" t="s">
        <v>525</v>
      </c>
      <c r="F4102" t="s">
        <v>2925</v>
      </c>
      <c r="G4102" t="s">
        <v>1685</v>
      </c>
      <c r="H4102" t="s">
        <v>12850</v>
      </c>
      <c r="I4102" t="s">
        <v>17299</v>
      </c>
      <c r="J4102" t="s">
        <v>18894</v>
      </c>
      <c r="K4102">
        <v>11208</v>
      </c>
      <c r="L4102" t="s">
        <v>18958</v>
      </c>
      <c r="M4102" t="s">
        <v>18958</v>
      </c>
      <c r="P4102" t="s">
        <v>26564</v>
      </c>
      <c r="R4102" t="s">
        <v>26578</v>
      </c>
      <c r="S4102" t="s">
        <v>18959</v>
      </c>
      <c r="U4102" t="s">
        <v>26604</v>
      </c>
      <c r="W4102" t="s">
        <v>699</v>
      </c>
      <c r="X4102">
        <v>717</v>
      </c>
      <c r="Y4102" t="s">
        <v>26652</v>
      </c>
      <c r="Z4102" t="s">
        <v>26659</v>
      </c>
      <c r="AB4102" t="s">
        <v>27945</v>
      </c>
      <c r="AD4102" t="s">
        <v>40269</v>
      </c>
      <c r="AE4102">
        <v>6</v>
      </c>
      <c r="AG4102" t="s">
        <v>19330</v>
      </c>
      <c r="AH4102">
        <v>30</v>
      </c>
      <c r="AI4102">
        <v>2</v>
      </c>
      <c r="AJ4102">
        <v>0</v>
      </c>
      <c r="AK4102">
        <v>179.56</v>
      </c>
      <c r="AN4102" t="s">
        <v>45581</v>
      </c>
      <c r="AO4102">
        <v>29556</v>
      </c>
      <c r="AU4102">
        <v>1</v>
      </c>
      <c r="AV4102" t="s">
        <v>665</v>
      </c>
      <c r="AW4102" t="s">
        <v>286</v>
      </c>
    </row>
    <row r="4103" spans="1:50">
      <c r="A4103" s="1">
        <f>HYPERLINK("https://lsnyc.legalserver.org/matter/dynamic-profile/view/1886204","18-1886204")</f>
        <v>0</v>
      </c>
      <c r="B4103" t="s">
        <v>55</v>
      </c>
      <c r="C4103" t="s">
        <v>341</v>
      </c>
      <c r="D4103" t="s">
        <v>684</v>
      </c>
      <c r="E4103" t="s">
        <v>836</v>
      </c>
      <c r="F4103" t="s">
        <v>1366</v>
      </c>
      <c r="G4103" t="s">
        <v>5026</v>
      </c>
      <c r="H4103" t="s">
        <v>12851</v>
      </c>
      <c r="I4103" t="s">
        <v>17436</v>
      </c>
      <c r="J4103" t="s">
        <v>18892</v>
      </c>
      <c r="K4103">
        <v>10460</v>
      </c>
      <c r="L4103" t="s">
        <v>18958</v>
      </c>
      <c r="M4103" t="s">
        <v>18960</v>
      </c>
      <c r="N4103" t="s">
        <v>22071</v>
      </c>
      <c r="O4103" t="s">
        <v>26524</v>
      </c>
      <c r="P4103" t="s">
        <v>26564</v>
      </c>
      <c r="Q4103" t="s">
        <v>26570</v>
      </c>
      <c r="R4103" t="s">
        <v>26578</v>
      </c>
      <c r="S4103" t="s">
        <v>18959</v>
      </c>
      <c r="U4103" t="s">
        <v>26604</v>
      </c>
      <c r="V4103" t="s">
        <v>26610</v>
      </c>
      <c r="W4103" t="s">
        <v>699</v>
      </c>
      <c r="X4103">
        <v>1200</v>
      </c>
      <c r="Y4103" t="s">
        <v>26650</v>
      </c>
      <c r="Z4103" t="s">
        <v>26661</v>
      </c>
      <c r="AA4103" t="s">
        <v>26678</v>
      </c>
      <c r="AB4103" t="s">
        <v>30134</v>
      </c>
      <c r="AD4103" t="s">
        <v>40270</v>
      </c>
      <c r="AE4103">
        <v>16</v>
      </c>
      <c r="AF4103" t="s">
        <v>45541</v>
      </c>
      <c r="AG4103" t="s">
        <v>19330</v>
      </c>
      <c r="AH4103">
        <v>13</v>
      </c>
      <c r="AI4103">
        <v>1</v>
      </c>
      <c r="AJ4103">
        <v>0</v>
      </c>
      <c r="AK4103">
        <v>140.03</v>
      </c>
      <c r="AN4103" t="s">
        <v>7439</v>
      </c>
      <c r="AO4103">
        <v>17000</v>
      </c>
      <c r="AP4103" t="s">
        <v>45810</v>
      </c>
      <c r="AT4103" t="s">
        <v>46653</v>
      </c>
      <c r="AU4103">
        <v>1</v>
      </c>
      <c r="AV4103" t="s">
        <v>684</v>
      </c>
      <c r="AW4103" t="s">
        <v>46858</v>
      </c>
      <c r="AX4103" t="s">
        <v>46897</v>
      </c>
    </row>
    <row r="4104" spans="1:50">
      <c r="A4104" s="1">
        <f>HYPERLINK("https://lsnyc.legalserver.org/matter/dynamic-profile/view/1886589","18-1886589")</f>
        <v>0</v>
      </c>
      <c r="B4104" t="s">
        <v>247</v>
      </c>
      <c r="C4104" t="s">
        <v>341</v>
      </c>
      <c r="D4104" t="s">
        <v>699</v>
      </c>
      <c r="E4104" t="s">
        <v>713</v>
      </c>
      <c r="F4104" t="s">
        <v>1108</v>
      </c>
      <c r="G4104" t="s">
        <v>5147</v>
      </c>
      <c r="H4104" t="s">
        <v>12852</v>
      </c>
      <c r="J4104" t="s">
        <v>18916</v>
      </c>
      <c r="K4104">
        <v>11693</v>
      </c>
      <c r="L4104" t="s">
        <v>18958</v>
      </c>
      <c r="M4104" t="s">
        <v>18958</v>
      </c>
      <c r="N4104" t="s">
        <v>22072</v>
      </c>
      <c r="O4104" t="s">
        <v>26524</v>
      </c>
      <c r="P4104" t="s">
        <v>26564</v>
      </c>
      <c r="Q4104" t="s">
        <v>26570</v>
      </c>
      <c r="R4104" t="s">
        <v>26584</v>
      </c>
      <c r="S4104" t="s">
        <v>18959</v>
      </c>
      <c r="U4104" t="s">
        <v>26604</v>
      </c>
      <c r="W4104" t="s">
        <v>699</v>
      </c>
      <c r="X4104">
        <v>1750</v>
      </c>
      <c r="Y4104" t="s">
        <v>26653</v>
      </c>
      <c r="Z4104" t="s">
        <v>26664</v>
      </c>
      <c r="AA4104" t="s">
        <v>26683</v>
      </c>
      <c r="AB4104" t="s">
        <v>30135</v>
      </c>
      <c r="AC4104" t="s">
        <v>35711</v>
      </c>
      <c r="AD4104" t="s">
        <v>40271</v>
      </c>
      <c r="AE4104">
        <v>3</v>
      </c>
      <c r="AF4104" t="s">
        <v>45547</v>
      </c>
      <c r="AG4104" t="s">
        <v>45557</v>
      </c>
      <c r="AH4104">
        <v>1</v>
      </c>
      <c r="AI4104">
        <v>0</v>
      </c>
      <c r="AJ4104">
        <v>3</v>
      </c>
      <c r="AK4104">
        <v>88.7</v>
      </c>
      <c r="AN4104" t="s">
        <v>7439</v>
      </c>
      <c r="AO4104">
        <v>18432</v>
      </c>
      <c r="AU4104">
        <v>4.15</v>
      </c>
      <c r="AV4104" t="s">
        <v>494</v>
      </c>
      <c r="AW4104" t="s">
        <v>247</v>
      </c>
      <c r="AX4104" t="s">
        <v>46897</v>
      </c>
    </row>
    <row r="4105" spans="1:50">
      <c r="A4105" s="1">
        <f>HYPERLINK("https://lsnyc.legalserver.org/matter/dynamic-profile/view/1886578","18-1886578")</f>
        <v>0</v>
      </c>
      <c r="B4105" t="s">
        <v>85</v>
      </c>
      <c r="C4105" t="s">
        <v>341</v>
      </c>
      <c r="D4105" t="s">
        <v>699</v>
      </c>
      <c r="E4105" t="s">
        <v>494</v>
      </c>
      <c r="F4105" t="s">
        <v>2926</v>
      </c>
      <c r="G4105" t="s">
        <v>5086</v>
      </c>
      <c r="H4105" t="s">
        <v>12853</v>
      </c>
      <c r="I4105" t="s">
        <v>17436</v>
      </c>
      <c r="J4105" t="s">
        <v>18913</v>
      </c>
      <c r="K4105">
        <v>11102</v>
      </c>
      <c r="L4105" t="s">
        <v>18958</v>
      </c>
      <c r="M4105" t="s">
        <v>18958</v>
      </c>
      <c r="N4105" t="s">
        <v>22073</v>
      </c>
      <c r="O4105" t="s">
        <v>26524</v>
      </c>
      <c r="P4105" t="s">
        <v>26564</v>
      </c>
      <c r="Q4105" t="s">
        <v>26570</v>
      </c>
      <c r="R4105" t="s">
        <v>26584</v>
      </c>
      <c r="S4105" t="s">
        <v>18959</v>
      </c>
      <c r="U4105" t="s">
        <v>26605</v>
      </c>
      <c r="V4105" t="s">
        <v>26610</v>
      </c>
      <c r="W4105" t="s">
        <v>699</v>
      </c>
      <c r="X4105">
        <v>252</v>
      </c>
      <c r="Y4105" t="s">
        <v>26653</v>
      </c>
      <c r="Z4105" t="s">
        <v>26664</v>
      </c>
      <c r="AA4105" t="s">
        <v>26683</v>
      </c>
      <c r="AB4105" t="s">
        <v>30136</v>
      </c>
      <c r="AD4105" t="s">
        <v>40272</v>
      </c>
      <c r="AE4105">
        <v>36</v>
      </c>
      <c r="AF4105" t="s">
        <v>45549</v>
      </c>
      <c r="AG4105" t="s">
        <v>19330</v>
      </c>
      <c r="AH4105">
        <v>3</v>
      </c>
      <c r="AI4105">
        <v>1</v>
      </c>
      <c r="AJ4105">
        <v>0</v>
      </c>
      <c r="AK4105">
        <v>0</v>
      </c>
      <c r="AN4105" t="s">
        <v>7439</v>
      </c>
      <c r="AO4105">
        <v>0</v>
      </c>
      <c r="AU4105">
        <v>0.2</v>
      </c>
      <c r="AV4105" t="s">
        <v>458</v>
      </c>
      <c r="AW4105" t="s">
        <v>208</v>
      </c>
    </row>
    <row r="4106" spans="1:50">
      <c r="A4106" s="1">
        <f>HYPERLINK("https://lsnyc.legalserver.org/matter/dynamic-profile/view/1886564","18-1886564")</f>
        <v>0</v>
      </c>
      <c r="B4106" t="s">
        <v>85</v>
      </c>
      <c r="C4106" t="s">
        <v>341</v>
      </c>
      <c r="D4106" t="s">
        <v>699</v>
      </c>
      <c r="E4106" t="s">
        <v>494</v>
      </c>
      <c r="F4106" t="s">
        <v>2927</v>
      </c>
      <c r="G4106" t="s">
        <v>7179</v>
      </c>
      <c r="H4106" t="s">
        <v>12854</v>
      </c>
      <c r="I4106" t="s">
        <v>17328</v>
      </c>
      <c r="J4106" t="s">
        <v>18901</v>
      </c>
      <c r="K4106">
        <v>11433</v>
      </c>
      <c r="L4106" t="s">
        <v>18958</v>
      </c>
      <c r="M4106" t="s">
        <v>18958</v>
      </c>
      <c r="N4106" t="s">
        <v>22074</v>
      </c>
      <c r="O4106" t="s">
        <v>26524</v>
      </c>
      <c r="P4106" t="s">
        <v>26564</v>
      </c>
      <c r="Q4106" t="s">
        <v>26570</v>
      </c>
      <c r="R4106" t="s">
        <v>26585</v>
      </c>
      <c r="S4106" t="s">
        <v>18959</v>
      </c>
      <c r="U4106" t="s">
        <v>26604</v>
      </c>
      <c r="V4106" t="s">
        <v>26612</v>
      </c>
      <c r="W4106" t="s">
        <v>699</v>
      </c>
      <c r="X4106">
        <v>1550</v>
      </c>
      <c r="Y4106" t="s">
        <v>26653</v>
      </c>
      <c r="Z4106" t="s">
        <v>26664</v>
      </c>
      <c r="AA4106" t="s">
        <v>26683</v>
      </c>
      <c r="AB4106" t="s">
        <v>30137</v>
      </c>
      <c r="AC4106" t="s">
        <v>35712</v>
      </c>
      <c r="AD4106" t="s">
        <v>40273</v>
      </c>
      <c r="AE4106">
        <v>0</v>
      </c>
      <c r="AF4106" t="s">
        <v>20460</v>
      </c>
      <c r="AG4106" t="s">
        <v>19330</v>
      </c>
      <c r="AH4106">
        <v>2</v>
      </c>
      <c r="AI4106">
        <v>3</v>
      </c>
      <c r="AJ4106">
        <v>0</v>
      </c>
      <c r="AK4106">
        <v>45.04</v>
      </c>
      <c r="AN4106" t="s">
        <v>7439</v>
      </c>
      <c r="AO4106">
        <v>9360</v>
      </c>
      <c r="AU4106">
        <v>0.3</v>
      </c>
      <c r="AV4106" t="s">
        <v>458</v>
      </c>
      <c r="AW4106" t="s">
        <v>208</v>
      </c>
    </row>
    <row r="4107" spans="1:50">
      <c r="A4107" s="1">
        <f>HYPERLINK("https://lsnyc.legalserver.org/matter/dynamic-profile/view/1886615","18-1886615")</f>
        <v>0</v>
      </c>
      <c r="B4107" t="s">
        <v>258</v>
      </c>
      <c r="C4107" t="s">
        <v>341</v>
      </c>
      <c r="D4107" t="s">
        <v>699</v>
      </c>
      <c r="E4107" t="s">
        <v>416</v>
      </c>
      <c r="F4107" t="s">
        <v>2928</v>
      </c>
      <c r="G4107" t="s">
        <v>7180</v>
      </c>
      <c r="H4107" t="s">
        <v>12855</v>
      </c>
      <c r="I4107" t="s">
        <v>17330</v>
      </c>
      <c r="J4107" t="s">
        <v>18909</v>
      </c>
      <c r="K4107">
        <v>11101</v>
      </c>
      <c r="L4107" t="s">
        <v>18958</v>
      </c>
      <c r="M4107" t="s">
        <v>18958</v>
      </c>
      <c r="N4107" t="s">
        <v>22075</v>
      </c>
      <c r="O4107" t="s">
        <v>26523</v>
      </c>
      <c r="P4107" t="s">
        <v>26564</v>
      </c>
      <c r="Q4107" t="s">
        <v>26570</v>
      </c>
      <c r="R4107" t="s">
        <v>26578</v>
      </c>
      <c r="S4107" t="s">
        <v>18959</v>
      </c>
      <c r="U4107" t="s">
        <v>26604</v>
      </c>
      <c r="V4107" t="s">
        <v>26614</v>
      </c>
      <c r="W4107" t="s">
        <v>699</v>
      </c>
      <c r="X4107">
        <v>1900</v>
      </c>
      <c r="Y4107" t="s">
        <v>26653</v>
      </c>
      <c r="Z4107" t="s">
        <v>26664</v>
      </c>
      <c r="AA4107" t="s">
        <v>26683</v>
      </c>
      <c r="AB4107" t="s">
        <v>28161</v>
      </c>
      <c r="AC4107" t="s">
        <v>19330</v>
      </c>
      <c r="AD4107" t="s">
        <v>40274</v>
      </c>
      <c r="AE4107">
        <v>6</v>
      </c>
      <c r="AF4107" t="s">
        <v>45541</v>
      </c>
      <c r="AG4107" t="s">
        <v>19330</v>
      </c>
      <c r="AH4107">
        <v>2</v>
      </c>
      <c r="AI4107">
        <v>1</v>
      </c>
      <c r="AJ4107">
        <v>0</v>
      </c>
      <c r="AK4107">
        <v>98.84999999999999</v>
      </c>
      <c r="AN4107" t="s">
        <v>7439</v>
      </c>
      <c r="AO4107">
        <v>12000</v>
      </c>
      <c r="AU4107">
        <v>1.35</v>
      </c>
      <c r="AV4107" t="s">
        <v>713</v>
      </c>
      <c r="AW4107" t="s">
        <v>258</v>
      </c>
    </row>
    <row r="4108" spans="1:50">
      <c r="A4108" s="1">
        <f>HYPERLINK("https://lsnyc.legalserver.org/matter/dynamic-profile/view/1886625","18-1886625")</f>
        <v>0</v>
      </c>
      <c r="B4108" t="s">
        <v>258</v>
      </c>
      <c r="C4108" t="s">
        <v>341</v>
      </c>
      <c r="D4108" t="s">
        <v>699</v>
      </c>
      <c r="E4108" t="s">
        <v>414</v>
      </c>
      <c r="F4108" t="s">
        <v>881</v>
      </c>
      <c r="G4108" t="s">
        <v>7181</v>
      </c>
      <c r="H4108" t="s">
        <v>12856</v>
      </c>
      <c r="I4108" t="s">
        <v>17374</v>
      </c>
      <c r="J4108" t="s">
        <v>18918</v>
      </c>
      <c r="K4108">
        <v>11417</v>
      </c>
      <c r="L4108" t="s">
        <v>18958</v>
      </c>
      <c r="M4108" t="s">
        <v>18958</v>
      </c>
      <c r="N4108" t="s">
        <v>22076</v>
      </c>
      <c r="O4108" t="s">
        <v>26524</v>
      </c>
      <c r="P4108" t="s">
        <v>26564</v>
      </c>
      <c r="Q4108" t="s">
        <v>26570</v>
      </c>
      <c r="R4108" t="s">
        <v>26584</v>
      </c>
      <c r="S4108" t="s">
        <v>18959</v>
      </c>
      <c r="U4108" t="s">
        <v>26604</v>
      </c>
      <c r="V4108" t="s">
        <v>26610</v>
      </c>
      <c r="W4108" t="s">
        <v>699</v>
      </c>
      <c r="X4108">
        <v>0</v>
      </c>
      <c r="Y4108" t="s">
        <v>26653</v>
      </c>
      <c r="Z4108" t="s">
        <v>26664</v>
      </c>
      <c r="AA4108" t="s">
        <v>26683</v>
      </c>
      <c r="AB4108" t="s">
        <v>30138</v>
      </c>
      <c r="AC4108" t="s">
        <v>35713</v>
      </c>
      <c r="AD4108" t="s">
        <v>40275</v>
      </c>
      <c r="AE4108">
        <v>24</v>
      </c>
      <c r="AF4108" t="s">
        <v>45547</v>
      </c>
      <c r="AG4108" t="s">
        <v>19330</v>
      </c>
      <c r="AH4108">
        <v>22</v>
      </c>
      <c r="AI4108">
        <v>1</v>
      </c>
      <c r="AJ4108">
        <v>0</v>
      </c>
      <c r="AK4108">
        <v>76.51000000000001</v>
      </c>
      <c r="AN4108" t="s">
        <v>45581</v>
      </c>
      <c r="AO4108">
        <v>9288</v>
      </c>
      <c r="AU4108">
        <v>1.5</v>
      </c>
      <c r="AV4108" t="s">
        <v>716</v>
      </c>
      <c r="AW4108" t="s">
        <v>258</v>
      </c>
    </row>
    <row r="4109" spans="1:50">
      <c r="A4109" s="1">
        <f>HYPERLINK("https://lsnyc.legalserver.org/matter/dynamic-profile/view/1886581","18-1886581")</f>
        <v>0</v>
      </c>
      <c r="B4109" t="s">
        <v>141</v>
      </c>
      <c r="C4109" t="s">
        <v>341</v>
      </c>
      <c r="D4109" t="s">
        <v>699</v>
      </c>
      <c r="E4109" t="s">
        <v>458</v>
      </c>
      <c r="F4109" t="s">
        <v>2929</v>
      </c>
      <c r="G4109" t="s">
        <v>7182</v>
      </c>
      <c r="H4109" t="s">
        <v>12857</v>
      </c>
      <c r="I4109" t="s">
        <v>17690</v>
      </c>
      <c r="J4109" t="s">
        <v>18897</v>
      </c>
      <c r="K4109">
        <v>11415</v>
      </c>
      <c r="L4109" t="s">
        <v>18958</v>
      </c>
      <c r="M4109" t="s">
        <v>18958</v>
      </c>
      <c r="N4109" t="s">
        <v>22077</v>
      </c>
      <c r="O4109" t="s">
        <v>26524</v>
      </c>
      <c r="P4109" t="s">
        <v>26564</v>
      </c>
      <c r="Q4109" t="s">
        <v>26570</v>
      </c>
      <c r="R4109" t="s">
        <v>26578</v>
      </c>
      <c r="S4109" t="s">
        <v>18959</v>
      </c>
      <c r="U4109" t="s">
        <v>26604</v>
      </c>
      <c r="V4109" t="s">
        <v>26610</v>
      </c>
      <c r="W4109" t="s">
        <v>699</v>
      </c>
      <c r="X4109">
        <v>1995</v>
      </c>
      <c r="Y4109" t="s">
        <v>26653</v>
      </c>
      <c r="Z4109" t="s">
        <v>26664</v>
      </c>
      <c r="AA4109" t="s">
        <v>26683</v>
      </c>
      <c r="AB4109" t="s">
        <v>30139</v>
      </c>
      <c r="AD4109" t="s">
        <v>40276</v>
      </c>
      <c r="AE4109">
        <v>20</v>
      </c>
      <c r="AF4109" t="s">
        <v>45553</v>
      </c>
      <c r="AG4109" t="s">
        <v>19330</v>
      </c>
      <c r="AH4109">
        <v>6</v>
      </c>
      <c r="AI4109">
        <v>1</v>
      </c>
      <c r="AJ4109">
        <v>3</v>
      </c>
      <c r="AK4109">
        <v>99.59999999999999</v>
      </c>
      <c r="AN4109" t="s">
        <v>7439</v>
      </c>
      <c r="AO4109">
        <v>25000</v>
      </c>
      <c r="AU4109">
        <v>0.9</v>
      </c>
      <c r="AV4109" t="s">
        <v>415</v>
      </c>
      <c r="AW4109" t="s">
        <v>208</v>
      </c>
    </row>
    <row r="4110" spans="1:50">
      <c r="A4110" s="1">
        <f>HYPERLINK("https://lsnyc.legalserver.org/matter/dynamic-profile/view/1886593","18-1886593")</f>
        <v>0</v>
      </c>
      <c r="B4110" t="s">
        <v>214</v>
      </c>
      <c r="C4110" t="s">
        <v>341</v>
      </c>
      <c r="D4110" t="s">
        <v>699</v>
      </c>
      <c r="E4110" t="s">
        <v>494</v>
      </c>
      <c r="F4110" t="s">
        <v>2930</v>
      </c>
      <c r="G4110" t="s">
        <v>7183</v>
      </c>
      <c r="H4110" t="s">
        <v>12858</v>
      </c>
      <c r="I4110" t="s">
        <v>18054</v>
      </c>
      <c r="J4110" t="s">
        <v>18912</v>
      </c>
      <c r="K4110">
        <v>11374</v>
      </c>
      <c r="L4110" t="s">
        <v>18958</v>
      </c>
      <c r="M4110" t="s">
        <v>18958</v>
      </c>
      <c r="N4110" t="s">
        <v>22078</v>
      </c>
      <c r="O4110" t="s">
        <v>26524</v>
      </c>
      <c r="P4110" t="s">
        <v>26564</v>
      </c>
      <c r="Q4110" t="s">
        <v>26570</v>
      </c>
      <c r="R4110" t="s">
        <v>26578</v>
      </c>
      <c r="S4110" t="s">
        <v>18959</v>
      </c>
      <c r="U4110" t="s">
        <v>26604</v>
      </c>
      <c r="V4110" t="s">
        <v>26610</v>
      </c>
      <c r="W4110" t="s">
        <v>699</v>
      </c>
      <c r="X4110">
        <v>800</v>
      </c>
      <c r="Y4110" t="s">
        <v>26653</v>
      </c>
      <c r="Z4110" t="s">
        <v>26664</v>
      </c>
      <c r="AA4110" t="s">
        <v>26683</v>
      </c>
      <c r="AB4110" t="s">
        <v>30140</v>
      </c>
      <c r="AD4110" t="s">
        <v>40277</v>
      </c>
      <c r="AE4110">
        <v>65</v>
      </c>
      <c r="AF4110" t="s">
        <v>20460</v>
      </c>
      <c r="AG4110" t="s">
        <v>19330</v>
      </c>
      <c r="AH4110">
        <v>3</v>
      </c>
      <c r="AI4110">
        <v>2</v>
      </c>
      <c r="AJ4110">
        <v>0</v>
      </c>
      <c r="AK4110">
        <v>126.34</v>
      </c>
      <c r="AN4110" t="s">
        <v>7439</v>
      </c>
      <c r="AO4110">
        <v>20796</v>
      </c>
      <c r="AU4110">
        <v>0.84</v>
      </c>
      <c r="AV4110" t="s">
        <v>699</v>
      </c>
      <c r="AW4110" t="s">
        <v>214</v>
      </c>
    </row>
    <row r="4111" spans="1:50">
      <c r="A4111" s="1">
        <f>HYPERLINK("https://lsnyc.legalserver.org/matter/dynamic-profile/view/1886611","18-1886611")</f>
        <v>0</v>
      </c>
      <c r="B4111" t="s">
        <v>214</v>
      </c>
      <c r="C4111" t="s">
        <v>341</v>
      </c>
      <c r="D4111" t="s">
        <v>699</v>
      </c>
      <c r="E4111" t="s">
        <v>494</v>
      </c>
      <c r="F4111" t="s">
        <v>2931</v>
      </c>
      <c r="G4111" t="s">
        <v>5208</v>
      </c>
      <c r="H4111" t="s">
        <v>12859</v>
      </c>
      <c r="I4111" t="s">
        <v>17533</v>
      </c>
      <c r="J4111" t="s">
        <v>18918</v>
      </c>
      <c r="K4111">
        <v>11416</v>
      </c>
      <c r="L4111" t="s">
        <v>18958</v>
      </c>
      <c r="M4111" t="s">
        <v>18958</v>
      </c>
      <c r="N4111" t="s">
        <v>22079</v>
      </c>
      <c r="O4111" t="s">
        <v>26524</v>
      </c>
      <c r="P4111" t="s">
        <v>26564</v>
      </c>
      <c r="Q4111" t="s">
        <v>26570</v>
      </c>
      <c r="R4111" t="s">
        <v>26578</v>
      </c>
      <c r="S4111" t="s">
        <v>18959</v>
      </c>
      <c r="U4111" t="s">
        <v>26604</v>
      </c>
      <c r="V4111" t="s">
        <v>26610</v>
      </c>
      <c r="W4111" t="s">
        <v>699</v>
      </c>
      <c r="X4111">
        <v>1534</v>
      </c>
      <c r="Y4111" t="s">
        <v>26653</v>
      </c>
      <c r="Z4111" t="s">
        <v>26664</v>
      </c>
      <c r="AA4111" t="s">
        <v>26683</v>
      </c>
      <c r="AB4111" t="s">
        <v>30141</v>
      </c>
      <c r="AC4111" t="s">
        <v>35714</v>
      </c>
      <c r="AD4111" t="s">
        <v>40278</v>
      </c>
      <c r="AE4111">
        <v>3</v>
      </c>
      <c r="AF4111" t="s">
        <v>45547</v>
      </c>
      <c r="AG4111" t="s">
        <v>45557</v>
      </c>
      <c r="AH4111">
        <v>1</v>
      </c>
      <c r="AI4111">
        <v>2</v>
      </c>
      <c r="AJ4111">
        <v>1</v>
      </c>
      <c r="AK4111">
        <v>171.32</v>
      </c>
      <c r="AN4111" t="s">
        <v>45581</v>
      </c>
      <c r="AO4111">
        <v>35600</v>
      </c>
      <c r="AU4111">
        <v>1.94</v>
      </c>
      <c r="AV4111" t="s">
        <v>712</v>
      </c>
      <c r="AW4111" t="s">
        <v>214</v>
      </c>
    </row>
    <row r="4112" spans="1:50">
      <c r="A4112" s="1">
        <f>HYPERLINK("https://lsnyc.legalserver.org/matter/dynamic-profile/view/1886530","18-1886530")</f>
        <v>0</v>
      </c>
      <c r="B4112" t="s">
        <v>51</v>
      </c>
      <c r="C4112" t="s">
        <v>341</v>
      </c>
      <c r="D4112" t="s">
        <v>699</v>
      </c>
      <c r="E4112" t="s">
        <v>800</v>
      </c>
      <c r="F4112" t="s">
        <v>2932</v>
      </c>
      <c r="G4112" t="s">
        <v>5199</v>
      </c>
      <c r="H4112" t="s">
        <v>10321</v>
      </c>
      <c r="I4112">
        <v>12</v>
      </c>
      <c r="J4112" t="s">
        <v>18892</v>
      </c>
      <c r="K4112">
        <v>10458</v>
      </c>
      <c r="L4112" t="s">
        <v>18958</v>
      </c>
      <c r="M4112" t="s">
        <v>18958</v>
      </c>
      <c r="N4112" t="s">
        <v>22080</v>
      </c>
      <c r="O4112" t="s">
        <v>26523</v>
      </c>
      <c r="P4112" t="s">
        <v>26560</v>
      </c>
      <c r="Q4112" t="s">
        <v>26568</v>
      </c>
      <c r="R4112" t="s">
        <v>26577</v>
      </c>
      <c r="U4112" t="s">
        <v>26604</v>
      </c>
      <c r="V4112" t="s">
        <v>26612</v>
      </c>
      <c r="W4112" t="s">
        <v>699</v>
      </c>
      <c r="X4112">
        <v>1215</v>
      </c>
      <c r="Y4112" t="s">
        <v>26650</v>
      </c>
      <c r="Z4112" t="s">
        <v>26666</v>
      </c>
      <c r="AA4112" t="s">
        <v>26678</v>
      </c>
      <c r="AB4112" t="s">
        <v>30142</v>
      </c>
      <c r="AD4112" t="s">
        <v>40279</v>
      </c>
      <c r="AE4112">
        <v>0</v>
      </c>
      <c r="AF4112" t="s">
        <v>45541</v>
      </c>
      <c r="AG4112" t="s">
        <v>19330</v>
      </c>
      <c r="AH4112">
        <v>5</v>
      </c>
      <c r="AI4112">
        <v>4</v>
      </c>
      <c r="AJ4112">
        <v>1</v>
      </c>
      <c r="AK4112">
        <v>169.95</v>
      </c>
      <c r="AN4112" t="s">
        <v>45581</v>
      </c>
      <c r="AO4112">
        <v>50000</v>
      </c>
      <c r="AQ4112" t="s">
        <v>46365</v>
      </c>
      <c r="AR4112" t="s">
        <v>46379</v>
      </c>
      <c r="AS4112" t="s">
        <v>46499</v>
      </c>
      <c r="AT4112" t="s">
        <v>46645</v>
      </c>
      <c r="AU4112">
        <v>7.85</v>
      </c>
      <c r="AV4112" t="s">
        <v>795</v>
      </c>
      <c r="AW4112" t="s">
        <v>334</v>
      </c>
    </row>
    <row r="4113" spans="1:50">
      <c r="A4113" s="1">
        <f>HYPERLINK("https://lsnyc.legalserver.org/matter/dynamic-profile/view/1875900","18-1875900")</f>
        <v>0</v>
      </c>
      <c r="B4113" t="s">
        <v>197</v>
      </c>
      <c r="C4113" t="s">
        <v>340</v>
      </c>
      <c r="D4113" t="s">
        <v>699</v>
      </c>
      <c r="F4113" t="s">
        <v>2933</v>
      </c>
      <c r="G4113" t="s">
        <v>7184</v>
      </c>
      <c r="H4113" t="s">
        <v>12860</v>
      </c>
      <c r="I4113" t="s">
        <v>17332</v>
      </c>
      <c r="J4113" t="s">
        <v>18894</v>
      </c>
      <c r="K4113">
        <v>11237</v>
      </c>
      <c r="L4113" t="s">
        <v>18958</v>
      </c>
      <c r="M4113" t="s">
        <v>18958</v>
      </c>
      <c r="O4113" t="s">
        <v>26523</v>
      </c>
      <c r="R4113" t="s">
        <v>26578</v>
      </c>
      <c r="S4113" t="s">
        <v>18959</v>
      </c>
      <c r="U4113" t="s">
        <v>26604</v>
      </c>
      <c r="W4113" t="s">
        <v>699</v>
      </c>
      <c r="X4113">
        <v>0</v>
      </c>
      <c r="Y4113" t="s">
        <v>26652</v>
      </c>
      <c r="AB4113" t="s">
        <v>30143</v>
      </c>
      <c r="AE4113">
        <v>0</v>
      </c>
      <c r="AH4113">
        <v>0</v>
      </c>
      <c r="AI4113">
        <v>5</v>
      </c>
      <c r="AJ4113">
        <v>0</v>
      </c>
      <c r="AK4113">
        <v>75.12</v>
      </c>
      <c r="AN4113" t="s">
        <v>7439</v>
      </c>
      <c r="AO4113">
        <v>22100</v>
      </c>
      <c r="AP4113" t="s">
        <v>45811</v>
      </c>
      <c r="AU4113">
        <v>13</v>
      </c>
      <c r="AV4113" t="s">
        <v>639</v>
      </c>
      <c r="AW4113" t="s">
        <v>198</v>
      </c>
    </row>
    <row r="4114" spans="1:50">
      <c r="A4114" s="1">
        <f>HYPERLINK("https://lsnyc.legalserver.org/matter/dynamic-profile/view/1886575","18-1886575")</f>
        <v>0</v>
      </c>
      <c r="B4114" t="s">
        <v>97</v>
      </c>
      <c r="C4114" t="s">
        <v>340</v>
      </c>
      <c r="D4114" t="s">
        <v>699</v>
      </c>
      <c r="F4114" t="s">
        <v>2934</v>
      </c>
      <c r="G4114" t="s">
        <v>7185</v>
      </c>
      <c r="H4114" t="s">
        <v>12861</v>
      </c>
      <c r="I4114" t="s">
        <v>17344</v>
      </c>
      <c r="J4114" t="s">
        <v>18892</v>
      </c>
      <c r="K4114">
        <v>10457</v>
      </c>
      <c r="L4114" t="s">
        <v>18958</v>
      </c>
      <c r="M4114" t="s">
        <v>18958</v>
      </c>
      <c r="N4114" t="s">
        <v>22081</v>
      </c>
      <c r="O4114" t="s">
        <v>26523</v>
      </c>
      <c r="P4114" t="s">
        <v>26560</v>
      </c>
      <c r="R4114" t="s">
        <v>26579</v>
      </c>
      <c r="U4114" t="s">
        <v>26604</v>
      </c>
      <c r="W4114" t="s">
        <v>699</v>
      </c>
      <c r="X4114">
        <v>1150</v>
      </c>
      <c r="Y4114" t="s">
        <v>26650</v>
      </c>
      <c r="Z4114" t="s">
        <v>26664</v>
      </c>
      <c r="AB4114" t="s">
        <v>30144</v>
      </c>
      <c r="AC4114" t="s">
        <v>35715</v>
      </c>
      <c r="AD4114" t="s">
        <v>40280</v>
      </c>
      <c r="AE4114">
        <v>45</v>
      </c>
      <c r="AF4114" t="s">
        <v>45541</v>
      </c>
      <c r="AG4114" t="s">
        <v>45556</v>
      </c>
      <c r="AH4114">
        <v>2</v>
      </c>
      <c r="AI4114">
        <v>1</v>
      </c>
      <c r="AJ4114">
        <v>0</v>
      </c>
      <c r="AK4114">
        <v>21.75</v>
      </c>
      <c r="AN4114" t="s">
        <v>7439</v>
      </c>
      <c r="AO4114">
        <v>2640</v>
      </c>
      <c r="AU4114">
        <v>14.05</v>
      </c>
      <c r="AV4114" t="s">
        <v>768</v>
      </c>
      <c r="AW4114" t="s">
        <v>46836</v>
      </c>
    </row>
    <row r="4115" spans="1:50">
      <c r="A4115" s="1">
        <f>HYPERLINK("https://lsnyc.legalserver.org/matter/dynamic-profile/view/1886535","18-1886535")</f>
        <v>0</v>
      </c>
      <c r="B4115" t="s">
        <v>97</v>
      </c>
      <c r="C4115" t="s">
        <v>340</v>
      </c>
      <c r="D4115" t="s">
        <v>699</v>
      </c>
      <c r="F4115" t="s">
        <v>1637</v>
      </c>
      <c r="G4115" t="s">
        <v>7186</v>
      </c>
      <c r="H4115" t="s">
        <v>12862</v>
      </c>
      <c r="I4115" t="s">
        <v>17333</v>
      </c>
      <c r="J4115" t="s">
        <v>18892</v>
      </c>
      <c r="K4115">
        <v>10467</v>
      </c>
      <c r="L4115" t="s">
        <v>18958</v>
      </c>
      <c r="M4115" t="s">
        <v>18958</v>
      </c>
      <c r="N4115" t="s">
        <v>22082</v>
      </c>
      <c r="O4115" t="s">
        <v>26523</v>
      </c>
      <c r="P4115" t="s">
        <v>26560</v>
      </c>
      <c r="R4115" t="s">
        <v>26579</v>
      </c>
      <c r="U4115" t="s">
        <v>26604</v>
      </c>
      <c r="V4115" t="s">
        <v>26610</v>
      </c>
      <c r="W4115" t="s">
        <v>699</v>
      </c>
      <c r="X4115">
        <v>1268</v>
      </c>
      <c r="Y4115" t="s">
        <v>26650</v>
      </c>
      <c r="Z4115" t="s">
        <v>26668</v>
      </c>
      <c r="AB4115" t="s">
        <v>30145</v>
      </c>
      <c r="AC4115" t="s">
        <v>35716</v>
      </c>
      <c r="AE4115">
        <v>3</v>
      </c>
      <c r="AG4115" t="s">
        <v>45558</v>
      </c>
      <c r="AH4115">
        <v>1</v>
      </c>
      <c r="AI4115">
        <v>1</v>
      </c>
      <c r="AJ4115">
        <v>3</v>
      </c>
      <c r="AK4115">
        <v>27.44</v>
      </c>
      <c r="AN4115" t="s">
        <v>7439</v>
      </c>
      <c r="AO4115">
        <v>6888</v>
      </c>
      <c r="AU4115">
        <v>22.05</v>
      </c>
      <c r="AV4115" t="s">
        <v>836</v>
      </c>
      <c r="AW4115" t="s">
        <v>46836</v>
      </c>
    </row>
    <row r="4116" spans="1:50">
      <c r="A4116" s="1">
        <f>HYPERLINK("https://lsnyc.legalserver.org/matter/dynamic-profile/view/1886537","18-1886537")</f>
        <v>0</v>
      </c>
      <c r="B4116" t="s">
        <v>97</v>
      </c>
      <c r="C4116" t="s">
        <v>340</v>
      </c>
      <c r="D4116" t="s">
        <v>699</v>
      </c>
      <c r="F4116" t="s">
        <v>2935</v>
      </c>
      <c r="G4116" t="s">
        <v>3138</v>
      </c>
      <c r="H4116" t="s">
        <v>12863</v>
      </c>
      <c r="I4116" t="s">
        <v>17388</v>
      </c>
      <c r="J4116" t="s">
        <v>18892</v>
      </c>
      <c r="K4116">
        <v>10457</v>
      </c>
      <c r="L4116" t="s">
        <v>18958</v>
      </c>
      <c r="M4116" t="s">
        <v>18958</v>
      </c>
      <c r="N4116" t="s">
        <v>22083</v>
      </c>
      <c r="O4116" t="s">
        <v>26523</v>
      </c>
      <c r="P4116" t="s">
        <v>26560</v>
      </c>
      <c r="R4116" t="s">
        <v>26579</v>
      </c>
      <c r="U4116" t="s">
        <v>26604</v>
      </c>
      <c r="V4116" t="s">
        <v>26610</v>
      </c>
      <c r="W4116" t="s">
        <v>699</v>
      </c>
      <c r="X4116">
        <v>1450</v>
      </c>
      <c r="Y4116" t="s">
        <v>26650</v>
      </c>
      <c r="Z4116" t="s">
        <v>26664</v>
      </c>
      <c r="AB4116" t="s">
        <v>30146</v>
      </c>
      <c r="AD4116" t="s">
        <v>40281</v>
      </c>
      <c r="AE4116">
        <v>75</v>
      </c>
      <c r="AF4116" t="s">
        <v>45541</v>
      </c>
      <c r="AH4116">
        <v>1</v>
      </c>
      <c r="AI4116">
        <v>1</v>
      </c>
      <c r="AJ4116">
        <v>2</v>
      </c>
      <c r="AK4116">
        <v>108.28</v>
      </c>
      <c r="AN4116" t="s">
        <v>7439</v>
      </c>
      <c r="AO4116">
        <v>22500</v>
      </c>
      <c r="AU4116">
        <v>15.75</v>
      </c>
      <c r="AV4116" t="s">
        <v>833</v>
      </c>
      <c r="AW4116" t="s">
        <v>334</v>
      </c>
    </row>
    <row r="4117" spans="1:50">
      <c r="A4117" s="1">
        <f>HYPERLINK("https://lsnyc.legalserver.org/matter/dynamic-profile/view/1886587","18-1886587")</f>
        <v>0</v>
      </c>
      <c r="B4117" t="s">
        <v>258</v>
      </c>
      <c r="C4117" t="s">
        <v>340</v>
      </c>
      <c r="D4117" t="s">
        <v>699</v>
      </c>
      <c r="F4117" t="s">
        <v>2936</v>
      </c>
      <c r="G4117" t="s">
        <v>5300</v>
      </c>
      <c r="H4117" t="s">
        <v>12864</v>
      </c>
      <c r="I4117" t="s">
        <v>18055</v>
      </c>
      <c r="J4117" t="s">
        <v>18939</v>
      </c>
      <c r="K4117">
        <v>11423</v>
      </c>
      <c r="L4117" t="s">
        <v>18958</v>
      </c>
      <c r="M4117" t="s">
        <v>18958</v>
      </c>
      <c r="N4117" t="s">
        <v>22084</v>
      </c>
      <c r="O4117" t="s">
        <v>26523</v>
      </c>
      <c r="P4117" t="s">
        <v>26564</v>
      </c>
      <c r="R4117" t="s">
        <v>26591</v>
      </c>
      <c r="U4117" t="s">
        <v>26604</v>
      </c>
      <c r="V4117" t="s">
        <v>26609</v>
      </c>
      <c r="W4117" t="s">
        <v>699</v>
      </c>
      <c r="X4117">
        <v>1328.73</v>
      </c>
      <c r="Y4117" t="s">
        <v>26653</v>
      </c>
      <c r="Z4117" t="s">
        <v>26664</v>
      </c>
      <c r="AB4117" t="s">
        <v>30147</v>
      </c>
      <c r="AD4117" t="s">
        <v>40282</v>
      </c>
      <c r="AE4117">
        <v>0</v>
      </c>
      <c r="AG4117" t="s">
        <v>45558</v>
      </c>
      <c r="AH4117">
        <v>0</v>
      </c>
      <c r="AI4117">
        <v>3</v>
      </c>
      <c r="AJ4117">
        <v>5</v>
      </c>
      <c r="AK4117">
        <v>14.72</v>
      </c>
      <c r="AN4117" t="s">
        <v>7439</v>
      </c>
      <c r="AO4117">
        <v>6240</v>
      </c>
      <c r="AU4117">
        <v>8.800000000000001</v>
      </c>
      <c r="AV4117" t="s">
        <v>814</v>
      </c>
      <c r="AW4117" t="s">
        <v>258</v>
      </c>
    </row>
    <row r="4118" spans="1:50">
      <c r="A4118" s="1">
        <f>HYPERLINK("https://lsnyc.legalserver.org/matter/dynamic-profile/view/1886620","18-1886620")</f>
        <v>0</v>
      </c>
      <c r="B4118" t="s">
        <v>212</v>
      </c>
      <c r="C4118" t="s">
        <v>340</v>
      </c>
      <c r="D4118" t="s">
        <v>699</v>
      </c>
      <c r="F4118" t="s">
        <v>1283</v>
      </c>
      <c r="G4118" t="s">
        <v>7187</v>
      </c>
      <c r="H4118" t="s">
        <v>12865</v>
      </c>
      <c r="I4118" t="s">
        <v>17468</v>
      </c>
      <c r="J4118" t="s">
        <v>18915</v>
      </c>
      <c r="K4118">
        <v>11372</v>
      </c>
      <c r="L4118" t="s">
        <v>18958</v>
      </c>
      <c r="M4118" t="s">
        <v>18958</v>
      </c>
      <c r="N4118" t="s">
        <v>22085</v>
      </c>
      <c r="O4118" t="s">
        <v>26524</v>
      </c>
      <c r="P4118" t="s">
        <v>26560</v>
      </c>
      <c r="R4118" t="s">
        <v>26584</v>
      </c>
      <c r="S4118" t="s">
        <v>18959</v>
      </c>
      <c r="U4118" t="s">
        <v>26604</v>
      </c>
      <c r="V4118" t="s">
        <v>26610</v>
      </c>
      <c r="W4118" t="s">
        <v>699</v>
      </c>
      <c r="X4118">
        <v>1168</v>
      </c>
      <c r="Y4118" t="s">
        <v>26653</v>
      </c>
      <c r="Z4118" t="s">
        <v>26664</v>
      </c>
      <c r="AB4118" t="s">
        <v>30148</v>
      </c>
      <c r="AD4118" t="s">
        <v>40283</v>
      </c>
      <c r="AE4118">
        <v>20</v>
      </c>
      <c r="AF4118" t="s">
        <v>45541</v>
      </c>
      <c r="AG4118" t="s">
        <v>19330</v>
      </c>
      <c r="AH4118">
        <v>24</v>
      </c>
      <c r="AI4118">
        <v>4</v>
      </c>
      <c r="AJ4118">
        <v>0</v>
      </c>
      <c r="AK4118">
        <v>0</v>
      </c>
      <c r="AN4118" t="s">
        <v>7439</v>
      </c>
      <c r="AO4118">
        <v>0</v>
      </c>
      <c r="AU4118">
        <v>4.25</v>
      </c>
      <c r="AV4118" t="s">
        <v>695</v>
      </c>
      <c r="AW4118" t="s">
        <v>141</v>
      </c>
    </row>
    <row r="4119" spans="1:50">
      <c r="A4119" s="1">
        <f>HYPERLINK("https://lsnyc.legalserver.org/matter/dynamic-profile/view/1886544","18-1886544")</f>
        <v>0</v>
      </c>
      <c r="B4119" t="s">
        <v>212</v>
      </c>
      <c r="C4119" t="s">
        <v>340</v>
      </c>
      <c r="D4119" t="s">
        <v>699</v>
      </c>
      <c r="F4119" t="s">
        <v>2937</v>
      </c>
      <c r="G4119" t="s">
        <v>7188</v>
      </c>
      <c r="H4119" t="s">
        <v>12866</v>
      </c>
      <c r="I4119" t="s">
        <v>17375</v>
      </c>
      <c r="J4119" t="s">
        <v>18929</v>
      </c>
      <c r="K4119">
        <v>11379</v>
      </c>
      <c r="L4119" t="s">
        <v>18958</v>
      </c>
      <c r="M4119" t="s">
        <v>18958</v>
      </c>
      <c r="N4119" t="s">
        <v>22086</v>
      </c>
      <c r="O4119" t="s">
        <v>26524</v>
      </c>
      <c r="P4119" t="s">
        <v>26565</v>
      </c>
      <c r="R4119" t="s">
        <v>26584</v>
      </c>
      <c r="S4119" t="s">
        <v>18959</v>
      </c>
      <c r="U4119" t="s">
        <v>26604</v>
      </c>
      <c r="V4119" t="s">
        <v>26610</v>
      </c>
      <c r="W4119" t="s">
        <v>699</v>
      </c>
      <c r="X4119">
        <v>1550</v>
      </c>
      <c r="Y4119" t="s">
        <v>26653</v>
      </c>
      <c r="Z4119" t="s">
        <v>26664</v>
      </c>
      <c r="AB4119" t="s">
        <v>30149</v>
      </c>
      <c r="AD4119" t="s">
        <v>40284</v>
      </c>
      <c r="AE4119">
        <v>0</v>
      </c>
      <c r="AF4119" t="s">
        <v>20460</v>
      </c>
      <c r="AG4119" t="s">
        <v>19330</v>
      </c>
      <c r="AH4119">
        <v>15</v>
      </c>
      <c r="AI4119">
        <v>3</v>
      </c>
      <c r="AJ4119">
        <v>1</v>
      </c>
      <c r="AK4119">
        <v>87.01000000000001</v>
      </c>
      <c r="AN4119" t="s">
        <v>7439</v>
      </c>
      <c r="AO4119">
        <v>21840</v>
      </c>
      <c r="AU4119">
        <v>1.2</v>
      </c>
      <c r="AV4119" t="s">
        <v>494</v>
      </c>
      <c r="AW4119" t="s">
        <v>208</v>
      </c>
    </row>
    <row r="4120" spans="1:50">
      <c r="A4120" s="1">
        <f>HYPERLINK("https://lsnyc.legalserver.org/matter/dynamic-profile/view/1886576","18-1886576")</f>
        <v>0</v>
      </c>
      <c r="B4120" t="s">
        <v>212</v>
      </c>
      <c r="C4120" t="s">
        <v>340</v>
      </c>
      <c r="D4120" t="s">
        <v>699</v>
      </c>
      <c r="F4120" t="s">
        <v>2938</v>
      </c>
      <c r="G4120" t="s">
        <v>7189</v>
      </c>
      <c r="H4120" t="s">
        <v>12867</v>
      </c>
      <c r="I4120" t="s">
        <v>17300</v>
      </c>
      <c r="J4120" t="s">
        <v>18916</v>
      </c>
      <c r="K4120">
        <v>11693</v>
      </c>
      <c r="L4120" t="s">
        <v>18958</v>
      </c>
      <c r="M4120" t="s">
        <v>18958</v>
      </c>
      <c r="N4120" t="s">
        <v>22087</v>
      </c>
      <c r="O4120" t="s">
        <v>26524</v>
      </c>
      <c r="P4120" t="s">
        <v>26565</v>
      </c>
      <c r="R4120" t="s">
        <v>26584</v>
      </c>
      <c r="S4120" t="s">
        <v>18959</v>
      </c>
      <c r="U4120" t="s">
        <v>26604</v>
      </c>
      <c r="V4120" t="s">
        <v>26610</v>
      </c>
      <c r="W4120" t="s">
        <v>699</v>
      </c>
      <c r="X4120">
        <v>1650</v>
      </c>
      <c r="Y4120" t="s">
        <v>26653</v>
      </c>
      <c r="Z4120" t="s">
        <v>26664</v>
      </c>
      <c r="AB4120" t="s">
        <v>30150</v>
      </c>
      <c r="AD4120" t="s">
        <v>40285</v>
      </c>
      <c r="AE4120">
        <v>3</v>
      </c>
      <c r="AF4120" t="s">
        <v>45547</v>
      </c>
      <c r="AG4120" t="s">
        <v>45556</v>
      </c>
      <c r="AH4120">
        <v>9</v>
      </c>
      <c r="AI4120">
        <v>3</v>
      </c>
      <c r="AJ4120">
        <v>0</v>
      </c>
      <c r="AK4120">
        <v>197.31</v>
      </c>
      <c r="AN4120" t="s">
        <v>7439</v>
      </c>
      <c r="AO4120">
        <v>41000</v>
      </c>
      <c r="AU4120">
        <v>0.9</v>
      </c>
      <c r="AV4120" t="s">
        <v>494</v>
      </c>
      <c r="AW4120" t="s">
        <v>208</v>
      </c>
    </row>
    <row r="4121" spans="1:50">
      <c r="A4121" s="1">
        <f>HYPERLINK("https://lsnyc.legalserver.org/matter/dynamic-profile/view/1886554","18-1886554")</f>
        <v>0</v>
      </c>
      <c r="B4121" t="s">
        <v>65</v>
      </c>
      <c r="C4121" t="s">
        <v>340</v>
      </c>
      <c r="D4121" t="s">
        <v>699</v>
      </c>
      <c r="F4121" t="s">
        <v>1136</v>
      </c>
      <c r="G4121" t="s">
        <v>7190</v>
      </c>
      <c r="H4121" t="s">
        <v>12868</v>
      </c>
      <c r="I4121" t="s">
        <v>17277</v>
      </c>
      <c r="J4121" t="s">
        <v>18892</v>
      </c>
      <c r="K4121">
        <v>10460</v>
      </c>
      <c r="L4121" t="s">
        <v>18958</v>
      </c>
      <c r="M4121" t="s">
        <v>18958</v>
      </c>
      <c r="N4121" t="s">
        <v>22088</v>
      </c>
      <c r="O4121" t="s">
        <v>26523</v>
      </c>
      <c r="P4121" t="s">
        <v>26560</v>
      </c>
      <c r="R4121" t="s">
        <v>26577</v>
      </c>
      <c r="U4121" t="s">
        <v>26604</v>
      </c>
      <c r="V4121" t="s">
        <v>26612</v>
      </c>
      <c r="W4121" t="s">
        <v>699</v>
      </c>
      <c r="X4121">
        <v>1533.93</v>
      </c>
      <c r="Y4121" t="s">
        <v>26650</v>
      </c>
      <c r="Z4121" t="s">
        <v>26668</v>
      </c>
      <c r="AB4121" t="s">
        <v>30151</v>
      </c>
      <c r="AC4121" t="s">
        <v>35717</v>
      </c>
      <c r="AD4121" t="s">
        <v>40286</v>
      </c>
      <c r="AE4121">
        <v>21</v>
      </c>
      <c r="AF4121" t="s">
        <v>45541</v>
      </c>
      <c r="AG4121" t="s">
        <v>45562</v>
      </c>
      <c r="AH4121">
        <v>3</v>
      </c>
      <c r="AI4121">
        <v>1</v>
      </c>
      <c r="AJ4121">
        <v>3</v>
      </c>
      <c r="AK4121">
        <v>87.06</v>
      </c>
      <c r="AN4121" t="s">
        <v>7439</v>
      </c>
      <c r="AO4121">
        <v>21852</v>
      </c>
      <c r="AU4121">
        <v>19.55</v>
      </c>
      <c r="AV4121" t="s">
        <v>831</v>
      </c>
      <c r="AW4121" t="s">
        <v>334</v>
      </c>
    </row>
    <row r="4122" spans="1:50">
      <c r="A4122" s="1">
        <f>HYPERLINK("https://lsnyc.legalserver.org/matter/dynamic-profile/view/1886628","18-1886628")</f>
        <v>0</v>
      </c>
      <c r="B4122" t="s">
        <v>54</v>
      </c>
      <c r="C4122" t="s">
        <v>340</v>
      </c>
      <c r="D4122" t="s">
        <v>699</v>
      </c>
      <c r="F4122" t="s">
        <v>2939</v>
      </c>
      <c r="G4122" t="s">
        <v>2795</v>
      </c>
      <c r="H4122" t="s">
        <v>12869</v>
      </c>
      <c r="I4122" t="s">
        <v>17352</v>
      </c>
      <c r="J4122" t="s">
        <v>18895</v>
      </c>
      <c r="K4122">
        <v>10462</v>
      </c>
      <c r="L4122" t="s">
        <v>18958</v>
      </c>
      <c r="M4122" t="s">
        <v>18958</v>
      </c>
      <c r="N4122" t="s">
        <v>22089</v>
      </c>
      <c r="O4122" t="s">
        <v>26524</v>
      </c>
      <c r="P4122" t="s">
        <v>26560</v>
      </c>
      <c r="R4122" t="s">
        <v>26579</v>
      </c>
      <c r="S4122" t="s">
        <v>18959</v>
      </c>
      <c r="U4122" t="s">
        <v>26604</v>
      </c>
      <c r="V4122" t="s">
        <v>26610</v>
      </c>
      <c r="W4122" t="s">
        <v>699</v>
      </c>
      <c r="X4122">
        <v>1206</v>
      </c>
      <c r="Y4122" t="s">
        <v>26650</v>
      </c>
      <c r="Z4122" t="s">
        <v>26659</v>
      </c>
      <c r="AB4122" t="s">
        <v>29066</v>
      </c>
      <c r="AC4122" t="s">
        <v>35718</v>
      </c>
      <c r="AD4122" t="s">
        <v>40287</v>
      </c>
      <c r="AE4122">
        <v>40</v>
      </c>
      <c r="AF4122" t="s">
        <v>45541</v>
      </c>
      <c r="AG4122" t="s">
        <v>45556</v>
      </c>
      <c r="AH4122">
        <v>18</v>
      </c>
      <c r="AI4122">
        <v>1</v>
      </c>
      <c r="AJ4122">
        <v>0</v>
      </c>
      <c r="AK4122">
        <v>0</v>
      </c>
      <c r="AN4122" t="s">
        <v>7439</v>
      </c>
      <c r="AO4122">
        <v>0</v>
      </c>
      <c r="AU4122">
        <v>20.4</v>
      </c>
      <c r="AV4122" t="s">
        <v>808</v>
      </c>
      <c r="AW4122" t="s">
        <v>46832</v>
      </c>
    </row>
    <row r="4123" spans="1:50">
      <c r="A4123" s="1">
        <f>HYPERLINK("https://lsnyc.legalserver.org/matter/dynamic-profile/view/1886560","18-1886560")</f>
        <v>0</v>
      </c>
      <c r="B4123" t="s">
        <v>51</v>
      </c>
      <c r="C4123" t="s">
        <v>340</v>
      </c>
      <c r="D4123" t="s">
        <v>699</v>
      </c>
      <c r="F4123" t="s">
        <v>1548</v>
      </c>
      <c r="G4123" t="s">
        <v>5147</v>
      </c>
      <c r="H4123" t="s">
        <v>12870</v>
      </c>
      <c r="I4123" t="s">
        <v>17436</v>
      </c>
      <c r="J4123" t="s">
        <v>18892</v>
      </c>
      <c r="K4123">
        <v>10458</v>
      </c>
      <c r="L4123" t="s">
        <v>18958</v>
      </c>
      <c r="M4123" t="s">
        <v>18958</v>
      </c>
      <c r="N4123" t="s">
        <v>22090</v>
      </c>
      <c r="O4123" t="s">
        <v>26523</v>
      </c>
      <c r="P4123" t="s">
        <v>26560</v>
      </c>
      <c r="R4123" t="s">
        <v>26577</v>
      </c>
      <c r="S4123" t="s">
        <v>18959</v>
      </c>
      <c r="U4123" t="s">
        <v>26604</v>
      </c>
      <c r="V4123" t="s">
        <v>26613</v>
      </c>
      <c r="W4123" t="s">
        <v>699</v>
      </c>
      <c r="X4123">
        <v>1326</v>
      </c>
      <c r="Y4123" t="s">
        <v>26650</v>
      </c>
      <c r="Z4123" t="s">
        <v>26668</v>
      </c>
      <c r="AB4123" t="s">
        <v>27254</v>
      </c>
      <c r="AC4123" t="s">
        <v>35719</v>
      </c>
      <c r="AD4123" t="s">
        <v>40288</v>
      </c>
      <c r="AE4123">
        <v>23</v>
      </c>
      <c r="AF4123" t="s">
        <v>45541</v>
      </c>
      <c r="AG4123" t="s">
        <v>19330</v>
      </c>
      <c r="AH4123">
        <v>3</v>
      </c>
      <c r="AI4123">
        <v>1</v>
      </c>
      <c r="AJ4123">
        <v>4</v>
      </c>
      <c r="AK4123">
        <v>48.95</v>
      </c>
      <c r="AN4123" t="s">
        <v>7439</v>
      </c>
      <c r="AO4123">
        <v>14400</v>
      </c>
      <c r="AQ4123" t="s">
        <v>46361</v>
      </c>
      <c r="AR4123" t="s">
        <v>46424</v>
      </c>
      <c r="AS4123" t="s">
        <v>46499</v>
      </c>
      <c r="AT4123" t="s">
        <v>46646</v>
      </c>
      <c r="AU4123">
        <v>28.75</v>
      </c>
      <c r="AV4123" t="s">
        <v>828</v>
      </c>
      <c r="AW4123" t="s">
        <v>336</v>
      </c>
    </row>
    <row r="4124" spans="1:50">
      <c r="A4124" s="1">
        <f>HYPERLINK("https://lsnyc.legalserver.org/matter/dynamic-profile/view/1886582","18-1886582")</f>
        <v>0</v>
      </c>
      <c r="B4124" t="s">
        <v>177</v>
      </c>
      <c r="C4124" t="s">
        <v>340</v>
      </c>
      <c r="D4124" t="s">
        <v>699</v>
      </c>
      <c r="F4124" t="s">
        <v>1904</v>
      </c>
      <c r="G4124" t="s">
        <v>1031</v>
      </c>
      <c r="H4124" t="s">
        <v>12871</v>
      </c>
      <c r="I4124" t="s">
        <v>17307</v>
      </c>
      <c r="J4124" t="s">
        <v>18892</v>
      </c>
      <c r="K4124">
        <v>10458</v>
      </c>
      <c r="L4124" t="s">
        <v>18958</v>
      </c>
      <c r="M4124" t="s">
        <v>18958</v>
      </c>
      <c r="N4124" t="s">
        <v>22091</v>
      </c>
      <c r="O4124" t="s">
        <v>26523</v>
      </c>
      <c r="P4124" t="s">
        <v>26560</v>
      </c>
      <c r="R4124" t="s">
        <v>26578</v>
      </c>
      <c r="U4124" t="s">
        <v>26604</v>
      </c>
      <c r="V4124" t="s">
        <v>26610</v>
      </c>
      <c r="W4124" t="s">
        <v>699</v>
      </c>
      <c r="X4124">
        <v>972</v>
      </c>
      <c r="Y4124" t="s">
        <v>26650</v>
      </c>
      <c r="Z4124" t="s">
        <v>26668</v>
      </c>
      <c r="AB4124" t="s">
        <v>30152</v>
      </c>
      <c r="AD4124" t="s">
        <v>40289</v>
      </c>
      <c r="AE4124">
        <v>0</v>
      </c>
      <c r="AF4124" t="s">
        <v>45541</v>
      </c>
      <c r="AG4124" t="s">
        <v>45558</v>
      </c>
      <c r="AH4124">
        <v>30</v>
      </c>
      <c r="AI4124">
        <v>1</v>
      </c>
      <c r="AJ4124">
        <v>1</v>
      </c>
      <c r="AK4124">
        <v>0</v>
      </c>
      <c r="AN4124" t="s">
        <v>7439</v>
      </c>
      <c r="AO4124">
        <v>0</v>
      </c>
      <c r="AU4124">
        <v>43.8</v>
      </c>
      <c r="AV4124" t="s">
        <v>834</v>
      </c>
      <c r="AW4124" t="s">
        <v>334</v>
      </c>
    </row>
    <row r="4125" spans="1:50">
      <c r="A4125" s="1">
        <f>HYPERLINK("https://lsnyc.legalserver.org/matter/dynamic-profile/view/1886690","18-1886690")</f>
        <v>0</v>
      </c>
      <c r="B4125" t="s">
        <v>127</v>
      </c>
      <c r="C4125" t="s">
        <v>341</v>
      </c>
      <c r="D4125" t="s">
        <v>712</v>
      </c>
      <c r="E4125" t="s">
        <v>786</v>
      </c>
      <c r="F4125" t="s">
        <v>1072</v>
      </c>
      <c r="G4125" t="s">
        <v>5693</v>
      </c>
      <c r="H4125" t="s">
        <v>12872</v>
      </c>
      <c r="I4125" t="s">
        <v>17299</v>
      </c>
      <c r="J4125" t="s">
        <v>18894</v>
      </c>
      <c r="K4125">
        <v>11233</v>
      </c>
      <c r="L4125" t="s">
        <v>18958</v>
      </c>
      <c r="M4125" t="s">
        <v>18958</v>
      </c>
      <c r="N4125" t="s">
        <v>22092</v>
      </c>
      <c r="O4125" t="s">
        <v>26523</v>
      </c>
      <c r="P4125" t="s">
        <v>26560</v>
      </c>
      <c r="Q4125" t="s">
        <v>26568</v>
      </c>
      <c r="R4125" t="s">
        <v>26578</v>
      </c>
      <c r="S4125" t="s">
        <v>18959</v>
      </c>
      <c r="U4125" t="s">
        <v>26604</v>
      </c>
      <c r="W4125" t="s">
        <v>699</v>
      </c>
      <c r="X4125">
        <v>1950</v>
      </c>
      <c r="Y4125" t="s">
        <v>26652</v>
      </c>
      <c r="Z4125" t="s">
        <v>26668</v>
      </c>
      <c r="AA4125" t="s">
        <v>26678</v>
      </c>
      <c r="AB4125" t="s">
        <v>30153</v>
      </c>
      <c r="AD4125" t="s">
        <v>40290</v>
      </c>
      <c r="AE4125">
        <v>4</v>
      </c>
      <c r="AF4125" t="s">
        <v>45547</v>
      </c>
      <c r="AG4125" t="s">
        <v>19330</v>
      </c>
      <c r="AH4125">
        <v>0</v>
      </c>
      <c r="AI4125">
        <v>1</v>
      </c>
      <c r="AJ4125">
        <v>0</v>
      </c>
      <c r="AK4125">
        <v>125.93</v>
      </c>
      <c r="AN4125" t="s">
        <v>7439</v>
      </c>
      <c r="AO4125">
        <v>15288</v>
      </c>
      <c r="AU4125">
        <v>7.5</v>
      </c>
      <c r="AV4125" t="s">
        <v>731</v>
      </c>
      <c r="AW4125" t="s">
        <v>286</v>
      </c>
    </row>
    <row r="4126" spans="1:50">
      <c r="A4126" s="1">
        <f>HYPERLINK("https://lsnyc.legalserver.org/matter/dynamic-profile/view/1886661","18-1886661")</f>
        <v>0</v>
      </c>
      <c r="B4126" t="s">
        <v>125</v>
      </c>
      <c r="C4126" t="s">
        <v>340</v>
      </c>
      <c r="D4126" t="s">
        <v>712</v>
      </c>
      <c r="F4126" t="s">
        <v>2940</v>
      </c>
      <c r="G4126" t="s">
        <v>5965</v>
      </c>
      <c r="H4126" t="s">
        <v>12873</v>
      </c>
      <c r="I4126">
        <v>2</v>
      </c>
      <c r="J4126" t="s">
        <v>18894</v>
      </c>
      <c r="K4126">
        <v>11207</v>
      </c>
      <c r="L4126" t="s">
        <v>18958</v>
      </c>
      <c r="M4126" t="s">
        <v>18958</v>
      </c>
      <c r="N4126" t="s">
        <v>22093</v>
      </c>
      <c r="O4126" t="s">
        <v>26523</v>
      </c>
      <c r="P4126" t="s">
        <v>26564</v>
      </c>
      <c r="R4126" t="s">
        <v>26578</v>
      </c>
      <c r="S4126" t="s">
        <v>18959</v>
      </c>
      <c r="U4126" t="s">
        <v>26604</v>
      </c>
      <c r="W4126" t="s">
        <v>699</v>
      </c>
      <c r="X4126">
        <v>850</v>
      </c>
      <c r="Y4126" t="s">
        <v>26652</v>
      </c>
      <c r="Z4126" t="s">
        <v>26668</v>
      </c>
      <c r="AB4126" t="s">
        <v>30154</v>
      </c>
      <c r="AD4126" t="s">
        <v>40291</v>
      </c>
      <c r="AE4126">
        <v>8</v>
      </c>
      <c r="AF4126" t="s">
        <v>45541</v>
      </c>
      <c r="AG4126" t="s">
        <v>19330</v>
      </c>
      <c r="AH4126">
        <v>0</v>
      </c>
      <c r="AI4126">
        <v>4</v>
      </c>
      <c r="AJ4126">
        <v>0</v>
      </c>
      <c r="AK4126">
        <v>53.04</v>
      </c>
      <c r="AN4126" t="s">
        <v>7439</v>
      </c>
      <c r="AO4126">
        <v>13312</v>
      </c>
      <c r="AU4126">
        <v>1.5</v>
      </c>
      <c r="AV4126" t="s">
        <v>704</v>
      </c>
      <c r="AW4126" t="s">
        <v>286</v>
      </c>
    </row>
    <row r="4127" spans="1:50">
      <c r="A4127" s="1">
        <f>HYPERLINK("https://lsnyc.legalserver.org/matter/dynamic-profile/view/1886881","19-1886881")</f>
        <v>0</v>
      </c>
      <c r="B4127" t="s">
        <v>55</v>
      </c>
      <c r="C4127" t="s">
        <v>340</v>
      </c>
      <c r="D4127" t="s">
        <v>713</v>
      </c>
      <c r="F4127" t="s">
        <v>916</v>
      </c>
      <c r="G4127" t="s">
        <v>5447</v>
      </c>
      <c r="H4127" t="s">
        <v>12874</v>
      </c>
      <c r="I4127" t="s">
        <v>17348</v>
      </c>
      <c r="J4127" t="s">
        <v>18892</v>
      </c>
      <c r="K4127">
        <v>10452</v>
      </c>
      <c r="L4127" t="s">
        <v>18958</v>
      </c>
      <c r="M4127" t="s">
        <v>18960</v>
      </c>
      <c r="N4127" t="s">
        <v>22094</v>
      </c>
      <c r="O4127" t="s">
        <v>26523</v>
      </c>
      <c r="P4127" t="s">
        <v>26560</v>
      </c>
      <c r="R4127" t="s">
        <v>26578</v>
      </c>
      <c r="S4127" t="s">
        <v>18959</v>
      </c>
      <c r="U4127" t="s">
        <v>26604</v>
      </c>
      <c r="W4127" t="s">
        <v>699</v>
      </c>
      <c r="X4127">
        <v>811.34</v>
      </c>
      <c r="Y4127" t="s">
        <v>26650</v>
      </c>
      <c r="Z4127" t="s">
        <v>26663</v>
      </c>
      <c r="AB4127" t="s">
        <v>30155</v>
      </c>
      <c r="AE4127">
        <v>33</v>
      </c>
      <c r="AF4127" t="s">
        <v>45541</v>
      </c>
      <c r="AG4127" t="s">
        <v>26530</v>
      </c>
      <c r="AH4127">
        <v>0</v>
      </c>
      <c r="AI4127">
        <v>1</v>
      </c>
      <c r="AJ4127">
        <v>2</v>
      </c>
      <c r="AK4127">
        <v>42.33</v>
      </c>
      <c r="AN4127" t="s">
        <v>45581</v>
      </c>
      <c r="AO4127">
        <v>8796</v>
      </c>
      <c r="AP4127" t="s">
        <v>45810</v>
      </c>
      <c r="AU4127">
        <v>1.65</v>
      </c>
      <c r="AV4127" t="s">
        <v>775</v>
      </c>
      <c r="AW4127" t="s">
        <v>261</v>
      </c>
      <c r="AX4127" t="s">
        <v>46897</v>
      </c>
    </row>
    <row r="4128" spans="1:50">
      <c r="A4128" s="1">
        <f>HYPERLINK("https://lsnyc.legalserver.org/matter/dynamic-profile/view/1886619","18-1886619")</f>
        <v>0</v>
      </c>
      <c r="B4128" t="s">
        <v>114</v>
      </c>
      <c r="C4128" t="s">
        <v>340</v>
      </c>
      <c r="D4128" t="s">
        <v>714</v>
      </c>
      <c r="F4128" t="s">
        <v>1415</v>
      </c>
      <c r="G4128" t="s">
        <v>5595</v>
      </c>
      <c r="H4128" t="s">
        <v>10307</v>
      </c>
      <c r="I4128" t="s">
        <v>17332</v>
      </c>
      <c r="J4128" t="s">
        <v>18918</v>
      </c>
      <c r="K4128">
        <v>11416</v>
      </c>
      <c r="L4128" t="s">
        <v>18958</v>
      </c>
      <c r="M4128" t="s">
        <v>18958</v>
      </c>
      <c r="N4128" t="s">
        <v>22095</v>
      </c>
      <c r="O4128" t="s">
        <v>26524</v>
      </c>
      <c r="P4128" t="s">
        <v>26564</v>
      </c>
      <c r="R4128" t="s">
        <v>26584</v>
      </c>
      <c r="S4128" t="s">
        <v>18958</v>
      </c>
      <c r="U4128" t="s">
        <v>26604</v>
      </c>
      <c r="W4128" t="s">
        <v>699</v>
      </c>
      <c r="X4128">
        <v>285</v>
      </c>
      <c r="Y4128" t="s">
        <v>26653</v>
      </c>
      <c r="Z4128" t="s">
        <v>26664</v>
      </c>
      <c r="AB4128" t="s">
        <v>27411</v>
      </c>
      <c r="AD4128" t="s">
        <v>37477</v>
      </c>
      <c r="AE4128">
        <v>6</v>
      </c>
      <c r="AF4128" t="s">
        <v>45541</v>
      </c>
      <c r="AG4128" t="s">
        <v>45563</v>
      </c>
      <c r="AH4128">
        <v>6</v>
      </c>
      <c r="AI4128">
        <v>1</v>
      </c>
      <c r="AJ4128">
        <v>1</v>
      </c>
      <c r="AK4128">
        <v>51.98</v>
      </c>
      <c r="AN4128" t="s">
        <v>7439</v>
      </c>
      <c r="AO4128">
        <v>8556</v>
      </c>
      <c r="AQ4128" t="s">
        <v>46362</v>
      </c>
      <c r="AR4128" t="s">
        <v>46398</v>
      </c>
      <c r="AS4128" t="s">
        <v>46499</v>
      </c>
      <c r="AT4128" t="s">
        <v>46774</v>
      </c>
      <c r="AU4128">
        <v>5.67</v>
      </c>
      <c r="AV4128" t="s">
        <v>729</v>
      </c>
      <c r="AW4128" t="s">
        <v>247</v>
      </c>
    </row>
    <row r="4129" spans="1:50">
      <c r="A4129" s="1">
        <f>HYPERLINK("https://lsnyc.legalserver.org/matter/dynamic-profile/view/1866053","18-1866053")</f>
        <v>0</v>
      </c>
      <c r="B4129" t="s">
        <v>60</v>
      </c>
      <c r="C4129" t="s">
        <v>341</v>
      </c>
      <c r="D4129" t="s">
        <v>715</v>
      </c>
      <c r="E4129" t="s">
        <v>494</v>
      </c>
      <c r="F4129" t="s">
        <v>2002</v>
      </c>
      <c r="G4129" t="s">
        <v>7065</v>
      </c>
      <c r="H4129" t="s">
        <v>12875</v>
      </c>
      <c r="I4129" t="s">
        <v>17302</v>
      </c>
      <c r="J4129" t="s">
        <v>18892</v>
      </c>
      <c r="K4129">
        <v>10463</v>
      </c>
      <c r="L4129" t="s">
        <v>18958</v>
      </c>
      <c r="M4129" t="s">
        <v>18958</v>
      </c>
      <c r="N4129" t="s">
        <v>22096</v>
      </c>
      <c r="O4129" t="s">
        <v>26529</v>
      </c>
      <c r="P4129" t="s">
        <v>26565</v>
      </c>
      <c r="Q4129" t="s">
        <v>26571</v>
      </c>
      <c r="R4129" t="s">
        <v>26578</v>
      </c>
      <c r="S4129" t="s">
        <v>18958</v>
      </c>
      <c r="U4129" t="s">
        <v>26604</v>
      </c>
      <c r="W4129" t="s">
        <v>712</v>
      </c>
      <c r="X4129">
        <v>870.5</v>
      </c>
      <c r="Y4129" t="s">
        <v>26650</v>
      </c>
      <c r="Z4129" t="s">
        <v>26659</v>
      </c>
      <c r="AA4129" t="s">
        <v>26685</v>
      </c>
      <c r="AB4129" t="s">
        <v>30156</v>
      </c>
      <c r="AC4129" t="s">
        <v>35720</v>
      </c>
      <c r="AD4129" t="s">
        <v>40292</v>
      </c>
      <c r="AE4129">
        <v>67</v>
      </c>
      <c r="AF4129" t="s">
        <v>45541</v>
      </c>
      <c r="AG4129" t="s">
        <v>45561</v>
      </c>
      <c r="AH4129">
        <v>3</v>
      </c>
      <c r="AI4129">
        <v>1</v>
      </c>
      <c r="AJ4129">
        <v>0</v>
      </c>
      <c r="AK4129">
        <v>83.23</v>
      </c>
      <c r="AN4129" t="s">
        <v>7439</v>
      </c>
      <c r="AO4129">
        <v>10104</v>
      </c>
      <c r="AU4129">
        <v>0.2</v>
      </c>
      <c r="AV4129" t="s">
        <v>577</v>
      </c>
      <c r="AW4129" t="s">
        <v>46832</v>
      </c>
    </row>
    <row r="4130" spans="1:50">
      <c r="A4130" s="1">
        <f>HYPERLINK("https://lsnyc.legalserver.org/matter/dynamic-profile/view/1866069","18-1866069")</f>
        <v>0</v>
      </c>
      <c r="B4130" t="s">
        <v>60</v>
      </c>
      <c r="C4130" t="s">
        <v>341</v>
      </c>
      <c r="D4130" t="s">
        <v>564</v>
      </c>
      <c r="E4130" t="s">
        <v>494</v>
      </c>
      <c r="F4130" t="s">
        <v>1250</v>
      </c>
      <c r="G4130" t="s">
        <v>7191</v>
      </c>
      <c r="H4130" t="s">
        <v>12875</v>
      </c>
      <c r="I4130" t="s">
        <v>17288</v>
      </c>
      <c r="J4130" t="s">
        <v>18892</v>
      </c>
      <c r="K4130">
        <v>10463</v>
      </c>
      <c r="L4130" t="s">
        <v>18958</v>
      </c>
      <c r="M4130" t="s">
        <v>18958</v>
      </c>
      <c r="O4130" t="s">
        <v>26526</v>
      </c>
      <c r="P4130" t="s">
        <v>26565</v>
      </c>
      <c r="Q4130" t="s">
        <v>26571</v>
      </c>
      <c r="R4130" t="s">
        <v>26578</v>
      </c>
      <c r="S4130" t="s">
        <v>18959</v>
      </c>
      <c r="U4130" t="s">
        <v>26604</v>
      </c>
      <c r="W4130" t="s">
        <v>712</v>
      </c>
      <c r="X4130">
        <v>211</v>
      </c>
      <c r="Y4130" t="s">
        <v>26650</v>
      </c>
      <c r="Z4130" t="s">
        <v>26659</v>
      </c>
      <c r="AA4130" t="s">
        <v>26682</v>
      </c>
      <c r="AB4130" t="s">
        <v>28857</v>
      </c>
      <c r="AC4130" t="s">
        <v>35721</v>
      </c>
      <c r="AD4130" t="s">
        <v>40293</v>
      </c>
      <c r="AE4130">
        <v>67</v>
      </c>
      <c r="AF4130" t="s">
        <v>45541</v>
      </c>
      <c r="AG4130" t="s">
        <v>45561</v>
      </c>
      <c r="AH4130">
        <v>1</v>
      </c>
      <c r="AI4130">
        <v>1</v>
      </c>
      <c r="AJ4130">
        <v>1</v>
      </c>
      <c r="AK4130">
        <v>59.78</v>
      </c>
      <c r="AN4130" t="s">
        <v>7439</v>
      </c>
      <c r="AO4130">
        <v>9840</v>
      </c>
      <c r="AU4130">
        <v>0.1</v>
      </c>
      <c r="AV4130" t="s">
        <v>494</v>
      </c>
      <c r="AW4130" t="s">
        <v>46832</v>
      </c>
    </row>
    <row r="4131" spans="1:50">
      <c r="A4131" s="1">
        <f>HYPERLINK("https://lsnyc.legalserver.org/matter/dynamic-profile/view/1875137","18-1875137")</f>
        <v>0</v>
      </c>
      <c r="B4131" t="s">
        <v>72</v>
      </c>
      <c r="C4131" t="s">
        <v>340</v>
      </c>
      <c r="D4131" t="s">
        <v>515</v>
      </c>
      <c r="F4131" t="s">
        <v>2111</v>
      </c>
      <c r="G4131" t="s">
        <v>5322</v>
      </c>
      <c r="H4131" t="s">
        <v>12357</v>
      </c>
      <c r="I4131">
        <v>51</v>
      </c>
      <c r="J4131" t="s">
        <v>18893</v>
      </c>
      <c r="K4131">
        <v>10032</v>
      </c>
      <c r="L4131" t="s">
        <v>18958</v>
      </c>
      <c r="M4131" t="s">
        <v>18958</v>
      </c>
      <c r="N4131" t="s">
        <v>22097</v>
      </c>
      <c r="O4131" t="s">
        <v>26523</v>
      </c>
      <c r="P4131" t="s">
        <v>26560</v>
      </c>
      <c r="R4131" t="s">
        <v>26582</v>
      </c>
      <c r="S4131" t="s">
        <v>18959</v>
      </c>
      <c r="U4131" t="s">
        <v>26604</v>
      </c>
      <c r="W4131" t="s">
        <v>712</v>
      </c>
      <c r="X4131">
        <v>1600</v>
      </c>
      <c r="Y4131" t="s">
        <v>26651</v>
      </c>
      <c r="Z4131" t="s">
        <v>26664</v>
      </c>
      <c r="AB4131" t="s">
        <v>30157</v>
      </c>
      <c r="AD4131" t="s">
        <v>40294</v>
      </c>
      <c r="AE4131">
        <v>0</v>
      </c>
      <c r="AF4131" t="s">
        <v>20460</v>
      </c>
      <c r="AG4131" t="s">
        <v>19330</v>
      </c>
      <c r="AH4131">
        <v>40</v>
      </c>
      <c r="AI4131">
        <v>1</v>
      </c>
      <c r="AJ4131">
        <v>0</v>
      </c>
      <c r="AK4131">
        <v>82.37</v>
      </c>
      <c r="AN4131" t="s">
        <v>7439</v>
      </c>
      <c r="AO4131">
        <v>10000</v>
      </c>
      <c r="AU4131">
        <v>42.1</v>
      </c>
      <c r="AV4131" t="s">
        <v>720</v>
      </c>
      <c r="AW4131" t="s">
        <v>314</v>
      </c>
      <c r="AX4131" t="s">
        <v>46897</v>
      </c>
    </row>
    <row r="4132" spans="1:50">
      <c r="A4132" s="1">
        <f>HYPERLINK("https://lsnyc.legalserver.org/matter/dynamic-profile/view/1875588","18-1875588")</f>
        <v>0</v>
      </c>
      <c r="B4132" t="s">
        <v>158</v>
      </c>
      <c r="C4132" t="s">
        <v>341</v>
      </c>
      <c r="D4132" t="s">
        <v>521</v>
      </c>
      <c r="E4132" t="s">
        <v>712</v>
      </c>
      <c r="F4132" t="s">
        <v>962</v>
      </c>
      <c r="G4132" t="s">
        <v>7192</v>
      </c>
      <c r="H4132" t="s">
        <v>12876</v>
      </c>
      <c r="I4132" t="s">
        <v>17334</v>
      </c>
      <c r="J4132" t="s">
        <v>18894</v>
      </c>
      <c r="K4132">
        <v>11236</v>
      </c>
      <c r="L4132" t="s">
        <v>18958</v>
      </c>
      <c r="M4132" t="s">
        <v>18958</v>
      </c>
      <c r="N4132" t="s">
        <v>22098</v>
      </c>
      <c r="O4132" t="s">
        <v>26523</v>
      </c>
      <c r="P4132" t="s">
        <v>26564</v>
      </c>
      <c r="Q4132" t="s">
        <v>26570</v>
      </c>
      <c r="R4132" t="s">
        <v>26586</v>
      </c>
      <c r="U4132" t="s">
        <v>26604</v>
      </c>
      <c r="W4132" t="s">
        <v>712</v>
      </c>
      <c r="X4132">
        <v>1200</v>
      </c>
      <c r="Y4132" t="s">
        <v>26652</v>
      </c>
      <c r="Z4132" t="s">
        <v>26664</v>
      </c>
      <c r="AA4132" t="s">
        <v>26683</v>
      </c>
      <c r="AB4132" t="s">
        <v>30158</v>
      </c>
      <c r="AD4132" t="s">
        <v>40295</v>
      </c>
      <c r="AE4132">
        <v>2</v>
      </c>
      <c r="AF4132" t="s">
        <v>45547</v>
      </c>
      <c r="AG4132" t="s">
        <v>45562</v>
      </c>
      <c r="AH4132">
        <v>3</v>
      </c>
      <c r="AI4132">
        <v>1</v>
      </c>
      <c r="AJ4132">
        <v>0</v>
      </c>
      <c r="AK4132">
        <v>10.71</v>
      </c>
      <c r="AN4132" t="s">
        <v>7439</v>
      </c>
      <c r="AO4132">
        <v>1300</v>
      </c>
      <c r="AU4132">
        <v>4.25</v>
      </c>
      <c r="AV4132" t="s">
        <v>712</v>
      </c>
      <c r="AW4132" t="s">
        <v>281</v>
      </c>
    </row>
    <row r="4133" spans="1:50">
      <c r="A4133" s="1">
        <f>HYPERLINK("https://lsnyc.legalserver.org/matter/dynamic-profile/view/1876741","18-1876741")</f>
        <v>0</v>
      </c>
      <c r="B4133" t="s">
        <v>91</v>
      </c>
      <c r="C4133" t="s">
        <v>341</v>
      </c>
      <c r="D4133" t="s">
        <v>422</v>
      </c>
      <c r="E4133" t="s">
        <v>494</v>
      </c>
      <c r="F4133" t="s">
        <v>2941</v>
      </c>
      <c r="G4133" t="s">
        <v>5199</v>
      </c>
      <c r="H4133" t="s">
        <v>12877</v>
      </c>
      <c r="I4133" t="s">
        <v>18056</v>
      </c>
      <c r="J4133" t="s">
        <v>18946</v>
      </c>
      <c r="K4133">
        <v>11372</v>
      </c>
      <c r="L4133" t="s">
        <v>18958</v>
      </c>
      <c r="M4133" t="s">
        <v>18958</v>
      </c>
      <c r="N4133" t="s">
        <v>22099</v>
      </c>
      <c r="O4133" t="s">
        <v>26523</v>
      </c>
      <c r="P4133" t="s">
        <v>26564</v>
      </c>
      <c r="Q4133" t="s">
        <v>26570</v>
      </c>
      <c r="R4133" t="s">
        <v>26584</v>
      </c>
      <c r="S4133" t="s">
        <v>18959</v>
      </c>
      <c r="U4133" t="s">
        <v>26604</v>
      </c>
      <c r="V4133" t="s">
        <v>26609</v>
      </c>
      <c r="W4133" t="s">
        <v>712</v>
      </c>
      <c r="X4133">
        <v>1632</v>
      </c>
      <c r="Y4133" t="s">
        <v>26653</v>
      </c>
      <c r="Z4133" t="s">
        <v>26664</v>
      </c>
      <c r="AA4133" t="s">
        <v>26683</v>
      </c>
      <c r="AB4133" t="s">
        <v>30159</v>
      </c>
      <c r="AC4133" t="s">
        <v>35722</v>
      </c>
      <c r="AD4133" t="s">
        <v>40296</v>
      </c>
      <c r="AE4133">
        <v>6</v>
      </c>
      <c r="AF4133" t="s">
        <v>45541</v>
      </c>
      <c r="AG4133" t="s">
        <v>19330</v>
      </c>
      <c r="AH4133">
        <v>4</v>
      </c>
      <c r="AI4133">
        <v>2</v>
      </c>
      <c r="AJ4133">
        <v>1</v>
      </c>
      <c r="AK4133">
        <v>197.31</v>
      </c>
      <c r="AN4133" t="s">
        <v>45581</v>
      </c>
      <c r="AO4133">
        <v>41000</v>
      </c>
      <c r="AU4133">
        <v>1</v>
      </c>
      <c r="AV4133" t="s">
        <v>712</v>
      </c>
      <c r="AW4133" t="s">
        <v>208</v>
      </c>
    </row>
    <row r="4134" spans="1:50">
      <c r="A4134" s="1">
        <f>HYPERLINK("https://lsnyc.legalserver.org/matter/dynamic-profile/view/1877292","18-1877292")</f>
        <v>0</v>
      </c>
      <c r="B4134" t="s">
        <v>158</v>
      </c>
      <c r="C4134" t="s">
        <v>341</v>
      </c>
      <c r="D4134" t="s">
        <v>578</v>
      </c>
      <c r="E4134" t="s">
        <v>712</v>
      </c>
      <c r="F4134" t="s">
        <v>2533</v>
      </c>
      <c r="G4134" t="s">
        <v>7193</v>
      </c>
      <c r="H4134" t="s">
        <v>12878</v>
      </c>
      <c r="I4134">
        <v>2</v>
      </c>
      <c r="J4134" t="s">
        <v>18894</v>
      </c>
      <c r="K4134">
        <v>11203</v>
      </c>
      <c r="L4134" t="s">
        <v>18958</v>
      </c>
      <c r="M4134" t="s">
        <v>18958</v>
      </c>
      <c r="N4134" t="s">
        <v>22100</v>
      </c>
      <c r="O4134" t="s">
        <v>26524</v>
      </c>
      <c r="P4134" t="s">
        <v>26564</v>
      </c>
      <c r="Q4134" t="s">
        <v>26570</v>
      </c>
      <c r="R4134" t="s">
        <v>26586</v>
      </c>
      <c r="S4134" t="s">
        <v>18959</v>
      </c>
      <c r="U4134" t="s">
        <v>26604</v>
      </c>
      <c r="W4134" t="s">
        <v>712</v>
      </c>
      <c r="X4134">
        <v>1200</v>
      </c>
      <c r="Y4134" t="s">
        <v>26652</v>
      </c>
      <c r="Z4134" t="s">
        <v>26664</v>
      </c>
      <c r="AA4134" t="s">
        <v>26683</v>
      </c>
      <c r="AB4134" t="s">
        <v>30160</v>
      </c>
      <c r="AD4134" t="s">
        <v>40297</v>
      </c>
      <c r="AE4134">
        <v>3</v>
      </c>
      <c r="AF4134" t="s">
        <v>45547</v>
      </c>
      <c r="AG4134" t="s">
        <v>19330</v>
      </c>
      <c r="AH4134">
        <v>10</v>
      </c>
      <c r="AI4134">
        <v>3</v>
      </c>
      <c r="AJ4134">
        <v>0</v>
      </c>
      <c r="AK4134">
        <v>75.06999999999999</v>
      </c>
      <c r="AN4134" t="s">
        <v>7439</v>
      </c>
      <c r="AO4134">
        <v>15600</v>
      </c>
      <c r="AU4134">
        <v>2.5</v>
      </c>
      <c r="AV4134" t="s">
        <v>712</v>
      </c>
      <c r="AW4134" t="s">
        <v>281</v>
      </c>
      <c r="AX4134" t="s">
        <v>46897</v>
      </c>
    </row>
    <row r="4135" spans="1:50">
      <c r="A4135" s="1">
        <f>HYPERLINK("https://lsnyc.legalserver.org/matter/dynamic-profile/view/1877728","18-1877728")</f>
        <v>0</v>
      </c>
      <c r="B4135" t="s">
        <v>158</v>
      </c>
      <c r="C4135" t="s">
        <v>341</v>
      </c>
      <c r="D4135" t="s">
        <v>571</v>
      </c>
      <c r="E4135" t="s">
        <v>712</v>
      </c>
      <c r="F4135" t="s">
        <v>2942</v>
      </c>
      <c r="G4135" t="s">
        <v>5563</v>
      </c>
      <c r="H4135" t="s">
        <v>11478</v>
      </c>
      <c r="I4135" t="s">
        <v>17274</v>
      </c>
      <c r="J4135" t="s">
        <v>18894</v>
      </c>
      <c r="K4135">
        <v>11236</v>
      </c>
      <c r="L4135" t="s">
        <v>18958</v>
      </c>
      <c r="M4135" t="s">
        <v>18958</v>
      </c>
      <c r="N4135" t="s">
        <v>22101</v>
      </c>
      <c r="O4135" t="s">
        <v>26523</v>
      </c>
      <c r="P4135" t="s">
        <v>26564</v>
      </c>
      <c r="Q4135" t="s">
        <v>26570</v>
      </c>
      <c r="R4135" t="s">
        <v>26586</v>
      </c>
      <c r="S4135" t="s">
        <v>18959</v>
      </c>
      <c r="U4135" t="s">
        <v>26605</v>
      </c>
      <c r="W4135" t="s">
        <v>712</v>
      </c>
      <c r="X4135">
        <v>295</v>
      </c>
      <c r="Y4135" t="s">
        <v>26652</v>
      </c>
      <c r="Z4135" t="s">
        <v>26664</v>
      </c>
      <c r="AA4135" t="s">
        <v>26683</v>
      </c>
      <c r="AB4135" t="s">
        <v>30161</v>
      </c>
      <c r="AC4135" t="s">
        <v>35723</v>
      </c>
      <c r="AD4135" t="s">
        <v>40298</v>
      </c>
      <c r="AE4135">
        <v>45</v>
      </c>
      <c r="AF4135" t="s">
        <v>45549</v>
      </c>
      <c r="AG4135" t="s">
        <v>26530</v>
      </c>
      <c r="AH4135">
        <v>17</v>
      </c>
      <c r="AI4135">
        <v>1</v>
      </c>
      <c r="AJ4135">
        <v>1</v>
      </c>
      <c r="AK4135">
        <v>18.32</v>
      </c>
      <c r="AN4135" t="s">
        <v>7439</v>
      </c>
      <c r="AO4135">
        <v>3016</v>
      </c>
      <c r="AU4135">
        <v>4.4</v>
      </c>
      <c r="AV4135" t="s">
        <v>712</v>
      </c>
      <c r="AW4135" t="s">
        <v>281</v>
      </c>
    </row>
    <row r="4136" spans="1:50">
      <c r="A4136" s="1">
        <f>HYPERLINK("https://lsnyc.legalserver.org/matter/dynamic-profile/view/1877830","18-1877830")</f>
        <v>0</v>
      </c>
      <c r="B4136" t="s">
        <v>55</v>
      </c>
      <c r="C4136" t="s">
        <v>341</v>
      </c>
      <c r="D4136" t="s">
        <v>588</v>
      </c>
      <c r="E4136" t="s">
        <v>712</v>
      </c>
      <c r="F4136" t="s">
        <v>2943</v>
      </c>
      <c r="G4136" t="s">
        <v>1725</v>
      </c>
      <c r="H4136" t="s">
        <v>12879</v>
      </c>
      <c r="I4136" t="s">
        <v>18057</v>
      </c>
      <c r="J4136" t="s">
        <v>18892</v>
      </c>
      <c r="K4136">
        <v>10459</v>
      </c>
      <c r="L4136" t="s">
        <v>18958</v>
      </c>
      <c r="M4136" t="s">
        <v>18958</v>
      </c>
      <c r="N4136" t="s">
        <v>22102</v>
      </c>
      <c r="O4136" t="s">
        <v>26523</v>
      </c>
      <c r="P4136" t="s">
        <v>26564</v>
      </c>
      <c r="Q4136" t="s">
        <v>26570</v>
      </c>
      <c r="R4136" t="s">
        <v>26578</v>
      </c>
      <c r="S4136" t="s">
        <v>18959</v>
      </c>
      <c r="U4136" t="s">
        <v>26604</v>
      </c>
      <c r="W4136" t="s">
        <v>712</v>
      </c>
      <c r="X4136">
        <v>0</v>
      </c>
      <c r="Y4136" t="s">
        <v>26650</v>
      </c>
      <c r="Z4136" t="s">
        <v>26664</v>
      </c>
      <c r="AA4136" t="s">
        <v>26678</v>
      </c>
      <c r="AB4136" t="s">
        <v>30162</v>
      </c>
      <c r="AD4136" t="s">
        <v>40299</v>
      </c>
      <c r="AE4136">
        <v>0</v>
      </c>
      <c r="AF4136" t="s">
        <v>45553</v>
      </c>
      <c r="AG4136" t="s">
        <v>19330</v>
      </c>
      <c r="AH4136">
        <v>12</v>
      </c>
      <c r="AI4136">
        <v>1</v>
      </c>
      <c r="AJ4136">
        <v>0</v>
      </c>
      <c r="AK4136">
        <v>83.03</v>
      </c>
      <c r="AN4136" t="s">
        <v>45581</v>
      </c>
      <c r="AO4136">
        <v>10080</v>
      </c>
      <c r="AU4136">
        <v>0.1</v>
      </c>
      <c r="AV4136" t="s">
        <v>699</v>
      </c>
      <c r="AW4136" t="s">
        <v>46832</v>
      </c>
    </row>
    <row r="4137" spans="1:50">
      <c r="A4137" s="1">
        <f>HYPERLINK("https://lsnyc.legalserver.org/matter/dynamic-profile/view/1879309","18-1879309")</f>
        <v>0</v>
      </c>
      <c r="B4137" t="s">
        <v>158</v>
      </c>
      <c r="C4137" t="s">
        <v>341</v>
      </c>
      <c r="D4137" t="s">
        <v>575</v>
      </c>
      <c r="E4137" t="s">
        <v>712</v>
      </c>
      <c r="F4137" t="s">
        <v>2944</v>
      </c>
      <c r="G4137" t="s">
        <v>5639</v>
      </c>
      <c r="H4137" t="s">
        <v>12880</v>
      </c>
      <c r="J4137" t="s">
        <v>18894</v>
      </c>
      <c r="K4137">
        <v>11235</v>
      </c>
      <c r="L4137" t="s">
        <v>18958</v>
      </c>
      <c r="M4137" t="s">
        <v>18958</v>
      </c>
      <c r="N4137" t="s">
        <v>22103</v>
      </c>
      <c r="O4137" t="s">
        <v>26523</v>
      </c>
      <c r="P4137" t="s">
        <v>26560</v>
      </c>
      <c r="Q4137" t="s">
        <v>26568</v>
      </c>
      <c r="R4137" t="s">
        <v>26586</v>
      </c>
      <c r="U4137" t="s">
        <v>26604</v>
      </c>
      <c r="W4137" t="s">
        <v>712</v>
      </c>
      <c r="X4137">
        <v>1692.88</v>
      </c>
      <c r="Y4137" t="s">
        <v>26652</v>
      </c>
      <c r="Z4137" t="s">
        <v>26664</v>
      </c>
      <c r="AA4137" t="s">
        <v>26678</v>
      </c>
      <c r="AB4137" t="s">
        <v>30163</v>
      </c>
      <c r="AC4137" t="s">
        <v>35724</v>
      </c>
      <c r="AD4137" t="s">
        <v>40300</v>
      </c>
      <c r="AE4137">
        <v>0</v>
      </c>
      <c r="AH4137">
        <v>10</v>
      </c>
      <c r="AI4137">
        <v>1</v>
      </c>
      <c r="AJ4137">
        <v>0</v>
      </c>
      <c r="AK4137">
        <v>83.81999999999999</v>
      </c>
      <c r="AN4137" t="s">
        <v>7439</v>
      </c>
      <c r="AO4137">
        <v>10176</v>
      </c>
      <c r="AS4137" t="s">
        <v>46499</v>
      </c>
      <c r="AT4137" t="s">
        <v>46581</v>
      </c>
      <c r="AU4137">
        <v>6.1</v>
      </c>
      <c r="AV4137" t="s">
        <v>712</v>
      </c>
      <c r="AW4137" t="s">
        <v>281</v>
      </c>
    </row>
    <row r="4138" spans="1:50">
      <c r="A4138" s="1">
        <f>HYPERLINK("https://lsnyc.legalserver.org/matter/dynamic-profile/view/1880137","18-1880137")</f>
        <v>0</v>
      </c>
      <c r="B4138" t="s">
        <v>158</v>
      </c>
      <c r="C4138" t="s">
        <v>341</v>
      </c>
      <c r="D4138" t="s">
        <v>614</v>
      </c>
      <c r="E4138" t="s">
        <v>712</v>
      </c>
      <c r="F4138" t="s">
        <v>1514</v>
      </c>
      <c r="G4138" t="s">
        <v>7194</v>
      </c>
      <c r="H4138" t="s">
        <v>12078</v>
      </c>
      <c r="I4138">
        <v>404</v>
      </c>
      <c r="J4138" t="s">
        <v>18894</v>
      </c>
      <c r="K4138">
        <v>11221</v>
      </c>
      <c r="L4138" t="s">
        <v>18958</v>
      </c>
      <c r="M4138" t="s">
        <v>18958</v>
      </c>
      <c r="N4138" t="s">
        <v>22104</v>
      </c>
      <c r="O4138" t="s">
        <v>26526</v>
      </c>
      <c r="P4138" t="s">
        <v>26564</v>
      </c>
      <c r="Q4138" t="s">
        <v>26570</v>
      </c>
      <c r="R4138" t="s">
        <v>26586</v>
      </c>
      <c r="U4138" t="s">
        <v>26604</v>
      </c>
      <c r="W4138" t="s">
        <v>712</v>
      </c>
      <c r="X4138">
        <v>0</v>
      </c>
      <c r="Y4138" t="s">
        <v>26652</v>
      </c>
      <c r="Z4138" t="s">
        <v>26664</v>
      </c>
      <c r="AA4138" t="s">
        <v>26683</v>
      </c>
      <c r="AB4138" t="s">
        <v>30164</v>
      </c>
      <c r="AD4138" t="s">
        <v>40301</v>
      </c>
      <c r="AE4138">
        <v>42</v>
      </c>
      <c r="AH4138">
        <v>-1</v>
      </c>
      <c r="AI4138">
        <v>1</v>
      </c>
      <c r="AJ4138">
        <v>0</v>
      </c>
      <c r="AK4138">
        <v>68.7</v>
      </c>
      <c r="AO4138">
        <v>8340</v>
      </c>
      <c r="AU4138">
        <v>4.9</v>
      </c>
      <c r="AV4138" t="s">
        <v>712</v>
      </c>
      <c r="AW4138" t="s">
        <v>46862</v>
      </c>
    </row>
    <row r="4139" spans="1:50">
      <c r="A4139" s="1">
        <f>HYPERLINK("https://lsnyc.legalserver.org/matter/dynamic-profile/view/1880599","18-1880599")</f>
        <v>0</v>
      </c>
      <c r="B4139" t="s">
        <v>91</v>
      </c>
      <c r="C4139" t="s">
        <v>341</v>
      </c>
      <c r="D4139" t="s">
        <v>623</v>
      </c>
      <c r="E4139" t="s">
        <v>494</v>
      </c>
      <c r="F4139" t="s">
        <v>2945</v>
      </c>
      <c r="G4139" t="s">
        <v>2620</v>
      </c>
      <c r="H4139" t="s">
        <v>12881</v>
      </c>
      <c r="I4139" t="s">
        <v>18058</v>
      </c>
      <c r="J4139" t="s">
        <v>18939</v>
      </c>
      <c r="K4139">
        <v>11423</v>
      </c>
      <c r="L4139" t="s">
        <v>18958</v>
      </c>
      <c r="M4139" t="s">
        <v>18958</v>
      </c>
      <c r="N4139" t="s">
        <v>22105</v>
      </c>
      <c r="O4139" t="s">
        <v>26523</v>
      </c>
      <c r="P4139" t="s">
        <v>26564</v>
      </c>
      <c r="Q4139" t="s">
        <v>26570</v>
      </c>
      <c r="R4139" t="s">
        <v>26584</v>
      </c>
      <c r="S4139" t="s">
        <v>18959</v>
      </c>
      <c r="U4139" t="s">
        <v>26604</v>
      </c>
      <c r="V4139" t="s">
        <v>26612</v>
      </c>
      <c r="W4139" t="s">
        <v>712</v>
      </c>
      <c r="X4139">
        <v>1300</v>
      </c>
      <c r="Y4139" t="s">
        <v>26653</v>
      </c>
      <c r="Z4139" t="s">
        <v>26664</v>
      </c>
      <c r="AA4139" t="s">
        <v>26683</v>
      </c>
      <c r="AB4139" t="s">
        <v>30165</v>
      </c>
      <c r="AC4139" t="s">
        <v>35725</v>
      </c>
      <c r="AD4139" t="s">
        <v>40302</v>
      </c>
      <c r="AE4139">
        <v>42</v>
      </c>
      <c r="AF4139" t="s">
        <v>20460</v>
      </c>
      <c r="AG4139" t="s">
        <v>19330</v>
      </c>
      <c r="AH4139">
        <v>10</v>
      </c>
      <c r="AI4139">
        <v>1</v>
      </c>
      <c r="AJ4139">
        <v>3</v>
      </c>
      <c r="AK4139">
        <v>72.51000000000001</v>
      </c>
      <c r="AN4139" t="s">
        <v>7439</v>
      </c>
      <c r="AO4139">
        <v>18200</v>
      </c>
      <c r="AU4139">
        <v>1.3</v>
      </c>
      <c r="AV4139" t="s">
        <v>712</v>
      </c>
      <c r="AW4139" t="s">
        <v>208</v>
      </c>
    </row>
    <row r="4140" spans="1:50">
      <c r="A4140" s="1">
        <f>HYPERLINK("https://lsnyc.legalserver.org/matter/dynamic-profile/view/1878536","18-1878536")</f>
        <v>0</v>
      </c>
      <c r="B4140" t="s">
        <v>73</v>
      </c>
      <c r="C4140" t="s">
        <v>341</v>
      </c>
      <c r="D4140" t="s">
        <v>643</v>
      </c>
      <c r="E4140" t="s">
        <v>797</v>
      </c>
      <c r="F4140" t="s">
        <v>951</v>
      </c>
      <c r="G4140" t="s">
        <v>5142</v>
      </c>
      <c r="H4140" t="s">
        <v>9718</v>
      </c>
      <c r="I4140" t="s">
        <v>17332</v>
      </c>
      <c r="J4140" t="s">
        <v>18894</v>
      </c>
      <c r="K4140">
        <v>11233</v>
      </c>
      <c r="L4140" t="s">
        <v>18958</v>
      </c>
      <c r="M4140" t="s">
        <v>18958</v>
      </c>
      <c r="N4140" t="s">
        <v>22106</v>
      </c>
      <c r="O4140" t="s">
        <v>26534</v>
      </c>
      <c r="P4140" t="s">
        <v>26561</v>
      </c>
      <c r="Q4140" t="s">
        <v>26572</v>
      </c>
      <c r="R4140" t="s">
        <v>26578</v>
      </c>
      <c r="S4140" t="s">
        <v>18958</v>
      </c>
      <c r="U4140" t="s">
        <v>26604</v>
      </c>
      <c r="W4140" t="s">
        <v>712</v>
      </c>
      <c r="X4140">
        <v>0</v>
      </c>
      <c r="Y4140" t="s">
        <v>26652</v>
      </c>
      <c r="Z4140" t="s">
        <v>26655</v>
      </c>
      <c r="AA4140" t="s">
        <v>26685</v>
      </c>
      <c r="AB4140" t="s">
        <v>26789</v>
      </c>
      <c r="AD4140" t="s">
        <v>34738</v>
      </c>
      <c r="AE4140">
        <v>7</v>
      </c>
      <c r="AF4140" t="s">
        <v>45541</v>
      </c>
      <c r="AH4140">
        <v>0</v>
      </c>
      <c r="AI4140">
        <v>1</v>
      </c>
      <c r="AJ4140">
        <v>0</v>
      </c>
      <c r="AK4140">
        <v>164.74</v>
      </c>
      <c r="AN4140" t="s">
        <v>7439</v>
      </c>
      <c r="AO4140">
        <v>20000</v>
      </c>
      <c r="AU4140">
        <v>1.8</v>
      </c>
      <c r="AV4140" t="s">
        <v>802</v>
      </c>
      <c r="AW4140" t="s">
        <v>83</v>
      </c>
      <c r="AX4140" t="s">
        <v>46897</v>
      </c>
    </row>
    <row r="4141" spans="1:50">
      <c r="A4141" s="1">
        <f>HYPERLINK("https://lsnyc.legalserver.org/matter/dynamic-profile/view/1884286","18-1884286")</f>
        <v>0</v>
      </c>
      <c r="B4141" t="s">
        <v>261</v>
      </c>
      <c r="C4141" t="s">
        <v>341</v>
      </c>
      <c r="D4141" t="s">
        <v>675</v>
      </c>
      <c r="E4141" t="s">
        <v>712</v>
      </c>
      <c r="F4141" t="s">
        <v>2946</v>
      </c>
      <c r="G4141" t="s">
        <v>7195</v>
      </c>
      <c r="H4141" t="s">
        <v>12882</v>
      </c>
      <c r="J4141" t="s">
        <v>18892</v>
      </c>
      <c r="K4141">
        <v>10451</v>
      </c>
      <c r="L4141" t="s">
        <v>18958</v>
      </c>
      <c r="M4141" t="s">
        <v>18958</v>
      </c>
      <c r="O4141" t="s">
        <v>26532</v>
      </c>
      <c r="P4141" t="s">
        <v>26564</v>
      </c>
      <c r="Q4141" t="s">
        <v>26570</v>
      </c>
      <c r="R4141" t="s">
        <v>26578</v>
      </c>
      <c r="S4141" t="s">
        <v>18959</v>
      </c>
      <c r="U4141" t="s">
        <v>26607</v>
      </c>
      <c r="V4141" t="s">
        <v>26610</v>
      </c>
      <c r="W4141" t="s">
        <v>712</v>
      </c>
      <c r="X4141">
        <v>0</v>
      </c>
      <c r="Y4141" t="s">
        <v>26650</v>
      </c>
      <c r="Z4141" t="s">
        <v>26663</v>
      </c>
      <c r="AA4141" t="s">
        <v>26683</v>
      </c>
      <c r="AB4141" t="s">
        <v>30166</v>
      </c>
      <c r="AD4141" t="s">
        <v>40303</v>
      </c>
      <c r="AE4141">
        <v>0</v>
      </c>
      <c r="AF4141" t="s">
        <v>20460</v>
      </c>
      <c r="AG4141" t="s">
        <v>19330</v>
      </c>
      <c r="AH4141">
        <v>0</v>
      </c>
      <c r="AI4141">
        <v>1</v>
      </c>
      <c r="AJ4141">
        <v>1</v>
      </c>
      <c r="AK4141">
        <v>182.26</v>
      </c>
      <c r="AN4141" t="s">
        <v>7439</v>
      </c>
      <c r="AO4141">
        <v>30000</v>
      </c>
      <c r="AU4141">
        <v>1.15</v>
      </c>
      <c r="AV4141" t="s">
        <v>712</v>
      </c>
      <c r="AW4141" t="s">
        <v>261</v>
      </c>
    </row>
    <row r="4142" spans="1:50">
      <c r="A4142" s="1">
        <f>HYPERLINK("https://lsnyc.legalserver.org/matter/dynamic-profile/view/1885838","18-1885838")</f>
        <v>0</v>
      </c>
      <c r="B4142" t="s">
        <v>169</v>
      </c>
      <c r="C4142" t="s">
        <v>341</v>
      </c>
      <c r="D4142" t="s">
        <v>688</v>
      </c>
      <c r="E4142" t="s">
        <v>794</v>
      </c>
      <c r="F4142" t="s">
        <v>1072</v>
      </c>
      <c r="G4142" t="s">
        <v>7196</v>
      </c>
      <c r="H4142" t="s">
        <v>12883</v>
      </c>
      <c r="I4142" t="s">
        <v>17353</v>
      </c>
      <c r="J4142" t="s">
        <v>18892</v>
      </c>
      <c r="K4142">
        <v>10452</v>
      </c>
      <c r="L4142" t="s">
        <v>18958</v>
      </c>
      <c r="M4142" t="s">
        <v>18958</v>
      </c>
      <c r="N4142" t="s">
        <v>22107</v>
      </c>
      <c r="O4142" t="s">
        <v>26523</v>
      </c>
      <c r="P4142" t="s">
        <v>26560</v>
      </c>
      <c r="Q4142" t="s">
        <v>26568</v>
      </c>
      <c r="R4142" t="s">
        <v>26578</v>
      </c>
      <c r="S4142" t="s">
        <v>18959</v>
      </c>
      <c r="U4142" t="s">
        <v>26604</v>
      </c>
      <c r="W4142" t="s">
        <v>712</v>
      </c>
      <c r="X4142">
        <v>519</v>
      </c>
      <c r="Y4142" t="s">
        <v>26650</v>
      </c>
      <c r="AA4142" t="s">
        <v>26678</v>
      </c>
      <c r="AB4142" t="s">
        <v>29703</v>
      </c>
      <c r="AC4142" t="s">
        <v>35726</v>
      </c>
      <c r="AD4142" t="s">
        <v>40304</v>
      </c>
      <c r="AE4142">
        <v>40</v>
      </c>
      <c r="AF4142" t="s">
        <v>20460</v>
      </c>
      <c r="AG4142" t="s">
        <v>45556</v>
      </c>
      <c r="AH4142">
        <v>30</v>
      </c>
      <c r="AI4142">
        <v>1</v>
      </c>
      <c r="AJ4142">
        <v>0</v>
      </c>
      <c r="AK4142">
        <v>85.8</v>
      </c>
      <c r="AN4142" t="s">
        <v>7439</v>
      </c>
      <c r="AO4142">
        <v>10416</v>
      </c>
      <c r="AQ4142" t="s">
        <v>46365</v>
      </c>
      <c r="AR4142" t="s">
        <v>46385</v>
      </c>
      <c r="AS4142" t="s">
        <v>46499</v>
      </c>
      <c r="AT4142" t="s">
        <v>46604</v>
      </c>
      <c r="AU4142">
        <v>19</v>
      </c>
      <c r="AV4142" t="s">
        <v>695</v>
      </c>
      <c r="AW4142" t="s">
        <v>46859</v>
      </c>
    </row>
    <row r="4143" spans="1:50">
      <c r="A4143" s="1">
        <f>HYPERLINK("https://lsnyc.legalserver.org/matter/dynamic-profile/view/1886470","18-1886470")</f>
        <v>0</v>
      </c>
      <c r="B4143" t="s">
        <v>55</v>
      </c>
      <c r="C4143" t="s">
        <v>341</v>
      </c>
      <c r="D4143" t="s">
        <v>706</v>
      </c>
      <c r="E4143" t="s">
        <v>836</v>
      </c>
      <c r="F4143" t="s">
        <v>2947</v>
      </c>
      <c r="G4143" t="s">
        <v>7197</v>
      </c>
      <c r="H4143" t="s">
        <v>12884</v>
      </c>
      <c r="I4143" t="s">
        <v>17360</v>
      </c>
      <c r="J4143" t="s">
        <v>18892</v>
      </c>
      <c r="K4143">
        <v>10453</v>
      </c>
      <c r="L4143" t="s">
        <v>18958</v>
      </c>
      <c r="M4143" t="s">
        <v>18960</v>
      </c>
      <c r="N4143" t="s">
        <v>22108</v>
      </c>
      <c r="O4143" t="s">
        <v>26524</v>
      </c>
      <c r="P4143" t="s">
        <v>26564</v>
      </c>
      <c r="Q4143" t="s">
        <v>26570</v>
      </c>
      <c r="R4143" t="s">
        <v>26578</v>
      </c>
      <c r="S4143" t="s">
        <v>18959</v>
      </c>
      <c r="U4143" t="s">
        <v>26604</v>
      </c>
      <c r="W4143" t="s">
        <v>712</v>
      </c>
      <c r="X4143">
        <v>1210</v>
      </c>
      <c r="Y4143" t="s">
        <v>26650</v>
      </c>
      <c r="Z4143" t="s">
        <v>26530</v>
      </c>
      <c r="AA4143" t="s">
        <v>26683</v>
      </c>
      <c r="AB4143" t="s">
        <v>30167</v>
      </c>
      <c r="AD4143" t="s">
        <v>40305</v>
      </c>
      <c r="AE4143">
        <v>16</v>
      </c>
      <c r="AF4143" t="s">
        <v>45543</v>
      </c>
      <c r="AG4143" t="s">
        <v>45556</v>
      </c>
      <c r="AH4143">
        <v>1</v>
      </c>
      <c r="AI4143">
        <v>1</v>
      </c>
      <c r="AJ4143">
        <v>0</v>
      </c>
      <c r="AK4143">
        <v>0</v>
      </c>
      <c r="AN4143" t="s">
        <v>7439</v>
      </c>
      <c r="AO4143">
        <v>0</v>
      </c>
      <c r="AP4143" t="s">
        <v>45812</v>
      </c>
      <c r="AT4143" t="s">
        <v>46581</v>
      </c>
      <c r="AU4143">
        <v>1</v>
      </c>
      <c r="AV4143" t="s">
        <v>706</v>
      </c>
      <c r="AW4143" t="s">
        <v>46846</v>
      </c>
      <c r="AX4143" t="s">
        <v>46897</v>
      </c>
    </row>
    <row r="4144" spans="1:50">
      <c r="A4144" s="1">
        <f>HYPERLINK("https://lsnyc.legalserver.org/matter/dynamic-profile/view/1886692","18-1886692")</f>
        <v>0</v>
      </c>
      <c r="B4144" t="s">
        <v>260</v>
      </c>
      <c r="C4144" t="s">
        <v>341</v>
      </c>
      <c r="D4144" t="s">
        <v>712</v>
      </c>
      <c r="E4144" t="s">
        <v>712</v>
      </c>
      <c r="F4144" t="s">
        <v>1982</v>
      </c>
      <c r="G4144" t="s">
        <v>7198</v>
      </c>
      <c r="H4144" t="s">
        <v>12885</v>
      </c>
      <c r="I4144" t="s">
        <v>17283</v>
      </c>
      <c r="J4144" t="s">
        <v>18893</v>
      </c>
      <c r="K4144">
        <v>10025</v>
      </c>
      <c r="L4144" t="s">
        <v>18958</v>
      </c>
      <c r="M4144" t="s">
        <v>18958</v>
      </c>
      <c r="O4144" t="s">
        <v>18997</v>
      </c>
      <c r="P4144" t="s">
        <v>26564</v>
      </c>
      <c r="Q4144" t="s">
        <v>26570</v>
      </c>
      <c r="R4144" t="s">
        <v>26578</v>
      </c>
      <c r="S4144" t="s">
        <v>18959</v>
      </c>
      <c r="U4144" t="s">
        <v>26604</v>
      </c>
      <c r="W4144" t="s">
        <v>712</v>
      </c>
      <c r="X4144">
        <v>2700</v>
      </c>
      <c r="Y4144" t="s">
        <v>26651</v>
      </c>
      <c r="Z4144" t="s">
        <v>26671</v>
      </c>
      <c r="AA4144" t="s">
        <v>26683</v>
      </c>
      <c r="AB4144" t="s">
        <v>30168</v>
      </c>
      <c r="AD4144" t="s">
        <v>40306</v>
      </c>
      <c r="AE4144">
        <v>0</v>
      </c>
      <c r="AF4144" t="s">
        <v>45541</v>
      </c>
      <c r="AG4144" t="s">
        <v>19330</v>
      </c>
      <c r="AH4144">
        <v>1</v>
      </c>
      <c r="AI4144">
        <v>2</v>
      </c>
      <c r="AJ4144">
        <v>2</v>
      </c>
      <c r="AK4144">
        <v>93.23</v>
      </c>
      <c r="AN4144" t="s">
        <v>7439</v>
      </c>
      <c r="AO4144">
        <v>23400</v>
      </c>
      <c r="AU4144">
        <v>0.87</v>
      </c>
      <c r="AV4144" t="s">
        <v>659</v>
      </c>
      <c r="AW4144" t="s">
        <v>46840</v>
      </c>
      <c r="AX4144" t="s">
        <v>46897</v>
      </c>
    </row>
    <row r="4145" spans="1:49">
      <c r="A4145" s="1">
        <f>HYPERLINK("https://lsnyc.legalserver.org/matter/dynamic-profile/view/1886649","18-1886649")</f>
        <v>0</v>
      </c>
      <c r="B4145" t="s">
        <v>183</v>
      </c>
      <c r="C4145" t="s">
        <v>341</v>
      </c>
      <c r="D4145" t="s">
        <v>712</v>
      </c>
      <c r="E4145" t="s">
        <v>821</v>
      </c>
      <c r="F4145" t="s">
        <v>1016</v>
      </c>
      <c r="G4145" t="s">
        <v>6420</v>
      </c>
      <c r="H4145" t="s">
        <v>12886</v>
      </c>
      <c r="I4145" t="s">
        <v>17380</v>
      </c>
      <c r="J4145" t="s">
        <v>18893</v>
      </c>
      <c r="K4145">
        <v>10003</v>
      </c>
      <c r="L4145" t="s">
        <v>18958</v>
      </c>
      <c r="M4145" t="s">
        <v>18958</v>
      </c>
      <c r="N4145" t="s">
        <v>22109</v>
      </c>
      <c r="O4145" t="s">
        <v>26524</v>
      </c>
      <c r="P4145" t="s">
        <v>26564</v>
      </c>
      <c r="Q4145" t="s">
        <v>26570</v>
      </c>
      <c r="R4145" t="s">
        <v>26582</v>
      </c>
      <c r="S4145" t="s">
        <v>18959</v>
      </c>
      <c r="U4145" t="s">
        <v>26604</v>
      </c>
      <c r="W4145" t="s">
        <v>712</v>
      </c>
      <c r="X4145">
        <v>1005</v>
      </c>
      <c r="Y4145" t="s">
        <v>26651</v>
      </c>
      <c r="Z4145" t="s">
        <v>26664</v>
      </c>
      <c r="AA4145" t="s">
        <v>26683</v>
      </c>
      <c r="AB4145" t="s">
        <v>29603</v>
      </c>
      <c r="AC4145" t="s">
        <v>35727</v>
      </c>
      <c r="AD4145" t="s">
        <v>40307</v>
      </c>
      <c r="AE4145">
        <v>0</v>
      </c>
      <c r="AF4145" t="s">
        <v>45541</v>
      </c>
      <c r="AG4145" t="s">
        <v>45563</v>
      </c>
      <c r="AH4145">
        <v>10</v>
      </c>
      <c r="AI4145">
        <v>1</v>
      </c>
      <c r="AJ4145">
        <v>0</v>
      </c>
      <c r="AK4145">
        <v>97.27</v>
      </c>
      <c r="AN4145" t="s">
        <v>7439</v>
      </c>
      <c r="AO4145">
        <v>11808</v>
      </c>
      <c r="AU4145">
        <v>2.5</v>
      </c>
      <c r="AV4145" t="s">
        <v>668</v>
      </c>
      <c r="AW4145" t="s">
        <v>46875</v>
      </c>
    </row>
    <row r="4146" spans="1:49">
      <c r="A4146" s="1">
        <f>HYPERLINK("https://lsnyc.legalserver.org/matter/dynamic-profile/view/1886637","18-1886637")</f>
        <v>0</v>
      </c>
      <c r="B4146" t="s">
        <v>169</v>
      </c>
      <c r="C4146" t="s">
        <v>341</v>
      </c>
      <c r="D4146" t="s">
        <v>712</v>
      </c>
      <c r="E4146" t="s">
        <v>755</v>
      </c>
      <c r="F4146" t="s">
        <v>1228</v>
      </c>
      <c r="G4146" t="s">
        <v>7035</v>
      </c>
      <c r="H4146" t="s">
        <v>12610</v>
      </c>
      <c r="I4146" t="s">
        <v>17397</v>
      </c>
      <c r="J4146" t="s">
        <v>18892</v>
      </c>
      <c r="K4146">
        <v>10452</v>
      </c>
      <c r="L4146" t="s">
        <v>18958</v>
      </c>
      <c r="M4146" t="s">
        <v>18958</v>
      </c>
      <c r="O4146" t="s">
        <v>26524</v>
      </c>
      <c r="P4146" t="s">
        <v>26564</v>
      </c>
      <c r="Q4146" t="s">
        <v>26570</v>
      </c>
      <c r="R4146" t="s">
        <v>26578</v>
      </c>
      <c r="S4146" t="s">
        <v>18959</v>
      </c>
      <c r="U4146" t="s">
        <v>26604</v>
      </c>
      <c r="W4146" t="s">
        <v>712</v>
      </c>
      <c r="X4146">
        <v>770.73</v>
      </c>
      <c r="Y4146" t="s">
        <v>26650</v>
      </c>
      <c r="Z4146" t="s">
        <v>26663</v>
      </c>
      <c r="AA4146" t="s">
        <v>26683</v>
      </c>
      <c r="AB4146" t="s">
        <v>29876</v>
      </c>
      <c r="AD4146" t="s">
        <v>39997</v>
      </c>
      <c r="AE4146">
        <v>100</v>
      </c>
      <c r="AF4146" t="s">
        <v>45548</v>
      </c>
      <c r="AG4146" t="s">
        <v>45559</v>
      </c>
      <c r="AH4146">
        <v>38</v>
      </c>
      <c r="AI4146">
        <v>2</v>
      </c>
      <c r="AJ4146">
        <v>0</v>
      </c>
      <c r="AK4146">
        <v>126.37</v>
      </c>
      <c r="AN4146" t="s">
        <v>45581</v>
      </c>
      <c r="AO4146">
        <v>20800</v>
      </c>
      <c r="AU4146">
        <v>1.5</v>
      </c>
      <c r="AV4146" t="s">
        <v>415</v>
      </c>
      <c r="AW4146" t="s">
        <v>46847</v>
      </c>
    </row>
    <row r="4147" spans="1:49">
      <c r="A4147" s="1">
        <f>HYPERLINK("https://lsnyc.legalserver.org/matter/dynamic-profile/view/1886664","18-1886664")</f>
        <v>0</v>
      </c>
      <c r="B4147" t="s">
        <v>74</v>
      </c>
      <c r="C4147" t="s">
        <v>341</v>
      </c>
      <c r="D4147" t="s">
        <v>712</v>
      </c>
      <c r="E4147" t="s">
        <v>739</v>
      </c>
      <c r="F4147" t="s">
        <v>1728</v>
      </c>
      <c r="G4147" t="s">
        <v>5922</v>
      </c>
      <c r="H4147" t="s">
        <v>10775</v>
      </c>
      <c r="I4147" t="s">
        <v>17322</v>
      </c>
      <c r="J4147" t="s">
        <v>18893</v>
      </c>
      <c r="K4147">
        <v>10035</v>
      </c>
      <c r="L4147" t="s">
        <v>18958</v>
      </c>
      <c r="M4147" t="s">
        <v>18958</v>
      </c>
      <c r="O4147" t="s">
        <v>26523</v>
      </c>
      <c r="P4147" t="s">
        <v>26560</v>
      </c>
      <c r="Q4147" t="s">
        <v>26568</v>
      </c>
      <c r="R4147" t="s">
        <v>26578</v>
      </c>
      <c r="S4147" t="s">
        <v>18959</v>
      </c>
      <c r="U4147" t="s">
        <v>26604</v>
      </c>
      <c r="W4147" t="s">
        <v>712</v>
      </c>
      <c r="X4147">
        <v>1657</v>
      </c>
      <c r="Y4147" t="s">
        <v>26651</v>
      </c>
      <c r="Z4147" t="s">
        <v>26659</v>
      </c>
      <c r="AA4147" t="s">
        <v>26678</v>
      </c>
      <c r="AB4147" t="s">
        <v>27929</v>
      </c>
      <c r="AD4147" t="s">
        <v>37980</v>
      </c>
      <c r="AE4147">
        <v>0</v>
      </c>
      <c r="AG4147" t="s">
        <v>19330</v>
      </c>
      <c r="AH4147">
        <v>2</v>
      </c>
      <c r="AI4147">
        <v>3</v>
      </c>
      <c r="AJ4147">
        <v>0</v>
      </c>
      <c r="AK4147">
        <v>115.5</v>
      </c>
      <c r="AN4147" t="s">
        <v>7439</v>
      </c>
      <c r="AO4147">
        <v>24000</v>
      </c>
      <c r="AU4147">
        <v>1.8</v>
      </c>
      <c r="AV4147" t="s">
        <v>727</v>
      </c>
      <c r="AW4147" t="s">
        <v>46840</v>
      </c>
    </row>
    <row r="4148" spans="1:49">
      <c r="A4148" s="1">
        <f>HYPERLINK("https://lsnyc.legalserver.org/matter/dynamic-profile/view/1886674","18-1886674")</f>
        <v>0</v>
      </c>
      <c r="B4148" t="s">
        <v>270</v>
      </c>
      <c r="C4148" t="s">
        <v>341</v>
      </c>
      <c r="D4148" t="s">
        <v>712</v>
      </c>
      <c r="E4148" t="s">
        <v>763</v>
      </c>
      <c r="F4148" t="s">
        <v>2948</v>
      </c>
      <c r="G4148" t="s">
        <v>7199</v>
      </c>
      <c r="H4148" t="s">
        <v>11122</v>
      </c>
      <c r="I4148" t="s">
        <v>17360</v>
      </c>
      <c r="J4148" t="s">
        <v>18892</v>
      </c>
      <c r="K4148">
        <v>10452</v>
      </c>
      <c r="L4148" t="s">
        <v>18958</v>
      </c>
      <c r="M4148" t="s">
        <v>18958</v>
      </c>
      <c r="N4148" t="s">
        <v>22110</v>
      </c>
      <c r="O4148" t="s">
        <v>26523</v>
      </c>
      <c r="P4148" t="s">
        <v>26560</v>
      </c>
      <c r="Q4148" t="s">
        <v>26568</v>
      </c>
      <c r="R4148" t="s">
        <v>26577</v>
      </c>
      <c r="S4148" t="s">
        <v>18959</v>
      </c>
      <c r="U4148" t="s">
        <v>26604</v>
      </c>
      <c r="V4148" t="s">
        <v>26611</v>
      </c>
      <c r="W4148" t="s">
        <v>712</v>
      </c>
      <c r="X4148">
        <v>1169.85</v>
      </c>
      <c r="Y4148" t="s">
        <v>26650</v>
      </c>
      <c r="Z4148" t="s">
        <v>26664</v>
      </c>
      <c r="AA4148" t="s">
        <v>26681</v>
      </c>
      <c r="AB4148" t="s">
        <v>30169</v>
      </c>
      <c r="AD4148" t="s">
        <v>40308</v>
      </c>
      <c r="AE4148">
        <v>38</v>
      </c>
      <c r="AF4148" t="s">
        <v>45541</v>
      </c>
      <c r="AG4148" t="s">
        <v>19330</v>
      </c>
      <c r="AH4148">
        <v>30</v>
      </c>
      <c r="AI4148">
        <v>5</v>
      </c>
      <c r="AJ4148">
        <v>2</v>
      </c>
      <c r="AK4148">
        <v>107.72</v>
      </c>
      <c r="AN4148" t="s">
        <v>7439</v>
      </c>
      <c r="AO4148">
        <v>41000</v>
      </c>
      <c r="AR4148" t="s">
        <v>26530</v>
      </c>
      <c r="AS4148" t="s">
        <v>46499</v>
      </c>
      <c r="AT4148" t="s">
        <v>46603</v>
      </c>
      <c r="AU4148">
        <v>9.5</v>
      </c>
      <c r="AV4148" t="s">
        <v>779</v>
      </c>
      <c r="AW4148" t="s">
        <v>46847</v>
      </c>
    </row>
    <row r="4149" spans="1:49">
      <c r="A4149" s="1">
        <f>HYPERLINK("https://lsnyc.legalserver.org/matter/dynamic-profile/view/1886670","18-1886670")</f>
        <v>0</v>
      </c>
      <c r="B4149" t="s">
        <v>54</v>
      </c>
      <c r="C4149" t="s">
        <v>341</v>
      </c>
      <c r="D4149" t="s">
        <v>712</v>
      </c>
      <c r="E4149" t="s">
        <v>809</v>
      </c>
      <c r="F4149" t="s">
        <v>1299</v>
      </c>
      <c r="G4149" t="s">
        <v>2348</v>
      </c>
      <c r="H4149" t="s">
        <v>12887</v>
      </c>
      <c r="I4149" t="s">
        <v>17411</v>
      </c>
      <c r="J4149" t="s">
        <v>18892</v>
      </c>
      <c r="K4149">
        <v>10473</v>
      </c>
      <c r="L4149" t="s">
        <v>18958</v>
      </c>
      <c r="M4149" t="s">
        <v>18958</v>
      </c>
      <c r="N4149" t="s">
        <v>22111</v>
      </c>
      <c r="O4149" t="s">
        <v>26523</v>
      </c>
      <c r="P4149" t="s">
        <v>26560</v>
      </c>
      <c r="Q4149" t="s">
        <v>26568</v>
      </c>
      <c r="R4149" t="s">
        <v>26577</v>
      </c>
      <c r="S4149" t="s">
        <v>18959</v>
      </c>
      <c r="U4149" t="s">
        <v>26604</v>
      </c>
      <c r="V4149" t="s">
        <v>26612</v>
      </c>
      <c r="W4149" t="s">
        <v>712</v>
      </c>
      <c r="X4149">
        <v>786.35</v>
      </c>
      <c r="Y4149" t="s">
        <v>26650</v>
      </c>
      <c r="Z4149" t="s">
        <v>26668</v>
      </c>
      <c r="AA4149" t="s">
        <v>26678</v>
      </c>
      <c r="AB4149" t="s">
        <v>30170</v>
      </c>
      <c r="AD4149" t="s">
        <v>40309</v>
      </c>
      <c r="AE4149">
        <v>213</v>
      </c>
      <c r="AF4149" t="s">
        <v>45541</v>
      </c>
      <c r="AG4149" t="s">
        <v>19330</v>
      </c>
      <c r="AH4149">
        <v>11</v>
      </c>
      <c r="AI4149">
        <v>1</v>
      </c>
      <c r="AJ4149">
        <v>1</v>
      </c>
      <c r="AK4149">
        <v>86.25</v>
      </c>
      <c r="AN4149" t="s">
        <v>7439</v>
      </c>
      <c r="AO4149">
        <v>14196</v>
      </c>
      <c r="AQ4149" t="s">
        <v>46365</v>
      </c>
      <c r="AR4149" t="s">
        <v>46415</v>
      </c>
      <c r="AS4149" t="s">
        <v>46499</v>
      </c>
      <c r="AT4149" t="s">
        <v>46741</v>
      </c>
      <c r="AU4149">
        <v>3.8</v>
      </c>
      <c r="AV4149" t="s">
        <v>714</v>
      </c>
      <c r="AW4149" t="s">
        <v>46832</v>
      </c>
    </row>
    <row r="4150" spans="1:49">
      <c r="A4150" s="1">
        <f>HYPERLINK("https://lsnyc.legalserver.org/matter/dynamic-profile/view/1886638","18-1886638")</f>
        <v>0</v>
      </c>
      <c r="B4150" t="s">
        <v>183</v>
      </c>
      <c r="C4150" t="s">
        <v>340</v>
      </c>
      <c r="D4150" t="s">
        <v>712</v>
      </c>
      <c r="F4150" t="s">
        <v>2949</v>
      </c>
      <c r="G4150" t="s">
        <v>989</v>
      </c>
      <c r="H4150" t="s">
        <v>10694</v>
      </c>
      <c r="I4150" t="s">
        <v>18059</v>
      </c>
      <c r="J4150" t="s">
        <v>18893</v>
      </c>
      <c r="K4150">
        <v>10029</v>
      </c>
      <c r="L4150" t="s">
        <v>18958</v>
      </c>
      <c r="M4150" t="s">
        <v>18958</v>
      </c>
      <c r="N4150" t="s">
        <v>22112</v>
      </c>
      <c r="O4150" t="s">
        <v>26524</v>
      </c>
      <c r="P4150" t="s">
        <v>26564</v>
      </c>
      <c r="R4150" t="s">
        <v>26582</v>
      </c>
      <c r="S4150" t="s">
        <v>18959</v>
      </c>
      <c r="U4150" t="s">
        <v>26604</v>
      </c>
      <c r="W4150" t="s">
        <v>712</v>
      </c>
      <c r="X4150">
        <v>1650</v>
      </c>
      <c r="Y4150" t="s">
        <v>26651</v>
      </c>
      <c r="Z4150" t="s">
        <v>26664</v>
      </c>
      <c r="AB4150" t="s">
        <v>30171</v>
      </c>
      <c r="AD4150" t="s">
        <v>40310</v>
      </c>
      <c r="AE4150">
        <v>0</v>
      </c>
      <c r="AF4150" t="s">
        <v>45541</v>
      </c>
      <c r="AG4150" t="s">
        <v>45563</v>
      </c>
      <c r="AH4150">
        <v>-1</v>
      </c>
      <c r="AI4150">
        <v>2</v>
      </c>
      <c r="AJ4150">
        <v>0</v>
      </c>
      <c r="AK4150">
        <v>142.16</v>
      </c>
      <c r="AN4150" t="s">
        <v>7439</v>
      </c>
      <c r="AO4150">
        <v>23400</v>
      </c>
      <c r="AU4150">
        <v>0.1</v>
      </c>
      <c r="AV4150" t="s">
        <v>712</v>
      </c>
      <c r="AW4150" t="s">
        <v>46875</v>
      </c>
    </row>
    <row r="4151" spans="1:49">
      <c r="A4151" s="1">
        <f>HYPERLINK("https://lsnyc.legalserver.org/matter/dynamic-profile/view/1886711","18-1886711")</f>
        <v>0</v>
      </c>
      <c r="B4151" t="s">
        <v>96</v>
      </c>
      <c r="C4151" t="s">
        <v>340</v>
      </c>
      <c r="D4151" t="s">
        <v>712</v>
      </c>
      <c r="F4151" t="s">
        <v>1121</v>
      </c>
      <c r="G4151" t="s">
        <v>4588</v>
      </c>
      <c r="H4151" t="s">
        <v>12888</v>
      </c>
      <c r="I4151" t="s">
        <v>17406</v>
      </c>
      <c r="J4151" t="s">
        <v>18892</v>
      </c>
      <c r="K4151">
        <v>10467</v>
      </c>
      <c r="L4151" t="s">
        <v>18958</v>
      </c>
      <c r="M4151" t="s">
        <v>18958</v>
      </c>
      <c r="N4151" t="s">
        <v>22113</v>
      </c>
      <c r="O4151" t="s">
        <v>26523</v>
      </c>
      <c r="P4151" t="s">
        <v>26560</v>
      </c>
      <c r="R4151" t="s">
        <v>26579</v>
      </c>
      <c r="U4151" t="s">
        <v>26604</v>
      </c>
      <c r="V4151" t="s">
        <v>26610</v>
      </c>
      <c r="W4151" t="s">
        <v>712</v>
      </c>
      <c r="X4151">
        <v>146</v>
      </c>
      <c r="Y4151" t="s">
        <v>26650</v>
      </c>
      <c r="Z4151" t="s">
        <v>26664</v>
      </c>
      <c r="AB4151" t="s">
        <v>30172</v>
      </c>
      <c r="AC4151" t="s">
        <v>35728</v>
      </c>
      <c r="AD4151" t="s">
        <v>40311</v>
      </c>
      <c r="AE4151">
        <v>0</v>
      </c>
      <c r="AH4151">
        <v>18</v>
      </c>
      <c r="AI4151">
        <v>2</v>
      </c>
      <c r="AJ4151">
        <v>0</v>
      </c>
      <c r="AK4151">
        <v>54.68</v>
      </c>
      <c r="AN4151" t="s">
        <v>45581</v>
      </c>
      <c r="AO4151">
        <v>9000</v>
      </c>
      <c r="AU4151">
        <v>12.05</v>
      </c>
      <c r="AV4151" t="s">
        <v>741</v>
      </c>
      <c r="AW4151" t="s">
        <v>334</v>
      </c>
    </row>
    <row r="4152" spans="1:49">
      <c r="A4152" s="1">
        <f>HYPERLINK("https://lsnyc.legalserver.org/matter/dynamic-profile/view/1886715","18-1886715")</f>
        <v>0</v>
      </c>
      <c r="B4152" t="s">
        <v>133</v>
      </c>
      <c r="C4152" t="s">
        <v>340</v>
      </c>
      <c r="D4152" t="s">
        <v>712</v>
      </c>
      <c r="F4152" t="s">
        <v>2950</v>
      </c>
      <c r="G4152" t="s">
        <v>1146</v>
      </c>
      <c r="H4152" t="s">
        <v>12889</v>
      </c>
      <c r="I4152" t="s">
        <v>17347</v>
      </c>
      <c r="J4152" t="s">
        <v>18892</v>
      </c>
      <c r="K4152">
        <v>10459</v>
      </c>
      <c r="L4152" t="s">
        <v>18958</v>
      </c>
      <c r="M4152" t="s">
        <v>18958</v>
      </c>
      <c r="N4152" t="s">
        <v>22114</v>
      </c>
      <c r="O4152" t="s">
        <v>26524</v>
      </c>
      <c r="P4152" t="s">
        <v>26560</v>
      </c>
      <c r="R4152" t="s">
        <v>26577</v>
      </c>
      <c r="U4152" t="s">
        <v>26604</v>
      </c>
      <c r="W4152" t="s">
        <v>712</v>
      </c>
      <c r="X4152">
        <v>0</v>
      </c>
      <c r="Y4152" t="s">
        <v>26650</v>
      </c>
      <c r="Z4152" t="s">
        <v>26659</v>
      </c>
      <c r="AB4152" t="s">
        <v>30173</v>
      </c>
      <c r="AD4152" t="s">
        <v>40312</v>
      </c>
      <c r="AE4152">
        <v>0</v>
      </c>
      <c r="AH4152">
        <v>4</v>
      </c>
      <c r="AI4152">
        <v>1</v>
      </c>
      <c r="AJ4152">
        <v>3</v>
      </c>
      <c r="AK4152">
        <v>140.14</v>
      </c>
      <c r="AN4152" t="s">
        <v>7439</v>
      </c>
      <c r="AO4152">
        <v>35176</v>
      </c>
      <c r="AU4152">
        <v>15</v>
      </c>
      <c r="AV4152" t="s">
        <v>806</v>
      </c>
      <c r="AW4152" t="s">
        <v>284</v>
      </c>
    </row>
    <row r="4153" spans="1:49">
      <c r="A4153" s="1">
        <f>HYPERLINK("https://lsnyc.legalserver.org/matter/dynamic-profile/view/1886651","18-1886651")</f>
        <v>0</v>
      </c>
      <c r="B4153" t="s">
        <v>84</v>
      </c>
      <c r="C4153" t="s">
        <v>340</v>
      </c>
      <c r="D4153" t="s">
        <v>712</v>
      </c>
      <c r="F4153" t="s">
        <v>1005</v>
      </c>
      <c r="G4153" t="s">
        <v>5199</v>
      </c>
      <c r="H4153" t="s">
        <v>10784</v>
      </c>
      <c r="I4153" t="s">
        <v>17693</v>
      </c>
      <c r="J4153" t="s">
        <v>18893</v>
      </c>
      <c r="K4153">
        <v>10037</v>
      </c>
      <c r="L4153" t="s">
        <v>18958</v>
      </c>
      <c r="M4153" t="s">
        <v>18958</v>
      </c>
      <c r="N4153" t="s">
        <v>22115</v>
      </c>
      <c r="O4153" t="s">
        <v>26524</v>
      </c>
      <c r="P4153" t="s">
        <v>26560</v>
      </c>
      <c r="R4153" t="s">
        <v>26582</v>
      </c>
      <c r="S4153" t="s">
        <v>18959</v>
      </c>
      <c r="U4153" t="s">
        <v>26604</v>
      </c>
      <c r="V4153" t="s">
        <v>26610</v>
      </c>
      <c r="W4153" t="s">
        <v>712</v>
      </c>
      <c r="X4153">
        <v>2095.27</v>
      </c>
      <c r="Y4153" t="s">
        <v>26651</v>
      </c>
      <c r="Z4153" t="s">
        <v>26664</v>
      </c>
      <c r="AB4153" t="s">
        <v>30174</v>
      </c>
      <c r="AD4153" t="s">
        <v>40313</v>
      </c>
      <c r="AE4153">
        <v>259</v>
      </c>
      <c r="AF4153" t="s">
        <v>45541</v>
      </c>
      <c r="AG4153" t="s">
        <v>19330</v>
      </c>
      <c r="AH4153">
        <v>3</v>
      </c>
      <c r="AI4153">
        <v>1</v>
      </c>
      <c r="AJ4153">
        <v>0</v>
      </c>
      <c r="AK4153">
        <v>39.34</v>
      </c>
      <c r="AN4153" t="s">
        <v>7439</v>
      </c>
      <c r="AO4153">
        <v>4776</v>
      </c>
      <c r="AU4153">
        <v>20.45</v>
      </c>
      <c r="AV4153" t="s">
        <v>773</v>
      </c>
      <c r="AW4153" t="s">
        <v>46835</v>
      </c>
    </row>
    <row r="4154" spans="1:49">
      <c r="A4154" s="1">
        <f>HYPERLINK("https://lsnyc.legalserver.org/matter/dynamic-profile/view/1886700","18-1886700")</f>
        <v>0</v>
      </c>
      <c r="B4154" t="s">
        <v>56</v>
      </c>
      <c r="C4154" t="s">
        <v>340</v>
      </c>
      <c r="D4154" t="s">
        <v>712</v>
      </c>
      <c r="F4154" t="s">
        <v>1233</v>
      </c>
      <c r="G4154" t="s">
        <v>5094</v>
      </c>
      <c r="H4154" t="s">
        <v>12890</v>
      </c>
      <c r="I4154">
        <v>307</v>
      </c>
      <c r="J4154" t="s">
        <v>18892</v>
      </c>
      <c r="K4154">
        <v>10462</v>
      </c>
      <c r="L4154" t="s">
        <v>18958</v>
      </c>
      <c r="M4154" t="s">
        <v>18958</v>
      </c>
      <c r="N4154" t="s">
        <v>22116</v>
      </c>
      <c r="O4154" t="s">
        <v>26523</v>
      </c>
      <c r="P4154" t="s">
        <v>26560</v>
      </c>
      <c r="R4154" t="s">
        <v>26579</v>
      </c>
      <c r="U4154" t="s">
        <v>26604</v>
      </c>
      <c r="V4154" t="s">
        <v>26610</v>
      </c>
      <c r="W4154" t="s">
        <v>712</v>
      </c>
      <c r="X4154">
        <v>1136</v>
      </c>
      <c r="Y4154" t="s">
        <v>26650</v>
      </c>
      <c r="Z4154" t="s">
        <v>26664</v>
      </c>
      <c r="AB4154" t="s">
        <v>30175</v>
      </c>
      <c r="AD4154" t="s">
        <v>40314</v>
      </c>
      <c r="AE4154">
        <v>0</v>
      </c>
      <c r="AG4154" t="s">
        <v>19330</v>
      </c>
      <c r="AH4154">
        <v>6</v>
      </c>
      <c r="AI4154">
        <v>2</v>
      </c>
      <c r="AJ4154">
        <v>0</v>
      </c>
      <c r="AK4154">
        <v>91.13</v>
      </c>
      <c r="AN4154" t="s">
        <v>7439</v>
      </c>
      <c r="AO4154">
        <v>15000</v>
      </c>
      <c r="AU4154">
        <v>9.25</v>
      </c>
      <c r="AV4154" t="s">
        <v>815</v>
      </c>
      <c r="AW4154" t="s">
        <v>334</v>
      </c>
    </row>
    <row r="4155" spans="1:49">
      <c r="A4155" s="1">
        <f>HYPERLINK("https://lsnyc.legalserver.org/matter/dynamic-profile/view/1886680","18-1886680")</f>
        <v>0</v>
      </c>
      <c r="B4155" t="s">
        <v>119</v>
      </c>
      <c r="C4155" t="s">
        <v>340</v>
      </c>
      <c r="D4155" t="s">
        <v>712</v>
      </c>
      <c r="F4155" t="s">
        <v>1592</v>
      </c>
      <c r="G4155" t="s">
        <v>7200</v>
      </c>
      <c r="H4155" t="s">
        <v>12891</v>
      </c>
      <c r="I4155" t="s">
        <v>17304</v>
      </c>
      <c r="J4155" t="s">
        <v>18893</v>
      </c>
      <c r="K4155">
        <v>10029</v>
      </c>
      <c r="L4155" t="s">
        <v>18958</v>
      </c>
      <c r="M4155" t="s">
        <v>18958</v>
      </c>
      <c r="O4155" t="s">
        <v>26526</v>
      </c>
      <c r="P4155" t="s">
        <v>26563</v>
      </c>
      <c r="R4155" t="s">
        <v>26578</v>
      </c>
      <c r="S4155" t="s">
        <v>18958</v>
      </c>
      <c r="U4155" t="s">
        <v>26604</v>
      </c>
      <c r="V4155" t="s">
        <v>26610</v>
      </c>
      <c r="W4155" t="s">
        <v>712</v>
      </c>
      <c r="X4155">
        <v>1160</v>
      </c>
      <c r="Y4155" t="s">
        <v>26651</v>
      </c>
      <c r="Z4155" t="s">
        <v>26667</v>
      </c>
      <c r="AB4155" t="s">
        <v>30176</v>
      </c>
      <c r="AD4155" t="s">
        <v>40315</v>
      </c>
      <c r="AE4155">
        <v>0</v>
      </c>
      <c r="AF4155" t="s">
        <v>45541</v>
      </c>
      <c r="AG4155" t="s">
        <v>19330</v>
      </c>
      <c r="AH4155">
        <v>22</v>
      </c>
      <c r="AI4155">
        <v>5</v>
      </c>
      <c r="AJ4155">
        <v>0</v>
      </c>
      <c r="AK4155">
        <v>300.48</v>
      </c>
      <c r="AN4155" t="s">
        <v>7439</v>
      </c>
      <c r="AO4155">
        <v>88400</v>
      </c>
      <c r="AU4155">
        <v>0</v>
      </c>
      <c r="AW4155" t="s">
        <v>46835</v>
      </c>
    </row>
    <row r="4156" spans="1:49">
      <c r="A4156" s="1">
        <f>HYPERLINK("https://lsnyc.legalserver.org/matter/dynamic-profile/view/1886662","18-1886662")</f>
        <v>0</v>
      </c>
      <c r="B4156" t="s">
        <v>119</v>
      </c>
      <c r="C4156" t="s">
        <v>340</v>
      </c>
      <c r="D4156" t="s">
        <v>712</v>
      </c>
      <c r="F4156" t="s">
        <v>2951</v>
      </c>
      <c r="G4156" t="s">
        <v>7201</v>
      </c>
      <c r="H4156" t="s">
        <v>12891</v>
      </c>
      <c r="I4156" t="s">
        <v>17538</v>
      </c>
      <c r="J4156" t="s">
        <v>18893</v>
      </c>
      <c r="K4156">
        <v>10029</v>
      </c>
      <c r="L4156" t="s">
        <v>18958</v>
      </c>
      <c r="M4156" t="s">
        <v>18958</v>
      </c>
      <c r="O4156" t="s">
        <v>26526</v>
      </c>
      <c r="P4156" t="s">
        <v>26563</v>
      </c>
      <c r="R4156" t="s">
        <v>26578</v>
      </c>
      <c r="S4156" t="s">
        <v>18958</v>
      </c>
      <c r="U4156" t="s">
        <v>26604</v>
      </c>
      <c r="V4156" t="s">
        <v>26610</v>
      </c>
      <c r="W4156" t="s">
        <v>712</v>
      </c>
      <c r="X4156">
        <v>2300</v>
      </c>
      <c r="Y4156" t="s">
        <v>26651</v>
      </c>
      <c r="Z4156" t="s">
        <v>26667</v>
      </c>
      <c r="AB4156" t="s">
        <v>30177</v>
      </c>
      <c r="AD4156" t="s">
        <v>40316</v>
      </c>
      <c r="AE4156">
        <v>0</v>
      </c>
      <c r="AF4156" t="s">
        <v>45547</v>
      </c>
      <c r="AG4156" t="s">
        <v>19330</v>
      </c>
      <c r="AH4156">
        <v>1</v>
      </c>
      <c r="AI4156">
        <v>4</v>
      </c>
      <c r="AJ4156">
        <v>0</v>
      </c>
      <c r="AK4156">
        <v>350.6</v>
      </c>
      <c r="AN4156" t="s">
        <v>45586</v>
      </c>
      <c r="AO4156">
        <v>88000</v>
      </c>
      <c r="AU4156">
        <v>15</v>
      </c>
      <c r="AV4156" t="s">
        <v>772</v>
      </c>
      <c r="AW4156" t="s">
        <v>46835</v>
      </c>
    </row>
    <row r="4157" spans="1:49">
      <c r="A4157" s="1">
        <f>HYPERLINK("https://lsnyc.legalserver.org/matter/dynamic-profile/view/1886645","18-1886645")</f>
        <v>0</v>
      </c>
      <c r="B4157" t="s">
        <v>199</v>
      </c>
      <c r="C4157" t="s">
        <v>340</v>
      </c>
      <c r="D4157" t="s">
        <v>712</v>
      </c>
      <c r="F4157" t="s">
        <v>2272</v>
      </c>
      <c r="G4157" t="s">
        <v>5454</v>
      </c>
      <c r="H4157" t="s">
        <v>12892</v>
      </c>
      <c r="I4157" t="s">
        <v>18060</v>
      </c>
      <c r="J4157" t="s">
        <v>18894</v>
      </c>
      <c r="K4157">
        <v>11216</v>
      </c>
      <c r="L4157" t="s">
        <v>18958</v>
      </c>
      <c r="M4157" t="s">
        <v>18958</v>
      </c>
      <c r="O4157" t="s">
        <v>18997</v>
      </c>
      <c r="P4157" t="s">
        <v>26565</v>
      </c>
      <c r="R4157" t="s">
        <v>26578</v>
      </c>
      <c r="U4157" t="s">
        <v>26604</v>
      </c>
      <c r="W4157" t="s">
        <v>712</v>
      </c>
      <c r="X4157">
        <v>1010</v>
      </c>
      <c r="Y4157" t="s">
        <v>26652</v>
      </c>
      <c r="Z4157" t="s">
        <v>26659</v>
      </c>
      <c r="AB4157" t="s">
        <v>30178</v>
      </c>
      <c r="AD4157" t="s">
        <v>40317</v>
      </c>
      <c r="AE4157">
        <v>0</v>
      </c>
      <c r="AF4157" t="s">
        <v>45541</v>
      </c>
      <c r="AH4157">
        <v>10</v>
      </c>
      <c r="AI4157">
        <v>3</v>
      </c>
      <c r="AJ4157">
        <v>1</v>
      </c>
      <c r="AK4157">
        <v>87.65000000000001</v>
      </c>
      <c r="AN4157" t="s">
        <v>7439</v>
      </c>
      <c r="AO4157">
        <v>22000</v>
      </c>
      <c r="AU4157">
        <v>3.7</v>
      </c>
      <c r="AV4157" t="s">
        <v>770</v>
      </c>
      <c r="AW4157" t="s">
        <v>219</v>
      </c>
    </row>
    <row r="4158" spans="1:49">
      <c r="A4158" s="1">
        <f>HYPERLINK("https://lsnyc.legalserver.org/matter/dynamic-profile/view/1886633","18-1886633")</f>
        <v>0</v>
      </c>
      <c r="B4158" t="s">
        <v>194</v>
      </c>
      <c r="C4158" t="s">
        <v>340</v>
      </c>
      <c r="D4158" t="s">
        <v>712</v>
      </c>
      <c r="F4158" t="s">
        <v>2952</v>
      </c>
      <c r="G4158" t="s">
        <v>7202</v>
      </c>
      <c r="H4158" t="s">
        <v>12893</v>
      </c>
      <c r="I4158" t="s">
        <v>17325</v>
      </c>
      <c r="J4158" t="s">
        <v>18893</v>
      </c>
      <c r="K4158">
        <v>10019</v>
      </c>
      <c r="L4158" t="s">
        <v>18958</v>
      </c>
      <c r="M4158" t="s">
        <v>18958</v>
      </c>
      <c r="N4158" t="s">
        <v>22117</v>
      </c>
      <c r="O4158" t="s">
        <v>26524</v>
      </c>
      <c r="P4158" t="s">
        <v>26564</v>
      </c>
      <c r="R4158" t="s">
        <v>26582</v>
      </c>
      <c r="S4158" t="s">
        <v>18959</v>
      </c>
      <c r="U4158" t="s">
        <v>26604</v>
      </c>
      <c r="V4158" t="s">
        <v>26610</v>
      </c>
      <c r="W4158" t="s">
        <v>712</v>
      </c>
      <c r="X4158">
        <v>3375</v>
      </c>
      <c r="Y4158" t="s">
        <v>26651</v>
      </c>
      <c r="Z4158" t="s">
        <v>26664</v>
      </c>
      <c r="AB4158" t="s">
        <v>30179</v>
      </c>
      <c r="AD4158" t="s">
        <v>40318</v>
      </c>
      <c r="AE4158">
        <v>54</v>
      </c>
      <c r="AF4158" t="s">
        <v>45547</v>
      </c>
      <c r="AH4158">
        <v>2</v>
      </c>
      <c r="AI4158">
        <v>2</v>
      </c>
      <c r="AJ4158">
        <v>0</v>
      </c>
      <c r="AK4158">
        <v>48</v>
      </c>
      <c r="AN4158" t="s">
        <v>45610</v>
      </c>
      <c r="AO4158">
        <v>7900</v>
      </c>
      <c r="AU4158">
        <v>0.5</v>
      </c>
      <c r="AV4158" t="s">
        <v>573</v>
      </c>
      <c r="AW4158" t="s">
        <v>46835</v>
      </c>
    </row>
    <row r="4159" spans="1:49">
      <c r="A4159" s="1">
        <f>HYPERLINK("https://lsnyc.legalserver.org/matter/dynamic-profile/view/1886630","18-1886630")</f>
        <v>0</v>
      </c>
      <c r="B4159" t="s">
        <v>194</v>
      </c>
      <c r="C4159" t="s">
        <v>340</v>
      </c>
      <c r="D4159" t="s">
        <v>712</v>
      </c>
      <c r="F4159" t="s">
        <v>2541</v>
      </c>
      <c r="G4159" t="s">
        <v>5416</v>
      </c>
      <c r="H4159" t="s">
        <v>12894</v>
      </c>
      <c r="I4159" t="s">
        <v>17299</v>
      </c>
      <c r="J4159" t="s">
        <v>18893</v>
      </c>
      <c r="K4159">
        <v>10040</v>
      </c>
      <c r="L4159" t="s">
        <v>18958</v>
      </c>
      <c r="M4159" t="s">
        <v>18958</v>
      </c>
      <c r="N4159" t="s">
        <v>22118</v>
      </c>
      <c r="O4159" t="s">
        <v>26523</v>
      </c>
      <c r="P4159" t="s">
        <v>26564</v>
      </c>
      <c r="R4159" t="s">
        <v>26582</v>
      </c>
      <c r="S4159" t="s">
        <v>18959</v>
      </c>
      <c r="U4159" t="s">
        <v>26604</v>
      </c>
      <c r="V4159" t="s">
        <v>26610</v>
      </c>
      <c r="W4159" t="s">
        <v>712</v>
      </c>
      <c r="X4159">
        <v>1289</v>
      </c>
      <c r="Y4159" t="s">
        <v>26651</v>
      </c>
      <c r="Z4159" t="s">
        <v>26664</v>
      </c>
      <c r="AB4159" t="s">
        <v>29393</v>
      </c>
      <c r="AD4159" t="s">
        <v>40319</v>
      </c>
      <c r="AE4159">
        <v>126</v>
      </c>
      <c r="AF4159" t="s">
        <v>45541</v>
      </c>
      <c r="AG4159" t="s">
        <v>45559</v>
      </c>
      <c r="AH4159">
        <v>16</v>
      </c>
      <c r="AI4159">
        <v>1</v>
      </c>
      <c r="AJ4159">
        <v>0</v>
      </c>
      <c r="AK4159">
        <v>52.59</v>
      </c>
      <c r="AN4159" t="s">
        <v>7439</v>
      </c>
      <c r="AO4159">
        <v>6384</v>
      </c>
      <c r="AU4159">
        <v>0</v>
      </c>
      <c r="AW4159" t="s">
        <v>46835</v>
      </c>
    </row>
    <row r="4160" spans="1:49">
      <c r="A4160" s="1">
        <f>HYPERLINK("https://lsnyc.legalserver.org/matter/dynamic-profile/view/1886629","18-1886629")</f>
        <v>0</v>
      </c>
      <c r="B4160" t="s">
        <v>194</v>
      </c>
      <c r="C4160" t="s">
        <v>340</v>
      </c>
      <c r="D4160" t="s">
        <v>712</v>
      </c>
      <c r="F4160" t="s">
        <v>1323</v>
      </c>
      <c r="G4160" t="s">
        <v>1725</v>
      </c>
      <c r="H4160" t="s">
        <v>12338</v>
      </c>
      <c r="I4160">
        <v>53</v>
      </c>
      <c r="J4160" t="s">
        <v>18893</v>
      </c>
      <c r="K4160">
        <v>10034</v>
      </c>
      <c r="L4160" t="s">
        <v>18958</v>
      </c>
      <c r="M4160" t="s">
        <v>18958</v>
      </c>
      <c r="N4160" t="s">
        <v>22119</v>
      </c>
      <c r="O4160" t="s">
        <v>26524</v>
      </c>
      <c r="P4160" t="s">
        <v>26564</v>
      </c>
      <c r="R4160" t="s">
        <v>26582</v>
      </c>
      <c r="S4160" t="s">
        <v>18959</v>
      </c>
      <c r="U4160" t="s">
        <v>26604</v>
      </c>
      <c r="V4160" t="s">
        <v>26610</v>
      </c>
      <c r="W4160" t="s">
        <v>712</v>
      </c>
      <c r="X4160">
        <v>312.2</v>
      </c>
      <c r="Y4160" t="s">
        <v>26651</v>
      </c>
      <c r="Z4160" t="s">
        <v>26664</v>
      </c>
      <c r="AB4160" t="s">
        <v>29616</v>
      </c>
      <c r="AD4160" t="s">
        <v>40320</v>
      </c>
      <c r="AE4160">
        <v>26</v>
      </c>
      <c r="AF4160" t="s">
        <v>45548</v>
      </c>
      <c r="AG4160" t="s">
        <v>19330</v>
      </c>
      <c r="AH4160">
        <v>32</v>
      </c>
      <c r="AI4160">
        <v>1</v>
      </c>
      <c r="AJ4160">
        <v>0</v>
      </c>
      <c r="AK4160">
        <v>86.98999999999999</v>
      </c>
      <c r="AN4160" t="s">
        <v>45581</v>
      </c>
      <c r="AO4160">
        <v>10560</v>
      </c>
      <c r="AU4160">
        <v>0.6</v>
      </c>
      <c r="AV4160" t="s">
        <v>668</v>
      </c>
      <c r="AW4160" t="s">
        <v>46835</v>
      </c>
    </row>
    <row r="4161" spans="1:49">
      <c r="A4161" s="1">
        <f>HYPERLINK("https://lsnyc.legalserver.org/matter/dynamic-profile/view/1886636","18-1886636")</f>
        <v>0</v>
      </c>
      <c r="B4161" t="s">
        <v>194</v>
      </c>
      <c r="C4161" t="s">
        <v>340</v>
      </c>
      <c r="D4161" t="s">
        <v>712</v>
      </c>
      <c r="F4161" t="s">
        <v>1562</v>
      </c>
      <c r="G4161" t="s">
        <v>5147</v>
      </c>
      <c r="H4161" t="s">
        <v>12895</v>
      </c>
      <c r="I4161" t="s">
        <v>17316</v>
      </c>
      <c r="J4161" t="s">
        <v>18893</v>
      </c>
      <c r="K4161">
        <v>10128</v>
      </c>
      <c r="L4161" t="s">
        <v>18958</v>
      </c>
      <c r="M4161" t="s">
        <v>18958</v>
      </c>
      <c r="N4161" t="s">
        <v>22120</v>
      </c>
      <c r="O4161" t="s">
        <v>26523</v>
      </c>
      <c r="P4161" t="s">
        <v>26564</v>
      </c>
      <c r="R4161" t="s">
        <v>26582</v>
      </c>
      <c r="S4161" t="s">
        <v>18959</v>
      </c>
      <c r="U4161" t="s">
        <v>26604</v>
      </c>
      <c r="V4161" t="s">
        <v>26610</v>
      </c>
      <c r="W4161" t="s">
        <v>712</v>
      </c>
      <c r="X4161">
        <v>1250</v>
      </c>
      <c r="Y4161" t="s">
        <v>26651</v>
      </c>
      <c r="Z4161" t="s">
        <v>26664</v>
      </c>
      <c r="AB4161" t="s">
        <v>30180</v>
      </c>
      <c r="AD4161" t="s">
        <v>40321</v>
      </c>
      <c r="AE4161">
        <v>578</v>
      </c>
      <c r="AF4161" t="s">
        <v>45541</v>
      </c>
      <c r="AG4161" t="s">
        <v>45556</v>
      </c>
      <c r="AH4161">
        <v>23</v>
      </c>
      <c r="AI4161">
        <v>2</v>
      </c>
      <c r="AJ4161">
        <v>5</v>
      </c>
      <c r="AK4161">
        <v>90.06</v>
      </c>
      <c r="AN4161" t="s">
        <v>7439</v>
      </c>
      <c r="AO4161">
        <v>34278</v>
      </c>
      <c r="AU4161">
        <v>0</v>
      </c>
      <c r="AV4161" t="s">
        <v>772</v>
      </c>
      <c r="AW4161" t="s">
        <v>46835</v>
      </c>
    </row>
    <row r="4162" spans="1:49">
      <c r="A4162" s="1">
        <f>HYPERLINK("https://lsnyc.legalserver.org/matter/dynamic-profile/view/1886631","18-1886631")</f>
        <v>0</v>
      </c>
      <c r="B4162" t="s">
        <v>194</v>
      </c>
      <c r="C4162" t="s">
        <v>340</v>
      </c>
      <c r="D4162" t="s">
        <v>712</v>
      </c>
      <c r="F4162" t="s">
        <v>1250</v>
      </c>
      <c r="G4162" t="s">
        <v>5435</v>
      </c>
      <c r="H4162" t="s">
        <v>12896</v>
      </c>
      <c r="I4162" t="s">
        <v>18061</v>
      </c>
      <c r="J4162" t="s">
        <v>18893</v>
      </c>
      <c r="K4162">
        <v>10040</v>
      </c>
      <c r="L4162" t="s">
        <v>18958</v>
      </c>
      <c r="M4162" t="s">
        <v>18958</v>
      </c>
      <c r="N4162" t="s">
        <v>22121</v>
      </c>
      <c r="O4162" t="s">
        <v>26523</v>
      </c>
      <c r="P4162" t="s">
        <v>26564</v>
      </c>
      <c r="R4162" t="s">
        <v>26582</v>
      </c>
      <c r="S4162" t="s">
        <v>18959</v>
      </c>
      <c r="U4162" t="s">
        <v>26604</v>
      </c>
      <c r="W4162" t="s">
        <v>712</v>
      </c>
      <c r="X4162">
        <v>1607</v>
      </c>
      <c r="Y4162" t="s">
        <v>26651</v>
      </c>
      <c r="Z4162" t="s">
        <v>26664</v>
      </c>
      <c r="AB4162" t="s">
        <v>30181</v>
      </c>
      <c r="AC4162" t="s">
        <v>35729</v>
      </c>
      <c r="AD4162" t="s">
        <v>40322</v>
      </c>
      <c r="AE4162">
        <v>0</v>
      </c>
      <c r="AG4162" t="s">
        <v>19330</v>
      </c>
      <c r="AH4162">
        <v>17</v>
      </c>
      <c r="AI4162">
        <v>1</v>
      </c>
      <c r="AJ4162">
        <v>0</v>
      </c>
      <c r="AK4162">
        <v>192.75</v>
      </c>
      <c r="AN4162" t="s">
        <v>7439</v>
      </c>
      <c r="AO4162">
        <v>23400</v>
      </c>
      <c r="AU4162">
        <v>0</v>
      </c>
      <c r="AW4162" t="s">
        <v>46875</v>
      </c>
    </row>
    <row r="4163" spans="1:49">
      <c r="A4163" s="1">
        <f>HYPERLINK("https://lsnyc.legalserver.org/matter/dynamic-profile/view/1887590","19-1887590")</f>
        <v>0</v>
      </c>
      <c r="B4163" t="s">
        <v>73</v>
      </c>
      <c r="C4163" t="s">
        <v>341</v>
      </c>
      <c r="D4163" t="s">
        <v>415</v>
      </c>
      <c r="E4163" t="s">
        <v>494</v>
      </c>
      <c r="F4163" t="s">
        <v>951</v>
      </c>
      <c r="G4163" t="s">
        <v>5142</v>
      </c>
      <c r="H4163" t="s">
        <v>9718</v>
      </c>
      <c r="I4163" t="s">
        <v>17332</v>
      </c>
      <c r="J4163" t="s">
        <v>18894</v>
      </c>
      <c r="K4163">
        <v>11233</v>
      </c>
      <c r="L4163" t="s">
        <v>18958</v>
      </c>
      <c r="M4163" t="s">
        <v>18958</v>
      </c>
      <c r="O4163" t="s">
        <v>26531</v>
      </c>
      <c r="P4163" t="s">
        <v>26565</v>
      </c>
      <c r="Q4163" t="s">
        <v>26571</v>
      </c>
      <c r="R4163" t="s">
        <v>26578</v>
      </c>
      <c r="S4163" t="s">
        <v>18958</v>
      </c>
      <c r="U4163" t="s">
        <v>26604</v>
      </c>
      <c r="W4163" t="s">
        <v>712</v>
      </c>
      <c r="X4163">
        <v>0</v>
      </c>
      <c r="Y4163" t="s">
        <v>26652</v>
      </c>
      <c r="Z4163" t="s">
        <v>26655</v>
      </c>
      <c r="AA4163" t="s">
        <v>26682</v>
      </c>
      <c r="AB4163" t="s">
        <v>26789</v>
      </c>
      <c r="AE4163">
        <v>7</v>
      </c>
      <c r="AF4163" t="s">
        <v>45541</v>
      </c>
      <c r="AH4163">
        <v>0</v>
      </c>
      <c r="AI4163">
        <v>1</v>
      </c>
      <c r="AJ4163">
        <v>0</v>
      </c>
      <c r="AK4163">
        <v>453.05</v>
      </c>
      <c r="AN4163" t="s">
        <v>7439</v>
      </c>
      <c r="AO4163">
        <v>55000</v>
      </c>
      <c r="AR4163" t="s">
        <v>26530</v>
      </c>
      <c r="AU4163">
        <v>0.2</v>
      </c>
      <c r="AV4163" t="s">
        <v>415</v>
      </c>
      <c r="AW4163" t="s">
        <v>286</v>
      </c>
    </row>
    <row r="4164" spans="1:49">
      <c r="A4164" s="1">
        <f>HYPERLINK("https://lsnyc.legalserver.org/matter/dynamic-profile/view/1885045","18-1885045")</f>
        <v>0</v>
      </c>
      <c r="B4164" t="s">
        <v>135</v>
      </c>
      <c r="C4164" t="s">
        <v>340</v>
      </c>
      <c r="D4164" t="s">
        <v>519</v>
      </c>
      <c r="F4164" t="s">
        <v>1021</v>
      </c>
      <c r="G4164" t="s">
        <v>6129</v>
      </c>
      <c r="H4164" t="s">
        <v>11864</v>
      </c>
      <c r="I4164" t="s">
        <v>18062</v>
      </c>
      <c r="J4164" t="s">
        <v>18892</v>
      </c>
      <c r="K4164">
        <v>10452</v>
      </c>
      <c r="L4164" t="s">
        <v>18958</v>
      </c>
      <c r="M4164" t="s">
        <v>18958</v>
      </c>
      <c r="N4164" t="s">
        <v>22122</v>
      </c>
      <c r="O4164" t="s">
        <v>26523</v>
      </c>
      <c r="P4164" t="s">
        <v>26560</v>
      </c>
      <c r="R4164" t="s">
        <v>26578</v>
      </c>
      <c r="S4164" t="s">
        <v>18959</v>
      </c>
      <c r="U4164" t="s">
        <v>26604</v>
      </c>
      <c r="W4164" t="s">
        <v>26634</v>
      </c>
      <c r="X4164">
        <v>996</v>
      </c>
      <c r="Y4164" t="s">
        <v>26650</v>
      </c>
      <c r="Z4164" t="s">
        <v>26659</v>
      </c>
      <c r="AB4164" t="s">
        <v>30182</v>
      </c>
      <c r="AD4164" t="s">
        <v>40323</v>
      </c>
      <c r="AE4164">
        <v>71</v>
      </c>
      <c r="AF4164" t="s">
        <v>45541</v>
      </c>
      <c r="AG4164" t="s">
        <v>19330</v>
      </c>
      <c r="AH4164">
        <v>5</v>
      </c>
      <c r="AI4164">
        <v>2</v>
      </c>
      <c r="AJ4164">
        <v>0</v>
      </c>
      <c r="AK4164">
        <v>105.71</v>
      </c>
      <c r="AN4164" t="s">
        <v>7439</v>
      </c>
      <c r="AO4164">
        <v>17400</v>
      </c>
      <c r="AU4164">
        <v>12.8</v>
      </c>
      <c r="AV4164" t="s">
        <v>706</v>
      </c>
      <c r="AW4164" t="s">
        <v>46847</v>
      </c>
    </row>
    <row r="4165" spans="1:49">
      <c r="A4165" s="1">
        <f>HYPERLINK("https://lsnyc.legalserver.org/matter/dynamic-profile/view/1860004","18-1860004")</f>
        <v>0</v>
      </c>
      <c r="B4165" t="s">
        <v>217</v>
      </c>
      <c r="C4165" t="s">
        <v>341</v>
      </c>
      <c r="D4165" t="s">
        <v>484</v>
      </c>
      <c r="E4165" t="s">
        <v>665</v>
      </c>
      <c r="F4165" t="s">
        <v>887</v>
      </c>
      <c r="G4165" t="s">
        <v>4588</v>
      </c>
      <c r="H4165" t="s">
        <v>12897</v>
      </c>
      <c r="I4165" t="s">
        <v>17708</v>
      </c>
      <c r="J4165" t="s">
        <v>18892</v>
      </c>
      <c r="K4165">
        <v>10453</v>
      </c>
      <c r="L4165" t="s">
        <v>18958</v>
      </c>
      <c r="M4165" t="s">
        <v>18958</v>
      </c>
      <c r="O4165" t="s">
        <v>26523</v>
      </c>
      <c r="P4165" t="s">
        <v>26564</v>
      </c>
      <c r="Q4165" t="s">
        <v>26570</v>
      </c>
      <c r="R4165" t="s">
        <v>26578</v>
      </c>
      <c r="U4165" t="s">
        <v>26604</v>
      </c>
      <c r="W4165" t="s">
        <v>494</v>
      </c>
      <c r="X4165">
        <v>876.25</v>
      </c>
      <c r="Y4165" t="s">
        <v>26650</v>
      </c>
      <c r="AA4165" t="s">
        <v>26683</v>
      </c>
      <c r="AB4165" t="s">
        <v>30183</v>
      </c>
      <c r="AD4165" t="s">
        <v>40324</v>
      </c>
      <c r="AE4165">
        <v>20</v>
      </c>
      <c r="AH4165">
        <v>20</v>
      </c>
      <c r="AI4165">
        <v>1</v>
      </c>
      <c r="AJ4165">
        <v>0</v>
      </c>
      <c r="AK4165">
        <v>107.46</v>
      </c>
      <c r="AN4165" t="s">
        <v>45581</v>
      </c>
      <c r="AO4165">
        <v>12960</v>
      </c>
      <c r="AP4165" t="s">
        <v>45813</v>
      </c>
      <c r="AU4165">
        <v>1.97</v>
      </c>
      <c r="AV4165" t="s">
        <v>464</v>
      </c>
      <c r="AW4165" t="s">
        <v>46847</v>
      </c>
    </row>
    <row r="4166" spans="1:49">
      <c r="A4166" s="1">
        <f>HYPERLINK("https://lsnyc.legalserver.org/matter/dynamic-profile/view/1871839","18-1871839")</f>
        <v>0</v>
      </c>
      <c r="B4166" t="s">
        <v>238</v>
      </c>
      <c r="C4166" t="s">
        <v>341</v>
      </c>
      <c r="D4166" t="s">
        <v>431</v>
      </c>
      <c r="E4166" t="s">
        <v>494</v>
      </c>
      <c r="F4166" t="s">
        <v>2953</v>
      </c>
      <c r="G4166" t="s">
        <v>7203</v>
      </c>
      <c r="H4166" t="s">
        <v>12898</v>
      </c>
      <c r="I4166" t="s">
        <v>17430</v>
      </c>
      <c r="J4166" t="s">
        <v>18894</v>
      </c>
      <c r="K4166">
        <v>11234</v>
      </c>
      <c r="L4166" t="s">
        <v>18958</v>
      </c>
      <c r="M4166" t="s">
        <v>18958</v>
      </c>
      <c r="N4166" t="s">
        <v>22123</v>
      </c>
      <c r="O4166" t="s">
        <v>26524</v>
      </c>
      <c r="Q4166" t="s">
        <v>26570</v>
      </c>
      <c r="R4166" t="s">
        <v>26586</v>
      </c>
      <c r="U4166" t="s">
        <v>26604</v>
      </c>
      <c r="W4166" t="s">
        <v>494</v>
      </c>
      <c r="X4166">
        <v>1550</v>
      </c>
      <c r="Y4166" t="s">
        <v>26652</v>
      </c>
      <c r="Z4166" t="s">
        <v>26662</v>
      </c>
      <c r="AA4166" t="s">
        <v>26683</v>
      </c>
      <c r="AB4166" t="s">
        <v>30184</v>
      </c>
      <c r="AD4166" t="s">
        <v>40325</v>
      </c>
      <c r="AE4166">
        <v>1</v>
      </c>
      <c r="AH4166">
        <v>1</v>
      </c>
      <c r="AI4166">
        <v>1</v>
      </c>
      <c r="AJ4166">
        <v>0</v>
      </c>
      <c r="AK4166">
        <v>15.82</v>
      </c>
      <c r="AO4166">
        <v>1920</v>
      </c>
      <c r="AU4166">
        <v>0.2</v>
      </c>
      <c r="AV4166" t="s">
        <v>494</v>
      </c>
      <c r="AW4166" t="s">
        <v>46853</v>
      </c>
    </row>
    <row r="4167" spans="1:49">
      <c r="A4167" s="1">
        <f>HYPERLINK("https://lsnyc.legalserver.org/matter/dynamic-profile/view/1871912","18-1871912")</f>
        <v>0</v>
      </c>
      <c r="B4167" t="s">
        <v>180</v>
      </c>
      <c r="C4167" t="s">
        <v>341</v>
      </c>
      <c r="D4167" t="s">
        <v>434</v>
      </c>
      <c r="E4167" t="s">
        <v>494</v>
      </c>
      <c r="F4167" t="s">
        <v>1087</v>
      </c>
      <c r="G4167" t="s">
        <v>5141</v>
      </c>
      <c r="H4167" t="s">
        <v>11640</v>
      </c>
      <c r="I4167" t="s">
        <v>17436</v>
      </c>
      <c r="J4167" t="s">
        <v>18894</v>
      </c>
      <c r="K4167">
        <v>11233</v>
      </c>
      <c r="L4167" t="s">
        <v>18958</v>
      </c>
      <c r="M4167" t="s">
        <v>18958</v>
      </c>
      <c r="N4167" t="s">
        <v>22124</v>
      </c>
      <c r="O4167" t="s">
        <v>26523</v>
      </c>
      <c r="P4167" t="s">
        <v>26560</v>
      </c>
      <c r="Q4167" t="s">
        <v>26568</v>
      </c>
      <c r="R4167" t="s">
        <v>26586</v>
      </c>
      <c r="U4167" t="s">
        <v>26604</v>
      </c>
      <c r="W4167" t="s">
        <v>494</v>
      </c>
      <c r="X4167">
        <v>1123</v>
      </c>
      <c r="Y4167" t="s">
        <v>26652</v>
      </c>
      <c r="Z4167" t="s">
        <v>26659</v>
      </c>
      <c r="AA4167" t="s">
        <v>26678</v>
      </c>
      <c r="AB4167" t="s">
        <v>30185</v>
      </c>
      <c r="AD4167" t="s">
        <v>40326</v>
      </c>
      <c r="AE4167">
        <v>40</v>
      </c>
      <c r="AF4167" t="s">
        <v>45541</v>
      </c>
      <c r="AG4167" t="s">
        <v>45560</v>
      </c>
      <c r="AH4167">
        <v>4</v>
      </c>
      <c r="AI4167">
        <v>1</v>
      </c>
      <c r="AJ4167">
        <v>0</v>
      </c>
      <c r="AK4167">
        <v>205.93</v>
      </c>
      <c r="AL4167" t="s">
        <v>662</v>
      </c>
      <c r="AM4167" t="s">
        <v>45575</v>
      </c>
      <c r="AN4167" t="s">
        <v>7439</v>
      </c>
      <c r="AO4167">
        <v>25000</v>
      </c>
      <c r="AS4167" t="s">
        <v>46499</v>
      </c>
      <c r="AT4167" t="s">
        <v>46517</v>
      </c>
      <c r="AU4167">
        <v>16.4</v>
      </c>
      <c r="AV4167" t="s">
        <v>414</v>
      </c>
      <c r="AW4167" t="s">
        <v>46853</v>
      </c>
    </row>
    <row r="4168" spans="1:49">
      <c r="A4168" s="1">
        <f>HYPERLINK("https://lsnyc.legalserver.org/matter/dynamic-profile/view/1872196","18-1872196")</f>
        <v>0</v>
      </c>
      <c r="B4168" t="s">
        <v>140</v>
      </c>
      <c r="C4168" t="s">
        <v>341</v>
      </c>
      <c r="D4168" t="s">
        <v>435</v>
      </c>
      <c r="E4168" t="s">
        <v>494</v>
      </c>
      <c r="F4168" t="s">
        <v>2018</v>
      </c>
      <c r="G4168" t="s">
        <v>5608</v>
      </c>
      <c r="H4168" t="s">
        <v>12899</v>
      </c>
      <c r="I4168" t="s">
        <v>18063</v>
      </c>
      <c r="J4168" t="s">
        <v>18894</v>
      </c>
      <c r="K4168">
        <v>11224</v>
      </c>
      <c r="L4168" t="s">
        <v>18958</v>
      </c>
      <c r="M4168" t="s">
        <v>18958</v>
      </c>
      <c r="N4168">
        <v>896406</v>
      </c>
      <c r="O4168" t="s">
        <v>26525</v>
      </c>
      <c r="P4168" t="s">
        <v>26563</v>
      </c>
      <c r="Q4168" t="s">
        <v>26571</v>
      </c>
      <c r="R4168" t="s">
        <v>26586</v>
      </c>
      <c r="S4168" t="s">
        <v>18959</v>
      </c>
      <c r="U4168" t="s">
        <v>26605</v>
      </c>
      <c r="W4168" t="s">
        <v>494</v>
      </c>
      <c r="X4168">
        <v>1100</v>
      </c>
      <c r="Y4168" t="s">
        <v>26652</v>
      </c>
      <c r="AA4168" t="s">
        <v>26681</v>
      </c>
      <c r="AB4168" t="s">
        <v>30186</v>
      </c>
      <c r="AD4168" t="s">
        <v>40327</v>
      </c>
      <c r="AE4168">
        <v>0</v>
      </c>
      <c r="AH4168">
        <v>18</v>
      </c>
      <c r="AI4168">
        <v>2</v>
      </c>
      <c r="AJ4168">
        <v>1</v>
      </c>
      <c r="AK4168">
        <v>144.37</v>
      </c>
      <c r="AO4168">
        <v>30000</v>
      </c>
      <c r="AU4168">
        <v>0.8</v>
      </c>
      <c r="AV4168" t="s">
        <v>526</v>
      </c>
      <c r="AW4168" t="s">
        <v>140</v>
      </c>
    </row>
    <row r="4169" spans="1:49">
      <c r="A4169" s="1">
        <f>HYPERLINK("https://lsnyc.legalserver.org/matter/dynamic-profile/view/1873123","18-1873123")</f>
        <v>0</v>
      </c>
      <c r="B4169" t="s">
        <v>100</v>
      </c>
      <c r="C4169" t="s">
        <v>341</v>
      </c>
      <c r="D4169" t="s">
        <v>410</v>
      </c>
      <c r="E4169" t="s">
        <v>678</v>
      </c>
      <c r="F4169" t="s">
        <v>1083</v>
      </c>
      <c r="G4169" t="s">
        <v>5447</v>
      </c>
      <c r="H4169" t="s">
        <v>10135</v>
      </c>
      <c r="I4169" t="s">
        <v>17406</v>
      </c>
      <c r="J4169" t="s">
        <v>18892</v>
      </c>
      <c r="K4169">
        <v>10452</v>
      </c>
      <c r="L4169" t="s">
        <v>18958</v>
      </c>
      <c r="M4169" t="s">
        <v>18958</v>
      </c>
      <c r="O4169" t="s">
        <v>26529</v>
      </c>
      <c r="P4169" t="s">
        <v>26564</v>
      </c>
      <c r="Q4169" t="s">
        <v>26570</v>
      </c>
      <c r="R4169" t="s">
        <v>26578</v>
      </c>
      <c r="S4169" t="s">
        <v>18958</v>
      </c>
      <c r="U4169" t="s">
        <v>26604</v>
      </c>
      <c r="W4169" t="s">
        <v>494</v>
      </c>
      <c r="X4169">
        <v>844.7</v>
      </c>
      <c r="Y4169" t="s">
        <v>26650</v>
      </c>
      <c r="Z4169" t="s">
        <v>26663</v>
      </c>
      <c r="AA4169" t="s">
        <v>26683</v>
      </c>
      <c r="AB4169" t="s">
        <v>30187</v>
      </c>
      <c r="AD4169" t="s">
        <v>40328</v>
      </c>
      <c r="AE4169">
        <v>53</v>
      </c>
      <c r="AF4169" t="s">
        <v>20460</v>
      </c>
      <c r="AG4169" t="s">
        <v>19330</v>
      </c>
      <c r="AH4169">
        <v>3</v>
      </c>
      <c r="AI4169">
        <v>2</v>
      </c>
      <c r="AJ4169">
        <v>0</v>
      </c>
      <c r="AK4169">
        <v>102.87</v>
      </c>
      <c r="AN4169" t="s">
        <v>7439</v>
      </c>
      <c r="AO4169">
        <v>16932</v>
      </c>
      <c r="AP4169" t="s">
        <v>45621</v>
      </c>
      <c r="AU4169">
        <v>1.5</v>
      </c>
      <c r="AV4169" t="s">
        <v>458</v>
      </c>
      <c r="AW4169" t="s">
        <v>46847</v>
      </c>
    </row>
    <row r="4170" spans="1:49">
      <c r="A4170" s="1">
        <f>HYPERLINK("https://lsnyc.legalserver.org/matter/dynamic-profile/view/1873131","18-1873131")</f>
        <v>0</v>
      </c>
      <c r="B4170" t="s">
        <v>158</v>
      </c>
      <c r="C4170" t="s">
        <v>341</v>
      </c>
      <c r="D4170" t="s">
        <v>410</v>
      </c>
      <c r="E4170" t="s">
        <v>494</v>
      </c>
      <c r="F4170" t="s">
        <v>1045</v>
      </c>
      <c r="G4170" t="s">
        <v>7204</v>
      </c>
      <c r="H4170" t="s">
        <v>12900</v>
      </c>
      <c r="I4170" t="s">
        <v>17290</v>
      </c>
      <c r="J4170" t="s">
        <v>18894</v>
      </c>
      <c r="K4170">
        <v>11230</v>
      </c>
      <c r="L4170" t="s">
        <v>18958</v>
      </c>
      <c r="M4170" t="s">
        <v>18958</v>
      </c>
      <c r="N4170" t="s">
        <v>22125</v>
      </c>
      <c r="O4170" t="s">
        <v>26523</v>
      </c>
      <c r="P4170" t="s">
        <v>26564</v>
      </c>
      <c r="Q4170" t="s">
        <v>26570</v>
      </c>
      <c r="R4170" t="s">
        <v>26586</v>
      </c>
      <c r="U4170" t="s">
        <v>26604</v>
      </c>
      <c r="W4170" t="s">
        <v>494</v>
      </c>
      <c r="X4170">
        <v>1463.64</v>
      </c>
      <c r="Y4170" t="s">
        <v>26652</v>
      </c>
      <c r="Z4170" t="s">
        <v>26662</v>
      </c>
      <c r="AA4170" t="s">
        <v>26683</v>
      </c>
      <c r="AB4170" t="s">
        <v>29047</v>
      </c>
      <c r="AD4170" t="s">
        <v>40329</v>
      </c>
      <c r="AE4170">
        <v>42</v>
      </c>
      <c r="AG4170" t="s">
        <v>19330</v>
      </c>
      <c r="AH4170">
        <v>14</v>
      </c>
      <c r="AI4170">
        <v>1</v>
      </c>
      <c r="AJ4170">
        <v>0</v>
      </c>
      <c r="AK4170">
        <v>0</v>
      </c>
      <c r="AN4170" t="s">
        <v>7439</v>
      </c>
      <c r="AO4170">
        <v>0</v>
      </c>
      <c r="AU4170">
        <v>3.8</v>
      </c>
      <c r="AV4170" t="s">
        <v>707</v>
      </c>
      <c r="AW4170" t="s">
        <v>281</v>
      </c>
    </row>
    <row r="4171" spans="1:49">
      <c r="A4171" s="1">
        <f>HYPERLINK("https://lsnyc.legalserver.org/matter/dynamic-profile/view/1873531","18-1873531")</f>
        <v>0</v>
      </c>
      <c r="B4171" t="s">
        <v>98</v>
      </c>
      <c r="C4171" t="s">
        <v>341</v>
      </c>
      <c r="D4171" t="s">
        <v>447</v>
      </c>
      <c r="E4171" t="s">
        <v>494</v>
      </c>
      <c r="F4171" t="s">
        <v>1145</v>
      </c>
      <c r="G4171" t="s">
        <v>7205</v>
      </c>
      <c r="H4171" t="s">
        <v>9760</v>
      </c>
      <c r="I4171" t="s">
        <v>17410</v>
      </c>
      <c r="J4171" t="s">
        <v>18892</v>
      </c>
      <c r="K4171">
        <v>10452</v>
      </c>
      <c r="L4171" t="s">
        <v>18958</v>
      </c>
      <c r="M4171" t="s">
        <v>18958</v>
      </c>
      <c r="O4171" t="s">
        <v>26526</v>
      </c>
      <c r="P4171" t="s">
        <v>26564</v>
      </c>
      <c r="Q4171" t="s">
        <v>26570</v>
      </c>
      <c r="R4171" t="s">
        <v>26578</v>
      </c>
      <c r="S4171" t="s">
        <v>18958</v>
      </c>
      <c r="U4171" t="s">
        <v>26604</v>
      </c>
      <c r="W4171" t="s">
        <v>494</v>
      </c>
      <c r="X4171">
        <v>1200</v>
      </c>
      <c r="Y4171" t="s">
        <v>26650</v>
      </c>
      <c r="Z4171" t="s">
        <v>26655</v>
      </c>
      <c r="AA4171" t="s">
        <v>26683</v>
      </c>
      <c r="AB4171" t="s">
        <v>30188</v>
      </c>
      <c r="AC4171" t="s">
        <v>35730</v>
      </c>
      <c r="AD4171" t="s">
        <v>40330</v>
      </c>
      <c r="AE4171">
        <v>149</v>
      </c>
      <c r="AF4171" t="s">
        <v>45541</v>
      </c>
      <c r="AG4171" t="s">
        <v>19330</v>
      </c>
      <c r="AH4171">
        <v>13</v>
      </c>
      <c r="AI4171">
        <v>1</v>
      </c>
      <c r="AJ4171">
        <v>0</v>
      </c>
      <c r="AK4171">
        <v>88.95999999999999</v>
      </c>
      <c r="AN4171" t="s">
        <v>7439</v>
      </c>
      <c r="AO4171">
        <v>10800</v>
      </c>
      <c r="AU4171">
        <v>0.2</v>
      </c>
      <c r="AV4171" t="s">
        <v>415</v>
      </c>
      <c r="AW4171" t="s">
        <v>46832</v>
      </c>
    </row>
    <row r="4172" spans="1:49">
      <c r="A4172" s="1">
        <f>HYPERLINK("https://lsnyc.legalserver.org/matter/dynamic-profile/view/1874880","18-1874880")</f>
        <v>0</v>
      </c>
      <c r="B4172" t="s">
        <v>216</v>
      </c>
      <c r="C4172" t="s">
        <v>341</v>
      </c>
      <c r="D4172" t="s">
        <v>477</v>
      </c>
      <c r="E4172" t="s">
        <v>494</v>
      </c>
      <c r="F4172" t="s">
        <v>2303</v>
      </c>
      <c r="G4172" t="s">
        <v>6584</v>
      </c>
      <c r="H4172" t="s">
        <v>12901</v>
      </c>
      <c r="I4172" t="s">
        <v>17798</v>
      </c>
      <c r="J4172" t="s">
        <v>18894</v>
      </c>
      <c r="K4172">
        <v>11236</v>
      </c>
      <c r="L4172" t="s">
        <v>18958</v>
      </c>
      <c r="M4172" t="s">
        <v>18958</v>
      </c>
      <c r="N4172" t="s">
        <v>22126</v>
      </c>
      <c r="O4172" t="s">
        <v>26524</v>
      </c>
      <c r="P4172" t="s">
        <v>26560</v>
      </c>
      <c r="Q4172" t="s">
        <v>26573</v>
      </c>
      <c r="R4172" t="s">
        <v>26578</v>
      </c>
      <c r="S4172" t="s">
        <v>18959</v>
      </c>
      <c r="U4172" t="s">
        <v>26604</v>
      </c>
      <c r="W4172" t="s">
        <v>494</v>
      </c>
      <c r="X4172">
        <v>1142.33</v>
      </c>
      <c r="Y4172" t="s">
        <v>26652</v>
      </c>
      <c r="Z4172" t="s">
        <v>26666</v>
      </c>
      <c r="AA4172" t="s">
        <v>26678</v>
      </c>
      <c r="AB4172" t="s">
        <v>27094</v>
      </c>
      <c r="AC4172" t="s">
        <v>35731</v>
      </c>
      <c r="AD4172" t="s">
        <v>40331</v>
      </c>
      <c r="AE4172">
        <v>113</v>
      </c>
      <c r="AF4172" t="s">
        <v>45541</v>
      </c>
      <c r="AG4172" t="s">
        <v>19330</v>
      </c>
      <c r="AH4172">
        <v>15</v>
      </c>
      <c r="AI4172">
        <v>1</v>
      </c>
      <c r="AJ4172">
        <v>2</v>
      </c>
      <c r="AK4172">
        <v>187.68</v>
      </c>
      <c r="AN4172" t="s">
        <v>7439</v>
      </c>
      <c r="AO4172">
        <v>39000</v>
      </c>
      <c r="AU4172">
        <v>4.2</v>
      </c>
      <c r="AV4172" t="s">
        <v>586</v>
      </c>
      <c r="AW4172" t="s">
        <v>279</v>
      </c>
    </row>
    <row r="4173" spans="1:49">
      <c r="A4173" s="1">
        <f>HYPERLINK("https://lsnyc.legalserver.org/matter/dynamic-profile/view/1875479","18-1875479")</f>
        <v>0</v>
      </c>
      <c r="B4173" t="s">
        <v>100</v>
      </c>
      <c r="C4173" t="s">
        <v>340</v>
      </c>
      <c r="D4173" t="s">
        <v>516</v>
      </c>
      <c r="F4173" t="s">
        <v>1062</v>
      </c>
      <c r="G4173" t="s">
        <v>7206</v>
      </c>
      <c r="H4173" t="s">
        <v>10135</v>
      </c>
      <c r="I4173" t="s">
        <v>17316</v>
      </c>
      <c r="J4173" t="s">
        <v>18892</v>
      </c>
      <c r="K4173">
        <v>10452</v>
      </c>
      <c r="L4173" t="s">
        <v>18958</v>
      </c>
      <c r="M4173" t="s">
        <v>18958</v>
      </c>
      <c r="O4173" t="s">
        <v>26534</v>
      </c>
      <c r="P4173" t="s">
        <v>26561</v>
      </c>
      <c r="R4173" t="s">
        <v>26578</v>
      </c>
      <c r="S4173" t="s">
        <v>18958</v>
      </c>
      <c r="U4173" t="s">
        <v>26604</v>
      </c>
      <c r="W4173" t="s">
        <v>494</v>
      </c>
      <c r="X4173">
        <v>1300</v>
      </c>
      <c r="Y4173" t="s">
        <v>26650</v>
      </c>
      <c r="Z4173" t="s">
        <v>26663</v>
      </c>
      <c r="AB4173" t="s">
        <v>30189</v>
      </c>
      <c r="AD4173" t="s">
        <v>40332</v>
      </c>
      <c r="AE4173">
        <v>53</v>
      </c>
      <c r="AF4173" t="s">
        <v>45541</v>
      </c>
      <c r="AG4173" t="s">
        <v>45556</v>
      </c>
      <c r="AH4173">
        <v>2</v>
      </c>
      <c r="AI4173">
        <v>1</v>
      </c>
      <c r="AJ4173">
        <v>0</v>
      </c>
      <c r="AK4173">
        <v>214.17</v>
      </c>
      <c r="AN4173" t="s">
        <v>7439</v>
      </c>
      <c r="AO4173">
        <v>26000</v>
      </c>
      <c r="AP4173" t="s">
        <v>45710</v>
      </c>
      <c r="AU4173">
        <v>8.5</v>
      </c>
      <c r="AV4173" t="s">
        <v>770</v>
      </c>
      <c r="AW4173" t="s">
        <v>100</v>
      </c>
    </row>
    <row r="4174" spans="1:49">
      <c r="A4174" s="1">
        <f>HYPERLINK("https://lsnyc.legalserver.org/matter/dynamic-profile/view/1875665","18-1875665")</f>
        <v>0</v>
      </c>
      <c r="B4174" t="s">
        <v>98</v>
      </c>
      <c r="C4174" t="s">
        <v>341</v>
      </c>
      <c r="D4174" t="s">
        <v>521</v>
      </c>
      <c r="E4174" t="s">
        <v>494</v>
      </c>
      <c r="F4174" t="s">
        <v>2954</v>
      </c>
      <c r="G4174" t="s">
        <v>5147</v>
      </c>
      <c r="H4174" t="s">
        <v>9740</v>
      </c>
      <c r="I4174" t="s">
        <v>17390</v>
      </c>
      <c r="J4174" t="s">
        <v>18892</v>
      </c>
      <c r="K4174">
        <v>10468</v>
      </c>
      <c r="L4174" t="s">
        <v>18958</v>
      </c>
      <c r="M4174" t="s">
        <v>18958</v>
      </c>
      <c r="O4174" t="s">
        <v>26526</v>
      </c>
      <c r="P4174" t="s">
        <v>26564</v>
      </c>
      <c r="Q4174" t="s">
        <v>26570</v>
      </c>
      <c r="R4174" t="s">
        <v>26578</v>
      </c>
      <c r="S4174" t="s">
        <v>18958</v>
      </c>
      <c r="U4174" t="s">
        <v>26604</v>
      </c>
      <c r="W4174" t="s">
        <v>494</v>
      </c>
      <c r="X4174">
        <v>2213</v>
      </c>
      <c r="Y4174" t="s">
        <v>26650</v>
      </c>
      <c r="Z4174" t="s">
        <v>26663</v>
      </c>
      <c r="AA4174" t="s">
        <v>26683</v>
      </c>
      <c r="AB4174" t="s">
        <v>30190</v>
      </c>
      <c r="AE4174">
        <v>58</v>
      </c>
      <c r="AF4174" t="s">
        <v>45541</v>
      </c>
      <c r="AG4174" t="s">
        <v>19330</v>
      </c>
      <c r="AH4174">
        <v>1</v>
      </c>
      <c r="AI4174">
        <v>2</v>
      </c>
      <c r="AJ4174">
        <v>1</v>
      </c>
      <c r="AK4174">
        <v>224.52</v>
      </c>
      <c r="AN4174" t="s">
        <v>45581</v>
      </c>
      <c r="AO4174">
        <v>46656</v>
      </c>
      <c r="AU4174">
        <v>0.2</v>
      </c>
      <c r="AV4174" t="s">
        <v>458</v>
      </c>
      <c r="AW4174" t="s">
        <v>46847</v>
      </c>
    </row>
    <row r="4175" spans="1:49">
      <c r="A4175" s="1">
        <f>HYPERLINK("https://lsnyc.legalserver.org/matter/dynamic-profile/view/1875674","18-1875674")</f>
        <v>0</v>
      </c>
      <c r="B4175" t="s">
        <v>100</v>
      </c>
      <c r="C4175" t="s">
        <v>340</v>
      </c>
      <c r="D4175" t="s">
        <v>521</v>
      </c>
      <c r="F4175" t="s">
        <v>2087</v>
      </c>
      <c r="G4175" t="s">
        <v>5121</v>
      </c>
      <c r="H4175" t="s">
        <v>9724</v>
      </c>
      <c r="I4175" t="s">
        <v>17490</v>
      </c>
      <c r="J4175" t="s">
        <v>18892</v>
      </c>
      <c r="K4175">
        <v>10468</v>
      </c>
      <c r="L4175" t="s">
        <v>18958</v>
      </c>
      <c r="M4175" t="s">
        <v>18958</v>
      </c>
      <c r="N4175" t="s">
        <v>19036</v>
      </c>
      <c r="O4175" t="s">
        <v>26526</v>
      </c>
      <c r="P4175" t="s">
        <v>26560</v>
      </c>
      <c r="R4175" t="s">
        <v>26578</v>
      </c>
      <c r="S4175" t="s">
        <v>18958</v>
      </c>
      <c r="U4175" t="s">
        <v>26604</v>
      </c>
      <c r="W4175" t="s">
        <v>494</v>
      </c>
      <c r="X4175">
        <v>1100</v>
      </c>
      <c r="Y4175" t="s">
        <v>26650</v>
      </c>
      <c r="Z4175" t="s">
        <v>26663</v>
      </c>
      <c r="AB4175" t="s">
        <v>27139</v>
      </c>
      <c r="AD4175" t="s">
        <v>38652</v>
      </c>
      <c r="AE4175">
        <v>0</v>
      </c>
      <c r="AF4175" t="s">
        <v>45541</v>
      </c>
      <c r="AG4175" t="s">
        <v>45556</v>
      </c>
      <c r="AH4175">
        <v>38</v>
      </c>
      <c r="AI4175">
        <v>2</v>
      </c>
      <c r="AJ4175">
        <v>0</v>
      </c>
      <c r="AK4175">
        <v>0</v>
      </c>
      <c r="AN4175" t="s">
        <v>7439</v>
      </c>
      <c r="AO4175">
        <v>0</v>
      </c>
      <c r="AU4175">
        <v>0</v>
      </c>
      <c r="AW4175" t="s">
        <v>46847</v>
      </c>
    </row>
    <row r="4176" spans="1:49">
      <c r="A4176" s="1">
        <f>HYPERLINK("https://lsnyc.legalserver.org/matter/dynamic-profile/view/1875646","18-1875646")</f>
        <v>0</v>
      </c>
      <c r="B4176" t="s">
        <v>100</v>
      </c>
      <c r="C4176" t="s">
        <v>340</v>
      </c>
      <c r="D4176" t="s">
        <v>521</v>
      </c>
      <c r="F4176" t="s">
        <v>871</v>
      </c>
      <c r="G4176" t="s">
        <v>1685</v>
      </c>
      <c r="H4176" t="s">
        <v>9740</v>
      </c>
      <c r="I4176" t="s">
        <v>17277</v>
      </c>
      <c r="J4176" t="s">
        <v>18892</v>
      </c>
      <c r="K4176">
        <v>10468</v>
      </c>
      <c r="L4176" t="s">
        <v>18958</v>
      </c>
      <c r="M4176" t="s">
        <v>18958</v>
      </c>
      <c r="O4176" t="s">
        <v>26534</v>
      </c>
      <c r="P4176" t="s">
        <v>26561</v>
      </c>
      <c r="R4176" t="s">
        <v>26578</v>
      </c>
      <c r="S4176" t="s">
        <v>18958</v>
      </c>
      <c r="U4176" t="s">
        <v>26604</v>
      </c>
      <c r="W4176" t="s">
        <v>494</v>
      </c>
      <c r="X4176">
        <v>1757</v>
      </c>
      <c r="Y4176" t="s">
        <v>26650</v>
      </c>
      <c r="Z4176" t="s">
        <v>26663</v>
      </c>
      <c r="AB4176" t="s">
        <v>27691</v>
      </c>
      <c r="AD4176" t="s">
        <v>38123</v>
      </c>
      <c r="AE4176">
        <v>58</v>
      </c>
      <c r="AF4176" t="s">
        <v>45541</v>
      </c>
      <c r="AG4176" t="s">
        <v>45556</v>
      </c>
      <c r="AH4176">
        <v>9</v>
      </c>
      <c r="AI4176">
        <v>1</v>
      </c>
      <c r="AJ4176">
        <v>1</v>
      </c>
      <c r="AK4176">
        <v>63.18</v>
      </c>
      <c r="AN4176" t="s">
        <v>45581</v>
      </c>
      <c r="AO4176">
        <v>10400</v>
      </c>
      <c r="AU4176">
        <v>0.5</v>
      </c>
      <c r="AV4176" t="s">
        <v>723</v>
      </c>
      <c r="AW4176" t="s">
        <v>46847</v>
      </c>
    </row>
    <row r="4177" spans="1:49">
      <c r="A4177" s="1">
        <f>HYPERLINK("https://lsnyc.legalserver.org/matter/dynamic-profile/view/1875680","18-1875680")</f>
        <v>0</v>
      </c>
      <c r="B4177" t="s">
        <v>100</v>
      </c>
      <c r="C4177" t="s">
        <v>340</v>
      </c>
      <c r="D4177" t="s">
        <v>521</v>
      </c>
      <c r="F4177" t="s">
        <v>2139</v>
      </c>
      <c r="G4177" t="s">
        <v>6319</v>
      </c>
      <c r="H4177" t="s">
        <v>9724</v>
      </c>
      <c r="I4177" t="s">
        <v>17313</v>
      </c>
      <c r="J4177" t="s">
        <v>18892</v>
      </c>
      <c r="K4177">
        <v>10468</v>
      </c>
      <c r="L4177" t="s">
        <v>18958</v>
      </c>
      <c r="M4177" t="s">
        <v>18958</v>
      </c>
      <c r="N4177" t="s">
        <v>19036</v>
      </c>
      <c r="O4177" t="s">
        <v>26526</v>
      </c>
      <c r="P4177" t="s">
        <v>26560</v>
      </c>
      <c r="R4177" t="s">
        <v>26578</v>
      </c>
      <c r="S4177" t="s">
        <v>18958</v>
      </c>
      <c r="U4177" t="s">
        <v>26604</v>
      </c>
      <c r="W4177" t="s">
        <v>494</v>
      </c>
      <c r="X4177">
        <v>907.04</v>
      </c>
      <c r="Y4177" t="s">
        <v>26650</v>
      </c>
      <c r="Z4177" t="s">
        <v>26663</v>
      </c>
      <c r="AB4177" t="s">
        <v>28640</v>
      </c>
      <c r="AD4177" t="s">
        <v>38691</v>
      </c>
      <c r="AE4177">
        <v>0</v>
      </c>
      <c r="AF4177" t="s">
        <v>45548</v>
      </c>
      <c r="AG4177" t="s">
        <v>19330</v>
      </c>
      <c r="AH4177">
        <v>21</v>
      </c>
      <c r="AI4177">
        <v>2</v>
      </c>
      <c r="AJ4177">
        <v>2</v>
      </c>
      <c r="AK4177">
        <v>219.12</v>
      </c>
      <c r="AN4177" t="s">
        <v>7439</v>
      </c>
      <c r="AO4177">
        <v>55000</v>
      </c>
      <c r="AU4177">
        <v>0</v>
      </c>
      <c r="AW4177" t="s">
        <v>46847</v>
      </c>
    </row>
    <row r="4178" spans="1:49">
      <c r="A4178" s="1">
        <f>HYPERLINK("https://lsnyc.legalserver.org/matter/dynamic-profile/view/1875670","18-1875670")</f>
        <v>0</v>
      </c>
      <c r="B4178" t="s">
        <v>100</v>
      </c>
      <c r="C4178" t="s">
        <v>340</v>
      </c>
      <c r="D4178" t="s">
        <v>521</v>
      </c>
      <c r="F4178" t="s">
        <v>2954</v>
      </c>
      <c r="G4178" t="s">
        <v>5147</v>
      </c>
      <c r="H4178" t="s">
        <v>9740</v>
      </c>
      <c r="I4178" t="s">
        <v>17390</v>
      </c>
      <c r="J4178" t="s">
        <v>18892</v>
      </c>
      <c r="K4178">
        <v>10468</v>
      </c>
      <c r="L4178" t="s">
        <v>18958</v>
      </c>
      <c r="M4178" t="s">
        <v>18958</v>
      </c>
      <c r="O4178" t="s">
        <v>26534</v>
      </c>
      <c r="P4178" t="s">
        <v>26562</v>
      </c>
      <c r="R4178" t="s">
        <v>26578</v>
      </c>
      <c r="S4178" t="s">
        <v>18958</v>
      </c>
      <c r="U4178" t="s">
        <v>26604</v>
      </c>
      <c r="W4178" t="s">
        <v>494</v>
      </c>
      <c r="X4178">
        <v>2213</v>
      </c>
      <c r="Y4178" t="s">
        <v>26650</v>
      </c>
      <c r="Z4178" t="s">
        <v>26663</v>
      </c>
      <c r="AB4178" t="s">
        <v>30190</v>
      </c>
      <c r="AE4178">
        <v>58</v>
      </c>
      <c r="AF4178" t="s">
        <v>45541</v>
      </c>
      <c r="AG4178" t="s">
        <v>19330</v>
      </c>
      <c r="AH4178">
        <v>1</v>
      </c>
      <c r="AI4178">
        <v>2</v>
      </c>
      <c r="AJ4178">
        <v>1</v>
      </c>
      <c r="AK4178">
        <v>224.52</v>
      </c>
      <c r="AN4178" t="s">
        <v>45581</v>
      </c>
      <c r="AO4178">
        <v>46656</v>
      </c>
      <c r="AU4178">
        <v>0</v>
      </c>
      <c r="AW4178" t="s">
        <v>46847</v>
      </c>
    </row>
    <row r="4179" spans="1:49">
      <c r="A4179" s="1">
        <f>HYPERLINK("https://lsnyc.legalserver.org/matter/dynamic-profile/view/1876436","18-1876436")</f>
        <v>0</v>
      </c>
      <c r="B4179" t="s">
        <v>236</v>
      </c>
      <c r="C4179" t="s">
        <v>341</v>
      </c>
      <c r="D4179" t="s">
        <v>523</v>
      </c>
      <c r="E4179" t="s">
        <v>779</v>
      </c>
      <c r="F4179" t="s">
        <v>1486</v>
      </c>
      <c r="G4179" t="s">
        <v>5656</v>
      </c>
      <c r="H4179" t="s">
        <v>10489</v>
      </c>
      <c r="I4179" t="s">
        <v>17274</v>
      </c>
      <c r="J4179" t="s">
        <v>18892</v>
      </c>
      <c r="K4179">
        <v>10453</v>
      </c>
      <c r="L4179" t="s">
        <v>18958</v>
      </c>
      <c r="M4179" t="s">
        <v>18958</v>
      </c>
      <c r="O4179" t="s">
        <v>26526</v>
      </c>
      <c r="P4179" t="s">
        <v>26564</v>
      </c>
      <c r="Q4179" t="s">
        <v>26570</v>
      </c>
      <c r="R4179" t="s">
        <v>26578</v>
      </c>
      <c r="S4179" t="s">
        <v>18959</v>
      </c>
      <c r="U4179" t="s">
        <v>26604</v>
      </c>
      <c r="W4179" t="s">
        <v>494</v>
      </c>
      <c r="X4179">
        <v>1020</v>
      </c>
      <c r="Y4179" t="s">
        <v>26650</v>
      </c>
      <c r="Z4179" t="s">
        <v>26663</v>
      </c>
      <c r="AA4179" t="s">
        <v>26683</v>
      </c>
      <c r="AB4179" t="s">
        <v>30191</v>
      </c>
      <c r="AD4179" t="s">
        <v>40333</v>
      </c>
      <c r="AE4179">
        <v>0</v>
      </c>
      <c r="AF4179" t="s">
        <v>45541</v>
      </c>
      <c r="AG4179" t="s">
        <v>19330</v>
      </c>
      <c r="AH4179">
        <v>6</v>
      </c>
      <c r="AI4179">
        <v>2</v>
      </c>
      <c r="AJ4179">
        <v>1</v>
      </c>
      <c r="AK4179">
        <v>0</v>
      </c>
      <c r="AN4179" t="s">
        <v>7439</v>
      </c>
      <c r="AO4179">
        <v>0</v>
      </c>
      <c r="AU4179">
        <v>1</v>
      </c>
      <c r="AV4179" t="s">
        <v>523</v>
      </c>
      <c r="AW4179" t="s">
        <v>236</v>
      </c>
    </row>
    <row r="4180" spans="1:49">
      <c r="A4180" s="1">
        <f>HYPERLINK("https://lsnyc.legalserver.org/matter/dynamic-profile/view/1876547","18-1876547")</f>
        <v>0</v>
      </c>
      <c r="B4180" t="s">
        <v>148</v>
      </c>
      <c r="C4180" t="s">
        <v>341</v>
      </c>
      <c r="D4180" t="s">
        <v>531</v>
      </c>
      <c r="E4180" t="s">
        <v>494</v>
      </c>
      <c r="F4180" t="s">
        <v>1806</v>
      </c>
      <c r="G4180" t="s">
        <v>945</v>
      </c>
      <c r="H4180" t="s">
        <v>12902</v>
      </c>
      <c r="I4180" t="s">
        <v>17366</v>
      </c>
      <c r="J4180" t="s">
        <v>18894</v>
      </c>
      <c r="K4180">
        <v>11218</v>
      </c>
      <c r="L4180" t="s">
        <v>18958</v>
      </c>
      <c r="M4180" t="s">
        <v>18958</v>
      </c>
      <c r="N4180" t="s">
        <v>22127</v>
      </c>
      <c r="O4180" t="s">
        <v>26524</v>
      </c>
      <c r="P4180" t="s">
        <v>26563</v>
      </c>
      <c r="Q4180" t="s">
        <v>26570</v>
      </c>
      <c r="R4180" t="s">
        <v>26586</v>
      </c>
      <c r="U4180" t="s">
        <v>26604</v>
      </c>
      <c r="W4180" t="s">
        <v>494</v>
      </c>
      <c r="X4180">
        <v>906.52</v>
      </c>
      <c r="Y4180" t="s">
        <v>26652</v>
      </c>
      <c r="Z4180" t="s">
        <v>26664</v>
      </c>
      <c r="AA4180" t="s">
        <v>26683</v>
      </c>
      <c r="AB4180" t="s">
        <v>30192</v>
      </c>
      <c r="AD4180" t="s">
        <v>40334</v>
      </c>
      <c r="AE4180">
        <v>83</v>
      </c>
      <c r="AG4180" t="s">
        <v>19330</v>
      </c>
      <c r="AH4180">
        <v>21</v>
      </c>
      <c r="AI4180">
        <v>1</v>
      </c>
      <c r="AJ4180">
        <v>0</v>
      </c>
      <c r="AK4180">
        <v>81.94</v>
      </c>
      <c r="AN4180" t="s">
        <v>7439</v>
      </c>
      <c r="AO4180">
        <v>9948</v>
      </c>
      <c r="AU4180">
        <v>4.25</v>
      </c>
      <c r="AV4180" t="s">
        <v>702</v>
      </c>
      <c r="AW4180" t="s">
        <v>281</v>
      </c>
    </row>
    <row r="4181" spans="1:49">
      <c r="A4181" s="1">
        <f>HYPERLINK("https://lsnyc.legalserver.org/matter/dynamic-profile/view/1876863","18-1876863")</f>
        <v>0</v>
      </c>
      <c r="B4181" t="s">
        <v>98</v>
      </c>
      <c r="C4181" t="s">
        <v>341</v>
      </c>
      <c r="D4181" t="s">
        <v>422</v>
      </c>
      <c r="E4181" t="s">
        <v>494</v>
      </c>
      <c r="F4181" t="s">
        <v>2955</v>
      </c>
      <c r="G4181" t="s">
        <v>7207</v>
      </c>
      <c r="H4181" t="s">
        <v>9760</v>
      </c>
      <c r="I4181" t="s">
        <v>17334</v>
      </c>
      <c r="J4181" t="s">
        <v>18892</v>
      </c>
      <c r="K4181">
        <v>10452</v>
      </c>
      <c r="L4181" t="s">
        <v>18958</v>
      </c>
      <c r="M4181" t="s">
        <v>18958</v>
      </c>
      <c r="O4181" t="s">
        <v>26526</v>
      </c>
      <c r="P4181" t="s">
        <v>26564</v>
      </c>
      <c r="Q4181" t="s">
        <v>26570</v>
      </c>
      <c r="R4181" t="s">
        <v>26578</v>
      </c>
      <c r="S4181" t="s">
        <v>18958</v>
      </c>
      <c r="U4181" t="s">
        <v>26604</v>
      </c>
      <c r="W4181" t="s">
        <v>494</v>
      </c>
      <c r="X4181">
        <v>1500</v>
      </c>
      <c r="Y4181" t="s">
        <v>26650</v>
      </c>
      <c r="Z4181" t="s">
        <v>26663</v>
      </c>
      <c r="AA4181" t="s">
        <v>26683</v>
      </c>
      <c r="AB4181" t="s">
        <v>30193</v>
      </c>
      <c r="AC4181">
        <v>7419954</v>
      </c>
      <c r="AD4181" t="s">
        <v>40335</v>
      </c>
      <c r="AE4181">
        <v>149</v>
      </c>
      <c r="AF4181" t="s">
        <v>20460</v>
      </c>
      <c r="AG4181" t="s">
        <v>45561</v>
      </c>
      <c r="AH4181">
        <v>2</v>
      </c>
      <c r="AI4181">
        <v>1</v>
      </c>
      <c r="AJ4181">
        <v>1</v>
      </c>
      <c r="AK4181">
        <v>61.36</v>
      </c>
      <c r="AN4181" t="s">
        <v>7439</v>
      </c>
      <c r="AO4181">
        <v>10100</v>
      </c>
      <c r="AU4181">
        <v>0.2</v>
      </c>
      <c r="AV4181" t="s">
        <v>415</v>
      </c>
      <c r="AW4181" t="s">
        <v>46832</v>
      </c>
    </row>
    <row r="4182" spans="1:49">
      <c r="A4182" s="1">
        <f>HYPERLINK("https://lsnyc.legalserver.org/matter/dynamic-profile/view/1876929","18-1876929")</f>
        <v>0</v>
      </c>
      <c r="B4182" t="s">
        <v>115</v>
      </c>
      <c r="C4182" t="s">
        <v>340</v>
      </c>
      <c r="D4182" t="s">
        <v>524</v>
      </c>
      <c r="F4182" t="s">
        <v>2955</v>
      </c>
      <c r="G4182" t="s">
        <v>7207</v>
      </c>
      <c r="H4182" t="s">
        <v>9760</v>
      </c>
      <c r="I4182" t="s">
        <v>17334</v>
      </c>
      <c r="J4182" t="s">
        <v>18892</v>
      </c>
      <c r="K4182">
        <v>10452</v>
      </c>
      <c r="L4182" t="s">
        <v>18958</v>
      </c>
      <c r="M4182" t="s">
        <v>18958</v>
      </c>
      <c r="O4182" t="s">
        <v>18997</v>
      </c>
      <c r="P4182" t="s">
        <v>26562</v>
      </c>
      <c r="R4182" t="s">
        <v>26578</v>
      </c>
      <c r="S4182" t="s">
        <v>18958</v>
      </c>
      <c r="U4182" t="s">
        <v>26604</v>
      </c>
      <c r="W4182" t="s">
        <v>494</v>
      </c>
      <c r="X4182">
        <v>15000</v>
      </c>
      <c r="Y4182" t="s">
        <v>26650</v>
      </c>
      <c r="Z4182" t="s">
        <v>26663</v>
      </c>
      <c r="AB4182" t="s">
        <v>30193</v>
      </c>
      <c r="AC4182">
        <v>7419954</v>
      </c>
      <c r="AD4182" t="s">
        <v>40335</v>
      </c>
      <c r="AE4182">
        <v>149</v>
      </c>
      <c r="AF4182" t="s">
        <v>20460</v>
      </c>
      <c r="AG4182" t="s">
        <v>45561</v>
      </c>
      <c r="AH4182">
        <v>2</v>
      </c>
      <c r="AI4182">
        <v>1</v>
      </c>
      <c r="AJ4182">
        <v>1</v>
      </c>
      <c r="AK4182">
        <v>61.36</v>
      </c>
      <c r="AN4182" t="s">
        <v>7439</v>
      </c>
      <c r="AO4182">
        <v>10100</v>
      </c>
      <c r="AU4182">
        <v>0</v>
      </c>
      <c r="AW4182" t="s">
        <v>46832</v>
      </c>
    </row>
    <row r="4183" spans="1:49">
      <c r="A4183" s="1">
        <f>HYPERLINK("https://lsnyc.legalserver.org/matter/dynamic-profile/view/1877271","18-1877271")</f>
        <v>0</v>
      </c>
      <c r="B4183" t="s">
        <v>98</v>
      </c>
      <c r="C4183" t="s">
        <v>341</v>
      </c>
      <c r="D4183" t="s">
        <v>576</v>
      </c>
      <c r="E4183" t="s">
        <v>494</v>
      </c>
      <c r="F4183" t="s">
        <v>2956</v>
      </c>
      <c r="G4183" t="s">
        <v>7208</v>
      </c>
      <c r="H4183" t="s">
        <v>9760</v>
      </c>
      <c r="I4183" t="s">
        <v>18064</v>
      </c>
      <c r="J4183" t="s">
        <v>18892</v>
      </c>
      <c r="K4183">
        <v>10452</v>
      </c>
      <c r="L4183" t="s">
        <v>18958</v>
      </c>
      <c r="M4183" t="s">
        <v>18958</v>
      </c>
      <c r="O4183" t="s">
        <v>26526</v>
      </c>
      <c r="P4183" t="s">
        <v>26564</v>
      </c>
      <c r="Q4183" t="s">
        <v>26570</v>
      </c>
      <c r="R4183" t="s">
        <v>26578</v>
      </c>
      <c r="S4183" t="s">
        <v>18958</v>
      </c>
      <c r="U4183" t="s">
        <v>26604</v>
      </c>
      <c r="W4183" t="s">
        <v>494</v>
      </c>
      <c r="X4183">
        <v>79</v>
      </c>
      <c r="Y4183" t="s">
        <v>26650</v>
      </c>
      <c r="Z4183" t="s">
        <v>26663</v>
      </c>
      <c r="AA4183" t="s">
        <v>26683</v>
      </c>
      <c r="AB4183" t="s">
        <v>30194</v>
      </c>
      <c r="AD4183" t="s">
        <v>40336</v>
      </c>
      <c r="AE4183">
        <v>149</v>
      </c>
      <c r="AF4183" t="s">
        <v>45541</v>
      </c>
      <c r="AG4183" t="s">
        <v>45556</v>
      </c>
      <c r="AH4183">
        <v>17</v>
      </c>
      <c r="AI4183">
        <v>2</v>
      </c>
      <c r="AJ4183">
        <v>0</v>
      </c>
      <c r="AK4183">
        <v>17.02</v>
      </c>
      <c r="AN4183" t="s">
        <v>45581</v>
      </c>
      <c r="AO4183">
        <v>2802</v>
      </c>
      <c r="AU4183">
        <v>0.2</v>
      </c>
      <c r="AV4183" t="s">
        <v>415</v>
      </c>
      <c r="AW4183" t="s">
        <v>46832</v>
      </c>
    </row>
    <row r="4184" spans="1:49">
      <c r="A4184" s="1">
        <f>HYPERLINK("https://lsnyc.legalserver.org/matter/dynamic-profile/view/1882286","18-1882286")</f>
        <v>0</v>
      </c>
      <c r="B4184" t="s">
        <v>63</v>
      </c>
      <c r="C4184" t="s">
        <v>340</v>
      </c>
      <c r="D4184" t="s">
        <v>578</v>
      </c>
      <c r="F4184" t="s">
        <v>1080</v>
      </c>
      <c r="G4184" t="s">
        <v>5147</v>
      </c>
      <c r="H4184" t="s">
        <v>10918</v>
      </c>
      <c r="I4184" t="s">
        <v>18065</v>
      </c>
      <c r="J4184" t="s">
        <v>18892</v>
      </c>
      <c r="K4184">
        <v>10451</v>
      </c>
      <c r="L4184" t="s">
        <v>18958</v>
      </c>
      <c r="M4184" t="s">
        <v>18958</v>
      </c>
      <c r="N4184" t="s">
        <v>22128</v>
      </c>
      <c r="O4184" t="s">
        <v>26526</v>
      </c>
      <c r="P4184" t="s">
        <v>26560</v>
      </c>
      <c r="R4184" t="s">
        <v>26578</v>
      </c>
      <c r="S4184" t="s">
        <v>18958</v>
      </c>
      <c r="U4184" t="s">
        <v>26604</v>
      </c>
      <c r="W4184" t="s">
        <v>494</v>
      </c>
      <c r="X4184">
        <v>1053.15</v>
      </c>
      <c r="Y4184" t="s">
        <v>26650</v>
      </c>
      <c r="Z4184" t="s">
        <v>26663</v>
      </c>
      <c r="AB4184" t="s">
        <v>30195</v>
      </c>
      <c r="AD4184" t="s">
        <v>40337</v>
      </c>
      <c r="AE4184">
        <v>100</v>
      </c>
      <c r="AF4184" t="s">
        <v>45541</v>
      </c>
      <c r="AG4184" t="s">
        <v>19330</v>
      </c>
      <c r="AH4184">
        <v>21</v>
      </c>
      <c r="AI4184">
        <v>2</v>
      </c>
      <c r="AJ4184">
        <v>0</v>
      </c>
      <c r="AK4184">
        <v>29.16</v>
      </c>
      <c r="AN4184" t="s">
        <v>45581</v>
      </c>
      <c r="AO4184">
        <v>4800</v>
      </c>
      <c r="AU4184">
        <v>0</v>
      </c>
      <c r="AW4184" t="s">
        <v>336</v>
      </c>
    </row>
    <row r="4185" spans="1:49">
      <c r="A4185" s="1">
        <f>HYPERLINK("https://lsnyc.legalserver.org/matter/dynamic-profile/view/1882287","18-1882287")</f>
        <v>0</v>
      </c>
      <c r="B4185" t="s">
        <v>63</v>
      </c>
      <c r="C4185" t="s">
        <v>340</v>
      </c>
      <c r="D4185" t="s">
        <v>578</v>
      </c>
      <c r="F4185" t="s">
        <v>1250</v>
      </c>
      <c r="G4185" t="s">
        <v>7209</v>
      </c>
      <c r="H4185" t="s">
        <v>10918</v>
      </c>
      <c r="I4185" t="s">
        <v>17634</v>
      </c>
      <c r="J4185" t="s">
        <v>18892</v>
      </c>
      <c r="K4185">
        <v>10451</v>
      </c>
      <c r="L4185" t="s">
        <v>18958</v>
      </c>
      <c r="M4185" t="s">
        <v>18958</v>
      </c>
      <c r="N4185" t="s">
        <v>22128</v>
      </c>
      <c r="O4185" t="s">
        <v>26526</v>
      </c>
      <c r="P4185" t="s">
        <v>26560</v>
      </c>
      <c r="R4185" t="s">
        <v>26578</v>
      </c>
      <c r="S4185" t="s">
        <v>18958</v>
      </c>
      <c r="U4185" t="s">
        <v>26604</v>
      </c>
      <c r="W4185" t="s">
        <v>494</v>
      </c>
      <c r="X4185">
        <v>1205</v>
      </c>
      <c r="Y4185" t="s">
        <v>26650</v>
      </c>
      <c r="Z4185" t="s">
        <v>26663</v>
      </c>
      <c r="AB4185" t="s">
        <v>30196</v>
      </c>
      <c r="AD4185" t="s">
        <v>40338</v>
      </c>
      <c r="AE4185">
        <v>100</v>
      </c>
      <c r="AF4185" t="s">
        <v>45541</v>
      </c>
      <c r="AG4185" t="s">
        <v>45556</v>
      </c>
      <c r="AH4185">
        <v>46</v>
      </c>
      <c r="AI4185">
        <v>2</v>
      </c>
      <c r="AJ4185">
        <v>0</v>
      </c>
      <c r="AK4185">
        <v>57.81</v>
      </c>
      <c r="AN4185" t="s">
        <v>45581</v>
      </c>
      <c r="AO4185">
        <v>9516</v>
      </c>
      <c r="AU4185">
        <v>0</v>
      </c>
      <c r="AW4185" t="s">
        <v>336</v>
      </c>
    </row>
    <row r="4186" spans="1:49">
      <c r="A4186" s="1">
        <f>HYPERLINK("https://lsnyc.legalserver.org/matter/dynamic-profile/view/1877569","18-1877569")</f>
        <v>0</v>
      </c>
      <c r="B4186" t="s">
        <v>98</v>
      </c>
      <c r="C4186" t="s">
        <v>341</v>
      </c>
      <c r="D4186" t="s">
        <v>545</v>
      </c>
      <c r="E4186" t="s">
        <v>494</v>
      </c>
      <c r="F4186" t="s">
        <v>1397</v>
      </c>
      <c r="G4186" t="s">
        <v>5121</v>
      </c>
      <c r="H4186" t="s">
        <v>9760</v>
      </c>
      <c r="I4186" t="s">
        <v>17454</v>
      </c>
      <c r="J4186" t="s">
        <v>18892</v>
      </c>
      <c r="K4186">
        <v>10452</v>
      </c>
      <c r="L4186" t="s">
        <v>18958</v>
      </c>
      <c r="M4186" t="s">
        <v>18958</v>
      </c>
      <c r="O4186" t="s">
        <v>26526</v>
      </c>
      <c r="P4186" t="s">
        <v>26564</v>
      </c>
      <c r="Q4186" t="s">
        <v>26570</v>
      </c>
      <c r="R4186" t="s">
        <v>26578</v>
      </c>
      <c r="S4186" t="s">
        <v>18958</v>
      </c>
      <c r="U4186" t="s">
        <v>26604</v>
      </c>
      <c r="W4186" t="s">
        <v>494</v>
      </c>
      <c r="X4186">
        <v>251</v>
      </c>
      <c r="Y4186" t="s">
        <v>26650</v>
      </c>
      <c r="Z4186" t="s">
        <v>26663</v>
      </c>
      <c r="AA4186" t="s">
        <v>26683</v>
      </c>
      <c r="AB4186" t="s">
        <v>30197</v>
      </c>
      <c r="AD4186" t="s">
        <v>40339</v>
      </c>
      <c r="AE4186">
        <v>149</v>
      </c>
      <c r="AF4186" t="s">
        <v>45541</v>
      </c>
      <c r="AG4186" t="s">
        <v>19330</v>
      </c>
      <c r="AH4186">
        <v>0</v>
      </c>
      <c r="AI4186">
        <v>1</v>
      </c>
      <c r="AJ4186">
        <v>0</v>
      </c>
      <c r="AK4186">
        <v>82.73</v>
      </c>
      <c r="AN4186" t="s">
        <v>7439</v>
      </c>
      <c r="AO4186">
        <v>10044</v>
      </c>
      <c r="AU4186">
        <v>0.2</v>
      </c>
      <c r="AV4186" t="s">
        <v>415</v>
      </c>
      <c r="AW4186" t="s">
        <v>46832</v>
      </c>
    </row>
    <row r="4187" spans="1:49">
      <c r="A4187" s="1">
        <f>HYPERLINK("https://lsnyc.legalserver.org/matter/dynamic-profile/view/1877604","18-1877604")</f>
        <v>0</v>
      </c>
      <c r="B4187" t="s">
        <v>98</v>
      </c>
      <c r="C4187" t="s">
        <v>341</v>
      </c>
      <c r="D4187" t="s">
        <v>545</v>
      </c>
      <c r="E4187" t="s">
        <v>494</v>
      </c>
      <c r="F4187" t="s">
        <v>1000</v>
      </c>
      <c r="G4187" t="s">
        <v>5269</v>
      </c>
      <c r="H4187" t="s">
        <v>9760</v>
      </c>
      <c r="I4187" t="s">
        <v>17315</v>
      </c>
      <c r="J4187" t="s">
        <v>18892</v>
      </c>
      <c r="K4187">
        <v>10452</v>
      </c>
      <c r="L4187" t="s">
        <v>18958</v>
      </c>
      <c r="M4187" t="s">
        <v>18958</v>
      </c>
      <c r="O4187" t="s">
        <v>26526</v>
      </c>
      <c r="P4187" t="s">
        <v>26564</v>
      </c>
      <c r="Q4187" t="s">
        <v>26570</v>
      </c>
      <c r="R4187" t="s">
        <v>26578</v>
      </c>
      <c r="S4187" t="s">
        <v>18958</v>
      </c>
      <c r="U4187" t="s">
        <v>26604</v>
      </c>
      <c r="W4187" t="s">
        <v>494</v>
      </c>
      <c r="X4187">
        <v>1175</v>
      </c>
      <c r="Y4187" t="s">
        <v>26650</v>
      </c>
      <c r="Z4187" t="s">
        <v>26663</v>
      </c>
      <c r="AA4187" t="s">
        <v>26683</v>
      </c>
      <c r="AB4187" t="s">
        <v>29917</v>
      </c>
      <c r="AD4187" t="s">
        <v>40340</v>
      </c>
      <c r="AE4187">
        <v>149</v>
      </c>
      <c r="AF4187" t="s">
        <v>45541</v>
      </c>
      <c r="AG4187" t="s">
        <v>19330</v>
      </c>
      <c r="AH4187">
        <v>5</v>
      </c>
      <c r="AI4187">
        <v>1</v>
      </c>
      <c r="AJ4187">
        <v>0</v>
      </c>
      <c r="AK4187">
        <v>617.79</v>
      </c>
      <c r="AN4187" t="s">
        <v>7439</v>
      </c>
      <c r="AO4187">
        <v>75000</v>
      </c>
      <c r="AU4187">
        <v>0.2</v>
      </c>
      <c r="AV4187" t="s">
        <v>415</v>
      </c>
      <c r="AW4187" t="s">
        <v>46832</v>
      </c>
    </row>
    <row r="4188" spans="1:49">
      <c r="A4188" s="1">
        <f>HYPERLINK("https://lsnyc.legalserver.org/matter/dynamic-profile/view/1881813","18-1881813")</f>
        <v>0</v>
      </c>
      <c r="B4188" t="s">
        <v>63</v>
      </c>
      <c r="C4188" t="s">
        <v>340</v>
      </c>
      <c r="D4188" t="s">
        <v>545</v>
      </c>
      <c r="F4188" t="s">
        <v>2957</v>
      </c>
      <c r="G4188" t="s">
        <v>3056</v>
      </c>
      <c r="H4188" t="s">
        <v>10918</v>
      </c>
      <c r="I4188" t="s">
        <v>18066</v>
      </c>
      <c r="J4188" t="s">
        <v>18892</v>
      </c>
      <c r="K4188">
        <v>10451</v>
      </c>
      <c r="L4188" t="s">
        <v>18958</v>
      </c>
      <c r="M4188" t="s">
        <v>18958</v>
      </c>
      <c r="N4188" t="s">
        <v>22128</v>
      </c>
      <c r="O4188" t="s">
        <v>26526</v>
      </c>
      <c r="P4188" t="s">
        <v>26560</v>
      </c>
      <c r="R4188" t="s">
        <v>26578</v>
      </c>
      <c r="S4188" t="s">
        <v>18958</v>
      </c>
      <c r="U4188" t="s">
        <v>26604</v>
      </c>
      <c r="W4188" t="s">
        <v>494</v>
      </c>
      <c r="X4188">
        <v>997</v>
      </c>
      <c r="Y4188" t="s">
        <v>26650</v>
      </c>
      <c r="Z4188" t="s">
        <v>26663</v>
      </c>
      <c r="AB4188" t="s">
        <v>30198</v>
      </c>
      <c r="AE4188">
        <v>100</v>
      </c>
      <c r="AF4188" t="s">
        <v>45541</v>
      </c>
      <c r="AG4188" t="s">
        <v>19330</v>
      </c>
      <c r="AH4188">
        <v>4</v>
      </c>
      <c r="AI4188">
        <v>3</v>
      </c>
      <c r="AJ4188">
        <v>0</v>
      </c>
      <c r="AK4188">
        <v>115.5</v>
      </c>
      <c r="AN4188" t="s">
        <v>7439</v>
      </c>
      <c r="AO4188">
        <v>24000</v>
      </c>
      <c r="AP4188" t="s">
        <v>45814</v>
      </c>
      <c r="AU4188">
        <v>0</v>
      </c>
      <c r="AW4188" t="s">
        <v>336</v>
      </c>
    </row>
    <row r="4189" spans="1:49">
      <c r="A4189" s="1">
        <f>HYPERLINK("https://lsnyc.legalserver.org/matter/dynamic-profile/view/1877662","18-1877662")</f>
        <v>0</v>
      </c>
      <c r="B4189" t="s">
        <v>115</v>
      </c>
      <c r="C4189" t="s">
        <v>340</v>
      </c>
      <c r="D4189" t="s">
        <v>586</v>
      </c>
      <c r="F4189" t="s">
        <v>2958</v>
      </c>
      <c r="G4189" t="s">
        <v>7210</v>
      </c>
      <c r="H4189" t="s">
        <v>9760</v>
      </c>
      <c r="I4189" t="s">
        <v>17910</v>
      </c>
      <c r="J4189" t="s">
        <v>18892</v>
      </c>
      <c r="K4189">
        <v>10452</v>
      </c>
      <c r="L4189" t="s">
        <v>18958</v>
      </c>
      <c r="M4189" t="s">
        <v>18958</v>
      </c>
      <c r="N4189" t="s">
        <v>19426</v>
      </c>
      <c r="O4189" t="s">
        <v>26526</v>
      </c>
      <c r="P4189" t="s">
        <v>26560</v>
      </c>
      <c r="R4189" t="s">
        <v>26578</v>
      </c>
      <c r="S4189" t="s">
        <v>18958</v>
      </c>
      <c r="U4189" t="s">
        <v>26604</v>
      </c>
      <c r="W4189" t="s">
        <v>494</v>
      </c>
      <c r="X4189">
        <v>230</v>
      </c>
      <c r="Y4189" t="s">
        <v>26650</v>
      </c>
      <c r="Z4189" t="s">
        <v>26663</v>
      </c>
      <c r="AB4189" t="s">
        <v>30199</v>
      </c>
      <c r="AC4189" t="s">
        <v>35732</v>
      </c>
      <c r="AD4189" t="s">
        <v>40341</v>
      </c>
      <c r="AE4189">
        <v>149</v>
      </c>
      <c r="AF4189" t="s">
        <v>45541</v>
      </c>
      <c r="AG4189" t="s">
        <v>45561</v>
      </c>
      <c r="AH4189">
        <v>27</v>
      </c>
      <c r="AI4189">
        <v>1</v>
      </c>
      <c r="AJ4189">
        <v>1</v>
      </c>
      <c r="AK4189">
        <v>53.66</v>
      </c>
      <c r="AN4189" t="s">
        <v>45581</v>
      </c>
      <c r="AO4189">
        <v>8832</v>
      </c>
      <c r="AU4189">
        <v>1.5</v>
      </c>
      <c r="AV4189" t="s">
        <v>632</v>
      </c>
      <c r="AW4189" t="s">
        <v>46832</v>
      </c>
    </row>
    <row r="4190" spans="1:49">
      <c r="A4190" s="1">
        <f>HYPERLINK("https://lsnyc.legalserver.org/matter/dynamic-profile/view/1877700","18-1877700")</f>
        <v>0</v>
      </c>
      <c r="B4190" t="s">
        <v>115</v>
      </c>
      <c r="C4190" t="s">
        <v>340</v>
      </c>
      <c r="D4190" t="s">
        <v>586</v>
      </c>
      <c r="F4190" t="s">
        <v>2958</v>
      </c>
      <c r="G4190" t="s">
        <v>7210</v>
      </c>
      <c r="H4190" t="s">
        <v>9760</v>
      </c>
      <c r="I4190" t="s">
        <v>17910</v>
      </c>
      <c r="J4190" t="s">
        <v>18892</v>
      </c>
      <c r="K4190">
        <v>10452</v>
      </c>
      <c r="L4190" t="s">
        <v>18958</v>
      </c>
      <c r="M4190" t="s">
        <v>18958</v>
      </c>
      <c r="O4190" t="s">
        <v>18997</v>
      </c>
      <c r="P4190" t="s">
        <v>26562</v>
      </c>
      <c r="R4190" t="s">
        <v>26578</v>
      </c>
      <c r="S4190" t="s">
        <v>18958</v>
      </c>
      <c r="U4190" t="s">
        <v>26604</v>
      </c>
      <c r="W4190" t="s">
        <v>494</v>
      </c>
      <c r="X4190">
        <v>230</v>
      </c>
      <c r="Y4190" t="s">
        <v>26650</v>
      </c>
      <c r="Z4190" t="s">
        <v>26663</v>
      </c>
      <c r="AB4190" t="s">
        <v>30199</v>
      </c>
      <c r="AC4190" t="s">
        <v>35732</v>
      </c>
      <c r="AD4190" t="s">
        <v>40341</v>
      </c>
      <c r="AE4190">
        <v>149</v>
      </c>
      <c r="AF4190" t="s">
        <v>45541</v>
      </c>
      <c r="AG4190" t="s">
        <v>45561</v>
      </c>
      <c r="AH4190">
        <v>27</v>
      </c>
      <c r="AI4190">
        <v>1</v>
      </c>
      <c r="AJ4190">
        <v>1</v>
      </c>
      <c r="AK4190">
        <v>53.66</v>
      </c>
      <c r="AN4190" t="s">
        <v>45581</v>
      </c>
      <c r="AO4190">
        <v>8832</v>
      </c>
      <c r="AU4190">
        <v>1.5</v>
      </c>
      <c r="AV4190" t="s">
        <v>631</v>
      </c>
      <c r="AW4190" t="s">
        <v>46832</v>
      </c>
    </row>
    <row r="4191" spans="1:49">
      <c r="A4191" s="1">
        <f>HYPERLINK("https://lsnyc.legalserver.org/matter/dynamic-profile/view/1877731","18-1877731")</f>
        <v>0</v>
      </c>
      <c r="B4191" t="s">
        <v>98</v>
      </c>
      <c r="C4191" t="s">
        <v>341</v>
      </c>
      <c r="D4191" t="s">
        <v>571</v>
      </c>
      <c r="E4191" t="s">
        <v>494</v>
      </c>
      <c r="F4191" t="s">
        <v>1537</v>
      </c>
      <c r="G4191" t="s">
        <v>7211</v>
      </c>
      <c r="H4191" t="s">
        <v>9760</v>
      </c>
      <c r="I4191">
        <v>41</v>
      </c>
      <c r="J4191" t="s">
        <v>18892</v>
      </c>
      <c r="K4191">
        <v>10452</v>
      </c>
      <c r="L4191" t="s">
        <v>18958</v>
      </c>
      <c r="M4191" t="s">
        <v>18958</v>
      </c>
      <c r="O4191" t="s">
        <v>26526</v>
      </c>
      <c r="P4191" t="s">
        <v>26564</v>
      </c>
      <c r="Q4191" t="s">
        <v>26570</v>
      </c>
      <c r="R4191" t="s">
        <v>26578</v>
      </c>
      <c r="S4191" t="s">
        <v>18958</v>
      </c>
      <c r="U4191" t="s">
        <v>26604</v>
      </c>
      <c r="W4191" t="s">
        <v>494</v>
      </c>
      <c r="X4191">
        <v>252</v>
      </c>
      <c r="Y4191" t="s">
        <v>26650</v>
      </c>
      <c r="Z4191" t="s">
        <v>26663</v>
      </c>
      <c r="AA4191" t="s">
        <v>26683</v>
      </c>
      <c r="AB4191" t="s">
        <v>30200</v>
      </c>
      <c r="AC4191" t="s">
        <v>35733</v>
      </c>
      <c r="AD4191" t="s">
        <v>40342</v>
      </c>
      <c r="AE4191">
        <v>149</v>
      </c>
      <c r="AF4191" t="s">
        <v>45541</v>
      </c>
      <c r="AG4191" t="s">
        <v>45561</v>
      </c>
      <c r="AH4191">
        <v>2</v>
      </c>
      <c r="AI4191">
        <v>1</v>
      </c>
      <c r="AJ4191">
        <v>0</v>
      </c>
      <c r="AK4191">
        <v>82.04000000000001</v>
      </c>
      <c r="AN4191" t="s">
        <v>7439</v>
      </c>
      <c r="AO4191">
        <v>9960</v>
      </c>
      <c r="AU4191">
        <v>0.2</v>
      </c>
      <c r="AV4191" t="s">
        <v>415</v>
      </c>
      <c r="AW4191" t="s">
        <v>46832</v>
      </c>
    </row>
    <row r="4192" spans="1:49">
      <c r="A4192" s="1">
        <f>HYPERLINK("https://lsnyc.legalserver.org/matter/dynamic-profile/view/1877738","18-1877738")</f>
        <v>0</v>
      </c>
      <c r="B4192" t="s">
        <v>115</v>
      </c>
      <c r="C4192" t="s">
        <v>340</v>
      </c>
      <c r="D4192" t="s">
        <v>571</v>
      </c>
      <c r="F4192" t="s">
        <v>1537</v>
      </c>
      <c r="G4192" t="s">
        <v>7211</v>
      </c>
      <c r="H4192" t="s">
        <v>9760</v>
      </c>
      <c r="I4192">
        <v>41</v>
      </c>
      <c r="J4192" t="s">
        <v>18892</v>
      </c>
      <c r="K4192">
        <v>10452</v>
      </c>
      <c r="L4192" t="s">
        <v>18958</v>
      </c>
      <c r="M4192" t="s">
        <v>18958</v>
      </c>
      <c r="O4192" t="s">
        <v>18997</v>
      </c>
      <c r="P4192" t="s">
        <v>26562</v>
      </c>
      <c r="R4192" t="s">
        <v>26578</v>
      </c>
      <c r="S4192" t="s">
        <v>18958</v>
      </c>
      <c r="U4192" t="s">
        <v>26604</v>
      </c>
      <c r="W4192" t="s">
        <v>494</v>
      </c>
      <c r="X4192">
        <v>252</v>
      </c>
      <c r="Y4192" t="s">
        <v>26650</v>
      </c>
      <c r="Z4192" t="s">
        <v>26663</v>
      </c>
      <c r="AB4192" t="s">
        <v>30200</v>
      </c>
      <c r="AC4192" t="s">
        <v>35733</v>
      </c>
      <c r="AD4192" t="s">
        <v>40342</v>
      </c>
      <c r="AE4192">
        <v>149</v>
      </c>
      <c r="AF4192" t="s">
        <v>45541</v>
      </c>
      <c r="AG4192" t="s">
        <v>45561</v>
      </c>
      <c r="AH4192">
        <v>2</v>
      </c>
      <c r="AI4192">
        <v>1</v>
      </c>
      <c r="AJ4192">
        <v>0</v>
      </c>
      <c r="AK4192">
        <v>82.04000000000001</v>
      </c>
      <c r="AN4192" t="s">
        <v>7439</v>
      </c>
      <c r="AO4192">
        <v>9960</v>
      </c>
      <c r="AU4192">
        <v>0</v>
      </c>
      <c r="AW4192" t="s">
        <v>46832</v>
      </c>
    </row>
    <row r="4193" spans="1:49">
      <c r="A4193" s="1">
        <f>HYPERLINK("https://lsnyc.legalserver.org/matter/dynamic-profile/view/1884535","18-1884535")</f>
        <v>0</v>
      </c>
      <c r="B4193" t="s">
        <v>63</v>
      </c>
      <c r="C4193" t="s">
        <v>340</v>
      </c>
      <c r="D4193" t="s">
        <v>571</v>
      </c>
      <c r="F4193" t="s">
        <v>887</v>
      </c>
      <c r="G4193" t="s">
        <v>5385</v>
      </c>
      <c r="H4193" t="s">
        <v>10918</v>
      </c>
      <c r="I4193" t="s">
        <v>18067</v>
      </c>
      <c r="J4193" t="s">
        <v>18892</v>
      </c>
      <c r="K4193">
        <v>10451</v>
      </c>
      <c r="L4193" t="s">
        <v>18958</v>
      </c>
      <c r="M4193" t="s">
        <v>18958</v>
      </c>
      <c r="N4193" t="s">
        <v>22128</v>
      </c>
      <c r="O4193" t="s">
        <v>26526</v>
      </c>
      <c r="P4193" t="s">
        <v>26560</v>
      </c>
      <c r="R4193" t="s">
        <v>26578</v>
      </c>
      <c r="S4193" t="s">
        <v>18958</v>
      </c>
      <c r="U4193" t="s">
        <v>26604</v>
      </c>
      <c r="W4193" t="s">
        <v>494</v>
      </c>
      <c r="X4193">
        <v>1100</v>
      </c>
      <c r="Y4193" t="s">
        <v>26650</v>
      </c>
      <c r="Z4193" t="s">
        <v>26663</v>
      </c>
      <c r="AB4193" t="s">
        <v>30201</v>
      </c>
      <c r="AD4193" t="s">
        <v>40343</v>
      </c>
      <c r="AE4193">
        <v>100</v>
      </c>
      <c r="AF4193" t="s">
        <v>45548</v>
      </c>
      <c r="AG4193" t="s">
        <v>45557</v>
      </c>
      <c r="AH4193">
        <v>16</v>
      </c>
      <c r="AI4193">
        <v>2</v>
      </c>
      <c r="AJ4193">
        <v>0</v>
      </c>
      <c r="AK4193">
        <v>43.74</v>
      </c>
      <c r="AN4193" t="s">
        <v>45581</v>
      </c>
      <c r="AO4193">
        <v>7200</v>
      </c>
      <c r="AU4193">
        <v>0</v>
      </c>
      <c r="AW4193" t="s">
        <v>336</v>
      </c>
    </row>
    <row r="4194" spans="1:49">
      <c r="A4194" s="1">
        <f>HYPERLINK("https://lsnyc.legalserver.org/matter/dynamic-profile/view/1877897","18-1877897")</f>
        <v>0</v>
      </c>
      <c r="B4194" t="s">
        <v>100</v>
      </c>
      <c r="C4194" t="s">
        <v>341</v>
      </c>
      <c r="D4194" t="s">
        <v>588</v>
      </c>
      <c r="E4194" t="s">
        <v>494</v>
      </c>
      <c r="F4194" t="s">
        <v>1738</v>
      </c>
      <c r="G4194" t="s">
        <v>7212</v>
      </c>
      <c r="H4194" t="s">
        <v>12255</v>
      </c>
      <c r="I4194" t="s">
        <v>17355</v>
      </c>
      <c r="J4194" t="s">
        <v>18892</v>
      </c>
      <c r="K4194">
        <v>10452</v>
      </c>
      <c r="L4194" t="s">
        <v>18958</v>
      </c>
      <c r="M4194" t="s">
        <v>18958</v>
      </c>
      <c r="N4194" t="s">
        <v>22129</v>
      </c>
      <c r="O4194" t="s">
        <v>26523</v>
      </c>
      <c r="P4194" t="s">
        <v>26564</v>
      </c>
      <c r="Q4194" t="s">
        <v>26570</v>
      </c>
      <c r="R4194" t="s">
        <v>26578</v>
      </c>
      <c r="S4194" t="s">
        <v>18959</v>
      </c>
      <c r="U4194" t="s">
        <v>26604</v>
      </c>
      <c r="W4194" t="s">
        <v>494</v>
      </c>
      <c r="X4194">
        <v>1300</v>
      </c>
      <c r="Y4194" t="s">
        <v>26650</v>
      </c>
      <c r="AA4194" t="s">
        <v>26683</v>
      </c>
      <c r="AB4194" t="s">
        <v>30202</v>
      </c>
      <c r="AD4194" t="s">
        <v>40344</v>
      </c>
      <c r="AE4194">
        <v>37</v>
      </c>
      <c r="AF4194" t="s">
        <v>20460</v>
      </c>
      <c r="AG4194" t="s">
        <v>45557</v>
      </c>
      <c r="AH4194">
        <v>7</v>
      </c>
      <c r="AI4194">
        <v>2</v>
      </c>
      <c r="AJ4194">
        <v>0</v>
      </c>
      <c r="AK4194">
        <v>157.96</v>
      </c>
      <c r="AN4194" t="s">
        <v>45581</v>
      </c>
      <c r="AO4194">
        <v>26000</v>
      </c>
      <c r="AU4194">
        <v>91.09999999999999</v>
      </c>
      <c r="AV4194" t="s">
        <v>458</v>
      </c>
      <c r="AW4194" t="s">
        <v>46829</v>
      </c>
    </row>
    <row r="4195" spans="1:49">
      <c r="A4195" s="1">
        <f>HYPERLINK("https://lsnyc.legalserver.org/matter/dynamic-profile/view/1882291","18-1882291")</f>
        <v>0</v>
      </c>
      <c r="B4195" t="s">
        <v>63</v>
      </c>
      <c r="C4195" t="s">
        <v>340</v>
      </c>
      <c r="D4195" t="s">
        <v>529</v>
      </c>
      <c r="F4195" t="s">
        <v>2959</v>
      </c>
      <c r="G4195" t="s">
        <v>7213</v>
      </c>
      <c r="H4195" t="s">
        <v>10918</v>
      </c>
      <c r="I4195" t="s">
        <v>18068</v>
      </c>
      <c r="J4195" t="s">
        <v>18892</v>
      </c>
      <c r="K4195">
        <v>10451</v>
      </c>
      <c r="L4195" t="s">
        <v>18958</v>
      </c>
      <c r="M4195" t="s">
        <v>18958</v>
      </c>
      <c r="N4195" t="s">
        <v>22128</v>
      </c>
      <c r="O4195" t="s">
        <v>26526</v>
      </c>
      <c r="P4195" t="s">
        <v>26560</v>
      </c>
      <c r="R4195" t="s">
        <v>26578</v>
      </c>
      <c r="S4195" t="s">
        <v>18958</v>
      </c>
      <c r="U4195" t="s">
        <v>26604</v>
      </c>
      <c r="W4195" t="s">
        <v>494</v>
      </c>
      <c r="X4195">
        <v>1500</v>
      </c>
      <c r="Y4195" t="s">
        <v>26650</v>
      </c>
      <c r="Z4195" t="s">
        <v>26663</v>
      </c>
      <c r="AB4195" t="s">
        <v>30203</v>
      </c>
      <c r="AD4195" t="s">
        <v>40345</v>
      </c>
      <c r="AE4195">
        <v>100</v>
      </c>
      <c r="AF4195" t="s">
        <v>45541</v>
      </c>
      <c r="AG4195" t="s">
        <v>45556</v>
      </c>
      <c r="AH4195">
        <v>31</v>
      </c>
      <c r="AI4195">
        <v>1</v>
      </c>
      <c r="AJ4195">
        <v>0</v>
      </c>
      <c r="AK4195">
        <v>73.64</v>
      </c>
      <c r="AN4195" t="s">
        <v>45581</v>
      </c>
      <c r="AO4195">
        <v>8940</v>
      </c>
      <c r="AU4195">
        <v>0</v>
      </c>
      <c r="AW4195" t="s">
        <v>336</v>
      </c>
    </row>
    <row r="4196" spans="1:49">
      <c r="A4196" s="1">
        <f>HYPERLINK("https://lsnyc.legalserver.org/matter/dynamic-profile/view/1882293","18-1882293")</f>
        <v>0</v>
      </c>
      <c r="B4196" t="s">
        <v>63</v>
      </c>
      <c r="C4196" t="s">
        <v>340</v>
      </c>
      <c r="D4196" t="s">
        <v>529</v>
      </c>
      <c r="F4196" t="s">
        <v>936</v>
      </c>
      <c r="G4196" t="s">
        <v>5147</v>
      </c>
      <c r="H4196" t="s">
        <v>10918</v>
      </c>
      <c r="I4196" t="s">
        <v>18069</v>
      </c>
      <c r="J4196" t="s">
        <v>18892</v>
      </c>
      <c r="K4196">
        <v>10451</v>
      </c>
      <c r="L4196" t="s">
        <v>18958</v>
      </c>
      <c r="M4196" t="s">
        <v>18958</v>
      </c>
      <c r="N4196" t="s">
        <v>22128</v>
      </c>
      <c r="O4196" t="s">
        <v>26526</v>
      </c>
      <c r="P4196" t="s">
        <v>26560</v>
      </c>
      <c r="R4196" t="s">
        <v>26578</v>
      </c>
      <c r="S4196" t="s">
        <v>18958</v>
      </c>
      <c r="U4196" t="s">
        <v>26604</v>
      </c>
      <c r="W4196" t="s">
        <v>494</v>
      </c>
      <c r="X4196">
        <v>1490</v>
      </c>
      <c r="Y4196" t="s">
        <v>26650</v>
      </c>
      <c r="Z4196" t="s">
        <v>26663</v>
      </c>
      <c r="AB4196" t="s">
        <v>30204</v>
      </c>
      <c r="AD4196" t="s">
        <v>40346</v>
      </c>
      <c r="AE4196">
        <v>100</v>
      </c>
      <c r="AF4196" t="s">
        <v>45541</v>
      </c>
      <c r="AG4196" t="s">
        <v>45556</v>
      </c>
      <c r="AH4196">
        <v>32</v>
      </c>
      <c r="AI4196">
        <v>1</v>
      </c>
      <c r="AJ4196">
        <v>0</v>
      </c>
      <c r="AK4196">
        <v>74.14</v>
      </c>
      <c r="AN4196" t="s">
        <v>45581</v>
      </c>
      <c r="AO4196">
        <v>9000</v>
      </c>
      <c r="AU4196">
        <v>0</v>
      </c>
      <c r="AW4196" t="s">
        <v>336</v>
      </c>
    </row>
    <row r="4197" spans="1:49">
      <c r="A4197" s="1">
        <f>HYPERLINK("https://lsnyc.legalserver.org/matter/dynamic-profile/view/1882292","18-1882292")</f>
        <v>0</v>
      </c>
      <c r="B4197" t="s">
        <v>63</v>
      </c>
      <c r="C4197" t="s">
        <v>340</v>
      </c>
      <c r="D4197" t="s">
        <v>529</v>
      </c>
      <c r="F4197" t="s">
        <v>940</v>
      </c>
      <c r="G4197" t="s">
        <v>6241</v>
      </c>
      <c r="H4197" t="s">
        <v>10918</v>
      </c>
      <c r="I4197" t="s">
        <v>18070</v>
      </c>
      <c r="J4197" t="s">
        <v>18892</v>
      </c>
      <c r="K4197">
        <v>10451</v>
      </c>
      <c r="L4197" t="s">
        <v>18958</v>
      </c>
      <c r="M4197" t="s">
        <v>18958</v>
      </c>
      <c r="N4197" t="s">
        <v>22128</v>
      </c>
      <c r="O4197" t="s">
        <v>26526</v>
      </c>
      <c r="P4197" t="s">
        <v>26560</v>
      </c>
      <c r="R4197" t="s">
        <v>26578</v>
      </c>
      <c r="S4197" t="s">
        <v>18958</v>
      </c>
      <c r="U4197" t="s">
        <v>26604</v>
      </c>
      <c r="W4197" t="s">
        <v>494</v>
      </c>
      <c r="X4197">
        <v>1020</v>
      </c>
      <c r="Y4197" t="s">
        <v>26650</v>
      </c>
      <c r="Z4197" t="s">
        <v>26663</v>
      </c>
      <c r="AB4197" t="s">
        <v>30205</v>
      </c>
      <c r="AD4197" t="s">
        <v>40347</v>
      </c>
      <c r="AE4197">
        <v>100</v>
      </c>
      <c r="AF4197" t="s">
        <v>45541</v>
      </c>
      <c r="AG4197" t="s">
        <v>45559</v>
      </c>
      <c r="AH4197">
        <v>0</v>
      </c>
      <c r="AI4197">
        <v>1</v>
      </c>
      <c r="AJ4197">
        <v>0</v>
      </c>
      <c r="AK4197">
        <v>74.63</v>
      </c>
      <c r="AN4197" t="s">
        <v>45581</v>
      </c>
      <c r="AO4197">
        <v>9060</v>
      </c>
      <c r="AU4197">
        <v>0</v>
      </c>
      <c r="AW4197" t="s">
        <v>336</v>
      </c>
    </row>
    <row r="4198" spans="1:49">
      <c r="A4198" s="1">
        <f>HYPERLINK("https://lsnyc.legalserver.org/matter/dynamic-profile/view/1884560","18-1884560")</f>
        <v>0</v>
      </c>
      <c r="B4198" t="s">
        <v>63</v>
      </c>
      <c r="C4198" t="s">
        <v>340</v>
      </c>
      <c r="D4198" t="s">
        <v>529</v>
      </c>
      <c r="F4198" t="s">
        <v>875</v>
      </c>
      <c r="G4198" t="s">
        <v>5385</v>
      </c>
      <c r="H4198" t="s">
        <v>10918</v>
      </c>
      <c r="I4198" t="s">
        <v>18071</v>
      </c>
      <c r="J4198" t="s">
        <v>18892</v>
      </c>
      <c r="K4198">
        <v>10451</v>
      </c>
      <c r="L4198" t="s">
        <v>18958</v>
      </c>
      <c r="M4198" t="s">
        <v>18958</v>
      </c>
      <c r="N4198" t="s">
        <v>22128</v>
      </c>
      <c r="O4198" t="s">
        <v>26526</v>
      </c>
      <c r="P4198" t="s">
        <v>26560</v>
      </c>
      <c r="R4198" t="s">
        <v>26578</v>
      </c>
      <c r="S4198" t="s">
        <v>18958</v>
      </c>
      <c r="U4198" t="s">
        <v>26604</v>
      </c>
      <c r="W4198" t="s">
        <v>494</v>
      </c>
      <c r="X4198">
        <v>1570</v>
      </c>
      <c r="Y4198" t="s">
        <v>26650</v>
      </c>
      <c r="Z4198" t="s">
        <v>26663</v>
      </c>
      <c r="AB4198" t="s">
        <v>30206</v>
      </c>
      <c r="AD4198" t="s">
        <v>40348</v>
      </c>
      <c r="AE4198">
        <v>100</v>
      </c>
      <c r="AF4198" t="s">
        <v>45541</v>
      </c>
      <c r="AG4198" t="s">
        <v>45556</v>
      </c>
      <c r="AH4198">
        <v>41</v>
      </c>
      <c r="AI4198">
        <v>2</v>
      </c>
      <c r="AJ4198">
        <v>0</v>
      </c>
      <c r="AK4198">
        <v>167.68</v>
      </c>
      <c r="AN4198" t="s">
        <v>45581</v>
      </c>
      <c r="AO4198">
        <v>27600</v>
      </c>
      <c r="AU4198">
        <v>0</v>
      </c>
      <c r="AW4198" t="s">
        <v>336</v>
      </c>
    </row>
    <row r="4199" spans="1:49">
      <c r="A4199" s="1">
        <f>HYPERLINK("https://lsnyc.legalserver.org/matter/dynamic-profile/view/1881752","18-1881752")</f>
        <v>0</v>
      </c>
      <c r="B4199" t="s">
        <v>63</v>
      </c>
      <c r="C4199" t="s">
        <v>340</v>
      </c>
      <c r="D4199" t="s">
        <v>411</v>
      </c>
      <c r="F4199" t="s">
        <v>906</v>
      </c>
      <c r="G4199" t="s">
        <v>6215</v>
      </c>
      <c r="H4199" t="s">
        <v>10918</v>
      </c>
      <c r="I4199" t="s">
        <v>18072</v>
      </c>
      <c r="J4199" t="s">
        <v>18892</v>
      </c>
      <c r="K4199">
        <v>10451</v>
      </c>
      <c r="L4199" t="s">
        <v>18958</v>
      </c>
      <c r="M4199" t="s">
        <v>18958</v>
      </c>
      <c r="N4199" t="s">
        <v>22128</v>
      </c>
      <c r="O4199" t="s">
        <v>26526</v>
      </c>
      <c r="P4199" t="s">
        <v>26560</v>
      </c>
      <c r="R4199" t="s">
        <v>26578</v>
      </c>
      <c r="S4199" t="s">
        <v>18958</v>
      </c>
      <c r="U4199" t="s">
        <v>26604</v>
      </c>
      <c r="W4199" t="s">
        <v>494</v>
      </c>
      <c r="X4199">
        <v>279</v>
      </c>
      <c r="Y4199" t="s">
        <v>26650</v>
      </c>
      <c r="Z4199" t="s">
        <v>26663</v>
      </c>
      <c r="AB4199" t="s">
        <v>30207</v>
      </c>
      <c r="AD4199" t="s">
        <v>40349</v>
      </c>
      <c r="AE4199">
        <v>100</v>
      </c>
      <c r="AF4199" t="s">
        <v>45541</v>
      </c>
      <c r="AG4199" t="s">
        <v>45556</v>
      </c>
      <c r="AH4199">
        <v>32</v>
      </c>
      <c r="AI4199">
        <v>1</v>
      </c>
      <c r="AJ4199">
        <v>0</v>
      </c>
      <c r="AK4199">
        <v>72.51000000000001</v>
      </c>
      <c r="AN4199" t="s">
        <v>45581</v>
      </c>
      <c r="AO4199">
        <v>8802.24</v>
      </c>
      <c r="AU4199">
        <v>0</v>
      </c>
      <c r="AW4199" t="s">
        <v>336</v>
      </c>
    </row>
    <row r="4200" spans="1:49">
      <c r="A4200" s="1">
        <f>HYPERLINK("https://lsnyc.legalserver.org/matter/dynamic-profile/view/1880493","18-1880493")</f>
        <v>0</v>
      </c>
      <c r="B4200" t="s">
        <v>115</v>
      </c>
      <c r="C4200" t="s">
        <v>340</v>
      </c>
      <c r="D4200" t="s">
        <v>600</v>
      </c>
      <c r="F4200" t="s">
        <v>918</v>
      </c>
      <c r="G4200" t="s">
        <v>7214</v>
      </c>
      <c r="H4200" t="s">
        <v>9760</v>
      </c>
      <c r="I4200" t="s">
        <v>17293</v>
      </c>
      <c r="J4200" t="s">
        <v>18892</v>
      </c>
      <c r="K4200">
        <v>10452</v>
      </c>
      <c r="L4200" t="s">
        <v>18958</v>
      </c>
      <c r="M4200" t="s">
        <v>18958</v>
      </c>
      <c r="N4200" t="s">
        <v>19426</v>
      </c>
      <c r="O4200" t="s">
        <v>26526</v>
      </c>
      <c r="P4200" t="s">
        <v>26560</v>
      </c>
      <c r="R4200" t="s">
        <v>26578</v>
      </c>
      <c r="S4200" t="s">
        <v>18958</v>
      </c>
      <c r="U4200" t="s">
        <v>26604</v>
      </c>
      <c r="W4200" t="s">
        <v>494</v>
      </c>
      <c r="X4200">
        <v>3000</v>
      </c>
      <c r="Y4200" t="s">
        <v>26650</v>
      </c>
      <c r="Z4200" t="s">
        <v>26663</v>
      </c>
      <c r="AB4200" t="s">
        <v>30208</v>
      </c>
      <c r="AC4200" t="s">
        <v>35734</v>
      </c>
      <c r="AD4200" t="s">
        <v>40350</v>
      </c>
      <c r="AE4200">
        <v>149</v>
      </c>
      <c r="AF4200" t="s">
        <v>45541</v>
      </c>
      <c r="AG4200" t="s">
        <v>45561</v>
      </c>
      <c r="AH4200">
        <v>24</v>
      </c>
      <c r="AI4200">
        <v>3</v>
      </c>
      <c r="AJ4200">
        <v>2</v>
      </c>
      <c r="AK4200">
        <v>39.16</v>
      </c>
      <c r="AN4200" t="s">
        <v>7439</v>
      </c>
      <c r="AO4200">
        <v>11520</v>
      </c>
      <c r="AU4200">
        <v>0</v>
      </c>
      <c r="AW4200" t="s">
        <v>46832</v>
      </c>
    </row>
    <row r="4201" spans="1:49">
      <c r="A4201" s="1">
        <f>HYPERLINK("https://lsnyc.legalserver.org/matter/dynamic-profile/view/1880507","18-1880507")</f>
        <v>0</v>
      </c>
      <c r="B4201" t="s">
        <v>115</v>
      </c>
      <c r="C4201" t="s">
        <v>340</v>
      </c>
      <c r="D4201" t="s">
        <v>600</v>
      </c>
      <c r="F4201" t="s">
        <v>918</v>
      </c>
      <c r="G4201" t="s">
        <v>7214</v>
      </c>
      <c r="H4201" t="s">
        <v>9760</v>
      </c>
      <c r="I4201" t="s">
        <v>17293</v>
      </c>
      <c r="J4201" t="s">
        <v>18892</v>
      </c>
      <c r="K4201">
        <v>10452</v>
      </c>
      <c r="L4201" t="s">
        <v>18958</v>
      </c>
      <c r="M4201" t="s">
        <v>18958</v>
      </c>
      <c r="N4201" t="s">
        <v>22130</v>
      </c>
      <c r="O4201" t="s">
        <v>26529</v>
      </c>
      <c r="P4201" t="s">
        <v>26566</v>
      </c>
      <c r="R4201" t="s">
        <v>26578</v>
      </c>
      <c r="S4201" t="s">
        <v>18958</v>
      </c>
      <c r="U4201" t="s">
        <v>26604</v>
      </c>
      <c r="W4201" t="s">
        <v>494</v>
      </c>
      <c r="X4201">
        <v>3000</v>
      </c>
      <c r="Y4201" t="s">
        <v>26650</v>
      </c>
      <c r="Z4201" t="s">
        <v>26663</v>
      </c>
      <c r="AB4201" t="s">
        <v>30208</v>
      </c>
      <c r="AC4201" t="s">
        <v>35734</v>
      </c>
      <c r="AD4201" t="s">
        <v>40350</v>
      </c>
      <c r="AE4201">
        <v>149</v>
      </c>
      <c r="AF4201" t="s">
        <v>45541</v>
      </c>
      <c r="AG4201" t="s">
        <v>45561</v>
      </c>
      <c r="AH4201">
        <v>24</v>
      </c>
      <c r="AI4201">
        <v>3</v>
      </c>
      <c r="AJ4201">
        <v>2</v>
      </c>
      <c r="AK4201">
        <v>39.16</v>
      </c>
      <c r="AO4201">
        <v>11520</v>
      </c>
      <c r="AU4201">
        <v>0.9</v>
      </c>
      <c r="AV4201" t="s">
        <v>737</v>
      </c>
      <c r="AW4201" t="s">
        <v>46832</v>
      </c>
    </row>
    <row r="4202" spans="1:49">
      <c r="A4202" s="1">
        <f>HYPERLINK("https://lsnyc.legalserver.org/matter/dynamic-profile/view/1880450","18-1880450")</f>
        <v>0</v>
      </c>
      <c r="B4202" t="s">
        <v>115</v>
      </c>
      <c r="C4202" t="s">
        <v>340</v>
      </c>
      <c r="D4202" t="s">
        <v>600</v>
      </c>
      <c r="F4202" t="s">
        <v>2960</v>
      </c>
      <c r="G4202" t="s">
        <v>7215</v>
      </c>
      <c r="H4202" t="s">
        <v>10135</v>
      </c>
      <c r="I4202" t="s">
        <v>17288</v>
      </c>
      <c r="J4202" t="s">
        <v>18892</v>
      </c>
      <c r="K4202">
        <v>10452</v>
      </c>
      <c r="L4202" t="s">
        <v>18958</v>
      </c>
      <c r="M4202" t="s">
        <v>18958</v>
      </c>
      <c r="O4202" t="s">
        <v>26529</v>
      </c>
      <c r="P4202" t="s">
        <v>26564</v>
      </c>
      <c r="R4202" t="s">
        <v>26578</v>
      </c>
      <c r="S4202" t="s">
        <v>18958</v>
      </c>
      <c r="U4202" t="s">
        <v>26604</v>
      </c>
      <c r="W4202" t="s">
        <v>494</v>
      </c>
      <c r="X4202">
        <v>1268</v>
      </c>
      <c r="Y4202" t="s">
        <v>26650</v>
      </c>
      <c r="Z4202" t="s">
        <v>26663</v>
      </c>
      <c r="AB4202" t="s">
        <v>30209</v>
      </c>
      <c r="AD4202" t="s">
        <v>40351</v>
      </c>
      <c r="AE4202">
        <v>53</v>
      </c>
      <c r="AF4202" t="s">
        <v>45541</v>
      </c>
      <c r="AG4202" t="s">
        <v>45557</v>
      </c>
      <c r="AH4202">
        <v>3</v>
      </c>
      <c r="AI4202">
        <v>1</v>
      </c>
      <c r="AJ4202">
        <v>1</v>
      </c>
      <c r="AK4202">
        <v>43.74</v>
      </c>
      <c r="AN4202" t="s">
        <v>7439</v>
      </c>
      <c r="AO4202">
        <v>7200</v>
      </c>
      <c r="AU4202">
        <v>0</v>
      </c>
      <c r="AW4202" t="s">
        <v>46832</v>
      </c>
    </row>
    <row r="4203" spans="1:49">
      <c r="A4203" s="1">
        <f>HYPERLINK("https://lsnyc.legalserver.org/matter/dynamic-profile/view/1880467","18-1880467")</f>
        <v>0</v>
      </c>
      <c r="B4203" t="s">
        <v>115</v>
      </c>
      <c r="C4203" t="s">
        <v>340</v>
      </c>
      <c r="D4203" t="s">
        <v>600</v>
      </c>
      <c r="F4203" t="s">
        <v>2961</v>
      </c>
      <c r="G4203" t="s">
        <v>5147</v>
      </c>
      <c r="H4203" t="s">
        <v>10135</v>
      </c>
      <c r="I4203" t="s">
        <v>17299</v>
      </c>
      <c r="J4203" t="s">
        <v>18892</v>
      </c>
      <c r="K4203">
        <v>10452</v>
      </c>
      <c r="L4203" t="s">
        <v>18958</v>
      </c>
      <c r="M4203" t="s">
        <v>18958</v>
      </c>
      <c r="N4203" t="s">
        <v>19398</v>
      </c>
      <c r="O4203" t="s">
        <v>26534</v>
      </c>
      <c r="P4203" t="s">
        <v>26561</v>
      </c>
      <c r="R4203" t="s">
        <v>26578</v>
      </c>
      <c r="S4203" t="s">
        <v>18958</v>
      </c>
      <c r="U4203" t="s">
        <v>26604</v>
      </c>
      <c r="W4203" t="s">
        <v>494</v>
      </c>
      <c r="X4203">
        <v>1299.48</v>
      </c>
      <c r="Y4203" t="s">
        <v>26650</v>
      </c>
      <c r="Z4203" t="s">
        <v>26663</v>
      </c>
      <c r="AB4203" t="s">
        <v>29478</v>
      </c>
      <c r="AC4203" t="s">
        <v>35735</v>
      </c>
      <c r="AD4203" t="s">
        <v>40352</v>
      </c>
      <c r="AE4203">
        <v>53</v>
      </c>
      <c r="AF4203" t="s">
        <v>45541</v>
      </c>
      <c r="AG4203" t="s">
        <v>45561</v>
      </c>
      <c r="AH4203">
        <v>1</v>
      </c>
      <c r="AI4203">
        <v>1</v>
      </c>
      <c r="AJ4203">
        <v>0</v>
      </c>
      <c r="AK4203">
        <v>248.26</v>
      </c>
      <c r="AN4203" t="s">
        <v>7439</v>
      </c>
      <c r="AO4203">
        <v>30139.2</v>
      </c>
      <c r="AU4203">
        <v>0.1</v>
      </c>
      <c r="AV4203" t="s">
        <v>805</v>
      </c>
      <c r="AW4203" t="s">
        <v>46832</v>
      </c>
    </row>
    <row r="4204" spans="1:49">
      <c r="A4204" s="1">
        <f>HYPERLINK("https://lsnyc.legalserver.org/matter/dynamic-profile/view/1880618","18-1880618")</f>
        <v>0</v>
      </c>
      <c r="B4204" t="s">
        <v>100</v>
      </c>
      <c r="C4204" t="s">
        <v>340</v>
      </c>
      <c r="D4204" t="s">
        <v>623</v>
      </c>
      <c r="F4204" t="s">
        <v>1828</v>
      </c>
      <c r="G4204" t="s">
        <v>6010</v>
      </c>
      <c r="H4204" t="s">
        <v>10916</v>
      </c>
      <c r="I4204" t="s">
        <v>17397</v>
      </c>
      <c r="J4204" t="s">
        <v>18892</v>
      </c>
      <c r="K4204">
        <v>10456</v>
      </c>
      <c r="L4204" t="s">
        <v>18958</v>
      </c>
      <c r="M4204" t="s">
        <v>18958</v>
      </c>
      <c r="N4204" t="s">
        <v>22131</v>
      </c>
      <c r="O4204" t="s">
        <v>26534</v>
      </c>
      <c r="P4204" t="s">
        <v>26561</v>
      </c>
      <c r="R4204" t="s">
        <v>26578</v>
      </c>
      <c r="S4204" t="s">
        <v>18958</v>
      </c>
      <c r="U4204" t="s">
        <v>26604</v>
      </c>
      <c r="W4204" t="s">
        <v>494</v>
      </c>
      <c r="X4204">
        <v>1255</v>
      </c>
      <c r="Y4204" t="s">
        <v>26650</v>
      </c>
      <c r="Z4204" t="s">
        <v>26663</v>
      </c>
      <c r="AB4204" t="s">
        <v>26734</v>
      </c>
      <c r="AD4204" t="s">
        <v>38138</v>
      </c>
      <c r="AE4204">
        <v>61</v>
      </c>
      <c r="AF4204" t="s">
        <v>45541</v>
      </c>
      <c r="AG4204" t="s">
        <v>45556</v>
      </c>
      <c r="AH4204">
        <v>19</v>
      </c>
      <c r="AI4204">
        <v>3</v>
      </c>
      <c r="AJ4204">
        <v>0</v>
      </c>
      <c r="AK4204">
        <v>187.68</v>
      </c>
      <c r="AN4204" t="s">
        <v>45581</v>
      </c>
      <c r="AO4204">
        <v>39000</v>
      </c>
      <c r="AU4204">
        <v>0</v>
      </c>
      <c r="AW4204" t="s">
        <v>46847</v>
      </c>
    </row>
    <row r="4205" spans="1:49">
      <c r="A4205" s="1">
        <f>HYPERLINK("https://lsnyc.legalserver.org/matter/dynamic-profile/view/1880592","18-1880592")</f>
        <v>0</v>
      </c>
      <c r="B4205" t="s">
        <v>100</v>
      </c>
      <c r="C4205" t="s">
        <v>340</v>
      </c>
      <c r="D4205" t="s">
        <v>623</v>
      </c>
      <c r="F4205" t="s">
        <v>1045</v>
      </c>
      <c r="G4205" t="s">
        <v>5186</v>
      </c>
      <c r="H4205" t="s">
        <v>10916</v>
      </c>
      <c r="I4205" t="s">
        <v>17344</v>
      </c>
      <c r="J4205" t="s">
        <v>18892</v>
      </c>
      <c r="K4205">
        <v>10456</v>
      </c>
      <c r="L4205" t="s">
        <v>18958</v>
      </c>
      <c r="M4205" t="s">
        <v>18958</v>
      </c>
      <c r="N4205" t="s">
        <v>22131</v>
      </c>
      <c r="O4205" t="s">
        <v>26534</v>
      </c>
      <c r="P4205" t="s">
        <v>26561</v>
      </c>
      <c r="R4205" t="s">
        <v>26578</v>
      </c>
      <c r="S4205" t="s">
        <v>18958</v>
      </c>
      <c r="U4205" t="s">
        <v>26604</v>
      </c>
      <c r="W4205" t="s">
        <v>494</v>
      </c>
      <c r="X4205">
        <v>1200</v>
      </c>
      <c r="Y4205" t="s">
        <v>26650</v>
      </c>
      <c r="AB4205" t="s">
        <v>28093</v>
      </c>
      <c r="AD4205" t="s">
        <v>38146</v>
      </c>
      <c r="AE4205">
        <v>61</v>
      </c>
      <c r="AF4205" t="s">
        <v>45541</v>
      </c>
      <c r="AG4205" t="s">
        <v>19330</v>
      </c>
      <c r="AH4205">
        <v>25</v>
      </c>
      <c r="AI4205">
        <v>2</v>
      </c>
      <c r="AJ4205">
        <v>0</v>
      </c>
      <c r="AK4205">
        <v>387.61</v>
      </c>
      <c r="AN4205" t="s">
        <v>7439</v>
      </c>
      <c r="AO4205">
        <v>63800</v>
      </c>
      <c r="AU4205">
        <v>0</v>
      </c>
      <c r="AW4205" t="s">
        <v>46847</v>
      </c>
    </row>
    <row r="4206" spans="1:49">
      <c r="A4206" s="1">
        <f>HYPERLINK("https://lsnyc.legalserver.org/matter/dynamic-profile/view/1880540","18-1880540")</f>
        <v>0</v>
      </c>
      <c r="B4206" t="s">
        <v>115</v>
      </c>
      <c r="C4206" t="s">
        <v>340</v>
      </c>
      <c r="D4206" t="s">
        <v>623</v>
      </c>
      <c r="F4206" t="s">
        <v>2962</v>
      </c>
      <c r="G4206" t="s">
        <v>7216</v>
      </c>
      <c r="H4206" t="s">
        <v>9760</v>
      </c>
      <c r="I4206" t="s">
        <v>17425</v>
      </c>
      <c r="J4206" t="s">
        <v>18892</v>
      </c>
      <c r="K4206">
        <v>10452</v>
      </c>
      <c r="L4206" t="s">
        <v>18958</v>
      </c>
      <c r="M4206" t="s">
        <v>18958</v>
      </c>
      <c r="N4206" t="s">
        <v>19426</v>
      </c>
      <c r="O4206" t="s">
        <v>26526</v>
      </c>
      <c r="P4206" t="s">
        <v>26560</v>
      </c>
      <c r="R4206" t="s">
        <v>26578</v>
      </c>
      <c r="S4206" t="s">
        <v>18958</v>
      </c>
      <c r="U4206" t="s">
        <v>26604</v>
      </c>
      <c r="W4206" t="s">
        <v>494</v>
      </c>
      <c r="X4206">
        <v>1042</v>
      </c>
      <c r="Y4206" t="s">
        <v>26650</v>
      </c>
      <c r="Z4206" t="s">
        <v>26663</v>
      </c>
      <c r="AB4206" t="s">
        <v>30210</v>
      </c>
      <c r="AD4206" t="s">
        <v>40353</v>
      </c>
      <c r="AE4206">
        <v>149</v>
      </c>
      <c r="AF4206" t="s">
        <v>45541</v>
      </c>
      <c r="AG4206" t="s">
        <v>19330</v>
      </c>
      <c r="AH4206">
        <v>14</v>
      </c>
      <c r="AI4206">
        <v>1</v>
      </c>
      <c r="AJ4206">
        <v>0</v>
      </c>
      <c r="AK4206">
        <v>80.53</v>
      </c>
      <c r="AN4206" t="s">
        <v>7439</v>
      </c>
      <c r="AO4206">
        <v>9776</v>
      </c>
      <c r="AU4206">
        <v>0</v>
      </c>
      <c r="AW4206" t="s">
        <v>46832</v>
      </c>
    </row>
    <row r="4207" spans="1:49">
      <c r="A4207" s="1">
        <f>HYPERLINK("https://lsnyc.legalserver.org/matter/dynamic-profile/view/1880671","18-1880671")</f>
        <v>0</v>
      </c>
      <c r="B4207" t="s">
        <v>115</v>
      </c>
      <c r="C4207" t="s">
        <v>340</v>
      </c>
      <c r="D4207" t="s">
        <v>623</v>
      </c>
      <c r="F4207" t="s">
        <v>928</v>
      </c>
      <c r="G4207" t="s">
        <v>5473</v>
      </c>
      <c r="H4207" t="s">
        <v>9760</v>
      </c>
      <c r="I4207" t="s">
        <v>17299</v>
      </c>
      <c r="J4207" t="s">
        <v>18892</v>
      </c>
      <c r="K4207">
        <v>10452</v>
      </c>
      <c r="L4207" t="s">
        <v>18958</v>
      </c>
      <c r="M4207" t="s">
        <v>18958</v>
      </c>
      <c r="N4207" t="s">
        <v>19426</v>
      </c>
      <c r="O4207" t="s">
        <v>26526</v>
      </c>
      <c r="P4207" t="s">
        <v>26560</v>
      </c>
      <c r="R4207" t="s">
        <v>26578</v>
      </c>
      <c r="S4207" t="s">
        <v>18958</v>
      </c>
      <c r="U4207" t="s">
        <v>26604</v>
      </c>
      <c r="W4207" t="s">
        <v>494</v>
      </c>
      <c r="X4207">
        <v>828</v>
      </c>
      <c r="Y4207" t="s">
        <v>26650</v>
      </c>
      <c r="Z4207" t="s">
        <v>26663</v>
      </c>
      <c r="AB4207" t="s">
        <v>30211</v>
      </c>
      <c r="AC4207" t="s">
        <v>35736</v>
      </c>
      <c r="AE4207">
        <v>149</v>
      </c>
      <c r="AF4207" t="s">
        <v>45541</v>
      </c>
      <c r="AH4207">
        <v>2</v>
      </c>
      <c r="AI4207">
        <v>1</v>
      </c>
      <c r="AJ4207">
        <v>0</v>
      </c>
      <c r="AK4207">
        <v>81.84999999999999</v>
      </c>
      <c r="AN4207" t="s">
        <v>7439</v>
      </c>
      <c r="AO4207">
        <v>9936</v>
      </c>
      <c r="AU4207">
        <v>0</v>
      </c>
      <c r="AW4207" t="s">
        <v>46832</v>
      </c>
    </row>
    <row r="4208" spans="1:49">
      <c r="A4208" s="1">
        <f>HYPERLINK("https://lsnyc.legalserver.org/matter/dynamic-profile/view/1881829","18-1881829")</f>
        <v>0</v>
      </c>
      <c r="B4208" t="s">
        <v>63</v>
      </c>
      <c r="C4208" t="s">
        <v>340</v>
      </c>
      <c r="D4208" t="s">
        <v>623</v>
      </c>
      <c r="F4208" t="s">
        <v>871</v>
      </c>
      <c r="G4208" t="s">
        <v>7217</v>
      </c>
      <c r="H4208" t="s">
        <v>10918</v>
      </c>
      <c r="I4208" t="s">
        <v>18073</v>
      </c>
      <c r="J4208" t="s">
        <v>18892</v>
      </c>
      <c r="K4208">
        <v>10451</v>
      </c>
      <c r="L4208" t="s">
        <v>18958</v>
      </c>
      <c r="M4208" t="s">
        <v>18958</v>
      </c>
      <c r="N4208" t="s">
        <v>22128</v>
      </c>
      <c r="O4208" t="s">
        <v>26526</v>
      </c>
      <c r="P4208" t="s">
        <v>26560</v>
      </c>
      <c r="R4208" t="s">
        <v>26578</v>
      </c>
      <c r="S4208" t="s">
        <v>18958</v>
      </c>
      <c r="U4208" t="s">
        <v>26604</v>
      </c>
      <c r="W4208" t="s">
        <v>494</v>
      </c>
      <c r="X4208">
        <v>1000</v>
      </c>
      <c r="Y4208" t="s">
        <v>26650</v>
      </c>
      <c r="Z4208" t="s">
        <v>26663</v>
      </c>
      <c r="AB4208" t="s">
        <v>30212</v>
      </c>
      <c r="AE4208">
        <v>0</v>
      </c>
      <c r="AF4208" t="s">
        <v>45541</v>
      </c>
      <c r="AG4208" t="s">
        <v>45557</v>
      </c>
      <c r="AH4208">
        <v>30</v>
      </c>
      <c r="AI4208">
        <v>2</v>
      </c>
      <c r="AJ4208">
        <v>1</v>
      </c>
      <c r="AK4208">
        <v>0</v>
      </c>
      <c r="AN4208" t="s">
        <v>45581</v>
      </c>
      <c r="AO4208">
        <v>0</v>
      </c>
      <c r="AP4208" t="s">
        <v>45815</v>
      </c>
      <c r="AU4208">
        <v>5.5</v>
      </c>
      <c r="AV4208" t="s">
        <v>707</v>
      </c>
      <c r="AW4208" t="s">
        <v>336</v>
      </c>
    </row>
    <row r="4209" spans="1:49">
      <c r="A4209" s="1">
        <f>HYPERLINK("https://lsnyc.legalserver.org/matter/dynamic-profile/view/1882298","18-1882298")</f>
        <v>0</v>
      </c>
      <c r="B4209" t="s">
        <v>63</v>
      </c>
      <c r="C4209" t="s">
        <v>340</v>
      </c>
      <c r="D4209" t="s">
        <v>623</v>
      </c>
      <c r="F4209" t="s">
        <v>2963</v>
      </c>
      <c r="G4209" t="s">
        <v>5147</v>
      </c>
      <c r="H4209" t="s">
        <v>10918</v>
      </c>
      <c r="I4209" t="s">
        <v>18074</v>
      </c>
      <c r="J4209" t="s">
        <v>18892</v>
      </c>
      <c r="K4209">
        <v>10451</v>
      </c>
      <c r="L4209" t="s">
        <v>18958</v>
      </c>
      <c r="M4209" t="s">
        <v>18958</v>
      </c>
      <c r="O4209" t="s">
        <v>26526</v>
      </c>
      <c r="P4209" t="s">
        <v>26564</v>
      </c>
      <c r="R4209" t="s">
        <v>26578</v>
      </c>
      <c r="S4209" t="s">
        <v>18958</v>
      </c>
      <c r="U4209" t="s">
        <v>26604</v>
      </c>
      <c r="W4209" t="s">
        <v>494</v>
      </c>
      <c r="X4209">
        <v>1400</v>
      </c>
      <c r="Y4209" t="s">
        <v>26650</v>
      </c>
      <c r="Z4209" t="s">
        <v>26663</v>
      </c>
      <c r="AB4209" t="s">
        <v>30213</v>
      </c>
      <c r="AD4209" t="s">
        <v>40354</v>
      </c>
      <c r="AE4209">
        <v>100</v>
      </c>
      <c r="AF4209" t="s">
        <v>45541</v>
      </c>
      <c r="AG4209" t="s">
        <v>45556</v>
      </c>
      <c r="AH4209">
        <v>3</v>
      </c>
      <c r="AI4209">
        <v>1</v>
      </c>
      <c r="AJ4209">
        <v>0</v>
      </c>
      <c r="AK4209">
        <v>13.84</v>
      </c>
      <c r="AN4209" t="s">
        <v>45581</v>
      </c>
      <c r="AO4209">
        <v>1680</v>
      </c>
      <c r="AU4209">
        <v>0</v>
      </c>
      <c r="AW4209" t="s">
        <v>336</v>
      </c>
    </row>
    <row r="4210" spans="1:49">
      <c r="A4210" s="1">
        <f>HYPERLINK("https://lsnyc.legalserver.org/matter/dynamic-profile/view/1881805","18-1881805")</f>
        <v>0</v>
      </c>
      <c r="B4210" t="s">
        <v>63</v>
      </c>
      <c r="C4210" t="s">
        <v>340</v>
      </c>
      <c r="D4210" t="s">
        <v>623</v>
      </c>
      <c r="F4210" t="s">
        <v>2964</v>
      </c>
      <c r="G4210" t="s">
        <v>6228</v>
      </c>
      <c r="H4210" t="s">
        <v>10918</v>
      </c>
      <c r="I4210" t="s">
        <v>18075</v>
      </c>
      <c r="J4210" t="s">
        <v>18892</v>
      </c>
      <c r="K4210">
        <v>10451</v>
      </c>
      <c r="L4210" t="s">
        <v>18958</v>
      </c>
      <c r="M4210" t="s">
        <v>18958</v>
      </c>
      <c r="N4210" t="s">
        <v>22128</v>
      </c>
      <c r="O4210" t="s">
        <v>26526</v>
      </c>
      <c r="P4210" t="s">
        <v>26560</v>
      </c>
      <c r="R4210" t="s">
        <v>26578</v>
      </c>
      <c r="S4210" t="s">
        <v>18958</v>
      </c>
      <c r="U4210" t="s">
        <v>26604</v>
      </c>
      <c r="W4210" t="s">
        <v>494</v>
      </c>
      <c r="X4210">
        <v>1995.51</v>
      </c>
      <c r="Y4210" t="s">
        <v>26650</v>
      </c>
      <c r="Z4210" t="s">
        <v>26663</v>
      </c>
      <c r="AB4210" t="s">
        <v>26718</v>
      </c>
      <c r="AC4210" t="s">
        <v>35737</v>
      </c>
      <c r="AE4210">
        <v>100</v>
      </c>
      <c r="AF4210" t="s">
        <v>45541</v>
      </c>
      <c r="AG4210" t="s">
        <v>45556</v>
      </c>
      <c r="AH4210">
        <v>17</v>
      </c>
      <c r="AI4210">
        <v>5</v>
      </c>
      <c r="AJ4210">
        <v>0</v>
      </c>
      <c r="AK4210">
        <v>26.51</v>
      </c>
      <c r="AN4210" t="s">
        <v>45581</v>
      </c>
      <c r="AO4210">
        <v>7800</v>
      </c>
      <c r="AU4210">
        <v>0</v>
      </c>
      <c r="AW4210" t="s">
        <v>336</v>
      </c>
    </row>
    <row r="4211" spans="1:49">
      <c r="A4211" s="1">
        <f>HYPERLINK("https://lsnyc.legalserver.org/matter/dynamic-profile/view/1881809","18-1881809")</f>
        <v>0</v>
      </c>
      <c r="B4211" t="s">
        <v>63</v>
      </c>
      <c r="C4211" t="s">
        <v>340</v>
      </c>
      <c r="D4211" t="s">
        <v>623</v>
      </c>
      <c r="F4211" t="s">
        <v>2965</v>
      </c>
      <c r="G4211" t="s">
        <v>5208</v>
      </c>
      <c r="H4211" t="s">
        <v>10918</v>
      </c>
      <c r="I4211" t="s">
        <v>18076</v>
      </c>
      <c r="J4211" t="s">
        <v>18892</v>
      </c>
      <c r="K4211">
        <v>10451</v>
      </c>
      <c r="L4211" t="s">
        <v>18958</v>
      </c>
      <c r="M4211" t="s">
        <v>18958</v>
      </c>
      <c r="N4211" t="s">
        <v>22128</v>
      </c>
      <c r="O4211" t="s">
        <v>26526</v>
      </c>
      <c r="P4211" t="s">
        <v>26560</v>
      </c>
      <c r="R4211" t="s">
        <v>26578</v>
      </c>
      <c r="S4211" t="s">
        <v>18958</v>
      </c>
      <c r="U4211" t="s">
        <v>26604</v>
      </c>
      <c r="W4211" t="s">
        <v>494</v>
      </c>
      <c r="X4211">
        <v>100</v>
      </c>
      <c r="Y4211" t="s">
        <v>26650</v>
      </c>
      <c r="Z4211" t="s">
        <v>26663</v>
      </c>
      <c r="AB4211" t="s">
        <v>30214</v>
      </c>
      <c r="AD4211" t="s">
        <v>40355</v>
      </c>
      <c r="AE4211">
        <v>100</v>
      </c>
      <c r="AF4211" t="s">
        <v>45541</v>
      </c>
      <c r="AG4211" t="s">
        <v>45556</v>
      </c>
      <c r="AH4211">
        <v>39</v>
      </c>
      <c r="AI4211">
        <v>1</v>
      </c>
      <c r="AJ4211">
        <v>0</v>
      </c>
      <c r="AK4211">
        <v>60.2</v>
      </c>
      <c r="AN4211" t="s">
        <v>45581</v>
      </c>
      <c r="AO4211">
        <v>7308</v>
      </c>
      <c r="AU4211">
        <v>0</v>
      </c>
      <c r="AW4211" t="s">
        <v>336</v>
      </c>
    </row>
    <row r="4212" spans="1:49">
      <c r="A4212" s="1">
        <f>HYPERLINK("https://lsnyc.legalserver.org/matter/dynamic-profile/view/1882296","18-1882296")</f>
        <v>0</v>
      </c>
      <c r="B4212" t="s">
        <v>63</v>
      </c>
      <c r="C4212" t="s">
        <v>340</v>
      </c>
      <c r="D4212" t="s">
        <v>623</v>
      </c>
      <c r="F4212" t="s">
        <v>2966</v>
      </c>
      <c r="G4212" t="s">
        <v>5949</v>
      </c>
      <c r="H4212" t="s">
        <v>10918</v>
      </c>
      <c r="I4212" t="s">
        <v>18077</v>
      </c>
      <c r="J4212" t="s">
        <v>18892</v>
      </c>
      <c r="K4212">
        <v>10451</v>
      </c>
      <c r="L4212" t="s">
        <v>18958</v>
      </c>
      <c r="M4212" t="s">
        <v>18958</v>
      </c>
      <c r="N4212" t="s">
        <v>22128</v>
      </c>
      <c r="O4212" t="s">
        <v>26526</v>
      </c>
      <c r="P4212" t="s">
        <v>26560</v>
      </c>
      <c r="R4212" t="s">
        <v>26578</v>
      </c>
      <c r="S4212" t="s">
        <v>18958</v>
      </c>
      <c r="U4212" t="s">
        <v>26604</v>
      </c>
      <c r="W4212" t="s">
        <v>494</v>
      </c>
      <c r="X4212">
        <v>2000</v>
      </c>
      <c r="Y4212" t="s">
        <v>26650</v>
      </c>
      <c r="Z4212" t="s">
        <v>26663</v>
      </c>
      <c r="AB4212" t="s">
        <v>30215</v>
      </c>
      <c r="AD4212" t="s">
        <v>40356</v>
      </c>
      <c r="AE4212">
        <v>100</v>
      </c>
      <c r="AF4212" t="s">
        <v>45541</v>
      </c>
      <c r="AG4212" t="s">
        <v>45556</v>
      </c>
      <c r="AH4212">
        <v>22</v>
      </c>
      <c r="AI4212">
        <v>1</v>
      </c>
      <c r="AJ4212">
        <v>0</v>
      </c>
      <c r="AK4212">
        <v>76.41</v>
      </c>
      <c r="AN4212" t="s">
        <v>45581</v>
      </c>
      <c r="AO4212">
        <v>9276</v>
      </c>
      <c r="AU4212">
        <v>0</v>
      </c>
      <c r="AW4212" t="s">
        <v>336</v>
      </c>
    </row>
    <row r="4213" spans="1:49">
      <c r="A4213" s="1">
        <f>HYPERLINK("https://lsnyc.legalserver.org/matter/dynamic-profile/view/1882289","18-1882289")</f>
        <v>0</v>
      </c>
      <c r="B4213" t="s">
        <v>63</v>
      </c>
      <c r="C4213" t="s">
        <v>340</v>
      </c>
      <c r="D4213" t="s">
        <v>623</v>
      </c>
      <c r="F4213" t="s">
        <v>1081</v>
      </c>
      <c r="G4213" t="s">
        <v>5121</v>
      </c>
      <c r="H4213" t="s">
        <v>10918</v>
      </c>
      <c r="I4213" t="s">
        <v>18078</v>
      </c>
      <c r="J4213" t="s">
        <v>18892</v>
      </c>
      <c r="K4213">
        <v>10451</v>
      </c>
      <c r="L4213" t="s">
        <v>18958</v>
      </c>
      <c r="M4213" t="s">
        <v>18958</v>
      </c>
      <c r="N4213" t="s">
        <v>22128</v>
      </c>
      <c r="O4213" t="s">
        <v>26526</v>
      </c>
      <c r="P4213" t="s">
        <v>26560</v>
      </c>
      <c r="R4213" t="s">
        <v>26578</v>
      </c>
      <c r="S4213" t="s">
        <v>18958</v>
      </c>
      <c r="U4213" t="s">
        <v>26604</v>
      </c>
      <c r="W4213" t="s">
        <v>494</v>
      </c>
      <c r="X4213">
        <v>250</v>
      </c>
      <c r="Y4213" t="s">
        <v>26650</v>
      </c>
      <c r="Z4213" t="s">
        <v>26663</v>
      </c>
      <c r="AB4213" t="s">
        <v>28559</v>
      </c>
      <c r="AD4213" t="s">
        <v>40357</v>
      </c>
      <c r="AE4213">
        <v>100</v>
      </c>
      <c r="AF4213" t="s">
        <v>45541</v>
      </c>
      <c r="AG4213" t="s">
        <v>45561</v>
      </c>
      <c r="AH4213">
        <v>15</v>
      </c>
      <c r="AI4213">
        <v>1</v>
      </c>
      <c r="AJ4213">
        <v>0</v>
      </c>
      <c r="AK4213">
        <v>82.37</v>
      </c>
      <c r="AN4213" t="s">
        <v>7439</v>
      </c>
      <c r="AO4213">
        <v>10000</v>
      </c>
      <c r="AU4213">
        <v>3</v>
      </c>
      <c r="AV4213" t="s">
        <v>836</v>
      </c>
      <c r="AW4213" t="s">
        <v>336</v>
      </c>
    </row>
    <row r="4214" spans="1:49">
      <c r="A4214" s="1">
        <f>HYPERLINK("https://lsnyc.legalserver.org/matter/dynamic-profile/view/1881819","18-1881819")</f>
        <v>0</v>
      </c>
      <c r="B4214" t="s">
        <v>63</v>
      </c>
      <c r="C4214" t="s">
        <v>340</v>
      </c>
      <c r="D4214" t="s">
        <v>623</v>
      </c>
      <c r="F4214" t="s">
        <v>2967</v>
      </c>
      <c r="G4214" t="s">
        <v>3138</v>
      </c>
      <c r="H4214" t="s">
        <v>10918</v>
      </c>
      <c r="I4214" t="s">
        <v>17884</v>
      </c>
      <c r="J4214" t="s">
        <v>18892</v>
      </c>
      <c r="K4214">
        <v>10451</v>
      </c>
      <c r="L4214" t="s">
        <v>18958</v>
      </c>
      <c r="M4214" t="s">
        <v>18958</v>
      </c>
      <c r="N4214" t="s">
        <v>22128</v>
      </c>
      <c r="O4214" t="s">
        <v>26526</v>
      </c>
      <c r="P4214" t="s">
        <v>26560</v>
      </c>
      <c r="R4214" t="s">
        <v>26578</v>
      </c>
      <c r="S4214" t="s">
        <v>18958</v>
      </c>
      <c r="U4214" t="s">
        <v>26604</v>
      </c>
      <c r="W4214" t="s">
        <v>494</v>
      </c>
      <c r="X4214">
        <v>1000</v>
      </c>
      <c r="Y4214" t="s">
        <v>26650</v>
      </c>
      <c r="Z4214" t="s">
        <v>26663</v>
      </c>
      <c r="AB4214" t="s">
        <v>30216</v>
      </c>
      <c r="AD4214" t="s">
        <v>40358</v>
      </c>
      <c r="AE4214">
        <v>100</v>
      </c>
      <c r="AF4214" t="s">
        <v>45541</v>
      </c>
      <c r="AG4214" t="s">
        <v>19330</v>
      </c>
      <c r="AH4214">
        <v>19</v>
      </c>
      <c r="AI4214">
        <v>1</v>
      </c>
      <c r="AJ4214">
        <v>0</v>
      </c>
      <c r="AK4214">
        <v>84.12</v>
      </c>
      <c r="AN4214" t="s">
        <v>45581</v>
      </c>
      <c r="AO4214">
        <v>10212</v>
      </c>
      <c r="AU4214">
        <v>1.5</v>
      </c>
      <c r="AV4214" t="s">
        <v>839</v>
      </c>
      <c r="AW4214" t="s">
        <v>336</v>
      </c>
    </row>
    <row r="4215" spans="1:49">
      <c r="A4215" s="1">
        <f>HYPERLINK("https://lsnyc.legalserver.org/matter/dynamic-profile/view/1882290","18-1882290")</f>
        <v>0</v>
      </c>
      <c r="B4215" t="s">
        <v>63</v>
      </c>
      <c r="C4215" t="s">
        <v>340</v>
      </c>
      <c r="D4215" t="s">
        <v>623</v>
      </c>
      <c r="F4215" t="s">
        <v>1823</v>
      </c>
      <c r="G4215" t="s">
        <v>5138</v>
      </c>
      <c r="H4215" t="s">
        <v>10918</v>
      </c>
      <c r="I4215" t="s">
        <v>18079</v>
      </c>
      <c r="J4215" t="s">
        <v>18892</v>
      </c>
      <c r="K4215">
        <v>10451</v>
      </c>
      <c r="L4215" t="s">
        <v>18958</v>
      </c>
      <c r="M4215" t="s">
        <v>18958</v>
      </c>
      <c r="N4215" t="s">
        <v>22128</v>
      </c>
      <c r="O4215" t="s">
        <v>26526</v>
      </c>
      <c r="P4215" t="s">
        <v>26560</v>
      </c>
      <c r="R4215" t="s">
        <v>26578</v>
      </c>
      <c r="S4215" t="s">
        <v>18958</v>
      </c>
      <c r="U4215" t="s">
        <v>26604</v>
      </c>
      <c r="W4215" t="s">
        <v>494</v>
      </c>
      <c r="X4215">
        <v>1212.06</v>
      </c>
      <c r="Y4215" t="s">
        <v>26650</v>
      </c>
      <c r="Z4215" t="s">
        <v>26663</v>
      </c>
      <c r="AB4215" t="s">
        <v>28080</v>
      </c>
      <c r="AD4215" t="s">
        <v>38130</v>
      </c>
      <c r="AE4215">
        <v>100</v>
      </c>
      <c r="AF4215" t="s">
        <v>45541</v>
      </c>
      <c r="AG4215" t="s">
        <v>19330</v>
      </c>
      <c r="AH4215">
        <v>11</v>
      </c>
      <c r="AI4215">
        <v>1</v>
      </c>
      <c r="AJ4215">
        <v>0</v>
      </c>
      <c r="AK4215">
        <v>84.70999999999999</v>
      </c>
      <c r="AN4215" t="s">
        <v>45581</v>
      </c>
      <c r="AO4215">
        <v>10284</v>
      </c>
      <c r="AU4215">
        <v>4.3</v>
      </c>
      <c r="AV4215" t="s">
        <v>752</v>
      </c>
      <c r="AW4215" t="s">
        <v>336</v>
      </c>
    </row>
    <row r="4216" spans="1:49">
      <c r="A4216" s="1">
        <f>HYPERLINK("https://lsnyc.legalserver.org/matter/dynamic-profile/view/1881801","18-1881801")</f>
        <v>0</v>
      </c>
      <c r="B4216" t="s">
        <v>63</v>
      </c>
      <c r="C4216" t="s">
        <v>340</v>
      </c>
      <c r="D4216" t="s">
        <v>623</v>
      </c>
      <c r="F4216" t="s">
        <v>1785</v>
      </c>
      <c r="G4216" t="s">
        <v>5147</v>
      </c>
      <c r="H4216" t="s">
        <v>10918</v>
      </c>
      <c r="I4216" t="s">
        <v>18080</v>
      </c>
      <c r="J4216" t="s">
        <v>18892</v>
      </c>
      <c r="K4216">
        <v>10451</v>
      </c>
      <c r="L4216" t="s">
        <v>18958</v>
      </c>
      <c r="M4216" t="s">
        <v>18958</v>
      </c>
      <c r="N4216" t="s">
        <v>22128</v>
      </c>
      <c r="O4216" t="s">
        <v>26526</v>
      </c>
      <c r="P4216" t="s">
        <v>26560</v>
      </c>
      <c r="R4216" t="s">
        <v>26578</v>
      </c>
      <c r="S4216" t="s">
        <v>18958</v>
      </c>
      <c r="U4216" t="s">
        <v>26604</v>
      </c>
      <c r="W4216" t="s">
        <v>494</v>
      </c>
      <c r="X4216">
        <v>900</v>
      </c>
      <c r="Y4216" t="s">
        <v>26650</v>
      </c>
      <c r="Z4216" t="s">
        <v>26663</v>
      </c>
      <c r="AB4216" t="s">
        <v>30217</v>
      </c>
      <c r="AD4216" t="s">
        <v>40359</v>
      </c>
      <c r="AE4216">
        <v>100</v>
      </c>
      <c r="AF4216" t="s">
        <v>45541</v>
      </c>
      <c r="AG4216" t="s">
        <v>45559</v>
      </c>
      <c r="AH4216">
        <v>35</v>
      </c>
      <c r="AI4216">
        <v>1</v>
      </c>
      <c r="AJ4216">
        <v>0</v>
      </c>
      <c r="AK4216">
        <v>96.93000000000001</v>
      </c>
      <c r="AN4216" t="s">
        <v>45581</v>
      </c>
      <c r="AO4216">
        <v>11767.2</v>
      </c>
      <c r="AU4216">
        <v>0</v>
      </c>
      <c r="AW4216" t="s">
        <v>336</v>
      </c>
    </row>
    <row r="4217" spans="1:49">
      <c r="A4217" s="1">
        <f>HYPERLINK("https://lsnyc.legalserver.org/matter/dynamic-profile/view/1881670","18-1881670")</f>
        <v>0</v>
      </c>
      <c r="B4217" t="s">
        <v>63</v>
      </c>
      <c r="C4217" t="s">
        <v>340</v>
      </c>
      <c r="D4217" t="s">
        <v>623</v>
      </c>
      <c r="F4217" t="s">
        <v>1650</v>
      </c>
      <c r="G4217" t="s">
        <v>5112</v>
      </c>
      <c r="H4217" t="s">
        <v>10918</v>
      </c>
      <c r="I4217" t="s">
        <v>17704</v>
      </c>
      <c r="J4217" t="s">
        <v>18892</v>
      </c>
      <c r="K4217">
        <v>10451</v>
      </c>
      <c r="L4217" t="s">
        <v>18958</v>
      </c>
      <c r="M4217" t="s">
        <v>18958</v>
      </c>
      <c r="N4217" t="s">
        <v>22128</v>
      </c>
      <c r="O4217" t="s">
        <v>26526</v>
      </c>
      <c r="P4217" t="s">
        <v>26560</v>
      </c>
      <c r="R4217" t="s">
        <v>26578</v>
      </c>
      <c r="S4217" t="s">
        <v>18958</v>
      </c>
      <c r="U4217" t="s">
        <v>26604</v>
      </c>
      <c r="W4217" t="s">
        <v>494</v>
      </c>
      <c r="X4217">
        <v>2150</v>
      </c>
      <c r="Y4217" t="s">
        <v>26650</v>
      </c>
      <c r="Z4217" t="s">
        <v>26663</v>
      </c>
      <c r="AB4217" t="s">
        <v>30218</v>
      </c>
      <c r="AD4217" t="s">
        <v>40360</v>
      </c>
      <c r="AE4217">
        <v>100</v>
      </c>
      <c r="AF4217" t="s">
        <v>45547</v>
      </c>
      <c r="AH4217">
        <v>3</v>
      </c>
      <c r="AI4217">
        <v>4</v>
      </c>
      <c r="AJ4217">
        <v>0</v>
      </c>
      <c r="AK4217">
        <v>118.73</v>
      </c>
      <c r="AN4217" t="s">
        <v>7439</v>
      </c>
      <c r="AO4217">
        <v>29800</v>
      </c>
      <c r="AU4217">
        <v>97</v>
      </c>
      <c r="AV4217" t="s">
        <v>821</v>
      </c>
      <c r="AW4217" t="s">
        <v>336</v>
      </c>
    </row>
    <row r="4218" spans="1:49">
      <c r="A4218" s="1">
        <f>HYPERLINK("https://lsnyc.legalserver.org/matter/dynamic-profile/view/1881794","18-1881794")</f>
        <v>0</v>
      </c>
      <c r="B4218" t="s">
        <v>63</v>
      </c>
      <c r="C4218" t="s">
        <v>340</v>
      </c>
      <c r="D4218" t="s">
        <v>623</v>
      </c>
      <c r="F4218" t="s">
        <v>2045</v>
      </c>
      <c r="G4218" t="s">
        <v>5466</v>
      </c>
      <c r="H4218" t="s">
        <v>10918</v>
      </c>
      <c r="I4218" t="s">
        <v>17474</v>
      </c>
      <c r="J4218" t="s">
        <v>18892</v>
      </c>
      <c r="K4218">
        <v>10451</v>
      </c>
      <c r="L4218" t="s">
        <v>18958</v>
      </c>
      <c r="M4218" t="s">
        <v>18958</v>
      </c>
      <c r="N4218" t="s">
        <v>22128</v>
      </c>
      <c r="O4218" t="s">
        <v>26526</v>
      </c>
      <c r="P4218" t="s">
        <v>26560</v>
      </c>
      <c r="R4218" t="s">
        <v>26578</v>
      </c>
      <c r="S4218" t="s">
        <v>18958</v>
      </c>
      <c r="U4218" t="s">
        <v>26604</v>
      </c>
      <c r="W4218" t="s">
        <v>494</v>
      </c>
      <c r="X4218">
        <v>820</v>
      </c>
      <c r="Y4218" t="s">
        <v>26650</v>
      </c>
      <c r="Z4218" t="s">
        <v>26663</v>
      </c>
      <c r="AB4218" t="s">
        <v>30219</v>
      </c>
      <c r="AD4218" t="s">
        <v>40361</v>
      </c>
      <c r="AE4218">
        <v>100</v>
      </c>
      <c r="AF4218" t="s">
        <v>45541</v>
      </c>
      <c r="AG4218" t="s">
        <v>45556</v>
      </c>
      <c r="AH4218">
        <v>15</v>
      </c>
      <c r="AI4218">
        <v>1</v>
      </c>
      <c r="AJ4218">
        <v>0</v>
      </c>
      <c r="AK4218">
        <v>148.27</v>
      </c>
      <c r="AN4218" t="s">
        <v>45581</v>
      </c>
      <c r="AO4218">
        <v>18000</v>
      </c>
      <c r="AU4218">
        <v>0</v>
      </c>
      <c r="AW4218" t="s">
        <v>336</v>
      </c>
    </row>
    <row r="4219" spans="1:49">
      <c r="A4219" s="1">
        <f>HYPERLINK("https://lsnyc.legalserver.org/matter/dynamic-profile/view/1882299","18-1882299")</f>
        <v>0</v>
      </c>
      <c r="B4219" t="s">
        <v>63</v>
      </c>
      <c r="C4219" t="s">
        <v>340</v>
      </c>
      <c r="D4219" t="s">
        <v>623</v>
      </c>
      <c r="F4219" t="s">
        <v>1276</v>
      </c>
      <c r="G4219" t="s">
        <v>5789</v>
      </c>
      <c r="H4219" t="s">
        <v>10918</v>
      </c>
      <c r="I4219" t="s">
        <v>17906</v>
      </c>
      <c r="J4219" t="s">
        <v>18892</v>
      </c>
      <c r="K4219">
        <v>10451</v>
      </c>
      <c r="L4219" t="s">
        <v>18958</v>
      </c>
      <c r="M4219" t="s">
        <v>18958</v>
      </c>
      <c r="N4219" t="s">
        <v>22128</v>
      </c>
      <c r="O4219" t="s">
        <v>26526</v>
      </c>
      <c r="P4219" t="s">
        <v>26560</v>
      </c>
      <c r="R4219" t="s">
        <v>26578</v>
      </c>
      <c r="S4219" t="s">
        <v>18958</v>
      </c>
      <c r="U4219" t="s">
        <v>26604</v>
      </c>
      <c r="W4219" t="s">
        <v>494</v>
      </c>
      <c r="X4219">
        <v>1000</v>
      </c>
      <c r="Y4219" t="s">
        <v>26650</v>
      </c>
      <c r="Z4219" t="s">
        <v>26663</v>
      </c>
      <c r="AB4219" t="s">
        <v>27718</v>
      </c>
      <c r="AD4219" t="s">
        <v>37769</v>
      </c>
      <c r="AE4219">
        <v>100</v>
      </c>
      <c r="AF4219" t="s">
        <v>45541</v>
      </c>
      <c r="AG4219" t="s">
        <v>19330</v>
      </c>
      <c r="AH4219">
        <v>1</v>
      </c>
      <c r="AI4219">
        <v>2</v>
      </c>
      <c r="AJ4219">
        <v>0</v>
      </c>
      <c r="AK4219">
        <v>157.96</v>
      </c>
      <c r="AN4219" t="s">
        <v>45581</v>
      </c>
      <c r="AO4219">
        <v>26000</v>
      </c>
      <c r="AU4219">
        <v>0</v>
      </c>
      <c r="AW4219" t="s">
        <v>336</v>
      </c>
    </row>
    <row r="4220" spans="1:49">
      <c r="A4220" s="1">
        <f>HYPERLINK("https://lsnyc.legalserver.org/matter/dynamic-profile/view/1881710","18-1881710")</f>
        <v>0</v>
      </c>
      <c r="B4220" t="s">
        <v>63</v>
      </c>
      <c r="C4220" t="s">
        <v>340</v>
      </c>
      <c r="D4220" t="s">
        <v>623</v>
      </c>
      <c r="F4220" t="s">
        <v>2968</v>
      </c>
      <c r="G4220" t="s">
        <v>1725</v>
      </c>
      <c r="H4220" t="s">
        <v>10918</v>
      </c>
      <c r="I4220" t="s">
        <v>17274</v>
      </c>
      <c r="J4220" t="s">
        <v>18892</v>
      </c>
      <c r="K4220">
        <v>10451</v>
      </c>
      <c r="L4220" t="s">
        <v>18958</v>
      </c>
      <c r="M4220" t="s">
        <v>18958</v>
      </c>
      <c r="N4220" t="s">
        <v>22128</v>
      </c>
      <c r="O4220" t="s">
        <v>26526</v>
      </c>
      <c r="P4220" t="s">
        <v>26560</v>
      </c>
      <c r="R4220" t="s">
        <v>26578</v>
      </c>
      <c r="S4220" t="s">
        <v>18958</v>
      </c>
      <c r="U4220" t="s">
        <v>26604</v>
      </c>
      <c r="W4220" t="s">
        <v>494</v>
      </c>
      <c r="X4220">
        <v>627.27</v>
      </c>
      <c r="Y4220" t="s">
        <v>26650</v>
      </c>
      <c r="Z4220" t="s">
        <v>26663</v>
      </c>
      <c r="AB4220" t="s">
        <v>28020</v>
      </c>
      <c r="AE4220">
        <v>100</v>
      </c>
      <c r="AF4220" t="s">
        <v>45552</v>
      </c>
      <c r="AG4220" t="s">
        <v>45556</v>
      </c>
      <c r="AH4220">
        <v>34</v>
      </c>
      <c r="AI4220">
        <v>2</v>
      </c>
      <c r="AJ4220">
        <v>0</v>
      </c>
      <c r="AK4220">
        <v>169.02</v>
      </c>
      <c r="AN4220" t="s">
        <v>45581</v>
      </c>
      <c r="AO4220">
        <v>27820</v>
      </c>
      <c r="AU4220">
        <v>0</v>
      </c>
      <c r="AW4220" t="s">
        <v>336</v>
      </c>
    </row>
    <row r="4221" spans="1:49">
      <c r="A4221" s="1">
        <f>HYPERLINK("https://lsnyc.legalserver.org/matter/dynamic-profile/view/1881824","18-1881824")</f>
        <v>0</v>
      </c>
      <c r="B4221" t="s">
        <v>63</v>
      </c>
      <c r="C4221" t="s">
        <v>340</v>
      </c>
      <c r="D4221" t="s">
        <v>623</v>
      </c>
      <c r="F4221" t="s">
        <v>1128</v>
      </c>
      <c r="G4221" t="s">
        <v>7218</v>
      </c>
      <c r="H4221" t="s">
        <v>10918</v>
      </c>
      <c r="I4221" t="s">
        <v>18081</v>
      </c>
      <c r="J4221" t="s">
        <v>18892</v>
      </c>
      <c r="K4221">
        <v>10451</v>
      </c>
      <c r="L4221" t="s">
        <v>18958</v>
      </c>
      <c r="M4221" t="s">
        <v>18958</v>
      </c>
      <c r="N4221" t="s">
        <v>22128</v>
      </c>
      <c r="O4221" t="s">
        <v>26526</v>
      </c>
      <c r="P4221" t="s">
        <v>26560</v>
      </c>
      <c r="R4221" t="s">
        <v>26578</v>
      </c>
      <c r="S4221" t="s">
        <v>18958</v>
      </c>
      <c r="U4221" t="s">
        <v>26604</v>
      </c>
      <c r="W4221" t="s">
        <v>494</v>
      </c>
      <c r="X4221">
        <v>1010</v>
      </c>
      <c r="Y4221" t="s">
        <v>26650</v>
      </c>
      <c r="Z4221" t="s">
        <v>26663</v>
      </c>
      <c r="AB4221" t="s">
        <v>30220</v>
      </c>
      <c r="AD4221" t="s">
        <v>40362</v>
      </c>
      <c r="AE4221">
        <v>100</v>
      </c>
      <c r="AF4221" t="s">
        <v>45541</v>
      </c>
      <c r="AG4221" t="s">
        <v>19330</v>
      </c>
      <c r="AH4221">
        <v>5</v>
      </c>
      <c r="AI4221">
        <v>1</v>
      </c>
      <c r="AJ4221">
        <v>0</v>
      </c>
      <c r="AK4221">
        <v>428.34</v>
      </c>
      <c r="AN4221" t="s">
        <v>7439</v>
      </c>
      <c r="AO4221">
        <v>52000</v>
      </c>
      <c r="AU4221">
        <v>4</v>
      </c>
      <c r="AV4221" t="s">
        <v>646</v>
      </c>
      <c r="AW4221" t="s">
        <v>336</v>
      </c>
    </row>
    <row r="4222" spans="1:49">
      <c r="A4222" s="1">
        <f>HYPERLINK("https://lsnyc.legalserver.org/matter/dynamic-profile/view/1880833","18-1880833")</f>
        <v>0</v>
      </c>
      <c r="B4222" t="s">
        <v>188</v>
      </c>
      <c r="C4222" t="s">
        <v>341</v>
      </c>
      <c r="D4222" t="s">
        <v>630</v>
      </c>
      <c r="E4222" t="s">
        <v>637</v>
      </c>
      <c r="F4222" t="s">
        <v>2969</v>
      </c>
      <c r="G4222" t="s">
        <v>7219</v>
      </c>
      <c r="H4222" t="s">
        <v>12903</v>
      </c>
      <c r="J4222" t="s">
        <v>18892</v>
      </c>
      <c r="K4222">
        <v>10452</v>
      </c>
      <c r="L4222" t="s">
        <v>18958</v>
      </c>
      <c r="M4222" t="s">
        <v>18958</v>
      </c>
      <c r="O4222" t="s">
        <v>26524</v>
      </c>
      <c r="P4222" t="s">
        <v>26564</v>
      </c>
      <c r="Q4222" t="s">
        <v>26570</v>
      </c>
      <c r="R4222" t="s">
        <v>26591</v>
      </c>
      <c r="S4222" t="s">
        <v>18959</v>
      </c>
      <c r="U4222" t="s">
        <v>26604</v>
      </c>
      <c r="V4222" t="s">
        <v>26610</v>
      </c>
      <c r="W4222" t="s">
        <v>494</v>
      </c>
      <c r="X4222">
        <v>1375</v>
      </c>
      <c r="Y4222" t="s">
        <v>26650</v>
      </c>
      <c r="Z4222" t="s">
        <v>26655</v>
      </c>
      <c r="AA4222" t="s">
        <v>26683</v>
      </c>
      <c r="AB4222" t="s">
        <v>30221</v>
      </c>
      <c r="AE4222">
        <v>37</v>
      </c>
      <c r="AF4222" t="s">
        <v>45541</v>
      </c>
      <c r="AH4222">
        <v>2</v>
      </c>
      <c r="AI4222">
        <v>6</v>
      </c>
      <c r="AJ4222">
        <v>4</v>
      </c>
      <c r="AK4222">
        <v>122.3</v>
      </c>
      <c r="AN4222" t="s">
        <v>45581</v>
      </c>
      <c r="AO4222">
        <v>62400</v>
      </c>
      <c r="AP4222" t="s">
        <v>45816</v>
      </c>
      <c r="AU4222">
        <v>0.9</v>
      </c>
      <c r="AV4222" t="s">
        <v>637</v>
      </c>
      <c r="AW4222" t="s">
        <v>188</v>
      </c>
    </row>
    <row r="4223" spans="1:49">
      <c r="A4223" s="1">
        <f>HYPERLINK("https://lsnyc.legalserver.org/matter/dynamic-profile/view/1880819","18-1880819")</f>
        <v>0</v>
      </c>
      <c r="B4223" t="s">
        <v>115</v>
      </c>
      <c r="C4223" t="s">
        <v>340</v>
      </c>
      <c r="D4223" t="s">
        <v>630</v>
      </c>
      <c r="F4223" t="s">
        <v>928</v>
      </c>
      <c r="G4223" t="s">
        <v>5473</v>
      </c>
      <c r="H4223" t="s">
        <v>9760</v>
      </c>
      <c r="I4223" t="s">
        <v>17299</v>
      </c>
      <c r="J4223" t="s">
        <v>18892</v>
      </c>
      <c r="K4223">
        <v>10452</v>
      </c>
      <c r="L4223" t="s">
        <v>18958</v>
      </c>
      <c r="M4223" t="s">
        <v>18958</v>
      </c>
      <c r="O4223" t="s">
        <v>18997</v>
      </c>
      <c r="P4223" t="s">
        <v>26562</v>
      </c>
      <c r="R4223" t="s">
        <v>26578</v>
      </c>
      <c r="S4223" t="s">
        <v>18958</v>
      </c>
      <c r="U4223" t="s">
        <v>26604</v>
      </c>
      <c r="W4223" t="s">
        <v>494</v>
      </c>
      <c r="X4223">
        <v>828</v>
      </c>
      <c r="Y4223" t="s">
        <v>26650</v>
      </c>
      <c r="Z4223" t="s">
        <v>26663</v>
      </c>
      <c r="AB4223" t="s">
        <v>30211</v>
      </c>
      <c r="AC4223" t="s">
        <v>35738</v>
      </c>
      <c r="AE4223">
        <v>149</v>
      </c>
      <c r="AF4223" t="s">
        <v>45541</v>
      </c>
      <c r="AG4223" t="s">
        <v>26530</v>
      </c>
      <c r="AH4223">
        <v>2</v>
      </c>
      <c r="AI4223">
        <v>1</v>
      </c>
      <c r="AJ4223">
        <v>0</v>
      </c>
      <c r="AK4223">
        <v>81.84999999999999</v>
      </c>
      <c r="AN4223" t="s">
        <v>7439</v>
      </c>
      <c r="AO4223">
        <v>9936</v>
      </c>
      <c r="AU4223">
        <v>0</v>
      </c>
      <c r="AW4223" t="s">
        <v>46832</v>
      </c>
    </row>
    <row r="4224" spans="1:49">
      <c r="A4224" s="1">
        <f>HYPERLINK("https://lsnyc.legalserver.org/matter/dynamic-profile/view/1880847","18-1880847")</f>
        <v>0</v>
      </c>
      <c r="B4224" t="s">
        <v>98</v>
      </c>
      <c r="C4224" t="s">
        <v>341</v>
      </c>
      <c r="D4224" t="s">
        <v>635</v>
      </c>
      <c r="E4224" t="s">
        <v>494</v>
      </c>
      <c r="F4224" t="s">
        <v>2970</v>
      </c>
      <c r="G4224" t="s">
        <v>6300</v>
      </c>
      <c r="H4224" t="s">
        <v>9760</v>
      </c>
      <c r="I4224">
        <v>50</v>
      </c>
      <c r="J4224" t="s">
        <v>18892</v>
      </c>
      <c r="K4224">
        <v>10452</v>
      </c>
      <c r="L4224" t="s">
        <v>18958</v>
      </c>
      <c r="M4224" t="s">
        <v>18958</v>
      </c>
      <c r="O4224" t="s">
        <v>26526</v>
      </c>
      <c r="P4224" t="s">
        <v>26564</v>
      </c>
      <c r="Q4224" t="s">
        <v>26570</v>
      </c>
      <c r="R4224" t="s">
        <v>26578</v>
      </c>
      <c r="S4224" t="s">
        <v>18958</v>
      </c>
      <c r="U4224" t="s">
        <v>26604</v>
      </c>
      <c r="W4224" t="s">
        <v>494</v>
      </c>
      <c r="X4224">
        <v>857</v>
      </c>
      <c r="Y4224" t="s">
        <v>26650</v>
      </c>
      <c r="Z4224" t="s">
        <v>26663</v>
      </c>
      <c r="AA4224" t="s">
        <v>26683</v>
      </c>
      <c r="AB4224" t="s">
        <v>30222</v>
      </c>
      <c r="AE4224">
        <v>149</v>
      </c>
      <c r="AF4224" t="s">
        <v>45541</v>
      </c>
      <c r="AG4224" t="s">
        <v>19330</v>
      </c>
      <c r="AH4224">
        <v>35</v>
      </c>
      <c r="AI4224">
        <v>2</v>
      </c>
      <c r="AJ4224">
        <v>0</v>
      </c>
      <c r="AK4224">
        <v>149.96</v>
      </c>
      <c r="AN4224" t="s">
        <v>7439</v>
      </c>
      <c r="AO4224">
        <v>24684</v>
      </c>
      <c r="AU4224">
        <v>0.2</v>
      </c>
      <c r="AV4224" t="s">
        <v>415</v>
      </c>
      <c r="AW4224" t="s">
        <v>46832</v>
      </c>
    </row>
    <row r="4225" spans="1:49">
      <c r="A4225" s="1">
        <f>HYPERLINK("https://lsnyc.legalserver.org/matter/dynamic-profile/view/1880956","18-1880956")</f>
        <v>0</v>
      </c>
      <c r="B4225" t="s">
        <v>98</v>
      </c>
      <c r="C4225" t="s">
        <v>341</v>
      </c>
      <c r="D4225" t="s">
        <v>605</v>
      </c>
      <c r="E4225" t="s">
        <v>494</v>
      </c>
      <c r="F4225" t="s">
        <v>937</v>
      </c>
      <c r="G4225" t="s">
        <v>5229</v>
      </c>
      <c r="H4225" t="s">
        <v>9760</v>
      </c>
      <c r="I4225" t="s">
        <v>17528</v>
      </c>
      <c r="J4225" t="s">
        <v>18892</v>
      </c>
      <c r="K4225">
        <v>10452</v>
      </c>
      <c r="L4225" t="s">
        <v>18958</v>
      </c>
      <c r="M4225" t="s">
        <v>18958</v>
      </c>
      <c r="O4225" t="s">
        <v>26526</v>
      </c>
      <c r="P4225" t="s">
        <v>26564</v>
      </c>
      <c r="Q4225" t="s">
        <v>26570</v>
      </c>
      <c r="R4225" t="s">
        <v>26578</v>
      </c>
      <c r="S4225" t="s">
        <v>18958</v>
      </c>
      <c r="U4225" t="s">
        <v>26604</v>
      </c>
      <c r="W4225" t="s">
        <v>494</v>
      </c>
      <c r="X4225">
        <v>1209.55</v>
      </c>
      <c r="Y4225" t="s">
        <v>26650</v>
      </c>
      <c r="Z4225" t="s">
        <v>26663</v>
      </c>
      <c r="AA4225" t="s">
        <v>26683</v>
      </c>
      <c r="AC4225" t="s">
        <v>35739</v>
      </c>
      <c r="AE4225">
        <v>149</v>
      </c>
      <c r="AF4225" t="s">
        <v>45541</v>
      </c>
      <c r="AG4225" t="s">
        <v>45556</v>
      </c>
      <c r="AH4225">
        <v>10</v>
      </c>
      <c r="AI4225">
        <v>1</v>
      </c>
      <c r="AJ4225">
        <v>0</v>
      </c>
      <c r="AK4225">
        <v>0</v>
      </c>
      <c r="AN4225" t="s">
        <v>45581</v>
      </c>
      <c r="AO4225">
        <v>0</v>
      </c>
      <c r="AU4225">
        <v>0.2</v>
      </c>
      <c r="AV4225" t="s">
        <v>415</v>
      </c>
      <c r="AW4225" t="s">
        <v>46832</v>
      </c>
    </row>
    <row r="4226" spans="1:49">
      <c r="A4226" s="1">
        <f>HYPERLINK("https://lsnyc.legalserver.org/matter/dynamic-profile/view/1881393","18-1881393")</f>
        <v>0</v>
      </c>
      <c r="B4226" t="s">
        <v>158</v>
      </c>
      <c r="C4226" t="s">
        <v>341</v>
      </c>
      <c r="D4226" t="s">
        <v>632</v>
      </c>
      <c r="E4226" t="s">
        <v>494</v>
      </c>
      <c r="F4226" t="s">
        <v>2971</v>
      </c>
      <c r="G4226" t="s">
        <v>6311</v>
      </c>
      <c r="H4226" t="s">
        <v>12904</v>
      </c>
      <c r="I4226">
        <v>8</v>
      </c>
      <c r="J4226" t="s">
        <v>18894</v>
      </c>
      <c r="K4226">
        <v>11225</v>
      </c>
      <c r="L4226" t="s">
        <v>18958</v>
      </c>
      <c r="M4226" t="s">
        <v>18958</v>
      </c>
      <c r="N4226" t="s">
        <v>22132</v>
      </c>
      <c r="O4226" t="s">
        <v>26524</v>
      </c>
      <c r="P4226" t="s">
        <v>26564</v>
      </c>
      <c r="Q4226" t="s">
        <v>26570</v>
      </c>
      <c r="R4226" t="s">
        <v>26588</v>
      </c>
      <c r="U4226" t="s">
        <v>26604</v>
      </c>
      <c r="W4226" t="s">
        <v>494</v>
      </c>
      <c r="X4226">
        <v>1090</v>
      </c>
      <c r="Y4226" t="s">
        <v>26652</v>
      </c>
      <c r="Z4226" t="s">
        <v>26669</v>
      </c>
      <c r="AA4226" t="s">
        <v>26683</v>
      </c>
      <c r="AB4226" t="s">
        <v>30223</v>
      </c>
      <c r="AD4226" t="s">
        <v>40363</v>
      </c>
      <c r="AE4226">
        <v>10</v>
      </c>
      <c r="AG4226" t="s">
        <v>19330</v>
      </c>
      <c r="AH4226">
        <v>20</v>
      </c>
      <c r="AI4226">
        <v>2</v>
      </c>
      <c r="AJ4226">
        <v>1</v>
      </c>
      <c r="AK4226">
        <v>293.68</v>
      </c>
      <c r="AN4226" t="s">
        <v>7439</v>
      </c>
      <c r="AO4226">
        <v>61027</v>
      </c>
      <c r="AU4226">
        <v>9.800000000000001</v>
      </c>
      <c r="AV4226" t="s">
        <v>693</v>
      </c>
      <c r="AW4226" t="s">
        <v>281</v>
      </c>
    </row>
    <row r="4227" spans="1:49">
      <c r="A4227" s="1">
        <f>HYPERLINK("https://lsnyc.legalserver.org/matter/dynamic-profile/view/1881478","18-1881478")</f>
        <v>0</v>
      </c>
      <c r="B4227" t="s">
        <v>115</v>
      </c>
      <c r="C4227" t="s">
        <v>340</v>
      </c>
      <c r="D4227" t="s">
        <v>624</v>
      </c>
      <c r="F4227" t="s">
        <v>2972</v>
      </c>
      <c r="G4227" t="s">
        <v>5691</v>
      </c>
      <c r="H4227" t="s">
        <v>11837</v>
      </c>
      <c r="I4227" t="s">
        <v>17293</v>
      </c>
      <c r="J4227" t="s">
        <v>18892</v>
      </c>
      <c r="K4227">
        <v>10457</v>
      </c>
      <c r="L4227" t="s">
        <v>18958</v>
      </c>
      <c r="M4227" t="s">
        <v>18958</v>
      </c>
      <c r="N4227" t="s">
        <v>22133</v>
      </c>
      <c r="O4227" t="s">
        <v>26529</v>
      </c>
      <c r="P4227" t="s">
        <v>26566</v>
      </c>
      <c r="R4227" t="s">
        <v>26578</v>
      </c>
      <c r="S4227" t="s">
        <v>18958</v>
      </c>
      <c r="U4227" t="s">
        <v>26604</v>
      </c>
      <c r="W4227" t="s">
        <v>494</v>
      </c>
      <c r="X4227">
        <v>0</v>
      </c>
      <c r="Y4227" t="s">
        <v>26650</v>
      </c>
      <c r="Z4227" t="s">
        <v>26663</v>
      </c>
      <c r="AB4227" t="s">
        <v>30224</v>
      </c>
      <c r="AC4227" t="s">
        <v>35740</v>
      </c>
      <c r="AD4227" t="s">
        <v>40364</v>
      </c>
      <c r="AE4227">
        <v>38</v>
      </c>
      <c r="AF4227" t="s">
        <v>20460</v>
      </c>
      <c r="AH4227">
        <v>1</v>
      </c>
      <c r="AI4227">
        <v>1</v>
      </c>
      <c r="AJ4227">
        <v>0</v>
      </c>
      <c r="AK4227">
        <v>83.81999999999999</v>
      </c>
      <c r="AN4227" t="s">
        <v>45581</v>
      </c>
      <c r="AO4227">
        <v>10176</v>
      </c>
      <c r="AU4227">
        <v>0</v>
      </c>
      <c r="AW4227" t="s">
        <v>46832</v>
      </c>
    </row>
    <row r="4228" spans="1:49">
      <c r="A4228" s="1">
        <f>HYPERLINK("https://lsnyc.legalserver.org/matter/dynamic-profile/view/1881763","18-1881763")</f>
        <v>0</v>
      </c>
      <c r="B4228" t="s">
        <v>216</v>
      </c>
      <c r="C4228" t="s">
        <v>341</v>
      </c>
      <c r="D4228" t="s">
        <v>643</v>
      </c>
      <c r="E4228" t="s">
        <v>494</v>
      </c>
      <c r="F4228" t="s">
        <v>1321</v>
      </c>
      <c r="G4228" t="s">
        <v>7220</v>
      </c>
      <c r="H4228" t="s">
        <v>12905</v>
      </c>
      <c r="I4228" t="s">
        <v>17334</v>
      </c>
      <c r="J4228" t="s">
        <v>18894</v>
      </c>
      <c r="K4228">
        <v>11212</v>
      </c>
      <c r="L4228" t="s">
        <v>18958</v>
      </c>
      <c r="M4228" t="s">
        <v>18958</v>
      </c>
      <c r="N4228" t="s">
        <v>22134</v>
      </c>
      <c r="O4228" t="s">
        <v>26524</v>
      </c>
      <c r="P4228" t="s">
        <v>26564</v>
      </c>
      <c r="Q4228" t="s">
        <v>26570</v>
      </c>
      <c r="R4228" t="s">
        <v>26578</v>
      </c>
      <c r="S4228" t="s">
        <v>18959</v>
      </c>
      <c r="U4228" t="s">
        <v>26604</v>
      </c>
      <c r="V4228" t="s">
        <v>26610</v>
      </c>
      <c r="W4228" t="s">
        <v>494</v>
      </c>
      <c r="X4228">
        <v>1015</v>
      </c>
      <c r="Y4228" t="s">
        <v>26652</v>
      </c>
      <c r="AA4228" t="s">
        <v>26683</v>
      </c>
      <c r="AB4228" t="s">
        <v>30003</v>
      </c>
      <c r="AC4228" t="s">
        <v>35741</v>
      </c>
      <c r="AD4228" t="s">
        <v>40365</v>
      </c>
      <c r="AE4228">
        <v>4</v>
      </c>
      <c r="AF4228" t="s">
        <v>45547</v>
      </c>
      <c r="AG4228" t="s">
        <v>45558</v>
      </c>
      <c r="AH4228">
        <v>3</v>
      </c>
      <c r="AI4228">
        <v>1</v>
      </c>
      <c r="AJ4228">
        <v>3</v>
      </c>
      <c r="AK4228">
        <v>227.28</v>
      </c>
      <c r="AM4228" t="s">
        <v>45575</v>
      </c>
      <c r="AN4228" t="s">
        <v>7439</v>
      </c>
      <c r="AO4228">
        <v>57048</v>
      </c>
      <c r="AP4228" t="s">
        <v>45817</v>
      </c>
      <c r="AU4228">
        <v>2</v>
      </c>
      <c r="AV4228" t="s">
        <v>646</v>
      </c>
      <c r="AW4228" t="s">
        <v>46859</v>
      </c>
    </row>
    <row r="4229" spans="1:49">
      <c r="A4229" s="1">
        <f>HYPERLINK("https://lsnyc.legalserver.org/matter/dynamic-profile/view/1881703","18-1881703")</f>
        <v>0</v>
      </c>
      <c r="B4229" t="s">
        <v>123</v>
      </c>
      <c r="C4229" t="s">
        <v>341</v>
      </c>
      <c r="D4229" t="s">
        <v>643</v>
      </c>
      <c r="E4229" t="s">
        <v>494</v>
      </c>
      <c r="F4229" t="s">
        <v>2973</v>
      </c>
      <c r="G4229" t="s">
        <v>5473</v>
      </c>
      <c r="H4229" t="s">
        <v>12906</v>
      </c>
      <c r="I4229" t="s">
        <v>18027</v>
      </c>
      <c r="J4229" t="s">
        <v>18894</v>
      </c>
      <c r="K4229">
        <v>11205</v>
      </c>
      <c r="L4229" t="s">
        <v>18958</v>
      </c>
      <c r="M4229" t="s">
        <v>18958</v>
      </c>
      <c r="N4229" t="s">
        <v>22135</v>
      </c>
      <c r="O4229" t="s">
        <v>26523</v>
      </c>
      <c r="P4229" t="s">
        <v>26560</v>
      </c>
      <c r="Q4229" t="s">
        <v>26568</v>
      </c>
      <c r="R4229" t="s">
        <v>26586</v>
      </c>
      <c r="U4229" t="s">
        <v>26605</v>
      </c>
      <c r="W4229" t="s">
        <v>494</v>
      </c>
      <c r="X4229">
        <v>888</v>
      </c>
      <c r="Y4229" t="s">
        <v>26652</v>
      </c>
      <c r="Z4229" t="s">
        <v>26664</v>
      </c>
      <c r="AA4229" t="s">
        <v>26680</v>
      </c>
      <c r="AB4229" t="s">
        <v>30225</v>
      </c>
      <c r="AD4229" t="s">
        <v>40366</v>
      </c>
      <c r="AE4229">
        <v>204</v>
      </c>
      <c r="AG4229" t="s">
        <v>19330</v>
      </c>
      <c r="AH4229">
        <v>9</v>
      </c>
      <c r="AI4229">
        <v>3</v>
      </c>
      <c r="AJ4229">
        <v>1</v>
      </c>
      <c r="AK4229">
        <v>138.45</v>
      </c>
      <c r="AN4229" t="s">
        <v>7439</v>
      </c>
      <c r="AO4229">
        <v>34750</v>
      </c>
      <c r="AS4229" t="s">
        <v>46499</v>
      </c>
      <c r="AT4229" t="s">
        <v>46517</v>
      </c>
      <c r="AU4229">
        <v>2.5</v>
      </c>
      <c r="AV4229" t="s">
        <v>637</v>
      </c>
      <c r="AW4229" t="s">
        <v>46862</v>
      </c>
    </row>
    <row r="4230" spans="1:49">
      <c r="A4230" s="1">
        <f>HYPERLINK("https://lsnyc.legalserver.org/matter/dynamic-profile/view/1881855","18-1881855")</f>
        <v>0</v>
      </c>
      <c r="B4230" t="s">
        <v>158</v>
      </c>
      <c r="C4230" t="s">
        <v>341</v>
      </c>
      <c r="D4230" t="s">
        <v>645</v>
      </c>
      <c r="E4230" t="s">
        <v>494</v>
      </c>
      <c r="F4230" t="s">
        <v>2974</v>
      </c>
      <c r="G4230" t="s">
        <v>1494</v>
      </c>
      <c r="H4230" t="s">
        <v>12907</v>
      </c>
      <c r="J4230" t="s">
        <v>18894</v>
      </c>
      <c r="K4230">
        <v>11234</v>
      </c>
      <c r="L4230" t="s">
        <v>18958</v>
      </c>
      <c r="M4230" t="s">
        <v>18958</v>
      </c>
      <c r="N4230" t="s">
        <v>22136</v>
      </c>
      <c r="O4230" t="s">
        <v>26523</v>
      </c>
      <c r="P4230" t="s">
        <v>26564</v>
      </c>
      <c r="Q4230" t="s">
        <v>26570</v>
      </c>
      <c r="R4230" t="s">
        <v>26586</v>
      </c>
      <c r="U4230" t="s">
        <v>26604</v>
      </c>
      <c r="W4230" t="s">
        <v>494</v>
      </c>
      <c r="X4230">
        <v>1300</v>
      </c>
      <c r="Y4230" t="s">
        <v>26652</v>
      </c>
      <c r="Z4230" t="s">
        <v>26664</v>
      </c>
      <c r="AA4230" t="s">
        <v>26683</v>
      </c>
      <c r="AB4230" t="s">
        <v>30226</v>
      </c>
      <c r="AC4230" t="s">
        <v>35742</v>
      </c>
      <c r="AD4230" t="s">
        <v>40367</v>
      </c>
      <c r="AE4230">
        <v>1</v>
      </c>
      <c r="AH4230">
        <v>2</v>
      </c>
      <c r="AI4230">
        <v>1</v>
      </c>
      <c r="AJ4230">
        <v>2</v>
      </c>
      <c r="AK4230">
        <v>187.68</v>
      </c>
      <c r="AN4230" t="s">
        <v>7439</v>
      </c>
      <c r="AO4230">
        <v>39000</v>
      </c>
      <c r="AU4230">
        <v>3.2</v>
      </c>
      <c r="AV4230" t="s">
        <v>494</v>
      </c>
      <c r="AW4230" t="s">
        <v>281</v>
      </c>
    </row>
    <row r="4231" spans="1:49">
      <c r="A4231" s="1">
        <f>HYPERLINK("https://lsnyc.legalserver.org/matter/dynamic-profile/view/1882097","18-1882097")</f>
        <v>0</v>
      </c>
      <c r="B4231" t="s">
        <v>169</v>
      </c>
      <c r="C4231" t="s">
        <v>340</v>
      </c>
      <c r="D4231" t="s">
        <v>641</v>
      </c>
      <c r="F4231" t="s">
        <v>1876</v>
      </c>
      <c r="G4231" t="s">
        <v>7221</v>
      </c>
      <c r="H4231" t="s">
        <v>10746</v>
      </c>
      <c r="I4231" t="s">
        <v>18082</v>
      </c>
      <c r="J4231" t="s">
        <v>18892</v>
      </c>
      <c r="K4231">
        <v>10457</v>
      </c>
      <c r="L4231" t="s">
        <v>18958</v>
      </c>
      <c r="M4231" t="s">
        <v>18958</v>
      </c>
      <c r="N4231" t="s">
        <v>22137</v>
      </c>
      <c r="O4231" t="s">
        <v>26526</v>
      </c>
      <c r="P4231" t="s">
        <v>26560</v>
      </c>
      <c r="R4231" t="s">
        <v>26578</v>
      </c>
      <c r="S4231" t="s">
        <v>18958</v>
      </c>
      <c r="U4231" t="s">
        <v>26604</v>
      </c>
      <c r="W4231" t="s">
        <v>494</v>
      </c>
      <c r="X4231">
        <v>0</v>
      </c>
      <c r="Y4231" t="s">
        <v>26650</v>
      </c>
      <c r="Z4231" t="s">
        <v>26663</v>
      </c>
      <c r="AB4231" t="s">
        <v>30227</v>
      </c>
      <c r="AD4231" t="s">
        <v>40368</v>
      </c>
      <c r="AE4231">
        <v>47</v>
      </c>
      <c r="AF4231" t="s">
        <v>45541</v>
      </c>
      <c r="AG4231" t="s">
        <v>45556</v>
      </c>
      <c r="AH4231">
        <v>0</v>
      </c>
      <c r="AI4231">
        <v>1</v>
      </c>
      <c r="AJ4231">
        <v>0</v>
      </c>
      <c r="AK4231">
        <v>0</v>
      </c>
      <c r="AN4231" t="s">
        <v>7439</v>
      </c>
      <c r="AO4231">
        <v>0</v>
      </c>
      <c r="AU4231">
        <v>374.69</v>
      </c>
      <c r="AV4231" t="s">
        <v>836</v>
      </c>
      <c r="AW4231" t="s">
        <v>226</v>
      </c>
    </row>
    <row r="4232" spans="1:49">
      <c r="A4232" s="1">
        <f>HYPERLINK("https://lsnyc.legalserver.org/matter/dynamic-profile/view/1882561","18-1882561")</f>
        <v>0</v>
      </c>
      <c r="B4232" t="s">
        <v>117</v>
      </c>
      <c r="C4232" t="s">
        <v>341</v>
      </c>
      <c r="D4232" t="s">
        <v>646</v>
      </c>
      <c r="E4232" t="s">
        <v>494</v>
      </c>
      <c r="F4232" t="s">
        <v>968</v>
      </c>
      <c r="G4232" t="s">
        <v>7222</v>
      </c>
      <c r="H4232" t="s">
        <v>12908</v>
      </c>
      <c r="I4232" t="s">
        <v>17307</v>
      </c>
      <c r="J4232" t="s">
        <v>18894</v>
      </c>
      <c r="K4232">
        <v>11206</v>
      </c>
      <c r="L4232" t="s">
        <v>18958</v>
      </c>
      <c r="M4232" t="s">
        <v>18958</v>
      </c>
      <c r="N4232" t="s">
        <v>22138</v>
      </c>
      <c r="O4232" t="s">
        <v>26524</v>
      </c>
      <c r="P4232" t="s">
        <v>26564</v>
      </c>
      <c r="Q4232" t="s">
        <v>26570</v>
      </c>
      <c r="R4232" t="s">
        <v>26578</v>
      </c>
      <c r="U4232" t="s">
        <v>26604</v>
      </c>
      <c r="W4232" t="s">
        <v>494</v>
      </c>
      <c r="X4232">
        <v>1750</v>
      </c>
      <c r="Y4232" t="s">
        <v>26652</v>
      </c>
      <c r="Z4232" t="s">
        <v>26664</v>
      </c>
      <c r="AA4232" t="s">
        <v>26683</v>
      </c>
      <c r="AB4232" t="s">
        <v>30228</v>
      </c>
      <c r="AC4232" t="s">
        <v>35743</v>
      </c>
      <c r="AD4232" t="s">
        <v>40369</v>
      </c>
      <c r="AE4232">
        <v>4</v>
      </c>
      <c r="AG4232" t="s">
        <v>19330</v>
      </c>
      <c r="AH4232">
        <v>11</v>
      </c>
      <c r="AI4232">
        <v>3</v>
      </c>
      <c r="AJ4232">
        <v>9</v>
      </c>
      <c r="AK4232">
        <v>45.34</v>
      </c>
      <c r="AN4232" t="s">
        <v>7439</v>
      </c>
      <c r="AO4232">
        <v>27048</v>
      </c>
      <c r="AU4232">
        <v>2.3</v>
      </c>
      <c r="AV4232" t="s">
        <v>517</v>
      </c>
      <c r="AW4232" t="s">
        <v>46862</v>
      </c>
    </row>
    <row r="4233" spans="1:49">
      <c r="A4233" s="1">
        <f>HYPERLINK("https://lsnyc.legalserver.org/matter/dynamic-profile/view/1884536","18-1884536")</f>
        <v>0</v>
      </c>
      <c r="B4233" t="s">
        <v>63</v>
      </c>
      <c r="C4233" t="s">
        <v>340</v>
      </c>
      <c r="D4233" t="s">
        <v>646</v>
      </c>
      <c r="F4233" t="s">
        <v>2975</v>
      </c>
      <c r="G4233" t="s">
        <v>5385</v>
      </c>
      <c r="H4233" t="s">
        <v>10918</v>
      </c>
      <c r="I4233" t="s">
        <v>18083</v>
      </c>
      <c r="J4233" t="s">
        <v>18892</v>
      </c>
      <c r="K4233">
        <v>10451</v>
      </c>
      <c r="L4233" t="s">
        <v>18958</v>
      </c>
      <c r="M4233" t="s">
        <v>18958</v>
      </c>
      <c r="N4233" t="s">
        <v>22128</v>
      </c>
      <c r="O4233" t="s">
        <v>26526</v>
      </c>
      <c r="P4233" t="s">
        <v>26560</v>
      </c>
      <c r="R4233" t="s">
        <v>26578</v>
      </c>
      <c r="S4233" t="s">
        <v>18958</v>
      </c>
      <c r="U4233" t="s">
        <v>26604</v>
      </c>
      <c r="W4233" t="s">
        <v>494</v>
      </c>
      <c r="X4233">
        <v>1325</v>
      </c>
      <c r="Y4233" t="s">
        <v>26650</v>
      </c>
      <c r="Z4233" t="s">
        <v>26663</v>
      </c>
      <c r="AB4233" t="s">
        <v>30229</v>
      </c>
      <c r="AE4233">
        <v>100</v>
      </c>
      <c r="AF4233" t="s">
        <v>45548</v>
      </c>
      <c r="AG4233" t="s">
        <v>19330</v>
      </c>
      <c r="AH4233">
        <v>35</v>
      </c>
      <c r="AI4233">
        <v>2</v>
      </c>
      <c r="AJ4233">
        <v>0</v>
      </c>
      <c r="AK4233">
        <v>145.81</v>
      </c>
      <c r="AN4233" t="s">
        <v>45581</v>
      </c>
      <c r="AO4233">
        <v>24000</v>
      </c>
      <c r="AP4233" t="s">
        <v>45814</v>
      </c>
      <c r="AU4233">
        <v>0</v>
      </c>
      <c r="AW4233" t="s">
        <v>336</v>
      </c>
    </row>
    <row r="4234" spans="1:49">
      <c r="A4234" s="1">
        <f>HYPERLINK("https://lsnyc.legalserver.org/matter/dynamic-profile/view/1884541","18-1884541")</f>
        <v>0</v>
      </c>
      <c r="B4234" t="s">
        <v>63</v>
      </c>
      <c r="C4234" t="s">
        <v>340</v>
      </c>
      <c r="D4234" t="s">
        <v>646</v>
      </c>
      <c r="F4234" t="s">
        <v>2976</v>
      </c>
      <c r="G4234" t="s">
        <v>7223</v>
      </c>
      <c r="H4234" t="s">
        <v>10918</v>
      </c>
      <c r="I4234" t="s">
        <v>18084</v>
      </c>
      <c r="J4234" t="s">
        <v>18892</v>
      </c>
      <c r="K4234">
        <v>10451</v>
      </c>
      <c r="L4234" t="s">
        <v>18958</v>
      </c>
      <c r="M4234" t="s">
        <v>18958</v>
      </c>
      <c r="N4234" t="s">
        <v>22128</v>
      </c>
      <c r="O4234" t="s">
        <v>26526</v>
      </c>
      <c r="P4234" t="s">
        <v>26560</v>
      </c>
      <c r="R4234" t="s">
        <v>26578</v>
      </c>
      <c r="S4234" t="s">
        <v>18958</v>
      </c>
      <c r="U4234" t="s">
        <v>26604</v>
      </c>
      <c r="W4234" t="s">
        <v>494</v>
      </c>
      <c r="X4234">
        <v>1468</v>
      </c>
      <c r="Y4234" t="s">
        <v>26650</v>
      </c>
      <c r="Z4234" t="s">
        <v>26663</v>
      </c>
      <c r="AB4234" t="s">
        <v>30230</v>
      </c>
      <c r="AD4234" t="s">
        <v>40370</v>
      </c>
      <c r="AE4234">
        <v>100</v>
      </c>
      <c r="AF4234" t="s">
        <v>45547</v>
      </c>
      <c r="AG4234" t="s">
        <v>19330</v>
      </c>
      <c r="AH4234">
        <v>35</v>
      </c>
      <c r="AI4234">
        <v>1</v>
      </c>
      <c r="AJ4234">
        <v>0</v>
      </c>
      <c r="AK4234">
        <v>189.46</v>
      </c>
      <c r="AN4234" t="s">
        <v>7439</v>
      </c>
      <c r="AO4234">
        <v>23000</v>
      </c>
      <c r="AU4234">
        <v>0</v>
      </c>
      <c r="AW4234" t="s">
        <v>336</v>
      </c>
    </row>
    <row r="4235" spans="1:49">
      <c r="A4235" s="1">
        <f>HYPERLINK("https://lsnyc.legalserver.org/matter/dynamic-profile/view/1882755","18-1882755")</f>
        <v>0</v>
      </c>
      <c r="B4235" t="s">
        <v>169</v>
      </c>
      <c r="C4235" t="s">
        <v>341</v>
      </c>
      <c r="D4235" t="s">
        <v>637</v>
      </c>
      <c r="E4235" t="s">
        <v>666</v>
      </c>
      <c r="F4235" t="s">
        <v>2977</v>
      </c>
      <c r="G4235" t="s">
        <v>3375</v>
      </c>
      <c r="H4235" t="s">
        <v>10746</v>
      </c>
      <c r="I4235" t="s">
        <v>17273</v>
      </c>
      <c r="J4235" t="s">
        <v>18892</v>
      </c>
      <c r="K4235">
        <v>10457</v>
      </c>
      <c r="L4235" t="s">
        <v>18958</v>
      </c>
      <c r="M4235" t="s">
        <v>18958</v>
      </c>
      <c r="O4235" t="s">
        <v>26526</v>
      </c>
      <c r="P4235" t="s">
        <v>26564</v>
      </c>
      <c r="Q4235" t="s">
        <v>26570</v>
      </c>
      <c r="R4235" t="s">
        <v>26578</v>
      </c>
      <c r="S4235" t="s">
        <v>18958</v>
      </c>
      <c r="U4235" t="s">
        <v>26604</v>
      </c>
      <c r="W4235" t="s">
        <v>494</v>
      </c>
      <c r="X4235">
        <v>1158</v>
      </c>
      <c r="Y4235" t="s">
        <v>26650</v>
      </c>
      <c r="Z4235" t="s">
        <v>26663</v>
      </c>
      <c r="AA4235" t="s">
        <v>26683</v>
      </c>
      <c r="AB4235" t="s">
        <v>30231</v>
      </c>
      <c r="AD4235" t="s">
        <v>40371</v>
      </c>
      <c r="AE4235">
        <v>47</v>
      </c>
      <c r="AF4235" t="s">
        <v>45541</v>
      </c>
      <c r="AG4235" t="s">
        <v>19330</v>
      </c>
      <c r="AH4235">
        <v>9</v>
      </c>
      <c r="AI4235">
        <v>1</v>
      </c>
      <c r="AJ4235">
        <v>0</v>
      </c>
      <c r="AK4235">
        <v>22.92</v>
      </c>
      <c r="AN4235" t="s">
        <v>7439</v>
      </c>
      <c r="AO4235">
        <v>2782</v>
      </c>
      <c r="AU4235">
        <v>0.5</v>
      </c>
      <c r="AV4235" t="s">
        <v>665</v>
      </c>
      <c r="AW4235" t="s">
        <v>46847</v>
      </c>
    </row>
    <row r="4236" spans="1:49">
      <c r="A4236" s="1">
        <f>HYPERLINK("https://lsnyc.legalserver.org/matter/dynamic-profile/view/1882725","18-1882725")</f>
        <v>0</v>
      </c>
      <c r="B4236" t="s">
        <v>169</v>
      </c>
      <c r="C4236" t="s">
        <v>341</v>
      </c>
      <c r="D4236" t="s">
        <v>637</v>
      </c>
      <c r="E4236" t="s">
        <v>740</v>
      </c>
      <c r="F4236" t="s">
        <v>2978</v>
      </c>
      <c r="G4236" t="s">
        <v>7224</v>
      </c>
      <c r="H4236" t="s">
        <v>10746</v>
      </c>
      <c r="I4236" t="s">
        <v>17316</v>
      </c>
      <c r="J4236" t="s">
        <v>18892</v>
      </c>
      <c r="K4236">
        <v>10457</v>
      </c>
      <c r="L4236" t="s">
        <v>18958</v>
      </c>
      <c r="M4236" t="s">
        <v>18958</v>
      </c>
      <c r="O4236" t="s">
        <v>26526</v>
      </c>
      <c r="P4236" t="s">
        <v>26564</v>
      </c>
      <c r="Q4236" t="s">
        <v>26570</v>
      </c>
      <c r="R4236" t="s">
        <v>26578</v>
      </c>
      <c r="S4236" t="s">
        <v>18958</v>
      </c>
      <c r="U4236" t="s">
        <v>26604</v>
      </c>
      <c r="W4236" t="s">
        <v>494</v>
      </c>
      <c r="X4236">
        <v>1284.72</v>
      </c>
      <c r="Y4236" t="s">
        <v>26650</v>
      </c>
      <c r="Z4236" t="s">
        <v>26663</v>
      </c>
      <c r="AA4236" t="s">
        <v>26683</v>
      </c>
      <c r="AB4236" t="s">
        <v>30232</v>
      </c>
      <c r="AD4236" t="s">
        <v>40372</v>
      </c>
      <c r="AE4236">
        <v>47</v>
      </c>
      <c r="AF4236" t="s">
        <v>45541</v>
      </c>
      <c r="AG4236" t="s">
        <v>19330</v>
      </c>
      <c r="AH4236">
        <v>7</v>
      </c>
      <c r="AI4236">
        <v>2</v>
      </c>
      <c r="AJ4236">
        <v>2</v>
      </c>
      <c r="AK4236">
        <v>525.9</v>
      </c>
      <c r="AN4236" t="s">
        <v>7439</v>
      </c>
      <c r="AO4236">
        <v>132000</v>
      </c>
      <c r="AU4236">
        <v>0.5</v>
      </c>
      <c r="AV4236" t="s">
        <v>740</v>
      </c>
      <c r="AW4236" t="s">
        <v>46847</v>
      </c>
    </row>
    <row r="4237" spans="1:49">
      <c r="A4237" s="1">
        <f>HYPERLINK("https://lsnyc.legalserver.org/matter/dynamic-profile/view/1882654","18-1882654")</f>
        <v>0</v>
      </c>
      <c r="B4237" t="s">
        <v>169</v>
      </c>
      <c r="C4237" t="s">
        <v>340</v>
      </c>
      <c r="D4237" t="s">
        <v>637</v>
      </c>
      <c r="F4237" t="s">
        <v>1876</v>
      </c>
      <c r="G4237" t="s">
        <v>7221</v>
      </c>
      <c r="H4237" t="s">
        <v>10746</v>
      </c>
      <c r="I4237" t="s">
        <v>18082</v>
      </c>
      <c r="J4237" t="s">
        <v>18892</v>
      </c>
      <c r="K4237">
        <v>10457</v>
      </c>
      <c r="L4237" t="s">
        <v>18958</v>
      </c>
      <c r="M4237" t="s">
        <v>18958</v>
      </c>
      <c r="N4237" t="s">
        <v>22139</v>
      </c>
      <c r="O4237" t="s">
        <v>26534</v>
      </c>
      <c r="P4237" t="s">
        <v>26561</v>
      </c>
      <c r="R4237" t="s">
        <v>26578</v>
      </c>
      <c r="S4237" t="s">
        <v>18958</v>
      </c>
      <c r="U4237" t="s">
        <v>26604</v>
      </c>
      <c r="W4237" t="s">
        <v>494</v>
      </c>
      <c r="X4237">
        <v>1089</v>
      </c>
      <c r="Y4237" t="s">
        <v>26650</v>
      </c>
      <c r="Z4237" t="s">
        <v>26659</v>
      </c>
      <c r="AB4237" t="s">
        <v>30227</v>
      </c>
      <c r="AD4237" t="s">
        <v>40368</v>
      </c>
      <c r="AE4237">
        <v>47</v>
      </c>
      <c r="AF4237" t="s">
        <v>45541</v>
      </c>
      <c r="AG4237" t="s">
        <v>45556</v>
      </c>
      <c r="AH4237">
        <v>24</v>
      </c>
      <c r="AI4237">
        <v>1</v>
      </c>
      <c r="AJ4237">
        <v>0</v>
      </c>
      <c r="AK4237">
        <v>0</v>
      </c>
      <c r="AN4237" t="s">
        <v>7439</v>
      </c>
      <c r="AO4237">
        <v>0</v>
      </c>
      <c r="AU4237">
        <v>8.4</v>
      </c>
      <c r="AV4237" t="s">
        <v>815</v>
      </c>
      <c r="AW4237" t="s">
        <v>46847</v>
      </c>
    </row>
    <row r="4238" spans="1:49">
      <c r="A4238" s="1">
        <f>HYPERLINK("https://lsnyc.legalserver.org/matter/dynamic-profile/view/1882688","18-1882688")</f>
        <v>0</v>
      </c>
      <c r="B4238" t="s">
        <v>169</v>
      </c>
      <c r="C4238" t="s">
        <v>340</v>
      </c>
      <c r="D4238" t="s">
        <v>637</v>
      </c>
      <c r="F4238" t="s">
        <v>1021</v>
      </c>
      <c r="G4238" t="s">
        <v>7225</v>
      </c>
      <c r="H4238" t="s">
        <v>10746</v>
      </c>
      <c r="I4238" t="s">
        <v>17355</v>
      </c>
      <c r="J4238" t="s">
        <v>18892</v>
      </c>
      <c r="K4238">
        <v>10457</v>
      </c>
      <c r="L4238" t="s">
        <v>18958</v>
      </c>
      <c r="M4238" t="s">
        <v>18958</v>
      </c>
      <c r="N4238" t="s">
        <v>22139</v>
      </c>
      <c r="O4238" t="s">
        <v>26534</v>
      </c>
      <c r="P4238" t="s">
        <v>26561</v>
      </c>
      <c r="R4238" t="s">
        <v>26578</v>
      </c>
      <c r="S4238" t="s">
        <v>18958</v>
      </c>
      <c r="U4238" t="s">
        <v>26604</v>
      </c>
      <c r="W4238" t="s">
        <v>494</v>
      </c>
      <c r="X4238">
        <v>1180</v>
      </c>
      <c r="Y4238" t="s">
        <v>26650</v>
      </c>
      <c r="Z4238" t="s">
        <v>26663</v>
      </c>
      <c r="AB4238" t="s">
        <v>30233</v>
      </c>
      <c r="AD4238" t="s">
        <v>40373</v>
      </c>
      <c r="AE4238">
        <v>47</v>
      </c>
      <c r="AF4238" t="s">
        <v>45541</v>
      </c>
      <c r="AG4238" t="s">
        <v>45556</v>
      </c>
      <c r="AH4238">
        <v>15</v>
      </c>
      <c r="AI4238">
        <v>1</v>
      </c>
      <c r="AJ4238">
        <v>0</v>
      </c>
      <c r="AK4238">
        <v>0</v>
      </c>
      <c r="AN4238" t="s">
        <v>7439</v>
      </c>
      <c r="AO4238">
        <v>0</v>
      </c>
      <c r="AU4238">
        <v>0</v>
      </c>
      <c r="AW4238" t="s">
        <v>46847</v>
      </c>
    </row>
    <row r="4239" spans="1:49">
      <c r="A4239" s="1">
        <f>HYPERLINK("https://lsnyc.legalserver.org/matter/dynamic-profile/view/1882734","18-1882734")</f>
        <v>0</v>
      </c>
      <c r="B4239" t="s">
        <v>169</v>
      </c>
      <c r="C4239" t="s">
        <v>340</v>
      </c>
      <c r="D4239" t="s">
        <v>637</v>
      </c>
      <c r="F4239" t="s">
        <v>1081</v>
      </c>
      <c r="G4239" t="s">
        <v>7226</v>
      </c>
      <c r="H4239" t="s">
        <v>10746</v>
      </c>
      <c r="I4239" t="s">
        <v>17424</v>
      </c>
      <c r="J4239" t="s">
        <v>18892</v>
      </c>
      <c r="K4239">
        <v>10457</v>
      </c>
      <c r="L4239" t="s">
        <v>18958</v>
      </c>
      <c r="M4239" t="s">
        <v>18958</v>
      </c>
      <c r="N4239" t="s">
        <v>22139</v>
      </c>
      <c r="O4239" t="s">
        <v>26534</v>
      </c>
      <c r="P4239" t="s">
        <v>26561</v>
      </c>
      <c r="R4239" t="s">
        <v>26578</v>
      </c>
      <c r="S4239" t="s">
        <v>18958</v>
      </c>
      <c r="U4239" t="s">
        <v>26604</v>
      </c>
      <c r="W4239" t="s">
        <v>494</v>
      </c>
      <c r="X4239">
        <v>1160</v>
      </c>
      <c r="Y4239" t="s">
        <v>26650</v>
      </c>
      <c r="Z4239" t="s">
        <v>26663</v>
      </c>
      <c r="AB4239" t="s">
        <v>30234</v>
      </c>
      <c r="AC4239" t="s">
        <v>35744</v>
      </c>
      <c r="AE4239">
        <v>47</v>
      </c>
      <c r="AF4239" t="s">
        <v>45541</v>
      </c>
      <c r="AG4239" t="s">
        <v>19330</v>
      </c>
      <c r="AH4239">
        <v>10</v>
      </c>
      <c r="AI4239">
        <v>1</v>
      </c>
      <c r="AJ4239">
        <v>0</v>
      </c>
      <c r="AK4239">
        <v>0</v>
      </c>
      <c r="AN4239" t="s">
        <v>45581</v>
      </c>
      <c r="AO4239">
        <v>0</v>
      </c>
      <c r="AU4239">
        <v>0.6</v>
      </c>
      <c r="AV4239" t="s">
        <v>816</v>
      </c>
      <c r="AW4239" t="s">
        <v>46847</v>
      </c>
    </row>
    <row r="4240" spans="1:49">
      <c r="A4240" s="1">
        <f>HYPERLINK("https://lsnyc.legalserver.org/matter/dynamic-profile/view/1882687","18-1882687")</f>
        <v>0</v>
      </c>
      <c r="B4240" t="s">
        <v>169</v>
      </c>
      <c r="C4240" t="s">
        <v>340</v>
      </c>
      <c r="D4240" t="s">
        <v>637</v>
      </c>
      <c r="F4240" t="s">
        <v>1021</v>
      </c>
      <c r="G4240" t="s">
        <v>7225</v>
      </c>
      <c r="H4240" t="s">
        <v>10746</v>
      </c>
      <c r="I4240" t="s">
        <v>17355</v>
      </c>
      <c r="J4240" t="s">
        <v>18892</v>
      </c>
      <c r="K4240">
        <v>10457</v>
      </c>
      <c r="L4240" t="s">
        <v>18958</v>
      </c>
      <c r="M4240" t="s">
        <v>18958</v>
      </c>
      <c r="N4240" t="s">
        <v>22137</v>
      </c>
      <c r="O4240" t="s">
        <v>26526</v>
      </c>
      <c r="P4240" t="s">
        <v>26560</v>
      </c>
      <c r="R4240" t="s">
        <v>26578</v>
      </c>
      <c r="S4240" t="s">
        <v>18958</v>
      </c>
      <c r="U4240" t="s">
        <v>26604</v>
      </c>
      <c r="W4240" t="s">
        <v>494</v>
      </c>
      <c r="X4240">
        <v>1180</v>
      </c>
      <c r="Y4240" t="s">
        <v>26650</v>
      </c>
      <c r="Z4240" t="s">
        <v>26663</v>
      </c>
      <c r="AB4240" t="s">
        <v>30233</v>
      </c>
      <c r="AD4240" t="s">
        <v>40373</v>
      </c>
      <c r="AE4240">
        <v>47</v>
      </c>
      <c r="AF4240" t="s">
        <v>45541</v>
      </c>
      <c r="AG4240" t="s">
        <v>45556</v>
      </c>
      <c r="AH4240">
        <v>15</v>
      </c>
      <c r="AI4240">
        <v>1</v>
      </c>
      <c r="AJ4240">
        <v>0</v>
      </c>
      <c r="AK4240">
        <v>0</v>
      </c>
      <c r="AN4240" t="s">
        <v>7439</v>
      </c>
      <c r="AO4240">
        <v>0</v>
      </c>
      <c r="AU4240">
        <v>0</v>
      </c>
      <c r="AW4240" t="s">
        <v>46847</v>
      </c>
    </row>
    <row r="4241" spans="1:49">
      <c r="A4241" s="1">
        <f>HYPERLINK("https://lsnyc.legalserver.org/matter/dynamic-profile/view/1882733","18-1882733")</f>
        <v>0</v>
      </c>
      <c r="B4241" t="s">
        <v>169</v>
      </c>
      <c r="C4241" t="s">
        <v>340</v>
      </c>
      <c r="D4241" t="s">
        <v>637</v>
      </c>
      <c r="F4241" t="s">
        <v>1081</v>
      </c>
      <c r="G4241" t="s">
        <v>7226</v>
      </c>
      <c r="H4241" t="s">
        <v>10746</v>
      </c>
      <c r="I4241" t="s">
        <v>17424</v>
      </c>
      <c r="J4241" t="s">
        <v>18892</v>
      </c>
      <c r="K4241">
        <v>10457</v>
      </c>
      <c r="L4241" t="s">
        <v>18958</v>
      </c>
      <c r="M4241" t="s">
        <v>18958</v>
      </c>
      <c r="N4241" t="s">
        <v>22137</v>
      </c>
      <c r="O4241" t="s">
        <v>26526</v>
      </c>
      <c r="P4241" t="s">
        <v>26560</v>
      </c>
      <c r="R4241" t="s">
        <v>26578</v>
      </c>
      <c r="S4241" t="s">
        <v>18958</v>
      </c>
      <c r="U4241" t="s">
        <v>26604</v>
      </c>
      <c r="W4241" t="s">
        <v>494</v>
      </c>
      <c r="X4241">
        <v>1160</v>
      </c>
      <c r="Y4241" t="s">
        <v>26650</v>
      </c>
      <c r="Z4241" t="s">
        <v>26663</v>
      </c>
      <c r="AB4241" t="s">
        <v>30234</v>
      </c>
      <c r="AC4241" t="s">
        <v>35744</v>
      </c>
      <c r="AE4241">
        <v>47</v>
      </c>
      <c r="AF4241" t="s">
        <v>45541</v>
      </c>
      <c r="AG4241" t="s">
        <v>19330</v>
      </c>
      <c r="AH4241">
        <v>10</v>
      </c>
      <c r="AI4241">
        <v>1</v>
      </c>
      <c r="AJ4241">
        <v>0</v>
      </c>
      <c r="AK4241">
        <v>0</v>
      </c>
      <c r="AN4241" t="s">
        <v>45581</v>
      </c>
      <c r="AO4241">
        <v>0</v>
      </c>
      <c r="AU4241">
        <v>0.3</v>
      </c>
      <c r="AV4241" t="s">
        <v>699</v>
      </c>
      <c r="AW4241" t="s">
        <v>46847</v>
      </c>
    </row>
    <row r="4242" spans="1:49">
      <c r="A4242" s="1">
        <f>HYPERLINK("https://lsnyc.legalserver.org/matter/dynamic-profile/view/1882756","18-1882756")</f>
        <v>0</v>
      </c>
      <c r="B4242" t="s">
        <v>169</v>
      </c>
      <c r="C4242" t="s">
        <v>340</v>
      </c>
      <c r="D4242" t="s">
        <v>637</v>
      </c>
      <c r="F4242" t="s">
        <v>2977</v>
      </c>
      <c r="G4242" t="s">
        <v>3375</v>
      </c>
      <c r="H4242" t="s">
        <v>10746</v>
      </c>
      <c r="I4242" t="s">
        <v>17273</v>
      </c>
      <c r="J4242" t="s">
        <v>18892</v>
      </c>
      <c r="K4242">
        <v>10457</v>
      </c>
      <c r="L4242" t="s">
        <v>18958</v>
      </c>
      <c r="M4242" t="s">
        <v>18958</v>
      </c>
      <c r="N4242" t="s">
        <v>22139</v>
      </c>
      <c r="O4242" t="s">
        <v>26534</v>
      </c>
      <c r="P4242" t="s">
        <v>26561</v>
      </c>
      <c r="R4242" t="s">
        <v>26578</v>
      </c>
      <c r="S4242" t="s">
        <v>18958</v>
      </c>
      <c r="U4242" t="s">
        <v>26604</v>
      </c>
      <c r="W4242" t="s">
        <v>494</v>
      </c>
      <c r="X4242">
        <v>1158</v>
      </c>
      <c r="Y4242" t="s">
        <v>26650</v>
      </c>
      <c r="Z4242" t="s">
        <v>26663</v>
      </c>
      <c r="AB4242" t="s">
        <v>30231</v>
      </c>
      <c r="AD4242" t="s">
        <v>40371</v>
      </c>
      <c r="AE4242">
        <v>47</v>
      </c>
      <c r="AF4242" t="s">
        <v>45541</v>
      </c>
      <c r="AG4242" t="s">
        <v>19330</v>
      </c>
      <c r="AH4242">
        <v>9</v>
      </c>
      <c r="AI4242">
        <v>1</v>
      </c>
      <c r="AJ4242">
        <v>0</v>
      </c>
      <c r="AK4242">
        <v>22.92</v>
      </c>
      <c r="AN4242" t="s">
        <v>7439</v>
      </c>
      <c r="AO4242">
        <v>2782</v>
      </c>
      <c r="AU4242">
        <v>0.5</v>
      </c>
      <c r="AV4242" t="s">
        <v>695</v>
      </c>
      <c r="AW4242" t="s">
        <v>46847</v>
      </c>
    </row>
    <row r="4243" spans="1:49">
      <c r="A4243" s="1">
        <f>HYPERLINK("https://lsnyc.legalserver.org/matter/dynamic-profile/view/1882722","18-1882722")</f>
        <v>0</v>
      </c>
      <c r="B4243" t="s">
        <v>169</v>
      </c>
      <c r="C4243" t="s">
        <v>340</v>
      </c>
      <c r="D4243" t="s">
        <v>637</v>
      </c>
      <c r="F4243" t="s">
        <v>1032</v>
      </c>
      <c r="G4243" t="s">
        <v>5678</v>
      </c>
      <c r="H4243" t="s">
        <v>10746</v>
      </c>
      <c r="J4243" t="s">
        <v>18892</v>
      </c>
      <c r="K4243">
        <v>10457</v>
      </c>
      <c r="L4243" t="s">
        <v>18958</v>
      </c>
      <c r="M4243" t="s">
        <v>18958</v>
      </c>
      <c r="N4243" t="s">
        <v>22139</v>
      </c>
      <c r="O4243" t="s">
        <v>26534</v>
      </c>
      <c r="P4243" t="s">
        <v>26561</v>
      </c>
      <c r="R4243" t="s">
        <v>26578</v>
      </c>
      <c r="S4243" t="s">
        <v>18958</v>
      </c>
      <c r="U4243" t="s">
        <v>26604</v>
      </c>
      <c r="W4243" t="s">
        <v>494</v>
      </c>
      <c r="X4243">
        <v>579.97</v>
      </c>
      <c r="Y4243" t="s">
        <v>26650</v>
      </c>
      <c r="Z4243" t="s">
        <v>26663</v>
      </c>
      <c r="AB4243" t="s">
        <v>30235</v>
      </c>
      <c r="AE4243">
        <v>0</v>
      </c>
      <c r="AF4243" t="s">
        <v>45541</v>
      </c>
      <c r="AG4243" t="s">
        <v>45559</v>
      </c>
      <c r="AH4243">
        <v>9</v>
      </c>
      <c r="AI4243">
        <v>1</v>
      </c>
      <c r="AJ4243">
        <v>0</v>
      </c>
      <c r="AK4243">
        <v>66.72</v>
      </c>
      <c r="AN4243" t="s">
        <v>45581</v>
      </c>
      <c r="AO4243">
        <v>8100</v>
      </c>
      <c r="AU4243">
        <v>0.1</v>
      </c>
      <c r="AV4243" t="s">
        <v>811</v>
      </c>
      <c r="AW4243" t="s">
        <v>46847</v>
      </c>
    </row>
    <row r="4244" spans="1:49">
      <c r="A4244" s="1">
        <f>HYPERLINK("https://lsnyc.legalserver.org/matter/dynamic-profile/view/1882717","18-1882717")</f>
        <v>0</v>
      </c>
      <c r="B4244" t="s">
        <v>169</v>
      </c>
      <c r="C4244" t="s">
        <v>340</v>
      </c>
      <c r="D4244" t="s">
        <v>637</v>
      </c>
      <c r="F4244" t="s">
        <v>1032</v>
      </c>
      <c r="G4244" t="s">
        <v>5678</v>
      </c>
      <c r="H4244" t="s">
        <v>10746</v>
      </c>
      <c r="J4244" t="s">
        <v>18892</v>
      </c>
      <c r="K4244">
        <v>10457</v>
      </c>
      <c r="L4244" t="s">
        <v>18958</v>
      </c>
      <c r="M4244" t="s">
        <v>18958</v>
      </c>
      <c r="N4244" t="s">
        <v>22137</v>
      </c>
      <c r="O4244" t="s">
        <v>26526</v>
      </c>
      <c r="P4244" t="s">
        <v>26560</v>
      </c>
      <c r="R4244" t="s">
        <v>26578</v>
      </c>
      <c r="S4244" t="s">
        <v>18958</v>
      </c>
      <c r="U4244" t="s">
        <v>26604</v>
      </c>
      <c r="W4244" t="s">
        <v>494</v>
      </c>
      <c r="X4244">
        <v>529.97</v>
      </c>
      <c r="Y4244" t="s">
        <v>26650</v>
      </c>
      <c r="Z4244" t="s">
        <v>26663</v>
      </c>
      <c r="AB4244" t="s">
        <v>30235</v>
      </c>
      <c r="AE4244">
        <v>47</v>
      </c>
      <c r="AF4244" t="s">
        <v>45541</v>
      </c>
      <c r="AG4244" t="s">
        <v>45559</v>
      </c>
      <c r="AH4244">
        <v>9</v>
      </c>
      <c r="AI4244">
        <v>1</v>
      </c>
      <c r="AJ4244">
        <v>0</v>
      </c>
      <c r="AK4244">
        <v>66.72</v>
      </c>
      <c r="AN4244" t="s">
        <v>45581</v>
      </c>
      <c r="AO4244">
        <v>8100</v>
      </c>
      <c r="AU4244">
        <v>0.5</v>
      </c>
      <c r="AV4244" t="s">
        <v>833</v>
      </c>
      <c r="AW4244" t="s">
        <v>46847</v>
      </c>
    </row>
    <row r="4245" spans="1:49">
      <c r="A4245" s="1">
        <f>HYPERLINK("https://lsnyc.legalserver.org/matter/dynamic-profile/view/1882702","18-1882702")</f>
        <v>0</v>
      </c>
      <c r="B4245" t="s">
        <v>169</v>
      </c>
      <c r="C4245" t="s">
        <v>340</v>
      </c>
      <c r="D4245" t="s">
        <v>637</v>
      </c>
      <c r="F4245" t="s">
        <v>1191</v>
      </c>
      <c r="G4245" t="s">
        <v>7227</v>
      </c>
      <c r="H4245" t="s">
        <v>10746</v>
      </c>
      <c r="I4245" t="s">
        <v>17272</v>
      </c>
      <c r="J4245" t="s">
        <v>18892</v>
      </c>
      <c r="K4245">
        <v>10457</v>
      </c>
      <c r="L4245" t="s">
        <v>18958</v>
      </c>
      <c r="M4245" t="s">
        <v>18958</v>
      </c>
      <c r="N4245" t="s">
        <v>22139</v>
      </c>
      <c r="O4245" t="s">
        <v>26534</v>
      </c>
      <c r="P4245" t="s">
        <v>26561</v>
      </c>
      <c r="R4245" t="s">
        <v>26578</v>
      </c>
      <c r="S4245" t="s">
        <v>18958</v>
      </c>
      <c r="U4245" t="s">
        <v>26604</v>
      </c>
      <c r="W4245" t="s">
        <v>494</v>
      </c>
      <c r="X4245">
        <v>1551</v>
      </c>
      <c r="Y4245" t="s">
        <v>26650</v>
      </c>
      <c r="Z4245" t="s">
        <v>26663</v>
      </c>
      <c r="AB4245" t="s">
        <v>30236</v>
      </c>
      <c r="AD4245" t="s">
        <v>40374</v>
      </c>
      <c r="AE4245">
        <v>47</v>
      </c>
      <c r="AF4245" t="s">
        <v>45541</v>
      </c>
      <c r="AG4245" t="s">
        <v>45556</v>
      </c>
      <c r="AH4245">
        <v>12</v>
      </c>
      <c r="AI4245">
        <v>2</v>
      </c>
      <c r="AJ4245">
        <v>0</v>
      </c>
      <c r="AK4245">
        <v>72.69</v>
      </c>
      <c r="AN4245" t="s">
        <v>7439</v>
      </c>
      <c r="AO4245">
        <v>11964</v>
      </c>
      <c r="AU4245">
        <v>0.4</v>
      </c>
      <c r="AV4245" t="s">
        <v>695</v>
      </c>
      <c r="AW4245" t="s">
        <v>46847</v>
      </c>
    </row>
    <row r="4246" spans="1:49">
      <c r="A4246" s="1">
        <f>HYPERLINK("https://lsnyc.legalserver.org/matter/dynamic-profile/view/1882698","18-1882698")</f>
        <v>0</v>
      </c>
      <c r="B4246" t="s">
        <v>169</v>
      </c>
      <c r="C4246" t="s">
        <v>340</v>
      </c>
      <c r="D4246" t="s">
        <v>637</v>
      </c>
      <c r="F4246" t="s">
        <v>1191</v>
      </c>
      <c r="G4246" t="s">
        <v>7227</v>
      </c>
      <c r="H4246" t="s">
        <v>10746</v>
      </c>
      <c r="I4246" t="s">
        <v>17272</v>
      </c>
      <c r="J4246" t="s">
        <v>18892</v>
      </c>
      <c r="K4246">
        <v>10457</v>
      </c>
      <c r="L4246" t="s">
        <v>18958</v>
      </c>
      <c r="M4246" t="s">
        <v>18958</v>
      </c>
      <c r="N4246" t="s">
        <v>22137</v>
      </c>
      <c r="O4246" t="s">
        <v>26526</v>
      </c>
      <c r="P4246" t="s">
        <v>26560</v>
      </c>
      <c r="R4246" t="s">
        <v>26578</v>
      </c>
      <c r="S4246" t="s">
        <v>18958</v>
      </c>
      <c r="U4246" t="s">
        <v>26604</v>
      </c>
      <c r="W4246" t="s">
        <v>494</v>
      </c>
      <c r="X4246">
        <v>1551</v>
      </c>
      <c r="Y4246" t="s">
        <v>26650</v>
      </c>
      <c r="Z4246" t="s">
        <v>26663</v>
      </c>
      <c r="AB4246" t="s">
        <v>30236</v>
      </c>
      <c r="AD4246" t="s">
        <v>40374</v>
      </c>
      <c r="AE4246">
        <v>47</v>
      </c>
      <c r="AF4246" t="s">
        <v>45541</v>
      </c>
      <c r="AG4246" t="s">
        <v>45556</v>
      </c>
      <c r="AH4246">
        <v>12</v>
      </c>
      <c r="AI4246">
        <v>2</v>
      </c>
      <c r="AJ4246">
        <v>0</v>
      </c>
      <c r="AK4246">
        <v>72.69</v>
      </c>
      <c r="AN4246" t="s">
        <v>7439</v>
      </c>
      <c r="AO4246">
        <v>11964</v>
      </c>
      <c r="AU4246">
        <v>1</v>
      </c>
      <c r="AV4246" t="s">
        <v>763</v>
      </c>
      <c r="AW4246" t="s">
        <v>46847</v>
      </c>
    </row>
    <row r="4247" spans="1:49">
      <c r="A4247" s="1">
        <f>HYPERLINK("https://lsnyc.legalserver.org/matter/dynamic-profile/view/1882714","18-1882714")</f>
        <v>0</v>
      </c>
      <c r="B4247" t="s">
        <v>169</v>
      </c>
      <c r="C4247" t="s">
        <v>340</v>
      </c>
      <c r="D4247" t="s">
        <v>637</v>
      </c>
      <c r="F4247" t="s">
        <v>1985</v>
      </c>
      <c r="G4247" t="s">
        <v>7228</v>
      </c>
      <c r="H4247" t="s">
        <v>10746</v>
      </c>
      <c r="I4247" t="s">
        <v>17293</v>
      </c>
      <c r="J4247" t="s">
        <v>18892</v>
      </c>
      <c r="K4247">
        <v>10457</v>
      </c>
      <c r="L4247" t="s">
        <v>18958</v>
      </c>
      <c r="M4247" t="s">
        <v>18958</v>
      </c>
      <c r="N4247" t="s">
        <v>22139</v>
      </c>
      <c r="O4247" t="s">
        <v>26534</v>
      </c>
      <c r="P4247" t="s">
        <v>26561</v>
      </c>
      <c r="R4247" t="s">
        <v>26578</v>
      </c>
      <c r="S4247" t="s">
        <v>18958</v>
      </c>
      <c r="U4247" t="s">
        <v>26604</v>
      </c>
      <c r="W4247" t="s">
        <v>494</v>
      </c>
      <c r="X4247">
        <v>235.4</v>
      </c>
      <c r="Y4247" t="s">
        <v>26650</v>
      </c>
      <c r="Z4247" t="s">
        <v>26663</v>
      </c>
      <c r="AB4247" t="s">
        <v>30237</v>
      </c>
      <c r="AD4247" t="s">
        <v>40375</v>
      </c>
      <c r="AE4247">
        <v>47</v>
      </c>
      <c r="AF4247" t="s">
        <v>45548</v>
      </c>
      <c r="AG4247" t="s">
        <v>19330</v>
      </c>
      <c r="AH4247">
        <v>49</v>
      </c>
      <c r="AI4247">
        <v>1</v>
      </c>
      <c r="AJ4247">
        <v>0</v>
      </c>
      <c r="AK4247">
        <v>94.5</v>
      </c>
      <c r="AN4247" t="s">
        <v>45581</v>
      </c>
      <c r="AO4247">
        <v>11472</v>
      </c>
      <c r="AU4247">
        <v>0.1</v>
      </c>
      <c r="AV4247" t="s">
        <v>816</v>
      </c>
      <c r="AW4247" t="s">
        <v>46847</v>
      </c>
    </row>
    <row r="4248" spans="1:49">
      <c r="A4248" s="1">
        <f>HYPERLINK("https://lsnyc.legalserver.org/matter/dynamic-profile/view/1882709","18-1882709")</f>
        <v>0</v>
      </c>
      <c r="B4248" t="s">
        <v>169</v>
      </c>
      <c r="C4248" t="s">
        <v>340</v>
      </c>
      <c r="D4248" t="s">
        <v>637</v>
      </c>
      <c r="F4248" t="s">
        <v>1985</v>
      </c>
      <c r="G4248" t="s">
        <v>7228</v>
      </c>
      <c r="H4248" t="s">
        <v>10746</v>
      </c>
      <c r="I4248" t="s">
        <v>17293</v>
      </c>
      <c r="J4248" t="s">
        <v>18892</v>
      </c>
      <c r="K4248">
        <v>10457</v>
      </c>
      <c r="L4248" t="s">
        <v>18958</v>
      </c>
      <c r="M4248" t="s">
        <v>18958</v>
      </c>
      <c r="N4248" t="s">
        <v>22137</v>
      </c>
      <c r="O4248" t="s">
        <v>26526</v>
      </c>
      <c r="P4248" t="s">
        <v>26560</v>
      </c>
      <c r="R4248" t="s">
        <v>26578</v>
      </c>
      <c r="S4248" t="s">
        <v>18958</v>
      </c>
      <c r="U4248" t="s">
        <v>26604</v>
      </c>
      <c r="W4248" t="s">
        <v>494</v>
      </c>
      <c r="X4248">
        <v>235.4</v>
      </c>
      <c r="Y4248" t="s">
        <v>26650</v>
      </c>
      <c r="Z4248" t="s">
        <v>26663</v>
      </c>
      <c r="AB4248" t="s">
        <v>30237</v>
      </c>
      <c r="AD4248" t="s">
        <v>40375</v>
      </c>
      <c r="AE4248">
        <v>47</v>
      </c>
      <c r="AF4248" t="s">
        <v>45548</v>
      </c>
      <c r="AG4248" t="s">
        <v>19330</v>
      </c>
      <c r="AH4248">
        <v>49</v>
      </c>
      <c r="AI4248">
        <v>1</v>
      </c>
      <c r="AJ4248">
        <v>0</v>
      </c>
      <c r="AK4248">
        <v>94.5</v>
      </c>
      <c r="AN4248" t="s">
        <v>45581</v>
      </c>
      <c r="AO4248">
        <v>11472</v>
      </c>
      <c r="AU4248">
        <v>0</v>
      </c>
      <c r="AW4248" t="s">
        <v>46847</v>
      </c>
    </row>
    <row r="4249" spans="1:49">
      <c r="A4249" s="1">
        <f>HYPERLINK("https://lsnyc.legalserver.org/matter/dynamic-profile/view/1882686","18-1882686")</f>
        <v>0</v>
      </c>
      <c r="B4249" t="s">
        <v>169</v>
      </c>
      <c r="C4249" t="s">
        <v>340</v>
      </c>
      <c r="D4249" t="s">
        <v>637</v>
      </c>
      <c r="F4249" t="s">
        <v>1410</v>
      </c>
      <c r="G4249" t="s">
        <v>7229</v>
      </c>
      <c r="H4249" t="s">
        <v>10746</v>
      </c>
      <c r="I4249" t="s">
        <v>17445</v>
      </c>
      <c r="J4249" t="s">
        <v>18892</v>
      </c>
      <c r="K4249">
        <v>10457</v>
      </c>
      <c r="L4249" t="s">
        <v>18958</v>
      </c>
      <c r="M4249" t="s">
        <v>18958</v>
      </c>
      <c r="N4249" t="s">
        <v>22139</v>
      </c>
      <c r="O4249" t="s">
        <v>26534</v>
      </c>
      <c r="P4249" t="s">
        <v>26561</v>
      </c>
      <c r="R4249" t="s">
        <v>26578</v>
      </c>
      <c r="S4249" t="s">
        <v>18958</v>
      </c>
      <c r="U4249" t="s">
        <v>26604</v>
      </c>
      <c r="W4249" t="s">
        <v>494</v>
      </c>
      <c r="X4249">
        <v>847</v>
      </c>
      <c r="Y4249" t="s">
        <v>26650</v>
      </c>
      <c r="Z4249" t="s">
        <v>26663</v>
      </c>
      <c r="AB4249" t="s">
        <v>29239</v>
      </c>
      <c r="AD4249" t="s">
        <v>40376</v>
      </c>
      <c r="AE4249">
        <v>47</v>
      </c>
      <c r="AF4249" t="s">
        <v>45541</v>
      </c>
      <c r="AG4249" t="s">
        <v>19330</v>
      </c>
      <c r="AH4249">
        <v>30</v>
      </c>
      <c r="AI4249">
        <v>1</v>
      </c>
      <c r="AJ4249">
        <v>0</v>
      </c>
      <c r="AK4249">
        <v>148.27</v>
      </c>
      <c r="AN4249" t="s">
        <v>7439</v>
      </c>
      <c r="AO4249">
        <v>18000</v>
      </c>
      <c r="AU4249">
        <v>0.8</v>
      </c>
      <c r="AV4249" t="s">
        <v>716</v>
      </c>
      <c r="AW4249" t="s">
        <v>46847</v>
      </c>
    </row>
    <row r="4250" spans="1:49">
      <c r="A4250" s="1">
        <f>HYPERLINK("https://lsnyc.legalserver.org/matter/dynamic-profile/view/1882685","18-1882685")</f>
        <v>0</v>
      </c>
      <c r="B4250" t="s">
        <v>169</v>
      </c>
      <c r="C4250" t="s">
        <v>340</v>
      </c>
      <c r="D4250" t="s">
        <v>637</v>
      </c>
      <c r="F4250" t="s">
        <v>1410</v>
      </c>
      <c r="G4250" t="s">
        <v>7229</v>
      </c>
      <c r="H4250" t="s">
        <v>10746</v>
      </c>
      <c r="I4250" t="s">
        <v>17445</v>
      </c>
      <c r="J4250" t="s">
        <v>18892</v>
      </c>
      <c r="K4250">
        <v>10457</v>
      </c>
      <c r="L4250" t="s">
        <v>18958</v>
      </c>
      <c r="M4250" t="s">
        <v>18958</v>
      </c>
      <c r="N4250" t="s">
        <v>22137</v>
      </c>
      <c r="O4250" t="s">
        <v>26526</v>
      </c>
      <c r="P4250" t="s">
        <v>26560</v>
      </c>
      <c r="R4250" t="s">
        <v>26578</v>
      </c>
      <c r="S4250" t="s">
        <v>18958</v>
      </c>
      <c r="U4250" t="s">
        <v>26604</v>
      </c>
      <c r="W4250" t="s">
        <v>494</v>
      </c>
      <c r="X4250">
        <v>847</v>
      </c>
      <c r="Y4250" t="s">
        <v>26650</v>
      </c>
      <c r="Z4250" t="s">
        <v>26663</v>
      </c>
      <c r="AB4250" t="s">
        <v>29239</v>
      </c>
      <c r="AD4250" t="s">
        <v>40376</v>
      </c>
      <c r="AE4250">
        <v>47</v>
      </c>
      <c r="AF4250" t="s">
        <v>45541</v>
      </c>
      <c r="AG4250" t="s">
        <v>19330</v>
      </c>
      <c r="AH4250">
        <v>30</v>
      </c>
      <c r="AI4250">
        <v>1</v>
      </c>
      <c r="AJ4250">
        <v>0</v>
      </c>
      <c r="AK4250">
        <v>148.27</v>
      </c>
      <c r="AN4250" t="s">
        <v>7439</v>
      </c>
      <c r="AO4250">
        <v>18000</v>
      </c>
      <c r="AU4250">
        <v>1</v>
      </c>
      <c r="AV4250" t="s">
        <v>704</v>
      </c>
      <c r="AW4250" t="s">
        <v>46847</v>
      </c>
    </row>
    <row r="4251" spans="1:49">
      <c r="A4251" s="1">
        <f>HYPERLINK("https://lsnyc.legalserver.org/matter/dynamic-profile/view/1882682","18-1882682")</f>
        <v>0</v>
      </c>
      <c r="B4251" t="s">
        <v>169</v>
      </c>
      <c r="C4251" t="s">
        <v>340</v>
      </c>
      <c r="D4251" t="s">
        <v>637</v>
      </c>
      <c r="F4251" t="s">
        <v>2979</v>
      </c>
      <c r="G4251" t="s">
        <v>7230</v>
      </c>
      <c r="H4251" t="s">
        <v>10746</v>
      </c>
      <c r="I4251" t="s">
        <v>17299</v>
      </c>
      <c r="J4251" t="s">
        <v>18892</v>
      </c>
      <c r="K4251">
        <v>10457</v>
      </c>
      <c r="L4251" t="s">
        <v>18958</v>
      </c>
      <c r="M4251" t="s">
        <v>18958</v>
      </c>
      <c r="N4251" t="s">
        <v>22139</v>
      </c>
      <c r="O4251" t="s">
        <v>26534</v>
      </c>
      <c r="P4251" t="s">
        <v>26561</v>
      </c>
      <c r="R4251" t="s">
        <v>26578</v>
      </c>
      <c r="S4251" t="s">
        <v>18958</v>
      </c>
      <c r="U4251" t="s">
        <v>26604</v>
      </c>
      <c r="W4251" t="s">
        <v>494</v>
      </c>
      <c r="X4251">
        <v>900</v>
      </c>
      <c r="Y4251" t="s">
        <v>26650</v>
      </c>
      <c r="Z4251" t="s">
        <v>26663</v>
      </c>
      <c r="AB4251" t="s">
        <v>27286</v>
      </c>
      <c r="AD4251" t="s">
        <v>40377</v>
      </c>
      <c r="AE4251">
        <v>47</v>
      </c>
      <c r="AF4251" t="s">
        <v>45548</v>
      </c>
      <c r="AG4251" t="s">
        <v>19330</v>
      </c>
      <c r="AH4251">
        <v>40</v>
      </c>
      <c r="AI4251">
        <v>2</v>
      </c>
      <c r="AJ4251">
        <v>0</v>
      </c>
      <c r="AK4251">
        <v>157.96</v>
      </c>
      <c r="AN4251" t="s">
        <v>7439</v>
      </c>
      <c r="AO4251">
        <v>26000</v>
      </c>
      <c r="AU4251">
        <v>0.1</v>
      </c>
      <c r="AV4251" t="s">
        <v>811</v>
      </c>
      <c r="AW4251" t="s">
        <v>46847</v>
      </c>
    </row>
    <row r="4252" spans="1:49">
      <c r="A4252" s="1">
        <f>HYPERLINK("https://lsnyc.legalserver.org/matter/dynamic-profile/view/1882659","18-1882659")</f>
        <v>0</v>
      </c>
      <c r="B4252" t="s">
        <v>169</v>
      </c>
      <c r="C4252" t="s">
        <v>340</v>
      </c>
      <c r="D4252" t="s">
        <v>637</v>
      </c>
      <c r="F4252" t="s">
        <v>2979</v>
      </c>
      <c r="G4252" t="s">
        <v>7230</v>
      </c>
      <c r="H4252" t="s">
        <v>10746</v>
      </c>
      <c r="I4252" t="s">
        <v>17299</v>
      </c>
      <c r="J4252" t="s">
        <v>18892</v>
      </c>
      <c r="K4252">
        <v>10457</v>
      </c>
      <c r="L4252" t="s">
        <v>18958</v>
      </c>
      <c r="M4252" t="s">
        <v>18958</v>
      </c>
      <c r="N4252" t="s">
        <v>22137</v>
      </c>
      <c r="O4252" t="s">
        <v>26526</v>
      </c>
      <c r="P4252" t="s">
        <v>26560</v>
      </c>
      <c r="R4252" t="s">
        <v>26578</v>
      </c>
      <c r="S4252" t="s">
        <v>18958</v>
      </c>
      <c r="U4252" t="s">
        <v>26604</v>
      </c>
      <c r="W4252" t="s">
        <v>494</v>
      </c>
      <c r="X4252">
        <v>900</v>
      </c>
      <c r="Y4252" t="s">
        <v>26650</v>
      </c>
      <c r="Z4252" t="s">
        <v>26659</v>
      </c>
      <c r="AB4252" t="s">
        <v>27286</v>
      </c>
      <c r="AD4252" t="s">
        <v>40377</v>
      </c>
      <c r="AE4252">
        <v>47</v>
      </c>
      <c r="AF4252" t="s">
        <v>45548</v>
      </c>
      <c r="AG4252" t="s">
        <v>19330</v>
      </c>
      <c r="AH4252">
        <v>40</v>
      </c>
      <c r="AI4252">
        <v>2</v>
      </c>
      <c r="AJ4252">
        <v>0</v>
      </c>
      <c r="AK4252">
        <v>157.96</v>
      </c>
      <c r="AN4252" t="s">
        <v>7439</v>
      </c>
      <c r="AO4252">
        <v>26000</v>
      </c>
      <c r="AU4252">
        <v>0.6</v>
      </c>
      <c r="AV4252" t="s">
        <v>770</v>
      </c>
      <c r="AW4252" t="s">
        <v>46847</v>
      </c>
    </row>
    <row r="4253" spans="1:49">
      <c r="A4253" s="1">
        <f>HYPERLINK("https://lsnyc.legalserver.org/matter/dynamic-profile/view/1882754","18-1882754")</f>
        <v>0</v>
      </c>
      <c r="B4253" t="s">
        <v>169</v>
      </c>
      <c r="C4253" t="s">
        <v>340</v>
      </c>
      <c r="D4253" t="s">
        <v>637</v>
      </c>
      <c r="F4253" t="s">
        <v>1128</v>
      </c>
      <c r="G4253" t="s">
        <v>6466</v>
      </c>
      <c r="H4253" t="s">
        <v>10746</v>
      </c>
      <c r="I4253" t="s">
        <v>17389</v>
      </c>
      <c r="J4253" t="s">
        <v>18892</v>
      </c>
      <c r="K4253">
        <v>10457</v>
      </c>
      <c r="L4253" t="s">
        <v>18958</v>
      </c>
      <c r="M4253" t="s">
        <v>18958</v>
      </c>
      <c r="N4253" t="s">
        <v>22139</v>
      </c>
      <c r="O4253" t="s">
        <v>26534</v>
      </c>
      <c r="P4253" t="s">
        <v>26561</v>
      </c>
      <c r="R4253" t="s">
        <v>26578</v>
      </c>
      <c r="S4253" t="s">
        <v>18958</v>
      </c>
      <c r="U4253" t="s">
        <v>26604</v>
      </c>
      <c r="W4253" t="s">
        <v>494</v>
      </c>
      <c r="X4253">
        <v>997</v>
      </c>
      <c r="Y4253" t="s">
        <v>26650</v>
      </c>
      <c r="Z4253" t="s">
        <v>26663</v>
      </c>
      <c r="AB4253" t="s">
        <v>30238</v>
      </c>
      <c r="AD4253" t="s">
        <v>40378</v>
      </c>
      <c r="AE4253">
        <v>47</v>
      </c>
      <c r="AF4253" t="s">
        <v>20460</v>
      </c>
      <c r="AG4253" t="s">
        <v>19330</v>
      </c>
      <c r="AH4253">
        <v>9</v>
      </c>
      <c r="AI4253">
        <v>1</v>
      </c>
      <c r="AJ4253">
        <v>0</v>
      </c>
      <c r="AK4253">
        <v>326.19</v>
      </c>
      <c r="AN4253" t="s">
        <v>7439</v>
      </c>
      <c r="AO4253">
        <v>39600</v>
      </c>
      <c r="AU4253">
        <v>0.6</v>
      </c>
      <c r="AV4253" t="s">
        <v>816</v>
      </c>
      <c r="AW4253" t="s">
        <v>46847</v>
      </c>
    </row>
    <row r="4254" spans="1:49">
      <c r="A4254" s="1">
        <f>HYPERLINK("https://lsnyc.legalserver.org/matter/dynamic-profile/view/1882738","18-1882738")</f>
        <v>0</v>
      </c>
      <c r="B4254" t="s">
        <v>169</v>
      </c>
      <c r="C4254" t="s">
        <v>340</v>
      </c>
      <c r="D4254" t="s">
        <v>637</v>
      </c>
      <c r="F4254" t="s">
        <v>1128</v>
      </c>
      <c r="G4254" t="s">
        <v>6466</v>
      </c>
      <c r="H4254" t="s">
        <v>10746</v>
      </c>
      <c r="I4254" t="s">
        <v>17389</v>
      </c>
      <c r="J4254" t="s">
        <v>18892</v>
      </c>
      <c r="K4254">
        <v>10457</v>
      </c>
      <c r="L4254" t="s">
        <v>18958</v>
      </c>
      <c r="M4254" t="s">
        <v>18958</v>
      </c>
      <c r="N4254" t="s">
        <v>22137</v>
      </c>
      <c r="O4254" t="s">
        <v>26526</v>
      </c>
      <c r="P4254" t="s">
        <v>26560</v>
      </c>
      <c r="R4254" t="s">
        <v>26578</v>
      </c>
      <c r="S4254" t="s">
        <v>18958</v>
      </c>
      <c r="U4254" t="s">
        <v>26604</v>
      </c>
      <c r="W4254" t="s">
        <v>494</v>
      </c>
      <c r="X4254">
        <v>997</v>
      </c>
      <c r="Y4254" t="s">
        <v>26650</v>
      </c>
      <c r="Z4254" t="s">
        <v>26663</v>
      </c>
      <c r="AB4254" t="s">
        <v>30238</v>
      </c>
      <c r="AD4254" t="s">
        <v>40378</v>
      </c>
      <c r="AE4254">
        <v>47</v>
      </c>
      <c r="AF4254" t="s">
        <v>20460</v>
      </c>
      <c r="AG4254" t="s">
        <v>19330</v>
      </c>
      <c r="AH4254">
        <v>9</v>
      </c>
      <c r="AI4254">
        <v>1</v>
      </c>
      <c r="AJ4254">
        <v>0</v>
      </c>
      <c r="AK4254">
        <v>326.19</v>
      </c>
      <c r="AN4254" t="s">
        <v>7439</v>
      </c>
      <c r="AO4254">
        <v>39600</v>
      </c>
      <c r="AU4254">
        <v>0.5</v>
      </c>
      <c r="AV4254" t="s">
        <v>763</v>
      </c>
      <c r="AW4254" t="s">
        <v>46847</v>
      </c>
    </row>
    <row r="4255" spans="1:49">
      <c r="A4255" s="1">
        <f>HYPERLINK("https://lsnyc.legalserver.org/matter/dynamic-profile/view/1882696","18-1882696")</f>
        <v>0</v>
      </c>
      <c r="B4255" t="s">
        <v>169</v>
      </c>
      <c r="C4255" t="s">
        <v>340</v>
      </c>
      <c r="D4255" t="s">
        <v>637</v>
      </c>
      <c r="F4255" t="s">
        <v>2456</v>
      </c>
      <c r="G4255" t="s">
        <v>5313</v>
      </c>
      <c r="H4255" t="s">
        <v>10746</v>
      </c>
      <c r="I4255" t="s">
        <v>18085</v>
      </c>
      <c r="J4255" t="s">
        <v>18892</v>
      </c>
      <c r="K4255">
        <v>10457</v>
      </c>
      <c r="L4255" t="s">
        <v>18958</v>
      </c>
      <c r="M4255" t="s">
        <v>18958</v>
      </c>
      <c r="N4255" t="s">
        <v>22139</v>
      </c>
      <c r="O4255" t="s">
        <v>26534</v>
      </c>
      <c r="P4255" t="s">
        <v>26561</v>
      </c>
      <c r="R4255" t="s">
        <v>26578</v>
      </c>
      <c r="S4255" t="s">
        <v>18958</v>
      </c>
      <c r="U4255" t="s">
        <v>26604</v>
      </c>
      <c r="W4255" t="s">
        <v>494</v>
      </c>
      <c r="X4255">
        <v>810</v>
      </c>
      <c r="Y4255" t="s">
        <v>26650</v>
      </c>
      <c r="Z4255" t="s">
        <v>26663</v>
      </c>
      <c r="AB4255" t="s">
        <v>30239</v>
      </c>
      <c r="AD4255" t="s">
        <v>40379</v>
      </c>
      <c r="AE4255">
        <v>47</v>
      </c>
      <c r="AF4255" t="s">
        <v>45541</v>
      </c>
      <c r="AG4255" t="s">
        <v>19330</v>
      </c>
      <c r="AH4255">
        <v>39</v>
      </c>
      <c r="AI4255">
        <v>2</v>
      </c>
      <c r="AJ4255">
        <v>0</v>
      </c>
      <c r="AK4255">
        <v>382.75</v>
      </c>
      <c r="AN4255" t="s">
        <v>7439</v>
      </c>
      <c r="AO4255">
        <v>63000</v>
      </c>
      <c r="AU4255">
        <v>0.1</v>
      </c>
      <c r="AV4255" t="s">
        <v>816</v>
      </c>
      <c r="AW4255" t="s">
        <v>46847</v>
      </c>
    </row>
    <row r="4256" spans="1:49">
      <c r="A4256" s="1">
        <f>HYPERLINK("https://lsnyc.legalserver.org/matter/dynamic-profile/view/1882693","18-1882693")</f>
        <v>0</v>
      </c>
      <c r="B4256" t="s">
        <v>169</v>
      </c>
      <c r="C4256" t="s">
        <v>340</v>
      </c>
      <c r="D4256" t="s">
        <v>637</v>
      </c>
      <c r="F4256" t="s">
        <v>2456</v>
      </c>
      <c r="G4256" t="s">
        <v>5313</v>
      </c>
      <c r="H4256" t="s">
        <v>10746</v>
      </c>
      <c r="I4256" t="s">
        <v>18085</v>
      </c>
      <c r="J4256" t="s">
        <v>18892</v>
      </c>
      <c r="K4256">
        <v>10457</v>
      </c>
      <c r="L4256" t="s">
        <v>18958</v>
      </c>
      <c r="M4256" t="s">
        <v>18958</v>
      </c>
      <c r="N4256" t="s">
        <v>22137</v>
      </c>
      <c r="O4256" t="s">
        <v>26526</v>
      </c>
      <c r="P4256" t="s">
        <v>26560</v>
      </c>
      <c r="R4256" t="s">
        <v>26578</v>
      </c>
      <c r="S4256" t="s">
        <v>18958</v>
      </c>
      <c r="U4256" t="s">
        <v>26604</v>
      </c>
      <c r="W4256" t="s">
        <v>494</v>
      </c>
      <c r="X4256">
        <v>810</v>
      </c>
      <c r="Y4256" t="s">
        <v>26650</v>
      </c>
      <c r="Z4256" t="s">
        <v>26663</v>
      </c>
      <c r="AB4256" t="s">
        <v>30239</v>
      </c>
      <c r="AD4256" t="s">
        <v>40379</v>
      </c>
      <c r="AE4256">
        <v>47</v>
      </c>
      <c r="AF4256" t="s">
        <v>45541</v>
      </c>
      <c r="AG4256" t="s">
        <v>19330</v>
      </c>
      <c r="AH4256">
        <v>39</v>
      </c>
      <c r="AI4256">
        <v>2</v>
      </c>
      <c r="AJ4256">
        <v>0</v>
      </c>
      <c r="AK4256">
        <v>382.75</v>
      </c>
      <c r="AN4256" t="s">
        <v>7439</v>
      </c>
      <c r="AO4256">
        <v>63000</v>
      </c>
      <c r="AU4256">
        <v>0.1</v>
      </c>
      <c r="AV4256" t="s">
        <v>816</v>
      </c>
      <c r="AW4256" t="s">
        <v>46847</v>
      </c>
    </row>
    <row r="4257" spans="1:49">
      <c r="A4257" s="1">
        <f>HYPERLINK("https://lsnyc.legalserver.org/matter/dynamic-profile/view/1882728","18-1882728")</f>
        <v>0</v>
      </c>
      <c r="B4257" t="s">
        <v>169</v>
      </c>
      <c r="C4257" t="s">
        <v>340</v>
      </c>
      <c r="D4257" t="s">
        <v>637</v>
      </c>
      <c r="F4257" t="s">
        <v>2978</v>
      </c>
      <c r="G4257" t="s">
        <v>7224</v>
      </c>
      <c r="H4257" t="s">
        <v>10746</v>
      </c>
      <c r="I4257" t="s">
        <v>17316</v>
      </c>
      <c r="J4257" t="s">
        <v>18892</v>
      </c>
      <c r="K4257">
        <v>10457</v>
      </c>
      <c r="L4257" t="s">
        <v>18958</v>
      </c>
      <c r="M4257" t="s">
        <v>18958</v>
      </c>
      <c r="N4257" t="s">
        <v>22139</v>
      </c>
      <c r="O4257" t="s">
        <v>26534</v>
      </c>
      <c r="P4257" t="s">
        <v>26561</v>
      </c>
      <c r="R4257" t="s">
        <v>26578</v>
      </c>
      <c r="S4257" t="s">
        <v>18958</v>
      </c>
      <c r="U4257" t="s">
        <v>26604</v>
      </c>
      <c r="W4257" t="s">
        <v>494</v>
      </c>
      <c r="X4257">
        <v>1284.72</v>
      </c>
      <c r="Y4257" t="s">
        <v>26650</v>
      </c>
      <c r="Z4257" t="s">
        <v>26663</v>
      </c>
      <c r="AB4257" t="s">
        <v>30232</v>
      </c>
      <c r="AD4257" t="s">
        <v>40372</v>
      </c>
      <c r="AE4257">
        <v>47</v>
      </c>
      <c r="AF4257" t="s">
        <v>45541</v>
      </c>
      <c r="AG4257" t="s">
        <v>19330</v>
      </c>
      <c r="AH4257">
        <v>7</v>
      </c>
      <c r="AI4257">
        <v>2</v>
      </c>
      <c r="AJ4257">
        <v>2</v>
      </c>
      <c r="AK4257">
        <v>525.9</v>
      </c>
      <c r="AN4257" t="s">
        <v>7439</v>
      </c>
      <c r="AO4257">
        <v>132000</v>
      </c>
      <c r="AU4257">
        <v>0.7</v>
      </c>
      <c r="AV4257" t="s">
        <v>789</v>
      </c>
      <c r="AW4257" t="s">
        <v>46847</v>
      </c>
    </row>
    <row r="4258" spans="1:49">
      <c r="A4258" s="1">
        <f>HYPERLINK("https://lsnyc.legalserver.org/matter/dynamic-profile/view/1882953","18-1882953")</f>
        <v>0</v>
      </c>
      <c r="B4258" t="s">
        <v>169</v>
      </c>
      <c r="C4258" t="s">
        <v>340</v>
      </c>
      <c r="D4258" t="s">
        <v>651</v>
      </c>
      <c r="F4258" t="s">
        <v>1785</v>
      </c>
      <c r="G4258" t="s">
        <v>7231</v>
      </c>
      <c r="H4258" t="s">
        <v>10746</v>
      </c>
      <c r="I4258" t="s">
        <v>18086</v>
      </c>
      <c r="J4258" t="s">
        <v>18892</v>
      </c>
      <c r="K4258">
        <v>10457</v>
      </c>
      <c r="L4258" t="s">
        <v>18958</v>
      </c>
      <c r="M4258" t="s">
        <v>18958</v>
      </c>
      <c r="N4258" t="s">
        <v>22139</v>
      </c>
      <c r="O4258" t="s">
        <v>26534</v>
      </c>
      <c r="P4258" t="s">
        <v>26561</v>
      </c>
      <c r="R4258" t="s">
        <v>26578</v>
      </c>
      <c r="S4258" t="s">
        <v>18958</v>
      </c>
      <c r="U4258" t="s">
        <v>26604</v>
      </c>
      <c r="W4258" t="s">
        <v>494</v>
      </c>
      <c r="X4258">
        <v>902</v>
      </c>
      <c r="Y4258" t="s">
        <v>26650</v>
      </c>
      <c r="Z4258" t="s">
        <v>26663</v>
      </c>
      <c r="AB4258" t="s">
        <v>30240</v>
      </c>
      <c r="AD4258" t="s">
        <v>40380</v>
      </c>
      <c r="AE4258">
        <v>47</v>
      </c>
      <c r="AF4258" t="s">
        <v>20460</v>
      </c>
      <c r="AG4258" t="s">
        <v>19330</v>
      </c>
      <c r="AH4258">
        <v>31</v>
      </c>
      <c r="AI4258">
        <v>4</v>
      </c>
      <c r="AJ4258">
        <v>1</v>
      </c>
      <c r="AK4258">
        <v>132.56</v>
      </c>
      <c r="AN4258" t="s">
        <v>45581</v>
      </c>
      <c r="AO4258">
        <v>39000</v>
      </c>
      <c r="AU4258">
        <v>0.2</v>
      </c>
      <c r="AV4258" t="s">
        <v>771</v>
      </c>
      <c r="AW4258" t="s">
        <v>46847</v>
      </c>
    </row>
    <row r="4259" spans="1:49">
      <c r="A4259" s="1">
        <f>HYPERLINK("https://lsnyc.legalserver.org/matter/dynamic-profile/view/1882757","18-1882757")</f>
        <v>0</v>
      </c>
      <c r="B4259" t="s">
        <v>169</v>
      </c>
      <c r="C4259" t="s">
        <v>340</v>
      </c>
      <c r="D4259" t="s">
        <v>651</v>
      </c>
      <c r="F4259" t="s">
        <v>1785</v>
      </c>
      <c r="G4259" t="s">
        <v>7231</v>
      </c>
      <c r="H4259" t="s">
        <v>10746</v>
      </c>
      <c r="I4259" t="s">
        <v>18086</v>
      </c>
      <c r="J4259" t="s">
        <v>18892</v>
      </c>
      <c r="K4259">
        <v>10457</v>
      </c>
      <c r="L4259" t="s">
        <v>18958</v>
      </c>
      <c r="M4259" t="s">
        <v>18958</v>
      </c>
      <c r="N4259" t="s">
        <v>22137</v>
      </c>
      <c r="O4259" t="s">
        <v>26526</v>
      </c>
      <c r="P4259" t="s">
        <v>26560</v>
      </c>
      <c r="R4259" t="s">
        <v>26578</v>
      </c>
      <c r="S4259" t="s">
        <v>18958</v>
      </c>
      <c r="U4259" t="s">
        <v>26604</v>
      </c>
      <c r="W4259" t="s">
        <v>494</v>
      </c>
      <c r="X4259">
        <v>902</v>
      </c>
      <c r="Y4259" t="s">
        <v>26650</v>
      </c>
      <c r="Z4259" t="s">
        <v>26663</v>
      </c>
      <c r="AB4259" t="s">
        <v>30240</v>
      </c>
      <c r="AD4259" t="s">
        <v>40380</v>
      </c>
      <c r="AE4259">
        <v>47</v>
      </c>
      <c r="AF4259" t="s">
        <v>20460</v>
      </c>
      <c r="AG4259" t="s">
        <v>19330</v>
      </c>
      <c r="AH4259">
        <v>31</v>
      </c>
      <c r="AI4259">
        <v>4</v>
      </c>
      <c r="AJ4259">
        <v>1</v>
      </c>
      <c r="AK4259">
        <v>132.56</v>
      </c>
      <c r="AN4259" t="s">
        <v>45581</v>
      </c>
      <c r="AO4259">
        <v>39000</v>
      </c>
      <c r="AU4259">
        <v>0.4</v>
      </c>
      <c r="AV4259" t="s">
        <v>771</v>
      </c>
      <c r="AW4259" t="s">
        <v>46847</v>
      </c>
    </row>
    <row r="4260" spans="1:49">
      <c r="A4260" s="1">
        <f>HYPERLINK("https://lsnyc.legalserver.org/matter/dynamic-profile/view/1882962","18-1882962")</f>
        <v>0</v>
      </c>
      <c r="B4260" t="s">
        <v>169</v>
      </c>
      <c r="C4260" t="s">
        <v>340</v>
      </c>
      <c r="D4260" t="s">
        <v>651</v>
      </c>
      <c r="F4260" t="s">
        <v>2412</v>
      </c>
      <c r="G4260" t="s">
        <v>7232</v>
      </c>
      <c r="H4260" t="s">
        <v>10746</v>
      </c>
      <c r="I4260" t="s">
        <v>17276</v>
      </c>
      <c r="J4260" t="s">
        <v>18892</v>
      </c>
      <c r="K4260">
        <v>10457</v>
      </c>
      <c r="L4260" t="s">
        <v>18958</v>
      </c>
      <c r="M4260" t="s">
        <v>18958</v>
      </c>
      <c r="N4260" t="s">
        <v>22139</v>
      </c>
      <c r="O4260" t="s">
        <v>26534</v>
      </c>
      <c r="P4260" t="s">
        <v>26561</v>
      </c>
      <c r="R4260" t="s">
        <v>26578</v>
      </c>
      <c r="S4260" t="s">
        <v>18958</v>
      </c>
      <c r="U4260" t="s">
        <v>26604</v>
      </c>
      <c r="W4260" t="s">
        <v>494</v>
      </c>
      <c r="X4260">
        <v>1179</v>
      </c>
      <c r="Y4260" t="s">
        <v>26650</v>
      </c>
      <c r="Z4260" t="s">
        <v>26663</v>
      </c>
      <c r="AB4260" t="s">
        <v>30241</v>
      </c>
      <c r="AD4260" t="s">
        <v>40381</v>
      </c>
      <c r="AE4260">
        <v>47</v>
      </c>
      <c r="AF4260" t="s">
        <v>45541</v>
      </c>
      <c r="AG4260" t="s">
        <v>19330</v>
      </c>
      <c r="AH4260">
        <v>8</v>
      </c>
      <c r="AI4260">
        <v>1</v>
      </c>
      <c r="AJ4260">
        <v>1</v>
      </c>
      <c r="AK4260">
        <v>151.88</v>
      </c>
      <c r="AN4260" t="s">
        <v>45581</v>
      </c>
      <c r="AO4260">
        <v>25000</v>
      </c>
      <c r="AU4260">
        <v>0.1</v>
      </c>
      <c r="AV4260" t="s">
        <v>811</v>
      </c>
      <c r="AW4260" t="s">
        <v>46847</v>
      </c>
    </row>
    <row r="4261" spans="1:49">
      <c r="A4261" s="1">
        <f>HYPERLINK("https://lsnyc.legalserver.org/matter/dynamic-profile/view/1882956","18-1882956")</f>
        <v>0</v>
      </c>
      <c r="B4261" t="s">
        <v>169</v>
      </c>
      <c r="C4261" t="s">
        <v>340</v>
      </c>
      <c r="D4261" t="s">
        <v>651</v>
      </c>
      <c r="F4261" t="s">
        <v>2412</v>
      </c>
      <c r="G4261" t="s">
        <v>7232</v>
      </c>
      <c r="H4261" t="s">
        <v>10746</v>
      </c>
      <c r="I4261" t="s">
        <v>17276</v>
      </c>
      <c r="J4261" t="s">
        <v>18892</v>
      </c>
      <c r="K4261">
        <v>10457</v>
      </c>
      <c r="L4261" t="s">
        <v>18958</v>
      </c>
      <c r="M4261" t="s">
        <v>18958</v>
      </c>
      <c r="N4261" t="s">
        <v>22137</v>
      </c>
      <c r="O4261" t="s">
        <v>26526</v>
      </c>
      <c r="P4261" t="s">
        <v>26560</v>
      </c>
      <c r="R4261" t="s">
        <v>26578</v>
      </c>
      <c r="S4261" t="s">
        <v>18958</v>
      </c>
      <c r="U4261" t="s">
        <v>26604</v>
      </c>
      <c r="W4261" t="s">
        <v>494</v>
      </c>
      <c r="X4261">
        <v>1179</v>
      </c>
      <c r="Y4261" t="s">
        <v>26650</v>
      </c>
      <c r="Z4261" t="s">
        <v>26663</v>
      </c>
      <c r="AB4261" t="s">
        <v>30241</v>
      </c>
      <c r="AD4261" t="s">
        <v>40381</v>
      </c>
      <c r="AE4261">
        <v>47</v>
      </c>
      <c r="AF4261" t="s">
        <v>45541</v>
      </c>
      <c r="AG4261" t="s">
        <v>19330</v>
      </c>
      <c r="AH4261">
        <v>8</v>
      </c>
      <c r="AI4261">
        <v>1</v>
      </c>
      <c r="AJ4261">
        <v>1</v>
      </c>
      <c r="AK4261">
        <v>151.88</v>
      </c>
      <c r="AN4261" t="s">
        <v>45581</v>
      </c>
      <c r="AO4261">
        <v>25000</v>
      </c>
      <c r="AU4261">
        <v>0.2</v>
      </c>
      <c r="AV4261" t="s">
        <v>800</v>
      </c>
      <c r="AW4261" t="s">
        <v>46847</v>
      </c>
    </row>
    <row r="4262" spans="1:49">
      <c r="A4262" s="1">
        <f>HYPERLINK("https://lsnyc.legalserver.org/matter/dynamic-profile/view/1883091","18-1883091")</f>
        <v>0</v>
      </c>
      <c r="B4262" t="s">
        <v>129</v>
      </c>
      <c r="C4262" t="s">
        <v>341</v>
      </c>
      <c r="D4262" t="s">
        <v>525</v>
      </c>
      <c r="E4262" t="s">
        <v>494</v>
      </c>
      <c r="F4262" t="s">
        <v>1081</v>
      </c>
      <c r="G4262" t="s">
        <v>7233</v>
      </c>
      <c r="H4262" t="s">
        <v>12909</v>
      </c>
      <c r="I4262">
        <v>15</v>
      </c>
      <c r="J4262" t="s">
        <v>18894</v>
      </c>
      <c r="K4262">
        <v>11216</v>
      </c>
      <c r="L4262" t="s">
        <v>18958</v>
      </c>
      <c r="M4262" t="s">
        <v>18958</v>
      </c>
      <c r="N4262" t="s">
        <v>22140</v>
      </c>
      <c r="O4262" t="s">
        <v>26533</v>
      </c>
      <c r="P4262" t="s">
        <v>26565</v>
      </c>
      <c r="Q4262" t="s">
        <v>26571</v>
      </c>
      <c r="R4262" t="s">
        <v>26588</v>
      </c>
      <c r="U4262" t="s">
        <v>26604</v>
      </c>
      <c r="W4262" t="s">
        <v>494</v>
      </c>
      <c r="X4262">
        <v>598.58</v>
      </c>
      <c r="Y4262" t="s">
        <v>26652</v>
      </c>
      <c r="Z4262" t="s">
        <v>26664</v>
      </c>
      <c r="AA4262" t="s">
        <v>26678</v>
      </c>
      <c r="AB4262" t="s">
        <v>30242</v>
      </c>
      <c r="AD4262" t="s">
        <v>40382</v>
      </c>
      <c r="AE4262">
        <v>17</v>
      </c>
      <c r="AH4262">
        <v>3</v>
      </c>
      <c r="AI4262">
        <v>1</v>
      </c>
      <c r="AJ4262">
        <v>0</v>
      </c>
      <c r="AK4262">
        <v>72.65000000000001</v>
      </c>
      <c r="AN4262" t="s">
        <v>7439</v>
      </c>
      <c r="AO4262">
        <v>8820</v>
      </c>
      <c r="AU4262">
        <v>7.65</v>
      </c>
      <c r="AV4262" t="s">
        <v>415</v>
      </c>
      <c r="AW4262" t="s">
        <v>46862</v>
      </c>
    </row>
    <row r="4263" spans="1:49">
      <c r="A4263" s="1">
        <f>HYPERLINK("https://lsnyc.legalserver.org/matter/dynamic-profile/view/1883400","18-1883400")</f>
        <v>0</v>
      </c>
      <c r="B4263" t="s">
        <v>52</v>
      </c>
      <c r="C4263" t="s">
        <v>340</v>
      </c>
      <c r="D4263" t="s">
        <v>662</v>
      </c>
      <c r="F4263" t="s">
        <v>2980</v>
      </c>
      <c r="G4263" t="s">
        <v>5199</v>
      </c>
      <c r="H4263" t="s">
        <v>12910</v>
      </c>
      <c r="I4263" t="s">
        <v>17307</v>
      </c>
      <c r="J4263" t="s">
        <v>18892</v>
      </c>
      <c r="K4263">
        <v>10452</v>
      </c>
      <c r="L4263" t="s">
        <v>18958</v>
      </c>
      <c r="M4263" t="s">
        <v>18958</v>
      </c>
      <c r="N4263" t="s">
        <v>22141</v>
      </c>
      <c r="O4263" t="s">
        <v>26526</v>
      </c>
      <c r="P4263" t="s">
        <v>26560</v>
      </c>
      <c r="R4263" t="s">
        <v>26578</v>
      </c>
      <c r="S4263" t="s">
        <v>18958</v>
      </c>
      <c r="U4263" t="s">
        <v>26604</v>
      </c>
      <c r="W4263" t="s">
        <v>494</v>
      </c>
      <c r="X4263">
        <v>1000</v>
      </c>
      <c r="Y4263" t="s">
        <v>26650</v>
      </c>
      <c r="Z4263" t="s">
        <v>26667</v>
      </c>
      <c r="AB4263" t="s">
        <v>29377</v>
      </c>
      <c r="AC4263" t="s">
        <v>35745</v>
      </c>
      <c r="AD4263" t="s">
        <v>40383</v>
      </c>
      <c r="AE4263">
        <v>41</v>
      </c>
      <c r="AF4263" t="s">
        <v>45541</v>
      </c>
      <c r="AG4263" t="s">
        <v>45558</v>
      </c>
      <c r="AH4263">
        <v>7</v>
      </c>
      <c r="AI4263">
        <v>1</v>
      </c>
      <c r="AJ4263">
        <v>2</v>
      </c>
      <c r="AK4263">
        <v>17.9</v>
      </c>
      <c r="AN4263" t="s">
        <v>7439</v>
      </c>
      <c r="AO4263">
        <v>3720</v>
      </c>
      <c r="AU4263">
        <v>0</v>
      </c>
      <c r="AW4263" t="s">
        <v>46847</v>
      </c>
    </row>
    <row r="4264" spans="1:49">
      <c r="A4264" s="1">
        <f>HYPERLINK("https://lsnyc.legalserver.org/matter/dynamic-profile/view/1883419","18-1883419")</f>
        <v>0</v>
      </c>
      <c r="B4264" t="s">
        <v>52</v>
      </c>
      <c r="C4264" t="s">
        <v>340</v>
      </c>
      <c r="D4264" t="s">
        <v>662</v>
      </c>
      <c r="F4264" t="s">
        <v>2342</v>
      </c>
      <c r="G4264" t="s">
        <v>7234</v>
      </c>
      <c r="H4264" t="s">
        <v>12910</v>
      </c>
      <c r="I4264" t="s">
        <v>17349</v>
      </c>
      <c r="J4264" t="s">
        <v>18892</v>
      </c>
      <c r="K4264">
        <v>10452</v>
      </c>
      <c r="L4264" t="s">
        <v>18958</v>
      </c>
      <c r="M4264" t="s">
        <v>18958</v>
      </c>
      <c r="N4264" t="s">
        <v>22142</v>
      </c>
      <c r="O4264" t="s">
        <v>26526</v>
      </c>
      <c r="P4264" t="s">
        <v>26560</v>
      </c>
      <c r="R4264" t="s">
        <v>26578</v>
      </c>
      <c r="S4264" t="s">
        <v>18958</v>
      </c>
      <c r="U4264" t="s">
        <v>26604</v>
      </c>
      <c r="W4264" t="s">
        <v>494</v>
      </c>
      <c r="X4264">
        <v>1500</v>
      </c>
      <c r="Y4264" t="s">
        <v>26650</v>
      </c>
      <c r="Z4264" t="s">
        <v>26667</v>
      </c>
      <c r="AB4264" t="s">
        <v>30243</v>
      </c>
      <c r="AD4264" t="s">
        <v>40384</v>
      </c>
      <c r="AE4264">
        <v>41</v>
      </c>
      <c r="AF4264" t="s">
        <v>45547</v>
      </c>
      <c r="AG4264" t="s">
        <v>19330</v>
      </c>
      <c r="AH4264">
        <v>4</v>
      </c>
      <c r="AI4264">
        <v>2</v>
      </c>
      <c r="AJ4264">
        <v>2</v>
      </c>
      <c r="AK4264">
        <v>79.68000000000001</v>
      </c>
      <c r="AN4264" t="s">
        <v>45581</v>
      </c>
      <c r="AO4264">
        <v>20000</v>
      </c>
      <c r="AU4264">
        <v>0</v>
      </c>
      <c r="AW4264" t="s">
        <v>46847</v>
      </c>
    </row>
    <row r="4265" spans="1:49">
      <c r="A4265" s="1">
        <f>HYPERLINK("https://lsnyc.legalserver.org/matter/dynamic-profile/view/1883424","18-1883424")</f>
        <v>0</v>
      </c>
      <c r="B4265" t="s">
        <v>52</v>
      </c>
      <c r="C4265" t="s">
        <v>340</v>
      </c>
      <c r="D4265" t="s">
        <v>662</v>
      </c>
      <c r="F4265" t="s">
        <v>887</v>
      </c>
      <c r="G4265" t="s">
        <v>5089</v>
      </c>
      <c r="H4265" t="s">
        <v>12910</v>
      </c>
      <c r="I4265" t="s">
        <v>17410</v>
      </c>
      <c r="J4265" t="s">
        <v>18892</v>
      </c>
      <c r="K4265">
        <v>10452</v>
      </c>
      <c r="L4265" t="s">
        <v>18958</v>
      </c>
      <c r="M4265" t="s">
        <v>18958</v>
      </c>
      <c r="N4265" t="s">
        <v>22142</v>
      </c>
      <c r="O4265" t="s">
        <v>26526</v>
      </c>
      <c r="P4265" t="s">
        <v>26560</v>
      </c>
      <c r="R4265" t="s">
        <v>26578</v>
      </c>
      <c r="S4265" t="s">
        <v>18958</v>
      </c>
      <c r="U4265" t="s">
        <v>26604</v>
      </c>
      <c r="W4265" t="s">
        <v>494</v>
      </c>
      <c r="X4265">
        <v>1481</v>
      </c>
      <c r="Y4265" t="s">
        <v>26650</v>
      </c>
      <c r="Z4265" t="s">
        <v>26667</v>
      </c>
      <c r="AB4265" t="s">
        <v>30244</v>
      </c>
      <c r="AD4265" t="s">
        <v>40385</v>
      </c>
      <c r="AE4265">
        <v>41</v>
      </c>
      <c r="AF4265" t="s">
        <v>20460</v>
      </c>
      <c r="AG4265" t="s">
        <v>19330</v>
      </c>
      <c r="AH4265">
        <v>10</v>
      </c>
      <c r="AI4265">
        <v>1</v>
      </c>
      <c r="AJ4265">
        <v>0</v>
      </c>
      <c r="AK4265">
        <v>111.3</v>
      </c>
      <c r="AN4265" t="s">
        <v>7439</v>
      </c>
      <c r="AO4265">
        <v>13512</v>
      </c>
      <c r="AU4265">
        <v>0.5</v>
      </c>
      <c r="AV4265" t="s">
        <v>732</v>
      </c>
      <c r="AW4265" t="s">
        <v>46847</v>
      </c>
    </row>
    <row r="4266" spans="1:49">
      <c r="A4266" s="1">
        <f>HYPERLINK("https://lsnyc.legalserver.org/matter/dynamic-profile/view/1883429","18-1883429")</f>
        <v>0</v>
      </c>
      <c r="B4266" t="s">
        <v>52</v>
      </c>
      <c r="C4266" t="s">
        <v>340</v>
      </c>
      <c r="D4266" t="s">
        <v>662</v>
      </c>
      <c r="F4266" t="s">
        <v>2981</v>
      </c>
      <c r="G4266" t="s">
        <v>7235</v>
      </c>
      <c r="H4266" t="s">
        <v>12910</v>
      </c>
      <c r="I4266" t="s">
        <v>17362</v>
      </c>
      <c r="J4266" t="s">
        <v>18892</v>
      </c>
      <c r="K4266">
        <v>10452</v>
      </c>
      <c r="L4266" t="s">
        <v>18958</v>
      </c>
      <c r="M4266" t="s">
        <v>18958</v>
      </c>
      <c r="N4266" t="s">
        <v>22142</v>
      </c>
      <c r="O4266" t="s">
        <v>26526</v>
      </c>
      <c r="P4266" t="s">
        <v>26560</v>
      </c>
      <c r="R4266" t="s">
        <v>26578</v>
      </c>
      <c r="S4266" t="s">
        <v>18958</v>
      </c>
      <c r="U4266" t="s">
        <v>26604</v>
      </c>
      <c r="W4266" t="s">
        <v>494</v>
      </c>
      <c r="X4266">
        <v>1087.54</v>
      </c>
      <c r="Y4266" t="s">
        <v>26650</v>
      </c>
      <c r="Z4266" t="s">
        <v>26667</v>
      </c>
      <c r="AB4266" t="s">
        <v>30245</v>
      </c>
      <c r="AD4266" t="s">
        <v>40386</v>
      </c>
      <c r="AE4266">
        <v>41</v>
      </c>
      <c r="AF4266" t="s">
        <v>45541</v>
      </c>
      <c r="AG4266" t="s">
        <v>19330</v>
      </c>
      <c r="AH4266">
        <v>15</v>
      </c>
      <c r="AI4266">
        <v>1</v>
      </c>
      <c r="AJ4266">
        <v>2</v>
      </c>
      <c r="AK4266">
        <v>144.37</v>
      </c>
      <c r="AN4266" t="s">
        <v>7439</v>
      </c>
      <c r="AO4266">
        <v>30000</v>
      </c>
      <c r="AU4266">
        <v>1</v>
      </c>
      <c r="AV4266" t="s">
        <v>752</v>
      </c>
      <c r="AW4266" t="s">
        <v>46847</v>
      </c>
    </row>
    <row r="4267" spans="1:49">
      <c r="A4267" s="1">
        <f>HYPERLINK("https://lsnyc.legalserver.org/matter/dynamic-profile/view/1883435","18-1883435")</f>
        <v>0</v>
      </c>
      <c r="B4267" t="s">
        <v>52</v>
      </c>
      <c r="C4267" t="s">
        <v>340</v>
      </c>
      <c r="D4267" t="s">
        <v>662</v>
      </c>
      <c r="F4267" t="s">
        <v>1022</v>
      </c>
      <c r="G4267" t="s">
        <v>2975</v>
      </c>
      <c r="H4267" t="s">
        <v>12910</v>
      </c>
      <c r="I4267" t="s">
        <v>17272</v>
      </c>
      <c r="J4267" t="s">
        <v>18892</v>
      </c>
      <c r="K4267">
        <v>10452</v>
      </c>
      <c r="L4267" t="s">
        <v>18958</v>
      </c>
      <c r="M4267" t="s">
        <v>18958</v>
      </c>
      <c r="N4267" t="s">
        <v>22142</v>
      </c>
      <c r="O4267" t="s">
        <v>26526</v>
      </c>
      <c r="P4267" t="s">
        <v>26560</v>
      </c>
      <c r="R4267" t="s">
        <v>26578</v>
      </c>
      <c r="S4267" t="s">
        <v>18958</v>
      </c>
      <c r="U4267" t="s">
        <v>26604</v>
      </c>
      <c r="W4267" t="s">
        <v>494</v>
      </c>
      <c r="X4267">
        <v>987</v>
      </c>
      <c r="Y4267" t="s">
        <v>26650</v>
      </c>
      <c r="Z4267" t="s">
        <v>26667</v>
      </c>
      <c r="AB4267" t="s">
        <v>30246</v>
      </c>
      <c r="AD4267" t="s">
        <v>40387</v>
      </c>
      <c r="AE4267">
        <v>41</v>
      </c>
      <c r="AF4267" t="s">
        <v>20460</v>
      </c>
      <c r="AG4267" t="s">
        <v>45559</v>
      </c>
      <c r="AH4267">
        <v>32</v>
      </c>
      <c r="AI4267">
        <v>1</v>
      </c>
      <c r="AJ4267">
        <v>0</v>
      </c>
      <c r="AK4267">
        <v>231.99</v>
      </c>
      <c r="AN4267" t="s">
        <v>7439</v>
      </c>
      <c r="AO4267">
        <v>28164</v>
      </c>
      <c r="AU4267">
        <v>0</v>
      </c>
      <c r="AW4267" t="s">
        <v>46847</v>
      </c>
    </row>
    <row r="4268" spans="1:49">
      <c r="A4268" s="1">
        <f>HYPERLINK("https://lsnyc.legalserver.org/matter/dynamic-profile/view/1883427","18-1883427")</f>
        <v>0</v>
      </c>
      <c r="B4268" t="s">
        <v>52</v>
      </c>
      <c r="C4268" t="s">
        <v>340</v>
      </c>
      <c r="D4268" t="s">
        <v>662</v>
      </c>
      <c r="F4268" t="s">
        <v>2982</v>
      </c>
      <c r="G4268" t="s">
        <v>7236</v>
      </c>
      <c r="H4268" t="s">
        <v>12910</v>
      </c>
      <c r="I4268" t="s">
        <v>17436</v>
      </c>
      <c r="J4268" t="s">
        <v>18892</v>
      </c>
      <c r="K4268">
        <v>10452</v>
      </c>
      <c r="L4268" t="s">
        <v>18958</v>
      </c>
      <c r="M4268" t="s">
        <v>18958</v>
      </c>
      <c r="N4268" t="s">
        <v>22142</v>
      </c>
      <c r="O4268" t="s">
        <v>26526</v>
      </c>
      <c r="P4268" t="s">
        <v>26560</v>
      </c>
      <c r="R4268" t="s">
        <v>26578</v>
      </c>
      <c r="S4268" t="s">
        <v>18958</v>
      </c>
      <c r="U4268" t="s">
        <v>26604</v>
      </c>
      <c r="W4268" t="s">
        <v>494</v>
      </c>
      <c r="X4268">
        <v>1800</v>
      </c>
      <c r="Y4268" t="s">
        <v>26650</v>
      </c>
      <c r="Z4268" t="s">
        <v>26667</v>
      </c>
      <c r="AB4268" t="s">
        <v>30247</v>
      </c>
      <c r="AD4268" t="s">
        <v>40388</v>
      </c>
      <c r="AE4268">
        <v>41</v>
      </c>
      <c r="AF4268" t="s">
        <v>20460</v>
      </c>
      <c r="AG4268" t="s">
        <v>19330</v>
      </c>
      <c r="AH4268">
        <v>6</v>
      </c>
      <c r="AI4268">
        <v>3</v>
      </c>
      <c r="AJ4268">
        <v>0</v>
      </c>
      <c r="AK4268">
        <v>277.19</v>
      </c>
      <c r="AN4268" t="s">
        <v>45581</v>
      </c>
      <c r="AO4268">
        <v>57600</v>
      </c>
      <c r="AU4268">
        <v>0</v>
      </c>
      <c r="AW4268" t="s">
        <v>46847</v>
      </c>
    </row>
    <row r="4269" spans="1:49">
      <c r="A4269" s="1">
        <f>HYPERLINK("https://lsnyc.legalserver.org/matter/dynamic-profile/view/1883414","18-1883414")</f>
        <v>0</v>
      </c>
      <c r="B4269" t="s">
        <v>52</v>
      </c>
      <c r="C4269" t="s">
        <v>340</v>
      </c>
      <c r="D4269" t="s">
        <v>662</v>
      </c>
      <c r="F4269" t="s">
        <v>1266</v>
      </c>
      <c r="G4269" t="s">
        <v>4588</v>
      </c>
      <c r="H4269" t="s">
        <v>12911</v>
      </c>
      <c r="I4269" t="s">
        <v>17360</v>
      </c>
      <c r="J4269" t="s">
        <v>18892</v>
      </c>
      <c r="K4269">
        <v>10452</v>
      </c>
      <c r="L4269" t="s">
        <v>18958</v>
      </c>
      <c r="M4269" t="s">
        <v>18958</v>
      </c>
      <c r="N4269" t="s">
        <v>22142</v>
      </c>
      <c r="O4269" t="s">
        <v>26526</v>
      </c>
      <c r="P4269" t="s">
        <v>26560</v>
      </c>
      <c r="R4269" t="s">
        <v>26578</v>
      </c>
      <c r="S4269" t="s">
        <v>18958</v>
      </c>
      <c r="U4269" t="s">
        <v>26604</v>
      </c>
      <c r="W4269" t="s">
        <v>494</v>
      </c>
      <c r="X4269">
        <v>1164.24</v>
      </c>
      <c r="Y4269" t="s">
        <v>26650</v>
      </c>
      <c r="Z4269" t="s">
        <v>26667</v>
      </c>
      <c r="AB4269" t="s">
        <v>30248</v>
      </c>
      <c r="AD4269" t="s">
        <v>40389</v>
      </c>
      <c r="AE4269">
        <v>41</v>
      </c>
      <c r="AF4269" t="s">
        <v>45545</v>
      </c>
      <c r="AG4269" t="s">
        <v>19330</v>
      </c>
      <c r="AH4269">
        <v>6</v>
      </c>
      <c r="AI4269">
        <v>1</v>
      </c>
      <c r="AJ4269">
        <v>0</v>
      </c>
      <c r="AK4269">
        <v>411.86</v>
      </c>
      <c r="AN4269" t="s">
        <v>7439</v>
      </c>
      <c r="AO4269">
        <v>50000</v>
      </c>
      <c r="AU4269">
        <v>60.75</v>
      </c>
      <c r="AV4269" t="s">
        <v>724</v>
      </c>
      <c r="AW4269" t="s">
        <v>46847</v>
      </c>
    </row>
    <row r="4270" spans="1:49">
      <c r="A4270" s="1">
        <f>HYPERLINK("https://lsnyc.legalserver.org/matter/dynamic-profile/view/1883436","18-1883436")</f>
        <v>0</v>
      </c>
      <c r="B4270" t="s">
        <v>52</v>
      </c>
      <c r="C4270" t="s">
        <v>340</v>
      </c>
      <c r="D4270" t="s">
        <v>662</v>
      </c>
      <c r="F4270" t="s">
        <v>2983</v>
      </c>
      <c r="G4270" t="s">
        <v>1165</v>
      </c>
      <c r="H4270" t="s">
        <v>12910</v>
      </c>
      <c r="I4270" t="s">
        <v>17322</v>
      </c>
      <c r="J4270" t="s">
        <v>18892</v>
      </c>
      <c r="K4270">
        <v>10452</v>
      </c>
      <c r="L4270" t="s">
        <v>18958</v>
      </c>
      <c r="M4270" t="s">
        <v>18958</v>
      </c>
      <c r="N4270" t="s">
        <v>22142</v>
      </c>
      <c r="O4270" t="s">
        <v>26526</v>
      </c>
      <c r="P4270" t="s">
        <v>26560</v>
      </c>
      <c r="R4270" t="s">
        <v>26578</v>
      </c>
      <c r="S4270" t="s">
        <v>18958</v>
      </c>
      <c r="U4270" t="s">
        <v>26604</v>
      </c>
      <c r="W4270" t="s">
        <v>494</v>
      </c>
      <c r="X4270">
        <v>1477.27</v>
      </c>
      <c r="Y4270" t="s">
        <v>26650</v>
      </c>
      <c r="Z4270" t="s">
        <v>26667</v>
      </c>
      <c r="AB4270" t="s">
        <v>30249</v>
      </c>
      <c r="AD4270" t="s">
        <v>40390</v>
      </c>
      <c r="AE4270">
        <v>41</v>
      </c>
      <c r="AF4270" t="s">
        <v>45541</v>
      </c>
      <c r="AG4270" t="s">
        <v>19330</v>
      </c>
      <c r="AH4270">
        <v>12</v>
      </c>
      <c r="AI4270">
        <v>1</v>
      </c>
      <c r="AJ4270">
        <v>0</v>
      </c>
      <c r="AK4270">
        <v>551.89</v>
      </c>
      <c r="AN4270" t="s">
        <v>7439</v>
      </c>
      <c r="AO4270">
        <v>67000</v>
      </c>
      <c r="AU4270">
        <v>0</v>
      </c>
      <c r="AW4270" t="s">
        <v>46847</v>
      </c>
    </row>
    <row r="4271" spans="1:49">
      <c r="A4271" s="1">
        <f>HYPERLINK("https://lsnyc.legalserver.org/matter/dynamic-profile/view/1883398","18-1883398")</f>
        <v>0</v>
      </c>
      <c r="B4271" t="s">
        <v>52</v>
      </c>
      <c r="C4271" t="s">
        <v>340</v>
      </c>
      <c r="D4271" t="s">
        <v>662</v>
      </c>
      <c r="F4271" t="s">
        <v>871</v>
      </c>
      <c r="G4271" t="s">
        <v>6816</v>
      </c>
      <c r="H4271" t="s">
        <v>12910</v>
      </c>
      <c r="I4271" t="s">
        <v>17316</v>
      </c>
      <c r="J4271" t="s">
        <v>18892</v>
      </c>
      <c r="K4271">
        <v>10452</v>
      </c>
      <c r="L4271" t="s">
        <v>18958</v>
      </c>
      <c r="M4271" t="s">
        <v>18958</v>
      </c>
      <c r="N4271" t="s">
        <v>22142</v>
      </c>
      <c r="O4271" t="s">
        <v>26526</v>
      </c>
      <c r="P4271" t="s">
        <v>26560</v>
      </c>
      <c r="R4271" t="s">
        <v>26578</v>
      </c>
      <c r="S4271" t="s">
        <v>18958</v>
      </c>
      <c r="U4271" t="s">
        <v>26604</v>
      </c>
      <c r="W4271" t="s">
        <v>494</v>
      </c>
      <c r="X4271">
        <v>1677</v>
      </c>
      <c r="Y4271" t="s">
        <v>26650</v>
      </c>
      <c r="Z4271" t="s">
        <v>26663</v>
      </c>
      <c r="AB4271" t="s">
        <v>30250</v>
      </c>
      <c r="AE4271">
        <v>41</v>
      </c>
      <c r="AF4271" t="s">
        <v>45547</v>
      </c>
      <c r="AG4271" t="s">
        <v>19330</v>
      </c>
      <c r="AH4271">
        <v>4</v>
      </c>
      <c r="AI4271">
        <v>2</v>
      </c>
      <c r="AJ4271">
        <v>1</v>
      </c>
      <c r="AK4271">
        <v>673.72</v>
      </c>
      <c r="AN4271" t="s">
        <v>45581</v>
      </c>
      <c r="AO4271">
        <v>140000</v>
      </c>
      <c r="AP4271" t="s">
        <v>45818</v>
      </c>
      <c r="AU4271">
        <v>1</v>
      </c>
      <c r="AV4271" t="s">
        <v>771</v>
      </c>
      <c r="AW4271" t="s">
        <v>46847</v>
      </c>
    </row>
    <row r="4272" spans="1:49">
      <c r="A4272" s="1">
        <f>HYPERLINK("https://lsnyc.legalserver.org/matter/dynamic-profile/view/1884607","18-1884607")</f>
        <v>0</v>
      </c>
      <c r="B4272" t="s">
        <v>63</v>
      </c>
      <c r="C4272" t="s">
        <v>340</v>
      </c>
      <c r="D4272" t="s">
        <v>603</v>
      </c>
      <c r="F4272" t="s">
        <v>1396</v>
      </c>
      <c r="G4272" t="s">
        <v>5094</v>
      </c>
      <c r="H4272" t="s">
        <v>10918</v>
      </c>
      <c r="I4272" t="s">
        <v>18087</v>
      </c>
      <c r="J4272" t="s">
        <v>18892</v>
      </c>
      <c r="K4272">
        <v>10451</v>
      </c>
      <c r="L4272" t="s">
        <v>18958</v>
      </c>
      <c r="M4272" t="s">
        <v>18958</v>
      </c>
      <c r="N4272" t="s">
        <v>22128</v>
      </c>
      <c r="O4272" t="s">
        <v>26526</v>
      </c>
      <c r="P4272" t="s">
        <v>26560</v>
      </c>
      <c r="R4272" t="s">
        <v>26578</v>
      </c>
      <c r="S4272" t="s">
        <v>18958</v>
      </c>
      <c r="U4272" t="s">
        <v>26604</v>
      </c>
      <c r="W4272" t="s">
        <v>494</v>
      </c>
      <c r="X4272">
        <v>1012</v>
      </c>
      <c r="Y4272" t="s">
        <v>26650</v>
      </c>
      <c r="Z4272" t="s">
        <v>26663</v>
      </c>
      <c r="AB4272" t="s">
        <v>30251</v>
      </c>
      <c r="AD4272" t="s">
        <v>40391</v>
      </c>
      <c r="AE4272">
        <v>100</v>
      </c>
      <c r="AF4272" t="s">
        <v>45541</v>
      </c>
      <c r="AG4272" t="s">
        <v>19330</v>
      </c>
      <c r="AH4272">
        <v>21</v>
      </c>
      <c r="AI4272">
        <v>2</v>
      </c>
      <c r="AJ4272">
        <v>0</v>
      </c>
      <c r="AK4272">
        <v>103.28</v>
      </c>
      <c r="AN4272" t="s">
        <v>45581</v>
      </c>
      <c r="AO4272">
        <v>17000</v>
      </c>
      <c r="AU4272">
        <v>0</v>
      </c>
      <c r="AW4272" t="s">
        <v>336</v>
      </c>
    </row>
    <row r="4273" spans="1:49">
      <c r="A4273" s="1">
        <f>HYPERLINK("https://lsnyc.legalserver.org/matter/dynamic-profile/view/1884601","18-1884601")</f>
        <v>0</v>
      </c>
      <c r="B4273" t="s">
        <v>63</v>
      </c>
      <c r="C4273" t="s">
        <v>340</v>
      </c>
      <c r="D4273" t="s">
        <v>603</v>
      </c>
      <c r="F4273" t="s">
        <v>2966</v>
      </c>
      <c r="G4273" t="s">
        <v>5169</v>
      </c>
      <c r="H4273" t="s">
        <v>10918</v>
      </c>
      <c r="J4273" t="s">
        <v>18892</v>
      </c>
      <c r="K4273">
        <v>10451</v>
      </c>
      <c r="L4273" t="s">
        <v>18958</v>
      </c>
      <c r="M4273" t="s">
        <v>18958</v>
      </c>
      <c r="N4273" t="s">
        <v>22128</v>
      </c>
      <c r="O4273" t="s">
        <v>26526</v>
      </c>
      <c r="P4273" t="s">
        <v>26560</v>
      </c>
      <c r="R4273" t="s">
        <v>26578</v>
      </c>
      <c r="S4273" t="s">
        <v>18958</v>
      </c>
      <c r="U4273" t="s">
        <v>26604</v>
      </c>
      <c r="W4273" t="s">
        <v>494</v>
      </c>
      <c r="X4273">
        <v>1140</v>
      </c>
      <c r="Y4273" t="s">
        <v>26650</v>
      </c>
      <c r="Z4273" t="s">
        <v>26663</v>
      </c>
      <c r="AB4273" t="s">
        <v>28401</v>
      </c>
      <c r="AD4273" t="s">
        <v>40392</v>
      </c>
      <c r="AE4273">
        <v>100</v>
      </c>
      <c r="AF4273" t="s">
        <v>45541</v>
      </c>
      <c r="AG4273" t="s">
        <v>45556</v>
      </c>
      <c r="AH4273">
        <v>40</v>
      </c>
      <c r="AI4273">
        <v>2</v>
      </c>
      <c r="AJ4273">
        <v>0</v>
      </c>
      <c r="AK4273">
        <v>193.2</v>
      </c>
      <c r="AN4273" t="s">
        <v>7439</v>
      </c>
      <c r="AO4273">
        <v>31800</v>
      </c>
      <c r="AU4273">
        <v>0</v>
      </c>
      <c r="AW4273" t="s">
        <v>336</v>
      </c>
    </row>
    <row r="4274" spans="1:49">
      <c r="A4274" s="1">
        <f>HYPERLINK("https://lsnyc.legalserver.org/matter/dynamic-profile/view/1884061","18-1884061")</f>
        <v>0</v>
      </c>
      <c r="B4274" t="s">
        <v>52</v>
      </c>
      <c r="C4274" t="s">
        <v>340</v>
      </c>
      <c r="D4274" t="s">
        <v>666</v>
      </c>
      <c r="F4274" t="s">
        <v>2980</v>
      </c>
      <c r="G4274" t="s">
        <v>5199</v>
      </c>
      <c r="H4274" t="s">
        <v>12910</v>
      </c>
      <c r="I4274" t="s">
        <v>17307</v>
      </c>
      <c r="J4274" t="s">
        <v>18892</v>
      </c>
      <c r="K4274">
        <v>10452</v>
      </c>
      <c r="L4274" t="s">
        <v>18958</v>
      </c>
      <c r="M4274" t="s">
        <v>18958</v>
      </c>
      <c r="N4274" t="s">
        <v>22143</v>
      </c>
      <c r="O4274" t="s">
        <v>26523</v>
      </c>
      <c r="P4274" t="s">
        <v>26560</v>
      </c>
      <c r="R4274" t="s">
        <v>26578</v>
      </c>
      <c r="S4274" t="s">
        <v>18959</v>
      </c>
      <c r="U4274" t="s">
        <v>26604</v>
      </c>
      <c r="V4274" t="s">
        <v>26610</v>
      </c>
      <c r="W4274" t="s">
        <v>494</v>
      </c>
      <c r="X4274">
        <v>1519.01</v>
      </c>
      <c r="Y4274" t="s">
        <v>26650</v>
      </c>
      <c r="Z4274" t="s">
        <v>26659</v>
      </c>
      <c r="AB4274" t="s">
        <v>29377</v>
      </c>
      <c r="AC4274" t="s">
        <v>35745</v>
      </c>
      <c r="AD4274" t="s">
        <v>40383</v>
      </c>
      <c r="AE4274">
        <v>41</v>
      </c>
      <c r="AF4274" t="s">
        <v>45541</v>
      </c>
      <c r="AG4274" t="s">
        <v>45558</v>
      </c>
      <c r="AH4274">
        <v>7</v>
      </c>
      <c r="AI4274">
        <v>1</v>
      </c>
      <c r="AJ4274">
        <v>2</v>
      </c>
      <c r="AK4274">
        <v>17.9</v>
      </c>
      <c r="AN4274" t="s">
        <v>7439</v>
      </c>
      <c r="AO4274">
        <v>3720</v>
      </c>
      <c r="AU4274">
        <v>34.65</v>
      </c>
      <c r="AV4274" t="s">
        <v>836</v>
      </c>
      <c r="AW4274" t="s">
        <v>46847</v>
      </c>
    </row>
    <row r="4275" spans="1:49">
      <c r="A4275" s="1">
        <f>HYPERLINK("https://lsnyc.legalserver.org/matter/dynamic-profile/view/1884053","18-1884053")</f>
        <v>0</v>
      </c>
      <c r="B4275" t="s">
        <v>52</v>
      </c>
      <c r="C4275" t="s">
        <v>340</v>
      </c>
      <c r="D4275" t="s">
        <v>666</v>
      </c>
      <c r="F4275" t="s">
        <v>2983</v>
      </c>
      <c r="G4275" t="s">
        <v>1165</v>
      </c>
      <c r="H4275" t="s">
        <v>12910</v>
      </c>
      <c r="I4275" t="s">
        <v>17322</v>
      </c>
      <c r="J4275" t="s">
        <v>18892</v>
      </c>
      <c r="K4275">
        <v>10452</v>
      </c>
      <c r="L4275" t="s">
        <v>18958</v>
      </c>
      <c r="M4275" t="s">
        <v>18958</v>
      </c>
      <c r="N4275" t="s">
        <v>22144</v>
      </c>
      <c r="O4275" t="s">
        <v>26524</v>
      </c>
      <c r="P4275" t="s">
        <v>26560</v>
      </c>
      <c r="R4275" t="s">
        <v>26578</v>
      </c>
      <c r="S4275" t="s">
        <v>18959</v>
      </c>
      <c r="U4275" t="s">
        <v>26604</v>
      </c>
      <c r="V4275" t="s">
        <v>26610</v>
      </c>
      <c r="W4275" t="s">
        <v>494</v>
      </c>
      <c r="X4275">
        <v>1477.27</v>
      </c>
      <c r="Y4275" t="s">
        <v>26650</v>
      </c>
      <c r="Z4275" t="s">
        <v>26659</v>
      </c>
      <c r="AB4275" t="s">
        <v>30249</v>
      </c>
      <c r="AD4275" t="s">
        <v>40390</v>
      </c>
      <c r="AE4275">
        <v>41</v>
      </c>
      <c r="AF4275" t="s">
        <v>45541</v>
      </c>
      <c r="AG4275" t="s">
        <v>19330</v>
      </c>
      <c r="AH4275">
        <v>12</v>
      </c>
      <c r="AI4275">
        <v>1</v>
      </c>
      <c r="AJ4275">
        <v>0</v>
      </c>
      <c r="AK4275">
        <v>551.89</v>
      </c>
      <c r="AN4275" t="s">
        <v>7439</v>
      </c>
      <c r="AO4275">
        <v>67000</v>
      </c>
      <c r="AU4275">
        <v>28.85</v>
      </c>
      <c r="AV4275" t="s">
        <v>772</v>
      </c>
      <c r="AW4275" t="s">
        <v>46847</v>
      </c>
    </row>
    <row r="4276" spans="1:49">
      <c r="A4276" s="1">
        <f>HYPERLINK("https://lsnyc.legalserver.org/matter/dynamic-profile/view/1884751","18-1884751")</f>
        <v>0</v>
      </c>
      <c r="B4276" t="s">
        <v>189</v>
      </c>
      <c r="C4276" t="s">
        <v>341</v>
      </c>
      <c r="D4276" t="s">
        <v>675</v>
      </c>
      <c r="E4276" t="s">
        <v>682</v>
      </c>
      <c r="F4276" t="s">
        <v>1021</v>
      </c>
      <c r="G4276" t="s">
        <v>5110</v>
      </c>
      <c r="H4276" t="s">
        <v>12255</v>
      </c>
      <c r="I4276" t="s">
        <v>17410</v>
      </c>
      <c r="J4276" t="s">
        <v>18892</v>
      </c>
      <c r="K4276">
        <v>10452</v>
      </c>
      <c r="L4276" t="s">
        <v>18958</v>
      </c>
      <c r="M4276" t="s">
        <v>18958</v>
      </c>
      <c r="N4276" t="s">
        <v>22145</v>
      </c>
      <c r="O4276" t="s">
        <v>26523</v>
      </c>
      <c r="P4276" t="s">
        <v>26564</v>
      </c>
      <c r="Q4276" t="s">
        <v>26570</v>
      </c>
      <c r="R4276" t="s">
        <v>26578</v>
      </c>
      <c r="S4276" t="s">
        <v>18959</v>
      </c>
      <c r="U4276" t="s">
        <v>26604</v>
      </c>
      <c r="W4276" t="s">
        <v>494</v>
      </c>
      <c r="X4276">
        <v>925</v>
      </c>
      <c r="Y4276" t="s">
        <v>26650</v>
      </c>
      <c r="Z4276" t="s">
        <v>26663</v>
      </c>
      <c r="AA4276" t="s">
        <v>26683</v>
      </c>
      <c r="AB4276" t="s">
        <v>30252</v>
      </c>
      <c r="AD4276" t="s">
        <v>40393</v>
      </c>
      <c r="AE4276">
        <v>37</v>
      </c>
      <c r="AF4276" t="s">
        <v>45541</v>
      </c>
      <c r="AG4276" t="s">
        <v>19330</v>
      </c>
      <c r="AH4276">
        <v>5</v>
      </c>
      <c r="AI4276">
        <v>2</v>
      </c>
      <c r="AJ4276">
        <v>1</v>
      </c>
      <c r="AK4276">
        <v>125.12</v>
      </c>
      <c r="AN4276" t="s">
        <v>7439</v>
      </c>
      <c r="AO4276">
        <v>26000</v>
      </c>
      <c r="AU4276">
        <v>1.25</v>
      </c>
      <c r="AV4276" t="s">
        <v>682</v>
      </c>
      <c r="AW4276" t="s">
        <v>336</v>
      </c>
    </row>
    <row r="4277" spans="1:49">
      <c r="A4277" s="1">
        <f>HYPERLINK("https://lsnyc.legalserver.org/matter/dynamic-profile/view/1884532","18-1884532")</f>
        <v>0</v>
      </c>
      <c r="B4277" t="s">
        <v>63</v>
      </c>
      <c r="C4277" t="s">
        <v>340</v>
      </c>
      <c r="D4277" t="s">
        <v>678</v>
      </c>
      <c r="F4277" t="s">
        <v>1235</v>
      </c>
      <c r="G4277" t="s">
        <v>5864</v>
      </c>
      <c r="H4277" t="s">
        <v>10918</v>
      </c>
      <c r="I4277" t="s">
        <v>18088</v>
      </c>
      <c r="J4277" t="s">
        <v>18892</v>
      </c>
      <c r="K4277">
        <v>10451</v>
      </c>
      <c r="L4277" t="s">
        <v>18958</v>
      </c>
      <c r="M4277" t="s">
        <v>18958</v>
      </c>
      <c r="N4277" t="s">
        <v>22128</v>
      </c>
      <c r="O4277" t="s">
        <v>26526</v>
      </c>
      <c r="P4277" t="s">
        <v>26560</v>
      </c>
      <c r="R4277" t="s">
        <v>26578</v>
      </c>
      <c r="S4277" t="s">
        <v>18958</v>
      </c>
      <c r="U4277" t="s">
        <v>26604</v>
      </c>
      <c r="W4277" t="s">
        <v>494</v>
      </c>
      <c r="X4277">
        <v>1750</v>
      </c>
      <c r="Y4277" t="s">
        <v>26650</v>
      </c>
      <c r="Z4277" t="s">
        <v>26663</v>
      </c>
      <c r="AB4277" t="s">
        <v>30253</v>
      </c>
      <c r="AD4277" t="s">
        <v>40394</v>
      </c>
      <c r="AE4277">
        <v>100</v>
      </c>
      <c r="AF4277" t="s">
        <v>45548</v>
      </c>
      <c r="AG4277" t="s">
        <v>19330</v>
      </c>
      <c r="AH4277">
        <v>2</v>
      </c>
      <c r="AI4277">
        <v>4</v>
      </c>
      <c r="AJ4277">
        <v>0</v>
      </c>
      <c r="AK4277">
        <v>341.04</v>
      </c>
      <c r="AN4277" t="s">
        <v>45581</v>
      </c>
      <c r="AO4277">
        <v>85600</v>
      </c>
      <c r="AU4277">
        <v>0</v>
      </c>
      <c r="AW4277" t="s">
        <v>336</v>
      </c>
    </row>
    <row r="4278" spans="1:49">
      <c r="A4278" s="1">
        <f>HYPERLINK("https://lsnyc.legalserver.org/matter/dynamic-profile/view/1884730","18-1884730")</f>
        <v>0</v>
      </c>
      <c r="B4278" t="s">
        <v>169</v>
      </c>
      <c r="C4278" t="s">
        <v>340</v>
      </c>
      <c r="D4278" t="s">
        <v>687</v>
      </c>
      <c r="F4278" t="s">
        <v>1771</v>
      </c>
      <c r="G4278" t="s">
        <v>5147</v>
      </c>
      <c r="H4278" t="s">
        <v>10746</v>
      </c>
      <c r="I4278" t="s">
        <v>17995</v>
      </c>
      <c r="J4278" t="s">
        <v>18892</v>
      </c>
      <c r="K4278">
        <v>10457</v>
      </c>
      <c r="L4278" t="s">
        <v>18958</v>
      </c>
      <c r="M4278" t="s">
        <v>18958</v>
      </c>
      <c r="N4278" t="s">
        <v>22137</v>
      </c>
      <c r="O4278" t="s">
        <v>26526</v>
      </c>
      <c r="P4278" t="s">
        <v>26560</v>
      </c>
      <c r="R4278" t="s">
        <v>26578</v>
      </c>
      <c r="S4278" t="s">
        <v>18958</v>
      </c>
      <c r="U4278" t="s">
        <v>26604</v>
      </c>
      <c r="W4278" t="s">
        <v>494</v>
      </c>
      <c r="X4278">
        <v>385</v>
      </c>
      <c r="Y4278" t="s">
        <v>26650</v>
      </c>
      <c r="Z4278" t="s">
        <v>26663</v>
      </c>
      <c r="AB4278" t="s">
        <v>29465</v>
      </c>
      <c r="AD4278" t="s">
        <v>39898</v>
      </c>
      <c r="AE4278">
        <v>47</v>
      </c>
      <c r="AF4278" t="s">
        <v>45541</v>
      </c>
      <c r="AG4278" t="s">
        <v>45556</v>
      </c>
      <c r="AH4278">
        <v>5</v>
      </c>
      <c r="AI4278">
        <v>1</v>
      </c>
      <c r="AJ4278">
        <v>0</v>
      </c>
      <c r="AK4278">
        <v>75.81999999999999</v>
      </c>
      <c r="AN4278" t="s">
        <v>45581</v>
      </c>
      <c r="AO4278">
        <v>9204</v>
      </c>
      <c r="AU4278">
        <v>2.2</v>
      </c>
      <c r="AV4278" t="s">
        <v>811</v>
      </c>
      <c r="AW4278" t="s">
        <v>46847</v>
      </c>
    </row>
    <row r="4279" spans="1:49">
      <c r="A4279" s="1">
        <f>HYPERLINK("https://lsnyc.legalserver.org/matter/dynamic-profile/view/1884681","18-1884681")</f>
        <v>0</v>
      </c>
      <c r="B4279" t="s">
        <v>52</v>
      </c>
      <c r="C4279" t="s">
        <v>340</v>
      </c>
      <c r="D4279" t="s">
        <v>687</v>
      </c>
      <c r="F4279" t="s">
        <v>2984</v>
      </c>
      <c r="G4279" t="s">
        <v>6528</v>
      </c>
      <c r="H4279" t="s">
        <v>12910</v>
      </c>
      <c r="I4279" t="s">
        <v>17283</v>
      </c>
      <c r="J4279" t="s">
        <v>18892</v>
      </c>
      <c r="K4279">
        <v>10452</v>
      </c>
      <c r="L4279" t="s">
        <v>18958</v>
      </c>
      <c r="M4279" t="s">
        <v>18958</v>
      </c>
      <c r="N4279" t="s">
        <v>22142</v>
      </c>
      <c r="O4279" t="s">
        <v>26526</v>
      </c>
      <c r="P4279" t="s">
        <v>26560</v>
      </c>
      <c r="R4279" t="s">
        <v>26578</v>
      </c>
      <c r="S4279" t="s">
        <v>18958</v>
      </c>
      <c r="U4279" t="s">
        <v>26604</v>
      </c>
      <c r="W4279" t="s">
        <v>494</v>
      </c>
      <c r="X4279">
        <v>1024.89</v>
      </c>
      <c r="Y4279" t="s">
        <v>26650</v>
      </c>
      <c r="Z4279" t="s">
        <v>26663</v>
      </c>
      <c r="AB4279" t="s">
        <v>30254</v>
      </c>
      <c r="AE4279">
        <v>41</v>
      </c>
      <c r="AF4279" t="s">
        <v>45541</v>
      </c>
      <c r="AG4279" t="s">
        <v>26530</v>
      </c>
      <c r="AH4279">
        <v>12</v>
      </c>
      <c r="AI4279">
        <v>1</v>
      </c>
      <c r="AJ4279">
        <v>0</v>
      </c>
      <c r="AK4279">
        <v>95.58</v>
      </c>
      <c r="AN4279" t="s">
        <v>45581</v>
      </c>
      <c r="AO4279">
        <v>11604</v>
      </c>
      <c r="AP4279" t="s">
        <v>45818</v>
      </c>
      <c r="AU4279">
        <v>1</v>
      </c>
      <c r="AV4279" t="s">
        <v>574</v>
      </c>
      <c r="AW4279" t="s">
        <v>46847</v>
      </c>
    </row>
    <row r="4280" spans="1:49">
      <c r="A4280" s="1">
        <f>HYPERLINK("https://lsnyc.legalserver.org/matter/dynamic-profile/view/1884699","18-1884699")</f>
        <v>0</v>
      </c>
      <c r="B4280" t="s">
        <v>63</v>
      </c>
      <c r="C4280" t="s">
        <v>340</v>
      </c>
      <c r="D4280" t="s">
        <v>687</v>
      </c>
      <c r="F4280" t="s">
        <v>1944</v>
      </c>
      <c r="G4280" t="s">
        <v>7237</v>
      </c>
      <c r="H4280" t="s">
        <v>10918</v>
      </c>
      <c r="I4280" t="s">
        <v>18089</v>
      </c>
      <c r="J4280" t="s">
        <v>18892</v>
      </c>
      <c r="K4280">
        <v>10451</v>
      </c>
      <c r="L4280" t="s">
        <v>18958</v>
      </c>
      <c r="M4280" t="s">
        <v>18958</v>
      </c>
      <c r="N4280" t="s">
        <v>22128</v>
      </c>
      <c r="O4280" t="s">
        <v>26526</v>
      </c>
      <c r="P4280" t="s">
        <v>26560</v>
      </c>
      <c r="R4280" t="s">
        <v>26578</v>
      </c>
      <c r="S4280" t="s">
        <v>18958</v>
      </c>
      <c r="U4280" t="s">
        <v>26604</v>
      </c>
      <c r="W4280" t="s">
        <v>494</v>
      </c>
      <c r="X4280">
        <v>2030</v>
      </c>
      <c r="Y4280" t="s">
        <v>26650</v>
      </c>
      <c r="Z4280" t="s">
        <v>26668</v>
      </c>
      <c r="AB4280" t="s">
        <v>27620</v>
      </c>
      <c r="AD4280" t="s">
        <v>40395</v>
      </c>
      <c r="AE4280">
        <v>100</v>
      </c>
      <c r="AF4280" t="s">
        <v>45541</v>
      </c>
      <c r="AG4280" t="s">
        <v>45556</v>
      </c>
      <c r="AH4280">
        <v>17</v>
      </c>
      <c r="AI4280">
        <v>2</v>
      </c>
      <c r="AJ4280">
        <v>0</v>
      </c>
      <c r="AK4280">
        <v>108.36</v>
      </c>
      <c r="AN4280" t="s">
        <v>45581</v>
      </c>
      <c r="AO4280">
        <v>17836</v>
      </c>
      <c r="AU4280">
        <v>0</v>
      </c>
      <c r="AW4280" t="s">
        <v>336</v>
      </c>
    </row>
    <row r="4281" spans="1:49">
      <c r="A4281" s="1">
        <f>HYPERLINK("https://lsnyc.legalserver.org/matter/dynamic-profile/view/1885042","18-1885042")</f>
        <v>0</v>
      </c>
      <c r="B4281" t="s">
        <v>135</v>
      </c>
      <c r="C4281" t="s">
        <v>340</v>
      </c>
      <c r="D4281" t="s">
        <v>519</v>
      </c>
      <c r="F4281" t="s">
        <v>1021</v>
      </c>
      <c r="G4281" t="s">
        <v>6129</v>
      </c>
      <c r="H4281" t="s">
        <v>11864</v>
      </c>
      <c r="I4281" t="s">
        <v>18062</v>
      </c>
      <c r="J4281" t="s">
        <v>18892</v>
      </c>
      <c r="K4281">
        <v>10452</v>
      </c>
      <c r="L4281" t="s">
        <v>18958</v>
      </c>
      <c r="M4281" t="s">
        <v>18958</v>
      </c>
      <c r="N4281" t="s">
        <v>22146</v>
      </c>
      <c r="O4281" t="s">
        <v>26528</v>
      </c>
      <c r="P4281" t="s">
        <v>26560</v>
      </c>
      <c r="R4281" t="s">
        <v>26578</v>
      </c>
      <c r="S4281" t="s">
        <v>18958</v>
      </c>
      <c r="U4281" t="s">
        <v>26604</v>
      </c>
      <c r="W4281" t="s">
        <v>494</v>
      </c>
      <c r="X4281">
        <v>996</v>
      </c>
      <c r="Y4281" t="s">
        <v>26650</v>
      </c>
      <c r="Z4281" t="s">
        <v>26663</v>
      </c>
      <c r="AB4281" t="s">
        <v>30182</v>
      </c>
      <c r="AD4281" t="s">
        <v>40323</v>
      </c>
      <c r="AE4281">
        <v>71</v>
      </c>
      <c r="AF4281" t="s">
        <v>45541</v>
      </c>
      <c r="AG4281" t="s">
        <v>19330</v>
      </c>
      <c r="AH4281">
        <v>5</v>
      </c>
      <c r="AI4281">
        <v>2</v>
      </c>
      <c r="AJ4281">
        <v>0</v>
      </c>
      <c r="AK4281">
        <v>105.71</v>
      </c>
      <c r="AN4281" t="s">
        <v>7439</v>
      </c>
      <c r="AO4281">
        <v>17400</v>
      </c>
      <c r="AU4281">
        <v>0</v>
      </c>
      <c r="AW4281" t="s">
        <v>46847</v>
      </c>
    </row>
    <row r="4282" spans="1:49">
      <c r="A4282" s="1">
        <f>HYPERLINK("https://lsnyc.legalserver.org/matter/dynamic-profile/view/1885321","18-1885321")</f>
        <v>0</v>
      </c>
      <c r="B4282" t="s">
        <v>135</v>
      </c>
      <c r="C4282" t="s">
        <v>340</v>
      </c>
      <c r="D4282" t="s">
        <v>683</v>
      </c>
      <c r="F4282" t="s">
        <v>2985</v>
      </c>
      <c r="G4282" t="s">
        <v>5103</v>
      </c>
      <c r="H4282" t="s">
        <v>10136</v>
      </c>
      <c r="I4282" t="s">
        <v>17343</v>
      </c>
      <c r="J4282" t="s">
        <v>18892</v>
      </c>
      <c r="K4282">
        <v>10463</v>
      </c>
      <c r="L4282" t="s">
        <v>18958</v>
      </c>
      <c r="M4282" t="s">
        <v>18958</v>
      </c>
      <c r="N4282" t="s">
        <v>22147</v>
      </c>
      <c r="O4282" t="s">
        <v>26526</v>
      </c>
      <c r="P4282" t="s">
        <v>26560</v>
      </c>
      <c r="R4282" t="s">
        <v>26578</v>
      </c>
      <c r="S4282" t="s">
        <v>18958</v>
      </c>
      <c r="U4282" t="s">
        <v>26604</v>
      </c>
      <c r="W4282" t="s">
        <v>494</v>
      </c>
      <c r="X4282">
        <v>958.35</v>
      </c>
      <c r="Y4282" t="s">
        <v>26650</v>
      </c>
      <c r="Z4282" t="s">
        <v>26663</v>
      </c>
      <c r="AB4282" t="s">
        <v>30255</v>
      </c>
      <c r="AD4282" t="s">
        <v>40396</v>
      </c>
      <c r="AE4282">
        <v>55</v>
      </c>
      <c r="AF4282" t="s">
        <v>45541</v>
      </c>
      <c r="AG4282" t="s">
        <v>19330</v>
      </c>
      <c r="AH4282">
        <v>14</v>
      </c>
      <c r="AI4282">
        <v>2</v>
      </c>
      <c r="AJ4282">
        <v>2</v>
      </c>
      <c r="AK4282">
        <v>46.61</v>
      </c>
      <c r="AN4282" t="s">
        <v>45581</v>
      </c>
      <c r="AO4282">
        <v>11700</v>
      </c>
      <c r="AU4282">
        <v>0</v>
      </c>
      <c r="AW4282" t="s">
        <v>46832</v>
      </c>
    </row>
    <row r="4283" spans="1:49">
      <c r="A4283" s="1">
        <f>HYPERLINK("https://lsnyc.legalserver.org/matter/dynamic-profile/view/1885304","18-1885304")</f>
        <v>0</v>
      </c>
      <c r="B4283" t="s">
        <v>135</v>
      </c>
      <c r="C4283" t="s">
        <v>340</v>
      </c>
      <c r="D4283" t="s">
        <v>683</v>
      </c>
      <c r="F4283" t="s">
        <v>1233</v>
      </c>
      <c r="G4283" t="s">
        <v>7238</v>
      </c>
      <c r="H4283" t="s">
        <v>10136</v>
      </c>
      <c r="I4283" t="s">
        <v>17325</v>
      </c>
      <c r="J4283" t="s">
        <v>18892</v>
      </c>
      <c r="K4283">
        <v>10463</v>
      </c>
      <c r="L4283" t="s">
        <v>18958</v>
      </c>
      <c r="M4283" t="s">
        <v>18958</v>
      </c>
      <c r="N4283" t="s">
        <v>19400</v>
      </c>
      <c r="O4283" t="s">
        <v>26526</v>
      </c>
      <c r="P4283" t="s">
        <v>26560</v>
      </c>
      <c r="R4283" t="s">
        <v>26578</v>
      </c>
      <c r="S4283" t="s">
        <v>18958</v>
      </c>
      <c r="U4283" t="s">
        <v>26604</v>
      </c>
      <c r="W4283" t="s">
        <v>494</v>
      </c>
      <c r="X4283">
        <v>1144.47</v>
      </c>
      <c r="Y4283" t="s">
        <v>26650</v>
      </c>
      <c r="Z4283" t="s">
        <v>26663</v>
      </c>
      <c r="AB4283" t="s">
        <v>30256</v>
      </c>
      <c r="AC4283">
        <v>54522717</v>
      </c>
      <c r="AE4283">
        <v>55</v>
      </c>
      <c r="AF4283" t="s">
        <v>45541</v>
      </c>
      <c r="AG4283" t="s">
        <v>45558</v>
      </c>
      <c r="AH4283">
        <v>13</v>
      </c>
      <c r="AI4283">
        <v>2</v>
      </c>
      <c r="AJ4283">
        <v>1</v>
      </c>
      <c r="AK4283">
        <v>70.28</v>
      </c>
      <c r="AN4283" t="s">
        <v>7439</v>
      </c>
      <c r="AO4283">
        <v>14604</v>
      </c>
      <c r="AP4283" t="s">
        <v>45814</v>
      </c>
      <c r="AU4283">
        <v>0</v>
      </c>
      <c r="AW4283" t="s">
        <v>46832</v>
      </c>
    </row>
    <row r="4284" spans="1:49">
      <c r="A4284" s="1">
        <f>HYPERLINK("https://lsnyc.legalserver.org/matter/dynamic-profile/view/1885367","18-1885367")</f>
        <v>0</v>
      </c>
      <c r="B4284" t="s">
        <v>135</v>
      </c>
      <c r="C4284" t="s">
        <v>340</v>
      </c>
      <c r="D4284" t="s">
        <v>452</v>
      </c>
      <c r="F4284" t="s">
        <v>1047</v>
      </c>
      <c r="G4284" t="s">
        <v>7236</v>
      </c>
      <c r="H4284" t="s">
        <v>10136</v>
      </c>
      <c r="I4284" t="s">
        <v>17356</v>
      </c>
      <c r="J4284" t="s">
        <v>18892</v>
      </c>
      <c r="K4284">
        <v>10463</v>
      </c>
      <c r="L4284" t="s">
        <v>18958</v>
      </c>
      <c r="M4284" t="s">
        <v>18958</v>
      </c>
      <c r="N4284" t="s">
        <v>19400</v>
      </c>
      <c r="O4284" t="s">
        <v>26526</v>
      </c>
      <c r="P4284" t="s">
        <v>26560</v>
      </c>
      <c r="R4284" t="s">
        <v>26578</v>
      </c>
      <c r="S4284" t="s">
        <v>18958</v>
      </c>
      <c r="U4284" t="s">
        <v>26604</v>
      </c>
      <c r="W4284" t="s">
        <v>494</v>
      </c>
      <c r="X4284">
        <v>1530</v>
      </c>
      <c r="Y4284" t="s">
        <v>26650</v>
      </c>
      <c r="Z4284" t="s">
        <v>26663</v>
      </c>
      <c r="AB4284" t="s">
        <v>30257</v>
      </c>
      <c r="AC4284" t="s">
        <v>35746</v>
      </c>
      <c r="AE4284">
        <v>55</v>
      </c>
      <c r="AF4284" t="s">
        <v>45541</v>
      </c>
      <c r="AG4284" t="s">
        <v>26530</v>
      </c>
      <c r="AH4284">
        <v>3</v>
      </c>
      <c r="AI4284">
        <v>1</v>
      </c>
      <c r="AJ4284">
        <v>3</v>
      </c>
      <c r="AK4284">
        <v>70.84999999999999</v>
      </c>
      <c r="AN4284" t="s">
        <v>45581</v>
      </c>
      <c r="AO4284">
        <v>17784</v>
      </c>
      <c r="AU4284">
        <v>0</v>
      </c>
      <c r="AW4284" t="s">
        <v>46832</v>
      </c>
    </row>
    <row r="4285" spans="1:49">
      <c r="A4285" s="1">
        <f>HYPERLINK("https://lsnyc.legalserver.org/matter/dynamic-profile/view/1885402","18-1885402")</f>
        <v>0</v>
      </c>
      <c r="B4285" t="s">
        <v>135</v>
      </c>
      <c r="C4285" t="s">
        <v>340</v>
      </c>
      <c r="D4285" t="s">
        <v>452</v>
      </c>
      <c r="F4285" t="s">
        <v>1637</v>
      </c>
      <c r="G4285" t="s">
        <v>5147</v>
      </c>
      <c r="H4285" t="s">
        <v>10136</v>
      </c>
      <c r="I4285" t="s">
        <v>17410</v>
      </c>
      <c r="J4285" t="s">
        <v>18892</v>
      </c>
      <c r="K4285">
        <v>10463</v>
      </c>
      <c r="L4285" t="s">
        <v>18958</v>
      </c>
      <c r="M4285" t="s">
        <v>18958</v>
      </c>
      <c r="N4285" t="s">
        <v>22147</v>
      </c>
      <c r="O4285" t="s">
        <v>26526</v>
      </c>
      <c r="P4285" t="s">
        <v>26560</v>
      </c>
      <c r="R4285" t="s">
        <v>26578</v>
      </c>
      <c r="S4285" t="s">
        <v>18958</v>
      </c>
      <c r="U4285" t="s">
        <v>26604</v>
      </c>
      <c r="W4285" t="s">
        <v>494</v>
      </c>
      <c r="X4285">
        <v>644</v>
      </c>
      <c r="Y4285" t="s">
        <v>26650</v>
      </c>
      <c r="Z4285" t="s">
        <v>26663</v>
      </c>
      <c r="AB4285" t="s">
        <v>30258</v>
      </c>
      <c r="AD4285" t="s">
        <v>40397</v>
      </c>
      <c r="AE4285">
        <v>55</v>
      </c>
      <c r="AF4285" t="s">
        <v>45548</v>
      </c>
      <c r="AG4285" t="s">
        <v>45559</v>
      </c>
      <c r="AH4285">
        <v>23</v>
      </c>
      <c r="AI4285">
        <v>1</v>
      </c>
      <c r="AJ4285">
        <v>0</v>
      </c>
      <c r="AK4285">
        <v>81.55</v>
      </c>
      <c r="AN4285" t="s">
        <v>45581</v>
      </c>
      <c r="AO4285">
        <v>9900</v>
      </c>
      <c r="AU4285">
        <v>0</v>
      </c>
      <c r="AW4285" t="s">
        <v>46832</v>
      </c>
    </row>
    <row r="4286" spans="1:49">
      <c r="A4286" s="1">
        <f>HYPERLINK("https://lsnyc.legalserver.org/matter/dynamic-profile/view/1885387","18-1885387")</f>
        <v>0</v>
      </c>
      <c r="B4286" t="s">
        <v>135</v>
      </c>
      <c r="C4286" t="s">
        <v>340</v>
      </c>
      <c r="D4286" t="s">
        <v>452</v>
      </c>
      <c r="F4286" t="s">
        <v>2358</v>
      </c>
      <c r="G4286" t="s">
        <v>6864</v>
      </c>
      <c r="H4286" t="s">
        <v>10136</v>
      </c>
      <c r="I4286" t="s">
        <v>17347</v>
      </c>
      <c r="J4286" t="s">
        <v>18892</v>
      </c>
      <c r="K4286">
        <v>10463</v>
      </c>
      <c r="L4286" t="s">
        <v>18958</v>
      </c>
      <c r="M4286" t="s">
        <v>18958</v>
      </c>
      <c r="N4286" t="s">
        <v>19400</v>
      </c>
      <c r="O4286" t="s">
        <v>26526</v>
      </c>
      <c r="P4286" t="s">
        <v>26560</v>
      </c>
      <c r="R4286" t="s">
        <v>26578</v>
      </c>
      <c r="S4286" t="s">
        <v>18958</v>
      </c>
      <c r="U4286" t="s">
        <v>26604</v>
      </c>
      <c r="W4286" t="s">
        <v>494</v>
      </c>
      <c r="X4286">
        <v>1000</v>
      </c>
      <c r="Y4286" t="s">
        <v>26650</v>
      </c>
      <c r="Z4286" t="s">
        <v>26663</v>
      </c>
      <c r="AB4286" t="s">
        <v>30259</v>
      </c>
      <c r="AD4286" t="s">
        <v>40398</v>
      </c>
      <c r="AE4286">
        <v>55</v>
      </c>
      <c r="AF4286" t="s">
        <v>45541</v>
      </c>
      <c r="AG4286" t="s">
        <v>19330</v>
      </c>
      <c r="AH4286">
        <v>9</v>
      </c>
      <c r="AI4286">
        <v>3</v>
      </c>
      <c r="AJ4286">
        <v>1</v>
      </c>
      <c r="AK4286">
        <v>219.12</v>
      </c>
      <c r="AN4286" t="s">
        <v>45581</v>
      </c>
      <c r="AO4286">
        <v>55000</v>
      </c>
      <c r="AU4286">
        <v>0</v>
      </c>
      <c r="AW4286" t="s">
        <v>46832</v>
      </c>
    </row>
    <row r="4287" spans="1:49">
      <c r="A4287" s="1">
        <f>HYPERLINK("https://lsnyc.legalserver.org/matter/dynamic-profile/view/1885359","18-1885359")</f>
        <v>0</v>
      </c>
      <c r="B4287" t="s">
        <v>135</v>
      </c>
      <c r="C4287" t="s">
        <v>340</v>
      </c>
      <c r="D4287" t="s">
        <v>452</v>
      </c>
      <c r="F4287" t="s">
        <v>1545</v>
      </c>
      <c r="G4287" t="s">
        <v>1439</v>
      </c>
      <c r="H4287" t="s">
        <v>10136</v>
      </c>
      <c r="I4287" t="s">
        <v>17389</v>
      </c>
      <c r="J4287" t="s">
        <v>18892</v>
      </c>
      <c r="K4287">
        <v>10463</v>
      </c>
      <c r="L4287" t="s">
        <v>18958</v>
      </c>
      <c r="M4287" t="s">
        <v>18958</v>
      </c>
      <c r="N4287" t="s">
        <v>19400</v>
      </c>
      <c r="O4287" t="s">
        <v>26526</v>
      </c>
      <c r="P4287" t="s">
        <v>26560</v>
      </c>
      <c r="R4287" t="s">
        <v>26578</v>
      </c>
      <c r="S4287" t="s">
        <v>18958</v>
      </c>
      <c r="U4287" t="s">
        <v>26604</v>
      </c>
      <c r="W4287" t="s">
        <v>494</v>
      </c>
      <c r="X4287">
        <v>1047.38</v>
      </c>
      <c r="Y4287" t="s">
        <v>26650</v>
      </c>
      <c r="Z4287" t="s">
        <v>26663</v>
      </c>
      <c r="AB4287" t="s">
        <v>28241</v>
      </c>
      <c r="AE4287">
        <v>55</v>
      </c>
      <c r="AF4287" t="s">
        <v>45541</v>
      </c>
      <c r="AG4287" t="s">
        <v>19330</v>
      </c>
      <c r="AH4287">
        <v>4</v>
      </c>
      <c r="AI4287">
        <v>1</v>
      </c>
      <c r="AJ4287">
        <v>0</v>
      </c>
      <c r="AK4287">
        <v>342.77</v>
      </c>
      <c r="AN4287" t="s">
        <v>7439</v>
      </c>
      <c r="AO4287">
        <v>41611.74</v>
      </c>
      <c r="AP4287" t="s">
        <v>45814</v>
      </c>
      <c r="AU4287">
        <v>0</v>
      </c>
      <c r="AW4287" t="s">
        <v>46832</v>
      </c>
    </row>
    <row r="4288" spans="1:49">
      <c r="A4288" s="1">
        <f>HYPERLINK("https://lsnyc.legalserver.org/matter/dynamic-profile/view/1885512","18-1885512")</f>
        <v>0</v>
      </c>
      <c r="B4288" t="s">
        <v>135</v>
      </c>
      <c r="C4288" t="s">
        <v>340</v>
      </c>
      <c r="D4288" t="s">
        <v>689</v>
      </c>
      <c r="F4288" t="s">
        <v>2986</v>
      </c>
      <c r="G4288" t="s">
        <v>1938</v>
      </c>
      <c r="H4288" t="s">
        <v>10136</v>
      </c>
      <c r="I4288" t="s">
        <v>18090</v>
      </c>
      <c r="J4288" t="s">
        <v>18892</v>
      </c>
      <c r="K4288">
        <v>10463</v>
      </c>
      <c r="L4288" t="s">
        <v>18958</v>
      </c>
      <c r="M4288" t="s">
        <v>18958</v>
      </c>
      <c r="N4288" t="s">
        <v>19400</v>
      </c>
      <c r="O4288" t="s">
        <v>26526</v>
      </c>
      <c r="P4288" t="s">
        <v>26560</v>
      </c>
      <c r="R4288" t="s">
        <v>26578</v>
      </c>
      <c r="S4288" t="s">
        <v>18958</v>
      </c>
      <c r="U4288" t="s">
        <v>26604</v>
      </c>
      <c r="W4288" t="s">
        <v>494</v>
      </c>
      <c r="X4288">
        <v>1074</v>
      </c>
      <c r="Y4288" t="s">
        <v>26650</v>
      </c>
      <c r="Z4288" t="s">
        <v>26663</v>
      </c>
      <c r="AB4288" t="s">
        <v>30260</v>
      </c>
      <c r="AE4288">
        <v>55</v>
      </c>
      <c r="AF4288" t="s">
        <v>45541</v>
      </c>
      <c r="AG4288" t="s">
        <v>19330</v>
      </c>
      <c r="AH4288">
        <v>7</v>
      </c>
      <c r="AI4288">
        <v>2</v>
      </c>
      <c r="AJ4288">
        <v>2</v>
      </c>
      <c r="AK4288">
        <v>135.46</v>
      </c>
      <c r="AN4288" t="s">
        <v>45581</v>
      </c>
      <c r="AO4288">
        <v>34000</v>
      </c>
      <c r="AP4288" t="s">
        <v>45814</v>
      </c>
      <c r="AU4288">
        <v>0</v>
      </c>
      <c r="AW4288" t="s">
        <v>46832</v>
      </c>
    </row>
    <row r="4289" spans="1:49">
      <c r="A4289" s="1">
        <f>HYPERLINK("https://lsnyc.legalserver.org/matter/dynamic-profile/view/1885656","18-1885656")</f>
        <v>0</v>
      </c>
      <c r="B4289" t="s">
        <v>135</v>
      </c>
      <c r="C4289" t="s">
        <v>340</v>
      </c>
      <c r="D4289" t="s">
        <v>691</v>
      </c>
      <c r="F4289" t="s">
        <v>1798</v>
      </c>
      <c r="G4289" t="s">
        <v>5401</v>
      </c>
      <c r="H4289" t="s">
        <v>10136</v>
      </c>
      <c r="I4289" t="s">
        <v>17355</v>
      </c>
      <c r="J4289" t="s">
        <v>18892</v>
      </c>
      <c r="K4289">
        <v>10463</v>
      </c>
      <c r="L4289" t="s">
        <v>18958</v>
      </c>
      <c r="M4289" t="s">
        <v>18958</v>
      </c>
      <c r="N4289" t="s">
        <v>19400</v>
      </c>
      <c r="O4289" t="s">
        <v>26526</v>
      </c>
      <c r="P4289" t="s">
        <v>26560</v>
      </c>
      <c r="R4289" t="s">
        <v>26578</v>
      </c>
      <c r="S4289" t="s">
        <v>18958</v>
      </c>
      <c r="U4289" t="s">
        <v>26604</v>
      </c>
      <c r="W4289" t="s">
        <v>494</v>
      </c>
      <c r="X4289">
        <v>1250</v>
      </c>
      <c r="Y4289" t="s">
        <v>26650</v>
      </c>
      <c r="Z4289" t="s">
        <v>26663</v>
      </c>
      <c r="AB4289" t="s">
        <v>30261</v>
      </c>
      <c r="AD4289" t="s">
        <v>40399</v>
      </c>
      <c r="AE4289">
        <v>55</v>
      </c>
      <c r="AF4289" t="s">
        <v>45541</v>
      </c>
      <c r="AG4289" t="s">
        <v>19330</v>
      </c>
      <c r="AH4289">
        <v>1</v>
      </c>
      <c r="AI4289">
        <v>1</v>
      </c>
      <c r="AJ4289">
        <v>1</v>
      </c>
      <c r="AK4289">
        <v>110.57</v>
      </c>
      <c r="AN4289" t="s">
        <v>45581</v>
      </c>
      <c r="AO4289">
        <v>18200</v>
      </c>
      <c r="AU4289">
        <v>0</v>
      </c>
      <c r="AW4289" t="s">
        <v>46832</v>
      </c>
    </row>
    <row r="4290" spans="1:49">
      <c r="A4290" s="1">
        <f>HYPERLINK("https://lsnyc.legalserver.org/matter/dynamic-profile/view/1885636","18-1885636")</f>
        <v>0</v>
      </c>
      <c r="B4290" t="s">
        <v>135</v>
      </c>
      <c r="C4290" t="s">
        <v>340</v>
      </c>
      <c r="D4290" t="s">
        <v>691</v>
      </c>
      <c r="F4290" t="s">
        <v>2987</v>
      </c>
      <c r="G4290" t="s">
        <v>7239</v>
      </c>
      <c r="H4290" t="s">
        <v>10136</v>
      </c>
      <c r="I4290" t="s">
        <v>17445</v>
      </c>
      <c r="J4290" t="s">
        <v>18892</v>
      </c>
      <c r="K4290">
        <v>10463</v>
      </c>
      <c r="L4290" t="s">
        <v>18958</v>
      </c>
      <c r="M4290" t="s">
        <v>18958</v>
      </c>
      <c r="O4290" t="s">
        <v>26526</v>
      </c>
      <c r="P4290" t="s">
        <v>26564</v>
      </c>
      <c r="R4290" t="s">
        <v>26578</v>
      </c>
      <c r="S4290" t="s">
        <v>18958</v>
      </c>
      <c r="U4290" t="s">
        <v>26604</v>
      </c>
      <c r="W4290" t="s">
        <v>494</v>
      </c>
      <c r="X4290">
        <v>1300</v>
      </c>
      <c r="Y4290" t="s">
        <v>26650</v>
      </c>
      <c r="Z4290" t="s">
        <v>26663</v>
      </c>
      <c r="AB4290" t="s">
        <v>30262</v>
      </c>
      <c r="AE4290">
        <v>55</v>
      </c>
      <c r="AF4290" t="s">
        <v>45541</v>
      </c>
      <c r="AG4290" t="s">
        <v>19330</v>
      </c>
      <c r="AH4290">
        <v>3</v>
      </c>
      <c r="AI4290">
        <v>2</v>
      </c>
      <c r="AJ4290">
        <v>1</v>
      </c>
      <c r="AK4290">
        <v>322.43</v>
      </c>
      <c r="AN4290" t="s">
        <v>7439</v>
      </c>
      <c r="AO4290">
        <v>67000</v>
      </c>
      <c r="AP4290" t="s">
        <v>45814</v>
      </c>
      <c r="AU4290">
        <v>0</v>
      </c>
      <c r="AW4290" t="s">
        <v>46832</v>
      </c>
    </row>
    <row r="4291" spans="1:49">
      <c r="A4291" s="1">
        <f>HYPERLINK("https://lsnyc.legalserver.org/matter/dynamic-profile/view/1886131","18-1886131")</f>
        <v>0</v>
      </c>
      <c r="B4291" t="s">
        <v>169</v>
      </c>
      <c r="C4291" t="s">
        <v>340</v>
      </c>
      <c r="D4291" t="s">
        <v>692</v>
      </c>
      <c r="F4291" t="s">
        <v>1994</v>
      </c>
      <c r="G4291" t="s">
        <v>7240</v>
      </c>
      <c r="H4291" t="s">
        <v>10746</v>
      </c>
      <c r="I4291" t="s">
        <v>18091</v>
      </c>
      <c r="J4291" t="s">
        <v>18892</v>
      </c>
      <c r="K4291">
        <v>10457</v>
      </c>
      <c r="L4291" t="s">
        <v>18958</v>
      </c>
      <c r="M4291" t="s">
        <v>18958</v>
      </c>
      <c r="N4291" t="s">
        <v>22137</v>
      </c>
      <c r="O4291" t="s">
        <v>26526</v>
      </c>
      <c r="P4291" t="s">
        <v>26560</v>
      </c>
      <c r="R4291" t="s">
        <v>26578</v>
      </c>
      <c r="S4291" t="s">
        <v>18958</v>
      </c>
      <c r="U4291" t="s">
        <v>26604</v>
      </c>
      <c r="W4291" t="s">
        <v>494</v>
      </c>
      <c r="X4291">
        <v>186</v>
      </c>
      <c r="Y4291" t="s">
        <v>26650</v>
      </c>
      <c r="Z4291" t="s">
        <v>26663</v>
      </c>
      <c r="AB4291" t="s">
        <v>30263</v>
      </c>
      <c r="AD4291" t="s">
        <v>40400</v>
      </c>
      <c r="AE4291">
        <v>48</v>
      </c>
      <c r="AF4291" t="s">
        <v>20460</v>
      </c>
      <c r="AG4291" t="s">
        <v>45556</v>
      </c>
      <c r="AH4291">
        <v>5</v>
      </c>
      <c r="AI4291">
        <v>1</v>
      </c>
      <c r="AJ4291">
        <v>0</v>
      </c>
      <c r="AK4291">
        <v>0</v>
      </c>
      <c r="AN4291" t="s">
        <v>45581</v>
      </c>
      <c r="AO4291">
        <v>0</v>
      </c>
      <c r="AU4291">
        <v>1</v>
      </c>
      <c r="AV4291" t="s">
        <v>692</v>
      </c>
      <c r="AW4291" t="s">
        <v>226</v>
      </c>
    </row>
    <row r="4292" spans="1:49">
      <c r="A4292" s="1">
        <f>HYPERLINK("https://lsnyc.legalserver.org/matter/dynamic-profile/view/1886128","18-1886128")</f>
        <v>0</v>
      </c>
      <c r="B4292" t="s">
        <v>169</v>
      </c>
      <c r="C4292" t="s">
        <v>340</v>
      </c>
      <c r="D4292" t="s">
        <v>692</v>
      </c>
      <c r="F4292" t="s">
        <v>1001</v>
      </c>
      <c r="G4292" t="s">
        <v>7241</v>
      </c>
      <c r="H4292" t="s">
        <v>10746</v>
      </c>
      <c r="I4292" t="s">
        <v>17309</v>
      </c>
      <c r="J4292" t="s">
        <v>18892</v>
      </c>
      <c r="K4292">
        <v>10457</v>
      </c>
      <c r="L4292" t="s">
        <v>18958</v>
      </c>
      <c r="M4292" t="s">
        <v>18958</v>
      </c>
      <c r="N4292" t="s">
        <v>22137</v>
      </c>
      <c r="O4292" t="s">
        <v>26526</v>
      </c>
      <c r="P4292" t="s">
        <v>26560</v>
      </c>
      <c r="R4292" t="s">
        <v>26578</v>
      </c>
      <c r="S4292" t="s">
        <v>18958</v>
      </c>
      <c r="U4292" t="s">
        <v>26604</v>
      </c>
      <c r="W4292" t="s">
        <v>494</v>
      </c>
      <c r="X4292">
        <v>1022.34</v>
      </c>
      <c r="Y4292" t="s">
        <v>26650</v>
      </c>
      <c r="Z4292" t="s">
        <v>26663</v>
      </c>
      <c r="AB4292" t="s">
        <v>30264</v>
      </c>
      <c r="AD4292" t="s">
        <v>40401</v>
      </c>
      <c r="AE4292">
        <v>48</v>
      </c>
      <c r="AF4292" t="s">
        <v>45541</v>
      </c>
      <c r="AG4292" t="s">
        <v>45556</v>
      </c>
      <c r="AH4292">
        <v>15</v>
      </c>
      <c r="AI4292">
        <v>1</v>
      </c>
      <c r="AJ4292">
        <v>0</v>
      </c>
      <c r="AK4292">
        <v>182.04</v>
      </c>
      <c r="AN4292" t="s">
        <v>45581</v>
      </c>
      <c r="AO4292">
        <v>22100</v>
      </c>
      <c r="AU4292">
        <v>2.1</v>
      </c>
      <c r="AV4292" t="s">
        <v>811</v>
      </c>
      <c r="AW4292" t="s">
        <v>226</v>
      </c>
    </row>
    <row r="4293" spans="1:49">
      <c r="A4293" s="1">
        <f>HYPERLINK("https://lsnyc.legalserver.org/matter/dynamic-profile/view/1886102","18-1886102")</f>
        <v>0</v>
      </c>
      <c r="B4293" t="s">
        <v>67</v>
      </c>
      <c r="C4293" t="s">
        <v>340</v>
      </c>
      <c r="D4293" t="s">
        <v>692</v>
      </c>
      <c r="F4293" t="s">
        <v>1858</v>
      </c>
      <c r="G4293" t="s">
        <v>6040</v>
      </c>
      <c r="H4293" t="s">
        <v>10156</v>
      </c>
      <c r="I4293" t="s">
        <v>17691</v>
      </c>
      <c r="J4293" t="s">
        <v>18892</v>
      </c>
      <c r="K4293">
        <v>10456</v>
      </c>
      <c r="L4293" t="s">
        <v>18958</v>
      </c>
      <c r="M4293" t="s">
        <v>18958</v>
      </c>
      <c r="N4293" t="s">
        <v>20062</v>
      </c>
      <c r="O4293" t="s">
        <v>26534</v>
      </c>
      <c r="P4293" t="s">
        <v>26561</v>
      </c>
      <c r="R4293" t="s">
        <v>26578</v>
      </c>
      <c r="S4293" t="s">
        <v>18958</v>
      </c>
      <c r="U4293" t="s">
        <v>26604</v>
      </c>
      <c r="W4293" t="s">
        <v>494</v>
      </c>
      <c r="X4293">
        <v>820</v>
      </c>
      <c r="Y4293" t="s">
        <v>26650</v>
      </c>
      <c r="Z4293" t="s">
        <v>26663</v>
      </c>
      <c r="AB4293" t="s">
        <v>27646</v>
      </c>
      <c r="AC4293">
        <v>6629815</v>
      </c>
      <c r="AE4293">
        <v>131</v>
      </c>
      <c r="AF4293" t="s">
        <v>45541</v>
      </c>
      <c r="AG4293" t="s">
        <v>45557</v>
      </c>
      <c r="AH4293">
        <v>9</v>
      </c>
      <c r="AI4293">
        <v>1</v>
      </c>
      <c r="AJ4293">
        <v>3</v>
      </c>
      <c r="AK4293">
        <v>20.3</v>
      </c>
      <c r="AN4293" t="s">
        <v>7439</v>
      </c>
      <c r="AO4293">
        <v>5096</v>
      </c>
      <c r="AU4293">
        <v>0</v>
      </c>
      <c r="AW4293" t="s">
        <v>336</v>
      </c>
    </row>
    <row r="4294" spans="1:49">
      <c r="A4294" s="1">
        <f>HYPERLINK("https://lsnyc.legalserver.org/matter/dynamic-profile/view/1886112","18-1886112")</f>
        <v>0</v>
      </c>
      <c r="B4294" t="s">
        <v>67</v>
      </c>
      <c r="C4294" t="s">
        <v>340</v>
      </c>
      <c r="D4294" t="s">
        <v>692</v>
      </c>
      <c r="F4294" t="s">
        <v>1859</v>
      </c>
      <c r="G4294" t="s">
        <v>6041</v>
      </c>
      <c r="H4294" t="s">
        <v>10156</v>
      </c>
      <c r="I4294" t="s">
        <v>17425</v>
      </c>
      <c r="J4294" t="s">
        <v>18892</v>
      </c>
      <c r="K4294">
        <v>10456</v>
      </c>
      <c r="L4294" t="s">
        <v>18958</v>
      </c>
      <c r="M4294" t="s">
        <v>18958</v>
      </c>
      <c r="N4294" t="s">
        <v>20062</v>
      </c>
      <c r="O4294" t="s">
        <v>26534</v>
      </c>
      <c r="P4294" t="s">
        <v>26561</v>
      </c>
      <c r="R4294" t="s">
        <v>26578</v>
      </c>
      <c r="S4294" t="s">
        <v>18958</v>
      </c>
      <c r="U4294" t="s">
        <v>26604</v>
      </c>
      <c r="W4294" t="s">
        <v>494</v>
      </c>
      <c r="X4294">
        <v>1227</v>
      </c>
      <c r="Y4294" t="s">
        <v>26650</v>
      </c>
      <c r="Z4294" t="s">
        <v>26663</v>
      </c>
      <c r="AB4294" t="s">
        <v>28133</v>
      </c>
      <c r="AD4294" t="s">
        <v>38182</v>
      </c>
      <c r="AE4294">
        <v>131</v>
      </c>
      <c r="AF4294" t="s">
        <v>45541</v>
      </c>
      <c r="AG4294" t="s">
        <v>45556</v>
      </c>
      <c r="AH4294">
        <v>9</v>
      </c>
      <c r="AI4294">
        <v>2</v>
      </c>
      <c r="AJ4294">
        <v>3</v>
      </c>
      <c r="AK4294">
        <v>42.18</v>
      </c>
      <c r="AN4294" t="s">
        <v>45581</v>
      </c>
      <c r="AO4294">
        <v>12408</v>
      </c>
      <c r="AU4294">
        <v>0</v>
      </c>
      <c r="AW4294" t="s">
        <v>336</v>
      </c>
    </row>
    <row r="4295" spans="1:49">
      <c r="A4295" s="1">
        <f>HYPERLINK("https://lsnyc.legalserver.org/matter/dynamic-profile/view/1886108","18-1886108")</f>
        <v>0</v>
      </c>
      <c r="B4295" t="s">
        <v>67</v>
      </c>
      <c r="C4295" t="s">
        <v>340</v>
      </c>
      <c r="D4295" t="s">
        <v>692</v>
      </c>
      <c r="F4295" t="s">
        <v>990</v>
      </c>
      <c r="G4295" t="s">
        <v>5977</v>
      </c>
      <c r="H4295" t="s">
        <v>10156</v>
      </c>
      <c r="I4295" t="s">
        <v>17327</v>
      </c>
      <c r="J4295" t="s">
        <v>18892</v>
      </c>
      <c r="K4295">
        <v>10456</v>
      </c>
      <c r="L4295" t="s">
        <v>18958</v>
      </c>
      <c r="M4295" t="s">
        <v>18958</v>
      </c>
      <c r="N4295" t="s">
        <v>20062</v>
      </c>
      <c r="O4295" t="s">
        <v>26534</v>
      </c>
      <c r="P4295" t="s">
        <v>26561</v>
      </c>
      <c r="R4295" t="s">
        <v>26578</v>
      </c>
      <c r="S4295" t="s">
        <v>18958</v>
      </c>
      <c r="U4295" t="s">
        <v>26604</v>
      </c>
      <c r="W4295" t="s">
        <v>494</v>
      </c>
      <c r="X4295">
        <v>947.5</v>
      </c>
      <c r="Y4295" t="s">
        <v>26650</v>
      </c>
      <c r="Z4295" t="s">
        <v>26663</v>
      </c>
      <c r="AB4295" t="s">
        <v>28021</v>
      </c>
      <c r="AD4295" t="s">
        <v>38070</v>
      </c>
      <c r="AE4295">
        <v>131</v>
      </c>
      <c r="AF4295" t="s">
        <v>45541</v>
      </c>
      <c r="AG4295" t="s">
        <v>19330</v>
      </c>
      <c r="AH4295">
        <v>25</v>
      </c>
      <c r="AI4295">
        <v>2</v>
      </c>
      <c r="AJ4295">
        <v>0</v>
      </c>
      <c r="AK4295">
        <v>109.36</v>
      </c>
      <c r="AN4295" t="s">
        <v>7439</v>
      </c>
      <c r="AO4295">
        <v>18000</v>
      </c>
      <c r="AU4295">
        <v>0</v>
      </c>
      <c r="AW4295" t="s">
        <v>336</v>
      </c>
    </row>
    <row r="4296" spans="1:49">
      <c r="A4296" s="1">
        <f>HYPERLINK("https://lsnyc.legalserver.org/matter/dynamic-profile/view/1886111","18-1886111")</f>
        <v>0</v>
      </c>
      <c r="B4296" t="s">
        <v>67</v>
      </c>
      <c r="C4296" t="s">
        <v>340</v>
      </c>
      <c r="D4296" t="s">
        <v>692</v>
      </c>
      <c r="F4296" t="s">
        <v>2988</v>
      </c>
      <c r="G4296" t="s">
        <v>6487</v>
      </c>
      <c r="H4296" t="s">
        <v>10156</v>
      </c>
      <c r="I4296" t="s">
        <v>17424</v>
      </c>
      <c r="J4296" t="s">
        <v>18892</v>
      </c>
      <c r="K4296">
        <v>10456</v>
      </c>
      <c r="L4296" t="s">
        <v>18958</v>
      </c>
      <c r="M4296" t="s">
        <v>18958</v>
      </c>
      <c r="N4296" t="s">
        <v>20062</v>
      </c>
      <c r="O4296" t="s">
        <v>26534</v>
      </c>
      <c r="P4296" t="s">
        <v>26561</v>
      </c>
      <c r="R4296" t="s">
        <v>26578</v>
      </c>
      <c r="S4296" t="s">
        <v>18958</v>
      </c>
      <c r="U4296" t="s">
        <v>26604</v>
      </c>
      <c r="W4296" t="s">
        <v>494</v>
      </c>
      <c r="X4296">
        <v>560</v>
      </c>
      <c r="Y4296" t="s">
        <v>26650</v>
      </c>
      <c r="Z4296" t="s">
        <v>26663</v>
      </c>
      <c r="AB4296" t="s">
        <v>30265</v>
      </c>
      <c r="AD4296" t="s">
        <v>40402</v>
      </c>
      <c r="AE4296">
        <v>131</v>
      </c>
      <c r="AF4296" t="s">
        <v>45541</v>
      </c>
      <c r="AG4296" t="s">
        <v>19330</v>
      </c>
      <c r="AH4296">
        <v>25</v>
      </c>
      <c r="AI4296">
        <v>3</v>
      </c>
      <c r="AJ4296">
        <v>0</v>
      </c>
      <c r="AK4296">
        <v>144.37</v>
      </c>
      <c r="AN4296" t="s">
        <v>7439</v>
      </c>
      <c r="AO4296">
        <v>30000</v>
      </c>
      <c r="AP4296" t="s">
        <v>45819</v>
      </c>
      <c r="AU4296">
        <v>0</v>
      </c>
      <c r="AW4296" t="s">
        <v>336</v>
      </c>
    </row>
    <row r="4297" spans="1:49">
      <c r="A4297" s="1">
        <f>HYPERLINK("https://lsnyc.legalserver.org/matter/dynamic-profile/view/1886106","18-1886106")</f>
        <v>0</v>
      </c>
      <c r="B4297" t="s">
        <v>67</v>
      </c>
      <c r="C4297" t="s">
        <v>340</v>
      </c>
      <c r="D4297" t="s">
        <v>692</v>
      </c>
      <c r="F4297" t="s">
        <v>1786</v>
      </c>
      <c r="G4297" t="s">
        <v>5026</v>
      </c>
      <c r="H4297" t="s">
        <v>10156</v>
      </c>
      <c r="I4297" t="s">
        <v>17272</v>
      </c>
      <c r="J4297" t="s">
        <v>18892</v>
      </c>
      <c r="K4297">
        <v>10456</v>
      </c>
      <c r="L4297" t="s">
        <v>18958</v>
      </c>
      <c r="M4297" t="s">
        <v>18958</v>
      </c>
      <c r="N4297" t="s">
        <v>20062</v>
      </c>
      <c r="O4297" t="s">
        <v>26534</v>
      </c>
      <c r="P4297" t="s">
        <v>26561</v>
      </c>
      <c r="R4297" t="s">
        <v>26578</v>
      </c>
      <c r="S4297" t="s">
        <v>18958</v>
      </c>
      <c r="U4297" t="s">
        <v>26604</v>
      </c>
      <c r="W4297" t="s">
        <v>494</v>
      </c>
      <c r="X4297">
        <v>886</v>
      </c>
      <c r="Y4297" t="s">
        <v>26650</v>
      </c>
      <c r="Z4297" t="s">
        <v>26663</v>
      </c>
      <c r="AB4297" t="s">
        <v>28023</v>
      </c>
      <c r="AD4297" t="s">
        <v>38072</v>
      </c>
      <c r="AE4297">
        <v>131</v>
      </c>
      <c r="AF4297" t="s">
        <v>45541</v>
      </c>
      <c r="AG4297" t="s">
        <v>19330</v>
      </c>
      <c r="AH4297">
        <v>28</v>
      </c>
      <c r="AI4297">
        <v>2</v>
      </c>
      <c r="AJ4297">
        <v>0</v>
      </c>
      <c r="AK4297">
        <v>255.16</v>
      </c>
      <c r="AN4297" t="s">
        <v>7439</v>
      </c>
      <c r="AO4297">
        <v>42000</v>
      </c>
      <c r="AU4297">
        <v>0</v>
      </c>
      <c r="AW4297" t="s">
        <v>336</v>
      </c>
    </row>
    <row r="4298" spans="1:49">
      <c r="A4298" s="1">
        <f>HYPERLINK("https://lsnyc.legalserver.org/matter/dynamic-profile/view/1886133","18-1886133")</f>
        <v>0</v>
      </c>
      <c r="B4298" t="s">
        <v>67</v>
      </c>
      <c r="C4298" t="s">
        <v>340</v>
      </c>
      <c r="D4298" t="s">
        <v>692</v>
      </c>
      <c r="F4298" t="s">
        <v>2989</v>
      </c>
      <c r="G4298" t="s">
        <v>5337</v>
      </c>
      <c r="H4298" t="s">
        <v>10156</v>
      </c>
      <c r="I4298" t="s">
        <v>17358</v>
      </c>
      <c r="J4298" t="s">
        <v>18892</v>
      </c>
      <c r="K4298">
        <v>10456</v>
      </c>
      <c r="L4298" t="s">
        <v>18958</v>
      </c>
      <c r="M4298" t="s">
        <v>18958</v>
      </c>
      <c r="N4298" t="s">
        <v>20062</v>
      </c>
      <c r="O4298" t="s">
        <v>26534</v>
      </c>
      <c r="P4298" t="s">
        <v>26561</v>
      </c>
      <c r="R4298" t="s">
        <v>26578</v>
      </c>
      <c r="S4298" t="s">
        <v>18958</v>
      </c>
      <c r="U4298" t="s">
        <v>26604</v>
      </c>
      <c r="W4298" t="s">
        <v>494</v>
      </c>
      <c r="X4298">
        <v>889.6</v>
      </c>
      <c r="Y4298" t="s">
        <v>26650</v>
      </c>
      <c r="Z4298" t="s">
        <v>26663</v>
      </c>
      <c r="AB4298" t="s">
        <v>30266</v>
      </c>
      <c r="AD4298" t="s">
        <v>40403</v>
      </c>
      <c r="AE4298">
        <v>131</v>
      </c>
      <c r="AF4298" t="s">
        <v>45541</v>
      </c>
      <c r="AG4298" t="s">
        <v>19330</v>
      </c>
      <c r="AH4298">
        <v>26</v>
      </c>
      <c r="AI4298">
        <v>1</v>
      </c>
      <c r="AJ4298">
        <v>0</v>
      </c>
      <c r="AK4298">
        <v>263.59</v>
      </c>
      <c r="AN4298" t="s">
        <v>7439</v>
      </c>
      <c r="AO4298">
        <v>32000</v>
      </c>
      <c r="AU4298">
        <v>0</v>
      </c>
      <c r="AW4298" t="s">
        <v>336</v>
      </c>
    </row>
    <row r="4299" spans="1:49">
      <c r="A4299" s="1">
        <f>HYPERLINK("https://lsnyc.legalserver.org/matter/dynamic-profile/view/1886336","18-1886336")</f>
        <v>0</v>
      </c>
      <c r="B4299" t="s">
        <v>188</v>
      </c>
      <c r="C4299" t="s">
        <v>341</v>
      </c>
      <c r="D4299" t="s">
        <v>703</v>
      </c>
      <c r="E4299" t="s">
        <v>827</v>
      </c>
      <c r="F4299" t="s">
        <v>2898</v>
      </c>
      <c r="G4299" t="s">
        <v>7105</v>
      </c>
      <c r="H4299" t="s">
        <v>11980</v>
      </c>
      <c r="I4299" t="s">
        <v>17343</v>
      </c>
      <c r="J4299" t="s">
        <v>18892</v>
      </c>
      <c r="K4299">
        <v>10459</v>
      </c>
      <c r="L4299" t="s">
        <v>18958</v>
      </c>
      <c r="M4299" t="s">
        <v>18958</v>
      </c>
      <c r="O4299" t="s">
        <v>26526</v>
      </c>
      <c r="P4299" t="s">
        <v>26560</v>
      </c>
      <c r="Q4299" t="s">
        <v>26571</v>
      </c>
      <c r="R4299" t="s">
        <v>26578</v>
      </c>
      <c r="S4299" t="s">
        <v>18958</v>
      </c>
      <c r="U4299" t="s">
        <v>26604</v>
      </c>
      <c r="W4299" t="s">
        <v>494</v>
      </c>
      <c r="X4299">
        <v>1442</v>
      </c>
      <c r="Y4299" t="s">
        <v>26650</v>
      </c>
      <c r="Z4299" t="s">
        <v>26663</v>
      </c>
      <c r="AA4299" t="s">
        <v>26682</v>
      </c>
      <c r="AB4299" t="s">
        <v>30083</v>
      </c>
      <c r="AC4299" t="s">
        <v>35692</v>
      </c>
      <c r="AD4299" t="s">
        <v>40214</v>
      </c>
      <c r="AE4299">
        <v>42</v>
      </c>
      <c r="AF4299" t="s">
        <v>45543</v>
      </c>
      <c r="AG4299" t="s">
        <v>45563</v>
      </c>
      <c r="AH4299">
        <v>23</v>
      </c>
      <c r="AI4299">
        <v>2</v>
      </c>
      <c r="AJ4299">
        <v>2</v>
      </c>
      <c r="AK4299">
        <v>66.93000000000001</v>
      </c>
      <c r="AN4299" t="s">
        <v>7439</v>
      </c>
      <c r="AO4299">
        <v>16800</v>
      </c>
      <c r="AU4299">
        <v>1.25</v>
      </c>
      <c r="AV4299" t="s">
        <v>797</v>
      </c>
      <c r="AW4299" t="s">
        <v>336</v>
      </c>
    </row>
    <row r="4300" spans="1:49">
      <c r="A4300" s="1">
        <f>HYPERLINK("https://lsnyc.legalserver.org/matter/dynamic-profile/view/1886339","18-1886339")</f>
        <v>0</v>
      </c>
      <c r="B4300" t="s">
        <v>67</v>
      </c>
      <c r="C4300" t="s">
        <v>340</v>
      </c>
      <c r="D4300" t="s">
        <v>703</v>
      </c>
      <c r="F4300" t="s">
        <v>1861</v>
      </c>
      <c r="G4300" t="s">
        <v>5447</v>
      </c>
      <c r="H4300" t="s">
        <v>10156</v>
      </c>
      <c r="I4300" t="s">
        <v>17348</v>
      </c>
      <c r="J4300" t="s">
        <v>18892</v>
      </c>
      <c r="K4300">
        <v>10456</v>
      </c>
      <c r="L4300" t="s">
        <v>18958</v>
      </c>
      <c r="M4300" t="s">
        <v>18958</v>
      </c>
      <c r="N4300" t="s">
        <v>20062</v>
      </c>
      <c r="O4300" t="s">
        <v>26534</v>
      </c>
      <c r="P4300" t="s">
        <v>26561</v>
      </c>
      <c r="R4300" t="s">
        <v>26578</v>
      </c>
      <c r="S4300" t="s">
        <v>18958</v>
      </c>
      <c r="U4300" t="s">
        <v>26604</v>
      </c>
      <c r="W4300" t="s">
        <v>494</v>
      </c>
      <c r="X4300">
        <v>1047</v>
      </c>
      <c r="Y4300" t="s">
        <v>26650</v>
      </c>
      <c r="Z4300" t="s">
        <v>26663</v>
      </c>
      <c r="AB4300" t="s">
        <v>28136</v>
      </c>
      <c r="AD4300" t="s">
        <v>38185</v>
      </c>
      <c r="AE4300">
        <v>131</v>
      </c>
      <c r="AF4300" t="s">
        <v>45541</v>
      </c>
      <c r="AG4300" t="s">
        <v>19330</v>
      </c>
      <c r="AH4300">
        <v>13</v>
      </c>
      <c r="AI4300">
        <v>2</v>
      </c>
      <c r="AJ4300">
        <v>0</v>
      </c>
      <c r="AK4300">
        <v>61.02</v>
      </c>
      <c r="AN4300" t="s">
        <v>45581</v>
      </c>
      <c r="AO4300">
        <v>10044</v>
      </c>
      <c r="AU4300">
        <v>0</v>
      </c>
      <c r="AW4300" t="s">
        <v>336</v>
      </c>
    </row>
    <row r="4301" spans="1:49">
      <c r="A4301" s="1">
        <f>HYPERLINK("https://lsnyc.legalserver.org/matter/dynamic-profile/view/1886347","18-1886347")</f>
        <v>0</v>
      </c>
      <c r="B4301" t="s">
        <v>67</v>
      </c>
      <c r="C4301" t="s">
        <v>340</v>
      </c>
      <c r="D4301" t="s">
        <v>703</v>
      </c>
      <c r="F4301" t="s">
        <v>1860</v>
      </c>
      <c r="G4301" t="s">
        <v>5311</v>
      </c>
      <c r="H4301" t="s">
        <v>10156</v>
      </c>
      <c r="J4301" t="s">
        <v>18892</v>
      </c>
      <c r="K4301">
        <v>10456</v>
      </c>
      <c r="L4301" t="s">
        <v>18958</v>
      </c>
      <c r="M4301" t="s">
        <v>18958</v>
      </c>
      <c r="N4301" t="s">
        <v>20062</v>
      </c>
      <c r="O4301" t="s">
        <v>26534</v>
      </c>
      <c r="P4301" t="s">
        <v>26561</v>
      </c>
      <c r="R4301" t="s">
        <v>26578</v>
      </c>
      <c r="S4301" t="s">
        <v>18958</v>
      </c>
      <c r="U4301" t="s">
        <v>26604</v>
      </c>
      <c r="W4301" t="s">
        <v>494</v>
      </c>
      <c r="X4301">
        <v>1238.23</v>
      </c>
      <c r="Y4301" t="s">
        <v>26650</v>
      </c>
      <c r="Z4301" t="s">
        <v>26663</v>
      </c>
      <c r="AB4301" t="s">
        <v>28134</v>
      </c>
      <c r="AD4301" t="s">
        <v>38183</v>
      </c>
      <c r="AE4301">
        <v>131</v>
      </c>
      <c r="AF4301" t="s">
        <v>45541</v>
      </c>
      <c r="AG4301" t="s">
        <v>19330</v>
      </c>
      <c r="AH4301">
        <v>10</v>
      </c>
      <c r="AI4301">
        <v>1</v>
      </c>
      <c r="AJ4301">
        <v>1</v>
      </c>
      <c r="AK4301">
        <v>78.98</v>
      </c>
      <c r="AN4301" t="s">
        <v>7439</v>
      </c>
      <c r="AO4301">
        <v>13000</v>
      </c>
      <c r="AU4301">
        <v>0</v>
      </c>
      <c r="AW4301" t="s">
        <v>336</v>
      </c>
    </row>
    <row r="4302" spans="1:49">
      <c r="A4302" s="1">
        <f>HYPERLINK("https://lsnyc.legalserver.org/matter/dynamic-profile/view/1886482","18-1886482")</f>
        <v>0</v>
      </c>
      <c r="B4302" t="s">
        <v>140</v>
      </c>
      <c r="C4302" t="s">
        <v>341</v>
      </c>
      <c r="D4302" t="s">
        <v>706</v>
      </c>
      <c r="E4302" t="s">
        <v>494</v>
      </c>
      <c r="F4302" t="s">
        <v>2990</v>
      </c>
      <c r="G4302" t="s">
        <v>7242</v>
      </c>
      <c r="H4302" t="s">
        <v>9896</v>
      </c>
      <c r="I4302" t="s">
        <v>18092</v>
      </c>
      <c r="J4302" t="s">
        <v>18894</v>
      </c>
      <c r="K4302">
        <v>11208</v>
      </c>
      <c r="L4302" t="s">
        <v>18958</v>
      </c>
      <c r="M4302" t="s">
        <v>18958</v>
      </c>
      <c r="N4302" t="s">
        <v>22148</v>
      </c>
      <c r="O4302" t="s">
        <v>26523</v>
      </c>
      <c r="P4302" t="s">
        <v>26564</v>
      </c>
      <c r="Q4302" t="s">
        <v>26570</v>
      </c>
      <c r="R4302" t="s">
        <v>26586</v>
      </c>
      <c r="U4302" t="s">
        <v>26604</v>
      </c>
      <c r="W4302" t="s">
        <v>494</v>
      </c>
      <c r="X4302">
        <v>993</v>
      </c>
      <c r="Y4302" t="s">
        <v>26652</v>
      </c>
      <c r="Z4302" t="s">
        <v>26664</v>
      </c>
      <c r="AA4302" t="s">
        <v>26683</v>
      </c>
      <c r="AB4302" t="s">
        <v>30267</v>
      </c>
      <c r="AD4302" t="s">
        <v>40404</v>
      </c>
      <c r="AE4302">
        <v>0</v>
      </c>
      <c r="AG4302" t="s">
        <v>19330</v>
      </c>
      <c r="AH4302">
        <v>10</v>
      </c>
      <c r="AI4302">
        <v>2</v>
      </c>
      <c r="AJ4302">
        <v>0</v>
      </c>
      <c r="AK4302">
        <v>163.28</v>
      </c>
      <c r="AN4302" t="s">
        <v>7439</v>
      </c>
      <c r="AO4302">
        <v>26876.16</v>
      </c>
      <c r="AU4302">
        <v>0.5</v>
      </c>
      <c r="AV4302" t="s">
        <v>458</v>
      </c>
      <c r="AW4302" t="s">
        <v>46853</v>
      </c>
    </row>
    <row r="4303" spans="1:49">
      <c r="A4303" s="1">
        <f>HYPERLINK("https://lsnyc.legalserver.org/matter/dynamic-profile/view/1886391","18-1886391")</f>
        <v>0</v>
      </c>
      <c r="B4303" t="s">
        <v>256</v>
      </c>
      <c r="C4303" t="s">
        <v>341</v>
      </c>
      <c r="D4303" t="s">
        <v>494</v>
      </c>
      <c r="E4303" t="s">
        <v>494</v>
      </c>
      <c r="F4303" t="s">
        <v>2991</v>
      </c>
      <c r="G4303" t="s">
        <v>7243</v>
      </c>
      <c r="H4303" t="s">
        <v>12912</v>
      </c>
      <c r="I4303">
        <v>2</v>
      </c>
      <c r="J4303" t="s">
        <v>18894</v>
      </c>
      <c r="K4303">
        <v>11215</v>
      </c>
      <c r="L4303" t="s">
        <v>18958</v>
      </c>
      <c r="M4303" t="s">
        <v>18959</v>
      </c>
      <c r="O4303" t="s">
        <v>26534</v>
      </c>
      <c r="P4303" t="s">
        <v>26565</v>
      </c>
      <c r="Q4303" t="s">
        <v>26569</v>
      </c>
      <c r="R4303" t="s">
        <v>26578</v>
      </c>
      <c r="S4303" t="s">
        <v>18959</v>
      </c>
      <c r="U4303" t="s">
        <v>26604</v>
      </c>
      <c r="V4303" t="s">
        <v>26610</v>
      </c>
      <c r="W4303" t="s">
        <v>494</v>
      </c>
      <c r="X4303">
        <v>0</v>
      </c>
      <c r="Y4303" t="s">
        <v>26652</v>
      </c>
      <c r="AA4303" t="s">
        <v>26687</v>
      </c>
      <c r="AB4303" t="s">
        <v>30268</v>
      </c>
      <c r="AE4303">
        <v>0</v>
      </c>
      <c r="AH4303">
        <v>0</v>
      </c>
      <c r="AI4303">
        <v>3</v>
      </c>
      <c r="AJ4303">
        <v>0</v>
      </c>
      <c r="AK4303">
        <v>139.56</v>
      </c>
      <c r="AN4303" t="s">
        <v>7439</v>
      </c>
      <c r="AO4303">
        <v>29000</v>
      </c>
      <c r="AP4303" t="s">
        <v>45820</v>
      </c>
      <c r="AR4303" t="s">
        <v>26530</v>
      </c>
      <c r="AS4303" t="s">
        <v>46499</v>
      </c>
      <c r="AT4303" t="s">
        <v>46517</v>
      </c>
      <c r="AU4303">
        <v>0.25</v>
      </c>
      <c r="AV4303" t="s">
        <v>703</v>
      </c>
      <c r="AW4303" t="s">
        <v>46880</v>
      </c>
    </row>
    <row r="4304" spans="1:49">
      <c r="A4304" s="1">
        <f>HYPERLINK("https://lsnyc.legalserver.org/matter/dynamic-profile/view/1886750","18-1886750")</f>
        <v>0</v>
      </c>
      <c r="B4304" t="s">
        <v>97</v>
      </c>
      <c r="C4304" t="s">
        <v>340</v>
      </c>
      <c r="D4304" t="s">
        <v>494</v>
      </c>
      <c r="F4304" t="s">
        <v>2992</v>
      </c>
      <c r="G4304" t="s">
        <v>6300</v>
      </c>
      <c r="H4304" t="s">
        <v>10616</v>
      </c>
      <c r="I4304" t="s">
        <v>17951</v>
      </c>
      <c r="J4304" t="s">
        <v>18892</v>
      </c>
      <c r="K4304">
        <v>10457</v>
      </c>
      <c r="L4304" t="s">
        <v>18958</v>
      </c>
      <c r="M4304" t="s">
        <v>18958</v>
      </c>
      <c r="N4304" t="s">
        <v>22149</v>
      </c>
      <c r="O4304" t="s">
        <v>26523</v>
      </c>
      <c r="P4304" t="s">
        <v>26560</v>
      </c>
      <c r="R4304" t="s">
        <v>26579</v>
      </c>
      <c r="U4304" t="s">
        <v>26604</v>
      </c>
      <c r="V4304" t="s">
        <v>26610</v>
      </c>
      <c r="W4304" t="s">
        <v>494</v>
      </c>
      <c r="X4304">
        <v>1444</v>
      </c>
      <c r="Y4304" t="s">
        <v>26650</v>
      </c>
      <c r="Z4304" t="s">
        <v>26664</v>
      </c>
      <c r="AB4304" t="s">
        <v>28225</v>
      </c>
      <c r="AC4304" t="s">
        <v>35747</v>
      </c>
      <c r="AE4304">
        <v>153</v>
      </c>
      <c r="AH4304">
        <v>10</v>
      </c>
      <c r="AI4304">
        <v>2</v>
      </c>
      <c r="AJ4304">
        <v>2</v>
      </c>
      <c r="AK4304">
        <v>100.4</v>
      </c>
      <c r="AO4304">
        <v>25200</v>
      </c>
      <c r="AU4304">
        <v>4</v>
      </c>
      <c r="AV4304" t="s">
        <v>768</v>
      </c>
      <c r="AW4304" t="s">
        <v>334</v>
      </c>
    </row>
    <row r="4305" spans="1:50">
      <c r="A4305" s="1">
        <f>HYPERLINK("https://lsnyc.legalserver.org/matter/dynamic-profile/view/1886767","18-1886767")</f>
        <v>0</v>
      </c>
      <c r="B4305" t="s">
        <v>117</v>
      </c>
      <c r="C4305" t="s">
        <v>340</v>
      </c>
      <c r="D4305" t="s">
        <v>494</v>
      </c>
      <c r="F4305" t="s">
        <v>1646</v>
      </c>
      <c r="G4305" t="s">
        <v>7244</v>
      </c>
      <c r="H4305" t="s">
        <v>12913</v>
      </c>
      <c r="I4305" t="s">
        <v>18093</v>
      </c>
      <c r="J4305" t="s">
        <v>18894</v>
      </c>
      <c r="K4305">
        <v>11206</v>
      </c>
      <c r="L4305" t="s">
        <v>18958</v>
      </c>
      <c r="M4305" t="s">
        <v>18958</v>
      </c>
      <c r="N4305" t="s">
        <v>22150</v>
      </c>
      <c r="O4305" t="s">
        <v>26523</v>
      </c>
      <c r="P4305" t="s">
        <v>26560</v>
      </c>
      <c r="R4305" t="s">
        <v>26578</v>
      </c>
      <c r="S4305" t="s">
        <v>18959</v>
      </c>
      <c r="U4305" t="s">
        <v>26604</v>
      </c>
      <c r="W4305" t="s">
        <v>494</v>
      </c>
      <c r="X4305">
        <v>296</v>
      </c>
      <c r="Y4305" t="s">
        <v>26652</v>
      </c>
      <c r="Z4305" t="s">
        <v>26659</v>
      </c>
      <c r="AB4305" t="s">
        <v>30269</v>
      </c>
      <c r="AD4305" t="s">
        <v>40405</v>
      </c>
      <c r="AE4305">
        <v>272</v>
      </c>
      <c r="AF4305" t="s">
        <v>45541</v>
      </c>
      <c r="AG4305" t="s">
        <v>45556</v>
      </c>
      <c r="AH4305">
        <v>8</v>
      </c>
      <c r="AI4305">
        <v>1</v>
      </c>
      <c r="AJ4305">
        <v>0</v>
      </c>
      <c r="AK4305">
        <v>128.5</v>
      </c>
      <c r="AN4305" t="s">
        <v>7439</v>
      </c>
      <c r="AO4305">
        <v>15600</v>
      </c>
      <c r="AP4305" t="s">
        <v>45780</v>
      </c>
      <c r="AU4305">
        <v>16.8</v>
      </c>
      <c r="AV4305" t="s">
        <v>797</v>
      </c>
      <c r="AW4305" t="s">
        <v>286</v>
      </c>
    </row>
    <row r="4306" spans="1:50">
      <c r="A4306" s="1">
        <f>HYPERLINK("https://lsnyc.legalserver.org/matter/dynamic-profile/view/1886757","18-1886757")</f>
        <v>0</v>
      </c>
      <c r="B4306" t="s">
        <v>56</v>
      </c>
      <c r="C4306" t="s">
        <v>340</v>
      </c>
      <c r="D4306" t="s">
        <v>494</v>
      </c>
      <c r="F4306" t="s">
        <v>2993</v>
      </c>
      <c r="G4306" t="s">
        <v>5271</v>
      </c>
      <c r="H4306" t="s">
        <v>12914</v>
      </c>
      <c r="I4306">
        <v>18</v>
      </c>
      <c r="J4306" t="s">
        <v>18892</v>
      </c>
      <c r="K4306">
        <v>10458</v>
      </c>
      <c r="L4306" t="s">
        <v>18958</v>
      </c>
      <c r="M4306" t="s">
        <v>18958</v>
      </c>
      <c r="N4306" t="s">
        <v>22151</v>
      </c>
      <c r="O4306" t="s">
        <v>26523</v>
      </c>
      <c r="P4306" t="s">
        <v>26560</v>
      </c>
      <c r="R4306" t="s">
        <v>26577</v>
      </c>
      <c r="S4306" t="s">
        <v>18959</v>
      </c>
      <c r="U4306" t="s">
        <v>26604</v>
      </c>
      <c r="V4306" t="s">
        <v>26609</v>
      </c>
      <c r="W4306" t="s">
        <v>494</v>
      </c>
      <c r="X4306">
        <v>1100</v>
      </c>
      <c r="Y4306" t="s">
        <v>26650</v>
      </c>
      <c r="Z4306" t="s">
        <v>26664</v>
      </c>
      <c r="AB4306" t="s">
        <v>30270</v>
      </c>
      <c r="AD4306" t="s">
        <v>40406</v>
      </c>
      <c r="AE4306">
        <v>0</v>
      </c>
      <c r="AF4306" t="s">
        <v>45541</v>
      </c>
      <c r="AG4306" t="s">
        <v>19330</v>
      </c>
      <c r="AH4306">
        <v>20</v>
      </c>
      <c r="AI4306">
        <v>4</v>
      </c>
      <c r="AJ4306">
        <v>0</v>
      </c>
      <c r="AK4306">
        <v>308.05</v>
      </c>
      <c r="AL4306" t="s">
        <v>784</v>
      </c>
      <c r="AM4306" t="s">
        <v>45575</v>
      </c>
      <c r="AN4306" t="s">
        <v>7439</v>
      </c>
      <c r="AO4306">
        <v>77320</v>
      </c>
      <c r="AU4306">
        <v>21</v>
      </c>
      <c r="AV4306" t="s">
        <v>834</v>
      </c>
      <c r="AW4306" t="s">
        <v>46870</v>
      </c>
    </row>
    <row r="4307" spans="1:50">
      <c r="A4307" s="1">
        <f>HYPERLINK("https://lsnyc.legalserver.org/matter/dynamic-profile/view/1886752","18-1886752")</f>
        <v>0</v>
      </c>
      <c r="B4307" t="s">
        <v>121</v>
      </c>
      <c r="C4307" t="s">
        <v>340</v>
      </c>
      <c r="D4307" t="s">
        <v>494</v>
      </c>
      <c r="F4307" t="s">
        <v>1081</v>
      </c>
      <c r="G4307" t="s">
        <v>6958</v>
      </c>
      <c r="H4307" t="s">
        <v>12915</v>
      </c>
      <c r="I4307" t="s">
        <v>17360</v>
      </c>
      <c r="J4307" t="s">
        <v>18892</v>
      </c>
      <c r="K4307">
        <v>10454</v>
      </c>
      <c r="L4307" t="s">
        <v>18958</v>
      </c>
      <c r="M4307" t="s">
        <v>18958</v>
      </c>
      <c r="N4307" t="s">
        <v>22152</v>
      </c>
      <c r="O4307" t="s">
        <v>26523</v>
      </c>
      <c r="P4307" t="s">
        <v>26560</v>
      </c>
      <c r="R4307" t="s">
        <v>26577</v>
      </c>
      <c r="U4307" t="s">
        <v>26604</v>
      </c>
      <c r="V4307" t="s">
        <v>26610</v>
      </c>
      <c r="W4307" t="s">
        <v>494</v>
      </c>
      <c r="X4307">
        <v>1483</v>
      </c>
      <c r="Y4307" t="s">
        <v>26650</v>
      </c>
      <c r="Z4307" t="s">
        <v>26664</v>
      </c>
      <c r="AB4307" t="s">
        <v>30271</v>
      </c>
      <c r="AC4307" t="s">
        <v>35748</v>
      </c>
      <c r="AD4307" t="s">
        <v>40407</v>
      </c>
      <c r="AE4307">
        <v>0</v>
      </c>
      <c r="AF4307" t="s">
        <v>45541</v>
      </c>
      <c r="AG4307" t="s">
        <v>45556</v>
      </c>
      <c r="AH4307">
        <v>6</v>
      </c>
      <c r="AI4307">
        <v>1</v>
      </c>
      <c r="AJ4307">
        <v>0</v>
      </c>
      <c r="AK4307">
        <v>17.99</v>
      </c>
      <c r="AN4307" t="s">
        <v>7439</v>
      </c>
      <c r="AO4307">
        <v>2184</v>
      </c>
      <c r="AU4307">
        <v>6.4</v>
      </c>
      <c r="AV4307" t="s">
        <v>795</v>
      </c>
      <c r="AW4307" t="s">
        <v>334</v>
      </c>
    </row>
    <row r="4308" spans="1:50">
      <c r="A4308" s="1">
        <f>HYPERLINK("https://lsnyc.legalserver.org/matter/dynamic-profile/view/1886780","19-1886780")</f>
        <v>0</v>
      </c>
      <c r="B4308" t="s">
        <v>147</v>
      </c>
      <c r="C4308" t="s">
        <v>340</v>
      </c>
      <c r="D4308" t="s">
        <v>713</v>
      </c>
      <c r="F4308" t="s">
        <v>2921</v>
      </c>
      <c r="G4308" t="s">
        <v>7175</v>
      </c>
      <c r="H4308" t="s">
        <v>11569</v>
      </c>
      <c r="J4308" t="s">
        <v>18894</v>
      </c>
      <c r="K4308">
        <v>11230</v>
      </c>
      <c r="L4308" t="s">
        <v>18958</v>
      </c>
      <c r="M4308" t="s">
        <v>18958</v>
      </c>
      <c r="O4308" t="s">
        <v>26531</v>
      </c>
      <c r="P4308" t="s">
        <v>26562</v>
      </c>
      <c r="R4308" t="s">
        <v>26578</v>
      </c>
      <c r="S4308" t="s">
        <v>18959</v>
      </c>
      <c r="U4308" t="s">
        <v>26604</v>
      </c>
      <c r="W4308" t="s">
        <v>494</v>
      </c>
      <c r="X4308">
        <v>1345.21</v>
      </c>
      <c r="Y4308" t="s">
        <v>26652</v>
      </c>
      <c r="Z4308" t="s">
        <v>26666</v>
      </c>
      <c r="AB4308" t="s">
        <v>30125</v>
      </c>
      <c r="AD4308" t="s">
        <v>40262</v>
      </c>
      <c r="AE4308">
        <v>60</v>
      </c>
      <c r="AF4308" t="s">
        <v>45541</v>
      </c>
      <c r="AG4308" t="s">
        <v>19330</v>
      </c>
      <c r="AH4308">
        <v>6</v>
      </c>
      <c r="AI4308">
        <v>2</v>
      </c>
      <c r="AJ4308">
        <v>2</v>
      </c>
      <c r="AK4308">
        <v>108.05</v>
      </c>
      <c r="AN4308" t="s">
        <v>7439</v>
      </c>
      <c r="AO4308">
        <v>27120</v>
      </c>
      <c r="AU4308">
        <v>1.2</v>
      </c>
      <c r="AV4308" t="s">
        <v>781</v>
      </c>
      <c r="AW4308" t="s">
        <v>219</v>
      </c>
    </row>
    <row r="4309" spans="1:50">
      <c r="A4309" s="1">
        <f>HYPERLINK("https://lsnyc.legalserver.org/matter/dynamic-profile/view/1852141","17-1852141")</f>
        <v>0</v>
      </c>
      <c r="B4309" t="s">
        <v>143</v>
      </c>
      <c r="C4309" t="s">
        <v>340</v>
      </c>
      <c r="D4309" t="s">
        <v>471</v>
      </c>
      <c r="F4309" t="s">
        <v>916</v>
      </c>
      <c r="G4309" t="s">
        <v>7245</v>
      </c>
      <c r="H4309" t="s">
        <v>12916</v>
      </c>
      <c r="I4309" t="s">
        <v>18094</v>
      </c>
      <c r="J4309" t="s">
        <v>18892</v>
      </c>
      <c r="K4309">
        <v>10462</v>
      </c>
      <c r="L4309" t="s">
        <v>18958</v>
      </c>
      <c r="M4309" t="s">
        <v>18960</v>
      </c>
      <c r="N4309" t="s">
        <v>22153</v>
      </c>
      <c r="O4309" t="s">
        <v>26537</v>
      </c>
      <c r="P4309" t="s">
        <v>26561</v>
      </c>
      <c r="R4309" t="s">
        <v>26577</v>
      </c>
      <c r="U4309" t="s">
        <v>26606</v>
      </c>
      <c r="W4309" t="s">
        <v>782</v>
      </c>
      <c r="X4309">
        <v>1513.52</v>
      </c>
      <c r="Y4309" t="s">
        <v>26650</v>
      </c>
      <c r="Z4309" t="s">
        <v>26659</v>
      </c>
      <c r="AB4309" t="s">
        <v>30272</v>
      </c>
      <c r="AC4309" t="s">
        <v>35749</v>
      </c>
      <c r="AD4309" t="s">
        <v>40408</v>
      </c>
      <c r="AE4309">
        <v>0</v>
      </c>
      <c r="AF4309" t="s">
        <v>45541</v>
      </c>
      <c r="AG4309" t="s">
        <v>45556</v>
      </c>
      <c r="AH4309">
        <v>7</v>
      </c>
      <c r="AI4309">
        <v>2</v>
      </c>
      <c r="AJ4309">
        <v>1</v>
      </c>
      <c r="AK4309">
        <v>96.90000000000001</v>
      </c>
      <c r="AN4309" t="s">
        <v>7439</v>
      </c>
      <c r="AO4309">
        <v>34208.04</v>
      </c>
      <c r="AU4309">
        <v>9</v>
      </c>
      <c r="AV4309" t="s">
        <v>767</v>
      </c>
      <c r="AW4309" t="s">
        <v>46836</v>
      </c>
    </row>
    <row r="4310" spans="1:50">
      <c r="A4310" s="1">
        <f>HYPERLINK("https://lsnyc.legalserver.org/matter/dynamic-profile/view/1866278","18-1866278")</f>
        <v>0</v>
      </c>
      <c r="B4310" t="s">
        <v>66</v>
      </c>
      <c r="C4310" t="s">
        <v>341</v>
      </c>
      <c r="D4310" t="s">
        <v>385</v>
      </c>
      <c r="E4310" t="s">
        <v>714</v>
      </c>
      <c r="F4310" t="s">
        <v>2835</v>
      </c>
      <c r="G4310" t="s">
        <v>7246</v>
      </c>
      <c r="H4310" t="s">
        <v>12917</v>
      </c>
      <c r="I4310" t="s">
        <v>17299</v>
      </c>
      <c r="J4310" t="s">
        <v>18893</v>
      </c>
      <c r="K4310">
        <v>10030</v>
      </c>
      <c r="L4310" t="s">
        <v>18958</v>
      </c>
      <c r="M4310" t="s">
        <v>18958</v>
      </c>
      <c r="N4310" t="s">
        <v>22154</v>
      </c>
      <c r="O4310" t="s">
        <v>26523</v>
      </c>
      <c r="P4310" t="s">
        <v>26564</v>
      </c>
      <c r="Q4310" t="s">
        <v>26570</v>
      </c>
      <c r="R4310" t="s">
        <v>26582</v>
      </c>
      <c r="S4310" t="s">
        <v>18959</v>
      </c>
      <c r="U4310" t="s">
        <v>26604</v>
      </c>
      <c r="V4310" t="s">
        <v>26610</v>
      </c>
      <c r="W4310" t="s">
        <v>782</v>
      </c>
      <c r="X4310">
        <v>1025</v>
      </c>
      <c r="Y4310" t="s">
        <v>26651</v>
      </c>
      <c r="Z4310" t="s">
        <v>26664</v>
      </c>
      <c r="AA4310" t="s">
        <v>26683</v>
      </c>
      <c r="AB4310" t="s">
        <v>28255</v>
      </c>
      <c r="AC4310" t="s">
        <v>35750</v>
      </c>
      <c r="AD4310" t="s">
        <v>40409</v>
      </c>
      <c r="AE4310">
        <v>0</v>
      </c>
      <c r="AF4310" t="s">
        <v>20460</v>
      </c>
      <c r="AG4310" t="s">
        <v>19330</v>
      </c>
      <c r="AH4310">
        <v>15</v>
      </c>
      <c r="AI4310">
        <v>2</v>
      </c>
      <c r="AJ4310">
        <v>3</v>
      </c>
      <c r="AK4310">
        <v>64.58</v>
      </c>
      <c r="AO4310">
        <v>19000</v>
      </c>
      <c r="AU4310">
        <v>2.5</v>
      </c>
      <c r="AV4310" t="s">
        <v>706</v>
      </c>
      <c r="AW4310" t="s">
        <v>46845</v>
      </c>
    </row>
    <row r="4311" spans="1:50">
      <c r="A4311" s="1">
        <f>HYPERLINK("https://lsnyc.legalserver.org/matter/dynamic-profile/view/1867471","18-1867471")</f>
        <v>0</v>
      </c>
      <c r="B4311" t="s">
        <v>66</v>
      </c>
      <c r="C4311" t="s">
        <v>341</v>
      </c>
      <c r="D4311" t="s">
        <v>389</v>
      </c>
      <c r="E4311" t="s">
        <v>714</v>
      </c>
      <c r="F4311" t="s">
        <v>1663</v>
      </c>
      <c r="G4311" t="s">
        <v>7247</v>
      </c>
      <c r="H4311" t="s">
        <v>12918</v>
      </c>
      <c r="I4311" t="s">
        <v>17442</v>
      </c>
      <c r="J4311" t="s">
        <v>18893</v>
      </c>
      <c r="K4311">
        <v>10039</v>
      </c>
      <c r="L4311" t="s">
        <v>18958</v>
      </c>
      <c r="M4311" t="s">
        <v>18958</v>
      </c>
      <c r="N4311" t="s">
        <v>22155</v>
      </c>
      <c r="O4311" t="s">
        <v>26524</v>
      </c>
      <c r="P4311" t="s">
        <v>26564</v>
      </c>
      <c r="Q4311" t="s">
        <v>26570</v>
      </c>
      <c r="R4311" t="s">
        <v>26582</v>
      </c>
      <c r="S4311" t="s">
        <v>18959</v>
      </c>
      <c r="U4311" t="s">
        <v>26605</v>
      </c>
      <c r="W4311" t="s">
        <v>782</v>
      </c>
      <c r="X4311">
        <v>680.67</v>
      </c>
      <c r="Y4311" t="s">
        <v>26651</v>
      </c>
      <c r="AA4311" t="s">
        <v>26683</v>
      </c>
      <c r="AB4311" t="s">
        <v>30273</v>
      </c>
      <c r="AD4311" t="s">
        <v>40410</v>
      </c>
      <c r="AE4311">
        <v>0</v>
      </c>
      <c r="AF4311" t="s">
        <v>45550</v>
      </c>
      <c r="AG4311" t="s">
        <v>19330</v>
      </c>
      <c r="AH4311">
        <v>8</v>
      </c>
      <c r="AI4311">
        <v>1</v>
      </c>
      <c r="AJ4311">
        <v>0</v>
      </c>
      <c r="AK4311">
        <v>117.23</v>
      </c>
      <c r="AN4311" t="s">
        <v>7439</v>
      </c>
      <c r="AO4311">
        <v>14232</v>
      </c>
      <c r="AU4311">
        <v>1.75</v>
      </c>
      <c r="AV4311" t="s">
        <v>703</v>
      </c>
      <c r="AW4311" t="s">
        <v>314</v>
      </c>
    </row>
    <row r="4312" spans="1:50">
      <c r="A4312" s="1">
        <f>HYPERLINK("https://lsnyc.legalserver.org/matter/dynamic-profile/view/1871895","18-1871895")</f>
        <v>0</v>
      </c>
      <c r="B4312" t="s">
        <v>123</v>
      </c>
      <c r="C4312" t="s">
        <v>340</v>
      </c>
      <c r="D4312" t="s">
        <v>431</v>
      </c>
      <c r="F4312" t="s">
        <v>2994</v>
      </c>
      <c r="G4312" t="s">
        <v>7248</v>
      </c>
      <c r="H4312" t="s">
        <v>12919</v>
      </c>
      <c r="I4312" t="s">
        <v>17352</v>
      </c>
      <c r="J4312" t="s">
        <v>18894</v>
      </c>
      <c r="K4312">
        <v>11236</v>
      </c>
      <c r="L4312" t="s">
        <v>18958</v>
      </c>
      <c r="M4312" t="s">
        <v>18958</v>
      </c>
      <c r="N4312" t="s">
        <v>22156</v>
      </c>
      <c r="O4312" t="s">
        <v>26524</v>
      </c>
      <c r="P4312" t="s">
        <v>26562</v>
      </c>
      <c r="R4312" t="s">
        <v>26586</v>
      </c>
      <c r="S4312" t="s">
        <v>18959</v>
      </c>
      <c r="U4312" t="s">
        <v>26605</v>
      </c>
      <c r="V4312" t="s">
        <v>26610</v>
      </c>
      <c r="W4312" t="s">
        <v>782</v>
      </c>
      <c r="X4312">
        <v>241</v>
      </c>
      <c r="Y4312" t="s">
        <v>26652</v>
      </c>
      <c r="Z4312" t="s">
        <v>26666</v>
      </c>
      <c r="AB4312" t="s">
        <v>30274</v>
      </c>
      <c r="AD4312" t="s">
        <v>34738</v>
      </c>
      <c r="AE4312">
        <v>0</v>
      </c>
      <c r="AF4312" t="s">
        <v>45549</v>
      </c>
      <c r="AG4312" t="s">
        <v>19330</v>
      </c>
      <c r="AH4312">
        <v>21</v>
      </c>
      <c r="AI4312">
        <v>1</v>
      </c>
      <c r="AJ4312">
        <v>0</v>
      </c>
      <c r="AK4312">
        <v>131.96</v>
      </c>
      <c r="AN4312" t="s">
        <v>7439</v>
      </c>
      <c r="AO4312">
        <v>16020</v>
      </c>
      <c r="AU4312">
        <v>8.199999999999999</v>
      </c>
      <c r="AV4312" t="s">
        <v>804</v>
      </c>
      <c r="AW4312" t="s">
        <v>46851</v>
      </c>
    </row>
    <row r="4313" spans="1:50">
      <c r="A4313" s="1">
        <f>HYPERLINK("https://lsnyc.legalserver.org/matter/dynamic-profile/view/1872400","18-1872400")</f>
        <v>0</v>
      </c>
      <c r="B4313" t="s">
        <v>80</v>
      </c>
      <c r="C4313" t="s">
        <v>341</v>
      </c>
      <c r="D4313" t="s">
        <v>446</v>
      </c>
      <c r="E4313" t="s">
        <v>739</v>
      </c>
      <c r="F4313" t="s">
        <v>1705</v>
      </c>
      <c r="G4313" t="s">
        <v>5901</v>
      </c>
      <c r="H4313" t="s">
        <v>12920</v>
      </c>
      <c r="I4313">
        <v>1</v>
      </c>
      <c r="J4313" t="s">
        <v>18893</v>
      </c>
      <c r="K4313">
        <v>10027</v>
      </c>
      <c r="L4313" t="s">
        <v>18958</v>
      </c>
      <c r="M4313" t="s">
        <v>18958</v>
      </c>
      <c r="N4313" t="s">
        <v>19197</v>
      </c>
      <c r="O4313" t="s">
        <v>26523</v>
      </c>
      <c r="P4313" t="s">
        <v>26560</v>
      </c>
      <c r="Q4313" t="s">
        <v>26568</v>
      </c>
      <c r="R4313" t="s">
        <v>26580</v>
      </c>
      <c r="S4313" t="s">
        <v>18959</v>
      </c>
      <c r="U4313" t="s">
        <v>26604</v>
      </c>
      <c r="W4313" t="s">
        <v>782</v>
      </c>
      <c r="X4313">
        <v>1500</v>
      </c>
      <c r="Y4313" t="s">
        <v>26651</v>
      </c>
      <c r="Z4313" t="s">
        <v>26662</v>
      </c>
      <c r="AA4313" t="s">
        <v>26678</v>
      </c>
      <c r="AB4313" t="s">
        <v>30275</v>
      </c>
      <c r="AD4313" t="s">
        <v>40411</v>
      </c>
      <c r="AE4313">
        <v>11</v>
      </c>
      <c r="AF4313" t="s">
        <v>45541</v>
      </c>
      <c r="AG4313" t="s">
        <v>19330</v>
      </c>
      <c r="AH4313">
        <v>-1</v>
      </c>
      <c r="AI4313">
        <v>1</v>
      </c>
      <c r="AJ4313">
        <v>0</v>
      </c>
      <c r="AK4313">
        <v>0</v>
      </c>
      <c r="AN4313" t="s">
        <v>7439</v>
      </c>
      <c r="AO4313">
        <v>0</v>
      </c>
      <c r="AS4313" t="s">
        <v>46499</v>
      </c>
      <c r="AT4313" t="s">
        <v>46672</v>
      </c>
      <c r="AU4313">
        <v>58.75</v>
      </c>
      <c r="AV4313" t="s">
        <v>694</v>
      </c>
      <c r="AW4313" t="s">
        <v>314</v>
      </c>
    </row>
    <row r="4314" spans="1:50">
      <c r="A4314" s="1">
        <f>HYPERLINK("https://lsnyc.legalserver.org/matter/dynamic-profile/view/1872918","18-1872918")</f>
        <v>0</v>
      </c>
      <c r="B4314" t="s">
        <v>173</v>
      </c>
      <c r="C4314" t="s">
        <v>340</v>
      </c>
      <c r="D4314" t="s">
        <v>436</v>
      </c>
      <c r="F4314" t="s">
        <v>2995</v>
      </c>
      <c r="G4314" t="s">
        <v>5374</v>
      </c>
      <c r="H4314" t="s">
        <v>12921</v>
      </c>
      <c r="I4314">
        <v>5</v>
      </c>
      <c r="J4314" t="s">
        <v>18893</v>
      </c>
      <c r="K4314">
        <v>10012</v>
      </c>
      <c r="L4314" t="s">
        <v>18958</v>
      </c>
      <c r="M4314" t="s">
        <v>18958</v>
      </c>
      <c r="N4314" t="s">
        <v>22157</v>
      </c>
      <c r="O4314" t="s">
        <v>26524</v>
      </c>
      <c r="P4314" t="s">
        <v>26560</v>
      </c>
      <c r="R4314" t="s">
        <v>26582</v>
      </c>
      <c r="S4314" t="s">
        <v>18959</v>
      </c>
      <c r="U4314" t="s">
        <v>26604</v>
      </c>
      <c r="V4314" t="s">
        <v>26610</v>
      </c>
      <c r="W4314" t="s">
        <v>782</v>
      </c>
      <c r="X4314">
        <v>1487.16</v>
      </c>
      <c r="Y4314" t="s">
        <v>26651</v>
      </c>
      <c r="Z4314" t="s">
        <v>26656</v>
      </c>
      <c r="AB4314" t="s">
        <v>30276</v>
      </c>
      <c r="AD4314" t="s">
        <v>40412</v>
      </c>
      <c r="AE4314">
        <v>5</v>
      </c>
      <c r="AF4314" t="s">
        <v>45541</v>
      </c>
      <c r="AG4314" t="s">
        <v>19330</v>
      </c>
      <c r="AH4314">
        <v>31</v>
      </c>
      <c r="AI4314">
        <v>1</v>
      </c>
      <c r="AJ4314">
        <v>0</v>
      </c>
      <c r="AK4314">
        <v>0</v>
      </c>
      <c r="AN4314" t="s">
        <v>7439</v>
      </c>
      <c r="AO4314">
        <v>0</v>
      </c>
      <c r="AU4314">
        <v>19.2</v>
      </c>
      <c r="AV4314" t="s">
        <v>819</v>
      </c>
      <c r="AW4314" t="s">
        <v>46866</v>
      </c>
    </row>
    <row r="4315" spans="1:50">
      <c r="A4315" s="1">
        <f>HYPERLINK("https://lsnyc.legalserver.org/matter/dynamic-profile/view/1873052","18-1873052")</f>
        <v>0</v>
      </c>
      <c r="B4315" t="s">
        <v>66</v>
      </c>
      <c r="C4315" t="s">
        <v>341</v>
      </c>
      <c r="D4315" t="s">
        <v>440</v>
      </c>
      <c r="E4315" t="s">
        <v>714</v>
      </c>
      <c r="F4315" t="s">
        <v>874</v>
      </c>
      <c r="G4315" t="s">
        <v>6325</v>
      </c>
      <c r="H4315" t="s">
        <v>12922</v>
      </c>
      <c r="I4315" t="s">
        <v>18095</v>
      </c>
      <c r="J4315" t="s">
        <v>18893</v>
      </c>
      <c r="K4315">
        <v>10034</v>
      </c>
      <c r="L4315" t="s">
        <v>18958</v>
      </c>
      <c r="M4315" t="s">
        <v>18960</v>
      </c>
      <c r="N4315" t="s">
        <v>22158</v>
      </c>
      <c r="O4315" t="s">
        <v>26524</v>
      </c>
      <c r="P4315" t="s">
        <v>26564</v>
      </c>
      <c r="Q4315" t="s">
        <v>26570</v>
      </c>
      <c r="R4315" t="s">
        <v>26582</v>
      </c>
      <c r="S4315" t="s">
        <v>18959</v>
      </c>
      <c r="U4315" t="s">
        <v>26604</v>
      </c>
      <c r="V4315" t="s">
        <v>26610</v>
      </c>
      <c r="W4315" t="s">
        <v>782</v>
      </c>
      <c r="X4315">
        <v>0</v>
      </c>
      <c r="Y4315" t="s">
        <v>26651</v>
      </c>
      <c r="Z4315" t="s">
        <v>26664</v>
      </c>
      <c r="AA4315" t="s">
        <v>26683</v>
      </c>
      <c r="AB4315" t="s">
        <v>30277</v>
      </c>
      <c r="AC4315" t="s">
        <v>35751</v>
      </c>
      <c r="AD4315" t="s">
        <v>40413</v>
      </c>
      <c r="AE4315">
        <v>0</v>
      </c>
      <c r="AF4315" t="s">
        <v>45550</v>
      </c>
      <c r="AG4315" t="s">
        <v>19330</v>
      </c>
      <c r="AH4315">
        <v>-1</v>
      </c>
      <c r="AI4315">
        <v>1</v>
      </c>
      <c r="AJ4315">
        <v>0</v>
      </c>
      <c r="AK4315">
        <v>16.8</v>
      </c>
      <c r="AO4315">
        <v>2040</v>
      </c>
      <c r="AU4315">
        <v>0.75</v>
      </c>
      <c r="AV4315" t="s">
        <v>706</v>
      </c>
      <c r="AW4315" t="s">
        <v>46845</v>
      </c>
      <c r="AX4315" t="s">
        <v>46897</v>
      </c>
    </row>
    <row r="4316" spans="1:50">
      <c r="A4316" s="1">
        <f>HYPERLINK("https://lsnyc.legalserver.org/matter/dynamic-profile/view/1873703","18-1873703")</f>
        <v>0</v>
      </c>
      <c r="B4316" t="s">
        <v>202</v>
      </c>
      <c r="C4316" t="s">
        <v>341</v>
      </c>
      <c r="D4316" t="s">
        <v>466</v>
      </c>
      <c r="E4316" t="s">
        <v>777</v>
      </c>
      <c r="F4316" t="s">
        <v>880</v>
      </c>
      <c r="G4316" t="s">
        <v>7063</v>
      </c>
      <c r="H4316" t="s">
        <v>12923</v>
      </c>
      <c r="I4316">
        <v>2</v>
      </c>
      <c r="J4316" t="s">
        <v>18894</v>
      </c>
      <c r="K4316">
        <v>11226</v>
      </c>
      <c r="L4316" t="s">
        <v>18958</v>
      </c>
      <c r="M4316" t="s">
        <v>18958</v>
      </c>
      <c r="N4316" t="s">
        <v>22159</v>
      </c>
      <c r="O4316" t="s">
        <v>26524</v>
      </c>
      <c r="P4316" t="s">
        <v>26560</v>
      </c>
      <c r="Q4316" t="s">
        <v>26568</v>
      </c>
      <c r="R4316" t="s">
        <v>26588</v>
      </c>
      <c r="S4316" t="s">
        <v>18959</v>
      </c>
      <c r="U4316" t="s">
        <v>26604</v>
      </c>
      <c r="V4316" t="s">
        <v>26610</v>
      </c>
      <c r="W4316" t="s">
        <v>782</v>
      </c>
      <c r="X4316">
        <v>1300</v>
      </c>
      <c r="Y4316" t="s">
        <v>26652</v>
      </c>
      <c r="Z4316" t="s">
        <v>26662</v>
      </c>
      <c r="AA4316" t="s">
        <v>26679</v>
      </c>
      <c r="AB4316" t="s">
        <v>28569</v>
      </c>
      <c r="AD4316" t="s">
        <v>40414</v>
      </c>
      <c r="AE4316">
        <v>3</v>
      </c>
      <c r="AF4316" t="s">
        <v>45547</v>
      </c>
      <c r="AG4316" t="s">
        <v>19330</v>
      </c>
      <c r="AH4316">
        <v>5</v>
      </c>
      <c r="AI4316">
        <v>4</v>
      </c>
      <c r="AJ4316">
        <v>3</v>
      </c>
      <c r="AK4316">
        <v>80.05</v>
      </c>
      <c r="AN4316" t="s">
        <v>7439</v>
      </c>
      <c r="AO4316">
        <v>30466</v>
      </c>
      <c r="AQ4316" t="s">
        <v>46364</v>
      </c>
      <c r="AR4316" t="s">
        <v>26530</v>
      </c>
      <c r="AS4316" t="s">
        <v>46500</v>
      </c>
      <c r="AT4316" t="s">
        <v>46687</v>
      </c>
      <c r="AU4316">
        <v>17.95</v>
      </c>
      <c r="AV4316" t="s">
        <v>777</v>
      </c>
      <c r="AW4316" t="s">
        <v>281</v>
      </c>
    </row>
    <row r="4317" spans="1:50">
      <c r="A4317" s="1">
        <f>HYPERLINK("https://lsnyc.legalserver.org/matter/dynamic-profile/view/1873667","18-1873667")</f>
        <v>0</v>
      </c>
      <c r="B4317" t="s">
        <v>109</v>
      </c>
      <c r="C4317" t="s">
        <v>341</v>
      </c>
      <c r="D4317" t="s">
        <v>441</v>
      </c>
      <c r="E4317" t="s">
        <v>849</v>
      </c>
      <c r="F4317" t="s">
        <v>1604</v>
      </c>
      <c r="G4317" t="s">
        <v>7249</v>
      </c>
      <c r="H4317" t="s">
        <v>12924</v>
      </c>
      <c r="I4317" t="s">
        <v>18096</v>
      </c>
      <c r="J4317" t="s">
        <v>18902</v>
      </c>
      <c r="K4317">
        <v>10310</v>
      </c>
      <c r="L4317" t="s">
        <v>18958</v>
      </c>
      <c r="M4317" t="s">
        <v>18958</v>
      </c>
      <c r="N4317" t="s">
        <v>22160</v>
      </c>
      <c r="O4317" t="s">
        <v>26524</v>
      </c>
      <c r="P4317" t="s">
        <v>26560</v>
      </c>
      <c r="Q4317" t="s">
        <v>26568</v>
      </c>
      <c r="R4317" t="s">
        <v>26590</v>
      </c>
      <c r="S4317" t="s">
        <v>18959</v>
      </c>
      <c r="U4317" t="s">
        <v>26604</v>
      </c>
      <c r="V4317" t="s">
        <v>26610</v>
      </c>
      <c r="W4317" t="s">
        <v>782</v>
      </c>
      <c r="X4317">
        <v>0</v>
      </c>
      <c r="Y4317" t="s">
        <v>26654</v>
      </c>
      <c r="Z4317" t="s">
        <v>26661</v>
      </c>
      <c r="AA4317" t="s">
        <v>26679</v>
      </c>
      <c r="AB4317" t="s">
        <v>30278</v>
      </c>
      <c r="AD4317" t="s">
        <v>40415</v>
      </c>
      <c r="AE4317">
        <v>2</v>
      </c>
      <c r="AF4317" t="s">
        <v>45547</v>
      </c>
      <c r="AG4317" t="s">
        <v>19330</v>
      </c>
      <c r="AH4317">
        <v>1</v>
      </c>
      <c r="AI4317">
        <v>2</v>
      </c>
      <c r="AJ4317">
        <v>0</v>
      </c>
      <c r="AK4317">
        <v>0</v>
      </c>
      <c r="AN4317" t="s">
        <v>7439</v>
      </c>
      <c r="AO4317">
        <v>0</v>
      </c>
      <c r="AR4317" t="s">
        <v>26530</v>
      </c>
      <c r="AS4317" t="s">
        <v>46500</v>
      </c>
      <c r="AT4317" t="s">
        <v>46506</v>
      </c>
      <c r="AU4317">
        <v>5.2</v>
      </c>
      <c r="AV4317" t="s">
        <v>849</v>
      </c>
      <c r="AW4317" t="s">
        <v>190</v>
      </c>
    </row>
    <row r="4318" spans="1:50">
      <c r="A4318" s="1">
        <f>HYPERLINK("https://lsnyc.legalserver.org/matter/dynamic-profile/view/1877278","18-1877278")</f>
        <v>0</v>
      </c>
      <c r="B4318" t="s">
        <v>106</v>
      </c>
      <c r="C4318" t="s">
        <v>340</v>
      </c>
      <c r="D4318" t="s">
        <v>576</v>
      </c>
      <c r="F4318" t="s">
        <v>893</v>
      </c>
      <c r="G4318" t="s">
        <v>6893</v>
      </c>
      <c r="H4318" t="s">
        <v>12360</v>
      </c>
      <c r="I4318">
        <v>1</v>
      </c>
      <c r="J4318" t="s">
        <v>18894</v>
      </c>
      <c r="K4318">
        <v>11221</v>
      </c>
      <c r="L4318" t="s">
        <v>18958</v>
      </c>
      <c r="M4318" t="s">
        <v>18958</v>
      </c>
      <c r="N4318" t="s">
        <v>22161</v>
      </c>
      <c r="O4318" t="s">
        <v>26524</v>
      </c>
      <c r="P4318" t="s">
        <v>26560</v>
      </c>
      <c r="R4318" t="s">
        <v>26588</v>
      </c>
      <c r="S4318" t="s">
        <v>18959</v>
      </c>
      <c r="U4318" t="s">
        <v>26604</v>
      </c>
      <c r="W4318" t="s">
        <v>782</v>
      </c>
      <c r="X4318">
        <v>700</v>
      </c>
      <c r="Y4318" t="s">
        <v>26652</v>
      </c>
      <c r="Z4318" t="s">
        <v>26659</v>
      </c>
      <c r="AB4318" t="s">
        <v>29637</v>
      </c>
      <c r="AD4318" t="s">
        <v>39722</v>
      </c>
      <c r="AE4318">
        <v>6</v>
      </c>
      <c r="AF4318" t="s">
        <v>45547</v>
      </c>
      <c r="AH4318">
        <v>4</v>
      </c>
      <c r="AI4318">
        <v>1</v>
      </c>
      <c r="AJ4318">
        <v>0</v>
      </c>
      <c r="AK4318">
        <v>148.27</v>
      </c>
      <c r="AN4318" t="s">
        <v>7439</v>
      </c>
      <c r="AO4318">
        <v>18000</v>
      </c>
      <c r="AU4318">
        <v>48.75</v>
      </c>
      <c r="AV4318" t="s">
        <v>819</v>
      </c>
      <c r="AW4318" t="s">
        <v>106</v>
      </c>
    </row>
    <row r="4319" spans="1:50">
      <c r="A4319" s="1">
        <f>HYPERLINK("https://lsnyc.legalserver.org/matter/dynamic-profile/view/1877484","18-1877484")</f>
        <v>0</v>
      </c>
      <c r="B4319" t="s">
        <v>173</v>
      </c>
      <c r="C4319" t="s">
        <v>340</v>
      </c>
      <c r="D4319" t="s">
        <v>545</v>
      </c>
      <c r="F4319" t="s">
        <v>2996</v>
      </c>
      <c r="G4319" t="s">
        <v>7250</v>
      </c>
      <c r="H4319" t="s">
        <v>12925</v>
      </c>
      <c r="I4319" t="s">
        <v>17274</v>
      </c>
      <c r="J4319" t="s">
        <v>18893</v>
      </c>
      <c r="K4319">
        <v>10027</v>
      </c>
      <c r="L4319" t="s">
        <v>18958</v>
      </c>
      <c r="M4319" t="s">
        <v>18958</v>
      </c>
      <c r="N4319" t="s">
        <v>22162</v>
      </c>
      <c r="O4319" t="s">
        <v>26523</v>
      </c>
      <c r="P4319" t="s">
        <v>26560</v>
      </c>
      <c r="R4319" t="s">
        <v>26580</v>
      </c>
      <c r="S4319" t="s">
        <v>18959</v>
      </c>
      <c r="U4319" t="s">
        <v>26604</v>
      </c>
      <c r="W4319" t="s">
        <v>782</v>
      </c>
      <c r="X4319">
        <v>434.95</v>
      </c>
      <c r="Y4319" t="s">
        <v>26651</v>
      </c>
      <c r="Z4319" t="s">
        <v>26664</v>
      </c>
      <c r="AB4319" t="s">
        <v>30279</v>
      </c>
      <c r="AD4319" t="s">
        <v>40416</v>
      </c>
      <c r="AE4319">
        <v>10</v>
      </c>
      <c r="AF4319" t="s">
        <v>45551</v>
      </c>
      <c r="AG4319" t="s">
        <v>19330</v>
      </c>
      <c r="AH4319">
        <v>17</v>
      </c>
      <c r="AI4319">
        <v>2</v>
      </c>
      <c r="AJ4319">
        <v>1</v>
      </c>
      <c r="AK4319">
        <v>129.93</v>
      </c>
      <c r="AN4319" t="s">
        <v>7439</v>
      </c>
      <c r="AO4319">
        <v>27000</v>
      </c>
      <c r="AU4319">
        <v>13.6</v>
      </c>
      <c r="AV4319" t="s">
        <v>752</v>
      </c>
      <c r="AW4319" t="s">
        <v>314</v>
      </c>
    </row>
    <row r="4320" spans="1:50">
      <c r="A4320" s="1">
        <f>HYPERLINK("https://lsnyc.legalserver.org/matter/dynamic-profile/view/1877594","18-1877594")</f>
        <v>0</v>
      </c>
      <c r="B4320" t="s">
        <v>173</v>
      </c>
      <c r="C4320" t="s">
        <v>340</v>
      </c>
      <c r="D4320" t="s">
        <v>545</v>
      </c>
      <c r="F4320" t="s">
        <v>1072</v>
      </c>
      <c r="G4320" t="s">
        <v>7251</v>
      </c>
      <c r="H4320" t="s">
        <v>12926</v>
      </c>
      <c r="I4320" t="s">
        <v>18097</v>
      </c>
      <c r="J4320" t="s">
        <v>18893</v>
      </c>
      <c r="K4320">
        <v>10025</v>
      </c>
      <c r="L4320" t="s">
        <v>18958</v>
      </c>
      <c r="M4320" t="s">
        <v>18960</v>
      </c>
      <c r="N4320" t="s">
        <v>22163</v>
      </c>
      <c r="O4320" t="s">
        <v>26523</v>
      </c>
      <c r="P4320" t="s">
        <v>26560</v>
      </c>
      <c r="R4320" t="s">
        <v>26580</v>
      </c>
      <c r="S4320" t="s">
        <v>18959</v>
      </c>
      <c r="U4320" t="s">
        <v>26604</v>
      </c>
      <c r="W4320" t="s">
        <v>782</v>
      </c>
      <c r="X4320">
        <v>2000</v>
      </c>
      <c r="Y4320" t="s">
        <v>26651</v>
      </c>
      <c r="Z4320" t="s">
        <v>26664</v>
      </c>
      <c r="AB4320" t="s">
        <v>30280</v>
      </c>
      <c r="AC4320" t="s">
        <v>35752</v>
      </c>
      <c r="AD4320" t="s">
        <v>40417</v>
      </c>
      <c r="AE4320">
        <v>218</v>
      </c>
      <c r="AF4320" t="s">
        <v>45550</v>
      </c>
      <c r="AG4320" t="s">
        <v>45563</v>
      </c>
      <c r="AH4320">
        <v>19</v>
      </c>
      <c r="AI4320">
        <v>1</v>
      </c>
      <c r="AJ4320">
        <v>0</v>
      </c>
      <c r="AK4320">
        <v>152.72</v>
      </c>
      <c r="AN4320" t="s">
        <v>7439</v>
      </c>
      <c r="AO4320">
        <v>18540</v>
      </c>
      <c r="AU4320">
        <v>10.1</v>
      </c>
      <c r="AV4320" t="s">
        <v>707</v>
      </c>
      <c r="AW4320" t="s">
        <v>314</v>
      </c>
    </row>
    <row r="4321" spans="1:50">
      <c r="A4321" s="1">
        <f>HYPERLINK("https://lsnyc.legalserver.org/matter/dynamic-profile/view/1877303","18-1877303")</f>
        <v>0</v>
      </c>
      <c r="B4321" t="s">
        <v>109</v>
      </c>
      <c r="C4321" t="s">
        <v>341</v>
      </c>
      <c r="D4321" t="s">
        <v>572</v>
      </c>
      <c r="E4321" t="s">
        <v>849</v>
      </c>
      <c r="F4321" t="s">
        <v>1991</v>
      </c>
      <c r="G4321" t="s">
        <v>7252</v>
      </c>
      <c r="H4321" t="s">
        <v>9911</v>
      </c>
      <c r="I4321" t="s">
        <v>18098</v>
      </c>
      <c r="J4321" t="s">
        <v>18902</v>
      </c>
      <c r="K4321">
        <v>10304</v>
      </c>
      <c r="L4321" t="s">
        <v>18958</v>
      </c>
      <c r="M4321" t="s">
        <v>18958</v>
      </c>
      <c r="N4321" t="s">
        <v>22164</v>
      </c>
      <c r="O4321" t="s">
        <v>26523</v>
      </c>
      <c r="P4321" t="s">
        <v>26560</v>
      </c>
      <c r="Q4321" t="s">
        <v>26568</v>
      </c>
      <c r="R4321" t="s">
        <v>26578</v>
      </c>
      <c r="S4321" t="s">
        <v>18959</v>
      </c>
      <c r="U4321" t="s">
        <v>26606</v>
      </c>
      <c r="W4321" t="s">
        <v>782</v>
      </c>
      <c r="X4321">
        <v>739</v>
      </c>
      <c r="Y4321" t="s">
        <v>26654</v>
      </c>
      <c r="Z4321" t="s">
        <v>26661</v>
      </c>
      <c r="AA4321" t="s">
        <v>26678</v>
      </c>
      <c r="AD4321" t="s">
        <v>40418</v>
      </c>
      <c r="AE4321">
        <v>150</v>
      </c>
      <c r="AF4321" t="s">
        <v>45543</v>
      </c>
      <c r="AG4321" t="s">
        <v>45556</v>
      </c>
      <c r="AH4321">
        <v>10</v>
      </c>
      <c r="AI4321">
        <v>3</v>
      </c>
      <c r="AJ4321">
        <v>2</v>
      </c>
      <c r="AK4321">
        <v>40.79</v>
      </c>
      <c r="AN4321" t="s">
        <v>7439</v>
      </c>
      <c r="AO4321">
        <v>12000</v>
      </c>
      <c r="AR4321" t="s">
        <v>46379</v>
      </c>
      <c r="AS4321" t="s">
        <v>46499</v>
      </c>
      <c r="AT4321" t="s">
        <v>46506</v>
      </c>
      <c r="AU4321">
        <v>5.45</v>
      </c>
      <c r="AV4321" t="s">
        <v>849</v>
      </c>
      <c r="AW4321" t="s">
        <v>190</v>
      </c>
    </row>
    <row r="4322" spans="1:50">
      <c r="A4322" s="1">
        <f>HYPERLINK("https://lsnyc.legalserver.org/matter/dynamic-profile/view/1878621","18-1878621")</f>
        <v>0</v>
      </c>
      <c r="B4322" t="s">
        <v>170</v>
      </c>
      <c r="C4322" t="s">
        <v>341</v>
      </c>
      <c r="D4322" t="s">
        <v>451</v>
      </c>
      <c r="E4322" t="s">
        <v>728</v>
      </c>
      <c r="F4322" t="s">
        <v>886</v>
      </c>
      <c r="G4322" t="s">
        <v>5008</v>
      </c>
      <c r="H4322" t="s">
        <v>12927</v>
      </c>
      <c r="I4322" t="s">
        <v>17273</v>
      </c>
      <c r="J4322" t="s">
        <v>18894</v>
      </c>
      <c r="K4322">
        <v>11220</v>
      </c>
      <c r="L4322" t="s">
        <v>18958</v>
      </c>
      <c r="M4322" t="s">
        <v>18958</v>
      </c>
      <c r="N4322" t="s">
        <v>22165</v>
      </c>
      <c r="O4322" t="s">
        <v>26523</v>
      </c>
      <c r="P4322" t="s">
        <v>26560</v>
      </c>
      <c r="Q4322" t="s">
        <v>26568</v>
      </c>
      <c r="R4322" t="s">
        <v>26586</v>
      </c>
      <c r="U4322" t="s">
        <v>26604</v>
      </c>
      <c r="W4322" t="s">
        <v>782</v>
      </c>
      <c r="X4322">
        <v>0</v>
      </c>
      <c r="Y4322" t="s">
        <v>26652</v>
      </c>
      <c r="Z4322" t="s">
        <v>26664</v>
      </c>
      <c r="AA4322" t="s">
        <v>26678</v>
      </c>
      <c r="AB4322" t="s">
        <v>30281</v>
      </c>
      <c r="AD4322" t="s">
        <v>40419</v>
      </c>
      <c r="AE4322">
        <v>16</v>
      </c>
      <c r="AG4322" t="s">
        <v>45563</v>
      </c>
      <c r="AH4322">
        <v>25</v>
      </c>
      <c r="AI4322">
        <v>2</v>
      </c>
      <c r="AJ4322">
        <v>0</v>
      </c>
      <c r="AK4322">
        <v>14.45</v>
      </c>
      <c r="AN4322" t="s">
        <v>7439</v>
      </c>
      <c r="AO4322">
        <v>2379</v>
      </c>
      <c r="AS4322" t="s">
        <v>46499</v>
      </c>
      <c r="AT4322" t="s">
        <v>46537</v>
      </c>
      <c r="AU4322">
        <v>17.8</v>
      </c>
      <c r="AV4322" t="s">
        <v>728</v>
      </c>
      <c r="AW4322" t="s">
        <v>46862</v>
      </c>
    </row>
    <row r="4323" spans="1:50">
      <c r="A4323" s="1">
        <f>HYPERLINK("https://lsnyc.legalserver.org/matter/dynamic-profile/view/1878916","18-1878916")</f>
        <v>0</v>
      </c>
      <c r="B4323" t="s">
        <v>88</v>
      </c>
      <c r="C4323" t="s">
        <v>341</v>
      </c>
      <c r="D4323" t="s">
        <v>457</v>
      </c>
      <c r="E4323" t="s">
        <v>782</v>
      </c>
      <c r="F4323" t="s">
        <v>1062</v>
      </c>
      <c r="G4323" t="s">
        <v>7253</v>
      </c>
      <c r="H4323" t="s">
        <v>10024</v>
      </c>
      <c r="I4323" t="s">
        <v>17316</v>
      </c>
      <c r="J4323" t="s">
        <v>18894</v>
      </c>
      <c r="K4323">
        <v>11221</v>
      </c>
      <c r="L4323" t="s">
        <v>18958</v>
      </c>
      <c r="M4323" t="s">
        <v>18958</v>
      </c>
      <c r="O4323" t="s">
        <v>26531</v>
      </c>
      <c r="P4323" t="s">
        <v>26565</v>
      </c>
      <c r="Q4323" t="s">
        <v>26571</v>
      </c>
      <c r="R4323" t="s">
        <v>26578</v>
      </c>
      <c r="S4323" t="s">
        <v>18958</v>
      </c>
      <c r="U4323" t="s">
        <v>26604</v>
      </c>
      <c r="V4323" t="s">
        <v>26610</v>
      </c>
      <c r="W4323" t="s">
        <v>782</v>
      </c>
      <c r="X4323">
        <v>336.58</v>
      </c>
      <c r="Y4323" t="s">
        <v>26652</v>
      </c>
      <c r="Z4323" t="s">
        <v>26663</v>
      </c>
      <c r="AA4323" t="s">
        <v>26685</v>
      </c>
      <c r="AB4323" t="s">
        <v>30282</v>
      </c>
      <c r="AC4323" t="s">
        <v>35753</v>
      </c>
      <c r="AD4323" t="s">
        <v>40420</v>
      </c>
      <c r="AE4323">
        <v>12</v>
      </c>
      <c r="AF4323" t="s">
        <v>45541</v>
      </c>
      <c r="AG4323" t="s">
        <v>19330</v>
      </c>
      <c r="AH4323">
        <v>7</v>
      </c>
      <c r="AI4323">
        <v>1</v>
      </c>
      <c r="AJ4323">
        <v>1</v>
      </c>
      <c r="AK4323">
        <v>85.05</v>
      </c>
      <c r="AN4323" t="s">
        <v>7439</v>
      </c>
      <c r="AO4323">
        <v>14000</v>
      </c>
      <c r="AU4323">
        <v>0.08</v>
      </c>
      <c r="AV4323" t="s">
        <v>685</v>
      </c>
      <c r="AW4323" t="s">
        <v>279</v>
      </c>
    </row>
    <row r="4324" spans="1:50">
      <c r="A4324" s="1">
        <f>HYPERLINK("https://lsnyc.legalserver.org/matter/dynamic-profile/view/1878919","18-1878919")</f>
        <v>0</v>
      </c>
      <c r="B4324" t="s">
        <v>88</v>
      </c>
      <c r="C4324" t="s">
        <v>340</v>
      </c>
      <c r="D4324" t="s">
        <v>457</v>
      </c>
      <c r="F4324" t="s">
        <v>1062</v>
      </c>
      <c r="G4324" t="s">
        <v>7253</v>
      </c>
      <c r="H4324" t="s">
        <v>10024</v>
      </c>
      <c r="I4324" t="s">
        <v>17316</v>
      </c>
      <c r="J4324" t="s">
        <v>18894</v>
      </c>
      <c r="K4324">
        <v>11221</v>
      </c>
      <c r="L4324" t="s">
        <v>18958</v>
      </c>
      <c r="M4324" t="s">
        <v>18958</v>
      </c>
      <c r="O4324" t="s">
        <v>26534</v>
      </c>
      <c r="P4324" t="s">
        <v>26561</v>
      </c>
      <c r="R4324" t="s">
        <v>26578</v>
      </c>
      <c r="S4324" t="s">
        <v>18958</v>
      </c>
      <c r="U4324" t="s">
        <v>26604</v>
      </c>
      <c r="W4324" t="s">
        <v>782</v>
      </c>
      <c r="X4324">
        <v>336.58</v>
      </c>
      <c r="Y4324" t="s">
        <v>26652</v>
      </c>
      <c r="Z4324" t="s">
        <v>26663</v>
      </c>
      <c r="AB4324" t="s">
        <v>30282</v>
      </c>
      <c r="AC4324" t="s">
        <v>35753</v>
      </c>
      <c r="AD4324" t="s">
        <v>40420</v>
      </c>
      <c r="AE4324">
        <v>12</v>
      </c>
      <c r="AF4324" t="s">
        <v>45541</v>
      </c>
      <c r="AH4324">
        <v>8</v>
      </c>
      <c r="AI4324">
        <v>1</v>
      </c>
      <c r="AJ4324">
        <v>1</v>
      </c>
      <c r="AK4324">
        <v>85.05</v>
      </c>
      <c r="AN4324" t="s">
        <v>7439</v>
      </c>
      <c r="AO4324">
        <v>14000</v>
      </c>
      <c r="AU4324">
        <v>0</v>
      </c>
      <c r="AW4324" t="s">
        <v>279</v>
      </c>
    </row>
    <row r="4325" spans="1:50">
      <c r="A4325" s="1">
        <f>HYPERLINK("https://lsnyc.legalserver.org/matter/dynamic-profile/view/1878923","18-1878923")</f>
        <v>0</v>
      </c>
      <c r="B4325" t="s">
        <v>88</v>
      </c>
      <c r="C4325" t="s">
        <v>340</v>
      </c>
      <c r="D4325" t="s">
        <v>457</v>
      </c>
      <c r="F4325" t="s">
        <v>1062</v>
      </c>
      <c r="G4325" t="s">
        <v>7253</v>
      </c>
      <c r="H4325" t="s">
        <v>10024</v>
      </c>
      <c r="I4325" t="s">
        <v>17316</v>
      </c>
      <c r="J4325" t="s">
        <v>18894</v>
      </c>
      <c r="K4325">
        <v>11221</v>
      </c>
      <c r="L4325" t="s">
        <v>18958</v>
      </c>
      <c r="M4325" t="s">
        <v>18958</v>
      </c>
      <c r="N4325" t="s">
        <v>22166</v>
      </c>
      <c r="O4325" t="s">
        <v>26526</v>
      </c>
      <c r="P4325" t="s">
        <v>26560</v>
      </c>
      <c r="R4325" t="s">
        <v>26578</v>
      </c>
      <c r="S4325" t="s">
        <v>18958</v>
      </c>
      <c r="U4325" t="s">
        <v>26604</v>
      </c>
      <c r="V4325" t="s">
        <v>26610</v>
      </c>
      <c r="W4325" t="s">
        <v>782</v>
      </c>
      <c r="X4325">
        <v>336.58</v>
      </c>
      <c r="Y4325" t="s">
        <v>26652</v>
      </c>
      <c r="Z4325" t="s">
        <v>26663</v>
      </c>
      <c r="AB4325" t="s">
        <v>30282</v>
      </c>
      <c r="AC4325" t="s">
        <v>35753</v>
      </c>
      <c r="AD4325" t="s">
        <v>40420</v>
      </c>
      <c r="AE4325">
        <v>12</v>
      </c>
      <c r="AF4325" t="s">
        <v>45541</v>
      </c>
      <c r="AG4325" t="s">
        <v>19330</v>
      </c>
      <c r="AH4325">
        <v>8</v>
      </c>
      <c r="AI4325">
        <v>1</v>
      </c>
      <c r="AJ4325">
        <v>1</v>
      </c>
      <c r="AK4325">
        <v>85.05</v>
      </c>
      <c r="AN4325" t="s">
        <v>7439</v>
      </c>
      <c r="AO4325">
        <v>14000</v>
      </c>
      <c r="AU4325">
        <v>0</v>
      </c>
      <c r="AW4325" t="s">
        <v>279</v>
      </c>
    </row>
    <row r="4326" spans="1:50">
      <c r="A4326" s="1">
        <f>HYPERLINK("https://lsnyc.legalserver.org/matter/dynamic-profile/view/1879780","18-1879780")</f>
        <v>0</v>
      </c>
      <c r="B4326" t="s">
        <v>123</v>
      </c>
      <c r="C4326" t="s">
        <v>340</v>
      </c>
      <c r="D4326" t="s">
        <v>606</v>
      </c>
      <c r="F4326" t="s">
        <v>2997</v>
      </c>
      <c r="G4326" t="s">
        <v>6893</v>
      </c>
      <c r="H4326" t="s">
        <v>12928</v>
      </c>
      <c r="I4326" t="s">
        <v>18099</v>
      </c>
      <c r="J4326" t="s">
        <v>18894</v>
      </c>
      <c r="K4326">
        <v>11225</v>
      </c>
      <c r="L4326" t="s">
        <v>18958</v>
      </c>
      <c r="M4326" t="s">
        <v>18958</v>
      </c>
      <c r="N4326" t="s">
        <v>22167</v>
      </c>
      <c r="O4326" t="s">
        <v>26523</v>
      </c>
      <c r="P4326" t="s">
        <v>26560</v>
      </c>
      <c r="R4326" t="s">
        <v>26588</v>
      </c>
      <c r="S4326" t="s">
        <v>18959</v>
      </c>
      <c r="U4326" t="s">
        <v>26604</v>
      </c>
      <c r="W4326" t="s">
        <v>782</v>
      </c>
      <c r="X4326">
        <v>896</v>
      </c>
      <c r="Y4326" t="s">
        <v>26652</v>
      </c>
      <c r="Z4326" t="s">
        <v>26659</v>
      </c>
      <c r="AB4326" t="s">
        <v>30283</v>
      </c>
      <c r="AD4326" t="s">
        <v>40421</v>
      </c>
      <c r="AE4326">
        <v>124</v>
      </c>
      <c r="AF4326" t="s">
        <v>45541</v>
      </c>
      <c r="AH4326">
        <v>8</v>
      </c>
      <c r="AI4326">
        <v>1</v>
      </c>
      <c r="AJ4326">
        <v>0</v>
      </c>
      <c r="AK4326">
        <v>114.25</v>
      </c>
      <c r="AN4326" t="s">
        <v>7439</v>
      </c>
      <c r="AO4326">
        <v>13869.6</v>
      </c>
      <c r="AU4326">
        <v>38.38</v>
      </c>
      <c r="AV4326" t="s">
        <v>826</v>
      </c>
      <c r="AW4326" t="s">
        <v>46862</v>
      </c>
      <c r="AX4326" t="s">
        <v>46897</v>
      </c>
    </row>
    <row r="4327" spans="1:50">
      <c r="A4327" s="1">
        <f>HYPERLINK("https://lsnyc.legalserver.org/matter/dynamic-profile/view/1879991","18-1879991")</f>
        <v>0</v>
      </c>
      <c r="B4327" t="s">
        <v>129</v>
      </c>
      <c r="C4327" t="s">
        <v>340</v>
      </c>
      <c r="D4327" t="s">
        <v>412</v>
      </c>
      <c r="F4327" t="s">
        <v>979</v>
      </c>
      <c r="G4327" t="s">
        <v>5385</v>
      </c>
      <c r="H4327" t="s">
        <v>10485</v>
      </c>
      <c r="I4327" t="s">
        <v>17424</v>
      </c>
      <c r="J4327" t="s">
        <v>18894</v>
      </c>
      <c r="K4327">
        <v>11221</v>
      </c>
      <c r="L4327" t="s">
        <v>18958</v>
      </c>
      <c r="M4327" t="s">
        <v>18958</v>
      </c>
      <c r="N4327" t="s">
        <v>22168</v>
      </c>
      <c r="O4327" t="s">
        <v>26523</v>
      </c>
      <c r="P4327" t="s">
        <v>26560</v>
      </c>
      <c r="R4327" t="s">
        <v>26588</v>
      </c>
      <c r="U4327" t="s">
        <v>26604</v>
      </c>
      <c r="W4327" t="s">
        <v>782</v>
      </c>
      <c r="X4327">
        <v>1862</v>
      </c>
      <c r="Y4327" t="s">
        <v>26652</v>
      </c>
      <c r="Z4327" t="s">
        <v>26669</v>
      </c>
      <c r="AB4327" t="s">
        <v>27585</v>
      </c>
      <c r="AD4327" t="s">
        <v>40422</v>
      </c>
      <c r="AE4327">
        <v>70</v>
      </c>
      <c r="AG4327" t="s">
        <v>45556</v>
      </c>
      <c r="AH4327">
        <v>10</v>
      </c>
      <c r="AI4327">
        <v>1</v>
      </c>
      <c r="AJ4327">
        <v>2</v>
      </c>
      <c r="AK4327">
        <v>190.09</v>
      </c>
      <c r="AN4327" t="s">
        <v>7439</v>
      </c>
      <c r="AO4327">
        <v>39500</v>
      </c>
      <c r="AU4327">
        <v>4.9</v>
      </c>
      <c r="AV4327" t="s">
        <v>785</v>
      </c>
      <c r="AW4327" t="s">
        <v>46862</v>
      </c>
    </row>
    <row r="4328" spans="1:50">
      <c r="A4328" s="1">
        <f>HYPERLINK("https://lsnyc.legalserver.org/matter/dynamic-profile/view/1880017","18-1880017")</f>
        <v>0</v>
      </c>
      <c r="B4328" t="s">
        <v>129</v>
      </c>
      <c r="C4328" t="s">
        <v>340</v>
      </c>
      <c r="D4328" t="s">
        <v>413</v>
      </c>
      <c r="F4328" t="s">
        <v>2087</v>
      </c>
      <c r="G4328" t="s">
        <v>7254</v>
      </c>
      <c r="H4328" t="s">
        <v>12929</v>
      </c>
      <c r="I4328" t="s">
        <v>17312</v>
      </c>
      <c r="J4328" t="s">
        <v>18894</v>
      </c>
      <c r="K4328">
        <v>11230</v>
      </c>
      <c r="L4328" t="s">
        <v>18958</v>
      </c>
      <c r="M4328" t="s">
        <v>18958</v>
      </c>
      <c r="N4328" t="s">
        <v>22169</v>
      </c>
      <c r="O4328" t="s">
        <v>26524</v>
      </c>
      <c r="P4328" t="s">
        <v>26560</v>
      </c>
      <c r="R4328" t="s">
        <v>26586</v>
      </c>
      <c r="U4328" t="s">
        <v>26604</v>
      </c>
      <c r="W4328" t="s">
        <v>782</v>
      </c>
      <c r="X4328">
        <v>1400</v>
      </c>
      <c r="Y4328" t="s">
        <v>26652</v>
      </c>
      <c r="Z4328" t="s">
        <v>26664</v>
      </c>
      <c r="AB4328" t="s">
        <v>28126</v>
      </c>
      <c r="AD4328" t="s">
        <v>40423</v>
      </c>
      <c r="AE4328">
        <v>0</v>
      </c>
      <c r="AG4328" t="s">
        <v>45558</v>
      </c>
      <c r="AH4328">
        <v>4</v>
      </c>
      <c r="AI4328">
        <v>3</v>
      </c>
      <c r="AJ4328">
        <v>1</v>
      </c>
      <c r="AK4328">
        <v>41.59</v>
      </c>
      <c r="AN4328" t="s">
        <v>7439</v>
      </c>
      <c r="AO4328">
        <v>10440</v>
      </c>
      <c r="AU4328">
        <v>24.9</v>
      </c>
      <c r="AV4328" t="s">
        <v>838</v>
      </c>
      <c r="AW4328" t="s">
        <v>46862</v>
      </c>
    </row>
    <row r="4329" spans="1:50">
      <c r="A4329" s="1">
        <f>HYPERLINK("https://lsnyc.legalserver.org/matter/dynamic-profile/view/1880025","18-1880025")</f>
        <v>0</v>
      </c>
      <c r="B4329" t="s">
        <v>129</v>
      </c>
      <c r="C4329" t="s">
        <v>340</v>
      </c>
      <c r="D4329" t="s">
        <v>413</v>
      </c>
      <c r="F4329" t="s">
        <v>2998</v>
      </c>
      <c r="G4329" t="s">
        <v>5657</v>
      </c>
      <c r="H4329" t="s">
        <v>12930</v>
      </c>
      <c r="I4329" t="s">
        <v>18100</v>
      </c>
      <c r="J4329" t="s">
        <v>18894</v>
      </c>
      <c r="K4329">
        <v>11236</v>
      </c>
      <c r="L4329" t="s">
        <v>18958</v>
      </c>
      <c r="M4329" t="s">
        <v>18958</v>
      </c>
      <c r="N4329" t="s">
        <v>22170</v>
      </c>
      <c r="O4329" t="s">
        <v>26524</v>
      </c>
      <c r="P4329" t="s">
        <v>26560</v>
      </c>
      <c r="R4329" t="s">
        <v>26586</v>
      </c>
      <c r="U4329" t="s">
        <v>26604</v>
      </c>
      <c r="W4329" t="s">
        <v>782</v>
      </c>
      <c r="X4329">
        <v>800</v>
      </c>
      <c r="Y4329" t="s">
        <v>26652</v>
      </c>
      <c r="Z4329" t="s">
        <v>26664</v>
      </c>
      <c r="AB4329" t="s">
        <v>30284</v>
      </c>
      <c r="AE4329">
        <v>2</v>
      </c>
      <c r="AG4329" t="s">
        <v>45562</v>
      </c>
      <c r="AH4329">
        <v>2</v>
      </c>
      <c r="AI4329">
        <v>1</v>
      </c>
      <c r="AJ4329">
        <v>0</v>
      </c>
      <c r="AK4329">
        <v>78.68000000000001</v>
      </c>
      <c r="AN4329" t="s">
        <v>7439</v>
      </c>
      <c r="AO4329">
        <v>9552</v>
      </c>
      <c r="AU4329">
        <v>9.4</v>
      </c>
      <c r="AV4329" t="s">
        <v>669</v>
      </c>
      <c r="AW4329" t="s">
        <v>46862</v>
      </c>
    </row>
    <row r="4330" spans="1:50">
      <c r="A4330" s="1">
        <f>HYPERLINK("https://lsnyc.legalserver.org/matter/dynamic-profile/view/1880813","18-1880813")</f>
        <v>0</v>
      </c>
      <c r="B4330" t="s">
        <v>165</v>
      </c>
      <c r="C4330" t="s">
        <v>341</v>
      </c>
      <c r="D4330" t="s">
        <v>630</v>
      </c>
      <c r="E4330" t="s">
        <v>820</v>
      </c>
      <c r="F4330" t="s">
        <v>2074</v>
      </c>
      <c r="G4330" t="s">
        <v>7255</v>
      </c>
      <c r="H4330" t="s">
        <v>12931</v>
      </c>
      <c r="I4330">
        <v>31</v>
      </c>
      <c r="J4330" t="s">
        <v>18893</v>
      </c>
      <c r="K4330">
        <v>10031</v>
      </c>
      <c r="L4330" t="s">
        <v>18958</v>
      </c>
      <c r="M4330" t="s">
        <v>18958</v>
      </c>
      <c r="N4330" t="s">
        <v>22171</v>
      </c>
      <c r="O4330" t="s">
        <v>26523</v>
      </c>
      <c r="P4330" t="s">
        <v>26560</v>
      </c>
      <c r="Q4330" t="s">
        <v>26568</v>
      </c>
      <c r="R4330" t="s">
        <v>26580</v>
      </c>
      <c r="S4330" t="s">
        <v>18959</v>
      </c>
      <c r="U4330" t="s">
        <v>26604</v>
      </c>
      <c r="V4330" t="s">
        <v>26610</v>
      </c>
      <c r="W4330" t="s">
        <v>782</v>
      </c>
      <c r="X4330">
        <v>1656</v>
      </c>
      <c r="Y4330" t="s">
        <v>26651</v>
      </c>
      <c r="Z4330" t="s">
        <v>26664</v>
      </c>
      <c r="AA4330" t="s">
        <v>26678</v>
      </c>
      <c r="AB4330" t="s">
        <v>30285</v>
      </c>
      <c r="AD4330" t="s">
        <v>40424</v>
      </c>
      <c r="AE4330">
        <v>21</v>
      </c>
      <c r="AF4330" t="s">
        <v>45541</v>
      </c>
      <c r="AG4330" t="s">
        <v>45559</v>
      </c>
      <c r="AH4330">
        <v>18</v>
      </c>
      <c r="AI4330">
        <v>4</v>
      </c>
      <c r="AJ4330">
        <v>0</v>
      </c>
      <c r="AK4330">
        <v>117.45</v>
      </c>
      <c r="AN4330" t="s">
        <v>45581</v>
      </c>
      <c r="AO4330">
        <v>29480</v>
      </c>
      <c r="AS4330" t="s">
        <v>46499</v>
      </c>
      <c r="AT4330" t="s">
        <v>46687</v>
      </c>
      <c r="AU4330">
        <v>9.5</v>
      </c>
      <c r="AV4330" t="s">
        <v>757</v>
      </c>
      <c r="AW4330" t="s">
        <v>314</v>
      </c>
    </row>
    <row r="4331" spans="1:50">
      <c r="A4331" s="1">
        <f>HYPERLINK("https://lsnyc.legalserver.org/matter/dynamic-profile/view/1879673","18-1879673")</f>
        <v>0</v>
      </c>
      <c r="B4331" t="s">
        <v>109</v>
      </c>
      <c r="C4331" t="s">
        <v>341</v>
      </c>
      <c r="D4331" t="s">
        <v>605</v>
      </c>
      <c r="E4331" t="s">
        <v>849</v>
      </c>
      <c r="F4331" t="s">
        <v>2999</v>
      </c>
      <c r="G4331" t="s">
        <v>7256</v>
      </c>
      <c r="H4331" t="s">
        <v>10733</v>
      </c>
      <c r="I4331" t="s">
        <v>18101</v>
      </c>
      <c r="J4331" t="s">
        <v>18902</v>
      </c>
      <c r="K4331">
        <v>10303</v>
      </c>
      <c r="L4331" t="s">
        <v>18958</v>
      </c>
      <c r="M4331" t="s">
        <v>18958</v>
      </c>
      <c r="N4331" t="s">
        <v>22172</v>
      </c>
      <c r="O4331" t="s">
        <v>26523</v>
      </c>
      <c r="P4331" t="s">
        <v>26560</v>
      </c>
      <c r="Q4331" t="s">
        <v>26568</v>
      </c>
      <c r="R4331" t="s">
        <v>26590</v>
      </c>
      <c r="U4331" t="s">
        <v>26605</v>
      </c>
      <c r="V4331" t="s">
        <v>26612</v>
      </c>
      <c r="W4331" t="s">
        <v>782</v>
      </c>
      <c r="X4331">
        <v>526</v>
      </c>
      <c r="Y4331" t="s">
        <v>26654</v>
      </c>
      <c r="AA4331" t="s">
        <v>26680</v>
      </c>
      <c r="AB4331" t="s">
        <v>30286</v>
      </c>
      <c r="AD4331" t="s">
        <v>40425</v>
      </c>
      <c r="AE4331">
        <v>130</v>
      </c>
      <c r="AG4331" t="s">
        <v>45556</v>
      </c>
      <c r="AH4331">
        <v>9</v>
      </c>
      <c r="AI4331">
        <v>1</v>
      </c>
      <c r="AJ4331">
        <v>2</v>
      </c>
      <c r="AK4331">
        <v>100.1</v>
      </c>
      <c r="AN4331" t="s">
        <v>7439</v>
      </c>
      <c r="AO4331">
        <v>20800</v>
      </c>
      <c r="AR4331" t="s">
        <v>46379</v>
      </c>
      <c r="AS4331" t="s">
        <v>46499</v>
      </c>
      <c r="AT4331" t="s">
        <v>46748</v>
      </c>
      <c r="AU4331">
        <v>2</v>
      </c>
      <c r="AV4331" t="s">
        <v>849</v>
      </c>
      <c r="AW4331" t="s">
        <v>46855</v>
      </c>
    </row>
    <row r="4332" spans="1:50">
      <c r="A4332" s="1">
        <f>HYPERLINK("https://lsnyc.legalserver.org/matter/dynamic-profile/view/1881317","18-1881317")</f>
        <v>0</v>
      </c>
      <c r="B4332" t="s">
        <v>66</v>
      </c>
      <c r="C4332" t="s">
        <v>341</v>
      </c>
      <c r="D4332" t="s">
        <v>632</v>
      </c>
      <c r="E4332" t="s">
        <v>714</v>
      </c>
      <c r="F4332" t="s">
        <v>900</v>
      </c>
      <c r="G4332" t="s">
        <v>7257</v>
      </c>
      <c r="H4332" t="s">
        <v>12932</v>
      </c>
      <c r="I4332">
        <v>47</v>
      </c>
      <c r="J4332" t="s">
        <v>18893</v>
      </c>
      <c r="K4332">
        <v>10027</v>
      </c>
      <c r="L4332" t="s">
        <v>18958</v>
      </c>
      <c r="M4332" t="s">
        <v>18958</v>
      </c>
      <c r="N4332" t="s">
        <v>22173</v>
      </c>
      <c r="O4332" t="s">
        <v>26523</v>
      </c>
      <c r="P4332" t="s">
        <v>26564</v>
      </c>
      <c r="Q4332" t="s">
        <v>26570</v>
      </c>
      <c r="R4332" t="s">
        <v>26578</v>
      </c>
      <c r="S4332" t="s">
        <v>18959</v>
      </c>
      <c r="U4332" t="s">
        <v>26604</v>
      </c>
      <c r="V4332" t="s">
        <v>26610</v>
      </c>
      <c r="W4332" t="s">
        <v>782</v>
      </c>
      <c r="X4332">
        <v>700</v>
      </c>
      <c r="Y4332" t="s">
        <v>26651</v>
      </c>
      <c r="Z4332" t="s">
        <v>26664</v>
      </c>
      <c r="AA4332" t="s">
        <v>26683</v>
      </c>
      <c r="AB4332" t="s">
        <v>29370</v>
      </c>
      <c r="AD4332" t="s">
        <v>40426</v>
      </c>
      <c r="AE4332">
        <v>0</v>
      </c>
      <c r="AF4332" t="s">
        <v>20460</v>
      </c>
      <c r="AG4332" t="s">
        <v>19330</v>
      </c>
      <c r="AH4332">
        <v>3</v>
      </c>
      <c r="AI4332">
        <v>1</v>
      </c>
      <c r="AJ4332">
        <v>0</v>
      </c>
      <c r="AK4332">
        <v>313.01</v>
      </c>
      <c r="AN4332" t="s">
        <v>7439</v>
      </c>
      <c r="AO4332">
        <v>38000</v>
      </c>
      <c r="AU4332">
        <v>1.5</v>
      </c>
      <c r="AV4332" t="s">
        <v>427</v>
      </c>
      <c r="AW4332" t="s">
        <v>314</v>
      </c>
    </row>
    <row r="4333" spans="1:50">
      <c r="A4333" s="1">
        <f>HYPERLINK("https://lsnyc.legalserver.org/matter/dynamic-profile/view/1881253","18-1881253")</f>
        <v>0</v>
      </c>
      <c r="B4333" t="s">
        <v>193</v>
      </c>
      <c r="C4333" t="s">
        <v>341</v>
      </c>
      <c r="D4333" t="s">
        <v>632</v>
      </c>
      <c r="E4333" t="s">
        <v>727</v>
      </c>
      <c r="F4333" t="s">
        <v>1356</v>
      </c>
      <c r="G4333" t="s">
        <v>7258</v>
      </c>
      <c r="H4333" t="s">
        <v>12933</v>
      </c>
      <c r="I4333" t="s">
        <v>17352</v>
      </c>
      <c r="J4333" t="s">
        <v>18894</v>
      </c>
      <c r="K4333">
        <v>11218</v>
      </c>
      <c r="L4333" t="s">
        <v>18958</v>
      </c>
      <c r="M4333" t="s">
        <v>18958</v>
      </c>
      <c r="N4333" t="s">
        <v>22174</v>
      </c>
      <c r="O4333" t="s">
        <v>26523</v>
      </c>
      <c r="P4333" t="s">
        <v>26564</v>
      </c>
      <c r="Q4333" t="s">
        <v>26570</v>
      </c>
      <c r="R4333" t="s">
        <v>26586</v>
      </c>
      <c r="U4333" t="s">
        <v>26604</v>
      </c>
      <c r="W4333" t="s">
        <v>782</v>
      </c>
      <c r="X4333">
        <v>1442</v>
      </c>
      <c r="Y4333" t="s">
        <v>26652</v>
      </c>
      <c r="Z4333" t="s">
        <v>26664</v>
      </c>
      <c r="AA4333" t="s">
        <v>26683</v>
      </c>
      <c r="AB4333" t="s">
        <v>30287</v>
      </c>
      <c r="AC4333" t="s">
        <v>35754</v>
      </c>
      <c r="AD4333" t="s">
        <v>40427</v>
      </c>
      <c r="AE4333">
        <v>80</v>
      </c>
      <c r="AH4333">
        <v>9</v>
      </c>
      <c r="AI4333">
        <v>1</v>
      </c>
      <c r="AJ4333">
        <v>0</v>
      </c>
      <c r="AK4333">
        <v>64.25</v>
      </c>
      <c r="AN4333" t="s">
        <v>7439</v>
      </c>
      <c r="AO4333">
        <v>7800</v>
      </c>
      <c r="AU4333">
        <v>5.4</v>
      </c>
      <c r="AV4333" t="s">
        <v>727</v>
      </c>
      <c r="AW4333" t="s">
        <v>281</v>
      </c>
    </row>
    <row r="4334" spans="1:50">
      <c r="A4334" s="1">
        <f>HYPERLINK("https://lsnyc.legalserver.org/matter/dynamic-profile/view/1881571","18-1881571")</f>
        <v>0</v>
      </c>
      <c r="B4334" t="s">
        <v>193</v>
      </c>
      <c r="C4334" t="s">
        <v>340</v>
      </c>
      <c r="D4334" t="s">
        <v>618</v>
      </c>
      <c r="F4334" t="s">
        <v>3000</v>
      </c>
      <c r="G4334" t="s">
        <v>3228</v>
      </c>
      <c r="H4334" t="s">
        <v>12934</v>
      </c>
      <c r="I4334" t="s">
        <v>17597</v>
      </c>
      <c r="J4334" t="s">
        <v>18894</v>
      </c>
      <c r="K4334">
        <v>11209</v>
      </c>
      <c r="L4334" t="s">
        <v>18958</v>
      </c>
      <c r="M4334" t="s">
        <v>18958</v>
      </c>
      <c r="N4334" t="s">
        <v>22175</v>
      </c>
      <c r="O4334" t="s">
        <v>26523</v>
      </c>
      <c r="P4334" t="s">
        <v>26560</v>
      </c>
      <c r="R4334" t="s">
        <v>26586</v>
      </c>
      <c r="S4334" t="s">
        <v>18959</v>
      </c>
      <c r="U4334" t="s">
        <v>26604</v>
      </c>
      <c r="V4334" t="s">
        <v>26610</v>
      </c>
      <c r="W4334" t="s">
        <v>782</v>
      </c>
      <c r="X4334">
        <v>860</v>
      </c>
      <c r="Y4334" t="s">
        <v>26652</v>
      </c>
      <c r="Z4334" t="s">
        <v>26664</v>
      </c>
      <c r="AB4334" t="s">
        <v>29770</v>
      </c>
      <c r="AC4334" t="s">
        <v>35755</v>
      </c>
      <c r="AD4334" t="s">
        <v>40428</v>
      </c>
      <c r="AE4334">
        <v>36</v>
      </c>
      <c r="AF4334" t="s">
        <v>45541</v>
      </c>
      <c r="AG4334" t="s">
        <v>19330</v>
      </c>
      <c r="AH4334">
        <v>20</v>
      </c>
      <c r="AI4334">
        <v>4</v>
      </c>
      <c r="AJ4334">
        <v>2</v>
      </c>
      <c r="AK4334">
        <v>42.38</v>
      </c>
      <c r="AN4334" t="s">
        <v>45603</v>
      </c>
      <c r="AO4334">
        <v>14300</v>
      </c>
      <c r="AQ4334" t="s">
        <v>46362</v>
      </c>
      <c r="AR4334" t="s">
        <v>46419</v>
      </c>
      <c r="AS4334" t="s">
        <v>46499</v>
      </c>
      <c r="AT4334" t="s">
        <v>46615</v>
      </c>
      <c r="AU4334">
        <v>70.8</v>
      </c>
      <c r="AV4334" t="s">
        <v>760</v>
      </c>
      <c r="AW4334" t="s">
        <v>281</v>
      </c>
    </row>
    <row r="4335" spans="1:50">
      <c r="A4335" s="1">
        <f>HYPERLINK("https://lsnyc.legalserver.org/matter/dynamic-profile/view/1881783","18-1881783")</f>
        <v>0</v>
      </c>
      <c r="B4335" t="s">
        <v>123</v>
      </c>
      <c r="C4335" t="s">
        <v>341</v>
      </c>
      <c r="D4335" t="s">
        <v>643</v>
      </c>
      <c r="E4335" t="s">
        <v>818</v>
      </c>
      <c r="F4335" t="s">
        <v>918</v>
      </c>
      <c r="G4335" t="s">
        <v>5300</v>
      </c>
      <c r="H4335" t="s">
        <v>12935</v>
      </c>
      <c r="I4335" t="s">
        <v>17277</v>
      </c>
      <c r="J4335" t="s">
        <v>18894</v>
      </c>
      <c r="K4335">
        <v>11225</v>
      </c>
      <c r="L4335" t="s">
        <v>18958</v>
      </c>
      <c r="M4335" t="s">
        <v>18958</v>
      </c>
      <c r="N4335" t="s">
        <v>22176</v>
      </c>
      <c r="O4335" t="s">
        <v>26523</v>
      </c>
      <c r="P4335" t="s">
        <v>26560</v>
      </c>
      <c r="Q4335" t="s">
        <v>26568</v>
      </c>
      <c r="R4335" t="s">
        <v>26588</v>
      </c>
      <c r="U4335" t="s">
        <v>26604</v>
      </c>
      <c r="W4335" t="s">
        <v>782</v>
      </c>
      <c r="X4335">
        <v>1498.59</v>
      </c>
      <c r="Y4335" t="s">
        <v>26652</v>
      </c>
      <c r="Z4335" t="s">
        <v>26659</v>
      </c>
      <c r="AA4335" t="s">
        <v>26678</v>
      </c>
      <c r="AB4335" t="s">
        <v>30288</v>
      </c>
      <c r="AD4335" t="s">
        <v>40429</v>
      </c>
      <c r="AE4335">
        <v>60</v>
      </c>
      <c r="AG4335" t="s">
        <v>19330</v>
      </c>
      <c r="AH4335">
        <v>20</v>
      </c>
      <c r="AI4335">
        <v>2</v>
      </c>
      <c r="AJ4335">
        <v>0</v>
      </c>
      <c r="AK4335">
        <v>130.74</v>
      </c>
      <c r="AN4335" t="s">
        <v>7439</v>
      </c>
      <c r="AO4335">
        <v>21520</v>
      </c>
      <c r="AR4335" t="s">
        <v>46380</v>
      </c>
      <c r="AS4335" t="s">
        <v>46499</v>
      </c>
      <c r="AT4335" t="s">
        <v>46649</v>
      </c>
      <c r="AU4335">
        <v>1</v>
      </c>
      <c r="AV4335" t="s">
        <v>643</v>
      </c>
      <c r="AW4335" t="s">
        <v>46862</v>
      </c>
      <c r="AX4335" t="s">
        <v>46897</v>
      </c>
    </row>
    <row r="4336" spans="1:50">
      <c r="A4336" s="1">
        <f>HYPERLINK("https://lsnyc.legalserver.org/matter/dynamic-profile/view/1881825","18-1881825")</f>
        <v>0</v>
      </c>
      <c r="B4336" t="s">
        <v>129</v>
      </c>
      <c r="C4336" t="s">
        <v>340</v>
      </c>
      <c r="D4336" t="s">
        <v>643</v>
      </c>
      <c r="F4336" t="s">
        <v>2998</v>
      </c>
      <c r="G4336" t="s">
        <v>5657</v>
      </c>
      <c r="H4336" t="s">
        <v>12930</v>
      </c>
      <c r="I4336" t="s">
        <v>18100</v>
      </c>
      <c r="J4336" t="s">
        <v>18894</v>
      </c>
      <c r="K4336">
        <v>11236</v>
      </c>
      <c r="L4336" t="s">
        <v>18958</v>
      </c>
      <c r="M4336" t="s">
        <v>18958</v>
      </c>
      <c r="N4336" t="s">
        <v>22177</v>
      </c>
      <c r="O4336" t="s">
        <v>26524</v>
      </c>
      <c r="P4336" t="s">
        <v>26560</v>
      </c>
      <c r="R4336" t="s">
        <v>26586</v>
      </c>
      <c r="U4336" t="s">
        <v>26604</v>
      </c>
      <c r="W4336" t="s">
        <v>782</v>
      </c>
      <c r="X4336">
        <v>800</v>
      </c>
      <c r="Y4336" t="s">
        <v>26652</v>
      </c>
      <c r="Z4336" t="s">
        <v>26664</v>
      </c>
      <c r="AB4336" t="s">
        <v>30284</v>
      </c>
      <c r="AE4336">
        <v>2</v>
      </c>
      <c r="AG4336" t="s">
        <v>45562</v>
      </c>
      <c r="AH4336">
        <v>2</v>
      </c>
      <c r="AI4336">
        <v>1</v>
      </c>
      <c r="AJ4336">
        <v>0</v>
      </c>
      <c r="AK4336">
        <v>78.68000000000001</v>
      </c>
      <c r="AN4336" t="s">
        <v>7439</v>
      </c>
      <c r="AO4336">
        <v>9552</v>
      </c>
      <c r="AU4336">
        <v>15.65</v>
      </c>
      <c r="AV4336" t="s">
        <v>756</v>
      </c>
      <c r="AW4336" t="s">
        <v>46862</v>
      </c>
    </row>
    <row r="4337" spans="1:49">
      <c r="A4337" s="1">
        <f>HYPERLINK("https://lsnyc.legalserver.org/matter/dynamic-profile/view/1882424","18-1882424")</f>
        <v>0</v>
      </c>
      <c r="B4337" t="s">
        <v>140</v>
      </c>
      <c r="C4337" t="s">
        <v>340</v>
      </c>
      <c r="D4337" t="s">
        <v>428</v>
      </c>
      <c r="F4337" t="s">
        <v>3001</v>
      </c>
      <c r="G4337" t="s">
        <v>7259</v>
      </c>
      <c r="H4337" t="s">
        <v>12936</v>
      </c>
      <c r="I4337" t="s">
        <v>17333</v>
      </c>
      <c r="J4337" t="s">
        <v>18894</v>
      </c>
      <c r="K4337">
        <v>11226</v>
      </c>
      <c r="L4337" t="s">
        <v>18958</v>
      </c>
      <c r="M4337" t="s">
        <v>18958</v>
      </c>
      <c r="N4337" t="s">
        <v>22178</v>
      </c>
      <c r="O4337" t="s">
        <v>26524</v>
      </c>
      <c r="P4337" t="s">
        <v>26560</v>
      </c>
      <c r="R4337" t="s">
        <v>26588</v>
      </c>
      <c r="S4337" t="s">
        <v>18959</v>
      </c>
      <c r="U4337" t="s">
        <v>26604</v>
      </c>
      <c r="V4337" t="s">
        <v>26613</v>
      </c>
      <c r="W4337" t="s">
        <v>782</v>
      </c>
      <c r="X4337">
        <v>1418</v>
      </c>
      <c r="Y4337" t="s">
        <v>26652</v>
      </c>
      <c r="Z4337" t="s">
        <v>26664</v>
      </c>
      <c r="AB4337" t="s">
        <v>27414</v>
      </c>
      <c r="AD4337" t="s">
        <v>40430</v>
      </c>
      <c r="AE4337">
        <v>8</v>
      </c>
      <c r="AF4337" t="s">
        <v>45541</v>
      </c>
      <c r="AG4337" t="s">
        <v>19330</v>
      </c>
      <c r="AH4337">
        <v>40</v>
      </c>
      <c r="AI4337">
        <v>1</v>
      </c>
      <c r="AJ4337">
        <v>0</v>
      </c>
      <c r="AK4337">
        <v>153.99</v>
      </c>
      <c r="AO4337">
        <v>18694</v>
      </c>
      <c r="AU4337">
        <v>26</v>
      </c>
      <c r="AV4337" t="s">
        <v>839</v>
      </c>
      <c r="AW4337" t="s">
        <v>46862</v>
      </c>
    </row>
    <row r="4338" spans="1:49">
      <c r="A4338" s="1">
        <f>HYPERLINK("https://lsnyc.legalserver.org/matter/dynamic-profile/view/1882883","18-1882883")</f>
        <v>0</v>
      </c>
      <c r="B4338" t="s">
        <v>276</v>
      </c>
      <c r="C4338" t="s">
        <v>340</v>
      </c>
      <c r="D4338" t="s">
        <v>577</v>
      </c>
      <c r="F4338" t="s">
        <v>1809</v>
      </c>
      <c r="G4338" t="s">
        <v>7260</v>
      </c>
      <c r="H4338" t="s">
        <v>12937</v>
      </c>
      <c r="I4338">
        <v>224</v>
      </c>
      <c r="J4338" t="s">
        <v>18894</v>
      </c>
      <c r="K4338">
        <v>11217</v>
      </c>
      <c r="L4338" t="s">
        <v>18958</v>
      </c>
      <c r="M4338" t="s">
        <v>18958</v>
      </c>
      <c r="N4338" t="s">
        <v>22179</v>
      </c>
      <c r="O4338" t="s">
        <v>26524</v>
      </c>
      <c r="P4338" t="s">
        <v>26560</v>
      </c>
      <c r="R4338" t="s">
        <v>26578</v>
      </c>
      <c r="S4338" t="s">
        <v>18959</v>
      </c>
      <c r="U4338" t="s">
        <v>26604</v>
      </c>
      <c r="W4338" t="s">
        <v>782</v>
      </c>
      <c r="X4338">
        <v>0</v>
      </c>
      <c r="Y4338" t="s">
        <v>26652</v>
      </c>
      <c r="AB4338" t="s">
        <v>30289</v>
      </c>
      <c r="AD4338" t="s">
        <v>40431</v>
      </c>
      <c r="AE4338">
        <v>0</v>
      </c>
      <c r="AH4338">
        <v>0</v>
      </c>
      <c r="AI4338">
        <v>1</v>
      </c>
      <c r="AJ4338">
        <v>0</v>
      </c>
      <c r="AK4338">
        <v>83.23</v>
      </c>
      <c r="AN4338" t="s">
        <v>7439</v>
      </c>
      <c r="AO4338">
        <v>10104</v>
      </c>
      <c r="AU4338">
        <v>60.15</v>
      </c>
      <c r="AV4338" t="s">
        <v>826</v>
      </c>
      <c r="AW4338" t="s">
        <v>198</v>
      </c>
    </row>
    <row r="4339" spans="1:49">
      <c r="A4339" s="1">
        <f>HYPERLINK("https://lsnyc.legalserver.org/matter/dynamic-profile/view/1882880","18-1882880")</f>
        <v>0</v>
      </c>
      <c r="B4339" t="s">
        <v>129</v>
      </c>
      <c r="C4339" t="s">
        <v>340</v>
      </c>
      <c r="D4339" t="s">
        <v>577</v>
      </c>
      <c r="F4339" t="s">
        <v>1987</v>
      </c>
      <c r="G4339" t="s">
        <v>5849</v>
      </c>
      <c r="H4339" t="s">
        <v>12938</v>
      </c>
      <c r="J4339" t="s">
        <v>18894</v>
      </c>
      <c r="K4339">
        <v>11225</v>
      </c>
      <c r="L4339" t="s">
        <v>18958</v>
      </c>
      <c r="M4339" t="s">
        <v>18958</v>
      </c>
      <c r="N4339" t="s">
        <v>22180</v>
      </c>
      <c r="O4339" t="s">
        <v>26524</v>
      </c>
      <c r="P4339" t="s">
        <v>26560</v>
      </c>
      <c r="R4339" t="s">
        <v>26588</v>
      </c>
      <c r="U4339" t="s">
        <v>26604</v>
      </c>
      <c r="W4339" t="s">
        <v>782</v>
      </c>
      <c r="X4339">
        <v>865</v>
      </c>
      <c r="Y4339" t="s">
        <v>26652</v>
      </c>
      <c r="Z4339" t="s">
        <v>26669</v>
      </c>
      <c r="AB4339" t="s">
        <v>28247</v>
      </c>
      <c r="AD4339" t="s">
        <v>40432</v>
      </c>
      <c r="AE4339">
        <v>2</v>
      </c>
      <c r="AG4339" t="s">
        <v>19330</v>
      </c>
      <c r="AH4339">
        <v>33</v>
      </c>
      <c r="AI4339">
        <v>2</v>
      </c>
      <c r="AJ4339">
        <v>2</v>
      </c>
      <c r="AK4339">
        <v>0</v>
      </c>
      <c r="AN4339" t="s">
        <v>7439</v>
      </c>
      <c r="AO4339">
        <v>0</v>
      </c>
      <c r="AU4339">
        <v>6.65</v>
      </c>
      <c r="AV4339" t="s">
        <v>697</v>
      </c>
      <c r="AW4339" t="s">
        <v>46862</v>
      </c>
    </row>
    <row r="4340" spans="1:49">
      <c r="A4340" s="1">
        <f>HYPERLINK("https://lsnyc.legalserver.org/matter/dynamic-profile/view/1882852","18-1882852")</f>
        <v>0</v>
      </c>
      <c r="B4340" t="s">
        <v>129</v>
      </c>
      <c r="C4340" t="s">
        <v>340</v>
      </c>
      <c r="D4340" t="s">
        <v>577</v>
      </c>
      <c r="F4340" t="s">
        <v>1116</v>
      </c>
      <c r="G4340" t="s">
        <v>7261</v>
      </c>
      <c r="H4340" t="s">
        <v>12939</v>
      </c>
      <c r="I4340" t="s">
        <v>18102</v>
      </c>
      <c r="J4340" t="s">
        <v>18894</v>
      </c>
      <c r="K4340">
        <v>11225</v>
      </c>
      <c r="L4340" t="s">
        <v>18958</v>
      </c>
      <c r="M4340" t="s">
        <v>18958</v>
      </c>
      <c r="N4340" t="s">
        <v>22181</v>
      </c>
      <c r="O4340" t="s">
        <v>26523</v>
      </c>
      <c r="P4340" t="s">
        <v>26560</v>
      </c>
      <c r="R4340" t="s">
        <v>26588</v>
      </c>
      <c r="U4340" t="s">
        <v>26604</v>
      </c>
      <c r="W4340" t="s">
        <v>782</v>
      </c>
      <c r="X4340">
        <v>874.0599999999999</v>
      </c>
      <c r="Y4340" t="s">
        <v>26652</v>
      </c>
      <c r="Z4340" t="s">
        <v>26669</v>
      </c>
      <c r="AB4340" t="s">
        <v>30290</v>
      </c>
      <c r="AC4340" t="s">
        <v>35756</v>
      </c>
      <c r="AD4340" t="s">
        <v>40433</v>
      </c>
      <c r="AE4340">
        <v>66</v>
      </c>
      <c r="AG4340" t="s">
        <v>26530</v>
      </c>
      <c r="AH4340">
        <v>28</v>
      </c>
      <c r="AI4340">
        <v>2</v>
      </c>
      <c r="AJ4340">
        <v>1</v>
      </c>
      <c r="AK4340">
        <v>87.58</v>
      </c>
      <c r="AN4340" t="s">
        <v>7439</v>
      </c>
      <c r="AO4340">
        <v>18200</v>
      </c>
      <c r="AU4340">
        <v>22.55</v>
      </c>
      <c r="AV4340" t="s">
        <v>797</v>
      </c>
      <c r="AW4340" t="s">
        <v>46862</v>
      </c>
    </row>
    <row r="4341" spans="1:49">
      <c r="A4341" s="1">
        <f>HYPERLINK("https://lsnyc.legalserver.org/matter/dynamic-profile/view/1882995","18-1882995")</f>
        <v>0</v>
      </c>
      <c r="B4341" t="s">
        <v>167</v>
      </c>
      <c r="C4341" t="s">
        <v>341</v>
      </c>
      <c r="D4341" t="s">
        <v>651</v>
      </c>
      <c r="E4341" t="s">
        <v>458</v>
      </c>
      <c r="F4341" t="s">
        <v>3002</v>
      </c>
      <c r="G4341" t="s">
        <v>7262</v>
      </c>
      <c r="H4341" t="s">
        <v>12940</v>
      </c>
      <c r="I4341" t="s">
        <v>17275</v>
      </c>
      <c r="J4341" t="s">
        <v>18894</v>
      </c>
      <c r="K4341">
        <v>11211</v>
      </c>
      <c r="L4341" t="s">
        <v>18958</v>
      </c>
      <c r="M4341" t="s">
        <v>18958</v>
      </c>
      <c r="N4341" t="s">
        <v>22182</v>
      </c>
      <c r="O4341" t="s">
        <v>26523</v>
      </c>
      <c r="P4341" t="s">
        <v>26564</v>
      </c>
      <c r="Q4341" t="s">
        <v>26570</v>
      </c>
      <c r="R4341" t="s">
        <v>26586</v>
      </c>
      <c r="S4341" t="s">
        <v>18959</v>
      </c>
      <c r="U4341" t="s">
        <v>26604</v>
      </c>
      <c r="V4341" t="s">
        <v>26609</v>
      </c>
      <c r="W4341" t="s">
        <v>782</v>
      </c>
      <c r="X4341">
        <v>2500</v>
      </c>
      <c r="Y4341" t="s">
        <v>26652</v>
      </c>
      <c r="Z4341" t="s">
        <v>26664</v>
      </c>
      <c r="AA4341" t="s">
        <v>26683</v>
      </c>
      <c r="AB4341" t="s">
        <v>30291</v>
      </c>
      <c r="AD4341" t="s">
        <v>40434</v>
      </c>
      <c r="AE4341">
        <v>60</v>
      </c>
      <c r="AF4341" t="s">
        <v>45541</v>
      </c>
      <c r="AG4341" t="s">
        <v>19330</v>
      </c>
      <c r="AH4341">
        <v>1</v>
      </c>
      <c r="AI4341">
        <v>1</v>
      </c>
      <c r="AJ4341">
        <v>0</v>
      </c>
      <c r="AK4341">
        <v>0</v>
      </c>
      <c r="AN4341" t="s">
        <v>7439</v>
      </c>
      <c r="AO4341">
        <v>0</v>
      </c>
      <c r="AU4341">
        <v>1.7</v>
      </c>
      <c r="AV4341" t="s">
        <v>458</v>
      </c>
      <c r="AW4341" t="s">
        <v>281</v>
      </c>
    </row>
    <row r="4342" spans="1:49">
      <c r="A4342" s="1">
        <f>HYPERLINK("https://lsnyc.legalserver.org/matter/dynamic-profile/view/1883055","18-1883055")</f>
        <v>0</v>
      </c>
      <c r="B4342" t="s">
        <v>129</v>
      </c>
      <c r="C4342" t="s">
        <v>340</v>
      </c>
      <c r="D4342" t="s">
        <v>651</v>
      </c>
      <c r="F4342" t="s">
        <v>2664</v>
      </c>
      <c r="G4342" t="s">
        <v>5434</v>
      </c>
      <c r="H4342" t="s">
        <v>12364</v>
      </c>
      <c r="I4342" t="s">
        <v>17330</v>
      </c>
      <c r="J4342" t="s">
        <v>18894</v>
      </c>
      <c r="K4342">
        <v>11221</v>
      </c>
      <c r="L4342" t="s">
        <v>18958</v>
      </c>
      <c r="M4342" t="s">
        <v>18958</v>
      </c>
      <c r="O4342" t="s">
        <v>26524</v>
      </c>
      <c r="P4342" t="s">
        <v>26560</v>
      </c>
      <c r="R4342" t="s">
        <v>26588</v>
      </c>
      <c r="U4342" t="s">
        <v>26604</v>
      </c>
      <c r="W4342" t="s">
        <v>782</v>
      </c>
      <c r="X4342">
        <v>2002</v>
      </c>
      <c r="Y4342" t="s">
        <v>26652</v>
      </c>
      <c r="Z4342" t="s">
        <v>26659</v>
      </c>
      <c r="AB4342" t="s">
        <v>29641</v>
      </c>
      <c r="AD4342" t="s">
        <v>39725</v>
      </c>
      <c r="AE4342">
        <v>8</v>
      </c>
      <c r="AF4342" t="s">
        <v>45543</v>
      </c>
      <c r="AG4342" t="s">
        <v>45556</v>
      </c>
      <c r="AH4342">
        <v>8</v>
      </c>
      <c r="AI4342">
        <v>3</v>
      </c>
      <c r="AJ4342">
        <v>1</v>
      </c>
      <c r="AK4342">
        <v>91.63</v>
      </c>
      <c r="AN4342" t="s">
        <v>45581</v>
      </c>
      <c r="AO4342">
        <v>23000</v>
      </c>
      <c r="AU4342">
        <v>48.6</v>
      </c>
      <c r="AV4342" t="s">
        <v>823</v>
      </c>
      <c r="AW4342" t="s">
        <v>46862</v>
      </c>
    </row>
    <row r="4343" spans="1:49">
      <c r="A4343" s="1">
        <f>HYPERLINK("https://lsnyc.legalserver.org/matter/dynamic-profile/view/1882976","18-1882976")</f>
        <v>0</v>
      </c>
      <c r="B4343" t="s">
        <v>240</v>
      </c>
      <c r="C4343" t="s">
        <v>340</v>
      </c>
      <c r="D4343" t="s">
        <v>651</v>
      </c>
      <c r="F4343" t="s">
        <v>3003</v>
      </c>
      <c r="G4343" t="s">
        <v>3173</v>
      </c>
      <c r="H4343" t="s">
        <v>11744</v>
      </c>
      <c r="I4343" t="s">
        <v>17322</v>
      </c>
      <c r="J4343" t="s">
        <v>18894</v>
      </c>
      <c r="K4343">
        <v>11226</v>
      </c>
      <c r="L4343" t="s">
        <v>18958</v>
      </c>
      <c r="M4343" t="s">
        <v>18958</v>
      </c>
      <c r="O4343" t="s">
        <v>26526</v>
      </c>
      <c r="P4343" t="s">
        <v>26560</v>
      </c>
      <c r="R4343" t="s">
        <v>26578</v>
      </c>
      <c r="S4343" t="s">
        <v>18958</v>
      </c>
      <c r="U4343" t="s">
        <v>26604</v>
      </c>
      <c r="W4343" t="s">
        <v>782</v>
      </c>
      <c r="X4343">
        <v>1200</v>
      </c>
      <c r="Y4343" t="s">
        <v>26652</v>
      </c>
      <c r="Z4343" t="s">
        <v>26659</v>
      </c>
      <c r="AB4343" t="s">
        <v>30292</v>
      </c>
      <c r="AE4343">
        <v>6</v>
      </c>
      <c r="AG4343" t="s">
        <v>26530</v>
      </c>
      <c r="AH4343">
        <v>13</v>
      </c>
      <c r="AI4343">
        <v>1</v>
      </c>
      <c r="AJ4343">
        <v>0</v>
      </c>
      <c r="AK4343">
        <v>18.39</v>
      </c>
      <c r="AN4343" t="s">
        <v>7439</v>
      </c>
      <c r="AO4343">
        <v>2232</v>
      </c>
      <c r="AU4343">
        <v>0.9</v>
      </c>
      <c r="AV4343" t="s">
        <v>651</v>
      </c>
      <c r="AW4343" t="s">
        <v>46862</v>
      </c>
    </row>
    <row r="4344" spans="1:49">
      <c r="A4344" s="1">
        <f>HYPERLINK("https://lsnyc.legalserver.org/matter/dynamic-profile/view/1883095","18-1883095")</f>
        <v>0</v>
      </c>
      <c r="B4344" t="s">
        <v>193</v>
      </c>
      <c r="C4344" t="s">
        <v>341</v>
      </c>
      <c r="D4344" t="s">
        <v>525</v>
      </c>
      <c r="E4344" t="s">
        <v>864</v>
      </c>
      <c r="F4344" t="s">
        <v>887</v>
      </c>
      <c r="G4344" t="s">
        <v>7263</v>
      </c>
      <c r="H4344" t="s">
        <v>12941</v>
      </c>
      <c r="I4344">
        <v>2</v>
      </c>
      <c r="J4344" t="s">
        <v>18894</v>
      </c>
      <c r="K4344">
        <v>11204</v>
      </c>
      <c r="L4344" t="s">
        <v>18958</v>
      </c>
      <c r="M4344" t="s">
        <v>18958</v>
      </c>
      <c r="N4344" t="s">
        <v>22183</v>
      </c>
      <c r="O4344" t="s">
        <v>26524</v>
      </c>
      <c r="P4344" t="s">
        <v>26564</v>
      </c>
      <c r="Q4344" t="s">
        <v>26570</v>
      </c>
      <c r="R4344" t="s">
        <v>26586</v>
      </c>
      <c r="S4344" t="s">
        <v>18959</v>
      </c>
      <c r="U4344" t="s">
        <v>26604</v>
      </c>
      <c r="V4344" t="s">
        <v>26610</v>
      </c>
      <c r="W4344" t="s">
        <v>782</v>
      </c>
      <c r="X4344">
        <v>1250</v>
      </c>
      <c r="Y4344" t="s">
        <v>26652</v>
      </c>
      <c r="Z4344" t="s">
        <v>26664</v>
      </c>
      <c r="AA4344" t="s">
        <v>26683</v>
      </c>
      <c r="AB4344" t="s">
        <v>30293</v>
      </c>
      <c r="AD4344" t="s">
        <v>40435</v>
      </c>
      <c r="AE4344">
        <v>2</v>
      </c>
      <c r="AF4344" t="s">
        <v>45547</v>
      </c>
      <c r="AG4344" t="s">
        <v>19330</v>
      </c>
      <c r="AH4344">
        <v>1</v>
      </c>
      <c r="AI4344">
        <v>1</v>
      </c>
      <c r="AJ4344">
        <v>1</v>
      </c>
      <c r="AK4344">
        <v>164.03</v>
      </c>
      <c r="AN4344" t="s">
        <v>7439</v>
      </c>
      <c r="AO4344">
        <v>27000</v>
      </c>
      <c r="AR4344" t="s">
        <v>26530</v>
      </c>
      <c r="AT4344" t="s">
        <v>46560</v>
      </c>
      <c r="AU4344">
        <v>1.85</v>
      </c>
      <c r="AV4344" t="s">
        <v>682</v>
      </c>
      <c r="AW4344" t="s">
        <v>281</v>
      </c>
    </row>
    <row r="4345" spans="1:49">
      <c r="A4345" s="1">
        <f>HYPERLINK("https://lsnyc.legalserver.org/matter/dynamic-profile/view/1883137","18-1883137")</f>
        <v>0</v>
      </c>
      <c r="B4345" t="s">
        <v>193</v>
      </c>
      <c r="C4345" t="s">
        <v>340</v>
      </c>
      <c r="D4345" t="s">
        <v>525</v>
      </c>
      <c r="F4345" t="s">
        <v>1745</v>
      </c>
      <c r="G4345" t="s">
        <v>5008</v>
      </c>
      <c r="H4345" t="s">
        <v>12942</v>
      </c>
      <c r="I4345">
        <v>10</v>
      </c>
      <c r="J4345" t="s">
        <v>18894</v>
      </c>
      <c r="K4345">
        <v>11220</v>
      </c>
      <c r="L4345" t="s">
        <v>18958</v>
      </c>
      <c r="M4345" t="s">
        <v>18958</v>
      </c>
      <c r="N4345" t="s">
        <v>22184</v>
      </c>
      <c r="O4345" t="s">
        <v>26523</v>
      </c>
      <c r="P4345" t="s">
        <v>26560</v>
      </c>
      <c r="R4345" t="s">
        <v>26586</v>
      </c>
      <c r="U4345" t="s">
        <v>26604</v>
      </c>
      <c r="V4345" t="s">
        <v>26611</v>
      </c>
      <c r="W4345" t="s">
        <v>782</v>
      </c>
      <c r="X4345">
        <v>800</v>
      </c>
      <c r="Y4345" t="s">
        <v>26652</v>
      </c>
      <c r="Z4345" t="s">
        <v>26664</v>
      </c>
      <c r="AB4345" t="s">
        <v>30294</v>
      </c>
      <c r="AD4345" t="s">
        <v>40436</v>
      </c>
      <c r="AE4345">
        <v>6</v>
      </c>
      <c r="AG4345" t="s">
        <v>19330</v>
      </c>
      <c r="AH4345">
        <v>5</v>
      </c>
      <c r="AI4345">
        <v>1</v>
      </c>
      <c r="AJ4345">
        <v>0</v>
      </c>
      <c r="AK4345">
        <v>115.32</v>
      </c>
      <c r="AN4345" t="s">
        <v>7439</v>
      </c>
      <c r="AO4345">
        <v>14000</v>
      </c>
      <c r="AU4345">
        <v>42.85</v>
      </c>
      <c r="AV4345" t="s">
        <v>834</v>
      </c>
      <c r="AW4345" t="s">
        <v>281</v>
      </c>
    </row>
    <row r="4346" spans="1:49">
      <c r="A4346" s="1">
        <f>HYPERLINK("https://lsnyc.legalserver.org/matter/dynamic-profile/view/1884490","18-1884490")</f>
        <v>0</v>
      </c>
      <c r="B4346" t="s">
        <v>162</v>
      </c>
      <c r="C4346" t="s">
        <v>341</v>
      </c>
      <c r="D4346" t="s">
        <v>678</v>
      </c>
      <c r="E4346" t="s">
        <v>839</v>
      </c>
      <c r="F4346" t="s">
        <v>2936</v>
      </c>
      <c r="G4346" t="s">
        <v>7264</v>
      </c>
      <c r="H4346" t="s">
        <v>12943</v>
      </c>
      <c r="I4346" t="s">
        <v>17334</v>
      </c>
      <c r="J4346" t="s">
        <v>18894</v>
      </c>
      <c r="K4346">
        <v>11213</v>
      </c>
      <c r="L4346" t="s">
        <v>18958</v>
      </c>
      <c r="M4346" t="s">
        <v>18958</v>
      </c>
      <c r="N4346" t="s">
        <v>22185</v>
      </c>
      <c r="O4346" t="s">
        <v>26523</v>
      </c>
      <c r="P4346" t="s">
        <v>26560</v>
      </c>
      <c r="Q4346" t="s">
        <v>26573</v>
      </c>
      <c r="R4346" t="s">
        <v>26586</v>
      </c>
      <c r="U4346" t="s">
        <v>26604</v>
      </c>
      <c r="W4346" t="s">
        <v>782</v>
      </c>
      <c r="X4346">
        <v>985</v>
      </c>
      <c r="Y4346" t="s">
        <v>26652</v>
      </c>
      <c r="Z4346" t="s">
        <v>26664</v>
      </c>
      <c r="AA4346" t="s">
        <v>26678</v>
      </c>
      <c r="AB4346" t="s">
        <v>30295</v>
      </c>
      <c r="AD4346" t="s">
        <v>40437</v>
      </c>
      <c r="AE4346">
        <v>8</v>
      </c>
      <c r="AG4346" t="s">
        <v>19330</v>
      </c>
      <c r="AH4346">
        <v>11</v>
      </c>
      <c r="AI4346">
        <v>1</v>
      </c>
      <c r="AJ4346">
        <v>1</v>
      </c>
      <c r="AK4346">
        <v>103.28</v>
      </c>
      <c r="AN4346" t="s">
        <v>7439</v>
      </c>
      <c r="AO4346">
        <v>17000</v>
      </c>
      <c r="AS4346" t="s">
        <v>46499</v>
      </c>
      <c r="AU4346">
        <v>39.9</v>
      </c>
      <c r="AV4346" t="s">
        <v>773</v>
      </c>
      <c r="AW4346" t="s">
        <v>281</v>
      </c>
    </row>
    <row r="4347" spans="1:49">
      <c r="A4347" s="1">
        <f>HYPERLINK("https://lsnyc.legalserver.org/matter/dynamic-profile/view/1884554","18-1884554")</f>
        <v>0</v>
      </c>
      <c r="B4347" t="s">
        <v>199</v>
      </c>
      <c r="C4347" t="s">
        <v>340</v>
      </c>
      <c r="D4347" t="s">
        <v>678</v>
      </c>
      <c r="F4347" t="s">
        <v>3004</v>
      </c>
      <c r="G4347" t="s">
        <v>6119</v>
      </c>
      <c r="H4347" t="s">
        <v>11395</v>
      </c>
      <c r="I4347">
        <v>10</v>
      </c>
      <c r="J4347" t="s">
        <v>18894</v>
      </c>
      <c r="K4347">
        <v>11238</v>
      </c>
      <c r="L4347" t="s">
        <v>18960</v>
      </c>
      <c r="M4347" t="s">
        <v>18960</v>
      </c>
      <c r="P4347" t="s">
        <v>26562</v>
      </c>
      <c r="R4347" t="s">
        <v>26578</v>
      </c>
      <c r="U4347" t="s">
        <v>26604</v>
      </c>
      <c r="W4347" t="s">
        <v>782</v>
      </c>
      <c r="X4347">
        <v>0</v>
      </c>
      <c r="Y4347" t="s">
        <v>26652</v>
      </c>
      <c r="AB4347" t="s">
        <v>29929</v>
      </c>
      <c r="AE4347">
        <v>0</v>
      </c>
      <c r="AF4347" t="s">
        <v>45541</v>
      </c>
      <c r="AH4347">
        <v>0</v>
      </c>
      <c r="AI4347">
        <v>2</v>
      </c>
      <c r="AJ4347">
        <v>0</v>
      </c>
      <c r="AK4347">
        <v>1439.85</v>
      </c>
      <c r="AN4347" t="s">
        <v>7439</v>
      </c>
      <c r="AO4347">
        <v>255000</v>
      </c>
      <c r="AU4347">
        <v>1</v>
      </c>
      <c r="AV4347" t="s">
        <v>773</v>
      </c>
      <c r="AW4347" t="s">
        <v>46856</v>
      </c>
    </row>
    <row r="4348" spans="1:49">
      <c r="A4348" s="1">
        <f>HYPERLINK("https://lsnyc.legalserver.org/matter/dynamic-profile/view/1885027","18-1885027")</f>
        <v>0</v>
      </c>
      <c r="B4348" t="s">
        <v>88</v>
      </c>
      <c r="C4348" t="s">
        <v>340</v>
      </c>
      <c r="D4348" t="s">
        <v>518</v>
      </c>
      <c r="F4348" t="s">
        <v>1552</v>
      </c>
      <c r="G4348" t="s">
        <v>5735</v>
      </c>
      <c r="H4348" t="s">
        <v>10516</v>
      </c>
      <c r="I4348" t="s">
        <v>17284</v>
      </c>
      <c r="J4348" t="s">
        <v>18894</v>
      </c>
      <c r="K4348">
        <v>11213</v>
      </c>
      <c r="L4348" t="s">
        <v>18958</v>
      </c>
      <c r="M4348" t="s">
        <v>18958</v>
      </c>
      <c r="N4348" t="s">
        <v>18997</v>
      </c>
      <c r="O4348" t="s">
        <v>26534</v>
      </c>
      <c r="P4348" t="s">
        <v>26561</v>
      </c>
      <c r="R4348" t="s">
        <v>26578</v>
      </c>
      <c r="S4348" t="s">
        <v>18958</v>
      </c>
      <c r="U4348" t="s">
        <v>26604</v>
      </c>
      <c r="V4348" t="s">
        <v>26610</v>
      </c>
      <c r="W4348" t="s">
        <v>782</v>
      </c>
      <c r="X4348">
        <v>1507.16</v>
      </c>
      <c r="Y4348" t="s">
        <v>26652</v>
      </c>
      <c r="Z4348" t="s">
        <v>26665</v>
      </c>
      <c r="AB4348" t="s">
        <v>27639</v>
      </c>
      <c r="AC4348" t="s">
        <v>34508</v>
      </c>
      <c r="AD4348" t="s">
        <v>37688</v>
      </c>
      <c r="AE4348">
        <v>19</v>
      </c>
      <c r="AF4348" t="s">
        <v>45541</v>
      </c>
      <c r="AG4348" t="s">
        <v>45556</v>
      </c>
      <c r="AH4348">
        <v>22</v>
      </c>
      <c r="AI4348">
        <v>4</v>
      </c>
      <c r="AJ4348">
        <v>0</v>
      </c>
      <c r="AK4348">
        <v>190.88</v>
      </c>
      <c r="AN4348" t="s">
        <v>7439</v>
      </c>
      <c r="AO4348">
        <v>47909.8</v>
      </c>
      <c r="AU4348">
        <v>13.15</v>
      </c>
      <c r="AV4348" t="s">
        <v>770</v>
      </c>
      <c r="AW4348" t="s">
        <v>279</v>
      </c>
    </row>
    <row r="4349" spans="1:49">
      <c r="A4349" s="1">
        <f>HYPERLINK("https://lsnyc.legalserver.org/matter/dynamic-profile/view/1885014","18-1885014")</f>
        <v>0</v>
      </c>
      <c r="B4349" t="s">
        <v>147</v>
      </c>
      <c r="C4349" t="s">
        <v>340</v>
      </c>
      <c r="D4349" t="s">
        <v>519</v>
      </c>
      <c r="F4349" t="s">
        <v>2768</v>
      </c>
      <c r="G4349" t="s">
        <v>5269</v>
      </c>
      <c r="H4349" t="s">
        <v>11510</v>
      </c>
      <c r="I4349" t="s">
        <v>17496</v>
      </c>
      <c r="J4349" t="s">
        <v>18894</v>
      </c>
      <c r="K4349">
        <v>11226</v>
      </c>
      <c r="L4349" t="s">
        <v>18958</v>
      </c>
      <c r="M4349" t="s">
        <v>18958</v>
      </c>
      <c r="N4349" t="s">
        <v>21766</v>
      </c>
      <c r="O4349" t="s">
        <v>26534</v>
      </c>
      <c r="P4349" t="s">
        <v>26563</v>
      </c>
      <c r="R4349" t="s">
        <v>26578</v>
      </c>
      <c r="S4349" t="s">
        <v>18958</v>
      </c>
      <c r="U4349" t="s">
        <v>26604</v>
      </c>
      <c r="W4349" t="s">
        <v>782</v>
      </c>
      <c r="X4349">
        <v>1350</v>
      </c>
      <c r="Y4349" t="s">
        <v>26652</v>
      </c>
      <c r="Z4349" t="s">
        <v>26663</v>
      </c>
      <c r="AB4349" t="s">
        <v>30296</v>
      </c>
      <c r="AE4349">
        <v>48</v>
      </c>
      <c r="AF4349" t="s">
        <v>45541</v>
      </c>
      <c r="AH4349">
        <v>10</v>
      </c>
      <c r="AI4349">
        <v>1</v>
      </c>
      <c r="AJ4349">
        <v>2</v>
      </c>
      <c r="AK4349">
        <v>346.01</v>
      </c>
      <c r="AN4349" t="s">
        <v>7439</v>
      </c>
      <c r="AO4349">
        <v>71900</v>
      </c>
      <c r="AU4349">
        <v>0.4</v>
      </c>
      <c r="AV4349" t="s">
        <v>519</v>
      </c>
      <c r="AW4349" t="s">
        <v>219</v>
      </c>
    </row>
    <row r="4350" spans="1:49">
      <c r="A4350" s="1">
        <f>HYPERLINK("https://lsnyc.legalserver.org/matter/dynamic-profile/view/1885151","18-1885151")</f>
        <v>0</v>
      </c>
      <c r="B4350" t="s">
        <v>88</v>
      </c>
      <c r="C4350" t="s">
        <v>340</v>
      </c>
      <c r="D4350" t="s">
        <v>519</v>
      </c>
      <c r="F4350" t="s">
        <v>896</v>
      </c>
      <c r="G4350" t="s">
        <v>6188</v>
      </c>
      <c r="H4350" t="s">
        <v>10516</v>
      </c>
      <c r="I4350" t="s">
        <v>17355</v>
      </c>
      <c r="J4350" t="s">
        <v>18894</v>
      </c>
      <c r="K4350">
        <v>11213</v>
      </c>
      <c r="L4350" t="s">
        <v>18958</v>
      </c>
      <c r="M4350" t="s">
        <v>18958</v>
      </c>
      <c r="O4350" t="s">
        <v>26526</v>
      </c>
      <c r="P4350" t="s">
        <v>26560</v>
      </c>
      <c r="R4350" t="s">
        <v>26578</v>
      </c>
      <c r="S4350" t="s">
        <v>18958</v>
      </c>
      <c r="U4350" t="s">
        <v>26604</v>
      </c>
      <c r="V4350" t="s">
        <v>26610</v>
      </c>
      <c r="W4350" t="s">
        <v>782</v>
      </c>
      <c r="X4350">
        <v>1229.5</v>
      </c>
      <c r="Y4350" t="s">
        <v>26652</v>
      </c>
      <c r="Z4350" t="s">
        <v>26665</v>
      </c>
      <c r="AB4350" t="s">
        <v>28411</v>
      </c>
      <c r="AC4350" t="s">
        <v>34508</v>
      </c>
      <c r="AD4350" t="s">
        <v>38461</v>
      </c>
      <c r="AE4350">
        <v>19</v>
      </c>
      <c r="AF4350" t="s">
        <v>45541</v>
      </c>
      <c r="AG4350" t="s">
        <v>45556</v>
      </c>
      <c r="AH4350">
        <v>25</v>
      </c>
      <c r="AI4350">
        <v>1</v>
      </c>
      <c r="AJ4350">
        <v>0</v>
      </c>
      <c r="AK4350">
        <v>59.31</v>
      </c>
      <c r="AN4350" t="s">
        <v>7439</v>
      </c>
      <c r="AO4350">
        <v>7200</v>
      </c>
      <c r="AP4350" t="s">
        <v>45821</v>
      </c>
      <c r="AU4350">
        <v>0</v>
      </c>
      <c r="AW4350" t="s">
        <v>279</v>
      </c>
    </row>
    <row r="4351" spans="1:49">
      <c r="A4351" s="1">
        <f>HYPERLINK("https://lsnyc.legalserver.org/matter/dynamic-profile/view/1885678","18-1885678")</f>
        <v>0</v>
      </c>
      <c r="B4351" t="s">
        <v>129</v>
      </c>
      <c r="C4351" t="s">
        <v>340</v>
      </c>
      <c r="D4351" t="s">
        <v>697</v>
      </c>
      <c r="F4351" t="s">
        <v>3005</v>
      </c>
      <c r="G4351" t="s">
        <v>1506</v>
      </c>
      <c r="H4351" t="s">
        <v>12944</v>
      </c>
      <c r="I4351" t="s">
        <v>17390</v>
      </c>
      <c r="J4351" t="s">
        <v>18894</v>
      </c>
      <c r="K4351">
        <v>11225</v>
      </c>
      <c r="L4351" t="s">
        <v>18958</v>
      </c>
      <c r="M4351" t="s">
        <v>18958</v>
      </c>
      <c r="N4351" t="s">
        <v>22186</v>
      </c>
      <c r="O4351" t="s">
        <v>26524</v>
      </c>
      <c r="P4351" t="s">
        <v>26560</v>
      </c>
      <c r="R4351" t="s">
        <v>26588</v>
      </c>
      <c r="U4351" t="s">
        <v>26604</v>
      </c>
      <c r="W4351" t="s">
        <v>782</v>
      </c>
      <c r="X4351">
        <v>1123.35</v>
      </c>
      <c r="Y4351" t="s">
        <v>26652</v>
      </c>
      <c r="Z4351" t="s">
        <v>26669</v>
      </c>
      <c r="AB4351" t="s">
        <v>30297</v>
      </c>
      <c r="AD4351" t="s">
        <v>40438</v>
      </c>
      <c r="AE4351">
        <v>0</v>
      </c>
      <c r="AG4351" t="s">
        <v>19330</v>
      </c>
      <c r="AH4351">
        <v>28</v>
      </c>
      <c r="AI4351">
        <v>4</v>
      </c>
      <c r="AJ4351">
        <v>3</v>
      </c>
      <c r="AK4351">
        <v>135.53</v>
      </c>
      <c r="AN4351" t="s">
        <v>7439</v>
      </c>
      <c r="AO4351">
        <v>51584</v>
      </c>
      <c r="AU4351">
        <v>22.55</v>
      </c>
      <c r="AV4351" t="s">
        <v>839</v>
      </c>
      <c r="AW4351" t="s">
        <v>281</v>
      </c>
    </row>
    <row r="4352" spans="1:49">
      <c r="A4352" s="1">
        <f>HYPERLINK("https://lsnyc.legalserver.org/matter/dynamic-profile/view/1885704","18-1885704")</f>
        <v>0</v>
      </c>
      <c r="B4352" t="s">
        <v>129</v>
      </c>
      <c r="C4352" t="s">
        <v>340</v>
      </c>
      <c r="D4352" t="s">
        <v>697</v>
      </c>
      <c r="F4352" t="s">
        <v>3006</v>
      </c>
      <c r="G4352" t="s">
        <v>7265</v>
      </c>
      <c r="H4352" t="s">
        <v>12945</v>
      </c>
      <c r="I4352" t="s">
        <v>17312</v>
      </c>
      <c r="J4352" t="s">
        <v>18894</v>
      </c>
      <c r="K4352">
        <v>11225</v>
      </c>
      <c r="L4352" t="s">
        <v>18958</v>
      </c>
      <c r="M4352" t="s">
        <v>18958</v>
      </c>
      <c r="N4352" t="s">
        <v>22187</v>
      </c>
      <c r="O4352" t="s">
        <v>26524</v>
      </c>
      <c r="P4352" t="s">
        <v>26560</v>
      </c>
      <c r="R4352" t="s">
        <v>26588</v>
      </c>
      <c r="U4352" t="s">
        <v>26604</v>
      </c>
      <c r="W4352" t="s">
        <v>782</v>
      </c>
      <c r="X4352">
        <v>1078.57</v>
      </c>
      <c r="Y4352" t="s">
        <v>26652</v>
      </c>
      <c r="Z4352" t="s">
        <v>26669</v>
      </c>
      <c r="AB4352" t="s">
        <v>30298</v>
      </c>
      <c r="AD4352" t="s">
        <v>40439</v>
      </c>
      <c r="AE4352">
        <v>33</v>
      </c>
      <c r="AG4352" t="s">
        <v>19330</v>
      </c>
      <c r="AH4352">
        <v>15</v>
      </c>
      <c r="AI4352">
        <v>6</v>
      </c>
      <c r="AJ4352">
        <v>0</v>
      </c>
      <c r="AK4352">
        <v>136.34</v>
      </c>
      <c r="AN4352" t="s">
        <v>7439</v>
      </c>
      <c r="AO4352">
        <v>46000</v>
      </c>
      <c r="AU4352">
        <v>27.75</v>
      </c>
      <c r="AV4352" t="s">
        <v>838</v>
      </c>
      <c r="AW4352" t="s">
        <v>281</v>
      </c>
    </row>
    <row r="4353" spans="1:50">
      <c r="A4353" s="1">
        <f>HYPERLINK("https://lsnyc.legalserver.org/matter/dynamic-profile/view/1884826","18-1884826")</f>
        <v>0</v>
      </c>
      <c r="B4353" t="s">
        <v>147</v>
      </c>
      <c r="C4353" t="s">
        <v>340</v>
      </c>
      <c r="D4353" t="s">
        <v>688</v>
      </c>
      <c r="F4353" t="s">
        <v>2394</v>
      </c>
      <c r="G4353" t="s">
        <v>7266</v>
      </c>
      <c r="H4353" t="s">
        <v>11510</v>
      </c>
      <c r="I4353" t="s">
        <v>17919</v>
      </c>
      <c r="J4353" t="s">
        <v>18894</v>
      </c>
      <c r="K4353">
        <v>11226</v>
      </c>
      <c r="L4353" t="s">
        <v>18958</v>
      </c>
      <c r="M4353" t="s">
        <v>18958</v>
      </c>
      <c r="N4353" t="s">
        <v>21766</v>
      </c>
      <c r="O4353" t="s">
        <v>26534</v>
      </c>
      <c r="P4353" t="s">
        <v>26563</v>
      </c>
      <c r="R4353" t="s">
        <v>26578</v>
      </c>
      <c r="S4353" t="s">
        <v>18958</v>
      </c>
      <c r="U4353" t="s">
        <v>26604</v>
      </c>
      <c r="W4353" t="s">
        <v>782</v>
      </c>
      <c r="X4353">
        <v>1098.97</v>
      </c>
      <c r="Y4353" t="s">
        <v>26652</v>
      </c>
      <c r="Z4353" t="s">
        <v>26663</v>
      </c>
      <c r="AB4353" t="s">
        <v>28918</v>
      </c>
      <c r="AD4353" t="s">
        <v>40440</v>
      </c>
      <c r="AE4353">
        <v>48</v>
      </c>
      <c r="AF4353" t="s">
        <v>45541</v>
      </c>
      <c r="AG4353" t="s">
        <v>19330</v>
      </c>
      <c r="AH4353">
        <v>16</v>
      </c>
      <c r="AI4353">
        <v>2</v>
      </c>
      <c r="AJ4353">
        <v>1</v>
      </c>
      <c r="AK4353">
        <v>136.48</v>
      </c>
      <c r="AN4353" t="s">
        <v>7439</v>
      </c>
      <c r="AO4353">
        <v>28360.8</v>
      </c>
      <c r="AU4353">
        <v>0.5</v>
      </c>
      <c r="AV4353" t="s">
        <v>670</v>
      </c>
      <c r="AW4353" t="s">
        <v>219</v>
      </c>
    </row>
    <row r="4354" spans="1:50">
      <c r="A4354" s="1">
        <f>HYPERLINK("https://lsnyc.legalserver.org/matter/dynamic-profile/view/1885920","18-1885920")</f>
        <v>0</v>
      </c>
      <c r="B4354" t="s">
        <v>200</v>
      </c>
      <c r="C4354" t="s">
        <v>341</v>
      </c>
      <c r="D4354" t="s">
        <v>670</v>
      </c>
      <c r="E4354" t="s">
        <v>574</v>
      </c>
      <c r="F4354" t="s">
        <v>948</v>
      </c>
      <c r="G4354" t="s">
        <v>989</v>
      </c>
      <c r="H4354" t="s">
        <v>12946</v>
      </c>
      <c r="I4354" t="s">
        <v>17414</v>
      </c>
      <c r="J4354" t="s">
        <v>18894</v>
      </c>
      <c r="K4354">
        <v>11233</v>
      </c>
      <c r="L4354" t="s">
        <v>18958</v>
      </c>
      <c r="M4354" t="s">
        <v>18958</v>
      </c>
      <c r="N4354" t="s">
        <v>22188</v>
      </c>
      <c r="O4354" t="s">
        <v>26523</v>
      </c>
      <c r="P4354" t="s">
        <v>26560</v>
      </c>
      <c r="Q4354" t="s">
        <v>26573</v>
      </c>
      <c r="R4354" t="s">
        <v>26578</v>
      </c>
      <c r="S4354" t="s">
        <v>18959</v>
      </c>
      <c r="U4354" t="s">
        <v>26604</v>
      </c>
      <c r="W4354" t="s">
        <v>782</v>
      </c>
      <c r="X4354">
        <v>1304.95</v>
      </c>
      <c r="Y4354" t="s">
        <v>26652</v>
      </c>
      <c r="Z4354" t="s">
        <v>26661</v>
      </c>
      <c r="AA4354" t="s">
        <v>26678</v>
      </c>
      <c r="AB4354" t="s">
        <v>30299</v>
      </c>
      <c r="AD4354" t="s">
        <v>40441</v>
      </c>
      <c r="AE4354">
        <v>25</v>
      </c>
      <c r="AF4354" t="s">
        <v>45541</v>
      </c>
      <c r="AG4354" t="s">
        <v>19330</v>
      </c>
      <c r="AH4354">
        <v>8</v>
      </c>
      <c r="AI4354">
        <v>3</v>
      </c>
      <c r="AJ4354">
        <v>1</v>
      </c>
      <c r="AK4354">
        <v>129.08</v>
      </c>
      <c r="AN4354" t="s">
        <v>7439</v>
      </c>
      <c r="AO4354">
        <v>32400</v>
      </c>
      <c r="AU4354">
        <v>6.1</v>
      </c>
      <c r="AV4354" t="s">
        <v>732</v>
      </c>
      <c r="AW4354" t="s">
        <v>46849</v>
      </c>
      <c r="AX4354" t="s">
        <v>46897</v>
      </c>
    </row>
    <row r="4355" spans="1:50">
      <c r="A4355" s="1">
        <f>HYPERLINK("https://lsnyc.legalserver.org/matter/dynamic-profile/view/1886151","18-1886151")</f>
        <v>0</v>
      </c>
      <c r="B4355" t="s">
        <v>173</v>
      </c>
      <c r="C4355" t="s">
        <v>340</v>
      </c>
      <c r="D4355" t="s">
        <v>692</v>
      </c>
      <c r="F4355" t="s">
        <v>3007</v>
      </c>
      <c r="G4355" t="s">
        <v>7267</v>
      </c>
      <c r="H4355" t="s">
        <v>10342</v>
      </c>
      <c r="I4355" t="s">
        <v>18103</v>
      </c>
      <c r="J4355" t="s">
        <v>18893</v>
      </c>
      <c r="K4355">
        <v>10025</v>
      </c>
      <c r="L4355" t="s">
        <v>18958</v>
      </c>
      <c r="M4355" t="s">
        <v>18958</v>
      </c>
      <c r="N4355" t="s">
        <v>22189</v>
      </c>
      <c r="O4355" t="s">
        <v>26523</v>
      </c>
      <c r="P4355" t="s">
        <v>26560</v>
      </c>
      <c r="R4355" t="s">
        <v>26580</v>
      </c>
      <c r="S4355" t="s">
        <v>18959</v>
      </c>
      <c r="U4355" t="s">
        <v>26604</v>
      </c>
      <c r="V4355" t="s">
        <v>26612</v>
      </c>
      <c r="W4355" t="s">
        <v>782</v>
      </c>
      <c r="X4355">
        <v>1047</v>
      </c>
      <c r="Y4355" t="s">
        <v>26651</v>
      </c>
      <c r="Z4355" t="s">
        <v>26664</v>
      </c>
      <c r="AB4355" t="s">
        <v>30300</v>
      </c>
      <c r="AC4355" t="s">
        <v>35757</v>
      </c>
      <c r="AD4355" t="s">
        <v>40442</v>
      </c>
      <c r="AE4355">
        <v>1</v>
      </c>
      <c r="AF4355" t="s">
        <v>45541</v>
      </c>
      <c r="AG4355" t="s">
        <v>19330</v>
      </c>
      <c r="AH4355">
        <v>30</v>
      </c>
      <c r="AI4355">
        <v>1</v>
      </c>
      <c r="AJ4355">
        <v>0</v>
      </c>
      <c r="AK4355">
        <v>0</v>
      </c>
      <c r="AN4355" t="s">
        <v>7439</v>
      </c>
      <c r="AO4355">
        <v>0</v>
      </c>
      <c r="AU4355">
        <v>22.3</v>
      </c>
      <c r="AV4355" t="s">
        <v>768</v>
      </c>
      <c r="AW4355" t="s">
        <v>46875</v>
      </c>
    </row>
    <row r="4356" spans="1:50">
      <c r="A4356" s="1">
        <f>HYPERLINK("https://lsnyc.legalserver.org/matter/dynamic-profile/view/1886398","18-1886398")</f>
        <v>0</v>
      </c>
      <c r="B4356" t="s">
        <v>202</v>
      </c>
      <c r="C4356" t="s">
        <v>341</v>
      </c>
      <c r="D4356" t="s">
        <v>705</v>
      </c>
      <c r="E4356" t="s">
        <v>704</v>
      </c>
      <c r="F4356" t="s">
        <v>3008</v>
      </c>
      <c r="G4356" t="s">
        <v>5300</v>
      </c>
      <c r="H4356" t="s">
        <v>12947</v>
      </c>
      <c r="J4356" t="s">
        <v>18894</v>
      </c>
      <c r="K4356">
        <v>11236</v>
      </c>
      <c r="L4356" t="s">
        <v>18958</v>
      </c>
      <c r="M4356" t="s">
        <v>18958</v>
      </c>
      <c r="N4356" t="s">
        <v>22190</v>
      </c>
      <c r="O4356" t="s">
        <v>26524</v>
      </c>
      <c r="P4356" t="s">
        <v>26564</v>
      </c>
      <c r="Q4356" t="s">
        <v>26570</v>
      </c>
      <c r="R4356" t="s">
        <v>26586</v>
      </c>
      <c r="S4356" t="s">
        <v>18959</v>
      </c>
      <c r="U4356" t="s">
        <v>26604</v>
      </c>
      <c r="V4356" t="s">
        <v>26610</v>
      </c>
      <c r="W4356" t="s">
        <v>782</v>
      </c>
      <c r="X4356">
        <v>0</v>
      </c>
      <c r="Y4356" t="s">
        <v>26652</v>
      </c>
      <c r="Z4356" t="s">
        <v>26664</v>
      </c>
      <c r="AA4356" t="s">
        <v>26683</v>
      </c>
      <c r="AB4356" t="s">
        <v>30301</v>
      </c>
      <c r="AD4356" t="s">
        <v>40443</v>
      </c>
      <c r="AE4356">
        <v>1</v>
      </c>
      <c r="AF4356" t="s">
        <v>20460</v>
      </c>
      <c r="AG4356" t="s">
        <v>26530</v>
      </c>
      <c r="AH4356">
        <v>12</v>
      </c>
      <c r="AI4356">
        <v>2</v>
      </c>
      <c r="AJ4356">
        <v>0</v>
      </c>
      <c r="AK4356">
        <v>54.68</v>
      </c>
      <c r="AN4356" t="s">
        <v>7439</v>
      </c>
      <c r="AO4356">
        <v>9000</v>
      </c>
      <c r="AU4356">
        <v>3.75</v>
      </c>
      <c r="AV4356" t="s">
        <v>704</v>
      </c>
      <c r="AW4356" t="s">
        <v>46862</v>
      </c>
    </row>
    <row r="4357" spans="1:50">
      <c r="A4357" s="1">
        <f>HYPERLINK("https://lsnyc.legalserver.org/matter/dynamic-profile/view/1886402","18-1886402")</f>
        <v>0</v>
      </c>
      <c r="B4357" t="s">
        <v>202</v>
      </c>
      <c r="C4357" t="s">
        <v>341</v>
      </c>
      <c r="D4357" t="s">
        <v>705</v>
      </c>
      <c r="E4357" t="s">
        <v>704</v>
      </c>
      <c r="F4357" t="s">
        <v>1435</v>
      </c>
      <c r="G4357" t="s">
        <v>7268</v>
      </c>
      <c r="H4357" t="s">
        <v>12948</v>
      </c>
      <c r="I4357" t="s">
        <v>17593</v>
      </c>
      <c r="J4357" t="s">
        <v>18894</v>
      </c>
      <c r="K4357">
        <v>11234</v>
      </c>
      <c r="L4357" t="s">
        <v>18958</v>
      </c>
      <c r="M4357" t="s">
        <v>18958</v>
      </c>
      <c r="N4357" t="s">
        <v>22191</v>
      </c>
      <c r="O4357" t="s">
        <v>26524</v>
      </c>
      <c r="P4357" t="s">
        <v>26564</v>
      </c>
      <c r="Q4357" t="s">
        <v>26570</v>
      </c>
      <c r="R4357" t="s">
        <v>26586</v>
      </c>
      <c r="S4357" t="s">
        <v>18959</v>
      </c>
      <c r="U4357" t="s">
        <v>26604</v>
      </c>
      <c r="V4357" t="s">
        <v>26610</v>
      </c>
      <c r="W4357" t="s">
        <v>782</v>
      </c>
      <c r="X4357">
        <v>1500</v>
      </c>
      <c r="Y4357" t="s">
        <v>26652</v>
      </c>
      <c r="Z4357" t="s">
        <v>26664</v>
      </c>
      <c r="AA4357" t="s">
        <v>26683</v>
      </c>
      <c r="AB4357" t="s">
        <v>30302</v>
      </c>
      <c r="AD4357" t="s">
        <v>34738</v>
      </c>
      <c r="AE4357">
        <v>2</v>
      </c>
      <c r="AF4357" t="s">
        <v>20460</v>
      </c>
      <c r="AG4357" t="s">
        <v>19330</v>
      </c>
      <c r="AH4357">
        <v>1</v>
      </c>
      <c r="AI4357">
        <v>1</v>
      </c>
      <c r="AJ4357">
        <v>1</v>
      </c>
      <c r="AK4357">
        <v>121.51</v>
      </c>
      <c r="AN4357" t="s">
        <v>7439</v>
      </c>
      <c r="AO4357">
        <v>20000</v>
      </c>
      <c r="AU4357">
        <v>2</v>
      </c>
      <c r="AV4357" t="s">
        <v>704</v>
      </c>
      <c r="AW4357" t="s">
        <v>46853</v>
      </c>
    </row>
    <row r="4358" spans="1:50">
      <c r="A4358" s="1">
        <f>HYPERLINK("https://lsnyc.legalserver.org/matter/dynamic-profile/view/1886600","18-1886600")</f>
        <v>0</v>
      </c>
      <c r="B4358" t="s">
        <v>81</v>
      </c>
      <c r="C4358" t="s">
        <v>340</v>
      </c>
      <c r="D4358" t="s">
        <v>699</v>
      </c>
      <c r="F4358" t="s">
        <v>1125</v>
      </c>
      <c r="G4358" t="s">
        <v>7269</v>
      </c>
      <c r="H4358" t="s">
        <v>9636</v>
      </c>
      <c r="I4358" t="s">
        <v>18104</v>
      </c>
      <c r="J4358" t="s">
        <v>18892</v>
      </c>
      <c r="K4358">
        <v>10452</v>
      </c>
      <c r="L4358" t="s">
        <v>18958</v>
      </c>
      <c r="M4358" t="s">
        <v>18958</v>
      </c>
      <c r="N4358" t="s">
        <v>22192</v>
      </c>
      <c r="O4358" t="s">
        <v>26523</v>
      </c>
      <c r="P4358" t="s">
        <v>26560</v>
      </c>
      <c r="R4358" t="s">
        <v>26577</v>
      </c>
      <c r="S4358" t="s">
        <v>18959</v>
      </c>
      <c r="U4358" t="s">
        <v>26604</v>
      </c>
      <c r="V4358" t="s">
        <v>26611</v>
      </c>
      <c r="W4358" t="s">
        <v>782</v>
      </c>
      <c r="X4358">
        <v>1178</v>
      </c>
      <c r="Y4358" t="s">
        <v>26650</v>
      </c>
      <c r="Z4358" t="s">
        <v>26661</v>
      </c>
      <c r="AB4358" t="s">
        <v>29869</v>
      </c>
      <c r="AD4358" t="s">
        <v>40444</v>
      </c>
      <c r="AE4358">
        <v>0</v>
      </c>
      <c r="AF4358" t="s">
        <v>45541</v>
      </c>
      <c r="AG4358" t="s">
        <v>19330</v>
      </c>
      <c r="AH4358">
        <v>11</v>
      </c>
      <c r="AI4358">
        <v>4</v>
      </c>
      <c r="AJ4358">
        <v>1</v>
      </c>
      <c r="AK4358">
        <v>226.24</v>
      </c>
      <c r="AL4358" t="s">
        <v>751</v>
      </c>
      <c r="AM4358" t="s">
        <v>45575</v>
      </c>
      <c r="AN4358" t="s">
        <v>45581</v>
      </c>
      <c r="AO4358">
        <v>66560</v>
      </c>
      <c r="AP4358" t="s">
        <v>45642</v>
      </c>
      <c r="AU4358">
        <v>10.8</v>
      </c>
      <c r="AV4358" t="s">
        <v>763</v>
      </c>
      <c r="AW4358" t="s">
        <v>46831</v>
      </c>
    </row>
    <row r="4359" spans="1:50">
      <c r="A4359" s="1">
        <f>HYPERLINK("https://lsnyc.legalserver.org/matter/dynamic-profile/view/1887202","19-1887202")</f>
        <v>0</v>
      </c>
      <c r="B4359" t="s">
        <v>256</v>
      </c>
      <c r="C4359" t="s">
        <v>340</v>
      </c>
      <c r="D4359" t="s">
        <v>716</v>
      </c>
      <c r="F4359" t="s">
        <v>1145</v>
      </c>
      <c r="G4359" t="s">
        <v>6495</v>
      </c>
      <c r="H4359" t="s">
        <v>10275</v>
      </c>
      <c r="I4359" t="s">
        <v>17354</v>
      </c>
      <c r="J4359" t="s">
        <v>18894</v>
      </c>
      <c r="K4359">
        <v>11221</v>
      </c>
      <c r="L4359" t="s">
        <v>18958</v>
      </c>
      <c r="M4359" t="s">
        <v>18958</v>
      </c>
      <c r="N4359" t="s">
        <v>22193</v>
      </c>
      <c r="O4359" t="s">
        <v>26524</v>
      </c>
      <c r="P4359" t="s">
        <v>26560</v>
      </c>
      <c r="R4359" t="s">
        <v>26578</v>
      </c>
      <c r="U4359" t="s">
        <v>26604</v>
      </c>
      <c r="W4359" t="s">
        <v>782</v>
      </c>
      <c r="X4359">
        <v>0</v>
      </c>
      <c r="Y4359" t="s">
        <v>26652</v>
      </c>
      <c r="Z4359" t="s">
        <v>26659</v>
      </c>
      <c r="AB4359" t="s">
        <v>28926</v>
      </c>
      <c r="AE4359">
        <v>7</v>
      </c>
      <c r="AF4359" t="s">
        <v>45541</v>
      </c>
      <c r="AH4359">
        <v>0</v>
      </c>
      <c r="AI4359">
        <v>1</v>
      </c>
      <c r="AJ4359">
        <v>0</v>
      </c>
      <c r="AK4359">
        <v>57.66</v>
      </c>
      <c r="AN4359" t="s">
        <v>7439</v>
      </c>
      <c r="AO4359">
        <v>6999.96</v>
      </c>
      <c r="AQ4359" t="s">
        <v>46359</v>
      </c>
      <c r="AR4359" t="s">
        <v>46379</v>
      </c>
      <c r="AS4359" t="s">
        <v>46499</v>
      </c>
      <c r="AT4359" t="s">
        <v>46782</v>
      </c>
      <c r="AU4359">
        <v>2</v>
      </c>
      <c r="AV4359" t="s">
        <v>713</v>
      </c>
      <c r="AW4359" t="s">
        <v>219</v>
      </c>
    </row>
    <row r="4360" spans="1:50">
      <c r="A4360" s="1">
        <f>HYPERLINK("https://lsnyc.legalserver.org/matter/dynamic-profile/view/0815813","16-0815813")</f>
        <v>0</v>
      </c>
      <c r="B4360" t="s">
        <v>53</v>
      </c>
      <c r="C4360" t="s">
        <v>340</v>
      </c>
      <c r="D4360" t="s">
        <v>717</v>
      </c>
      <c r="F4360" t="s">
        <v>1423</v>
      </c>
      <c r="G4360" t="s">
        <v>7270</v>
      </c>
      <c r="H4360" t="s">
        <v>12949</v>
      </c>
      <c r="I4360" t="s">
        <v>17465</v>
      </c>
      <c r="J4360" t="s">
        <v>18892</v>
      </c>
      <c r="K4360">
        <v>10471</v>
      </c>
      <c r="L4360" t="s">
        <v>18958</v>
      </c>
      <c r="M4360" t="s">
        <v>18958</v>
      </c>
      <c r="N4360" t="s">
        <v>22194</v>
      </c>
      <c r="O4360" t="s">
        <v>26523</v>
      </c>
      <c r="P4360" t="s">
        <v>26560</v>
      </c>
      <c r="R4360" t="s">
        <v>26578</v>
      </c>
      <c r="S4360" t="s">
        <v>18959</v>
      </c>
      <c r="U4360" t="s">
        <v>26604</v>
      </c>
      <c r="V4360" t="s">
        <v>26610</v>
      </c>
      <c r="W4360" t="s">
        <v>713</v>
      </c>
      <c r="X4360">
        <v>2000</v>
      </c>
      <c r="Y4360" t="s">
        <v>26650</v>
      </c>
      <c r="Z4360" t="s">
        <v>26656</v>
      </c>
      <c r="AB4360" t="s">
        <v>28362</v>
      </c>
      <c r="AD4360" t="s">
        <v>40445</v>
      </c>
      <c r="AE4360">
        <v>69</v>
      </c>
      <c r="AF4360" t="s">
        <v>20460</v>
      </c>
      <c r="AG4360" t="s">
        <v>19330</v>
      </c>
      <c r="AH4360">
        <v>2</v>
      </c>
      <c r="AI4360">
        <v>2</v>
      </c>
      <c r="AJ4360">
        <v>0</v>
      </c>
      <c r="AK4360">
        <v>208.11</v>
      </c>
      <c r="AL4360" t="s">
        <v>820</v>
      </c>
      <c r="AM4360" t="s">
        <v>45575</v>
      </c>
      <c r="AN4360" t="s">
        <v>45581</v>
      </c>
      <c r="AO4360">
        <v>33339.54</v>
      </c>
      <c r="AP4360" t="s">
        <v>45822</v>
      </c>
      <c r="AU4360">
        <v>139.2</v>
      </c>
      <c r="AV4360" t="s">
        <v>836</v>
      </c>
      <c r="AW4360" t="s">
        <v>46830</v>
      </c>
    </row>
    <row r="4361" spans="1:50">
      <c r="A4361" s="1">
        <f>HYPERLINK("https://lsnyc.legalserver.org/matter/dynamic-profile/view/1871544","18-1871544")</f>
        <v>0</v>
      </c>
      <c r="B4361" t="s">
        <v>227</v>
      </c>
      <c r="C4361" t="s">
        <v>341</v>
      </c>
      <c r="D4361" t="s">
        <v>420</v>
      </c>
      <c r="E4361" t="s">
        <v>528</v>
      </c>
      <c r="F4361" t="s">
        <v>939</v>
      </c>
      <c r="G4361" t="s">
        <v>7208</v>
      </c>
      <c r="H4361" t="s">
        <v>12950</v>
      </c>
      <c r="I4361" t="s">
        <v>18045</v>
      </c>
      <c r="J4361" t="s">
        <v>18894</v>
      </c>
      <c r="K4361">
        <v>11225</v>
      </c>
      <c r="L4361" t="s">
        <v>18958</v>
      </c>
      <c r="M4361" t="s">
        <v>18958</v>
      </c>
      <c r="N4361" t="s">
        <v>22195</v>
      </c>
      <c r="O4361" t="s">
        <v>26523</v>
      </c>
      <c r="P4361" t="s">
        <v>26560</v>
      </c>
      <c r="Q4361" t="s">
        <v>26568</v>
      </c>
      <c r="R4361" t="s">
        <v>26588</v>
      </c>
      <c r="U4361" t="s">
        <v>26604</v>
      </c>
      <c r="W4361" t="s">
        <v>713</v>
      </c>
      <c r="X4361">
        <v>1400</v>
      </c>
      <c r="Y4361" t="s">
        <v>26652</v>
      </c>
      <c r="Z4361" t="s">
        <v>26669</v>
      </c>
      <c r="AA4361" t="s">
        <v>26686</v>
      </c>
      <c r="AB4361" t="s">
        <v>30303</v>
      </c>
      <c r="AD4361" t="s">
        <v>40446</v>
      </c>
      <c r="AE4361">
        <v>0</v>
      </c>
      <c r="AH4361">
        <v>40</v>
      </c>
      <c r="AI4361">
        <v>4</v>
      </c>
      <c r="AJ4361">
        <v>1</v>
      </c>
      <c r="AK4361">
        <v>64.36</v>
      </c>
      <c r="AN4361" t="s">
        <v>7439</v>
      </c>
      <c r="AO4361">
        <v>18936</v>
      </c>
      <c r="AU4361">
        <v>9.800000000000001</v>
      </c>
      <c r="AV4361" t="s">
        <v>528</v>
      </c>
      <c r="AW4361" t="s">
        <v>46853</v>
      </c>
      <c r="AX4361" t="s">
        <v>46897</v>
      </c>
    </row>
    <row r="4362" spans="1:50">
      <c r="A4362" s="1">
        <f>HYPERLINK("https://lsnyc.legalserver.org/matter/dynamic-profile/view/1872140","18-1872140")</f>
        <v>0</v>
      </c>
      <c r="B4362" t="s">
        <v>232</v>
      </c>
      <c r="C4362" t="s">
        <v>341</v>
      </c>
      <c r="D4362" t="s">
        <v>435</v>
      </c>
      <c r="E4362" t="s">
        <v>724</v>
      </c>
      <c r="F4362" t="s">
        <v>1228</v>
      </c>
      <c r="G4362" t="s">
        <v>5313</v>
      </c>
      <c r="H4362" t="s">
        <v>12951</v>
      </c>
      <c r="I4362" t="s">
        <v>17849</v>
      </c>
      <c r="J4362" t="s">
        <v>18894</v>
      </c>
      <c r="K4362">
        <v>11238</v>
      </c>
      <c r="L4362" t="s">
        <v>18958</v>
      </c>
      <c r="M4362" t="s">
        <v>18958</v>
      </c>
      <c r="N4362" t="s">
        <v>22196</v>
      </c>
      <c r="O4362" t="s">
        <v>26524</v>
      </c>
      <c r="P4362" t="s">
        <v>26560</v>
      </c>
      <c r="Q4362" t="s">
        <v>26573</v>
      </c>
      <c r="R4362" t="s">
        <v>26586</v>
      </c>
      <c r="S4362" t="s">
        <v>18959</v>
      </c>
      <c r="U4362" t="s">
        <v>26604</v>
      </c>
      <c r="V4362" t="s">
        <v>26609</v>
      </c>
      <c r="W4362" t="s">
        <v>713</v>
      </c>
      <c r="X4362">
        <v>703.9400000000001</v>
      </c>
      <c r="Y4362" t="s">
        <v>26652</v>
      </c>
      <c r="Z4362" t="s">
        <v>26664</v>
      </c>
      <c r="AA4362" t="s">
        <v>26682</v>
      </c>
      <c r="AB4362" t="s">
        <v>30304</v>
      </c>
      <c r="AC4362" t="s">
        <v>35758</v>
      </c>
      <c r="AD4362" t="s">
        <v>40447</v>
      </c>
      <c r="AE4362">
        <v>49</v>
      </c>
      <c r="AF4362" t="s">
        <v>45541</v>
      </c>
      <c r="AG4362" t="s">
        <v>19330</v>
      </c>
      <c r="AH4362">
        <v>25</v>
      </c>
      <c r="AI4362">
        <v>1</v>
      </c>
      <c r="AJ4362">
        <v>2</v>
      </c>
      <c r="AK4362">
        <v>67.37</v>
      </c>
      <c r="AN4362" t="s">
        <v>45581</v>
      </c>
      <c r="AO4362">
        <v>14000</v>
      </c>
      <c r="AQ4362" t="s">
        <v>46359</v>
      </c>
      <c r="AR4362" t="s">
        <v>46395</v>
      </c>
      <c r="AS4362" t="s">
        <v>46499</v>
      </c>
      <c r="AU4362">
        <v>11.1</v>
      </c>
      <c r="AV4362" t="s">
        <v>724</v>
      </c>
      <c r="AW4362" t="s">
        <v>237</v>
      </c>
      <c r="AX4362" t="s">
        <v>46897</v>
      </c>
    </row>
    <row r="4363" spans="1:50">
      <c r="A4363" s="1">
        <f>HYPERLINK("https://lsnyc.legalserver.org/matter/dynamic-profile/view/1870206","18-1870206")</f>
        <v>0</v>
      </c>
      <c r="B4363" t="s">
        <v>99</v>
      </c>
      <c r="C4363" t="s">
        <v>341</v>
      </c>
      <c r="D4363" t="s">
        <v>439</v>
      </c>
      <c r="E4363" t="s">
        <v>714</v>
      </c>
      <c r="F4363" t="s">
        <v>1021</v>
      </c>
      <c r="G4363" t="s">
        <v>7271</v>
      </c>
      <c r="H4363" t="s">
        <v>12952</v>
      </c>
      <c r="I4363" t="s">
        <v>17469</v>
      </c>
      <c r="J4363" t="s">
        <v>18894</v>
      </c>
      <c r="K4363">
        <v>11214</v>
      </c>
      <c r="L4363" t="s">
        <v>18958</v>
      </c>
      <c r="M4363" t="s">
        <v>18958</v>
      </c>
      <c r="N4363" t="s">
        <v>22197</v>
      </c>
      <c r="O4363" t="s">
        <v>26524</v>
      </c>
      <c r="P4363" t="s">
        <v>26560</v>
      </c>
      <c r="Q4363" t="s">
        <v>26568</v>
      </c>
      <c r="R4363" t="s">
        <v>26586</v>
      </c>
      <c r="S4363" t="s">
        <v>18959</v>
      </c>
      <c r="U4363" t="s">
        <v>26604</v>
      </c>
      <c r="V4363" t="s">
        <v>26610</v>
      </c>
      <c r="W4363" t="s">
        <v>713</v>
      </c>
      <c r="X4363">
        <v>1650</v>
      </c>
      <c r="Y4363" t="s">
        <v>26652</v>
      </c>
      <c r="Z4363" t="s">
        <v>26530</v>
      </c>
      <c r="AA4363" t="s">
        <v>26679</v>
      </c>
      <c r="AB4363" t="s">
        <v>30305</v>
      </c>
      <c r="AC4363" t="s">
        <v>19330</v>
      </c>
      <c r="AD4363" t="s">
        <v>40448</v>
      </c>
      <c r="AE4363">
        <v>4</v>
      </c>
      <c r="AF4363" t="s">
        <v>20460</v>
      </c>
      <c r="AG4363" t="s">
        <v>19330</v>
      </c>
      <c r="AH4363">
        <v>12</v>
      </c>
      <c r="AI4363">
        <v>3</v>
      </c>
      <c r="AJ4363">
        <v>0</v>
      </c>
      <c r="AK4363">
        <v>119.94</v>
      </c>
      <c r="AN4363" t="s">
        <v>7439</v>
      </c>
      <c r="AO4363">
        <v>24924</v>
      </c>
      <c r="AQ4363" t="s">
        <v>46359</v>
      </c>
      <c r="AR4363" t="s">
        <v>26530</v>
      </c>
      <c r="AS4363" t="s">
        <v>46500</v>
      </c>
      <c r="AT4363" t="s">
        <v>46647</v>
      </c>
      <c r="AU4363">
        <v>23.57</v>
      </c>
      <c r="AV4363" t="s">
        <v>657</v>
      </c>
      <c r="AW4363" t="s">
        <v>46860</v>
      </c>
    </row>
    <row r="4364" spans="1:50">
      <c r="A4364" s="1">
        <f>HYPERLINK("https://lsnyc.legalserver.org/matter/dynamic-profile/view/1872585","18-1872585")</f>
        <v>0</v>
      </c>
      <c r="B4364" t="s">
        <v>158</v>
      </c>
      <c r="C4364" t="s">
        <v>340</v>
      </c>
      <c r="D4364" t="s">
        <v>409</v>
      </c>
      <c r="F4364" t="s">
        <v>1893</v>
      </c>
      <c r="G4364" t="s">
        <v>6416</v>
      </c>
      <c r="H4364" t="s">
        <v>12953</v>
      </c>
      <c r="I4364">
        <v>1</v>
      </c>
      <c r="J4364" t="s">
        <v>18894</v>
      </c>
      <c r="K4364">
        <v>11216</v>
      </c>
      <c r="L4364" t="s">
        <v>18958</v>
      </c>
      <c r="M4364" t="s">
        <v>18958</v>
      </c>
      <c r="N4364" t="s">
        <v>22198</v>
      </c>
      <c r="O4364" t="s">
        <v>26524</v>
      </c>
      <c r="P4364" t="s">
        <v>26560</v>
      </c>
      <c r="R4364" t="s">
        <v>26588</v>
      </c>
      <c r="U4364" t="s">
        <v>26604</v>
      </c>
      <c r="W4364" t="s">
        <v>713</v>
      </c>
      <c r="X4364">
        <v>0</v>
      </c>
      <c r="Y4364" t="s">
        <v>26652</v>
      </c>
      <c r="Z4364" t="s">
        <v>26659</v>
      </c>
      <c r="AB4364" t="s">
        <v>30306</v>
      </c>
      <c r="AD4364" t="s">
        <v>40449</v>
      </c>
      <c r="AE4364">
        <v>5</v>
      </c>
      <c r="AG4364" t="s">
        <v>19330</v>
      </c>
      <c r="AH4364">
        <v>5</v>
      </c>
      <c r="AI4364">
        <v>2</v>
      </c>
      <c r="AJ4364">
        <v>0</v>
      </c>
      <c r="AK4364">
        <v>139.73</v>
      </c>
      <c r="AN4364" t="s">
        <v>7439</v>
      </c>
      <c r="AO4364">
        <v>23000</v>
      </c>
      <c r="AU4364">
        <v>3.45</v>
      </c>
      <c r="AV4364" t="s">
        <v>857</v>
      </c>
      <c r="AW4364" t="s">
        <v>281</v>
      </c>
    </row>
    <row r="4365" spans="1:50">
      <c r="A4365" s="1">
        <f>HYPERLINK("https://lsnyc.legalserver.org/matter/dynamic-profile/view/1872887","18-1872887")</f>
        <v>0</v>
      </c>
      <c r="B4365" t="s">
        <v>227</v>
      </c>
      <c r="C4365" t="s">
        <v>341</v>
      </c>
      <c r="D4365" t="s">
        <v>436</v>
      </c>
      <c r="E4365" t="s">
        <v>803</v>
      </c>
      <c r="F4365" t="s">
        <v>2620</v>
      </c>
      <c r="G4365" t="s">
        <v>7272</v>
      </c>
      <c r="H4365" t="s">
        <v>10855</v>
      </c>
      <c r="J4365" t="s">
        <v>18894</v>
      </c>
      <c r="K4365">
        <v>11208</v>
      </c>
      <c r="L4365" t="s">
        <v>18958</v>
      </c>
      <c r="M4365" t="s">
        <v>18958</v>
      </c>
      <c r="N4365" t="s">
        <v>22199</v>
      </c>
      <c r="O4365" t="s">
        <v>26524</v>
      </c>
      <c r="P4365" t="s">
        <v>26560</v>
      </c>
      <c r="Q4365" t="s">
        <v>26568</v>
      </c>
      <c r="R4365" t="s">
        <v>26586</v>
      </c>
      <c r="U4365" t="s">
        <v>26607</v>
      </c>
      <c r="W4365" t="s">
        <v>713</v>
      </c>
      <c r="X4365">
        <v>25000</v>
      </c>
      <c r="Y4365" t="s">
        <v>26652</v>
      </c>
      <c r="AA4365" t="s">
        <v>26679</v>
      </c>
      <c r="AB4365" t="s">
        <v>30307</v>
      </c>
      <c r="AD4365" t="s">
        <v>40450</v>
      </c>
      <c r="AE4365">
        <v>2</v>
      </c>
      <c r="AH4365">
        <v>10</v>
      </c>
      <c r="AI4365">
        <v>1</v>
      </c>
      <c r="AJ4365">
        <v>0</v>
      </c>
      <c r="AK4365">
        <v>288.3</v>
      </c>
      <c r="AN4365" t="s">
        <v>7439</v>
      </c>
      <c r="AO4365">
        <v>35000</v>
      </c>
      <c r="AU4365">
        <v>43.1</v>
      </c>
      <c r="AV4365" t="s">
        <v>803</v>
      </c>
      <c r="AW4365" t="s">
        <v>46853</v>
      </c>
    </row>
    <row r="4366" spans="1:50">
      <c r="A4366" s="1">
        <f>HYPERLINK("https://lsnyc.legalserver.org/matter/dynamic-profile/view/1873554","18-1873554")</f>
        <v>0</v>
      </c>
      <c r="B4366" t="s">
        <v>238</v>
      </c>
      <c r="C4366" t="s">
        <v>341</v>
      </c>
      <c r="D4366" t="s">
        <v>447</v>
      </c>
      <c r="E4366" t="s">
        <v>494</v>
      </c>
      <c r="F4366" t="s">
        <v>3009</v>
      </c>
      <c r="G4366" t="s">
        <v>6461</v>
      </c>
      <c r="H4366" t="s">
        <v>12954</v>
      </c>
      <c r="I4366" t="s">
        <v>17349</v>
      </c>
      <c r="J4366" t="s">
        <v>18894</v>
      </c>
      <c r="K4366">
        <v>11229</v>
      </c>
      <c r="L4366" t="s">
        <v>18958</v>
      </c>
      <c r="M4366" t="s">
        <v>18958</v>
      </c>
      <c r="N4366" t="s">
        <v>22200</v>
      </c>
      <c r="O4366" t="s">
        <v>26523</v>
      </c>
      <c r="P4366" t="s">
        <v>26564</v>
      </c>
      <c r="Q4366" t="s">
        <v>26570</v>
      </c>
      <c r="R4366" t="s">
        <v>26586</v>
      </c>
      <c r="S4366" t="s">
        <v>18959</v>
      </c>
      <c r="U4366" t="s">
        <v>26605</v>
      </c>
      <c r="V4366" t="s">
        <v>26610</v>
      </c>
      <c r="W4366" t="s">
        <v>713</v>
      </c>
      <c r="X4366">
        <v>1061</v>
      </c>
      <c r="Y4366" t="s">
        <v>26652</v>
      </c>
      <c r="Z4366" t="s">
        <v>26662</v>
      </c>
      <c r="AA4366" t="s">
        <v>26683</v>
      </c>
      <c r="AB4366" t="s">
        <v>30308</v>
      </c>
      <c r="AD4366" t="s">
        <v>40451</v>
      </c>
      <c r="AE4366">
        <v>60</v>
      </c>
      <c r="AF4366" t="s">
        <v>45549</v>
      </c>
      <c r="AG4366" t="s">
        <v>19330</v>
      </c>
      <c r="AH4366">
        <v>3</v>
      </c>
      <c r="AI4366">
        <v>2</v>
      </c>
      <c r="AJ4366">
        <v>0</v>
      </c>
      <c r="AK4366">
        <v>60.75</v>
      </c>
      <c r="AN4366" t="s">
        <v>7439</v>
      </c>
      <c r="AO4366">
        <v>10000</v>
      </c>
      <c r="AU4366">
        <v>1.7</v>
      </c>
      <c r="AV4366" t="s">
        <v>494</v>
      </c>
      <c r="AW4366" t="s">
        <v>46862</v>
      </c>
    </row>
    <row r="4367" spans="1:50">
      <c r="A4367" s="1">
        <f>HYPERLINK("https://lsnyc.legalserver.org/matter/dynamic-profile/view/1873876","18-1873876")</f>
        <v>0</v>
      </c>
      <c r="B4367" t="s">
        <v>230</v>
      </c>
      <c r="C4367" t="s">
        <v>340</v>
      </c>
      <c r="D4367" t="s">
        <v>469</v>
      </c>
      <c r="F4367" t="s">
        <v>1062</v>
      </c>
      <c r="G4367" t="s">
        <v>5849</v>
      </c>
      <c r="H4367" t="s">
        <v>12955</v>
      </c>
      <c r="I4367" t="s">
        <v>18105</v>
      </c>
      <c r="J4367" t="s">
        <v>18894</v>
      </c>
      <c r="K4367">
        <v>11206</v>
      </c>
      <c r="L4367" t="s">
        <v>18958</v>
      </c>
      <c r="M4367" t="s">
        <v>18958</v>
      </c>
      <c r="N4367" t="s">
        <v>22201</v>
      </c>
      <c r="O4367" t="s">
        <v>26523</v>
      </c>
      <c r="P4367" t="s">
        <v>26562</v>
      </c>
      <c r="R4367" t="s">
        <v>26586</v>
      </c>
      <c r="S4367" t="s">
        <v>18959</v>
      </c>
      <c r="U4367" t="s">
        <v>26605</v>
      </c>
      <c r="V4367" t="s">
        <v>26610</v>
      </c>
      <c r="W4367" t="s">
        <v>713</v>
      </c>
      <c r="X4367">
        <v>237</v>
      </c>
      <c r="Y4367" t="s">
        <v>26652</v>
      </c>
      <c r="Z4367" t="s">
        <v>26659</v>
      </c>
      <c r="AB4367" t="s">
        <v>30309</v>
      </c>
      <c r="AD4367" t="s">
        <v>40452</v>
      </c>
      <c r="AE4367">
        <v>202</v>
      </c>
      <c r="AF4367" t="s">
        <v>45549</v>
      </c>
      <c r="AG4367" t="s">
        <v>45556</v>
      </c>
      <c r="AH4367">
        <v>2</v>
      </c>
      <c r="AI4367">
        <v>1</v>
      </c>
      <c r="AJ4367">
        <v>1</v>
      </c>
      <c r="AK4367">
        <v>78.73999999999999</v>
      </c>
      <c r="AN4367" t="s">
        <v>7439</v>
      </c>
      <c r="AO4367">
        <v>12960</v>
      </c>
      <c r="AU4367">
        <v>26</v>
      </c>
      <c r="AV4367" t="s">
        <v>757</v>
      </c>
      <c r="AW4367" t="s">
        <v>281</v>
      </c>
    </row>
    <row r="4368" spans="1:50">
      <c r="A4368" s="1">
        <f>HYPERLINK("https://lsnyc.legalserver.org/matter/dynamic-profile/view/1874212","18-1874212")</f>
        <v>0</v>
      </c>
      <c r="B4368" t="s">
        <v>101</v>
      </c>
      <c r="C4368" t="s">
        <v>340</v>
      </c>
      <c r="D4368" t="s">
        <v>497</v>
      </c>
      <c r="F4368" t="s">
        <v>1309</v>
      </c>
      <c r="G4368" t="s">
        <v>5435</v>
      </c>
      <c r="H4368" t="s">
        <v>12956</v>
      </c>
      <c r="I4368" t="s">
        <v>17330</v>
      </c>
      <c r="J4368" t="s">
        <v>18894</v>
      </c>
      <c r="K4368">
        <v>11215</v>
      </c>
      <c r="L4368" t="s">
        <v>18958</v>
      </c>
      <c r="M4368" t="s">
        <v>18958</v>
      </c>
      <c r="N4368" t="s">
        <v>22202</v>
      </c>
      <c r="O4368" t="s">
        <v>26523</v>
      </c>
      <c r="P4368" t="s">
        <v>26560</v>
      </c>
      <c r="R4368" t="s">
        <v>26586</v>
      </c>
      <c r="U4368" t="s">
        <v>26604</v>
      </c>
      <c r="W4368" t="s">
        <v>713</v>
      </c>
      <c r="X4368">
        <v>1750</v>
      </c>
      <c r="Y4368" t="s">
        <v>26652</v>
      </c>
      <c r="Z4368" t="s">
        <v>26662</v>
      </c>
      <c r="AB4368" t="s">
        <v>30310</v>
      </c>
      <c r="AD4368" t="s">
        <v>40453</v>
      </c>
      <c r="AE4368">
        <v>6</v>
      </c>
      <c r="AH4368">
        <v>2</v>
      </c>
      <c r="AI4368">
        <v>2</v>
      </c>
      <c r="AJ4368">
        <v>0</v>
      </c>
      <c r="AK4368">
        <v>199.27</v>
      </c>
      <c r="AN4368" t="s">
        <v>7439</v>
      </c>
      <c r="AO4368">
        <v>32800</v>
      </c>
      <c r="AU4368">
        <v>101.6</v>
      </c>
      <c r="AV4368" t="s">
        <v>660</v>
      </c>
      <c r="AW4368" t="s">
        <v>281</v>
      </c>
    </row>
    <row r="4369" spans="1:50">
      <c r="A4369" s="1">
        <f>HYPERLINK("https://lsnyc.legalserver.org/matter/dynamic-profile/view/1874945","18-1874945")</f>
        <v>0</v>
      </c>
      <c r="B4369" t="s">
        <v>170</v>
      </c>
      <c r="C4369" t="s">
        <v>340</v>
      </c>
      <c r="D4369" t="s">
        <v>477</v>
      </c>
      <c r="F4369" t="s">
        <v>1695</v>
      </c>
      <c r="G4369" t="s">
        <v>7273</v>
      </c>
      <c r="H4369" t="s">
        <v>12957</v>
      </c>
      <c r="I4369">
        <v>4</v>
      </c>
      <c r="J4369" t="s">
        <v>18894</v>
      </c>
      <c r="K4369">
        <v>11220</v>
      </c>
      <c r="L4369" t="s">
        <v>18958</v>
      </c>
      <c r="M4369" t="s">
        <v>18958</v>
      </c>
      <c r="N4369" t="s">
        <v>22203</v>
      </c>
      <c r="O4369" t="s">
        <v>26523</v>
      </c>
      <c r="P4369" t="s">
        <v>26560</v>
      </c>
      <c r="R4369" t="s">
        <v>26586</v>
      </c>
      <c r="S4369" t="s">
        <v>18959</v>
      </c>
      <c r="U4369" t="s">
        <v>26604</v>
      </c>
      <c r="V4369" t="s">
        <v>26610</v>
      </c>
      <c r="W4369" t="s">
        <v>713</v>
      </c>
      <c r="X4369">
        <v>1068.5</v>
      </c>
      <c r="Y4369" t="s">
        <v>26652</v>
      </c>
      <c r="Z4369" t="s">
        <v>26668</v>
      </c>
      <c r="AB4369" t="s">
        <v>30311</v>
      </c>
      <c r="AD4369" t="s">
        <v>40454</v>
      </c>
      <c r="AE4369">
        <v>6</v>
      </c>
      <c r="AF4369" t="s">
        <v>45541</v>
      </c>
      <c r="AG4369" t="s">
        <v>19330</v>
      </c>
      <c r="AH4369">
        <v>24</v>
      </c>
      <c r="AI4369">
        <v>2</v>
      </c>
      <c r="AJ4369">
        <v>2</v>
      </c>
      <c r="AK4369">
        <v>23.9</v>
      </c>
      <c r="AN4369" t="s">
        <v>7439</v>
      </c>
      <c r="AO4369">
        <v>6000</v>
      </c>
      <c r="AQ4369" t="s">
        <v>46366</v>
      </c>
      <c r="AU4369">
        <v>17.7</v>
      </c>
      <c r="AV4369" t="s">
        <v>777</v>
      </c>
      <c r="AW4369" t="s">
        <v>46851</v>
      </c>
    </row>
    <row r="4370" spans="1:50">
      <c r="A4370" s="1">
        <f>HYPERLINK("https://lsnyc.legalserver.org/matter/dynamic-profile/view/1876367","18-1876367")</f>
        <v>0</v>
      </c>
      <c r="B4370" t="s">
        <v>232</v>
      </c>
      <c r="C4370" t="s">
        <v>341</v>
      </c>
      <c r="D4370" t="s">
        <v>493</v>
      </c>
      <c r="E4370" t="s">
        <v>800</v>
      </c>
      <c r="F4370" t="s">
        <v>964</v>
      </c>
      <c r="G4370" t="s">
        <v>7274</v>
      </c>
      <c r="H4370" t="s">
        <v>12958</v>
      </c>
      <c r="I4370" t="s">
        <v>17465</v>
      </c>
      <c r="J4370" t="s">
        <v>18894</v>
      </c>
      <c r="K4370">
        <v>11206</v>
      </c>
      <c r="L4370" t="s">
        <v>18958</v>
      </c>
      <c r="M4370" t="s">
        <v>18958</v>
      </c>
      <c r="N4370" t="s">
        <v>22204</v>
      </c>
      <c r="O4370" t="s">
        <v>26523</v>
      </c>
      <c r="P4370" t="s">
        <v>26560</v>
      </c>
      <c r="Q4370" t="s">
        <v>26573</v>
      </c>
      <c r="R4370" t="s">
        <v>26586</v>
      </c>
      <c r="S4370" t="s">
        <v>18959</v>
      </c>
      <c r="U4370" t="s">
        <v>26605</v>
      </c>
      <c r="V4370" t="s">
        <v>26610</v>
      </c>
      <c r="W4370" t="s">
        <v>713</v>
      </c>
      <c r="X4370">
        <v>1301</v>
      </c>
      <c r="Y4370" t="s">
        <v>26652</v>
      </c>
      <c r="Z4370" t="s">
        <v>26664</v>
      </c>
      <c r="AA4370" t="s">
        <v>26680</v>
      </c>
      <c r="AB4370" t="s">
        <v>30312</v>
      </c>
      <c r="AE4370">
        <v>64</v>
      </c>
      <c r="AF4370" t="s">
        <v>45549</v>
      </c>
      <c r="AG4370" t="s">
        <v>19330</v>
      </c>
      <c r="AH4370">
        <v>25</v>
      </c>
      <c r="AI4370">
        <v>2</v>
      </c>
      <c r="AJ4370">
        <v>0</v>
      </c>
      <c r="AK4370">
        <v>333.12</v>
      </c>
      <c r="AL4370" t="s">
        <v>794</v>
      </c>
      <c r="AM4370" t="s">
        <v>45575</v>
      </c>
      <c r="AN4370" t="s">
        <v>45581</v>
      </c>
      <c r="AO4370">
        <v>54832</v>
      </c>
      <c r="AS4370" t="s">
        <v>46499</v>
      </c>
      <c r="AT4370" t="s">
        <v>46556</v>
      </c>
      <c r="AU4370">
        <v>11.6</v>
      </c>
      <c r="AV4370" t="s">
        <v>800</v>
      </c>
      <c r="AW4370" t="s">
        <v>46853</v>
      </c>
    </row>
    <row r="4371" spans="1:50">
      <c r="A4371" s="1">
        <f>HYPERLINK("https://lsnyc.legalserver.org/matter/dynamic-profile/view/1876401","18-1876401")</f>
        <v>0</v>
      </c>
      <c r="B4371" t="s">
        <v>174</v>
      </c>
      <c r="C4371" t="s">
        <v>341</v>
      </c>
      <c r="D4371" t="s">
        <v>523</v>
      </c>
      <c r="E4371" t="s">
        <v>832</v>
      </c>
      <c r="F4371" t="s">
        <v>3010</v>
      </c>
      <c r="G4371" t="s">
        <v>5141</v>
      </c>
      <c r="H4371" t="s">
        <v>12959</v>
      </c>
      <c r="I4371" t="s">
        <v>18106</v>
      </c>
      <c r="J4371" t="s">
        <v>18894</v>
      </c>
      <c r="K4371">
        <v>11233</v>
      </c>
      <c r="L4371" t="s">
        <v>18958</v>
      </c>
      <c r="M4371" t="s">
        <v>18959</v>
      </c>
      <c r="N4371" t="s">
        <v>22205</v>
      </c>
      <c r="O4371" t="s">
        <v>26523</v>
      </c>
      <c r="P4371" t="s">
        <v>26560</v>
      </c>
      <c r="Q4371" t="s">
        <v>26568</v>
      </c>
      <c r="R4371" t="s">
        <v>26578</v>
      </c>
      <c r="S4371" t="s">
        <v>18959</v>
      </c>
      <c r="U4371" t="s">
        <v>26604</v>
      </c>
      <c r="V4371" t="s">
        <v>26610</v>
      </c>
      <c r="W4371" t="s">
        <v>713</v>
      </c>
      <c r="X4371">
        <v>1542</v>
      </c>
      <c r="Y4371" t="s">
        <v>26652</v>
      </c>
      <c r="Z4371" t="s">
        <v>26665</v>
      </c>
      <c r="AA4371" t="s">
        <v>26678</v>
      </c>
      <c r="AB4371" t="s">
        <v>26812</v>
      </c>
      <c r="AC4371" t="s">
        <v>35759</v>
      </c>
      <c r="AD4371" t="s">
        <v>40455</v>
      </c>
      <c r="AE4371">
        <v>200</v>
      </c>
      <c r="AF4371" t="s">
        <v>45541</v>
      </c>
      <c r="AG4371" t="s">
        <v>45556</v>
      </c>
      <c r="AH4371">
        <v>10</v>
      </c>
      <c r="AI4371">
        <v>1</v>
      </c>
      <c r="AJ4371">
        <v>2</v>
      </c>
      <c r="AK4371">
        <v>159.15</v>
      </c>
      <c r="AN4371" t="s">
        <v>7439</v>
      </c>
      <c r="AO4371">
        <v>33072</v>
      </c>
      <c r="AR4371" t="s">
        <v>46379</v>
      </c>
      <c r="AS4371" t="s">
        <v>46499</v>
      </c>
      <c r="AT4371" t="s">
        <v>46754</v>
      </c>
      <c r="AU4371">
        <v>7.5</v>
      </c>
      <c r="AV4371" t="s">
        <v>744</v>
      </c>
      <c r="AW4371" t="s">
        <v>46843</v>
      </c>
      <c r="AX4371" t="s">
        <v>46897</v>
      </c>
    </row>
    <row r="4372" spans="1:50">
      <c r="A4372" s="1">
        <f>HYPERLINK("https://lsnyc.legalserver.org/matter/dynamic-profile/view/1876730","18-1876730")</f>
        <v>0</v>
      </c>
      <c r="B4372" t="s">
        <v>204</v>
      </c>
      <c r="C4372" t="s">
        <v>340</v>
      </c>
      <c r="D4372" t="s">
        <v>422</v>
      </c>
      <c r="F4372" t="s">
        <v>3011</v>
      </c>
      <c r="G4372" t="s">
        <v>6469</v>
      </c>
      <c r="H4372" t="s">
        <v>12960</v>
      </c>
      <c r="I4372" t="s">
        <v>17843</v>
      </c>
      <c r="J4372" t="s">
        <v>18894</v>
      </c>
      <c r="K4372">
        <v>11221</v>
      </c>
      <c r="L4372" t="s">
        <v>18958</v>
      </c>
      <c r="M4372" t="s">
        <v>18958</v>
      </c>
      <c r="N4372" t="s">
        <v>22206</v>
      </c>
      <c r="O4372" t="s">
        <v>26523</v>
      </c>
      <c r="P4372" t="s">
        <v>26560</v>
      </c>
      <c r="R4372" t="s">
        <v>26588</v>
      </c>
      <c r="U4372" t="s">
        <v>26605</v>
      </c>
      <c r="W4372" t="s">
        <v>713</v>
      </c>
      <c r="X4372">
        <v>881.6</v>
      </c>
      <c r="Y4372" t="s">
        <v>26652</v>
      </c>
      <c r="Z4372" t="s">
        <v>26664</v>
      </c>
      <c r="AB4372" t="s">
        <v>27442</v>
      </c>
      <c r="AD4372" t="s">
        <v>40456</v>
      </c>
      <c r="AE4372">
        <v>139</v>
      </c>
      <c r="AF4372" t="s">
        <v>45549</v>
      </c>
      <c r="AG4372" t="s">
        <v>19330</v>
      </c>
      <c r="AH4372">
        <v>14</v>
      </c>
      <c r="AI4372">
        <v>1</v>
      </c>
      <c r="AJ4372">
        <v>1</v>
      </c>
      <c r="AK4372">
        <v>124.63</v>
      </c>
      <c r="AN4372" t="s">
        <v>7439</v>
      </c>
      <c r="AO4372">
        <v>20514</v>
      </c>
      <c r="AU4372">
        <v>11.1</v>
      </c>
      <c r="AV4372" t="s">
        <v>773</v>
      </c>
      <c r="AW4372" t="s">
        <v>281</v>
      </c>
    </row>
    <row r="4373" spans="1:50">
      <c r="A4373" s="1">
        <f>HYPERLINK("https://lsnyc.legalserver.org/matter/dynamic-profile/view/1877369","18-1877369")</f>
        <v>0</v>
      </c>
      <c r="B4373" t="s">
        <v>129</v>
      </c>
      <c r="C4373" t="s">
        <v>340</v>
      </c>
      <c r="D4373" t="s">
        <v>578</v>
      </c>
      <c r="F4373" t="s">
        <v>3012</v>
      </c>
      <c r="G4373" t="s">
        <v>5189</v>
      </c>
      <c r="H4373" t="s">
        <v>12961</v>
      </c>
      <c r="I4373">
        <v>2</v>
      </c>
      <c r="J4373" t="s">
        <v>18894</v>
      </c>
      <c r="K4373">
        <v>11213</v>
      </c>
      <c r="L4373" t="s">
        <v>18958</v>
      </c>
      <c r="M4373" t="s">
        <v>18960</v>
      </c>
      <c r="N4373" t="s">
        <v>22207</v>
      </c>
      <c r="O4373" t="s">
        <v>26524</v>
      </c>
      <c r="P4373" t="s">
        <v>26560</v>
      </c>
      <c r="R4373" t="s">
        <v>26586</v>
      </c>
      <c r="U4373" t="s">
        <v>26604</v>
      </c>
      <c r="W4373" t="s">
        <v>713</v>
      </c>
      <c r="X4373">
        <v>2225</v>
      </c>
      <c r="Y4373" t="s">
        <v>26652</v>
      </c>
      <c r="Z4373" t="s">
        <v>26664</v>
      </c>
      <c r="AB4373" t="s">
        <v>30313</v>
      </c>
      <c r="AD4373" t="s">
        <v>40457</v>
      </c>
      <c r="AE4373">
        <v>2</v>
      </c>
      <c r="AG4373" t="s">
        <v>19330</v>
      </c>
      <c r="AH4373">
        <v>5</v>
      </c>
      <c r="AI4373">
        <v>4</v>
      </c>
      <c r="AJ4373">
        <v>0</v>
      </c>
      <c r="AK4373">
        <v>196.26</v>
      </c>
      <c r="AN4373" t="s">
        <v>7439</v>
      </c>
      <c r="AO4373">
        <v>49260.36</v>
      </c>
      <c r="AU4373">
        <v>7.3</v>
      </c>
      <c r="AV4373" t="s">
        <v>682</v>
      </c>
      <c r="AW4373" t="s">
        <v>46862</v>
      </c>
    </row>
    <row r="4374" spans="1:50">
      <c r="A4374" s="1">
        <f>HYPERLINK("https://lsnyc.legalserver.org/matter/dynamic-profile/view/1877488","18-1877488")</f>
        <v>0</v>
      </c>
      <c r="B4374" t="s">
        <v>170</v>
      </c>
      <c r="C4374" t="s">
        <v>341</v>
      </c>
      <c r="D4374" t="s">
        <v>545</v>
      </c>
      <c r="E4374" t="s">
        <v>660</v>
      </c>
      <c r="F4374" t="s">
        <v>3013</v>
      </c>
      <c r="G4374" t="s">
        <v>5419</v>
      </c>
      <c r="H4374" t="s">
        <v>12962</v>
      </c>
      <c r="I4374" t="s">
        <v>17914</v>
      </c>
      <c r="J4374" t="s">
        <v>18894</v>
      </c>
      <c r="K4374">
        <v>11213</v>
      </c>
      <c r="L4374" t="s">
        <v>18958</v>
      </c>
      <c r="M4374" t="s">
        <v>18958</v>
      </c>
      <c r="N4374" t="s">
        <v>22208</v>
      </c>
      <c r="O4374" t="s">
        <v>26523</v>
      </c>
      <c r="P4374" t="s">
        <v>26560</v>
      </c>
      <c r="Q4374" t="s">
        <v>26568</v>
      </c>
      <c r="R4374" t="s">
        <v>26586</v>
      </c>
      <c r="U4374" t="s">
        <v>26604</v>
      </c>
      <c r="W4374" t="s">
        <v>713</v>
      </c>
      <c r="X4374">
        <v>1850</v>
      </c>
      <c r="Y4374" t="s">
        <v>26652</v>
      </c>
      <c r="Z4374" t="s">
        <v>26659</v>
      </c>
      <c r="AA4374" t="s">
        <v>26678</v>
      </c>
      <c r="AB4374" t="s">
        <v>30314</v>
      </c>
      <c r="AD4374" t="s">
        <v>40458</v>
      </c>
      <c r="AE4374">
        <v>51</v>
      </c>
      <c r="AF4374" t="s">
        <v>45541</v>
      </c>
      <c r="AG4374" t="s">
        <v>45556</v>
      </c>
      <c r="AH4374">
        <v>11</v>
      </c>
      <c r="AI4374">
        <v>2</v>
      </c>
      <c r="AJ4374">
        <v>0</v>
      </c>
      <c r="AK4374">
        <v>11.66</v>
      </c>
      <c r="AN4374" t="s">
        <v>7439</v>
      </c>
      <c r="AO4374">
        <v>1920</v>
      </c>
      <c r="AS4374" t="s">
        <v>46499</v>
      </c>
      <c r="AT4374" t="s">
        <v>46679</v>
      </c>
      <c r="AU4374">
        <v>17.7</v>
      </c>
      <c r="AV4374" t="s">
        <v>660</v>
      </c>
      <c r="AW4374" t="s">
        <v>46862</v>
      </c>
    </row>
    <row r="4375" spans="1:50">
      <c r="A4375" s="1">
        <f>HYPERLINK("https://lsnyc.legalserver.org/matter/dynamic-profile/view/1877451","18-1877451")</f>
        <v>0</v>
      </c>
      <c r="B4375" t="s">
        <v>129</v>
      </c>
      <c r="C4375" t="s">
        <v>340</v>
      </c>
      <c r="D4375" t="s">
        <v>545</v>
      </c>
      <c r="F4375" t="s">
        <v>3014</v>
      </c>
      <c r="G4375" t="s">
        <v>1279</v>
      </c>
      <c r="H4375" t="s">
        <v>12963</v>
      </c>
      <c r="J4375" t="s">
        <v>18894</v>
      </c>
      <c r="K4375">
        <v>11221</v>
      </c>
      <c r="L4375" t="s">
        <v>18958</v>
      </c>
      <c r="M4375" t="s">
        <v>18960</v>
      </c>
      <c r="N4375" t="s">
        <v>22209</v>
      </c>
      <c r="O4375" t="s">
        <v>26524</v>
      </c>
      <c r="P4375" t="s">
        <v>26564</v>
      </c>
      <c r="R4375" t="s">
        <v>26588</v>
      </c>
      <c r="U4375" t="s">
        <v>26604</v>
      </c>
      <c r="W4375" t="s">
        <v>713</v>
      </c>
      <c r="X4375">
        <v>1600</v>
      </c>
      <c r="Y4375" t="s">
        <v>26652</v>
      </c>
      <c r="Z4375" t="s">
        <v>26669</v>
      </c>
      <c r="AB4375" t="s">
        <v>28454</v>
      </c>
      <c r="AD4375" t="s">
        <v>40459</v>
      </c>
      <c r="AE4375">
        <v>3</v>
      </c>
      <c r="AG4375" t="s">
        <v>19330</v>
      </c>
      <c r="AH4375">
        <v>5</v>
      </c>
      <c r="AI4375">
        <v>1</v>
      </c>
      <c r="AJ4375">
        <v>0</v>
      </c>
      <c r="AK4375">
        <v>0</v>
      </c>
      <c r="AN4375" t="s">
        <v>7439</v>
      </c>
      <c r="AO4375">
        <v>0</v>
      </c>
      <c r="AU4375">
        <v>1.7</v>
      </c>
      <c r="AV4375" t="s">
        <v>534</v>
      </c>
      <c r="AW4375" t="s">
        <v>46862</v>
      </c>
    </row>
    <row r="4376" spans="1:50">
      <c r="A4376" s="1">
        <f>HYPERLINK("https://lsnyc.legalserver.org/matter/dynamic-profile/view/1877539","18-1877539")</f>
        <v>0</v>
      </c>
      <c r="B4376" t="s">
        <v>129</v>
      </c>
      <c r="C4376" t="s">
        <v>340</v>
      </c>
      <c r="D4376" t="s">
        <v>545</v>
      </c>
      <c r="F4376" t="s">
        <v>1196</v>
      </c>
      <c r="G4376" t="s">
        <v>6194</v>
      </c>
      <c r="H4376" t="s">
        <v>12964</v>
      </c>
      <c r="I4376" t="s">
        <v>17601</v>
      </c>
      <c r="J4376" t="s">
        <v>18894</v>
      </c>
      <c r="K4376">
        <v>11225</v>
      </c>
      <c r="L4376" t="s">
        <v>18958</v>
      </c>
      <c r="M4376" t="s">
        <v>18960</v>
      </c>
      <c r="N4376" t="s">
        <v>22210</v>
      </c>
      <c r="O4376" t="s">
        <v>26524</v>
      </c>
      <c r="P4376" t="s">
        <v>26560</v>
      </c>
      <c r="R4376" t="s">
        <v>26588</v>
      </c>
      <c r="U4376" t="s">
        <v>26604</v>
      </c>
      <c r="W4376" t="s">
        <v>713</v>
      </c>
      <c r="X4376">
        <v>0</v>
      </c>
      <c r="Y4376" t="s">
        <v>26652</v>
      </c>
      <c r="Z4376" t="s">
        <v>26669</v>
      </c>
      <c r="AB4376" t="s">
        <v>27387</v>
      </c>
      <c r="AD4376" t="s">
        <v>40460</v>
      </c>
      <c r="AE4376">
        <v>100</v>
      </c>
      <c r="AG4376" t="s">
        <v>19330</v>
      </c>
      <c r="AH4376">
        <v>24</v>
      </c>
      <c r="AI4376">
        <v>1</v>
      </c>
      <c r="AJ4376">
        <v>0</v>
      </c>
      <c r="AK4376">
        <v>194.4</v>
      </c>
      <c r="AN4376" t="s">
        <v>7439</v>
      </c>
      <c r="AO4376">
        <v>23600</v>
      </c>
      <c r="AU4376">
        <v>66</v>
      </c>
      <c r="AV4376" t="s">
        <v>829</v>
      </c>
      <c r="AW4376" t="s">
        <v>46862</v>
      </c>
    </row>
    <row r="4377" spans="1:50">
      <c r="A4377" s="1">
        <f>HYPERLINK("https://lsnyc.legalserver.org/matter/dynamic-profile/view/1877664","18-1877664")</f>
        <v>0</v>
      </c>
      <c r="B4377" t="s">
        <v>203</v>
      </c>
      <c r="C4377" t="s">
        <v>340</v>
      </c>
      <c r="D4377" t="s">
        <v>586</v>
      </c>
      <c r="F4377" t="s">
        <v>3015</v>
      </c>
      <c r="G4377" t="s">
        <v>5308</v>
      </c>
      <c r="H4377" t="s">
        <v>12965</v>
      </c>
      <c r="I4377" t="s">
        <v>17274</v>
      </c>
      <c r="J4377" t="s">
        <v>18894</v>
      </c>
      <c r="K4377">
        <v>11233</v>
      </c>
      <c r="L4377" t="s">
        <v>18958</v>
      </c>
      <c r="M4377" t="s">
        <v>18958</v>
      </c>
      <c r="N4377" t="s">
        <v>22211</v>
      </c>
      <c r="O4377" t="s">
        <v>26523</v>
      </c>
      <c r="P4377" t="s">
        <v>26560</v>
      </c>
      <c r="R4377" t="s">
        <v>26586</v>
      </c>
      <c r="U4377" t="s">
        <v>26604</v>
      </c>
      <c r="W4377" t="s">
        <v>713</v>
      </c>
      <c r="X4377">
        <v>0</v>
      </c>
      <c r="Y4377" t="s">
        <v>26652</v>
      </c>
      <c r="AB4377" t="s">
        <v>30315</v>
      </c>
      <c r="AD4377" t="s">
        <v>40461</v>
      </c>
      <c r="AE4377">
        <v>0</v>
      </c>
      <c r="AH4377">
        <v>0</v>
      </c>
      <c r="AI4377">
        <v>2</v>
      </c>
      <c r="AJ4377">
        <v>1</v>
      </c>
      <c r="AK4377">
        <v>34.65</v>
      </c>
      <c r="AO4377">
        <v>7200</v>
      </c>
      <c r="AU4377">
        <v>31</v>
      </c>
      <c r="AV4377" t="s">
        <v>793</v>
      </c>
      <c r="AW4377" t="s">
        <v>206</v>
      </c>
    </row>
    <row r="4378" spans="1:50">
      <c r="A4378" s="1">
        <f>HYPERLINK("https://lsnyc.legalserver.org/matter/dynamic-profile/view/1877722","18-1877722")</f>
        <v>0</v>
      </c>
      <c r="B4378" t="s">
        <v>129</v>
      </c>
      <c r="C4378" t="s">
        <v>340</v>
      </c>
      <c r="D4378" t="s">
        <v>571</v>
      </c>
      <c r="F4378" t="s">
        <v>1543</v>
      </c>
      <c r="G4378" t="s">
        <v>1000</v>
      </c>
      <c r="H4378" t="s">
        <v>12928</v>
      </c>
      <c r="J4378" t="s">
        <v>18894</v>
      </c>
      <c r="K4378">
        <v>11225</v>
      </c>
      <c r="L4378" t="s">
        <v>18958</v>
      </c>
      <c r="M4378" t="s">
        <v>18960</v>
      </c>
      <c r="N4378" t="s">
        <v>22167</v>
      </c>
      <c r="O4378" t="s">
        <v>26523</v>
      </c>
      <c r="P4378" t="s">
        <v>26564</v>
      </c>
      <c r="R4378" t="s">
        <v>26588</v>
      </c>
      <c r="U4378" t="s">
        <v>26604</v>
      </c>
      <c r="W4378" t="s">
        <v>713</v>
      </c>
      <c r="X4378">
        <v>918.76</v>
      </c>
      <c r="Y4378" t="s">
        <v>26652</v>
      </c>
      <c r="Z4378" t="s">
        <v>26669</v>
      </c>
      <c r="AB4378" t="s">
        <v>30316</v>
      </c>
      <c r="AD4378" t="s">
        <v>40462</v>
      </c>
      <c r="AE4378">
        <v>124</v>
      </c>
      <c r="AG4378" t="s">
        <v>19330</v>
      </c>
      <c r="AH4378">
        <v>10</v>
      </c>
      <c r="AI4378">
        <v>1</v>
      </c>
      <c r="AJ4378">
        <v>0</v>
      </c>
      <c r="AK4378">
        <v>264.42</v>
      </c>
      <c r="AN4378" t="s">
        <v>7439</v>
      </c>
      <c r="AO4378">
        <v>32100</v>
      </c>
      <c r="AU4378">
        <v>4</v>
      </c>
      <c r="AV4378" t="s">
        <v>623</v>
      </c>
      <c r="AW4378" t="s">
        <v>46862</v>
      </c>
    </row>
    <row r="4379" spans="1:50">
      <c r="A4379" s="1">
        <f>HYPERLINK("https://lsnyc.legalserver.org/matter/dynamic-profile/view/1878004","18-1878004")</f>
        <v>0</v>
      </c>
      <c r="B4379" t="s">
        <v>232</v>
      </c>
      <c r="C4379" t="s">
        <v>341</v>
      </c>
      <c r="D4379" t="s">
        <v>572</v>
      </c>
      <c r="E4379" t="s">
        <v>724</v>
      </c>
      <c r="F4379" t="s">
        <v>1062</v>
      </c>
      <c r="G4379" t="s">
        <v>5419</v>
      </c>
      <c r="H4379" t="s">
        <v>12966</v>
      </c>
      <c r="I4379" t="s">
        <v>17354</v>
      </c>
      <c r="J4379" t="s">
        <v>18894</v>
      </c>
      <c r="K4379">
        <v>11238</v>
      </c>
      <c r="L4379" t="s">
        <v>18958</v>
      </c>
      <c r="M4379" t="s">
        <v>18958</v>
      </c>
      <c r="N4379" t="s">
        <v>22212</v>
      </c>
      <c r="O4379" t="s">
        <v>26523</v>
      </c>
      <c r="P4379" t="s">
        <v>26560</v>
      </c>
      <c r="Q4379" t="s">
        <v>26568</v>
      </c>
      <c r="R4379" t="s">
        <v>26586</v>
      </c>
      <c r="S4379" t="s">
        <v>18959</v>
      </c>
      <c r="U4379" t="s">
        <v>26604</v>
      </c>
      <c r="V4379" t="s">
        <v>26610</v>
      </c>
      <c r="W4379" t="s">
        <v>713</v>
      </c>
      <c r="X4379">
        <v>960</v>
      </c>
      <c r="Y4379" t="s">
        <v>26652</v>
      </c>
      <c r="Z4379" t="s">
        <v>26664</v>
      </c>
      <c r="AA4379" t="s">
        <v>26678</v>
      </c>
      <c r="AB4379" t="s">
        <v>30317</v>
      </c>
      <c r="AD4379" t="s">
        <v>40463</v>
      </c>
      <c r="AE4379">
        <v>6</v>
      </c>
      <c r="AF4379" t="s">
        <v>45541</v>
      </c>
      <c r="AG4379" t="s">
        <v>19330</v>
      </c>
      <c r="AH4379">
        <v>5</v>
      </c>
      <c r="AI4379">
        <v>1</v>
      </c>
      <c r="AJ4379">
        <v>0</v>
      </c>
      <c r="AK4379">
        <v>39.04</v>
      </c>
      <c r="AN4379" t="s">
        <v>7439</v>
      </c>
      <c r="AO4379">
        <v>4740</v>
      </c>
      <c r="AQ4379" t="s">
        <v>46359</v>
      </c>
      <c r="AR4379" t="s">
        <v>46380</v>
      </c>
      <c r="AS4379" t="s">
        <v>46499</v>
      </c>
      <c r="AT4379" t="s">
        <v>46737</v>
      </c>
      <c r="AU4379">
        <v>14.6</v>
      </c>
      <c r="AV4379" t="s">
        <v>724</v>
      </c>
      <c r="AW4379" t="s">
        <v>46862</v>
      </c>
    </row>
    <row r="4380" spans="1:50">
      <c r="A4380" s="1">
        <f>HYPERLINK("https://lsnyc.legalserver.org/matter/dynamic-profile/view/1878546","18-1878546")</f>
        <v>0</v>
      </c>
      <c r="B4380" t="s">
        <v>170</v>
      </c>
      <c r="C4380" t="s">
        <v>341</v>
      </c>
      <c r="D4380" t="s">
        <v>589</v>
      </c>
      <c r="E4380" t="s">
        <v>415</v>
      </c>
      <c r="F4380" t="s">
        <v>979</v>
      </c>
      <c r="G4380" t="s">
        <v>5982</v>
      </c>
      <c r="H4380" t="s">
        <v>12967</v>
      </c>
      <c r="I4380" t="s">
        <v>17527</v>
      </c>
      <c r="J4380" t="s">
        <v>18894</v>
      </c>
      <c r="K4380">
        <v>11206</v>
      </c>
      <c r="L4380" t="s">
        <v>18958</v>
      </c>
      <c r="M4380" t="s">
        <v>18958</v>
      </c>
      <c r="N4380" t="s">
        <v>22213</v>
      </c>
      <c r="O4380" t="s">
        <v>26523</v>
      </c>
      <c r="P4380" t="s">
        <v>26560</v>
      </c>
      <c r="Q4380" t="s">
        <v>26568</v>
      </c>
      <c r="R4380" t="s">
        <v>26586</v>
      </c>
      <c r="U4380" t="s">
        <v>26605</v>
      </c>
      <c r="W4380" t="s">
        <v>713</v>
      </c>
      <c r="X4380">
        <v>0</v>
      </c>
      <c r="Y4380" t="s">
        <v>26652</v>
      </c>
      <c r="Z4380" t="s">
        <v>26664</v>
      </c>
      <c r="AA4380" t="s">
        <v>26680</v>
      </c>
      <c r="AB4380" t="s">
        <v>29046</v>
      </c>
      <c r="AD4380" t="s">
        <v>40464</v>
      </c>
      <c r="AE4380">
        <v>80</v>
      </c>
      <c r="AG4380" t="s">
        <v>19330</v>
      </c>
      <c r="AH4380">
        <v>20</v>
      </c>
      <c r="AI4380">
        <v>6</v>
      </c>
      <c r="AJ4380">
        <v>3</v>
      </c>
      <c r="AK4380">
        <v>72.45999999999999</v>
      </c>
      <c r="AN4380" t="s">
        <v>7439</v>
      </c>
      <c r="AO4380">
        <v>33840</v>
      </c>
      <c r="AS4380" t="s">
        <v>46499</v>
      </c>
      <c r="AT4380" t="s">
        <v>46750</v>
      </c>
      <c r="AU4380">
        <v>4.8</v>
      </c>
      <c r="AV4380" t="s">
        <v>415</v>
      </c>
      <c r="AW4380" t="s">
        <v>46862</v>
      </c>
    </row>
    <row r="4381" spans="1:50">
      <c r="A4381" s="1">
        <f>HYPERLINK("https://lsnyc.legalserver.org/matter/dynamic-profile/view/1879099","18-1879099")</f>
        <v>0</v>
      </c>
      <c r="B4381" t="s">
        <v>99</v>
      </c>
      <c r="C4381" t="s">
        <v>340</v>
      </c>
      <c r="D4381" t="s">
        <v>540</v>
      </c>
      <c r="F4381" t="s">
        <v>1458</v>
      </c>
      <c r="G4381" t="s">
        <v>5086</v>
      </c>
      <c r="H4381" t="s">
        <v>10369</v>
      </c>
      <c r="I4381" t="s">
        <v>17349</v>
      </c>
      <c r="J4381" t="s">
        <v>18894</v>
      </c>
      <c r="K4381">
        <v>11233</v>
      </c>
      <c r="L4381" t="s">
        <v>18958</v>
      </c>
      <c r="M4381" t="s">
        <v>18958</v>
      </c>
      <c r="N4381" t="s">
        <v>22214</v>
      </c>
      <c r="O4381" t="s">
        <v>26549</v>
      </c>
      <c r="P4381" t="s">
        <v>26560</v>
      </c>
      <c r="R4381" t="s">
        <v>26586</v>
      </c>
      <c r="S4381" t="s">
        <v>18959</v>
      </c>
      <c r="U4381" t="s">
        <v>26604</v>
      </c>
      <c r="V4381" t="s">
        <v>26610</v>
      </c>
      <c r="W4381" t="s">
        <v>713</v>
      </c>
      <c r="X4381">
        <v>1524.9</v>
      </c>
      <c r="Y4381" t="s">
        <v>26652</v>
      </c>
      <c r="Z4381" t="s">
        <v>26659</v>
      </c>
      <c r="AB4381" t="s">
        <v>27476</v>
      </c>
      <c r="AC4381" t="s">
        <v>19330</v>
      </c>
      <c r="AD4381" t="s">
        <v>37536</v>
      </c>
      <c r="AE4381">
        <v>107</v>
      </c>
      <c r="AF4381" t="s">
        <v>45541</v>
      </c>
      <c r="AG4381" t="s">
        <v>45556</v>
      </c>
      <c r="AH4381">
        <v>4</v>
      </c>
      <c r="AI4381">
        <v>2</v>
      </c>
      <c r="AJ4381">
        <v>1</v>
      </c>
      <c r="AK4381">
        <v>0</v>
      </c>
      <c r="AN4381" t="s">
        <v>7439</v>
      </c>
      <c r="AO4381">
        <v>0</v>
      </c>
      <c r="AQ4381" t="s">
        <v>46359</v>
      </c>
      <c r="AU4381">
        <v>41.8</v>
      </c>
      <c r="AV4381" t="s">
        <v>836</v>
      </c>
      <c r="AW4381" t="s">
        <v>46853</v>
      </c>
    </row>
    <row r="4382" spans="1:50">
      <c r="A4382" s="1">
        <f>HYPERLINK("https://lsnyc.legalserver.org/matter/dynamic-profile/view/1879308","18-1879308")</f>
        <v>0</v>
      </c>
      <c r="B4382" t="s">
        <v>204</v>
      </c>
      <c r="C4382" t="s">
        <v>341</v>
      </c>
      <c r="D4382" t="s">
        <v>575</v>
      </c>
      <c r="E4382" t="s">
        <v>768</v>
      </c>
      <c r="F4382" t="s">
        <v>2020</v>
      </c>
      <c r="G4382" t="s">
        <v>6013</v>
      </c>
      <c r="H4382" t="s">
        <v>12968</v>
      </c>
      <c r="I4382" t="s">
        <v>17322</v>
      </c>
      <c r="J4382" t="s">
        <v>18894</v>
      </c>
      <c r="K4382">
        <v>11221</v>
      </c>
      <c r="L4382" t="s">
        <v>18958</v>
      </c>
      <c r="M4382" t="s">
        <v>18958</v>
      </c>
      <c r="N4382" t="s">
        <v>22215</v>
      </c>
      <c r="O4382" t="s">
        <v>26523</v>
      </c>
      <c r="P4382" t="s">
        <v>26560</v>
      </c>
      <c r="Q4382" t="s">
        <v>26573</v>
      </c>
      <c r="R4382" t="s">
        <v>26588</v>
      </c>
      <c r="U4382" t="s">
        <v>26604</v>
      </c>
      <c r="W4382" t="s">
        <v>713</v>
      </c>
      <c r="X4382">
        <v>922.89</v>
      </c>
      <c r="Y4382" t="s">
        <v>26652</v>
      </c>
      <c r="Z4382" t="s">
        <v>26669</v>
      </c>
      <c r="AA4382" t="s">
        <v>26678</v>
      </c>
      <c r="AB4382" t="s">
        <v>30318</v>
      </c>
      <c r="AD4382" t="s">
        <v>40465</v>
      </c>
      <c r="AE4382">
        <v>8</v>
      </c>
      <c r="AG4382" t="s">
        <v>19330</v>
      </c>
      <c r="AH4382">
        <v>2</v>
      </c>
      <c r="AI4382">
        <v>1</v>
      </c>
      <c r="AJ4382">
        <v>0</v>
      </c>
      <c r="AK4382">
        <v>0</v>
      </c>
      <c r="AN4382" t="s">
        <v>7439</v>
      </c>
      <c r="AO4382">
        <v>0</v>
      </c>
      <c r="AS4382" t="s">
        <v>46499</v>
      </c>
      <c r="AT4382" t="s">
        <v>46641</v>
      </c>
      <c r="AU4382">
        <v>19.5</v>
      </c>
      <c r="AV4382" t="s">
        <v>768</v>
      </c>
      <c r="AW4382" t="s">
        <v>46862</v>
      </c>
    </row>
    <row r="4383" spans="1:50">
      <c r="A4383" s="1">
        <f>HYPERLINK("https://lsnyc.legalserver.org/matter/dynamic-profile/view/1879932","18-1879932")</f>
        <v>0</v>
      </c>
      <c r="B4383" t="s">
        <v>172</v>
      </c>
      <c r="C4383" t="s">
        <v>340</v>
      </c>
      <c r="D4383" t="s">
        <v>412</v>
      </c>
      <c r="F4383" t="s">
        <v>999</v>
      </c>
      <c r="G4383" t="s">
        <v>5639</v>
      </c>
      <c r="H4383" t="s">
        <v>12969</v>
      </c>
      <c r="I4383" t="s">
        <v>18107</v>
      </c>
      <c r="J4383" t="s">
        <v>18894</v>
      </c>
      <c r="K4383">
        <v>11210</v>
      </c>
      <c r="L4383" t="s">
        <v>18958</v>
      </c>
      <c r="M4383" t="s">
        <v>18960</v>
      </c>
      <c r="N4383" t="s">
        <v>22216</v>
      </c>
      <c r="O4383" t="s">
        <v>26542</v>
      </c>
      <c r="P4383" t="s">
        <v>26561</v>
      </c>
      <c r="R4383" t="s">
        <v>26586</v>
      </c>
      <c r="S4383" t="s">
        <v>18959</v>
      </c>
      <c r="U4383" t="s">
        <v>26606</v>
      </c>
      <c r="W4383" t="s">
        <v>713</v>
      </c>
      <c r="X4383">
        <v>0</v>
      </c>
      <c r="Y4383" t="s">
        <v>26652</v>
      </c>
      <c r="AB4383" t="s">
        <v>30319</v>
      </c>
      <c r="AD4383" t="s">
        <v>40466</v>
      </c>
      <c r="AE4383">
        <v>0</v>
      </c>
      <c r="AH4383">
        <v>0</v>
      </c>
      <c r="AI4383">
        <v>1</v>
      </c>
      <c r="AJ4383">
        <v>0</v>
      </c>
      <c r="AK4383">
        <v>21.75</v>
      </c>
      <c r="AN4383" t="s">
        <v>7439</v>
      </c>
      <c r="AO4383">
        <v>2640</v>
      </c>
      <c r="AU4383">
        <v>5.35</v>
      </c>
      <c r="AV4383" t="s">
        <v>838</v>
      </c>
      <c r="AW4383" t="s">
        <v>172</v>
      </c>
    </row>
    <row r="4384" spans="1:50">
      <c r="A4384" s="1">
        <f>HYPERLINK("https://lsnyc.legalserver.org/matter/dynamic-profile/view/1879811","18-1879811")</f>
        <v>0</v>
      </c>
      <c r="B4384" t="s">
        <v>271</v>
      </c>
      <c r="C4384" t="s">
        <v>340</v>
      </c>
      <c r="D4384" t="s">
        <v>623</v>
      </c>
      <c r="F4384" t="s">
        <v>1148</v>
      </c>
      <c r="G4384" t="s">
        <v>5100</v>
      </c>
      <c r="H4384" t="s">
        <v>12970</v>
      </c>
      <c r="I4384" t="s">
        <v>17331</v>
      </c>
      <c r="J4384" t="s">
        <v>18894</v>
      </c>
      <c r="K4384">
        <v>11221</v>
      </c>
      <c r="L4384" t="s">
        <v>18958</v>
      </c>
      <c r="M4384" t="s">
        <v>18958</v>
      </c>
      <c r="N4384" t="s">
        <v>22217</v>
      </c>
      <c r="O4384" t="s">
        <v>26524</v>
      </c>
      <c r="P4384" t="s">
        <v>26560</v>
      </c>
      <c r="R4384" t="s">
        <v>26588</v>
      </c>
      <c r="S4384" t="s">
        <v>18959</v>
      </c>
      <c r="U4384" t="s">
        <v>26604</v>
      </c>
      <c r="V4384" t="s">
        <v>26610</v>
      </c>
      <c r="W4384" t="s">
        <v>713</v>
      </c>
      <c r="X4384">
        <v>2100</v>
      </c>
      <c r="Y4384" t="s">
        <v>26652</v>
      </c>
      <c r="Z4384" t="s">
        <v>26669</v>
      </c>
      <c r="AB4384" t="s">
        <v>30320</v>
      </c>
      <c r="AC4384" t="s">
        <v>35760</v>
      </c>
      <c r="AD4384" t="s">
        <v>40467</v>
      </c>
      <c r="AE4384">
        <v>8</v>
      </c>
      <c r="AF4384" t="s">
        <v>20460</v>
      </c>
      <c r="AG4384" t="s">
        <v>19330</v>
      </c>
      <c r="AH4384">
        <v>3</v>
      </c>
      <c r="AI4384">
        <v>3</v>
      </c>
      <c r="AJ4384">
        <v>1</v>
      </c>
      <c r="AK4384">
        <v>76.65000000000001</v>
      </c>
      <c r="AN4384" t="s">
        <v>45581</v>
      </c>
      <c r="AO4384">
        <v>19240</v>
      </c>
      <c r="AU4384">
        <v>101.05</v>
      </c>
      <c r="AV4384" t="s">
        <v>836</v>
      </c>
      <c r="AW4384" t="s">
        <v>281</v>
      </c>
    </row>
    <row r="4385" spans="1:49">
      <c r="A4385" s="1">
        <f>HYPERLINK("https://lsnyc.legalserver.org/matter/dynamic-profile/view/1880686","18-1880686")</f>
        <v>0</v>
      </c>
      <c r="B4385" t="s">
        <v>204</v>
      </c>
      <c r="C4385" t="s">
        <v>340</v>
      </c>
      <c r="D4385" t="s">
        <v>630</v>
      </c>
      <c r="F4385" t="s">
        <v>1494</v>
      </c>
      <c r="G4385" t="s">
        <v>994</v>
      </c>
      <c r="H4385" t="s">
        <v>10275</v>
      </c>
      <c r="I4385" t="s">
        <v>17415</v>
      </c>
      <c r="J4385" t="s">
        <v>18894</v>
      </c>
      <c r="K4385">
        <v>11221</v>
      </c>
      <c r="L4385" t="s">
        <v>18958</v>
      </c>
      <c r="M4385" t="s">
        <v>18958</v>
      </c>
      <c r="N4385" t="s">
        <v>20880</v>
      </c>
      <c r="O4385" t="s">
        <v>26526</v>
      </c>
      <c r="P4385" t="s">
        <v>26560</v>
      </c>
      <c r="R4385" t="s">
        <v>26578</v>
      </c>
      <c r="U4385" t="s">
        <v>26604</v>
      </c>
      <c r="W4385" t="s">
        <v>713</v>
      </c>
      <c r="X4385">
        <v>130</v>
      </c>
      <c r="Y4385" t="s">
        <v>26652</v>
      </c>
      <c r="Z4385" t="s">
        <v>26659</v>
      </c>
      <c r="AB4385" t="s">
        <v>27016</v>
      </c>
      <c r="AD4385" t="s">
        <v>37590</v>
      </c>
      <c r="AE4385">
        <v>7</v>
      </c>
      <c r="AH4385">
        <v>31</v>
      </c>
      <c r="AI4385">
        <v>1</v>
      </c>
      <c r="AJ4385">
        <v>0</v>
      </c>
      <c r="AK4385">
        <v>197.03</v>
      </c>
      <c r="AN4385" t="s">
        <v>7439</v>
      </c>
      <c r="AO4385">
        <v>23920</v>
      </c>
      <c r="AU4385">
        <v>0.3</v>
      </c>
      <c r="AV4385" t="s">
        <v>761</v>
      </c>
      <c r="AW4385" t="s">
        <v>281</v>
      </c>
    </row>
    <row r="4386" spans="1:49">
      <c r="A4386" s="1">
        <f>HYPERLINK("https://lsnyc.legalserver.org/matter/dynamic-profile/view/1880972","18-1880972")</f>
        <v>0</v>
      </c>
      <c r="B4386" t="s">
        <v>230</v>
      </c>
      <c r="C4386" t="s">
        <v>340</v>
      </c>
      <c r="D4386" t="s">
        <v>605</v>
      </c>
      <c r="F4386" t="s">
        <v>3016</v>
      </c>
      <c r="G4386" t="s">
        <v>5008</v>
      </c>
      <c r="H4386" t="s">
        <v>12971</v>
      </c>
      <c r="I4386" t="s">
        <v>17349</v>
      </c>
      <c r="J4386" t="s">
        <v>18894</v>
      </c>
      <c r="K4386">
        <v>11221</v>
      </c>
      <c r="L4386" t="s">
        <v>18958</v>
      </c>
      <c r="M4386" t="s">
        <v>18958</v>
      </c>
      <c r="N4386" t="s">
        <v>22218</v>
      </c>
      <c r="O4386" t="s">
        <v>26524</v>
      </c>
      <c r="P4386" t="s">
        <v>26560</v>
      </c>
      <c r="R4386" t="s">
        <v>26588</v>
      </c>
      <c r="S4386" t="s">
        <v>18959</v>
      </c>
      <c r="U4386" t="s">
        <v>26604</v>
      </c>
      <c r="V4386" t="s">
        <v>26610</v>
      </c>
      <c r="W4386" t="s">
        <v>713</v>
      </c>
      <c r="X4386">
        <v>1556</v>
      </c>
      <c r="Y4386" t="s">
        <v>26652</v>
      </c>
      <c r="Z4386" t="s">
        <v>26669</v>
      </c>
      <c r="AB4386" t="s">
        <v>30321</v>
      </c>
      <c r="AD4386" t="s">
        <v>40468</v>
      </c>
      <c r="AE4386">
        <v>150</v>
      </c>
      <c r="AF4386" t="s">
        <v>20460</v>
      </c>
      <c r="AG4386" t="s">
        <v>45556</v>
      </c>
      <c r="AH4386">
        <v>11</v>
      </c>
      <c r="AI4386">
        <v>2</v>
      </c>
      <c r="AJ4386">
        <v>0</v>
      </c>
      <c r="AK4386">
        <v>240.89</v>
      </c>
      <c r="AL4386" t="s">
        <v>794</v>
      </c>
      <c r="AM4386" t="s">
        <v>45575</v>
      </c>
      <c r="AN4386" t="s">
        <v>7439</v>
      </c>
      <c r="AO4386">
        <v>39650</v>
      </c>
      <c r="AQ4386" t="s">
        <v>46359</v>
      </c>
      <c r="AR4386" t="s">
        <v>46379</v>
      </c>
      <c r="AS4386" t="s">
        <v>46499</v>
      </c>
      <c r="AT4386" t="s">
        <v>46524</v>
      </c>
      <c r="AU4386">
        <v>27.5</v>
      </c>
      <c r="AV4386" t="s">
        <v>787</v>
      </c>
      <c r="AW4386" t="s">
        <v>281</v>
      </c>
    </row>
    <row r="4387" spans="1:49">
      <c r="A4387" s="1">
        <f>HYPERLINK("https://lsnyc.legalserver.org/matter/dynamic-profile/view/1881122","18-1881122")</f>
        <v>0</v>
      </c>
      <c r="B4387" t="s">
        <v>101</v>
      </c>
      <c r="C4387" t="s">
        <v>340</v>
      </c>
      <c r="D4387" t="s">
        <v>639</v>
      </c>
      <c r="F4387" t="s">
        <v>1706</v>
      </c>
      <c r="G4387" t="s">
        <v>7275</v>
      </c>
      <c r="H4387" t="s">
        <v>12972</v>
      </c>
      <c r="I4387" t="s">
        <v>17347</v>
      </c>
      <c r="J4387" t="s">
        <v>18894</v>
      </c>
      <c r="K4387">
        <v>11230</v>
      </c>
      <c r="L4387" t="s">
        <v>18958</v>
      </c>
      <c r="M4387" t="s">
        <v>18958</v>
      </c>
      <c r="N4387" t="s">
        <v>22219</v>
      </c>
      <c r="O4387" t="s">
        <v>26526</v>
      </c>
      <c r="P4387" t="s">
        <v>26564</v>
      </c>
      <c r="R4387" t="s">
        <v>26586</v>
      </c>
      <c r="U4387" t="s">
        <v>26604</v>
      </c>
      <c r="W4387" t="s">
        <v>713</v>
      </c>
      <c r="X4387">
        <v>865.78</v>
      </c>
      <c r="Y4387" t="s">
        <v>26652</v>
      </c>
      <c r="Z4387" t="s">
        <v>26664</v>
      </c>
      <c r="AB4387" t="s">
        <v>30322</v>
      </c>
      <c r="AD4387" t="s">
        <v>40469</v>
      </c>
      <c r="AE4387">
        <v>34</v>
      </c>
      <c r="AG4387" t="s">
        <v>45559</v>
      </c>
      <c r="AH4387">
        <v>30</v>
      </c>
      <c r="AI4387">
        <v>2</v>
      </c>
      <c r="AJ4387">
        <v>0</v>
      </c>
      <c r="AK4387">
        <v>37.62</v>
      </c>
      <c r="AN4387" t="s">
        <v>7439</v>
      </c>
      <c r="AO4387">
        <v>6192</v>
      </c>
      <c r="AU4387">
        <v>2.4</v>
      </c>
      <c r="AV4387" t="s">
        <v>666</v>
      </c>
      <c r="AW4387" t="s">
        <v>46862</v>
      </c>
    </row>
    <row r="4388" spans="1:49">
      <c r="A4388" s="1">
        <f>HYPERLINK("https://lsnyc.legalserver.org/matter/dynamic-profile/view/1881164","18-1881164")</f>
        <v>0</v>
      </c>
      <c r="B4388" t="s">
        <v>170</v>
      </c>
      <c r="C4388" t="s">
        <v>340</v>
      </c>
      <c r="D4388" t="s">
        <v>631</v>
      </c>
      <c r="F4388" t="s">
        <v>3017</v>
      </c>
      <c r="G4388" t="s">
        <v>5649</v>
      </c>
      <c r="H4388" t="s">
        <v>12973</v>
      </c>
      <c r="I4388" t="s">
        <v>18108</v>
      </c>
      <c r="J4388" t="s">
        <v>18894</v>
      </c>
      <c r="K4388">
        <v>11213</v>
      </c>
      <c r="L4388" t="s">
        <v>18958</v>
      </c>
      <c r="M4388" t="s">
        <v>18958</v>
      </c>
      <c r="N4388" t="s">
        <v>22220</v>
      </c>
      <c r="O4388" t="s">
        <v>26523</v>
      </c>
      <c r="P4388" t="s">
        <v>26560</v>
      </c>
      <c r="R4388" t="s">
        <v>26586</v>
      </c>
      <c r="U4388" t="s">
        <v>26604</v>
      </c>
      <c r="W4388" t="s">
        <v>713</v>
      </c>
      <c r="X4388">
        <v>0</v>
      </c>
      <c r="Y4388" t="s">
        <v>26652</v>
      </c>
      <c r="Z4388" t="s">
        <v>26664</v>
      </c>
      <c r="AB4388" t="s">
        <v>30323</v>
      </c>
      <c r="AD4388" t="s">
        <v>40470</v>
      </c>
      <c r="AE4388">
        <v>37</v>
      </c>
      <c r="AG4388" t="s">
        <v>26530</v>
      </c>
      <c r="AH4388">
        <v>10</v>
      </c>
      <c r="AI4388">
        <v>2</v>
      </c>
      <c r="AJ4388">
        <v>0</v>
      </c>
      <c r="AK4388">
        <v>48.6</v>
      </c>
      <c r="AN4388" t="s">
        <v>7439</v>
      </c>
      <c r="AO4388">
        <v>8000</v>
      </c>
      <c r="AU4388">
        <v>19.5</v>
      </c>
      <c r="AV4388" t="s">
        <v>795</v>
      </c>
      <c r="AW4388" t="s">
        <v>46862</v>
      </c>
    </row>
    <row r="4389" spans="1:49">
      <c r="A4389" s="1">
        <f>HYPERLINK("https://lsnyc.legalserver.org/matter/dynamic-profile/view/1881406","18-1881406")</f>
        <v>0</v>
      </c>
      <c r="B4389" t="s">
        <v>158</v>
      </c>
      <c r="C4389" t="s">
        <v>340</v>
      </c>
      <c r="D4389" t="s">
        <v>624</v>
      </c>
      <c r="F4389" t="s">
        <v>2837</v>
      </c>
      <c r="G4389" t="s">
        <v>6372</v>
      </c>
      <c r="H4389" t="s">
        <v>11129</v>
      </c>
      <c r="I4389">
        <v>738</v>
      </c>
      <c r="J4389" t="s">
        <v>18894</v>
      </c>
      <c r="K4389">
        <v>11203</v>
      </c>
      <c r="L4389" t="s">
        <v>18958</v>
      </c>
      <c r="M4389" t="s">
        <v>18958</v>
      </c>
      <c r="N4389" t="s">
        <v>22221</v>
      </c>
      <c r="O4389" t="s">
        <v>26523</v>
      </c>
      <c r="P4389" t="s">
        <v>26560</v>
      </c>
      <c r="R4389" t="s">
        <v>26586</v>
      </c>
      <c r="U4389" t="s">
        <v>26604</v>
      </c>
      <c r="W4389" t="s">
        <v>713</v>
      </c>
      <c r="X4389">
        <v>1313</v>
      </c>
      <c r="Y4389" t="s">
        <v>26652</v>
      </c>
      <c r="Z4389" t="s">
        <v>26664</v>
      </c>
      <c r="AB4389" t="s">
        <v>30324</v>
      </c>
      <c r="AC4389" t="s">
        <v>35761</v>
      </c>
      <c r="AD4389" t="s">
        <v>40471</v>
      </c>
      <c r="AE4389">
        <v>296</v>
      </c>
      <c r="AG4389" t="s">
        <v>45556</v>
      </c>
      <c r="AH4389">
        <v>1</v>
      </c>
      <c r="AI4389">
        <v>1</v>
      </c>
      <c r="AJ4389">
        <v>0</v>
      </c>
      <c r="AK4389">
        <v>82.73</v>
      </c>
      <c r="AN4389" t="s">
        <v>7439</v>
      </c>
      <c r="AO4389">
        <v>10044</v>
      </c>
      <c r="AU4389">
        <v>8</v>
      </c>
      <c r="AV4389" t="s">
        <v>735</v>
      </c>
      <c r="AW4389" t="s">
        <v>281</v>
      </c>
    </row>
    <row r="4390" spans="1:49">
      <c r="A4390" s="1">
        <f>HYPERLINK("https://lsnyc.legalserver.org/matter/dynamic-profile/view/1881603","18-1881603")</f>
        <v>0</v>
      </c>
      <c r="B4390" t="s">
        <v>170</v>
      </c>
      <c r="C4390" t="s">
        <v>340</v>
      </c>
      <c r="D4390" t="s">
        <v>618</v>
      </c>
      <c r="F4390" t="s">
        <v>891</v>
      </c>
      <c r="G4390" t="s">
        <v>5738</v>
      </c>
      <c r="H4390" t="s">
        <v>12974</v>
      </c>
      <c r="I4390" t="s">
        <v>18062</v>
      </c>
      <c r="J4390" t="s">
        <v>18894</v>
      </c>
      <c r="K4390">
        <v>11210</v>
      </c>
      <c r="L4390" t="s">
        <v>18958</v>
      </c>
      <c r="M4390" t="s">
        <v>18958</v>
      </c>
      <c r="N4390" t="s">
        <v>22222</v>
      </c>
      <c r="O4390" t="s">
        <v>26524</v>
      </c>
      <c r="P4390" t="s">
        <v>26560</v>
      </c>
      <c r="R4390" t="s">
        <v>26586</v>
      </c>
      <c r="U4390" t="s">
        <v>26604</v>
      </c>
      <c r="W4390" t="s">
        <v>713</v>
      </c>
      <c r="X4390">
        <v>1000</v>
      </c>
      <c r="Y4390" t="s">
        <v>26652</v>
      </c>
      <c r="Z4390" t="s">
        <v>26664</v>
      </c>
      <c r="AB4390" t="s">
        <v>30325</v>
      </c>
      <c r="AD4390" t="s">
        <v>40472</v>
      </c>
      <c r="AE4390">
        <v>55</v>
      </c>
      <c r="AG4390" t="s">
        <v>19330</v>
      </c>
      <c r="AH4390">
        <v>1</v>
      </c>
      <c r="AI4390">
        <v>1</v>
      </c>
      <c r="AJ4390">
        <v>1</v>
      </c>
      <c r="AK4390">
        <v>87.48</v>
      </c>
      <c r="AN4390" t="s">
        <v>7439</v>
      </c>
      <c r="AO4390">
        <v>14400</v>
      </c>
      <c r="AU4390">
        <v>21.7</v>
      </c>
      <c r="AV4390" t="s">
        <v>795</v>
      </c>
      <c r="AW4390" t="s">
        <v>46862</v>
      </c>
    </row>
    <row r="4391" spans="1:49">
      <c r="A4391" s="1">
        <f>HYPERLINK("https://lsnyc.legalserver.org/matter/dynamic-profile/view/1881669","18-1881669")</f>
        <v>0</v>
      </c>
      <c r="B4391" t="s">
        <v>99</v>
      </c>
      <c r="C4391" t="s">
        <v>341</v>
      </c>
      <c r="D4391" t="s">
        <v>643</v>
      </c>
      <c r="E4391" t="s">
        <v>577</v>
      </c>
      <c r="F4391" t="s">
        <v>2018</v>
      </c>
      <c r="G4391" t="s">
        <v>7276</v>
      </c>
      <c r="H4391" t="s">
        <v>12975</v>
      </c>
      <c r="I4391" t="s">
        <v>17312</v>
      </c>
      <c r="J4391" t="s">
        <v>18894</v>
      </c>
      <c r="K4391">
        <v>11206</v>
      </c>
      <c r="L4391" t="s">
        <v>18958</v>
      </c>
      <c r="M4391" t="s">
        <v>18958</v>
      </c>
      <c r="N4391" t="s">
        <v>22223</v>
      </c>
      <c r="O4391" t="s">
        <v>26524</v>
      </c>
      <c r="P4391" t="s">
        <v>26564</v>
      </c>
      <c r="Q4391" t="s">
        <v>26570</v>
      </c>
      <c r="R4391" t="s">
        <v>26578</v>
      </c>
      <c r="S4391" t="s">
        <v>18959</v>
      </c>
      <c r="U4391" t="s">
        <v>26604</v>
      </c>
      <c r="W4391" t="s">
        <v>713</v>
      </c>
      <c r="X4391">
        <v>1050</v>
      </c>
      <c r="Y4391" t="s">
        <v>26652</v>
      </c>
      <c r="Z4391" t="s">
        <v>26664</v>
      </c>
      <c r="AA4391" t="s">
        <v>26683</v>
      </c>
      <c r="AB4391" t="s">
        <v>30326</v>
      </c>
      <c r="AC4391" t="s">
        <v>35762</v>
      </c>
      <c r="AD4391" t="s">
        <v>40473</v>
      </c>
      <c r="AE4391">
        <v>2</v>
      </c>
      <c r="AF4391" t="s">
        <v>45547</v>
      </c>
      <c r="AG4391" t="s">
        <v>45557</v>
      </c>
      <c r="AH4391">
        <v>9</v>
      </c>
      <c r="AI4391">
        <v>2</v>
      </c>
      <c r="AJ4391">
        <v>2</v>
      </c>
      <c r="AK4391">
        <v>41.43</v>
      </c>
      <c r="AN4391" t="s">
        <v>7439</v>
      </c>
      <c r="AO4391">
        <v>10400</v>
      </c>
      <c r="AU4391">
        <v>2.2</v>
      </c>
      <c r="AV4391" t="s">
        <v>427</v>
      </c>
      <c r="AW4391" t="s">
        <v>46862</v>
      </c>
    </row>
    <row r="4392" spans="1:49">
      <c r="A4392" s="1">
        <f>HYPERLINK("https://lsnyc.legalserver.org/matter/dynamic-profile/view/1882798","18-1882798")</f>
        <v>0</v>
      </c>
      <c r="B4392" t="s">
        <v>101</v>
      </c>
      <c r="C4392" t="s">
        <v>340</v>
      </c>
      <c r="D4392" t="s">
        <v>644</v>
      </c>
      <c r="F4392" t="s">
        <v>2676</v>
      </c>
      <c r="G4392" t="s">
        <v>3604</v>
      </c>
      <c r="H4392" t="s">
        <v>12078</v>
      </c>
      <c r="I4392">
        <v>206</v>
      </c>
      <c r="J4392" t="s">
        <v>18894</v>
      </c>
      <c r="K4392">
        <v>11221</v>
      </c>
      <c r="L4392" t="s">
        <v>18958</v>
      </c>
      <c r="M4392" t="s">
        <v>18958</v>
      </c>
      <c r="O4392" t="s">
        <v>26542</v>
      </c>
      <c r="P4392" t="s">
        <v>26561</v>
      </c>
      <c r="R4392" t="s">
        <v>26586</v>
      </c>
      <c r="U4392" t="s">
        <v>26606</v>
      </c>
      <c r="W4392" t="s">
        <v>713</v>
      </c>
      <c r="X4392">
        <v>0</v>
      </c>
      <c r="Y4392" t="s">
        <v>26652</v>
      </c>
      <c r="Z4392" t="s">
        <v>26659</v>
      </c>
      <c r="AB4392" t="s">
        <v>29849</v>
      </c>
      <c r="AD4392" t="s">
        <v>40474</v>
      </c>
      <c r="AE4392">
        <v>0</v>
      </c>
      <c r="AH4392">
        <v>8</v>
      </c>
      <c r="AI4392">
        <v>1</v>
      </c>
      <c r="AJ4392">
        <v>0</v>
      </c>
      <c r="AK4392">
        <v>74.04000000000001</v>
      </c>
      <c r="AN4392" t="s">
        <v>7439</v>
      </c>
      <c r="AO4392">
        <v>8988</v>
      </c>
      <c r="AU4392">
        <v>22.5</v>
      </c>
      <c r="AV4392" t="s">
        <v>757</v>
      </c>
      <c r="AW4392" t="s">
        <v>46862</v>
      </c>
    </row>
    <row r="4393" spans="1:49">
      <c r="A4393" s="1">
        <f>HYPERLINK("https://lsnyc.legalserver.org/matter/dynamic-profile/view/1882253","18-1882253")</f>
        <v>0</v>
      </c>
      <c r="B4393" t="s">
        <v>180</v>
      </c>
      <c r="C4393" t="s">
        <v>341</v>
      </c>
      <c r="D4393" t="s">
        <v>427</v>
      </c>
      <c r="E4393" t="s">
        <v>724</v>
      </c>
      <c r="F4393" t="s">
        <v>1771</v>
      </c>
      <c r="G4393" t="s">
        <v>2975</v>
      </c>
      <c r="H4393" t="s">
        <v>12976</v>
      </c>
      <c r="I4393">
        <v>104</v>
      </c>
      <c r="J4393" t="s">
        <v>18894</v>
      </c>
      <c r="K4393">
        <v>11205</v>
      </c>
      <c r="L4393" t="s">
        <v>18958</v>
      </c>
      <c r="M4393" t="s">
        <v>18958</v>
      </c>
      <c r="N4393" t="s">
        <v>22224</v>
      </c>
      <c r="O4393" t="s">
        <v>26523</v>
      </c>
      <c r="P4393" t="s">
        <v>26560</v>
      </c>
      <c r="Q4393" t="s">
        <v>26568</v>
      </c>
      <c r="R4393" t="s">
        <v>26586</v>
      </c>
      <c r="U4393" t="s">
        <v>26604</v>
      </c>
      <c r="W4393" t="s">
        <v>713</v>
      </c>
      <c r="X4393">
        <v>847.6</v>
      </c>
      <c r="Y4393" t="s">
        <v>26652</v>
      </c>
      <c r="Z4393" t="s">
        <v>26664</v>
      </c>
      <c r="AA4393" t="s">
        <v>26678</v>
      </c>
      <c r="AB4393" t="s">
        <v>29242</v>
      </c>
      <c r="AD4393" t="s">
        <v>40475</v>
      </c>
      <c r="AE4393">
        <v>47</v>
      </c>
      <c r="AF4393" t="s">
        <v>45541</v>
      </c>
      <c r="AG4393" t="s">
        <v>19330</v>
      </c>
      <c r="AH4393">
        <v>19</v>
      </c>
      <c r="AI4393">
        <v>1</v>
      </c>
      <c r="AJ4393">
        <v>0</v>
      </c>
      <c r="AK4393">
        <v>4.5</v>
      </c>
      <c r="AN4393" t="s">
        <v>7439</v>
      </c>
      <c r="AO4393">
        <v>546</v>
      </c>
      <c r="AS4393" t="s">
        <v>46499</v>
      </c>
      <c r="AT4393" t="s">
        <v>46654</v>
      </c>
      <c r="AU4393">
        <v>13.8</v>
      </c>
      <c r="AV4393" t="s">
        <v>724</v>
      </c>
      <c r="AW4393" t="s">
        <v>46862</v>
      </c>
    </row>
    <row r="4394" spans="1:49">
      <c r="A4394" s="1">
        <f>HYPERLINK("https://lsnyc.legalserver.org/matter/dynamic-profile/view/1882334","18-1882334")</f>
        <v>0</v>
      </c>
      <c r="B4394" t="s">
        <v>162</v>
      </c>
      <c r="C4394" t="s">
        <v>341</v>
      </c>
      <c r="D4394" t="s">
        <v>428</v>
      </c>
      <c r="E4394" t="s">
        <v>819</v>
      </c>
      <c r="F4394" t="s">
        <v>3018</v>
      </c>
      <c r="G4394" t="s">
        <v>7277</v>
      </c>
      <c r="H4394" t="s">
        <v>12977</v>
      </c>
      <c r="I4394" t="s">
        <v>17354</v>
      </c>
      <c r="J4394" t="s">
        <v>18894</v>
      </c>
      <c r="K4394">
        <v>11216</v>
      </c>
      <c r="L4394" t="s">
        <v>18958</v>
      </c>
      <c r="M4394" t="s">
        <v>18958</v>
      </c>
      <c r="N4394" t="s">
        <v>22225</v>
      </c>
      <c r="O4394" t="s">
        <v>26523</v>
      </c>
      <c r="P4394" t="s">
        <v>26560</v>
      </c>
      <c r="Q4394" t="s">
        <v>26573</v>
      </c>
      <c r="R4394" t="s">
        <v>26588</v>
      </c>
      <c r="S4394" t="s">
        <v>18959</v>
      </c>
      <c r="U4394" t="s">
        <v>26605</v>
      </c>
      <c r="W4394" t="s">
        <v>713</v>
      </c>
      <c r="X4394">
        <v>546</v>
      </c>
      <c r="Y4394" t="s">
        <v>26652</v>
      </c>
      <c r="Z4394" t="s">
        <v>26664</v>
      </c>
      <c r="AA4394" t="s">
        <v>26680</v>
      </c>
      <c r="AB4394" t="s">
        <v>30327</v>
      </c>
      <c r="AE4394">
        <v>619</v>
      </c>
      <c r="AF4394" t="s">
        <v>45549</v>
      </c>
      <c r="AG4394" t="s">
        <v>19330</v>
      </c>
      <c r="AH4394">
        <v>1</v>
      </c>
      <c r="AI4394">
        <v>1</v>
      </c>
      <c r="AJ4394">
        <v>10</v>
      </c>
      <c r="AK4394">
        <v>28.19</v>
      </c>
      <c r="AN4394" t="s">
        <v>7439</v>
      </c>
      <c r="AO4394">
        <v>15600</v>
      </c>
      <c r="AS4394" t="s">
        <v>46499</v>
      </c>
      <c r="AT4394" t="s">
        <v>46694</v>
      </c>
      <c r="AU4394">
        <v>7.9</v>
      </c>
      <c r="AV4394" t="s">
        <v>752</v>
      </c>
      <c r="AW4394" t="s">
        <v>46862</v>
      </c>
    </row>
    <row r="4395" spans="1:49">
      <c r="A4395" s="1">
        <f>HYPERLINK("https://lsnyc.legalserver.org/matter/dynamic-profile/view/1882558","18-1882558")</f>
        <v>0</v>
      </c>
      <c r="B4395" t="s">
        <v>167</v>
      </c>
      <c r="C4395" t="s">
        <v>340</v>
      </c>
      <c r="D4395" t="s">
        <v>646</v>
      </c>
      <c r="F4395" t="s">
        <v>2040</v>
      </c>
      <c r="G4395" t="s">
        <v>6633</v>
      </c>
      <c r="H4395" t="s">
        <v>12134</v>
      </c>
      <c r="I4395" t="s">
        <v>17307</v>
      </c>
      <c r="J4395" t="s">
        <v>18894</v>
      </c>
      <c r="K4395">
        <v>11203</v>
      </c>
      <c r="L4395" t="s">
        <v>18958</v>
      </c>
      <c r="M4395" t="s">
        <v>18958</v>
      </c>
      <c r="N4395" t="s">
        <v>22226</v>
      </c>
      <c r="O4395" t="s">
        <v>26524</v>
      </c>
      <c r="P4395" t="s">
        <v>26560</v>
      </c>
      <c r="R4395" t="s">
        <v>26586</v>
      </c>
      <c r="U4395" t="s">
        <v>26604</v>
      </c>
      <c r="W4395" t="s">
        <v>713</v>
      </c>
      <c r="X4395">
        <v>834</v>
      </c>
      <c r="Y4395" t="s">
        <v>26652</v>
      </c>
      <c r="Z4395" t="s">
        <v>26664</v>
      </c>
      <c r="AB4395" t="s">
        <v>30328</v>
      </c>
      <c r="AD4395" t="s">
        <v>40476</v>
      </c>
      <c r="AE4395">
        <v>50</v>
      </c>
      <c r="AG4395" t="s">
        <v>19330</v>
      </c>
      <c r="AH4395">
        <v>39</v>
      </c>
      <c r="AI4395">
        <v>2</v>
      </c>
      <c r="AJ4395">
        <v>1</v>
      </c>
      <c r="AK4395">
        <v>134.74</v>
      </c>
      <c r="AN4395" t="s">
        <v>7439</v>
      </c>
      <c r="AO4395">
        <v>28000</v>
      </c>
      <c r="AU4395">
        <v>43.8</v>
      </c>
      <c r="AV4395" t="s">
        <v>836</v>
      </c>
      <c r="AW4395" t="s">
        <v>281</v>
      </c>
    </row>
    <row r="4396" spans="1:49">
      <c r="A4396" s="1">
        <f>HYPERLINK("https://lsnyc.legalserver.org/matter/dynamic-profile/view/1882982","18-1882982")</f>
        <v>0</v>
      </c>
      <c r="B4396" t="s">
        <v>167</v>
      </c>
      <c r="C4396" t="s">
        <v>340</v>
      </c>
      <c r="D4396" t="s">
        <v>651</v>
      </c>
      <c r="F4396" t="s">
        <v>1072</v>
      </c>
      <c r="G4396" t="s">
        <v>7278</v>
      </c>
      <c r="H4396" t="s">
        <v>10826</v>
      </c>
      <c r="I4396" t="s">
        <v>18109</v>
      </c>
      <c r="J4396" t="s">
        <v>18894</v>
      </c>
      <c r="K4396">
        <v>11213</v>
      </c>
      <c r="L4396" t="s">
        <v>18958</v>
      </c>
      <c r="M4396" t="s">
        <v>18958</v>
      </c>
      <c r="N4396" t="s">
        <v>22227</v>
      </c>
      <c r="O4396" t="s">
        <v>26523</v>
      </c>
      <c r="P4396" t="s">
        <v>26560</v>
      </c>
      <c r="R4396" t="s">
        <v>26586</v>
      </c>
      <c r="U4396" t="s">
        <v>26604</v>
      </c>
      <c r="W4396" t="s">
        <v>713</v>
      </c>
      <c r="X4396">
        <v>1750</v>
      </c>
      <c r="Y4396" t="s">
        <v>26652</v>
      </c>
      <c r="Z4396" t="s">
        <v>26664</v>
      </c>
      <c r="AB4396" t="s">
        <v>30329</v>
      </c>
      <c r="AC4396" t="s">
        <v>35763</v>
      </c>
      <c r="AD4396" t="s">
        <v>40477</v>
      </c>
      <c r="AE4396">
        <v>72</v>
      </c>
      <c r="AG4396" t="s">
        <v>26530</v>
      </c>
      <c r="AH4396">
        <v>12</v>
      </c>
      <c r="AI4396">
        <v>1</v>
      </c>
      <c r="AJ4396">
        <v>3</v>
      </c>
      <c r="AK4396">
        <v>23.9</v>
      </c>
      <c r="AN4396" t="s">
        <v>7439</v>
      </c>
      <c r="AO4396">
        <v>6000</v>
      </c>
      <c r="AU4396">
        <v>20.85</v>
      </c>
      <c r="AV4396" t="s">
        <v>677</v>
      </c>
      <c r="AW4396" t="s">
        <v>281</v>
      </c>
    </row>
    <row r="4397" spans="1:49">
      <c r="A4397" s="1">
        <f>HYPERLINK("https://lsnyc.legalserver.org/matter/dynamic-profile/view/1883031","18-1883031")</f>
        <v>0</v>
      </c>
      <c r="B4397" t="s">
        <v>167</v>
      </c>
      <c r="C4397" t="s">
        <v>340</v>
      </c>
      <c r="D4397" t="s">
        <v>651</v>
      </c>
      <c r="F4397" t="s">
        <v>3019</v>
      </c>
      <c r="G4397" t="s">
        <v>1384</v>
      </c>
      <c r="H4397" t="s">
        <v>12978</v>
      </c>
      <c r="I4397" t="s">
        <v>17456</v>
      </c>
      <c r="J4397" t="s">
        <v>18894</v>
      </c>
      <c r="K4397">
        <v>11213</v>
      </c>
      <c r="L4397" t="s">
        <v>18958</v>
      </c>
      <c r="M4397" t="s">
        <v>18958</v>
      </c>
      <c r="N4397" t="s">
        <v>22228</v>
      </c>
      <c r="O4397" t="s">
        <v>26523</v>
      </c>
      <c r="P4397" t="s">
        <v>26560</v>
      </c>
      <c r="R4397" t="s">
        <v>26586</v>
      </c>
      <c r="U4397" t="s">
        <v>26604</v>
      </c>
      <c r="W4397" t="s">
        <v>713</v>
      </c>
      <c r="X4397">
        <v>637.45</v>
      </c>
      <c r="Y4397" t="s">
        <v>26652</v>
      </c>
      <c r="Z4397" t="s">
        <v>26664</v>
      </c>
      <c r="AB4397" t="s">
        <v>30330</v>
      </c>
      <c r="AD4397" t="s">
        <v>40478</v>
      </c>
      <c r="AE4397">
        <v>7</v>
      </c>
      <c r="AG4397" t="s">
        <v>45559</v>
      </c>
      <c r="AH4397">
        <v>50</v>
      </c>
      <c r="AI4397">
        <v>1</v>
      </c>
      <c r="AJ4397">
        <v>0</v>
      </c>
      <c r="AK4397">
        <v>29.65</v>
      </c>
      <c r="AN4397" t="s">
        <v>7439</v>
      </c>
      <c r="AO4397">
        <v>3600</v>
      </c>
      <c r="AU4397">
        <v>15.1</v>
      </c>
      <c r="AV4397" t="s">
        <v>836</v>
      </c>
      <c r="AW4397" t="s">
        <v>281</v>
      </c>
    </row>
    <row r="4398" spans="1:49">
      <c r="A4398" s="1">
        <f>HYPERLINK("https://lsnyc.legalserver.org/matter/dynamic-profile/view/1883169","18-1883169")</f>
        <v>0</v>
      </c>
      <c r="B4398" t="s">
        <v>170</v>
      </c>
      <c r="C4398" t="s">
        <v>340</v>
      </c>
      <c r="D4398" t="s">
        <v>525</v>
      </c>
      <c r="F4398" t="s">
        <v>3020</v>
      </c>
      <c r="G4398" t="s">
        <v>7279</v>
      </c>
      <c r="H4398" t="s">
        <v>12614</v>
      </c>
      <c r="I4398" t="s">
        <v>17424</v>
      </c>
      <c r="J4398" t="s">
        <v>18894</v>
      </c>
      <c r="K4398">
        <v>11206</v>
      </c>
      <c r="L4398" t="s">
        <v>18958</v>
      </c>
      <c r="M4398" t="s">
        <v>18958</v>
      </c>
      <c r="N4398" t="s">
        <v>22229</v>
      </c>
      <c r="O4398" t="s">
        <v>26523</v>
      </c>
      <c r="P4398" t="s">
        <v>26560</v>
      </c>
      <c r="R4398" t="s">
        <v>26586</v>
      </c>
      <c r="U4398" t="s">
        <v>26604</v>
      </c>
      <c r="W4398" t="s">
        <v>713</v>
      </c>
      <c r="X4398">
        <v>265</v>
      </c>
      <c r="Y4398" t="s">
        <v>26652</v>
      </c>
      <c r="Z4398" t="s">
        <v>26664</v>
      </c>
      <c r="AB4398" t="s">
        <v>30331</v>
      </c>
      <c r="AD4398" t="s">
        <v>40479</v>
      </c>
      <c r="AE4398">
        <v>0</v>
      </c>
      <c r="AG4398" t="s">
        <v>26530</v>
      </c>
      <c r="AH4398">
        <v>4</v>
      </c>
      <c r="AI4398">
        <v>2</v>
      </c>
      <c r="AJ4398">
        <v>1</v>
      </c>
      <c r="AK4398">
        <v>97.88</v>
      </c>
      <c r="AN4398" t="s">
        <v>7439</v>
      </c>
      <c r="AO4398">
        <v>20340</v>
      </c>
      <c r="AU4398">
        <v>13.5</v>
      </c>
      <c r="AV4398" t="s">
        <v>768</v>
      </c>
      <c r="AW4398" t="s">
        <v>46862</v>
      </c>
    </row>
    <row r="4399" spans="1:49">
      <c r="A4399" s="1">
        <f>HYPERLINK("https://lsnyc.legalserver.org/matter/dynamic-profile/view/1883480","18-1883480")</f>
        <v>0</v>
      </c>
      <c r="B4399" t="s">
        <v>123</v>
      </c>
      <c r="C4399" t="s">
        <v>341</v>
      </c>
      <c r="D4399" t="s">
        <v>664</v>
      </c>
      <c r="E4399" t="s">
        <v>865</v>
      </c>
      <c r="F4399" t="s">
        <v>3021</v>
      </c>
      <c r="G4399" t="s">
        <v>1384</v>
      </c>
      <c r="H4399" t="s">
        <v>12979</v>
      </c>
      <c r="I4399">
        <v>2</v>
      </c>
      <c r="J4399" t="s">
        <v>18894</v>
      </c>
      <c r="K4399">
        <v>11216</v>
      </c>
      <c r="L4399" t="s">
        <v>18958</v>
      </c>
      <c r="M4399" t="s">
        <v>18958</v>
      </c>
      <c r="N4399" t="s">
        <v>22230</v>
      </c>
      <c r="O4399" t="s">
        <v>26523</v>
      </c>
      <c r="P4399" t="s">
        <v>26560</v>
      </c>
      <c r="Q4399" t="s">
        <v>26568</v>
      </c>
      <c r="R4399" t="s">
        <v>26588</v>
      </c>
      <c r="U4399" t="s">
        <v>26604</v>
      </c>
      <c r="W4399" t="s">
        <v>713</v>
      </c>
      <c r="X4399">
        <v>2500</v>
      </c>
      <c r="Y4399" t="s">
        <v>26652</v>
      </c>
      <c r="Z4399" t="s">
        <v>26669</v>
      </c>
      <c r="AA4399" t="s">
        <v>26687</v>
      </c>
      <c r="AB4399" t="s">
        <v>28498</v>
      </c>
      <c r="AD4399" t="s">
        <v>40480</v>
      </c>
      <c r="AE4399">
        <v>3</v>
      </c>
      <c r="AF4399" t="s">
        <v>45547</v>
      </c>
      <c r="AG4399" t="s">
        <v>19330</v>
      </c>
      <c r="AH4399">
        <v>4</v>
      </c>
      <c r="AI4399">
        <v>3</v>
      </c>
      <c r="AJ4399">
        <v>0</v>
      </c>
      <c r="AK4399">
        <v>210.88</v>
      </c>
      <c r="AL4399" t="s">
        <v>794</v>
      </c>
      <c r="AM4399" t="s">
        <v>45575</v>
      </c>
      <c r="AN4399" t="s">
        <v>7439</v>
      </c>
      <c r="AO4399">
        <v>43820</v>
      </c>
      <c r="AU4399">
        <v>21.76</v>
      </c>
      <c r="AV4399" t="s">
        <v>818</v>
      </c>
      <c r="AW4399" t="s">
        <v>281</v>
      </c>
    </row>
    <row r="4400" spans="1:49">
      <c r="A4400" s="1">
        <f>HYPERLINK("https://lsnyc.legalserver.org/matter/dynamic-profile/view/1883723","18-1883723")</f>
        <v>0</v>
      </c>
      <c r="B4400" t="s">
        <v>180</v>
      </c>
      <c r="C4400" t="s">
        <v>340</v>
      </c>
      <c r="D4400" t="s">
        <v>665</v>
      </c>
      <c r="F4400" t="s">
        <v>1010</v>
      </c>
      <c r="G4400" t="s">
        <v>5269</v>
      </c>
      <c r="H4400" t="s">
        <v>10921</v>
      </c>
      <c r="I4400" t="s">
        <v>17413</v>
      </c>
      <c r="J4400" t="s">
        <v>18894</v>
      </c>
      <c r="K4400">
        <v>11203</v>
      </c>
      <c r="L4400" t="s">
        <v>18958</v>
      </c>
      <c r="M4400" t="s">
        <v>18958</v>
      </c>
      <c r="N4400" t="s">
        <v>22231</v>
      </c>
      <c r="O4400" t="s">
        <v>26523</v>
      </c>
      <c r="P4400" t="s">
        <v>26560</v>
      </c>
      <c r="R4400" t="s">
        <v>26586</v>
      </c>
      <c r="S4400" t="s">
        <v>18959</v>
      </c>
      <c r="U4400" t="s">
        <v>26604</v>
      </c>
      <c r="V4400" t="s">
        <v>26610</v>
      </c>
      <c r="W4400" t="s">
        <v>713</v>
      </c>
      <c r="X4400">
        <v>670.13</v>
      </c>
      <c r="Y4400" t="s">
        <v>26652</v>
      </c>
      <c r="Z4400" t="s">
        <v>26660</v>
      </c>
      <c r="AB4400" t="s">
        <v>30332</v>
      </c>
      <c r="AE4400">
        <v>0</v>
      </c>
      <c r="AF4400" t="s">
        <v>45541</v>
      </c>
      <c r="AH4400">
        <v>39</v>
      </c>
      <c r="AI4400">
        <v>1</v>
      </c>
      <c r="AJ4400">
        <v>0</v>
      </c>
      <c r="AK4400">
        <v>101.81</v>
      </c>
      <c r="AN4400" t="s">
        <v>7439</v>
      </c>
      <c r="AO4400">
        <v>12360</v>
      </c>
      <c r="AU4400">
        <v>36.4</v>
      </c>
      <c r="AV4400" t="s">
        <v>807</v>
      </c>
      <c r="AW4400" t="s">
        <v>180</v>
      </c>
    </row>
    <row r="4401" spans="1:50">
      <c r="A4401" s="1">
        <f>HYPERLINK("https://lsnyc.legalserver.org/matter/dynamic-profile/view/1884451","18-1884451")</f>
        <v>0</v>
      </c>
      <c r="B4401" t="s">
        <v>162</v>
      </c>
      <c r="C4401" t="s">
        <v>340</v>
      </c>
      <c r="D4401" t="s">
        <v>667</v>
      </c>
      <c r="F4401" t="s">
        <v>3022</v>
      </c>
      <c r="G4401" t="s">
        <v>7280</v>
      </c>
      <c r="H4401" t="s">
        <v>12980</v>
      </c>
      <c r="I4401" t="s">
        <v>17846</v>
      </c>
      <c r="J4401" t="s">
        <v>18894</v>
      </c>
      <c r="K4401">
        <v>11236</v>
      </c>
      <c r="L4401" t="s">
        <v>18958</v>
      </c>
      <c r="M4401" t="s">
        <v>18958</v>
      </c>
      <c r="N4401" t="s">
        <v>22232</v>
      </c>
      <c r="O4401" t="s">
        <v>26523</v>
      </c>
      <c r="P4401" t="s">
        <v>26560</v>
      </c>
      <c r="R4401" t="s">
        <v>26586</v>
      </c>
      <c r="S4401" t="s">
        <v>18959</v>
      </c>
      <c r="U4401" t="s">
        <v>26605</v>
      </c>
      <c r="V4401" t="s">
        <v>26610</v>
      </c>
      <c r="W4401" t="s">
        <v>713</v>
      </c>
      <c r="X4401">
        <v>230</v>
      </c>
      <c r="Y4401" t="s">
        <v>26652</v>
      </c>
      <c r="Z4401" t="s">
        <v>26659</v>
      </c>
      <c r="AB4401" t="s">
        <v>30333</v>
      </c>
      <c r="AD4401" t="s">
        <v>40481</v>
      </c>
      <c r="AE4401">
        <v>70</v>
      </c>
      <c r="AF4401" t="s">
        <v>45549</v>
      </c>
      <c r="AG4401" t="s">
        <v>19330</v>
      </c>
      <c r="AH4401">
        <v>8</v>
      </c>
      <c r="AI4401">
        <v>1</v>
      </c>
      <c r="AJ4401">
        <v>1</v>
      </c>
      <c r="AK4401">
        <v>55.29</v>
      </c>
      <c r="AN4401" t="s">
        <v>7439</v>
      </c>
      <c r="AO4401">
        <v>9100</v>
      </c>
      <c r="AU4401">
        <v>28</v>
      </c>
      <c r="AV4401" t="s">
        <v>829</v>
      </c>
      <c r="AW4401" t="s">
        <v>46862</v>
      </c>
    </row>
    <row r="4402" spans="1:50">
      <c r="A4402" s="1">
        <f>HYPERLINK("https://lsnyc.legalserver.org/matter/dynamic-profile/view/1884542","18-1884542")</f>
        <v>0</v>
      </c>
      <c r="B4402" t="s">
        <v>202</v>
      </c>
      <c r="C4402" t="s">
        <v>340</v>
      </c>
      <c r="D4402" t="s">
        <v>678</v>
      </c>
      <c r="F4402" t="s">
        <v>3023</v>
      </c>
      <c r="G4402" t="s">
        <v>7281</v>
      </c>
      <c r="H4402" t="s">
        <v>12981</v>
      </c>
      <c r="I4402" t="s">
        <v>17299</v>
      </c>
      <c r="J4402" t="s">
        <v>18894</v>
      </c>
      <c r="K4402">
        <v>11216</v>
      </c>
      <c r="L4402" t="s">
        <v>18958</v>
      </c>
      <c r="M4402" t="s">
        <v>18958</v>
      </c>
      <c r="N4402" t="s">
        <v>22233</v>
      </c>
      <c r="O4402" t="s">
        <v>26523</v>
      </c>
      <c r="P4402" t="s">
        <v>26560</v>
      </c>
      <c r="R4402" t="s">
        <v>26588</v>
      </c>
      <c r="S4402" t="s">
        <v>18959</v>
      </c>
      <c r="U4402" t="s">
        <v>26605</v>
      </c>
      <c r="V4402" t="s">
        <v>26610</v>
      </c>
      <c r="W4402" t="s">
        <v>713</v>
      </c>
      <c r="X4402">
        <v>420</v>
      </c>
      <c r="Y4402" t="s">
        <v>26652</v>
      </c>
      <c r="Z4402" t="s">
        <v>26664</v>
      </c>
      <c r="AB4402" t="s">
        <v>30334</v>
      </c>
      <c r="AD4402" t="s">
        <v>40482</v>
      </c>
      <c r="AE4402">
        <v>24</v>
      </c>
      <c r="AF4402" t="s">
        <v>45549</v>
      </c>
      <c r="AG4402" t="s">
        <v>19330</v>
      </c>
      <c r="AH4402">
        <v>11</v>
      </c>
      <c r="AI4402">
        <v>3</v>
      </c>
      <c r="AJ4402">
        <v>2</v>
      </c>
      <c r="AK4402">
        <v>53.03</v>
      </c>
      <c r="AN4402" t="s">
        <v>7439</v>
      </c>
      <c r="AO4402">
        <v>15600</v>
      </c>
      <c r="AU4402">
        <v>11.1</v>
      </c>
      <c r="AV4402" t="s">
        <v>788</v>
      </c>
      <c r="AW4402" t="s">
        <v>46862</v>
      </c>
    </row>
    <row r="4403" spans="1:50">
      <c r="A4403" s="1">
        <f>HYPERLINK("https://lsnyc.legalserver.org/matter/dynamic-profile/view/1884513","18-1884513")</f>
        <v>0</v>
      </c>
      <c r="B4403" t="s">
        <v>202</v>
      </c>
      <c r="C4403" t="s">
        <v>340</v>
      </c>
      <c r="D4403" t="s">
        <v>678</v>
      </c>
      <c r="F4403" t="s">
        <v>3024</v>
      </c>
      <c r="G4403" t="s">
        <v>7282</v>
      </c>
      <c r="H4403" t="s">
        <v>12982</v>
      </c>
      <c r="I4403" t="s">
        <v>17307</v>
      </c>
      <c r="J4403" t="s">
        <v>18894</v>
      </c>
      <c r="K4403">
        <v>11216</v>
      </c>
      <c r="L4403" t="s">
        <v>18958</v>
      </c>
      <c r="M4403" t="s">
        <v>18958</v>
      </c>
      <c r="N4403" t="s">
        <v>22234</v>
      </c>
      <c r="O4403" t="s">
        <v>26523</v>
      </c>
      <c r="P4403" t="s">
        <v>26560</v>
      </c>
      <c r="R4403" t="s">
        <v>26588</v>
      </c>
      <c r="S4403" t="s">
        <v>18959</v>
      </c>
      <c r="U4403" t="s">
        <v>26605</v>
      </c>
      <c r="V4403" t="s">
        <v>26610</v>
      </c>
      <c r="W4403" t="s">
        <v>713</v>
      </c>
      <c r="X4403">
        <v>588</v>
      </c>
      <c r="Y4403" t="s">
        <v>26652</v>
      </c>
      <c r="Z4403" t="s">
        <v>26664</v>
      </c>
      <c r="AB4403" t="s">
        <v>28155</v>
      </c>
      <c r="AD4403" t="s">
        <v>40483</v>
      </c>
      <c r="AE4403">
        <v>32</v>
      </c>
      <c r="AF4403" t="s">
        <v>45549</v>
      </c>
      <c r="AG4403" t="s">
        <v>19330</v>
      </c>
      <c r="AH4403">
        <v>16</v>
      </c>
      <c r="AI4403">
        <v>2</v>
      </c>
      <c r="AJ4403">
        <v>1</v>
      </c>
      <c r="AK4403">
        <v>150.14</v>
      </c>
      <c r="AN4403" t="s">
        <v>7439</v>
      </c>
      <c r="AO4403">
        <v>31200</v>
      </c>
      <c r="AQ4403" t="s">
        <v>46361</v>
      </c>
      <c r="AR4403" t="s">
        <v>46379</v>
      </c>
      <c r="AS4403" t="s">
        <v>46499</v>
      </c>
      <c r="AT4403" t="s">
        <v>46554</v>
      </c>
      <c r="AU4403">
        <v>14.4</v>
      </c>
      <c r="AV4403" t="s">
        <v>754</v>
      </c>
      <c r="AW4403" t="s">
        <v>46862</v>
      </c>
    </row>
    <row r="4404" spans="1:50">
      <c r="A4404" s="1">
        <f>HYPERLINK("https://lsnyc.legalserver.org/matter/dynamic-profile/view/1884584","18-1884584")</f>
        <v>0</v>
      </c>
      <c r="B4404" t="s">
        <v>50</v>
      </c>
      <c r="C4404" t="s">
        <v>340</v>
      </c>
      <c r="D4404" t="s">
        <v>678</v>
      </c>
      <c r="F4404" t="s">
        <v>1789</v>
      </c>
      <c r="G4404" t="s">
        <v>5736</v>
      </c>
      <c r="H4404" t="s">
        <v>12983</v>
      </c>
      <c r="I4404">
        <v>15</v>
      </c>
      <c r="J4404" t="s">
        <v>18892</v>
      </c>
      <c r="K4404">
        <v>10451</v>
      </c>
      <c r="L4404" t="s">
        <v>18958</v>
      </c>
      <c r="M4404" t="s">
        <v>18958</v>
      </c>
      <c r="N4404" t="s">
        <v>22235</v>
      </c>
      <c r="O4404" t="s">
        <v>26524</v>
      </c>
      <c r="P4404" t="s">
        <v>26560</v>
      </c>
      <c r="R4404" t="s">
        <v>26577</v>
      </c>
      <c r="S4404" t="s">
        <v>18959</v>
      </c>
      <c r="U4404" t="s">
        <v>26604</v>
      </c>
      <c r="V4404" t="s">
        <v>26610</v>
      </c>
      <c r="W4404" t="s">
        <v>713</v>
      </c>
      <c r="X4404">
        <v>964</v>
      </c>
      <c r="Y4404" t="s">
        <v>26650</v>
      </c>
      <c r="Z4404" t="s">
        <v>26659</v>
      </c>
      <c r="AB4404" t="s">
        <v>30335</v>
      </c>
      <c r="AD4404" t="s">
        <v>40484</v>
      </c>
      <c r="AE4404">
        <v>17</v>
      </c>
      <c r="AF4404" t="s">
        <v>45541</v>
      </c>
      <c r="AG4404" t="s">
        <v>45556</v>
      </c>
      <c r="AH4404">
        <v>7</v>
      </c>
      <c r="AI4404">
        <v>1</v>
      </c>
      <c r="AJ4404">
        <v>0</v>
      </c>
      <c r="AK4404">
        <v>207.58</v>
      </c>
      <c r="AL4404" t="s">
        <v>787</v>
      </c>
      <c r="AM4404" t="s">
        <v>45575</v>
      </c>
      <c r="AN4404" t="s">
        <v>45581</v>
      </c>
      <c r="AO4404">
        <v>25200</v>
      </c>
      <c r="AP4404" t="s">
        <v>45823</v>
      </c>
      <c r="AU4404">
        <v>51.95</v>
      </c>
      <c r="AV4404" t="s">
        <v>830</v>
      </c>
      <c r="AW4404" t="s">
        <v>46871</v>
      </c>
    </row>
    <row r="4405" spans="1:50">
      <c r="A4405" s="1">
        <f>HYPERLINK("https://lsnyc.legalserver.org/matter/dynamic-profile/view/1884634","18-1884634")</f>
        <v>0</v>
      </c>
      <c r="B4405" t="s">
        <v>162</v>
      </c>
      <c r="C4405" t="s">
        <v>341</v>
      </c>
      <c r="D4405" t="s">
        <v>687</v>
      </c>
      <c r="E4405" t="s">
        <v>739</v>
      </c>
      <c r="F4405" t="s">
        <v>990</v>
      </c>
      <c r="G4405" t="s">
        <v>5306</v>
      </c>
      <c r="H4405" t="s">
        <v>12984</v>
      </c>
      <c r="I4405" t="s">
        <v>17274</v>
      </c>
      <c r="J4405" t="s">
        <v>18894</v>
      </c>
      <c r="K4405">
        <v>11216</v>
      </c>
      <c r="L4405" t="s">
        <v>18958</v>
      </c>
      <c r="M4405" t="s">
        <v>18958</v>
      </c>
      <c r="N4405" t="s">
        <v>22236</v>
      </c>
      <c r="O4405" t="s">
        <v>26523</v>
      </c>
      <c r="P4405" t="s">
        <v>26560</v>
      </c>
      <c r="Q4405" t="s">
        <v>26573</v>
      </c>
      <c r="R4405" t="s">
        <v>26588</v>
      </c>
      <c r="S4405" t="s">
        <v>18959</v>
      </c>
      <c r="U4405" t="s">
        <v>26605</v>
      </c>
      <c r="V4405" t="s">
        <v>26610</v>
      </c>
      <c r="W4405" t="s">
        <v>713</v>
      </c>
      <c r="X4405">
        <v>455</v>
      </c>
      <c r="Y4405" t="s">
        <v>26652</v>
      </c>
      <c r="Z4405" t="s">
        <v>26664</v>
      </c>
      <c r="AA4405" t="s">
        <v>26680</v>
      </c>
      <c r="AB4405" t="s">
        <v>30336</v>
      </c>
      <c r="AD4405" t="s">
        <v>40485</v>
      </c>
      <c r="AE4405">
        <v>123</v>
      </c>
      <c r="AF4405" t="s">
        <v>45549</v>
      </c>
      <c r="AG4405" t="s">
        <v>19330</v>
      </c>
      <c r="AH4405">
        <v>22</v>
      </c>
      <c r="AI4405">
        <v>1</v>
      </c>
      <c r="AJ4405">
        <v>0</v>
      </c>
      <c r="AK4405">
        <v>66.81999999999999</v>
      </c>
      <c r="AN4405" t="s">
        <v>7439</v>
      </c>
      <c r="AO4405">
        <v>8112</v>
      </c>
      <c r="AQ4405" t="s">
        <v>46362</v>
      </c>
      <c r="AR4405" t="s">
        <v>46379</v>
      </c>
      <c r="AS4405" t="s">
        <v>46499</v>
      </c>
      <c r="AT4405" t="s">
        <v>46756</v>
      </c>
      <c r="AU4405">
        <v>4.3</v>
      </c>
      <c r="AV4405" t="s">
        <v>727</v>
      </c>
      <c r="AW4405" t="s">
        <v>46862</v>
      </c>
    </row>
    <row r="4406" spans="1:50">
      <c r="A4406" s="1">
        <f>HYPERLINK("https://lsnyc.legalserver.org/matter/dynamic-profile/view/1884644","18-1884644")</f>
        <v>0</v>
      </c>
      <c r="B4406" t="s">
        <v>162</v>
      </c>
      <c r="C4406" t="s">
        <v>340</v>
      </c>
      <c r="D4406" t="s">
        <v>687</v>
      </c>
      <c r="F4406" t="s">
        <v>1376</v>
      </c>
      <c r="G4406" t="s">
        <v>7283</v>
      </c>
      <c r="H4406" t="s">
        <v>12985</v>
      </c>
      <c r="I4406" t="s">
        <v>17467</v>
      </c>
      <c r="J4406" t="s">
        <v>18894</v>
      </c>
      <c r="K4406">
        <v>11221</v>
      </c>
      <c r="L4406" t="s">
        <v>18958</v>
      </c>
      <c r="M4406" t="s">
        <v>18958</v>
      </c>
      <c r="N4406" t="s">
        <v>22237</v>
      </c>
      <c r="O4406" t="s">
        <v>26523</v>
      </c>
      <c r="P4406" t="s">
        <v>26560</v>
      </c>
      <c r="R4406" t="s">
        <v>26588</v>
      </c>
      <c r="U4406" t="s">
        <v>26605</v>
      </c>
      <c r="W4406" t="s">
        <v>713</v>
      </c>
      <c r="X4406">
        <v>336</v>
      </c>
      <c r="Y4406" t="s">
        <v>26652</v>
      </c>
      <c r="Z4406" t="s">
        <v>26664</v>
      </c>
      <c r="AB4406" t="s">
        <v>30337</v>
      </c>
      <c r="AD4406" t="s">
        <v>40486</v>
      </c>
      <c r="AE4406">
        <v>115</v>
      </c>
      <c r="AF4406" t="s">
        <v>45549</v>
      </c>
      <c r="AH4406">
        <v>-1</v>
      </c>
      <c r="AI4406">
        <v>2</v>
      </c>
      <c r="AJ4406">
        <v>3</v>
      </c>
      <c r="AK4406">
        <v>0</v>
      </c>
      <c r="AN4406" t="s">
        <v>7439</v>
      </c>
      <c r="AO4406">
        <v>0</v>
      </c>
      <c r="AU4406">
        <v>10.5</v>
      </c>
      <c r="AV4406" t="s">
        <v>770</v>
      </c>
      <c r="AW4406" t="s">
        <v>46862</v>
      </c>
    </row>
    <row r="4407" spans="1:50">
      <c r="A4407" s="1">
        <f>HYPERLINK("https://lsnyc.legalserver.org/matter/dynamic-profile/view/1884708","18-1884708")</f>
        <v>0</v>
      </c>
      <c r="B4407" t="s">
        <v>50</v>
      </c>
      <c r="C4407" t="s">
        <v>340</v>
      </c>
      <c r="D4407" t="s">
        <v>687</v>
      </c>
      <c r="F4407" t="s">
        <v>1789</v>
      </c>
      <c r="G4407" t="s">
        <v>5736</v>
      </c>
      <c r="H4407" t="s">
        <v>12983</v>
      </c>
      <c r="I4407">
        <v>15</v>
      </c>
      <c r="J4407" t="s">
        <v>18892</v>
      </c>
      <c r="K4407">
        <v>10451</v>
      </c>
      <c r="L4407" t="s">
        <v>18958</v>
      </c>
      <c r="M4407" t="s">
        <v>18958</v>
      </c>
      <c r="N4407" t="s">
        <v>19045</v>
      </c>
      <c r="O4407" t="s">
        <v>26547</v>
      </c>
      <c r="P4407" t="s">
        <v>26562</v>
      </c>
      <c r="R4407" t="s">
        <v>26578</v>
      </c>
      <c r="S4407" t="s">
        <v>18959</v>
      </c>
      <c r="U4407" t="s">
        <v>26606</v>
      </c>
      <c r="W4407" t="s">
        <v>713</v>
      </c>
      <c r="X4407">
        <v>964</v>
      </c>
      <c r="Y4407" t="s">
        <v>26650</v>
      </c>
      <c r="Z4407" t="s">
        <v>26659</v>
      </c>
      <c r="AB4407" t="s">
        <v>30335</v>
      </c>
      <c r="AD4407" t="s">
        <v>40484</v>
      </c>
      <c r="AE4407">
        <v>17</v>
      </c>
      <c r="AF4407" t="s">
        <v>45541</v>
      </c>
      <c r="AG4407" t="s">
        <v>45556</v>
      </c>
      <c r="AH4407">
        <v>7</v>
      </c>
      <c r="AI4407">
        <v>1</v>
      </c>
      <c r="AJ4407">
        <v>0</v>
      </c>
      <c r="AK4407">
        <v>207.58</v>
      </c>
      <c r="AN4407" t="s">
        <v>45581</v>
      </c>
      <c r="AO4407">
        <v>25200</v>
      </c>
      <c r="AP4407" t="s">
        <v>45824</v>
      </c>
      <c r="AU4407">
        <v>4.7</v>
      </c>
      <c r="AV4407" t="s">
        <v>761</v>
      </c>
      <c r="AW4407" t="s">
        <v>254</v>
      </c>
    </row>
    <row r="4408" spans="1:50">
      <c r="A4408" s="1">
        <f>HYPERLINK("https://lsnyc.legalserver.org/matter/dynamic-profile/view/1884869","18-1884869")</f>
        <v>0</v>
      </c>
      <c r="B4408" t="s">
        <v>170</v>
      </c>
      <c r="C4408" t="s">
        <v>340</v>
      </c>
      <c r="D4408" t="s">
        <v>682</v>
      </c>
      <c r="F4408" t="s">
        <v>2437</v>
      </c>
      <c r="G4408" t="s">
        <v>3283</v>
      </c>
      <c r="H4408" t="s">
        <v>11926</v>
      </c>
      <c r="I4408" t="s">
        <v>17281</v>
      </c>
      <c r="J4408" t="s">
        <v>18894</v>
      </c>
      <c r="K4408">
        <v>11212</v>
      </c>
      <c r="L4408" t="s">
        <v>18958</v>
      </c>
      <c r="M4408" t="s">
        <v>18960</v>
      </c>
      <c r="N4408" t="s">
        <v>22238</v>
      </c>
      <c r="O4408" t="s">
        <v>26523</v>
      </c>
      <c r="P4408" t="s">
        <v>26560</v>
      </c>
      <c r="R4408" t="s">
        <v>26586</v>
      </c>
      <c r="S4408" t="s">
        <v>18959</v>
      </c>
      <c r="U4408" t="s">
        <v>26605</v>
      </c>
      <c r="V4408" t="s">
        <v>26610</v>
      </c>
      <c r="W4408" t="s">
        <v>713</v>
      </c>
      <c r="X4408">
        <v>855</v>
      </c>
      <c r="Y4408" t="s">
        <v>26652</v>
      </c>
      <c r="Z4408" t="s">
        <v>26659</v>
      </c>
      <c r="AB4408" t="s">
        <v>29194</v>
      </c>
      <c r="AD4408" t="s">
        <v>39252</v>
      </c>
      <c r="AE4408">
        <v>0</v>
      </c>
      <c r="AF4408" t="s">
        <v>45542</v>
      </c>
      <c r="AG4408" t="s">
        <v>45557</v>
      </c>
      <c r="AH4408">
        <v>0</v>
      </c>
      <c r="AI4408">
        <v>1</v>
      </c>
      <c r="AJ4408">
        <v>1</v>
      </c>
      <c r="AK4408">
        <v>48.77</v>
      </c>
      <c r="AN4408" t="s">
        <v>7439</v>
      </c>
      <c r="AO4408">
        <v>8028</v>
      </c>
      <c r="AU4408">
        <v>3.9</v>
      </c>
      <c r="AV4408" t="s">
        <v>795</v>
      </c>
      <c r="AW4408" t="s">
        <v>46862</v>
      </c>
    </row>
    <row r="4409" spans="1:50">
      <c r="A4409" s="1">
        <f>HYPERLINK("https://lsnyc.legalserver.org/matter/dynamic-profile/view/1884987","18-1884987")</f>
        <v>0</v>
      </c>
      <c r="B4409" t="s">
        <v>158</v>
      </c>
      <c r="C4409" t="s">
        <v>340</v>
      </c>
      <c r="D4409" t="s">
        <v>518</v>
      </c>
      <c r="F4409" t="s">
        <v>979</v>
      </c>
      <c r="G4409" t="s">
        <v>880</v>
      </c>
      <c r="H4409" t="s">
        <v>12986</v>
      </c>
      <c r="I4409" t="s">
        <v>17347</v>
      </c>
      <c r="J4409" t="s">
        <v>18894</v>
      </c>
      <c r="K4409">
        <v>11213</v>
      </c>
      <c r="L4409" t="s">
        <v>18958</v>
      </c>
      <c r="M4409" t="s">
        <v>18958</v>
      </c>
      <c r="N4409" t="s">
        <v>22239</v>
      </c>
      <c r="O4409" t="s">
        <v>26523</v>
      </c>
      <c r="P4409" t="s">
        <v>26560</v>
      </c>
      <c r="R4409" t="s">
        <v>26586</v>
      </c>
      <c r="U4409" t="s">
        <v>26604</v>
      </c>
      <c r="W4409" t="s">
        <v>713</v>
      </c>
      <c r="X4409">
        <v>647.29</v>
      </c>
      <c r="Y4409" t="s">
        <v>26652</v>
      </c>
      <c r="Z4409" t="s">
        <v>26668</v>
      </c>
      <c r="AB4409" t="s">
        <v>30338</v>
      </c>
      <c r="AD4409" t="s">
        <v>40487</v>
      </c>
      <c r="AE4409">
        <v>20</v>
      </c>
      <c r="AF4409" t="s">
        <v>45541</v>
      </c>
      <c r="AH4409">
        <v>26</v>
      </c>
      <c r="AI4409">
        <v>1</v>
      </c>
      <c r="AJ4409">
        <v>0</v>
      </c>
      <c r="AK4409">
        <v>76.16</v>
      </c>
      <c r="AN4409" t="s">
        <v>7439</v>
      </c>
      <c r="AO4409">
        <v>9246</v>
      </c>
      <c r="AU4409">
        <v>10.7</v>
      </c>
      <c r="AV4409" t="s">
        <v>677</v>
      </c>
      <c r="AW4409" t="s">
        <v>46856</v>
      </c>
    </row>
    <row r="4410" spans="1:50">
      <c r="A4410" s="1">
        <f>HYPERLINK("https://lsnyc.legalserver.org/matter/dynamic-profile/view/1885115","18-1885115")</f>
        <v>0</v>
      </c>
      <c r="B4410" t="s">
        <v>180</v>
      </c>
      <c r="C4410" t="s">
        <v>341</v>
      </c>
      <c r="D4410" t="s">
        <v>519</v>
      </c>
      <c r="E4410" t="s">
        <v>770</v>
      </c>
      <c r="F4410" t="s">
        <v>3025</v>
      </c>
      <c r="G4410" t="s">
        <v>7284</v>
      </c>
      <c r="H4410" t="s">
        <v>12987</v>
      </c>
      <c r="I4410" t="s">
        <v>17322</v>
      </c>
      <c r="J4410" t="s">
        <v>18894</v>
      </c>
      <c r="K4410">
        <v>11226</v>
      </c>
      <c r="L4410" t="s">
        <v>18958</v>
      </c>
      <c r="M4410" t="s">
        <v>18958</v>
      </c>
      <c r="N4410" t="s">
        <v>22240</v>
      </c>
      <c r="O4410" t="s">
        <v>26523</v>
      </c>
      <c r="P4410" t="s">
        <v>26560</v>
      </c>
      <c r="Q4410" t="s">
        <v>26568</v>
      </c>
      <c r="R4410" t="s">
        <v>26588</v>
      </c>
      <c r="U4410" t="s">
        <v>26604</v>
      </c>
      <c r="W4410" t="s">
        <v>713</v>
      </c>
      <c r="X4410">
        <v>1898.44</v>
      </c>
      <c r="Y4410" t="s">
        <v>26652</v>
      </c>
      <c r="Z4410" t="s">
        <v>26664</v>
      </c>
      <c r="AA4410" t="s">
        <v>26678</v>
      </c>
      <c r="AB4410" t="s">
        <v>30339</v>
      </c>
      <c r="AD4410" t="s">
        <v>40488</v>
      </c>
      <c r="AE4410">
        <v>24</v>
      </c>
      <c r="AG4410" t="s">
        <v>19330</v>
      </c>
      <c r="AH4410">
        <v>2</v>
      </c>
      <c r="AI4410">
        <v>3</v>
      </c>
      <c r="AJ4410">
        <v>2</v>
      </c>
      <c r="AK4410">
        <v>40.91</v>
      </c>
      <c r="AN4410" t="s">
        <v>7439</v>
      </c>
      <c r="AO4410">
        <v>12036.12</v>
      </c>
      <c r="AS4410" t="s">
        <v>46499</v>
      </c>
      <c r="AT4410" t="s">
        <v>46732</v>
      </c>
      <c r="AU4410">
        <v>26.4</v>
      </c>
      <c r="AV4410" t="s">
        <v>770</v>
      </c>
      <c r="AW4410" t="s">
        <v>46862</v>
      </c>
    </row>
    <row r="4411" spans="1:50">
      <c r="A4411" s="1">
        <f>HYPERLINK("https://lsnyc.legalserver.org/matter/dynamic-profile/view/1885184","18-1885184")</f>
        <v>0</v>
      </c>
      <c r="B4411" t="s">
        <v>158</v>
      </c>
      <c r="C4411" t="s">
        <v>340</v>
      </c>
      <c r="D4411" t="s">
        <v>683</v>
      </c>
      <c r="F4411" t="s">
        <v>3026</v>
      </c>
      <c r="G4411" t="s">
        <v>5242</v>
      </c>
      <c r="H4411" t="s">
        <v>12988</v>
      </c>
      <c r="I4411">
        <v>2</v>
      </c>
      <c r="J4411" t="s">
        <v>18894</v>
      </c>
      <c r="K4411">
        <v>11218</v>
      </c>
      <c r="L4411" t="s">
        <v>18958</v>
      </c>
      <c r="M4411" t="s">
        <v>18958</v>
      </c>
      <c r="N4411" t="s">
        <v>22241</v>
      </c>
      <c r="O4411" t="s">
        <v>26523</v>
      </c>
      <c r="P4411" t="s">
        <v>26560</v>
      </c>
      <c r="R4411" t="s">
        <v>26586</v>
      </c>
      <c r="U4411" t="s">
        <v>26604</v>
      </c>
      <c r="W4411" t="s">
        <v>713</v>
      </c>
      <c r="X4411">
        <v>2600</v>
      </c>
      <c r="Y4411" t="s">
        <v>26652</v>
      </c>
      <c r="Z4411" t="s">
        <v>26664</v>
      </c>
      <c r="AB4411" t="s">
        <v>27331</v>
      </c>
      <c r="AC4411" t="s">
        <v>35764</v>
      </c>
      <c r="AD4411" t="s">
        <v>40489</v>
      </c>
      <c r="AE4411">
        <v>2</v>
      </c>
      <c r="AF4411" t="s">
        <v>45547</v>
      </c>
      <c r="AG4411" t="s">
        <v>26530</v>
      </c>
      <c r="AH4411">
        <v>-1</v>
      </c>
      <c r="AI4411">
        <v>2</v>
      </c>
      <c r="AJ4411">
        <v>2</v>
      </c>
      <c r="AK4411">
        <v>132.57</v>
      </c>
      <c r="AN4411" t="s">
        <v>7439</v>
      </c>
      <c r="AO4411">
        <v>33276</v>
      </c>
      <c r="AU4411">
        <v>27.1</v>
      </c>
      <c r="AV4411" t="s">
        <v>46820</v>
      </c>
      <c r="AW4411" t="s">
        <v>281</v>
      </c>
      <c r="AX4411" t="s">
        <v>46897</v>
      </c>
    </row>
    <row r="4412" spans="1:50">
      <c r="A4412" s="1">
        <f>HYPERLINK("https://lsnyc.legalserver.org/matter/dynamic-profile/view/1885489","18-1885489")</f>
        <v>0</v>
      </c>
      <c r="B4412" t="s">
        <v>180</v>
      </c>
      <c r="C4412" t="s">
        <v>340</v>
      </c>
      <c r="D4412" t="s">
        <v>689</v>
      </c>
      <c r="F4412" t="s">
        <v>2673</v>
      </c>
      <c r="G4412" t="s">
        <v>6346</v>
      </c>
      <c r="H4412" t="s">
        <v>12379</v>
      </c>
      <c r="I4412" t="s">
        <v>17334</v>
      </c>
      <c r="J4412" t="s">
        <v>18894</v>
      </c>
      <c r="K4412">
        <v>11221</v>
      </c>
      <c r="L4412" t="s">
        <v>18958</v>
      </c>
      <c r="M4412" t="s">
        <v>18958</v>
      </c>
      <c r="N4412" t="s">
        <v>22242</v>
      </c>
      <c r="O4412" t="s">
        <v>26524</v>
      </c>
      <c r="P4412" t="s">
        <v>26560</v>
      </c>
      <c r="R4412" t="s">
        <v>26588</v>
      </c>
      <c r="U4412" t="s">
        <v>26604</v>
      </c>
      <c r="W4412" t="s">
        <v>713</v>
      </c>
      <c r="X4412">
        <v>150</v>
      </c>
      <c r="Y4412" t="s">
        <v>26652</v>
      </c>
      <c r="Z4412" t="s">
        <v>26659</v>
      </c>
      <c r="AB4412" t="s">
        <v>29654</v>
      </c>
      <c r="AD4412" t="s">
        <v>39741</v>
      </c>
      <c r="AE4412">
        <v>8</v>
      </c>
      <c r="AG4412" t="s">
        <v>45556</v>
      </c>
      <c r="AH4412">
        <v>16</v>
      </c>
      <c r="AI4412">
        <v>2</v>
      </c>
      <c r="AJ4412">
        <v>1</v>
      </c>
      <c r="AK4412">
        <v>9.24</v>
      </c>
      <c r="AN4412" t="s">
        <v>7439</v>
      </c>
      <c r="AO4412">
        <v>1920</v>
      </c>
      <c r="AU4412">
        <v>14.9</v>
      </c>
      <c r="AV4412" t="s">
        <v>832</v>
      </c>
      <c r="AW4412" t="s">
        <v>46862</v>
      </c>
    </row>
    <row r="4413" spans="1:50">
      <c r="A4413" s="1">
        <f>HYPERLINK("https://lsnyc.legalserver.org/matter/dynamic-profile/view/1885635","18-1885635")</f>
        <v>0</v>
      </c>
      <c r="B4413" t="s">
        <v>170</v>
      </c>
      <c r="C4413" t="s">
        <v>340</v>
      </c>
      <c r="D4413" t="s">
        <v>691</v>
      </c>
      <c r="F4413" t="s">
        <v>933</v>
      </c>
      <c r="G4413" t="s">
        <v>994</v>
      </c>
      <c r="H4413" t="s">
        <v>12989</v>
      </c>
      <c r="I4413" t="s">
        <v>17356</v>
      </c>
      <c r="J4413" t="s">
        <v>18894</v>
      </c>
      <c r="K4413">
        <v>11238</v>
      </c>
      <c r="L4413" t="s">
        <v>18958</v>
      </c>
      <c r="M4413" t="s">
        <v>18958</v>
      </c>
      <c r="N4413" t="s">
        <v>22243</v>
      </c>
      <c r="O4413" t="s">
        <v>26523</v>
      </c>
      <c r="P4413" t="s">
        <v>26560</v>
      </c>
      <c r="R4413" t="s">
        <v>26586</v>
      </c>
      <c r="S4413" t="s">
        <v>18959</v>
      </c>
      <c r="U4413" t="s">
        <v>26605</v>
      </c>
      <c r="V4413" t="s">
        <v>26609</v>
      </c>
      <c r="W4413" t="s">
        <v>713</v>
      </c>
      <c r="X4413">
        <v>1048</v>
      </c>
      <c r="Y4413" t="s">
        <v>26652</v>
      </c>
      <c r="AB4413" t="s">
        <v>30340</v>
      </c>
      <c r="AD4413" t="s">
        <v>40490</v>
      </c>
      <c r="AE4413">
        <v>0</v>
      </c>
      <c r="AF4413" t="s">
        <v>45549</v>
      </c>
      <c r="AH4413">
        <v>3</v>
      </c>
      <c r="AI4413">
        <v>1</v>
      </c>
      <c r="AJ4413">
        <v>2</v>
      </c>
      <c r="AK4413">
        <v>127.05</v>
      </c>
      <c r="AN4413" t="s">
        <v>7439</v>
      </c>
      <c r="AO4413">
        <v>26400</v>
      </c>
      <c r="AU4413">
        <v>6.9</v>
      </c>
      <c r="AV4413" t="s">
        <v>786</v>
      </c>
      <c r="AW4413" t="s">
        <v>279</v>
      </c>
    </row>
    <row r="4414" spans="1:50">
      <c r="A4414" s="1">
        <f>HYPERLINK("https://lsnyc.legalserver.org/matter/dynamic-profile/view/1885769","18-1885769")</f>
        <v>0</v>
      </c>
      <c r="B4414" t="s">
        <v>162</v>
      </c>
      <c r="C4414" t="s">
        <v>341</v>
      </c>
      <c r="D4414" t="s">
        <v>697</v>
      </c>
      <c r="E4414" t="s">
        <v>765</v>
      </c>
      <c r="F4414" t="s">
        <v>1244</v>
      </c>
      <c r="G4414" t="s">
        <v>3879</v>
      </c>
      <c r="H4414" t="s">
        <v>12990</v>
      </c>
      <c r="I4414" t="s">
        <v>17309</v>
      </c>
      <c r="J4414" t="s">
        <v>18894</v>
      </c>
      <c r="K4414">
        <v>11226</v>
      </c>
      <c r="L4414" t="s">
        <v>18958</v>
      </c>
      <c r="M4414" t="s">
        <v>18958</v>
      </c>
      <c r="N4414" t="s">
        <v>22244</v>
      </c>
      <c r="O4414" t="s">
        <v>26523</v>
      </c>
      <c r="P4414" t="s">
        <v>26560</v>
      </c>
      <c r="Q4414" t="s">
        <v>26573</v>
      </c>
      <c r="R4414" t="s">
        <v>26588</v>
      </c>
      <c r="U4414" t="s">
        <v>26604</v>
      </c>
      <c r="W4414" t="s">
        <v>713</v>
      </c>
      <c r="X4414">
        <v>800</v>
      </c>
      <c r="Y4414" t="s">
        <v>26652</v>
      </c>
      <c r="Z4414" t="s">
        <v>26664</v>
      </c>
      <c r="AA4414" t="s">
        <v>26678</v>
      </c>
      <c r="AB4414" t="s">
        <v>28396</v>
      </c>
      <c r="AD4414" t="s">
        <v>40491</v>
      </c>
      <c r="AE4414">
        <v>2</v>
      </c>
      <c r="AG4414" t="s">
        <v>26530</v>
      </c>
      <c r="AH4414">
        <v>23</v>
      </c>
      <c r="AI4414">
        <v>1</v>
      </c>
      <c r="AJ4414">
        <v>0</v>
      </c>
      <c r="AK4414">
        <v>75.12</v>
      </c>
      <c r="AN4414" t="s">
        <v>7439</v>
      </c>
      <c r="AO4414">
        <v>9120</v>
      </c>
      <c r="AS4414" t="s">
        <v>46499</v>
      </c>
      <c r="AT4414" t="s">
        <v>46709</v>
      </c>
      <c r="AU4414">
        <v>42.8</v>
      </c>
      <c r="AV4414" t="s">
        <v>780</v>
      </c>
      <c r="AW4414" t="s">
        <v>46862</v>
      </c>
    </row>
    <row r="4415" spans="1:50">
      <c r="A4415" s="1">
        <f>HYPERLINK("https://lsnyc.legalserver.org/matter/dynamic-profile/view/1885758","18-1885758")</f>
        <v>0</v>
      </c>
      <c r="B4415" t="s">
        <v>162</v>
      </c>
      <c r="C4415" t="s">
        <v>341</v>
      </c>
      <c r="D4415" t="s">
        <v>697</v>
      </c>
      <c r="E4415" t="s">
        <v>820</v>
      </c>
      <c r="F4415" t="s">
        <v>3027</v>
      </c>
      <c r="G4415" t="s">
        <v>7285</v>
      </c>
      <c r="H4415" t="s">
        <v>12991</v>
      </c>
      <c r="I4415" t="s">
        <v>18017</v>
      </c>
      <c r="J4415" t="s">
        <v>18894</v>
      </c>
      <c r="K4415">
        <v>11226</v>
      </c>
      <c r="L4415" t="s">
        <v>18958</v>
      </c>
      <c r="M4415" t="s">
        <v>18958</v>
      </c>
      <c r="N4415" t="s">
        <v>22245</v>
      </c>
      <c r="O4415" t="s">
        <v>26523</v>
      </c>
      <c r="P4415" t="s">
        <v>26560</v>
      </c>
      <c r="Q4415" t="s">
        <v>26573</v>
      </c>
      <c r="R4415" t="s">
        <v>26588</v>
      </c>
      <c r="U4415" t="s">
        <v>26604</v>
      </c>
      <c r="W4415" t="s">
        <v>713</v>
      </c>
      <c r="X4415">
        <v>1380</v>
      </c>
      <c r="Y4415" t="s">
        <v>26652</v>
      </c>
      <c r="Z4415" t="s">
        <v>26664</v>
      </c>
      <c r="AA4415" t="s">
        <v>26678</v>
      </c>
      <c r="AB4415" t="s">
        <v>30341</v>
      </c>
      <c r="AE4415">
        <v>161</v>
      </c>
      <c r="AG4415" t="s">
        <v>19330</v>
      </c>
      <c r="AH4415">
        <v>8</v>
      </c>
      <c r="AI4415">
        <v>1</v>
      </c>
      <c r="AJ4415">
        <v>2</v>
      </c>
      <c r="AK4415">
        <v>142.14</v>
      </c>
      <c r="AN4415" t="s">
        <v>7439</v>
      </c>
      <c r="AO4415">
        <v>29535.82</v>
      </c>
      <c r="AS4415" t="s">
        <v>46499</v>
      </c>
      <c r="AT4415" t="s">
        <v>46710</v>
      </c>
      <c r="AU4415">
        <v>12.5</v>
      </c>
      <c r="AV4415" t="s">
        <v>768</v>
      </c>
      <c r="AW4415" t="s">
        <v>46862</v>
      </c>
    </row>
    <row r="4416" spans="1:50">
      <c r="A4416" s="1">
        <f>HYPERLINK("https://lsnyc.legalserver.org/matter/dynamic-profile/view/1885722","18-1885722")</f>
        <v>0</v>
      </c>
      <c r="B4416" t="s">
        <v>129</v>
      </c>
      <c r="C4416" t="s">
        <v>341</v>
      </c>
      <c r="D4416" t="s">
        <v>697</v>
      </c>
      <c r="E4416" t="s">
        <v>830</v>
      </c>
      <c r="F4416" t="s">
        <v>3028</v>
      </c>
      <c r="G4416" t="s">
        <v>5935</v>
      </c>
      <c r="H4416" t="s">
        <v>12992</v>
      </c>
      <c r="I4416">
        <v>1</v>
      </c>
      <c r="J4416" t="s">
        <v>18894</v>
      </c>
      <c r="K4416">
        <v>11221</v>
      </c>
      <c r="L4416" t="s">
        <v>18958</v>
      </c>
      <c r="M4416" t="s">
        <v>18958</v>
      </c>
      <c r="N4416" t="s">
        <v>22246</v>
      </c>
      <c r="O4416" t="s">
        <v>26524</v>
      </c>
      <c r="P4416" t="s">
        <v>26560</v>
      </c>
      <c r="Q4416" t="s">
        <v>26568</v>
      </c>
      <c r="R4416" t="s">
        <v>26588</v>
      </c>
      <c r="U4416" t="s">
        <v>26604</v>
      </c>
      <c r="W4416" t="s">
        <v>713</v>
      </c>
      <c r="X4416">
        <v>0</v>
      </c>
      <c r="Y4416" t="s">
        <v>26652</v>
      </c>
      <c r="Z4416" t="s">
        <v>26669</v>
      </c>
      <c r="AA4416" t="s">
        <v>26678</v>
      </c>
      <c r="AB4416" t="s">
        <v>30342</v>
      </c>
      <c r="AD4416" t="s">
        <v>40492</v>
      </c>
      <c r="AE4416">
        <v>0</v>
      </c>
      <c r="AG4416" t="s">
        <v>19330</v>
      </c>
      <c r="AH4416">
        <v>2</v>
      </c>
      <c r="AI4416">
        <v>1</v>
      </c>
      <c r="AJ4416">
        <v>0</v>
      </c>
      <c r="AK4416">
        <v>0</v>
      </c>
      <c r="AN4416" t="s">
        <v>7439</v>
      </c>
      <c r="AO4416">
        <v>0</v>
      </c>
      <c r="AS4416" t="s">
        <v>46499</v>
      </c>
      <c r="AU4416">
        <v>6</v>
      </c>
      <c r="AV4416" t="s">
        <v>830</v>
      </c>
      <c r="AW4416" t="s">
        <v>281</v>
      </c>
    </row>
    <row r="4417" spans="1:50">
      <c r="A4417" s="1">
        <f>HYPERLINK("https://lsnyc.legalserver.org/matter/dynamic-profile/view/1885682","18-1885682")</f>
        <v>0</v>
      </c>
      <c r="B4417" t="s">
        <v>129</v>
      </c>
      <c r="C4417" t="s">
        <v>340</v>
      </c>
      <c r="D4417" t="s">
        <v>697</v>
      </c>
      <c r="F4417" t="s">
        <v>3029</v>
      </c>
      <c r="G4417" t="s">
        <v>1384</v>
      </c>
      <c r="H4417" t="s">
        <v>12993</v>
      </c>
      <c r="I4417" t="s">
        <v>17333</v>
      </c>
      <c r="J4417" t="s">
        <v>18894</v>
      </c>
      <c r="K4417">
        <v>11221</v>
      </c>
      <c r="L4417" t="s">
        <v>18958</v>
      </c>
      <c r="M4417" t="s">
        <v>18958</v>
      </c>
      <c r="N4417" t="s">
        <v>22247</v>
      </c>
      <c r="O4417" t="s">
        <v>26523</v>
      </c>
      <c r="P4417" t="s">
        <v>26560</v>
      </c>
      <c r="R4417" t="s">
        <v>26588</v>
      </c>
      <c r="S4417" t="s">
        <v>18959</v>
      </c>
      <c r="U4417" t="s">
        <v>26604</v>
      </c>
      <c r="W4417" t="s">
        <v>713</v>
      </c>
      <c r="X4417">
        <v>891.8</v>
      </c>
      <c r="Y4417" t="s">
        <v>26652</v>
      </c>
      <c r="Z4417" t="s">
        <v>26669</v>
      </c>
      <c r="AB4417" t="s">
        <v>30343</v>
      </c>
      <c r="AD4417" t="s">
        <v>40493</v>
      </c>
      <c r="AE4417">
        <v>8</v>
      </c>
      <c r="AH4417">
        <v>9</v>
      </c>
      <c r="AI4417">
        <v>1</v>
      </c>
      <c r="AJ4417">
        <v>1</v>
      </c>
      <c r="AK4417">
        <v>69.26000000000001</v>
      </c>
      <c r="AN4417" t="s">
        <v>7439</v>
      </c>
      <c r="AO4417">
        <v>11400</v>
      </c>
      <c r="AU4417">
        <v>11</v>
      </c>
      <c r="AV4417" t="s">
        <v>46821</v>
      </c>
      <c r="AW4417" t="s">
        <v>281</v>
      </c>
    </row>
    <row r="4418" spans="1:50">
      <c r="A4418" s="1">
        <f>HYPERLINK("https://lsnyc.legalserver.org/matter/dynamic-profile/view/1885675","18-1885675")</f>
        <v>0</v>
      </c>
      <c r="B4418" t="s">
        <v>129</v>
      </c>
      <c r="C4418" t="s">
        <v>340</v>
      </c>
      <c r="D4418" t="s">
        <v>697</v>
      </c>
      <c r="F4418" t="s">
        <v>3030</v>
      </c>
      <c r="G4418" t="s">
        <v>1128</v>
      </c>
      <c r="H4418" t="s">
        <v>9720</v>
      </c>
      <c r="I4418" t="s">
        <v>18097</v>
      </c>
      <c r="J4418" t="s">
        <v>18894</v>
      </c>
      <c r="K4418">
        <v>11225</v>
      </c>
      <c r="L4418" t="s">
        <v>18958</v>
      </c>
      <c r="M4418" t="s">
        <v>18958</v>
      </c>
      <c r="N4418" t="s">
        <v>22248</v>
      </c>
      <c r="O4418" t="s">
        <v>26523</v>
      </c>
      <c r="P4418" t="s">
        <v>26560</v>
      </c>
      <c r="R4418" t="s">
        <v>26588</v>
      </c>
      <c r="S4418" t="s">
        <v>18959</v>
      </c>
      <c r="U4418" t="s">
        <v>26604</v>
      </c>
      <c r="W4418" t="s">
        <v>713</v>
      </c>
      <c r="X4418">
        <v>1109</v>
      </c>
      <c r="Y4418" t="s">
        <v>26652</v>
      </c>
      <c r="Z4418" t="s">
        <v>26669</v>
      </c>
      <c r="AB4418" t="s">
        <v>28937</v>
      </c>
      <c r="AD4418" t="s">
        <v>40494</v>
      </c>
      <c r="AE4418">
        <v>2</v>
      </c>
      <c r="AH4418">
        <v>3</v>
      </c>
      <c r="AI4418">
        <v>2</v>
      </c>
      <c r="AJ4418">
        <v>1</v>
      </c>
      <c r="AK4418">
        <v>192.49</v>
      </c>
      <c r="AN4418" t="s">
        <v>7439</v>
      </c>
      <c r="AO4418">
        <v>40000</v>
      </c>
      <c r="AU4418">
        <v>5.75</v>
      </c>
      <c r="AV4418" t="s">
        <v>684</v>
      </c>
      <c r="AW4418" t="s">
        <v>281</v>
      </c>
    </row>
    <row r="4419" spans="1:50">
      <c r="A4419" s="1">
        <f>HYPERLINK("https://lsnyc.legalserver.org/matter/dynamic-profile/view/1885740","18-1885740")</f>
        <v>0</v>
      </c>
      <c r="B4419" t="s">
        <v>129</v>
      </c>
      <c r="C4419" t="s">
        <v>340</v>
      </c>
      <c r="D4419" t="s">
        <v>697</v>
      </c>
      <c r="F4419" t="s">
        <v>3031</v>
      </c>
      <c r="G4419" t="s">
        <v>3283</v>
      </c>
      <c r="H4419" t="s">
        <v>12994</v>
      </c>
      <c r="I4419" t="s">
        <v>17424</v>
      </c>
      <c r="J4419" t="s">
        <v>18894</v>
      </c>
      <c r="K4419">
        <v>11225</v>
      </c>
      <c r="L4419" t="s">
        <v>18958</v>
      </c>
      <c r="M4419" t="s">
        <v>18958</v>
      </c>
      <c r="N4419" t="s">
        <v>22249</v>
      </c>
      <c r="O4419" t="s">
        <v>26523</v>
      </c>
      <c r="P4419" t="s">
        <v>26560</v>
      </c>
      <c r="R4419" t="s">
        <v>26588</v>
      </c>
      <c r="U4419" t="s">
        <v>26604</v>
      </c>
      <c r="W4419" t="s">
        <v>713</v>
      </c>
      <c r="X4419">
        <v>642</v>
      </c>
      <c r="Y4419" t="s">
        <v>26652</v>
      </c>
      <c r="Z4419" t="s">
        <v>26669</v>
      </c>
      <c r="AB4419" t="s">
        <v>30344</v>
      </c>
      <c r="AE4419">
        <v>2</v>
      </c>
      <c r="AH4419">
        <v>18</v>
      </c>
      <c r="AI4419">
        <v>1</v>
      </c>
      <c r="AJ4419">
        <v>1</v>
      </c>
      <c r="AK4419">
        <v>236.94</v>
      </c>
      <c r="AL4419" t="s">
        <v>794</v>
      </c>
      <c r="AM4419" t="s">
        <v>45575</v>
      </c>
      <c r="AN4419" t="s">
        <v>7439</v>
      </c>
      <c r="AO4419">
        <v>39000</v>
      </c>
      <c r="AU4419">
        <v>1.75</v>
      </c>
      <c r="AV4419" t="s">
        <v>739</v>
      </c>
      <c r="AW4419" t="s">
        <v>281</v>
      </c>
    </row>
    <row r="4420" spans="1:50">
      <c r="A4420" s="1">
        <f>HYPERLINK("https://lsnyc.legalserver.org/matter/dynamic-profile/view/1885801","18-1885801")</f>
        <v>0</v>
      </c>
      <c r="B4420" t="s">
        <v>99</v>
      </c>
      <c r="C4420" t="s">
        <v>341</v>
      </c>
      <c r="D4420" t="s">
        <v>688</v>
      </c>
      <c r="E4420" t="s">
        <v>771</v>
      </c>
      <c r="F4420" t="s">
        <v>3032</v>
      </c>
      <c r="G4420" t="s">
        <v>5402</v>
      </c>
      <c r="H4420" t="s">
        <v>12995</v>
      </c>
      <c r="I4420" t="s">
        <v>17349</v>
      </c>
      <c r="J4420" t="s">
        <v>18894</v>
      </c>
      <c r="K4420">
        <v>11226</v>
      </c>
      <c r="L4420" t="s">
        <v>18958</v>
      </c>
      <c r="M4420" t="s">
        <v>18958</v>
      </c>
      <c r="N4420" t="s">
        <v>22250</v>
      </c>
      <c r="O4420" t="s">
        <v>26523</v>
      </c>
      <c r="P4420" t="s">
        <v>26560</v>
      </c>
      <c r="Q4420" t="s">
        <v>26568</v>
      </c>
      <c r="R4420" t="s">
        <v>26588</v>
      </c>
      <c r="S4420" t="s">
        <v>18959</v>
      </c>
      <c r="U4420" t="s">
        <v>26604</v>
      </c>
      <c r="V4420" t="s">
        <v>26611</v>
      </c>
      <c r="W4420" t="s">
        <v>713</v>
      </c>
      <c r="X4420">
        <v>1140</v>
      </c>
      <c r="Y4420" t="s">
        <v>26652</v>
      </c>
      <c r="Z4420" t="s">
        <v>26664</v>
      </c>
      <c r="AA4420" t="s">
        <v>26678</v>
      </c>
      <c r="AB4420" t="s">
        <v>28244</v>
      </c>
      <c r="AC4420" t="s">
        <v>19330</v>
      </c>
      <c r="AD4420" t="s">
        <v>40495</v>
      </c>
      <c r="AE4420">
        <v>31</v>
      </c>
      <c r="AF4420" t="s">
        <v>45541</v>
      </c>
      <c r="AG4420" t="s">
        <v>19330</v>
      </c>
      <c r="AH4420">
        <v>10</v>
      </c>
      <c r="AI4420">
        <v>1</v>
      </c>
      <c r="AJ4420">
        <v>1</v>
      </c>
      <c r="AK4420">
        <v>60.75</v>
      </c>
      <c r="AN4420" t="s">
        <v>7439</v>
      </c>
      <c r="AO4420">
        <v>10000</v>
      </c>
      <c r="AQ4420" t="s">
        <v>46359</v>
      </c>
      <c r="AR4420" t="s">
        <v>46381</v>
      </c>
      <c r="AS4420" t="s">
        <v>46499</v>
      </c>
      <c r="AT4420" t="s">
        <v>46749</v>
      </c>
      <c r="AU4420">
        <v>20.8</v>
      </c>
      <c r="AV4420" t="s">
        <v>771</v>
      </c>
      <c r="AW4420" t="s">
        <v>46862</v>
      </c>
    </row>
    <row r="4421" spans="1:50">
      <c r="A4421" s="1">
        <f>HYPERLINK("https://lsnyc.legalserver.org/matter/dynamic-profile/view/1885898","18-1885898")</f>
        <v>0</v>
      </c>
      <c r="B4421" t="s">
        <v>170</v>
      </c>
      <c r="C4421" t="s">
        <v>341</v>
      </c>
      <c r="D4421" t="s">
        <v>688</v>
      </c>
      <c r="E4421" t="s">
        <v>839</v>
      </c>
      <c r="F4421" t="s">
        <v>886</v>
      </c>
      <c r="G4421" t="s">
        <v>7286</v>
      </c>
      <c r="H4421" t="s">
        <v>12996</v>
      </c>
      <c r="I4421" t="s">
        <v>18110</v>
      </c>
      <c r="J4421" t="s">
        <v>18894</v>
      </c>
      <c r="K4421">
        <v>11213</v>
      </c>
      <c r="L4421" t="s">
        <v>18958</v>
      </c>
      <c r="M4421" t="s">
        <v>18958</v>
      </c>
      <c r="N4421" t="s">
        <v>22251</v>
      </c>
      <c r="O4421" t="s">
        <v>26523</v>
      </c>
      <c r="P4421" t="s">
        <v>26560</v>
      </c>
      <c r="Q4421" t="s">
        <v>26568</v>
      </c>
      <c r="R4421" t="s">
        <v>26586</v>
      </c>
      <c r="U4421" t="s">
        <v>26604</v>
      </c>
      <c r="W4421" t="s">
        <v>713</v>
      </c>
      <c r="X4421">
        <v>1177.17</v>
      </c>
      <c r="Y4421" t="s">
        <v>26652</v>
      </c>
      <c r="Z4421" t="s">
        <v>26664</v>
      </c>
      <c r="AA4421" t="s">
        <v>26678</v>
      </c>
      <c r="AB4421" t="s">
        <v>30345</v>
      </c>
      <c r="AD4421" t="s">
        <v>40496</v>
      </c>
      <c r="AE4421">
        <v>0</v>
      </c>
      <c r="AH4421">
        <v>7</v>
      </c>
      <c r="AI4421">
        <v>2</v>
      </c>
      <c r="AJ4421">
        <v>3</v>
      </c>
      <c r="AK4421">
        <v>99.69</v>
      </c>
      <c r="AN4421" t="s">
        <v>7439</v>
      </c>
      <c r="AO4421">
        <v>29327.48</v>
      </c>
      <c r="AS4421" t="s">
        <v>46499</v>
      </c>
      <c r="AU4421">
        <v>12.2</v>
      </c>
      <c r="AV4421" t="s">
        <v>786</v>
      </c>
      <c r="AW4421" t="s">
        <v>46853</v>
      </c>
    </row>
    <row r="4422" spans="1:50">
      <c r="A4422" s="1">
        <f>HYPERLINK("https://lsnyc.legalserver.org/matter/dynamic-profile/view/1885798","18-1885798")</f>
        <v>0</v>
      </c>
      <c r="B4422" t="s">
        <v>167</v>
      </c>
      <c r="C4422" t="s">
        <v>340</v>
      </c>
      <c r="D4422" t="s">
        <v>688</v>
      </c>
      <c r="F4422" t="s">
        <v>1790</v>
      </c>
      <c r="G4422" t="s">
        <v>5307</v>
      </c>
      <c r="H4422" t="s">
        <v>12997</v>
      </c>
      <c r="I4422" t="s">
        <v>17730</v>
      </c>
      <c r="J4422" t="s">
        <v>18894</v>
      </c>
      <c r="K4422">
        <v>11225</v>
      </c>
      <c r="L4422" t="s">
        <v>18958</v>
      </c>
      <c r="M4422" t="s">
        <v>18958</v>
      </c>
      <c r="N4422" t="s">
        <v>22252</v>
      </c>
      <c r="O4422" t="s">
        <v>26523</v>
      </c>
      <c r="P4422" t="s">
        <v>26560</v>
      </c>
      <c r="R4422" t="s">
        <v>26588</v>
      </c>
      <c r="S4422" t="s">
        <v>18959</v>
      </c>
      <c r="U4422" t="s">
        <v>26604</v>
      </c>
      <c r="W4422" t="s">
        <v>713</v>
      </c>
      <c r="X4422">
        <v>900</v>
      </c>
      <c r="Y4422" t="s">
        <v>26652</v>
      </c>
      <c r="Z4422" t="s">
        <v>26669</v>
      </c>
      <c r="AB4422" t="s">
        <v>30346</v>
      </c>
      <c r="AD4422" t="s">
        <v>40497</v>
      </c>
      <c r="AE4422">
        <v>0</v>
      </c>
      <c r="AH4422">
        <v>17</v>
      </c>
      <c r="AI4422">
        <v>1</v>
      </c>
      <c r="AJ4422">
        <v>0</v>
      </c>
      <c r="AK4422">
        <v>88.95999999999999</v>
      </c>
      <c r="AN4422" t="s">
        <v>7439</v>
      </c>
      <c r="AO4422">
        <v>10800</v>
      </c>
      <c r="AU4422">
        <v>48.6</v>
      </c>
      <c r="AV4422" t="s">
        <v>834</v>
      </c>
      <c r="AW4422" t="s">
        <v>281</v>
      </c>
    </row>
    <row r="4423" spans="1:50">
      <c r="A4423" s="1">
        <f>HYPERLINK("https://lsnyc.legalserver.org/matter/dynamic-profile/view/1885864","18-1885864")</f>
        <v>0</v>
      </c>
      <c r="B4423" t="s">
        <v>123</v>
      </c>
      <c r="C4423" t="s">
        <v>340</v>
      </c>
      <c r="D4423" t="s">
        <v>688</v>
      </c>
      <c r="F4423" t="s">
        <v>3033</v>
      </c>
      <c r="G4423" t="s">
        <v>2360</v>
      </c>
      <c r="H4423" t="s">
        <v>12998</v>
      </c>
      <c r="I4423" t="s">
        <v>17600</v>
      </c>
      <c r="J4423" t="s">
        <v>18894</v>
      </c>
      <c r="K4423">
        <v>11226</v>
      </c>
      <c r="L4423" t="s">
        <v>18958</v>
      </c>
      <c r="M4423" t="s">
        <v>18960</v>
      </c>
      <c r="N4423" t="s">
        <v>22253</v>
      </c>
      <c r="O4423" t="s">
        <v>26523</v>
      </c>
      <c r="P4423" t="s">
        <v>26560</v>
      </c>
      <c r="R4423" t="s">
        <v>26588</v>
      </c>
      <c r="S4423" t="s">
        <v>18959</v>
      </c>
      <c r="U4423" t="s">
        <v>26604</v>
      </c>
      <c r="V4423" t="s">
        <v>26610</v>
      </c>
      <c r="W4423" t="s">
        <v>713</v>
      </c>
      <c r="X4423">
        <v>888.2</v>
      </c>
      <c r="Y4423" t="s">
        <v>26652</v>
      </c>
      <c r="Z4423" t="s">
        <v>26664</v>
      </c>
      <c r="AB4423" t="s">
        <v>30347</v>
      </c>
      <c r="AC4423" t="s">
        <v>35765</v>
      </c>
      <c r="AD4423" t="s">
        <v>40498</v>
      </c>
      <c r="AE4423">
        <v>85</v>
      </c>
      <c r="AF4423" t="s">
        <v>45541</v>
      </c>
      <c r="AG4423" t="s">
        <v>45557</v>
      </c>
      <c r="AH4423">
        <v>40</v>
      </c>
      <c r="AI4423">
        <v>3</v>
      </c>
      <c r="AJ4423">
        <v>2</v>
      </c>
      <c r="AK4423">
        <v>32.26</v>
      </c>
      <c r="AN4423" t="s">
        <v>7439</v>
      </c>
      <c r="AO4423">
        <v>9492</v>
      </c>
      <c r="AU4423">
        <v>14.7</v>
      </c>
      <c r="AV4423" t="s">
        <v>821</v>
      </c>
      <c r="AW4423" t="s">
        <v>46862</v>
      </c>
      <c r="AX4423" t="s">
        <v>46897</v>
      </c>
    </row>
    <row r="4424" spans="1:50">
      <c r="A4424" s="1">
        <f>HYPERLINK("https://lsnyc.legalserver.org/matter/dynamic-profile/view/1886003","18-1886003")</f>
        <v>0</v>
      </c>
      <c r="B4424" t="s">
        <v>180</v>
      </c>
      <c r="C4424" t="s">
        <v>341</v>
      </c>
      <c r="D4424" t="s">
        <v>670</v>
      </c>
      <c r="E4424" t="s">
        <v>810</v>
      </c>
      <c r="F4424" t="s">
        <v>874</v>
      </c>
      <c r="G4424" t="s">
        <v>5672</v>
      </c>
      <c r="H4424" t="s">
        <v>12393</v>
      </c>
      <c r="I4424" t="s">
        <v>17277</v>
      </c>
      <c r="J4424" t="s">
        <v>18894</v>
      </c>
      <c r="K4424">
        <v>11221</v>
      </c>
      <c r="L4424" t="s">
        <v>18958</v>
      </c>
      <c r="M4424" t="s">
        <v>18958</v>
      </c>
      <c r="N4424" t="s">
        <v>22254</v>
      </c>
      <c r="O4424" t="s">
        <v>26523</v>
      </c>
      <c r="P4424" t="s">
        <v>26560</v>
      </c>
      <c r="Q4424" t="s">
        <v>26568</v>
      </c>
      <c r="R4424" t="s">
        <v>26588</v>
      </c>
      <c r="U4424" t="s">
        <v>26604</v>
      </c>
      <c r="W4424" t="s">
        <v>713</v>
      </c>
      <c r="X4424">
        <v>1413</v>
      </c>
      <c r="Y4424" t="s">
        <v>26652</v>
      </c>
      <c r="Z4424" t="s">
        <v>26669</v>
      </c>
      <c r="AA4424" t="s">
        <v>26678</v>
      </c>
      <c r="AB4424" t="s">
        <v>30348</v>
      </c>
      <c r="AD4424" t="s">
        <v>40499</v>
      </c>
      <c r="AE4424">
        <v>35</v>
      </c>
      <c r="AG4424" t="s">
        <v>19330</v>
      </c>
      <c r="AH4424">
        <v>3</v>
      </c>
      <c r="AI4424">
        <v>2</v>
      </c>
      <c r="AJ4424">
        <v>2</v>
      </c>
      <c r="AK4424">
        <v>92.19</v>
      </c>
      <c r="AN4424" t="s">
        <v>7439</v>
      </c>
      <c r="AO4424">
        <v>23140</v>
      </c>
      <c r="AS4424" t="s">
        <v>46499</v>
      </c>
      <c r="AT4424" t="s">
        <v>46668</v>
      </c>
      <c r="AU4424">
        <v>10.5</v>
      </c>
      <c r="AV4424" t="s">
        <v>810</v>
      </c>
      <c r="AW4424" t="s">
        <v>46862</v>
      </c>
    </row>
    <row r="4425" spans="1:50">
      <c r="A4425" s="1">
        <f>HYPERLINK("https://lsnyc.legalserver.org/matter/dynamic-profile/view/1885990","18-1885990")</f>
        <v>0</v>
      </c>
      <c r="B4425" t="s">
        <v>212</v>
      </c>
      <c r="C4425" t="s">
        <v>340</v>
      </c>
      <c r="D4425" t="s">
        <v>670</v>
      </c>
      <c r="F4425" t="s">
        <v>1256</v>
      </c>
      <c r="G4425" t="s">
        <v>5125</v>
      </c>
      <c r="H4425" t="s">
        <v>12999</v>
      </c>
      <c r="I4425">
        <v>1</v>
      </c>
      <c r="J4425" t="s">
        <v>18898</v>
      </c>
      <c r="K4425">
        <v>11691</v>
      </c>
      <c r="L4425" t="s">
        <v>18958</v>
      </c>
      <c r="M4425" t="s">
        <v>18958</v>
      </c>
      <c r="N4425" t="s">
        <v>22255</v>
      </c>
      <c r="O4425" t="s">
        <v>26523</v>
      </c>
      <c r="P4425" t="s">
        <v>26560</v>
      </c>
      <c r="R4425" t="s">
        <v>26578</v>
      </c>
      <c r="S4425" t="s">
        <v>18959</v>
      </c>
      <c r="U4425" t="s">
        <v>26604</v>
      </c>
      <c r="V4425" t="s">
        <v>26610</v>
      </c>
      <c r="W4425" t="s">
        <v>713</v>
      </c>
      <c r="X4425">
        <v>1100</v>
      </c>
      <c r="Y4425" t="s">
        <v>26653</v>
      </c>
      <c r="Z4425" t="s">
        <v>26664</v>
      </c>
      <c r="AB4425" t="s">
        <v>30349</v>
      </c>
      <c r="AC4425" t="s">
        <v>35766</v>
      </c>
      <c r="AD4425" t="s">
        <v>40500</v>
      </c>
      <c r="AE4425">
        <v>3</v>
      </c>
      <c r="AF4425" t="s">
        <v>45541</v>
      </c>
      <c r="AG4425" t="s">
        <v>19330</v>
      </c>
      <c r="AH4425">
        <v>1</v>
      </c>
      <c r="AI4425">
        <v>1</v>
      </c>
      <c r="AJ4425">
        <v>2</v>
      </c>
      <c r="AK4425">
        <v>140.13</v>
      </c>
      <c r="AN4425" t="s">
        <v>7439</v>
      </c>
      <c r="AO4425">
        <v>29120</v>
      </c>
      <c r="AQ4425" t="s">
        <v>46361</v>
      </c>
      <c r="AR4425" t="s">
        <v>46418</v>
      </c>
      <c r="AU4425">
        <v>8.970000000000001</v>
      </c>
      <c r="AV4425" t="s">
        <v>816</v>
      </c>
      <c r="AW4425" t="s">
        <v>208</v>
      </c>
    </row>
    <row r="4426" spans="1:50">
      <c r="A4426" s="1">
        <f>HYPERLINK("https://lsnyc.legalserver.org/matter/dynamic-profile/view/1885999","18-1885999")</f>
        <v>0</v>
      </c>
      <c r="B4426" t="s">
        <v>123</v>
      </c>
      <c r="C4426" t="s">
        <v>340</v>
      </c>
      <c r="D4426" t="s">
        <v>670</v>
      </c>
      <c r="F4426" t="s">
        <v>1973</v>
      </c>
      <c r="G4426" t="s">
        <v>5078</v>
      </c>
      <c r="H4426" t="s">
        <v>13000</v>
      </c>
      <c r="J4426" t="s">
        <v>18894</v>
      </c>
      <c r="K4426">
        <v>11220</v>
      </c>
      <c r="L4426" t="s">
        <v>18958</v>
      </c>
      <c r="M4426" t="s">
        <v>18960</v>
      </c>
      <c r="N4426" t="s">
        <v>22256</v>
      </c>
      <c r="O4426" t="s">
        <v>26524</v>
      </c>
      <c r="P4426" t="s">
        <v>26560</v>
      </c>
      <c r="R4426" t="s">
        <v>26586</v>
      </c>
      <c r="S4426" t="s">
        <v>18959</v>
      </c>
      <c r="U4426" t="s">
        <v>26604</v>
      </c>
      <c r="V4426" t="s">
        <v>26610</v>
      </c>
      <c r="W4426" t="s">
        <v>713</v>
      </c>
      <c r="X4426">
        <v>750</v>
      </c>
      <c r="Y4426" t="s">
        <v>26652</v>
      </c>
      <c r="AB4426" t="s">
        <v>30350</v>
      </c>
      <c r="AD4426" t="s">
        <v>40501</v>
      </c>
      <c r="AE4426">
        <v>2</v>
      </c>
      <c r="AF4426" t="s">
        <v>45547</v>
      </c>
      <c r="AG4426" t="s">
        <v>19330</v>
      </c>
      <c r="AH4426">
        <v>1</v>
      </c>
      <c r="AI4426">
        <v>1</v>
      </c>
      <c r="AJ4426">
        <v>3</v>
      </c>
      <c r="AK4426">
        <v>72.51000000000001</v>
      </c>
      <c r="AN4426" t="s">
        <v>45581</v>
      </c>
      <c r="AO4426">
        <v>18200</v>
      </c>
      <c r="AQ4426" t="s">
        <v>46359</v>
      </c>
      <c r="AR4426" t="s">
        <v>46384</v>
      </c>
      <c r="AS4426" t="s">
        <v>46500</v>
      </c>
      <c r="AT4426" t="s">
        <v>46686</v>
      </c>
      <c r="AU4426">
        <v>6.85</v>
      </c>
      <c r="AV4426" t="s">
        <v>794</v>
      </c>
      <c r="AW4426" t="s">
        <v>46862</v>
      </c>
    </row>
    <row r="4427" spans="1:50">
      <c r="A4427" s="1">
        <f>HYPERLINK("https://lsnyc.legalserver.org/matter/dynamic-profile/view/1885912","18-1885912")</f>
        <v>0</v>
      </c>
      <c r="B4427" t="s">
        <v>193</v>
      </c>
      <c r="C4427" t="s">
        <v>340</v>
      </c>
      <c r="D4427" t="s">
        <v>670</v>
      </c>
      <c r="F4427" t="s">
        <v>939</v>
      </c>
      <c r="G4427" t="s">
        <v>6206</v>
      </c>
      <c r="H4427" t="s">
        <v>12762</v>
      </c>
      <c r="I4427" t="s">
        <v>18111</v>
      </c>
      <c r="J4427" t="s">
        <v>18894</v>
      </c>
      <c r="K4427">
        <v>11225</v>
      </c>
      <c r="L4427" t="s">
        <v>18958</v>
      </c>
      <c r="M4427" t="s">
        <v>18958</v>
      </c>
      <c r="N4427" t="s">
        <v>22257</v>
      </c>
      <c r="O4427" t="s">
        <v>26523</v>
      </c>
      <c r="P4427" t="s">
        <v>26560</v>
      </c>
      <c r="R4427" t="s">
        <v>26588</v>
      </c>
      <c r="S4427" t="s">
        <v>18959</v>
      </c>
      <c r="U4427" t="s">
        <v>26604</v>
      </c>
      <c r="W4427" t="s">
        <v>713</v>
      </c>
      <c r="X4427">
        <v>814</v>
      </c>
      <c r="Y4427" t="s">
        <v>26652</v>
      </c>
      <c r="Z4427" t="s">
        <v>26669</v>
      </c>
      <c r="AB4427" t="s">
        <v>30351</v>
      </c>
      <c r="AD4427" t="s">
        <v>40502</v>
      </c>
      <c r="AE4427">
        <v>0</v>
      </c>
      <c r="AH4427">
        <v>23</v>
      </c>
      <c r="AI4427">
        <v>4</v>
      </c>
      <c r="AJ4427">
        <v>1</v>
      </c>
      <c r="AK4427">
        <v>217.54</v>
      </c>
      <c r="AL4427" t="s">
        <v>794</v>
      </c>
      <c r="AM4427" t="s">
        <v>45575</v>
      </c>
      <c r="AN4427" t="s">
        <v>7439</v>
      </c>
      <c r="AO4427">
        <v>64000</v>
      </c>
      <c r="AU4427">
        <v>29.6</v>
      </c>
      <c r="AV4427" t="s">
        <v>827</v>
      </c>
      <c r="AW4427" t="s">
        <v>281</v>
      </c>
    </row>
    <row r="4428" spans="1:50">
      <c r="A4428" s="1">
        <f>HYPERLINK("https://lsnyc.legalserver.org/matter/dynamic-profile/view/1886775","19-1886775")</f>
        <v>0</v>
      </c>
      <c r="B4428" t="s">
        <v>54</v>
      </c>
      <c r="C4428" t="s">
        <v>340</v>
      </c>
      <c r="D4428" t="s">
        <v>692</v>
      </c>
      <c r="F4428" t="s">
        <v>1607</v>
      </c>
      <c r="G4428" t="s">
        <v>7287</v>
      </c>
      <c r="H4428" t="s">
        <v>13001</v>
      </c>
      <c r="I4428" t="s">
        <v>17327</v>
      </c>
      <c r="J4428" t="s">
        <v>18892</v>
      </c>
      <c r="K4428">
        <v>10462</v>
      </c>
      <c r="L4428" t="s">
        <v>18958</v>
      </c>
      <c r="M4428" t="s">
        <v>18958</v>
      </c>
      <c r="N4428" t="s">
        <v>22258</v>
      </c>
      <c r="O4428" t="s">
        <v>26523</v>
      </c>
      <c r="P4428" t="s">
        <v>26560</v>
      </c>
      <c r="R4428" t="s">
        <v>26579</v>
      </c>
      <c r="U4428" t="s">
        <v>26604</v>
      </c>
      <c r="V4428" t="s">
        <v>26610</v>
      </c>
      <c r="W4428" t="s">
        <v>713</v>
      </c>
      <c r="X4428">
        <v>1145</v>
      </c>
      <c r="Y4428" t="s">
        <v>26650</v>
      </c>
      <c r="Z4428" t="s">
        <v>26664</v>
      </c>
      <c r="AB4428" t="s">
        <v>30352</v>
      </c>
      <c r="AD4428" t="s">
        <v>40503</v>
      </c>
      <c r="AE4428">
        <v>48</v>
      </c>
      <c r="AF4428" t="s">
        <v>45541</v>
      </c>
      <c r="AG4428" t="s">
        <v>19330</v>
      </c>
      <c r="AH4428">
        <v>9</v>
      </c>
      <c r="AI4428">
        <v>2</v>
      </c>
      <c r="AJ4428">
        <v>0</v>
      </c>
      <c r="AK4428">
        <v>78.98</v>
      </c>
      <c r="AN4428" t="s">
        <v>7439</v>
      </c>
      <c r="AO4428">
        <v>13000</v>
      </c>
      <c r="AQ4428" t="s">
        <v>46362</v>
      </c>
      <c r="AR4428" t="s">
        <v>46380</v>
      </c>
      <c r="AS4428" t="s">
        <v>46499</v>
      </c>
      <c r="AT4428" t="s">
        <v>46570</v>
      </c>
      <c r="AU4428">
        <v>8.699999999999999</v>
      </c>
      <c r="AV4428" t="s">
        <v>777</v>
      </c>
      <c r="AW4428" t="s">
        <v>336</v>
      </c>
    </row>
    <row r="4429" spans="1:50">
      <c r="A4429" s="1">
        <f>HYPERLINK("https://lsnyc.legalserver.org/matter/dynamic-profile/view/1886327","18-1886327")</f>
        <v>0</v>
      </c>
      <c r="B4429" t="s">
        <v>203</v>
      </c>
      <c r="C4429" t="s">
        <v>341</v>
      </c>
      <c r="D4429" t="s">
        <v>703</v>
      </c>
      <c r="E4429" t="s">
        <v>835</v>
      </c>
      <c r="F4429" t="s">
        <v>3034</v>
      </c>
      <c r="G4429" t="s">
        <v>5177</v>
      </c>
      <c r="H4429" t="s">
        <v>13002</v>
      </c>
      <c r="I4429" t="s">
        <v>17306</v>
      </c>
      <c r="J4429" t="s">
        <v>18894</v>
      </c>
      <c r="K4429">
        <v>11225</v>
      </c>
      <c r="L4429" t="s">
        <v>18958</v>
      </c>
      <c r="M4429" t="s">
        <v>18958</v>
      </c>
      <c r="N4429" t="s">
        <v>22259</v>
      </c>
      <c r="O4429" t="s">
        <v>26523</v>
      </c>
      <c r="P4429" t="s">
        <v>26560</v>
      </c>
      <c r="Q4429" t="s">
        <v>26568</v>
      </c>
      <c r="R4429" t="s">
        <v>26588</v>
      </c>
      <c r="U4429" t="s">
        <v>26604</v>
      </c>
      <c r="W4429" t="s">
        <v>713</v>
      </c>
      <c r="X4429">
        <v>1166</v>
      </c>
      <c r="Y4429" t="s">
        <v>26652</v>
      </c>
      <c r="Z4429" t="s">
        <v>26669</v>
      </c>
      <c r="AA4429" t="s">
        <v>26678</v>
      </c>
      <c r="AB4429" t="s">
        <v>28367</v>
      </c>
      <c r="AD4429" t="s">
        <v>40504</v>
      </c>
      <c r="AE4429">
        <v>0</v>
      </c>
      <c r="AH4429">
        <v>25</v>
      </c>
      <c r="AI4429">
        <v>2</v>
      </c>
      <c r="AJ4429">
        <v>0</v>
      </c>
      <c r="AK4429">
        <v>109.36</v>
      </c>
      <c r="AN4429" t="s">
        <v>7439</v>
      </c>
      <c r="AO4429">
        <v>18000</v>
      </c>
      <c r="AS4429" t="s">
        <v>46499</v>
      </c>
      <c r="AU4429">
        <v>10.8</v>
      </c>
      <c r="AV4429" t="s">
        <v>724</v>
      </c>
      <c r="AW4429" t="s">
        <v>281</v>
      </c>
    </row>
    <row r="4430" spans="1:50">
      <c r="A4430" s="1">
        <f>HYPERLINK("https://lsnyc.legalserver.org/matter/dynamic-profile/view/1886314","18-1886314")</f>
        <v>0</v>
      </c>
      <c r="B4430" t="s">
        <v>227</v>
      </c>
      <c r="C4430" t="s">
        <v>341</v>
      </c>
      <c r="D4430" t="s">
        <v>703</v>
      </c>
      <c r="E4430" t="s">
        <v>830</v>
      </c>
      <c r="F4430" t="s">
        <v>1577</v>
      </c>
      <c r="G4430" t="s">
        <v>5086</v>
      </c>
      <c r="H4430" t="s">
        <v>13003</v>
      </c>
      <c r="I4430" t="s">
        <v>17417</v>
      </c>
      <c r="J4430" t="s">
        <v>18894</v>
      </c>
      <c r="K4430">
        <v>11225</v>
      </c>
      <c r="L4430" t="s">
        <v>18958</v>
      </c>
      <c r="M4430" t="s">
        <v>18959</v>
      </c>
      <c r="N4430" t="s">
        <v>22260</v>
      </c>
      <c r="O4430" t="s">
        <v>26523</v>
      </c>
      <c r="P4430" t="s">
        <v>26560</v>
      </c>
      <c r="Q4430" t="s">
        <v>26568</v>
      </c>
      <c r="R4430" t="s">
        <v>26588</v>
      </c>
      <c r="S4430" t="s">
        <v>18959</v>
      </c>
      <c r="U4430" t="s">
        <v>26604</v>
      </c>
      <c r="W4430" t="s">
        <v>713</v>
      </c>
      <c r="X4430">
        <v>1234</v>
      </c>
      <c r="Y4430" t="s">
        <v>26652</v>
      </c>
      <c r="Z4430" t="s">
        <v>26669</v>
      </c>
      <c r="AA4430" t="s">
        <v>26678</v>
      </c>
      <c r="AB4430" t="s">
        <v>30353</v>
      </c>
      <c r="AD4430" t="s">
        <v>40505</v>
      </c>
      <c r="AE4430">
        <v>0</v>
      </c>
      <c r="AH4430">
        <v>28</v>
      </c>
      <c r="AI4430">
        <v>3</v>
      </c>
      <c r="AJ4430">
        <v>0</v>
      </c>
      <c r="AK4430">
        <v>0</v>
      </c>
      <c r="AN4430" t="s">
        <v>7439</v>
      </c>
      <c r="AO4430">
        <v>0</v>
      </c>
      <c r="AS4430" t="s">
        <v>46499</v>
      </c>
      <c r="AU4430">
        <v>9.6</v>
      </c>
      <c r="AV4430" t="s">
        <v>768</v>
      </c>
      <c r="AW4430" t="s">
        <v>281</v>
      </c>
    </row>
    <row r="4431" spans="1:50">
      <c r="A4431" s="1">
        <f>HYPERLINK("https://lsnyc.legalserver.org/matter/dynamic-profile/view/1886332","18-1886332")</f>
        <v>0</v>
      </c>
      <c r="B4431" t="s">
        <v>227</v>
      </c>
      <c r="C4431" t="s">
        <v>341</v>
      </c>
      <c r="D4431" t="s">
        <v>703</v>
      </c>
      <c r="E4431" t="s">
        <v>735</v>
      </c>
      <c r="F4431" t="s">
        <v>3035</v>
      </c>
      <c r="G4431" t="s">
        <v>5269</v>
      </c>
      <c r="H4431" t="s">
        <v>13004</v>
      </c>
      <c r="I4431" t="s">
        <v>17738</v>
      </c>
      <c r="J4431" t="s">
        <v>18894</v>
      </c>
      <c r="K4431">
        <v>11216</v>
      </c>
      <c r="L4431" t="s">
        <v>18958</v>
      </c>
      <c r="M4431" t="s">
        <v>18958</v>
      </c>
      <c r="N4431" t="s">
        <v>22261</v>
      </c>
      <c r="O4431" t="s">
        <v>26524</v>
      </c>
      <c r="P4431" t="s">
        <v>26560</v>
      </c>
      <c r="Q4431" t="s">
        <v>26568</v>
      </c>
      <c r="R4431" t="s">
        <v>26588</v>
      </c>
      <c r="U4431" t="s">
        <v>26604</v>
      </c>
      <c r="W4431" t="s">
        <v>713</v>
      </c>
      <c r="X4431">
        <v>614.91</v>
      </c>
      <c r="Y4431" t="s">
        <v>26652</v>
      </c>
      <c r="Z4431" t="s">
        <v>26669</v>
      </c>
      <c r="AA4431" t="s">
        <v>26678</v>
      </c>
      <c r="AB4431" t="s">
        <v>30354</v>
      </c>
      <c r="AD4431" t="s">
        <v>40506</v>
      </c>
      <c r="AE4431">
        <v>8</v>
      </c>
      <c r="AH4431">
        <v>14</v>
      </c>
      <c r="AI4431">
        <v>1</v>
      </c>
      <c r="AJ4431">
        <v>2</v>
      </c>
      <c r="AK4431">
        <v>134.74</v>
      </c>
      <c r="AN4431" t="s">
        <v>7439</v>
      </c>
      <c r="AO4431">
        <v>28000</v>
      </c>
      <c r="AS4431" t="s">
        <v>46499</v>
      </c>
      <c r="AT4431" t="s">
        <v>46506</v>
      </c>
      <c r="AU4431">
        <v>1</v>
      </c>
      <c r="AV4431" t="s">
        <v>716</v>
      </c>
      <c r="AW4431" t="s">
        <v>281</v>
      </c>
    </row>
    <row r="4432" spans="1:50">
      <c r="A4432" s="1">
        <f>HYPERLINK("https://lsnyc.legalserver.org/matter/dynamic-profile/view/1886312","18-1886312")</f>
        <v>0</v>
      </c>
      <c r="B4432" t="s">
        <v>227</v>
      </c>
      <c r="C4432" t="s">
        <v>340</v>
      </c>
      <c r="D4432" t="s">
        <v>703</v>
      </c>
      <c r="F4432" t="s">
        <v>3036</v>
      </c>
      <c r="G4432" t="s">
        <v>3780</v>
      </c>
      <c r="H4432" t="s">
        <v>10238</v>
      </c>
      <c r="I4432" t="s">
        <v>18112</v>
      </c>
      <c r="J4432" t="s">
        <v>18894</v>
      </c>
      <c r="K4432">
        <v>11225</v>
      </c>
      <c r="L4432" t="s">
        <v>18958</v>
      </c>
      <c r="M4432" t="s">
        <v>18958</v>
      </c>
      <c r="N4432" t="s">
        <v>22262</v>
      </c>
      <c r="O4432" t="s">
        <v>26524</v>
      </c>
      <c r="P4432" t="s">
        <v>26560</v>
      </c>
      <c r="R4432" t="s">
        <v>26588</v>
      </c>
      <c r="S4432" t="s">
        <v>18959</v>
      </c>
      <c r="U4432" t="s">
        <v>26604</v>
      </c>
      <c r="W4432" t="s">
        <v>713</v>
      </c>
      <c r="X4432">
        <v>1732</v>
      </c>
      <c r="Y4432" t="s">
        <v>26652</v>
      </c>
      <c r="Z4432" t="s">
        <v>26669</v>
      </c>
      <c r="AB4432" t="s">
        <v>30355</v>
      </c>
      <c r="AD4432" t="s">
        <v>40507</v>
      </c>
      <c r="AE4432">
        <v>0</v>
      </c>
      <c r="AG4432" t="s">
        <v>19330</v>
      </c>
      <c r="AH4432">
        <v>3</v>
      </c>
      <c r="AI4432">
        <v>1</v>
      </c>
      <c r="AJ4432">
        <v>0</v>
      </c>
      <c r="AK4432">
        <v>403.62</v>
      </c>
      <c r="AL4432" t="s">
        <v>794</v>
      </c>
      <c r="AM4432" t="s">
        <v>45575</v>
      </c>
      <c r="AN4432" t="s">
        <v>7439</v>
      </c>
      <c r="AO4432">
        <v>49000</v>
      </c>
      <c r="AU4432">
        <v>41.6</v>
      </c>
      <c r="AV4432" t="s">
        <v>773</v>
      </c>
      <c r="AW4432" t="s">
        <v>281</v>
      </c>
    </row>
    <row r="4433" spans="1:50">
      <c r="A4433" s="1">
        <f>HYPERLINK("https://lsnyc.legalserver.org/matter/dynamic-profile/view/1874962","18-1874962")</f>
        <v>0</v>
      </c>
      <c r="B4433" t="s">
        <v>129</v>
      </c>
      <c r="C4433" t="s">
        <v>340</v>
      </c>
      <c r="D4433" t="s">
        <v>703</v>
      </c>
      <c r="F4433" t="s">
        <v>3037</v>
      </c>
      <c r="G4433" t="s">
        <v>5146</v>
      </c>
      <c r="H4433" t="s">
        <v>13005</v>
      </c>
      <c r="I4433" t="s">
        <v>17274</v>
      </c>
      <c r="J4433" t="s">
        <v>18894</v>
      </c>
      <c r="K4433">
        <v>11225</v>
      </c>
      <c r="L4433" t="s">
        <v>18958</v>
      </c>
      <c r="M4433" t="s">
        <v>18960</v>
      </c>
      <c r="N4433" t="s">
        <v>22263</v>
      </c>
      <c r="O4433" t="s">
        <v>26523</v>
      </c>
      <c r="P4433" t="s">
        <v>26560</v>
      </c>
      <c r="R4433" t="s">
        <v>26588</v>
      </c>
      <c r="S4433" t="s">
        <v>18959</v>
      </c>
      <c r="U4433" t="s">
        <v>26604</v>
      </c>
      <c r="W4433" t="s">
        <v>713</v>
      </c>
      <c r="X4433">
        <v>1071</v>
      </c>
      <c r="Y4433" t="s">
        <v>26652</v>
      </c>
      <c r="Z4433" t="s">
        <v>26659</v>
      </c>
      <c r="AB4433" t="s">
        <v>30356</v>
      </c>
      <c r="AC4433" t="s">
        <v>35767</v>
      </c>
      <c r="AD4433" t="s">
        <v>40508</v>
      </c>
      <c r="AE4433">
        <v>0</v>
      </c>
      <c r="AF4433" t="s">
        <v>45541</v>
      </c>
      <c r="AH4433">
        <v>15</v>
      </c>
      <c r="AI4433">
        <v>3</v>
      </c>
      <c r="AJ4433">
        <v>0</v>
      </c>
      <c r="AK4433">
        <v>162.66</v>
      </c>
      <c r="AN4433" t="s">
        <v>7439</v>
      </c>
      <c r="AO4433">
        <v>33800</v>
      </c>
      <c r="AU4433">
        <v>20.2</v>
      </c>
      <c r="AV4433" t="s">
        <v>720</v>
      </c>
      <c r="AW4433" t="s">
        <v>129</v>
      </c>
    </row>
    <row r="4434" spans="1:50">
      <c r="A4434" s="1">
        <f>HYPERLINK("https://lsnyc.legalserver.org/matter/dynamic-profile/view/1886409","18-1886409")</f>
        <v>0</v>
      </c>
      <c r="B4434" t="s">
        <v>202</v>
      </c>
      <c r="C4434" t="s">
        <v>341</v>
      </c>
      <c r="D4434" t="s">
        <v>705</v>
      </c>
      <c r="E4434" t="s">
        <v>820</v>
      </c>
      <c r="F4434" t="s">
        <v>1904</v>
      </c>
      <c r="G4434" t="s">
        <v>5454</v>
      </c>
      <c r="H4434" t="s">
        <v>10870</v>
      </c>
      <c r="I4434" t="s">
        <v>17356</v>
      </c>
      <c r="J4434" t="s">
        <v>18894</v>
      </c>
      <c r="K4434">
        <v>11206</v>
      </c>
      <c r="L4434" t="s">
        <v>18958</v>
      </c>
      <c r="M4434" t="s">
        <v>18958</v>
      </c>
      <c r="N4434" t="s">
        <v>22264</v>
      </c>
      <c r="O4434" t="s">
        <v>26523</v>
      </c>
      <c r="P4434" t="s">
        <v>26560</v>
      </c>
      <c r="Q4434" t="s">
        <v>26568</v>
      </c>
      <c r="R4434" t="s">
        <v>26586</v>
      </c>
      <c r="S4434" t="s">
        <v>18959</v>
      </c>
      <c r="U4434" t="s">
        <v>26605</v>
      </c>
      <c r="V4434" t="s">
        <v>26612</v>
      </c>
      <c r="W4434" t="s">
        <v>713</v>
      </c>
      <c r="X4434">
        <v>469</v>
      </c>
      <c r="Y4434" t="s">
        <v>26652</v>
      </c>
      <c r="Z4434" t="s">
        <v>26664</v>
      </c>
      <c r="AA4434" t="s">
        <v>26680</v>
      </c>
      <c r="AB4434" t="s">
        <v>30357</v>
      </c>
      <c r="AD4434" t="s">
        <v>40509</v>
      </c>
      <c r="AE4434">
        <v>114</v>
      </c>
      <c r="AF4434" t="s">
        <v>45549</v>
      </c>
      <c r="AG4434" t="s">
        <v>26530</v>
      </c>
      <c r="AH4434">
        <v>3</v>
      </c>
      <c r="AI4434">
        <v>1</v>
      </c>
      <c r="AJ4434">
        <v>3</v>
      </c>
      <c r="AK4434">
        <v>35.86</v>
      </c>
      <c r="AN4434" t="s">
        <v>7439</v>
      </c>
      <c r="AO4434">
        <v>9000</v>
      </c>
      <c r="AQ4434" t="s">
        <v>46359</v>
      </c>
      <c r="AR4434" t="s">
        <v>46381</v>
      </c>
      <c r="AS4434" t="s">
        <v>46499</v>
      </c>
      <c r="AU4434">
        <v>5.75</v>
      </c>
      <c r="AV4434" t="s">
        <v>820</v>
      </c>
      <c r="AW4434" t="s">
        <v>46862</v>
      </c>
    </row>
    <row r="4435" spans="1:50">
      <c r="A4435" s="1">
        <f>HYPERLINK("https://lsnyc.legalserver.org/matter/dynamic-profile/view/1886474","18-1886474")</f>
        <v>0</v>
      </c>
      <c r="B4435" t="s">
        <v>227</v>
      </c>
      <c r="C4435" t="s">
        <v>340</v>
      </c>
      <c r="D4435" t="s">
        <v>706</v>
      </c>
      <c r="F4435" t="s">
        <v>3038</v>
      </c>
      <c r="G4435" t="s">
        <v>7283</v>
      </c>
      <c r="H4435" t="s">
        <v>13006</v>
      </c>
      <c r="I4435">
        <v>7</v>
      </c>
      <c r="J4435" t="s">
        <v>18894</v>
      </c>
      <c r="K4435">
        <v>11221</v>
      </c>
      <c r="L4435" t="s">
        <v>18958</v>
      </c>
      <c r="M4435" t="s">
        <v>18958</v>
      </c>
      <c r="N4435" t="s">
        <v>22265</v>
      </c>
      <c r="O4435" t="s">
        <v>26524</v>
      </c>
      <c r="P4435" t="s">
        <v>26560</v>
      </c>
      <c r="R4435" t="s">
        <v>26588</v>
      </c>
      <c r="S4435" t="s">
        <v>18959</v>
      </c>
      <c r="U4435" t="s">
        <v>26604</v>
      </c>
      <c r="W4435" t="s">
        <v>713</v>
      </c>
      <c r="X4435">
        <v>1567</v>
      </c>
      <c r="Y4435" t="s">
        <v>26652</v>
      </c>
      <c r="Z4435" t="s">
        <v>26669</v>
      </c>
      <c r="AB4435" t="s">
        <v>30358</v>
      </c>
      <c r="AE4435">
        <v>8</v>
      </c>
      <c r="AG4435" t="s">
        <v>45557</v>
      </c>
      <c r="AH4435">
        <v>3</v>
      </c>
      <c r="AI4435">
        <v>1</v>
      </c>
      <c r="AJ4435">
        <v>2</v>
      </c>
      <c r="AK4435">
        <v>84.93000000000001</v>
      </c>
      <c r="AN4435" t="s">
        <v>7439</v>
      </c>
      <c r="AO4435">
        <v>17648</v>
      </c>
      <c r="AU4435">
        <v>6.1</v>
      </c>
      <c r="AV4435" t="s">
        <v>792</v>
      </c>
      <c r="AW4435" t="s">
        <v>281</v>
      </c>
    </row>
    <row r="4436" spans="1:50">
      <c r="A4436" s="1">
        <f>HYPERLINK("https://lsnyc.legalserver.org/matter/dynamic-profile/view/1886438","18-1886438")</f>
        <v>0</v>
      </c>
      <c r="B4436" t="s">
        <v>204</v>
      </c>
      <c r="C4436" t="s">
        <v>340</v>
      </c>
      <c r="D4436" t="s">
        <v>706</v>
      </c>
      <c r="F4436" t="s">
        <v>2610</v>
      </c>
      <c r="G4436" t="s">
        <v>7288</v>
      </c>
      <c r="H4436" t="s">
        <v>13007</v>
      </c>
      <c r="I4436" t="s">
        <v>17552</v>
      </c>
      <c r="J4436" t="s">
        <v>18894</v>
      </c>
      <c r="K4436">
        <v>11220</v>
      </c>
      <c r="L4436" t="s">
        <v>18958</v>
      </c>
      <c r="M4436" t="s">
        <v>18958</v>
      </c>
      <c r="N4436" t="s">
        <v>22266</v>
      </c>
      <c r="O4436" t="s">
        <v>26523</v>
      </c>
      <c r="P4436" t="s">
        <v>26560</v>
      </c>
      <c r="R4436" t="s">
        <v>26586</v>
      </c>
      <c r="U4436" t="s">
        <v>26604</v>
      </c>
      <c r="W4436" t="s">
        <v>713</v>
      </c>
      <c r="X4436">
        <v>1289</v>
      </c>
      <c r="Y4436" t="s">
        <v>26652</v>
      </c>
      <c r="Z4436" t="s">
        <v>26664</v>
      </c>
      <c r="AB4436" t="s">
        <v>30359</v>
      </c>
      <c r="AD4436" t="s">
        <v>40510</v>
      </c>
      <c r="AE4436">
        <v>22</v>
      </c>
      <c r="AH4436">
        <v>18</v>
      </c>
      <c r="AI4436">
        <v>2</v>
      </c>
      <c r="AJ4436">
        <v>1</v>
      </c>
      <c r="AK4436">
        <v>110.68</v>
      </c>
      <c r="AN4436" t="s">
        <v>7439</v>
      </c>
      <c r="AO4436">
        <v>23000</v>
      </c>
      <c r="AU4436">
        <v>27.1</v>
      </c>
      <c r="AV4436" t="s">
        <v>814</v>
      </c>
      <c r="AW4436" t="s">
        <v>281</v>
      </c>
    </row>
    <row r="4437" spans="1:50">
      <c r="A4437" s="1">
        <f>HYPERLINK("https://lsnyc.legalserver.org/matter/dynamic-profile/view/1886458","18-1886458")</f>
        <v>0</v>
      </c>
      <c r="B4437" t="s">
        <v>193</v>
      </c>
      <c r="C4437" t="s">
        <v>340</v>
      </c>
      <c r="D4437" t="s">
        <v>706</v>
      </c>
      <c r="F4437" t="s">
        <v>1072</v>
      </c>
      <c r="G4437" t="s">
        <v>6528</v>
      </c>
      <c r="H4437" t="s">
        <v>13008</v>
      </c>
      <c r="I4437" t="s">
        <v>17327</v>
      </c>
      <c r="J4437" t="s">
        <v>18894</v>
      </c>
      <c r="K4437">
        <v>11223</v>
      </c>
      <c r="L4437" t="s">
        <v>18958</v>
      </c>
      <c r="M4437" t="s">
        <v>18958</v>
      </c>
      <c r="N4437" t="s">
        <v>22267</v>
      </c>
      <c r="O4437" t="s">
        <v>26523</v>
      </c>
      <c r="P4437" t="s">
        <v>26560</v>
      </c>
      <c r="R4437" t="s">
        <v>26586</v>
      </c>
      <c r="S4437" t="s">
        <v>18959</v>
      </c>
      <c r="U4437" t="s">
        <v>26605</v>
      </c>
      <c r="V4437" t="s">
        <v>26610</v>
      </c>
      <c r="W4437" t="s">
        <v>713</v>
      </c>
      <c r="X4437">
        <v>201</v>
      </c>
      <c r="Y4437" t="s">
        <v>26652</v>
      </c>
      <c r="Z4437" t="s">
        <v>26664</v>
      </c>
      <c r="AB4437" t="s">
        <v>30250</v>
      </c>
      <c r="AD4437" t="s">
        <v>40511</v>
      </c>
      <c r="AE4437">
        <v>693</v>
      </c>
      <c r="AF4437" t="s">
        <v>45549</v>
      </c>
      <c r="AG4437" t="s">
        <v>26530</v>
      </c>
      <c r="AH4437">
        <v>12</v>
      </c>
      <c r="AI4437">
        <v>4</v>
      </c>
      <c r="AJ4437">
        <v>1</v>
      </c>
      <c r="AK4437">
        <v>136.01</v>
      </c>
      <c r="AN4437" t="s">
        <v>7439</v>
      </c>
      <c r="AO4437">
        <v>40015</v>
      </c>
      <c r="AQ4437" t="s">
        <v>46361</v>
      </c>
      <c r="AU4437">
        <v>31</v>
      </c>
      <c r="AV4437" t="s">
        <v>821</v>
      </c>
      <c r="AW4437" t="s">
        <v>281</v>
      </c>
    </row>
    <row r="4438" spans="1:50">
      <c r="A4438" s="1">
        <f>HYPERLINK("https://lsnyc.legalserver.org/matter/dynamic-profile/view/1886609","18-1886609")</f>
        <v>0</v>
      </c>
      <c r="B4438" t="s">
        <v>136</v>
      </c>
      <c r="C4438" t="s">
        <v>340</v>
      </c>
      <c r="D4438" t="s">
        <v>699</v>
      </c>
      <c r="F4438" t="s">
        <v>1278</v>
      </c>
      <c r="G4438" t="s">
        <v>5462</v>
      </c>
      <c r="H4438" t="s">
        <v>10109</v>
      </c>
      <c r="I4438" t="s">
        <v>17360</v>
      </c>
      <c r="J4438" t="s">
        <v>18892</v>
      </c>
      <c r="K4438">
        <v>10457</v>
      </c>
      <c r="L4438" t="s">
        <v>18958</v>
      </c>
      <c r="M4438" t="s">
        <v>18958</v>
      </c>
      <c r="N4438" t="s">
        <v>22268</v>
      </c>
      <c r="O4438" t="s">
        <v>26523</v>
      </c>
      <c r="P4438" t="s">
        <v>26560</v>
      </c>
      <c r="R4438" t="s">
        <v>26579</v>
      </c>
      <c r="S4438" t="s">
        <v>18959</v>
      </c>
      <c r="U4438" t="s">
        <v>26604</v>
      </c>
      <c r="V4438" t="s">
        <v>26610</v>
      </c>
      <c r="W4438" t="s">
        <v>713</v>
      </c>
      <c r="X4438">
        <v>1700</v>
      </c>
      <c r="Y4438" t="s">
        <v>26650</v>
      </c>
      <c r="Z4438" t="s">
        <v>26659</v>
      </c>
      <c r="AB4438" t="s">
        <v>27199</v>
      </c>
      <c r="AD4438" t="s">
        <v>37274</v>
      </c>
      <c r="AE4438">
        <v>0</v>
      </c>
      <c r="AF4438" t="s">
        <v>45541</v>
      </c>
      <c r="AH4438">
        <v>2</v>
      </c>
      <c r="AI4438">
        <v>2</v>
      </c>
      <c r="AJ4438">
        <v>0</v>
      </c>
      <c r="AK4438">
        <v>164.03</v>
      </c>
      <c r="AN4438" t="s">
        <v>45581</v>
      </c>
      <c r="AO4438">
        <v>27000</v>
      </c>
      <c r="AP4438" t="s">
        <v>45825</v>
      </c>
      <c r="AU4438">
        <v>11</v>
      </c>
      <c r="AV4438" t="s">
        <v>813</v>
      </c>
      <c r="AW4438" t="s">
        <v>136</v>
      </c>
    </row>
    <row r="4439" spans="1:50">
      <c r="A4439" s="1">
        <f>HYPERLINK("https://lsnyc.legalserver.org/matter/dynamic-profile/view/1886714","18-1886714")</f>
        <v>0</v>
      </c>
      <c r="B4439" t="s">
        <v>123</v>
      </c>
      <c r="C4439" t="s">
        <v>341</v>
      </c>
      <c r="D4439" t="s">
        <v>712</v>
      </c>
      <c r="E4439" t="s">
        <v>813</v>
      </c>
      <c r="F4439" t="s">
        <v>1242</v>
      </c>
      <c r="G4439" t="s">
        <v>7289</v>
      </c>
      <c r="H4439" t="s">
        <v>13009</v>
      </c>
      <c r="I4439" t="s">
        <v>17885</v>
      </c>
      <c r="J4439" t="s">
        <v>18894</v>
      </c>
      <c r="K4439">
        <v>11213</v>
      </c>
      <c r="L4439" t="s">
        <v>18958</v>
      </c>
      <c r="M4439" t="s">
        <v>18960</v>
      </c>
      <c r="N4439" t="s">
        <v>22269</v>
      </c>
      <c r="O4439" t="s">
        <v>26523</v>
      </c>
      <c r="P4439" t="s">
        <v>26560</v>
      </c>
      <c r="Q4439" t="s">
        <v>26568</v>
      </c>
      <c r="R4439" t="s">
        <v>26586</v>
      </c>
      <c r="U4439" t="s">
        <v>26604</v>
      </c>
      <c r="W4439" t="s">
        <v>713</v>
      </c>
      <c r="X4439">
        <v>899</v>
      </c>
      <c r="Y4439" t="s">
        <v>26652</v>
      </c>
      <c r="Z4439" t="s">
        <v>26668</v>
      </c>
      <c r="AA4439" t="s">
        <v>26678</v>
      </c>
      <c r="AB4439" t="s">
        <v>30360</v>
      </c>
      <c r="AC4439" t="s">
        <v>35768</v>
      </c>
      <c r="AD4439" t="s">
        <v>40512</v>
      </c>
      <c r="AE4439">
        <v>6</v>
      </c>
      <c r="AG4439" t="s">
        <v>26530</v>
      </c>
      <c r="AH4439">
        <v>14</v>
      </c>
      <c r="AI4439">
        <v>1</v>
      </c>
      <c r="AJ4439">
        <v>1</v>
      </c>
      <c r="AK4439">
        <v>88.45999999999999</v>
      </c>
      <c r="AN4439" t="s">
        <v>7439</v>
      </c>
      <c r="AO4439">
        <v>14560</v>
      </c>
      <c r="AS4439" t="s">
        <v>46499</v>
      </c>
      <c r="AT4439" t="s">
        <v>46690</v>
      </c>
      <c r="AU4439">
        <v>6.75</v>
      </c>
      <c r="AV4439" t="s">
        <v>416</v>
      </c>
      <c r="AW4439" t="s">
        <v>46862</v>
      </c>
      <c r="AX4439" t="s">
        <v>46897</v>
      </c>
    </row>
    <row r="4440" spans="1:50">
      <c r="A4440" s="1">
        <f>HYPERLINK("https://lsnyc.legalserver.org/matter/dynamic-profile/view/1886704","18-1886704")</f>
        <v>0</v>
      </c>
      <c r="B4440" t="s">
        <v>123</v>
      </c>
      <c r="C4440" t="s">
        <v>341</v>
      </c>
      <c r="D4440" t="s">
        <v>712</v>
      </c>
      <c r="E4440" t="s">
        <v>813</v>
      </c>
      <c r="F4440" t="s">
        <v>1254</v>
      </c>
      <c r="G4440" t="s">
        <v>5817</v>
      </c>
      <c r="H4440" t="s">
        <v>13010</v>
      </c>
      <c r="I4440" t="s">
        <v>17622</v>
      </c>
      <c r="J4440" t="s">
        <v>18894</v>
      </c>
      <c r="K4440">
        <v>11226</v>
      </c>
      <c r="L4440" t="s">
        <v>18958</v>
      </c>
      <c r="M4440" t="s">
        <v>18960</v>
      </c>
      <c r="N4440" t="s">
        <v>22270</v>
      </c>
      <c r="O4440" t="s">
        <v>26523</v>
      </c>
      <c r="P4440" t="s">
        <v>26560</v>
      </c>
      <c r="Q4440" t="s">
        <v>26568</v>
      </c>
      <c r="R4440" t="s">
        <v>26588</v>
      </c>
      <c r="U4440" t="s">
        <v>26604</v>
      </c>
      <c r="W4440" t="s">
        <v>713</v>
      </c>
      <c r="X4440">
        <v>785.27</v>
      </c>
      <c r="Y4440" t="s">
        <v>26652</v>
      </c>
      <c r="Z4440" t="s">
        <v>26664</v>
      </c>
      <c r="AA4440" t="s">
        <v>26678</v>
      </c>
      <c r="AB4440" t="s">
        <v>30361</v>
      </c>
      <c r="AD4440" t="s">
        <v>40513</v>
      </c>
      <c r="AE4440">
        <v>158</v>
      </c>
      <c r="AG4440" t="s">
        <v>26530</v>
      </c>
      <c r="AH4440">
        <v>2</v>
      </c>
      <c r="AI4440">
        <v>1</v>
      </c>
      <c r="AJ4440">
        <v>1</v>
      </c>
      <c r="AK4440">
        <v>0</v>
      </c>
      <c r="AN4440" t="s">
        <v>7439</v>
      </c>
      <c r="AO4440">
        <v>0</v>
      </c>
      <c r="AR4440" t="s">
        <v>46380</v>
      </c>
      <c r="AS4440" t="s">
        <v>46499</v>
      </c>
      <c r="AT4440" t="s">
        <v>46525</v>
      </c>
      <c r="AU4440">
        <v>5.85</v>
      </c>
      <c r="AV4440" t="s">
        <v>744</v>
      </c>
      <c r="AW4440" t="s">
        <v>46862</v>
      </c>
      <c r="AX4440" t="s">
        <v>46897</v>
      </c>
    </row>
    <row r="4441" spans="1:50">
      <c r="A4441" s="1">
        <f>HYPERLINK("https://lsnyc.legalserver.org/matter/dynamic-profile/view/1886660","18-1886660")</f>
        <v>0</v>
      </c>
      <c r="B4441" t="s">
        <v>123</v>
      </c>
      <c r="C4441" t="s">
        <v>341</v>
      </c>
      <c r="D4441" t="s">
        <v>712</v>
      </c>
      <c r="E4441" t="s">
        <v>813</v>
      </c>
      <c r="F4441" t="s">
        <v>3039</v>
      </c>
      <c r="G4441" t="s">
        <v>1279</v>
      </c>
      <c r="H4441" t="s">
        <v>13011</v>
      </c>
      <c r="I4441">
        <v>4</v>
      </c>
      <c r="J4441" t="s">
        <v>18894</v>
      </c>
      <c r="K4441">
        <v>11226</v>
      </c>
      <c r="L4441" t="s">
        <v>18958</v>
      </c>
      <c r="M4441" t="s">
        <v>18960</v>
      </c>
      <c r="N4441" t="s">
        <v>22271</v>
      </c>
      <c r="O4441" t="s">
        <v>26524</v>
      </c>
      <c r="P4441" t="s">
        <v>26560</v>
      </c>
      <c r="Q4441" t="s">
        <v>26568</v>
      </c>
      <c r="R4441" t="s">
        <v>26588</v>
      </c>
      <c r="U4441" t="s">
        <v>26604</v>
      </c>
      <c r="W4441" t="s">
        <v>713</v>
      </c>
      <c r="X4441">
        <v>1300</v>
      </c>
      <c r="Y4441" t="s">
        <v>26652</v>
      </c>
      <c r="Z4441" t="s">
        <v>26664</v>
      </c>
      <c r="AA4441" t="s">
        <v>26679</v>
      </c>
      <c r="AB4441" t="s">
        <v>30362</v>
      </c>
      <c r="AD4441" t="s">
        <v>40514</v>
      </c>
      <c r="AE4441">
        <v>1</v>
      </c>
      <c r="AG4441" t="s">
        <v>19330</v>
      </c>
      <c r="AH4441">
        <v>17</v>
      </c>
      <c r="AI4441">
        <v>2</v>
      </c>
      <c r="AJ4441">
        <v>1</v>
      </c>
      <c r="AK4441">
        <v>56.54</v>
      </c>
      <c r="AN4441" t="s">
        <v>45585</v>
      </c>
      <c r="AO4441">
        <v>11748</v>
      </c>
      <c r="AQ4441" t="s">
        <v>46359</v>
      </c>
      <c r="AR4441" t="s">
        <v>26530</v>
      </c>
      <c r="AS4441" t="s">
        <v>46500</v>
      </c>
      <c r="AT4441" t="s">
        <v>46687</v>
      </c>
      <c r="AU4441">
        <v>4</v>
      </c>
      <c r="AV4441" t="s">
        <v>731</v>
      </c>
      <c r="AW4441" t="s">
        <v>46862</v>
      </c>
    </row>
    <row r="4442" spans="1:50">
      <c r="A4442" s="1">
        <f>HYPERLINK("https://lsnyc.legalserver.org/matter/dynamic-profile/view/1886682","18-1886682")</f>
        <v>0</v>
      </c>
      <c r="B4442" t="s">
        <v>123</v>
      </c>
      <c r="C4442" t="s">
        <v>340</v>
      </c>
      <c r="D4442" t="s">
        <v>712</v>
      </c>
      <c r="F4442" t="s">
        <v>2111</v>
      </c>
      <c r="G4442" t="s">
        <v>7290</v>
      </c>
      <c r="H4442" t="s">
        <v>13012</v>
      </c>
      <c r="I4442" t="s">
        <v>17355</v>
      </c>
      <c r="J4442" t="s">
        <v>18894</v>
      </c>
      <c r="K4442">
        <v>11226</v>
      </c>
      <c r="L4442" t="s">
        <v>18958</v>
      </c>
      <c r="M4442" t="s">
        <v>18960</v>
      </c>
      <c r="N4442" t="s">
        <v>22272</v>
      </c>
      <c r="O4442" t="s">
        <v>26523</v>
      </c>
      <c r="P4442" t="s">
        <v>26560</v>
      </c>
      <c r="R4442" t="s">
        <v>26588</v>
      </c>
      <c r="S4442" t="s">
        <v>18959</v>
      </c>
      <c r="U4442" t="s">
        <v>26604</v>
      </c>
      <c r="V4442" t="s">
        <v>26611</v>
      </c>
      <c r="W4442" t="s">
        <v>713</v>
      </c>
      <c r="X4442">
        <v>1014</v>
      </c>
      <c r="Y4442" t="s">
        <v>26652</v>
      </c>
      <c r="Z4442" t="s">
        <v>26664</v>
      </c>
      <c r="AB4442" t="s">
        <v>30363</v>
      </c>
      <c r="AD4442" t="s">
        <v>40515</v>
      </c>
      <c r="AE4442">
        <v>36</v>
      </c>
      <c r="AF4442" t="s">
        <v>45541</v>
      </c>
      <c r="AG4442" t="s">
        <v>19330</v>
      </c>
      <c r="AH4442">
        <v>10</v>
      </c>
      <c r="AI4442">
        <v>1</v>
      </c>
      <c r="AJ4442">
        <v>1</v>
      </c>
      <c r="AK4442">
        <v>122.72</v>
      </c>
      <c r="AN4442" t="s">
        <v>7439</v>
      </c>
      <c r="AO4442">
        <v>20200</v>
      </c>
      <c r="AQ4442" t="s">
        <v>46359</v>
      </c>
      <c r="AS4442" t="s">
        <v>46499</v>
      </c>
      <c r="AT4442" t="s">
        <v>46653</v>
      </c>
      <c r="AU4442">
        <v>4.8</v>
      </c>
      <c r="AV4442" t="s">
        <v>773</v>
      </c>
      <c r="AW4442" t="s">
        <v>46862</v>
      </c>
    </row>
    <row r="4443" spans="1:50">
      <c r="A4443" s="1">
        <f>HYPERLINK("https://lsnyc.legalserver.org/matter/dynamic-profile/view/1887205","19-1887205")</f>
        <v>0</v>
      </c>
      <c r="B4443" t="s">
        <v>149</v>
      </c>
      <c r="C4443" t="s">
        <v>341</v>
      </c>
      <c r="D4443" t="s">
        <v>713</v>
      </c>
      <c r="E4443" t="s">
        <v>731</v>
      </c>
      <c r="F4443" t="s">
        <v>1283</v>
      </c>
      <c r="G4443" t="s">
        <v>5695</v>
      </c>
      <c r="H4443" t="s">
        <v>13013</v>
      </c>
      <c r="I4443">
        <v>5</v>
      </c>
      <c r="J4443" t="s">
        <v>18892</v>
      </c>
      <c r="K4443">
        <v>10457</v>
      </c>
      <c r="L4443" t="s">
        <v>18958</v>
      </c>
      <c r="M4443" t="s">
        <v>18958</v>
      </c>
      <c r="N4443" t="s">
        <v>22273</v>
      </c>
      <c r="O4443" t="s">
        <v>26523</v>
      </c>
      <c r="P4443" t="s">
        <v>26560</v>
      </c>
      <c r="Q4443" t="s">
        <v>26568</v>
      </c>
      <c r="R4443" t="s">
        <v>26579</v>
      </c>
      <c r="S4443" t="s">
        <v>18959</v>
      </c>
      <c r="U4443" t="s">
        <v>26604</v>
      </c>
      <c r="V4443" t="s">
        <v>26610</v>
      </c>
      <c r="W4443" t="s">
        <v>713</v>
      </c>
      <c r="X4443">
        <v>340</v>
      </c>
      <c r="Y4443" t="s">
        <v>26650</v>
      </c>
      <c r="Z4443" t="s">
        <v>26664</v>
      </c>
      <c r="AA4443" t="s">
        <v>26678</v>
      </c>
      <c r="AB4443" t="s">
        <v>29277</v>
      </c>
      <c r="AD4443" t="s">
        <v>40516</v>
      </c>
      <c r="AE4443">
        <v>25</v>
      </c>
      <c r="AF4443" t="s">
        <v>45541</v>
      </c>
      <c r="AG4443" t="s">
        <v>45556</v>
      </c>
      <c r="AH4443">
        <v>10</v>
      </c>
      <c r="AI4443">
        <v>1</v>
      </c>
      <c r="AJ4443">
        <v>0</v>
      </c>
      <c r="AK4443">
        <v>67.22</v>
      </c>
      <c r="AN4443" t="s">
        <v>45581</v>
      </c>
      <c r="AO4443">
        <v>8160</v>
      </c>
      <c r="AR4443" t="s">
        <v>46380</v>
      </c>
      <c r="AS4443" t="s">
        <v>46499</v>
      </c>
      <c r="AT4443" t="s">
        <v>46783</v>
      </c>
      <c r="AU4443">
        <v>3.7</v>
      </c>
      <c r="AV4443" t="s">
        <v>731</v>
      </c>
      <c r="AW4443" t="s">
        <v>336</v>
      </c>
    </row>
    <row r="4444" spans="1:50">
      <c r="A4444" s="1">
        <f>HYPERLINK("https://lsnyc.legalserver.org/matter/dynamic-profile/view/1886814","19-1886814")</f>
        <v>0</v>
      </c>
      <c r="B4444" t="s">
        <v>147</v>
      </c>
      <c r="C4444" t="s">
        <v>341</v>
      </c>
      <c r="D4444" t="s">
        <v>713</v>
      </c>
      <c r="E4444" t="s">
        <v>811</v>
      </c>
      <c r="F4444" t="s">
        <v>2183</v>
      </c>
      <c r="G4444" t="s">
        <v>6363</v>
      </c>
      <c r="H4444" t="s">
        <v>11510</v>
      </c>
      <c r="I4444" t="s">
        <v>17343</v>
      </c>
      <c r="J4444" t="s">
        <v>18894</v>
      </c>
      <c r="K4444">
        <v>11226</v>
      </c>
      <c r="L4444" t="s">
        <v>18958</v>
      </c>
      <c r="M4444" t="s">
        <v>18958</v>
      </c>
      <c r="O4444" t="s">
        <v>26523</v>
      </c>
      <c r="P4444" t="s">
        <v>26560</v>
      </c>
      <c r="Q4444" t="s">
        <v>26568</v>
      </c>
      <c r="R4444" t="s">
        <v>26588</v>
      </c>
      <c r="S4444" t="s">
        <v>18959</v>
      </c>
      <c r="U4444" t="s">
        <v>26604</v>
      </c>
      <c r="V4444" t="s">
        <v>26610</v>
      </c>
      <c r="W4444" t="s">
        <v>713</v>
      </c>
      <c r="X4444">
        <v>912</v>
      </c>
      <c r="Y4444" t="s">
        <v>26652</v>
      </c>
      <c r="Z4444" t="s">
        <v>26659</v>
      </c>
      <c r="AA4444" t="s">
        <v>26678</v>
      </c>
      <c r="AB4444" t="s">
        <v>28715</v>
      </c>
      <c r="AD4444" t="s">
        <v>38769</v>
      </c>
      <c r="AE4444">
        <v>48</v>
      </c>
      <c r="AF4444" t="s">
        <v>45541</v>
      </c>
      <c r="AG4444" t="s">
        <v>19330</v>
      </c>
      <c r="AH4444">
        <v>19</v>
      </c>
      <c r="AI4444">
        <v>1</v>
      </c>
      <c r="AJ4444">
        <v>2</v>
      </c>
      <c r="AK4444">
        <v>122.71</v>
      </c>
      <c r="AN4444" t="s">
        <v>7439</v>
      </c>
      <c r="AO4444">
        <v>25500</v>
      </c>
      <c r="AQ4444" t="s">
        <v>46361</v>
      </c>
      <c r="AR4444" t="s">
        <v>46379</v>
      </c>
      <c r="AS4444" t="s">
        <v>46499</v>
      </c>
      <c r="AT4444" t="s">
        <v>46639</v>
      </c>
      <c r="AU4444">
        <v>8.800000000000001</v>
      </c>
      <c r="AV4444" t="s">
        <v>811</v>
      </c>
      <c r="AW4444" t="s">
        <v>219</v>
      </c>
      <c r="AX4444" t="s">
        <v>46897</v>
      </c>
    </row>
    <row r="4445" spans="1:50">
      <c r="A4445" s="1">
        <f>HYPERLINK("https://lsnyc.legalserver.org/matter/dynamic-profile/view/1886870","19-1886870")</f>
        <v>0</v>
      </c>
      <c r="B4445" t="s">
        <v>66</v>
      </c>
      <c r="C4445" t="s">
        <v>341</v>
      </c>
      <c r="D4445" t="s">
        <v>713</v>
      </c>
      <c r="E4445" t="s">
        <v>826</v>
      </c>
      <c r="F4445" t="s">
        <v>2850</v>
      </c>
      <c r="G4445" t="s">
        <v>7291</v>
      </c>
      <c r="H4445" t="s">
        <v>9992</v>
      </c>
      <c r="I4445" t="s">
        <v>17285</v>
      </c>
      <c r="J4445" t="s">
        <v>18893</v>
      </c>
      <c r="K4445">
        <v>10027</v>
      </c>
      <c r="L4445" t="s">
        <v>18958</v>
      </c>
      <c r="M4445" t="s">
        <v>18958</v>
      </c>
      <c r="N4445" t="s">
        <v>22274</v>
      </c>
      <c r="O4445" t="s">
        <v>26523</v>
      </c>
      <c r="P4445" t="s">
        <v>26560</v>
      </c>
      <c r="Q4445" t="s">
        <v>26568</v>
      </c>
      <c r="R4445" t="s">
        <v>26580</v>
      </c>
      <c r="S4445" t="s">
        <v>18959</v>
      </c>
      <c r="U4445" t="s">
        <v>26605</v>
      </c>
      <c r="V4445" t="s">
        <v>26611</v>
      </c>
      <c r="W4445" t="s">
        <v>713</v>
      </c>
      <c r="X4445">
        <v>256</v>
      </c>
      <c r="Y4445" t="s">
        <v>26651</v>
      </c>
      <c r="Z4445" t="s">
        <v>26664</v>
      </c>
      <c r="AA4445" t="s">
        <v>26680</v>
      </c>
      <c r="AB4445" t="s">
        <v>30364</v>
      </c>
      <c r="AD4445" t="s">
        <v>40517</v>
      </c>
      <c r="AE4445">
        <v>0</v>
      </c>
      <c r="AF4445" t="s">
        <v>45549</v>
      </c>
      <c r="AG4445" t="s">
        <v>19330</v>
      </c>
      <c r="AH4445">
        <v>30</v>
      </c>
      <c r="AI4445">
        <v>1</v>
      </c>
      <c r="AJ4445">
        <v>1</v>
      </c>
      <c r="AK4445">
        <v>121.51</v>
      </c>
      <c r="AN4445" t="s">
        <v>7439</v>
      </c>
      <c r="AO4445">
        <v>20000</v>
      </c>
      <c r="AQ4445" t="s">
        <v>46365</v>
      </c>
      <c r="AR4445" t="s">
        <v>46380</v>
      </c>
      <c r="AS4445" t="s">
        <v>46499</v>
      </c>
      <c r="AT4445" t="s">
        <v>46639</v>
      </c>
      <c r="AU4445">
        <v>9</v>
      </c>
      <c r="AV4445" t="s">
        <v>797</v>
      </c>
      <c r="AW4445" t="s">
        <v>46875</v>
      </c>
    </row>
    <row r="4446" spans="1:50">
      <c r="A4446" s="1">
        <f>HYPERLINK("https://lsnyc.legalserver.org/matter/dynamic-profile/view/1886856","19-1886856")</f>
        <v>0</v>
      </c>
      <c r="B4446" t="s">
        <v>66</v>
      </c>
      <c r="C4446" t="s">
        <v>341</v>
      </c>
      <c r="D4446" t="s">
        <v>713</v>
      </c>
      <c r="E4446" t="s">
        <v>832</v>
      </c>
      <c r="F4446" t="s">
        <v>2314</v>
      </c>
      <c r="G4446" t="s">
        <v>6171</v>
      </c>
      <c r="H4446" t="s">
        <v>13014</v>
      </c>
      <c r="I4446" t="s">
        <v>17343</v>
      </c>
      <c r="J4446" t="s">
        <v>18893</v>
      </c>
      <c r="K4446">
        <v>10031</v>
      </c>
      <c r="L4446" t="s">
        <v>18958</v>
      </c>
      <c r="M4446" t="s">
        <v>18958</v>
      </c>
      <c r="N4446" t="s">
        <v>22275</v>
      </c>
      <c r="O4446" t="s">
        <v>26523</v>
      </c>
      <c r="P4446" t="s">
        <v>26564</v>
      </c>
      <c r="Q4446" t="s">
        <v>26570</v>
      </c>
      <c r="R4446" t="s">
        <v>26580</v>
      </c>
      <c r="S4446" t="s">
        <v>18959</v>
      </c>
      <c r="U4446" t="s">
        <v>26604</v>
      </c>
      <c r="V4446" t="s">
        <v>26610</v>
      </c>
      <c r="W4446" t="s">
        <v>713</v>
      </c>
      <c r="X4446">
        <v>871</v>
      </c>
      <c r="Y4446" t="s">
        <v>26651</v>
      </c>
      <c r="Z4446" t="s">
        <v>26668</v>
      </c>
      <c r="AA4446" t="s">
        <v>26683</v>
      </c>
      <c r="AB4446" t="s">
        <v>30365</v>
      </c>
      <c r="AD4446" t="s">
        <v>40518</v>
      </c>
      <c r="AE4446">
        <v>36</v>
      </c>
      <c r="AF4446" t="s">
        <v>45543</v>
      </c>
      <c r="AG4446" t="s">
        <v>45556</v>
      </c>
      <c r="AH4446">
        <v>30</v>
      </c>
      <c r="AI4446">
        <v>2</v>
      </c>
      <c r="AJ4446">
        <v>0</v>
      </c>
      <c r="AK4446">
        <v>212.64</v>
      </c>
      <c r="AN4446" t="s">
        <v>7439</v>
      </c>
      <c r="AO4446">
        <v>35000</v>
      </c>
      <c r="AU4446">
        <v>0.75</v>
      </c>
      <c r="AV4446" t="s">
        <v>693</v>
      </c>
      <c r="AW4446" t="s">
        <v>314</v>
      </c>
    </row>
    <row r="4447" spans="1:50">
      <c r="A4447" s="1">
        <f>HYPERLINK("https://lsnyc.legalserver.org/matter/dynamic-profile/view/1886778","19-1886778")</f>
        <v>0</v>
      </c>
      <c r="B4447" t="s">
        <v>234</v>
      </c>
      <c r="C4447" t="s">
        <v>341</v>
      </c>
      <c r="D4447" t="s">
        <v>713</v>
      </c>
      <c r="E4447" t="s">
        <v>818</v>
      </c>
      <c r="F4447" t="s">
        <v>3040</v>
      </c>
      <c r="G4447" t="s">
        <v>7292</v>
      </c>
      <c r="H4447" t="s">
        <v>13015</v>
      </c>
      <c r="I4447" t="s">
        <v>18053</v>
      </c>
      <c r="J4447" t="s">
        <v>18893</v>
      </c>
      <c r="K4447">
        <v>10027</v>
      </c>
      <c r="L4447" t="s">
        <v>18958</v>
      </c>
      <c r="M4447" t="s">
        <v>18958</v>
      </c>
      <c r="N4447" t="s">
        <v>22276</v>
      </c>
      <c r="O4447" t="s">
        <v>26523</v>
      </c>
      <c r="P4447" t="s">
        <v>26560</v>
      </c>
      <c r="Q4447" t="s">
        <v>26568</v>
      </c>
      <c r="R4447" t="s">
        <v>26580</v>
      </c>
      <c r="S4447" t="s">
        <v>18959</v>
      </c>
      <c r="U4447" t="s">
        <v>26604</v>
      </c>
      <c r="V4447" t="s">
        <v>26610</v>
      </c>
      <c r="W4447" t="s">
        <v>713</v>
      </c>
      <c r="X4447">
        <v>235</v>
      </c>
      <c r="Y4447" t="s">
        <v>26651</v>
      </c>
      <c r="Z4447" t="s">
        <v>26664</v>
      </c>
      <c r="AA4447" t="s">
        <v>26678</v>
      </c>
      <c r="AB4447" t="s">
        <v>30366</v>
      </c>
      <c r="AD4447" t="s">
        <v>40519</v>
      </c>
      <c r="AE4447">
        <v>0</v>
      </c>
      <c r="AG4447" t="s">
        <v>45556</v>
      </c>
      <c r="AH4447">
        <v>32</v>
      </c>
      <c r="AI4447">
        <v>1</v>
      </c>
      <c r="AJ4447">
        <v>0</v>
      </c>
      <c r="AK4447">
        <v>94.3</v>
      </c>
      <c r="AN4447" t="s">
        <v>7439</v>
      </c>
      <c r="AO4447">
        <v>11448</v>
      </c>
      <c r="AS4447" t="s">
        <v>46499</v>
      </c>
      <c r="AT4447" t="s">
        <v>46784</v>
      </c>
      <c r="AU4447">
        <v>11.1</v>
      </c>
      <c r="AV4447" t="s">
        <v>769</v>
      </c>
      <c r="AW4447" t="s">
        <v>46875</v>
      </c>
      <c r="AX4447" t="s">
        <v>46897</v>
      </c>
    </row>
    <row r="4448" spans="1:50">
      <c r="A4448" s="1">
        <f>HYPERLINK("https://lsnyc.legalserver.org/matter/dynamic-profile/view/1885823","18-1885823")</f>
        <v>0</v>
      </c>
      <c r="B4448" t="s">
        <v>153</v>
      </c>
      <c r="C4448" t="s">
        <v>341</v>
      </c>
      <c r="D4448" t="s">
        <v>713</v>
      </c>
      <c r="E4448" t="s">
        <v>819</v>
      </c>
      <c r="F4448" t="s">
        <v>2840</v>
      </c>
      <c r="G4448" t="s">
        <v>7293</v>
      </c>
      <c r="H4448" t="s">
        <v>13016</v>
      </c>
      <c r="I4448" t="s">
        <v>17415</v>
      </c>
      <c r="J4448" t="s">
        <v>18902</v>
      </c>
      <c r="K4448">
        <v>10304</v>
      </c>
      <c r="L4448" t="s">
        <v>18958</v>
      </c>
      <c r="M4448" t="s">
        <v>18958</v>
      </c>
      <c r="N4448" t="s">
        <v>22277</v>
      </c>
      <c r="P4448" t="s">
        <v>26560</v>
      </c>
      <c r="Q4448" t="s">
        <v>26568</v>
      </c>
      <c r="R4448" t="s">
        <v>26578</v>
      </c>
      <c r="U4448" t="s">
        <v>26604</v>
      </c>
      <c r="W4448" t="s">
        <v>713</v>
      </c>
      <c r="X4448">
        <v>0</v>
      </c>
      <c r="Y4448" t="s">
        <v>26654</v>
      </c>
      <c r="AA4448" t="s">
        <v>26679</v>
      </c>
      <c r="AB4448" t="s">
        <v>27515</v>
      </c>
      <c r="AD4448" t="s">
        <v>40520</v>
      </c>
      <c r="AE4448">
        <v>0</v>
      </c>
      <c r="AH4448">
        <v>0</v>
      </c>
      <c r="AI4448">
        <v>4</v>
      </c>
      <c r="AJ4448">
        <v>1</v>
      </c>
      <c r="AK4448">
        <v>54.38</v>
      </c>
      <c r="AN4448" t="s">
        <v>7439</v>
      </c>
      <c r="AO4448">
        <v>16000</v>
      </c>
      <c r="AU4448">
        <v>2.6</v>
      </c>
      <c r="AV4448" t="s">
        <v>805</v>
      </c>
      <c r="AW4448" t="s">
        <v>46852</v>
      </c>
    </row>
    <row r="4449" spans="1:49">
      <c r="A4449" s="1">
        <f>HYPERLINK("https://lsnyc.legalserver.org/matter/dynamic-profile/view/1886820","19-1886820")</f>
        <v>0</v>
      </c>
      <c r="B4449" t="s">
        <v>162</v>
      </c>
      <c r="C4449" t="s">
        <v>341</v>
      </c>
      <c r="D4449" t="s">
        <v>713</v>
      </c>
      <c r="E4449" t="s">
        <v>739</v>
      </c>
      <c r="F4449" t="s">
        <v>3041</v>
      </c>
      <c r="G4449" t="s">
        <v>7294</v>
      </c>
      <c r="H4449" t="s">
        <v>13017</v>
      </c>
      <c r="I4449" t="s">
        <v>17574</v>
      </c>
      <c r="J4449" t="s">
        <v>18894</v>
      </c>
      <c r="K4449">
        <v>11219</v>
      </c>
      <c r="L4449" t="s">
        <v>18958</v>
      </c>
      <c r="M4449" t="s">
        <v>18958</v>
      </c>
      <c r="N4449" t="s">
        <v>22278</v>
      </c>
      <c r="O4449" t="s">
        <v>26523</v>
      </c>
      <c r="P4449" t="s">
        <v>26564</v>
      </c>
      <c r="Q4449" t="s">
        <v>26570</v>
      </c>
      <c r="R4449" t="s">
        <v>26586</v>
      </c>
      <c r="S4449" t="s">
        <v>18959</v>
      </c>
      <c r="U4449" t="s">
        <v>26604</v>
      </c>
      <c r="V4449" t="s">
        <v>26610</v>
      </c>
      <c r="W4449" t="s">
        <v>713</v>
      </c>
      <c r="X4449">
        <v>1375</v>
      </c>
      <c r="Y4449" t="s">
        <v>26652</v>
      </c>
      <c r="Z4449" t="s">
        <v>26664</v>
      </c>
      <c r="AA4449" t="s">
        <v>26683</v>
      </c>
      <c r="AB4449" t="s">
        <v>30367</v>
      </c>
      <c r="AD4449" t="s">
        <v>34738</v>
      </c>
      <c r="AE4449">
        <v>30</v>
      </c>
      <c r="AF4449" t="s">
        <v>45541</v>
      </c>
      <c r="AG4449" t="s">
        <v>19330</v>
      </c>
      <c r="AH4449">
        <v>3</v>
      </c>
      <c r="AI4449">
        <v>2</v>
      </c>
      <c r="AJ4449">
        <v>0</v>
      </c>
      <c r="AK4449">
        <v>62.58</v>
      </c>
      <c r="AN4449" t="s">
        <v>7439</v>
      </c>
      <c r="AO4449">
        <v>10300</v>
      </c>
      <c r="AU4449">
        <v>1.7</v>
      </c>
      <c r="AV4449" t="s">
        <v>458</v>
      </c>
      <c r="AW4449" t="s">
        <v>46853</v>
      </c>
    </row>
    <row r="4450" spans="1:49">
      <c r="A4450" s="1">
        <f>HYPERLINK("https://lsnyc.legalserver.org/matter/dynamic-profile/view/1886877","19-1886877")</f>
        <v>0</v>
      </c>
      <c r="B4450" t="s">
        <v>162</v>
      </c>
      <c r="C4450" t="s">
        <v>341</v>
      </c>
      <c r="D4450" t="s">
        <v>713</v>
      </c>
      <c r="E4450" t="s">
        <v>819</v>
      </c>
      <c r="F4450" t="s">
        <v>1048</v>
      </c>
      <c r="G4450" t="s">
        <v>7295</v>
      </c>
      <c r="H4450" t="s">
        <v>13018</v>
      </c>
      <c r="I4450" t="s">
        <v>17333</v>
      </c>
      <c r="J4450" t="s">
        <v>18894</v>
      </c>
      <c r="K4450">
        <v>11226</v>
      </c>
      <c r="L4450" t="s">
        <v>18958</v>
      </c>
      <c r="M4450" t="s">
        <v>18958</v>
      </c>
      <c r="N4450" t="s">
        <v>22279</v>
      </c>
      <c r="O4450" t="s">
        <v>26523</v>
      </c>
      <c r="P4450" t="s">
        <v>26560</v>
      </c>
      <c r="Q4450" t="s">
        <v>26573</v>
      </c>
      <c r="R4450" t="s">
        <v>26588</v>
      </c>
      <c r="S4450" t="s">
        <v>18959</v>
      </c>
      <c r="U4450" t="s">
        <v>26604</v>
      </c>
      <c r="V4450" t="s">
        <v>26612</v>
      </c>
      <c r="W4450" t="s">
        <v>713</v>
      </c>
      <c r="X4450">
        <v>1584</v>
      </c>
      <c r="Y4450" t="s">
        <v>26652</v>
      </c>
      <c r="Z4450" t="s">
        <v>26664</v>
      </c>
      <c r="AA4450" t="s">
        <v>26678</v>
      </c>
      <c r="AB4450" t="s">
        <v>30368</v>
      </c>
      <c r="AD4450" t="s">
        <v>40521</v>
      </c>
      <c r="AE4450">
        <v>0</v>
      </c>
      <c r="AF4450" t="s">
        <v>45541</v>
      </c>
      <c r="AG4450" t="s">
        <v>19330</v>
      </c>
      <c r="AH4450">
        <v>2</v>
      </c>
      <c r="AI4450">
        <v>1</v>
      </c>
      <c r="AJ4450">
        <v>2</v>
      </c>
      <c r="AK4450">
        <v>75.26000000000001</v>
      </c>
      <c r="AN4450" t="s">
        <v>7439</v>
      </c>
      <c r="AO4450">
        <v>15639</v>
      </c>
      <c r="AS4450" t="s">
        <v>46499</v>
      </c>
      <c r="AT4450" t="s">
        <v>46694</v>
      </c>
      <c r="AU4450">
        <v>20.9</v>
      </c>
      <c r="AV4450" t="s">
        <v>762</v>
      </c>
      <c r="AW4450" t="s">
        <v>46853</v>
      </c>
    </row>
    <row r="4451" spans="1:49">
      <c r="A4451" s="1">
        <f>HYPERLINK("https://lsnyc.legalserver.org/matter/dynamic-profile/view/1886878","19-1886878")</f>
        <v>0</v>
      </c>
      <c r="B4451" t="s">
        <v>50</v>
      </c>
      <c r="C4451" t="s">
        <v>341</v>
      </c>
      <c r="D4451" t="s">
        <v>713</v>
      </c>
      <c r="E4451" t="s">
        <v>671</v>
      </c>
      <c r="F4451" t="s">
        <v>972</v>
      </c>
      <c r="G4451" t="s">
        <v>7296</v>
      </c>
      <c r="H4451" t="s">
        <v>13019</v>
      </c>
      <c r="I4451" t="s">
        <v>17316</v>
      </c>
      <c r="J4451" t="s">
        <v>18892</v>
      </c>
      <c r="K4451">
        <v>10468</v>
      </c>
      <c r="L4451" t="s">
        <v>18958</v>
      </c>
      <c r="M4451" t="s">
        <v>18958</v>
      </c>
      <c r="N4451" t="s">
        <v>22280</v>
      </c>
      <c r="O4451" t="s">
        <v>26523</v>
      </c>
      <c r="P4451" t="s">
        <v>26560</v>
      </c>
      <c r="Q4451" t="s">
        <v>26568</v>
      </c>
      <c r="R4451" t="s">
        <v>26579</v>
      </c>
      <c r="S4451" t="s">
        <v>18959</v>
      </c>
      <c r="U4451" t="s">
        <v>26604</v>
      </c>
      <c r="V4451" t="s">
        <v>26610</v>
      </c>
      <c r="W4451" t="s">
        <v>713</v>
      </c>
      <c r="X4451">
        <v>1568.53</v>
      </c>
      <c r="Y4451" t="s">
        <v>26650</v>
      </c>
      <c r="Z4451" t="s">
        <v>26664</v>
      </c>
      <c r="AA4451" t="s">
        <v>26678</v>
      </c>
      <c r="AB4451" t="s">
        <v>30369</v>
      </c>
      <c r="AD4451" t="s">
        <v>40522</v>
      </c>
      <c r="AE4451">
        <v>24</v>
      </c>
      <c r="AF4451" t="s">
        <v>45541</v>
      </c>
      <c r="AG4451" t="s">
        <v>19330</v>
      </c>
      <c r="AH4451">
        <v>7</v>
      </c>
      <c r="AI4451">
        <v>4</v>
      </c>
      <c r="AJ4451">
        <v>0</v>
      </c>
      <c r="AK4451">
        <v>87.65000000000001</v>
      </c>
      <c r="AN4451" t="s">
        <v>7439</v>
      </c>
      <c r="AO4451">
        <v>22000</v>
      </c>
      <c r="AQ4451" t="s">
        <v>46362</v>
      </c>
      <c r="AR4451" t="s">
        <v>46380</v>
      </c>
      <c r="AS4451" t="s">
        <v>46499</v>
      </c>
      <c r="AT4451" t="s">
        <v>46654</v>
      </c>
      <c r="AU4451">
        <v>12.25</v>
      </c>
      <c r="AV4451" t="s">
        <v>671</v>
      </c>
      <c r="AW4451" t="s">
        <v>334</v>
      </c>
    </row>
    <row r="4452" spans="1:49">
      <c r="A4452" s="1">
        <f>HYPERLINK("https://lsnyc.legalserver.org/matter/dynamic-profile/view/1886886","19-1886886")</f>
        <v>0</v>
      </c>
      <c r="B4452" t="s">
        <v>121</v>
      </c>
      <c r="C4452" t="s">
        <v>341</v>
      </c>
      <c r="D4452" t="s">
        <v>713</v>
      </c>
      <c r="E4452" t="s">
        <v>829</v>
      </c>
      <c r="F4452" t="s">
        <v>3042</v>
      </c>
      <c r="G4452" t="s">
        <v>7297</v>
      </c>
      <c r="H4452" t="s">
        <v>13020</v>
      </c>
      <c r="I4452" t="s">
        <v>17356</v>
      </c>
      <c r="J4452" t="s">
        <v>18892</v>
      </c>
      <c r="K4452">
        <v>10462</v>
      </c>
      <c r="L4452" t="s">
        <v>18958</v>
      </c>
      <c r="M4452" t="s">
        <v>18958</v>
      </c>
      <c r="N4452" t="s">
        <v>22281</v>
      </c>
      <c r="O4452" t="s">
        <v>26523</v>
      </c>
      <c r="P4452" t="s">
        <v>26560</v>
      </c>
      <c r="Q4452" t="s">
        <v>26568</v>
      </c>
      <c r="R4452" t="s">
        <v>26579</v>
      </c>
      <c r="S4452" t="s">
        <v>18959</v>
      </c>
      <c r="U4452" t="s">
        <v>26604</v>
      </c>
      <c r="V4452" t="s">
        <v>26610</v>
      </c>
      <c r="W4452" t="s">
        <v>713</v>
      </c>
      <c r="X4452">
        <v>1514.97</v>
      </c>
      <c r="Y4452" t="s">
        <v>26650</v>
      </c>
      <c r="Z4452" t="s">
        <v>26664</v>
      </c>
      <c r="AA4452" t="s">
        <v>26679</v>
      </c>
      <c r="AB4452" t="s">
        <v>30370</v>
      </c>
      <c r="AD4452" t="s">
        <v>40523</v>
      </c>
      <c r="AE4452">
        <v>0</v>
      </c>
      <c r="AF4452" t="s">
        <v>45553</v>
      </c>
      <c r="AG4452" t="s">
        <v>45557</v>
      </c>
      <c r="AH4452">
        <v>8</v>
      </c>
      <c r="AI4452">
        <v>1</v>
      </c>
      <c r="AJ4452">
        <v>1</v>
      </c>
      <c r="AK4452">
        <v>21.87</v>
      </c>
      <c r="AN4452" t="s">
        <v>7439</v>
      </c>
      <c r="AO4452">
        <v>3600</v>
      </c>
      <c r="AR4452" t="s">
        <v>46380</v>
      </c>
      <c r="AS4452" t="s">
        <v>46500</v>
      </c>
      <c r="AT4452" t="s">
        <v>46687</v>
      </c>
      <c r="AU4452">
        <v>12</v>
      </c>
      <c r="AV4452" t="s">
        <v>731</v>
      </c>
      <c r="AW4452" t="s">
        <v>334</v>
      </c>
    </row>
    <row r="4453" spans="1:49">
      <c r="A4453" s="1">
        <f>HYPERLINK("https://lsnyc.legalserver.org/matter/dynamic-profile/view/1886812","19-1886812")</f>
        <v>0</v>
      </c>
      <c r="B4453" t="s">
        <v>183</v>
      </c>
      <c r="C4453" t="s">
        <v>340</v>
      </c>
      <c r="D4453" t="s">
        <v>713</v>
      </c>
      <c r="F4453" t="s">
        <v>871</v>
      </c>
      <c r="G4453" t="s">
        <v>1725</v>
      </c>
      <c r="H4453" t="s">
        <v>13021</v>
      </c>
      <c r="I4453">
        <v>10</v>
      </c>
      <c r="J4453" t="s">
        <v>18893</v>
      </c>
      <c r="K4453">
        <v>10025</v>
      </c>
      <c r="L4453" t="s">
        <v>18958</v>
      </c>
      <c r="M4453" t="s">
        <v>18958</v>
      </c>
      <c r="N4453" t="s">
        <v>22282</v>
      </c>
      <c r="O4453" t="s">
        <v>26523</v>
      </c>
      <c r="P4453" t="s">
        <v>26560</v>
      </c>
      <c r="R4453" t="s">
        <v>26580</v>
      </c>
      <c r="S4453" t="s">
        <v>18959</v>
      </c>
      <c r="U4453" t="s">
        <v>26604</v>
      </c>
      <c r="W4453" t="s">
        <v>713</v>
      </c>
      <c r="X4453">
        <v>631.42</v>
      </c>
      <c r="Y4453" t="s">
        <v>26651</v>
      </c>
      <c r="Z4453" t="s">
        <v>26664</v>
      </c>
      <c r="AB4453" t="s">
        <v>30371</v>
      </c>
      <c r="AD4453" t="s">
        <v>40524</v>
      </c>
      <c r="AE4453">
        <v>0</v>
      </c>
      <c r="AF4453" t="s">
        <v>45548</v>
      </c>
      <c r="AG4453" t="s">
        <v>19330</v>
      </c>
      <c r="AH4453">
        <v>38</v>
      </c>
      <c r="AI4453">
        <v>1</v>
      </c>
      <c r="AJ4453">
        <v>0</v>
      </c>
      <c r="AK4453">
        <v>128.5</v>
      </c>
      <c r="AN4453" t="s">
        <v>45581</v>
      </c>
      <c r="AO4453">
        <v>15600</v>
      </c>
      <c r="AU4453">
        <v>19.2</v>
      </c>
      <c r="AV4453" t="s">
        <v>802</v>
      </c>
      <c r="AW4453" t="s">
        <v>46875</v>
      </c>
    </row>
    <row r="4454" spans="1:49">
      <c r="A4454" s="1">
        <f>HYPERLINK("https://lsnyc.legalserver.org/matter/dynamic-profile/view/1887197","19-1887197")</f>
        <v>0</v>
      </c>
      <c r="B4454" t="s">
        <v>149</v>
      </c>
      <c r="C4454" t="s">
        <v>340</v>
      </c>
      <c r="D4454" t="s">
        <v>713</v>
      </c>
      <c r="F4454" t="s">
        <v>1119</v>
      </c>
      <c r="G4454" t="s">
        <v>7298</v>
      </c>
      <c r="H4454" t="s">
        <v>11964</v>
      </c>
      <c r="I4454" t="s">
        <v>17283</v>
      </c>
      <c r="J4454" t="s">
        <v>18892</v>
      </c>
      <c r="K4454">
        <v>10457</v>
      </c>
      <c r="L4454" t="s">
        <v>18958</v>
      </c>
      <c r="M4454" t="s">
        <v>18958</v>
      </c>
      <c r="N4454" t="s">
        <v>22283</v>
      </c>
      <c r="O4454" t="s">
        <v>26523</v>
      </c>
      <c r="P4454" t="s">
        <v>26560</v>
      </c>
      <c r="R4454" t="s">
        <v>26579</v>
      </c>
      <c r="S4454" t="s">
        <v>18959</v>
      </c>
      <c r="U4454" t="s">
        <v>26604</v>
      </c>
      <c r="V4454" t="s">
        <v>26610</v>
      </c>
      <c r="W4454" t="s">
        <v>713</v>
      </c>
      <c r="X4454">
        <v>400</v>
      </c>
      <c r="Y4454" t="s">
        <v>26650</v>
      </c>
      <c r="AB4454" t="s">
        <v>30372</v>
      </c>
      <c r="AD4454" t="s">
        <v>40525</v>
      </c>
      <c r="AE4454">
        <v>32</v>
      </c>
      <c r="AG4454" t="s">
        <v>45556</v>
      </c>
      <c r="AH4454">
        <v>3</v>
      </c>
      <c r="AI4454">
        <v>1</v>
      </c>
      <c r="AJ4454">
        <v>0</v>
      </c>
      <c r="AK4454">
        <v>108.73</v>
      </c>
      <c r="AN4454" t="s">
        <v>45581</v>
      </c>
      <c r="AO4454">
        <v>13200</v>
      </c>
      <c r="AU4454">
        <v>12.9</v>
      </c>
      <c r="AV4454" t="s">
        <v>835</v>
      </c>
      <c r="AW4454" t="s">
        <v>336</v>
      </c>
    </row>
    <row r="4455" spans="1:49">
      <c r="A4455" s="1">
        <f>HYPERLINK("https://lsnyc.legalserver.org/matter/dynamic-profile/view/1886889","19-1886889")</f>
        <v>0</v>
      </c>
      <c r="B4455" t="s">
        <v>117</v>
      </c>
      <c r="C4455" t="s">
        <v>340</v>
      </c>
      <c r="D4455" t="s">
        <v>713</v>
      </c>
      <c r="F4455" t="s">
        <v>1191</v>
      </c>
      <c r="G4455" t="s">
        <v>7299</v>
      </c>
      <c r="H4455" t="s">
        <v>13022</v>
      </c>
      <c r="J4455" t="s">
        <v>18894</v>
      </c>
      <c r="K4455">
        <v>11212</v>
      </c>
      <c r="L4455" t="s">
        <v>18958</v>
      </c>
      <c r="M4455" t="s">
        <v>18958</v>
      </c>
      <c r="N4455" t="s">
        <v>19045</v>
      </c>
      <c r="P4455" t="s">
        <v>26564</v>
      </c>
      <c r="R4455" t="s">
        <v>26578</v>
      </c>
      <c r="S4455" t="s">
        <v>18959</v>
      </c>
      <c r="U4455" t="s">
        <v>26604</v>
      </c>
      <c r="V4455" t="s">
        <v>26610</v>
      </c>
      <c r="W4455" t="s">
        <v>713</v>
      </c>
      <c r="X4455">
        <v>1696</v>
      </c>
      <c r="Y4455" t="s">
        <v>26652</v>
      </c>
      <c r="AB4455" t="s">
        <v>30373</v>
      </c>
      <c r="AC4455" t="s">
        <v>35769</v>
      </c>
      <c r="AD4455" t="s">
        <v>40526</v>
      </c>
      <c r="AE4455">
        <v>0</v>
      </c>
      <c r="AF4455" t="s">
        <v>45543</v>
      </c>
      <c r="AG4455" t="s">
        <v>45556</v>
      </c>
      <c r="AH4455">
        <v>1</v>
      </c>
      <c r="AI4455">
        <v>2</v>
      </c>
      <c r="AJ4455">
        <v>1</v>
      </c>
      <c r="AK4455">
        <v>21.9</v>
      </c>
      <c r="AN4455" t="s">
        <v>7439</v>
      </c>
      <c r="AO4455">
        <v>4550</v>
      </c>
      <c r="AP4455" t="s">
        <v>45780</v>
      </c>
      <c r="AU4455">
        <v>2</v>
      </c>
      <c r="AV4455" t="s">
        <v>668</v>
      </c>
      <c r="AW4455" t="s">
        <v>279</v>
      </c>
    </row>
    <row r="4456" spans="1:49">
      <c r="A4456" s="1">
        <f>HYPERLINK("https://lsnyc.legalserver.org/matter/dynamic-profile/view/1886779","19-1886779")</f>
        <v>0</v>
      </c>
      <c r="B4456" t="s">
        <v>66</v>
      </c>
      <c r="C4456" t="s">
        <v>340</v>
      </c>
      <c r="D4456" t="s">
        <v>713</v>
      </c>
      <c r="F4456" t="s">
        <v>2361</v>
      </c>
      <c r="G4456" t="s">
        <v>7300</v>
      </c>
      <c r="H4456" t="s">
        <v>13023</v>
      </c>
      <c r="I4456" t="s">
        <v>17347</v>
      </c>
      <c r="J4456" t="s">
        <v>18893</v>
      </c>
      <c r="K4456">
        <v>10027</v>
      </c>
      <c r="L4456" t="s">
        <v>18958</v>
      </c>
      <c r="M4456" t="s">
        <v>18958</v>
      </c>
      <c r="N4456" t="s">
        <v>22284</v>
      </c>
      <c r="O4456" t="s">
        <v>26523</v>
      </c>
      <c r="P4456" t="s">
        <v>26560</v>
      </c>
      <c r="R4456" t="s">
        <v>26580</v>
      </c>
      <c r="S4456" t="s">
        <v>18959</v>
      </c>
      <c r="U4456" t="s">
        <v>26604</v>
      </c>
      <c r="V4456" t="s">
        <v>26610</v>
      </c>
      <c r="W4456" t="s">
        <v>713</v>
      </c>
      <c r="X4456">
        <v>590.27</v>
      </c>
      <c r="Y4456" t="s">
        <v>26651</v>
      </c>
      <c r="Z4456" t="s">
        <v>26668</v>
      </c>
      <c r="AB4456" t="s">
        <v>27622</v>
      </c>
      <c r="AD4456" t="s">
        <v>40527</v>
      </c>
      <c r="AE4456">
        <v>0</v>
      </c>
      <c r="AF4456" t="s">
        <v>45544</v>
      </c>
      <c r="AG4456" t="s">
        <v>19330</v>
      </c>
      <c r="AH4456">
        <v>12</v>
      </c>
      <c r="AI4456">
        <v>1</v>
      </c>
      <c r="AJ4456">
        <v>0</v>
      </c>
      <c r="AK4456">
        <v>111.37</v>
      </c>
      <c r="AN4456" t="s">
        <v>7439</v>
      </c>
      <c r="AO4456">
        <v>13520.04</v>
      </c>
      <c r="AU4456">
        <v>7.5</v>
      </c>
      <c r="AV4456" t="s">
        <v>760</v>
      </c>
      <c r="AW4456" t="s">
        <v>314</v>
      </c>
    </row>
    <row r="4457" spans="1:49">
      <c r="A4457" s="1">
        <f>HYPERLINK("https://lsnyc.legalserver.org/matter/dynamic-profile/view/1886944","19-1886944")</f>
        <v>0</v>
      </c>
      <c r="B4457" t="s">
        <v>262</v>
      </c>
      <c r="C4457" t="s">
        <v>340</v>
      </c>
      <c r="D4457" t="s">
        <v>713</v>
      </c>
      <c r="F4457" t="s">
        <v>3043</v>
      </c>
      <c r="G4457" t="s">
        <v>5008</v>
      </c>
      <c r="H4457" t="s">
        <v>13024</v>
      </c>
      <c r="I4457" t="s">
        <v>17304</v>
      </c>
      <c r="J4457" t="s">
        <v>18892</v>
      </c>
      <c r="K4457">
        <v>10460</v>
      </c>
      <c r="L4457" t="s">
        <v>18958</v>
      </c>
      <c r="M4457" t="s">
        <v>18958</v>
      </c>
      <c r="N4457" t="s">
        <v>22285</v>
      </c>
      <c r="O4457" t="s">
        <v>26523</v>
      </c>
      <c r="P4457" t="s">
        <v>26560</v>
      </c>
      <c r="R4457" t="s">
        <v>26577</v>
      </c>
      <c r="S4457" t="s">
        <v>18959</v>
      </c>
      <c r="U4457" t="s">
        <v>26604</v>
      </c>
      <c r="V4457" t="s">
        <v>26612</v>
      </c>
      <c r="W4457" t="s">
        <v>713</v>
      </c>
      <c r="X4457">
        <v>1510.83</v>
      </c>
      <c r="Y4457" t="s">
        <v>26650</v>
      </c>
      <c r="Z4457" t="s">
        <v>26664</v>
      </c>
      <c r="AB4457" t="s">
        <v>30071</v>
      </c>
      <c r="AE4457">
        <v>0</v>
      </c>
      <c r="AF4457" t="s">
        <v>45541</v>
      </c>
      <c r="AG4457" t="s">
        <v>45558</v>
      </c>
      <c r="AH4457">
        <v>2</v>
      </c>
      <c r="AI4457">
        <v>1</v>
      </c>
      <c r="AJ4457">
        <v>2</v>
      </c>
      <c r="AK4457">
        <v>105.87</v>
      </c>
      <c r="AN4457" t="s">
        <v>7439</v>
      </c>
      <c r="AO4457">
        <v>22000</v>
      </c>
      <c r="AP4457" t="s">
        <v>45654</v>
      </c>
      <c r="AU4457">
        <v>81.8</v>
      </c>
      <c r="AV4457" t="s">
        <v>780</v>
      </c>
      <c r="AW4457" t="s">
        <v>336</v>
      </c>
    </row>
    <row r="4458" spans="1:49">
      <c r="A4458" s="1">
        <f>HYPERLINK("https://lsnyc.legalserver.org/matter/dynamic-profile/view/1887000","19-1887000")</f>
        <v>0</v>
      </c>
      <c r="B4458" t="s">
        <v>262</v>
      </c>
      <c r="C4458" t="s">
        <v>340</v>
      </c>
      <c r="D4458" t="s">
        <v>713</v>
      </c>
      <c r="F4458" t="s">
        <v>1756</v>
      </c>
      <c r="G4458" t="s">
        <v>5964</v>
      </c>
      <c r="H4458" t="s">
        <v>13025</v>
      </c>
      <c r="I4458" t="s">
        <v>17360</v>
      </c>
      <c r="J4458" t="s">
        <v>18892</v>
      </c>
      <c r="K4458">
        <v>10467</v>
      </c>
      <c r="L4458" t="s">
        <v>18958</v>
      </c>
      <c r="M4458" t="s">
        <v>18958</v>
      </c>
      <c r="N4458" t="s">
        <v>22286</v>
      </c>
      <c r="O4458" t="s">
        <v>26523</v>
      </c>
      <c r="P4458" t="s">
        <v>26564</v>
      </c>
      <c r="R4458" t="s">
        <v>26579</v>
      </c>
      <c r="S4458" t="s">
        <v>18959</v>
      </c>
      <c r="U4458" t="s">
        <v>26604</v>
      </c>
      <c r="V4458" t="s">
        <v>26609</v>
      </c>
      <c r="W4458" t="s">
        <v>713</v>
      </c>
      <c r="X4458">
        <v>785.1900000000001</v>
      </c>
      <c r="Y4458" t="s">
        <v>26650</v>
      </c>
      <c r="Z4458" t="s">
        <v>26668</v>
      </c>
      <c r="AB4458" t="s">
        <v>30374</v>
      </c>
      <c r="AD4458" t="s">
        <v>40528</v>
      </c>
      <c r="AE4458">
        <v>43</v>
      </c>
      <c r="AG4458" t="s">
        <v>19330</v>
      </c>
      <c r="AH4458">
        <v>18</v>
      </c>
      <c r="AI4458">
        <v>2</v>
      </c>
      <c r="AJ4458">
        <v>2</v>
      </c>
      <c r="AK4458">
        <v>102.76</v>
      </c>
      <c r="AN4458" t="s">
        <v>7439</v>
      </c>
      <c r="AO4458">
        <v>25792</v>
      </c>
      <c r="AR4458" t="s">
        <v>46379</v>
      </c>
      <c r="AS4458" t="s">
        <v>46499</v>
      </c>
      <c r="AT4458" t="s">
        <v>46515</v>
      </c>
      <c r="AU4458">
        <v>0.5</v>
      </c>
      <c r="AV4458" t="s">
        <v>458</v>
      </c>
      <c r="AW4458" t="s">
        <v>336</v>
      </c>
    </row>
    <row r="4459" spans="1:49">
      <c r="A4459" s="1">
        <f>HYPERLINK("https://lsnyc.legalserver.org/matter/dynamic-profile/view/1886855","18-1886855")</f>
        <v>0</v>
      </c>
      <c r="B4459" t="s">
        <v>262</v>
      </c>
      <c r="C4459" t="s">
        <v>340</v>
      </c>
      <c r="D4459" t="s">
        <v>713</v>
      </c>
      <c r="F4459" t="s">
        <v>875</v>
      </c>
      <c r="G4459" t="s">
        <v>5147</v>
      </c>
      <c r="H4459" t="s">
        <v>13026</v>
      </c>
      <c r="I4459" t="s">
        <v>17291</v>
      </c>
      <c r="J4459" t="s">
        <v>18892</v>
      </c>
      <c r="K4459">
        <v>10468</v>
      </c>
      <c r="L4459" t="s">
        <v>18958</v>
      </c>
      <c r="M4459" t="s">
        <v>18958</v>
      </c>
      <c r="N4459" t="s">
        <v>22287</v>
      </c>
      <c r="O4459" t="s">
        <v>26523</v>
      </c>
      <c r="P4459" t="s">
        <v>26560</v>
      </c>
      <c r="R4459" t="s">
        <v>26579</v>
      </c>
      <c r="S4459" t="s">
        <v>18959</v>
      </c>
      <c r="U4459" t="s">
        <v>26604</v>
      </c>
      <c r="W4459" t="s">
        <v>713</v>
      </c>
      <c r="X4459">
        <v>1026.29</v>
      </c>
      <c r="Y4459" t="s">
        <v>26650</v>
      </c>
      <c r="Z4459" t="s">
        <v>26664</v>
      </c>
      <c r="AB4459" t="s">
        <v>30375</v>
      </c>
      <c r="AD4459" t="s">
        <v>40529</v>
      </c>
      <c r="AE4459">
        <v>65</v>
      </c>
      <c r="AF4459" t="s">
        <v>45541</v>
      </c>
      <c r="AH4459">
        <v>36</v>
      </c>
      <c r="AI4459">
        <v>2</v>
      </c>
      <c r="AJ4459">
        <v>0</v>
      </c>
      <c r="AK4459">
        <v>113.72</v>
      </c>
      <c r="AN4459" t="s">
        <v>7439</v>
      </c>
      <c r="AO4459">
        <v>18718.56</v>
      </c>
      <c r="AP4459" t="s">
        <v>45654</v>
      </c>
      <c r="AU4459">
        <v>30.1</v>
      </c>
      <c r="AV4459" t="s">
        <v>723</v>
      </c>
      <c r="AW4459" t="s">
        <v>336</v>
      </c>
    </row>
    <row r="4460" spans="1:49">
      <c r="A4460" s="1">
        <f>HYPERLINK("https://lsnyc.legalserver.org/matter/dynamic-profile/view/1886789","19-1886789")</f>
        <v>0</v>
      </c>
      <c r="B4460" t="s">
        <v>84</v>
      </c>
      <c r="C4460" t="s">
        <v>340</v>
      </c>
      <c r="D4460" t="s">
        <v>713</v>
      </c>
      <c r="F4460" t="s">
        <v>1352</v>
      </c>
      <c r="G4460" t="s">
        <v>7301</v>
      </c>
      <c r="H4460" t="s">
        <v>13027</v>
      </c>
      <c r="I4460" t="s">
        <v>17272</v>
      </c>
      <c r="J4460" t="s">
        <v>18893</v>
      </c>
      <c r="K4460">
        <v>10027</v>
      </c>
      <c r="L4460" t="s">
        <v>18958</v>
      </c>
      <c r="M4460" t="s">
        <v>18958</v>
      </c>
      <c r="N4460" t="s">
        <v>22288</v>
      </c>
      <c r="O4460" t="s">
        <v>26523</v>
      </c>
      <c r="P4460" t="s">
        <v>26564</v>
      </c>
      <c r="R4460" t="s">
        <v>26580</v>
      </c>
      <c r="S4460" t="s">
        <v>18959</v>
      </c>
      <c r="U4460" t="s">
        <v>26604</v>
      </c>
      <c r="V4460" t="s">
        <v>26610</v>
      </c>
      <c r="W4460" t="s">
        <v>713</v>
      </c>
      <c r="X4460">
        <v>1205.64</v>
      </c>
      <c r="Y4460" t="s">
        <v>26651</v>
      </c>
      <c r="Z4460" t="s">
        <v>26668</v>
      </c>
      <c r="AB4460" t="s">
        <v>30376</v>
      </c>
      <c r="AD4460" t="s">
        <v>40530</v>
      </c>
      <c r="AE4460">
        <v>0</v>
      </c>
      <c r="AF4460" t="s">
        <v>45544</v>
      </c>
      <c r="AG4460" t="s">
        <v>45556</v>
      </c>
      <c r="AH4460">
        <v>15</v>
      </c>
      <c r="AI4460">
        <v>1</v>
      </c>
      <c r="AJ4460">
        <v>0</v>
      </c>
      <c r="AK4460">
        <v>0</v>
      </c>
      <c r="AN4460" t="s">
        <v>7439</v>
      </c>
      <c r="AO4460">
        <v>0</v>
      </c>
      <c r="AU4460">
        <v>0.3</v>
      </c>
      <c r="AV4460" t="s">
        <v>573</v>
      </c>
      <c r="AW4460" t="s">
        <v>314</v>
      </c>
    </row>
    <row r="4461" spans="1:49">
      <c r="A4461" s="1">
        <f>HYPERLINK("https://lsnyc.legalserver.org/matter/dynamic-profile/view/1886809","19-1886809")</f>
        <v>0</v>
      </c>
      <c r="B4461" t="s">
        <v>84</v>
      </c>
      <c r="C4461" t="s">
        <v>340</v>
      </c>
      <c r="D4461" t="s">
        <v>713</v>
      </c>
      <c r="F4461" t="s">
        <v>3044</v>
      </c>
      <c r="G4461" t="s">
        <v>6420</v>
      </c>
      <c r="H4461" t="s">
        <v>13028</v>
      </c>
      <c r="I4461" t="s">
        <v>17282</v>
      </c>
      <c r="J4461" t="s">
        <v>18893</v>
      </c>
      <c r="K4461">
        <v>10026</v>
      </c>
      <c r="L4461" t="s">
        <v>18958</v>
      </c>
      <c r="M4461" t="s">
        <v>18958</v>
      </c>
      <c r="N4461" t="s">
        <v>22289</v>
      </c>
      <c r="O4461" t="s">
        <v>26523</v>
      </c>
      <c r="P4461" t="s">
        <v>26566</v>
      </c>
      <c r="R4461" t="s">
        <v>26580</v>
      </c>
      <c r="S4461" t="s">
        <v>18959</v>
      </c>
      <c r="U4461" t="s">
        <v>26604</v>
      </c>
      <c r="V4461" t="s">
        <v>26610</v>
      </c>
      <c r="W4461" t="s">
        <v>713</v>
      </c>
      <c r="X4461">
        <v>952</v>
      </c>
      <c r="Y4461" t="s">
        <v>26651</v>
      </c>
      <c r="Z4461" t="s">
        <v>26664</v>
      </c>
      <c r="AB4461" t="s">
        <v>26763</v>
      </c>
      <c r="AC4461" t="s">
        <v>35770</v>
      </c>
      <c r="AD4461" t="s">
        <v>40531</v>
      </c>
      <c r="AE4461">
        <v>0</v>
      </c>
      <c r="AF4461" t="s">
        <v>20460</v>
      </c>
      <c r="AG4461" t="s">
        <v>19330</v>
      </c>
      <c r="AH4461">
        <v>10</v>
      </c>
      <c r="AI4461">
        <v>1</v>
      </c>
      <c r="AJ4461">
        <v>0</v>
      </c>
      <c r="AK4461">
        <v>76.90000000000001</v>
      </c>
      <c r="AO4461">
        <v>9336</v>
      </c>
      <c r="AU4461">
        <v>15.7</v>
      </c>
      <c r="AV4461" t="s">
        <v>838</v>
      </c>
      <c r="AW4461" t="s">
        <v>314</v>
      </c>
    </row>
    <row r="4462" spans="1:49">
      <c r="A4462" s="1">
        <f>HYPERLINK("https://lsnyc.legalserver.org/matter/dynamic-profile/view/1886824","19-1886824")</f>
        <v>0</v>
      </c>
      <c r="B4462" t="s">
        <v>84</v>
      </c>
      <c r="C4462" t="s">
        <v>340</v>
      </c>
      <c r="D4462" t="s">
        <v>713</v>
      </c>
      <c r="F4462" t="s">
        <v>3045</v>
      </c>
      <c r="G4462" t="s">
        <v>5121</v>
      </c>
      <c r="H4462" t="s">
        <v>12659</v>
      </c>
      <c r="I4462">
        <v>1</v>
      </c>
      <c r="J4462" t="s">
        <v>18893</v>
      </c>
      <c r="K4462">
        <v>10031</v>
      </c>
      <c r="L4462" t="s">
        <v>18958</v>
      </c>
      <c r="M4462" t="s">
        <v>18958</v>
      </c>
      <c r="N4462" t="s">
        <v>22290</v>
      </c>
      <c r="O4462" t="s">
        <v>26523</v>
      </c>
      <c r="P4462" t="s">
        <v>26560</v>
      </c>
      <c r="R4462" t="s">
        <v>26580</v>
      </c>
      <c r="S4462" t="s">
        <v>18959</v>
      </c>
      <c r="U4462" t="s">
        <v>26604</v>
      </c>
      <c r="V4462" t="s">
        <v>26610</v>
      </c>
      <c r="W4462" t="s">
        <v>713</v>
      </c>
      <c r="X4462">
        <v>2400</v>
      </c>
      <c r="Y4462" t="s">
        <v>26651</v>
      </c>
      <c r="Z4462" t="s">
        <v>26668</v>
      </c>
      <c r="AB4462" t="s">
        <v>30377</v>
      </c>
      <c r="AD4462" t="s">
        <v>40532</v>
      </c>
      <c r="AE4462">
        <v>0</v>
      </c>
      <c r="AF4462" t="s">
        <v>45547</v>
      </c>
      <c r="AG4462" t="s">
        <v>19330</v>
      </c>
      <c r="AH4462">
        <v>2</v>
      </c>
      <c r="AI4462">
        <v>1</v>
      </c>
      <c r="AJ4462">
        <v>0</v>
      </c>
      <c r="AK4462">
        <v>171.33</v>
      </c>
      <c r="AN4462" t="s">
        <v>7439</v>
      </c>
      <c r="AO4462">
        <v>20800</v>
      </c>
      <c r="AU4462">
        <v>2.5</v>
      </c>
      <c r="AV4462" t="s">
        <v>735</v>
      </c>
      <c r="AW4462" t="s">
        <v>314</v>
      </c>
    </row>
    <row r="4463" spans="1:49">
      <c r="A4463" s="1">
        <f>HYPERLINK("https://lsnyc.legalserver.org/matter/dynamic-profile/view/1886801","19-1886801")</f>
        <v>0</v>
      </c>
      <c r="B4463" t="s">
        <v>90</v>
      </c>
      <c r="C4463" t="s">
        <v>340</v>
      </c>
      <c r="D4463" t="s">
        <v>713</v>
      </c>
      <c r="F4463" t="s">
        <v>3046</v>
      </c>
      <c r="G4463" t="s">
        <v>5751</v>
      </c>
      <c r="H4463" t="s">
        <v>10377</v>
      </c>
      <c r="I4463" t="s">
        <v>17361</v>
      </c>
      <c r="J4463" t="s">
        <v>18893</v>
      </c>
      <c r="K4463">
        <v>10031</v>
      </c>
      <c r="L4463" t="s">
        <v>18958</v>
      </c>
      <c r="M4463" t="s">
        <v>18958</v>
      </c>
      <c r="N4463" t="s">
        <v>22291</v>
      </c>
      <c r="O4463" t="s">
        <v>26523</v>
      </c>
      <c r="P4463" t="s">
        <v>26560</v>
      </c>
      <c r="R4463" t="s">
        <v>26578</v>
      </c>
      <c r="S4463" t="s">
        <v>18959</v>
      </c>
      <c r="U4463" t="s">
        <v>26604</v>
      </c>
      <c r="V4463" t="s">
        <v>26610</v>
      </c>
      <c r="W4463" t="s">
        <v>713</v>
      </c>
      <c r="X4463">
        <v>2126</v>
      </c>
      <c r="Y4463" t="s">
        <v>26651</v>
      </c>
      <c r="Z4463" t="s">
        <v>26659</v>
      </c>
      <c r="AB4463" t="s">
        <v>30378</v>
      </c>
      <c r="AD4463" t="s">
        <v>40533</v>
      </c>
      <c r="AE4463">
        <v>44</v>
      </c>
      <c r="AF4463" t="s">
        <v>45543</v>
      </c>
      <c r="AG4463" t="s">
        <v>45556</v>
      </c>
      <c r="AH4463">
        <v>23</v>
      </c>
      <c r="AI4463">
        <v>2</v>
      </c>
      <c r="AJ4463">
        <v>0</v>
      </c>
      <c r="AK4463">
        <v>65.39</v>
      </c>
      <c r="AN4463" t="s">
        <v>45581</v>
      </c>
      <c r="AO4463">
        <v>10764</v>
      </c>
      <c r="AU4463">
        <v>8</v>
      </c>
      <c r="AV4463" t="s">
        <v>729</v>
      </c>
      <c r="AW4463" t="s">
        <v>46835</v>
      </c>
    </row>
    <row r="4464" spans="1:49">
      <c r="A4464" s="1">
        <f>HYPERLINK("https://lsnyc.legalserver.org/matter/dynamic-profile/view/1886774","19-1886774")</f>
        <v>0</v>
      </c>
      <c r="B4464" t="s">
        <v>101</v>
      </c>
      <c r="C4464" t="s">
        <v>340</v>
      </c>
      <c r="D4464" t="s">
        <v>713</v>
      </c>
      <c r="F4464" t="s">
        <v>3047</v>
      </c>
      <c r="G4464" t="s">
        <v>1616</v>
      </c>
      <c r="H4464" t="s">
        <v>13029</v>
      </c>
      <c r="I4464" t="s">
        <v>17593</v>
      </c>
      <c r="J4464" t="s">
        <v>18894</v>
      </c>
      <c r="K4464">
        <v>11221</v>
      </c>
      <c r="L4464" t="s">
        <v>18958</v>
      </c>
      <c r="M4464" t="s">
        <v>18958</v>
      </c>
      <c r="N4464" t="s">
        <v>22292</v>
      </c>
      <c r="O4464" t="s">
        <v>26524</v>
      </c>
      <c r="P4464" t="s">
        <v>26560</v>
      </c>
      <c r="R4464" t="s">
        <v>26588</v>
      </c>
      <c r="S4464" t="s">
        <v>18959</v>
      </c>
      <c r="U4464" t="s">
        <v>26604</v>
      </c>
      <c r="V4464" t="s">
        <v>26612</v>
      </c>
      <c r="W4464" t="s">
        <v>713</v>
      </c>
      <c r="X4464">
        <v>3050</v>
      </c>
      <c r="Y4464" t="s">
        <v>26652</v>
      </c>
      <c r="Z4464" t="s">
        <v>26669</v>
      </c>
      <c r="AB4464" t="s">
        <v>27393</v>
      </c>
      <c r="AD4464" t="s">
        <v>40534</v>
      </c>
      <c r="AE4464">
        <v>4</v>
      </c>
      <c r="AG4464" t="s">
        <v>19330</v>
      </c>
      <c r="AH4464">
        <v>1</v>
      </c>
      <c r="AI4464">
        <v>1</v>
      </c>
      <c r="AJ4464">
        <v>0</v>
      </c>
      <c r="AK4464">
        <v>126.19</v>
      </c>
      <c r="AN4464" t="s">
        <v>7439</v>
      </c>
      <c r="AO4464">
        <v>15320</v>
      </c>
      <c r="AR4464" t="s">
        <v>26530</v>
      </c>
      <c r="AS4464" t="s">
        <v>46500</v>
      </c>
      <c r="AT4464" t="s">
        <v>46648</v>
      </c>
      <c r="AU4464">
        <v>6.8</v>
      </c>
      <c r="AV4464" t="s">
        <v>693</v>
      </c>
      <c r="AW4464" t="s">
        <v>46862</v>
      </c>
    </row>
    <row r="4465" spans="1:49">
      <c r="A4465" s="1">
        <f>HYPERLINK("https://lsnyc.legalserver.org/matter/dynamic-profile/view/1886883","19-1886883")</f>
        <v>0</v>
      </c>
      <c r="B4465" t="s">
        <v>65</v>
      </c>
      <c r="C4465" t="s">
        <v>340</v>
      </c>
      <c r="D4465" t="s">
        <v>713</v>
      </c>
      <c r="F4465" t="s">
        <v>3048</v>
      </c>
      <c r="G4465" t="s">
        <v>5498</v>
      </c>
      <c r="H4465" t="s">
        <v>13030</v>
      </c>
      <c r="I4465">
        <v>420</v>
      </c>
      <c r="J4465" t="s">
        <v>18892</v>
      </c>
      <c r="K4465">
        <v>10457</v>
      </c>
      <c r="L4465" t="s">
        <v>18958</v>
      </c>
      <c r="M4465" t="s">
        <v>18958</v>
      </c>
      <c r="N4465" t="s">
        <v>22293</v>
      </c>
      <c r="O4465" t="s">
        <v>26523</v>
      </c>
      <c r="P4465" t="s">
        <v>26560</v>
      </c>
      <c r="R4465" t="s">
        <v>26579</v>
      </c>
      <c r="U4465" t="s">
        <v>26604</v>
      </c>
      <c r="V4465" t="s">
        <v>26610</v>
      </c>
      <c r="W4465" t="s">
        <v>713</v>
      </c>
      <c r="X4465">
        <v>96</v>
      </c>
      <c r="Y4465" t="s">
        <v>26650</v>
      </c>
      <c r="Z4465" t="s">
        <v>26664</v>
      </c>
      <c r="AB4465" t="s">
        <v>30379</v>
      </c>
      <c r="AE4465">
        <v>0</v>
      </c>
      <c r="AF4465" t="s">
        <v>45549</v>
      </c>
      <c r="AG4465" t="s">
        <v>45556</v>
      </c>
      <c r="AH4465">
        <v>5</v>
      </c>
      <c r="AI4465">
        <v>1</v>
      </c>
      <c r="AJ4465">
        <v>2</v>
      </c>
      <c r="AK4465">
        <v>37.54</v>
      </c>
      <c r="AN4465" t="s">
        <v>7439</v>
      </c>
      <c r="AO4465">
        <v>7800</v>
      </c>
      <c r="AU4465">
        <v>16.85</v>
      </c>
      <c r="AV4465" t="s">
        <v>832</v>
      </c>
      <c r="AW4465" t="s">
        <v>334</v>
      </c>
    </row>
    <row r="4466" spans="1:49">
      <c r="A4466" s="1">
        <f>HYPERLINK("https://lsnyc.legalserver.org/matter/dynamic-profile/view/1886811","19-1886811")</f>
        <v>0</v>
      </c>
      <c r="B4466" t="s">
        <v>103</v>
      </c>
      <c r="C4466" t="s">
        <v>340</v>
      </c>
      <c r="D4466" t="s">
        <v>713</v>
      </c>
      <c r="F4466" t="s">
        <v>3049</v>
      </c>
      <c r="G4466" t="s">
        <v>7302</v>
      </c>
      <c r="H4466" t="s">
        <v>13031</v>
      </c>
      <c r="I4466" t="s">
        <v>18113</v>
      </c>
      <c r="J4466" t="s">
        <v>18902</v>
      </c>
      <c r="K4466">
        <v>10304</v>
      </c>
      <c r="L4466" t="s">
        <v>18958</v>
      </c>
      <c r="M4466" t="s">
        <v>18958</v>
      </c>
      <c r="N4466" t="s">
        <v>19037</v>
      </c>
      <c r="O4466" t="s">
        <v>26526</v>
      </c>
      <c r="P4466" t="s">
        <v>26565</v>
      </c>
      <c r="R4466" t="s">
        <v>26578</v>
      </c>
      <c r="S4466" t="s">
        <v>18959</v>
      </c>
      <c r="U4466" t="s">
        <v>26604</v>
      </c>
      <c r="V4466" t="s">
        <v>26610</v>
      </c>
      <c r="W4466" t="s">
        <v>713</v>
      </c>
      <c r="X4466">
        <v>1400</v>
      </c>
      <c r="Y4466" t="s">
        <v>26654</v>
      </c>
      <c r="Z4466" t="s">
        <v>26659</v>
      </c>
      <c r="AB4466" t="s">
        <v>30380</v>
      </c>
      <c r="AD4466" t="s">
        <v>40535</v>
      </c>
      <c r="AE4466">
        <v>137</v>
      </c>
      <c r="AF4466" t="s">
        <v>45543</v>
      </c>
      <c r="AG4466" t="s">
        <v>45556</v>
      </c>
      <c r="AH4466">
        <v>9</v>
      </c>
      <c r="AI4466">
        <v>1</v>
      </c>
      <c r="AJ4466">
        <v>1</v>
      </c>
      <c r="AK4466">
        <v>273.39</v>
      </c>
      <c r="AN4466" t="s">
        <v>7439</v>
      </c>
      <c r="AO4466">
        <v>45000</v>
      </c>
      <c r="AU4466">
        <v>2.5</v>
      </c>
      <c r="AV4466" t="s">
        <v>766</v>
      </c>
      <c r="AW4466" t="s">
        <v>103</v>
      </c>
    </row>
    <row r="4467" spans="1:49">
      <c r="A4467" s="1">
        <f>HYPERLINK("https://lsnyc.legalserver.org/matter/dynamic-profile/view/1886834","19-1886834")</f>
        <v>0</v>
      </c>
      <c r="B4467" t="s">
        <v>86</v>
      </c>
      <c r="C4467" t="s">
        <v>340</v>
      </c>
      <c r="D4467" t="s">
        <v>713</v>
      </c>
      <c r="F4467" t="s">
        <v>3050</v>
      </c>
      <c r="G4467" t="s">
        <v>7303</v>
      </c>
      <c r="H4467" t="s">
        <v>13032</v>
      </c>
      <c r="I4467">
        <v>601</v>
      </c>
      <c r="J4467" t="s">
        <v>18893</v>
      </c>
      <c r="K4467">
        <v>10001</v>
      </c>
      <c r="L4467" t="s">
        <v>18958</v>
      </c>
      <c r="M4467" t="s">
        <v>18958</v>
      </c>
      <c r="N4467" t="s">
        <v>22294</v>
      </c>
      <c r="O4467" t="s">
        <v>26533</v>
      </c>
      <c r="P4467" t="s">
        <v>26560</v>
      </c>
      <c r="R4467" t="s">
        <v>26582</v>
      </c>
      <c r="S4467" t="s">
        <v>18959</v>
      </c>
      <c r="U4467" t="s">
        <v>26604</v>
      </c>
      <c r="W4467" t="s">
        <v>713</v>
      </c>
      <c r="X4467">
        <v>526.13</v>
      </c>
      <c r="Y4467" t="s">
        <v>26651</v>
      </c>
      <c r="Z4467" t="s">
        <v>26664</v>
      </c>
      <c r="AB4467" t="s">
        <v>30381</v>
      </c>
      <c r="AD4467" t="s">
        <v>40536</v>
      </c>
      <c r="AE4467">
        <v>0</v>
      </c>
      <c r="AF4467" t="s">
        <v>45548</v>
      </c>
      <c r="AG4467" t="s">
        <v>19330</v>
      </c>
      <c r="AH4467">
        <v>10</v>
      </c>
      <c r="AI4467">
        <v>3</v>
      </c>
      <c r="AJ4467">
        <v>0</v>
      </c>
      <c r="AK4467">
        <v>131.71</v>
      </c>
      <c r="AN4467" t="s">
        <v>45593</v>
      </c>
      <c r="AO4467">
        <v>27368.64</v>
      </c>
      <c r="AU4467">
        <v>50.7</v>
      </c>
      <c r="AV4467" t="s">
        <v>809</v>
      </c>
      <c r="AW4467" t="s">
        <v>46875</v>
      </c>
    </row>
    <row r="4468" spans="1:49">
      <c r="A4468" s="1">
        <f>HYPERLINK("https://lsnyc.legalserver.org/matter/dynamic-profile/view/1886859","19-1886859")</f>
        <v>0</v>
      </c>
      <c r="B4468" t="s">
        <v>194</v>
      </c>
      <c r="C4468" t="s">
        <v>340</v>
      </c>
      <c r="D4468" t="s">
        <v>713</v>
      </c>
      <c r="F4468" t="s">
        <v>1663</v>
      </c>
      <c r="G4468" t="s">
        <v>7304</v>
      </c>
      <c r="H4468" t="s">
        <v>13033</v>
      </c>
      <c r="I4468" t="s">
        <v>17805</v>
      </c>
      <c r="J4468" t="s">
        <v>18893</v>
      </c>
      <c r="K4468">
        <v>10027</v>
      </c>
      <c r="L4468" t="s">
        <v>18958</v>
      </c>
      <c r="M4468" t="s">
        <v>18958</v>
      </c>
      <c r="N4468" t="s">
        <v>22295</v>
      </c>
      <c r="O4468" t="s">
        <v>26523</v>
      </c>
      <c r="P4468" t="s">
        <v>26560</v>
      </c>
      <c r="R4468" t="s">
        <v>26580</v>
      </c>
      <c r="S4468" t="s">
        <v>18959</v>
      </c>
      <c r="U4468" t="s">
        <v>26604</v>
      </c>
      <c r="V4468" t="s">
        <v>26611</v>
      </c>
      <c r="W4468" t="s">
        <v>713</v>
      </c>
      <c r="X4468">
        <v>1500</v>
      </c>
      <c r="Y4468" t="s">
        <v>26651</v>
      </c>
      <c r="Z4468" t="s">
        <v>26668</v>
      </c>
      <c r="AB4468" t="s">
        <v>30382</v>
      </c>
      <c r="AC4468" t="s">
        <v>35771</v>
      </c>
      <c r="AD4468" t="s">
        <v>40537</v>
      </c>
      <c r="AE4468">
        <v>0</v>
      </c>
      <c r="AF4468" t="s">
        <v>45541</v>
      </c>
      <c r="AG4468" t="s">
        <v>19330</v>
      </c>
      <c r="AH4468">
        <v>7</v>
      </c>
      <c r="AI4468">
        <v>1</v>
      </c>
      <c r="AJ4468">
        <v>0</v>
      </c>
      <c r="AK4468">
        <v>0</v>
      </c>
      <c r="AN4468" t="s">
        <v>7439</v>
      </c>
      <c r="AO4468">
        <v>0</v>
      </c>
      <c r="AU4468">
        <v>62.85</v>
      </c>
      <c r="AV4468" t="s">
        <v>821</v>
      </c>
      <c r="AW4468" t="s">
        <v>46875</v>
      </c>
    </row>
    <row r="4469" spans="1:49">
      <c r="A4469" s="1">
        <f>HYPERLINK("https://lsnyc.legalserver.org/matter/dynamic-profile/view/1886976","19-1886976")</f>
        <v>0</v>
      </c>
      <c r="B4469" t="s">
        <v>162</v>
      </c>
      <c r="C4469" t="s">
        <v>341</v>
      </c>
      <c r="D4469" t="s">
        <v>718</v>
      </c>
      <c r="E4469" t="s">
        <v>756</v>
      </c>
      <c r="F4469" t="s">
        <v>3051</v>
      </c>
      <c r="G4469" t="s">
        <v>7305</v>
      </c>
      <c r="H4469" t="s">
        <v>13034</v>
      </c>
      <c r="I4469" t="s">
        <v>17520</v>
      </c>
      <c r="J4469" t="s">
        <v>18894</v>
      </c>
      <c r="K4469">
        <v>11204</v>
      </c>
      <c r="L4469" t="s">
        <v>18958</v>
      </c>
      <c r="M4469" t="s">
        <v>18958</v>
      </c>
      <c r="N4469" t="s">
        <v>22296</v>
      </c>
      <c r="O4469" t="s">
        <v>26523</v>
      </c>
      <c r="P4469" t="s">
        <v>26560</v>
      </c>
      <c r="Q4469" t="s">
        <v>26573</v>
      </c>
      <c r="R4469" t="s">
        <v>26586</v>
      </c>
      <c r="S4469" t="s">
        <v>18959</v>
      </c>
      <c r="U4469" t="s">
        <v>26604</v>
      </c>
      <c r="V4469" t="s">
        <v>26612</v>
      </c>
      <c r="W4469" t="s">
        <v>713</v>
      </c>
      <c r="X4469">
        <v>1377</v>
      </c>
      <c r="Y4469" t="s">
        <v>26652</v>
      </c>
      <c r="Z4469" t="s">
        <v>26664</v>
      </c>
      <c r="AA4469" t="s">
        <v>26678</v>
      </c>
      <c r="AB4469" t="s">
        <v>30383</v>
      </c>
      <c r="AD4469" t="s">
        <v>40538</v>
      </c>
      <c r="AE4469">
        <v>6</v>
      </c>
      <c r="AF4469" t="s">
        <v>45541</v>
      </c>
      <c r="AG4469" t="s">
        <v>45558</v>
      </c>
      <c r="AH4469">
        <v>3</v>
      </c>
      <c r="AI4469">
        <v>2</v>
      </c>
      <c r="AJ4469">
        <v>3</v>
      </c>
      <c r="AK4469">
        <v>18.76</v>
      </c>
      <c r="AN4469" t="s">
        <v>45611</v>
      </c>
      <c r="AO4469">
        <v>5520</v>
      </c>
      <c r="AQ4469" t="s">
        <v>46365</v>
      </c>
      <c r="AR4469" t="s">
        <v>46379</v>
      </c>
      <c r="AS4469" t="s">
        <v>46499</v>
      </c>
      <c r="AT4469" t="s">
        <v>46672</v>
      </c>
      <c r="AU4469">
        <v>15.2</v>
      </c>
      <c r="AV4469" t="s">
        <v>739</v>
      </c>
      <c r="AW4469" t="s">
        <v>46853</v>
      </c>
    </row>
    <row r="4470" spans="1:49">
      <c r="A4470" s="1">
        <f>HYPERLINK("https://lsnyc.legalserver.org/matter/dynamic-profile/view/1887110","19-1887110")</f>
        <v>0</v>
      </c>
      <c r="B4470" t="s">
        <v>180</v>
      </c>
      <c r="C4470" t="s">
        <v>341</v>
      </c>
      <c r="D4470" t="s">
        <v>668</v>
      </c>
      <c r="E4470" t="s">
        <v>795</v>
      </c>
      <c r="F4470" t="s">
        <v>2111</v>
      </c>
      <c r="G4470" t="s">
        <v>5008</v>
      </c>
      <c r="H4470" t="s">
        <v>13035</v>
      </c>
      <c r="I4470" t="s">
        <v>17322</v>
      </c>
      <c r="J4470" t="s">
        <v>18894</v>
      </c>
      <c r="K4470">
        <v>11226</v>
      </c>
      <c r="L4470" t="s">
        <v>18958</v>
      </c>
      <c r="M4470" t="s">
        <v>18958</v>
      </c>
      <c r="N4470" t="s">
        <v>22297</v>
      </c>
      <c r="O4470" t="s">
        <v>26523</v>
      </c>
      <c r="P4470" t="s">
        <v>26560</v>
      </c>
      <c r="Q4470" t="s">
        <v>26568</v>
      </c>
      <c r="R4470" t="s">
        <v>26588</v>
      </c>
      <c r="U4470" t="s">
        <v>26604</v>
      </c>
      <c r="W4470" t="s">
        <v>713</v>
      </c>
      <c r="X4470">
        <v>1457.98</v>
      </c>
      <c r="Y4470" t="s">
        <v>26652</v>
      </c>
      <c r="Z4470" t="s">
        <v>26664</v>
      </c>
      <c r="AA4470" t="s">
        <v>26678</v>
      </c>
      <c r="AB4470" t="s">
        <v>29189</v>
      </c>
      <c r="AD4470" t="s">
        <v>40539</v>
      </c>
      <c r="AE4470">
        <v>144</v>
      </c>
      <c r="AH4470">
        <v>22</v>
      </c>
      <c r="AI4470">
        <v>1</v>
      </c>
      <c r="AJ4470">
        <v>0</v>
      </c>
      <c r="AK4470">
        <v>106.46</v>
      </c>
      <c r="AO4470">
        <v>12924</v>
      </c>
      <c r="AS4470" t="s">
        <v>46499</v>
      </c>
      <c r="AT4470" t="s">
        <v>46631</v>
      </c>
      <c r="AU4470">
        <v>12.2</v>
      </c>
      <c r="AV4470" t="s">
        <v>803</v>
      </c>
      <c r="AW4470" t="s">
        <v>46862</v>
      </c>
    </row>
    <row r="4471" spans="1:49">
      <c r="A4471" s="1">
        <f>HYPERLINK("https://lsnyc.legalserver.org/matter/dynamic-profile/view/1887141","19-1887141")</f>
        <v>0</v>
      </c>
      <c r="B4471" t="s">
        <v>180</v>
      </c>
      <c r="C4471" t="s">
        <v>340</v>
      </c>
      <c r="D4471" t="s">
        <v>668</v>
      </c>
      <c r="F4471" t="s">
        <v>3052</v>
      </c>
      <c r="G4471" t="s">
        <v>7306</v>
      </c>
      <c r="H4471" t="s">
        <v>13036</v>
      </c>
      <c r="I4471" t="s">
        <v>17436</v>
      </c>
      <c r="J4471" t="s">
        <v>18894</v>
      </c>
      <c r="K4471">
        <v>11226</v>
      </c>
      <c r="L4471" t="s">
        <v>18958</v>
      </c>
      <c r="M4471" t="s">
        <v>18958</v>
      </c>
      <c r="N4471" t="s">
        <v>22298</v>
      </c>
      <c r="O4471" t="s">
        <v>26524</v>
      </c>
      <c r="P4471" t="s">
        <v>26560</v>
      </c>
      <c r="R4471" t="s">
        <v>26588</v>
      </c>
      <c r="U4471" t="s">
        <v>26604</v>
      </c>
      <c r="W4471" t="s">
        <v>713</v>
      </c>
      <c r="X4471">
        <v>811.36</v>
      </c>
      <c r="Y4471" t="s">
        <v>26652</v>
      </c>
      <c r="Z4471" t="s">
        <v>26664</v>
      </c>
      <c r="AB4471" t="s">
        <v>30384</v>
      </c>
      <c r="AE4471">
        <v>48</v>
      </c>
      <c r="AG4471" t="s">
        <v>19330</v>
      </c>
      <c r="AH4471">
        <v>8</v>
      </c>
      <c r="AI4471">
        <v>1</v>
      </c>
      <c r="AJ4471">
        <v>4</v>
      </c>
      <c r="AK4471">
        <v>169.95</v>
      </c>
      <c r="AO4471">
        <v>50000</v>
      </c>
      <c r="AU4471">
        <v>119.6</v>
      </c>
      <c r="AV4471" t="s">
        <v>834</v>
      </c>
      <c r="AW4471" t="s">
        <v>46862</v>
      </c>
    </row>
    <row r="4472" spans="1:49">
      <c r="A4472" s="1">
        <f>HYPERLINK("https://lsnyc.legalserver.org/matter/dynamic-profile/view/1887228","19-1887228")</f>
        <v>0</v>
      </c>
      <c r="B4472" t="s">
        <v>180</v>
      </c>
      <c r="C4472" t="s">
        <v>341</v>
      </c>
      <c r="D4472" t="s">
        <v>716</v>
      </c>
      <c r="E4472" t="s">
        <v>789</v>
      </c>
      <c r="F4472" t="s">
        <v>2100</v>
      </c>
      <c r="G4472" t="s">
        <v>7307</v>
      </c>
      <c r="H4472" t="s">
        <v>13037</v>
      </c>
      <c r="I4472" t="s">
        <v>17284</v>
      </c>
      <c r="J4472" t="s">
        <v>18894</v>
      </c>
      <c r="K4472">
        <v>11226</v>
      </c>
      <c r="L4472" t="s">
        <v>18958</v>
      </c>
      <c r="M4472" t="s">
        <v>18958</v>
      </c>
      <c r="N4472" t="s">
        <v>22299</v>
      </c>
      <c r="O4472" t="s">
        <v>26523</v>
      </c>
      <c r="P4472" t="s">
        <v>26560</v>
      </c>
      <c r="Q4472" t="s">
        <v>26568</v>
      </c>
      <c r="R4472" t="s">
        <v>26588</v>
      </c>
      <c r="U4472" t="s">
        <v>26604</v>
      </c>
      <c r="W4472" t="s">
        <v>713</v>
      </c>
      <c r="X4472">
        <v>1115</v>
      </c>
      <c r="Y4472" t="s">
        <v>26652</v>
      </c>
      <c r="Z4472" t="s">
        <v>26664</v>
      </c>
      <c r="AA4472" t="s">
        <v>26678</v>
      </c>
      <c r="AB4472" t="s">
        <v>27766</v>
      </c>
      <c r="AD4472" t="s">
        <v>40540</v>
      </c>
      <c r="AE4472">
        <v>0</v>
      </c>
      <c r="AG4472" t="s">
        <v>19330</v>
      </c>
      <c r="AH4472">
        <v>42</v>
      </c>
      <c r="AI4472">
        <v>2</v>
      </c>
      <c r="AJ4472">
        <v>2</v>
      </c>
      <c r="AK4472">
        <v>63.75</v>
      </c>
      <c r="AN4472" t="s">
        <v>7439</v>
      </c>
      <c r="AO4472">
        <v>16000</v>
      </c>
      <c r="AS4472" t="s">
        <v>46499</v>
      </c>
      <c r="AT4472" t="s">
        <v>46643</v>
      </c>
      <c r="AU4472">
        <v>5.1</v>
      </c>
      <c r="AV4472" t="s">
        <v>789</v>
      </c>
      <c r="AW4472" t="s">
        <v>46862</v>
      </c>
    </row>
    <row r="4473" spans="1:49">
      <c r="A4473" s="1">
        <f>HYPERLINK("https://lsnyc.legalserver.org/matter/dynamic-profile/view/1887180","19-1887180")</f>
        <v>0</v>
      </c>
      <c r="B4473" t="s">
        <v>180</v>
      </c>
      <c r="C4473" t="s">
        <v>341</v>
      </c>
      <c r="D4473" t="s">
        <v>716</v>
      </c>
      <c r="E4473" t="s">
        <v>830</v>
      </c>
      <c r="F4473" t="s">
        <v>3053</v>
      </c>
      <c r="G4473" t="s">
        <v>7308</v>
      </c>
      <c r="H4473" t="s">
        <v>13038</v>
      </c>
      <c r="I4473" t="s">
        <v>17906</v>
      </c>
      <c r="J4473" t="s">
        <v>18894</v>
      </c>
      <c r="K4473">
        <v>11226</v>
      </c>
      <c r="L4473" t="s">
        <v>18958</v>
      </c>
      <c r="M4473" t="s">
        <v>18958</v>
      </c>
      <c r="N4473" t="s">
        <v>22300</v>
      </c>
      <c r="O4473" t="s">
        <v>26523</v>
      </c>
      <c r="P4473" t="s">
        <v>26560</v>
      </c>
      <c r="Q4473" t="s">
        <v>26568</v>
      </c>
      <c r="R4473" t="s">
        <v>26588</v>
      </c>
      <c r="U4473" t="s">
        <v>26604</v>
      </c>
      <c r="W4473" t="s">
        <v>713</v>
      </c>
      <c r="X4473">
        <v>1037</v>
      </c>
      <c r="Y4473" t="s">
        <v>26652</v>
      </c>
      <c r="Z4473" t="s">
        <v>26664</v>
      </c>
      <c r="AA4473" t="s">
        <v>26678</v>
      </c>
      <c r="AB4473" t="s">
        <v>26833</v>
      </c>
      <c r="AD4473" t="s">
        <v>40541</v>
      </c>
      <c r="AE4473">
        <v>23</v>
      </c>
      <c r="AG4473" t="s">
        <v>19330</v>
      </c>
      <c r="AH4473">
        <v>15</v>
      </c>
      <c r="AI4473">
        <v>1</v>
      </c>
      <c r="AJ4473">
        <v>0</v>
      </c>
      <c r="AK4473">
        <v>90.61</v>
      </c>
      <c r="AN4473" t="s">
        <v>7439</v>
      </c>
      <c r="AO4473">
        <v>11000</v>
      </c>
      <c r="AS4473" t="s">
        <v>46499</v>
      </c>
      <c r="AU4473">
        <v>17.9</v>
      </c>
      <c r="AV4473" t="s">
        <v>830</v>
      </c>
      <c r="AW4473" t="s">
        <v>46862</v>
      </c>
    </row>
    <row r="4474" spans="1:49">
      <c r="A4474" s="1">
        <f>HYPERLINK("https://lsnyc.legalserver.org/matter/dynamic-profile/view/1887198","19-1887198")</f>
        <v>0</v>
      </c>
      <c r="B4474" t="s">
        <v>180</v>
      </c>
      <c r="C4474" t="s">
        <v>341</v>
      </c>
      <c r="D4474" t="s">
        <v>716</v>
      </c>
      <c r="E4474" t="s">
        <v>830</v>
      </c>
      <c r="F4474" t="s">
        <v>969</v>
      </c>
      <c r="G4474" t="s">
        <v>7309</v>
      </c>
      <c r="H4474" t="s">
        <v>13039</v>
      </c>
      <c r="I4474" t="s">
        <v>17301</v>
      </c>
      <c r="J4474" t="s">
        <v>18894</v>
      </c>
      <c r="K4474">
        <v>11226</v>
      </c>
      <c r="L4474" t="s">
        <v>18958</v>
      </c>
      <c r="M4474" t="s">
        <v>18958</v>
      </c>
      <c r="N4474" t="s">
        <v>22301</v>
      </c>
      <c r="O4474" t="s">
        <v>26523</v>
      </c>
      <c r="P4474" t="s">
        <v>26560</v>
      </c>
      <c r="Q4474" t="s">
        <v>26568</v>
      </c>
      <c r="R4474" t="s">
        <v>26588</v>
      </c>
      <c r="U4474" t="s">
        <v>26604</v>
      </c>
      <c r="W4474" t="s">
        <v>713</v>
      </c>
      <c r="X4474">
        <v>808</v>
      </c>
      <c r="Y4474" t="s">
        <v>26652</v>
      </c>
      <c r="Z4474" t="s">
        <v>26664</v>
      </c>
      <c r="AA4474" t="s">
        <v>26678</v>
      </c>
      <c r="AB4474" t="s">
        <v>30385</v>
      </c>
      <c r="AD4474" t="s">
        <v>40542</v>
      </c>
      <c r="AE4474">
        <v>72</v>
      </c>
      <c r="AG4474" t="s">
        <v>19330</v>
      </c>
      <c r="AH4474">
        <v>30</v>
      </c>
      <c r="AI4474">
        <v>3</v>
      </c>
      <c r="AJ4474">
        <v>0</v>
      </c>
      <c r="AK4474">
        <v>129.93</v>
      </c>
      <c r="AN4474" t="s">
        <v>45585</v>
      </c>
      <c r="AO4474">
        <v>27000</v>
      </c>
      <c r="AS4474" t="s">
        <v>46499</v>
      </c>
      <c r="AU4474">
        <v>20.5</v>
      </c>
      <c r="AV4474" t="s">
        <v>830</v>
      </c>
      <c r="AW4474" t="s">
        <v>46862</v>
      </c>
    </row>
    <row r="4475" spans="1:49">
      <c r="A4475" s="1">
        <f>HYPERLINK("https://lsnyc.legalserver.org/matter/dynamic-profile/view/1887255","19-1887255")</f>
        <v>0</v>
      </c>
      <c r="B4475" t="s">
        <v>172</v>
      </c>
      <c r="C4475" t="s">
        <v>341</v>
      </c>
      <c r="D4475" t="s">
        <v>716</v>
      </c>
      <c r="E4475" t="s">
        <v>767</v>
      </c>
      <c r="F4475" t="s">
        <v>3054</v>
      </c>
      <c r="G4475" t="s">
        <v>7310</v>
      </c>
      <c r="H4475" t="s">
        <v>13040</v>
      </c>
      <c r="I4475" t="s">
        <v>17910</v>
      </c>
      <c r="J4475" t="s">
        <v>18894</v>
      </c>
      <c r="K4475">
        <v>11235</v>
      </c>
      <c r="L4475" t="s">
        <v>18958</v>
      </c>
      <c r="M4475" t="s">
        <v>18958</v>
      </c>
      <c r="N4475" t="s">
        <v>22302</v>
      </c>
      <c r="O4475" t="s">
        <v>26524</v>
      </c>
      <c r="P4475" t="s">
        <v>26560</v>
      </c>
      <c r="Q4475" t="s">
        <v>26568</v>
      </c>
      <c r="R4475" t="s">
        <v>26586</v>
      </c>
      <c r="U4475" t="s">
        <v>26604</v>
      </c>
      <c r="W4475" t="s">
        <v>713</v>
      </c>
      <c r="X4475">
        <v>1300</v>
      </c>
      <c r="Y4475" t="s">
        <v>26652</v>
      </c>
      <c r="Z4475" t="s">
        <v>26664</v>
      </c>
      <c r="AA4475" t="s">
        <v>26679</v>
      </c>
      <c r="AB4475" t="s">
        <v>28460</v>
      </c>
      <c r="AD4475" t="s">
        <v>40543</v>
      </c>
      <c r="AE4475">
        <v>156</v>
      </c>
      <c r="AH4475">
        <v>2</v>
      </c>
      <c r="AI4475">
        <v>1</v>
      </c>
      <c r="AJ4475">
        <v>0</v>
      </c>
      <c r="AK4475">
        <v>164.74</v>
      </c>
      <c r="AN4475" t="s">
        <v>7439</v>
      </c>
      <c r="AO4475">
        <v>20000</v>
      </c>
      <c r="AS4475" t="s">
        <v>46500</v>
      </c>
      <c r="AT4475" t="s">
        <v>46726</v>
      </c>
      <c r="AU4475">
        <v>7.6</v>
      </c>
      <c r="AV4475" t="s">
        <v>801</v>
      </c>
      <c r="AW4475" t="s">
        <v>46862</v>
      </c>
    </row>
    <row r="4476" spans="1:49">
      <c r="A4476" s="1">
        <f>HYPERLINK("https://lsnyc.legalserver.org/matter/dynamic-profile/view/1887289","19-1887289")</f>
        <v>0</v>
      </c>
      <c r="B4476" t="s">
        <v>106</v>
      </c>
      <c r="C4476" t="s">
        <v>341</v>
      </c>
      <c r="D4476" t="s">
        <v>704</v>
      </c>
      <c r="E4476" t="s">
        <v>761</v>
      </c>
      <c r="F4476" t="s">
        <v>3055</v>
      </c>
      <c r="G4476" t="s">
        <v>1287</v>
      </c>
      <c r="H4476" t="s">
        <v>10249</v>
      </c>
      <c r="I4476" t="s">
        <v>17283</v>
      </c>
      <c r="J4476" t="s">
        <v>18894</v>
      </c>
      <c r="K4476">
        <v>11216</v>
      </c>
      <c r="L4476" t="s">
        <v>18958</v>
      </c>
      <c r="M4476" t="s">
        <v>18958</v>
      </c>
      <c r="N4476" t="s">
        <v>22303</v>
      </c>
      <c r="O4476" t="s">
        <v>26523</v>
      </c>
      <c r="P4476" t="s">
        <v>26560</v>
      </c>
      <c r="Q4476" t="s">
        <v>26573</v>
      </c>
      <c r="R4476" t="s">
        <v>26588</v>
      </c>
      <c r="S4476" t="s">
        <v>18959</v>
      </c>
      <c r="U4476" t="s">
        <v>26604</v>
      </c>
      <c r="V4476" t="s">
        <v>26610</v>
      </c>
      <c r="W4476" t="s">
        <v>713</v>
      </c>
      <c r="X4476">
        <v>253</v>
      </c>
      <c r="Y4476" t="s">
        <v>26652</v>
      </c>
      <c r="Z4476" t="s">
        <v>26669</v>
      </c>
      <c r="AA4476" t="s">
        <v>26678</v>
      </c>
      <c r="AB4476" t="s">
        <v>30386</v>
      </c>
      <c r="AD4476" t="s">
        <v>40544</v>
      </c>
      <c r="AE4476">
        <v>24</v>
      </c>
      <c r="AG4476" t="s">
        <v>45556</v>
      </c>
      <c r="AH4476">
        <v>3</v>
      </c>
      <c r="AI4476">
        <v>2</v>
      </c>
      <c r="AJ4476">
        <v>1</v>
      </c>
      <c r="AK4476">
        <v>81.81</v>
      </c>
      <c r="AN4476" t="s">
        <v>7439</v>
      </c>
      <c r="AO4476">
        <v>17000</v>
      </c>
      <c r="AS4476" t="s">
        <v>46499</v>
      </c>
      <c r="AT4476" t="s">
        <v>46785</v>
      </c>
      <c r="AU4476">
        <v>9.199999999999999</v>
      </c>
      <c r="AV4476" t="s">
        <v>740</v>
      </c>
      <c r="AW4476" t="s">
        <v>46853</v>
      </c>
    </row>
    <row r="4477" spans="1:49">
      <c r="A4477" s="1">
        <f>HYPERLINK("https://lsnyc.legalserver.org/matter/dynamic-profile/view/1887393","19-1887393")</f>
        <v>0</v>
      </c>
      <c r="B4477" t="s">
        <v>123</v>
      </c>
      <c r="C4477" t="s">
        <v>340</v>
      </c>
      <c r="D4477" t="s">
        <v>704</v>
      </c>
      <c r="F4477" t="s">
        <v>2973</v>
      </c>
      <c r="G4477" t="s">
        <v>5473</v>
      </c>
      <c r="H4477" t="s">
        <v>12906</v>
      </c>
      <c r="I4477" t="s">
        <v>18027</v>
      </c>
      <c r="J4477" t="s">
        <v>18894</v>
      </c>
      <c r="K4477">
        <v>11205</v>
      </c>
      <c r="L4477" t="s">
        <v>18958</v>
      </c>
      <c r="M4477" t="s">
        <v>18958</v>
      </c>
      <c r="N4477" t="s">
        <v>22304</v>
      </c>
      <c r="O4477" t="s">
        <v>26523</v>
      </c>
      <c r="P4477" t="s">
        <v>26560</v>
      </c>
      <c r="R4477" t="s">
        <v>26586</v>
      </c>
      <c r="U4477" t="s">
        <v>26605</v>
      </c>
      <c r="W4477" t="s">
        <v>713</v>
      </c>
      <c r="X4477">
        <v>888</v>
      </c>
      <c r="Y4477" t="s">
        <v>26652</v>
      </c>
      <c r="Z4477" t="s">
        <v>26659</v>
      </c>
      <c r="AB4477" t="s">
        <v>30225</v>
      </c>
      <c r="AD4477" t="s">
        <v>40366</v>
      </c>
      <c r="AE4477">
        <v>204</v>
      </c>
      <c r="AG4477" t="s">
        <v>19330</v>
      </c>
      <c r="AH4477">
        <v>9</v>
      </c>
      <c r="AI4477">
        <v>3</v>
      </c>
      <c r="AJ4477">
        <v>1</v>
      </c>
      <c r="AK4477">
        <v>138.45</v>
      </c>
      <c r="AN4477" t="s">
        <v>7439</v>
      </c>
      <c r="AO4477">
        <v>34750</v>
      </c>
      <c r="AU4477">
        <v>19.98</v>
      </c>
      <c r="AV4477" t="s">
        <v>773</v>
      </c>
      <c r="AW4477" t="s">
        <v>46862</v>
      </c>
    </row>
    <row r="4478" spans="1:49">
      <c r="A4478" s="1">
        <f>HYPERLINK("https://lsnyc.legalserver.org/matter/dynamic-profile/view/1887354","19-1887354")</f>
        <v>0</v>
      </c>
      <c r="B4478" t="s">
        <v>172</v>
      </c>
      <c r="C4478" t="s">
        <v>340</v>
      </c>
      <c r="D4478" t="s">
        <v>704</v>
      </c>
      <c r="F4478" t="s">
        <v>1091</v>
      </c>
      <c r="G4478" t="s">
        <v>6420</v>
      </c>
      <c r="H4478" t="s">
        <v>13041</v>
      </c>
      <c r="I4478" t="s">
        <v>17274</v>
      </c>
      <c r="J4478" t="s">
        <v>18894</v>
      </c>
      <c r="K4478">
        <v>11221</v>
      </c>
      <c r="L4478" t="s">
        <v>18958</v>
      </c>
      <c r="M4478" t="s">
        <v>18958</v>
      </c>
      <c r="N4478" t="s">
        <v>22305</v>
      </c>
      <c r="O4478" t="s">
        <v>26523</v>
      </c>
      <c r="P4478" t="s">
        <v>26560</v>
      </c>
      <c r="R4478" t="s">
        <v>26588</v>
      </c>
      <c r="U4478" t="s">
        <v>26605</v>
      </c>
      <c r="W4478" t="s">
        <v>713</v>
      </c>
      <c r="X4478">
        <v>428</v>
      </c>
      <c r="Y4478" t="s">
        <v>26652</v>
      </c>
      <c r="Z4478" t="s">
        <v>26664</v>
      </c>
      <c r="AB4478" t="s">
        <v>30387</v>
      </c>
      <c r="AD4478" t="s">
        <v>40545</v>
      </c>
      <c r="AE4478">
        <v>94</v>
      </c>
      <c r="AF4478" t="s">
        <v>45549</v>
      </c>
      <c r="AH4478">
        <v>46</v>
      </c>
      <c r="AI4478">
        <v>2</v>
      </c>
      <c r="AJ4478">
        <v>1</v>
      </c>
      <c r="AK4478">
        <v>89.73999999999999</v>
      </c>
      <c r="AN4478" t="s">
        <v>7439</v>
      </c>
      <c r="AO4478">
        <v>18648</v>
      </c>
      <c r="AU4478">
        <v>9.5</v>
      </c>
      <c r="AV4478" t="s">
        <v>806</v>
      </c>
      <c r="AW4478" t="s">
        <v>46862</v>
      </c>
    </row>
    <row r="4479" spans="1:49">
      <c r="A4479" s="1">
        <f>HYPERLINK("https://lsnyc.legalserver.org/matter/dynamic-profile/view/1887305","19-1887305")</f>
        <v>0</v>
      </c>
      <c r="B4479" t="s">
        <v>172</v>
      </c>
      <c r="C4479" t="s">
        <v>340</v>
      </c>
      <c r="D4479" t="s">
        <v>704</v>
      </c>
      <c r="F4479" t="s">
        <v>1024</v>
      </c>
      <c r="G4479" t="s">
        <v>5664</v>
      </c>
      <c r="H4479" t="s">
        <v>11629</v>
      </c>
      <c r="I4479" t="s">
        <v>17829</v>
      </c>
      <c r="J4479" t="s">
        <v>18894</v>
      </c>
      <c r="K4479">
        <v>11225</v>
      </c>
      <c r="L4479" t="s">
        <v>18958</v>
      </c>
      <c r="M4479" t="s">
        <v>18958</v>
      </c>
      <c r="N4479" t="s">
        <v>20797</v>
      </c>
      <c r="O4479" t="s">
        <v>26524</v>
      </c>
      <c r="P4479" t="s">
        <v>26560</v>
      </c>
      <c r="R4479" t="s">
        <v>26588</v>
      </c>
      <c r="U4479" t="s">
        <v>26604</v>
      </c>
      <c r="W4479" t="s">
        <v>713</v>
      </c>
      <c r="X4479">
        <v>800</v>
      </c>
      <c r="Y4479" t="s">
        <v>26652</v>
      </c>
      <c r="Z4479" t="s">
        <v>26659</v>
      </c>
      <c r="AB4479" t="s">
        <v>28836</v>
      </c>
      <c r="AD4479" t="s">
        <v>38896</v>
      </c>
      <c r="AE4479">
        <v>0</v>
      </c>
      <c r="AG4479" t="s">
        <v>19330</v>
      </c>
      <c r="AH4479">
        <v>12</v>
      </c>
      <c r="AI4479">
        <v>1</v>
      </c>
      <c r="AJ4479">
        <v>4</v>
      </c>
      <c r="AK4479">
        <v>159.43</v>
      </c>
      <c r="AN4479" t="s">
        <v>7439</v>
      </c>
      <c r="AO4479">
        <v>46904</v>
      </c>
      <c r="AU4479">
        <v>9.699999999999999</v>
      </c>
      <c r="AV4479" t="s">
        <v>832</v>
      </c>
      <c r="AW4479" t="s">
        <v>46862</v>
      </c>
    </row>
    <row r="4480" spans="1:49">
      <c r="A4480" s="1">
        <f>HYPERLINK("https://lsnyc.legalserver.org/matter/dynamic-profile/view/1887485","19-1887485")</f>
        <v>0</v>
      </c>
      <c r="B4480" t="s">
        <v>140</v>
      </c>
      <c r="C4480" t="s">
        <v>341</v>
      </c>
      <c r="D4480" t="s">
        <v>414</v>
      </c>
      <c r="E4480" t="s">
        <v>726</v>
      </c>
      <c r="F4480" t="s">
        <v>3056</v>
      </c>
      <c r="G4480" t="s">
        <v>7311</v>
      </c>
      <c r="H4480" t="s">
        <v>13042</v>
      </c>
      <c r="I4480" t="s">
        <v>17339</v>
      </c>
      <c r="J4480" t="s">
        <v>18894</v>
      </c>
      <c r="K4480">
        <v>11230</v>
      </c>
      <c r="L4480" t="s">
        <v>18958</v>
      </c>
      <c r="M4480" t="s">
        <v>18958</v>
      </c>
      <c r="N4480" t="s">
        <v>22306</v>
      </c>
      <c r="O4480" t="s">
        <v>26524</v>
      </c>
      <c r="P4480" t="s">
        <v>26564</v>
      </c>
      <c r="Q4480" t="s">
        <v>26570</v>
      </c>
      <c r="R4480" t="s">
        <v>26586</v>
      </c>
      <c r="S4480" t="s">
        <v>18959</v>
      </c>
      <c r="U4480" t="s">
        <v>26604</v>
      </c>
      <c r="V4480" t="s">
        <v>26610</v>
      </c>
      <c r="W4480" t="s">
        <v>713</v>
      </c>
      <c r="X4480">
        <v>1700</v>
      </c>
      <c r="Y4480" t="s">
        <v>26652</v>
      </c>
      <c r="Z4480" t="s">
        <v>26664</v>
      </c>
      <c r="AA4480" t="s">
        <v>26683</v>
      </c>
      <c r="AB4480" t="s">
        <v>30388</v>
      </c>
      <c r="AD4480" t="s">
        <v>40546</v>
      </c>
      <c r="AE4480">
        <v>59</v>
      </c>
      <c r="AF4480" t="s">
        <v>45541</v>
      </c>
      <c r="AG4480" t="s">
        <v>19330</v>
      </c>
      <c r="AH4480">
        <v>-1</v>
      </c>
      <c r="AI4480">
        <v>1</v>
      </c>
      <c r="AJ4480">
        <v>0</v>
      </c>
      <c r="AK4480">
        <v>68.53</v>
      </c>
      <c r="AN4480" t="s">
        <v>7439</v>
      </c>
      <c r="AO4480">
        <v>8320</v>
      </c>
      <c r="AU4480">
        <v>2.3</v>
      </c>
      <c r="AV4480" t="s">
        <v>726</v>
      </c>
      <c r="AW4480" t="s">
        <v>46862</v>
      </c>
    </row>
    <row r="4481" spans="1:50">
      <c r="A4481" s="1">
        <f>HYPERLINK("https://lsnyc.legalserver.org/matter/dynamic-profile/view/1887453","19-1887453")</f>
        <v>0</v>
      </c>
      <c r="B4481" t="s">
        <v>140</v>
      </c>
      <c r="C4481" t="s">
        <v>341</v>
      </c>
      <c r="D4481" t="s">
        <v>414</v>
      </c>
      <c r="E4481" t="s">
        <v>726</v>
      </c>
      <c r="F4481" t="s">
        <v>1049</v>
      </c>
      <c r="G4481" t="s">
        <v>7312</v>
      </c>
      <c r="H4481" t="s">
        <v>13043</v>
      </c>
      <c r="I4481" t="s">
        <v>17430</v>
      </c>
      <c r="J4481" t="s">
        <v>18894</v>
      </c>
      <c r="K4481">
        <v>11223</v>
      </c>
      <c r="L4481" t="s">
        <v>18958</v>
      </c>
      <c r="M4481" t="s">
        <v>18958</v>
      </c>
      <c r="N4481" t="s">
        <v>22307</v>
      </c>
      <c r="O4481" t="s">
        <v>26524</v>
      </c>
      <c r="P4481" t="s">
        <v>26564</v>
      </c>
      <c r="Q4481" t="s">
        <v>26570</v>
      </c>
      <c r="R4481" t="s">
        <v>26586</v>
      </c>
      <c r="S4481" t="s">
        <v>18959</v>
      </c>
      <c r="U4481" t="s">
        <v>26604</v>
      </c>
      <c r="V4481" t="s">
        <v>26610</v>
      </c>
      <c r="W4481" t="s">
        <v>713</v>
      </c>
      <c r="X4481">
        <v>1700</v>
      </c>
      <c r="Y4481" t="s">
        <v>26652</v>
      </c>
      <c r="Z4481" t="s">
        <v>26664</v>
      </c>
      <c r="AA4481" t="s">
        <v>26683</v>
      </c>
      <c r="AB4481" t="s">
        <v>30389</v>
      </c>
      <c r="AD4481" t="s">
        <v>40547</v>
      </c>
      <c r="AE4481">
        <v>1</v>
      </c>
      <c r="AF4481" t="s">
        <v>45547</v>
      </c>
      <c r="AG4481" t="s">
        <v>19330</v>
      </c>
      <c r="AH4481">
        <v>1</v>
      </c>
      <c r="AI4481">
        <v>2</v>
      </c>
      <c r="AJ4481">
        <v>2</v>
      </c>
      <c r="AK4481">
        <v>179</v>
      </c>
      <c r="AN4481" t="s">
        <v>7439</v>
      </c>
      <c r="AO4481">
        <v>44928</v>
      </c>
      <c r="AU4481">
        <v>2</v>
      </c>
      <c r="AV4481" t="s">
        <v>458</v>
      </c>
      <c r="AW4481" t="s">
        <v>46862</v>
      </c>
    </row>
    <row r="4482" spans="1:50">
      <c r="A4482" s="1">
        <f>HYPERLINK("https://lsnyc.legalserver.org/matter/dynamic-profile/view/1887417","19-1887417")</f>
        <v>0</v>
      </c>
      <c r="B4482" t="s">
        <v>106</v>
      </c>
      <c r="C4482" t="s">
        <v>341</v>
      </c>
      <c r="D4482" t="s">
        <v>414</v>
      </c>
      <c r="E4482" t="s">
        <v>739</v>
      </c>
      <c r="F4482" t="s">
        <v>874</v>
      </c>
      <c r="G4482" t="s">
        <v>7096</v>
      </c>
      <c r="H4482" t="s">
        <v>13044</v>
      </c>
      <c r="I4482" t="s">
        <v>17355</v>
      </c>
      <c r="J4482" t="s">
        <v>18894</v>
      </c>
      <c r="K4482">
        <v>11221</v>
      </c>
      <c r="L4482" t="s">
        <v>18958</v>
      </c>
      <c r="M4482" t="s">
        <v>18958</v>
      </c>
      <c r="N4482" t="s">
        <v>22308</v>
      </c>
      <c r="O4482" t="s">
        <v>26523</v>
      </c>
      <c r="P4482" t="s">
        <v>26560</v>
      </c>
      <c r="Q4482" t="s">
        <v>26573</v>
      </c>
      <c r="R4482" t="s">
        <v>26588</v>
      </c>
      <c r="S4482" t="s">
        <v>18959</v>
      </c>
      <c r="U4482" t="s">
        <v>26604</v>
      </c>
      <c r="V4482" t="s">
        <v>26612</v>
      </c>
      <c r="W4482" t="s">
        <v>713</v>
      </c>
      <c r="X4482">
        <v>1128.55</v>
      </c>
      <c r="Y4482" t="s">
        <v>26652</v>
      </c>
      <c r="Z4482" t="s">
        <v>26664</v>
      </c>
      <c r="AA4482" t="s">
        <v>26678</v>
      </c>
      <c r="AB4482" t="s">
        <v>30390</v>
      </c>
      <c r="AC4482" t="s">
        <v>35772</v>
      </c>
      <c r="AD4482" t="s">
        <v>40548</v>
      </c>
      <c r="AE4482">
        <v>16</v>
      </c>
      <c r="AG4482" t="s">
        <v>19330</v>
      </c>
      <c r="AH4482">
        <v>27</v>
      </c>
      <c r="AI4482">
        <v>2</v>
      </c>
      <c r="AJ4482">
        <v>3</v>
      </c>
      <c r="AK4482">
        <v>184.89</v>
      </c>
      <c r="AN4482" t="s">
        <v>7439</v>
      </c>
      <c r="AO4482">
        <v>54395.68</v>
      </c>
      <c r="AS4482" t="s">
        <v>46499</v>
      </c>
      <c r="AT4482" t="s">
        <v>46672</v>
      </c>
      <c r="AU4482">
        <v>6.6</v>
      </c>
      <c r="AV4482" t="s">
        <v>739</v>
      </c>
      <c r="AW4482" t="s">
        <v>46853</v>
      </c>
      <c r="AX4482" t="s">
        <v>46897</v>
      </c>
    </row>
    <row r="4483" spans="1:50">
      <c r="A4483" s="1">
        <f>HYPERLINK("https://lsnyc.legalserver.org/matter/dynamic-profile/view/1887418","19-1887418")</f>
        <v>0</v>
      </c>
      <c r="B4483" t="s">
        <v>172</v>
      </c>
      <c r="C4483" t="s">
        <v>340</v>
      </c>
      <c r="D4483" t="s">
        <v>414</v>
      </c>
      <c r="F4483" t="s">
        <v>1282</v>
      </c>
      <c r="G4483" t="s">
        <v>7313</v>
      </c>
      <c r="H4483" t="s">
        <v>11616</v>
      </c>
      <c r="I4483" t="s">
        <v>17272</v>
      </c>
      <c r="J4483" t="s">
        <v>18894</v>
      </c>
      <c r="K4483">
        <v>11226</v>
      </c>
      <c r="L4483" t="s">
        <v>18958</v>
      </c>
      <c r="M4483" t="s">
        <v>18958</v>
      </c>
      <c r="N4483" t="s">
        <v>22309</v>
      </c>
      <c r="O4483" t="s">
        <v>26523</v>
      </c>
      <c r="P4483" t="s">
        <v>26560</v>
      </c>
      <c r="R4483" t="s">
        <v>26588</v>
      </c>
      <c r="U4483" t="s">
        <v>26604</v>
      </c>
      <c r="W4483" t="s">
        <v>713</v>
      </c>
      <c r="X4483">
        <v>1150</v>
      </c>
      <c r="Y4483" t="s">
        <v>26652</v>
      </c>
      <c r="Z4483" t="s">
        <v>26664</v>
      </c>
      <c r="AB4483" t="s">
        <v>30391</v>
      </c>
      <c r="AD4483" t="s">
        <v>40549</v>
      </c>
      <c r="AE4483">
        <v>20</v>
      </c>
      <c r="AG4483" t="s">
        <v>19330</v>
      </c>
      <c r="AH4483">
        <v>7</v>
      </c>
      <c r="AI4483">
        <v>1</v>
      </c>
      <c r="AJ4483">
        <v>2</v>
      </c>
      <c r="AK4483">
        <v>138.59</v>
      </c>
      <c r="AN4483" t="s">
        <v>7439</v>
      </c>
      <c r="AO4483">
        <v>28800</v>
      </c>
      <c r="AU4483">
        <v>6.6</v>
      </c>
      <c r="AV4483" t="s">
        <v>797</v>
      </c>
      <c r="AW4483" t="s">
        <v>46862</v>
      </c>
    </row>
    <row r="4484" spans="1:50">
      <c r="A4484" s="1">
        <f>HYPERLINK("https://lsnyc.legalserver.org/matter/dynamic-profile/view/1888430","19-1888430")</f>
        <v>0</v>
      </c>
      <c r="B4484" t="s">
        <v>129</v>
      </c>
      <c r="C4484" t="s">
        <v>340</v>
      </c>
      <c r="D4484" t="s">
        <v>719</v>
      </c>
      <c r="F4484" t="s">
        <v>2854</v>
      </c>
      <c r="G4484" t="s">
        <v>2053</v>
      </c>
      <c r="H4484" t="s">
        <v>13045</v>
      </c>
      <c r="I4484" t="s">
        <v>17280</v>
      </c>
      <c r="J4484" t="s">
        <v>18894</v>
      </c>
      <c r="K4484">
        <v>11213</v>
      </c>
      <c r="L4484" t="s">
        <v>18958</v>
      </c>
      <c r="M4484" t="s">
        <v>18958</v>
      </c>
      <c r="N4484" t="s">
        <v>22310</v>
      </c>
      <c r="O4484" t="s">
        <v>26523</v>
      </c>
      <c r="P4484" t="s">
        <v>26560</v>
      </c>
      <c r="R4484" t="s">
        <v>26586</v>
      </c>
      <c r="U4484" t="s">
        <v>26604</v>
      </c>
      <c r="W4484" t="s">
        <v>713</v>
      </c>
      <c r="X4484">
        <v>1198.97</v>
      </c>
      <c r="Y4484" t="s">
        <v>26652</v>
      </c>
      <c r="Z4484" t="s">
        <v>26664</v>
      </c>
      <c r="AB4484" t="s">
        <v>30392</v>
      </c>
      <c r="AD4484" t="s">
        <v>40550</v>
      </c>
      <c r="AE4484">
        <v>47</v>
      </c>
      <c r="AG4484" t="s">
        <v>19330</v>
      </c>
      <c r="AH4484">
        <v>9</v>
      </c>
      <c r="AI4484">
        <v>1</v>
      </c>
      <c r="AJ4484">
        <v>0</v>
      </c>
      <c r="AK4484">
        <v>82.44</v>
      </c>
      <c r="AN4484" t="s">
        <v>7439</v>
      </c>
      <c r="AO4484">
        <v>10008</v>
      </c>
      <c r="AU4484">
        <v>11.6</v>
      </c>
      <c r="AV4484" t="s">
        <v>771</v>
      </c>
      <c r="AW4484" t="s">
        <v>46862</v>
      </c>
    </row>
    <row r="4485" spans="1:50">
      <c r="A4485" s="1">
        <f>HYPERLINK("https://lsnyc.legalserver.org/matter/dynamic-profile/view/1888482","19-1888482")</f>
        <v>0</v>
      </c>
      <c r="B4485" t="s">
        <v>129</v>
      </c>
      <c r="C4485" t="s">
        <v>340</v>
      </c>
      <c r="D4485" t="s">
        <v>719</v>
      </c>
      <c r="F4485" t="s">
        <v>2688</v>
      </c>
      <c r="G4485" t="s">
        <v>6617</v>
      </c>
      <c r="H4485" t="s">
        <v>13046</v>
      </c>
      <c r="I4485" t="s">
        <v>17306</v>
      </c>
      <c r="J4485" t="s">
        <v>18894</v>
      </c>
      <c r="K4485">
        <v>11221</v>
      </c>
      <c r="L4485" t="s">
        <v>18958</v>
      </c>
      <c r="M4485" t="s">
        <v>18958</v>
      </c>
      <c r="N4485" t="s">
        <v>22311</v>
      </c>
      <c r="O4485" t="s">
        <v>26524</v>
      </c>
      <c r="P4485" t="s">
        <v>26560</v>
      </c>
      <c r="R4485" t="s">
        <v>26588</v>
      </c>
      <c r="U4485" t="s">
        <v>26604</v>
      </c>
      <c r="W4485" t="s">
        <v>713</v>
      </c>
      <c r="X4485">
        <v>800</v>
      </c>
      <c r="Y4485" t="s">
        <v>26652</v>
      </c>
      <c r="Z4485" t="s">
        <v>26664</v>
      </c>
      <c r="AB4485" t="s">
        <v>30393</v>
      </c>
      <c r="AD4485" t="s">
        <v>40551</v>
      </c>
      <c r="AE4485">
        <v>3</v>
      </c>
      <c r="AG4485" t="s">
        <v>26530</v>
      </c>
      <c r="AH4485">
        <v>-1</v>
      </c>
      <c r="AI4485">
        <v>1</v>
      </c>
      <c r="AJ4485">
        <v>0</v>
      </c>
      <c r="AK4485">
        <v>164.74</v>
      </c>
      <c r="AN4485" t="s">
        <v>7439</v>
      </c>
      <c r="AO4485">
        <v>20000</v>
      </c>
      <c r="AU4485">
        <v>10.5</v>
      </c>
      <c r="AV4485" t="s">
        <v>808</v>
      </c>
      <c r="AW4485" t="s">
        <v>46862</v>
      </c>
    </row>
    <row r="4486" spans="1:50">
      <c r="A4486" s="1">
        <f>HYPERLINK("https://lsnyc.legalserver.org/matter/dynamic-profile/view/1875120","18-1875120")</f>
        <v>0</v>
      </c>
      <c r="B4486" t="s">
        <v>193</v>
      </c>
      <c r="C4486" t="s">
        <v>341</v>
      </c>
      <c r="D4486" t="s">
        <v>515</v>
      </c>
      <c r="E4486" t="s">
        <v>718</v>
      </c>
      <c r="F4486" t="s">
        <v>1369</v>
      </c>
      <c r="G4486" t="s">
        <v>5103</v>
      </c>
      <c r="H4486" t="s">
        <v>11234</v>
      </c>
      <c r="I4486" t="s">
        <v>17479</v>
      </c>
      <c r="J4486" t="s">
        <v>18894</v>
      </c>
      <c r="K4486">
        <v>11221</v>
      </c>
      <c r="L4486" t="s">
        <v>18958</v>
      </c>
      <c r="M4486" t="s">
        <v>18958</v>
      </c>
      <c r="N4486" t="s">
        <v>22312</v>
      </c>
      <c r="O4486" t="s">
        <v>26524</v>
      </c>
      <c r="P4486" t="s">
        <v>26560</v>
      </c>
      <c r="Q4486" t="s">
        <v>26568</v>
      </c>
      <c r="R4486" t="s">
        <v>26588</v>
      </c>
      <c r="S4486" t="s">
        <v>18959</v>
      </c>
      <c r="U4486" t="s">
        <v>26604</v>
      </c>
      <c r="W4486" t="s">
        <v>718</v>
      </c>
      <c r="X4486">
        <v>1523.14</v>
      </c>
      <c r="Y4486" t="s">
        <v>26652</v>
      </c>
      <c r="Z4486" t="s">
        <v>26669</v>
      </c>
      <c r="AA4486" t="s">
        <v>26678</v>
      </c>
      <c r="AB4486" t="s">
        <v>30394</v>
      </c>
      <c r="AD4486" t="s">
        <v>40552</v>
      </c>
      <c r="AE4486">
        <v>35</v>
      </c>
      <c r="AF4486" t="s">
        <v>45541</v>
      </c>
      <c r="AG4486" t="s">
        <v>45556</v>
      </c>
      <c r="AH4486">
        <v>33</v>
      </c>
      <c r="AI4486">
        <v>1</v>
      </c>
      <c r="AJ4486">
        <v>0</v>
      </c>
      <c r="AK4486">
        <v>72.65000000000001</v>
      </c>
      <c r="AN4486" t="s">
        <v>7439</v>
      </c>
      <c r="AO4486">
        <v>8820</v>
      </c>
      <c r="AS4486" t="s">
        <v>46499</v>
      </c>
      <c r="AT4486" t="s">
        <v>46703</v>
      </c>
      <c r="AU4486">
        <v>10.45</v>
      </c>
      <c r="AV4486" t="s">
        <v>718</v>
      </c>
      <c r="AW4486" t="s">
        <v>46851</v>
      </c>
    </row>
    <row r="4487" spans="1:50">
      <c r="A4487" s="1">
        <f>HYPERLINK("https://lsnyc.legalserver.org/matter/dynamic-profile/view/1862752","18-1862752")</f>
        <v>0</v>
      </c>
      <c r="B4487" t="s">
        <v>125</v>
      </c>
      <c r="C4487" t="s">
        <v>340</v>
      </c>
      <c r="D4487" t="s">
        <v>519</v>
      </c>
      <c r="F4487" t="s">
        <v>3057</v>
      </c>
      <c r="G4487" t="s">
        <v>7025</v>
      </c>
      <c r="H4487" t="s">
        <v>13047</v>
      </c>
      <c r="I4487" t="s">
        <v>18114</v>
      </c>
      <c r="J4487" t="s">
        <v>18894</v>
      </c>
      <c r="K4487">
        <v>11207</v>
      </c>
      <c r="L4487" t="s">
        <v>18958</v>
      </c>
      <c r="M4487" t="s">
        <v>18959</v>
      </c>
      <c r="N4487" t="s">
        <v>22313</v>
      </c>
      <c r="O4487" t="s">
        <v>26523</v>
      </c>
      <c r="P4487" t="s">
        <v>26564</v>
      </c>
      <c r="R4487" t="s">
        <v>26578</v>
      </c>
      <c r="S4487" t="s">
        <v>18959</v>
      </c>
      <c r="U4487" t="s">
        <v>26604</v>
      </c>
      <c r="V4487" t="s">
        <v>26610</v>
      </c>
      <c r="W4487" t="s">
        <v>718</v>
      </c>
      <c r="X4487">
        <v>864.49</v>
      </c>
      <c r="Y4487" t="s">
        <v>26652</v>
      </c>
      <c r="Z4487" t="s">
        <v>26661</v>
      </c>
      <c r="AB4487" t="s">
        <v>30395</v>
      </c>
      <c r="AC4487" t="s">
        <v>19045</v>
      </c>
      <c r="AD4487" t="s">
        <v>40553</v>
      </c>
      <c r="AE4487">
        <v>0</v>
      </c>
      <c r="AF4487" t="s">
        <v>45543</v>
      </c>
      <c r="AG4487" t="s">
        <v>45563</v>
      </c>
      <c r="AH4487">
        <v>1</v>
      </c>
      <c r="AI4487">
        <v>1</v>
      </c>
      <c r="AJ4487">
        <v>0</v>
      </c>
      <c r="AK4487">
        <v>85.67</v>
      </c>
      <c r="AN4487" t="s">
        <v>7439</v>
      </c>
      <c r="AO4487">
        <v>10400</v>
      </c>
      <c r="AU4487">
        <v>2</v>
      </c>
      <c r="AV4487" t="s">
        <v>698</v>
      </c>
      <c r="AW4487" t="s">
        <v>279</v>
      </c>
      <c r="AX4487" t="s">
        <v>46897</v>
      </c>
    </row>
    <row r="4488" spans="1:50">
      <c r="A4488" s="1">
        <f>HYPERLINK("https://lsnyc.legalserver.org/matter/dynamic-profile/view/1886210","18-1886210")</f>
        <v>0</v>
      </c>
      <c r="B4488" t="s">
        <v>55</v>
      </c>
      <c r="C4488" t="s">
        <v>340</v>
      </c>
      <c r="D4488" t="s">
        <v>684</v>
      </c>
      <c r="F4488" t="s">
        <v>916</v>
      </c>
      <c r="G4488" t="s">
        <v>5447</v>
      </c>
      <c r="H4488" t="s">
        <v>12874</v>
      </c>
      <c r="I4488" t="s">
        <v>17348</v>
      </c>
      <c r="J4488" t="s">
        <v>18892</v>
      </c>
      <c r="K4488">
        <v>10452</v>
      </c>
      <c r="L4488" t="s">
        <v>18958</v>
      </c>
      <c r="M4488" t="s">
        <v>18958</v>
      </c>
      <c r="N4488" t="s">
        <v>22094</v>
      </c>
      <c r="O4488" t="s">
        <v>26523</v>
      </c>
      <c r="P4488" t="s">
        <v>26564</v>
      </c>
      <c r="R4488" t="s">
        <v>26578</v>
      </c>
      <c r="S4488" t="s">
        <v>18959</v>
      </c>
      <c r="U4488" t="s">
        <v>26604</v>
      </c>
      <c r="V4488" t="s">
        <v>26610</v>
      </c>
      <c r="W4488" t="s">
        <v>718</v>
      </c>
      <c r="X4488">
        <v>811.34</v>
      </c>
      <c r="Y4488" t="s">
        <v>26650</v>
      </c>
      <c r="Z4488" t="s">
        <v>26659</v>
      </c>
      <c r="AB4488" t="s">
        <v>30155</v>
      </c>
      <c r="AC4488" t="s">
        <v>35773</v>
      </c>
      <c r="AD4488" t="s">
        <v>40554</v>
      </c>
      <c r="AE4488">
        <v>0</v>
      </c>
      <c r="AF4488" t="s">
        <v>45541</v>
      </c>
      <c r="AG4488" t="s">
        <v>45557</v>
      </c>
      <c r="AH4488">
        <v>33</v>
      </c>
      <c r="AI4488">
        <v>1</v>
      </c>
      <c r="AJ4488">
        <v>2</v>
      </c>
      <c r="AK4488">
        <v>53.88</v>
      </c>
      <c r="AN4488" t="s">
        <v>45581</v>
      </c>
      <c r="AO4488">
        <v>11196</v>
      </c>
      <c r="AU4488">
        <v>1.7</v>
      </c>
      <c r="AV4488" t="s">
        <v>415</v>
      </c>
      <c r="AW4488" t="s">
        <v>46860</v>
      </c>
    </row>
    <row r="4489" spans="1:50">
      <c r="A4489" s="1">
        <f>HYPERLINK("https://lsnyc.legalserver.org/matter/dynamic-profile/view/1886385","18-1886385")</f>
        <v>0</v>
      </c>
      <c r="B4489" t="s">
        <v>126</v>
      </c>
      <c r="C4489" t="s">
        <v>341</v>
      </c>
      <c r="D4489" t="s">
        <v>703</v>
      </c>
      <c r="E4489" t="s">
        <v>709</v>
      </c>
      <c r="F4489" t="s">
        <v>1021</v>
      </c>
      <c r="G4489" t="s">
        <v>7314</v>
      </c>
      <c r="H4489" t="s">
        <v>13048</v>
      </c>
      <c r="I4489" t="s">
        <v>17272</v>
      </c>
      <c r="J4489" t="s">
        <v>18894</v>
      </c>
      <c r="K4489">
        <v>11207</v>
      </c>
      <c r="L4489" t="s">
        <v>18958</v>
      </c>
      <c r="M4489" t="s">
        <v>18958</v>
      </c>
      <c r="N4489" t="s">
        <v>22314</v>
      </c>
      <c r="O4489" t="s">
        <v>26523</v>
      </c>
      <c r="P4489" t="s">
        <v>26564</v>
      </c>
      <c r="Q4489" t="s">
        <v>26571</v>
      </c>
      <c r="R4489" t="s">
        <v>26578</v>
      </c>
      <c r="S4489" t="s">
        <v>18959</v>
      </c>
      <c r="U4489" t="s">
        <v>26604</v>
      </c>
      <c r="W4489" t="s">
        <v>718</v>
      </c>
      <c r="X4489">
        <v>2685</v>
      </c>
      <c r="Y4489" t="s">
        <v>26652</v>
      </c>
      <c r="Z4489" t="s">
        <v>26530</v>
      </c>
      <c r="AA4489" t="s">
        <v>26683</v>
      </c>
      <c r="AB4489" t="s">
        <v>30396</v>
      </c>
      <c r="AE4489">
        <v>8</v>
      </c>
      <c r="AF4489" t="s">
        <v>45541</v>
      </c>
      <c r="AG4489" t="s">
        <v>19330</v>
      </c>
      <c r="AH4489">
        <v>3</v>
      </c>
      <c r="AI4489">
        <v>1</v>
      </c>
      <c r="AJ4489">
        <v>0</v>
      </c>
      <c r="AK4489">
        <v>149.92</v>
      </c>
      <c r="AN4489" t="s">
        <v>7439</v>
      </c>
      <c r="AO4489">
        <v>18200</v>
      </c>
      <c r="AU4489">
        <v>2.4</v>
      </c>
      <c r="AV4489" t="s">
        <v>716</v>
      </c>
      <c r="AW4489" t="s">
        <v>46841</v>
      </c>
    </row>
    <row r="4490" spans="1:50">
      <c r="A4490" s="1">
        <f>HYPERLINK("https://lsnyc.legalserver.org/matter/dynamic-profile/view/1886471","18-1886471")</f>
        <v>0</v>
      </c>
      <c r="B4490" t="s">
        <v>67</v>
      </c>
      <c r="C4490" t="s">
        <v>340</v>
      </c>
      <c r="D4490" t="s">
        <v>706</v>
      </c>
      <c r="F4490" t="s">
        <v>3058</v>
      </c>
      <c r="G4490" t="s">
        <v>5734</v>
      </c>
      <c r="H4490" t="s">
        <v>13049</v>
      </c>
      <c r="I4490" t="s">
        <v>18115</v>
      </c>
      <c r="J4490" t="s">
        <v>18892</v>
      </c>
      <c r="K4490">
        <v>10459</v>
      </c>
      <c r="L4490" t="s">
        <v>18958</v>
      </c>
      <c r="M4490" t="s">
        <v>18958</v>
      </c>
      <c r="N4490" t="s">
        <v>22315</v>
      </c>
      <c r="O4490" t="s">
        <v>26523</v>
      </c>
      <c r="P4490" t="s">
        <v>26565</v>
      </c>
      <c r="R4490" t="s">
        <v>26578</v>
      </c>
      <c r="U4490" t="s">
        <v>26604</v>
      </c>
      <c r="W4490" t="s">
        <v>718</v>
      </c>
      <c r="X4490">
        <v>1750</v>
      </c>
      <c r="Y4490" t="s">
        <v>26650</v>
      </c>
      <c r="Z4490" t="s">
        <v>26530</v>
      </c>
      <c r="AB4490" t="s">
        <v>30397</v>
      </c>
      <c r="AC4490" t="s">
        <v>35774</v>
      </c>
      <c r="AD4490" t="s">
        <v>40555</v>
      </c>
      <c r="AE4490">
        <v>9</v>
      </c>
      <c r="AF4490" t="s">
        <v>45541</v>
      </c>
      <c r="AG4490" t="s">
        <v>19330</v>
      </c>
      <c r="AH4490">
        <v>4</v>
      </c>
      <c r="AI4490">
        <v>3</v>
      </c>
      <c r="AJ4490">
        <v>2</v>
      </c>
      <c r="AK4490">
        <v>57.27</v>
      </c>
      <c r="AN4490" t="s">
        <v>45581</v>
      </c>
      <c r="AO4490">
        <v>16848</v>
      </c>
      <c r="AP4490" t="s">
        <v>45826</v>
      </c>
      <c r="AU4490">
        <v>1.5</v>
      </c>
      <c r="AV4490" t="s">
        <v>718</v>
      </c>
      <c r="AW4490" t="s">
        <v>46850</v>
      </c>
    </row>
    <row r="4491" spans="1:50">
      <c r="A4491" s="1">
        <f>HYPERLINK("https://lsnyc.legalserver.org/matter/dynamic-profile/view/1886574","18-1886574")</f>
        <v>0</v>
      </c>
      <c r="B4491" t="s">
        <v>67</v>
      </c>
      <c r="C4491" t="s">
        <v>340</v>
      </c>
      <c r="D4491" t="s">
        <v>699</v>
      </c>
      <c r="F4491" t="s">
        <v>1221</v>
      </c>
      <c r="G4491" t="s">
        <v>7315</v>
      </c>
      <c r="H4491" t="s">
        <v>13050</v>
      </c>
      <c r="I4491" t="s">
        <v>17388</v>
      </c>
      <c r="J4491" t="s">
        <v>18892</v>
      </c>
      <c r="K4491">
        <v>10457</v>
      </c>
      <c r="L4491" t="s">
        <v>18958</v>
      </c>
      <c r="M4491" t="s">
        <v>18958</v>
      </c>
      <c r="O4491" t="s">
        <v>26529</v>
      </c>
      <c r="P4491" t="s">
        <v>26564</v>
      </c>
      <c r="R4491" t="s">
        <v>26578</v>
      </c>
      <c r="S4491" t="s">
        <v>18959</v>
      </c>
      <c r="U4491" t="s">
        <v>26606</v>
      </c>
      <c r="W4491" t="s">
        <v>718</v>
      </c>
      <c r="X4491">
        <v>1579</v>
      </c>
      <c r="Y4491" t="s">
        <v>26650</v>
      </c>
      <c r="Z4491" t="s">
        <v>26655</v>
      </c>
      <c r="AB4491" t="s">
        <v>29101</v>
      </c>
      <c r="AD4491" t="s">
        <v>40556</v>
      </c>
      <c r="AE4491">
        <v>110</v>
      </c>
      <c r="AF4491" t="s">
        <v>45541</v>
      </c>
      <c r="AG4491" t="s">
        <v>45556</v>
      </c>
      <c r="AH4491">
        <v>4</v>
      </c>
      <c r="AI4491">
        <v>2</v>
      </c>
      <c r="AJ4491">
        <v>0</v>
      </c>
      <c r="AK4491">
        <v>177.98</v>
      </c>
      <c r="AN4491" t="s">
        <v>7439</v>
      </c>
      <c r="AO4491">
        <v>29296</v>
      </c>
      <c r="AP4491" t="s">
        <v>45826</v>
      </c>
      <c r="AU4491">
        <v>2</v>
      </c>
      <c r="AV4491" t="s">
        <v>718</v>
      </c>
      <c r="AW4491" t="s">
        <v>46846</v>
      </c>
    </row>
    <row r="4492" spans="1:50">
      <c r="A4492" s="1">
        <f>HYPERLINK("https://lsnyc.legalserver.org/matter/dynamic-profile/view/1886762","18-1886762")</f>
        <v>0</v>
      </c>
      <c r="B4492" t="s">
        <v>112</v>
      </c>
      <c r="C4492" t="s">
        <v>340</v>
      </c>
      <c r="D4492" t="s">
        <v>494</v>
      </c>
      <c r="F4492" t="s">
        <v>3059</v>
      </c>
      <c r="G4492" t="s">
        <v>6176</v>
      </c>
      <c r="H4492" t="s">
        <v>11204</v>
      </c>
      <c r="I4492" t="s">
        <v>17407</v>
      </c>
      <c r="J4492" t="s">
        <v>18906</v>
      </c>
      <c r="K4492">
        <v>11373</v>
      </c>
      <c r="L4492" t="s">
        <v>18958</v>
      </c>
      <c r="M4492" t="s">
        <v>18958</v>
      </c>
      <c r="N4492" t="s">
        <v>22316</v>
      </c>
      <c r="O4492" t="s">
        <v>26534</v>
      </c>
      <c r="P4492" t="s">
        <v>26561</v>
      </c>
      <c r="R4492" t="s">
        <v>26584</v>
      </c>
      <c r="S4492" t="s">
        <v>18959</v>
      </c>
      <c r="U4492" t="s">
        <v>26607</v>
      </c>
      <c r="V4492" t="s">
        <v>26610</v>
      </c>
      <c r="W4492" t="s">
        <v>718</v>
      </c>
      <c r="X4492">
        <v>1147</v>
      </c>
      <c r="Y4492" t="s">
        <v>26653</v>
      </c>
      <c r="Z4492" t="s">
        <v>26659</v>
      </c>
      <c r="AB4492" t="s">
        <v>28390</v>
      </c>
      <c r="AE4492">
        <v>20</v>
      </c>
      <c r="AF4492" t="s">
        <v>45541</v>
      </c>
      <c r="AG4492" t="s">
        <v>19330</v>
      </c>
      <c r="AH4492">
        <v>15</v>
      </c>
      <c r="AI4492">
        <v>1</v>
      </c>
      <c r="AJ4492">
        <v>1</v>
      </c>
      <c r="AK4492">
        <v>43.74</v>
      </c>
      <c r="AN4492" t="s">
        <v>45581</v>
      </c>
      <c r="AO4492">
        <v>7200</v>
      </c>
      <c r="AU4492">
        <v>6.7</v>
      </c>
      <c r="AV4492" t="s">
        <v>835</v>
      </c>
      <c r="AW4492" t="s">
        <v>112</v>
      </c>
    </row>
    <row r="4493" spans="1:50">
      <c r="A4493" s="1">
        <f>HYPERLINK("https://lsnyc.legalserver.org/matter/dynamic-profile/view/1886953","19-1886953")</f>
        <v>0</v>
      </c>
      <c r="B4493" t="s">
        <v>145</v>
      </c>
      <c r="C4493" t="s">
        <v>341</v>
      </c>
      <c r="D4493" t="s">
        <v>718</v>
      </c>
      <c r="E4493" t="s">
        <v>690</v>
      </c>
      <c r="F4493" t="s">
        <v>1197</v>
      </c>
      <c r="G4493" t="s">
        <v>7316</v>
      </c>
      <c r="H4493" t="s">
        <v>13051</v>
      </c>
      <c r="I4493" t="s">
        <v>18116</v>
      </c>
      <c r="J4493" t="s">
        <v>18902</v>
      </c>
      <c r="K4493">
        <v>10301</v>
      </c>
      <c r="L4493" t="s">
        <v>18958</v>
      </c>
      <c r="M4493" t="s">
        <v>18958</v>
      </c>
      <c r="N4493" t="s">
        <v>19330</v>
      </c>
      <c r="O4493" t="s">
        <v>26545</v>
      </c>
      <c r="P4493" t="s">
        <v>26562</v>
      </c>
      <c r="Q4493" t="s">
        <v>26571</v>
      </c>
      <c r="R4493" t="s">
        <v>26589</v>
      </c>
      <c r="S4493" t="s">
        <v>18959</v>
      </c>
      <c r="U4493" t="s">
        <v>26605</v>
      </c>
      <c r="V4493" t="s">
        <v>26610</v>
      </c>
      <c r="W4493" t="s">
        <v>718</v>
      </c>
      <c r="X4493">
        <v>2025</v>
      </c>
      <c r="Y4493" t="s">
        <v>26654</v>
      </c>
      <c r="Z4493" t="s">
        <v>26671</v>
      </c>
      <c r="AA4493" t="s">
        <v>26683</v>
      </c>
      <c r="AB4493" t="s">
        <v>28147</v>
      </c>
      <c r="AE4493">
        <v>3</v>
      </c>
      <c r="AF4493" t="s">
        <v>45547</v>
      </c>
      <c r="AG4493" t="s">
        <v>19330</v>
      </c>
      <c r="AH4493">
        <v>2</v>
      </c>
      <c r="AI4493">
        <v>2</v>
      </c>
      <c r="AJ4493">
        <v>1</v>
      </c>
      <c r="AK4493">
        <v>75.06999999999999</v>
      </c>
      <c r="AL4493" t="s">
        <v>45567</v>
      </c>
      <c r="AM4493" t="s">
        <v>45577</v>
      </c>
      <c r="AN4493" t="s">
        <v>7439</v>
      </c>
      <c r="AO4493">
        <v>15600</v>
      </c>
      <c r="AR4493" t="s">
        <v>26530</v>
      </c>
      <c r="AS4493" t="s">
        <v>46499</v>
      </c>
      <c r="AT4493" t="s">
        <v>46703</v>
      </c>
      <c r="AU4493">
        <v>1.35</v>
      </c>
      <c r="AV4493" t="s">
        <v>727</v>
      </c>
      <c r="AW4493" t="s">
        <v>46855</v>
      </c>
    </row>
    <row r="4494" spans="1:50">
      <c r="A4494" s="1">
        <f>HYPERLINK("https://lsnyc.legalserver.org/matter/dynamic-profile/view/1886899","19-1886899")</f>
        <v>0</v>
      </c>
      <c r="B4494" t="s">
        <v>258</v>
      </c>
      <c r="C4494" t="s">
        <v>341</v>
      </c>
      <c r="D4494" t="s">
        <v>718</v>
      </c>
      <c r="E4494" t="s">
        <v>819</v>
      </c>
      <c r="F4494" t="s">
        <v>895</v>
      </c>
      <c r="G4494" t="s">
        <v>5785</v>
      </c>
      <c r="H4494" t="s">
        <v>13052</v>
      </c>
      <c r="I4494" t="s">
        <v>17375</v>
      </c>
      <c r="J4494" t="s">
        <v>18910</v>
      </c>
      <c r="K4494">
        <v>11420</v>
      </c>
      <c r="L4494" t="s">
        <v>18958</v>
      </c>
      <c r="M4494" t="s">
        <v>18958</v>
      </c>
      <c r="N4494" t="s">
        <v>22317</v>
      </c>
      <c r="O4494" t="s">
        <v>26524</v>
      </c>
      <c r="P4494" t="s">
        <v>26564</v>
      </c>
      <c r="Q4494" t="s">
        <v>26570</v>
      </c>
      <c r="R4494" t="s">
        <v>26584</v>
      </c>
      <c r="S4494" t="s">
        <v>18959</v>
      </c>
      <c r="U4494" t="s">
        <v>26604</v>
      </c>
      <c r="V4494" t="s">
        <v>26614</v>
      </c>
      <c r="W4494" t="s">
        <v>718</v>
      </c>
      <c r="X4494">
        <v>1350</v>
      </c>
      <c r="Y4494" t="s">
        <v>26653</v>
      </c>
      <c r="Z4494" t="s">
        <v>26664</v>
      </c>
      <c r="AA4494" t="s">
        <v>26683</v>
      </c>
      <c r="AB4494" t="s">
        <v>29907</v>
      </c>
      <c r="AC4494" t="s">
        <v>35775</v>
      </c>
      <c r="AD4494" t="s">
        <v>40557</v>
      </c>
      <c r="AE4494">
        <v>2</v>
      </c>
      <c r="AF4494" t="s">
        <v>20460</v>
      </c>
      <c r="AG4494" t="s">
        <v>19330</v>
      </c>
      <c r="AH4494">
        <v>4</v>
      </c>
      <c r="AI4494">
        <v>4</v>
      </c>
      <c r="AJ4494">
        <v>2</v>
      </c>
      <c r="AK4494">
        <v>88.77</v>
      </c>
      <c r="AN4494" t="s">
        <v>7439</v>
      </c>
      <c r="AO4494">
        <v>29952</v>
      </c>
      <c r="AU4494">
        <v>1</v>
      </c>
      <c r="AV4494" t="s">
        <v>718</v>
      </c>
      <c r="AW4494" t="s">
        <v>208</v>
      </c>
    </row>
    <row r="4495" spans="1:50">
      <c r="A4495" s="1">
        <f>HYPERLINK("https://lsnyc.legalserver.org/matter/dynamic-profile/view/1886900","19-1886900")</f>
        <v>0</v>
      </c>
      <c r="B4495" t="s">
        <v>50</v>
      </c>
      <c r="C4495" t="s">
        <v>341</v>
      </c>
      <c r="D4495" t="s">
        <v>718</v>
      </c>
      <c r="E4495" t="s">
        <v>660</v>
      </c>
      <c r="F4495" t="s">
        <v>1283</v>
      </c>
      <c r="G4495" t="s">
        <v>7317</v>
      </c>
      <c r="H4495" t="s">
        <v>13053</v>
      </c>
      <c r="I4495" t="s">
        <v>17309</v>
      </c>
      <c r="J4495" t="s">
        <v>18892</v>
      </c>
      <c r="K4495">
        <v>10472</v>
      </c>
      <c r="L4495" t="s">
        <v>18958</v>
      </c>
      <c r="M4495" t="s">
        <v>18958</v>
      </c>
      <c r="N4495" t="s">
        <v>22318</v>
      </c>
      <c r="O4495" t="s">
        <v>26524</v>
      </c>
      <c r="P4495" t="s">
        <v>26560</v>
      </c>
      <c r="Q4495" t="s">
        <v>26568</v>
      </c>
      <c r="R4495" t="s">
        <v>26577</v>
      </c>
      <c r="S4495" t="s">
        <v>18959</v>
      </c>
      <c r="U4495" t="s">
        <v>26604</v>
      </c>
      <c r="V4495" t="s">
        <v>26610</v>
      </c>
      <c r="W4495" t="s">
        <v>718</v>
      </c>
      <c r="X4495">
        <v>1350</v>
      </c>
      <c r="Y4495" t="s">
        <v>26650</v>
      </c>
      <c r="Z4495" t="s">
        <v>26664</v>
      </c>
      <c r="AA4495" t="s">
        <v>26678</v>
      </c>
      <c r="AB4495" t="s">
        <v>30398</v>
      </c>
      <c r="AC4495" t="s">
        <v>35776</v>
      </c>
      <c r="AD4495" t="s">
        <v>40558</v>
      </c>
      <c r="AE4495">
        <v>4</v>
      </c>
      <c r="AF4495" t="s">
        <v>45547</v>
      </c>
      <c r="AG4495" t="s">
        <v>19330</v>
      </c>
      <c r="AH4495">
        <v>1</v>
      </c>
      <c r="AI4495">
        <v>1</v>
      </c>
      <c r="AJ4495">
        <v>1</v>
      </c>
      <c r="AK4495">
        <v>181.09</v>
      </c>
      <c r="AN4495" t="s">
        <v>7439</v>
      </c>
      <c r="AO4495">
        <v>29808</v>
      </c>
      <c r="AR4495" t="s">
        <v>46485</v>
      </c>
      <c r="AS4495" t="s">
        <v>46499</v>
      </c>
      <c r="AT4495" t="s">
        <v>46660</v>
      </c>
      <c r="AU4495">
        <v>8.75</v>
      </c>
      <c r="AV4495" t="s">
        <v>660</v>
      </c>
      <c r="AW4495" t="s">
        <v>334</v>
      </c>
    </row>
    <row r="4496" spans="1:50">
      <c r="A4496" s="1">
        <f>HYPERLINK("https://lsnyc.legalserver.org/matter/dynamic-profile/view/1886994","19-1886994")</f>
        <v>0</v>
      </c>
      <c r="B4496" t="s">
        <v>136</v>
      </c>
      <c r="C4496" t="s">
        <v>340</v>
      </c>
      <c r="D4496" t="s">
        <v>718</v>
      </c>
      <c r="F4496" t="s">
        <v>999</v>
      </c>
      <c r="G4496" t="s">
        <v>7318</v>
      </c>
      <c r="H4496" t="s">
        <v>13054</v>
      </c>
      <c r="I4496" t="s">
        <v>17309</v>
      </c>
      <c r="J4496" t="s">
        <v>18892</v>
      </c>
      <c r="K4496">
        <v>10466</v>
      </c>
      <c r="L4496" t="s">
        <v>18958</v>
      </c>
      <c r="M4496" t="s">
        <v>18958</v>
      </c>
      <c r="N4496" t="s">
        <v>22319</v>
      </c>
      <c r="O4496" t="s">
        <v>26523</v>
      </c>
      <c r="P4496" t="s">
        <v>26560</v>
      </c>
      <c r="R4496" t="s">
        <v>26577</v>
      </c>
      <c r="S4496" t="s">
        <v>18959</v>
      </c>
      <c r="U4496" t="s">
        <v>26604</v>
      </c>
      <c r="V4496" t="s">
        <v>26610</v>
      </c>
      <c r="W4496" t="s">
        <v>718</v>
      </c>
      <c r="X4496">
        <v>1675</v>
      </c>
      <c r="Y4496" t="s">
        <v>26650</v>
      </c>
      <c r="Z4496" t="s">
        <v>26668</v>
      </c>
      <c r="AB4496" t="s">
        <v>30399</v>
      </c>
      <c r="AD4496" t="s">
        <v>40559</v>
      </c>
      <c r="AE4496">
        <v>0</v>
      </c>
      <c r="AF4496" t="s">
        <v>45541</v>
      </c>
      <c r="AG4496" t="s">
        <v>19330</v>
      </c>
      <c r="AH4496">
        <v>10</v>
      </c>
      <c r="AI4496">
        <v>3</v>
      </c>
      <c r="AJ4496">
        <v>0</v>
      </c>
      <c r="AK4496">
        <v>12.51</v>
      </c>
      <c r="AO4496">
        <v>2600</v>
      </c>
      <c r="AU4496">
        <v>5.75</v>
      </c>
      <c r="AV4496" t="s">
        <v>698</v>
      </c>
      <c r="AW4496" t="s">
        <v>334</v>
      </c>
    </row>
    <row r="4497" spans="1:50">
      <c r="A4497" s="1">
        <f>HYPERLINK("https://lsnyc.legalserver.org/matter/dynamic-profile/view/1887014","19-1887014")</f>
        <v>0</v>
      </c>
      <c r="B4497" t="s">
        <v>113</v>
      </c>
      <c r="C4497" t="s">
        <v>340</v>
      </c>
      <c r="D4497" t="s">
        <v>718</v>
      </c>
      <c r="F4497" t="s">
        <v>916</v>
      </c>
      <c r="G4497" t="s">
        <v>5185</v>
      </c>
      <c r="H4497" t="s">
        <v>9758</v>
      </c>
      <c r="I4497" t="s">
        <v>17272</v>
      </c>
      <c r="J4497" t="s">
        <v>18892</v>
      </c>
      <c r="K4497">
        <v>10460</v>
      </c>
      <c r="L4497" t="s">
        <v>18958</v>
      </c>
      <c r="M4497" t="s">
        <v>18958</v>
      </c>
      <c r="O4497" t="s">
        <v>26537</v>
      </c>
      <c r="P4497" t="s">
        <v>26562</v>
      </c>
      <c r="R4497" t="s">
        <v>26578</v>
      </c>
      <c r="S4497" t="s">
        <v>18959</v>
      </c>
      <c r="U4497" t="s">
        <v>26606</v>
      </c>
      <c r="W4497" t="s">
        <v>718</v>
      </c>
      <c r="X4497">
        <v>1325.9</v>
      </c>
      <c r="Y4497" t="s">
        <v>26650</v>
      </c>
      <c r="Z4497" t="s">
        <v>26659</v>
      </c>
      <c r="AB4497" t="s">
        <v>26841</v>
      </c>
      <c r="AC4497" t="s">
        <v>34524</v>
      </c>
      <c r="AD4497" t="s">
        <v>36941</v>
      </c>
      <c r="AE4497">
        <v>107</v>
      </c>
      <c r="AF4497" t="s">
        <v>45547</v>
      </c>
      <c r="AG4497" t="s">
        <v>45556</v>
      </c>
      <c r="AH4497">
        <v>20</v>
      </c>
      <c r="AI4497">
        <v>1</v>
      </c>
      <c r="AJ4497">
        <v>0</v>
      </c>
      <c r="AK4497">
        <v>78.78</v>
      </c>
      <c r="AN4497" t="s">
        <v>45581</v>
      </c>
      <c r="AO4497">
        <v>9564</v>
      </c>
      <c r="AP4497" t="s">
        <v>45827</v>
      </c>
      <c r="AU4497">
        <v>2.2</v>
      </c>
      <c r="AV4497" t="s">
        <v>690</v>
      </c>
      <c r="AW4497" t="s">
        <v>46832</v>
      </c>
    </row>
    <row r="4498" spans="1:50">
      <c r="A4498" s="1">
        <f>HYPERLINK("https://lsnyc.legalserver.org/matter/dynamic-profile/view/1886947","19-1886947")</f>
        <v>0</v>
      </c>
      <c r="B4498" t="s">
        <v>138</v>
      </c>
      <c r="C4498" t="s">
        <v>340</v>
      </c>
      <c r="D4498" t="s">
        <v>718</v>
      </c>
      <c r="F4498" t="s">
        <v>1345</v>
      </c>
      <c r="G4498" t="s">
        <v>5185</v>
      </c>
      <c r="H4498" t="s">
        <v>13055</v>
      </c>
      <c r="I4498" t="s">
        <v>18117</v>
      </c>
      <c r="J4498" t="s">
        <v>18893</v>
      </c>
      <c r="K4498">
        <v>10023</v>
      </c>
      <c r="L4498" t="s">
        <v>18958</v>
      </c>
      <c r="M4498" t="s">
        <v>18958</v>
      </c>
      <c r="O4498" t="s">
        <v>18997</v>
      </c>
      <c r="P4498" t="s">
        <v>26564</v>
      </c>
      <c r="R4498" t="s">
        <v>26578</v>
      </c>
      <c r="S4498" t="s">
        <v>18959</v>
      </c>
      <c r="U4498" t="s">
        <v>26604</v>
      </c>
      <c r="V4498" t="s">
        <v>26609</v>
      </c>
      <c r="W4498" t="s">
        <v>718</v>
      </c>
      <c r="X4498">
        <v>675</v>
      </c>
      <c r="Y4498" t="s">
        <v>26651</v>
      </c>
      <c r="Z4498" t="s">
        <v>26657</v>
      </c>
      <c r="AB4498" t="s">
        <v>30400</v>
      </c>
      <c r="AD4498" t="s">
        <v>40560</v>
      </c>
      <c r="AE4498">
        <v>20</v>
      </c>
      <c r="AF4498" t="s">
        <v>45541</v>
      </c>
      <c r="AG4498" t="s">
        <v>19330</v>
      </c>
      <c r="AH4498">
        <v>30</v>
      </c>
      <c r="AI4498">
        <v>1</v>
      </c>
      <c r="AJ4498">
        <v>0</v>
      </c>
      <c r="AK4498">
        <v>112.19</v>
      </c>
      <c r="AN4498" t="s">
        <v>7439</v>
      </c>
      <c r="AO4498">
        <v>13620</v>
      </c>
      <c r="AU4498">
        <v>6</v>
      </c>
      <c r="AV4498" t="s">
        <v>831</v>
      </c>
      <c r="AW4498" t="s">
        <v>46835</v>
      </c>
    </row>
    <row r="4499" spans="1:50">
      <c r="A4499" s="1">
        <f>HYPERLINK("https://lsnyc.legalserver.org/matter/dynamic-profile/view/1888455","19-1888455")</f>
        <v>0</v>
      </c>
      <c r="B4499" t="s">
        <v>67</v>
      </c>
      <c r="C4499" t="s">
        <v>340</v>
      </c>
      <c r="D4499" t="s">
        <v>718</v>
      </c>
      <c r="F4499" t="s">
        <v>939</v>
      </c>
      <c r="G4499" t="s">
        <v>5385</v>
      </c>
      <c r="H4499" t="s">
        <v>13056</v>
      </c>
      <c r="I4499" t="s">
        <v>17353</v>
      </c>
      <c r="J4499" t="s">
        <v>18892</v>
      </c>
      <c r="K4499">
        <v>10452</v>
      </c>
      <c r="L4499" t="s">
        <v>18958</v>
      </c>
      <c r="M4499" t="s">
        <v>18958</v>
      </c>
      <c r="O4499" t="s">
        <v>18997</v>
      </c>
      <c r="P4499" t="s">
        <v>26564</v>
      </c>
      <c r="R4499" t="s">
        <v>26578</v>
      </c>
      <c r="S4499" t="s">
        <v>18959</v>
      </c>
      <c r="U4499" t="s">
        <v>26604</v>
      </c>
      <c r="W4499" t="s">
        <v>718</v>
      </c>
      <c r="X4499">
        <v>219</v>
      </c>
      <c r="Y4499" t="s">
        <v>26650</v>
      </c>
      <c r="Z4499" t="s">
        <v>26663</v>
      </c>
      <c r="AB4499" t="s">
        <v>30401</v>
      </c>
      <c r="AD4499" t="s">
        <v>40561</v>
      </c>
      <c r="AE4499">
        <v>77</v>
      </c>
      <c r="AF4499" t="s">
        <v>45541</v>
      </c>
      <c r="AG4499" t="s">
        <v>45556</v>
      </c>
      <c r="AH4499">
        <v>11</v>
      </c>
      <c r="AI4499">
        <v>2</v>
      </c>
      <c r="AJ4499">
        <v>1</v>
      </c>
      <c r="AK4499">
        <v>24.2</v>
      </c>
      <c r="AN4499" t="s">
        <v>7439</v>
      </c>
      <c r="AO4499">
        <v>5028</v>
      </c>
      <c r="AU4499">
        <v>1</v>
      </c>
      <c r="AV4499" t="s">
        <v>795</v>
      </c>
      <c r="AW4499" t="s">
        <v>336</v>
      </c>
    </row>
    <row r="4500" spans="1:50">
      <c r="A4500" s="1">
        <f>HYPERLINK("https://lsnyc.legalserver.org/matter/dynamic-profile/view/1888465","19-1888465")</f>
        <v>0</v>
      </c>
      <c r="B4500" t="s">
        <v>67</v>
      </c>
      <c r="C4500" t="s">
        <v>340</v>
      </c>
      <c r="D4500" t="s">
        <v>718</v>
      </c>
      <c r="F4500" t="s">
        <v>2278</v>
      </c>
      <c r="G4500" t="s">
        <v>5311</v>
      </c>
      <c r="H4500" t="s">
        <v>13057</v>
      </c>
      <c r="I4500" t="s">
        <v>18118</v>
      </c>
      <c r="J4500" t="s">
        <v>18892</v>
      </c>
      <c r="K4500">
        <v>10452</v>
      </c>
      <c r="L4500" t="s">
        <v>18958</v>
      </c>
      <c r="M4500" t="s">
        <v>18958</v>
      </c>
      <c r="O4500" t="s">
        <v>26526</v>
      </c>
      <c r="P4500" t="s">
        <v>26564</v>
      </c>
      <c r="R4500" t="s">
        <v>26578</v>
      </c>
      <c r="S4500" t="s">
        <v>18959</v>
      </c>
      <c r="U4500" t="s">
        <v>26604</v>
      </c>
      <c r="W4500" t="s">
        <v>718</v>
      </c>
      <c r="X4500">
        <v>1793.98</v>
      </c>
      <c r="Y4500" t="s">
        <v>26650</v>
      </c>
      <c r="Z4500" t="s">
        <v>26663</v>
      </c>
      <c r="AB4500" t="s">
        <v>29623</v>
      </c>
      <c r="AC4500">
        <v>16069736</v>
      </c>
      <c r="AD4500" t="s">
        <v>40562</v>
      </c>
      <c r="AE4500">
        <v>211</v>
      </c>
      <c r="AF4500" t="s">
        <v>45541</v>
      </c>
      <c r="AG4500" t="s">
        <v>45556</v>
      </c>
      <c r="AH4500">
        <v>16</v>
      </c>
      <c r="AI4500">
        <v>1</v>
      </c>
      <c r="AJ4500">
        <v>0</v>
      </c>
      <c r="AK4500">
        <v>66.72</v>
      </c>
      <c r="AN4500" t="s">
        <v>7439</v>
      </c>
      <c r="AO4500">
        <v>8100</v>
      </c>
      <c r="AU4500">
        <v>0</v>
      </c>
      <c r="AW4500" t="s">
        <v>336</v>
      </c>
    </row>
    <row r="4501" spans="1:50">
      <c r="A4501" s="1">
        <f>HYPERLINK("https://lsnyc.legalserver.org/matter/dynamic-profile/view/1886891","19-1886891")</f>
        <v>0</v>
      </c>
      <c r="B4501" t="s">
        <v>56</v>
      </c>
      <c r="C4501" t="s">
        <v>340</v>
      </c>
      <c r="D4501" t="s">
        <v>718</v>
      </c>
      <c r="F4501" t="s">
        <v>2757</v>
      </c>
      <c r="G4501" t="s">
        <v>5333</v>
      </c>
      <c r="H4501" t="s">
        <v>13058</v>
      </c>
      <c r="I4501" t="s">
        <v>18119</v>
      </c>
      <c r="J4501" t="s">
        <v>18892</v>
      </c>
      <c r="K4501">
        <v>10462</v>
      </c>
      <c r="L4501" t="s">
        <v>18958</v>
      </c>
      <c r="M4501" t="s">
        <v>18958</v>
      </c>
      <c r="N4501" t="s">
        <v>22320</v>
      </c>
      <c r="O4501" t="s">
        <v>26524</v>
      </c>
      <c r="P4501" t="s">
        <v>26560</v>
      </c>
      <c r="R4501" t="s">
        <v>26579</v>
      </c>
      <c r="U4501" t="s">
        <v>26604</v>
      </c>
      <c r="V4501" t="s">
        <v>26612</v>
      </c>
      <c r="W4501" t="s">
        <v>718</v>
      </c>
      <c r="X4501">
        <v>1397</v>
      </c>
      <c r="Y4501" t="s">
        <v>26650</v>
      </c>
      <c r="Z4501" t="s">
        <v>26664</v>
      </c>
      <c r="AB4501" t="s">
        <v>30402</v>
      </c>
      <c r="AD4501" t="s">
        <v>40563</v>
      </c>
      <c r="AE4501">
        <v>0</v>
      </c>
      <c r="AF4501" t="s">
        <v>45547</v>
      </c>
      <c r="AG4501" t="s">
        <v>45556</v>
      </c>
      <c r="AH4501">
        <v>17</v>
      </c>
      <c r="AI4501">
        <v>1</v>
      </c>
      <c r="AJ4501">
        <v>0</v>
      </c>
      <c r="AK4501">
        <v>88.95999999999999</v>
      </c>
      <c r="AN4501" t="s">
        <v>7439</v>
      </c>
      <c r="AO4501">
        <v>10800</v>
      </c>
      <c r="AU4501">
        <v>18.35</v>
      </c>
      <c r="AV4501" t="s">
        <v>792</v>
      </c>
      <c r="AW4501" t="s">
        <v>46831</v>
      </c>
    </row>
    <row r="4502" spans="1:50">
      <c r="A4502" s="1">
        <f>HYPERLINK("https://lsnyc.legalserver.org/matter/dynamic-profile/view/1886925","19-1886925")</f>
        <v>0</v>
      </c>
      <c r="B4502" t="s">
        <v>258</v>
      </c>
      <c r="C4502" t="s">
        <v>340</v>
      </c>
      <c r="D4502" t="s">
        <v>718</v>
      </c>
      <c r="F4502" t="s">
        <v>1647</v>
      </c>
      <c r="G4502" t="s">
        <v>5147</v>
      </c>
      <c r="H4502" t="s">
        <v>12865</v>
      </c>
      <c r="I4502" t="s">
        <v>17597</v>
      </c>
      <c r="J4502" t="s">
        <v>18915</v>
      </c>
      <c r="K4502">
        <v>11372</v>
      </c>
      <c r="L4502" t="s">
        <v>18958</v>
      </c>
      <c r="M4502" t="s">
        <v>18958</v>
      </c>
      <c r="N4502" t="s">
        <v>22321</v>
      </c>
      <c r="O4502" t="s">
        <v>26524</v>
      </c>
      <c r="P4502" t="s">
        <v>26560</v>
      </c>
      <c r="R4502" t="s">
        <v>26584</v>
      </c>
      <c r="S4502" t="s">
        <v>18959</v>
      </c>
      <c r="U4502" t="s">
        <v>26604</v>
      </c>
      <c r="V4502" t="s">
        <v>26610</v>
      </c>
      <c r="W4502" t="s">
        <v>718</v>
      </c>
      <c r="X4502">
        <v>909.0599999999999</v>
      </c>
      <c r="Y4502" t="s">
        <v>26653</v>
      </c>
      <c r="Z4502" t="s">
        <v>26664</v>
      </c>
      <c r="AB4502" t="s">
        <v>30040</v>
      </c>
      <c r="AC4502" t="s">
        <v>35777</v>
      </c>
      <c r="AD4502" t="s">
        <v>40564</v>
      </c>
      <c r="AE4502">
        <v>20</v>
      </c>
      <c r="AF4502" t="s">
        <v>45541</v>
      </c>
      <c r="AG4502" t="s">
        <v>19330</v>
      </c>
      <c r="AH4502">
        <v>38</v>
      </c>
      <c r="AI4502">
        <v>4</v>
      </c>
      <c r="AJ4502">
        <v>2</v>
      </c>
      <c r="AK4502">
        <v>61.19</v>
      </c>
      <c r="AN4502" t="s">
        <v>45581</v>
      </c>
      <c r="AO4502">
        <v>20644</v>
      </c>
      <c r="AU4502">
        <v>67.84999999999999</v>
      </c>
      <c r="AV4502" t="s">
        <v>838</v>
      </c>
      <c r="AW4502" t="s">
        <v>208</v>
      </c>
    </row>
    <row r="4503" spans="1:50">
      <c r="A4503" s="1">
        <f>HYPERLINK("https://lsnyc.legalserver.org/matter/dynamic-profile/view/1886946","19-1886946")</f>
        <v>0</v>
      </c>
      <c r="B4503" t="s">
        <v>152</v>
      </c>
      <c r="C4503" t="s">
        <v>340</v>
      </c>
      <c r="D4503" t="s">
        <v>718</v>
      </c>
      <c r="F4503" t="s">
        <v>1206</v>
      </c>
      <c r="G4503" t="s">
        <v>6056</v>
      </c>
      <c r="H4503" t="s">
        <v>13059</v>
      </c>
      <c r="I4503" t="s">
        <v>17608</v>
      </c>
      <c r="J4503" t="s">
        <v>18892</v>
      </c>
      <c r="K4503">
        <v>10457</v>
      </c>
      <c r="L4503" t="s">
        <v>18958</v>
      </c>
      <c r="M4503" t="s">
        <v>18958</v>
      </c>
      <c r="N4503" t="s">
        <v>22322</v>
      </c>
      <c r="O4503" t="s">
        <v>26533</v>
      </c>
      <c r="P4503" t="s">
        <v>26564</v>
      </c>
      <c r="R4503" t="s">
        <v>26578</v>
      </c>
      <c r="S4503" t="s">
        <v>18959</v>
      </c>
      <c r="U4503" t="s">
        <v>26604</v>
      </c>
      <c r="V4503" t="s">
        <v>26614</v>
      </c>
      <c r="W4503" t="s">
        <v>718</v>
      </c>
      <c r="X4503">
        <v>1100</v>
      </c>
      <c r="Y4503" t="s">
        <v>26650</v>
      </c>
      <c r="Z4503" t="s">
        <v>26664</v>
      </c>
      <c r="AB4503" t="s">
        <v>28571</v>
      </c>
      <c r="AD4503" t="s">
        <v>40565</v>
      </c>
      <c r="AE4503">
        <v>300</v>
      </c>
      <c r="AF4503" t="s">
        <v>20460</v>
      </c>
      <c r="AH4503">
        <v>0</v>
      </c>
      <c r="AI4503">
        <v>2</v>
      </c>
      <c r="AJ4503">
        <v>0</v>
      </c>
      <c r="AK4503">
        <v>61.36</v>
      </c>
      <c r="AN4503" t="s">
        <v>45581</v>
      </c>
      <c r="AO4503">
        <v>10100</v>
      </c>
      <c r="AU4503">
        <v>3.35</v>
      </c>
      <c r="AV4503" t="s">
        <v>704</v>
      </c>
      <c r="AW4503" t="s">
        <v>46831</v>
      </c>
    </row>
    <row r="4504" spans="1:50">
      <c r="A4504" s="1">
        <f>HYPERLINK("https://lsnyc.legalserver.org/matter/dynamic-profile/view/1886920","19-1886920")</f>
        <v>0</v>
      </c>
      <c r="B4504" t="s">
        <v>212</v>
      </c>
      <c r="C4504" t="s">
        <v>340</v>
      </c>
      <c r="D4504" t="s">
        <v>718</v>
      </c>
      <c r="F4504" t="s">
        <v>1191</v>
      </c>
      <c r="G4504" t="s">
        <v>7319</v>
      </c>
      <c r="H4504" t="s">
        <v>12756</v>
      </c>
      <c r="I4504" t="s">
        <v>18120</v>
      </c>
      <c r="J4504" t="s">
        <v>18898</v>
      </c>
      <c r="K4504">
        <v>11691</v>
      </c>
      <c r="L4504" t="s">
        <v>18958</v>
      </c>
      <c r="M4504" t="s">
        <v>18958</v>
      </c>
      <c r="N4504" t="s">
        <v>22323</v>
      </c>
      <c r="O4504" t="s">
        <v>26523</v>
      </c>
      <c r="P4504" t="s">
        <v>26560</v>
      </c>
      <c r="R4504" t="s">
        <v>26578</v>
      </c>
      <c r="S4504" t="s">
        <v>18959</v>
      </c>
      <c r="U4504" t="s">
        <v>26604</v>
      </c>
      <c r="V4504" t="s">
        <v>26610</v>
      </c>
      <c r="W4504" t="s">
        <v>718</v>
      </c>
      <c r="X4504">
        <v>250</v>
      </c>
      <c r="Y4504" t="s">
        <v>26653</v>
      </c>
      <c r="Z4504" t="s">
        <v>26664</v>
      </c>
      <c r="AB4504" t="s">
        <v>30403</v>
      </c>
      <c r="AC4504" t="s">
        <v>35778</v>
      </c>
      <c r="AD4504" t="s">
        <v>40566</v>
      </c>
      <c r="AE4504">
        <v>120</v>
      </c>
      <c r="AF4504" t="s">
        <v>45542</v>
      </c>
      <c r="AG4504" t="s">
        <v>19330</v>
      </c>
      <c r="AH4504">
        <v>18</v>
      </c>
      <c r="AI4504">
        <v>1</v>
      </c>
      <c r="AJ4504">
        <v>3</v>
      </c>
      <c r="AK4504">
        <v>82.87</v>
      </c>
      <c r="AN4504" t="s">
        <v>7439</v>
      </c>
      <c r="AO4504">
        <v>20800</v>
      </c>
      <c r="AQ4504" t="s">
        <v>46362</v>
      </c>
      <c r="AR4504" t="s">
        <v>46420</v>
      </c>
      <c r="AU4504">
        <v>4.85</v>
      </c>
      <c r="AV4504" t="s">
        <v>807</v>
      </c>
      <c r="AW4504" t="s">
        <v>208</v>
      </c>
    </row>
    <row r="4505" spans="1:50">
      <c r="A4505" s="1">
        <f>HYPERLINK("https://lsnyc.legalserver.org/matter/dynamic-profile/view/1887004","19-1887004")</f>
        <v>0</v>
      </c>
      <c r="B4505" t="s">
        <v>182</v>
      </c>
      <c r="C4505" t="s">
        <v>340</v>
      </c>
      <c r="D4505" t="s">
        <v>718</v>
      </c>
      <c r="F4505" t="s">
        <v>1068</v>
      </c>
      <c r="G4505" t="s">
        <v>7147</v>
      </c>
      <c r="H4505" t="s">
        <v>13060</v>
      </c>
      <c r="I4505">
        <v>43</v>
      </c>
      <c r="J4505" t="s">
        <v>18892</v>
      </c>
      <c r="K4505">
        <v>10455</v>
      </c>
      <c r="L4505" t="s">
        <v>18958</v>
      </c>
      <c r="M4505" t="s">
        <v>18958</v>
      </c>
      <c r="N4505" t="s">
        <v>22324</v>
      </c>
      <c r="O4505" t="s">
        <v>26523</v>
      </c>
      <c r="P4505" t="s">
        <v>26560</v>
      </c>
      <c r="R4505" t="s">
        <v>26577</v>
      </c>
      <c r="U4505" t="s">
        <v>26604</v>
      </c>
      <c r="V4505" t="s">
        <v>26612</v>
      </c>
      <c r="W4505" t="s">
        <v>718</v>
      </c>
      <c r="X4505">
        <v>1250</v>
      </c>
      <c r="Y4505" t="s">
        <v>26650</v>
      </c>
      <c r="Z4505" t="s">
        <v>26530</v>
      </c>
      <c r="AB4505" t="s">
        <v>30404</v>
      </c>
      <c r="AC4505" t="s">
        <v>35779</v>
      </c>
      <c r="AD4505" t="s">
        <v>40567</v>
      </c>
      <c r="AE4505">
        <v>0</v>
      </c>
      <c r="AF4505" t="s">
        <v>45541</v>
      </c>
      <c r="AG4505" t="s">
        <v>19330</v>
      </c>
      <c r="AH4505">
        <v>4</v>
      </c>
      <c r="AI4505">
        <v>3</v>
      </c>
      <c r="AJ4505">
        <v>0</v>
      </c>
      <c r="AK4505">
        <v>168.43</v>
      </c>
      <c r="AN4505" t="s">
        <v>7439</v>
      </c>
      <c r="AO4505">
        <v>35000</v>
      </c>
      <c r="AU4505">
        <v>28.45</v>
      </c>
      <c r="AV4505" t="s">
        <v>830</v>
      </c>
      <c r="AW4505" t="s">
        <v>46842</v>
      </c>
    </row>
    <row r="4506" spans="1:50">
      <c r="A4506" s="1">
        <f>HYPERLINK("https://lsnyc.legalserver.org/matter/dynamic-profile/view/1886918","19-1886918")</f>
        <v>0</v>
      </c>
      <c r="B4506" t="s">
        <v>120</v>
      </c>
      <c r="C4506" t="s">
        <v>340</v>
      </c>
      <c r="D4506" t="s">
        <v>718</v>
      </c>
      <c r="F4506" t="s">
        <v>887</v>
      </c>
      <c r="G4506" t="s">
        <v>5094</v>
      </c>
      <c r="H4506" t="s">
        <v>13061</v>
      </c>
      <c r="I4506" t="s">
        <v>17290</v>
      </c>
      <c r="J4506" t="s">
        <v>18892</v>
      </c>
      <c r="K4506">
        <v>10468</v>
      </c>
      <c r="L4506" t="s">
        <v>18958</v>
      </c>
      <c r="M4506" t="s">
        <v>18958</v>
      </c>
      <c r="N4506" t="s">
        <v>22325</v>
      </c>
      <c r="O4506" t="s">
        <v>26523</v>
      </c>
      <c r="P4506" t="s">
        <v>26560</v>
      </c>
      <c r="R4506" t="s">
        <v>26579</v>
      </c>
      <c r="S4506" t="s">
        <v>18959</v>
      </c>
      <c r="U4506" t="s">
        <v>26604</v>
      </c>
      <c r="V4506" t="s">
        <v>26610</v>
      </c>
      <c r="W4506" t="s">
        <v>718</v>
      </c>
      <c r="X4506">
        <v>904.46</v>
      </c>
      <c r="Y4506" t="s">
        <v>26650</v>
      </c>
      <c r="Z4506" t="s">
        <v>26668</v>
      </c>
      <c r="AB4506" t="s">
        <v>30405</v>
      </c>
      <c r="AD4506" t="s">
        <v>40568</v>
      </c>
      <c r="AE4506">
        <v>53</v>
      </c>
      <c r="AF4506" t="s">
        <v>45541</v>
      </c>
      <c r="AG4506" t="s">
        <v>19330</v>
      </c>
      <c r="AH4506">
        <v>12</v>
      </c>
      <c r="AI4506">
        <v>2</v>
      </c>
      <c r="AJ4506">
        <v>0</v>
      </c>
      <c r="AK4506">
        <v>139.73</v>
      </c>
      <c r="AN4506" t="s">
        <v>45581</v>
      </c>
      <c r="AO4506">
        <v>23000</v>
      </c>
      <c r="AU4506">
        <v>7.3</v>
      </c>
      <c r="AV4506" t="s">
        <v>822</v>
      </c>
      <c r="AW4506" t="s">
        <v>46847</v>
      </c>
    </row>
    <row r="4507" spans="1:50">
      <c r="A4507" s="1">
        <f>HYPERLINK("https://lsnyc.legalserver.org/matter/dynamic-profile/view/1886912","19-1886912")</f>
        <v>0</v>
      </c>
      <c r="B4507" t="s">
        <v>65</v>
      </c>
      <c r="C4507" t="s">
        <v>340</v>
      </c>
      <c r="D4507" t="s">
        <v>718</v>
      </c>
      <c r="F4507" t="s">
        <v>992</v>
      </c>
      <c r="G4507" t="s">
        <v>7320</v>
      </c>
      <c r="H4507" t="s">
        <v>10754</v>
      </c>
      <c r="I4507" t="s">
        <v>17312</v>
      </c>
      <c r="J4507" t="s">
        <v>18892</v>
      </c>
      <c r="K4507">
        <v>10457</v>
      </c>
      <c r="L4507" t="s">
        <v>18958</v>
      </c>
      <c r="M4507" t="s">
        <v>18958</v>
      </c>
      <c r="N4507" t="s">
        <v>22326</v>
      </c>
      <c r="O4507" t="s">
        <v>26523</v>
      </c>
      <c r="P4507" t="s">
        <v>26560</v>
      </c>
      <c r="R4507" t="s">
        <v>26579</v>
      </c>
      <c r="U4507" t="s">
        <v>26604</v>
      </c>
      <c r="V4507" t="s">
        <v>26610</v>
      </c>
      <c r="W4507" t="s">
        <v>718</v>
      </c>
      <c r="X4507">
        <v>219</v>
      </c>
      <c r="Y4507" t="s">
        <v>26650</v>
      </c>
      <c r="Z4507" t="s">
        <v>26664</v>
      </c>
      <c r="AB4507" t="s">
        <v>29359</v>
      </c>
      <c r="AD4507" t="s">
        <v>40569</v>
      </c>
      <c r="AE4507">
        <v>97</v>
      </c>
      <c r="AF4507" t="s">
        <v>45541</v>
      </c>
      <c r="AG4507" t="s">
        <v>45562</v>
      </c>
      <c r="AH4507">
        <v>3</v>
      </c>
      <c r="AI4507">
        <v>1</v>
      </c>
      <c r="AJ4507">
        <v>0</v>
      </c>
      <c r="AK4507">
        <v>76.20999999999999</v>
      </c>
      <c r="AN4507" t="s">
        <v>7439</v>
      </c>
      <c r="AO4507">
        <v>9252</v>
      </c>
      <c r="AQ4507" t="s">
        <v>46362</v>
      </c>
      <c r="AR4507" t="s">
        <v>46380</v>
      </c>
      <c r="AS4507" t="s">
        <v>46499</v>
      </c>
      <c r="AT4507" t="s">
        <v>46723</v>
      </c>
      <c r="AU4507">
        <v>18.1</v>
      </c>
      <c r="AV4507" t="s">
        <v>830</v>
      </c>
      <c r="AW4507" t="s">
        <v>334</v>
      </c>
    </row>
    <row r="4508" spans="1:50">
      <c r="A4508" s="1">
        <f>HYPERLINK("https://lsnyc.legalserver.org/matter/dynamic-profile/view/1886919","19-1886919")</f>
        <v>0</v>
      </c>
      <c r="B4508" t="s">
        <v>121</v>
      </c>
      <c r="C4508" t="s">
        <v>340</v>
      </c>
      <c r="D4508" t="s">
        <v>718</v>
      </c>
      <c r="F4508" t="s">
        <v>1154</v>
      </c>
      <c r="G4508" t="s">
        <v>7321</v>
      </c>
      <c r="H4508" t="s">
        <v>13062</v>
      </c>
      <c r="I4508" t="s">
        <v>17362</v>
      </c>
      <c r="J4508" t="s">
        <v>18892</v>
      </c>
      <c r="K4508">
        <v>10457</v>
      </c>
      <c r="L4508" t="s">
        <v>18958</v>
      </c>
      <c r="M4508" t="s">
        <v>18958</v>
      </c>
      <c r="N4508" t="s">
        <v>22327</v>
      </c>
      <c r="O4508" t="s">
        <v>26523</v>
      </c>
      <c r="P4508" t="s">
        <v>26560</v>
      </c>
      <c r="R4508" t="s">
        <v>26579</v>
      </c>
      <c r="U4508" t="s">
        <v>26604</v>
      </c>
      <c r="V4508" t="s">
        <v>26610</v>
      </c>
      <c r="W4508" t="s">
        <v>718</v>
      </c>
      <c r="X4508">
        <v>1067</v>
      </c>
      <c r="Y4508" t="s">
        <v>26650</v>
      </c>
      <c r="Z4508" t="s">
        <v>26664</v>
      </c>
      <c r="AB4508" t="s">
        <v>30406</v>
      </c>
      <c r="AC4508" t="s">
        <v>35780</v>
      </c>
      <c r="AD4508" t="s">
        <v>40570</v>
      </c>
      <c r="AE4508">
        <v>0</v>
      </c>
      <c r="AF4508" t="s">
        <v>20460</v>
      </c>
      <c r="AG4508" t="s">
        <v>45556</v>
      </c>
      <c r="AH4508">
        <v>9</v>
      </c>
      <c r="AI4508">
        <v>3</v>
      </c>
      <c r="AJ4508">
        <v>0</v>
      </c>
      <c r="AK4508">
        <v>179.92</v>
      </c>
      <c r="AN4508" t="s">
        <v>45581</v>
      </c>
      <c r="AO4508">
        <v>37388</v>
      </c>
      <c r="AU4508">
        <v>13</v>
      </c>
      <c r="AV4508" t="s">
        <v>821</v>
      </c>
      <c r="AW4508" t="s">
        <v>334</v>
      </c>
    </row>
    <row r="4509" spans="1:50">
      <c r="A4509" s="1">
        <f>HYPERLINK("https://lsnyc.legalserver.org/matter/dynamic-profile/view/1886906","19-1886906")</f>
        <v>0</v>
      </c>
      <c r="B4509" t="s">
        <v>114</v>
      </c>
      <c r="C4509" t="s">
        <v>340</v>
      </c>
      <c r="D4509" t="s">
        <v>718</v>
      </c>
      <c r="F4509" t="s">
        <v>2495</v>
      </c>
      <c r="G4509" t="s">
        <v>7047</v>
      </c>
      <c r="H4509" t="s">
        <v>12624</v>
      </c>
      <c r="J4509" t="s">
        <v>18901</v>
      </c>
      <c r="K4509">
        <v>11434</v>
      </c>
      <c r="L4509" t="s">
        <v>18958</v>
      </c>
      <c r="M4509" t="s">
        <v>18958</v>
      </c>
      <c r="N4509" t="s">
        <v>22328</v>
      </c>
      <c r="O4509" t="s">
        <v>26524</v>
      </c>
      <c r="P4509" t="s">
        <v>26560</v>
      </c>
      <c r="R4509" t="s">
        <v>26585</v>
      </c>
      <c r="S4509" t="s">
        <v>18959</v>
      </c>
      <c r="U4509" t="s">
        <v>26604</v>
      </c>
      <c r="V4509" t="s">
        <v>26610</v>
      </c>
      <c r="W4509" t="s">
        <v>718</v>
      </c>
      <c r="X4509">
        <v>0</v>
      </c>
      <c r="Y4509" t="s">
        <v>26653</v>
      </c>
      <c r="Z4509" t="s">
        <v>26664</v>
      </c>
      <c r="AB4509" t="s">
        <v>29894</v>
      </c>
      <c r="AC4509" t="s">
        <v>35618</v>
      </c>
      <c r="AD4509" t="s">
        <v>40015</v>
      </c>
      <c r="AE4509">
        <v>0</v>
      </c>
      <c r="AF4509" t="s">
        <v>20460</v>
      </c>
      <c r="AH4509">
        <v>35</v>
      </c>
      <c r="AI4509">
        <v>1</v>
      </c>
      <c r="AJ4509">
        <v>1</v>
      </c>
      <c r="AK4509">
        <v>8.460000000000001</v>
      </c>
      <c r="AN4509" t="s">
        <v>7439</v>
      </c>
      <c r="AO4509">
        <v>1392</v>
      </c>
      <c r="AU4509">
        <v>48.34</v>
      </c>
      <c r="AV4509" t="s">
        <v>814</v>
      </c>
      <c r="AW4509" t="s">
        <v>247</v>
      </c>
    </row>
    <row r="4510" spans="1:50">
      <c r="A4510" s="1">
        <f>HYPERLINK("https://lsnyc.legalserver.org/matter/dynamic-profile/view/1886903","19-1886903")</f>
        <v>0</v>
      </c>
      <c r="B4510" t="s">
        <v>221</v>
      </c>
      <c r="C4510" t="s">
        <v>340</v>
      </c>
      <c r="D4510" t="s">
        <v>718</v>
      </c>
      <c r="F4510" t="s">
        <v>3060</v>
      </c>
      <c r="G4510" t="s">
        <v>7322</v>
      </c>
      <c r="H4510" t="s">
        <v>13063</v>
      </c>
      <c r="I4510" t="s">
        <v>17844</v>
      </c>
      <c r="J4510" t="s">
        <v>18912</v>
      </c>
      <c r="K4510">
        <v>11374</v>
      </c>
      <c r="L4510" t="s">
        <v>18958</v>
      </c>
      <c r="M4510" t="s">
        <v>18958</v>
      </c>
      <c r="N4510" t="s">
        <v>22329</v>
      </c>
      <c r="O4510" t="s">
        <v>26524</v>
      </c>
      <c r="P4510" t="s">
        <v>26564</v>
      </c>
      <c r="R4510" t="s">
        <v>26584</v>
      </c>
      <c r="S4510" t="s">
        <v>18959</v>
      </c>
      <c r="U4510" t="s">
        <v>26604</v>
      </c>
      <c r="W4510" t="s">
        <v>718</v>
      </c>
      <c r="X4510">
        <v>1800</v>
      </c>
      <c r="Y4510" t="s">
        <v>26653</v>
      </c>
      <c r="Z4510" t="s">
        <v>26664</v>
      </c>
      <c r="AB4510" t="s">
        <v>30407</v>
      </c>
      <c r="AC4510" t="s">
        <v>35781</v>
      </c>
      <c r="AD4510" t="s">
        <v>40571</v>
      </c>
      <c r="AE4510">
        <v>0</v>
      </c>
      <c r="AF4510" t="s">
        <v>20460</v>
      </c>
      <c r="AG4510" t="s">
        <v>19330</v>
      </c>
      <c r="AH4510">
        <v>18</v>
      </c>
      <c r="AI4510">
        <v>3</v>
      </c>
      <c r="AJ4510">
        <v>0</v>
      </c>
      <c r="AK4510">
        <v>149.18</v>
      </c>
      <c r="AN4510" t="s">
        <v>45586</v>
      </c>
      <c r="AO4510">
        <v>31000</v>
      </c>
      <c r="AU4510">
        <v>2</v>
      </c>
      <c r="AV4510" t="s">
        <v>815</v>
      </c>
      <c r="AW4510" t="s">
        <v>208</v>
      </c>
    </row>
    <row r="4511" spans="1:50">
      <c r="A4511" s="1">
        <f>HYPERLINK("https://lsnyc.legalserver.org/matter/dynamic-profile/view/1887010","19-1887010")</f>
        <v>0</v>
      </c>
      <c r="B4511" t="s">
        <v>221</v>
      </c>
      <c r="C4511" t="s">
        <v>340</v>
      </c>
      <c r="D4511" t="s">
        <v>718</v>
      </c>
      <c r="F4511" t="s">
        <v>3061</v>
      </c>
      <c r="G4511" t="s">
        <v>5100</v>
      </c>
      <c r="H4511" t="s">
        <v>13064</v>
      </c>
      <c r="J4511" t="s">
        <v>7026</v>
      </c>
      <c r="K4511">
        <v>11368</v>
      </c>
      <c r="L4511" t="s">
        <v>18958</v>
      </c>
      <c r="M4511" t="s">
        <v>18958</v>
      </c>
      <c r="N4511" t="s">
        <v>22330</v>
      </c>
      <c r="O4511" t="s">
        <v>26523</v>
      </c>
      <c r="P4511" t="s">
        <v>26564</v>
      </c>
      <c r="R4511" t="s">
        <v>26584</v>
      </c>
      <c r="S4511" t="s">
        <v>18959</v>
      </c>
      <c r="U4511" t="s">
        <v>26604</v>
      </c>
      <c r="V4511" t="s">
        <v>26610</v>
      </c>
      <c r="W4511" t="s">
        <v>718</v>
      </c>
      <c r="X4511">
        <v>1250</v>
      </c>
      <c r="Y4511" t="s">
        <v>26653</v>
      </c>
      <c r="Z4511" t="s">
        <v>26664</v>
      </c>
      <c r="AB4511" t="s">
        <v>30408</v>
      </c>
      <c r="AD4511" t="s">
        <v>40572</v>
      </c>
      <c r="AE4511">
        <v>0</v>
      </c>
      <c r="AF4511" t="s">
        <v>45547</v>
      </c>
      <c r="AG4511" t="s">
        <v>19330</v>
      </c>
      <c r="AH4511">
        <v>15</v>
      </c>
      <c r="AI4511">
        <v>2</v>
      </c>
      <c r="AJ4511">
        <v>1</v>
      </c>
      <c r="AK4511">
        <v>159.08</v>
      </c>
      <c r="AN4511" t="s">
        <v>45581</v>
      </c>
      <c r="AO4511">
        <v>33057.03</v>
      </c>
      <c r="AU4511">
        <v>2</v>
      </c>
      <c r="AV4511" t="s">
        <v>815</v>
      </c>
      <c r="AW4511" t="s">
        <v>221</v>
      </c>
    </row>
    <row r="4512" spans="1:50">
      <c r="A4512" s="1">
        <f>HYPERLINK("https://lsnyc.legalserver.org/matter/dynamic-profile/view/1887122","19-1887122")</f>
        <v>0</v>
      </c>
      <c r="B4512" t="s">
        <v>117</v>
      </c>
      <c r="C4512" t="s">
        <v>340</v>
      </c>
      <c r="D4512" t="s">
        <v>668</v>
      </c>
      <c r="F4512" t="s">
        <v>879</v>
      </c>
      <c r="G4512" t="s">
        <v>7323</v>
      </c>
      <c r="H4512" t="s">
        <v>13065</v>
      </c>
      <c r="J4512" t="s">
        <v>18894</v>
      </c>
      <c r="K4512">
        <v>11233</v>
      </c>
      <c r="L4512" t="s">
        <v>18958</v>
      </c>
      <c r="M4512" t="s">
        <v>18958</v>
      </c>
      <c r="N4512" t="s">
        <v>22331</v>
      </c>
      <c r="O4512" t="s">
        <v>26524</v>
      </c>
      <c r="P4512" t="s">
        <v>26560</v>
      </c>
      <c r="R4512" t="s">
        <v>26578</v>
      </c>
      <c r="S4512" t="s">
        <v>18959</v>
      </c>
      <c r="U4512" t="s">
        <v>26604</v>
      </c>
      <c r="V4512" t="s">
        <v>26610</v>
      </c>
      <c r="W4512" t="s">
        <v>718</v>
      </c>
      <c r="X4512">
        <v>525</v>
      </c>
      <c r="Y4512" t="s">
        <v>26652</v>
      </c>
      <c r="Z4512" t="s">
        <v>26668</v>
      </c>
      <c r="AB4512" t="s">
        <v>28160</v>
      </c>
      <c r="AC4512" t="s">
        <v>19330</v>
      </c>
      <c r="AD4512" t="s">
        <v>40573</v>
      </c>
      <c r="AE4512">
        <v>3</v>
      </c>
      <c r="AF4512" t="s">
        <v>45547</v>
      </c>
      <c r="AG4512" t="s">
        <v>19330</v>
      </c>
      <c r="AH4512">
        <v>12</v>
      </c>
      <c r="AI4512">
        <v>1</v>
      </c>
      <c r="AJ4512">
        <v>0</v>
      </c>
      <c r="AK4512">
        <v>0</v>
      </c>
      <c r="AN4512" t="s">
        <v>7439</v>
      </c>
      <c r="AO4512">
        <v>0</v>
      </c>
      <c r="AU4512">
        <v>93.8</v>
      </c>
      <c r="AV4512" t="s">
        <v>46822</v>
      </c>
      <c r="AW4512" t="s">
        <v>286</v>
      </c>
      <c r="AX4512" t="s">
        <v>46897</v>
      </c>
    </row>
    <row r="4513" spans="1:50">
      <c r="A4513" s="1">
        <f>HYPERLINK("https://lsnyc.legalserver.org/matter/dynamic-profile/view/1886956","19-1886956")</f>
        <v>0</v>
      </c>
      <c r="B4513" t="s">
        <v>221</v>
      </c>
      <c r="C4513" t="s">
        <v>340</v>
      </c>
      <c r="D4513" t="s">
        <v>668</v>
      </c>
      <c r="F4513" t="s">
        <v>3062</v>
      </c>
      <c r="G4513" t="s">
        <v>5966</v>
      </c>
      <c r="H4513" t="s">
        <v>13066</v>
      </c>
      <c r="I4513" t="s">
        <v>17388</v>
      </c>
      <c r="J4513" t="s">
        <v>18898</v>
      </c>
      <c r="K4513">
        <v>11691</v>
      </c>
      <c r="L4513" t="s">
        <v>18958</v>
      </c>
      <c r="M4513" t="s">
        <v>18958</v>
      </c>
      <c r="N4513" t="s">
        <v>22332</v>
      </c>
      <c r="O4513" t="s">
        <v>26524</v>
      </c>
      <c r="P4513" t="s">
        <v>26564</v>
      </c>
      <c r="R4513" t="s">
        <v>26584</v>
      </c>
      <c r="S4513" t="s">
        <v>18959</v>
      </c>
      <c r="U4513" t="s">
        <v>26604</v>
      </c>
      <c r="V4513" t="s">
        <v>26610</v>
      </c>
      <c r="W4513" t="s">
        <v>718</v>
      </c>
      <c r="X4513">
        <v>1800</v>
      </c>
      <c r="Y4513" t="s">
        <v>26653</v>
      </c>
      <c r="Z4513" t="s">
        <v>26664</v>
      </c>
      <c r="AB4513" t="s">
        <v>30409</v>
      </c>
      <c r="AD4513" t="s">
        <v>40574</v>
      </c>
      <c r="AE4513">
        <v>2</v>
      </c>
      <c r="AF4513" t="s">
        <v>45547</v>
      </c>
      <c r="AG4513" t="s">
        <v>19330</v>
      </c>
      <c r="AH4513">
        <v>18</v>
      </c>
      <c r="AI4513">
        <v>3</v>
      </c>
      <c r="AJ4513">
        <v>0</v>
      </c>
      <c r="AK4513">
        <v>149.18</v>
      </c>
      <c r="AO4513">
        <v>31000</v>
      </c>
      <c r="AU4513">
        <v>0.4</v>
      </c>
      <c r="AV4513" t="s">
        <v>657</v>
      </c>
      <c r="AW4513" t="s">
        <v>258</v>
      </c>
    </row>
    <row r="4514" spans="1:50">
      <c r="A4514" s="1">
        <f>HYPERLINK("https://lsnyc.legalserver.org/matter/dynamic-profile/view/1887095","19-1887095")</f>
        <v>0</v>
      </c>
      <c r="B4514" t="s">
        <v>125</v>
      </c>
      <c r="C4514" t="s">
        <v>340</v>
      </c>
      <c r="D4514" t="s">
        <v>668</v>
      </c>
      <c r="F4514" t="s">
        <v>886</v>
      </c>
      <c r="G4514" t="s">
        <v>5806</v>
      </c>
      <c r="H4514" t="s">
        <v>13067</v>
      </c>
      <c r="I4514">
        <v>2</v>
      </c>
      <c r="J4514" t="s">
        <v>18894</v>
      </c>
      <c r="K4514">
        <v>11233</v>
      </c>
      <c r="L4514" t="s">
        <v>18958</v>
      </c>
      <c r="M4514" t="s">
        <v>18958</v>
      </c>
      <c r="N4514" t="s">
        <v>22333</v>
      </c>
      <c r="O4514" t="s">
        <v>26523</v>
      </c>
      <c r="P4514" t="s">
        <v>26560</v>
      </c>
      <c r="R4514" t="s">
        <v>26578</v>
      </c>
      <c r="S4514" t="s">
        <v>18959</v>
      </c>
      <c r="U4514" t="s">
        <v>26604</v>
      </c>
      <c r="W4514" t="s">
        <v>718</v>
      </c>
      <c r="X4514">
        <v>2097</v>
      </c>
      <c r="Y4514" t="s">
        <v>26652</v>
      </c>
      <c r="Z4514" t="s">
        <v>26668</v>
      </c>
      <c r="AB4514" t="s">
        <v>30410</v>
      </c>
      <c r="AC4514" t="s">
        <v>35782</v>
      </c>
      <c r="AD4514" t="s">
        <v>40575</v>
      </c>
      <c r="AE4514">
        <v>3</v>
      </c>
      <c r="AG4514" t="s">
        <v>45558</v>
      </c>
      <c r="AH4514">
        <v>2</v>
      </c>
      <c r="AI4514">
        <v>2</v>
      </c>
      <c r="AJ4514">
        <v>5</v>
      </c>
      <c r="AK4514">
        <v>107.36</v>
      </c>
      <c r="AN4514" t="s">
        <v>7439</v>
      </c>
      <c r="AO4514">
        <v>40860</v>
      </c>
      <c r="AU4514">
        <v>44.25</v>
      </c>
      <c r="AV4514" t="s">
        <v>838</v>
      </c>
      <c r="AW4514" t="s">
        <v>286</v>
      </c>
    </row>
    <row r="4515" spans="1:50">
      <c r="A4515" s="1">
        <f>HYPERLINK("https://lsnyc.legalserver.org/matter/dynamic-profile/view/1887425","19-1887425")</f>
        <v>0</v>
      </c>
      <c r="B4515" t="s">
        <v>99</v>
      </c>
      <c r="C4515" t="s">
        <v>340</v>
      </c>
      <c r="D4515" t="s">
        <v>414</v>
      </c>
      <c r="F4515" t="s">
        <v>939</v>
      </c>
      <c r="G4515" t="s">
        <v>7324</v>
      </c>
      <c r="H4515" t="s">
        <v>13068</v>
      </c>
      <c r="I4515" t="s">
        <v>17291</v>
      </c>
      <c r="J4515" t="s">
        <v>18894</v>
      </c>
      <c r="K4515">
        <v>11221</v>
      </c>
      <c r="L4515" t="s">
        <v>18958</v>
      </c>
      <c r="M4515" t="s">
        <v>18958</v>
      </c>
      <c r="N4515" t="s">
        <v>22334</v>
      </c>
      <c r="O4515" t="s">
        <v>26523</v>
      </c>
      <c r="P4515" t="s">
        <v>26560</v>
      </c>
      <c r="R4515" t="s">
        <v>26588</v>
      </c>
      <c r="S4515" t="s">
        <v>18959</v>
      </c>
      <c r="U4515" t="s">
        <v>26604</v>
      </c>
      <c r="V4515" t="s">
        <v>26610</v>
      </c>
      <c r="W4515" t="s">
        <v>718</v>
      </c>
      <c r="X4515">
        <v>900</v>
      </c>
      <c r="Y4515" t="s">
        <v>26652</v>
      </c>
      <c r="Z4515" t="s">
        <v>26669</v>
      </c>
      <c r="AB4515" t="s">
        <v>26917</v>
      </c>
      <c r="AC4515" t="s">
        <v>19330</v>
      </c>
      <c r="AE4515">
        <v>6</v>
      </c>
      <c r="AF4515" t="s">
        <v>45541</v>
      </c>
      <c r="AG4515" t="s">
        <v>19330</v>
      </c>
      <c r="AH4515">
        <v>8</v>
      </c>
      <c r="AI4515">
        <v>2</v>
      </c>
      <c r="AJ4515">
        <v>3</v>
      </c>
      <c r="AK4515">
        <v>80.16</v>
      </c>
      <c r="AN4515" t="s">
        <v>45581</v>
      </c>
      <c r="AO4515">
        <v>23582</v>
      </c>
      <c r="AU4515">
        <v>20.5</v>
      </c>
      <c r="AV4515" t="s">
        <v>838</v>
      </c>
      <c r="AW4515" t="s">
        <v>46853</v>
      </c>
    </row>
    <row r="4516" spans="1:50">
      <c r="A4516" s="1">
        <f>HYPERLINK("https://lsnyc.legalserver.org/matter/dynamic-profile/view/1887433","19-1887433")</f>
        <v>0</v>
      </c>
      <c r="B4516" t="s">
        <v>158</v>
      </c>
      <c r="C4516" t="s">
        <v>340</v>
      </c>
      <c r="D4516" t="s">
        <v>414</v>
      </c>
      <c r="F4516" t="s">
        <v>1106</v>
      </c>
      <c r="G4516" t="s">
        <v>6324</v>
      </c>
      <c r="H4516" t="s">
        <v>13069</v>
      </c>
      <c r="I4516" t="s">
        <v>17291</v>
      </c>
      <c r="J4516" t="s">
        <v>18894</v>
      </c>
      <c r="K4516">
        <v>11225</v>
      </c>
      <c r="L4516" t="s">
        <v>18958</v>
      </c>
      <c r="M4516" t="s">
        <v>18958</v>
      </c>
      <c r="N4516" t="s">
        <v>22335</v>
      </c>
      <c r="O4516" t="s">
        <v>26523</v>
      </c>
      <c r="P4516" t="s">
        <v>26560</v>
      </c>
      <c r="R4516" t="s">
        <v>26588</v>
      </c>
      <c r="S4516" t="s">
        <v>18959</v>
      </c>
      <c r="U4516" t="s">
        <v>26604</v>
      </c>
      <c r="W4516" t="s">
        <v>718</v>
      </c>
      <c r="X4516">
        <v>1273.68</v>
      </c>
      <c r="Y4516" t="s">
        <v>26652</v>
      </c>
      <c r="Z4516" t="s">
        <v>26669</v>
      </c>
      <c r="AB4516" t="s">
        <v>30411</v>
      </c>
      <c r="AD4516" t="s">
        <v>40576</v>
      </c>
      <c r="AE4516">
        <v>50</v>
      </c>
      <c r="AF4516" t="s">
        <v>45541</v>
      </c>
      <c r="AH4516">
        <v>37</v>
      </c>
      <c r="AI4516">
        <v>1</v>
      </c>
      <c r="AJ4516">
        <v>0</v>
      </c>
      <c r="AK4516">
        <v>385.5</v>
      </c>
      <c r="AL4516" t="s">
        <v>794</v>
      </c>
      <c r="AM4516" t="s">
        <v>45575</v>
      </c>
      <c r="AN4516" t="s">
        <v>7439</v>
      </c>
      <c r="AO4516">
        <v>46800</v>
      </c>
      <c r="AU4516">
        <v>27.5</v>
      </c>
      <c r="AV4516" t="s">
        <v>780</v>
      </c>
      <c r="AW4516" t="s">
        <v>219</v>
      </c>
    </row>
    <row r="4517" spans="1:50">
      <c r="A4517" s="1">
        <f>HYPERLINK("https://lsnyc.legalserver.org/matter/dynamic-profile/view/1887448","19-1887448")</f>
        <v>0</v>
      </c>
      <c r="B4517" t="s">
        <v>193</v>
      </c>
      <c r="C4517" t="s">
        <v>340</v>
      </c>
      <c r="D4517" t="s">
        <v>414</v>
      </c>
      <c r="F4517" t="s">
        <v>1075</v>
      </c>
      <c r="G4517" t="s">
        <v>7325</v>
      </c>
      <c r="H4517" t="s">
        <v>10938</v>
      </c>
      <c r="I4517" t="s">
        <v>18121</v>
      </c>
      <c r="J4517" t="s">
        <v>18894</v>
      </c>
      <c r="K4517">
        <v>11225</v>
      </c>
      <c r="L4517" t="s">
        <v>18958</v>
      </c>
      <c r="M4517" t="s">
        <v>18958</v>
      </c>
      <c r="N4517" t="s">
        <v>22336</v>
      </c>
      <c r="O4517" t="s">
        <v>26524</v>
      </c>
      <c r="P4517" t="s">
        <v>26560</v>
      </c>
      <c r="R4517" t="s">
        <v>26588</v>
      </c>
      <c r="U4517" t="s">
        <v>26604</v>
      </c>
      <c r="W4517" t="s">
        <v>718</v>
      </c>
      <c r="X4517">
        <v>933.35</v>
      </c>
      <c r="Y4517" t="s">
        <v>26652</v>
      </c>
      <c r="AB4517" t="s">
        <v>27657</v>
      </c>
      <c r="AD4517" t="s">
        <v>40577</v>
      </c>
      <c r="AE4517">
        <v>102</v>
      </c>
      <c r="AH4517">
        <v>38</v>
      </c>
      <c r="AI4517">
        <v>3</v>
      </c>
      <c r="AJ4517">
        <v>0</v>
      </c>
      <c r="AK4517">
        <v>179.69</v>
      </c>
      <c r="AN4517" t="s">
        <v>7439</v>
      </c>
      <c r="AO4517">
        <v>37340</v>
      </c>
      <c r="AU4517">
        <v>14.7</v>
      </c>
      <c r="AV4517" t="s">
        <v>728</v>
      </c>
      <c r="AW4517" t="s">
        <v>219</v>
      </c>
    </row>
    <row r="4518" spans="1:50">
      <c r="A4518" s="1">
        <f>HYPERLINK("https://lsnyc.legalserver.org/matter/dynamic-profile/view/1887509","19-1887509")</f>
        <v>0</v>
      </c>
      <c r="B4518" t="s">
        <v>271</v>
      </c>
      <c r="C4518" t="s">
        <v>341</v>
      </c>
      <c r="D4518" t="s">
        <v>458</v>
      </c>
      <c r="E4518" t="s">
        <v>830</v>
      </c>
      <c r="F4518" t="s">
        <v>993</v>
      </c>
      <c r="G4518" t="s">
        <v>6463</v>
      </c>
      <c r="H4518" t="s">
        <v>13070</v>
      </c>
      <c r="I4518">
        <v>2</v>
      </c>
      <c r="J4518" t="s">
        <v>18894</v>
      </c>
      <c r="K4518">
        <v>11221</v>
      </c>
      <c r="L4518" t="s">
        <v>18958</v>
      </c>
      <c r="M4518" t="s">
        <v>18958</v>
      </c>
      <c r="N4518" t="s">
        <v>22337</v>
      </c>
      <c r="O4518" t="s">
        <v>26523</v>
      </c>
      <c r="Q4518" t="s">
        <v>26568</v>
      </c>
      <c r="R4518" t="s">
        <v>26588</v>
      </c>
      <c r="S4518" t="s">
        <v>18959</v>
      </c>
      <c r="U4518" t="s">
        <v>26604</v>
      </c>
      <c r="V4518" t="s">
        <v>26610</v>
      </c>
      <c r="W4518" t="s">
        <v>718</v>
      </c>
      <c r="X4518">
        <v>1425</v>
      </c>
      <c r="Y4518" t="s">
        <v>26652</v>
      </c>
      <c r="Z4518" t="s">
        <v>26655</v>
      </c>
      <c r="AA4518" t="s">
        <v>26678</v>
      </c>
      <c r="AB4518" t="s">
        <v>30412</v>
      </c>
      <c r="AD4518" t="s">
        <v>40578</v>
      </c>
      <c r="AE4518">
        <v>2</v>
      </c>
      <c r="AF4518" t="s">
        <v>20460</v>
      </c>
      <c r="AH4518">
        <v>1</v>
      </c>
      <c r="AI4518">
        <v>2</v>
      </c>
      <c r="AJ4518">
        <v>1</v>
      </c>
      <c r="AK4518">
        <v>173.24</v>
      </c>
      <c r="AN4518" t="s">
        <v>7439</v>
      </c>
      <c r="AO4518">
        <v>36000</v>
      </c>
      <c r="AR4518" t="s">
        <v>46425</v>
      </c>
      <c r="AS4518" t="s">
        <v>46499</v>
      </c>
      <c r="AU4518">
        <v>26.25</v>
      </c>
      <c r="AV4518" t="s">
        <v>830</v>
      </c>
      <c r="AW4518" t="s">
        <v>219</v>
      </c>
    </row>
    <row r="4519" spans="1:50">
      <c r="A4519" s="1">
        <f>HYPERLINK("https://lsnyc.legalserver.org/matter/dynamic-profile/view/1887814","19-1887814")</f>
        <v>0</v>
      </c>
      <c r="B4519" t="s">
        <v>106</v>
      </c>
      <c r="C4519" t="s">
        <v>341</v>
      </c>
      <c r="D4519" t="s">
        <v>458</v>
      </c>
      <c r="E4519" t="s">
        <v>752</v>
      </c>
      <c r="F4519" t="s">
        <v>1876</v>
      </c>
      <c r="G4519" t="s">
        <v>5180</v>
      </c>
      <c r="H4519" t="s">
        <v>13071</v>
      </c>
      <c r="J4519" t="s">
        <v>18894</v>
      </c>
      <c r="K4519">
        <v>11216</v>
      </c>
      <c r="L4519" t="s">
        <v>18958</v>
      </c>
      <c r="M4519" t="s">
        <v>18958</v>
      </c>
      <c r="N4519" t="s">
        <v>22338</v>
      </c>
      <c r="O4519" t="s">
        <v>26523</v>
      </c>
      <c r="P4519" t="s">
        <v>26560</v>
      </c>
      <c r="Q4519" t="s">
        <v>26573</v>
      </c>
      <c r="R4519" t="s">
        <v>26588</v>
      </c>
      <c r="S4519" t="s">
        <v>18959</v>
      </c>
      <c r="U4519" t="s">
        <v>26604</v>
      </c>
      <c r="V4519" t="s">
        <v>26610</v>
      </c>
      <c r="W4519" t="s">
        <v>718</v>
      </c>
      <c r="X4519">
        <v>976.54</v>
      </c>
      <c r="Y4519" t="s">
        <v>26652</v>
      </c>
      <c r="Z4519" t="s">
        <v>26669</v>
      </c>
      <c r="AA4519" t="s">
        <v>26678</v>
      </c>
      <c r="AB4519" t="s">
        <v>30413</v>
      </c>
      <c r="AD4519" t="s">
        <v>40579</v>
      </c>
      <c r="AE4519">
        <v>0</v>
      </c>
      <c r="AF4519" t="s">
        <v>45541</v>
      </c>
      <c r="AG4519" t="s">
        <v>19330</v>
      </c>
      <c r="AH4519">
        <v>21</v>
      </c>
      <c r="AI4519">
        <v>1</v>
      </c>
      <c r="AJ4519">
        <v>1</v>
      </c>
      <c r="AK4519">
        <v>151.88</v>
      </c>
      <c r="AN4519" t="s">
        <v>7439</v>
      </c>
      <c r="AO4519">
        <v>25000</v>
      </c>
      <c r="AS4519" t="s">
        <v>46499</v>
      </c>
      <c r="AT4519" t="s">
        <v>46690</v>
      </c>
      <c r="AU4519">
        <v>8.4</v>
      </c>
      <c r="AV4519" t="s">
        <v>752</v>
      </c>
      <c r="AW4519" t="s">
        <v>219</v>
      </c>
    </row>
    <row r="4520" spans="1:50">
      <c r="A4520" s="1">
        <f>HYPERLINK("https://lsnyc.legalserver.org/matter/dynamic-profile/view/1887980","19-1887980")</f>
        <v>0</v>
      </c>
      <c r="B4520" t="s">
        <v>148</v>
      </c>
      <c r="C4520" t="s">
        <v>340</v>
      </c>
      <c r="D4520" t="s">
        <v>573</v>
      </c>
      <c r="F4520" t="s">
        <v>3063</v>
      </c>
      <c r="G4520" t="s">
        <v>4549</v>
      </c>
      <c r="H4520" t="s">
        <v>13072</v>
      </c>
      <c r="J4520" t="s">
        <v>18894</v>
      </c>
      <c r="K4520">
        <v>11208</v>
      </c>
      <c r="L4520" t="s">
        <v>18958</v>
      </c>
      <c r="M4520" t="s">
        <v>18958</v>
      </c>
      <c r="P4520" t="s">
        <v>26564</v>
      </c>
      <c r="R4520" t="s">
        <v>26578</v>
      </c>
      <c r="S4520" t="s">
        <v>18959</v>
      </c>
      <c r="U4520" t="s">
        <v>26604</v>
      </c>
      <c r="W4520" t="s">
        <v>718</v>
      </c>
      <c r="X4520">
        <v>1000</v>
      </c>
      <c r="Y4520" t="s">
        <v>26652</v>
      </c>
      <c r="AB4520" t="s">
        <v>30414</v>
      </c>
      <c r="AE4520">
        <v>0</v>
      </c>
      <c r="AH4520">
        <v>18</v>
      </c>
      <c r="AI4520">
        <v>2</v>
      </c>
      <c r="AJ4520">
        <v>0</v>
      </c>
      <c r="AK4520">
        <v>145.81</v>
      </c>
      <c r="AN4520" t="s">
        <v>7439</v>
      </c>
      <c r="AO4520">
        <v>24000</v>
      </c>
      <c r="AU4520">
        <v>0</v>
      </c>
      <c r="AW4520" t="s">
        <v>219</v>
      </c>
    </row>
    <row r="4521" spans="1:50">
      <c r="A4521" s="1">
        <f>HYPERLINK("https://lsnyc.legalserver.org/matter/dynamic-profile/view/1887912","19-1887912")</f>
        <v>0</v>
      </c>
      <c r="B4521" t="s">
        <v>148</v>
      </c>
      <c r="C4521" t="s">
        <v>340</v>
      </c>
      <c r="D4521" t="s">
        <v>573</v>
      </c>
      <c r="F4521" t="s">
        <v>3064</v>
      </c>
      <c r="G4521" t="s">
        <v>3110</v>
      </c>
      <c r="H4521" t="s">
        <v>13073</v>
      </c>
      <c r="J4521" t="s">
        <v>18894</v>
      </c>
      <c r="K4521">
        <v>11208</v>
      </c>
      <c r="L4521" t="s">
        <v>18958</v>
      </c>
      <c r="M4521" t="s">
        <v>18958</v>
      </c>
      <c r="O4521" t="s">
        <v>26523</v>
      </c>
      <c r="P4521" t="s">
        <v>26564</v>
      </c>
      <c r="R4521" t="s">
        <v>26586</v>
      </c>
      <c r="S4521" t="s">
        <v>18959</v>
      </c>
      <c r="U4521" t="s">
        <v>26604</v>
      </c>
      <c r="W4521" t="s">
        <v>718</v>
      </c>
      <c r="X4521">
        <v>347</v>
      </c>
      <c r="Y4521" t="s">
        <v>26652</v>
      </c>
      <c r="AB4521" t="s">
        <v>30415</v>
      </c>
      <c r="AD4521" t="s">
        <v>40580</v>
      </c>
      <c r="AE4521">
        <v>3</v>
      </c>
      <c r="AH4521">
        <v>5</v>
      </c>
      <c r="AI4521">
        <v>1</v>
      </c>
      <c r="AJ4521">
        <v>0</v>
      </c>
      <c r="AK4521">
        <v>82.37</v>
      </c>
      <c r="AN4521" t="s">
        <v>7439</v>
      </c>
      <c r="AO4521">
        <v>10000</v>
      </c>
      <c r="AU4521">
        <v>0</v>
      </c>
      <c r="AW4521" t="s">
        <v>219</v>
      </c>
    </row>
    <row r="4522" spans="1:50">
      <c r="A4522" s="1">
        <f>HYPERLINK("https://lsnyc.legalserver.org/matter/dynamic-profile/view/1902025","19-1902025")</f>
        <v>0</v>
      </c>
      <c r="B4522" t="s">
        <v>174</v>
      </c>
      <c r="C4522" t="s">
        <v>340</v>
      </c>
      <c r="D4522" t="s">
        <v>720</v>
      </c>
      <c r="F4522" t="s">
        <v>3065</v>
      </c>
      <c r="G4522" t="s">
        <v>5375</v>
      </c>
      <c r="H4522" t="s">
        <v>13065</v>
      </c>
      <c r="I4522">
        <v>2</v>
      </c>
      <c r="J4522" t="s">
        <v>18894</v>
      </c>
      <c r="K4522">
        <v>11233</v>
      </c>
      <c r="L4522" t="s">
        <v>18958</v>
      </c>
      <c r="M4522" t="s">
        <v>18960</v>
      </c>
      <c r="N4522" t="s">
        <v>22339</v>
      </c>
      <c r="O4522" t="s">
        <v>26524</v>
      </c>
      <c r="P4522" t="s">
        <v>26560</v>
      </c>
      <c r="R4522" t="s">
        <v>26578</v>
      </c>
      <c r="S4522" t="s">
        <v>18959</v>
      </c>
      <c r="U4522" t="s">
        <v>26604</v>
      </c>
      <c r="V4522" t="s">
        <v>26610</v>
      </c>
      <c r="W4522" t="s">
        <v>718</v>
      </c>
      <c r="X4522">
        <v>525</v>
      </c>
      <c r="Y4522" t="s">
        <v>26652</v>
      </c>
      <c r="Z4522" t="s">
        <v>26661</v>
      </c>
      <c r="AB4522" t="s">
        <v>30416</v>
      </c>
      <c r="AC4522" t="s">
        <v>19045</v>
      </c>
      <c r="AD4522" t="s">
        <v>40581</v>
      </c>
      <c r="AE4522">
        <v>8</v>
      </c>
      <c r="AF4522" t="s">
        <v>45541</v>
      </c>
      <c r="AG4522" t="s">
        <v>19330</v>
      </c>
      <c r="AH4522">
        <v>5</v>
      </c>
      <c r="AI4522">
        <v>1</v>
      </c>
      <c r="AJ4522">
        <v>0</v>
      </c>
      <c r="AK4522">
        <v>0</v>
      </c>
      <c r="AN4522" t="s">
        <v>7439</v>
      </c>
      <c r="AO4522">
        <v>0</v>
      </c>
      <c r="AU4522">
        <v>0</v>
      </c>
      <c r="AW4522" t="s">
        <v>279</v>
      </c>
      <c r="AX4522" t="s">
        <v>46897</v>
      </c>
    </row>
    <row r="4523" spans="1:50">
      <c r="A4523" s="1">
        <f>HYPERLINK("https://lsnyc.legalserver.org/matter/dynamic-profile/view/1855186","18-1855186")</f>
        <v>0</v>
      </c>
      <c r="B4523" t="s">
        <v>70</v>
      </c>
      <c r="C4523" t="s">
        <v>341</v>
      </c>
      <c r="D4523" t="s">
        <v>721</v>
      </c>
      <c r="E4523" t="s">
        <v>833</v>
      </c>
      <c r="F4523" t="s">
        <v>3066</v>
      </c>
      <c r="G4523" t="s">
        <v>7326</v>
      </c>
      <c r="H4523" t="s">
        <v>13074</v>
      </c>
      <c r="I4523">
        <v>23</v>
      </c>
      <c r="J4523" t="s">
        <v>18892</v>
      </c>
      <c r="K4523">
        <v>10468</v>
      </c>
      <c r="L4523" t="s">
        <v>18958</v>
      </c>
      <c r="M4523" t="s">
        <v>18959</v>
      </c>
      <c r="N4523" t="s">
        <v>22340</v>
      </c>
      <c r="O4523" t="s">
        <v>26523</v>
      </c>
      <c r="P4523" t="s">
        <v>26560</v>
      </c>
      <c r="Q4523" t="s">
        <v>26568</v>
      </c>
      <c r="R4523" t="s">
        <v>26579</v>
      </c>
      <c r="S4523" t="s">
        <v>18959</v>
      </c>
      <c r="U4523" t="s">
        <v>26604</v>
      </c>
      <c r="V4523" t="s">
        <v>26610</v>
      </c>
      <c r="W4523" t="s">
        <v>668</v>
      </c>
      <c r="X4523">
        <v>862.99</v>
      </c>
      <c r="Y4523" t="s">
        <v>26650</v>
      </c>
      <c r="Z4523" t="s">
        <v>26659</v>
      </c>
      <c r="AA4523" t="s">
        <v>26678</v>
      </c>
      <c r="AB4523" t="s">
        <v>30417</v>
      </c>
      <c r="AC4523" t="s">
        <v>35783</v>
      </c>
      <c r="AD4523" t="s">
        <v>40582</v>
      </c>
      <c r="AE4523">
        <v>25</v>
      </c>
      <c r="AF4523" t="s">
        <v>45541</v>
      </c>
      <c r="AG4523" t="s">
        <v>19330</v>
      </c>
      <c r="AH4523">
        <v>38</v>
      </c>
      <c r="AI4523">
        <v>1</v>
      </c>
      <c r="AJ4523">
        <v>0</v>
      </c>
      <c r="AK4523">
        <v>85.8</v>
      </c>
      <c r="AN4523" t="s">
        <v>7439</v>
      </c>
      <c r="AO4523">
        <v>26428</v>
      </c>
      <c r="AP4523" t="s">
        <v>45617</v>
      </c>
      <c r="AQ4523" t="s">
        <v>46368</v>
      </c>
      <c r="AR4523" t="s">
        <v>46413</v>
      </c>
      <c r="AS4523" t="s">
        <v>46499</v>
      </c>
      <c r="AT4523" t="s">
        <v>46786</v>
      </c>
      <c r="AU4523">
        <v>164.35</v>
      </c>
      <c r="AV4523" t="s">
        <v>833</v>
      </c>
      <c r="AW4523" t="s">
        <v>46861</v>
      </c>
    </row>
    <row r="4524" spans="1:50">
      <c r="A4524" s="1">
        <f>HYPERLINK("https://lsnyc.legalserver.org/matter/dynamic-profile/view/1883822","18-1883822")</f>
        <v>0</v>
      </c>
      <c r="B4524" t="s">
        <v>68</v>
      </c>
      <c r="C4524" t="s">
        <v>341</v>
      </c>
      <c r="D4524" t="s">
        <v>669</v>
      </c>
      <c r="E4524" t="s">
        <v>800</v>
      </c>
      <c r="F4524" t="s">
        <v>3067</v>
      </c>
      <c r="G4524" t="s">
        <v>6065</v>
      </c>
      <c r="H4524" t="s">
        <v>13075</v>
      </c>
      <c r="I4524" t="s">
        <v>17298</v>
      </c>
      <c r="J4524" t="s">
        <v>18892</v>
      </c>
      <c r="K4524">
        <v>10462</v>
      </c>
      <c r="L4524" t="s">
        <v>18958</v>
      </c>
      <c r="M4524" t="s">
        <v>18958</v>
      </c>
      <c r="N4524" t="s">
        <v>22341</v>
      </c>
      <c r="O4524" t="s">
        <v>26524</v>
      </c>
      <c r="P4524" t="s">
        <v>26564</v>
      </c>
      <c r="Q4524" t="s">
        <v>26570</v>
      </c>
      <c r="R4524" t="s">
        <v>26579</v>
      </c>
      <c r="S4524" t="s">
        <v>18959</v>
      </c>
      <c r="U4524" t="s">
        <v>26604</v>
      </c>
      <c r="V4524" t="s">
        <v>26610</v>
      </c>
      <c r="W4524" t="s">
        <v>668</v>
      </c>
      <c r="X4524">
        <v>1152</v>
      </c>
      <c r="Y4524" t="s">
        <v>26650</v>
      </c>
      <c r="Z4524" t="s">
        <v>26672</v>
      </c>
      <c r="AA4524" t="s">
        <v>26683</v>
      </c>
      <c r="AB4524" t="s">
        <v>30418</v>
      </c>
      <c r="AC4524" t="s">
        <v>35784</v>
      </c>
      <c r="AD4524" t="s">
        <v>40583</v>
      </c>
      <c r="AE4524">
        <v>0</v>
      </c>
      <c r="AG4524" t="s">
        <v>45561</v>
      </c>
      <c r="AH4524">
        <v>11</v>
      </c>
      <c r="AI4524">
        <v>1</v>
      </c>
      <c r="AJ4524">
        <v>0</v>
      </c>
      <c r="AK4524">
        <v>329.49</v>
      </c>
      <c r="AN4524" t="s">
        <v>7439</v>
      </c>
      <c r="AO4524">
        <v>40000</v>
      </c>
      <c r="AP4524" t="s">
        <v>45828</v>
      </c>
      <c r="AU4524">
        <v>3.75</v>
      </c>
      <c r="AV4524" t="s">
        <v>668</v>
      </c>
      <c r="AW4524" t="s">
        <v>267</v>
      </c>
    </row>
    <row r="4525" spans="1:50">
      <c r="A4525" s="1">
        <f>HYPERLINK("https://lsnyc.legalserver.org/matter/dynamic-profile/view/1887079","19-1887079")</f>
        <v>0</v>
      </c>
      <c r="B4525" t="s">
        <v>141</v>
      </c>
      <c r="C4525" t="s">
        <v>341</v>
      </c>
      <c r="D4525" t="s">
        <v>668</v>
      </c>
      <c r="E4525" t="s">
        <v>458</v>
      </c>
      <c r="F4525" t="s">
        <v>3068</v>
      </c>
      <c r="G4525" t="s">
        <v>6670</v>
      </c>
      <c r="H4525" t="s">
        <v>10089</v>
      </c>
      <c r="I4525" t="s">
        <v>17449</v>
      </c>
      <c r="J4525" t="s">
        <v>18900</v>
      </c>
      <c r="K4525">
        <v>11355</v>
      </c>
      <c r="L4525" t="s">
        <v>18958</v>
      </c>
      <c r="M4525" t="s">
        <v>18958</v>
      </c>
      <c r="N4525" t="s">
        <v>22342</v>
      </c>
      <c r="O4525" t="s">
        <v>26524</v>
      </c>
      <c r="P4525" t="s">
        <v>26564</v>
      </c>
      <c r="Q4525" t="s">
        <v>26570</v>
      </c>
      <c r="R4525" t="s">
        <v>26578</v>
      </c>
      <c r="S4525" t="s">
        <v>18959</v>
      </c>
      <c r="U4525" t="s">
        <v>26604</v>
      </c>
      <c r="V4525" t="s">
        <v>26610</v>
      </c>
      <c r="W4525" t="s">
        <v>668</v>
      </c>
      <c r="X4525">
        <v>1350</v>
      </c>
      <c r="Y4525" t="s">
        <v>26653</v>
      </c>
      <c r="Z4525" t="s">
        <v>26670</v>
      </c>
      <c r="AA4525" t="s">
        <v>26683</v>
      </c>
      <c r="AB4525" t="s">
        <v>30419</v>
      </c>
      <c r="AD4525" t="s">
        <v>40584</v>
      </c>
      <c r="AE4525">
        <v>97</v>
      </c>
      <c r="AF4525" t="s">
        <v>45553</v>
      </c>
      <c r="AG4525" t="s">
        <v>19330</v>
      </c>
      <c r="AH4525">
        <v>1</v>
      </c>
      <c r="AI4525">
        <v>3</v>
      </c>
      <c r="AJ4525">
        <v>0</v>
      </c>
      <c r="AK4525">
        <v>0</v>
      </c>
      <c r="AN4525" t="s">
        <v>45594</v>
      </c>
      <c r="AO4525">
        <v>0</v>
      </c>
      <c r="AU4525">
        <v>3.85</v>
      </c>
      <c r="AV4525" t="s">
        <v>770</v>
      </c>
      <c r="AW4525" t="s">
        <v>141</v>
      </c>
    </row>
    <row r="4526" spans="1:50">
      <c r="A4526" s="1">
        <f>HYPERLINK("https://lsnyc.legalserver.org/matter/dynamic-profile/view/1887104","19-1887104")</f>
        <v>0</v>
      </c>
      <c r="B4526" t="s">
        <v>141</v>
      </c>
      <c r="C4526" t="s">
        <v>341</v>
      </c>
      <c r="D4526" t="s">
        <v>668</v>
      </c>
      <c r="E4526" t="s">
        <v>458</v>
      </c>
      <c r="F4526" t="s">
        <v>1320</v>
      </c>
      <c r="G4526" t="s">
        <v>7327</v>
      </c>
      <c r="H4526" t="s">
        <v>13076</v>
      </c>
      <c r="I4526" t="s">
        <v>17436</v>
      </c>
      <c r="J4526" t="s">
        <v>18900</v>
      </c>
      <c r="K4526">
        <v>11358</v>
      </c>
      <c r="L4526" t="s">
        <v>18958</v>
      </c>
      <c r="M4526" t="s">
        <v>18958</v>
      </c>
      <c r="N4526" t="s">
        <v>19330</v>
      </c>
      <c r="O4526" t="s">
        <v>18997</v>
      </c>
      <c r="P4526" t="s">
        <v>26564</v>
      </c>
      <c r="Q4526" t="s">
        <v>26570</v>
      </c>
      <c r="R4526" t="s">
        <v>26583</v>
      </c>
      <c r="S4526" t="s">
        <v>18959</v>
      </c>
      <c r="U4526" t="s">
        <v>26604</v>
      </c>
      <c r="V4526" t="s">
        <v>26610</v>
      </c>
      <c r="W4526" t="s">
        <v>668</v>
      </c>
      <c r="X4526">
        <v>1090</v>
      </c>
      <c r="Y4526" t="s">
        <v>26653</v>
      </c>
      <c r="Z4526" t="s">
        <v>26670</v>
      </c>
      <c r="AA4526" t="s">
        <v>26683</v>
      </c>
      <c r="AB4526" t="s">
        <v>28158</v>
      </c>
      <c r="AD4526" t="s">
        <v>40585</v>
      </c>
      <c r="AE4526">
        <v>20</v>
      </c>
      <c r="AF4526" t="s">
        <v>45541</v>
      </c>
      <c r="AG4526" t="s">
        <v>19330</v>
      </c>
      <c r="AH4526">
        <v>34</v>
      </c>
      <c r="AI4526">
        <v>2</v>
      </c>
      <c r="AJ4526">
        <v>0</v>
      </c>
      <c r="AK4526">
        <v>273.39</v>
      </c>
      <c r="AO4526">
        <v>45000</v>
      </c>
      <c r="AU4526">
        <v>1.4</v>
      </c>
      <c r="AV4526" t="s">
        <v>414</v>
      </c>
      <c r="AW4526" t="s">
        <v>141</v>
      </c>
    </row>
    <row r="4527" spans="1:50">
      <c r="A4527" s="1">
        <f>HYPERLINK("https://lsnyc.legalserver.org/matter/dynamic-profile/view/1887057","19-1887057")</f>
        <v>0</v>
      </c>
      <c r="B4527" t="s">
        <v>102</v>
      </c>
      <c r="C4527" t="s">
        <v>341</v>
      </c>
      <c r="D4527" t="s">
        <v>668</v>
      </c>
      <c r="E4527" t="s">
        <v>780</v>
      </c>
      <c r="F4527" t="s">
        <v>1915</v>
      </c>
      <c r="G4527" t="s">
        <v>7328</v>
      </c>
      <c r="H4527" t="s">
        <v>13077</v>
      </c>
      <c r="I4527">
        <v>1</v>
      </c>
      <c r="J4527" t="s">
        <v>18902</v>
      </c>
      <c r="K4527">
        <v>10301</v>
      </c>
      <c r="L4527" t="s">
        <v>18958</v>
      </c>
      <c r="M4527" t="s">
        <v>18958</v>
      </c>
      <c r="N4527" t="s">
        <v>22343</v>
      </c>
      <c r="O4527" t="s">
        <v>26523</v>
      </c>
      <c r="P4527" t="s">
        <v>26560</v>
      </c>
      <c r="Q4527" t="s">
        <v>26568</v>
      </c>
      <c r="R4527" t="s">
        <v>26578</v>
      </c>
      <c r="S4527" t="s">
        <v>18959</v>
      </c>
      <c r="U4527" t="s">
        <v>26604</v>
      </c>
      <c r="V4527" t="s">
        <v>26610</v>
      </c>
      <c r="W4527" t="s">
        <v>668</v>
      </c>
      <c r="X4527">
        <v>1515</v>
      </c>
      <c r="Y4527" t="s">
        <v>26654</v>
      </c>
      <c r="Z4527" t="s">
        <v>26667</v>
      </c>
      <c r="AA4527" t="s">
        <v>26678</v>
      </c>
      <c r="AB4527" t="s">
        <v>26925</v>
      </c>
      <c r="AD4527" t="s">
        <v>40586</v>
      </c>
      <c r="AE4527">
        <v>2</v>
      </c>
      <c r="AF4527" t="s">
        <v>45547</v>
      </c>
      <c r="AG4527" t="s">
        <v>45562</v>
      </c>
      <c r="AH4527">
        <v>4</v>
      </c>
      <c r="AI4527">
        <v>1</v>
      </c>
      <c r="AJ4527">
        <v>2</v>
      </c>
      <c r="AK4527">
        <v>171.95</v>
      </c>
      <c r="AN4527" t="s">
        <v>7439</v>
      </c>
      <c r="AO4527">
        <v>35732</v>
      </c>
      <c r="AU4527">
        <v>5</v>
      </c>
      <c r="AV4527" t="s">
        <v>416</v>
      </c>
      <c r="AW4527" t="s">
        <v>185</v>
      </c>
    </row>
    <row r="4528" spans="1:50">
      <c r="A4528" s="1">
        <f>HYPERLINK("https://lsnyc.legalserver.org/matter/dynamic-profile/view/1887150","19-1887150")</f>
        <v>0</v>
      </c>
      <c r="B4528" t="s">
        <v>136</v>
      </c>
      <c r="C4528" t="s">
        <v>340</v>
      </c>
      <c r="D4528" t="s">
        <v>668</v>
      </c>
      <c r="F4528" t="s">
        <v>1368</v>
      </c>
      <c r="G4528" t="s">
        <v>2749</v>
      </c>
      <c r="H4528" t="s">
        <v>13078</v>
      </c>
      <c r="I4528" t="s">
        <v>17284</v>
      </c>
      <c r="J4528" t="s">
        <v>18892</v>
      </c>
      <c r="K4528">
        <v>10472</v>
      </c>
      <c r="L4528" t="s">
        <v>18958</v>
      </c>
      <c r="M4528" t="s">
        <v>18958</v>
      </c>
      <c r="N4528" t="s">
        <v>22344</v>
      </c>
      <c r="O4528" t="s">
        <v>26523</v>
      </c>
      <c r="P4528" t="s">
        <v>26560</v>
      </c>
      <c r="R4528" t="s">
        <v>26577</v>
      </c>
      <c r="S4528" t="s">
        <v>18959</v>
      </c>
      <c r="U4528" t="s">
        <v>26604</v>
      </c>
      <c r="V4528" t="s">
        <v>26612</v>
      </c>
      <c r="W4528" t="s">
        <v>668</v>
      </c>
      <c r="X4528">
        <v>1800</v>
      </c>
      <c r="Y4528" t="s">
        <v>26650</v>
      </c>
      <c r="Z4528" t="s">
        <v>26664</v>
      </c>
      <c r="AB4528" t="s">
        <v>30420</v>
      </c>
      <c r="AC4528" t="s">
        <v>35785</v>
      </c>
      <c r="AD4528" t="s">
        <v>40587</v>
      </c>
      <c r="AE4528">
        <v>0</v>
      </c>
      <c r="AF4528" t="s">
        <v>45541</v>
      </c>
      <c r="AG4528" t="s">
        <v>19330</v>
      </c>
      <c r="AH4528">
        <v>9</v>
      </c>
      <c r="AI4528">
        <v>1</v>
      </c>
      <c r="AJ4528">
        <v>3</v>
      </c>
      <c r="AK4528">
        <v>51.79</v>
      </c>
      <c r="AN4528" t="s">
        <v>7439</v>
      </c>
      <c r="AO4528">
        <v>13000</v>
      </c>
      <c r="AU4528">
        <v>20</v>
      </c>
      <c r="AV4528" t="s">
        <v>830</v>
      </c>
      <c r="AW4528" t="s">
        <v>46871</v>
      </c>
      <c r="AX4528" t="s">
        <v>46898</v>
      </c>
    </row>
    <row r="4529" spans="1:50">
      <c r="A4529" s="1">
        <f>HYPERLINK("https://lsnyc.legalserver.org/matter/dynamic-profile/view/1887052","19-1887052")</f>
        <v>0</v>
      </c>
      <c r="B4529" t="s">
        <v>136</v>
      </c>
      <c r="C4529" t="s">
        <v>340</v>
      </c>
      <c r="D4529" t="s">
        <v>668</v>
      </c>
      <c r="F4529" t="s">
        <v>3069</v>
      </c>
      <c r="G4529" t="s">
        <v>1685</v>
      </c>
      <c r="H4529" t="s">
        <v>13079</v>
      </c>
      <c r="I4529">
        <v>47</v>
      </c>
      <c r="J4529" t="s">
        <v>18892</v>
      </c>
      <c r="K4529">
        <v>10468</v>
      </c>
      <c r="L4529" t="s">
        <v>18958</v>
      </c>
      <c r="M4529" t="s">
        <v>18958</v>
      </c>
      <c r="N4529" t="s">
        <v>22345</v>
      </c>
      <c r="O4529" t="s">
        <v>26523</v>
      </c>
      <c r="P4529" t="s">
        <v>26560</v>
      </c>
      <c r="R4529" t="s">
        <v>26579</v>
      </c>
      <c r="U4529" t="s">
        <v>26604</v>
      </c>
      <c r="V4529" t="s">
        <v>26610</v>
      </c>
      <c r="W4529" t="s">
        <v>668</v>
      </c>
      <c r="X4529">
        <v>0</v>
      </c>
      <c r="Y4529" t="s">
        <v>26650</v>
      </c>
      <c r="Z4529" t="s">
        <v>26664</v>
      </c>
      <c r="AB4529" t="s">
        <v>30421</v>
      </c>
      <c r="AC4529" t="s">
        <v>35786</v>
      </c>
      <c r="AD4529" t="s">
        <v>40588</v>
      </c>
      <c r="AE4529">
        <v>0</v>
      </c>
      <c r="AH4529">
        <v>0</v>
      </c>
      <c r="AI4529">
        <v>1</v>
      </c>
      <c r="AJ4529">
        <v>0</v>
      </c>
      <c r="AK4529">
        <v>214.17</v>
      </c>
      <c r="AL4529" t="s">
        <v>751</v>
      </c>
      <c r="AM4529" t="s">
        <v>45575</v>
      </c>
      <c r="AO4529">
        <v>26000</v>
      </c>
      <c r="AU4529">
        <v>14.75</v>
      </c>
      <c r="AV4529" t="s">
        <v>805</v>
      </c>
      <c r="AW4529" t="s">
        <v>334</v>
      </c>
      <c r="AX4529" t="s">
        <v>46898</v>
      </c>
    </row>
    <row r="4530" spans="1:50">
      <c r="A4530" s="1">
        <f>HYPERLINK("https://lsnyc.legalserver.org/matter/dynamic-profile/view/1887154","19-1887154")</f>
        <v>0</v>
      </c>
      <c r="B4530" t="s">
        <v>96</v>
      </c>
      <c r="C4530" t="s">
        <v>340</v>
      </c>
      <c r="D4530" t="s">
        <v>668</v>
      </c>
      <c r="F4530" t="s">
        <v>1876</v>
      </c>
      <c r="G4530" t="s">
        <v>1685</v>
      </c>
      <c r="H4530" t="s">
        <v>13080</v>
      </c>
      <c r="I4530" t="s">
        <v>17284</v>
      </c>
      <c r="J4530" t="s">
        <v>18892</v>
      </c>
      <c r="K4530">
        <v>10451</v>
      </c>
      <c r="L4530" t="s">
        <v>18958</v>
      </c>
      <c r="M4530" t="s">
        <v>18958</v>
      </c>
      <c r="N4530" t="s">
        <v>22346</v>
      </c>
      <c r="O4530" t="s">
        <v>26526</v>
      </c>
      <c r="P4530" t="s">
        <v>26560</v>
      </c>
      <c r="R4530" t="s">
        <v>26577</v>
      </c>
      <c r="S4530" t="s">
        <v>18959</v>
      </c>
      <c r="U4530" t="s">
        <v>26604</v>
      </c>
      <c r="V4530" t="s">
        <v>26609</v>
      </c>
      <c r="W4530" t="s">
        <v>668</v>
      </c>
      <c r="X4530">
        <v>1092.39</v>
      </c>
      <c r="Y4530" t="s">
        <v>26650</v>
      </c>
      <c r="Z4530" t="s">
        <v>26660</v>
      </c>
      <c r="AB4530" t="s">
        <v>29705</v>
      </c>
      <c r="AC4530" t="s">
        <v>35787</v>
      </c>
      <c r="AD4530" t="s">
        <v>40589</v>
      </c>
      <c r="AE4530">
        <v>44</v>
      </c>
      <c r="AF4530" t="s">
        <v>45541</v>
      </c>
      <c r="AG4530" t="s">
        <v>45556</v>
      </c>
      <c r="AH4530">
        <v>28</v>
      </c>
      <c r="AI4530">
        <v>2</v>
      </c>
      <c r="AJ4530">
        <v>0</v>
      </c>
      <c r="AK4530">
        <v>112.42</v>
      </c>
      <c r="AN4530" t="s">
        <v>7439</v>
      </c>
      <c r="AO4530">
        <v>18504</v>
      </c>
      <c r="AU4530">
        <v>9.199999999999999</v>
      </c>
      <c r="AV4530" t="s">
        <v>830</v>
      </c>
      <c r="AW4530" t="s">
        <v>46870</v>
      </c>
    </row>
    <row r="4531" spans="1:50">
      <c r="A4531" s="1">
        <f>HYPERLINK("https://lsnyc.legalserver.org/matter/dynamic-profile/view/1887119","19-1887119")</f>
        <v>0</v>
      </c>
      <c r="B4531" t="s">
        <v>67</v>
      </c>
      <c r="C4531" t="s">
        <v>340</v>
      </c>
      <c r="D4531" t="s">
        <v>668</v>
      </c>
      <c r="F4531" t="s">
        <v>3070</v>
      </c>
      <c r="G4531" t="s">
        <v>3540</v>
      </c>
      <c r="H4531" t="s">
        <v>13081</v>
      </c>
      <c r="I4531" t="s">
        <v>17343</v>
      </c>
      <c r="J4531" t="s">
        <v>18892</v>
      </c>
      <c r="K4531">
        <v>10458</v>
      </c>
      <c r="L4531" t="s">
        <v>18958</v>
      </c>
      <c r="M4531" t="s">
        <v>18958</v>
      </c>
      <c r="N4531" t="s">
        <v>22347</v>
      </c>
      <c r="O4531" t="s">
        <v>26523</v>
      </c>
      <c r="P4531" t="s">
        <v>26564</v>
      </c>
      <c r="R4531" t="s">
        <v>26578</v>
      </c>
      <c r="S4531" t="s">
        <v>18959</v>
      </c>
      <c r="U4531" t="s">
        <v>26604</v>
      </c>
      <c r="W4531" t="s">
        <v>668</v>
      </c>
      <c r="X4531">
        <v>984</v>
      </c>
      <c r="Y4531" t="s">
        <v>26650</v>
      </c>
      <c r="Z4531" t="s">
        <v>26670</v>
      </c>
      <c r="AB4531" t="s">
        <v>30422</v>
      </c>
      <c r="AD4531" t="s">
        <v>40590</v>
      </c>
      <c r="AE4531">
        <v>48</v>
      </c>
      <c r="AF4531" t="s">
        <v>45541</v>
      </c>
      <c r="AG4531" t="s">
        <v>19330</v>
      </c>
      <c r="AH4531">
        <v>10</v>
      </c>
      <c r="AI4531">
        <v>1</v>
      </c>
      <c r="AJ4531">
        <v>0</v>
      </c>
      <c r="AK4531">
        <v>116.08</v>
      </c>
      <c r="AN4531" t="s">
        <v>7439</v>
      </c>
      <c r="AO4531">
        <v>14092</v>
      </c>
      <c r="AU4531">
        <v>3.4</v>
      </c>
      <c r="AV4531" t="s">
        <v>698</v>
      </c>
      <c r="AW4531" t="s">
        <v>336</v>
      </c>
    </row>
    <row r="4532" spans="1:50">
      <c r="A4532" s="1">
        <f>HYPERLINK("https://lsnyc.legalserver.org/matter/dynamic-profile/view/1887111","19-1887111")</f>
        <v>0</v>
      </c>
      <c r="B4532" t="s">
        <v>67</v>
      </c>
      <c r="C4532" t="s">
        <v>340</v>
      </c>
      <c r="D4532" t="s">
        <v>668</v>
      </c>
      <c r="F4532" t="s">
        <v>2306</v>
      </c>
      <c r="G4532" t="s">
        <v>6634</v>
      </c>
      <c r="H4532" t="s">
        <v>13082</v>
      </c>
      <c r="I4532" t="s">
        <v>17430</v>
      </c>
      <c r="J4532" t="s">
        <v>18892</v>
      </c>
      <c r="K4532">
        <v>10469</v>
      </c>
      <c r="L4532" t="s">
        <v>18958</v>
      </c>
      <c r="M4532" t="s">
        <v>18958</v>
      </c>
      <c r="O4532" t="s">
        <v>18997</v>
      </c>
      <c r="P4532" t="s">
        <v>26564</v>
      </c>
      <c r="R4532" t="s">
        <v>26578</v>
      </c>
      <c r="S4532" t="s">
        <v>18959</v>
      </c>
      <c r="U4532" t="s">
        <v>26604</v>
      </c>
      <c r="W4532" t="s">
        <v>668</v>
      </c>
      <c r="X4532">
        <v>1534</v>
      </c>
      <c r="Y4532" t="s">
        <v>26650</v>
      </c>
      <c r="Z4532" t="s">
        <v>26664</v>
      </c>
      <c r="AB4532" t="s">
        <v>30423</v>
      </c>
      <c r="AD4532" t="s">
        <v>40591</v>
      </c>
      <c r="AE4532">
        <v>3</v>
      </c>
      <c r="AF4532" t="s">
        <v>45541</v>
      </c>
      <c r="AG4532" t="s">
        <v>19330</v>
      </c>
      <c r="AH4532">
        <v>1</v>
      </c>
      <c r="AI4532">
        <v>1</v>
      </c>
      <c r="AJ4532">
        <v>2</v>
      </c>
      <c r="AK4532">
        <v>300.29</v>
      </c>
      <c r="AN4532" t="s">
        <v>7439</v>
      </c>
      <c r="AO4532">
        <v>62400</v>
      </c>
      <c r="AU4532">
        <v>2.5</v>
      </c>
      <c r="AV4532" t="s">
        <v>707</v>
      </c>
      <c r="AW4532" t="s">
        <v>46847</v>
      </c>
    </row>
    <row r="4533" spans="1:50">
      <c r="A4533" s="1">
        <f>HYPERLINK("https://lsnyc.legalserver.org/matter/dynamic-profile/view/1887064","19-1887064")</f>
        <v>0</v>
      </c>
      <c r="B4533" t="s">
        <v>68</v>
      </c>
      <c r="C4533" t="s">
        <v>340</v>
      </c>
      <c r="D4533" t="s">
        <v>668</v>
      </c>
      <c r="F4533" t="s">
        <v>3071</v>
      </c>
      <c r="G4533" t="s">
        <v>5112</v>
      </c>
      <c r="H4533" t="s">
        <v>13083</v>
      </c>
      <c r="I4533" t="s">
        <v>17301</v>
      </c>
      <c r="J4533" t="s">
        <v>18892</v>
      </c>
      <c r="K4533">
        <v>10467</v>
      </c>
      <c r="L4533" t="s">
        <v>18958</v>
      </c>
      <c r="M4533" t="s">
        <v>18958</v>
      </c>
      <c r="N4533" t="s">
        <v>22348</v>
      </c>
      <c r="O4533" t="s">
        <v>26524</v>
      </c>
      <c r="P4533" t="s">
        <v>26560</v>
      </c>
      <c r="R4533" t="s">
        <v>26579</v>
      </c>
      <c r="S4533" t="s">
        <v>18959</v>
      </c>
      <c r="U4533" t="s">
        <v>26604</v>
      </c>
      <c r="V4533" t="s">
        <v>26610</v>
      </c>
      <c r="W4533" t="s">
        <v>668</v>
      </c>
      <c r="X4533">
        <v>1914.7</v>
      </c>
      <c r="Y4533" t="s">
        <v>26650</v>
      </c>
      <c r="Z4533" t="s">
        <v>26664</v>
      </c>
      <c r="AB4533" t="s">
        <v>30424</v>
      </c>
      <c r="AD4533" t="s">
        <v>40592</v>
      </c>
      <c r="AE4533">
        <v>42</v>
      </c>
      <c r="AF4533" t="s">
        <v>45541</v>
      </c>
      <c r="AG4533" t="s">
        <v>45556</v>
      </c>
      <c r="AH4533">
        <v>10</v>
      </c>
      <c r="AI4533">
        <v>1</v>
      </c>
      <c r="AJ4533">
        <v>0</v>
      </c>
      <c r="AK4533">
        <v>85.67</v>
      </c>
      <c r="AN4533" t="s">
        <v>7439</v>
      </c>
      <c r="AO4533">
        <v>10400</v>
      </c>
      <c r="AU4533">
        <v>23.7</v>
      </c>
      <c r="AV4533" t="s">
        <v>835</v>
      </c>
      <c r="AW4533" t="s">
        <v>334</v>
      </c>
    </row>
    <row r="4534" spans="1:50">
      <c r="A4534" s="1">
        <f>HYPERLINK("https://lsnyc.legalserver.org/matter/dynamic-profile/view/1887073","19-1887073")</f>
        <v>0</v>
      </c>
      <c r="B4534" t="s">
        <v>82</v>
      </c>
      <c r="C4534" t="s">
        <v>340</v>
      </c>
      <c r="D4534" t="s">
        <v>668</v>
      </c>
      <c r="F4534" t="s">
        <v>2273</v>
      </c>
      <c r="G4534" t="s">
        <v>7329</v>
      </c>
      <c r="H4534" t="s">
        <v>13084</v>
      </c>
      <c r="I4534" t="s">
        <v>17360</v>
      </c>
      <c r="J4534" t="s">
        <v>18892</v>
      </c>
      <c r="K4534">
        <v>10460</v>
      </c>
      <c r="L4534" t="s">
        <v>18958</v>
      </c>
      <c r="M4534" t="s">
        <v>18958</v>
      </c>
      <c r="N4534" t="s">
        <v>22349</v>
      </c>
      <c r="O4534" t="s">
        <v>26523</v>
      </c>
      <c r="P4534" t="s">
        <v>26560</v>
      </c>
      <c r="R4534" t="s">
        <v>26577</v>
      </c>
      <c r="S4534" t="s">
        <v>18959</v>
      </c>
      <c r="U4534" t="s">
        <v>26604</v>
      </c>
      <c r="V4534" t="s">
        <v>26613</v>
      </c>
      <c r="W4534" t="s">
        <v>668</v>
      </c>
      <c r="X4534">
        <v>1312</v>
      </c>
      <c r="Y4534" t="s">
        <v>26650</v>
      </c>
      <c r="Z4534" t="s">
        <v>26668</v>
      </c>
      <c r="AB4534" t="s">
        <v>30425</v>
      </c>
      <c r="AC4534" t="s">
        <v>35788</v>
      </c>
      <c r="AD4534" t="s">
        <v>40593</v>
      </c>
      <c r="AE4534">
        <v>0</v>
      </c>
      <c r="AF4534" t="s">
        <v>45552</v>
      </c>
      <c r="AG4534" t="s">
        <v>19330</v>
      </c>
      <c r="AH4534">
        <v>27</v>
      </c>
      <c r="AI4534">
        <v>2</v>
      </c>
      <c r="AJ4534">
        <v>2</v>
      </c>
      <c r="AK4534">
        <v>82.87</v>
      </c>
      <c r="AN4534" t="s">
        <v>45581</v>
      </c>
      <c r="AO4534">
        <v>20800</v>
      </c>
      <c r="AU4534">
        <v>5.25</v>
      </c>
      <c r="AV4534" t="s">
        <v>825</v>
      </c>
      <c r="AW4534" t="s">
        <v>46870</v>
      </c>
    </row>
    <row r="4535" spans="1:50">
      <c r="A4535" s="1">
        <f>HYPERLINK("https://lsnyc.legalserver.org/matter/dynamic-profile/view/1887033","19-1887033")</f>
        <v>0</v>
      </c>
      <c r="B4535" t="s">
        <v>102</v>
      </c>
      <c r="C4535" t="s">
        <v>340</v>
      </c>
      <c r="D4535" t="s">
        <v>668</v>
      </c>
      <c r="F4535" t="s">
        <v>3072</v>
      </c>
      <c r="G4535" t="s">
        <v>7330</v>
      </c>
      <c r="H4535" t="s">
        <v>11816</v>
      </c>
      <c r="I4535" t="s">
        <v>17466</v>
      </c>
      <c r="J4535" t="s">
        <v>18902</v>
      </c>
      <c r="K4535">
        <v>10302</v>
      </c>
      <c r="L4535" t="s">
        <v>18958</v>
      </c>
      <c r="M4535" t="s">
        <v>18958</v>
      </c>
      <c r="N4535" t="s">
        <v>22350</v>
      </c>
      <c r="O4535" t="s">
        <v>26523</v>
      </c>
      <c r="P4535" t="s">
        <v>26560</v>
      </c>
      <c r="R4535" t="s">
        <v>26590</v>
      </c>
      <c r="S4535" t="s">
        <v>18959</v>
      </c>
      <c r="U4535" t="s">
        <v>26604</v>
      </c>
      <c r="V4535" t="s">
        <v>26610</v>
      </c>
      <c r="W4535" t="s">
        <v>668</v>
      </c>
      <c r="X4535">
        <v>1518</v>
      </c>
      <c r="Y4535" t="s">
        <v>26654</v>
      </c>
      <c r="Z4535" t="s">
        <v>26668</v>
      </c>
      <c r="AB4535" t="s">
        <v>30426</v>
      </c>
      <c r="AD4535" t="s">
        <v>40594</v>
      </c>
      <c r="AE4535">
        <v>12</v>
      </c>
      <c r="AF4535" t="s">
        <v>45541</v>
      </c>
      <c r="AH4535">
        <v>3</v>
      </c>
      <c r="AI4535">
        <v>2</v>
      </c>
      <c r="AJ4535">
        <v>3</v>
      </c>
      <c r="AK4535">
        <v>167.91</v>
      </c>
      <c r="AN4535" t="s">
        <v>7439</v>
      </c>
      <c r="AO4535">
        <v>49400</v>
      </c>
      <c r="AU4535">
        <v>5.7</v>
      </c>
      <c r="AV4535" t="s">
        <v>737</v>
      </c>
      <c r="AW4535" t="s">
        <v>185</v>
      </c>
    </row>
    <row r="4536" spans="1:50">
      <c r="A4536" s="1">
        <f>HYPERLINK("https://lsnyc.legalserver.org/matter/dynamic-profile/view/1887131","19-1887131")</f>
        <v>0</v>
      </c>
      <c r="B4536" t="s">
        <v>212</v>
      </c>
      <c r="C4536" t="s">
        <v>340</v>
      </c>
      <c r="D4536" t="s">
        <v>716</v>
      </c>
      <c r="F4536" t="s">
        <v>2411</v>
      </c>
      <c r="G4536" t="s">
        <v>5633</v>
      </c>
      <c r="H4536" t="s">
        <v>11878</v>
      </c>
      <c r="J4536" t="s">
        <v>7026</v>
      </c>
      <c r="K4536">
        <v>11368</v>
      </c>
      <c r="L4536" t="s">
        <v>18958</v>
      </c>
      <c r="M4536" t="s">
        <v>18958</v>
      </c>
      <c r="N4536" t="s">
        <v>22351</v>
      </c>
      <c r="O4536" t="s">
        <v>26524</v>
      </c>
      <c r="P4536" t="s">
        <v>26560</v>
      </c>
      <c r="R4536" t="s">
        <v>26589</v>
      </c>
      <c r="S4536" t="s">
        <v>18959</v>
      </c>
      <c r="U4536" t="s">
        <v>26604</v>
      </c>
      <c r="V4536" t="s">
        <v>26610</v>
      </c>
      <c r="W4536" t="s">
        <v>668</v>
      </c>
      <c r="X4536">
        <v>0</v>
      </c>
      <c r="Y4536" t="s">
        <v>26653</v>
      </c>
      <c r="Z4536" t="s">
        <v>26671</v>
      </c>
      <c r="AB4536" t="s">
        <v>29146</v>
      </c>
      <c r="AC4536" t="s">
        <v>34738</v>
      </c>
      <c r="AD4536" t="s">
        <v>34738</v>
      </c>
      <c r="AE4536">
        <v>4</v>
      </c>
      <c r="AF4536" t="s">
        <v>45547</v>
      </c>
      <c r="AG4536" t="s">
        <v>19330</v>
      </c>
      <c r="AH4536">
        <v>6</v>
      </c>
      <c r="AI4536">
        <v>1</v>
      </c>
      <c r="AJ4536">
        <v>2</v>
      </c>
      <c r="AK4536">
        <v>91.43000000000001</v>
      </c>
      <c r="AL4536" t="s">
        <v>45567</v>
      </c>
      <c r="AM4536" t="s">
        <v>45577</v>
      </c>
      <c r="AN4536" t="s">
        <v>7439</v>
      </c>
      <c r="AO4536">
        <v>19000</v>
      </c>
      <c r="AQ4536" t="s">
        <v>46359</v>
      </c>
      <c r="AR4536" t="s">
        <v>46418</v>
      </c>
      <c r="AS4536" t="s">
        <v>46500</v>
      </c>
      <c r="AU4536">
        <v>11.6</v>
      </c>
      <c r="AV4536" t="s">
        <v>809</v>
      </c>
      <c r="AW4536" t="s">
        <v>212</v>
      </c>
    </row>
    <row r="4537" spans="1:50">
      <c r="A4537" s="1">
        <f>HYPERLINK("https://lsnyc.legalserver.org/matter/dynamic-profile/view/1887160","19-1887160")</f>
        <v>0</v>
      </c>
      <c r="B4537" t="s">
        <v>116</v>
      </c>
      <c r="C4537" t="s">
        <v>340</v>
      </c>
      <c r="D4537" t="s">
        <v>722</v>
      </c>
      <c r="F4537" t="s">
        <v>1579</v>
      </c>
      <c r="G4537" t="s">
        <v>5079</v>
      </c>
      <c r="H4537" t="s">
        <v>10465</v>
      </c>
      <c r="I4537" t="s">
        <v>17277</v>
      </c>
      <c r="J4537" t="s">
        <v>18894</v>
      </c>
      <c r="K4537">
        <v>11212</v>
      </c>
      <c r="L4537" t="s">
        <v>18958</v>
      </c>
      <c r="M4537" t="s">
        <v>18958</v>
      </c>
      <c r="N4537" t="s">
        <v>22352</v>
      </c>
      <c r="O4537" t="s">
        <v>26523</v>
      </c>
      <c r="P4537" t="s">
        <v>26560</v>
      </c>
      <c r="R4537" t="s">
        <v>26578</v>
      </c>
      <c r="U4537" t="s">
        <v>26604</v>
      </c>
      <c r="W4537" t="s">
        <v>26635</v>
      </c>
      <c r="X4537">
        <v>1122</v>
      </c>
      <c r="Y4537" t="s">
        <v>26652</v>
      </c>
      <c r="Z4537" t="s">
        <v>26667</v>
      </c>
      <c r="AB4537" t="s">
        <v>30427</v>
      </c>
      <c r="AE4537">
        <v>0</v>
      </c>
      <c r="AF4537" t="s">
        <v>45541</v>
      </c>
      <c r="AH4537">
        <v>3</v>
      </c>
      <c r="AI4537">
        <v>2</v>
      </c>
      <c r="AJ4537">
        <v>0</v>
      </c>
      <c r="AK4537">
        <v>345.93</v>
      </c>
      <c r="AN4537" t="s">
        <v>7439</v>
      </c>
      <c r="AO4537">
        <v>56940</v>
      </c>
      <c r="AU4537">
        <v>24.8</v>
      </c>
      <c r="AV4537" t="s">
        <v>838</v>
      </c>
      <c r="AW4537" t="s">
        <v>290</v>
      </c>
    </row>
    <row r="4538" spans="1:50">
      <c r="A4538" s="1">
        <f>HYPERLINK("https://lsnyc.legalserver.org/matter/dynamic-profile/view/1883208","18-1883208")</f>
        <v>0</v>
      </c>
      <c r="B4538" t="s">
        <v>112</v>
      </c>
      <c r="C4538" t="s">
        <v>340</v>
      </c>
      <c r="D4538" t="s">
        <v>525</v>
      </c>
      <c r="F4538" t="s">
        <v>3073</v>
      </c>
      <c r="G4538" t="s">
        <v>7331</v>
      </c>
      <c r="H4538" t="s">
        <v>9798</v>
      </c>
      <c r="I4538" t="s">
        <v>17365</v>
      </c>
      <c r="J4538" t="s">
        <v>18901</v>
      </c>
      <c r="K4538">
        <v>11434</v>
      </c>
      <c r="L4538" t="s">
        <v>18958</v>
      </c>
      <c r="M4538" t="s">
        <v>18958</v>
      </c>
      <c r="N4538" t="s">
        <v>22353</v>
      </c>
      <c r="O4538" t="s">
        <v>26524</v>
      </c>
      <c r="P4538" t="s">
        <v>26560</v>
      </c>
      <c r="R4538" t="s">
        <v>26585</v>
      </c>
      <c r="S4538" t="s">
        <v>18959</v>
      </c>
      <c r="U4538" t="s">
        <v>26604</v>
      </c>
      <c r="V4538" t="s">
        <v>26610</v>
      </c>
      <c r="W4538" t="s">
        <v>716</v>
      </c>
      <c r="X4538">
        <v>670</v>
      </c>
      <c r="Y4538" t="s">
        <v>26653</v>
      </c>
      <c r="Z4538" t="s">
        <v>26668</v>
      </c>
      <c r="AB4538" t="s">
        <v>30428</v>
      </c>
      <c r="AD4538" t="s">
        <v>40595</v>
      </c>
      <c r="AE4538">
        <v>0</v>
      </c>
      <c r="AF4538" t="s">
        <v>45550</v>
      </c>
      <c r="AH4538">
        <v>16</v>
      </c>
      <c r="AI4538">
        <v>1</v>
      </c>
      <c r="AJ4538">
        <v>0</v>
      </c>
      <c r="AK4538">
        <v>0</v>
      </c>
      <c r="AN4538" t="s">
        <v>7439</v>
      </c>
      <c r="AO4538">
        <v>0</v>
      </c>
      <c r="AU4538">
        <v>43.3</v>
      </c>
      <c r="AV4538" t="s">
        <v>830</v>
      </c>
      <c r="AW4538" t="s">
        <v>208</v>
      </c>
    </row>
    <row r="4539" spans="1:50">
      <c r="A4539" s="1">
        <f>HYPERLINK("https://lsnyc.legalserver.org/matter/dynamic-profile/view/1884495","18-1884495")</f>
        <v>0</v>
      </c>
      <c r="B4539" t="s">
        <v>270</v>
      </c>
      <c r="C4539" t="s">
        <v>341</v>
      </c>
      <c r="D4539" t="s">
        <v>652</v>
      </c>
      <c r="E4539" t="s">
        <v>693</v>
      </c>
      <c r="F4539" t="s">
        <v>3074</v>
      </c>
      <c r="G4539" t="s">
        <v>6215</v>
      </c>
      <c r="H4539" t="s">
        <v>13085</v>
      </c>
      <c r="I4539" t="s">
        <v>17306</v>
      </c>
      <c r="J4539" t="s">
        <v>18892</v>
      </c>
      <c r="K4539">
        <v>10462</v>
      </c>
      <c r="L4539" t="s">
        <v>18958</v>
      </c>
      <c r="M4539" t="s">
        <v>18958</v>
      </c>
      <c r="N4539" t="s">
        <v>22354</v>
      </c>
      <c r="O4539" t="s">
        <v>26523</v>
      </c>
      <c r="P4539" t="s">
        <v>26560</v>
      </c>
      <c r="Q4539" t="s">
        <v>26568</v>
      </c>
      <c r="R4539" t="s">
        <v>26579</v>
      </c>
      <c r="S4539" t="s">
        <v>18959</v>
      </c>
      <c r="U4539" t="s">
        <v>26604</v>
      </c>
      <c r="V4539" t="s">
        <v>26610</v>
      </c>
      <c r="W4539" t="s">
        <v>716</v>
      </c>
      <c r="X4539">
        <v>1713.47</v>
      </c>
      <c r="Y4539" t="s">
        <v>26650</v>
      </c>
      <c r="Z4539" t="s">
        <v>26664</v>
      </c>
      <c r="AA4539" t="s">
        <v>26678</v>
      </c>
      <c r="AB4539" t="s">
        <v>30429</v>
      </c>
      <c r="AE4539">
        <v>0</v>
      </c>
      <c r="AF4539" t="s">
        <v>45541</v>
      </c>
      <c r="AG4539" t="s">
        <v>19330</v>
      </c>
      <c r="AH4539">
        <v>5</v>
      </c>
      <c r="AI4539">
        <v>2</v>
      </c>
      <c r="AJ4539">
        <v>2</v>
      </c>
      <c r="AK4539">
        <v>186.45</v>
      </c>
      <c r="AN4539" t="s">
        <v>45581</v>
      </c>
      <c r="AO4539">
        <v>46800</v>
      </c>
      <c r="AR4539" t="s">
        <v>46379</v>
      </c>
      <c r="AS4539" t="s">
        <v>46499</v>
      </c>
      <c r="AT4539" t="s">
        <v>46756</v>
      </c>
      <c r="AU4539">
        <v>9</v>
      </c>
      <c r="AV4539" t="s">
        <v>693</v>
      </c>
      <c r="AW4539" t="s">
        <v>336</v>
      </c>
    </row>
    <row r="4540" spans="1:50">
      <c r="A4540" s="1">
        <f>HYPERLINK("https://lsnyc.legalserver.org/matter/dynamic-profile/view/1884839","18-1884839")</f>
        <v>0</v>
      </c>
      <c r="B4540" t="s">
        <v>105</v>
      </c>
      <c r="C4540" t="s">
        <v>341</v>
      </c>
      <c r="D4540" t="s">
        <v>682</v>
      </c>
      <c r="E4540" t="s">
        <v>458</v>
      </c>
      <c r="F4540" t="s">
        <v>3075</v>
      </c>
      <c r="G4540" t="s">
        <v>7332</v>
      </c>
      <c r="H4540" t="s">
        <v>13086</v>
      </c>
      <c r="I4540">
        <v>4</v>
      </c>
      <c r="J4540" t="s">
        <v>18901</v>
      </c>
      <c r="K4540">
        <v>11433</v>
      </c>
      <c r="L4540" t="s">
        <v>18958</v>
      </c>
      <c r="M4540" t="s">
        <v>18958</v>
      </c>
      <c r="N4540" t="s">
        <v>22355</v>
      </c>
      <c r="O4540" t="s">
        <v>26524</v>
      </c>
      <c r="P4540" t="s">
        <v>26560</v>
      </c>
      <c r="Q4540" t="s">
        <v>26568</v>
      </c>
      <c r="R4540" t="s">
        <v>26585</v>
      </c>
      <c r="S4540" t="s">
        <v>18959</v>
      </c>
      <c r="U4540" t="s">
        <v>26604</v>
      </c>
      <c r="V4540" t="s">
        <v>26610</v>
      </c>
      <c r="W4540" t="s">
        <v>716</v>
      </c>
      <c r="X4540">
        <v>2300</v>
      </c>
      <c r="Y4540" t="s">
        <v>26653</v>
      </c>
      <c r="Z4540" t="s">
        <v>26668</v>
      </c>
      <c r="AA4540" t="s">
        <v>26678</v>
      </c>
      <c r="AB4540" t="s">
        <v>30430</v>
      </c>
      <c r="AD4540" t="s">
        <v>40596</v>
      </c>
      <c r="AE4540">
        <v>3</v>
      </c>
      <c r="AF4540" t="s">
        <v>45547</v>
      </c>
      <c r="AH4540">
        <v>3</v>
      </c>
      <c r="AI4540">
        <v>5</v>
      </c>
      <c r="AJ4540">
        <v>0</v>
      </c>
      <c r="AK4540">
        <v>207.34</v>
      </c>
      <c r="AL4540" t="s">
        <v>716</v>
      </c>
      <c r="AM4540" t="s">
        <v>45575</v>
      </c>
      <c r="AN4540" t="s">
        <v>7439</v>
      </c>
      <c r="AO4540">
        <v>61000</v>
      </c>
      <c r="AR4540" t="s">
        <v>46379</v>
      </c>
      <c r="AS4540" t="s">
        <v>46499</v>
      </c>
      <c r="AT4540" t="s">
        <v>46543</v>
      </c>
      <c r="AU4540">
        <v>1.05</v>
      </c>
      <c r="AV4540" t="s">
        <v>458</v>
      </c>
      <c r="AW4540" t="s">
        <v>85</v>
      </c>
    </row>
    <row r="4541" spans="1:50">
      <c r="A4541" s="1">
        <f>HYPERLINK("https://lsnyc.legalserver.org/matter/dynamic-profile/view/1886688","18-1886688")</f>
        <v>0</v>
      </c>
      <c r="B4541" t="s">
        <v>125</v>
      </c>
      <c r="C4541" t="s">
        <v>340</v>
      </c>
      <c r="D4541" t="s">
        <v>712</v>
      </c>
      <c r="F4541" t="s">
        <v>1838</v>
      </c>
      <c r="G4541" t="s">
        <v>5086</v>
      </c>
      <c r="H4541" t="s">
        <v>13087</v>
      </c>
      <c r="I4541" t="s">
        <v>17352</v>
      </c>
      <c r="J4541" t="s">
        <v>18894</v>
      </c>
      <c r="K4541">
        <v>11239</v>
      </c>
      <c r="L4541" t="s">
        <v>18958</v>
      </c>
      <c r="M4541" t="s">
        <v>18959</v>
      </c>
      <c r="N4541" t="s">
        <v>22356</v>
      </c>
      <c r="O4541" t="s">
        <v>26523</v>
      </c>
      <c r="P4541" t="s">
        <v>26564</v>
      </c>
      <c r="R4541" t="s">
        <v>26578</v>
      </c>
      <c r="S4541" t="s">
        <v>18959</v>
      </c>
      <c r="U4541" t="s">
        <v>26604</v>
      </c>
      <c r="W4541" t="s">
        <v>716</v>
      </c>
      <c r="X4541">
        <v>1525</v>
      </c>
      <c r="Y4541" t="s">
        <v>26652</v>
      </c>
      <c r="Z4541" t="s">
        <v>26673</v>
      </c>
      <c r="AB4541" t="s">
        <v>30431</v>
      </c>
      <c r="AD4541" t="s">
        <v>40597</v>
      </c>
      <c r="AE4541">
        <v>88</v>
      </c>
      <c r="AF4541" t="s">
        <v>45541</v>
      </c>
      <c r="AG4541" t="s">
        <v>19330</v>
      </c>
      <c r="AH4541">
        <v>4</v>
      </c>
      <c r="AI4541">
        <v>1</v>
      </c>
      <c r="AJ4541">
        <v>0</v>
      </c>
      <c r="AK4541">
        <v>187.31</v>
      </c>
      <c r="AN4541" t="s">
        <v>7439</v>
      </c>
      <c r="AO4541">
        <v>22740</v>
      </c>
      <c r="AU4541">
        <v>2.5</v>
      </c>
      <c r="AV4541" t="s">
        <v>716</v>
      </c>
      <c r="AW4541" t="s">
        <v>46861</v>
      </c>
      <c r="AX4541" t="s">
        <v>46897</v>
      </c>
    </row>
    <row r="4542" spans="1:50">
      <c r="A4542" s="1">
        <f>HYPERLINK("https://lsnyc.legalserver.org/matter/dynamic-profile/view/1887028","19-1887028")</f>
        <v>0</v>
      </c>
      <c r="B4542" t="s">
        <v>82</v>
      </c>
      <c r="C4542" t="s">
        <v>340</v>
      </c>
      <c r="D4542" t="s">
        <v>668</v>
      </c>
      <c r="F4542" t="s">
        <v>3076</v>
      </c>
      <c r="G4542" t="s">
        <v>7333</v>
      </c>
      <c r="H4542" t="s">
        <v>13088</v>
      </c>
      <c r="I4542" t="s">
        <v>17355</v>
      </c>
      <c r="J4542" t="s">
        <v>18892</v>
      </c>
      <c r="K4542">
        <v>10462</v>
      </c>
      <c r="L4542" t="s">
        <v>18958</v>
      </c>
      <c r="M4542" t="s">
        <v>18958</v>
      </c>
      <c r="N4542" t="s">
        <v>22357</v>
      </c>
      <c r="O4542" t="s">
        <v>26524</v>
      </c>
      <c r="P4542" t="s">
        <v>26560</v>
      </c>
      <c r="R4542" t="s">
        <v>26579</v>
      </c>
      <c r="U4542" t="s">
        <v>26604</v>
      </c>
      <c r="V4542" t="s">
        <v>26610</v>
      </c>
      <c r="W4542" t="s">
        <v>716</v>
      </c>
      <c r="X4542">
        <v>1100</v>
      </c>
      <c r="Y4542" t="s">
        <v>26650</v>
      </c>
      <c r="Z4542" t="s">
        <v>26664</v>
      </c>
      <c r="AB4542" t="s">
        <v>30422</v>
      </c>
      <c r="AD4542" t="s">
        <v>40598</v>
      </c>
      <c r="AE4542">
        <v>0</v>
      </c>
      <c r="AF4542" t="s">
        <v>45541</v>
      </c>
      <c r="AG4542" t="s">
        <v>19330</v>
      </c>
      <c r="AH4542">
        <v>10</v>
      </c>
      <c r="AI4542">
        <v>1</v>
      </c>
      <c r="AJ4542">
        <v>1</v>
      </c>
      <c r="AK4542">
        <v>212.64</v>
      </c>
      <c r="AL4542" t="s">
        <v>716</v>
      </c>
      <c r="AM4542" t="s">
        <v>45575</v>
      </c>
      <c r="AO4542">
        <v>35000</v>
      </c>
      <c r="AU4542">
        <v>5.25</v>
      </c>
      <c r="AV4542" t="s">
        <v>690</v>
      </c>
      <c r="AW4542" t="s">
        <v>334</v>
      </c>
    </row>
    <row r="4543" spans="1:50">
      <c r="A4543" s="1">
        <f>HYPERLINK("https://lsnyc.legalserver.org/matter/dynamic-profile/view/1887178","19-1887178")</f>
        <v>0</v>
      </c>
      <c r="B4543" t="s">
        <v>169</v>
      </c>
      <c r="C4543" t="s">
        <v>341</v>
      </c>
      <c r="D4543" t="s">
        <v>716</v>
      </c>
      <c r="E4543" t="s">
        <v>755</v>
      </c>
      <c r="F4543" t="s">
        <v>1029</v>
      </c>
      <c r="G4543" t="s">
        <v>5089</v>
      </c>
      <c r="H4543" t="s">
        <v>13089</v>
      </c>
      <c r="I4543" t="s">
        <v>17277</v>
      </c>
      <c r="J4543" t="s">
        <v>18892</v>
      </c>
      <c r="K4543">
        <v>10453</v>
      </c>
      <c r="L4543" t="s">
        <v>18958</v>
      </c>
      <c r="M4543" t="s">
        <v>18958</v>
      </c>
      <c r="N4543" t="s">
        <v>21198</v>
      </c>
      <c r="O4543" t="s">
        <v>26523</v>
      </c>
      <c r="P4543" t="s">
        <v>26560</v>
      </c>
      <c r="Q4543" t="s">
        <v>26568</v>
      </c>
      <c r="R4543" t="s">
        <v>26578</v>
      </c>
      <c r="S4543" t="s">
        <v>18959</v>
      </c>
      <c r="U4543" t="s">
        <v>26604</v>
      </c>
      <c r="V4543" t="s">
        <v>26610</v>
      </c>
      <c r="W4543" t="s">
        <v>716</v>
      </c>
      <c r="X4543">
        <v>851</v>
      </c>
      <c r="Y4543" t="s">
        <v>26650</v>
      </c>
      <c r="Z4543" t="s">
        <v>26659</v>
      </c>
      <c r="AA4543" t="s">
        <v>26678</v>
      </c>
      <c r="AB4543" t="s">
        <v>30234</v>
      </c>
      <c r="AC4543" t="s">
        <v>35789</v>
      </c>
      <c r="AD4543" t="s">
        <v>40599</v>
      </c>
      <c r="AE4543">
        <v>16</v>
      </c>
      <c r="AF4543" t="s">
        <v>45541</v>
      </c>
      <c r="AG4543" t="s">
        <v>45558</v>
      </c>
      <c r="AH4543">
        <v>28</v>
      </c>
      <c r="AI4543">
        <v>3</v>
      </c>
      <c r="AJ4543">
        <v>1</v>
      </c>
      <c r="AK4543">
        <v>44.53</v>
      </c>
      <c r="AN4543" t="s">
        <v>7439</v>
      </c>
      <c r="AO4543">
        <v>11176</v>
      </c>
      <c r="AQ4543" t="s">
        <v>46362</v>
      </c>
      <c r="AR4543" t="s">
        <v>46385</v>
      </c>
      <c r="AS4543" t="s">
        <v>46499</v>
      </c>
      <c r="AT4543" t="s">
        <v>46506</v>
      </c>
      <c r="AU4543">
        <v>3.2</v>
      </c>
      <c r="AV4543" t="s">
        <v>735</v>
      </c>
      <c r="AW4543" t="s">
        <v>46847</v>
      </c>
    </row>
    <row r="4544" spans="1:50">
      <c r="A4544" s="1">
        <f>HYPERLINK("https://lsnyc.legalserver.org/matter/dynamic-profile/view/1887173","19-1887173")</f>
        <v>0</v>
      </c>
      <c r="B4544" t="s">
        <v>130</v>
      </c>
      <c r="C4544" t="s">
        <v>341</v>
      </c>
      <c r="D4544" t="s">
        <v>716</v>
      </c>
      <c r="E4544" t="s">
        <v>716</v>
      </c>
      <c r="F4544" t="s">
        <v>3077</v>
      </c>
      <c r="G4544" t="s">
        <v>7334</v>
      </c>
      <c r="H4544" t="s">
        <v>9794</v>
      </c>
      <c r="I4544" t="s">
        <v>18122</v>
      </c>
      <c r="J4544" t="s">
        <v>7026</v>
      </c>
      <c r="K4544">
        <v>11368</v>
      </c>
      <c r="L4544" t="s">
        <v>18958</v>
      </c>
      <c r="M4544" t="s">
        <v>18958</v>
      </c>
      <c r="N4544" t="s">
        <v>22358</v>
      </c>
      <c r="O4544" t="s">
        <v>26526</v>
      </c>
      <c r="P4544" t="s">
        <v>26564</v>
      </c>
      <c r="Q4544" t="s">
        <v>26570</v>
      </c>
      <c r="R4544" t="s">
        <v>26584</v>
      </c>
      <c r="S4544" t="s">
        <v>18959</v>
      </c>
      <c r="U4544" t="s">
        <v>26604</v>
      </c>
      <c r="V4544" t="s">
        <v>26610</v>
      </c>
      <c r="W4544" t="s">
        <v>716</v>
      </c>
      <c r="X4544">
        <v>2464</v>
      </c>
      <c r="Y4544" t="s">
        <v>26653</v>
      </c>
      <c r="Z4544" t="s">
        <v>26664</v>
      </c>
      <c r="AA4544" t="s">
        <v>26683</v>
      </c>
      <c r="AB4544" t="s">
        <v>30432</v>
      </c>
      <c r="AD4544" t="s">
        <v>40600</v>
      </c>
      <c r="AE4544">
        <v>288</v>
      </c>
      <c r="AF4544" t="s">
        <v>20460</v>
      </c>
      <c r="AG4544" t="s">
        <v>45556</v>
      </c>
      <c r="AH4544">
        <v>2</v>
      </c>
      <c r="AI4544">
        <v>1</v>
      </c>
      <c r="AJ4544">
        <v>0</v>
      </c>
      <c r="AK4544">
        <v>83.03</v>
      </c>
      <c r="AN4544" t="s">
        <v>26530</v>
      </c>
      <c r="AO4544">
        <v>10080</v>
      </c>
      <c r="AU4544">
        <v>1.45</v>
      </c>
      <c r="AV4544" t="s">
        <v>716</v>
      </c>
      <c r="AW4544" t="s">
        <v>208</v>
      </c>
    </row>
    <row r="4545" spans="1:49">
      <c r="A4545" s="1">
        <f>HYPERLINK("https://lsnyc.legalserver.org/matter/dynamic-profile/view/1887163","19-1887163")</f>
        <v>0</v>
      </c>
      <c r="B4545" t="s">
        <v>137</v>
      </c>
      <c r="C4545" t="s">
        <v>341</v>
      </c>
      <c r="D4545" t="s">
        <v>716</v>
      </c>
      <c r="E4545" t="s">
        <v>770</v>
      </c>
      <c r="F4545" t="s">
        <v>3078</v>
      </c>
      <c r="G4545" t="s">
        <v>7335</v>
      </c>
      <c r="H4545" t="s">
        <v>10769</v>
      </c>
      <c r="I4545" t="s">
        <v>17348</v>
      </c>
      <c r="J4545" t="s">
        <v>18892</v>
      </c>
      <c r="K4545">
        <v>10457</v>
      </c>
      <c r="L4545" t="s">
        <v>18958</v>
      </c>
      <c r="M4545" t="s">
        <v>18958</v>
      </c>
      <c r="N4545" t="s">
        <v>22359</v>
      </c>
      <c r="O4545" t="s">
        <v>26523</v>
      </c>
      <c r="P4545" t="s">
        <v>26560</v>
      </c>
      <c r="Q4545" t="s">
        <v>26568</v>
      </c>
      <c r="R4545" t="s">
        <v>26579</v>
      </c>
      <c r="S4545" t="s">
        <v>18959</v>
      </c>
      <c r="U4545" t="s">
        <v>26604</v>
      </c>
      <c r="V4545" t="s">
        <v>26609</v>
      </c>
      <c r="W4545" t="s">
        <v>716</v>
      </c>
      <c r="X4545">
        <v>1278</v>
      </c>
      <c r="Y4545" t="s">
        <v>26650</v>
      </c>
      <c r="Z4545" t="s">
        <v>26668</v>
      </c>
      <c r="AA4545" t="s">
        <v>26678</v>
      </c>
      <c r="AB4545" t="s">
        <v>30433</v>
      </c>
      <c r="AD4545" t="s">
        <v>40601</v>
      </c>
      <c r="AE4545">
        <v>20</v>
      </c>
      <c r="AF4545" t="s">
        <v>45541</v>
      </c>
      <c r="AG4545" t="s">
        <v>19330</v>
      </c>
      <c r="AH4545">
        <v>4</v>
      </c>
      <c r="AI4545">
        <v>1</v>
      </c>
      <c r="AJ4545">
        <v>3</v>
      </c>
      <c r="AK4545">
        <v>175.3</v>
      </c>
      <c r="AN4545" t="s">
        <v>7439</v>
      </c>
      <c r="AO4545">
        <v>44000</v>
      </c>
      <c r="AR4545" t="s">
        <v>46380</v>
      </c>
      <c r="AS4545" t="s">
        <v>46499</v>
      </c>
      <c r="AT4545" t="s">
        <v>46787</v>
      </c>
      <c r="AU4545">
        <v>11</v>
      </c>
      <c r="AV4545" t="s">
        <v>794</v>
      </c>
      <c r="AW4545" t="s">
        <v>46847</v>
      </c>
    </row>
    <row r="4546" spans="1:49">
      <c r="A4546" s="1">
        <f>HYPERLINK("https://lsnyc.legalserver.org/matter/dynamic-profile/view/1887229","19-1887229")</f>
        <v>0</v>
      </c>
      <c r="B4546" t="s">
        <v>138</v>
      </c>
      <c r="C4546" t="s">
        <v>341</v>
      </c>
      <c r="D4546" t="s">
        <v>716</v>
      </c>
      <c r="E4546" t="s">
        <v>751</v>
      </c>
      <c r="F4546" t="s">
        <v>3079</v>
      </c>
      <c r="G4546" t="s">
        <v>7336</v>
      </c>
      <c r="H4546" t="s">
        <v>13090</v>
      </c>
      <c r="I4546">
        <v>6</v>
      </c>
      <c r="J4546" t="s">
        <v>18893</v>
      </c>
      <c r="K4546">
        <v>10009</v>
      </c>
      <c r="L4546" t="s">
        <v>18958</v>
      </c>
      <c r="M4546" t="s">
        <v>18958</v>
      </c>
      <c r="N4546" t="s">
        <v>22360</v>
      </c>
      <c r="O4546" t="s">
        <v>26523</v>
      </c>
      <c r="P4546" t="s">
        <v>26560</v>
      </c>
      <c r="Q4546" t="s">
        <v>26574</v>
      </c>
      <c r="R4546" t="s">
        <v>26589</v>
      </c>
      <c r="S4546" t="s">
        <v>18959</v>
      </c>
      <c r="U4546" t="s">
        <v>26604</v>
      </c>
      <c r="V4546" t="s">
        <v>26614</v>
      </c>
      <c r="W4546" t="s">
        <v>716</v>
      </c>
      <c r="X4546">
        <v>687</v>
      </c>
      <c r="Y4546" t="s">
        <v>26651</v>
      </c>
      <c r="Z4546" t="s">
        <v>26671</v>
      </c>
      <c r="AA4546" t="s">
        <v>26686</v>
      </c>
      <c r="AB4546" t="s">
        <v>30434</v>
      </c>
      <c r="AD4546" t="s">
        <v>40602</v>
      </c>
      <c r="AE4546">
        <v>16</v>
      </c>
      <c r="AF4546" t="s">
        <v>45553</v>
      </c>
      <c r="AG4546" t="s">
        <v>19330</v>
      </c>
      <c r="AH4546">
        <v>25</v>
      </c>
      <c r="AI4546">
        <v>5</v>
      </c>
      <c r="AJ4546">
        <v>1</v>
      </c>
      <c r="AK4546">
        <v>213.4</v>
      </c>
      <c r="AL4546" t="s">
        <v>45567</v>
      </c>
      <c r="AM4546" t="s">
        <v>45577</v>
      </c>
      <c r="AN4546" t="s">
        <v>7439</v>
      </c>
      <c r="AO4546">
        <v>72000</v>
      </c>
      <c r="AQ4546" t="s">
        <v>46367</v>
      </c>
      <c r="AR4546" t="s">
        <v>46379</v>
      </c>
      <c r="AS4546" t="s">
        <v>46499</v>
      </c>
      <c r="AT4546" t="s">
        <v>46557</v>
      </c>
      <c r="AU4546">
        <v>31.4</v>
      </c>
      <c r="AV4546" t="s">
        <v>727</v>
      </c>
      <c r="AW4546" t="s">
        <v>46835</v>
      </c>
    </row>
    <row r="4547" spans="1:49">
      <c r="A4547" s="1">
        <f>HYPERLINK("https://lsnyc.legalserver.org/matter/dynamic-profile/view/1885973","18-1885973")</f>
        <v>0</v>
      </c>
      <c r="B4547" t="s">
        <v>153</v>
      </c>
      <c r="C4547" t="s">
        <v>341</v>
      </c>
      <c r="D4547" t="s">
        <v>716</v>
      </c>
      <c r="E4547" t="s">
        <v>806</v>
      </c>
      <c r="F4547" t="s">
        <v>990</v>
      </c>
      <c r="G4547" t="s">
        <v>1725</v>
      </c>
      <c r="H4547" t="s">
        <v>13091</v>
      </c>
      <c r="I4547">
        <v>2</v>
      </c>
      <c r="J4547" t="s">
        <v>18902</v>
      </c>
      <c r="K4547">
        <v>10301</v>
      </c>
      <c r="L4547" t="s">
        <v>18958</v>
      </c>
      <c r="M4547" t="s">
        <v>18958</v>
      </c>
      <c r="N4547" t="s">
        <v>22361</v>
      </c>
      <c r="O4547" t="s">
        <v>26524</v>
      </c>
      <c r="P4547" t="s">
        <v>26562</v>
      </c>
      <c r="Q4547" t="s">
        <v>26569</v>
      </c>
      <c r="R4547" t="s">
        <v>26578</v>
      </c>
      <c r="U4547" t="s">
        <v>26604</v>
      </c>
      <c r="V4547" t="s">
        <v>26612</v>
      </c>
      <c r="W4547" t="s">
        <v>716</v>
      </c>
      <c r="X4547">
        <v>1400</v>
      </c>
      <c r="Y4547" t="s">
        <v>26654</v>
      </c>
      <c r="AA4547" t="s">
        <v>26680</v>
      </c>
      <c r="AB4547" t="s">
        <v>30435</v>
      </c>
      <c r="AD4547" t="s">
        <v>40603</v>
      </c>
      <c r="AE4547">
        <v>0</v>
      </c>
      <c r="AG4547" t="s">
        <v>45556</v>
      </c>
      <c r="AH4547">
        <v>1</v>
      </c>
      <c r="AI4547">
        <v>1</v>
      </c>
      <c r="AJ4547">
        <v>1</v>
      </c>
      <c r="AK4547">
        <v>109.36</v>
      </c>
      <c r="AN4547" t="s">
        <v>7439</v>
      </c>
      <c r="AO4547">
        <v>18000</v>
      </c>
      <c r="AU4547">
        <v>7.2</v>
      </c>
      <c r="AV4547" t="s">
        <v>771</v>
      </c>
      <c r="AW4547" t="s">
        <v>46855</v>
      </c>
    </row>
    <row r="4548" spans="1:49">
      <c r="A4548" s="1">
        <f>HYPERLINK("https://lsnyc.legalserver.org/matter/dynamic-profile/view/1887256","19-1887256")</f>
        <v>0</v>
      </c>
      <c r="B4548" t="s">
        <v>120</v>
      </c>
      <c r="C4548" t="s">
        <v>341</v>
      </c>
      <c r="D4548" t="s">
        <v>716</v>
      </c>
      <c r="E4548" t="s">
        <v>780</v>
      </c>
      <c r="F4548" t="s">
        <v>3080</v>
      </c>
      <c r="G4548" t="s">
        <v>7015</v>
      </c>
      <c r="H4548" t="s">
        <v>13092</v>
      </c>
      <c r="I4548" t="s">
        <v>17358</v>
      </c>
      <c r="J4548" t="s">
        <v>18892</v>
      </c>
      <c r="K4548">
        <v>10458</v>
      </c>
      <c r="L4548" t="s">
        <v>18958</v>
      </c>
      <c r="M4548" t="s">
        <v>18958</v>
      </c>
      <c r="N4548" t="s">
        <v>22362</v>
      </c>
      <c r="O4548" t="s">
        <v>26523</v>
      </c>
      <c r="P4548" t="s">
        <v>26560</v>
      </c>
      <c r="Q4548" t="s">
        <v>26568</v>
      </c>
      <c r="R4548" t="s">
        <v>26577</v>
      </c>
      <c r="S4548" t="s">
        <v>18959</v>
      </c>
      <c r="U4548" t="s">
        <v>26604</v>
      </c>
      <c r="V4548" t="s">
        <v>26612</v>
      </c>
      <c r="W4548" t="s">
        <v>716</v>
      </c>
      <c r="X4548">
        <v>1673</v>
      </c>
      <c r="Y4548" t="s">
        <v>26650</v>
      </c>
      <c r="Z4548" t="s">
        <v>26668</v>
      </c>
      <c r="AA4548" t="s">
        <v>26678</v>
      </c>
      <c r="AB4548" t="s">
        <v>30436</v>
      </c>
      <c r="AD4548" t="s">
        <v>40604</v>
      </c>
      <c r="AE4548">
        <v>30</v>
      </c>
      <c r="AF4548" t="s">
        <v>45541</v>
      </c>
      <c r="AG4548" t="s">
        <v>19330</v>
      </c>
      <c r="AH4548">
        <v>5</v>
      </c>
      <c r="AI4548">
        <v>2</v>
      </c>
      <c r="AJ4548">
        <v>0</v>
      </c>
      <c r="AK4548">
        <v>101.09</v>
      </c>
      <c r="AN4548" t="s">
        <v>7439</v>
      </c>
      <c r="AO4548">
        <v>16640</v>
      </c>
      <c r="AQ4548" t="s">
        <v>46365</v>
      </c>
      <c r="AR4548" t="s">
        <v>46381</v>
      </c>
      <c r="AS4548" t="s">
        <v>46499</v>
      </c>
      <c r="AT4548" t="s">
        <v>46666</v>
      </c>
      <c r="AU4548">
        <v>15.2</v>
      </c>
      <c r="AV4548" t="s">
        <v>757</v>
      </c>
      <c r="AW4548" t="s">
        <v>46836</v>
      </c>
    </row>
    <row r="4549" spans="1:49">
      <c r="A4549" s="1">
        <f>HYPERLINK("https://lsnyc.legalserver.org/matter/dynamic-profile/view/1887217","19-1887217")</f>
        <v>0</v>
      </c>
      <c r="B4549" t="s">
        <v>99</v>
      </c>
      <c r="C4549" t="s">
        <v>340</v>
      </c>
      <c r="D4549" t="s">
        <v>716</v>
      </c>
      <c r="F4549" t="s">
        <v>1548</v>
      </c>
      <c r="G4549" t="s">
        <v>6684</v>
      </c>
      <c r="H4549" t="s">
        <v>13093</v>
      </c>
      <c r="I4549" t="s">
        <v>17334</v>
      </c>
      <c r="J4549" t="s">
        <v>18894</v>
      </c>
      <c r="K4549">
        <v>11216</v>
      </c>
      <c r="L4549" t="s">
        <v>18958</v>
      </c>
      <c r="M4549" t="s">
        <v>18958</v>
      </c>
      <c r="N4549" t="s">
        <v>22363</v>
      </c>
      <c r="O4549" t="s">
        <v>26524</v>
      </c>
      <c r="P4549" t="s">
        <v>26560</v>
      </c>
      <c r="R4549" t="s">
        <v>26588</v>
      </c>
      <c r="S4549" t="s">
        <v>18959</v>
      </c>
      <c r="U4549" t="s">
        <v>26604</v>
      </c>
      <c r="V4549" t="s">
        <v>26610</v>
      </c>
      <c r="W4549" t="s">
        <v>716</v>
      </c>
      <c r="X4549">
        <v>400</v>
      </c>
      <c r="Y4549" t="s">
        <v>26652</v>
      </c>
      <c r="Z4549" t="s">
        <v>26669</v>
      </c>
      <c r="AA4549" t="s">
        <v>26683</v>
      </c>
      <c r="AB4549" t="s">
        <v>30437</v>
      </c>
      <c r="AC4549" t="s">
        <v>35790</v>
      </c>
      <c r="AD4549" t="s">
        <v>40605</v>
      </c>
      <c r="AE4549">
        <v>2</v>
      </c>
      <c r="AF4549" t="s">
        <v>45547</v>
      </c>
      <c r="AG4549" t="s">
        <v>19330</v>
      </c>
      <c r="AH4549">
        <v>1</v>
      </c>
      <c r="AI4549">
        <v>1</v>
      </c>
      <c r="AJ4549">
        <v>2</v>
      </c>
      <c r="AK4549">
        <v>0</v>
      </c>
      <c r="AN4549" t="s">
        <v>7439</v>
      </c>
      <c r="AO4549">
        <v>0</v>
      </c>
      <c r="AU4549">
        <v>7.8</v>
      </c>
      <c r="AV4549" t="s">
        <v>807</v>
      </c>
      <c r="AW4549" t="s">
        <v>219</v>
      </c>
    </row>
    <row r="4550" spans="1:49">
      <c r="A4550" s="1">
        <f>HYPERLINK("https://lsnyc.legalserver.org/matter/dynamic-profile/view/1887171","19-1887171")</f>
        <v>0</v>
      </c>
      <c r="B4550" t="s">
        <v>99</v>
      </c>
      <c r="C4550" t="s">
        <v>340</v>
      </c>
      <c r="D4550" t="s">
        <v>716</v>
      </c>
      <c r="F4550" t="s">
        <v>3081</v>
      </c>
      <c r="G4550" t="s">
        <v>7337</v>
      </c>
      <c r="H4550" t="s">
        <v>13094</v>
      </c>
      <c r="I4550" t="s">
        <v>17272</v>
      </c>
      <c r="J4550" t="s">
        <v>18894</v>
      </c>
      <c r="K4550">
        <v>11216</v>
      </c>
      <c r="L4550" t="s">
        <v>18958</v>
      </c>
      <c r="M4550" t="s">
        <v>18958</v>
      </c>
      <c r="N4550" t="s">
        <v>22364</v>
      </c>
      <c r="O4550" t="s">
        <v>26523</v>
      </c>
      <c r="P4550" t="s">
        <v>26560</v>
      </c>
      <c r="R4550" t="s">
        <v>26588</v>
      </c>
      <c r="S4550" t="s">
        <v>18959</v>
      </c>
      <c r="U4550" t="s">
        <v>26605</v>
      </c>
      <c r="V4550" t="s">
        <v>26610</v>
      </c>
      <c r="W4550" t="s">
        <v>716</v>
      </c>
      <c r="X4550">
        <v>277</v>
      </c>
      <c r="Y4550" t="s">
        <v>26652</v>
      </c>
      <c r="Z4550" t="s">
        <v>26664</v>
      </c>
      <c r="AB4550" t="s">
        <v>30438</v>
      </c>
      <c r="AC4550" t="s">
        <v>19330</v>
      </c>
      <c r="AE4550">
        <v>30</v>
      </c>
      <c r="AF4550" t="s">
        <v>45549</v>
      </c>
      <c r="AG4550" t="s">
        <v>19330</v>
      </c>
      <c r="AH4550">
        <v>20</v>
      </c>
      <c r="AI4550">
        <v>1</v>
      </c>
      <c r="AJ4550">
        <v>1</v>
      </c>
      <c r="AK4550">
        <v>115.43</v>
      </c>
      <c r="AN4550" t="s">
        <v>7439</v>
      </c>
      <c r="AO4550">
        <v>19000</v>
      </c>
      <c r="AU4550">
        <v>14.9</v>
      </c>
      <c r="AV4550" t="s">
        <v>830</v>
      </c>
      <c r="AW4550" t="s">
        <v>46862</v>
      </c>
    </row>
    <row r="4551" spans="1:49">
      <c r="A4551" s="1">
        <f>HYPERLINK("https://lsnyc.legalserver.org/matter/dynamic-profile/view/1887235","19-1887235")</f>
        <v>0</v>
      </c>
      <c r="B4551" t="s">
        <v>147</v>
      </c>
      <c r="C4551" t="s">
        <v>340</v>
      </c>
      <c r="D4551" t="s">
        <v>716</v>
      </c>
      <c r="F4551" t="s">
        <v>2094</v>
      </c>
      <c r="G4551" t="s">
        <v>6830</v>
      </c>
      <c r="H4551" t="s">
        <v>12240</v>
      </c>
      <c r="I4551">
        <v>43</v>
      </c>
      <c r="J4551" t="s">
        <v>18894</v>
      </c>
      <c r="K4551">
        <v>11210</v>
      </c>
      <c r="L4551" t="s">
        <v>18959</v>
      </c>
      <c r="M4551" t="s">
        <v>18960</v>
      </c>
      <c r="P4551" t="s">
        <v>26562</v>
      </c>
      <c r="R4551" t="s">
        <v>26578</v>
      </c>
      <c r="S4551" t="s">
        <v>18959</v>
      </c>
      <c r="U4551" t="s">
        <v>26604</v>
      </c>
      <c r="W4551" t="s">
        <v>716</v>
      </c>
      <c r="X4551">
        <v>0</v>
      </c>
      <c r="Y4551" t="s">
        <v>26652</v>
      </c>
      <c r="AB4551" t="s">
        <v>29522</v>
      </c>
      <c r="AD4551" t="s">
        <v>39589</v>
      </c>
      <c r="AE4551">
        <v>0</v>
      </c>
      <c r="AH4551">
        <v>0</v>
      </c>
      <c r="AI4551">
        <v>1</v>
      </c>
      <c r="AJ4551">
        <v>0</v>
      </c>
      <c r="AK4551">
        <v>94.3</v>
      </c>
      <c r="AN4551" t="s">
        <v>7439</v>
      </c>
      <c r="AO4551">
        <v>11448</v>
      </c>
      <c r="AU4551">
        <v>13.9</v>
      </c>
      <c r="AV4551" t="s">
        <v>839</v>
      </c>
      <c r="AW4551" t="s">
        <v>219</v>
      </c>
    </row>
    <row r="4552" spans="1:49">
      <c r="A4552" s="1">
        <f>HYPERLINK("https://lsnyc.legalserver.org/matter/dynamic-profile/view/1887237","19-1887237")</f>
        <v>0</v>
      </c>
      <c r="B4552" t="s">
        <v>68</v>
      </c>
      <c r="C4552" t="s">
        <v>340</v>
      </c>
      <c r="D4552" t="s">
        <v>716</v>
      </c>
      <c r="F4552" t="s">
        <v>3082</v>
      </c>
      <c r="G4552" t="s">
        <v>6282</v>
      </c>
      <c r="H4552" t="s">
        <v>13095</v>
      </c>
      <c r="I4552" t="s">
        <v>17276</v>
      </c>
      <c r="J4552" t="s">
        <v>18892</v>
      </c>
      <c r="K4552">
        <v>10459</v>
      </c>
      <c r="L4552" t="s">
        <v>18958</v>
      </c>
      <c r="M4552" t="s">
        <v>18958</v>
      </c>
      <c r="N4552" t="s">
        <v>22365</v>
      </c>
      <c r="O4552" t="s">
        <v>26524</v>
      </c>
      <c r="P4552" t="s">
        <v>26560</v>
      </c>
      <c r="R4552" t="s">
        <v>26577</v>
      </c>
      <c r="S4552" t="s">
        <v>18959</v>
      </c>
      <c r="U4552" t="s">
        <v>26604</v>
      </c>
      <c r="V4552" t="s">
        <v>26610</v>
      </c>
      <c r="W4552" t="s">
        <v>716</v>
      </c>
      <c r="X4552">
        <v>176</v>
      </c>
      <c r="Y4552" t="s">
        <v>26650</v>
      </c>
      <c r="Z4552" t="s">
        <v>26668</v>
      </c>
      <c r="AB4552" t="s">
        <v>30439</v>
      </c>
      <c r="AD4552" t="s">
        <v>40606</v>
      </c>
      <c r="AE4552">
        <v>126</v>
      </c>
      <c r="AF4552" t="s">
        <v>45554</v>
      </c>
      <c r="AG4552" t="s">
        <v>45556</v>
      </c>
      <c r="AH4552">
        <v>8</v>
      </c>
      <c r="AI4552">
        <v>1</v>
      </c>
      <c r="AJ4552">
        <v>0</v>
      </c>
      <c r="AK4552">
        <v>18.09</v>
      </c>
      <c r="AN4552" t="s">
        <v>45593</v>
      </c>
      <c r="AO4552">
        <v>2196</v>
      </c>
      <c r="AU4552">
        <v>29.8</v>
      </c>
      <c r="AV4552" t="s">
        <v>773</v>
      </c>
      <c r="AW4552" t="s">
        <v>46871</v>
      </c>
    </row>
    <row r="4553" spans="1:49">
      <c r="A4553" s="1">
        <f>HYPERLINK("https://lsnyc.legalserver.org/matter/dynamic-profile/view/1887246","19-1887246")</f>
        <v>0</v>
      </c>
      <c r="B4553" t="s">
        <v>188</v>
      </c>
      <c r="C4553" t="s">
        <v>340</v>
      </c>
      <c r="D4553" t="s">
        <v>716</v>
      </c>
      <c r="F4553" t="s">
        <v>3083</v>
      </c>
      <c r="G4553" t="s">
        <v>5008</v>
      </c>
      <c r="H4553" t="s">
        <v>13096</v>
      </c>
      <c r="I4553" t="s">
        <v>17347</v>
      </c>
      <c r="J4553" t="s">
        <v>18892</v>
      </c>
      <c r="K4553">
        <v>10457</v>
      </c>
      <c r="L4553" t="s">
        <v>18958</v>
      </c>
      <c r="M4553" t="s">
        <v>18958</v>
      </c>
      <c r="N4553" t="s">
        <v>22366</v>
      </c>
      <c r="O4553" t="s">
        <v>26523</v>
      </c>
      <c r="P4553" t="s">
        <v>26560</v>
      </c>
      <c r="R4553" t="s">
        <v>26578</v>
      </c>
      <c r="S4553" t="s">
        <v>18959</v>
      </c>
      <c r="U4553" t="s">
        <v>26604</v>
      </c>
      <c r="W4553" t="s">
        <v>716</v>
      </c>
      <c r="X4553">
        <v>911.65</v>
      </c>
      <c r="Y4553" t="s">
        <v>26650</v>
      </c>
      <c r="Z4553" t="s">
        <v>26668</v>
      </c>
      <c r="AB4553" t="s">
        <v>30440</v>
      </c>
      <c r="AC4553" t="s">
        <v>35791</v>
      </c>
      <c r="AD4553" t="s">
        <v>40607</v>
      </c>
      <c r="AE4553">
        <v>0</v>
      </c>
      <c r="AF4553" t="s">
        <v>45541</v>
      </c>
      <c r="AG4553" t="s">
        <v>19330</v>
      </c>
      <c r="AH4553">
        <v>25</v>
      </c>
      <c r="AI4553">
        <v>1</v>
      </c>
      <c r="AJ4553">
        <v>1</v>
      </c>
      <c r="AK4553">
        <v>126.97</v>
      </c>
      <c r="AN4553" t="s">
        <v>7439</v>
      </c>
      <c r="AO4553">
        <v>20900</v>
      </c>
      <c r="AU4553">
        <v>21.2</v>
      </c>
      <c r="AV4553" t="s">
        <v>723</v>
      </c>
      <c r="AW4553" t="s">
        <v>46870</v>
      </c>
    </row>
    <row r="4554" spans="1:49">
      <c r="A4554" s="1">
        <f>HYPERLINK("https://lsnyc.legalserver.org/matter/dynamic-profile/view/1884342","18-1884342")</f>
        <v>0</v>
      </c>
      <c r="B4554" t="s">
        <v>162</v>
      </c>
      <c r="C4554" t="s">
        <v>341</v>
      </c>
      <c r="D4554" t="s">
        <v>675</v>
      </c>
      <c r="E4554" t="s">
        <v>704</v>
      </c>
      <c r="F4554" t="s">
        <v>3084</v>
      </c>
      <c r="G4554" t="s">
        <v>7338</v>
      </c>
      <c r="H4554" t="s">
        <v>13097</v>
      </c>
      <c r="I4554" t="s">
        <v>17360</v>
      </c>
      <c r="J4554" t="s">
        <v>18894</v>
      </c>
      <c r="K4554">
        <v>11209</v>
      </c>
      <c r="L4554" t="s">
        <v>18958</v>
      </c>
      <c r="M4554" t="s">
        <v>18958</v>
      </c>
      <c r="N4554" t="s">
        <v>22367</v>
      </c>
      <c r="O4554" t="s">
        <v>26523</v>
      </c>
      <c r="P4554" t="s">
        <v>26560</v>
      </c>
      <c r="Q4554" t="s">
        <v>26569</v>
      </c>
      <c r="R4554" t="s">
        <v>26586</v>
      </c>
      <c r="S4554" t="s">
        <v>18959</v>
      </c>
      <c r="U4554" t="s">
        <v>26604</v>
      </c>
      <c r="V4554" t="s">
        <v>26612</v>
      </c>
      <c r="W4554" t="s">
        <v>704</v>
      </c>
      <c r="X4554">
        <v>1417.91</v>
      </c>
      <c r="Y4554" t="s">
        <v>26652</v>
      </c>
      <c r="Z4554" t="s">
        <v>26661</v>
      </c>
      <c r="AA4554" t="s">
        <v>26681</v>
      </c>
      <c r="AB4554" t="s">
        <v>30441</v>
      </c>
      <c r="AD4554" t="s">
        <v>40608</v>
      </c>
      <c r="AE4554">
        <v>6</v>
      </c>
      <c r="AF4554" t="s">
        <v>45541</v>
      </c>
      <c r="AG4554" t="s">
        <v>19330</v>
      </c>
      <c r="AH4554">
        <v>4</v>
      </c>
      <c r="AI4554">
        <v>1</v>
      </c>
      <c r="AJ4554">
        <v>0</v>
      </c>
      <c r="AK4554">
        <v>278.42</v>
      </c>
      <c r="AL4554" t="s">
        <v>794</v>
      </c>
      <c r="AM4554" t="s">
        <v>45575</v>
      </c>
      <c r="AN4554" t="s">
        <v>7439</v>
      </c>
      <c r="AO4554">
        <v>33800</v>
      </c>
      <c r="AQ4554" t="s">
        <v>46359</v>
      </c>
      <c r="AR4554" t="s">
        <v>26530</v>
      </c>
      <c r="AS4554" t="s">
        <v>46500</v>
      </c>
      <c r="AT4554" t="s">
        <v>46614</v>
      </c>
      <c r="AU4554">
        <v>23.8</v>
      </c>
      <c r="AV4554" t="s">
        <v>718</v>
      </c>
      <c r="AW4554" t="s">
        <v>46856</v>
      </c>
    </row>
    <row r="4555" spans="1:49">
      <c r="A4555" s="1">
        <f>HYPERLINK("https://lsnyc.legalserver.org/matter/dynamic-profile/view/1886985","19-1886985")</f>
        <v>0</v>
      </c>
      <c r="B4555" t="s">
        <v>162</v>
      </c>
      <c r="C4555" t="s">
        <v>341</v>
      </c>
      <c r="D4555" t="s">
        <v>718</v>
      </c>
      <c r="E4555" t="s">
        <v>704</v>
      </c>
      <c r="F4555" t="s">
        <v>2020</v>
      </c>
      <c r="G4555" t="s">
        <v>6196</v>
      </c>
      <c r="H4555" t="s">
        <v>13098</v>
      </c>
      <c r="I4555" t="s">
        <v>18123</v>
      </c>
      <c r="J4555" t="s">
        <v>18894</v>
      </c>
      <c r="K4555">
        <v>11210</v>
      </c>
      <c r="L4555" t="s">
        <v>18958</v>
      </c>
      <c r="M4555" t="s">
        <v>18958</v>
      </c>
      <c r="N4555" t="s">
        <v>22368</v>
      </c>
      <c r="O4555" t="s">
        <v>26523</v>
      </c>
      <c r="P4555" t="s">
        <v>26564</v>
      </c>
      <c r="Q4555" t="s">
        <v>26570</v>
      </c>
      <c r="R4555" t="s">
        <v>26586</v>
      </c>
      <c r="S4555" t="s">
        <v>18959</v>
      </c>
      <c r="U4555" t="s">
        <v>26604</v>
      </c>
      <c r="V4555" t="s">
        <v>26612</v>
      </c>
      <c r="W4555" t="s">
        <v>704</v>
      </c>
      <c r="X4555">
        <v>982.17</v>
      </c>
      <c r="Y4555" t="s">
        <v>26652</v>
      </c>
      <c r="Z4555" t="s">
        <v>26530</v>
      </c>
      <c r="AA4555" t="s">
        <v>26683</v>
      </c>
      <c r="AB4555" t="s">
        <v>30442</v>
      </c>
      <c r="AD4555" t="s">
        <v>40609</v>
      </c>
      <c r="AE4555">
        <v>24</v>
      </c>
      <c r="AF4555" t="s">
        <v>45541</v>
      </c>
      <c r="AG4555" t="s">
        <v>19330</v>
      </c>
      <c r="AH4555">
        <v>22</v>
      </c>
      <c r="AI4555">
        <v>1</v>
      </c>
      <c r="AJ4555">
        <v>0</v>
      </c>
      <c r="AK4555">
        <v>518.95</v>
      </c>
      <c r="AN4555" t="s">
        <v>7439</v>
      </c>
      <c r="AO4555">
        <v>63000</v>
      </c>
      <c r="AU4555">
        <v>1</v>
      </c>
      <c r="AV4555" t="s">
        <v>718</v>
      </c>
      <c r="AW4555" t="s">
        <v>46853</v>
      </c>
    </row>
    <row r="4556" spans="1:49">
      <c r="A4556" s="1">
        <f>HYPERLINK("https://lsnyc.legalserver.org/matter/dynamic-profile/view/1887013","19-1887013")</f>
        <v>0</v>
      </c>
      <c r="B4556" t="s">
        <v>188</v>
      </c>
      <c r="C4556" t="s">
        <v>340</v>
      </c>
      <c r="D4556" t="s">
        <v>718</v>
      </c>
      <c r="F4556" t="s">
        <v>1072</v>
      </c>
      <c r="G4556" t="s">
        <v>1488</v>
      </c>
      <c r="H4556" t="s">
        <v>11980</v>
      </c>
      <c r="I4556" t="s">
        <v>17290</v>
      </c>
      <c r="J4556" t="s">
        <v>18892</v>
      </c>
      <c r="K4556">
        <v>10459</v>
      </c>
      <c r="L4556" t="s">
        <v>18958</v>
      </c>
      <c r="M4556" t="s">
        <v>18958</v>
      </c>
      <c r="O4556" t="s">
        <v>26526</v>
      </c>
      <c r="P4556" t="s">
        <v>26560</v>
      </c>
      <c r="R4556" t="s">
        <v>26578</v>
      </c>
      <c r="S4556" t="s">
        <v>18958</v>
      </c>
      <c r="U4556" t="s">
        <v>26604</v>
      </c>
      <c r="W4556" t="s">
        <v>704</v>
      </c>
      <c r="X4556">
        <v>1200</v>
      </c>
      <c r="Y4556" t="s">
        <v>26650</v>
      </c>
      <c r="Z4556" t="s">
        <v>26663</v>
      </c>
      <c r="AB4556" t="s">
        <v>30443</v>
      </c>
      <c r="AD4556" t="s">
        <v>40610</v>
      </c>
      <c r="AE4556">
        <v>48</v>
      </c>
      <c r="AF4556" t="s">
        <v>45541</v>
      </c>
      <c r="AG4556" t="s">
        <v>45556</v>
      </c>
      <c r="AH4556">
        <v>31</v>
      </c>
      <c r="AI4556">
        <v>1</v>
      </c>
      <c r="AJ4556">
        <v>0</v>
      </c>
      <c r="AK4556">
        <v>84.70999999999999</v>
      </c>
      <c r="AN4556" t="s">
        <v>7439</v>
      </c>
      <c r="AO4556">
        <v>10284</v>
      </c>
      <c r="AU4556">
        <v>67</v>
      </c>
      <c r="AV4556" t="s">
        <v>821</v>
      </c>
      <c r="AW4556" t="s">
        <v>336</v>
      </c>
    </row>
    <row r="4557" spans="1:49">
      <c r="A4557" s="1">
        <f>HYPERLINK("https://lsnyc.legalserver.org/matter/dynamic-profile/view/1887018","19-1887018")</f>
        <v>0</v>
      </c>
      <c r="B4557" t="s">
        <v>188</v>
      </c>
      <c r="C4557" t="s">
        <v>340</v>
      </c>
      <c r="D4557" t="s">
        <v>718</v>
      </c>
      <c r="F4557" t="s">
        <v>938</v>
      </c>
      <c r="G4557" t="s">
        <v>7339</v>
      </c>
      <c r="H4557" t="s">
        <v>11980</v>
      </c>
      <c r="I4557" t="s">
        <v>17362</v>
      </c>
      <c r="J4557" t="s">
        <v>18892</v>
      </c>
      <c r="K4557">
        <v>10459</v>
      </c>
      <c r="L4557" t="s">
        <v>18958</v>
      </c>
      <c r="M4557" t="s">
        <v>18958</v>
      </c>
      <c r="O4557" t="s">
        <v>26526</v>
      </c>
      <c r="P4557" t="s">
        <v>26560</v>
      </c>
      <c r="R4557" t="s">
        <v>26578</v>
      </c>
      <c r="S4557" t="s">
        <v>18958</v>
      </c>
      <c r="U4557" t="s">
        <v>26604</v>
      </c>
      <c r="W4557" t="s">
        <v>704</v>
      </c>
      <c r="X4557">
        <v>900</v>
      </c>
      <c r="Y4557" t="s">
        <v>26650</v>
      </c>
      <c r="Z4557" t="s">
        <v>26667</v>
      </c>
      <c r="AB4557" t="s">
        <v>29938</v>
      </c>
      <c r="AD4557" t="s">
        <v>40611</v>
      </c>
      <c r="AE4557">
        <v>48</v>
      </c>
      <c r="AF4557" t="s">
        <v>45543</v>
      </c>
      <c r="AH4557">
        <v>18</v>
      </c>
      <c r="AI4557">
        <v>2</v>
      </c>
      <c r="AJ4557">
        <v>0</v>
      </c>
      <c r="AK4557">
        <v>102.07</v>
      </c>
      <c r="AN4557" t="s">
        <v>7439</v>
      </c>
      <c r="AO4557">
        <v>16800</v>
      </c>
      <c r="AU4557">
        <v>3.4</v>
      </c>
      <c r="AV4557" t="s">
        <v>660</v>
      </c>
      <c r="AW4557" t="s">
        <v>336</v>
      </c>
    </row>
    <row r="4558" spans="1:49">
      <c r="A4558" s="1">
        <f>HYPERLINK("https://lsnyc.legalserver.org/matter/dynamic-profile/view/1887015","19-1887015")</f>
        <v>0</v>
      </c>
      <c r="B4558" t="s">
        <v>188</v>
      </c>
      <c r="C4558" t="s">
        <v>340</v>
      </c>
      <c r="D4558" t="s">
        <v>718</v>
      </c>
      <c r="F4558" t="s">
        <v>3085</v>
      </c>
      <c r="G4558" t="s">
        <v>5205</v>
      </c>
      <c r="H4558" t="s">
        <v>11980</v>
      </c>
      <c r="I4558" t="s">
        <v>17355</v>
      </c>
      <c r="J4558" t="s">
        <v>18892</v>
      </c>
      <c r="K4558">
        <v>10459</v>
      </c>
      <c r="L4558" t="s">
        <v>18958</v>
      </c>
      <c r="M4558" t="s">
        <v>18958</v>
      </c>
      <c r="O4558" t="s">
        <v>26526</v>
      </c>
      <c r="P4558" t="s">
        <v>26560</v>
      </c>
      <c r="R4558" t="s">
        <v>26578</v>
      </c>
      <c r="S4558" t="s">
        <v>18958</v>
      </c>
      <c r="U4558" t="s">
        <v>26604</v>
      </c>
      <c r="W4558" t="s">
        <v>704</v>
      </c>
      <c r="X4558">
        <v>520</v>
      </c>
      <c r="Y4558" t="s">
        <v>26650</v>
      </c>
      <c r="Z4558" t="s">
        <v>26667</v>
      </c>
      <c r="AB4558" t="s">
        <v>26780</v>
      </c>
      <c r="AD4558" t="s">
        <v>40612</v>
      </c>
      <c r="AE4558">
        <v>48</v>
      </c>
      <c r="AF4558" t="s">
        <v>45543</v>
      </c>
      <c r="AH4558">
        <v>28</v>
      </c>
      <c r="AI4558">
        <v>1</v>
      </c>
      <c r="AJ4558">
        <v>1</v>
      </c>
      <c r="AK4558">
        <v>130.32</v>
      </c>
      <c r="AN4558" t="s">
        <v>7439</v>
      </c>
      <c r="AO4558">
        <v>21450</v>
      </c>
      <c r="AU4558">
        <v>6</v>
      </c>
      <c r="AV4558" t="s">
        <v>822</v>
      </c>
      <c r="AW4558" t="s">
        <v>336</v>
      </c>
    </row>
    <row r="4559" spans="1:49">
      <c r="A4559" s="1">
        <f>HYPERLINK("https://lsnyc.legalserver.org/matter/dynamic-profile/view/1887372","19-1887372")</f>
        <v>0</v>
      </c>
      <c r="B4559" t="s">
        <v>61</v>
      </c>
      <c r="C4559" t="s">
        <v>341</v>
      </c>
      <c r="D4559" t="s">
        <v>704</v>
      </c>
      <c r="E4559" t="s">
        <v>704</v>
      </c>
      <c r="F4559" t="s">
        <v>3086</v>
      </c>
      <c r="G4559" t="s">
        <v>6690</v>
      </c>
      <c r="H4559" t="s">
        <v>10374</v>
      </c>
      <c r="I4559">
        <v>25</v>
      </c>
      <c r="J4559" t="s">
        <v>18893</v>
      </c>
      <c r="K4559">
        <v>10034</v>
      </c>
      <c r="L4559" t="s">
        <v>18958</v>
      </c>
      <c r="M4559" t="s">
        <v>18958</v>
      </c>
      <c r="O4559" t="s">
        <v>26529</v>
      </c>
      <c r="P4559" t="s">
        <v>26564</v>
      </c>
      <c r="Q4559" t="s">
        <v>26570</v>
      </c>
      <c r="R4559" t="s">
        <v>26578</v>
      </c>
      <c r="S4559" t="s">
        <v>18959</v>
      </c>
      <c r="U4559" t="s">
        <v>26604</v>
      </c>
      <c r="W4559" t="s">
        <v>704</v>
      </c>
      <c r="X4559">
        <v>1008.29</v>
      </c>
      <c r="Y4559" t="s">
        <v>26651</v>
      </c>
      <c r="Z4559" t="s">
        <v>26661</v>
      </c>
      <c r="AA4559" t="s">
        <v>26683</v>
      </c>
      <c r="AB4559" t="s">
        <v>30270</v>
      </c>
      <c r="AD4559" t="s">
        <v>40613</v>
      </c>
      <c r="AE4559">
        <v>25</v>
      </c>
      <c r="AF4559" t="s">
        <v>45541</v>
      </c>
      <c r="AG4559" t="s">
        <v>19330</v>
      </c>
      <c r="AH4559">
        <v>25</v>
      </c>
      <c r="AI4559">
        <v>4</v>
      </c>
      <c r="AJ4559">
        <v>0</v>
      </c>
      <c r="AK4559">
        <v>46.49</v>
      </c>
      <c r="AN4559" t="s">
        <v>45581</v>
      </c>
      <c r="AO4559">
        <v>11668.28</v>
      </c>
      <c r="AU4559">
        <v>1.82</v>
      </c>
      <c r="AV4559" t="s">
        <v>704</v>
      </c>
      <c r="AW4559" t="s">
        <v>46840</v>
      </c>
    </row>
    <row r="4560" spans="1:49">
      <c r="A4560" s="1">
        <f>HYPERLINK("https://lsnyc.legalserver.org/matter/dynamic-profile/view/1886233","18-1886233")</f>
        <v>0</v>
      </c>
      <c r="B4560" t="s">
        <v>131</v>
      </c>
      <c r="C4560" t="s">
        <v>341</v>
      </c>
      <c r="D4560" t="s">
        <v>704</v>
      </c>
      <c r="E4560" t="s">
        <v>726</v>
      </c>
      <c r="F4560" t="s">
        <v>998</v>
      </c>
      <c r="G4560" t="s">
        <v>5475</v>
      </c>
      <c r="H4560" t="s">
        <v>10296</v>
      </c>
      <c r="I4560" t="s">
        <v>18124</v>
      </c>
      <c r="J4560" t="s">
        <v>18902</v>
      </c>
      <c r="K4560">
        <v>10304</v>
      </c>
      <c r="L4560" t="s">
        <v>18958</v>
      </c>
      <c r="M4560" t="s">
        <v>18958</v>
      </c>
      <c r="O4560" t="s">
        <v>18997</v>
      </c>
      <c r="P4560" t="s">
        <v>26564</v>
      </c>
      <c r="Q4560" t="s">
        <v>26570</v>
      </c>
      <c r="R4560" t="s">
        <v>26578</v>
      </c>
      <c r="U4560" t="s">
        <v>26604</v>
      </c>
      <c r="W4560" t="s">
        <v>704</v>
      </c>
      <c r="X4560">
        <v>860</v>
      </c>
      <c r="Y4560" t="s">
        <v>26654</v>
      </c>
      <c r="AA4560" t="s">
        <v>26683</v>
      </c>
      <c r="AB4560" t="s">
        <v>30444</v>
      </c>
      <c r="AD4560" t="s">
        <v>40614</v>
      </c>
      <c r="AE4560">
        <v>50</v>
      </c>
      <c r="AH4560">
        <v>10</v>
      </c>
      <c r="AI4560">
        <v>2</v>
      </c>
      <c r="AJ4560">
        <v>0</v>
      </c>
      <c r="AK4560">
        <v>145.81</v>
      </c>
      <c r="AN4560" t="s">
        <v>7439</v>
      </c>
      <c r="AO4560">
        <v>24000</v>
      </c>
      <c r="AU4560">
        <v>1.7</v>
      </c>
      <c r="AV4560" t="s">
        <v>726</v>
      </c>
      <c r="AW4560" t="s">
        <v>46857</v>
      </c>
    </row>
    <row r="4561" spans="1:49">
      <c r="A4561" s="1">
        <f>HYPERLINK("https://lsnyc.legalserver.org/matter/dynamic-profile/view/1887322","19-1887322")</f>
        <v>0</v>
      </c>
      <c r="B4561" t="s">
        <v>141</v>
      </c>
      <c r="C4561" t="s">
        <v>341</v>
      </c>
      <c r="D4561" t="s">
        <v>704</v>
      </c>
      <c r="E4561" t="s">
        <v>458</v>
      </c>
      <c r="F4561" t="s">
        <v>2137</v>
      </c>
      <c r="G4561" t="s">
        <v>7340</v>
      </c>
      <c r="H4561" t="s">
        <v>13099</v>
      </c>
      <c r="I4561" t="s">
        <v>18125</v>
      </c>
      <c r="J4561" t="s">
        <v>7026</v>
      </c>
      <c r="K4561">
        <v>11368</v>
      </c>
      <c r="L4561" t="s">
        <v>18958</v>
      </c>
      <c r="M4561" t="s">
        <v>18958</v>
      </c>
      <c r="N4561" t="s">
        <v>18997</v>
      </c>
      <c r="O4561" t="s">
        <v>18997</v>
      </c>
      <c r="P4561" t="s">
        <v>26564</v>
      </c>
      <c r="Q4561" t="s">
        <v>26570</v>
      </c>
      <c r="R4561" t="s">
        <v>26589</v>
      </c>
      <c r="S4561" t="s">
        <v>18959</v>
      </c>
      <c r="U4561" t="s">
        <v>26604</v>
      </c>
      <c r="V4561" t="s">
        <v>26610</v>
      </c>
      <c r="W4561" t="s">
        <v>704</v>
      </c>
      <c r="X4561">
        <v>2300</v>
      </c>
      <c r="Y4561" t="s">
        <v>26653</v>
      </c>
      <c r="Z4561" t="s">
        <v>26671</v>
      </c>
      <c r="AA4561" t="s">
        <v>26683</v>
      </c>
      <c r="AB4561" t="s">
        <v>30445</v>
      </c>
      <c r="AC4561" t="s">
        <v>19330</v>
      </c>
      <c r="AD4561" t="s">
        <v>34738</v>
      </c>
      <c r="AE4561">
        <v>4</v>
      </c>
      <c r="AF4561" t="s">
        <v>45541</v>
      </c>
      <c r="AG4561" t="s">
        <v>19330</v>
      </c>
      <c r="AH4561">
        <v>1</v>
      </c>
      <c r="AI4561">
        <v>2</v>
      </c>
      <c r="AJ4561">
        <v>3</v>
      </c>
      <c r="AK4561">
        <v>0</v>
      </c>
      <c r="AL4561" t="s">
        <v>45567</v>
      </c>
      <c r="AM4561" t="s">
        <v>45577</v>
      </c>
      <c r="AN4561" t="s">
        <v>45581</v>
      </c>
      <c r="AO4561">
        <v>0</v>
      </c>
      <c r="AU4561">
        <v>1.8</v>
      </c>
      <c r="AV4561" t="s">
        <v>414</v>
      </c>
      <c r="AW4561" t="s">
        <v>141</v>
      </c>
    </row>
    <row r="4562" spans="1:49">
      <c r="A4562" s="1">
        <f>HYPERLINK("https://lsnyc.legalserver.org/matter/dynamic-profile/view/1887362","19-1887362")</f>
        <v>0</v>
      </c>
      <c r="B4562" t="s">
        <v>93</v>
      </c>
      <c r="C4562" t="s">
        <v>341</v>
      </c>
      <c r="D4562" t="s">
        <v>704</v>
      </c>
      <c r="E4562" t="s">
        <v>802</v>
      </c>
      <c r="F4562" t="s">
        <v>3087</v>
      </c>
      <c r="G4562" t="s">
        <v>5565</v>
      </c>
      <c r="H4562" t="s">
        <v>13100</v>
      </c>
      <c r="I4562" t="s">
        <v>17328</v>
      </c>
      <c r="J4562" t="s">
        <v>18901</v>
      </c>
      <c r="K4562">
        <v>11433</v>
      </c>
      <c r="L4562" t="s">
        <v>18958</v>
      </c>
      <c r="M4562" t="s">
        <v>18958</v>
      </c>
      <c r="N4562" t="s">
        <v>22369</v>
      </c>
      <c r="O4562" t="s">
        <v>26524</v>
      </c>
      <c r="P4562" t="s">
        <v>26560</v>
      </c>
      <c r="Q4562" t="s">
        <v>26568</v>
      </c>
      <c r="R4562" t="s">
        <v>26585</v>
      </c>
      <c r="S4562" t="s">
        <v>18959</v>
      </c>
      <c r="U4562" t="s">
        <v>26604</v>
      </c>
      <c r="V4562" t="s">
        <v>26610</v>
      </c>
      <c r="W4562" t="s">
        <v>704</v>
      </c>
      <c r="X4562">
        <v>700</v>
      </c>
      <c r="Y4562" t="s">
        <v>26653</v>
      </c>
      <c r="Z4562" t="s">
        <v>26664</v>
      </c>
      <c r="AA4562" t="s">
        <v>26679</v>
      </c>
      <c r="AB4562" t="s">
        <v>28910</v>
      </c>
      <c r="AC4562" t="s">
        <v>35792</v>
      </c>
      <c r="AD4562" t="s">
        <v>40615</v>
      </c>
      <c r="AE4562">
        <v>0</v>
      </c>
      <c r="AF4562" t="s">
        <v>20460</v>
      </c>
      <c r="AG4562" t="s">
        <v>19330</v>
      </c>
      <c r="AH4562">
        <v>-1</v>
      </c>
      <c r="AI4562">
        <v>1</v>
      </c>
      <c r="AJ4562">
        <v>0</v>
      </c>
      <c r="AK4562">
        <v>19.7</v>
      </c>
      <c r="AN4562" t="s">
        <v>7439</v>
      </c>
      <c r="AO4562">
        <v>2392</v>
      </c>
      <c r="AQ4562" t="s">
        <v>46359</v>
      </c>
      <c r="AR4562" t="s">
        <v>46406</v>
      </c>
      <c r="AS4562" t="s">
        <v>46500</v>
      </c>
      <c r="AT4562" t="s">
        <v>46524</v>
      </c>
      <c r="AU4562">
        <v>22.6</v>
      </c>
      <c r="AV4562" t="s">
        <v>657</v>
      </c>
      <c r="AW4562" t="s">
        <v>208</v>
      </c>
    </row>
    <row r="4563" spans="1:49">
      <c r="A4563" s="1">
        <f>HYPERLINK("https://lsnyc.legalserver.org/matter/dynamic-profile/view/1887373","19-1887373")</f>
        <v>0</v>
      </c>
      <c r="B4563" t="s">
        <v>182</v>
      </c>
      <c r="C4563" t="s">
        <v>341</v>
      </c>
      <c r="D4563" t="s">
        <v>704</v>
      </c>
      <c r="E4563" t="s">
        <v>804</v>
      </c>
      <c r="F4563" t="s">
        <v>2698</v>
      </c>
      <c r="G4563" t="s">
        <v>5461</v>
      </c>
      <c r="H4563" t="s">
        <v>13101</v>
      </c>
      <c r="I4563">
        <v>2</v>
      </c>
      <c r="J4563" t="s">
        <v>18892</v>
      </c>
      <c r="K4563">
        <v>10457</v>
      </c>
      <c r="L4563" t="s">
        <v>18958</v>
      </c>
      <c r="M4563" t="s">
        <v>18958</v>
      </c>
      <c r="N4563" t="s">
        <v>22370</v>
      </c>
      <c r="O4563" t="s">
        <v>26524</v>
      </c>
      <c r="P4563" t="s">
        <v>26560</v>
      </c>
      <c r="Q4563" t="s">
        <v>26569</v>
      </c>
      <c r="R4563" t="s">
        <v>26579</v>
      </c>
      <c r="U4563" t="s">
        <v>26604</v>
      </c>
      <c r="V4563" t="s">
        <v>26610</v>
      </c>
      <c r="W4563" t="s">
        <v>704</v>
      </c>
      <c r="X4563">
        <v>300</v>
      </c>
      <c r="Y4563" t="s">
        <v>26650</v>
      </c>
      <c r="Z4563" t="s">
        <v>26530</v>
      </c>
      <c r="AA4563" t="s">
        <v>26678</v>
      </c>
      <c r="AB4563" t="s">
        <v>27442</v>
      </c>
      <c r="AD4563" t="s">
        <v>40616</v>
      </c>
      <c r="AE4563">
        <v>2</v>
      </c>
      <c r="AF4563" t="s">
        <v>20460</v>
      </c>
      <c r="AG4563" t="s">
        <v>19330</v>
      </c>
      <c r="AH4563">
        <v>10</v>
      </c>
      <c r="AI4563">
        <v>1</v>
      </c>
      <c r="AJ4563">
        <v>0</v>
      </c>
      <c r="AK4563">
        <v>138.39</v>
      </c>
      <c r="AN4563" t="s">
        <v>7439</v>
      </c>
      <c r="AO4563">
        <v>16800</v>
      </c>
      <c r="AQ4563" t="s">
        <v>46359</v>
      </c>
      <c r="AR4563" t="s">
        <v>46379</v>
      </c>
      <c r="AS4563" t="s">
        <v>46499</v>
      </c>
      <c r="AT4563" t="s">
        <v>46631</v>
      </c>
      <c r="AU4563">
        <v>18.15</v>
      </c>
      <c r="AV4563" t="s">
        <v>786</v>
      </c>
      <c r="AW4563" t="s">
        <v>46846</v>
      </c>
    </row>
    <row r="4564" spans="1:49">
      <c r="A4564" s="1">
        <f>HYPERLINK("https://lsnyc.legalserver.org/matter/dynamic-profile/view/1887410","19-1887410")</f>
        <v>0</v>
      </c>
      <c r="B4564" t="s">
        <v>182</v>
      </c>
      <c r="C4564" t="s">
        <v>341</v>
      </c>
      <c r="D4564" t="s">
        <v>704</v>
      </c>
      <c r="E4564" t="s">
        <v>770</v>
      </c>
      <c r="F4564" t="s">
        <v>2532</v>
      </c>
      <c r="G4564" t="s">
        <v>5481</v>
      </c>
      <c r="H4564" t="s">
        <v>13102</v>
      </c>
      <c r="I4564" t="s">
        <v>17660</v>
      </c>
      <c r="J4564" t="s">
        <v>18892</v>
      </c>
      <c r="K4564">
        <v>10467</v>
      </c>
      <c r="L4564" t="s">
        <v>18958</v>
      </c>
      <c r="M4564" t="s">
        <v>18958</v>
      </c>
      <c r="N4564" t="s">
        <v>22371</v>
      </c>
      <c r="O4564" t="s">
        <v>26523</v>
      </c>
      <c r="P4564" t="s">
        <v>26560</v>
      </c>
      <c r="Q4564" t="s">
        <v>26568</v>
      </c>
      <c r="R4564" t="s">
        <v>26579</v>
      </c>
      <c r="U4564" t="s">
        <v>26604</v>
      </c>
      <c r="V4564" t="s">
        <v>26611</v>
      </c>
      <c r="W4564" t="s">
        <v>704</v>
      </c>
      <c r="X4564">
        <v>1000.35</v>
      </c>
      <c r="Y4564" t="s">
        <v>26650</v>
      </c>
      <c r="Z4564" t="s">
        <v>26664</v>
      </c>
      <c r="AA4564" t="s">
        <v>26679</v>
      </c>
      <c r="AB4564" t="s">
        <v>30446</v>
      </c>
      <c r="AD4564" t="s">
        <v>40617</v>
      </c>
      <c r="AE4564">
        <v>0</v>
      </c>
      <c r="AF4564" t="s">
        <v>45541</v>
      </c>
      <c r="AG4564" t="s">
        <v>19330</v>
      </c>
      <c r="AH4564">
        <v>5</v>
      </c>
      <c r="AI4564">
        <v>2</v>
      </c>
      <c r="AJ4564">
        <v>1</v>
      </c>
      <c r="AK4564">
        <v>144.37</v>
      </c>
      <c r="AN4564" t="s">
        <v>7439</v>
      </c>
      <c r="AO4564">
        <v>30000</v>
      </c>
      <c r="AQ4564" t="s">
        <v>46362</v>
      </c>
      <c r="AR4564" t="s">
        <v>26530</v>
      </c>
      <c r="AS4564" t="s">
        <v>46500</v>
      </c>
      <c r="AT4564" t="s">
        <v>46616</v>
      </c>
      <c r="AU4564">
        <v>8.6</v>
      </c>
      <c r="AV4564" t="s">
        <v>770</v>
      </c>
      <c r="AW4564" t="s">
        <v>334</v>
      </c>
    </row>
    <row r="4565" spans="1:49">
      <c r="A4565" s="1">
        <f>HYPERLINK("https://lsnyc.legalserver.org/matter/dynamic-profile/view/1887403","19-1887403")</f>
        <v>0</v>
      </c>
      <c r="B4565" t="s">
        <v>50</v>
      </c>
      <c r="C4565" t="s">
        <v>341</v>
      </c>
      <c r="D4565" t="s">
        <v>704</v>
      </c>
      <c r="E4565" t="s">
        <v>805</v>
      </c>
      <c r="F4565" t="s">
        <v>1587</v>
      </c>
      <c r="G4565" t="s">
        <v>5794</v>
      </c>
      <c r="H4565" t="s">
        <v>11854</v>
      </c>
      <c r="I4565">
        <v>302</v>
      </c>
      <c r="J4565" t="s">
        <v>18892</v>
      </c>
      <c r="K4565">
        <v>10457</v>
      </c>
      <c r="L4565" t="s">
        <v>18958</v>
      </c>
      <c r="M4565" t="s">
        <v>18958</v>
      </c>
      <c r="N4565" t="s">
        <v>22372</v>
      </c>
      <c r="O4565" t="s">
        <v>26523</v>
      </c>
      <c r="P4565" t="s">
        <v>26560</v>
      </c>
      <c r="Q4565" t="s">
        <v>26568</v>
      </c>
      <c r="R4565" t="s">
        <v>26579</v>
      </c>
      <c r="S4565" t="s">
        <v>18959</v>
      </c>
      <c r="U4565" t="s">
        <v>26604</v>
      </c>
      <c r="V4565" t="s">
        <v>26610</v>
      </c>
      <c r="W4565" t="s">
        <v>704</v>
      </c>
      <c r="X4565">
        <v>1982.1</v>
      </c>
      <c r="Y4565" t="s">
        <v>26650</v>
      </c>
      <c r="Z4565" t="s">
        <v>26668</v>
      </c>
      <c r="AA4565" t="s">
        <v>26678</v>
      </c>
      <c r="AB4565" t="s">
        <v>29868</v>
      </c>
      <c r="AC4565" t="s">
        <v>35793</v>
      </c>
      <c r="AD4565" t="s">
        <v>40618</v>
      </c>
      <c r="AE4565">
        <v>76</v>
      </c>
      <c r="AF4565" t="s">
        <v>45541</v>
      </c>
      <c r="AG4565" t="s">
        <v>45556</v>
      </c>
      <c r="AH4565">
        <v>6</v>
      </c>
      <c r="AI4565">
        <v>1</v>
      </c>
      <c r="AJ4565">
        <v>2</v>
      </c>
      <c r="AK4565">
        <v>125.87</v>
      </c>
      <c r="AN4565" t="s">
        <v>7439</v>
      </c>
      <c r="AO4565">
        <v>26156</v>
      </c>
      <c r="AQ4565" t="s">
        <v>46362</v>
      </c>
      <c r="AR4565" t="s">
        <v>46380</v>
      </c>
      <c r="AS4565" t="s">
        <v>46499</v>
      </c>
      <c r="AT4565" t="s">
        <v>46708</v>
      </c>
      <c r="AU4565">
        <v>7.2</v>
      </c>
      <c r="AV4565" t="s">
        <v>771</v>
      </c>
      <c r="AW4565" t="s">
        <v>46870</v>
      </c>
    </row>
    <row r="4566" spans="1:49">
      <c r="A4566" s="1">
        <f>HYPERLINK("https://lsnyc.legalserver.org/matter/dynamic-profile/view/1887777","18-1887777")</f>
        <v>0</v>
      </c>
      <c r="B4566" t="s">
        <v>270</v>
      </c>
      <c r="C4566" t="s">
        <v>341</v>
      </c>
      <c r="D4566" t="s">
        <v>704</v>
      </c>
      <c r="E4566" t="s">
        <v>763</v>
      </c>
      <c r="F4566" t="s">
        <v>3088</v>
      </c>
      <c r="G4566" t="s">
        <v>7341</v>
      </c>
      <c r="H4566" t="s">
        <v>11122</v>
      </c>
      <c r="I4566" t="s">
        <v>18126</v>
      </c>
      <c r="J4566" t="s">
        <v>18892</v>
      </c>
      <c r="K4566">
        <v>10452</v>
      </c>
      <c r="L4566" t="s">
        <v>18958</v>
      </c>
      <c r="M4566" t="s">
        <v>18958</v>
      </c>
      <c r="N4566" t="s">
        <v>22373</v>
      </c>
      <c r="O4566" t="s">
        <v>26524</v>
      </c>
      <c r="P4566" t="s">
        <v>26560</v>
      </c>
      <c r="Q4566" t="s">
        <v>26570</v>
      </c>
      <c r="R4566" t="s">
        <v>26577</v>
      </c>
      <c r="S4566" t="s">
        <v>18959</v>
      </c>
      <c r="U4566" t="s">
        <v>26604</v>
      </c>
      <c r="V4566" t="s">
        <v>26610</v>
      </c>
      <c r="W4566" t="s">
        <v>704</v>
      </c>
      <c r="X4566">
        <v>1169.85</v>
      </c>
      <c r="Y4566" t="s">
        <v>26650</v>
      </c>
      <c r="Z4566" t="s">
        <v>26530</v>
      </c>
      <c r="AA4566" t="s">
        <v>26681</v>
      </c>
      <c r="AB4566" t="s">
        <v>30447</v>
      </c>
      <c r="AD4566" t="s">
        <v>40619</v>
      </c>
      <c r="AE4566">
        <v>38</v>
      </c>
      <c r="AF4566" t="s">
        <v>45541</v>
      </c>
      <c r="AG4566" t="s">
        <v>19330</v>
      </c>
      <c r="AH4566">
        <v>10</v>
      </c>
      <c r="AI4566">
        <v>3</v>
      </c>
      <c r="AJ4566">
        <v>3</v>
      </c>
      <c r="AK4566">
        <v>63.71</v>
      </c>
      <c r="AN4566" t="s">
        <v>7439</v>
      </c>
      <c r="AO4566">
        <v>21000</v>
      </c>
      <c r="AR4566" t="s">
        <v>46379</v>
      </c>
      <c r="AS4566" t="s">
        <v>46499</v>
      </c>
      <c r="AT4566" t="s">
        <v>46672</v>
      </c>
      <c r="AU4566">
        <v>8.5</v>
      </c>
      <c r="AV4566" t="s">
        <v>779</v>
      </c>
      <c r="AW4566" t="s">
        <v>270</v>
      </c>
    </row>
    <row r="4567" spans="1:49">
      <c r="A4567" s="1">
        <f>HYPERLINK("https://lsnyc.legalserver.org/matter/dynamic-profile/view/1887374","19-1887374")</f>
        <v>0</v>
      </c>
      <c r="B4567" t="s">
        <v>54</v>
      </c>
      <c r="C4567" t="s">
        <v>341</v>
      </c>
      <c r="D4567" t="s">
        <v>704</v>
      </c>
      <c r="E4567" t="s">
        <v>809</v>
      </c>
      <c r="F4567" t="s">
        <v>925</v>
      </c>
      <c r="G4567" t="s">
        <v>2975</v>
      </c>
      <c r="H4567" t="s">
        <v>13103</v>
      </c>
      <c r="I4567" t="s">
        <v>18127</v>
      </c>
      <c r="J4567" t="s">
        <v>18892</v>
      </c>
      <c r="K4567">
        <v>10460</v>
      </c>
      <c r="L4567" t="s">
        <v>18958</v>
      </c>
      <c r="M4567" t="s">
        <v>18958</v>
      </c>
      <c r="N4567" t="s">
        <v>22374</v>
      </c>
      <c r="O4567" t="s">
        <v>26523</v>
      </c>
      <c r="P4567" t="s">
        <v>26560</v>
      </c>
      <c r="Q4567" t="s">
        <v>26568</v>
      </c>
      <c r="R4567" t="s">
        <v>26577</v>
      </c>
      <c r="U4567" t="s">
        <v>26604</v>
      </c>
      <c r="V4567" t="s">
        <v>26614</v>
      </c>
      <c r="W4567" t="s">
        <v>704</v>
      </c>
      <c r="X4567">
        <v>1400</v>
      </c>
      <c r="Y4567" t="s">
        <v>26650</v>
      </c>
      <c r="Z4567" t="s">
        <v>26668</v>
      </c>
      <c r="AA4567" t="s">
        <v>26678</v>
      </c>
      <c r="AB4567" t="s">
        <v>30448</v>
      </c>
      <c r="AC4567" t="s">
        <v>35794</v>
      </c>
      <c r="AD4567" t="s">
        <v>40620</v>
      </c>
      <c r="AE4567">
        <v>73</v>
      </c>
      <c r="AF4567" t="s">
        <v>45541</v>
      </c>
      <c r="AG4567" t="s">
        <v>45558</v>
      </c>
      <c r="AH4567">
        <v>5</v>
      </c>
      <c r="AI4567">
        <v>1</v>
      </c>
      <c r="AJ4567">
        <v>3</v>
      </c>
      <c r="AK4567">
        <v>111.55</v>
      </c>
      <c r="AN4567" t="s">
        <v>7439</v>
      </c>
      <c r="AO4567">
        <v>28000</v>
      </c>
      <c r="AQ4567" t="s">
        <v>46359</v>
      </c>
      <c r="AR4567" t="s">
        <v>46422</v>
      </c>
      <c r="AS4567" t="s">
        <v>46499</v>
      </c>
      <c r="AT4567" t="s">
        <v>46645</v>
      </c>
      <c r="AU4567">
        <v>9.5</v>
      </c>
      <c r="AV4567" t="s">
        <v>756</v>
      </c>
      <c r="AW4567" t="s">
        <v>334</v>
      </c>
    </row>
    <row r="4568" spans="1:49">
      <c r="A4568" s="1">
        <f>HYPERLINK("https://lsnyc.legalserver.org/matter/dynamic-profile/view/1887377","19-1887377")</f>
        <v>0</v>
      </c>
      <c r="B4568" t="s">
        <v>136</v>
      </c>
      <c r="C4568" t="s">
        <v>340</v>
      </c>
      <c r="D4568" t="s">
        <v>704</v>
      </c>
      <c r="F4568" t="s">
        <v>2479</v>
      </c>
      <c r="G4568" t="s">
        <v>6697</v>
      </c>
      <c r="H4568" t="s">
        <v>12004</v>
      </c>
      <c r="I4568" t="s">
        <v>17639</v>
      </c>
      <c r="J4568" t="s">
        <v>18892</v>
      </c>
      <c r="K4568">
        <v>10467</v>
      </c>
      <c r="L4568" t="s">
        <v>18958</v>
      </c>
      <c r="M4568" t="s">
        <v>18958</v>
      </c>
      <c r="N4568" t="s">
        <v>22375</v>
      </c>
      <c r="O4568" t="s">
        <v>26524</v>
      </c>
      <c r="P4568" t="s">
        <v>26560</v>
      </c>
      <c r="R4568" t="s">
        <v>26579</v>
      </c>
      <c r="S4568" t="s">
        <v>18959</v>
      </c>
      <c r="U4568" t="s">
        <v>26604</v>
      </c>
      <c r="V4568" t="s">
        <v>26610</v>
      </c>
      <c r="W4568" t="s">
        <v>704</v>
      </c>
      <c r="X4568">
        <v>1748.54</v>
      </c>
      <c r="Y4568" t="s">
        <v>26650</v>
      </c>
      <c r="Z4568" t="s">
        <v>26659</v>
      </c>
      <c r="AB4568" t="s">
        <v>29284</v>
      </c>
      <c r="AC4568" t="s">
        <v>35795</v>
      </c>
      <c r="AD4568" t="s">
        <v>39337</v>
      </c>
      <c r="AE4568">
        <v>0</v>
      </c>
      <c r="AF4568" t="s">
        <v>45541</v>
      </c>
      <c r="AG4568" t="s">
        <v>19330</v>
      </c>
      <c r="AH4568">
        <v>2</v>
      </c>
      <c r="AI4568">
        <v>1</v>
      </c>
      <c r="AJ4568">
        <v>2</v>
      </c>
      <c r="AK4568">
        <v>22.46</v>
      </c>
      <c r="AN4568" t="s">
        <v>7439</v>
      </c>
      <c r="AO4568">
        <v>4668</v>
      </c>
      <c r="AU4568">
        <v>11</v>
      </c>
      <c r="AV4568" t="s">
        <v>809</v>
      </c>
      <c r="AW4568" t="s">
        <v>136</v>
      </c>
    </row>
    <row r="4569" spans="1:49">
      <c r="A4569" s="1">
        <f>HYPERLINK("https://lsnyc.legalserver.org/matter/dynamic-profile/view/1887304","19-1887304")</f>
        <v>0</v>
      </c>
      <c r="B4569" t="s">
        <v>61</v>
      </c>
      <c r="C4569" t="s">
        <v>340</v>
      </c>
      <c r="D4569" t="s">
        <v>704</v>
      </c>
      <c r="F4569" t="s">
        <v>3089</v>
      </c>
      <c r="G4569" t="s">
        <v>5169</v>
      </c>
      <c r="H4569" t="s">
        <v>10374</v>
      </c>
      <c r="I4569">
        <v>5</v>
      </c>
      <c r="J4569" t="s">
        <v>18893</v>
      </c>
      <c r="K4569">
        <v>10034</v>
      </c>
      <c r="L4569" t="s">
        <v>18958</v>
      </c>
      <c r="M4569" t="s">
        <v>18958</v>
      </c>
      <c r="O4569" t="s">
        <v>26531</v>
      </c>
      <c r="P4569" t="s">
        <v>26562</v>
      </c>
      <c r="R4569" t="s">
        <v>26578</v>
      </c>
      <c r="S4569" t="s">
        <v>18959</v>
      </c>
      <c r="U4569" t="s">
        <v>26604</v>
      </c>
      <c r="W4569" t="s">
        <v>704</v>
      </c>
      <c r="X4569">
        <v>694.16</v>
      </c>
      <c r="Y4569" t="s">
        <v>26651</v>
      </c>
      <c r="Z4569" t="s">
        <v>26659</v>
      </c>
      <c r="AB4569" t="s">
        <v>30449</v>
      </c>
      <c r="AD4569" t="s">
        <v>40621</v>
      </c>
      <c r="AE4569">
        <v>25</v>
      </c>
      <c r="AF4569" t="s">
        <v>45541</v>
      </c>
      <c r="AG4569" t="s">
        <v>45559</v>
      </c>
      <c r="AH4569">
        <v>46</v>
      </c>
      <c r="AI4569">
        <v>2</v>
      </c>
      <c r="AJ4569">
        <v>0</v>
      </c>
      <c r="AK4569">
        <v>109.36</v>
      </c>
      <c r="AN4569" t="s">
        <v>7439</v>
      </c>
      <c r="AO4569">
        <v>18000</v>
      </c>
      <c r="AU4569">
        <v>18.47</v>
      </c>
      <c r="AV4569" t="s">
        <v>835</v>
      </c>
      <c r="AW4569" t="s">
        <v>46840</v>
      </c>
    </row>
    <row r="4570" spans="1:49">
      <c r="A4570" s="1">
        <f>HYPERLINK("https://lsnyc.legalserver.org/matter/dynamic-profile/view/1887384","19-1887384")</f>
        <v>0</v>
      </c>
      <c r="B4570" t="s">
        <v>57</v>
      </c>
      <c r="C4570" t="s">
        <v>340</v>
      </c>
      <c r="D4570" t="s">
        <v>704</v>
      </c>
      <c r="F4570" t="s">
        <v>1111</v>
      </c>
      <c r="G4570" t="s">
        <v>6654</v>
      </c>
      <c r="H4570" t="s">
        <v>13104</v>
      </c>
      <c r="I4570">
        <v>24</v>
      </c>
      <c r="J4570" t="s">
        <v>18892</v>
      </c>
      <c r="K4570">
        <v>10457</v>
      </c>
      <c r="L4570" t="s">
        <v>18958</v>
      </c>
      <c r="M4570" t="s">
        <v>18958</v>
      </c>
      <c r="N4570" t="s">
        <v>22376</v>
      </c>
      <c r="O4570" t="s">
        <v>26523</v>
      </c>
      <c r="P4570" t="s">
        <v>26560</v>
      </c>
      <c r="R4570" t="s">
        <v>26579</v>
      </c>
      <c r="U4570" t="s">
        <v>26604</v>
      </c>
      <c r="V4570" t="s">
        <v>26610</v>
      </c>
      <c r="W4570" t="s">
        <v>704</v>
      </c>
      <c r="X4570">
        <v>0</v>
      </c>
      <c r="Y4570" t="s">
        <v>26650</v>
      </c>
      <c r="Z4570" t="s">
        <v>26664</v>
      </c>
      <c r="AB4570" t="s">
        <v>30450</v>
      </c>
      <c r="AC4570" t="s">
        <v>35796</v>
      </c>
      <c r="AD4570" t="s">
        <v>40622</v>
      </c>
      <c r="AE4570">
        <v>0</v>
      </c>
      <c r="AH4570">
        <v>0</v>
      </c>
      <c r="AI4570">
        <v>1</v>
      </c>
      <c r="AJ4570">
        <v>0</v>
      </c>
      <c r="AK4570">
        <v>164.74</v>
      </c>
      <c r="AN4570" t="s">
        <v>7439</v>
      </c>
      <c r="AO4570">
        <v>20000</v>
      </c>
      <c r="AU4570">
        <v>12.1</v>
      </c>
      <c r="AV4570" t="s">
        <v>809</v>
      </c>
      <c r="AW4570" t="s">
        <v>334</v>
      </c>
    </row>
    <row r="4571" spans="1:49">
      <c r="A4571" s="1">
        <f>HYPERLINK("https://lsnyc.legalserver.org/matter/dynamic-profile/view/1887293","19-1887293")</f>
        <v>0</v>
      </c>
      <c r="B4571" t="s">
        <v>57</v>
      </c>
      <c r="C4571" t="s">
        <v>340</v>
      </c>
      <c r="D4571" t="s">
        <v>704</v>
      </c>
      <c r="F4571" t="s">
        <v>1416</v>
      </c>
      <c r="G4571" t="s">
        <v>6940</v>
      </c>
      <c r="H4571" t="s">
        <v>13105</v>
      </c>
      <c r="I4571">
        <v>35</v>
      </c>
      <c r="J4571" t="s">
        <v>18892</v>
      </c>
      <c r="K4571">
        <v>10457</v>
      </c>
      <c r="L4571" t="s">
        <v>18958</v>
      </c>
      <c r="M4571" t="s">
        <v>18958</v>
      </c>
      <c r="N4571" t="s">
        <v>22377</v>
      </c>
      <c r="O4571" t="s">
        <v>26523</v>
      </c>
      <c r="P4571" t="s">
        <v>26560</v>
      </c>
      <c r="R4571" t="s">
        <v>26579</v>
      </c>
      <c r="U4571" t="s">
        <v>26604</v>
      </c>
      <c r="W4571" t="s">
        <v>704</v>
      </c>
      <c r="X4571">
        <v>780</v>
      </c>
      <c r="Y4571" t="s">
        <v>26650</v>
      </c>
      <c r="Z4571" t="s">
        <v>26664</v>
      </c>
      <c r="AB4571" t="s">
        <v>30451</v>
      </c>
      <c r="AD4571" t="s">
        <v>40623</v>
      </c>
      <c r="AE4571">
        <v>0</v>
      </c>
      <c r="AF4571" t="s">
        <v>45541</v>
      </c>
      <c r="AH4571">
        <v>26</v>
      </c>
      <c r="AI4571">
        <v>2</v>
      </c>
      <c r="AJ4571">
        <v>0</v>
      </c>
      <c r="AK4571">
        <v>177.4</v>
      </c>
      <c r="AN4571" t="s">
        <v>7439</v>
      </c>
      <c r="AO4571">
        <v>29200</v>
      </c>
      <c r="AP4571" t="s">
        <v>45654</v>
      </c>
      <c r="AU4571">
        <v>34.2</v>
      </c>
      <c r="AV4571" t="s">
        <v>806</v>
      </c>
      <c r="AW4571" t="s">
        <v>46836</v>
      </c>
    </row>
    <row r="4572" spans="1:49">
      <c r="A4572" s="1">
        <f>HYPERLINK("https://lsnyc.legalserver.org/matter/dynamic-profile/view/1887395","19-1887395")</f>
        <v>0</v>
      </c>
      <c r="B4572" t="s">
        <v>251</v>
      </c>
      <c r="C4572" t="s">
        <v>340</v>
      </c>
      <c r="D4572" t="s">
        <v>704</v>
      </c>
      <c r="F4572" t="s">
        <v>1005</v>
      </c>
      <c r="G4572" t="s">
        <v>3283</v>
      </c>
      <c r="H4572" t="s">
        <v>12085</v>
      </c>
      <c r="I4572" t="s">
        <v>17833</v>
      </c>
      <c r="J4572" t="s">
        <v>18892</v>
      </c>
      <c r="K4572">
        <v>10468</v>
      </c>
      <c r="L4572" t="s">
        <v>18958</v>
      </c>
      <c r="M4572" t="s">
        <v>18958</v>
      </c>
      <c r="N4572" t="s">
        <v>22378</v>
      </c>
      <c r="O4572" t="s">
        <v>26523</v>
      </c>
      <c r="P4572" t="s">
        <v>26560</v>
      </c>
      <c r="R4572" t="s">
        <v>26579</v>
      </c>
      <c r="U4572" t="s">
        <v>26604</v>
      </c>
      <c r="V4572" t="s">
        <v>26610</v>
      </c>
      <c r="W4572" t="s">
        <v>704</v>
      </c>
      <c r="X4572">
        <v>1078.24</v>
      </c>
      <c r="Y4572" t="s">
        <v>26650</v>
      </c>
      <c r="Z4572" t="s">
        <v>26664</v>
      </c>
      <c r="AB4572" t="s">
        <v>30452</v>
      </c>
      <c r="AC4572" t="s">
        <v>35797</v>
      </c>
      <c r="AD4572" t="s">
        <v>40624</v>
      </c>
      <c r="AE4572">
        <v>83</v>
      </c>
      <c r="AF4572" t="s">
        <v>45541</v>
      </c>
      <c r="AG4572" t="s">
        <v>45557</v>
      </c>
      <c r="AH4572">
        <v>18</v>
      </c>
      <c r="AI4572">
        <v>1</v>
      </c>
      <c r="AJ4572">
        <v>1</v>
      </c>
      <c r="AK4572">
        <v>15.32</v>
      </c>
      <c r="AN4572" t="s">
        <v>7439</v>
      </c>
      <c r="AO4572">
        <v>2522</v>
      </c>
      <c r="AU4572">
        <v>28.8</v>
      </c>
      <c r="AV4572" t="s">
        <v>831</v>
      </c>
      <c r="AW4572" t="s">
        <v>334</v>
      </c>
    </row>
    <row r="4573" spans="1:49">
      <c r="A4573" s="1">
        <f>HYPERLINK("https://lsnyc.legalserver.org/matter/dynamic-profile/view/1887397","19-1887397")</f>
        <v>0</v>
      </c>
      <c r="B4573" t="s">
        <v>84</v>
      </c>
      <c r="C4573" t="s">
        <v>340</v>
      </c>
      <c r="D4573" t="s">
        <v>704</v>
      </c>
      <c r="F4573" t="s">
        <v>1058</v>
      </c>
      <c r="G4573" t="s">
        <v>7342</v>
      </c>
      <c r="H4573" t="s">
        <v>11366</v>
      </c>
      <c r="I4573" t="s">
        <v>18128</v>
      </c>
      <c r="J4573" t="s">
        <v>18893</v>
      </c>
      <c r="K4573">
        <v>10026</v>
      </c>
      <c r="L4573" t="s">
        <v>18958</v>
      </c>
      <c r="M4573" t="s">
        <v>18958</v>
      </c>
      <c r="N4573" t="s">
        <v>22379</v>
      </c>
      <c r="O4573" t="s">
        <v>26523</v>
      </c>
      <c r="P4573" t="s">
        <v>26560</v>
      </c>
      <c r="R4573" t="s">
        <v>26580</v>
      </c>
      <c r="S4573" t="s">
        <v>18959</v>
      </c>
      <c r="U4573" t="s">
        <v>26605</v>
      </c>
      <c r="W4573" t="s">
        <v>704</v>
      </c>
      <c r="X4573">
        <v>653</v>
      </c>
      <c r="Y4573" t="s">
        <v>26651</v>
      </c>
      <c r="Z4573" t="s">
        <v>26668</v>
      </c>
      <c r="AB4573" t="s">
        <v>30453</v>
      </c>
      <c r="AD4573" t="s">
        <v>40625</v>
      </c>
      <c r="AE4573">
        <v>0</v>
      </c>
      <c r="AF4573" t="s">
        <v>45549</v>
      </c>
      <c r="AH4573">
        <v>30</v>
      </c>
      <c r="AI4573">
        <v>1</v>
      </c>
      <c r="AJ4573">
        <v>0</v>
      </c>
      <c r="AK4573">
        <v>172.09</v>
      </c>
      <c r="AN4573" t="s">
        <v>7439</v>
      </c>
      <c r="AO4573">
        <v>20892</v>
      </c>
      <c r="AU4573">
        <v>1.1</v>
      </c>
      <c r="AV4573" t="s">
        <v>780</v>
      </c>
      <c r="AW4573" t="s">
        <v>46875</v>
      </c>
    </row>
    <row r="4574" spans="1:49">
      <c r="A4574" s="1">
        <f>HYPERLINK("https://lsnyc.legalserver.org/matter/dynamic-profile/view/1887345","19-1887345")</f>
        <v>0</v>
      </c>
      <c r="B4574" t="s">
        <v>82</v>
      </c>
      <c r="C4574" t="s">
        <v>340</v>
      </c>
      <c r="D4574" t="s">
        <v>704</v>
      </c>
      <c r="F4574" t="s">
        <v>2564</v>
      </c>
      <c r="G4574" t="s">
        <v>5956</v>
      </c>
      <c r="H4574" t="s">
        <v>13106</v>
      </c>
      <c r="I4574" t="s">
        <v>17347</v>
      </c>
      <c r="J4574" t="s">
        <v>18892</v>
      </c>
      <c r="K4574">
        <v>10457</v>
      </c>
      <c r="L4574" t="s">
        <v>18958</v>
      </c>
      <c r="M4574" t="s">
        <v>18958</v>
      </c>
      <c r="N4574" t="s">
        <v>22380</v>
      </c>
      <c r="O4574" t="s">
        <v>26523</v>
      </c>
      <c r="P4574" t="s">
        <v>26560</v>
      </c>
      <c r="R4574" t="s">
        <v>26579</v>
      </c>
      <c r="U4574" t="s">
        <v>26604</v>
      </c>
      <c r="V4574" t="s">
        <v>26610</v>
      </c>
      <c r="W4574" t="s">
        <v>704</v>
      </c>
      <c r="X4574">
        <v>1200</v>
      </c>
      <c r="Y4574" t="s">
        <v>26650</v>
      </c>
      <c r="Z4574" t="s">
        <v>26668</v>
      </c>
      <c r="AB4574" t="s">
        <v>28406</v>
      </c>
      <c r="AD4574" t="s">
        <v>40626</v>
      </c>
      <c r="AE4574">
        <v>0</v>
      </c>
      <c r="AF4574" t="s">
        <v>45541</v>
      </c>
      <c r="AG4574" t="s">
        <v>19330</v>
      </c>
      <c r="AH4574">
        <v>0</v>
      </c>
      <c r="AI4574">
        <v>1</v>
      </c>
      <c r="AJ4574">
        <v>0</v>
      </c>
      <c r="AK4574">
        <v>60.01</v>
      </c>
      <c r="AN4574" t="s">
        <v>45581</v>
      </c>
      <c r="AO4574">
        <v>7284.84</v>
      </c>
      <c r="AU4574">
        <v>8.4</v>
      </c>
      <c r="AV4574" t="s">
        <v>768</v>
      </c>
      <c r="AW4574" t="s">
        <v>46836</v>
      </c>
    </row>
    <row r="4575" spans="1:49">
      <c r="A4575" s="1">
        <f>HYPERLINK("https://lsnyc.legalserver.org/matter/dynamic-profile/view/1887291","19-1887291")</f>
        <v>0</v>
      </c>
      <c r="B4575" t="s">
        <v>199</v>
      </c>
      <c r="C4575" t="s">
        <v>340</v>
      </c>
      <c r="D4575" t="s">
        <v>704</v>
      </c>
      <c r="F4575" t="s">
        <v>953</v>
      </c>
      <c r="G4575" t="s">
        <v>6903</v>
      </c>
      <c r="H4575" t="s">
        <v>11236</v>
      </c>
      <c r="I4575" t="s">
        <v>17725</v>
      </c>
      <c r="J4575" t="s">
        <v>18894</v>
      </c>
      <c r="K4575">
        <v>11203</v>
      </c>
      <c r="L4575" t="s">
        <v>18959</v>
      </c>
      <c r="M4575" t="s">
        <v>18959</v>
      </c>
      <c r="O4575" t="s">
        <v>26523</v>
      </c>
      <c r="P4575" t="s">
        <v>26560</v>
      </c>
      <c r="R4575" t="s">
        <v>26578</v>
      </c>
      <c r="S4575" t="s">
        <v>18959</v>
      </c>
      <c r="U4575" t="s">
        <v>26606</v>
      </c>
      <c r="V4575" t="s">
        <v>26610</v>
      </c>
      <c r="W4575" t="s">
        <v>704</v>
      </c>
      <c r="X4575">
        <v>0</v>
      </c>
      <c r="Y4575" t="s">
        <v>26652</v>
      </c>
      <c r="Z4575" t="s">
        <v>26659</v>
      </c>
      <c r="AB4575" t="s">
        <v>30454</v>
      </c>
      <c r="AD4575" t="s">
        <v>40627</v>
      </c>
      <c r="AE4575">
        <v>0</v>
      </c>
      <c r="AF4575" t="s">
        <v>45554</v>
      </c>
      <c r="AG4575" t="s">
        <v>45556</v>
      </c>
      <c r="AH4575">
        <v>0</v>
      </c>
      <c r="AI4575">
        <v>1</v>
      </c>
      <c r="AJ4575">
        <v>0</v>
      </c>
      <c r="AK4575">
        <v>77.2</v>
      </c>
      <c r="AO4575">
        <v>9372</v>
      </c>
      <c r="AU4575">
        <v>5.5</v>
      </c>
      <c r="AV4575" t="s">
        <v>770</v>
      </c>
      <c r="AW4575" t="s">
        <v>199</v>
      </c>
    </row>
    <row r="4576" spans="1:49">
      <c r="A4576" s="1">
        <f>HYPERLINK("https://lsnyc.legalserver.org/matter/dynamic-profile/view/1887294","19-1887294")</f>
        <v>0</v>
      </c>
      <c r="B4576" t="s">
        <v>188</v>
      </c>
      <c r="C4576" t="s">
        <v>340</v>
      </c>
      <c r="D4576" t="s">
        <v>704</v>
      </c>
      <c r="F4576" t="s">
        <v>3090</v>
      </c>
      <c r="G4576" t="s">
        <v>5073</v>
      </c>
      <c r="H4576" t="s">
        <v>11980</v>
      </c>
      <c r="I4576" t="s">
        <v>17406</v>
      </c>
      <c r="J4576" t="s">
        <v>18892</v>
      </c>
      <c r="K4576">
        <v>10459</v>
      </c>
      <c r="L4576" t="s">
        <v>18958</v>
      </c>
      <c r="M4576" t="s">
        <v>18958</v>
      </c>
      <c r="O4576" t="s">
        <v>26526</v>
      </c>
      <c r="P4576" t="s">
        <v>26560</v>
      </c>
      <c r="R4576" t="s">
        <v>26578</v>
      </c>
      <c r="S4576" t="s">
        <v>18958</v>
      </c>
      <c r="U4576" t="s">
        <v>26604</v>
      </c>
      <c r="W4576" t="s">
        <v>704</v>
      </c>
      <c r="X4576">
        <v>461</v>
      </c>
      <c r="Y4576" t="s">
        <v>26650</v>
      </c>
      <c r="Z4576" t="s">
        <v>26663</v>
      </c>
      <c r="AB4576" t="s">
        <v>30455</v>
      </c>
      <c r="AD4576" t="s">
        <v>40628</v>
      </c>
      <c r="AE4576">
        <v>48</v>
      </c>
      <c r="AF4576" t="s">
        <v>45543</v>
      </c>
      <c r="AH4576">
        <v>7</v>
      </c>
      <c r="AI4576">
        <v>1</v>
      </c>
      <c r="AJ4576">
        <v>6</v>
      </c>
      <c r="AK4576">
        <v>27.48</v>
      </c>
      <c r="AO4576">
        <v>10460</v>
      </c>
      <c r="AU4576">
        <v>0</v>
      </c>
      <c r="AW4576" t="s">
        <v>336</v>
      </c>
    </row>
    <row r="4577" spans="1:50">
      <c r="A4577" s="1">
        <f>HYPERLINK("https://lsnyc.legalserver.org/matter/dynamic-profile/view/1887292","19-1887292")</f>
        <v>0</v>
      </c>
      <c r="B4577" t="s">
        <v>188</v>
      </c>
      <c r="C4577" t="s">
        <v>340</v>
      </c>
      <c r="D4577" t="s">
        <v>704</v>
      </c>
      <c r="F4577" t="s">
        <v>1457</v>
      </c>
      <c r="G4577" t="s">
        <v>7343</v>
      </c>
      <c r="H4577" t="s">
        <v>11980</v>
      </c>
      <c r="I4577" t="s">
        <v>17360</v>
      </c>
      <c r="J4577" t="s">
        <v>18892</v>
      </c>
      <c r="K4577">
        <v>10459</v>
      </c>
      <c r="L4577" t="s">
        <v>18958</v>
      </c>
      <c r="M4577" t="s">
        <v>18958</v>
      </c>
      <c r="O4577" t="s">
        <v>26526</v>
      </c>
      <c r="P4577" t="s">
        <v>26560</v>
      </c>
      <c r="R4577" t="s">
        <v>26578</v>
      </c>
      <c r="S4577" t="s">
        <v>18958</v>
      </c>
      <c r="U4577" t="s">
        <v>26604</v>
      </c>
      <c r="W4577" t="s">
        <v>704</v>
      </c>
      <c r="X4577">
        <v>466</v>
      </c>
      <c r="Y4577" t="s">
        <v>26650</v>
      </c>
      <c r="Z4577" t="s">
        <v>26663</v>
      </c>
      <c r="AB4577" t="s">
        <v>30456</v>
      </c>
      <c r="AD4577" t="s">
        <v>40629</v>
      </c>
      <c r="AE4577">
        <v>48</v>
      </c>
      <c r="AF4577" t="s">
        <v>45543</v>
      </c>
      <c r="AG4577" t="s">
        <v>45556</v>
      </c>
      <c r="AH4577">
        <v>1</v>
      </c>
      <c r="AI4577">
        <v>2</v>
      </c>
      <c r="AJ4577">
        <v>0</v>
      </c>
      <c r="AK4577">
        <v>120.66</v>
      </c>
      <c r="AN4577" t="s">
        <v>7439</v>
      </c>
      <c r="AO4577">
        <v>19860</v>
      </c>
      <c r="AU4577">
        <v>12.3</v>
      </c>
      <c r="AV4577" t="s">
        <v>814</v>
      </c>
      <c r="AW4577" t="s">
        <v>336</v>
      </c>
    </row>
    <row r="4578" spans="1:50">
      <c r="A4578" s="1">
        <f>HYPERLINK("https://lsnyc.legalserver.org/matter/dynamic-profile/view/1887352","19-1887352")</f>
        <v>0</v>
      </c>
      <c r="B4578" t="s">
        <v>221</v>
      </c>
      <c r="C4578" t="s">
        <v>340</v>
      </c>
      <c r="D4578" t="s">
        <v>704</v>
      </c>
      <c r="F4578" t="s">
        <v>1616</v>
      </c>
      <c r="G4578" t="s">
        <v>7344</v>
      </c>
      <c r="H4578" t="s">
        <v>13107</v>
      </c>
      <c r="I4578" t="s">
        <v>18129</v>
      </c>
      <c r="J4578" t="s">
        <v>18923</v>
      </c>
      <c r="K4578">
        <v>11418</v>
      </c>
      <c r="L4578" t="s">
        <v>18958</v>
      </c>
      <c r="M4578" t="s">
        <v>18958</v>
      </c>
      <c r="N4578" t="s">
        <v>22381</v>
      </c>
      <c r="O4578" t="s">
        <v>26524</v>
      </c>
      <c r="P4578" t="s">
        <v>26564</v>
      </c>
      <c r="R4578" t="s">
        <v>26584</v>
      </c>
      <c r="S4578" t="s">
        <v>18959</v>
      </c>
      <c r="U4578" t="s">
        <v>26604</v>
      </c>
      <c r="V4578" t="s">
        <v>26610</v>
      </c>
      <c r="W4578" t="s">
        <v>704</v>
      </c>
      <c r="X4578">
        <v>800</v>
      </c>
      <c r="Y4578" t="s">
        <v>26653</v>
      </c>
      <c r="Z4578" t="s">
        <v>26664</v>
      </c>
      <c r="AB4578" t="s">
        <v>30457</v>
      </c>
      <c r="AC4578" t="s">
        <v>35798</v>
      </c>
      <c r="AD4578" t="s">
        <v>40630</v>
      </c>
      <c r="AE4578">
        <v>2</v>
      </c>
      <c r="AF4578" t="s">
        <v>45547</v>
      </c>
      <c r="AG4578" t="s">
        <v>45560</v>
      </c>
      <c r="AH4578">
        <v>3</v>
      </c>
      <c r="AI4578">
        <v>1</v>
      </c>
      <c r="AJ4578">
        <v>0</v>
      </c>
      <c r="AK4578">
        <v>101.84</v>
      </c>
      <c r="AN4578" t="s">
        <v>7439</v>
      </c>
      <c r="AO4578">
        <v>12363</v>
      </c>
      <c r="AU4578">
        <v>1.2</v>
      </c>
      <c r="AV4578" t="s">
        <v>693</v>
      </c>
      <c r="AW4578" t="s">
        <v>122</v>
      </c>
    </row>
    <row r="4579" spans="1:50">
      <c r="A4579" s="1">
        <f>HYPERLINK("https://lsnyc.legalserver.org/matter/dynamic-profile/view/1887347","19-1887347")</f>
        <v>0</v>
      </c>
      <c r="B4579" t="s">
        <v>221</v>
      </c>
      <c r="C4579" t="s">
        <v>340</v>
      </c>
      <c r="D4579" t="s">
        <v>704</v>
      </c>
      <c r="F4579" t="s">
        <v>1592</v>
      </c>
      <c r="G4579" t="s">
        <v>7345</v>
      </c>
      <c r="H4579" t="s">
        <v>13108</v>
      </c>
      <c r="I4579" t="s">
        <v>17410</v>
      </c>
      <c r="J4579" t="s">
        <v>18907</v>
      </c>
      <c r="K4579">
        <v>11377</v>
      </c>
      <c r="L4579" t="s">
        <v>18958</v>
      </c>
      <c r="M4579" t="s">
        <v>18958</v>
      </c>
      <c r="N4579" t="s">
        <v>22382</v>
      </c>
      <c r="O4579" t="s">
        <v>26523</v>
      </c>
      <c r="P4579" t="s">
        <v>26564</v>
      </c>
      <c r="R4579" t="s">
        <v>26584</v>
      </c>
      <c r="S4579" t="s">
        <v>18959</v>
      </c>
      <c r="U4579" t="s">
        <v>26604</v>
      </c>
      <c r="V4579" t="s">
        <v>26610</v>
      </c>
      <c r="W4579" t="s">
        <v>704</v>
      </c>
      <c r="X4579">
        <v>937</v>
      </c>
      <c r="Y4579" t="s">
        <v>26653</v>
      </c>
      <c r="Z4579" t="s">
        <v>26664</v>
      </c>
      <c r="AB4579" t="s">
        <v>30458</v>
      </c>
      <c r="AC4579" t="s">
        <v>35799</v>
      </c>
      <c r="AD4579" t="s">
        <v>40631</v>
      </c>
      <c r="AE4579">
        <v>86</v>
      </c>
      <c r="AF4579" t="s">
        <v>45541</v>
      </c>
      <c r="AG4579" t="s">
        <v>19330</v>
      </c>
      <c r="AH4579">
        <v>45</v>
      </c>
      <c r="AI4579">
        <v>1</v>
      </c>
      <c r="AJ4579">
        <v>0</v>
      </c>
      <c r="AK4579">
        <v>124.74</v>
      </c>
      <c r="AN4579" t="s">
        <v>45581</v>
      </c>
      <c r="AO4579">
        <v>15144</v>
      </c>
      <c r="AU4579">
        <v>1.6</v>
      </c>
      <c r="AV4579" t="s">
        <v>693</v>
      </c>
      <c r="AW4579" t="s">
        <v>122</v>
      </c>
    </row>
    <row r="4580" spans="1:50">
      <c r="A4580" s="1">
        <f>HYPERLINK("https://lsnyc.legalserver.org/matter/dynamic-profile/view/1887333","19-1887333")</f>
        <v>0</v>
      </c>
      <c r="B4580" t="s">
        <v>173</v>
      </c>
      <c r="C4580" t="s">
        <v>340</v>
      </c>
      <c r="D4580" t="s">
        <v>704</v>
      </c>
      <c r="F4580" t="s">
        <v>3091</v>
      </c>
      <c r="G4580" t="s">
        <v>5189</v>
      </c>
      <c r="H4580" t="s">
        <v>10606</v>
      </c>
      <c r="I4580" t="s">
        <v>17410</v>
      </c>
      <c r="J4580" t="s">
        <v>18893</v>
      </c>
      <c r="K4580">
        <v>10026</v>
      </c>
      <c r="L4580" t="s">
        <v>18958</v>
      </c>
      <c r="M4580" t="s">
        <v>18958</v>
      </c>
      <c r="N4580" t="s">
        <v>22383</v>
      </c>
      <c r="O4580" t="s">
        <v>26523</v>
      </c>
      <c r="P4580" t="s">
        <v>26564</v>
      </c>
      <c r="R4580" t="s">
        <v>26580</v>
      </c>
      <c r="S4580" t="s">
        <v>18959</v>
      </c>
      <c r="U4580" t="s">
        <v>26605</v>
      </c>
      <c r="W4580" t="s">
        <v>704</v>
      </c>
      <c r="X4580">
        <v>1249.99</v>
      </c>
      <c r="Y4580" t="s">
        <v>26651</v>
      </c>
      <c r="Z4580" t="s">
        <v>26668</v>
      </c>
      <c r="AB4580" t="s">
        <v>30459</v>
      </c>
      <c r="AE4580">
        <v>527</v>
      </c>
      <c r="AF4580" t="s">
        <v>45549</v>
      </c>
      <c r="AG4580" t="s">
        <v>19330</v>
      </c>
      <c r="AH4580">
        <v>0</v>
      </c>
      <c r="AI4580">
        <v>2</v>
      </c>
      <c r="AJ4580">
        <v>0</v>
      </c>
      <c r="AK4580">
        <v>267.31</v>
      </c>
      <c r="AN4580" t="s">
        <v>7439</v>
      </c>
      <c r="AO4580">
        <v>44000</v>
      </c>
      <c r="AU4580">
        <v>0</v>
      </c>
      <c r="AW4580" t="s">
        <v>314</v>
      </c>
    </row>
    <row r="4581" spans="1:50">
      <c r="A4581" s="1">
        <f>HYPERLINK("https://lsnyc.legalserver.org/matter/dynamic-profile/view/1889254","19-1889254")</f>
        <v>0</v>
      </c>
      <c r="B4581" t="s">
        <v>256</v>
      </c>
      <c r="C4581" t="s">
        <v>340</v>
      </c>
      <c r="D4581" t="s">
        <v>693</v>
      </c>
      <c r="F4581" t="s">
        <v>2822</v>
      </c>
      <c r="G4581" t="s">
        <v>5224</v>
      </c>
      <c r="H4581" t="s">
        <v>12606</v>
      </c>
      <c r="I4581" t="s">
        <v>17378</v>
      </c>
      <c r="J4581" t="s">
        <v>18894</v>
      </c>
      <c r="K4581">
        <v>11226</v>
      </c>
      <c r="L4581" t="s">
        <v>18959</v>
      </c>
      <c r="M4581" t="s">
        <v>18958</v>
      </c>
      <c r="O4581" t="s">
        <v>26534</v>
      </c>
      <c r="P4581" t="s">
        <v>26562</v>
      </c>
      <c r="R4581" t="s">
        <v>26578</v>
      </c>
      <c r="S4581" t="s">
        <v>18958</v>
      </c>
      <c r="U4581" t="s">
        <v>26604</v>
      </c>
      <c r="W4581" t="s">
        <v>704</v>
      </c>
      <c r="X4581">
        <v>916</v>
      </c>
      <c r="Y4581" t="s">
        <v>26652</v>
      </c>
      <c r="AB4581" t="s">
        <v>689</v>
      </c>
      <c r="AE4581">
        <v>0</v>
      </c>
      <c r="AH4581">
        <v>33</v>
      </c>
      <c r="AI4581">
        <v>1</v>
      </c>
      <c r="AJ4581">
        <v>0</v>
      </c>
      <c r="AK4581">
        <v>80.06</v>
      </c>
      <c r="AN4581" t="s">
        <v>7439</v>
      </c>
      <c r="AO4581">
        <v>10000</v>
      </c>
      <c r="AU4581">
        <v>0</v>
      </c>
      <c r="AW4581" t="s">
        <v>219</v>
      </c>
    </row>
    <row r="4582" spans="1:50">
      <c r="A4582" s="1">
        <f>HYPERLINK("https://lsnyc.legalserver.org/matter/dynamic-profile/view/1889256","19-1889256")</f>
        <v>0</v>
      </c>
      <c r="B4582" t="s">
        <v>256</v>
      </c>
      <c r="C4582" t="s">
        <v>340</v>
      </c>
      <c r="D4582" t="s">
        <v>693</v>
      </c>
      <c r="F4582" t="s">
        <v>2908</v>
      </c>
      <c r="G4582" t="s">
        <v>5611</v>
      </c>
      <c r="H4582" t="s">
        <v>12606</v>
      </c>
      <c r="I4582" t="s">
        <v>17356</v>
      </c>
      <c r="J4582" t="s">
        <v>18894</v>
      </c>
      <c r="K4582">
        <v>11226</v>
      </c>
      <c r="L4582" t="s">
        <v>18959</v>
      </c>
      <c r="M4582" t="s">
        <v>18958</v>
      </c>
      <c r="O4582" t="s">
        <v>26534</v>
      </c>
      <c r="P4582" t="s">
        <v>26562</v>
      </c>
      <c r="R4582" t="s">
        <v>26578</v>
      </c>
      <c r="S4582" t="s">
        <v>18958</v>
      </c>
      <c r="U4582" t="s">
        <v>26604</v>
      </c>
      <c r="W4582" t="s">
        <v>704</v>
      </c>
      <c r="X4582">
        <v>1107</v>
      </c>
      <c r="Y4582" t="s">
        <v>26652</v>
      </c>
      <c r="AB4582" t="s">
        <v>30104</v>
      </c>
      <c r="AE4582">
        <v>0</v>
      </c>
      <c r="AH4582">
        <v>13</v>
      </c>
      <c r="AI4582">
        <v>1</v>
      </c>
      <c r="AJ4582">
        <v>1</v>
      </c>
      <c r="AK4582">
        <v>212.89</v>
      </c>
      <c r="AN4582" t="s">
        <v>7439</v>
      </c>
      <c r="AO4582">
        <v>36000</v>
      </c>
      <c r="AU4582">
        <v>0</v>
      </c>
      <c r="AW4582" t="s">
        <v>219</v>
      </c>
    </row>
    <row r="4583" spans="1:50">
      <c r="A4583" s="1">
        <f>HYPERLINK("https://lsnyc.legalserver.org/matter/dynamic-profile/view/1889260","19-1889260")</f>
        <v>0</v>
      </c>
      <c r="B4583" t="s">
        <v>256</v>
      </c>
      <c r="C4583" t="s">
        <v>340</v>
      </c>
      <c r="D4583" t="s">
        <v>693</v>
      </c>
      <c r="F4583" t="s">
        <v>1495</v>
      </c>
      <c r="G4583" t="s">
        <v>7061</v>
      </c>
      <c r="H4583" t="s">
        <v>12606</v>
      </c>
      <c r="I4583" t="s">
        <v>17312</v>
      </c>
      <c r="J4583" t="s">
        <v>18894</v>
      </c>
      <c r="K4583">
        <v>11226</v>
      </c>
      <c r="L4583" t="s">
        <v>18959</v>
      </c>
      <c r="M4583" t="s">
        <v>18959</v>
      </c>
      <c r="P4583" t="s">
        <v>26562</v>
      </c>
      <c r="R4583" t="s">
        <v>26578</v>
      </c>
      <c r="U4583" t="s">
        <v>26604</v>
      </c>
      <c r="W4583" t="s">
        <v>704</v>
      </c>
      <c r="X4583">
        <v>838</v>
      </c>
      <c r="Y4583" t="s">
        <v>26652</v>
      </c>
      <c r="AB4583" t="s">
        <v>29921</v>
      </c>
      <c r="AD4583" t="s">
        <v>40041</v>
      </c>
      <c r="AE4583">
        <v>0</v>
      </c>
      <c r="AH4583">
        <v>26</v>
      </c>
      <c r="AI4583">
        <v>1</v>
      </c>
      <c r="AJ4583">
        <v>0</v>
      </c>
      <c r="AK4583">
        <v>448.36</v>
      </c>
      <c r="AN4583" t="s">
        <v>7439</v>
      </c>
      <c r="AO4583">
        <v>56000</v>
      </c>
      <c r="AU4583">
        <v>0</v>
      </c>
      <c r="AW4583" t="s">
        <v>219</v>
      </c>
    </row>
    <row r="4584" spans="1:50">
      <c r="A4584" s="1">
        <f>HYPERLINK("https://lsnyc.legalserver.org/matter/dynamic-profile/view/1889235","19-1889235")</f>
        <v>0</v>
      </c>
      <c r="B4584" t="s">
        <v>256</v>
      </c>
      <c r="C4584" t="s">
        <v>340</v>
      </c>
      <c r="D4584" t="s">
        <v>693</v>
      </c>
      <c r="F4584" t="s">
        <v>1454</v>
      </c>
      <c r="G4584" t="s">
        <v>7346</v>
      </c>
      <c r="H4584" t="s">
        <v>12606</v>
      </c>
      <c r="J4584" t="s">
        <v>18894</v>
      </c>
      <c r="K4584">
        <v>11226</v>
      </c>
      <c r="L4584" t="s">
        <v>18958</v>
      </c>
      <c r="M4584" t="s">
        <v>18958</v>
      </c>
      <c r="O4584" t="s">
        <v>26534</v>
      </c>
      <c r="P4584" t="s">
        <v>26561</v>
      </c>
      <c r="R4584" t="s">
        <v>26578</v>
      </c>
      <c r="S4584" t="s">
        <v>18958</v>
      </c>
      <c r="U4584" t="s">
        <v>26604</v>
      </c>
      <c r="W4584" t="s">
        <v>704</v>
      </c>
      <c r="X4584">
        <v>1937</v>
      </c>
      <c r="Y4584" t="s">
        <v>26652</v>
      </c>
      <c r="AB4584" t="s">
        <v>30460</v>
      </c>
      <c r="AD4584" t="s">
        <v>40632</v>
      </c>
      <c r="AE4584">
        <v>0</v>
      </c>
      <c r="AH4584">
        <v>3</v>
      </c>
      <c r="AI4584">
        <v>2</v>
      </c>
      <c r="AJ4584">
        <v>1</v>
      </c>
      <c r="AK4584">
        <v>3211.44</v>
      </c>
      <c r="AN4584" t="s">
        <v>7439</v>
      </c>
      <c r="AO4584">
        <v>685000</v>
      </c>
      <c r="AU4584">
        <v>1.5</v>
      </c>
      <c r="AV4584" t="s">
        <v>710</v>
      </c>
      <c r="AW4584" t="s">
        <v>219</v>
      </c>
    </row>
    <row r="4585" spans="1:50">
      <c r="A4585" s="1">
        <f>HYPERLINK("https://lsnyc.legalserver.org/matter/dynamic-profile/view/1889282","19-1889282")</f>
        <v>0</v>
      </c>
      <c r="B4585" t="s">
        <v>256</v>
      </c>
      <c r="C4585" t="s">
        <v>340</v>
      </c>
      <c r="D4585" t="s">
        <v>694</v>
      </c>
      <c r="F4585" t="s">
        <v>999</v>
      </c>
      <c r="G4585" t="s">
        <v>6812</v>
      </c>
      <c r="H4585" t="s">
        <v>12606</v>
      </c>
      <c r="I4585" t="s">
        <v>17277</v>
      </c>
      <c r="J4585" t="s">
        <v>18894</v>
      </c>
      <c r="K4585">
        <v>11226</v>
      </c>
      <c r="L4585" t="s">
        <v>18959</v>
      </c>
      <c r="M4585" t="s">
        <v>18958</v>
      </c>
      <c r="O4585" t="s">
        <v>26534</v>
      </c>
      <c r="P4585" t="s">
        <v>26561</v>
      </c>
      <c r="R4585" t="s">
        <v>26578</v>
      </c>
      <c r="U4585" t="s">
        <v>26604</v>
      </c>
      <c r="W4585" t="s">
        <v>704</v>
      </c>
      <c r="X4585">
        <v>966.09</v>
      </c>
      <c r="Y4585" t="s">
        <v>26652</v>
      </c>
      <c r="AB4585" t="s">
        <v>30127</v>
      </c>
      <c r="AE4585">
        <v>0</v>
      </c>
      <c r="AH4585">
        <v>17</v>
      </c>
      <c r="AI4585">
        <v>2</v>
      </c>
      <c r="AJ4585">
        <v>0</v>
      </c>
      <c r="AK4585">
        <v>0</v>
      </c>
      <c r="AN4585" t="s">
        <v>7439</v>
      </c>
      <c r="AO4585">
        <v>0</v>
      </c>
      <c r="AU4585">
        <v>0</v>
      </c>
      <c r="AW4585" t="s">
        <v>219</v>
      </c>
    </row>
    <row r="4586" spans="1:50">
      <c r="A4586" s="1">
        <f>HYPERLINK("https://lsnyc.legalserver.org/matter/dynamic-profile/view/1889338","19-1889338")</f>
        <v>0</v>
      </c>
      <c r="B4586" t="s">
        <v>256</v>
      </c>
      <c r="C4586" t="s">
        <v>340</v>
      </c>
      <c r="D4586" t="s">
        <v>694</v>
      </c>
      <c r="F4586" t="s">
        <v>887</v>
      </c>
      <c r="G4586" t="s">
        <v>5634</v>
      </c>
      <c r="H4586" t="s">
        <v>12606</v>
      </c>
      <c r="I4586" t="s">
        <v>17355</v>
      </c>
      <c r="J4586" t="s">
        <v>18894</v>
      </c>
      <c r="K4586">
        <v>11226</v>
      </c>
      <c r="L4586" t="s">
        <v>18959</v>
      </c>
      <c r="M4586" t="s">
        <v>18958</v>
      </c>
      <c r="O4586" t="s">
        <v>26534</v>
      </c>
      <c r="P4586" t="s">
        <v>26561</v>
      </c>
      <c r="R4586" t="s">
        <v>26578</v>
      </c>
      <c r="S4586" t="s">
        <v>18958</v>
      </c>
      <c r="U4586" t="s">
        <v>26604</v>
      </c>
      <c r="W4586" t="s">
        <v>704</v>
      </c>
      <c r="X4586">
        <v>945.2</v>
      </c>
      <c r="Y4586" t="s">
        <v>26652</v>
      </c>
      <c r="AB4586" t="s">
        <v>29920</v>
      </c>
      <c r="AE4586">
        <v>0</v>
      </c>
      <c r="AH4586">
        <v>20</v>
      </c>
      <c r="AI4586">
        <v>1</v>
      </c>
      <c r="AJ4586">
        <v>0</v>
      </c>
      <c r="AK4586">
        <v>0</v>
      </c>
      <c r="AN4586" t="s">
        <v>45581</v>
      </c>
      <c r="AO4586">
        <v>0</v>
      </c>
      <c r="AU4586">
        <v>0</v>
      </c>
      <c r="AW4586" t="s">
        <v>219</v>
      </c>
    </row>
    <row r="4587" spans="1:50">
      <c r="A4587" s="1">
        <f>HYPERLINK("https://lsnyc.legalserver.org/matter/dynamic-profile/view/1889346","19-1889346")</f>
        <v>0</v>
      </c>
      <c r="B4587" t="s">
        <v>256</v>
      </c>
      <c r="C4587" t="s">
        <v>340</v>
      </c>
      <c r="D4587" t="s">
        <v>694</v>
      </c>
      <c r="F4587" t="s">
        <v>2821</v>
      </c>
      <c r="G4587" t="s">
        <v>2989</v>
      </c>
      <c r="H4587" t="s">
        <v>12606</v>
      </c>
      <c r="I4587" t="s">
        <v>17275</v>
      </c>
      <c r="J4587" t="s">
        <v>18894</v>
      </c>
      <c r="K4587">
        <v>11226</v>
      </c>
      <c r="L4587" t="s">
        <v>18959</v>
      </c>
      <c r="M4587" t="s">
        <v>18958</v>
      </c>
      <c r="O4587" t="s">
        <v>26534</v>
      </c>
      <c r="P4587" t="s">
        <v>26562</v>
      </c>
      <c r="R4587" t="s">
        <v>26578</v>
      </c>
      <c r="S4587" t="s">
        <v>18958</v>
      </c>
      <c r="U4587" t="s">
        <v>26604</v>
      </c>
      <c r="W4587" t="s">
        <v>704</v>
      </c>
      <c r="X4587">
        <v>820</v>
      </c>
      <c r="Y4587" t="s">
        <v>26652</v>
      </c>
      <c r="AB4587" t="s">
        <v>27624</v>
      </c>
      <c r="AE4587">
        <v>0</v>
      </c>
      <c r="AH4587">
        <v>32</v>
      </c>
      <c r="AI4587">
        <v>4</v>
      </c>
      <c r="AJ4587">
        <v>2</v>
      </c>
      <c r="AK4587">
        <v>0</v>
      </c>
      <c r="AN4587" t="s">
        <v>7439</v>
      </c>
      <c r="AO4587">
        <v>0</v>
      </c>
      <c r="AU4587">
        <v>0</v>
      </c>
      <c r="AW4587" t="s">
        <v>219</v>
      </c>
    </row>
    <row r="4588" spans="1:50">
      <c r="A4588" s="1">
        <f>HYPERLINK("https://lsnyc.legalserver.org/matter/dynamic-profile/view/1889325","19-1889325")</f>
        <v>0</v>
      </c>
      <c r="B4588" t="s">
        <v>256</v>
      </c>
      <c r="C4588" t="s">
        <v>340</v>
      </c>
      <c r="D4588" t="s">
        <v>694</v>
      </c>
      <c r="F4588" t="s">
        <v>1442</v>
      </c>
      <c r="G4588" t="s">
        <v>7030</v>
      </c>
      <c r="H4588" t="s">
        <v>12606</v>
      </c>
      <c r="J4588" t="s">
        <v>18894</v>
      </c>
      <c r="K4588">
        <v>11226</v>
      </c>
      <c r="L4588" t="s">
        <v>18959</v>
      </c>
      <c r="M4588" t="s">
        <v>18958</v>
      </c>
      <c r="O4588" t="s">
        <v>26534</v>
      </c>
      <c r="P4588" t="s">
        <v>26561</v>
      </c>
      <c r="R4588" t="s">
        <v>26578</v>
      </c>
      <c r="S4588" t="s">
        <v>18958</v>
      </c>
      <c r="U4588" t="s">
        <v>26604</v>
      </c>
      <c r="W4588" t="s">
        <v>704</v>
      </c>
      <c r="X4588">
        <v>856.9299999999999</v>
      </c>
      <c r="Y4588" t="s">
        <v>26652</v>
      </c>
      <c r="AB4588" t="s">
        <v>29871</v>
      </c>
      <c r="AD4588" t="s">
        <v>39993</v>
      </c>
      <c r="AE4588">
        <v>0</v>
      </c>
      <c r="AH4588">
        <v>41</v>
      </c>
      <c r="AI4588">
        <v>2</v>
      </c>
      <c r="AJ4588">
        <v>0</v>
      </c>
      <c r="AK4588">
        <v>61.03</v>
      </c>
      <c r="AN4588" t="s">
        <v>7439</v>
      </c>
      <c r="AO4588">
        <v>10320</v>
      </c>
      <c r="AU4588">
        <v>0</v>
      </c>
      <c r="AW4588" t="s">
        <v>219</v>
      </c>
    </row>
    <row r="4589" spans="1:50">
      <c r="A4589" s="1">
        <f>HYPERLINK("https://lsnyc.legalserver.org/matter/dynamic-profile/view/1889342","19-1889342")</f>
        <v>0</v>
      </c>
      <c r="B4589" t="s">
        <v>256</v>
      </c>
      <c r="C4589" t="s">
        <v>340</v>
      </c>
      <c r="D4589" t="s">
        <v>694</v>
      </c>
      <c r="F4589" t="s">
        <v>1620</v>
      </c>
      <c r="G4589" t="s">
        <v>7155</v>
      </c>
      <c r="H4589" t="s">
        <v>12606</v>
      </c>
      <c r="I4589" t="s">
        <v>17360</v>
      </c>
      <c r="J4589" t="s">
        <v>18894</v>
      </c>
      <c r="K4589">
        <v>11226</v>
      </c>
      <c r="L4589" t="s">
        <v>18959</v>
      </c>
      <c r="M4589" t="s">
        <v>18958</v>
      </c>
      <c r="O4589" t="s">
        <v>26534</v>
      </c>
      <c r="P4589" t="s">
        <v>26561</v>
      </c>
      <c r="R4589" t="s">
        <v>26578</v>
      </c>
      <c r="S4589" t="s">
        <v>18958</v>
      </c>
      <c r="U4589" t="s">
        <v>26604</v>
      </c>
      <c r="W4589" t="s">
        <v>704</v>
      </c>
      <c r="X4589">
        <v>904.1900000000001</v>
      </c>
      <c r="Y4589" t="s">
        <v>26652</v>
      </c>
      <c r="AB4589" t="s">
        <v>27657</v>
      </c>
      <c r="AE4589">
        <v>0</v>
      </c>
      <c r="AH4589">
        <v>38</v>
      </c>
      <c r="AI4589">
        <v>1</v>
      </c>
      <c r="AJ4589">
        <v>0</v>
      </c>
      <c r="AK4589">
        <v>331.18</v>
      </c>
      <c r="AN4589" t="s">
        <v>7439</v>
      </c>
      <c r="AO4589">
        <v>41364</v>
      </c>
      <c r="AU4589">
        <v>0</v>
      </c>
      <c r="AW4589" t="s">
        <v>219</v>
      </c>
    </row>
    <row r="4590" spans="1:50">
      <c r="A4590" s="1">
        <f>HYPERLINK("https://lsnyc.legalserver.org/matter/dynamic-profile/view/1877224","18-1877224")</f>
        <v>0</v>
      </c>
      <c r="B4590" t="s">
        <v>186</v>
      </c>
      <c r="C4590" t="s">
        <v>341</v>
      </c>
      <c r="D4590" t="s">
        <v>576</v>
      </c>
      <c r="E4590" t="s">
        <v>414</v>
      </c>
      <c r="F4590" t="s">
        <v>2111</v>
      </c>
      <c r="G4590" t="s">
        <v>1000</v>
      </c>
      <c r="H4590" t="s">
        <v>13109</v>
      </c>
      <c r="I4590" t="s">
        <v>17272</v>
      </c>
      <c r="J4590" t="s">
        <v>18894</v>
      </c>
      <c r="K4590">
        <v>11216</v>
      </c>
      <c r="L4590" t="s">
        <v>18958</v>
      </c>
      <c r="M4590" t="s">
        <v>18958</v>
      </c>
      <c r="N4590" t="s">
        <v>22384</v>
      </c>
      <c r="O4590" t="s">
        <v>26523</v>
      </c>
      <c r="P4590" t="s">
        <v>26560</v>
      </c>
      <c r="Q4590" t="s">
        <v>26574</v>
      </c>
      <c r="R4590" t="s">
        <v>26588</v>
      </c>
      <c r="U4590" t="s">
        <v>26604</v>
      </c>
      <c r="W4590" t="s">
        <v>414</v>
      </c>
      <c r="X4590">
        <v>0</v>
      </c>
      <c r="Y4590" t="s">
        <v>26652</v>
      </c>
      <c r="Z4590" t="s">
        <v>26659</v>
      </c>
      <c r="AA4590" t="s">
        <v>26678</v>
      </c>
      <c r="AB4590" t="s">
        <v>30461</v>
      </c>
      <c r="AD4590" t="s">
        <v>40633</v>
      </c>
      <c r="AE4590">
        <v>0</v>
      </c>
      <c r="AH4590">
        <v>0</v>
      </c>
      <c r="AI4590">
        <v>2</v>
      </c>
      <c r="AJ4590">
        <v>0</v>
      </c>
      <c r="AK4590">
        <v>122.84</v>
      </c>
      <c r="AN4590" t="s">
        <v>7439</v>
      </c>
      <c r="AO4590">
        <v>20220</v>
      </c>
      <c r="AR4590" t="s">
        <v>46422</v>
      </c>
      <c r="AS4590" t="s">
        <v>46499</v>
      </c>
      <c r="AT4590" t="s">
        <v>46595</v>
      </c>
      <c r="AU4590">
        <v>6.3</v>
      </c>
      <c r="AV4590" t="s">
        <v>428</v>
      </c>
      <c r="AW4590" t="s">
        <v>46862</v>
      </c>
    </row>
    <row r="4591" spans="1:50">
      <c r="A4591" s="1">
        <f>HYPERLINK("https://lsnyc.legalserver.org/matter/dynamic-profile/view/1885888","18-1885888")</f>
        <v>0</v>
      </c>
      <c r="B4591" t="s">
        <v>232</v>
      </c>
      <c r="C4591" t="s">
        <v>341</v>
      </c>
      <c r="D4591" t="s">
        <v>688</v>
      </c>
      <c r="E4591" t="s">
        <v>795</v>
      </c>
      <c r="F4591" t="s">
        <v>3092</v>
      </c>
      <c r="G4591" t="s">
        <v>7347</v>
      </c>
      <c r="H4591" t="s">
        <v>13110</v>
      </c>
      <c r="I4591" t="s">
        <v>18130</v>
      </c>
      <c r="J4591" t="s">
        <v>18894</v>
      </c>
      <c r="K4591">
        <v>11203</v>
      </c>
      <c r="L4591" t="s">
        <v>18958</v>
      </c>
      <c r="M4591" t="s">
        <v>18958</v>
      </c>
      <c r="N4591" t="s">
        <v>22385</v>
      </c>
      <c r="O4591" t="s">
        <v>26524</v>
      </c>
      <c r="P4591" t="s">
        <v>26564</v>
      </c>
      <c r="Q4591" t="s">
        <v>26570</v>
      </c>
      <c r="R4591" t="s">
        <v>26586</v>
      </c>
      <c r="U4591" t="s">
        <v>26604</v>
      </c>
      <c r="W4591" t="s">
        <v>414</v>
      </c>
      <c r="X4591">
        <v>0</v>
      </c>
      <c r="Y4591" t="s">
        <v>26652</v>
      </c>
      <c r="Z4591" t="s">
        <v>26664</v>
      </c>
      <c r="AA4591" t="s">
        <v>26683</v>
      </c>
      <c r="AB4591" t="s">
        <v>30462</v>
      </c>
      <c r="AD4591" t="s">
        <v>40634</v>
      </c>
      <c r="AE4591">
        <v>27</v>
      </c>
      <c r="AH4591">
        <v>14</v>
      </c>
      <c r="AI4591">
        <v>2</v>
      </c>
      <c r="AJ4591">
        <v>2</v>
      </c>
      <c r="AK4591">
        <v>139.44</v>
      </c>
      <c r="AN4591" t="s">
        <v>7439</v>
      </c>
      <c r="AO4591">
        <v>35000</v>
      </c>
      <c r="AU4591">
        <v>1.5</v>
      </c>
      <c r="AV4591" t="s">
        <v>414</v>
      </c>
      <c r="AW4591" t="s">
        <v>46853</v>
      </c>
      <c r="AX4591" t="s">
        <v>46897</v>
      </c>
    </row>
    <row r="4592" spans="1:50">
      <c r="A4592" s="1">
        <f>HYPERLINK("https://lsnyc.legalserver.org/matter/dynamic-profile/view/1885976","18-1885976")</f>
        <v>0</v>
      </c>
      <c r="B4592" t="s">
        <v>130</v>
      </c>
      <c r="C4592" t="s">
        <v>341</v>
      </c>
      <c r="D4592" t="s">
        <v>670</v>
      </c>
      <c r="E4592" t="s">
        <v>414</v>
      </c>
      <c r="F4592" t="s">
        <v>887</v>
      </c>
      <c r="G4592" t="s">
        <v>7348</v>
      </c>
      <c r="H4592" t="s">
        <v>13111</v>
      </c>
      <c r="I4592" t="s">
        <v>17375</v>
      </c>
      <c r="J4592" t="s">
        <v>18900</v>
      </c>
      <c r="K4592">
        <v>11367</v>
      </c>
      <c r="L4592" t="s">
        <v>18958</v>
      </c>
      <c r="M4592" t="s">
        <v>18958</v>
      </c>
      <c r="N4592" t="s">
        <v>22386</v>
      </c>
      <c r="O4592" t="s">
        <v>26523</v>
      </c>
      <c r="P4592" t="s">
        <v>26564</v>
      </c>
      <c r="Q4592" t="s">
        <v>26570</v>
      </c>
      <c r="R4592" t="s">
        <v>26584</v>
      </c>
      <c r="S4592" t="s">
        <v>18959</v>
      </c>
      <c r="U4592" t="s">
        <v>26604</v>
      </c>
      <c r="V4592" t="s">
        <v>26612</v>
      </c>
      <c r="W4592" t="s">
        <v>414</v>
      </c>
      <c r="X4592">
        <v>1850</v>
      </c>
      <c r="Y4592" t="s">
        <v>26653</v>
      </c>
      <c r="Z4592" t="s">
        <v>26664</v>
      </c>
      <c r="AA4592" t="s">
        <v>26683</v>
      </c>
      <c r="AB4592" t="s">
        <v>30463</v>
      </c>
      <c r="AC4592" t="s">
        <v>35800</v>
      </c>
      <c r="AD4592" t="s">
        <v>40635</v>
      </c>
      <c r="AE4592">
        <v>2</v>
      </c>
      <c r="AF4592" t="s">
        <v>45547</v>
      </c>
      <c r="AG4592" t="s">
        <v>19330</v>
      </c>
      <c r="AH4592">
        <v>1</v>
      </c>
      <c r="AI4592">
        <v>1</v>
      </c>
      <c r="AJ4592">
        <v>2</v>
      </c>
      <c r="AK4592">
        <v>0</v>
      </c>
      <c r="AN4592" t="s">
        <v>7439</v>
      </c>
      <c r="AO4592">
        <v>0</v>
      </c>
      <c r="AU4592">
        <v>1.1</v>
      </c>
      <c r="AV4592" t="s">
        <v>414</v>
      </c>
      <c r="AW4592" t="s">
        <v>122</v>
      </c>
    </row>
    <row r="4593" spans="1:50">
      <c r="A4593" s="1">
        <f>HYPERLINK("https://lsnyc.legalserver.org/matter/dynamic-profile/view/1888159","19-1888159")</f>
        <v>0</v>
      </c>
      <c r="B4593" t="s">
        <v>187</v>
      </c>
      <c r="C4593" t="s">
        <v>341</v>
      </c>
      <c r="D4593" t="s">
        <v>414</v>
      </c>
      <c r="E4593" t="s">
        <v>806</v>
      </c>
      <c r="F4593" t="s">
        <v>1540</v>
      </c>
      <c r="G4593" t="s">
        <v>7349</v>
      </c>
      <c r="H4593" t="s">
        <v>13112</v>
      </c>
      <c r="I4593">
        <v>18</v>
      </c>
      <c r="J4593" t="s">
        <v>18892</v>
      </c>
      <c r="K4593">
        <v>10467</v>
      </c>
      <c r="L4593" t="s">
        <v>18958</v>
      </c>
      <c r="M4593" t="s">
        <v>18958</v>
      </c>
      <c r="N4593" t="s">
        <v>22387</v>
      </c>
      <c r="O4593" t="s">
        <v>26523</v>
      </c>
      <c r="P4593" t="s">
        <v>26560</v>
      </c>
      <c r="Q4593" t="s">
        <v>26573</v>
      </c>
      <c r="R4593" t="s">
        <v>26579</v>
      </c>
      <c r="S4593" t="s">
        <v>18959</v>
      </c>
      <c r="U4593" t="s">
        <v>26604</v>
      </c>
      <c r="V4593" t="s">
        <v>26609</v>
      </c>
      <c r="W4593" t="s">
        <v>414</v>
      </c>
      <c r="X4593">
        <v>1350</v>
      </c>
      <c r="Y4593" t="s">
        <v>26650</v>
      </c>
      <c r="Z4593" t="s">
        <v>26668</v>
      </c>
      <c r="AA4593" t="s">
        <v>26680</v>
      </c>
      <c r="AB4593" t="s">
        <v>30464</v>
      </c>
      <c r="AC4593" t="s">
        <v>35801</v>
      </c>
      <c r="AE4593">
        <v>47</v>
      </c>
      <c r="AF4593" t="s">
        <v>45541</v>
      </c>
      <c r="AG4593" t="s">
        <v>19330</v>
      </c>
      <c r="AH4593">
        <v>7</v>
      </c>
      <c r="AI4593">
        <v>2</v>
      </c>
      <c r="AJ4593">
        <v>0</v>
      </c>
      <c r="AK4593">
        <v>93.39</v>
      </c>
      <c r="AN4593" t="s">
        <v>7439</v>
      </c>
      <c r="AO4593">
        <v>15372</v>
      </c>
      <c r="AQ4593" t="s">
        <v>46362</v>
      </c>
      <c r="AR4593" t="s">
        <v>46379</v>
      </c>
      <c r="AS4593" t="s">
        <v>46499</v>
      </c>
      <c r="AT4593" t="s">
        <v>46616</v>
      </c>
      <c r="AU4593">
        <v>10.6</v>
      </c>
      <c r="AV4593" t="s">
        <v>801</v>
      </c>
      <c r="AW4593" t="s">
        <v>336</v>
      </c>
      <c r="AX4593" t="s">
        <v>46897</v>
      </c>
    </row>
    <row r="4594" spans="1:50">
      <c r="A4594" s="1">
        <f>HYPERLINK("https://lsnyc.legalserver.org/matter/dynamic-profile/view/1887450","19-1887450")</f>
        <v>0</v>
      </c>
      <c r="B4594" t="s">
        <v>235</v>
      </c>
      <c r="C4594" t="s">
        <v>341</v>
      </c>
      <c r="D4594" t="s">
        <v>414</v>
      </c>
      <c r="E4594" t="s">
        <v>770</v>
      </c>
      <c r="F4594" t="s">
        <v>3093</v>
      </c>
      <c r="G4594" t="s">
        <v>5100</v>
      </c>
      <c r="H4594" t="s">
        <v>13113</v>
      </c>
      <c r="I4594">
        <v>18</v>
      </c>
      <c r="J4594" t="s">
        <v>18909</v>
      </c>
      <c r="K4594">
        <v>11101</v>
      </c>
      <c r="L4594" t="s">
        <v>18958</v>
      </c>
      <c r="M4594" t="s">
        <v>18958</v>
      </c>
      <c r="N4594" t="s">
        <v>22388</v>
      </c>
      <c r="O4594" t="s">
        <v>26523</v>
      </c>
      <c r="P4594" t="s">
        <v>26560</v>
      </c>
      <c r="Q4594" t="s">
        <v>26568</v>
      </c>
      <c r="R4594" t="s">
        <v>26578</v>
      </c>
      <c r="S4594" t="s">
        <v>18959</v>
      </c>
      <c r="U4594" t="s">
        <v>26604</v>
      </c>
      <c r="V4594" t="s">
        <v>26611</v>
      </c>
      <c r="W4594" t="s">
        <v>414</v>
      </c>
      <c r="X4594">
        <v>871</v>
      </c>
      <c r="Y4594" t="s">
        <v>26653</v>
      </c>
      <c r="Z4594" t="s">
        <v>26664</v>
      </c>
      <c r="AA4594" t="s">
        <v>26678</v>
      </c>
      <c r="AB4594" t="s">
        <v>30465</v>
      </c>
      <c r="AC4594" t="s">
        <v>35802</v>
      </c>
      <c r="AD4594" t="s">
        <v>40636</v>
      </c>
      <c r="AE4594">
        <v>20</v>
      </c>
      <c r="AF4594" t="s">
        <v>45541</v>
      </c>
      <c r="AG4594" t="s">
        <v>19330</v>
      </c>
      <c r="AH4594">
        <v>1</v>
      </c>
      <c r="AI4594">
        <v>1</v>
      </c>
      <c r="AJ4594">
        <v>2</v>
      </c>
      <c r="AK4594">
        <v>0</v>
      </c>
      <c r="AN4594" t="s">
        <v>7439</v>
      </c>
      <c r="AO4594">
        <v>0</v>
      </c>
      <c r="AQ4594" t="s">
        <v>46359</v>
      </c>
      <c r="AR4594" t="s">
        <v>46379</v>
      </c>
      <c r="AS4594" t="s">
        <v>46499</v>
      </c>
      <c r="AT4594" t="s">
        <v>46690</v>
      </c>
      <c r="AU4594">
        <v>20.15</v>
      </c>
      <c r="AV4594" t="s">
        <v>784</v>
      </c>
      <c r="AW4594" t="s">
        <v>235</v>
      </c>
    </row>
    <row r="4595" spans="1:50">
      <c r="A4595" s="1">
        <f>HYPERLINK("https://lsnyc.legalserver.org/matter/dynamic-profile/view/1887500","19-1887500")</f>
        <v>0</v>
      </c>
      <c r="B4595" t="s">
        <v>183</v>
      </c>
      <c r="C4595" t="s">
        <v>340</v>
      </c>
      <c r="D4595" t="s">
        <v>414</v>
      </c>
      <c r="F4595" t="s">
        <v>3094</v>
      </c>
      <c r="G4595" t="s">
        <v>6776</v>
      </c>
      <c r="H4595" t="s">
        <v>13114</v>
      </c>
      <c r="I4595" t="s">
        <v>17343</v>
      </c>
      <c r="J4595" t="s">
        <v>18893</v>
      </c>
      <c r="K4595">
        <v>10026</v>
      </c>
      <c r="L4595" t="s">
        <v>18958</v>
      </c>
      <c r="M4595" t="s">
        <v>18958</v>
      </c>
      <c r="N4595" t="s">
        <v>22389</v>
      </c>
      <c r="O4595" t="s">
        <v>26523</v>
      </c>
      <c r="P4595" t="s">
        <v>26560</v>
      </c>
      <c r="R4595" t="s">
        <v>26580</v>
      </c>
      <c r="S4595" t="s">
        <v>18959</v>
      </c>
      <c r="U4595" t="s">
        <v>26604</v>
      </c>
      <c r="V4595" t="s">
        <v>26610</v>
      </c>
      <c r="W4595" t="s">
        <v>414</v>
      </c>
      <c r="X4595">
        <v>2371</v>
      </c>
      <c r="Y4595" t="s">
        <v>26651</v>
      </c>
      <c r="Z4595" t="s">
        <v>26664</v>
      </c>
      <c r="AB4595" t="s">
        <v>30466</v>
      </c>
      <c r="AC4595" t="s">
        <v>35803</v>
      </c>
      <c r="AD4595" t="s">
        <v>40637</v>
      </c>
      <c r="AE4595">
        <v>0</v>
      </c>
      <c r="AF4595" t="s">
        <v>45547</v>
      </c>
      <c r="AG4595" t="s">
        <v>19330</v>
      </c>
      <c r="AH4595">
        <v>8</v>
      </c>
      <c r="AI4595">
        <v>1</v>
      </c>
      <c r="AJ4595">
        <v>0</v>
      </c>
      <c r="AK4595">
        <v>84.70999999999999</v>
      </c>
      <c r="AN4595" t="s">
        <v>45581</v>
      </c>
      <c r="AO4595">
        <v>10284</v>
      </c>
      <c r="AU4595">
        <v>25</v>
      </c>
      <c r="AV4595" t="s">
        <v>811</v>
      </c>
      <c r="AW4595" t="s">
        <v>314</v>
      </c>
    </row>
    <row r="4596" spans="1:50">
      <c r="A4596" s="1">
        <f>HYPERLINK("https://lsnyc.legalserver.org/matter/dynamic-profile/view/1887463","19-1887463")</f>
        <v>0</v>
      </c>
      <c r="B4596" t="s">
        <v>183</v>
      </c>
      <c r="C4596" t="s">
        <v>340</v>
      </c>
      <c r="D4596" t="s">
        <v>414</v>
      </c>
      <c r="F4596" t="s">
        <v>1534</v>
      </c>
      <c r="G4596" t="s">
        <v>2382</v>
      </c>
      <c r="H4596" t="s">
        <v>10000</v>
      </c>
      <c r="I4596" t="s">
        <v>17338</v>
      </c>
      <c r="J4596" t="s">
        <v>18893</v>
      </c>
      <c r="K4596">
        <v>10027</v>
      </c>
      <c r="L4596" t="s">
        <v>18958</v>
      </c>
      <c r="M4596" t="s">
        <v>18958</v>
      </c>
      <c r="N4596" t="s">
        <v>22390</v>
      </c>
      <c r="O4596" t="s">
        <v>26523</v>
      </c>
      <c r="P4596" t="s">
        <v>26560</v>
      </c>
      <c r="R4596" t="s">
        <v>26580</v>
      </c>
      <c r="S4596" t="s">
        <v>18959</v>
      </c>
      <c r="U4596" t="s">
        <v>26605</v>
      </c>
      <c r="V4596" t="s">
        <v>26610</v>
      </c>
      <c r="W4596" t="s">
        <v>414</v>
      </c>
      <c r="X4596">
        <v>1248</v>
      </c>
      <c r="Y4596" t="s">
        <v>26651</v>
      </c>
      <c r="Z4596" t="s">
        <v>26664</v>
      </c>
      <c r="AB4596" t="s">
        <v>30467</v>
      </c>
      <c r="AC4596" t="s">
        <v>35804</v>
      </c>
      <c r="AD4596" t="s">
        <v>40638</v>
      </c>
      <c r="AE4596">
        <v>0</v>
      </c>
      <c r="AF4596" t="s">
        <v>45549</v>
      </c>
      <c r="AG4596" t="s">
        <v>19330</v>
      </c>
      <c r="AH4596">
        <v>22</v>
      </c>
      <c r="AI4596">
        <v>2</v>
      </c>
      <c r="AJ4596">
        <v>0</v>
      </c>
      <c r="AK4596">
        <v>108.38</v>
      </c>
      <c r="AN4596" t="s">
        <v>7439</v>
      </c>
      <c r="AO4596">
        <v>17840</v>
      </c>
      <c r="AU4596">
        <v>4.9</v>
      </c>
      <c r="AV4596" t="s">
        <v>690</v>
      </c>
      <c r="AW4596" t="s">
        <v>46875</v>
      </c>
    </row>
    <row r="4597" spans="1:50">
      <c r="A4597" s="1">
        <f>HYPERLINK("https://lsnyc.legalserver.org/matter/dynamic-profile/view/1887502","19-1887502")</f>
        <v>0</v>
      </c>
      <c r="B4597" t="s">
        <v>165</v>
      </c>
      <c r="C4597" t="s">
        <v>340</v>
      </c>
      <c r="D4597" t="s">
        <v>414</v>
      </c>
      <c r="F4597" t="s">
        <v>3095</v>
      </c>
      <c r="G4597" t="s">
        <v>7350</v>
      </c>
      <c r="H4597" t="s">
        <v>13115</v>
      </c>
      <c r="I4597" t="s">
        <v>17322</v>
      </c>
      <c r="J4597" t="s">
        <v>18893</v>
      </c>
      <c r="K4597">
        <v>10026</v>
      </c>
      <c r="L4597" t="s">
        <v>18958</v>
      </c>
      <c r="M4597" t="s">
        <v>18958</v>
      </c>
      <c r="N4597" t="s">
        <v>22391</v>
      </c>
      <c r="O4597" t="s">
        <v>26523</v>
      </c>
      <c r="P4597" t="s">
        <v>26560</v>
      </c>
      <c r="R4597" t="s">
        <v>26580</v>
      </c>
      <c r="S4597" t="s">
        <v>18959</v>
      </c>
      <c r="U4597" t="s">
        <v>26604</v>
      </c>
      <c r="V4597" t="s">
        <v>26610</v>
      </c>
      <c r="W4597" t="s">
        <v>414</v>
      </c>
      <c r="X4597">
        <v>294</v>
      </c>
      <c r="Y4597" t="s">
        <v>26651</v>
      </c>
      <c r="Z4597" t="s">
        <v>26659</v>
      </c>
      <c r="AB4597" t="s">
        <v>27438</v>
      </c>
      <c r="AD4597" t="s">
        <v>40639</v>
      </c>
      <c r="AE4597">
        <v>0</v>
      </c>
      <c r="AF4597" t="s">
        <v>45541</v>
      </c>
      <c r="AH4597">
        <v>6</v>
      </c>
      <c r="AI4597">
        <v>1</v>
      </c>
      <c r="AJ4597">
        <v>0</v>
      </c>
      <c r="AK4597">
        <v>76.51000000000001</v>
      </c>
      <c r="AN4597" t="s">
        <v>7439</v>
      </c>
      <c r="AO4597">
        <v>9288</v>
      </c>
      <c r="AU4597">
        <v>10.5</v>
      </c>
      <c r="AV4597" t="s">
        <v>823</v>
      </c>
      <c r="AW4597" t="s">
        <v>46835</v>
      </c>
    </row>
    <row r="4598" spans="1:50">
      <c r="A4598" s="1">
        <f>HYPERLINK("https://lsnyc.legalserver.org/matter/dynamic-profile/view/1888656","19-1888656")</f>
        <v>0</v>
      </c>
      <c r="B4598" t="s">
        <v>149</v>
      </c>
      <c r="C4598" t="s">
        <v>340</v>
      </c>
      <c r="D4598" t="s">
        <v>414</v>
      </c>
      <c r="F4598" t="s">
        <v>1489</v>
      </c>
      <c r="G4598" t="s">
        <v>7043</v>
      </c>
      <c r="H4598" t="s">
        <v>13116</v>
      </c>
      <c r="I4598">
        <v>212</v>
      </c>
      <c r="J4598" t="s">
        <v>18892</v>
      </c>
      <c r="K4598">
        <v>10457</v>
      </c>
      <c r="L4598" t="s">
        <v>18958</v>
      </c>
      <c r="M4598" t="s">
        <v>18958</v>
      </c>
      <c r="N4598" t="s">
        <v>22392</v>
      </c>
      <c r="O4598" t="s">
        <v>26523</v>
      </c>
      <c r="P4598" t="s">
        <v>26560</v>
      </c>
      <c r="R4598" t="s">
        <v>26579</v>
      </c>
      <c r="S4598" t="s">
        <v>18959</v>
      </c>
      <c r="U4598" t="s">
        <v>26604</v>
      </c>
      <c r="W4598" t="s">
        <v>414</v>
      </c>
      <c r="X4598">
        <v>325</v>
      </c>
      <c r="Y4598" t="s">
        <v>26650</v>
      </c>
      <c r="Z4598" t="s">
        <v>26664</v>
      </c>
      <c r="AB4598" t="s">
        <v>29066</v>
      </c>
      <c r="AD4598" t="s">
        <v>40640</v>
      </c>
      <c r="AE4598">
        <v>118</v>
      </c>
      <c r="AF4598" t="s">
        <v>45541</v>
      </c>
      <c r="AG4598" t="s">
        <v>45556</v>
      </c>
      <c r="AH4598">
        <v>12</v>
      </c>
      <c r="AI4598">
        <v>1</v>
      </c>
      <c r="AJ4598">
        <v>2</v>
      </c>
      <c r="AK4598">
        <v>22.52</v>
      </c>
      <c r="AN4598" t="s">
        <v>7439</v>
      </c>
      <c r="AO4598">
        <v>4680</v>
      </c>
      <c r="AU4598">
        <v>7.2</v>
      </c>
      <c r="AV4598" t="s">
        <v>836</v>
      </c>
      <c r="AW4598" t="s">
        <v>336</v>
      </c>
    </row>
    <row r="4599" spans="1:50">
      <c r="A4599" s="1">
        <f>HYPERLINK("https://lsnyc.legalserver.org/matter/dynamic-profile/view/1888626","19-1888626")</f>
        <v>0</v>
      </c>
      <c r="B4599" t="s">
        <v>149</v>
      </c>
      <c r="C4599" t="s">
        <v>340</v>
      </c>
      <c r="D4599" t="s">
        <v>414</v>
      </c>
      <c r="F4599" t="s">
        <v>1309</v>
      </c>
      <c r="G4599" t="s">
        <v>7351</v>
      </c>
      <c r="H4599" t="s">
        <v>13117</v>
      </c>
      <c r="I4599" t="s">
        <v>17646</v>
      </c>
      <c r="J4599" t="s">
        <v>18892</v>
      </c>
      <c r="K4599">
        <v>10468</v>
      </c>
      <c r="L4599" t="s">
        <v>18958</v>
      </c>
      <c r="M4599" t="s">
        <v>18958</v>
      </c>
      <c r="N4599" t="s">
        <v>22393</v>
      </c>
      <c r="O4599" t="s">
        <v>26523</v>
      </c>
      <c r="P4599" t="s">
        <v>26560</v>
      </c>
      <c r="R4599" t="s">
        <v>26579</v>
      </c>
      <c r="S4599" t="s">
        <v>18959</v>
      </c>
      <c r="U4599" t="s">
        <v>26604</v>
      </c>
      <c r="V4599" t="s">
        <v>26610</v>
      </c>
      <c r="W4599" t="s">
        <v>414</v>
      </c>
      <c r="X4599">
        <v>977.21</v>
      </c>
      <c r="Y4599" t="s">
        <v>26650</v>
      </c>
      <c r="Z4599" t="s">
        <v>26664</v>
      </c>
      <c r="AB4599" t="s">
        <v>30468</v>
      </c>
      <c r="AD4599" t="s">
        <v>40641</v>
      </c>
      <c r="AE4599">
        <v>48</v>
      </c>
      <c r="AF4599" t="s">
        <v>45541</v>
      </c>
      <c r="AG4599" t="s">
        <v>19330</v>
      </c>
      <c r="AH4599">
        <v>14</v>
      </c>
      <c r="AI4599">
        <v>2</v>
      </c>
      <c r="AJ4599">
        <v>4</v>
      </c>
      <c r="AK4599">
        <v>75.47</v>
      </c>
      <c r="AN4599" t="s">
        <v>7439</v>
      </c>
      <c r="AO4599">
        <v>26104</v>
      </c>
      <c r="AU4599">
        <v>7.05</v>
      </c>
      <c r="AV4599" t="s">
        <v>791</v>
      </c>
      <c r="AW4599" t="s">
        <v>336</v>
      </c>
    </row>
    <row r="4600" spans="1:50">
      <c r="A4600" s="1">
        <f>HYPERLINK("https://lsnyc.legalserver.org/matter/dynamic-profile/view/1888643","19-1888643")</f>
        <v>0</v>
      </c>
      <c r="B4600" t="s">
        <v>149</v>
      </c>
      <c r="C4600" t="s">
        <v>340</v>
      </c>
      <c r="D4600" t="s">
        <v>414</v>
      </c>
      <c r="F4600" t="s">
        <v>1235</v>
      </c>
      <c r="G4600" t="s">
        <v>7352</v>
      </c>
      <c r="H4600" t="s">
        <v>13118</v>
      </c>
      <c r="I4600" t="s">
        <v>17284</v>
      </c>
      <c r="J4600" t="s">
        <v>18892</v>
      </c>
      <c r="K4600">
        <v>10457</v>
      </c>
      <c r="L4600" t="s">
        <v>18958</v>
      </c>
      <c r="M4600" t="s">
        <v>18958</v>
      </c>
      <c r="N4600" t="s">
        <v>22394</v>
      </c>
      <c r="O4600" t="s">
        <v>26523</v>
      </c>
      <c r="P4600" t="s">
        <v>26560</v>
      </c>
      <c r="R4600" t="s">
        <v>26579</v>
      </c>
      <c r="S4600" t="s">
        <v>18959</v>
      </c>
      <c r="U4600" t="s">
        <v>26604</v>
      </c>
      <c r="W4600" t="s">
        <v>414</v>
      </c>
      <c r="X4600">
        <v>833.53</v>
      </c>
      <c r="Y4600" t="s">
        <v>26650</v>
      </c>
      <c r="Z4600" t="s">
        <v>26664</v>
      </c>
      <c r="AB4600" t="s">
        <v>30469</v>
      </c>
      <c r="AD4600" t="s">
        <v>40642</v>
      </c>
      <c r="AE4600">
        <v>36</v>
      </c>
      <c r="AG4600" t="s">
        <v>19330</v>
      </c>
      <c r="AH4600">
        <v>39</v>
      </c>
      <c r="AI4600">
        <v>2</v>
      </c>
      <c r="AJ4600">
        <v>0</v>
      </c>
      <c r="AK4600">
        <v>162.07</v>
      </c>
      <c r="AN4600" t="s">
        <v>7439</v>
      </c>
      <c r="AO4600">
        <v>26676</v>
      </c>
      <c r="AU4600">
        <v>7.85</v>
      </c>
      <c r="AV4600" t="s">
        <v>822</v>
      </c>
      <c r="AW4600" t="s">
        <v>336</v>
      </c>
    </row>
    <row r="4601" spans="1:50">
      <c r="A4601" s="1">
        <f>HYPERLINK("https://lsnyc.legalserver.org/matter/dynamic-profile/view/1887512","19-1887512")</f>
        <v>0</v>
      </c>
      <c r="B4601" t="s">
        <v>211</v>
      </c>
      <c r="C4601" t="s">
        <v>340</v>
      </c>
      <c r="D4601" t="s">
        <v>414</v>
      </c>
      <c r="F4601" t="s">
        <v>1013</v>
      </c>
      <c r="G4601" t="s">
        <v>6206</v>
      </c>
      <c r="H4601" t="s">
        <v>11787</v>
      </c>
      <c r="I4601">
        <v>201</v>
      </c>
      <c r="J4601" t="s">
        <v>18893</v>
      </c>
      <c r="K4601">
        <v>10025</v>
      </c>
      <c r="L4601" t="s">
        <v>18958</v>
      </c>
      <c r="M4601" t="s">
        <v>18958</v>
      </c>
      <c r="P4601" t="s">
        <v>26565</v>
      </c>
      <c r="R4601" t="s">
        <v>26578</v>
      </c>
      <c r="U4601" t="s">
        <v>26608</v>
      </c>
      <c r="W4601" t="s">
        <v>414</v>
      </c>
      <c r="X4601">
        <v>0</v>
      </c>
      <c r="Y4601" t="s">
        <v>26652</v>
      </c>
      <c r="AB4601" t="s">
        <v>29042</v>
      </c>
      <c r="AD4601" t="s">
        <v>39096</v>
      </c>
      <c r="AE4601">
        <v>0</v>
      </c>
      <c r="AH4601">
        <v>0</v>
      </c>
      <c r="AI4601">
        <v>2</v>
      </c>
      <c r="AJ4601">
        <v>0</v>
      </c>
      <c r="AK4601">
        <v>63.18</v>
      </c>
      <c r="AN4601" t="s">
        <v>7439</v>
      </c>
      <c r="AO4601">
        <v>10400</v>
      </c>
      <c r="AP4601" t="s">
        <v>45829</v>
      </c>
      <c r="AU4601">
        <v>8.5</v>
      </c>
      <c r="AV4601" t="s">
        <v>671</v>
      </c>
      <c r="AW4601" t="s">
        <v>211</v>
      </c>
    </row>
    <row r="4602" spans="1:50">
      <c r="A4602" s="1">
        <f>HYPERLINK("https://lsnyc.legalserver.org/matter/dynamic-profile/view/1887468","19-1887468")</f>
        <v>0</v>
      </c>
      <c r="B4602" t="s">
        <v>94</v>
      </c>
      <c r="C4602" t="s">
        <v>340</v>
      </c>
      <c r="D4602" t="s">
        <v>414</v>
      </c>
      <c r="F4602" t="s">
        <v>3061</v>
      </c>
      <c r="G4602" t="s">
        <v>5341</v>
      </c>
      <c r="H4602" t="s">
        <v>13119</v>
      </c>
      <c r="I4602">
        <v>19</v>
      </c>
      <c r="J4602" t="s">
        <v>18893</v>
      </c>
      <c r="K4602">
        <v>10031</v>
      </c>
      <c r="L4602" t="s">
        <v>18958</v>
      </c>
      <c r="M4602" t="s">
        <v>18958</v>
      </c>
      <c r="N4602" t="s">
        <v>22395</v>
      </c>
      <c r="O4602" t="s">
        <v>26523</v>
      </c>
      <c r="P4602" t="s">
        <v>26560</v>
      </c>
      <c r="R4602" t="s">
        <v>26580</v>
      </c>
      <c r="S4602" t="s">
        <v>18959</v>
      </c>
      <c r="U4602" t="s">
        <v>26604</v>
      </c>
      <c r="V4602" t="s">
        <v>26611</v>
      </c>
      <c r="W4602" t="s">
        <v>414</v>
      </c>
      <c r="X4602">
        <v>1300</v>
      </c>
      <c r="Y4602" t="s">
        <v>26651</v>
      </c>
      <c r="Z4602" t="s">
        <v>26530</v>
      </c>
      <c r="AB4602" t="s">
        <v>30470</v>
      </c>
      <c r="AC4602" t="s">
        <v>35805</v>
      </c>
      <c r="AD4602" t="s">
        <v>40643</v>
      </c>
      <c r="AE4602">
        <v>0</v>
      </c>
      <c r="AF4602" t="s">
        <v>20460</v>
      </c>
      <c r="AG4602" t="s">
        <v>19330</v>
      </c>
      <c r="AH4602">
        <v>14</v>
      </c>
      <c r="AI4602">
        <v>2</v>
      </c>
      <c r="AJ4602">
        <v>2</v>
      </c>
      <c r="AK4602">
        <v>67.73</v>
      </c>
      <c r="AN4602" t="s">
        <v>45581</v>
      </c>
      <c r="AO4602">
        <v>17000</v>
      </c>
      <c r="AU4602">
        <v>19.2</v>
      </c>
      <c r="AV4602" t="s">
        <v>784</v>
      </c>
      <c r="AW4602" t="s">
        <v>314</v>
      </c>
    </row>
    <row r="4603" spans="1:50">
      <c r="A4603" s="1">
        <f>HYPERLINK("https://lsnyc.legalserver.org/matter/dynamic-profile/view/1887459","19-1887459")</f>
        <v>0</v>
      </c>
      <c r="B4603" t="s">
        <v>151</v>
      </c>
      <c r="C4603" t="s">
        <v>340</v>
      </c>
      <c r="D4603" t="s">
        <v>414</v>
      </c>
      <c r="F4603" t="s">
        <v>2366</v>
      </c>
      <c r="G4603" t="s">
        <v>5514</v>
      </c>
      <c r="H4603" t="s">
        <v>13120</v>
      </c>
      <c r="I4603" t="s">
        <v>17348</v>
      </c>
      <c r="J4603" t="s">
        <v>18893</v>
      </c>
      <c r="K4603">
        <v>10027</v>
      </c>
      <c r="L4603" t="s">
        <v>18958</v>
      </c>
      <c r="M4603" t="s">
        <v>18958</v>
      </c>
      <c r="N4603" t="s">
        <v>22396</v>
      </c>
      <c r="O4603" t="s">
        <v>26523</v>
      </c>
      <c r="P4603" t="s">
        <v>26560</v>
      </c>
      <c r="R4603" t="s">
        <v>26580</v>
      </c>
      <c r="S4603" t="s">
        <v>18959</v>
      </c>
      <c r="U4603" t="s">
        <v>26604</v>
      </c>
      <c r="V4603" t="s">
        <v>26610</v>
      </c>
      <c r="W4603" t="s">
        <v>414</v>
      </c>
      <c r="X4603">
        <v>180</v>
      </c>
      <c r="Y4603" t="s">
        <v>26651</v>
      </c>
      <c r="AB4603" t="s">
        <v>30471</v>
      </c>
      <c r="AD4603" t="s">
        <v>40644</v>
      </c>
      <c r="AE4603">
        <v>0</v>
      </c>
      <c r="AF4603" t="s">
        <v>45544</v>
      </c>
      <c r="AG4603" t="s">
        <v>45556</v>
      </c>
      <c r="AH4603">
        <v>3</v>
      </c>
      <c r="AI4603">
        <v>1</v>
      </c>
      <c r="AJ4603">
        <v>0</v>
      </c>
      <c r="AK4603">
        <v>74.14</v>
      </c>
      <c r="AN4603" t="s">
        <v>7439</v>
      </c>
      <c r="AO4603">
        <v>9000</v>
      </c>
      <c r="AU4603">
        <v>2.8</v>
      </c>
      <c r="AV4603" t="s">
        <v>755</v>
      </c>
      <c r="AW4603" t="s">
        <v>314</v>
      </c>
    </row>
    <row r="4604" spans="1:50">
      <c r="A4604" s="1">
        <f>HYPERLINK("https://lsnyc.legalserver.org/matter/dynamic-profile/view/1887507","19-1887507")</f>
        <v>0</v>
      </c>
      <c r="B4604" t="s">
        <v>151</v>
      </c>
      <c r="C4604" t="s">
        <v>340</v>
      </c>
      <c r="D4604" t="s">
        <v>414</v>
      </c>
      <c r="F4604" t="s">
        <v>1616</v>
      </c>
      <c r="G4604" t="s">
        <v>7353</v>
      </c>
      <c r="H4604" t="s">
        <v>13121</v>
      </c>
      <c r="I4604">
        <v>2</v>
      </c>
      <c r="J4604" t="s">
        <v>18893</v>
      </c>
      <c r="K4604">
        <v>10025</v>
      </c>
      <c r="L4604" t="s">
        <v>18958</v>
      </c>
      <c r="M4604" t="s">
        <v>18958</v>
      </c>
      <c r="N4604" t="s">
        <v>22397</v>
      </c>
      <c r="O4604" t="s">
        <v>26524</v>
      </c>
      <c r="P4604" t="s">
        <v>26560</v>
      </c>
      <c r="R4604" t="s">
        <v>26580</v>
      </c>
      <c r="S4604" t="s">
        <v>18959</v>
      </c>
      <c r="U4604" t="s">
        <v>26604</v>
      </c>
      <c r="V4604" t="s">
        <v>26611</v>
      </c>
      <c r="W4604" t="s">
        <v>414</v>
      </c>
      <c r="X4604">
        <v>7000</v>
      </c>
      <c r="Y4604" t="s">
        <v>26651</v>
      </c>
      <c r="Z4604" t="s">
        <v>26668</v>
      </c>
      <c r="AB4604" t="s">
        <v>28455</v>
      </c>
      <c r="AD4604" t="s">
        <v>40645</v>
      </c>
      <c r="AE4604">
        <v>0</v>
      </c>
      <c r="AG4604" t="s">
        <v>19330</v>
      </c>
      <c r="AH4604">
        <v>2</v>
      </c>
      <c r="AI4604">
        <v>2</v>
      </c>
      <c r="AJ4604">
        <v>0</v>
      </c>
      <c r="AK4604">
        <v>151.88</v>
      </c>
      <c r="AN4604" t="s">
        <v>7439</v>
      </c>
      <c r="AO4604">
        <v>25000</v>
      </c>
      <c r="AU4604">
        <v>31.19</v>
      </c>
      <c r="AV4604" t="s">
        <v>794</v>
      </c>
      <c r="AW4604" t="s">
        <v>46875</v>
      </c>
    </row>
    <row r="4605" spans="1:50">
      <c r="A4605" s="1">
        <f>HYPERLINK("https://lsnyc.legalserver.org/matter/dynamic-profile/view/1887423","19-1887423")</f>
        <v>0</v>
      </c>
      <c r="B4605" t="s">
        <v>102</v>
      </c>
      <c r="C4605" t="s">
        <v>340</v>
      </c>
      <c r="D4605" t="s">
        <v>414</v>
      </c>
      <c r="F4605" t="s">
        <v>1492</v>
      </c>
      <c r="G4605" t="s">
        <v>6215</v>
      </c>
      <c r="H4605" t="s">
        <v>13122</v>
      </c>
      <c r="I4605" t="s">
        <v>17430</v>
      </c>
      <c r="J4605" t="s">
        <v>18902</v>
      </c>
      <c r="K4605">
        <v>10314</v>
      </c>
      <c r="L4605" t="s">
        <v>18958</v>
      </c>
      <c r="M4605" t="s">
        <v>18958</v>
      </c>
      <c r="N4605" t="s">
        <v>22398</v>
      </c>
      <c r="O4605" t="s">
        <v>26524</v>
      </c>
      <c r="P4605" t="s">
        <v>26560</v>
      </c>
      <c r="R4605" t="s">
        <v>26590</v>
      </c>
      <c r="S4605" t="s">
        <v>18959</v>
      </c>
      <c r="U4605" t="s">
        <v>26604</v>
      </c>
      <c r="V4605" t="s">
        <v>26610</v>
      </c>
      <c r="W4605" t="s">
        <v>414</v>
      </c>
      <c r="X4605">
        <v>1250</v>
      </c>
      <c r="Y4605" t="s">
        <v>26654</v>
      </c>
      <c r="Z4605" t="s">
        <v>26668</v>
      </c>
      <c r="AB4605" t="s">
        <v>30472</v>
      </c>
      <c r="AD4605" t="s">
        <v>40646</v>
      </c>
      <c r="AE4605">
        <v>4</v>
      </c>
      <c r="AF4605" t="s">
        <v>45547</v>
      </c>
      <c r="AG4605" t="s">
        <v>19330</v>
      </c>
      <c r="AH4605">
        <v>14</v>
      </c>
      <c r="AI4605">
        <v>2</v>
      </c>
      <c r="AJ4605">
        <v>2</v>
      </c>
      <c r="AK4605">
        <v>121.53</v>
      </c>
      <c r="AN4605" t="s">
        <v>45581</v>
      </c>
      <c r="AO4605">
        <v>30504</v>
      </c>
      <c r="AU4605">
        <v>6</v>
      </c>
      <c r="AV4605" t="s">
        <v>768</v>
      </c>
      <c r="AW4605" t="s">
        <v>185</v>
      </c>
    </row>
    <row r="4606" spans="1:50">
      <c r="A4606" s="1">
        <f>HYPERLINK("https://lsnyc.legalserver.org/matter/dynamic-profile/view/1887510","19-1887510")</f>
        <v>0</v>
      </c>
      <c r="B4606" t="s">
        <v>218</v>
      </c>
      <c r="C4606" t="s">
        <v>340</v>
      </c>
      <c r="D4606" t="s">
        <v>414</v>
      </c>
      <c r="F4606" t="s">
        <v>967</v>
      </c>
      <c r="G4606" t="s">
        <v>5335</v>
      </c>
      <c r="H4606" t="s">
        <v>13123</v>
      </c>
      <c r="I4606" t="s">
        <v>17406</v>
      </c>
      <c r="J4606" t="s">
        <v>18893</v>
      </c>
      <c r="K4606">
        <v>10034</v>
      </c>
      <c r="L4606" t="s">
        <v>18958</v>
      </c>
      <c r="M4606" t="s">
        <v>18958</v>
      </c>
      <c r="N4606" t="s">
        <v>22399</v>
      </c>
      <c r="O4606" t="s">
        <v>26523</v>
      </c>
      <c r="P4606" t="s">
        <v>26560</v>
      </c>
      <c r="R4606" t="s">
        <v>26578</v>
      </c>
      <c r="S4606" t="s">
        <v>18959</v>
      </c>
      <c r="U4606" t="s">
        <v>26604</v>
      </c>
      <c r="V4606" t="s">
        <v>26614</v>
      </c>
      <c r="W4606" t="s">
        <v>414</v>
      </c>
      <c r="X4606">
        <v>1223.79</v>
      </c>
      <c r="Y4606" t="s">
        <v>26651</v>
      </c>
      <c r="Z4606" t="s">
        <v>26664</v>
      </c>
      <c r="AB4606" t="s">
        <v>30473</v>
      </c>
      <c r="AC4606" t="s">
        <v>35806</v>
      </c>
      <c r="AD4606" t="s">
        <v>40647</v>
      </c>
      <c r="AE4606">
        <v>0</v>
      </c>
      <c r="AF4606" t="s">
        <v>20460</v>
      </c>
      <c r="AG4606" t="s">
        <v>45556</v>
      </c>
      <c r="AH4606">
        <v>14</v>
      </c>
      <c r="AI4606">
        <v>1</v>
      </c>
      <c r="AJ4606">
        <v>2</v>
      </c>
      <c r="AK4606">
        <v>40.14</v>
      </c>
      <c r="AN4606" t="s">
        <v>7439</v>
      </c>
      <c r="AO4606">
        <v>8341.200000000001</v>
      </c>
      <c r="AU4606">
        <v>28.85</v>
      </c>
      <c r="AV4606" t="s">
        <v>788</v>
      </c>
      <c r="AW4606" t="s">
        <v>314</v>
      </c>
    </row>
    <row r="4607" spans="1:50">
      <c r="A4607" s="1">
        <f>HYPERLINK("https://lsnyc.legalserver.org/matter/dynamic-profile/view/1888178","19-1888178")</f>
        <v>0</v>
      </c>
      <c r="B4607" t="s">
        <v>187</v>
      </c>
      <c r="C4607" t="s">
        <v>340</v>
      </c>
      <c r="D4607" t="s">
        <v>414</v>
      </c>
      <c r="F4607" t="s">
        <v>1072</v>
      </c>
      <c r="G4607" t="s">
        <v>3780</v>
      </c>
      <c r="H4607" t="s">
        <v>10889</v>
      </c>
      <c r="I4607" t="s">
        <v>18131</v>
      </c>
      <c r="J4607" t="s">
        <v>18892</v>
      </c>
      <c r="K4607">
        <v>10467</v>
      </c>
      <c r="L4607" t="s">
        <v>18958</v>
      </c>
      <c r="M4607" t="s">
        <v>18958</v>
      </c>
      <c r="N4607" t="s">
        <v>22400</v>
      </c>
      <c r="O4607" t="s">
        <v>26523</v>
      </c>
      <c r="P4607" t="s">
        <v>26560</v>
      </c>
      <c r="R4607" t="s">
        <v>26579</v>
      </c>
      <c r="S4607" t="s">
        <v>18959</v>
      </c>
      <c r="U4607" t="s">
        <v>26604</v>
      </c>
      <c r="V4607" t="s">
        <v>26612</v>
      </c>
      <c r="W4607" t="s">
        <v>414</v>
      </c>
      <c r="X4607">
        <v>1245.9</v>
      </c>
      <c r="Y4607" t="s">
        <v>26650</v>
      </c>
      <c r="Z4607" t="s">
        <v>26668</v>
      </c>
      <c r="AB4607" t="s">
        <v>30474</v>
      </c>
      <c r="AD4607" t="s">
        <v>40648</v>
      </c>
      <c r="AE4607">
        <v>64</v>
      </c>
      <c r="AF4607" t="s">
        <v>45552</v>
      </c>
      <c r="AG4607" t="s">
        <v>45561</v>
      </c>
      <c r="AH4607">
        <v>13</v>
      </c>
      <c r="AI4607">
        <v>2</v>
      </c>
      <c r="AJ4607">
        <v>0</v>
      </c>
      <c r="AK4607">
        <v>120.22</v>
      </c>
      <c r="AN4607" t="s">
        <v>7439</v>
      </c>
      <c r="AO4607">
        <v>19788</v>
      </c>
      <c r="AU4607">
        <v>6.7</v>
      </c>
      <c r="AV4607" t="s">
        <v>831</v>
      </c>
      <c r="AW4607" t="s">
        <v>336</v>
      </c>
    </row>
    <row r="4608" spans="1:50">
      <c r="A4608" s="1">
        <f>HYPERLINK("https://lsnyc.legalserver.org/matter/dynamic-profile/view/1888194","19-1888194")</f>
        <v>0</v>
      </c>
      <c r="B4608" t="s">
        <v>187</v>
      </c>
      <c r="C4608" t="s">
        <v>340</v>
      </c>
      <c r="D4608" t="s">
        <v>414</v>
      </c>
      <c r="F4608" t="s">
        <v>2734</v>
      </c>
      <c r="G4608" t="s">
        <v>7354</v>
      </c>
      <c r="H4608" t="s">
        <v>13124</v>
      </c>
      <c r="I4608" t="s">
        <v>17278</v>
      </c>
      <c r="J4608" t="s">
        <v>18892</v>
      </c>
      <c r="K4608">
        <v>10467</v>
      </c>
      <c r="L4608" t="s">
        <v>18958</v>
      </c>
      <c r="M4608" t="s">
        <v>18958</v>
      </c>
      <c r="N4608" t="s">
        <v>22401</v>
      </c>
      <c r="O4608" t="s">
        <v>26523</v>
      </c>
      <c r="P4608" t="s">
        <v>26560</v>
      </c>
      <c r="R4608" t="s">
        <v>26579</v>
      </c>
      <c r="S4608" t="s">
        <v>18959</v>
      </c>
      <c r="U4608" t="s">
        <v>26604</v>
      </c>
      <c r="V4608" t="s">
        <v>26609</v>
      </c>
      <c r="W4608" t="s">
        <v>414</v>
      </c>
      <c r="X4608">
        <v>601</v>
      </c>
      <c r="Y4608" t="s">
        <v>26650</v>
      </c>
      <c r="Z4608" t="s">
        <v>26668</v>
      </c>
      <c r="AB4608" t="s">
        <v>30475</v>
      </c>
      <c r="AD4608" t="s">
        <v>40649</v>
      </c>
      <c r="AE4608">
        <v>8</v>
      </c>
      <c r="AG4608" t="s">
        <v>45556</v>
      </c>
      <c r="AH4608">
        <v>6</v>
      </c>
      <c r="AI4608">
        <v>1</v>
      </c>
      <c r="AJ4608">
        <v>2</v>
      </c>
      <c r="AK4608">
        <v>138.38</v>
      </c>
      <c r="AN4608" t="s">
        <v>7439</v>
      </c>
      <c r="AO4608">
        <v>28756</v>
      </c>
      <c r="AU4608">
        <v>17.6</v>
      </c>
      <c r="AV4608" t="s">
        <v>838</v>
      </c>
      <c r="AW4608" t="s">
        <v>336</v>
      </c>
    </row>
    <row r="4609" spans="1:50">
      <c r="A4609" s="1">
        <f>HYPERLINK("https://lsnyc.legalserver.org/matter/dynamic-profile/view/1888232","19-1888232")</f>
        <v>0</v>
      </c>
      <c r="B4609" t="s">
        <v>187</v>
      </c>
      <c r="C4609" t="s">
        <v>340</v>
      </c>
      <c r="D4609" t="s">
        <v>414</v>
      </c>
      <c r="F4609" t="s">
        <v>3096</v>
      </c>
      <c r="G4609" t="s">
        <v>7355</v>
      </c>
      <c r="H4609" t="s">
        <v>13125</v>
      </c>
      <c r="I4609" t="s">
        <v>17274</v>
      </c>
      <c r="J4609" t="s">
        <v>18892</v>
      </c>
      <c r="K4609">
        <v>10457</v>
      </c>
      <c r="L4609" t="s">
        <v>18958</v>
      </c>
      <c r="M4609" t="s">
        <v>18958</v>
      </c>
      <c r="N4609" t="s">
        <v>22402</v>
      </c>
      <c r="O4609" t="s">
        <v>26523</v>
      </c>
      <c r="P4609" t="s">
        <v>26560</v>
      </c>
      <c r="R4609" t="s">
        <v>26579</v>
      </c>
      <c r="S4609" t="s">
        <v>18959</v>
      </c>
      <c r="U4609" t="s">
        <v>26604</v>
      </c>
      <c r="V4609" t="s">
        <v>26610</v>
      </c>
      <c r="W4609" t="s">
        <v>414</v>
      </c>
      <c r="X4609">
        <v>1650</v>
      </c>
      <c r="Y4609" t="s">
        <v>26650</v>
      </c>
      <c r="Z4609" t="s">
        <v>26668</v>
      </c>
      <c r="AB4609" t="s">
        <v>30476</v>
      </c>
      <c r="AD4609" t="s">
        <v>40650</v>
      </c>
      <c r="AE4609">
        <v>60</v>
      </c>
      <c r="AF4609" t="s">
        <v>45541</v>
      </c>
      <c r="AG4609" t="s">
        <v>19330</v>
      </c>
      <c r="AH4609">
        <v>1</v>
      </c>
      <c r="AI4609">
        <v>1</v>
      </c>
      <c r="AJ4609">
        <v>2</v>
      </c>
      <c r="AK4609">
        <v>192.49</v>
      </c>
      <c r="AN4609" t="s">
        <v>7439</v>
      </c>
      <c r="AO4609">
        <v>40000</v>
      </c>
      <c r="AU4609">
        <v>12.3</v>
      </c>
      <c r="AV4609" t="s">
        <v>814</v>
      </c>
      <c r="AW4609" t="s">
        <v>336</v>
      </c>
    </row>
    <row r="4610" spans="1:50">
      <c r="A4610" s="1">
        <f>HYPERLINK("https://lsnyc.legalserver.org/matter/dynamic-profile/view/1887107","19-1887107")</f>
        <v>0</v>
      </c>
      <c r="B4610" t="s">
        <v>103</v>
      </c>
      <c r="C4610" t="s">
        <v>340</v>
      </c>
      <c r="D4610" t="s">
        <v>414</v>
      </c>
      <c r="F4610" t="s">
        <v>999</v>
      </c>
      <c r="G4610" t="s">
        <v>7356</v>
      </c>
      <c r="H4610" t="s">
        <v>13126</v>
      </c>
      <c r="I4610" t="s">
        <v>17277</v>
      </c>
      <c r="J4610" t="s">
        <v>18902</v>
      </c>
      <c r="K4610">
        <v>10301</v>
      </c>
      <c r="L4610" t="s">
        <v>18958</v>
      </c>
      <c r="M4610" t="s">
        <v>18958</v>
      </c>
      <c r="N4610" t="s">
        <v>22403</v>
      </c>
      <c r="O4610" t="s">
        <v>26524</v>
      </c>
      <c r="P4610" t="s">
        <v>26560</v>
      </c>
      <c r="R4610" t="s">
        <v>26578</v>
      </c>
      <c r="S4610" t="s">
        <v>18959</v>
      </c>
      <c r="U4610" t="s">
        <v>26604</v>
      </c>
      <c r="V4610" t="s">
        <v>26610</v>
      </c>
      <c r="W4610" t="s">
        <v>414</v>
      </c>
      <c r="X4610">
        <v>2200</v>
      </c>
      <c r="Y4610" t="s">
        <v>26654</v>
      </c>
      <c r="Z4610" t="s">
        <v>26668</v>
      </c>
      <c r="AB4610" t="s">
        <v>30477</v>
      </c>
      <c r="AD4610" t="s">
        <v>40651</v>
      </c>
      <c r="AE4610">
        <v>227</v>
      </c>
      <c r="AF4610" t="s">
        <v>45543</v>
      </c>
      <c r="AG4610" t="s">
        <v>19330</v>
      </c>
      <c r="AH4610">
        <v>5</v>
      </c>
      <c r="AI4610">
        <v>2</v>
      </c>
      <c r="AJ4610">
        <v>0</v>
      </c>
      <c r="AK4610">
        <v>0</v>
      </c>
      <c r="AN4610" t="s">
        <v>7439</v>
      </c>
      <c r="AO4610">
        <v>0</v>
      </c>
      <c r="AU4610">
        <v>30.7</v>
      </c>
      <c r="AV4610" t="s">
        <v>832</v>
      </c>
      <c r="AW4610" t="s">
        <v>46855</v>
      </c>
      <c r="AX4610" t="s">
        <v>46897</v>
      </c>
    </row>
    <row r="4611" spans="1:50">
      <c r="A4611" s="1">
        <f>HYPERLINK("https://lsnyc.legalserver.org/matter/dynamic-profile/view/1887444","19-1887444")</f>
        <v>0</v>
      </c>
      <c r="B4611" t="s">
        <v>104</v>
      </c>
      <c r="C4611" t="s">
        <v>340</v>
      </c>
      <c r="D4611" t="s">
        <v>414</v>
      </c>
      <c r="F4611" t="s">
        <v>3097</v>
      </c>
      <c r="G4611" t="s">
        <v>5008</v>
      </c>
      <c r="H4611" t="s">
        <v>10733</v>
      </c>
      <c r="I4611" t="s">
        <v>17358</v>
      </c>
      <c r="J4611" t="s">
        <v>18902</v>
      </c>
      <c r="K4611">
        <v>10303</v>
      </c>
      <c r="L4611" t="s">
        <v>18958</v>
      </c>
      <c r="M4611" t="s">
        <v>18958</v>
      </c>
      <c r="N4611" t="s">
        <v>22404</v>
      </c>
      <c r="O4611" t="s">
        <v>26523</v>
      </c>
      <c r="P4611" t="s">
        <v>26560</v>
      </c>
      <c r="R4611" t="s">
        <v>26590</v>
      </c>
      <c r="S4611" t="s">
        <v>18959</v>
      </c>
      <c r="U4611" t="s">
        <v>26606</v>
      </c>
      <c r="V4611" t="s">
        <v>26610</v>
      </c>
      <c r="W4611" t="s">
        <v>414</v>
      </c>
      <c r="X4611">
        <v>348</v>
      </c>
      <c r="Y4611" t="s">
        <v>26654</v>
      </c>
      <c r="Z4611" t="s">
        <v>26668</v>
      </c>
      <c r="AB4611" t="s">
        <v>30478</v>
      </c>
      <c r="AD4611" t="s">
        <v>40652</v>
      </c>
      <c r="AE4611">
        <v>0</v>
      </c>
      <c r="AF4611" t="s">
        <v>45543</v>
      </c>
      <c r="AG4611" t="s">
        <v>45556</v>
      </c>
      <c r="AH4611">
        <v>4</v>
      </c>
      <c r="AI4611">
        <v>1</v>
      </c>
      <c r="AJ4611">
        <v>2</v>
      </c>
      <c r="AK4611">
        <v>54.8</v>
      </c>
      <c r="AN4611" t="s">
        <v>7439</v>
      </c>
      <c r="AO4611">
        <v>11388</v>
      </c>
      <c r="AU4611">
        <v>13.4</v>
      </c>
      <c r="AV4611" t="s">
        <v>830</v>
      </c>
      <c r="AW4611" t="s">
        <v>185</v>
      </c>
    </row>
    <row r="4612" spans="1:50">
      <c r="A4612" s="1">
        <f>HYPERLINK("https://lsnyc.legalserver.org/matter/dynamic-profile/view/1887426","19-1887426")</f>
        <v>0</v>
      </c>
      <c r="B4612" t="s">
        <v>194</v>
      </c>
      <c r="C4612" t="s">
        <v>340</v>
      </c>
      <c r="D4612" t="s">
        <v>414</v>
      </c>
      <c r="F4612" t="s">
        <v>3098</v>
      </c>
      <c r="G4612" t="s">
        <v>7357</v>
      </c>
      <c r="H4612" t="s">
        <v>9669</v>
      </c>
      <c r="I4612" t="s">
        <v>17369</v>
      </c>
      <c r="J4612" t="s">
        <v>18893</v>
      </c>
      <c r="K4612">
        <v>10026</v>
      </c>
      <c r="L4612" t="s">
        <v>18958</v>
      </c>
      <c r="M4612" t="s">
        <v>18958</v>
      </c>
      <c r="N4612" t="s">
        <v>22405</v>
      </c>
      <c r="O4612" t="s">
        <v>26523</v>
      </c>
      <c r="P4612" t="s">
        <v>26560</v>
      </c>
      <c r="R4612" t="s">
        <v>26580</v>
      </c>
      <c r="S4612" t="s">
        <v>18959</v>
      </c>
      <c r="U4612" t="s">
        <v>26604</v>
      </c>
      <c r="V4612" t="s">
        <v>26610</v>
      </c>
      <c r="W4612" t="s">
        <v>414</v>
      </c>
      <c r="X4612">
        <v>872.99</v>
      </c>
      <c r="Y4612" t="s">
        <v>26651</v>
      </c>
      <c r="Z4612" t="s">
        <v>26664</v>
      </c>
      <c r="AB4612" t="s">
        <v>30479</v>
      </c>
      <c r="AC4612" t="s">
        <v>35807</v>
      </c>
      <c r="AD4612" t="s">
        <v>40653</v>
      </c>
      <c r="AE4612">
        <v>113</v>
      </c>
      <c r="AF4612" t="s">
        <v>45541</v>
      </c>
      <c r="AG4612" t="s">
        <v>19330</v>
      </c>
      <c r="AH4612">
        <v>4</v>
      </c>
      <c r="AI4612">
        <v>1</v>
      </c>
      <c r="AJ4612">
        <v>1</v>
      </c>
      <c r="AK4612">
        <v>67.36</v>
      </c>
      <c r="AN4612" t="s">
        <v>7439</v>
      </c>
      <c r="AO4612">
        <v>11088</v>
      </c>
      <c r="AU4612">
        <v>16.05</v>
      </c>
      <c r="AV4612" t="s">
        <v>839</v>
      </c>
      <c r="AW4612" t="s">
        <v>314</v>
      </c>
    </row>
    <row r="4613" spans="1:50">
      <c r="A4613" s="1">
        <f>HYPERLINK("https://lsnyc.legalserver.org/matter/dynamic-profile/view/1887449","19-1887449")</f>
        <v>0</v>
      </c>
      <c r="B4613" t="s">
        <v>194</v>
      </c>
      <c r="C4613" t="s">
        <v>340</v>
      </c>
      <c r="D4613" t="s">
        <v>414</v>
      </c>
      <c r="F4613" t="s">
        <v>3099</v>
      </c>
      <c r="G4613" t="s">
        <v>7358</v>
      </c>
      <c r="H4613" t="s">
        <v>11039</v>
      </c>
      <c r="I4613" t="s">
        <v>17700</v>
      </c>
      <c r="J4613" t="s">
        <v>18893</v>
      </c>
      <c r="K4613">
        <v>10025</v>
      </c>
      <c r="L4613" t="s">
        <v>18958</v>
      </c>
      <c r="M4613" t="s">
        <v>18958</v>
      </c>
      <c r="N4613" t="s">
        <v>22406</v>
      </c>
      <c r="O4613" t="s">
        <v>26523</v>
      </c>
      <c r="P4613" t="s">
        <v>26560</v>
      </c>
      <c r="R4613" t="s">
        <v>26580</v>
      </c>
      <c r="S4613" t="s">
        <v>18959</v>
      </c>
      <c r="U4613" t="s">
        <v>26604</v>
      </c>
      <c r="V4613" t="s">
        <v>26610</v>
      </c>
      <c r="W4613" t="s">
        <v>414</v>
      </c>
      <c r="X4613">
        <v>1106.43</v>
      </c>
      <c r="Y4613" t="s">
        <v>26651</v>
      </c>
      <c r="Z4613" t="s">
        <v>26668</v>
      </c>
      <c r="AB4613" t="s">
        <v>30480</v>
      </c>
      <c r="AD4613" t="s">
        <v>40654</v>
      </c>
      <c r="AE4613">
        <v>0</v>
      </c>
      <c r="AF4613" t="s">
        <v>45541</v>
      </c>
      <c r="AG4613" t="s">
        <v>45559</v>
      </c>
      <c r="AH4613">
        <v>34</v>
      </c>
      <c r="AI4613">
        <v>1</v>
      </c>
      <c r="AJ4613">
        <v>0</v>
      </c>
      <c r="AK4613">
        <v>103.79</v>
      </c>
      <c r="AN4613" t="s">
        <v>7439</v>
      </c>
      <c r="AO4613">
        <v>12600</v>
      </c>
      <c r="AU4613">
        <v>10.8</v>
      </c>
      <c r="AV4613" t="s">
        <v>729</v>
      </c>
      <c r="AW4613" t="s">
        <v>46875</v>
      </c>
    </row>
    <row r="4614" spans="1:50">
      <c r="A4614" s="1">
        <f>HYPERLINK("https://lsnyc.legalserver.org/matter/dynamic-profile/view/1887434","19-1887434")</f>
        <v>0</v>
      </c>
      <c r="B4614" t="s">
        <v>194</v>
      </c>
      <c r="C4614" t="s">
        <v>340</v>
      </c>
      <c r="D4614" t="s">
        <v>414</v>
      </c>
      <c r="F4614" t="s">
        <v>868</v>
      </c>
      <c r="G4614" t="s">
        <v>5347</v>
      </c>
      <c r="H4614" t="s">
        <v>13127</v>
      </c>
      <c r="I4614" t="s">
        <v>17284</v>
      </c>
      <c r="J4614" t="s">
        <v>18893</v>
      </c>
      <c r="K4614">
        <v>10026</v>
      </c>
      <c r="L4614" t="s">
        <v>18958</v>
      </c>
      <c r="M4614" t="s">
        <v>18958</v>
      </c>
      <c r="N4614" t="s">
        <v>22407</v>
      </c>
      <c r="O4614" t="s">
        <v>26523</v>
      </c>
      <c r="P4614" t="s">
        <v>26564</v>
      </c>
      <c r="R4614" t="s">
        <v>26580</v>
      </c>
      <c r="S4614" t="s">
        <v>18959</v>
      </c>
      <c r="U4614" t="s">
        <v>26604</v>
      </c>
      <c r="W4614" t="s">
        <v>414</v>
      </c>
      <c r="X4614">
        <v>1114</v>
      </c>
      <c r="Y4614" t="s">
        <v>26651</v>
      </c>
      <c r="Z4614" t="s">
        <v>26668</v>
      </c>
      <c r="AB4614" t="s">
        <v>30481</v>
      </c>
      <c r="AD4614" t="s">
        <v>40655</v>
      </c>
      <c r="AE4614">
        <v>0</v>
      </c>
      <c r="AF4614" t="s">
        <v>45541</v>
      </c>
      <c r="AG4614" t="s">
        <v>19330</v>
      </c>
      <c r="AH4614">
        <v>2</v>
      </c>
      <c r="AI4614">
        <v>2</v>
      </c>
      <c r="AJ4614">
        <v>0</v>
      </c>
      <c r="AK4614">
        <v>255.16</v>
      </c>
      <c r="AN4614" t="s">
        <v>7439</v>
      </c>
      <c r="AO4614">
        <v>42000</v>
      </c>
      <c r="AU4614">
        <v>0</v>
      </c>
      <c r="AW4614" t="s">
        <v>314</v>
      </c>
    </row>
    <row r="4615" spans="1:50">
      <c r="A4615" s="1">
        <f>HYPERLINK("https://lsnyc.legalserver.org/matter/dynamic-profile/view/1887819","19-1887819")</f>
        <v>0</v>
      </c>
      <c r="B4615" t="s">
        <v>211</v>
      </c>
      <c r="C4615" t="s">
        <v>341</v>
      </c>
      <c r="D4615" t="s">
        <v>458</v>
      </c>
      <c r="E4615" t="s">
        <v>763</v>
      </c>
      <c r="F4615" t="s">
        <v>939</v>
      </c>
      <c r="G4615" t="s">
        <v>6812</v>
      </c>
      <c r="H4615" t="s">
        <v>13128</v>
      </c>
      <c r="I4615" t="s">
        <v>17312</v>
      </c>
      <c r="J4615" t="s">
        <v>18894</v>
      </c>
      <c r="K4615">
        <v>11207</v>
      </c>
      <c r="L4615" t="s">
        <v>18958</v>
      </c>
      <c r="M4615" t="s">
        <v>18958</v>
      </c>
      <c r="N4615" t="s">
        <v>18997</v>
      </c>
      <c r="O4615" t="s">
        <v>26531</v>
      </c>
      <c r="P4615" t="s">
        <v>26565</v>
      </c>
      <c r="Q4615" t="s">
        <v>26571</v>
      </c>
      <c r="R4615" t="s">
        <v>26578</v>
      </c>
      <c r="S4615" t="s">
        <v>18959</v>
      </c>
      <c r="U4615" t="s">
        <v>26604</v>
      </c>
      <c r="V4615" t="s">
        <v>26610</v>
      </c>
      <c r="W4615" t="s">
        <v>414</v>
      </c>
      <c r="X4615">
        <v>1211</v>
      </c>
      <c r="Y4615" t="s">
        <v>26652</v>
      </c>
      <c r="AA4615" t="s">
        <v>26683</v>
      </c>
      <c r="AB4615" t="s">
        <v>30482</v>
      </c>
      <c r="AC4615" t="s">
        <v>34508</v>
      </c>
      <c r="AD4615" t="s">
        <v>40656</v>
      </c>
      <c r="AE4615">
        <v>0</v>
      </c>
      <c r="AG4615" t="s">
        <v>45561</v>
      </c>
      <c r="AH4615">
        <v>11</v>
      </c>
      <c r="AI4615">
        <v>2</v>
      </c>
      <c r="AJ4615">
        <v>0</v>
      </c>
      <c r="AK4615">
        <v>57.67</v>
      </c>
      <c r="AN4615" t="s">
        <v>7439</v>
      </c>
      <c r="AO4615">
        <v>9492</v>
      </c>
      <c r="AU4615">
        <v>32.15</v>
      </c>
      <c r="AV4615" t="s">
        <v>762</v>
      </c>
      <c r="AW4615" t="s">
        <v>279</v>
      </c>
    </row>
    <row r="4616" spans="1:50">
      <c r="A4616" s="1">
        <f>HYPERLINK("https://lsnyc.legalserver.org/matter/dynamic-profile/view/1889504","19-1889504")</f>
        <v>0</v>
      </c>
      <c r="B4616" t="s">
        <v>121</v>
      </c>
      <c r="C4616" t="s">
        <v>340</v>
      </c>
      <c r="D4616" t="s">
        <v>677</v>
      </c>
      <c r="F4616" t="s">
        <v>3100</v>
      </c>
      <c r="G4616" t="s">
        <v>5164</v>
      </c>
      <c r="H4616" t="s">
        <v>13129</v>
      </c>
      <c r="I4616" t="s">
        <v>17465</v>
      </c>
      <c r="J4616" t="s">
        <v>18892</v>
      </c>
      <c r="K4616">
        <v>10453</v>
      </c>
      <c r="L4616" t="s">
        <v>18958</v>
      </c>
      <c r="M4616" t="s">
        <v>18958</v>
      </c>
      <c r="N4616" t="s">
        <v>22408</v>
      </c>
      <c r="O4616" t="s">
        <v>26524</v>
      </c>
      <c r="P4616" t="s">
        <v>26560</v>
      </c>
      <c r="R4616" t="s">
        <v>26577</v>
      </c>
      <c r="S4616" t="s">
        <v>18959</v>
      </c>
      <c r="U4616" t="s">
        <v>26604</v>
      </c>
      <c r="V4616" t="s">
        <v>26610</v>
      </c>
      <c r="W4616" t="s">
        <v>414</v>
      </c>
      <c r="X4616">
        <v>1950</v>
      </c>
      <c r="Y4616" t="s">
        <v>26650</v>
      </c>
      <c r="Z4616" t="s">
        <v>26668</v>
      </c>
      <c r="AB4616" t="s">
        <v>30483</v>
      </c>
      <c r="AD4616" t="s">
        <v>40657</v>
      </c>
      <c r="AE4616">
        <v>0</v>
      </c>
      <c r="AF4616" t="s">
        <v>45541</v>
      </c>
      <c r="AG4616" t="s">
        <v>19330</v>
      </c>
      <c r="AH4616">
        <v>3</v>
      </c>
      <c r="AI4616">
        <v>1</v>
      </c>
      <c r="AJ4616">
        <v>0</v>
      </c>
      <c r="AK4616">
        <v>186.52</v>
      </c>
      <c r="AN4616" t="s">
        <v>7439</v>
      </c>
      <c r="AO4616">
        <v>23296</v>
      </c>
      <c r="AU4616">
        <v>10</v>
      </c>
      <c r="AV4616" t="s">
        <v>755</v>
      </c>
      <c r="AW4616" t="s">
        <v>46836</v>
      </c>
    </row>
    <row r="4617" spans="1:50">
      <c r="A4617" s="1">
        <f>HYPERLINK("https://lsnyc.legalserver.org/matter/dynamic-profile/view/1887529","19-1887529")</f>
        <v>0</v>
      </c>
      <c r="B4617" t="s">
        <v>153</v>
      </c>
      <c r="C4617" t="s">
        <v>341</v>
      </c>
      <c r="D4617" t="s">
        <v>723</v>
      </c>
      <c r="E4617" t="s">
        <v>660</v>
      </c>
      <c r="F4617" t="s">
        <v>3101</v>
      </c>
      <c r="G4617" t="s">
        <v>7359</v>
      </c>
      <c r="H4617" t="s">
        <v>13130</v>
      </c>
      <c r="J4617" t="s">
        <v>18902</v>
      </c>
      <c r="K4617">
        <v>10304</v>
      </c>
      <c r="L4617" t="s">
        <v>18958</v>
      </c>
      <c r="M4617" t="s">
        <v>18958</v>
      </c>
      <c r="O4617" t="s">
        <v>18997</v>
      </c>
      <c r="P4617" t="s">
        <v>26565</v>
      </c>
      <c r="Q4617" t="s">
        <v>26571</v>
      </c>
      <c r="R4617" t="s">
        <v>26589</v>
      </c>
      <c r="S4617" t="s">
        <v>18959</v>
      </c>
      <c r="U4617" t="s">
        <v>26604</v>
      </c>
      <c r="V4617" t="s">
        <v>26610</v>
      </c>
      <c r="W4617" t="s">
        <v>414</v>
      </c>
      <c r="X4617">
        <v>0</v>
      </c>
      <c r="Y4617" t="s">
        <v>26654</v>
      </c>
      <c r="Z4617" t="s">
        <v>26671</v>
      </c>
      <c r="AA4617" t="s">
        <v>26683</v>
      </c>
      <c r="AB4617" t="s">
        <v>30484</v>
      </c>
      <c r="AD4617" t="s">
        <v>40658</v>
      </c>
      <c r="AE4617">
        <v>0</v>
      </c>
      <c r="AH4617">
        <v>20</v>
      </c>
      <c r="AI4617">
        <v>1</v>
      </c>
      <c r="AJ4617">
        <v>1</v>
      </c>
      <c r="AK4617">
        <v>0</v>
      </c>
      <c r="AL4617" t="s">
        <v>45567</v>
      </c>
      <c r="AM4617" t="s">
        <v>45577</v>
      </c>
      <c r="AN4617" t="s">
        <v>7439</v>
      </c>
      <c r="AO4617">
        <v>0</v>
      </c>
      <c r="AU4617">
        <v>3</v>
      </c>
      <c r="AV4617" t="s">
        <v>793</v>
      </c>
      <c r="AW4617" t="s">
        <v>153</v>
      </c>
    </row>
    <row r="4618" spans="1:50">
      <c r="A4618" s="1">
        <f>HYPERLINK("https://lsnyc.legalserver.org/matter/dynamic-profile/view/1896456","19-1896456")</f>
        <v>0</v>
      </c>
      <c r="B4618" t="s">
        <v>211</v>
      </c>
      <c r="C4618" t="s">
        <v>340</v>
      </c>
      <c r="D4618" t="s">
        <v>724</v>
      </c>
      <c r="F4618" t="s">
        <v>1013</v>
      </c>
      <c r="G4618" t="s">
        <v>6206</v>
      </c>
      <c r="H4618" t="s">
        <v>11787</v>
      </c>
      <c r="I4618">
        <v>201</v>
      </c>
      <c r="J4618" t="s">
        <v>18893</v>
      </c>
      <c r="K4618">
        <v>10025</v>
      </c>
      <c r="L4618" t="s">
        <v>18958</v>
      </c>
      <c r="M4618" t="s">
        <v>18958</v>
      </c>
      <c r="O4618" t="s">
        <v>26531</v>
      </c>
      <c r="P4618" t="s">
        <v>26565</v>
      </c>
      <c r="R4618" t="s">
        <v>26578</v>
      </c>
      <c r="S4618" t="s">
        <v>18959</v>
      </c>
      <c r="U4618" t="s">
        <v>26604</v>
      </c>
      <c r="V4618" t="s">
        <v>26610</v>
      </c>
      <c r="W4618" t="s">
        <v>414</v>
      </c>
      <c r="X4618">
        <v>0</v>
      </c>
      <c r="Y4618" t="s">
        <v>26652</v>
      </c>
      <c r="AB4618" t="s">
        <v>29042</v>
      </c>
      <c r="AD4618" t="s">
        <v>39096</v>
      </c>
      <c r="AE4618">
        <v>0</v>
      </c>
      <c r="AH4618">
        <v>0</v>
      </c>
      <c r="AI4618">
        <v>2</v>
      </c>
      <c r="AJ4618">
        <v>0</v>
      </c>
      <c r="AK4618">
        <v>61.5</v>
      </c>
      <c r="AN4618" t="s">
        <v>7439</v>
      </c>
      <c r="AO4618">
        <v>10400</v>
      </c>
      <c r="AP4618" t="s">
        <v>45830</v>
      </c>
      <c r="AU4618">
        <v>0</v>
      </c>
      <c r="AW4618" t="s">
        <v>279</v>
      </c>
    </row>
    <row r="4619" spans="1:50">
      <c r="A4619" s="1">
        <f>HYPERLINK("https://lsnyc.legalserver.org/matter/dynamic-profile/view/1882518","18-1882518")</f>
        <v>0</v>
      </c>
      <c r="B4619" t="s">
        <v>243</v>
      </c>
      <c r="C4619" t="s">
        <v>340</v>
      </c>
      <c r="D4619" t="s">
        <v>646</v>
      </c>
      <c r="F4619" t="s">
        <v>3102</v>
      </c>
      <c r="G4619" t="s">
        <v>7360</v>
      </c>
      <c r="H4619" t="s">
        <v>13131</v>
      </c>
      <c r="I4619" t="s">
        <v>17277</v>
      </c>
      <c r="J4619" t="s">
        <v>18894</v>
      </c>
      <c r="K4619">
        <v>11213</v>
      </c>
      <c r="L4619" t="s">
        <v>18958</v>
      </c>
      <c r="M4619" t="s">
        <v>18960</v>
      </c>
      <c r="P4619" t="s">
        <v>26562</v>
      </c>
      <c r="R4619" t="s">
        <v>26578</v>
      </c>
      <c r="U4619" t="s">
        <v>26604</v>
      </c>
      <c r="W4619" t="s">
        <v>415</v>
      </c>
      <c r="X4619">
        <v>0</v>
      </c>
      <c r="Y4619" t="s">
        <v>26652</v>
      </c>
      <c r="AB4619" t="s">
        <v>30485</v>
      </c>
      <c r="AD4619" t="s">
        <v>40659</v>
      </c>
      <c r="AE4619">
        <v>0</v>
      </c>
      <c r="AF4619" t="s">
        <v>45541</v>
      </c>
      <c r="AH4619">
        <v>51</v>
      </c>
      <c r="AI4619">
        <v>1</v>
      </c>
      <c r="AJ4619">
        <v>0</v>
      </c>
      <c r="AK4619">
        <v>82.04000000000001</v>
      </c>
      <c r="AN4619" t="s">
        <v>7439</v>
      </c>
      <c r="AO4619">
        <v>9960</v>
      </c>
      <c r="AU4619">
        <v>7.3</v>
      </c>
      <c r="AV4619" t="s">
        <v>786</v>
      </c>
      <c r="AW4619" t="s">
        <v>46856</v>
      </c>
      <c r="AX4619" t="s">
        <v>46897</v>
      </c>
    </row>
    <row r="4620" spans="1:50">
      <c r="A4620" s="1">
        <f>HYPERLINK("https://lsnyc.legalserver.org/matter/dynamic-profile/view/1885244","18-1885244")</f>
        <v>0</v>
      </c>
      <c r="B4620" t="s">
        <v>243</v>
      </c>
      <c r="C4620" t="s">
        <v>340</v>
      </c>
      <c r="D4620" t="s">
        <v>683</v>
      </c>
      <c r="F4620" t="s">
        <v>3103</v>
      </c>
      <c r="G4620" t="s">
        <v>3327</v>
      </c>
      <c r="H4620" t="s">
        <v>11943</v>
      </c>
      <c r="J4620" t="s">
        <v>18894</v>
      </c>
      <c r="K4620">
        <v>11226</v>
      </c>
      <c r="L4620" t="s">
        <v>18958</v>
      </c>
      <c r="M4620" t="s">
        <v>18958</v>
      </c>
      <c r="O4620" t="s">
        <v>26524</v>
      </c>
      <c r="P4620" t="s">
        <v>26560</v>
      </c>
      <c r="R4620" t="s">
        <v>26578</v>
      </c>
      <c r="U4620" t="s">
        <v>26604</v>
      </c>
      <c r="W4620" t="s">
        <v>415</v>
      </c>
      <c r="X4620">
        <v>778.9299999999999</v>
      </c>
      <c r="Y4620" t="s">
        <v>26652</v>
      </c>
      <c r="AB4620" t="s">
        <v>27841</v>
      </c>
      <c r="AD4620" t="s">
        <v>40660</v>
      </c>
      <c r="AE4620">
        <v>0</v>
      </c>
      <c r="AH4620">
        <v>8</v>
      </c>
      <c r="AI4620">
        <v>1</v>
      </c>
      <c r="AJ4620">
        <v>0</v>
      </c>
      <c r="AK4620">
        <v>71.86</v>
      </c>
      <c r="AN4620" t="s">
        <v>7439</v>
      </c>
      <c r="AO4620">
        <v>8724</v>
      </c>
      <c r="AU4620">
        <v>0.5</v>
      </c>
      <c r="AV4620" t="s">
        <v>772</v>
      </c>
      <c r="AW4620" t="s">
        <v>219</v>
      </c>
    </row>
    <row r="4621" spans="1:50">
      <c r="A4621" s="1">
        <f>HYPERLINK("https://lsnyc.legalserver.org/matter/dynamic-profile/view/1884968","18-1884968")</f>
        <v>0</v>
      </c>
      <c r="B4621" t="s">
        <v>216</v>
      </c>
      <c r="C4621" t="s">
        <v>341</v>
      </c>
      <c r="D4621" t="s">
        <v>689</v>
      </c>
      <c r="E4621" t="s">
        <v>415</v>
      </c>
      <c r="F4621" t="s">
        <v>3104</v>
      </c>
      <c r="G4621" t="s">
        <v>7111</v>
      </c>
      <c r="H4621" t="s">
        <v>13132</v>
      </c>
      <c r="I4621" t="s">
        <v>17416</v>
      </c>
      <c r="J4621" t="s">
        <v>18894</v>
      </c>
      <c r="K4621">
        <v>11208</v>
      </c>
      <c r="L4621" t="s">
        <v>18958</v>
      </c>
      <c r="M4621" t="s">
        <v>18958</v>
      </c>
      <c r="N4621" t="s">
        <v>22409</v>
      </c>
      <c r="O4621" t="s">
        <v>26524</v>
      </c>
      <c r="P4621" t="s">
        <v>26564</v>
      </c>
      <c r="Q4621" t="s">
        <v>26570</v>
      </c>
      <c r="R4621" t="s">
        <v>26578</v>
      </c>
      <c r="S4621" t="s">
        <v>18959</v>
      </c>
      <c r="U4621" t="s">
        <v>26604</v>
      </c>
      <c r="W4621" t="s">
        <v>415</v>
      </c>
      <c r="X4621">
        <v>215</v>
      </c>
      <c r="Y4621" t="s">
        <v>26652</v>
      </c>
      <c r="Z4621" t="s">
        <v>26664</v>
      </c>
      <c r="AA4621" t="s">
        <v>26683</v>
      </c>
      <c r="AB4621" t="s">
        <v>30486</v>
      </c>
      <c r="AD4621" t="s">
        <v>40661</v>
      </c>
      <c r="AE4621">
        <v>3</v>
      </c>
      <c r="AF4621" t="s">
        <v>45547</v>
      </c>
      <c r="AH4621">
        <v>1</v>
      </c>
      <c r="AI4621">
        <v>1</v>
      </c>
      <c r="AJ4621">
        <v>0</v>
      </c>
      <c r="AK4621">
        <v>128.5</v>
      </c>
      <c r="AN4621" t="s">
        <v>7439</v>
      </c>
      <c r="AO4621">
        <v>15600</v>
      </c>
      <c r="AU4621">
        <v>3.6</v>
      </c>
      <c r="AV4621" t="s">
        <v>704</v>
      </c>
      <c r="AW4621" t="s">
        <v>140</v>
      </c>
    </row>
    <row r="4622" spans="1:50">
      <c r="A4622" s="1">
        <f>HYPERLINK("https://lsnyc.legalserver.org/matter/dynamic-profile/view/1886399","18-1886399")</f>
        <v>0</v>
      </c>
      <c r="B4622" t="s">
        <v>57</v>
      </c>
      <c r="C4622" t="s">
        <v>340</v>
      </c>
      <c r="D4622" t="s">
        <v>705</v>
      </c>
      <c r="F4622" t="s">
        <v>3105</v>
      </c>
      <c r="G4622" t="s">
        <v>6231</v>
      </c>
      <c r="H4622" t="s">
        <v>13133</v>
      </c>
      <c r="I4622" t="s">
        <v>17533</v>
      </c>
      <c r="J4622" t="s">
        <v>18892</v>
      </c>
      <c r="K4622">
        <v>10452</v>
      </c>
      <c r="L4622" t="s">
        <v>18958</v>
      </c>
      <c r="M4622" t="s">
        <v>18958</v>
      </c>
      <c r="N4622" t="s">
        <v>22410</v>
      </c>
      <c r="O4622" t="s">
        <v>26524</v>
      </c>
      <c r="P4622" t="s">
        <v>26564</v>
      </c>
      <c r="R4622" t="s">
        <v>26577</v>
      </c>
      <c r="U4622" t="s">
        <v>26604</v>
      </c>
      <c r="V4622" t="s">
        <v>26610</v>
      </c>
      <c r="W4622" t="s">
        <v>415</v>
      </c>
      <c r="X4622">
        <v>0</v>
      </c>
      <c r="Y4622" t="s">
        <v>26650</v>
      </c>
      <c r="Z4622" t="s">
        <v>26664</v>
      </c>
      <c r="AB4622" t="s">
        <v>30487</v>
      </c>
      <c r="AE4622">
        <v>0</v>
      </c>
      <c r="AG4622" t="s">
        <v>45556</v>
      </c>
      <c r="AH4622">
        <v>0</v>
      </c>
      <c r="AI4622">
        <v>3</v>
      </c>
      <c r="AJ4622">
        <v>4</v>
      </c>
      <c r="AK4622">
        <v>49.56</v>
      </c>
      <c r="AN4622" t="s">
        <v>45581</v>
      </c>
      <c r="AO4622">
        <v>18864</v>
      </c>
      <c r="AU4622">
        <v>3.15</v>
      </c>
      <c r="AV4622" t="s">
        <v>728</v>
      </c>
      <c r="AW4622" t="s">
        <v>334</v>
      </c>
    </row>
    <row r="4623" spans="1:50">
      <c r="A4623" s="1">
        <f>HYPERLINK("https://lsnyc.legalserver.org/matter/dynamic-profile/view/1887656","19-1887656")</f>
        <v>0</v>
      </c>
      <c r="B4623" t="s">
        <v>107</v>
      </c>
      <c r="C4623" t="s">
        <v>341</v>
      </c>
      <c r="D4623" t="s">
        <v>415</v>
      </c>
      <c r="E4623" t="s">
        <v>820</v>
      </c>
      <c r="F4623" t="s">
        <v>1955</v>
      </c>
      <c r="G4623" t="s">
        <v>5109</v>
      </c>
      <c r="H4623" t="s">
        <v>13134</v>
      </c>
      <c r="I4623">
        <v>2</v>
      </c>
      <c r="J4623" t="s">
        <v>18901</v>
      </c>
      <c r="K4623">
        <v>11433</v>
      </c>
      <c r="L4623" t="s">
        <v>18958</v>
      </c>
      <c r="M4623" t="s">
        <v>18958</v>
      </c>
      <c r="N4623" t="s">
        <v>22411</v>
      </c>
      <c r="O4623" t="s">
        <v>26523</v>
      </c>
      <c r="P4623" t="s">
        <v>26560</v>
      </c>
      <c r="Q4623" t="s">
        <v>26569</v>
      </c>
      <c r="R4623" t="s">
        <v>26585</v>
      </c>
      <c r="S4623" t="s">
        <v>18959</v>
      </c>
      <c r="U4623" t="s">
        <v>26604</v>
      </c>
      <c r="V4623" t="s">
        <v>26609</v>
      </c>
      <c r="W4623" t="s">
        <v>415</v>
      </c>
      <c r="X4623">
        <v>238</v>
      </c>
      <c r="Y4623" t="s">
        <v>26653</v>
      </c>
      <c r="Z4623" t="s">
        <v>26668</v>
      </c>
      <c r="AA4623" t="s">
        <v>26681</v>
      </c>
      <c r="AB4623" t="s">
        <v>30488</v>
      </c>
      <c r="AD4623" t="s">
        <v>40662</v>
      </c>
      <c r="AE4623">
        <v>216</v>
      </c>
      <c r="AF4623" t="s">
        <v>45549</v>
      </c>
      <c r="AG4623" t="s">
        <v>19330</v>
      </c>
      <c r="AH4623">
        <v>1</v>
      </c>
      <c r="AI4623">
        <v>1</v>
      </c>
      <c r="AJ4623">
        <v>0</v>
      </c>
      <c r="AK4623">
        <v>83.81999999999999</v>
      </c>
      <c r="AN4623" t="s">
        <v>7439</v>
      </c>
      <c r="AO4623">
        <v>10176</v>
      </c>
      <c r="AQ4623" t="s">
        <v>46362</v>
      </c>
      <c r="AR4623" t="s">
        <v>46379</v>
      </c>
      <c r="AS4623" t="s">
        <v>46500</v>
      </c>
      <c r="AT4623" t="s">
        <v>46666</v>
      </c>
      <c r="AU4623">
        <v>7.5</v>
      </c>
      <c r="AV4623" t="s">
        <v>820</v>
      </c>
      <c r="AW4623" t="s">
        <v>161</v>
      </c>
    </row>
    <row r="4624" spans="1:50">
      <c r="A4624" s="1">
        <f>HYPERLINK("https://lsnyc.legalserver.org/matter/dynamic-profile/view/1887687","19-1887687")</f>
        <v>0</v>
      </c>
      <c r="B4624" t="s">
        <v>149</v>
      </c>
      <c r="C4624" t="s">
        <v>341</v>
      </c>
      <c r="D4624" t="s">
        <v>415</v>
      </c>
      <c r="E4624" t="s">
        <v>833</v>
      </c>
      <c r="F4624" t="s">
        <v>1615</v>
      </c>
      <c r="G4624" t="s">
        <v>7361</v>
      </c>
      <c r="H4624" t="s">
        <v>9866</v>
      </c>
      <c r="I4624">
        <v>1101</v>
      </c>
      <c r="J4624" t="s">
        <v>18892</v>
      </c>
      <c r="K4624">
        <v>10457</v>
      </c>
      <c r="L4624" t="s">
        <v>18958</v>
      </c>
      <c r="M4624" t="s">
        <v>18958</v>
      </c>
      <c r="N4624" t="s">
        <v>22412</v>
      </c>
      <c r="O4624" t="s">
        <v>26524</v>
      </c>
      <c r="P4624" t="s">
        <v>26560</v>
      </c>
      <c r="Q4624" t="s">
        <v>26568</v>
      </c>
      <c r="R4624" t="s">
        <v>26579</v>
      </c>
      <c r="S4624" t="s">
        <v>18959</v>
      </c>
      <c r="U4624" t="s">
        <v>26604</v>
      </c>
      <c r="W4624" t="s">
        <v>415</v>
      </c>
      <c r="X4624">
        <v>1082</v>
      </c>
      <c r="Y4624" t="s">
        <v>26650</v>
      </c>
      <c r="Z4624" t="s">
        <v>26664</v>
      </c>
      <c r="AA4624" t="s">
        <v>26678</v>
      </c>
      <c r="AB4624" t="s">
        <v>29798</v>
      </c>
      <c r="AD4624" t="s">
        <v>39911</v>
      </c>
      <c r="AE4624">
        <v>41</v>
      </c>
      <c r="AF4624" t="s">
        <v>45541</v>
      </c>
      <c r="AG4624" t="s">
        <v>45562</v>
      </c>
      <c r="AH4624">
        <v>1</v>
      </c>
      <c r="AI4624">
        <v>1</v>
      </c>
      <c r="AJ4624">
        <v>3</v>
      </c>
      <c r="AK4624">
        <v>23.82</v>
      </c>
      <c r="AN4624" t="s">
        <v>45581</v>
      </c>
      <c r="AO4624">
        <v>5980</v>
      </c>
      <c r="AR4624" t="s">
        <v>46380</v>
      </c>
      <c r="AS4624" t="s">
        <v>46499</v>
      </c>
      <c r="AT4624" t="s">
        <v>46623</v>
      </c>
      <c r="AU4624">
        <v>5.15</v>
      </c>
      <c r="AV4624" t="s">
        <v>775</v>
      </c>
      <c r="AW4624" t="s">
        <v>336</v>
      </c>
    </row>
    <row r="4625" spans="1:50">
      <c r="A4625" s="1">
        <f>HYPERLINK("https://lsnyc.legalserver.org/matter/dynamic-profile/view/1887605","19-1887605")</f>
        <v>0</v>
      </c>
      <c r="B4625" t="s">
        <v>97</v>
      </c>
      <c r="C4625" t="s">
        <v>341</v>
      </c>
      <c r="D4625" t="s">
        <v>415</v>
      </c>
      <c r="E4625" t="s">
        <v>817</v>
      </c>
      <c r="F4625" t="s">
        <v>3106</v>
      </c>
      <c r="G4625" t="s">
        <v>5401</v>
      </c>
      <c r="H4625" t="s">
        <v>13135</v>
      </c>
      <c r="I4625">
        <v>4</v>
      </c>
      <c r="J4625" t="s">
        <v>18892</v>
      </c>
      <c r="K4625">
        <v>10468</v>
      </c>
      <c r="L4625" t="s">
        <v>18958</v>
      </c>
      <c r="M4625" t="s">
        <v>18958</v>
      </c>
      <c r="N4625" t="s">
        <v>22413</v>
      </c>
      <c r="O4625" t="s">
        <v>26523</v>
      </c>
      <c r="P4625" t="s">
        <v>26560</v>
      </c>
      <c r="Q4625" t="s">
        <v>26573</v>
      </c>
      <c r="R4625" t="s">
        <v>26579</v>
      </c>
      <c r="U4625" t="s">
        <v>26604</v>
      </c>
      <c r="W4625" t="s">
        <v>415</v>
      </c>
      <c r="X4625">
        <v>1020</v>
      </c>
      <c r="Y4625" t="s">
        <v>26650</v>
      </c>
      <c r="Z4625" t="s">
        <v>26664</v>
      </c>
      <c r="AA4625" t="s">
        <v>26678</v>
      </c>
      <c r="AB4625" t="s">
        <v>30489</v>
      </c>
      <c r="AC4625" t="s">
        <v>35808</v>
      </c>
      <c r="AD4625" t="s">
        <v>40663</v>
      </c>
      <c r="AE4625">
        <v>38</v>
      </c>
      <c r="AH4625">
        <v>3</v>
      </c>
      <c r="AI4625">
        <v>1</v>
      </c>
      <c r="AJ4625">
        <v>1</v>
      </c>
      <c r="AK4625">
        <v>0</v>
      </c>
      <c r="AN4625" t="s">
        <v>7439</v>
      </c>
      <c r="AO4625">
        <v>0</v>
      </c>
      <c r="AS4625" t="s">
        <v>46499</v>
      </c>
      <c r="AT4625" t="s">
        <v>46708</v>
      </c>
      <c r="AU4625">
        <v>15.25</v>
      </c>
      <c r="AV4625" t="s">
        <v>823</v>
      </c>
      <c r="AW4625" t="s">
        <v>334</v>
      </c>
    </row>
    <row r="4626" spans="1:50">
      <c r="A4626" s="1">
        <f>HYPERLINK("https://lsnyc.legalserver.org/matter/dynamic-profile/view/1887577","19-1887577")</f>
        <v>0</v>
      </c>
      <c r="B4626" t="s">
        <v>130</v>
      </c>
      <c r="C4626" t="s">
        <v>341</v>
      </c>
      <c r="D4626" t="s">
        <v>415</v>
      </c>
      <c r="E4626" t="s">
        <v>710</v>
      </c>
      <c r="F4626" t="s">
        <v>3107</v>
      </c>
      <c r="G4626" t="s">
        <v>5607</v>
      </c>
      <c r="H4626" t="s">
        <v>13136</v>
      </c>
      <c r="I4626" t="s">
        <v>17361</v>
      </c>
      <c r="J4626" t="s">
        <v>18904</v>
      </c>
      <c r="K4626">
        <v>11421</v>
      </c>
      <c r="L4626" t="s">
        <v>18958</v>
      </c>
      <c r="M4626" t="s">
        <v>18958</v>
      </c>
      <c r="N4626" t="s">
        <v>22414</v>
      </c>
      <c r="O4626" t="s">
        <v>26523</v>
      </c>
      <c r="P4626" t="s">
        <v>26564</v>
      </c>
      <c r="Q4626" t="s">
        <v>26570</v>
      </c>
      <c r="R4626" t="s">
        <v>26584</v>
      </c>
      <c r="S4626" t="s">
        <v>18959</v>
      </c>
      <c r="U4626" t="s">
        <v>26604</v>
      </c>
      <c r="V4626" t="s">
        <v>26611</v>
      </c>
      <c r="W4626" t="s">
        <v>415</v>
      </c>
      <c r="X4626">
        <v>1500</v>
      </c>
      <c r="Y4626" t="s">
        <v>26653</v>
      </c>
      <c r="Z4626" t="s">
        <v>26664</v>
      </c>
      <c r="AA4626" t="s">
        <v>26683</v>
      </c>
      <c r="AB4626" t="s">
        <v>30490</v>
      </c>
      <c r="AC4626" t="s">
        <v>35809</v>
      </c>
      <c r="AD4626" t="s">
        <v>40664</v>
      </c>
      <c r="AE4626">
        <v>66</v>
      </c>
      <c r="AF4626" t="s">
        <v>45541</v>
      </c>
      <c r="AG4626" t="s">
        <v>19330</v>
      </c>
      <c r="AH4626">
        <v>5</v>
      </c>
      <c r="AI4626">
        <v>1</v>
      </c>
      <c r="AJ4626">
        <v>2</v>
      </c>
      <c r="AK4626">
        <v>0</v>
      </c>
      <c r="AN4626" t="s">
        <v>7439</v>
      </c>
      <c r="AO4626">
        <v>0</v>
      </c>
      <c r="AU4626">
        <v>2.1</v>
      </c>
      <c r="AV4626" t="s">
        <v>732</v>
      </c>
      <c r="AW4626" t="s">
        <v>161</v>
      </c>
    </row>
    <row r="4627" spans="1:50">
      <c r="A4627" s="1">
        <f>HYPERLINK("https://lsnyc.legalserver.org/matter/dynamic-profile/view/1887571","19-1887571")</f>
        <v>0</v>
      </c>
      <c r="B4627" t="s">
        <v>130</v>
      </c>
      <c r="C4627" t="s">
        <v>341</v>
      </c>
      <c r="D4627" t="s">
        <v>415</v>
      </c>
      <c r="E4627" t="s">
        <v>710</v>
      </c>
      <c r="F4627" t="s">
        <v>3108</v>
      </c>
      <c r="G4627" t="s">
        <v>7362</v>
      </c>
      <c r="H4627" t="s">
        <v>13137</v>
      </c>
      <c r="I4627" t="s">
        <v>17491</v>
      </c>
      <c r="J4627" t="s">
        <v>18910</v>
      </c>
      <c r="K4627">
        <v>11420</v>
      </c>
      <c r="L4627" t="s">
        <v>18958</v>
      </c>
      <c r="M4627" t="s">
        <v>18958</v>
      </c>
      <c r="N4627" t="s">
        <v>22415</v>
      </c>
      <c r="O4627" t="s">
        <v>26524</v>
      </c>
      <c r="P4627" t="s">
        <v>26564</v>
      </c>
      <c r="Q4627" t="s">
        <v>26570</v>
      </c>
      <c r="R4627" t="s">
        <v>26584</v>
      </c>
      <c r="S4627" t="s">
        <v>18959</v>
      </c>
      <c r="U4627" t="s">
        <v>26604</v>
      </c>
      <c r="V4627" t="s">
        <v>26610</v>
      </c>
      <c r="W4627" t="s">
        <v>415</v>
      </c>
      <c r="X4627">
        <v>1840</v>
      </c>
      <c r="Y4627" t="s">
        <v>26653</v>
      </c>
      <c r="Z4627" t="s">
        <v>26664</v>
      </c>
      <c r="AA4627" t="s">
        <v>26683</v>
      </c>
      <c r="AB4627" t="s">
        <v>28360</v>
      </c>
      <c r="AC4627" t="s">
        <v>35810</v>
      </c>
      <c r="AD4627" t="s">
        <v>40665</v>
      </c>
      <c r="AE4627">
        <v>2</v>
      </c>
      <c r="AF4627" t="s">
        <v>45547</v>
      </c>
      <c r="AG4627" t="s">
        <v>19330</v>
      </c>
      <c r="AH4627">
        <v>2</v>
      </c>
      <c r="AI4627">
        <v>2</v>
      </c>
      <c r="AJ4627">
        <v>4</v>
      </c>
      <c r="AK4627">
        <v>82.98999999999999</v>
      </c>
      <c r="AN4627" t="s">
        <v>7439</v>
      </c>
      <c r="AO4627">
        <v>28000</v>
      </c>
      <c r="AU4627">
        <v>1.6</v>
      </c>
      <c r="AV4627" t="s">
        <v>732</v>
      </c>
      <c r="AW4627" t="s">
        <v>208</v>
      </c>
    </row>
    <row r="4628" spans="1:50">
      <c r="A4628" s="1">
        <f>HYPERLINK("https://lsnyc.legalserver.org/matter/dynamic-profile/view/1887606","19-1887606")</f>
        <v>0</v>
      </c>
      <c r="B4628" t="s">
        <v>130</v>
      </c>
      <c r="C4628" t="s">
        <v>341</v>
      </c>
      <c r="D4628" t="s">
        <v>415</v>
      </c>
      <c r="E4628" t="s">
        <v>728</v>
      </c>
      <c r="F4628" t="s">
        <v>2854</v>
      </c>
      <c r="G4628" t="s">
        <v>7363</v>
      </c>
      <c r="H4628" t="s">
        <v>13138</v>
      </c>
      <c r="J4628" t="s">
        <v>18931</v>
      </c>
      <c r="K4628">
        <v>11412</v>
      </c>
      <c r="L4628" t="s">
        <v>18958</v>
      </c>
      <c r="M4628" t="s">
        <v>18958</v>
      </c>
      <c r="N4628" t="s">
        <v>22416</v>
      </c>
      <c r="O4628" t="s">
        <v>26524</v>
      </c>
      <c r="P4628" t="s">
        <v>26564</v>
      </c>
      <c r="Q4628" t="s">
        <v>26570</v>
      </c>
      <c r="R4628" t="s">
        <v>26584</v>
      </c>
      <c r="S4628" t="s">
        <v>18959</v>
      </c>
      <c r="U4628" t="s">
        <v>26604</v>
      </c>
      <c r="V4628" t="s">
        <v>26610</v>
      </c>
      <c r="W4628" t="s">
        <v>415</v>
      </c>
      <c r="X4628">
        <v>550</v>
      </c>
      <c r="Y4628" t="s">
        <v>26653</v>
      </c>
      <c r="Z4628" t="s">
        <v>26664</v>
      </c>
      <c r="AA4628" t="s">
        <v>26683</v>
      </c>
      <c r="AB4628" t="s">
        <v>30491</v>
      </c>
      <c r="AC4628" t="s">
        <v>35811</v>
      </c>
      <c r="AD4628" t="s">
        <v>40666</v>
      </c>
      <c r="AE4628">
        <v>2</v>
      </c>
      <c r="AF4628" t="s">
        <v>45547</v>
      </c>
      <c r="AG4628" t="s">
        <v>19330</v>
      </c>
      <c r="AH4628">
        <v>5</v>
      </c>
      <c r="AI4628">
        <v>2</v>
      </c>
      <c r="AJ4628">
        <v>0</v>
      </c>
      <c r="AK4628">
        <v>119.99</v>
      </c>
      <c r="AN4628" t="s">
        <v>7439</v>
      </c>
      <c r="AO4628">
        <v>19750</v>
      </c>
      <c r="AU4628">
        <v>1.5</v>
      </c>
      <c r="AV4628" t="s">
        <v>745</v>
      </c>
      <c r="AW4628" t="s">
        <v>208</v>
      </c>
    </row>
    <row r="4629" spans="1:50">
      <c r="A4629" s="1">
        <f>HYPERLINK("https://lsnyc.legalserver.org/matter/dynamic-profile/view/1887589","19-1887589")</f>
        <v>0</v>
      </c>
      <c r="B4629" t="s">
        <v>137</v>
      </c>
      <c r="C4629" t="s">
        <v>341</v>
      </c>
      <c r="D4629" t="s">
        <v>415</v>
      </c>
      <c r="E4629" t="s">
        <v>815</v>
      </c>
      <c r="F4629" t="s">
        <v>916</v>
      </c>
      <c r="G4629" t="s">
        <v>7146</v>
      </c>
      <c r="H4629" t="s">
        <v>13139</v>
      </c>
      <c r="I4629" t="s">
        <v>17362</v>
      </c>
      <c r="J4629" t="s">
        <v>18892</v>
      </c>
      <c r="K4629">
        <v>10451</v>
      </c>
      <c r="L4629" t="s">
        <v>18958</v>
      </c>
      <c r="M4629" t="s">
        <v>18958</v>
      </c>
      <c r="N4629" t="s">
        <v>22417</v>
      </c>
      <c r="O4629" t="s">
        <v>26538</v>
      </c>
      <c r="P4629" t="s">
        <v>26561</v>
      </c>
      <c r="Q4629" t="s">
        <v>26570</v>
      </c>
      <c r="R4629" t="s">
        <v>26577</v>
      </c>
      <c r="S4629" t="s">
        <v>18959</v>
      </c>
      <c r="U4629" t="s">
        <v>26604</v>
      </c>
      <c r="V4629" t="s">
        <v>26610</v>
      </c>
      <c r="W4629" t="s">
        <v>415</v>
      </c>
      <c r="X4629">
        <v>506</v>
      </c>
      <c r="Y4629" t="s">
        <v>26650</v>
      </c>
      <c r="Z4629" t="s">
        <v>26668</v>
      </c>
      <c r="AA4629" t="s">
        <v>26680</v>
      </c>
      <c r="AB4629" t="s">
        <v>30492</v>
      </c>
      <c r="AD4629" t="s">
        <v>40667</v>
      </c>
      <c r="AE4629">
        <v>867</v>
      </c>
      <c r="AF4629" t="s">
        <v>45549</v>
      </c>
      <c r="AG4629" t="s">
        <v>19330</v>
      </c>
      <c r="AH4629">
        <v>19</v>
      </c>
      <c r="AI4629">
        <v>2</v>
      </c>
      <c r="AJ4629">
        <v>0</v>
      </c>
      <c r="AK4629">
        <v>104.25</v>
      </c>
      <c r="AN4629" t="s">
        <v>7439</v>
      </c>
      <c r="AO4629">
        <v>17160</v>
      </c>
      <c r="AR4629" t="s">
        <v>46380</v>
      </c>
      <c r="AS4629" t="s">
        <v>46499</v>
      </c>
      <c r="AT4629" t="s">
        <v>46636</v>
      </c>
      <c r="AU4629">
        <v>5.5</v>
      </c>
      <c r="AV4629" t="s">
        <v>726</v>
      </c>
      <c r="AW4629" t="s">
        <v>336</v>
      </c>
      <c r="AX4629" t="s">
        <v>46897</v>
      </c>
    </row>
    <row r="4630" spans="1:50">
      <c r="A4630" s="1">
        <f>HYPERLINK("https://lsnyc.legalserver.org/matter/dynamic-profile/view/1867711","18-1867711")</f>
        <v>0</v>
      </c>
      <c r="B4630" t="s">
        <v>60</v>
      </c>
      <c r="C4630" t="s">
        <v>341</v>
      </c>
      <c r="D4630" t="s">
        <v>415</v>
      </c>
      <c r="E4630" t="s">
        <v>795</v>
      </c>
      <c r="F4630" t="s">
        <v>990</v>
      </c>
      <c r="G4630" t="s">
        <v>7364</v>
      </c>
      <c r="H4630" t="s">
        <v>13140</v>
      </c>
      <c r="J4630" t="s">
        <v>18892</v>
      </c>
      <c r="K4630">
        <v>10453</v>
      </c>
      <c r="L4630" t="s">
        <v>18958</v>
      </c>
      <c r="M4630" t="s">
        <v>18958</v>
      </c>
      <c r="O4630" t="s">
        <v>18997</v>
      </c>
      <c r="P4630" t="s">
        <v>26564</v>
      </c>
      <c r="Q4630" t="s">
        <v>26569</v>
      </c>
      <c r="R4630" t="s">
        <v>26578</v>
      </c>
      <c r="U4630" t="s">
        <v>26604</v>
      </c>
      <c r="W4630" t="s">
        <v>415</v>
      </c>
      <c r="X4630">
        <v>751.88</v>
      </c>
      <c r="Y4630" t="s">
        <v>26650</v>
      </c>
      <c r="Z4630" t="s">
        <v>26661</v>
      </c>
      <c r="AA4630" t="s">
        <v>26688</v>
      </c>
      <c r="AB4630" t="s">
        <v>30493</v>
      </c>
      <c r="AD4630" t="s">
        <v>40668</v>
      </c>
      <c r="AE4630">
        <v>0</v>
      </c>
      <c r="AF4630" t="s">
        <v>45541</v>
      </c>
      <c r="AH4630">
        <v>28</v>
      </c>
      <c r="AI4630">
        <v>1</v>
      </c>
      <c r="AJ4630">
        <v>0</v>
      </c>
      <c r="AK4630">
        <v>127.91</v>
      </c>
      <c r="AN4630" t="s">
        <v>7439</v>
      </c>
      <c r="AO4630">
        <v>15528</v>
      </c>
      <c r="AU4630">
        <v>0.1</v>
      </c>
      <c r="AV4630" t="s">
        <v>795</v>
      </c>
      <c r="AW4630" t="s">
        <v>60</v>
      </c>
    </row>
    <row r="4631" spans="1:50">
      <c r="A4631" s="1">
        <f>HYPERLINK("https://lsnyc.legalserver.org/matter/dynamic-profile/view/1887628","19-1887628")</f>
        <v>0</v>
      </c>
      <c r="B4631" t="s">
        <v>116</v>
      </c>
      <c r="C4631" t="s">
        <v>341</v>
      </c>
      <c r="D4631" t="s">
        <v>415</v>
      </c>
      <c r="E4631" t="s">
        <v>415</v>
      </c>
      <c r="F4631" t="s">
        <v>3109</v>
      </c>
      <c r="G4631" t="s">
        <v>7365</v>
      </c>
      <c r="H4631" t="s">
        <v>13141</v>
      </c>
      <c r="J4631" t="s">
        <v>18894</v>
      </c>
      <c r="K4631">
        <v>11225</v>
      </c>
      <c r="L4631" t="s">
        <v>18958</v>
      </c>
      <c r="M4631" t="s">
        <v>18958</v>
      </c>
      <c r="O4631" t="s">
        <v>26524</v>
      </c>
      <c r="P4631" t="s">
        <v>26565</v>
      </c>
      <c r="Q4631" t="s">
        <v>26571</v>
      </c>
      <c r="R4631" t="s">
        <v>26578</v>
      </c>
      <c r="S4631" t="s">
        <v>18959</v>
      </c>
      <c r="U4631" t="s">
        <v>26604</v>
      </c>
      <c r="V4631" t="s">
        <v>26610</v>
      </c>
      <c r="W4631" t="s">
        <v>415</v>
      </c>
      <c r="X4631">
        <v>800</v>
      </c>
      <c r="Y4631" t="s">
        <v>26652</v>
      </c>
      <c r="Z4631" t="s">
        <v>26663</v>
      </c>
      <c r="AA4631" t="s">
        <v>26689</v>
      </c>
      <c r="AB4631" t="s">
        <v>28118</v>
      </c>
      <c r="AD4631" t="s">
        <v>40669</v>
      </c>
      <c r="AE4631">
        <v>2</v>
      </c>
      <c r="AF4631" t="s">
        <v>45547</v>
      </c>
      <c r="AH4631">
        <v>30</v>
      </c>
      <c r="AI4631">
        <v>4</v>
      </c>
      <c r="AJ4631">
        <v>0</v>
      </c>
      <c r="AK4631">
        <v>235.86</v>
      </c>
      <c r="AN4631" t="s">
        <v>7439</v>
      </c>
      <c r="AO4631">
        <v>59200</v>
      </c>
      <c r="AU4631">
        <v>0.2</v>
      </c>
      <c r="AV4631" t="s">
        <v>415</v>
      </c>
      <c r="AW4631" t="s">
        <v>116</v>
      </c>
    </row>
    <row r="4632" spans="1:50">
      <c r="A4632" s="1">
        <f>HYPERLINK("https://lsnyc.legalserver.org/matter/dynamic-profile/view/1887649","19-1887649")</f>
        <v>0</v>
      </c>
      <c r="B4632" t="s">
        <v>232</v>
      </c>
      <c r="C4632" t="s">
        <v>341</v>
      </c>
      <c r="D4632" t="s">
        <v>415</v>
      </c>
      <c r="E4632" t="s">
        <v>415</v>
      </c>
      <c r="F4632" t="s">
        <v>3110</v>
      </c>
      <c r="G4632" t="s">
        <v>7366</v>
      </c>
      <c r="H4632" t="s">
        <v>13142</v>
      </c>
      <c r="I4632" t="s">
        <v>17344</v>
      </c>
      <c r="J4632" t="s">
        <v>18894</v>
      </c>
      <c r="K4632">
        <v>11236</v>
      </c>
      <c r="L4632" t="s">
        <v>18958</v>
      </c>
      <c r="M4632" t="s">
        <v>18958</v>
      </c>
      <c r="N4632" t="s">
        <v>22418</v>
      </c>
      <c r="O4632" t="s">
        <v>26523</v>
      </c>
      <c r="Q4632" t="s">
        <v>26570</v>
      </c>
      <c r="R4632" t="s">
        <v>26586</v>
      </c>
      <c r="U4632" t="s">
        <v>26604</v>
      </c>
      <c r="W4632" t="s">
        <v>415</v>
      </c>
      <c r="X4632">
        <v>1604</v>
      </c>
      <c r="Y4632" t="s">
        <v>26652</v>
      </c>
      <c r="Z4632" t="s">
        <v>26530</v>
      </c>
      <c r="AA4632" t="s">
        <v>26683</v>
      </c>
      <c r="AB4632" t="s">
        <v>30494</v>
      </c>
      <c r="AD4632" t="s">
        <v>40670</v>
      </c>
      <c r="AE4632">
        <v>12</v>
      </c>
      <c r="AF4632" t="s">
        <v>45541</v>
      </c>
      <c r="AG4632" t="s">
        <v>19330</v>
      </c>
      <c r="AH4632">
        <v>7</v>
      </c>
      <c r="AI4632">
        <v>2</v>
      </c>
      <c r="AJ4632">
        <v>1</v>
      </c>
      <c r="AK4632">
        <v>312.8</v>
      </c>
      <c r="AN4632" t="s">
        <v>7439</v>
      </c>
      <c r="AO4632">
        <v>65000</v>
      </c>
      <c r="AU4632">
        <v>0.5</v>
      </c>
      <c r="AV4632" t="s">
        <v>415</v>
      </c>
      <c r="AW4632" t="s">
        <v>46853</v>
      </c>
    </row>
    <row r="4633" spans="1:50">
      <c r="A4633" s="1">
        <f>HYPERLINK("https://lsnyc.legalserver.org/matter/dynamic-profile/view/1887613","19-1887613")</f>
        <v>0</v>
      </c>
      <c r="B4633" t="s">
        <v>254</v>
      </c>
      <c r="C4633" t="s">
        <v>341</v>
      </c>
      <c r="D4633" t="s">
        <v>415</v>
      </c>
      <c r="E4633" t="s">
        <v>415</v>
      </c>
      <c r="F4633" t="s">
        <v>1206</v>
      </c>
      <c r="G4633" t="s">
        <v>7367</v>
      </c>
      <c r="H4633" t="s">
        <v>13059</v>
      </c>
      <c r="I4633" t="s">
        <v>18132</v>
      </c>
      <c r="J4633" t="s">
        <v>18892</v>
      </c>
      <c r="K4633">
        <v>10457</v>
      </c>
      <c r="L4633" t="s">
        <v>18958</v>
      </c>
      <c r="M4633" t="s">
        <v>18958</v>
      </c>
      <c r="N4633" t="s">
        <v>22419</v>
      </c>
      <c r="O4633" t="s">
        <v>26523</v>
      </c>
      <c r="P4633" t="s">
        <v>26560</v>
      </c>
      <c r="Q4633" t="s">
        <v>26575</v>
      </c>
      <c r="R4633" t="s">
        <v>26579</v>
      </c>
      <c r="S4633" t="s">
        <v>18959</v>
      </c>
      <c r="U4633" t="s">
        <v>26604</v>
      </c>
      <c r="V4633" t="s">
        <v>26614</v>
      </c>
      <c r="W4633" t="s">
        <v>415</v>
      </c>
      <c r="X4633">
        <v>1100</v>
      </c>
      <c r="Y4633" t="s">
        <v>26650</v>
      </c>
      <c r="Z4633" t="s">
        <v>26664</v>
      </c>
      <c r="AA4633" t="s">
        <v>26687</v>
      </c>
      <c r="AB4633" t="s">
        <v>28571</v>
      </c>
      <c r="AD4633" t="s">
        <v>40565</v>
      </c>
      <c r="AE4633">
        <v>58</v>
      </c>
      <c r="AF4633" t="s">
        <v>45541</v>
      </c>
      <c r="AG4633" t="s">
        <v>19330</v>
      </c>
      <c r="AH4633">
        <v>3</v>
      </c>
      <c r="AI4633">
        <v>3</v>
      </c>
      <c r="AJ4633">
        <v>0</v>
      </c>
      <c r="AK4633">
        <v>98.27</v>
      </c>
      <c r="AO4633">
        <v>20420</v>
      </c>
      <c r="AR4633" t="s">
        <v>26530</v>
      </c>
      <c r="AS4633" t="s">
        <v>46500</v>
      </c>
      <c r="AT4633" t="s">
        <v>46750</v>
      </c>
      <c r="AU4633">
        <v>4</v>
      </c>
      <c r="AV4633" t="s">
        <v>415</v>
      </c>
      <c r="AW4633" t="s">
        <v>254</v>
      </c>
    </row>
    <row r="4634" spans="1:50">
      <c r="A4634" s="1">
        <f>HYPERLINK("https://lsnyc.legalserver.org/matter/dynamic-profile/view/1887629","19-1887629")</f>
        <v>0</v>
      </c>
      <c r="B4634" t="s">
        <v>122</v>
      </c>
      <c r="C4634" t="s">
        <v>341</v>
      </c>
      <c r="D4634" t="s">
        <v>415</v>
      </c>
      <c r="E4634" t="s">
        <v>685</v>
      </c>
      <c r="F4634" t="s">
        <v>3111</v>
      </c>
      <c r="G4634" t="s">
        <v>5681</v>
      </c>
      <c r="H4634" t="s">
        <v>13143</v>
      </c>
      <c r="I4634" t="s">
        <v>18133</v>
      </c>
      <c r="J4634" t="s">
        <v>18900</v>
      </c>
      <c r="K4634">
        <v>11367</v>
      </c>
      <c r="L4634" t="s">
        <v>18958</v>
      </c>
      <c r="M4634" t="s">
        <v>18958</v>
      </c>
      <c r="N4634" t="s">
        <v>22420</v>
      </c>
      <c r="O4634" t="s">
        <v>26523</v>
      </c>
      <c r="P4634" t="s">
        <v>26564</v>
      </c>
      <c r="Q4634" t="s">
        <v>26570</v>
      </c>
      <c r="R4634" t="s">
        <v>26584</v>
      </c>
      <c r="U4634" t="s">
        <v>26604</v>
      </c>
      <c r="W4634" t="s">
        <v>415</v>
      </c>
      <c r="X4634">
        <v>117</v>
      </c>
      <c r="Y4634" t="s">
        <v>26653</v>
      </c>
      <c r="Z4634" t="s">
        <v>26664</v>
      </c>
      <c r="AA4634" t="s">
        <v>26683</v>
      </c>
      <c r="AB4634" t="s">
        <v>30495</v>
      </c>
      <c r="AC4634" t="s">
        <v>35812</v>
      </c>
      <c r="AD4634" t="s">
        <v>40671</v>
      </c>
      <c r="AE4634">
        <v>100</v>
      </c>
      <c r="AF4634" t="s">
        <v>45549</v>
      </c>
      <c r="AG4634" t="s">
        <v>19330</v>
      </c>
      <c r="AH4634">
        <v>6</v>
      </c>
      <c r="AI4634">
        <v>2</v>
      </c>
      <c r="AJ4634">
        <v>6</v>
      </c>
      <c r="AK4634">
        <v>18.97</v>
      </c>
      <c r="AN4634" t="s">
        <v>7439</v>
      </c>
      <c r="AO4634">
        <v>8040</v>
      </c>
      <c r="AU4634">
        <v>0.5</v>
      </c>
      <c r="AV4634" t="s">
        <v>415</v>
      </c>
      <c r="AW4634" t="s">
        <v>122</v>
      </c>
    </row>
    <row r="4635" spans="1:50">
      <c r="A4635" s="1">
        <f>HYPERLINK("https://lsnyc.legalserver.org/matter/dynamic-profile/view/1887664","19-1887664")</f>
        <v>0</v>
      </c>
      <c r="B4635" t="s">
        <v>112</v>
      </c>
      <c r="C4635" t="s">
        <v>341</v>
      </c>
      <c r="D4635" t="s">
        <v>415</v>
      </c>
      <c r="E4635" t="s">
        <v>769</v>
      </c>
      <c r="F4635" t="s">
        <v>899</v>
      </c>
      <c r="G4635" t="s">
        <v>5288</v>
      </c>
      <c r="H4635" t="s">
        <v>13144</v>
      </c>
      <c r="I4635" t="s">
        <v>17276</v>
      </c>
      <c r="J4635" t="s">
        <v>18901</v>
      </c>
      <c r="K4635">
        <v>11433</v>
      </c>
      <c r="L4635" t="s">
        <v>18958</v>
      </c>
      <c r="M4635" t="s">
        <v>18958</v>
      </c>
      <c r="N4635" t="s">
        <v>22421</v>
      </c>
      <c r="O4635" t="s">
        <v>26523</v>
      </c>
      <c r="P4635" t="s">
        <v>26560</v>
      </c>
      <c r="Q4635" t="s">
        <v>26573</v>
      </c>
      <c r="R4635" t="s">
        <v>26585</v>
      </c>
      <c r="U4635" t="s">
        <v>26605</v>
      </c>
      <c r="V4635" t="s">
        <v>26610</v>
      </c>
      <c r="W4635" t="s">
        <v>415</v>
      </c>
      <c r="X4635">
        <v>245</v>
      </c>
      <c r="Y4635" t="s">
        <v>26653</v>
      </c>
      <c r="Z4635" t="s">
        <v>26668</v>
      </c>
      <c r="AA4635" t="s">
        <v>26680</v>
      </c>
      <c r="AB4635" t="s">
        <v>30496</v>
      </c>
      <c r="AD4635" t="s">
        <v>40672</v>
      </c>
      <c r="AE4635">
        <v>100</v>
      </c>
      <c r="AF4635" t="s">
        <v>45549</v>
      </c>
      <c r="AH4635">
        <v>1</v>
      </c>
      <c r="AI4635">
        <v>1</v>
      </c>
      <c r="AJ4635">
        <v>1</v>
      </c>
      <c r="AK4635">
        <v>151.88</v>
      </c>
      <c r="AN4635" t="s">
        <v>7439</v>
      </c>
      <c r="AO4635">
        <v>25000</v>
      </c>
      <c r="AQ4635" t="s">
        <v>46362</v>
      </c>
      <c r="AR4635" t="s">
        <v>46407</v>
      </c>
      <c r="AS4635" t="s">
        <v>46499</v>
      </c>
      <c r="AT4635" t="s">
        <v>46741</v>
      </c>
      <c r="AU4635">
        <v>8.800000000000001</v>
      </c>
      <c r="AV4635" t="s">
        <v>780</v>
      </c>
      <c r="AW4635" t="s">
        <v>208</v>
      </c>
      <c r="AX4635" t="s">
        <v>46897</v>
      </c>
    </row>
    <row r="4636" spans="1:50">
      <c r="A4636" s="1">
        <f>HYPERLINK("https://lsnyc.legalserver.org/matter/dynamic-profile/view/1887550","19-1887550")</f>
        <v>0</v>
      </c>
      <c r="B4636" t="s">
        <v>52</v>
      </c>
      <c r="C4636" t="s">
        <v>341</v>
      </c>
      <c r="D4636" t="s">
        <v>415</v>
      </c>
      <c r="E4636" t="s">
        <v>693</v>
      </c>
      <c r="F4636" t="s">
        <v>1283</v>
      </c>
      <c r="G4636" t="s">
        <v>5330</v>
      </c>
      <c r="H4636" t="s">
        <v>13145</v>
      </c>
      <c r="I4636">
        <v>31</v>
      </c>
      <c r="J4636" t="s">
        <v>18892</v>
      </c>
      <c r="K4636">
        <v>10457</v>
      </c>
      <c r="L4636" t="s">
        <v>18958</v>
      </c>
      <c r="M4636" t="s">
        <v>18958</v>
      </c>
      <c r="N4636" t="s">
        <v>22422</v>
      </c>
      <c r="O4636" t="s">
        <v>26523</v>
      </c>
      <c r="P4636" t="s">
        <v>26564</v>
      </c>
      <c r="Q4636" t="s">
        <v>26570</v>
      </c>
      <c r="R4636" t="s">
        <v>26578</v>
      </c>
      <c r="S4636" t="s">
        <v>18959</v>
      </c>
      <c r="U4636" t="s">
        <v>26604</v>
      </c>
      <c r="V4636" t="s">
        <v>26614</v>
      </c>
      <c r="W4636" t="s">
        <v>415</v>
      </c>
      <c r="X4636">
        <v>1326</v>
      </c>
      <c r="Y4636" t="s">
        <v>26650</v>
      </c>
      <c r="Z4636" t="s">
        <v>26668</v>
      </c>
      <c r="AA4636" t="s">
        <v>26683</v>
      </c>
      <c r="AB4636" t="s">
        <v>28938</v>
      </c>
      <c r="AD4636" t="s">
        <v>40673</v>
      </c>
      <c r="AE4636">
        <v>55</v>
      </c>
      <c r="AF4636" t="s">
        <v>45541</v>
      </c>
      <c r="AH4636">
        <v>2</v>
      </c>
      <c r="AI4636">
        <v>1</v>
      </c>
      <c r="AJ4636">
        <v>0</v>
      </c>
      <c r="AK4636">
        <v>171.33</v>
      </c>
      <c r="AN4636" t="s">
        <v>45581</v>
      </c>
      <c r="AO4636">
        <v>20800</v>
      </c>
      <c r="AU4636">
        <v>1.5</v>
      </c>
      <c r="AV4636" t="s">
        <v>415</v>
      </c>
      <c r="AW4636" t="s">
        <v>46836</v>
      </c>
    </row>
    <row r="4637" spans="1:50">
      <c r="A4637" s="1">
        <f>HYPERLINK("https://lsnyc.legalserver.org/matter/dynamic-profile/view/1887551","19-1887551")</f>
        <v>0</v>
      </c>
      <c r="B4637" t="s">
        <v>52</v>
      </c>
      <c r="C4637" t="s">
        <v>341</v>
      </c>
      <c r="D4637" t="s">
        <v>415</v>
      </c>
      <c r="E4637" t="s">
        <v>800</v>
      </c>
      <c r="F4637" t="s">
        <v>2134</v>
      </c>
      <c r="G4637" t="s">
        <v>7296</v>
      </c>
      <c r="H4637" t="s">
        <v>13146</v>
      </c>
      <c r="I4637" t="s">
        <v>18134</v>
      </c>
      <c r="J4637" t="s">
        <v>18892</v>
      </c>
      <c r="K4637">
        <v>10455</v>
      </c>
      <c r="L4637" t="s">
        <v>18958</v>
      </c>
      <c r="M4637" t="s">
        <v>18958</v>
      </c>
      <c r="N4637" t="s">
        <v>22423</v>
      </c>
      <c r="O4637" t="s">
        <v>26523</v>
      </c>
      <c r="P4637" t="s">
        <v>26560</v>
      </c>
      <c r="Q4637" t="s">
        <v>26568</v>
      </c>
      <c r="R4637" t="s">
        <v>26578</v>
      </c>
      <c r="S4637" t="s">
        <v>18959</v>
      </c>
      <c r="U4637" t="s">
        <v>26604</v>
      </c>
      <c r="V4637" t="s">
        <v>26612</v>
      </c>
      <c r="W4637" t="s">
        <v>415</v>
      </c>
      <c r="X4637">
        <v>1401.29</v>
      </c>
      <c r="Y4637" t="s">
        <v>26650</v>
      </c>
      <c r="Z4637" t="s">
        <v>26661</v>
      </c>
      <c r="AA4637" t="s">
        <v>26678</v>
      </c>
      <c r="AB4637" t="s">
        <v>30497</v>
      </c>
      <c r="AC4637" t="s">
        <v>35813</v>
      </c>
      <c r="AD4637" t="s">
        <v>40674</v>
      </c>
      <c r="AE4637">
        <v>9</v>
      </c>
      <c r="AF4637" t="s">
        <v>45541</v>
      </c>
      <c r="AG4637" t="s">
        <v>19330</v>
      </c>
      <c r="AH4637">
        <v>4</v>
      </c>
      <c r="AI4637">
        <v>1</v>
      </c>
      <c r="AJ4637">
        <v>0</v>
      </c>
      <c r="AK4637">
        <v>308.4</v>
      </c>
      <c r="AL4637" t="s">
        <v>820</v>
      </c>
      <c r="AN4637" t="s">
        <v>7439</v>
      </c>
      <c r="AO4637">
        <v>37440</v>
      </c>
      <c r="AP4637" t="s">
        <v>45831</v>
      </c>
      <c r="AQ4637" t="s">
        <v>46365</v>
      </c>
      <c r="AR4637" t="s">
        <v>46379</v>
      </c>
      <c r="AS4637" t="s">
        <v>46499</v>
      </c>
      <c r="AT4637" t="s">
        <v>46669</v>
      </c>
      <c r="AU4637">
        <v>9.75</v>
      </c>
      <c r="AV4637" t="s">
        <v>800</v>
      </c>
      <c r="AW4637" t="s">
        <v>46831</v>
      </c>
    </row>
    <row r="4638" spans="1:50">
      <c r="A4638" s="1">
        <f>HYPERLINK("https://lsnyc.legalserver.org/matter/dynamic-profile/view/1887701","19-1887701")</f>
        <v>0</v>
      </c>
      <c r="B4638" t="s">
        <v>136</v>
      </c>
      <c r="C4638" t="s">
        <v>340</v>
      </c>
      <c r="D4638" t="s">
        <v>415</v>
      </c>
      <c r="F4638" t="s">
        <v>1202</v>
      </c>
      <c r="G4638" t="s">
        <v>5381</v>
      </c>
      <c r="H4638" t="s">
        <v>10012</v>
      </c>
      <c r="I4638" t="s">
        <v>17299</v>
      </c>
      <c r="J4638" t="s">
        <v>18892</v>
      </c>
      <c r="K4638">
        <v>10460</v>
      </c>
      <c r="L4638" t="s">
        <v>18958</v>
      </c>
      <c r="M4638" t="s">
        <v>18958</v>
      </c>
      <c r="N4638" t="s">
        <v>22424</v>
      </c>
      <c r="O4638" t="s">
        <v>26523</v>
      </c>
      <c r="P4638" t="s">
        <v>26560</v>
      </c>
      <c r="R4638" t="s">
        <v>26577</v>
      </c>
      <c r="S4638" t="s">
        <v>18959</v>
      </c>
      <c r="U4638" t="s">
        <v>26604</v>
      </c>
      <c r="V4638" t="s">
        <v>26610</v>
      </c>
      <c r="W4638" t="s">
        <v>415</v>
      </c>
      <c r="X4638">
        <v>1495</v>
      </c>
      <c r="Y4638" t="s">
        <v>26650</v>
      </c>
      <c r="Z4638" t="s">
        <v>26659</v>
      </c>
      <c r="AB4638" t="s">
        <v>27100</v>
      </c>
      <c r="AD4638" t="s">
        <v>37181</v>
      </c>
      <c r="AE4638">
        <v>0</v>
      </c>
      <c r="AF4638" t="s">
        <v>45541</v>
      </c>
      <c r="AH4638">
        <v>2</v>
      </c>
      <c r="AI4638">
        <v>1</v>
      </c>
      <c r="AJ4638">
        <v>1</v>
      </c>
      <c r="AK4638">
        <v>23.02</v>
      </c>
      <c r="AN4638" t="s">
        <v>7439</v>
      </c>
      <c r="AO4638">
        <v>3789.5</v>
      </c>
      <c r="AU4638">
        <v>11</v>
      </c>
      <c r="AV4638" t="s">
        <v>769</v>
      </c>
      <c r="AW4638" t="s">
        <v>136</v>
      </c>
    </row>
    <row r="4639" spans="1:50">
      <c r="A4639" s="1">
        <f>HYPERLINK("https://lsnyc.legalserver.org/matter/dynamic-profile/view/1887583","19-1887583")</f>
        <v>0</v>
      </c>
      <c r="B4639" t="s">
        <v>133</v>
      </c>
      <c r="C4639" t="s">
        <v>340</v>
      </c>
      <c r="D4639" t="s">
        <v>415</v>
      </c>
      <c r="F4639" t="s">
        <v>3112</v>
      </c>
      <c r="G4639" t="s">
        <v>7368</v>
      </c>
      <c r="H4639" t="s">
        <v>9658</v>
      </c>
      <c r="I4639" t="s">
        <v>18135</v>
      </c>
      <c r="J4639" t="s">
        <v>18892</v>
      </c>
      <c r="K4639">
        <v>10457</v>
      </c>
      <c r="L4639" t="s">
        <v>18958</v>
      </c>
      <c r="M4639" t="s">
        <v>18958</v>
      </c>
      <c r="N4639" t="s">
        <v>22425</v>
      </c>
      <c r="O4639" t="s">
        <v>26523</v>
      </c>
      <c r="P4639" t="s">
        <v>26560</v>
      </c>
      <c r="R4639" t="s">
        <v>26579</v>
      </c>
      <c r="U4639" t="s">
        <v>26604</v>
      </c>
      <c r="V4639" t="s">
        <v>26611</v>
      </c>
      <c r="W4639" t="s">
        <v>415</v>
      </c>
      <c r="X4639">
        <v>1377</v>
      </c>
      <c r="Y4639" t="s">
        <v>26650</v>
      </c>
      <c r="Z4639" t="s">
        <v>26664</v>
      </c>
      <c r="AB4639" t="s">
        <v>29341</v>
      </c>
      <c r="AC4639" t="s">
        <v>35814</v>
      </c>
      <c r="AD4639" t="s">
        <v>40675</v>
      </c>
      <c r="AE4639">
        <v>0</v>
      </c>
      <c r="AH4639">
        <v>4</v>
      </c>
      <c r="AI4639">
        <v>1</v>
      </c>
      <c r="AJ4639">
        <v>0</v>
      </c>
      <c r="AK4639">
        <v>37.17</v>
      </c>
      <c r="AN4639" t="s">
        <v>7439</v>
      </c>
      <c r="AO4639">
        <v>4512</v>
      </c>
      <c r="AU4639">
        <v>15.6</v>
      </c>
      <c r="AV4639" t="s">
        <v>814</v>
      </c>
      <c r="AW4639" t="s">
        <v>334</v>
      </c>
    </row>
    <row r="4640" spans="1:50">
      <c r="A4640" s="1">
        <f>HYPERLINK("https://lsnyc.legalserver.org/matter/dynamic-profile/view/1887555","19-1887555")</f>
        <v>0</v>
      </c>
      <c r="B4640" t="s">
        <v>133</v>
      </c>
      <c r="C4640" t="s">
        <v>340</v>
      </c>
      <c r="D4640" t="s">
        <v>415</v>
      </c>
      <c r="F4640" t="s">
        <v>3113</v>
      </c>
      <c r="G4640" t="s">
        <v>7369</v>
      </c>
      <c r="H4640" t="s">
        <v>13147</v>
      </c>
      <c r="I4640" t="s">
        <v>17344</v>
      </c>
      <c r="J4640" t="s">
        <v>18892</v>
      </c>
      <c r="K4640">
        <v>10462</v>
      </c>
      <c r="L4640" t="s">
        <v>18958</v>
      </c>
      <c r="M4640" t="s">
        <v>18958</v>
      </c>
      <c r="N4640" t="s">
        <v>22426</v>
      </c>
      <c r="O4640" t="s">
        <v>26523</v>
      </c>
      <c r="P4640" t="s">
        <v>26560</v>
      </c>
      <c r="R4640" t="s">
        <v>26579</v>
      </c>
      <c r="S4640" t="s">
        <v>18959</v>
      </c>
      <c r="U4640" t="s">
        <v>26604</v>
      </c>
      <c r="V4640" t="s">
        <v>26610</v>
      </c>
      <c r="W4640" t="s">
        <v>415</v>
      </c>
      <c r="X4640">
        <v>1450</v>
      </c>
      <c r="Y4640" t="s">
        <v>26650</v>
      </c>
      <c r="Z4640" t="s">
        <v>26668</v>
      </c>
      <c r="AB4640" t="s">
        <v>30498</v>
      </c>
      <c r="AD4640" t="s">
        <v>40676</v>
      </c>
      <c r="AE4640">
        <v>73</v>
      </c>
      <c r="AF4640" t="s">
        <v>45553</v>
      </c>
      <c r="AG4640" t="s">
        <v>19330</v>
      </c>
      <c r="AH4640">
        <v>1</v>
      </c>
      <c r="AI4640">
        <v>1</v>
      </c>
      <c r="AJ4640">
        <v>0</v>
      </c>
      <c r="AK4640">
        <v>151.63</v>
      </c>
      <c r="AN4640" t="s">
        <v>7439</v>
      </c>
      <c r="AO4640">
        <v>18408</v>
      </c>
      <c r="AU4640">
        <v>5.9</v>
      </c>
      <c r="AV4640" t="s">
        <v>809</v>
      </c>
      <c r="AW4640" t="s">
        <v>46870</v>
      </c>
    </row>
    <row r="4641" spans="1:49">
      <c r="A4641" s="1">
        <f>HYPERLINK("https://lsnyc.legalserver.org/matter/dynamic-profile/view/1887673","19-1887673")</f>
        <v>0</v>
      </c>
      <c r="B4641" t="s">
        <v>97</v>
      </c>
      <c r="C4641" t="s">
        <v>340</v>
      </c>
      <c r="D4641" t="s">
        <v>415</v>
      </c>
      <c r="F4641" t="s">
        <v>1511</v>
      </c>
      <c r="G4641" t="s">
        <v>5607</v>
      </c>
      <c r="H4641" t="s">
        <v>13148</v>
      </c>
      <c r="I4641">
        <v>2</v>
      </c>
      <c r="J4641" t="s">
        <v>18892</v>
      </c>
      <c r="K4641">
        <v>10459</v>
      </c>
      <c r="L4641" t="s">
        <v>18958</v>
      </c>
      <c r="M4641" t="s">
        <v>18958</v>
      </c>
      <c r="N4641" t="s">
        <v>19079</v>
      </c>
      <c r="O4641" t="s">
        <v>26542</v>
      </c>
      <c r="P4641" t="s">
        <v>26561</v>
      </c>
      <c r="R4641" t="s">
        <v>26577</v>
      </c>
      <c r="U4641" t="s">
        <v>26604</v>
      </c>
      <c r="W4641" t="s">
        <v>415</v>
      </c>
      <c r="X4641">
        <v>2700</v>
      </c>
      <c r="Y4641" t="s">
        <v>26650</v>
      </c>
      <c r="AB4641" t="s">
        <v>30499</v>
      </c>
      <c r="AD4641" t="s">
        <v>40677</v>
      </c>
      <c r="AE4641">
        <v>0</v>
      </c>
      <c r="AF4641" t="s">
        <v>45543</v>
      </c>
      <c r="AG4641" t="s">
        <v>45556</v>
      </c>
      <c r="AH4641">
        <v>2</v>
      </c>
      <c r="AI4641">
        <v>4</v>
      </c>
      <c r="AJ4641">
        <v>1</v>
      </c>
      <c r="AK4641">
        <v>78.62</v>
      </c>
      <c r="AN4641" t="s">
        <v>7439</v>
      </c>
      <c r="AO4641">
        <v>23129</v>
      </c>
      <c r="AU4641">
        <v>18.7</v>
      </c>
      <c r="AV4641" t="s">
        <v>836</v>
      </c>
      <c r="AW4641" t="s">
        <v>334</v>
      </c>
    </row>
    <row r="4642" spans="1:49">
      <c r="A4642" s="1">
        <f>HYPERLINK("https://lsnyc.legalserver.org/matter/dynamic-profile/view/1887616","19-1887616")</f>
        <v>0</v>
      </c>
      <c r="B4642" t="s">
        <v>97</v>
      </c>
      <c r="C4642" t="s">
        <v>340</v>
      </c>
      <c r="D4642" t="s">
        <v>415</v>
      </c>
      <c r="F4642" t="s">
        <v>2698</v>
      </c>
      <c r="G4642" t="s">
        <v>5676</v>
      </c>
      <c r="H4642" t="s">
        <v>10365</v>
      </c>
      <c r="I4642" t="s">
        <v>18136</v>
      </c>
      <c r="J4642" t="s">
        <v>18892</v>
      </c>
      <c r="K4642">
        <v>10457</v>
      </c>
      <c r="L4642" t="s">
        <v>18958</v>
      </c>
      <c r="M4642" t="s">
        <v>18958</v>
      </c>
      <c r="N4642" t="s">
        <v>22427</v>
      </c>
      <c r="O4642" t="s">
        <v>26523</v>
      </c>
      <c r="P4642" t="s">
        <v>26560</v>
      </c>
      <c r="R4642" t="s">
        <v>26579</v>
      </c>
      <c r="U4642" t="s">
        <v>26604</v>
      </c>
      <c r="V4642" t="s">
        <v>26610</v>
      </c>
      <c r="W4642" t="s">
        <v>415</v>
      </c>
      <c r="X4642">
        <v>1058</v>
      </c>
      <c r="Y4642" t="s">
        <v>26650</v>
      </c>
      <c r="Z4642" t="s">
        <v>26664</v>
      </c>
      <c r="AB4642" t="s">
        <v>27070</v>
      </c>
      <c r="AC4642" t="s">
        <v>35815</v>
      </c>
      <c r="AD4642" t="s">
        <v>40678</v>
      </c>
      <c r="AE4642">
        <v>281</v>
      </c>
      <c r="AH4642">
        <v>7</v>
      </c>
      <c r="AI4642">
        <v>2</v>
      </c>
      <c r="AJ4642">
        <v>4</v>
      </c>
      <c r="AK4642">
        <v>0</v>
      </c>
      <c r="AO4642">
        <v>0</v>
      </c>
      <c r="AU4642">
        <v>8.699999999999999</v>
      </c>
      <c r="AV4642" t="s">
        <v>794</v>
      </c>
      <c r="AW4642" t="s">
        <v>334</v>
      </c>
    </row>
    <row r="4643" spans="1:49">
      <c r="A4643" s="1">
        <f>HYPERLINK("https://lsnyc.legalserver.org/matter/dynamic-profile/view/1887576","19-1887576")</f>
        <v>0</v>
      </c>
      <c r="B4643" t="s">
        <v>108</v>
      </c>
      <c r="C4643" t="s">
        <v>340</v>
      </c>
      <c r="D4643" t="s">
        <v>415</v>
      </c>
      <c r="F4643" t="s">
        <v>2828</v>
      </c>
      <c r="G4643" t="s">
        <v>7370</v>
      </c>
      <c r="H4643" t="s">
        <v>13149</v>
      </c>
      <c r="I4643" t="s">
        <v>17330</v>
      </c>
      <c r="J4643" t="s">
        <v>18917</v>
      </c>
      <c r="K4643">
        <v>11356</v>
      </c>
      <c r="L4643" t="s">
        <v>18958</v>
      </c>
      <c r="M4643" t="s">
        <v>18958</v>
      </c>
      <c r="N4643" t="s">
        <v>22428</v>
      </c>
      <c r="O4643" t="s">
        <v>26524</v>
      </c>
      <c r="P4643" t="s">
        <v>26564</v>
      </c>
      <c r="R4643" t="s">
        <v>26584</v>
      </c>
      <c r="S4643" t="s">
        <v>18959</v>
      </c>
      <c r="U4643" t="s">
        <v>26604</v>
      </c>
      <c r="V4643" t="s">
        <v>26610</v>
      </c>
      <c r="W4643" t="s">
        <v>415</v>
      </c>
      <c r="X4643">
        <v>2000</v>
      </c>
      <c r="Y4643" t="s">
        <v>26653</v>
      </c>
      <c r="Z4643" t="s">
        <v>26664</v>
      </c>
      <c r="AB4643" t="s">
        <v>30500</v>
      </c>
      <c r="AC4643" t="s">
        <v>35816</v>
      </c>
      <c r="AD4643" t="s">
        <v>40679</v>
      </c>
      <c r="AE4643">
        <v>0</v>
      </c>
      <c r="AF4643" t="s">
        <v>20460</v>
      </c>
      <c r="AG4643" t="s">
        <v>19330</v>
      </c>
      <c r="AH4643">
        <v>4</v>
      </c>
      <c r="AI4643">
        <v>1</v>
      </c>
      <c r="AJ4643">
        <v>3</v>
      </c>
      <c r="AK4643">
        <v>0</v>
      </c>
      <c r="AN4643" t="s">
        <v>7439</v>
      </c>
      <c r="AO4643">
        <v>0</v>
      </c>
      <c r="AU4643">
        <v>0.6</v>
      </c>
      <c r="AV4643" t="s">
        <v>753</v>
      </c>
      <c r="AW4643" t="s">
        <v>208</v>
      </c>
    </row>
    <row r="4644" spans="1:49">
      <c r="A4644" s="1">
        <f>HYPERLINK("https://lsnyc.legalserver.org/matter/dynamic-profile/view/1887599","19-1887599")</f>
        <v>0</v>
      </c>
      <c r="B4644" t="s">
        <v>108</v>
      </c>
      <c r="C4644" t="s">
        <v>340</v>
      </c>
      <c r="D4644" t="s">
        <v>415</v>
      </c>
      <c r="F4644" t="s">
        <v>3114</v>
      </c>
      <c r="G4644" t="s">
        <v>7371</v>
      </c>
      <c r="H4644" t="s">
        <v>13150</v>
      </c>
      <c r="I4644" t="s">
        <v>17322</v>
      </c>
      <c r="J4644" t="s">
        <v>18919</v>
      </c>
      <c r="K4644">
        <v>11427</v>
      </c>
      <c r="L4644" t="s">
        <v>18958</v>
      </c>
      <c r="M4644" t="s">
        <v>18958</v>
      </c>
      <c r="N4644" t="s">
        <v>22429</v>
      </c>
      <c r="O4644" t="s">
        <v>26524</v>
      </c>
      <c r="P4644" t="s">
        <v>26564</v>
      </c>
      <c r="R4644" t="s">
        <v>26584</v>
      </c>
      <c r="S4644" t="s">
        <v>18959</v>
      </c>
      <c r="U4644" t="s">
        <v>26604</v>
      </c>
      <c r="V4644" t="s">
        <v>26610</v>
      </c>
      <c r="W4644" t="s">
        <v>415</v>
      </c>
      <c r="X4644">
        <v>1093</v>
      </c>
      <c r="Y4644" t="s">
        <v>26653</v>
      </c>
      <c r="Z4644" t="s">
        <v>26664</v>
      </c>
      <c r="AB4644" t="s">
        <v>28047</v>
      </c>
      <c r="AC4644" t="s">
        <v>35817</v>
      </c>
      <c r="AD4644" t="s">
        <v>40680</v>
      </c>
      <c r="AE4644">
        <v>48</v>
      </c>
      <c r="AF4644" t="s">
        <v>45541</v>
      </c>
      <c r="AG4644" t="s">
        <v>19330</v>
      </c>
      <c r="AH4644">
        <v>13</v>
      </c>
      <c r="AI4644">
        <v>2</v>
      </c>
      <c r="AJ4644">
        <v>1</v>
      </c>
      <c r="AK4644">
        <v>75.06999999999999</v>
      </c>
      <c r="AN4644" t="s">
        <v>7439</v>
      </c>
      <c r="AO4644">
        <v>15600</v>
      </c>
      <c r="AU4644">
        <v>0.6</v>
      </c>
      <c r="AV4644" t="s">
        <v>753</v>
      </c>
      <c r="AW4644" t="s">
        <v>161</v>
      </c>
    </row>
    <row r="4645" spans="1:49">
      <c r="A4645" s="1">
        <f>HYPERLINK("https://lsnyc.legalserver.org/matter/dynamic-profile/view/1887574","19-1887574")</f>
        <v>0</v>
      </c>
      <c r="B4645" t="s">
        <v>253</v>
      </c>
      <c r="C4645" t="s">
        <v>340</v>
      </c>
      <c r="D4645" t="s">
        <v>415</v>
      </c>
      <c r="F4645" t="s">
        <v>1233</v>
      </c>
      <c r="G4645" t="s">
        <v>7146</v>
      </c>
      <c r="H4645" t="s">
        <v>13151</v>
      </c>
      <c r="I4645" t="s">
        <v>17361</v>
      </c>
      <c r="J4645" t="s">
        <v>18892</v>
      </c>
      <c r="K4645">
        <v>10468</v>
      </c>
      <c r="L4645" t="s">
        <v>18958</v>
      </c>
      <c r="M4645" t="s">
        <v>18958</v>
      </c>
      <c r="N4645" t="s">
        <v>22430</v>
      </c>
      <c r="O4645" t="s">
        <v>26523</v>
      </c>
      <c r="P4645" t="s">
        <v>26560</v>
      </c>
      <c r="R4645" t="s">
        <v>26579</v>
      </c>
      <c r="S4645" t="s">
        <v>18959</v>
      </c>
      <c r="U4645" t="s">
        <v>26604</v>
      </c>
      <c r="V4645" t="s">
        <v>26610</v>
      </c>
      <c r="W4645" t="s">
        <v>415</v>
      </c>
      <c r="X4645">
        <v>1861.78</v>
      </c>
      <c r="Y4645" t="s">
        <v>26650</v>
      </c>
      <c r="Z4645" t="s">
        <v>26668</v>
      </c>
      <c r="AB4645" t="s">
        <v>30501</v>
      </c>
      <c r="AC4645" t="s">
        <v>35818</v>
      </c>
      <c r="AD4645" t="s">
        <v>40681</v>
      </c>
      <c r="AE4645">
        <v>0</v>
      </c>
      <c r="AF4645" t="s">
        <v>45543</v>
      </c>
      <c r="AG4645" t="s">
        <v>45556</v>
      </c>
      <c r="AH4645">
        <v>10</v>
      </c>
      <c r="AI4645">
        <v>1</v>
      </c>
      <c r="AJ4645">
        <v>5</v>
      </c>
      <c r="AK4645">
        <v>23.2</v>
      </c>
      <c r="AN4645" t="s">
        <v>7439</v>
      </c>
      <c r="AO4645">
        <v>7826</v>
      </c>
      <c r="AU4645">
        <v>24.8</v>
      </c>
      <c r="AV4645" t="s">
        <v>843</v>
      </c>
      <c r="AW4645" t="s">
        <v>46832</v>
      </c>
    </row>
    <row r="4646" spans="1:49">
      <c r="A4646" s="1">
        <f>HYPERLINK("https://lsnyc.legalserver.org/matter/dynamic-profile/view/1887568","19-1887568")</f>
        <v>0</v>
      </c>
      <c r="B4646" t="s">
        <v>50</v>
      </c>
      <c r="C4646" t="s">
        <v>340</v>
      </c>
      <c r="D4646" t="s">
        <v>415</v>
      </c>
      <c r="F4646" t="s">
        <v>1548</v>
      </c>
      <c r="G4646" t="s">
        <v>2564</v>
      </c>
      <c r="H4646" t="s">
        <v>13152</v>
      </c>
      <c r="I4646" t="s">
        <v>17325</v>
      </c>
      <c r="J4646" t="s">
        <v>18892</v>
      </c>
      <c r="K4646">
        <v>10456</v>
      </c>
      <c r="L4646" t="s">
        <v>18958</v>
      </c>
      <c r="M4646" t="s">
        <v>18958</v>
      </c>
      <c r="N4646" t="s">
        <v>22431</v>
      </c>
      <c r="O4646" t="s">
        <v>26523</v>
      </c>
      <c r="P4646" t="s">
        <v>26560</v>
      </c>
      <c r="R4646" t="s">
        <v>26577</v>
      </c>
      <c r="S4646" t="s">
        <v>18959</v>
      </c>
      <c r="U4646" t="s">
        <v>26604</v>
      </c>
      <c r="V4646" t="s">
        <v>26610</v>
      </c>
      <c r="W4646" t="s">
        <v>415</v>
      </c>
      <c r="X4646">
        <v>1004.69</v>
      </c>
      <c r="Y4646" t="s">
        <v>26650</v>
      </c>
      <c r="Z4646" t="s">
        <v>26664</v>
      </c>
      <c r="AB4646" t="s">
        <v>30502</v>
      </c>
      <c r="AC4646" t="s">
        <v>35819</v>
      </c>
      <c r="AD4646" t="s">
        <v>40682</v>
      </c>
      <c r="AE4646">
        <v>48</v>
      </c>
      <c r="AF4646" t="s">
        <v>45541</v>
      </c>
      <c r="AG4646" t="s">
        <v>45560</v>
      </c>
      <c r="AH4646">
        <v>29</v>
      </c>
      <c r="AI4646">
        <v>2</v>
      </c>
      <c r="AJ4646">
        <v>0</v>
      </c>
      <c r="AK4646">
        <v>160.45</v>
      </c>
      <c r="AN4646" t="s">
        <v>7439</v>
      </c>
      <c r="AO4646">
        <v>26410</v>
      </c>
      <c r="AP4646" t="s">
        <v>45654</v>
      </c>
      <c r="AU4646">
        <v>29.75</v>
      </c>
      <c r="AV4646" t="s">
        <v>773</v>
      </c>
      <c r="AW4646" t="s">
        <v>334</v>
      </c>
    </row>
    <row r="4647" spans="1:49">
      <c r="A4647" s="1">
        <f>HYPERLINK("https://lsnyc.legalserver.org/matter/dynamic-profile/view/1887622","19-1887622")</f>
        <v>0</v>
      </c>
      <c r="B4647" t="s">
        <v>121</v>
      </c>
      <c r="C4647" t="s">
        <v>340</v>
      </c>
      <c r="D4647" t="s">
        <v>415</v>
      </c>
      <c r="F4647" t="s">
        <v>3115</v>
      </c>
      <c r="G4647" t="s">
        <v>6551</v>
      </c>
      <c r="H4647" t="s">
        <v>13153</v>
      </c>
      <c r="I4647" t="s">
        <v>17272</v>
      </c>
      <c r="J4647" t="s">
        <v>18892</v>
      </c>
      <c r="K4647">
        <v>10468</v>
      </c>
      <c r="L4647" t="s">
        <v>18958</v>
      </c>
      <c r="M4647" t="s">
        <v>18958</v>
      </c>
      <c r="N4647" t="s">
        <v>22432</v>
      </c>
      <c r="O4647" t="s">
        <v>26523</v>
      </c>
      <c r="P4647" t="s">
        <v>26560</v>
      </c>
      <c r="R4647" t="s">
        <v>26579</v>
      </c>
      <c r="U4647" t="s">
        <v>26604</v>
      </c>
      <c r="V4647" t="s">
        <v>26610</v>
      </c>
      <c r="W4647" t="s">
        <v>415</v>
      </c>
      <c r="X4647">
        <v>1906.38</v>
      </c>
      <c r="Y4647" t="s">
        <v>26650</v>
      </c>
      <c r="Z4647" t="s">
        <v>26668</v>
      </c>
      <c r="AD4647" t="s">
        <v>40683</v>
      </c>
      <c r="AE4647">
        <v>5</v>
      </c>
      <c r="AF4647" t="s">
        <v>45541</v>
      </c>
      <c r="AG4647" t="s">
        <v>45556</v>
      </c>
      <c r="AH4647">
        <v>10</v>
      </c>
      <c r="AI4647">
        <v>1</v>
      </c>
      <c r="AJ4647">
        <v>4</v>
      </c>
      <c r="AK4647">
        <v>53.03</v>
      </c>
      <c r="AN4647" t="s">
        <v>7439</v>
      </c>
      <c r="AO4647">
        <v>15600</v>
      </c>
      <c r="AU4647">
        <v>7</v>
      </c>
      <c r="AV4647" t="s">
        <v>797</v>
      </c>
      <c r="AW4647" t="s">
        <v>46836</v>
      </c>
    </row>
    <row r="4648" spans="1:49">
      <c r="A4648" s="1">
        <f>HYPERLINK("https://lsnyc.legalserver.org/matter/dynamic-profile/view/1887621","19-1887621")</f>
        <v>0</v>
      </c>
      <c r="B4648" t="s">
        <v>91</v>
      </c>
      <c r="C4648" t="s">
        <v>340</v>
      </c>
      <c r="D4648" t="s">
        <v>415</v>
      </c>
      <c r="F4648" t="s">
        <v>945</v>
      </c>
      <c r="G4648" t="s">
        <v>7372</v>
      </c>
      <c r="H4648" t="s">
        <v>13154</v>
      </c>
      <c r="I4648" t="s">
        <v>18137</v>
      </c>
      <c r="J4648" t="s">
        <v>18913</v>
      </c>
      <c r="K4648">
        <v>11106</v>
      </c>
      <c r="L4648" t="s">
        <v>18958</v>
      </c>
      <c r="M4648" t="s">
        <v>18958</v>
      </c>
      <c r="N4648" t="s">
        <v>22433</v>
      </c>
      <c r="O4648" t="s">
        <v>26523</v>
      </c>
      <c r="P4648" t="s">
        <v>26564</v>
      </c>
      <c r="R4648" t="s">
        <v>26584</v>
      </c>
      <c r="S4648" t="s">
        <v>18959</v>
      </c>
      <c r="U4648" t="s">
        <v>26604</v>
      </c>
      <c r="V4648" t="s">
        <v>26611</v>
      </c>
      <c r="W4648" t="s">
        <v>415</v>
      </c>
      <c r="X4648">
        <v>242</v>
      </c>
      <c r="Y4648" t="s">
        <v>26653</v>
      </c>
      <c r="Z4648" t="s">
        <v>26664</v>
      </c>
      <c r="AB4648" t="s">
        <v>28134</v>
      </c>
      <c r="AC4648" t="s">
        <v>35820</v>
      </c>
      <c r="AD4648" t="s">
        <v>40684</v>
      </c>
      <c r="AE4648">
        <v>48</v>
      </c>
      <c r="AF4648" t="s">
        <v>45549</v>
      </c>
      <c r="AG4648" t="s">
        <v>19330</v>
      </c>
      <c r="AH4648">
        <v>14</v>
      </c>
      <c r="AI4648">
        <v>1</v>
      </c>
      <c r="AJ4648">
        <v>2</v>
      </c>
      <c r="AK4648">
        <v>3.46</v>
      </c>
      <c r="AN4648" t="s">
        <v>7439</v>
      </c>
      <c r="AO4648">
        <v>720</v>
      </c>
      <c r="AU4648">
        <v>1.3</v>
      </c>
      <c r="AV4648" t="s">
        <v>754</v>
      </c>
      <c r="AW4648" t="s">
        <v>161</v>
      </c>
    </row>
    <row r="4649" spans="1:49">
      <c r="A4649" s="1">
        <f>HYPERLINK("https://lsnyc.legalserver.org/matter/dynamic-profile/view/1887663","19-1887663")</f>
        <v>0</v>
      </c>
      <c r="B4649" t="s">
        <v>91</v>
      </c>
      <c r="C4649" t="s">
        <v>340</v>
      </c>
      <c r="D4649" t="s">
        <v>415</v>
      </c>
      <c r="F4649" t="s">
        <v>1066</v>
      </c>
      <c r="G4649" t="s">
        <v>2267</v>
      </c>
      <c r="H4649" t="s">
        <v>13155</v>
      </c>
      <c r="I4649" t="s">
        <v>17331</v>
      </c>
      <c r="J4649" t="s">
        <v>18907</v>
      </c>
      <c r="K4649">
        <v>11377</v>
      </c>
      <c r="L4649" t="s">
        <v>18958</v>
      </c>
      <c r="M4649" t="s">
        <v>18958</v>
      </c>
      <c r="N4649" t="s">
        <v>22434</v>
      </c>
      <c r="O4649" t="s">
        <v>26523</v>
      </c>
      <c r="P4649" t="s">
        <v>26564</v>
      </c>
      <c r="R4649" t="s">
        <v>26584</v>
      </c>
      <c r="S4649" t="s">
        <v>18959</v>
      </c>
      <c r="U4649" t="s">
        <v>26604</v>
      </c>
      <c r="V4649" t="s">
        <v>26610</v>
      </c>
      <c r="W4649" t="s">
        <v>415</v>
      </c>
      <c r="X4649">
        <v>1300</v>
      </c>
      <c r="Y4649" t="s">
        <v>26653</v>
      </c>
      <c r="Z4649" t="s">
        <v>26668</v>
      </c>
      <c r="AB4649" t="s">
        <v>30503</v>
      </c>
      <c r="AC4649" t="s">
        <v>35821</v>
      </c>
      <c r="AD4649" t="s">
        <v>34738</v>
      </c>
      <c r="AE4649">
        <v>6</v>
      </c>
      <c r="AF4649" t="s">
        <v>45541</v>
      </c>
      <c r="AG4649" t="s">
        <v>19330</v>
      </c>
      <c r="AH4649">
        <v>0</v>
      </c>
      <c r="AI4649">
        <v>1</v>
      </c>
      <c r="AJ4649">
        <v>0</v>
      </c>
      <c r="AK4649">
        <v>40.53</v>
      </c>
      <c r="AN4649" t="s">
        <v>7439</v>
      </c>
      <c r="AO4649">
        <v>4920</v>
      </c>
      <c r="AU4649">
        <v>3.45</v>
      </c>
      <c r="AV4649" t="s">
        <v>765</v>
      </c>
      <c r="AW4649" t="s">
        <v>161</v>
      </c>
    </row>
    <row r="4650" spans="1:49">
      <c r="A4650" s="1">
        <f>HYPERLINK("https://lsnyc.legalserver.org/matter/dynamic-profile/view/1887932","19-1887932")</f>
        <v>0</v>
      </c>
      <c r="B4650" t="s">
        <v>93</v>
      </c>
      <c r="C4650" t="s">
        <v>341</v>
      </c>
      <c r="D4650" t="s">
        <v>573</v>
      </c>
      <c r="E4650" t="s">
        <v>660</v>
      </c>
      <c r="F4650" t="s">
        <v>1082</v>
      </c>
      <c r="G4650" t="s">
        <v>7373</v>
      </c>
      <c r="H4650" t="s">
        <v>13156</v>
      </c>
      <c r="J4650" t="s">
        <v>18900</v>
      </c>
      <c r="K4650">
        <v>11367</v>
      </c>
      <c r="L4650" t="s">
        <v>18958</v>
      </c>
      <c r="M4650" t="s">
        <v>18958</v>
      </c>
      <c r="N4650" t="s">
        <v>22435</v>
      </c>
      <c r="O4650" t="s">
        <v>26523</v>
      </c>
      <c r="P4650" t="s">
        <v>26564</v>
      </c>
      <c r="Q4650" t="s">
        <v>26570</v>
      </c>
      <c r="R4650" t="s">
        <v>26584</v>
      </c>
      <c r="S4650" t="s">
        <v>18959</v>
      </c>
      <c r="U4650" t="s">
        <v>26604</v>
      </c>
      <c r="V4650" t="s">
        <v>26612</v>
      </c>
      <c r="W4650" t="s">
        <v>415</v>
      </c>
      <c r="X4650">
        <v>1396.68</v>
      </c>
      <c r="Y4650" t="s">
        <v>26653</v>
      </c>
      <c r="Z4650" t="s">
        <v>26664</v>
      </c>
      <c r="AA4650" t="s">
        <v>26683</v>
      </c>
      <c r="AB4650" t="s">
        <v>30504</v>
      </c>
      <c r="AC4650" t="s">
        <v>35822</v>
      </c>
      <c r="AD4650" t="s">
        <v>40685</v>
      </c>
      <c r="AE4650">
        <v>60</v>
      </c>
      <c r="AF4650" t="s">
        <v>45545</v>
      </c>
      <c r="AH4650">
        <v>4</v>
      </c>
      <c r="AI4650">
        <v>1</v>
      </c>
      <c r="AJ4650">
        <v>1</v>
      </c>
      <c r="AK4650">
        <v>126.37</v>
      </c>
      <c r="AN4650" t="s">
        <v>7439</v>
      </c>
      <c r="AO4650">
        <v>20800</v>
      </c>
      <c r="AU4650">
        <v>3.5</v>
      </c>
      <c r="AV4650" t="s">
        <v>752</v>
      </c>
      <c r="AW4650" t="s">
        <v>93</v>
      </c>
    </row>
    <row r="4651" spans="1:49">
      <c r="A4651" s="1">
        <f>HYPERLINK("https://lsnyc.legalserver.org/matter/dynamic-profile/view/1888008","19-1888008")</f>
        <v>0</v>
      </c>
      <c r="B4651" t="s">
        <v>167</v>
      </c>
      <c r="C4651" t="s">
        <v>340</v>
      </c>
      <c r="D4651" t="s">
        <v>573</v>
      </c>
      <c r="F4651" t="s">
        <v>2722</v>
      </c>
      <c r="G4651" t="s">
        <v>5484</v>
      </c>
      <c r="H4651" t="s">
        <v>13157</v>
      </c>
      <c r="I4651" t="s">
        <v>17436</v>
      </c>
      <c r="J4651" t="s">
        <v>18894</v>
      </c>
      <c r="K4651">
        <v>11226</v>
      </c>
      <c r="L4651" t="s">
        <v>18958</v>
      </c>
      <c r="M4651" t="s">
        <v>18958</v>
      </c>
      <c r="R4651" t="s">
        <v>26578</v>
      </c>
      <c r="U4651" t="s">
        <v>26604</v>
      </c>
      <c r="W4651" t="s">
        <v>415</v>
      </c>
      <c r="X4651">
        <v>5</v>
      </c>
      <c r="Y4651" t="s">
        <v>26652</v>
      </c>
      <c r="AB4651" t="s">
        <v>30505</v>
      </c>
      <c r="AD4651" t="s">
        <v>40686</v>
      </c>
      <c r="AE4651">
        <v>0</v>
      </c>
      <c r="AH4651">
        <v>0</v>
      </c>
      <c r="AI4651">
        <v>1</v>
      </c>
      <c r="AJ4651">
        <v>0</v>
      </c>
      <c r="AK4651">
        <v>91.83</v>
      </c>
      <c r="AN4651" t="s">
        <v>7439</v>
      </c>
      <c r="AO4651">
        <v>11148</v>
      </c>
      <c r="AU4651">
        <v>16.3</v>
      </c>
      <c r="AV4651" t="s">
        <v>765</v>
      </c>
      <c r="AW4651" t="s">
        <v>219</v>
      </c>
    </row>
    <row r="4652" spans="1:49">
      <c r="A4652" s="1">
        <f>HYPERLINK("https://lsnyc.legalserver.org/matter/dynamic-profile/view/1888117","19-1888117")</f>
        <v>0</v>
      </c>
      <c r="B4652" t="s">
        <v>167</v>
      </c>
      <c r="C4652" t="s">
        <v>340</v>
      </c>
      <c r="D4652" t="s">
        <v>685</v>
      </c>
      <c r="F4652" t="s">
        <v>939</v>
      </c>
      <c r="G4652" t="s">
        <v>7374</v>
      </c>
      <c r="H4652" t="s">
        <v>13158</v>
      </c>
      <c r="I4652" t="s">
        <v>17334</v>
      </c>
      <c r="J4652" t="s">
        <v>18894</v>
      </c>
      <c r="K4652">
        <v>11219</v>
      </c>
      <c r="L4652" t="s">
        <v>18958</v>
      </c>
      <c r="M4652" t="s">
        <v>18958</v>
      </c>
      <c r="N4652" t="s">
        <v>22436</v>
      </c>
      <c r="O4652" t="s">
        <v>26524</v>
      </c>
      <c r="P4652" t="s">
        <v>26560</v>
      </c>
      <c r="R4652" t="s">
        <v>26586</v>
      </c>
      <c r="S4652" t="s">
        <v>18959</v>
      </c>
      <c r="U4652" t="s">
        <v>26604</v>
      </c>
      <c r="V4652" t="s">
        <v>26610</v>
      </c>
      <c r="W4652" t="s">
        <v>415</v>
      </c>
      <c r="X4652">
        <v>1014</v>
      </c>
      <c r="Y4652" t="s">
        <v>26652</v>
      </c>
      <c r="Z4652" t="s">
        <v>26664</v>
      </c>
      <c r="AB4652" t="s">
        <v>30506</v>
      </c>
      <c r="AD4652" t="s">
        <v>40687</v>
      </c>
      <c r="AE4652">
        <v>5</v>
      </c>
      <c r="AF4652" t="s">
        <v>45547</v>
      </c>
      <c r="AG4652" t="s">
        <v>19330</v>
      </c>
      <c r="AH4652">
        <v>4</v>
      </c>
      <c r="AI4652">
        <v>1</v>
      </c>
      <c r="AJ4652">
        <v>1</v>
      </c>
      <c r="AK4652">
        <v>0</v>
      </c>
      <c r="AN4652" t="s">
        <v>45581</v>
      </c>
      <c r="AO4652">
        <v>0</v>
      </c>
      <c r="AU4652">
        <v>44.3</v>
      </c>
      <c r="AV4652" t="s">
        <v>826</v>
      </c>
      <c r="AW4652" t="s">
        <v>219</v>
      </c>
    </row>
    <row r="4653" spans="1:49">
      <c r="A4653" s="1">
        <f>HYPERLINK("https://lsnyc.legalserver.org/matter/dynamic-profile/view/1888084","19-1888084")</f>
        <v>0</v>
      </c>
      <c r="B4653" t="s">
        <v>167</v>
      </c>
      <c r="C4653" t="s">
        <v>340</v>
      </c>
      <c r="D4653" t="s">
        <v>685</v>
      </c>
      <c r="F4653" t="s">
        <v>2392</v>
      </c>
      <c r="G4653" t="s">
        <v>7375</v>
      </c>
      <c r="H4653" t="s">
        <v>13159</v>
      </c>
      <c r="I4653" t="s">
        <v>18138</v>
      </c>
      <c r="J4653" t="s">
        <v>18894</v>
      </c>
      <c r="K4653">
        <v>11221</v>
      </c>
      <c r="L4653" t="s">
        <v>18958</v>
      </c>
      <c r="M4653" t="s">
        <v>18958</v>
      </c>
      <c r="N4653" t="s">
        <v>22437</v>
      </c>
      <c r="O4653" t="s">
        <v>26524</v>
      </c>
      <c r="P4653" t="s">
        <v>26560</v>
      </c>
      <c r="R4653" t="s">
        <v>26588</v>
      </c>
      <c r="S4653" t="s">
        <v>18959</v>
      </c>
      <c r="U4653" t="s">
        <v>26604</v>
      </c>
      <c r="W4653" t="s">
        <v>415</v>
      </c>
      <c r="X4653">
        <v>1000</v>
      </c>
      <c r="Y4653" t="s">
        <v>26652</v>
      </c>
      <c r="AB4653" t="s">
        <v>30507</v>
      </c>
      <c r="AD4653" t="s">
        <v>40688</v>
      </c>
      <c r="AE4653">
        <v>3</v>
      </c>
      <c r="AH4653">
        <v>4</v>
      </c>
      <c r="AI4653">
        <v>2</v>
      </c>
      <c r="AJ4653">
        <v>0</v>
      </c>
      <c r="AK4653">
        <v>81.43000000000001</v>
      </c>
      <c r="AN4653" t="s">
        <v>7439</v>
      </c>
      <c r="AO4653">
        <v>13404</v>
      </c>
      <c r="AU4653">
        <v>20.6</v>
      </c>
      <c r="AV4653" t="s">
        <v>805</v>
      </c>
      <c r="AW4653" t="s">
        <v>219</v>
      </c>
    </row>
    <row r="4654" spans="1:49">
      <c r="A4654" s="1">
        <f>HYPERLINK("https://lsnyc.legalserver.org/matter/dynamic-profile/view/0824218","17-0824218")</f>
        <v>0</v>
      </c>
      <c r="B4654" t="s">
        <v>136</v>
      </c>
      <c r="C4654" t="s">
        <v>340</v>
      </c>
      <c r="D4654" t="s">
        <v>725</v>
      </c>
      <c r="F4654" t="s">
        <v>3116</v>
      </c>
      <c r="G4654" t="s">
        <v>5138</v>
      </c>
      <c r="H4654" t="s">
        <v>13160</v>
      </c>
      <c r="I4654" t="s">
        <v>17725</v>
      </c>
      <c r="J4654" t="s">
        <v>18892</v>
      </c>
      <c r="K4654">
        <v>10460</v>
      </c>
      <c r="L4654" t="s">
        <v>18958</v>
      </c>
      <c r="M4654" t="s">
        <v>18960</v>
      </c>
      <c r="N4654" t="s">
        <v>22438</v>
      </c>
      <c r="O4654" t="s">
        <v>26523</v>
      </c>
      <c r="P4654" t="s">
        <v>26560</v>
      </c>
      <c r="R4654" t="s">
        <v>26577</v>
      </c>
      <c r="S4654" t="s">
        <v>18959</v>
      </c>
      <c r="U4654" t="s">
        <v>26606</v>
      </c>
      <c r="V4654" t="s">
        <v>26610</v>
      </c>
      <c r="W4654" t="s">
        <v>458</v>
      </c>
      <c r="X4654">
        <v>1411</v>
      </c>
      <c r="Y4654" t="s">
        <v>26650</v>
      </c>
      <c r="Z4654" t="s">
        <v>26661</v>
      </c>
      <c r="AB4654" t="s">
        <v>30508</v>
      </c>
      <c r="AC4654" t="s">
        <v>35823</v>
      </c>
      <c r="AD4654" t="s">
        <v>40689</v>
      </c>
      <c r="AE4654">
        <v>0</v>
      </c>
      <c r="AF4654" t="s">
        <v>45544</v>
      </c>
      <c r="AG4654" t="s">
        <v>45556</v>
      </c>
      <c r="AH4654">
        <v>19</v>
      </c>
      <c r="AI4654">
        <v>2</v>
      </c>
      <c r="AJ4654">
        <v>1</v>
      </c>
      <c r="AK4654">
        <v>152.31</v>
      </c>
      <c r="AO4654">
        <v>30706</v>
      </c>
      <c r="AP4654" t="s">
        <v>45832</v>
      </c>
      <c r="AU4654">
        <v>112.05</v>
      </c>
      <c r="AV4654" t="s">
        <v>772</v>
      </c>
      <c r="AW4654" t="s">
        <v>46830</v>
      </c>
    </row>
    <row r="4655" spans="1:49">
      <c r="A4655" s="1">
        <f>HYPERLINK("https://lsnyc.legalserver.org/matter/dynamic-profile/view/1882157","18-1882157")</f>
        <v>0</v>
      </c>
      <c r="B4655" t="s">
        <v>221</v>
      </c>
      <c r="C4655" t="s">
        <v>341</v>
      </c>
      <c r="D4655" t="s">
        <v>644</v>
      </c>
      <c r="E4655" t="s">
        <v>494</v>
      </c>
      <c r="F4655" t="s">
        <v>3117</v>
      </c>
      <c r="G4655" t="s">
        <v>7376</v>
      </c>
      <c r="H4655" t="s">
        <v>13161</v>
      </c>
      <c r="I4655" t="s">
        <v>17287</v>
      </c>
      <c r="J4655" t="s">
        <v>18928</v>
      </c>
      <c r="K4655">
        <v>11365</v>
      </c>
      <c r="L4655" t="s">
        <v>18958</v>
      </c>
      <c r="M4655" t="s">
        <v>18958</v>
      </c>
      <c r="N4655" t="s">
        <v>22439</v>
      </c>
      <c r="O4655" t="s">
        <v>26523</v>
      </c>
      <c r="P4655" t="s">
        <v>26564</v>
      </c>
      <c r="Q4655" t="s">
        <v>26570</v>
      </c>
      <c r="R4655" t="s">
        <v>26584</v>
      </c>
      <c r="U4655" t="s">
        <v>26604</v>
      </c>
      <c r="W4655" t="s">
        <v>458</v>
      </c>
      <c r="X4655">
        <v>272</v>
      </c>
      <c r="Y4655" t="s">
        <v>26653</v>
      </c>
      <c r="Z4655" t="s">
        <v>26664</v>
      </c>
      <c r="AA4655" t="s">
        <v>26683</v>
      </c>
      <c r="AB4655" t="s">
        <v>30509</v>
      </c>
      <c r="AC4655" t="s">
        <v>35824</v>
      </c>
      <c r="AD4655" t="s">
        <v>40690</v>
      </c>
      <c r="AE4655">
        <v>28</v>
      </c>
      <c r="AF4655" t="s">
        <v>45549</v>
      </c>
      <c r="AG4655" t="s">
        <v>19330</v>
      </c>
      <c r="AH4655">
        <v>3</v>
      </c>
      <c r="AI4655">
        <v>2</v>
      </c>
      <c r="AJ4655">
        <v>1</v>
      </c>
      <c r="AK4655">
        <v>50.47</v>
      </c>
      <c r="AO4655">
        <v>10488</v>
      </c>
      <c r="AU4655">
        <v>2.2</v>
      </c>
      <c r="AV4655" t="s">
        <v>853</v>
      </c>
      <c r="AW4655" t="s">
        <v>122</v>
      </c>
    </row>
    <row r="4656" spans="1:49">
      <c r="A4656" s="1">
        <f>HYPERLINK("https://lsnyc.legalserver.org/matter/dynamic-profile/view/1885187","18-1885187")</f>
        <v>0</v>
      </c>
      <c r="B4656" t="s">
        <v>99</v>
      </c>
      <c r="C4656" t="s">
        <v>341</v>
      </c>
      <c r="D4656" t="s">
        <v>683</v>
      </c>
      <c r="E4656" t="s">
        <v>726</v>
      </c>
      <c r="F4656" t="s">
        <v>1288</v>
      </c>
      <c r="G4656" t="s">
        <v>1384</v>
      </c>
      <c r="H4656" t="s">
        <v>13162</v>
      </c>
      <c r="I4656" t="s">
        <v>17792</v>
      </c>
      <c r="J4656" t="s">
        <v>18894</v>
      </c>
      <c r="K4656">
        <v>11226</v>
      </c>
      <c r="L4656" t="s">
        <v>18958</v>
      </c>
      <c r="M4656" t="s">
        <v>18958</v>
      </c>
      <c r="N4656" t="s">
        <v>22440</v>
      </c>
      <c r="O4656" t="s">
        <v>26523</v>
      </c>
      <c r="P4656" t="s">
        <v>26560</v>
      </c>
      <c r="Q4656" t="s">
        <v>26573</v>
      </c>
      <c r="R4656" t="s">
        <v>26588</v>
      </c>
      <c r="S4656" t="s">
        <v>18959</v>
      </c>
      <c r="U4656" t="s">
        <v>26604</v>
      </c>
      <c r="V4656" t="s">
        <v>26610</v>
      </c>
      <c r="W4656" t="s">
        <v>458</v>
      </c>
      <c r="X4656">
        <v>760.37</v>
      </c>
      <c r="Y4656" t="s">
        <v>26652</v>
      </c>
      <c r="Z4656" t="s">
        <v>26664</v>
      </c>
      <c r="AA4656" t="s">
        <v>26678</v>
      </c>
      <c r="AB4656" t="s">
        <v>30510</v>
      </c>
      <c r="AD4656" t="s">
        <v>40691</v>
      </c>
      <c r="AE4656">
        <v>101</v>
      </c>
      <c r="AF4656" t="s">
        <v>45541</v>
      </c>
      <c r="AG4656" t="s">
        <v>19330</v>
      </c>
      <c r="AH4656">
        <v>4</v>
      </c>
      <c r="AI4656">
        <v>1</v>
      </c>
      <c r="AJ4656">
        <v>1</v>
      </c>
      <c r="AK4656">
        <v>71.22</v>
      </c>
      <c r="AN4656" t="s">
        <v>7439</v>
      </c>
      <c r="AO4656">
        <v>11722</v>
      </c>
      <c r="AQ4656" t="s">
        <v>46359</v>
      </c>
      <c r="AR4656" t="s">
        <v>46379</v>
      </c>
      <c r="AS4656" t="s">
        <v>46499</v>
      </c>
      <c r="AT4656" t="s">
        <v>46636</v>
      </c>
      <c r="AU4656">
        <v>6.8</v>
      </c>
      <c r="AV4656" t="s">
        <v>726</v>
      </c>
      <c r="AW4656" t="s">
        <v>46862</v>
      </c>
    </row>
    <row r="4657" spans="1:50">
      <c r="A4657" s="1">
        <f>HYPERLINK("https://lsnyc.legalserver.org/matter/dynamic-profile/view/1886738","18-1886738")</f>
        <v>0</v>
      </c>
      <c r="B4657" t="s">
        <v>238</v>
      </c>
      <c r="C4657" t="s">
        <v>341</v>
      </c>
      <c r="D4657" t="s">
        <v>494</v>
      </c>
      <c r="E4657" t="s">
        <v>458</v>
      </c>
      <c r="F4657" t="s">
        <v>3118</v>
      </c>
      <c r="G4657" t="s">
        <v>7377</v>
      </c>
      <c r="H4657" t="s">
        <v>13163</v>
      </c>
      <c r="I4657" t="s">
        <v>17302</v>
      </c>
      <c r="J4657" t="s">
        <v>18894</v>
      </c>
      <c r="K4657">
        <v>11225</v>
      </c>
      <c r="L4657" t="s">
        <v>18958</v>
      </c>
      <c r="M4657" t="s">
        <v>18958</v>
      </c>
      <c r="N4657" t="s">
        <v>22441</v>
      </c>
      <c r="O4657" t="s">
        <v>26523</v>
      </c>
      <c r="P4657" t="s">
        <v>26564</v>
      </c>
      <c r="Q4657" t="s">
        <v>26570</v>
      </c>
      <c r="R4657" t="s">
        <v>26588</v>
      </c>
      <c r="U4657" t="s">
        <v>26604</v>
      </c>
      <c r="W4657" t="s">
        <v>458</v>
      </c>
      <c r="X4657">
        <v>1300</v>
      </c>
      <c r="Y4657" t="s">
        <v>26652</v>
      </c>
      <c r="Z4657" t="s">
        <v>26669</v>
      </c>
      <c r="AA4657" t="s">
        <v>26683</v>
      </c>
      <c r="AB4657" t="s">
        <v>30511</v>
      </c>
      <c r="AD4657" t="s">
        <v>40692</v>
      </c>
      <c r="AE4657">
        <v>0</v>
      </c>
      <c r="AG4657" t="s">
        <v>19330</v>
      </c>
      <c r="AH4657">
        <v>18</v>
      </c>
      <c r="AI4657">
        <v>3</v>
      </c>
      <c r="AJ4657">
        <v>3</v>
      </c>
      <c r="AK4657">
        <v>59.28</v>
      </c>
      <c r="AN4657" t="s">
        <v>7439</v>
      </c>
      <c r="AO4657">
        <v>20000</v>
      </c>
      <c r="AU4657">
        <v>1.2</v>
      </c>
      <c r="AV4657" t="s">
        <v>494</v>
      </c>
      <c r="AW4657" t="s">
        <v>46862</v>
      </c>
    </row>
    <row r="4658" spans="1:50">
      <c r="A4658" s="1">
        <f>HYPERLINK("https://lsnyc.legalserver.org/matter/dynamic-profile/view/1887526","19-1887526")</f>
        <v>0</v>
      </c>
      <c r="B4658" t="s">
        <v>140</v>
      </c>
      <c r="C4658" t="s">
        <v>341</v>
      </c>
      <c r="D4658" t="s">
        <v>414</v>
      </c>
      <c r="E4658" t="s">
        <v>458</v>
      </c>
      <c r="F4658" t="s">
        <v>1756</v>
      </c>
      <c r="G4658" t="s">
        <v>5951</v>
      </c>
      <c r="H4658" t="s">
        <v>13164</v>
      </c>
      <c r="I4658">
        <v>2</v>
      </c>
      <c r="J4658" t="s">
        <v>18894</v>
      </c>
      <c r="K4658">
        <v>11208</v>
      </c>
      <c r="L4658" t="s">
        <v>18958</v>
      </c>
      <c r="M4658" t="s">
        <v>18958</v>
      </c>
      <c r="N4658" t="s">
        <v>22442</v>
      </c>
      <c r="O4658" t="s">
        <v>26524</v>
      </c>
      <c r="P4658" t="s">
        <v>26564</v>
      </c>
      <c r="Q4658" t="s">
        <v>26570</v>
      </c>
      <c r="R4658" t="s">
        <v>26586</v>
      </c>
      <c r="S4658" t="s">
        <v>18959</v>
      </c>
      <c r="U4658" t="s">
        <v>26604</v>
      </c>
      <c r="V4658" t="s">
        <v>26610</v>
      </c>
      <c r="W4658" t="s">
        <v>458</v>
      </c>
      <c r="X4658">
        <v>3000</v>
      </c>
      <c r="Y4658" t="s">
        <v>26652</v>
      </c>
      <c r="Z4658" t="s">
        <v>26664</v>
      </c>
      <c r="AA4658" t="s">
        <v>26683</v>
      </c>
      <c r="AB4658" t="s">
        <v>30512</v>
      </c>
      <c r="AD4658" t="s">
        <v>40693</v>
      </c>
      <c r="AE4658">
        <v>5</v>
      </c>
      <c r="AF4658" t="s">
        <v>45547</v>
      </c>
      <c r="AG4658" t="s">
        <v>26530</v>
      </c>
      <c r="AH4658">
        <v>-1</v>
      </c>
      <c r="AI4658">
        <v>1</v>
      </c>
      <c r="AJ4658">
        <v>2</v>
      </c>
      <c r="AK4658">
        <v>138.38</v>
      </c>
      <c r="AN4658" t="s">
        <v>7439</v>
      </c>
      <c r="AO4658">
        <v>28756</v>
      </c>
      <c r="AU4658">
        <v>0.5</v>
      </c>
      <c r="AV4658" t="s">
        <v>458</v>
      </c>
      <c r="AW4658" t="s">
        <v>46853</v>
      </c>
    </row>
    <row r="4659" spans="1:50">
      <c r="A4659" s="1">
        <f>HYPERLINK("https://lsnyc.legalserver.org/matter/dynamic-profile/view/1887646","19-1887646")</f>
        <v>0</v>
      </c>
      <c r="B4659" t="s">
        <v>67</v>
      </c>
      <c r="C4659" t="s">
        <v>340</v>
      </c>
      <c r="D4659" t="s">
        <v>415</v>
      </c>
      <c r="F4659" t="s">
        <v>3119</v>
      </c>
      <c r="G4659" t="s">
        <v>7378</v>
      </c>
      <c r="H4659" t="s">
        <v>12525</v>
      </c>
      <c r="I4659" t="s">
        <v>17315</v>
      </c>
      <c r="J4659" t="s">
        <v>18892</v>
      </c>
      <c r="K4659">
        <v>10453</v>
      </c>
      <c r="L4659" t="s">
        <v>18958</v>
      </c>
      <c r="M4659" t="s">
        <v>18958</v>
      </c>
      <c r="O4659" t="s">
        <v>26526</v>
      </c>
      <c r="P4659" t="s">
        <v>26560</v>
      </c>
      <c r="R4659" t="s">
        <v>26578</v>
      </c>
      <c r="S4659" t="s">
        <v>18959</v>
      </c>
      <c r="U4659" t="s">
        <v>26604</v>
      </c>
      <c r="W4659" t="s">
        <v>458</v>
      </c>
      <c r="X4659">
        <v>1039.51</v>
      </c>
      <c r="Y4659" t="s">
        <v>26650</v>
      </c>
      <c r="Z4659" t="s">
        <v>26663</v>
      </c>
      <c r="AB4659" t="s">
        <v>30513</v>
      </c>
      <c r="AD4659" t="s">
        <v>40694</v>
      </c>
      <c r="AE4659">
        <v>69</v>
      </c>
      <c r="AF4659" t="s">
        <v>45541</v>
      </c>
      <c r="AG4659" t="s">
        <v>19330</v>
      </c>
      <c r="AH4659">
        <v>15</v>
      </c>
      <c r="AI4659">
        <v>1</v>
      </c>
      <c r="AJ4659">
        <v>0</v>
      </c>
      <c r="AK4659">
        <v>79.08</v>
      </c>
      <c r="AN4659" t="s">
        <v>8151</v>
      </c>
      <c r="AO4659">
        <v>9600</v>
      </c>
      <c r="AU4659">
        <v>29.95</v>
      </c>
      <c r="AV4659" t="s">
        <v>834</v>
      </c>
      <c r="AW4659" t="s">
        <v>336</v>
      </c>
    </row>
    <row r="4660" spans="1:50">
      <c r="A4660" s="1">
        <f>HYPERLINK("https://lsnyc.legalserver.org/matter/dynamic-profile/view/1887736","19-1887736")</f>
        <v>0</v>
      </c>
      <c r="B4660" t="s">
        <v>64</v>
      </c>
      <c r="C4660" t="s">
        <v>341</v>
      </c>
      <c r="D4660" t="s">
        <v>458</v>
      </c>
      <c r="E4660" t="s">
        <v>803</v>
      </c>
      <c r="F4660" t="s">
        <v>3120</v>
      </c>
      <c r="G4660" t="s">
        <v>6800</v>
      </c>
      <c r="H4660" t="s">
        <v>13165</v>
      </c>
      <c r="I4660" t="s">
        <v>17349</v>
      </c>
      <c r="J4660" t="s">
        <v>18892</v>
      </c>
      <c r="K4660">
        <v>10467</v>
      </c>
      <c r="L4660" t="s">
        <v>18958</v>
      </c>
      <c r="M4660" t="s">
        <v>18958</v>
      </c>
      <c r="N4660" t="s">
        <v>22443</v>
      </c>
      <c r="O4660" t="s">
        <v>26523</v>
      </c>
      <c r="P4660" t="s">
        <v>26560</v>
      </c>
      <c r="Q4660" t="s">
        <v>26568</v>
      </c>
      <c r="R4660" t="s">
        <v>26579</v>
      </c>
      <c r="S4660" t="s">
        <v>18959</v>
      </c>
      <c r="U4660" t="s">
        <v>26604</v>
      </c>
      <c r="V4660" t="s">
        <v>26609</v>
      </c>
      <c r="W4660" t="s">
        <v>458</v>
      </c>
      <c r="X4660">
        <v>1147.78</v>
      </c>
      <c r="Y4660" t="s">
        <v>26650</v>
      </c>
      <c r="Z4660" t="s">
        <v>26664</v>
      </c>
      <c r="AA4660" t="s">
        <v>26678</v>
      </c>
      <c r="AB4660" t="s">
        <v>30514</v>
      </c>
      <c r="AC4660" t="s">
        <v>35825</v>
      </c>
      <c r="AD4660" t="s">
        <v>40695</v>
      </c>
      <c r="AE4660">
        <v>0</v>
      </c>
      <c r="AF4660" t="s">
        <v>45541</v>
      </c>
      <c r="AG4660" t="s">
        <v>19330</v>
      </c>
      <c r="AH4660">
        <v>8</v>
      </c>
      <c r="AI4660">
        <v>1</v>
      </c>
      <c r="AJ4660">
        <v>3</v>
      </c>
      <c r="AK4660">
        <v>184.18</v>
      </c>
      <c r="AN4660" t="s">
        <v>7439</v>
      </c>
      <c r="AO4660">
        <v>46228</v>
      </c>
      <c r="AQ4660" t="s">
        <v>46362</v>
      </c>
      <c r="AR4660" t="s">
        <v>46380</v>
      </c>
      <c r="AS4660" t="s">
        <v>46499</v>
      </c>
      <c r="AT4660" t="s">
        <v>46740</v>
      </c>
      <c r="AU4660">
        <v>6.3</v>
      </c>
      <c r="AV4660" t="s">
        <v>803</v>
      </c>
      <c r="AW4660" t="s">
        <v>46870</v>
      </c>
    </row>
    <row r="4661" spans="1:50">
      <c r="A4661" s="1">
        <f>HYPERLINK("https://lsnyc.legalserver.org/matter/dynamic-profile/view/1887795","19-1887795")</f>
        <v>0</v>
      </c>
      <c r="B4661" t="s">
        <v>263</v>
      </c>
      <c r="C4661" t="s">
        <v>341</v>
      </c>
      <c r="D4661" t="s">
        <v>458</v>
      </c>
      <c r="E4661" t="s">
        <v>789</v>
      </c>
      <c r="F4661" t="s">
        <v>1858</v>
      </c>
      <c r="G4661" t="s">
        <v>7379</v>
      </c>
      <c r="H4661" t="s">
        <v>13166</v>
      </c>
      <c r="I4661" t="s">
        <v>17279</v>
      </c>
      <c r="J4661" t="s">
        <v>18892</v>
      </c>
      <c r="K4661">
        <v>10467</v>
      </c>
      <c r="L4661" t="s">
        <v>18958</v>
      </c>
      <c r="M4661" t="s">
        <v>18958</v>
      </c>
      <c r="O4661" t="s">
        <v>26529</v>
      </c>
      <c r="P4661" t="s">
        <v>26565</v>
      </c>
      <c r="Q4661" t="s">
        <v>26571</v>
      </c>
      <c r="R4661" t="s">
        <v>26578</v>
      </c>
      <c r="S4661" t="s">
        <v>18959</v>
      </c>
      <c r="U4661" t="s">
        <v>26604</v>
      </c>
      <c r="W4661" t="s">
        <v>458</v>
      </c>
      <c r="X4661">
        <v>542.6900000000001</v>
      </c>
      <c r="Y4661" t="s">
        <v>26650</v>
      </c>
      <c r="Z4661" t="s">
        <v>26655</v>
      </c>
      <c r="AA4661" t="s">
        <v>26682</v>
      </c>
      <c r="AB4661" t="s">
        <v>30515</v>
      </c>
      <c r="AD4661" t="s">
        <v>40696</v>
      </c>
      <c r="AE4661">
        <v>59</v>
      </c>
      <c r="AF4661" t="s">
        <v>45541</v>
      </c>
      <c r="AG4661" t="s">
        <v>45559</v>
      </c>
      <c r="AH4661">
        <v>44</v>
      </c>
      <c r="AI4661">
        <v>1</v>
      </c>
      <c r="AJ4661">
        <v>0</v>
      </c>
      <c r="AK4661">
        <v>74.14</v>
      </c>
      <c r="AN4661" t="s">
        <v>7439</v>
      </c>
      <c r="AO4661">
        <v>9000</v>
      </c>
      <c r="AU4661">
        <v>3.75</v>
      </c>
      <c r="AV4661" t="s">
        <v>737</v>
      </c>
      <c r="AW4661" t="s">
        <v>263</v>
      </c>
    </row>
    <row r="4662" spans="1:50">
      <c r="A4662" s="1">
        <f>HYPERLINK("https://lsnyc.legalserver.org/matter/dynamic-profile/view/1887704","19-1887704")</f>
        <v>0</v>
      </c>
      <c r="B4662" t="s">
        <v>183</v>
      </c>
      <c r="C4662" t="s">
        <v>340</v>
      </c>
      <c r="D4662" t="s">
        <v>458</v>
      </c>
      <c r="F4662" t="s">
        <v>3121</v>
      </c>
      <c r="G4662" t="s">
        <v>879</v>
      </c>
      <c r="H4662" t="s">
        <v>13167</v>
      </c>
      <c r="I4662" t="s">
        <v>17356</v>
      </c>
      <c r="J4662" t="s">
        <v>18893</v>
      </c>
      <c r="K4662">
        <v>10030</v>
      </c>
      <c r="L4662" t="s">
        <v>18958</v>
      </c>
      <c r="M4662" t="s">
        <v>18958</v>
      </c>
      <c r="N4662" t="s">
        <v>22444</v>
      </c>
      <c r="O4662" t="s">
        <v>26523</v>
      </c>
      <c r="P4662" t="s">
        <v>26564</v>
      </c>
      <c r="R4662" t="s">
        <v>26582</v>
      </c>
      <c r="S4662" t="s">
        <v>18959</v>
      </c>
      <c r="U4662" t="s">
        <v>26604</v>
      </c>
      <c r="V4662" t="s">
        <v>26610</v>
      </c>
      <c r="W4662" t="s">
        <v>458</v>
      </c>
      <c r="X4662">
        <v>826.75</v>
      </c>
      <c r="Y4662" t="s">
        <v>26651</v>
      </c>
      <c r="Z4662" t="s">
        <v>26664</v>
      </c>
      <c r="AB4662" t="s">
        <v>30516</v>
      </c>
      <c r="AD4662" t="s">
        <v>40697</v>
      </c>
      <c r="AE4662">
        <v>19</v>
      </c>
      <c r="AF4662" t="s">
        <v>45541</v>
      </c>
      <c r="AG4662" t="s">
        <v>19330</v>
      </c>
      <c r="AH4662">
        <v>22</v>
      </c>
      <c r="AI4662">
        <v>1</v>
      </c>
      <c r="AJ4662">
        <v>0</v>
      </c>
      <c r="AK4662">
        <v>123.36</v>
      </c>
      <c r="AN4662" t="s">
        <v>7439</v>
      </c>
      <c r="AO4662">
        <v>14976</v>
      </c>
      <c r="AU4662">
        <v>0.1</v>
      </c>
      <c r="AV4662" t="s">
        <v>836</v>
      </c>
      <c r="AW4662" t="s">
        <v>46835</v>
      </c>
    </row>
    <row r="4663" spans="1:50">
      <c r="A4663" s="1">
        <f>HYPERLINK("https://lsnyc.legalserver.org/matter/dynamic-profile/view/1887716","19-1887716")</f>
        <v>0</v>
      </c>
      <c r="B4663" t="s">
        <v>183</v>
      </c>
      <c r="C4663" t="s">
        <v>340</v>
      </c>
      <c r="D4663" t="s">
        <v>458</v>
      </c>
      <c r="F4663" t="s">
        <v>3122</v>
      </c>
      <c r="G4663" t="s">
        <v>7380</v>
      </c>
      <c r="H4663" t="s">
        <v>10006</v>
      </c>
      <c r="I4663" t="s">
        <v>17274</v>
      </c>
      <c r="J4663" t="s">
        <v>18893</v>
      </c>
      <c r="K4663">
        <v>10030</v>
      </c>
      <c r="L4663" t="s">
        <v>18958</v>
      </c>
      <c r="M4663" t="s">
        <v>18958</v>
      </c>
      <c r="N4663" t="s">
        <v>22445</v>
      </c>
      <c r="O4663" t="s">
        <v>26524</v>
      </c>
      <c r="P4663" t="s">
        <v>26564</v>
      </c>
      <c r="R4663" t="s">
        <v>26582</v>
      </c>
      <c r="S4663" t="s">
        <v>18959</v>
      </c>
      <c r="U4663" t="s">
        <v>26604</v>
      </c>
      <c r="V4663" t="s">
        <v>26610</v>
      </c>
      <c r="W4663" t="s">
        <v>458</v>
      </c>
      <c r="X4663">
        <v>1120.05</v>
      </c>
      <c r="Y4663" t="s">
        <v>26651</v>
      </c>
      <c r="Z4663" t="s">
        <v>26664</v>
      </c>
      <c r="AB4663" t="s">
        <v>30517</v>
      </c>
      <c r="AD4663" t="s">
        <v>40698</v>
      </c>
      <c r="AE4663">
        <v>35</v>
      </c>
      <c r="AF4663" t="s">
        <v>45551</v>
      </c>
      <c r="AG4663" t="s">
        <v>26530</v>
      </c>
      <c r="AH4663">
        <v>35</v>
      </c>
      <c r="AI4663">
        <v>2</v>
      </c>
      <c r="AJ4663">
        <v>0</v>
      </c>
      <c r="AK4663">
        <v>138.73</v>
      </c>
      <c r="AN4663" t="s">
        <v>7439</v>
      </c>
      <c r="AO4663">
        <v>23460</v>
      </c>
      <c r="AU4663">
        <v>4.2</v>
      </c>
      <c r="AV4663" t="s">
        <v>835</v>
      </c>
      <c r="AW4663" t="s">
        <v>46835</v>
      </c>
      <c r="AX4663" t="s">
        <v>46897</v>
      </c>
    </row>
    <row r="4664" spans="1:50">
      <c r="A4664" s="1">
        <f>HYPERLINK("https://lsnyc.legalserver.org/matter/dynamic-profile/view/1887823","19-1887823")</f>
        <v>0</v>
      </c>
      <c r="B4664" t="s">
        <v>99</v>
      </c>
      <c r="C4664" t="s">
        <v>340</v>
      </c>
      <c r="D4664" t="s">
        <v>458</v>
      </c>
      <c r="F4664" t="s">
        <v>2812</v>
      </c>
      <c r="G4664" t="s">
        <v>4889</v>
      </c>
      <c r="H4664" t="s">
        <v>13168</v>
      </c>
      <c r="I4664" t="s">
        <v>17725</v>
      </c>
      <c r="J4664" t="s">
        <v>18894</v>
      </c>
      <c r="K4664">
        <v>11216</v>
      </c>
      <c r="L4664" t="s">
        <v>18958</v>
      </c>
      <c r="M4664" t="s">
        <v>18958</v>
      </c>
      <c r="N4664" t="s">
        <v>22446</v>
      </c>
      <c r="O4664" t="s">
        <v>26523</v>
      </c>
      <c r="P4664" t="s">
        <v>26560</v>
      </c>
      <c r="R4664" t="s">
        <v>26588</v>
      </c>
      <c r="S4664" t="s">
        <v>18959</v>
      </c>
      <c r="U4664" t="s">
        <v>26604</v>
      </c>
      <c r="V4664" t="s">
        <v>26610</v>
      </c>
      <c r="W4664" t="s">
        <v>458</v>
      </c>
      <c r="X4664">
        <v>613</v>
      </c>
      <c r="Y4664" t="s">
        <v>26652</v>
      </c>
      <c r="Z4664" t="s">
        <v>26659</v>
      </c>
      <c r="AB4664" t="s">
        <v>30518</v>
      </c>
      <c r="AD4664" t="s">
        <v>40699</v>
      </c>
      <c r="AE4664">
        <v>84</v>
      </c>
      <c r="AF4664" t="s">
        <v>45543</v>
      </c>
      <c r="AG4664" t="s">
        <v>45556</v>
      </c>
      <c r="AH4664">
        <v>23</v>
      </c>
      <c r="AI4664">
        <v>1</v>
      </c>
      <c r="AJ4664">
        <v>0</v>
      </c>
      <c r="AK4664">
        <v>200.16</v>
      </c>
      <c r="AL4664" t="s">
        <v>794</v>
      </c>
      <c r="AM4664" t="s">
        <v>45575</v>
      </c>
      <c r="AN4664" t="s">
        <v>7439</v>
      </c>
      <c r="AO4664">
        <v>25000</v>
      </c>
      <c r="AU4664">
        <v>11.1</v>
      </c>
      <c r="AV4664" t="s">
        <v>838</v>
      </c>
      <c r="AW4664" t="s">
        <v>46853</v>
      </c>
    </row>
    <row r="4665" spans="1:50">
      <c r="A4665" s="1">
        <f>HYPERLINK("https://lsnyc.legalserver.org/matter/dynamic-profile/view/1887709","19-1887709")</f>
        <v>0</v>
      </c>
      <c r="B4665" t="s">
        <v>253</v>
      </c>
      <c r="C4665" t="s">
        <v>340</v>
      </c>
      <c r="D4665" t="s">
        <v>458</v>
      </c>
      <c r="F4665" t="s">
        <v>2724</v>
      </c>
      <c r="G4665" t="s">
        <v>5475</v>
      </c>
      <c r="H4665" t="s">
        <v>9662</v>
      </c>
      <c r="I4665">
        <v>1205</v>
      </c>
      <c r="J4665" t="s">
        <v>18892</v>
      </c>
      <c r="K4665">
        <v>10457</v>
      </c>
      <c r="L4665" t="s">
        <v>18958</v>
      </c>
      <c r="M4665" t="s">
        <v>18958</v>
      </c>
      <c r="N4665" t="s">
        <v>22447</v>
      </c>
      <c r="O4665" t="s">
        <v>26523</v>
      </c>
      <c r="P4665" t="s">
        <v>26560</v>
      </c>
      <c r="R4665" t="s">
        <v>26579</v>
      </c>
      <c r="U4665" t="s">
        <v>26604</v>
      </c>
      <c r="V4665" t="s">
        <v>26610</v>
      </c>
      <c r="W4665" t="s">
        <v>458</v>
      </c>
      <c r="X4665">
        <v>0</v>
      </c>
      <c r="Y4665" t="s">
        <v>26650</v>
      </c>
      <c r="Z4665" t="s">
        <v>26664</v>
      </c>
      <c r="AB4665" t="s">
        <v>27536</v>
      </c>
      <c r="AD4665" t="s">
        <v>40700</v>
      </c>
      <c r="AE4665">
        <v>0</v>
      </c>
      <c r="AF4665" t="s">
        <v>45549</v>
      </c>
      <c r="AG4665" t="s">
        <v>45556</v>
      </c>
      <c r="AH4665">
        <v>3</v>
      </c>
      <c r="AI4665">
        <v>2</v>
      </c>
      <c r="AJ4665">
        <v>3</v>
      </c>
      <c r="AK4665">
        <v>123.34</v>
      </c>
      <c r="AN4665" t="s">
        <v>7439</v>
      </c>
      <c r="AO4665">
        <v>36288</v>
      </c>
      <c r="AU4665">
        <v>17.25</v>
      </c>
      <c r="AV4665" t="s">
        <v>834</v>
      </c>
      <c r="AW4665" t="s">
        <v>334</v>
      </c>
    </row>
    <row r="4666" spans="1:50">
      <c r="A4666" s="1">
        <f>HYPERLINK("https://lsnyc.legalserver.org/matter/dynamic-profile/view/1887730","19-1887730")</f>
        <v>0</v>
      </c>
      <c r="B4666" t="s">
        <v>194</v>
      </c>
      <c r="C4666" t="s">
        <v>340</v>
      </c>
      <c r="D4666" t="s">
        <v>458</v>
      </c>
      <c r="F4666" t="s">
        <v>1008</v>
      </c>
      <c r="G4666" t="s">
        <v>7381</v>
      </c>
      <c r="H4666" t="s">
        <v>13169</v>
      </c>
      <c r="I4666" t="s">
        <v>17273</v>
      </c>
      <c r="J4666" t="s">
        <v>18892</v>
      </c>
      <c r="K4666">
        <v>10463</v>
      </c>
      <c r="L4666" t="s">
        <v>18958</v>
      </c>
      <c r="M4666" t="s">
        <v>18958</v>
      </c>
      <c r="N4666" t="s">
        <v>22448</v>
      </c>
      <c r="O4666" t="s">
        <v>18997</v>
      </c>
      <c r="P4666" t="s">
        <v>26564</v>
      </c>
      <c r="R4666" t="s">
        <v>26582</v>
      </c>
      <c r="S4666" t="s">
        <v>18959</v>
      </c>
      <c r="U4666" t="s">
        <v>26604</v>
      </c>
      <c r="V4666" t="s">
        <v>26610</v>
      </c>
      <c r="W4666" t="s">
        <v>458</v>
      </c>
      <c r="X4666">
        <v>961</v>
      </c>
      <c r="Y4666" t="s">
        <v>26651</v>
      </c>
      <c r="Z4666" t="s">
        <v>26664</v>
      </c>
      <c r="AB4666" t="s">
        <v>30519</v>
      </c>
      <c r="AD4666" t="s">
        <v>40701</v>
      </c>
      <c r="AE4666">
        <v>55</v>
      </c>
      <c r="AF4666" t="s">
        <v>45541</v>
      </c>
      <c r="AG4666" t="s">
        <v>19330</v>
      </c>
      <c r="AH4666">
        <v>31</v>
      </c>
      <c r="AI4666">
        <v>1</v>
      </c>
      <c r="AJ4666">
        <v>0</v>
      </c>
      <c r="AK4666">
        <v>42.83</v>
      </c>
      <c r="AN4666" t="s">
        <v>7439</v>
      </c>
      <c r="AO4666">
        <v>5200</v>
      </c>
      <c r="AU4666">
        <v>0</v>
      </c>
      <c r="AW4666" t="s">
        <v>46835</v>
      </c>
    </row>
    <row r="4667" spans="1:50">
      <c r="A4667" s="1">
        <f>HYPERLINK("https://lsnyc.legalserver.org/matter/dynamic-profile/view/1887757","19-1887757")</f>
        <v>0</v>
      </c>
      <c r="B4667" t="s">
        <v>194</v>
      </c>
      <c r="C4667" t="s">
        <v>340</v>
      </c>
      <c r="D4667" t="s">
        <v>458</v>
      </c>
      <c r="F4667" t="s">
        <v>3123</v>
      </c>
      <c r="G4667" t="s">
        <v>6865</v>
      </c>
      <c r="H4667" t="s">
        <v>13170</v>
      </c>
      <c r="I4667">
        <v>521</v>
      </c>
      <c r="J4667" t="s">
        <v>18893</v>
      </c>
      <c r="K4667">
        <v>10002</v>
      </c>
      <c r="L4667" t="s">
        <v>18958</v>
      </c>
      <c r="M4667" t="s">
        <v>18958</v>
      </c>
      <c r="N4667" t="s">
        <v>22449</v>
      </c>
      <c r="O4667" t="s">
        <v>26523</v>
      </c>
      <c r="P4667" t="s">
        <v>26564</v>
      </c>
      <c r="R4667" t="s">
        <v>26582</v>
      </c>
      <c r="S4667" t="s">
        <v>18959</v>
      </c>
      <c r="U4667" t="s">
        <v>26604</v>
      </c>
      <c r="V4667" t="s">
        <v>26610</v>
      </c>
      <c r="W4667" t="s">
        <v>458</v>
      </c>
      <c r="X4667">
        <v>1300</v>
      </c>
      <c r="Y4667" t="s">
        <v>26651</v>
      </c>
      <c r="Z4667" t="s">
        <v>26664</v>
      </c>
      <c r="AB4667" t="s">
        <v>30520</v>
      </c>
      <c r="AD4667" t="s">
        <v>40702</v>
      </c>
      <c r="AE4667">
        <v>263</v>
      </c>
      <c r="AF4667" t="s">
        <v>45541</v>
      </c>
      <c r="AG4667" t="s">
        <v>45556</v>
      </c>
      <c r="AH4667">
        <v>8</v>
      </c>
      <c r="AI4667">
        <v>1</v>
      </c>
      <c r="AJ4667">
        <v>0</v>
      </c>
      <c r="AK4667">
        <v>84.02</v>
      </c>
      <c r="AN4667" t="s">
        <v>7439</v>
      </c>
      <c r="AO4667">
        <v>10200</v>
      </c>
      <c r="AU4667">
        <v>0</v>
      </c>
      <c r="AW4667" t="s">
        <v>46835</v>
      </c>
    </row>
    <row r="4668" spans="1:50">
      <c r="A4668" s="1">
        <f>HYPERLINK("https://lsnyc.legalserver.org/matter/dynamic-profile/view/1887703","19-1887703")</f>
        <v>0</v>
      </c>
      <c r="B4668" t="s">
        <v>194</v>
      </c>
      <c r="C4668" t="s">
        <v>340</v>
      </c>
      <c r="D4668" t="s">
        <v>458</v>
      </c>
      <c r="F4668" t="s">
        <v>3124</v>
      </c>
      <c r="G4668" t="s">
        <v>7382</v>
      </c>
      <c r="H4668" t="s">
        <v>13171</v>
      </c>
      <c r="I4668" t="s">
        <v>17273</v>
      </c>
      <c r="J4668" t="s">
        <v>18893</v>
      </c>
      <c r="K4668">
        <v>10039</v>
      </c>
      <c r="L4668" t="s">
        <v>18958</v>
      </c>
      <c r="M4668" t="s">
        <v>18958</v>
      </c>
      <c r="N4668" t="s">
        <v>22450</v>
      </c>
      <c r="O4668" t="s">
        <v>26523</v>
      </c>
      <c r="P4668" t="s">
        <v>26564</v>
      </c>
      <c r="R4668" t="s">
        <v>26582</v>
      </c>
      <c r="S4668" t="s">
        <v>18959</v>
      </c>
      <c r="U4668" t="s">
        <v>26604</v>
      </c>
      <c r="W4668" t="s">
        <v>458</v>
      </c>
      <c r="X4668">
        <v>1100</v>
      </c>
      <c r="Y4668" t="s">
        <v>26651</v>
      </c>
      <c r="Z4668" t="s">
        <v>26664</v>
      </c>
      <c r="AB4668" t="s">
        <v>30521</v>
      </c>
      <c r="AD4668" t="s">
        <v>40703</v>
      </c>
      <c r="AE4668">
        <v>0</v>
      </c>
      <c r="AF4668" t="s">
        <v>20460</v>
      </c>
      <c r="AG4668" t="s">
        <v>19330</v>
      </c>
      <c r="AH4668">
        <v>2</v>
      </c>
      <c r="AI4668">
        <v>1</v>
      </c>
      <c r="AJ4668">
        <v>0</v>
      </c>
      <c r="AK4668">
        <v>257</v>
      </c>
      <c r="AN4668" t="s">
        <v>7439</v>
      </c>
      <c r="AO4668">
        <v>31200</v>
      </c>
      <c r="AU4668">
        <v>0</v>
      </c>
      <c r="AW4668" t="s">
        <v>46875</v>
      </c>
    </row>
    <row r="4669" spans="1:50">
      <c r="A4669" s="1">
        <f>HYPERLINK("https://lsnyc.legalserver.org/matter/dynamic-profile/view/1887727","19-1887727")</f>
        <v>0</v>
      </c>
      <c r="B4669" t="s">
        <v>59</v>
      </c>
      <c r="C4669" t="s">
        <v>340</v>
      </c>
      <c r="D4669" t="s">
        <v>458</v>
      </c>
      <c r="F4669" t="s">
        <v>3125</v>
      </c>
      <c r="G4669" t="s">
        <v>5873</v>
      </c>
      <c r="H4669" t="s">
        <v>11610</v>
      </c>
      <c r="I4669" t="s">
        <v>18139</v>
      </c>
      <c r="J4669" t="s">
        <v>18893</v>
      </c>
      <c r="K4669">
        <v>10029</v>
      </c>
      <c r="L4669" t="s">
        <v>18958</v>
      </c>
      <c r="M4669" t="s">
        <v>18958</v>
      </c>
      <c r="N4669" t="s">
        <v>22451</v>
      </c>
      <c r="O4669" t="s">
        <v>26523</v>
      </c>
      <c r="P4669" t="s">
        <v>26564</v>
      </c>
      <c r="R4669" t="s">
        <v>26582</v>
      </c>
      <c r="S4669" t="s">
        <v>18959</v>
      </c>
      <c r="U4669" t="s">
        <v>26604</v>
      </c>
      <c r="W4669" t="s">
        <v>458</v>
      </c>
      <c r="X4669">
        <v>3958</v>
      </c>
      <c r="Y4669" t="s">
        <v>26651</v>
      </c>
      <c r="Z4669" t="s">
        <v>26664</v>
      </c>
      <c r="AB4669" t="s">
        <v>30522</v>
      </c>
      <c r="AC4669" t="s">
        <v>35826</v>
      </c>
      <c r="AD4669" t="s">
        <v>40704</v>
      </c>
      <c r="AE4669">
        <v>0</v>
      </c>
      <c r="AG4669" t="s">
        <v>45556</v>
      </c>
      <c r="AH4669">
        <v>15</v>
      </c>
      <c r="AI4669">
        <v>3</v>
      </c>
      <c r="AJ4669">
        <v>3</v>
      </c>
      <c r="AK4669">
        <v>59.61</v>
      </c>
      <c r="AN4669" t="s">
        <v>7439</v>
      </c>
      <c r="AO4669">
        <v>20112</v>
      </c>
      <c r="AU4669">
        <v>0</v>
      </c>
      <c r="AW4669" t="s">
        <v>46875</v>
      </c>
    </row>
    <row r="4670" spans="1:50">
      <c r="A4670" s="1">
        <f>HYPERLINK("https://lsnyc.legalserver.org/matter/dynamic-profile/view/1887712","19-1887712")</f>
        <v>0</v>
      </c>
      <c r="B4670" t="s">
        <v>59</v>
      </c>
      <c r="C4670" t="s">
        <v>340</v>
      </c>
      <c r="D4670" t="s">
        <v>458</v>
      </c>
      <c r="F4670" t="s">
        <v>3126</v>
      </c>
      <c r="G4670" t="s">
        <v>7383</v>
      </c>
      <c r="H4670" t="s">
        <v>13172</v>
      </c>
      <c r="I4670" t="s">
        <v>17349</v>
      </c>
      <c r="J4670" t="s">
        <v>18893</v>
      </c>
      <c r="K4670">
        <v>10036</v>
      </c>
      <c r="L4670" t="s">
        <v>18958</v>
      </c>
      <c r="M4670" t="s">
        <v>18958</v>
      </c>
      <c r="N4670" t="s">
        <v>22452</v>
      </c>
      <c r="O4670" t="s">
        <v>26524</v>
      </c>
      <c r="P4670" t="s">
        <v>26564</v>
      </c>
      <c r="R4670" t="s">
        <v>26582</v>
      </c>
      <c r="S4670" t="s">
        <v>18959</v>
      </c>
      <c r="U4670" t="s">
        <v>26604</v>
      </c>
      <c r="W4670" t="s">
        <v>458</v>
      </c>
      <c r="X4670">
        <v>1220</v>
      </c>
      <c r="Y4670" t="s">
        <v>26651</v>
      </c>
      <c r="Z4670" t="s">
        <v>26664</v>
      </c>
      <c r="AB4670" t="s">
        <v>30523</v>
      </c>
      <c r="AD4670" t="s">
        <v>40705</v>
      </c>
      <c r="AE4670">
        <v>0</v>
      </c>
      <c r="AF4670" t="s">
        <v>45541</v>
      </c>
      <c r="AG4670" t="s">
        <v>19330</v>
      </c>
      <c r="AH4670">
        <v>24</v>
      </c>
      <c r="AI4670">
        <v>2</v>
      </c>
      <c r="AJ4670">
        <v>3</v>
      </c>
      <c r="AK4670">
        <v>237.93</v>
      </c>
      <c r="AN4670" t="s">
        <v>45581</v>
      </c>
      <c r="AO4670">
        <v>70000</v>
      </c>
      <c r="AU4670">
        <v>0.7</v>
      </c>
      <c r="AV4670" t="s">
        <v>719</v>
      </c>
      <c r="AW4670" t="s">
        <v>46875</v>
      </c>
    </row>
    <row r="4671" spans="1:50">
      <c r="A4671" s="1">
        <f>HYPERLINK("https://lsnyc.legalserver.org/matter/dynamic-profile/view/1855989","18-1855989")</f>
        <v>0</v>
      </c>
      <c r="B4671" t="s">
        <v>81</v>
      </c>
      <c r="C4671" t="s">
        <v>340</v>
      </c>
      <c r="D4671" t="s">
        <v>482</v>
      </c>
      <c r="F4671" t="s">
        <v>3127</v>
      </c>
      <c r="G4671" t="s">
        <v>5173</v>
      </c>
      <c r="H4671" t="s">
        <v>13173</v>
      </c>
      <c r="I4671" t="s">
        <v>17378</v>
      </c>
      <c r="J4671" t="s">
        <v>18892</v>
      </c>
      <c r="K4671">
        <v>10457</v>
      </c>
      <c r="L4671" t="s">
        <v>18958</v>
      </c>
      <c r="M4671" t="s">
        <v>18958</v>
      </c>
      <c r="N4671" t="s">
        <v>22453</v>
      </c>
      <c r="O4671" t="s">
        <v>26523</v>
      </c>
      <c r="P4671" t="s">
        <v>26560</v>
      </c>
      <c r="R4671" t="s">
        <v>26579</v>
      </c>
      <c r="S4671" t="s">
        <v>18959</v>
      </c>
      <c r="U4671" t="s">
        <v>26604</v>
      </c>
      <c r="V4671" t="s">
        <v>26611</v>
      </c>
      <c r="W4671" t="s">
        <v>26636</v>
      </c>
      <c r="X4671">
        <v>1439.13</v>
      </c>
      <c r="Y4671" t="s">
        <v>26650</v>
      </c>
      <c r="Z4671" t="s">
        <v>26662</v>
      </c>
      <c r="AB4671" t="s">
        <v>29388</v>
      </c>
      <c r="AC4671" t="s">
        <v>35827</v>
      </c>
      <c r="AD4671" t="s">
        <v>40706</v>
      </c>
      <c r="AE4671">
        <v>36</v>
      </c>
      <c r="AF4671" t="s">
        <v>45541</v>
      </c>
      <c r="AG4671" t="s">
        <v>45556</v>
      </c>
      <c r="AH4671">
        <v>14</v>
      </c>
      <c r="AI4671">
        <v>2</v>
      </c>
      <c r="AJ4671">
        <v>0</v>
      </c>
      <c r="AK4671">
        <v>88.92</v>
      </c>
      <c r="AN4671" t="s">
        <v>7439</v>
      </c>
      <c r="AO4671">
        <v>14440</v>
      </c>
      <c r="AP4671" t="s">
        <v>45620</v>
      </c>
      <c r="AU4671">
        <v>27</v>
      </c>
      <c r="AV4671" t="s">
        <v>765</v>
      </c>
      <c r="AW4671" t="s">
        <v>46848</v>
      </c>
      <c r="AX4671" t="s">
        <v>46898</v>
      </c>
    </row>
    <row r="4672" spans="1:50">
      <c r="A4672" s="1">
        <f>HYPERLINK("https://lsnyc.legalserver.org/matter/dynamic-profile/view/1885583","18-1885583")</f>
        <v>0</v>
      </c>
      <c r="B4672" t="s">
        <v>117</v>
      </c>
      <c r="C4672" t="s">
        <v>340</v>
      </c>
      <c r="D4672" t="s">
        <v>691</v>
      </c>
      <c r="F4672" t="s">
        <v>1820</v>
      </c>
      <c r="G4672" t="s">
        <v>6146</v>
      </c>
      <c r="H4672" t="s">
        <v>11151</v>
      </c>
      <c r="I4672" t="s">
        <v>17293</v>
      </c>
      <c r="J4672" t="s">
        <v>18894</v>
      </c>
      <c r="K4672">
        <v>11233</v>
      </c>
      <c r="L4672" t="s">
        <v>18958</v>
      </c>
      <c r="M4672" t="s">
        <v>18958</v>
      </c>
      <c r="N4672" t="s">
        <v>20341</v>
      </c>
      <c r="O4672" t="s">
        <v>26523</v>
      </c>
      <c r="P4672" t="s">
        <v>26560</v>
      </c>
      <c r="R4672" t="s">
        <v>26578</v>
      </c>
      <c r="S4672" t="s">
        <v>18959</v>
      </c>
      <c r="U4672" t="s">
        <v>26604</v>
      </c>
      <c r="W4672" t="s">
        <v>26637</v>
      </c>
      <c r="X4672">
        <v>619</v>
      </c>
      <c r="Y4672" t="s">
        <v>26652</v>
      </c>
      <c r="Z4672" t="s">
        <v>26659</v>
      </c>
      <c r="AB4672" t="s">
        <v>28336</v>
      </c>
      <c r="AC4672" t="s">
        <v>35053</v>
      </c>
      <c r="AD4672" t="s">
        <v>38384</v>
      </c>
      <c r="AE4672">
        <v>34</v>
      </c>
      <c r="AF4672" t="s">
        <v>45541</v>
      </c>
      <c r="AG4672" t="s">
        <v>19330</v>
      </c>
      <c r="AH4672">
        <v>6</v>
      </c>
      <c r="AI4672">
        <v>1</v>
      </c>
      <c r="AJ4672">
        <v>0</v>
      </c>
      <c r="AK4672">
        <v>28.67</v>
      </c>
      <c r="AN4672" t="s">
        <v>7439</v>
      </c>
      <c r="AO4672">
        <v>3480</v>
      </c>
      <c r="AU4672">
        <v>21</v>
      </c>
      <c r="AV4672" t="s">
        <v>729</v>
      </c>
      <c r="AW4672" t="s">
        <v>286</v>
      </c>
    </row>
    <row r="4673" spans="1:50">
      <c r="A4673" s="1">
        <f>HYPERLINK("https://lsnyc.legalserver.org/matter/dynamic-profile/view/1887608","19-1887608")</f>
        <v>0</v>
      </c>
      <c r="B4673" t="s">
        <v>173</v>
      </c>
      <c r="C4673" t="s">
        <v>340</v>
      </c>
      <c r="D4673" t="s">
        <v>415</v>
      </c>
      <c r="F4673" t="s">
        <v>3128</v>
      </c>
      <c r="G4673" t="s">
        <v>7384</v>
      </c>
      <c r="H4673" t="s">
        <v>13174</v>
      </c>
      <c r="I4673" t="s">
        <v>17708</v>
      </c>
      <c r="J4673" t="s">
        <v>18893</v>
      </c>
      <c r="K4673">
        <v>10003</v>
      </c>
      <c r="L4673" t="s">
        <v>18958</v>
      </c>
      <c r="M4673" t="s">
        <v>18958</v>
      </c>
      <c r="N4673" t="s">
        <v>22454</v>
      </c>
      <c r="O4673" t="s">
        <v>26524</v>
      </c>
      <c r="P4673" t="s">
        <v>26560</v>
      </c>
      <c r="R4673" t="s">
        <v>26582</v>
      </c>
      <c r="S4673" t="s">
        <v>18959</v>
      </c>
      <c r="U4673" t="s">
        <v>26604</v>
      </c>
      <c r="W4673" t="s">
        <v>26637</v>
      </c>
      <c r="X4673">
        <v>1400</v>
      </c>
      <c r="Y4673" t="s">
        <v>26651</v>
      </c>
      <c r="AB4673" t="s">
        <v>30524</v>
      </c>
      <c r="AD4673" t="s">
        <v>40707</v>
      </c>
      <c r="AE4673">
        <v>0</v>
      </c>
      <c r="AF4673" t="s">
        <v>45541</v>
      </c>
      <c r="AG4673" t="s">
        <v>19330</v>
      </c>
      <c r="AH4673">
        <v>30</v>
      </c>
      <c r="AI4673">
        <v>1</v>
      </c>
      <c r="AJ4673">
        <v>0</v>
      </c>
      <c r="AK4673">
        <v>197.69</v>
      </c>
      <c r="AN4673" t="s">
        <v>7439</v>
      </c>
      <c r="AO4673">
        <v>24000</v>
      </c>
      <c r="AU4673">
        <v>15.5</v>
      </c>
      <c r="AV4673" t="s">
        <v>773</v>
      </c>
      <c r="AW4673" t="s">
        <v>314</v>
      </c>
    </row>
    <row r="4674" spans="1:50">
      <c r="A4674" s="1">
        <f>HYPERLINK("https://lsnyc.legalserver.org/matter/dynamic-profile/view/1883149","18-1883149")</f>
        <v>0</v>
      </c>
      <c r="B4674" t="s">
        <v>187</v>
      </c>
      <c r="C4674" t="s">
        <v>341</v>
      </c>
      <c r="D4674" t="s">
        <v>525</v>
      </c>
      <c r="E4674" t="s">
        <v>806</v>
      </c>
      <c r="F4674" t="s">
        <v>1282</v>
      </c>
      <c r="G4674" t="s">
        <v>6718</v>
      </c>
      <c r="H4674" t="s">
        <v>13175</v>
      </c>
      <c r="I4674" t="s">
        <v>17711</v>
      </c>
      <c r="J4674" t="s">
        <v>18892</v>
      </c>
      <c r="K4674">
        <v>10457</v>
      </c>
      <c r="L4674" t="s">
        <v>18958</v>
      </c>
      <c r="M4674" t="s">
        <v>18960</v>
      </c>
      <c r="N4674" t="s">
        <v>22455</v>
      </c>
      <c r="O4674" t="s">
        <v>26523</v>
      </c>
      <c r="P4674" t="s">
        <v>26560</v>
      </c>
      <c r="Q4674" t="s">
        <v>26573</v>
      </c>
      <c r="R4674" t="s">
        <v>26579</v>
      </c>
      <c r="S4674" t="s">
        <v>18959</v>
      </c>
      <c r="U4674" t="s">
        <v>26604</v>
      </c>
      <c r="V4674" t="s">
        <v>26610</v>
      </c>
      <c r="W4674" t="s">
        <v>573</v>
      </c>
      <c r="X4674">
        <v>1956</v>
      </c>
      <c r="Y4674" t="s">
        <v>26650</v>
      </c>
      <c r="Z4674" t="s">
        <v>26668</v>
      </c>
      <c r="AA4674" t="s">
        <v>26678</v>
      </c>
      <c r="AB4674" t="s">
        <v>30525</v>
      </c>
      <c r="AC4674" t="s">
        <v>35828</v>
      </c>
      <c r="AD4674" t="s">
        <v>40708</v>
      </c>
      <c r="AE4674">
        <v>2</v>
      </c>
      <c r="AF4674" t="s">
        <v>45547</v>
      </c>
      <c r="AG4674" t="s">
        <v>45557</v>
      </c>
      <c r="AH4674">
        <v>4</v>
      </c>
      <c r="AI4674">
        <v>1</v>
      </c>
      <c r="AJ4674">
        <v>4</v>
      </c>
      <c r="AK4674">
        <v>20.39</v>
      </c>
      <c r="AN4674" t="s">
        <v>7439</v>
      </c>
      <c r="AO4674">
        <v>6000</v>
      </c>
      <c r="AQ4674" t="s">
        <v>46362</v>
      </c>
      <c r="AR4674" t="s">
        <v>46379</v>
      </c>
      <c r="AS4674" t="s">
        <v>46499</v>
      </c>
      <c r="AT4674" t="s">
        <v>46525</v>
      </c>
      <c r="AU4674">
        <v>13.1</v>
      </c>
      <c r="AV4674" t="s">
        <v>744</v>
      </c>
      <c r="AW4674" t="s">
        <v>46850</v>
      </c>
      <c r="AX4674" t="s">
        <v>46897</v>
      </c>
    </row>
    <row r="4675" spans="1:50">
      <c r="A4675" s="1">
        <f>HYPERLINK("https://lsnyc.legalserver.org/matter/dynamic-profile/view/1885595","18-1885595")</f>
        <v>0</v>
      </c>
      <c r="B4675" t="s">
        <v>232</v>
      </c>
      <c r="C4675" t="s">
        <v>341</v>
      </c>
      <c r="D4675" t="s">
        <v>691</v>
      </c>
      <c r="E4675" t="s">
        <v>573</v>
      </c>
      <c r="F4675" t="s">
        <v>3129</v>
      </c>
      <c r="G4675" t="s">
        <v>7385</v>
      </c>
      <c r="H4675" t="s">
        <v>13040</v>
      </c>
      <c r="I4675" t="s">
        <v>18140</v>
      </c>
      <c r="J4675" t="s">
        <v>18894</v>
      </c>
      <c r="K4675">
        <v>11235</v>
      </c>
      <c r="L4675" t="s">
        <v>18958</v>
      </c>
      <c r="M4675" t="s">
        <v>18958</v>
      </c>
      <c r="N4675" t="s">
        <v>22456</v>
      </c>
      <c r="O4675" t="s">
        <v>26524</v>
      </c>
      <c r="P4675" t="s">
        <v>26563</v>
      </c>
      <c r="Q4675" t="s">
        <v>26570</v>
      </c>
      <c r="R4675" t="s">
        <v>26586</v>
      </c>
      <c r="U4675" t="s">
        <v>26607</v>
      </c>
      <c r="W4675" t="s">
        <v>573</v>
      </c>
      <c r="X4675">
        <v>0</v>
      </c>
      <c r="Y4675" t="s">
        <v>26652</v>
      </c>
      <c r="Z4675" t="s">
        <v>26671</v>
      </c>
      <c r="AA4675" t="s">
        <v>26683</v>
      </c>
      <c r="AB4675" t="s">
        <v>30526</v>
      </c>
      <c r="AD4675" t="s">
        <v>40709</v>
      </c>
      <c r="AE4675">
        <v>0</v>
      </c>
      <c r="AH4675">
        <v>2</v>
      </c>
      <c r="AI4675">
        <v>1</v>
      </c>
      <c r="AJ4675">
        <v>0</v>
      </c>
      <c r="AK4675">
        <v>0</v>
      </c>
      <c r="AN4675" t="s">
        <v>45586</v>
      </c>
      <c r="AO4675">
        <v>0</v>
      </c>
      <c r="AU4675">
        <v>3</v>
      </c>
      <c r="AV4675" t="s">
        <v>804</v>
      </c>
      <c r="AW4675" t="s">
        <v>46853</v>
      </c>
    </row>
    <row r="4676" spans="1:50">
      <c r="A4676" s="1">
        <f>HYPERLINK("https://lsnyc.legalserver.org/matter/dynamic-profile/view/1886592","18-1886592")</f>
        <v>0</v>
      </c>
      <c r="B4676" t="s">
        <v>261</v>
      </c>
      <c r="C4676" t="s">
        <v>341</v>
      </c>
      <c r="D4676" t="s">
        <v>699</v>
      </c>
      <c r="E4676" t="s">
        <v>709</v>
      </c>
      <c r="F4676" t="s">
        <v>1650</v>
      </c>
      <c r="G4676" t="s">
        <v>7386</v>
      </c>
      <c r="H4676" t="s">
        <v>13176</v>
      </c>
      <c r="J4676" t="s">
        <v>18892</v>
      </c>
      <c r="K4676">
        <v>10452</v>
      </c>
      <c r="L4676" t="s">
        <v>18958</v>
      </c>
      <c r="M4676" t="s">
        <v>18958</v>
      </c>
      <c r="O4676" t="s">
        <v>18997</v>
      </c>
      <c r="P4676" t="s">
        <v>26564</v>
      </c>
      <c r="Q4676" t="s">
        <v>26570</v>
      </c>
      <c r="R4676" t="s">
        <v>26578</v>
      </c>
      <c r="S4676" t="s">
        <v>18959</v>
      </c>
      <c r="U4676" t="s">
        <v>26604</v>
      </c>
      <c r="W4676" t="s">
        <v>573</v>
      </c>
      <c r="X4676">
        <v>0</v>
      </c>
      <c r="Y4676" t="s">
        <v>26650</v>
      </c>
      <c r="Z4676" t="s">
        <v>26663</v>
      </c>
      <c r="AA4676" t="s">
        <v>26683</v>
      </c>
      <c r="AB4676" t="s">
        <v>29327</v>
      </c>
      <c r="AD4676" t="s">
        <v>40710</v>
      </c>
      <c r="AE4676">
        <v>0</v>
      </c>
      <c r="AF4676" t="s">
        <v>20460</v>
      </c>
      <c r="AG4676" t="s">
        <v>19330</v>
      </c>
      <c r="AH4676">
        <v>0</v>
      </c>
      <c r="AI4676">
        <v>2</v>
      </c>
      <c r="AJ4676">
        <v>2</v>
      </c>
      <c r="AK4676">
        <v>82.87</v>
      </c>
      <c r="AN4676" t="s">
        <v>45581</v>
      </c>
      <c r="AO4676">
        <v>20800</v>
      </c>
      <c r="AT4676" t="s">
        <v>46750</v>
      </c>
      <c r="AU4676">
        <v>3.1</v>
      </c>
      <c r="AV4676" t="s">
        <v>709</v>
      </c>
      <c r="AW4676" t="s">
        <v>261</v>
      </c>
    </row>
    <row r="4677" spans="1:50">
      <c r="A4677" s="1">
        <f>HYPERLINK("https://lsnyc.legalserver.org/matter/dynamic-profile/view/1886786","19-1886786")</f>
        <v>0</v>
      </c>
      <c r="B4677" t="s">
        <v>70</v>
      </c>
      <c r="C4677" t="s">
        <v>341</v>
      </c>
      <c r="D4677" t="s">
        <v>713</v>
      </c>
      <c r="E4677" t="s">
        <v>573</v>
      </c>
      <c r="F4677" t="s">
        <v>3130</v>
      </c>
      <c r="G4677" t="s">
        <v>5461</v>
      </c>
      <c r="H4677" t="s">
        <v>12683</v>
      </c>
      <c r="I4677" t="s">
        <v>17430</v>
      </c>
      <c r="J4677" t="s">
        <v>18892</v>
      </c>
      <c r="K4677">
        <v>10467</v>
      </c>
      <c r="L4677" t="s">
        <v>18958</v>
      </c>
      <c r="M4677" t="s">
        <v>18958</v>
      </c>
      <c r="N4677" t="s">
        <v>22457</v>
      </c>
      <c r="O4677" t="s">
        <v>26524</v>
      </c>
      <c r="P4677" t="s">
        <v>26564</v>
      </c>
      <c r="Q4677" t="s">
        <v>26570</v>
      </c>
      <c r="R4677" t="s">
        <v>26579</v>
      </c>
      <c r="S4677" t="s">
        <v>18959</v>
      </c>
      <c r="U4677" t="s">
        <v>26604</v>
      </c>
      <c r="V4677" t="s">
        <v>26610</v>
      </c>
      <c r="W4677" t="s">
        <v>573</v>
      </c>
      <c r="X4677">
        <v>1200</v>
      </c>
      <c r="Y4677" t="s">
        <v>26650</v>
      </c>
      <c r="Z4677" t="s">
        <v>26668</v>
      </c>
      <c r="AA4677" t="s">
        <v>26683</v>
      </c>
      <c r="AB4677" t="s">
        <v>30527</v>
      </c>
      <c r="AC4677" t="s">
        <v>19045</v>
      </c>
      <c r="AD4677" t="s">
        <v>40711</v>
      </c>
      <c r="AE4677">
        <v>3</v>
      </c>
      <c r="AF4677" t="s">
        <v>45547</v>
      </c>
      <c r="AG4677" t="s">
        <v>19330</v>
      </c>
      <c r="AH4677">
        <v>2</v>
      </c>
      <c r="AI4677">
        <v>3</v>
      </c>
      <c r="AJ4677">
        <v>2</v>
      </c>
      <c r="AK4677">
        <v>388.85</v>
      </c>
      <c r="AN4677" t="s">
        <v>8151</v>
      </c>
      <c r="AO4677">
        <v>114400</v>
      </c>
      <c r="AP4677" t="s">
        <v>45828</v>
      </c>
      <c r="AU4677">
        <v>3</v>
      </c>
      <c r="AV4677" t="s">
        <v>573</v>
      </c>
      <c r="AW4677" t="s">
        <v>46870</v>
      </c>
    </row>
    <row r="4678" spans="1:50">
      <c r="A4678" s="1">
        <f>HYPERLINK("https://lsnyc.legalserver.org/matter/dynamic-profile/view/1887878","19-1887878")</f>
        <v>0</v>
      </c>
      <c r="B4678" t="s">
        <v>131</v>
      </c>
      <c r="C4678" t="s">
        <v>341</v>
      </c>
      <c r="D4678" t="s">
        <v>573</v>
      </c>
      <c r="E4678" t="s">
        <v>573</v>
      </c>
      <c r="F4678" t="s">
        <v>1594</v>
      </c>
      <c r="G4678" t="s">
        <v>7387</v>
      </c>
      <c r="H4678" t="s">
        <v>13177</v>
      </c>
      <c r="J4678" t="s">
        <v>18902</v>
      </c>
      <c r="K4678">
        <v>10310</v>
      </c>
      <c r="L4678" t="s">
        <v>18958</v>
      </c>
      <c r="M4678" t="s">
        <v>18958</v>
      </c>
      <c r="N4678" t="s">
        <v>22458</v>
      </c>
      <c r="O4678" t="s">
        <v>26533</v>
      </c>
      <c r="P4678" t="s">
        <v>26565</v>
      </c>
      <c r="Q4678" t="s">
        <v>26571</v>
      </c>
      <c r="R4678" t="s">
        <v>26590</v>
      </c>
      <c r="S4678" t="s">
        <v>18959</v>
      </c>
      <c r="U4678" t="s">
        <v>26604</v>
      </c>
      <c r="V4678" t="s">
        <v>26610</v>
      </c>
      <c r="W4678" t="s">
        <v>573</v>
      </c>
      <c r="X4678">
        <v>800</v>
      </c>
      <c r="Y4678" t="s">
        <v>26654</v>
      </c>
      <c r="Z4678" t="s">
        <v>26668</v>
      </c>
      <c r="AA4678" t="s">
        <v>26683</v>
      </c>
      <c r="AB4678" t="s">
        <v>30528</v>
      </c>
      <c r="AD4678" t="s">
        <v>40712</v>
      </c>
      <c r="AE4678">
        <v>2</v>
      </c>
      <c r="AF4678" t="s">
        <v>45547</v>
      </c>
      <c r="AG4678" t="s">
        <v>19330</v>
      </c>
      <c r="AH4678">
        <v>16</v>
      </c>
      <c r="AI4678">
        <v>1</v>
      </c>
      <c r="AJ4678">
        <v>0</v>
      </c>
      <c r="AK4678">
        <v>151.14</v>
      </c>
      <c r="AN4678" t="s">
        <v>7439</v>
      </c>
      <c r="AO4678">
        <v>18348</v>
      </c>
      <c r="AU4678">
        <v>1.5</v>
      </c>
      <c r="AV4678" t="s">
        <v>573</v>
      </c>
      <c r="AW4678" t="s">
        <v>185</v>
      </c>
    </row>
    <row r="4679" spans="1:50">
      <c r="A4679" s="1">
        <f>HYPERLINK("https://lsnyc.legalserver.org/matter/dynamic-profile/view/1887894","19-1887894")</f>
        <v>0</v>
      </c>
      <c r="B4679" t="s">
        <v>153</v>
      </c>
      <c r="C4679" t="s">
        <v>341</v>
      </c>
      <c r="D4679" t="s">
        <v>573</v>
      </c>
      <c r="E4679" t="s">
        <v>762</v>
      </c>
      <c r="F4679" t="s">
        <v>3131</v>
      </c>
      <c r="G4679" t="s">
        <v>5086</v>
      </c>
      <c r="H4679" t="s">
        <v>13178</v>
      </c>
      <c r="I4679" t="s">
        <v>17435</v>
      </c>
      <c r="J4679" t="s">
        <v>18902</v>
      </c>
      <c r="K4679">
        <v>10310</v>
      </c>
      <c r="L4679" t="s">
        <v>18958</v>
      </c>
      <c r="M4679" t="s">
        <v>18958</v>
      </c>
      <c r="N4679" t="s">
        <v>22459</v>
      </c>
      <c r="O4679" t="s">
        <v>26523</v>
      </c>
      <c r="P4679" t="s">
        <v>26560</v>
      </c>
      <c r="Q4679" t="s">
        <v>26568</v>
      </c>
      <c r="R4679" t="s">
        <v>26590</v>
      </c>
      <c r="S4679" t="s">
        <v>18959</v>
      </c>
      <c r="U4679" t="s">
        <v>26604</v>
      </c>
      <c r="V4679" t="s">
        <v>26611</v>
      </c>
      <c r="W4679" t="s">
        <v>573</v>
      </c>
      <c r="X4679">
        <v>1956</v>
      </c>
      <c r="Y4679" t="s">
        <v>26654</v>
      </c>
      <c r="Z4679" t="s">
        <v>26668</v>
      </c>
      <c r="AA4679" t="s">
        <v>26678</v>
      </c>
      <c r="AB4679" t="s">
        <v>30529</v>
      </c>
      <c r="AD4679" t="s">
        <v>40713</v>
      </c>
      <c r="AE4679">
        <v>2</v>
      </c>
      <c r="AF4679" t="s">
        <v>45547</v>
      </c>
      <c r="AG4679" t="s">
        <v>45562</v>
      </c>
      <c r="AH4679">
        <v>1</v>
      </c>
      <c r="AI4679">
        <v>2</v>
      </c>
      <c r="AJ4679">
        <v>3</v>
      </c>
      <c r="AK4679">
        <v>31.53</v>
      </c>
      <c r="AN4679" t="s">
        <v>7439</v>
      </c>
      <c r="AO4679">
        <v>9276</v>
      </c>
      <c r="AQ4679" t="s">
        <v>46367</v>
      </c>
      <c r="AR4679" t="s">
        <v>46379</v>
      </c>
      <c r="AS4679" t="s">
        <v>46499</v>
      </c>
      <c r="AT4679" t="s">
        <v>46609</v>
      </c>
      <c r="AU4679">
        <v>8.35</v>
      </c>
      <c r="AV4679" t="s">
        <v>659</v>
      </c>
      <c r="AW4679" t="s">
        <v>185</v>
      </c>
    </row>
    <row r="4680" spans="1:50">
      <c r="A4680" s="1">
        <f>HYPERLINK("https://lsnyc.legalserver.org/matter/dynamic-profile/view/1887981","19-1887981")</f>
        <v>0</v>
      </c>
      <c r="B4680" t="s">
        <v>200</v>
      </c>
      <c r="C4680" t="s">
        <v>341</v>
      </c>
      <c r="D4680" t="s">
        <v>573</v>
      </c>
      <c r="E4680" t="s">
        <v>803</v>
      </c>
      <c r="F4680" t="s">
        <v>3132</v>
      </c>
      <c r="G4680" t="s">
        <v>5592</v>
      </c>
      <c r="H4680" t="s">
        <v>13179</v>
      </c>
      <c r="I4680" t="s">
        <v>17330</v>
      </c>
      <c r="J4680" t="s">
        <v>18894</v>
      </c>
      <c r="K4680">
        <v>11208</v>
      </c>
      <c r="L4680" t="s">
        <v>18958</v>
      </c>
      <c r="M4680" t="s">
        <v>18958</v>
      </c>
      <c r="N4680" t="s">
        <v>22460</v>
      </c>
      <c r="O4680" t="s">
        <v>26524</v>
      </c>
      <c r="P4680" t="s">
        <v>26565</v>
      </c>
      <c r="Q4680" t="s">
        <v>26571</v>
      </c>
      <c r="R4680" t="s">
        <v>26578</v>
      </c>
      <c r="S4680" t="s">
        <v>18959</v>
      </c>
      <c r="U4680" t="s">
        <v>26604</v>
      </c>
      <c r="W4680" t="s">
        <v>573</v>
      </c>
      <c r="X4680">
        <v>1725</v>
      </c>
      <c r="Y4680" t="s">
        <v>26652</v>
      </c>
      <c r="Z4680" t="s">
        <v>26673</v>
      </c>
      <c r="AA4680" t="s">
        <v>26683</v>
      </c>
      <c r="AB4680" t="s">
        <v>30530</v>
      </c>
      <c r="AD4680" t="s">
        <v>40714</v>
      </c>
      <c r="AE4680">
        <v>4</v>
      </c>
      <c r="AH4680">
        <v>10</v>
      </c>
      <c r="AI4680">
        <v>1</v>
      </c>
      <c r="AJ4680">
        <v>0</v>
      </c>
      <c r="AK4680">
        <v>64.25</v>
      </c>
      <c r="AN4680" t="s">
        <v>45581</v>
      </c>
      <c r="AO4680">
        <v>7800</v>
      </c>
      <c r="AU4680">
        <v>2.2</v>
      </c>
      <c r="AV4680" t="s">
        <v>732</v>
      </c>
      <c r="AW4680" t="s">
        <v>46861</v>
      </c>
    </row>
    <row r="4681" spans="1:50">
      <c r="A4681" s="1">
        <f>HYPERLINK("https://lsnyc.legalserver.org/matter/dynamic-profile/view/1887987","19-1887987")</f>
        <v>0</v>
      </c>
      <c r="B4681" t="s">
        <v>270</v>
      </c>
      <c r="C4681" t="s">
        <v>341</v>
      </c>
      <c r="D4681" t="s">
        <v>573</v>
      </c>
      <c r="E4681" t="s">
        <v>765</v>
      </c>
      <c r="F4681" t="s">
        <v>3133</v>
      </c>
      <c r="G4681" t="s">
        <v>5138</v>
      </c>
      <c r="H4681" t="s">
        <v>13180</v>
      </c>
      <c r="I4681" t="s">
        <v>17289</v>
      </c>
      <c r="J4681" t="s">
        <v>18892</v>
      </c>
      <c r="K4681">
        <v>10473</v>
      </c>
      <c r="L4681" t="s">
        <v>18958</v>
      </c>
      <c r="M4681" t="s">
        <v>18958</v>
      </c>
      <c r="N4681" t="s">
        <v>22461</v>
      </c>
      <c r="O4681" t="s">
        <v>26523</v>
      </c>
      <c r="P4681" t="s">
        <v>26560</v>
      </c>
      <c r="Q4681" t="s">
        <v>26568</v>
      </c>
      <c r="R4681" t="s">
        <v>26577</v>
      </c>
      <c r="S4681" t="s">
        <v>18959</v>
      </c>
      <c r="U4681" t="s">
        <v>26605</v>
      </c>
      <c r="V4681" t="s">
        <v>26610</v>
      </c>
      <c r="W4681" t="s">
        <v>573</v>
      </c>
      <c r="X4681">
        <v>740</v>
      </c>
      <c r="Y4681" t="s">
        <v>26650</v>
      </c>
      <c r="Z4681" t="s">
        <v>26664</v>
      </c>
      <c r="AA4681" t="s">
        <v>26680</v>
      </c>
      <c r="AB4681" t="s">
        <v>26711</v>
      </c>
      <c r="AD4681" t="s">
        <v>40715</v>
      </c>
      <c r="AE4681">
        <v>0</v>
      </c>
      <c r="AF4681" t="s">
        <v>45543</v>
      </c>
      <c r="AG4681" t="s">
        <v>19330</v>
      </c>
      <c r="AH4681">
        <v>1</v>
      </c>
      <c r="AI4681">
        <v>2</v>
      </c>
      <c r="AJ4681">
        <v>0</v>
      </c>
      <c r="AK4681">
        <v>135.26</v>
      </c>
      <c r="AN4681" t="s">
        <v>45581</v>
      </c>
      <c r="AO4681">
        <v>22264</v>
      </c>
      <c r="AP4681" t="s">
        <v>45654</v>
      </c>
      <c r="AR4681" t="s">
        <v>46379</v>
      </c>
      <c r="AS4681" t="s">
        <v>46499</v>
      </c>
      <c r="AT4681" t="s">
        <v>46686</v>
      </c>
      <c r="AU4681">
        <v>10.1</v>
      </c>
      <c r="AV4681" t="s">
        <v>762</v>
      </c>
      <c r="AW4681" t="s">
        <v>46832</v>
      </c>
    </row>
    <row r="4682" spans="1:50">
      <c r="A4682" s="1">
        <f>HYPERLINK("https://lsnyc.legalserver.org/matter/dynamic-profile/view/1887893","19-1887893")</f>
        <v>0</v>
      </c>
      <c r="B4682" t="s">
        <v>218</v>
      </c>
      <c r="C4682" t="s">
        <v>341</v>
      </c>
      <c r="D4682" t="s">
        <v>573</v>
      </c>
      <c r="E4682" t="s">
        <v>707</v>
      </c>
      <c r="F4682" t="s">
        <v>3134</v>
      </c>
      <c r="G4682" t="s">
        <v>5447</v>
      </c>
      <c r="H4682" t="s">
        <v>13181</v>
      </c>
      <c r="I4682" t="s">
        <v>17349</v>
      </c>
      <c r="J4682" t="s">
        <v>18893</v>
      </c>
      <c r="K4682">
        <v>10034</v>
      </c>
      <c r="L4682" t="s">
        <v>18958</v>
      </c>
      <c r="M4682" t="s">
        <v>18958</v>
      </c>
      <c r="O4682" t="s">
        <v>18997</v>
      </c>
      <c r="P4682" t="s">
        <v>26564</v>
      </c>
      <c r="Q4682" t="s">
        <v>26570</v>
      </c>
      <c r="R4682" t="s">
        <v>26578</v>
      </c>
      <c r="S4682" t="s">
        <v>18959</v>
      </c>
      <c r="U4682" t="s">
        <v>26604</v>
      </c>
      <c r="W4682" t="s">
        <v>573</v>
      </c>
      <c r="X4682">
        <v>1161.29</v>
      </c>
      <c r="Y4682" t="s">
        <v>26651</v>
      </c>
      <c r="Z4682" t="s">
        <v>26661</v>
      </c>
      <c r="AA4682" t="s">
        <v>26683</v>
      </c>
      <c r="AE4682">
        <v>0</v>
      </c>
      <c r="AF4682" t="s">
        <v>45541</v>
      </c>
      <c r="AG4682" t="s">
        <v>19330</v>
      </c>
      <c r="AH4682">
        <v>23</v>
      </c>
      <c r="AI4682">
        <v>1</v>
      </c>
      <c r="AJ4682">
        <v>0</v>
      </c>
      <c r="AK4682">
        <v>74.14</v>
      </c>
      <c r="AN4682" t="s">
        <v>45581</v>
      </c>
      <c r="AO4682">
        <v>9000</v>
      </c>
      <c r="AU4682">
        <v>0.1</v>
      </c>
      <c r="AV4682" t="s">
        <v>573</v>
      </c>
      <c r="AW4682" t="s">
        <v>46840</v>
      </c>
    </row>
    <row r="4683" spans="1:50">
      <c r="A4683" s="1">
        <f>HYPERLINK("https://lsnyc.legalserver.org/matter/dynamic-profile/view/1887883","19-1887883")</f>
        <v>0</v>
      </c>
      <c r="B4683" t="s">
        <v>218</v>
      </c>
      <c r="C4683" t="s">
        <v>341</v>
      </c>
      <c r="D4683" t="s">
        <v>573</v>
      </c>
      <c r="E4683" t="s">
        <v>707</v>
      </c>
      <c r="F4683" t="s">
        <v>1789</v>
      </c>
      <c r="G4683" t="s">
        <v>5310</v>
      </c>
      <c r="H4683" t="s">
        <v>13182</v>
      </c>
      <c r="I4683" t="s">
        <v>17804</v>
      </c>
      <c r="J4683" t="s">
        <v>18893</v>
      </c>
      <c r="K4683">
        <v>10040</v>
      </c>
      <c r="L4683" t="s">
        <v>18958</v>
      </c>
      <c r="M4683" t="s">
        <v>18958</v>
      </c>
      <c r="O4683" t="s">
        <v>26529</v>
      </c>
      <c r="P4683" t="s">
        <v>26564</v>
      </c>
      <c r="Q4683" t="s">
        <v>26570</v>
      </c>
      <c r="R4683" t="s">
        <v>26578</v>
      </c>
      <c r="U4683" t="s">
        <v>26604</v>
      </c>
      <c r="W4683" t="s">
        <v>573</v>
      </c>
      <c r="X4683">
        <v>1072.59</v>
      </c>
      <c r="Y4683" t="s">
        <v>26651</v>
      </c>
      <c r="Z4683" t="s">
        <v>26659</v>
      </c>
      <c r="AA4683" t="s">
        <v>26683</v>
      </c>
      <c r="AB4683" t="s">
        <v>30531</v>
      </c>
      <c r="AD4683" t="s">
        <v>40716</v>
      </c>
      <c r="AE4683">
        <v>0</v>
      </c>
      <c r="AF4683" t="s">
        <v>45541</v>
      </c>
      <c r="AG4683" t="s">
        <v>19330</v>
      </c>
      <c r="AH4683">
        <v>14</v>
      </c>
      <c r="AI4683">
        <v>2</v>
      </c>
      <c r="AJ4683">
        <v>0</v>
      </c>
      <c r="AK4683">
        <v>431.35</v>
      </c>
      <c r="AN4683" t="s">
        <v>45581</v>
      </c>
      <c r="AO4683">
        <v>71000</v>
      </c>
      <c r="AU4683">
        <v>1.6</v>
      </c>
      <c r="AV4683" t="s">
        <v>415</v>
      </c>
      <c r="AW4683" t="s">
        <v>46840</v>
      </c>
    </row>
    <row r="4684" spans="1:50">
      <c r="A4684" s="1">
        <f>HYPERLINK("https://lsnyc.legalserver.org/matter/dynamic-profile/view/1887787","19-1887787")</f>
        <v>0</v>
      </c>
      <c r="B4684" t="s">
        <v>157</v>
      </c>
      <c r="C4684" t="s">
        <v>341</v>
      </c>
      <c r="D4684" t="s">
        <v>573</v>
      </c>
      <c r="E4684" t="s">
        <v>732</v>
      </c>
      <c r="F4684" t="s">
        <v>3135</v>
      </c>
      <c r="G4684" t="s">
        <v>5199</v>
      </c>
      <c r="H4684" t="s">
        <v>13183</v>
      </c>
      <c r="I4684">
        <v>51</v>
      </c>
      <c r="J4684" t="s">
        <v>18893</v>
      </c>
      <c r="K4684">
        <v>10033</v>
      </c>
      <c r="L4684" t="s">
        <v>18958</v>
      </c>
      <c r="M4684" t="s">
        <v>18958</v>
      </c>
      <c r="P4684" t="s">
        <v>26564</v>
      </c>
      <c r="Q4684" t="s">
        <v>26570</v>
      </c>
      <c r="R4684" t="s">
        <v>26578</v>
      </c>
      <c r="S4684" t="s">
        <v>18959</v>
      </c>
      <c r="U4684" t="s">
        <v>26604</v>
      </c>
      <c r="W4684" t="s">
        <v>573</v>
      </c>
      <c r="X4684">
        <v>942.42</v>
      </c>
      <c r="Y4684" t="s">
        <v>26651</v>
      </c>
      <c r="Z4684" t="s">
        <v>26661</v>
      </c>
      <c r="AA4684" t="s">
        <v>26683</v>
      </c>
      <c r="AB4684" t="s">
        <v>28382</v>
      </c>
      <c r="AD4684" t="s">
        <v>40717</v>
      </c>
      <c r="AE4684">
        <v>0</v>
      </c>
      <c r="AF4684" t="s">
        <v>45541</v>
      </c>
      <c r="AG4684" t="s">
        <v>19330</v>
      </c>
      <c r="AH4684">
        <v>35</v>
      </c>
      <c r="AI4684">
        <v>1</v>
      </c>
      <c r="AJ4684">
        <v>0</v>
      </c>
      <c r="AK4684">
        <v>11.86</v>
      </c>
      <c r="AN4684" t="s">
        <v>45581</v>
      </c>
      <c r="AO4684">
        <v>1440</v>
      </c>
      <c r="AU4684">
        <v>0.1</v>
      </c>
      <c r="AV4684" t="s">
        <v>726</v>
      </c>
      <c r="AW4684" t="s">
        <v>46840</v>
      </c>
    </row>
    <row r="4685" spans="1:50">
      <c r="A4685" s="1">
        <f>HYPERLINK("https://lsnyc.legalserver.org/matter/dynamic-profile/view/1887963","19-1887963")</f>
        <v>0</v>
      </c>
      <c r="B4685" t="s">
        <v>61</v>
      </c>
      <c r="C4685" t="s">
        <v>340</v>
      </c>
      <c r="D4685" t="s">
        <v>573</v>
      </c>
      <c r="F4685" t="s">
        <v>1706</v>
      </c>
      <c r="G4685" t="s">
        <v>5828</v>
      </c>
      <c r="H4685" t="s">
        <v>11324</v>
      </c>
      <c r="I4685">
        <v>22</v>
      </c>
      <c r="J4685" t="s">
        <v>18893</v>
      </c>
      <c r="K4685">
        <v>10034</v>
      </c>
      <c r="L4685" t="s">
        <v>18958</v>
      </c>
      <c r="M4685" t="s">
        <v>18958</v>
      </c>
      <c r="N4685" t="s">
        <v>22462</v>
      </c>
      <c r="O4685" t="s">
        <v>26526</v>
      </c>
      <c r="P4685" t="s">
        <v>26560</v>
      </c>
      <c r="R4685" t="s">
        <v>26578</v>
      </c>
      <c r="S4685" t="s">
        <v>18958</v>
      </c>
      <c r="U4685" t="s">
        <v>26604</v>
      </c>
      <c r="W4685" t="s">
        <v>573</v>
      </c>
      <c r="X4685">
        <v>174.62</v>
      </c>
      <c r="Y4685" t="s">
        <v>26651</v>
      </c>
      <c r="Z4685" t="s">
        <v>26661</v>
      </c>
      <c r="AB4685" t="s">
        <v>28643</v>
      </c>
      <c r="AC4685">
        <v>81732</v>
      </c>
      <c r="AE4685">
        <v>25</v>
      </c>
      <c r="AF4685" t="s">
        <v>45541</v>
      </c>
      <c r="AG4685" t="s">
        <v>19330</v>
      </c>
      <c r="AH4685">
        <v>40</v>
      </c>
      <c r="AI4685">
        <v>1</v>
      </c>
      <c r="AJ4685">
        <v>0</v>
      </c>
      <c r="AK4685">
        <v>79.12</v>
      </c>
      <c r="AN4685" t="s">
        <v>45581</v>
      </c>
      <c r="AO4685">
        <v>9604.799999999999</v>
      </c>
      <c r="AU4685">
        <v>0</v>
      </c>
      <c r="AW4685" t="s">
        <v>46840</v>
      </c>
    </row>
    <row r="4686" spans="1:50">
      <c r="A4686" s="1">
        <f>HYPERLINK("https://lsnyc.legalserver.org/matter/dynamic-profile/view/1887998","19-1887998")</f>
        <v>0</v>
      </c>
      <c r="B4686" t="s">
        <v>61</v>
      </c>
      <c r="C4686" t="s">
        <v>340</v>
      </c>
      <c r="D4686" t="s">
        <v>573</v>
      </c>
      <c r="F4686" t="s">
        <v>2068</v>
      </c>
      <c r="G4686" t="s">
        <v>5691</v>
      </c>
      <c r="H4686" t="s">
        <v>11324</v>
      </c>
      <c r="I4686">
        <v>31</v>
      </c>
      <c r="J4686" t="s">
        <v>18893</v>
      </c>
      <c r="K4686">
        <v>10034</v>
      </c>
      <c r="L4686" t="s">
        <v>18958</v>
      </c>
      <c r="M4686" t="s">
        <v>18958</v>
      </c>
      <c r="N4686" t="s">
        <v>22462</v>
      </c>
      <c r="O4686" t="s">
        <v>26526</v>
      </c>
      <c r="P4686" t="s">
        <v>26560</v>
      </c>
      <c r="R4686" t="s">
        <v>26578</v>
      </c>
      <c r="S4686" t="s">
        <v>18958</v>
      </c>
      <c r="U4686" t="s">
        <v>26604</v>
      </c>
      <c r="W4686" t="s">
        <v>573</v>
      </c>
      <c r="X4686">
        <v>1013.58</v>
      </c>
      <c r="Y4686" t="s">
        <v>26651</v>
      </c>
      <c r="Z4686" t="s">
        <v>26661</v>
      </c>
      <c r="AB4686" t="s">
        <v>28515</v>
      </c>
      <c r="AD4686" t="s">
        <v>38572</v>
      </c>
      <c r="AE4686">
        <v>25</v>
      </c>
      <c r="AF4686" t="s">
        <v>45541</v>
      </c>
      <c r="AG4686" t="s">
        <v>19330</v>
      </c>
      <c r="AH4686">
        <v>50</v>
      </c>
      <c r="AI4686">
        <v>2</v>
      </c>
      <c r="AJ4686">
        <v>0</v>
      </c>
      <c r="AK4686">
        <v>108.26</v>
      </c>
      <c r="AN4686" t="s">
        <v>45581</v>
      </c>
      <c r="AO4686">
        <v>17820</v>
      </c>
      <c r="AU4686">
        <v>2</v>
      </c>
      <c r="AV4686" t="s">
        <v>839</v>
      </c>
      <c r="AW4686" t="s">
        <v>46840</v>
      </c>
    </row>
    <row r="4687" spans="1:50">
      <c r="A4687" s="1">
        <f>HYPERLINK("https://lsnyc.legalserver.org/matter/dynamic-profile/view/1887933","19-1887933")</f>
        <v>0</v>
      </c>
      <c r="B4687" t="s">
        <v>61</v>
      </c>
      <c r="C4687" t="s">
        <v>340</v>
      </c>
      <c r="D4687" t="s">
        <v>573</v>
      </c>
      <c r="F4687" t="s">
        <v>3136</v>
      </c>
      <c r="G4687" t="s">
        <v>5078</v>
      </c>
      <c r="H4687" t="s">
        <v>13184</v>
      </c>
      <c r="J4687" t="s">
        <v>18893</v>
      </c>
      <c r="K4687">
        <v>10034</v>
      </c>
      <c r="L4687" t="s">
        <v>18958</v>
      </c>
      <c r="M4687" t="s">
        <v>18958</v>
      </c>
      <c r="N4687" t="s">
        <v>22462</v>
      </c>
      <c r="O4687" t="s">
        <v>26526</v>
      </c>
      <c r="P4687" t="s">
        <v>26560</v>
      </c>
      <c r="R4687" t="s">
        <v>26578</v>
      </c>
      <c r="S4687" t="s">
        <v>18959</v>
      </c>
      <c r="U4687" t="s">
        <v>26604</v>
      </c>
      <c r="W4687" t="s">
        <v>573</v>
      </c>
      <c r="X4687">
        <v>1442.38</v>
      </c>
      <c r="Y4687" t="s">
        <v>26651</v>
      </c>
      <c r="Z4687" t="s">
        <v>26661</v>
      </c>
      <c r="AB4687" t="s">
        <v>30532</v>
      </c>
      <c r="AD4687" t="s">
        <v>40718</v>
      </c>
      <c r="AE4687">
        <v>25</v>
      </c>
      <c r="AF4687" t="s">
        <v>45541</v>
      </c>
      <c r="AG4687" t="s">
        <v>19330</v>
      </c>
      <c r="AH4687">
        <v>10</v>
      </c>
      <c r="AI4687">
        <v>2</v>
      </c>
      <c r="AJ4687">
        <v>3</v>
      </c>
      <c r="AK4687">
        <v>118.97</v>
      </c>
      <c r="AN4687" t="s">
        <v>45581</v>
      </c>
      <c r="AO4687">
        <v>35000</v>
      </c>
      <c r="AU4687">
        <v>0</v>
      </c>
      <c r="AW4687" t="s">
        <v>46840</v>
      </c>
    </row>
    <row r="4688" spans="1:50">
      <c r="A4688" s="1">
        <f>HYPERLINK("https://lsnyc.legalserver.org/matter/dynamic-profile/view/1887937","19-1887937")</f>
        <v>0</v>
      </c>
      <c r="B4688" t="s">
        <v>61</v>
      </c>
      <c r="C4688" t="s">
        <v>340</v>
      </c>
      <c r="D4688" t="s">
        <v>573</v>
      </c>
      <c r="F4688" t="s">
        <v>1592</v>
      </c>
      <c r="G4688" t="s">
        <v>7388</v>
      </c>
      <c r="H4688" t="s">
        <v>11324</v>
      </c>
      <c r="I4688">
        <v>33</v>
      </c>
      <c r="J4688" t="s">
        <v>18893</v>
      </c>
      <c r="K4688">
        <v>10034</v>
      </c>
      <c r="L4688" t="s">
        <v>18958</v>
      </c>
      <c r="M4688" t="s">
        <v>18958</v>
      </c>
      <c r="N4688" t="s">
        <v>22462</v>
      </c>
      <c r="O4688" t="s">
        <v>26526</v>
      </c>
      <c r="P4688" t="s">
        <v>26560</v>
      </c>
      <c r="R4688" t="s">
        <v>26578</v>
      </c>
      <c r="S4688" t="s">
        <v>18958</v>
      </c>
      <c r="U4688" t="s">
        <v>26604</v>
      </c>
      <c r="W4688" t="s">
        <v>573</v>
      </c>
      <c r="X4688">
        <v>839</v>
      </c>
      <c r="Y4688" t="s">
        <v>26651</v>
      </c>
      <c r="Z4688" t="s">
        <v>26661</v>
      </c>
      <c r="AB4688" t="s">
        <v>30533</v>
      </c>
      <c r="AD4688" t="s">
        <v>40719</v>
      </c>
      <c r="AE4688">
        <v>25</v>
      </c>
      <c r="AF4688" t="s">
        <v>45541</v>
      </c>
      <c r="AG4688" t="s">
        <v>19330</v>
      </c>
      <c r="AH4688">
        <v>20</v>
      </c>
      <c r="AI4688">
        <v>2</v>
      </c>
      <c r="AJ4688">
        <v>0</v>
      </c>
      <c r="AK4688">
        <v>157.96</v>
      </c>
      <c r="AN4688" t="s">
        <v>7439</v>
      </c>
      <c r="AO4688">
        <v>26000</v>
      </c>
      <c r="AU4688">
        <v>1</v>
      </c>
      <c r="AV4688" t="s">
        <v>828</v>
      </c>
      <c r="AW4688" t="s">
        <v>46840</v>
      </c>
    </row>
    <row r="4689" spans="1:50">
      <c r="A4689" s="1">
        <f>HYPERLINK("https://lsnyc.legalserver.org/matter/dynamic-profile/view/1888002","19-1888002")</f>
        <v>0</v>
      </c>
      <c r="B4689" t="s">
        <v>61</v>
      </c>
      <c r="C4689" t="s">
        <v>340</v>
      </c>
      <c r="D4689" t="s">
        <v>573</v>
      </c>
      <c r="F4689" t="s">
        <v>3137</v>
      </c>
      <c r="G4689" t="s">
        <v>1114</v>
      </c>
      <c r="H4689" t="s">
        <v>11324</v>
      </c>
      <c r="I4689">
        <v>1</v>
      </c>
      <c r="J4689" t="s">
        <v>18893</v>
      </c>
      <c r="K4689">
        <v>10034</v>
      </c>
      <c r="L4689" t="s">
        <v>18958</v>
      </c>
      <c r="M4689" t="s">
        <v>18958</v>
      </c>
      <c r="N4689" t="s">
        <v>22462</v>
      </c>
      <c r="O4689" t="s">
        <v>26526</v>
      </c>
      <c r="P4689" t="s">
        <v>26560</v>
      </c>
      <c r="R4689" t="s">
        <v>26578</v>
      </c>
      <c r="S4689" t="s">
        <v>18958</v>
      </c>
      <c r="U4689" t="s">
        <v>26604</v>
      </c>
      <c r="W4689" t="s">
        <v>573</v>
      </c>
      <c r="X4689">
        <v>1679</v>
      </c>
      <c r="Y4689" t="s">
        <v>26651</v>
      </c>
      <c r="Z4689" t="s">
        <v>26661</v>
      </c>
      <c r="AB4689" t="s">
        <v>30534</v>
      </c>
      <c r="AD4689" t="s">
        <v>40720</v>
      </c>
      <c r="AE4689">
        <v>25</v>
      </c>
      <c r="AF4689" t="s">
        <v>45541</v>
      </c>
      <c r="AG4689" t="s">
        <v>19330</v>
      </c>
      <c r="AH4689">
        <v>9</v>
      </c>
      <c r="AI4689">
        <v>2</v>
      </c>
      <c r="AJ4689">
        <v>1</v>
      </c>
      <c r="AK4689">
        <v>240.62</v>
      </c>
      <c r="AN4689" t="s">
        <v>7439</v>
      </c>
      <c r="AO4689">
        <v>50000</v>
      </c>
      <c r="AU4689">
        <v>0.6</v>
      </c>
      <c r="AV4689" t="s">
        <v>695</v>
      </c>
      <c r="AW4689" t="s">
        <v>46840</v>
      </c>
    </row>
    <row r="4690" spans="1:50">
      <c r="A4690" s="1">
        <f>HYPERLINK("https://lsnyc.legalserver.org/matter/dynamic-profile/view/1887945","19-1887945")</f>
        <v>0</v>
      </c>
      <c r="B4690" t="s">
        <v>61</v>
      </c>
      <c r="C4690" t="s">
        <v>340</v>
      </c>
      <c r="D4690" t="s">
        <v>573</v>
      </c>
      <c r="F4690" t="s">
        <v>3138</v>
      </c>
      <c r="G4690" t="s">
        <v>5864</v>
      </c>
      <c r="H4690" t="s">
        <v>11324</v>
      </c>
      <c r="I4690">
        <v>3</v>
      </c>
      <c r="J4690" t="s">
        <v>18893</v>
      </c>
      <c r="K4690">
        <v>10034</v>
      </c>
      <c r="L4690" t="s">
        <v>18958</v>
      </c>
      <c r="M4690" t="s">
        <v>18958</v>
      </c>
      <c r="N4690" t="s">
        <v>22462</v>
      </c>
      <c r="O4690" t="s">
        <v>26526</v>
      </c>
      <c r="P4690" t="s">
        <v>26560</v>
      </c>
      <c r="R4690" t="s">
        <v>26578</v>
      </c>
      <c r="S4690" t="s">
        <v>18958</v>
      </c>
      <c r="U4690" t="s">
        <v>26604</v>
      </c>
      <c r="W4690" t="s">
        <v>573</v>
      </c>
      <c r="X4690">
        <v>1217</v>
      </c>
      <c r="Y4690" t="s">
        <v>26651</v>
      </c>
      <c r="Z4690" t="s">
        <v>26661</v>
      </c>
      <c r="AB4690" t="s">
        <v>30535</v>
      </c>
      <c r="AD4690" t="s">
        <v>40721</v>
      </c>
      <c r="AE4690">
        <v>25</v>
      </c>
      <c r="AF4690" t="s">
        <v>45541</v>
      </c>
      <c r="AG4690" t="s">
        <v>19330</v>
      </c>
      <c r="AH4690">
        <v>17</v>
      </c>
      <c r="AI4690">
        <v>2</v>
      </c>
      <c r="AJ4690">
        <v>0</v>
      </c>
      <c r="AK4690">
        <v>243.01</v>
      </c>
      <c r="AN4690" t="s">
        <v>45581</v>
      </c>
      <c r="AO4690">
        <v>40000</v>
      </c>
      <c r="AU4690">
        <v>0</v>
      </c>
      <c r="AW4690" t="s">
        <v>46840</v>
      </c>
    </row>
    <row r="4691" spans="1:50">
      <c r="A4691" s="1">
        <f>HYPERLINK("https://lsnyc.legalserver.org/matter/dynamic-profile/view/1887967","19-1887967")</f>
        <v>0</v>
      </c>
      <c r="B4691" t="s">
        <v>61</v>
      </c>
      <c r="C4691" t="s">
        <v>340</v>
      </c>
      <c r="D4691" t="s">
        <v>573</v>
      </c>
      <c r="F4691" t="s">
        <v>3139</v>
      </c>
      <c r="G4691" t="s">
        <v>6828</v>
      </c>
      <c r="H4691" t="s">
        <v>13185</v>
      </c>
      <c r="I4691">
        <v>4</v>
      </c>
      <c r="J4691" t="s">
        <v>18893</v>
      </c>
      <c r="K4691">
        <v>10034</v>
      </c>
      <c r="L4691" t="s">
        <v>18958</v>
      </c>
      <c r="M4691" t="s">
        <v>18958</v>
      </c>
      <c r="N4691" t="s">
        <v>22462</v>
      </c>
      <c r="O4691" t="s">
        <v>26526</v>
      </c>
      <c r="P4691" t="s">
        <v>26560</v>
      </c>
      <c r="R4691" t="s">
        <v>26578</v>
      </c>
      <c r="S4691" t="s">
        <v>18958</v>
      </c>
      <c r="U4691" t="s">
        <v>26604</v>
      </c>
      <c r="W4691" t="s">
        <v>573</v>
      </c>
      <c r="X4691">
        <v>1614.34</v>
      </c>
      <c r="Y4691" t="s">
        <v>26651</v>
      </c>
      <c r="Z4691" t="s">
        <v>26661</v>
      </c>
      <c r="AB4691" t="s">
        <v>27992</v>
      </c>
      <c r="AD4691" t="s">
        <v>40722</v>
      </c>
      <c r="AE4691">
        <v>25</v>
      </c>
      <c r="AF4691" t="s">
        <v>45541</v>
      </c>
      <c r="AG4691" t="s">
        <v>19330</v>
      </c>
      <c r="AH4691">
        <v>8</v>
      </c>
      <c r="AI4691">
        <v>3</v>
      </c>
      <c r="AJ4691">
        <v>0</v>
      </c>
      <c r="AK4691">
        <v>594.3200000000001</v>
      </c>
      <c r="AN4691" t="s">
        <v>45581</v>
      </c>
      <c r="AO4691">
        <v>123500</v>
      </c>
      <c r="AU4691">
        <v>0</v>
      </c>
      <c r="AW4691" t="s">
        <v>46840</v>
      </c>
    </row>
    <row r="4692" spans="1:50">
      <c r="A4692" s="1">
        <f>HYPERLINK("https://lsnyc.legalserver.org/matter/dynamic-profile/view/1887936","19-1887936")</f>
        <v>0</v>
      </c>
      <c r="B4692" t="s">
        <v>233</v>
      </c>
      <c r="C4692" t="s">
        <v>340</v>
      </c>
      <c r="D4692" t="s">
        <v>573</v>
      </c>
      <c r="F4692" t="s">
        <v>3140</v>
      </c>
      <c r="G4692" t="s">
        <v>5297</v>
      </c>
      <c r="H4692" t="s">
        <v>13186</v>
      </c>
      <c r="I4692">
        <v>2</v>
      </c>
      <c r="J4692" t="s">
        <v>18892</v>
      </c>
      <c r="K4692">
        <v>10457</v>
      </c>
      <c r="L4692" t="s">
        <v>18958</v>
      </c>
      <c r="M4692" t="s">
        <v>18958</v>
      </c>
      <c r="N4692" t="s">
        <v>22463</v>
      </c>
      <c r="O4692" t="s">
        <v>26523</v>
      </c>
      <c r="P4692" t="s">
        <v>26560</v>
      </c>
      <c r="R4692" t="s">
        <v>26579</v>
      </c>
      <c r="S4692" t="s">
        <v>18959</v>
      </c>
      <c r="U4692" t="s">
        <v>26604</v>
      </c>
      <c r="V4692" t="s">
        <v>26609</v>
      </c>
      <c r="W4692" t="s">
        <v>573</v>
      </c>
      <c r="X4692">
        <v>1980</v>
      </c>
      <c r="Y4692" t="s">
        <v>26650</v>
      </c>
      <c r="Z4692" t="s">
        <v>26664</v>
      </c>
      <c r="AB4692" t="s">
        <v>29978</v>
      </c>
      <c r="AD4692" t="s">
        <v>40723</v>
      </c>
      <c r="AE4692">
        <v>7</v>
      </c>
      <c r="AF4692" t="s">
        <v>20460</v>
      </c>
      <c r="AG4692" t="s">
        <v>45562</v>
      </c>
      <c r="AH4692">
        <v>2</v>
      </c>
      <c r="AI4692">
        <v>2</v>
      </c>
      <c r="AJ4692">
        <v>3</v>
      </c>
      <c r="AK4692">
        <v>106.73</v>
      </c>
      <c r="AN4692" t="s">
        <v>8151</v>
      </c>
      <c r="AO4692">
        <v>32200</v>
      </c>
      <c r="AU4692">
        <v>13.6</v>
      </c>
      <c r="AV4692" t="s">
        <v>809</v>
      </c>
      <c r="AW4692" t="s">
        <v>46842</v>
      </c>
    </row>
    <row r="4693" spans="1:50">
      <c r="A4693" s="1">
        <f>HYPERLINK("https://lsnyc.legalserver.org/matter/dynamic-profile/view/1887862","19-1887862")</f>
        <v>0</v>
      </c>
      <c r="B4693" t="s">
        <v>104</v>
      </c>
      <c r="C4693" t="s">
        <v>340</v>
      </c>
      <c r="D4693" t="s">
        <v>573</v>
      </c>
      <c r="F4693" t="s">
        <v>1603</v>
      </c>
      <c r="G4693" t="s">
        <v>5147</v>
      </c>
      <c r="H4693" t="s">
        <v>13187</v>
      </c>
      <c r="J4693" t="s">
        <v>18902</v>
      </c>
      <c r="K4693">
        <v>10302</v>
      </c>
      <c r="L4693" t="s">
        <v>18958</v>
      </c>
      <c r="M4693" t="s">
        <v>18958</v>
      </c>
      <c r="N4693" t="s">
        <v>22464</v>
      </c>
      <c r="O4693" t="s">
        <v>26523</v>
      </c>
      <c r="P4693" t="s">
        <v>26560</v>
      </c>
      <c r="R4693" t="s">
        <v>26590</v>
      </c>
      <c r="S4693" t="s">
        <v>18959</v>
      </c>
      <c r="U4693" t="s">
        <v>26604</v>
      </c>
      <c r="V4693" t="s">
        <v>26610</v>
      </c>
      <c r="W4693" t="s">
        <v>573</v>
      </c>
      <c r="X4693">
        <v>1956</v>
      </c>
      <c r="Y4693" t="s">
        <v>26654</v>
      </c>
      <c r="Z4693" t="s">
        <v>26668</v>
      </c>
      <c r="AB4693" t="s">
        <v>30536</v>
      </c>
      <c r="AD4693" t="s">
        <v>40724</v>
      </c>
      <c r="AE4693">
        <v>0</v>
      </c>
      <c r="AF4693" t="s">
        <v>45547</v>
      </c>
      <c r="AG4693" t="s">
        <v>45558</v>
      </c>
      <c r="AH4693">
        <v>5</v>
      </c>
      <c r="AI4693">
        <v>1</v>
      </c>
      <c r="AJ4693">
        <v>5</v>
      </c>
      <c r="AK4693">
        <v>38.34</v>
      </c>
      <c r="AN4693" t="s">
        <v>7439</v>
      </c>
      <c r="AO4693">
        <v>12936</v>
      </c>
      <c r="AU4693">
        <v>8</v>
      </c>
      <c r="AV4693" t="s">
        <v>831</v>
      </c>
      <c r="AW4693" t="s">
        <v>185</v>
      </c>
    </row>
    <row r="4694" spans="1:50">
      <c r="A4694" s="1">
        <f>HYPERLINK("https://lsnyc.legalserver.org/matter/dynamic-profile/view/1888142","19-1888142")</f>
        <v>0</v>
      </c>
      <c r="B4694" t="s">
        <v>147</v>
      </c>
      <c r="C4694" t="s">
        <v>341</v>
      </c>
      <c r="D4694" t="s">
        <v>685</v>
      </c>
      <c r="E4694" t="s">
        <v>729</v>
      </c>
      <c r="F4694" t="s">
        <v>3141</v>
      </c>
      <c r="G4694" t="s">
        <v>5100</v>
      </c>
      <c r="H4694" t="s">
        <v>13188</v>
      </c>
      <c r="I4694">
        <v>2</v>
      </c>
      <c r="J4694" t="s">
        <v>18894</v>
      </c>
      <c r="K4694">
        <v>11226</v>
      </c>
      <c r="L4694" t="s">
        <v>18958</v>
      </c>
      <c r="M4694" t="s">
        <v>18958</v>
      </c>
      <c r="N4694" t="s">
        <v>22465</v>
      </c>
      <c r="O4694" t="s">
        <v>26523</v>
      </c>
      <c r="P4694" t="s">
        <v>26560</v>
      </c>
      <c r="Q4694" t="s">
        <v>26568</v>
      </c>
      <c r="R4694" t="s">
        <v>26578</v>
      </c>
      <c r="S4694" t="s">
        <v>18959</v>
      </c>
      <c r="U4694" t="s">
        <v>26604</v>
      </c>
      <c r="V4694" t="s">
        <v>26614</v>
      </c>
      <c r="W4694" t="s">
        <v>573</v>
      </c>
      <c r="X4694">
        <v>1287.2</v>
      </c>
      <c r="Y4694" t="s">
        <v>26652</v>
      </c>
      <c r="AA4694" t="s">
        <v>26678</v>
      </c>
      <c r="AE4694">
        <v>16</v>
      </c>
      <c r="AF4694" t="s">
        <v>45541</v>
      </c>
      <c r="AH4694">
        <v>0</v>
      </c>
      <c r="AI4694">
        <v>2</v>
      </c>
      <c r="AJ4694">
        <v>0</v>
      </c>
      <c r="AK4694">
        <v>205.35</v>
      </c>
      <c r="AN4694" t="s">
        <v>45581</v>
      </c>
      <c r="AO4694">
        <v>33800</v>
      </c>
      <c r="AQ4694" t="s">
        <v>46359</v>
      </c>
      <c r="AU4694">
        <v>12.6</v>
      </c>
      <c r="AV4694" t="s">
        <v>729</v>
      </c>
      <c r="AW4694" t="s">
        <v>219</v>
      </c>
    </row>
    <row r="4695" spans="1:50">
      <c r="A4695" s="1">
        <f>HYPERLINK("https://lsnyc.legalserver.org/matter/dynamic-profile/view/1888138","19-1888138")</f>
        <v>0</v>
      </c>
      <c r="B4695" t="s">
        <v>276</v>
      </c>
      <c r="C4695" t="s">
        <v>340</v>
      </c>
      <c r="D4695" t="s">
        <v>685</v>
      </c>
      <c r="F4695" t="s">
        <v>939</v>
      </c>
      <c r="G4695" t="s">
        <v>1031</v>
      </c>
      <c r="H4695" t="s">
        <v>11369</v>
      </c>
      <c r="I4695" t="s">
        <v>17389</v>
      </c>
      <c r="J4695" t="s">
        <v>18894</v>
      </c>
      <c r="K4695">
        <v>11226</v>
      </c>
      <c r="L4695" t="s">
        <v>18958</v>
      </c>
      <c r="M4695" t="s">
        <v>18958</v>
      </c>
      <c r="N4695" t="s">
        <v>22466</v>
      </c>
      <c r="O4695" t="s">
        <v>26524</v>
      </c>
      <c r="P4695" t="s">
        <v>26560</v>
      </c>
      <c r="R4695" t="s">
        <v>26578</v>
      </c>
      <c r="U4695" t="s">
        <v>26604</v>
      </c>
      <c r="W4695" t="s">
        <v>573</v>
      </c>
      <c r="X4695">
        <v>1428.11</v>
      </c>
      <c r="Y4695" t="s">
        <v>26652</v>
      </c>
      <c r="AB4695" t="s">
        <v>30537</v>
      </c>
      <c r="AD4695" t="s">
        <v>40725</v>
      </c>
      <c r="AE4695">
        <v>0</v>
      </c>
      <c r="AH4695">
        <v>12</v>
      </c>
      <c r="AI4695">
        <v>1</v>
      </c>
      <c r="AJ4695">
        <v>0</v>
      </c>
      <c r="AK4695">
        <v>107.08</v>
      </c>
      <c r="AN4695" t="s">
        <v>45585</v>
      </c>
      <c r="AO4695">
        <v>13000</v>
      </c>
      <c r="AU4695">
        <v>15.6</v>
      </c>
      <c r="AV4695" t="s">
        <v>826</v>
      </c>
      <c r="AW4695" t="s">
        <v>219</v>
      </c>
    </row>
    <row r="4696" spans="1:50">
      <c r="A4696" s="1">
        <f>HYPERLINK("https://lsnyc.legalserver.org/matter/dynamic-profile/view/1852133","17-1852133")</f>
        <v>0</v>
      </c>
      <c r="B4696" t="s">
        <v>65</v>
      </c>
      <c r="C4696" t="s">
        <v>340</v>
      </c>
      <c r="D4696" t="s">
        <v>471</v>
      </c>
      <c r="F4696" t="s">
        <v>895</v>
      </c>
      <c r="G4696" t="s">
        <v>7389</v>
      </c>
      <c r="H4696" t="s">
        <v>13189</v>
      </c>
      <c r="I4696" t="s">
        <v>18141</v>
      </c>
      <c r="J4696" t="s">
        <v>18892</v>
      </c>
      <c r="K4696">
        <v>10472</v>
      </c>
      <c r="L4696" t="s">
        <v>18958</v>
      </c>
      <c r="M4696" t="s">
        <v>18960</v>
      </c>
      <c r="N4696" t="s">
        <v>22467</v>
      </c>
      <c r="O4696" t="s">
        <v>26526</v>
      </c>
      <c r="P4696" t="s">
        <v>26560</v>
      </c>
      <c r="R4696" t="s">
        <v>26577</v>
      </c>
      <c r="U4696" t="s">
        <v>26604</v>
      </c>
      <c r="W4696" t="s">
        <v>685</v>
      </c>
      <c r="X4696">
        <v>1178.55</v>
      </c>
      <c r="Y4696" t="s">
        <v>26650</v>
      </c>
      <c r="Z4696" t="s">
        <v>26659</v>
      </c>
      <c r="AB4696" t="s">
        <v>30538</v>
      </c>
      <c r="AC4696" t="s">
        <v>35829</v>
      </c>
      <c r="AD4696" t="s">
        <v>40726</v>
      </c>
      <c r="AE4696">
        <v>0</v>
      </c>
      <c r="AF4696" t="s">
        <v>45541</v>
      </c>
      <c r="AG4696" t="s">
        <v>45558</v>
      </c>
      <c r="AH4696">
        <v>7</v>
      </c>
      <c r="AI4696">
        <v>1</v>
      </c>
      <c r="AJ4696">
        <v>3</v>
      </c>
      <c r="AK4696">
        <v>52.39</v>
      </c>
      <c r="AN4696" t="s">
        <v>45581</v>
      </c>
      <c r="AO4696">
        <v>21984</v>
      </c>
      <c r="AP4696" t="s">
        <v>45617</v>
      </c>
      <c r="AU4696">
        <v>41.4</v>
      </c>
      <c r="AV4696" t="s">
        <v>834</v>
      </c>
      <c r="AW4696" t="s">
        <v>46836</v>
      </c>
      <c r="AX4696" t="s">
        <v>46898</v>
      </c>
    </row>
    <row r="4697" spans="1:50">
      <c r="A4697" s="1">
        <f>HYPERLINK("https://lsnyc.legalserver.org/matter/dynamic-profile/view/1881896","18-1881896")</f>
        <v>0</v>
      </c>
      <c r="B4697" t="s">
        <v>207</v>
      </c>
      <c r="C4697" t="s">
        <v>341</v>
      </c>
      <c r="D4697" t="s">
        <v>645</v>
      </c>
      <c r="E4697" t="s">
        <v>685</v>
      </c>
      <c r="F4697" t="s">
        <v>1197</v>
      </c>
      <c r="G4697" t="s">
        <v>1205</v>
      </c>
      <c r="H4697" t="s">
        <v>13190</v>
      </c>
      <c r="I4697" t="s">
        <v>18142</v>
      </c>
      <c r="J4697" t="s">
        <v>18894</v>
      </c>
      <c r="K4697">
        <v>11201</v>
      </c>
      <c r="L4697" t="s">
        <v>18958</v>
      </c>
      <c r="M4697" t="s">
        <v>18958</v>
      </c>
      <c r="N4697" t="s">
        <v>22468</v>
      </c>
      <c r="O4697" t="s">
        <v>26523</v>
      </c>
      <c r="P4697" t="s">
        <v>26563</v>
      </c>
      <c r="Q4697" t="s">
        <v>26568</v>
      </c>
      <c r="R4697" t="s">
        <v>26586</v>
      </c>
      <c r="U4697" t="s">
        <v>26605</v>
      </c>
      <c r="W4697" t="s">
        <v>685</v>
      </c>
      <c r="X4697">
        <v>237</v>
      </c>
      <c r="Y4697" t="s">
        <v>26652</v>
      </c>
      <c r="Z4697" t="s">
        <v>26664</v>
      </c>
      <c r="AA4697" t="s">
        <v>26680</v>
      </c>
      <c r="AB4697" t="s">
        <v>30539</v>
      </c>
      <c r="AD4697" t="s">
        <v>40727</v>
      </c>
      <c r="AE4697">
        <v>0</v>
      </c>
      <c r="AF4697" t="s">
        <v>45549</v>
      </c>
      <c r="AH4697">
        <v>35</v>
      </c>
      <c r="AI4697">
        <v>2</v>
      </c>
      <c r="AJ4697">
        <v>0</v>
      </c>
      <c r="AK4697">
        <v>60.87</v>
      </c>
      <c r="AN4697" t="s">
        <v>7439</v>
      </c>
      <c r="AO4697">
        <v>10020</v>
      </c>
      <c r="AS4697" t="s">
        <v>46499</v>
      </c>
      <c r="AT4697" t="s">
        <v>46507</v>
      </c>
      <c r="AU4697">
        <v>10.5</v>
      </c>
      <c r="AV4697" t="s">
        <v>685</v>
      </c>
      <c r="AW4697" t="s">
        <v>281</v>
      </c>
    </row>
    <row r="4698" spans="1:50">
      <c r="A4698" s="1">
        <f>HYPERLINK("https://lsnyc.legalserver.org/matter/dynamic-profile/view/1884871","18-1884871")</f>
        <v>0</v>
      </c>
      <c r="B4698" t="s">
        <v>130</v>
      </c>
      <c r="C4698" t="s">
        <v>340</v>
      </c>
      <c r="D4698" t="s">
        <v>682</v>
      </c>
      <c r="F4698" t="s">
        <v>3142</v>
      </c>
      <c r="G4698" t="s">
        <v>7390</v>
      </c>
      <c r="H4698" t="s">
        <v>13191</v>
      </c>
      <c r="I4698" t="s">
        <v>17274</v>
      </c>
      <c r="J4698" t="s">
        <v>18901</v>
      </c>
      <c r="K4698">
        <v>11433</v>
      </c>
      <c r="L4698" t="s">
        <v>18958</v>
      </c>
      <c r="M4698" t="s">
        <v>18958</v>
      </c>
      <c r="N4698" t="s">
        <v>22469</v>
      </c>
      <c r="O4698" t="s">
        <v>26524</v>
      </c>
      <c r="P4698" t="s">
        <v>26560</v>
      </c>
      <c r="R4698" t="s">
        <v>26585</v>
      </c>
      <c r="S4698" t="s">
        <v>18959</v>
      </c>
      <c r="U4698" t="s">
        <v>26604</v>
      </c>
      <c r="V4698" t="s">
        <v>26612</v>
      </c>
      <c r="W4698" t="s">
        <v>685</v>
      </c>
      <c r="X4698">
        <v>251</v>
      </c>
      <c r="Y4698" t="s">
        <v>26653</v>
      </c>
      <c r="Z4698" t="s">
        <v>26659</v>
      </c>
      <c r="AB4698" t="s">
        <v>30540</v>
      </c>
      <c r="AD4698" t="s">
        <v>40728</v>
      </c>
      <c r="AE4698">
        <v>12</v>
      </c>
      <c r="AF4698" t="s">
        <v>45549</v>
      </c>
      <c r="AG4698" t="s">
        <v>19330</v>
      </c>
      <c r="AH4698">
        <v>12</v>
      </c>
      <c r="AI4698">
        <v>1</v>
      </c>
      <c r="AJ4698">
        <v>0</v>
      </c>
      <c r="AK4698">
        <v>52.26</v>
      </c>
      <c r="AN4698" t="s">
        <v>7439</v>
      </c>
      <c r="AO4698">
        <v>6344</v>
      </c>
      <c r="AU4698">
        <v>14.25</v>
      </c>
      <c r="AV4698" t="s">
        <v>839</v>
      </c>
      <c r="AW4698" t="s">
        <v>85</v>
      </c>
      <c r="AX4698" t="s">
        <v>46897</v>
      </c>
    </row>
    <row r="4699" spans="1:50">
      <c r="A4699" s="1">
        <f>HYPERLINK("https://lsnyc.legalserver.org/matter/dynamic-profile/view/1888073","19-1888073")</f>
        <v>0</v>
      </c>
      <c r="B4699" t="s">
        <v>70</v>
      </c>
      <c r="C4699" t="s">
        <v>341</v>
      </c>
      <c r="D4699" t="s">
        <v>685</v>
      </c>
      <c r="E4699" t="s">
        <v>833</v>
      </c>
      <c r="F4699" t="s">
        <v>3143</v>
      </c>
      <c r="G4699" t="s">
        <v>7391</v>
      </c>
      <c r="H4699" t="s">
        <v>13192</v>
      </c>
      <c r="I4699">
        <v>15</v>
      </c>
      <c r="J4699" t="s">
        <v>18892</v>
      </c>
      <c r="K4699">
        <v>10459</v>
      </c>
      <c r="L4699" t="s">
        <v>18958</v>
      </c>
      <c r="M4699" t="s">
        <v>18958</v>
      </c>
      <c r="N4699" t="s">
        <v>22470</v>
      </c>
      <c r="O4699" t="s">
        <v>26523</v>
      </c>
      <c r="P4699" t="s">
        <v>26560</v>
      </c>
      <c r="Q4699" t="s">
        <v>26574</v>
      </c>
      <c r="R4699" t="s">
        <v>26577</v>
      </c>
      <c r="S4699" t="s">
        <v>18959</v>
      </c>
      <c r="U4699" t="s">
        <v>26604</v>
      </c>
      <c r="V4699" t="s">
        <v>26612</v>
      </c>
      <c r="W4699" t="s">
        <v>685</v>
      </c>
      <c r="X4699">
        <v>357.5</v>
      </c>
      <c r="Y4699" t="s">
        <v>26650</v>
      </c>
      <c r="Z4699" t="s">
        <v>26668</v>
      </c>
      <c r="AA4699" t="s">
        <v>26678</v>
      </c>
      <c r="AB4699" t="s">
        <v>30541</v>
      </c>
      <c r="AC4699" t="s">
        <v>35830</v>
      </c>
      <c r="AD4699" t="s">
        <v>40729</v>
      </c>
      <c r="AE4699">
        <v>21</v>
      </c>
      <c r="AF4699" t="s">
        <v>45546</v>
      </c>
      <c r="AG4699" t="s">
        <v>19330</v>
      </c>
      <c r="AH4699">
        <v>3</v>
      </c>
      <c r="AI4699">
        <v>1</v>
      </c>
      <c r="AJ4699">
        <v>0</v>
      </c>
      <c r="AK4699">
        <v>68.3</v>
      </c>
      <c r="AN4699" t="s">
        <v>7439</v>
      </c>
      <c r="AO4699">
        <v>8292</v>
      </c>
      <c r="AQ4699" t="s">
        <v>46366</v>
      </c>
      <c r="AR4699" t="s">
        <v>46486</v>
      </c>
      <c r="AS4699" t="s">
        <v>46499</v>
      </c>
      <c r="AT4699" t="s">
        <v>46727</v>
      </c>
      <c r="AU4699">
        <v>33.45</v>
      </c>
      <c r="AV4699" t="s">
        <v>729</v>
      </c>
      <c r="AW4699" t="s">
        <v>46842</v>
      </c>
      <c r="AX4699" t="s">
        <v>46897</v>
      </c>
    </row>
    <row r="4700" spans="1:50">
      <c r="A4700" s="1">
        <f>HYPERLINK("https://lsnyc.legalserver.org/matter/dynamic-profile/view/1888087","19-1888087")</f>
        <v>0</v>
      </c>
      <c r="B4700" t="s">
        <v>247</v>
      </c>
      <c r="C4700" t="s">
        <v>341</v>
      </c>
      <c r="D4700" t="s">
        <v>685</v>
      </c>
      <c r="E4700" t="s">
        <v>727</v>
      </c>
      <c r="F4700" t="s">
        <v>2120</v>
      </c>
      <c r="G4700" t="s">
        <v>7392</v>
      </c>
      <c r="H4700" t="s">
        <v>13193</v>
      </c>
      <c r="I4700" t="s">
        <v>17430</v>
      </c>
      <c r="J4700" t="s">
        <v>18940</v>
      </c>
      <c r="K4700">
        <v>11413</v>
      </c>
      <c r="L4700" t="s">
        <v>18958</v>
      </c>
      <c r="M4700" t="s">
        <v>18958</v>
      </c>
      <c r="N4700" t="s">
        <v>22471</v>
      </c>
      <c r="O4700" t="s">
        <v>26524</v>
      </c>
      <c r="P4700" t="s">
        <v>26564</v>
      </c>
      <c r="Q4700" t="s">
        <v>26570</v>
      </c>
      <c r="R4700" t="s">
        <v>26584</v>
      </c>
      <c r="S4700" t="s">
        <v>18959</v>
      </c>
      <c r="U4700" t="s">
        <v>26604</v>
      </c>
      <c r="V4700" t="s">
        <v>26611</v>
      </c>
      <c r="W4700" t="s">
        <v>685</v>
      </c>
      <c r="X4700">
        <v>1700</v>
      </c>
      <c r="Y4700" t="s">
        <v>26653</v>
      </c>
      <c r="Z4700" t="s">
        <v>26664</v>
      </c>
      <c r="AA4700" t="s">
        <v>26683</v>
      </c>
      <c r="AB4700" t="s">
        <v>30542</v>
      </c>
      <c r="AD4700" t="s">
        <v>40730</v>
      </c>
      <c r="AE4700">
        <v>3</v>
      </c>
      <c r="AF4700" t="s">
        <v>45547</v>
      </c>
      <c r="AG4700" t="s">
        <v>19330</v>
      </c>
      <c r="AH4700">
        <v>3</v>
      </c>
      <c r="AI4700">
        <v>2</v>
      </c>
      <c r="AJ4700">
        <v>1</v>
      </c>
      <c r="AK4700">
        <v>110.68</v>
      </c>
      <c r="AL4700" t="s">
        <v>685</v>
      </c>
      <c r="AO4700">
        <v>23000</v>
      </c>
      <c r="AU4700">
        <v>2.13</v>
      </c>
      <c r="AV4700" t="s">
        <v>719</v>
      </c>
      <c r="AW4700" t="s">
        <v>161</v>
      </c>
      <c r="AX4700" t="s">
        <v>46897</v>
      </c>
    </row>
    <row r="4701" spans="1:50">
      <c r="A4701" s="1">
        <f>HYPERLINK("https://lsnyc.legalserver.org/matter/dynamic-profile/view/1888130","19-1888130")</f>
        <v>0</v>
      </c>
      <c r="B4701" t="s">
        <v>100</v>
      </c>
      <c r="C4701" t="s">
        <v>341</v>
      </c>
      <c r="D4701" t="s">
        <v>685</v>
      </c>
      <c r="E4701" t="s">
        <v>739</v>
      </c>
      <c r="F4701" t="s">
        <v>886</v>
      </c>
      <c r="G4701" t="s">
        <v>1685</v>
      </c>
      <c r="H4701" t="s">
        <v>12018</v>
      </c>
      <c r="I4701" t="s">
        <v>17445</v>
      </c>
      <c r="J4701" t="s">
        <v>18892</v>
      </c>
      <c r="K4701">
        <v>10457</v>
      </c>
      <c r="L4701" t="s">
        <v>18958</v>
      </c>
      <c r="M4701" t="s">
        <v>18958</v>
      </c>
      <c r="O4701" t="s">
        <v>26523</v>
      </c>
      <c r="P4701" t="s">
        <v>26564</v>
      </c>
      <c r="Q4701" t="s">
        <v>26570</v>
      </c>
      <c r="R4701" t="s">
        <v>26578</v>
      </c>
      <c r="S4701" t="s">
        <v>18959</v>
      </c>
      <c r="U4701" t="s">
        <v>26604</v>
      </c>
      <c r="W4701" t="s">
        <v>685</v>
      </c>
      <c r="X4701">
        <v>776</v>
      </c>
      <c r="Y4701" t="s">
        <v>26650</v>
      </c>
      <c r="AA4701" t="s">
        <v>26683</v>
      </c>
      <c r="AB4701" t="s">
        <v>30543</v>
      </c>
      <c r="AD4701" t="s">
        <v>40731</v>
      </c>
      <c r="AE4701">
        <v>0</v>
      </c>
      <c r="AF4701" t="s">
        <v>45554</v>
      </c>
      <c r="AG4701" t="s">
        <v>19330</v>
      </c>
      <c r="AH4701">
        <v>15</v>
      </c>
      <c r="AI4701">
        <v>1</v>
      </c>
      <c r="AJ4701">
        <v>0</v>
      </c>
      <c r="AK4701">
        <v>59.41</v>
      </c>
      <c r="AN4701" t="s">
        <v>7439</v>
      </c>
      <c r="AO4701">
        <v>7212</v>
      </c>
      <c r="AP4701" t="s">
        <v>45833</v>
      </c>
      <c r="AU4701">
        <v>1.1</v>
      </c>
      <c r="AV4701" t="s">
        <v>735</v>
      </c>
      <c r="AW4701" t="s">
        <v>46859</v>
      </c>
    </row>
    <row r="4702" spans="1:50">
      <c r="A4702" s="1">
        <f>HYPERLINK("https://lsnyc.legalserver.org/matter/dynamic-profile/view/1888094","19-1888094")</f>
        <v>0</v>
      </c>
      <c r="B4702" t="s">
        <v>258</v>
      </c>
      <c r="C4702" t="s">
        <v>341</v>
      </c>
      <c r="D4702" t="s">
        <v>685</v>
      </c>
      <c r="E4702" t="s">
        <v>693</v>
      </c>
      <c r="F4702" t="s">
        <v>2140</v>
      </c>
      <c r="G4702" t="s">
        <v>7393</v>
      </c>
      <c r="H4702" t="s">
        <v>11797</v>
      </c>
      <c r="I4702" t="s">
        <v>18143</v>
      </c>
      <c r="J4702" t="s">
        <v>18909</v>
      </c>
      <c r="K4702">
        <v>11101</v>
      </c>
      <c r="L4702" t="s">
        <v>18958</v>
      </c>
      <c r="M4702" t="s">
        <v>18958</v>
      </c>
      <c r="N4702" t="s">
        <v>22472</v>
      </c>
      <c r="O4702" t="s">
        <v>26523</v>
      </c>
      <c r="P4702" t="s">
        <v>26564</v>
      </c>
      <c r="Q4702" t="s">
        <v>26570</v>
      </c>
      <c r="R4702" t="s">
        <v>26578</v>
      </c>
      <c r="S4702" t="s">
        <v>18959</v>
      </c>
      <c r="U4702" t="s">
        <v>26604</v>
      </c>
      <c r="V4702" t="s">
        <v>26610</v>
      </c>
      <c r="W4702" t="s">
        <v>685</v>
      </c>
      <c r="X4702">
        <v>1230</v>
      </c>
      <c r="Y4702" t="s">
        <v>26653</v>
      </c>
      <c r="Z4702" t="s">
        <v>26664</v>
      </c>
      <c r="AA4702" t="s">
        <v>26683</v>
      </c>
      <c r="AB4702" t="s">
        <v>30544</v>
      </c>
      <c r="AC4702" t="s">
        <v>35831</v>
      </c>
      <c r="AD4702" t="s">
        <v>40732</v>
      </c>
      <c r="AE4702">
        <v>974</v>
      </c>
      <c r="AF4702" t="s">
        <v>45541</v>
      </c>
      <c r="AG4702" t="s">
        <v>19330</v>
      </c>
      <c r="AH4702">
        <v>1</v>
      </c>
      <c r="AI4702">
        <v>2</v>
      </c>
      <c r="AJ4702">
        <v>2</v>
      </c>
      <c r="AK4702">
        <v>149.16</v>
      </c>
      <c r="AN4702" t="s">
        <v>7439</v>
      </c>
      <c r="AO4702">
        <v>37440</v>
      </c>
      <c r="AU4702">
        <v>0.25</v>
      </c>
      <c r="AV4702" t="s">
        <v>685</v>
      </c>
      <c r="AW4702" t="s">
        <v>161</v>
      </c>
    </row>
    <row r="4703" spans="1:50">
      <c r="A4703" s="1">
        <f>HYPERLINK("https://lsnyc.legalserver.org/matter/dynamic-profile/view/1888086","19-1888086")</f>
        <v>0</v>
      </c>
      <c r="B4703" t="s">
        <v>258</v>
      </c>
      <c r="C4703" t="s">
        <v>341</v>
      </c>
      <c r="D4703" t="s">
        <v>685</v>
      </c>
      <c r="E4703" t="s">
        <v>693</v>
      </c>
      <c r="F4703" t="s">
        <v>3144</v>
      </c>
      <c r="G4703" t="s">
        <v>7341</v>
      </c>
      <c r="H4703" t="s">
        <v>9744</v>
      </c>
      <c r="I4703" t="s">
        <v>17369</v>
      </c>
      <c r="J4703" t="s">
        <v>7026</v>
      </c>
      <c r="K4703">
        <v>11368</v>
      </c>
      <c r="L4703" t="s">
        <v>18958</v>
      </c>
      <c r="M4703" t="s">
        <v>18958</v>
      </c>
      <c r="N4703" t="s">
        <v>22473</v>
      </c>
      <c r="O4703" t="s">
        <v>26523</v>
      </c>
      <c r="P4703" t="s">
        <v>26564</v>
      </c>
      <c r="Q4703" t="s">
        <v>26570</v>
      </c>
      <c r="R4703" t="s">
        <v>26584</v>
      </c>
      <c r="S4703" t="s">
        <v>18959</v>
      </c>
      <c r="U4703" t="s">
        <v>26604</v>
      </c>
      <c r="V4703" t="s">
        <v>26609</v>
      </c>
      <c r="W4703" t="s">
        <v>685</v>
      </c>
      <c r="X4703">
        <v>1907</v>
      </c>
      <c r="Y4703" t="s">
        <v>26653</v>
      </c>
      <c r="Z4703" t="s">
        <v>26664</v>
      </c>
      <c r="AA4703" t="s">
        <v>26683</v>
      </c>
      <c r="AB4703" t="s">
        <v>30545</v>
      </c>
      <c r="AC4703" t="s">
        <v>35832</v>
      </c>
      <c r="AD4703" t="s">
        <v>40733</v>
      </c>
      <c r="AE4703">
        <v>236</v>
      </c>
      <c r="AF4703" t="s">
        <v>45541</v>
      </c>
      <c r="AG4703" t="s">
        <v>19330</v>
      </c>
      <c r="AH4703">
        <v>10</v>
      </c>
      <c r="AI4703">
        <v>1</v>
      </c>
      <c r="AJ4703">
        <v>5</v>
      </c>
      <c r="AK4703">
        <v>46.24</v>
      </c>
      <c r="AN4703" t="s">
        <v>7439</v>
      </c>
      <c r="AO4703">
        <v>15600</v>
      </c>
      <c r="AU4703">
        <v>0.25</v>
      </c>
      <c r="AV4703" t="s">
        <v>685</v>
      </c>
      <c r="AW4703" t="s">
        <v>208</v>
      </c>
    </row>
    <row r="4704" spans="1:50">
      <c r="A4704" s="1">
        <f>HYPERLINK("https://lsnyc.legalserver.org/matter/dynamic-profile/view/1888065","19-1888065")</f>
        <v>0</v>
      </c>
      <c r="B4704" t="s">
        <v>70</v>
      </c>
      <c r="C4704" t="s">
        <v>340</v>
      </c>
      <c r="D4704" t="s">
        <v>685</v>
      </c>
      <c r="F4704" t="s">
        <v>3145</v>
      </c>
      <c r="G4704" t="s">
        <v>5447</v>
      </c>
      <c r="H4704" t="s">
        <v>12809</v>
      </c>
      <c r="I4704" t="s">
        <v>17290</v>
      </c>
      <c r="J4704" t="s">
        <v>18892</v>
      </c>
      <c r="K4704">
        <v>10462</v>
      </c>
      <c r="L4704" t="s">
        <v>18958</v>
      </c>
      <c r="M4704" t="s">
        <v>18958</v>
      </c>
      <c r="N4704" t="s">
        <v>22474</v>
      </c>
      <c r="O4704" t="s">
        <v>26523</v>
      </c>
      <c r="P4704" t="s">
        <v>26560</v>
      </c>
      <c r="R4704" t="s">
        <v>26579</v>
      </c>
      <c r="S4704" t="s">
        <v>18959</v>
      </c>
      <c r="U4704" t="s">
        <v>26604</v>
      </c>
      <c r="V4704" t="s">
        <v>26609</v>
      </c>
      <c r="W4704" t="s">
        <v>685</v>
      </c>
      <c r="X4704">
        <v>929.41</v>
      </c>
      <c r="Y4704" t="s">
        <v>26650</v>
      </c>
      <c r="Z4704" t="s">
        <v>26664</v>
      </c>
      <c r="AB4704" t="s">
        <v>30546</v>
      </c>
      <c r="AC4704" t="s">
        <v>19045</v>
      </c>
      <c r="AD4704" t="s">
        <v>40734</v>
      </c>
      <c r="AE4704">
        <v>72</v>
      </c>
      <c r="AF4704" t="s">
        <v>20460</v>
      </c>
      <c r="AG4704" t="s">
        <v>19330</v>
      </c>
      <c r="AH4704">
        <v>4</v>
      </c>
      <c r="AI4704">
        <v>2</v>
      </c>
      <c r="AJ4704">
        <v>1</v>
      </c>
      <c r="AK4704">
        <v>175.17</v>
      </c>
      <c r="AO4704">
        <v>36400</v>
      </c>
      <c r="AU4704">
        <v>11.15</v>
      </c>
      <c r="AV4704" t="s">
        <v>826</v>
      </c>
      <c r="AW4704" t="s">
        <v>334</v>
      </c>
    </row>
    <row r="4705" spans="1:49">
      <c r="A4705" s="1">
        <f>HYPERLINK("https://lsnyc.legalserver.org/matter/dynamic-profile/view/1888058","19-1888058")</f>
        <v>0</v>
      </c>
      <c r="B4705" t="s">
        <v>262</v>
      </c>
      <c r="C4705" t="s">
        <v>340</v>
      </c>
      <c r="D4705" t="s">
        <v>685</v>
      </c>
      <c r="F4705" t="s">
        <v>1334</v>
      </c>
      <c r="G4705" t="s">
        <v>5694</v>
      </c>
      <c r="H4705" t="s">
        <v>13194</v>
      </c>
      <c r="I4705" t="s">
        <v>17306</v>
      </c>
      <c r="J4705" t="s">
        <v>18892</v>
      </c>
      <c r="K4705">
        <v>10460</v>
      </c>
      <c r="L4705" t="s">
        <v>18958</v>
      </c>
      <c r="M4705" t="s">
        <v>18958</v>
      </c>
      <c r="N4705" t="s">
        <v>22475</v>
      </c>
      <c r="O4705" t="s">
        <v>26523</v>
      </c>
      <c r="P4705" t="s">
        <v>26564</v>
      </c>
      <c r="R4705" t="s">
        <v>26577</v>
      </c>
      <c r="S4705" t="s">
        <v>18959</v>
      </c>
      <c r="U4705" t="s">
        <v>26604</v>
      </c>
      <c r="W4705" t="s">
        <v>685</v>
      </c>
      <c r="X4705">
        <v>1550</v>
      </c>
      <c r="Y4705" t="s">
        <v>26650</v>
      </c>
      <c r="Z4705" t="s">
        <v>26668</v>
      </c>
      <c r="AB4705" t="s">
        <v>26900</v>
      </c>
      <c r="AD4705" t="s">
        <v>40735</v>
      </c>
      <c r="AE4705">
        <v>20</v>
      </c>
      <c r="AF4705" t="s">
        <v>45541</v>
      </c>
      <c r="AG4705" t="s">
        <v>45557</v>
      </c>
      <c r="AH4705">
        <v>6</v>
      </c>
      <c r="AI4705">
        <v>1</v>
      </c>
      <c r="AJ4705">
        <v>1</v>
      </c>
      <c r="AK4705">
        <v>54.02</v>
      </c>
      <c r="AN4705" t="s">
        <v>7439</v>
      </c>
      <c r="AO4705">
        <v>8892</v>
      </c>
      <c r="AU4705">
        <v>3.2</v>
      </c>
      <c r="AV4705" t="s">
        <v>740</v>
      </c>
      <c r="AW4705" t="s">
        <v>336</v>
      </c>
    </row>
    <row r="4706" spans="1:49">
      <c r="A4706" s="1">
        <f>HYPERLINK("https://lsnyc.legalserver.org/matter/dynamic-profile/view/1888054","19-1888054")</f>
        <v>0</v>
      </c>
      <c r="B4706" t="s">
        <v>72</v>
      </c>
      <c r="C4706" t="s">
        <v>340</v>
      </c>
      <c r="D4706" t="s">
        <v>685</v>
      </c>
      <c r="F4706" t="s">
        <v>1283</v>
      </c>
      <c r="G4706" t="s">
        <v>7394</v>
      </c>
      <c r="H4706" t="s">
        <v>9675</v>
      </c>
      <c r="I4706" t="s">
        <v>17344</v>
      </c>
      <c r="J4706" t="s">
        <v>18893</v>
      </c>
      <c r="K4706">
        <v>10034</v>
      </c>
      <c r="L4706" t="s">
        <v>18958</v>
      </c>
      <c r="M4706" t="s">
        <v>18958</v>
      </c>
      <c r="O4706" t="s">
        <v>26529</v>
      </c>
      <c r="P4706" t="s">
        <v>26564</v>
      </c>
      <c r="R4706" t="s">
        <v>26578</v>
      </c>
      <c r="S4706" t="s">
        <v>18959</v>
      </c>
      <c r="U4706" t="s">
        <v>26604</v>
      </c>
      <c r="W4706" t="s">
        <v>685</v>
      </c>
      <c r="X4706">
        <v>800</v>
      </c>
      <c r="Y4706" t="s">
        <v>26651</v>
      </c>
      <c r="Z4706" t="s">
        <v>26661</v>
      </c>
      <c r="AB4706" t="s">
        <v>30547</v>
      </c>
      <c r="AE4706">
        <v>60</v>
      </c>
      <c r="AF4706" t="s">
        <v>45541</v>
      </c>
      <c r="AG4706" t="s">
        <v>45559</v>
      </c>
      <c r="AH4706">
        <v>35</v>
      </c>
      <c r="AI4706">
        <v>1</v>
      </c>
      <c r="AJ4706">
        <v>0</v>
      </c>
      <c r="AK4706">
        <v>83.03</v>
      </c>
      <c r="AN4706" t="s">
        <v>7439</v>
      </c>
      <c r="AO4706">
        <v>10080</v>
      </c>
      <c r="AU4706">
        <v>0.1</v>
      </c>
      <c r="AV4706" t="s">
        <v>685</v>
      </c>
      <c r="AW4706" t="s">
        <v>46840</v>
      </c>
    </row>
    <row r="4707" spans="1:49">
      <c r="A4707" s="1">
        <f>HYPERLINK("https://lsnyc.legalserver.org/matter/dynamic-profile/view/1888062","19-1888062")</f>
        <v>0</v>
      </c>
      <c r="B4707" t="s">
        <v>218</v>
      </c>
      <c r="C4707" t="s">
        <v>340</v>
      </c>
      <c r="D4707" t="s">
        <v>685</v>
      </c>
      <c r="F4707" t="s">
        <v>887</v>
      </c>
      <c r="G4707" t="s">
        <v>5402</v>
      </c>
      <c r="H4707" t="s">
        <v>12597</v>
      </c>
      <c r="I4707" t="s">
        <v>17284</v>
      </c>
      <c r="J4707" t="s">
        <v>18893</v>
      </c>
      <c r="K4707">
        <v>10032</v>
      </c>
      <c r="L4707" t="s">
        <v>18958</v>
      </c>
      <c r="M4707" t="s">
        <v>18958</v>
      </c>
      <c r="P4707" t="s">
        <v>26560</v>
      </c>
      <c r="R4707" t="s">
        <v>26578</v>
      </c>
      <c r="S4707" t="s">
        <v>18958</v>
      </c>
      <c r="U4707" t="s">
        <v>26604</v>
      </c>
      <c r="W4707" t="s">
        <v>685</v>
      </c>
      <c r="X4707">
        <v>550</v>
      </c>
      <c r="Y4707" t="s">
        <v>26651</v>
      </c>
      <c r="Z4707" t="s">
        <v>26661</v>
      </c>
      <c r="AB4707" t="s">
        <v>30548</v>
      </c>
      <c r="AD4707" t="s">
        <v>40736</v>
      </c>
      <c r="AE4707">
        <v>42</v>
      </c>
      <c r="AF4707" t="s">
        <v>45541</v>
      </c>
      <c r="AG4707" t="s">
        <v>45559</v>
      </c>
      <c r="AH4707">
        <v>35</v>
      </c>
      <c r="AI4707">
        <v>2</v>
      </c>
      <c r="AJ4707">
        <v>0</v>
      </c>
      <c r="AK4707">
        <v>53.22</v>
      </c>
      <c r="AN4707" t="s">
        <v>45581</v>
      </c>
      <c r="AO4707">
        <v>8760</v>
      </c>
      <c r="AU4707">
        <v>0</v>
      </c>
      <c r="AW4707" t="s">
        <v>46840</v>
      </c>
    </row>
    <row r="4708" spans="1:49">
      <c r="A4708" s="1">
        <f>HYPERLINK("https://lsnyc.legalserver.org/matter/dynamic-profile/view/1888028","19-1888028")</f>
        <v>0</v>
      </c>
      <c r="B4708" t="s">
        <v>218</v>
      </c>
      <c r="C4708" t="s">
        <v>340</v>
      </c>
      <c r="D4708" t="s">
        <v>685</v>
      </c>
      <c r="F4708" t="s">
        <v>3146</v>
      </c>
      <c r="G4708" t="s">
        <v>6561</v>
      </c>
      <c r="H4708" t="s">
        <v>12597</v>
      </c>
      <c r="I4708" t="s">
        <v>17278</v>
      </c>
      <c r="J4708" t="s">
        <v>18893</v>
      </c>
      <c r="K4708">
        <v>10032</v>
      </c>
      <c r="L4708" t="s">
        <v>18958</v>
      </c>
      <c r="M4708" t="s">
        <v>18958</v>
      </c>
      <c r="P4708" t="s">
        <v>26560</v>
      </c>
      <c r="R4708" t="s">
        <v>26578</v>
      </c>
      <c r="S4708" t="s">
        <v>18958</v>
      </c>
      <c r="U4708" t="s">
        <v>26604</v>
      </c>
      <c r="W4708" t="s">
        <v>685</v>
      </c>
      <c r="X4708">
        <v>689</v>
      </c>
      <c r="Y4708" t="s">
        <v>26651</v>
      </c>
      <c r="Z4708" t="s">
        <v>26661</v>
      </c>
      <c r="AB4708" t="s">
        <v>29137</v>
      </c>
      <c r="AD4708" t="s">
        <v>40737</v>
      </c>
      <c r="AE4708">
        <v>42</v>
      </c>
      <c r="AF4708" t="s">
        <v>45541</v>
      </c>
      <c r="AG4708" t="s">
        <v>19330</v>
      </c>
      <c r="AH4708">
        <v>50</v>
      </c>
      <c r="AI4708">
        <v>3</v>
      </c>
      <c r="AJ4708">
        <v>2</v>
      </c>
      <c r="AK4708">
        <v>53.96</v>
      </c>
      <c r="AN4708" t="s">
        <v>45581</v>
      </c>
      <c r="AO4708">
        <v>15876</v>
      </c>
      <c r="AU4708">
        <v>0</v>
      </c>
      <c r="AW4708" t="s">
        <v>46840</v>
      </c>
    </row>
    <row r="4709" spans="1:49">
      <c r="A4709" s="1">
        <f>HYPERLINK("https://lsnyc.legalserver.org/matter/dynamic-profile/view/1888064","19-1888064")</f>
        <v>0</v>
      </c>
      <c r="B4709" t="s">
        <v>218</v>
      </c>
      <c r="C4709" t="s">
        <v>340</v>
      </c>
      <c r="D4709" t="s">
        <v>685</v>
      </c>
      <c r="F4709" t="s">
        <v>887</v>
      </c>
      <c r="G4709" t="s">
        <v>7395</v>
      </c>
      <c r="H4709" t="s">
        <v>12597</v>
      </c>
      <c r="I4709" t="s">
        <v>17275</v>
      </c>
      <c r="J4709" t="s">
        <v>18893</v>
      </c>
      <c r="K4709">
        <v>10032</v>
      </c>
      <c r="L4709" t="s">
        <v>18958</v>
      </c>
      <c r="M4709" t="s">
        <v>18958</v>
      </c>
      <c r="P4709" t="s">
        <v>26560</v>
      </c>
      <c r="R4709" t="s">
        <v>26578</v>
      </c>
      <c r="S4709" t="s">
        <v>18958</v>
      </c>
      <c r="U4709" t="s">
        <v>26604</v>
      </c>
      <c r="W4709" t="s">
        <v>685</v>
      </c>
      <c r="X4709">
        <v>768.22</v>
      </c>
      <c r="Y4709" t="s">
        <v>26651</v>
      </c>
      <c r="Z4709" t="s">
        <v>26661</v>
      </c>
      <c r="AB4709" t="s">
        <v>30549</v>
      </c>
      <c r="AE4709">
        <v>42</v>
      </c>
      <c r="AF4709" t="s">
        <v>45541</v>
      </c>
      <c r="AG4709" t="s">
        <v>19330</v>
      </c>
      <c r="AH4709">
        <v>39</v>
      </c>
      <c r="AI4709">
        <v>2</v>
      </c>
      <c r="AJ4709">
        <v>0</v>
      </c>
      <c r="AK4709">
        <v>54.09</v>
      </c>
      <c r="AN4709" t="s">
        <v>45581</v>
      </c>
      <c r="AO4709">
        <v>8904</v>
      </c>
      <c r="AU4709">
        <v>0</v>
      </c>
      <c r="AW4709" t="s">
        <v>46840</v>
      </c>
    </row>
    <row r="4710" spans="1:49">
      <c r="A4710" s="1">
        <f>HYPERLINK("https://lsnyc.legalserver.org/matter/dynamic-profile/view/1888033","19-1888033")</f>
        <v>0</v>
      </c>
      <c r="B4710" t="s">
        <v>218</v>
      </c>
      <c r="C4710" t="s">
        <v>340</v>
      </c>
      <c r="D4710" t="s">
        <v>685</v>
      </c>
      <c r="F4710" t="s">
        <v>3147</v>
      </c>
      <c r="G4710" t="s">
        <v>7396</v>
      </c>
      <c r="H4710" t="s">
        <v>12597</v>
      </c>
      <c r="I4710" t="s">
        <v>17283</v>
      </c>
      <c r="J4710" t="s">
        <v>18893</v>
      </c>
      <c r="K4710">
        <v>10032</v>
      </c>
      <c r="L4710" t="s">
        <v>18958</v>
      </c>
      <c r="M4710" t="s">
        <v>18958</v>
      </c>
      <c r="P4710" t="s">
        <v>26560</v>
      </c>
      <c r="R4710" t="s">
        <v>26578</v>
      </c>
      <c r="S4710" t="s">
        <v>18958</v>
      </c>
      <c r="U4710" t="s">
        <v>26604</v>
      </c>
      <c r="W4710" t="s">
        <v>685</v>
      </c>
      <c r="X4710">
        <v>982.2</v>
      </c>
      <c r="Y4710" t="s">
        <v>26651</v>
      </c>
      <c r="Z4710" t="s">
        <v>26661</v>
      </c>
      <c r="AB4710" t="s">
        <v>30550</v>
      </c>
      <c r="AD4710" t="s">
        <v>40738</v>
      </c>
      <c r="AE4710">
        <v>42</v>
      </c>
      <c r="AF4710" t="s">
        <v>45541</v>
      </c>
      <c r="AG4710" t="s">
        <v>45556</v>
      </c>
      <c r="AH4710">
        <v>37</v>
      </c>
      <c r="AI4710">
        <v>2</v>
      </c>
      <c r="AJ4710">
        <v>0</v>
      </c>
      <c r="AK4710">
        <v>58.32</v>
      </c>
      <c r="AN4710" t="s">
        <v>45581</v>
      </c>
      <c r="AO4710">
        <v>9600</v>
      </c>
      <c r="AU4710">
        <v>0</v>
      </c>
      <c r="AW4710" t="s">
        <v>46840</v>
      </c>
    </row>
    <row r="4711" spans="1:49">
      <c r="A4711" s="1">
        <f>HYPERLINK("https://lsnyc.legalserver.org/matter/dynamic-profile/view/1888040","19-1888040")</f>
        <v>0</v>
      </c>
      <c r="B4711" t="s">
        <v>218</v>
      </c>
      <c r="C4711" t="s">
        <v>340</v>
      </c>
      <c r="D4711" t="s">
        <v>685</v>
      </c>
      <c r="F4711" t="s">
        <v>940</v>
      </c>
      <c r="G4711" t="s">
        <v>7397</v>
      </c>
      <c r="H4711" t="s">
        <v>12597</v>
      </c>
      <c r="I4711" t="s">
        <v>17312</v>
      </c>
      <c r="J4711" t="s">
        <v>18893</v>
      </c>
      <c r="K4711">
        <v>10032</v>
      </c>
      <c r="L4711" t="s">
        <v>18958</v>
      </c>
      <c r="M4711" t="s">
        <v>18958</v>
      </c>
      <c r="P4711" t="s">
        <v>26560</v>
      </c>
      <c r="R4711" t="s">
        <v>26578</v>
      </c>
      <c r="S4711" t="s">
        <v>18958</v>
      </c>
      <c r="U4711" t="s">
        <v>26604</v>
      </c>
      <c r="W4711" t="s">
        <v>685</v>
      </c>
      <c r="X4711">
        <v>1299</v>
      </c>
      <c r="Y4711" t="s">
        <v>26651</v>
      </c>
      <c r="Z4711" t="s">
        <v>26661</v>
      </c>
      <c r="AB4711" t="s">
        <v>30551</v>
      </c>
      <c r="AE4711">
        <v>42</v>
      </c>
      <c r="AF4711" t="s">
        <v>45541</v>
      </c>
      <c r="AG4711" t="s">
        <v>45556</v>
      </c>
      <c r="AH4711">
        <v>0</v>
      </c>
      <c r="AI4711">
        <v>4</v>
      </c>
      <c r="AJ4711">
        <v>0</v>
      </c>
      <c r="AK4711">
        <v>59.76</v>
      </c>
      <c r="AN4711" t="s">
        <v>45581</v>
      </c>
      <c r="AO4711">
        <v>15000</v>
      </c>
      <c r="AU4711">
        <v>0</v>
      </c>
      <c r="AW4711" t="s">
        <v>46840</v>
      </c>
    </row>
    <row r="4712" spans="1:49">
      <c r="A4712" s="1">
        <f>HYPERLINK("https://lsnyc.legalserver.org/matter/dynamic-profile/view/1888071","19-1888071")</f>
        <v>0</v>
      </c>
      <c r="B4712" t="s">
        <v>218</v>
      </c>
      <c r="C4712" t="s">
        <v>340</v>
      </c>
      <c r="D4712" t="s">
        <v>685</v>
      </c>
      <c r="F4712" t="s">
        <v>1032</v>
      </c>
      <c r="G4712" t="s">
        <v>5330</v>
      </c>
      <c r="H4712" t="s">
        <v>12597</v>
      </c>
      <c r="I4712" t="s">
        <v>17390</v>
      </c>
      <c r="J4712" t="s">
        <v>18893</v>
      </c>
      <c r="K4712">
        <v>10032</v>
      </c>
      <c r="L4712" t="s">
        <v>18958</v>
      </c>
      <c r="M4712" t="s">
        <v>18958</v>
      </c>
      <c r="P4712" t="s">
        <v>26560</v>
      </c>
      <c r="R4712" t="s">
        <v>26578</v>
      </c>
      <c r="S4712" t="s">
        <v>18959</v>
      </c>
      <c r="U4712" t="s">
        <v>26604</v>
      </c>
      <c r="W4712" t="s">
        <v>685</v>
      </c>
      <c r="X4712">
        <v>921.22</v>
      </c>
      <c r="Y4712" t="s">
        <v>26651</v>
      </c>
      <c r="Z4712" t="s">
        <v>26661</v>
      </c>
      <c r="AB4712" t="s">
        <v>30552</v>
      </c>
      <c r="AE4712">
        <v>42</v>
      </c>
      <c r="AF4712" t="s">
        <v>45541</v>
      </c>
      <c r="AG4712" t="s">
        <v>19330</v>
      </c>
      <c r="AH4712">
        <v>0</v>
      </c>
      <c r="AI4712">
        <v>3</v>
      </c>
      <c r="AJ4712">
        <v>0</v>
      </c>
      <c r="AK4712">
        <v>78.42</v>
      </c>
      <c r="AN4712" t="s">
        <v>45581</v>
      </c>
      <c r="AO4712">
        <v>16296</v>
      </c>
      <c r="AU4712">
        <v>0</v>
      </c>
      <c r="AW4712" t="s">
        <v>46840</v>
      </c>
    </row>
    <row r="4713" spans="1:49">
      <c r="A4713" s="1">
        <f>HYPERLINK("https://lsnyc.legalserver.org/matter/dynamic-profile/view/1888044","19-1888044")</f>
        <v>0</v>
      </c>
      <c r="B4713" t="s">
        <v>218</v>
      </c>
      <c r="C4713" t="s">
        <v>340</v>
      </c>
      <c r="D4713" t="s">
        <v>685</v>
      </c>
      <c r="F4713" t="s">
        <v>2828</v>
      </c>
      <c r="G4713" t="s">
        <v>7398</v>
      </c>
      <c r="H4713" t="s">
        <v>12597</v>
      </c>
      <c r="I4713" t="s">
        <v>17406</v>
      </c>
      <c r="J4713" t="s">
        <v>18893</v>
      </c>
      <c r="K4713">
        <v>10032</v>
      </c>
      <c r="L4713" t="s">
        <v>18958</v>
      </c>
      <c r="M4713" t="s">
        <v>18958</v>
      </c>
      <c r="P4713" t="s">
        <v>26560</v>
      </c>
      <c r="R4713" t="s">
        <v>26578</v>
      </c>
      <c r="S4713" t="s">
        <v>18958</v>
      </c>
      <c r="U4713" t="s">
        <v>26604</v>
      </c>
      <c r="W4713" t="s">
        <v>685</v>
      </c>
      <c r="X4713">
        <v>858.16</v>
      </c>
      <c r="Y4713" t="s">
        <v>26651</v>
      </c>
      <c r="Z4713" t="s">
        <v>26661</v>
      </c>
      <c r="AB4713" t="s">
        <v>30553</v>
      </c>
      <c r="AE4713">
        <v>42</v>
      </c>
      <c r="AF4713" t="s">
        <v>45541</v>
      </c>
      <c r="AG4713" t="s">
        <v>19330</v>
      </c>
      <c r="AH4713">
        <v>35</v>
      </c>
      <c r="AI4713">
        <v>1</v>
      </c>
      <c r="AJ4713">
        <v>1</v>
      </c>
      <c r="AK4713">
        <v>102.99</v>
      </c>
      <c r="AN4713" t="s">
        <v>45581</v>
      </c>
      <c r="AO4713">
        <v>16952</v>
      </c>
      <c r="AU4713">
        <v>0.6</v>
      </c>
      <c r="AV4713" t="s">
        <v>729</v>
      </c>
      <c r="AW4713" t="s">
        <v>46840</v>
      </c>
    </row>
    <row r="4714" spans="1:49">
      <c r="A4714" s="1">
        <f>HYPERLINK("https://lsnyc.legalserver.org/matter/dynamic-profile/view/1888018","19-1888018")</f>
        <v>0</v>
      </c>
      <c r="B4714" t="s">
        <v>121</v>
      </c>
      <c r="C4714" t="s">
        <v>340</v>
      </c>
      <c r="D4714" t="s">
        <v>685</v>
      </c>
      <c r="F4714" t="s">
        <v>2774</v>
      </c>
      <c r="G4714" t="s">
        <v>5100</v>
      </c>
      <c r="H4714" t="s">
        <v>13195</v>
      </c>
      <c r="I4714">
        <v>510</v>
      </c>
      <c r="J4714" t="s">
        <v>18892</v>
      </c>
      <c r="K4714">
        <v>10468</v>
      </c>
      <c r="L4714" t="s">
        <v>18958</v>
      </c>
      <c r="M4714" t="s">
        <v>18958</v>
      </c>
      <c r="N4714" t="s">
        <v>22476</v>
      </c>
      <c r="O4714" t="s">
        <v>26523</v>
      </c>
      <c r="P4714" t="s">
        <v>26560</v>
      </c>
      <c r="R4714" t="s">
        <v>26579</v>
      </c>
      <c r="U4714" t="s">
        <v>26604</v>
      </c>
      <c r="V4714" t="s">
        <v>26610</v>
      </c>
      <c r="W4714" t="s">
        <v>685</v>
      </c>
      <c r="X4714">
        <v>1643</v>
      </c>
      <c r="Y4714" t="s">
        <v>26650</v>
      </c>
      <c r="Z4714" t="s">
        <v>26664</v>
      </c>
      <c r="AB4714" t="s">
        <v>30554</v>
      </c>
      <c r="AC4714" t="s">
        <v>35833</v>
      </c>
      <c r="AD4714" t="s">
        <v>40739</v>
      </c>
      <c r="AE4714">
        <v>0</v>
      </c>
      <c r="AF4714" t="s">
        <v>45541</v>
      </c>
      <c r="AG4714" t="s">
        <v>45557</v>
      </c>
      <c r="AH4714">
        <v>5</v>
      </c>
      <c r="AI4714">
        <v>1</v>
      </c>
      <c r="AJ4714">
        <v>3</v>
      </c>
      <c r="AK4714">
        <v>53.86</v>
      </c>
      <c r="AN4714" t="s">
        <v>7439</v>
      </c>
      <c r="AO4714">
        <v>13520</v>
      </c>
      <c r="AU4714">
        <v>9.35</v>
      </c>
      <c r="AV4714" t="s">
        <v>817</v>
      </c>
      <c r="AW4714" t="s">
        <v>334</v>
      </c>
    </row>
    <row r="4715" spans="1:49">
      <c r="A4715" s="1">
        <f>HYPERLINK("https://lsnyc.legalserver.org/matter/dynamic-profile/view/1888105","19-1888105")</f>
        <v>0</v>
      </c>
      <c r="B4715" t="s">
        <v>114</v>
      </c>
      <c r="C4715" t="s">
        <v>340</v>
      </c>
      <c r="D4715" t="s">
        <v>685</v>
      </c>
      <c r="F4715" t="s">
        <v>2967</v>
      </c>
      <c r="G4715" t="s">
        <v>5863</v>
      </c>
      <c r="H4715" t="s">
        <v>13196</v>
      </c>
      <c r="I4715" t="s">
        <v>17333</v>
      </c>
      <c r="J4715" t="s">
        <v>7026</v>
      </c>
      <c r="K4715">
        <v>11368</v>
      </c>
      <c r="L4715" t="s">
        <v>18958</v>
      </c>
      <c r="M4715" t="s">
        <v>18958</v>
      </c>
      <c r="N4715" t="s">
        <v>22477</v>
      </c>
      <c r="O4715" t="s">
        <v>26523</v>
      </c>
      <c r="P4715" t="s">
        <v>26560</v>
      </c>
      <c r="R4715" t="s">
        <v>26584</v>
      </c>
      <c r="S4715" t="s">
        <v>18959</v>
      </c>
      <c r="U4715" t="s">
        <v>26604</v>
      </c>
      <c r="W4715" t="s">
        <v>685</v>
      </c>
      <c r="X4715">
        <v>0</v>
      </c>
      <c r="Y4715" t="s">
        <v>26653</v>
      </c>
      <c r="Z4715" t="s">
        <v>26664</v>
      </c>
      <c r="AB4715" t="s">
        <v>30555</v>
      </c>
      <c r="AC4715" t="s">
        <v>35834</v>
      </c>
      <c r="AD4715" t="s">
        <v>40740</v>
      </c>
      <c r="AE4715">
        <v>0</v>
      </c>
      <c r="AH4715">
        <v>0</v>
      </c>
      <c r="AI4715">
        <v>2</v>
      </c>
      <c r="AJ4715">
        <v>3</v>
      </c>
      <c r="AK4715">
        <v>106.05</v>
      </c>
      <c r="AN4715" t="s">
        <v>45581</v>
      </c>
      <c r="AO4715">
        <v>31200</v>
      </c>
      <c r="AU4715">
        <v>34.55</v>
      </c>
      <c r="AV4715" t="s">
        <v>821</v>
      </c>
      <c r="AW4715" t="s">
        <v>208</v>
      </c>
    </row>
    <row r="4716" spans="1:49">
      <c r="A4716" s="1">
        <f>HYPERLINK("https://lsnyc.legalserver.org/matter/dynamic-profile/view/1888423","19-1888423")</f>
        <v>0</v>
      </c>
      <c r="B4716" t="s">
        <v>147</v>
      </c>
      <c r="C4716" t="s">
        <v>340</v>
      </c>
      <c r="D4716" t="s">
        <v>719</v>
      </c>
      <c r="F4716" t="s">
        <v>1428</v>
      </c>
      <c r="G4716" t="s">
        <v>5208</v>
      </c>
      <c r="H4716" t="s">
        <v>12128</v>
      </c>
      <c r="J4716" t="s">
        <v>18894</v>
      </c>
      <c r="K4716">
        <v>11231</v>
      </c>
      <c r="L4716" t="s">
        <v>18958</v>
      </c>
      <c r="M4716" t="s">
        <v>18958</v>
      </c>
      <c r="N4716" t="s">
        <v>22478</v>
      </c>
      <c r="O4716" t="s">
        <v>26523</v>
      </c>
      <c r="P4716" t="s">
        <v>26560</v>
      </c>
      <c r="R4716" t="s">
        <v>26578</v>
      </c>
      <c r="S4716" t="s">
        <v>18959</v>
      </c>
      <c r="U4716" t="s">
        <v>26604</v>
      </c>
      <c r="V4716" t="s">
        <v>26610</v>
      </c>
      <c r="W4716" t="s">
        <v>685</v>
      </c>
      <c r="X4716">
        <v>787</v>
      </c>
      <c r="Y4716" t="s">
        <v>26652</v>
      </c>
      <c r="AB4716" t="s">
        <v>29410</v>
      </c>
      <c r="AD4716" t="s">
        <v>39469</v>
      </c>
      <c r="AE4716">
        <v>9</v>
      </c>
      <c r="AF4716" t="s">
        <v>45541</v>
      </c>
      <c r="AH4716">
        <v>20</v>
      </c>
      <c r="AI4716">
        <v>2</v>
      </c>
      <c r="AJ4716">
        <v>0</v>
      </c>
      <c r="AK4716">
        <v>100.44</v>
      </c>
      <c r="AN4716" t="s">
        <v>7439</v>
      </c>
      <c r="AO4716">
        <v>16532</v>
      </c>
      <c r="AU4716">
        <v>74.90000000000001</v>
      </c>
      <c r="AV4716" t="s">
        <v>838</v>
      </c>
      <c r="AW4716" t="s">
        <v>219</v>
      </c>
    </row>
    <row r="4717" spans="1:49">
      <c r="A4717" s="1">
        <f>HYPERLINK("https://lsnyc.legalserver.org/matter/dynamic-profile/view/1888629","19-1888629")</f>
        <v>0</v>
      </c>
      <c r="B4717" t="s">
        <v>243</v>
      </c>
      <c r="C4717" t="s">
        <v>340</v>
      </c>
      <c r="D4717" t="s">
        <v>707</v>
      </c>
      <c r="F4717" t="s">
        <v>993</v>
      </c>
      <c r="G4717" t="s">
        <v>6757</v>
      </c>
      <c r="H4717" t="s">
        <v>12112</v>
      </c>
      <c r="J4717" t="s">
        <v>18894</v>
      </c>
      <c r="K4717">
        <v>11215</v>
      </c>
      <c r="L4717" t="s">
        <v>18958</v>
      </c>
      <c r="M4717" t="s">
        <v>18958</v>
      </c>
      <c r="N4717" t="s">
        <v>22479</v>
      </c>
      <c r="O4717" t="s">
        <v>26524</v>
      </c>
      <c r="P4717" t="s">
        <v>26560</v>
      </c>
      <c r="R4717" t="s">
        <v>26578</v>
      </c>
      <c r="S4717" t="s">
        <v>18959</v>
      </c>
      <c r="U4717" t="s">
        <v>26604</v>
      </c>
      <c r="W4717" t="s">
        <v>685</v>
      </c>
      <c r="X4717">
        <v>153.7</v>
      </c>
      <c r="Y4717" t="s">
        <v>26652</v>
      </c>
      <c r="AB4717" t="s">
        <v>29394</v>
      </c>
      <c r="AD4717" t="s">
        <v>40741</v>
      </c>
      <c r="AE4717">
        <v>0</v>
      </c>
      <c r="AH4717">
        <v>60</v>
      </c>
      <c r="AI4717">
        <v>2</v>
      </c>
      <c r="AJ4717">
        <v>0</v>
      </c>
      <c r="AK4717">
        <v>196.57</v>
      </c>
      <c r="AO4717">
        <v>33240</v>
      </c>
      <c r="AU4717">
        <v>2.7</v>
      </c>
      <c r="AV4717" t="s">
        <v>826</v>
      </c>
      <c r="AW4717" t="s">
        <v>219</v>
      </c>
    </row>
    <row r="4718" spans="1:49">
      <c r="A4718" s="1">
        <f>HYPERLINK("https://lsnyc.legalserver.org/matter/dynamic-profile/view/1888601","19-1888601")</f>
        <v>0</v>
      </c>
      <c r="B4718" t="s">
        <v>243</v>
      </c>
      <c r="C4718" t="s">
        <v>340</v>
      </c>
      <c r="D4718" t="s">
        <v>694</v>
      </c>
      <c r="F4718" t="s">
        <v>993</v>
      </c>
      <c r="G4718" t="s">
        <v>6757</v>
      </c>
      <c r="H4718" t="s">
        <v>12112</v>
      </c>
      <c r="I4718">
        <v>1</v>
      </c>
      <c r="J4718" t="s">
        <v>18894</v>
      </c>
      <c r="K4718">
        <v>11215</v>
      </c>
      <c r="L4718" t="s">
        <v>18958</v>
      </c>
      <c r="M4718" t="s">
        <v>18958</v>
      </c>
      <c r="O4718" t="s">
        <v>18997</v>
      </c>
      <c r="P4718" t="s">
        <v>26560</v>
      </c>
      <c r="R4718" t="s">
        <v>26578</v>
      </c>
      <c r="U4718" t="s">
        <v>26604</v>
      </c>
      <c r="W4718" t="s">
        <v>685</v>
      </c>
      <c r="X4718">
        <v>153.7</v>
      </c>
      <c r="Y4718" t="s">
        <v>26652</v>
      </c>
      <c r="AB4718" t="s">
        <v>29394</v>
      </c>
      <c r="AD4718" t="s">
        <v>40741</v>
      </c>
      <c r="AE4718">
        <v>0</v>
      </c>
      <c r="AH4718">
        <v>60</v>
      </c>
      <c r="AI4718">
        <v>2</v>
      </c>
      <c r="AJ4718">
        <v>0</v>
      </c>
      <c r="AK4718">
        <v>196.57</v>
      </c>
      <c r="AN4718" t="s">
        <v>7439</v>
      </c>
      <c r="AO4718">
        <v>33240</v>
      </c>
      <c r="AU4718">
        <v>2.6</v>
      </c>
      <c r="AV4718" t="s">
        <v>817</v>
      </c>
      <c r="AW4718" t="s">
        <v>219</v>
      </c>
    </row>
    <row r="4719" spans="1:49">
      <c r="A4719" s="1">
        <f>HYPERLINK("https://lsnyc.legalserver.org/matter/dynamic-profile/view/1892356","19-1892356")</f>
        <v>0</v>
      </c>
      <c r="B4719" t="s">
        <v>83</v>
      </c>
      <c r="C4719" t="s">
        <v>340</v>
      </c>
      <c r="D4719" t="s">
        <v>416</v>
      </c>
      <c r="F4719" t="s">
        <v>974</v>
      </c>
      <c r="G4719" t="s">
        <v>7399</v>
      </c>
      <c r="H4719" t="s">
        <v>13197</v>
      </c>
      <c r="I4719" t="s">
        <v>17274</v>
      </c>
      <c r="J4719" t="s">
        <v>18894</v>
      </c>
      <c r="K4719">
        <v>11217</v>
      </c>
      <c r="L4719" t="s">
        <v>18958</v>
      </c>
      <c r="M4719" t="s">
        <v>18958</v>
      </c>
      <c r="N4719" t="s">
        <v>22480</v>
      </c>
      <c r="O4719" t="s">
        <v>26523</v>
      </c>
      <c r="P4719" t="s">
        <v>26565</v>
      </c>
      <c r="R4719" t="s">
        <v>26578</v>
      </c>
      <c r="S4719" t="s">
        <v>18959</v>
      </c>
      <c r="U4719" t="s">
        <v>26604</v>
      </c>
      <c r="V4719" t="s">
        <v>26610</v>
      </c>
      <c r="W4719" t="s">
        <v>685</v>
      </c>
      <c r="X4719">
        <v>431</v>
      </c>
      <c r="Y4719" t="s">
        <v>26652</v>
      </c>
      <c r="Z4719" t="s">
        <v>26661</v>
      </c>
      <c r="AB4719" t="s">
        <v>30556</v>
      </c>
      <c r="AC4719" t="s">
        <v>19330</v>
      </c>
      <c r="AD4719" t="s">
        <v>40742</v>
      </c>
      <c r="AE4719">
        <v>7</v>
      </c>
      <c r="AF4719" t="s">
        <v>45541</v>
      </c>
      <c r="AG4719" t="s">
        <v>45556</v>
      </c>
      <c r="AH4719">
        <v>0</v>
      </c>
      <c r="AI4719">
        <v>1</v>
      </c>
      <c r="AJ4719">
        <v>0</v>
      </c>
      <c r="AK4719">
        <v>120.1</v>
      </c>
      <c r="AN4719" t="s">
        <v>7439</v>
      </c>
      <c r="AO4719">
        <v>15000</v>
      </c>
      <c r="AU4719">
        <v>0</v>
      </c>
      <c r="AW4719" t="s">
        <v>279</v>
      </c>
    </row>
    <row r="4720" spans="1:49">
      <c r="A4720" s="1">
        <f>HYPERLINK("https://lsnyc.legalserver.org/matter/dynamic-profile/view/1892345","19-1892345")</f>
        <v>0</v>
      </c>
      <c r="B4720" t="s">
        <v>83</v>
      </c>
      <c r="C4720" t="s">
        <v>340</v>
      </c>
      <c r="D4720" t="s">
        <v>416</v>
      </c>
      <c r="F4720" t="s">
        <v>2473</v>
      </c>
      <c r="G4720" t="s">
        <v>3173</v>
      </c>
      <c r="H4720" t="s">
        <v>11992</v>
      </c>
      <c r="I4720" t="s">
        <v>17277</v>
      </c>
      <c r="J4720" t="s">
        <v>18894</v>
      </c>
      <c r="K4720">
        <v>11233</v>
      </c>
      <c r="L4720" t="s">
        <v>18958</v>
      </c>
      <c r="M4720" t="s">
        <v>18958</v>
      </c>
      <c r="N4720" t="s">
        <v>19330</v>
      </c>
      <c r="O4720" t="s">
        <v>26531</v>
      </c>
      <c r="P4720" t="s">
        <v>26565</v>
      </c>
      <c r="R4720" t="s">
        <v>26578</v>
      </c>
      <c r="S4720" t="s">
        <v>18958</v>
      </c>
      <c r="U4720" t="s">
        <v>26604</v>
      </c>
      <c r="V4720" t="s">
        <v>26610</v>
      </c>
      <c r="W4720" t="s">
        <v>685</v>
      </c>
      <c r="X4720">
        <v>733.64</v>
      </c>
      <c r="Y4720" t="s">
        <v>26652</v>
      </c>
      <c r="Z4720" t="s">
        <v>26661</v>
      </c>
      <c r="AB4720" t="s">
        <v>29271</v>
      </c>
      <c r="AC4720" t="s">
        <v>19330</v>
      </c>
      <c r="AD4720" t="s">
        <v>39323</v>
      </c>
      <c r="AE4720">
        <v>32</v>
      </c>
      <c r="AF4720" t="s">
        <v>45541</v>
      </c>
      <c r="AG4720" t="s">
        <v>19330</v>
      </c>
      <c r="AH4720">
        <v>5</v>
      </c>
      <c r="AI4720">
        <v>1</v>
      </c>
      <c r="AJ4720">
        <v>1</v>
      </c>
      <c r="AK4720">
        <v>149.76</v>
      </c>
      <c r="AN4720" t="s">
        <v>7439</v>
      </c>
      <c r="AO4720">
        <v>25324</v>
      </c>
      <c r="AP4720" t="s">
        <v>45834</v>
      </c>
      <c r="AU4720">
        <v>0</v>
      </c>
      <c r="AW4720" t="s">
        <v>279</v>
      </c>
    </row>
    <row r="4721" spans="1:50">
      <c r="A4721" s="1">
        <f>HYPERLINK("https://lsnyc.legalserver.org/matter/dynamic-profile/view/1856114","18-1856114")</f>
        <v>0</v>
      </c>
      <c r="B4721" t="s">
        <v>51</v>
      </c>
      <c r="C4721" t="s">
        <v>340</v>
      </c>
      <c r="D4721" t="s">
        <v>595</v>
      </c>
      <c r="F4721" t="s">
        <v>1323</v>
      </c>
      <c r="G4721" t="s">
        <v>7400</v>
      </c>
      <c r="H4721" t="s">
        <v>13198</v>
      </c>
      <c r="I4721" t="s">
        <v>18144</v>
      </c>
      <c r="J4721" t="s">
        <v>18892</v>
      </c>
      <c r="K4721">
        <v>10456</v>
      </c>
      <c r="L4721" t="s">
        <v>18958</v>
      </c>
      <c r="M4721" t="s">
        <v>18960</v>
      </c>
      <c r="N4721" t="s">
        <v>22481</v>
      </c>
      <c r="O4721" t="s">
        <v>26524</v>
      </c>
      <c r="P4721" t="s">
        <v>26560</v>
      </c>
      <c r="R4721" t="s">
        <v>26577</v>
      </c>
      <c r="U4721" t="s">
        <v>26604</v>
      </c>
      <c r="V4721" t="s">
        <v>26610</v>
      </c>
      <c r="W4721" t="s">
        <v>726</v>
      </c>
      <c r="X4721">
        <v>986</v>
      </c>
      <c r="Y4721" t="s">
        <v>26650</v>
      </c>
      <c r="Z4721" t="s">
        <v>26656</v>
      </c>
      <c r="AB4721" t="s">
        <v>30557</v>
      </c>
      <c r="AC4721" t="s">
        <v>35835</v>
      </c>
      <c r="AD4721" t="s">
        <v>40743</v>
      </c>
      <c r="AE4721">
        <v>0</v>
      </c>
      <c r="AF4721" t="s">
        <v>45554</v>
      </c>
      <c r="AG4721" t="s">
        <v>26530</v>
      </c>
      <c r="AH4721">
        <v>12</v>
      </c>
      <c r="AI4721">
        <v>1</v>
      </c>
      <c r="AJ4721">
        <v>0</v>
      </c>
      <c r="AK4721">
        <v>83.58</v>
      </c>
      <c r="AN4721" t="s">
        <v>45581</v>
      </c>
      <c r="AO4721">
        <v>10080</v>
      </c>
      <c r="AP4721" t="s">
        <v>45617</v>
      </c>
      <c r="AU4721">
        <v>75.2</v>
      </c>
      <c r="AV4721" t="s">
        <v>834</v>
      </c>
      <c r="AW4721" t="s">
        <v>336</v>
      </c>
    </row>
    <row r="4722" spans="1:50">
      <c r="A4722" s="1">
        <f>HYPERLINK("https://lsnyc.legalserver.org/matter/dynamic-profile/view/1884786","18-1884786")</f>
        <v>0</v>
      </c>
      <c r="B4722" t="s">
        <v>93</v>
      </c>
      <c r="C4722" t="s">
        <v>341</v>
      </c>
      <c r="D4722" t="s">
        <v>682</v>
      </c>
      <c r="E4722" t="s">
        <v>802</v>
      </c>
      <c r="F4722" t="s">
        <v>1021</v>
      </c>
      <c r="G4722" t="s">
        <v>7401</v>
      </c>
      <c r="H4722" t="s">
        <v>13199</v>
      </c>
      <c r="I4722" t="s">
        <v>17390</v>
      </c>
      <c r="J4722" t="s">
        <v>18906</v>
      </c>
      <c r="K4722">
        <v>11373</v>
      </c>
      <c r="L4722" t="s">
        <v>18958</v>
      </c>
      <c r="M4722" t="s">
        <v>18960</v>
      </c>
      <c r="N4722" t="s">
        <v>22482</v>
      </c>
      <c r="O4722" t="s">
        <v>26524</v>
      </c>
      <c r="P4722" t="s">
        <v>26560</v>
      </c>
      <c r="Q4722" t="s">
        <v>26568</v>
      </c>
      <c r="R4722" t="s">
        <v>26585</v>
      </c>
      <c r="S4722" t="s">
        <v>18958</v>
      </c>
      <c r="U4722" t="s">
        <v>26604</v>
      </c>
      <c r="W4722" t="s">
        <v>726</v>
      </c>
      <c r="X4722">
        <v>1350</v>
      </c>
      <c r="Y4722" t="s">
        <v>26653</v>
      </c>
      <c r="Z4722" t="s">
        <v>26668</v>
      </c>
      <c r="AA4722" t="s">
        <v>26678</v>
      </c>
      <c r="AB4722" t="s">
        <v>30558</v>
      </c>
      <c r="AC4722" t="s">
        <v>19045</v>
      </c>
      <c r="AD4722" t="s">
        <v>40744</v>
      </c>
      <c r="AE4722">
        <v>30</v>
      </c>
      <c r="AF4722" t="s">
        <v>45547</v>
      </c>
      <c r="AH4722">
        <v>8</v>
      </c>
      <c r="AI4722">
        <v>2</v>
      </c>
      <c r="AJ4722">
        <v>2</v>
      </c>
      <c r="AK4722">
        <v>143.43</v>
      </c>
      <c r="AN4722" t="s">
        <v>7439</v>
      </c>
      <c r="AO4722">
        <v>36000</v>
      </c>
      <c r="AR4722" t="s">
        <v>46379</v>
      </c>
      <c r="AS4722" t="s">
        <v>46499</v>
      </c>
      <c r="AT4722" t="s">
        <v>46636</v>
      </c>
      <c r="AU4722">
        <v>2.5</v>
      </c>
      <c r="AV4722" t="s">
        <v>726</v>
      </c>
      <c r="AW4722" t="s">
        <v>85</v>
      </c>
    </row>
    <row r="4723" spans="1:50">
      <c r="A4723" s="1">
        <f>HYPERLINK("https://lsnyc.legalserver.org/matter/dynamic-profile/view/1884926","18-1884926")</f>
        <v>0</v>
      </c>
      <c r="B4723" t="s">
        <v>54</v>
      </c>
      <c r="C4723" t="s">
        <v>341</v>
      </c>
      <c r="D4723" t="s">
        <v>518</v>
      </c>
      <c r="E4723" t="s">
        <v>744</v>
      </c>
      <c r="F4723" t="s">
        <v>3148</v>
      </c>
      <c r="G4723" t="s">
        <v>3798</v>
      </c>
      <c r="H4723" t="s">
        <v>13200</v>
      </c>
      <c r="I4723" t="s">
        <v>17293</v>
      </c>
      <c r="J4723" t="s">
        <v>18892</v>
      </c>
      <c r="K4723">
        <v>10467</v>
      </c>
      <c r="L4723" t="s">
        <v>18958</v>
      </c>
      <c r="M4723" t="s">
        <v>18958</v>
      </c>
      <c r="N4723" t="s">
        <v>22483</v>
      </c>
      <c r="O4723" t="s">
        <v>26523</v>
      </c>
      <c r="P4723" t="s">
        <v>26564</v>
      </c>
      <c r="Q4723" t="s">
        <v>26570</v>
      </c>
      <c r="R4723" t="s">
        <v>26579</v>
      </c>
      <c r="S4723" t="s">
        <v>18959</v>
      </c>
      <c r="U4723" t="s">
        <v>26604</v>
      </c>
      <c r="W4723" t="s">
        <v>726</v>
      </c>
      <c r="X4723">
        <v>1081</v>
      </c>
      <c r="Y4723" t="s">
        <v>26650</v>
      </c>
      <c r="Z4723" t="s">
        <v>26659</v>
      </c>
      <c r="AA4723" t="s">
        <v>26683</v>
      </c>
      <c r="AB4723" t="s">
        <v>30559</v>
      </c>
      <c r="AD4723" t="s">
        <v>40745</v>
      </c>
      <c r="AE4723">
        <v>30</v>
      </c>
      <c r="AF4723" t="s">
        <v>45541</v>
      </c>
      <c r="AG4723" t="s">
        <v>19330</v>
      </c>
      <c r="AH4723">
        <v>6</v>
      </c>
      <c r="AI4723">
        <v>1</v>
      </c>
      <c r="AJ4723">
        <v>0</v>
      </c>
      <c r="AK4723">
        <v>109.52</v>
      </c>
      <c r="AN4723" t="s">
        <v>7439</v>
      </c>
      <c r="AO4723">
        <v>13296</v>
      </c>
      <c r="AP4723" t="s">
        <v>45835</v>
      </c>
      <c r="AU4723">
        <v>2</v>
      </c>
      <c r="AV4723" t="s">
        <v>726</v>
      </c>
      <c r="AW4723" t="s">
        <v>46861</v>
      </c>
    </row>
    <row r="4724" spans="1:50">
      <c r="A4724" s="1">
        <f>HYPERLINK("https://lsnyc.legalserver.org/matter/dynamic-profile/view/1885063","18-1885063")</f>
        <v>0</v>
      </c>
      <c r="B4724" t="s">
        <v>74</v>
      </c>
      <c r="C4724" t="s">
        <v>341</v>
      </c>
      <c r="D4724" t="s">
        <v>519</v>
      </c>
      <c r="E4724" t="s">
        <v>727</v>
      </c>
      <c r="F4724" t="s">
        <v>3149</v>
      </c>
      <c r="G4724" t="s">
        <v>6231</v>
      </c>
      <c r="H4724" t="s">
        <v>13201</v>
      </c>
      <c r="I4724" t="s">
        <v>17348</v>
      </c>
      <c r="J4724" t="s">
        <v>18893</v>
      </c>
      <c r="K4724">
        <v>10033</v>
      </c>
      <c r="L4724" t="s">
        <v>18958</v>
      </c>
      <c r="M4724" t="s">
        <v>18958</v>
      </c>
      <c r="O4724" t="s">
        <v>26526</v>
      </c>
      <c r="P4724" t="s">
        <v>26565</v>
      </c>
      <c r="Q4724" t="s">
        <v>26571</v>
      </c>
      <c r="R4724" t="s">
        <v>26591</v>
      </c>
      <c r="S4724" t="s">
        <v>26598</v>
      </c>
      <c r="U4724" t="s">
        <v>26604</v>
      </c>
      <c r="W4724" t="s">
        <v>726</v>
      </c>
      <c r="X4724">
        <v>1430</v>
      </c>
      <c r="Y4724" t="s">
        <v>26651</v>
      </c>
      <c r="Z4724" t="s">
        <v>26530</v>
      </c>
      <c r="AA4724" t="s">
        <v>26682</v>
      </c>
      <c r="AB4724" t="s">
        <v>30044</v>
      </c>
      <c r="AD4724" t="s">
        <v>40746</v>
      </c>
      <c r="AE4724">
        <v>40</v>
      </c>
      <c r="AF4724" t="s">
        <v>20460</v>
      </c>
      <c r="AG4724" t="s">
        <v>19330</v>
      </c>
      <c r="AH4724">
        <v>9</v>
      </c>
      <c r="AI4724">
        <v>1</v>
      </c>
      <c r="AJ4724">
        <v>0</v>
      </c>
      <c r="AK4724">
        <v>29.65</v>
      </c>
      <c r="AN4724" t="s">
        <v>7439</v>
      </c>
      <c r="AO4724">
        <v>3600</v>
      </c>
      <c r="AU4724">
        <v>0.5</v>
      </c>
      <c r="AV4724" t="s">
        <v>519</v>
      </c>
      <c r="AW4724" t="s">
        <v>46841</v>
      </c>
    </row>
    <row r="4725" spans="1:50">
      <c r="A4725" s="1">
        <f>HYPERLINK("https://lsnyc.legalserver.org/matter/dynamic-profile/view/1888338","19-1888338")</f>
        <v>0</v>
      </c>
      <c r="B4725" t="s">
        <v>151</v>
      </c>
      <c r="C4725" t="s">
        <v>341</v>
      </c>
      <c r="D4725" t="s">
        <v>726</v>
      </c>
      <c r="E4725" t="s">
        <v>766</v>
      </c>
      <c r="F4725" t="s">
        <v>1228</v>
      </c>
      <c r="G4725" t="s">
        <v>5230</v>
      </c>
      <c r="H4725" t="s">
        <v>13202</v>
      </c>
      <c r="J4725" t="s">
        <v>18893</v>
      </c>
      <c r="K4725">
        <v>10002</v>
      </c>
      <c r="L4725" t="s">
        <v>18958</v>
      </c>
      <c r="M4725" t="s">
        <v>18958</v>
      </c>
      <c r="N4725" t="s">
        <v>22484</v>
      </c>
      <c r="O4725" t="s">
        <v>26523</v>
      </c>
      <c r="P4725" t="s">
        <v>26564</v>
      </c>
      <c r="Q4725" t="s">
        <v>26570</v>
      </c>
      <c r="R4725" t="s">
        <v>26582</v>
      </c>
      <c r="U4725" t="s">
        <v>26605</v>
      </c>
      <c r="W4725" t="s">
        <v>726</v>
      </c>
      <c r="X4725">
        <v>1844</v>
      </c>
      <c r="Y4725" t="s">
        <v>26651</v>
      </c>
      <c r="Z4725" t="s">
        <v>26667</v>
      </c>
      <c r="AA4725" t="s">
        <v>26683</v>
      </c>
      <c r="AB4725" t="s">
        <v>30560</v>
      </c>
      <c r="AD4725" t="s">
        <v>40747</v>
      </c>
      <c r="AE4725">
        <v>0</v>
      </c>
      <c r="AF4725" t="s">
        <v>45549</v>
      </c>
      <c r="AH4725">
        <v>11</v>
      </c>
      <c r="AI4725">
        <v>3</v>
      </c>
      <c r="AJ4725">
        <v>0</v>
      </c>
      <c r="AK4725">
        <v>283.17</v>
      </c>
      <c r="AN4725" t="s">
        <v>7439</v>
      </c>
      <c r="AO4725">
        <v>60400</v>
      </c>
      <c r="AU4725">
        <v>1.6</v>
      </c>
      <c r="AV4725" t="s">
        <v>775</v>
      </c>
      <c r="AW4725" t="s">
        <v>46838</v>
      </c>
    </row>
    <row r="4726" spans="1:50">
      <c r="A4726" s="1">
        <f>HYPERLINK("https://lsnyc.legalserver.org/matter/dynamic-profile/view/1888152","19-1888152")</f>
        <v>0</v>
      </c>
      <c r="B4726" t="s">
        <v>72</v>
      </c>
      <c r="C4726" t="s">
        <v>341</v>
      </c>
      <c r="D4726" t="s">
        <v>726</v>
      </c>
      <c r="E4726" t="s">
        <v>821</v>
      </c>
      <c r="F4726" t="s">
        <v>1673</v>
      </c>
      <c r="G4726" t="s">
        <v>5863</v>
      </c>
      <c r="H4726" t="s">
        <v>12334</v>
      </c>
      <c r="I4726">
        <v>45</v>
      </c>
      <c r="J4726" t="s">
        <v>18893</v>
      </c>
      <c r="K4726">
        <v>10034</v>
      </c>
      <c r="L4726" t="s">
        <v>18958</v>
      </c>
      <c r="M4726" t="s">
        <v>18958</v>
      </c>
      <c r="P4726" t="s">
        <v>26564</v>
      </c>
      <c r="Q4726" t="s">
        <v>26570</v>
      </c>
      <c r="R4726" t="s">
        <v>26578</v>
      </c>
      <c r="S4726" t="s">
        <v>18959</v>
      </c>
      <c r="U4726" t="s">
        <v>26604</v>
      </c>
      <c r="W4726" t="s">
        <v>726</v>
      </c>
      <c r="X4726">
        <v>0</v>
      </c>
      <c r="Y4726" t="s">
        <v>26651</v>
      </c>
      <c r="Z4726" t="s">
        <v>26661</v>
      </c>
      <c r="AA4726" t="s">
        <v>26682</v>
      </c>
      <c r="AE4726">
        <v>0</v>
      </c>
      <c r="AF4726" t="s">
        <v>45541</v>
      </c>
      <c r="AG4726" t="s">
        <v>19330</v>
      </c>
      <c r="AH4726">
        <v>0</v>
      </c>
      <c r="AI4726">
        <v>4</v>
      </c>
      <c r="AJ4726">
        <v>0</v>
      </c>
      <c r="AK4726">
        <v>199.2</v>
      </c>
      <c r="AN4726" t="s">
        <v>45581</v>
      </c>
      <c r="AO4726">
        <v>50000</v>
      </c>
      <c r="AU4726">
        <v>1.4</v>
      </c>
      <c r="AV4726" t="s">
        <v>821</v>
      </c>
      <c r="AW4726" t="s">
        <v>46840</v>
      </c>
    </row>
    <row r="4727" spans="1:50">
      <c r="A4727" s="1">
        <f>HYPERLINK("https://lsnyc.legalserver.org/matter/dynamic-profile/view/1887530","19-1887530")</f>
        <v>0</v>
      </c>
      <c r="B4727" t="s">
        <v>102</v>
      </c>
      <c r="C4727" t="s">
        <v>341</v>
      </c>
      <c r="D4727" t="s">
        <v>726</v>
      </c>
      <c r="E4727" t="s">
        <v>739</v>
      </c>
      <c r="F4727" t="s">
        <v>3150</v>
      </c>
      <c r="G4727" t="s">
        <v>5141</v>
      </c>
      <c r="H4727" t="s">
        <v>13203</v>
      </c>
      <c r="I4727">
        <v>30</v>
      </c>
      <c r="J4727" t="s">
        <v>18902</v>
      </c>
      <c r="K4727">
        <v>10301</v>
      </c>
      <c r="L4727" t="s">
        <v>18958</v>
      </c>
      <c r="M4727" t="s">
        <v>18958</v>
      </c>
      <c r="N4727" t="s">
        <v>22485</v>
      </c>
      <c r="O4727" t="s">
        <v>26523</v>
      </c>
      <c r="P4727" t="s">
        <v>26560</v>
      </c>
      <c r="Q4727" t="s">
        <v>26574</v>
      </c>
      <c r="R4727" t="s">
        <v>26578</v>
      </c>
      <c r="S4727" t="s">
        <v>18959</v>
      </c>
      <c r="U4727" t="s">
        <v>26604</v>
      </c>
      <c r="W4727" t="s">
        <v>726</v>
      </c>
      <c r="X4727">
        <v>0</v>
      </c>
      <c r="Y4727" t="s">
        <v>26654</v>
      </c>
      <c r="AA4727" t="s">
        <v>26678</v>
      </c>
      <c r="AB4727" t="s">
        <v>29519</v>
      </c>
      <c r="AD4727" t="s">
        <v>40748</v>
      </c>
      <c r="AE4727">
        <v>0</v>
      </c>
      <c r="AH4727">
        <v>0</v>
      </c>
      <c r="AI4727">
        <v>1</v>
      </c>
      <c r="AJ4727">
        <v>0</v>
      </c>
      <c r="AK4727">
        <v>0</v>
      </c>
      <c r="AN4727" t="s">
        <v>7439</v>
      </c>
      <c r="AO4727">
        <v>0</v>
      </c>
      <c r="AU4727">
        <v>3</v>
      </c>
      <c r="AV4727" t="s">
        <v>727</v>
      </c>
      <c r="AW4727" t="s">
        <v>46852</v>
      </c>
    </row>
    <row r="4728" spans="1:50">
      <c r="A4728" s="1">
        <f>HYPERLINK("https://lsnyc.legalserver.org/matter/dynamic-profile/view/1888228","19-1888228")</f>
        <v>0</v>
      </c>
      <c r="B4728" t="s">
        <v>51</v>
      </c>
      <c r="C4728" t="s">
        <v>341</v>
      </c>
      <c r="D4728" t="s">
        <v>726</v>
      </c>
      <c r="E4728" t="s">
        <v>829</v>
      </c>
      <c r="F4728" t="s">
        <v>1235</v>
      </c>
      <c r="G4728" t="s">
        <v>7402</v>
      </c>
      <c r="H4728" t="s">
        <v>13204</v>
      </c>
      <c r="I4728" t="s">
        <v>18145</v>
      </c>
      <c r="J4728" t="s">
        <v>18892</v>
      </c>
      <c r="K4728">
        <v>10472</v>
      </c>
      <c r="L4728" t="s">
        <v>18958</v>
      </c>
      <c r="M4728" t="s">
        <v>18958</v>
      </c>
      <c r="N4728" t="s">
        <v>22486</v>
      </c>
      <c r="O4728" t="s">
        <v>26524</v>
      </c>
      <c r="P4728" t="s">
        <v>26560</v>
      </c>
      <c r="Q4728" t="s">
        <v>26568</v>
      </c>
      <c r="R4728" t="s">
        <v>26577</v>
      </c>
      <c r="S4728" t="s">
        <v>18959</v>
      </c>
      <c r="U4728" t="s">
        <v>26604</v>
      </c>
      <c r="V4728" t="s">
        <v>26610</v>
      </c>
      <c r="W4728" t="s">
        <v>726</v>
      </c>
      <c r="X4728">
        <v>1140</v>
      </c>
      <c r="Y4728" t="s">
        <v>26650</v>
      </c>
      <c r="Z4728" t="s">
        <v>26530</v>
      </c>
      <c r="AA4728" t="s">
        <v>26678</v>
      </c>
      <c r="AB4728" t="s">
        <v>30561</v>
      </c>
      <c r="AD4728" t="s">
        <v>40749</v>
      </c>
      <c r="AE4728">
        <v>53</v>
      </c>
      <c r="AF4728" t="s">
        <v>45541</v>
      </c>
      <c r="AG4728" t="s">
        <v>19330</v>
      </c>
      <c r="AH4728">
        <v>13</v>
      </c>
      <c r="AI4728">
        <v>2</v>
      </c>
      <c r="AJ4728">
        <v>1</v>
      </c>
      <c r="AK4728">
        <v>109.8</v>
      </c>
      <c r="AN4728" t="s">
        <v>7439</v>
      </c>
      <c r="AO4728">
        <v>23420</v>
      </c>
      <c r="AQ4728" t="s">
        <v>46359</v>
      </c>
      <c r="AR4728" t="s">
        <v>46380</v>
      </c>
      <c r="AS4728" t="s">
        <v>46499</v>
      </c>
      <c r="AT4728" t="s">
        <v>46631</v>
      </c>
      <c r="AU4728">
        <v>18.2</v>
      </c>
      <c r="AV4728" t="s">
        <v>795</v>
      </c>
      <c r="AW4728" t="s">
        <v>46829</v>
      </c>
    </row>
    <row r="4729" spans="1:50">
      <c r="A4729" s="1">
        <f>HYPERLINK("https://lsnyc.legalserver.org/matter/dynamic-profile/view/1888183","19-1888183")</f>
        <v>0</v>
      </c>
      <c r="B4729" t="s">
        <v>235</v>
      </c>
      <c r="C4729" t="s">
        <v>341</v>
      </c>
      <c r="D4729" t="s">
        <v>726</v>
      </c>
      <c r="E4729" t="s">
        <v>805</v>
      </c>
      <c r="F4729" t="s">
        <v>1221</v>
      </c>
      <c r="G4729" t="s">
        <v>7276</v>
      </c>
      <c r="H4729" t="s">
        <v>13205</v>
      </c>
      <c r="I4729" t="s">
        <v>17287</v>
      </c>
      <c r="J4729" t="s">
        <v>18901</v>
      </c>
      <c r="K4729">
        <v>11434</v>
      </c>
      <c r="L4729" t="s">
        <v>18958</v>
      </c>
      <c r="M4729" t="s">
        <v>18958</v>
      </c>
      <c r="N4729" t="s">
        <v>22487</v>
      </c>
      <c r="O4729" t="s">
        <v>26523</v>
      </c>
      <c r="P4729" t="s">
        <v>26560</v>
      </c>
      <c r="Q4729" t="s">
        <v>26568</v>
      </c>
      <c r="R4729" t="s">
        <v>26585</v>
      </c>
      <c r="S4729" t="s">
        <v>18958</v>
      </c>
      <c r="U4729" t="s">
        <v>26605</v>
      </c>
      <c r="V4729" t="s">
        <v>26610</v>
      </c>
      <c r="W4729" t="s">
        <v>726</v>
      </c>
      <c r="X4729">
        <v>917.45</v>
      </c>
      <c r="Y4729" t="s">
        <v>26653</v>
      </c>
      <c r="Z4729" t="s">
        <v>26668</v>
      </c>
      <c r="AA4729" t="s">
        <v>26678</v>
      </c>
      <c r="AB4729" t="s">
        <v>30562</v>
      </c>
      <c r="AD4729" t="s">
        <v>40750</v>
      </c>
      <c r="AE4729">
        <v>91</v>
      </c>
      <c r="AH4729">
        <v>45</v>
      </c>
      <c r="AI4729">
        <v>2</v>
      </c>
      <c r="AJ4729">
        <v>0</v>
      </c>
      <c r="AK4729">
        <v>182.38</v>
      </c>
      <c r="AN4729" t="s">
        <v>7439</v>
      </c>
      <c r="AO4729">
        <v>30020</v>
      </c>
      <c r="AQ4729" t="s">
        <v>46359</v>
      </c>
      <c r="AR4729" t="s">
        <v>46379</v>
      </c>
      <c r="AS4729" t="s">
        <v>46499</v>
      </c>
      <c r="AT4729" t="s">
        <v>46780</v>
      </c>
      <c r="AU4729">
        <v>9.5</v>
      </c>
      <c r="AV4729" t="s">
        <v>838</v>
      </c>
      <c r="AW4729" t="s">
        <v>85</v>
      </c>
      <c r="AX4729" t="s">
        <v>46897</v>
      </c>
    </row>
    <row r="4730" spans="1:50">
      <c r="A4730" s="1">
        <f>HYPERLINK("https://lsnyc.legalserver.org/matter/dynamic-profile/view/1888256","19-1888256")</f>
        <v>0</v>
      </c>
      <c r="B4730" t="s">
        <v>183</v>
      </c>
      <c r="C4730" t="s">
        <v>340</v>
      </c>
      <c r="D4730" t="s">
        <v>726</v>
      </c>
      <c r="F4730" t="s">
        <v>1603</v>
      </c>
      <c r="G4730" t="s">
        <v>7403</v>
      </c>
      <c r="H4730" t="s">
        <v>11931</v>
      </c>
      <c r="I4730" t="s">
        <v>17315</v>
      </c>
      <c r="J4730" t="s">
        <v>18893</v>
      </c>
      <c r="K4730">
        <v>10031</v>
      </c>
      <c r="L4730" t="s">
        <v>18958</v>
      </c>
      <c r="M4730" t="s">
        <v>18958</v>
      </c>
      <c r="N4730" t="s">
        <v>22488</v>
      </c>
      <c r="O4730" t="s">
        <v>26523</v>
      </c>
      <c r="P4730" t="s">
        <v>26560</v>
      </c>
      <c r="R4730" t="s">
        <v>26580</v>
      </c>
      <c r="U4730" t="s">
        <v>26604</v>
      </c>
      <c r="W4730" t="s">
        <v>726</v>
      </c>
      <c r="X4730">
        <v>1209</v>
      </c>
      <c r="Y4730" t="s">
        <v>26651</v>
      </c>
      <c r="Z4730" t="s">
        <v>26664</v>
      </c>
      <c r="AB4730" t="s">
        <v>30563</v>
      </c>
      <c r="AD4730" t="s">
        <v>40751</v>
      </c>
      <c r="AE4730">
        <v>0</v>
      </c>
      <c r="AF4730" t="s">
        <v>45548</v>
      </c>
      <c r="AG4730" t="s">
        <v>19330</v>
      </c>
      <c r="AH4730">
        <v>24</v>
      </c>
      <c r="AI4730">
        <v>1</v>
      </c>
      <c r="AJ4730">
        <v>0</v>
      </c>
      <c r="AK4730">
        <v>0</v>
      </c>
      <c r="AN4730" t="s">
        <v>7439</v>
      </c>
      <c r="AO4730">
        <v>0</v>
      </c>
      <c r="AU4730">
        <v>18.6</v>
      </c>
      <c r="AV4730" t="s">
        <v>671</v>
      </c>
      <c r="AW4730" t="s">
        <v>46875</v>
      </c>
    </row>
    <row r="4731" spans="1:50">
      <c r="A4731" s="1">
        <f>HYPERLINK("https://lsnyc.legalserver.org/matter/dynamic-profile/view/1888204","19-1888204")</f>
        <v>0</v>
      </c>
      <c r="B4731" t="s">
        <v>94</v>
      </c>
      <c r="C4731" t="s">
        <v>340</v>
      </c>
      <c r="D4731" t="s">
        <v>726</v>
      </c>
      <c r="F4731" t="s">
        <v>3151</v>
      </c>
      <c r="G4731" t="s">
        <v>7404</v>
      </c>
      <c r="H4731" t="s">
        <v>13206</v>
      </c>
      <c r="I4731" t="s">
        <v>17316</v>
      </c>
      <c r="J4731" t="s">
        <v>18893</v>
      </c>
      <c r="K4731">
        <v>10031</v>
      </c>
      <c r="L4731" t="s">
        <v>18958</v>
      </c>
      <c r="M4731" t="s">
        <v>18958</v>
      </c>
      <c r="N4731" t="s">
        <v>22489</v>
      </c>
      <c r="O4731" t="s">
        <v>26523</v>
      </c>
      <c r="P4731" t="s">
        <v>26560</v>
      </c>
      <c r="R4731" t="s">
        <v>26580</v>
      </c>
      <c r="S4731" t="s">
        <v>18959</v>
      </c>
      <c r="U4731" t="s">
        <v>26604</v>
      </c>
      <c r="W4731" t="s">
        <v>726</v>
      </c>
      <c r="X4731">
        <v>2099</v>
      </c>
      <c r="Y4731" t="s">
        <v>26651</v>
      </c>
      <c r="Z4731" t="s">
        <v>26668</v>
      </c>
      <c r="AB4731" t="s">
        <v>30564</v>
      </c>
      <c r="AD4731" t="s">
        <v>40752</v>
      </c>
      <c r="AE4731">
        <v>0</v>
      </c>
      <c r="AF4731" t="s">
        <v>45543</v>
      </c>
      <c r="AG4731" t="s">
        <v>45563</v>
      </c>
      <c r="AH4731">
        <v>15</v>
      </c>
      <c r="AI4731">
        <v>2</v>
      </c>
      <c r="AJ4731">
        <v>0</v>
      </c>
      <c r="AK4731">
        <v>9.32</v>
      </c>
      <c r="AN4731" t="s">
        <v>7439</v>
      </c>
      <c r="AO4731">
        <v>1534</v>
      </c>
      <c r="AU4731">
        <v>29.5</v>
      </c>
      <c r="AV4731" t="s">
        <v>833</v>
      </c>
      <c r="AW4731" t="s">
        <v>46875</v>
      </c>
    </row>
    <row r="4732" spans="1:50">
      <c r="A4732" s="1">
        <f>HYPERLINK("https://lsnyc.legalserver.org/matter/dynamic-profile/view/1888170","19-1888170")</f>
        <v>0</v>
      </c>
      <c r="B4732" t="s">
        <v>94</v>
      </c>
      <c r="C4732" t="s">
        <v>340</v>
      </c>
      <c r="D4732" t="s">
        <v>726</v>
      </c>
      <c r="F4732" t="s">
        <v>3152</v>
      </c>
      <c r="G4732" t="s">
        <v>3534</v>
      </c>
      <c r="H4732" t="s">
        <v>13207</v>
      </c>
      <c r="I4732">
        <v>4</v>
      </c>
      <c r="J4732" t="s">
        <v>18893</v>
      </c>
      <c r="K4732">
        <v>10031</v>
      </c>
      <c r="L4732" t="s">
        <v>18958</v>
      </c>
      <c r="M4732" t="s">
        <v>18958</v>
      </c>
      <c r="N4732" t="s">
        <v>22490</v>
      </c>
      <c r="O4732" t="s">
        <v>26524</v>
      </c>
      <c r="P4732" t="s">
        <v>26560</v>
      </c>
      <c r="R4732" t="s">
        <v>26580</v>
      </c>
      <c r="S4732" t="s">
        <v>18959</v>
      </c>
      <c r="U4732" t="s">
        <v>26604</v>
      </c>
      <c r="W4732" t="s">
        <v>726</v>
      </c>
      <c r="X4732">
        <v>3800</v>
      </c>
      <c r="Y4732" t="s">
        <v>26651</v>
      </c>
      <c r="Z4732" t="s">
        <v>26668</v>
      </c>
      <c r="AB4732" t="s">
        <v>30565</v>
      </c>
      <c r="AC4732" t="s">
        <v>35836</v>
      </c>
      <c r="AD4732" t="s">
        <v>40753</v>
      </c>
      <c r="AE4732">
        <v>0</v>
      </c>
      <c r="AF4732" t="s">
        <v>45541</v>
      </c>
      <c r="AG4732" t="s">
        <v>19330</v>
      </c>
      <c r="AH4732">
        <v>1</v>
      </c>
      <c r="AI4732">
        <v>1</v>
      </c>
      <c r="AJ4732">
        <v>0</v>
      </c>
      <c r="AK4732">
        <v>45.23</v>
      </c>
      <c r="AN4732" t="s">
        <v>7439</v>
      </c>
      <c r="AO4732">
        <v>5491.44</v>
      </c>
      <c r="AU4732">
        <v>118.9</v>
      </c>
      <c r="AV4732" t="s">
        <v>827</v>
      </c>
      <c r="AW4732" t="s">
        <v>46875</v>
      </c>
    </row>
    <row r="4733" spans="1:50">
      <c r="A4733" s="1">
        <f>HYPERLINK("https://lsnyc.legalserver.org/matter/dynamic-profile/view/1888198","19-1888198")</f>
        <v>0</v>
      </c>
      <c r="B4733" t="s">
        <v>94</v>
      </c>
      <c r="C4733" t="s">
        <v>340</v>
      </c>
      <c r="D4733" t="s">
        <v>726</v>
      </c>
      <c r="F4733" t="s">
        <v>3153</v>
      </c>
      <c r="G4733" t="s">
        <v>7405</v>
      </c>
      <c r="H4733" t="s">
        <v>13208</v>
      </c>
      <c r="I4733" t="s">
        <v>17283</v>
      </c>
      <c r="J4733" t="s">
        <v>18893</v>
      </c>
      <c r="K4733">
        <v>10026</v>
      </c>
      <c r="L4733" t="s">
        <v>18958</v>
      </c>
      <c r="M4733" t="s">
        <v>18958</v>
      </c>
      <c r="N4733" t="s">
        <v>22491</v>
      </c>
      <c r="O4733" t="s">
        <v>26523</v>
      </c>
      <c r="P4733" t="s">
        <v>26560</v>
      </c>
      <c r="R4733" t="s">
        <v>26580</v>
      </c>
      <c r="S4733" t="s">
        <v>18959</v>
      </c>
      <c r="U4733" t="s">
        <v>26604</v>
      </c>
      <c r="W4733" t="s">
        <v>726</v>
      </c>
      <c r="X4733">
        <v>1691</v>
      </c>
      <c r="Y4733" t="s">
        <v>26651</v>
      </c>
      <c r="Z4733" t="s">
        <v>26668</v>
      </c>
      <c r="AB4733" t="s">
        <v>29066</v>
      </c>
      <c r="AD4733" t="s">
        <v>40754</v>
      </c>
      <c r="AE4733">
        <v>0</v>
      </c>
      <c r="AF4733" t="s">
        <v>45541</v>
      </c>
      <c r="AG4733" t="s">
        <v>19330</v>
      </c>
      <c r="AH4733">
        <v>5</v>
      </c>
      <c r="AI4733">
        <v>1</v>
      </c>
      <c r="AJ4733">
        <v>2</v>
      </c>
      <c r="AK4733">
        <v>173.24</v>
      </c>
      <c r="AN4733" t="s">
        <v>7439</v>
      </c>
      <c r="AO4733">
        <v>36000</v>
      </c>
      <c r="AU4733">
        <v>15.5</v>
      </c>
      <c r="AV4733" t="s">
        <v>768</v>
      </c>
      <c r="AW4733" t="s">
        <v>314</v>
      </c>
    </row>
    <row r="4734" spans="1:50">
      <c r="A4734" s="1">
        <f>HYPERLINK("https://lsnyc.legalserver.org/matter/dynamic-profile/view/1888189","19-1888189")</f>
        <v>0</v>
      </c>
      <c r="B4734" t="s">
        <v>84</v>
      </c>
      <c r="C4734" t="s">
        <v>340</v>
      </c>
      <c r="D4734" t="s">
        <v>726</v>
      </c>
      <c r="F4734" t="s">
        <v>3154</v>
      </c>
      <c r="G4734" t="s">
        <v>5086</v>
      </c>
      <c r="H4734" t="s">
        <v>9669</v>
      </c>
      <c r="I4734" t="s">
        <v>17411</v>
      </c>
      <c r="J4734" t="s">
        <v>18893</v>
      </c>
      <c r="K4734">
        <v>10026</v>
      </c>
      <c r="L4734" t="s">
        <v>18958</v>
      </c>
      <c r="M4734" t="s">
        <v>18958</v>
      </c>
      <c r="N4734" t="s">
        <v>22492</v>
      </c>
      <c r="O4734" t="s">
        <v>26523</v>
      </c>
      <c r="P4734" t="s">
        <v>26560</v>
      </c>
      <c r="R4734" t="s">
        <v>26580</v>
      </c>
      <c r="S4734" t="s">
        <v>18959</v>
      </c>
      <c r="U4734" t="s">
        <v>26604</v>
      </c>
      <c r="V4734" t="s">
        <v>26610</v>
      </c>
      <c r="W4734" t="s">
        <v>726</v>
      </c>
      <c r="X4734">
        <v>851.7</v>
      </c>
      <c r="Y4734" t="s">
        <v>26651</v>
      </c>
      <c r="Z4734" t="s">
        <v>26668</v>
      </c>
      <c r="AB4734" t="s">
        <v>30566</v>
      </c>
      <c r="AC4734" t="s">
        <v>35837</v>
      </c>
      <c r="AD4734" t="s">
        <v>40755</v>
      </c>
      <c r="AE4734">
        <v>0</v>
      </c>
      <c r="AF4734" t="s">
        <v>45541</v>
      </c>
      <c r="AG4734" t="s">
        <v>19330</v>
      </c>
      <c r="AH4734">
        <v>4</v>
      </c>
      <c r="AI4734">
        <v>1</v>
      </c>
      <c r="AJ4734">
        <v>1</v>
      </c>
      <c r="AK4734">
        <v>18.01</v>
      </c>
      <c r="AN4734" t="s">
        <v>7439</v>
      </c>
      <c r="AO4734">
        <v>2964</v>
      </c>
      <c r="AU4734">
        <v>5.6</v>
      </c>
      <c r="AV4734" t="s">
        <v>781</v>
      </c>
      <c r="AW4734" t="s">
        <v>46875</v>
      </c>
    </row>
    <row r="4735" spans="1:50">
      <c r="A4735" s="1">
        <f>HYPERLINK("https://lsnyc.legalserver.org/matter/dynamic-profile/view/1888252","19-1888252")</f>
        <v>0</v>
      </c>
      <c r="B4735" t="s">
        <v>84</v>
      </c>
      <c r="C4735" t="s">
        <v>340</v>
      </c>
      <c r="D4735" t="s">
        <v>726</v>
      </c>
      <c r="F4735" t="s">
        <v>1165</v>
      </c>
      <c r="G4735" t="s">
        <v>7406</v>
      </c>
      <c r="H4735" t="s">
        <v>12224</v>
      </c>
      <c r="I4735">
        <v>617</v>
      </c>
      <c r="J4735" t="s">
        <v>18893</v>
      </c>
      <c r="K4735">
        <v>10025</v>
      </c>
      <c r="L4735" t="s">
        <v>18958</v>
      </c>
      <c r="M4735" t="s">
        <v>18958</v>
      </c>
      <c r="N4735" t="s">
        <v>22493</v>
      </c>
      <c r="O4735" t="s">
        <v>26523</v>
      </c>
      <c r="P4735" t="s">
        <v>26566</v>
      </c>
      <c r="R4735" t="s">
        <v>26580</v>
      </c>
      <c r="S4735" t="s">
        <v>18959</v>
      </c>
      <c r="U4735" t="s">
        <v>26604</v>
      </c>
      <c r="V4735" t="s">
        <v>26610</v>
      </c>
      <c r="W4735" t="s">
        <v>726</v>
      </c>
      <c r="X4735">
        <v>246</v>
      </c>
      <c r="Y4735" t="s">
        <v>26651</v>
      </c>
      <c r="Z4735" t="s">
        <v>26664</v>
      </c>
      <c r="AB4735" t="s">
        <v>30567</v>
      </c>
      <c r="AC4735" t="s">
        <v>35838</v>
      </c>
      <c r="AD4735" t="s">
        <v>40756</v>
      </c>
      <c r="AE4735">
        <v>0</v>
      </c>
      <c r="AF4735" t="s">
        <v>20460</v>
      </c>
      <c r="AG4735" t="s">
        <v>19330</v>
      </c>
      <c r="AH4735">
        <v>1</v>
      </c>
      <c r="AI4735">
        <v>1</v>
      </c>
      <c r="AJ4735">
        <v>0</v>
      </c>
      <c r="AK4735">
        <v>82.54000000000001</v>
      </c>
      <c r="AN4735" t="s">
        <v>7439</v>
      </c>
      <c r="AO4735">
        <v>10020</v>
      </c>
      <c r="AU4735">
        <v>7.5</v>
      </c>
      <c r="AV4735" t="s">
        <v>838</v>
      </c>
      <c r="AW4735" t="s">
        <v>314</v>
      </c>
    </row>
    <row r="4736" spans="1:50">
      <c r="A4736" s="1">
        <f>HYPERLINK("https://lsnyc.legalserver.org/matter/dynamic-profile/view/1888149","19-1888149")</f>
        <v>0</v>
      </c>
      <c r="B4736" t="s">
        <v>212</v>
      </c>
      <c r="C4736" t="s">
        <v>340</v>
      </c>
      <c r="D4736" t="s">
        <v>726</v>
      </c>
      <c r="F4736" t="s">
        <v>3155</v>
      </c>
      <c r="G4736" t="s">
        <v>7407</v>
      </c>
      <c r="H4736" t="s">
        <v>13209</v>
      </c>
      <c r="I4736" t="s">
        <v>17435</v>
      </c>
      <c r="J4736" t="s">
        <v>18901</v>
      </c>
      <c r="K4736">
        <v>11434</v>
      </c>
      <c r="L4736" t="s">
        <v>18958</v>
      </c>
      <c r="M4736" t="s">
        <v>18958</v>
      </c>
      <c r="N4736" t="s">
        <v>22494</v>
      </c>
      <c r="O4736" t="s">
        <v>26524</v>
      </c>
      <c r="P4736" t="s">
        <v>26560</v>
      </c>
      <c r="R4736" t="s">
        <v>26585</v>
      </c>
      <c r="S4736" t="s">
        <v>18959</v>
      </c>
      <c r="U4736" t="s">
        <v>26604</v>
      </c>
      <c r="V4736" t="s">
        <v>26610</v>
      </c>
      <c r="W4736" t="s">
        <v>726</v>
      </c>
      <c r="X4736">
        <v>1669</v>
      </c>
      <c r="Y4736" t="s">
        <v>26653</v>
      </c>
      <c r="Z4736" t="s">
        <v>26668</v>
      </c>
      <c r="AB4736" t="s">
        <v>28570</v>
      </c>
      <c r="AC4736" t="s">
        <v>35839</v>
      </c>
      <c r="AD4736" t="s">
        <v>40757</v>
      </c>
      <c r="AE4736">
        <v>2</v>
      </c>
      <c r="AG4736" t="s">
        <v>45556</v>
      </c>
      <c r="AH4736">
        <v>10</v>
      </c>
      <c r="AI4736">
        <v>2</v>
      </c>
      <c r="AJ4736">
        <v>3</v>
      </c>
      <c r="AK4736">
        <v>21.21</v>
      </c>
      <c r="AN4736" t="s">
        <v>7439</v>
      </c>
      <c r="AO4736">
        <v>6240</v>
      </c>
      <c r="AQ4736" t="s">
        <v>46359</v>
      </c>
      <c r="AR4736" t="s">
        <v>46379</v>
      </c>
      <c r="AS4736" t="s">
        <v>46499</v>
      </c>
      <c r="AT4736" t="s">
        <v>46525</v>
      </c>
      <c r="AU4736">
        <v>4.85</v>
      </c>
      <c r="AV4736" t="s">
        <v>740</v>
      </c>
      <c r="AW4736" t="s">
        <v>85</v>
      </c>
    </row>
    <row r="4737" spans="1:50">
      <c r="A4737" s="1">
        <f>HYPERLINK("https://lsnyc.legalserver.org/matter/dynamic-profile/view/1888224","19-1888224")</f>
        <v>0</v>
      </c>
      <c r="B4737" t="s">
        <v>64</v>
      </c>
      <c r="C4737" t="s">
        <v>340</v>
      </c>
      <c r="D4737" t="s">
        <v>726</v>
      </c>
      <c r="F4737" t="s">
        <v>3156</v>
      </c>
      <c r="G4737" t="s">
        <v>7408</v>
      </c>
      <c r="H4737" t="s">
        <v>13210</v>
      </c>
      <c r="I4737" t="s">
        <v>17347</v>
      </c>
      <c r="J4737" t="s">
        <v>18903</v>
      </c>
      <c r="K4737">
        <v>10459</v>
      </c>
      <c r="L4737" t="s">
        <v>18958</v>
      </c>
      <c r="M4737" t="s">
        <v>18958</v>
      </c>
      <c r="N4737" t="s">
        <v>22495</v>
      </c>
      <c r="O4737" t="s">
        <v>26523</v>
      </c>
      <c r="P4737" t="s">
        <v>26560</v>
      </c>
      <c r="R4737" t="s">
        <v>26577</v>
      </c>
      <c r="S4737" t="s">
        <v>18959</v>
      </c>
      <c r="U4737" t="s">
        <v>26604</v>
      </c>
      <c r="V4737" t="s">
        <v>26610</v>
      </c>
      <c r="W4737" t="s">
        <v>726</v>
      </c>
      <c r="X4737">
        <v>435</v>
      </c>
      <c r="Y4737" t="s">
        <v>26650</v>
      </c>
      <c r="Z4737" t="s">
        <v>26659</v>
      </c>
      <c r="AB4737" t="s">
        <v>30568</v>
      </c>
      <c r="AC4737" t="s">
        <v>35840</v>
      </c>
      <c r="AD4737" t="s">
        <v>40758</v>
      </c>
      <c r="AE4737">
        <v>24</v>
      </c>
      <c r="AF4737" t="s">
        <v>45541</v>
      </c>
      <c r="AG4737" t="s">
        <v>19330</v>
      </c>
      <c r="AH4737">
        <v>18</v>
      </c>
      <c r="AI4737">
        <v>1</v>
      </c>
      <c r="AJ4737">
        <v>1</v>
      </c>
      <c r="AK4737">
        <v>29.16</v>
      </c>
      <c r="AN4737" t="s">
        <v>7439</v>
      </c>
      <c r="AO4737">
        <v>4800</v>
      </c>
      <c r="AU4737">
        <v>15.4</v>
      </c>
      <c r="AV4737" t="s">
        <v>829</v>
      </c>
      <c r="AW4737" t="s">
        <v>267</v>
      </c>
    </row>
    <row r="4738" spans="1:50">
      <c r="A4738" s="1">
        <f>HYPERLINK("https://lsnyc.legalserver.org/matter/dynamic-profile/view/1888148","19-1888148")</f>
        <v>0</v>
      </c>
      <c r="B4738" t="s">
        <v>218</v>
      </c>
      <c r="C4738" t="s">
        <v>340</v>
      </c>
      <c r="D4738" t="s">
        <v>726</v>
      </c>
      <c r="F4738" t="s">
        <v>1036</v>
      </c>
      <c r="G4738" t="s">
        <v>5147</v>
      </c>
      <c r="H4738" t="s">
        <v>12597</v>
      </c>
      <c r="I4738" t="s">
        <v>17348</v>
      </c>
      <c r="J4738" t="s">
        <v>18893</v>
      </c>
      <c r="K4738">
        <v>10032</v>
      </c>
      <c r="L4738" t="s">
        <v>18958</v>
      </c>
      <c r="M4738" t="s">
        <v>18958</v>
      </c>
      <c r="P4738" t="s">
        <v>26560</v>
      </c>
      <c r="R4738" t="s">
        <v>26578</v>
      </c>
      <c r="S4738" t="s">
        <v>18958</v>
      </c>
      <c r="U4738" t="s">
        <v>26604</v>
      </c>
      <c r="W4738" t="s">
        <v>726</v>
      </c>
      <c r="X4738">
        <v>510.85</v>
      </c>
      <c r="Y4738" t="s">
        <v>26651</v>
      </c>
      <c r="Z4738" t="s">
        <v>26661</v>
      </c>
      <c r="AB4738" t="s">
        <v>30569</v>
      </c>
      <c r="AD4738" t="s">
        <v>40759</v>
      </c>
      <c r="AE4738">
        <v>42</v>
      </c>
      <c r="AF4738" t="s">
        <v>45541</v>
      </c>
      <c r="AG4738" t="s">
        <v>45559</v>
      </c>
      <c r="AH4738">
        <v>32</v>
      </c>
      <c r="AI4738">
        <v>1</v>
      </c>
      <c r="AJ4738">
        <v>0</v>
      </c>
      <c r="AK4738">
        <v>79.87</v>
      </c>
      <c r="AN4738" t="s">
        <v>45581</v>
      </c>
      <c r="AO4738">
        <v>9696</v>
      </c>
      <c r="AU4738">
        <v>0</v>
      </c>
      <c r="AW4738" t="s">
        <v>46840</v>
      </c>
    </row>
    <row r="4739" spans="1:50">
      <c r="A4739" s="1">
        <f>HYPERLINK("https://lsnyc.legalserver.org/matter/dynamic-profile/view/1888294","19-1888294")</f>
        <v>0</v>
      </c>
      <c r="B4739" t="s">
        <v>74</v>
      </c>
      <c r="C4739" t="s">
        <v>340</v>
      </c>
      <c r="D4739" t="s">
        <v>727</v>
      </c>
      <c r="F4739" t="s">
        <v>1463</v>
      </c>
      <c r="G4739" t="s">
        <v>5635</v>
      </c>
      <c r="H4739" t="s">
        <v>10375</v>
      </c>
      <c r="I4739" t="s">
        <v>17349</v>
      </c>
      <c r="J4739" t="s">
        <v>18893</v>
      </c>
      <c r="K4739">
        <v>10032</v>
      </c>
      <c r="L4739" t="s">
        <v>18958</v>
      </c>
      <c r="M4739" t="s">
        <v>18958</v>
      </c>
      <c r="O4739" t="s">
        <v>26523</v>
      </c>
      <c r="P4739" t="s">
        <v>26560</v>
      </c>
      <c r="R4739" t="s">
        <v>26578</v>
      </c>
      <c r="S4739" t="s">
        <v>18959</v>
      </c>
      <c r="U4739" t="s">
        <v>26604</v>
      </c>
      <c r="W4739" t="s">
        <v>726</v>
      </c>
      <c r="X4739">
        <v>799.9</v>
      </c>
      <c r="Y4739" t="s">
        <v>26651</v>
      </c>
      <c r="Z4739" t="s">
        <v>26659</v>
      </c>
      <c r="AB4739" t="s">
        <v>27483</v>
      </c>
      <c r="AD4739" t="s">
        <v>37542</v>
      </c>
      <c r="AE4739">
        <v>115</v>
      </c>
      <c r="AF4739" t="s">
        <v>45541</v>
      </c>
      <c r="AG4739" t="s">
        <v>19330</v>
      </c>
      <c r="AH4739">
        <v>29</v>
      </c>
      <c r="AI4739">
        <v>4</v>
      </c>
      <c r="AJ4739">
        <v>0</v>
      </c>
      <c r="AK4739">
        <v>294.82</v>
      </c>
      <c r="AL4739" t="s">
        <v>441</v>
      </c>
      <c r="AM4739" t="s">
        <v>45575</v>
      </c>
      <c r="AN4739" t="s">
        <v>45581</v>
      </c>
      <c r="AO4739">
        <v>74000</v>
      </c>
      <c r="AU4739">
        <v>62.1</v>
      </c>
      <c r="AV4739" t="s">
        <v>843</v>
      </c>
      <c r="AW4739" t="s">
        <v>46840</v>
      </c>
    </row>
    <row r="4740" spans="1:50">
      <c r="A4740" s="1">
        <f>HYPERLINK("https://lsnyc.legalserver.org/matter/dynamic-profile/view/1888432","19-1888432")</f>
        <v>0</v>
      </c>
      <c r="B4740" t="s">
        <v>112</v>
      </c>
      <c r="C4740" t="s">
        <v>340</v>
      </c>
      <c r="D4740" t="s">
        <v>719</v>
      </c>
      <c r="F4740" t="s">
        <v>1043</v>
      </c>
      <c r="G4740" t="s">
        <v>5086</v>
      </c>
      <c r="H4740" t="s">
        <v>13211</v>
      </c>
      <c r="I4740" t="s">
        <v>17374</v>
      </c>
      <c r="J4740" t="s">
        <v>18901</v>
      </c>
      <c r="K4740">
        <v>11433</v>
      </c>
      <c r="L4740" t="s">
        <v>18958</v>
      </c>
      <c r="M4740" t="s">
        <v>18958</v>
      </c>
      <c r="N4740" t="s">
        <v>22496</v>
      </c>
      <c r="O4740" t="s">
        <v>26524</v>
      </c>
      <c r="P4740" t="s">
        <v>26560</v>
      </c>
      <c r="R4740" t="s">
        <v>26585</v>
      </c>
      <c r="S4740" t="s">
        <v>18959</v>
      </c>
      <c r="U4740" t="s">
        <v>26604</v>
      </c>
      <c r="V4740" t="s">
        <v>26610</v>
      </c>
      <c r="W4740" t="s">
        <v>726</v>
      </c>
      <c r="X4740">
        <v>600</v>
      </c>
      <c r="Y4740" t="s">
        <v>26653</v>
      </c>
      <c r="Z4740" t="s">
        <v>26668</v>
      </c>
      <c r="AB4740" t="s">
        <v>30570</v>
      </c>
      <c r="AD4740" t="s">
        <v>40760</v>
      </c>
      <c r="AE4740">
        <v>3</v>
      </c>
      <c r="AF4740" t="s">
        <v>45547</v>
      </c>
      <c r="AG4740" t="s">
        <v>19330</v>
      </c>
      <c r="AH4740">
        <v>1</v>
      </c>
      <c r="AI4740">
        <v>1</v>
      </c>
      <c r="AJ4740">
        <v>0</v>
      </c>
      <c r="AK4740">
        <v>218.57</v>
      </c>
      <c r="AL4740" t="s">
        <v>800</v>
      </c>
      <c r="AM4740" t="s">
        <v>45575</v>
      </c>
      <c r="AN4740" t="s">
        <v>7439</v>
      </c>
      <c r="AO4740">
        <v>27300</v>
      </c>
      <c r="AQ4740" t="s">
        <v>46359</v>
      </c>
      <c r="AR4740" t="s">
        <v>46379</v>
      </c>
      <c r="AS4740" t="s">
        <v>46499</v>
      </c>
      <c r="AT4740" t="s">
        <v>46524</v>
      </c>
      <c r="AU4740">
        <v>11.2</v>
      </c>
      <c r="AV4740" t="s">
        <v>758</v>
      </c>
      <c r="AW4740" t="s">
        <v>161</v>
      </c>
    </row>
    <row r="4741" spans="1:50">
      <c r="A4741" s="1">
        <f>HYPERLINK("https://lsnyc.legalserver.org/matter/dynamic-profile/view/1888604","19-1888604")</f>
        <v>0</v>
      </c>
      <c r="B4741" t="s">
        <v>90</v>
      </c>
      <c r="C4741" t="s">
        <v>340</v>
      </c>
      <c r="D4741" t="s">
        <v>707</v>
      </c>
      <c r="F4741" t="s">
        <v>1009</v>
      </c>
      <c r="G4741" t="s">
        <v>6171</v>
      </c>
      <c r="H4741" t="s">
        <v>13212</v>
      </c>
      <c r="I4741" t="s">
        <v>17349</v>
      </c>
      <c r="J4741" t="s">
        <v>18893</v>
      </c>
      <c r="K4741">
        <v>10035</v>
      </c>
      <c r="L4741" t="s">
        <v>18958</v>
      </c>
      <c r="M4741" t="s">
        <v>18958</v>
      </c>
      <c r="N4741" t="s">
        <v>22497</v>
      </c>
      <c r="O4741" t="s">
        <v>26523</v>
      </c>
      <c r="P4741" t="s">
        <v>26560</v>
      </c>
      <c r="R4741" t="s">
        <v>26578</v>
      </c>
      <c r="S4741" t="s">
        <v>18959</v>
      </c>
      <c r="U4741" t="s">
        <v>26604</v>
      </c>
      <c r="V4741" t="s">
        <v>26609</v>
      </c>
      <c r="W4741" t="s">
        <v>726</v>
      </c>
      <c r="X4741">
        <v>1230</v>
      </c>
      <c r="Y4741" t="s">
        <v>26651</v>
      </c>
      <c r="Z4741" t="s">
        <v>26667</v>
      </c>
      <c r="AB4741" t="s">
        <v>30571</v>
      </c>
      <c r="AD4741" t="s">
        <v>40761</v>
      </c>
      <c r="AE4741">
        <v>54</v>
      </c>
      <c r="AF4741" t="s">
        <v>45541</v>
      </c>
      <c r="AG4741" t="s">
        <v>26530</v>
      </c>
      <c r="AH4741">
        <v>1</v>
      </c>
      <c r="AI4741">
        <v>1</v>
      </c>
      <c r="AJ4741">
        <v>1</v>
      </c>
      <c r="AK4741">
        <v>0</v>
      </c>
      <c r="AN4741" t="s">
        <v>7439</v>
      </c>
      <c r="AO4741">
        <v>0</v>
      </c>
      <c r="AU4741">
        <v>28.95</v>
      </c>
      <c r="AV4741" t="s">
        <v>836</v>
      </c>
      <c r="AW4741" t="s">
        <v>46835</v>
      </c>
    </row>
    <row r="4742" spans="1:50">
      <c r="A4742" s="1">
        <f>HYPERLINK("https://lsnyc.legalserver.org/matter/dynamic-profile/view/1889049","19-1889049")</f>
        <v>0</v>
      </c>
      <c r="B4742" t="s">
        <v>90</v>
      </c>
      <c r="C4742" t="s">
        <v>340</v>
      </c>
      <c r="D4742" t="s">
        <v>709</v>
      </c>
      <c r="F4742" t="s">
        <v>986</v>
      </c>
      <c r="G4742" t="s">
        <v>5934</v>
      </c>
      <c r="H4742" t="s">
        <v>13213</v>
      </c>
      <c r="I4742" t="s">
        <v>17298</v>
      </c>
      <c r="J4742" t="s">
        <v>18893</v>
      </c>
      <c r="K4742">
        <v>10035</v>
      </c>
      <c r="L4742" t="s">
        <v>18958</v>
      </c>
      <c r="M4742" t="s">
        <v>18958</v>
      </c>
      <c r="O4742" t="s">
        <v>18997</v>
      </c>
      <c r="P4742" t="s">
        <v>26564</v>
      </c>
      <c r="R4742" t="s">
        <v>26578</v>
      </c>
      <c r="S4742" t="s">
        <v>18959</v>
      </c>
      <c r="U4742" t="s">
        <v>26604</v>
      </c>
      <c r="V4742" t="s">
        <v>26610</v>
      </c>
      <c r="W4742" t="s">
        <v>726</v>
      </c>
      <c r="X4742">
        <v>1483.36</v>
      </c>
      <c r="Y4742" t="s">
        <v>26651</v>
      </c>
      <c r="Z4742" t="s">
        <v>26667</v>
      </c>
      <c r="AB4742" t="s">
        <v>30572</v>
      </c>
      <c r="AD4742" t="s">
        <v>40762</v>
      </c>
      <c r="AE4742">
        <v>1</v>
      </c>
      <c r="AF4742" t="s">
        <v>45541</v>
      </c>
      <c r="AG4742" t="s">
        <v>45556</v>
      </c>
      <c r="AH4742">
        <v>16</v>
      </c>
      <c r="AI4742">
        <v>1</v>
      </c>
      <c r="AJ4742">
        <v>0</v>
      </c>
      <c r="AK4742">
        <v>83.68000000000001</v>
      </c>
      <c r="AN4742" t="s">
        <v>7439</v>
      </c>
      <c r="AO4742">
        <v>10452</v>
      </c>
      <c r="AP4742" t="s">
        <v>45836</v>
      </c>
      <c r="AU4742">
        <v>2.9</v>
      </c>
      <c r="AV4742" t="s">
        <v>797</v>
      </c>
      <c r="AW4742" t="s">
        <v>46835</v>
      </c>
    </row>
    <row r="4743" spans="1:50">
      <c r="A4743" s="1">
        <f>HYPERLINK("https://lsnyc.legalserver.org/matter/dynamic-profile/view/1889136","19-1889136")</f>
        <v>0</v>
      </c>
      <c r="B4743" t="s">
        <v>90</v>
      </c>
      <c r="C4743" t="s">
        <v>341</v>
      </c>
      <c r="D4743" t="s">
        <v>693</v>
      </c>
      <c r="E4743" t="s">
        <v>838</v>
      </c>
      <c r="F4743" t="s">
        <v>1932</v>
      </c>
      <c r="G4743" t="s">
        <v>7326</v>
      </c>
      <c r="H4743" t="s">
        <v>13214</v>
      </c>
      <c r="J4743" t="s">
        <v>18893</v>
      </c>
      <c r="K4743">
        <v>10029</v>
      </c>
      <c r="L4743" t="s">
        <v>18958</v>
      </c>
      <c r="M4743" t="s">
        <v>18958</v>
      </c>
      <c r="O4743" t="s">
        <v>18997</v>
      </c>
      <c r="P4743" t="s">
        <v>26564</v>
      </c>
      <c r="Q4743" t="s">
        <v>26570</v>
      </c>
      <c r="R4743" t="s">
        <v>26578</v>
      </c>
      <c r="S4743" t="s">
        <v>18959</v>
      </c>
      <c r="U4743" t="s">
        <v>26604</v>
      </c>
      <c r="V4743" t="s">
        <v>26610</v>
      </c>
      <c r="W4743" t="s">
        <v>726</v>
      </c>
      <c r="X4743">
        <v>73</v>
      </c>
      <c r="Y4743" t="s">
        <v>26651</v>
      </c>
      <c r="Z4743" t="s">
        <v>26667</v>
      </c>
      <c r="AA4743" t="s">
        <v>26683</v>
      </c>
      <c r="AB4743" t="s">
        <v>30573</v>
      </c>
      <c r="AD4743" t="s">
        <v>40763</v>
      </c>
      <c r="AE4743">
        <v>1</v>
      </c>
      <c r="AF4743" t="s">
        <v>45550</v>
      </c>
      <c r="AG4743" t="s">
        <v>19330</v>
      </c>
      <c r="AH4743">
        <v>20</v>
      </c>
      <c r="AI4743">
        <v>1</v>
      </c>
      <c r="AJ4743">
        <v>0</v>
      </c>
      <c r="AK4743">
        <v>106.82</v>
      </c>
      <c r="AN4743" t="s">
        <v>7439</v>
      </c>
      <c r="AO4743">
        <v>13342</v>
      </c>
      <c r="AP4743" t="s">
        <v>45837</v>
      </c>
      <c r="AU4743">
        <v>0.1</v>
      </c>
      <c r="AV4743" t="s">
        <v>752</v>
      </c>
      <c r="AW4743" t="s">
        <v>46835</v>
      </c>
      <c r="AX4743" t="s">
        <v>46897</v>
      </c>
    </row>
    <row r="4744" spans="1:50">
      <c r="A4744" s="1">
        <f>HYPERLINK("https://lsnyc.legalserver.org/matter/dynamic-profile/view/1889161","19-1889161")</f>
        <v>0</v>
      </c>
      <c r="B4744" t="s">
        <v>90</v>
      </c>
      <c r="C4744" t="s">
        <v>341</v>
      </c>
      <c r="D4744" t="s">
        <v>693</v>
      </c>
      <c r="E4744" t="s">
        <v>838</v>
      </c>
      <c r="F4744" t="s">
        <v>1036</v>
      </c>
      <c r="G4744" t="s">
        <v>5625</v>
      </c>
      <c r="H4744" t="s">
        <v>13215</v>
      </c>
      <c r="I4744" t="s">
        <v>17322</v>
      </c>
      <c r="J4744" t="s">
        <v>18893</v>
      </c>
      <c r="K4744">
        <v>10031</v>
      </c>
      <c r="L4744" t="s">
        <v>18958</v>
      </c>
      <c r="M4744" t="s">
        <v>18958</v>
      </c>
      <c r="O4744" t="s">
        <v>18997</v>
      </c>
      <c r="P4744" t="s">
        <v>26564</v>
      </c>
      <c r="Q4744" t="s">
        <v>26570</v>
      </c>
      <c r="R4744" t="s">
        <v>26578</v>
      </c>
      <c r="S4744" t="s">
        <v>18959</v>
      </c>
      <c r="U4744" t="s">
        <v>26604</v>
      </c>
      <c r="V4744" t="s">
        <v>26610</v>
      </c>
      <c r="W4744" t="s">
        <v>726</v>
      </c>
      <c r="X4744">
        <v>649.61</v>
      </c>
      <c r="Y4744" t="s">
        <v>26651</v>
      </c>
      <c r="Z4744" t="s">
        <v>26667</v>
      </c>
      <c r="AA4744" t="s">
        <v>26683</v>
      </c>
      <c r="AB4744" t="s">
        <v>30574</v>
      </c>
      <c r="AD4744" t="s">
        <v>40764</v>
      </c>
      <c r="AE4744">
        <v>37</v>
      </c>
      <c r="AF4744" t="s">
        <v>45541</v>
      </c>
      <c r="AG4744" t="s">
        <v>19330</v>
      </c>
      <c r="AH4744">
        <v>40</v>
      </c>
      <c r="AI4744">
        <v>1</v>
      </c>
      <c r="AJ4744">
        <v>0</v>
      </c>
      <c r="AK4744">
        <v>156.12</v>
      </c>
      <c r="AN4744" t="s">
        <v>45581</v>
      </c>
      <c r="AO4744">
        <v>19500</v>
      </c>
      <c r="AU4744">
        <v>0.1</v>
      </c>
      <c r="AV4744" t="s">
        <v>752</v>
      </c>
      <c r="AW4744" t="s">
        <v>46835</v>
      </c>
      <c r="AX4744" t="s">
        <v>46897</v>
      </c>
    </row>
    <row r="4745" spans="1:50">
      <c r="A4745" s="1">
        <f>HYPERLINK("https://lsnyc.legalserver.org/matter/dynamic-profile/view/1891794","19-1891794")</f>
        <v>0</v>
      </c>
      <c r="B4745" t="s">
        <v>78</v>
      </c>
      <c r="C4745" t="s">
        <v>340</v>
      </c>
      <c r="D4745" t="s">
        <v>728</v>
      </c>
      <c r="F4745" t="s">
        <v>3157</v>
      </c>
      <c r="G4745" t="s">
        <v>5932</v>
      </c>
      <c r="H4745" t="s">
        <v>13216</v>
      </c>
      <c r="I4745" t="s">
        <v>17277</v>
      </c>
      <c r="J4745" t="s">
        <v>18894</v>
      </c>
      <c r="K4745">
        <v>11213</v>
      </c>
      <c r="L4745" t="s">
        <v>18958</v>
      </c>
      <c r="M4745" t="s">
        <v>18958</v>
      </c>
      <c r="N4745" t="s">
        <v>19951</v>
      </c>
      <c r="O4745" t="s">
        <v>26526</v>
      </c>
      <c r="P4745" t="s">
        <v>26560</v>
      </c>
      <c r="R4745" t="s">
        <v>26578</v>
      </c>
      <c r="S4745" t="s">
        <v>18958</v>
      </c>
      <c r="U4745" t="s">
        <v>26604</v>
      </c>
      <c r="V4745" t="s">
        <v>26610</v>
      </c>
      <c r="W4745" t="s">
        <v>726</v>
      </c>
      <c r="X4745">
        <v>852</v>
      </c>
      <c r="Y4745" t="s">
        <v>26652</v>
      </c>
      <c r="AB4745" t="s">
        <v>30575</v>
      </c>
      <c r="AD4745" t="s">
        <v>40765</v>
      </c>
      <c r="AE4745">
        <v>23</v>
      </c>
      <c r="AF4745" t="s">
        <v>45541</v>
      </c>
      <c r="AH4745">
        <v>20</v>
      </c>
      <c r="AI4745">
        <v>2</v>
      </c>
      <c r="AJ4745">
        <v>0</v>
      </c>
      <c r="AK4745">
        <v>0</v>
      </c>
      <c r="AN4745" t="s">
        <v>7439</v>
      </c>
      <c r="AO4745">
        <v>0</v>
      </c>
      <c r="AU4745">
        <v>0.1</v>
      </c>
      <c r="AV4745" t="s">
        <v>751</v>
      </c>
      <c r="AW4745" t="s">
        <v>279</v>
      </c>
    </row>
    <row r="4746" spans="1:50">
      <c r="A4746" s="1">
        <f>HYPERLINK("https://lsnyc.legalserver.org/matter/dynamic-profile/view/1901568","19-1901568")</f>
        <v>0</v>
      </c>
      <c r="B4746" t="s">
        <v>114</v>
      </c>
      <c r="C4746" t="s">
        <v>340</v>
      </c>
      <c r="D4746" t="s">
        <v>729</v>
      </c>
      <c r="F4746" t="s">
        <v>3158</v>
      </c>
      <c r="G4746" t="s">
        <v>7409</v>
      </c>
      <c r="H4746" t="s">
        <v>13217</v>
      </c>
      <c r="I4746" t="s">
        <v>18053</v>
      </c>
      <c r="J4746" t="s">
        <v>18901</v>
      </c>
      <c r="K4746">
        <v>11434</v>
      </c>
      <c r="L4746" t="s">
        <v>18958</v>
      </c>
      <c r="M4746" t="s">
        <v>18960</v>
      </c>
      <c r="N4746" t="s">
        <v>22498</v>
      </c>
      <c r="O4746" t="s">
        <v>26523</v>
      </c>
      <c r="P4746" t="s">
        <v>26560</v>
      </c>
      <c r="R4746" t="s">
        <v>26585</v>
      </c>
      <c r="S4746" t="s">
        <v>18959</v>
      </c>
      <c r="U4746" t="s">
        <v>26604</v>
      </c>
      <c r="W4746" t="s">
        <v>726</v>
      </c>
      <c r="X4746">
        <v>956.33</v>
      </c>
      <c r="Y4746" t="s">
        <v>26653</v>
      </c>
      <c r="AB4746" t="s">
        <v>30576</v>
      </c>
      <c r="AD4746" t="s">
        <v>40766</v>
      </c>
      <c r="AE4746">
        <v>1000</v>
      </c>
      <c r="AF4746" t="s">
        <v>45541</v>
      </c>
      <c r="AG4746" t="s">
        <v>19330</v>
      </c>
      <c r="AH4746">
        <v>10</v>
      </c>
      <c r="AI4746">
        <v>1</v>
      </c>
      <c r="AJ4746">
        <v>0</v>
      </c>
      <c r="AK4746">
        <v>0</v>
      </c>
      <c r="AN4746" t="s">
        <v>7439</v>
      </c>
      <c r="AO4746">
        <v>0</v>
      </c>
      <c r="AQ4746" t="s">
        <v>46365</v>
      </c>
      <c r="AR4746" t="s">
        <v>46379</v>
      </c>
      <c r="AS4746" t="s">
        <v>46499</v>
      </c>
      <c r="AT4746" t="s">
        <v>46729</v>
      </c>
      <c r="AU4746">
        <v>2.5</v>
      </c>
      <c r="AV4746" t="s">
        <v>809</v>
      </c>
      <c r="AW4746" t="s">
        <v>114</v>
      </c>
      <c r="AX4746" t="s">
        <v>46897</v>
      </c>
    </row>
    <row r="4747" spans="1:50">
      <c r="A4747" s="1">
        <f>HYPERLINK("https://lsnyc.legalserver.org/matter/dynamic-profile/view/1875019","18-1875019")</f>
        <v>0</v>
      </c>
      <c r="B4747" t="s">
        <v>100</v>
      </c>
      <c r="C4747" t="s">
        <v>341</v>
      </c>
      <c r="D4747" t="s">
        <v>505</v>
      </c>
      <c r="E4747" t="s">
        <v>494</v>
      </c>
      <c r="F4747" t="s">
        <v>1062</v>
      </c>
      <c r="G4747" t="s">
        <v>7206</v>
      </c>
      <c r="H4747" t="s">
        <v>10135</v>
      </c>
      <c r="J4747" t="s">
        <v>18892</v>
      </c>
      <c r="K4747">
        <v>10452</v>
      </c>
      <c r="L4747" t="s">
        <v>18958</v>
      </c>
      <c r="M4747" t="s">
        <v>18958</v>
      </c>
      <c r="O4747" t="s">
        <v>26526</v>
      </c>
      <c r="P4747" t="s">
        <v>26564</v>
      </c>
      <c r="Q4747" t="s">
        <v>26570</v>
      </c>
      <c r="R4747" t="s">
        <v>26578</v>
      </c>
      <c r="S4747" t="s">
        <v>18958</v>
      </c>
      <c r="U4747" t="s">
        <v>26604</v>
      </c>
      <c r="W4747" t="s">
        <v>727</v>
      </c>
      <c r="X4747">
        <v>1300</v>
      </c>
      <c r="Y4747" t="s">
        <v>26650</v>
      </c>
      <c r="Z4747" t="s">
        <v>26663</v>
      </c>
      <c r="AA4747" t="s">
        <v>26683</v>
      </c>
      <c r="AB4747" t="s">
        <v>30189</v>
      </c>
      <c r="AE4747">
        <v>53</v>
      </c>
      <c r="AF4747" t="s">
        <v>45541</v>
      </c>
      <c r="AG4747" t="s">
        <v>45556</v>
      </c>
      <c r="AH4747">
        <v>2</v>
      </c>
      <c r="AI4747">
        <v>1</v>
      </c>
      <c r="AJ4747">
        <v>0</v>
      </c>
      <c r="AK4747">
        <v>214.17</v>
      </c>
      <c r="AN4747" t="s">
        <v>7439</v>
      </c>
      <c r="AO4747">
        <v>26000</v>
      </c>
      <c r="AU4747">
        <v>1.1</v>
      </c>
      <c r="AV4747" t="s">
        <v>458</v>
      </c>
      <c r="AW4747" t="s">
        <v>226</v>
      </c>
    </row>
    <row r="4748" spans="1:50">
      <c r="A4748" s="1">
        <f>HYPERLINK("https://lsnyc.legalserver.org/matter/dynamic-profile/view/1875655","18-1875655")</f>
        <v>0</v>
      </c>
      <c r="B4748" t="s">
        <v>100</v>
      </c>
      <c r="C4748" t="s">
        <v>340</v>
      </c>
      <c r="D4748" t="s">
        <v>521</v>
      </c>
      <c r="F4748" t="s">
        <v>2120</v>
      </c>
      <c r="G4748" t="s">
        <v>5939</v>
      </c>
      <c r="H4748" t="s">
        <v>9724</v>
      </c>
      <c r="I4748" t="s">
        <v>17327</v>
      </c>
      <c r="J4748" t="s">
        <v>18892</v>
      </c>
      <c r="K4748">
        <v>10468</v>
      </c>
      <c r="L4748" t="s">
        <v>18958</v>
      </c>
      <c r="M4748" t="s">
        <v>18958</v>
      </c>
      <c r="N4748" t="s">
        <v>19036</v>
      </c>
      <c r="O4748" t="s">
        <v>26526</v>
      </c>
      <c r="P4748" t="s">
        <v>26560</v>
      </c>
      <c r="R4748" t="s">
        <v>26578</v>
      </c>
      <c r="S4748" t="s">
        <v>18958</v>
      </c>
      <c r="U4748" t="s">
        <v>26604</v>
      </c>
      <c r="W4748" t="s">
        <v>727</v>
      </c>
      <c r="X4748">
        <v>1313</v>
      </c>
      <c r="Y4748" t="s">
        <v>26650</v>
      </c>
      <c r="Z4748" t="s">
        <v>26663</v>
      </c>
      <c r="AB4748" t="s">
        <v>28600</v>
      </c>
      <c r="AD4748" t="s">
        <v>38653</v>
      </c>
      <c r="AE4748">
        <v>58</v>
      </c>
      <c r="AF4748" t="s">
        <v>45541</v>
      </c>
      <c r="AG4748" t="s">
        <v>19330</v>
      </c>
      <c r="AH4748">
        <v>25</v>
      </c>
      <c r="AI4748">
        <v>2</v>
      </c>
      <c r="AJ4748">
        <v>0</v>
      </c>
      <c r="AK4748">
        <v>308.63</v>
      </c>
      <c r="AN4748" t="s">
        <v>45581</v>
      </c>
      <c r="AO4748">
        <v>50800</v>
      </c>
      <c r="AU4748">
        <v>0</v>
      </c>
      <c r="AW4748" t="s">
        <v>46847</v>
      </c>
    </row>
    <row r="4749" spans="1:50">
      <c r="A4749" s="1">
        <f>HYPERLINK("https://lsnyc.legalserver.org/matter/dynamic-profile/view/1877206","18-1877206")</f>
        <v>0</v>
      </c>
      <c r="B4749" t="s">
        <v>188</v>
      </c>
      <c r="C4749" t="s">
        <v>340</v>
      </c>
      <c r="D4749" t="s">
        <v>493</v>
      </c>
      <c r="F4749" t="s">
        <v>3159</v>
      </c>
      <c r="G4749" t="s">
        <v>7410</v>
      </c>
      <c r="H4749" t="s">
        <v>13218</v>
      </c>
      <c r="I4749" t="s">
        <v>17287</v>
      </c>
      <c r="J4749" t="s">
        <v>18892</v>
      </c>
      <c r="K4749">
        <v>10451</v>
      </c>
      <c r="L4749" t="s">
        <v>18958</v>
      </c>
      <c r="M4749" t="s">
        <v>18958</v>
      </c>
      <c r="O4749" t="s">
        <v>26529</v>
      </c>
      <c r="P4749" t="s">
        <v>26564</v>
      </c>
      <c r="R4749" t="s">
        <v>26578</v>
      </c>
      <c r="U4749" t="s">
        <v>26604</v>
      </c>
      <c r="W4749" t="s">
        <v>727</v>
      </c>
      <c r="X4749">
        <v>968</v>
      </c>
      <c r="Y4749" t="s">
        <v>26650</v>
      </c>
      <c r="Z4749" t="s">
        <v>26663</v>
      </c>
      <c r="AB4749" t="s">
        <v>30577</v>
      </c>
      <c r="AD4749" t="s">
        <v>40767</v>
      </c>
      <c r="AE4749">
        <v>27</v>
      </c>
      <c r="AF4749" t="s">
        <v>20460</v>
      </c>
      <c r="AG4749" t="s">
        <v>45560</v>
      </c>
      <c r="AH4749">
        <v>2</v>
      </c>
      <c r="AI4749">
        <v>1</v>
      </c>
      <c r="AJ4749">
        <v>2</v>
      </c>
      <c r="AK4749">
        <v>0</v>
      </c>
      <c r="AN4749" t="s">
        <v>7439</v>
      </c>
      <c r="AO4749">
        <v>0</v>
      </c>
      <c r="AP4749" t="s">
        <v>45654</v>
      </c>
      <c r="AU4749">
        <v>2.4</v>
      </c>
      <c r="AV4749" t="s">
        <v>739</v>
      </c>
      <c r="AW4749" t="s">
        <v>336</v>
      </c>
    </row>
    <row r="4750" spans="1:50">
      <c r="A4750" s="1">
        <f>HYPERLINK("https://lsnyc.legalserver.org/matter/dynamic-profile/view/1880516","18-1880516")</f>
        <v>0</v>
      </c>
      <c r="B4750" t="s">
        <v>188</v>
      </c>
      <c r="C4750" t="s">
        <v>341</v>
      </c>
      <c r="D4750" t="s">
        <v>600</v>
      </c>
      <c r="E4750" t="s">
        <v>519</v>
      </c>
      <c r="F4750" t="s">
        <v>3160</v>
      </c>
      <c r="G4750" t="s">
        <v>5199</v>
      </c>
      <c r="H4750" t="s">
        <v>13219</v>
      </c>
      <c r="I4750" t="s">
        <v>17637</v>
      </c>
      <c r="J4750" t="s">
        <v>18892</v>
      </c>
      <c r="K4750">
        <v>10463</v>
      </c>
      <c r="L4750" t="s">
        <v>18958</v>
      </c>
      <c r="M4750" t="s">
        <v>18958</v>
      </c>
      <c r="N4750" t="s">
        <v>22499</v>
      </c>
      <c r="O4750" t="s">
        <v>26523</v>
      </c>
      <c r="P4750" t="s">
        <v>26565</v>
      </c>
      <c r="Q4750" t="s">
        <v>26570</v>
      </c>
      <c r="R4750" t="s">
        <v>26578</v>
      </c>
      <c r="S4750" t="s">
        <v>18959</v>
      </c>
      <c r="U4750" t="s">
        <v>26604</v>
      </c>
      <c r="V4750" t="s">
        <v>26612</v>
      </c>
      <c r="W4750" t="s">
        <v>727</v>
      </c>
      <c r="X4750">
        <v>2100</v>
      </c>
      <c r="Y4750" t="s">
        <v>26650</v>
      </c>
      <c r="Z4750" t="s">
        <v>26657</v>
      </c>
      <c r="AA4750" t="s">
        <v>26683</v>
      </c>
      <c r="AB4750" t="s">
        <v>30578</v>
      </c>
      <c r="AC4750" t="s">
        <v>35841</v>
      </c>
      <c r="AD4750" t="s">
        <v>40768</v>
      </c>
      <c r="AE4750">
        <v>12</v>
      </c>
      <c r="AF4750" t="s">
        <v>45541</v>
      </c>
      <c r="AG4750" t="s">
        <v>19330</v>
      </c>
      <c r="AH4750">
        <v>2</v>
      </c>
      <c r="AI4750">
        <v>3</v>
      </c>
      <c r="AJ4750">
        <v>2</v>
      </c>
      <c r="AK4750">
        <v>135.85</v>
      </c>
      <c r="AN4750" t="s">
        <v>45581</v>
      </c>
      <c r="AO4750">
        <v>39967.84</v>
      </c>
      <c r="AU4750">
        <v>17.8</v>
      </c>
      <c r="AV4750" t="s">
        <v>519</v>
      </c>
      <c r="AW4750" t="s">
        <v>334</v>
      </c>
    </row>
    <row r="4751" spans="1:50">
      <c r="A4751" s="1">
        <f>HYPERLINK("https://lsnyc.legalserver.org/matter/dynamic-profile/view/1881498","18-1881498")</f>
        <v>0</v>
      </c>
      <c r="B4751" t="s">
        <v>67</v>
      </c>
      <c r="C4751" t="s">
        <v>340</v>
      </c>
      <c r="D4751" t="s">
        <v>624</v>
      </c>
      <c r="F4751" t="s">
        <v>1985</v>
      </c>
      <c r="G4751" t="s">
        <v>5244</v>
      </c>
      <c r="H4751" t="s">
        <v>13220</v>
      </c>
      <c r="I4751" t="s">
        <v>17377</v>
      </c>
      <c r="J4751" t="s">
        <v>18892</v>
      </c>
      <c r="K4751">
        <v>10459</v>
      </c>
      <c r="L4751" t="s">
        <v>18958</v>
      </c>
      <c r="M4751" t="s">
        <v>18958</v>
      </c>
      <c r="N4751" t="s">
        <v>22500</v>
      </c>
      <c r="O4751" t="s">
        <v>26523</v>
      </c>
      <c r="P4751" t="s">
        <v>26560</v>
      </c>
      <c r="R4751" t="s">
        <v>26578</v>
      </c>
      <c r="S4751" t="s">
        <v>18959</v>
      </c>
      <c r="U4751" t="s">
        <v>26604</v>
      </c>
      <c r="V4751" t="s">
        <v>26613</v>
      </c>
      <c r="W4751" t="s">
        <v>727</v>
      </c>
      <c r="X4751">
        <v>850</v>
      </c>
      <c r="Y4751" t="s">
        <v>26650</v>
      </c>
      <c r="Z4751" t="s">
        <v>26664</v>
      </c>
      <c r="AB4751" t="s">
        <v>26893</v>
      </c>
      <c r="AD4751" t="s">
        <v>40769</v>
      </c>
      <c r="AE4751">
        <v>56</v>
      </c>
      <c r="AF4751" t="s">
        <v>45541</v>
      </c>
      <c r="AG4751" t="s">
        <v>19330</v>
      </c>
      <c r="AH4751">
        <v>14</v>
      </c>
      <c r="AI4751">
        <v>1</v>
      </c>
      <c r="AJ4751">
        <v>0</v>
      </c>
      <c r="AK4751">
        <v>74.14</v>
      </c>
      <c r="AN4751" t="s">
        <v>45581</v>
      </c>
      <c r="AO4751">
        <v>9000</v>
      </c>
      <c r="AU4751">
        <v>47.45</v>
      </c>
      <c r="AV4751" t="s">
        <v>826</v>
      </c>
      <c r="AW4751" t="s">
        <v>115</v>
      </c>
    </row>
    <row r="4752" spans="1:50">
      <c r="A4752" s="1">
        <f>HYPERLINK("https://lsnyc.legalserver.org/matter/dynamic-profile/view/1883059","18-1883059")</f>
        <v>0</v>
      </c>
      <c r="B4752" t="s">
        <v>135</v>
      </c>
      <c r="C4752" t="s">
        <v>340</v>
      </c>
      <c r="D4752" t="s">
        <v>651</v>
      </c>
      <c r="F4752" t="s">
        <v>2111</v>
      </c>
      <c r="G4752" t="s">
        <v>5173</v>
      </c>
      <c r="H4752" t="s">
        <v>11390</v>
      </c>
      <c r="I4752">
        <v>2</v>
      </c>
      <c r="J4752" t="s">
        <v>18892</v>
      </c>
      <c r="K4752">
        <v>10462</v>
      </c>
      <c r="L4752" t="s">
        <v>18958</v>
      </c>
      <c r="M4752" t="s">
        <v>18958</v>
      </c>
      <c r="O4752" t="s">
        <v>18997</v>
      </c>
      <c r="P4752" t="s">
        <v>26561</v>
      </c>
      <c r="R4752" t="s">
        <v>26578</v>
      </c>
      <c r="S4752" t="s">
        <v>18959</v>
      </c>
      <c r="U4752" t="s">
        <v>26606</v>
      </c>
      <c r="W4752" t="s">
        <v>727</v>
      </c>
      <c r="X4752">
        <v>2000</v>
      </c>
      <c r="Y4752" t="s">
        <v>26650</v>
      </c>
      <c r="AB4752" t="s">
        <v>27324</v>
      </c>
      <c r="AD4752" t="s">
        <v>38643</v>
      </c>
      <c r="AE4752">
        <v>3</v>
      </c>
      <c r="AF4752" t="s">
        <v>45547</v>
      </c>
      <c r="AG4752" t="s">
        <v>45556</v>
      </c>
      <c r="AH4752">
        <v>0</v>
      </c>
      <c r="AI4752">
        <v>1</v>
      </c>
      <c r="AJ4752">
        <v>3</v>
      </c>
      <c r="AK4752">
        <v>49.4</v>
      </c>
      <c r="AN4752" t="s">
        <v>7439</v>
      </c>
      <c r="AO4752">
        <v>12400</v>
      </c>
      <c r="AU4752">
        <v>10</v>
      </c>
      <c r="AV4752" t="s">
        <v>801</v>
      </c>
      <c r="AW4752" t="s">
        <v>46847</v>
      </c>
    </row>
    <row r="4753" spans="1:50">
      <c r="A4753" s="1">
        <f>HYPERLINK("https://lsnyc.legalserver.org/matter/dynamic-profile/view/1884034","18-1884034")</f>
        <v>0</v>
      </c>
      <c r="B4753" t="s">
        <v>169</v>
      </c>
      <c r="C4753" t="s">
        <v>341</v>
      </c>
      <c r="D4753" t="s">
        <v>666</v>
      </c>
      <c r="E4753" t="s">
        <v>675</v>
      </c>
      <c r="F4753" t="s">
        <v>3161</v>
      </c>
      <c r="G4753" t="s">
        <v>7411</v>
      </c>
      <c r="H4753" t="s">
        <v>11868</v>
      </c>
      <c r="I4753" t="s">
        <v>17702</v>
      </c>
      <c r="J4753" t="s">
        <v>18892</v>
      </c>
      <c r="K4753">
        <v>10452</v>
      </c>
      <c r="L4753" t="s">
        <v>18958</v>
      </c>
      <c r="M4753" t="s">
        <v>18958</v>
      </c>
      <c r="O4753" t="s">
        <v>18997</v>
      </c>
      <c r="P4753" t="s">
        <v>26564</v>
      </c>
      <c r="Q4753" t="s">
        <v>26570</v>
      </c>
      <c r="R4753" t="s">
        <v>26578</v>
      </c>
      <c r="S4753" t="s">
        <v>18959</v>
      </c>
      <c r="U4753" t="s">
        <v>26604</v>
      </c>
      <c r="W4753" t="s">
        <v>727</v>
      </c>
      <c r="X4753">
        <v>700</v>
      </c>
      <c r="Y4753" t="s">
        <v>26650</v>
      </c>
      <c r="Z4753" t="s">
        <v>26663</v>
      </c>
      <c r="AA4753" t="s">
        <v>26683</v>
      </c>
      <c r="AB4753" t="s">
        <v>30579</v>
      </c>
      <c r="AD4753" t="s">
        <v>40770</v>
      </c>
      <c r="AE4753">
        <v>102</v>
      </c>
      <c r="AF4753" t="s">
        <v>45548</v>
      </c>
      <c r="AG4753" t="s">
        <v>19330</v>
      </c>
      <c r="AH4753">
        <v>6</v>
      </c>
      <c r="AI4753">
        <v>1</v>
      </c>
      <c r="AJ4753">
        <v>2</v>
      </c>
      <c r="AK4753">
        <v>72.18000000000001</v>
      </c>
      <c r="AN4753" t="s">
        <v>45581</v>
      </c>
      <c r="AO4753">
        <v>15000</v>
      </c>
      <c r="AU4753">
        <v>0.2</v>
      </c>
      <c r="AV4753" t="s">
        <v>666</v>
      </c>
      <c r="AW4753" t="s">
        <v>46847</v>
      </c>
    </row>
    <row r="4754" spans="1:50">
      <c r="A4754" s="1">
        <f>HYPERLINK("https://lsnyc.legalserver.org/matter/dynamic-profile/view/1884474","18-1884474")</f>
        <v>0</v>
      </c>
      <c r="B4754" t="s">
        <v>60</v>
      </c>
      <c r="C4754" t="s">
        <v>341</v>
      </c>
      <c r="D4754" t="s">
        <v>667</v>
      </c>
      <c r="E4754" t="s">
        <v>800</v>
      </c>
      <c r="F4754" t="s">
        <v>1333</v>
      </c>
      <c r="G4754" t="s">
        <v>5121</v>
      </c>
      <c r="H4754" t="s">
        <v>13221</v>
      </c>
      <c r="I4754" t="s">
        <v>17299</v>
      </c>
      <c r="J4754" t="s">
        <v>18892</v>
      </c>
      <c r="K4754">
        <v>10460</v>
      </c>
      <c r="L4754" t="s">
        <v>18958</v>
      </c>
      <c r="M4754" t="s">
        <v>18958</v>
      </c>
      <c r="O4754" t="s">
        <v>26523</v>
      </c>
      <c r="P4754" t="s">
        <v>26565</v>
      </c>
      <c r="Q4754" t="s">
        <v>26570</v>
      </c>
      <c r="R4754" t="s">
        <v>26578</v>
      </c>
      <c r="U4754" t="s">
        <v>26604</v>
      </c>
      <c r="W4754" t="s">
        <v>727</v>
      </c>
      <c r="X4754">
        <v>1268</v>
      </c>
      <c r="Y4754" t="s">
        <v>26650</v>
      </c>
      <c r="Z4754" t="s">
        <v>26530</v>
      </c>
      <c r="AA4754" t="s">
        <v>26683</v>
      </c>
      <c r="AB4754" t="s">
        <v>28164</v>
      </c>
      <c r="AD4754" t="s">
        <v>40771</v>
      </c>
      <c r="AE4754">
        <v>12</v>
      </c>
      <c r="AF4754" t="s">
        <v>20460</v>
      </c>
      <c r="AG4754" t="s">
        <v>26530</v>
      </c>
      <c r="AH4754">
        <v>4</v>
      </c>
      <c r="AI4754">
        <v>1</v>
      </c>
      <c r="AJ4754">
        <v>2</v>
      </c>
      <c r="AK4754">
        <v>0</v>
      </c>
      <c r="AN4754" t="s">
        <v>7439</v>
      </c>
      <c r="AO4754">
        <v>0</v>
      </c>
      <c r="AU4754">
        <v>0.9</v>
      </c>
      <c r="AV4754" t="s">
        <v>691</v>
      </c>
      <c r="AW4754" t="s">
        <v>46841</v>
      </c>
    </row>
    <row r="4755" spans="1:50">
      <c r="A4755" s="1">
        <f>HYPERLINK("https://lsnyc.legalserver.org/matter/dynamic-profile/view/1886148","18-1886148")</f>
        <v>0</v>
      </c>
      <c r="B4755" t="s">
        <v>188</v>
      </c>
      <c r="C4755" t="s">
        <v>340</v>
      </c>
      <c r="D4755" t="s">
        <v>692</v>
      </c>
      <c r="F4755" t="s">
        <v>2969</v>
      </c>
      <c r="G4755" t="s">
        <v>7219</v>
      </c>
      <c r="H4755" t="s">
        <v>12903</v>
      </c>
      <c r="J4755" t="s">
        <v>18892</v>
      </c>
      <c r="K4755">
        <v>10452</v>
      </c>
      <c r="L4755" t="s">
        <v>18958</v>
      </c>
      <c r="M4755" t="s">
        <v>18958</v>
      </c>
      <c r="O4755" t="s">
        <v>26534</v>
      </c>
      <c r="P4755" t="s">
        <v>26561</v>
      </c>
      <c r="R4755" t="s">
        <v>26578</v>
      </c>
      <c r="S4755" t="s">
        <v>18959</v>
      </c>
      <c r="U4755" t="s">
        <v>26604</v>
      </c>
      <c r="W4755" t="s">
        <v>727</v>
      </c>
      <c r="X4755">
        <v>2287.36</v>
      </c>
      <c r="Y4755" t="s">
        <v>26650</v>
      </c>
      <c r="Z4755" t="s">
        <v>26661</v>
      </c>
      <c r="AB4755" t="s">
        <v>30221</v>
      </c>
      <c r="AD4755" t="s">
        <v>40772</v>
      </c>
      <c r="AE4755">
        <v>37</v>
      </c>
      <c r="AF4755" t="s">
        <v>45541</v>
      </c>
      <c r="AG4755" t="s">
        <v>19330</v>
      </c>
      <c r="AH4755">
        <v>9</v>
      </c>
      <c r="AI4755">
        <v>6</v>
      </c>
      <c r="AJ4755">
        <v>4</v>
      </c>
      <c r="AK4755">
        <v>151.75</v>
      </c>
      <c r="AN4755" t="s">
        <v>45581</v>
      </c>
      <c r="AO4755">
        <v>77420.39999999999</v>
      </c>
      <c r="AU4755">
        <v>2.2</v>
      </c>
      <c r="AV4755" t="s">
        <v>764</v>
      </c>
      <c r="AW4755" t="s">
        <v>336</v>
      </c>
    </row>
    <row r="4756" spans="1:50">
      <c r="A4756" s="1">
        <f>HYPERLINK("https://lsnyc.legalserver.org/matter/dynamic-profile/view/1886414","18-1886414")</f>
        <v>0</v>
      </c>
      <c r="B4756" t="s">
        <v>193</v>
      </c>
      <c r="C4756" t="s">
        <v>341</v>
      </c>
      <c r="D4756" t="s">
        <v>705</v>
      </c>
      <c r="E4756" t="s">
        <v>727</v>
      </c>
      <c r="F4756" t="s">
        <v>1200</v>
      </c>
      <c r="G4756" t="s">
        <v>7412</v>
      </c>
      <c r="H4756" t="s">
        <v>13222</v>
      </c>
      <c r="I4756">
        <v>2</v>
      </c>
      <c r="J4756" t="s">
        <v>18894</v>
      </c>
      <c r="K4756">
        <v>11221</v>
      </c>
      <c r="L4756" t="s">
        <v>18958</v>
      </c>
      <c r="M4756" t="s">
        <v>18958</v>
      </c>
      <c r="N4756" t="s">
        <v>22501</v>
      </c>
      <c r="O4756" t="s">
        <v>26526</v>
      </c>
      <c r="P4756" t="s">
        <v>26564</v>
      </c>
      <c r="Q4756" t="s">
        <v>26570</v>
      </c>
      <c r="R4756" t="s">
        <v>26586</v>
      </c>
      <c r="U4756" t="s">
        <v>26604</v>
      </c>
      <c r="W4756" t="s">
        <v>727</v>
      </c>
      <c r="X4756">
        <v>1956</v>
      </c>
      <c r="Y4756" t="s">
        <v>26652</v>
      </c>
      <c r="Z4756" t="s">
        <v>26664</v>
      </c>
      <c r="AA4756" t="s">
        <v>26683</v>
      </c>
      <c r="AB4756" t="s">
        <v>30580</v>
      </c>
      <c r="AC4756" t="s">
        <v>35842</v>
      </c>
      <c r="AE4756">
        <v>2</v>
      </c>
      <c r="AG4756" t="s">
        <v>45558</v>
      </c>
      <c r="AH4756">
        <v>1</v>
      </c>
      <c r="AI4756">
        <v>2</v>
      </c>
      <c r="AJ4756">
        <v>4</v>
      </c>
      <c r="AK4756">
        <v>21.98</v>
      </c>
      <c r="AN4756" t="s">
        <v>7439</v>
      </c>
      <c r="AO4756">
        <v>7416</v>
      </c>
      <c r="AU4756">
        <v>1.6</v>
      </c>
      <c r="AV4756" t="s">
        <v>699</v>
      </c>
      <c r="AW4756" t="s">
        <v>46853</v>
      </c>
    </row>
    <row r="4757" spans="1:50">
      <c r="A4757" s="1">
        <f>HYPERLINK("https://lsnyc.legalserver.org/matter/dynamic-profile/view/1886422","18-1886422")</f>
        <v>0</v>
      </c>
      <c r="B4757" t="s">
        <v>193</v>
      </c>
      <c r="C4757" t="s">
        <v>341</v>
      </c>
      <c r="D4757" t="s">
        <v>705</v>
      </c>
      <c r="E4757" t="s">
        <v>727</v>
      </c>
      <c r="F4757" t="s">
        <v>3162</v>
      </c>
      <c r="G4757" t="s">
        <v>7413</v>
      </c>
      <c r="H4757" t="s">
        <v>13222</v>
      </c>
      <c r="I4757">
        <v>1</v>
      </c>
      <c r="J4757" t="s">
        <v>18894</v>
      </c>
      <c r="K4757">
        <v>11221</v>
      </c>
      <c r="L4757" t="s">
        <v>18958</v>
      </c>
      <c r="M4757" t="s">
        <v>18958</v>
      </c>
      <c r="N4757" t="s">
        <v>22502</v>
      </c>
      <c r="O4757" t="s">
        <v>26526</v>
      </c>
      <c r="P4757" t="s">
        <v>26564</v>
      </c>
      <c r="Q4757" t="s">
        <v>26570</v>
      </c>
      <c r="R4757" t="s">
        <v>26586</v>
      </c>
      <c r="U4757" t="s">
        <v>26604</v>
      </c>
      <c r="W4757" t="s">
        <v>727</v>
      </c>
      <c r="X4757">
        <v>1956</v>
      </c>
      <c r="Y4757" t="s">
        <v>26652</v>
      </c>
      <c r="Z4757" t="s">
        <v>26664</v>
      </c>
      <c r="AA4757" t="s">
        <v>26683</v>
      </c>
      <c r="AB4757" t="s">
        <v>28410</v>
      </c>
      <c r="AC4757" t="s">
        <v>35843</v>
      </c>
      <c r="AE4757">
        <v>0</v>
      </c>
      <c r="AG4757" t="s">
        <v>45558</v>
      </c>
      <c r="AH4757">
        <v>0</v>
      </c>
      <c r="AI4757">
        <v>1</v>
      </c>
      <c r="AJ4757">
        <v>4</v>
      </c>
      <c r="AK4757">
        <v>25.21</v>
      </c>
      <c r="AN4757" t="s">
        <v>7439</v>
      </c>
      <c r="AO4757">
        <v>7416</v>
      </c>
      <c r="AU4757">
        <v>0.6</v>
      </c>
      <c r="AV4757" t="s">
        <v>699</v>
      </c>
      <c r="AW4757" t="s">
        <v>46853</v>
      </c>
    </row>
    <row r="4758" spans="1:50">
      <c r="A4758" s="1">
        <f>HYPERLINK("https://lsnyc.legalserver.org/matter/dynamic-profile/view/1886571","18-1886571")</f>
        <v>0</v>
      </c>
      <c r="B4758" t="s">
        <v>169</v>
      </c>
      <c r="C4758" t="s">
        <v>341</v>
      </c>
      <c r="D4758" t="s">
        <v>699</v>
      </c>
      <c r="E4758" t="s">
        <v>788</v>
      </c>
      <c r="F4758" t="s">
        <v>1128</v>
      </c>
      <c r="G4758" t="s">
        <v>6466</v>
      </c>
      <c r="H4758" t="s">
        <v>10746</v>
      </c>
      <c r="I4758" t="s">
        <v>17389</v>
      </c>
      <c r="J4758" t="s">
        <v>18892</v>
      </c>
      <c r="K4758">
        <v>10457</v>
      </c>
      <c r="L4758" t="s">
        <v>18958</v>
      </c>
      <c r="M4758" t="s">
        <v>18958</v>
      </c>
      <c r="O4758" t="s">
        <v>26534</v>
      </c>
      <c r="P4758" t="s">
        <v>26565</v>
      </c>
      <c r="Q4758" t="s">
        <v>26571</v>
      </c>
      <c r="R4758" t="s">
        <v>26578</v>
      </c>
      <c r="S4758" t="s">
        <v>18959</v>
      </c>
      <c r="U4758" t="s">
        <v>26604</v>
      </c>
      <c r="V4758" t="s">
        <v>26610</v>
      </c>
      <c r="W4758" t="s">
        <v>727</v>
      </c>
      <c r="X4758">
        <v>976.13</v>
      </c>
      <c r="Y4758" t="s">
        <v>26650</v>
      </c>
      <c r="Z4758" t="s">
        <v>26663</v>
      </c>
      <c r="AA4758" t="s">
        <v>26683</v>
      </c>
      <c r="AB4758" t="s">
        <v>30238</v>
      </c>
      <c r="AD4758" t="s">
        <v>40378</v>
      </c>
      <c r="AE4758">
        <v>46</v>
      </c>
      <c r="AF4758" t="s">
        <v>45541</v>
      </c>
      <c r="AG4758" t="s">
        <v>19330</v>
      </c>
      <c r="AH4758">
        <v>4</v>
      </c>
      <c r="AI4758">
        <v>1</v>
      </c>
      <c r="AJ4758">
        <v>0</v>
      </c>
      <c r="AK4758">
        <v>326.19</v>
      </c>
      <c r="AN4758" t="s">
        <v>7439</v>
      </c>
      <c r="AO4758">
        <v>39600</v>
      </c>
      <c r="AU4758">
        <v>1</v>
      </c>
      <c r="AV4758" t="s">
        <v>699</v>
      </c>
      <c r="AW4758" t="s">
        <v>169</v>
      </c>
    </row>
    <row r="4759" spans="1:50">
      <c r="A4759" s="1">
        <f>HYPERLINK("https://lsnyc.legalserver.org/matter/dynamic-profile/view/1887009","19-1887009")</f>
        <v>0</v>
      </c>
      <c r="B4759" t="s">
        <v>90</v>
      </c>
      <c r="C4759" t="s">
        <v>341</v>
      </c>
      <c r="D4759" t="s">
        <v>718</v>
      </c>
      <c r="E4759" t="s">
        <v>821</v>
      </c>
      <c r="F4759" t="s">
        <v>1216</v>
      </c>
      <c r="G4759" t="s">
        <v>5173</v>
      </c>
      <c r="H4759" t="s">
        <v>13223</v>
      </c>
      <c r="I4759" t="s">
        <v>17307</v>
      </c>
      <c r="J4759" t="s">
        <v>18893</v>
      </c>
      <c r="K4759">
        <v>10029</v>
      </c>
      <c r="L4759" t="s">
        <v>18958</v>
      </c>
      <c r="M4759" t="s">
        <v>18958</v>
      </c>
      <c r="N4759" t="s">
        <v>22503</v>
      </c>
      <c r="O4759" t="s">
        <v>26523</v>
      </c>
      <c r="P4759" t="s">
        <v>26564</v>
      </c>
      <c r="Q4759" t="s">
        <v>26570</v>
      </c>
      <c r="R4759" t="s">
        <v>26578</v>
      </c>
      <c r="S4759" t="s">
        <v>18959</v>
      </c>
      <c r="U4759" t="s">
        <v>26604</v>
      </c>
      <c r="V4759" t="s">
        <v>26610</v>
      </c>
      <c r="W4759" t="s">
        <v>727</v>
      </c>
      <c r="X4759">
        <v>832.3200000000001</v>
      </c>
      <c r="Y4759" t="s">
        <v>26651</v>
      </c>
      <c r="Z4759" t="s">
        <v>26659</v>
      </c>
      <c r="AA4759" t="s">
        <v>26683</v>
      </c>
      <c r="AB4759" t="s">
        <v>30581</v>
      </c>
      <c r="AD4759" t="s">
        <v>40773</v>
      </c>
      <c r="AE4759">
        <v>10</v>
      </c>
      <c r="AF4759" t="s">
        <v>45541</v>
      </c>
      <c r="AG4759" t="s">
        <v>19330</v>
      </c>
      <c r="AH4759">
        <v>3</v>
      </c>
      <c r="AI4759">
        <v>1</v>
      </c>
      <c r="AJ4759">
        <v>1</v>
      </c>
      <c r="AK4759">
        <v>200.49</v>
      </c>
      <c r="AN4759" t="s">
        <v>7439</v>
      </c>
      <c r="AO4759">
        <v>33000</v>
      </c>
      <c r="AU4759">
        <v>2</v>
      </c>
      <c r="AV4759" t="s">
        <v>732</v>
      </c>
      <c r="AW4759" t="s">
        <v>46860</v>
      </c>
      <c r="AX4759" t="s">
        <v>46897</v>
      </c>
    </row>
    <row r="4760" spans="1:50">
      <c r="A4760" s="1">
        <f>HYPERLINK("https://lsnyc.legalserver.org/matter/dynamic-profile/view/1887689","19-1887689")</f>
        <v>0</v>
      </c>
      <c r="B4760" t="s">
        <v>263</v>
      </c>
      <c r="C4760" t="s">
        <v>341</v>
      </c>
      <c r="D4760" t="s">
        <v>415</v>
      </c>
      <c r="E4760" t="s">
        <v>789</v>
      </c>
      <c r="F4760" t="s">
        <v>3137</v>
      </c>
      <c r="G4760" t="s">
        <v>5177</v>
      </c>
      <c r="H4760" t="s">
        <v>13224</v>
      </c>
      <c r="I4760">
        <v>23</v>
      </c>
      <c r="J4760" t="s">
        <v>18892</v>
      </c>
      <c r="K4760">
        <v>10452</v>
      </c>
      <c r="L4760" t="s">
        <v>18958</v>
      </c>
      <c r="M4760" t="s">
        <v>18958</v>
      </c>
      <c r="O4760" t="s">
        <v>18997</v>
      </c>
      <c r="P4760" t="s">
        <v>26565</v>
      </c>
      <c r="Q4760" t="s">
        <v>26571</v>
      </c>
      <c r="R4760" t="s">
        <v>26578</v>
      </c>
      <c r="S4760" t="s">
        <v>18959</v>
      </c>
      <c r="U4760" t="s">
        <v>26604</v>
      </c>
      <c r="W4760" t="s">
        <v>727</v>
      </c>
      <c r="X4760">
        <v>499.31</v>
      </c>
      <c r="Y4760" t="s">
        <v>26650</v>
      </c>
      <c r="Z4760" t="s">
        <v>26663</v>
      </c>
      <c r="AA4760" t="s">
        <v>26683</v>
      </c>
      <c r="AB4760" t="s">
        <v>30582</v>
      </c>
      <c r="AD4760" t="s">
        <v>40774</v>
      </c>
      <c r="AE4760">
        <v>60</v>
      </c>
      <c r="AF4760" t="s">
        <v>45541</v>
      </c>
      <c r="AG4760" t="s">
        <v>45559</v>
      </c>
      <c r="AH4760">
        <v>52</v>
      </c>
      <c r="AI4760">
        <v>2</v>
      </c>
      <c r="AJ4760">
        <v>1</v>
      </c>
      <c r="AK4760">
        <v>90.34</v>
      </c>
      <c r="AN4760" t="s">
        <v>7439</v>
      </c>
      <c r="AO4760">
        <v>18772.56</v>
      </c>
      <c r="AU4760">
        <v>1.35</v>
      </c>
      <c r="AV4760" t="s">
        <v>789</v>
      </c>
      <c r="AW4760" t="s">
        <v>263</v>
      </c>
    </row>
    <row r="4761" spans="1:50">
      <c r="A4761" s="1">
        <f>HYPERLINK("https://lsnyc.legalserver.org/matter/dynamic-profile/view/1887694","19-1887694")</f>
        <v>0</v>
      </c>
      <c r="B4761" t="s">
        <v>263</v>
      </c>
      <c r="C4761" t="s">
        <v>341</v>
      </c>
      <c r="D4761" t="s">
        <v>415</v>
      </c>
      <c r="E4761" t="s">
        <v>789</v>
      </c>
      <c r="F4761" t="s">
        <v>900</v>
      </c>
      <c r="G4761" t="s">
        <v>5518</v>
      </c>
      <c r="H4761" t="s">
        <v>13225</v>
      </c>
      <c r="I4761" t="s">
        <v>17654</v>
      </c>
      <c r="J4761" t="s">
        <v>18892</v>
      </c>
      <c r="K4761">
        <v>10452</v>
      </c>
      <c r="L4761" t="s">
        <v>18958</v>
      </c>
      <c r="M4761" t="s">
        <v>18958</v>
      </c>
      <c r="O4761" t="s">
        <v>18997</v>
      </c>
      <c r="P4761" t="s">
        <v>26564</v>
      </c>
      <c r="Q4761" t="s">
        <v>26570</v>
      </c>
      <c r="R4761" t="s">
        <v>26578</v>
      </c>
      <c r="S4761" t="s">
        <v>18959</v>
      </c>
      <c r="U4761" t="s">
        <v>26604</v>
      </c>
      <c r="W4761" t="s">
        <v>727</v>
      </c>
      <c r="X4761">
        <v>1016</v>
      </c>
      <c r="Y4761" t="s">
        <v>26650</v>
      </c>
      <c r="Z4761" t="s">
        <v>26663</v>
      </c>
      <c r="AA4761" t="s">
        <v>26683</v>
      </c>
      <c r="AB4761" t="s">
        <v>30583</v>
      </c>
      <c r="AD4761" t="s">
        <v>40775</v>
      </c>
      <c r="AE4761">
        <v>0</v>
      </c>
      <c r="AF4761" t="s">
        <v>45541</v>
      </c>
      <c r="AG4761" t="s">
        <v>19330</v>
      </c>
      <c r="AH4761">
        <v>15</v>
      </c>
      <c r="AI4761">
        <v>2</v>
      </c>
      <c r="AJ4761">
        <v>0</v>
      </c>
      <c r="AK4761">
        <v>115.01</v>
      </c>
      <c r="AN4761" t="s">
        <v>45581</v>
      </c>
      <c r="AO4761">
        <v>18930</v>
      </c>
      <c r="AU4761">
        <v>1</v>
      </c>
      <c r="AV4761" t="s">
        <v>415</v>
      </c>
      <c r="AW4761" t="s">
        <v>263</v>
      </c>
    </row>
    <row r="4762" spans="1:50">
      <c r="A4762" s="1">
        <f>HYPERLINK("https://lsnyc.legalserver.org/matter/dynamic-profile/view/1888060","19-1888060")</f>
        <v>0</v>
      </c>
      <c r="B4762" t="s">
        <v>247</v>
      </c>
      <c r="C4762" t="s">
        <v>341</v>
      </c>
      <c r="D4762" t="s">
        <v>685</v>
      </c>
      <c r="E4762" t="s">
        <v>727</v>
      </c>
      <c r="F4762" t="s">
        <v>1031</v>
      </c>
      <c r="G4762" t="s">
        <v>6616</v>
      </c>
      <c r="H4762" t="s">
        <v>13226</v>
      </c>
      <c r="I4762">
        <v>1</v>
      </c>
      <c r="J4762" t="s">
        <v>18901</v>
      </c>
      <c r="K4762">
        <v>11433</v>
      </c>
      <c r="L4762" t="s">
        <v>18958</v>
      </c>
      <c r="M4762" t="s">
        <v>18958</v>
      </c>
      <c r="N4762" t="s">
        <v>22504</v>
      </c>
      <c r="O4762" t="s">
        <v>26533</v>
      </c>
      <c r="P4762" t="s">
        <v>26564</v>
      </c>
      <c r="Q4762" t="s">
        <v>26570</v>
      </c>
      <c r="R4762" t="s">
        <v>26585</v>
      </c>
      <c r="S4762" t="s">
        <v>18959</v>
      </c>
      <c r="U4762" t="s">
        <v>26604</v>
      </c>
      <c r="W4762" t="s">
        <v>727</v>
      </c>
      <c r="X4762">
        <v>1600</v>
      </c>
      <c r="Y4762" t="s">
        <v>26653</v>
      </c>
      <c r="Z4762" t="s">
        <v>26664</v>
      </c>
      <c r="AA4762" t="s">
        <v>26683</v>
      </c>
      <c r="AB4762" t="s">
        <v>30584</v>
      </c>
      <c r="AD4762" t="s">
        <v>40776</v>
      </c>
      <c r="AE4762">
        <v>2</v>
      </c>
      <c r="AF4762" t="s">
        <v>20460</v>
      </c>
      <c r="AG4762" t="s">
        <v>19330</v>
      </c>
      <c r="AH4762">
        <v>10</v>
      </c>
      <c r="AI4762">
        <v>3</v>
      </c>
      <c r="AJ4762">
        <v>3</v>
      </c>
      <c r="AK4762">
        <v>44.46</v>
      </c>
      <c r="AN4762" t="s">
        <v>7439</v>
      </c>
      <c r="AO4762">
        <v>15000</v>
      </c>
      <c r="AU4762">
        <v>3.77</v>
      </c>
      <c r="AV4762" t="s">
        <v>694</v>
      </c>
      <c r="AW4762" t="s">
        <v>208</v>
      </c>
      <c r="AX4762" t="s">
        <v>46897</v>
      </c>
    </row>
    <row r="4763" spans="1:50">
      <c r="A4763" s="1">
        <f>HYPERLINK("https://lsnyc.legalserver.org/matter/dynamic-profile/view/1888291","19-1888291")</f>
        <v>0</v>
      </c>
      <c r="B4763" t="s">
        <v>107</v>
      </c>
      <c r="C4763" t="s">
        <v>341</v>
      </c>
      <c r="D4763" t="s">
        <v>727</v>
      </c>
      <c r="E4763" t="s">
        <v>827</v>
      </c>
      <c r="F4763" t="s">
        <v>2222</v>
      </c>
      <c r="G4763" t="s">
        <v>7414</v>
      </c>
      <c r="H4763" t="s">
        <v>13227</v>
      </c>
      <c r="I4763" t="s">
        <v>17374</v>
      </c>
      <c r="J4763" t="s">
        <v>18934</v>
      </c>
      <c r="K4763">
        <v>11413</v>
      </c>
      <c r="L4763" t="s">
        <v>18958</v>
      </c>
      <c r="M4763" t="s">
        <v>18958</v>
      </c>
      <c r="N4763" t="s">
        <v>22505</v>
      </c>
      <c r="O4763" t="s">
        <v>26524</v>
      </c>
      <c r="P4763" t="s">
        <v>26564</v>
      </c>
      <c r="Q4763" t="s">
        <v>26570</v>
      </c>
      <c r="R4763" t="s">
        <v>26584</v>
      </c>
      <c r="S4763" t="s">
        <v>18959</v>
      </c>
      <c r="U4763" t="s">
        <v>26604</v>
      </c>
      <c r="V4763" t="s">
        <v>26610</v>
      </c>
      <c r="W4763" t="s">
        <v>727</v>
      </c>
      <c r="X4763">
        <v>700</v>
      </c>
      <c r="Y4763" t="s">
        <v>26653</v>
      </c>
      <c r="Z4763" t="s">
        <v>26664</v>
      </c>
      <c r="AA4763" t="s">
        <v>26683</v>
      </c>
      <c r="AB4763" t="s">
        <v>27168</v>
      </c>
      <c r="AD4763" t="s">
        <v>40777</v>
      </c>
      <c r="AE4763">
        <v>2</v>
      </c>
      <c r="AF4763" t="s">
        <v>45547</v>
      </c>
      <c r="AG4763" t="s">
        <v>19330</v>
      </c>
      <c r="AH4763">
        <v>20</v>
      </c>
      <c r="AI4763">
        <v>1</v>
      </c>
      <c r="AJ4763">
        <v>0</v>
      </c>
      <c r="AK4763">
        <v>83.56</v>
      </c>
      <c r="AN4763" t="s">
        <v>7439</v>
      </c>
      <c r="AO4763">
        <v>10144</v>
      </c>
      <c r="AS4763" t="s">
        <v>46499</v>
      </c>
      <c r="AT4763" t="s">
        <v>46706</v>
      </c>
      <c r="AU4763">
        <v>1.2</v>
      </c>
      <c r="AV4763" t="s">
        <v>745</v>
      </c>
      <c r="AW4763" t="s">
        <v>122</v>
      </c>
      <c r="AX4763" t="s">
        <v>46897</v>
      </c>
    </row>
    <row r="4764" spans="1:50">
      <c r="A4764" s="1">
        <f>HYPERLINK("https://lsnyc.legalserver.org/matter/dynamic-profile/view/1888334","19-1888334")</f>
        <v>0</v>
      </c>
      <c r="B4764" t="s">
        <v>107</v>
      </c>
      <c r="C4764" t="s">
        <v>341</v>
      </c>
      <c r="D4764" t="s">
        <v>727</v>
      </c>
      <c r="E4764" t="s">
        <v>819</v>
      </c>
      <c r="F4764" t="s">
        <v>893</v>
      </c>
      <c r="G4764" t="s">
        <v>7415</v>
      </c>
      <c r="H4764" t="s">
        <v>13228</v>
      </c>
      <c r="J4764" t="s">
        <v>18919</v>
      </c>
      <c r="K4764">
        <v>11428</v>
      </c>
      <c r="L4764" t="s">
        <v>18958</v>
      </c>
      <c r="M4764" t="s">
        <v>18958</v>
      </c>
      <c r="N4764" t="s">
        <v>22506</v>
      </c>
      <c r="O4764" t="s">
        <v>26524</v>
      </c>
      <c r="P4764" t="s">
        <v>26564</v>
      </c>
      <c r="Q4764" t="s">
        <v>26570</v>
      </c>
      <c r="R4764" t="s">
        <v>26584</v>
      </c>
      <c r="S4764" t="s">
        <v>18959</v>
      </c>
      <c r="U4764" t="s">
        <v>26604</v>
      </c>
      <c r="V4764" t="s">
        <v>26612</v>
      </c>
      <c r="W4764" t="s">
        <v>727</v>
      </c>
      <c r="X4764">
        <v>1500</v>
      </c>
      <c r="Y4764" t="s">
        <v>26653</v>
      </c>
      <c r="Z4764" t="s">
        <v>26664</v>
      </c>
      <c r="AA4764" t="s">
        <v>26683</v>
      </c>
      <c r="AB4764" t="s">
        <v>30585</v>
      </c>
      <c r="AC4764" t="s">
        <v>35844</v>
      </c>
      <c r="AD4764" t="s">
        <v>40778</v>
      </c>
      <c r="AE4764">
        <v>2</v>
      </c>
      <c r="AF4764" t="s">
        <v>45547</v>
      </c>
      <c r="AG4764" t="s">
        <v>45561</v>
      </c>
      <c r="AH4764">
        <v>34</v>
      </c>
      <c r="AI4764">
        <v>1</v>
      </c>
      <c r="AJ4764">
        <v>0</v>
      </c>
      <c r="AK4764">
        <v>89.5</v>
      </c>
      <c r="AN4764" t="s">
        <v>7439</v>
      </c>
      <c r="AO4764">
        <v>10865</v>
      </c>
      <c r="AQ4764" t="s">
        <v>46365</v>
      </c>
      <c r="AR4764" t="s">
        <v>26530</v>
      </c>
      <c r="AS4764" t="s">
        <v>46499</v>
      </c>
      <c r="AT4764" t="s">
        <v>46706</v>
      </c>
      <c r="AU4764">
        <v>0.7</v>
      </c>
      <c r="AV4764" t="s">
        <v>745</v>
      </c>
      <c r="AW4764" t="s">
        <v>208</v>
      </c>
    </row>
    <row r="4765" spans="1:50">
      <c r="A4765" s="1">
        <f>HYPERLINK("https://lsnyc.legalserver.org/matter/dynamic-profile/view/1888319","19-1888319")</f>
        <v>0</v>
      </c>
      <c r="B4765" t="s">
        <v>107</v>
      </c>
      <c r="C4765" t="s">
        <v>341</v>
      </c>
      <c r="D4765" t="s">
        <v>727</v>
      </c>
      <c r="E4765" t="s">
        <v>828</v>
      </c>
      <c r="F4765" t="s">
        <v>3163</v>
      </c>
      <c r="G4765" t="s">
        <v>5191</v>
      </c>
      <c r="H4765" t="s">
        <v>13229</v>
      </c>
      <c r="I4765" t="s">
        <v>17347</v>
      </c>
      <c r="J4765" t="s">
        <v>18907</v>
      </c>
      <c r="K4765">
        <v>11377</v>
      </c>
      <c r="L4765" t="s">
        <v>18958</v>
      </c>
      <c r="M4765" t="s">
        <v>18958</v>
      </c>
      <c r="N4765" t="s">
        <v>22507</v>
      </c>
      <c r="O4765" t="s">
        <v>26523</v>
      </c>
      <c r="P4765" t="s">
        <v>26564</v>
      </c>
      <c r="Q4765" t="s">
        <v>26570</v>
      </c>
      <c r="R4765" t="s">
        <v>26584</v>
      </c>
      <c r="S4765" t="s">
        <v>18959</v>
      </c>
      <c r="U4765" t="s">
        <v>26604</v>
      </c>
      <c r="V4765" t="s">
        <v>26610</v>
      </c>
      <c r="W4765" t="s">
        <v>727</v>
      </c>
      <c r="X4765">
        <v>1094</v>
      </c>
      <c r="Y4765" t="s">
        <v>26653</v>
      </c>
      <c r="Z4765" t="s">
        <v>26664</v>
      </c>
      <c r="AA4765" t="s">
        <v>26683</v>
      </c>
      <c r="AB4765" t="s">
        <v>30586</v>
      </c>
      <c r="AC4765" t="s">
        <v>35845</v>
      </c>
      <c r="AD4765" t="s">
        <v>40779</v>
      </c>
      <c r="AE4765">
        <v>24</v>
      </c>
      <c r="AF4765" t="s">
        <v>45549</v>
      </c>
      <c r="AH4765">
        <v>17</v>
      </c>
      <c r="AI4765">
        <v>2</v>
      </c>
      <c r="AJ4765">
        <v>4</v>
      </c>
      <c r="AK4765">
        <v>112.63</v>
      </c>
      <c r="AN4765" t="s">
        <v>7439</v>
      </c>
      <c r="AO4765">
        <v>38000</v>
      </c>
      <c r="AT4765" t="s">
        <v>46706</v>
      </c>
      <c r="AU4765">
        <v>0.8</v>
      </c>
      <c r="AV4765" t="s">
        <v>818</v>
      </c>
      <c r="AW4765" t="s">
        <v>122</v>
      </c>
      <c r="AX4765" t="s">
        <v>46897</v>
      </c>
    </row>
    <row r="4766" spans="1:50">
      <c r="A4766" s="1">
        <f>HYPERLINK("https://lsnyc.legalserver.org/matter/dynamic-profile/view/1888271","19-1888271")</f>
        <v>0</v>
      </c>
      <c r="B4766" t="s">
        <v>70</v>
      </c>
      <c r="C4766" t="s">
        <v>341</v>
      </c>
      <c r="D4766" t="s">
        <v>727</v>
      </c>
      <c r="E4766" t="s">
        <v>416</v>
      </c>
      <c r="F4766" t="s">
        <v>1937</v>
      </c>
      <c r="G4766" t="s">
        <v>7416</v>
      </c>
      <c r="H4766" t="s">
        <v>13230</v>
      </c>
      <c r="I4766" t="s">
        <v>17360</v>
      </c>
      <c r="J4766" t="s">
        <v>18892</v>
      </c>
      <c r="K4766">
        <v>10452</v>
      </c>
      <c r="L4766" t="s">
        <v>18958</v>
      </c>
      <c r="M4766" t="s">
        <v>18958</v>
      </c>
      <c r="N4766" t="s">
        <v>22508</v>
      </c>
      <c r="O4766" t="s">
        <v>26523</v>
      </c>
      <c r="P4766" t="s">
        <v>26565</v>
      </c>
      <c r="Q4766" t="s">
        <v>26571</v>
      </c>
      <c r="R4766" t="s">
        <v>26577</v>
      </c>
      <c r="U4766" t="s">
        <v>26604</v>
      </c>
      <c r="V4766" t="s">
        <v>26610</v>
      </c>
      <c r="W4766" t="s">
        <v>727</v>
      </c>
      <c r="X4766">
        <v>1163</v>
      </c>
      <c r="Y4766" t="s">
        <v>26650</v>
      </c>
      <c r="Z4766" t="s">
        <v>26657</v>
      </c>
      <c r="AA4766" t="s">
        <v>26682</v>
      </c>
      <c r="AB4766" t="s">
        <v>27747</v>
      </c>
      <c r="AD4766" t="s">
        <v>40780</v>
      </c>
      <c r="AE4766">
        <v>0</v>
      </c>
      <c r="AG4766" t="s">
        <v>19330</v>
      </c>
      <c r="AH4766">
        <v>11</v>
      </c>
      <c r="AI4766">
        <v>1</v>
      </c>
      <c r="AJ4766">
        <v>2</v>
      </c>
      <c r="AK4766">
        <v>100.1</v>
      </c>
      <c r="AN4766" t="s">
        <v>45581</v>
      </c>
      <c r="AO4766">
        <v>20800</v>
      </c>
      <c r="AU4766">
        <v>8.9</v>
      </c>
      <c r="AV4766" t="s">
        <v>416</v>
      </c>
      <c r="AW4766" t="s">
        <v>334</v>
      </c>
    </row>
    <row r="4767" spans="1:50">
      <c r="A4767" s="1">
        <f>HYPERLINK("https://lsnyc.legalserver.org/matter/dynamic-profile/view/1888339","19-1888339")</f>
        <v>0</v>
      </c>
      <c r="B4767" t="s">
        <v>90</v>
      </c>
      <c r="C4767" t="s">
        <v>341</v>
      </c>
      <c r="D4767" t="s">
        <v>727</v>
      </c>
      <c r="E4767" t="s">
        <v>838</v>
      </c>
      <c r="F4767" t="s">
        <v>1235</v>
      </c>
      <c r="G4767" t="s">
        <v>5734</v>
      </c>
      <c r="H4767" t="s">
        <v>10341</v>
      </c>
      <c r="I4767" t="s">
        <v>17306</v>
      </c>
      <c r="J4767" t="s">
        <v>18893</v>
      </c>
      <c r="K4767">
        <v>10035</v>
      </c>
      <c r="L4767" t="s">
        <v>18958</v>
      </c>
      <c r="M4767" t="s">
        <v>18958</v>
      </c>
      <c r="O4767" t="s">
        <v>18997</v>
      </c>
      <c r="P4767" t="s">
        <v>26564</v>
      </c>
      <c r="Q4767" t="s">
        <v>26570</v>
      </c>
      <c r="R4767" t="s">
        <v>26578</v>
      </c>
      <c r="S4767" t="s">
        <v>18958</v>
      </c>
      <c r="U4767" t="s">
        <v>26604</v>
      </c>
      <c r="V4767" t="s">
        <v>26610</v>
      </c>
      <c r="W4767" t="s">
        <v>727</v>
      </c>
      <c r="X4767">
        <v>1552</v>
      </c>
      <c r="Y4767" t="s">
        <v>26651</v>
      </c>
      <c r="Z4767" t="s">
        <v>26666</v>
      </c>
      <c r="AA4767" t="s">
        <v>26683</v>
      </c>
      <c r="AB4767" t="s">
        <v>30587</v>
      </c>
      <c r="AD4767" t="s">
        <v>40781</v>
      </c>
      <c r="AE4767">
        <v>9</v>
      </c>
      <c r="AF4767" t="s">
        <v>45541</v>
      </c>
      <c r="AG4767" t="s">
        <v>45556</v>
      </c>
      <c r="AH4767">
        <v>20</v>
      </c>
      <c r="AI4767">
        <v>2</v>
      </c>
      <c r="AJ4767">
        <v>0</v>
      </c>
      <c r="AK4767">
        <v>73.69</v>
      </c>
      <c r="AN4767" t="s">
        <v>7439</v>
      </c>
      <c r="AO4767">
        <v>12129</v>
      </c>
      <c r="AU4767">
        <v>1</v>
      </c>
      <c r="AV4767" t="s">
        <v>727</v>
      </c>
      <c r="AW4767" t="s">
        <v>46835</v>
      </c>
    </row>
    <row r="4768" spans="1:50">
      <c r="A4768" s="1">
        <f>HYPERLINK("https://lsnyc.legalserver.org/matter/dynamic-profile/view/1888367","19-1888367")</f>
        <v>0</v>
      </c>
      <c r="B4768" t="s">
        <v>258</v>
      </c>
      <c r="C4768" t="s">
        <v>341</v>
      </c>
      <c r="D4768" t="s">
        <v>727</v>
      </c>
      <c r="E4768" t="s">
        <v>693</v>
      </c>
      <c r="F4768" t="s">
        <v>887</v>
      </c>
      <c r="G4768" t="s">
        <v>7417</v>
      </c>
      <c r="H4768" t="s">
        <v>13231</v>
      </c>
      <c r="I4768" t="s">
        <v>18146</v>
      </c>
      <c r="J4768" t="s">
        <v>7026</v>
      </c>
      <c r="K4768">
        <v>11368</v>
      </c>
      <c r="L4768" t="s">
        <v>18958</v>
      </c>
      <c r="M4768" t="s">
        <v>18958</v>
      </c>
      <c r="N4768" t="s">
        <v>22509</v>
      </c>
      <c r="O4768" t="s">
        <v>26533</v>
      </c>
      <c r="P4768" t="s">
        <v>26564</v>
      </c>
      <c r="Q4768" t="s">
        <v>26570</v>
      </c>
      <c r="R4768" t="s">
        <v>26584</v>
      </c>
      <c r="S4768" t="s">
        <v>18959</v>
      </c>
      <c r="U4768" t="s">
        <v>26604</v>
      </c>
      <c r="V4768" t="s">
        <v>26609</v>
      </c>
      <c r="W4768" t="s">
        <v>727</v>
      </c>
      <c r="X4768">
        <v>600</v>
      </c>
      <c r="Y4768" t="s">
        <v>26653</v>
      </c>
      <c r="Z4768" t="s">
        <v>26664</v>
      </c>
      <c r="AA4768" t="s">
        <v>26683</v>
      </c>
      <c r="AB4768" t="s">
        <v>30588</v>
      </c>
      <c r="AD4768" t="s">
        <v>40782</v>
      </c>
      <c r="AE4768">
        <v>3</v>
      </c>
      <c r="AF4768" t="s">
        <v>45547</v>
      </c>
      <c r="AG4768" t="s">
        <v>19330</v>
      </c>
      <c r="AH4768">
        <v>8</v>
      </c>
      <c r="AI4768">
        <v>1</v>
      </c>
      <c r="AJ4768">
        <v>0</v>
      </c>
      <c r="AK4768">
        <v>79.08</v>
      </c>
      <c r="AN4768" t="s">
        <v>45581</v>
      </c>
      <c r="AO4768">
        <v>9600</v>
      </c>
      <c r="AU4768">
        <v>0.5</v>
      </c>
      <c r="AV4768" t="s">
        <v>727</v>
      </c>
      <c r="AW4768" t="s">
        <v>161</v>
      </c>
    </row>
    <row r="4769" spans="1:50">
      <c r="A4769" s="1">
        <f>HYPERLINK("https://lsnyc.legalserver.org/matter/dynamic-profile/view/1888397","19-1888397")</f>
        <v>0</v>
      </c>
      <c r="B4769" t="s">
        <v>258</v>
      </c>
      <c r="C4769" t="s">
        <v>341</v>
      </c>
      <c r="D4769" t="s">
        <v>727</v>
      </c>
      <c r="E4769" t="s">
        <v>744</v>
      </c>
      <c r="F4769" t="s">
        <v>2317</v>
      </c>
      <c r="G4769" t="s">
        <v>5664</v>
      </c>
      <c r="H4769" t="s">
        <v>13232</v>
      </c>
      <c r="J4769" t="s">
        <v>18919</v>
      </c>
      <c r="K4769">
        <v>11429</v>
      </c>
      <c r="L4769" t="s">
        <v>18958</v>
      </c>
      <c r="M4769" t="s">
        <v>18958</v>
      </c>
      <c r="N4769" t="s">
        <v>22510</v>
      </c>
      <c r="O4769" t="s">
        <v>26524</v>
      </c>
      <c r="P4769" t="s">
        <v>26564</v>
      </c>
      <c r="Q4769" t="s">
        <v>26570</v>
      </c>
      <c r="R4769" t="s">
        <v>26584</v>
      </c>
      <c r="S4769" t="s">
        <v>18959</v>
      </c>
      <c r="U4769" t="s">
        <v>26604</v>
      </c>
      <c r="V4769" t="s">
        <v>26611</v>
      </c>
      <c r="W4769" t="s">
        <v>727</v>
      </c>
      <c r="X4769">
        <v>400</v>
      </c>
      <c r="Y4769" t="s">
        <v>26653</v>
      </c>
      <c r="Z4769" t="s">
        <v>26664</v>
      </c>
      <c r="AA4769" t="s">
        <v>26683</v>
      </c>
      <c r="AB4769" t="s">
        <v>30589</v>
      </c>
      <c r="AD4769" t="s">
        <v>40783</v>
      </c>
      <c r="AE4769">
        <v>1</v>
      </c>
      <c r="AF4769" t="s">
        <v>45547</v>
      </c>
      <c r="AG4769" t="s">
        <v>19330</v>
      </c>
      <c r="AH4769">
        <v>1</v>
      </c>
      <c r="AI4769">
        <v>1</v>
      </c>
      <c r="AJ4769">
        <v>1</v>
      </c>
      <c r="AK4769">
        <v>87.48</v>
      </c>
      <c r="AN4769" t="s">
        <v>7439</v>
      </c>
      <c r="AO4769">
        <v>14400</v>
      </c>
      <c r="AU4769">
        <v>1.25</v>
      </c>
      <c r="AV4769" t="s">
        <v>714</v>
      </c>
      <c r="AW4769" t="s">
        <v>161</v>
      </c>
    </row>
    <row r="4770" spans="1:50">
      <c r="A4770" s="1">
        <f>HYPERLINK("https://lsnyc.legalserver.org/matter/dynamic-profile/view/1888389","19-1888389")</f>
        <v>0</v>
      </c>
      <c r="B4770" t="s">
        <v>141</v>
      </c>
      <c r="C4770" t="s">
        <v>341</v>
      </c>
      <c r="D4770" t="s">
        <v>727</v>
      </c>
      <c r="E4770" t="s">
        <v>819</v>
      </c>
      <c r="F4770" t="s">
        <v>880</v>
      </c>
      <c r="G4770" t="s">
        <v>7418</v>
      </c>
      <c r="H4770" t="s">
        <v>13233</v>
      </c>
      <c r="I4770" t="s">
        <v>18147</v>
      </c>
      <c r="J4770" t="s">
        <v>18907</v>
      </c>
      <c r="K4770">
        <v>11377</v>
      </c>
      <c r="L4770" t="s">
        <v>18958</v>
      </c>
      <c r="M4770" t="s">
        <v>18958</v>
      </c>
      <c r="N4770" t="s">
        <v>22511</v>
      </c>
      <c r="O4770" t="s">
        <v>26523</v>
      </c>
      <c r="P4770" t="s">
        <v>26560</v>
      </c>
      <c r="Q4770" t="s">
        <v>26568</v>
      </c>
      <c r="R4770" t="s">
        <v>26578</v>
      </c>
      <c r="S4770" t="s">
        <v>18959</v>
      </c>
      <c r="U4770" t="s">
        <v>26604</v>
      </c>
      <c r="V4770" t="s">
        <v>26611</v>
      </c>
      <c r="W4770" t="s">
        <v>727</v>
      </c>
      <c r="X4770">
        <v>1104.78</v>
      </c>
      <c r="Y4770" t="s">
        <v>26653</v>
      </c>
      <c r="Z4770" t="s">
        <v>26664</v>
      </c>
      <c r="AA4770" t="s">
        <v>26678</v>
      </c>
      <c r="AB4770" t="s">
        <v>30590</v>
      </c>
      <c r="AC4770" t="s">
        <v>34738</v>
      </c>
      <c r="AD4770" t="s">
        <v>40784</v>
      </c>
      <c r="AE4770">
        <v>65</v>
      </c>
      <c r="AF4770" t="s">
        <v>45541</v>
      </c>
      <c r="AG4770" t="s">
        <v>19330</v>
      </c>
      <c r="AH4770">
        <v>24</v>
      </c>
      <c r="AI4770">
        <v>3</v>
      </c>
      <c r="AJ4770">
        <v>0</v>
      </c>
      <c r="AK4770">
        <v>20.04</v>
      </c>
      <c r="AN4770" t="s">
        <v>7439</v>
      </c>
      <c r="AO4770">
        <v>4164</v>
      </c>
      <c r="AQ4770" t="s">
        <v>46362</v>
      </c>
      <c r="AR4770" t="s">
        <v>46379</v>
      </c>
      <c r="AS4770" t="s">
        <v>46499</v>
      </c>
      <c r="AT4770" t="s">
        <v>46601</v>
      </c>
      <c r="AU4770">
        <v>26.95</v>
      </c>
      <c r="AV4770" t="s">
        <v>810</v>
      </c>
      <c r="AW4770" t="s">
        <v>161</v>
      </c>
      <c r="AX4770" t="s">
        <v>46897</v>
      </c>
    </row>
    <row r="4771" spans="1:50">
      <c r="A4771" s="1">
        <f>HYPERLINK("https://lsnyc.legalserver.org/matter/dynamic-profile/view/1888371","19-1888371")</f>
        <v>0</v>
      </c>
      <c r="B4771" t="s">
        <v>141</v>
      </c>
      <c r="C4771" t="s">
        <v>341</v>
      </c>
      <c r="D4771" t="s">
        <v>727</v>
      </c>
      <c r="E4771" t="s">
        <v>693</v>
      </c>
      <c r="F4771" t="s">
        <v>3164</v>
      </c>
      <c r="G4771" t="s">
        <v>5495</v>
      </c>
      <c r="H4771" t="s">
        <v>13234</v>
      </c>
      <c r="I4771" t="s">
        <v>17375</v>
      </c>
      <c r="J4771" t="s">
        <v>18900</v>
      </c>
      <c r="K4771">
        <v>11355</v>
      </c>
      <c r="L4771" t="s">
        <v>18958</v>
      </c>
      <c r="M4771" t="s">
        <v>18958</v>
      </c>
      <c r="N4771" t="s">
        <v>22512</v>
      </c>
      <c r="O4771" t="s">
        <v>26524</v>
      </c>
      <c r="P4771" t="s">
        <v>26564</v>
      </c>
      <c r="Q4771" t="s">
        <v>26570</v>
      </c>
      <c r="R4771" t="s">
        <v>26584</v>
      </c>
      <c r="S4771" t="s">
        <v>18959</v>
      </c>
      <c r="U4771" t="s">
        <v>26604</v>
      </c>
      <c r="V4771" t="s">
        <v>26610</v>
      </c>
      <c r="W4771" t="s">
        <v>727</v>
      </c>
      <c r="X4771">
        <v>500</v>
      </c>
      <c r="Y4771" t="s">
        <v>26653</v>
      </c>
      <c r="Z4771" t="s">
        <v>26664</v>
      </c>
      <c r="AA4771" t="s">
        <v>26683</v>
      </c>
      <c r="AB4771" t="s">
        <v>30591</v>
      </c>
      <c r="AD4771" t="s">
        <v>40785</v>
      </c>
      <c r="AE4771">
        <v>1</v>
      </c>
      <c r="AF4771" t="s">
        <v>45547</v>
      </c>
      <c r="AG4771" t="s">
        <v>19330</v>
      </c>
      <c r="AH4771">
        <v>2</v>
      </c>
      <c r="AI4771">
        <v>1</v>
      </c>
      <c r="AJ4771">
        <v>0</v>
      </c>
      <c r="AK4771">
        <v>0</v>
      </c>
      <c r="AN4771" t="s">
        <v>45594</v>
      </c>
      <c r="AO4771">
        <v>0</v>
      </c>
      <c r="AU4771">
        <v>1.3</v>
      </c>
      <c r="AV4771" t="s">
        <v>719</v>
      </c>
      <c r="AW4771" t="s">
        <v>208</v>
      </c>
    </row>
    <row r="4772" spans="1:50">
      <c r="A4772" s="1">
        <f>HYPERLINK("https://lsnyc.legalserver.org/matter/dynamic-profile/view/1888503","19-1888503")</f>
        <v>0</v>
      </c>
      <c r="B4772" t="s">
        <v>226</v>
      </c>
      <c r="C4772" t="s">
        <v>341</v>
      </c>
      <c r="D4772" t="s">
        <v>727</v>
      </c>
      <c r="E4772" t="s">
        <v>786</v>
      </c>
      <c r="F4772" t="s">
        <v>1328</v>
      </c>
      <c r="G4772" t="s">
        <v>7419</v>
      </c>
      <c r="H4772" t="s">
        <v>13235</v>
      </c>
      <c r="I4772" t="s">
        <v>17272</v>
      </c>
      <c r="J4772" t="s">
        <v>18892</v>
      </c>
      <c r="K4772">
        <v>10459</v>
      </c>
      <c r="L4772" t="s">
        <v>18958</v>
      </c>
      <c r="M4772" t="s">
        <v>18958</v>
      </c>
      <c r="O4772" t="s">
        <v>26529</v>
      </c>
      <c r="P4772" t="s">
        <v>26565</v>
      </c>
      <c r="Q4772" t="s">
        <v>26571</v>
      </c>
      <c r="R4772" t="s">
        <v>26578</v>
      </c>
      <c r="S4772" t="s">
        <v>18959</v>
      </c>
      <c r="U4772" t="s">
        <v>26604</v>
      </c>
      <c r="W4772" t="s">
        <v>727</v>
      </c>
      <c r="X4772">
        <v>1750</v>
      </c>
      <c r="Y4772" t="s">
        <v>26650</v>
      </c>
      <c r="Z4772" t="s">
        <v>26663</v>
      </c>
      <c r="AA4772" t="s">
        <v>26683</v>
      </c>
      <c r="AB4772" t="s">
        <v>30592</v>
      </c>
      <c r="AD4772" t="s">
        <v>40786</v>
      </c>
      <c r="AE4772">
        <v>20</v>
      </c>
      <c r="AF4772" t="s">
        <v>45547</v>
      </c>
      <c r="AG4772" t="s">
        <v>19330</v>
      </c>
      <c r="AH4772">
        <v>1</v>
      </c>
      <c r="AI4772">
        <v>1</v>
      </c>
      <c r="AJ4772">
        <v>0</v>
      </c>
      <c r="AK4772">
        <v>0</v>
      </c>
      <c r="AN4772" t="s">
        <v>7439</v>
      </c>
      <c r="AO4772">
        <v>0</v>
      </c>
      <c r="AU4772">
        <v>2.5</v>
      </c>
      <c r="AV4772" t="s">
        <v>786</v>
      </c>
      <c r="AW4772" t="s">
        <v>226</v>
      </c>
    </row>
    <row r="4773" spans="1:50">
      <c r="A4773" s="1">
        <f>HYPERLINK("https://lsnyc.legalserver.org/matter/dynamic-profile/view/1888317","19-1888317")</f>
        <v>0</v>
      </c>
      <c r="B4773" t="s">
        <v>226</v>
      </c>
      <c r="C4773" t="s">
        <v>341</v>
      </c>
      <c r="D4773" t="s">
        <v>727</v>
      </c>
      <c r="E4773" t="s">
        <v>786</v>
      </c>
      <c r="F4773" t="s">
        <v>3165</v>
      </c>
      <c r="G4773" t="s">
        <v>7420</v>
      </c>
      <c r="H4773" t="s">
        <v>12681</v>
      </c>
      <c r="I4773" t="s">
        <v>18148</v>
      </c>
      <c r="J4773" t="s">
        <v>18892</v>
      </c>
      <c r="K4773">
        <v>10452</v>
      </c>
      <c r="L4773" t="s">
        <v>18958</v>
      </c>
      <c r="M4773" t="s">
        <v>18958</v>
      </c>
      <c r="O4773" t="s">
        <v>18997</v>
      </c>
      <c r="P4773" t="s">
        <v>26564</v>
      </c>
      <c r="Q4773" t="s">
        <v>26570</v>
      </c>
      <c r="R4773" t="s">
        <v>26578</v>
      </c>
      <c r="S4773" t="s">
        <v>18959</v>
      </c>
      <c r="U4773" t="s">
        <v>26604</v>
      </c>
      <c r="W4773" t="s">
        <v>727</v>
      </c>
      <c r="X4773">
        <v>1066</v>
      </c>
      <c r="Y4773" t="s">
        <v>26650</v>
      </c>
      <c r="Z4773" t="s">
        <v>26663</v>
      </c>
      <c r="AA4773" t="s">
        <v>26683</v>
      </c>
      <c r="AB4773" t="s">
        <v>30593</v>
      </c>
      <c r="AE4773">
        <v>59</v>
      </c>
      <c r="AF4773" t="s">
        <v>45541</v>
      </c>
      <c r="AG4773" t="s">
        <v>19330</v>
      </c>
      <c r="AH4773">
        <v>20</v>
      </c>
      <c r="AI4773">
        <v>1</v>
      </c>
      <c r="AJ4773">
        <v>0</v>
      </c>
      <c r="AK4773">
        <v>395.39</v>
      </c>
      <c r="AN4773" t="s">
        <v>7439</v>
      </c>
      <c r="AO4773">
        <v>48000</v>
      </c>
      <c r="AU4773">
        <v>2.2</v>
      </c>
      <c r="AV4773" t="s">
        <v>786</v>
      </c>
      <c r="AW4773" t="s">
        <v>226</v>
      </c>
    </row>
    <row r="4774" spans="1:50">
      <c r="A4774" s="1">
        <f>HYPERLINK("https://lsnyc.legalserver.org/matter/dynamic-profile/view/1888421","19-1888421")</f>
        <v>0</v>
      </c>
      <c r="B4774" t="s">
        <v>226</v>
      </c>
      <c r="C4774" t="s">
        <v>341</v>
      </c>
      <c r="D4774" t="s">
        <v>727</v>
      </c>
      <c r="E4774" t="s">
        <v>786</v>
      </c>
      <c r="F4774" t="s">
        <v>3166</v>
      </c>
      <c r="G4774" t="s">
        <v>5978</v>
      </c>
      <c r="H4774" t="s">
        <v>13236</v>
      </c>
      <c r="I4774" t="s">
        <v>17355</v>
      </c>
      <c r="J4774" t="s">
        <v>18892</v>
      </c>
      <c r="K4774">
        <v>10455</v>
      </c>
      <c r="L4774" t="s">
        <v>18958</v>
      </c>
      <c r="M4774" t="s">
        <v>18958</v>
      </c>
      <c r="O4774" t="s">
        <v>18997</v>
      </c>
      <c r="P4774" t="s">
        <v>26565</v>
      </c>
      <c r="Q4774" t="s">
        <v>26571</v>
      </c>
      <c r="R4774" t="s">
        <v>26578</v>
      </c>
      <c r="S4774" t="s">
        <v>18959</v>
      </c>
      <c r="U4774" t="s">
        <v>26604</v>
      </c>
      <c r="W4774" t="s">
        <v>727</v>
      </c>
      <c r="X4774">
        <v>1775</v>
      </c>
      <c r="Y4774" t="s">
        <v>26650</v>
      </c>
      <c r="Z4774" t="s">
        <v>26663</v>
      </c>
      <c r="AA4774" t="s">
        <v>26683</v>
      </c>
      <c r="AB4774" t="s">
        <v>30594</v>
      </c>
      <c r="AE4774">
        <v>54</v>
      </c>
      <c r="AF4774" t="s">
        <v>45541</v>
      </c>
      <c r="AG4774" t="s">
        <v>19330</v>
      </c>
      <c r="AH4774">
        <v>2</v>
      </c>
      <c r="AI4774">
        <v>2</v>
      </c>
      <c r="AJ4774">
        <v>0</v>
      </c>
      <c r="AK4774">
        <v>686.51</v>
      </c>
      <c r="AN4774" t="s">
        <v>7439</v>
      </c>
      <c r="AO4774">
        <v>113000</v>
      </c>
      <c r="AU4774">
        <v>2.5</v>
      </c>
      <c r="AV4774" t="s">
        <v>786</v>
      </c>
      <c r="AW4774" t="s">
        <v>226</v>
      </c>
    </row>
    <row r="4775" spans="1:50">
      <c r="A4775" s="1">
        <f>HYPERLINK("https://lsnyc.legalserver.org/matter/dynamic-profile/view/1887503","19-1887503")</f>
        <v>0</v>
      </c>
      <c r="B4775" t="s">
        <v>109</v>
      </c>
      <c r="C4775" t="s">
        <v>340</v>
      </c>
      <c r="D4775" t="s">
        <v>727</v>
      </c>
      <c r="F4775" t="s">
        <v>2240</v>
      </c>
      <c r="G4775" t="s">
        <v>5419</v>
      </c>
      <c r="H4775" t="s">
        <v>13237</v>
      </c>
      <c r="I4775" t="s">
        <v>18149</v>
      </c>
      <c r="J4775" t="s">
        <v>18902</v>
      </c>
      <c r="K4775">
        <v>10301</v>
      </c>
      <c r="L4775" t="s">
        <v>18958</v>
      </c>
      <c r="M4775" t="s">
        <v>18958</v>
      </c>
      <c r="N4775" t="s">
        <v>22513</v>
      </c>
      <c r="O4775" t="s">
        <v>26523</v>
      </c>
      <c r="P4775" t="s">
        <v>26562</v>
      </c>
      <c r="R4775" t="s">
        <v>26587</v>
      </c>
      <c r="S4775" t="s">
        <v>18959</v>
      </c>
      <c r="U4775" t="s">
        <v>26605</v>
      </c>
      <c r="V4775" t="s">
        <v>26612</v>
      </c>
      <c r="W4775" t="s">
        <v>727</v>
      </c>
      <c r="X4775">
        <v>391.6</v>
      </c>
      <c r="Y4775" t="s">
        <v>26654</v>
      </c>
      <c r="Z4775" t="s">
        <v>26674</v>
      </c>
      <c r="AB4775" t="s">
        <v>30595</v>
      </c>
      <c r="AC4775" t="s">
        <v>35846</v>
      </c>
      <c r="AD4775" t="s">
        <v>40787</v>
      </c>
      <c r="AE4775">
        <v>0</v>
      </c>
      <c r="AF4775" t="s">
        <v>45549</v>
      </c>
      <c r="AH4775">
        <v>3</v>
      </c>
      <c r="AI4775">
        <v>1</v>
      </c>
      <c r="AJ4775">
        <v>1</v>
      </c>
      <c r="AK4775">
        <v>51.03</v>
      </c>
      <c r="AN4775" t="s">
        <v>7439</v>
      </c>
      <c r="AO4775">
        <v>8400</v>
      </c>
      <c r="AR4775" t="s">
        <v>26530</v>
      </c>
      <c r="AS4775" t="s">
        <v>46499</v>
      </c>
      <c r="AT4775" t="s">
        <v>46662</v>
      </c>
      <c r="AU4775">
        <v>3</v>
      </c>
      <c r="AV4775" t="s">
        <v>849</v>
      </c>
      <c r="AW4775" t="s">
        <v>46855</v>
      </c>
    </row>
    <row r="4776" spans="1:50">
      <c r="A4776" s="1">
        <f>HYPERLINK("https://lsnyc.legalserver.org/matter/dynamic-profile/view/1888272","19-1888272")</f>
        <v>0</v>
      </c>
      <c r="B4776" t="s">
        <v>131</v>
      </c>
      <c r="C4776" t="s">
        <v>340</v>
      </c>
      <c r="D4776" t="s">
        <v>727</v>
      </c>
      <c r="F4776" t="s">
        <v>3167</v>
      </c>
      <c r="G4776" t="s">
        <v>5483</v>
      </c>
      <c r="H4776" t="s">
        <v>13238</v>
      </c>
      <c r="I4776" t="s">
        <v>17290</v>
      </c>
      <c r="J4776" t="s">
        <v>18902</v>
      </c>
      <c r="K4776">
        <v>10310</v>
      </c>
      <c r="L4776" t="s">
        <v>18958</v>
      </c>
      <c r="M4776" t="s">
        <v>18958</v>
      </c>
      <c r="N4776" t="s">
        <v>22514</v>
      </c>
      <c r="O4776" t="s">
        <v>26524</v>
      </c>
      <c r="P4776" t="s">
        <v>26560</v>
      </c>
      <c r="R4776" t="s">
        <v>26590</v>
      </c>
      <c r="S4776" t="s">
        <v>18959</v>
      </c>
      <c r="U4776" t="s">
        <v>26604</v>
      </c>
      <c r="V4776" t="s">
        <v>26610</v>
      </c>
      <c r="W4776" t="s">
        <v>727</v>
      </c>
      <c r="X4776">
        <v>544.4400000000001</v>
      </c>
      <c r="Y4776" t="s">
        <v>26654</v>
      </c>
      <c r="Z4776" t="s">
        <v>26668</v>
      </c>
      <c r="AB4776" t="s">
        <v>30596</v>
      </c>
      <c r="AD4776" t="s">
        <v>40788</v>
      </c>
      <c r="AE4776">
        <v>10</v>
      </c>
      <c r="AF4776" t="s">
        <v>45554</v>
      </c>
      <c r="AH4776">
        <v>1</v>
      </c>
      <c r="AI4776">
        <v>1</v>
      </c>
      <c r="AJ4776">
        <v>0</v>
      </c>
      <c r="AK4776">
        <v>0</v>
      </c>
      <c r="AN4776" t="s">
        <v>7439</v>
      </c>
      <c r="AO4776">
        <v>0</v>
      </c>
      <c r="AU4776">
        <v>42.15</v>
      </c>
      <c r="AV4776" t="s">
        <v>839</v>
      </c>
      <c r="AW4776" t="s">
        <v>210</v>
      </c>
    </row>
    <row r="4777" spans="1:50">
      <c r="A4777" s="1">
        <f>HYPERLINK("https://lsnyc.legalserver.org/matter/dynamic-profile/view/1888301","19-1888301")</f>
        <v>0</v>
      </c>
      <c r="B4777" t="s">
        <v>102</v>
      </c>
      <c r="C4777" t="s">
        <v>340</v>
      </c>
      <c r="D4777" t="s">
        <v>727</v>
      </c>
      <c r="F4777" t="s">
        <v>3168</v>
      </c>
      <c r="G4777" t="s">
        <v>5689</v>
      </c>
      <c r="H4777" t="s">
        <v>13239</v>
      </c>
      <c r="I4777" t="s">
        <v>17429</v>
      </c>
      <c r="J4777" t="s">
        <v>18902</v>
      </c>
      <c r="K4777">
        <v>10304</v>
      </c>
      <c r="L4777" t="s">
        <v>18958</v>
      </c>
      <c r="M4777" t="s">
        <v>18958</v>
      </c>
      <c r="N4777" t="s">
        <v>22515</v>
      </c>
      <c r="O4777" t="s">
        <v>26523</v>
      </c>
      <c r="P4777" t="s">
        <v>26560</v>
      </c>
      <c r="R4777" t="s">
        <v>26578</v>
      </c>
      <c r="S4777" t="s">
        <v>18959</v>
      </c>
      <c r="U4777" t="s">
        <v>26604</v>
      </c>
      <c r="V4777" t="s">
        <v>26610</v>
      </c>
      <c r="W4777" t="s">
        <v>727</v>
      </c>
      <c r="X4777">
        <v>1515</v>
      </c>
      <c r="Y4777" t="s">
        <v>26654</v>
      </c>
      <c r="Z4777" t="s">
        <v>26530</v>
      </c>
      <c r="AB4777" t="s">
        <v>30597</v>
      </c>
      <c r="AC4777" t="s">
        <v>35847</v>
      </c>
      <c r="AE4777">
        <v>2</v>
      </c>
      <c r="AF4777" t="s">
        <v>45547</v>
      </c>
      <c r="AG4777" t="s">
        <v>45558</v>
      </c>
      <c r="AH4777">
        <v>4</v>
      </c>
      <c r="AI4777">
        <v>2</v>
      </c>
      <c r="AJ4777">
        <v>2</v>
      </c>
      <c r="AK4777">
        <v>11.47</v>
      </c>
      <c r="AN4777" t="s">
        <v>45581</v>
      </c>
      <c r="AO4777">
        <v>2880</v>
      </c>
      <c r="AU4777">
        <v>12.75</v>
      </c>
      <c r="AV4777" t="s">
        <v>768</v>
      </c>
      <c r="AW4777" t="s">
        <v>210</v>
      </c>
    </row>
    <row r="4778" spans="1:50">
      <c r="A4778" s="1">
        <f>HYPERLINK("https://lsnyc.legalserver.org/matter/dynamic-profile/view/1888450","19-1888450")</f>
        <v>0</v>
      </c>
      <c r="B4778" t="s">
        <v>174</v>
      </c>
      <c r="C4778" t="s">
        <v>341</v>
      </c>
      <c r="D4778" t="s">
        <v>719</v>
      </c>
      <c r="E4778" t="s">
        <v>826</v>
      </c>
      <c r="F4778" t="s">
        <v>947</v>
      </c>
      <c r="G4778" t="s">
        <v>5115</v>
      </c>
      <c r="H4778" t="s">
        <v>11073</v>
      </c>
      <c r="I4778" t="s">
        <v>17332</v>
      </c>
      <c r="J4778" t="s">
        <v>18894</v>
      </c>
      <c r="K4778">
        <v>11208</v>
      </c>
      <c r="L4778" t="s">
        <v>18958</v>
      </c>
      <c r="M4778" t="s">
        <v>18958</v>
      </c>
      <c r="N4778" t="s">
        <v>22516</v>
      </c>
      <c r="O4778" t="s">
        <v>26523</v>
      </c>
      <c r="P4778" t="s">
        <v>26560</v>
      </c>
      <c r="Q4778" t="s">
        <v>26568</v>
      </c>
      <c r="R4778" t="s">
        <v>26578</v>
      </c>
      <c r="S4778" t="s">
        <v>18959</v>
      </c>
      <c r="U4778" t="s">
        <v>26604</v>
      </c>
      <c r="V4778" t="s">
        <v>26610</v>
      </c>
      <c r="W4778" t="s">
        <v>727</v>
      </c>
      <c r="X4778">
        <v>1408</v>
      </c>
      <c r="Y4778" t="s">
        <v>26652</v>
      </c>
      <c r="Z4778" t="s">
        <v>26664</v>
      </c>
      <c r="AA4778" t="s">
        <v>26678</v>
      </c>
      <c r="AB4778" t="s">
        <v>30598</v>
      </c>
      <c r="AD4778" t="s">
        <v>40789</v>
      </c>
      <c r="AE4778">
        <v>1276</v>
      </c>
      <c r="AF4778" t="s">
        <v>45541</v>
      </c>
      <c r="AG4778" t="s">
        <v>19330</v>
      </c>
      <c r="AH4778">
        <v>3</v>
      </c>
      <c r="AI4778">
        <v>1</v>
      </c>
      <c r="AJ4778">
        <v>3</v>
      </c>
      <c r="AK4778">
        <v>71.70999999999999</v>
      </c>
      <c r="AN4778" t="s">
        <v>7439</v>
      </c>
      <c r="AO4778">
        <v>18000</v>
      </c>
      <c r="AU4778">
        <v>21.7</v>
      </c>
      <c r="AV4778" t="s">
        <v>767</v>
      </c>
      <c r="AW4778" t="s">
        <v>286</v>
      </c>
      <c r="AX4778" t="s">
        <v>46897</v>
      </c>
    </row>
    <row r="4779" spans="1:50">
      <c r="A4779" s="1">
        <f>HYPERLINK("https://lsnyc.legalserver.org/matter/dynamic-profile/view/1888474","19-1888474")</f>
        <v>0</v>
      </c>
      <c r="B4779" t="s">
        <v>125</v>
      </c>
      <c r="C4779" t="s">
        <v>340</v>
      </c>
      <c r="D4779" t="s">
        <v>719</v>
      </c>
      <c r="F4779" t="s">
        <v>3169</v>
      </c>
      <c r="G4779" t="s">
        <v>5086</v>
      </c>
      <c r="H4779" t="s">
        <v>13240</v>
      </c>
      <c r="I4779" t="s">
        <v>17416</v>
      </c>
      <c r="J4779" t="s">
        <v>18894</v>
      </c>
      <c r="K4779">
        <v>11233</v>
      </c>
      <c r="L4779" t="s">
        <v>18958</v>
      </c>
      <c r="M4779" t="s">
        <v>18958</v>
      </c>
      <c r="N4779" t="s">
        <v>22517</v>
      </c>
      <c r="O4779" t="s">
        <v>26523</v>
      </c>
      <c r="P4779" t="s">
        <v>26560</v>
      </c>
      <c r="R4779" t="s">
        <v>26578</v>
      </c>
      <c r="S4779" t="s">
        <v>18959</v>
      </c>
      <c r="U4779" t="s">
        <v>26604</v>
      </c>
      <c r="V4779" t="s">
        <v>26610</v>
      </c>
      <c r="W4779" t="s">
        <v>727</v>
      </c>
      <c r="X4779">
        <v>2000</v>
      </c>
      <c r="Y4779" t="s">
        <v>26652</v>
      </c>
      <c r="Z4779" t="s">
        <v>26664</v>
      </c>
      <c r="AB4779" t="s">
        <v>30599</v>
      </c>
      <c r="AC4779" t="s">
        <v>35848</v>
      </c>
      <c r="AD4779" t="s">
        <v>40790</v>
      </c>
      <c r="AE4779">
        <v>3</v>
      </c>
      <c r="AF4779" t="s">
        <v>45547</v>
      </c>
      <c r="AG4779" t="s">
        <v>26530</v>
      </c>
      <c r="AH4779">
        <v>1</v>
      </c>
      <c r="AI4779">
        <v>2</v>
      </c>
      <c r="AJ4779">
        <v>2</v>
      </c>
      <c r="AK4779">
        <v>11.95</v>
      </c>
      <c r="AN4779" t="s">
        <v>7439</v>
      </c>
      <c r="AO4779">
        <v>3000</v>
      </c>
      <c r="AU4779">
        <v>28.05</v>
      </c>
      <c r="AV4779" t="s">
        <v>760</v>
      </c>
      <c r="AW4779" t="s">
        <v>286</v>
      </c>
      <c r="AX4779" t="s">
        <v>46897</v>
      </c>
    </row>
    <row r="4780" spans="1:50">
      <c r="A4780" s="1">
        <f>HYPERLINK("https://lsnyc.legalserver.org/matter/dynamic-profile/view/1888523","19-1888523")</f>
        <v>0</v>
      </c>
      <c r="B4780" t="s">
        <v>203</v>
      </c>
      <c r="C4780" t="s">
        <v>341</v>
      </c>
      <c r="D4780" t="s">
        <v>730</v>
      </c>
      <c r="E4780" t="s">
        <v>835</v>
      </c>
      <c r="F4780" t="s">
        <v>1756</v>
      </c>
      <c r="G4780" t="s">
        <v>1000</v>
      </c>
      <c r="H4780" t="s">
        <v>13241</v>
      </c>
      <c r="I4780" t="s">
        <v>17275</v>
      </c>
      <c r="J4780" t="s">
        <v>18894</v>
      </c>
      <c r="K4780">
        <v>11226</v>
      </c>
      <c r="L4780" t="s">
        <v>18958</v>
      </c>
      <c r="M4780" t="s">
        <v>18958</v>
      </c>
      <c r="N4780" t="s">
        <v>22518</v>
      </c>
      <c r="O4780" t="s">
        <v>26523</v>
      </c>
      <c r="P4780" t="s">
        <v>26560</v>
      </c>
      <c r="Q4780" t="s">
        <v>26568</v>
      </c>
      <c r="R4780" t="s">
        <v>26588</v>
      </c>
      <c r="S4780" t="s">
        <v>18959</v>
      </c>
      <c r="U4780" t="s">
        <v>26604</v>
      </c>
      <c r="W4780" t="s">
        <v>727</v>
      </c>
      <c r="X4780">
        <v>1164.22</v>
      </c>
      <c r="Y4780" t="s">
        <v>26652</v>
      </c>
      <c r="AA4780" t="s">
        <v>26678</v>
      </c>
      <c r="AB4780" t="s">
        <v>30600</v>
      </c>
      <c r="AD4780" t="s">
        <v>40791</v>
      </c>
      <c r="AE4780">
        <v>0</v>
      </c>
      <c r="AH4780">
        <v>30</v>
      </c>
      <c r="AI4780">
        <v>5</v>
      </c>
      <c r="AJ4780">
        <v>0</v>
      </c>
      <c r="AK4780">
        <v>63.64</v>
      </c>
      <c r="AN4780" t="s">
        <v>7439</v>
      </c>
      <c r="AO4780">
        <v>19200</v>
      </c>
      <c r="AS4780" t="s">
        <v>46499</v>
      </c>
      <c r="AU4780">
        <v>0.3</v>
      </c>
      <c r="AV4780" t="s">
        <v>779</v>
      </c>
      <c r="AW4780" t="s">
        <v>219</v>
      </c>
    </row>
    <row r="4781" spans="1:50">
      <c r="A4781" s="1">
        <f>HYPERLINK("https://lsnyc.legalserver.org/matter/dynamic-profile/view/1888524","19-1888524")</f>
        <v>0</v>
      </c>
      <c r="B4781" t="s">
        <v>203</v>
      </c>
      <c r="C4781" t="s">
        <v>341</v>
      </c>
      <c r="D4781" t="s">
        <v>730</v>
      </c>
      <c r="E4781" t="s">
        <v>835</v>
      </c>
      <c r="F4781" t="s">
        <v>3170</v>
      </c>
      <c r="G4781" t="s">
        <v>1279</v>
      </c>
      <c r="H4781" t="s">
        <v>13242</v>
      </c>
      <c r="I4781" t="s">
        <v>17374</v>
      </c>
      <c r="J4781" t="s">
        <v>18894</v>
      </c>
      <c r="K4781">
        <v>11226</v>
      </c>
      <c r="L4781" t="s">
        <v>18958</v>
      </c>
      <c r="M4781" t="s">
        <v>18958</v>
      </c>
      <c r="N4781" t="s">
        <v>22519</v>
      </c>
      <c r="O4781" t="s">
        <v>26524</v>
      </c>
      <c r="P4781" t="s">
        <v>26560</v>
      </c>
      <c r="Q4781" t="s">
        <v>26568</v>
      </c>
      <c r="R4781" t="s">
        <v>26588</v>
      </c>
      <c r="S4781" t="s">
        <v>18959</v>
      </c>
      <c r="U4781" t="s">
        <v>26604</v>
      </c>
      <c r="W4781" t="s">
        <v>727</v>
      </c>
      <c r="X4781">
        <v>700</v>
      </c>
      <c r="Y4781" t="s">
        <v>26652</v>
      </c>
      <c r="AA4781" t="s">
        <v>26679</v>
      </c>
      <c r="AB4781" t="s">
        <v>26823</v>
      </c>
      <c r="AE4781">
        <v>0</v>
      </c>
      <c r="AH4781">
        <v>2</v>
      </c>
      <c r="AI4781">
        <v>2</v>
      </c>
      <c r="AJ4781">
        <v>0</v>
      </c>
      <c r="AK4781">
        <v>184.51</v>
      </c>
      <c r="AN4781" t="s">
        <v>7439</v>
      </c>
      <c r="AO4781">
        <v>31200</v>
      </c>
      <c r="AU4781">
        <v>0.1</v>
      </c>
      <c r="AV4781" t="s">
        <v>835</v>
      </c>
      <c r="AW4781" t="s">
        <v>219</v>
      </c>
    </row>
    <row r="4782" spans="1:50">
      <c r="A4782" s="1">
        <f>HYPERLINK("https://lsnyc.legalserver.org/matter/dynamic-profile/view/1888540","19-1888540")</f>
        <v>0</v>
      </c>
      <c r="B4782" t="s">
        <v>203</v>
      </c>
      <c r="C4782" t="s">
        <v>341</v>
      </c>
      <c r="D4782" t="s">
        <v>707</v>
      </c>
      <c r="E4782" t="s">
        <v>835</v>
      </c>
      <c r="F4782" t="s">
        <v>3171</v>
      </c>
      <c r="G4782" t="s">
        <v>7421</v>
      </c>
      <c r="H4782" t="s">
        <v>13243</v>
      </c>
      <c r="I4782" t="s">
        <v>17362</v>
      </c>
      <c r="J4782" t="s">
        <v>18894</v>
      </c>
      <c r="K4782">
        <v>11226</v>
      </c>
      <c r="L4782" t="s">
        <v>18958</v>
      </c>
      <c r="M4782" t="s">
        <v>18958</v>
      </c>
      <c r="N4782" t="s">
        <v>22520</v>
      </c>
      <c r="O4782" t="s">
        <v>26523</v>
      </c>
      <c r="Q4782" t="s">
        <v>26568</v>
      </c>
      <c r="R4782" t="s">
        <v>26588</v>
      </c>
      <c r="S4782" t="s">
        <v>18959</v>
      </c>
      <c r="U4782" t="s">
        <v>26604</v>
      </c>
      <c r="W4782" t="s">
        <v>727</v>
      </c>
      <c r="X4782">
        <v>1201.1</v>
      </c>
      <c r="Y4782" t="s">
        <v>26652</v>
      </c>
      <c r="AA4782" t="s">
        <v>26678</v>
      </c>
      <c r="AB4782" t="s">
        <v>30601</v>
      </c>
      <c r="AD4782" t="s">
        <v>40792</v>
      </c>
      <c r="AE4782">
        <v>0</v>
      </c>
      <c r="AH4782">
        <v>4</v>
      </c>
      <c r="AI4782">
        <v>2</v>
      </c>
      <c r="AJ4782">
        <v>1</v>
      </c>
      <c r="AK4782">
        <v>135.96</v>
      </c>
      <c r="AN4782" t="s">
        <v>7439</v>
      </c>
      <c r="AO4782">
        <v>29000</v>
      </c>
      <c r="AS4782" t="s">
        <v>46499</v>
      </c>
      <c r="AU4782">
        <v>5.05</v>
      </c>
      <c r="AV4782" t="s">
        <v>659</v>
      </c>
      <c r="AW4782" t="s">
        <v>219</v>
      </c>
    </row>
    <row r="4783" spans="1:50">
      <c r="A4783" s="1">
        <f>HYPERLINK("https://lsnyc.legalserver.org/matter/dynamic-profile/view/1888685","19-1888685")</f>
        <v>0</v>
      </c>
      <c r="B4783" t="s">
        <v>203</v>
      </c>
      <c r="C4783" t="s">
        <v>341</v>
      </c>
      <c r="D4783" t="s">
        <v>707</v>
      </c>
      <c r="E4783" t="s">
        <v>835</v>
      </c>
      <c r="F4783" t="s">
        <v>1663</v>
      </c>
      <c r="G4783" t="s">
        <v>5950</v>
      </c>
      <c r="H4783" t="s">
        <v>13244</v>
      </c>
      <c r="J4783" t="s">
        <v>18894</v>
      </c>
      <c r="K4783">
        <v>11226</v>
      </c>
      <c r="L4783" t="s">
        <v>18958</v>
      </c>
      <c r="M4783" t="s">
        <v>18958</v>
      </c>
      <c r="N4783" t="s">
        <v>22521</v>
      </c>
      <c r="O4783" t="s">
        <v>26523</v>
      </c>
      <c r="Q4783" t="s">
        <v>26568</v>
      </c>
      <c r="R4783" t="s">
        <v>26588</v>
      </c>
      <c r="S4783" t="s">
        <v>18959</v>
      </c>
      <c r="U4783" t="s">
        <v>26604</v>
      </c>
      <c r="W4783" t="s">
        <v>727</v>
      </c>
      <c r="X4783">
        <v>1400</v>
      </c>
      <c r="Y4783" t="s">
        <v>26652</v>
      </c>
      <c r="AA4783" t="s">
        <v>26678</v>
      </c>
      <c r="AB4783" t="s">
        <v>30602</v>
      </c>
      <c r="AD4783" t="s">
        <v>40793</v>
      </c>
      <c r="AE4783">
        <v>0</v>
      </c>
      <c r="AH4783">
        <v>11</v>
      </c>
      <c r="AI4783">
        <v>2</v>
      </c>
      <c r="AJ4783">
        <v>2</v>
      </c>
      <c r="AK4783">
        <v>181.75</v>
      </c>
      <c r="AN4783" t="s">
        <v>7439</v>
      </c>
      <c r="AO4783">
        <v>46800</v>
      </c>
      <c r="AS4783" t="s">
        <v>46499</v>
      </c>
      <c r="AU4783">
        <v>4.1</v>
      </c>
      <c r="AV4783" t="s">
        <v>751</v>
      </c>
      <c r="AW4783" t="s">
        <v>219</v>
      </c>
    </row>
    <row r="4784" spans="1:50">
      <c r="A4784" s="1">
        <f>HYPERLINK("https://lsnyc.legalserver.org/matter/dynamic-profile/view/1888789","19-1888789")</f>
        <v>0</v>
      </c>
      <c r="B4784" t="s">
        <v>203</v>
      </c>
      <c r="C4784" t="s">
        <v>340</v>
      </c>
      <c r="D4784" t="s">
        <v>698</v>
      </c>
      <c r="F4784" t="s">
        <v>3172</v>
      </c>
      <c r="G4784" t="s">
        <v>5473</v>
      </c>
      <c r="H4784" t="s">
        <v>13245</v>
      </c>
      <c r="I4784" t="s">
        <v>18150</v>
      </c>
      <c r="J4784" t="s">
        <v>18894</v>
      </c>
      <c r="K4784">
        <v>11226</v>
      </c>
      <c r="L4784" t="s">
        <v>18958</v>
      </c>
      <c r="M4784" t="s">
        <v>18958</v>
      </c>
      <c r="N4784" t="s">
        <v>22522</v>
      </c>
      <c r="O4784" t="s">
        <v>26523</v>
      </c>
      <c r="P4784" t="s">
        <v>26560</v>
      </c>
      <c r="R4784" t="s">
        <v>26588</v>
      </c>
      <c r="U4784" t="s">
        <v>26604</v>
      </c>
      <c r="W4784" t="s">
        <v>727</v>
      </c>
      <c r="X4784">
        <v>0</v>
      </c>
      <c r="Y4784" t="s">
        <v>26652</v>
      </c>
      <c r="AB4784" t="s">
        <v>30603</v>
      </c>
      <c r="AD4784" t="s">
        <v>40794</v>
      </c>
      <c r="AE4784">
        <v>57</v>
      </c>
      <c r="AH4784">
        <v>19</v>
      </c>
      <c r="AI4784">
        <v>1</v>
      </c>
      <c r="AJ4784">
        <v>0</v>
      </c>
      <c r="AK4784">
        <v>167.17</v>
      </c>
      <c r="AN4784" t="s">
        <v>7439</v>
      </c>
      <c r="AO4784">
        <v>20880</v>
      </c>
      <c r="AU4784">
        <v>4.7</v>
      </c>
      <c r="AV4784" t="s">
        <v>789</v>
      </c>
      <c r="AW4784" t="s">
        <v>219</v>
      </c>
    </row>
    <row r="4785" spans="1:50">
      <c r="A4785" s="1">
        <f>HYPERLINK("https://lsnyc.legalserver.org/matter/dynamic-profile/view/1888347","19-1888347")</f>
        <v>0</v>
      </c>
      <c r="B4785" t="s">
        <v>277</v>
      </c>
      <c r="C4785" t="s">
        <v>341</v>
      </c>
      <c r="D4785" t="s">
        <v>731</v>
      </c>
      <c r="E4785" t="s">
        <v>731</v>
      </c>
      <c r="F4785" t="s">
        <v>1140</v>
      </c>
      <c r="G4785" t="s">
        <v>7422</v>
      </c>
      <c r="H4785" t="s">
        <v>13246</v>
      </c>
      <c r="I4785" t="s">
        <v>17804</v>
      </c>
      <c r="J4785" t="s">
        <v>18918</v>
      </c>
      <c r="K4785">
        <v>11416</v>
      </c>
      <c r="L4785" t="s">
        <v>18959</v>
      </c>
      <c r="M4785" t="s">
        <v>18959</v>
      </c>
      <c r="N4785" t="s">
        <v>22523</v>
      </c>
      <c r="O4785" t="s">
        <v>26524</v>
      </c>
      <c r="P4785" t="s">
        <v>26564</v>
      </c>
      <c r="Q4785" t="s">
        <v>26570</v>
      </c>
      <c r="R4785" t="s">
        <v>26584</v>
      </c>
      <c r="S4785" t="s">
        <v>18959</v>
      </c>
      <c r="U4785" t="s">
        <v>26604</v>
      </c>
      <c r="V4785" t="s">
        <v>26610</v>
      </c>
      <c r="W4785" t="s">
        <v>727</v>
      </c>
      <c r="X4785">
        <v>775</v>
      </c>
      <c r="Y4785" t="s">
        <v>26653</v>
      </c>
      <c r="Z4785" t="s">
        <v>26661</v>
      </c>
      <c r="AA4785" t="s">
        <v>26683</v>
      </c>
      <c r="AB4785" t="s">
        <v>30604</v>
      </c>
      <c r="AD4785" t="s">
        <v>40795</v>
      </c>
      <c r="AE4785">
        <v>8</v>
      </c>
      <c r="AF4785" t="s">
        <v>45547</v>
      </c>
      <c r="AG4785" t="s">
        <v>19330</v>
      </c>
      <c r="AH4785">
        <v>30</v>
      </c>
      <c r="AI4785">
        <v>1</v>
      </c>
      <c r="AJ4785">
        <v>0</v>
      </c>
      <c r="AK4785">
        <v>329.49</v>
      </c>
      <c r="AN4785" t="s">
        <v>7439</v>
      </c>
      <c r="AO4785">
        <v>40000</v>
      </c>
      <c r="AU4785">
        <v>3.4</v>
      </c>
      <c r="AV4785" t="s">
        <v>829</v>
      </c>
      <c r="AW4785" t="s">
        <v>277</v>
      </c>
    </row>
    <row r="4786" spans="1:50">
      <c r="A4786" s="1">
        <f>HYPERLINK("https://lsnyc.legalserver.org/matter/dynamic-profile/view/1885779","18-1885779")</f>
        <v>0</v>
      </c>
      <c r="B4786" t="s">
        <v>69</v>
      </c>
      <c r="C4786" t="s">
        <v>340</v>
      </c>
      <c r="D4786" t="s">
        <v>688</v>
      </c>
      <c r="F4786" t="s">
        <v>3173</v>
      </c>
      <c r="G4786" t="s">
        <v>5079</v>
      </c>
      <c r="H4786" t="s">
        <v>9740</v>
      </c>
      <c r="I4786" t="s">
        <v>17360</v>
      </c>
      <c r="J4786" t="s">
        <v>18892</v>
      </c>
      <c r="K4786">
        <v>10468</v>
      </c>
      <c r="L4786" t="s">
        <v>18958</v>
      </c>
      <c r="M4786" t="s">
        <v>18958</v>
      </c>
      <c r="N4786" t="s">
        <v>22524</v>
      </c>
      <c r="O4786" t="s">
        <v>26523</v>
      </c>
      <c r="P4786" t="s">
        <v>26560</v>
      </c>
      <c r="R4786" t="s">
        <v>26579</v>
      </c>
      <c r="U4786" t="s">
        <v>26604</v>
      </c>
      <c r="V4786" t="s">
        <v>26610</v>
      </c>
      <c r="W4786" t="s">
        <v>719</v>
      </c>
      <c r="X4786">
        <v>785</v>
      </c>
      <c r="Y4786" t="s">
        <v>26650</v>
      </c>
      <c r="Z4786" t="s">
        <v>26664</v>
      </c>
      <c r="AB4786" t="s">
        <v>30605</v>
      </c>
      <c r="AD4786" t="s">
        <v>40796</v>
      </c>
      <c r="AE4786">
        <v>0</v>
      </c>
      <c r="AF4786" t="s">
        <v>45541</v>
      </c>
      <c r="AH4786">
        <v>30</v>
      </c>
      <c r="AI4786">
        <v>2</v>
      </c>
      <c r="AJ4786">
        <v>0</v>
      </c>
      <c r="AK4786">
        <v>226</v>
      </c>
      <c r="AL4786" t="s">
        <v>751</v>
      </c>
      <c r="AM4786" t="s">
        <v>45575</v>
      </c>
      <c r="AN4786" t="s">
        <v>7439</v>
      </c>
      <c r="AO4786">
        <v>37200</v>
      </c>
      <c r="AP4786" t="s">
        <v>45659</v>
      </c>
      <c r="AU4786">
        <v>10.8</v>
      </c>
      <c r="AV4786" t="s">
        <v>785</v>
      </c>
      <c r="AW4786" t="s">
        <v>334</v>
      </c>
    </row>
    <row r="4787" spans="1:50">
      <c r="A4787" s="1">
        <f>HYPERLINK("https://lsnyc.legalserver.org/matter/dynamic-profile/view/1887017","19-1887017")</f>
        <v>0</v>
      </c>
      <c r="B4787" t="s">
        <v>188</v>
      </c>
      <c r="C4787" t="s">
        <v>340</v>
      </c>
      <c r="D4787" t="s">
        <v>718</v>
      </c>
      <c r="F4787" t="s">
        <v>3174</v>
      </c>
      <c r="G4787" t="s">
        <v>1128</v>
      </c>
      <c r="H4787" t="s">
        <v>11980</v>
      </c>
      <c r="I4787" t="s">
        <v>17292</v>
      </c>
      <c r="J4787" t="s">
        <v>18892</v>
      </c>
      <c r="K4787">
        <v>10459</v>
      </c>
      <c r="L4787" t="s">
        <v>18958</v>
      </c>
      <c r="M4787" t="s">
        <v>18958</v>
      </c>
      <c r="O4787" t="s">
        <v>26526</v>
      </c>
      <c r="P4787" t="s">
        <v>26560</v>
      </c>
      <c r="R4787" t="s">
        <v>26578</v>
      </c>
      <c r="S4787" t="s">
        <v>18958</v>
      </c>
      <c r="U4787" t="s">
        <v>26604</v>
      </c>
      <c r="W4787" t="s">
        <v>719</v>
      </c>
      <c r="X4787">
        <v>1000</v>
      </c>
      <c r="Y4787" t="s">
        <v>26650</v>
      </c>
      <c r="Z4787" t="s">
        <v>26663</v>
      </c>
      <c r="AB4787" t="s">
        <v>30606</v>
      </c>
      <c r="AD4787" t="s">
        <v>40797</v>
      </c>
      <c r="AE4787">
        <v>48</v>
      </c>
      <c r="AF4787" t="s">
        <v>45543</v>
      </c>
      <c r="AG4787" t="s">
        <v>45563</v>
      </c>
      <c r="AH4787">
        <v>15</v>
      </c>
      <c r="AI4787">
        <v>1</v>
      </c>
      <c r="AJ4787">
        <v>0</v>
      </c>
      <c r="AK4787">
        <v>17.79</v>
      </c>
      <c r="AN4787" t="s">
        <v>7439</v>
      </c>
      <c r="AO4787">
        <v>2160</v>
      </c>
      <c r="AU4787">
        <v>0.2</v>
      </c>
      <c r="AV4787" t="s">
        <v>573</v>
      </c>
      <c r="AW4787" t="s">
        <v>336</v>
      </c>
    </row>
    <row r="4788" spans="1:50">
      <c r="A4788" s="1">
        <f>HYPERLINK("https://lsnyc.legalserver.org/matter/dynamic-profile/view/1887044","19-1887044")</f>
        <v>0</v>
      </c>
      <c r="B4788" t="s">
        <v>67</v>
      </c>
      <c r="C4788" t="s">
        <v>340</v>
      </c>
      <c r="D4788" t="s">
        <v>668</v>
      </c>
      <c r="F4788" t="s">
        <v>3175</v>
      </c>
      <c r="G4788" t="s">
        <v>7423</v>
      </c>
      <c r="H4788" t="s">
        <v>12199</v>
      </c>
      <c r="I4788" t="s">
        <v>18151</v>
      </c>
      <c r="J4788" t="s">
        <v>18892</v>
      </c>
      <c r="K4788">
        <v>10460</v>
      </c>
      <c r="L4788" t="s">
        <v>18958</v>
      </c>
      <c r="M4788" t="s">
        <v>18958</v>
      </c>
      <c r="N4788" t="s">
        <v>22525</v>
      </c>
      <c r="O4788" t="s">
        <v>26523</v>
      </c>
      <c r="P4788" t="s">
        <v>26560</v>
      </c>
      <c r="R4788" t="s">
        <v>26578</v>
      </c>
      <c r="S4788" t="s">
        <v>18959</v>
      </c>
      <c r="U4788" t="s">
        <v>26604</v>
      </c>
      <c r="V4788" t="s">
        <v>26612</v>
      </c>
      <c r="W4788" t="s">
        <v>719</v>
      </c>
      <c r="X4788">
        <v>233</v>
      </c>
      <c r="Y4788" t="s">
        <v>26650</v>
      </c>
      <c r="Z4788" t="s">
        <v>26659</v>
      </c>
      <c r="AB4788" t="s">
        <v>26886</v>
      </c>
      <c r="AD4788" t="s">
        <v>40798</v>
      </c>
      <c r="AE4788">
        <v>248</v>
      </c>
      <c r="AF4788" t="s">
        <v>45551</v>
      </c>
      <c r="AG4788" t="s">
        <v>45561</v>
      </c>
      <c r="AH4788">
        <v>25</v>
      </c>
      <c r="AI4788">
        <v>2</v>
      </c>
      <c r="AJ4788">
        <v>0</v>
      </c>
      <c r="AK4788">
        <v>11.92</v>
      </c>
      <c r="AN4788" t="s">
        <v>7439</v>
      </c>
      <c r="AO4788">
        <v>1962</v>
      </c>
      <c r="AU4788">
        <v>23.8</v>
      </c>
      <c r="AV4788" t="s">
        <v>826</v>
      </c>
      <c r="AW4788" t="s">
        <v>336</v>
      </c>
    </row>
    <row r="4789" spans="1:50">
      <c r="A4789" s="1">
        <f>HYPERLINK("https://lsnyc.legalserver.org/matter/dynamic-profile/view/1888259","19-1888259")</f>
        <v>0</v>
      </c>
      <c r="B4789" t="s">
        <v>165</v>
      </c>
      <c r="C4789" t="s">
        <v>340</v>
      </c>
      <c r="D4789" t="s">
        <v>726</v>
      </c>
      <c r="F4789" t="s">
        <v>2120</v>
      </c>
      <c r="G4789" t="s">
        <v>6436</v>
      </c>
      <c r="H4789" t="s">
        <v>13247</v>
      </c>
      <c r="I4789" t="s">
        <v>17282</v>
      </c>
      <c r="J4789" t="s">
        <v>18893</v>
      </c>
      <c r="K4789">
        <v>10040</v>
      </c>
      <c r="L4789" t="s">
        <v>18958</v>
      </c>
      <c r="M4789" t="s">
        <v>18958</v>
      </c>
      <c r="N4789" t="s">
        <v>22526</v>
      </c>
      <c r="O4789" t="s">
        <v>26523</v>
      </c>
      <c r="P4789" t="s">
        <v>26560</v>
      </c>
      <c r="R4789" t="s">
        <v>26582</v>
      </c>
      <c r="S4789" t="s">
        <v>18959</v>
      </c>
      <c r="U4789" t="s">
        <v>26604</v>
      </c>
      <c r="W4789" t="s">
        <v>719</v>
      </c>
      <c r="X4789">
        <v>1008</v>
      </c>
      <c r="Y4789" t="s">
        <v>26651</v>
      </c>
      <c r="Z4789" t="s">
        <v>26664</v>
      </c>
      <c r="AB4789" t="s">
        <v>30607</v>
      </c>
      <c r="AC4789" t="s">
        <v>35849</v>
      </c>
      <c r="AD4789" t="s">
        <v>40799</v>
      </c>
      <c r="AE4789">
        <v>50</v>
      </c>
      <c r="AF4789" t="s">
        <v>45541</v>
      </c>
      <c r="AG4789" t="s">
        <v>45559</v>
      </c>
      <c r="AH4789">
        <v>18</v>
      </c>
      <c r="AI4789">
        <v>1</v>
      </c>
      <c r="AJ4789">
        <v>0</v>
      </c>
      <c r="AK4789">
        <v>154.89</v>
      </c>
      <c r="AN4789" t="s">
        <v>45581</v>
      </c>
      <c r="AO4789">
        <v>18804</v>
      </c>
      <c r="AU4789">
        <v>15.4</v>
      </c>
      <c r="AV4789" t="s">
        <v>829</v>
      </c>
      <c r="AW4789" t="s">
        <v>314</v>
      </c>
    </row>
    <row r="4790" spans="1:50">
      <c r="A4790" s="1">
        <f>HYPERLINK("https://lsnyc.legalserver.org/matter/dynamic-profile/view/1888411","19-1888411")</f>
        <v>0</v>
      </c>
      <c r="B4790" t="s">
        <v>165</v>
      </c>
      <c r="C4790" t="s">
        <v>341</v>
      </c>
      <c r="D4790" t="s">
        <v>719</v>
      </c>
      <c r="E4790" t="s">
        <v>832</v>
      </c>
      <c r="F4790" t="s">
        <v>1738</v>
      </c>
      <c r="G4790" t="s">
        <v>6092</v>
      </c>
      <c r="H4790" t="s">
        <v>13248</v>
      </c>
      <c r="I4790" t="s">
        <v>17349</v>
      </c>
      <c r="J4790" t="s">
        <v>18893</v>
      </c>
      <c r="K4790">
        <v>10016</v>
      </c>
      <c r="L4790" t="s">
        <v>18958</v>
      </c>
      <c r="M4790" t="s">
        <v>18958</v>
      </c>
      <c r="N4790" t="s">
        <v>22527</v>
      </c>
      <c r="O4790" t="s">
        <v>26523</v>
      </c>
      <c r="P4790" t="s">
        <v>26564</v>
      </c>
      <c r="Q4790" t="s">
        <v>26570</v>
      </c>
      <c r="R4790" t="s">
        <v>26582</v>
      </c>
      <c r="S4790" t="s">
        <v>18959</v>
      </c>
      <c r="U4790" t="s">
        <v>26604</v>
      </c>
      <c r="W4790" t="s">
        <v>719</v>
      </c>
      <c r="X4790">
        <v>2417</v>
      </c>
      <c r="Y4790" t="s">
        <v>26651</v>
      </c>
      <c r="Z4790" t="s">
        <v>26664</v>
      </c>
      <c r="AA4790" t="s">
        <v>26683</v>
      </c>
      <c r="AB4790" t="s">
        <v>30608</v>
      </c>
      <c r="AC4790" t="s">
        <v>35850</v>
      </c>
      <c r="AD4790" t="s">
        <v>40800</v>
      </c>
      <c r="AE4790">
        <v>902</v>
      </c>
      <c r="AF4790" t="s">
        <v>20460</v>
      </c>
      <c r="AG4790" t="s">
        <v>26530</v>
      </c>
      <c r="AH4790">
        <v>11</v>
      </c>
      <c r="AI4790">
        <v>1</v>
      </c>
      <c r="AJ4790">
        <v>0</v>
      </c>
      <c r="AK4790">
        <v>76.20999999999999</v>
      </c>
      <c r="AN4790" t="s">
        <v>7439</v>
      </c>
      <c r="AO4790">
        <v>9252</v>
      </c>
      <c r="AU4790">
        <v>0.1</v>
      </c>
      <c r="AV4790" t="s">
        <v>659</v>
      </c>
      <c r="AW4790" t="s">
        <v>46875</v>
      </c>
    </row>
    <row r="4791" spans="1:50">
      <c r="A4791" s="1">
        <f>HYPERLINK("https://lsnyc.legalserver.org/matter/dynamic-profile/view/1888516","19-1888516")</f>
        <v>0</v>
      </c>
      <c r="B4791" t="s">
        <v>251</v>
      </c>
      <c r="C4791" t="s">
        <v>341</v>
      </c>
      <c r="D4791" t="s">
        <v>719</v>
      </c>
      <c r="E4791" t="s">
        <v>836</v>
      </c>
      <c r="F4791" t="s">
        <v>3176</v>
      </c>
      <c r="G4791" t="s">
        <v>7424</v>
      </c>
      <c r="H4791" t="s">
        <v>13249</v>
      </c>
      <c r="I4791" t="s">
        <v>17355</v>
      </c>
      <c r="J4791" t="s">
        <v>18892</v>
      </c>
      <c r="K4791">
        <v>10457</v>
      </c>
      <c r="L4791" t="s">
        <v>18958</v>
      </c>
      <c r="M4791" t="s">
        <v>18958</v>
      </c>
      <c r="N4791" t="s">
        <v>22528</v>
      </c>
      <c r="O4791" t="s">
        <v>26523</v>
      </c>
      <c r="P4791" t="s">
        <v>26560</v>
      </c>
      <c r="Q4791" t="s">
        <v>26573</v>
      </c>
      <c r="R4791" t="s">
        <v>26579</v>
      </c>
      <c r="U4791" t="s">
        <v>26604</v>
      </c>
      <c r="V4791" t="s">
        <v>26610</v>
      </c>
      <c r="W4791" t="s">
        <v>719</v>
      </c>
      <c r="X4791">
        <v>952.88</v>
      </c>
      <c r="Y4791" t="s">
        <v>26650</v>
      </c>
      <c r="Z4791" t="s">
        <v>26664</v>
      </c>
      <c r="AA4791" t="s">
        <v>26678</v>
      </c>
      <c r="AB4791" t="s">
        <v>27276</v>
      </c>
      <c r="AD4791" t="s">
        <v>40801</v>
      </c>
      <c r="AE4791">
        <v>16</v>
      </c>
      <c r="AF4791" t="s">
        <v>45541</v>
      </c>
      <c r="AG4791" t="s">
        <v>19330</v>
      </c>
      <c r="AH4791">
        <v>6</v>
      </c>
      <c r="AI4791">
        <v>1</v>
      </c>
      <c r="AJ4791">
        <v>1</v>
      </c>
      <c r="AK4791">
        <v>170.11</v>
      </c>
      <c r="AN4791" t="s">
        <v>7439</v>
      </c>
      <c r="AO4791">
        <v>28000</v>
      </c>
      <c r="AS4791" t="s">
        <v>46499</v>
      </c>
      <c r="AT4791" t="s">
        <v>46704</v>
      </c>
      <c r="AU4791">
        <v>13.6</v>
      </c>
      <c r="AV4791" t="s">
        <v>766</v>
      </c>
      <c r="AW4791" t="s">
        <v>334</v>
      </c>
    </row>
    <row r="4792" spans="1:50">
      <c r="A4792" s="1">
        <f>HYPERLINK("https://lsnyc.legalserver.org/matter/dynamic-profile/view/1888442","19-1888442")</f>
        <v>0</v>
      </c>
      <c r="B4792" t="s">
        <v>191</v>
      </c>
      <c r="C4792" t="s">
        <v>341</v>
      </c>
      <c r="D4792" t="s">
        <v>719</v>
      </c>
      <c r="E4792" t="s">
        <v>832</v>
      </c>
      <c r="F4792" t="s">
        <v>2587</v>
      </c>
      <c r="G4792" t="s">
        <v>5208</v>
      </c>
      <c r="H4792" t="s">
        <v>13250</v>
      </c>
      <c r="I4792" t="s">
        <v>17274</v>
      </c>
      <c r="J4792" t="s">
        <v>18893</v>
      </c>
      <c r="K4792">
        <v>10032</v>
      </c>
      <c r="L4792" t="s">
        <v>18958</v>
      </c>
      <c r="M4792" t="s">
        <v>18958</v>
      </c>
      <c r="N4792" t="s">
        <v>22529</v>
      </c>
      <c r="O4792" t="s">
        <v>26523</v>
      </c>
      <c r="P4792" t="s">
        <v>26564</v>
      </c>
      <c r="Q4792" t="s">
        <v>26570</v>
      </c>
      <c r="R4792" t="s">
        <v>26582</v>
      </c>
      <c r="S4792" t="s">
        <v>18959</v>
      </c>
      <c r="U4792" t="s">
        <v>26604</v>
      </c>
      <c r="W4792" t="s">
        <v>719</v>
      </c>
      <c r="X4792">
        <v>519.39</v>
      </c>
      <c r="Y4792" t="s">
        <v>26651</v>
      </c>
      <c r="Z4792" t="s">
        <v>26664</v>
      </c>
      <c r="AA4792" t="s">
        <v>26683</v>
      </c>
      <c r="AB4792" t="s">
        <v>29663</v>
      </c>
      <c r="AC4792" t="s">
        <v>35851</v>
      </c>
      <c r="AD4792" t="s">
        <v>40802</v>
      </c>
      <c r="AE4792">
        <v>10</v>
      </c>
      <c r="AF4792" t="s">
        <v>45541</v>
      </c>
      <c r="AG4792" t="s">
        <v>26530</v>
      </c>
      <c r="AH4792">
        <v>12</v>
      </c>
      <c r="AI4792">
        <v>2</v>
      </c>
      <c r="AJ4792">
        <v>0</v>
      </c>
      <c r="AK4792">
        <v>20.69</v>
      </c>
      <c r="AN4792" t="s">
        <v>7439</v>
      </c>
      <c r="AO4792">
        <v>3406</v>
      </c>
      <c r="AU4792">
        <v>1.2</v>
      </c>
      <c r="AV4792" t="s">
        <v>831</v>
      </c>
      <c r="AW4792" t="s">
        <v>46875</v>
      </c>
      <c r="AX4792" t="s">
        <v>46898</v>
      </c>
    </row>
    <row r="4793" spans="1:50">
      <c r="A4793" s="1">
        <f>HYPERLINK("https://lsnyc.legalserver.org/matter/dynamic-profile/view/1887313","19-1887313")</f>
        <v>0</v>
      </c>
      <c r="B4793" t="s">
        <v>104</v>
      </c>
      <c r="C4793" t="s">
        <v>341</v>
      </c>
      <c r="D4793" t="s">
        <v>719</v>
      </c>
      <c r="E4793" t="s">
        <v>754</v>
      </c>
      <c r="F4793" t="s">
        <v>1106</v>
      </c>
      <c r="G4793" t="s">
        <v>5265</v>
      </c>
      <c r="H4793" t="s">
        <v>9998</v>
      </c>
      <c r="I4793" t="s">
        <v>17324</v>
      </c>
      <c r="J4793" t="s">
        <v>18902</v>
      </c>
      <c r="K4793">
        <v>10301</v>
      </c>
      <c r="L4793" t="s">
        <v>18958</v>
      </c>
      <c r="M4793" t="s">
        <v>18958</v>
      </c>
      <c r="N4793" t="s">
        <v>22530</v>
      </c>
      <c r="O4793" t="s">
        <v>26524</v>
      </c>
      <c r="P4793" t="s">
        <v>26560</v>
      </c>
      <c r="Q4793" t="s">
        <v>26568</v>
      </c>
      <c r="R4793" t="s">
        <v>26578</v>
      </c>
      <c r="S4793" t="s">
        <v>18959</v>
      </c>
      <c r="U4793" t="s">
        <v>26604</v>
      </c>
      <c r="V4793" t="s">
        <v>26610</v>
      </c>
      <c r="W4793" t="s">
        <v>719</v>
      </c>
      <c r="X4793">
        <v>1555</v>
      </c>
      <c r="Y4793" t="s">
        <v>26654</v>
      </c>
      <c r="AA4793" t="s">
        <v>26678</v>
      </c>
      <c r="AB4793" t="s">
        <v>27086</v>
      </c>
      <c r="AD4793" t="s">
        <v>37166</v>
      </c>
      <c r="AE4793">
        <v>3</v>
      </c>
      <c r="AF4793" t="s">
        <v>45547</v>
      </c>
      <c r="AG4793" t="s">
        <v>45556</v>
      </c>
      <c r="AH4793">
        <v>3</v>
      </c>
      <c r="AI4793">
        <v>2</v>
      </c>
      <c r="AJ4793">
        <v>1</v>
      </c>
      <c r="AK4793">
        <v>108.28</v>
      </c>
      <c r="AN4793" t="s">
        <v>7439</v>
      </c>
      <c r="AO4793">
        <v>22500</v>
      </c>
      <c r="AQ4793" t="s">
        <v>46362</v>
      </c>
      <c r="AR4793" t="s">
        <v>46379</v>
      </c>
      <c r="AS4793" t="s">
        <v>46499</v>
      </c>
      <c r="AT4793" t="s">
        <v>46537</v>
      </c>
      <c r="AU4793">
        <v>18.2</v>
      </c>
      <c r="AV4793" t="s">
        <v>574</v>
      </c>
      <c r="AW4793" t="s">
        <v>46855</v>
      </c>
    </row>
    <row r="4794" spans="1:50">
      <c r="A4794" s="1">
        <f>HYPERLINK("https://lsnyc.legalserver.org/matter/dynamic-profile/view/1888488","19-1888488")</f>
        <v>0</v>
      </c>
      <c r="B4794" t="s">
        <v>69</v>
      </c>
      <c r="C4794" t="s">
        <v>341</v>
      </c>
      <c r="D4794" t="s">
        <v>719</v>
      </c>
      <c r="E4794" t="s">
        <v>786</v>
      </c>
      <c r="F4794" t="s">
        <v>1225</v>
      </c>
      <c r="G4794" t="s">
        <v>4160</v>
      </c>
      <c r="H4794" t="s">
        <v>13251</v>
      </c>
      <c r="I4794">
        <v>3</v>
      </c>
      <c r="J4794" t="s">
        <v>18892</v>
      </c>
      <c r="K4794">
        <v>10467</v>
      </c>
      <c r="L4794" t="s">
        <v>18958</v>
      </c>
      <c r="M4794" t="s">
        <v>18958</v>
      </c>
      <c r="N4794" t="s">
        <v>22531</v>
      </c>
      <c r="O4794" t="s">
        <v>26523</v>
      </c>
      <c r="P4794" t="s">
        <v>26564</v>
      </c>
      <c r="Q4794" t="s">
        <v>26570</v>
      </c>
      <c r="R4794" t="s">
        <v>26579</v>
      </c>
      <c r="U4794" t="s">
        <v>26604</v>
      </c>
      <c r="V4794" t="s">
        <v>26610</v>
      </c>
      <c r="W4794" t="s">
        <v>719</v>
      </c>
      <c r="X4794">
        <v>298</v>
      </c>
      <c r="Y4794" t="s">
        <v>26650</v>
      </c>
      <c r="Z4794" t="s">
        <v>26664</v>
      </c>
      <c r="AA4794" t="s">
        <v>26683</v>
      </c>
      <c r="AB4794" t="s">
        <v>30609</v>
      </c>
      <c r="AD4794" t="s">
        <v>40803</v>
      </c>
      <c r="AE4794">
        <v>0</v>
      </c>
      <c r="AF4794" t="s">
        <v>45541</v>
      </c>
      <c r="AG4794" t="s">
        <v>45556</v>
      </c>
      <c r="AH4794">
        <v>11</v>
      </c>
      <c r="AI4794">
        <v>1</v>
      </c>
      <c r="AJ4794">
        <v>3</v>
      </c>
      <c r="AK4794">
        <v>31.36</v>
      </c>
      <c r="AO4794">
        <v>7872</v>
      </c>
      <c r="AU4794">
        <v>2.6</v>
      </c>
      <c r="AV4794" t="s">
        <v>659</v>
      </c>
      <c r="AW4794" t="s">
        <v>334</v>
      </c>
    </row>
    <row r="4795" spans="1:50">
      <c r="A4795" s="1">
        <f>HYPERLINK("https://lsnyc.legalserver.org/matter/dynamic-profile/view/1888493","19-1888493")</f>
        <v>0</v>
      </c>
      <c r="B4795" t="s">
        <v>96</v>
      </c>
      <c r="C4795" t="s">
        <v>340</v>
      </c>
      <c r="D4795" t="s">
        <v>719</v>
      </c>
      <c r="F4795" t="s">
        <v>3177</v>
      </c>
      <c r="G4795" t="s">
        <v>5083</v>
      </c>
      <c r="H4795" t="s">
        <v>9658</v>
      </c>
      <c r="I4795" t="s">
        <v>17299</v>
      </c>
      <c r="J4795" t="s">
        <v>18892</v>
      </c>
      <c r="K4795">
        <v>10457</v>
      </c>
      <c r="L4795" t="s">
        <v>18958</v>
      </c>
      <c r="M4795" t="s">
        <v>18958</v>
      </c>
      <c r="N4795" t="s">
        <v>22532</v>
      </c>
      <c r="O4795" t="s">
        <v>26523</v>
      </c>
      <c r="P4795" t="s">
        <v>26560</v>
      </c>
      <c r="R4795" t="s">
        <v>26579</v>
      </c>
      <c r="U4795" t="s">
        <v>26604</v>
      </c>
      <c r="V4795" t="s">
        <v>26610</v>
      </c>
      <c r="W4795" t="s">
        <v>719</v>
      </c>
      <c r="X4795">
        <v>2200</v>
      </c>
      <c r="Y4795" t="s">
        <v>26650</v>
      </c>
      <c r="AB4795" t="s">
        <v>30610</v>
      </c>
      <c r="AD4795" t="s">
        <v>40804</v>
      </c>
      <c r="AE4795">
        <v>0</v>
      </c>
      <c r="AG4795" t="s">
        <v>45556</v>
      </c>
      <c r="AH4795">
        <v>21</v>
      </c>
      <c r="AI4795">
        <v>4</v>
      </c>
      <c r="AJ4795">
        <v>2</v>
      </c>
      <c r="AK4795">
        <v>188.8</v>
      </c>
      <c r="AN4795" t="s">
        <v>7439</v>
      </c>
      <c r="AO4795">
        <v>63700</v>
      </c>
      <c r="AU4795">
        <v>12</v>
      </c>
      <c r="AV4795" t="s">
        <v>831</v>
      </c>
      <c r="AW4795" t="s">
        <v>334</v>
      </c>
    </row>
    <row r="4796" spans="1:50">
      <c r="A4796" s="1">
        <f>HYPERLINK("https://lsnyc.legalserver.org/matter/dynamic-profile/view/1888459","19-1888459")</f>
        <v>0</v>
      </c>
      <c r="B4796" t="s">
        <v>191</v>
      </c>
      <c r="C4796" t="s">
        <v>340</v>
      </c>
      <c r="D4796" t="s">
        <v>719</v>
      </c>
      <c r="F4796" t="s">
        <v>1225</v>
      </c>
      <c r="G4796" t="s">
        <v>7425</v>
      </c>
      <c r="H4796" t="s">
        <v>13252</v>
      </c>
      <c r="I4796">
        <v>28</v>
      </c>
      <c r="J4796" t="s">
        <v>18893</v>
      </c>
      <c r="K4796">
        <v>10009</v>
      </c>
      <c r="L4796" t="s">
        <v>18958</v>
      </c>
      <c r="M4796" t="s">
        <v>18958</v>
      </c>
      <c r="N4796" t="s">
        <v>22533</v>
      </c>
      <c r="O4796" t="s">
        <v>26523</v>
      </c>
      <c r="P4796" t="s">
        <v>26564</v>
      </c>
      <c r="R4796" t="s">
        <v>26582</v>
      </c>
      <c r="S4796" t="s">
        <v>18959</v>
      </c>
      <c r="U4796" t="s">
        <v>26604</v>
      </c>
      <c r="W4796" t="s">
        <v>719</v>
      </c>
      <c r="X4796">
        <v>314.72</v>
      </c>
      <c r="Y4796" t="s">
        <v>26651</v>
      </c>
      <c r="Z4796" t="s">
        <v>26664</v>
      </c>
      <c r="AB4796" t="s">
        <v>30611</v>
      </c>
      <c r="AC4796" t="s">
        <v>35852</v>
      </c>
      <c r="AD4796" t="s">
        <v>40805</v>
      </c>
      <c r="AE4796">
        <v>0</v>
      </c>
      <c r="AF4796" t="s">
        <v>45548</v>
      </c>
      <c r="AG4796" t="s">
        <v>19330</v>
      </c>
      <c r="AH4796">
        <v>53</v>
      </c>
      <c r="AI4796">
        <v>2</v>
      </c>
      <c r="AJ4796">
        <v>0</v>
      </c>
      <c r="AK4796">
        <v>0</v>
      </c>
      <c r="AN4796" t="s">
        <v>7439</v>
      </c>
      <c r="AO4796">
        <v>0</v>
      </c>
      <c r="AU4796">
        <v>0.5</v>
      </c>
      <c r="AV4796" t="s">
        <v>707</v>
      </c>
      <c r="AW4796" t="s">
        <v>46875</v>
      </c>
    </row>
    <row r="4797" spans="1:50">
      <c r="A4797" s="1">
        <f>HYPERLINK("https://lsnyc.legalserver.org/matter/dynamic-profile/view/1888414","19-1888414")</f>
        <v>0</v>
      </c>
      <c r="B4797" t="s">
        <v>191</v>
      </c>
      <c r="C4797" t="s">
        <v>340</v>
      </c>
      <c r="D4797" t="s">
        <v>719</v>
      </c>
      <c r="F4797" t="s">
        <v>3178</v>
      </c>
      <c r="G4797" t="s">
        <v>5082</v>
      </c>
      <c r="H4797" t="s">
        <v>13253</v>
      </c>
      <c r="I4797" t="s">
        <v>17366</v>
      </c>
      <c r="J4797" t="s">
        <v>18893</v>
      </c>
      <c r="K4797">
        <v>10029</v>
      </c>
      <c r="L4797" t="s">
        <v>18958</v>
      </c>
      <c r="M4797" t="s">
        <v>18958</v>
      </c>
      <c r="N4797" t="s">
        <v>22534</v>
      </c>
      <c r="O4797" t="s">
        <v>26524</v>
      </c>
      <c r="P4797" t="s">
        <v>26564</v>
      </c>
      <c r="R4797" t="s">
        <v>26582</v>
      </c>
      <c r="U4797" t="s">
        <v>26604</v>
      </c>
      <c r="W4797" t="s">
        <v>719</v>
      </c>
      <c r="X4797">
        <v>868</v>
      </c>
      <c r="Y4797" t="s">
        <v>26651</v>
      </c>
      <c r="Z4797" t="s">
        <v>26664</v>
      </c>
      <c r="AB4797" t="s">
        <v>30612</v>
      </c>
      <c r="AD4797" t="s">
        <v>40806</v>
      </c>
      <c r="AE4797">
        <v>0</v>
      </c>
      <c r="AH4797">
        <v>1</v>
      </c>
      <c r="AI4797">
        <v>1</v>
      </c>
      <c r="AJ4797">
        <v>0</v>
      </c>
      <c r="AK4797">
        <v>98.84999999999999</v>
      </c>
      <c r="AN4797" t="s">
        <v>45581</v>
      </c>
      <c r="AO4797">
        <v>12000</v>
      </c>
      <c r="AU4797">
        <v>2.3</v>
      </c>
      <c r="AV4797" t="s">
        <v>786</v>
      </c>
      <c r="AW4797" t="s">
        <v>46838</v>
      </c>
    </row>
    <row r="4798" spans="1:50">
      <c r="A4798" s="1">
        <f>HYPERLINK("https://lsnyc.legalserver.org/matter/dynamic-profile/view/1888410","19-1888410")</f>
        <v>0</v>
      </c>
      <c r="B4798" t="s">
        <v>191</v>
      </c>
      <c r="C4798" t="s">
        <v>340</v>
      </c>
      <c r="D4798" t="s">
        <v>719</v>
      </c>
      <c r="F4798" t="s">
        <v>3179</v>
      </c>
      <c r="G4798" t="s">
        <v>7426</v>
      </c>
      <c r="H4798" t="s">
        <v>13254</v>
      </c>
      <c r="I4798" t="s">
        <v>18152</v>
      </c>
      <c r="J4798" t="s">
        <v>18893</v>
      </c>
      <c r="K4798">
        <v>10128</v>
      </c>
      <c r="L4798" t="s">
        <v>18958</v>
      </c>
      <c r="M4798" t="s">
        <v>18958</v>
      </c>
      <c r="N4798" t="s">
        <v>22535</v>
      </c>
      <c r="O4798" t="s">
        <v>26523</v>
      </c>
      <c r="P4798" t="s">
        <v>26564</v>
      </c>
      <c r="R4798" t="s">
        <v>26582</v>
      </c>
      <c r="S4798" t="s">
        <v>18959</v>
      </c>
      <c r="U4798" t="s">
        <v>26605</v>
      </c>
      <c r="W4798" t="s">
        <v>719</v>
      </c>
      <c r="X4798">
        <v>580</v>
      </c>
      <c r="Y4798" t="s">
        <v>26651</v>
      </c>
      <c r="Z4798" t="s">
        <v>26664</v>
      </c>
      <c r="AB4798" t="s">
        <v>30613</v>
      </c>
      <c r="AD4798" t="s">
        <v>40807</v>
      </c>
      <c r="AE4798">
        <v>636</v>
      </c>
      <c r="AF4798" t="s">
        <v>45549</v>
      </c>
      <c r="AH4798">
        <v>23</v>
      </c>
      <c r="AI4798">
        <v>2</v>
      </c>
      <c r="AJ4798">
        <v>0</v>
      </c>
      <c r="AK4798">
        <v>109.36</v>
      </c>
      <c r="AN4798" t="s">
        <v>26530</v>
      </c>
      <c r="AO4798">
        <v>18000</v>
      </c>
      <c r="AU4798">
        <v>1.2</v>
      </c>
      <c r="AV4798" t="s">
        <v>719</v>
      </c>
      <c r="AW4798" t="s">
        <v>46875</v>
      </c>
    </row>
    <row r="4799" spans="1:50">
      <c r="A4799" s="1">
        <f>HYPERLINK("https://lsnyc.legalserver.org/matter/dynamic-profile/view/1888468","19-1888468")</f>
        <v>0</v>
      </c>
      <c r="B4799" t="s">
        <v>191</v>
      </c>
      <c r="C4799" t="s">
        <v>340</v>
      </c>
      <c r="D4799" t="s">
        <v>719</v>
      </c>
      <c r="F4799" t="s">
        <v>3180</v>
      </c>
      <c r="G4799" t="s">
        <v>7427</v>
      </c>
      <c r="H4799" t="s">
        <v>12275</v>
      </c>
      <c r="I4799" t="s">
        <v>17748</v>
      </c>
      <c r="J4799" t="s">
        <v>18893</v>
      </c>
      <c r="K4799">
        <v>10025</v>
      </c>
      <c r="L4799" t="s">
        <v>18958</v>
      </c>
      <c r="M4799" t="s">
        <v>18958</v>
      </c>
      <c r="N4799" t="s">
        <v>22536</v>
      </c>
      <c r="O4799" t="s">
        <v>26523</v>
      </c>
      <c r="P4799" t="s">
        <v>26560</v>
      </c>
      <c r="R4799" t="s">
        <v>26580</v>
      </c>
      <c r="S4799" t="s">
        <v>18959</v>
      </c>
      <c r="U4799" t="s">
        <v>26605</v>
      </c>
      <c r="W4799" t="s">
        <v>719</v>
      </c>
      <c r="X4799">
        <v>130</v>
      </c>
      <c r="Y4799" t="s">
        <v>26651</v>
      </c>
      <c r="Z4799" t="s">
        <v>26659</v>
      </c>
      <c r="AB4799" t="s">
        <v>30614</v>
      </c>
      <c r="AD4799" t="s">
        <v>40808</v>
      </c>
      <c r="AE4799">
        <v>159</v>
      </c>
      <c r="AH4799">
        <v>2</v>
      </c>
      <c r="AI4799">
        <v>1</v>
      </c>
      <c r="AJ4799">
        <v>2</v>
      </c>
      <c r="AK4799">
        <v>32.74</v>
      </c>
      <c r="AN4799" t="s">
        <v>7439</v>
      </c>
      <c r="AO4799">
        <v>6804</v>
      </c>
      <c r="AU4799">
        <v>7.9</v>
      </c>
      <c r="AV4799" t="s">
        <v>833</v>
      </c>
      <c r="AW4799" t="s">
        <v>46838</v>
      </c>
    </row>
    <row r="4800" spans="1:50">
      <c r="A4800" s="1">
        <f>HYPERLINK("https://lsnyc.legalserver.org/matter/dynamic-profile/view/1888518","19-1888518")</f>
        <v>0</v>
      </c>
      <c r="B4800" t="s">
        <v>50</v>
      </c>
      <c r="C4800" t="s">
        <v>340</v>
      </c>
      <c r="D4800" t="s">
        <v>719</v>
      </c>
      <c r="F4800" t="s">
        <v>1548</v>
      </c>
      <c r="G4800" t="s">
        <v>2564</v>
      </c>
      <c r="H4800" t="s">
        <v>13152</v>
      </c>
      <c r="I4800" t="s">
        <v>17325</v>
      </c>
      <c r="J4800" t="s">
        <v>18892</v>
      </c>
      <c r="K4800">
        <v>10456</v>
      </c>
      <c r="L4800" t="s">
        <v>18958</v>
      </c>
      <c r="M4800" t="s">
        <v>18958</v>
      </c>
      <c r="O4800" t="s">
        <v>18997</v>
      </c>
      <c r="P4800" t="s">
        <v>26562</v>
      </c>
      <c r="R4800" t="s">
        <v>26578</v>
      </c>
      <c r="S4800" t="s">
        <v>18959</v>
      </c>
      <c r="U4800" t="s">
        <v>26606</v>
      </c>
      <c r="W4800" t="s">
        <v>719</v>
      </c>
      <c r="X4800">
        <v>1004.69</v>
      </c>
      <c r="Y4800" t="s">
        <v>26650</v>
      </c>
      <c r="Z4800" t="s">
        <v>26664</v>
      </c>
      <c r="AB4800" t="s">
        <v>30502</v>
      </c>
      <c r="AC4800" t="s">
        <v>35819</v>
      </c>
      <c r="AD4800" t="s">
        <v>40682</v>
      </c>
      <c r="AE4800">
        <v>48</v>
      </c>
      <c r="AF4800" t="s">
        <v>45541</v>
      </c>
      <c r="AG4800" t="s">
        <v>45560</v>
      </c>
      <c r="AH4800">
        <v>29</v>
      </c>
      <c r="AI4800">
        <v>2</v>
      </c>
      <c r="AJ4800">
        <v>0</v>
      </c>
      <c r="AK4800">
        <v>160.45</v>
      </c>
      <c r="AN4800" t="s">
        <v>7439</v>
      </c>
      <c r="AO4800">
        <v>26410</v>
      </c>
      <c r="AU4800">
        <v>3.5</v>
      </c>
      <c r="AV4800" t="s">
        <v>834</v>
      </c>
      <c r="AW4800" t="s">
        <v>46870</v>
      </c>
    </row>
    <row r="4801" spans="1:50">
      <c r="A4801" s="1">
        <f>HYPERLINK("https://lsnyc.legalserver.org/matter/dynamic-profile/view/1888407","19-1888407")</f>
        <v>0</v>
      </c>
      <c r="B4801" t="s">
        <v>273</v>
      </c>
      <c r="C4801" t="s">
        <v>340</v>
      </c>
      <c r="D4801" t="s">
        <v>719</v>
      </c>
      <c r="F4801" t="s">
        <v>3181</v>
      </c>
      <c r="G4801" t="s">
        <v>6228</v>
      </c>
      <c r="H4801" t="s">
        <v>9749</v>
      </c>
      <c r="I4801" t="s">
        <v>17299</v>
      </c>
      <c r="J4801" t="s">
        <v>18893</v>
      </c>
      <c r="K4801">
        <v>10034</v>
      </c>
      <c r="L4801" t="s">
        <v>18958</v>
      </c>
      <c r="M4801" t="s">
        <v>18958</v>
      </c>
      <c r="N4801" t="s">
        <v>22537</v>
      </c>
      <c r="O4801" t="s">
        <v>26524</v>
      </c>
      <c r="P4801" t="s">
        <v>26564</v>
      </c>
      <c r="R4801" t="s">
        <v>26582</v>
      </c>
      <c r="S4801" t="s">
        <v>18959</v>
      </c>
      <c r="U4801" t="s">
        <v>26604</v>
      </c>
      <c r="W4801" t="s">
        <v>719</v>
      </c>
      <c r="X4801">
        <v>2400</v>
      </c>
      <c r="Y4801" t="s">
        <v>26651</v>
      </c>
      <c r="Z4801" t="s">
        <v>26664</v>
      </c>
      <c r="AB4801" t="s">
        <v>30615</v>
      </c>
      <c r="AD4801" t="s">
        <v>40809</v>
      </c>
      <c r="AE4801">
        <v>46</v>
      </c>
      <c r="AF4801" t="s">
        <v>20460</v>
      </c>
      <c r="AG4801" t="s">
        <v>19330</v>
      </c>
      <c r="AH4801">
        <v>8</v>
      </c>
      <c r="AI4801">
        <v>1</v>
      </c>
      <c r="AJ4801">
        <v>1</v>
      </c>
      <c r="AK4801">
        <v>189.84</v>
      </c>
      <c r="AN4801" t="s">
        <v>45581</v>
      </c>
      <c r="AO4801">
        <v>31248</v>
      </c>
      <c r="AU4801">
        <v>7.5</v>
      </c>
      <c r="AV4801" t="s">
        <v>814</v>
      </c>
      <c r="AW4801" t="s">
        <v>46875</v>
      </c>
    </row>
    <row r="4802" spans="1:50">
      <c r="A4802" s="1">
        <f>HYPERLINK("https://lsnyc.legalserver.org/matter/dynamic-profile/view/1888825","19-1888825")</f>
        <v>0</v>
      </c>
      <c r="B4802" t="s">
        <v>276</v>
      </c>
      <c r="C4802" t="s">
        <v>340</v>
      </c>
      <c r="D4802" t="s">
        <v>698</v>
      </c>
      <c r="F4802" t="s">
        <v>928</v>
      </c>
      <c r="G4802" t="s">
        <v>7428</v>
      </c>
      <c r="H4802" t="s">
        <v>13255</v>
      </c>
      <c r="J4802" t="s">
        <v>18894</v>
      </c>
      <c r="K4802">
        <v>11215</v>
      </c>
      <c r="L4802" t="s">
        <v>18958</v>
      </c>
      <c r="M4802" t="s">
        <v>18958</v>
      </c>
      <c r="N4802" t="s">
        <v>22538</v>
      </c>
      <c r="O4802" t="s">
        <v>26523</v>
      </c>
      <c r="P4802" t="s">
        <v>26560</v>
      </c>
      <c r="R4802" t="s">
        <v>26578</v>
      </c>
      <c r="S4802" t="s">
        <v>18959</v>
      </c>
      <c r="U4802" t="s">
        <v>26604</v>
      </c>
      <c r="W4802" t="s">
        <v>719</v>
      </c>
      <c r="X4802">
        <v>1252.83</v>
      </c>
      <c r="Y4802" t="s">
        <v>26652</v>
      </c>
      <c r="AB4802" t="s">
        <v>30616</v>
      </c>
      <c r="AD4802" t="s">
        <v>40810</v>
      </c>
      <c r="AE4802">
        <v>0</v>
      </c>
      <c r="AH4802">
        <v>23</v>
      </c>
      <c r="AI4802">
        <v>1</v>
      </c>
      <c r="AJ4802">
        <v>0</v>
      </c>
      <c r="AK4802">
        <v>139.6</v>
      </c>
      <c r="AN4802" t="s">
        <v>7439</v>
      </c>
      <c r="AO4802">
        <v>17436</v>
      </c>
      <c r="AU4802">
        <v>4.8</v>
      </c>
      <c r="AV4802" t="s">
        <v>831</v>
      </c>
      <c r="AW4802" t="s">
        <v>219</v>
      </c>
    </row>
    <row r="4803" spans="1:50">
      <c r="A4803" s="1">
        <f>HYPERLINK("https://lsnyc.legalserver.org/matter/dynamic-profile/view/1889053","19-1889053")</f>
        <v>0</v>
      </c>
      <c r="B4803" t="s">
        <v>147</v>
      </c>
      <c r="C4803" t="s">
        <v>340</v>
      </c>
      <c r="D4803" t="s">
        <v>709</v>
      </c>
      <c r="F4803" t="s">
        <v>1572</v>
      </c>
      <c r="G4803" t="s">
        <v>7429</v>
      </c>
      <c r="H4803" t="s">
        <v>13256</v>
      </c>
      <c r="I4803">
        <v>10</v>
      </c>
      <c r="J4803" t="s">
        <v>18894</v>
      </c>
      <c r="K4803">
        <v>11225</v>
      </c>
      <c r="L4803" t="s">
        <v>18958</v>
      </c>
      <c r="M4803" t="s">
        <v>18958</v>
      </c>
      <c r="N4803" t="s">
        <v>22539</v>
      </c>
      <c r="O4803" t="s">
        <v>26526</v>
      </c>
      <c r="P4803" t="s">
        <v>26560</v>
      </c>
      <c r="R4803" t="s">
        <v>26578</v>
      </c>
      <c r="S4803" t="s">
        <v>18959</v>
      </c>
      <c r="U4803" t="s">
        <v>26604</v>
      </c>
      <c r="V4803" t="s">
        <v>26610</v>
      </c>
      <c r="W4803" t="s">
        <v>719</v>
      </c>
      <c r="X4803">
        <v>1519.6</v>
      </c>
      <c r="Y4803" t="s">
        <v>26652</v>
      </c>
      <c r="AB4803" t="s">
        <v>30617</v>
      </c>
      <c r="AE4803">
        <v>12</v>
      </c>
      <c r="AF4803" t="s">
        <v>45541</v>
      </c>
      <c r="AG4803" t="s">
        <v>45556</v>
      </c>
      <c r="AH4803">
        <v>17</v>
      </c>
      <c r="AI4803">
        <v>2</v>
      </c>
      <c r="AJ4803">
        <v>0</v>
      </c>
      <c r="AK4803">
        <v>57.69</v>
      </c>
      <c r="AN4803" t="s">
        <v>45581</v>
      </c>
      <c r="AO4803">
        <v>9756</v>
      </c>
      <c r="AU4803">
        <v>44.9</v>
      </c>
      <c r="AV4803" t="s">
        <v>834</v>
      </c>
      <c r="AW4803" t="s">
        <v>219</v>
      </c>
    </row>
    <row r="4804" spans="1:50">
      <c r="A4804" s="1">
        <f>HYPERLINK("https://lsnyc.legalserver.org/matter/dynamic-profile/view/1889192","19-1889192")</f>
        <v>0</v>
      </c>
      <c r="B4804" t="s">
        <v>212</v>
      </c>
      <c r="C4804" t="s">
        <v>341</v>
      </c>
      <c r="D4804" t="s">
        <v>693</v>
      </c>
      <c r="E4804" t="s">
        <v>784</v>
      </c>
      <c r="F4804" t="s">
        <v>887</v>
      </c>
      <c r="G4804" t="s">
        <v>5673</v>
      </c>
      <c r="H4804" t="s">
        <v>13257</v>
      </c>
      <c r="I4804" t="s">
        <v>17430</v>
      </c>
      <c r="J4804" t="s">
        <v>18904</v>
      </c>
      <c r="K4804">
        <v>11421</v>
      </c>
      <c r="L4804" t="s">
        <v>18958</v>
      </c>
      <c r="M4804" t="s">
        <v>18958</v>
      </c>
      <c r="N4804" t="s">
        <v>18997</v>
      </c>
      <c r="O4804" t="s">
        <v>18997</v>
      </c>
      <c r="P4804" t="s">
        <v>26565</v>
      </c>
      <c r="Q4804" t="s">
        <v>26570</v>
      </c>
      <c r="R4804" t="s">
        <v>26589</v>
      </c>
      <c r="S4804" t="s">
        <v>18959</v>
      </c>
      <c r="U4804" t="s">
        <v>26604</v>
      </c>
      <c r="V4804" t="s">
        <v>26610</v>
      </c>
      <c r="W4804" t="s">
        <v>719</v>
      </c>
      <c r="X4804">
        <v>0</v>
      </c>
      <c r="Y4804" t="s">
        <v>26653</v>
      </c>
      <c r="Z4804" t="s">
        <v>26671</v>
      </c>
      <c r="AA4804" t="s">
        <v>26683</v>
      </c>
      <c r="AB4804" t="s">
        <v>27292</v>
      </c>
      <c r="AC4804" t="s">
        <v>34738</v>
      </c>
      <c r="AD4804" t="s">
        <v>34738</v>
      </c>
      <c r="AE4804">
        <v>1</v>
      </c>
      <c r="AF4804" t="s">
        <v>45547</v>
      </c>
      <c r="AG4804" t="s">
        <v>19330</v>
      </c>
      <c r="AH4804">
        <v>0</v>
      </c>
      <c r="AI4804">
        <v>1</v>
      </c>
      <c r="AJ4804">
        <v>2</v>
      </c>
      <c r="AK4804">
        <v>0</v>
      </c>
      <c r="AL4804" t="s">
        <v>45567</v>
      </c>
      <c r="AM4804" t="s">
        <v>45577</v>
      </c>
      <c r="AN4804" t="s">
        <v>45581</v>
      </c>
      <c r="AO4804">
        <v>0</v>
      </c>
      <c r="AU4804">
        <v>0.25</v>
      </c>
      <c r="AV4804" t="s">
        <v>784</v>
      </c>
      <c r="AW4804" t="s">
        <v>161</v>
      </c>
    </row>
    <row r="4805" spans="1:50">
      <c r="A4805" s="1">
        <f>HYPERLINK("https://lsnyc.legalserver.org/matter/dynamic-profile/view/1888925","19-1888925")</f>
        <v>0</v>
      </c>
      <c r="B4805" t="s">
        <v>170</v>
      </c>
      <c r="C4805" t="s">
        <v>341</v>
      </c>
      <c r="D4805" t="s">
        <v>732</v>
      </c>
      <c r="E4805" t="s">
        <v>690</v>
      </c>
      <c r="F4805" t="s">
        <v>1470</v>
      </c>
      <c r="G4805" t="s">
        <v>6399</v>
      </c>
      <c r="H4805" t="s">
        <v>13258</v>
      </c>
      <c r="I4805" t="s">
        <v>17657</v>
      </c>
      <c r="J4805" t="s">
        <v>18894</v>
      </c>
      <c r="K4805">
        <v>11204</v>
      </c>
      <c r="L4805" t="s">
        <v>18958</v>
      </c>
      <c r="M4805" t="s">
        <v>18960</v>
      </c>
      <c r="N4805" t="s">
        <v>22540</v>
      </c>
      <c r="O4805" t="s">
        <v>26524</v>
      </c>
      <c r="P4805" t="s">
        <v>26560</v>
      </c>
      <c r="Q4805" t="s">
        <v>26570</v>
      </c>
      <c r="R4805" t="s">
        <v>26586</v>
      </c>
      <c r="U4805" t="s">
        <v>26604</v>
      </c>
      <c r="W4805" t="s">
        <v>26638</v>
      </c>
      <c r="X4805">
        <v>11084</v>
      </c>
      <c r="Y4805" t="s">
        <v>26652</v>
      </c>
      <c r="Z4805" t="s">
        <v>26664</v>
      </c>
      <c r="AA4805" t="s">
        <v>26678</v>
      </c>
      <c r="AB4805" t="s">
        <v>29457</v>
      </c>
      <c r="AD4805" t="s">
        <v>40811</v>
      </c>
      <c r="AE4805">
        <v>90</v>
      </c>
      <c r="AF4805" t="s">
        <v>45541</v>
      </c>
      <c r="AH4805">
        <v>16</v>
      </c>
      <c r="AI4805">
        <v>1</v>
      </c>
      <c r="AJ4805">
        <v>1</v>
      </c>
      <c r="AK4805">
        <v>189.24</v>
      </c>
      <c r="AN4805" t="s">
        <v>7439</v>
      </c>
      <c r="AO4805">
        <v>32000</v>
      </c>
      <c r="AU4805">
        <v>1</v>
      </c>
      <c r="AV4805" t="s">
        <v>747</v>
      </c>
      <c r="AW4805" t="s">
        <v>46856</v>
      </c>
    </row>
    <row r="4806" spans="1:50">
      <c r="A4806" s="1">
        <f>HYPERLINK("https://lsnyc.legalserver.org/matter/dynamic-profile/view/1856831","18-1856831")</f>
        <v>0</v>
      </c>
      <c r="B4806" t="s">
        <v>52</v>
      </c>
      <c r="C4806" t="s">
        <v>341</v>
      </c>
      <c r="D4806" t="s">
        <v>733</v>
      </c>
      <c r="E4806" t="s">
        <v>818</v>
      </c>
      <c r="F4806" t="s">
        <v>3182</v>
      </c>
      <c r="G4806" t="s">
        <v>7430</v>
      </c>
      <c r="H4806" t="s">
        <v>13112</v>
      </c>
      <c r="I4806">
        <v>52</v>
      </c>
      <c r="J4806" t="s">
        <v>18892</v>
      </c>
      <c r="K4806">
        <v>10467</v>
      </c>
      <c r="L4806" t="s">
        <v>18958</v>
      </c>
      <c r="M4806" t="s">
        <v>18960</v>
      </c>
      <c r="N4806" t="s">
        <v>22541</v>
      </c>
      <c r="O4806" t="s">
        <v>26523</v>
      </c>
      <c r="P4806" t="s">
        <v>26560</v>
      </c>
      <c r="Q4806" t="s">
        <v>26568</v>
      </c>
      <c r="R4806" t="s">
        <v>26579</v>
      </c>
      <c r="S4806" t="s">
        <v>18959</v>
      </c>
      <c r="U4806" t="s">
        <v>26604</v>
      </c>
      <c r="V4806" t="s">
        <v>26611</v>
      </c>
      <c r="W4806" t="s">
        <v>707</v>
      </c>
      <c r="X4806">
        <v>845.52</v>
      </c>
      <c r="Y4806" t="s">
        <v>26650</v>
      </c>
      <c r="Z4806" t="s">
        <v>26662</v>
      </c>
      <c r="AA4806" t="s">
        <v>26678</v>
      </c>
      <c r="AB4806" t="s">
        <v>30618</v>
      </c>
      <c r="AC4806" t="s">
        <v>35853</v>
      </c>
      <c r="AD4806" t="s">
        <v>40812</v>
      </c>
      <c r="AE4806">
        <v>47</v>
      </c>
      <c r="AF4806" t="s">
        <v>45541</v>
      </c>
      <c r="AG4806" t="s">
        <v>19330</v>
      </c>
      <c r="AH4806">
        <v>20</v>
      </c>
      <c r="AI4806">
        <v>1</v>
      </c>
      <c r="AJ4806">
        <v>0</v>
      </c>
      <c r="AK4806">
        <v>19.62</v>
      </c>
      <c r="AN4806" t="s">
        <v>7439</v>
      </c>
      <c r="AO4806">
        <v>2366</v>
      </c>
      <c r="AP4806" t="s">
        <v>45620</v>
      </c>
      <c r="AQ4806" t="s">
        <v>46368</v>
      </c>
      <c r="AR4806" t="s">
        <v>46415</v>
      </c>
      <c r="AS4806" t="s">
        <v>46499</v>
      </c>
      <c r="AT4806" t="s">
        <v>46609</v>
      </c>
      <c r="AU4806">
        <v>33.8</v>
      </c>
      <c r="AV4806" t="s">
        <v>818</v>
      </c>
      <c r="AW4806" t="s">
        <v>46848</v>
      </c>
    </row>
    <row r="4807" spans="1:50">
      <c r="A4807" s="1">
        <f>HYPERLINK("https://lsnyc.legalserver.org/matter/dynamic-profile/view/1887311","19-1887311")</f>
        <v>0</v>
      </c>
      <c r="B4807" t="s">
        <v>174</v>
      </c>
      <c r="C4807" t="s">
        <v>340</v>
      </c>
      <c r="D4807" t="s">
        <v>704</v>
      </c>
      <c r="F4807" t="s">
        <v>2092</v>
      </c>
      <c r="G4807" t="s">
        <v>5078</v>
      </c>
      <c r="H4807" t="s">
        <v>13259</v>
      </c>
      <c r="I4807" t="s">
        <v>17334</v>
      </c>
      <c r="J4807" t="s">
        <v>18894</v>
      </c>
      <c r="K4807">
        <v>11208</v>
      </c>
      <c r="L4807" t="s">
        <v>18958</v>
      </c>
      <c r="M4807" t="s">
        <v>18959</v>
      </c>
      <c r="N4807" t="s">
        <v>22542</v>
      </c>
      <c r="P4807" t="s">
        <v>26560</v>
      </c>
      <c r="R4807" t="s">
        <v>26578</v>
      </c>
      <c r="S4807" t="s">
        <v>18959</v>
      </c>
      <c r="U4807" t="s">
        <v>26604</v>
      </c>
      <c r="V4807" t="s">
        <v>26610</v>
      </c>
      <c r="W4807" t="s">
        <v>707</v>
      </c>
      <c r="X4807">
        <v>300</v>
      </c>
      <c r="Y4807" t="s">
        <v>26652</v>
      </c>
      <c r="Z4807" t="s">
        <v>26661</v>
      </c>
      <c r="AB4807" t="s">
        <v>28795</v>
      </c>
      <c r="AC4807" t="s">
        <v>19330</v>
      </c>
      <c r="AD4807" t="s">
        <v>40813</v>
      </c>
      <c r="AE4807">
        <v>4</v>
      </c>
      <c r="AF4807" t="s">
        <v>45547</v>
      </c>
      <c r="AG4807" t="s">
        <v>19330</v>
      </c>
      <c r="AH4807">
        <v>2</v>
      </c>
      <c r="AI4807">
        <v>1</v>
      </c>
      <c r="AJ4807">
        <v>0</v>
      </c>
      <c r="AK4807">
        <v>0</v>
      </c>
      <c r="AN4807" t="s">
        <v>7439</v>
      </c>
      <c r="AO4807">
        <v>0</v>
      </c>
      <c r="AU4807">
        <v>58.5</v>
      </c>
      <c r="AV4807" t="s">
        <v>835</v>
      </c>
      <c r="AW4807" t="s">
        <v>46857</v>
      </c>
      <c r="AX4807" t="s">
        <v>46897</v>
      </c>
    </row>
    <row r="4808" spans="1:50">
      <c r="A4808" s="1">
        <f>HYPERLINK("https://lsnyc.legalserver.org/matter/dynamic-profile/view/1887446","19-1887446")</f>
        <v>0</v>
      </c>
      <c r="B4808" t="s">
        <v>170</v>
      </c>
      <c r="C4808" t="s">
        <v>341</v>
      </c>
      <c r="D4808" t="s">
        <v>414</v>
      </c>
      <c r="E4808" t="s">
        <v>707</v>
      </c>
      <c r="F4808" t="s">
        <v>3183</v>
      </c>
      <c r="G4808" t="s">
        <v>7431</v>
      </c>
      <c r="H4808" t="s">
        <v>13260</v>
      </c>
      <c r="I4808" t="s">
        <v>17312</v>
      </c>
      <c r="J4808" t="s">
        <v>18894</v>
      </c>
      <c r="K4808">
        <v>11236</v>
      </c>
      <c r="L4808" t="s">
        <v>18958</v>
      </c>
      <c r="M4808" t="s">
        <v>18958</v>
      </c>
      <c r="N4808" t="s">
        <v>22543</v>
      </c>
      <c r="O4808" t="s">
        <v>26524</v>
      </c>
      <c r="P4808" t="s">
        <v>26564</v>
      </c>
      <c r="Q4808" t="s">
        <v>26570</v>
      </c>
      <c r="R4808" t="s">
        <v>26586</v>
      </c>
      <c r="U4808" t="s">
        <v>26604</v>
      </c>
      <c r="W4808" t="s">
        <v>707</v>
      </c>
      <c r="X4808">
        <v>1500</v>
      </c>
      <c r="Y4808" t="s">
        <v>26652</v>
      </c>
      <c r="Z4808" t="s">
        <v>26664</v>
      </c>
      <c r="AA4808" t="s">
        <v>26683</v>
      </c>
      <c r="AB4808" t="s">
        <v>29992</v>
      </c>
      <c r="AD4808" t="s">
        <v>40814</v>
      </c>
      <c r="AE4808">
        <v>4</v>
      </c>
      <c r="AG4808" t="s">
        <v>19330</v>
      </c>
      <c r="AH4808">
        <v>7</v>
      </c>
      <c r="AI4808">
        <v>2</v>
      </c>
      <c r="AJ4808">
        <v>0</v>
      </c>
      <c r="AK4808">
        <v>60.75</v>
      </c>
      <c r="AN4808" t="s">
        <v>7439</v>
      </c>
      <c r="AO4808">
        <v>10000</v>
      </c>
      <c r="AU4808">
        <v>0.3</v>
      </c>
      <c r="AV4808" t="s">
        <v>707</v>
      </c>
      <c r="AW4808" t="s">
        <v>46853</v>
      </c>
    </row>
    <row r="4809" spans="1:50">
      <c r="A4809" s="1">
        <f>HYPERLINK("https://lsnyc.legalserver.org/matter/dynamic-profile/view/1887430","19-1887430")</f>
        <v>0</v>
      </c>
      <c r="B4809" t="s">
        <v>188</v>
      </c>
      <c r="C4809" t="s">
        <v>340</v>
      </c>
      <c r="D4809" t="s">
        <v>414</v>
      </c>
      <c r="F4809" t="s">
        <v>3184</v>
      </c>
      <c r="G4809" t="s">
        <v>994</v>
      </c>
      <c r="H4809" t="s">
        <v>12199</v>
      </c>
      <c r="I4809" t="s">
        <v>17611</v>
      </c>
      <c r="J4809" t="s">
        <v>18892</v>
      </c>
      <c r="K4809">
        <v>10460</v>
      </c>
      <c r="L4809" t="s">
        <v>18958</v>
      </c>
      <c r="M4809" t="s">
        <v>18958</v>
      </c>
      <c r="N4809" t="s">
        <v>22544</v>
      </c>
      <c r="O4809" t="s">
        <v>26523</v>
      </c>
      <c r="P4809" t="s">
        <v>26560</v>
      </c>
      <c r="R4809" t="s">
        <v>26578</v>
      </c>
      <c r="U4809" t="s">
        <v>26604</v>
      </c>
      <c r="V4809" t="s">
        <v>26611</v>
      </c>
      <c r="W4809" t="s">
        <v>707</v>
      </c>
      <c r="X4809">
        <v>485</v>
      </c>
      <c r="Y4809" t="s">
        <v>26650</v>
      </c>
      <c r="Z4809" t="s">
        <v>26663</v>
      </c>
      <c r="AB4809" t="s">
        <v>30619</v>
      </c>
      <c r="AD4809" t="s">
        <v>40815</v>
      </c>
      <c r="AE4809">
        <v>169</v>
      </c>
      <c r="AG4809" t="s">
        <v>45556</v>
      </c>
      <c r="AH4809">
        <v>12</v>
      </c>
      <c r="AI4809">
        <v>1</v>
      </c>
      <c r="AJ4809">
        <v>1</v>
      </c>
      <c r="AK4809">
        <v>164.28</v>
      </c>
      <c r="AN4809" t="s">
        <v>7439</v>
      </c>
      <c r="AO4809">
        <v>27040</v>
      </c>
      <c r="AU4809">
        <v>56.8</v>
      </c>
      <c r="AV4809" t="s">
        <v>836</v>
      </c>
      <c r="AW4809" t="s">
        <v>336</v>
      </c>
    </row>
    <row r="4810" spans="1:50">
      <c r="A4810" s="1">
        <f>HYPERLINK("https://lsnyc.legalserver.org/matter/dynamic-profile/view/1888582","19-1888582")</f>
        <v>0</v>
      </c>
      <c r="B4810" t="s">
        <v>247</v>
      </c>
      <c r="C4810" t="s">
        <v>341</v>
      </c>
      <c r="D4810" t="s">
        <v>707</v>
      </c>
      <c r="E4810" t="s">
        <v>698</v>
      </c>
      <c r="F4810" t="s">
        <v>1081</v>
      </c>
      <c r="G4810" t="s">
        <v>7432</v>
      </c>
      <c r="H4810" t="s">
        <v>13261</v>
      </c>
      <c r="J4810" t="s">
        <v>18915</v>
      </c>
      <c r="K4810">
        <v>11372</v>
      </c>
      <c r="L4810" t="s">
        <v>18958</v>
      </c>
      <c r="M4810" t="s">
        <v>18958</v>
      </c>
      <c r="N4810" t="s">
        <v>22545</v>
      </c>
      <c r="O4810" t="s">
        <v>26523</v>
      </c>
      <c r="P4810" t="s">
        <v>26564</v>
      </c>
      <c r="Q4810" t="s">
        <v>26570</v>
      </c>
      <c r="R4810" t="s">
        <v>26584</v>
      </c>
      <c r="S4810" t="s">
        <v>18959</v>
      </c>
      <c r="U4810" t="s">
        <v>26604</v>
      </c>
      <c r="W4810" t="s">
        <v>707</v>
      </c>
      <c r="X4810">
        <v>1868</v>
      </c>
      <c r="Y4810" t="s">
        <v>26653</v>
      </c>
      <c r="Z4810" t="s">
        <v>26664</v>
      </c>
      <c r="AA4810" t="s">
        <v>26683</v>
      </c>
      <c r="AB4810" t="s">
        <v>30620</v>
      </c>
      <c r="AC4810" t="s">
        <v>35854</v>
      </c>
      <c r="AD4810" t="s">
        <v>40816</v>
      </c>
      <c r="AE4810">
        <v>70</v>
      </c>
      <c r="AF4810" t="s">
        <v>20460</v>
      </c>
      <c r="AG4810" t="s">
        <v>45559</v>
      </c>
      <c r="AH4810">
        <v>5</v>
      </c>
      <c r="AI4810">
        <v>2</v>
      </c>
      <c r="AJ4810">
        <v>0</v>
      </c>
      <c r="AK4810">
        <v>147.84</v>
      </c>
      <c r="AN4810" t="s">
        <v>7439</v>
      </c>
      <c r="AO4810">
        <v>25000</v>
      </c>
      <c r="AU4810">
        <v>1.84</v>
      </c>
      <c r="AV4810" t="s">
        <v>698</v>
      </c>
      <c r="AW4810" t="s">
        <v>208</v>
      </c>
      <c r="AX4810" t="s">
        <v>46897</v>
      </c>
    </row>
    <row r="4811" spans="1:50">
      <c r="A4811" s="1">
        <f>HYPERLINK("https://lsnyc.legalserver.org/matter/dynamic-profile/view/1888554","19-1888554")</f>
        <v>0</v>
      </c>
      <c r="B4811" t="s">
        <v>247</v>
      </c>
      <c r="C4811" t="s">
        <v>341</v>
      </c>
      <c r="D4811" t="s">
        <v>707</v>
      </c>
      <c r="E4811" t="s">
        <v>698</v>
      </c>
      <c r="F4811" t="s">
        <v>2196</v>
      </c>
      <c r="G4811" t="s">
        <v>7433</v>
      </c>
      <c r="H4811" t="s">
        <v>13262</v>
      </c>
      <c r="I4811" t="s">
        <v>17469</v>
      </c>
      <c r="J4811" t="s">
        <v>18918</v>
      </c>
      <c r="K4811">
        <v>11417</v>
      </c>
      <c r="L4811" t="s">
        <v>18958</v>
      </c>
      <c r="M4811" t="s">
        <v>18958</v>
      </c>
      <c r="N4811" t="s">
        <v>22546</v>
      </c>
      <c r="O4811" t="s">
        <v>26524</v>
      </c>
      <c r="P4811" t="s">
        <v>26564</v>
      </c>
      <c r="Q4811" t="s">
        <v>26570</v>
      </c>
      <c r="R4811" t="s">
        <v>26584</v>
      </c>
      <c r="S4811" t="s">
        <v>18959</v>
      </c>
      <c r="U4811" t="s">
        <v>26604</v>
      </c>
      <c r="V4811" t="s">
        <v>26611</v>
      </c>
      <c r="W4811" t="s">
        <v>707</v>
      </c>
      <c r="X4811">
        <v>1300</v>
      </c>
      <c r="Y4811" t="s">
        <v>26653</v>
      </c>
      <c r="Z4811" t="s">
        <v>26664</v>
      </c>
      <c r="AA4811" t="s">
        <v>26683</v>
      </c>
      <c r="AB4811" t="s">
        <v>30621</v>
      </c>
      <c r="AC4811" t="s">
        <v>35855</v>
      </c>
      <c r="AD4811" t="s">
        <v>40817</v>
      </c>
      <c r="AE4811">
        <v>3</v>
      </c>
      <c r="AF4811" t="s">
        <v>45547</v>
      </c>
      <c r="AG4811" t="s">
        <v>19330</v>
      </c>
      <c r="AH4811">
        <v>13</v>
      </c>
      <c r="AI4811">
        <v>3</v>
      </c>
      <c r="AJ4811">
        <v>0</v>
      </c>
      <c r="AK4811">
        <v>154.71</v>
      </c>
      <c r="AN4811" t="s">
        <v>7439</v>
      </c>
      <c r="AO4811">
        <v>33000</v>
      </c>
      <c r="AU4811">
        <v>4.09</v>
      </c>
      <c r="AV4811" t="s">
        <v>698</v>
      </c>
      <c r="AW4811" t="s">
        <v>161</v>
      </c>
      <c r="AX4811" t="s">
        <v>46897</v>
      </c>
    </row>
    <row r="4812" spans="1:50">
      <c r="A4812" s="1">
        <f>HYPERLINK("https://lsnyc.legalserver.org/matter/dynamic-profile/view/1890078","19-1890078")</f>
        <v>0</v>
      </c>
      <c r="B4812" t="s">
        <v>149</v>
      </c>
      <c r="C4812" t="s">
        <v>341</v>
      </c>
      <c r="D4812" t="s">
        <v>707</v>
      </c>
      <c r="E4812" t="s">
        <v>835</v>
      </c>
      <c r="F4812" t="s">
        <v>3185</v>
      </c>
      <c r="G4812" t="s">
        <v>6010</v>
      </c>
      <c r="H4812" t="s">
        <v>11753</v>
      </c>
      <c r="I4812" t="s">
        <v>18153</v>
      </c>
      <c r="J4812" t="s">
        <v>18892</v>
      </c>
      <c r="K4812">
        <v>10467</v>
      </c>
      <c r="L4812" t="s">
        <v>18958</v>
      </c>
      <c r="M4812" t="s">
        <v>18958</v>
      </c>
      <c r="N4812" t="s">
        <v>22547</v>
      </c>
      <c r="O4812" t="s">
        <v>26523</v>
      </c>
      <c r="P4812" t="s">
        <v>26560</v>
      </c>
      <c r="Q4812" t="s">
        <v>26568</v>
      </c>
      <c r="R4812" t="s">
        <v>26579</v>
      </c>
      <c r="S4812" t="s">
        <v>18959</v>
      </c>
      <c r="U4812" t="s">
        <v>26604</v>
      </c>
      <c r="V4812" t="s">
        <v>26610</v>
      </c>
      <c r="W4812" t="s">
        <v>707</v>
      </c>
      <c r="X4812">
        <v>1071</v>
      </c>
      <c r="Y4812" t="s">
        <v>26650</v>
      </c>
      <c r="Z4812" t="s">
        <v>26664</v>
      </c>
      <c r="AA4812" t="s">
        <v>26678</v>
      </c>
      <c r="AB4812" t="s">
        <v>30622</v>
      </c>
      <c r="AD4812" t="s">
        <v>40818</v>
      </c>
      <c r="AE4812">
        <v>49</v>
      </c>
      <c r="AF4812" t="s">
        <v>45541</v>
      </c>
      <c r="AG4812" t="s">
        <v>19330</v>
      </c>
      <c r="AH4812">
        <v>2</v>
      </c>
      <c r="AI4812">
        <v>1</v>
      </c>
      <c r="AJ4812">
        <v>1</v>
      </c>
      <c r="AK4812">
        <v>119.93</v>
      </c>
      <c r="AN4812" t="s">
        <v>45581</v>
      </c>
      <c r="AO4812">
        <v>20280</v>
      </c>
      <c r="AR4812" t="s">
        <v>46385</v>
      </c>
      <c r="AS4812" t="s">
        <v>46499</v>
      </c>
      <c r="AT4812" t="s">
        <v>46726</v>
      </c>
      <c r="AU4812">
        <v>9.800000000000001</v>
      </c>
      <c r="AV4812" t="s">
        <v>835</v>
      </c>
      <c r="AW4812" t="s">
        <v>336</v>
      </c>
      <c r="AX4812" t="s">
        <v>46897</v>
      </c>
    </row>
    <row r="4813" spans="1:50">
      <c r="A4813" s="1">
        <f>HYPERLINK("https://lsnyc.legalserver.org/matter/dynamic-profile/view/1888664","19-1888664")</f>
        <v>0</v>
      </c>
      <c r="B4813" t="s">
        <v>58</v>
      </c>
      <c r="C4813" t="s">
        <v>341</v>
      </c>
      <c r="D4813" t="s">
        <v>707</v>
      </c>
      <c r="E4813" t="s">
        <v>772</v>
      </c>
      <c r="F4813" t="s">
        <v>3186</v>
      </c>
      <c r="G4813" t="s">
        <v>5566</v>
      </c>
      <c r="H4813" t="s">
        <v>11255</v>
      </c>
      <c r="I4813" t="s">
        <v>17277</v>
      </c>
      <c r="J4813" t="s">
        <v>18892</v>
      </c>
      <c r="K4813">
        <v>10470</v>
      </c>
      <c r="L4813" t="s">
        <v>18958</v>
      </c>
      <c r="M4813" t="s">
        <v>18958</v>
      </c>
      <c r="N4813" t="s">
        <v>22548</v>
      </c>
      <c r="O4813" t="s">
        <v>26524</v>
      </c>
      <c r="P4813" t="s">
        <v>26564</v>
      </c>
      <c r="Q4813" t="s">
        <v>26570</v>
      </c>
      <c r="R4813" t="s">
        <v>26577</v>
      </c>
      <c r="S4813" t="s">
        <v>18959</v>
      </c>
      <c r="U4813" t="s">
        <v>26604</v>
      </c>
      <c r="W4813" t="s">
        <v>707</v>
      </c>
      <c r="X4813">
        <v>0</v>
      </c>
      <c r="Y4813" t="s">
        <v>26650</v>
      </c>
      <c r="Z4813" t="s">
        <v>26530</v>
      </c>
      <c r="AA4813" t="s">
        <v>26683</v>
      </c>
      <c r="AB4813" t="s">
        <v>30623</v>
      </c>
      <c r="AD4813" t="s">
        <v>40819</v>
      </c>
      <c r="AE4813">
        <v>20</v>
      </c>
      <c r="AF4813" t="s">
        <v>20460</v>
      </c>
      <c r="AG4813" t="s">
        <v>19330</v>
      </c>
      <c r="AH4813">
        <v>6</v>
      </c>
      <c r="AI4813">
        <v>2</v>
      </c>
      <c r="AJ4813">
        <v>0</v>
      </c>
      <c r="AK4813">
        <v>109.14</v>
      </c>
      <c r="AN4813" t="s">
        <v>7439</v>
      </c>
      <c r="AO4813">
        <v>18456</v>
      </c>
      <c r="AU4813">
        <v>3</v>
      </c>
      <c r="AV4813" t="s">
        <v>843</v>
      </c>
      <c r="AW4813" t="s">
        <v>46860</v>
      </c>
    </row>
    <row r="4814" spans="1:50">
      <c r="A4814" s="1">
        <f>HYPERLINK("https://lsnyc.legalserver.org/matter/dynamic-profile/view/1888541","19-1888541")</f>
        <v>0</v>
      </c>
      <c r="B4814" t="s">
        <v>153</v>
      </c>
      <c r="C4814" t="s">
        <v>341</v>
      </c>
      <c r="D4814" t="s">
        <v>707</v>
      </c>
      <c r="E4814" t="s">
        <v>660</v>
      </c>
      <c r="F4814" t="s">
        <v>3187</v>
      </c>
      <c r="G4814" t="s">
        <v>7434</v>
      </c>
      <c r="H4814" t="s">
        <v>9910</v>
      </c>
      <c r="I4814" t="s">
        <v>17307</v>
      </c>
      <c r="J4814" t="s">
        <v>18902</v>
      </c>
      <c r="K4814">
        <v>10303</v>
      </c>
      <c r="L4814" t="s">
        <v>18958</v>
      </c>
      <c r="M4814" t="s">
        <v>18958</v>
      </c>
      <c r="N4814" t="s">
        <v>22549</v>
      </c>
      <c r="O4814" t="s">
        <v>26523</v>
      </c>
      <c r="P4814" t="s">
        <v>26564</v>
      </c>
      <c r="Q4814" t="s">
        <v>26570</v>
      </c>
      <c r="R4814" t="s">
        <v>26590</v>
      </c>
      <c r="S4814" t="s">
        <v>18959</v>
      </c>
      <c r="U4814" t="s">
        <v>26605</v>
      </c>
      <c r="V4814" t="s">
        <v>26610</v>
      </c>
      <c r="W4814" t="s">
        <v>707</v>
      </c>
      <c r="X4814">
        <v>832</v>
      </c>
      <c r="Y4814" t="s">
        <v>26654</v>
      </c>
      <c r="Z4814" t="s">
        <v>26668</v>
      </c>
      <c r="AA4814" t="s">
        <v>26683</v>
      </c>
      <c r="AB4814" t="s">
        <v>30624</v>
      </c>
      <c r="AD4814" t="s">
        <v>40820</v>
      </c>
      <c r="AE4814">
        <v>0</v>
      </c>
      <c r="AF4814" t="s">
        <v>45549</v>
      </c>
      <c r="AG4814" t="s">
        <v>45556</v>
      </c>
      <c r="AH4814">
        <v>42</v>
      </c>
      <c r="AI4814">
        <v>1</v>
      </c>
      <c r="AJ4814">
        <v>0</v>
      </c>
      <c r="AK4814">
        <v>307.45</v>
      </c>
      <c r="AN4814" t="s">
        <v>7439</v>
      </c>
      <c r="AO4814">
        <v>38400</v>
      </c>
      <c r="AU4814">
        <v>2</v>
      </c>
      <c r="AV4814" t="s">
        <v>786</v>
      </c>
      <c r="AW4814" t="s">
        <v>185</v>
      </c>
    </row>
    <row r="4815" spans="1:50">
      <c r="A4815" s="1">
        <f>HYPERLINK("https://lsnyc.legalserver.org/matter/dynamic-profile/view/1888545","19-1888545")</f>
        <v>0</v>
      </c>
      <c r="B4815" t="s">
        <v>212</v>
      </c>
      <c r="C4815" t="s">
        <v>341</v>
      </c>
      <c r="D4815" t="s">
        <v>707</v>
      </c>
      <c r="E4815" t="s">
        <v>714</v>
      </c>
      <c r="F4815" t="s">
        <v>1309</v>
      </c>
      <c r="G4815" t="s">
        <v>7435</v>
      </c>
      <c r="H4815" t="s">
        <v>13263</v>
      </c>
      <c r="I4815" t="s">
        <v>17328</v>
      </c>
      <c r="J4815" t="s">
        <v>18909</v>
      </c>
      <c r="K4815">
        <v>11101</v>
      </c>
      <c r="L4815" t="s">
        <v>18958</v>
      </c>
      <c r="M4815" t="s">
        <v>18958</v>
      </c>
      <c r="N4815" t="s">
        <v>22550</v>
      </c>
      <c r="O4815" t="s">
        <v>26524</v>
      </c>
      <c r="P4815" t="s">
        <v>26565</v>
      </c>
      <c r="Q4815" t="s">
        <v>26570</v>
      </c>
      <c r="R4815" t="s">
        <v>26578</v>
      </c>
      <c r="S4815" t="s">
        <v>18959</v>
      </c>
      <c r="U4815" t="s">
        <v>26604</v>
      </c>
      <c r="V4815" t="s">
        <v>26610</v>
      </c>
      <c r="W4815" t="s">
        <v>707</v>
      </c>
      <c r="X4815">
        <v>500</v>
      </c>
      <c r="Y4815" t="s">
        <v>26653</v>
      </c>
      <c r="Z4815" t="s">
        <v>26664</v>
      </c>
      <c r="AA4815" t="s">
        <v>26683</v>
      </c>
      <c r="AB4815" t="s">
        <v>28340</v>
      </c>
      <c r="AD4815" t="s">
        <v>40821</v>
      </c>
      <c r="AE4815">
        <v>2</v>
      </c>
      <c r="AF4815" t="s">
        <v>45547</v>
      </c>
      <c r="AG4815" t="s">
        <v>19330</v>
      </c>
      <c r="AH4815">
        <v>13</v>
      </c>
      <c r="AI4815">
        <v>1</v>
      </c>
      <c r="AJ4815">
        <v>0</v>
      </c>
      <c r="AK4815">
        <v>0</v>
      </c>
      <c r="AN4815" t="s">
        <v>7439</v>
      </c>
      <c r="AO4815">
        <v>0</v>
      </c>
      <c r="AU4815">
        <v>0.75</v>
      </c>
      <c r="AV4815" t="s">
        <v>714</v>
      </c>
      <c r="AW4815" t="s">
        <v>208</v>
      </c>
    </row>
    <row r="4816" spans="1:50">
      <c r="A4816" s="1">
        <f>HYPERLINK("https://lsnyc.legalserver.org/matter/dynamic-profile/view/1896559","19-1896559")</f>
        <v>0</v>
      </c>
      <c r="B4816" t="s">
        <v>71</v>
      </c>
      <c r="C4816" t="s">
        <v>341</v>
      </c>
      <c r="D4816" t="s">
        <v>707</v>
      </c>
      <c r="E4816" t="s">
        <v>803</v>
      </c>
      <c r="F4816" t="s">
        <v>1944</v>
      </c>
      <c r="G4816" t="s">
        <v>5138</v>
      </c>
      <c r="H4816" t="s">
        <v>13264</v>
      </c>
      <c r="I4816" t="s">
        <v>17424</v>
      </c>
      <c r="J4816" t="s">
        <v>18892</v>
      </c>
      <c r="K4816">
        <v>10455</v>
      </c>
      <c r="L4816" t="s">
        <v>18958</v>
      </c>
      <c r="M4816" t="s">
        <v>18958</v>
      </c>
      <c r="N4816" t="s">
        <v>22551</v>
      </c>
      <c r="O4816" t="s">
        <v>26523</v>
      </c>
      <c r="P4816" t="s">
        <v>26564</v>
      </c>
      <c r="Q4816" t="s">
        <v>26570</v>
      </c>
      <c r="R4816" t="s">
        <v>26577</v>
      </c>
      <c r="S4816" t="s">
        <v>18959</v>
      </c>
      <c r="U4816" t="s">
        <v>26604</v>
      </c>
      <c r="W4816" t="s">
        <v>707</v>
      </c>
      <c r="X4816">
        <v>12000</v>
      </c>
      <c r="Y4816" t="s">
        <v>26650</v>
      </c>
      <c r="Z4816" t="s">
        <v>26668</v>
      </c>
      <c r="AA4816" t="s">
        <v>26683</v>
      </c>
      <c r="AB4816" t="s">
        <v>30625</v>
      </c>
      <c r="AD4816" t="s">
        <v>40822</v>
      </c>
      <c r="AE4816">
        <v>0</v>
      </c>
      <c r="AF4816" t="s">
        <v>45552</v>
      </c>
      <c r="AH4816">
        <v>20</v>
      </c>
      <c r="AI4816">
        <v>3</v>
      </c>
      <c r="AJ4816">
        <v>0</v>
      </c>
      <c r="AK4816">
        <v>66.2</v>
      </c>
      <c r="AN4816" t="s">
        <v>7439</v>
      </c>
      <c r="AO4816">
        <v>14120</v>
      </c>
      <c r="AU4816">
        <v>0.9</v>
      </c>
      <c r="AV4816" t="s">
        <v>802</v>
      </c>
      <c r="AW4816" t="s">
        <v>46870</v>
      </c>
      <c r="AX4816" t="s">
        <v>46897</v>
      </c>
    </row>
    <row r="4817" spans="1:50">
      <c r="A4817" s="1">
        <f>HYPERLINK("https://lsnyc.legalserver.org/matter/dynamic-profile/view/1888625","19-1888625")</f>
        <v>0</v>
      </c>
      <c r="B4817" t="s">
        <v>141</v>
      </c>
      <c r="C4817" t="s">
        <v>341</v>
      </c>
      <c r="D4817" t="s">
        <v>707</v>
      </c>
      <c r="E4817" t="s">
        <v>693</v>
      </c>
      <c r="F4817" t="s">
        <v>3188</v>
      </c>
      <c r="G4817" t="s">
        <v>2325</v>
      </c>
      <c r="H4817" t="s">
        <v>13265</v>
      </c>
      <c r="I4817" t="s">
        <v>18154</v>
      </c>
      <c r="J4817" t="s">
        <v>18913</v>
      </c>
      <c r="K4817">
        <v>11102</v>
      </c>
      <c r="L4817" t="s">
        <v>18958</v>
      </c>
      <c r="M4817" t="s">
        <v>18958</v>
      </c>
      <c r="N4817" t="s">
        <v>19330</v>
      </c>
      <c r="O4817" t="s">
        <v>18997</v>
      </c>
      <c r="P4817" t="s">
        <v>26564</v>
      </c>
      <c r="Q4817" t="s">
        <v>26570</v>
      </c>
      <c r="R4817" t="s">
        <v>26589</v>
      </c>
      <c r="S4817" t="s">
        <v>18959</v>
      </c>
      <c r="U4817" t="s">
        <v>26604</v>
      </c>
      <c r="V4817" t="s">
        <v>26610</v>
      </c>
      <c r="W4817" t="s">
        <v>707</v>
      </c>
      <c r="X4817">
        <v>2227.5</v>
      </c>
      <c r="Y4817" t="s">
        <v>26653</v>
      </c>
      <c r="Z4817" t="s">
        <v>26671</v>
      </c>
      <c r="AA4817" t="s">
        <v>26683</v>
      </c>
      <c r="AB4817" t="s">
        <v>30626</v>
      </c>
      <c r="AD4817" t="s">
        <v>40823</v>
      </c>
      <c r="AE4817">
        <v>60</v>
      </c>
      <c r="AF4817" t="s">
        <v>45541</v>
      </c>
      <c r="AG4817" t="s">
        <v>19330</v>
      </c>
      <c r="AH4817">
        <v>2</v>
      </c>
      <c r="AI4817">
        <v>1</v>
      </c>
      <c r="AJ4817">
        <v>4</v>
      </c>
      <c r="AK4817">
        <v>0</v>
      </c>
      <c r="AL4817" t="s">
        <v>45567</v>
      </c>
      <c r="AM4817" t="s">
        <v>45577</v>
      </c>
      <c r="AN4817" t="s">
        <v>7439</v>
      </c>
      <c r="AO4817">
        <v>0</v>
      </c>
      <c r="AU4817">
        <v>1.4</v>
      </c>
      <c r="AV4817" t="s">
        <v>698</v>
      </c>
      <c r="AW4817" t="s">
        <v>141</v>
      </c>
    </row>
    <row r="4818" spans="1:50">
      <c r="A4818" s="1">
        <f>HYPERLINK("https://lsnyc.legalserver.org/matter/dynamic-profile/view/1888648","19-1888648")</f>
        <v>0</v>
      </c>
      <c r="B4818" t="s">
        <v>141</v>
      </c>
      <c r="C4818" t="s">
        <v>341</v>
      </c>
      <c r="D4818" t="s">
        <v>707</v>
      </c>
      <c r="E4818" t="s">
        <v>693</v>
      </c>
      <c r="F4818" t="s">
        <v>1925</v>
      </c>
      <c r="G4818" t="s">
        <v>7436</v>
      </c>
      <c r="H4818" t="s">
        <v>13266</v>
      </c>
      <c r="I4818" t="s">
        <v>18155</v>
      </c>
      <c r="J4818" t="s">
        <v>18915</v>
      </c>
      <c r="K4818">
        <v>11372</v>
      </c>
      <c r="L4818" t="s">
        <v>18958</v>
      </c>
      <c r="M4818" t="s">
        <v>18958</v>
      </c>
      <c r="N4818" t="s">
        <v>19330</v>
      </c>
      <c r="O4818" t="s">
        <v>18997</v>
      </c>
      <c r="P4818" t="s">
        <v>26564</v>
      </c>
      <c r="Q4818" t="s">
        <v>26570</v>
      </c>
      <c r="R4818" t="s">
        <v>26589</v>
      </c>
      <c r="S4818" t="s">
        <v>18959</v>
      </c>
      <c r="U4818" t="s">
        <v>26604</v>
      </c>
      <c r="V4818" t="s">
        <v>26610</v>
      </c>
      <c r="W4818" t="s">
        <v>707</v>
      </c>
      <c r="X4818">
        <v>0</v>
      </c>
      <c r="Y4818" t="s">
        <v>26653</v>
      </c>
      <c r="Z4818" t="s">
        <v>26671</v>
      </c>
      <c r="AA4818" t="s">
        <v>26683</v>
      </c>
      <c r="AB4818" t="s">
        <v>30627</v>
      </c>
      <c r="AD4818" t="s">
        <v>40824</v>
      </c>
      <c r="AE4818">
        <v>120</v>
      </c>
      <c r="AF4818" t="s">
        <v>45553</v>
      </c>
      <c r="AG4818" t="s">
        <v>19330</v>
      </c>
      <c r="AH4818">
        <v>2</v>
      </c>
      <c r="AI4818">
        <v>2</v>
      </c>
      <c r="AJ4818">
        <v>0</v>
      </c>
      <c r="AK4818">
        <v>295.68</v>
      </c>
      <c r="AL4818" t="s">
        <v>45567</v>
      </c>
      <c r="AM4818" t="s">
        <v>45577</v>
      </c>
      <c r="AN4818" t="s">
        <v>7439</v>
      </c>
      <c r="AO4818">
        <v>50000</v>
      </c>
      <c r="AU4818">
        <v>0.95</v>
      </c>
      <c r="AV4818" t="s">
        <v>784</v>
      </c>
      <c r="AW4818" t="s">
        <v>141</v>
      </c>
    </row>
    <row r="4819" spans="1:50">
      <c r="A4819" s="1">
        <f>HYPERLINK("https://lsnyc.legalserver.org/matter/dynamic-profile/view/1888668","19-1888668")</f>
        <v>0</v>
      </c>
      <c r="B4819" t="s">
        <v>141</v>
      </c>
      <c r="C4819" t="s">
        <v>341</v>
      </c>
      <c r="D4819" t="s">
        <v>707</v>
      </c>
      <c r="E4819" t="s">
        <v>693</v>
      </c>
      <c r="F4819" t="s">
        <v>1122</v>
      </c>
      <c r="G4819" t="s">
        <v>7437</v>
      </c>
      <c r="H4819" t="s">
        <v>13267</v>
      </c>
      <c r="I4819" t="s">
        <v>17374</v>
      </c>
      <c r="J4819" t="s">
        <v>18933</v>
      </c>
      <c r="K4819">
        <v>11422</v>
      </c>
      <c r="L4819" t="s">
        <v>18958</v>
      </c>
      <c r="M4819" t="s">
        <v>18958</v>
      </c>
      <c r="N4819" t="s">
        <v>19330</v>
      </c>
      <c r="O4819" t="s">
        <v>18997</v>
      </c>
      <c r="P4819" t="s">
        <v>26564</v>
      </c>
      <c r="Q4819" t="s">
        <v>26570</v>
      </c>
      <c r="R4819" t="s">
        <v>26589</v>
      </c>
      <c r="S4819" t="s">
        <v>18959</v>
      </c>
      <c r="U4819" t="s">
        <v>26604</v>
      </c>
      <c r="V4819" t="s">
        <v>26610</v>
      </c>
      <c r="W4819" t="s">
        <v>707</v>
      </c>
      <c r="X4819">
        <v>1000</v>
      </c>
      <c r="Y4819" t="s">
        <v>26653</v>
      </c>
      <c r="Z4819" t="s">
        <v>26671</v>
      </c>
      <c r="AA4819" t="s">
        <v>26683</v>
      </c>
      <c r="AB4819" t="s">
        <v>30628</v>
      </c>
      <c r="AD4819" t="s">
        <v>40825</v>
      </c>
      <c r="AE4819">
        <v>2</v>
      </c>
      <c r="AF4819" t="s">
        <v>45547</v>
      </c>
      <c r="AG4819" t="s">
        <v>19330</v>
      </c>
      <c r="AH4819">
        <v>-1</v>
      </c>
      <c r="AI4819">
        <v>1</v>
      </c>
      <c r="AJ4819">
        <v>0</v>
      </c>
      <c r="AK4819">
        <v>376.3</v>
      </c>
      <c r="AL4819" t="s">
        <v>45567</v>
      </c>
      <c r="AM4819" t="s">
        <v>45577</v>
      </c>
      <c r="AN4819" t="s">
        <v>7439</v>
      </c>
      <c r="AO4819">
        <v>47000</v>
      </c>
      <c r="AU4819">
        <v>0.9</v>
      </c>
      <c r="AV4819" t="s">
        <v>698</v>
      </c>
      <c r="AW4819" t="s">
        <v>141</v>
      </c>
    </row>
    <row r="4820" spans="1:50">
      <c r="A4820" s="1">
        <f>HYPERLINK("https://lsnyc.legalserver.org/matter/dynamic-profile/view/1888677","19-1888677")</f>
        <v>0</v>
      </c>
      <c r="B4820" t="s">
        <v>214</v>
      </c>
      <c r="C4820" t="s">
        <v>341</v>
      </c>
      <c r="D4820" t="s">
        <v>707</v>
      </c>
      <c r="E4820" t="s">
        <v>825</v>
      </c>
      <c r="F4820" t="s">
        <v>3189</v>
      </c>
      <c r="G4820" t="s">
        <v>5570</v>
      </c>
      <c r="H4820" t="s">
        <v>13268</v>
      </c>
      <c r="I4820" t="s">
        <v>17374</v>
      </c>
      <c r="J4820" t="s">
        <v>18901</v>
      </c>
      <c r="K4820">
        <v>11434</v>
      </c>
      <c r="L4820" t="s">
        <v>18958</v>
      </c>
      <c r="M4820" t="s">
        <v>18958</v>
      </c>
      <c r="N4820" t="s">
        <v>22552</v>
      </c>
      <c r="O4820" t="s">
        <v>26524</v>
      </c>
      <c r="P4820" t="s">
        <v>26560</v>
      </c>
      <c r="Q4820" t="s">
        <v>26568</v>
      </c>
      <c r="R4820" t="s">
        <v>26585</v>
      </c>
      <c r="S4820" t="s">
        <v>18959</v>
      </c>
      <c r="U4820" t="s">
        <v>26604</v>
      </c>
      <c r="V4820" t="s">
        <v>26610</v>
      </c>
      <c r="W4820" t="s">
        <v>707</v>
      </c>
      <c r="X4820">
        <v>1200</v>
      </c>
      <c r="Y4820" t="s">
        <v>26653</v>
      </c>
      <c r="Z4820" t="s">
        <v>26664</v>
      </c>
      <c r="AA4820" t="s">
        <v>26679</v>
      </c>
      <c r="AB4820" t="s">
        <v>30629</v>
      </c>
      <c r="AC4820" t="s">
        <v>35856</v>
      </c>
      <c r="AD4820" t="s">
        <v>40826</v>
      </c>
      <c r="AE4820">
        <v>2</v>
      </c>
      <c r="AF4820" t="s">
        <v>45547</v>
      </c>
      <c r="AG4820" t="s">
        <v>19330</v>
      </c>
      <c r="AH4820">
        <v>10</v>
      </c>
      <c r="AI4820">
        <v>1</v>
      </c>
      <c r="AJ4820">
        <v>0</v>
      </c>
      <c r="AK4820">
        <v>69.66</v>
      </c>
      <c r="AN4820" t="s">
        <v>7439</v>
      </c>
      <c r="AO4820">
        <v>8700</v>
      </c>
      <c r="AQ4820" t="s">
        <v>46361</v>
      </c>
      <c r="AR4820" t="s">
        <v>46406</v>
      </c>
      <c r="AS4820" t="s">
        <v>46500</v>
      </c>
      <c r="AT4820" t="s">
        <v>46729</v>
      </c>
      <c r="AU4820">
        <v>23.53</v>
      </c>
      <c r="AV4820" t="s">
        <v>809</v>
      </c>
      <c r="AW4820" t="s">
        <v>122</v>
      </c>
      <c r="AX4820" t="s">
        <v>46898</v>
      </c>
    </row>
    <row r="4821" spans="1:50">
      <c r="A4821" s="1">
        <f>HYPERLINK("https://lsnyc.legalserver.org/matter/dynamic-profile/view/1888672","19-1888672")</f>
        <v>0</v>
      </c>
      <c r="B4821" t="s">
        <v>120</v>
      </c>
      <c r="C4821" t="s">
        <v>341</v>
      </c>
      <c r="D4821" t="s">
        <v>707</v>
      </c>
      <c r="E4821" t="s">
        <v>825</v>
      </c>
      <c r="F4821" t="s">
        <v>1401</v>
      </c>
      <c r="G4821" t="s">
        <v>7438</v>
      </c>
      <c r="H4821" t="s">
        <v>13269</v>
      </c>
      <c r="I4821" t="s">
        <v>17306</v>
      </c>
      <c r="J4821" t="s">
        <v>18892</v>
      </c>
      <c r="K4821">
        <v>10454</v>
      </c>
      <c r="L4821" t="s">
        <v>18958</v>
      </c>
      <c r="M4821" t="s">
        <v>18958</v>
      </c>
      <c r="N4821" t="s">
        <v>22553</v>
      </c>
      <c r="O4821" t="s">
        <v>26523</v>
      </c>
      <c r="P4821" t="s">
        <v>26560</v>
      </c>
      <c r="Q4821" t="s">
        <v>26574</v>
      </c>
      <c r="R4821" t="s">
        <v>26577</v>
      </c>
      <c r="S4821" t="s">
        <v>18959</v>
      </c>
      <c r="U4821" t="s">
        <v>26604</v>
      </c>
      <c r="V4821" t="s">
        <v>26611</v>
      </c>
      <c r="W4821" t="s">
        <v>707</v>
      </c>
      <c r="X4821">
        <v>800</v>
      </c>
      <c r="Y4821" t="s">
        <v>26650</v>
      </c>
      <c r="Z4821" t="s">
        <v>26668</v>
      </c>
      <c r="AA4821" t="s">
        <v>26678</v>
      </c>
      <c r="AB4821" t="s">
        <v>30630</v>
      </c>
      <c r="AD4821" t="s">
        <v>40827</v>
      </c>
      <c r="AE4821">
        <v>0</v>
      </c>
      <c r="AF4821" t="s">
        <v>45545</v>
      </c>
      <c r="AG4821" t="s">
        <v>26530</v>
      </c>
      <c r="AH4821">
        <v>1</v>
      </c>
      <c r="AI4821">
        <v>1</v>
      </c>
      <c r="AJ4821">
        <v>0</v>
      </c>
      <c r="AK4821">
        <v>18.73</v>
      </c>
      <c r="AN4821" t="s">
        <v>7439</v>
      </c>
      <c r="AO4821">
        <v>2340</v>
      </c>
      <c r="AQ4821" t="s">
        <v>46365</v>
      </c>
      <c r="AR4821" t="s">
        <v>46379</v>
      </c>
      <c r="AS4821" t="s">
        <v>46499</v>
      </c>
      <c r="AT4821" t="s">
        <v>46710</v>
      </c>
      <c r="AU4821">
        <v>15</v>
      </c>
      <c r="AV4821" t="s">
        <v>820</v>
      </c>
      <c r="AW4821" t="s">
        <v>336</v>
      </c>
    </row>
    <row r="4822" spans="1:50">
      <c r="A4822" s="1">
        <f>HYPERLINK("https://lsnyc.legalserver.org/matter/dynamic-profile/view/1889496","19-1889496")</f>
        <v>0</v>
      </c>
      <c r="B4822" t="s">
        <v>187</v>
      </c>
      <c r="C4822" t="s">
        <v>341</v>
      </c>
      <c r="D4822" t="s">
        <v>707</v>
      </c>
      <c r="E4822" t="s">
        <v>822</v>
      </c>
      <c r="F4822" t="s">
        <v>1072</v>
      </c>
      <c r="G4822" t="s">
        <v>5100</v>
      </c>
      <c r="H4822" t="s">
        <v>13270</v>
      </c>
      <c r="I4822" t="s">
        <v>17362</v>
      </c>
      <c r="J4822" t="s">
        <v>18892</v>
      </c>
      <c r="K4822">
        <v>10467</v>
      </c>
      <c r="L4822" t="s">
        <v>18958</v>
      </c>
      <c r="M4822" t="s">
        <v>18958</v>
      </c>
      <c r="N4822" t="s">
        <v>22554</v>
      </c>
      <c r="O4822" t="s">
        <v>26523</v>
      </c>
      <c r="P4822" t="s">
        <v>26560</v>
      </c>
      <c r="Q4822" t="s">
        <v>26573</v>
      </c>
      <c r="R4822" t="s">
        <v>26579</v>
      </c>
      <c r="S4822" t="s">
        <v>18959</v>
      </c>
      <c r="U4822" t="s">
        <v>26604</v>
      </c>
      <c r="V4822" t="s">
        <v>26610</v>
      </c>
      <c r="W4822" t="s">
        <v>707</v>
      </c>
      <c r="X4822">
        <v>1370</v>
      </c>
      <c r="Y4822" t="s">
        <v>26650</v>
      </c>
      <c r="Z4822" t="s">
        <v>26664</v>
      </c>
      <c r="AA4822" t="s">
        <v>26680</v>
      </c>
      <c r="AB4822" t="s">
        <v>30631</v>
      </c>
      <c r="AC4822" t="s">
        <v>35857</v>
      </c>
      <c r="AD4822" t="s">
        <v>40828</v>
      </c>
      <c r="AE4822">
        <v>0</v>
      </c>
      <c r="AF4822" t="s">
        <v>20460</v>
      </c>
      <c r="AG4822" t="s">
        <v>19330</v>
      </c>
      <c r="AH4822">
        <v>5</v>
      </c>
      <c r="AI4822">
        <v>1</v>
      </c>
      <c r="AJ4822">
        <v>0</v>
      </c>
      <c r="AK4822">
        <v>0</v>
      </c>
      <c r="AN4822" t="s">
        <v>7439</v>
      </c>
      <c r="AO4822">
        <v>0</v>
      </c>
      <c r="AR4822" t="s">
        <v>46379</v>
      </c>
      <c r="AS4822" t="s">
        <v>46499</v>
      </c>
      <c r="AT4822" t="s">
        <v>46744</v>
      </c>
      <c r="AU4822">
        <v>7.9</v>
      </c>
      <c r="AV4822" t="s">
        <v>822</v>
      </c>
      <c r="AW4822" t="s">
        <v>336</v>
      </c>
      <c r="AX4822" t="s">
        <v>46897</v>
      </c>
    </row>
    <row r="4823" spans="1:50">
      <c r="A4823" s="1">
        <f>HYPERLINK("https://lsnyc.legalserver.org/matter/dynamic-profile/view/1888543","19-1888543")</f>
        <v>0</v>
      </c>
      <c r="B4823" t="s">
        <v>104</v>
      </c>
      <c r="C4823" t="s">
        <v>341</v>
      </c>
      <c r="D4823" t="s">
        <v>707</v>
      </c>
      <c r="E4823" t="s">
        <v>775</v>
      </c>
      <c r="F4823" t="s">
        <v>3190</v>
      </c>
      <c r="G4823" t="s">
        <v>5241</v>
      </c>
      <c r="H4823" t="s">
        <v>13271</v>
      </c>
      <c r="I4823" t="s">
        <v>17446</v>
      </c>
      <c r="J4823" t="s">
        <v>18902</v>
      </c>
      <c r="K4823">
        <v>10310</v>
      </c>
      <c r="L4823" t="s">
        <v>18958</v>
      </c>
      <c r="M4823" t="s">
        <v>18958</v>
      </c>
      <c r="N4823" t="s">
        <v>22555</v>
      </c>
      <c r="O4823" t="s">
        <v>26524</v>
      </c>
      <c r="P4823" t="s">
        <v>26560</v>
      </c>
      <c r="Q4823" t="s">
        <v>26568</v>
      </c>
      <c r="R4823" t="s">
        <v>26590</v>
      </c>
      <c r="S4823" t="s">
        <v>18959</v>
      </c>
      <c r="U4823" t="s">
        <v>26604</v>
      </c>
      <c r="V4823" t="s">
        <v>26610</v>
      </c>
      <c r="W4823" t="s">
        <v>707</v>
      </c>
      <c r="X4823">
        <v>1000</v>
      </c>
      <c r="Y4823" t="s">
        <v>26654</v>
      </c>
      <c r="Z4823" t="s">
        <v>26668</v>
      </c>
      <c r="AA4823" t="s">
        <v>26678</v>
      </c>
      <c r="AB4823" t="s">
        <v>30632</v>
      </c>
      <c r="AD4823" t="s">
        <v>40829</v>
      </c>
      <c r="AE4823">
        <v>3</v>
      </c>
      <c r="AF4823" t="s">
        <v>45547</v>
      </c>
      <c r="AH4823">
        <v>1</v>
      </c>
      <c r="AI4823">
        <v>2</v>
      </c>
      <c r="AJ4823">
        <v>0</v>
      </c>
      <c r="AK4823">
        <v>49.67</v>
      </c>
      <c r="AN4823" t="s">
        <v>7439</v>
      </c>
      <c r="AO4823">
        <v>8400</v>
      </c>
      <c r="AQ4823" t="s">
        <v>46361</v>
      </c>
      <c r="AR4823" t="s">
        <v>46379</v>
      </c>
      <c r="AS4823" t="s">
        <v>46499</v>
      </c>
      <c r="AT4823" t="s">
        <v>46712</v>
      </c>
      <c r="AU4823">
        <v>17.2</v>
      </c>
      <c r="AV4823" t="s">
        <v>786</v>
      </c>
      <c r="AW4823" t="s">
        <v>210</v>
      </c>
    </row>
    <row r="4824" spans="1:50">
      <c r="A4824" s="1">
        <f>HYPERLINK("https://lsnyc.legalserver.org/matter/dynamic-profile/view/1888631","19-1888631")</f>
        <v>0</v>
      </c>
      <c r="B4824" t="s">
        <v>107</v>
      </c>
      <c r="C4824" t="s">
        <v>340</v>
      </c>
      <c r="D4824" t="s">
        <v>707</v>
      </c>
      <c r="F4824" t="s">
        <v>1604</v>
      </c>
      <c r="G4824" t="s">
        <v>7439</v>
      </c>
      <c r="H4824" t="s">
        <v>13272</v>
      </c>
      <c r="I4824">
        <v>2</v>
      </c>
      <c r="J4824" t="s">
        <v>18901</v>
      </c>
      <c r="K4824">
        <v>11434</v>
      </c>
      <c r="L4824" t="s">
        <v>18958</v>
      </c>
      <c r="M4824" t="s">
        <v>18958</v>
      </c>
      <c r="N4824" t="s">
        <v>22556</v>
      </c>
      <c r="O4824" t="s">
        <v>26524</v>
      </c>
      <c r="P4824" t="s">
        <v>26560</v>
      </c>
      <c r="R4824" t="s">
        <v>26585</v>
      </c>
      <c r="S4824" t="s">
        <v>18959</v>
      </c>
      <c r="U4824" t="s">
        <v>26605</v>
      </c>
      <c r="V4824" t="s">
        <v>26612</v>
      </c>
      <c r="W4824" t="s">
        <v>707</v>
      </c>
      <c r="X4824">
        <v>2850</v>
      </c>
      <c r="Y4824" t="s">
        <v>26653</v>
      </c>
      <c r="Z4824" t="s">
        <v>26668</v>
      </c>
      <c r="AB4824" t="s">
        <v>30633</v>
      </c>
      <c r="AC4824" t="s">
        <v>35858</v>
      </c>
      <c r="AD4824" t="s">
        <v>40830</v>
      </c>
      <c r="AE4824">
        <v>2</v>
      </c>
      <c r="AF4824" t="s">
        <v>45549</v>
      </c>
      <c r="AG4824" t="s">
        <v>45556</v>
      </c>
      <c r="AH4824">
        <v>2</v>
      </c>
      <c r="AI4824">
        <v>1</v>
      </c>
      <c r="AJ4824">
        <v>4</v>
      </c>
      <c r="AK4824">
        <v>50.06</v>
      </c>
      <c r="AN4824" t="s">
        <v>7439</v>
      </c>
      <c r="AO4824">
        <v>15102</v>
      </c>
      <c r="AQ4824" t="s">
        <v>46365</v>
      </c>
      <c r="AR4824" t="s">
        <v>26530</v>
      </c>
      <c r="AS4824" t="s">
        <v>46500</v>
      </c>
      <c r="AT4824" t="s">
        <v>46593</v>
      </c>
      <c r="AU4824">
        <v>3</v>
      </c>
      <c r="AV4824" t="s">
        <v>826</v>
      </c>
      <c r="AW4824" t="s">
        <v>208</v>
      </c>
      <c r="AX4824" t="s">
        <v>46897</v>
      </c>
    </row>
    <row r="4825" spans="1:50">
      <c r="A4825" s="1">
        <f>HYPERLINK("https://lsnyc.legalserver.org/matter/dynamic-profile/view/1888678","19-1888678")</f>
        <v>0</v>
      </c>
      <c r="B4825" t="s">
        <v>61</v>
      </c>
      <c r="C4825" t="s">
        <v>340</v>
      </c>
      <c r="D4825" t="s">
        <v>707</v>
      </c>
      <c r="F4825" t="s">
        <v>3191</v>
      </c>
      <c r="G4825" t="s">
        <v>6145</v>
      </c>
      <c r="H4825" t="s">
        <v>11324</v>
      </c>
      <c r="I4825">
        <v>43</v>
      </c>
      <c r="J4825" t="s">
        <v>18893</v>
      </c>
      <c r="K4825">
        <v>10034</v>
      </c>
      <c r="L4825" t="s">
        <v>18958</v>
      </c>
      <c r="M4825" t="s">
        <v>18958</v>
      </c>
      <c r="N4825" t="s">
        <v>22462</v>
      </c>
      <c r="O4825" t="s">
        <v>26526</v>
      </c>
      <c r="P4825" t="s">
        <v>26560</v>
      </c>
      <c r="R4825" t="s">
        <v>26578</v>
      </c>
      <c r="S4825" t="s">
        <v>18958</v>
      </c>
      <c r="U4825" t="s">
        <v>26604</v>
      </c>
      <c r="W4825" t="s">
        <v>707</v>
      </c>
      <c r="X4825">
        <v>1547</v>
      </c>
      <c r="Y4825" t="s">
        <v>26651</v>
      </c>
      <c r="Z4825" t="s">
        <v>26661</v>
      </c>
      <c r="AB4825" t="s">
        <v>30634</v>
      </c>
      <c r="AD4825" t="s">
        <v>40831</v>
      </c>
      <c r="AE4825">
        <v>25</v>
      </c>
      <c r="AF4825" t="s">
        <v>45541</v>
      </c>
      <c r="AG4825" t="s">
        <v>19330</v>
      </c>
      <c r="AH4825">
        <v>8</v>
      </c>
      <c r="AI4825">
        <v>2</v>
      </c>
      <c r="AJ4825">
        <v>2</v>
      </c>
      <c r="AK4825">
        <v>80.78</v>
      </c>
      <c r="AN4825" t="s">
        <v>45581</v>
      </c>
      <c r="AO4825">
        <v>20800</v>
      </c>
      <c r="AU4825">
        <v>0.5</v>
      </c>
      <c r="AV4825" t="s">
        <v>707</v>
      </c>
      <c r="AW4825" t="s">
        <v>46840</v>
      </c>
    </row>
    <row r="4826" spans="1:50">
      <c r="A4826" s="1">
        <f>HYPERLINK("https://lsnyc.legalserver.org/matter/dynamic-profile/view/1888681","19-1888681")</f>
        <v>0</v>
      </c>
      <c r="B4826" t="s">
        <v>61</v>
      </c>
      <c r="C4826" t="s">
        <v>340</v>
      </c>
      <c r="D4826" t="s">
        <v>707</v>
      </c>
      <c r="F4826" t="s">
        <v>1738</v>
      </c>
      <c r="G4826" t="s">
        <v>5229</v>
      </c>
      <c r="H4826" t="s">
        <v>11324</v>
      </c>
      <c r="I4826">
        <v>24</v>
      </c>
      <c r="J4826" t="s">
        <v>18893</v>
      </c>
      <c r="K4826">
        <v>10034</v>
      </c>
      <c r="L4826" t="s">
        <v>18958</v>
      </c>
      <c r="M4826" t="s">
        <v>18958</v>
      </c>
      <c r="N4826" t="s">
        <v>22462</v>
      </c>
      <c r="O4826" t="s">
        <v>26526</v>
      </c>
      <c r="P4826" t="s">
        <v>26560</v>
      </c>
      <c r="R4826" t="s">
        <v>26578</v>
      </c>
      <c r="S4826" t="s">
        <v>18958</v>
      </c>
      <c r="U4826" t="s">
        <v>26604</v>
      </c>
      <c r="W4826" t="s">
        <v>707</v>
      </c>
      <c r="X4826">
        <v>947.89</v>
      </c>
      <c r="Y4826" t="s">
        <v>26651</v>
      </c>
      <c r="Z4826" t="s">
        <v>26659</v>
      </c>
      <c r="AB4826" t="s">
        <v>28259</v>
      </c>
      <c r="AD4826" t="s">
        <v>40832</v>
      </c>
      <c r="AE4826">
        <v>25</v>
      </c>
      <c r="AF4826" t="s">
        <v>45541</v>
      </c>
      <c r="AG4826" t="s">
        <v>45559</v>
      </c>
      <c r="AH4826">
        <v>20</v>
      </c>
      <c r="AI4826">
        <v>3</v>
      </c>
      <c r="AJ4826">
        <v>0</v>
      </c>
      <c r="AK4826">
        <v>105.65</v>
      </c>
      <c r="AN4826" t="s">
        <v>45581</v>
      </c>
      <c r="AO4826">
        <v>22536</v>
      </c>
      <c r="AU4826">
        <v>0.5</v>
      </c>
      <c r="AV4826" t="s">
        <v>707</v>
      </c>
      <c r="AW4826" t="s">
        <v>46840</v>
      </c>
    </row>
    <row r="4827" spans="1:50">
      <c r="A4827" s="1">
        <f>HYPERLINK("https://lsnyc.legalserver.org/matter/dynamic-profile/view/1888399","19-1888399")</f>
        <v>0</v>
      </c>
      <c r="B4827" t="s">
        <v>61</v>
      </c>
      <c r="C4827" t="s">
        <v>340</v>
      </c>
      <c r="D4827" t="s">
        <v>707</v>
      </c>
      <c r="F4827" t="s">
        <v>871</v>
      </c>
      <c r="G4827" t="s">
        <v>5748</v>
      </c>
      <c r="H4827" t="s">
        <v>11324</v>
      </c>
      <c r="I4827">
        <v>55</v>
      </c>
      <c r="J4827" t="s">
        <v>18893</v>
      </c>
      <c r="K4827">
        <v>10034</v>
      </c>
      <c r="L4827" t="s">
        <v>18958</v>
      </c>
      <c r="M4827" t="s">
        <v>18958</v>
      </c>
      <c r="N4827" t="s">
        <v>22462</v>
      </c>
      <c r="O4827" t="s">
        <v>26526</v>
      </c>
      <c r="P4827" t="s">
        <v>26560</v>
      </c>
      <c r="R4827" t="s">
        <v>26578</v>
      </c>
      <c r="S4827" t="s">
        <v>18958</v>
      </c>
      <c r="U4827" t="s">
        <v>26604</v>
      </c>
      <c r="W4827" t="s">
        <v>707</v>
      </c>
      <c r="X4827">
        <v>925.0700000000001</v>
      </c>
      <c r="Y4827" t="s">
        <v>26651</v>
      </c>
      <c r="Z4827" t="s">
        <v>26661</v>
      </c>
      <c r="AB4827" t="s">
        <v>30635</v>
      </c>
      <c r="AD4827" t="s">
        <v>40833</v>
      </c>
      <c r="AE4827">
        <v>25</v>
      </c>
      <c r="AF4827" t="s">
        <v>45541</v>
      </c>
      <c r="AG4827" t="s">
        <v>45556</v>
      </c>
      <c r="AH4827">
        <v>27</v>
      </c>
      <c r="AI4827">
        <v>2</v>
      </c>
      <c r="AJ4827">
        <v>0</v>
      </c>
      <c r="AK4827">
        <v>183.32</v>
      </c>
      <c r="AN4827" t="s">
        <v>45581</v>
      </c>
      <c r="AO4827">
        <v>31000</v>
      </c>
      <c r="AU4827">
        <v>1.42</v>
      </c>
      <c r="AV4827" t="s">
        <v>781</v>
      </c>
      <c r="AW4827" t="s">
        <v>46840</v>
      </c>
      <c r="AX4827" t="s">
        <v>46897</v>
      </c>
    </row>
    <row r="4828" spans="1:50">
      <c r="A4828" s="1">
        <f>HYPERLINK("https://lsnyc.legalserver.org/matter/dynamic-profile/view/1888549","19-1888549")</f>
        <v>0</v>
      </c>
      <c r="B4828" t="s">
        <v>278</v>
      </c>
      <c r="C4828" t="s">
        <v>340</v>
      </c>
      <c r="D4828" t="s">
        <v>707</v>
      </c>
      <c r="F4828" t="s">
        <v>1703</v>
      </c>
      <c r="G4828" t="s">
        <v>6494</v>
      </c>
      <c r="H4828" t="s">
        <v>10704</v>
      </c>
      <c r="I4828" t="s">
        <v>17356</v>
      </c>
      <c r="J4828" t="s">
        <v>18902</v>
      </c>
      <c r="K4828">
        <v>10303</v>
      </c>
      <c r="L4828" t="s">
        <v>18958</v>
      </c>
      <c r="M4828" t="s">
        <v>18958</v>
      </c>
      <c r="N4828" t="s">
        <v>22557</v>
      </c>
      <c r="O4828" t="s">
        <v>26523</v>
      </c>
      <c r="P4828" t="s">
        <v>26560</v>
      </c>
      <c r="R4828" t="s">
        <v>26590</v>
      </c>
      <c r="S4828" t="s">
        <v>18959</v>
      </c>
      <c r="U4828" t="s">
        <v>26605</v>
      </c>
      <c r="V4828" t="s">
        <v>26610</v>
      </c>
      <c r="W4828" t="s">
        <v>707</v>
      </c>
      <c r="X4828">
        <v>569</v>
      </c>
      <c r="Y4828" t="s">
        <v>26654</v>
      </c>
      <c r="Z4828" t="s">
        <v>26668</v>
      </c>
      <c r="AB4828" t="s">
        <v>29864</v>
      </c>
      <c r="AD4828" t="s">
        <v>40834</v>
      </c>
      <c r="AE4828">
        <v>0</v>
      </c>
      <c r="AF4828" t="s">
        <v>45542</v>
      </c>
      <c r="AG4828" t="s">
        <v>45556</v>
      </c>
      <c r="AH4828">
        <v>10</v>
      </c>
      <c r="AI4828">
        <v>2</v>
      </c>
      <c r="AJ4828">
        <v>0</v>
      </c>
      <c r="AK4828">
        <v>133.77</v>
      </c>
      <c r="AN4828" t="s">
        <v>7439</v>
      </c>
      <c r="AO4828">
        <v>22620</v>
      </c>
      <c r="AU4828">
        <v>12.3</v>
      </c>
      <c r="AV4828" t="s">
        <v>817</v>
      </c>
      <c r="AW4828" t="s">
        <v>185</v>
      </c>
    </row>
    <row r="4829" spans="1:50">
      <c r="A4829" s="1">
        <f>HYPERLINK("https://lsnyc.legalserver.org/matter/dynamic-profile/view/1888562","19-1888562")</f>
        <v>0</v>
      </c>
      <c r="B4829" t="s">
        <v>130</v>
      </c>
      <c r="C4829" t="s">
        <v>340</v>
      </c>
      <c r="D4829" t="s">
        <v>707</v>
      </c>
      <c r="F4829" t="s">
        <v>1339</v>
      </c>
      <c r="G4829" t="s">
        <v>4105</v>
      </c>
      <c r="H4829" t="s">
        <v>13273</v>
      </c>
      <c r="I4829" t="s">
        <v>17374</v>
      </c>
      <c r="J4829" t="s">
        <v>18899</v>
      </c>
      <c r="K4829">
        <v>11385</v>
      </c>
      <c r="L4829" t="s">
        <v>18958</v>
      </c>
      <c r="M4829" t="s">
        <v>18958</v>
      </c>
      <c r="N4829" t="s">
        <v>22558</v>
      </c>
      <c r="O4829" t="s">
        <v>26524</v>
      </c>
      <c r="P4829" t="s">
        <v>26560</v>
      </c>
      <c r="R4829" t="s">
        <v>26585</v>
      </c>
      <c r="S4829" t="s">
        <v>18959</v>
      </c>
      <c r="U4829" t="s">
        <v>26604</v>
      </c>
      <c r="V4829" t="s">
        <v>26610</v>
      </c>
      <c r="W4829" t="s">
        <v>707</v>
      </c>
      <c r="X4829">
        <v>550</v>
      </c>
      <c r="Y4829" t="s">
        <v>26653</v>
      </c>
      <c r="Z4829" t="s">
        <v>26664</v>
      </c>
      <c r="AB4829" t="s">
        <v>29892</v>
      </c>
      <c r="AC4829" t="s">
        <v>35859</v>
      </c>
      <c r="AD4829" t="s">
        <v>40835</v>
      </c>
      <c r="AE4829">
        <v>3</v>
      </c>
      <c r="AF4829" t="s">
        <v>45547</v>
      </c>
      <c r="AG4829" t="s">
        <v>19330</v>
      </c>
      <c r="AH4829">
        <v>1</v>
      </c>
      <c r="AI4829">
        <v>2</v>
      </c>
      <c r="AJ4829">
        <v>0</v>
      </c>
      <c r="AK4829">
        <v>0</v>
      </c>
      <c r="AN4829" t="s">
        <v>7439</v>
      </c>
      <c r="AO4829">
        <v>0</v>
      </c>
      <c r="AU4829">
        <v>14.6</v>
      </c>
      <c r="AV4829" t="s">
        <v>834</v>
      </c>
      <c r="AW4829" t="s">
        <v>161</v>
      </c>
      <c r="AX4829" t="s">
        <v>46897</v>
      </c>
    </row>
    <row r="4830" spans="1:50">
      <c r="A4830" s="1">
        <f>HYPERLINK("https://lsnyc.legalserver.org/matter/dynamic-profile/view/1888598","19-1888598")</f>
        <v>0</v>
      </c>
      <c r="B4830" t="s">
        <v>53</v>
      </c>
      <c r="C4830" t="s">
        <v>340</v>
      </c>
      <c r="D4830" t="s">
        <v>707</v>
      </c>
      <c r="F4830" t="s">
        <v>1795</v>
      </c>
      <c r="G4830" t="s">
        <v>5243</v>
      </c>
      <c r="H4830" t="s">
        <v>10872</v>
      </c>
      <c r="I4830" t="s">
        <v>17550</v>
      </c>
      <c r="J4830" t="s">
        <v>18892</v>
      </c>
      <c r="K4830">
        <v>10459</v>
      </c>
      <c r="L4830" t="s">
        <v>18958</v>
      </c>
      <c r="M4830" t="s">
        <v>18958</v>
      </c>
      <c r="N4830" t="s">
        <v>22559</v>
      </c>
      <c r="O4830" t="s">
        <v>26524</v>
      </c>
      <c r="P4830" t="s">
        <v>26560</v>
      </c>
      <c r="R4830" t="s">
        <v>26577</v>
      </c>
      <c r="S4830" t="s">
        <v>18959</v>
      </c>
      <c r="U4830" t="s">
        <v>26604</v>
      </c>
      <c r="V4830" t="s">
        <v>26610</v>
      </c>
      <c r="W4830" t="s">
        <v>707</v>
      </c>
      <c r="X4830">
        <v>1506.56</v>
      </c>
      <c r="Y4830" t="s">
        <v>26650</v>
      </c>
      <c r="Z4830" t="s">
        <v>26659</v>
      </c>
      <c r="AB4830" t="s">
        <v>28032</v>
      </c>
      <c r="AC4830" t="s">
        <v>34948</v>
      </c>
      <c r="AD4830" t="s">
        <v>38083</v>
      </c>
      <c r="AE4830">
        <v>8</v>
      </c>
      <c r="AF4830" t="s">
        <v>45541</v>
      </c>
      <c r="AG4830" t="s">
        <v>45556</v>
      </c>
      <c r="AH4830">
        <v>15</v>
      </c>
      <c r="AI4830">
        <v>2</v>
      </c>
      <c r="AJ4830">
        <v>1</v>
      </c>
      <c r="AK4830">
        <v>70.31999999999999</v>
      </c>
      <c r="AN4830" t="s">
        <v>7439</v>
      </c>
      <c r="AO4830">
        <v>15000</v>
      </c>
      <c r="AU4830">
        <v>7.1</v>
      </c>
      <c r="AV4830" t="s">
        <v>814</v>
      </c>
      <c r="AW4830" t="s">
        <v>53</v>
      </c>
    </row>
    <row r="4831" spans="1:50">
      <c r="A4831" s="1">
        <f>HYPERLINK("https://lsnyc.legalserver.org/matter/dynamic-profile/view/1888654","19-1888654")</f>
        <v>0</v>
      </c>
      <c r="B4831" t="s">
        <v>108</v>
      </c>
      <c r="C4831" t="s">
        <v>340</v>
      </c>
      <c r="D4831" t="s">
        <v>707</v>
      </c>
      <c r="F4831" t="s">
        <v>3192</v>
      </c>
      <c r="G4831" t="s">
        <v>6708</v>
      </c>
      <c r="H4831" t="s">
        <v>13274</v>
      </c>
      <c r="I4831" t="s">
        <v>18156</v>
      </c>
      <c r="J4831" t="s">
        <v>18906</v>
      </c>
      <c r="K4831">
        <v>11373</v>
      </c>
      <c r="L4831" t="s">
        <v>18958</v>
      </c>
      <c r="M4831" t="s">
        <v>18958</v>
      </c>
      <c r="N4831" t="s">
        <v>22560</v>
      </c>
      <c r="O4831" t="s">
        <v>26523</v>
      </c>
      <c r="P4831" t="s">
        <v>26560</v>
      </c>
      <c r="R4831" t="s">
        <v>26585</v>
      </c>
      <c r="S4831" t="s">
        <v>18959</v>
      </c>
      <c r="U4831" t="s">
        <v>26604</v>
      </c>
      <c r="V4831" t="s">
        <v>26610</v>
      </c>
      <c r="W4831" t="s">
        <v>707</v>
      </c>
      <c r="X4831">
        <v>1537.94</v>
      </c>
      <c r="Y4831" t="s">
        <v>26653</v>
      </c>
      <c r="Z4831" t="s">
        <v>26668</v>
      </c>
      <c r="AB4831" t="s">
        <v>30636</v>
      </c>
      <c r="AD4831" t="s">
        <v>40836</v>
      </c>
      <c r="AE4831">
        <v>357</v>
      </c>
      <c r="AF4831" t="s">
        <v>45541</v>
      </c>
      <c r="AG4831" t="s">
        <v>19330</v>
      </c>
      <c r="AH4831">
        <v>20</v>
      </c>
      <c r="AI4831">
        <v>1</v>
      </c>
      <c r="AJ4831">
        <v>3</v>
      </c>
      <c r="AK4831">
        <v>34.95</v>
      </c>
      <c r="AN4831" t="s">
        <v>7439</v>
      </c>
      <c r="AO4831">
        <v>9000</v>
      </c>
      <c r="AQ4831" t="s">
        <v>46362</v>
      </c>
      <c r="AR4831" t="s">
        <v>46422</v>
      </c>
      <c r="AS4831" t="s">
        <v>46499</v>
      </c>
      <c r="AT4831" t="s">
        <v>46737</v>
      </c>
      <c r="AU4831">
        <v>6.37</v>
      </c>
      <c r="AV4831" t="s">
        <v>772</v>
      </c>
      <c r="AW4831" t="s">
        <v>208</v>
      </c>
    </row>
    <row r="4832" spans="1:50">
      <c r="A4832" s="1">
        <f>HYPERLINK("https://lsnyc.legalserver.org/matter/dynamic-profile/view/1888649","19-1888649")</f>
        <v>0</v>
      </c>
      <c r="B4832" t="s">
        <v>108</v>
      </c>
      <c r="C4832" t="s">
        <v>340</v>
      </c>
      <c r="D4832" t="s">
        <v>707</v>
      </c>
      <c r="F4832" t="s">
        <v>1253</v>
      </c>
      <c r="G4832" t="s">
        <v>2702</v>
      </c>
      <c r="H4832" t="s">
        <v>13275</v>
      </c>
      <c r="I4832" t="s">
        <v>17292</v>
      </c>
      <c r="J4832" t="s">
        <v>18901</v>
      </c>
      <c r="K4832">
        <v>11434</v>
      </c>
      <c r="L4832" t="s">
        <v>18958</v>
      </c>
      <c r="M4832" t="s">
        <v>18958</v>
      </c>
      <c r="N4832" t="s">
        <v>22487</v>
      </c>
      <c r="O4832" t="s">
        <v>26523</v>
      </c>
      <c r="P4832" t="s">
        <v>26560</v>
      </c>
      <c r="R4832" t="s">
        <v>26585</v>
      </c>
      <c r="S4832" t="s">
        <v>18959</v>
      </c>
      <c r="U4832" t="s">
        <v>26604</v>
      </c>
      <c r="V4832" t="s">
        <v>26610</v>
      </c>
      <c r="W4832" t="s">
        <v>707</v>
      </c>
      <c r="X4832">
        <v>741.6799999999999</v>
      </c>
      <c r="Y4832" t="s">
        <v>26653</v>
      </c>
      <c r="Z4832" t="s">
        <v>26668</v>
      </c>
      <c r="AB4832" t="s">
        <v>30637</v>
      </c>
      <c r="AD4832" t="s">
        <v>40837</v>
      </c>
      <c r="AE4832">
        <v>5860</v>
      </c>
      <c r="AF4832" t="s">
        <v>45550</v>
      </c>
      <c r="AG4832" t="s">
        <v>19330</v>
      </c>
      <c r="AH4832">
        <v>6</v>
      </c>
      <c r="AI4832">
        <v>1</v>
      </c>
      <c r="AJ4832">
        <v>0</v>
      </c>
      <c r="AK4832">
        <v>115.29</v>
      </c>
      <c r="AN4832" t="s">
        <v>7439</v>
      </c>
      <c r="AO4832">
        <v>14400</v>
      </c>
      <c r="AU4832">
        <v>9.1</v>
      </c>
      <c r="AV4832" t="s">
        <v>775</v>
      </c>
      <c r="AW4832" t="s">
        <v>208</v>
      </c>
    </row>
    <row r="4833" spans="1:50">
      <c r="A4833" s="1">
        <f>HYPERLINK("https://lsnyc.legalserver.org/matter/dynamic-profile/view/1888558","19-1888558")</f>
        <v>0</v>
      </c>
      <c r="B4833" t="s">
        <v>131</v>
      </c>
      <c r="C4833" t="s">
        <v>340</v>
      </c>
      <c r="D4833" t="s">
        <v>707</v>
      </c>
      <c r="F4833" t="s">
        <v>3193</v>
      </c>
      <c r="G4833" t="s">
        <v>7440</v>
      </c>
      <c r="H4833" t="s">
        <v>9903</v>
      </c>
      <c r="I4833" t="s">
        <v>17273</v>
      </c>
      <c r="J4833" t="s">
        <v>18902</v>
      </c>
      <c r="K4833">
        <v>10314</v>
      </c>
      <c r="L4833" t="s">
        <v>18958</v>
      </c>
      <c r="M4833" t="s">
        <v>18958</v>
      </c>
      <c r="N4833" t="s">
        <v>22561</v>
      </c>
      <c r="O4833" t="s">
        <v>26523</v>
      </c>
      <c r="P4833" t="s">
        <v>26560</v>
      </c>
      <c r="R4833" t="s">
        <v>26590</v>
      </c>
      <c r="S4833" t="s">
        <v>18959</v>
      </c>
      <c r="U4833" t="s">
        <v>26605</v>
      </c>
      <c r="V4833" t="s">
        <v>26610</v>
      </c>
      <c r="W4833" t="s">
        <v>707</v>
      </c>
      <c r="X4833">
        <v>1150</v>
      </c>
      <c r="Y4833" t="s">
        <v>26654</v>
      </c>
      <c r="Z4833" t="s">
        <v>26668</v>
      </c>
      <c r="AB4833" t="s">
        <v>30638</v>
      </c>
      <c r="AD4833" t="s">
        <v>40838</v>
      </c>
      <c r="AE4833">
        <v>0</v>
      </c>
      <c r="AF4833" t="s">
        <v>45549</v>
      </c>
      <c r="AG4833" t="s">
        <v>45556</v>
      </c>
      <c r="AH4833">
        <v>19</v>
      </c>
      <c r="AI4833">
        <v>3</v>
      </c>
      <c r="AJ4833">
        <v>1</v>
      </c>
      <c r="AK4833">
        <v>181.75</v>
      </c>
      <c r="AN4833" t="s">
        <v>7439</v>
      </c>
      <c r="AO4833">
        <v>46800</v>
      </c>
      <c r="AU4833">
        <v>7.4</v>
      </c>
      <c r="AV4833" t="s">
        <v>826</v>
      </c>
      <c r="AW4833" t="s">
        <v>185</v>
      </c>
    </row>
    <row r="4834" spans="1:50">
      <c r="A4834" s="1">
        <f>HYPERLINK("https://lsnyc.legalserver.org/matter/dynamic-profile/view/1888946","19-1888946")</f>
        <v>0</v>
      </c>
      <c r="B4834" t="s">
        <v>81</v>
      </c>
      <c r="C4834" t="s">
        <v>340</v>
      </c>
      <c r="D4834" t="s">
        <v>707</v>
      </c>
      <c r="F4834" t="s">
        <v>999</v>
      </c>
      <c r="G4834" t="s">
        <v>5868</v>
      </c>
      <c r="H4834" t="s">
        <v>13276</v>
      </c>
      <c r="I4834" t="s">
        <v>17299</v>
      </c>
      <c r="J4834" t="s">
        <v>18892</v>
      </c>
      <c r="K4834">
        <v>10457</v>
      </c>
      <c r="L4834" t="s">
        <v>18958</v>
      </c>
      <c r="M4834" t="s">
        <v>18958</v>
      </c>
      <c r="N4834" t="s">
        <v>22562</v>
      </c>
      <c r="O4834" t="s">
        <v>26523</v>
      </c>
      <c r="P4834" t="s">
        <v>26560</v>
      </c>
      <c r="R4834" t="s">
        <v>26579</v>
      </c>
      <c r="S4834" t="s">
        <v>18959</v>
      </c>
      <c r="U4834" t="s">
        <v>26604</v>
      </c>
      <c r="V4834" t="s">
        <v>26610</v>
      </c>
      <c r="W4834" t="s">
        <v>707</v>
      </c>
      <c r="X4834">
        <v>1348</v>
      </c>
      <c r="Y4834" t="s">
        <v>26650</v>
      </c>
      <c r="Z4834" t="s">
        <v>26664</v>
      </c>
      <c r="AB4834" t="s">
        <v>30309</v>
      </c>
      <c r="AD4834" t="s">
        <v>40839</v>
      </c>
      <c r="AE4834">
        <v>12</v>
      </c>
      <c r="AF4834" t="s">
        <v>45541</v>
      </c>
      <c r="AG4834" t="s">
        <v>19330</v>
      </c>
      <c r="AH4834">
        <v>2</v>
      </c>
      <c r="AI4834">
        <v>1</v>
      </c>
      <c r="AJ4834">
        <v>0</v>
      </c>
      <c r="AK4834">
        <v>0</v>
      </c>
      <c r="AN4834" t="s">
        <v>45581</v>
      </c>
      <c r="AO4834">
        <v>0</v>
      </c>
      <c r="AU4834">
        <v>11.2</v>
      </c>
      <c r="AV4834" t="s">
        <v>830</v>
      </c>
      <c r="AW4834" t="s">
        <v>336</v>
      </c>
      <c r="AX4834" t="s">
        <v>46897</v>
      </c>
    </row>
    <row r="4835" spans="1:50">
      <c r="A4835" s="1">
        <f>HYPERLINK("https://lsnyc.legalserver.org/matter/dynamic-profile/view/1888977","19-1888977")</f>
        <v>0</v>
      </c>
      <c r="B4835" t="s">
        <v>81</v>
      </c>
      <c r="C4835" t="s">
        <v>340</v>
      </c>
      <c r="D4835" t="s">
        <v>707</v>
      </c>
      <c r="F4835" t="s">
        <v>1489</v>
      </c>
      <c r="G4835" t="s">
        <v>7441</v>
      </c>
      <c r="H4835" t="s">
        <v>13277</v>
      </c>
      <c r="I4835">
        <v>2</v>
      </c>
      <c r="J4835" t="s">
        <v>18892</v>
      </c>
      <c r="K4835">
        <v>10457</v>
      </c>
      <c r="L4835" t="s">
        <v>18958</v>
      </c>
      <c r="M4835" t="s">
        <v>18958</v>
      </c>
      <c r="N4835" t="s">
        <v>22563</v>
      </c>
      <c r="O4835" t="s">
        <v>26524</v>
      </c>
      <c r="P4835" t="s">
        <v>26560</v>
      </c>
      <c r="R4835" t="s">
        <v>26579</v>
      </c>
      <c r="S4835" t="s">
        <v>18959</v>
      </c>
      <c r="U4835" t="s">
        <v>26604</v>
      </c>
      <c r="W4835" t="s">
        <v>707</v>
      </c>
      <c r="X4835">
        <v>2000</v>
      </c>
      <c r="Y4835" t="s">
        <v>26650</v>
      </c>
      <c r="Z4835" t="s">
        <v>26664</v>
      </c>
      <c r="AB4835" t="s">
        <v>30639</v>
      </c>
      <c r="AC4835" t="s">
        <v>35860</v>
      </c>
      <c r="AD4835" t="s">
        <v>40840</v>
      </c>
      <c r="AE4835">
        <v>2</v>
      </c>
      <c r="AF4835" t="s">
        <v>45547</v>
      </c>
      <c r="AG4835" t="s">
        <v>45556</v>
      </c>
      <c r="AH4835">
        <v>8</v>
      </c>
      <c r="AI4835">
        <v>2</v>
      </c>
      <c r="AJ4835">
        <v>3</v>
      </c>
      <c r="AK4835">
        <v>7.41</v>
      </c>
      <c r="AN4835" t="s">
        <v>7439</v>
      </c>
      <c r="AO4835">
        <v>2236</v>
      </c>
      <c r="AU4835">
        <v>16.4</v>
      </c>
      <c r="AV4835" t="s">
        <v>804</v>
      </c>
      <c r="AW4835" t="s">
        <v>336</v>
      </c>
      <c r="AX4835" t="s">
        <v>46898</v>
      </c>
    </row>
    <row r="4836" spans="1:50">
      <c r="A4836" s="1">
        <f>HYPERLINK("https://lsnyc.legalserver.org/matter/dynamic-profile/view/1888552","19-1888552")</f>
        <v>0</v>
      </c>
      <c r="B4836" t="s">
        <v>153</v>
      </c>
      <c r="C4836" t="s">
        <v>340</v>
      </c>
      <c r="D4836" t="s">
        <v>707</v>
      </c>
      <c r="F4836" t="s">
        <v>3194</v>
      </c>
      <c r="G4836" t="s">
        <v>5097</v>
      </c>
      <c r="H4836" t="s">
        <v>13278</v>
      </c>
      <c r="I4836" t="s">
        <v>17366</v>
      </c>
      <c r="J4836" t="s">
        <v>18902</v>
      </c>
      <c r="K4836">
        <v>10314</v>
      </c>
      <c r="L4836" t="s">
        <v>18958</v>
      </c>
      <c r="M4836" t="s">
        <v>18958</v>
      </c>
      <c r="N4836" t="s">
        <v>22564</v>
      </c>
      <c r="O4836" t="s">
        <v>26523</v>
      </c>
      <c r="P4836" t="s">
        <v>26560</v>
      </c>
      <c r="R4836" t="s">
        <v>26590</v>
      </c>
      <c r="S4836" t="s">
        <v>18959</v>
      </c>
      <c r="U4836" t="s">
        <v>26605</v>
      </c>
      <c r="V4836" t="s">
        <v>26610</v>
      </c>
      <c r="W4836" t="s">
        <v>707</v>
      </c>
      <c r="X4836">
        <v>215</v>
      </c>
      <c r="Y4836" t="s">
        <v>26654</v>
      </c>
      <c r="Z4836" t="s">
        <v>26668</v>
      </c>
      <c r="AB4836" t="s">
        <v>30640</v>
      </c>
      <c r="AC4836" t="s">
        <v>35861</v>
      </c>
      <c r="AD4836" t="s">
        <v>40841</v>
      </c>
      <c r="AE4836">
        <v>0</v>
      </c>
      <c r="AF4836" t="s">
        <v>45549</v>
      </c>
      <c r="AH4836">
        <v>15</v>
      </c>
      <c r="AI4836">
        <v>1</v>
      </c>
      <c r="AJ4836">
        <v>0</v>
      </c>
      <c r="AK4836">
        <v>17.49</v>
      </c>
      <c r="AN4836" t="s">
        <v>7439</v>
      </c>
      <c r="AO4836">
        <v>2184</v>
      </c>
      <c r="AU4836">
        <v>10.85</v>
      </c>
      <c r="AV4836" t="s">
        <v>826</v>
      </c>
      <c r="AW4836" t="s">
        <v>210</v>
      </c>
    </row>
    <row r="4837" spans="1:50">
      <c r="A4837" s="1">
        <f>HYPERLINK("https://lsnyc.legalserver.org/matter/dynamic-profile/view/1888574","19-1888574")</f>
        <v>0</v>
      </c>
      <c r="B4837" t="s">
        <v>212</v>
      </c>
      <c r="C4837" t="s">
        <v>340</v>
      </c>
      <c r="D4837" t="s">
        <v>707</v>
      </c>
      <c r="F4837" t="s">
        <v>1789</v>
      </c>
      <c r="G4837" t="s">
        <v>5078</v>
      </c>
      <c r="H4837" t="s">
        <v>13279</v>
      </c>
      <c r="I4837" t="s">
        <v>17332</v>
      </c>
      <c r="J4837" t="s">
        <v>18899</v>
      </c>
      <c r="K4837">
        <v>11385</v>
      </c>
      <c r="L4837" t="s">
        <v>18958</v>
      </c>
      <c r="M4837" t="s">
        <v>18958</v>
      </c>
      <c r="N4837" t="s">
        <v>22565</v>
      </c>
      <c r="O4837" t="s">
        <v>26524</v>
      </c>
      <c r="P4837" t="s">
        <v>26564</v>
      </c>
      <c r="R4837" t="s">
        <v>26585</v>
      </c>
      <c r="S4837" t="s">
        <v>18959</v>
      </c>
      <c r="U4837" t="s">
        <v>26604</v>
      </c>
      <c r="V4837" t="s">
        <v>26610</v>
      </c>
      <c r="W4837" t="s">
        <v>707</v>
      </c>
      <c r="X4837">
        <v>979</v>
      </c>
      <c r="Y4837" t="s">
        <v>26653</v>
      </c>
      <c r="Z4837" t="s">
        <v>26664</v>
      </c>
      <c r="AB4837" t="s">
        <v>30641</v>
      </c>
      <c r="AD4837" t="s">
        <v>40842</v>
      </c>
      <c r="AE4837">
        <v>6</v>
      </c>
      <c r="AF4837" t="s">
        <v>45541</v>
      </c>
      <c r="AG4837" t="s">
        <v>19330</v>
      </c>
      <c r="AH4837">
        <v>30</v>
      </c>
      <c r="AI4837">
        <v>3</v>
      </c>
      <c r="AJ4837">
        <v>0</v>
      </c>
      <c r="AK4837">
        <v>164.09</v>
      </c>
      <c r="AN4837" t="s">
        <v>7439</v>
      </c>
      <c r="AO4837">
        <v>35000</v>
      </c>
      <c r="AU4837">
        <v>1.85</v>
      </c>
      <c r="AV4837" t="s">
        <v>659</v>
      </c>
      <c r="AW4837" t="s">
        <v>161</v>
      </c>
    </row>
    <row r="4838" spans="1:50">
      <c r="A4838" s="1">
        <f>HYPERLINK("https://lsnyc.legalserver.org/matter/dynamic-profile/view/1888657","19-1888657")</f>
        <v>0</v>
      </c>
      <c r="B4838" t="s">
        <v>142</v>
      </c>
      <c r="C4838" t="s">
        <v>340</v>
      </c>
      <c r="D4838" t="s">
        <v>707</v>
      </c>
      <c r="F4838" t="s">
        <v>1211</v>
      </c>
      <c r="G4838" t="s">
        <v>7442</v>
      </c>
      <c r="H4838" t="s">
        <v>13280</v>
      </c>
      <c r="J4838" t="s">
        <v>18901</v>
      </c>
      <c r="K4838">
        <v>11434</v>
      </c>
      <c r="L4838" t="s">
        <v>18958</v>
      </c>
      <c r="M4838" t="s">
        <v>18958</v>
      </c>
      <c r="N4838" t="s">
        <v>22566</v>
      </c>
      <c r="O4838" t="s">
        <v>26524</v>
      </c>
      <c r="P4838" t="s">
        <v>26560</v>
      </c>
      <c r="R4838" t="s">
        <v>26585</v>
      </c>
      <c r="S4838" t="s">
        <v>18959</v>
      </c>
      <c r="U4838" t="s">
        <v>26604</v>
      </c>
      <c r="V4838" t="s">
        <v>26610</v>
      </c>
      <c r="W4838" t="s">
        <v>707</v>
      </c>
      <c r="X4838">
        <v>1300</v>
      </c>
      <c r="Y4838" t="s">
        <v>26653</v>
      </c>
      <c r="Z4838" t="s">
        <v>26668</v>
      </c>
      <c r="AB4838" t="s">
        <v>30642</v>
      </c>
      <c r="AD4838" t="s">
        <v>40843</v>
      </c>
      <c r="AE4838">
        <v>2</v>
      </c>
      <c r="AF4838" t="s">
        <v>45547</v>
      </c>
      <c r="AG4838" t="s">
        <v>19330</v>
      </c>
      <c r="AH4838">
        <v>1</v>
      </c>
      <c r="AI4838">
        <v>2</v>
      </c>
      <c r="AJ4838">
        <v>0</v>
      </c>
      <c r="AK4838">
        <v>136.39</v>
      </c>
      <c r="AN4838" t="s">
        <v>7439</v>
      </c>
      <c r="AO4838">
        <v>23064</v>
      </c>
      <c r="AQ4838" t="s">
        <v>46359</v>
      </c>
      <c r="AR4838" t="s">
        <v>26530</v>
      </c>
      <c r="AS4838" t="s">
        <v>46500</v>
      </c>
      <c r="AT4838" t="s">
        <v>46525</v>
      </c>
      <c r="AU4838">
        <v>5.3</v>
      </c>
      <c r="AV4838" t="s">
        <v>815</v>
      </c>
      <c r="AW4838" t="s">
        <v>208</v>
      </c>
    </row>
    <row r="4839" spans="1:50">
      <c r="A4839" s="1">
        <f>HYPERLINK("https://lsnyc.legalserver.org/matter/dynamic-profile/view/1888640","19-1888640")</f>
        <v>0</v>
      </c>
      <c r="B4839" t="s">
        <v>142</v>
      </c>
      <c r="C4839" t="s">
        <v>340</v>
      </c>
      <c r="D4839" t="s">
        <v>707</v>
      </c>
      <c r="F4839" t="s">
        <v>928</v>
      </c>
      <c r="G4839" t="s">
        <v>5677</v>
      </c>
      <c r="H4839" t="s">
        <v>13144</v>
      </c>
      <c r="I4839" t="s">
        <v>17273</v>
      </c>
      <c r="J4839" t="s">
        <v>18901</v>
      </c>
      <c r="K4839">
        <v>11433</v>
      </c>
      <c r="L4839" t="s">
        <v>18958</v>
      </c>
      <c r="M4839" t="s">
        <v>18958</v>
      </c>
      <c r="N4839" t="s">
        <v>22567</v>
      </c>
      <c r="O4839" t="s">
        <v>26523</v>
      </c>
      <c r="P4839" t="s">
        <v>26560</v>
      </c>
      <c r="R4839" t="s">
        <v>26585</v>
      </c>
      <c r="S4839" t="s">
        <v>18959</v>
      </c>
      <c r="U4839" t="s">
        <v>26604</v>
      </c>
      <c r="V4839" t="s">
        <v>26610</v>
      </c>
      <c r="W4839" t="s">
        <v>707</v>
      </c>
      <c r="X4839">
        <v>606</v>
      </c>
      <c r="Y4839" t="s">
        <v>26653</v>
      </c>
      <c r="Z4839" t="s">
        <v>26668</v>
      </c>
      <c r="AB4839" t="s">
        <v>30643</v>
      </c>
      <c r="AD4839" t="s">
        <v>40844</v>
      </c>
      <c r="AE4839">
        <v>56</v>
      </c>
      <c r="AF4839" t="s">
        <v>45549</v>
      </c>
      <c r="AG4839" t="s">
        <v>19330</v>
      </c>
      <c r="AH4839">
        <v>26</v>
      </c>
      <c r="AI4839">
        <v>1</v>
      </c>
      <c r="AJ4839">
        <v>1</v>
      </c>
      <c r="AK4839">
        <v>184.51</v>
      </c>
      <c r="AN4839" t="s">
        <v>7439</v>
      </c>
      <c r="AO4839">
        <v>31200</v>
      </c>
      <c r="AQ4839" t="s">
        <v>46359</v>
      </c>
      <c r="AR4839" t="s">
        <v>46379</v>
      </c>
      <c r="AS4839" t="s">
        <v>46499</v>
      </c>
      <c r="AT4839" t="s">
        <v>46506</v>
      </c>
      <c r="AU4839">
        <v>10.5</v>
      </c>
      <c r="AV4839" t="s">
        <v>735</v>
      </c>
      <c r="AW4839" t="s">
        <v>208</v>
      </c>
    </row>
    <row r="4840" spans="1:50">
      <c r="A4840" s="1">
        <f>HYPERLINK("https://lsnyc.legalserver.org/matter/dynamic-profile/view/1888600","19-1888600")</f>
        <v>0</v>
      </c>
      <c r="B4840" t="s">
        <v>122</v>
      </c>
      <c r="C4840" t="s">
        <v>340</v>
      </c>
      <c r="D4840" t="s">
        <v>707</v>
      </c>
      <c r="F4840" t="s">
        <v>3195</v>
      </c>
      <c r="G4840" t="s">
        <v>7443</v>
      </c>
      <c r="H4840" t="s">
        <v>13281</v>
      </c>
      <c r="I4840">
        <v>2</v>
      </c>
      <c r="J4840" t="s">
        <v>18931</v>
      </c>
      <c r="K4840">
        <v>11412</v>
      </c>
      <c r="L4840" t="s">
        <v>18958</v>
      </c>
      <c r="M4840" t="s">
        <v>18958</v>
      </c>
      <c r="N4840" t="s">
        <v>22568</v>
      </c>
      <c r="O4840" t="s">
        <v>26524</v>
      </c>
      <c r="P4840" t="s">
        <v>26560</v>
      </c>
      <c r="R4840" t="s">
        <v>26584</v>
      </c>
      <c r="S4840" t="s">
        <v>18959</v>
      </c>
      <c r="U4840" t="s">
        <v>26604</v>
      </c>
      <c r="V4840" t="s">
        <v>26610</v>
      </c>
      <c r="W4840" t="s">
        <v>707</v>
      </c>
      <c r="X4840">
        <v>253</v>
      </c>
      <c r="Y4840" t="s">
        <v>26653</v>
      </c>
      <c r="Z4840" t="s">
        <v>26664</v>
      </c>
      <c r="AB4840" t="s">
        <v>30644</v>
      </c>
      <c r="AC4840" t="s">
        <v>35862</v>
      </c>
      <c r="AD4840" t="s">
        <v>40845</v>
      </c>
      <c r="AE4840">
        <v>2</v>
      </c>
      <c r="AF4840" t="s">
        <v>45547</v>
      </c>
      <c r="AG4840" t="s">
        <v>45556</v>
      </c>
      <c r="AH4840">
        <v>5</v>
      </c>
      <c r="AI4840">
        <v>1</v>
      </c>
      <c r="AJ4840">
        <v>2</v>
      </c>
      <c r="AK4840">
        <v>109.67</v>
      </c>
      <c r="AN4840" t="s">
        <v>7439</v>
      </c>
      <c r="AO4840">
        <v>23392</v>
      </c>
      <c r="AQ4840" t="s">
        <v>46359</v>
      </c>
      <c r="AR4840" t="s">
        <v>26530</v>
      </c>
      <c r="AS4840" t="s">
        <v>46500</v>
      </c>
      <c r="AT4840" t="s">
        <v>46715</v>
      </c>
      <c r="AU4840">
        <v>12.6</v>
      </c>
      <c r="AV4840" t="s">
        <v>772</v>
      </c>
      <c r="AW4840" t="s">
        <v>161</v>
      </c>
    </row>
    <row r="4841" spans="1:50">
      <c r="A4841" s="1">
        <f>HYPERLINK("https://lsnyc.legalserver.org/matter/dynamic-profile/view/1888560","19-1888560")</f>
        <v>0</v>
      </c>
      <c r="B4841" t="s">
        <v>104</v>
      </c>
      <c r="C4841" t="s">
        <v>340</v>
      </c>
      <c r="D4841" t="s">
        <v>707</v>
      </c>
      <c r="F4841" t="s">
        <v>1754</v>
      </c>
      <c r="G4841" t="s">
        <v>7444</v>
      </c>
      <c r="H4841" t="s">
        <v>12209</v>
      </c>
      <c r="I4841" t="s">
        <v>17410</v>
      </c>
      <c r="J4841" t="s">
        <v>18902</v>
      </c>
      <c r="K4841">
        <v>10303</v>
      </c>
      <c r="L4841" t="s">
        <v>18958</v>
      </c>
      <c r="M4841" t="s">
        <v>18958</v>
      </c>
      <c r="N4841" t="s">
        <v>22569</v>
      </c>
      <c r="O4841" t="s">
        <v>26523</v>
      </c>
      <c r="P4841" t="s">
        <v>26560</v>
      </c>
      <c r="R4841" t="s">
        <v>26590</v>
      </c>
      <c r="S4841" t="s">
        <v>18959</v>
      </c>
      <c r="U4841" t="s">
        <v>26605</v>
      </c>
      <c r="V4841" t="s">
        <v>26610</v>
      </c>
      <c r="W4841" t="s">
        <v>707</v>
      </c>
      <c r="X4841">
        <v>299</v>
      </c>
      <c r="Y4841" t="s">
        <v>26654</v>
      </c>
      <c r="Z4841" t="s">
        <v>26668</v>
      </c>
      <c r="AB4841" t="s">
        <v>30645</v>
      </c>
      <c r="AD4841" t="s">
        <v>40846</v>
      </c>
      <c r="AE4841">
        <v>0</v>
      </c>
      <c r="AF4841" t="s">
        <v>45549</v>
      </c>
      <c r="AH4841">
        <v>3</v>
      </c>
      <c r="AI4841">
        <v>1</v>
      </c>
      <c r="AJ4841">
        <v>4</v>
      </c>
      <c r="AK4841">
        <v>41.68</v>
      </c>
      <c r="AN4841" t="s">
        <v>7439</v>
      </c>
      <c r="AO4841">
        <v>12576</v>
      </c>
      <c r="AU4841">
        <v>14.75</v>
      </c>
      <c r="AV4841" t="s">
        <v>818</v>
      </c>
      <c r="AW4841" t="s">
        <v>210</v>
      </c>
    </row>
    <row r="4842" spans="1:50">
      <c r="A4842" s="1">
        <f>HYPERLINK("https://lsnyc.legalserver.org/matter/dynamic-profile/view/1888535","19-1888535")</f>
        <v>0</v>
      </c>
      <c r="B4842" t="s">
        <v>104</v>
      </c>
      <c r="C4842" t="s">
        <v>340</v>
      </c>
      <c r="D4842" t="s">
        <v>707</v>
      </c>
      <c r="F4842" t="s">
        <v>1118</v>
      </c>
      <c r="G4842" t="s">
        <v>6426</v>
      </c>
      <c r="H4842" t="s">
        <v>9902</v>
      </c>
      <c r="I4842" t="s">
        <v>17316</v>
      </c>
      <c r="J4842" t="s">
        <v>18902</v>
      </c>
      <c r="K4842">
        <v>10303</v>
      </c>
      <c r="L4842" t="s">
        <v>18958</v>
      </c>
      <c r="M4842" t="s">
        <v>18958</v>
      </c>
      <c r="N4842" t="s">
        <v>22570</v>
      </c>
      <c r="O4842" t="s">
        <v>26523</v>
      </c>
      <c r="P4842" t="s">
        <v>26560</v>
      </c>
      <c r="R4842" t="s">
        <v>26590</v>
      </c>
      <c r="S4842" t="s">
        <v>18959</v>
      </c>
      <c r="U4842" t="s">
        <v>26605</v>
      </c>
      <c r="W4842" t="s">
        <v>707</v>
      </c>
      <c r="X4842">
        <v>588</v>
      </c>
      <c r="Y4842" t="s">
        <v>26654</v>
      </c>
      <c r="Z4842" t="s">
        <v>26668</v>
      </c>
      <c r="AB4842" t="s">
        <v>26989</v>
      </c>
      <c r="AD4842" t="s">
        <v>40847</v>
      </c>
      <c r="AE4842">
        <v>0</v>
      </c>
      <c r="AF4842" t="s">
        <v>45549</v>
      </c>
      <c r="AG4842" t="s">
        <v>45556</v>
      </c>
      <c r="AH4842">
        <v>3</v>
      </c>
      <c r="AI4842">
        <v>1</v>
      </c>
      <c r="AJ4842">
        <v>4</v>
      </c>
      <c r="AK4842">
        <v>74.2</v>
      </c>
      <c r="AO4842">
        <v>22386</v>
      </c>
      <c r="AU4842">
        <v>12.25</v>
      </c>
      <c r="AV4842" t="s">
        <v>807</v>
      </c>
      <c r="AW4842" t="s">
        <v>210</v>
      </c>
    </row>
    <row r="4843" spans="1:50">
      <c r="A4843" s="1">
        <f>HYPERLINK("https://lsnyc.legalserver.org/matter/dynamic-profile/view/1888579","19-1888579")</f>
        <v>0</v>
      </c>
      <c r="B4843" t="s">
        <v>112</v>
      </c>
      <c r="C4843" t="s">
        <v>340</v>
      </c>
      <c r="D4843" t="s">
        <v>707</v>
      </c>
      <c r="F4843" t="s">
        <v>1733</v>
      </c>
      <c r="G4843" t="s">
        <v>7445</v>
      </c>
      <c r="H4843" t="s">
        <v>13282</v>
      </c>
      <c r="I4843" t="s">
        <v>17886</v>
      </c>
      <c r="J4843" t="s">
        <v>18901</v>
      </c>
      <c r="K4843">
        <v>11435</v>
      </c>
      <c r="L4843" t="s">
        <v>18958</v>
      </c>
      <c r="M4843" t="s">
        <v>18958</v>
      </c>
      <c r="N4843" t="s">
        <v>22571</v>
      </c>
      <c r="O4843" t="s">
        <v>26523</v>
      </c>
      <c r="P4843" t="s">
        <v>26564</v>
      </c>
      <c r="R4843" t="s">
        <v>26584</v>
      </c>
      <c r="S4843" t="s">
        <v>18959</v>
      </c>
      <c r="U4843" t="s">
        <v>26604</v>
      </c>
      <c r="V4843" t="s">
        <v>26610</v>
      </c>
      <c r="W4843" t="s">
        <v>707</v>
      </c>
      <c r="X4843">
        <v>1700</v>
      </c>
      <c r="Y4843" t="s">
        <v>26653</v>
      </c>
      <c r="Z4843" t="s">
        <v>26664</v>
      </c>
      <c r="AB4843" t="s">
        <v>30646</v>
      </c>
      <c r="AC4843" t="s">
        <v>35863</v>
      </c>
      <c r="AD4843" t="s">
        <v>40848</v>
      </c>
      <c r="AE4843">
        <v>3</v>
      </c>
      <c r="AF4843" t="s">
        <v>45547</v>
      </c>
      <c r="AG4843" t="s">
        <v>19330</v>
      </c>
      <c r="AH4843">
        <v>1</v>
      </c>
      <c r="AI4843">
        <v>1</v>
      </c>
      <c r="AJ4843">
        <v>2</v>
      </c>
      <c r="AK4843">
        <v>0</v>
      </c>
      <c r="AN4843" t="s">
        <v>7439</v>
      </c>
      <c r="AO4843">
        <v>0</v>
      </c>
      <c r="AU4843">
        <v>1</v>
      </c>
      <c r="AV4843" t="s">
        <v>758</v>
      </c>
      <c r="AW4843" t="s">
        <v>161</v>
      </c>
    </row>
    <row r="4844" spans="1:50">
      <c r="A4844" s="1">
        <f>HYPERLINK("https://lsnyc.legalserver.org/matter/dynamic-profile/view/1888536","19-1888536")</f>
        <v>0</v>
      </c>
      <c r="B4844" t="s">
        <v>112</v>
      </c>
      <c r="C4844" t="s">
        <v>340</v>
      </c>
      <c r="D4844" t="s">
        <v>707</v>
      </c>
      <c r="F4844" t="s">
        <v>3196</v>
      </c>
      <c r="G4844" t="s">
        <v>5706</v>
      </c>
      <c r="H4844" t="s">
        <v>13283</v>
      </c>
      <c r="I4844" t="s">
        <v>18157</v>
      </c>
      <c r="J4844" t="s">
        <v>18913</v>
      </c>
      <c r="K4844">
        <v>11103</v>
      </c>
      <c r="L4844" t="s">
        <v>18958</v>
      </c>
      <c r="M4844" t="s">
        <v>18958</v>
      </c>
      <c r="N4844" t="s">
        <v>22572</v>
      </c>
      <c r="O4844" t="s">
        <v>26523</v>
      </c>
      <c r="P4844" t="s">
        <v>26563</v>
      </c>
      <c r="R4844" t="s">
        <v>26584</v>
      </c>
      <c r="S4844" t="s">
        <v>18959</v>
      </c>
      <c r="U4844" t="s">
        <v>26604</v>
      </c>
      <c r="V4844" t="s">
        <v>26610</v>
      </c>
      <c r="W4844" t="s">
        <v>707</v>
      </c>
      <c r="X4844">
        <v>1350</v>
      </c>
      <c r="Y4844" t="s">
        <v>26653</v>
      </c>
      <c r="Z4844" t="s">
        <v>26664</v>
      </c>
      <c r="AB4844" t="s">
        <v>30647</v>
      </c>
      <c r="AC4844" t="s">
        <v>35864</v>
      </c>
      <c r="AD4844" t="s">
        <v>40849</v>
      </c>
      <c r="AE4844">
        <v>144</v>
      </c>
      <c r="AF4844" t="s">
        <v>45541</v>
      </c>
      <c r="AG4844" t="s">
        <v>19330</v>
      </c>
      <c r="AH4844">
        <v>1</v>
      </c>
      <c r="AI4844">
        <v>1</v>
      </c>
      <c r="AJ4844">
        <v>2</v>
      </c>
      <c r="AK4844">
        <v>152.84</v>
      </c>
      <c r="AN4844" t="s">
        <v>7439</v>
      </c>
      <c r="AO4844">
        <v>32600</v>
      </c>
      <c r="AU4844">
        <v>0.6</v>
      </c>
      <c r="AV4844" t="s">
        <v>754</v>
      </c>
      <c r="AW4844" t="s">
        <v>161</v>
      </c>
    </row>
    <row r="4845" spans="1:50">
      <c r="A4845" s="1">
        <f>HYPERLINK("https://lsnyc.legalserver.org/matter/dynamic-profile/view/1888635","19-1888635")</f>
        <v>0</v>
      </c>
      <c r="B4845" t="s">
        <v>112</v>
      </c>
      <c r="C4845" t="s">
        <v>340</v>
      </c>
      <c r="D4845" t="s">
        <v>707</v>
      </c>
      <c r="F4845" t="s">
        <v>3197</v>
      </c>
      <c r="G4845" t="s">
        <v>3036</v>
      </c>
      <c r="H4845" t="s">
        <v>13284</v>
      </c>
      <c r="I4845" t="s">
        <v>18158</v>
      </c>
      <c r="J4845" t="s">
        <v>18901</v>
      </c>
      <c r="K4845">
        <v>11434</v>
      </c>
      <c r="L4845" t="s">
        <v>18958</v>
      </c>
      <c r="M4845" t="s">
        <v>18958</v>
      </c>
      <c r="N4845" t="s">
        <v>22573</v>
      </c>
      <c r="O4845" t="s">
        <v>26523</v>
      </c>
      <c r="P4845" t="s">
        <v>26560</v>
      </c>
      <c r="R4845" t="s">
        <v>26585</v>
      </c>
      <c r="S4845" t="s">
        <v>18959</v>
      </c>
      <c r="U4845" t="s">
        <v>26604</v>
      </c>
      <c r="V4845" t="s">
        <v>26610</v>
      </c>
      <c r="W4845" t="s">
        <v>707</v>
      </c>
      <c r="X4845">
        <v>307</v>
      </c>
      <c r="Y4845" t="s">
        <v>26653</v>
      </c>
      <c r="Z4845" t="s">
        <v>26668</v>
      </c>
      <c r="AB4845" t="s">
        <v>30648</v>
      </c>
      <c r="AD4845" t="s">
        <v>40850</v>
      </c>
      <c r="AE4845">
        <v>0</v>
      </c>
      <c r="AF4845" t="s">
        <v>45549</v>
      </c>
      <c r="AH4845">
        <v>14</v>
      </c>
      <c r="AI4845">
        <v>2</v>
      </c>
      <c r="AJ4845">
        <v>2</v>
      </c>
      <c r="AK4845">
        <v>37.93</v>
      </c>
      <c r="AN4845" t="s">
        <v>7439</v>
      </c>
      <c r="AO4845">
        <v>9768</v>
      </c>
      <c r="AU4845">
        <v>9.6</v>
      </c>
      <c r="AV4845" t="s">
        <v>833</v>
      </c>
      <c r="AW4845" t="s">
        <v>208</v>
      </c>
    </row>
    <row r="4846" spans="1:50">
      <c r="A4846" s="1">
        <f>HYPERLINK("https://lsnyc.legalserver.org/matter/dynamic-profile/view/1888602","19-1888602")</f>
        <v>0</v>
      </c>
      <c r="B4846" t="s">
        <v>91</v>
      </c>
      <c r="C4846" t="s">
        <v>340</v>
      </c>
      <c r="D4846" t="s">
        <v>707</v>
      </c>
      <c r="F4846" t="s">
        <v>1323</v>
      </c>
      <c r="G4846" t="s">
        <v>7446</v>
      </c>
      <c r="H4846" t="s">
        <v>13285</v>
      </c>
      <c r="I4846" t="s">
        <v>17696</v>
      </c>
      <c r="J4846" t="s">
        <v>18900</v>
      </c>
      <c r="K4846">
        <v>11355</v>
      </c>
      <c r="L4846" t="s">
        <v>18958</v>
      </c>
      <c r="M4846" t="s">
        <v>18958</v>
      </c>
      <c r="N4846" t="s">
        <v>22574</v>
      </c>
      <c r="O4846" t="s">
        <v>26523</v>
      </c>
      <c r="P4846" t="s">
        <v>26564</v>
      </c>
      <c r="R4846" t="s">
        <v>26584</v>
      </c>
      <c r="S4846" t="s">
        <v>18959</v>
      </c>
      <c r="U4846" t="s">
        <v>26604</v>
      </c>
      <c r="V4846" t="s">
        <v>26611</v>
      </c>
      <c r="W4846" t="s">
        <v>707</v>
      </c>
      <c r="X4846">
        <v>1825</v>
      </c>
      <c r="Y4846" t="s">
        <v>26653</v>
      </c>
      <c r="Z4846" t="s">
        <v>26664</v>
      </c>
      <c r="AB4846" t="s">
        <v>30649</v>
      </c>
      <c r="AD4846" t="s">
        <v>40851</v>
      </c>
      <c r="AE4846">
        <v>94</v>
      </c>
      <c r="AF4846" t="s">
        <v>45541</v>
      </c>
      <c r="AG4846" t="s">
        <v>19330</v>
      </c>
      <c r="AH4846">
        <v>2</v>
      </c>
      <c r="AI4846">
        <v>2</v>
      </c>
      <c r="AJ4846">
        <v>2</v>
      </c>
      <c r="AK4846">
        <v>175.22</v>
      </c>
      <c r="AN4846" t="s">
        <v>45581</v>
      </c>
      <c r="AO4846">
        <v>45120</v>
      </c>
      <c r="AU4846">
        <v>0.8</v>
      </c>
      <c r="AV4846" t="s">
        <v>754</v>
      </c>
      <c r="AW4846" t="s">
        <v>161</v>
      </c>
    </row>
    <row r="4847" spans="1:50">
      <c r="A4847" s="1">
        <f>HYPERLINK("https://lsnyc.legalserver.org/matter/dynamic-profile/view/1888528","19-1888528")</f>
        <v>0</v>
      </c>
      <c r="B4847" t="s">
        <v>275</v>
      </c>
      <c r="C4847" t="s">
        <v>340</v>
      </c>
      <c r="D4847" t="s">
        <v>707</v>
      </c>
      <c r="F4847" t="s">
        <v>3198</v>
      </c>
      <c r="G4847" t="s">
        <v>968</v>
      </c>
      <c r="H4847" t="s">
        <v>13286</v>
      </c>
      <c r="I4847" t="s">
        <v>17272</v>
      </c>
      <c r="J4847" t="s">
        <v>18892</v>
      </c>
      <c r="K4847">
        <v>10461</v>
      </c>
      <c r="L4847" t="s">
        <v>18958</v>
      </c>
      <c r="M4847" t="s">
        <v>18958</v>
      </c>
      <c r="N4847" t="s">
        <v>22575</v>
      </c>
      <c r="O4847" t="s">
        <v>26523</v>
      </c>
      <c r="P4847" t="s">
        <v>26560</v>
      </c>
      <c r="R4847" t="s">
        <v>26577</v>
      </c>
      <c r="S4847" t="s">
        <v>18959</v>
      </c>
      <c r="U4847" t="s">
        <v>26604</v>
      </c>
      <c r="V4847" t="s">
        <v>26612</v>
      </c>
      <c r="W4847" t="s">
        <v>707</v>
      </c>
      <c r="X4847">
        <v>453</v>
      </c>
      <c r="Y4847" t="s">
        <v>26650</v>
      </c>
      <c r="Z4847" t="s">
        <v>26668</v>
      </c>
      <c r="AB4847" t="s">
        <v>30650</v>
      </c>
      <c r="AC4847" t="s">
        <v>35865</v>
      </c>
      <c r="AD4847" t="s">
        <v>40852</v>
      </c>
      <c r="AE4847">
        <v>32</v>
      </c>
      <c r="AF4847" t="s">
        <v>45543</v>
      </c>
      <c r="AG4847" t="s">
        <v>45556</v>
      </c>
      <c r="AH4847">
        <v>7</v>
      </c>
      <c r="AI4847">
        <v>4</v>
      </c>
      <c r="AJ4847">
        <v>0</v>
      </c>
      <c r="AK4847">
        <v>21.81</v>
      </c>
      <c r="AO4847">
        <v>5616</v>
      </c>
      <c r="AQ4847" t="s">
        <v>46359</v>
      </c>
      <c r="AR4847" t="s">
        <v>46379</v>
      </c>
      <c r="AS4847" t="s">
        <v>46499</v>
      </c>
      <c r="AT4847" t="s">
        <v>46604</v>
      </c>
      <c r="AU4847">
        <v>40.5</v>
      </c>
      <c r="AV4847" t="s">
        <v>775</v>
      </c>
      <c r="AW4847" t="s">
        <v>46847</v>
      </c>
    </row>
    <row r="4848" spans="1:50">
      <c r="A4848" s="1">
        <f>HYPERLINK("https://lsnyc.legalserver.org/matter/dynamic-profile/view/1888588","19-1888588")</f>
        <v>0</v>
      </c>
      <c r="B4848" t="s">
        <v>275</v>
      </c>
      <c r="C4848" t="s">
        <v>340</v>
      </c>
      <c r="D4848" t="s">
        <v>707</v>
      </c>
      <c r="F4848" t="s">
        <v>3199</v>
      </c>
      <c r="G4848" t="s">
        <v>7447</v>
      </c>
      <c r="H4848" t="s">
        <v>13287</v>
      </c>
      <c r="I4848" t="s">
        <v>18159</v>
      </c>
      <c r="J4848" t="s">
        <v>18892</v>
      </c>
      <c r="K4848">
        <v>10473</v>
      </c>
      <c r="L4848" t="s">
        <v>18958</v>
      </c>
      <c r="M4848" t="s">
        <v>18958</v>
      </c>
      <c r="N4848" t="s">
        <v>22576</v>
      </c>
      <c r="O4848" t="s">
        <v>26524</v>
      </c>
      <c r="P4848" t="s">
        <v>26560</v>
      </c>
      <c r="R4848" t="s">
        <v>26577</v>
      </c>
      <c r="S4848" t="s">
        <v>18959</v>
      </c>
      <c r="U4848" t="s">
        <v>26604</v>
      </c>
      <c r="V4848" t="s">
        <v>26610</v>
      </c>
      <c r="W4848" t="s">
        <v>707</v>
      </c>
      <c r="X4848">
        <v>215</v>
      </c>
      <c r="Y4848" t="s">
        <v>26650</v>
      </c>
      <c r="Z4848" t="s">
        <v>26668</v>
      </c>
      <c r="AB4848" t="s">
        <v>30651</v>
      </c>
      <c r="AC4848">
        <v>8782209</v>
      </c>
      <c r="AD4848" t="s">
        <v>40853</v>
      </c>
      <c r="AE4848">
        <v>56</v>
      </c>
      <c r="AF4848" t="s">
        <v>45554</v>
      </c>
      <c r="AG4848" t="s">
        <v>26530</v>
      </c>
      <c r="AH4848">
        <v>3</v>
      </c>
      <c r="AI4848">
        <v>1</v>
      </c>
      <c r="AJ4848">
        <v>0</v>
      </c>
      <c r="AK4848">
        <v>38.24</v>
      </c>
      <c r="AN4848" t="s">
        <v>7439</v>
      </c>
      <c r="AO4848">
        <v>4776</v>
      </c>
      <c r="AU4848">
        <v>68.90000000000001</v>
      </c>
      <c r="AV4848" t="s">
        <v>804</v>
      </c>
      <c r="AW4848" t="s">
        <v>336</v>
      </c>
    </row>
    <row r="4849" spans="1:50">
      <c r="A4849" s="1">
        <f>HYPERLINK("https://lsnyc.legalserver.org/matter/dynamic-profile/view/1888671","19-1888671")</f>
        <v>0</v>
      </c>
      <c r="B4849" t="s">
        <v>212</v>
      </c>
      <c r="C4849" t="s">
        <v>340</v>
      </c>
      <c r="D4849" t="s">
        <v>698</v>
      </c>
      <c r="F4849" t="s">
        <v>871</v>
      </c>
      <c r="G4849" t="s">
        <v>5657</v>
      </c>
      <c r="H4849" t="s">
        <v>11275</v>
      </c>
      <c r="I4849" t="s">
        <v>18049</v>
      </c>
      <c r="J4849" t="s">
        <v>18920</v>
      </c>
      <c r="K4849">
        <v>11369</v>
      </c>
      <c r="L4849" t="s">
        <v>18958</v>
      </c>
      <c r="M4849" t="s">
        <v>18958</v>
      </c>
      <c r="N4849" t="s">
        <v>22577</v>
      </c>
      <c r="O4849" t="s">
        <v>26523</v>
      </c>
      <c r="P4849" t="s">
        <v>26560</v>
      </c>
      <c r="R4849" t="s">
        <v>26578</v>
      </c>
      <c r="S4849" t="s">
        <v>18959</v>
      </c>
      <c r="U4849" t="s">
        <v>26604</v>
      </c>
      <c r="V4849" t="s">
        <v>26610</v>
      </c>
      <c r="W4849" t="s">
        <v>707</v>
      </c>
      <c r="X4849">
        <v>814.5700000000001</v>
      </c>
      <c r="Y4849" t="s">
        <v>26653</v>
      </c>
      <c r="Z4849" t="s">
        <v>26664</v>
      </c>
      <c r="AB4849" t="s">
        <v>30652</v>
      </c>
      <c r="AD4849" t="s">
        <v>40854</v>
      </c>
      <c r="AE4849">
        <v>43</v>
      </c>
      <c r="AF4849" t="s">
        <v>45541</v>
      </c>
      <c r="AG4849" t="s">
        <v>19330</v>
      </c>
      <c r="AH4849">
        <v>5</v>
      </c>
      <c r="AI4849">
        <v>1</v>
      </c>
      <c r="AJ4849">
        <v>2</v>
      </c>
      <c r="AK4849">
        <v>90.01000000000001</v>
      </c>
      <c r="AN4849" t="s">
        <v>7439</v>
      </c>
      <c r="AO4849">
        <v>19200</v>
      </c>
      <c r="AU4849">
        <v>3.95</v>
      </c>
      <c r="AV4849" t="s">
        <v>777</v>
      </c>
      <c r="AW4849" t="s">
        <v>122</v>
      </c>
    </row>
    <row r="4850" spans="1:50">
      <c r="A4850" s="1">
        <f>HYPERLINK("https://lsnyc.legalserver.org/matter/dynamic-profile/view/1888987","19-1888987")</f>
        <v>0</v>
      </c>
      <c r="B4850" t="s">
        <v>276</v>
      </c>
      <c r="C4850" t="s">
        <v>340</v>
      </c>
      <c r="D4850" t="s">
        <v>732</v>
      </c>
      <c r="F4850" t="s">
        <v>3200</v>
      </c>
      <c r="G4850" t="s">
        <v>5473</v>
      </c>
      <c r="H4850" t="s">
        <v>13288</v>
      </c>
      <c r="I4850" t="s">
        <v>17322</v>
      </c>
      <c r="J4850" t="s">
        <v>18894</v>
      </c>
      <c r="K4850">
        <v>11206</v>
      </c>
      <c r="L4850" t="s">
        <v>18958</v>
      </c>
      <c r="M4850" t="s">
        <v>18958</v>
      </c>
      <c r="N4850" t="s">
        <v>22578</v>
      </c>
      <c r="O4850" t="s">
        <v>26523</v>
      </c>
      <c r="P4850" t="s">
        <v>26560</v>
      </c>
      <c r="R4850" t="s">
        <v>26578</v>
      </c>
      <c r="S4850" t="s">
        <v>18959</v>
      </c>
      <c r="U4850" t="s">
        <v>26604</v>
      </c>
      <c r="W4850" t="s">
        <v>707</v>
      </c>
      <c r="X4850">
        <v>1575</v>
      </c>
      <c r="Y4850" t="s">
        <v>26652</v>
      </c>
      <c r="AB4850" t="s">
        <v>30653</v>
      </c>
      <c r="AD4850" t="s">
        <v>40855</v>
      </c>
      <c r="AE4850">
        <v>0</v>
      </c>
      <c r="AH4850">
        <v>5</v>
      </c>
      <c r="AI4850">
        <v>1</v>
      </c>
      <c r="AJ4850">
        <v>0</v>
      </c>
      <c r="AK4850">
        <v>146.52</v>
      </c>
      <c r="AN4850" t="s">
        <v>7439</v>
      </c>
      <c r="AO4850">
        <v>18300</v>
      </c>
      <c r="AU4850">
        <v>52.3</v>
      </c>
      <c r="AV4850" t="s">
        <v>828</v>
      </c>
      <c r="AW4850" t="s">
        <v>219</v>
      </c>
    </row>
    <row r="4851" spans="1:50">
      <c r="A4851" s="1">
        <f>HYPERLINK("https://lsnyc.legalserver.org/matter/dynamic-profile/view/1889777","19-1889777")</f>
        <v>0</v>
      </c>
      <c r="B4851" t="s">
        <v>135</v>
      </c>
      <c r="C4851" t="s">
        <v>340</v>
      </c>
      <c r="D4851" t="s">
        <v>714</v>
      </c>
      <c r="F4851" t="s">
        <v>1789</v>
      </c>
      <c r="G4851" t="s">
        <v>7448</v>
      </c>
      <c r="H4851" t="s">
        <v>13289</v>
      </c>
      <c r="I4851" t="s">
        <v>17306</v>
      </c>
      <c r="J4851" t="s">
        <v>18892</v>
      </c>
      <c r="K4851">
        <v>10457</v>
      </c>
      <c r="L4851" t="s">
        <v>18958</v>
      </c>
      <c r="M4851" t="s">
        <v>18958</v>
      </c>
      <c r="O4851" t="s">
        <v>26529</v>
      </c>
      <c r="P4851" t="s">
        <v>26565</v>
      </c>
      <c r="R4851" t="s">
        <v>26578</v>
      </c>
      <c r="S4851" t="s">
        <v>18959</v>
      </c>
      <c r="U4851" t="s">
        <v>26604</v>
      </c>
      <c r="W4851" t="s">
        <v>707</v>
      </c>
      <c r="X4851">
        <v>300</v>
      </c>
      <c r="Y4851" t="s">
        <v>26650</v>
      </c>
      <c r="Z4851" t="s">
        <v>26663</v>
      </c>
      <c r="AB4851" t="s">
        <v>30654</v>
      </c>
      <c r="AD4851" t="s">
        <v>40856</v>
      </c>
      <c r="AE4851">
        <v>8</v>
      </c>
      <c r="AF4851" t="s">
        <v>45541</v>
      </c>
      <c r="AG4851" t="s">
        <v>45556</v>
      </c>
      <c r="AH4851">
        <v>2</v>
      </c>
      <c r="AI4851">
        <v>3</v>
      </c>
      <c r="AJ4851">
        <v>0</v>
      </c>
      <c r="AK4851">
        <v>146.27</v>
      </c>
      <c r="AN4851" t="s">
        <v>45581</v>
      </c>
      <c r="AO4851">
        <v>31200</v>
      </c>
      <c r="AU4851">
        <v>0.5</v>
      </c>
      <c r="AV4851" t="s">
        <v>735</v>
      </c>
      <c r="AW4851" t="s">
        <v>46847</v>
      </c>
    </row>
    <row r="4852" spans="1:50">
      <c r="A4852" s="1">
        <f>HYPERLINK("https://lsnyc.legalserver.org/matter/dynamic-profile/view/1878762","18-1878762")</f>
        <v>0</v>
      </c>
      <c r="B4852" t="s">
        <v>258</v>
      </c>
      <c r="C4852" t="s">
        <v>340</v>
      </c>
      <c r="D4852" t="s">
        <v>599</v>
      </c>
      <c r="F4852" t="s">
        <v>3201</v>
      </c>
      <c r="G4852" t="s">
        <v>5550</v>
      </c>
      <c r="H4852" t="s">
        <v>13290</v>
      </c>
      <c r="I4852" t="s">
        <v>17324</v>
      </c>
      <c r="J4852" t="s">
        <v>18933</v>
      </c>
      <c r="K4852">
        <v>11422</v>
      </c>
      <c r="L4852" t="s">
        <v>18958</v>
      </c>
      <c r="M4852" t="s">
        <v>18958</v>
      </c>
      <c r="N4852" t="s">
        <v>22579</v>
      </c>
      <c r="O4852" t="s">
        <v>26524</v>
      </c>
      <c r="P4852" t="s">
        <v>26560</v>
      </c>
      <c r="R4852" t="s">
        <v>26584</v>
      </c>
      <c r="S4852" t="s">
        <v>18959</v>
      </c>
      <c r="U4852" t="s">
        <v>26604</v>
      </c>
      <c r="V4852" t="s">
        <v>26610</v>
      </c>
      <c r="W4852" t="s">
        <v>698</v>
      </c>
      <c r="X4852">
        <v>700</v>
      </c>
      <c r="Y4852" t="s">
        <v>26653</v>
      </c>
      <c r="Z4852" t="s">
        <v>26664</v>
      </c>
      <c r="AB4852" t="s">
        <v>30655</v>
      </c>
      <c r="AD4852" t="s">
        <v>40857</v>
      </c>
      <c r="AE4852">
        <v>2</v>
      </c>
      <c r="AF4852" t="s">
        <v>45547</v>
      </c>
      <c r="AG4852" t="s">
        <v>19330</v>
      </c>
      <c r="AH4852">
        <v>25</v>
      </c>
      <c r="AI4852">
        <v>2</v>
      </c>
      <c r="AJ4852">
        <v>2</v>
      </c>
      <c r="AK4852">
        <v>187.25</v>
      </c>
      <c r="AN4852" t="s">
        <v>45596</v>
      </c>
      <c r="AO4852">
        <v>47000</v>
      </c>
      <c r="AQ4852" t="s">
        <v>46359</v>
      </c>
      <c r="AR4852" t="s">
        <v>46379</v>
      </c>
      <c r="AS4852" t="s">
        <v>46499</v>
      </c>
      <c r="AT4852" t="s">
        <v>46686</v>
      </c>
      <c r="AU4852">
        <v>21.8</v>
      </c>
      <c r="AV4852" t="s">
        <v>698</v>
      </c>
      <c r="AW4852" t="s">
        <v>122</v>
      </c>
      <c r="AX4852" t="s">
        <v>46897</v>
      </c>
    </row>
    <row r="4853" spans="1:50">
      <c r="A4853" s="1">
        <f>HYPERLINK("https://lsnyc.legalserver.org/matter/dynamic-profile/view/1885079","18-1885079")</f>
        <v>0</v>
      </c>
      <c r="B4853" t="s">
        <v>70</v>
      </c>
      <c r="C4853" t="s">
        <v>341</v>
      </c>
      <c r="D4853" t="s">
        <v>519</v>
      </c>
      <c r="E4853" t="s">
        <v>833</v>
      </c>
      <c r="F4853" t="s">
        <v>3202</v>
      </c>
      <c r="G4853" t="s">
        <v>1146</v>
      </c>
      <c r="H4853" t="s">
        <v>13291</v>
      </c>
      <c r="I4853">
        <v>2</v>
      </c>
      <c r="J4853" t="s">
        <v>18892</v>
      </c>
      <c r="K4853">
        <v>10467</v>
      </c>
      <c r="L4853" t="s">
        <v>18958</v>
      </c>
      <c r="M4853" t="s">
        <v>18958</v>
      </c>
      <c r="N4853" t="s">
        <v>22580</v>
      </c>
      <c r="O4853" t="s">
        <v>26523</v>
      </c>
      <c r="P4853" t="s">
        <v>26560</v>
      </c>
      <c r="Q4853" t="s">
        <v>26568</v>
      </c>
      <c r="R4853" t="s">
        <v>26579</v>
      </c>
      <c r="S4853" t="s">
        <v>18959</v>
      </c>
      <c r="U4853" t="s">
        <v>26604</v>
      </c>
      <c r="V4853" t="s">
        <v>26610</v>
      </c>
      <c r="W4853" t="s">
        <v>698</v>
      </c>
      <c r="X4853">
        <v>1700</v>
      </c>
      <c r="Y4853" t="s">
        <v>26650</v>
      </c>
      <c r="Z4853" t="s">
        <v>26673</v>
      </c>
      <c r="AA4853" t="s">
        <v>26679</v>
      </c>
      <c r="AB4853" t="s">
        <v>30656</v>
      </c>
      <c r="AD4853" t="s">
        <v>40858</v>
      </c>
      <c r="AE4853">
        <v>3</v>
      </c>
      <c r="AF4853" t="s">
        <v>45547</v>
      </c>
      <c r="AG4853" t="s">
        <v>19330</v>
      </c>
      <c r="AH4853">
        <v>5</v>
      </c>
      <c r="AI4853">
        <v>1</v>
      </c>
      <c r="AJ4853">
        <v>0</v>
      </c>
      <c r="AK4853">
        <v>177.76</v>
      </c>
      <c r="AN4853" t="s">
        <v>7439</v>
      </c>
      <c r="AO4853">
        <v>21580</v>
      </c>
      <c r="AP4853" t="s">
        <v>45653</v>
      </c>
      <c r="AQ4853" t="s">
        <v>46362</v>
      </c>
      <c r="AR4853" t="s">
        <v>46451</v>
      </c>
      <c r="AS4853" t="s">
        <v>46500</v>
      </c>
      <c r="AT4853" t="s">
        <v>46755</v>
      </c>
      <c r="AU4853">
        <v>25.9</v>
      </c>
      <c r="AV4853" t="s">
        <v>833</v>
      </c>
      <c r="AW4853" t="s">
        <v>46861</v>
      </c>
    </row>
    <row r="4854" spans="1:50">
      <c r="A4854" s="1">
        <f>HYPERLINK("https://lsnyc.legalserver.org/matter/dynamic-profile/view/1887081","19-1887081")</f>
        <v>0</v>
      </c>
      <c r="B4854" t="s">
        <v>127</v>
      </c>
      <c r="C4854" t="s">
        <v>340</v>
      </c>
      <c r="D4854" t="s">
        <v>668</v>
      </c>
      <c r="F4854" t="s">
        <v>1203</v>
      </c>
      <c r="G4854" t="s">
        <v>3540</v>
      </c>
      <c r="H4854" t="s">
        <v>10013</v>
      </c>
      <c r="I4854">
        <v>2</v>
      </c>
      <c r="J4854" t="s">
        <v>18894</v>
      </c>
      <c r="K4854">
        <v>11212</v>
      </c>
      <c r="L4854" t="s">
        <v>18958</v>
      </c>
      <c r="M4854" t="s">
        <v>18958</v>
      </c>
      <c r="O4854" t="s">
        <v>26524</v>
      </c>
      <c r="P4854" t="s">
        <v>26560</v>
      </c>
      <c r="R4854" t="s">
        <v>26578</v>
      </c>
      <c r="S4854" t="s">
        <v>18959</v>
      </c>
      <c r="U4854" t="s">
        <v>26604</v>
      </c>
      <c r="V4854" t="s">
        <v>26610</v>
      </c>
      <c r="W4854" t="s">
        <v>698</v>
      </c>
      <c r="X4854">
        <v>800</v>
      </c>
      <c r="Y4854" t="s">
        <v>26652</v>
      </c>
      <c r="Z4854" t="s">
        <v>26659</v>
      </c>
      <c r="AB4854" t="s">
        <v>27101</v>
      </c>
      <c r="AC4854" t="s">
        <v>34610</v>
      </c>
      <c r="AD4854" t="s">
        <v>37182</v>
      </c>
      <c r="AE4854">
        <v>4</v>
      </c>
      <c r="AF4854" t="s">
        <v>45547</v>
      </c>
      <c r="AH4854">
        <v>9</v>
      </c>
      <c r="AI4854">
        <v>2</v>
      </c>
      <c r="AJ4854">
        <v>0</v>
      </c>
      <c r="AK4854">
        <v>94.05</v>
      </c>
      <c r="AN4854" t="s">
        <v>7439</v>
      </c>
      <c r="AO4854">
        <v>15480</v>
      </c>
      <c r="AP4854" t="s">
        <v>45786</v>
      </c>
      <c r="AU4854">
        <v>0</v>
      </c>
      <c r="AW4854" t="s">
        <v>279</v>
      </c>
    </row>
    <row r="4855" spans="1:50">
      <c r="A4855" s="1">
        <f>HYPERLINK("https://lsnyc.legalserver.org/matter/dynamic-profile/view/1888081","19-1888081")</f>
        <v>0</v>
      </c>
      <c r="B4855" t="s">
        <v>247</v>
      </c>
      <c r="C4855" t="s">
        <v>341</v>
      </c>
      <c r="D4855" t="s">
        <v>685</v>
      </c>
      <c r="E4855" t="s">
        <v>698</v>
      </c>
      <c r="F4855" t="s">
        <v>1253</v>
      </c>
      <c r="G4855" t="s">
        <v>4588</v>
      </c>
      <c r="H4855" t="s">
        <v>13292</v>
      </c>
      <c r="I4855" t="s">
        <v>17491</v>
      </c>
      <c r="J4855" t="s">
        <v>18922</v>
      </c>
      <c r="K4855">
        <v>11694</v>
      </c>
      <c r="L4855" t="s">
        <v>18958</v>
      </c>
      <c r="M4855" t="s">
        <v>18958</v>
      </c>
      <c r="N4855" t="s">
        <v>22581</v>
      </c>
      <c r="O4855" t="s">
        <v>26524</v>
      </c>
      <c r="P4855" t="s">
        <v>26564</v>
      </c>
      <c r="Q4855" t="s">
        <v>26570</v>
      </c>
      <c r="R4855" t="s">
        <v>26584</v>
      </c>
      <c r="S4855" t="s">
        <v>18959</v>
      </c>
      <c r="U4855" t="s">
        <v>26604</v>
      </c>
      <c r="W4855" t="s">
        <v>698</v>
      </c>
      <c r="X4855">
        <v>1400</v>
      </c>
      <c r="Y4855" t="s">
        <v>26653</v>
      </c>
      <c r="Z4855" t="s">
        <v>26664</v>
      </c>
      <c r="AA4855" t="s">
        <v>26683</v>
      </c>
      <c r="AB4855" t="s">
        <v>30657</v>
      </c>
      <c r="AD4855" t="s">
        <v>40859</v>
      </c>
      <c r="AE4855">
        <v>0</v>
      </c>
      <c r="AF4855" t="s">
        <v>20460</v>
      </c>
      <c r="AG4855" t="s">
        <v>19330</v>
      </c>
      <c r="AH4855">
        <v>2</v>
      </c>
      <c r="AI4855">
        <v>2</v>
      </c>
      <c r="AJ4855">
        <v>2</v>
      </c>
      <c r="AK4855">
        <v>83.67</v>
      </c>
      <c r="AN4855" t="s">
        <v>7439</v>
      </c>
      <c r="AO4855">
        <v>21000</v>
      </c>
      <c r="AU4855">
        <v>1.18</v>
      </c>
      <c r="AV4855" t="s">
        <v>698</v>
      </c>
      <c r="AW4855" t="s">
        <v>208</v>
      </c>
      <c r="AX4855" t="s">
        <v>46897</v>
      </c>
    </row>
    <row r="4856" spans="1:50">
      <c r="A4856" s="1">
        <f>HYPERLINK("https://lsnyc.legalserver.org/matter/dynamic-profile/view/1888715","19-1888715")</f>
        <v>0</v>
      </c>
      <c r="B4856" t="s">
        <v>165</v>
      </c>
      <c r="C4856" t="s">
        <v>341</v>
      </c>
      <c r="D4856" t="s">
        <v>698</v>
      </c>
      <c r="E4856" t="s">
        <v>832</v>
      </c>
      <c r="F4856" t="s">
        <v>3203</v>
      </c>
      <c r="G4856" t="s">
        <v>5025</v>
      </c>
      <c r="H4856" t="s">
        <v>13293</v>
      </c>
      <c r="I4856" t="s">
        <v>17352</v>
      </c>
      <c r="J4856" t="s">
        <v>18893</v>
      </c>
      <c r="K4856">
        <v>10026</v>
      </c>
      <c r="L4856" t="s">
        <v>18958</v>
      </c>
      <c r="M4856" t="s">
        <v>18958</v>
      </c>
      <c r="N4856" t="s">
        <v>22582</v>
      </c>
      <c r="O4856" t="s">
        <v>26523</v>
      </c>
      <c r="P4856" t="s">
        <v>26560</v>
      </c>
      <c r="Q4856" t="s">
        <v>26573</v>
      </c>
      <c r="R4856" t="s">
        <v>26580</v>
      </c>
      <c r="S4856" t="s">
        <v>18959</v>
      </c>
      <c r="U4856" t="s">
        <v>26604</v>
      </c>
      <c r="V4856" t="s">
        <v>26610</v>
      </c>
      <c r="W4856" t="s">
        <v>698</v>
      </c>
      <c r="X4856">
        <v>719</v>
      </c>
      <c r="Y4856" t="s">
        <v>26651</v>
      </c>
      <c r="Z4856" t="s">
        <v>26668</v>
      </c>
      <c r="AA4856" t="s">
        <v>26677</v>
      </c>
      <c r="AB4856" t="s">
        <v>30658</v>
      </c>
      <c r="AD4856" t="s">
        <v>40860</v>
      </c>
      <c r="AE4856">
        <v>0</v>
      </c>
      <c r="AF4856" t="s">
        <v>45548</v>
      </c>
      <c r="AG4856" t="s">
        <v>26530</v>
      </c>
      <c r="AH4856">
        <v>1</v>
      </c>
      <c r="AI4856">
        <v>1</v>
      </c>
      <c r="AJ4856">
        <v>2</v>
      </c>
      <c r="AK4856">
        <v>179.18</v>
      </c>
      <c r="AN4856" t="s">
        <v>7439</v>
      </c>
      <c r="AO4856">
        <v>38220</v>
      </c>
      <c r="AS4856" t="s">
        <v>46499</v>
      </c>
      <c r="AU4856">
        <v>2.7</v>
      </c>
      <c r="AV4856" t="s">
        <v>831</v>
      </c>
      <c r="AW4856" t="s">
        <v>46875</v>
      </c>
    </row>
    <row r="4857" spans="1:50">
      <c r="A4857" s="1">
        <f>HYPERLINK("https://lsnyc.legalserver.org/matter/dynamic-profile/view/1887447","19-1887447")</f>
        <v>0</v>
      </c>
      <c r="B4857" t="s">
        <v>109</v>
      </c>
      <c r="C4857" t="s">
        <v>341</v>
      </c>
      <c r="D4857" t="s">
        <v>698</v>
      </c>
      <c r="E4857" t="s">
        <v>866</v>
      </c>
      <c r="F4857" t="s">
        <v>1216</v>
      </c>
      <c r="G4857" t="s">
        <v>7449</v>
      </c>
      <c r="H4857" t="s">
        <v>13294</v>
      </c>
      <c r="I4857" t="s">
        <v>17330</v>
      </c>
      <c r="J4857" t="s">
        <v>18902</v>
      </c>
      <c r="K4857">
        <v>10304</v>
      </c>
      <c r="L4857" t="s">
        <v>18958</v>
      </c>
      <c r="M4857" t="s">
        <v>18958</v>
      </c>
      <c r="N4857" t="s">
        <v>22583</v>
      </c>
      <c r="O4857" t="s">
        <v>26523</v>
      </c>
      <c r="P4857" t="s">
        <v>26560</v>
      </c>
      <c r="Q4857" t="s">
        <v>26568</v>
      </c>
      <c r="R4857" t="s">
        <v>26578</v>
      </c>
      <c r="S4857" t="s">
        <v>18959</v>
      </c>
      <c r="U4857" t="s">
        <v>26604</v>
      </c>
      <c r="V4857" t="s">
        <v>26610</v>
      </c>
      <c r="W4857" t="s">
        <v>698</v>
      </c>
      <c r="X4857">
        <v>778</v>
      </c>
      <c r="Y4857" t="s">
        <v>26654</v>
      </c>
      <c r="Z4857" t="s">
        <v>26659</v>
      </c>
      <c r="AA4857" t="s">
        <v>26679</v>
      </c>
      <c r="AB4857" t="s">
        <v>30659</v>
      </c>
      <c r="AD4857" t="s">
        <v>40861</v>
      </c>
      <c r="AE4857">
        <v>361</v>
      </c>
      <c r="AF4857" t="s">
        <v>45543</v>
      </c>
      <c r="AG4857" t="s">
        <v>45556</v>
      </c>
      <c r="AH4857">
        <v>8</v>
      </c>
      <c r="AI4857">
        <v>1</v>
      </c>
      <c r="AJ4857">
        <v>0</v>
      </c>
      <c r="AK4857">
        <v>308.4</v>
      </c>
      <c r="AL4857" t="s">
        <v>820</v>
      </c>
      <c r="AM4857" t="s">
        <v>45575</v>
      </c>
      <c r="AN4857" t="s">
        <v>7439</v>
      </c>
      <c r="AO4857">
        <v>37440</v>
      </c>
      <c r="AQ4857" t="s">
        <v>46362</v>
      </c>
      <c r="AR4857" t="s">
        <v>46381</v>
      </c>
      <c r="AS4857" t="s">
        <v>46499</v>
      </c>
      <c r="AT4857" t="s">
        <v>46546</v>
      </c>
      <c r="AU4857">
        <v>2.2</v>
      </c>
      <c r="AV4857" t="s">
        <v>815</v>
      </c>
      <c r="AW4857" t="s">
        <v>46852</v>
      </c>
    </row>
    <row r="4858" spans="1:50">
      <c r="A4858" s="1">
        <f>HYPERLINK("https://lsnyc.legalserver.org/matter/dynamic-profile/view/1888804","19-1888804")</f>
        <v>0</v>
      </c>
      <c r="B4858" t="s">
        <v>71</v>
      </c>
      <c r="C4858" t="s">
        <v>341</v>
      </c>
      <c r="D4858" t="s">
        <v>698</v>
      </c>
      <c r="E4858" t="s">
        <v>805</v>
      </c>
      <c r="F4858" t="s">
        <v>1297</v>
      </c>
      <c r="G4858" t="s">
        <v>7210</v>
      </c>
      <c r="H4858" t="s">
        <v>13295</v>
      </c>
      <c r="I4858" t="s">
        <v>17278</v>
      </c>
      <c r="J4858" t="s">
        <v>18892</v>
      </c>
      <c r="K4858">
        <v>10462</v>
      </c>
      <c r="L4858" t="s">
        <v>18958</v>
      </c>
      <c r="M4858" t="s">
        <v>18958</v>
      </c>
      <c r="N4858" t="s">
        <v>22584</v>
      </c>
      <c r="O4858" t="s">
        <v>26524</v>
      </c>
      <c r="P4858" t="s">
        <v>26560</v>
      </c>
      <c r="Q4858" t="s">
        <v>26568</v>
      </c>
      <c r="R4858" t="s">
        <v>26579</v>
      </c>
      <c r="U4858" t="s">
        <v>26604</v>
      </c>
      <c r="V4858" t="s">
        <v>26610</v>
      </c>
      <c r="W4858" t="s">
        <v>698</v>
      </c>
      <c r="X4858">
        <v>1290.1</v>
      </c>
      <c r="Y4858" t="s">
        <v>26650</v>
      </c>
      <c r="Z4858" t="s">
        <v>26664</v>
      </c>
      <c r="AA4858" t="s">
        <v>26678</v>
      </c>
      <c r="AB4858" t="s">
        <v>27176</v>
      </c>
      <c r="AC4858" t="s">
        <v>35866</v>
      </c>
      <c r="AD4858" t="s">
        <v>40862</v>
      </c>
      <c r="AE4858">
        <v>3857</v>
      </c>
      <c r="AF4858" t="s">
        <v>20460</v>
      </c>
      <c r="AG4858" t="s">
        <v>45556</v>
      </c>
      <c r="AH4858">
        <v>3</v>
      </c>
      <c r="AI4858">
        <v>2</v>
      </c>
      <c r="AJ4858">
        <v>0</v>
      </c>
      <c r="AK4858">
        <v>41.02</v>
      </c>
      <c r="AN4858" t="s">
        <v>45581</v>
      </c>
      <c r="AO4858">
        <v>6936</v>
      </c>
      <c r="AR4858" t="s">
        <v>46380</v>
      </c>
      <c r="AS4858" t="s">
        <v>46499</v>
      </c>
      <c r="AT4858" t="s">
        <v>46744</v>
      </c>
      <c r="AU4858">
        <v>11.9</v>
      </c>
      <c r="AV4858" t="s">
        <v>818</v>
      </c>
      <c r="AW4858" t="s">
        <v>334</v>
      </c>
      <c r="AX4858" t="s">
        <v>46897</v>
      </c>
    </row>
    <row r="4859" spans="1:50">
      <c r="A4859" s="1">
        <f>HYPERLINK("https://lsnyc.legalserver.org/matter/dynamic-profile/view/1888743","19-1888743")</f>
        <v>0</v>
      </c>
      <c r="B4859" t="s">
        <v>165</v>
      </c>
      <c r="C4859" t="s">
        <v>340</v>
      </c>
      <c r="D4859" t="s">
        <v>698</v>
      </c>
      <c r="F4859" t="s">
        <v>3204</v>
      </c>
      <c r="G4859" t="s">
        <v>7450</v>
      </c>
      <c r="H4859" t="s">
        <v>13296</v>
      </c>
      <c r="I4859" t="s">
        <v>18160</v>
      </c>
      <c r="J4859" t="s">
        <v>18893</v>
      </c>
      <c r="K4859">
        <v>10026</v>
      </c>
      <c r="L4859" t="s">
        <v>18958</v>
      </c>
      <c r="M4859" t="s">
        <v>18958</v>
      </c>
      <c r="N4859" t="s">
        <v>22585</v>
      </c>
      <c r="O4859" t="s">
        <v>26523</v>
      </c>
      <c r="P4859" t="s">
        <v>26564</v>
      </c>
      <c r="R4859" t="s">
        <v>26580</v>
      </c>
      <c r="S4859" t="s">
        <v>18959</v>
      </c>
      <c r="U4859" t="s">
        <v>26604</v>
      </c>
      <c r="V4859" t="s">
        <v>26610</v>
      </c>
      <c r="W4859" t="s">
        <v>698</v>
      </c>
      <c r="X4859">
        <v>673</v>
      </c>
      <c r="Y4859" t="s">
        <v>26651</v>
      </c>
      <c r="Z4859" t="s">
        <v>26664</v>
      </c>
      <c r="AB4859" t="s">
        <v>30341</v>
      </c>
      <c r="AD4859" t="s">
        <v>40863</v>
      </c>
      <c r="AE4859">
        <v>0</v>
      </c>
      <c r="AF4859" t="s">
        <v>20460</v>
      </c>
      <c r="AG4859" t="s">
        <v>19330</v>
      </c>
      <c r="AH4859">
        <v>10</v>
      </c>
      <c r="AI4859">
        <v>1</v>
      </c>
      <c r="AJ4859">
        <v>2</v>
      </c>
      <c r="AK4859">
        <v>201.59</v>
      </c>
      <c r="AN4859" t="s">
        <v>7439</v>
      </c>
      <c r="AO4859">
        <v>43000</v>
      </c>
      <c r="AU4859">
        <v>14.5</v>
      </c>
      <c r="AV4859" t="s">
        <v>838</v>
      </c>
      <c r="AW4859" t="s">
        <v>46875</v>
      </c>
    </row>
    <row r="4860" spans="1:50">
      <c r="A4860" s="1">
        <f>HYPERLINK("https://lsnyc.legalserver.org/matter/dynamic-profile/view/1888816","19-1888816")</f>
        <v>0</v>
      </c>
      <c r="B4860" t="s">
        <v>133</v>
      </c>
      <c r="C4860" t="s">
        <v>340</v>
      </c>
      <c r="D4860" t="s">
        <v>698</v>
      </c>
      <c r="F4860" t="s">
        <v>1471</v>
      </c>
      <c r="G4860" t="s">
        <v>7451</v>
      </c>
      <c r="H4860" t="s">
        <v>13297</v>
      </c>
      <c r="I4860" t="s">
        <v>17307</v>
      </c>
      <c r="J4860" t="s">
        <v>18892</v>
      </c>
      <c r="K4860">
        <v>10467</v>
      </c>
      <c r="L4860" t="s">
        <v>18958</v>
      </c>
      <c r="M4860" t="s">
        <v>18958</v>
      </c>
      <c r="N4860" t="s">
        <v>22586</v>
      </c>
      <c r="O4860" t="s">
        <v>26523</v>
      </c>
      <c r="P4860" t="s">
        <v>26560</v>
      </c>
      <c r="R4860" t="s">
        <v>26579</v>
      </c>
      <c r="U4860" t="s">
        <v>26604</v>
      </c>
      <c r="V4860" t="s">
        <v>26610</v>
      </c>
      <c r="W4860" t="s">
        <v>698</v>
      </c>
      <c r="X4860">
        <v>1985.34</v>
      </c>
      <c r="Y4860" t="s">
        <v>26650</v>
      </c>
      <c r="Z4860" t="s">
        <v>26664</v>
      </c>
      <c r="AB4860" t="s">
        <v>30660</v>
      </c>
      <c r="AC4860" t="s">
        <v>35867</v>
      </c>
      <c r="AD4860" t="s">
        <v>40864</v>
      </c>
      <c r="AE4860">
        <v>0</v>
      </c>
      <c r="AG4860" t="s">
        <v>45558</v>
      </c>
      <c r="AH4860">
        <v>1</v>
      </c>
      <c r="AI4860">
        <v>1</v>
      </c>
      <c r="AJ4860">
        <v>4</v>
      </c>
      <c r="AK4860">
        <v>22.41</v>
      </c>
      <c r="AN4860" t="s">
        <v>7439</v>
      </c>
      <c r="AO4860">
        <v>6760</v>
      </c>
      <c r="AU4860">
        <v>9.1</v>
      </c>
      <c r="AV4860" t="s">
        <v>823</v>
      </c>
      <c r="AW4860" t="s">
        <v>334</v>
      </c>
      <c r="AX4860" t="s">
        <v>46897</v>
      </c>
    </row>
    <row r="4861" spans="1:50">
      <c r="A4861" s="1">
        <f>HYPERLINK("https://lsnyc.legalserver.org/matter/dynamic-profile/view/1888796","19-1888796")</f>
        <v>0</v>
      </c>
      <c r="B4861" t="s">
        <v>133</v>
      </c>
      <c r="C4861" t="s">
        <v>340</v>
      </c>
      <c r="D4861" t="s">
        <v>698</v>
      </c>
      <c r="F4861" t="s">
        <v>3205</v>
      </c>
      <c r="G4861" t="s">
        <v>5953</v>
      </c>
      <c r="H4861" t="s">
        <v>13298</v>
      </c>
      <c r="I4861" t="s">
        <v>17390</v>
      </c>
      <c r="J4861" t="s">
        <v>18892</v>
      </c>
      <c r="K4861">
        <v>10457</v>
      </c>
      <c r="L4861" t="s">
        <v>18958</v>
      </c>
      <c r="M4861" t="s">
        <v>18958</v>
      </c>
      <c r="N4861" t="s">
        <v>22587</v>
      </c>
      <c r="O4861" t="s">
        <v>26523</v>
      </c>
      <c r="P4861" t="s">
        <v>26560</v>
      </c>
      <c r="R4861" t="s">
        <v>26579</v>
      </c>
      <c r="U4861" t="s">
        <v>26604</v>
      </c>
      <c r="V4861" t="s">
        <v>26610</v>
      </c>
      <c r="W4861" t="s">
        <v>698</v>
      </c>
      <c r="X4861">
        <v>1950</v>
      </c>
      <c r="Y4861" t="s">
        <v>26650</v>
      </c>
      <c r="Z4861" t="s">
        <v>26664</v>
      </c>
      <c r="AB4861" t="s">
        <v>29839</v>
      </c>
      <c r="AD4861" t="s">
        <v>40865</v>
      </c>
      <c r="AE4861">
        <v>0</v>
      </c>
      <c r="AH4861">
        <v>3</v>
      </c>
      <c r="AI4861">
        <v>2</v>
      </c>
      <c r="AJ4861">
        <v>3</v>
      </c>
      <c r="AK4861">
        <v>177.66</v>
      </c>
      <c r="AN4861" t="s">
        <v>45581</v>
      </c>
      <c r="AO4861">
        <v>53600</v>
      </c>
      <c r="AU4861">
        <v>15.6</v>
      </c>
      <c r="AV4861" t="s">
        <v>827</v>
      </c>
      <c r="AW4861" t="s">
        <v>334</v>
      </c>
    </row>
    <row r="4862" spans="1:50">
      <c r="A4862" s="1">
        <f>HYPERLINK("https://lsnyc.legalserver.org/matter/dynamic-profile/view/1888703","19-1888703")</f>
        <v>0</v>
      </c>
      <c r="B4862" t="s">
        <v>57</v>
      </c>
      <c r="C4862" t="s">
        <v>340</v>
      </c>
      <c r="D4862" t="s">
        <v>698</v>
      </c>
      <c r="F4862" t="s">
        <v>3206</v>
      </c>
      <c r="G4862" t="s">
        <v>3138</v>
      </c>
      <c r="H4862" t="s">
        <v>13299</v>
      </c>
      <c r="I4862" t="s">
        <v>18161</v>
      </c>
      <c r="J4862" t="s">
        <v>18892</v>
      </c>
      <c r="K4862">
        <v>10457</v>
      </c>
      <c r="L4862" t="s">
        <v>18958</v>
      </c>
      <c r="M4862" t="s">
        <v>18958</v>
      </c>
      <c r="N4862" t="s">
        <v>22588</v>
      </c>
      <c r="O4862" t="s">
        <v>26523</v>
      </c>
      <c r="P4862" t="s">
        <v>26560</v>
      </c>
      <c r="R4862" t="s">
        <v>26579</v>
      </c>
      <c r="U4862" t="s">
        <v>26604</v>
      </c>
      <c r="V4862" t="s">
        <v>26611</v>
      </c>
      <c r="W4862" t="s">
        <v>698</v>
      </c>
      <c r="X4862">
        <v>1198</v>
      </c>
      <c r="Y4862" t="s">
        <v>26650</v>
      </c>
      <c r="Z4862" t="s">
        <v>26664</v>
      </c>
      <c r="AB4862" t="s">
        <v>30661</v>
      </c>
      <c r="AD4862" t="s">
        <v>40866</v>
      </c>
      <c r="AE4862">
        <v>0</v>
      </c>
      <c r="AG4862" t="s">
        <v>19330</v>
      </c>
      <c r="AH4862">
        <v>15</v>
      </c>
      <c r="AI4862">
        <v>2</v>
      </c>
      <c r="AJ4862">
        <v>2</v>
      </c>
      <c r="AK4862">
        <v>0</v>
      </c>
      <c r="AN4862" t="s">
        <v>45581</v>
      </c>
      <c r="AO4862">
        <v>0</v>
      </c>
      <c r="AU4862">
        <v>16.8</v>
      </c>
      <c r="AV4862" t="s">
        <v>843</v>
      </c>
      <c r="AW4862" t="s">
        <v>334</v>
      </c>
    </row>
    <row r="4863" spans="1:50">
      <c r="A4863" s="1">
        <f>HYPERLINK("https://lsnyc.legalserver.org/matter/dynamic-profile/view/1888530","19-1888530")</f>
        <v>0</v>
      </c>
      <c r="B4863" t="s">
        <v>57</v>
      </c>
      <c r="C4863" t="s">
        <v>340</v>
      </c>
      <c r="D4863" t="s">
        <v>698</v>
      </c>
      <c r="F4863" t="s">
        <v>1706</v>
      </c>
      <c r="G4863" t="s">
        <v>6102</v>
      </c>
      <c r="H4863" t="s">
        <v>13300</v>
      </c>
      <c r="I4863" t="s">
        <v>18162</v>
      </c>
      <c r="J4863" t="s">
        <v>18892</v>
      </c>
      <c r="K4863">
        <v>10468</v>
      </c>
      <c r="L4863" t="s">
        <v>18958</v>
      </c>
      <c r="M4863" t="s">
        <v>18958</v>
      </c>
      <c r="N4863" t="s">
        <v>22589</v>
      </c>
      <c r="O4863" t="s">
        <v>26523</v>
      </c>
      <c r="P4863" t="s">
        <v>26560</v>
      </c>
      <c r="R4863" t="s">
        <v>26579</v>
      </c>
      <c r="U4863" t="s">
        <v>26604</v>
      </c>
      <c r="V4863" t="s">
        <v>26610</v>
      </c>
      <c r="W4863" t="s">
        <v>698</v>
      </c>
      <c r="X4863">
        <v>1216</v>
      </c>
      <c r="Y4863" t="s">
        <v>26650</v>
      </c>
      <c r="Z4863" t="s">
        <v>26664</v>
      </c>
      <c r="AB4863" t="s">
        <v>30662</v>
      </c>
      <c r="AD4863" t="s">
        <v>40867</v>
      </c>
      <c r="AE4863">
        <v>0</v>
      </c>
      <c r="AH4863">
        <v>27</v>
      </c>
      <c r="AI4863">
        <v>2</v>
      </c>
      <c r="AJ4863">
        <v>0</v>
      </c>
      <c r="AK4863">
        <v>89.2</v>
      </c>
      <c r="AN4863" t="s">
        <v>45581</v>
      </c>
      <c r="AO4863">
        <v>15084</v>
      </c>
      <c r="AU4863">
        <v>6.3</v>
      </c>
      <c r="AV4863" t="s">
        <v>760</v>
      </c>
      <c r="AW4863" t="s">
        <v>334</v>
      </c>
    </row>
    <row r="4864" spans="1:50">
      <c r="A4864" s="1">
        <f>HYPERLINK("https://lsnyc.legalserver.org/matter/dynamic-profile/view/1888752","19-1888752")</f>
        <v>0</v>
      </c>
      <c r="B4864" t="s">
        <v>94</v>
      </c>
      <c r="C4864" t="s">
        <v>340</v>
      </c>
      <c r="D4864" t="s">
        <v>698</v>
      </c>
      <c r="F4864" t="s">
        <v>964</v>
      </c>
      <c r="G4864" t="s">
        <v>7452</v>
      </c>
      <c r="H4864" t="s">
        <v>10930</v>
      </c>
      <c r="I4864" t="s">
        <v>17351</v>
      </c>
      <c r="J4864" t="s">
        <v>18893</v>
      </c>
      <c r="K4864">
        <v>10025</v>
      </c>
      <c r="L4864" t="s">
        <v>18958</v>
      </c>
      <c r="M4864" t="s">
        <v>18958</v>
      </c>
      <c r="N4864" t="s">
        <v>22590</v>
      </c>
      <c r="O4864" t="s">
        <v>26523</v>
      </c>
      <c r="P4864" t="s">
        <v>26560</v>
      </c>
      <c r="R4864" t="s">
        <v>26580</v>
      </c>
      <c r="S4864" t="s">
        <v>18959</v>
      </c>
      <c r="U4864" t="s">
        <v>26605</v>
      </c>
      <c r="V4864" t="s">
        <v>26610</v>
      </c>
      <c r="W4864" t="s">
        <v>698</v>
      </c>
      <c r="X4864">
        <v>401</v>
      </c>
      <c r="Y4864" t="s">
        <v>26651</v>
      </c>
      <c r="Z4864" t="s">
        <v>26664</v>
      </c>
      <c r="AB4864" t="s">
        <v>30663</v>
      </c>
      <c r="AD4864" t="s">
        <v>40868</v>
      </c>
      <c r="AE4864">
        <v>0</v>
      </c>
      <c r="AF4864" t="s">
        <v>45549</v>
      </c>
      <c r="AG4864" t="s">
        <v>19330</v>
      </c>
      <c r="AH4864">
        <v>21</v>
      </c>
      <c r="AI4864">
        <v>3</v>
      </c>
      <c r="AJ4864">
        <v>0</v>
      </c>
      <c r="AK4864">
        <v>74.70999999999999</v>
      </c>
      <c r="AN4864" t="s">
        <v>8151</v>
      </c>
      <c r="AO4864">
        <v>15936</v>
      </c>
      <c r="AU4864">
        <v>23.8</v>
      </c>
      <c r="AV4864" t="s">
        <v>839</v>
      </c>
      <c r="AW4864" t="s">
        <v>314</v>
      </c>
    </row>
    <row r="4865" spans="1:50">
      <c r="A4865" s="1">
        <f>HYPERLINK("https://lsnyc.legalserver.org/matter/dynamic-profile/view/1888704","19-1888704")</f>
        <v>0</v>
      </c>
      <c r="B4865" t="s">
        <v>251</v>
      </c>
      <c r="C4865" t="s">
        <v>340</v>
      </c>
      <c r="D4865" t="s">
        <v>698</v>
      </c>
      <c r="F4865" t="s">
        <v>3207</v>
      </c>
      <c r="G4865" t="s">
        <v>5393</v>
      </c>
      <c r="H4865" t="s">
        <v>13301</v>
      </c>
      <c r="I4865" t="s">
        <v>17325</v>
      </c>
      <c r="J4865" t="s">
        <v>18892</v>
      </c>
      <c r="K4865">
        <v>10466</v>
      </c>
      <c r="L4865" t="s">
        <v>18958</v>
      </c>
      <c r="M4865" t="s">
        <v>18958</v>
      </c>
      <c r="N4865" t="s">
        <v>22591</v>
      </c>
      <c r="O4865" t="s">
        <v>26523</v>
      </c>
      <c r="P4865" t="s">
        <v>26560</v>
      </c>
      <c r="R4865" t="s">
        <v>26577</v>
      </c>
      <c r="S4865" t="s">
        <v>18959</v>
      </c>
      <c r="U4865" t="s">
        <v>26604</v>
      </c>
      <c r="V4865" t="s">
        <v>26612</v>
      </c>
      <c r="W4865" t="s">
        <v>698</v>
      </c>
      <c r="X4865">
        <v>950.12</v>
      </c>
      <c r="Y4865" t="s">
        <v>26650</v>
      </c>
      <c r="Z4865" t="s">
        <v>26664</v>
      </c>
      <c r="AB4865" t="s">
        <v>30664</v>
      </c>
      <c r="AC4865" t="s">
        <v>35868</v>
      </c>
      <c r="AD4865" t="s">
        <v>40869</v>
      </c>
      <c r="AE4865">
        <v>51</v>
      </c>
      <c r="AF4865" t="s">
        <v>45541</v>
      </c>
      <c r="AG4865" t="s">
        <v>19330</v>
      </c>
      <c r="AH4865">
        <v>20</v>
      </c>
      <c r="AI4865">
        <v>1</v>
      </c>
      <c r="AJ4865">
        <v>1</v>
      </c>
      <c r="AK4865">
        <v>130.1</v>
      </c>
      <c r="AN4865" t="s">
        <v>7439</v>
      </c>
      <c r="AO4865">
        <v>22000</v>
      </c>
      <c r="AU4865">
        <v>29.9</v>
      </c>
      <c r="AV4865" t="s">
        <v>729</v>
      </c>
      <c r="AW4865" t="s">
        <v>46871</v>
      </c>
    </row>
    <row r="4866" spans="1:50">
      <c r="A4866" s="1">
        <f>HYPERLINK("https://lsnyc.legalserver.org/matter/dynamic-profile/view/1888710","19-1888710")</f>
        <v>0</v>
      </c>
      <c r="B4866" t="s">
        <v>251</v>
      </c>
      <c r="C4866" t="s">
        <v>340</v>
      </c>
      <c r="D4866" t="s">
        <v>698</v>
      </c>
      <c r="F4866" t="s">
        <v>974</v>
      </c>
      <c r="G4866" t="s">
        <v>7453</v>
      </c>
      <c r="H4866" t="s">
        <v>9949</v>
      </c>
      <c r="I4866" t="s">
        <v>17316</v>
      </c>
      <c r="J4866" t="s">
        <v>18892</v>
      </c>
      <c r="K4866">
        <v>10457</v>
      </c>
      <c r="L4866" t="s">
        <v>18958</v>
      </c>
      <c r="M4866" t="s">
        <v>18958</v>
      </c>
      <c r="N4866" t="s">
        <v>22592</v>
      </c>
      <c r="O4866" t="s">
        <v>26523</v>
      </c>
      <c r="P4866" t="s">
        <v>26560</v>
      </c>
      <c r="R4866" t="s">
        <v>26579</v>
      </c>
      <c r="U4866" t="s">
        <v>26604</v>
      </c>
      <c r="V4866" t="s">
        <v>26610</v>
      </c>
      <c r="W4866" t="s">
        <v>698</v>
      </c>
      <c r="X4866">
        <v>975</v>
      </c>
      <c r="Y4866" t="s">
        <v>26650</v>
      </c>
      <c r="Z4866" t="s">
        <v>26664</v>
      </c>
      <c r="AB4866" t="s">
        <v>30665</v>
      </c>
      <c r="AD4866" t="s">
        <v>40870</v>
      </c>
      <c r="AE4866">
        <v>32</v>
      </c>
      <c r="AF4866" t="s">
        <v>45541</v>
      </c>
      <c r="AG4866" t="s">
        <v>45560</v>
      </c>
      <c r="AH4866">
        <v>17</v>
      </c>
      <c r="AI4866">
        <v>2</v>
      </c>
      <c r="AJ4866">
        <v>0</v>
      </c>
      <c r="AK4866">
        <v>98.5</v>
      </c>
      <c r="AN4866" t="s">
        <v>7439</v>
      </c>
      <c r="AO4866">
        <v>16656</v>
      </c>
      <c r="AU4866">
        <v>27.05</v>
      </c>
      <c r="AV4866" t="s">
        <v>838</v>
      </c>
      <c r="AW4866" t="s">
        <v>46871</v>
      </c>
    </row>
    <row r="4867" spans="1:50">
      <c r="A4867" s="1">
        <f>HYPERLINK("https://lsnyc.legalserver.org/matter/dynamic-profile/view/1888761","19-1888761")</f>
        <v>0</v>
      </c>
      <c r="B4867" t="s">
        <v>131</v>
      </c>
      <c r="C4867" t="s">
        <v>340</v>
      </c>
      <c r="D4867" t="s">
        <v>698</v>
      </c>
      <c r="F4867" t="s">
        <v>3208</v>
      </c>
      <c r="G4867" t="s">
        <v>5269</v>
      </c>
      <c r="H4867" t="s">
        <v>13302</v>
      </c>
      <c r="I4867" t="s">
        <v>17272</v>
      </c>
      <c r="J4867" t="s">
        <v>18902</v>
      </c>
      <c r="K4867">
        <v>10314</v>
      </c>
      <c r="L4867" t="s">
        <v>18958</v>
      </c>
      <c r="M4867" t="s">
        <v>18960</v>
      </c>
      <c r="O4867" t="s">
        <v>26541</v>
      </c>
      <c r="P4867" t="s">
        <v>26561</v>
      </c>
      <c r="R4867" t="s">
        <v>26587</v>
      </c>
      <c r="S4867" t="s">
        <v>18959</v>
      </c>
      <c r="U4867" t="s">
        <v>26605</v>
      </c>
      <c r="V4867" t="s">
        <v>26613</v>
      </c>
      <c r="W4867" t="s">
        <v>698</v>
      </c>
      <c r="X4867">
        <v>232</v>
      </c>
      <c r="Y4867" t="s">
        <v>26654</v>
      </c>
      <c r="Z4867" t="s">
        <v>26659</v>
      </c>
      <c r="AB4867" t="s">
        <v>30666</v>
      </c>
      <c r="AD4867" t="s">
        <v>40871</v>
      </c>
      <c r="AE4867">
        <v>0</v>
      </c>
      <c r="AF4867" t="s">
        <v>45549</v>
      </c>
      <c r="AG4867" t="s">
        <v>26530</v>
      </c>
      <c r="AH4867">
        <v>4</v>
      </c>
      <c r="AI4867">
        <v>1</v>
      </c>
      <c r="AJ4867">
        <v>1</v>
      </c>
      <c r="AK4867">
        <v>32.97</v>
      </c>
      <c r="AN4867" t="s">
        <v>7439</v>
      </c>
      <c r="AO4867">
        <v>5576</v>
      </c>
      <c r="AU4867">
        <v>8.5</v>
      </c>
      <c r="AV4867" t="s">
        <v>827</v>
      </c>
      <c r="AW4867" t="s">
        <v>131</v>
      </c>
    </row>
    <row r="4868" spans="1:50">
      <c r="A4868" s="1">
        <f>HYPERLINK("https://lsnyc.legalserver.org/matter/dynamic-profile/view/1891135","19-1891135")</f>
        <v>0</v>
      </c>
      <c r="B4868" t="s">
        <v>129</v>
      </c>
      <c r="C4868" t="s">
        <v>340</v>
      </c>
      <c r="D4868" t="s">
        <v>698</v>
      </c>
      <c r="F4868" t="s">
        <v>1132</v>
      </c>
      <c r="G4868" t="s">
        <v>7454</v>
      </c>
      <c r="H4868" t="s">
        <v>13303</v>
      </c>
      <c r="I4868" t="s">
        <v>17299</v>
      </c>
      <c r="J4868" t="s">
        <v>18894</v>
      </c>
      <c r="K4868">
        <v>11238</v>
      </c>
      <c r="L4868" t="s">
        <v>18959</v>
      </c>
      <c r="M4868" t="s">
        <v>18960</v>
      </c>
      <c r="N4868" t="s">
        <v>22593</v>
      </c>
      <c r="O4868" t="s">
        <v>26523</v>
      </c>
      <c r="P4868" t="s">
        <v>26560</v>
      </c>
      <c r="R4868" t="s">
        <v>26583</v>
      </c>
      <c r="S4868" t="s">
        <v>18959</v>
      </c>
      <c r="U4868" t="s">
        <v>26604</v>
      </c>
      <c r="V4868" t="s">
        <v>26610</v>
      </c>
      <c r="W4868" t="s">
        <v>698</v>
      </c>
      <c r="X4868">
        <v>689.66</v>
      </c>
      <c r="Y4868" t="s">
        <v>26652</v>
      </c>
      <c r="Z4868" t="s">
        <v>26659</v>
      </c>
      <c r="AB4868" t="s">
        <v>30667</v>
      </c>
      <c r="AD4868" t="s">
        <v>40872</v>
      </c>
      <c r="AE4868">
        <v>24</v>
      </c>
      <c r="AF4868" t="s">
        <v>45541</v>
      </c>
      <c r="AH4868">
        <v>28</v>
      </c>
      <c r="AI4868">
        <v>2</v>
      </c>
      <c r="AJ4868">
        <v>0</v>
      </c>
      <c r="AK4868">
        <v>396.22</v>
      </c>
      <c r="AN4868" t="s">
        <v>7439</v>
      </c>
      <c r="AO4868">
        <v>67000</v>
      </c>
      <c r="AU4868">
        <v>25.5</v>
      </c>
      <c r="AV4868" t="s">
        <v>808</v>
      </c>
      <c r="AW4868" t="s">
        <v>129</v>
      </c>
    </row>
    <row r="4869" spans="1:50">
      <c r="A4869" s="1">
        <f>HYPERLINK("https://lsnyc.legalserver.org/matter/dynamic-profile/view/1888532","19-1888532")</f>
        <v>0</v>
      </c>
      <c r="B4869" t="s">
        <v>269</v>
      </c>
      <c r="C4869" t="s">
        <v>340</v>
      </c>
      <c r="D4869" t="s">
        <v>698</v>
      </c>
      <c r="F4869" t="s">
        <v>1364</v>
      </c>
      <c r="G4869" t="s">
        <v>5982</v>
      </c>
      <c r="H4869" t="s">
        <v>13304</v>
      </c>
      <c r="I4869">
        <v>3</v>
      </c>
      <c r="J4869" t="s">
        <v>18892</v>
      </c>
      <c r="K4869">
        <v>10457</v>
      </c>
      <c r="L4869" t="s">
        <v>18958</v>
      </c>
      <c r="M4869" t="s">
        <v>18958</v>
      </c>
      <c r="N4869" t="s">
        <v>22594</v>
      </c>
      <c r="O4869" t="s">
        <v>26523</v>
      </c>
      <c r="P4869" t="s">
        <v>26560</v>
      </c>
      <c r="R4869" t="s">
        <v>26579</v>
      </c>
      <c r="S4869" t="s">
        <v>18959</v>
      </c>
      <c r="U4869" t="s">
        <v>26604</v>
      </c>
      <c r="W4869" t="s">
        <v>698</v>
      </c>
      <c r="X4869">
        <v>2000</v>
      </c>
      <c r="Y4869" t="s">
        <v>26650</v>
      </c>
      <c r="Z4869" t="s">
        <v>26668</v>
      </c>
      <c r="AB4869" t="s">
        <v>30668</v>
      </c>
      <c r="AC4869" t="s">
        <v>35869</v>
      </c>
      <c r="AD4869" t="s">
        <v>40873</v>
      </c>
      <c r="AE4869">
        <v>3</v>
      </c>
      <c r="AF4869" t="s">
        <v>20460</v>
      </c>
      <c r="AG4869" t="s">
        <v>45561</v>
      </c>
      <c r="AH4869">
        <v>19</v>
      </c>
      <c r="AI4869">
        <v>2</v>
      </c>
      <c r="AJ4869">
        <v>3</v>
      </c>
      <c r="AK4869">
        <v>30.98</v>
      </c>
      <c r="AN4869" t="s">
        <v>7439</v>
      </c>
      <c r="AO4869">
        <v>9348</v>
      </c>
      <c r="AU4869">
        <v>44.75</v>
      </c>
      <c r="AV4869" t="s">
        <v>838</v>
      </c>
      <c r="AW4869" t="s">
        <v>46847</v>
      </c>
      <c r="AX4869" t="s">
        <v>46898</v>
      </c>
    </row>
    <row r="4870" spans="1:50">
      <c r="A4870" s="1">
        <f>HYPERLINK("https://lsnyc.legalserver.org/matter/dynamic-profile/view/1888727","19-1888727")</f>
        <v>0</v>
      </c>
      <c r="B4870" t="s">
        <v>62</v>
      </c>
      <c r="C4870" t="s">
        <v>340</v>
      </c>
      <c r="D4870" t="s">
        <v>698</v>
      </c>
      <c r="F4870" t="s">
        <v>1189</v>
      </c>
      <c r="G4870" t="s">
        <v>7455</v>
      </c>
      <c r="H4870" t="s">
        <v>13305</v>
      </c>
      <c r="I4870" t="s">
        <v>17352</v>
      </c>
      <c r="J4870" t="s">
        <v>18893</v>
      </c>
      <c r="K4870">
        <v>10025</v>
      </c>
      <c r="L4870" t="s">
        <v>18958</v>
      </c>
      <c r="M4870" t="s">
        <v>18958</v>
      </c>
      <c r="N4870" t="s">
        <v>22595</v>
      </c>
      <c r="O4870" t="s">
        <v>26523</v>
      </c>
      <c r="P4870" t="s">
        <v>26560</v>
      </c>
      <c r="R4870" t="s">
        <v>26580</v>
      </c>
      <c r="S4870" t="s">
        <v>18959</v>
      </c>
      <c r="U4870" t="s">
        <v>26604</v>
      </c>
      <c r="V4870" t="s">
        <v>26610</v>
      </c>
      <c r="W4870" t="s">
        <v>698</v>
      </c>
      <c r="X4870">
        <v>2500</v>
      </c>
      <c r="Y4870" t="s">
        <v>26651</v>
      </c>
      <c r="Z4870" t="s">
        <v>26668</v>
      </c>
      <c r="AB4870" t="s">
        <v>30669</v>
      </c>
      <c r="AD4870" t="s">
        <v>40874</v>
      </c>
      <c r="AE4870">
        <v>0</v>
      </c>
      <c r="AF4870" t="s">
        <v>45541</v>
      </c>
      <c r="AG4870" t="s">
        <v>19330</v>
      </c>
      <c r="AH4870">
        <v>20</v>
      </c>
      <c r="AI4870">
        <v>3</v>
      </c>
      <c r="AJ4870">
        <v>0</v>
      </c>
      <c r="AK4870">
        <v>187.53</v>
      </c>
      <c r="AN4870" t="s">
        <v>7439</v>
      </c>
      <c r="AO4870">
        <v>40000</v>
      </c>
      <c r="AU4870">
        <v>8</v>
      </c>
      <c r="AV4870" t="s">
        <v>814</v>
      </c>
      <c r="AW4870" t="s">
        <v>314</v>
      </c>
    </row>
    <row r="4871" spans="1:50">
      <c r="A4871" s="1">
        <f>HYPERLINK("https://lsnyc.legalserver.org/matter/dynamic-profile/view/1888735","19-1888735")</f>
        <v>0</v>
      </c>
      <c r="B4871" t="s">
        <v>62</v>
      </c>
      <c r="C4871" t="s">
        <v>340</v>
      </c>
      <c r="D4871" t="s">
        <v>698</v>
      </c>
      <c r="F4871" t="s">
        <v>938</v>
      </c>
      <c r="G4871" t="s">
        <v>5266</v>
      </c>
      <c r="H4871" t="s">
        <v>13306</v>
      </c>
      <c r="I4871" t="s">
        <v>17283</v>
      </c>
      <c r="J4871" t="s">
        <v>18893</v>
      </c>
      <c r="K4871">
        <v>10027</v>
      </c>
      <c r="L4871" t="s">
        <v>18958</v>
      </c>
      <c r="M4871" t="s">
        <v>18958</v>
      </c>
      <c r="N4871" t="s">
        <v>22596</v>
      </c>
      <c r="O4871" t="s">
        <v>26523</v>
      </c>
      <c r="P4871" t="s">
        <v>26560</v>
      </c>
      <c r="R4871" t="s">
        <v>26580</v>
      </c>
      <c r="S4871" t="s">
        <v>18959</v>
      </c>
      <c r="U4871" t="s">
        <v>26604</v>
      </c>
      <c r="V4871" t="s">
        <v>26610</v>
      </c>
      <c r="W4871" t="s">
        <v>698</v>
      </c>
      <c r="X4871">
        <v>1225</v>
      </c>
      <c r="Y4871" t="s">
        <v>26651</v>
      </c>
      <c r="Z4871" t="s">
        <v>26668</v>
      </c>
      <c r="AB4871" t="s">
        <v>30670</v>
      </c>
      <c r="AD4871" t="s">
        <v>40875</v>
      </c>
      <c r="AE4871">
        <v>0</v>
      </c>
      <c r="AF4871" t="s">
        <v>45541</v>
      </c>
      <c r="AG4871" t="s">
        <v>26530</v>
      </c>
      <c r="AH4871">
        <v>17</v>
      </c>
      <c r="AI4871">
        <v>1</v>
      </c>
      <c r="AJ4871">
        <v>0</v>
      </c>
      <c r="AK4871">
        <v>191.72</v>
      </c>
      <c r="AN4871" t="s">
        <v>7439</v>
      </c>
      <c r="AO4871">
        <v>23946</v>
      </c>
      <c r="AU4871">
        <v>3</v>
      </c>
      <c r="AV4871" t="s">
        <v>757</v>
      </c>
      <c r="AW4871" t="s">
        <v>314</v>
      </c>
    </row>
    <row r="4872" spans="1:50">
      <c r="A4872" s="1">
        <f>HYPERLINK("https://lsnyc.legalserver.org/matter/dynamic-profile/view/1888792","19-1888792")</f>
        <v>0</v>
      </c>
      <c r="B4872" t="s">
        <v>125</v>
      </c>
      <c r="C4872" t="s">
        <v>340</v>
      </c>
      <c r="D4872" t="s">
        <v>698</v>
      </c>
      <c r="F4872" t="s">
        <v>3209</v>
      </c>
      <c r="G4872" t="s">
        <v>7456</v>
      </c>
      <c r="H4872" t="s">
        <v>13307</v>
      </c>
      <c r="I4872">
        <v>1</v>
      </c>
      <c r="J4872" t="s">
        <v>18894</v>
      </c>
      <c r="K4872">
        <v>11233</v>
      </c>
      <c r="L4872" t="s">
        <v>18958</v>
      </c>
      <c r="M4872" t="s">
        <v>18958</v>
      </c>
      <c r="N4872" t="s">
        <v>22597</v>
      </c>
      <c r="O4872" t="s">
        <v>26524</v>
      </c>
      <c r="P4872" t="s">
        <v>26564</v>
      </c>
      <c r="R4872" t="s">
        <v>26578</v>
      </c>
      <c r="S4872" t="s">
        <v>18959</v>
      </c>
      <c r="U4872" t="s">
        <v>26604</v>
      </c>
      <c r="V4872" t="s">
        <v>26612</v>
      </c>
      <c r="W4872" t="s">
        <v>698</v>
      </c>
      <c r="X4872">
        <v>0</v>
      </c>
      <c r="Y4872" t="s">
        <v>26652</v>
      </c>
      <c r="AB4872" t="s">
        <v>27657</v>
      </c>
      <c r="AC4872" t="s">
        <v>35870</v>
      </c>
      <c r="AE4872">
        <v>0</v>
      </c>
      <c r="AF4872" t="s">
        <v>45547</v>
      </c>
      <c r="AG4872" t="s">
        <v>45556</v>
      </c>
      <c r="AH4872">
        <v>0</v>
      </c>
      <c r="AI4872">
        <v>2</v>
      </c>
      <c r="AJ4872">
        <v>3</v>
      </c>
      <c r="AK4872">
        <v>0</v>
      </c>
      <c r="AN4872" t="s">
        <v>7439</v>
      </c>
      <c r="AO4872">
        <v>0</v>
      </c>
      <c r="AU4872">
        <v>1.5</v>
      </c>
      <c r="AV4872" t="s">
        <v>739</v>
      </c>
      <c r="AW4872" t="s">
        <v>286</v>
      </c>
      <c r="AX4872" t="s">
        <v>46897</v>
      </c>
    </row>
    <row r="4873" spans="1:50">
      <c r="A4873" s="1">
        <f>HYPERLINK("https://lsnyc.legalserver.org/matter/dynamic-profile/view/1886721","18-1886721")</f>
        <v>0</v>
      </c>
      <c r="B4873" t="s">
        <v>130</v>
      </c>
      <c r="C4873" t="s">
        <v>341</v>
      </c>
      <c r="D4873" t="s">
        <v>712</v>
      </c>
      <c r="E4873" t="s">
        <v>731</v>
      </c>
      <c r="F4873" t="s">
        <v>2368</v>
      </c>
      <c r="G4873" t="s">
        <v>7457</v>
      </c>
      <c r="H4873" t="s">
        <v>13308</v>
      </c>
      <c r="J4873" t="s">
        <v>18901</v>
      </c>
      <c r="K4873">
        <v>11434</v>
      </c>
      <c r="L4873" t="s">
        <v>18958</v>
      </c>
      <c r="M4873" t="s">
        <v>18958</v>
      </c>
      <c r="N4873" t="s">
        <v>22598</v>
      </c>
      <c r="O4873" t="s">
        <v>26524</v>
      </c>
      <c r="P4873" t="s">
        <v>26564</v>
      </c>
      <c r="Q4873" t="s">
        <v>26570</v>
      </c>
      <c r="R4873" t="s">
        <v>26585</v>
      </c>
      <c r="S4873" t="s">
        <v>18958</v>
      </c>
      <c r="U4873" t="s">
        <v>26604</v>
      </c>
      <c r="V4873" t="s">
        <v>26610</v>
      </c>
      <c r="W4873" t="s">
        <v>732</v>
      </c>
      <c r="X4873">
        <v>1200</v>
      </c>
      <c r="Y4873" t="s">
        <v>26653</v>
      </c>
      <c r="Z4873" t="s">
        <v>26668</v>
      </c>
      <c r="AA4873" t="s">
        <v>26683</v>
      </c>
      <c r="AB4873" t="s">
        <v>30671</v>
      </c>
      <c r="AD4873" t="s">
        <v>40876</v>
      </c>
      <c r="AE4873">
        <v>3</v>
      </c>
      <c r="AF4873" t="s">
        <v>45547</v>
      </c>
      <c r="AG4873" t="s">
        <v>19330</v>
      </c>
      <c r="AH4873">
        <v>6</v>
      </c>
      <c r="AI4873">
        <v>2</v>
      </c>
      <c r="AJ4873">
        <v>2</v>
      </c>
      <c r="AK4873">
        <v>135.46</v>
      </c>
      <c r="AN4873" t="s">
        <v>7439</v>
      </c>
      <c r="AO4873">
        <v>34000</v>
      </c>
      <c r="AU4873">
        <v>2.2</v>
      </c>
      <c r="AV4873" t="s">
        <v>732</v>
      </c>
      <c r="AW4873" t="s">
        <v>130</v>
      </c>
    </row>
    <row r="4874" spans="1:50">
      <c r="A4874" s="1">
        <f>HYPERLINK("https://lsnyc.legalserver.org/matter/dynamic-profile/view/1886718","18-1886718")</f>
        <v>0</v>
      </c>
      <c r="B4874" t="s">
        <v>108</v>
      </c>
      <c r="C4874" t="s">
        <v>341</v>
      </c>
      <c r="D4874" t="s">
        <v>712</v>
      </c>
      <c r="E4874" t="s">
        <v>731</v>
      </c>
      <c r="F4874" t="s">
        <v>2368</v>
      </c>
      <c r="G4874" t="s">
        <v>7457</v>
      </c>
      <c r="H4874" t="s">
        <v>13308</v>
      </c>
      <c r="J4874" t="s">
        <v>18901</v>
      </c>
      <c r="K4874">
        <v>11434</v>
      </c>
      <c r="L4874" t="s">
        <v>18958</v>
      </c>
      <c r="M4874" t="s">
        <v>18958</v>
      </c>
      <c r="N4874" t="s">
        <v>22599</v>
      </c>
      <c r="O4874" t="s">
        <v>26524</v>
      </c>
      <c r="P4874" t="s">
        <v>26564</v>
      </c>
      <c r="Q4874" t="s">
        <v>26570</v>
      </c>
      <c r="R4874" t="s">
        <v>26585</v>
      </c>
      <c r="S4874" t="s">
        <v>18958</v>
      </c>
      <c r="U4874" t="s">
        <v>26604</v>
      </c>
      <c r="V4874" t="s">
        <v>26610</v>
      </c>
      <c r="W4874" t="s">
        <v>732</v>
      </c>
      <c r="X4874">
        <v>1200</v>
      </c>
      <c r="Y4874" t="s">
        <v>26653</v>
      </c>
      <c r="Z4874" t="s">
        <v>26668</v>
      </c>
      <c r="AA4874" t="s">
        <v>26683</v>
      </c>
      <c r="AB4874" t="s">
        <v>30671</v>
      </c>
      <c r="AD4874" t="s">
        <v>40876</v>
      </c>
      <c r="AE4874">
        <v>3</v>
      </c>
      <c r="AF4874" t="s">
        <v>20460</v>
      </c>
      <c r="AG4874" t="s">
        <v>19330</v>
      </c>
      <c r="AH4874">
        <v>6</v>
      </c>
      <c r="AI4874">
        <v>2</v>
      </c>
      <c r="AJ4874">
        <v>2</v>
      </c>
      <c r="AK4874">
        <v>135.46</v>
      </c>
      <c r="AN4874" t="s">
        <v>7439</v>
      </c>
      <c r="AO4874">
        <v>34000</v>
      </c>
      <c r="AU4874">
        <v>0.8</v>
      </c>
      <c r="AV4874" t="s">
        <v>732</v>
      </c>
      <c r="AW4874" t="s">
        <v>130</v>
      </c>
    </row>
    <row r="4875" spans="1:50">
      <c r="A4875" s="1">
        <f>HYPERLINK("https://lsnyc.legalserver.org/matter/dynamic-profile/view/1886703","18-1886703")</f>
        <v>0</v>
      </c>
      <c r="B4875" t="s">
        <v>142</v>
      </c>
      <c r="C4875" t="s">
        <v>341</v>
      </c>
      <c r="D4875" t="s">
        <v>712</v>
      </c>
      <c r="E4875" t="s">
        <v>731</v>
      </c>
      <c r="F4875" t="s">
        <v>2368</v>
      </c>
      <c r="G4875" t="s">
        <v>7457</v>
      </c>
      <c r="H4875" t="s">
        <v>13308</v>
      </c>
      <c r="J4875" t="s">
        <v>18901</v>
      </c>
      <c r="K4875">
        <v>11434</v>
      </c>
      <c r="L4875" t="s">
        <v>18958</v>
      </c>
      <c r="M4875" t="s">
        <v>18958</v>
      </c>
      <c r="N4875" t="s">
        <v>22600</v>
      </c>
      <c r="O4875" t="s">
        <v>26524</v>
      </c>
      <c r="P4875" t="s">
        <v>26564</v>
      </c>
      <c r="Q4875" t="s">
        <v>26570</v>
      </c>
      <c r="R4875" t="s">
        <v>26585</v>
      </c>
      <c r="S4875" t="s">
        <v>18958</v>
      </c>
      <c r="U4875" t="s">
        <v>26604</v>
      </c>
      <c r="V4875" t="s">
        <v>26610</v>
      </c>
      <c r="W4875" t="s">
        <v>732</v>
      </c>
      <c r="X4875">
        <v>1200</v>
      </c>
      <c r="Y4875" t="s">
        <v>26653</v>
      </c>
      <c r="Z4875" t="s">
        <v>26668</v>
      </c>
      <c r="AA4875" t="s">
        <v>26683</v>
      </c>
      <c r="AB4875" t="s">
        <v>30671</v>
      </c>
      <c r="AD4875" t="s">
        <v>40876</v>
      </c>
      <c r="AE4875">
        <v>3</v>
      </c>
      <c r="AF4875" t="s">
        <v>45547</v>
      </c>
      <c r="AG4875" t="s">
        <v>19330</v>
      </c>
      <c r="AH4875">
        <v>6</v>
      </c>
      <c r="AI4875">
        <v>2</v>
      </c>
      <c r="AJ4875">
        <v>2</v>
      </c>
      <c r="AK4875">
        <v>143.43</v>
      </c>
      <c r="AN4875" t="s">
        <v>7439</v>
      </c>
      <c r="AO4875">
        <v>36000</v>
      </c>
      <c r="AU4875">
        <v>4.2</v>
      </c>
      <c r="AV4875" t="s">
        <v>732</v>
      </c>
      <c r="AW4875" t="s">
        <v>208</v>
      </c>
    </row>
    <row r="4876" spans="1:50">
      <c r="A4876" s="1">
        <f>HYPERLINK("https://lsnyc.legalserver.org/matter/dynamic-profile/view/1886735","18-1886735")</f>
        <v>0</v>
      </c>
      <c r="B4876" t="s">
        <v>224</v>
      </c>
      <c r="C4876" t="s">
        <v>341</v>
      </c>
      <c r="D4876" t="s">
        <v>494</v>
      </c>
      <c r="E4876" t="s">
        <v>862</v>
      </c>
      <c r="F4876" t="s">
        <v>3210</v>
      </c>
      <c r="G4876" t="s">
        <v>7458</v>
      </c>
      <c r="H4876" t="s">
        <v>13309</v>
      </c>
      <c r="I4876" t="s">
        <v>18163</v>
      </c>
      <c r="J4876" t="s">
        <v>18894</v>
      </c>
      <c r="K4876">
        <v>11233</v>
      </c>
      <c r="L4876" t="s">
        <v>18958</v>
      </c>
      <c r="M4876" t="s">
        <v>18958</v>
      </c>
      <c r="N4876" t="s">
        <v>22601</v>
      </c>
      <c r="O4876" t="s">
        <v>26524</v>
      </c>
      <c r="P4876" t="s">
        <v>26565</v>
      </c>
      <c r="Q4876" t="s">
        <v>26571</v>
      </c>
      <c r="R4876" t="s">
        <v>26578</v>
      </c>
      <c r="S4876" t="s">
        <v>18959</v>
      </c>
      <c r="U4876" t="s">
        <v>26604</v>
      </c>
      <c r="W4876" t="s">
        <v>732</v>
      </c>
      <c r="X4876">
        <v>1860</v>
      </c>
      <c r="Y4876" t="s">
        <v>26652</v>
      </c>
      <c r="AA4876" t="s">
        <v>26683</v>
      </c>
      <c r="AB4876" t="s">
        <v>30672</v>
      </c>
      <c r="AD4876" t="s">
        <v>40877</v>
      </c>
      <c r="AE4876">
        <v>2</v>
      </c>
      <c r="AG4876" t="s">
        <v>19330</v>
      </c>
      <c r="AH4876">
        <v>2</v>
      </c>
      <c r="AI4876">
        <v>1</v>
      </c>
      <c r="AJ4876">
        <v>0</v>
      </c>
      <c r="AK4876">
        <v>59.31</v>
      </c>
      <c r="AN4876" t="s">
        <v>7439</v>
      </c>
      <c r="AO4876">
        <v>7200</v>
      </c>
      <c r="AU4876">
        <v>0.9</v>
      </c>
      <c r="AV4876" t="s">
        <v>494</v>
      </c>
      <c r="AW4876" t="s">
        <v>46857</v>
      </c>
      <c r="AX4876" t="s">
        <v>46897</v>
      </c>
    </row>
    <row r="4877" spans="1:50">
      <c r="A4877" s="1">
        <f>HYPERLINK("https://lsnyc.legalserver.org/matter/dynamic-profile/view/1887872","19-1887872")</f>
        <v>0</v>
      </c>
      <c r="B4877" t="s">
        <v>116</v>
      </c>
      <c r="C4877" t="s">
        <v>341</v>
      </c>
      <c r="D4877" t="s">
        <v>573</v>
      </c>
      <c r="E4877" t="s">
        <v>731</v>
      </c>
      <c r="F4877" t="s">
        <v>1134</v>
      </c>
      <c r="G4877" t="s">
        <v>5086</v>
      </c>
      <c r="H4877" t="s">
        <v>13310</v>
      </c>
      <c r="I4877" t="s">
        <v>17334</v>
      </c>
      <c r="J4877" t="s">
        <v>18894</v>
      </c>
      <c r="K4877">
        <v>11207</v>
      </c>
      <c r="L4877" t="s">
        <v>18958</v>
      </c>
      <c r="M4877" t="s">
        <v>18958</v>
      </c>
      <c r="N4877" t="s">
        <v>22602</v>
      </c>
      <c r="O4877" t="s">
        <v>26524</v>
      </c>
      <c r="P4877" t="s">
        <v>26565</v>
      </c>
      <c r="Q4877" t="s">
        <v>26571</v>
      </c>
      <c r="R4877" t="s">
        <v>26578</v>
      </c>
      <c r="S4877" t="s">
        <v>18959</v>
      </c>
      <c r="U4877" t="s">
        <v>26604</v>
      </c>
      <c r="V4877" t="s">
        <v>26610</v>
      </c>
      <c r="W4877" t="s">
        <v>732</v>
      </c>
      <c r="X4877">
        <v>2110</v>
      </c>
      <c r="Y4877" t="s">
        <v>26652</v>
      </c>
      <c r="AA4877" t="s">
        <v>26681</v>
      </c>
      <c r="AB4877" t="s">
        <v>30673</v>
      </c>
      <c r="AC4877">
        <v>8168866</v>
      </c>
      <c r="AD4877" t="s">
        <v>40878</v>
      </c>
      <c r="AE4877">
        <v>4</v>
      </c>
      <c r="AF4877" t="s">
        <v>45547</v>
      </c>
      <c r="AG4877" t="s">
        <v>45556</v>
      </c>
      <c r="AH4877">
        <v>2</v>
      </c>
      <c r="AI4877">
        <v>1</v>
      </c>
      <c r="AJ4877">
        <v>4</v>
      </c>
      <c r="AK4877">
        <v>25.29</v>
      </c>
      <c r="AN4877" t="s">
        <v>7439</v>
      </c>
      <c r="AO4877">
        <v>7440</v>
      </c>
      <c r="AU4877">
        <v>3.1</v>
      </c>
      <c r="AV4877" t="s">
        <v>732</v>
      </c>
      <c r="AW4877" t="s">
        <v>46842</v>
      </c>
    </row>
    <row r="4878" spans="1:50">
      <c r="A4878" s="1">
        <f>HYPERLINK("https://lsnyc.legalserver.org/matter/dynamic-profile/view/1887860","19-1887860")</f>
        <v>0</v>
      </c>
      <c r="B4878" t="s">
        <v>270</v>
      </c>
      <c r="C4878" t="s">
        <v>341</v>
      </c>
      <c r="D4878" t="s">
        <v>573</v>
      </c>
      <c r="E4878" t="s">
        <v>694</v>
      </c>
      <c r="F4878" t="s">
        <v>1025</v>
      </c>
      <c r="G4878" t="s">
        <v>7459</v>
      </c>
      <c r="H4878" t="s">
        <v>12570</v>
      </c>
      <c r="I4878" t="s">
        <v>17333</v>
      </c>
      <c r="J4878" t="s">
        <v>18892</v>
      </c>
      <c r="K4878">
        <v>10453</v>
      </c>
      <c r="L4878" t="s">
        <v>18958</v>
      </c>
      <c r="M4878" t="s">
        <v>18958</v>
      </c>
      <c r="N4878" t="s">
        <v>22603</v>
      </c>
      <c r="O4878" t="s">
        <v>26523</v>
      </c>
      <c r="P4878" t="s">
        <v>26564</v>
      </c>
      <c r="Q4878" t="s">
        <v>26570</v>
      </c>
      <c r="R4878" t="s">
        <v>26577</v>
      </c>
      <c r="S4878" t="s">
        <v>18959</v>
      </c>
      <c r="U4878" t="s">
        <v>26604</v>
      </c>
      <c r="V4878" t="s">
        <v>26611</v>
      </c>
      <c r="W4878" t="s">
        <v>732</v>
      </c>
      <c r="X4878">
        <v>617.4400000000001</v>
      </c>
      <c r="Y4878" t="s">
        <v>26650</v>
      </c>
      <c r="Z4878" t="s">
        <v>26668</v>
      </c>
      <c r="AA4878" t="s">
        <v>26683</v>
      </c>
      <c r="AB4878" t="s">
        <v>30674</v>
      </c>
      <c r="AD4878" t="s">
        <v>40879</v>
      </c>
      <c r="AE4878">
        <v>111</v>
      </c>
      <c r="AF4878" t="s">
        <v>45541</v>
      </c>
      <c r="AG4878" t="s">
        <v>19330</v>
      </c>
      <c r="AH4878">
        <v>30</v>
      </c>
      <c r="AI4878">
        <v>1</v>
      </c>
      <c r="AJ4878">
        <v>0</v>
      </c>
      <c r="AK4878">
        <v>0</v>
      </c>
      <c r="AN4878" t="s">
        <v>7439</v>
      </c>
      <c r="AO4878">
        <v>0</v>
      </c>
      <c r="AT4878" t="s">
        <v>46577</v>
      </c>
      <c r="AU4878">
        <v>6.2</v>
      </c>
      <c r="AV4878" t="s">
        <v>694</v>
      </c>
      <c r="AW4878" t="s">
        <v>46832</v>
      </c>
    </row>
    <row r="4879" spans="1:50">
      <c r="A4879" s="1">
        <f>HYPERLINK("https://lsnyc.legalserver.org/matter/dynamic-profile/view/1888122","19-1888122")</f>
        <v>0</v>
      </c>
      <c r="B4879" t="s">
        <v>253</v>
      </c>
      <c r="C4879" t="s">
        <v>340</v>
      </c>
      <c r="D4879" t="s">
        <v>685</v>
      </c>
      <c r="F4879" t="s">
        <v>887</v>
      </c>
      <c r="G4879" t="s">
        <v>5673</v>
      </c>
      <c r="H4879" t="s">
        <v>13311</v>
      </c>
      <c r="I4879" t="s">
        <v>17274</v>
      </c>
      <c r="J4879" t="s">
        <v>18892</v>
      </c>
      <c r="K4879">
        <v>10462</v>
      </c>
      <c r="L4879" t="s">
        <v>18958</v>
      </c>
      <c r="M4879" t="s">
        <v>18958</v>
      </c>
      <c r="N4879" t="s">
        <v>22604</v>
      </c>
      <c r="O4879" t="s">
        <v>26524</v>
      </c>
      <c r="P4879" t="s">
        <v>26564</v>
      </c>
      <c r="R4879" t="s">
        <v>26579</v>
      </c>
      <c r="U4879" t="s">
        <v>26604</v>
      </c>
      <c r="V4879" t="s">
        <v>26610</v>
      </c>
      <c r="W4879" t="s">
        <v>732</v>
      </c>
      <c r="X4879">
        <v>1000</v>
      </c>
      <c r="Y4879" t="s">
        <v>26650</v>
      </c>
      <c r="Z4879" t="s">
        <v>26668</v>
      </c>
      <c r="AB4879" t="s">
        <v>30675</v>
      </c>
      <c r="AD4879" t="s">
        <v>40880</v>
      </c>
      <c r="AE4879">
        <v>20</v>
      </c>
      <c r="AF4879" t="s">
        <v>45541</v>
      </c>
      <c r="AG4879" t="s">
        <v>19330</v>
      </c>
      <c r="AH4879">
        <v>10</v>
      </c>
      <c r="AI4879">
        <v>1</v>
      </c>
      <c r="AJ4879">
        <v>2</v>
      </c>
      <c r="AK4879">
        <v>245.43</v>
      </c>
      <c r="AN4879" t="s">
        <v>7439</v>
      </c>
      <c r="AO4879">
        <v>51000</v>
      </c>
      <c r="AP4879" t="s">
        <v>45828</v>
      </c>
      <c r="AU4879">
        <v>3.7</v>
      </c>
      <c r="AV4879" t="s">
        <v>574</v>
      </c>
      <c r="AW4879" t="s">
        <v>46842</v>
      </c>
    </row>
    <row r="4880" spans="1:50">
      <c r="A4880" s="1">
        <f>HYPERLINK("https://lsnyc.legalserver.org/matter/dynamic-profile/view/1888570","19-1888570")</f>
        <v>0</v>
      </c>
      <c r="B4880" t="s">
        <v>130</v>
      </c>
      <c r="C4880" t="s">
        <v>341</v>
      </c>
      <c r="D4880" t="s">
        <v>707</v>
      </c>
      <c r="E4880" t="s">
        <v>710</v>
      </c>
      <c r="F4880" t="s">
        <v>3211</v>
      </c>
      <c r="G4880" t="s">
        <v>5269</v>
      </c>
      <c r="H4880" t="s">
        <v>10622</v>
      </c>
      <c r="I4880" t="s">
        <v>17421</v>
      </c>
      <c r="J4880" t="s">
        <v>7026</v>
      </c>
      <c r="K4880">
        <v>11368</v>
      </c>
      <c r="L4880" t="s">
        <v>18958</v>
      </c>
      <c r="M4880" t="s">
        <v>18958</v>
      </c>
      <c r="N4880" t="s">
        <v>22605</v>
      </c>
      <c r="O4880" t="s">
        <v>26523</v>
      </c>
      <c r="P4880" t="s">
        <v>26564</v>
      </c>
      <c r="Q4880" t="s">
        <v>26570</v>
      </c>
      <c r="R4880" t="s">
        <v>26584</v>
      </c>
      <c r="S4880" t="s">
        <v>18959</v>
      </c>
      <c r="U4880" t="s">
        <v>26604</v>
      </c>
      <c r="V4880" t="s">
        <v>26612</v>
      </c>
      <c r="W4880" t="s">
        <v>732</v>
      </c>
      <c r="X4880">
        <v>1768</v>
      </c>
      <c r="Y4880" t="s">
        <v>26653</v>
      </c>
      <c r="Z4880" t="s">
        <v>26664</v>
      </c>
      <c r="AA4880" t="s">
        <v>26683</v>
      </c>
      <c r="AB4880" t="s">
        <v>30676</v>
      </c>
      <c r="AC4880" t="s">
        <v>35871</v>
      </c>
      <c r="AD4880" t="s">
        <v>40881</v>
      </c>
      <c r="AE4880">
        <v>233</v>
      </c>
      <c r="AF4880" t="s">
        <v>45541</v>
      </c>
      <c r="AG4880" t="s">
        <v>19330</v>
      </c>
      <c r="AH4880">
        <v>26</v>
      </c>
      <c r="AI4880">
        <v>1</v>
      </c>
      <c r="AJ4880">
        <v>0</v>
      </c>
      <c r="AK4880">
        <v>18.73</v>
      </c>
      <c r="AN4880" t="s">
        <v>7439</v>
      </c>
      <c r="AO4880">
        <v>2340</v>
      </c>
      <c r="AU4880">
        <v>1</v>
      </c>
      <c r="AV4880" t="s">
        <v>659</v>
      </c>
      <c r="AW4880" t="s">
        <v>208</v>
      </c>
    </row>
    <row r="4881" spans="1:50">
      <c r="A4881" s="1">
        <f>HYPERLINK("https://lsnyc.legalserver.org/matter/dynamic-profile/view/1888592","19-1888592")</f>
        <v>0</v>
      </c>
      <c r="B4881" t="s">
        <v>130</v>
      </c>
      <c r="C4881" t="s">
        <v>341</v>
      </c>
      <c r="D4881" t="s">
        <v>707</v>
      </c>
      <c r="E4881" t="s">
        <v>710</v>
      </c>
      <c r="F4881" t="s">
        <v>3212</v>
      </c>
      <c r="G4881" t="s">
        <v>7460</v>
      </c>
      <c r="H4881" t="s">
        <v>13312</v>
      </c>
      <c r="I4881" t="s">
        <v>17833</v>
      </c>
      <c r="J4881" t="s">
        <v>18915</v>
      </c>
      <c r="K4881">
        <v>11372</v>
      </c>
      <c r="L4881" t="s">
        <v>18958</v>
      </c>
      <c r="M4881" t="s">
        <v>18958</v>
      </c>
      <c r="N4881" t="s">
        <v>22606</v>
      </c>
      <c r="O4881" t="s">
        <v>26524</v>
      </c>
      <c r="P4881" t="s">
        <v>26564</v>
      </c>
      <c r="Q4881" t="s">
        <v>26570</v>
      </c>
      <c r="R4881" t="s">
        <v>26584</v>
      </c>
      <c r="S4881" t="s">
        <v>18959</v>
      </c>
      <c r="U4881" t="s">
        <v>26604</v>
      </c>
      <c r="V4881" t="s">
        <v>26610</v>
      </c>
      <c r="W4881" t="s">
        <v>732</v>
      </c>
      <c r="X4881">
        <v>0</v>
      </c>
      <c r="Y4881" t="s">
        <v>26653</v>
      </c>
      <c r="Z4881" t="s">
        <v>26664</v>
      </c>
      <c r="AA4881" t="s">
        <v>26683</v>
      </c>
      <c r="AB4881" t="s">
        <v>30677</v>
      </c>
      <c r="AD4881" t="s">
        <v>40882</v>
      </c>
      <c r="AE4881">
        <v>120</v>
      </c>
      <c r="AF4881" t="s">
        <v>45553</v>
      </c>
      <c r="AG4881" t="s">
        <v>19330</v>
      </c>
      <c r="AH4881">
        <v>7</v>
      </c>
      <c r="AI4881">
        <v>1</v>
      </c>
      <c r="AJ4881">
        <v>0</v>
      </c>
      <c r="AK4881">
        <v>67.45</v>
      </c>
      <c r="AN4881" t="s">
        <v>7439</v>
      </c>
      <c r="AO4881">
        <v>8424</v>
      </c>
      <c r="AU4881">
        <v>0.75</v>
      </c>
      <c r="AV4881" t="s">
        <v>732</v>
      </c>
      <c r="AW4881" t="s">
        <v>161</v>
      </c>
    </row>
    <row r="4882" spans="1:50">
      <c r="A4882" s="1">
        <f>HYPERLINK("https://lsnyc.legalserver.org/matter/dynamic-profile/view/1888809","19-1888809")</f>
        <v>0</v>
      </c>
      <c r="B4882" t="s">
        <v>128</v>
      </c>
      <c r="C4882" t="s">
        <v>341</v>
      </c>
      <c r="D4882" t="s">
        <v>698</v>
      </c>
      <c r="E4882" t="s">
        <v>732</v>
      </c>
      <c r="F4882" t="s">
        <v>871</v>
      </c>
      <c r="G4882" t="s">
        <v>1627</v>
      </c>
      <c r="H4882" t="s">
        <v>13313</v>
      </c>
      <c r="I4882" t="s">
        <v>17374</v>
      </c>
      <c r="J4882" t="s">
        <v>18894</v>
      </c>
      <c r="K4882">
        <v>11208</v>
      </c>
      <c r="L4882" t="s">
        <v>18958</v>
      </c>
      <c r="M4882" t="s">
        <v>18958</v>
      </c>
      <c r="N4882" t="s">
        <v>22607</v>
      </c>
      <c r="O4882" t="s">
        <v>26524</v>
      </c>
      <c r="P4882" t="s">
        <v>26564</v>
      </c>
      <c r="Q4882" t="s">
        <v>26570</v>
      </c>
      <c r="R4882" t="s">
        <v>26578</v>
      </c>
      <c r="S4882" t="s">
        <v>18959</v>
      </c>
      <c r="U4882" t="s">
        <v>26604</v>
      </c>
      <c r="V4882" t="s">
        <v>26612</v>
      </c>
      <c r="W4882" t="s">
        <v>732</v>
      </c>
      <c r="X4882">
        <v>200</v>
      </c>
      <c r="Y4882" t="s">
        <v>26652</v>
      </c>
      <c r="Z4882" t="s">
        <v>26664</v>
      </c>
      <c r="AA4882" t="s">
        <v>26683</v>
      </c>
      <c r="AB4882" t="s">
        <v>30678</v>
      </c>
      <c r="AD4882" t="s">
        <v>40883</v>
      </c>
      <c r="AE4882">
        <v>3</v>
      </c>
      <c r="AF4882" t="s">
        <v>45547</v>
      </c>
      <c r="AG4882" t="s">
        <v>19330</v>
      </c>
      <c r="AH4882">
        <v>4</v>
      </c>
      <c r="AI4882">
        <v>1</v>
      </c>
      <c r="AJ4882">
        <v>0</v>
      </c>
      <c r="AK4882">
        <v>88.06999999999999</v>
      </c>
      <c r="AN4882" t="s">
        <v>45581</v>
      </c>
      <c r="AO4882">
        <v>11000</v>
      </c>
      <c r="AU4882">
        <v>0.5</v>
      </c>
      <c r="AV4882" t="s">
        <v>732</v>
      </c>
      <c r="AW4882" t="s">
        <v>46853</v>
      </c>
    </row>
    <row r="4883" spans="1:50">
      <c r="A4883" s="1">
        <f>HYPERLINK("https://lsnyc.legalserver.org/matter/dynamic-profile/view/1888879","19-1888879")</f>
        <v>0</v>
      </c>
      <c r="B4883" t="s">
        <v>277</v>
      </c>
      <c r="C4883" t="s">
        <v>341</v>
      </c>
      <c r="D4883" t="s">
        <v>732</v>
      </c>
      <c r="E4883" t="s">
        <v>775</v>
      </c>
      <c r="F4883" t="s">
        <v>1087</v>
      </c>
      <c r="G4883" t="s">
        <v>7461</v>
      </c>
      <c r="H4883" t="s">
        <v>13314</v>
      </c>
      <c r="I4883" t="s">
        <v>17331</v>
      </c>
      <c r="J4883" t="s">
        <v>18943</v>
      </c>
      <c r="K4883">
        <v>11414</v>
      </c>
      <c r="L4883" t="s">
        <v>18958</v>
      </c>
      <c r="M4883" t="s">
        <v>18958</v>
      </c>
      <c r="N4883" t="s">
        <v>22608</v>
      </c>
      <c r="O4883" t="s">
        <v>26524</v>
      </c>
      <c r="P4883" t="s">
        <v>26564</v>
      </c>
      <c r="Q4883" t="s">
        <v>26570</v>
      </c>
      <c r="R4883" t="s">
        <v>26584</v>
      </c>
      <c r="U4883" t="s">
        <v>26604</v>
      </c>
      <c r="V4883" t="s">
        <v>26610</v>
      </c>
      <c r="W4883" t="s">
        <v>732</v>
      </c>
      <c r="X4883">
        <v>700</v>
      </c>
      <c r="Y4883" t="s">
        <v>26653</v>
      </c>
      <c r="Z4883" t="s">
        <v>26664</v>
      </c>
      <c r="AA4883" t="s">
        <v>26683</v>
      </c>
      <c r="AB4883" t="s">
        <v>30679</v>
      </c>
      <c r="AD4883" t="s">
        <v>40884</v>
      </c>
      <c r="AE4883">
        <v>4</v>
      </c>
      <c r="AF4883" t="s">
        <v>45553</v>
      </c>
      <c r="AG4883" t="s">
        <v>19330</v>
      </c>
      <c r="AH4883">
        <v>17</v>
      </c>
      <c r="AI4883">
        <v>2</v>
      </c>
      <c r="AJ4883">
        <v>2</v>
      </c>
      <c r="AK4883">
        <v>100.97</v>
      </c>
      <c r="AO4883">
        <v>26000</v>
      </c>
      <c r="AU4883">
        <v>1.06</v>
      </c>
      <c r="AV4883" t="s">
        <v>775</v>
      </c>
      <c r="AW4883" t="s">
        <v>122</v>
      </c>
    </row>
    <row r="4884" spans="1:50">
      <c r="A4884" s="1">
        <f>HYPERLINK("https://lsnyc.legalserver.org/matter/dynamic-profile/view/1888842","19-1888842")</f>
        <v>0</v>
      </c>
      <c r="B4884" t="s">
        <v>71</v>
      </c>
      <c r="C4884" t="s">
        <v>341</v>
      </c>
      <c r="D4884" t="s">
        <v>732</v>
      </c>
      <c r="E4884" t="s">
        <v>805</v>
      </c>
      <c r="F4884" t="s">
        <v>2795</v>
      </c>
      <c r="G4884" t="s">
        <v>5078</v>
      </c>
      <c r="H4884" t="s">
        <v>13315</v>
      </c>
      <c r="I4884" t="s">
        <v>17283</v>
      </c>
      <c r="J4884" t="s">
        <v>18892</v>
      </c>
      <c r="K4884">
        <v>10457</v>
      </c>
      <c r="L4884" t="s">
        <v>18958</v>
      </c>
      <c r="M4884" t="s">
        <v>18958</v>
      </c>
      <c r="N4884" t="s">
        <v>22609</v>
      </c>
      <c r="O4884" t="s">
        <v>26523</v>
      </c>
      <c r="P4884" t="s">
        <v>26560</v>
      </c>
      <c r="Q4884" t="s">
        <v>26568</v>
      </c>
      <c r="R4884" t="s">
        <v>26579</v>
      </c>
      <c r="S4884" t="s">
        <v>18959</v>
      </c>
      <c r="U4884" t="s">
        <v>26604</v>
      </c>
      <c r="V4884" t="s">
        <v>26610</v>
      </c>
      <c r="W4884" t="s">
        <v>732</v>
      </c>
      <c r="X4884">
        <v>689</v>
      </c>
      <c r="Y4884" t="s">
        <v>26650</v>
      </c>
      <c r="Z4884" t="s">
        <v>26664</v>
      </c>
      <c r="AA4884" t="s">
        <v>26678</v>
      </c>
      <c r="AB4884" t="s">
        <v>30680</v>
      </c>
      <c r="AC4884" t="s">
        <v>35872</v>
      </c>
      <c r="AD4884" t="s">
        <v>40885</v>
      </c>
      <c r="AE4884">
        <v>12</v>
      </c>
      <c r="AF4884" t="s">
        <v>45551</v>
      </c>
      <c r="AG4884" t="s">
        <v>19330</v>
      </c>
      <c r="AH4884">
        <v>6</v>
      </c>
      <c r="AI4884">
        <v>1</v>
      </c>
      <c r="AJ4884">
        <v>0</v>
      </c>
      <c r="AK4884">
        <v>160.13</v>
      </c>
      <c r="AN4884" t="s">
        <v>7439</v>
      </c>
      <c r="AO4884">
        <v>20000</v>
      </c>
      <c r="AR4884" t="s">
        <v>46380</v>
      </c>
      <c r="AS4884" t="s">
        <v>46499</v>
      </c>
      <c r="AT4884" t="s">
        <v>46746</v>
      </c>
      <c r="AU4884">
        <v>8.800000000000001</v>
      </c>
      <c r="AV4884" t="s">
        <v>805</v>
      </c>
      <c r="AW4884" t="s">
        <v>334</v>
      </c>
    </row>
    <row r="4885" spans="1:50">
      <c r="A4885" s="1">
        <f>HYPERLINK("https://lsnyc.legalserver.org/matter/dynamic-profile/view/1888850","19-1888850")</f>
        <v>0</v>
      </c>
      <c r="B4885" t="s">
        <v>270</v>
      </c>
      <c r="C4885" t="s">
        <v>341</v>
      </c>
      <c r="D4885" t="s">
        <v>732</v>
      </c>
      <c r="E4885" t="s">
        <v>765</v>
      </c>
      <c r="F4885" t="s">
        <v>1228</v>
      </c>
      <c r="G4885" t="s">
        <v>1725</v>
      </c>
      <c r="H4885" t="s">
        <v>13165</v>
      </c>
      <c r="I4885" t="s">
        <v>17306</v>
      </c>
      <c r="J4885" t="s">
        <v>18892</v>
      </c>
      <c r="K4885">
        <v>10467</v>
      </c>
      <c r="L4885" t="s">
        <v>18958</v>
      </c>
      <c r="M4885" t="s">
        <v>18958</v>
      </c>
      <c r="N4885" t="s">
        <v>22610</v>
      </c>
      <c r="O4885" t="s">
        <v>26523</v>
      </c>
      <c r="P4885" t="s">
        <v>26560</v>
      </c>
      <c r="Q4885" t="s">
        <v>26568</v>
      </c>
      <c r="R4885" t="s">
        <v>26579</v>
      </c>
      <c r="S4885" t="s">
        <v>18959</v>
      </c>
      <c r="U4885" t="s">
        <v>26604</v>
      </c>
      <c r="V4885" t="s">
        <v>26610</v>
      </c>
      <c r="W4885" t="s">
        <v>732</v>
      </c>
      <c r="X4885">
        <v>1300</v>
      </c>
      <c r="Y4885" t="s">
        <v>26650</v>
      </c>
      <c r="Z4885" t="s">
        <v>26668</v>
      </c>
      <c r="AA4885" t="s">
        <v>26677</v>
      </c>
      <c r="AB4885" t="s">
        <v>30681</v>
      </c>
      <c r="AE4885">
        <v>36</v>
      </c>
      <c r="AF4885" t="s">
        <v>45549</v>
      </c>
      <c r="AG4885" t="s">
        <v>45556</v>
      </c>
      <c r="AH4885">
        <v>3</v>
      </c>
      <c r="AI4885">
        <v>1</v>
      </c>
      <c r="AJ4885">
        <v>0</v>
      </c>
      <c r="AK4885">
        <v>132.68</v>
      </c>
      <c r="AN4885" t="s">
        <v>7439</v>
      </c>
      <c r="AO4885">
        <v>16572</v>
      </c>
      <c r="AR4885" t="s">
        <v>46381</v>
      </c>
      <c r="AS4885" t="s">
        <v>46499</v>
      </c>
      <c r="AT4885" t="s">
        <v>46734</v>
      </c>
      <c r="AU4885">
        <v>18.8</v>
      </c>
      <c r="AV4885" t="s">
        <v>762</v>
      </c>
      <c r="AW4885" t="s">
        <v>46847</v>
      </c>
    </row>
    <row r="4886" spans="1:50">
      <c r="A4886" s="1">
        <f>HYPERLINK("https://lsnyc.legalserver.org/matter/dynamic-profile/view/1888896","19-1888896")</f>
        <v>0</v>
      </c>
      <c r="B4886" t="s">
        <v>261</v>
      </c>
      <c r="C4886" t="s">
        <v>341</v>
      </c>
      <c r="D4886" t="s">
        <v>732</v>
      </c>
      <c r="E4886" t="s">
        <v>710</v>
      </c>
      <c r="F4886" t="s">
        <v>1143</v>
      </c>
      <c r="G4886" t="s">
        <v>7462</v>
      </c>
      <c r="H4886" t="s">
        <v>13316</v>
      </c>
      <c r="J4886" t="s">
        <v>18892</v>
      </c>
      <c r="K4886">
        <v>10463</v>
      </c>
      <c r="L4886" t="s">
        <v>18958</v>
      </c>
      <c r="M4886" t="s">
        <v>18958</v>
      </c>
      <c r="N4886" t="s">
        <v>22611</v>
      </c>
      <c r="O4886" t="s">
        <v>26529</v>
      </c>
      <c r="P4886" t="s">
        <v>26564</v>
      </c>
      <c r="Q4886" t="s">
        <v>26570</v>
      </c>
      <c r="R4886" t="s">
        <v>26578</v>
      </c>
      <c r="S4886" t="s">
        <v>18959</v>
      </c>
      <c r="U4886" t="s">
        <v>26604</v>
      </c>
      <c r="V4886" t="s">
        <v>26610</v>
      </c>
      <c r="W4886" t="s">
        <v>732</v>
      </c>
      <c r="X4886">
        <v>0</v>
      </c>
      <c r="Y4886" t="s">
        <v>26650</v>
      </c>
      <c r="Z4886" t="s">
        <v>26670</v>
      </c>
      <c r="AA4886" t="s">
        <v>26683</v>
      </c>
      <c r="AB4886" t="s">
        <v>30682</v>
      </c>
      <c r="AC4886" t="s">
        <v>19330</v>
      </c>
      <c r="AD4886" t="s">
        <v>40886</v>
      </c>
      <c r="AE4886">
        <v>0</v>
      </c>
      <c r="AF4886" t="s">
        <v>20460</v>
      </c>
      <c r="AG4886" t="s">
        <v>45559</v>
      </c>
      <c r="AH4886">
        <v>0</v>
      </c>
      <c r="AI4886">
        <v>1</v>
      </c>
      <c r="AJ4886">
        <v>0</v>
      </c>
      <c r="AK4886">
        <v>187.16</v>
      </c>
      <c r="AN4886" t="s">
        <v>7439</v>
      </c>
      <c r="AO4886">
        <v>23376</v>
      </c>
      <c r="AU4886">
        <v>2.05</v>
      </c>
      <c r="AV4886" t="s">
        <v>710</v>
      </c>
      <c r="AW4886" t="s">
        <v>261</v>
      </c>
    </row>
    <row r="4887" spans="1:50">
      <c r="A4887" s="1">
        <f>HYPERLINK("https://lsnyc.legalserver.org/matter/dynamic-profile/view/1888846","19-1888846")</f>
        <v>0</v>
      </c>
      <c r="B4887" t="s">
        <v>133</v>
      </c>
      <c r="C4887" t="s">
        <v>340</v>
      </c>
      <c r="D4887" t="s">
        <v>732</v>
      </c>
      <c r="F4887" t="s">
        <v>3213</v>
      </c>
      <c r="G4887" t="s">
        <v>7463</v>
      </c>
      <c r="H4887" t="s">
        <v>13317</v>
      </c>
      <c r="I4887" t="s">
        <v>17306</v>
      </c>
      <c r="J4887" t="s">
        <v>18892</v>
      </c>
      <c r="K4887">
        <v>10469</v>
      </c>
      <c r="L4887" t="s">
        <v>18958</v>
      </c>
      <c r="M4887" t="s">
        <v>18958</v>
      </c>
      <c r="N4887" t="s">
        <v>22612</v>
      </c>
      <c r="O4887" t="s">
        <v>26523</v>
      </c>
      <c r="P4887" t="s">
        <v>26564</v>
      </c>
      <c r="R4887" t="s">
        <v>26577</v>
      </c>
      <c r="S4887" t="s">
        <v>18959</v>
      </c>
      <c r="U4887" t="s">
        <v>26604</v>
      </c>
      <c r="V4887" t="s">
        <v>26610</v>
      </c>
      <c r="W4887" t="s">
        <v>732</v>
      </c>
      <c r="X4887">
        <v>1750</v>
      </c>
      <c r="Y4887" t="s">
        <v>26650</v>
      </c>
      <c r="Z4887" t="s">
        <v>26664</v>
      </c>
      <c r="AB4887" t="s">
        <v>30683</v>
      </c>
      <c r="AC4887" t="s">
        <v>35873</v>
      </c>
      <c r="AD4887" t="s">
        <v>40887</v>
      </c>
      <c r="AE4887">
        <v>0</v>
      </c>
      <c r="AF4887" t="s">
        <v>45541</v>
      </c>
      <c r="AG4887" t="s">
        <v>19330</v>
      </c>
      <c r="AH4887">
        <v>2</v>
      </c>
      <c r="AI4887">
        <v>2</v>
      </c>
      <c r="AJ4887">
        <v>3</v>
      </c>
      <c r="AK4887">
        <v>35</v>
      </c>
      <c r="AN4887" t="s">
        <v>7439</v>
      </c>
      <c r="AO4887">
        <v>10560</v>
      </c>
      <c r="AP4887" t="s">
        <v>45838</v>
      </c>
      <c r="AU4887">
        <v>1.3</v>
      </c>
      <c r="AV4887" t="s">
        <v>709</v>
      </c>
      <c r="AW4887" t="s">
        <v>334</v>
      </c>
      <c r="AX4887" t="s">
        <v>46897</v>
      </c>
    </row>
    <row r="4888" spans="1:50">
      <c r="A4888" s="1">
        <f>HYPERLINK("https://lsnyc.legalserver.org/matter/dynamic-profile/view/1888889","19-1888889")</f>
        <v>0</v>
      </c>
      <c r="B4888" t="s">
        <v>97</v>
      </c>
      <c r="C4888" t="s">
        <v>340</v>
      </c>
      <c r="D4888" t="s">
        <v>732</v>
      </c>
      <c r="F4888" t="s">
        <v>903</v>
      </c>
      <c r="G4888" t="s">
        <v>5241</v>
      </c>
      <c r="H4888" t="s">
        <v>10144</v>
      </c>
      <c r="I4888">
        <v>1</v>
      </c>
      <c r="J4888" t="s">
        <v>18892</v>
      </c>
      <c r="K4888">
        <v>10459</v>
      </c>
      <c r="L4888" t="s">
        <v>18958</v>
      </c>
      <c r="M4888" t="s">
        <v>18958</v>
      </c>
      <c r="N4888" t="s">
        <v>22613</v>
      </c>
      <c r="O4888" t="s">
        <v>26524</v>
      </c>
      <c r="P4888" t="s">
        <v>26564</v>
      </c>
      <c r="R4888" t="s">
        <v>26577</v>
      </c>
      <c r="U4888" t="s">
        <v>26604</v>
      </c>
      <c r="V4888" t="s">
        <v>26610</v>
      </c>
      <c r="W4888" t="s">
        <v>732</v>
      </c>
      <c r="X4888">
        <v>1600</v>
      </c>
      <c r="Y4888" t="s">
        <v>26650</v>
      </c>
      <c r="Z4888" t="s">
        <v>26664</v>
      </c>
      <c r="AB4888" t="s">
        <v>30684</v>
      </c>
      <c r="AD4888" t="s">
        <v>37311</v>
      </c>
      <c r="AE4888">
        <v>0</v>
      </c>
      <c r="AG4888" t="s">
        <v>45557</v>
      </c>
      <c r="AH4888">
        <v>0</v>
      </c>
      <c r="AI4888">
        <v>1</v>
      </c>
      <c r="AJ4888">
        <v>1</v>
      </c>
      <c r="AK4888">
        <v>66.42</v>
      </c>
      <c r="AN4888" t="s">
        <v>7439</v>
      </c>
      <c r="AO4888">
        <v>11232</v>
      </c>
      <c r="AP4888" t="s">
        <v>45654</v>
      </c>
      <c r="AU4888">
        <v>3.95</v>
      </c>
      <c r="AV4888" t="s">
        <v>745</v>
      </c>
      <c r="AW4888" t="s">
        <v>334</v>
      </c>
    </row>
    <row r="4889" spans="1:50">
      <c r="A4889" s="1">
        <f>HYPERLINK("https://lsnyc.legalserver.org/matter/dynamic-profile/view/1888864","19-1888864")</f>
        <v>0</v>
      </c>
      <c r="B4889" t="s">
        <v>97</v>
      </c>
      <c r="C4889" t="s">
        <v>340</v>
      </c>
      <c r="D4889" t="s">
        <v>732</v>
      </c>
      <c r="F4889" t="s">
        <v>899</v>
      </c>
      <c r="G4889" t="s">
        <v>6592</v>
      </c>
      <c r="H4889" t="s">
        <v>9996</v>
      </c>
      <c r="I4889" t="s">
        <v>17509</v>
      </c>
      <c r="J4889" t="s">
        <v>18892</v>
      </c>
      <c r="K4889">
        <v>10457</v>
      </c>
      <c r="L4889" t="s">
        <v>18958</v>
      </c>
      <c r="M4889" t="s">
        <v>18958</v>
      </c>
      <c r="N4889" t="s">
        <v>22614</v>
      </c>
      <c r="O4889" t="s">
        <v>26523</v>
      </c>
      <c r="P4889" t="s">
        <v>26560</v>
      </c>
      <c r="R4889" t="s">
        <v>26579</v>
      </c>
      <c r="S4889" t="s">
        <v>18959</v>
      </c>
      <c r="U4889" t="s">
        <v>26604</v>
      </c>
      <c r="V4889" t="s">
        <v>26610</v>
      </c>
      <c r="W4889" t="s">
        <v>732</v>
      </c>
      <c r="X4889">
        <v>1047</v>
      </c>
      <c r="Y4889" t="s">
        <v>26650</v>
      </c>
      <c r="Z4889" t="s">
        <v>26668</v>
      </c>
      <c r="AB4889" t="s">
        <v>29083</v>
      </c>
      <c r="AC4889" t="s">
        <v>35874</v>
      </c>
      <c r="AD4889" t="s">
        <v>39136</v>
      </c>
      <c r="AE4889">
        <v>0</v>
      </c>
      <c r="AF4889" t="s">
        <v>45548</v>
      </c>
      <c r="AG4889" t="s">
        <v>19330</v>
      </c>
      <c r="AH4889">
        <v>4</v>
      </c>
      <c r="AI4889">
        <v>1</v>
      </c>
      <c r="AJ4889">
        <v>2</v>
      </c>
      <c r="AK4889">
        <v>28.28</v>
      </c>
      <c r="AN4889" t="s">
        <v>7439</v>
      </c>
      <c r="AO4889">
        <v>6032</v>
      </c>
      <c r="AU4889">
        <v>15.4</v>
      </c>
      <c r="AV4889" t="s">
        <v>720</v>
      </c>
      <c r="AW4889" t="s">
        <v>46847</v>
      </c>
    </row>
    <row r="4890" spans="1:50">
      <c r="A4890" s="1">
        <f>HYPERLINK("https://lsnyc.legalserver.org/matter/dynamic-profile/view/1888872","19-1888872")</f>
        <v>0</v>
      </c>
      <c r="B4890" t="s">
        <v>97</v>
      </c>
      <c r="C4890" t="s">
        <v>340</v>
      </c>
      <c r="D4890" t="s">
        <v>732</v>
      </c>
      <c r="F4890" t="s">
        <v>3214</v>
      </c>
      <c r="G4890" t="s">
        <v>5392</v>
      </c>
      <c r="H4890" t="s">
        <v>11364</v>
      </c>
      <c r="I4890" t="s">
        <v>17272</v>
      </c>
      <c r="J4890" t="s">
        <v>18892</v>
      </c>
      <c r="K4890">
        <v>10468</v>
      </c>
      <c r="L4890" t="s">
        <v>18958</v>
      </c>
      <c r="M4890" t="s">
        <v>18958</v>
      </c>
      <c r="N4890" t="s">
        <v>22615</v>
      </c>
      <c r="O4890" t="s">
        <v>26524</v>
      </c>
      <c r="P4890" t="s">
        <v>26560</v>
      </c>
      <c r="R4890" t="s">
        <v>26579</v>
      </c>
      <c r="U4890" t="s">
        <v>26604</v>
      </c>
      <c r="V4890" t="s">
        <v>26610</v>
      </c>
      <c r="W4890" t="s">
        <v>732</v>
      </c>
      <c r="X4890">
        <v>2197</v>
      </c>
      <c r="Y4890" t="s">
        <v>26650</v>
      </c>
      <c r="Z4890" t="s">
        <v>26664</v>
      </c>
      <c r="AB4890" t="s">
        <v>30685</v>
      </c>
      <c r="AC4890" t="s">
        <v>35875</v>
      </c>
      <c r="AD4890" t="s">
        <v>40888</v>
      </c>
      <c r="AE4890">
        <v>0</v>
      </c>
      <c r="AH4890">
        <v>2</v>
      </c>
      <c r="AI4890">
        <v>1</v>
      </c>
      <c r="AJ4890">
        <v>6</v>
      </c>
      <c r="AK4890">
        <v>41.99</v>
      </c>
      <c r="AO4890">
        <v>16380</v>
      </c>
      <c r="AU4890">
        <v>26</v>
      </c>
      <c r="AV4890" t="s">
        <v>809</v>
      </c>
      <c r="AW4890" t="s">
        <v>334</v>
      </c>
    </row>
    <row r="4891" spans="1:50">
      <c r="A4891" s="1">
        <f>HYPERLINK("https://lsnyc.legalserver.org/matter/dynamic-profile/view/1888851","19-1888851")</f>
        <v>0</v>
      </c>
      <c r="B4891" t="s">
        <v>138</v>
      </c>
      <c r="C4891" t="s">
        <v>340</v>
      </c>
      <c r="D4891" t="s">
        <v>732</v>
      </c>
      <c r="F4891" t="s">
        <v>3215</v>
      </c>
      <c r="G4891" t="s">
        <v>7464</v>
      </c>
      <c r="H4891" t="s">
        <v>13318</v>
      </c>
      <c r="I4891" t="s">
        <v>17306</v>
      </c>
      <c r="J4891" t="s">
        <v>18893</v>
      </c>
      <c r="K4891">
        <v>10128</v>
      </c>
      <c r="L4891" t="s">
        <v>18958</v>
      </c>
      <c r="M4891" t="s">
        <v>18958</v>
      </c>
      <c r="O4891" t="s">
        <v>26523</v>
      </c>
      <c r="P4891" t="s">
        <v>26563</v>
      </c>
      <c r="R4891" t="s">
        <v>26578</v>
      </c>
      <c r="S4891" t="s">
        <v>18959</v>
      </c>
      <c r="U4891" t="s">
        <v>26604</v>
      </c>
      <c r="V4891" t="s">
        <v>26610</v>
      </c>
      <c r="W4891" t="s">
        <v>732</v>
      </c>
      <c r="X4891">
        <v>1660.44</v>
      </c>
      <c r="Y4891" t="s">
        <v>26651</v>
      </c>
      <c r="Z4891" t="s">
        <v>26655</v>
      </c>
      <c r="AB4891" t="s">
        <v>30686</v>
      </c>
      <c r="AD4891" t="s">
        <v>40889</v>
      </c>
      <c r="AE4891">
        <v>19</v>
      </c>
      <c r="AF4891" t="s">
        <v>45541</v>
      </c>
      <c r="AG4891" t="s">
        <v>19330</v>
      </c>
      <c r="AH4891">
        <v>3</v>
      </c>
      <c r="AI4891">
        <v>1</v>
      </c>
      <c r="AJ4891">
        <v>0</v>
      </c>
      <c r="AK4891">
        <v>62.45</v>
      </c>
      <c r="AN4891" t="s">
        <v>7439</v>
      </c>
      <c r="AO4891">
        <v>7800</v>
      </c>
      <c r="AU4891">
        <v>17.2</v>
      </c>
      <c r="AV4891" t="s">
        <v>773</v>
      </c>
      <c r="AW4891" t="s">
        <v>46835</v>
      </c>
      <c r="AX4891" t="s">
        <v>46897</v>
      </c>
    </row>
    <row r="4892" spans="1:50">
      <c r="A4892" s="1">
        <f>HYPERLINK("https://lsnyc.legalserver.org/matter/dynamic-profile/view/1884676","18-1884676")</f>
        <v>0</v>
      </c>
      <c r="B4892" t="s">
        <v>109</v>
      </c>
      <c r="C4892" t="s">
        <v>340</v>
      </c>
      <c r="D4892" t="s">
        <v>732</v>
      </c>
      <c r="F4892" t="s">
        <v>1579</v>
      </c>
      <c r="G4892" t="s">
        <v>7465</v>
      </c>
      <c r="H4892" t="s">
        <v>13319</v>
      </c>
      <c r="I4892" t="s">
        <v>17355</v>
      </c>
      <c r="J4892" t="s">
        <v>18902</v>
      </c>
      <c r="K4892">
        <v>10304</v>
      </c>
      <c r="L4892" t="s">
        <v>18958</v>
      </c>
      <c r="M4892" t="s">
        <v>18958</v>
      </c>
      <c r="N4892" t="s">
        <v>22616</v>
      </c>
      <c r="O4892" t="s">
        <v>26523</v>
      </c>
      <c r="P4892" t="s">
        <v>26560</v>
      </c>
      <c r="R4892" t="s">
        <v>26578</v>
      </c>
      <c r="S4892" t="s">
        <v>18959</v>
      </c>
      <c r="U4892" t="s">
        <v>26606</v>
      </c>
      <c r="V4892" t="s">
        <v>26611</v>
      </c>
      <c r="W4892" t="s">
        <v>732</v>
      </c>
      <c r="X4892">
        <v>1300</v>
      </c>
      <c r="Y4892" t="s">
        <v>26654</v>
      </c>
      <c r="Z4892" t="s">
        <v>26668</v>
      </c>
      <c r="AB4892" t="s">
        <v>30687</v>
      </c>
      <c r="AD4892" t="s">
        <v>40890</v>
      </c>
      <c r="AE4892">
        <v>115</v>
      </c>
      <c r="AF4892" t="s">
        <v>45543</v>
      </c>
      <c r="AG4892" t="s">
        <v>45556</v>
      </c>
      <c r="AH4892">
        <v>18</v>
      </c>
      <c r="AI4892">
        <v>2</v>
      </c>
      <c r="AJ4892">
        <v>0</v>
      </c>
      <c r="AK4892">
        <v>46.29</v>
      </c>
      <c r="AN4892" t="s">
        <v>7439</v>
      </c>
      <c r="AO4892">
        <v>7620</v>
      </c>
      <c r="AU4892">
        <v>4.75</v>
      </c>
      <c r="AV4892" t="s">
        <v>695</v>
      </c>
      <c r="AW4892" t="s">
        <v>185</v>
      </c>
    </row>
    <row r="4893" spans="1:50">
      <c r="A4893" s="1">
        <f>HYPERLINK("https://lsnyc.legalserver.org/matter/dynamic-profile/view/1888888","19-1888888")</f>
        <v>0</v>
      </c>
      <c r="B4893" t="s">
        <v>204</v>
      </c>
      <c r="C4893" t="s">
        <v>340</v>
      </c>
      <c r="D4893" t="s">
        <v>732</v>
      </c>
      <c r="F4893" t="s">
        <v>1830</v>
      </c>
      <c r="G4893" t="s">
        <v>7466</v>
      </c>
      <c r="H4893" t="s">
        <v>13320</v>
      </c>
      <c r="I4893" t="s">
        <v>18164</v>
      </c>
      <c r="J4893" t="s">
        <v>18894</v>
      </c>
      <c r="K4893">
        <v>11225</v>
      </c>
      <c r="L4893" t="s">
        <v>18958</v>
      </c>
      <c r="M4893" t="s">
        <v>18960</v>
      </c>
      <c r="P4893" t="s">
        <v>26563</v>
      </c>
      <c r="R4893" t="s">
        <v>26586</v>
      </c>
      <c r="U4893" t="s">
        <v>26604</v>
      </c>
      <c r="W4893" t="s">
        <v>732</v>
      </c>
      <c r="X4893">
        <v>1400</v>
      </c>
      <c r="Y4893" t="s">
        <v>26652</v>
      </c>
      <c r="Z4893" t="s">
        <v>26659</v>
      </c>
      <c r="AB4893" t="s">
        <v>30688</v>
      </c>
      <c r="AD4893" t="s">
        <v>40891</v>
      </c>
      <c r="AE4893">
        <v>90</v>
      </c>
      <c r="AF4893" t="s">
        <v>45541</v>
      </c>
      <c r="AH4893">
        <v>14</v>
      </c>
      <c r="AI4893">
        <v>2</v>
      </c>
      <c r="AJ4893">
        <v>2</v>
      </c>
      <c r="AK4893">
        <v>43.42</v>
      </c>
      <c r="AN4893" t="s">
        <v>7439</v>
      </c>
      <c r="AO4893">
        <v>11180</v>
      </c>
      <c r="AU4893">
        <v>9.800000000000001</v>
      </c>
      <c r="AV4893" t="s">
        <v>816</v>
      </c>
      <c r="AW4893" t="s">
        <v>46856</v>
      </c>
      <c r="AX4893" t="s">
        <v>46897</v>
      </c>
    </row>
    <row r="4894" spans="1:50">
      <c r="A4894" s="1">
        <f>HYPERLINK("https://lsnyc.legalserver.org/matter/dynamic-profile/view/1888979","19-1888979")</f>
        <v>0</v>
      </c>
      <c r="B4894" t="s">
        <v>112</v>
      </c>
      <c r="C4894" t="s">
        <v>340</v>
      </c>
      <c r="D4894" t="s">
        <v>732</v>
      </c>
      <c r="F4894" t="s">
        <v>1368</v>
      </c>
      <c r="G4894" t="s">
        <v>7467</v>
      </c>
      <c r="H4894" t="s">
        <v>13321</v>
      </c>
      <c r="J4894" t="s">
        <v>18908</v>
      </c>
      <c r="K4894">
        <v>11411</v>
      </c>
      <c r="L4894" t="s">
        <v>18958</v>
      </c>
      <c r="M4894" t="s">
        <v>18958</v>
      </c>
      <c r="N4894" t="s">
        <v>22617</v>
      </c>
      <c r="O4894" t="s">
        <v>26524</v>
      </c>
      <c r="P4894" t="s">
        <v>26564</v>
      </c>
      <c r="R4894" t="s">
        <v>26584</v>
      </c>
      <c r="S4894" t="s">
        <v>18959</v>
      </c>
      <c r="U4894" t="s">
        <v>26604</v>
      </c>
      <c r="V4894" t="s">
        <v>26610</v>
      </c>
      <c r="W4894" t="s">
        <v>732</v>
      </c>
      <c r="X4894">
        <v>500</v>
      </c>
      <c r="Y4894" t="s">
        <v>26653</v>
      </c>
      <c r="Z4894" t="s">
        <v>26664</v>
      </c>
      <c r="AB4894" t="s">
        <v>30689</v>
      </c>
      <c r="AD4894" t="s">
        <v>40892</v>
      </c>
      <c r="AE4894">
        <v>1</v>
      </c>
      <c r="AF4894" t="s">
        <v>45547</v>
      </c>
      <c r="AG4894" t="s">
        <v>19330</v>
      </c>
      <c r="AH4894">
        <v>1</v>
      </c>
      <c r="AI4894">
        <v>2</v>
      </c>
      <c r="AJ4894">
        <v>0</v>
      </c>
      <c r="AK4894">
        <v>56.77</v>
      </c>
      <c r="AN4894" t="s">
        <v>45581</v>
      </c>
      <c r="AO4894">
        <v>9600</v>
      </c>
      <c r="AU4894">
        <v>1</v>
      </c>
      <c r="AV4894" t="s">
        <v>732</v>
      </c>
      <c r="AW4894" t="s">
        <v>161</v>
      </c>
    </row>
    <row r="4895" spans="1:50">
      <c r="A4895" s="1">
        <f>HYPERLINK("https://lsnyc.legalserver.org/matter/dynamic-profile/view/1888931","19-1888931")</f>
        <v>0</v>
      </c>
      <c r="B4895" t="s">
        <v>188</v>
      </c>
      <c r="C4895" t="s">
        <v>340</v>
      </c>
      <c r="D4895" t="s">
        <v>732</v>
      </c>
      <c r="F4895" t="s">
        <v>3216</v>
      </c>
      <c r="G4895" t="s">
        <v>3436</v>
      </c>
      <c r="H4895" t="s">
        <v>12681</v>
      </c>
      <c r="I4895" t="s">
        <v>18165</v>
      </c>
      <c r="J4895" t="s">
        <v>18892</v>
      </c>
      <c r="K4895">
        <v>10452</v>
      </c>
      <c r="L4895" t="s">
        <v>18958</v>
      </c>
      <c r="M4895" t="s">
        <v>18958</v>
      </c>
      <c r="N4895" t="s">
        <v>22618</v>
      </c>
      <c r="O4895" t="s">
        <v>26523</v>
      </c>
      <c r="P4895" t="s">
        <v>26560</v>
      </c>
      <c r="R4895" t="s">
        <v>26578</v>
      </c>
      <c r="S4895" t="s">
        <v>18959</v>
      </c>
      <c r="U4895" t="s">
        <v>26604</v>
      </c>
      <c r="W4895" t="s">
        <v>732</v>
      </c>
      <c r="X4895">
        <v>1078.15</v>
      </c>
      <c r="Y4895" t="s">
        <v>26650</v>
      </c>
      <c r="Z4895" t="s">
        <v>26663</v>
      </c>
      <c r="AB4895" t="s">
        <v>28013</v>
      </c>
      <c r="AD4895" t="s">
        <v>40893</v>
      </c>
      <c r="AE4895">
        <v>59</v>
      </c>
      <c r="AF4895" t="s">
        <v>45541</v>
      </c>
      <c r="AG4895" t="s">
        <v>19330</v>
      </c>
      <c r="AH4895">
        <v>30</v>
      </c>
      <c r="AI4895">
        <v>1</v>
      </c>
      <c r="AJ4895">
        <v>1</v>
      </c>
      <c r="AK4895">
        <v>71.59999999999999</v>
      </c>
      <c r="AN4895" t="s">
        <v>7439</v>
      </c>
      <c r="AO4895">
        <v>12108</v>
      </c>
      <c r="AU4895">
        <v>22.1</v>
      </c>
      <c r="AV4895" t="s">
        <v>835</v>
      </c>
      <c r="AW4895" t="s">
        <v>336</v>
      </c>
    </row>
    <row r="4896" spans="1:50">
      <c r="A4896" s="1">
        <f>HYPERLINK("https://lsnyc.legalserver.org/matter/dynamic-profile/view/1888898","19-1888898")</f>
        <v>0</v>
      </c>
      <c r="B4896" t="s">
        <v>87</v>
      </c>
      <c r="C4896" t="s">
        <v>340</v>
      </c>
      <c r="D4896" t="s">
        <v>732</v>
      </c>
      <c r="F4896" t="s">
        <v>3217</v>
      </c>
      <c r="G4896" t="s">
        <v>5112</v>
      </c>
      <c r="H4896" t="s">
        <v>13322</v>
      </c>
      <c r="I4896" t="s">
        <v>18166</v>
      </c>
      <c r="J4896" t="s">
        <v>18892</v>
      </c>
      <c r="K4896">
        <v>10467</v>
      </c>
      <c r="L4896" t="s">
        <v>18958</v>
      </c>
      <c r="M4896" t="s">
        <v>18958</v>
      </c>
      <c r="N4896" t="s">
        <v>22619</v>
      </c>
      <c r="O4896" t="s">
        <v>26523</v>
      </c>
      <c r="P4896" t="s">
        <v>26560</v>
      </c>
      <c r="R4896" t="s">
        <v>26579</v>
      </c>
      <c r="S4896" t="s">
        <v>18959</v>
      </c>
      <c r="U4896" t="s">
        <v>26604</v>
      </c>
      <c r="V4896" t="s">
        <v>26610</v>
      </c>
      <c r="W4896" t="s">
        <v>732</v>
      </c>
      <c r="X4896">
        <v>1200</v>
      </c>
      <c r="Y4896" t="s">
        <v>26650</v>
      </c>
      <c r="Z4896" t="s">
        <v>26668</v>
      </c>
      <c r="AB4896" t="s">
        <v>30690</v>
      </c>
      <c r="AD4896" t="s">
        <v>40894</v>
      </c>
      <c r="AE4896">
        <v>52</v>
      </c>
      <c r="AF4896" t="s">
        <v>45548</v>
      </c>
      <c r="AG4896" t="s">
        <v>19330</v>
      </c>
      <c r="AH4896">
        <v>12</v>
      </c>
      <c r="AI4896">
        <v>1</v>
      </c>
      <c r="AJ4896">
        <v>0</v>
      </c>
      <c r="AK4896">
        <v>0</v>
      </c>
      <c r="AN4896" t="s">
        <v>7439</v>
      </c>
      <c r="AO4896">
        <v>0</v>
      </c>
      <c r="AR4896" t="s">
        <v>46381</v>
      </c>
      <c r="AS4896" t="s">
        <v>46499</v>
      </c>
      <c r="AT4896" t="s">
        <v>46604</v>
      </c>
      <c r="AU4896">
        <v>20.5</v>
      </c>
      <c r="AV4896" t="s">
        <v>833</v>
      </c>
      <c r="AW4896" t="s">
        <v>46847</v>
      </c>
    </row>
    <row r="4897" spans="1:50">
      <c r="A4897" s="1">
        <f>HYPERLINK("https://lsnyc.legalserver.org/matter/dynamic-profile/view/1888910","19-1888910")</f>
        <v>0</v>
      </c>
      <c r="B4897" t="s">
        <v>240</v>
      </c>
      <c r="C4897" t="s">
        <v>340</v>
      </c>
      <c r="D4897" t="s">
        <v>732</v>
      </c>
      <c r="F4897" t="s">
        <v>3218</v>
      </c>
      <c r="G4897" t="s">
        <v>7468</v>
      </c>
      <c r="H4897" t="s">
        <v>13323</v>
      </c>
      <c r="I4897" t="s">
        <v>18167</v>
      </c>
      <c r="J4897" t="s">
        <v>18894</v>
      </c>
      <c r="K4897">
        <v>11226</v>
      </c>
      <c r="L4897" t="s">
        <v>18958</v>
      </c>
      <c r="M4897" t="s">
        <v>18958</v>
      </c>
      <c r="P4897" t="s">
        <v>26562</v>
      </c>
      <c r="R4897" t="s">
        <v>26578</v>
      </c>
      <c r="U4897" t="s">
        <v>26604</v>
      </c>
      <c r="W4897" t="s">
        <v>732</v>
      </c>
      <c r="X4897">
        <v>0</v>
      </c>
      <c r="Y4897" t="s">
        <v>26652</v>
      </c>
      <c r="AB4897" t="s">
        <v>30691</v>
      </c>
      <c r="AD4897" t="s">
        <v>40895</v>
      </c>
      <c r="AE4897">
        <v>0</v>
      </c>
      <c r="AF4897" t="s">
        <v>45541</v>
      </c>
      <c r="AH4897">
        <v>36</v>
      </c>
      <c r="AI4897">
        <v>1</v>
      </c>
      <c r="AJ4897">
        <v>0</v>
      </c>
      <c r="AK4897">
        <v>82.43000000000001</v>
      </c>
      <c r="AN4897" t="s">
        <v>7439</v>
      </c>
      <c r="AO4897">
        <v>10296</v>
      </c>
      <c r="AU4897">
        <v>33.75</v>
      </c>
      <c r="AV4897" t="s">
        <v>807</v>
      </c>
      <c r="AW4897" t="s">
        <v>198</v>
      </c>
    </row>
    <row r="4898" spans="1:50">
      <c r="A4898" s="1">
        <f>HYPERLINK("https://lsnyc.legalserver.org/matter/dynamic-profile/view/1888975","19-1888975")</f>
        <v>0</v>
      </c>
      <c r="B4898" t="s">
        <v>125</v>
      </c>
      <c r="C4898" t="s">
        <v>340</v>
      </c>
      <c r="D4898" t="s">
        <v>732</v>
      </c>
      <c r="F4898" t="s">
        <v>3209</v>
      </c>
      <c r="G4898" t="s">
        <v>7469</v>
      </c>
      <c r="H4898" t="s">
        <v>13324</v>
      </c>
      <c r="I4898">
        <v>1</v>
      </c>
      <c r="J4898" t="s">
        <v>18894</v>
      </c>
      <c r="K4898">
        <v>11233</v>
      </c>
      <c r="L4898" t="s">
        <v>18958</v>
      </c>
      <c r="M4898" t="s">
        <v>18960</v>
      </c>
      <c r="N4898" t="s">
        <v>22620</v>
      </c>
      <c r="O4898" t="s">
        <v>26524</v>
      </c>
      <c r="P4898" t="s">
        <v>26563</v>
      </c>
      <c r="R4898" t="s">
        <v>26578</v>
      </c>
      <c r="S4898" t="s">
        <v>18959</v>
      </c>
      <c r="U4898" t="s">
        <v>26604</v>
      </c>
      <c r="W4898" t="s">
        <v>732</v>
      </c>
      <c r="X4898">
        <v>230</v>
      </c>
      <c r="Y4898" t="s">
        <v>26652</v>
      </c>
      <c r="Z4898" t="s">
        <v>26660</v>
      </c>
      <c r="AB4898" t="s">
        <v>30692</v>
      </c>
      <c r="AC4898" t="s">
        <v>35870</v>
      </c>
      <c r="AD4898" t="s">
        <v>40896</v>
      </c>
      <c r="AE4898">
        <v>3</v>
      </c>
      <c r="AF4898" t="s">
        <v>45543</v>
      </c>
      <c r="AG4898" t="s">
        <v>45556</v>
      </c>
      <c r="AH4898">
        <v>4</v>
      </c>
      <c r="AI4898">
        <v>1</v>
      </c>
      <c r="AJ4898">
        <v>4</v>
      </c>
      <c r="AK4898">
        <v>52.17</v>
      </c>
      <c r="AN4898" t="s">
        <v>7439</v>
      </c>
      <c r="AO4898">
        <v>15740</v>
      </c>
      <c r="AU4898">
        <v>0</v>
      </c>
      <c r="AW4898" t="s">
        <v>46856</v>
      </c>
    </row>
    <row r="4899" spans="1:50">
      <c r="A4899" s="1">
        <f>HYPERLINK("https://lsnyc.legalserver.org/matter/dynamic-profile/view/1889007","19-1889007")</f>
        <v>0</v>
      </c>
      <c r="B4899" t="s">
        <v>117</v>
      </c>
      <c r="C4899" t="s">
        <v>340</v>
      </c>
      <c r="D4899" t="s">
        <v>709</v>
      </c>
      <c r="F4899" t="s">
        <v>3219</v>
      </c>
      <c r="G4899" t="s">
        <v>7470</v>
      </c>
      <c r="H4899" t="s">
        <v>13325</v>
      </c>
      <c r="I4899">
        <v>4</v>
      </c>
      <c r="J4899" t="s">
        <v>18894</v>
      </c>
      <c r="K4899">
        <v>11233</v>
      </c>
      <c r="L4899" t="s">
        <v>18958</v>
      </c>
      <c r="M4899" t="s">
        <v>18958</v>
      </c>
      <c r="N4899" t="s">
        <v>22621</v>
      </c>
      <c r="O4899" t="s">
        <v>26524</v>
      </c>
      <c r="P4899" t="s">
        <v>26563</v>
      </c>
      <c r="R4899" t="s">
        <v>26578</v>
      </c>
      <c r="S4899" t="s">
        <v>18959</v>
      </c>
      <c r="U4899" t="s">
        <v>26604</v>
      </c>
      <c r="W4899" t="s">
        <v>732</v>
      </c>
      <c r="X4899">
        <v>1823</v>
      </c>
      <c r="Y4899" t="s">
        <v>26652</v>
      </c>
      <c r="Z4899" t="s">
        <v>26668</v>
      </c>
      <c r="AB4899" t="s">
        <v>30693</v>
      </c>
      <c r="AD4899" t="s">
        <v>40897</v>
      </c>
      <c r="AE4899">
        <v>8</v>
      </c>
      <c r="AF4899" t="s">
        <v>45541</v>
      </c>
      <c r="AG4899" t="s">
        <v>45556</v>
      </c>
      <c r="AH4899">
        <v>10</v>
      </c>
      <c r="AI4899">
        <v>1</v>
      </c>
      <c r="AJ4899">
        <v>2</v>
      </c>
      <c r="AK4899">
        <v>103.14</v>
      </c>
      <c r="AN4899" t="s">
        <v>7439</v>
      </c>
      <c r="AO4899">
        <v>22000</v>
      </c>
      <c r="AU4899">
        <v>0</v>
      </c>
      <c r="AW4899" t="s">
        <v>286</v>
      </c>
    </row>
    <row r="4900" spans="1:50">
      <c r="A4900" s="1">
        <f>HYPERLINK("https://lsnyc.legalserver.org/matter/dynamic-profile/view/1889042","19-1889042")</f>
        <v>0</v>
      </c>
      <c r="B4900" t="s">
        <v>157</v>
      </c>
      <c r="C4900" t="s">
        <v>340</v>
      </c>
      <c r="D4900" t="s">
        <v>709</v>
      </c>
      <c r="F4900" t="s">
        <v>3220</v>
      </c>
      <c r="G4900" t="s">
        <v>5982</v>
      </c>
      <c r="H4900" t="s">
        <v>13326</v>
      </c>
      <c r="I4900">
        <v>63</v>
      </c>
      <c r="J4900" t="s">
        <v>18893</v>
      </c>
      <c r="K4900">
        <v>10032</v>
      </c>
      <c r="L4900" t="s">
        <v>18958</v>
      </c>
      <c r="M4900" t="s">
        <v>18958</v>
      </c>
      <c r="N4900" t="s">
        <v>22622</v>
      </c>
      <c r="O4900" t="s">
        <v>26523</v>
      </c>
      <c r="P4900" t="s">
        <v>26560</v>
      </c>
      <c r="R4900" t="s">
        <v>26578</v>
      </c>
      <c r="S4900" t="s">
        <v>18959</v>
      </c>
      <c r="U4900" t="s">
        <v>26604</v>
      </c>
      <c r="V4900" t="s">
        <v>26610</v>
      </c>
      <c r="W4900" t="s">
        <v>732</v>
      </c>
      <c r="X4900">
        <v>481</v>
      </c>
      <c r="Y4900" t="s">
        <v>26651</v>
      </c>
      <c r="Z4900" t="s">
        <v>26661</v>
      </c>
      <c r="AB4900" t="s">
        <v>30694</v>
      </c>
      <c r="AD4900" t="s">
        <v>40898</v>
      </c>
      <c r="AE4900">
        <v>35</v>
      </c>
      <c r="AF4900" t="s">
        <v>45548</v>
      </c>
      <c r="AH4900">
        <v>50</v>
      </c>
      <c r="AI4900">
        <v>2</v>
      </c>
      <c r="AJ4900">
        <v>0</v>
      </c>
      <c r="AK4900">
        <v>46.49</v>
      </c>
      <c r="AN4900" t="s">
        <v>7439</v>
      </c>
      <c r="AO4900">
        <v>7860.96</v>
      </c>
      <c r="AU4900">
        <v>13.9</v>
      </c>
      <c r="AV4900" t="s">
        <v>762</v>
      </c>
      <c r="AW4900" t="s">
        <v>157</v>
      </c>
    </row>
    <row r="4901" spans="1:50">
      <c r="A4901" s="1">
        <f>HYPERLINK("https://lsnyc.legalserver.org/matter/dynamic-profile/view/1889101","19-1889101")</f>
        <v>0</v>
      </c>
      <c r="B4901" t="s">
        <v>155</v>
      </c>
      <c r="C4901" t="s">
        <v>340</v>
      </c>
      <c r="D4901" t="s">
        <v>734</v>
      </c>
      <c r="F4901" t="s">
        <v>1417</v>
      </c>
      <c r="G4901" t="s">
        <v>4777</v>
      </c>
      <c r="H4901" t="s">
        <v>13327</v>
      </c>
      <c r="I4901">
        <v>3</v>
      </c>
      <c r="J4901" t="s">
        <v>18894</v>
      </c>
      <c r="K4901">
        <v>11221</v>
      </c>
      <c r="L4901" t="s">
        <v>18958</v>
      </c>
      <c r="M4901" t="s">
        <v>18958</v>
      </c>
      <c r="O4901" t="s">
        <v>26523</v>
      </c>
      <c r="P4901" t="s">
        <v>26560</v>
      </c>
      <c r="R4901" t="s">
        <v>26588</v>
      </c>
      <c r="S4901" t="s">
        <v>18959</v>
      </c>
      <c r="U4901" t="s">
        <v>26604</v>
      </c>
      <c r="W4901" t="s">
        <v>732</v>
      </c>
      <c r="X4901">
        <v>700</v>
      </c>
      <c r="Y4901" t="s">
        <v>26652</v>
      </c>
      <c r="AB4901" t="s">
        <v>30695</v>
      </c>
      <c r="AD4901" t="s">
        <v>40899</v>
      </c>
      <c r="AE4901">
        <v>2</v>
      </c>
      <c r="AH4901">
        <v>46</v>
      </c>
      <c r="AI4901">
        <v>1</v>
      </c>
      <c r="AJ4901">
        <v>0</v>
      </c>
      <c r="AK4901">
        <v>16.01</v>
      </c>
      <c r="AN4901" t="s">
        <v>7439</v>
      </c>
      <c r="AO4901">
        <v>2000</v>
      </c>
      <c r="AU4901">
        <v>5</v>
      </c>
      <c r="AV4901" t="s">
        <v>800</v>
      </c>
      <c r="AW4901" t="s">
        <v>219</v>
      </c>
    </row>
    <row r="4902" spans="1:50">
      <c r="A4902" s="1">
        <f>HYPERLINK("https://lsnyc.legalserver.org/matter/dynamic-profile/view/1889099","19-1889099")</f>
        <v>0</v>
      </c>
      <c r="B4902" t="s">
        <v>155</v>
      </c>
      <c r="C4902" t="s">
        <v>340</v>
      </c>
      <c r="D4902" t="s">
        <v>734</v>
      </c>
      <c r="F4902" t="s">
        <v>3006</v>
      </c>
      <c r="G4902" t="s">
        <v>5177</v>
      </c>
      <c r="H4902" t="s">
        <v>13327</v>
      </c>
      <c r="I4902">
        <v>2</v>
      </c>
      <c r="J4902" t="s">
        <v>18894</v>
      </c>
      <c r="K4902">
        <v>11221</v>
      </c>
      <c r="L4902" t="s">
        <v>18958</v>
      </c>
      <c r="M4902" t="s">
        <v>18958</v>
      </c>
      <c r="N4902" t="s">
        <v>22623</v>
      </c>
      <c r="O4902" t="s">
        <v>26523</v>
      </c>
      <c r="P4902" t="s">
        <v>26560</v>
      </c>
      <c r="R4902" t="s">
        <v>26588</v>
      </c>
      <c r="S4902" t="s">
        <v>18959</v>
      </c>
      <c r="U4902" t="s">
        <v>26604</v>
      </c>
      <c r="W4902" t="s">
        <v>732</v>
      </c>
      <c r="X4902">
        <v>0</v>
      </c>
      <c r="Y4902" t="s">
        <v>26652</v>
      </c>
      <c r="AB4902" t="s">
        <v>30696</v>
      </c>
      <c r="AD4902" t="s">
        <v>40900</v>
      </c>
      <c r="AE4902">
        <v>0</v>
      </c>
      <c r="AH4902">
        <v>9</v>
      </c>
      <c r="AI4902">
        <v>1</v>
      </c>
      <c r="AJ4902">
        <v>0</v>
      </c>
      <c r="AK4902">
        <v>121.25</v>
      </c>
      <c r="AN4902" t="s">
        <v>7439</v>
      </c>
      <c r="AO4902">
        <v>15144</v>
      </c>
      <c r="AU4902">
        <v>26.6</v>
      </c>
      <c r="AV4902" t="s">
        <v>797</v>
      </c>
      <c r="AW4902" t="s">
        <v>219</v>
      </c>
      <c r="AX4902" t="s">
        <v>46897</v>
      </c>
    </row>
    <row r="4903" spans="1:50">
      <c r="A4903" s="1">
        <f>HYPERLINK("https://lsnyc.legalserver.org/matter/dynamic-profile/view/1889105","19-1889105")</f>
        <v>0</v>
      </c>
      <c r="B4903" t="s">
        <v>172</v>
      </c>
      <c r="C4903" t="s">
        <v>340</v>
      </c>
      <c r="D4903" t="s">
        <v>734</v>
      </c>
      <c r="F4903" t="s">
        <v>887</v>
      </c>
      <c r="G4903" t="s">
        <v>5785</v>
      </c>
      <c r="H4903" t="s">
        <v>13328</v>
      </c>
      <c r="I4903" t="s">
        <v>17416</v>
      </c>
      <c r="J4903" t="s">
        <v>18894</v>
      </c>
      <c r="K4903">
        <v>11219</v>
      </c>
      <c r="L4903" t="s">
        <v>18958</v>
      </c>
      <c r="M4903" t="s">
        <v>18958</v>
      </c>
      <c r="N4903" t="s">
        <v>22624</v>
      </c>
      <c r="O4903" t="s">
        <v>26523</v>
      </c>
      <c r="P4903" t="s">
        <v>26560</v>
      </c>
      <c r="R4903" t="s">
        <v>26586</v>
      </c>
      <c r="U4903" t="s">
        <v>26604</v>
      </c>
      <c r="W4903" t="s">
        <v>732</v>
      </c>
      <c r="X4903">
        <v>1200</v>
      </c>
      <c r="Y4903" t="s">
        <v>26652</v>
      </c>
      <c r="AB4903" t="s">
        <v>30697</v>
      </c>
      <c r="AD4903" t="s">
        <v>40901</v>
      </c>
      <c r="AE4903">
        <v>2</v>
      </c>
      <c r="AH4903">
        <v>1</v>
      </c>
      <c r="AI4903">
        <v>1</v>
      </c>
      <c r="AJ4903">
        <v>0</v>
      </c>
      <c r="AK4903">
        <v>116.53</v>
      </c>
      <c r="AN4903" t="s">
        <v>7439</v>
      </c>
      <c r="AO4903">
        <v>14554.8</v>
      </c>
      <c r="AU4903">
        <v>11.9</v>
      </c>
      <c r="AV4903" t="s">
        <v>832</v>
      </c>
      <c r="AW4903" t="s">
        <v>219</v>
      </c>
    </row>
    <row r="4904" spans="1:50">
      <c r="A4904" s="1">
        <f>HYPERLINK("https://lsnyc.legalserver.org/matter/dynamic-profile/view/1889189","19-1889189")</f>
        <v>0</v>
      </c>
      <c r="B4904" t="s">
        <v>125</v>
      </c>
      <c r="C4904" t="s">
        <v>340</v>
      </c>
      <c r="D4904" t="s">
        <v>693</v>
      </c>
      <c r="F4904" t="s">
        <v>1134</v>
      </c>
      <c r="G4904" t="s">
        <v>5473</v>
      </c>
      <c r="H4904" t="s">
        <v>13329</v>
      </c>
      <c r="I4904" t="s">
        <v>17331</v>
      </c>
      <c r="J4904" t="s">
        <v>18894</v>
      </c>
      <c r="K4904">
        <v>11207</v>
      </c>
      <c r="L4904" t="s">
        <v>18958</v>
      </c>
      <c r="M4904" t="s">
        <v>18958</v>
      </c>
      <c r="N4904" t="s">
        <v>22625</v>
      </c>
      <c r="P4904" t="s">
        <v>26560</v>
      </c>
      <c r="R4904" t="s">
        <v>26578</v>
      </c>
      <c r="S4904" t="s">
        <v>18959</v>
      </c>
      <c r="U4904" t="s">
        <v>26604</v>
      </c>
      <c r="W4904" t="s">
        <v>732</v>
      </c>
      <c r="X4904">
        <v>0</v>
      </c>
      <c r="Y4904" t="s">
        <v>26652</v>
      </c>
      <c r="AB4904" t="s">
        <v>30698</v>
      </c>
      <c r="AE4904">
        <v>0</v>
      </c>
      <c r="AH4904">
        <v>0</v>
      </c>
      <c r="AI4904">
        <v>1</v>
      </c>
      <c r="AJ4904">
        <v>3</v>
      </c>
      <c r="AK4904">
        <v>20.18</v>
      </c>
      <c r="AN4904" t="s">
        <v>7439</v>
      </c>
      <c r="AO4904">
        <v>5196</v>
      </c>
      <c r="AU4904">
        <v>14.25</v>
      </c>
      <c r="AV4904" t="s">
        <v>690</v>
      </c>
      <c r="AW4904" t="s">
        <v>125</v>
      </c>
    </row>
    <row r="4905" spans="1:50">
      <c r="A4905" s="1">
        <f>HYPERLINK("https://lsnyc.legalserver.org/matter/dynamic-profile/view/1891751","19-1891751")</f>
        <v>0</v>
      </c>
      <c r="B4905" t="s">
        <v>279</v>
      </c>
      <c r="C4905" t="s">
        <v>340</v>
      </c>
      <c r="D4905" t="s">
        <v>728</v>
      </c>
      <c r="F4905" t="s">
        <v>893</v>
      </c>
      <c r="G4905" t="s">
        <v>7471</v>
      </c>
      <c r="H4905" t="s">
        <v>13330</v>
      </c>
      <c r="J4905" t="s">
        <v>18894</v>
      </c>
      <c r="K4905">
        <v>11212</v>
      </c>
      <c r="L4905" t="s">
        <v>18958</v>
      </c>
      <c r="M4905" t="s">
        <v>18958</v>
      </c>
      <c r="P4905" t="s">
        <v>26560</v>
      </c>
      <c r="R4905" t="s">
        <v>26578</v>
      </c>
      <c r="U4905" t="s">
        <v>26604</v>
      </c>
      <c r="W4905" t="s">
        <v>732</v>
      </c>
      <c r="X4905">
        <v>0</v>
      </c>
      <c r="Y4905" t="s">
        <v>26652</v>
      </c>
      <c r="AB4905" t="s">
        <v>30699</v>
      </c>
      <c r="AE4905">
        <v>0</v>
      </c>
      <c r="AH4905">
        <v>0</v>
      </c>
      <c r="AI4905">
        <v>2</v>
      </c>
      <c r="AJ4905">
        <v>0</v>
      </c>
      <c r="AK4905">
        <v>201.06</v>
      </c>
      <c r="AN4905" t="s">
        <v>7439</v>
      </c>
      <c r="AO4905">
        <v>34000</v>
      </c>
      <c r="AU4905">
        <v>0</v>
      </c>
      <c r="AW4905" t="s">
        <v>219</v>
      </c>
      <c r="AX4905" t="s">
        <v>19330</v>
      </c>
    </row>
    <row r="4906" spans="1:50">
      <c r="A4906" s="1">
        <f>HYPERLINK("https://lsnyc.legalserver.org/matter/dynamic-profile/view/1874498","18-1874498")</f>
        <v>0</v>
      </c>
      <c r="B4906" t="s">
        <v>207</v>
      </c>
      <c r="C4906" t="s">
        <v>341</v>
      </c>
      <c r="D4906" t="s">
        <v>461</v>
      </c>
      <c r="E4906" t="s">
        <v>709</v>
      </c>
      <c r="F4906" t="s">
        <v>3221</v>
      </c>
      <c r="G4906" t="s">
        <v>5073</v>
      </c>
      <c r="H4906" t="s">
        <v>12370</v>
      </c>
      <c r="I4906" t="s">
        <v>18168</v>
      </c>
      <c r="J4906" t="s">
        <v>18894</v>
      </c>
      <c r="K4906">
        <v>11213</v>
      </c>
      <c r="L4906" t="s">
        <v>18958</v>
      </c>
      <c r="M4906" t="s">
        <v>18958</v>
      </c>
      <c r="N4906" t="s">
        <v>22626</v>
      </c>
      <c r="O4906" t="s">
        <v>26523</v>
      </c>
      <c r="P4906" t="s">
        <v>26563</v>
      </c>
      <c r="Q4906" t="s">
        <v>26573</v>
      </c>
      <c r="R4906" t="s">
        <v>26586</v>
      </c>
      <c r="U4906" t="s">
        <v>26604</v>
      </c>
      <c r="W4906" t="s">
        <v>709</v>
      </c>
      <c r="X4906">
        <v>190</v>
      </c>
      <c r="Y4906" t="s">
        <v>26652</v>
      </c>
      <c r="Z4906" t="s">
        <v>26659</v>
      </c>
      <c r="AA4906" t="s">
        <v>26678</v>
      </c>
      <c r="AB4906" t="s">
        <v>28511</v>
      </c>
      <c r="AD4906" t="s">
        <v>40902</v>
      </c>
      <c r="AE4906">
        <v>0</v>
      </c>
      <c r="AF4906" t="s">
        <v>45543</v>
      </c>
      <c r="AH4906">
        <v>29</v>
      </c>
      <c r="AI4906">
        <v>1</v>
      </c>
      <c r="AJ4906">
        <v>1</v>
      </c>
      <c r="AK4906">
        <v>45.57</v>
      </c>
      <c r="AN4906" t="s">
        <v>7439</v>
      </c>
      <c r="AO4906">
        <v>7500</v>
      </c>
      <c r="AS4906" t="s">
        <v>46499</v>
      </c>
      <c r="AT4906" t="s">
        <v>46663</v>
      </c>
      <c r="AU4906">
        <v>14.15</v>
      </c>
      <c r="AV4906" t="s">
        <v>618</v>
      </c>
      <c r="AW4906" t="s">
        <v>46862</v>
      </c>
    </row>
    <row r="4907" spans="1:50">
      <c r="A4907" s="1">
        <f>HYPERLINK("https://lsnyc.legalserver.org/matter/dynamic-profile/view/1884387","18-1884387")</f>
        <v>0</v>
      </c>
      <c r="B4907" t="s">
        <v>71</v>
      </c>
      <c r="C4907" t="s">
        <v>341</v>
      </c>
      <c r="D4907" t="s">
        <v>667</v>
      </c>
      <c r="E4907" t="s">
        <v>805</v>
      </c>
      <c r="F4907" t="s">
        <v>3222</v>
      </c>
      <c r="G4907" t="s">
        <v>4092</v>
      </c>
      <c r="H4907" t="s">
        <v>13331</v>
      </c>
      <c r="I4907">
        <v>156</v>
      </c>
      <c r="J4907" t="s">
        <v>18892</v>
      </c>
      <c r="K4907">
        <v>10462</v>
      </c>
      <c r="L4907" t="s">
        <v>18958</v>
      </c>
      <c r="M4907" t="s">
        <v>18958</v>
      </c>
      <c r="N4907" t="s">
        <v>22627</v>
      </c>
      <c r="O4907" t="s">
        <v>26523</v>
      </c>
      <c r="P4907" t="s">
        <v>26560</v>
      </c>
      <c r="Q4907" t="s">
        <v>26568</v>
      </c>
      <c r="R4907" t="s">
        <v>26579</v>
      </c>
      <c r="U4907" t="s">
        <v>26604</v>
      </c>
      <c r="V4907" t="s">
        <v>26610</v>
      </c>
      <c r="W4907" t="s">
        <v>709</v>
      </c>
      <c r="X4907">
        <v>1325</v>
      </c>
      <c r="Y4907" t="s">
        <v>26650</v>
      </c>
      <c r="Z4907" t="s">
        <v>26664</v>
      </c>
      <c r="AA4907" t="s">
        <v>26679</v>
      </c>
      <c r="AB4907" t="s">
        <v>30700</v>
      </c>
      <c r="AD4907" t="s">
        <v>40903</v>
      </c>
      <c r="AE4907">
        <v>190</v>
      </c>
      <c r="AF4907" t="s">
        <v>45553</v>
      </c>
      <c r="AG4907" t="s">
        <v>19330</v>
      </c>
      <c r="AH4907">
        <v>9</v>
      </c>
      <c r="AI4907">
        <v>1</v>
      </c>
      <c r="AJ4907">
        <v>0</v>
      </c>
      <c r="AK4907">
        <v>205.93</v>
      </c>
      <c r="AL4907" t="s">
        <v>709</v>
      </c>
      <c r="AM4907" t="s">
        <v>45575</v>
      </c>
      <c r="AN4907" t="s">
        <v>45581</v>
      </c>
      <c r="AO4907">
        <v>25000</v>
      </c>
      <c r="AQ4907" t="s">
        <v>46361</v>
      </c>
      <c r="AR4907" t="s">
        <v>46406</v>
      </c>
      <c r="AS4907" t="s">
        <v>46500</v>
      </c>
      <c r="AT4907" t="s">
        <v>46713</v>
      </c>
      <c r="AU4907">
        <v>24.3</v>
      </c>
      <c r="AV4907" t="s">
        <v>767</v>
      </c>
      <c r="AW4907" t="s">
        <v>334</v>
      </c>
    </row>
    <row r="4908" spans="1:50">
      <c r="A4908" s="1">
        <f>HYPERLINK("https://lsnyc.legalserver.org/matter/dynamic-profile/view/1884636","18-1884636")</f>
        <v>0</v>
      </c>
      <c r="B4908" t="s">
        <v>53</v>
      </c>
      <c r="C4908" t="s">
        <v>340</v>
      </c>
      <c r="D4908" t="s">
        <v>687</v>
      </c>
      <c r="F4908" t="s">
        <v>996</v>
      </c>
      <c r="G4908" t="s">
        <v>5191</v>
      </c>
      <c r="H4908" t="s">
        <v>13332</v>
      </c>
      <c r="I4908" t="s">
        <v>17327</v>
      </c>
      <c r="J4908" t="s">
        <v>18892</v>
      </c>
      <c r="K4908">
        <v>10468</v>
      </c>
      <c r="L4908" t="s">
        <v>18958</v>
      </c>
      <c r="M4908" t="s">
        <v>18958</v>
      </c>
      <c r="N4908" t="s">
        <v>22628</v>
      </c>
      <c r="O4908" t="s">
        <v>26523</v>
      </c>
      <c r="P4908" t="s">
        <v>26560</v>
      </c>
      <c r="R4908" t="s">
        <v>26579</v>
      </c>
      <c r="S4908" t="s">
        <v>18959</v>
      </c>
      <c r="U4908" t="s">
        <v>26604</v>
      </c>
      <c r="V4908" t="s">
        <v>26610</v>
      </c>
      <c r="W4908" t="s">
        <v>709</v>
      </c>
      <c r="X4908">
        <v>1705.06</v>
      </c>
      <c r="Y4908" t="s">
        <v>26650</v>
      </c>
      <c r="Z4908" t="s">
        <v>26664</v>
      </c>
      <c r="AB4908" t="s">
        <v>26938</v>
      </c>
      <c r="AD4908" t="s">
        <v>40904</v>
      </c>
      <c r="AE4908">
        <v>43</v>
      </c>
      <c r="AF4908" t="s">
        <v>45541</v>
      </c>
      <c r="AG4908" t="s">
        <v>19330</v>
      </c>
      <c r="AH4908">
        <v>4</v>
      </c>
      <c r="AI4908">
        <v>2</v>
      </c>
      <c r="AJ4908">
        <v>1</v>
      </c>
      <c r="AK4908">
        <v>225.22</v>
      </c>
      <c r="AL4908" t="s">
        <v>709</v>
      </c>
      <c r="AM4908" t="s">
        <v>45575</v>
      </c>
      <c r="AN4908" t="s">
        <v>7439</v>
      </c>
      <c r="AO4908">
        <v>46800</v>
      </c>
      <c r="AQ4908" t="s">
        <v>46362</v>
      </c>
      <c r="AR4908" t="s">
        <v>46487</v>
      </c>
      <c r="AS4908" t="s">
        <v>46499</v>
      </c>
      <c r="AT4908" t="s">
        <v>46704</v>
      </c>
      <c r="AU4908">
        <v>17.4</v>
      </c>
      <c r="AV4908" t="s">
        <v>764</v>
      </c>
      <c r="AW4908" t="s">
        <v>334</v>
      </c>
    </row>
    <row r="4909" spans="1:50">
      <c r="A4909" s="1">
        <f>HYPERLINK("https://lsnyc.legalserver.org/matter/dynamic-profile/view/1885674","18-1885674")</f>
        <v>0</v>
      </c>
      <c r="B4909" t="s">
        <v>70</v>
      </c>
      <c r="C4909" t="s">
        <v>340</v>
      </c>
      <c r="D4909" t="s">
        <v>691</v>
      </c>
      <c r="F4909" t="s">
        <v>3066</v>
      </c>
      <c r="G4909" t="s">
        <v>7326</v>
      </c>
      <c r="H4909" t="s">
        <v>13333</v>
      </c>
      <c r="I4909" t="s">
        <v>18169</v>
      </c>
      <c r="J4909" t="s">
        <v>18892</v>
      </c>
      <c r="K4909">
        <v>10457</v>
      </c>
      <c r="L4909" t="s">
        <v>18958</v>
      </c>
      <c r="M4909" t="s">
        <v>18958</v>
      </c>
      <c r="N4909" t="s">
        <v>22629</v>
      </c>
      <c r="O4909" t="s">
        <v>26526</v>
      </c>
      <c r="P4909" t="s">
        <v>26560</v>
      </c>
      <c r="R4909" t="s">
        <v>26577</v>
      </c>
      <c r="S4909" t="s">
        <v>18959</v>
      </c>
      <c r="U4909" t="s">
        <v>26604</v>
      </c>
      <c r="V4909" t="s">
        <v>26610</v>
      </c>
      <c r="W4909" t="s">
        <v>709</v>
      </c>
      <c r="X4909">
        <v>987</v>
      </c>
      <c r="Y4909" t="s">
        <v>26650</v>
      </c>
      <c r="Z4909" t="s">
        <v>26655</v>
      </c>
      <c r="AB4909" t="s">
        <v>30701</v>
      </c>
      <c r="AE4909">
        <v>26</v>
      </c>
      <c r="AF4909" t="s">
        <v>45541</v>
      </c>
      <c r="AG4909" t="s">
        <v>19330</v>
      </c>
      <c r="AH4909">
        <v>38</v>
      </c>
      <c r="AI4909">
        <v>1</v>
      </c>
      <c r="AJ4909">
        <v>0</v>
      </c>
      <c r="AK4909">
        <v>138.39</v>
      </c>
      <c r="AN4909" t="s">
        <v>7439</v>
      </c>
      <c r="AO4909">
        <v>16800</v>
      </c>
      <c r="AP4909" t="s">
        <v>45839</v>
      </c>
      <c r="AU4909">
        <v>11.7</v>
      </c>
      <c r="AV4909" t="s">
        <v>768</v>
      </c>
      <c r="AW4909" t="s">
        <v>70</v>
      </c>
    </row>
    <row r="4910" spans="1:50">
      <c r="A4910" s="1">
        <f>HYPERLINK("https://lsnyc.legalserver.org/matter/dynamic-profile/view/1885665","18-1885665")</f>
        <v>0</v>
      </c>
      <c r="B4910" t="s">
        <v>121</v>
      </c>
      <c r="C4910" t="s">
        <v>340</v>
      </c>
      <c r="D4910" t="s">
        <v>691</v>
      </c>
      <c r="F4910" t="s">
        <v>3223</v>
      </c>
      <c r="G4910" t="s">
        <v>5078</v>
      </c>
      <c r="H4910" t="s">
        <v>13334</v>
      </c>
      <c r="I4910" t="s">
        <v>17833</v>
      </c>
      <c r="J4910" t="s">
        <v>18892</v>
      </c>
      <c r="K4910">
        <v>10468</v>
      </c>
      <c r="L4910" t="s">
        <v>18958</v>
      </c>
      <c r="M4910" t="s">
        <v>18958</v>
      </c>
      <c r="N4910" t="s">
        <v>22630</v>
      </c>
      <c r="O4910" t="s">
        <v>26524</v>
      </c>
      <c r="P4910" t="s">
        <v>26560</v>
      </c>
      <c r="R4910" t="s">
        <v>26579</v>
      </c>
      <c r="S4910" t="s">
        <v>18959</v>
      </c>
      <c r="U4910" t="s">
        <v>26604</v>
      </c>
      <c r="V4910" t="s">
        <v>26610</v>
      </c>
      <c r="W4910" t="s">
        <v>709</v>
      </c>
      <c r="X4910">
        <v>994</v>
      </c>
      <c r="Y4910" t="s">
        <v>26650</v>
      </c>
      <c r="Z4910" t="s">
        <v>26661</v>
      </c>
      <c r="AB4910" t="s">
        <v>30702</v>
      </c>
      <c r="AD4910" t="s">
        <v>40905</v>
      </c>
      <c r="AE4910">
        <v>0</v>
      </c>
      <c r="AF4910" t="s">
        <v>45541</v>
      </c>
      <c r="AG4910" t="s">
        <v>19330</v>
      </c>
      <c r="AH4910">
        <v>3</v>
      </c>
      <c r="AI4910">
        <v>1</v>
      </c>
      <c r="AJ4910">
        <v>0</v>
      </c>
      <c r="AK4910">
        <v>321.25</v>
      </c>
      <c r="AL4910" t="s">
        <v>709</v>
      </c>
      <c r="AM4910" t="s">
        <v>45575</v>
      </c>
      <c r="AN4910" t="s">
        <v>7439</v>
      </c>
      <c r="AO4910">
        <v>39000</v>
      </c>
      <c r="AU4910">
        <v>8.199999999999999</v>
      </c>
      <c r="AV4910" t="s">
        <v>741</v>
      </c>
      <c r="AW4910" t="s">
        <v>46836</v>
      </c>
    </row>
    <row r="4911" spans="1:50">
      <c r="A4911" s="1">
        <f>HYPERLINK("https://lsnyc.legalserver.org/matter/dynamic-profile/view/1886376","18-1886376")</f>
        <v>0</v>
      </c>
      <c r="B4911" t="s">
        <v>99</v>
      </c>
      <c r="C4911" t="s">
        <v>340</v>
      </c>
      <c r="D4911" t="s">
        <v>703</v>
      </c>
      <c r="F4911" t="s">
        <v>913</v>
      </c>
      <c r="G4911" t="s">
        <v>7472</v>
      </c>
      <c r="H4911" t="s">
        <v>13335</v>
      </c>
      <c r="I4911" t="s">
        <v>17360</v>
      </c>
      <c r="J4911" t="s">
        <v>18894</v>
      </c>
      <c r="K4911">
        <v>11220</v>
      </c>
      <c r="L4911" t="s">
        <v>18958</v>
      </c>
      <c r="M4911" t="s">
        <v>18958</v>
      </c>
      <c r="N4911" t="s">
        <v>22631</v>
      </c>
      <c r="O4911" t="s">
        <v>26523</v>
      </c>
      <c r="P4911" t="s">
        <v>26560</v>
      </c>
      <c r="R4911" t="s">
        <v>26586</v>
      </c>
      <c r="S4911" t="s">
        <v>18959</v>
      </c>
      <c r="U4911" t="s">
        <v>26604</v>
      </c>
      <c r="V4911" t="s">
        <v>26610</v>
      </c>
      <c r="W4911" t="s">
        <v>709</v>
      </c>
      <c r="X4911">
        <v>68</v>
      </c>
      <c r="Y4911" t="s">
        <v>26652</v>
      </c>
      <c r="Z4911" t="s">
        <v>26664</v>
      </c>
      <c r="AA4911" t="s">
        <v>26687</v>
      </c>
      <c r="AB4911" t="s">
        <v>28294</v>
      </c>
      <c r="AC4911" t="s">
        <v>19330</v>
      </c>
      <c r="AD4911" t="s">
        <v>40906</v>
      </c>
      <c r="AE4911">
        <v>16</v>
      </c>
      <c r="AF4911" t="s">
        <v>45544</v>
      </c>
      <c r="AG4911" t="s">
        <v>19330</v>
      </c>
      <c r="AH4911">
        <v>38</v>
      </c>
      <c r="AI4911">
        <v>1</v>
      </c>
      <c r="AJ4911">
        <v>0</v>
      </c>
      <c r="AK4911">
        <v>0</v>
      </c>
      <c r="AN4911" t="s">
        <v>7439</v>
      </c>
      <c r="AO4911">
        <v>0</v>
      </c>
      <c r="AU4911">
        <v>12.5</v>
      </c>
      <c r="AV4911" t="s">
        <v>836</v>
      </c>
      <c r="AW4911" t="s">
        <v>46862</v>
      </c>
    </row>
    <row r="4912" spans="1:50">
      <c r="A4912" s="1">
        <f>HYPERLINK("https://lsnyc.legalserver.org/matter/dynamic-profile/view/1889054","19-1889054")</f>
        <v>0</v>
      </c>
      <c r="B4912" t="s">
        <v>165</v>
      </c>
      <c r="C4912" t="s">
        <v>341</v>
      </c>
      <c r="D4912" t="s">
        <v>709</v>
      </c>
      <c r="E4912" t="s">
        <v>820</v>
      </c>
      <c r="F4912" t="s">
        <v>2770</v>
      </c>
      <c r="G4912" t="s">
        <v>5191</v>
      </c>
      <c r="H4912" t="s">
        <v>13336</v>
      </c>
      <c r="I4912">
        <v>17</v>
      </c>
      <c r="J4912" t="s">
        <v>18893</v>
      </c>
      <c r="K4912">
        <v>10025</v>
      </c>
      <c r="L4912" t="s">
        <v>18958</v>
      </c>
      <c r="M4912" t="s">
        <v>18958</v>
      </c>
      <c r="N4912" t="s">
        <v>22632</v>
      </c>
      <c r="O4912" t="s">
        <v>26523</v>
      </c>
      <c r="P4912" t="s">
        <v>26564</v>
      </c>
      <c r="Q4912" t="s">
        <v>26570</v>
      </c>
      <c r="R4912" t="s">
        <v>26580</v>
      </c>
      <c r="S4912" t="s">
        <v>18959</v>
      </c>
      <c r="U4912" t="s">
        <v>26604</v>
      </c>
      <c r="V4912" t="s">
        <v>26611</v>
      </c>
      <c r="W4912" t="s">
        <v>709</v>
      </c>
      <c r="X4912">
        <v>1605</v>
      </c>
      <c r="Y4912" t="s">
        <v>26651</v>
      </c>
      <c r="Z4912" t="s">
        <v>26659</v>
      </c>
      <c r="AA4912" t="s">
        <v>26683</v>
      </c>
      <c r="AB4912" t="s">
        <v>30703</v>
      </c>
      <c r="AD4912" t="s">
        <v>40907</v>
      </c>
      <c r="AE4912">
        <v>25</v>
      </c>
      <c r="AF4912" t="s">
        <v>20460</v>
      </c>
      <c r="AG4912" t="s">
        <v>19330</v>
      </c>
      <c r="AH4912">
        <v>25</v>
      </c>
      <c r="AI4912">
        <v>1</v>
      </c>
      <c r="AJ4912">
        <v>0</v>
      </c>
      <c r="AK4912">
        <v>297.65</v>
      </c>
      <c r="AN4912" t="s">
        <v>7439</v>
      </c>
      <c r="AO4912">
        <v>37176</v>
      </c>
      <c r="AU4912">
        <v>2.3</v>
      </c>
      <c r="AV4912" t="s">
        <v>659</v>
      </c>
      <c r="AW4912" t="s">
        <v>46875</v>
      </c>
    </row>
    <row r="4913" spans="1:50">
      <c r="A4913" s="1">
        <f>HYPERLINK("https://lsnyc.legalserver.org/matter/dynamic-profile/view/1889020","19-1889020")</f>
        <v>0</v>
      </c>
      <c r="B4913" t="s">
        <v>278</v>
      </c>
      <c r="C4913" t="s">
        <v>341</v>
      </c>
      <c r="D4913" t="s">
        <v>709</v>
      </c>
      <c r="E4913" t="s">
        <v>781</v>
      </c>
      <c r="F4913" t="s">
        <v>990</v>
      </c>
      <c r="G4913" t="s">
        <v>7473</v>
      </c>
      <c r="H4913" t="s">
        <v>13337</v>
      </c>
      <c r="J4913" t="s">
        <v>18902</v>
      </c>
      <c r="K4913">
        <v>10303</v>
      </c>
      <c r="L4913" t="s">
        <v>18958</v>
      </c>
      <c r="M4913" t="s">
        <v>18958</v>
      </c>
      <c r="N4913" t="s">
        <v>22633</v>
      </c>
      <c r="O4913" t="s">
        <v>26523</v>
      </c>
      <c r="P4913" t="s">
        <v>26560</v>
      </c>
      <c r="Q4913" t="s">
        <v>26568</v>
      </c>
      <c r="R4913" t="s">
        <v>26590</v>
      </c>
      <c r="S4913" t="s">
        <v>18959</v>
      </c>
      <c r="U4913" t="s">
        <v>26604</v>
      </c>
      <c r="V4913" t="s">
        <v>26610</v>
      </c>
      <c r="W4913" t="s">
        <v>709</v>
      </c>
      <c r="X4913">
        <v>770.37</v>
      </c>
      <c r="Y4913" t="s">
        <v>26654</v>
      </c>
      <c r="Z4913" t="s">
        <v>26668</v>
      </c>
      <c r="AA4913" t="s">
        <v>26678</v>
      </c>
      <c r="AB4913" t="s">
        <v>27119</v>
      </c>
      <c r="AD4913" t="s">
        <v>40908</v>
      </c>
      <c r="AE4913">
        <v>150</v>
      </c>
      <c r="AF4913" t="s">
        <v>45541</v>
      </c>
      <c r="AG4913" t="s">
        <v>19330</v>
      </c>
      <c r="AH4913">
        <v>15</v>
      </c>
      <c r="AI4913">
        <v>1</v>
      </c>
      <c r="AJ4913">
        <v>0</v>
      </c>
      <c r="AK4913">
        <v>119.81</v>
      </c>
      <c r="AN4913" t="s">
        <v>7439</v>
      </c>
      <c r="AO4913">
        <v>14964</v>
      </c>
      <c r="AQ4913" t="s">
        <v>46359</v>
      </c>
      <c r="AR4913" t="s">
        <v>46379</v>
      </c>
      <c r="AS4913" t="s">
        <v>46499</v>
      </c>
      <c r="AT4913" t="s">
        <v>46713</v>
      </c>
      <c r="AU4913">
        <v>54.6</v>
      </c>
      <c r="AV4913" t="s">
        <v>781</v>
      </c>
      <c r="AW4913" t="s">
        <v>185</v>
      </c>
    </row>
    <row r="4914" spans="1:50">
      <c r="A4914" s="1">
        <f>HYPERLINK("https://lsnyc.legalserver.org/matter/dynamic-profile/view/1889069","19-1889069")</f>
        <v>0</v>
      </c>
      <c r="B4914" t="s">
        <v>64</v>
      </c>
      <c r="C4914" t="s">
        <v>341</v>
      </c>
      <c r="D4914" t="s">
        <v>709</v>
      </c>
      <c r="E4914" t="s">
        <v>781</v>
      </c>
      <c r="F4914" t="s">
        <v>3224</v>
      </c>
      <c r="G4914" t="s">
        <v>7474</v>
      </c>
      <c r="H4914" t="s">
        <v>13338</v>
      </c>
      <c r="I4914" t="s">
        <v>18170</v>
      </c>
      <c r="J4914" t="s">
        <v>18892</v>
      </c>
      <c r="K4914">
        <v>10455</v>
      </c>
      <c r="L4914" t="s">
        <v>18958</v>
      </c>
      <c r="M4914" t="s">
        <v>18958</v>
      </c>
      <c r="N4914" t="s">
        <v>22634</v>
      </c>
      <c r="O4914" t="s">
        <v>26523</v>
      </c>
      <c r="P4914" t="s">
        <v>26560</v>
      </c>
      <c r="Q4914" t="s">
        <v>26568</v>
      </c>
      <c r="R4914" t="s">
        <v>26577</v>
      </c>
      <c r="S4914" t="s">
        <v>18959</v>
      </c>
      <c r="U4914" t="s">
        <v>26604</v>
      </c>
      <c r="V4914" t="s">
        <v>26612</v>
      </c>
      <c r="W4914" t="s">
        <v>709</v>
      </c>
      <c r="X4914">
        <v>1759</v>
      </c>
      <c r="Y4914" t="s">
        <v>26650</v>
      </c>
      <c r="Z4914" t="s">
        <v>26670</v>
      </c>
      <c r="AA4914" t="s">
        <v>26678</v>
      </c>
      <c r="AB4914" t="s">
        <v>30704</v>
      </c>
      <c r="AD4914" t="s">
        <v>40909</v>
      </c>
      <c r="AE4914">
        <v>0</v>
      </c>
      <c r="AF4914" t="s">
        <v>45543</v>
      </c>
      <c r="AG4914" t="s">
        <v>26530</v>
      </c>
      <c r="AH4914">
        <v>17</v>
      </c>
      <c r="AI4914">
        <v>1</v>
      </c>
      <c r="AJ4914">
        <v>3</v>
      </c>
      <c r="AK4914">
        <v>14.14</v>
      </c>
      <c r="AN4914" t="s">
        <v>45581</v>
      </c>
      <c r="AO4914">
        <v>3640</v>
      </c>
      <c r="AQ4914" t="s">
        <v>46362</v>
      </c>
      <c r="AR4914" t="s">
        <v>26530</v>
      </c>
      <c r="AS4914" t="s">
        <v>46499</v>
      </c>
      <c r="AT4914" t="s">
        <v>46713</v>
      </c>
      <c r="AU4914">
        <v>8.800000000000001</v>
      </c>
      <c r="AV4914" t="s">
        <v>781</v>
      </c>
      <c r="AW4914" t="s">
        <v>46870</v>
      </c>
    </row>
    <row r="4915" spans="1:50">
      <c r="A4915" s="1">
        <f>HYPERLINK("https://lsnyc.legalserver.org/matter/dynamic-profile/view/1889051","19-1889051")</f>
        <v>0</v>
      </c>
      <c r="B4915" t="s">
        <v>64</v>
      </c>
      <c r="C4915" t="s">
        <v>341</v>
      </c>
      <c r="D4915" t="s">
        <v>709</v>
      </c>
      <c r="E4915" t="s">
        <v>764</v>
      </c>
      <c r="F4915" t="s">
        <v>3225</v>
      </c>
      <c r="G4915" t="s">
        <v>7475</v>
      </c>
      <c r="H4915" t="s">
        <v>13339</v>
      </c>
      <c r="I4915" t="s">
        <v>17274</v>
      </c>
      <c r="J4915" t="s">
        <v>18892</v>
      </c>
      <c r="K4915">
        <v>10468</v>
      </c>
      <c r="L4915" t="s">
        <v>18958</v>
      </c>
      <c r="M4915" t="s">
        <v>18958</v>
      </c>
      <c r="N4915" t="s">
        <v>22635</v>
      </c>
      <c r="O4915" t="s">
        <v>26523</v>
      </c>
      <c r="P4915" t="s">
        <v>26560</v>
      </c>
      <c r="Q4915" t="s">
        <v>26568</v>
      </c>
      <c r="R4915" t="s">
        <v>26579</v>
      </c>
      <c r="S4915" t="s">
        <v>18959</v>
      </c>
      <c r="U4915" t="s">
        <v>26604</v>
      </c>
      <c r="V4915" t="s">
        <v>26609</v>
      </c>
      <c r="W4915" t="s">
        <v>709</v>
      </c>
      <c r="X4915">
        <v>1800</v>
      </c>
      <c r="Y4915" t="s">
        <v>26650</v>
      </c>
      <c r="Z4915" t="s">
        <v>26668</v>
      </c>
      <c r="AA4915" t="s">
        <v>26678</v>
      </c>
      <c r="AB4915" t="s">
        <v>30705</v>
      </c>
      <c r="AD4915" t="s">
        <v>40910</v>
      </c>
      <c r="AE4915">
        <v>0</v>
      </c>
      <c r="AF4915" t="s">
        <v>45541</v>
      </c>
      <c r="AG4915" t="s">
        <v>19330</v>
      </c>
      <c r="AH4915">
        <v>1</v>
      </c>
      <c r="AI4915">
        <v>2</v>
      </c>
      <c r="AJ4915">
        <v>1</v>
      </c>
      <c r="AK4915">
        <v>146.27</v>
      </c>
      <c r="AN4915" t="s">
        <v>7439</v>
      </c>
      <c r="AO4915">
        <v>31200</v>
      </c>
      <c r="AS4915" t="s">
        <v>46499</v>
      </c>
      <c r="AT4915" t="s">
        <v>46704</v>
      </c>
      <c r="AU4915">
        <v>4.35</v>
      </c>
      <c r="AV4915" t="s">
        <v>781</v>
      </c>
      <c r="AW4915" t="s">
        <v>46870</v>
      </c>
    </row>
    <row r="4916" spans="1:50">
      <c r="A4916" s="1">
        <f>HYPERLINK("https://lsnyc.legalserver.org/matter/dynamic-profile/view/1889084","19-1889084")</f>
        <v>0</v>
      </c>
      <c r="B4916" t="s">
        <v>64</v>
      </c>
      <c r="C4916" t="s">
        <v>341</v>
      </c>
      <c r="D4916" t="s">
        <v>709</v>
      </c>
      <c r="E4916" t="s">
        <v>765</v>
      </c>
      <c r="F4916" t="s">
        <v>3226</v>
      </c>
      <c r="G4916" t="s">
        <v>7476</v>
      </c>
      <c r="H4916" t="s">
        <v>10365</v>
      </c>
      <c r="I4916">
        <v>704</v>
      </c>
      <c r="J4916" t="s">
        <v>18892</v>
      </c>
      <c r="K4916">
        <v>10457</v>
      </c>
      <c r="L4916" t="s">
        <v>18958</v>
      </c>
      <c r="M4916" t="s">
        <v>18958</v>
      </c>
      <c r="N4916" t="s">
        <v>22636</v>
      </c>
      <c r="O4916" t="s">
        <v>26523</v>
      </c>
      <c r="P4916" t="s">
        <v>26560</v>
      </c>
      <c r="Q4916" t="s">
        <v>26568</v>
      </c>
      <c r="R4916" t="s">
        <v>26579</v>
      </c>
      <c r="S4916" t="s">
        <v>18959</v>
      </c>
      <c r="U4916" t="s">
        <v>26604</v>
      </c>
      <c r="V4916" t="s">
        <v>26610</v>
      </c>
      <c r="W4916" t="s">
        <v>709</v>
      </c>
      <c r="X4916">
        <v>1050</v>
      </c>
      <c r="Y4916" t="s">
        <v>26650</v>
      </c>
      <c r="Z4916" t="s">
        <v>26664</v>
      </c>
      <c r="AA4916" t="s">
        <v>26678</v>
      </c>
      <c r="AB4916" t="s">
        <v>30706</v>
      </c>
      <c r="AD4916" t="s">
        <v>40911</v>
      </c>
      <c r="AE4916">
        <v>281</v>
      </c>
      <c r="AF4916" t="s">
        <v>45541</v>
      </c>
      <c r="AG4916" t="s">
        <v>19330</v>
      </c>
      <c r="AH4916">
        <v>8</v>
      </c>
      <c r="AI4916">
        <v>2</v>
      </c>
      <c r="AJ4916">
        <v>3</v>
      </c>
      <c r="AK4916">
        <v>147.17</v>
      </c>
      <c r="AN4916" t="s">
        <v>7439</v>
      </c>
      <c r="AO4916">
        <v>44400</v>
      </c>
      <c r="AS4916" t="s">
        <v>46499</v>
      </c>
      <c r="AT4916" t="s">
        <v>46709</v>
      </c>
      <c r="AU4916">
        <v>13.1</v>
      </c>
      <c r="AV4916" t="s">
        <v>765</v>
      </c>
      <c r="AW4916" t="s">
        <v>46870</v>
      </c>
    </row>
    <row r="4917" spans="1:50">
      <c r="A4917" s="1">
        <f>HYPERLINK("https://lsnyc.legalserver.org/matter/dynamic-profile/view/1889034","19-1889034")</f>
        <v>0</v>
      </c>
      <c r="B4917" t="s">
        <v>102</v>
      </c>
      <c r="C4917" t="s">
        <v>341</v>
      </c>
      <c r="D4917" t="s">
        <v>709</v>
      </c>
      <c r="E4917" t="s">
        <v>780</v>
      </c>
      <c r="F4917" t="s">
        <v>3227</v>
      </c>
      <c r="G4917" t="s">
        <v>7477</v>
      </c>
      <c r="H4917" t="s">
        <v>13340</v>
      </c>
      <c r="J4917" t="s">
        <v>18902</v>
      </c>
      <c r="K4917">
        <v>10303</v>
      </c>
      <c r="L4917" t="s">
        <v>18958</v>
      </c>
      <c r="M4917" t="s">
        <v>18958</v>
      </c>
      <c r="N4917" t="s">
        <v>22637</v>
      </c>
      <c r="O4917" t="s">
        <v>26524</v>
      </c>
      <c r="P4917" t="s">
        <v>26560</v>
      </c>
      <c r="Q4917" t="s">
        <v>26568</v>
      </c>
      <c r="R4917" t="s">
        <v>26590</v>
      </c>
      <c r="S4917" t="s">
        <v>18959</v>
      </c>
      <c r="U4917" t="s">
        <v>26604</v>
      </c>
      <c r="V4917" t="s">
        <v>26610</v>
      </c>
      <c r="W4917" t="s">
        <v>709</v>
      </c>
      <c r="X4917">
        <v>1600</v>
      </c>
      <c r="Y4917" t="s">
        <v>26654</v>
      </c>
      <c r="Z4917" t="s">
        <v>26668</v>
      </c>
      <c r="AA4917" t="s">
        <v>26678</v>
      </c>
      <c r="AB4917" t="s">
        <v>30707</v>
      </c>
      <c r="AD4917" t="s">
        <v>40912</v>
      </c>
      <c r="AE4917">
        <v>1</v>
      </c>
      <c r="AF4917" t="s">
        <v>45547</v>
      </c>
      <c r="AG4917" t="s">
        <v>19330</v>
      </c>
      <c r="AH4917">
        <v>1</v>
      </c>
      <c r="AI4917">
        <v>2</v>
      </c>
      <c r="AJ4917">
        <v>4</v>
      </c>
      <c r="AK4917">
        <v>0</v>
      </c>
      <c r="AN4917" t="s">
        <v>7439</v>
      </c>
      <c r="AO4917">
        <v>0</v>
      </c>
      <c r="AS4917" t="s">
        <v>46499</v>
      </c>
      <c r="AT4917" t="s">
        <v>46607</v>
      </c>
      <c r="AU4917">
        <v>7</v>
      </c>
      <c r="AV4917" t="s">
        <v>788</v>
      </c>
      <c r="AW4917" t="s">
        <v>185</v>
      </c>
    </row>
    <row r="4918" spans="1:50">
      <c r="A4918" s="1">
        <f>HYPERLINK("https://lsnyc.legalserver.org/matter/dynamic-profile/view/1889077","19-1889077")</f>
        <v>0</v>
      </c>
      <c r="B4918" t="s">
        <v>218</v>
      </c>
      <c r="C4918" t="s">
        <v>341</v>
      </c>
      <c r="D4918" t="s">
        <v>709</v>
      </c>
      <c r="E4918" t="s">
        <v>737</v>
      </c>
      <c r="F4918" t="s">
        <v>1373</v>
      </c>
      <c r="G4918" t="s">
        <v>6711</v>
      </c>
      <c r="H4918" t="s">
        <v>13341</v>
      </c>
      <c r="I4918">
        <v>32</v>
      </c>
      <c r="J4918" t="s">
        <v>18893</v>
      </c>
      <c r="K4918">
        <v>10033</v>
      </c>
      <c r="L4918" t="s">
        <v>18958</v>
      </c>
      <c r="M4918" t="s">
        <v>18958</v>
      </c>
      <c r="N4918" t="s">
        <v>22638</v>
      </c>
      <c r="O4918" t="s">
        <v>26523</v>
      </c>
      <c r="P4918" t="s">
        <v>26564</v>
      </c>
      <c r="Q4918" t="s">
        <v>26570</v>
      </c>
      <c r="R4918" t="s">
        <v>26578</v>
      </c>
      <c r="S4918" t="s">
        <v>18959</v>
      </c>
      <c r="U4918" t="s">
        <v>26604</v>
      </c>
      <c r="W4918" t="s">
        <v>709</v>
      </c>
      <c r="X4918">
        <v>1486.14</v>
      </c>
      <c r="Y4918" t="s">
        <v>26651</v>
      </c>
      <c r="Z4918" t="s">
        <v>26661</v>
      </c>
      <c r="AA4918" t="s">
        <v>26683</v>
      </c>
      <c r="AB4918" t="s">
        <v>30708</v>
      </c>
      <c r="AD4918" t="s">
        <v>40913</v>
      </c>
      <c r="AE4918">
        <v>30</v>
      </c>
      <c r="AF4918" t="s">
        <v>45541</v>
      </c>
      <c r="AG4918" t="s">
        <v>19330</v>
      </c>
      <c r="AH4918">
        <v>2</v>
      </c>
      <c r="AI4918">
        <v>1</v>
      </c>
      <c r="AJ4918">
        <v>1</v>
      </c>
      <c r="AK4918">
        <v>57.34</v>
      </c>
      <c r="AN4918" t="s">
        <v>45581</v>
      </c>
      <c r="AO4918">
        <v>9696</v>
      </c>
      <c r="AU4918">
        <v>4.5</v>
      </c>
      <c r="AV4918" t="s">
        <v>677</v>
      </c>
      <c r="AW4918" t="s">
        <v>46840</v>
      </c>
    </row>
    <row r="4919" spans="1:50">
      <c r="A4919" s="1">
        <f>HYPERLINK("https://lsnyc.legalserver.org/matter/dynamic-profile/view/1889081","19-1889081")</f>
        <v>0</v>
      </c>
      <c r="B4919" t="s">
        <v>218</v>
      </c>
      <c r="C4919" t="s">
        <v>341</v>
      </c>
      <c r="D4919" t="s">
        <v>709</v>
      </c>
      <c r="E4919" t="s">
        <v>789</v>
      </c>
      <c r="F4919" t="s">
        <v>2067</v>
      </c>
      <c r="G4919" t="s">
        <v>6249</v>
      </c>
      <c r="H4919" t="s">
        <v>11323</v>
      </c>
      <c r="I4919" t="s">
        <v>17283</v>
      </c>
      <c r="J4919" t="s">
        <v>18893</v>
      </c>
      <c r="K4919">
        <v>10034</v>
      </c>
      <c r="L4919" t="s">
        <v>18958</v>
      </c>
      <c r="M4919" t="s">
        <v>18958</v>
      </c>
      <c r="O4919" t="s">
        <v>18997</v>
      </c>
      <c r="P4919" t="s">
        <v>26564</v>
      </c>
      <c r="Q4919" t="s">
        <v>26570</v>
      </c>
      <c r="R4919" t="s">
        <v>26578</v>
      </c>
      <c r="U4919" t="s">
        <v>26604</v>
      </c>
      <c r="V4919" t="s">
        <v>26610</v>
      </c>
      <c r="W4919" t="s">
        <v>709</v>
      </c>
      <c r="X4919">
        <v>871.59</v>
      </c>
      <c r="Y4919" t="s">
        <v>26651</v>
      </c>
      <c r="Z4919" t="s">
        <v>26659</v>
      </c>
      <c r="AA4919" t="s">
        <v>26683</v>
      </c>
      <c r="AB4919" t="s">
        <v>28514</v>
      </c>
      <c r="AD4919" t="s">
        <v>38571</v>
      </c>
      <c r="AE4919">
        <v>0</v>
      </c>
      <c r="AF4919" t="s">
        <v>45541</v>
      </c>
      <c r="AG4919" t="s">
        <v>19330</v>
      </c>
      <c r="AH4919">
        <v>12</v>
      </c>
      <c r="AI4919">
        <v>1</v>
      </c>
      <c r="AJ4919">
        <v>0</v>
      </c>
      <c r="AK4919">
        <v>82.34</v>
      </c>
      <c r="AN4919" t="s">
        <v>45581</v>
      </c>
      <c r="AO4919">
        <v>10284</v>
      </c>
      <c r="AU4919">
        <v>1.5</v>
      </c>
      <c r="AV4919" t="s">
        <v>714</v>
      </c>
      <c r="AW4919" t="s">
        <v>46840</v>
      </c>
    </row>
    <row r="4920" spans="1:50">
      <c r="A4920" s="1">
        <f>HYPERLINK("https://lsnyc.legalserver.org/matter/dynamic-profile/view/1890068","19-1890068")</f>
        <v>0</v>
      </c>
      <c r="B4920" t="s">
        <v>187</v>
      </c>
      <c r="C4920" t="s">
        <v>341</v>
      </c>
      <c r="D4920" t="s">
        <v>709</v>
      </c>
      <c r="E4920" t="s">
        <v>806</v>
      </c>
      <c r="F4920" t="s">
        <v>1562</v>
      </c>
      <c r="G4920" t="s">
        <v>7478</v>
      </c>
      <c r="H4920" t="s">
        <v>11467</v>
      </c>
      <c r="I4920" t="s">
        <v>17293</v>
      </c>
      <c r="J4920" t="s">
        <v>18892</v>
      </c>
      <c r="K4920">
        <v>10457</v>
      </c>
      <c r="L4920" t="s">
        <v>18958</v>
      </c>
      <c r="M4920" t="s">
        <v>18958</v>
      </c>
      <c r="N4920" t="s">
        <v>22639</v>
      </c>
      <c r="O4920" t="s">
        <v>26523</v>
      </c>
      <c r="P4920" t="s">
        <v>26560</v>
      </c>
      <c r="Q4920" t="s">
        <v>26573</v>
      </c>
      <c r="R4920" t="s">
        <v>26579</v>
      </c>
      <c r="S4920" t="s">
        <v>18959</v>
      </c>
      <c r="U4920" t="s">
        <v>26604</v>
      </c>
      <c r="V4920" t="s">
        <v>26610</v>
      </c>
      <c r="W4920" t="s">
        <v>709</v>
      </c>
      <c r="X4920">
        <v>1009.1</v>
      </c>
      <c r="Y4920" t="s">
        <v>26650</v>
      </c>
      <c r="Z4920" t="s">
        <v>26664</v>
      </c>
      <c r="AA4920" t="s">
        <v>26680</v>
      </c>
      <c r="AB4920" t="s">
        <v>30709</v>
      </c>
      <c r="AD4920" t="s">
        <v>40914</v>
      </c>
      <c r="AE4920">
        <v>20</v>
      </c>
      <c r="AF4920" t="s">
        <v>45541</v>
      </c>
      <c r="AG4920" t="s">
        <v>19330</v>
      </c>
      <c r="AH4920">
        <v>10</v>
      </c>
      <c r="AI4920">
        <v>1</v>
      </c>
      <c r="AJ4920">
        <v>2</v>
      </c>
      <c r="AK4920">
        <v>195.03</v>
      </c>
      <c r="AN4920" t="s">
        <v>7439</v>
      </c>
      <c r="AO4920">
        <v>41600</v>
      </c>
      <c r="AQ4920" t="s">
        <v>46362</v>
      </c>
      <c r="AR4920" t="s">
        <v>46379</v>
      </c>
      <c r="AS4920" t="s">
        <v>46499</v>
      </c>
      <c r="AT4920" t="s">
        <v>46784</v>
      </c>
      <c r="AU4920">
        <v>6</v>
      </c>
      <c r="AV4920" t="s">
        <v>816</v>
      </c>
      <c r="AW4920" t="s">
        <v>336</v>
      </c>
      <c r="AX4920" t="s">
        <v>46897</v>
      </c>
    </row>
    <row r="4921" spans="1:50">
      <c r="A4921" s="1">
        <f>HYPERLINK("https://lsnyc.legalserver.org/matter/dynamic-profile/view/1889043","19-1889043")</f>
        <v>0</v>
      </c>
      <c r="B4921" t="s">
        <v>164</v>
      </c>
      <c r="C4921" t="s">
        <v>340</v>
      </c>
      <c r="D4921" t="s">
        <v>709</v>
      </c>
      <c r="F4921" t="s">
        <v>1506</v>
      </c>
      <c r="G4921" t="s">
        <v>1901</v>
      </c>
      <c r="H4921" t="s">
        <v>9888</v>
      </c>
      <c r="I4921" t="s">
        <v>17618</v>
      </c>
      <c r="J4921" t="s">
        <v>18898</v>
      </c>
      <c r="K4921">
        <v>11691</v>
      </c>
      <c r="L4921" t="s">
        <v>18958</v>
      </c>
      <c r="M4921" t="s">
        <v>18958</v>
      </c>
      <c r="N4921" t="s">
        <v>22640</v>
      </c>
      <c r="O4921" t="s">
        <v>26531</v>
      </c>
      <c r="P4921" t="s">
        <v>26562</v>
      </c>
      <c r="R4921" t="s">
        <v>26578</v>
      </c>
      <c r="S4921" t="s">
        <v>18959</v>
      </c>
      <c r="U4921" t="s">
        <v>26604</v>
      </c>
      <c r="V4921" t="s">
        <v>26611</v>
      </c>
      <c r="W4921" t="s">
        <v>709</v>
      </c>
      <c r="X4921">
        <v>1020</v>
      </c>
      <c r="Y4921" t="s">
        <v>26653</v>
      </c>
      <c r="Z4921" t="s">
        <v>26659</v>
      </c>
      <c r="AB4921" t="s">
        <v>30710</v>
      </c>
      <c r="AD4921" t="s">
        <v>40915</v>
      </c>
      <c r="AE4921">
        <v>231</v>
      </c>
      <c r="AF4921" t="s">
        <v>45550</v>
      </c>
      <c r="AG4921" t="s">
        <v>19330</v>
      </c>
      <c r="AH4921">
        <v>7</v>
      </c>
      <c r="AI4921">
        <v>1</v>
      </c>
      <c r="AJ4921">
        <v>0</v>
      </c>
      <c r="AK4921">
        <v>124.9</v>
      </c>
      <c r="AN4921" t="s">
        <v>7439</v>
      </c>
      <c r="AO4921">
        <v>15600</v>
      </c>
      <c r="AU4921">
        <v>1</v>
      </c>
      <c r="AV4921" t="s">
        <v>709</v>
      </c>
      <c r="AW4921" t="s">
        <v>208</v>
      </c>
    </row>
    <row r="4922" spans="1:50">
      <c r="A4922" s="1">
        <f>HYPERLINK("https://lsnyc.legalserver.org/matter/dynamic-profile/view/1889088","19-1889088")</f>
        <v>0</v>
      </c>
      <c r="B4922" t="s">
        <v>61</v>
      </c>
      <c r="C4922" t="s">
        <v>340</v>
      </c>
      <c r="D4922" t="s">
        <v>709</v>
      </c>
      <c r="F4922" t="s">
        <v>875</v>
      </c>
      <c r="G4922" t="s">
        <v>6030</v>
      </c>
      <c r="H4922" t="s">
        <v>13342</v>
      </c>
      <c r="I4922">
        <v>33</v>
      </c>
      <c r="J4922" t="s">
        <v>18893</v>
      </c>
      <c r="K4922">
        <v>10034</v>
      </c>
      <c r="L4922" t="s">
        <v>18958</v>
      </c>
      <c r="M4922" t="s">
        <v>18958</v>
      </c>
      <c r="N4922" t="s">
        <v>22641</v>
      </c>
      <c r="O4922" t="s">
        <v>26523</v>
      </c>
      <c r="P4922" t="s">
        <v>26560</v>
      </c>
      <c r="R4922" t="s">
        <v>26578</v>
      </c>
      <c r="S4922" t="s">
        <v>18959</v>
      </c>
      <c r="U4922" t="s">
        <v>26604</v>
      </c>
      <c r="W4922" t="s">
        <v>709</v>
      </c>
      <c r="X4922">
        <v>1059</v>
      </c>
      <c r="Y4922" t="s">
        <v>26651</v>
      </c>
      <c r="Z4922" t="s">
        <v>26659</v>
      </c>
      <c r="AB4922" t="s">
        <v>30711</v>
      </c>
      <c r="AD4922" t="s">
        <v>40916</v>
      </c>
      <c r="AE4922">
        <v>25</v>
      </c>
      <c r="AF4922" t="s">
        <v>45555</v>
      </c>
      <c r="AG4922" t="s">
        <v>45558</v>
      </c>
      <c r="AH4922">
        <v>4</v>
      </c>
      <c r="AI4922">
        <v>1</v>
      </c>
      <c r="AJ4922">
        <v>4</v>
      </c>
      <c r="AK4922">
        <v>124.97</v>
      </c>
      <c r="AN4922" t="s">
        <v>45581</v>
      </c>
      <c r="AO4922">
        <v>37704</v>
      </c>
      <c r="AU4922">
        <v>25.95</v>
      </c>
      <c r="AV4922" t="s">
        <v>838</v>
      </c>
      <c r="AW4922" t="s">
        <v>46840</v>
      </c>
      <c r="AX4922" t="s">
        <v>46897</v>
      </c>
    </row>
    <row r="4923" spans="1:50">
      <c r="A4923" s="1">
        <f>HYPERLINK("https://lsnyc.legalserver.org/matter/dynamic-profile/view/1889085","19-1889085")</f>
        <v>0</v>
      </c>
      <c r="B4923" t="s">
        <v>61</v>
      </c>
      <c r="C4923" t="s">
        <v>340</v>
      </c>
      <c r="D4923" t="s">
        <v>709</v>
      </c>
      <c r="F4923" t="s">
        <v>875</v>
      </c>
      <c r="G4923" t="s">
        <v>6030</v>
      </c>
      <c r="H4923" t="s">
        <v>13342</v>
      </c>
      <c r="I4923">
        <v>33</v>
      </c>
      <c r="J4923" t="s">
        <v>18893</v>
      </c>
      <c r="K4923">
        <v>10034</v>
      </c>
      <c r="L4923" t="s">
        <v>18958</v>
      </c>
      <c r="M4923" t="s">
        <v>18958</v>
      </c>
      <c r="O4923" t="s">
        <v>26529</v>
      </c>
      <c r="P4923" t="s">
        <v>26562</v>
      </c>
      <c r="R4923" t="s">
        <v>26578</v>
      </c>
      <c r="S4923" t="s">
        <v>18959</v>
      </c>
      <c r="U4923" t="s">
        <v>26604</v>
      </c>
      <c r="W4923" t="s">
        <v>709</v>
      </c>
      <c r="X4923">
        <v>1059.36</v>
      </c>
      <c r="Y4923" t="s">
        <v>26651</v>
      </c>
      <c r="Z4923" t="s">
        <v>26659</v>
      </c>
      <c r="AB4923" t="s">
        <v>30711</v>
      </c>
      <c r="AD4923" t="s">
        <v>40916</v>
      </c>
      <c r="AE4923">
        <v>25</v>
      </c>
      <c r="AF4923" t="s">
        <v>45541</v>
      </c>
      <c r="AG4923" t="s">
        <v>45558</v>
      </c>
      <c r="AH4923">
        <v>4</v>
      </c>
      <c r="AI4923">
        <v>1</v>
      </c>
      <c r="AJ4923">
        <v>4</v>
      </c>
      <c r="AK4923">
        <v>124.97</v>
      </c>
      <c r="AN4923" t="s">
        <v>45581</v>
      </c>
      <c r="AO4923">
        <v>37704</v>
      </c>
      <c r="AU4923">
        <v>5.7</v>
      </c>
      <c r="AV4923" t="s">
        <v>829</v>
      </c>
      <c r="AW4923" t="s">
        <v>46840</v>
      </c>
    </row>
    <row r="4924" spans="1:50">
      <c r="A4924" s="1">
        <f>HYPERLINK("https://lsnyc.legalserver.org/matter/dynamic-profile/view/1890063","19-1890063")</f>
        <v>0</v>
      </c>
      <c r="B4924" t="s">
        <v>149</v>
      </c>
      <c r="C4924" t="s">
        <v>340</v>
      </c>
      <c r="D4924" t="s">
        <v>709</v>
      </c>
      <c r="F4924" t="s">
        <v>871</v>
      </c>
      <c r="G4924" t="s">
        <v>6399</v>
      </c>
      <c r="H4924" t="s">
        <v>13343</v>
      </c>
      <c r="I4924" t="s">
        <v>17362</v>
      </c>
      <c r="J4924" t="s">
        <v>18892</v>
      </c>
      <c r="K4924">
        <v>10457</v>
      </c>
      <c r="L4924" t="s">
        <v>18958</v>
      </c>
      <c r="M4924" t="s">
        <v>18958</v>
      </c>
      <c r="N4924" t="s">
        <v>22642</v>
      </c>
      <c r="O4924" t="s">
        <v>26523</v>
      </c>
      <c r="P4924" t="s">
        <v>26560</v>
      </c>
      <c r="R4924" t="s">
        <v>26579</v>
      </c>
      <c r="S4924" t="s">
        <v>18959</v>
      </c>
      <c r="U4924" t="s">
        <v>26604</v>
      </c>
      <c r="V4924" t="s">
        <v>26610</v>
      </c>
      <c r="W4924" t="s">
        <v>709</v>
      </c>
      <c r="X4924">
        <v>1321.29</v>
      </c>
      <c r="Y4924" t="s">
        <v>26650</v>
      </c>
      <c r="Z4924" t="s">
        <v>26664</v>
      </c>
      <c r="AB4924" t="s">
        <v>27566</v>
      </c>
      <c r="AD4924" t="s">
        <v>40917</v>
      </c>
      <c r="AE4924">
        <v>51</v>
      </c>
      <c r="AF4924" t="s">
        <v>20460</v>
      </c>
      <c r="AG4924" t="s">
        <v>19330</v>
      </c>
      <c r="AH4924">
        <v>8</v>
      </c>
      <c r="AI4924">
        <v>1</v>
      </c>
      <c r="AJ4924">
        <v>0</v>
      </c>
      <c r="AK4924">
        <v>184.15</v>
      </c>
      <c r="AN4924" t="s">
        <v>45581</v>
      </c>
      <c r="AO4924">
        <v>23000</v>
      </c>
      <c r="AR4924" t="s">
        <v>46385</v>
      </c>
      <c r="AS4924" t="s">
        <v>46499</v>
      </c>
      <c r="AT4924" t="s">
        <v>46570</v>
      </c>
      <c r="AU4924">
        <v>4.68</v>
      </c>
      <c r="AV4924" t="s">
        <v>777</v>
      </c>
      <c r="AW4924" t="s">
        <v>336</v>
      </c>
    </row>
    <row r="4925" spans="1:50">
      <c r="A4925" s="1">
        <f>HYPERLINK("https://lsnyc.legalserver.org/matter/dynamic-profile/view/1889000","19-1889000")</f>
        <v>0</v>
      </c>
      <c r="B4925" t="s">
        <v>50</v>
      </c>
      <c r="C4925" t="s">
        <v>340</v>
      </c>
      <c r="D4925" t="s">
        <v>709</v>
      </c>
      <c r="F4925" t="s">
        <v>1555</v>
      </c>
      <c r="G4925" t="s">
        <v>1680</v>
      </c>
      <c r="H4925" t="s">
        <v>9971</v>
      </c>
      <c r="I4925" t="s">
        <v>17352</v>
      </c>
      <c r="J4925" t="s">
        <v>18892</v>
      </c>
      <c r="K4925">
        <v>10468</v>
      </c>
      <c r="L4925" t="s">
        <v>18958</v>
      </c>
      <c r="M4925" t="s">
        <v>18958</v>
      </c>
      <c r="O4925" t="s">
        <v>26537</v>
      </c>
      <c r="P4925" t="s">
        <v>26562</v>
      </c>
      <c r="R4925" t="s">
        <v>26578</v>
      </c>
      <c r="S4925" t="s">
        <v>18959</v>
      </c>
      <c r="U4925" t="s">
        <v>26606</v>
      </c>
      <c r="W4925" t="s">
        <v>709</v>
      </c>
      <c r="X4925">
        <v>1508</v>
      </c>
      <c r="Y4925" t="s">
        <v>26650</v>
      </c>
      <c r="Z4925" t="s">
        <v>26659</v>
      </c>
      <c r="AB4925" t="s">
        <v>30081</v>
      </c>
      <c r="AC4925" t="s">
        <v>35689</v>
      </c>
      <c r="AD4925" t="s">
        <v>40211</v>
      </c>
      <c r="AE4925">
        <v>46</v>
      </c>
      <c r="AF4925" t="s">
        <v>45541</v>
      </c>
      <c r="AG4925" t="s">
        <v>19330</v>
      </c>
      <c r="AH4925">
        <v>20</v>
      </c>
      <c r="AI4925">
        <v>3</v>
      </c>
      <c r="AJ4925">
        <v>0</v>
      </c>
      <c r="AK4925">
        <v>39.83</v>
      </c>
      <c r="AN4925" t="s">
        <v>7439</v>
      </c>
      <c r="AO4925">
        <v>8496</v>
      </c>
      <c r="AU4925">
        <v>1</v>
      </c>
      <c r="AV4925" t="s">
        <v>791</v>
      </c>
      <c r="AW4925" t="s">
        <v>46870</v>
      </c>
    </row>
    <row r="4926" spans="1:50">
      <c r="A4926" s="1">
        <f>HYPERLINK("https://lsnyc.legalserver.org/matter/dynamic-profile/view/1889022","19-1889022")</f>
        <v>0</v>
      </c>
      <c r="B4926" t="s">
        <v>218</v>
      </c>
      <c r="C4926" t="s">
        <v>340</v>
      </c>
      <c r="D4926" t="s">
        <v>709</v>
      </c>
      <c r="F4926" t="s">
        <v>3228</v>
      </c>
      <c r="G4926" t="s">
        <v>7479</v>
      </c>
      <c r="H4926" t="s">
        <v>13344</v>
      </c>
      <c r="I4926" t="s">
        <v>17436</v>
      </c>
      <c r="J4926" t="s">
        <v>18893</v>
      </c>
      <c r="K4926">
        <v>10032</v>
      </c>
      <c r="L4926" t="s">
        <v>18958</v>
      </c>
      <c r="M4926" t="s">
        <v>18958</v>
      </c>
      <c r="O4926" t="s">
        <v>26529</v>
      </c>
      <c r="P4926" t="s">
        <v>26565</v>
      </c>
      <c r="R4926" t="s">
        <v>26578</v>
      </c>
      <c r="U4926" t="s">
        <v>26604</v>
      </c>
      <c r="W4926" t="s">
        <v>709</v>
      </c>
      <c r="X4926">
        <v>2297.05</v>
      </c>
      <c r="Y4926" t="s">
        <v>26651</v>
      </c>
      <c r="Z4926" t="s">
        <v>26661</v>
      </c>
      <c r="AB4926" t="s">
        <v>30712</v>
      </c>
      <c r="AD4926" t="s">
        <v>40918</v>
      </c>
      <c r="AE4926">
        <v>0</v>
      </c>
      <c r="AF4926" t="s">
        <v>45548</v>
      </c>
      <c r="AG4926" t="s">
        <v>19330</v>
      </c>
      <c r="AH4926">
        <v>20</v>
      </c>
      <c r="AI4926">
        <v>3</v>
      </c>
      <c r="AJ4926">
        <v>0</v>
      </c>
      <c r="AK4926">
        <v>0</v>
      </c>
      <c r="AN4926" t="s">
        <v>7439</v>
      </c>
      <c r="AO4926">
        <v>0</v>
      </c>
      <c r="AU4926">
        <v>2</v>
      </c>
      <c r="AV4926" t="s">
        <v>756</v>
      </c>
      <c r="AW4926" t="s">
        <v>46840</v>
      </c>
    </row>
    <row r="4927" spans="1:50">
      <c r="A4927" s="1">
        <f>HYPERLINK("https://lsnyc.legalserver.org/matter/dynamic-profile/view/1889002","19-1889002")</f>
        <v>0</v>
      </c>
      <c r="B4927" t="s">
        <v>273</v>
      </c>
      <c r="C4927" t="s">
        <v>340</v>
      </c>
      <c r="D4927" t="s">
        <v>709</v>
      </c>
      <c r="F4927" t="s">
        <v>3067</v>
      </c>
      <c r="G4927" t="s">
        <v>7480</v>
      </c>
      <c r="H4927" t="s">
        <v>13345</v>
      </c>
      <c r="I4927" t="s">
        <v>17273</v>
      </c>
      <c r="J4927" t="s">
        <v>18893</v>
      </c>
      <c r="K4927">
        <v>10040</v>
      </c>
      <c r="L4927" t="s">
        <v>18958</v>
      </c>
      <c r="M4927" t="s">
        <v>18958</v>
      </c>
      <c r="O4927" t="s">
        <v>26529</v>
      </c>
      <c r="P4927" t="s">
        <v>26560</v>
      </c>
      <c r="R4927" t="s">
        <v>26578</v>
      </c>
      <c r="S4927" t="s">
        <v>18959</v>
      </c>
      <c r="U4927" t="s">
        <v>26604</v>
      </c>
      <c r="W4927" t="s">
        <v>709</v>
      </c>
      <c r="X4927">
        <v>887.22</v>
      </c>
      <c r="Y4927" t="s">
        <v>26651</v>
      </c>
      <c r="Z4927" t="s">
        <v>26661</v>
      </c>
      <c r="AB4927" t="s">
        <v>30713</v>
      </c>
      <c r="AD4927" t="s">
        <v>40919</v>
      </c>
      <c r="AE4927">
        <v>150</v>
      </c>
      <c r="AF4927" t="s">
        <v>45541</v>
      </c>
      <c r="AG4927" t="s">
        <v>19330</v>
      </c>
      <c r="AH4927">
        <v>22</v>
      </c>
      <c r="AI4927">
        <v>4</v>
      </c>
      <c r="AJ4927">
        <v>0</v>
      </c>
      <c r="AK4927">
        <v>237.67</v>
      </c>
      <c r="AN4927" t="s">
        <v>45581</v>
      </c>
      <c r="AO4927">
        <v>61200</v>
      </c>
      <c r="AU4927">
        <v>62.85</v>
      </c>
      <c r="AV4927" t="s">
        <v>807</v>
      </c>
      <c r="AW4927" t="s">
        <v>46840</v>
      </c>
    </row>
    <row r="4928" spans="1:50">
      <c r="A4928" s="1">
        <f>HYPERLINK("https://lsnyc.legalserver.org/matter/dynamic-profile/view/1889616","19-1889616")</f>
        <v>0</v>
      </c>
      <c r="B4928" t="s">
        <v>199</v>
      </c>
      <c r="C4928" t="s">
        <v>340</v>
      </c>
      <c r="D4928" t="s">
        <v>735</v>
      </c>
      <c r="F4928" t="s">
        <v>3229</v>
      </c>
      <c r="G4928" t="s">
        <v>5794</v>
      </c>
      <c r="H4928" t="s">
        <v>13346</v>
      </c>
      <c r="J4928" t="s">
        <v>18894</v>
      </c>
      <c r="K4928">
        <v>11238</v>
      </c>
      <c r="L4928" t="s">
        <v>18958</v>
      </c>
      <c r="M4928" t="s">
        <v>18958</v>
      </c>
      <c r="N4928" t="s">
        <v>22643</v>
      </c>
      <c r="O4928" t="s">
        <v>26523</v>
      </c>
      <c r="P4928" t="s">
        <v>26560</v>
      </c>
      <c r="R4928" t="s">
        <v>26578</v>
      </c>
      <c r="S4928" t="s">
        <v>18959</v>
      </c>
      <c r="U4928" t="s">
        <v>26604</v>
      </c>
      <c r="W4928" t="s">
        <v>709</v>
      </c>
      <c r="X4928">
        <v>0</v>
      </c>
      <c r="Y4928" t="s">
        <v>26652</v>
      </c>
      <c r="Z4928" t="s">
        <v>26659</v>
      </c>
      <c r="AB4928" t="s">
        <v>30714</v>
      </c>
      <c r="AE4928">
        <v>0</v>
      </c>
      <c r="AF4928" t="s">
        <v>45543</v>
      </c>
      <c r="AH4928">
        <v>0</v>
      </c>
      <c r="AI4928">
        <v>2</v>
      </c>
      <c r="AJ4928">
        <v>1</v>
      </c>
      <c r="AK4928">
        <v>187.53</v>
      </c>
      <c r="AN4928" t="s">
        <v>7439</v>
      </c>
      <c r="AO4928">
        <v>40000</v>
      </c>
      <c r="AU4928">
        <v>44</v>
      </c>
      <c r="AV4928" t="s">
        <v>729</v>
      </c>
      <c r="AW4928" t="s">
        <v>219</v>
      </c>
    </row>
    <row r="4929" spans="1:50">
      <c r="A4929" s="1">
        <f>HYPERLINK("https://lsnyc.legalserver.org/matter/dynamic-profile/view/1853522","17-1853522")</f>
        <v>0</v>
      </c>
      <c r="B4929" t="s">
        <v>82</v>
      </c>
      <c r="C4929" t="s">
        <v>340</v>
      </c>
      <c r="D4929" t="s">
        <v>696</v>
      </c>
      <c r="F4929" t="s">
        <v>916</v>
      </c>
      <c r="G4929" t="s">
        <v>5447</v>
      </c>
      <c r="H4929" t="s">
        <v>9655</v>
      </c>
      <c r="I4929" t="s">
        <v>17464</v>
      </c>
      <c r="J4929" t="s">
        <v>18892</v>
      </c>
      <c r="K4929">
        <v>10457</v>
      </c>
      <c r="L4929" t="s">
        <v>18958</v>
      </c>
      <c r="M4929" t="s">
        <v>18960</v>
      </c>
      <c r="N4929" t="s">
        <v>22644</v>
      </c>
      <c r="O4929" t="s">
        <v>26524</v>
      </c>
      <c r="P4929" t="s">
        <v>26560</v>
      </c>
      <c r="R4929" t="s">
        <v>26579</v>
      </c>
      <c r="U4929" t="s">
        <v>26604</v>
      </c>
      <c r="W4929" t="s">
        <v>734</v>
      </c>
      <c r="X4929">
        <v>964.8200000000001</v>
      </c>
      <c r="Y4929" t="s">
        <v>26650</v>
      </c>
      <c r="Z4929" t="s">
        <v>26659</v>
      </c>
      <c r="AB4929" t="s">
        <v>28940</v>
      </c>
      <c r="AC4929" t="s">
        <v>35267</v>
      </c>
      <c r="AD4929" t="s">
        <v>38999</v>
      </c>
      <c r="AE4929">
        <v>0</v>
      </c>
      <c r="AF4929" t="s">
        <v>45541</v>
      </c>
      <c r="AG4929" t="s">
        <v>45557</v>
      </c>
      <c r="AH4929">
        <v>18</v>
      </c>
      <c r="AI4929">
        <v>2</v>
      </c>
      <c r="AJ4929">
        <v>2</v>
      </c>
      <c r="AK4929">
        <v>93.01000000000001</v>
      </c>
      <c r="AN4929" t="s">
        <v>45581</v>
      </c>
      <c r="AO4929">
        <v>22880</v>
      </c>
      <c r="AP4929" t="s">
        <v>45620</v>
      </c>
      <c r="AU4929">
        <v>6.6</v>
      </c>
      <c r="AV4929" t="s">
        <v>683</v>
      </c>
      <c r="AW4929" t="s">
        <v>46836</v>
      </c>
    </row>
    <row r="4930" spans="1:50">
      <c r="A4930" s="1">
        <f>HYPERLINK("https://lsnyc.legalserver.org/matter/dynamic-profile/view/1857340","18-1857340")</f>
        <v>0</v>
      </c>
      <c r="B4930" t="s">
        <v>81</v>
      </c>
      <c r="C4930" t="s">
        <v>341</v>
      </c>
      <c r="D4930" t="s">
        <v>674</v>
      </c>
      <c r="E4930" t="s">
        <v>724</v>
      </c>
      <c r="F4930" t="s">
        <v>1081</v>
      </c>
      <c r="G4930" t="s">
        <v>5147</v>
      </c>
      <c r="H4930" t="s">
        <v>13347</v>
      </c>
      <c r="I4930">
        <v>61</v>
      </c>
      <c r="J4930" t="s">
        <v>18892</v>
      </c>
      <c r="K4930">
        <v>10460</v>
      </c>
      <c r="L4930" t="s">
        <v>18958</v>
      </c>
      <c r="M4930" t="s">
        <v>18958</v>
      </c>
      <c r="N4930" t="s">
        <v>22645</v>
      </c>
      <c r="O4930" t="s">
        <v>26523</v>
      </c>
      <c r="P4930" t="s">
        <v>26560</v>
      </c>
      <c r="Q4930" t="s">
        <v>26568</v>
      </c>
      <c r="R4930" t="s">
        <v>26577</v>
      </c>
      <c r="S4930" t="s">
        <v>18959</v>
      </c>
      <c r="U4930" t="s">
        <v>26604</v>
      </c>
      <c r="V4930" t="s">
        <v>26611</v>
      </c>
      <c r="W4930" t="s">
        <v>734</v>
      </c>
      <c r="X4930">
        <v>199</v>
      </c>
      <c r="Y4930" t="s">
        <v>26650</v>
      </c>
      <c r="Z4930" t="s">
        <v>26656</v>
      </c>
      <c r="AA4930" t="s">
        <v>26678</v>
      </c>
      <c r="AB4930" t="s">
        <v>28248</v>
      </c>
      <c r="AE4930">
        <v>84</v>
      </c>
      <c r="AF4930" t="s">
        <v>45541</v>
      </c>
      <c r="AG4930" t="s">
        <v>26530</v>
      </c>
      <c r="AH4930">
        <v>3</v>
      </c>
      <c r="AI4930">
        <v>1</v>
      </c>
      <c r="AJ4930">
        <v>0</v>
      </c>
      <c r="AK4930">
        <v>72.94</v>
      </c>
      <c r="AN4930" t="s">
        <v>7439</v>
      </c>
      <c r="AO4930">
        <v>8796</v>
      </c>
      <c r="AP4930" t="s">
        <v>45620</v>
      </c>
      <c r="AQ4930" t="s">
        <v>46365</v>
      </c>
      <c r="AR4930" t="s">
        <v>46379</v>
      </c>
      <c r="AS4930" t="s">
        <v>46499</v>
      </c>
      <c r="AT4930" t="s">
        <v>46672</v>
      </c>
      <c r="AU4930">
        <v>32.7</v>
      </c>
      <c r="AV4930" t="s">
        <v>714</v>
      </c>
      <c r="AW4930" t="s">
        <v>46848</v>
      </c>
    </row>
    <row r="4931" spans="1:50">
      <c r="A4931" s="1">
        <f>HYPERLINK("https://lsnyc.legalserver.org/matter/dynamic-profile/view/1889107","19-1889107")</f>
        <v>0</v>
      </c>
      <c r="B4931" t="s">
        <v>54</v>
      </c>
      <c r="C4931" t="s">
        <v>340</v>
      </c>
      <c r="D4931" t="s">
        <v>734</v>
      </c>
      <c r="F4931" t="s">
        <v>1797</v>
      </c>
      <c r="G4931" t="s">
        <v>7044</v>
      </c>
      <c r="H4931" t="s">
        <v>13348</v>
      </c>
      <c r="J4931" t="s">
        <v>18892</v>
      </c>
      <c r="K4931">
        <v>10455</v>
      </c>
      <c r="L4931" t="s">
        <v>18958</v>
      </c>
      <c r="M4931" t="s">
        <v>18958</v>
      </c>
      <c r="N4931" t="s">
        <v>22646</v>
      </c>
      <c r="O4931" t="s">
        <v>26523</v>
      </c>
      <c r="P4931" t="s">
        <v>26560</v>
      </c>
      <c r="R4931" t="s">
        <v>26577</v>
      </c>
      <c r="U4931" t="s">
        <v>26604</v>
      </c>
      <c r="V4931" t="s">
        <v>26612</v>
      </c>
      <c r="W4931" t="s">
        <v>734</v>
      </c>
      <c r="X4931">
        <v>1340.46</v>
      </c>
      <c r="Y4931" t="s">
        <v>26650</v>
      </c>
      <c r="Z4931" t="s">
        <v>26655</v>
      </c>
      <c r="AB4931" t="s">
        <v>30715</v>
      </c>
      <c r="AC4931" t="s">
        <v>35876</v>
      </c>
      <c r="AE4931">
        <v>49</v>
      </c>
      <c r="AF4931" t="s">
        <v>45541</v>
      </c>
      <c r="AG4931" t="s">
        <v>19330</v>
      </c>
      <c r="AH4931">
        <v>12</v>
      </c>
      <c r="AI4931">
        <v>1</v>
      </c>
      <c r="AJ4931">
        <v>4</v>
      </c>
      <c r="AK4931">
        <v>51.71</v>
      </c>
      <c r="AN4931" t="s">
        <v>45581</v>
      </c>
      <c r="AO4931">
        <v>15600</v>
      </c>
      <c r="AU4931">
        <v>28.2</v>
      </c>
      <c r="AV4931" t="s">
        <v>838</v>
      </c>
      <c r="AW4931" t="s">
        <v>46881</v>
      </c>
    </row>
    <row r="4932" spans="1:50">
      <c r="A4932" s="1">
        <f>HYPERLINK("https://lsnyc.legalserver.org/matter/dynamic-profile/view/0824874","17-0824874")</f>
        <v>0</v>
      </c>
      <c r="B4932" t="s">
        <v>245</v>
      </c>
      <c r="C4932" t="s">
        <v>340</v>
      </c>
      <c r="D4932" t="s">
        <v>736</v>
      </c>
      <c r="F4932" t="s">
        <v>1429</v>
      </c>
      <c r="G4932" t="s">
        <v>5173</v>
      </c>
      <c r="H4932" t="s">
        <v>13349</v>
      </c>
      <c r="I4932" t="s">
        <v>17299</v>
      </c>
      <c r="J4932" t="s">
        <v>18892</v>
      </c>
      <c r="K4932">
        <v>10458</v>
      </c>
      <c r="L4932" t="s">
        <v>18958</v>
      </c>
      <c r="M4932" t="s">
        <v>18958</v>
      </c>
      <c r="N4932" t="s">
        <v>22647</v>
      </c>
      <c r="O4932" t="s">
        <v>26523</v>
      </c>
      <c r="P4932" t="s">
        <v>26560</v>
      </c>
      <c r="R4932" t="s">
        <v>26577</v>
      </c>
      <c r="S4932" t="s">
        <v>18959</v>
      </c>
      <c r="U4932" t="s">
        <v>26604</v>
      </c>
      <c r="V4932" t="s">
        <v>26610</v>
      </c>
      <c r="W4932" t="s">
        <v>693</v>
      </c>
      <c r="X4932">
        <v>1609.15</v>
      </c>
      <c r="Y4932" t="s">
        <v>26650</v>
      </c>
      <c r="Z4932" t="s">
        <v>26659</v>
      </c>
      <c r="AB4932" t="s">
        <v>30716</v>
      </c>
      <c r="AC4932" t="s">
        <v>35877</v>
      </c>
      <c r="AD4932" t="s">
        <v>40920</v>
      </c>
      <c r="AE4932">
        <v>0</v>
      </c>
      <c r="AF4932" t="s">
        <v>45541</v>
      </c>
      <c r="AG4932" t="s">
        <v>45556</v>
      </c>
      <c r="AH4932">
        <v>3</v>
      </c>
      <c r="AI4932">
        <v>1</v>
      </c>
      <c r="AJ4932">
        <v>1</v>
      </c>
      <c r="AK4932">
        <v>58.21</v>
      </c>
      <c r="AN4932" t="s">
        <v>7439</v>
      </c>
      <c r="AO4932">
        <v>9325.6</v>
      </c>
      <c r="AP4932" t="s">
        <v>45617</v>
      </c>
      <c r="AU4932">
        <v>64.2</v>
      </c>
      <c r="AV4932" t="s">
        <v>825</v>
      </c>
      <c r="AW4932" t="s">
        <v>299</v>
      </c>
    </row>
    <row r="4933" spans="1:50">
      <c r="A4933" s="1">
        <f>HYPERLINK("https://lsnyc.legalserver.org/matter/dynamic-profile/view/1885783","18-1885783")</f>
        <v>0</v>
      </c>
      <c r="B4933" t="s">
        <v>155</v>
      </c>
      <c r="C4933" t="s">
        <v>340</v>
      </c>
      <c r="D4933" t="s">
        <v>697</v>
      </c>
      <c r="F4933" t="s">
        <v>1237</v>
      </c>
      <c r="G4933" t="s">
        <v>5891</v>
      </c>
      <c r="H4933" t="s">
        <v>13350</v>
      </c>
      <c r="I4933" t="s">
        <v>18145</v>
      </c>
      <c r="J4933" t="s">
        <v>18894</v>
      </c>
      <c r="K4933">
        <v>11226</v>
      </c>
      <c r="L4933" t="s">
        <v>18958</v>
      </c>
      <c r="M4933" t="s">
        <v>18960</v>
      </c>
      <c r="N4933" t="s">
        <v>22648</v>
      </c>
      <c r="O4933" t="s">
        <v>26523</v>
      </c>
      <c r="P4933" t="s">
        <v>26560</v>
      </c>
      <c r="R4933" t="s">
        <v>26583</v>
      </c>
      <c r="U4933" t="s">
        <v>26604</v>
      </c>
      <c r="W4933" t="s">
        <v>693</v>
      </c>
      <c r="X4933">
        <v>1409</v>
      </c>
      <c r="Y4933" t="s">
        <v>26652</v>
      </c>
      <c r="Z4933" t="s">
        <v>26664</v>
      </c>
      <c r="AB4933" t="s">
        <v>30717</v>
      </c>
      <c r="AD4933" t="s">
        <v>40921</v>
      </c>
      <c r="AE4933">
        <v>59</v>
      </c>
      <c r="AG4933" t="s">
        <v>19330</v>
      </c>
      <c r="AH4933">
        <v>12</v>
      </c>
      <c r="AI4933">
        <v>1</v>
      </c>
      <c r="AJ4933">
        <v>0</v>
      </c>
      <c r="AK4933">
        <v>209.45</v>
      </c>
      <c r="AL4933" t="s">
        <v>574</v>
      </c>
      <c r="AM4933" t="s">
        <v>45575</v>
      </c>
      <c r="AN4933" t="s">
        <v>7439</v>
      </c>
      <c r="AO4933">
        <v>25427</v>
      </c>
      <c r="AU4933">
        <v>11.3</v>
      </c>
      <c r="AV4933" t="s">
        <v>775</v>
      </c>
      <c r="AW4933" t="s">
        <v>46862</v>
      </c>
      <c r="AX4933" t="s">
        <v>46897</v>
      </c>
    </row>
    <row r="4934" spans="1:50">
      <c r="A4934" s="1">
        <f>HYPERLINK("https://lsnyc.legalserver.org/matter/dynamic-profile/view/1888395","19-1888395")</f>
        <v>0</v>
      </c>
      <c r="B4934" t="s">
        <v>200</v>
      </c>
      <c r="C4934" t="s">
        <v>341</v>
      </c>
      <c r="D4934" t="s">
        <v>727</v>
      </c>
      <c r="E4934" t="s">
        <v>693</v>
      </c>
      <c r="F4934" t="s">
        <v>3230</v>
      </c>
      <c r="G4934" t="s">
        <v>7481</v>
      </c>
      <c r="H4934" t="s">
        <v>13351</v>
      </c>
      <c r="I4934" t="s">
        <v>18171</v>
      </c>
      <c r="J4934" t="s">
        <v>18894</v>
      </c>
      <c r="K4934">
        <v>11233</v>
      </c>
      <c r="L4934" t="s">
        <v>18958</v>
      </c>
      <c r="M4934" t="s">
        <v>18958</v>
      </c>
      <c r="N4934" t="s">
        <v>22649</v>
      </c>
      <c r="O4934" t="s">
        <v>26523</v>
      </c>
      <c r="P4934" t="s">
        <v>26564</v>
      </c>
      <c r="Q4934" t="s">
        <v>26570</v>
      </c>
      <c r="R4934" t="s">
        <v>26578</v>
      </c>
      <c r="S4934" t="s">
        <v>18959</v>
      </c>
      <c r="U4934" t="s">
        <v>26604</v>
      </c>
      <c r="W4934" t="s">
        <v>693</v>
      </c>
      <c r="X4934">
        <v>2400</v>
      </c>
      <c r="Y4934" t="s">
        <v>26652</v>
      </c>
      <c r="Z4934" t="s">
        <v>26668</v>
      </c>
      <c r="AA4934" t="s">
        <v>26683</v>
      </c>
      <c r="AB4934" t="s">
        <v>30718</v>
      </c>
      <c r="AC4934" t="s">
        <v>35878</v>
      </c>
      <c r="AD4934" t="s">
        <v>40922</v>
      </c>
      <c r="AE4934">
        <v>119</v>
      </c>
      <c r="AF4934" t="s">
        <v>45553</v>
      </c>
      <c r="AH4934">
        <v>1</v>
      </c>
      <c r="AI4934">
        <v>1</v>
      </c>
      <c r="AJ4934">
        <v>1</v>
      </c>
      <c r="AK4934">
        <v>0</v>
      </c>
      <c r="AM4934" t="s">
        <v>45575</v>
      </c>
      <c r="AN4934" t="s">
        <v>7439</v>
      </c>
      <c r="AO4934">
        <v>0</v>
      </c>
      <c r="AU4934">
        <v>3.5</v>
      </c>
      <c r="AV4934" t="s">
        <v>698</v>
      </c>
      <c r="AW4934" t="s">
        <v>323</v>
      </c>
    </row>
    <row r="4935" spans="1:50">
      <c r="A4935" s="1">
        <f>HYPERLINK("https://lsnyc.legalserver.org/matter/dynamic-profile/view/1888425","19-1888425")</f>
        <v>0</v>
      </c>
      <c r="B4935" t="s">
        <v>191</v>
      </c>
      <c r="C4935" t="s">
        <v>340</v>
      </c>
      <c r="D4935" t="s">
        <v>719</v>
      </c>
      <c r="F4935" t="s">
        <v>980</v>
      </c>
      <c r="G4935" t="s">
        <v>7482</v>
      </c>
      <c r="H4935" t="s">
        <v>13352</v>
      </c>
      <c r="I4935" t="s">
        <v>18172</v>
      </c>
      <c r="J4935" t="s">
        <v>18893</v>
      </c>
      <c r="K4935">
        <v>10028</v>
      </c>
      <c r="L4935" t="s">
        <v>18958</v>
      </c>
      <c r="M4935" t="s">
        <v>18958</v>
      </c>
      <c r="N4935">
        <v>80357</v>
      </c>
      <c r="O4935" t="s">
        <v>26524</v>
      </c>
      <c r="P4935" t="s">
        <v>26564</v>
      </c>
      <c r="R4935" t="s">
        <v>26582</v>
      </c>
      <c r="S4935" t="s">
        <v>18959</v>
      </c>
      <c r="U4935" t="s">
        <v>26604</v>
      </c>
      <c r="W4935" t="s">
        <v>693</v>
      </c>
      <c r="X4935">
        <v>522.72</v>
      </c>
      <c r="Y4935" t="s">
        <v>26651</v>
      </c>
      <c r="Z4935" t="s">
        <v>26664</v>
      </c>
      <c r="AB4935" t="s">
        <v>30719</v>
      </c>
      <c r="AC4935" t="s">
        <v>35879</v>
      </c>
      <c r="AD4935" t="s">
        <v>40923</v>
      </c>
      <c r="AE4935">
        <v>17</v>
      </c>
      <c r="AH4935">
        <v>3</v>
      </c>
      <c r="AI4935">
        <v>1</v>
      </c>
      <c r="AJ4935">
        <v>0</v>
      </c>
      <c r="AK4935">
        <v>85.7</v>
      </c>
      <c r="AN4935" t="s">
        <v>7439</v>
      </c>
      <c r="AO4935">
        <v>10404</v>
      </c>
      <c r="AU4935">
        <v>2.8</v>
      </c>
      <c r="AV4935" t="s">
        <v>690</v>
      </c>
      <c r="AW4935" t="s">
        <v>46838</v>
      </c>
    </row>
    <row r="4936" spans="1:50">
      <c r="A4936" s="1">
        <f>HYPERLINK("https://lsnyc.legalserver.org/matter/dynamic-profile/view/1889066","19-1889066")</f>
        <v>0</v>
      </c>
      <c r="B4936" t="s">
        <v>280</v>
      </c>
      <c r="C4936" t="s">
        <v>341</v>
      </c>
      <c r="D4936" t="s">
        <v>709</v>
      </c>
      <c r="E4936" t="s">
        <v>751</v>
      </c>
      <c r="F4936" t="s">
        <v>1506</v>
      </c>
      <c r="G4936" t="s">
        <v>1901</v>
      </c>
      <c r="H4936" t="s">
        <v>9888</v>
      </c>
      <c r="I4936" t="s">
        <v>17618</v>
      </c>
      <c r="J4936" t="s">
        <v>18898</v>
      </c>
      <c r="K4936">
        <v>11691</v>
      </c>
      <c r="L4936" t="s">
        <v>18958</v>
      </c>
      <c r="M4936" t="s">
        <v>18958</v>
      </c>
      <c r="N4936" t="s">
        <v>22650</v>
      </c>
      <c r="O4936" t="s">
        <v>26523</v>
      </c>
      <c r="P4936" t="s">
        <v>26560</v>
      </c>
      <c r="Q4936" t="s">
        <v>26568</v>
      </c>
      <c r="R4936" t="s">
        <v>26578</v>
      </c>
      <c r="S4936" t="s">
        <v>18959</v>
      </c>
      <c r="U4936" t="s">
        <v>26604</v>
      </c>
      <c r="V4936" t="s">
        <v>26612</v>
      </c>
      <c r="W4936" t="s">
        <v>693</v>
      </c>
      <c r="X4936">
        <v>1174</v>
      </c>
      <c r="Y4936" t="s">
        <v>26653</v>
      </c>
      <c r="Z4936" t="s">
        <v>26666</v>
      </c>
      <c r="AA4936" t="s">
        <v>26678</v>
      </c>
      <c r="AB4936" t="s">
        <v>30710</v>
      </c>
      <c r="AD4936" t="s">
        <v>40915</v>
      </c>
      <c r="AE4936">
        <v>232</v>
      </c>
      <c r="AF4936" t="s">
        <v>45550</v>
      </c>
      <c r="AG4936" t="s">
        <v>19330</v>
      </c>
      <c r="AH4936">
        <v>9</v>
      </c>
      <c r="AI4936">
        <v>1</v>
      </c>
      <c r="AJ4936">
        <v>0</v>
      </c>
      <c r="AK4936">
        <v>124.9</v>
      </c>
      <c r="AN4936" t="s">
        <v>7439</v>
      </c>
      <c r="AO4936">
        <v>15600</v>
      </c>
      <c r="AQ4936" t="s">
        <v>46365</v>
      </c>
      <c r="AR4936" t="s">
        <v>46379</v>
      </c>
      <c r="AS4936" t="s">
        <v>46499</v>
      </c>
      <c r="AT4936" t="s">
        <v>46586</v>
      </c>
      <c r="AU4936">
        <v>1.8</v>
      </c>
      <c r="AV4936" t="s">
        <v>751</v>
      </c>
      <c r="AW4936" t="s">
        <v>280</v>
      </c>
    </row>
    <row r="4937" spans="1:50">
      <c r="A4937" s="1">
        <f>HYPERLINK("https://lsnyc.legalserver.org/matter/dynamic-profile/view/1889175","19-1889175")</f>
        <v>0</v>
      </c>
      <c r="B4937" t="s">
        <v>70</v>
      </c>
      <c r="C4937" t="s">
        <v>341</v>
      </c>
      <c r="D4937" t="s">
        <v>693</v>
      </c>
      <c r="E4937" t="s">
        <v>833</v>
      </c>
      <c r="F4937" t="s">
        <v>916</v>
      </c>
      <c r="G4937" t="s">
        <v>7146</v>
      </c>
      <c r="H4937" t="s">
        <v>9679</v>
      </c>
      <c r="I4937" t="s">
        <v>17465</v>
      </c>
      <c r="J4937" t="s">
        <v>18892</v>
      </c>
      <c r="K4937">
        <v>10457</v>
      </c>
      <c r="L4937" t="s">
        <v>18958</v>
      </c>
      <c r="M4937" t="s">
        <v>18958</v>
      </c>
      <c r="N4937" t="s">
        <v>22651</v>
      </c>
      <c r="O4937" t="s">
        <v>26524</v>
      </c>
      <c r="P4937" t="s">
        <v>26560</v>
      </c>
      <c r="Q4937" t="s">
        <v>26568</v>
      </c>
      <c r="R4937" t="s">
        <v>26579</v>
      </c>
      <c r="S4937" t="s">
        <v>18959</v>
      </c>
      <c r="U4937" t="s">
        <v>26604</v>
      </c>
      <c r="V4937" t="s">
        <v>26609</v>
      </c>
      <c r="W4937" t="s">
        <v>693</v>
      </c>
      <c r="X4937">
        <v>697</v>
      </c>
      <c r="Y4937" t="s">
        <v>26650</v>
      </c>
      <c r="Z4937" t="s">
        <v>26668</v>
      </c>
      <c r="AA4937" t="s">
        <v>26678</v>
      </c>
      <c r="AB4937" t="s">
        <v>30720</v>
      </c>
      <c r="AD4937" t="s">
        <v>40924</v>
      </c>
      <c r="AE4937">
        <v>215</v>
      </c>
      <c r="AF4937" t="s">
        <v>45552</v>
      </c>
      <c r="AG4937" t="s">
        <v>19330</v>
      </c>
      <c r="AH4937">
        <v>8</v>
      </c>
      <c r="AI4937">
        <v>2</v>
      </c>
      <c r="AJ4937">
        <v>0</v>
      </c>
      <c r="AK4937">
        <v>138.38</v>
      </c>
      <c r="AN4937" t="s">
        <v>7439</v>
      </c>
      <c r="AO4937">
        <v>23400</v>
      </c>
      <c r="AQ4937" t="s">
        <v>46361</v>
      </c>
      <c r="AR4937" t="s">
        <v>46488</v>
      </c>
      <c r="AS4937" t="s">
        <v>46499</v>
      </c>
      <c r="AT4937" t="s">
        <v>46755</v>
      </c>
      <c r="AU4937">
        <v>13.1</v>
      </c>
      <c r="AV4937" t="s">
        <v>773</v>
      </c>
      <c r="AW4937" t="s">
        <v>46842</v>
      </c>
      <c r="AX4937" t="s">
        <v>46897</v>
      </c>
    </row>
    <row r="4938" spans="1:50">
      <c r="A4938" s="1">
        <f>HYPERLINK("https://lsnyc.legalserver.org/matter/dynamic-profile/view/1889682","19-1889682")</f>
        <v>0</v>
      </c>
      <c r="B4938" t="s">
        <v>60</v>
      </c>
      <c r="C4938" t="s">
        <v>341</v>
      </c>
      <c r="D4938" t="s">
        <v>693</v>
      </c>
      <c r="E4938" t="s">
        <v>766</v>
      </c>
      <c r="F4938" t="s">
        <v>880</v>
      </c>
      <c r="G4938" t="s">
        <v>5080</v>
      </c>
      <c r="H4938" t="s">
        <v>9648</v>
      </c>
      <c r="I4938" t="s">
        <v>17279</v>
      </c>
      <c r="J4938" t="s">
        <v>18892</v>
      </c>
      <c r="K4938">
        <v>10452</v>
      </c>
      <c r="L4938" t="s">
        <v>18958</v>
      </c>
      <c r="M4938" t="s">
        <v>18958</v>
      </c>
      <c r="O4938" t="s">
        <v>18997</v>
      </c>
      <c r="P4938" t="s">
        <v>26562</v>
      </c>
      <c r="Q4938" t="s">
        <v>26573</v>
      </c>
      <c r="R4938" t="s">
        <v>26578</v>
      </c>
      <c r="S4938" t="s">
        <v>18959</v>
      </c>
      <c r="U4938" t="s">
        <v>26604</v>
      </c>
      <c r="W4938" t="s">
        <v>693</v>
      </c>
      <c r="X4938">
        <v>1129.77</v>
      </c>
      <c r="Y4938" t="s">
        <v>26650</v>
      </c>
      <c r="Z4938" t="s">
        <v>26661</v>
      </c>
      <c r="AA4938" t="s">
        <v>26682</v>
      </c>
      <c r="AB4938" t="s">
        <v>26708</v>
      </c>
      <c r="AD4938" t="s">
        <v>36823</v>
      </c>
      <c r="AE4938">
        <v>121</v>
      </c>
      <c r="AF4938" t="s">
        <v>45541</v>
      </c>
      <c r="AG4938" t="s">
        <v>19330</v>
      </c>
      <c r="AH4938">
        <v>4</v>
      </c>
      <c r="AI4938">
        <v>2</v>
      </c>
      <c r="AJ4938">
        <v>4</v>
      </c>
      <c r="AK4938">
        <v>114.19</v>
      </c>
      <c r="AN4938" t="s">
        <v>7439</v>
      </c>
      <c r="AO4938">
        <v>39500</v>
      </c>
      <c r="AU4938">
        <v>1</v>
      </c>
      <c r="AV4938" t="s">
        <v>693</v>
      </c>
      <c r="AW4938" t="s">
        <v>336</v>
      </c>
    </row>
    <row r="4939" spans="1:50">
      <c r="A4939" s="1">
        <f>HYPERLINK("https://lsnyc.legalserver.org/matter/dynamic-profile/view/1889172","19-1889172")</f>
        <v>0</v>
      </c>
      <c r="B4939" t="s">
        <v>144</v>
      </c>
      <c r="C4939" t="s">
        <v>340</v>
      </c>
      <c r="D4939" t="s">
        <v>693</v>
      </c>
      <c r="F4939" t="s">
        <v>994</v>
      </c>
      <c r="G4939" t="s">
        <v>3190</v>
      </c>
      <c r="H4939" t="s">
        <v>13353</v>
      </c>
      <c r="I4939" t="s">
        <v>17301</v>
      </c>
      <c r="J4939" t="s">
        <v>18893</v>
      </c>
      <c r="K4939">
        <v>10031</v>
      </c>
      <c r="L4939" t="s">
        <v>18958</v>
      </c>
      <c r="M4939" t="s">
        <v>18958</v>
      </c>
      <c r="N4939" t="s">
        <v>22652</v>
      </c>
      <c r="O4939" t="s">
        <v>26523</v>
      </c>
      <c r="P4939" t="s">
        <v>26560</v>
      </c>
      <c r="R4939" t="s">
        <v>26580</v>
      </c>
      <c r="S4939" t="s">
        <v>18959</v>
      </c>
      <c r="U4939" t="s">
        <v>26604</v>
      </c>
      <c r="V4939" t="s">
        <v>26610</v>
      </c>
      <c r="W4939" t="s">
        <v>693</v>
      </c>
      <c r="X4939">
        <v>651</v>
      </c>
      <c r="Y4939" t="s">
        <v>26651</v>
      </c>
      <c r="Z4939" t="s">
        <v>26668</v>
      </c>
      <c r="AB4939" t="s">
        <v>30721</v>
      </c>
      <c r="AC4939" t="s">
        <v>35880</v>
      </c>
      <c r="AD4939" t="s">
        <v>40925</v>
      </c>
      <c r="AE4939">
        <v>13</v>
      </c>
      <c r="AF4939" t="s">
        <v>45544</v>
      </c>
      <c r="AG4939" t="s">
        <v>19330</v>
      </c>
      <c r="AH4939">
        <v>12</v>
      </c>
      <c r="AI4939">
        <v>1</v>
      </c>
      <c r="AJ4939">
        <v>0</v>
      </c>
      <c r="AK4939">
        <v>26.33</v>
      </c>
      <c r="AN4939" t="s">
        <v>7439</v>
      </c>
      <c r="AO4939">
        <v>3288</v>
      </c>
      <c r="AU4939">
        <v>13.9</v>
      </c>
      <c r="AV4939" t="s">
        <v>808</v>
      </c>
      <c r="AW4939" t="s">
        <v>46875</v>
      </c>
    </row>
    <row r="4940" spans="1:50">
      <c r="A4940" s="1">
        <f>HYPERLINK("https://lsnyc.legalserver.org/matter/dynamic-profile/view/1889152","19-1889152")</f>
        <v>0</v>
      </c>
      <c r="B4940" t="s">
        <v>144</v>
      </c>
      <c r="C4940" t="s">
        <v>340</v>
      </c>
      <c r="D4940" t="s">
        <v>693</v>
      </c>
      <c r="F4940" t="s">
        <v>1219</v>
      </c>
      <c r="G4940" t="s">
        <v>5147</v>
      </c>
      <c r="H4940" t="s">
        <v>13354</v>
      </c>
      <c r="I4940" t="s">
        <v>17327</v>
      </c>
      <c r="J4940" t="s">
        <v>18893</v>
      </c>
      <c r="K4940">
        <v>10031</v>
      </c>
      <c r="L4940" t="s">
        <v>18958</v>
      </c>
      <c r="M4940" t="s">
        <v>18958</v>
      </c>
      <c r="O4940" t="s">
        <v>26524</v>
      </c>
      <c r="P4940" t="s">
        <v>26564</v>
      </c>
      <c r="R4940" t="s">
        <v>26580</v>
      </c>
      <c r="S4940" t="s">
        <v>18959</v>
      </c>
      <c r="U4940" t="s">
        <v>26604</v>
      </c>
      <c r="V4940" t="s">
        <v>26610</v>
      </c>
      <c r="W4940" t="s">
        <v>693</v>
      </c>
      <c r="X4940">
        <v>0</v>
      </c>
      <c r="Y4940" t="s">
        <v>26651</v>
      </c>
      <c r="Z4940" t="s">
        <v>26664</v>
      </c>
      <c r="AB4940" t="s">
        <v>30722</v>
      </c>
      <c r="AD4940" t="s">
        <v>40926</v>
      </c>
      <c r="AE4940">
        <v>0</v>
      </c>
      <c r="AF4940" t="s">
        <v>45541</v>
      </c>
      <c r="AG4940" t="s">
        <v>19330</v>
      </c>
      <c r="AH4940">
        <v>10</v>
      </c>
      <c r="AI4940">
        <v>1</v>
      </c>
      <c r="AJ4940">
        <v>0</v>
      </c>
      <c r="AK4940">
        <v>192.15</v>
      </c>
      <c r="AN4940" t="s">
        <v>45581</v>
      </c>
      <c r="AO4940">
        <v>24000</v>
      </c>
      <c r="AU4940">
        <v>10.25</v>
      </c>
      <c r="AV4940" t="s">
        <v>816</v>
      </c>
      <c r="AW4940" t="s">
        <v>46840</v>
      </c>
    </row>
    <row r="4941" spans="1:50">
      <c r="A4941" s="1">
        <f>HYPERLINK("https://lsnyc.legalserver.org/matter/dynamic-profile/view/1889130","19-1889130")</f>
        <v>0</v>
      </c>
      <c r="B4941" t="s">
        <v>183</v>
      </c>
      <c r="C4941" t="s">
        <v>340</v>
      </c>
      <c r="D4941" t="s">
        <v>693</v>
      </c>
      <c r="F4941" t="s">
        <v>3231</v>
      </c>
      <c r="G4941" t="s">
        <v>7483</v>
      </c>
      <c r="H4941" t="s">
        <v>13355</v>
      </c>
      <c r="I4941">
        <v>21</v>
      </c>
      <c r="J4941" t="s">
        <v>18893</v>
      </c>
      <c r="K4941">
        <v>10027</v>
      </c>
      <c r="L4941" t="s">
        <v>18958</v>
      </c>
      <c r="M4941" t="s">
        <v>18958</v>
      </c>
      <c r="N4941" t="s">
        <v>22653</v>
      </c>
      <c r="O4941" t="s">
        <v>26523</v>
      </c>
      <c r="P4941" t="s">
        <v>26560</v>
      </c>
      <c r="R4941" t="s">
        <v>26580</v>
      </c>
      <c r="S4941" t="s">
        <v>18959</v>
      </c>
      <c r="U4941" t="s">
        <v>26604</v>
      </c>
      <c r="V4941" t="s">
        <v>26610</v>
      </c>
      <c r="W4941" t="s">
        <v>693</v>
      </c>
      <c r="X4941">
        <v>960</v>
      </c>
      <c r="Y4941" t="s">
        <v>26651</v>
      </c>
      <c r="AB4941" t="s">
        <v>30723</v>
      </c>
      <c r="AD4941" t="s">
        <v>40927</v>
      </c>
      <c r="AE4941">
        <v>0</v>
      </c>
      <c r="AF4941" t="s">
        <v>45541</v>
      </c>
      <c r="AG4941" t="s">
        <v>19330</v>
      </c>
      <c r="AH4941">
        <v>22</v>
      </c>
      <c r="AI4941">
        <v>1</v>
      </c>
      <c r="AJ4941">
        <v>0</v>
      </c>
      <c r="AK4941">
        <v>144.12</v>
      </c>
      <c r="AN4941" t="s">
        <v>8151</v>
      </c>
      <c r="AO4941">
        <v>18000</v>
      </c>
      <c r="AU4941">
        <v>24.3</v>
      </c>
      <c r="AV4941" t="s">
        <v>773</v>
      </c>
      <c r="AW4941" t="s">
        <v>46875</v>
      </c>
    </row>
    <row r="4942" spans="1:50">
      <c r="A4942" s="1">
        <f>HYPERLINK("https://lsnyc.legalserver.org/matter/dynamic-profile/view/1889186","19-1889186")</f>
        <v>0</v>
      </c>
      <c r="B4942" t="s">
        <v>94</v>
      </c>
      <c r="C4942" t="s">
        <v>340</v>
      </c>
      <c r="D4942" t="s">
        <v>693</v>
      </c>
      <c r="F4942" t="s">
        <v>1114</v>
      </c>
      <c r="G4942" t="s">
        <v>5224</v>
      </c>
      <c r="H4942" t="s">
        <v>13356</v>
      </c>
      <c r="I4942" t="s">
        <v>17327</v>
      </c>
      <c r="J4942" t="s">
        <v>18893</v>
      </c>
      <c r="K4942">
        <v>10025</v>
      </c>
      <c r="L4942" t="s">
        <v>18958</v>
      </c>
      <c r="M4942" t="s">
        <v>18958</v>
      </c>
      <c r="N4942" t="s">
        <v>22654</v>
      </c>
      <c r="O4942" t="s">
        <v>26524</v>
      </c>
      <c r="P4942" t="s">
        <v>26560</v>
      </c>
      <c r="R4942" t="s">
        <v>26580</v>
      </c>
      <c r="S4942" t="s">
        <v>18959</v>
      </c>
      <c r="U4942" t="s">
        <v>26604</v>
      </c>
      <c r="W4942" t="s">
        <v>693</v>
      </c>
      <c r="X4942">
        <v>787</v>
      </c>
      <c r="Y4942" t="s">
        <v>26651</v>
      </c>
      <c r="Z4942" t="s">
        <v>26668</v>
      </c>
      <c r="AB4942" t="s">
        <v>28152</v>
      </c>
      <c r="AD4942" t="s">
        <v>40928</v>
      </c>
      <c r="AE4942">
        <v>122</v>
      </c>
      <c r="AF4942" t="s">
        <v>45543</v>
      </c>
      <c r="AG4942" t="s">
        <v>26530</v>
      </c>
      <c r="AH4942">
        <v>26</v>
      </c>
      <c r="AI4942">
        <v>3</v>
      </c>
      <c r="AJ4942">
        <v>0</v>
      </c>
      <c r="AK4942">
        <v>167.27</v>
      </c>
      <c r="AN4942" t="s">
        <v>7439</v>
      </c>
      <c r="AO4942">
        <v>35679</v>
      </c>
      <c r="AU4942">
        <v>52.8</v>
      </c>
      <c r="AV4942" t="s">
        <v>821</v>
      </c>
      <c r="AW4942" t="s">
        <v>46875</v>
      </c>
    </row>
    <row r="4943" spans="1:50">
      <c r="A4943" s="1">
        <f>HYPERLINK("https://lsnyc.legalserver.org/matter/dynamic-profile/view/1889244","19-1889244")</f>
        <v>0</v>
      </c>
      <c r="B4943" t="s">
        <v>151</v>
      </c>
      <c r="C4943" t="s">
        <v>340</v>
      </c>
      <c r="D4943" t="s">
        <v>693</v>
      </c>
      <c r="F4943" t="s">
        <v>990</v>
      </c>
      <c r="G4943" t="s">
        <v>5269</v>
      </c>
      <c r="H4943" t="s">
        <v>11196</v>
      </c>
      <c r="I4943" t="s">
        <v>17288</v>
      </c>
      <c r="J4943" t="s">
        <v>18893</v>
      </c>
      <c r="K4943">
        <v>10027</v>
      </c>
      <c r="L4943" t="s">
        <v>18958</v>
      </c>
      <c r="M4943" t="s">
        <v>18958</v>
      </c>
      <c r="N4943" t="s">
        <v>22655</v>
      </c>
      <c r="O4943" t="s">
        <v>26523</v>
      </c>
      <c r="P4943" t="s">
        <v>26560</v>
      </c>
      <c r="R4943" t="s">
        <v>26580</v>
      </c>
      <c r="S4943" t="s">
        <v>18959</v>
      </c>
      <c r="U4943" t="s">
        <v>26604</v>
      </c>
      <c r="V4943" t="s">
        <v>26610</v>
      </c>
      <c r="W4943" t="s">
        <v>693</v>
      </c>
      <c r="X4943">
        <v>1339</v>
      </c>
      <c r="Y4943" t="s">
        <v>26651</v>
      </c>
      <c r="Z4943" t="s">
        <v>26668</v>
      </c>
      <c r="AB4943" t="s">
        <v>30724</v>
      </c>
      <c r="AC4943" t="s">
        <v>35881</v>
      </c>
      <c r="AD4943" t="s">
        <v>40929</v>
      </c>
      <c r="AE4943">
        <v>0</v>
      </c>
      <c r="AF4943" t="s">
        <v>45543</v>
      </c>
      <c r="AG4943" t="s">
        <v>45556</v>
      </c>
      <c r="AH4943">
        <v>4</v>
      </c>
      <c r="AI4943">
        <v>1</v>
      </c>
      <c r="AJ4943">
        <v>0</v>
      </c>
      <c r="AK4943">
        <v>12.7</v>
      </c>
      <c r="AN4943" t="s">
        <v>7439</v>
      </c>
      <c r="AO4943">
        <v>1586</v>
      </c>
      <c r="AU4943">
        <v>10.9</v>
      </c>
      <c r="AV4943" t="s">
        <v>729</v>
      </c>
      <c r="AW4943" t="s">
        <v>46875</v>
      </c>
    </row>
    <row r="4944" spans="1:50">
      <c r="A4944" s="1">
        <f>HYPERLINK("https://lsnyc.legalserver.org/matter/dynamic-profile/view/1889117","19-1889117")</f>
        <v>0</v>
      </c>
      <c r="B4944" t="s">
        <v>81</v>
      </c>
      <c r="C4944" t="s">
        <v>340</v>
      </c>
      <c r="D4944" t="s">
        <v>693</v>
      </c>
      <c r="F4944" t="s">
        <v>1629</v>
      </c>
      <c r="G4944" t="s">
        <v>5982</v>
      </c>
      <c r="H4944" t="s">
        <v>13270</v>
      </c>
      <c r="I4944" t="s">
        <v>17603</v>
      </c>
      <c r="J4944" t="s">
        <v>18892</v>
      </c>
      <c r="K4944">
        <v>10467</v>
      </c>
      <c r="L4944" t="s">
        <v>18958</v>
      </c>
      <c r="M4944" t="s">
        <v>18958</v>
      </c>
      <c r="N4944" t="s">
        <v>22656</v>
      </c>
      <c r="O4944" t="s">
        <v>26523</v>
      </c>
      <c r="P4944" t="s">
        <v>26560</v>
      </c>
      <c r="R4944" t="s">
        <v>26579</v>
      </c>
      <c r="S4944" t="s">
        <v>18959</v>
      </c>
      <c r="U4944" t="s">
        <v>26604</v>
      </c>
      <c r="W4944" t="s">
        <v>693</v>
      </c>
      <c r="X4944">
        <v>1255</v>
      </c>
      <c r="Y4944" t="s">
        <v>26650</v>
      </c>
      <c r="Z4944" t="s">
        <v>26664</v>
      </c>
      <c r="AB4944" t="s">
        <v>30725</v>
      </c>
      <c r="AD4944" t="s">
        <v>40930</v>
      </c>
      <c r="AE4944">
        <v>74</v>
      </c>
      <c r="AF4944" t="s">
        <v>45541</v>
      </c>
      <c r="AG4944" t="s">
        <v>19330</v>
      </c>
      <c r="AH4944">
        <v>3</v>
      </c>
      <c r="AI4944">
        <v>2</v>
      </c>
      <c r="AJ4944">
        <v>1</v>
      </c>
      <c r="AK4944">
        <v>94.51000000000001</v>
      </c>
      <c r="AN4944" t="s">
        <v>7439</v>
      </c>
      <c r="AO4944">
        <v>20160</v>
      </c>
      <c r="AU4944">
        <v>5.85</v>
      </c>
      <c r="AV4944" t="s">
        <v>760</v>
      </c>
      <c r="AW4944" t="s">
        <v>336</v>
      </c>
    </row>
    <row r="4945" spans="1:49">
      <c r="A4945" s="1">
        <f>HYPERLINK("https://lsnyc.legalserver.org/matter/dynamic-profile/view/1889221","19-1889221")</f>
        <v>0</v>
      </c>
      <c r="B4945" t="s">
        <v>234</v>
      </c>
      <c r="C4945" t="s">
        <v>340</v>
      </c>
      <c r="D4945" t="s">
        <v>693</v>
      </c>
      <c r="F4945" t="s">
        <v>3232</v>
      </c>
      <c r="G4945" t="s">
        <v>7484</v>
      </c>
      <c r="H4945" t="s">
        <v>9669</v>
      </c>
      <c r="I4945" t="s">
        <v>17397</v>
      </c>
      <c r="J4945" t="s">
        <v>18893</v>
      </c>
      <c r="K4945">
        <v>10026</v>
      </c>
      <c r="L4945" t="s">
        <v>18958</v>
      </c>
      <c r="M4945" t="s">
        <v>18958</v>
      </c>
      <c r="N4945" t="s">
        <v>22657</v>
      </c>
      <c r="O4945" t="s">
        <v>26523</v>
      </c>
      <c r="P4945" t="s">
        <v>26560</v>
      </c>
      <c r="R4945" t="s">
        <v>26580</v>
      </c>
      <c r="S4945" t="s">
        <v>18959</v>
      </c>
      <c r="U4945" t="s">
        <v>26604</v>
      </c>
      <c r="V4945" t="s">
        <v>26610</v>
      </c>
      <c r="W4945" t="s">
        <v>693</v>
      </c>
      <c r="X4945">
        <v>1052</v>
      </c>
      <c r="Y4945" t="s">
        <v>26651</v>
      </c>
      <c r="Z4945" t="s">
        <v>26664</v>
      </c>
      <c r="AB4945" t="s">
        <v>30726</v>
      </c>
      <c r="AC4945" t="s">
        <v>35882</v>
      </c>
      <c r="AD4945" t="s">
        <v>40931</v>
      </c>
      <c r="AE4945">
        <v>0</v>
      </c>
      <c r="AF4945" t="s">
        <v>20460</v>
      </c>
      <c r="AG4945" t="s">
        <v>26530</v>
      </c>
      <c r="AH4945">
        <v>4</v>
      </c>
      <c r="AI4945">
        <v>1</v>
      </c>
      <c r="AJ4945">
        <v>0</v>
      </c>
      <c r="AK4945">
        <v>12.28</v>
      </c>
      <c r="AN4945" t="s">
        <v>7439</v>
      </c>
      <c r="AO4945">
        <v>1534</v>
      </c>
      <c r="AU4945">
        <v>59.55</v>
      </c>
      <c r="AV4945" t="s">
        <v>839</v>
      </c>
      <c r="AW4945" t="s">
        <v>46875</v>
      </c>
    </row>
    <row r="4946" spans="1:49">
      <c r="A4946" s="1">
        <f>HYPERLINK("https://lsnyc.legalserver.org/matter/dynamic-profile/view/1889213","19-1889213")</f>
        <v>0</v>
      </c>
      <c r="B4946" t="s">
        <v>56</v>
      </c>
      <c r="C4946" t="s">
        <v>340</v>
      </c>
      <c r="D4946" t="s">
        <v>693</v>
      </c>
      <c r="F4946" t="s">
        <v>1106</v>
      </c>
      <c r="G4946" t="s">
        <v>5677</v>
      </c>
      <c r="H4946" t="s">
        <v>13357</v>
      </c>
      <c r="I4946" t="s">
        <v>17527</v>
      </c>
      <c r="J4946" t="s">
        <v>18892</v>
      </c>
      <c r="K4946">
        <v>10457</v>
      </c>
      <c r="L4946" t="s">
        <v>18958</v>
      </c>
      <c r="M4946" t="s">
        <v>18958</v>
      </c>
      <c r="N4946" t="s">
        <v>22554</v>
      </c>
      <c r="O4946" t="s">
        <v>26523</v>
      </c>
      <c r="P4946" t="s">
        <v>26560</v>
      </c>
      <c r="R4946" t="s">
        <v>26579</v>
      </c>
      <c r="U4946" t="s">
        <v>26604</v>
      </c>
      <c r="V4946" t="s">
        <v>26609</v>
      </c>
      <c r="W4946" t="s">
        <v>693</v>
      </c>
      <c r="X4946">
        <v>2197</v>
      </c>
      <c r="Y4946" t="s">
        <v>26650</v>
      </c>
      <c r="Z4946" t="s">
        <v>26668</v>
      </c>
      <c r="AB4946" t="s">
        <v>30727</v>
      </c>
      <c r="AC4946">
        <v>1205492</v>
      </c>
      <c r="AD4946" t="s">
        <v>40932</v>
      </c>
      <c r="AE4946">
        <v>0</v>
      </c>
      <c r="AF4946" t="s">
        <v>45541</v>
      </c>
      <c r="AG4946" t="s">
        <v>45558</v>
      </c>
      <c r="AH4946">
        <v>2</v>
      </c>
      <c r="AI4946">
        <v>5</v>
      </c>
      <c r="AJ4946">
        <v>2</v>
      </c>
      <c r="AK4946">
        <v>9.859999999999999</v>
      </c>
      <c r="AN4946" t="s">
        <v>7439</v>
      </c>
      <c r="AO4946">
        <v>3847.92</v>
      </c>
      <c r="AU4946">
        <v>9</v>
      </c>
      <c r="AV4946" t="s">
        <v>814</v>
      </c>
      <c r="AW4946" t="s">
        <v>46836</v>
      </c>
    </row>
    <row r="4947" spans="1:49">
      <c r="A4947" s="1">
        <f>HYPERLINK("https://lsnyc.legalserver.org/matter/dynamic-profile/view/1889146","19-1889146")</f>
        <v>0</v>
      </c>
      <c r="B4947" t="s">
        <v>56</v>
      </c>
      <c r="C4947" t="s">
        <v>340</v>
      </c>
      <c r="D4947" t="s">
        <v>693</v>
      </c>
      <c r="F4947" t="s">
        <v>3233</v>
      </c>
      <c r="G4947" t="s">
        <v>7485</v>
      </c>
      <c r="H4947" t="s">
        <v>13358</v>
      </c>
      <c r="I4947" t="s">
        <v>17360</v>
      </c>
      <c r="J4947" t="s">
        <v>18892</v>
      </c>
      <c r="K4947">
        <v>10467</v>
      </c>
      <c r="L4947" t="s">
        <v>18958</v>
      </c>
      <c r="M4947" t="s">
        <v>18958</v>
      </c>
      <c r="N4947" t="s">
        <v>22658</v>
      </c>
      <c r="O4947" t="s">
        <v>26524</v>
      </c>
      <c r="P4947" t="s">
        <v>26560</v>
      </c>
      <c r="R4947" t="s">
        <v>26579</v>
      </c>
      <c r="U4947" t="s">
        <v>26604</v>
      </c>
      <c r="V4947" t="s">
        <v>26609</v>
      </c>
      <c r="W4947" t="s">
        <v>693</v>
      </c>
      <c r="X4947">
        <v>850</v>
      </c>
      <c r="Y4947" t="s">
        <v>26650</v>
      </c>
      <c r="Z4947" t="s">
        <v>26668</v>
      </c>
      <c r="AB4947" t="s">
        <v>30728</v>
      </c>
      <c r="AD4947" t="s">
        <v>40933</v>
      </c>
      <c r="AE4947">
        <v>0</v>
      </c>
      <c r="AF4947" t="s">
        <v>45541</v>
      </c>
      <c r="AG4947" t="s">
        <v>19330</v>
      </c>
      <c r="AH4947">
        <v>40</v>
      </c>
      <c r="AI4947">
        <v>1</v>
      </c>
      <c r="AJ4947">
        <v>0</v>
      </c>
      <c r="AK4947">
        <v>76.86</v>
      </c>
      <c r="AN4947" t="s">
        <v>7439</v>
      </c>
      <c r="AO4947">
        <v>9600</v>
      </c>
      <c r="AU4947">
        <v>17</v>
      </c>
      <c r="AV4947" t="s">
        <v>817</v>
      </c>
      <c r="AW4947" t="s">
        <v>46836</v>
      </c>
    </row>
    <row r="4948" spans="1:49">
      <c r="A4948" s="1">
        <f>HYPERLINK("https://lsnyc.legalserver.org/matter/dynamic-profile/view/1889128","19-1889128")</f>
        <v>0</v>
      </c>
      <c r="B4948" t="s">
        <v>51</v>
      </c>
      <c r="C4948" t="s">
        <v>340</v>
      </c>
      <c r="D4948" t="s">
        <v>693</v>
      </c>
      <c r="F4948" t="s">
        <v>1190</v>
      </c>
      <c r="G4948" t="s">
        <v>7486</v>
      </c>
      <c r="H4948" t="s">
        <v>13359</v>
      </c>
      <c r="I4948" t="s">
        <v>17312</v>
      </c>
      <c r="J4948" t="s">
        <v>18892</v>
      </c>
      <c r="K4948">
        <v>10472</v>
      </c>
      <c r="L4948" t="s">
        <v>18958</v>
      </c>
      <c r="M4948" t="s">
        <v>18958</v>
      </c>
      <c r="N4948" t="s">
        <v>22659</v>
      </c>
      <c r="O4948" t="s">
        <v>26524</v>
      </c>
      <c r="P4948" t="s">
        <v>26564</v>
      </c>
      <c r="R4948" t="s">
        <v>26577</v>
      </c>
      <c r="S4948" t="s">
        <v>18959</v>
      </c>
      <c r="U4948" t="s">
        <v>26604</v>
      </c>
      <c r="V4948" t="s">
        <v>26612</v>
      </c>
      <c r="W4948" t="s">
        <v>693</v>
      </c>
      <c r="X4948">
        <v>1164.94</v>
      </c>
      <c r="Y4948" t="s">
        <v>26650</v>
      </c>
      <c r="Z4948" t="s">
        <v>26668</v>
      </c>
      <c r="AB4948" t="s">
        <v>30729</v>
      </c>
      <c r="AE4948">
        <v>4</v>
      </c>
      <c r="AF4948" t="s">
        <v>45547</v>
      </c>
      <c r="AG4948" t="s">
        <v>45556</v>
      </c>
      <c r="AH4948">
        <v>5</v>
      </c>
      <c r="AI4948">
        <v>2</v>
      </c>
      <c r="AJ4948">
        <v>0</v>
      </c>
      <c r="AK4948">
        <v>107.65</v>
      </c>
      <c r="AN4948" t="s">
        <v>7439</v>
      </c>
      <c r="AO4948">
        <v>18204</v>
      </c>
      <c r="AU4948">
        <v>2.1</v>
      </c>
      <c r="AV4948" t="s">
        <v>831</v>
      </c>
      <c r="AW4948" t="s">
        <v>46847</v>
      </c>
    </row>
    <row r="4949" spans="1:49">
      <c r="A4949" s="1">
        <f>HYPERLINK("https://lsnyc.legalserver.org/matter/dynamic-profile/view/1889255","19-1889255")</f>
        <v>0</v>
      </c>
      <c r="B4949" t="s">
        <v>51</v>
      </c>
      <c r="C4949" t="s">
        <v>340</v>
      </c>
      <c r="D4949" t="s">
        <v>693</v>
      </c>
      <c r="F4949" t="s">
        <v>3061</v>
      </c>
      <c r="G4949" t="s">
        <v>5305</v>
      </c>
      <c r="H4949" t="s">
        <v>13360</v>
      </c>
      <c r="I4949">
        <v>2</v>
      </c>
      <c r="J4949" t="s">
        <v>18892</v>
      </c>
      <c r="K4949">
        <v>10462</v>
      </c>
      <c r="L4949" t="s">
        <v>18958</v>
      </c>
      <c r="M4949" t="s">
        <v>18958</v>
      </c>
      <c r="N4949" t="s">
        <v>22660</v>
      </c>
      <c r="O4949" t="s">
        <v>26523</v>
      </c>
      <c r="P4949" t="s">
        <v>26560</v>
      </c>
      <c r="R4949" t="s">
        <v>26579</v>
      </c>
      <c r="S4949" t="s">
        <v>18959</v>
      </c>
      <c r="U4949" t="s">
        <v>26604</v>
      </c>
      <c r="V4949" t="s">
        <v>26610</v>
      </c>
      <c r="W4949" t="s">
        <v>693</v>
      </c>
      <c r="X4949">
        <v>1975</v>
      </c>
      <c r="Y4949" t="s">
        <v>26650</v>
      </c>
      <c r="Z4949" t="s">
        <v>26668</v>
      </c>
      <c r="AB4949" t="s">
        <v>30730</v>
      </c>
      <c r="AC4949" t="s">
        <v>35883</v>
      </c>
      <c r="AD4949" t="s">
        <v>40934</v>
      </c>
      <c r="AE4949">
        <v>0</v>
      </c>
      <c r="AF4949" t="s">
        <v>45547</v>
      </c>
      <c r="AG4949" t="s">
        <v>45556</v>
      </c>
      <c r="AH4949">
        <v>4</v>
      </c>
      <c r="AI4949">
        <v>4</v>
      </c>
      <c r="AJ4949">
        <v>0</v>
      </c>
      <c r="AK4949">
        <v>39.98</v>
      </c>
      <c r="AN4949" t="s">
        <v>45581</v>
      </c>
      <c r="AO4949">
        <v>10296</v>
      </c>
      <c r="AQ4949" t="s">
        <v>46362</v>
      </c>
      <c r="AR4949" t="s">
        <v>46380</v>
      </c>
      <c r="AS4949" t="s">
        <v>46499</v>
      </c>
      <c r="AT4949" t="s">
        <v>46615</v>
      </c>
      <c r="AU4949">
        <v>8.9</v>
      </c>
      <c r="AV4949" t="s">
        <v>780</v>
      </c>
      <c r="AW4949" t="s">
        <v>46832</v>
      </c>
    </row>
    <row r="4950" spans="1:49">
      <c r="A4950" s="1">
        <f>HYPERLINK("https://lsnyc.legalserver.org/matter/dynamic-profile/view/1889217","19-1889217")</f>
        <v>0</v>
      </c>
      <c r="B4950" t="s">
        <v>62</v>
      </c>
      <c r="C4950" t="s">
        <v>340</v>
      </c>
      <c r="D4950" t="s">
        <v>693</v>
      </c>
      <c r="F4950" t="s">
        <v>3234</v>
      </c>
      <c r="G4950" t="s">
        <v>1263</v>
      </c>
      <c r="H4950" t="s">
        <v>13361</v>
      </c>
      <c r="I4950" t="s">
        <v>17355</v>
      </c>
      <c r="J4950" t="s">
        <v>18893</v>
      </c>
      <c r="K4950">
        <v>10027</v>
      </c>
      <c r="L4950" t="s">
        <v>18958</v>
      </c>
      <c r="M4950" t="s">
        <v>18958</v>
      </c>
      <c r="N4950" t="s">
        <v>22661</v>
      </c>
      <c r="O4950" t="s">
        <v>26523</v>
      </c>
      <c r="P4950" t="s">
        <v>26560</v>
      </c>
      <c r="R4950" t="s">
        <v>26580</v>
      </c>
      <c r="S4950" t="s">
        <v>18959</v>
      </c>
      <c r="U4950" t="s">
        <v>26604</v>
      </c>
      <c r="V4950" t="s">
        <v>26610</v>
      </c>
      <c r="W4950" t="s">
        <v>693</v>
      </c>
      <c r="X4950">
        <v>997.71</v>
      </c>
      <c r="Y4950" t="s">
        <v>26651</v>
      </c>
      <c r="Z4950" t="s">
        <v>26661</v>
      </c>
      <c r="AB4950" t="s">
        <v>30722</v>
      </c>
      <c r="AD4950" t="s">
        <v>40935</v>
      </c>
      <c r="AE4950">
        <v>27</v>
      </c>
      <c r="AF4950" t="s">
        <v>45541</v>
      </c>
      <c r="AG4950" t="s">
        <v>45556</v>
      </c>
      <c r="AH4950">
        <v>25</v>
      </c>
      <c r="AI4950">
        <v>2</v>
      </c>
      <c r="AJ4950">
        <v>0</v>
      </c>
      <c r="AK4950">
        <v>58.26</v>
      </c>
      <c r="AN4950" t="s">
        <v>7439</v>
      </c>
      <c r="AO4950">
        <v>9852</v>
      </c>
      <c r="AU4950">
        <v>1.25</v>
      </c>
      <c r="AV4950" t="s">
        <v>657</v>
      </c>
      <c r="AW4950" t="s">
        <v>46840</v>
      </c>
    </row>
    <row r="4951" spans="1:49">
      <c r="A4951" s="1">
        <f>HYPERLINK("https://lsnyc.legalserver.org/matter/dynamic-profile/view/1889132","19-1889132")</f>
        <v>0</v>
      </c>
      <c r="B4951" t="s">
        <v>173</v>
      </c>
      <c r="C4951" t="s">
        <v>340</v>
      </c>
      <c r="D4951" t="s">
        <v>693</v>
      </c>
      <c r="F4951" t="s">
        <v>1983</v>
      </c>
      <c r="G4951" t="s">
        <v>7487</v>
      </c>
      <c r="H4951" t="s">
        <v>13362</v>
      </c>
      <c r="I4951" t="s">
        <v>17283</v>
      </c>
      <c r="J4951" t="s">
        <v>18893</v>
      </c>
      <c r="K4951">
        <v>10029</v>
      </c>
      <c r="L4951" t="s">
        <v>18958</v>
      </c>
      <c r="M4951" t="s">
        <v>18958</v>
      </c>
      <c r="N4951" t="s">
        <v>22662</v>
      </c>
      <c r="O4951" t="s">
        <v>26524</v>
      </c>
      <c r="P4951" t="s">
        <v>26564</v>
      </c>
      <c r="R4951" t="s">
        <v>26582</v>
      </c>
      <c r="S4951" t="s">
        <v>18959</v>
      </c>
      <c r="U4951" t="s">
        <v>26604</v>
      </c>
      <c r="V4951" t="s">
        <v>26610</v>
      </c>
      <c r="W4951" t="s">
        <v>693</v>
      </c>
      <c r="X4951">
        <v>2150</v>
      </c>
      <c r="Y4951" t="s">
        <v>26651</v>
      </c>
      <c r="Z4951" t="s">
        <v>26661</v>
      </c>
      <c r="AB4951" t="s">
        <v>30731</v>
      </c>
      <c r="AD4951" t="s">
        <v>40936</v>
      </c>
      <c r="AE4951">
        <v>4</v>
      </c>
      <c r="AF4951" t="s">
        <v>45541</v>
      </c>
      <c r="AG4951" t="s">
        <v>26530</v>
      </c>
      <c r="AH4951">
        <v>20</v>
      </c>
      <c r="AI4951">
        <v>2</v>
      </c>
      <c r="AJ4951">
        <v>1</v>
      </c>
      <c r="AK4951">
        <v>97.52</v>
      </c>
      <c r="AN4951" t="s">
        <v>7439</v>
      </c>
      <c r="AO4951">
        <v>20800</v>
      </c>
      <c r="AU4951">
        <v>12.45</v>
      </c>
      <c r="AV4951" t="s">
        <v>830</v>
      </c>
      <c r="AW4951" t="s">
        <v>46840</v>
      </c>
    </row>
    <row r="4952" spans="1:49">
      <c r="A4952" s="1">
        <f>HYPERLINK("https://lsnyc.legalserver.org/matter/dynamic-profile/view/1889225","19-1889225")</f>
        <v>0</v>
      </c>
      <c r="B4952" t="s">
        <v>173</v>
      </c>
      <c r="C4952" t="s">
        <v>340</v>
      </c>
      <c r="D4952" t="s">
        <v>693</v>
      </c>
      <c r="F4952" t="s">
        <v>3114</v>
      </c>
      <c r="G4952" t="s">
        <v>6855</v>
      </c>
      <c r="H4952" t="s">
        <v>13363</v>
      </c>
      <c r="I4952" t="s">
        <v>17301</v>
      </c>
      <c r="J4952" t="s">
        <v>18893</v>
      </c>
      <c r="K4952">
        <v>10027</v>
      </c>
      <c r="L4952" t="s">
        <v>18958</v>
      </c>
      <c r="M4952" t="s">
        <v>18958</v>
      </c>
      <c r="N4952" t="s">
        <v>22663</v>
      </c>
      <c r="O4952" t="s">
        <v>26523</v>
      </c>
      <c r="P4952" t="s">
        <v>26564</v>
      </c>
      <c r="R4952" t="s">
        <v>26580</v>
      </c>
      <c r="S4952" t="s">
        <v>18959</v>
      </c>
      <c r="U4952" t="s">
        <v>26604</v>
      </c>
      <c r="V4952" t="s">
        <v>26612</v>
      </c>
      <c r="W4952" t="s">
        <v>693</v>
      </c>
      <c r="X4952">
        <v>224</v>
      </c>
      <c r="Y4952" t="s">
        <v>26651</v>
      </c>
      <c r="Z4952" t="s">
        <v>26661</v>
      </c>
      <c r="AB4952" t="s">
        <v>30732</v>
      </c>
      <c r="AD4952" t="s">
        <v>40937</v>
      </c>
      <c r="AE4952">
        <v>0</v>
      </c>
      <c r="AF4952" t="s">
        <v>45541</v>
      </c>
      <c r="AG4952" t="s">
        <v>19330</v>
      </c>
      <c r="AH4952">
        <v>10</v>
      </c>
      <c r="AI4952">
        <v>1</v>
      </c>
      <c r="AJ4952">
        <v>1</v>
      </c>
      <c r="AK4952">
        <v>54.71</v>
      </c>
      <c r="AN4952" t="s">
        <v>7439</v>
      </c>
      <c r="AO4952">
        <v>9252</v>
      </c>
      <c r="AU4952">
        <v>0.5</v>
      </c>
      <c r="AV4952" t="s">
        <v>714</v>
      </c>
      <c r="AW4952" t="s">
        <v>46840</v>
      </c>
    </row>
    <row r="4953" spans="1:49">
      <c r="A4953" s="1">
        <f>HYPERLINK("https://lsnyc.legalserver.org/matter/dynamic-profile/view/1889137","19-1889137")</f>
        <v>0</v>
      </c>
      <c r="B4953" t="s">
        <v>173</v>
      </c>
      <c r="C4953" t="s">
        <v>340</v>
      </c>
      <c r="D4953" t="s">
        <v>693</v>
      </c>
      <c r="F4953" t="s">
        <v>1660</v>
      </c>
      <c r="G4953" t="s">
        <v>6182</v>
      </c>
      <c r="H4953" t="s">
        <v>13364</v>
      </c>
      <c r="I4953" t="s">
        <v>17388</v>
      </c>
      <c r="J4953" t="s">
        <v>18893</v>
      </c>
      <c r="K4953">
        <v>10027</v>
      </c>
      <c r="L4953" t="s">
        <v>18958</v>
      </c>
      <c r="M4953" t="s">
        <v>18958</v>
      </c>
      <c r="N4953" t="s">
        <v>22664</v>
      </c>
      <c r="O4953" t="s">
        <v>26523</v>
      </c>
      <c r="P4953" t="s">
        <v>26560</v>
      </c>
      <c r="R4953" t="s">
        <v>26580</v>
      </c>
      <c r="S4953" t="s">
        <v>18959</v>
      </c>
      <c r="U4953" t="s">
        <v>26604</v>
      </c>
      <c r="V4953" t="s">
        <v>26610</v>
      </c>
      <c r="W4953" t="s">
        <v>693</v>
      </c>
      <c r="X4953">
        <v>946</v>
      </c>
      <c r="Y4953" t="s">
        <v>26651</v>
      </c>
      <c r="Z4953" t="s">
        <v>26664</v>
      </c>
      <c r="AB4953" t="s">
        <v>30733</v>
      </c>
      <c r="AD4953" t="s">
        <v>40938</v>
      </c>
      <c r="AE4953">
        <v>1</v>
      </c>
      <c r="AF4953" t="s">
        <v>20460</v>
      </c>
      <c r="AG4953" t="s">
        <v>45556</v>
      </c>
      <c r="AH4953">
        <v>2</v>
      </c>
      <c r="AI4953">
        <v>1</v>
      </c>
      <c r="AJ4953">
        <v>0</v>
      </c>
      <c r="AK4953">
        <v>70.78</v>
      </c>
      <c r="AN4953" t="s">
        <v>7439</v>
      </c>
      <c r="AO4953">
        <v>8840</v>
      </c>
      <c r="AU4953">
        <v>9.199999999999999</v>
      </c>
      <c r="AV4953" t="s">
        <v>838</v>
      </c>
      <c r="AW4953" t="s">
        <v>46875</v>
      </c>
    </row>
    <row r="4954" spans="1:49">
      <c r="A4954" s="1">
        <f>HYPERLINK("https://lsnyc.legalserver.org/matter/dynamic-profile/view/1890798","19-1890798")</f>
        <v>0</v>
      </c>
      <c r="B4954" t="s">
        <v>240</v>
      </c>
      <c r="C4954" t="s">
        <v>340</v>
      </c>
      <c r="D4954" t="s">
        <v>737</v>
      </c>
      <c r="F4954" t="s">
        <v>3235</v>
      </c>
      <c r="G4954" t="s">
        <v>6127</v>
      </c>
      <c r="H4954" t="s">
        <v>13365</v>
      </c>
      <c r="I4954" t="s">
        <v>17326</v>
      </c>
      <c r="J4954" t="s">
        <v>18894</v>
      </c>
      <c r="K4954">
        <v>11235</v>
      </c>
      <c r="L4954" t="s">
        <v>18958</v>
      </c>
      <c r="M4954" t="s">
        <v>18958</v>
      </c>
      <c r="O4954" t="s">
        <v>26534</v>
      </c>
      <c r="P4954" t="s">
        <v>26561</v>
      </c>
      <c r="R4954" t="s">
        <v>26578</v>
      </c>
      <c r="S4954" t="s">
        <v>18959</v>
      </c>
      <c r="U4954" t="s">
        <v>26604</v>
      </c>
      <c r="W4954" t="s">
        <v>693</v>
      </c>
      <c r="X4954">
        <v>93</v>
      </c>
      <c r="Y4954" t="s">
        <v>26652</v>
      </c>
      <c r="AB4954" t="s">
        <v>30734</v>
      </c>
      <c r="AD4954" t="s">
        <v>40939</v>
      </c>
      <c r="AE4954">
        <v>0</v>
      </c>
      <c r="AH4954">
        <v>0</v>
      </c>
      <c r="AI4954">
        <v>2</v>
      </c>
      <c r="AJ4954">
        <v>0</v>
      </c>
      <c r="AK4954">
        <v>113.54</v>
      </c>
      <c r="AN4954" t="s">
        <v>7439</v>
      </c>
      <c r="AO4954">
        <v>19200</v>
      </c>
      <c r="AU4954">
        <v>11</v>
      </c>
      <c r="AV4954" t="s">
        <v>760</v>
      </c>
      <c r="AW4954" t="s">
        <v>219</v>
      </c>
    </row>
    <row r="4955" spans="1:49">
      <c r="A4955" s="1">
        <f>HYPERLINK("https://lsnyc.legalserver.org/matter/dynamic-profile/view/1854751","17-1854751")</f>
        <v>0</v>
      </c>
      <c r="B4955" t="s">
        <v>75</v>
      </c>
      <c r="C4955" t="s">
        <v>340</v>
      </c>
      <c r="D4955" t="s">
        <v>556</v>
      </c>
      <c r="F4955" t="s">
        <v>3236</v>
      </c>
      <c r="G4955" t="s">
        <v>7488</v>
      </c>
      <c r="H4955" t="s">
        <v>13366</v>
      </c>
      <c r="I4955" t="s">
        <v>17579</v>
      </c>
      <c r="J4955" t="s">
        <v>18892</v>
      </c>
      <c r="K4955">
        <v>10457</v>
      </c>
      <c r="L4955" t="s">
        <v>18958</v>
      </c>
      <c r="M4955" t="s">
        <v>18958</v>
      </c>
      <c r="N4955" t="s">
        <v>22665</v>
      </c>
      <c r="O4955" t="s">
        <v>26523</v>
      </c>
      <c r="P4955" t="s">
        <v>26560</v>
      </c>
      <c r="R4955" t="s">
        <v>26579</v>
      </c>
      <c r="S4955" t="s">
        <v>18959</v>
      </c>
      <c r="U4955" t="s">
        <v>26604</v>
      </c>
      <c r="V4955" t="s">
        <v>26609</v>
      </c>
      <c r="W4955" t="s">
        <v>694</v>
      </c>
      <c r="X4955">
        <v>1400</v>
      </c>
      <c r="Y4955" t="s">
        <v>26650</v>
      </c>
      <c r="Z4955" t="s">
        <v>26656</v>
      </c>
      <c r="AB4955" t="s">
        <v>30735</v>
      </c>
      <c r="AC4955" t="s">
        <v>35884</v>
      </c>
      <c r="AD4955" t="s">
        <v>40940</v>
      </c>
      <c r="AE4955">
        <v>0</v>
      </c>
      <c r="AF4955" t="s">
        <v>45541</v>
      </c>
      <c r="AG4955" t="s">
        <v>19330</v>
      </c>
      <c r="AH4955">
        <v>2</v>
      </c>
      <c r="AI4955">
        <v>1</v>
      </c>
      <c r="AJ4955">
        <v>3</v>
      </c>
      <c r="AK4955">
        <v>63.24</v>
      </c>
      <c r="AN4955" t="s">
        <v>7439</v>
      </c>
      <c r="AO4955">
        <v>15556</v>
      </c>
      <c r="AP4955" t="s">
        <v>45620</v>
      </c>
      <c r="AU4955">
        <v>57.25</v>
      </c>
      <c r="AV4955" t="s">
        <v>808</v>
      </c>
      <c r="AW4955" t="s">
        <v>336</v>
      </c>
    </row>
    <row r="4956" spans="1:49">
      <c r="A4956" s="1">
        <f>HYPERLINK("https://lsnyc.legalserver.org/matter/dynamic-profile/view/1855002","18-1855002")</f>
        <v>0</v>
      </c>
      <c r="B4956" t="s">
        <v>82</v>
      </c>
      <c r="C4956" t="s">
        <v>340</v>
      </c>
      <c r="D4956" t="s">
        <v>738</v>
      </c>
      <c r="F4956" t="s">
        <v>1594</v>
      </c>
      <c r="G4956" t="s">
        <v>7489</v>
      </c>
      <c r="H4956" t="s">
        <v>13367</v>
      </c>
      <c r="I4956" t="s">
        <v>17453</v>
      </c>
      <c r="J4956" t="s">
        <v>18892</v>
      </c>
      <c r="K4956">
        <v>10458</v>
      </c>
      <c r="L4956" t="s">
        <v>18958</v>
      </c>
      <c r="M4956" t="s">
        <v>18960</v>
      </c>
      <c r="N4956" t="s">
        <v>22666</v>
      </c>
      <c r="O4956" t="s">
        <v>26523</v>
      </c>
      <c r="P4956" t="s">
        <v>26560</v>
      </c>
      <c r="R4956" t="s">
        <v>26577</v>
      </c>
      <c r="S4956" t="s">
        <v>18959</v>
      </c>
      <c r="U4956" t="s">
        <v>26604</v>
      </c>
      <c r="V4956" t="s">
        <v>26611</v>
      </c>
      <c r="W4956" t="s">
        <v>694</v>
      </c>
      <c r="X4956">
        <v>1253.47</v>
      </c>
      <c r="Y4956" t="s">
        <v>26650</v>
      </c>
      <c r="Z4956" t="s">
        <v>26655</v>
      </c>
      <c r="AB4956" t="s">
        <v>29420</v>
      </c>
      <c r="AC4956" t="s">
        <v>35885</v>
      </c>
      <c r="AE4956">
        <v>0</v>
      </c>
      <c r="AF4956" t="s">
        <v>45541</v>
      </c>
      <c r="AG4956" t="s">
        <v>19330</v>
      </c>
      <c r="AH4956">
        <v>6</v>
      </c>
      <c r="AI4956">
        <v>1</v>
      </c>
      <c r="AJ4956">
        <v>2</v>
      </c>
      <c r="AK4956">
        <v>94.02</v>
      </c>
      <c r="AN4956" t="s">
        <v>7439</v>
      </c>
      <c r="AO4956">
        <v>19198.92</v>
      </c>
      <c r="AP4956" t="s">
        <v>45617</v>
      </c>
      <c r="AU4956">
        <v>20.05</v>
      </c>
      <c r="AV4956" t="s">
        <v>767</v>
      </c>
      <c r="AW4956" t="s">
        <v>46881</v>
      </c>
    </row>
    <row r="4957" spans="1:49">
      <c r="A4957" s="1">
        <f>HYPERLINK("https://lsnyc.legalserver.org/matter/dynamic-profile/view/1857510","18-1857510")</f>
        <v>0</v>
      </c>
      <c r="B4957" t="s">
        <v>68</v>
      </c>
      <c r="C4957" t="s">
        <v>340</v>
      </c>
      <c r="D4957" t="s">
        <v>375</v>
      </c>
      <c r="F4957" t="s">
        <v>1307</v>
      </c>
      <c r="G4957" t="s">
        <v>5431</v>
      </c>
      <c r="H4957" t="s">
        <v>10154</v>
      </c>
      <c r="I4957" t="s">
        <v>17474</v>
      </c>
      <c r="J4957" t="s">
        <v>18892</v>
      </c>
      <c r="K4957">
        <v>10456</v>
      </c>
      <c r="L4957" t="s">
        <v>18958</v>
      </c>
      <c r="M4957" t="s">
        <v>18958</v>
      </c>
      <c r="N4957" t="s">
        <v>22667</v>
      </c>
      <c r="O4957" t="s">
        <v>26523</v>
      </c>
      <c r="P4957" t="s">
        <v>26560</v>
      </c>
      <c r="R4957" t="s">
        <v>26577</v>
      </c>
      <c r="S4957" t="s">
        <v>18959</v>
      </c>
      <c r="U4957" t="s">
        <v>26604</v>
      </c>
      <c r="V4957" t="s">
        <v>26610</v>
      </c>
      <c r="W4957" t="s">
        <v>694</v>
      </c>
      <c r="X4957">
        <v>2050</v>
      </c>
      <c r="Y4957" t="s">
        <v>26650</v>
      </c>
      <c r="Z4957" t="s">
        <v>26664</v>
      </c>
      <c r="AB4957" t="s">
        <v>27247</v>
      </c>
      <c r="AC4957" t="s">
        <v>35886</v>
      </c>
      <c r="AD4957" t="s">
        <v>37320</v>
      </c>
      <c r="AE4957">
        <v>101</v>
      </c>
      <c r="AF4957" t="s">
        <v>45541</v>
      </c>
      <c r="AG4957" t="s">
        <v>19330</v>
      </c>
      <c r="AH4957">
        <v>15</v>
      </c>
      <c r="AI4957">
        <v>5</v>
      </c>
      <c r="AJ4957">
        <v>2</v>
      </c>
      <c r="AK4957">
        <v>122.78</v>
      </c>
      <c r="AN4957" t="s">
        <v>45592</v>
      </c>
      <c r="AO4957">
        <v>45600</v>
      </c>
      <c r="AP4957" t="s">
        <v>45840</v>
      </c>
      <c r="AU4957">
        <v>115.6</v>
      </c>
      <c r="AV4957" t="s">
        <v>729</v>
      </c>
      <c r="AW4957" t="s">
        <v>46848</v>
      </c>
    </row>
    <row r="4958" spans="1:49">
      <c r="A4958" s="1">
        <f>HYPERLINK("https://lsnyc.legalserver.org/matter/dynamic-profile/view/1879636","18-1879636")</f>
        <v>0</v>
      </c>
      <c r="B4958" t="s">
        <v>240</v>
      </c>
      <c r="C4958" t="s">
        <v>340</v>
      </c>
      <c r="D4958" t="s">
        <v>411</v>
      </c>
      <c r="F4958" t="s">
        <v>975</v>
      </c>
      <c r="G4958" t="s">
        <v>6532</v>
      </c>
      <c r="H4958" t="s">
        <v>11744</v>
      </c>
      <c r="I4958" t="s">
        <v>17476</v>
      </c>
      <c r="J4958" t="s">
        <v>18894</v>
      </c>
      <c r="K4958">
        <v>11226</v>
      </c>
      <c r="L4958" t="s">
        <v>18960</v>
      </c>
      <c r="M4958" t="s">
        <v>18960</v>
      </c>
      <c r="O4958" t="s">
        <v>26526</v>
      </c>
      <c r="P4958" t="s">
        <v>26560</v>
      </c>
      <c r="R4958" t="s">
        <v>26583</v>
      </c>
      <c r="S4958" t="s">
        <v>18958</v>
      </c>
      <c r="T4958" t="s">
        <v>26578</v>
      </c>
      <c r="U4958" t="s">
        <v>26604</v>
      </c>
      <c r="W4958" t="s">
        <v>694</v>
      </c>
      <c r="X4958">
        <v>1119.66</v>
      </c>
      <c r="Y4958" t="s">
        <v>26652</v>
      </c>
      <c r="Z4958" t="s">
        <v>26666</v>
      </c>
      <c r="AB4958" t="s">
        <v>28989</v>
      </c>
      <c r="AE4958">
        <v>6</v>
      </c>
      <c r="AF4958" t="s">
        <v>45541</v>
      </c>
      <c r="AG4958" t="s">
        <v>19330</v>
      </c>
      <c r="AH4958">
        <v>8</v>
      </c>
      <c r="AI4958">
        <v>1</v>
      </c>
      <c r="AJ4958">
        <v>0</v>
      </c>
      <c r="AK4958">
        <v>403.62</v>
      </c>
      <c r="AN4958" t="s">
        <v>7439</v>
      </c>
      <c r="AO4958">
        <v>49000</v>
      </c>
      <c r="AU4958">
        <v>3.5</v>
      </c>
      <c r="AV4958" t="s">
        <v>646</v>
      </c>
      <c r="AW4958" t="s">
        <v>46853</v>
      </c>
    </row>
    <row r="4959" spans="1:49">
      <c r="A4959" s="1">
        <f>HYPERLINK("https://lsnyc.legalserver.org/matter/dynamic-profile/view/1883626","18-1883626")</f>
        <v>0</v>
      </c>
      <c r="B4959" t="s">
        <v>109</v>
      </c>
      <c r="C4959" t="s">
        <v>340</v>
      </c>
      <c r="D4959" t="s">
        <v>652</v>
      </c>
      <c r="F4959" t="s">
        <v>3237</v>
      </c>
      <c r="G4959" t="s">
        <v>5761</v>
      </c>
      <c r="H4959" t="s">
        <v>13368</v>
      </c>
      <c r="I4959" t="s">
        <v>17436</v>
      </c>
      <c r="J4959" t="s">
        <v>18902</v>
      </c>
      <c r="K4959">
        <v>10310</v>
      </c>
      <c r="L4959" t="s">
        <v>18958</v>
      </c>
      <c r="M4959" t="s">
        <v>18958</v>
      </c>
      <c r="N4959" t="s">
        <v>22668</v>
      </c>
      <c r="O4959" t="s">
        <v>26524</v>
      </c>
      <c r="P4959" t="s">
        <v>26560</v>
      </c>
      <c r="R4959" t="s">
        <v>26590</v>
      </c>
      <c r="S4959" t="s">
        <v>18959</v>
      </c>
      <c r="U4959" t="s">
        <v>26604</v>
      </c>
      <c r="V4959" t="s">
        <v>26610</v>
      </c>
      <c r="W4959" t="s">
        <v>694</v>
      </c>
      <c r="X4959">
        <v>1500</v>
      </c>
      <c r="Y4959" t="s">
        <v>26654</v>
      </c>
      <c r="Z4959" t="s">
        <v>26663</v>
      </c>
      <c r="AB4959" t="s">
        <v>30651</v>
      </c>
      <c r="AD4959" t="s">
        <v>40941</v>
      </c>
      <c r="AE4959">
        <v>11</v>
      </c>
      <c r="AF4959" t="s">
        <v>45547</v>
      </c>
      <c r="AH4959">
        <v>2</v>
      </c>
      <c r="AI4959">
        <v>1</v>
      </c>
      <c r="AJ4959">
        <v>1</v>
      </c>
      <c r="AK4959">
        <v>252.73</v>
      </c>
      <c r="AL4959" t="s">
        <v>652</v>
      </c>
      <c r="AM4959" t="s">
        <v>45575</v>
      </c>
      <c r="AN4959" t="s">
        <v>7439</v>
      </c>
      <c r="AO4959">
        <v>41600</v>
      </c>
      <c r="AQ4959" t="s">
        <v>46362</v>
      </c>
      <c r="AR4959" t="s">
        <v>46398</v>
      </c>
      <c r="AS4959" t="s">
        <v>46499</v>
      </c>
      <c r="AT4959" t="s">
        <v>46663</v>
      </c>
      <c r="AU4959">
        <v>20.45</v>
      </c>
      <c r="AV4959" t="s">
        <v>835</v>
      </c>
      <c r="AW4959" t="s">
        <v>185</v>
      </c>
    </row>
    <row r="4960" spans="1:49">
      <c r="A4960" s="1">
        <f>HYPERLINK("https://lsnyc.legalserver.org/matter/dynamic-profile/view/1885132","18-1885132")</f>
        <v>0</v>
      </c>
      <c r="B4960" t="s">
        <v>56</v>
      </c>
      <c r="C4960" t="s">
        <v>341</v>
      </c>
      <c r="D4960" t="s">
        <v>519</v>
      </c>
      <c r="E4960" t="s">
        <v>835</v>
      </c>
      <c r="F4960" t="s">
        <v>2585</v>
      </c>
      <c r="G4960" t="s">
        <v>7490</v>
      </c>
      <c r="H4960" t="s">
        <v>13369</v>
      </c>
      <c r="I4960">
        <v>744</v>
      </c>
      <c r="J4960" t="s">
        <v>18892</v>
      </c>
      <c r="K4960">
        <v>10462</v>
      </c>
      <c r="L4960" t="s">
        <v>18958</v>
      </c>
      <c r="M4960" t="s">
        <v>18958</v>
      </c>
      <c r="N4960" t="s">
        <v>22669</v>
      </c>
      <c r="O4960" t="s">
        <v>26526</v>
      </c>
      <c r="P4960" t="s">
        <v>26564</v>
      </c>
      <c r="Q4960" t="s">
        <v>26570</v>
      </c>
      <c r="R4960" t="s">
        <v>26577</v>
      </c>
      <c r="U4960" t="s">
        <v>26604</v>
      </c>
      <c r="W4960" t="s">
        <v>694</v>
      </c>
      <c r="X4960">
        <v>1300</v>
      </c>
      <c r="Y4960" t="s">
        <v>26650</v>
      </c>
      <c r="Z4960" t="s">
        <v>26530</v>
      </c>
      <c r="AA4960" t="s">
        <v>26683</v>
      </c>
      <c r="AB4960" t="s">
        <v>30736</v>
      </c>
      <c r="AD4960" t="s">
        <v>40942</v>
      </c>
      <c r="AE4960">
        <v>108</v>
      </c>
      <c r="AF4960" t="s">
        <v>45541</v>
      </c>
      <c r="AG4960" t="s">
        <v>45563</v>
      </c>
      <c r="AH4960">
        <v>4</v>
      </c>
      <c r="AI4960">
        <v>1</v>
      </c>
      <c r="AJ4960">
        <v>0</v>
      </c>
      <c r="AK4960">
        <v>24.71</v>
      </c>
      <c r="AN4960" t="s">
        <v>7439</v>
      </c>
      <c r="AO4960">
        <v>3000</v>
      </c>
      <c r="AU4960">
        <v>3.01</v>
      </c>
      <c r="AV4960" t="s">
        <v>694</v>
      </c>
      <c r="AW4960" t="s">
        <v>46860</v>
      </c>
    </row>
    <row r="4961" spans="1:50">
      <c r="A4961" s="1">
        <f>HYPERLINK("https://lsnyc.legalserver.org/matter/dynamic-profile/view/1885204","18-1885204")</f>
        <v>0</v>
      </c>
      <c r="B4961" t="s">
        <v>281</v>
      </c>
      <c r="C4961" t="s">
        <v>341</v>
      </c>
      <c r="D4961" t="s">
        <v>683</v>
      </c>
      <c r="E4961" t="s">
        <v>694</v>
      </c>
      <c r="F4961" t="s">
        <v>874</v>
      </c>
      <c r="G4961" t="s">
        <v>1093</v>
      </c>
      <c r="H4961" t="s">
        <v>13370</v>
      </c>
      <c r="I4961" t="s">
        <v>17334</v>
      </c>
      <c r="J4961" t="s">
        <v>18894</v>
      </c>
      <c r="K4961">
        <v>11203</v>
      </c>
      <c r="L4961" t="s">
        <v>18958</v>
      </c>
      <c r="M4961" t="s">
        <v>18958</v>
      </c>
      <c r="N4961" t="s">
        <v>22670</v>
      </c>
      <c r="O4961" t="s">
        <v>26523</v>
      </c>
      <c r="P4961" t="s">
        <v>26565</v>
      </c>
      <c r="Q4961" t="s">
        <v>26571</v>
      </c>
      <c r="R4961" t="s">
        <v>26586</v>
      </c>
      <c r="U4961" t="s">
        <v>26605</v>
      </c>
      <c r="W4961" t="s">
        <v>694</v>
      </c>
      <c r="X4961">
        <v>1000</v>
      </c>
      <c r="Y4961" t="s">
        <v>26652</v>
      </c>
      <c r="Z4961" t="s">
        <v>26664</v>
      </c>
      <c r="AA4961" t="s">
        <v>26681</v>
      </c>
      <c r="AB4961" t="s">
        <v>30737</v>
      </c>
      <c r="AD4961" t="s">
        <v>40943</v>
      </c>
      <c r="AE4961">
        <v>3</v>
      </c>
      <c r="AF4961" t="s">
        <v>45547</v>
      </c>
      <c r="AH4961">
        <v>8</v>
      </c>
      <c r="AI4961">
        <v>2</v>
      </c>
      <c r="AJ4961">
        <v>1</v>
      </c>
      <c r="AK4961">
        <v>144.37</v>
      </c>
      <c r="AN4961" t="s">
        <v>7439</v>
      </c>
      <c r="AO4961">
        <v>30000</v>
      </c>
      <c r="AU4961">
        <v>0.6</v>
      </c>
      <c r="AV4961" t="s">
        <v>677</v>
      </c>
      <c r="AW4961" t="s">
        <v>281</v>
      </c>
    </row>
    <row r="4962" spans="1:50">
      <c r="A4962" s="1">
        <f>HYPERLINK("https://lsnyc.legalserver.org/matter/dynamic-profile/view/1889250","19-1889250")</f>
        <v>0</v>
      </c>
      <c r="B4962" t="s">
        <v>144</v>
      </c>
      <c r="C4962" t="s">
        <v>340</v>
      </c>
      <c r="D4962" t="s">
        <v>693</v>
      </c>
      <c r="F4962" t="s">
        <v>3238</v>
      </c>
      <c r="G4962" t="s">
        <v>6494</v>
      </c>
      <c r="H4962" t="s">
        <v>13371</v>
      </c>
      <c r="I4962" t="s">
        <v>17278</v>
      </c>
      <c r="J4962" t="s">
        <v>18893</v>
      </c>
      <c r="K4962">
        <v>10027</v>
      </c>
      <c r="L4962" t="s">
        <v>18958</v>
      </c>
      <c r="M4962" t="s">
        <v>18958</v>
      </c>
      <c r="N4962" t="s">
        <v>22671</v>
      </c>
      <c r="O4962" t="s">
        <v>26523</v>
      </c>
      <c r="P4962" t="s">
        <v>26560</v>
      </c>
      <c r="R4962" t="s">
        <v>26580</v>
      </c>
      <c r="S4962" t="s">
        <v>18959</v>
      </c>
      <c r="U4962" t="s">
        <v>26604</v>
      </c>
      <c r="V4962" t="s">
        <v>26610</v>
      </c>
      <c r="W4962" t="s">
        <v>694</v>
      </c>
      <c r="X4962">
        <v>1066</v>
      </c>
      <c r="Y4962" t="s">
        <v>26651</v>
      </c>
      <c r="Z4962" t="s">
        <v>26661</v>
      </c>
      <c r="AB4962" t="s">
        <v>29177</v>
      </c>
      <c r="AE4962">
        <v>0</v>
      </c>
      <c r="AF4962" t="s">
        <v>45541</v>
      </c>
      <c r="AG4962" t="s">
        <v>45556</v>
      </c>
      <c r="AH4962">
        <v>32</v>
      </c>
      <c r="AI4962">
        <v>5</v>
      </c>
      <c r="AJ4962">
        <v>0</v>
      </c>
      <c r="AK4962">
        <v>192.68</v>
      </c>
      <c r="AN4962" t="s">
        <v>7439</v>
      </c>
      <c r="AO4962">
        <v>58132</v>
      </c>
      <c r="AU4962">
        <v>14.5</v>
      </c>
      <c r="AV4962" t="s">
        <v>826</v>
      </c>
      <c r="AW4962" t="s">
        <v>46840</v>
      </c>
    </row>
    <row r="4963" spans="1:50">
      <c r="A4963" s="1">
        <f>HYPERLINK("https://lsnyc.legalserver.org/matter/dynamic-profile/view/1889321","19-1889321")</f>
        <v>0</v>
      </c>
      <c r="B4963" t="s">
        <v>107</v>
      </c>
      <c r="C4963" t="s">
        <v>341</v>
      </c>
      <c r="D4963" t="s">
        <v>694</v>
      </c>
      <c r="E4963" t="s">
        <v>695</v>
      </c>
      <c r="F4963" t="s">
        <v>1083</v>
      </c>
      <c r="G4963" t="s">
        <v>5691</v>
      </c>
      <c r="H4963" t="s">
        <v>13372</v>
      </c>
      <c r="I4963" t="s">
        <v>17272</v>
      </c>
      <c r="J4963" t="s">
        <v>18923</v>
      </c>
      <c r="K4963">
        <v>11418</v>
      </c>
      <c r="L4963" t="s">
        <v>18958</v>
      </c>
      <c r="M4963" t="s">
        <v>18958</v>
      </c>
      <c r="N4963" t="s">
        <v>22672</v>
      </c>
      <c r="O4963" t="s">
        <v>26523</v>
      </c>
      <c r="P4963" t="s">
        <v>26560</v>
      </c>
      <c r="Q4963" t="s">
        <v>26568</v>
      </c>
      <c r="R4963" t="s">
        <v>26584</v>
      </c>
      <c r="S4963" t="s">
        <v>18959</v>
      </c>
      <c r="U4963" t="s">
        <v>26604</v>
      </c>
      <c r="V4963" t="s">
        <v>26610</v>
      </c>
      <c r="W4963" t="s">
        <v>694</v>
      </c>
      <c r="X4963">
        <v>932.28</v>
      </c>
      <c r="Y4963" t="s">
        <v>26653</v>
      </c>
      <c r="Z4963" t="s">
        <v>26664</v>
      </c>
      <c r="AA4963" t="s">
        <v>26678</v>
      </c>
      <c r="AB4963" t="s">
        <v>30738</v>
      </c>
      <c r="AC4963" t="s">
        <v>35887</v>
      </c>
      <c r="AD4963" t="s">
        <v>40944</v>
      </c>
      <c r="AE4963">
        <v>6</v>
      </c>
      <c r="AF4963" t="s">
        <v>45541</v>
      </c>
      <c r="AG4963" t="s">
        <v>45557</v>
      </c>
      <c r="AH4963">
        <v>4</v>
      </c>
      <c r="AI4963">
        <v>1</v>
      </c>
      <c r="AJ4963">
        <v>2</v>
      </c>
      <c r="AK4963">
        <v>22.5</v>
      </c>
      <c r="AN4963" t="s">
        <v>7439</v>
      </c>
      <c r="AO4963">
        <v>4800</v>
      </c>
      <c r="AQ4963" t="s">
        <v>46365</v>
      </c>
      <c r="AR4963" t="s">
        <v>26530</v>
      </c>
      <c r="AS4963" t="s">
        <v>46499</v>
      </c>
      <c r="AT4963" t="s">
        <v>46679</v>
      </c>
      <c r="AU4963">
        <v>12.15</v>
      </c>
      <c r="AV4963" t="s">
        <v>695</v>
      </c>
      <c r="AW4963" t="s">
        <v>208</v>
      </c>
      <c r="AX4963" t="s">
        <v>46897</v>
      </c>
    </row>
    <row r="4964" spans="1:50">
      <c r="A4964" s="1">
        <f>HYPERLINK("https://lsnyc.legalserver.org/matter/dynamic-profile/view/1889305","19-1889305")</f>
        <v>0</v>
      </c>
      <c r="B4964" t="s">
        <v>141</v>
      </c>
      <c r="C4964" t="s">
        <v>341</v>
      </c>
      <c r="D4964" t="s">
        <v>694</v>
      </c>
      <c r="E4964" t="s">
        <v>690</v>
      </c>
      <c r="F4964" t="s">
        <v>3239</v>
      </c>
      <c r="G4964" t="s">
        <v>7491</v>
      </c>
      <c r="H4964" t="s">
        <v>13373</v>
      </c>
      <c r="I4964" t="s">
        <v>17491</v>
      </c>
      <c r="J4964" t="s">
        <v>18896</v>
      </c>
      <c r="K4964">
        <v>11419</v>
      </c>
      <c r="L4964" t="s">
        <v>18958</v>
      </c>
      <c r="M4964" t="s">
        <v>18958</v>
      </c>
      <c r="N4964" t="s">
        <v>22673</v>
      </c>
      <c r="O4964" t="s">
        <v>26523</v>
      </c>
      <c r="P4964" t="s">
        <v>26564</v>
      </c>
      <c r="Q4964" t="s">
        <v>26570</v>
      </c>
      <c r="R4964" t="s">
        <v>26578</v>
      </c>
      <c r="S4964" t="s">
        <v>18959</v>
      </c>
      <c r="U4964" t="s">
        <v>26604</v>
      </c>
      <c r="V4964" t="s">
        <v>26610</v>
      </c>
      <c r="W4964" t="s">
        <v>694</v>
      </c>
      <c r="X4964">
        <v>2300</v>
      </c>
      <c r="Y4964" t="s">
        <v>26653</v>
      </c>
      <c r="Z4964" t="s">
        <v>26664</v>
      </c>
      <c r="AA4964" t="s">
        <v>26683</v>
      </c>
      <c r="AB4964" t="s">
        <v>30739</v>
      </c>
      <c r="AD4964" t="s">
        <v>40945</v>
      </c>
      <c r="AE4964">
        <v>3</v>
      </c>
      <c r="AF4964" t="s">
        <v>45547</v>
      </c>
      <c r="AG4964" t="s">
        <v>19330</v>
      </c>
      <c r="AH4964">
        <v>-1</v>
      </c>
      <c r="AI4964">
        <v>1</v>
      </c>
      <c r="AJ4964">
        <v>0</v>
      </c>
      <c r="AK4964">
        <v>0</v>
      </c>
      <c r="AN4964" t="s">
        <v>7439</v>
      </c>
      <c r="AO4964">
        <v>0</v>
      </c>
      <c r="AU4964">
        <v>1.5</v>
      </c>
      <c r="AV4964" t="s">
        <v>702</v>
      </c>
      <c r="AW4964" t="s">
        <v>208</v>
      </c>
    </row>
    <row r="4965" spans="1:50">
      <c r="A4965" s="1">
        <f>HYPERLINK("https://lsnyc.legalserver.org/matter/dynamic-profile/view/1889361","19-1889361")</f>
        <v>0</v>
      </c>
      <c r="B4965" t="s">
        <v>270</v>
      </c>
      <c r="C4965" t="s">
        <v>341</v>
      </c>
      <c r="D4965" t="s">
        <v>694</v>
      </c>
      <c r="E4965" t="s">
        <v>765</v>
      </c>
      <c r="F4965" t="s">
        <v>1087</v>
      </c>
      <c r="G4965" t="s">
        <v>7492</v>
      </c>
      <c r="H4965" t="s">
        <v>13374</v>
      </c>
      <c r="I4965" t="s">
        <v>18173</v>
      </c>
      <c r="J4965" t="s">
        <v>18892</v>
      </c>
      <c r="K4965">
        <v>10467</v>
      </c>
      <c r="L4965" t="s">
        <v>18958</v>
      </c>
      <c r="M4965" t="s">
        <v>18960</v>
      </c>
      <c r="N4965" t="s">
        <v>22674</v>
      </c>
      <c r="O4965" t="s">
        <v>26523</v>
      </c>
      <c r="P4965" t="s">
        <v>26560</v>
      </c>
      <c r="Q4965" t="s">
        <v>26568</v>
      </c>
      <c r="R4965" t="s">
        <v>26579</v>
      </c>
      <c r="U4965" t="s">
        <v>26604</v>
      </c>
      <c r="V4965" t="s">
        <v>26612</v>
      </c>
      <c r="W4965" t="s">
        <v>694</v>
      </c>
      <c r="X4965">
        <v>1375</v>
      </c>
      <c r="Y4965" t="s">
        <v>26650</v>
      </c>
      <c r="AA4965" t="s">
        <v>26681</v>
      </c>
      <c r="AB4965" t="s">
        <v>30740</v>
      </c>
      <c r="AC4965" t="s">
        <v>35888</v>
      </c>
      <c r="AD4965" t="s">
        <v>40946</v>
      </c>
      <c r="AE4965">
        <v>16</v>
      </c>
      <c r="AF4965" t="s">
        <v>45541</v>
      </c>
      <c r="AG4965" t="s">
        <v>26530</v>
      </c>
      <c r="AH4965">
        <v>10</v>
      </c>
      <c r="AI4965">
        <v>1</v>
      </c>
      <c r="AJ4965">
        <v>0</v>
      </c>
      <c r="AK4965">
        <v>216.17</v>
      </c>
      <c r="AL4965" t="s">
        <v>751</v>
      </c>
      <c r="AM4965" t="s">
        <v>45575</v>
      </c>
      <c r="AN4965" t="s">
        <v>7439</v>
      </c>
      <c r="AO4965">
        <v>27000</v>
      </c>
      <c r="AR4965" t="s">
        <v>26530</v>
      </c>
      <c r="AS4965" t="s">
        <v>46499</v>
      </c>
      <c r="AT4965" t="s">
        <v>46707</v>
      </c>
      <c r="AU4965">
        <v>6</v>
      </c>
      <c r="AV4965" t="s">
        <v>794</v>
      </c>
      <c r="AW4965" t="s">
        <v>46850</v>
      </c>
    </row>
    <row r="4966" spans="1:50">
      <c r="A4966" s="1">
        <f>HYPERLINK("https://lsnyc.legalserver.org/matter/dynamic-profile/view/1889324","19-1889324")</f>
        <v>0</v>
      </c>
      <c r="B4966" t="s">
        <v>218</v>
      </c>
      <c r="C4966" t="s">
        <v>341</v>
      </c>
      <c r="D4966" t="s">
        <v>694</v>
      </c>
      <c r="E4966" t="s">
        <v>808</v>
      </c>
      <c r="F4966" t="s">
        <v>1253</v>
      </c>
      <c r="G4966" t="s">
        <v>7493</v>
      </c>
      <c r="H4966" t="s">
        <v>11621</v>
      </c>
      <c r="I4966" t="s">
        <v>18174</v>
      </c>
      <c r="J4966" t="s">
        <v>18892</v>
      </c>
      <c r="K4966">
        <v>10463</v>
      </c>
      <c r="L4966" t="s">
        <v>18958</v>
      </c>
      <c r="M4966" t="s">
        <v>18958</v>
      </c>
      <c r="N4966" t="s">
        <v>22675</v>
      </c>
      <c r="O4966" t="s">
        <v>26523</v>
      </c>
      <c r="P4966" t="s">
        <v>26560</v>
      </c>
      <c r="Q4966" t="s">
        <v>26568</v>
      </c>
      <c r="R4966" t="s">
        <v>26578</v>
      </c>
      <c r="S4966" t="s">
        <v>18959</v>
      </c>
      <c r="U4966" t="s">
        <v>26604</v>
      </c>
      <c r="W4966" t="s">
        <v>694</v>
      </c>
      <c r="X4966">
        <v>1250</v>
      </c>
      <c r="Y4966" t="s">
        <v>26651</v>
      </c>
      <c r="Z4966" t="s">
        <v>26659</v>
      </c>
      <c r="AA4966" t="s">
        <v>26692</v>
      </c>
      <c r="AB4966" t="s">
        <v>30741</v>
      </c>
      <c r="AD4966" t="s">
        <v>40947</v>
      </c>
      <c r="AE4966">
        <v>84</v>
      </c>
      <c r="AF4966" t="s">
        <v>45541</v>
      </c>
      <c r="AG4966" t="s">
        <v>19330</v>
      </c>
      <c r="AH4966">
        <v>4</v>
      </c>
      <c r="AI4966">
        <v>2</v>
      </c>
      <c r="AJ4966">
        <v>0</v>
      </c>
      <c r="AK4966">
        <v>266.11</v>
      </c>
      <c r="AL4966" t="s">
        <v>820</v>
      </c>
      <c r="AM4966" t="s">
        <v>45575</v>
      </c>
      <c r="AN4966" t="s">
        <v>7439</v>
      </c>
      <c r="AO4966">
        <v>45000</v>
      </c>
      <c r="AU4966">
        <v>33</v>
      </c>
      <c r="AV4966" t="s">
        <v>822</v>
      </c>
      <c r="AW4966" t="s">
        <v>46840</v>
      </c>
      <c r="AX4966" t="s">
        <v>46897</v>
      </c>
    </row>
    <row r="4967" spans="1:50">
      <c r="A4967" s="1">
        <f>HYPERLINK("https://lsnyc.legalserver.org/matter/dynamic-profile/view/1889313","19-1889313")</f>
        <v>0</v>
      </c>
      <c r="B4967" t="s">
        <v>61</v>
      </c>
      <c r="C4967" t="s">
        <v>340</v>
      </c>
      <c r="D4967" t="s">
        <v>694</v>
      </c>
      <c r="F4967" t="s">
        <v>1789</v>
      </c>
      <c r="G4967" t="s">
        <v>5401</v>
      </c>
      <c r="H4967" t="s">
        <v>9876</v>
      </c>
      <c r="I4967" t="s">
        <v>18175</v>
      </c>
      <c r="J4967" t="s">
        <v>18893</v>
      </c>
      <c r="K4967">
        <v>10034</v>
      </c>
      <c r="L4967" t="s">
        <v>18958</v>
      </c>
      <c r="M4967" t="s">
        <v>18958</v>
      </c>
      <c r="O4967" t="s">
        <v>26529</v>
      </c>
      <c r="P4967" t="s">
        <v>26564</v>
      </c>
      <c r="R4967" t="s">
        <v>26578</v>
      </c>
      <c r="S4967" t="s">
        <v>18959</v>
      </c>
      <c r="U4967" t="s">
        <v>26604</v>
      </c>
      <c r="W4967" t="s">
        <v>694</v>
      </c>
      <c r="X4967">
        <v>1601.08</v>
      </c>
      <c r="Y4967" t="s">
        <v>26651</v>
      </c>
      <c r="Z4967" t="s">
        <v>26659</v>
      </c>
      <c r="AB4967" t="s">
        <v>30742</v>
      </c>
      <c r="AD4967" t="s">
        <v>40948</v>
      </c>
      <c r="AE4967">
        <v>69</v>
      </c>
      <c r="AF4967" t="s">
        <v>45541</v>
      </c>
      <c r="AG4967" t="s">
        <v>45559</v>
      </c>
      <c r="AH4967">
        <v>35</v>
      </c>
      <c r="AI4967">
        <v>1</v>
      </c>
      <c r="AJ4967">
        <v>0</v>
      </c>
      <c r="AK4967">
        <v>109.05</v>
      </c>
      <c r="AN4967" t="s">
        <v>7439</v>
      </c>
      <c r="AO4967">
        <v>13620</v>
      </c>
      <c r="AU4967">
        <v>2.6</v>
      </c>
      <c r="AV4967" t="s">
        <v>693</v>
      </c>
      <c r="AW4967" t="s">
        <v>46840</v>
      </c>
    </row>
    <row r="4968" spans="1:50">
      <c r="A4968" s="1">
        <f>HYPERLINK("https://lsnyc.legalserver.org/matter/dynamic-profile/view/1889297","19-1889297")</f>
        <v>0</v>
      </c>
      <c r="B4968" t="s">
        <v>61</v>
      </c>
      <c r="C4968" t="s">
        <v>340</v>
      </c>
      <c r="D4968" t="s">
        <v>694</v>
      </c>
      <c r="F4968" t="s">
        <v>871</v>
      </c>
      <c r="G4968" t="s">
        <v>7480</v>
      </c>
      <c r="H4968" t="s">
        <v>11324</v>
      </c>
      <c r="I4968">
        <v>34</v>
      </c>
      <c r="J4968" t="s">
        <v>18893</v>
      </c>
      <c r="K4968">
        <v>10034</v>
      </c>
      <c r="L4968" t="s">
        <v>18958</v>
      </c>
      <c r="M4968" t="s">
        <v>18958</v>
      </c>
      <c r="N4968" t="s">
        <v>22462</v>
      </c>
      <c r="O4968" t="s">
        <v>26526</v>
      </c>
      <c r="P4968" t="s">
        <v>26560</v>
      </c>
      <c r="R4968" t="s">
        <v>26578</v>
      </c>
      <c r="S4968" t="s">
        <v>18958</v>
      </c>
      <c r="U4968" t="s">
        <v>26604</v>
      </c>
      <c r="W4968" t="s">
        <v>694</v>
      </c>
      <c r="X4968">
        <v>967.59</v>
      </c>
      <c r="Y4968" t="s">
        <v>26651</v>
      </c>
      <c r="Z4968" t="s">
        <v>26661</v>
      </c>
      <c r="AB4968" t="s">
        <v>29984</v>
      </c>
      <c r="AD4968" t="s">
        <v>40949</v>
      </c>
      <c r="AE4968">
        <v>25</v>
      </c>
      <c r="AF4968" t="s">
        <v>45541</v>
      </c>
      <c r="AG4968" t="s">
        <v>19330</v>
      </c>
      <c r="AH4968">
        <v>35</v>
      </c>
      <c r="AI4968">
        <v>3</v>
      </c>
      <c r="AJ4968">
        <v>0</v>
      </c>
      <c r="AK4968">
        <v>271.8</v>
      </c>
      <c r="AN4968" t="s">
        <v>45581</v>
      </c>
      <c r="AO4968">
        <v>57975.48</v>
      </c>
      <c r="AU4968">
        <v>0</v>
      </c>
      <c r="AW4968" t="s">
        <v>46840</v>
      </c>
    </row>
    <row r="4969" spans="1:50">
      <c r="A4969" s="1">
        <f>HYPERLINK("https://lsnyc.legalserver.org/matter/dynamic-profile/view/1889334","19-1889334")</f>
        <v>0</v>
      </c>
      <c r="B4969" t="s">
        <v>58</v>
      </c>
      <c r="C4969" t="s">
        <v>340</v>
      </c>
      <c r="D4969" t="s">
        <v>694</v>
      </c>
      <c r="F4969" t="s">
        <v>1228</v>
      </c>
      <c r="G4969" t="s">
        <v>5953</v>
      </c>
      <c r="H4969" t="s">
        <v>13375</v>
      </c>
      <c r="I4969" t="s">
        <v>17272</v>
      </c>
      <c r="J4969" t="s">
        <v>18892</v>
      </c>
      <c r="K4969">
        <v>10457</v>
      </c>
      <c r="L4969" t="s">
        <v>18958</v>
      </c>
      <c r="M4969" t="s">
        <v>18958</v>
      </c>
      <c r="N4969" t="s">
        <v>22676</v>
      </c>
      <c r="O4969" t="s">
        <v>26523</v>
      </c>
      <c r="P4969" t="s">
        <v>26560</v>
      </c>
      <c r="R4969" t="s">
        <v>26579</v>
      </c>
      <c r="S4969" t="s">
        <v>18959</v>
      </c>
      <c r="U4969" t="s">
        <v>26604</v>
      </c>
      <c r="V4969" t="s">
        <v>26610</v>
      </c>
      <c r="W4969" t="s">
        <v>694</v>
      </c>
      <c r="X4969">
        <v>1650</v>
      </c>
      <c r="Y4969" t="s">
        <v>26650</v>
      </c>
      <c r="Z4969" t="s">
        <v>26668</v>
      </c>
      <c r="AB4969" t="s">
        <v>30743</v>
      </c>
      <c r="AD4969" t="s">
        <v>40950</v>
      </c>
      <c r="AE4969">
        <v>27</v>
      </c>
      <c r="AF4969" t="s">
        <v>45541</v>
      </c>
      <c r="AG4969" t="s">
        <v>45556</v>
      </c>
      <c r="AH4969">
        <v>2</v>
      </c>
      <c r="AI4969">
        <v>1</v>
      </c>
      <c r="AJ4969">
        <v>1</v>
      </c>
      <c r="AK4969">
        <v>58.05</v>
      </c>
      <c r="AN4969" t="s">
        <v>45581</v>
      </c>
      <c r="AO4969">
        <v>9816</v>
      </c>
      <c r="AQ4969" t="s">
        <v>46362</v>
      </c>
      <c r="AR4969" t="s">
        <v>46380</v>
      </c>
      <c r="AS4969" t="s">
        <v>46499</v>
      </c>
      <c r="AT4969" t="s">
        <v>46524</v>
      </c>
      <c r="AU4969">
        <v>25.5</v>
      </c>
      <c r="AV4969" t="s">
        <v>804</v>
      </c>
      <c r="AW4969" t="s">
        <v>46871</v>
      </c>
      <c r="AX4969" t="s">
        <v>46897</v>
      </c>
    </row>
    <row r="4970" spans="1:50">
      <c r="A4970" s="1">
        <f>HYPERLINK("https://lsnyc.legalserver.org/matter/dynamic-profile/view/1889378","19-1889378")</f>
        <v>0</v>
      </c>
      <c r="B4970" t="s">
        <v>282</v>
      </c>
      <c r="C4970" t="s">
        <v>340</v>
      </c>
      <c r="D4970" t="s">
        <v>694</v>
      </c>
      <c r="F4970" t="s">
        <v>2916</v>
      </c>
      <c r="G4970" t="s">
        <v>5762</v>
      </c>
      <c r="H4970" t="s">
        <v>13376</v>
      </c>
      <c r="J4970" t="s">
        <v>18900</v>
      </c>
      <c r="K4970">
        <v>11355</v>
      </c>
      <c r="L4970" t="s">
        <v>18958</v>
      </c>
      <c r="M4970" t="s">
        <v>18958</v>
      </c>
      <c r="N4970" t="s">
        <v>22677</v>
      </c>
      <c r="O4970" t="s">
        <v>26523</v>
      </c>
      <c r="P4970" t="s">
        <v>26560</v>
      </c>
      <c r="R4970" t="s">
        <v>26584</v>
      </c>
      <c r="S4970" t="s">
        <v>18958</v>
      </c>
      <c r="U4970" t="s">
        <v>26604</v>
      </c>
      <c r="V4970" t="s">
        <v>26611</v>
      </c>
      <c r="W4970" t="s">
        <v>694</v>
      </c>
      <c r="X4970">
        <v>923</v>
      </c>
      <c r="Y4970" t="s">
        <v>26653</v>
      </c>
      <c r="Z4970" t="s">
        <v>26664</v>
      </c>
      <c r="AB4970" t="s">
        <v>28944</v>
      </c>
      <c r="AD4970" t="s">
        <v>40951</v>
      </c>
      <c r="AE4970">
        <v>2</v>
      </c>
      <c r="AF4970" t="s">
        <v>45547</v>
      </c>
      <c r="AG4970" t="s">
        <v>19330</v>
      </c>
      <c r="AH4970">
        <v>40</v>
      </c>
      <c r="AI4970">
        <v>1</v>
      </c>
      <c r="AJ4970">
        <v>0</v>
      </c>
      <c r="AK4970">
        <v>0</v>
      </c>
      <c r="AN4970" t="s">
        <v>7439</v>
      </c>
      <c r="AO4970">
        <v>0</v>
      </c>
      <c r="AU4970">
        <v>24.3</v>
      </c>
      <c r="AV4970" t="s">
        <v>814</v>
      </c>
      <c r="AW4970" t="s">
        <v>161</v>
      </c>
    </row>
    <row r="4971" spans="1:50">
      <c r="A4971" s="1">
        <f>HYPERLINK("https://lsnyc.legalserver.org/matter/dynamic-profile/view/1889328","19-1889328")</f>
        <v>0</v>
      </c>
      <c r="B4971" t="s">
        <v>212</v>
      </c>
      <c r="C4971" t="s">
        <v>340</v>
      </c>
      <c r="D4971" t="s">
        <v>694</v>
      </c>
      <c r="F4971" t="s">
        <v>2016</v>
      </c>
      <c r="G4971" t="s">
        <v>7494</v>
      </c>
      <c r="H4971" t="s">
        <v>13377</v>
      </c>
      <c r="I4971" t="s">
        <v>17496</v>
      </c>
      <c r="J4971" t="s">
        <v>18911</v>
      </c>
      <c r="K4971">
        <v>11375</v>
      </c>
      <c r="L4971" t="s">
        <v>18958</v>
      </c>
      <c r="M4971" t="s">
        <v>18958</v>
      </c>
      <c r="N4971" t="s">
        <v>22678</v>
      </c>
      <c r="O4971" t="s">
        <v>26523</v>
      </c>
      <c r="P4971" t="s">
        <v>26564</v>
      </c>
      <c r="R4971" t="s">
        <v>26584</v>
      </c>
      <c r="S4971" t="s">
        <v>18959</v>
      </c>
      <c r="U4971" t="s">
        <v>26604</v>
      </c>
      <c r="V4971" t="s">
        <v>26610</v>
      </c>
      <c r="W4971" t="s">
        <v>694</v>
      </c>
      <c r="X4971">
        <v>718</v>
      </c>
      <c r="Y4971" t="s">
        <v>26653</v>
      </c>
      <c r="Z4971" t="s">
        <v>26664</v>
      </c>
      <c r="AB4971" t="s">
        <v>30744</v>
      </c>
      <c r="AC4971" t="s">
        <v>35889</v>
      </c>
      <c r="AD4971" t="s">
        <v>40952</v>
      </c>
      <c r="AE4971">
        <v>0</v>
      </c>
      <c r="AF4971" t="s">
        <v>20460</v>
      </c>
      <c r="AG4971" t="s">
        <v>19330</v>
      </c>
      <c r="AH4971">
        <v>30</v>
      </c>
      <c r="AI4971">
        <v>1</v>
      </c>
      <c r="AJ4971">
        <v>0</v>
      </c>
      <c r="AK4971">
        <v>86.47</v>
      </c>
      <c r="AN4971" t="s">
        <v>7439</v>
      </c>
      <c r="AO4971">
        <v>10800</v>
      </c>
      <c r="AU4971">
        <v>0.5</v>
      </c>
      <c r="AV4971" t="s">
        <v>753</v>
      </c>
      <c r="AW4971" t="s">
        <v>208</v>
      </c>
    </row>
    <row r="4972" spans="1:50">
      <c r="A4972" s="1">
        <f>HYPERLINK("https://lsnyc.legalserver.org/matter/dynamic-profile/view/1889270","19-1889270")</f>
        <v>0</v>
      </c>
      <c r="B4972" t="s">
        <v>71</v>
      </c>
      <c r="C4972" t="s">
        <v>340</v>
      </c>
      <c r="D4972" t="s">
        <v>694</v>
      </c>
      <c r="F4972" t="s">
        <v>3240</v>
      </c>
      <c r="G4972" t="s">
        <v>962</v>
      </c>
      <c r="H4972" t="s">
        <v>11567</v>
      </c>
      <c r="I4972" t="s">
        <v>17527</v>
      </c>
      <c r="J4972" t="s">
        <v>18892</v>
      </c>
      <c r="K4972">
        <v>10468</v>
      </c>
      <c r="L4972" t="s">
        <v>18958</v>
      </c>
      <c r="M4972" t="s">
        <v>18958</v>
      </c>
      <c r="N4972" t="s">
        <v>22679</v>
      </c>
      <c r="O4972" t="s">
        <v>26523</v>
      </c>
      <c r="P4972" t="s">
        <v>26560</v>
      </c>
      <c r="R4972" t="s">
        <v>26579</v>
      </c>
      <c r="S4972" t="s">
        <v>18959</v>
      </c>
      <c r="U4972" t="s">
        <v>26604</v>
      </c>
      <c r="V4972" t="s">
        <v>26610</v>
      </c>
      <c r="W4972" t="s">
        <v>694</v>
      </c>
      <c r="X4972">
        <v>0</v>
      </c>
      <c r="Y4972" t="s">
        <v>26650</v>
      </c>
      <c r="Z4972" t="s">
        <v>26664</v>
      </c>
      <c r="AB4972" t="s">
        <v>29488</v>
      </c>
      <c r="AD4972" t="s">
        <v>40953</v>
      </c>
      <c r="AE4972">
        <v>0</v>
      </c>
      <c r="AF4972" t="s">
        <v>45541</v>
      </c>
      <c r="AG4972" t="s">
        <v>45556</v>
      </c>
      <c r="AH4972">
        <v>14</v>
      </c>
      <c r="AI4972">
        <v>2</v>
      </c>
      <c r="AJ4972">
        <v>0</v>
      </c>
      <c r="AK4972">
        <v>70.95999999999999</v>
      </c>
      <c r="AN4972" t="s">
        <v>45581</v>
      </c>
      <c r="AO4972">
        <v>12000</v>
      </c>
      <c r="AU4972">
        <v>12.6</v>
      </c>
      <c r="AV4972" t="s">
        <v>833</v>
      </c>
      <c r="AW4972" t="s">
        <v>334</v>
      </c>
      <c r="AX4972" t="s">
        <v>46897</v>
      </c>
    </row>
    <row r="4973" spans="1:50">
      <c r="A4973" s="1">
        <f>HYPERLINK("https://lsnyc.legalserver.org/matter/dynamic-profile/view/1889370","19-1889370")</f>
        <v>0</v>
      </c>
      <c r="B4973" t="s">
        <v>225</v>
      </c>
      <c r="C4973" t="s">
        <v>340</v>
      </c>
      <c r="D4973" t="s">
        <v>694</v>
      </c>
      <c r="F4973" t="s">
        <v>3241</v>
      </c>
      <c r="G4973" t="s">
        <v>875</v>
      </c>
      <c r="H4973" t="s">
        <v>13378</v>
      </c>
      <c r="I4973" t="s">
        <v>17284</v>
      </c>
      <c r="J4973" t="s">
        <v>18893</v>
      </c>
      <c r="K4973">
        <v>10029</v>
      </c>
      <c r="L4973" t="s">
        <v>18958</v>
      </c>
      <c r="M4973" t="s">
        <v>18958</v>
      </c>
      <c r="O4973" t="s">
        <v>18997</v>
      </c>
      <c r="P4973" t="s">
        <v>26562</v>
      </c>
      <c r="R4973" t="s">
        <v>26578</v>
      </c>
      <c r="S4973" t="s">
        <v>18959</v>
      </c>
      <c r="U4973" t="s">
        <v>26604</v>
      </c>
      <c r="V4973" t="s">
        <v>26610</v>
      </c>
      <c r="W4973" t="s">
        <v>694</v>
      </c>
      <c r="X4973">
        <v>650</v>
      </c>
      <c r="Y4973" t="s">
        <v>26651</v>
      </c>
      <c r="Z4973" t="s">
        <v>26672</v>
      </c>
      <c r="AB4973" t="s">
        <v>30745</v>
      </c>
      <c r="AD4973" t="s">
        <v>40954</v>
      </c>
      <c r="AE4973">
        <v>33</v>
      </c>
      <c r="AF4973" t="s">
        <v>45544</v>
      </c>
      <c r="AG4973" t="s">
        <v>19330</v>
      </c>
      <c r="AH4973">
        <v>31</v>
      </c>
      <c r="AI4973">
        <v>1</v>
      </c>
      <c r="AJ4973">
        <v>0</v>
      </c>
      <c r="AK4973">
        <v>192.15</v>
      </c>
      <c r="AN4973" t="s">
        <v>7439</v>
      </c>
      <c r="AO4973">
        <v>24000</v>
      </c>
      <c r="AU4973">
        <v>23.05</v>
      </c>
      <c r="AV4973" t="s">
        <v>830</v>
      </c>
      <c r="AW4973" t="s">
        <v>46857</v>
      </c>
    </row>
    <row r="4974" spans="1:50">
      <c r="A4974" s="1">
        <f>HYPERLINK("https://lsnyc.legalserver.org/matter/dynamic-profile/view/1889269","19-1889269")</f>
        <v>0</v>
      </c>
      <c r="B4974" t="s">
        <v>82</v>
      </c>
      <c r="C4974" t="s">
        <v>340</v>
      </c>
      <c r="D4974" t="s">
        <v>694</v>
      </c>
      <c r="F4974" t="s">
        <v>940</v>
      </c>
      <c r="G4974" t="s">
        <v>7495</v>
      </c>
      <c r="H4974" t="s">
        <v>10163</v>
      </c>
      <c r="I4974" t="s">
        <v>17298</v>
      </c>
      <c r="J4974" t="s">
        <v>18892</v>
      </c>
      <c r="K4974">
        <v>10468</v>
      </c>
      <c r="L4974" t="s">
        <v>18958</v>
      </c>
      <c r="M4974" t="s">
        <v>18958</v>
      </c>
      <c r="N4974" t="s">
        <v>22680</v>
      </c>
      <c r="O4974" t="s">
        <v>26523</v>
      </c>
      <c r="P4974" t="s">
        <v>26560</v>
      </c>
      <c r="R4974" t="s">
        <v>26579</v>
      </c>
      <c r="S4974" t="s">
        <v>18959</v>
      </c>
      <c r="U4974" t="s">
        <v>26604</v>
      </c>
      <c r="V4974" t="s">
        <v>26610</v>
      </c>
      <c r="W4974" t="s">
        <v>694</v>
      </c>
      <c r="X4974">
        <v>794.99</v>
      </c>
      <c r="Y4974" t="s">
        <v>26650</v>
      </c>
      <c r="AB4974" t="s">
        <v>30746</v>
      </c>
      <c r="AD4974" t="s">
        <v>40955</v>
      </c>
      <c r="AE4974">
        <v>0</v>
      </c>
      <c r="AF4974" t="s">
        <v>45541</v>
      </c>
      <c r="AH4974">
        <v>24</v>
      </c>
      <c r="AI4974">
        <v>3</v>
      </c>
      <c r="AJ4974">
        <v>0</v>
      </c>
      <c r="AK4974">
        <v>70.31999999999999</v>
      </c>
      <c r="AN4974" t="s">
        <v>45581</v>
      </c>
      <c r="AO4974">
        <v>15000</v>
      </c>
      <c r="AU4974">
        <v>5.25</v>
      </c>
      <c r="AV4974" t="s">
        <v>814</v>
      </c>
      <c r="AW4974" t="s">
        <v>46871</v>
      </c>
    </row>
    <row r="4975" spans="1:50">
      <c r="A4975" s="1">
        <f>HYPERLINK("https://lsnyc.legalserver.org/matter/dynamic-profile/view/1889264","19-1889264")</f>
        <v>0</v>
      </c>
      <c r="B4975" t="s">
        <v>82</v>
      </c>
      <c r="C4975" t="s">
        <v>340</v>
      </c>
      <c r="D4975" t="s">
        <v>694</v>
      </c>
      <c r="F4975" t="s">
        <v>979</v>
      </c>
      <c r="G4975" t="s">
        <v>5199</v>
      </c>
      <c r="H4975" t="s">
        <v>13379</v>
      </c>
      <c r="I4975" t="s">
        <v>17480</v>
      </c>
      <c r="J4975" t="s">
        <v>18892</v>
      </c>
      <c r="K4975">
        <v>10467</v>
      </c>
      <c r="L4975" t="s">
        <v>18958</v>
      </c>
      <c r="M4975" t="s">
        <v>18958</v>
      </c>
      <c r="N4975" t="s">
        <v>22681</v>
      </c>
      <c r="O4975" t="s">
        <v>26523</v>
      </c>
      <c r="P4975" t="s">
        <v>26560</v>
      </c>
      <c r="R4975" t="s">
        <v>26579</v>
      </c>
      <c r="U4975" t="s">
        <v>26604</v>
      </c>
      <c r="V4975" t="s">
        <v>26610</v>
      </c>
      <c r="W4975" t="s">
        <v>694</v>
      </c>
      <c r="X4975">
        <v>1566.29</v>
      </c>
      <c r="Y4975" t="s">
        <v>26650</v>
      </c>
      <c r="Z4975" t="s">
        <v>26664</v>
      </c>
      <c r="AB4975" t="s">
        <v>28661</v>
      </c>
      <c r="AD4975" t="s">
        <v>40956</v>
      </c>
      <c r="AE4975">
        <v>0</v>
      </c>
      <c r="AF4975" t="s">
        <v>45541</v>
      </c>
      <c r="AG4975" t="s">
        <v>45556</v>
      </c>
      <c r="AH4975">
        <v>8</v>
      </c>
      <c r="AI4975">
        <v>2</v>
      </c>
      <c r="AJ4975">
        <v>1</v>
      </c>
      <c r="AK4975">
        <v>187.53</v>
      </c>
      <c r="AN4975" t="s">
        <v>45581</v>
      </c>
      <c r="AO4975">
        <v>40000</v>
      </c>
      <c r="AU4975">
        <v>4.5</v>
      </c>
      <c r="AV4975" t="s">
        <v>771</v>
      </c>
      <c r="AW4975" t="s">
        <v>334</v>
      </c>
    </row>
    <row r="4976" spans="1:50">
      <c r="A4976" s="1">
        <f>HYPERLINK("https://lsnyc.legalserver.org/matter/dynamic-profile/view/1889397","19-1889397")</f>
        <v>0</v>
      </c>
      <c r="B4976" t="s">
        <v>91</v>
      </c>
      <c r="C4976" t="s">
        <v>340</v>
      </c>
      <c r="D4976" t="s">
        <v>694</v>
      </c>
      <c r="F4976" t="s">
        <v>1036</v>
      </c>
      <c r="G4976" t="s">
        <v>5125</v>
      </c>
      <c r="H4976" t="s">
        <v>13380</v>
      </c>
      <c r="I4976" t="s">
        <v>17469</v>
      </c>
      <c r="J4976" t="s">
        <v>18899</v>
      </c>
      <c r="K4976">
        <v>11385</v>
      </c>
      <c r="L4976" t="s">
        <v>18958</v>
      </c>
      <c r="M4976" t="s">
        <v>18958</v>
      </c>
      <c r="N4976" t="s">
        <v>22682</v>
      </c>
      <c r="O4976" t="s">
        <v>26523</v>
      </c>
      <c r="P4976" t="s">
        <v>26560</v>
      </c>
      <c r="R4976" t="s">
        <v>26585</v>
      </c>
      <c r="S4976" t="s">
        <v>18959</v>
      </c>
      <c r="U4976" t="s">
        <v>26604</v>
      </c>
      <c r="V4976" t="s">
        <v>26610</v>
      </c>
      <c r="W4976" t="s">
        <v>694</v>
      </c>
      <c r="X4976">
        <v>1127</v>
      </c>
      <c r="Y4976" t="s">
        <v>26653</v>
      </c>
      <c r="Z4976" t="s">
        <v>26664</v>
      </c>
      <c r="AB4976" t="s">
        <v>30747</v>
      </c>
      <c r="AC4976" t="s">
        <v>35890</v>
      </c>
      <c r="AD4976" t="s">
        <v>40957</v>
      </c>
      <c r="AE4976">
        <v>2</v>
      </c>
      <c r="AF4976" t="s">
        <v>45547</v>
      </c>
      <c r="AG4976" t="s">
        <v>19330</v>
      </c>
      <c r="AH4976">
        <v>15</v>
      </c>
      <c r="AI4976">
        <v>2</v>
      </c>
      <c r="AJ4976">
        <v>0</v>
      </c>
      <c r="AK4976">
        <v>55.35</v>
      </c>
      <c r="AN4976" t="s">
        <v>45581</v>
      </c>
      <c r="AO4976">
        <v>9360</v>
      </c>
      <c r="AU4976">
        <v>33.7</v>
      </c>
      <c r="AV4976" t="s">
        <v>773</v>
      </c>
      <c r="AW4976" t="s">
        <v>161</v>
      </c>
    </row>
    <row r="4977" spans="1:50">
      <c r="A4977" s="1">
        <f>HYPERLINK("https://lsnyc.legalserver.org/matter/dynamic-profile/view/1889365","19-1889365")</f>
        <v>0</v>
      </c>
      <c r="B4977" t="s">
        <v>91</v>
      </c>
      <c r="C4977" t="s">
        <v>340</v>
      </c>
      <c r="D4977" t="s">
        <v>694</v>
      </c>
      <c r="F4977" t="s">
        <v>1827</v>
      </c>
      <c r="G4977" t="s">
        <v>5434</v>
      </c>
      <c r="H4977" t="s">
        <v>13381</v>
      </c>
      <c r="I4977" t="s">
        <v>17312</v>
      </c>
      <c r="J4977" t="s">
        <v>18906</v>
      </c>
      <c r="K4977">
        <v>11373</v>
      </c>
      <c r="L4977" t="s">
        <v>18958</v>
      </c>
      <c r="M4977" t="s">
        <v>18958</v>
      </c>
      <c r="N4977" t="s">
        <v>22683</v>
      </c>
      <c r="O4977" t="s">
        <v>26523</v>
      </c>
      <c r="P4977" t="s">
        <v>26560</v>
      </c>
      <c r="R4977" t="s">
        <v>26585</v>
      </c>
      <c r="S4977" t="s">
        <v>18959</v>
      </c>
      <c r="U4977" t="s">
        <v>26604</v>
      </c>
      <c r="V4977" t="s">
        <v>26610</v>
      </c>
      <c r="W4977" t="s">
        <v>694</v>
      </c>
      <c r="X4977">
        <v>1284</v>
      </c>
      <c r="Y4977" t="s">
        <v>26653</v>
      </c>
      <c r="Z4977" t="s">
        <v>26664</v>
      </c>
      <c r="AB4977" t="s">
        <v>30748</v>
      </c>
      <c r="AD4977" t="s">
        <v>40958</v>
      </c>
      <c r="AE4977">
        <v>41</v>
      </c>
      <c r="AF4977" t="s">
        <v>45541</v>
      </c>
      <c r="AG4977" t="s">
        <v>19330</v>
      </c>
      <c r="AH4977">
        <v>17</v>
      </c>
      <c r="AI4977">
        <v>2</v>
      </c>
      <c r="AJ4977">
        <v>2</v>
      </c>
      <c r="AK4977">
        <v>121.17</v>
      </c>
      <c r="AN4977" t="s">
        <v>7439</v>
      </c>
      <c r="AO4977">
        <v>31200</v>
      </c>
      <c r="AU4977">
        <v>10.2</v>
      </c>
      <c r="AV4977" t="s">
        <v>836</v>
      </c>
      <c r="AW4977" t="s">
        <v>161</v>
      </c>
    </row>
    <row r="4978" spans="1:50">
      <c r="A4978" s="1">
        <f>HYPERLINK("https://lsnyc.legalserver.org/matter/dynamic-profile/view/1889357","19-1889357")</f>
        <v>0</v>
      </c>
      <c r="B4978" t="s">
        <v>114</v>
      </c>
      <c r="C4978" t="s">
        <v>340</v>
      </c>
      <c r="D4978" t="s">
        <v>694</v>
      </c>
      <c r="F4978" t="s">
        <v>3242</v>
      </c>
      <c r="G4978" t="s">
        <v>7496</v>
      </c>
      <c r="H4978" t="s">
        <v>13382</v>
      </c>
      <c r="I4978" t="s">
        <v>17389</v>
      </c>
      <c r="J4978" t="s">
        <v>18900</v>
      </c>
      <c r="K4978">
        <v>11367</v>
      </c>
      <c r="L4978" t="s">
        <v>18958</v>
      </c>
      <c r="M4978" t="s">
        <v>18958</v>
      </c>
      <c r="N4978" t="s">
        <v>22684</v>
      </c>
      <c r="O4978" t="s">
        <v>26523</v>
      </c>
      <c r="P4978" t="s">
        <v>26565</v>
      </c>
      <c r="R4978" t="s">
        <v>26584</v>
      </c>
      <c r="S4978" t="s">
        <v>18959</v>
      </c>
      <c r="U4978" t="s">
        <v>26604</v>
      </c>
      <c r="V4978" t="s">
        <v>26610</v>
      </c>
      <c r="W4978" t="s">
        <v>694</v>
      </c>
      <c r="X4978">
        <v>1211</v>
      </c>
      <c r="Y4978" t="s">
        <v>26653</v>
      </c>
      <c r="Z4978" t="s">
        <v>26664</v>
      </c>
      <c r="AB4978" t="s">
        <v>30749</v>
      </c>
      <c r="AC4978" t="s">
        <v>19045</v>
      </c>
      <c r="AD4978" t="s">
        <v>40959</v>
      </c>
      <c r="AE4978">
        <v>12</v>
      </c>
      <c r="AF4978" t="s">
        <v>20460</v>
      </c>
      <c r="AG4978" t="s">
        <v>19330</v>
      </c>
      <c r="AH4978">
        <v>29</v>
      </c>
      <c r="AI4978">
        <v>1</v>
      </c>
      <c r="AJ4978">
        <v>1</v>
      </c>
      <c r="AK4978">
        <v>130.1</v>
      </c>
      <c r="AN4978" t="s">
        <v>7439</v>
      </c>
      <c r="AO4978">
        <v>22000</v>
      </c>
      <c r="AT4978" t="s">
        <v>46599</v>
      </c>
      <c r="AU4978">
        <v>1.9</v>
      </c>
      <c r="AV4978" t="s">
        <v>775</v>
      </c>
      <c r="AW4978" t="s">
        <v>161</v>
      </c>
    </row>
    <row r="4979" spans="1:50">
      <c r="A4979" s="1">
        <f>HYPERLINK("https://lsnyc.legalserver.org/matter/dynamic-profile/view/1889657","19-1889657")</f>
        <v>0</v>
      </c>
      <c r="B4979" t="s">
        <v>212</v>
      </c>
      <c r="C4979" t="s">
        <v>340</v>
      </c>
      <c r="D4979" t="s">
        <v>739</v>
      </c>
      <c r="F4979" t="s">
        <v>3243</v>
      </c>
      <c r="G4979" t="s">
        <v>7497</v>
      </c>
      <c r="H4979" t="s">
        <v>11969</v>
      </c>
      <c r="I4979" t="s">
        <v>17490</v>
      </c>
      <c r="J4979" t="s">
        <v>18912</v>
      </c>
      <c r="K4979">
        <v>11374</v>
      </c>
      <c r="L4979" t="s">
        <v>18958</v>
      </c>
      <c r="M4979" t="s">
        <v>18958</v>
      </c>
      <c r="N4979" t="s">
        <v>22685</v>
      </c>
      <c r="O4979" t="s">
        <v>26523</v>
      </c>
      <c r="P4979" t="s">
        <v>26565</v>
      </c>
      <c r="R4979" t="s">
        <v>26589</v>
      </c>
      <c r="S4979" t="s">
        <v>18959</v>
      </c>
      <c r="U4979" t="s">
        <v>26604</v>
      </c>
      <c r="V4979" t="s">
        <v>26611</v>
      </c>
      <c r="W4979" t="s">
        <v>694</v>
      </c>
      <c r="X4979">
        <v>1800</v>
      </c>
      <c r="Y4979" t="s">
        <v>26653</v>
      </c>
      <c r="Z4979" t="s">
        <v>26671</v>
      </c>
      <c r="AB4979" t="s">
        <v>30750</v>
      </c>
      <c r="AC4979" t="s">
        <v>34738</v>
      </c>
      <c r="AD4979" t="s">
        <v>34738</v>
      </c>
      <c r="AE4979">
        <v>6</v>
      </c>
      <c r="AF4979" t="s">
        <v>45541</v>
      </c>
      <c r="AG4979" t="s">
        <v>19330</v>
      </c>
      <c r="AH4979">
        <v>0</v>
      </c>
      <c r="AI4979">
        <v>2</v>
      </c>
      <c r="AJ4979">
        <v>2</v>
      </c>
      <c r="AK4979">
        <v>77.67</v>
      </c>
      <c r="AL4979" t="s">
        <v>45567</v>
      </c>
      <c r="AM4979" t="s">
        <v>45577</v>
      </c>
      <c r="AN4979" t="s">
        <v>7439</v>
      </c>
      <c r="AO4979">
        <v>20000</v>
      </c>
      <c r="AU4979">
        <v>1.95</v>
      </c>
      <c r="AV4979" t="s">
        <v>784</v>
      </c>
      <c r="AW4979" t="s">
        <v>161</v>
      </c>
    </row>
    <row r="4980" spans="1:50">
      <c r="A4980" s="1">
        <f>HYPERLINK("https://lsnyc.legalserver.org/matter/dynamic-profile/view/1873192","18-1873192")</f>
        <v>0</v>
      </c>
      <c r="B4980" t="s">
        <v>206</v>
      </c>
      <c r="C4980" t="s">
        <v>341</v>
      </c>
      <c r="D4980" t="s">
        <v>410</v>
      </c>
      <c r="E4980" t="s">
        <v>677</v>
      </c>
      <c r="F4980" t="s">
        <v>3244</v>
      </c>
      <c r="G4980" t="s">
        <v>7498</v>
      </c>
      <c r="H4980" t="s">
        <v>13383</v>
      </c>
      <c r="I4980" t="s">
        <v>17309</v>
      </c>
      <c r="J4980" t="s">
        <v>18894</v>
      </c>
      <c r="K4980">
        <v>11220</v>
      </c>
      <c r="L4980" t="s">
        <v>18958</v>
      </c>
      <c r="M4980" t="s">
        <v>18958</v>
      </c>
      <c r="N4980" t="s">
        <v>22686</v>
      </c>
      <c r="O4980" t="s">
        <v>26523</v>
      </c>
      <c r="P4980" t="s">
        <v>26563</v>
      </c>
      <c r="Q4980" t="s">
        <v>26570</v>
      </c>
      <c r="R4980" t="s">
        <v>26586</v>
      </c>
      <c r="S4980" t="s">
        <v>18959</v>
      </c>
      <c r="U4980" t="s">
        <v>26604</v>
      </c>
      <c r="W4980" t="s">
        <v>677</v>
      </c>
      <c r="X4980">
        <v>2195.19</v>
      </c>
      <c r="Y4980" t="s">
        <v>26652</v>
      </c>
      <c r="Z4980" t="s">
        <v>26662</v>
      </c>
      <c r="AA4980" t="s">
        <v>26683</v>
      </c>
      <c r="AB4980" t="s">
        <v>30751</v>
      </c>
      <c r="AE4980">
        <v>6</v>
      </c>
      <c r="AG4980" t="s">
        <v>19330</v>
      </c>
      <c r="AH4980">
        <v>10</v>
      </c>
      <c r="AI4980">
        <v>2</v>
      </c>
      <c r="AJ4980">
        <v>3</v>
      </c>
      <c r="AK4980">
        <v>98.56999999999999</v>
      </c>
      <c r="AN4980" t="s">
        <v>45581</v>
      </c>
      <c r="AO4980">
        <v>29000</v>
      </c>
      <c r="AU4980">
        <v>2.75</v>
      </c>
      <c r="AV4980" t="s">
        <v>512</v>
      </c>
      <c r="AW4980" t="s">
        <v>281</v>
      </c>
    </row>
    <row r="4981" spans="1:50">
      <c r="A4981" s="1">
        <f>HYPERLINK("https://lsnyc.legalserver.org/matter/dynamic-profile/view/1884960","18-1884960")</f>
        <v>0</v>
      </c>
      <c r="B4981" t="s">
        <v>188</v>
      </c>
      <c r="C4981" t="s">
        <v>340</v>
      </c>
      <c r="D4981" t="s">
        <v>518</v>
      </c>
      <c r="F4981" t="s">
        <v>3245</v>
      </c>
      <c r="G4981" t="s">
        <v>5091</v>
      </c>
      <c r="H4981" t="s">
        <v>10353</v>
      </c>
      <c r="I4981" t="s">
        <v>17276</v>
      </c>
      <c r="J4981" t="s">
        <v>18892</v>
      </c>
      <c r="K4981">
        <v>10451</v>
      </c>
      <c r="L4981" t="s">
        <v>18958</v>
      </c>
      <c r="M4981" t="s">
        <v>18958</v>
      </c>
      <c r="N4981" t="s">
        <v>22687</v>
      </c>
      <c r="O4981" t="s">
        <v>26523</v>
      </c>
      <c r="P4981" t="s">
        <v>26560</v>
      </c>
      <c r="R4981" t="s">
        <v>26578</v>
      </c>
      <c r="S4981" t="s">
        <v>18959</v>
      </c>
      <c r="U4981" t="s">
        <v>26604</v>
      </c>
      <c r="W4981" t="s">
        <v>677</v>
      </c>
      <c r="X4981">
        <v>737.34</v>
      </c>
      <c r="Y4981" t="s">
        <v>26650</v>
      </c>
      <c r="Z4981" t="s">
        <v>26663</v>
      </c>
      <c r="AB4981" t="s">
        <v>30752</v>
      </c>
      <c r="AD4981" t="s">
        <v>40960</v>
      </c>
      <c r="AE4981">
        <v>81</v>
      </c>
      <c r="AF4981" t="s">
        <v>45541</v>
      </c>
      <c r="AG4981" t="s">
        <v>19330</v>
      </c>
      <c r="AH4981">
        <v>26</v>
      </c>
      <c r="AI4981">
        <v>2</v>
      </c>
      <c r="AJ4981">
        <v>1</v>
      </c>
      <c r="AK4981">
        <v>105.87</v>
      </c>
      <c r="AN4981" t="s">
        <v>7439</v>
      </c>
      <c r="AO4981">
        <v>22000</v>
      </c>
      <c r="AU4981">
        <v>14.1</v>
      </c>
      <c r="AV4981" t="s">
        <v>754</v>
      </c>
      <c r="AW4981" t="s">
        <v>336</v>
      </c>
    </row>
    <row r="4982" spans="1:50">
      <c r="A4982" s="1">
        <f>HYPERLINK("https://lsnyc.legalserver.org/matter/dynamic-profile/view/1889156","19-1889156")</f>
        <v>0</v>
      </c>
      <c r="B4982" t="s">
        <v>155</v>
      </c>
      <c r="C4982" t="s">
        <v>341</v>
      </c>
      <c r="D4982" t="s">
        <v>693</v>
      </c>
      <c r="E4982" t="s">
        <v>802</v>
      </c>
      <c r="F4982" t="s">
        <v>1323</v>
      </c>
      <c r="G4982" t="s">
        <v>5138</v>
      </c>
      <c r="H4982" t="s">
        <v>13384</v>
      </c>
      <c r="I4982" t="s">
        <v>18176</v>
      </c>
      <c r="J4982" t="s">
        <v>18894</v>
      </c>
      <c r="K4982">
        <v>11211</v>
      </c>
      <c r="L4982" t="s">
        <v>18958</v>
      </c>
      <c r="M4982" t="s">
        <v>18958</v>
      </c>
      <c r="N4982" t="s">
        <v>22688</v>
      </c>
      <c r="O4982" t="s">
        <v>26523</v>
      </c>
      <c r="P4982" t="s">
        <v>26560</v>
      </c>
      <c r="Q4982" t="s">
        <v>26568</v>
      </c>
      <c r="R4982" t="s">
        <v>26586</v>
      </c>
      <c r="U4982" t="s">
        <v>26604</v>
      </c>
      <c r="V4982" t="s">
        <v>26612</v>
      </c>
      <c r="W4982" t="s">
        <v>677</v>
      </c>
      <c r="X4982">
        <v>612</v>
      </c>
      <c r="Y4982" t="s">
        <v>26652</v>
      </c>
      <c r="Z4982" t="s">
        <v>26664</v>
      </c>
      <c r="AA4982" t="s">
        <v>26678</v>
      </c>
      <c r="AB4982" t="s">
        <v>30753</v>
      </c>
      <c r="AD4982" t="s">
        <v>40961</v>
      </c>
      <c r="AE4982">
        <v>0</v>
      </c>
      <c r="AG4982" t="s">
        <v>19330</v>
      </c>
      <c r="AH4982">
        <v>53</v>
      </c>
      <c r="AI4982">
        <v>2</v>
      </c>
      <c r="AJ4982">
        <v>0</v>
      </c>
      <c r="AK4982">
        <v>184.51</v>
      </c>
      <c r="AN4982" t="s">
        <v>7439</v>
      </c>
      <c r="AO4982">
        <v>31200</v>
      </c>
      <c r="AR4982" t="s">
        <v>46395</v>
      </c>
      <c r="AS4982" t="s">
        <v>46499</v>
      </c>
      <c r="AT4982" t="s">
        <v>46712</v>
      </c>
      <c r="AU4982">
        <v>9.5</v>
      </c>
      <c r="AV4982" t="s">
        <v>755</v>
      </c>
      <c r="AW4982" t="s">
        <v>46853</v>
      </c>
    </row>
    <row r="4983" spans="1:50">
      <c r="A4983" s="1">
        <f>HYPERLINK("https://lsnyc.legalserver.org/matter/dynamic-profile/view/1889476","19-1889476")</f>
        <v>0</v>
      </c>
      <c r="B4983" t="s">
        <v>131</v>
      </c>
      <c r="C4983" t="s">
        <v>341</v>
      </c>
      <c r="D4983" t="s">
        <v>677</v>
      </c>
      <c r="E4983" t="s">
        <v>779</v>
      </c>
      <c r="F4983" t="s">
        <v>3246</v>
      </c>
      <c r="G4983" t="s">
        <v>7499</v>
      </c>
      <c r="H4983" t="s">
        <v>13385</v>
      </c>
      <c r="I4983" t="s">
        <v>17374</v>
      </c>
      <c r="J4983" t="s">
        <v>18902</v>
      </c>
      <c r="K4983">
        <v>10303</v>
      </c>
      <c r="L4983" t="s">
        <v>18958</v>
      </c>
      <c r="M4983" t="s">
        <v>18958</v>
      </c>
      <c r="N4983" t="s">
        <v>19037</v>
      </c>
      <c r="O4983" t="s">
        <v>18997</v>
      </c>
      <c r="P4983" t="s">
        <v>26560</v>
      </c>
      <c r="Q4983" t="s">
        <v>26568</v>
      </c>
      <c r="R4983" t="s">
        <v>26589</v>
      </c>
      <c r="S4983" t="s">
        <v>18959</v>
      </c>
      <c r="U4983" t="s">
        <v>26604</v>
      </c>
      <c r="V4983" t="s">
        <v>26610</v>
      </c>
      <c r="W4983" t="s">
        <v>677</v>
      </c>
      <c r="X4983">
        <v>1200</v>
      </c>
      <c r="Y4983" t="s">
        <v>26654</v>
      </c>
      <c r="Z4983" t="s">
        <v>26671</v>
      </c>
      <c r="AA4983" t="s">
        <v>26681</v>
      </c>
      <c r="AB4983" t="s">
        <v>30754</v>
      </c>
      <c r="AD4983" t="s">
        <v>40962</v>
      </c>
      <c r="AE4983">
        <v>2</v>
      </c>
      <c r="AF4983" t="s">
        <v>45547</v>
      </c>
      <c r="AG4983" t="s">
        <v>19330</v>
      </c>
      <c r="AH4983">
        <v>1</v>
      </c>
      <c r="AI4983">
        <v>1</v>
      </c>
      <c r="AJ4983">
        <v>0</v>
      </c>
      <c r="AK4983">
        <v>0</v>
      </c>
      <c r="AL4983" t="s">
        <v>45567</v>
      </c>
      <c r="AM4983" t="s">
        <v>45577</v>
      </c>
      <c r="AN4983" t="s">
        <v>7439</v>
      </c>
      <c r="AO4983">
        <v>0</v>
      </c>
      <c r="AU4983">
        <v>27.3</v>
      </c>
      <c r="AV4983" t="s">
        <v>779</v>
      </c>
      <c r="AW4983" t="s">
        <v>103</v>
      </c>
    </row>
    <row r="4984" spans="1:50">
      <c r="A4984" s="1">
        <f>HYPERLINK("https://lsnyc.legalserver.org/matter/dynamic-profile/view/1889465","19-1889465")</f>
        <v>0</v>
      </c>
      <c r="B4984" t="s">
        <v>214</v>
      </c>
      <c r="C4984" t="s">
        <v>341</v>
      </c>
      <c r="D4984" t="s">
        <v>677</v>
      </c>
      <c r="E4984" t="s">
        <v>740</v>
      </c>
      <c r="F4984" t="s">
        <v>1134</v>
      </c>
      <c r="G4984" t="s">
        <v>5266</v>
      </c>
      <c r="H4984" t="s">
        <v>13386</v>
      </c>
      <c r="I4984" t="s">
        <v>17298</v>
      </c>
      <c r="J4984" t="s">
        <v>18898</v>
      </c>
      <c r="K4984">
        <v>11691</v>
      </c>
      <c r="L4984" t="s">
        <v>18958</v>
      </c>
      <c r="M4984" t="s">
        <v>18958</v>
      </c>
      <c r="N4984" t="s">
        <v>22689</v>
      </c>
      <c r="O4984" t="s">
        <v>26523</v>
      </c>
      <c r="P4984" t="s">
        <v>26564</v>
      </c>
      <c r="Q4984" t="s">
        <v>26570</v>
      </c>
      <c r="R4984" t="s">
        <v>26578</v>
      </c>
      <c r="S4984" t="s">
        <v>18959</v>
      </c>
      <c r="U4984" t="s">
        <v>26604</v>
      </c>
      <c r="V4984" t="s">
        <v>26611</v>
      </c>
      <c r="W4984" t="s">
        <v>677</v>
      </c>
      <c r="X4984">
        <v>1800</v>
      </c>
      <c r="Y4984" t="s">
        <v>26653</v>
      </c>
      <c r="Z4984" t="s">
        <v>26661</v>
      </c>
      <c r="AA4984" t="s">
        <v>26683</v>
      </c>
      <c r="AB4984" t="s">
        <v>29196</v>
      </c>
      <c r="AD4984" t="s">
        <v>40963</v>
      </c>
      <c r="AE4984">
        <v>65</v>
      </c>
      <c r="AF4984" t="s">
        <v>20460</v>
      </c>
      <c r="AG4984" t="s">
        <v>19330</v>
      </c>
      <c r="AH4984">
        <v>2</v>
      </c>
      <c r="AI4984">
        <v>1</v>
      </c>
      <c r="AJ4984">
        <v>4</v>
      </c>
      <c r="AK4984">
        <v>157.02</v>
      </c>
      <c r="AN4984" t="s">
        <v>7439</v>
      </c>
      <c r="AO4984">
        <v>47371.65</v>
      </c>
      <c r="AU4984">
        <v>1.08</v>
      </c>
      <c r="AV4984" t="s">
        <v>731</v>
      </c>
      <c r="AW4984" t="s">
        <v>161</v>
      </c>
    </row>
    <row r="4985" spans="1:50">
      <c r="A4985" s="1">
        <f>HYPERLINK("https://lsnyc.legalserver.org/matter/dynamic-profile/view/1889491","19-1889491")</f>
        <v>0</v>
      </c>
      <c r="B4985" t="s">
        <v>86</v>
      </c>
      <c r="C4985" t="s">
        <v>341</v>
      </c>
      <c r="D4985" t="s">
        <v>677</v>
      </c>
      <c r="E4985" t="s">
        <v>833</v>
      </c>
      <c r="F4985" t="s">
        <v>3247</v>
      </c>
      <c r="G4985" t="s">
        <v>7500</v>
      </c>
      <c r="H4985" t="s">
        <v>13387</v>
      </c>
      <c r="I4985">
        <v>405</v>
      </c>
      <c r="J4985" t="s">
        <v>18893</v>
      </c>
      <c r="K4985">
        <v>10027</v>
      </c>
      <c r="L4985" t="s">
        <v>18958</v>
      </c>
      <c r="M4985" t="s">
        <v>18958</v>
      </c>
      <c r="N4985" t="s">
        <v>22690</v>
      </c>
      <c r="O4985" t="s">
        <v>26523</v>
      </c>
      <c r="P4985" t="s">
        <v>26560</v>
      </c>
      <c r="Q4985" t="s">
        <v>26568</v>
      </c>
      <c r="R4985" t="s">
        <v>26580</v>
      </c>
      <c r="S4985" t="s">
        <v>18959</v>
      </c>
      <c r="U4985" t="s">
        <v>26604</v>
      </c>
      <c r="V4985" t="s">
        <v>26611</v>
      </c>
      <c r="W4985" t="s">
        <v>677</v>
      </c>
      <c r="X4985">
        <v>677</v>
      </c>
      <c r="Y4985" t="s">
        <v>26651</v>
      </c>
      <c r="Z4985" t="s">
        <v>26659</v>
      </c>
      <c r="AA4985" t="s">
        <v>26678</v>
      </c>
      <c r="AB4985" t="s">
        <v>30755</v>
      </c>
      <c r="AD4985" t="s">
        <v>40964</v>
      </c>
      <c r="AE4985">
        <v>72</v>
      </c>
      <c r="AF4985" t="s">
        <v>20460</v>
      </c>
      <c r="AG4985" t="s">
        <v>19330</v>
      </c>
      <c r="AH4985">
        <v>8</v>
      </c>
      <c r="AI4985">
        <v>1</v>
      </c>
      <c r="AJ4985">
        <v>2</v>
      </c>
      <c r="AK4985">
        <v>187.53</v>
      </c>
      <c r="AN4985" t="s">
        <v>7439</v>
      </c>
      <c r="AO4985">
        <v>40000</v>
      </c>
      <c r="AS4985" t="s">
        <v>46499</v>
      </c>
      <c r="AU4985">
        <v>6.3</v>
      </c>
      <c r="AV4985" t="s">
        <v>808</v>
      </c>
      <c r="AW4985" t="s">
        <v>314</v>
      </c>
    </row>
    <row r="4986" spans="1:50">
      <c r="A4986" s="1">
        <f>HYPERLINK("https://lsnyc.legalserver.org/matter/dynamic-profile/view/1889479","19-1889479")</f>
        <v>0</v>
      </c>
      <c r="B4986" t="s">
        <v>165</v>
      </c>
      <c r="C4986" t="s">
        <v>340</v>
      </c>
      <c r="D4986" t="s">
        <v>677</v>
      </c>
      <c r="F4986" t="s">
        <v>2881</v>
      </c>
      <c r="G4986" t="s">
        <v>5434</v>
      </c>
      <c r="H4986" t="s">
        <v>13388</v>
      </c>
      <c r="I4986" t="s">
        <v>17277</v>
      </c>
      <c r="J4986" t="s">
        <v>18893</v>
      </c>
      <c r="K4986">
        <v>10035</v>
      </c>
      <c r="L4986" t="s">
        <v>18958</v>
      </c>
      <c r="M4986" t="s">
        <v>18958</v>
      </c>
      <c r="N4986" t="s">
        <v>22691</v>
      </c>
      <c r="O4986" t="s">
        <v>26523</v>
      </c>
      <c r="P4986" t="s">
        <v>26560</v>
      </c>
      <c r="R4986" t="s">
        <v>26582</v>
      </c>
      <c r="S4986" t="s">
        <v>18959</v>
      </c>
      <c r="U4986" t="s">
        <v>26604</v>
      </c>
      <c r="V4986" t="s">
        <v>26610</v>
      </c>
      <c r="W4986" t="s">
        <v>677</v>
      </c>
      <c r="X4986">
        <v>756.34</v>
      </c>
      <c r="Y4986" t="s">
        <v>26651</v>
      </c>
      <c r="Z4986" t="s">
        <v>26659</v>
      </c>
      <c r="AB4986" t="s">
        <v>28587</v>
      </c>
      <c r="AD4986" t="s">
        <v>40965</v>
      </c>
      <c r="AE4986">
        <v>18</v>
      </c>
      <c r="AF4986" t="s">
        <v>20460</v>
      </c>
      <c r="AG4986" t="s">
        <v>19330</v>
      </c>
      <c r="AH4986">
        <v>5</v>
      </c>
      <c r="AI4986">
        <v>1</v>
      </c>
      <c r="AJ4986">
        <v>3</v>
      </c>
      <c r="AK4986">
        <v>6.52</v>
      </c>
      <c r="AN4986" t="s">
        <v>45581</v>
      </c>
      <c r="AO4986">
        <v>1680</v>
      </c>
      <c r="AU4986">
        <v>6.9</v>
      </c>
      <c r="AV4986" t="s">
        <v>720</v>
      </c>
      <c r="AW4986" t="s">
        <v>46835</v>
      </c>
    </row>
    <row r="4987" spans="1:50">
      <c r="A4987" s="1">
        <f>HYPERLINK("https://lsnyc.legalserver.org/matter/dynamic-profile/view/1889487","19-1889487")</f>
        <v>0</v>
      </c>
      <c r="B4987" t="s">
        <v>94</v>
      </c>
      <c r="C4987" t="s">
        <v>340</v>
      </c>
      <c r="D4987" t="s">
        <v>677</v>
      </c>
      <c r="F4987" t="s">
        <v>3248</v>
      </c>
      <c r="G4987" t="s">
        <v>7501</v>
      </c>
      <c r="H4987" t="s">
        <v>13389</v>
      </c>
      <c r="I4987" t="s">
        <v>18177</v>
      </c>
      <c r="J4987" t="s">
        <v>18893</v>
      </c>
      <c r="K4987">
        <v>10031</v>
      </c>
      <c r="L4987" t="s">
        <v>18958</v>
      </c>
      <c r="M4987" t="s">
        <v>18958</v>
      </c>
      <c r="N4987" t="s">
        <v>22692</v>
      </c>
      <c r="O4987" t="s">
        <v>26523</v>
      </c>
      <c r="P4987" t="s">
        <v>26560</v>
      </c>
      <c r="R4987" t="s">
        <v>26580</v>
      </c>
      <c r="S4987" t="s">
        <v>18959</v>
      </c>
      <c r="U4987" t="s">
        <v>26604</v>
      </c>
      <c r="W4987" t="s">
        <v>677</v>
      </c>
      <c r="X4987">
        <v>1484.41</v>
      </c>
      <c r="Y4987" t="s">
        <v>26651</v>
      </c>
      <c r="Z4987" t="s">
        <v>26664</v>
      </c>
      <c r="AB4987" t="s">
        <v>30756</v>
      </c>
      <c r="AC4987" t="s">
        <v>35891</v>
      </c>
      <c r="AD4987" t="s">
        <v>40966</v>
      </c>
      <c r="AE4987">
        <v>0</v>
      </c>
      <c r="AF4987" t="s">
        <v>45541</v>
      </c>
      <c r="AG4987" t="s">
        <v>19330</v>
      </c>
      <c r="AH4987">
        <v>12</v>
      </c>
      <c r="AI4987">
        <v>1</v>
      </c>
      <c r="AJ4987">
        <v>0</v>
      </c>
      <c r="AK4987">
        <v>24.56</v>
      </c>
      <c r="AN4987" t="s">
        <v>7439</v>
      </c>
      <c r="AO4987">
        <v>3068</v>
      </c>
      <c r="AU4987">
        <v>29.5</v>
      </c>
      <c r="AV4987" t="s">
        <v>829</v>
      </c>
      <c r="AW4987" t="s">
        <v>46875</v>
      </c>
    </row>
    <row r="4988" spans="1:50">
      <c r="A4988" s="1">
        <f>HYPERLINK("https://lsnyc.legalserver.org/matter/dynamic-profile/view/1889425","19-1889425")</f>
        <v>0</v>
      </c>
      <c r="B4988" t="s">
        <v>55</v>
      </c>
      <c r="C4988" t="s">
        <v>340</v>
      </c>
      <c r="D4988" t="s">
        <v>677</v>
      </c>
      <c r="F4988" t="s">
        <v>1154</v>
      </c>
      <c r="G4988" t="s">
        <v>5481</v>
      </c>
      <c r="H4988" t="s">
        <v>13390</v>
      </c>
      <c r="I4988">
        <v>305</v>
      </c>
      <c r="J4988" t="s">
        <v>18892</v>
      </c>
      <c r="K4988">
        <v>10452</v>
      </c>
      <c r="L4988" t="s">
        <v>18958</v>
      </c>
      <c r="M4988" t="s">
        <v>18960</v>
      </c>
      <c r="N4988" t="s">
        <v>22693</v>
      </c>
      <c r="O4988" t="s">
        <v>26524</v>
      </c>
      <c r="P4988" t="s">
        <v>26560</v>
      </c>
      <c r="R4988" t="s">
        <v>26578</v>
      </c>
      <c r="S4988" t="s">
        <v>18959</v>
      </c>
      <c r="U4988" t="s">
        <v>26604</v>
      </c>
      <c r="V4988" t="s">
        <v>26610</v>
      </c>
      <c r="W4988" t="s">
        <v>677</v>
      </c>
      <c r="X4988">
        <v>995</v>
      </c>
      <c r="Y4988" t="s">
        <v>26650</v>
      </c>
      <c r="Z4988" t="s">
        <v>26655</v>
      </c>
      <c r="AB4988" t="s">
        <v>30757</v>
      </c>
      <c r="AC4988" t="s">
        <v>35892</v>
      </c>
      <c r="AD4988" t="s">
        <v>40967</v>
      </c>
      <c r="AE4988">
        <v>163</v>
      </c>
      <c r="AF4988" t="s">
        <v>45541</v>
      </c>
      <c r="AG4988" t="s">
        <v>45556</v>
      </c>
      <c r="AH4988">
        <v>9</v>
      </c>
      <c r="AI4988">
        <v>4</v>
      </c>
      <c r="AJ4988">
        <v>0</v>
      </c>
      <c r="AK4988">
        <v>123.26</v>
      </c>
      <c r="AN4988" t="s">
        <v>45581</v>
      </c>
      <c r="AO4988">
        <v>31740</v>
      </c>
      <c r="AP4988" t="s">
        <v>45841</v>
      </c>
      <c r="AU4988">
        <v>21.69</v>
      </c>
      <c r="AV4988" t="s">
        <v>806</v>
      </c>
      <c r="AW4988" t="s">
        <v>46832</v>
      </c>
      <c r="AX4988" t="s">
        <v>46897</v>
      </c>
    </row>
    <row r="4989" spans="1:50">
      <c r="A4989" s="1">
        <f>HYPERLINK("https://lsnyc.legalserver.org/matter/dynamic-profile/view/1889447","19-1889447")</f>
        <v>0</v>
      </c>
      <c r="B4989" t="s">
        <v>151</v>
      </c>
      <c r="C4989" t="s">
        <v>340</v>
      </c>
      <c r="D4989" t="s">
        <v>677</v>
      </c>
      <c r="F4989" t="s">
        <v>1369</v>
      </c>
      <c r="G4989" t="s">
        <v>3599</v>
      </c>
      <c r="H4989" t="s">
        <v>13391</v>
      </c>
      <c r="I4989">
        <v>24</v>
      </c>
      <c r="J4989" t="s">
        <v>18893</v>
      </c>
      <c r="K4989">
        <v>10027</v>
      </c>
      <c r="L4989" t="s">
        <v>18958</v>
      </c>
      <c r="M4989" t="s">
        <v>18958</v>
      </c>
      <c r="N4989" t="s">
        <v>22694</v>
      </c>
      <c r="O4989" t="s">
        <v>26523</v>
      </c>
      <c r="P4989" t="s">
        <v>26560</v>
      </c>
      <c r="R4989" t="s">
        <v>26580</v>
      </c>
      <c r="S4989" t="s">
        <v>18959</v>
      </c>
      <c r="U4989" t="s">
        <v>26604</v>
      </c>
      <c r="V4989" t="s">
        <v>26610</v>
      </c>
      <c r="W4989" t="s">
        <v>677</v>
      </c>
      <c r="X4989">
        <v>815.01</v>
      </c>
      <c r="Y4989" t="s">
        <v>26651</v>
      </c>
      <c r="Z4989" t="s">
        <v>26668</v>
      </c>
      <c r="AB4989" t="s">
        <v>30758</v>
      </c>
      <c r="AD4989" t="s">
        <v>40968</v>
      </c>
      <c r="AE4989">
        <v>0</v>
      </c>
      <c r="AF4989" t="s">
        <v>45541</v>
      </c>
      <c r="AG4989" t="s">
        <v>19330</v>
      </c>
      <c r="AH4989">
        <v>40</v>
      </c>
      <c r="AI4989">
        <v>2</v>
      </c>
      <c r="AJ4989">
        <v>2</v>
      </c>
      <c r="AK4989">
        <v>30.48</v>
      </c>
      <c r="AN4989" t="s">
        <v>7439</v>
      </c>
      <c r="AO4989">
        <v>7848</v>
      </c>
      <c r="AU4989">
        <v>14.9</v>
      </c>
      <c r="AV4989" t="s">
        <v>821</v>
      </c>
      <c r="AW4989" t="s">
        <v>46875</v>
      </c>
    </row>
    <row r="4990" spans="1:50">
      <c r="A4990" s="1">
        <f>HYPERLINK("https://lsnyc.legalserver.org/matter/dynamic-profile/view/1889558","19-1889558")</f>
        <v>0</v>
      </c>
      <c r="B4990" t="s">
        <v>262</v>
      </c>
      <c r="C4990" t="s">
        <v>340</v>
      </c>
      <c r="D4990" t="s">
        <v>677</v>
      </c>
      <c r="F4990" t="s">
        <v>3249</v>
      </c>
      <c r="G4990" t="s">
        <v>7502</v>
      </c>
      <c r="H4990" t="s">
        <v>13392</v>
      </c>
      <c r="I4990" t="s">
        <v>18178</v>
      </c>
      <c r="J4990" t="s">
        <v>18892</v>
      </c>
      <c r="K4990">
        <v>10462</v>
      </c>
      <c r="L4990" t="s">
        <v>18958</v>
      </c>
      <c r="M4990" t="s">
        <v>18958</v>
      </c>
      <c r="N4990" t="s">
        <v>22695</v>
      </c>
      <c r="O4990" t="s">
        <v>26523</v>
      </c>
      <c r="P4990" t="s">
        <v>26560</v>
      </c>
      <c r="R4990" t="s">
        <v>26579</v>
      </c>
      <c r="S4990" t="s">
        <v>18959</v>
      </c>
      <c r="U4990" t="s">
        <v>26604</v>
      </c>
      <c r="V4990" t="s">
        <v>26610</v>
      </c>
      <c r="W4990" t="s">
        <v>677</v>
      </c>
      <c r="X4990">
        <v>1276.23</v>
      </c>
      <c r="Y4990" t="s">
        <v>26650</v>
      </c>
      <c r="Z4990" t="s">
        <v>26664</v>
      </c>
      <c r="AB4990" t="s">
        <v>30759</v>
      </c>
      <c r="AD4990" t="s">
        <v>40969</v>
      </c>
      <c r="AE4990">
        <v>85</v>
      </c>
      <c r="AF4990" t="s">
        <v>45541</v>
      </c>
      <c r="AH4990">
        <v>4</v>
      </c>
      <c r="AI4990">
        <v>1</v>
      </c>
      <c r="AJ4990">
        <v>1</v>
      </c>
      <c r="AK4990">
        <v>70.95999999999999</v>
      </c>
      <c r="AN4990" t="s">
        <v>7439</v>
      </c>
      <c r="AO4990">
        <v>12000</v>
      </c>
      <c r="AU4990">
        <v>12.8</v>
      </c>
      <c r="AV4990" t="s">
        <v>835</v>
      </c>
      <c r="AW4990" t="s">
        <v>336</v>
      </c>
    </row>
    <row r="4991" spans="1:50">
      <c r="A4991" s="1">
        <f>HYPERLINK("https://lsnyc.legalserver.org/matter/dynamic-profile/view/1889478","19-1889478")</f>
        <v>0</v>
      </c>
      <c r="B4991" t="s">
        <v>131</v>
      </c>
      <c r="C4991" t="s">
        <v>340</v>
      </c>
      <c r="D4991" t="s">
        <v>677</v>
      </c>
      <c r="F4991" t="s">
        <v>3250</v>
      </c>
      <c r="G4991" t="s">
        <v>7503</v>
      </c>
      <c r="H4991" t="s">
        <v>13294</v>
      </c>
      <c r="I4991" t="s">
        <v>18179</v>
      </c>
      <c r="J4991" t="s">
        <v>18902</v>
      </c>
      <c r="K4991">
        <v>10304</v>
      </c>
      <c r="L4991" t="s">
        <v>18959</v>
      </c>
      <c r="M4991" t="s">
        <v>18959</v>
      </c>
      <c r="N4991" t="s">
        <v>19037</v>
      </c>
      <c r="O4991" t="s">
        <v>18997</v>
      </c>
      <c r="P4991" t="s">
        <v>26565</v>
      </c>
      <c r="R4991" t="s">
        <v>26578</v>
      </c>
      <c r="S4991" t="s">
        <v>18959</v>
      </c>
      <c r="U4991" t="s">
        <v>26606</v>
      </c>
      <c r="W4991" t="s">
        <v>677</v>
      </c>
      <c r="X4991">
        <v>320</v>
      </c>
      <c r="Y4991" t="s">
        <v>26654</v>
      </c>
      <c r="Z4991" t="s">
        <v>26655</v>
      </c>
      <c r="AB4991" t="s">
        <v>30760</v>
      </c>
      <c r="AD4991" t="s">
        <v>40970</v>
      </c>
      <c r="AE4991">
        <v>0</v>
      </c>
      <c r="AG4991" t="s">
        <v>45556</v>
      </c>
      <c r="AH4991">
        <v>0</v>
      </c>
      <c r="AI4991">
        <v>1</v>
      </c>
      <c r="AJ4991">
        <v>6</v>
      </c>
      <c r="AK4991">
        <v>49.84</v>
      </c>
      <c r="AN4991" t="s">
        <v>45594</v>
      </c>
      <c r="AO4991">
        <v>19442</v>
      </c>
      <c r="AU4991">
        <v>1.3</v>
      </c>
      <c r="AV4991" t="s">
        <v>677</v>
      </c>
      <c r="AW4991" t="s">
        <v>131</v>
      </c>
    </row>
    <row r="4992" spans="1:50">
      <c r="A4992" s="1">
        <f>HYPERLINK("https://lsnyc.legalserver.org/matter/dynamic-profile/view/1889124","19-1889124")</f>
        <v>0</v>
      </c>
      <c r="B4992" t="s">
        <v>131</v>
      </c>
      <c r="C4992" t="s">
        <v>340</v>
      </c>
      <c r="D4992" t="s">
        <v>677</v>
      </c>
      <c r="F4992" t="s">
        <v>2809</v>
      </c>
      <c r="G4992" t="s">
        <v>7504</v>
      </c>
      <c r="H4992" t="s">
        <v>13393</v>
      </c>
      <c r="I4992" t="s">
        <v>17306</v>
      </c>
      <c r="J4992" t="s">
        <v>18902</v>
      </c>
      <c r="K4992">
        <v>10301</v>
      </c>
      <c r="L4992" t="s">
        <v>18959</v>
      </c>
      <c r="M4992" t="s">
        <v>18958</v>
      </c>
      <c r="N4992" t="s">
        <v>22696</v>
      </c>
      <c r="O4992" t="s">
        <v>26526</v>
      </c>
      <c r="P4992" t="s">
        <v>26560</v>
      </c>
      <c r="R4992" t="s">
        <v>26578</v>
      </c>
      <c r="S4992" t="s">
        <v>18959</v>
      </c>
      <c r="U4992" t="s">
        <v>26604</v>
      </c>
      <c r="V4992" t="s">
        <v>26609</v>
      </c>
      <c r="W4992" t="s">
        <v>677</v>
      </c>
      <c r="X4992">
        <v>1199</v>
      </c>
      <c r="Y4992" t="s">
        <v>26654</v>
      </c>
      <c r="Z4992" t="s">
        <v>26661</v>
      </c>
      <c r="AB4992" t="s">
        <v>30761</v>
      </c>
      <c r="AD4992" t="s">
        <v>40971</v>
      </c>
      <c r="AE4992">
        <v>7</v>
      </c>
      <c r="AF4992" t="s">
        <v>45541</v>
      </c>
      <c r="AG4992" t="s">
        <v>45556</v>
      </c>
      <c r="AH4992">
        <v>4</v>
      </c>
      <c r="AI4992">
        <v>1</v>
      </c>
      <c r="AJ4992">
        <v>0</v>
      </c>
      <c r="AK4992">
        <v>118.37</v>
      </c>
      <c r="AN4992" t="s">
        <v>7439</v>
      </c>
      <c r="AO4992">
        <v>14784</v>
      </c>
      <c r="AU4992">
        <v>16</v>
      </c>
      <c r="AV4992" t="s">
        <v>833</v>
      </c>
      <c r="AW4992" t="s">
        <v>46855</v>
      </c>
    </row>
    <row r="4993" spans="1:50">
      <c r="A4993" s="1">
        <f>HYPERLINK("https://lsnyc.legalserver.org/matter/dynamic-profile/view/1889448","19-1889448")</f>
        <v>0</v>
      </c>
      <c r="B4993" t="s">
        <v>191</v>
      </c>
      <c r="C4993" t="s">
        <v>340</v>
      </c>
      <c r="D4993" t="s">
        <v>677</v>
      </c>
      <c r="F4993" t="s">
        <v>3251</v>
      </c>
      <c r="G4993" t="s">
        <v>7505</v>
      </c>
      <c r="H4993" t="s">
        <v>13394</v>
      </c>
      <c r="I4993" t="s">
        <v>17306</v>
      </c>
      <c r="J4993" t="s">
        <v>18893</v>
      </c>
      <c r="K4993">
        <v>10031</v>
      </c>
      <c r="L4993" t="s">
        <v>18958</v>
      </c>
      <c r="M4993" t="s">
        <v>18958</v>
      </c>
      <c r="N4993" t="s">
        <v>22697</v>
      </c>
      <c r="O4993" t="s">
        <v>26523</v>
      </c>
      <c r="P4993" t="s">
        <v>26560</v>
      </c>
      <c r="R4993" t="s">
        <v>26580</v>
      </c>
      <c r="S4993" t="s">
        <v>18959</v>
      </c>
      <c r="U4993" t="s">
        <v>26604</v>
      </c>
      <c r="V4993" t="s">
        <v>26610</v>
      </c>
      <c r="W4993" t="s">
        <v>677</v>
      </c>
      <c r="X4993">
        <v>1298</v>
      </c>
      <c r="Y4993" t="s">
        <v>26651</v>
      </c>
      <c r="Z4993" t="s">
        <v>26664</v>
      </c>
      <c r="AB4993" t="s">
        <v>30762</v>
      </c>
      <c r="AC4993" t="s">
        <v>35893</v>
      </c>
      <c r="AD4993" t="s">
        <v>40972</v>
      </c>
      <c r="AE4993">
        <v>0</v>
      </c>
      <c r="AF4993" t="s">
        <v>45544</v>
      </c>
      <c r="AG4993" t="s">
        <v>45557</v>
      </c>
      <c r="AH4993">
        <v>3</v>
      </c>
      <c r="AI4993">
        <v>1</v>
      </c>
      <c r="AJ4993">
        <v>1</v>
      </c>
      <c r="AK4993">
        <v>21.76</v>
      </c>
      <c r="AN4993" t="s">
        <v>7439</v>
      </c>
      <c r="AO4993">
        <v>3679</v>
      </c>
      <c r="AU4993">
        <v>11.45</v>
      </c>
      <c r="AV4993" t="s">
        <v>835</v>
      </c>
      <c r="AW4993" t="s">
        <v>314</v>
      </c>
    </row>
    <row r="4994" spans="1:50">
      <c r="A4994" s="1">
        <f>HYPERLINK("https://lsnyc.legalserver.org/matter/dynamic-profile/view/1889459","19-1889459")</f>
        <v>0</v>
      </c>
      <c r="B4994" t="s">
        <v>191</v>
      </c>
      <c r="C4994" t="s">
        <v>340</v>
      </c>
      <c r="D4994" t="s">
        <v>677</v>
      </c>
      <c r="F4994" t="s">
        <v>1111</v>
      </c>
      <c r="G4994" t="s">
        <v>1876</v>
      </c>
      <c r="H4994" t="s">
        <v>13395</v>
      </c>
      <c r="I4994">
        <v>1005</v>
      </c>
      <c r="J4994" t="s">
        <v>18893</v>
      </c>
      <c r="K4994">
        <v>10025</v>
      </c>
      <c r="L4994" t="s">
        <v>18958</v>
      </c>
      <c r="M4994" t="s">
        <v>18958</v>
      </c>
      <c r="N4994" t="s">
        <v>22698</v>
      </c>
      <c r="O4994" t="s">
        <v>26524</v>
      </c>
      <c r="P4994" t="s">
        <v>26560</v>
      </c>
      <c r="R4994" t="s">
        <v>26580</v>
      </c>
      <c r="S4994" t="s">
        <v>18959</v>
      </c>
      <c r="U4994" t="s">
        <v>26604</v>
      </c>
      <c r="W4994" t="s">
        <v>677</v>
      </c>
      <c r="X4994">
        <v>433.22</v>
      </c>
      <c r="Y4994" t="s">
        <v>26651</v>
      </c>
      <c r="Z4994" t="s">
        <v>26668</v>
      </c>
      <c r="AB4994" t="s">
        <v>29018</v>
      </c>
      <c r="AD4994" t="s">
        <v>40973</v>
      </c>
      <c r="AE4994">
        <v>0</v>
      </c>
      <c r="AF4994" t="s">
        <v>45541</v>
      </c>
      <c r="AG4994" t="s">
        <v>45559</v>
      </c>
      <c r="AH4994">
        <v>25</v>
      </c>
      <c r="AI4994">
        <v>1</v>
      </c>
      <c r="AJ4994">
        <v>0</v>
      </c>
      <c r="AK4994">
        <v>70.23</v>
      </c>
      <c r="AN4994" t="s">
        <v>7439</v>
      </c>
      <c r="AO4994">
        <v>8772</v>
      </c>
      <c r="AU4994">
        <v>15.4</v>
      </c>
      <c r="AV4994" t="s">
        <v>797</v>
      </c>
      <c r="AW4994" t="s">
        <v>46875</v>
      </c>
    </row>
    <row r="4995" spans="1:50">
      <c r="A4995" s="1">
        <f>HYPERLINK("https://lsnyc.legalserver.org/matter/dynamic-profile/view/1889438","19-1889438")</f>
        <v>0</v>
      </c>
      <c r="B4995" t="s">
        <v>191</v>
      </c>
      <c r="C4995" t="s">
        <v>340</v>
      </c>
      <c r="D4995" t="s">
        <v>677</v>
      </c>
      <c r="F4995" t="s">
        <v>1119</v>
      </c>
      <c r="G4995" t="s">
        <v>5863</v>
      </c>
      <c r="H4995" t="s">
        <v>13396</v>
      </c>
      <c r="I4995">
        <v>5</v>
      </c>
      <c r="J4995" t="s">
        <v>18893</v>
      </c>
      <c r="K4995">
        <v>10031</v>
      </c>
      <c r="L4995" t="s">
        <v>18958</v>
      </c>
      <c r="M4995" t="s">
        <v>18958</v>
      </c>
      <c r="N4995" t="s">
        <v>22699</v>
      </c>
      <c r="O4995" t="s">
        <v>26523</v>
      </c>
      <c r="P4995" t="s">
        <v>26560</v>
      </c>
      <c r="R4995" t="s">
        <v>26580</v>
      </c>
      <c r="S4995" t="s">
        <v>18959</v>
      </c>
      <c r="U4995" t="s">
        <v>26604</v>
      </c>
      <c r="W4995" t="s">
        <v>677</v>
      </c>
      <c r="X4995">
        <v>1025.11</v>
      </c>
      <c r="Y4995" t="s">
        <v>26651</v>
      </c>
      <c r="Z4995" t="s">
        <v>26664</v>
      </c>
      <c r="AB4995" t="s">
        <v>30763</v>
      </c>
      <c r="AD4995" t="s">
        <v>40974</v>
      </c>
      <c r="AE4995">
        <v>0</v>
      </c>
      <c r="AF4995" t="s">
        <v>20460</v>
      </c>
      <c r="AG4995" t="s">
        <v>19330</v>
      </c>
      <c r="AH4995">
        <v>28</v>
      </c>
      <c r="AI4995">
        <v>4</v>
      </c>
      <c r="AJ4995">
        <v>0</v>
      </c>
      <c r="AK4995">
        <v>174.77</v>
      </c>
      <c r="AN4995" t="s">
        <v>45581</v>
      </c>
      <c r="AO4995">
        <v>45004</v>
      </c>
      <c r="AU4995">
        <v>11.6</v>
      </c>
      <c r="AV4995" t="s">
        <v>753</v>
      </c>
      <c r="AW4995" t="s">
        <v>46875</v>
      </c>
    </row>
    <row r="4996" spans="1:50">
      <c r="A4996" s="1">
        <f>HYPERLINK("https://lsnyc.legalserver.org/matter/dynamic-profile/view/1889482","19-1889482")</f>
        <v>0</v>
      </c>
      <c r="B4996" t="s">
        <v>191</v>
      </c>
      <c r="C4996" t="s">
        <v>340</v>
      </c>
      <c r="D4996" t="s">
        <v>677</v>
      </c>
      <c r="F4996" t="s">
        <v>3252</v>
      </c>
      <c r="G4996" t="s">
        <v>5269</v>
      </c>
      <c r="H4996" t="s">
        <v>13397</v>
      </c>
      <c r="I4996">
        <v>26</v>
      </c>
      <c r="J4996" t="s">
        <v>18893</v>
      </c>
      <c r="K4996">
        <v>10026</v>
      </c>
      <c r="L4996" t="s">
        <v>18958</v>
      </c>
      <c r="M4996" t="s">
        <v>18958</v>
      </c>
      <c r="N4996" t="s">
        <v>22700</v>
      </c>
      <c r="O4996" t="s">
        <v>26523</v>
      </c>
      <c r="P4996" t="s">
        <v>26560</v>
      </c>
      <c r="R4996" t="s">
        <v>26580</v>
      </c>
      <c r="S4996" t="s">
        <v>18959</v>
      </c>
      <c r="U4996" t="s">
        <v>26604</v>
      </c>
      <c r="W4996" t="s">
        <v>677</v>
      </c>
      <c r="X4996">
        <v>866</v>
      </c>
      <c r="Y4996" t="s">
        <v>26651</v>
      </c>
      <c r="Z4996" t="s">
        <v>26664</v>
      </c>
      <c r="AB4996" t="s">
        <v>30764</v>
      </c>
      <c r="AC4996" t="s">
        <v>35894</v>
      </c>
      <c r="AD4996" t="s">
        <v>40975</v>
      </c>
      <c r="AE4996">
        <v>0</v>
      </c>
      <c r="AF4996" t="s">
        <v>45541</v>
      </c>
      <c r="AG4996" t="s">
        <v>19330</v>
      </c>
      <c r="AH4996">
        <v>26</v>
      </c>
      <c r="AI4996">
        <v>1</v>
      </c>
      <c r="AJ4996">
        <v>0</v>
      </c>
      <c r="AK4996">
        <v>178.7</v>
      </c>
      <c r="AN4996" t="s">
        <v>7439</v>
      </c>
      <c r="AO4996">
        <v>22320</v>
      </c>
      <c r="AU4996">
        <v>18.2</v>
      </c>
      <c r="AV4996" t="s">
        <v>838</v>
      </c>
      <c r="AW4996" t="s">
        <v>314</v>
      </c>
    </row>
    <row r="4997" spans="1:50">
      <c r="A4997" s="1">
        <f>HYPERLINK("https://lsnyc.legalserver.org/matter/dynamic-profile/view/1890171","19-1890171")</f>
        <v>0</v>
      </c>
      <c r="B4997" t="s">
        <v>253</v>
      </c>
      <c r="C4997" t="s">
        <v>340</v>
      </c>
      <c r="D4997" t="s">
        <v>677</v>
      </c>
      <c r="F4997" t="s">
        <v>2112</v>
      </c>
      <c r="G4997" t="s">
        <v>5311</v>
      </c>
      <c r="H4997" t="s">
        <v>10754</v>
      </c>
      <c r="I4997" t="s">
        <v>17702</v>
      </c>
      <c r="J4997" t="s">
        <v>18892</v>
      </c>
      <c r="K4997">
        <v>10457</v>
      </c>
      <c r="L4997" t="s">
        <v>18958</v>
      </c>
      <c r="M4997" t="s">
        <v>18958</v>
      </c>
      <c r="N4997" t="s">
        <v>22701</v>
      </c>
      <c r="O4997" t="s">
        <v>26523</v>
      </c>
      <c r="P4997" t="s">
        <v>26560</v>
      </c>
      <c r="R4997" t="s">
        <v>26579</v>
      </c>
      <c r="S4997" t="s">
        <v>18959</v>
      </c>
      <c r="U4997" t="s">
        <v>26604</v>
      </c>
      <c r="V4997" t="s">
        <v>26611</v>
      </c>
      <c r="W4997" t="s">
        <v>677</v>
      </c>
      <c r="X4997">
        <v>0</v>
      </c>
      <c r="Y4997" t="s">
        <v>26650</v>
      </c>
      <c r="Z4997" t="s">
        <v>26664</v>
      </c>
      <c r="AB4997" t="s">
        <v>30765</v>
      </c>
      <c r="AD4997" t="s">
        <v>40976</v>
      </c>
      <c r="AE4997">
        <v>97</v>
      </c>
      <c r="AG4997" t="s">
        <v>45556</v>
      </c>
      <c r="AH4997">
        <v>0</v>
      </c>
      <c r="AI4997">
        <v>1</v>
      </c>
      <c r="AJ4997">
        <v>0</v>
      </c>
      <c r="AK4997">
        <v>84.55</v>
      </c>
      <c r="AN4997" t="s">
        <v>45581</v>
      </c>
      <c r="AO4997">
        <v>10560</v>
      </c>
      <c r="AR4997" t="s">
        <v>46379</v>
      </c>
      <c r="AS4997" t="s">
        <v>46499</v>
      </c>
      <c r="AT4997" t="s">
        <v>46737</v>
      </c>
      <c r="AU4997">
        <v>10.7</v>
      </c>
      <c r="AV4997" t="s">
        <v>793</v>
      </c>
      <c r="AW4997" t="s">
        <v>336</v>
      </c>
    </row>
    <row r="4998" spans="1:50">
      <c r="A4998" s="1">
        <f>HYPERLINK("https://lsnyc.legalserver.org/matter/dynamic-profile/view/1889492","19-1889492")</f>
        <v>0</v>
      </c>
      <c r="B4998" t="s">
        <v>121</v>
      </c>
      <c r="C4998" t="s">
        <v>340</v>
      </c>
      <c r="D4998" t="s">
        <v>677</v>
      </c>
      <c r="F4998" t="s">
        <v>3253</v>
      </c>
      <c r="G4998" t="s">
        <v>5973</v>
      </c>
      <c r="H4998" t="s">
        <v>13398</v>
      </c>
      <c r="I4998" t="s">
        <v>17273</v>
      </c>
      <c r="J4998" t="s">
        <v>18892</v>
      </c>
      <c r="K4998">
        <v>10455</v>
      </c>
      <c r="L4998" t="s">
        <v>18958</v>
      </c>
      <c r="M4998" t="s">
        <v>18958</v>
      </c>
      <c r="N4998" t="s">
        <v>22702</v>
      </c>
      <c r="O4998" t="s">
        <v>26524</v>
      </c>
      <c r="P4998" t="s">
        <v>26560</v>
      </c>
      <c r="R4998" t="s">
        <v>26577</v>
      </c>
      <c r="U4998" t="s">
        <v>26604</v>
      </c>
      <c r="V4998" t="s">
        <v>26610</v>
      </c>
      <c r="W4998" t="s">
        <v>677</v>
      </c>
      <c r="X4998">
        <v>568</v>
      </c>
      <c r="Y4998" t="s">
        <v>26650</v>
      </c>
      <c r="Z4998" t="s">
        <v>26668</v>
      </c>
      <c r="AB4998" t="s">
        <v>30766</v>
      </c>
      <c r="AD4998" t="s">
        <v>40977</v>
      </c>
      <c r="AE4998">
        <v>0</v>
      </c>
      <c r="AF4998" t="s">
        <v>45541</v>
      </c>
      <c r="AG4998" t="s">
        <v>19330</v>
      </c>
      <c r="AH4998">
        <v>2</v>
      </c>
      <c r="AI4998">
        <v>3</v>
      </c>
      <c r="AJ4998">
        <v>1</v>
      </c>
      <c r="AK4998">
        <v>121.17</v>
      </c>
      <c r="AN4998" t="s">
        <v>7439</v>
      </c>
      <c r="AO4998">
        <v>31200</v>
      </c>
      <c r="AU4998">
        <v>23.1</v>
      </c>
      <c r="AV4998" t="s">
        <v>821</v>
      </c>
      <c r="AW4998" t="s">
        <v>46836</v>
      </c>
    </row>
    <row r="4999" spans="1:50">
      <c r="A4999" s="1">
        <f>HYPERLINK("https://lsnyc.legalserver.org/matter/dynamic-profile/view/1889409","19-1889409")</f>
        <v>0</v>
      </c>
      <c r="B4999" t="s">
        <v>103</v>
      </c>
      <c r="C4999" t="s">
        <v>340</v>
      </c>
      <c r="D4999" t="s">
        <v>677</v>
      </c>
      <c r="F4999" t="s">
        <v>887</v>
      </c>
      <c r="G4999" t="s">
        <v>7506</v>
      </c>
      <c r="H4999" t="s">
        <v>9748</v>
      </c>
      <c r="I4999" t="s">
        <v>17458</v>
      </c>
      <c r="J4999" t="s">
        <v>18902</v>
      </c>
      <c r="K4999">
        <v>10306</v>
      </c>
      <c r="L4999" t="s">
        <v>18958</v>
      </c>
      <c r="M4999" t="s">
        <v>18958</v>
      </c>
      <c r="N4999" t="s">
        <v>22703</v>
      </c>
      <c r="O4999" t="s">
        <v>26523</v>
      </c>
      <c r="P4999" t="s">
        <v>26560</v>
      </c>
      <c r="R4999" t="s">
        <v>26589</v>
      </c>
      <c r="S4999" t="s">
        <v>18959</v>
      </c>
      <c r="U4999" t="s">
        <v>26604</v>
      </c>
      <c r="V4999" t="s">
        <v>26610</v>
      </c>
      <c r="W4999" t="s">
        <v>677</v>
      </c>
      <c r="X4999">
        <v>1470</v>
      </c>
      <c r="Y4999" t="s">
        <v>26654</v>
      </c>
      <c r="Z4999" t="s">
        <v>26671</v>
      </c>
      <c r="AB4999" t="s">
        <v>29041</v>
      </c>
      <c r="AD4999" t="s">
        <v>40978</v>
      </c>
      <c r="AE4999">
        <v>125</v>
      </c>
      <c r="AF4999" t="s">
        <v>45541</v>
      </c>
      <c r="AG4999" t="s">
        <v>19330</v>
      </c>
      <c r="AH4999">
        <v>2</v>
      </c>
      <c r="AI4999">
        <v>1</v>
      </c>
      <c r="AJ4999">
        <v>1</v>
      </c>
      <c r="AK4999">
        <v>195.85</v>
      </c>
      <c r="AL4999" t="s">
        <v>45567</v>
      </c>
      <c r="AM4999" t="s">
        <v>45577</v>
      </c>
      <c r="AN4999" t="s">
        <v>7439</v>
      </c>
      <c r="AO4999">
        <v>33118.19</v>
      </c>
      <c r="AU4999">
        <v>18.3</v>
      </c>
      <c r="AV4999" t="s">
        <v>833</v>
      </c>
      <c r="AW4999" t="s">
        <v>103</v>
      </c>
    </row>
    <row r="5000" spans="1:50">
      <c r="A5000" s="1">
        <f>HYPERLINK("https://lsnyc.legalserver.org/matter/dynamic-profile/view/1889428","19-1889428")</f>
        <v>0</v>
      </c>
      <c r="B5000" t="s">
        <v>104</v>
      </c>
      <c r="C5000" t="s">
        <v>340</v>
      </c>
      <c r="D5000" t="s">
        <v>677</v>
      </c>
      <c r="F5000" t="s">
        <v>3172</v>
      </c>
      <c r="G5000" t="s">
        <v>7507</v>
      </c>
      <c r="H5000" t="s">
        <v>13399</v>
      </c>
      <c r="I5000" t="s">
        <v>17344</v>
      </c>
      <c r="J5000" t="s">
        <v>18902</v>
      </c>
      <c r="K5000">
        <v>10302</v>
      </c>
      <c r="L5000" t="s">
        <v>18958</v>
      </c>
      <c r="M5000" t="s">
        <v>18958</v>
      </c>
      <c r="N5000" t="s">
        <v>22704</v>
      </c>
      <c r="O5000" t="s">
        <v>26523</v>
      </c>
      <c r="P5000" t="s">
        <v>26560</v>
      </c>
      <c r="R5000" t="s">
        <v>26590</v>
      </c>
      <c r="S5000" t="s">
        <v>18959</v>
      </c>
      <c r="U5000" t="s">
        <v>26604</v>
      </c>
      <c r="V5000" t="s">
        <v>26611</v>
      </c>
      <c r="W5000" t="s">
        <v>677</v>
      </c>
      <c r="X5000">
        <v>867.04</v>
      </c>
      <c r="Y5000" t="s">
        <v>26654</v>
      </c>
      <c r="Z5000" t="s">
        <v>26668</v>
      </c>
      <c r="AB5000" t="s">
        <v>27873</v>
      </c>
      <c r="AD5000" t="s">
        <v>40979</v>
      </c>
      <c r="AE5000">
        <v>15</v>
      </c>
      <c r="AF5000" t="s">
        <v>45541</v>
      </c>
      <c r="AH5000">
        <v>16</v>
      </c>
      <c r="AI5000">
        <v>2</v>
      </c>
      <c r="AJ5000">
        <v>0</v>
      </c>
      <c r="AK5000">
        <v>51.09</v>
      </c>
      <c r="AO5000">
        <v>8640</v>
      </c>
      <c r="AU5000">
        <v>22.9</v>
      </c>
      <c r="AV5000" t="s">
        <v>832</v>
      </c>
      <c r="AW5000" t="s">
        <v>210</v>
      </c>
    </row>
    <row r="5001" spans="1:50">
      <c r="A5001" s="1">
        <f>HYPERLINK("https://lsnyc.legalserver.org/matter/dynamic-profile/view/1889414","19-1889414")</f>
        <v>0</v>
      </c>
      <c r="B5001" t="s">
        <v>86</v>
      </c>
      <c r="C5001" t="s">
        <v>340</v>
      </c>
      <c r="D5001" t="s">
        <v>677</v>
      </c>
      <c r="F5001" t="s">
        <v>3254</v>
      </c>
      <c r="G5001" t="s">
        <v>7508</v>
      </c>
      <c r="H5001" t="s">
        <v>13400</v>
      </c>
      <c r="I5001" t="s">
        <v>17356</v>
      </c>
      <c r="J5001" t="s">
        <v>18893</v>
      </c>
      <c r="K5001">
        <v>10027</v>
      </c>
      <c r="L5001" t="s">
        <v>18958</v>
      </c>
      <c r="M5001" t="s">
        <v>18958</v>
      </c>
      <c r="N5001" t="s">
        <v>22705</v>
      </c>
      <c r="O5001" t="s">
        <v>26523</v>
      </c>
      <c r="P5001" t="s">
        <v>26560</v>
      </c>
      <c r="R5001" t="s">
        <v>26580</v>
      </c>
      <c r="S5001" t="s">
        <v>18959</v>
      </c>
      <c r="U5001" t="s">
        <v>26604</v>
      </c>
      <c r="V5001" t="s">
        <v>26614</v>
      </c>
      <c r="W5001" t="s">
        <v>677</v>
      </c>
      <c r="X5001">
        <v>1250</v>
      </c>
      <c r="Y5001" t="s">
        <v>26651</v>
      </c>
      <c r="Z5001" t="s">
        <v>26668</v>
      </c>
      <c r="AB5001" t="s">
        <v>30767</v>
      </c>
      <c r="AD5001" t="s">
        <v>40980</v>
      </c>
      <c r="AE5001">
        <v>0</v>
      </c>
      <c r="AF5001" t="s">
        <v>45541</v>
      </c>
      <c r="AG5001" t="s">
        <v>19330</v>
      </c>
      <c r="AH5001">
        <v>2</v>
      </c>
      <c r="AI5001">
        <v>2</v>
      </c>
      <c r="AJ5001">
        <v>0</v>
      </c>
      <c r="AK5001">
        <v>130.1</v>
      </c>
      <c r="AN5001" t="s">
        <v>45612</v>
      </c>
      <c r="AO5001">
        <v>22000</v>
      </c>
      <c r="AU5001">
        <v>9.4</v>
      </c>
      <c r="AV5001" t="s">
        <v>820</v>
      </c>
      <c r="AW5001" t="s">
        <v>46875</v>
      </c>
    </row>
    <row r="5002" spans="1:50">
      <c r="A5002" s="1">
        <f>HYPERLINK("https://lsnyc.legalserver.org/matter/dynamic-profile/view/1889410","19-1889410")</f>
        <v>0</v>
      </c>
      <c r="B5002" t="s">
        <v>194</v>
      </c>
      <c r="C5002" t="s">
        <v>340</v>
      </c>
      <c r="D5002" t="s">
        <v>677</v>
      </c>
      <c r="F5002" t="s">
        <v>1279</v>
      </c>
      <c r="G5002" t="s">
        <v>7509</v>
      </c>
      <c r="H5002" t="s">
        <v>12224</v>
      </c>
      <c r="I5002">
        <v>614</v>
      </c>
      <c r="J5002" t="s">
        <v>18893</v>
      </c>
      <c r="K5002">
        <v>10025</v>
      </c>
      <c r="L5002" t="s">
        <v>18958</v>
      </c>
      <c r="M5002" t="s">
        <v>18958</v>
      </c>
      <c r="N5002" t="s">
        <v>22706</v>
      </c>
      <c r="O5002" t="s">
        <v>26523</v>
      </c>
      <c r="P5002" t="s">
        <v>26560</v>
      </c>
      <c r="R5002" t="s">
        <v>26580</v>
      </c>
      <c r="S5002" t="s">
        <v>18959</v>
      </c>
      <c r="U5002" t="s">
        <v>26604</v>
      </c>
      <c r="V5002" t="s">
        <v>26610</v>
      </c>
      <c r="W5002" t="s">
        <v>677</v>
      </c>
      <c r="X5002">
        <v>800</v>
      </c>
      <c r="Y5002" t="s">
        <v>26651</v>
      </c>
      <c r="Z5002" t="s">
        <v>26664</v>
      </c>
      <c r="AB5002" t="s">
        <v>30768</v>
      </c>
      <c r="AC5002" t="s">
        <v>35895</v>
      </c>
      <c r="AD5002" t="s">
        <v>40981</v>
      </c>
      <c r="AE5002">
        <v>0</v>
      </c>
      <c r="AF5002" t="s">
        <v>45541</v>
      </c>
      <c r="AG5002" t="s">
        <v>45560</v>
      </c>
      <c r="AH5002">
        <v>19</v>
      </c>
      <c r="AI5002">
        <v>1</v>
      </c>
      <c r="AJ5002">
        <v>0</v>
      </c>
      <c r="AK5002">
        <v>17.49</v>
      </c>
      <c r="AN5002" t="s">
        <v>7439</v>
      </c>
      <c r="AO5002">
        <v>2184</v>
      </c>
      <c r="AU5002">
        <v>1.4</v>
      </c>
      <c r="AV5002" t="s">
        <v>702</v>
      </c>
      <c r="AW5002" t="s">
        <v>314</v>
      </c>
    </row>
    <row r="5003" spans="1:50">
      <c r="A5003" s="1">
        <f>HYPERLINK("https://lsnyc.legalserver.org/matter/dynamic-profile/view/1889430","19-1889430")</f>
        <v>0</v>
      </c>
      <c r="B5003" t="s">
        <v>194</v>
      </c>
      <c r="C5003" t="s">
        <v>340</v>
      </c>
      <c r="D5003" t="s">
        <v>677</v>
      </c>
      <c r="F5003" t="s">
        <v>3255</v>
      </c>
      <c r="G5003" t="s">
        <v>7510</v>
      </c>
      <c r="H5003" t="s">
        <v>13401</v>
      </c>
      <c r="I5003" t="s">
        <v>17306</v>
      </c>
      <c r="J5003" t="s">
        <v>18893</v>
      </c>
      <c r="K5003">
        <v>10026</v>
      </c>
      <c r="L5003" t="s">
        <v>18958</v>
      </c>
      <c r="M5003" t="s">
        <v>18958</v>
      </c>
      <c r="N5003" t="s">
        <v>22707</v>
      </c>
      <c r="O5003" t="s">
        <v>26523</v>
      </c>
      <c r="P5003" t="s">
        <v>26560</v>
      </c>
      <c r="R5003" t="s">
        <v>26580</v>
      </c>
      <c r="S5003" t="s">
        <v>18959</v>
      </c>
      <c r="U5003" t="s">
        <v>26604</v>
      </c>
      <c r="V5003" t="s">
        <v>26610</v>
      </c>
      <c r="W5003" t="s">
        <v>677</v>
      </c>
      <c r="X5003">
        <v>993.25</v>
      </c>
      <c r="Y5003" t="s">
        <v>26651</v>
      </c>
      <c r="Z5003" t="s">
        <v>26668</v>
      </c>
      <c r="AB5003" t="s">
        <v>30769</v>
      </c>
      <c r="AD5003" t="s">
        <v>40982</v>
      </c>
      <c r="AE5003">
        <v>0</v>
      </c>
      <c r="AF5003" t="s">
        <v>45541</v>
      </c>
      <c r="AG5003" t="s">
        <v>19330</v>
      </c>
      <c r="AH5003">
        <v>24</v>
      </c>
      <c r="AI5003">
        <v>3</v>
      </c>
      <c r="AJ5003">
        <v>3</v>
      </c>
      <c r="AK5003">
        <v>76.79000000000001</v>
      </c>
      <c r="AN5003" t="s">
        <v>7439</v>
      </c>
      <c r="AO5003">
        <v>26562</v>
      </c>
      <c r="AU5003">
        <v>6.2</v>
      </c>
      <c r="AV5003" t="s">
        <v>826</v>
      </c>
      <c r="AW5003" t="s">
        <v>314</v>
      </c>
    </row>
    <row r="5004" spans="1:50">
      <c r="A5004" s="1">
        <f>HYPERLINK("https://lsnyc.legalserver.org/matter/dynamic-profile/view/1889464","19-1889464")</f>
        <v>0</v>
      </c>
      <c r="B5004" t="s">
        <v>194</v>
      </c>
      <c r="C5004" t="s">
        <v>340</v>
      </c>
      <c r="D5004" t="s">
        <v>677</v>
      </c>
      <c r="F5004" t="s">
        <v>2342</v>
      </c>
      <c r="G5004" t="s">
        <v>5748</v>
      </c>
      <c r="H5004" t="s">
        <v>13402</v>
      </c>
      <c r="I5004">
        <v>4</v>
      </c>
      <c r="J5004" t="s">
        <v>18893</v>
      </c>
      <c r="K5004">
        <v>10031</v>
      </c>
      <c r="L5004" t="s">
        <v>18958</v>
      </c>
      <c r="M5004" t="s">
        <v>18958</v>
      </c>
      <c r="N5004" t="s">
        <v>22708</v>
      </c>
      <c r="O5004" t="s">
        <v>26524</v>
      </c>
      <c r="P5004" t="s">
        <v>26560</v>
      </c>
      <c r="R5004" t="s">
        <v>26580</v>
      </c>
      <c r="S5004" t="s">
        <v>18959</v>
      </c>
      <c r="U5004" t="s">
        <v>26604</v>
      </c>
      <c r="V5004" t="s">
        <v>26610</v>
      </c>
      <c r="W5004" t="s">
        <v>677</v>
      </c>
      <c r="X5004">
        <v>0</v>
      </c>
      <c r="Y5004" t="s">
        <v>26651</v>
      </c>
      <c r="Z5004" t="s">
        <v>26668</v>
      </c>
      <c r="AB5004" t="s">
        <v>30770</v>
      </c>
      <c r="AD5004" t="s">
        <v>40983</v>
      </c>
      <c r="AE5004">
        <v>0</v>
      </c>
      <c r="AF5004" t="s">
        <v>20460</v>
      </c>
      <c r="AG5004" t="s">
        <v>45556</v>
      </c>
      <c r="AH5004">
        <v>30</v>
      </c>
      <c r="AI5004">
        <v>3</v>
      </c>
      <c r="AJ5004">
        <v>0</v>
      </c>
      <c r="AK5004">
        <v>79.91</v>
      </c>
      <c r="AN5004" t="s">
        <v>45581</v>
      </c>
      <c r="AO5004">
        <v>17045.28</v>
      </c>
      <c r="AU5004">
        <v>16</v>
      </c>
      <c r="AV5004" t="s">
        <v>760</v>
      </c>
      <c r="AW5004" t="s">
        <v>46875</v>
      </c>
    </row>
    <row r="5005" spans="1:50">
      <c r="A5005" s="1">
        <f>HYPERLINK("https://lsnyc.legalserver.org/matter/dynamic-profile/view/1889498","19-1889498")</f>
        <v>0</v>
      </c>
      <c r="B5005" t="s">
        <v>194</v>
      </c>
      <c r="C5005" t="s">
        <v>340</v>
      </c>
      <c r="D5005" t="s">
        <v>677</v>
      </c>
      <c r="F5005" t="s">
        <v>1048</v>
      </c>
      <c r="G5005" t="s">
        <v>7511</v>
      </c>
      <c r="H5005" t="s">
        <v>13403</v>
      </c>
      <c r="I5005" t="s">
        <v>17322</v>
      </c>
      <c r="J5005" t="s">
        <v>18893</v>
      </c>
      <c r="K5005">
        <v>10031</v>
      </c>
      <c r="L5005" t="s">
        <v>18958</v>
      </c>
      <c r="M5005" t="s">
        <v>18958</v>
      </c>
      <c r="N5005" t="s">
        <v>22709</v>
      </c>
      <c r="O5005" t="s">
        <v>26524</v>
      </c>
      <c r="P5005" t="s">
        <v>26564</v>
      </c>
      <c r="R5005" t="s">
        <v>26580</v>
      </c>
      <c r="S5005" t="s">
        <v>18959</v>
      </c>
      <c r="U5005" t="s">
        <v>26604</v>
      </c>
      <c r="W5005" t="s">
        <v>677</v>
      </c>
      <c r="X5005">
        <v>866.47</v>
      </c>
      <c r="Y5005" t="s">
        <v>26651</v>
      </c>
      <c r="Z5005" t="s">
        <v>26664</v>
      </c>
      <c r="AB5005" t="s">
        <v>30771</v>
      </c>
      <c r="AD5005" t="s">
        <v>40984</v>
      </c>
      <c r="AE5005">
        <v>0</v>
      </c>
      <c r="AF5005" t="s">
        <v>45548</v>
      </c>
      <c r="AG5005" t="s">
        <v>19330</v>
      </c>
      <c r="AH5005">
        <v>10</v>
      </c>
      <c r="AI5005">
        <v>4</v>
      </c>
      <c r="AJ5005">
        <v>2</v>
      </c>
      <c r="AK5005">
        <v>94.25</v>
      </c>
      <c r="AN5005" t="s">
        <v>45581</v>
      </c>
      <c r="AO5005">
        <v>32600</v>
      </c>
      <c r="AU5005">
        <v>0</v>
      </c>
      <c r="AW5005" t="s">
        <v>46875</v>
      </c>
    </row>
    <row r="5006" spans="1:50">
      <c r="A5006" s="1">
        <f>HYPERLINK("https://lsnyc.legalserver.org/matter/dynamic-profile/view/1890900","19-1890900")</f>
        <v>0</v>
      </c>
      <c r="B5006" t="s">
        <v>240</v>
      </c>
      <c r="C5006" t="s">
        <v>340</v>
      </c>
      <c r="D5006" t="s">
        <v>740</v>
      </c>
      <c r="F5006" t="s">
        <v>3256</v>
      </c>
      <c r="G5006" t="s">
        <v>7512</v>
      </c>
      <c r="H5006" t="s">
        <v>13404</v>
      </c>
      <c r="I5006">
        <v>3</v>
      </c>
      <c r="J5006" t="s">
        <v>18894</v>
      </c>
      <c r="K5006">
        <v>11226</v>
      </c>
      <c r="L5006" t="s">
        <v>18958</v>
      </c>
      <c r="M5006" t="s">
        <v>18958</v>
      </c>
      <c r="P5006" t="s">
        <v>26560</v>
      </c>
      <c r="R5006" t="s">
        <v>26578</v>
      </c>
      <c r="S5006" t="s">
        <v>18958</v>
      </c>
      <c r="U5006" t="s">
        <v>26604</v>
      </c>
      <c r="W5006" t="s">
        <v>677</v>
      </c>
      <c r="X5006">
        <v>1407.32</v>
      </c>
      <c r="Y5006" t="s">
        <v>26652</v>
      </c>
      <c r="AB5006" t="s">
        <v>27657</v>
      </c>
      <c r="AE5006">
        <v>0</v>
      </c>
      <c r="AH5006">
        <v>19</v>
      </c>
      <c r="AI5006">
        <v>2</v>
      </c>
      <c r="AJ5006">
        <v>2</v>
      </c>
      <c r="AK5006">
        <v>130.72</v>
      </c>
      <c r="AN5006" t="s">
        <v>7439</v>
      </c>
      <c r="AO5006">
        <v>33660</v>
      </c>
      <c r="AU5006">
        <v>35.65</v>
      </c>
      <c r="AV5006" t="s">
        <v>826</v>
      </c>
      <c r="AW5006" t="s">
        <v>219</v>
      </c>
    </row>
    <row r="5007" spans="1:50">
      <c r="A5007" s="1">
        <f>HYPERLINK("https://lsnyc.legalserver.org/matter/dynamic-profile/view/1894382","19-1894382")</f>
        <v>0</v>
      </c>
      <c r="B5007" t="s">
        <v>258</v>
      </c>
      <c r="C5007" t="s">
        <v>340</v>
      </c>
      <c r="D5007" t="s">
        <v>741</v>
      </c>
      <c r="F5007" t="s">
        <v>1265</v>
      </c>
      <c r="G5007" t="s">
        <v>5300</v>
      </c>
      <c r="H5007" t="s">
        <v>13405</v>
      </c>
      <c r="I5007" t="s">
        <v>17370</v>
      </c>
      <c r="J5007" t="s">
        <v>18901</v>
      </c>
      <c r="K5007">
        <v>11434</v>
      </c>
      <c r="L5007" t="s">
        <v>18958</v>
      </c>
      <c r="M5007" t="s">
        <v>18958</v>
      </c>
      <c r="N5007" t="s">
        <v>22710</v>
      </c>
      <c r="O5007" t="s">
        <v>26523</v>
      </c>
      <c r="P5007" t="s">
        <v>26560</v>
      </c>
      <c r="R5007" t="s">
        <v>26585</v>
      </c>
      <c r="S5007" t="s">
        <v>18959</v>
      </c>
      <c r="U5007" t="s">
        <v>26604</v>
      </c>
      <c r="V5007" t="s">
        <v>26610</v>
      </c>
      <c r="W5007" t="s">
        <v>677</v>
      </c>
      <c r="X5007">
        <v>1057.1</v>
      </c>
      <c r="Y5007" t="s">
        <v>26653</v>
      </c>
      <c r="Z5007" t="s">
        <v>26668</v>
      </c>
      <c r="AB5007" t="s">
        <v>30772</v>
      </c>
      <c r="AD5007" t="s">
        <v>40985</v>
      </c>
      <c r="AE5007">
        <v>91</v>
      </c>
      <c r="AF5007" t="s">
        <v>45550</v>
      </c>
      <c r="AG5007" t="s">
        <v>19330</v>
      </c>
      <c r="AH5007">
        <v>28</v>
      </c>
      <c r="AI5007">
        <v>2</v>
      </c>
      <c r="AJ5007">
        <v>0</v>
      </c>
      <c r="AK5007">
        <v>176.7</v>
      </c>
      <c r="AN5007" t="s">
        <v>7439</v>
      </c>
      <c r="AO5007">
        <v>29880</v>
      </c>
      <c r="AQ5007" t="s">
        <v>46359</v>
      </c>
      <c r="AR5007" t="s">
        <v>46379</v>
      </c>
      <c r="AS5007" t="s">
        <v>46499</v>
      </c>
      <c r="AT5007" t="s">
        <v>46780</v>
      </c>
      <c r="AU5007">
        <v>7.6</v>
      </c>
      <c r="AV5007" t="s">
        <v>838</v>
      </c>
      <c r="AW5007" t="s">
        <v>258</v>
      </c>
      <c r="AX5007" t="s">
        <v>46897</v>
      </c>
    </row>
    <row r="5008" spans="1:50">
      <c r="A5008" s="1">
        <f>HYPERLINK("https://lsnyc.legalserver.org/matter/dynamic-profile/view/1856937","18-1856937")</f>
        <v>0</v>
      </c>
      <c r="B5008" t="s">
        <v>75</v>
      </c>
      <c r="C5008" t="s">
        <v>340</v>
      </c>
      <c r="D5008" t="s">
        <v>557</v>
      </c>
      <c r="F5008" t="s">
        <v>3257</v>
      </c>
      <c r="G5008" t="s">
        <v>5748</v>
      </c>
      <c r="H5008" t="s">
        <v>13406</v>
      </c>
      <c r="I5008" t="s">
        <v>17290</v>
      </c>
      <c r="J5008" t="s">
        <v>18892</v>
      </c>
      <c r="K5008">
        <v>10457</v>
      </c>
      <c r="L5008" t="s">
        <v>18958</v>
      </c>
      <c r="M5008" t="s">
        <v>18958</v>
      </c>
      <c r="N5008" t="s">
        <v>22711</v>
      </c>
      <c r="O5008" t="s">
        <v>26523</v>
      </c>
      <c r="P5008" t="s">
        <v>26560</v>
      </c>
      <c r="R5008" t="s">
        <v>26579</v>
      </c>
      <c r="U5008" t="s">
        <v>26604</v>
      </c>
      <c r="V5008" t="s">
        <v>26612</v>
      </c>
      <c r="W5008" t="s">
        <v>735</v>
      </c>
      <c r="X5008">
        <v>1490.11</v>
      </c>
      <c r="Y5008" t="s">
        <v>26650</v>
      </c>
      <c r="Z5008" t="s">
        <v>26662</v>
      </c>
      <c r="AB5008" t="s">
        <v>30773</v>
      </c>
      <c r="AC5008" t="s">
        <v>35896</v>
      </c>
      <c r="AD5008" t="s">
        <v>40986</v>
      </c>
      <c r="AE5008">
        <v>0</v>
      </c>
      <c r="AG5008" t="s">
        <v>45557</v>
      </c>
      <c r="AH5008">
        <v>5</v>
      </c>
      <c r="AI5008">
        <v>1</v>
      </c>
      <c r="AJ5008">
        <v>3</v>
      </c>
      <c r="AK5008">
        <v>39.02</v>
      </c>
      <c r="AN5008" t="s">
        <v>45581</v>
      </c>
      <c r="AO5008">
        <v>9600</v>
      </c>
      <c r="AP5008" t="s">
        <v>45617</v>
      </c>
      <c r="AU5008">
        <v>77.3</v>
      </c>
      <c r="AV5008" t="s">
        <v>833</v>
      </c>
      <c r="AW5008" t="s">
        <v>46848</v>
      </c>
    </row>
    <row r="5009" spans="1:50">
      <c r="A5009" s="1">
        <f>HYPERLINK("https://lsnyc.legalserver.org/matter/dynamic-profile/view/1875361","18-1875361")</f>
        <v>0</v>
      </c>
      <c r="B5009" t="s">
        <v>206</v>
      </c>
      <c r="C5009" t="s">
        <v>341</v>
      </c>
      <c r="D5009" t="s">
        <v>528</v>
      </c>
      <c r="E5009" t="s">
        <v>735</v>
      </c>
      <c r="F5009" t="s">
        <v>3258</v>
      </c>
      <c r="G5009" t="s">
        <v>994</v>
      </c>
      <c r="H5009" t="s">
        <v>13407</v>
      </c>
      <c r="J5009" t="s">
        <v>18894</v>
      </c>
      <c r="K5009">
        <v>11203</v>
      </c>
      <c r="L5009" t="s">
        <v>18958</v>
      </c>
      <c r="M5009" t="s">
        <v>18958</v>
      </c>
      <c r="N5009" t="s">
        <v>22712</v>
      </c>
      <c r="O5009" t="s">
        <v>26524</v>
      </c>
      <c r="P5009" t="s">
        <v>26563</v>
      </c>
      <c r="Q5009" t="s">
        <v>26570</v>
      </c>
      <c r="R5009" t="s">
        <v>26586</v>
      </c>
      <c r="U5009" t="s">
        <v>26604</v>
      </c>
      <c r="W5009" t="s">
        <v>735</v>
      </c>
      <c r="X5009">
        <v>0</v>
      </c>
      <c r="Y5009" t="s">
        <v>26652</v>
      </c>
      <c r="Z5009" t="s">
        <v>26664</v>
      </c>
      <c r="AA5009" t="s">
        <v>26683</v>
      </c>
      <c r="AB5009" t="s">
        <v>26999</v>
      </c>
      <c r="AC5009" t="s">
        <v>35897</v>
      </c>
      <c r="AD5009" t="s">
        <v>40987</v>
      </c>
      <c r="AE5009">
        <v>0</v>
      </c>
      <c r="AG5009" t="s">
        <v>19330</v>
      </c>
      <c r="AH5009">
        <v>2</v>
      </c>
      <c r="AI5009">
        <v>1</v>
      </c>
      <c r="AJ5009">
        <v>2</v>
      </c>
      <c r="AK5009">
        <v>56.11</v>
      </c>
      <c r="AN5009" t="s">
        <v>7439</v>
      </c>
      <c r="AO5009">
        <v>11660</v>
      </c>
      <c r="AU5009">
        <v>1.75</v>
      </c>
      <c r="AV5009" t="s">
        <v>521</v>
      </c>
      <c r="AW5009" t="s">
        <v>281</v>
      </c>
    </row>
    <row r="5010" spans="1:50">
      <c r="A5010" s="1">
        <f>HYPERLINK("https://lsnyc.legalserver.org/matter/dynamic-profile/view/1875357","18-1875357")</f>
        <v>0</v>
      </c>
      <c r="B5010" t="s">
        <v>206</v>
      </c>
      <c r="C5010" t="s">
        <v>341</v>
      </c>
      <c r="D5010" t="s">
        <v>528</v>
      </c>
      <c r="E5010" t="s">
        <v>735</v>
      </c>
      <c r="F5010" t="s">
        <v>1084</v>
      </c>
      <c r="G5010" t="s">
        <v>7513</v>
      </c>
      <c r="H5010" t="s">
        <v>13408</v>
      </c>
      <c r="I5010" t="s">
        <v>17312</v>
      </c>
      <c r="J5010" t="s">
        <v>18894</v>
      </c>
      <c r="K5010">
        <v>11203</v>
      </c>
      <c r="L5010" t="s">
        <v>18958</v>
      </c>
      <c r="M5010" t="s">
        <v>18958</v>
      </c>
      <c r="N5010" t="s">
        <v>22713</v>
      </c>
      <c r="O5010" t="s">
        <v>26524</v>
      </c>
      <c r="P5010" t="s">
        <v>26563</v>
      </c>
      <c r="Q5010" t="s">
        <v>26570</v>
      </c>
      <c r="R5010" t="s">
        <v>26586</v>
      </c>
      <c r="S5010" t="s">
        <v>18959</v>
      </c>
      <c r="U5010" t="s">
        <v>26604</v>
      </c>
      <c r="W5010" t="s">
        <v>735</v>
      </c>
      <c r="X5010">
        <v>1300</v>
      </c>
      <c r="Y5010" t="s">
        <v>26652</v>
      </c>
      <c r="Z5010" t="s">
        <v>26664</v>
      </c>
      <c r="AA5010" t="s">
        <v>26683</v>
      </c>
      <c r="AB5010" t="s">
        <v>30774</v>
      </c>
      <c r="AC5010" t="s">
        <v>35898</v>
      </c>
      <c r="AD5010" t="s">
        <v>40988</v>
      </c>
      <c r="AE5010">
        <v>4</v>
      </c>
      <c r="AF5010" t="s">
        <v>45547</v>
      </c>
      <c r="AG5010" t="s">
        <v>19330</v>
      </c>
      <c r="AH5010">
        <v>10</v>
      </c>
      <c r="AI5010">
        <v>1</v>
      </c>
      <c r="AJ5010">
        <v>0</v>
      </c>
      <c r="AK5010">
        <v>106.75</v>
      </c>
      <c r="AN5010" t="s">
        <v>7439</v>
      </c>
      <c r="AO5010">
        <v>12960</v>
      </c>
      <c r="AU5010">
        <v>2</v>
      </c>
      <c r="AV5010" t="s">
        <v>512</v>
      </c>
      <c r="AW5010" t="s">
        <v>281</v>
      </c>
    </row>
    <row r="5011" spans="1:50">
      <c r="A5011" s="1">
        <f>HYPERLINK("https://lsnyc.legalserver.org/matter/dynamic-profile/view/1875537","18-1875537")</f>
        <v>0</v>
      </c>
      <c r="B5011" t="s">
        <v>206</v>
      </c>
      <c r="C5011" t="s">
        <v>341</v>
      </c>
      <c r="D5011" t="s">
        <v>521</v>
      </c>
      <c r="E5011" t="s">
        <v>735</v>
      </c>
      <c r="F5011" t="s">
        <v>933</v>
      </c>
      <c r="G5011" t="s">
        <v>7514</v>
      </c>
      <c r="H5011" t="s">
        <v>13409</v>
      </c>
      <c r="I5011" t="s">
        <v>17389</v>
      </c>
      <c r="J5011" t="s">
        <v>18894</v>
      </c>
      <c r="K5011">
        <v>11208</v>
      </c>
      <c r="L5011" t="s">
        <v>18958</v>
      </c>
      <c r="M5011" t="s">
        <v>18958</v>
      </c>
      <c r="N5011" t="s">
        <v>22714</v>
      </c>
      <c r="O5011" t="s">
        <v>26523</v>
      </c>
      <c r="P5011" t="s">
        <v>26563</v>
      </c>
      <c r="Q5011" t="s">
        <v>26568</v>
      </c>
      <c r="R5011" t="s">
        <v>26586</v>
      </c>
      <c r="U5011" t="s">
        <v>26605</v>
      </c>
      <c r="W5011" t="s">
        <v>735</v>
      </c>
      <c r="X5011">
        <v>413</v>
      </c>
      <c r="Y5011" t="s">
        <v>26652</v>
      </c>
      <c r="Z5011" t="s">
        <v>26664</v>
      </c>
      <c r="AA5011" t="s">
        <v>26678</v>
      </c>
      <c r="AB5011" t="s">
        <v>30775</v>
      </c>
      <c r="AD5011" t="s">
        <v>40989</v>
      </c>
      <c r="AE5011">
        <v>0</v>
      </c>
      <c r="AF5011" t="s">
        <v>45549</v>
      </c>
      <c r="AH5011">
        <v>30</v>
      </c>
      <c r="AI5011">
        <v>2</v>
      </c>
      <c r="AJ5011">
        <v>2</v>
      </c>
      <c r="AK5011">
        <v>57.21</v>
      </c>
      <c r="AN5011" t="s">
        <v>7439</v>
      </c>
      <c r="AO5011">
        <v>14360</v>
      </c>
      <c r="AS5011" t="s">
        <v>46499</v>
      </c>
      <c r="AT5011" t="s">
        <v>46506</v>
      </c>
      <c r="AU5011">
        <v>13.75</v>
      </c>
      <c r="AV5011" t="s">
        <v>618</v>
      </c>
      <c r="AW5011" t="s">
        <v>281</v>
      </c>
    </row>
    <row r="5012" spans="1:50">
      <c r="A5012" s="1">
        <f>HYPERLINK("https://lsnyc.legalserver.org/matter/dynamic-profile/view/1875773","18-1875773")</f>
        <v>0</v>
      </c>
      <c r="B5012" t="s">
        <v>130</v>
      </c>
      <c r="C5012" t="s">
        <v>341</v>
      </c>
      <c r="D5012" t="s">
        <v>533</v>
      </c>
      <c r="E5012" t="s">
        <v>769</v>
      </c>
      <c r="F5012" t="s">
        <v>1352</v>
      </c>
      <c r="G5012" t="s">
        <v>1680</v>
      </c>
      <c r="H5012" t="s">
        <v>13410</v>
      </c>
      <c r="I5012" t="s">
        <v>17360</v>
      </c>
      <c r="J5012" t="s">
        <v>18936</v>
      </c>
      <c r="K5012">
        <v>11361</v>
      </c>
      <c r="L5012" t="s">
        <v>18958</v>
      </c>
      <c r="M5012" t="s">
        <v>18958</v>
      </c>
      <c r="N5012" t="s">
        <v>22715</v>
      </c>
      <c r="O5012" t="s">
        <v>26523</v>
      </c>
      <c r="P5012" t="s">
        <v>26560</v>
      </c>
      <c r="Q5012" t="s">
        <v>26568</v>
      </c>
      <c r="R5012" t="s">
        <v>26584</v>
      </c>
      <c r="S5012" t="s">
        <v>18959</v>
      </c>
      <c r="U5012" t="s">
        <v>26604</v>
      </c>
      <c r="V5012" t="s">
        <v>26610</v>
      </c>
      <c r="W5012" t="s">
        <v>735</v>
      </c>
      <c r="X5012">
        <v>1029.71</v>
      </c>
      <c r="Y5012" t="s">
        <v>26653</v>
      </c>
      <c r="Z5012" t="s">
        <v>26664</v>
      </c>
      <c r="AA5012" t="s">
        <v>26678</v>
      </c>
      <c r="AB5012" t="s">
        <v>30776</v>
      </c>
      <c r="AC5012" t="s">
        <v>35899</v>
      </c>
      <c r="AD5012" t="s">
        <v>40990</v>
      </c>
      <c r="AE5012">
        <v>14</v>
      </c>
      <c r="AF5012" t="s">
        <v>45541</v>
      </c>
      <c r="AG5012" t="s">
        <v>45561</v>
      </c>
      <c r="AH5012">
        <v>12</v>
      </c>
      <c r="AI5012">
        <v>1</v>
      </c>
      <c r="AJ5012">
        <v>0</v>
      </c>
      <c r="AK5012">
        <v>79.08</v>
      </c>
      <c r="AN5012" t="s">
        <v>7439</v>
      </c>
      <c r="AO5012">
        <v>9600</v>
      </c>
      <c r="AQ5012" t="s">
        <v>46359</v>
      </c>
      <c r="AR5012" t="s">
        <v>46379</v>
      </c>
      <c r="AS5012" t="s">
        <v>46499</v>
      </c>
      <c r="AT5012" t="s">
        <v>46569</v>
      </c>
      <c r="AU5012">
        <v>25.15</v>
      </c>
      <c r="AV5012" t="s">
        <v>761</v>
      </c>
      <c r="AW5012" t="s">
        <v>161</v>
      </c>
    </row>
    <row r="5013" spans="1:50">
      <c r="A5013" s="1">
        <f>HYPERLINK("https://lsnyc.legalserver.org/matter/dynamic-profile/view/1877711","18-1877711")</f>
        <v>0</v>
      </c>
      <c r="B5013" t="s">
        <v>206</v>
      </c>
      <c r="C5013" t="s">
        <v>341</v>
      </c>
      <c r="D5013" t="s">
        <v>586</v>
      </c>
      <c r="E5013" t="s">
        <v>735</v>
      </c>
      <c r="F5013" t="s">
        <v>1767</v>
      </c>
      <c r="G5013" t="s">
        <v>6987</v>
      </c>
      <c r="H5013" t="s">
        <v>12531</v>
      </c>
      <c r="I5013" t="s">
        <v>17379</v>
      </c>
      <c r="J5013" t="s">
        <v>18894</v>
      </c>
      <c r="K5013">
        <v>11238</v>
      </c>
      <c r="L5013" t="s">
        <v>18958</v>
      </c>
      <c r="M5013" t="s">
        <v>18958</v>
      </c>
      <c r="N5013" t="s">
        <v>21746</v>
      </c>
      <c r="O5013" t="s">
        <v>26523</v>
      </c>
      <c r="Q5013" t="s">
        <v>26570</v>
      </c>
      <c r="R5013" t="s">
        <v>26586</v>
      </c>
      <c r="U5013" t="s">
        <v>26604</v>
      </c>
      <c r="W5013" t="s">
        <v>735</v>
      </c>
      <c r="X5013">
        <v>1302.02</v>
      </c>
      <c r="Y5013" t="s">
        <v>26652</v>
      </c>
      <c r="Z5013" t="s">
        <v>26659</v>
      </c>
      <c r="AA5013" t="s">
        <v>26681</v>
      </c>
      <c r="AB5013" t="s">
        <v>28666</v>
      </c>
      <c r="AD5013" t="s">
        <v>39909</v>
      </c>
      <c r="AE5013">
        <v>64</v>
      </c>
      <c r="AG5013" t="s">
        <v>19330</v>
      </c>
      <c r="AH5013">
        <v>3</v>
      </c>
      <c r="AI5013">
        <v>1</v>
      </c>
      <c r="AJ5013">
        <v>2</v>
      </c>
      <c r="AK5013">
        <v>312.8</v>
      </c>
      <c r="AN5013" t="s">
        <v>7439</v>
      </c>
      <c r="AO5013">
        <v>65000</v>
      </c>
      <c r="AU5013">
        <v>1</v>
      </c>
      <c r="AV5013" t="s">
        <v>586</v>
      </c>
      <c r="AW5013" t="s">
        <v>46853</v>
      </c>
    </row>
    <row r="5014" spans="1:50">
      <c r="A5014" s="1">
        <f>HYPERLINK("https://lsnyc.legalserver.org/matter/dynamic-profile/view/1881337","18-1881337")</f>
        <v>0</v>
      </c>
      <c r="B5014" t="s">
        <v>130</v>
      </c>
      <c r="C5014" t="s">
        <v>341</v>
      </c>
      <c r="D5014" t="s">
        <v>632</v>
      </c>
      <c r="E5014" t="s">
        <v>806</v>
      </c>
      <c r="F5014" t="s">
        <v>2532</v>
      </c>
      <c r="G5014" t="s">
        <v>5086</v>
      </c>
      <c r="H5014" t="s">
        <v>13411</v>
      </c>
      <c r="J5014" t="s">
        <v>18901</v>
      </c>
      <c r="K5014">
        <v>11434</v>
      </c>
      <c r="L5014" t="s">
        <v>18958</v>
      </c>
      <c r="M5014" t="s">
        <v>18958</v>
      </c>
      <c r="N5014" t="s">
        <v>22716</v>
      </c>
      <c r="O5014" t="s">
        <v>26523</v>
      </c>
      <c r="P5014" t="s">
        <v>26560</v>
      </c>
      <c r="Q5014" t="s">
        <v>26568</v>
      </c>
      <c r="R5014" t="s">
        <v>26585</v>
      </c>
      <c r="S5014" t="s">
        <v>18959</v>
      </c>
      <c r="U5014" t="s">
        <v>26604</v>
      </c>
      <c r="V5014" t="s">
        <v>26610</v>
      </c>
      <c r="W5014" t="s">
        <v>735</v>
      </c>
      <c r="X5014">
        <v>683.99</v>
      </c>
      <c r="Y5014" t="s">
        <v>26653</v>
      </c>
      <c r="Z5014" t="s">
        <v>26668</v>
      </c>
      <c r="AA5014" t="s">
        <v>26678</v>
      </c>
      <c r="AB5014" t="s">
        <v>30777</v>
      </c>
      <c r="AD5014" t="s">
        <v>40991</v>
      </c>
      <c r="AE5014">
        <v>293</v>
      </c>
      <c r="AF5014" t="s">
        <v>45541</v>
      </c>
      <c r="AG5014" t="s">
        <v>19330</v>
      </c>
      <c r="AH5014">
        <v>7</v>
      </c>
      <c r="AI5014">
        <v>1</v>
      </c>
      <c r="AJ5014">
        <v>1</v>
      </c>
      <c r="AK5014">
        <v>97.93000000000001</v>
      </c>
      <c r="AN5014" t="s">
        <v>7439</v>
      </c>
      <c r="AO5014">
        <v>16120</v>
      </c>
      <c r="AR5014" t="s">
        <v>46379</v>
      </c>
      <c r="AS5014" t="s">
        <v>46499</v>
      </c>
      <c r="AT5014" t="s">
        <v>46745</v>
      </c>
      <c r="AU5014">
        <v>18.65</v>
      </c>
      <c r="AV5014" t="s">
        <v>806</v>
      </c>
      <c r="AW5014" t="s">
        <v>85</v>
      </c>
      <c r="AX5014" t="s">
        <v>46897</v>
      </c>
    </row>
    <row r="5015" spans="1:50">
      <c r="A5015" s="1">
        <f>HYPERLINK("https://lsnyc.legalserver.org/matter/dynamic-profile/view/1883392","18-1883392")</f>
        <v>0</v>
      </c>
      <c r="B5015" t="s">
        <v>130</v>
      </c>
      <c r="C5015" t="s">
        <v>341</v>
      </c>
      <c r="D5015" t="s">
        <v>662</v>
      </c>
      <c r="E5015" t="s">
        <v>769</v>
      </c>
      <c r="F5015" t="s">
        <v>3259</v>
      </c>
      <c r="G5015" t="s">
        <v>5079</v>
      </c>
      <c r="H5015" t="s">
        <v>13412</v>
      </c>
      <c r="I5015" t="s">
        <v>17416</v>
      </c>
      <c r="J5015" t="s">
        <v>18901</v>
      </c>
      <c r="K5015">
        <v>11433</v>
      </c>
      <c r="L5015" t="s">
        <v>18958</v>
      </c>
      <c r="M5015" t="s">
        <v>18958</v>
      </c>
      <c r="N5015" t="s">
        <v>22717</v>
      </c>
      <c r="O5015" t="s">
        <v>26524</v>
      </c>
      <c r="P5015" t="s">
        <v>26560</v>
      </c>
      <c r="Q5015" t="s">
        <v>26573</v>
      </c>
      <c r="R5015" t="s">
        <v>26585</v>
      </c>
      <c r="S5015" t="s">
        <v>18959</v>
      </c>
      <c r="U5015" t="s">
        <v>26604</v>
      </c>
      <c r="V5015" t="s">
        <v>26610</v>
      </c>
      <c r="W5015" t="s">
        <v>735</v>
      </c>
      <c r="X5015">
        <v>1400</v>
      </c>
      <c r="Y5015" t="s">
        <v>26653</v>
      </c>
      <c r="Z5015" t="s">
        <v>26668</v>
      </c>
      <c r="AA5015" t="s">
        <v>26679</v>
      </c>
      <c r="AB5015" t="s">
        <v>29883</v>
      </c>
      <c r="AC5015" t="s">
        <v>35900</v>
      </c>
      <c r="AD5015" t="s">
        <v>40992</v>
      </c>
      <c r="AE5015">
        <v>2</v>
      </c>
      <c r="AF5015" t="s">
        <v>45547</v>
      </c>
      <c r="AG5015" t="s">
        <v>19330</v>
      </c>
      <c r="AH5015">
        <v>3</v>
      </c>
      <c r="AI5015">
        <v>2</v>
      </c>
      <c r="AJ5015">
        <v>1</v>
      </c>
      <c r="AK5015">
        <v>39.79</v>
      </c>
      <c r="AN5015" t="s">
        <v>7439</v>
      </c>
      <c r="AO5015">
        <v>8268</v>
      </c>
      <c r="AR5015" t="s">
        <v>26530</v>
      </c>
      <c r="AS5015" t="s">
        <v>46500</v>
      </c>
      <c r="AT5015" t="s">
        <v>46788</v>
      </c>
      <c r="AU5015">
        <v>6.45</v>
      </c>
      <c r="AV5015" t="s">
        <v>788</v>
      </c>
      <c r="AW5015" t="s">
        <v>130</v>
      </c>
    </row>
    <row r="5016" spans="1:50">
      <c r="A5016" s="1">
        <f>HYPERLINK("https://lsnyc.legalserver.org/matter/dynamic-profile/view/1886842","19-1886842")</f>
        <v>0</v>
      </c>
      <c r="B5016" t="s">
        <v>199</v>
      </c>
      <c r="C5016" t="s">
        <v>340</v>
      </c>
      <c r="D5016" t="s">
        <v>668</v>
      </c>
      <c r="F5016" t="s">
        <v>1081</v>
      </c>
      <c r="G5016" t="s">
        <v>5657</v>
      </c>
      <c r="H5016" t="s">
        <v>13413</v>
      </c>
      <c r="I5016" t="s">
        <v>17293</v>
      </c>
      <c r="J5016" t="s">
        <v>18894</v>
      </c>
      <c r="K5016">
        <v>11231</v>
      </c>
      <c r="L5016" t="s">
        <v>18958</v>
      </c>
      <c r="M5016" t="s">
        <v>18958</v>
      </c>
      <c r="N5016" t="s">
        <v>22718</v>
      </c>
      <c r="O5016" t="s">
        <v>26523</v>
      </c>
      <c r="P5016" t="s">
        <v>26560</v>
      </c>
      <c r="R5016" t="s">
        <v>26578</v>
      </c>
      <c r="U5016" t="s">
        <v>26604</v>
      </c>
      <c r="V5016" t="s">
        <v>26612</v>
      </c>
      <c r="W5016" t="s">
        <v>735</v>
      </c>
      <c r="X5016">
        <v>995.25</v>
      </c>
      <c r="Y5016" t="s">
        <v>26652</v>
      </c>
      <c r="AB5016" t="s">
        <v>30778</v>
      </c>
      <c r="AD5016" t="s">
        <v>40993</v>
      </c>
      <c r="AE5016">
        <v>20</v>
      </c>
      <c r="AH5016">
        <v>15</v>
      </c>
      <c r="AI5016">
        <v>2</v>
      </c>
      <c r="AJ5016">
        <v>2</v>
      </c>
      <c r="AK5016">
        <v>94.02</v>
      </c>
      <c r="AN5016" t="s">
        <v>7439</v>
      </c>
      <c r="AO5016">
        <v>23600</v>
      </c>
      <c r="AQ5016" t="s">
        <v>46359</v>
      </c>
      <c r="AR5016" t="s">
        <v>46381</v>
      </c>
      <c r="AS5016" t="s">
        <v>46499</v>
      </c>
      <c r="AU5016">
        <v>12.05</v>
      </c>
      <c r="AV5016" t="s">
        <v>659</v>
      </c>
      <c r="AW5016" t="s">
        <v>219</v>
      </c>
    </row>
    <row r="5017" spans="1:50">
      <c r="A5017" s="1">
        <f>HYPERLINK("https://lsnyc.legalserver.org/matter/dynamic-profile/view/1888887","19-1888887")</f>
        <v>0</v>
      </c>
      <c r="B5017" t="s">
        <v>119</v>
      </c>
      <c r="C5017" t="s">
        <v>340</v>
      </c>
      <c r="D5017" t="s">
        <v>732</v>
      </c>
      <c r="F5017" t="s">
        <v>2541</v>
      </c>
      <c r="G5017" t="s">
        <v>7515</v>
      </c>
      <c r="H5017" t="s">
        <v>13414</v>
      </c>
      <c r="I5017">
        <v>602</v>
      </c>
      <c r="J5017" t="s">
        <v>18893</v>
      </c>
      <c r="K5017">
        <v>10029</v>
      </c>
      <c r="L5017" t="s">
        <v>18958</v>
      </c>
      <c r="M5017" t="s">
        <v>18958</v>
      </c>
      <c r="O5017" t="s">
        <v>18997</v>
      </c>
      <c r="P5017" t="s">
        <v>26562</v>
      </c>
      <c r="R5017" t="s">
        <v>26578</v>
      </c>
      <c r="S5017" t="s">
        <v>18959</v>
      </c>
      <c r="U5017" t="s">
        <v>26604</v>
      </c>
      <c r="V5017" t="s">
        <v>26610</v>
      </c>
      <c r="W5017" t="s">
        <v>735</v>
      </c>
      <c r="X5017">
        <v>505</v>
      </c>
      <c r="Y5017" t="s">
        <v>26651</v>
      </c>
      <c r="Z5017" t="s">
        <v>26659</v>
      </c>
      <c r="AB5017" t="s">
        <v>30779</v>
      </c>
      <c r="AD5017" t="s">
        <v>40994</v>
      </c>
      <c r="AE5017">
        <v>40</v>
      </c>
      <c r="AF5017" t="s">
        <v>45548</v>
      </c>
      <c r="AG5017" t="s">
        <v>19330</v>
      </c>
      <c r="AH5017">
        <v>8</v>
      </c>
      <c r="AI5017">
        <v>1</v>
      </c>
      <c r="AJ5017">
        <v>0</v>
      </c>
      <c r="AK5017">
        <v>73.98</v>
      </c>
      <c r="AN5017" t="s">
        <v>45581</v>
      </c>
      <c r="AO5017">
        <v>9240</v>
      </c>
      <c r="AU5017">
        <v>25.6</v>
      </c>
      <c r="AV5017" t="s">
        <v>820</v>
      </c>
      <c r="AW5017" t="s">
        <v>46846</v>
      </c>
    </row>
    <row r="5018" spans="1:50">
      <c r="A5018" s="1">
        <f>HYPERLINK("https://lsnyc.legalserver.org/matter/dynamic-profile/view/1889462","19-1889462")</f>
        <v>0</v>
      </c>
      <c r="B5018" t="s">
        <v>187</v>
      </c>
      <c r="C5018" t="s">
        <v>340</v>
      </c>
      <c r="D5018" t="s">
        <v>709</v>
      </c>
      <c r="F5018" t="s">
        <v>1363</v>
      </c>
      <c r="G5018" t="s">
        <v>6202</v>
      </c>
      <c r="H5018" t="s">
        <v>13415</v>
      </c>
      <c r="I5018" t="s">
        <v>17498</v>
      </c>
      <c r="J5018" t="s">
        <v>18892</v>
      </c>
      <c r="K5018">
        <v>10457</v>
      </c>
      <c r="L5018" t="s">
        <v>18958</v>
      </c>
      <c r="M5018" t="s">
        <v>18958</v>
      </c>
      <c r="N5018" t="s">
        <v>22719</v>
      </c>
      <c r="O5018" t="s">
        <v>26523</v>
      </c>
      <c r="P5018" t="s">
        <v>26560</v>
      </c>
      <c r="R5018" t="s">
        <v>26579</v>
      </c>
      <c r="S5018" t="s">
        <v>18959</v>
      </c>
      <c r="U5018" t="s">
        <v>26604</v>
      </c>
      <c r="V5018" t="s">
        <v>26610</v>
      </c>
      <c r="W5018" t="s">
        <v>735</v>
      </c>
      <c r="X5018">
        <v>1315</v>
      </c>
      <c r="Y5018" t="s">
        <v>26650</v>
      </c>
      <c r="Z5018" t="s">
        <v>26664</v>
      </c>
      <c r="AB5018" t="s">
        <v>30780</v>
      </c>
      <c r="AC5018" t="s">
        <v>35901</v>
      </c>
      <c r="AD5018" t="s">
        <v>40995</v>
      </c>
      <c r="AE5018">
        <v>16</v>
      </c>
      <c r="AF5018" t="s">
        <v>20460</v>
      </c>
      <c r="AG5018" t="s">
        <v>19330</v>
      </c>
      <c r="AH5018">
        <v>2</v>
      </c>
      <c r="AI5018">
        <v>2</v>
      </c>
      <c r="AJ5018">
        <v>1</v>
      </c>
      <c r="AK5018">
        <v>46.88</v>
      </c>
      <c r="AN5018" t="s">
        <v>45581</v>
      </c>
      <c r="AO5018">
        <v>10000</v>
      </c>
      <c r="AU5018">
        <v>4.6</v>
      </c>
      <c r="AV5018" t="s">
        <v>764</v>
      </c>
      <c r="AW5018" t="s">
        <v>336</v>
      </c>
    </row>
    <row r="5019" spans="1:50">
      <c r="A5019" s="1">
        <f>HYPERLINK("https://lsnyc.legalserver.org/matter/dynamic-profile/view/1889197","19-1889197")</f>
        <v>0</v>
      </c>
      <c r="B5019" t="s">
        <v>132</v>
      </c>
      <c r="C5019" t="s">
        <v>341</v>
      </c>
      <c r="D5019" t="s">
        <v>693</v>
      </c>
      <c r="E5019" t="s">
        <v>735</v>
      </c>
      <c r="F5019" t="s">
        <v>3260</v>
      </c>
      <c r="G5019" t="s">
        <v>7065</v>
      </c>
      <c r="H5019" t="s">
        <v>13416</v>
      </c>
      <c r="I5019" t="s">
        <v>17846</v>
      </c>
      <c r="J5019" t="s">
        <v>18894</v>
      </c>
      <c r="K5019">
        <v>11226</v>
      </c>
      <c r="L5019" t="s">
        <v>18958</v>
      </c>
      <c r="M5019" t="s">
        <v>18959</v>
      </c>
      <c r="N5019" t="s">
        <v>22720</v>
      </c>
      <c r="O5019" t="s">
        <v>26523</v>
      </c>
      <c r="Q5019" t="s">
        <v>26573</v>
      </c>
      <c r="R5019" t="s">
        <v>26588</v>
      </c>
      <c r="U5019" t="s">
        <v>26604</v>
      </c>
      <c r="W5019" t="s">
        <v>735</v>
      </c>
      <c r="X5019">
        <v>1130</v>
      </c>
      <c r="Y5019" t="s">
        <v>26652</v>
      </c>
      <c r="Z5019" t="s">
        <v>26664</v>
      </c>
      <c r="AA5019" t="s">
        <v>26678</v>
      </c>
      <c r="AB5019" t="s">
        <v>30781</v>
      </c>
      <c r="AD5019" t="s">
        <v>40996</v>
      </c>
      <c r="AE5019">
        <v>16</v>
      </c>
      <c r="AG5019" t="s">
        <v>19330</v>
      </c>
      <c r="AH5019">
        <v>10</v>
      </c>
      <c r="AI5019">
        <v>1</v>
      </c>
      <c r="AJ5019">
        <v>0</v>
      </c>
      <c r="AK5019">
        <v>0</v>
      </c>
      <c r="AN5019" t="s">
        <v>7439</v>
      </c>
      <c r="AO5019">
        <v>0</v>
      </c>
      <c r="AS5019" t="s">
        <v>46499</v>
      </c>
      <c r="AT5019" t="s">
        <v>46506</v>
      </c>
      <c r="AU5019">
        <v>1.3</v>
      </c>
      <c r="AV5019" t="s">
        <v>694</v>
      </c>
      <c r="AW5019" t="s">
        <v>46853</v>
      </c>
    </row>
    <row r="5020" spans="1:50">
      <c r="A5020" s="1">
        <f>HYPERLINK("https://lsnyc.legalserver.org/matter/dynamic-profile/view/1889144","19-1889144")</f>
        <v>0</v>
      </c>
      <c r="B5020" t="s">
        <v>132</v>
      </c>
      <c r="C5020" t="s">
        <v>341</v>
      </c>
      <c r="D5020" t="s">
        <v>693</v>
      </c>
      <c r="E5020" t="s">
        <v>735</v>
      </c>
      <c r="F5020" t="s">
        <v>2667</v>
      </c>
      <c r="G5020" t="s">
        <v>1857</v>
      </c>
      <c r="H5020" t="s">
        <v>13417</v>
      </c>
      <c r="I5020" t="s">
        <v>18179</v>
      </c>
      <c r="J5020" t="s">
        <v>18894</v>
      </c>
      <c r="K5020">
        <v>11226</v>
      </c>
      <c r="L5020" t="s">
        <v>18958</v>
      </c>
      <c r="M5020" t="s">
        <v>18958</v>
      </c>
      <c r="N5020" t="s">
        <v>22721</v>
      </c>
      <c r="O5020" t="s">
        <v>26523</v>
      </c>
      <c r="Q5020" t="s">
        <v>26573</v>
      </c>
      <c r="R5020" t="s">
        <v>26588</v>
      </c>
      <c r="U5020" t="s">
        <v>26604</v>
      </c>
      <c r="W5020" t="s">
        <v>735</v>
      </c>
      <c r="X5020">
        <v>1196.46</v>
      </c>
      <c r="Y5020" t="s">
        <v>26652</v>
      </c>
      <c r="Z5020" t="s">
        <v>26664</v>
      </c>
      <c r="AA5020" t="s">
        <v>26678</v>
      </c>
      <c r="AB5020" t="s">
        <v>30782</v>
      </c>
      <c r="AD5020" t="s">
        <v>40997</v>
      </c>
      <c r="AE5020">
        <v>0</v>
      </c>
      <c r="AG5020" t="s">
        <v>19330</v>
      </c>
      <c r="AH5020">
        <v>3</v>
      </c>
      <c r="AI5020">
        <v>1</v>
      </c>
      <c r="AJ5020">
        <v>2</v>
      </c>
      <c r="AK5020">
        <v>134.08</v>
      </c>
      <c r="AN5020" t="s">
        <v>7439</v>
      </c>
      <c r="AO5020">
        <v>28600</v>
      </c>
      <c r="AS5020" t="s">
        <v>46499</v>
      </c>
      <c r="AT5020" t="s">
        <v>46506</v>
      </c>
      <c r="AU5020">
        <v>1.3</v>
      </c>
      <c r="AV5020" t="s">
        <v>694</v>
      </c>
      <c r="AW5020" t="s">
        <v>46853</v>
      </c>
    </row>
    <row r="5021" spans="1:50">
      <c r="A5021" s="1">
        <f>HYPERLINK("https://lsnyc.legalserver.org/matter/dynamic-profile/view/1889595","19-1889595")</f>
        <v>0</v>
      </c>
      <c r="B5021" t="s">
        <v>117</v>
      </c>
      <c r="C5021" t="s">
        <v>341</v>
      </c>
      <c r="D5021" t="s">
        <v>735</v>
      </c>
      <c r="E5021" t="s">
        <v>724</v>
      </c>
      <c r="F5021" t="s">
        <v>3261</v>
      </c>
      <c r="G5021" t="s">
        <v>5229</v>
      </c>
      <c r="H5021" t="s">
        <v>13418</v>
      </c>
      <c r="I5021">
        <v>3</v>
      </c>
      <c r="J5021" t="s">
        <v>18894</v>
      </c>
      <c r="K5021">
        <v>11233</v>
      </c>
      <c r="L5021" t="s">
        <v>18958</v>
      </c>
      <c r="M5021" t="s">
        <v>18958</v>
      </c>
      <c r="N5021" t="s">
        <v>22722</v>
      </c>
      <c r="O5021" t="s">
        <v>26524</v>
      </c>
      <c r="P5021" t="s">
        <v>26565</v>
      </c>
      <c r="Q5021" t="s">
        <v>26571</v>
      </c>
      <c r="R5021" t="s">
        <v>26578</v>
      </c>
      <c r="S5021" t="s">
        <v>18959</v>
      </c>
      <c r="U5021" t="s">
        <v>26604</v>
      </c>
      <c r="V5021" t="s">
        <v>26612</v>
      </c>
      <c r="W5021" t="s">
        <v>735</v>
      </c>
      <c r="X5021">
        <v>0</v>
      </c>
      <c r="Y5021" t="s">
        <v>26652</v>
      </c>
      <c r="Z5021" t="s">
        <v>26660</v>
      </c>
      <c r="AA5021" t="s">
        <v>26678</v>
      </c>
      <c r="AB5021" t="s">
        <v>27237</v>
      </c>
      <c r="AD5021" t="s">
        <v>40998</v>
      </c>
      <c r="AE5021">
        <v>3</v>
      </c>
      <c r="AF5021" t="s">
        <v>45548</v>
      </c>
      <c r="AH5021">
        <v>13</v>
      </c>
      <c r="AI5021">
        <v>2</v>
      </c>
      <c r="AJ5021">
        <v>1</v>
      </c>
      <c r="AK5021">
        <v>0</v>
      </c>
      <c r="AN5021" t="s">
        <v>7439</v>
      </c>
      <c r="AO5021">
        <v>0</v>
      </c>
      <c r="AU5021">
        <v>1.5</v>
      </c>
      <c r="AV5021" t="s">
        <v>735</v>
      </c>
      <c r="AW5021" t="s">
        <v>46856</v>
      </c>
      <c r="AX5021" t="s">
        <v>46897</v>
      </c>
    </row>
    <row r="5022" spans="1:50">
      <c r="A5022" s="1">
        <f>HYPERLINK("https://lsnyc.legalserver.org/matter/dynamic-profile/view/1889615","19-1889615")</f>
        <v>0</v>
      </c>
      <c r="B5022" t="s">
        <v>108</v>
      </c>
      <c r="C5022" t="s">
        <v>341</v>
      </c>
      <c r="D5022" t="s">
        <v>735</v>
      </c>
      <c r="E5022" t="s">
        <v>828</v>
      </c>
      <c r="F5022" t="s">
        <v>1062</v>
      </c>
      <c r="G5022" t="s">
        <v>7516</v>
      </c>
      <c r="H5022" t="s">
        <v>13419</v>
      </c>
      <c r="I5022" t="s">
        <v>17646</v>
      </c>
      <c r="J5022" t="s">
        <v>18915</v>
      </c>
      <c r="K5022">
        <v>11372</v>
      </c>
      <c r="L5022" t="s">
        <v>18958</v>
      </c>
      <c r="M5022" t="s">
        <v>18958</v>
      </c>
      <c r="N5022" t="s">
        <v>22723</v>
      </c>
      <c r="O5022" t="s">
        <v>26524</v>
      </c>
      <c r="P5022" t="s">
        <v>26564</v>
      </c>
      <c r="Q5022" t="s">
        <v>26570</v>
      </c>
      <c r="R5022" t="s">
        <v>26584</v>
      </c>
      <c r="S5022" t="s">
        <v>18959</v>
      </c>
      <c r="U5022" t="s">
        <v>26604</v>
      </c>
      <c r="V5022" t="s">
        <v>26610</v>
      </c>
      <c r="W5022" t="s">
        <v>735</v>
      </c>
      <c r="X5022">
        <v>1068</v>
      </c>
      <c r="Y5022" t="s">
        <v>26653</v>
      </c>
      <c r="Z5022" t="s">
        <v>26664</v>
      </c>
      <c r="AA5022" t="s">
        <v>26683</v>
      </c>
      <c r="AB5022" t="s">
        <v>30783</v>
      </c>
      <c r="AC5022" t="s">
        <v>35902</v>
      </c>
      <c r="AD5022" t="s">
        <v>40999</v>
      </c>
      <c r="AE5022">
        <v>60</v>
      </c>
      <c r="AF5022" t="s">
        <v>45541</v>
      </c>
      <c r="AG5022" t="s">
        <v>45557</v>
      </c>
      <c r="AH5022">
        <v>14</v>
      </c>
      <c r="AI5022">
        <v>3</v>
      </c>
      <c r="AJ5022">
        <v>5</v>
      </c>
      <c r="AK5022">
        <v>82.62</v>
      </c>
      <c r="AN5022" t="s">
        <v>7439</v>
      </c>
      <c r="AO5022">
        <v>35880</v>
      </c>
      <c r="AU5022">
        <v>0.1</v>
      </c>
      <c r="AV5022" t="s">
        <v>781</v>
      </c>
      <c r="AW5022" t="s">
        <v>161</v>
      </c>
      <c r="AX5022" t="s">
        <v>46897</v>
      </c>
    </row>
    <row r="5023" spans="1:50">
      <c r="A5023" s="1">
        <f>HYPERLINK("https://lsnyc.legalserver.org/matter/dynamic-profile/view/1891992","19-1891992")</f>
        <v>0</v>
      </c>
      <c r="B5023" t="s">
        <v>152</v>
      </c>
      <c r="C5023" t="s">
        <v>341</v>
      </c>
      <c r="D5023" t="s">
        <v>735</v>
      </c>
      <c r="E5023" t="s">
        <v>820</v>
      </c>
      <c r="F5023" t="s">
        <v>1179</v>
      </c>
      <c r="G5023" t="s">
        <v>7517</v>
      </c>
      <c r="H5023" t="s">
        <v>13420</v>
      </c>
      <c r="I5023" t="s">
        <v>17538</v>
      </c>
      <c r="J5023" t="s">
        <v>18892</v>
      </c>
      <c r="K5023">
        <v>10462</v>
      </c>
      <c r="L5023" t="s">
        <v>18958</v>
      </c>
      <c r="M5023" t="s">
        <v>18958</v>
      </c>
      <c r="O5023" t="s">
        <v>26534</v>
      </c>
      <c r="P5023" t="s">
        <v>26564</v>
      </c>
      <c r="Q5023" t="s">
        <v>26570</v>
      </c>
      <c r="R5023" t="s">
        <v>26578</v>
      </c>
      <c r="S5023" t="s">
        <v>18959</v>
      </c>
      <c r="U5023" t="s">
        <v>26604</v>
      </c>
      <c r="W5023" t="s">
        <v>735</v>
      </c>
      <c r="X5023">
        <v>1900</v>
      </c>
      <c r="Y5023" t="s">
        <v>26650</v>
      </c>
      <c r="Z5023" t="s">
        <v>26663</v>
      </c>
      <c r="AA5023" t="s">
        <v>26683</v>
      </c>
      <c r="AB5023" t="s">
        <v>28996</v>
      </c>
      <c r="AD5023" t="s">
        <v>41000</v>
      </c>
      <c r="AE5023">
        <v>133</v>
      </c>
      <c r="AF5023" t="s">
        <v>45541</v>
      </c>
      <c r="AG5023" t="s">
        <v>19330</v>
      </c>
      <c r="AH5023">
        <v>5</v>
      </c>
      <c r="AI5023">
        <v>2</v>
      </c>
      <c r="AJ5023">
        <v>2</v>
      </c>
      <c r="AK5023">
        <v>578.64</v>
      </c>
      <c r="AN5023" t="s">
        <v>7439</v>
      </c>
      <c r="AO5023">
        <v>149000</v>
      </c>
      <c r="AU5023">
        <v>0.1</v>
      </c>
      <c r="AV5023" t="s">
        <v>820</v>
      </c>
      <c r="AW5023" t="s">
        <v>46847</v>
      </c>
    </row>
    <row r="5024" spans="1:50">
      <c r="A5024" s="1">
        <f>HYPERLINK("https://lsnyc.legalserver.org/matter/dynamic-profile/view/1889610","19-1889610")</f>
        <v>0</v>
      </c>
      <c r="B5024" t="s">
        <v>263</v>
      </c>
      <c r="C5024" t="s">
        <v>341</v>
      </c>
      <c r="D5024" t="s">
        <v>735</v>
      </c>
      <c r="E5024" t="s">
        <v>789</v>
      </c>
      <c r="F5024" t="s">
        <v>1197</v>
      </c>
      <c r="G5024" t="s">
        <v>7518</v>
      </c>
      <c r="H5024" t="s">
        <v>13421</v>
      </c>
      <c r="I5024" t="s">
        <v>17353</v>
      </c>
      <c r="J5024" t="s">
        <v>18892</v>
      </c>
      <c r="K5024">
        <v>10452</v>
      </c>
      <c r="L5024" t="s">
        <v>18958</v>
      </c>
      <c r="M5024" t="s">
        <v>18958</v>
      </c>
      <c r="O5024" t="s">
        <v>18997</v>
      </c>
      <c r="P5024" t="s">
        <v>26565</v>
      </c>
      <c r="Q5024" t="s">
        <v>26571</v>
      </c>
      <c r="R5024" t="s">
        <v>26578</v>
      </c>
      <c r="S5024" t="s">
        <v>18959</v>
      </c>
      <c r="U5024" t="s">
        <v>26604</v>
      </c>
      <c r="W5024" t="s">
        <v>735</v>
      </c>
      <c r="X5024">
        <v>969.08</v>
      </c>
      <c r="Y5024" t="s">
        <v>26650</v>
      </c>
      <c r="Z5024" t="s">
        <v>26663</v>
      </c>
      <c r="AA5024" t="s">
        <v>26683</v>
      </c>
      <c r="AB5024" t="s">
        <v>29090</v>
      </c>
      <c r="AD5024" t="s">
        <v>41001</v>
      </c>
      <c r="AE5024">
        <v>0</v>
      </c>
      <c r="AF5024" t="s">
        <v>45541</v>
      </c>
      <c r="AH5024">
        <v>23</v>
      </c>
      <c r="AI5024">
        <v>3</v>
      </c>
      <c r="AJ5024">
        <v>0</v>
      </c>
      <c r="AK5024">
        <v>190.59</v>
      </c>
      <c r="AN5024" t="s">
        <v>45581</v>
      </c>
      <c r="AO5024">
        <v>40652</v>
      </c>
      <c r="AU5024">
        <v>1.5</v>
      </c>
      <c r="AV5024" t="s">
        <v>735</v>
      </c>
      <c r="AW5024" t="s">
        <v>263</v>
      </c>
    </row>
    <row r="5025" spans="1:50">
      <c r="A5025" s="1">
        <f>HYPERLINK("https://lsnyc.legalserver.org/matter/dynamic-profile/view/1889605","19-1889605")</f>
        <v>0</v>
      </c>
      <c r="B5025" t="s">
        <v>263</v>
      </c>
      <c r="C5025" t="s">
        <v>341</v>
      </c>
      <c r="D5025" t="s">
        <v>735</v>
      </c>
      <c r="E5025" t="s">
        <v>789</v>
      </c>
      <c r="F5025" t="s">
        <v>1320</v>
      </c>
      <c r="G5025" t="s">
        <v>1685</v>
      </c>
      <c r="H5025" t="s">
        <v>13422</v>
      </c>
      <c r="I5025" t="s">
        <v>17299</v>
      </c>
      <c r="J5025" t="s">
        <v>18892</v>
      </c>
      <c r="K5025">
        <v>10453</v>
      </c>
      <c r="L5025" t="s">
        <v>18958</v>
      </c>
      <c r="M5025" t="s">
        <v>18958</v>
      </c>
      <c r="O5025" t="s">
        <v>18997</v>
      </c>
      <c r="P5025" t="s">
        <v>26564</v>
      </c>
      <c r="Q5025" t="s">
        <v>26570</v>
      </c>
      <c r="R5025" t="s">
        <v>26578</v>
      </c>
      <c r="S5025" t="s">
        <v>18959</v>
      </c>
      <c r="U5025" t="s">
        <v>26604</v>
      </c>
      <c r="W5025" t="s">
        <v>735</v>
      </c>
      <c r="X5025">
        <v>1526</v>
      </c>
      <c r="Y5025" t="s">
        <v>26650</v>
      </c>
      <c r="Z5025" t="s">
        <v>26663</v>
      </c>
      <c r="AA5025" t="s">
        <v>26683</v>
      </c>
      <c r="AB5025" t="s">
        <v>30784</v>
      </c>
      <c r="AD5025" t="s">
        <v>41002</v>
      </c>
      <c r="AE5025">
        <v>225</v>
      </c>
      <c r="AF5025" t="s">
        <v>45541</v>
      </c>
      <c r="AG5025" t="s">
        <v>19330</v>
      </c>
      <c r="AH5025">
        <v>1</v>
      </c>
      <c r="AI5025">
        <v>2</v>
      </c>
      <c r="AJ5025">
        <v>0</v>
      </c>
      <c r="AK5025">
        <v>484.92</v>
      </c>
      <c r="AN5025" t="s">
        <v>7439</v>
      </c>
      <c r="AO5025">
        <v>82000</v>
      </c>
      <c r="AU5025">
        <v>1.5</v>
      </c>
      <c r="AV5025" t="s">
        <v>735</v>
      </c>
      <c r="AW5025" t="s">
        <v>263</v>
      </c>
    </row>
    <row r="5026" spans="1:50">
      <c r="A5026" s="1">
        <f>HYPERLINK("https://lsnyc.legalserver.org/matter/dynamic-profile/view/1889609","19-1889609")</f>
        <v>0</v>
      </c>
      <c r="B5026" t="s">
        <v>122</v>
      </c>
      <c r="C5026" t="s">
        <v>341</v>
      </c>
      <c r="D5026" t="s">
        <v>735</v>
      </c>
      <c r="E5026" t="s">
        <v>755</v>
      </c>
      <c r="F5026" t="s">
        <v>3262</v>
      </c>
      <c r="G5026" t="s">
        <v>3056</v>
      </c>
      <c r="H5026" t="s">
        <v>13423</v>
      </c>
      <c r="I5026" t="s">
        <v>17278</v>
      </c>
      <c r="J5026" t="s">
        <v>7026</v>
      </c>
      <c r="K5026">
        <v>11368</v>
      </c>
      <c r="L5026" t="s">
        <v>18958</v>
      </c>
      <c r="M5026" t="s">
        <v>18958</v>
      </c>
      <c r="N5026" t="s">
        <v>22724</v>
      </c>
      <c r="O5026" t="s">
        <v>26523</v>
      </c>
      <c r="P5026" t="s">
        <v>26564</v>
      </c>
      <c r="Q5026" t="s">
        <v>26570</v>
      </c>
      <c r="R5026" t="s">
        <v>26584</v>
      </c>
      <c r="S5026" t="s">
        <v>18959</v>
      </c>
      <c r="U5026" t="s">
        <v>26604</v>
      </c>
      <c r="V5026" t="s">
        <v>26610</v>
      </c>
      <c r="W5026" t="s">
        <v>735</v>
      </c>
      <c r="X5026">
        <v>1820</v>
      </c>
      <c r="Y5026" t="s">
        <v>26653</v>
      </c>
      <c r="Z5026" t="s">
        <v>26664</v>
      </c>
      <c r="AA5026" t="s">
        <v>26683</v>
      </c>
      <c r="AB5026" t="s">
        <v>30751</v>
      </c>
      <c r="AC5026" t="s">
        <v>35903</v>
      </c>
      <c r="AD5026" t="s">
        <v>41003</v>
      </c>
      <c r="AE5026">
        <v>225</v>
      </c>
      <c r="AF5026" t="s">
        <v>45541</v>
      </c>
      <c r="AG5026" t="s">
        <v>19330</v>
      </c>
      <c r="AH5026">
        <v>2</v>
      </c>
      <c r="AI5026">
        <v>2</v>
      </c>
      <c r="AJ5026">
        <v>3</v>
      </c>
      <c r="AK5026">
        <v>0</v>
      </c>
      <c r="AN5026" t="s">
        <v>7439</v>
      </c>
      <c r="AO5026">
        <v>0</v>
      </c>
      <c r="AU5026">
        <v>1</v>
      </c>
      <c r="AV5026" t="s">
        <v>714</v>
      </c>
      <c r="AW5026" t="s">
        <v>161</v>
      </c>
    </row>
    <row r="5027" spans="1:50">
      <c r="A5027" s="1">
        <f>HYPERLINK("https://lsnyc.legalserver.org/matter/dynamic-profile/view/1889544","19-1889544")</f>
        <v>0</v>
      </c>
      <c r="B5027" t="s">
        <v>235</v>
      </c>
      <c r="C5027" t="s">
        <v>341</v>
      </c>
      <c r="D5027" t="s">
        <v>735</v>
      </c>
      <c r="E5027" t="s">
        <v>729</v>
      </c>
      <c r="F5027" t="s">
        <v>964</v>
      </c>
      <c r="G5027" t="s">
        <v>6973</v>
      </c>
      <c r="H5027" t="s">
        <v>12501</v>
      </c>
      <c r="I5027" t="s">
        <v>17743</v>
      </c>
      <c r="J5027" t="s">
        <v>18901</v>
      </c>
      <c r="K5027">
        <v>11434</v>
      </c>
      <c r="L5027" t="s">
        <v>18958</v>
      </c>
      <c r="M5027" t="s">
        <v>18958</v>
      </c>
      <c r="N5027" t="s">
        <v>22725</v>
      </c>
      <c r="O5027" t="s">
        <v>26523</v>
      </c>
      <c r="P5027" t="s">
        <v>26560</v>
      </c>
      <c r="Q5027" t="s">
        <v>26568</v>
      </c>
      <c r="R5027" t="s">
        <v>26585</v>
      </c>
      <c r="S5027" t="s">
        <v>18958</v>
      </c>
      <c r="U5027" t="s">
        <v>26605</v>
      </c>
      <c r="V5027" t="s">
        <v>26610</v>
      </c>
      <c r="W5027" t="s">
        <v>735</v>
      </c>
      <c r="X5027">
        <v>1072</v>
      </c>
      <c r="Y5027" t="s">
        <v>26653</v>
      </c>
      <c r="Z5027" t="s">
        <v>26659</v>
      </c>
      <c r="AA5027" t="s">
        <v>26680</v>
      </c>
      <c r="AB5027" t="s">
        <v>29773</v>
      </c>
      <c r="AD5027" t="s">
        <v>39876</v>
      </c>
      <c r="AE5027">
        <v>0</v>
      </c>
      <c r="AF5027" t="s">
        <v>45549</v>
      </c>
      <c r="AH5027">
        <v>17</v>
      </c>
      <c r="AI5027">
        <v>3</v>
      </c>
      <c r="AJ5027">
        <v>0</v>
      </c>
      <c r="AK5027">
        <v>154.98</v>
      </c>
      <c r="AN5027" t="s">
        <v>7439</v>
      </c>
      <c r="AO5027">
        <v>33056.88</v>
      </c>
      <c r="AQ5027" t="s">
        <v>46359</v>
      </c>
      <c r="AR5027" t="s">
        <v>46379</v>
      </c>
      <c r="AS5027" t="s">
        <v>46499</v>
      </c>
      <c r="AT5027" t="s">
        <v>46789</v>
      </c>
      <c r="AU5027">
        <v>24.36</v>
      </c>
      <c r="AV5027" t="s">
        <v>819</v>
      </c>
      <c r="AW5027" t="s">
        <v>85</v>
      </c>
      <c r="AX5027" t="s">
        <v>46897</v>
      </c>
    </row>
    <row r="5028" spans="1:50">
      <c r="A5028" s="1">
        <f>HYPERLINK("https://lsnyc.legalserver.org/matter/dynamic-profile/view/1889601","19-1889601")</f>
        <v>0</v>
      </c>
      <c r="B5028" t="s">
        <v>117</v>
      </c>
      <c r="C5028" t="s">
        <v>340</v>
      </c>
      <c r="D5028" t="s">
        <v>735</v>
      </c>
      <c r="F5028" t="s">
        <v>3263</v>
      </c>
      <c r="G5028" t="s">
        <v>7519</v>
      </c>
      <c r="H5028" t="s">
        <v>13424</v>
      </c>
      <c r="I5028" t="s">
        <v>17388</v>
      </c>
      <c r="J5028" t="s">
        <v>18894</v>
      </c>
      <c r="K5028">
        <v>11239</v>
      </c>
      <c r="L5028" t="s">
        <v>18958</v>
      </c>
      <c r="M5028" t="s">
        <v>18960</v>
      </c>
      <c r="N5028" t="s">
        <v>22726</v>
      </c>
      <c r="O5028" t="s">
        <v>26523</v>
      </c>
      <c r="P5028" t="s">
        <v>26564</v>
      </c>
      <c r="R5028" t="s">
        <v>26578</v>
      </c>
      <c r="U5028" t="s">
        <v>26604</v>
      </c>
      <c r="W5028" t="s">
        <v>735</v>
      </c>
      <c r="X5028">
        <v>1480</v>
      </c>
      <c r="Y5028" t="s">
        <v>26652</v>
      </c>
      <c r="Z5028" t="s">
        <v>26663</v>
      </c>
      <c r="AB5028" t="s">
        <v>28264</v>
      </c>
      <c r="AC5028" t="s">
        <v>35228</v>
      </c>
      <c r="AD5028" t="s">
        <v>41004</v>
      </c>
      <c r="AE5028">
        <v>60</v>
      </c>
      <c r="AF5028" t="s">
        <v>20460</v>
      </c>
      <c r="AH5028">
        <v>11</v>
      </c>
      <c r="AI5028">
        <v>2</v>
      </c>
      <c r="AJ5028">
        <v>0</v>
      </c>
      <c r="AK5028">
        <v>419.87</v>
      </c>
      <c r="AL5028" t="s">
        <v>45571</v>
      </c>
      <c r="AM5028" t="s">
        <v>45575</v>
      </c>
      <c r="AN5028" t="s">
        <v>7439</v>
      </c>
      <c r="AO5028">
        <v>71000</v>
      </c>
      <c r="AU5028">
        <v>1.5</v>
      </c>
      <c r="AV5028" t="s">
        <v>735</v>
      </c>
      <c r="AW5028" t="s">
        <v>46856</v>
      </c>
      <c r="AX5028" t="s">
        <v>46897</v>
      </c>
    </row>
    <row r="5029" spans="1:50">
      <c r="A5029" s="1">
        <f>HYPERLINK("https://lsnyc.legalserver.org/matter/dynamic-profile/view/1889624","19-1889624")</f>
        <v>0</v>
      </c>
      <c r="B5029" t="s">
        <v>108</v>
      </c>
      <c r="C5029" t="s">
        <v>340</v>
      </c>
      <c r="D5029" t="s">
        <v>735</v>
      </c>
      <c r="F5029" t="s">
        <v>879</v>
      </c>
      <c r="G5029" t="s">
        <v>7520</v>
      </c>
      <c r="H5029" t="s">
        <v>13425</v>
      </c>
      <c r="I5029" t="s">
        <v>17272</v>
      </c>
      <c r="J5029" t="s">
        <v>18928</v>
      </c>
      <c r="K5029">
        <v>11365</v>
      </c>
      <c r="L5029" t="s">
        <v>18958</v>
      </c>
      <c r="M5029" t="s">
        <v>18958</v>
      </c>
      <c r="N5029" t="s">
        <v>22727</v>
      </c>
      <c r="O5029" t="s">
        <v>26524</v>
      </c>
      <c r="P5029" t="s">
        <v>26564</v>
      </c>
      <c r="R5029" t="s">
        <v>26584</v>
      </c>
      <c r="S5029" t="s">
        <v>18959</v>
      </c>
      <c r="U5029" t="s">
        <v>26604</v>
      </c>
      <c r="V5029" t="s">
        <v>26609</v>
      </c>
      <c r="W5029" t="s">
        <v>735</v>
      </c>
      <c r="X5029">
        <v>223</v>
      </c>
      <c r="Y5029" t="s">
        <v>26653</v>
      </c>
      <c r="Z5029" t="s">
        <v>26664</v>
      </c>
      <c r="AB5029" t="s">
        <v>30785</v>
      </c>
      <c r="AD5029" t="s">
        <v>41005</v>
      </c>
      <c r="AE5029">
        <v>84</v>
      </c>
      <c r="AF5029" t="s">
        <v>45549</v>
      </c>
      <c r="AG5029" t="s">
        <v>19330</v>
      </c>
      <c r="AH5029">
        <v>4</v>
      </c>
      <c r="AI5029">
        <v>1</v>
      </c>
      <c r="AJ5029">
        <v>0</v>
      </c>
      <c r="AK5029">
        <v>57.65</v>
      </c>
      <c r="AN5029" t="s">
        <v>7439</v>
      </c>
      <c r="AO5029">
        <v>7200</v>
      </c>
      <c r="AU5029">
        <v>0.2</v>
      </c>
      <c r="AV5029" t="s">
        <v>779</v>
      </c>
      <c r="AW5029" t="s">
        <v>161</v>
      </c>
    </row>
    <row r="5030" spans="1:50">
      <c r="A5030" s="1">
        <f>HYPERLINK("https://lsnyc.legalserver.org/matter/dynamic-profile/view/1890025","19-1890025")</f>
        <v>0</v>
      </c>
      <c r="B5030" t="s">
        <v>152</v>
      </c>
      <c r="C5030" t="s">
        <v>340</v>
      </c>
      <c r="D5030" t="s">
        <v>735</v>
      </c>
      <c r="F5030" t="s">
        <v>1021</v>
      </c>
      <c r="G5030" t="s">
        <v>5858</v>
      </c>
      <c r="H5030" t="s">
        <v>10141</v>
      </c>
      <c r="I5030">
        <v>402</v>
      </c>
      <c r="J5030" t="s">
        <v>18892</v>
      </c>
      <c r="K5030">
        <v>10457</v>
      </c>
      <c r="L5030" t="s">
        <v>18958</v>
      </c>
      <c r="M5030" t="s">
        <v>18958</v>
      </c>
      <c r="O5030" t="s">
        <v>26529</v>
      </c>
      <c r="P5030" t="s">
        <v>26564</v>
      </c>
      <c r="R5030" t="s">
        <v>26578</v>
      </c>
      <c r="U5030" t="s">
        <v>26604</v>
      </c>
      <c r="W5030" t="s">
        <v>735</v>
      </c>
      <c r="X5030">
        <v>400</v>
      </c>
      <c r="Y5030" t="s">
        <v>26650</v>
      </c>
      <c r="AB5030" t="s">
        <v>29113</v>
      </c>
      <c r="AD5030" t="s">
        <v>41006</v>
      </c>
      <c r="AE5030">
        <v>0</v>
      </c>
      <c r="AH5030">
        <v>12</v>
      </c>
      <c r="AI5030">
        <v>2</v>
      </c>
      <c r="AJ5030">
        <v>0</v>
      </c>
      <c r="AK5030">
        <v>0</v>
      </c>
      <c r="AN5030" t="s">
        <v>7439</v>
      </c>
      <c r="AO5030">
        <v>0</v>
      </c>
      <c r="AU5030">
        <v>0</v>
      </c>
      <c r="AW5030" t="s">
        <v>302</v>
      </c>
    </row>
    <row r="5031" spans="1:50">
      <c r="A5031" s="1">
        <f>HYPERLINK("https://lsnyc.legalserver.org/matter/dynamic-profile/view/1889619","19-1889619")</f>
        <v>0</v>
      </c>
      <c r="B5031" t="s">
        <v>141</v>
      </c>
      <c r="C5031" t="s">
        <v>340</v>
      </c>
      <c r="D5031" t="s">
        <v>735</v>
      </c>
      <c r="F5031" t="s">
        <v>964</v>
      </c>
      <c r="G5031" t="s">
        <v>3688</v>
      </c>
      <c r="H5031" t="s">
        <v>13426</v>
      </c>
      <c r="J5031" t="s">
        <v>18901</v>
      </c>
      <c r="K5031">
        <v>11434</v>
      </c>
      <c r="L5031" t="s">
        <v>18958</v>
      </c>
      <c r="M5031" t="s">
        <v>18958</v>
      </c>
      <c r="N5031" t="s">
        <v>22728</v>
      </c>
      <c r="O5031" t="s">
        <v>26524</v>
      </c>
      <c r="P5031" t="s">
        <v>26560</v>
      </c>
      <c r="R5031" t="s">
        <v>26585</v>
      </c>
      <c r="S5031" t="s">
        <v>18959</v>
      </c>
      <c r="U5031" t="s">
        <v>26604</v>
      </c>
      <c r="V5031" t="s">
        <v>26610</v>
      </c>
      <c r="W5031" t="s">
        <v>735</v>
      </c>
      <c r="X5031">
        <v>1100</v>
      </c>
      <c r="Y5031" t="s">
        <v>26653</v>
      </c>
      <c r="Z5031" t="s">
        <v>26664</v>
      </c>
      <c r="AB5031" t="s">
        <v>30786</v>
      </c>
      <c r="AD5031" t="s">
        <v>41007</v>
      </c>
      <c r="AE5031">
        <v>2</v>
      </c>
      <c r="AF5031" t="s">
        <v>45547</v>
      </c>
      <c r="AG5031" t="s">
        <v>19330</v>
      </c>
      <c r="AH5031">
        <v>7</v>
      </c>
      <c r="AI5031">
        <v>2</v>
      </c>
      <c r="AJ5031">
        <v>3</v>
      </c>
      <c r="AK5031">
        <v>165.73</v>
      </c>
      <c r="AN5031" t="s">
        <v>7439</v>
      </c>
      <c r="AO5031">
        <v>50000</v>
      </c>
      <c r="AQ5031" t="s">
        <v>46362</v>
      </c>
      <c r="AR5031" t="s">
        <v>26530</v>
      </c>
      <c r="AS5031" t="s">
        <v>46500</v>
      </c>
      <c r="AT5031" t="s">
        <v>46723</v>
      </c>
      <c r="AU5031">
        <v>10.2</v>
      </c>
      <c r="AV5031" t="s">
        <v>720</v>
      </c>
      <c r="AW5031" t="s">
        <v>161</v>
      </c>
      <c r="AX5031" t="s">
        <v>46897</v>
      </c>
    </row>
    <row r="5032" spans="1:50">
      <c r="A5032" s="1">
        <f>HYPERLINK("https://lsnyc.legalserver.org/matter/dynamic-profile/view/1890179","19-1890179")</f>
        <v>0</v>
      </c>
      <c r="B5032" t="s">
        <v>253</v>
      </c>
      <c r="C5032" t="s">
        <v>340</v>
      </c>
      <c r="D5032" t="s">
        <v>735</v>
      </c>
      <c r="F5032" t="s">
        <v>1594</v>
      </c>
      <c r="G5032" t="s">
        <v>5230</v>
      </c>
      <c r="H5032" t="s">
        <v>13427</v>
      </c>
      <c r="I5032" t="s">
        <v>17274</v>
      </c>
      <c r="J5032" t="s">
        <v>18892</v>
      </c>
      <c r="K5032">
        <v>10457</v>
      </c>
      <c r="L5032" t="s">
        <v>18958</v>
      </c>
      <c r="M5032" t="s">
        <v>18958</v>
      </c>
      <c r="N5032" t="s">
        <v>22729</v>
      </c>
      <c r="O5032" t="s">
        <v>26523</v>
      </c>
      <c r="P5032" t="s">
        <v>26560</v>
      </c>
      <c r="R5032" t="s">
        <v>26579</v>
      </c>
      <c r="S5032" t="s">
        <v>18959</v>
      </c>
      <c r="U5032" t="s">
        <v>26604</v>
      </c>
      <c r="V5032" t="s">
        <v>26610</v>
      </c>
      <c r="W5032" t="s">
        <v>735</v>
      </c>
      <c r="X5032">
        <v>1599</v>
      </c>
      <c r="Y5032" t="s">
        <v>26650</v>
      </c>
      <c r="Z5032" t="s">
        <v>26664</v>
      </c>
      <c r="AB5032" t="s">
        <v>30787</v>
      </c>
      <c r="AD5032" t="s">
        <v>41008</v>
      </c>
      <c r="AE5032">
        <v>0</v>
      </c>
      <c r="AF5032" t="s">
        <v>45541</v>
      </c>
      <c r="AG5032" t="s">
        <v>19330</v>
      </c>
      <c r="AH5032">
        <v>5</v>
      </c>
      <c r="AI5032">
        <v>1</v>
      </c>
      <c r="AJ5032">
        <v>1</v>
      </c>
      <c r="AK5032">
        <v>138.38</v>
      </c>
      <c r="AN5032" t="s">
        <v>7439</v>
      </c>
      <c r="AO5032">
        <v>23400</v>
      </c>
      <c r="AQ5032" t="s">
        <v>46359</v>
      </c>
      <c r="AR5032" t="s">
        <v>46489</v>
      </c>
      <c r="AS5032" t="s">
        <v>46499</v>
      </c>
      <c r="AT5032" t="s">
        <v>46790</v>
      </c>
      <c r="AU5032">
        <v>36.05</v>
      </c>
      <c r="AV5032" t="s">
        <v>833</v>
      </c>
      <c r="AW5032" t="s">
        <v>336</v>
      </c>
    </row>
    <row r="5033" spans="1:50">
      <c r="A5033" s="1">
        <f>HYPERLINK("https://lsnyc.legalserver.org/matter/dynamic-profile/view/1889512","19-1889512")</f>
        <v>0</v>
      </c>
      <c r="B5033" t="s">
        <v>65</v>
      </c>
      <c r="C5033" t="s">
        <v>340</v>
      </c>
      <c r="D5033" t="s">
        <v>735</v>
      </c>
      <c r="F5033" t="s">
        <v>1471</v>
      </c>
      <c r="G5033" t="s">
        <v>5079</v>
      </c>
      <c r="H5033" t="s">
        <v>13428</v>
      </c>
      <c r="I5033">
        <v>2</v>
      </c>
      <c r="J5033" t="s">
        <v>18892</v>
      </c>
      <c r="K5033">
        <v>10457</v>
      </c>
      <c r="L5033" t="s">
        <v>18958</v>
      </c>
      <c r="M5033" t="s">
        <v>18958</v>
      </c>
      <c r="N5033" t="s">
        <v>22730</v>
      </c>
      <c r="O5033" t="s">
        <v>26523</v>
      </c>
      <c r="P5033" t="s">
        <v>26560</v>
      </c>
      <c r="R5033" t="s">
        <v>26579</v>
      </c>
      <c r="U5033" t="s">
        <v>26604</v>
      </c>
      <c r="V5033" t="s">
        <v>26610</v>
      </c>
      <c r="W5033" t="s">
        <v>735</v>
      </c>
      <c r="X5033">
        <v>1956</v>
      </c>
      <c r="Y5033" t="s">
        <v>26650</v>
      </c>
      <c r="Z5033" t="s">
        <v>26664</v>
      </c>
      <c r="AB5033" t="s">
        <v>30788</v>
      </c>
      <c r="AC5033" t="s">
        <v>35904</v>
      </c>
      <c r="AD5033" t="s">
        <v>41009</v>
      </c>
      <c r="AE5033">
        <v>0</v>
      </c>
      <c r="AF5033" t="s">
        <v>45541</v>
      </c>
      <c r="AG5033" t="s">
        <v>45562</v>
      </c>
      <c r="AH5033">
        <v>0</v>
      </c>
      <c r="AI5033">
        <v>3</v>
      </c>
      <c r="AJ5033">
        <v>2</v>
      </c>
      <c r="AK5033">
        <v>52.22</v>
      </c>
      <c r="AN5033" t="s">
        <v>7439</v>
      </c>
      <c r="AO5033">
        <v>15755</v>
      </c>
      <c r="AQ5033" t="s">
        <v>46362</v>
      </c>
      <c r="AR5033" t="s">
        <v>46380</v>
      </c>
      <c r="AS5033" t="s">
        <v>46499</v>
      </c>
      <c r="AT5033" t="s">
        <v>46732</v>
      </c>
      <c r="AU5033">
        <v>8.6</v>
      </c>
      <c r="AV5033" t="s">
        <v>770</v>
      </c>
      <c r="AW5033" t="s">
        <v>334</v>
      </c>
    </row>
    <row r="5034" spans="1:50">
      <c r="A5034" s="1">
        <f>HYPERLINK("https://lsnyc.legalserver.org/matter/dynamic-profile/view/1889514","19-1889514")</f>
        <v>0</v>
      </c>
      <c r="B5034" t="s">
        <v>65</v>
      </c>
      <c r="C5034" t="s">
        <v>340</v>
      </c>
      <c r="D5034" t="s">
        <v>735</v>
      </c>
      <c r="F5034" t="s">
        <v>1191</v>
      </c>
      <c r="G5034" t="s">
        <v>1627</v>
      </c>
      <c r="H5034" t="s">
        <v>13429</v>
      </c>
      <c r="I5034" t="s">
        <v>18180</v>
      </c>
      <c r="J5034" t="s">
        <v>18892</v>
      </c>
      <c r="K5034">
        <v>10457</v>
      </c>
      <c r="L5034" t="s">
        <v>18958</v>
      </c>
      <c r="M5034" t="s">
        <v>18958</v>
      </c>
      <c r="N5034" t="s">
        <v>22731</v>
      </c>
      <c r="O5034" t="s">
        <v>26523</v>
      </c>
      <c r="P5034" t="s">
        <v>26560</v>
      </c>
      <c r="R5034" t="s">
        <v>26579</v>
      </c>
      <c r="U5034" t="s">
        <v>26604</v>
      </c>
      <c r="V5034" t="s">
        <v>26612</v>
      </c>
      <c r="W5034" t="s">
        <v>735</v>
      </c>
      <c r="X5034">
        <v>1152.62</v>
      </c>
      <c r="Y5034" t="s">
        <v>26650</v>
      </c>
      <c r="Z5034" t="s">
        <v>26664</v>
      </c>
      <c r="AB5034" t="s">
        <v>30789</v>
      </c>
      <c r="AD5034" t="s">
        <v>41010</v>
      </c>
      <c r="AE5034">
        <v>0</v>
      </c>
      <c r="AF5034" t="s">
        <v>45541</v>
      </c>
      <c r="AG5034" t="s">
        <v>19330</v>
      </c>
      <c r="AH5034">
        <v>5</v>
      </c>
      <c r="AI5034">
        <v>3</v>
      </c>
      <c r="AJ5034">
        <v>0</v>
      </c>
      <c r="AK5034">
        <v>379.75</v>
      </c>
      <c r="AL5034" t="s">
        <v>745</v>
      </c>
      <c r="AM5034" t="s">
        <v>45575</v>
      </c>
      <c r="AN5034" t="s">
        <v>7439</v>
      </c>
      <c r="AO5034">
        <v>81000</v>
      </c>
      <c r="AU5034">
        <v>18.9</v>
      </c>
      <c r="AV5034" t="s">
        <v>815</v>
      </c>
      <c r="AW5034" t="s">
        <v>334</v>
      </c>
    </row>
    <row r="5035" spans="1:50">
      <c r="A5035" s="1">
        <f>HYPERLINK("https://lsnyc.legalserver.org/matter/dynamic-profile/view/1889527","19-1889527")</f>
        <v>0</v>
      </c>
      <c r="B5035" t="s">
        <v>121</v>
      </c>
      <c r="C5035" t="s">
        <v>340</v>
      </c>
      <c r="D5035" t="s">
        <v>735</v>
      </c>
      <c r="F5035" t="s">
        <v>1161</v>
      </c>
      <c r="G5035" t="s">
        <v>7521</v>
      </c>
      <c r="H5035" t="s">
        <v>13430</v>
      </c>
      <c r="I5035" t="s">
        <v>17288</v>
      </c>
      <c r="J5035" t="s">
        <v>18892</v>
      </c>
      <c r="K5035">
        <v>10457</v>
      </c>
      <c r="L5035" t="s">
        <v>18958</v>
      </c>
      <c r="M5035" t="s">
        <v>18958</v>
      </c>
      <c r="N5035" t="s">
        <v>22732</v>
      </c>
      <c r="O5035" t="s">
        <v>26523</v>
      </c>
      <c r="P5035" t="s">
        <v>26560</v>
      </c>
      <c r="R5035" t="s">
        <v>26579</v>
      </c>
      <c r="U5035" t="s">
        <v>26604</v>
      </c>
      <c r="V5035" t="s">
        <v>26610</v>
      </c>
      <c r="W5035" t="s">
        <v>735</v>
      </c>
      <c r="X5035">
        <v>1120</v>
      </c>
      <c r="Y5035" t="s">
        <v>26650</v>
      </c>
      <c r="Z5035" t="s">
        <v>26664</v>
      </c>
      <c r="AB5035" t="s">
        <v>30790</v>
      </c>
      <c r="AC5035" t="s">
        <v>35905</v>
      </c>
      <c r="AD5035" t="s">
        <v>41011</v>
      </c>
      <c r="AE5035">
        <v>0</v>
      </c>
      <c r="AF5035" t="s">
        <v>45550</v>
      </c>
      <c r="AG5035" t="s">
        <v>19330</v>
      </c>
      <c r="AH5035">
        <v>3</v>
      </c>
      <c r="AI5035">
        <v>2</v>
      </c>
      <c r="AJ5035">
        <v>0</v>
      </c>
      <c r="AK5035">
        <v>92.25</v>
      </c>
      <c r="AN5035" t="s">
        <v>45581</v>
      </c>
      <c r="AO5035">
        <v>15600</v>
      </c>
      <c r="AU5035">
        <v>10.5</v>
      </c>
      <c r="AV5035" t="s">
        <v>797</v>
      </c>
      <c r="AW5035" t="s">
        <v>334</v>
      </c>
    </row>
    <row r="5036" spans="1:50">
      <c r="A5036" s="1">
        <f>HYPERLINK("https://lsnyc.legalserver.org/matter/dynamic-profile/view/1889513","19-1889513")</f>
        <v>0</v>
      </c>
      <c r="B5036" t="s">
        <v>275</v>
      </c>
      <c r="C5036" t="s">
        <v>340</v>
      </c>
      <c r="D5036" t="s">
        <v>735</v>
      </c>
      <c r="F5036" t="s">
        <v>893</v>
      </c>
      <c r="G5036" t="s">
        <v>6126</v>
      </c>
      <c r="H5036" t="s">
        <v>12166</v>
      </c>
      <c r="I5036" t="s">
        <v>17298</v>
      </c>
      <c r="J5036" t="s">
        <v>18892</v>
      </c>
      <c r="K5036">
        <v>10468</v>
      </c>
      <c r="L5036" t="s">
        <v>18958</v>
      </c>
      <c r="M5036" t="s">
        <v>18958</v>
      </c>
      <c r="N5036" t="s">
        <v>22733</v>
      </c>
      <c r="O5036" t="s">
        <v>26523</v>
      </c>
      <c r="P5036" t="s">
        <v>26560</v>
      </c>
      <c r="R5036" t="s">
        <v>26579</v>
      </c>
      <c r="S5036" t="s">
        <v>18959</v>
      </c>
      <c r="U5036" t="s">
        <v>26604</v>
      </c>
      <c r="V5036" t="s">
        <v>26610</v>
      </c>
      <c r="W5036" t="s">
        <v>735</v>
      </c>
      <c r="X5036">
        <v>1091.65</v>
      </c>
      <c r="Y5036" t="s">
        <v>26650</v>
      </c>
      <c r="Z5036" t="s">
        <v>26668</v>
      </c>
      <c r="AB5036" t="s">
        <v>30791</v>
      </c>
      <c r="AC5036" t="s">
        <v>35906</v>
      </c>
      <c r="AD5036" t="s">
        <v>41012</v>
      </c>
      <c r="AE5036">
        <v>36</v>
      </c>
      <c r="AF5036" t="s">
        <v>45541</v>
      </c>
      <c r="AG5036" t="s">
        <v>19330</v>
      </c>
      <c r="AH5036">
        <v>17</v>
      </c>
      <c r="AI5036">
        <v>1</v>
      </c>
      <c r="AJ5036">
        <v>2</v>
      </c>
      <c r="AK5036">
        <v>8.65</v>
      </c>
      <c r="AN5036" t="s">
        <v>7439</v>
      </c>
      <c r="AO5036">
        <v>1846</v>
      </c>
      <c r="AU5036">
        <v>77</v>
      </c>
      <c r="AV5036" t="s">
        <v>806</v>
      </c>
      <c r="AW5036" t="s">
        <v>46847</v>
      </c>
    </row>
    <row r="5037" spans="1:50">
      <c r="A5037" s="1">
        <f>HYPERLINK("https://lsnyc.legalserver.org/matter/dynamic-profile/view/1889612","19-1889612")</f>
        <v>0</v>
      </c>
      <c r="B5037" t="s">
        <v>125</v>
      </c>
      <c r="C5037" t="s">
        <v>340</v>
      </c>
      <c r="D5037" t="s">
        <v>735</v>
      </c>
      <c r="F5037" t="s">
        <v>3264</v>
      </c>
      <c r="G5037" t="s">
        <v>7522</v>
      </c>
      <c r="H5037" t="s">
        <v>13431</v>
      </c>
      <c r="I5037">
        <v>328</v>
      </c>
      <c r="J5037" t="s">
        <v>18894</v>
      </c>
      <c r="K5037">
        <v>11208</v>
      </c>
      <c r="L5037" t="s">
        <v>18958</v>
      </c>
      <c r="M5037" t="s">
        <v>18958</v>
      </c>
      <c r="N5037" t="s">
        <v>22734</v>
      </c>
      <c r="O5037" t="s">
        <v>26523</v>
      </c>
      <c r="P5037" t="s">
        <v>26564</v>
      </c>
      <c r="R5037" t="s">
        <v>26578</v>
      </c>
      <c r="S5037" t="s">
        <v>18959</v>
      </c>
      <c r="U5037" t="s">
        <v>26604</v>
      </c>
      <c r="V5037" t="s">
        <v>26610</v>
      </c>
      <c r="W5037" t="s">
        <v>735</v>
      </c>
      <c r="X5037">
        <v>1182</v>
      </c>
      <c r="Y5037" t="s">
        <v>26652</v>
      </c>
      <c r="AB5037" t="s">
        <v>30792</v>
      </c>
      <c r="AC5037" t="s">
        <v>34508</v>
      </c>
      <c r="AD5037" t="s">
        <v>41013</v>
      </c>
      <c r="AE5037">
        <v>266</v>
      </c>
      <c r="AF5037" t="s">
        <v>45541</v>
      </c>
      <c r="AH5037">
        <v>7</v>
      </c>
      <c r="AI5037">
        <v>1</v>
      </c>
      <c r="AJ5037">
        <v>1</v>
      </c>
      <c r="AK5037">
        <v>130.1</v>
      </c>
      <c r="AN5037" t="s">
        <v>7439</v>
      </c>
      <c r="AO5037">
        <v>22000</v>
      </c>
      <c r="AU5037">
        <v>1.75</v>
      </c>
      <c r="AV5037" t="s">
        <v>756</v>
      </c>
      <c r="AW5037" t="s">
        <v>125</v>
      </c>
      <c r="AX5037" t="s">
        <v>46897</v>
      </c>
    </row>
    <row r="5038" spans="1:50">
      <c r="A5038" s="1">
        <f>HYPERLINK("https://lsnyc.legalserver.org/matter/dynamic-profile/view/1889650","19-1889650")</f>
        <v>0</v>
      </c>
      <c r="B5038" t="s">
        <v>91</v>
      </c>
      <c r="C5038" t="s">
        <v>340</v>
      </c>
      <c r="D5038" t="s">
        <v>739</v>
      </c>
      <c r="F5038" t="s">
        <v>1056</v>
      </c>
      <c r="G5038" t="s">
        <v>7523</v>
      </c>
      <c r="H5038" t="s">
        <v>13432</v>
      </c>
      <c r="I5038" t="s">
        <v>18181</v>
      </c>
      <c r="J5038" t="s">
        <v>18901</v>
      </c>
      <c r="K5038">
        <v>11434</v>
      </c>
      <c r="L5038" t="s">
        <v>18958</v>
      </c>
      <c r="M5038" t="s">
        <v>18958</v>
      </c>
      <c r="N5038" t="s">
        <v>22735</v>
      </c>
      <c r="O5038" t="s">
        <v>26523</v>
      </c>
      <c r="P5038" t="s">
        <v>26560</v>
      </c>
      <c r="R5038" t="s">
        <v>26585</v>
      </c>
      <c r="S5038" t="s">
        <v>18959</v>
      </c>
      <c r="U5038" t="s">
        <v>26604</v>
      </c>
      <c r="V5038" t="s">
        <v>26610</v>
      </c>
      <c r="W5038" t="s">
        <v>735</v>
      </c>
      <c r="X5038">
        <v>1112</v>
      </c>
      <c r="Y5038" t="s">
        <v>26653</v>
      </c>
      <c r="Z5038" t="s">
        <v>26664</v>
      </c>
      <c r="AB5038" t="s">
        <v>30793</v>
      </c>
      <c r="AD5038" t="s">
        <v>41014</v>
      </c>
      <c r="AE5038">
        <v>293</v>
      </c>
      <c r="AF5038" t="s">
        <v>45550</v>
      </c>
      <c r="AG5038" t="s">
        <v>19330</v>
      </c>
      <c r="AH5038">
        <v>10</v>
      </c>
      <c r="AI5038">
        <v>1</v>
      </c>
      <c r="AJ5038">
        <v>0</v>
      </c>
      <c r="AK5038">
        <v>161.7</v>
      </c>
      <c r="AN5038" t="s">
        <v>7439</v>
      </c>
      <c r="AO5038">
        <v>20196</v>
      </c>
      <c r="AU5038">
        <v>2.75</v>
      </c>
      <c r="AV5038" t="s">
        <v>831</v>
      </c>
      <c r="AW5038" t="s">
        <v>161</v>
      </c>
    </row>
    <row r="5039" spans="1:50">
      <c r="A5039" s="1">
        <f>HYPERLINK("https://lsnyc.legalserver.org/matter/dynamic-profile/view/1889541","19-1889541")</f>
        <v>0</v>
      </c>
      <c r="B5039" t="s">
        <v>106</v>
      </c>
      <c r="C5039" t="s">
        <v>341</v>
      </c>
      <c r="D5039" t="s">
        <v>714</v>
      </c>
      <c r="E5039" t="s">
        <v>788</v>
      </c>
      <c r="F5039" t="s">
        <v>3265</v>
      </c>
      <c r="G5039" t="s">
        <v>7524</v>
      </c>
      <c r="H5039" t="s">
        <v>13433</v>
      </c>
      <c r="I5039" t="s">
        <v>17306</v>
      </c>
      <c r="J5039" t="s">
        <v>18894</v>
      </c>
      <c r="K5039">
        <v>11235</v>
      </c>
      <c r="L5039" t="s">
        <v>18958</v>
      </c>
      <c r="M5039" t="s">
        <v>18958</v>
      </c>
      <c r="N5039" t="s">
        <v>22736</v>
      </c>
      <c r="O5039" t="s">
        <v>26523</v>
      </c>
      <c r="P5039" t="s">
        <v>26565</v>
      </c>
      <c r="Q5039" t="s">
        <v>26571</v>
      </c>
      <c r="R5039" t="s">
        <v>26586</v>
      </c>
      <c r="S5039" t="s">
        <v>18959</v>
      </c>
      <c r="U5039" t="s">
        <v>26604</v>
      </c>
      <c r="V5039" t="s">
        <v>26610</v>
      </c>
      <c r="W5039" t="s">
        <v>735</v>
      </c>
      <c r="X5039">
        <v>2350</v>
      </c>
      <c r="Y5039" t="s">
        <v>26652</v>
      </c>
      <c r="Z5039" t="s">
        <v>26663</v>
      </c>
      <c r="AA5039" t="s">
        <v>26683</v>
      </c>
      <c r="AB5039" t="s">
        <v>30794</v>
      </c>
      <c r="AC5039" t="s">
        <v>35907</v>
      </c>
      <c r="AD5039" t="s">
        <v>41015</v>
      </c>
      <c r="AE5039">
        <v>6</v>
      </c>
      <c r="AF5039" t="s">
        <v>20460</v>
      </c>
      <c r="AG5039" t="s">
        <v>19330</v>
      </c>
      <c r="AH5039">
        <v>4</v>
      </c>
      <c r="AI5039">
        <v>1</v>
      </c>
      <c r="AJ5039">
        <v>2</v>
      </c>
      <c r="AK5039">
        <v>84.39</v>
      </c>
      <c r="AN5039" t="s">
        <v>7439</v>
      </c>
      <c r="AO5039">
        <v>18000</v>
      </c>
      <c r="AU5039">
        <v>7.1</v>
      </c>
      <c r="AV5039" t="s">
        <v>574</v>
      </c>
      <c r="AW5039" t="s">
        <v>46856</v>
      </c>
    </row>
    <row r="5040" spans="1:50">
      <c r="A5040" s="1">
        <f>HYPERLINK("https://lsnyc.legalserver.org/matter/dynamic-profile/view/1889769","19-1889769")</f>
        <v>0</v>
      </c>
      <c r="B5040" t="s">
        <v>174</v>
      </c>
      <c r="C5040" t="s">
        <v>340</v>
      </c>
      <c r="D5040" t="s">
        <v>714</v>
      </c>
      <c r="F5040" t="s">
        <v>1191</v>
      </c>
      <c r="G5040" t="s">
        <v>7525</v>
      </c>
      <c r="H5040" t="s">
        <v>13434</v>
      </c>
      <c r="I5040" t="s">
        <v>17885</v>
      </c>
      <c r="J5040" t="s">
        <v>18894</v>
      </c>
      <c r="K5040">
        <v>11212</v>
      </c>
      <c r="L5040" t="s">
        <v>18958</v>
      </c>
      <c r="M5040" t="s">
        <v>18958</v>
      </c>
      <c r="N5040" t="s">
        <v>22737</v>
      </c>
      <c r="O5040" t="s">
        <v>26523</v>
      </c>
      <c r="P5040" t="s">
        <v>26560</v>
      </c>
      <c r="R5040" t="s">
        <v>26578</v>
      </c>
      <c r="S5040" t="s">
        <v>18959</v>
      </c>
      <c r="U5040" t="s">
        <v>26604</v>
      </c>
      <c r="W5040" t="s">
        <v>735</v>
      </c>
      <c r="X5040">
        <v>1268</v>
      </c>
      <c r="Y5040" t="s">
        <v>26652</v>
      </c>
      <c r="Z5040" t="s">
        <v>26664</v>
      </c>
      <c r="AB5040" t="s">
        <v>28926</v>
      </c>
      <c r="AC5040" t="s">
        <v>35908</v>
      </c>
      <c r="AD5040" t="s">
        <v>41016</v>
      </c>
      <c r="AE5040">
        <v>31</v>
      </c>
      <c r="AF5040" t="s">
        <v>45541</v>
      </c>
      <c r="AG5040" t="s">
        <v>45562</v>
      </c>
      <c r="AH5040">
        <v>2</v>
      </c>
      <c r="AI5040">
        <v>2</v>
      </c>
      <c r="AJ5040">
        <v>0</v>
      </c>
      <c r="AK5040">
        <v>0</v>
      </c>
      <c r="AN5040" t="s">
        <v>7439</v>
      </c>
      <c r="AO5040">
        <v>0</v>
      </c>
      <c r="AU5040">
        <v>16.65</v>
      </c>
      <c r="AV5040" t="s">
        <v>729</v>
      </c>
      <c r="AW5040" t="s">
        <v>286</v>
      </c>
    </row>
    <row r="5041" spans="1:49">
      <c r="A5041" s="1">
        <f>HYPERLINK("https://lsnyc.legalserver.org/matter/dynamic-profile/view/1838414","17-1838414")</f>
        <v>0</v>
      </c>
      <c r="B5041" t="s">
        <v>86</v>
      </c>
      <c r="C5041" t="s">
        <v>341</v>
      </c>
      <c r="D5041" t="s">
        <v>742</v>
      </c>
      <c r="E5041" t="s">
        <v>657</v>
      </c>
      <c r="F5041" t="s">
        <v>1523</v>
      </c>
      <c r="G5041" t="s">
        <v>7526</v>
      </c>
      <c r="H5041" t="s">
        <v>13435</v>
      </c>
      <c r="I5041" t="s">
        <v>17274</v>
      </c>
      <c r="J5041" t="s">
        <v>18893</v>
      </c>
      <c r="K5041">
        <v>10039</v>
      </c>
      <c r="L5041" t="s">
        <v>18958</v>
      </c>
      <c r="M5041" t="s">
        <v>18960</v>
      </c>
      <c r="N5041" t="s">
        <v>22738</v>
      </c>
      <c r="O5041" t="s">
        <v>26524</v>
      </c>
      <c r="P5041" t="s">
        <v>26560</v>
      </c>
      <c r="Q5041" t="s">
        <v>26568</v>
      </c>
      <c r="R5041" t="s">
        <v>26582</v>
      </c>
      <c r="S5041" t="s">
        <v>18959</v>
      </c>
      <c r="U5041" t="s">
        <v>26604</v>
      </c>
      <c r="W5041" t="s">
        <v>739</v>
      </c>
      <c r="X5041">
        <v>1066.68</v>
      </c>
      <c r="Y5041" t="s">
        <v>26651</v>
      </c>
      <c r="Z5041" t="s">
        <v>26664</v>
      </c>
      <c r="AA5041" t="s">
        <v>26678</v>
      </c>
      <c r="AB5041" t="s">
        <v>30795</v>
      </c>
      <c r="AC5041" t="s">
        <v>35909</v>
      </c>
      <c r="AD5041" t="s">
        <v>41017</v>
      </c>
      <c r="AE5041">
        <v>0</v>
      </c>
      <c r="AF5041" t="s">
        <v>45541</v>
      </c>
      <c r="AH5041">
        <v>4</v>
      </c>
      <c r="AI5041">
        <v>1</v>
      </c>
      <c r="AJ5041">
        <v>0</v>
      </c>
      <c r="AK5041">
        <v>107.79</v>
      </c>
      <c r="AN5041" t="s">
        <v>7439</v>
      </c>
      <c r="AO5041">
        <v>13000</v>
      </c>
      <c r="AR5041" t="s">
        <v>46379</v>
      </c>
      <c r="AS5041" t="s">
        <v>46499</v>
      </c>
      <c r="AT5041" t="s">
        <v>46739</v>
      </c>
      <c r="AU5041">
        <v>55.53</v>
      </c>
      <c r="AV5041" t="s">
        <v>740</v>
      </c>
      <c r="AW5041" t="s">
        <v>46838</v>
      </c>
    </row>
    <row r="5042" spans="1:49">
      <c r="A5042" s="1">
        <f>HYPERLINK("https://lsnyc.legalserver.org/matter/dynamic-profile/view/1862966","18-1862966")</f>
        <v>0</v>
      </c>
      <c r="B5042" t="s">
        <v>171</v>
      </c>
      <c r="C5042" t="s">
        <v>341</v>
      </c>
      <c r="D5042" t="s">
        <v>430</v>
      </c>
      <c r="E5042" t="s">
        <v>754</v>
      </c>
      <c r="F5042" t="s">
        <v>3266</v>
      </c>
      <c r="G5042" t="s">
        <v>5515</v>
      </c>
      <c r="H5042" t="s">
        <v>13436</v>
      </c>
      <c r="I5042" t="s">
        <v>17446</v>
      </c>
      <c r="J5042" t="s">
        <v>18893</v>
      </c>
      <c r="K5042">
        <v>10031</v>
      </c>
      <c r="L5042" t="s">
        <v>18958</v>
      </c>
      <c r="M5042" t="s">
        <v>18958</v>
      </c>
      <c r="N5042" t="s">
        <v>22739</v>
      </c>
      <c r="O5042" t="s">
        <v>26524</v>
      </c>
      <c r="P5042" t="s">
        <v>26560</v>
      </c>
      <c r="Q5042" t="s">
        <v>26568</v>
      </c>
      <c r="R5042" t="s">
        <v>26580</v>
      </c>
      <c r="S5042" t="s">
        <v>18959</v>
      </c>
      <c r="U5042" t="s">
        <v>26604</v>
      </c>
      <c r="W5042" t="s">
        <v>739</v>
      </c>
      <c r="X5042">
        <v>400</v>
      </c>
      <c r="Y5042" t="s">
        <v>26651</v>
      </c>
      <c r="Z5042" t="s">
        <v>26656</v>
      </c>
      <c r="AA5042" t="s">
        <v>26678</v>
      </c>
      <c r="AB5042" t="s">
        <v>29642</v>
      </c>
      <c r="AC5042" t="s">
        <v>35910</v>
      </c>
      <c r="AD5042" t="s">
        <v>41018</v>
      </c>
      <c r="AE5042">
        <v>0</v>
      </c>
      <c r="AG5042" t="s">
        <v>19330</v>
      </c>
      <c r="AH5042">
        <v>8</v>
      </c>
      <c r="AI5042">
        <v>2</v>
      </c>
      <c r="AJ5042">
        <v>0</v>
      </c>
      <c r="AK5042">
        <v>138.71</v>
      </c>
      <c r="AN5042" t="s">
        <v>45581</v>
      </c>
      <c r="AO5042">
        <v>22832</v>
      </c>
      <c r="AS5042" t="s">
        <v>46499</v>
      </c>
      <c r="AT5042" t="s">
        <v>46703</v>
      </c>
      <c r="AU5042">
        <v>79.84999999999999</v>
      </c>
      <c r="AV5042" t="s">
        <v>718</v>
      </c>
      <c r="AW5042" t="s">
        <v>46845</v>
      </c>
    </row>
    <row r="5043" spans="1:49">
      <c r="A5043" s="1">
        <f>HYPERLINK("https://lsnyc.legalserver.org/matter/dynamic-profile/view/1871037","18-1871037")</f>
        <v>0</v>
      </c>
      <c r="B5043" t="s">
        <v>109</v>
      </c>
      <c r="C5043" t="s">
        <v>340</v>
      </c>
      <c r="D5043" t="s">
        <v>419</v>
      </c>
      <c r="F5043" t="s">
        <v>3267</v>
      </c>
      <c r="G5043" t="s">
        <v>5269</v>
      </c>
      <c r="H5043" t="s">
        <v>13031</v>
      </c>
      <c r="I5043" t="s">
        <v>17316</v>
      </c>
      <c r="J5043" t="s">
        <v>18902</v>
      </c>
      <c r="K5043">
        <v>10304</v>
      </c>
      <c r="L5043" t="s">
        <v>18958</v>
      </c>
      <c r="M5043" t="s">
        <v>18958</v>
      </c>
      <c r="N5043" t="s">
        <v>22740</v>
      </c>
      <c r="O5043" t="s">
        <v>26523</v>
      </c>
      <c r="P5043" t="s">
        <v>26560</v>
      </c>
      <c r="R5043" t="s">
        <v>26578</v>
      </c>
      <c r="S5043" t="s">
        <v>18959</v>
      </c>
      <c r="U5043" t="s">
        <v>26604</v>
      </c>
      <c r="V5043" t="s">
        <v>26610</v>
      </c>
      <c r="W5043" t="s">
        <v>739</v>
      </c>
      <c r="X5043">
        <v>772</v>
      </c>
      <c r="Y5043" t="s">
        <v>26654</v>
      </c>
      <c r="Z5043" t="s">
        <v>26668</v>
      </c>
      <c r="AB5043" t="s">
        <v>27354</v>
      </c>
      <c r="AD5043" t="s">
        <v>41019</v>
      </c>
      <c r="AE5043">
        <v>0</v>
      </c>
      <c r="AF5043" t="s">
        <v>45543</v>
      </c>
      <c r="AG5043" t="s">
        <v>45556</v>
      </c>
      <c r="AH5043">
        <v>0</v>
      </c>
      <c r="AI5043">
        <v>1</v>
      </c>
      <c r="AJ5043">
        <v>0</v>
      </c>
      <c r="AK5043">
        <v>117.79</v>
      </c>
      <c r="AN5043" t="s">
        <v>7439</v>
      </c>
      <c r="AO5043">
        <v>14300</v>
      </c>
      <c r="AQ5043" t="s">
        <v>46362</v>
      </c>
      <c r="AR5043" t="s">
        <v>46379</v>
      </c>
      <c r="AS5043" t="s">
        <v>46499</v>
      </c>
      <c r="AT5043" t="s">
        <v>46791</v>
      </c>
      <c r="AU5043">
        <v>6.75</v>
      </c>
      <c r="AV5043" t="s">
        <v>846</v>
      </c>
      <c r="AW5043" t="s">
        <v>46855</v>
      </c>
    </row>
    <row r="5044" spans="1:49">
      <c r="A5044" s="1">
        <f>HYPERLINK("https://lsnyc.legalserver.org/matter/dynamic-profile/view/1872897","18-1872897")</f>
        <v>0</v>
      </c>
      <c r="B5044" t="s">
        <v>271</v>
      </c>
      <c r="C5044" t="s">
        <v>340</v>
      </c>
      <c r="D5044" t="s">
        <v>436</v>
      </c>
      <c r="F5044" t="s">
        <v>1219</v>
      </c>
      <c r="G5044" t="s">
        <v>5651</v>
      </c>
      <c r="H5044" t="s">
        <v>13437</v>
      </c>
      <c r="I5044" t="s">
        <v>17290</v>
      </c>
      <c r="J5044" t="s">
        <v>18894</v>
      </c>
      <c r="K5044">
        <v>11219</v>
      </c>
      <c r="L5044" t="s">
        <v>18958</v>
      </c>
      <c r="M5044" t="s">
        <v>18958</v>
      </c>
      <c r="N5044" t="s">
        <v>22741</v>
      </c>
      <c r="O5044" t="s">
        <v>26523</v>
      </c>
      <c r="P5044" t="s">
        <v>26560</v>
      </c>
      <c r="R5044" t="s">
        <v>26586</v>
      </c>
      <c r="S5044" t="s">
        <v>18959</v>
      </c>
      <c r="U5044" t="s">
        <v>26604</v>
      </c>
      <c r="V5044" t="s">
        <v>26610</v>
      </c>
      <c r="W5044" t="s">
        <v>739</v>
      </c>
      <c r="X5044">
        <v>450</v>
      </c>
      <c r="Y5044" t="s">
        <v>26652</v>
      </c>
      <c r="Z5044" t="s">
        <v>26662</v>
      </c>
      <c r="AB5044" t="s">
        <v>30796</v>
      </c>
      <c r="AD5044" t="s">
        <v>41020</v>
      </c>
      <c r="AE5044">
        <v>46</v>
      </c>
      <c r="AF5044" t="s">
        <v>45541</v>
      </c>
      <c r="AG5044" t="s">
        <v>19330</v>
      </c>
      <c r="AH5044">
        <v>33</v>
      </c>
      <c r="AI5044">
        <v>1</v>
      </c>
      <c r="AJ5044">
        <v>0</v>
      </c>
      <c r="AK5044">
        <v>59.31</v>
      </c>
      <c r="AN5044" t="s">
        <v>7439</v>
      </c>
      <c r="AO5044">
        <v>7200</v>
      </c>
      <c r="AU5044">
        <v>76.3</v>
      </c>
      <c r="AV5044" t="s">
        <v>836</v>
      </c>
      <c r="AW5044" t="s">
        <v>281</v>
      </c>
    </row>
    <row r="5045" spans="1:49">
      <c r="A5045" s="1">
        <f>HYPERLINK("https://lsnyc.legalserver.org/matter/dynamic-profile/view/1872906","18-1872906")</f>
        <v>0</v>
      </c>
      <c r="B5045" t="s">
        <v>207</v>
      </c>
      <c r="C5045" t="s">
        <v>340</v>
      </c>
      <c r="D5045" t="s">
        <v>436</v>
      </c>
      <c r="F5045" t="s">
        <v>1251</v>
      </c>
      <c r="G5045" t="s">
        <v>7527</v>
      </c>
      <c r="H5045" t="s">
        <v>13438</v>
      </c>
      <c r="I5045">
        <v>11203</v>
      </c>
      <c r="J5045" t="s">
        <v>18894</v>
      </c>
      <c r="K5045">
        <v>11203</v>
      </c>
      <c r="L5045" t="s">
        <v>18958</v>
      </c>
      <c r="M5045" t="s">
        <v>18958</v>
      </c>
      <c r="N5045" t="s">
        <v>22742</v>
      </c>
      <c r="O5045" t="s">
        <v>26523</v>
      </c>
      <c r="P5045" t="s">
        <v>26560</v>
      </c>
      <c r="R5045" t="s">
        <v>26586</v>
      </c>
      <c r="S5045" t="s">
        <v>18959</v>
      </c>
      <c r="U5045" t="s">
        <v>26604</v>
      </c>
      <c r="W5045" t="s">
        <v>739</v>
      </c>
      <c r="X5045">
        <v>1956</v>
      </c>
      <c r="Y5045" t="s">
        <v>26652</v>
      </c>
      <c r="Z5045" t="s">
        <v>26662</v>
      </c>
      <c r="AB5045" t="s">
        <v>30797</v>
      </c>
      <c r="AD5045" t="s">
        <v>41021</v>
      </c>
      <c r="AE5045">
        <v>2</v>
      </c>
      <c r="AF5045" t="s">
        <v>45547</v>
      </c>
      <c r="AG5045" t="s">
        <v>45558</v>
      </c>
      <c r="AH5045">
        <v>1</v>
      </c>
      <c r="AI5045">
        <v>1</v>
      </c>
      <c r="AJ5045">
        <v>3</v>
      </c>
      <c r="AK5045">
        <v>22.95</v>
      </c>
      <c r="AN5045" t="s">
        <v>7439</v>
      </c>
      <c r="AO5045">
        <v>5760</v>
      </c>
      <c r="AU5045">
        <v>50.05</v>
      </c>
      <c r="AV5045" t="s">
        <v>826</v>
      </c>
      <c r="AW5045" t="s">
        <v>281</v>
      </c>
    </row>
    <row r="5046" spans="1:49">
      <c r="A5046" s="1">
        <f>HYPERLINK("https://lsnyc.legalserver.org/matter/dynamic-profile/view/1874933","18-1874933")</f>
        <v>0</v>
      </c>
      <c r="B5046" t="s">
        <v>202</v>
      </c>
      <c r="C5046" t="s">
        <v>341</v>
      </c>
      <c r="D5046" t="s">
        <v>477</v>
      </c>
      <c r="E5046" t="s">
        <v>723</v>
      </c>
      <c r="F5046" t="s">
        <v>2383</v>
      </c>
      <c r="G5046" t="s">
        <v>7528</v>
      </c>
      <c r="H5046" t="s">
        <v>13439</v>
      </c>
      <c r="I5046" t="s">
        <v>17275</v>
      </c>
      <c r="J5046" t="s">
        <v>18894</v>
      </c>
      <c r="K5046">
        <v>11203</v>
      </c>
      <c r="L5046" t="s">
        <v>18958</v>
      </c>
      <c r="M5046" t="s">
        <v>18958</v>
      </c>
      <c r="N5046" t="s">
        <v>22743</v>
      </c>
      <c r="O5046" t="s">
        <v>26523</v>
      </c>
      <c r="P5046" t="s">
        <v>26560</v>
      </c>
      <c r="Q5046" t="s">
        <v>26568</v>
      </c>
      <c r="R5046" t="s">
        <v>26586</v>
      </c>
      <c r="S5046" t="s">
        <v>18959</v>
      </c>
      <c r="U5046" t="s">
        <v>26604</v>
      </c>
      <c r="V5046" t="s">
        <v>26612</v>
      </c>
      <c r="W5046" t="s">
        <v>739</v>
      </c>
      <c r="X5046">
        <v>1164.38</v>
      </c>
      <c r="Y5046" t="s">
        <v>26652</v>
      </c>
      <c r="Z5046" t="s">
        <v>26664</v>
      </c>
      <c r="AA5046" t="s">
        <v>26678</v>
      </c>
      <c r="AB5046" t="s">
        <v>29151</v>
      </c>
      <c r="AD5046" t="s">
        <v>41022</v>
      </c>
      <c r="AE5046">
        <v>30</v>
      </c>
      <c r="AF5046" t="s">
        <v>45541</v>
      </c>
      <c r="AG5046" t="s">
        <v>45557</v>
      </c>
      <c r="AH5046">
        <v>-1</v>
      </c>
      <c r="AI5046">
        <v>1</v>
      </c>
      <c r="AJ5046">
        <v>2</v>
      </c>
      <c r="AK5046">
        <v>68.14</v>
      </c>
      <c r="AN5046" t="s">
        <v>7439</v>
      </c>
      <c r="AO5046">
        <v>14160</v>
      </c>
      <c r="AQ5046" t="s">
        <v>46366</v>
      </c>
      <c r="AR5046" t="s">
        <v>46380</v>
      </c>
      <c r="AS5046" t="s">
        <v>46499</v>
      </c>
      <c r="AT5046" t="s">
        <v>46666</v>
      </c>
      <c r="AU5046">
        <v>23.2</v>
      </c>
      <c r="AV5046" t="s">
        <v>723</v>
      </c>
      <c r="AW5046" t="s">
        <v>46862</v>
      </c>
    </row>
    <row r="5047" spans="1:49">
      <c r="A5047" s="1">
        <f>HYPERLINK("https://lsnyc.legalserver.org/matter/dynamic-profile/view/1875783","18-1875783")</f>
        <v>0</v>
      </c>
      <c r="B5047" t="s">
        <v>109</v>
      </c>
      <c r="C5047" t="s">
        <v>341</v>
      </c>
      <c r="D5047" t="s">
        <v>511</v>
      </c>
      <c r="E5047" t="s">
        <v>507</v>
      </c>
      <c r="F5047" t="s">
        <v>964</v>
      </c>
      <c r="G5047" t="s">
        <v>7529</v>
      </c>
      <c r="H5047" t="s">
        <v>13440</v>
      </c>
      <c r="I5047" t="s">
        <v>17374</v>
      </c>
      <c r="J5047" t="s">
        <v>18902</v>
      </c>
      <c r="K5047">
        <v>10312</v>
      </c>
      <c r="L5047" t="s">
        <v>18958</v>
      </c>
      <c r="M5047" t="s">
        <v>18958</v>
      </c>
      <c r="N5047" t="s">
        <v>22744</v>
      </c>
      <c r="O5047" t="s">
        <v>26524</v>
      </c>
      <c r="P5047" t="s">
        <v>26560</v>
      </c>
      <c r="Q5047" t="s">
        <v>26569</v>
      </c>
      <c r="R5047" t="s">
        <v>26587</v>
      </c>
      <c r="S5047" t="s">
        <v>18959</v>
      </c>
      <c r="U5047" t="s">
        <v>26604</v>
      </c>
      <c r="V5047" t="s">
        <v>26611</v>
      </c>
      <c r="W5047" t="s">
        <v>739</v>
      </c>
      <c r="X5047">
        <v>950</v>
      </c>
      <c r="Y5047" t="s">
        <v>26654</v>
      </c>
      <c r="Z5047" t="s">
        <v>26668</v>
      </c>
      <c r="AA5047" t="s">
        <v>26687</v>
      </c>
      <c r="AB5047" t="s">
        <v>30798</v>
      </c>
      <c r="AD5047" t="s">
        <v>41023</v>
      </c>
      <c r="AE5047">
        <v>2</v>
      </c>
      <c r="AF5047" t="s">
        <v>45547</v>
      </c>
      <c r="AH5047">
        <v>8</v>
      </c>
      <c r="AI5047">
        <v>2</v>
      </c>
      <c r="AJ5047">
        <v>0</v>
      </c>
      <c r="AK5047">
        <v>22.9</v>
      </c>
      <c r="AN5047" t="s">
        <v>7439</v>
      </c>
      <c r="AO5047">
        <v>3770</v>
      </c>
      <c r="AQ5047" t="s">
        <v>46365</v>
      </c>
      <c r="AR5047" t="s">
        <v>26530</v>
      </c>
      <c r="AS5047" t="s">
        <v>46502</v>
      </c>
      <c r="AT5047" t="s">
        <v>46768</v>
      </c>
      <c r="AU5047">
        <v>9.5</v>
      </c>
      <c r="AV5047" t="s">
        <v>507</v>
      </c>
      <c r="AW5047" t="s">
        <v>46855</v>
      </c>
    </row>
    <row r="5048" spans="1:49">
      <c r="A5048" s="1">
        <f>HYPERLINK("https://lsnyc.legalserver.org/matter/dynamic-profile/view/1877499","18-1877499")</f>
        <v>0</v>
      </c>
      <c r="B5048" t="s">
        <v>126</v>
      </c>
      <c r="C5048" t="s">
        <v>341</v>
      </c>
      <c r="D5048" t="s">
        <v>545</v>
      </c>
      <c r="E5048" t="s">
        <v>752</v>
      </c>
      <c r="F5048" t="s">
        <v>3268</v>
      </c>
      <c r="G5048" t="s">
        <v>6407</v>
      </c>
      <c r="H5048" t="s">
        <v>13441</v>
      </c>
      <c r="I5048">
        <v>2</v>
      </c>
      <c r="J5048" t="s">
        <v>18894</v>
      </c>
      <c r="K5048">
        <v>11207</v>
      </c>
      <c r="L5048" t="s">
        <v>18958</v>
      </c>
      <c r="M5048" t="s">
        <v>18958</v>
      </c>
      <c r="N5048" t="s">
        <v>22745</v>
      </c>
      <c r="O5048" t="s">
        <v>26524</v>
      </c>
      <c r="P5048" t="s">
        <v>26560</v>
      </c>
      <c r="Q5048" t="s">
        <v>26573</v>
      </c>
      <c r="R5048" t="s">
        <v>26578</v>
      </c>
      <c r="S5048" t="s">
        <v>18959</v>
      </c>
      <c r="U5048" t="s">
        <v>26604</v>
      </c>
      <c r="W5048" t="s">
        <v>739</v>
      </c>
      <c r="X5048">
        <v>1500</v>
      </c>
      <c r="Y5048" t="s">
        <v>26652</v>
      </c>
      <c r="Z5048" t="s">
        <v>26664</v>
      </c>
      <c r="AA5048" t="s">
        <v>26679</v>
      </c>
      <c r="AB5048" t="s">
        <v>30799</v>
      </c>
      <c r="AD5048" t="s">
        <v>41024</v>
      </c>
      <c r="AE5048">
        <v>5</v>
      </c>
      <c r="AG5048" t="s">
        <v>45556</v>
      </c>
      <c r="AH5048">
        <v>12</v>
      </c>
      <c r="AI5048">
        <v>1</v>
      </c>
      <c r="AJ5048">
        <v>1</v>
      </c>
      <c r="AK5048">
        <v>121.51</v>
      </c>
      <c r="AN5048" t="s">
        <v>45581</v>
      </c>
      <c r="AO5048">
        <v>20000</v>
      </c>
      <c r="AU5048">
        <v>16.15</v>
      </c>
      <c r="AV5048" t="s">
        <v>752</v>
      </c>
      <c r="AW5048" t="s">
        <v>281</v>
      </c>
    </row>
    <row r="5049" spans="1:49">
      <c r="A5049" s="1">
        <f>HYPERLINK("https://lsnyc.legalserver.org/matter/dynamic-profile/view/1877723","18-1877723")</f>
        <v>0</v>
      </c>
      <c r="B5049" t="s">
        <v>207</v>
      </c>
      <c r="C5049" t="s">
        <v>341</v>
      </c>
      <c r="D5049" t="s">
        <v>571</v>
      </c>
      <c r="E5049" t="s">
        <v>659</v>
      </c>
      <c r="F5049" t="s">
        <v>3016</v>
      </c>
      <c r="G5049" t="s">
        <v>5079</v>
      </c>
      <c r="H5049" t="s">
        <v>13442</v>
      </c>
      <c r="I5049" t="s">
        <v>17380</v>
      </c>
      <c r="J5049" t="s">
        <v>18894</v>
      </c>
      <c r="K5049">
        <v>11226</v>
      </c>
      <c r="L5049" t="s">
        <v>18958</v>
      </c>
      <c r="M5049" t="s">
        <v>18958</v>
      </c>
      <c r="N5049" t="s">
        <v>22746</v>
      </c>
      <c r="O5049" t="s">
        <v>26523</v>
      </c>
      <c r="P5049" t="s">
        <v>26563</v>
      </c>
      <c r="Q5049" t="s">
        <v>26573</v>
      </c>
      <c r="R5049" t="s">
        <v>26588</v>
      </c>
      <c r="S5049" t="s">
        <v>18959</v>
      </c>
      <c r="U5049" t="s">
        <v>26604</v>
      </c>
      <c r="W5049" t="s">
        <v>739</v>
      </c>
      <c r="X5049">
        <v>1840</v>
      </c>
      <c r="Y5049" t="s">
        <v>26652</v>
      </c>
      <c r="Z5049" t="s">
        <v>26664</v>
      </c>
      <c r="AA5049" t="s">
        <v>26678</v>
      </c>
      <c r="AB5049" t="s">
        <v>29804</v>
      </c>
      <c r="AD5049" t="s">
        <v>41025</v>
      </c>
      <c r="AE5049">
        <v>59</v>
      </c>
      <c r="AF5049" t="s">
        <v>45541</v>
      </c>
      <c r="AG5049" t="s">
        <v>19330</v>
      </c>
      <c r="AH5049">
        <v>10</v>
      </c>
      <c r="AI5049">
        <v>2</v>
      </c>
      <c r="AJ5049">
        <v>2</v>
      </c>
      <c r="AK5049">
        <v>111.55</v>
      </c>
      <c r="AN5049" t="s">
        <v>7439</v>
      </c>
      <c r="AO5049">
        <v>28000</v>
      </c>
      <c r="AS5049" t="s">
        <v>46499</v>
      </c>
      <c r="AT5049" t="s">
        <v>46677</v>
      </c>
      <c r="AU5049">
        <v>10.1</v>
      </c>
      <c r="AV5049" t="s">
        <v>659</v>
      </c>
      <c r="AW5049" t="s">
        <v>281</v>
      </c>
    </row>
    <row r="5050" spans="1:49">
      <c r="A5050" s="1">
        <f>HYPERLINK("https://lsnyc.legalserver.org/matter/dynamic-profile/view/1877734","18-1877734")</f>
        <v>0</v>
      </c>
      <c r="B5050" t="s">
        <v>106</v>
      </c>
      <c r="C5050" t="s">
        <v>340</v>
      </c>
      <c r="D5050" t="s">
        <v>571</v>
      </c>
      <c r="F5050" t="s">
        <v>1677</v>
      </c>
      <c r="G5050" t="s">
        <v>5762</v>
      </c>
      <c r="H5050" t="s">
        <v>10696</v>
      </c>
      <c r="I5050" t="s">
        <v>17430</v>
      </c>
      <c r="J5050" t="s">
        <v>18894</v>
      </c>
      <c r="K5050">
        <v>11221</v>
      </c>
      <c r="L5050" t="s">
        <v>18958</v>
      </c>
      <c r="M5050" t="s">
        <v>18958</v>
      </c>
      <c r="N5050" t="s">
        <v>22747</v>
      </c>
      <c r="O5050" t="s">
        <v>26524</v>
      </c>
      <c r="P5050" t="s">
        <v>26560</v>
      </c>
      <c r="R5050" t="s">
        <v>26588</v>
      </c>
      <c r="S5050" t="s">
        <v>18959</v>
      </c>
      <c r="U5050" t="s">
        <v>26604</v>
      </c>
      <c r="W5050" t="s">
        <v>739</v>
      </c>
      <c r="X5050">
        <v>800</v>
      </c>
      <c r="Y5050" t="s">
        <v>26652</v>
      </c>
      <c r="Z5050" t="s">
        <v>26669</v>
      </c>
      <c r="AB5050" t="s">
        <v>27838</v>
      </c>
      <c r="AD5050" t="s">
        <v>37889</v>
      </c>
      <c r="AE5050">
        <v>10</v>
      </c>
      <c r="AF5050" t="s">
        <v>45545</v>
      </c>
      <c r="AH5050">
        <v>8</v>
      </c>
      <c r="AI5050">
        <v>2</v>
      </c>
      <c r="AJ5050">
        <v>0</v>
      </c>
      <c r="AK5050">
        <v>246.66</v>
      </c>
      <c r="AL5050" t="s">
        <v>794</v>
      </c>
      <c r="AM5050" t="s">
        <v>45575</v>
      </c>
      <c r="AN5050" t="s">
        <v>7439</v>
      </c>
      <c r="AO5050">
        <v>40600</v>
      </c>
      <c r="AU5050">
        <v>35.7</v>
      </c>
      <c r="AV5050" t="s">
        <v>773</v>
      </c>
      <c r="AW5050" t="s">
        <v>106</v>
      </c>
    </row>
    <row r="5051" spans="1:49">
      <c r="A5051" s="1">
        <f>HYPERLINK("https://lsnyc.legalserver.org/matter/dynamic-profile/view/1878029","18-1878029")</f>
        <v>0</v>
      </c>
      <c r="B5051" t="s">
        <v>200</v>
      </c>
      <c r="C5051" t="s">
        <v>341</v>
      </c>
      <c r="D5051" t="s">
        <v>572</v>
      </c>
      <c r="E5051" t="s">
        <v>574</v>
      </c>
      <c r="F5051" t="s">
        <v>948</v>
      </c>
      <c r="G5051" t="s">
        <v>7059</v>
      </c>
      <c r="H5051" t="s">
        <v>9692</v>
      </c>
      <c r="I5051" t="s">
        <v>17553</v>
      </c>
      <c r="J5051" t="s">
        <v>18894</v>
      </c>
      <c r="K5051">
        <v>11233</v>
      </c>
      <c r="L5051" t="s">
        <v>18958</v>
      </c>
      <c r="M5051" t="s">
        <v>18958</v>
      </c>
      <c r="N5051" t="s">
        <v>22748</v>
      </c>
      <c r="O5051" t="s">
        <v>26523</v>
      </c>
      <c r="P5051" t="s">
        <v>26560</v>
      </c>
      <c r="Q5051" t="s">
        <v>26573</v>
      </c>
      <c r="R5051" t="s">
        <v>26578</v>
      </c>
      <c r="S5051" t="s">
        <v>18959</v>
      </c>
      <c r="U5051" t="s">
        <v>26604</v>
      </c>
      <c r="W5051" t="s">
        <v>739</v>
      </c>
      <c r="X5051">
        <v>955.08</v>
      </c>
      <c r="Y5051" t="s">
        <v>26652</v>
      </c>
      <c r="Z5051" t="s">
        <v>26655</v>
      </c>
      <c r="AA5051" t="s">
        <v>26678</v>
      </c>
      <c r="AB5051" t="s">
        <v>28688</v>
      </c>
      <c r="AC5051">
        <v>6004868123</v>
      </c>
      <c r="AD5051" t="s">
        <v>40039</v>
      </c>
      <c r="AE5051">
        <v>764</v>
      </c>
      <c r="AF5051" t="s">
        <v>45541</v>
      </c>
      <c r="AG5051" t="s">
        <v>19330</v>
      </c>
      <c r="AH5051">
        <v>16</v>
      </c>
      <c r="AI5051">
        <v>2</v>
      </c>
      <c r="AJ5051">
        <v>0</v>
      </c>
      <c r="AK5051">
        <v>83.37</v>
      </c>
      <c r="AN5051" t="s">
        <v>7439</v>
      </c>
      <c r="AO5051">
        <v>13722.36</v>
      </c>
      <c r="AU5051">
        <v>13.9</v>
      </c>
      <c r="AV5051" t="s">
        <v>760</v>
      </c>
      <c r="AW5051" t="s">
        <v>279</v>
      </c>
    </row>
    <row r="5052" spans="1:49">
      <c r="A5052" s="1">
        <f>HYPERLINK("https://lsnyc.legalserver.org/matter/dynamic-profile/view/1878450","18-1878450")</f>
        <v>0</v>
      </c>
      <c r="B5052" t="s">
        <v>242</v>
      </c>
      <c r="C5052" t="s">
        <v>340</v>
      </c>
      <c r="D5052" t="s">
        <v>589</v>
      </c>
      <c r="F5052" t="s">
        <v>1447</v>
      </c>
      <c r="G5052" t="s">
        <v>5078</v>
      </c>
      <c r="H5052" t="s">
        <v>13443</v>
      </c>
      <c r="I5052" t="s">
        <v>17417</v>
      </c>
      <c r="J5052" t="s">
        <v>18894</v>
      </c>
      <c r="K5052">
        <v>11213</v>
      </c>
      <c r="L5052" t="s">
        <v>18958</v>
      </c>
      <c r="M5052" t="s">
        <v>18958</v>
      </c>
      <c r="N5052" t="s">
        <v>22749</v>
      </c>
      <c r="O5052" t="s">
        <v>26524</v>
      </c>
      <c r="P5052" t="s">
        <v>26560</v>
      </c>
      <c r="R5052" t="s">
        <v>26586</v>
      </c>
      <c r="U5052" t="s">
        <v>26604</v>
      </c>
      <c r="W5052" t="s">
        <v>739</v>
      </c>
      <c r="X5052">
        <v>624.37</v>
      </c>
      <c r="Y5052" t="s">
        <v>26652</v>
      </c>
      <c r="Z5052" t="s">
        <v>26659</v>
      </c>
      <c r="AB5052" t="s">
        <v>30800</v>
      </c>
      <c r="AD5052" t="s">
        <v>41026</v>
      </c>
      <c r="AE5052">
        <v>20</v>
      </c>
      <c r="AF5052" t="s">
        <v>45542</v>
      </c>
      <c r="AH5052">
        <v>28</v>
      </c>
      <c r="AI5052">
        <v>1</v>
      </c>
      <c r="AJ5052">
        <v>0</v>
      </c>
      <c r="AK5052">
        <v>55.5</v>
      </c>
      <c r="AN5052" t="s">
        <v>7439</v>
      </c>
      <c r="AO5052">
        <v>6738</v>
      </c>
      <c r="AU5052">
        <v>52.9</v>
      </c>
      <c r="AV5052" t="s">
        <v>720</v>
      </c>
      <c r="AW5052" t="s">
        <v>46856</v>
      </c>
    </row>
    <row r="5053" spans="1:49">
      <c r="A5053" s="1">
        <f>HYPERLINK("https://lsnyc.legalserver.org/matter/dynamic-profile/view/1878993","18-1878993")</f>
        <v>0</v>
      </c>
      <c r="B5053" t="s">
        <v>101</v>
      </c>
      <c r="C5053" t="s">
        <v>340</v>
      </c>
      <c r="D5053" t="s">
        <v>540</v>
      </c>
      <c r="F5053" t="s">
        <v>964</v>
      </c>
      <c r="G5053" t="s">
        <v>7530</v>
      </c>
      <c r="H5053" t="s">
        <v>13444</v>
      </c>
      <c r="I5053" t="s">
        <v>17273</v>
      </c>
      <c r="J5053" t="s">
        <v>18894</v>
      </c>
      <c r="K5053">
        <v>11210</v>
      </c>
      <c r="L5053" t="s">
        <v>18958</v>
      </c>
      <c r="M5053" t="s">
        <v>18958</v>
      </c>
      <c r="N5053" t="s">
        <v>22750</v>
      </c>
      <c r="O5053" t="s">
        <v>26523</v>
      </c>
      <c r="P5053" t="s">
        <v>26560</v>
      </c>
      <c r="R5053" t="s">
        <v>26586</v>
      </c>
      <c r="U5053" t="s">
        <v>26604</v>
      </c>
      <c r="W5053" t="s">
        <v>739</v>
      </c>
      <c r="X5053">
        <v>1800</v>
      </c>
      <c r="Y5053" t="s">
        <v>26652</v>
      </c>
      <c r="Z5053" t="s">
        <v>26664</v>
      </c>
      <c r="AB5053" t="s">
        <v>30801</v>
      </c>
      <c r="AD5053" t="s">
        <v>41027</v>
      </c>
      <c r="AE5053">
        <v>0</v>
      </c>
      <c r="AH5053">
        <v>15</v>
      </c>
      <c r="AI5053">
        <v>2</v>
      </c>
      <c r="AJ5053">
        <v>2</v>
      </c>
      <c r="AK5053">
        <v>0</v>
      </c>
      <c r="AN5053" t="s">
        <v>7439</v>
      </c>
      <c r="AO5053">
        <v>0</v>
      </c>
      <c r="AU5053">
        <v>15.7</v>
      </c>
      <c r="AV5053" t="s">
        <v>827</v>
      </c>
      <c r="AW5053" t="s">
        <v>281</v>
      </c>
    </row>
    <row r="5054" spans="1:49">
      <c r="A5054" s="1">
        <f>HYPERLINK("https://lsnyc.legalserver.org/matter/dynamic-profile/view/1879343","18-1879343")</f>
        <v>0</v>
      </c>
      <c r="B5054" t="s">
        <v>171</v>
      </c>
      <c r="C5054" t="s">
        <v>341</v>
      </c>
      <c r="D5054" t="s">
        <v>575</v>
      </c>
      <c r="E5054" t="s">
        <v>416</v>
      </c>
      <c r="F5054" t="s">
        <v>3269</v>
      </c>
      <c r="G5054" t="s">
        <v>5495</v>
      </c>
      <c r="H5054" t="s">
        <v>13445</v>
      </c>
      <c r="I5054" t="s">
        <v>17293</v>
      </c>
      <c r="J5054" t="s">
        <v>18893</v>
      </c>
      <c r="K5054">
        <v>10002</v>
      </c>
      <c r="L5054" t="s">
        <v>18958</v>
      </c>
      <c r="M5054" t="s">
        <v>18958</v>
      </c>
      <c r="N5054" t="s">
        <v>22751</v>
      </c>
      <c r="O5054" t="s">
        <v>26524</v>
      </c>
      <c r="P5054" t="s">
        <v>26564</v>
      </c>
      <c r="Q5054" t="s">
        <v>26570</v>
      </c>
      <c r="R5054" t="s">
        <v>26582</v>
      </c>
      <c r="U5054" t="s">
        <v>26604</v>
      </c>
      <c r="V5054" t="s">
        <v>26610</v>
      </c>
      <c r="W5054" t="s">
        <v>739</v>
      </c>
      <c r="X5054">
        <v>1172.15</v>
      </c>
      <c r="Y5054" t="s">
        <v>26651</v>
      </c>
      <c r="Z5054" t="s">
        <v>26667</v>
      </c>
      <c r="AA5054" t="s">
        <v>26683</v>
      </c>
      <c r="AB5054" t="s">
        <v>27617</v>
      </c>
      <c r="AD5054" t="s">
        <v>41028</v>
      </c>
      <c r="AE5054">
        <v>0</v>
      </c>
      <c r="AF5054" t="s">
        <v>45541</v>
      </c>
      <c r="AG5054" t="s">
        <v>19330</v>
      </c>
      <c r="AH5054">
        <v>7</v>
      </c>
      <c r="AI5054">
        <v>2</v>
      </c>
      <c r="AJ5054">
        <v>0</v>
      </c>
      <c r="AK5054">
        <v>151.88</v>
      </c>
      <c r="AN5054" t="s">
        <v>45593</v>
      </c>
      <c r="AO5054">
        <v>25000</v>
      </c>
      <c r="AU5054">
        <v>0.4</v>
      </c>
      <c r="AV5054" t="s">
        <v>412</v>
      </c>
      <c r="AW5054" t="s">
        <v>314</v>
      </c>
    </row>
    <row r="5055" spans="1:49">
      <c r="A5055" s="1">
        <f>HYPERLINK("https://lsnyc.legalserver.org/matter/dynamic-profile/view/1879864","18-1879864")</f>
        <v>0</v>
      </c>
      <c r="B5055" t="s">
        <v>117</v>
      </c>
      <c r="C5055" t="s">
        <v>340</v>
      </c>
      <c r="D5055" t="s">
        <v>412</v>
      </c>
      <c r="F5055" t="s">
        <v>3270</v>
      </c>
      <c r="G5055" t="s">
        <v>5086</v>
      </c>
      <c r="H5055" t="s">
        <v>13446</v>
      </c>
      <c r="I5055" t="s">
        <v>17354</v>
      </c>
      <c r="J5055" t="s">
        <v>18894</v>
      </c>
      <c r="K5055">
        <v>11212</v>
      </c>
      <c r="L5055" t="s">
        <v>18958</v>
      </c>
      <c r="M5055" t="s">
        <v>18958</v>
      </c>
      <c r="N5055" t="s">
        <v>22752</v>
      </c>
      <c r="O5055" t="s">
        <v>26523</v>
      </c>
      <c r="P5055" t="s">
        <v>26560</v>
      </c>
      <c r="R5055" t="s">
        <v>26578</v>
      </c>
      <c r="U5055" t="s">
        <v>26604</v>
      </c>
      <c r="V5055" t="s">
        <v>26610</v>
      </c>
      <c r="W5055" t="s">
        <v>739</v>
      </c>
      <c r="X5055">
        <v>2100</v>
      </c>
      <c r="Y5055" t="s">
        <v>26652</v>
      </c>
      <c r="Z5055" t="s">
        <v>26664</v>
      </c>
      <c r="AB5055" t="s">
        <v>30231</v>
      </c>
      <c r="AC5055" t="s">
        <v>35911</v>
      </c>
      <c r="AD5055" t="s">
        <v>41029</v>
      </c>
      <c r="AE5055">
        <v>6</v>
      </c>
      <c r="AF5055" t="s">
        <v>45543</v>
      </c>
      <c r="AG5055" t="s">
        <v>45556</v>
      </c>
      <c r="AH5055">
        <v>0</v>
      </c>
      <c r="AI5055">
        <v>1</v>
      </c>
      <c r="AJ5055">
        <v>0</v>
      </c>
      <c r="AK5055">
        <v>17.45</v>
      </c>
      <c r="AN5055" t="s">
        <v>7439</v>
      </c>
      <c r="AO5055">
        <v>2119</v>
      </c>
      <c r="AU5055">
        <v>7.3</v>
      </c>
      <c r="AV5055" t="s">
        <v>603</v>
      </c>
      <c r="AW5055" t="s">
        <v>46862</v>
      </c>
    </row>
    <row r="5056" spans="1:49">
      <c r="A5056" s="1">
        <f>HYPERLINK("https://lsnyc.legalserver.org/matter/dynamic-profile/view/1881696","18-1881696")</f>
        <v>0</v>
      </c>
      <c r="B5056" t="s">
        <v>125</v>
      </c>
      <c r="C5056" t="s">
        <v>340</v>
      </c>
      <c r="D5056" t="s">
        <v>641</v>
      </c>
      <c r="F5056" t="s">
        <v>3271</v>
      </c>
      <c r="G5056" t="s">
        <v>7290</v>
      </c>
      <c r="H5056" t="s">
        <v>13447</v>
      </c>
      <c r="I5056">
        <v>1</v>
      </c>
      <c r="J5056" t="s">
        <v>18894</v>
      </c>
      <c r="K5056">
        <v>11203</v>
      </c>
      <c r="L5056" t="s">
        <v>18958</v>
      </c>
      <c r="M5056" t="s">
        <v>18958</v>
      </c>
      <c r="N5056" t="s">
        <v>22753</v>
      </c>
      <c r="O5056" t="s">
        <v>26523</v>
      </c>
      <c r="P5056" t="s">
        <v>26560</v>
      </c>
      <c r="R5056" t="s">
        <v>26578</v>
      </c>
      <c r="U5056" t="s">
        <v>26604</v>
      </c>
      <c r="W5056" t="s">
        <v>739</v>
      </c>
      <c r="X5056">
        <v>1829</v>
      </c>
      <c r="Y5056" t="s">
        <v>26652</v>
      </c>
      <c r="Z5056" t="s">
        <v>26664</v>
      </c>
      <c r="AB5056" t="s">
        <v>30802</v>
      </c>
      <c r="AD5056" t="s">
        <v>41030</v>
      </c>
      <c r="AE5056">
        <v>0</v>
      </c>
      <c r="AG5056" t="s">
        <v>45556</v>
      </c>
      <c r="AH5056">
        <v>9</v>
      </c>
      <c r="AI5056">
        <v>3</v>
      </c>
      <c r="AJ5056">
        <v>0</v>
      </c>
      <c r="AK5056">
        <v>198.05</v>
      </c>
      <c r="AN5056" t="s">
        <v>7439</v>
      </c>
      <c r="AO5056">
        <v>41154.28</v>
      </c>
      <c r="AU5056">
        <v>10.75</v>
      </c>
      <c r="AV5056" t="s">
        <v>494</v>
      </c>
      <c r="AW5056" t="s">
        <v>46862</v>
      </c>
    </row>
    <row r="5057" spans="1:50">
      <c r="A5057" s="1">
        <f>HYPERLINK("https://lsnyc.legalserver.org/matter/dynamic-profile/view/1883028","18-1883028")</f>
        <v>0</v>
      </c>
      <c r="B5057" t="s">
        <v>101</v>
      </c>
      <c r="C5057" t="s">
        <v>340</v>
      </c>
      <c r="D5057" t="s">
        <v>651</v>
      </c>
      <c r="F5057" t="s">
        <v>1377</v>
      </c>
      <c r="G5057" t="s">
        <v>7165</v>
      </c>
      <c r="H5057" t="s">
        <v>13448</v>
      </c>
      <c r="I5057" t="s">
        <v>17638</v>
      </c>
      <c r="J5057" t="s">
        <v>18894</v>
      </c>
      <c r="K5057">
        <v>11206</v>
      </c>
      <c r="L5057" t="s">
        <v>18958</v>
      </c>
      <c r="M5057" t="s">
        <v>18958</v>
      </c>
      <c r="N5057" t="s">
        <v>22754</v>
      </c>
      <c r="O5057" t="s">
        <v>26525</v>
      </c>
      <c r="P5057" t="s">
        <v>26564</v>
      </c>
      <c r="R5057" t="s">
        <v>26586</v>
      </c>
      <c r="S5057" t="s">
        <v>18959</v>
      </c>
      <c r="U5057" t="s">
        <v>26605</v>
      </c>
      <c r="W5057" t="s">
        <v>739</v>
      </c>
      <c r="X5057">
        <v>428</v>
      </c>
      <c r="Y5057" t="s">
        <v>26652</v>
      </c>
      <c r="Z5057" t="s">
        <v>26659</v>
      </c>
      <c r="AB5057" t="s">
        <v>28942</v>
      </c>
      <c r="AC5057" t="s">
        <v>35912</v>
      </c>
      <c r="AD5057" t="s">
        <v>41031</v>
      </c>
      <c r="AE5057">
        <v>70</v>
      </c>
      <c r="AF5057" t="s">
        <v>45549</v>
      </c>
      <c r="AH5057">
        <v>40</v>
      </c>
      <c r="AI5057">
        <v>3</v>
      </c>
      <c r="AJ5057">
        <v>0</v>
      </c>
      <c r="AK5057">
        <v>0</v>
      </c>
      <c r="AN5057" t="s">
        <v>7439</v>
      </c>
      <c r="AO5057">
        <v>0</v>
      </c>
      <c r="AU5057">
        <v>2.6</v>
      </c>
      <c r="AV5057" t="s">
        <v>718</v>
      </c>
      <c r="AW5057" t="s">
        <v>46877</v>
      </c>
      <c r="AX5057" t="s">
        <v>46897</v>
      </c>
    </row>
    <row r="5058" spans="1:50">
      <c r="A5058" s="1">
        <f>HYPERLINK("https://lsnyc.legalserver.org/matter/dynamic-profile/view/1883170","18-1883170")</f>
        <v>0</v>
      </c>
      <c r="B5058" t="s">
        <v>101</v>
      </c>
      <c r="C5058" t="s">
        <v>340</v>
      </c>
      <c r="D5058" t="s">
        <v>525</v>
      </c>
      <c r="F5058" t="s">
        <v>1820</v>
      </c>
      <c r="G5058" t="s">
        <v>5396</v>
      </c>
      <c r="H5058" t="s">
        <v>13449</v>
      </c>
      <c r="I5058" t="s">
        <v>17377</v>
      </c>
      <c r="J5058" t="s">
        <v>18894</v>
      </c>
      <c r="K5058">
        <v>11216</v>
      </c>
      <c r="L5058" t="s">
        <v>18958</v>
      </c>
      <c r="M5058" t="s">
        <v>18958</v>
      </c>
      <c r="N5058" t="s">
        <v>22755</v>
      </c>
      <c r="O5058" t="s">
        <v>26523</v>
      </c>
      <c r="P5058" t="s">
        <v>26560</v>
      </c>
      <c r="R5058" t="s">
        <v>26588</v>
      </c>
      <c r="U5058" t="s">
        <v>26604</v>
      </c>
      <c r="W5058" t="s">
        <v>739</v>
      </c>
      <c r="X5058">
        <v>606</v>
      </c>
      <c r="Y5058" t="s">
        <v>26652</v>
      </c>
      <c r="Z5058" t="s">
        <v>26669</v>
      </c>
      <c r="AB5058" t="s">
        <v>30803</v>
      </c>
      <c r="AD5058" t="s">
        <v>41032</v>
      </c>
      <c r="AE5058">
        <v>8</v>
      </c>
      <c r="AG5058" t="s">
        <v>19330</v>
      </c>
      <c r="AH5058">
        <v>19</v>
      </c>
      <c r="AI5058">
        <v>1</v>
      </c>
      <c r="AJ5058">
        <v>0</v>
      </c>
      <c r="AK5058">
        <v>111.37</v>
      </c>
      <c r="AN5058" t="s">
        <v>7439</v>
      </c>
      <c r="AO5058">
        <v>13520</v>
      </c>
      <c r="AU5058">
        <v>20.4</v>
      </c>
      <c r="AV5058" t="s">
        <v>832</v>
      </c>
      <c r="AW5058" t="s">
        <v>281</v>
      </c>
    </row>
    <row r="5059" spans="1:50">
      <c r="A5059" s="1">
        <f>HYPERLINK("https://lsnyc.legalserver.org/matter/dynamic-profile/view/1883557","18-1883557")</f>
        <v>0</v>
      </c>
      <c r="B5059" t="s">
        <v>227</v>
      </c>
      <c r="C5059" t="s">
        <v>340</v>
      </c>
      <c r="D5059" t="s">
        <v>664</v>
      </c>
      <c r="F5059" t="s">
        <v>1116</v>
      </c>
      <c r="G5059" t="s">
        <v>7531</v>
      </c>
      <c r="H5059" t="s">
        <v>13450</v>
      </c>
      <c r="I5059" t="s">
        <v>17272</v>
      </c>
      <c r="J5059" t="s">
        <v>18894</v>
      </c>
      <c r="K5059">
        <v>11225</v>
      </c>
      <c r="L5059" t="s">
        <v>18958</v>
      </c>
      <c r="M5059" t="s">
        <v>18958</v>
      </c>
      <c r="N5059" t="s">
        <v>22756</v>
      </c>
      <c r="O5059" t="s">
        <v>26524</v>
      </c>
      <c r="P5059" t="s">
        <v>26560</v>
      </c>
      <c r="R5059" t="s">
        <v>26588</v>
      </c>
      <c r="S5059" t="s">
        <v>18959</v>
      </c>
      <c r="U5059" t="s">
        <v>26604</v>
      </c>
      <c r="W5059" t="s">
        <v>739</v>
      </c>
      <c r="X5059">
        <v>2200</v>
      </c>
      <c r="Y5059" t="s">
        <v>26652</v>
      </c>
      <c r="Z5059" t="s">
        <v>26669</v>
      </c>
      <c r="AB5059" t="s">
        <v>30804</v>
      </c>
      <c r="AD5059" t="s">
        <v>41033</v>
      </c>
      <c r="AE5059">
        <v>20</v>
      </c>
      <c r="AH5059">
        <v>4</v>
      </c>
      <c r="AI5059">
        <v>1</v>
      </c>
      <c r="AJ5059">
        <v>0</v>
      </c>
      <c r="AK5059">
        <v>118.62</v>
      </c>
      <c r="AN5059" t="s">
        <v>7439</v>
      </c>
      <c r="AO5059">
        <v>14400</v>
      </c>
      <c r="AP5059" t="s">
        <v>19037</v>
      </c>
      <c r="AU5059">
        <v>32.2</v>
      </c>
      <c r="AV5059" t="s">
        <v>805</v>
      </c>
      <c r="AW5059" t="s">
        <v>198</v>
      </c>
    </row>
    <row r="5060" spans="1:50">
      <c r="A5060" s="1">
        <f>HYPERLINK("https://lsnyc.legalserver.org/matter/dynamic-profile/view/1883694","18-1883694")</f>
        <v>0</v>
      </c>
      <c r="B5060" t="s">
        <v>86</v>
      </c>
      <c r="C5060" t="s">
        <v>341</v>
      </c>
      <c r="D5060" t="s">
        <v>665</v>
      </c>
      <c r="E5060" t="s">
        <v>660</v>
      </c>
      <c r="F5060" t="s">
        <v>3272</v>
      </c>
      <c r="G5060" t="s">
        <v>5147</v>
      </c>
      <c r="H5060" t="s">
        <v>13451</v>
      </c>
      <c r="I5060" t="s">
        <v>17274</v>
      </c>
      <c r="J5060" t="s">
        <v>18893</v>
      </c>
      <c r="K5060">
        <v>10027</v>
      </c>
      <c r="L5060" t="s">
        <v>18958</v>
      </c>
      <c r="M5060" t="s">
        <v>18958</v>
      </c>
      <c r="N5060" t="s">
        <v>22757</v>
      </c>
      <c r="O5060" t="s">
        <v>26523</v>
      </c>
      <c r="P5060" t="s">
        <v>26560</v>
      </c>
      <c r="Q5060" t="s">
        <v>26568</v>
      </c>
      <c r="R5060" t="s">
        <v>26580</v>
      </c>
      <c r="S5060" t="s">
        <v>18959</v>
      </c>
      <c r="U5060" t="s">
        <v>26604</v>
      </c>
      <c r="V5060" t="s">
        <v>26610</v>
      </c>
      <c r="W5060" t="s">
        <v>739</v>
      </c>
      <c r="X5060">
        <v>896.22</v>
      </c>
      <c r="Y5060" t="s">
        <v>26651</v>
      </c>
      <c r="Z5060" t="s">
        <v>26664</v>
      </c>
      <c r="AA5060" t="s">
        <v>26678</v>
      </c>
      <c r="AB5060" t="s">
        <v>30805</v>
      </c>
      <c r="AC5060" t="s">
        <v>35913</v>
      </c>
      <c r="AD5060" t="s">
        <v>41034</v>
      </c>
      <c r="AE5060">
        <v>0</v>
      </c>
      <c r="AF5060" t="s">
        <v>45541</v>
      </c>
      <c r="AG5060" t="s">
        <v>45556</v>
      </c>
      <c r="AH5060">
        <v>14</v>
      </c>
      <c r="AI5060">
        <v>2</v>
      </c>
      <c r="AJ5060">
        <v>2</v>
      </c>
      <c r="AK5060">
        <v>159.94</v>
      </c>
      <c r="AN5060" t="s">
        <v>7439</v>
      </c>
      <c r="AO5060">
        <v>40144.72</v>
      </c>
      <c r="AR5060" t="s">
        <v>46381</v>
      </c>
      <c r="AS5060" t="s">
        <v>46499</v>
      </c>
      <c r="AT5060" t="s">
        <v>46703</v>
      </c>
      <c r="AU5060">
        <v>4.5</v>
      </c>
      <c r="AV5060" t="s">
        <v>710</v>
      </c>
      <c r="AW5060" t="s">
        <v>46875</v>
      </c>
    </row>
    <row r="5061" spans="1:50">
      <c r="A5061" s="1">
        <f>HYPERLINK("https://lsnyc.legalserver.org/matter/dynamic-profile/view/1883701","18-1883701")</f>
        <v>0</v>
      </c>
      <c r="B5061" t="s">
        <v>200</v>
      </c>
      <c r="C5061" t="s">
        <v>340</v>
      </c>
      <c r="D5061" t="s">
        <v>665</v>
      </c>
      <c r="F5061" t="s">
        <v>939</v>
      </c>
      <c r="G5061" t="s">
        <v>5241</v>
      </c>
      <c r="H5061" t="s">
        <v>13452</v>
      </c>
      <c r="I5061" t="s">
        <v>17299</v>
      </c>
      <c r="J5061" t="s">
        <v>18894</v>
      </c>
      <c r="K5061">
        <v>11233</v>
      </c>
      <c r="L5061" t="s">
        <v>18958</v>
      </c>
      <c r="M5061" t="s">
        <v>18958</v>
      </c>
      <c r="N5061" t="s">
        <v>22758</v>
      </c>
      <c r="O5061" t="s">
        <v>26523</v>
      </c>
      <c r="P5061" t="s">
        <v>26560</v>
      </c>
      <c r="R5061" t="s">
        <v>26578</v>
      </c>
      <c r="S5061" t="s">
        <v>18959</v>
      </c>
      <c r="U5061" t="s">
        <v>26604</v>
      </c>
      <c r="V5061" t="s">
        <v>26610</v>
      </c>
      <c r="W5061" t="s">
        <v>739</v>
      </c>
      <c r="X5061">
        <v>1400</v>
      </c>
      <c r="Y5061" t="s">
        <v>26652</v>
      </c>
      <c r="Z5061" t="s">
        <v>26660</v>
      </c>
      <c r="AB5061" t="s">
        <v>30806</v>
      </c>
      <c r="AC5061" t="s">
        <v>35914</v>
      </c>
      <c r="AD5061" t="s">
        <v>41035</v>
      </c>
      <c r="AE5061">
        <v>44</v>
      </c>
      <c r="AF5061" t="s">
        <v>45543</v>
      </c>
      <c r="AG5061" t="s">
        <v>45556</v>
      </c>
      <c r="AH5061">
        <v>32</v>
      </c>
      <c r="AI5061">
        <v>1</v>
      </c>
      <c r="AJ5061">
        <v>0</v>
      </c>
      <c r="AK5061">
        <v>79.08</v>
      </c>
      <c r="AN5061" t="s">
        <v>7439</v>
      </c>
      <c r="AO5061">
        <v>9600</v>
      </c>
      <c r="AU5061">
        <v>6.4</v>
      </c>
      <c r="AV5061" t="s">
        <v>26637</v>
      </c>
      <c r="AW5061" t="s">
        <v>279</v>
      </c>
    </row>
    <row r="5062" spans="1:50">
      <c r="A5062" s="1">
        <f>HYPERLINK("https://lsnyc.legalserver.org/matter/dynamic-profile/view/1883833","18-1883833")</f>
        <v>0</v>
      </c>
      <c r="B5062" t="s">
        <v>200</v>
      </c>
      <c r="C5062" t="s">
        <v>340</v>
      </c>
      <c r="D5062" t="s">
        <v>669</v>
      </c>
      <c r="F5062" t="s">
        <v>3273</v>
      </c>
      <c r="G5062" t="s">
        <v>7532</v>
      </c>
      <c r="H5062" t="s">
        <v>13453</v>
      </c>
      <c r="I5062" t="s">
        <v>17374</v>
      </c>
      <c r="J5062" t="s">
        <v>18894</v>
      </c>
      <c r="K5062">
        <v>11208</v>
      </c>
      <c r="L5062" t="s">
        <v>18958</v>
      </c>
      <c r="M5062" t="s">
        <v>18958</v>
      </c>
      <c r="N5062" t="s">
        <v>22759</v>
      </c>
      <c r="O5062" t="s">
        <v>26524</v>
      </c>
      <c r="P5062" t="s">
        <v>26564</v>
      </c>
      <c r="R5062" t="s">
        <v>26578</v>
      </c>
      <c r="U5062" t="s">
        <v>26604</v>
      </c>
      <c r="W5062" t="s">
        <v>739</v>
      </c>
      <c r="X5062">
        <v>0</v>
      </c>
      <c r="Y5062" t="s">
        <v>26652</v>
      </c>
      <c r="Z5062" t="s">
        <v>26664</v>
      </c>
      <c r="AA5062" t="s">
        <v>26683</v>
      </c>
      <c r="AB5062" t="s">
        <v>30807</v>
      </c>
      <c r="AD5062" t="s">
        <v>41036</v>
      </c>
      <c r="AE5062">
        <v>2</v>
      </c>
      <c r="AG5062" t="s">
        <v>19330</v>
      </c>
      <c r="AH5062">
        <v>40</v>
      </c>
      <c r="AI5062">
        <v>3</v>
      </c>
      <c r="AJ5062">
        <v>0</v>
      </c>
      <c r="AK5062">
        <v>150.14</v>
      </c>
      <c r="AN5062" t="s">
        <v>7439</v>
      </c>
      <c r="AO5062">
        <v>31200</v>
      </c>
      <c r="AU5062">
        <v>4.6</v>
      </c>
      <c r="AV5062" t="s">
        <v>719</v>
      </c>
      <c r="AW5062" t="s">
        <v>46862</v>
      </c>
    </row>
    <row r="5063" spans="1:50">
      <c r="A5063" s="1">
        <f>HYPERLINK("https://lsnyc.legalserver.org/matter/dynamic-profile/view/1883791","18-1883791")</f>
        <v>0</v>
      </c>
      <c r="B5063" t="s">
        <v>101</v>
      </c>
      <c r="C5063" t="s">
        <v>340</v>
      </c>
      <c r="D5063" t="s">
        <v>669</v>
      </c>
      <c r="F5063" t="s">
        <v>3274</v>
      </c>
      <c r="G5063" t="s">
        <v>6958</v>
      </c>
      <c r="H5063" t="s">
        <v>13454</v>
      </c>
      <c r="I5063">
        <v>1</v>
      </c>
      <c r="J5063" t="s">
        <v>18894</v>
      </c>
      <c r="K5063">
        <v>11226</v>
      </c>
      <c r="L5063" t="s">
        <v>18958</v>
      </c>
      <c r="M5063" t="s">
        <v>18958</v>
      </c>
      <c r="N5063" t="s">
        <v>22760</v>
      </c>
      <c r="O5063" t="s">
        <v>26524</v>
      </c>
      <c r="P5063" t="s">
        <v>26560</v>
      </c>
      <c r="R5063" t="s">
        <v>26588</v>
      </c>
      <c r="U5063" t="s">
        <v>26604</v>
      </c>
      <c r="W5063" t="s">
        <v>739</v>
      </c>
      <c r="X5063">
        <v>1700</v>
      </c>
      <c r="Y5063" t="s">
        <v>26652</v>
      </c>
      <c r="Z5063" t="s">
        <v>26664</v>
      </c>
      <c r="AB5063" t="s">
        <v>30808</v>
      </c>
      <c r="AD5063" t="s">
        <v>41037</v>
      </c>
      <c r="AE5063">
        <v>2</v>
      </c>
      <c r="AH5063">
        <v>1</v>
      </c>
      <c r="AI5063">
        <v>3</v>
      </c>
      <c r="AJ5063">
        <v>1</v>
      </c>
      <c r="AK5063">
        <v>138.73</v>
      </c>
      <c r="AN5063" t="s">
        <v>7439</v>
      </c>
      <c r="AO5063">
        <v>34820</v>
      </c>
      <c r="AU5063">
        <v>66.5</v>
      </c>
      <c r="AV5063" t="s">
        <v>26643</v>
      </c>
      <c r="AW5063" t="s">
        <v>46862</v>
      </c>
      <c r="AX5063" t="s">
        <v>46897</v>
      </c>
    </row>
    <row r="5064" spans="1:50">
      <c r="A5064" s="1">
        <f>HYPERLINK("https://lsnyc.legalserver.org/matter/dynamic-profile/view/1884242","18-1884242")</f>
        <v>0</v>
      </c>
      <c r="B5064" t="s">
        <v>81</v>
      </c>
      <c r="C5064" t="s">
        <v>341</v>
      </c>
      <c r="D5064" t="s">
        <v>675</v>
      </c>
      <c r="E5064" t="s">
        <v>724</v>
      </c>
      <c r="F5064" t="s">
        <v>999</v>
      </c>
      <c r="G5064" t="s">
        <v>7533</v>
      </c>
      <c r="H5064" t="s">
        <v>11172</v>
      </c>
      <c r="I5064" t="s">
        <v>17283</v>
      </c>
      <c r="J5064" t="s">
        <v>18892</v>
      </c>
      <c r="K5064">
        <v>10457</v>
      </c>
      <c r="L5064" t="s">
        <v>18958</v>
      </c>
      <c r="M5064" t="s">
        <v>18958</v>
      </c>
      <c r="N5064" t="s">
        <v>22761</v>
      </c>
      <c r="O5064" t="s">
        <v>26523</v>
      </c>
      <c r="P5064" t="s">
        <v>26560</v>
      </c>
      <c r="Q5064" t="s">
        <v>26568</v>
      </c>
      <c r="R5064" t="s">
        <v>26579</v>
      </c>
      <c r="S5064" t="s">
        <v>18959</v>
      </c>
      <c r="U5064" t="s">
        <v>26604</v>
      </c>
      <c r="V5064" t="s">
        <v>26614</v>
      </c>
      <c r="W5064" t="s">
        <v>739</v>
      </c>
      <c r="X5064">
        <v>963</v>
      </c>
      <c r="Y5064" t="s">
        <v>26650</v>
      </c>
      <c r="Z5064" t="s">
        <v>26659</v>
      </c>
      <c r="AA5064" t="s">
        <v>26678</v>
      </c>
      <c r="AB5064" t="s">
        <v>30809</v>
      </c>
      <c r="AD5064" t="s">
        <v>41038</v>
      </c>
      <c r="AE5064">
        <v>29</v>
      </c>
      <c r="AF5064" t="s">
        <v>20460</v>
      </c>
      <c r="AG5064" t="s">
        <v>19330</v>
      </c>
      <c r="AH5064">
        <v>30</v>
      </c>
      <c r="AI5064">
        <v>3</v>
      </c>
      <c r="AJ5064">
        <v>0</v>
      </c>
      <c r="AK5064">
        <v>120.31</v>
      </c>
      <c r="AN5064" t="s">
        <v>45581</v>
      </c>
      <c r="AO5064">
        <v>25000</v>
      </c>
      <c r="AQ5064" t="s">
        <v>46365</v>
      </c>
      <c r="AR5064" t="s">
        <v>46379</v>
      </c>
      <c r="AS5064" t="s">
        <v>46499</v>
      </c>
      <c r="AT5064" t="s">
        <v>46666</v>
      </c>
      <c r="AU5064">
        <v>9.949999999999999</v>
      </c>
      <c r="AV5064" t="s">
        <v>757</v>
      </c>
      <c r="AW5064" t="s">
        <v>46831</v>
      </c>
      <c r="AX5064" t="s">
        <v>46897</v>
      </c>
    </row>
    <row r="5065" spans="1:50">
      <c r="A5065" s="1">
        <f>HYPERLINK("https://lsnyc.legalserver.org/matter/dynamic-profile/view/1884396","18-1884396")</f>
        <v>0</v>
      </c>
      <c r="B5065" t="s">
        <v>171</v>
      </c>
      <c r="C5065" t="s">
        <v>341</v>
      </c>
      <c r="D5065" t="s">
        <v>667</v>
      </c>
      <c r="E5065" t="s">
        <v>752</v>
      </c>
      <c r="F5065" t="s">
        <v>3275</v>
      </c>
      <c r="G5065" t="s">
        <v>7534</v>
      </c>
      <c r="H5065" t="s">
        <v>13455</v>
      </c>
      <c r="I5065" t="s">
        <v>18182</v>
      </c>
      <c r="J5065" t="s">
        <v>18893</v>
      </c>
      <c r="K5065">
        <v>10002</v>
      </c>
      <c r="L5065" t="s">
        <v>18958</v>
      </c>
      <c r="M5065" t="s">
        <v>18958</v>
      </c>
      <c r="N5065" t="s">
        <v>22762</v>
      </c>
      <c r="O5065" t="s">
        <v>26524</v>
      </c>
      <c r="P5065" t="s">
        <v>26560</v>
      </c>
      <c r="Q5065" t="s">
        <v>26568</v>
      </c>
      <c r="R5065" t="s">
        <v>26582</v>
      </c>
      <c r="S5065" t="s">
        <v>18959</v>
      </c>
      <c r="U5065" t="s">
        <v>26604</v>
      </c>
      <c r="W5065" t="s">
        <v>739</v>
      </c>
      <c r="X5065">
        <v>350</v>
      </c>
      <c r="Y5065" t="s">
        <v>26651</v>
      </c>
      <c r="Z5065" t="s">
        <v>26660</v>
      </c>
      <c r="AA5065" t="s">
        <v>26679</v>
      </c>
      <c r="AB5065" t="s">
        <v>30810</v>
      </c>
      <c r="AD5065" t="s">
        <v>41039</v>
      </c>
      <c r="AE5065">
        <v>0</v>
      </c>
      <c r="AF5065" t="s">
        <v>20460</v>
      </c>
      <c r="AG5065" t="s">
        <v>19330</v>
      </c>
      <c r="AH5065">
        <v>0</v>
      </c>
      <c r="AI5065">
        <v>2</v>
      </c>
      <c r="AJ5065">
        <v>0</v>
      </c>
      <c r="AK5065">
        <v>3.22</v>
      </c>
      <c r="AN5065" t="s">
        <v>20460</v>
      </c>
      <c r="AO5065">
        <v>530</v>
      </c>
      <c r="AS5065" t="s">
        <v>46500</v>
      </c>
      <c r="AT5065" t="s">
        <v>46686</v>
      </c>
      <c r="AU5065">
        <v>0.4</v>
      </c>
      <c r="AV5065" t="s">
        <v>757</v>
      </c>
      <c r="AW5065" t="s">
        <v>314</v>
      </c>
    </row>
    <row r="5066" spans="1:50">
      <c r="A5066" s="1">
        <f>HYPERLINK("https://lsnyc.legalserver.org/matter/dynamic-profile/view/1884415","18-1884415")</f>
        <v>0</v>
      </c>
      <c r="B5066" t="s">
        <v>171</v>
      </c>
      <c r="C5066" t="s">
        <v>341</v>
      </c>
      <c r="D5066" t="s">
        <v>667</v>
      </c>
      <c r="E5066" t="s">
        <v>657</v>
      </c>
      <c r="F5066" t="s">
        <v>3276</v>
      </c>
      <c r="G5066" t="s">
        <v>5154</v>
      </c>
      <c r="H5066" t="s">
        <v>13455</v>
      </c>
      <c r="I5066" t="s">
        <v>18182</v>
      </c>
      <c r="J5066" t="s">
        <v>18893</v>
      </c>
      <c r="K5066">
        <v>10002</v>
      </c>
      <c r="L5066" t="s">
        <v>18958</v>
      </c>
      <c r="M5066" t="s">
        <v>18958</v>
      </c>
      <c r="N5066" t="s">
        <v>22762</v>
      </c>
      <c r="O5066" t="s">
        <v>26524</v>
      </c>
      <c r="P5066" t="s">
        <v>26560</v>
      </c>
      <c r="Q5066" t="s">
        <v>26568</v>
      </c>
      <c r="R5066" t="s">
        <v>26582</v>
      </c>
      <c r="S5066" t="s">
        <v>18959</v>
      </c>
      <c r="U5066" t="s">
        <v>26604</v>
      </c>
      <c r="W5066" t="s">
        <v>739</v>
      </c>
      <c r="X5066">
        <v>350</v>
      </c>
      <c r="Y5066" t="s">
        <v>26651</v>
      </c>
      <c r="Z5066" t="s">
        <v>26660</v>
      </c>
      <c r="AA5066" t="s">
        <v>26679</v>
      </c>
      <c r="AB5066" t="s">
        <v>29426</v>
      </c>
      <c r="AE5066">
        <v>0</v>
      </c>
      <c r="AG5066" t="s">
        <v>19330</v>
      </c>
      <c r="AH5066">
        <v>0</v>
      </c>
      <c r="AI5066">
        <v>2</v>
      </c>
      <c r="AJ5066">
        <v>0</v>
      </c>
      <c r="AK5066">
        <v>38.64</v>
      </c>
      <c r="AN5066" t="s">
        <v>20460</v>
      </c>
      <c r="AO5066">
        <v>6360</v>
      </c>
      <c r="AS5066" t="s">
        <v>46500</v>
      </c>
      <c r="AT5066" t="s">
        <v>46535</v>
      </c>
      <c r="AU5066">
        <v>0.1</v>
      </c>
      <c r="AV5066" t="s">
        <v>759</v>
      </c>
      <c r="AW5066" t="s">
        <v>314</v>
      </c>
    </row>
    <row r="5067" spans="1:50">
      <c r="A5067" s="1">
        <f>HYPERLINK("https://lsnyc.legalserver.org/matter/dynamic-profile/view/1884789","18-1884789")</f>
        <v>0</v>
      </c>
      <c r="B5067" t="s">
        <v>165</v>
      </c>
      <c r="C5067" t="s">
        <v>341</v>
      </c>
      <c r="D5067" t="s">
        <v>682</v>
      </c>
      <c r="E5067" t="s">
        <v>752</v>
      </c>
      <c r="F5067" t="s">
        <v>2757</v>
      </c>
      <c r="G5067" t="s">
        <v>7535</v>
      </c>
      <c r="H5067" t="s">
        <v>12290</v>
      </c>
      <c r="I5067" t="s">
        <v>17316</v>
      </c>
      <c r="J5067" t="s">
        <v>18893</v>
      </c>
      <c r="K5067">
        <v>10027</v>
      </c>
      <c r="L5067" t="s">
        <v>18958</v>
      </c>
      <c r="M5067" t="s">
        <v>18958</v>
      </c>
      <c r="N5067" t="s">
        <v>22763</v>
      </c>
      <c r="O5067" t="s">
        <v>26523</v>
      </c>
      <c r="P5067" t="s">
        <v>26560</v>
      </c>
      <c r="Q5067" t="s">
        <v>26573</v>
      </c>
      <c r="R5067" t="s">
        <v>26580</v>
      </c>
      <c r="S5067" t="s">
        <v>18959</v>
      </c>
      <c r="U5067" t="s">
        <v>26604</v>
      </c>
      <c r="V5067" t="s">
        <v>26610</v>
      </c>
      <c r="W5067" t="s">
        <v>739</v>
      </c>
      <c r="X5067">
        <v>767.6900000000001</v>
      </c>
      <c r="Y5067" t="s">
        <v>26651</v>
      </c>
      <c r="Z5067" t="s">
        <v>26664</v>
      </c>
      <c r="AA5067" t="s">
        <v>26678</v>
      </c>
      <c r="AB5067" t="s">
        <v>30811</v>
      </c>
      <c r="AD5067" t="s">
        <v>41040</v>
      </c>
      <c r="AE5067">
        <v>0</v>
      </c>
      <c r="AF5067" t="s">
        <v>45541</v>
      </c>
      <c r="AG5067" t="s">
        <v>19330</v>
      </c>
      <c r="AH5067">
        <v>8</v>
      </c>
      <c r="AI5067">
        <v>1</v>
      </c>
      <c r="AJ5067">
        <v>0</v>
      </c>
      <c r="AK5067">
        <v>179.9</v>
      </c>
      <c r="AN5067" t="s">
        <v>7439</v>
      </c>
      <c r="AO5067">
        <v>21840</v>
      </c>
      <c r="AR5067" t="s">
        <v>46379</v>
      </c>
      <c r="AS5067" t="s">
        <v>46499</v>
      </c>
      <c r="AT5067" t="s">
        <v>46686</v>
      </c>
      <c r="AU5067">
        <v>6.3</v>
      </c>
      <c r="AV5067" t="s">
        <v>698</v>
      </c>
      <c r="AW5067" t="s">
        <v>314</v>
      </c>
    </row>
    <row r="5068" spans="1:50">
      <c r="A5068" s="1">
        <f>HYPERLINK("https://lsnyc.legalserver.org/matter/dynamic-profile/view/1884963","18-1884963")</f>
        <v>0</v>
      </c>
      <c r="B5068" t="s">
        <v>137</v>
      </c>
      <c r="C5068" t="s">
        <v>341</v>
      </c>
      <c r="D5068" t="s">
        <v>518</v>
      </c>
      <c r="E5068" t="s">
        <v>805</v>
      </c>
      <c r="F5068" t="s">
        <v>3277</v>
      </c>
      <c r="G5068" t="s">
        <v>7536</v>
      </c>
      <c r="H5068" t="s">
        <v>13456</v>
      </c>
      <c r="I5068" t="s">
        <v>17331</v>
      </c>
      <c r="J5068" t="s">
        <v>18892</v>
      </c>
      <c r="K5068">
        <v>10467</v>
      </c>
      <c r="L5068" t="s">
        <v>18958</v>
      </c>
      <c r="M5068" t="s">
        <v>18958</v>
      </c>
      <c r="N5068" t="s">
        <v>22764</v>
      </c>
      <c r="O5068" t="s">
        <v>26523</v>
      </c>
      <c r="P5068" t="s">
        <v>26560</v>
      </c>
      <c r="Q5068" t="s">
        <v>26568</v>
      </c>
      <c r="R5068" t="s">
        <v>26579</v>
      </c>
      <c r="S5068" t="s">
        <v>18959</v>
      </c>
      <c r="U5068" t="s">
        <v>26604</v>
      </c>
      <c r="V5068" t="s">
        <v>26609</v>
      </c>
      <c r="W5068" t="s">
        <v>739</v>
      </c>
      <c r="X5068">
        <v>1200</v>
      </c>
      <c r="Y5068" t="s">
        <v>26650</v>
      </c>
      <c r="Z5068" t="s">
        <v>26668</v>
      </c>
      <c r="AA5068" t="s">
        <v>26678</v>
      </c>
      <c r="AB5068" t="s">
        <v>30812</v>
      </c>
      <c r="AC5068" t="s">
        <v>35915</v>
      </c>
      <c r="AD5068" t="s">
        <v>41041</v>
      </c>
      <c r="AE5068">
        <v>4</v>
      </c>
      <c r="AF5068" t="s">
        <v>45547</v>
      </c>
      <c r="AG5068" t="s">
        <v>19330</v>
      </c>
      <c r="AH5068">
        <v>1</v>
      </c>
      <c r="AI5068">
        <v>2</v>
      </c>
      <c r="AJ5068">
        <v>0</v>
      </c>
      <c r="AK5068">
        <v>218.71</v>
      </c>
      <c r="AL5068" t="s">
        <v>787</v>
      </c>
      <c r="AM5068" t="s">
        <v>45575</v>
      </c>
      <c r="AN5068" t="s">
        <v>7439</v>
      </c>
      <c r="AO5068">
        <v>36000</v>
      </c>
      <c r="AP5068" t="s">
        <v>45641</v>
      </c>
      <c r="AR5068" t="s">
        <v>46380</v>
      </c>
      <c r="AS5068" t="s">
        <v>46499</v>
      </c>
      <c r="AT5068" t="s">
        <v>46663</v>
      </c>
      <c r="AU5068">
        <v>5.35</v>
      </c>
      <c r="AV5068" t="s">
        <v>709</v>
      </c>
      <c r="AW5068" t="s">
        <v>46847</v>
      </c>
      <c r="AX5068" t="s">
        <v>46897</v>
      </c>
    </row>
    <row r="5069" spans="1:50">
      <c r="A5069" s="1">
        <f>HYPERLINK("https://lsnyc.legalserver.org/matter/dynamic-profile/view/1885056","18-1885056")</f>
        <v>0</v>
      </c>
      <c r="B5069" t="s">
        <v>204</v>
      </c>
      <c r="C5069" t="s">
        <v>341</v>
      </c>
      <c r="D5069" t="s">
        <v>519</v>
      </c>
      <c r="E5069" t="s">
        <v>785</v>
      </c>
      <c r="F5069" t="s">
        <v>1235</v>
      </c>
      <c r="G5069" t="s">
        <v>6325</v>
      </c>
      <c r="H5069" t="s">
        <v>13457</v>
      </c>
      <c r="I5069" t="s">
        <v>17284</v>
      </c>
      <c r="J5069" t="s">
        <v>18894</v>
      </c>
      <c r="K5069">
        <v>11226</v>
      </c>
      <c r="L5069" t="s">
        <v>18958</v>
      </c>
      <c r="M5069" t="s">
        <v>18958</v>
      </c>
      <c r="N5069" t="s">
        <v>22765</v>
      </c>
      <c r="O5069" t="s">
        <v>26523</v>
      </c>
      <c r="P5069" t="s">
        <v>26563</v>
      </c>
      <c r="Q5069" t="s">
        <v>26573</v>
      </c>
      <c r="R5069" t="s">
        <v>26588</v>
      </c>
      <c r="U5069" t="s">
        <v>26604</v>
      </c>
      <c r="W5069" t="s">
        <v>739</v>
      </c>
      <c r="X5069">
        <v>1300</v>
      </c>
      <c r="Y5069" t="s">
        <v>26652</v>
      </c>
      <c r="Z5069" t="s">
        <v>26664</v>
      </c>
      <c r="AA5069" t="s">
        <v>26678</v>
      </c>
      <c r="AB5069" t="s">
        <v>30813</v>
      </c>
      <c r="AD5069" t="s">
        <v>41042</v>
      </c>
      <c r="AE5069">
        <v>16</v>
      </c>
      <c r="AH5069">
        <v>5</v>
      </c>
      <c r="AI5069">
        <v>1</v>
      </c>
      <c r="AJ5069">
        <v>1</v>
      </c>
      <c r="AK5069">
        <v>157.96</v>
      </c>
      <c r="AN5069" t="s">
        <v>7439</v>
      </c>
      <c r="AO5069">
        <v>26000</v>
      </c>
      <c r="AQ5069" t="s">
        <v>46365</v>
      </c>
      <c r="AR5069" t="s">
        <v>46379</v>
      </c>
      <c r="AS5069" t="s">
        <v>46499</v>
      </c>
      <c r="AT5069" t="s">
        <v>46677</v>
      </c>
      <c r="AU5069">
        <v>11.1</v>
      </c>
      <c r="AV5069" t="s">
        <v>659</v>
      </c>
      <c r="AW5069" t="s">
        <v>46862</v>
      </c>
    </row>
    <row r="5070" spans="1:50">
      <c r="A5070" s="1">
        <f>HYPERLINK("https://lsnyc.legalserver.org/matter/dynamic-profile/view/1885460","18-1885460")</f>
        <v>0</v>
      </c>
      <c r="B5070" t="s">
        <v>125</v>
      </c>
      <c r="C5070" t="s">
        <v>340</v>
      </c>
      <c r="D5070" t="s">
        <v>689</v>
      </c>
      <c r="F5070" t="s">
        <v>1300</v>
      </c>
      <c r="G5070" t="s">
        <v>4311</v>
      </c>
      <c r="H5070" t="s">
        <v>13458</v>
      </c>
      <c r="I5070" t="s">
        <v>17597</v>
      </c>
      <c r="J5070" t="s">
        <v>18894</v>
      </c>
      <c r="K5070">
        <v>11212</v>
      </c>
      <c r="L5070" t="s">
        <v>18958</v>
      </c>
      <c r="M5070" t="s">
        <v>18958</v>
      </c>
      <c r="N5070" t="s">
        <v>22766</v>
      </c>
      <c r="O5070" t="s">
        <v>26523</v>
      </c>
      <c r="P5070" t="s">
        <v>26560</v>
      </c>
      <c r="R5070" t="s">
        <v>26578</v>
      </c>
      <c r="S5070" t="s">
        <v>18959</v>
      </c>
      <c r="U5070" t="s">
        <v>26604</v>
      </c>
      <c r="W5070" t="s">
        <v>739</v>
      </c>
      <c r="X5070">
        <v>508</v>
      </c>
      <c r="Y5070" t="s">
        <v>26652</v>
      </c>
      <c r="Z5070" t="s">
        <v>26664</v>
      </c>
      <c r="AB5070" t="s">
        <v>30814</v>
      </c>
      <c r="AC5070" t="s">
        <v>35916</v>
      </c>
      <c r="AD5070" t="s">
        <v>41043</v>
      </c>
      <c r="AE5070">
        <v>23</v>
      </c>
      <c r="AH5070">
        <v>32</v>
      </c>
      <c r="AI5070">
        <v>1</v>
      </c>
      <c r="AJ5070">
        <v>1</v>
      </c>
      <c r="AK5070">
        <v>37.69</v>
      </c>
      <c r="AN5070" t="s">
        <v>7439</v>
      </c>
      <c r="AO5070">
        <v>6204</v>
      </c>
      <c r="AU5070">
        <v>11.25</v>
      </c>
      <c r="AV5070" t="s">
        <v>813</v>
      </c>
      <c r="AW5070" t="s">
        <v>46853</v>
      </c>
    </row>
    <row r="5071" spans="1:50">
      <c r="A5071" s="1">
        <f>HYPERLINK("https://lsnyc.legalserver.org/matter/dynamic-profile/view/1885822","18-1885822")</f>
        <v>0</v>
      </c>
      <c r="B5071" t="s">
        <v>167</v>
      </c>
      <c r="C5071" t="s">
        <v>340</v>
      </c>
      <c r="D5071" t="s">
        <v>688</v>
      </c>
      <c r="F5071" t="s">
        <v>3278</v>
      </c>
      <c r="G5071" t="s">
        <v>7537</v>
      </c>
      <c r="H5071" t="s">
        <v>11369</v>
      </c>
      <c r="I5071" t="s">
        <v>17306</v>
      </c>
      <c r="J5071" t="s">
        <v>18894</v>
      </c>
      <c r="K5071">
        <v>11226</v>
      </c>
      <c r="L5071" t="s">
        <v>18958</v>
      </c>
      <c r="M5071" t="s">
        <v>18958</v>
      </c>
      <c r="N5071" t="s">
        <v>22767</v>
      </c>
      <c r="O5071" t="s">
        <v>26524</v>
      </c>
      <c r="P5071" t="s">
        <v>26560</v>
      </c>
      <c r="R5071" t="s">
        <v>26588</v>
      </c>
      <c r="U5071" t="s">
        <v>26604</v>
      </c>
      <c r="W5071" t="s">
        <v>739</v>
      </c>
      <c r="X5071">
        <v>1200</v>
      </c>
      <c r="Y5071" t="s">
        <v>26652</v>
      </c>
      <c r="Z5071" t="s">
        <v>26664</v>
      </c>
      <c r="AB5071" t="s">
        <v>30815</v>
      </c>
      <c r="AD5071" t="s">
        <v>41044</v>
      </c>
      <c r="AE5071">
        <v>42</v>
      </c>
      <c r="AG5071" t="s">
        <v>19330</v>
      </c>
      <c r="AH5071">
        <v>10</v>
      </c>
      <c r="AI5071">
        <v>1</v>
      </c>
      <c r="AJ5071">
        <v>2</v>
      </c>
      <c r="AK5071">
        <v>75.06999999999999</v>
      </c>
      <c r="AN5071" t="s">
        <v>7439</v>
      </c>
      <c r="AO5071">
        <v>15600</v>
      </c>
      <c r="AU5071">
        <v>29.6</v>
      </c>
      <c r="AV5071" t="s">
        <v>754</v>
      </c>
      <c r="AW5071" t="s">
        <v>46862</v>
      </c>
    </row>
    <row r="5072" spans="1:50">
      <c r="A5072" s="1">
        <f>HYPERLINK("https://lsnyc.legalserver.org/matter/dynamic-profile/view/1885959","18-1885959")</f>
        <v>0</v>
      </c>
      <c r="B5072" t="s">
        <v>167</v>
      </c>
      <c r="C5072" t="s">
        <v>340</v>
      </c>
      <c r="D5072" t="s">
        <v>670</v>
      </c>
      <c r="F5072" t="s">
        <v>3004</v>
      </c>
      <c r="G5072" t="s">
        <v>4309</v>
      </c>
      <c r="H5072" t="s">
        <v>13459</v>
      </c>
      <c r="I5072" t="s">
        <v>17356</v>
      </c>
      <c r="J5072" t="s">
        <v>18894</v>
      </c>
      <c r="K5072">
        <v>11206</v>
      </c>
      <c r="L5072" t="s">
        <v>18958</v>
      </c>
      <c r="M5072" t="s">
        <v>18958</v>
      </c>
      <c r="N5072" t="s">
        <v>22768</v>
      </c>
      <c r="O5072" t="s">
        <v>26523</v>
      </c>
      <c r="P5072" t="s">
        <v>26560</v>
      </c>
      <c r="R5072" t="s">
        <v>26586</v>
      </c>
      <c r="S5072" t="s">
        <v>18959</v>
      </c>
      <c r="U5072" t="s">
        <v>26605</v>
      </c>
      <c r="W5072" t="s">
        <v>739</v>
      </c>
      <c r="X5072">
        <v>0</v>
      </c>
      <c r="Y5072" t="s">
        <v>26652</v>
      </c>
      <c r="Z5072" t="s">
        <v>26664</v>
      </c>
      <c r="AB5072" t="s">
        <v>27856</v>
      </c>
      <c r="AD5072" t="s">
        <v>41045</v>
      </c>
      <c r="AE5072">
        <v>100</v>
      </c>
      <c r="AH5072">
        <v>2</v>
      </c>
      <c r="AI5072">
        <v>1</v>
      </c>
      <c r="AJ5072">
        <v>0</v>
      </c>
      <c r="AK5072">
        <v>74.14</v>
      </c>
      <c r="AN5072" t="s">
        <v>7439</v>
      </c>
      <c r="AO5072">
        <v>9000</v>
      </c>
      <c r="AU5072">
        <v>8.75</v>
      </c>
      <c r="AV5072" t="s">
        <v>810</v>
      </c>
      <c r="AW5072" t="s">
        <v>46853</v>
      </c>
    </row>
    <row r="5073" spans="1:50">
      <c r="A5073" s="1">
        <f>HYPERLINK("https://lsnyc.legalserver.org/matter/dynamic-profile/view/1885985","18-1885985")</f>
        <v>0</v>
      </c>
      <c r="B5073" t="s">
        <v>140</v>
      </c>
      <c r="C5073" t="s">
        <v>340</v>
      </c>
      <c r="D5073" t="s">
        <v>670</v>
      </c>
      <c r="F5073" t="s">
        <v>3279</v>
      </c>
      <c r="G5073" t="s">
        <v>5575</v>
      </c>
      <c r="H5073" t="s">
        <v>13460</v>
      </c>
      <c r="I5073" t="s">
        <v>18047</v>
      </c>
      <c r="J5073" t="s">
        <v>18894</v>
      </c>
      <c r="K5073">
        <v>11216</v>
      </c>
      <c r="L5073" t="s">
        <v>18958</v>
      </c>
      <c r="M5073" t="s">
        <v>18958</v>
      </c>
      <c r="N5073" t="s">
        <v>22769</v>
      </c>
      <c r="O5073" t="s">
        <v>26524</v>
      </c>
      <c r="P5073" t="s">
        <v>26560</v>
      </c>
      <c r="R5073" t="s">
        <v>26588</v>
      </c>
      <c r="S5073" t="s">
        <v>18958</v>
      </c>
      <c r="U5073" t="s">
        <v>26604</v>
      </c>
      <c r="V5073" t="s">
        <v>26610</v>
      </c>
      <c r="W5073" t="s">
        <v>739</v>
      </c>
      <c r="X5073">
        <v>500</v>
      </c>
      <c r="Y5073" t="s">
        <v>26652</v>
      </c>
      <c r="AB5073" t="s">
        <v>30816</v>
      </c>
      <c r="AD5073" t="s">
        <v>41046</v>
      </c>
      <c r="AE5073">
        <v>0</v>
      </c>
      <c r="AH5073">
        <v>10</v>
      </c>
      <c r="AI5073">
        <v>2</v>
      </c>
      <c r="AJ5073">
        <v>0</v>
      </c>
      <c r="AK5073">
        <v>91.13</v>
      </c>
      <c r="AN5073" t="s">
        <v>7439</v>
      </c>
      <c r="AO5073">
        <v>15000</v>
      </c>
      <c r="AU5073">
        <v>8.5</v>
      </c>
      <c r="AV5073" t="s">
        <v>818</v>
      </c>
      <c r="AW5073" t="s">
        <v>46862</v>
      </c>
    </row>
    <row r="5074" spans="1:50">
      <c r="A5074" s="1">
        <f>HYPERLINK("https://lsnyc.legalserver.org/matter/dynamic-profile/view/1886056","18-1886056")</f>
        <v>0</v>
      </c>
      <c r="B5074" t="s">
        <v>204</v>
      </c>
      <c r="C5074" t="s">
        <v>340</v>
      </c>
      <c r="D5074" t="s">
        <v>692</v>
      </c>
      <c r="F5074" t="s">
        <v>3280</v>
      </c>
      <c r="G5074" t="s">
        <v>5681</v>
      </c>
      <c r="H5074" t="s">
        <v>13461</v>
      </c>
      <c r="I5074" t="s">
        <v>18183</v>
      </c>
      <c r="J5074" t="s">
        <v>18894</v>
      </c>
      <c r="K5074">
        <v>11236</v>
      </c>
      <c r="L5074" t="s">
        <v>18958</v>
      </c>
      <c r="M5074" t="s">
        <v>18958</v>
      </c>
      <c r="O5074" t="s">
        <v>26526</v>
      </c>
      <c r="R5074" t="s">
        <v>26586</v>
      </c>
      <c r="S5074" t="s">
        <v>18959</v>
      </c>
      <c r="U5074" t="s">
        <v>26605</v>
      </c>
      <c r="W5074" t="s">
        <v>739</v>
      </c>
      <c r="X5074">
        <v>215</v>
      </c>
      <c r="Y5074" t="s">
        <v>26652</v>
      </c>
      <c r="Z5074" t="s">
        <v>26659</v>
      </c>
      <c r="AB5074" t="s">
        <v>30817</v>
      </c>
      <c r="AC5074" t="s">
        <v>35917</v>
      </c>
      <c r="AD5074" t="s">
        <v>41047</v>
      </c>
      <c r="AE5074">
        <v>28</v>
      </c>
      <c r="AF5074" t="s">
        <v>45549</v>
      </c>
      <c r="AH5074">
        <v>5</v>
      </c>
      <c r="AI5074">
        <v>1</v>
      </c>
      <c r="AJ5074">
        <v>1</v>
      </c>
      <c r="AK5074">
        <v>70.34999999999999</v>
      </c>
      <c r="AN5074" t="s">
        <v>7439</v>
      </c>
      <c r="AO5074">
        <v>11580</v>
      </c>
      <c r="AU5074">
        <v>15</v>
      </c>
      <c r="AV5074" t="s">
        <v>835</v>
      </c>
      <c r="AW5074" t="s">
        <v>281</v>
      </c>
    </row>
    <row r="5075" spans="1:50">
      <c r="A5075" s="1">
        <f>HYPERLINK("https://lsnyc.legalserver.org/matter/dynamic-profile/view/1886219","18-1886219")</f>
        <v>0</v>
      </c>
      <c r="B5075" t="s">
        <v>233</v>
      </c>
      <c r="C5075" t="s">
        <v>340</v>
      </c>
      <c r="D5075" t="s">
        <v>684</v>
      </c>
      <c r="F5075" t="s">
        <v>933</v>
      </c>
      <c r="G5075" t="s">
        <v>4105</v>
      </c>
      <c r="H5075" t="s">
        <v>13462</v>
      </c>
      <c r="I5075" t="s">
        <v>17520</v>
      </c>
      <c r="J5075" t="s">
        <v>18892</v>
      </c>
      <c r="K5075">
        <v>10462</v>
      </c>
      <c r="L5075" t="s">
        <v>18958</v>
      </c>
      <c r="M5075" t="s">
        <v>18958</v>
      </c>
      <c r="N5075" t="s">
        <v>22770</v>
      </c>
      <c r="O5075" t="s">
        <v>26523</v>
      </c>
      <c r="P5075" t="s">
        <v>26560</v>
      </c>
      <c r="R5075" t="s">
        <v>26579</v>
      </c>
      <c r="S5075" t="s">
        <v>18959</v>
      </c>
      <c r="U5075" t="s">
        <v>26604</v>
      </c>
      <c r="V5075" t="s">
        <v>26609</v>
      </c>
      <c r="W5075" t="s">
        <v>739</v>
      </c>
      <c r="X5075">
        <v>1284.57</v>
      </c>
      <c r="Y5075" t="s">
        <v>26650</v>
      </c>
      <c r="Z5075" t="s">
        <v>26668</v>
      </c>
      <c r="AB5075" t="s">
        <v>30818</v>
      </c>
      <c r="AC5075" t="s">
        <v>35918</v>
      </c>
      <c r="AD5075" t="s">
        <v>41048</v>
      </c>
      <c r="AE5075">
        <v>19</v>
      </c>
      <c r="AF5075" t="s">
        <v>45541</v>
      </c>
      <c r="AG5075" t="s">
        <v>19330</v>
      </c>
      <c r="AH5075">
        <v>8</v>
      </c>
      <c r="AI5075">
        <v>1</v>
      </c>
      <c r="AJ5075">
        <v>0</v>
      </c>
      <c r="AK5075">
        <v>82.73</v>
      </c>
      <c r="AN5075" t="s">
        <v>7439</v>
      </c>
      <c r="AO5075">
        <v>10044</v>
      </c>
      <c r="AU5075">
        <v>6.5</v>
      </c>
      <c r="AV5075" t="s">
        <v>804</v>
      </c>
      <c r="AW5075" t="s">
        <v>46847</v>
      </c>
    </row>
    <row r="5076" spans="1:50">
      <c r="A5076" s="1">
        <f>HYPERLINK("https://lsnyc.legalserver.org/matter/dynamic-profile/view/1886235","18-1886235")</f>
        <v>0</v>
      </c>
      <c r="B5076" t="s">
        <v>275</v>
      </c>
      <c r="C5076" t="s">
        <v>340</v>
      </c>
      <c r="D5076" t="s">
        <v>684</v>
      </c>
      <c r="F5076" t="s">
        <v>903</v>
      </c>
      <c r="G5076" t="s">
        <v>5435</v>
      </c>
      <c r="H5076" t="s">
        <v>12830</v>
      </c>
      <c r="I5076" t="s">
        <v>17646</v>
      </c>
      <c r="J5076" t="s">
        <v>18892</v>
      </c>
      <c r="K5076">
        <v>10468</v>
      </c>
      <c r="L5076" t="s">
        <v>18958</v>
      </c>
      <c r="M5076" t="s">
        <v>18958</v>
      </c>
      <c r="N5076" t="s">
        <v>22771</v>
      </c>
      <c r="O5076" t="s">
        <v>26523</v>
      </c>
      <c r="P5076" t="s">
        <v>26560</v>
      </c>
      <c r="R5076" t="s">
        <v>26579</v>
      </c>
      <c r="S5076" t="s">
        <v>18959</v>
      </c>
      <c r="U5076" t="s">
        <v>26604</v>
      </c>
      <c r="V5076" t="s">
        <v>26609</v>
      </c>
      <c r="W5076" t="s">
        <v>739</v>
      </c>
      <c r="X5076">
        <v>616.1</v>
      </c>
      <c r="Y5076" t="s">
        <v>26650</v>
      </c>
      <c r="Z5076" t="s">
        <v>26664</v>
      </c>
      <c r="AB5076" t="s">
        <v>30819</v>
      </c>
      <c r="AC5076" t="s">
        <v>35919</v>
      </c>
      <c r="AD5076" t="s">
        <v>41049</v>
      </c>
      <c r="AE5076">
        <v>22</v>
      </c>
      <c r="AF5076" t="s">
        <v>45541</v>
      </c>
      <c r="AG5076" t="s">
        <v>19330</v>
      </c>
      <c r="AH5076">
        <v>36</v>
      </c>
      <c r="AI5076">
        <v>1</v>
      </c>
      <c r="AJ5076">
        <v>1</v>
      </c>
      <c r="AK5076">
        <v>102.72</v>
      </c>
      <c r="AN5076" t="s">
        <v>7439</v>
      </c>
      <c r="AO5076">
        <v>16908</v>
      </c>
      <c r="AU5076">
        <v>14</v>
      </c>
      <c r="AV5076" t="s">
        <v>809</v>
      </c>
      <c r="AW5076" t="s">
        <v>46847</v>
      </c>
      <c r="AX5076" t="s">
        <v>46898</v>
      </c>
    </row>
    <row r="5077" spans="1:50">
      <c r="A5077" s="1">
        <f>HYPERLINK("https://lsnyc.legalserver.org/matter/dynamic-profile/view/1886343","18-1886343")</f>
        <v>0</v>
      </c>
      <c r="B5077" t="s">
        <v>203</v>
      </c>
      <c r="C5077" t="s">
        <v>341</v>
      </c>
      <c r="D5077" t="s">
        <v>703</v>
      </c>
      <c r="E5077" t="s">
        <v>835</v>
      </c>
      <c r="F5077" t="s">
        <v>1028</v>
      </c>
      <c r="G5077" t="s">
        <v>6314</v>
      </c>
      <c r="H5077" t="s">
        <v>13463</v>
      </c>
      <c r="I5077" t="s">
        <v>17307</v>
      </c>
      <c r="J5077" t="s">
        <v>18894</v>
      </c>
      <c r="K5077">
        <v>11226</v>
      </c>
      <c r="L5077" t="s">
        <v>18958</v>
      </c>
      <c r="M5077" t="s">
        <v>18958</v>
      </c>
      <c r="N5077" t="s">
        <v>22772</v>
      </c>
      <c r="O5077" t="s">
        <v>26523</v>
      </c>
      <c r="P5077" t="s">
        <v>26560</v>
      </c>
      <c r="Q5077" t="s">
        <v>26568</v>
      </c>
      <c r="R5077" t="s">
        <v>26588</v>
      </c>
      <c r="U5077" t="s">
        <v>26604</v>
      </c>
      <c r="W5077" t="s">
        <v>739</v>
      </c>
      <c r="X5077">
        <v>14004.54</v>
      </c>
      <c r="Y5077" t="s">
        <v>26652</v>
      </c>
      <c r="Z5077" t="s">
        <v>26664</v>
      </c>
      <c r="AA5077" t="s">
        <v>26680</v>
      </c>
      <c r="AB5077" t="s">
        <v>30820</v>
      </c>
      <c r="AD5077" t="s">
        <v>41050</v>
      </c>
      <c r="AE5077">
        <v>13</v>
      </c>
      <c r="AG5077" t="s">
        <v>19330</v>
      </c>
      <c r="AH5077">
        <v>4</v>
      </c>
      <c r="AI5077">
        <v>1</v>
      </c>
      <c r="AJ5077">
        <v>2</v>
      </c>
      <c r="AK5077">
        <v>90.81999999999999</v>
      </c>
      <c r="AN5077" t="s">
        <v>7439</v>
      </c>
      <c r="AO5077">
        <v>18873</v>
      </c>
      <c r="AS5077" t="s">
        <v>46499</v>
      </c>
      <c r="AU5077">
        <v>2.5</v>
      </c>
      <c r="AV5077" t="s">
        <v>659</v>
      </c>
      <c r="AW5077" t="s">
        <v>46862</v>
      </c>
    </row>
    <row r="5078" spans="1:50">
      <c r="A5078" s="1">
        <f>HYPERLINK("https://lsnyc.legalserver.org/matter/dynamic-profile/view/1886329","18-1886329")</f>
        <v>0</v>
      </c>
      <c r="B5078" t="s">
        <v>167</v>
      </c>
      <c r="C5078" t="s">
        <v>340</v>
      </c>
      <c r="D5078" t="s">
        <v>703</v>
      </c>
      <c r="F5078" t="s">
        <v>1624</v>
      </c>
      <c r="G5078" t="s">
        <v>5817</v>
      </c>
      <c r="H5078" t="s">
        <v>11472</v>
      </c>
      <c r="I5078" t="s">
        <v>17584</v>
      </c>
      <c r="J5078" t="s">
        <v>18894</v>
      </c>
      <c r="K5078">
        <v>11226</v>
      </c>
      <c r="L5078" t="s">
        <v>18958</v>
      </c>
      <c r="M5078" t="s">
        <v>18958</v>
      </c>
      <c r="N5078" t="s">
        <v>20653</v>
      </c>
      <c r="O5078" t="s">
        <v>26523</v>
      </c>
      <c r="P5078" t="s">
        <v>26560</v>
      </c>
      <c r="R5078" t="s">
        <v>26588</v>
      </c>
      <c r="U5078" t="s">
        <v>26604</v>
      </c>
      <c r="W5078" t="s">
        <v>739</v>
      </c>
      <c r="X5078">
        <v>1529</v>
      </c>
      <c r="Y5078" t="s">
        <v>26652</v>
      </c>
      <c r="Z5078" t="s">
        <v>26664</v>
      </c>
      <c r="AB5078" t="s">
        <v>27754</v>
      </c>
      <c r="AE5078">
        <v>16</v>
      </c>
      <c r="AG5078" t="s">
        <v>19330</v>
      </c>
      <c r="AH5078">
        <v>10</v>
      </c>
      <c r="AI5078">
        <v>2</v>
      </c>
      <c r="AJ5078">
        <v>0</v>
      </c>
      <c r="AK5078">
        <v>151.88</v>
      </c>
      <c r="AN5078" t="s">
        <v>7439</v>
      </c>
      <c r="AO5078">
        <v>25000</v>
      </c>
      <c r="AU5078">
        <v>20.7</v>
      </c>
      <c r="AV5078" t="s">
        <v>729</v>
      </c>
      <c r="AW5078" t="s">
        <v>46862</v>
      </c>
    </row>
    <row r="5079" spans="1:50">
      <c r="A5079" s="1">
        <f>HYPERLINK("https://lsnyc.legalserver.org/matter/dynamic-profile/view/1886722","18-1886722")</f>
        <v>0</v>
      </c>
      <c r="B5079" t="s">
        <v>123</v>
      </c>
      <c r="C5079" t="s">
        <v>340</v>
      </c>
      <c r="D5079" t="s">
        <v>712</v>
      </c>
      <c r="F5079" t="s">
        <v>940</v>
      </c>
      <c r="G5079" t="s">
        <v>7538</v>
      </c>
      <c r="H5079" t="s">
        <v>13464</v>
      </c>
      <c r="I5079" t="s">
        <v>17570</v>
      </c>
      <c r="J5079" t="s">
        <v>18894</v>
      </c>
      <c r="K5079">
        <v>11221</v>
      </c>
      <c r="L5079" t="s">
        <v>18958</v>
      </c>
      <c r="M5079" t="s">
        <v>18958</v>
      </c>
      <c r="N5079" t="s">
        <v>22773</v>
      </c>
      <c r="O5079" t="s">
        <v>26523</v>
      </c>
      <c r="P5079" t="s">
        <v>26560</v>
      </c>
      <c r="R5079" t="s">
        <v>26588</v>
      </c>
      <c r="U5079" t="s">
        <v>26604</v>
      </c>
      <c r="W5079" t="s">
        <v>739</v>
      </c>
      <c r="X5079">
        <v>0</v>
      </c>
      <c r="Y5079" t="s">
        <v>26652</v>
      </c>
      <c r="Z5079" t="s">
        <v>26668</v>
      </c>
      <c r="AB5079" t="s">
        <v>29208</v>
      </c>
      <c r="AE5079">
        <v>0</v>
      </c>
      <c r="AH5079">
        <v>0</v>
      </c>
      <c r="AI5079">
        <v>3</v>
      </c>
      <c r="AJ5079">
        <v>0</v>
      </c>
      <c r="AK5079">
        <v>105.27</v>
      </c>
      <c r="AN5079" t="s">
        <v>7439</v>
      </c>
      <c r="AO5079">
        <v>21876</v>
      </c>
      <c r="AU5079">
        <v>15.28</v>
      </c>
      <c r="AV5079" t="s">
        <v>773</v>
      </c>
      <c r="AW5079" t="s">
        <v>46862</v>
      </c>
    </row>
    <row r="5080" spans="1:50">
      <c r="A5080" s="1">
        <f>HYPERLINK("https://lsnyc.legalserver.org/matter/dynamic-profile/view/1886751","18-1886751")</f>
        <v>0</v>
      </c>
      <c r="B5080" t="s">
        <v>140</v>
      </c>
      <c r="C5080" t="s">
        <v>341</v>
      </c>
      <c r="D5080" t="s">
        <v>494</v>
      </c>
      <c r="E5080" t="s">
        <v>671</v>
      </c>
      <c r="F5080" t="s">
        <v>3281</v>
      </c>
      <c r="G5080" t="s">
        <v>7539</v>
      </c>
      <c r="H5080" t="s">
        <v>13465</v>
      </c>
      <c r="I5080" t="s">
        <v>17410</v>
      </c>
      <c r="J5080" t="s">
        <v>18894</v>
      </c>
      <c r="K5080">
        <v>11212</v>
      </c>
      <c r="L5080" t="s">
        <v>18958</v>
      </c>
      <c r="M5080" t="s">
        <v>18958</v>
      </c>
      <c r="N5080" t="s">
        <v>22774</v>
      </c>
      <c r="O5080" t="s">
        <v>26523</v>
      </c>
      <c r="P5080" t="s">
        <v>26560</v>
      </c>
      <c r="Q5080" t="s">
        <v>26568</v>
      </c>
      <c r="R5080" t="s">
        <v>26586</v>
      </c>
      <c r="U5080" t="s">
        <v>26605</v>
      </c>
      <c r="W5080" t="s">
        <v>739</v>
      </c>
      <c r="X5080">
        <v>173</v>
      </c>
      <c r="Y5080" t="s">
        <v>26652</v>
      </c>
      <c r="Z5080" t="s">
        <v>26664</v>
      </c>
      <c r="AA5080" t="s">
        <v>26680</v>
      </c>
      <c r="AB5080" t="s">
        <v>30821</v>
      </c>
      <c r="AD5080" t="s">
        <v>41051</v>
      </c>
      <c r="AE5080">
        <v>171</v>
      </c>
      <c r="AF5080" t="s">
        <v>45549</v>
      </c>
      <c r="AH5080">
        <v>4</v>
      </c>
      <c r="AI5080">
        <v>1</v>
      </c>
      <c r="AJ5080">
        <v>3</v>
      </c>
      <c r="AK5080">
        <v>28.69</v>
      </c>
      <c r="AO5080">
        <v>7200</v>
      </c>
      <c r="AS5080" t="s">
        <v>46499</v>
      </c>
      <c r="AT5080" t="s">
        <v>46674</v>
      </c>
      <c r="AU5080">
        <v>10.8</v>
      </c>
      <c r="AV5080" t="s">
        <v>671</v>
      </c>
      <c r="AW5080" t="s">
        <v>46862</v>
      </c>
    </row>
    <row r="5081" spans="1:50">
      <c r="A5081" s="1">
        <f>HYPERLINK("https://lsnyc.legalserver.org/matter/dynamic-profile/view/1886759","18-1886759")</f>
        <v>0</v>
      </c>
      <c r="B5081" t="s">
        <v>101</v>
      </c>
      <c r="C5081" t="s">
        <v>340</v>
      </c>
      <c r="D5081" t="s">
        <v>494</v>
      </c>
      <c r="F5081" t="s">
        <v>3282</v>
      </c>
      <c r="G5081" t="s">
        <v>5269</v>
      </c>
      <c r="H5081" t="s">
        <v>13466</v>
      </c>
      <c r="I5081" t="s">
        <v>17416</v>
      </c>
      <c r="J5081" t="s">
        <v>18894</v>
      </c>
      <c r="K5081">
        <v>11236</v>
      </c>
      <c r="L5081" t="s">
        <v>18958</v>
      </c>
      <c r="M5081" t="s">
        <v>18958</v>
      </c>
      <c r="N5081" t="s">
        <v>22775</v>
      </c>
      <c r="O5081" t="s">
        <v>26524</v>
      </c>
      <c r="P5081" t="s">
        <v>26560</v>
      </c>
      <c r="R5081" t="s">
        <v>26586</v>
      </c>
      <c r="U5081" t="s">
        <v>26604</v>
      </c>
      <c r="W5081" t="s">
        <v>739</v>
      </c>
      <c r="X5081">
        <v>1970</v>
      </c>
      <c r="Y5081" t="s">
        <v>26652</v>
      </c>
      <c r="Z5081" t="s">
        <v>26664</v>
      </c>
      <c r="AB5081" t="s">
        <v>29352</v>
      </c>
      <c r="AD5081" t="s">
        <v>41052</v>
      </c>
      <c r="AE5081">
        <v>2</v>
      </c>
      <c r="AG5081" t="s">
        <v>45562</v>
      </c>
      <c r="AH5081">
        <v>4</v>
      </c>
      <c r="AI5081">
        <v>1</v>
      </c>
      <c r="AJ5081">
        <v>5</v>
      </c>
      <c r="AK5081">
        <v>53.35</v>
      </c>
      <c r="AN5081" t="s">
        <v>7439</v>
      </c>
      <c r="AO5081">
        <v>18000</v>
      </c>
      <c r="AU5081">
        <v>58.4</v>
      </c>
      <c r="AV5081" t="s">
        <v>838</v>
      </c>
      <c r="AW5081" t="s">
        <v>46862</v>
      </c>
    </row>
    <row r="5082" spans="1:50">
      <c r="A5082" s="1">
        <f>HYPERLINK("https://lsnyc.legalserver.org/matter/dynamic-profile/view/1886766","18-1886766")</f>
        <v>0</v>
      </c>
      <c r="B5082" t="s">
        <v>101</v>
      </c>
      <c r="C5082" t="s">
        <v>340</v>
      </c>
      <c r="D5082" t="s">
        <v>494</v>
      </c>
      <c r="F5082" t="s">
        <v>964</v>
      </c>
      <c r="G5082" t="s">
        <v>7540</v>
      </c>
      <c r="H5082" t="s">
        <v>13467</v>
      </c>
      <c r="I5082" t="s">
        <v>17282</v>
      </c>
      <c r="J5082" t="s">
        <v>18894</v>
      </c>
      <c r="K5082">
        <v>11210</v>
      </c>
      <c r="L5082" t="s">
        <v>18958</v>
      </c>
      <c r="M5082" t="s">
        <v>18958</v>
      </c>
      <c r="N5082" t="s">
        <v>22776</v>
      </c>
      <c r="O5082" t="s">
        <v>26524</v>
      </c>
      <c r="P5082" t="s">
        <v>26560</v>
      </c>
      <c r="R5082" t="s">
        <v>26586</v>
      </c>
      <c r="U5082" t="s">
        <v>26604</v>
      </c>
      <c r="W5082" t="s">
        <v>739</v>
      </c>
      <c r="X5082">
        <v>1950</v>
      </c>
      <c r="Y5082" t="s">
        <v>26652</v>
      </c>
      <c r="Z5082" t="s">
        <v>26664</v>
      </c>
      <c r="AB5082" t="s">
        <v>28935</v>
      </c>
      <c r="AD5082" t="s">
        <v>41053</v>
      </c>
      <c r="AE5082">
        <v>90</v>
      </c>
      <c r="AH5082">
        <v>5</v>
      </c>
      <c r="AI5082">
        <v>3</v>
      </c>
      <c r="AJ5082">
        <v>0</v>
      </c>
      <c r="AK5082">
        <v>80.58</v>
      </c>
      <c r="AN5082" t="s">
        <v>7439</v>
      </c>
      <c r="AO5082">
        <v>16744</v>
      </c>
      <c r="AU5082">
        <v>35.6</v>
      </c>
      <c r="AV5082" t="s">
        <v>801</v>
      </c>
      <c r="AW5082" t="s">
        <v>46862</v>
      </c>
    </row>
    <row r="5083" spans="1:50">
      <c r="A5083" s="1">
        <f>HYPERLINK("https://lsnyc.legalserver.org/matter/dynamic-profile/view/1886787","19-1886787")</f>
        <v>0</v>
      </c>
      <c r="B5083" t="s">
        <v>162</v>
      </c>
      <c r="C5083" t="s">
        <v>341</v>
      </c>
      <c r="D5083" t="s">
        <v>713</v>
      </c>
      <c r="E5083" t="s">
        <v>819</v>
      </c>
      <c r="F5083" t="s">
        <v>1532</v>
      </c>
      <c r="G5083" t="s">
        <v>5363</v>
      </c>
      <c r="H5083" t="s">
        <v>13468</v>
      </c>
      <c r="I5083" t="s">
        <v>17275</v>
      </c>
      <c r="J5083" t="s">
        <v>18894</v>
      </c>
      <c r="K5083">
        <v>11236</v>
      </c>
      <c r="L5083" t="s">
        <v>18958</v>
      </c>
      <c r="M5083" t="s">
        <v>18958</v>
      </c>
      <c r="N5083" t="s">
        <v>22777</v>
      </c>
      <c r="O5083" t="s">
        <v>26523</v>
      </c>
      <c r="P5083" t="s">
        <v>26560</v>
      </c>
      <c r="Q5083" t="s">
        <v>26573</v>
      </c>
      <c r="R5083" t="s">
        <v>26586</v>
      </c>
      <c r="U5083" t="s">
        <v>26605</v>
      </c>
      <c r="W5083" t="s">
        <v>739</v>
      </c>
      <c r="X5083">
        <v>249</v>
      </c>
      <c r="Y5083" t="s">
        <v>26652</v>
      </c>
      <c r="Z5083" t="s">
        <v>26664</v>
      </c>
      <c r="AA5083" t="s">
        <v>26680</v>
      </c>
      <c r="AB5083" t="s">
        <v>30822</v>
      </c>
      <c r="AD5083" t="s">
        <v>41054</v>
      </c>
      <c r="AE5083">
        <v>32</v>
      </c>
      <c r="AF5083" t="s">
        <v>45542</v>
      </c>
      <c r="AH5083">
        <v>15</v>
      </c>
      <c r="AI5083">
        <v>1</v>
      </c>
      <c r="AJ5083">
        <v>0</v>
      </c>
      <c r="AK5083">
        <v>83.03</v>
      </c>
      <c r="AN5083" t="s">
        <v>7439</v>
      </c>
      <c r="AO5083">
        <v>10080</v>
      </c>
      <c r="AS5083" t="s">
        <v>46499</v>
      </c>
      <c r="AT5083" t="s">
        <v>46694</v>
      </c>
      <c r="AU5083">
        <v>8.6</v>
      </c>
      <c r="AV5083" t="s">
        <v>762</v>
      </c>
      <c r="AW5083" t="s">
        <v>46853</v>
      </c>
    </row>
    <row r="5084" spans="1:50">
      <c r="A5084" s="1">
        <f>HYPERLINK("https://lsnyc.legalserver.org/matter/dynamic-profile/view/1886802","19-1886802")</f>
        <v>0</v>
      </c>
      <c r="B5084" t="s">
        <v>171</v>
      </c>
      <c r="C5084" t="s">
        <v>341</v>
      </c>
      <c r="D5084" t="s">
        <v>713</v>
      </c>
      <c r="E5084" t="s">
        <v>713</v>
      </c>
      <c r="F5084" t="s">
        <v>1442</v>
      </c>
      <c r="G5084" t="s">
        <v>7541</v>
      </c>
      <c r="H5084" t="s">
        <v>12270</v>
      </c>
      <c r="I5084" t="s">
        <v>17361</v>
      </c>
      <c r="J5084" t="s">
        <v>18893</v>
      </c>
      <c r="K5084">
        <v>10025</v>
      </c>
      <c r="L5084" t="s">
        <v>18958</v>
      </c>
      <c r="M5084" t="s">
        <v>18958</v>
      </c>
      <c r="N5084" t="s">
        <v>22778</v>
      </c>
      <c r="O5084" t="s">
        <v>26524</v>
      </c>
      <c r="P5084" t="s">
        <v>26564</v>
      </c>
      <c r="Q5084" t="s">
        <v>26570</v>
      </c>
      <c r="R5084" t="s">
        <v>26580</v>
      </c>
      <c r="S5084" t="s">
        <v>18959</v>
      </c>
      <c r="U5084" t="s">
        <v>26605</v>
      </c>
      <c r="W5084" t="s">
        <v>739</v>
      </c>
      <c r="X5084">
        <v>500</v>
      </c>
      <c r="Y5084" t="s">
        <v>26651</v>
      </c>
      <c r="Z5084" t="s">
        <v>26668</v>
      </c>
      <c r="AA5084" t="s">
        <v>26683</v>
      </c>
      <c r="AB5084" t="s">
        <v>30823</v>
      </c>
      <c r="AE5084">
        <v>0</v>
      </c>
      <c r="AF5084" t="s">
        <v>45549</v>
      </c>
      <c r="AG5084" t="s">
        <v>19330</v>
      </c>
      <c r="AH5084">
        <v>14</v>
      </c>
      <c r="AI5084">
        <v>1</v>
      </c>
      <c r="AJ5084">
        <v>0</v>
      </c>
      <c r="AK5084">
        <v>0</v>
      </c>
      <c r="AN5084" t="s">
        <v>7439</v>
      </c>
      <c r="AO5084">
        <v>0</v>
      </c>
      <c r="AU5084">
        <v>0.7</v>
      </c>
      <c r="AV5084" t="s">
        <v>713</v>
      </c>
      <c r="AW5084" t="s">
        <v>314</v>
      </c>
    </row>
    <row r="5085" spans="1:50">
      <c r="A5085" s="1">
        <f>HYPERLINK("https://lsnyc.legalserver.org/matter/dynamic-profile/view/1886800","19-1886800")</f>
        <v>0</v>
      </c>
      <c r="B5085" t="s">
        <v>203</v>
      </c>
      <c r="C5085" t="s">
        <v>340</v>
      </c>
      <c r="D5085" t="s">
        <v>713</v>
      </c>
      <c r="F5085" t="s">
        <v>901</v>
      </c>
      <c r="G5085" t="s">
        <v>7542</v>
      </c>
      <c r="H5085" t="s">
        <v>13469</v>
      </c>
      <c r="J5085" t="s">
        <v>18894</v>
      </c>
      <c r="K5085">
        <v>11225</v>
      </c>
      <c r="L5085" t="s">
        <v>18958</v>
      </c>
      <c r="M5085" t="s">
        <v>18958</v>
      </c>
      <c r="N5085" t="s">
        <v>22779</v>
      </c>
      <c r="O5085" t="s">
        <v>26524</v>
      </c>
      <c r="P5085" t="s">
        <v>26560</v>
      </c>
      <c r="R5085" t="s">
        <v>26588</v>
      </c>
      <c r="U5085" t="s">
        <v>26604</v>
      </c>
      <c r="W5085" t="s">
        <v>739</v>
      </c>
      <c r="X5085">
        <v>1095.65</v>
      </c>
      <c r="Y5085" t="s">
        <v>26652</v>
      </c>
      <c r="Z5085" t="s">
        <v>26669</v>
      </c>
      <c r="AB5085" t="s">
        <v>30824</v>
      </c>
      <c r="AD5085" t="s">
        <v>41055</v>
      </c>
      <c r="AE5085">
        <v>72</v>
      </c>
      <c r="AH5085">
        <v>18</v>
      </c>
      <c r="AI5085">
        <v>3</v>
      </c>
      <c r="AJ5085">
        <v>3</v>
      </c>
      <c r="AK5085">
        <v>142.26</v>
      </c>
      <c r="AN5085" t="s">
        <v>45581</v>
      </c>
      <c r="AO5085">
        <v>48000</v>
      </c>
      <c r="AU5085">
        <v>17.3</v>
      </c>
      <c r="AV5085" t="s">
        <v>821</v>
      </c>
      <c r="AW5085" t="s">
        <v>46853</v>
      </c>
    </row>
    <row r="5086" spans="1:50">
      <c r="A5086" s="1">
        <f>HYPERLINK("https://lsnyc.legalserver.org/matter/dynamic-profile/view/1887153","19-1887153")</f>
        <v>0</v>
      </c>
      <c r="B5086" t="s">
        <v>158</v>
      </c>
      <c r="C5086" t="s">
        <v>340</v>
      </c>
      <c r="D5086" t="s">
        <v>668</v>
      </c>
      <c r="F5086" t="s">
        <v>1148</v>
      </c>
      <c r="G5086" t="s">
        <v>7543</v>
      </c>
      <c r="H5086" t="s">
        <v>13470</v>
      </c>
      <c r="I5086" t="s">
        <v>17284</v>
      </c>
      <c r="J5086" t="s">
        <v>18894</v>
      </c>
      <c r="K5086">
        <v>11216</v>
      </c>
      <c r="L5086" t="s">
        <v>18958</v>
      </c>
      <c r="M5086" t="s">
        <v>18958</v>
      </c>
      <c r="N5086" t="s">
        <v>22780</v>
      </c>
      <c r="O5086" t="s">
        <v>26523</v>
      </c>
      <c r="P5086" t="s">
        <v>26560</v>
      </c>
      <c r="R5086" t="s">
        <v>26588</v>
      </c>
      <c r="U5086" t="s">
        <v>26605</v>
      </c>
      <c r="W5086" t="s">
        <v>739</v>
      </c>
      <c r="X5086">
        <v>487</v>
      </c>
      <c r="Y5086" t="s">
        <v>26652</v>
      </c>
      <c r="Z5086" t="s">
        <v>26664</v>
      </c>
      <c r="AB5086" t="s">
        <v>30825</v>
      </c>
      <c r="AD5086" t="s">
        <v>41056</v>
      </c>
      <c r="AE5086">
        <v>0</v>
      </c>
      <c r="AF5086" t="s">
        <v>45549</v>
      </c>
      <c r="AH5086">
        <v>21</v>
      </c>
      <c r="AI5086">
        <v>2</v>
      </c>
      <c r="AJ5086">
        <v>0</v>
      </c>
      <c r="AK5086">
        <v>123.82</v>
      </c>
      <c r="AO5086">
        <v>20380</v>
      </c>
      <c r="AU5086">
        <v>15.2</v>
      </c>
      <c r="AV5086" t="s">
        <v>752</v>
      </c>
      <c r="AW5086" t="s">
        <v>46862</v>
      </c>
    </row>
    <row r="5087" spans="1:50">
      <c r="A5087" s="1">
        <f>HYPERLINK("https://lsnyc.legalserver.org/matter/dynamic-profile/view/1887029","19-1887029")</f>
        <v>0</v>
      </c>
      <c r="B5087" t="s">
        <v>203</v>
      </c>
      <c r="C5087" t="s">
        <v>340</v>
      </c>
      <c r="D5087" t="s">
        <v>668</v>
      </c>
      <c r="F5087" t="s">
        <v>964</v>
      </c>
      <c r="G5087" t="s">
        <v>994</v>
      </c>
      <c r="H5087" t="s">
        <v>13098</v>
      </c>
      <c r="I5087" t="s">
        <v>17351</v>
      </c>
      <c r="J5087" t="s">
        <v>18894</v>
      </c>
      <c r="K5087">
        <v>11210</v>
      </c>
      <c r="L5087" t="s">
        <v>18958</v>
      </c>
      <c r="M5087" t="s">
        <v>18958</v>
      </c>
      <c r="N5087" t="s">
        <v>22781</v>
      </c>
      <c r="O5087" t="s">
        <v>26523</v>
      </c>
      <c r="P5087" t="s">
        <v>26560</v>
      </c>
      <c r="R5087" t="s">
        <v>26586</v>
      </c>
      <c r="U5087" t="s">
        <v>26604</v>
      </c>
      <c r="W5087" t="s">
        <v>739</v>
      </c>
      <c r="X5087">
        <v>1933</v>
      </c>
      <c r="Y5087" t="s">
        <v>26652</v>
      </c>
      <c r="Z5087" t="s">
        <v>26664</v>
      </c>
      <c r="AB5087" t="s">
        <v>30826</v>
      </c>
      <c r="AD5087" t="s">
        <v>41057</v>
      </c>
      <c r="AE5087">
        <v>48</v>
      </c>
      <c r="AG5087" t="s">
        <v>19330</v>
      </c>
      <c r="AH5087">
        <v>7</v>
      </c>
      <c r="AI5087">
        <v>2</v>
      </c>
      <c r="AJ5087">
        <v>0</v>
      </c>
      <c r="AK5087">
        <v>102.96</v>
      </c>
      <c r="AN5087" t="s">
        <v>7439</v>
      </c>
      <c r="AO5087">
        <v>16947</v>
      </c>
      <c r="AU5087">
        <v>12.1</v>
      </c>
      <c r="AV5087" t="s">
        <v>723</v>
      </c>
      <c r="AW5087" t="s">
        <v>46862</v>
      </c>
    </row>
    <row r="5088" spans="1:50">
      <c r="A5088" s="1">
        <f>HYPERLINK("https://lsnyc.legalserver.org/matter/dynamic-profile/view/1887221","19-1887221")</f>
        <v>0</v>
      </c>
      <c r="B5088" t="s">
        <v>170</v>
      </c>
      <c r="C5088" t="s">
        <v>341</v>
      </c>
      <c r="D5088" t="s">
        <v>716</v>
      </c>
      <c r="E5088" t="s">
        <v>839</v>
      </c>
      <c r="F5088" t="s">
        <v>1764</v>
      </c>
      <c r="G5088" t="s">
        <v>7544</v>
      </c>
      <c r="H5088" t="s">
        <v>13471</v>
      </c>
      <c r="I5088" t="s">
        <v>17390</v>
      </c>
      <c r="J5088" t="s">
        <v>18894</v>
      </c>
      <c r="K5088">
        <v>11226</v>
      </c>
      <c r="L5088" t="s">
        <v>18958</v>
      </c>
      <c r="M5088" t="s">
        <v>18958</v>
      </c>
      <c r="N5088" t="s">
        <v>22782</v>
      </c>
      <c r="O5088" t="s">
        <v>26523</v>
      </c>
      <c r="P5088" t="s">
        <v>26560</v>
      </c>
      <c r="Q5088" t="s">
        <v>26568</v>
      </c>
      <c r="R5088" t="s">
        <v>26588</v>
      </c>
      <c r="S5088" t="s">
        <v>18959</v>
      </c>
      <c r="U5088" t="s">
        <v>26604</v>
      </c>
      <c r="V5088" t="s">
        <v>26609</v>
      </c>
      <c r="W5088" t="s">
        <v>739</v>
      </c>
      <c r="X5088">
        <v>937</v>
      </c>
      <c r="Y5088" t="s">
        <v>26652</v>
      </c>
      <c r="Z5088" t="s">
        <v>26664</v>
      </c>
      <c r="AA5088" t="s">
        <v>26678</v>
      </c>
      <c r="AB5088" t="s">
        <v>30827</v>
      </c>
      <c r="AC5088" t="s">
        <v>35920</v>
      </c>
      <c r="AD5088" t="s">
        <v>41058</v>
      </c>
      <c r="AE5088">
        <v>49</v>
      </c>
      <c r="AF5088" t="s">
        <v>45541</v>
      </c>
      <c r="AG5088" t="s">
        <v>45565</v>
      </c>
      <c r="AH5088">
        <v>12</v>
      </c>
      <c r="AI5088">
        <v>1</v>
      </c>
      <c r="AJ5088">
        <v>0</v>
      </c>
      <c r="AK5088">
        <v>49.42</v>
      </c>
      <c r="AN5088" t="s">
        <v>7439</v>
      </c>
      <c r="AO5088">
        <v>6000</v>
      </c>
      <c r="AS5088" t="s">
        <v>46499</v>
      </c>
      <c r="AU5088">
        <v>10.1</v>
      </c>
      <c r="AV5088" t="s">
        <v>828</v>
      </c>
      <c r="AW5088" t="s">
        <v>46853</v>
      </c>
      <c r="AX5088" t="s">
        <v>46898</v>
      </c>
    </row>
    <row r="5089" spans="1:50">
      <c r="A5089" s="1">
        <f>HYPERLINK("https://lsnyc.legalserver.org/matter/dynamic-profile/view/1887209","19-1887209")</f>
        <v>0</v>
      </c>
      <c r="B5089" t="s">
        <v>202</v>
      </c>
      <c r="C5089" t="s">
        <v>340</v>
      </c>
      <c r="D5089" t="s">
        <v>716</v>
      </c>
      <c r="F5089" t="s">
        <v>879</v>
      </c>
      <c r="G5089" t="s">
        <v>7545</v>
      </c>
      <c r="H5089" t="s">
        <v>13472</v>
      </c>
      <c r="I5089" t="s">
        <v>17274</v>
      </c>
      <c r="J5089" t="s">
        <v>18894</v>
      </c>
      <c r="K5089">
        <v>11226</v>
      </c>
      <c r="L5089" t="s">
        <v>18958</v>
      </c>
      <c r="M5089" t="s">
        <v>18958</v>
      </c>
      <c r="N5089" t="s">
        <v>22783</v>
      </c>
      <c r="O5089" t="s">
        <v>26523</v>
      </c>
      <c r="P5089" t="s">
        <v>26560</v>
      </c>
      <c r="R5089" t="s">
        <v>26588</v>
      </c>
      <c r="S5089" t="s">
        <v>18959</v>
      </c>
      <c r="U5089" t="s">
        <v>26604</v>
      </c>
      <c r="V5089" t="s">
        <v>26610</v>
      </c>
      <c r="W5089" t="s">
        <v>739</v>
      </c>
      <c r="X5089">
        <v>985.55</v>
      </c>
      <c r="Y5089" t="s">
        <v>26652</v>
      </c>
      <c r="Z5089" t="s">
        <v>26664</v>
      </c>
      <c r="AB5089" t="s">
        <v>30828</v>
      </c>
      <c r="AE5089">
        <v>52</v>
      </c>
      <c r="AF5089" t="s">
        <v>45541</v>
      </c>
      <c r="AG5089" t="s">
        <v>19330</v>
      </c>
      <c r="AH5089">
        <v>30</v>
      </c>
      <c r="AI5089">
        <v>1</v>
      </c>
      <c r="AJ5089">
        <v>0</v>
      </c>
      <c r="AK5089">
        <v>107.08</v>
      </c>
      <c r="AN5089" t="s">
        <v>7439</v>
      </c>
      <c r="AO5089">
        <v>13000</v>
      </c>
      <c r="AU5089">
        <v>69.55</v>
      </c>
      <c r="AV5089" t="s">
        <v>839</v>
      </c>
      <c r="AW5089" t="s">
        <v>46862</v>
      </c>
    </row>
    <row r="5090" spans="1:50">
      <c r="A5090" s="1">
        <f>HYPERLINK("https://lsnyc.legalserver.org/matter/dynamic-profile/view/1887259","19-1887259")</f>
        <v>0</v>
      </c>
      <c r="B5090" t="s">
        <v>232</v>
      </c>
      <c r="C5090" t="s">
        <v>340</v>
      </c>
      <c r="D5090" t="s">
        <v>716</v>
      </c>
      <c r="F5090" t="s">
        <v>3283</v>
      </c>
      <c r="G5090" t="s">
        <v>6703</v>
      </c>
      <c r="H5090" t="s">
        <v>13473</v>
      </c>
      <c r="I5090" t="s">
        <v>18184</v>
      </c>
      <c r="J5090" t="s">
        <v>18894</v>
      </c>
      <c r="K5090">
        <v>11226</v>
      </c>
      <c r="L5090" t="s">
        <v>18958</v>
      </c>
      <c r="M5090" t="s">
        <v>18958</v>
      </c>
      <c r="N5090" t="s">
        <v>22784</v>
      </c>
      <c r="O5090" t="s">
        <v>26523</v>
      </c>
      <c r="R5090" t="s">
        <v>26588</v>
      </c>
      <c r="U5090" t="s">
        <v>26604</v>
      </c>
      <c r="W5090" t="s">
        <v>739</v>
      </c>
      <c r="X5090">
        <v>1125.92</v>
      </c>
      <c r="Y5090" t="s">
        <v>26652</v>
      </c>
      <c r="Z5090" t="s">
        <v>26664</v>
      </c>
      <c r="AB5090" t="s">
        <v>30829</v>
      </c>
      <c r="AD5090" t="s">
        <v>41059</v>
      </c>
      <c r="AE5090">
        <v>0</v>
      </c>
      <c r="AH5090">
        <v>8</v>
      </c>
      <c r="AI5090">
        <v>1</v>
      </c>
      <c r="AJ5090">
        <v>0</v>
      </c>
      <c r="AK5090">
        <v>172.98</v>
      </c>
      <c r="AN5090" t="s">
        <v>7439</v>
      </c>
      <c r="AO5090">
        <v>21000</v>
      </c>
      <c r="AU5090">
        <v>30</v>
      </c>
      <c r="AV5090" t="s">
        <v>838</v>
      </c>
      <c r="AW5090" t="s">
        <v>46853</v>
      </c>
    </row>
    <row r="5091" spans="1:50">
      <c r="A5091" s="1">
        <f>HYPERLINK("https://lsnyc.legalserver.org/matter/dynamic-profile/view/1887239","19-1887239")</f>
        <v>0</v>
      </c>
      <c r="B5091" t="s">
        <v>232</v>
      </c>
      <c r="C5091" t="s">
        <v>340</v>
      </c>
      <c r="D5091" t="s">
        <v>716</v>
      </c>
      <c r="F5091" t="s">
        <v>1767</v>
      </c>
      <c r="G5091" t="s">
        <v>4160</v>
      </c>
      <c r="H5091" t="s">
        <v>13474</v>
      </c>
      <c r="I5091" t="s">
        <v>17333</v>
      </c>
      <c r="J5091" t="s">
        <v>18894</v>
      </c>
      <c r="K5091">
        <v>11226</v>
      </c>
      <c r="L5091" t="s">
        <v>18958</v>
      </c>
      <c r="M5091" t="s">
        <v>18958</v>
      </c>
      <c r="N5091" t="s">
        <v>22785</v>
      </c>
      <c r="O5091" t="s">
        <v>26524</v>
      </c>
      <c r="R5091" t="s">
        <v>26588</v>
      </c>
      <c r="U5091" t="s">
        <v>26604</v>
      </c>
      <c r="W5091" t="s">
        <v>739</v>
      </c>
      <c r="X5091">
        <v>1515</v>
      </c>
      <c r="Y5091" t="s">
        <v>26652</v>
      </c>
      <c r="Z5091" t="s">
        <v>26664</v>
      </c>
      <c r="AB5091" t="s">
        <v>30830</v>
      </c>
      <c r="AC5091" t="s">
        <v>35921</v>
      </c>
      <c r="AD5091" t="s">
        <v>41060</v>
      </c>
      <c r="AE5091">
        <v>6</v>
      </c>
      <c r="AF5091" t="s">
        <v>45552</v>
      </c>
      <c r="AG5091" t="s">
        <v>45558</v>
      </c>
      <c r="AH5091">
        <v>1</v>
      </c>
      <c r="AI5091">
        <v>1</v>
      </c>
      <c r="AJ5091">
        <v>2</v>
      </c>
      <c r="AK5091">
        <v>184.22</v>
      </c>
      <c r="AN5091" t="s">
        <v>7439</v>
      </c>
      <c r="AO5091">
        <v>38280</v>
      </c>
      <c r="AU5091">
        <v>19.55</v>
      </c>
      <c r="AV5091" t="s">
        <v>773</v>
      </c>
      <c r="AW5091" t="s">
        <v>46853</v>
      </c>
    </row>
    <row r="5092" spans="1:50">
      <c r="A5092" s="1">
        <f>HYPERLINK("https://lsnyc.legalserver.org/matter/dynamic-profile/view/1887323","19-1887323")</f>
        <v>0</v>
      </c>
      <c r="B5092" t="s">
        <v>140</v>
      </c>
      <c r="C5092" t="s">
        <v>340</v>
      </c>
      <c r="D5092" t="s">
        <v>704</v>
      </c>
      <c r="F5092" t="s">
        <v>1132</v>
      </c>
      <c r="G5092" t="s">
        <v>5269</v>
      </c>
      <c r="H5092" t="s">
        <v>13460</v>
      </c>
      <c r="I5092" t="s">
        <v>17430</v>
      </c>
      <c r="J5092" t="s">
        <v>18894</v>
      </c>
      <c r="K5092">
        <v>11216</v>
      </c>
      <c r="L5092" t="s">
        <v>18958</v>
      </c>
      <c r="M5092" t="s">
        <v>18958</v>
      </c>
      <c r="N5092" t="s">
        <v>22786</v>
      </c>
      <c r="O5092" t="s">
        <v>26524</v>
      </c>
      <c r="P5092" t="s">
        <v>26560</v>
      </c>
      <c r="R5092" t="s">
        <v>26588</v>
      </c>
      <c r="S5092" t="s">
        <v>18958</v>
      </c>
      <c r="U5092" t="s">
        <v>26604</v>
      </c>
      <c r="V5092" t="s">
        <v>26612</v>
      </c>
      <c r="W5092" t="s">
        <v>739</v>
      </c>
      <c r="X5092">
        <v>650</v>
      </c>
      <c r="Y5092" t="s">
        <v>26652</v>
      </c>
      <c r="Z5092" t="s">
        <v>26667</v>
      </c>
      <c r="AB5092" t="s">
        <v>30831</v>
      </c>
      <c r="AE5092">
        <v>7</v>
      </c>
      <c r="AG5092" t="s">
        <v>19330</v>
      </c>
      <c r="AH5092">
        <v>12</v>
      </c>
      <c r="AI5092">
        <v>1</v>
      </c>
      <c r="AJ5092">
        <v>2</v>
      </c>
      <c r="AK5092">
        <v>88.93000000000001</v>
      </c>
      <c r="AN5092" t="s">
        <v>7439</v>
      </c>
      <c r="AO5092">
        <v>18480</v>
      </c>
      <c r="AU5092">
        <v>41.2</v>
      </c>
      <c r="AV5092" t="s">
        <v>805</v>
      </c>
      <c r="AW5092" t="s">
        <v>46862</v>
      </c>
    </row>
    <row r="5093" spans="1:50">
      <c r="A5093" s="1">
        <f>HYPERLINK("https://lsnyc.legalserver.org/matter/dynamic-profile/view/1887330","19-1887330")</f>
        <v>0</v>
      </c>
      <c r="B5093" t="s">
        <v>106</v>
      </c>
      <c r="C5093" t="s">
        <v>340</v>
      </c>
      <c r="D5093" t="s">
        <v>704</v>
      </c>
      <c r="F5093" t="s">
        <v>3284</v>
      </c>
      <c r="G5093" t="s">
        <v>7546</v>
      </c>
      <c r="H5093" t="s">
        <v>10249</v>
      </c>
      <c r="I5093" t="s">
        <v>17293</v>
      </c>
      <c r="J5093" t="s">
        <v>18894</v>
      </c>
      <c r="K5093">
        <v>11216</v>
      </c>
      <c r="L5093" t="s">
        <v>18958</v>
      </c>
      <c r="M5093" t="s">
        <v>18958</v>
      </c>
      <c r="N5093" t="s">
        <v>22787</v>
      </c>
      <c r="O5093" t="s">
        <v>26523</v>
      </c>
      <c r="P5093" t="s">
        <v>26560</v>
      </c>
      <c r="R5093" t="s">
        <v>26588</v>
      </c>
      <c r="S5093" t="s">
        <v>18959</v>
      </c>
      <c r="U5093" t="s">
        <v>26604</v>
      </c>
      <c r="W5093" t="s">
        <v>739</v>
      </c>
      <c r="X5093">
        <v>0</v>
      </c>
      <c r="Y5093" t="s">
        <v>26652</v>
      </c>
      <c r="Z5093" t="s">
        <v>26669</v>
      </c>
      <c r="AB5093" t="s">
        <v>30832</v>
      </c>
      <c r="AE5093">
        <v>0</v>
      </c>
      <c r="AG5093" t="s">
        <v>45556</v>
      </c>
      <c r="AH5093">
        <v>19</v>
      </c>
      <c r="AI5093">
        <v>2</v>
      </c>
      <c r="AJ5093">
        <v>0</v>
      </c>
      <c r="AK5093">
        <v>110.57</v>
      </c>
      <c r="AN5093" t="s">
        <v>7439</v>
      </c>
      <c r="AO5093">
        <v>18200.25</v>
      </c>
      <c r="AU5093">
        <v>19.2</v>
      </c>
      <c r="AV5093" t="s">
        <v>821</v>
      </c>
      <c r="AW5093" t="s">
        <v>46853</v>
      </c>
    </row>
    <row r="5094" spans="1:50">
      <c r="A5094" s="1">
        <f>HYPERLINK("https://lsnyc.legalserver.org/matter/dynamic-profile/view/1887287","19-1887287")</f>
        <v>0</v>
      </c>
      <c r="B5094" t="s">
        <v>172</v>
      </c>
      <c r="C5094" t="s">
        <v>340</v>
      </c>
      <c r="D5094" t="s">
        <v>704</v>
      </c>
      <c r="F5094" t="s">
        <v>3285</v>
      </c>
      <c r="G5094" t="s">
        <v>5130</v>
      </c>
      <c r="H5094" t="s">
        <v>13475</v>
      </c>
      <c r="I5094" t="s">
        <v>17306</v>
      </c>
      <c r="J5094" t="s">
        <v>18894</v>
      </c>
      <c r="K5094">
        <v>11213</v>
      </c>
      <c r="L5094" t="s">
        <v>18958</v>
      </c>
      <c r="M5094" t="s">
        <v>18958</v>
      </c>
      <c r="N5094" t="s">
        <v>22788</v>
      </c>
      <c r="O5094" t="s">
        <v>26523</v>
      </c>
      <c r="P5094" t="s">
        <v>26560</v>
      </c>
      <c r="R5094" t="s">
        <v>26586</v>
      </c>
      <c r="U5094" t="s">
        <v>26604</v>
      </c>
      <c r="W5094" t="s">
        <v>739</v>
      </c>
      <c r="X5094">
        <v>1587</v>
      </c>
      <c r="Y5094" t="s">
        <v>26652</v>
      </c>
      <c r="Z5094" t="s">
        <v>26664</v>
      </c>
      <c r="AB5094" t="s">
        <v>30833</v>
      </c>
      <c r="AC5094" t="s">
        <v>35922</v>
      </c>
      <c r="AD5094" t="s">
        <v>41061</v>
      </c>
      <c r="AE5094">
        <v>0</v>
      </c>
      <c r="AG5094" t="s">
        <v>45556</v>
      </c>
      <c r="AH5094">
        <v>19</v>
      </c>
      <c r="AI5094">
        <v>2</v>
      </c>
      <c r="AJ5094">
        <v>2</v>
      </c>
      <c r="AK5094">
        <v>0</v>
      </c>
      <c r="AN5094" t="s">
        <v>7439</v>
      </c>
      <c r="AO5094">
        <v>0</v>
      </c>
      <c r="AU5094">
        <v>18.1</v>
      </c>
      <c r="AV5094" t="s">
        <v>831</v>
      </c>
      <c r="AW5094" t="s">
        <v>46862</v>
      </c>
    </row>
    <row r="5095" spans="1:50">
      <c r="A5095" s="1">
        <f>HYPERLINK("https://lsnyc.legalserver.org/matter/dynamic-profile/view/1887465","19-1887465")</f>
        <v>0</v>
      </c>
      <c r="B5095" t="s">
        <v>170</v>
      </c>
      <c r="C5095" t="s">
        <v>341</v>
      </c>
      <c r="D5095" t="s">
        <v>414</v>
      </c>
      <c r="E5095" t="s">
        <v>574</v>
      </c>
      <c r="F5095" t="s">
        <v>3286</v>
      </c>
      <c r="G5095" t="s">
        <v>7547</v>
      </c>
      <c r="H5095" t="s">
        <v>13476</v>
      </c>
      <c r="I5095" t="s">
        <v>17388</v>
      </c>
      <c r="J5095" t="s">
        <v>18894</v>
      </c>
      <c r="K5095">
        <v>11226</v>
      </c>
      <c r="L5095" t="s">
        <v>18958</v>
      </c>
      <c r="M5095" t="s">
        <v>18958</v>
      </c>
      <c r="N5095" t="s">
        <v>22789</v>
      </c>
      <c r="O5095" t="s">
        <v>26523</v>
      </c>
      <c r="P5095" t="s">
        <v>26560</v>
      </c>
      <c r="Q5095" t="s">
        <v>26568</v>
      </c>
      <c r="R5095" t="s">
        <v>26588</v>
      </c>
      <c r="U5095" t="s">
        <v>26604</v>
      </c>
      <c r="W5095" t="s">
        <v>739</v>
      </c>
      <c r="X5095">
        <v>1481.64</v>
      </c>
      <c r="Y5095" t="s">
        <v>26652</v>
      </c>
      <c r="Z5095" t="s">
        <v>26664</v>
      </c>
      <c r="AA5095" t="s">
        <v>26678</v>
      </c>
      <c r="AB5095" t="s">
        <v>30834</v>
      </c>
      <c r="AC5095" t="s">
        <v>35923</v>
      </c>
      <c r="AD5095" t="s">
        <v>41062</v>
      </c>
      <c r="AE5095">
        <v>0</v>
      </c>
      <c r="AG5095" t="s">
        <v>26530</v>
      </c>
      <c r="AH5095">
        <v>2</v>
      </c>
      <c r="AI5095">
        <v>2</v>
      </c>
      <c r="AJ5095">
        <v>5</v>
      </c>
      <c r="AK5095">
        <v>34.68</v>
      </c>
      <c r="AN5095" t="s">
        <v>7439</v>
      </c>
      <c r="AO5095">
        <v>13200</v>
      </c>
      <c r="AS5095" t="s">
        <v>46499</v>
      </c>
      <c r="AT5095" t="s">
        <v>46772</v>
      </c>
      <c r="AU5095">
        <v>3.3</v>
      </c>
      <c r="AV5095" t="s">
        <v>574</v>
      </c>
      <c r="AW5095" t="s">
        <v>46853</v>
      </c>
    </row>
    <row r="5096" spans="1:50">
      <c r="A5096" s="1">
        <f>HYPERLINK("https://lsnyc.legalserver.org/matter/dynamic-profile/view/1887436","19-1887436")</f>
        <v>0</v>
      </c>
      <c r="B5096" t="s">
        <v>232</v>
      </c>
      <c r="C5096" t="s">
        <v>340</v>
      </c>
      <c r="D5096" t="s">
        <v>414</v>
      </c>
      <c r="F5096" t="s">
        <v>3287</v>
      </c>
      <c r="G5096" t="s">
        <v>3540</v>
      </c>
      <c r="H5096" t="s">
        <v>13477</v>
      </c>
      <c r="I5096" t="s">
        <v>17406</v>
      </c>
      <c r="J5096" t="s">
        <v>18894</v>
      </c>
      <c r="K5096">
        <v>11226</v>
      </c>
      <c r="L5096" t="s">
        <v>18958</v>
      </c>
      <c r="M5096" t="s">
        <v>18958</v>
      </c>
      <c r="N5096" t="s">
        <v>22790</v>
      </c>
      <c r="O5096" t="s">
        <v>26523</v>
      </c>
      <c r="P5096" t="s">
        <v>26560</v>
      </c>
      <c r="R5096" t="s">
        <v>26588</v>
      </c>
      <c r="U5096" t="s">
        <v>26604</v>
      </c>
      <c r="W5096" t="s">
        <v>739</v>
      </c>
      <c r="X5096">
        <v>1185.14</v>
      </c>
      <c r="Y5096" t="s">
        <v>26652</v>
      </c>
      <c r="Z5096" t="s">
        <v>26664</v>
      </c>
      <c r="AB5096" t="s">
        <v>30835</v>
      </c>
      <c r="AD5096" t="s">
        <v>41063</v>
      </c>
      <c r="AE5096">
        <v>59</v>
      </c>
      <c r="AG5096" t="s">
        <v>19330</v>
      </c>
      <c r="AH5096">
        <v>27</v>
      </c>
      <c r="AI5096">
        <v>1</v>
      </c>
      <c r="AJ5096">
        <v>0</v>
      </c>
      <c r="AK5096">
        <v>117.79</v>
      </c>
      <c r="AN5096" t="s">
        <v>7439</v>
      </c>
      <c r="AO5096">
        <v>14300</v>
      </c>
      <c r="AU5096">
        <v>19.1</v>
      </c>
      <c r="AV5096" t="s">
        <v>809</v>
      </c>
      <c r="AW5096" t="s">
        <v>46862</v>
      </c>
    </row>
    <row r="5097" spans="1:50">
      <c r="A5097" s="1">
        <f>HYPERLINK("https://lsnyc.legalserver.org/matter/dynamic-profile/view/1887654","19-1887654")</f>
        <v>0</v>
      </c>
      <c r="B5097" t="s">
        <v>232</v>
      </c>
      <c r="C5097" t="s">
        <v>341</v>
      </c>
      <c r="D5097" t="s">
        <v>415</v>
      </c>
      <c r="E5097" t="s">
        <v>724</v>
      </c>
      <c r="F5097" t="s">
        <v>1300</v>
      </c>
      <c r="G5097" t="s">
        <v>5186</v>
      </c>
      <c r="H5097" t="s">
        <v>13478</v>
      </c>
      <c r="I5097" t="s">
        <v>17334</v>
      </c>
      <c r="J5097" t="s">
        <v>18894</v>
      </c>
      <c r="K5097">
        <v>11238</v>
      </c>
      <c r="L5097" t="s">
        <v>18958</v>
      </c>
      <c r="M5097" t="s">
        <v>18958</v>
      </c>
      <c r="N5097" t="s">
        <v>22791</v>
      </c>
      <c r="O5097" t="s">
        <v>26524</v>
      </c>
      <c r="Q5097" t="s">
        <v>26570</v>
      </c>
      <c r="R5097" t="s">
        <v>26586</v>
      </c>
      <c r="U5097" t="s">
        <v>26604</v>
      </c>
      <c r="W5097" t="s">
        <v>739</v>
      </c>
      <c r="X5097">
        <v>0</v>
      </c>
      <c r="Y5097" t="s">
        <v>26652</v>
      </c>
      <c r="Z5097" t="s">
        <v>26668</v>
      </c>
      <c r="AA5097" t="s">
        <v>26683</v>
      </c>
      <c r="AB5097" t="s">
        <v>30836</v>
      </c>
      <c r="AD5097" t="s">
        <v>41064</v>
      </c>
      <c r="AE5097">
        <v>5</v>
      </c>
      <c r="AG5097" t="s">
        <v>19330</v>
      </c>
      <c r="AH5097">
        <v>24</v>
      </c>
      <c r="AI5097">
        <v>1</v>
      </c>
      <c r="AJ5097">
        <v>2</v>
      </c>
      <c r="AK5097">
        <v>108.41</v>
      </c>
      <c r="AN5097" t="s">
        <v>7439</v>
      </c>
      <c r="AO5097">
        <v>22528</v>
      </c>
      <c r="AU5097">
        <v>1.25</v>
      </c>
      <c r="AV5097" t="s">
        <v>724</v>
      </c>
      <c r="AW5097" t="s">
        <v>46853</v>
      </c>
    </row>
    <row r="5098" spans="1:50">
      <c r="A5098" s="1">
        <f>HYPERLINK("https://lsnyc.legalserver.org/matter/dynamic-profile/view/1887642","19-1887642")</f>
        <v>0</v>
      </c>
      <c r="B5098" t="s">
        <v>167</v>
      </c>
      <c r="C5098" t="s">
        <v>340</v>
      </c>
      <c r="D5098" t="s">
        <v>415</v>
      </c>
      <c r="F5098" t="s">
        <v>3288</v>
      </c>
      <c r="G5098" t="s">
        <v>7548</v>
      </c>
      <c r="H5098" t="s">
        <v>13479</v>
      </c>
      <c r="I5098" t="s">
        <v>17333</v>
      </c>
      <c r="J5098" t="s">
        <v>18894</v>
      </c>
      <c r="K5098">
        <v>11237</v>
      </c>
      <c r="L5098" t="s">
        <v>18958</v>
      </c>
      <c r="M5098" t="s">
        <v>18958</v>
      </c>
      <c r="N5098" t="s">
        <v>22792</v>
      </c>
      <c r="O5098" t="s">
        <v>26523</v>
      </c>
      <c r="P5098" t="s">
        <v>26560</v>
      </c>
      <c r="R5098" t="s">
        <v>26586</v>
      </c>
      <c r="S5098" t="s">
        <v>18959</v>
      </c>
      <c r="U5098" t="s">
        <v>26604</v>
      </c>
      <c r="V5098" t="s">
        <v>26611</v>
      </c>
      <c r="W5098" t="s">
        <v>739</v>
      </c>
      <c r="X5098">
        <v>1356</v>
      </c>
      <c r="Y5098" t="s">
        <v>26652</v>
      </c>
      <c r="Z5098" t="s">
        <v>26661</v>
      </c>
      <c r="AB5098" t="s">
        <v>30787</v>
      </c>
      <c r="AD5098" t="s">
        <v>41065</v>
      </c>
      <c r="AE5098">
        <v>8</v>
      </c>
      <c r="AF5098" t="s">
        <v>45541</v>
      </c>
      <c r="AG5098" t="s">
        <v>19330</v>
      </c>
      <c r="AH5098">
        <v>8</v>
      </c>
      <c r="AI5098">
        <v>2</v>
      </c>
      <c r="AJ5098">
        <v>0</v>
      </c>
      <c r="AK5098">
        <v>185.15</v>
      </c>
      <c r="AN5098" t="s">
        <v>7439</v>
      </c>
      <c r="AO5098">
        <v>30476</v>
      </c>
      <c r="AU5098">
        <v>25.4</v>
      </c>
      <c r="AV5098" t="s">
        <v>836</v>
      </c>
      <c r="AW5098" t="s">
        <v>167</v>
      </c>
    </row>
    <row r="5099" spans="1:50">
      <c r="A5099" s="1">
        <f>HYPERLINK("https://lsnyc.legalserver.org/matter/dynamic-profile/view/1887766","19-1887766")</f>
        <v>0</v>
      </c>
      <c r="B5099" t="s">
        <v>227</v>
      </c>
      <c r="C5099" t="s">
        <v>341</v>
      </c>
      <c r="D5099" t="s">
        <v>458</v>
      </c>
      <c r="E5099" t="s">
        <v>830</v>
      </c>
      <c r="F5099" t="s">
        <v>968</v>
      </c>
      <c r="G5099" t="s">
        <v>2489</v>
      </c>
      <c r="H5099" t="s">
        <v>13480</v>
      </c>
      <c r="I5099" t="s">
        <v>17274</v>
      </c>
      <c r="J5099" t="s">
        <v>18894</v>
      </c>
      <c r="K5099">
        <v>11221</v>
      </c>
      <c r="L5099" t="s">
        <v>18958</v>
      </c>
      <c r="M5099" t="s">
        <v>18958</v>
      </c>
      <c r="N5099" t="s">
        <v>22793</v>
      </c>
      <c r="O5099" t="s">
        <v>26523</v>
      </c>
      <c r="P5099" t="s">
        <v>26560</v>
      </c>
      <c r="Q5099" t="s">
        <v>26568</v>
      </c>
      <c r="R5099" t="s">
        <v>26588</v>
      </c>
      <c r="U5099" t="s">
        <v>26604</v>
      </c>
      <c r="W5099" t="s">
        <v>739</v>
      </c>
      <c r="X5099">
        <v>879.65</v>
      </c>
      <c r="Y5099" t="s">
        <v>26652</v>
      </c>
      <c r="Z5099" t="s">
        <v>26669</v>
      </c>
      <c r="AA5099" t="s">
        <v>26678</v>
      </c>
      <c r="AB5099" t="s">
        <v>30837</v>
      </c>
      <c r="AE5099">
        <v>9</v>
      </c>
      <c r="AG5099" t="s">
        <v>26530</v>
      </c>
      <c r="AH5099">
        <v>0</v>
      </c>
      <c r="AI5099">
        <v>1</v>
      </c>
      <c r="AJ5099">
        <v>0</v>
      </c>
      <c r="AK5099">
        <v>102.01</v>
      </c>
      <c r="AO5099">
        <v>12384</v>
      </c>
      <c r="AS5099" t="s">
        <v>46499</v>
      </c>
      <c r="AU5099">
        <v>9.199999999999999</v>
      </c>
      <c r="AV5099" t="s">
        <v>767</v>
      </c>
      <c r="AW5099" t="s">
        <v>46862</v>
      </c>
    </row>
    <row r="5100" spans="1:50">
      <c r="A5100" s="1">
        <f>HYPERLINK("https://lsnyc.legalserver.org/matter/dynamic-profile/view/1887798","19-1887798")</f>
        <v>0</v>
      </c>
      <c r="B5100" t="s">
        <v>205</v>
      </c>
      <c r="C5100" t="s">
        <v>341</v>
      </c>
      <c r="D5100" t="s">
        <v>458</v>
      </c>
      <c r="E5100" t="s">
        <v>830</v>
      </c>
      <c r="F5100" t="s">
        <v>1527</v>
      </c>
      <c r="G5100" t="s">
        <v>7549</v>
      </c>
      <c r="H5100" t="s">
        <v>13481</v>
      </c>
      <c r="I5100" t="s">
        <v>17324</v>
      </c>
      <c r="J5100" t="s">
        <v>18894</v>
      </c>
      <c r="K5100">
        <v>11207</v>
      </c>
      <c r="L5100" t="s">
        <v>18958</v>
      </c>
      <c r="M5100" t="s">
        <v>18958</v>
      </c>
      <c r="N5100" t="s">
        <v>22794</v>
      </c>
      <c r="O5100" t="s">
        <v>26524</v>
      </c>
      <c r="P5100" t="s">
        <v>26565</v>
      </c>
      <c r="Q5100" t="s">
        <v>26571</v>
      </c>
      <c r="R5100" t="s">
        <v>26578</v>
      </c>
      <c r="S5100" t="s">
        <v>18959</v>
      </c>
      <c r="U5100" t="s">
        <v>26604</v>
      </c>
      <c r="V5100" t="s">
        <v>26610</v>
      </c>
      <c r="W5100" t="s">
        <v>739</v>
      </c>
      <c r="X5100">
        <v>1992</v>
      </c>
      <c r="Y5100" t="s">
        <v>26652</v>
      </c>
      <c r="Z5100" t="s">
        <v>26666</v>
      </c>
      <c r="AA5100" t="s">
        <v>26681</v>
      </c>
      <c r="AB5100" t="s">
        <v>30782</v>
      </c>
      <c r="AC5100" t="s">
        <v>35924</v>
      </c>
      <c r="AD5100" t="s">
        <v>41066</v>
      </c>
      <c r="AE5100">
        <v>3</v>
      </c>
      <c r="AF5100" t="s">
        <v>45547</v>
      </c>
      <c r="AG5100" t="s">
        <v>45556</v>
      </c>
      <c r="AH5100">
        <v>4</v>
      </c>
      <c r="AI5100">
        <v>3</v>
      </c>
      <c r="AJ5100">
        <v>1</v>
      </c>
      <c r="AK5100">
        <v>139.81</v>
      </c>
      <c r="AN5100" t="s">
        <v>7439</v>
      </c>
      <c r="AO5100">
        <v>36000</v>
      </c>
      <c r="AU5100">
        <v>3.75</v>
      </c>
      <c r="AV5100" t="s">
        <v>732</v>
      </c>
      <c r="AW5100" t="s">
        <v>279</v>
      </c>
      <c r="AX5100" t="s">
        <v>46897</v>
      </c>
    </row>
    <row r="5101" spans="1:50">
      <c r="A5101" s="1">
        <f>HYPERLINK("https://lsnyc.legalserver.org/matter/dynamic-profile/view/1887877","19-1887877")</f>
        <v>0</v>
      </c>
      <c r="B5101" t="s">
        <v>227</v>
      </c>
      <c r="C5101" t="s">
        <v>341</v>
      </c>
      <c r="D5101" t="s">
        <v>573</v>
      </c>
      <c r="E5101" t="s">
        <v>830</v>
      </c>
      <c r="F5101" t="s">
        <v>3289</v>
      </c>
      <c r="G5101" t="s">
        <v>7550</v>
      </c>
      <c r="H5101" t="s">
        <v>13482</v>
      </c>
      <c r="I5101" t="s">
        <v>17576</v>
      </c>
      <c r="J5101" t="s">
        <v>18894</v>
      </c>
      <c r="K5101">
        <v>11221</v>
      </c>
      <c r="L5101" t="s">
        <v>18958</v>
      </c>
      <c r="M5101" t="s">
        <v>18958</v>
      </c>
      <c r="N5101" t="s">
        <v>22795</v>
      </c>
      <c r="O5101" t="s">
        <v>26523</v>
      </c>
      <c r="Q5101" t="s">
        <v>26568</v>
      </c>
      <c r="R5101" t="s">
        <v>26588</v>
      </c>
      <c r="U5101" t="s">
        <v>26604</v>
      </c>
      <c r="W5101" t="s">
        <v>739</v>
      </c>
      <c r="X5101">
        <v>2270</v>
      </c>
      <c r="Y5101" t="s">
        <v>26652</v>
      </c>
      <c r="Z5101" t="s">
        <v>26669</v>
      </c>
      <c r="AA5101" t="s">
        <v>26679</v>
      </c>
      <c r="AB5101" t="s">
        <v>30838</v>
      </c>
      <c r="AD5101" t="s">
        <v>41067</v>
      </c>
      <c r="AE5101">
        <v>4</v>
      </c>
      <c r="AG5101" t="s">
        <v>26530</v>
      </c>
      <c r="AH5101">
        <v>-1</v>
      </c>
      <c r="AI5101">
        <v>2</v>
      </c>
      <c r="AJ5101">
        <v>2</v>
      </c>
      <c r="AK5101">
        <v>123.39</v>
      </c>
      <c r="AN5101" t="s">
        <v>7439</v>
      </c>
      <c r="AO5101">
        <v>30972</v>
      </c>
      <c r="AU5101">
        <v>7</v>
      </c>
      <c r="AV5101" t="s">
        <v>795</v>
      </c>
      <c r="AW5101" t="s">
        <v>46853</v>
      </c>
    </row>
    <row r="5102" spans="1:50">
      <c r="A5102" s="1">
        <f>HYPERLINK("https://lsnyc.legalserver.org/matter/dynamic-profile/view/1887930","19-1887930")</f>
        <v>0</v>
      </c>
      <c r="B5102" t="s">
        <v>170</v>
      </c>
      <c r="C5102" t="s">
        <v>341</v>
      </c>
      <c r="D5102" t="s">
        <v>573</v>
      </c>
      <c r="E5102" t="s">
        <v>756</v>
      </c>
      <c r="F5102" t="s">
        <v>3290</v>
      </c>
      <c r="G5102" t="s">
        <v>7551</v>
      </c>
      <c r="H5102" t="s">
        <v>13483</v>
      </c>
      <c r="I5102" t="s">
        <v>18185</v>
      </c>
      <c r="J5102" t="s">
        <v>18894</v>
      </c>
      <c r="K5102">
        <v>11210</v>
      </c>
      <c r="L5102" t="s">
        <v>18958</v>
      </c>
      <c r="M5102" t="s">
        <v>18958</v>
      </c>
      <c r="N5102" t="s">
        <v>22796</v>
      </c>
      <c r="O5102" t="s">
        <v>26523</v>
      </c>
      <c r="P5102" t="s">
        <v>26564</v>
      </c>
      <c r="Q5102" t="s">
        <v>26570</v>
      </c>
      <c r="R5102" t="s">
        <v>26586</v>
      </c>
      <c r="U5102" t="s">
        <v>26604</v>
      </c>
      <c r="W5102" t="s">
        <v>739</v>
      </c>
      <c r="X5102">
        <v>1325</v>
      </c>
      <c r="Y5102" t="s">
        <v>26652</v>
      </c>
      <c r="Z5102" t="s">
        <v>26664</v>
      </c>
      <c r="AA5102" t="s">
        <v>26683</v>
      </c>
      <c r="AB5102" t="s">
        <v>29159</v>
      </c>
      <c r="AC5102" t="s">
        <v>35925</v>
      </c>
      <c r="AE5102">
        <v>25</v>
      </c>
      <c r="AH5102">
        <v>-1</v>
      </c>
      <c r="AI5102">
        <v>1</v>
      </c>
      <c r="AJ5102">
        <v>2</v>
      </c>
      <c r="AK5102">
        <v>100.65</v>
      </c>
      <c r="AN5102" t="s">
        <v>7439</v>
      </c>
      <c r="AO5102">
        <v>20916</v>
      </c>
      <c r="AU5102">
        <v>0.7</v>
      </c>
      <c r="AV5102" t="s">
        <v>756</v>
      </c>
      <c r="AW5102" t="s">
        <v>46853</v>
      </c>
    </row>
    <row r="5103" spans="1:50">
      <c r="A5103" s="1">
        <f>HYPERLINK("https://lsnyc.legalserver.org/matter/dynamic-profile/view/1887983","19-1887983")</f>
        <v>0</v>
      </c>
      <c r="B5103" t="s">
        <v>123</v>
      </c>
      <c r="C5103" t="s">
        <v>341</v>
      </c>
      <c r="D5103" t="s">
        <v>573</v>
      </c>
      <c r="E5103" t="s">
        <v>813</v>
      </c>
      <c r="F5103" t="s">
        <v>2111</v>
      </c>
      <c r="G5103" t="s">
        <v>5986</v>
      </c>
      <c r="H5103" t="s">
        <v>13484</v>
      </c>
      <c r="I5103" t="s">
        <v>18126</v>
      </c>
      <c r="J5103" t="s">
        <v>18894</v>
      </c>
      <c r="K5103">
        <v>11226</v>
      </c>
      <c r="L5103" t="s">
        <v>18958</v>
      </c>
      <c r="M5103" t="s">
        <v>18958</v>
      </c>
      <c r="N5103" t="s">
        <v>22797</v>
      </c>
      <c r="O5103" t="s">
        <v>26523</v>
      </c>
      <c r="P5103" t="s">
        <v>26560</v>
      </c>
      <c r="Q5103" t="s">
        <v>26568</v>
      </c>
      <c r="R5103" t="s">
        <v>26588</v>
      </c>
      <c r="U5103" t="s">
        <v>26604</v>
      </c>
      <c r="W5103" t="s">
        <v>739</v>
      </c>
      <c r="X5103">
        <v>1279</v>
      </c>
      <c r="Y5103" t="s">
        <v>26652</v>
      </c>
      <c r="Z5103" t="s">
        <v>26664</v>
      </c>
      <c r="AA5103" t="s">
        <v>26678</v>
      </c>
      <c r="AB5103" t="s">
        <v>29152</v>
      </c>
      <c r="AD5103" t="s">
        <v>41068</v>
      </c>
      <c r="AE5103">
        <v>47</v>
      </c>
      <c r="AG5103" t="s">
        <v>45556</v>
      </c>
      <c r="AH5103">
        <v>21</v>
      </c>
      <c r="AI5103">
        <v>1</v>
      </c>
      <c r="AJ5103">
        <v>1</v>
      </c>
      <c r="AK5103">
        <v>65.70999999999999</v>
      </c>
      <c r="AO5103">
        <v>10816</v>
      </c>
      <c r="AS5103" t="s">
        <v>46499</v>
      </c>
      <c r="AT5103" t="s">
        <v>46745</v>
      </c>
      <c r="AU5103">
        <v>1.25</v>
      </c>
      <c r="AV5103" t="s">
        <v>756</v>
      </c>
      <c r="AW5103" t="s">
        <v>46862</v>
      </c>
    </row>
    <row r="5104" spans="1:50">
      <c r="A5104" s="1">
        <f>HYPERLINK("https://lsnyc.legalserver.org/matter/dynamic-profile/view/1887988","19-1887988")</f>
        <v>0</v>
      </c>
      <c r="B5104" t="s">
        <v>123</v>
      </c>
      <c r="C5104" t="s">
        <v>341</v>
      </c>
      <c r="D5104" t="s">
        <v>573</v>
      </c>
      <c r="E5104" t="s">
        <v>810</v>
      </c>
      <c r="F5104" t="s">
        <v>964</v>
      </c>
      <c r="G5104" t="s">
        <v>1215</v>
      </c>
      <c r="H5104" t="s">
        <v>13485</v>
      </c>
      <c r="I5104" t="s">
        <v>17355</v>
      </c>
      <c r="J5104" t="s">
        <v>18894</v>
      </c>
      <c r="K5104">
        <v>11226</v>
      </c>
      <c r="L5104" t="s">
        <v>18958</v>
      </c>
      <c r="M5104" t="s">
        <v>18958</v>
      </c>
      <c r="N5104" t="s">
        <v>22798</v>
      </c>
      <c r="O5104" t="s">
        <v>26523</v>
      </c>
      <c r="P5104" t="s">
        <v>26560</v>
      </c>
      <c r="Q5104" t="s">
        <v>26568</v>
      </c>
      <c r="R5104" t="s">
        <v>26588</v>
      </c>
      <c r="U5104" t="s">
        <v>26604</v>
      </c>
      <c r="W5104" t="s">
        <v>739</v>
      </c>
      <c r="X5104">
        <v>1850</v>
      </c>
      <c r="Y5104" t="s">
        <v>26652</v>
      </c>
      <c r="Z5104" t="s">
        <v>26664</v>
      </c>
      <c r="AA5104" t="s">
        <v>26678</v>
      </c>
      <c r="AB5104" t="s">
        <v>30839</v>
      </c>
      <c r="AC5104" t="s">
        <v>35926</v>
      </c>
      <c r="AD5104" t="s">
        <v>41069</v>
      </c>
      <c r="AE5104">
        <v>0</v>
      </c>
      <c r="AF5104" t="s">
        <v>45541</v>
      </c>
      <c r="AH5104">
        <v>6</v>
      </c>
      <c r="AI5104">
        <v>2</v>
      </c>
      <c r="AJ5104">
        <v>2</v>
      </c>
      <c r="AK5104">
        <v>143.98</v>
      </c>
      <c r="AN5104" t="s">
        <v>45585</v>
      </c>
      <c r="AO5104">
        <v>36140</v>
      </c>
      <c r="AS5104" t="s">
        <v>46499</v>
      </c>
      <c r="AT5104" t="s">
        <v>46722</v>
      </c>
      <c r="AU5104">
        <v>6.02</v>
      </c>
      <c r="AV5104" t="s">
        <v>810</v>
      </c>
      <c r="AW5104" t="s">
        <v>46862</v>
      </c>
    </row>
    <row r="5105" spans="1:50">
      <c r="A5105" s="1">
        <f>HYPERLINK("https://lsnyc.legalserver.org/matter/dynamic-profile/view/1887946","19-1887946")</f>
        <v>0</v>
      </c>
      <c r="B5105" t="s">
        <v>101</v>
      </c>
      <c r="C5105" t="s">
        <v>340</v>
      </c>
      <c r="D5105" t="s">
        <v>573</v>
      </c>
      <c r="F5105" t="s">
        <v>3291</v>
      </c>
      <c r="G5105" t="s">
        <v>7552</v>
      </c>
      <c r="H5105" t="s">
        <v>13486</v>
      </c>
      <c r="I5105">
        <v>13</v>
      </c>
      <c r="J5105" t="s">
        <v>18894</v>
      </c>
      <c r="K5105">
        <v>11213</v>
      </c>
      <c r="L5105" t="s">
        <v>18958</v>
      </c>
      <c r="M5105" t="s">
        <v>18958</v>
      </c>
      <c r="N5105" t="s">
        <v>22799</v>
      </c>
      <c r="O5105" t="s">
        <v>26524</v>
      </c>
      <c r="P5105" t="s">
        <v>26560</v>
      </c>
      <c r="R5105" t="s">
        <v>26586</v>
      </c>
      <c r="U5105" t="s">
        <v>26604</v>
      </c>
      <c r="W5105" t="s">
        <v>739</v>
      </c>
      <c r="X5105">
        <v>1320</v>
      </c>
      <c r="Y5105" t="s">
        <v>26652</v>
      </c>
      <c r="Z5105" t="s">
        <v>26664</v>
      </c>
      <c r="AB5105" t="s">
        <v>30840</v>
      </c>
      <c r="AD5105" t="s">
        <v>41070</v>
      </c>
      <c r="AE5105">
        <v>16</v>
      </c>
      <c r="AG5105" t="s">
        <v>19330</v>
      </c>
      <c r="AH5105">
        <v>9</v>
      </c>
      <c r="AI5105">
        <v>3</v>
      </c>
      <c r="AJ5105">
        <v>0</v>
      </c>
      <c r="AK5105">
        <v>160.29</v>
      </c>
      <c r="AN5105" t="s">
        <v>7439</v>
      </c>
      <c r="AO5105">
        <v>33309</v>
      </c>
      <c r="AU5105">
        <v>48.8</v>
      </c>
      <c r="AV5105" t="s">
        <v>834</v>
      </c>
      <c r="AW5105" t="s">
        <v>46853</v>
      </c>
    </row>
    <row r="5106" spans="1:50">
      <c r="A5106" s="1">
        <f>HYPERLINK("https://lsnyc.legalserver.org/matter/dynamic-profile/view/1887999","19-1887999")</f>
        <v>0</v>
      </c>
      <c r="B5106" t="s">
        <v>101</v>
      </c>
      <c r="C5106" t="s">
        <v>340</v>
      </c>
      <c r="D5106" t="s">
        <v>573</v>
      </c>
      <c r="F5106" t="s">
        <v>1992</v>
      </c>
      <c r="G5106" t="s">
        <v>1081</v>
      </c>
      <c r="H5106" t="s">
        <v>13487</v>
      </c>
      <c r="I5106" t="s">
        <v>17507</v>
      </c>
      <c r="J5106" t="s">
        <v>18894</v>
      </c>
      <c r="K5106">
        <v>11221</v>
      </c>
      <c r="L5106" t="s">
        <v>18958</v>
      </c>
      <c r="M5106" t="s">
        <v>18958</v>
      </c>
      <c r="N5106" t="s">
        <v>22800</v>
      </c>
      <c r="O5106" t="s">
        <v>26524</v>
      </c>
      <c r="P5106" t="s">
        <v>26560</v>
      </c>
      <c r="R5106" t="s">
        <v>26588</v>
      </c>
      <c r="U5106" t="s">
        <v>26604</v>
      </c>
      <c r="W5106" t="s">
        <v>739</v>
      </c>
      <c r="X5106">
        <v>677.9400000000001</v>
      </c>
      <c r="Y5106" t="s">
        <v>26652</v>
      </c>
      <c r="Z5106" t="s">
        <v>26659</v>
      </c>
      <c r="AB5106" t="s">
        <v>30841</v>
      </c>
      <c r="AD5106" t="s">
        <v>41071</v>
      </c>
      <c r="AE5106">
        <v>25</v>
      </c>
      <c r="AF5106" t="s">
        <v>45541</v>
      </c>
      <c r="AG5106" t="s">
        <v>19330</v>
      </c>
      <c r="AH5106">
        <v>26</v>
      </c>
      <c r="AI5106">
        <v>1</v>
      </c>
      <c r="AJ5106">
        <v>0</v>
      </c>
      <c r="AK5106">
        <v>174.37</v>
      </c>
      <c r="AN5106" t="s">
        <v>7439</v>
      </c>
      <c r="AO5106">
        <v>21168</v>
      </c>
      <c r="AU5106">
        <v>22.05</v>
      </c>
      <c r="AV5106" t="s">
        <v>828</v>
      </c>
      <c r="AW5106" t="s">
        <v>46862</v>
      </c>
    </row>
    <row r="5107" spans="1:50">
      <c r="A5107" s="1">
        <f>HYPERLINK("https://lsnyc.legalserver.org/matter/dynamic-profile/view/1887920","19-1887920")</f>
        <v>0</v>
      </c>
      <c r="B5107" t="s">
        <v>123</v>
      </c>
      <c r="C5107" t="s">
        <v>340</v>
      </c>
      <c r="D5107" t="s">
        <v>573</v>
      </c>
      <c r="F5107" t="s">
        <v>3292</v>
      </c>
      <c r="G5107" t="s">
        <v>7553</v>
      </c>
      <c r="H5107" t="s">
        <v>13485</v>
      </c>
      <c r="I5107" t="s">
        <v>17425</v>
      </c>
      <c r="J5107" t="s">
        <v>18894</v>
      </c>
      <c r="K5107">
        <v>11226</v>
      </c>
      <c r="L5107" t="s">
        <v>18958</v>
      </c>
      <c r="M5107" t="s">
        <v>18958</v>
      </c>
      <c r="N5107" t="s">
        <v>22801</v>
      </c>
      <c r="O5107" t="s">
        <v>26523</v>
      </c>
      <c r="P5107" t="s">
        <v>26560</v>
      </c>
      <c r="R5107" t="s">
        <v>26588</v>
      </c>
      <c r="U5107" t="s">
        <v>26604</v>
      </c>
      <c r="W5107" t="s">
        <v>739</v>
      </c>
      <c r="X5107">
        <v>1076.25</v>
      </c>
      <c r="Y5107" t="s">
        <v>26652</v>
      </c>
      <c r="Z5107" t="s">
        <v>26664</v>
      </c>
      <c r="AB5107" t="s">
        <v>28850</v>
      </c>
      <c r="AC5107" t="s">
        <v>35927</v>
      </c>
      <c r="AD5107" t="s">
        <v>41072</v>
      </c>
      <c r="AE5107">
        <v>54</v>
      </c>
      <c r="AG5107" t="s">
        <v>19330</v>
      </c>
      <c r="AH5107">
        <v>8</v>
      </c>
      <c r="AI5107">
        <v>2</v>
      </c>
      <c r="AJ5107">
        <v>3</v>
      </c>
      <c r="AK5107">
        <v>134.6</v>
      </c>
      <c r="AO5107">
        <v>39600</v>
      </c>
      <c r="AQ5107" t="s">
        <v>46362</v>
      </c>
      <c r="AR5107" t="s">
        <v>46381</v>
      </c>
      <c r="AS5107" t="s">
        <v>46499</v>
      </c>
      <c r="AT5107" t="s">
        <v>46677</v>
      </c>
      <c r="AU5107">
        <v>7.6</v>
      </c>
      <c r="AV5107" t="s">
        <v>789</v>
      </c>
      <c r="AW5107" t="s">
        <v>46862</v>
      </c>
      <c r="AX5107" t="s">
        <v>46897</v>
      </c>
    </row>
    <row r="5108" spans="1:50">
      <c r="A5108" s="1">
        <f>HYPERLINK("https://lsnyc.legalserver.org/matter/dynamic-profile/view/1888019","19-1888019")</f>
        <v>0</v>
      </c>
      <c r="B5108" t="s">
        <v>123</v>
      </c>
      <c r="C5108" t="s">
        <v>340</v>
      </c>
      <c r="D5108" t="s">
        <v>685</v>
      </c>
      <c r="F5108" t="s">
        <v>1148</v>
      </c>
      <c r="G5108" t="s">
        <v>6557</v>
      </c>
      <c r="H5108" t="s">
        <v>13488</v>
      </c>
      <c r="I5108">
        <v>11213</v>
      </c>
      <c r="J5108" t="s">
        <v>18894</v>
      </c>
      <c r="K5108">
        <v>11213</v>
      </c>
      <c r="L5108" t="s">
        <v>18958</v>
      </c>
      <c r="M5108" t="s">
        <v>18958</v>
      </c>
      <c r="N5108" t="s">
        <v>22802</v>
      </c>
      <c r="O5108" t="s">
        <v>26523</v>
      </c>
      <c r="P5108" t="s">
        <v>26560</v>
      </c>
      <c r="R5108" t="s">
        <v>26586</v>
      </c>
      <c r="U5108" t="s">
        <v>26604</v>
      </c>
      <c r="W5108" t="s">
        <v>739</v>
      </c>
      <c r="X5108">
        <v>1146</v>
      </c>
      <c r="Y5108" t="s">
        <v>26652</v>
      </c>
      <c r="Z5108" t="s">
        <v>26666</v>
      </c>
      <c r="AB5108" t="s">
        <v>27104</v>
      </c>
      <c r="AD5108" t="s">
        <v>41073</v>
      </c>
      <c r="AE5108">
        <v>2</v>
      </c>
      <c r="AG5108" t="s">
        <v>19330</v>
      </c>
      <c r="AH5108">
        <v>20</v>
      </c>
      <c r="AI5108">
        <v>1</v>
      </c>
      <c r="AJ5108">
        <v>0</v>
      </c>
      <c r="AK5108">
        <v>33.61</v>
      </c>
      <c r="AN5108" t="s">
        <v>45581</v>
      </c>
      <c r="AO5108">
        <v>4080</v>
      </c>
      <c r="AU5108">
        <v>15.53</v>
      </c>
      <c r="AV5108" t="s">
        <v>773</v>
      </c>
      <c r="AW5108" t="s">
        <v>46862</v>
      </c>
    </row>
    <row r="5109" spans="1:50">
      <c r="A5109" s="1">
        <f>HYPERLINK("https://lsnyc.legalserver.org/matter/dynamic-profile/view/1888137","19-1888137")</f>
        <v>0</v>
      </c>
      <c r="B5109" t="s">
        <v>202</v>
      </c>
      <c r="C5109" t="s">
        <v>341</v>
      </c>
      <c r="D5109" t="s">
        <v>726</v>
      </c>
      <c r="E5109" t="s">
        <v>820</v>
      </c>
      <c r="F5109" t="s">
        <v>1191</v>
      </c>
      <c r="G5109" t="s">
        <v>5115</v>
      </c>
      <c r="H5109" t="s">
        <v>13489</v>
      </c>
      <c r="I5109" t="s">
        <v>17278</v>
      </c>
      <c r="J5109" t="s">
        <v>18894</v>
      </c>
      <c r="K5109">
        <v>11226</v>
      </c>
      <c r="L5109" t="s">
        <v>18958</v>
      </c>
      <c r="M5109" t="s">
        <v>18958</v>
      </c>
      <c r="N5109" t="s">
        <v>22803</v>
      </c>
      <c r="O5109" t="s">
        <v>26523</v>
      </c>
      <c r="P5109" t="s">
        <v>26560</v>
      </c>
      <c r="Q5109" t="s">
        <v>26573</v>
      </c>
      <c r="R5109" t="s">
        <v>26588</v>
      </c>
      <c r="S5109" t="s">
        <v>18959</v>
      </c>
      <c r="U5109" t="s">
        <v>26604</v>
      </c>
      <c r="V5109" t="s">
        <v>26610</v>
      </c>
      <c r="W5109" t="s">
        <v>739</v>
      </c>
      <c r="X5109">
        <v>1268</v>
      </c>
      <c r="Y5109" t="s">
        <v>26652</v>
      </c>
      <c r="Z5109" t="s">
        <v>26664</v>
      </c>
      <c r="AA5109" t="s">
        <v>26678</v>
      </c>
      <c r="AB5109" t="s">
        <v>30842</v>
      </c>
      <c r="AE5109">
        <v>59</v>
      </c>
      <c r="AF5109" t="s">
        <v>20460</v>
      </c>
      <c r="AG5109" t="s">
        <v>19330</v>
      </c>
      <c r="AH5109">
        <v>6</v>
      </c>
      <c r="AI5109">
        <v>3</v>
      </c>
      <c r="AJ5109">
        <v>2</v>
      </c>
      <c r="AK5109">
        <v>116.01</v>
      </c>
      <c r="AN5109" t="s">
        <v>7439</v>
      </c>
      <c r="AO5109">
        <v>35000</v>
      </c>
      <c r="AQ5109" t="s">
        <v>46359</v>
      </c>
      <c r="AR5109" t="s">
        <v>46379</v>
      </c>
      <c r="AS5109" t="s">
        <v>46499</v>
      </c>
      <c r="AT5109" t="s">
        <v>46737</v>
      </c>
      <c r="AU5109">
        <v>12.1</v>
      </c>
      <c r="AV5109" t="s">
        <v>820</v>
      </c>
      <c r="AW5109" t="s">
        <v>46862</v>
      </c>
    </row>
    <row r="5110" spans="1:50">
      <c r="A5110" s="1">
        <f>HYPERLINK("https://lsnyc.legalserver.org/matter/dynamic-profile/view/1888513","19-1888513")</f>
        <v>0</v>
      </c>
      <c r="B5110" t="s">
        <v>50</v>
      </c>
      <c r="C5110" t="s">
        <v>341</v>
      </c>
      <c r="D5110" t="s">
        <v>719</v>
      </c>
      <c r="E5110" t="s">
        <v>760</v>
      </c>
      <c r="F5110" t="s">
        <v>1548</v>
      </c>
      <c r="G5110" t="s">
        <v>2564</v>
      </c>
      <c r="H5110" t="s">
        <v>13152</v>
      </c>
      <c r="I5110" t="s">
        <v>17325</v>
      </c>
      <c r="J5110" t="s">
        <v>18892</v>
      </c>
      <c r="K5110">
        <v>10456</v>
      </c>
      <c r="L5110" t="s">
        <v>18958</v>
      </c>
      <c r="M5110" t="s">
        <v>18958</v>
      </c>
      <c r="N5110" t="s">
        <v>22804</v>
      </c>
      <c r="O5110" t="s">
        <v>26534</v>
      </c>
      <c r="P5110" t="s">
        <v>26561</v>
      </c>
      <c r="Q5110" t="s">
        <v>26572</v>
      </c>
      <c r="R5110" t="s">
        <v>26577</v>
      </c>
      <c r="S5110" t="s">
        <v>18959</v>
      </c>
      <c r="U5110" t="s">
        <v>26604</v>
      </c>
      <c r="W5110" t="s">
        <v>739</v>
      </c>
      <c r="X5110">
        <v>1004.69</v>
      </c>
      <c r="Y5110" t="s">
        <v>26650</v>
      </c>
      <c r="Z5110" t="s">
        <v>26664</v>
      </c>
      <c r="AA5110" t="s">
        <v>26681</v>
      </c>
      <c r="AB5110" t="s">
        <v>30502</v>
      </c>
      <c r="AD5110" t="s">
        <v>40682</v>
      </c>
      <c r="AE5110">
        <v>48</v>
      </c>
      <c r="AF5110" t="s">
        <v>45541</v>
      </c>
      <c r="AG5110" t="s">
        <v>45560</v>
      </c>
      <c r="AH5110">
        <v>29</v>
      </c>
      <c r="AI5110">
        <v>2</v>
      </c>
      <c r="AJ5110">
        <v>0</v>
      </c>
      <c r="AK5110">
        <v>160.45</v>
      </c>
      <c r="AN5110" t="s">
        <v>7439</v>
      </c>
      <c r="AO5110">
        <v>26410</v>
      </c>
      <c r="AP5110" t="s">
        <v>45842</v>
      </c>
      <c r="AQ5110" t="s">
        <v>46362</v>
      </c>
      <c r="AR5110" t="s">
        <v>46385</v>
      </c>
      <c r="AS5110" t="s">
        <v>46499</v>
      </c>
      <c r="AT5110" t="s">
        <v>46631</v>
      </c>
      <c r="AU5110">
        <v>1.25</v>
      </c>
      <c r="AV5110" t="s">
        <v>792</v>
      </c>
      <c r="AW5110" t="s">
        <v>46870</v>
      </c>
    </row>
    <row r="5111" spans="1:50">
      <c r="A5111" s="1">
        <f>HYPERLINK("https://lsnyc.legalserver.org/matter/dynamic-profile/view/1888467","19-1888467")</f>
        <v>0</v>
      </c>
      <c r="B5111" t="s">
        <v>193</v>
      </c>
      <c r="C5111" t="s">
        <v>341</v>
      </c>
      <c r="D5111" t="s">
        <v>719</v>
      </c>
      <c r="E5111" t="s">
        <v>864</v>
      </c>
      <c r="F5111" t="s">
        <v>970</v>
      </c>
      <c r="G5111" t="s">
        <v>7554</v>
      </c>
      <c r="H5111" t="s">
        <v>13490</v>
      </c>
      <c r="I5111" t="s">
        <v>18125</v>
      </c>
      <c r="J5111" t="s">
        <v>18894</v>
      </c>
      <c r="K5111">
        <v>11236</v>
      </c>
      <c r="L5111" t="s">
        <v>18958</v>
      </c>
      <c r="M5111" t="s">
        <v>18958</v>
      </c>
      <c r="N5111" t="s">
        <v>22805</v>
      </c>
      <c r="O5111" t="s">
        <v>26523</v>
      </c>
      <c r="P5111" t="s">
        <v>26564</v>
      </c>
      <c r="Q5111" t="s">
        <v>26570</v>
      </c>
      <c r="R5111" t="s">
        <v>26586</v>
      </c>
      <c r="S5111" t="s">
        <v>18959</v>
      </c>
      <c r="U5111" t="s">
        <v>26604</v>
      </c>
      <c r="W5111" t="s">
        <v>739</v>
      </c>
      <c r="X5111">
        <v>1800</v>
      </c>
      <c r="Y5111" t="s">
        <v>26652</v>
      </c>
      <c r="Z5111" t="s">
        <v>26664</v>
      </c>
      <c r="AA5111" t="s">
        <v>26683</v>
      </c>
      <c r="AB5111" t="s">
        <v>30843</v>
      </c>
      <c r="AD5111" t="s">
        <v>41074</v>
      </c>
      <c r="AE5111">
        <v>3</v>
      </c>
      <c r="AH5111">
        <v>-1</v>
      </c>
      <c r="AI5111">
        <v>1</v>
      </c>
      <c r="AJ5111">
        <v>0</v>
      </c>
      <c r="AK5111">
        <v>0</v>
      </c>
      <c r="AN5111" t="s">
        <v>7439</v>
      </c>
      <c r="AO5111">
        <v>0</v>
      </c>
      <c r="AU5111">
        <v>2.9</v>
      </c>
      <c r="AV5111" t="s">
        <v>702</v>
      </c>
      <c r="AW5111" t="s">
        <v>46862</v>
      </c>
    </row>
    <row r="5112" spans="1:50">
      <c r="A5112" s="1">
        <f>HYPERLINK("https://lsnyc.legalserver.org/matter/dynamic-profile/view/1888463","19-1888463")</f>
        <v>0</v>
      </c>
      <c r="B5112" t="s">
        <v>69</v>
      </c>
      <c r="C5112" t="s">
        <v>340</v>
      </c>
      <c r="D5112" t="s">
        <v>719</v>
      </c>
      <c r="F5112" t="s">
        <v>1081</v>
      </c>
      <c r="G5112" t="s">
        <v>6634</v>
      </c>
      <c r="H5112" t="s">
        <v>13491</v>
      </c>
      <c r="I5112" t="s">
        <v>17344</v>
      </c>
      <c r="J5112" t="s">
        <v>18892</v>
      </c>
      <c r="K5112">
        <v>10473</v>
      </c>
      <c r="L5112" t="s">
        <v>18958</v>
      </c>
      <c r="M5112" t="s">
        <v>18958</v>
      </c>
      <c r="N5112" t="s">
        <v>22806</v>
      </c>
      <c r="O5112" t="s">
        <v>26523</v>
      </c>
      <c r="P5112" t="s">
        <v>26560</v>
      </c>
      <c r="R5112" t="s">
        <v>26577</v>
      </c>
      <c r="U5112" t="s">
        <v>26604</v>
      </c>
      <c r="V5112" t="s">
        <v>26610</v>
      </c>
      <c r="W5112" t="s">
        <v>739</v>
      </c>
      <c r="X5112">
        <v>743</v>
      </c>
      <c r="Y5112" t="s">
        <v>26650</v>
      </c>
      <c r="Z5112" t="s">
        <v>26668</v>
      </c>
      <c r="AB5112" t="s">
        <v>30844</v>
      </c>
      <c r="AD5112" t="s">
        <v>41075</v>
      </c>
      <c r="AE5112">
        <v>0</v>
      </c>
      <c r="AF5112" t="s">
        <v>45549</v>
      </c>
      <c r="AH5112">
        <v>5</v>
      </c>
      <c r="AI5112">
        <v>1</v>
      </c>
      <c r="AJ5112">
        <v>0</v>
      </c>
      <c r="AK5112">
        <v>210.31</v>
      </c>
      <c r="AL5112" t="s">
        <v>751</v>
      </c>
      <c r="AM5112" t="s">
        <v>45575</v>
      </c>
      <c r="AN5112" t="s">
        <v>7439</v>
      </c>
      <c r="AO5112">
        <v>25532</v>
      </c>
      <c r="AP5112" t="s">
        <v>45659</v>
      </c>
      <c r="AU5112">
        <v>15.05</v>
      </c>
      <c r="AV5112" t="s">
        <v>829</v>
      </c>
      <c r="AW5112" t="s">
        <v>334</v>
      </c>
    </row>
    <row r="5113" spans="1:50">
      <c r="A5113" s="1">
        <f>HYPERLINK("https://lsnyc.legalserver.org/matter/dynamic-profile/view/1888614","19-1888614")</f>
        <v>0</v>
      </c>
      <c r="B5113" t="s">
        <v>101</v>
      </c>
      <c r="C5113" t="s">
        <v>340</v>
      </c>
      <c r="D5113" t="s">
        <v>707</v>
      </c>
      <c r="F5113" t="s">
        <v>3293</v>
      </c>
      <c r="G5113" t="s">
        <v>5561</v>
      </c>
      <c r="H5113" t="s">
        <v>13492</v>
      </c>
      <c r="I5113" t="s">
        <v>17301</v>
      </c>
      <c r="J5113" t="s">
        <v>18894</v>
      </c>
      <c r="K5113">
        <v>11229</v>
      </c>
      <c r="L5113" t="s">
        <v>18958</v>
      </c>
      <c r="M5113" t="s">
        <v>18958</v>
      </c>
      <c r="N5113" t="s">
        <v>22807</v>
      </c>
      <c r="O5113" t="s">
        <v>26523</v>
      </c>
      <c r="P5113" t="s">
        <v>26560</v>
      </c>
      <c r="R5113" t="s">
        <v>26586</v>
      </c>
      <c r="U5113" t="s">
        <v>26605</v>
      </c>
      <c r="W5113" t="s">
        <v>739</v>
      </c>
      <c r="X5113">
        <v>1367</v>
      </c>
      <c r="Y5113" t="s">
        <v>26652</v>
      </c>
      <c r="Z5113" t="s">
        <v>26664</v>
      </c>
      <c r="AB5113" t="s">
        <v>30845</v>
      </c>
      <c r="AD5113" t="s">
        <v>41076</v>
      </c>
      <c r="AE5113">
        <v>24</v>
      </c>
      <c r="AF5113" t="s">
        <v>45542</v>
      </c>
      <c r="AG5113" t="s">
        <v>19330</v>
      </c>
      <c r="AH5113">
        <v>22</v>
      </c>
      <c r="AI5113">
        <v>2</v>
      </c>
      <c r="AJ5113">
        <v>1</v>
      </c>
      <c r="AK5113">
        <v>178.15</v>
      </c>
      <c r="AN5113" t="s">
        <v>7439</v>
      </c>
      <c r="AO5113">
        <v>38000</v>
      </c>
      <c r="AU5113">
        <v>26.6</v>
      </c>
      <c r="AV5113" t="s">
        <v>808</v>
      </c>
      <c r="AW5113" t="s">
        <v>46853</v>
      </c>
    </row>
    <row r="5114" spans="1:50">
      <c r="A5114" s="1">
        <f>HYPERLINK("https://lsnyc.legalserver.org/matter/dynamic-profile/view/1888584","19-1888584")</f>
        <v>0</v>
      </c>
      <c r="B5114" t="s">
        <v>129</v>
      </c>
      <c r="C5114" t="s">
        <v>340</v>
      </c>
      <c r="D5114" t="s">
        <v>707</v>
      </c>
      <c r="F5114" t="s">
        <v>933</v>
      </c>
      <c r="G5114" t="s">
        <v>6908</v>
      </c>
      <c r="H5114" t="s">
        <v>13493</v>
      </c>
      <c r="I5114" t="s">
        <v>17344</v>
      </c>
      <c r="J5114" t="s">
        <v>18894</v>
      </c>
      <c r="K5114">
        <v>11226</v>
      </c>
      <c r="L5114" t="s">
        <v>18958</v>
      </c>
      <c r="M5114" t="s">
        <v>18960</v>
      </c>
      <c r="N5114" t="s">
        <v>22808</v>
      </c>
      <c r="O5114" t="s">
        <v>26523</v>
      </c>
      <c r="P5114" t="s">
        <v>26560</v>
      </c>
      <c r="R5114" t="s">
        <v>26588</v>
      </c>
      <c r="U5114" t="s">
        <v>26604</v>
      </c>
      <c r="W5114" t="s">
        <v>739</v>
      </c>
      <c r="X5114">
        <v>1070.82</v>
      </c>
      <c r="Y5114" t="s">
        <v>26652</v>
      </c>
      <c r="Z5114" t="s">
        <v>26664</v>
      </c>
      <c r="AB5114" t="s">
        <v>30846</v>
      </c>
      <c r="AD5114" t="s">
        <v>41077</v>
      </c>
      <c r="AE5114">
        <v>30</v>
      </c>
      <c r="AG5114" t="s">
        <v>19330</v>
      </c>
      <c r="AH5114">
        <v>20</v>
      </c>
      <c r="AI5114">
        <v>2</v>
      </c>
      <c r="AJ5114">
        <v>2</v>
      </c>
      <c r="AK5114">
        <v>116.74</v>
      </c>
      <c r="AN5114" t="s">
        <v>7439</v>
      </c>
      <c r="AO5114">
        <v>30060</v>
      </c>
      <c r="AU5114">
        <v>18.75</v>
      </c>
      <c r="AV5114" t="s">
        <v>832</v>
      </c>
      <c r="AW5114" t="s">
        <v>46862</v>
      </c>
    </row>
    <row r="5115" spans="1:50">
      <c r="A5115" s="1">
        <f>HYPERLINK("https://lsnyc.legalserver.org/matter/dynamic-profile/view/1888623","19-1888623")</f>
        <v>0</v>
      </c>
      <c r="B5115" t="s">
        <v>129</v>
      </c>
      <c r="C5115" t="s">
        <v>340</v>
      </c>
      <c r="D5115" t="s">
        <v>707</v>
      </c>
      <c r="F5115" t="s">
        <v>3294</v>
      </c>
      <c r="G5115" t="s">
        <v>7555</v>
      </c>
      <c r="H5115" t="s">
        <v>13494</v>
      </c>
      <c r="I5115" t="s">
        <v>17299</v>
      </c>
      <c r="J5115" t="s">
        <v>18894</v>
      </c>
      <c r="K5115">
        <v>11221</v>
      </c>
      <c r="L5115" t="s">
        <v>18958</v>
      </c>
      <c r="M5115" t="s">
        <v>18958</v>
      </c>
      <c r="N5115" t="s">
        <v>22809</v>
      </c>
      <c r="O5115" t="s">
        <v>26523</v>
      </c>
      <c r="P5115" t="s">
        <v>26560</v>
      </c>
      <c r="R5115" t="s">
        <v>26588</v>
      </c>
      <c r="S5115" t="s">
        <v>18959</v>
      </c>
      <c r="U5115" t="s">
        <v>26604</v>
      </c>
      <c r="V5115" t="s">
        <v>26610</v>
      </c>
      <c r="W5115" t="s">
        <v>739</v>
      </c>
      <c r="X5115">
        <v>1119</v>
      </c>
      <c r="Y5115" t="s">
        <v>26652</v>
      </c>
      <c r="Z5115" t="s">
        <v>26669</v>
      </c>
      <c r="AB5115" t="s">
        <v>30847</v>
      </c>
      <c r="AD5115" t="s">
        <v>41078</v>
      </c>
      <c r="AE5115">
        <v>6</v>
      </c>
      <c r="AF5115" t="s">
        <v>45541</v>
      </c>
      <c r="AG5115" t="s">
        <v>19330</v>
      </c>
      <c r="AH5115">
        <v>5</v>
      </c>
      <c r="AI5115">
        <v>2</v>
      </c>
      <c r="AJ5115">
        <v>0</v>
      </c>
      <c r="AK5115">
        <v>184.51</v>
      </c>
      <c r="AN5115" t="s">
        <v>7439</v>
      </c>
      <c r="AO5115">
        <v>31200</v>
      </c>
      <c r="AU5115">
        <v>18.6</v>
      </c>
      <c r="AV5115" t="s">
        <v>819</v>
      </c>
      <c r="AW5115" t="s">
        <v>46862</v>
      </c>
      <c r="AX5115" t="s">
        <v>46897</v>
      </c>
    </row>
    <row r="5116" spans="1:50">
      <c r="A5116" s="1">
        <f>HYPERLINK("https://lsnyc.legalserver.org/matter/dynamic-profile/view/1888701","19-1888701")</f>
        <v>0</v>
      </c>
      <c r="B5116" t="s">
        <v>232</v>
      </c>
      <c r="C5116" t="s">
        <v>341</v>
      </c>
      <c r="D5116" t="s">
        <v>698</v>
      </c>
      <c r="E5116" t="s">
        <v>763</v>
      </c>
      <c r="F5116" t="s">
        <v>2275</v>
      </c>
      <c r="G5116" t="s">
        <v>5143</v>
      </c>
      <c r="H5116" t="s">
        <v>11671</v>
      </c>
      <c r="I5116" t="s">
        <v>17440</v>
      </c>
      <c r="J5116" t="s">
        <v>18894</v>
      </c>
      <c r="K5116">
        <v>11236</v>
      </c>
      <c r="L5116" t="s">
        <v>18958</v>
      </c>
      <c r="M5116" t="s">
        <v>18958</v>
      </c>
      <c r="N5116" t="s">
        <v>22810</v>
      </c>
      <c r="O5116" t="s">
        <v>26523</v>
      </c>
      <c r="Q5116" t="s">
        <v>26568</v>
      </c>
      <c r="R5116" t="s">
        <v>26586</v>
      </c>
      <c r="U5116" t="s">
        <v>26605</v>
      </c>
      <c r="W5116" t="s">
        <v>739</v>
      </c>
      <c r="X5116">
        <v>485</v>
      </c>
      <c r="Y5116" t="s">
        <v>26652</v>
      </c>
      <c r="AA5116" t="s">
        <v>26680</v>
      </c>
      <c r="AB5116" t="s">
        <v>28888</v>
      </c>
      <c r="AD5116" t="s">
        <v>38946</v>
      </c>
      <c r="AE5116">
        <v>70</v>
      </c>
      <c r="AF5116" t="s">
        <v>45542</v>
      </c>
      <c r="AH5116">
        <v>7</v>
      </c>
      <c r="AI5116">
        <v>2</v>
      </c>
      <c r="AJ5116">
        <v>1</v>
      </c>
      <c r="AK5116">
        <v>93.17</v>
      </c>
      <c r="AN5116" t="s">
        <v>7439</v>
      </c>
      <c r="AO5116">
        <v>19874</v>
      </c>
      <c r="AS5116" t="s">
        <v>46499</v>
      </c>
      <c r="AT5116" t="s">
        <v>46746</v>
      </c>
      <c r="AU5116">
        <v>2</v>
      </c>
      <c r="AV5116" t="s">
        <v>739</v>
      </c>
      <c r="AW5116" t="s">
        <v>46853</v>
      </c>
    </row>
    <row r="5117" spans="1:50">
      <c r="A5117" s="1">
        <f>HYPERLINK("https://lsnyc.legalserver.org/matter/dynamic-profile/view/1888705","19-1888705")</f>
        <v>0</v>
      </c>
      <c r="B5117" t="s">
        <v>232</v>
      </c>
      <c r="C5117" t="s">
        <v>341</v>
      </c>
      <c r="D5117" t="s">
        <v>698</v>
      </c>
      <c r="E5117" t="s">
        <v>763</v>
      </c>
      <c r="F5117" t="s">
        <v>2275</v>
      </c>
      <c r="G5117" t="s">
        <v>5143</v>
      </c>
      <c r="H5117" t="s">
        <v>11671</v>
      </c>
      <c r="I5117" t="s">
        <v>17440</v>
      </c>
      <c r="J5117" t="s">
        <v>18894</v>
      </c>
      <c r="K5117">
        <v>11236</v>
      </c>
      <c r="L5117" t="s">
        <v>18958</v>
      </c>
      <c r="M5117" t="s">
        <v>18958</v>
      </c>
      <c r="N5117" t="s">
        <v>22811</v>
      </c>
      <c r="O5117" t="s">
        <v>26523</v>
      </c>
      <c r="Q5117" t="s">
        <v>26568</v>
      </c>
      <c r="R5117" t="s">
        <v>26586</v>
      </c>
      <c r="U5117" t="s">
        <v>26605</v>
      </c>
      <c r="W5117" t="s">
        <v>739</v>
      </c>
      <c r="X5117">
        <v>485</v>
      </c>
      <c r="Y5117" t="s">
        <v>26652</v>
      </c>
      <c r="AA5117" t="s">
        <v>26680</v>
      </c>
      <c r="AB5117" t="s">
        <v>28888</v>
      </c>
      <c r="AD5117" t="s">
        <v>38946</v>
      </c>
      <c r="AE5117">
        <v>70</v>
      </c>
      <c r="AF5117" t="s">
        <v>45542</v>
      </c>
      <c r="AG5117" t="s">
        <v>19330</v>
      </c>
      <c r="AH5117">
        <v>7</v>
      </c>
      <c r="AI5117">
        <v>2</v>
      </c>
      <c r="AJ5117">
        <v>1</v>
      </c>
      <c r="AK5117">
        <v>93.17</v>
      </c>
      <c r="AN5117" t="s">
        <v>7439</v>
      </c>
      <c r="AO5117">
        <v>19874</v>
      </c>
      <c r="AS5117" t="s">
        <v>46499</v>
      </c>
      <c r="AT5117" t="s">
        <v>46746</v>
      </c>
      <c r="AU5117">
        <v>0.1</v>
      </c>
      <c r="AV5117" t="s">
        <v>763</v>
      </c>
      <c r="AW5117" t="s">
        <v>46853</v>
      </c>
    </row>
    <row r="5118" spans="1:50">
      <c r="A5118" s="1">
        <f>HYPERLINK("https://lsnyc.legalserver.org/matter/dynamic-profile/view/1888794","19-1888794")</f>
        <v>0</v>
      </c>
      <c r="B5118" t="s">
        <v>172</v>
      </c>
      <c r="C5118" t="s">
        <v>340</v>
      </c>
      <c r="D5118" t="s">
        <v>698</v>
      </c>
      <c r="F5118" t="s">
        <v>3273</v>
      </c>
      <c r="G5118" t="s">
        <v>945</v>
      </c>
      <c r="H5118" t="s">
        <v>13495</v>
      </c>
      <c r="I5118" t="s">
        <v>18186</v>
      </c>
      <c r="J5118" t="s">
        <v>18894</v>
      </c>
      <c r="K5118">
        <v>11224</v>
      </c>
      <c r="L5118" t="s">
        <v>18958</v>
      </c>
      <c r="M5118" t="s">
        <v>18958</v>
      </c>
      <c r="N5118" t="s">
        <v>22812</v>
      </c>
      <c r="O5118" t="s">
        <v>26523</v>
      </c>
      <c r="P5118" t="s">
        <v>26560</v>
      </c>
      <c r="R5118" t="s">
        <v>26586</v>
      </c>
      <c r="U5118" t="s">
        <v>26604</v>
      </c>
      <c r="V5118" t="s">
        <v>26611</v>
      </c>
      <c r="W5118" t="s">
        <v>739</v>
      </c>
      <c r="X5118">
        <v>2825</v>
      </c>
      <c r="Y5118" t="s">
        <v>26652</v>
      </c>
      <c r="Z5118" t="s">
        <v>26664</v>
      </c>
      <c r="AB5118" t="s">
        <v>30848</v>
      </c>
      <c r="AD5118" t="s">
        <v>41079</v>
      </c>
      <c r="AE5118">
        <v>0</v>
      </c>
      <c r="AG5118" t="s">
        <v>45556</v>
      </c>
      <c r="AH5118">
        <v>43</v>
      </c>
      <c r="AI5118">
        <v>2</v>
      </c>
      <c r="AJ5118">
        <v>0</v>
      </c>
      <c r="AK5118">
        <v>166.1</v>
      </c>
      <c r="AN5118" t="s">
        <v>7439</v>
      </c>
      <c r="AO5118">
        <v>28088</v>
      </c>
      <c r="AU5118">
        <v>14.1</v>
      </c>
      <c r="AV5118" t="s">
        <v>830</v>
      </c>
      <c r="AW5118" t="s">
        <v>46853</v>
      </c>
    </row>
    <row r="5119" spans="1:50">
      <c r="A5119" s="1">
        <f>HYPERLINK("https://lsnyc.legalserver.org/matter/dynamic-profile/view/1889083","19-1889083")</f>
        <v>0</v>
      </c>
      <c r="B5119" t="s">
        <v>230</v>
      </c>
      <c r="C5119" t="s">
        <v>340</v>
      </c>
      <c r="D5119" t="s">
        <v>709</v>
      </c>
      <c r="F5119" t="s">
        <v>3295</v>
      </c>
      <c r="G5119" t="s">
        <v>5575</v>
      </c>
      <c r="H5119" t="s">
        <v>13496</v>
      </c>
      <c r="I5119" t="s">
        <v>17309</v>
      </c>
      <c r="J5119" t="s">
        <v>18894</v>
      </c>
      <c r="K5119">
        <v>11226</v>
      </c>
      <c r="L5119" t="s">
        <v>18958</v>
      </c>
      <c r="M5119" t="s">
        <v>18958</v>
      </c>
      <c r="N5119" t="s">
        <v>22813</v>
      </c>
      <c r="O5119" t="s">
        <v>26523</v>
      </c>
      <c r="P5119" t="s">
        <v>26560</v>
      </c>
      <c r="R5119" t="s">
        <v>26588</v>
      </c>
      <c r="S5119" t="s">
        <v>18959</v>
      </c>
      <c r="U5119" t="s">
        <v>26604</v>
      </c>
      <c r="V5119" t="s">
        <v>26609</v>
      </c>
      <c r="W5119" t="s">
        <v>739</v>
      </c>
      <c r="X5119">
        <v>0</v>
      </c>
      <c r="Y5119" t="s">
        <v>26652</v>
      </c>
      <c r="Z5119" t="s">
        <v>26664</v>
      </c>
      <c r="AB5119" t="s">
        <v>30849</v>
      </c>
      <c r="AE5119">
        <v>54</v>
      </c>
      <c r="AF5119" t="s">
        <v>20460</v>
      </c>
      <c r="AG5119" t="s">
        <v>19330</v>
      </c>
      <c r="AH5119">
        <v>20</v>
      </c>
      <c r="AI5119">
        <v>2</v>
      </c>
      <c r="AJ5119">
        <v>2</v>
      </c>
      <c r="AK5119">
        <v>178.64</v>
      </c>
      <c r="AN5119" t="s">
        <v>7439</v>
      </c>
      <c r="AO5119">
        <v>46000</v>
      </c>
      <c r="AQ5119" t="s">
        <v>46361</v>
      </c>
      <c r="AR5119" t="s">
        <v>46400</v>
      </c>
      <c r="AS5119" t="s">
        <v>46499</v>
      </c>
      <c r="AT5119" t="s">
        <v>46524</v>
      </c>
      <c r="AU5119">
        <v>18.7</v>
      </c>
      <c r="AV5119" t="s">
        <v>781</v>
      </c>
      <c r="AW5119" t="s">
        <v>46862</v>
      </c>
    </row>
    <row r="5120" spans="1:50">
      <c r="A5120" s="1">
        <f>HYPERLINK("https://lsnyc.legalserver.org/matter/dynamic-profile/view/1889029","19-1889029")</f>
        <v>0</v>
      </c>
      <c r="B5120" t="s">
        <v>155</v>
      </c>
      <c r="C5120" t="s">
        <v>340</v>
      </c>
      <c r="D5120" t="s">
        <v>709</v>
      </c>
      <c r="F5120" t="s">
        <v>3296</v>
      </c>
      <c r="G5120" t="s">
        <v>5562</v>
      </c>
      <c r="H5120" t="s">
        <v>13444</v>
      </c>
      <c r="I5120" t="s">
        <v>17278</v>
      </c>
      <c r="J5120" t="s">
        <v>18894</v>
      </c>
      <c r="K5120">
        <v>11210</v>
      </c>
      <c r="L5120" t="s">
        <v>18958</v>
      </c>
      <c r="M5120" t="s">
        <v>18958</v>
      </c>
      <c r="N5120" t="s">
        <v>22814</v>
      </c>
      <c r="O5120" t="s">
        <v>26523</v>
      </c>
      <c r="P5120" t="s">
        <v>26565</v>
      </c>
      <c r="R5120" t="s">
        <v>26586</v>
      </c>
      <c r="U5120" t="s">
        <v>26604</v>
      </c>
      <c r="W5120" t="s">
        <v>739</v>
      </c>
      <c r="X5120">
        <v>0</v>
      </c>
      <c r="Y5120" t="s">
        <v>26652</v>
      </c>
      <c r="AB5120" t="s">
        <v>30850</v>
      </c>
      <c r="AE5120">
        <v>42</v>
      </c>
      <c r="AG5120" t="s">
        <v>19330</v>
      </c>
      <c r="AH5120">
        <v>11</v>
      </c>
      <c r="AI5120">
        <v>1</v>
      </c>
      <c r="AJ5120">
        <v>2</v>
      </c>
      <c r="AK5120">
        <v>73.14</v>
      </c>
      <c r="AN5120" t="s">
        <v>7439</v>
      </c>
      <c r="AO5120">
        <v>15600</v>
      </c>
      <c r="AU5120">
        <v>8.5</v>
      </c>
      <c r="AV5120" t="s">
        <v>714</v>
      </c>
      <c r="AW5120" t="s">
        <v>46862</v>
      </c>
      <c r="AX5120" t="s">
        <v>46897</v>
      </c>
    </row>
    <row r="5121" spans="1:49">
      <c r="A5121" s="1">
        <f>HYPERLINK("https://lsnyc.legalserver.org/matter/dynamic-profile/view/1888810","19-1888810")</f>
        <v>0</v>
      </c>
      <c r="B5121" t="s">
        <v>172</v>
      </c>
      <c r="C5121" t="s">
        <v>340</v>
      </c>
      <c r="D5121" t="s">
        <v>709</v>
      </c>
      <c r="F5121" t="s">
        <v>876</v>
      </c>
      <c r="G5121" t="s">
        <v>5147</v>
      </c>
      <c r="H5121" t="s">
        <v>13497</v>
      </c>
      <c r="I5121" t="s">
        <v>18187</v>
      </c>
      <c r="J5121" t="s">
        <v>18894</v>
      </c>
      <c r="K5121">
        <v>11230</v>
      </c>
      <c r="L5121" t="s">
        <v>18958</v>
      </c>
      <c r="M5121" t="s">
        <v>18958</v>
      </c>
      <c r="N5121" t="s">
        <v>22815</v>
      </c>
      <c r="O5121" t="s">
        <v>26553</v>
      </c>
      <c r="P5121" t="s">
        <v>26560</v>
      </c>
      <c r="R5121" t="s">
        <v>26586</v>
      </c>
      <c r="U5121" t="s">
        <v>26604</v>
      </c>
      <c r="W5121" t="s">
        <v>739</v>
      </c>
      <c r="X5121">
        <v>1065</v>
      </c>
      <c r="Y5121" t="s">
        <v>26652</v>
      </c>
      <c r="Z5121" t="s">
        <v>26659</v>
      </c>
      <c r="AB5121" t="s">
        <v>30851</v>
      </c>
      <c r="AC5121">
        <v>3855383</v>
      </c>
      <c r="AD5121" t="s">
        <v>41080</v>
      </c>
      <c r="AE5121">
        <v>20</v>
      </c>
      <c r="AF5121" t="s">
        <v>45541</v>
      </c>
      <c r="AG5121" t="s">
        <v>19330</v>
      </c>
      <c r="AH5121">
        <v>32</v>
      </c>
      <c r="AI5121">
        <v>1</v>
      </c>
      <c r="AJ5121">
        <v>2</v>
      </c>
      <c r="AK5121">
        <v>147.12</v>
      </c>
      <c r="AN5121" t="s">
        <v>7439</v>
      </c>
      <c r="AO5121">
        <v>31380</v>
      </c>
      <c r="AU5121">
        <v>20.1</v>
      </c>
      <c r="AV5121" t="s">
        <v>820</v>
      </c>
      <c r="AW5121" t="s">
        <v>46862</v>
      </c>
    </row>
    <row r="5122" spans="1:49">
      <c r="A5122" s="1">
        <f>HYPERLINK("https://lsnyc.legalserver.org/matter/dynamic-profile/view/1889014","19-1889014")</f>
        <v>0</v>
      </c>
      <c r="B5122" t="s">
        <v>172</v>
      </c>
      <c r="C5122" t="s">
        <v>340</v>
      </c>
      <c r="D5122" t="s">
        <v>709</v>
      </c>
      <c r="F5122" t="s">
        <v>3297</v>
      </c>
      <c r="G5122" t="s">
        <v>7556</v>
      </c>
      <c r="H5122" t="s">
        <v>13498</v>
      </c>
      <c r="I5122" t="s">
        <v>17347</v>
      </c>
      <c r="J5122" t="s">
        <v>18894</v>
      </c>
      <c r="K5122">
        <v>11224</v>
      </c>
      <c r="L5122" t="s">
        <v>18958</v>
      </c>
      <c r="M5122" t="s">
        <v>18958</v>
      </c>
      <c r="N5122" t="s">
        <v>22816</v>
      </c>
      <c r="O5122" t="s">
        <v>26523</v>
      </c>
      <c r="P5122" t="s">
        <v>26560</v>
      </c>
      <c r="R5122" t="s">
        <v>26586</v>
      </c>
      <c r="U5122" t="s">
        <v>26604</v>
      </c>
      <c r="W5122" t="s">
        <v>739</v>
      </c>
      <c r="X5122">
        <v>900</v>
      </c>
      <c r="Y5122" t="s">
        <v>26652</v>
      </c>
      <c r="Z5122" t="s">
        <v>26664</v>
      </c>
      <c r="AB5122" t="s">
        <v>30501</v>
      </c>
      <c r="AD5122" t="s">
        <v>41081</v>
      </c>
      <c r="AE5122">
        <v>173</v>
      </c>
      <c r="AF5122" t="s">
        <v>45550</v>
      </c>
      <c r="AG5122" t="s">
        <v>19330</v>
      </c>
      <c r="AH5122">
        <v>10</v>
      </c>
      <c r="AI5122">
        <v>1</v>
      </c>
      <c r="AJ5122">
        <v>0</v>
      </c>
      <c r="AK5122">
        <v>160.13</v>
      </c>
      <c r="AN5122" t="s">
        <v>7439</v>
      </c>
      <c r="AO5122">
        <v>20000</v>
      </c>
      <c r="AU5122">
        <v>19.5</v>
      </c>
      <c r="AV5122" t="s">
        <v>773</v>
      </c>
      <c r="AW5122" t="s">
        <v>46862</v>
      </c>
    </row>
    <row r="5123" spans="1:49">
      <c r="A5123" s="1">
        <f>HYPERLINK("https://lsnyc.legalserver.org/matter/dynamic-profile/view/1889875","19-1889875")</f>
        <v>0</v>
      </c>
      <c r="B5123" t="s">
        <v>101</v>
      </c>
      <c r="C5123" t="s">
        <v>341</v>
      </c>
      <c r="D5123" t="s">
        <v>743</v>
      </c>
      <c r="E5123" t="s">
        <v>861</v>
      </c>
      <c r="F5123" t="s">
        <v>3298</v>
      </c>
      <c r="G5123" t="s">
        <v>1092</v>
      </c>
      <c r="H5123" t="s">
        <v>12409</v>
      </c>
      <c r="I5123">
        <v>306</v>
      </c>
      <c r="J5123" t="s">
        <v>18894</v>
      </c>
      <c r="K5123">
        <v>11225</v>
      </c>
      <c r="L5123" t="s">
        <v>18958</v>
      </c>
      <c r="M5123" t="s">
        <v>18958</v>
      </c>
      <c r="N5123" t="s">
        <v>22817</v>
      </c>
      <c r="O5123" t="s">
        <v>26523</v>
      </c>
      <c r="P5123" t="s">
        <v>26560</v>
      </c>
      <c r="Q5123" t="s">
        <v>26568</v>
      </c>
      <c r="R5123" t="s">
        <v>26588</v>
      </c>
      <c r="U5123" t="s">
        <v>26604</v>
      </c>
      <c r="W5123" t="s">
        <v>739</v>
      </c>
      <c r="X5123">
        <v>1080.43</v>
      </c>
      <c r="Y5123" t="s">
        <v>26652</v>
      </c>
      <c r="Z5123" t="s">
        <v>26659</v>
      </c>
      <c r="AA5123" t="s">
        <v>26678</v>
      </c>
      <c r="AB5123" t="s">
        <v>30852</v>
      </c>
      <c r="AC5123" t="s">
        <v>35928</v>
      </c>
      <c r="AD5123" t="s">
        <v>41082</v>
      </c>
      <c r="AE5123">
        <v>96</v>
      </c>
      <c r="AH5123">
        <v>18</v>
      </c>
      <c r="AI5123">
        <v>2</v>
      </c>
      <c r="AJ5123">
        <v>0</v>
      </c>
      <c r="AK5123">
        <v>141.93</v>
      </c>
      <c r="AN5123" t="s">
        <v>7439</v>
      </c>
      <c r="AO5123">
        <v>24000</v>
      </c>
      <c r="AS5123" t="s">
        <v>46499</v>
      </c>
      <c r="AT5123" t="s">
        <v>46792</v>
      </c>
      <c r="AU5123">
        <v>8.85</v>
      </c>
      <c r="AV5123" t="s">
        <v>785</v>
      </c>
      <c r="AW5123" t="s">
        <v>46862</v>
      </c>
    </row>
    <row r="5124" spans="1:49">
      <c r="A5124" s="1">
        <f>HYPERLINK("https://lsnyc.legalserver.org/matter/dynamic-profile/view/1889151","19-1889151")</f>
        <v>0</v>
      </c>
      <c r="B5124" t="s">
        <v>230</v>
      </c>
      <c r="C5124" t="s">
        <v>341</v>
      </c>
      <c r="D5124" t="s">
        <v>693</v>
      </c>
      <c r="E5124" t="s">
        <v>830</v>
      </c>
      <c r="F5124" t="s">
        <v>1136</v>
      </c>
      <c r="G5124" t="s">
        <v>7557</v>
      </c>
      <c r="H5124" t="s">
        <v>13499</v>
      </c>
      <c r="I5124" t="s">
        <v>17584</v>
      </c>
      <c r="J5124" t="s">
        <v>18894</v>
      </c>
      <c r="K5124">
        <v>11226</v>
      </c>
      <c r="L5124" t="s">
        <v>18958</v>
      </c>
      <c r="M5124" t="s">
        <v>18958</v>
      </c>
      <c r="N5124" t="s">
        <v>22818</v>
      </c>
      <c r="O5124" t="s">
        <v>26523</v>
      </c>
      <c r="P5124" t="s">
        <v>26560</v>
      </c>
      <c r="Q5124" t="s">
        <v>26568</v>
      </c>
      <c r="R5124" t="s">
        <v>26588</v>
      </c>
      <c r="S5124" t="s">
        <v>18959</v>
      </c>
      <c r="U5124" t="s">
        <v>26604</v>
      </c>
      <c r="V5124" t="s">
        <v>26610</v>
      </c>
      <c r="W5124" t="s">
        <v>739</v>
      </c>
      <c r="X5124">
        <v>1300</v>
      </c>
      <c r="Y5124" t="s">
        <v>26652</v>
      </c>
      <c r="Z5124" t="s">
        <v>26664</v>
      </c>
      <c r="AA5124" t="s">
        <v>26677</v>
      </c>
      <c r="AB5124" t="s">
        <v>30853</v>
      </c>
      <c r="AD5124" t="s">
        <v>41083</v>
      </c>
      <c r="AE5124">
        <v>76</v>
      </c>
      <c r="AF5124" t="s">
        <v>20460</v>
      </c>
      <c r="AG5124" t="s">
        <v>45556</v>
      </c>
      <c r="AH5124">
        <v>15</v>
      </c>
      <c r="AI5124">
        <v>1</v>
      </c>
      <c r="AJ5124">
        <v>1</v>
      </c>
      <c r="AK5124">
        <v>112.36</v>
      </c>
      <c r="AN5124" t="s">
        <v>7439</v>
      </c>
      <c r="AO5124">
        <v>19000</v>
      </c>
      <c r="AQ5124" t="s">
        <v>46359</v>
      </c>
      <c r="AR5124" t="s">
        <v>46399</v>
      </c>
      <c r="AS5124" t="s">
        <v>46499</v>
      </c>
      <c r="AT5124" t="s">
        <v>46545</v>
      </c>
      <c r="AU5124">
        <v>41.5</v>
      </c>
      <c r="AV5124" t="s">
        <v>792</v>
      </c>
      <c r="AW5124" t="s">
        <v>46862</v>
      </c>
    </row>
    <row r="5125" spans="1:49">
      <c r="A5125" s="1">
        <f>HYPERLINK("https://lsnyc.legalserver.org/matter/dynamic-profile/view/1889227","19-1889227")</f>
        <v>0</v>
      </c>
      <c r="B5125" t="s">
        <v>140</v>
      </c>
      <c r="C5125" t="s">
        <v>341</v>
      </c>
      <c r="D5125" t="s">
        <v>693</v>
      </c>
      <c r="E5125" t="s">
        <v>710</v>
      </c>
      <c r="F5125" t="s">
        <v>876</v>
      </c>
      <c r="G5125" t="s">
        <v>7558</v>
      </c>
      <c r="H5125" t="s">
        <v>13500</v>
      </c>
      <c r="I5125" t="s">
        <v>18188</v>
      </c>
      <c r="J5125" t="s">
        <v>18894</v>
      </c>
      <c r="K5125">
        <v>11234</v>
      </c>
      <c r="L5125" t="s">
        <v>18958</v>
      </c>
      <c r="M5125" t="s">
        <v>18958</v>
      </c>
      <c r="N5125" t="s">
        <v>22819</v>
      </c>
      <c r="O5125" t="s">
        <v>26524</v>
      </c>
      <c r="P5125" t="s">
        <v>26564</v>
      </c>
      <c r="Q5125" t="s">
        <v>26570</v>
      </c>
      <c r="R5125" t="s">
        <v>26586</v>
      </c>
      <c r="S5125" t="s">
        <v>18959</v>
      </c>
      <c r="U5125" t="s">
        <v>26604</v>
      </c>
      <c r="V5125" t="s">
        <v>26610</v>
      </c>
      <c r="W5125" t="s">
        <v>739</v>
      </c>
      <c r="X5125">
        <v>1650</v>
      </c>
      <c r="Y5125" t="s">
        <v>26652</v>
      </c>
      <c r="Z5125" t="s">
        <v>26664</v>
      </c>
      <c r="AA5125" t="s">
        <v>26683</v>
      </c>
      <c r="AB5125" t="s">
        <v>30854</v>
      </c>
      <c r="AD5125" t="s">
        <v>41084</v>
      </c>
      <c r="AE5125">
        <v>2</v>
      </c>
      <c r="AF5125" t="s">
        <v>45547</v>
      </c>
      <c r="AH5125">
        <v>1</v>
      </c>
      <c r="AI5125">
        <v>1</v>
      </c>
      <c r="AJ5125">
        <v>2</v>
      </c>
      <c r="AK5125">
        <v>11.25</v>
      </c>
      <c r="AN5125" t="s">
        <v>7439</v>
      </c>
      <c r="AO5125">
        <v>2400</v>
      </c>
      <c r="AU5125">
        <v>1.5</v>
      </c>
      <c r="AV5125" t="s">
        <v>710</v>
      </c>
      <c r="AW5125" t="s">
        <v>46862</v>
      </c>
    </row>
    <row r="5126" spans="1:49">
      <c r="A5126" s="1">
        <f>HYPERLINK("https://lsnyc.legalserver.org/matter/dynamic-profile/view/1889116","19-1889116")</f>
        <v>0</v>
      </c>
      <c r="B5126" t="s">
        <v>140</v>
      </c>
      <c r="C5126" t="s">
        <v>341</v>
      </c>
      <c r="D5126" t="s">
        <v>693</v>
      </c>
      <c r="E5126" t="s">
        <v>832</v>
      </c>
      <c r="F5126" t="s">
        <v>3299</v>
      </c>
      <c r="G5126" t="s">
        <v>7559</v>
      </c>
      <c r="H5126" t="s">
        <v>13501</v>
      </c>
      <c r="I5126" t="s">
        <v>17309</v>
      </c>
      <c r="J5126" t="s">
        <v>18894</v>
      </c>
      <c r="K5126">
        <v>11203</v>
      </c>
      <c r="L5126" t="s">
        <v>18958</v>
      </c>
      <c r="M5126" t="s">
        <v>18958</v>
      </c>
      <c r="N5126" t="s">
        <v>22820</v>
      </c>
      <c r="O5126" t="s">
        <v>26524</v>
      </c>
      <c r="P5126" t="s">
        <v>26564</v>
      </c>
      <c r="Q5126" t="s">
        <v>26570</v>
      </c>
      <c r="R5126" t="s">
        <v>26586</v>
      </c>
      <c r="U5126" t="s">
        <v>26604</v>
      </c>
      <c r="W5126" t="s">
        <v>739</v>
      </c>
      <c r="X5126">
        <v>1400</v>
      </c>
      <c r="Y5126" t="s">
        <v>26652</v>
      </c>
      <c r="Z5126" t="s">
        <v>26664</v>
      </c>
      <c r="AA5126" t="s">
        <v>26683</v>
      </c>
      <c r="AB5126" t="s">
        <v>30855</v>
      </c>
      <c r="AD5126" t="s">
        <v>41085</v>
      </c>
      <c r="AE5126">
        <v>4</v>
      </c>
      <c r="AG5126" t="s">
        <v>26530</v>
      </c>
      <c r="AH5126">
        <v>1</v>
      </c>
      <c r="AI5126">
        <v>1</v>
      </c>
      <c r="AJ5126">
        <v>2</v>
      </c>
      <c r="AK5126">
        <v>20.25</v>
      </c>
      <c r="AN5126" t="s">
        <v>7439</v>
      </c>
      <c r="AO5126">
        <v>4320</v>
      </c>
      <c r="AU5126">
        <v>0.7</v>
      </c>
      <c r="AV5126" t="s">
        <v>832</v>
      </c>
      <c r="AW5126" t="s">
        <v>46862</v>
      </c>
    </row>
    <row r="5127" spans="1:49">
      <c r="A5127" s="1">
        <f>HYPERLINK("https://lsnyc.legalserver.org/matter/dynamic-profile/view/1889112","19-1889112")</f>
        <v>0</v>
      </c>
      <c r="B5127" t="s">
        <v>162</v>
      </c>
      <c r="C5127" t="s">
        <v>340</v>
      </c>
      <c r="D5127" t="s">
        <v>693</v>
      </c>
      <c r="F5127" t="s">
        <v>3300</v>
      </c>
      <c r="G5127" t="s">
        <v>4432</v>
      </c>
      <c r="H5127" t="s">
        <v>13502</v>
      </c>
      <c r="I5127" t="s">
        <v>17773</v>
      </c>
      <c r="J5127" t="s">
        <v>18894</v>
      </c>
      <c r="K5127">
        <v>11216</v>
      </c>
      <c r="L5127" t="s">
        <v>18958</v>
      </c>
      <c r="M5127" t="s">
        <v>18958</v>
      </c>
      <c r="N5127" t="s">
        <v>22821</v>
      </c>
      <c r="O5127" t="s">
        <v>26523</v>
      </c>
      <c r="R5127" t="s">
        <v>26588</v>
      </c>
      <c r="U5127" t="s">
        <v>26604</v>
      </c>
      <c r="W5127" t="s">
        <v>739</v>
      </c>
      <c r="X5127">
        <v>2000</v>
      </c>
      <c r="Y5127" t="s">
        <v>26652</v>
      </c>
      <c r="Z5127" t="s">
        <v>26669</v>
      </c>
      <c r="AB5127" t="s">
        <v>30856</v>
      </c>
      <c r="AD5127" t="s">
        <v>41086</v>
      </c>
      <c r="AE5127">
        <v>3</v>
      </c>
      <c r="AG5127" t="s">
        <v>19330</v>
      </c>
      <c r="AH5127">
        <v>7</v>
      </c>
      <c r="AI5127">
        <v>1</v>
      </c>
      <c r="AJ5127">
        <v>3</v>
      </c>
      <c r="AK5127">
        <v>135.92</v>
      </c>
      <c r="AN5127" t="s">
        <v>7439</v>
      </c>
      <c r="AO5127">
        <v>35000</v>
      </c>
      <c r="AU5127">
        <v>19.9</v>
      </c>
      <c r="AV5127" t="s">
        <v>834</v>
      </c>
      <c r="AW5127" t="s">
        <v>46853</v>
      </c>
    </row>
    <row r="5128" spans="1:49">
      <c r="A5128" s="1">
        <f>HYPERLINK("https://lsnyc.legalserver.org/matter/dynamic-profile/view/1889129","19-1889129")</f>
        <v>0</v>
      </c>
      <c r="B5128" t="s">
        <v>170</v>
      </c>
      <c r="C5128" t="s">
        <v>340</v>
      </c>
      <c r="D5128" t="s">
        <v>693</v>
      </c>
      <c r="F5128" t="s">
        <v>1132</v>
      </c>
      <c r="G5128" t="s">
        <v>7560</v>
      </c>
      <c r="H5128" t="s">
        <v>12473</v>
      </c>
      <c r="I5128" t="s">
        <v>18189</v>
      </c>
      <c r="J5128" t="s">
        <v>18894</v>
      </c>
      <c r="K5128">
        <v>11226</v>
      </c>
      <c r="L5128" t="s">
        <v>18958</v>
      </c>
      <c r="M5128" t="s">
        <v>18959</v>
      </c>
      <c r="N5128" t="s">
        <v>22822</v>
      </c>
      <c r="O5128" t="s">
        <v>26524</v>
      </c>
      <c r="R5128" t="s">
        <v>26588</v>
      </c>
      <c r="U5128" t="s">
        <v>26604</v>
      </c>
      <c r="W5128" t="s">
        <v>739</v>
      </c>
      <c r="X5128">
        <v>1009.03</v>
      </c>
      <c r="Y5128" t="s">
        <v>26652</v>
      </c>
      <c r="Z5128" t="s">
        <v>26664</v>
      </c>
      <c r="AB5128" t="s">
        <v>27681</v>
      </c>
      <c r="AD5128" t="s">
        <v>41087</v>
      </c>
      <c r="AE5128">
        <v>16</v>
      </c>
      <c r="AH5128">
        <v>11</v>
      </c>
      <c r="AI5128">
        <v>2</v>
      </c>
      <c r="AJ5128">
        <v>0</v>
      </c>
      <c r="AK5128">
        <v>53.22</v>
      </c>
      <c r="AN5128" t="s">
        <v>7439</v>
      </c>
      <c r="AO5128">
        <v>9000</v>
      </c>
      <c r="AU5128">
        <v>16</v>
      </c>
      <c r="AV5128" t="s">
        <v>760</v>
      </c>
      <c r="AW5128" t="s">
        <v>46853</v>
      </c>
    </row>
    <row r="5129" spans="1:49">
      <c r="A5129" s="1">
        <f>HYPERLINK("https://lsnyc.legalserver.org/matter/dynamic-profile/view/1889214","19-1889214")</f>
        <v>0</v>
      </c>
      <c r="B5129" t="s">
        <v>172</v>
      </c>
      <c r="C5129" t="s">
        <v>340</v>
      </c>
      <c r="D5129" t="s">
        <v>693</v>
      </c>
      <c r="F5129" t="s">
        <v>876</v>
      </c>
      <c r="G5129" t="s">
        <v>5147</v>
      </c>
      <c r="H5129" t="s">
        <v>13497</v>
      </c>
      <c r="I5129" t="s">
        <v>18187</v>
      </c>
      <c r="J5129" t="s">
        <v>18894</v>
      </c>
      <c r="K5129">
        <v>11230</v>
      </c>
      <c r="L5129" t="s">
        <v>18958</v>
      </c>
      <c r="M5129" t="s">
        <v>18958</v>
      </c>
      <c r="N5129" t="s">
        <v>22823</v>
      </c>
      <c r="O5129" t="s">
        <v>26553</v>
      </c>
      <c r="P5129" t="s">
        <v>26560</v>
      </c>
      <c r="R5129" t="s">
        <v>26586</v>
      </c>
      <c r="U5129" t="s">
        <v>26604</v>
      </c>
      <c r="W5129" t="s">
        <v>739</v>
      </c>
      <c r="X5129">
        <v>1065</v>
      </c>
      <c r="Y5129" t="s">
        <v>26652</v>
      </c>
      <c r="Z5129" t="s">
        <v>26659</v>
      </c>
      <c r="AB5129" t="s">
        <v>30851</v>
      </c>
      <c r="AC5129">
        <v>3855383</v>
      </c>
      <c r="AD5129" t="s">
        <v>41080</v>
      </c>
      <c r="AE5129">
        <v>20</v>
      </c>
      <c r="AG5129" t="s">
        <v>19330</v>
      </c>
      <c r="AH5129">
        <v>32</v>
      </c>
      <c r="AI5129">
        <v>1</v>
      </c>
      <c r="AJ5129">
        <v>2</v>
      </c>
      <c r="AK5129">
        <v>57.38</v>
      </c>
      <c r="AN5129" t="s">
        <v>7439</v>
      </c>
      <c r="AO5129">
        <v>12240</v>
      </c>
      <c r="AU5129">
        <v>0.3</v>
      </c>
      <c r="AV5129" t="s">
        <v>693</v>
      </c>
      <c r="AW5129" t="s">
        <v>46862</v>
      </c>
    </row>
    <row r="5130" spans="1:49">
      <c r="A5130" s="1">
        <f>HYPERLINK("https://lsnyc.legalserver.org/matter/dynamic-profile/view/1889104","19-1889104")</f>
        <v>0</v>
      </c>
      <c r="B5130" t="s">
        <v>172</v>
      </c>
      <c r="C5130" t="s">
        <v>341</v>
      </c>
      <c r="D5130" t="s">
        <v>694</v>
      </c>
      <c r="E5130" t="s">
        <v>817</v>
      </c>
      <c r="F5130" t="s">
        <v>3301</v>
      </c>
      <c r="G5130" t="s">
        <v>7561</v>
      </c>
      <c r="H5130" t="s">
        <v>13503</v>
      </c>
      <c r="I5130" t="s">
        <v>17496</v>
      </c>
      <c r="J5130" t="s">
        <v>18894</v>
      </c>
      <c r="K5130">
        <v>11225</v>
      </c>
      <c r="L5130" t="s">
        <v>18958</v>
      </c>
      <c r="M5130" t="s">
        <v>18958</v>
      </c>
      <c r="N5130" t="s">
        <v>22824</v>
      </c>
      <c r="O5130" t="s">
        <v>26523</v>
      </c>
      <c r="P5130" t="s">
        <v>26560</v>
      </c>
      <c r="Q5130" t="s">
        <v>26568</v>
      </c>
      <c r="R5130" t="s">
        <v>26588</v>
      </c>
      <c r="U5130" t="s">
        <v>26604</v>
      </c>
      <c r="W5130" t="s">
        <v>739</v>
      </c>
      <c r="X5130">
        <v>1327</v>
      </c>
      <c r="Y5130" t="s">
        <v>26652</v>
      </c>
      <c r="Z5130" t="s">
        <v>26669</v>
      </c>
      <c r="AA5130" t="s">
        <v>26678</v>
      </c>
      <c r="AB5130" t="s">
        <v>30857</v>
      </c>
      <c r="AD5130" t="s">
        <v>41088</v>
      </c>
      <c r="AE5130">
        <v>0</v>
      </c>
      <c r="AF5130" t="s">
        <v>45541</v>
      </c>
      <c r="AH5130">
        <v>25</v>
      </c>
      <c r="AI5130">
        <v>2</v>
      </c>
      <c r="AJ5130">
        <v>0</v>
      </c>
      <c r="AK5130">
        <v>177.41</v>
      </c>
      <c r="AN5130" t="s">
        <v>7439</v>
      </c>
      <c r="AO5130">
        <v>30000</v>
      </c>
      <c r="AS5130" t="s">
        <v>46499</v>
      </c>
      <c r="AT5130" t="s">
        <v>46708</v>
      </c>
      <c r="AU5130">
        <v>20.5</v>
      </c>
      <c r="AV5130" t="s">
        <v>817</v>
      </c>
      <c r="AW5130" t="s">
        <v>219</v>
      </c>
    </row>
    <row r="5131" spans="1:49">
      <c r="A5131" s="1">
        <f>HYPERLINK("https://lsnyc.legalserver.org/matter/dynamic-profile/view/1889393","19-1889393")</f>
        <v>0</v>
      </c>
      <c r="B5131" t="s">
        <v>202</v>
      </c>
      <c r="C5131" t="s">
        <v>340</v>
      </c>
      <c r="D5131" t="s">
        <v>694</v>
      </c>
      <c r="F5131" t="s">
        <v>3302</v>
      </c>
      <c r="G5131" t="s">
        <v>3248</v>
      </c>
      <c r="H5131" t="s">
        <v>13504</v>
      </c>
      <c r="I5131" t="s">
        <v>17290</v>
      </c>
      <c r="J5131" t="s">
        <v>18894</v>
      </c>
      <c r="K5131">
        <v>11207</v>
      </c>
      <c r="L5131" t="s">
        <v>18958</v>
      </c>
      <c r="M5131" t="s">
        <v>18958</v>
      </c>
      <c r="N5131" t="s">
        <v>22825</v>
      </c>
      <c r="O5131" t="s">
        <v>26523</v>
      </c>
      <c r="P5131" t="s">
        <v>26560</v>
      </c>
      <c r="R5131" t="s">
        <v>26586</v>
      </c>
      <c r="S5131" t="s">
        <v>18959</v>
      </c>
      <c r="U5131" t="s">
        <v>26605</v>
      </c>
      <c r="V5131" t="s">
        <v>26610</v>
      </c>
      <c r="W5131" t="s">
        <v>739</v>
      </c>
      <c r="X5131">
        <v>300</v>
      </c>
      <c r="Y5131" t="s">
        <v>26652</v>
      </c>
      <c r="Z5131" t="s">
        <v>26664</v>
      </c>
      <c r="AB5131" t="s">
        <v>30858</v>
      </c>
      <c r="AD5131" t="s">
        <v>41089</v>
      </c>
      <c r="AE5131">
        <v>756</v>
      </c>
      <c r="AF5131" t="s">
        <v>45549</v>
      </c>
      <c r="AG5131" t="s">
        <v>19330</v>
      </c>
      <c r="AH5131">
        <v>15</v>
      </c>
      <c r="AI5131">
        <v>1</v>
      </c>
      <c r="AJ5131">
        <v>0</v>
      </c>
      <c r="AK5131">
        <v>0</v>
      </c>
      <c r="AN5131" t="s">
        <v>7439</v>
      </c>
      <c r="AO5131">
        <v>0</v>
      </c>
      <c r="AQ5131" t="s">
        <v>46359</v>
      </c>
      <c r="AU5131">
        <v>6.7</v>
      </c>
      <c r="AV5131" t="s">
        <v>793</v>
      </c>
      <c r="AW5131" t="s">
        <v>281</v>
      </c>
    </row>
    <row r="5132" spans="1:49">
      <c r="A5132" s="1">
        <f>HYPERLINK("https://lsnyc.legalserver.org/matter/dynamic-profile/view/1889268","19-1889268")</f>
        <v>0</v>
      </c>
      <c r="B5132" t="s">
        <v>140</v>
      </c>
      <c r="C5132" t="s">
        <v>340</v>
      </c>
      <c r="D5132" t="s">
        <v>694</v>
      </c>
      <c r="F5132" t="s">
        <v>3303</v>
      </c>
      <c r="G5132" t="s">
        <v>6811</v>
      </c>
      <c r="H5132" t="s">
        <v>13505</v>
      </c>
      <c r="I5132">
        <v>26</v>
      </c>
      <c r="J5132" t="s">
        <v>18894</v>
      </c>
      <c r="K5132">
        <v>11238</v>
      </c>
      <c r="L5132" t="s">
        <v>18958</v>
      </c>
      <c r="M5132" t="s">
        <v>18958</v>
      </c>
      <c r="N5132" t="s">
        <v>22826</v>
      </c>
      <c r="O5132" t="s">
        <v>26524</v>
      </c>
      <c r="P5132" t="s">
        <v>26560</v>
      </c>
      <c r="R5132" t="s">
        <v>26586</v>
      </c>
      <c r="S5132" t="s">
        <v>18959</v>
      </c>
      <c r="U5132" t="s">
        <v>26604</v>
      </c>
      <c r="V5132" t="s">
        <v>26611</v>
      </c>
      <c r="W5132" t="s">
        <v>739</v>
      </c>
      <c r="X5132">
        <v>837.26</v>
      </c>
      <c r="Y5132" t="s">
        <v>26652</v>
      </c>
      <c r="Z5132" t="s">
        <v>26664</v>
      </c>
      <c r="AB5132" t="s">
        <v>30859</v>
      </c>
      <c r="AD5132" t="s">
        <v>41090</v>
      </c>
      <c r="AE5132">
        <v>26</v>
      </c>
      <c r="AF5132" t="s">
        <v>45541</v>
      </c>
      <c r="AG5132" t="s">
        <v>19330</v>
      </c>
      <c r="AH5132">
        <v>18</v>
      </c>
      <c r="AI5132">
        <v>2</v>
      </c>
      <c r="AJ5132">
        <v>1</v>
      </c>
      <c r="AK5132">
        <v>140.65</v>
      </c>
      <c r="AN5132" t="s">
        <v>7439</v>
      </c>
      <c r="AO5132">
        <v>30000</v>
      </c>
      <c r="AU5132">
        <v>73</v>
      </c>
      <c r="AV5132" t="s">
        <v>832</v>
      </c>
      <c r="AW5132" t="s">
        <v>46862</v>
      </c>
    </row>
    <row r="5133" spans="1:49">
      <c r="A5133" s="1">
        <f>HYPERLINK("https://lsnyc.legalserver.org/matter/dynamic-profile/view/1889580","19-1889580")</f>
        <v>0</v>
      </c>
      <c r="B5133" t="s">
        <v>202</v>
      </c>
      <c r="C5133" t="s">
        <v>341</v>
      </c>
      <c r="D5133" t="s">
        <v>735</v>
      </c>
      <c r="E5133" t="s">
        <v>820</v>
      </c>
      <c r="F5133" t="s">
        <v>3304</v>
      </c>
      <c r="G5133" t="s">
        <v>7562</v>
      </c>
      <c r="H5133" t="s">
        <v>13506</v>
      </c>
      <c r="I5133" t="s">
        <v>17292</v>
      </c>
      <c r="J5133" t="s">
        <v>18894</v>
      </c>
      <c r="K5133">
        <v>11212</v>
      </c>
      <c r="L5133" t="s">
        <v>18958</v>
      </c>
      <c r="M5133" t="s">
        <v>18958</v>
      </c>
      <c r="N5133" t="s">
        <v>22827</v>
      </c>
      <c r="O5133" t="s">
        <v>26523</v>
      </c>
      <c r="P5133" t="s">
        <v>26560</v>
      </c>
      <c r="Q5133" t="s">
        <v>26568</v>
      </c>
      <c r="R5133" t="s">
        <v>26586</v>
      </c>
      <c r="U5133" t="s">
        <v>26605</v>
      </c>
      <c r="V5133" t="s">
        <v>26610</v>
      </c>
      <c r="W5133" t="s">
        <v>739</v>
      </c>
      <c r="X5133">
        <v>696</v>
      </c>
      <c r="Y5133" t="s">
        <v>26652</v>
      </c>
      <c r="Z5133" t="s">
        <v>26659</v>
      </c>
      <c r="AA5133" t="s">
        <v>26680</v>
      </c>
      <c r="AB5133" t="s">
        <v>30860</v>
      </c>
      <c r="AD5133" t="s">
        <v>41091</v>
      </c>
      <c r="AE5133">
        <v>4</v>
      </c>
      <c r="AF5133" t="s">
        <v>20460</v>
      </c>
      <c r="AG5133" t="s">
        <v>19330</v>
      </c>
      <c r="AH5133">
        <v>3</v>
      </c>
      <c r="AI5133">
        <v>1</v>
      </c>
      <c r="AJ5133">
        <v>1</v>
      </c>
      <c r="AK5133">
        <v>179.18</v>
      </c>
      <c r="AN5133" t="s">
        <v>7439</v>
      </c>
      <c r="AO5133">
        <v>30300</v>
      </c>
      <c r="AQ5133" t="s">
        <v>46359</v>
      </c>
      <c r="AR5133" t="s">
        <v>46379</v>
      </c>
      <c r="AS5133" t="s">
        <v>46499</v>
      </c>
      <c r="AT5133" t="s">
        <v>46781</v>
      </c>
      <c r="AU5133">
        <v>4.05</v>
      </c>
      <c r="AV5133" t="s">
        <v>820</v>
      </c>
      <c r="AW5133" t="s">
        <v>46853</v>
      </c>
    </row>
    <row r="5134" spans="1:49">
      <c r="A5134" s="1">
        <f>HYPERLINK("https://lsnyc.legalserver.org/matter/dynamic-profile/view/1889516","19-1889516")</f>
        <v>0</v>
      </c>
      <c r="B5134" t="s">
        <v>56</v>
      </c>
      <c r="C5134" t="s">
        <v>340</v>
      </c>
      <c r="D5134" t="s">
        <v>735</v>
      </c>
      <c r="F5134" t="s">
        <v>3305</v>
      </c>
      <c r="G5134" t="s">
        <v>7563</v>
      </c>
      <c r="H5134" t="s">
        <v>13507</v>
      </c>
      <c r="I5134" t="s">
        <v>17274</v>
      </c>
      <c r="J5134" t="s">
        <v>18892</v>
      </c>
      <c r="K5134">
        <v>10469</v>
      </c>
      <c r="L5134" t="s">
        <v>18958</v>
      </c>
      <c r="M5134" t="s">
        <v>18958</v>
      </c>
      <c r="N5134" t="s">
        <v>22828</v>
      </c>
      <c r="O5134" t="s">
        <v>26523</v>
      </c>
      <c r="P5134" t="s">
        <v>26560</v>
      </c>
      <c r="R5134" t="s">
        <v>26577</v>
      </c>
      <c r="U5134" t="s">
        <v>26604</v>
      </c>
      <c r="V5134" t="s">
        <v>26612</v>
      </c>
      <c r="W5134" t="s">
        <v>739</v>
      </c>
      <c r="X5134">
        <v>1320</v>
      </c>
      <c r="Y5134" t="s">
        <v>26650</v>
      </c>
      <c r="Z5134" t="s">
        <v>26660</v>
      </c>
      <c r="AB5134" t="s">
        <v>28494</v>
      </c>
      <c r="AD5134" t="s">
        <v>41092</v>
      </c>
      <c r="AE5134">
        <v>0</v>
      </c>
      <c r="AF5134" t="s">
        <v>45541</v>
      </c>
      <c r="AG5134" t="s">
        <v>19330</v>
      </c>
      <c r="AH5134">
        <v>14</v>
      </c>
      <c r="AI5134">
        <v>1</v>
      </c>
      <c r="AJ5134">
        <v>0</v>
      </c>
      <c r="AK5134">
        <v>288.23</v>
      </c>
      <c r="AL5134" t="s">
        <v>787</v>
      </c>
      <c r="AM5134" t="s">
        <v>45575</v>
      </c>
      <c r="AN5134" t="s">
        <v>7439</v>
      </c>
      <c r="AO5134">
        <v>36000</v>
      </c>
      <c r="AP5134" t="s">
        <v>45641</v>
      </c>
      <c r="AU5134">
        <v>16</v>
      </c>
      <c r="AV5134" t="s">
        <v>765</v>
      </c>
      <c r="AW5134" t="s">
        <v>46836</v>
      </c>
    </row>
    <row r="5135" spans="1:49">
      <c r="A5135" s="1">
        <f>HYPERLINK("https://lsnyc.legalserver.org/matter/dynamic-profile/view/1889559","19-1889559")</f>
        <v>0</v>
      </c>
      <c r="B5135" t="s">
        <v>87</v>
      </c>
      <c r="C5135" t="s">
        <v>340</v>
      </c>
      <c r="D5135" t="s">
        <v>735</v>
      </c>
      <c r="F5135" t="s">
        <v>871</v>
      </c>
      <c r="G5135" t="s">
        <v>7564</v>
      </c>
      <c r="H5135" t="s">
        <v>13508</v>
      </c>
      <c r="I5135" t="s">
        <v>17347</v>
      </c>
      <c r="J5135" t="s">
        <v>18892</v>
      </c>
      <c r="K5135">
        <v>10468</v>
      </c>
      <c r="L5135" t="s">
        <v>18958</v>
      </c>
      <c r="M5135" t="s">
        <v>18958</v>
      </c>
      <c r="N5135" t="s">
        <v>22829</v>
      </c>
      <c r="O5135" t="s">
        <v>26523</v>
      </c>
      <c r="P5135" t="s">
        <v>26560</v>
      </c>
      <c r="R5135" t="s">
        <v>26579</v>
      </c>
      <c r="S5135" t="s">
        <v>18959</v>
      </c>
      <c r="U5135" t="s">
        <v>26604</v>
      </c>
      <c r="V5135" t="s">
        <v>26610</v>
      </c>
      <c r="W5135" t="s">
        <v>739</v>
      </c>
      <c r="X5135">
        <v>1779.76</v>
      </c>
      <c r="Y5135" t="s">
        <v>26650</v>
      </c>
      <c r="Z5135" t="s">
        <v>26668</v>
      </c>
      <c r="AB5135" t="s">
        <v>30861</v>
      </c>
      <c r="AC5135" t="s">
        <v>35929</v>
      </c>
      <c r="AD5135" t="s">
        <v>41093</v>
      </c>
      <c r="AE5135">
        <v>0</v>
      </c>
      <c r="AF5135" t="s">
        <v>45541</v>
      </c>
      <c r="AH5135">
        <v>10</v>
      </c>
      <c r="AI5135">
        <v>2</v>
      </c>
      <c r="AJ5135">
        <v>2</v>
      </c>
      <c r="AK5135">
        <v>30.29</v>
      </c>
      <c r="AN5135" t="s">
        <v>45581</v>
      </c>
      <c r="AO5135">
        <v>7800</v>
      </c>
      <c r="AU5135">
        <v>11.8</v>
      </c>
      <c r="AV5135" t="s">
        <v>729</v>
      </c>
      <c r="AW5135" t="s">
        <v>46870</v>
      </c>
    </row>
    <row r="5136" spans="1:49">
      <c r="A5136" s="1">
        <f>HYPERLINK("https://lsnyc.legalserver.org/matter/dynamic-profile/view/1889681","19-1889681")</f>
        <v>0</v>
      </c>
      <c r="B5136" t="s">
        <v>137</v>
      </c>
      <c r="C5136" t="s">
        <v>341</v>
      </c>
      <c r="D5136" t="s">
        <v>739</v>
      </c>
      <c r="E5136" t="s">
        <v>815</v>
      </c>
      <c r="F5136" t="s">
        <v>890</v>
      </c>
      <c r="G5136" t="s">
        <v>5266</v>
      </c>
      <c r="H5136" t="s">
        <v>13509</v>
      </c>
      <c r="I5136" t="s">
        <v>18190</v>
      </c>
      <c r="J5136" t="s">
        <v>18892</v>
      </c>
      <c r="K5136">
        <v>10456</v>
      </c>
      <c r="L5136" t="s">
        <v>18958</v>
      </c>
      <c r="M5136" t="s">
        <v>18958</v>
      </c>
      <c r="N5136" t="s">
        <v>22830</v>
      </c>
      <c r="O5136" t="s">
        <v>26524</v>
      </c>
      <c r="P5136" t="s">
        <v>26564</v>
      </c>
      <c r="Q5136" t="s">
        <v>26570</v>
      </c>
      <c r="R5136" t="s">
        <v>26577</v>
      </c>
      <c r="S5136" t="s">
        <v>18959</v>
      </c>
      <c r="U5136" t="s">
        <v>26605</v>
      </c>
      <c r="V5136" t="s">
        <v>26612</v>
      </c>
      <c r="W5136" t="s">
        <v>739</v>
      </c>
      <c r="X5136">
        <v>300</v>
      </c>
      <c r="Y5136" t="s">
        <v>26650</v>
      </c>
      <c r="Z5136" t="s">
        <v>26668</v>
      </c>
      <c r="AA5136" t="s">
        <v>26679</v>
      </c>
      <c r="AB5136" t="s">
        <v>30862</v>
      </c>
      <c r="AD5136" t="s">
        <v>41094</v>
      </c>
      <c r="AE5136">
        <v>100</v>
      </c>
      <c r="AF5136" t="s">
        <v>45549</v>
      </c>
      <c r="AG5136" t="s">
        <v>19330</v>
      </c>
      <c r="AH5136">
        <v>9</v>
      </c>
      <c r="AI5136">
        <v>1</v>
      </c>
      <c r="AJ5136">
        <v>0</v>
      </c>
      <c r="AK5136">
        <v>153.98</v>
      </c>
      <c r="AN5136" t="s">
        <v>7439</v>
      </c>
      <c r="AO5136">
        <v>19232</v>
      </c>
      <c r="AT5136" t="s">
        <v>46604</v>
      </c>
      <c r="AU5136">
        <v>2</v>
      </c>
      <c r="AV5136" t="s">
        <v>757</v>
      </c>
      <c r="AW5136" t="s">
        <v>46850</v>
      </c>
    </row>
    <row r="5137" spans="1:50">
      <c r="A5137" s="1">
        <f>HYPERLINK("https://lsnyc.legalserver.org/matter/dynamic-profile/view/1889653","19-1889653")</f>
        <v>0</v>
      </c>
      <c r="B5137" t="s">
        <v>214</v>
      </c>
      <c r="C5137" t="s">
        <v>341</v>
      </c>
      <c r="D5137" t="s">
        <v>739</v>
      </c>
      <c r="E5137" t="s">
        <v>737</v>
      </c>
      <c r="F5137" t="s">
        <v>3306</v>
      </c>
      <c r="G5137" t="s">
        <v>1659</v>
      </c>
      <c r="H5137" t="s">
        <v>13510</v>
      </c>
      <c r="I5137" t="s">
        <v>17757</v>
      </c>
      <c r="J5137" t="s">
        <v>18900</v>
      </c>
      <c r="K5137">
        <v>11355</v>
      </c>
      <c r="L5137" t="s">
        <v>18958</v>
      </c>
      <c r="M5137" t="s">
        <v>18958</v>
      </c>
      <c r="N5137" t="s">
        <v>19045</v>
      </c>
      <c r="O5137" t="s">
        <v>18997</v>
      </c>
      <c r="P5137" t="s">
        <v>26565</v>
      </c>
      <c r="Q5137" t="s">
        <v>26571</v>
      </c>
      <c r="R5137" t="s">
        <v>26578</v>
      </c>
      <c r="S5137" t="s">
        <v>18959</v>
      </c>
      <c r="U5137" t="s">
        <v>26604</v>
      </c>
      <c r="V5137" t="s">
        <v>26610</v>
      </c>
      <c r="W5137" t="s">
        <v>739</v>
      </c>
      <c r="X5137">
        <v>1675</v>
      </c>
      <c r="Y5137" t="s">
        <v>26653</v>
      </c>
      <c r="Z5137" t="s">
        <v>26670</v>
      </c>
      <c r="AA5137" t="s">
        <v>26683</v>
      </c>
      <c r="AB5137" t="s">
        <v>30863</v>
      </c>
      <c r="AC5137" t="s">
        <v>35930</v>
      </c>
      <c r="AD5137" t="s">
        <v>41095</v>
      </c>
      <c r="AE5137">
        <v>150</v>
      </c>
      <c r="AF5137" t="s">
        <v>45547</v>
      </c>
      <c r="AG5137" t="s">
        <v>19330</v>
      </c>
      <c r="AH5137">
        <v>12</v>
      </c>
      <c r="AI5137">
        <v>1</v>
      </c>
      <c r="AJ5137">
        <v>0</v>
      </c>
      <c r="AK5137">
        <v>22.38</v>
      </c>
      <c r="AN5137" t="s">
        <v>45594</v>
      </c>
      <c r="AO5137">
        <v>2795</v>
      </c>
      <c r="AU5137">
        <v>2.68</v>
      </c>
      <c r="AV5137" t="s">
        <v>745</v>
      </c>
      <c r="AW5137" t="s">
        <v>214</v>
      </c>
    </row>
    <row r="5138" spans="1:50">
      <c r="A5138" s="1">
        <f>HYPERLINK("https://lsnyc.legalserver.org/matter/dynamic-profile/view/1889716","19-1889716")</f>
        <v>0</v>
      </c>
      <c r="B5138" t="s">
        <v>102</v>
      </c>
      <c r="C5138" t="s">
        <v>341</v>
      </c>
      <c r="D5138" t="s">
        <v>739</v>
      </c>
      <c r="E5138" t="s">
        <v>761</v>
      </c>
      <c r="F5138" t="s">
        <v>1756</v>
      </c>
      <c r="G5138" t="s">
        <v>5296</v>
      </c>
      <c r="H5138" t="s">
        <v>13511</v>
      </c>
      <c r="I5138" t="s">
        <v>18018</v>
      </c>
      <c r="J5138" t="s">
        <v>18902</v>
      </c>
      <c r="K5138">
        <v>10304</v>
      </c>
      <c r="L5138" t="s">
        <v>18958</v>
      </c>
      <c r="M5138" t="s">
        <v>18958</v>
      </c>
      <c r="N5138" t="s">
        <v>22831</v>
      </c>
      <c r="O5138" t="s">
        <v>26523</v>
      </c>
      <c r="P5138" t="s">
        <v>26560</v>
      </c>
      <c r="Q5138" t="s">
        <v>26568</v>
      </c>
      <c r="R5138" t="s">
        <v>26578</v>
      </c>
      <c r="S5138" t="s">
        <v>18959</v>
      </c>
      <c r="U5138" t="s">
        <v>26604</v>
      </c>
      <c r="V5138" t="s">
        <v>26612</v>
      </c>
      <c r="W5138" t="s">
        <v>739</v>
      </c>
      <c r="X5138">
        <v>0</v>
      </c>
      <c r="Y5138" t="s">
        <v>26654</v>
      </c>
      <c r="Z5138" t="s">
        <v>26659</v>
      </c>
      <c r="AA5138" t="s">
        <v>26678</v>
      </c>
      <c r="AB5138" t="s">
        <v>30864</v>
      </c>
      <c r="AD5138" t="s">
        <v>41096</v>
      </c>
      <c r="AE5138">
        <v>403</v>
      </c>
      <c r="AF5138" t="s">
        <v>45543</v>
      </c>
      <c r="AG5138" t="s">
        <v>45556</v>
      </c>
      <c r="AH5138">
        <v>20</v>
      </c>
      <c r="AI5138">
        <v>2</v>
      </c>
      <c r="AJ5138">
        <v>0</v>
      </c>
      <c r="AK5138">
        <v>0</v>
      </c>
      <c r="AN5138" t="s">
        <v>7439</v>
      </c>
      <c r="AO5138">
        <v>0</v>
      </c>
      <c r="AS5138" t="s">
        <v>46499</v>
      </c>
      <c r="AT5138" t="s">
        <v>46655</v>
      </c>
      <c r="AU5138">
        <v>5.8</v>
      </c>
      <c r="AV5138" t="s">
        <v>695</v>
      </c>
      <c r="AW5138" t="s">
        <v>46852</v>
      </c>
    </row>
    <row r="5139" spans="1:50">
      <c r="A5139" s="1">
        <f>HYPERLINK("https://lsnyc.legalserver.org/matter/dynamic-profile/view/1889654","19-1889654")</f>
        <v>0</v>
      </c>
      <c r="B5139" t="s">
        <v>97</v>
      </c>
      <c r="C5139" t="s">
        <v>340</v>
      </c>
      <c r="D5139" t="s">
        <v>739</v>
      </c>
      <c r="F5139" t="s">
        <v>989</v>
      </c>
      <c r="G5139" t="s">
        <v>7565</v>
      </c>
      <c r="H5139" t="s">
        <v>13512</v>
      </c>
      <c r="I5139" t="s">
        <v>17358</v>
      </c>
      <c r="J5139" t="s">
        <v>18892</v>
      </c>
      <c r="K5139">
        <v>10467</v>
      </c>
      <c r="L5139" t="s">
        <v>18958</v>
      </c>
      <c r="M5139" t="s">
        <v>18958</v>
      </c>
      <c r="N5139" t="s">
        <v>22832</v>
      </c>
      <c r="O5139" t="s">
        <v>26523</v>
      </c>
      <c r="P5139" t="s">
        <v>26560</v>
      </c>
      <c r="R5139" t="s">
        <v>26579</v>
      </c>
      <c r="S5139" t="s">
        <v>18959</v>
      </c>
      <c r="U5139" t="s">
        <v>26604</v>
      </c>
      <c r="V5139" t="s">
        <v>26609</v>
      </c>
      <c r="W5139" t="s">
        <v>739</v>
      </c>
      <c r="X5139">
        <v>1296.81</v>
      </c>
      <c r="Y5139" t="s">
        <v>26650</v>
      </c>
      <c r="Z5139" t="s">
        <v>26664</v>
      </c>
      <c r="AB5139" t="s">
        <v>30865</v>
      </c>
      <c r="AC5139" t="s">
        <v>35931</v>
      </c>
      <c r="AD5139" t="s">
        <v>41097</v>
      </c>
      <c r="AE5139">
        <v>60</v>
      </c>
      <c r="AF5139" t="s">
        <v>45541</v>
      </c>
      <c r="AG5139" t="s">
        <v>45562</v>
      </c>
      <c r="AH5139">
        <v>4</v>
      </c>
      <c r="AI5139">
        <v>1</v>
      </c>
      <c r="AJ5139">
        <v>0</v>
      </c>
      <c r="AK5139">
        <v>84.26000000000001</v>
      </c>
      <c r="AN5139" t="s">
        <v>45581</v>
      </c>
      <c r="AO5139">
        <v>10524</v>
      </c>
      <c r="AU5139">
        <v>8.25</v>
      </c>
      <c r="AV5139" t="s">
        <v>820</v>
      </c>
      <c r="AW5139" t="s">
        <v>46847</v>
      </c>
      <c r="AX5139" t="s">
        <v>46897</v>
      </c>
    </row>
    <row r="5140" spans="1:50">
      <c r="A5140" s="1">
        <f>HYPERLINK("https://lsnyc.legalserver.org/matter/dynamic-profile/view/1889631","19-1889631")</f>
        <v>0</v>
      </c>
      <c r="B5140" t="s">
        <v>180</v>
      </c>
      <c r="C5140" t="s">
        <v>340</v>
      </c>
      <c r="D5140" t="s">
        <v>739</v>
      </c>
      <c r="F5140" t="s">
        <v>2501</v>
      </c>
      <c r="G5140" t="s">
        <v>1384</v>
      </c>
      <c r="H5140" t="s">
        <v>10956</v>
      </c>
      <c r="I5140" t="s">
        <v>18191</v>
      </c>
      <c r="J5140" t="s">
        <v>18894</v>
      </c>
      <c r="K5140">
        <v>11225</v>
      </c>
      <c r="L5140" t="s">
        <v>18958</v>
      </c>
      <c r="M5140" t="s">
        <v>18958</v>
      </c>
      <c r="N5140" t="s">
        <v>22833</v>
      </c>
      <c r="O5140" t="s">
        <v>26523</v>
      </c>
      <c r="P5140" t="s">
        <v>26560</v>
      </c>
      <c r="R5140" t="s">
        <v>26588</v>
      </c>
      <c r="S5140" t="s">
        <v>18959</v>
      </c>
      <c r="U5140" t="s">
        <v>26604</v>
      </c>
      <c r="W5140" t="s">
        <v>739</v>
      </c>
      <c r="X5140">
        <v>1685</v>
      </c>
      <c r="Y5140" t="s">
        <v>26652</v>
      </c>
      <c r="Z5140" t="s">
        <v>26669</v>
      </c>
      <c r="AB5140" t="s">
        <v>30866</v>
      </c>
      <c r="AD5140" t="s">
        <v>41098</v>
      </c>
      <c r="AE5140">
        <v>0</v>
      </c>
      <c r="AH5140">
        <v>5</v>
      </c>
      <c r="AI5140">
        <v>2</v>
      </c>
      <c r="AJ5140">
        <v>3</v>
      </c>
      <c r="AK5140">
        <v>19.89</v>
      </c>
      <c r="AN5140" t="s">
        <v>7439</v>
      </c>
      <c r="AO5140">
        <v>6000</v>
      </c>
      <c r="AU5140">
        <v>13.2</v>
      </c>
      <c r="AV5140" t="s">
        <v>797</v>
      </c>
      <c r="AW5140" t="s">
        <v>281</v>
      </c>
    </row>
    <row r="5141" spans="1:50">
      <c r="A5141" s="1">
        <f>HYPERLINK("https://lsnyc.legalserver.org/matter/dynamic-profile/view/1889660","19-1889660")</f>
        <v>0</v>
      </c>
      <c r="B5141" t="s">
        <v>167</v>
      </c>
      <c r="C5141" t="s">
        <v>340</v>
      </c>
      <c r="D5141" t="s">
        <v>739</v>
      </c>
      <c r="F5141" t="s">
        <v>3008</v>
      </c>
      <c r="G5141" t="s">
        <v>7155</v>
      </c>
      <c r="H5141" t="s">
        <v>13513</v>
      </c>
      <c r="I5141" t="s">
        <v>17275</v>
      </c>
      <c r="J5141" t="s">
        <v>18894</v>
      </c>
      <c r="K5141">
        <v>11225</v>
      </c>
      <c r="L5141" t="s">
        <v>18958</v>
      </c>
      <c r="M5141" t="s">
        <v>18958</v>
      </c>
      <c r="N5141" t="s">
        <v>22834</v>
      </c>
      <c r="O5141" t="s">
        <v>26523</v>
      </c>
      <c r="P5141" t="s">
        <v>26560</v>
      </c>
      <c r="R5141" t="s">
        <v>26588</v>
      </c>
      <c r="U5141" t="s">
        <v>26604</v>
      </c>
      <c r="W5141" t="s">
        <v>739</v>
      </c>
      <c r="X5141">
        <v>1001.59</v>
      </c>
      <c r="Y5141" t="s">
        <v>26652</v>
      </c>
      <c r="Z5141" t="s">
        <v>26669</v>
      </c>
      <c r="AB5141" t="s">
        <v>30867</v>
      </c>
      <c r="AD5141" t="s">
        <v>41099</v>
      </c>
      <c r="AE5141">
        <v>0</v>
      </c>
      <c r="AF5141" t="s">
        <v>45541</v>
      </c>
      <c r="AG5141" t="s">
        <v>45559</v>
      </c>
      <c r="AH5141">
        <v>21</v>
      </c>
      <c r="AI5141">
        <v>2</v>
      </c>
      <c r="AJ5141">
        <v>0</v>
      </c>
      <c r="AK5141">
        <v>109.28</v>
      </c>
      <c r="AN5141" t="s">
        <v>7439</v>
      </c>
      <c r="AO5141">
        <v>18480</v>
      </c>
      <c r="AU5141">
        <v>9.4</v>
      </c>
      <c r="AV5141" t="s">
        <v>818</v>
      </c>
      <c r="AW5141" t="s">
        <v>281</v>
      </c>
    </row>
    <row r="5142" spans="1:50">
      <c r="A5142" s="1">
        <f>HYPERLINK("https://lsnyc.legalserver.org/matter/dynamic-profile/view/1889676","19-1889676")</f>
        <v>0</v>
      </c>
      <c r="B5142" t="s">
        <v>167</v>
      </c>
      <c r="C5142" t="s">
        <v>340</v>
      </c>
      <c r="D5142" t="s">
        <v>739</v>
      </c>
      <c r="F5142" t="s">
        <v>3307</v>
      </c>
      <c r="G5142" t="s">
        <v>7566</v>
      </c>
      <c r="H5142" t="s">
        <v>10345</v>
      </c>
      <c r="I5142" t="s">
        <v>17349</v>
      </c>
      <c r="J5142" t="s">
        <v>18894</v>
      </c>
      <c r="K5142">
        <v>11225</v>
      </c>
      <c r="L5142" t="s">
        <v>18958</v>
      </c>
      <c r="M5142" t="s">
        <v>18958</v>
      </c>
      <c r="N5142" t="s">
        <v>22835</v>
      </c>
      <c r="O5142" t="s">
        <v>26523</v>
      </c>
      <c r="P5142" t="s">
        <v>26560</v>
      </c>
      <c r="R5142" t="s">
        <v>26588</v>
      </c>
      <c r="U5142" t="s">
        <v>26604</v>
      </c>
      <c r="W5142" t="s">
        <v>739</v>
      </c>
      <c r="X5142">
        <v>2400</v>
      </c>
      <c r="Y5142" t="s">
        <v>26652</v>
      </c>
      <c r="Z5142" t="s">
        <v>26669</v>
      </c>
      <c r="AB5142" t="s">
        <v>30868</v>
      </c>
      <c r="AD5142" t="s">
        <v>41100</v>
      </c>
      <c r="AE5142">
        <v>0</v>
      </c>
      <c r="AG5142" t="s">
        <v>19330</v>
      </c>
      <c r="AH5142">
        <v>7</v>
      </c>
      <c r="AI5142">
        <v>1</v>
      </c>
      <c r="AJ5142">
        <v>3</v>
      </c>
      <c r="AK5142">
        <v>147.57</v>
      </c>
      <c r="AN5142" t="s">
        <v>7439</v>
      </c>
      <c r="AO5142">
        <v>38000</v>
      </c>
      <c r="AU5142">
        <v>6.8</v>
      </c>
      <c r="AV5142" t="s">
        <v>768</v>
      </c>
      <c r="AW5142" t="s">
        <v>281</v>
      </c>
    </row>
    <row r="5143" spans="1:50">
      <c r="A5143" s="1">
        <f>HYPERLINK("https://lsnyc.legalserver.org/matter/dynamic-profile/view/1889639","19-1889639")</f>
        <v>0</v>
      </c>
      <c r="B5143" t="s">
        <v>167</v>
      </c>
      <c r="C5143" t="s">
        <v>340</v>
      </c>
      <c r="D5143" t="s">
        <v>739</v>
      </c>
      <c r="F5143" t="s">
        <v>3308</v>
      </c>
      <c r="G5143" t="s">
        <v>7567</v>
      </c>
      <c r="H5143" t="s">
        <v>12400</v>
      </c>
      <c r="I5143" t="s">
        <v>17407</v>
      </c>
      <c r="J5143" t="s">
        <v>18894</v>
      </c>
      <c r="K5143">
        <v>11216</v>
      </c>
      <c r="L5143" t="s">
        <v>18958</v>
      </c>
      <c r="M5143" t="s">
        <v>18958</v>
      </c>
      <c r="N5143" t="s">
        <v>22836</v>
      </c>
      <c r="O5143" t="s">
        <v>26523</v>
      </c>
      <c r="P5143" t="s">
        <v>26560</v>
      </c>
      <c r="R5143" t="s">
        <v>26588</v>
      </c>
      <c r="S5143" t="s">
        <v>18959</v>
      </c>
      <c r="U5143" t="s">
        <v>26604</v>
      </c>
      <c r="W5143" t="s">
        <v>739</v>
      </c>
      <c r="X5143">
        <v>1506.2</v>
      </c>
      <c r="Y5143" t="s">
        <v>26652</v>
      </c>
      <c r="Z5143" t="s">
        <v>26669</v>
      </c>
      <c r="AB5143" t="s">
        <v>30869</v>
      </c>
      <c r="AD5143" t="s">
        <v>41101</v>
      </c>
      <c r="AE5143">
        <v>0</v>
      </c>
      <c r="AG5143" t="s">
        <v>19330</v>
      </c>
      <c r="AH5143">
        <v>5</v>
      </c>
      <c r="AI5143">
        <v>4</v>
      </c>
      <c r="AJ5143">
        <v>0</v>
      </c>
      <c r="AK5143">
        <v>225.24</v>
      </c>
      <c r="AL5143" t="s">
        <v>794</v>
      </c>
      <c r="AM5143" t="s">
        <v>45575</v>
      </c>
      <c r="AN5143" t="s">
        <v>7439</v>
      </c>
      <c r="AO5143">
        <v>58000</v>
      </c>
      <c r="AU5143">
        <v>10.5</v>
      </c>
      <c r="AV5143" t="s">
        <v>768</v>
      </c>
      <c r="AW5143" t="s">
        <v>281</v>
      </c>
    </row>
    <row r="5144" spans="1:50">
      <c r="A5144" s="1">
        <f>HYPERLINK("https://lsnyc.legalserver.org/matter/dynamic-profile/view/1889638","19-1889638")</f>
        <v>0</v>
      </c>
      <c r="B5144" t="s">
        <v>72</v>
      </c>
      <c r="C5144" t="s">
        <v>340</v>
      </c>
      <c r="D5144" t="s">
        <v>739</v>
      </c>
      <c r="F5144" t="s">
        <v>1250</v>
      </c>
      <c r="G5144" t="s">
        <v>5760</v>
      </c>
      <c r="H5144" t="s">
        <v>13514</v>
      </c>
      <c r="I5144">
        <v>65</v>
      </c>
      <c r="J5144" t="s">
        <v>18893</v>
      </c>
      <c r="K5144">
        <v>10034</v>
      </c>
      <c r="L5144" t="s">
        <v>18958</v>
      </c>
      <c r="M5144" t="s">
        <v>18958</v>
      </c>
      <c r="N5144" t="s">
        <v>22837</v>
      </c>
      <c r="O5144" t="s">
        <v>26524</v>
      </c>
      <c r="P5144" t="s">
        <v>26560</v>
      </c>
      <c r="R5144" t="s">
        <v>26578</v>
      </c>
      <c r="S5144" t="s">
        <v>18959</v>
      </c>
      <c r="U5144" t="s">
        <v>26604</v>
      </c>
      <c r="W5144" t="s">
        <v>739</v>
      </c>
      <c r="X5144">
        <v>1313</v>
      </c>
      <c r="Y5144" t="s">
        <v>26651</v>
      </c>
      <c r="Z5144" t="s">
        <v>26661</v>
      </c>
      <c r="AB5144" t="s">
        <v>30870</v>
      </c>
      <c r="AD5144" t="s">
        <v>41102</v>
      </c>
      <c r="AE5144">
        <v>100</v>
      </c>
      <c r="AF5144" t="s">
        <v>45541</v>
      </c>
      <c r="AG5144" t="s">
        <v>19330</v>
      </c>
      <c r="AH5144">
        <v>5</v>
      </c>
      <c r="AI5144">
        <v>2</v>
      </c>
      <c r="AJ5144">
        <v>1</v>
      </c>
      <c r="AK5144">
        <v>112.52</v>
      </c>
      <c r="AN5144" t="s">
        <v>45581</v>
      </c>
      <c r="AO5144">
        <v>24000</v>
      </c>
      <c r="AU5144">
        <v>26.9</v>
      </c>
      <c r="AV5144" t="s">
        <v>806</v>
      </c>
      <c r="AW5144" t="s">
        <v>46840</v>
      </c>
    </row>
    <row r="5145" spans="1:50">
      <c r="A5145" s="1">
        <f>HYPERLINK("https://lsnyc.legalserver.org/matter/dynamic-profile/view/1889652","19-1889652")</f>
        <v>0</v>
      </c>
      <c r="B5145" t="s">
        <v>235</v>
      </c>
      <c r="C5145" t="s">
        <v>340</v>
      </c>
      <c r="D5145" t="s">
        <v>739</v>
      </c>
      <c r="F5145" t="s">
        <v>3309</v>
      </c>
      <c r="G5145" t="s">
        <v>7568</v>
      </c>
      <c r="H5145" t="s">
        <v>12317</v>
      </c>
      <c r="I5145" t="s">
        <v>18192</v>
      </c>
      <c r="J5145" t="s">
        <v>18901</v>
      </c>
      <c r="K5145">
        <v>11434</v>
      </c>
      <c r="L5145" t="s">
        <v>18958</v>
      </c>
      <c r="M5145" t="s">
        <v>18958</v>
      </c>
      <c r="P5145" t="s">
        <v>26560</v>
      </c>
      <c r="R5145" t="s">
        <v>26584</v>
      </c>
      <c r="S5145" t="s">
        <v>18959</v>
      </c>
      <c r="U5145" t="s">
        <v>26604</v>
      </c>
      <c r="W5145" t="s">
        <v>739</v>
      </c>
      <c r="X5145">
        <v>480</v>
      </c>
      <c r="Y5145" t="s">
        <v>26653</v>
      </c>
      <c r="Z5145" t="s">
        <v>26668</v>
      </c>
      <c r="AB5145" t="s">
        <v>30871</v>
      </c>
      <c r="AD5145" t="s">
        <v>41103</v>
      </c>
      <c r="AE5145">
        <v>0</v>
      </c>
      <c r="AG5145" t="s">
        <v>19330</v>
      </c>
      <c r="AH5145">
        <v>38</v>
      </c>
      <c r="AI5145">
        <v>1</v>
      </c>
      <c r="AJ5145">
        <v>0</v>
      </c>
      <c r="AK5145">
        <v>192.15</v>
      </c>
      <c r="AN5145" t="s">
        <v>7439</v>
      </c>
      <c r="AO5145">
        <v>24000</v>
      </c>
      <c r="AU5145">
        <v>11.11</v>
      </c>
      <c r="AV5145" t="s">
        <v>809</v>
      </c>
      <c r="AW5145" t="s">
        <v>208</v>
      </c>
    </row>
    <row r="5146" spans="1:50">
      <c r="A5146" s="1">
        <f>HYPERLINK("https://lsnyc.legalserver.org/matter/dynamic-profile/view/1889817","19-1889817")</f>
        <v>0</v>
      </c>
      <c r="B5146" t="s">
        <v>106</v>
      </c>
      <c r="C5146" t="s">
        <v>341</v>
      </c>
      <c r="D5146" t="s">
        <v>714</v>
      </c>
      <c r="E5146" t="s">
        <v>830</v>
      </c>
      <c r="F5146" t="s">
        <v>3310</v>
      </c>
      <c r="G5146" t="s">
        <v>7569</v>
      </c>
      <c r="H5146" t="s">
        <v>13515</v>
      </c>
      <c r="I5146" t="s">
        <v>17496</v>
      </c>
      <c r="J5146" t="s">
        <v>18894</v>
      </c>
      <c r="K5146">
        <v>11226</v>
      </c>
      <c r="L5146" t="s">
        <v>18958</v>
      </c>
      <c r="M5146" t="s">
        <v>18958</v>
      </c>
      <c r="N5146" t="s">
        <v>22838</v>
      </c>
      <c r="O5146" t="s">
        <v>26524</v>
      </c>
      <c r="P5146" t="s">
        <v>26560</v>
      </c>
      <c r="Q5146" t="s">
        <v>26568</v>
      </c>
      <c r="R5146" t="s">
        <v>26588</v>
      </c>
      <c r="S5146" t="s">
        <v>18959</v>
      </c>
      <c r="U5146" t="s">
        <v>26604</v>
      </c>
      <c r="V5146" t="s">
        <v>26611</v>
      </c>
      <c r="W5146" t="s">
        <v>739</v>
      </c>
      <c r="X5146">
        <v>932.8200000000001</v>
      </c>
      <c r="Y5146" t="s">
        <v>26652</v>
      </c>
      <c r="Z5146" t="s">
        <v>26664</v>
      </c>
      <c r="AA5146" t="s">
        <v>26678</v>
      </c>
      <c r="AB5146" t="s">
        <v>30872</v>
      </c>
      <c r="AD5146" t="s">
        <v>41104</v>
      </c>
      <c r="AE5146">
        <v>48</v>
      </c>
      <c r="AF5146" t="s">
        <v>45541</v>
      </c>
      <c r="AG5146" t="s">
        <v>19330</v>
      </c>
      <c r="AH5146">
        <v>33</v>
      </c>
      <c r="AI5146">
        <v>4</v>
      </c>
      <c r="AJ5146">
        <v>0</v>
      </c>
      <c r="AK5146">
        <v>191.84</v>
      </c>
      <c r="AN5146" t="s">
        <v>7439</v>
      </c>
      <c r="AO5146">
        <v>49400</v>
      </c>
      <c r="AS5146" t="s">
        <v>46499</v>
      </c>
      <c r="AU5146">
        <v>38.6</v>
      </c>
      <c r="AV5146" t="s">
        <v>830</v>
      </c>
      <c r="AW5146" t="s">
        <v>46853</v>
      </c>
    </row>
    <row r="5147" spans="1:50">
      <c r="A5147" s="1">
        <f>HYPERLINK("https://lsnyc.legalserver.org/matter/dynamic-profile/view/1889790","19-1889790")</f>
        <v>0</v>
      </c>
      <c r="B5147" t="s">
        <v>232</v>
      </c>
      <c r="C5147" t="s">
        <v>340</v>
      </c>
      <c r="D5147" t="s">
        <v>714</v>
      </c>
      <c r="F5147" t="s">
        <v>3311</v>
      </c>
      <c r="G5147" t="s">
        <v>5873</v>
      </c>
      <c r="H5147" t="s">
        <v>13516</v>
      </c>
      <c r="I5147" t="s">
        <v>17331</v>
      </c>
      <c r="J5147" t="s">
        <v>18894</v>
      </c>
      <c r="K5147">
        <v>11221</v>
      </c>
      <c r="L5147" t="s">
        <v>18958</v>
      </c>
      <c r="M5147" t="s">
        <v>18958</v>
      </c>
      <c r="N5147" t="s">
        <v>22839</v>
      </c>
      <c r="O5147" t="s">
        <v>26523</v>
      </c>
      <c r="P5147" t="s">
        <v>26560</v>
      </c>
      <c r="R5147" t="s">
        <v>26588</v>
      </c>
      <c r="U5147" t="s">
        <v>26604</v>
      </c>
      <c r="W5147" t="s">
        <v>739</v>
      </c>
      <c r="X5147">
        <v>1500</v>
      </c>
      <c r="Y5147" t="s">
        <v>26652</v>
      </c>
      <c r="Z5147" t="s">
        <v>26669</v>
      </c>
      <c r="AB5147" t="s">
        <v>30873</v>
      </c>
      <c r="AD5147" t="s">
        <v>41105</v>
      </c>
      <c r="AE5147">
        <v>6</v>
      </c>
      <c r="AG5147" t="s">
        <v>19330</v>
      </c>
      <c r="AH5147">
        <v>5</v>
      </c>
      <c r="AI5147">
        <v>2</v>
      </c>
      <c r="AJ5147">
        <v>0</v>
      </c>
      <c r="AK5147">
        <v>189.24</v>
      </c>
      <c r="AN5147" t="s">
        <v>45581</v>
      </c>
      <c r="AO5147">
        <v>32000</v>
      </c>
      <c r="AU5147">
        <v>11.95</v>
      </c>
      <c r="AV5147" t="s">
        <v>767</v>
      </c>
      <c r="AW5147" t="s">
        <v>46862</v>
      </c>
    </row>
    <row r="5148" spans="1:50">
      <c r="A5148" s="1">
        <f>HYPERLINK("https://lsnyc.legalserver.org/matter/dynamic-profile/view/1889701","19-1889701")</f>
        <v>0</v>
      </c>
      <c r="B5148" t="s">
        <v>238</v>
      </c>
      <c r="C5148" t="s">
        <v>340</v>
      </c>
      <c r="D5148" t="s">
        <v>714</v>
      </c>
      <c r="F5148" t="s">
        <v>1352</v>
      </c>
      <c r="G5148" t="s">
        <v>1384</v>
      </c>
      <c r="H5148" t="s">
        <v>10922</v>
      </c>
      <c r="J5148" t="s">
        <v>18894</v>
      </c>
      <c r="K5148">
        <v>11210</v>
      </c>
      <c r="L5148" t="s">
        <v>18958</v>
      </c>
      <c r="M5148" t="s">
        <v>18958</v>
      </c>
      <c r="N5148" t="s">
        <v>22840</v>
      </c>
      <c r="O5148" t="s">
        <v>26524</v>
      </c>
      <c r="P5148" t="s">
        <v>26564</v>
      </c>
      <c r="R5148" t="s">
        <v>26586</v>
      </c>
      <c r="U5148" t="s">
        <v>26604</v>
      </c>
      <c r="W5148" t="s">
        <v>739</v>
      </c>
      <c r="X5148">
        <v>1200</v>
      </c>
      <c r="Y5148" t="s">
        <v>26652</v>
      </c>
      <c r="Z5148" t="s">
        <v>26664</v>
      </c>
      <c r="AB5148" t="s">
        <v>30874</v>
      </c>
      <c r="AD5148" t="s">
        <v>41106</v>
      </c>
      <c r="AE5148">
        <v>1</v>
      </c>
      <c r="AG5148" t="s">
        <v>19330</v>
      </c>
      <c r="AH5148">
        <v>1</v>
      </c>
      <c r="AI5148">
        <v>2</v>
      </c>
      <c r="AJ5148">
        <v>1</v>
      </c>
      <c r="AK5148">
        <v>70.31999999999999</v>
      </c>
      <c r="AN5148" t="s">
        <v>7439</v>
      </c>
      <c r="AO5148">
        <v>15000</v>
      </c>
      <c r="AU5148">
        <v>1.1</v>
      </c>
      <c r="AV5148" t="s">
        <v>744</v>
      </c>
      <c r="AW5148" t="s">
        <v>46862</v>
      </c>
    </row>
    <row r="5149" spans="1:50">
      <c r="A5149" s="1">
        <f>HYPERLINK("https://lsnyc.legalserver.org/matter/dynamic-profile/view/1889876","19-1889876")</f>
        <v>0</v>
      </c>
      <c r="B5149" t="s">
        <v>193</v>
      </c>
      <c r="C5149" t="s">
        <v>341</v>
      </c>
      <c r="D5149" t="s">
        <v>744</v>
      </c>
      <c r="E5149" t="s">
        <v>779</v>
      </c>
      <c r="F5149" t="s">
        <v>1033</v>
      </c>
      <c r="G5149" t="s">
        <v>7570</v>
      </c>
      <c r="H5149" t="s">
        <v>13517</v>
      </c>
      <c r="I5149" t="s">
        <v>17976</v>
      </c>
      <c r="J5149" t="s">
        <v>18894</v>
      </c>
      <c r="K5149">
        <v>11225</v>
      </c>
      <c r="L5149" t="s">
        <v>18958</v>
      </c>
      <c r="M5149" t="s">
        <v>18958</v>
      </c>
      <c r="N5149" t="s">
        <v>22841</v>
      </c>
      <c r="O5149" t="s">
        <v>26523</v>
      </c>
      <c r="P5149" t="s">
        <v>26560</v>
      </c>
      <c r="Q5149" t="s">
        <v>26573</v>
      </c>
      <c r="R5149" t="s">
        <v>26588</v>
      </c>
      <c r="S5149" t="s">
        <v>18959</v>
      </c>
      <c r="U5149" t="s">
        <v>26604</v>
      </c>
      <c r="W5149" t="s">
        <v>739</v>
      </c>
      <c r="X5149">
        <v>981.45</v>
      </c>
      <c r="Y5149" t="s">
        <v>26652</v>
      </c>
      <c r="Z5149" t="s">
        <v>26669</v>
      </c>
      <c r="AA5149" t="s">
        <v>26678</v>
      </c>
      <c r="AB5149" t="s">
        <v>30875</v>
      </c>
      <c r="AD5149" t="s">
        <v>41107</v>
      </c>
      <c r="AE5149">
        <v>0</v>
      </c>
      <c r="AG5149" t="s">
        <v>19330</v>
      </c>
      <c r="AH5149">
        <v>53</v>
      </c>
      <c r="AI5149">
        <v>3</v>
      </c>
      <c r="AJ5149">
        <v>0</v>
      </c>
      <c r="AK5149">
        <v>257.85</v>
      </c>
      <c r="AL5149" t="s">
        <v>794</v>
      </c>
      <c r="AM5149" t="s">
        <v>45575</v>
      </c>
      <c r="AN5149" t="s">
        <v>7439</v>
      </c>
      <c r="AO5149">
        <v>55000</v>
      </c>
      <c r="AQ5149" t="s">
        <v>46362</v>
      </c>
      <c r="AR5149" t="s">
        <v>46381</v>
      </c>
      <c r="AS5149" t="s">
        <v>46499</v>
      </c>
      <c r="AT5149" t="s">
        <v>46737</v>
      </c>
      <c r="AU5149">
        <v>12.8</v>
      </c>
      <c r="AV5149" t="s">
        <v>695</v>
      </c>
      <c r="AW5149" t="s">
        <v>281</v>
      </c>
    </row>
    <row r="5150" spans="1:50">
      <c r="A5150" s="1">
        <f>HYPERLINK("https://lsnyc.legalserver.org/matter/dynamic-profile/view/1889943","19-1889943")</f>
        <v>0</v>
      </c>
      <c r="B5150" t="s">
        <v>106</v>
      </c>
      <c r="C5150" t="s">
        <v>341</v>
      </c>
      <c r="D5150" t="s">
        <v>744</v>
      </c>
      <c r="E5150" t="s">
        <v>781</v>
      </c>
      <c r="F5150" t="s">
        <v>990</v>
      </c>
      <c r="G5150" t="s">
        <v>7571</v>
      </c>
      <c r="H5150" t="s">
        <v>13518</v>
      </c>
      <c r="I5150" t="s">
        <v>17425</v>
      </c>
      <c r="J5150" t="s">
        <v>18894</v>
      </c>
      <c r="K5150">
        <v>11226</v>
      </c>
      <c r="L5150" t="s">
        <v>18958</v>
      </c>
      <c r="M5150" t="s">
        <v>18958</v>
      </c>
      <c r="N5150" t="s">
        <v>22842</v>
      </c>
      <c r="O5150" t="s">
        <v>26523</v>
      </c>
      <c r="P5150" t="s">
        <v>26560</v>
      </c>
      <c r="Q5150" t="s">
        <v>26568</v>
      </c>
      <c r="R5150" t="s">
        <v>26588</v>
      </c>
      <c r="S5150" t="s">
        <v>18959</v>
      </c>
      <c r="U5150" t="s">
        <v>26604</v>
      </c>
      <c r="V5150" t="s">
        <v>26610</v>
      </c>
      <c r="W5150" t="s">
        <v>739</v>
      </c>
      <c r="X5150">
        <v>733.83</v>
      </c>
      <c r="Y5150" t="s">
        <v>26652</v>
      </c>
      <c r="Z5150" t="s">
        <v>26664</v>
      </c>
      <c r="AA5150" t="s">
        <v>26678</v>
      </c>
      <c r="AB5150" t="s">
        <v>30876</v>
      </c>
      <c r="AD5150" t="s">
        <v>41108</v>
      </c>
      <c r="AE5150">
        <v>35</v>
      </c>
      <c r="AF5150" t="s">
        <v>45541</v>
      </c>
      <c r="AG5150" t="s">
        <v>45559</v>
      </c>
      <c r="AH5150">
        <v>29</v>
      </c>
      <c r="AI5150">
        <v>2</v>
      </c>
      <c r="AJ5150">
        <v>0</v>
      </c>
      <c r="AK5150">
        <v>118.27</v>
      </c>
      <c r="AN5150" t="s">
        <v>7439</v>
      </c>
      <c r="AO5150">
        <v>20000</v>
      </c>
      <c r="AS5150" t="s">
        <v>46499</v>
      </c>
      <c r="AT5150" t="s">
        <v>46713</v>
      </c>
      <c r="AU5150">
        <v>15.3</v>
      </c>
      <c r="AV5150" t="s">
        <v>781</v>
      </c>
      <c r="AW5150" t="s">
        <v>46853</v>
      </c>
    </row>
    <row r="5151" spans="1:50">
      <c r="A5151" s="1">
        <f>HYPERLINK("https://lsnyc.legalserver.org/matter/dynamic-profile/view/1889906","19-1889906")</f>
        <v>0</v>
      </c>
      <c r="B5151" t="s">
        <v>106</v>
      </c>
      <c r="C5151" t="s">
        <v>341</v>
      </c>
      <c r="D5151" t="s">
        <v>744</v>
      </c>
      <c r="E5151" t="s">
        <v>801</v>
      </c>
      <c r="F5151" t="s">
        <v>2106</v>
      </c>
      <c r="G5151" t="s">
        <v>7572</v>
      </c>
      <c r="H5151" t="s">
        <v>13519</v>
      </c>
      <c r="I5151" t="s">
        <v>17293</v>
      </c>
      <c r="J5151" t="s">
        <v>18894</v>
      </c>
      <c r="K5151">
        <v>11226</v>
      </c>
      <c r="L5151" t="s">
        <v>18958</v>
      </c>
      <c r="M5151" t="s">
        <v>18958</v>
      </c>
      <c r="N5151" t="s">
        <v>22843</v>
      </c>
      <c r="O5151" t="s">
        <v>26523</v>
      </c>
      <c r="P5151" t="s">
        <v>26560</v>
      </c>
      <c r="Q5151" t="s">
        <v>26573</v>
      </c>
      <c r="R5151" t="s">
        <v>26588</v>
      </c>
      <c r="S5151" t="s">
        <v>18959</v>
      </c>
      <c r="U5151" t="s">
        <v>26604</v>
      </c>
      <c r="V5151" t="s">
        <v>26611</v>
      </c>
      <c r="W5151" t="s">
        <v>739</v>
      </c>
      <c r="X5151">
        <v>841.4</v>
      </c>
      <c r="Y5151" t="s">
        <v>26652</v>
      </c>
      <c r="Z5151" t="s">
        <v>26664</v>
      </c>
      <c r="AA5151" t="s">
        <v>26678</v>
      </c>
      <c r="AB5151" t="s">
        <v>30877</v>
      </c>
      <c r="AE5151">
        <v>0</v>
      </c>
      <c r="AG5151" t="s">
        <v>19330</v>
      </c>
      <c r="AH5151">
        <v>25</v>
      </c>
      <c r="AI5151">
        <v>2</v>
      </c>
      <c r="AJ5151">
        <v>1</v>
      </c>
      <c r="AK5151">
        <v>140.18</v>
      </c>
      <c r="AN5151" t="s">
        <v>7439</v>
      </c>
      <c r="AO5151">
        <v>29900</v>
      </c>
      <c r="AS5151" t="s">
        <v>46499</v>
      </c>
      <c r="AT5151" t="s">
        <v>46726</v>
      </c>
      <c r="AU5151">
        <v>8.300000000000001</v>
      </c>
      <c r="AV5151" t="s">
        <v>816</v>
      </c>
      <c r="AW5151" t="s">
        <v>46853</v>
      </c>
    </row>
    <row r="5152" spans="1:50">
      <c r="A5152" s="1">
        <f>HYPERLINK("https://lsnyc.legalserver.org/matter/dynamic-profile/view/1889949","19-1889949")</f>
        <v>0</v>
      </c>
      <c r="B5152" t="s">
        <v>232</v>
      </c>
      <c r="C5152" t="s">
        <v>340</v>
      </c>
      <c r="D5152" t="s">
        <v>744</v>
      </c>
      <c r="F5152" t="s">
        <v>1300</v>
      </c>
      <c r="G5152" t="s">
        <v>7573</v>
      </c>
      <c r="H5152" t="s">
        <v>13520</v>
      </c>
      <c r="I5152" t="s">
        <v>17509</v>
      </c>
      <c r="J5152" t="s">
        <v>18894</v>
      </c>
      <c r="K5152">
        <v>11216</v>
      </c>
      <c r="L5152" t="s">
        <v>18958</v>
      </c>
      <c r="M5152" t="s">
        <v>18958</v>
      </c>
      <c r="N5152" t="s">
        <v>22844</v>
      </c>
      <c r="O5152" t="s">
        <v>26523</v>
      </c>
      <c r="P5152" t="s">
        <v>26560</v>
      </c>
      <c r="R5152" t="s">
        <v>26588</v>
      </c>
      <c r="U5152" t="s">
        <v>26604</v>
      </c>
      <c r="W5152" t="s">
        <v>739</v>
      </c>
      <c r="X5152">
        <v>1646</v>
      </c>
      <c r="Y5152" t="s">
        <v>26652</v>
      </c>
      <c r="Z5152" t="s">
        <v>26669</v>
      </c>
      <c r="AB5152" t="s">
        <v>30878</v>
      </c>
      <c r="AD5152" t="s">
        <v>41109</v>
      </c>
      <c r="AE5152">
        <v>8</v>
      </c>
      <c r="AG5152" t="s">
        <v>19330</v>
      </c>
      <c r="AH5152">
        <v>30</v>
      </c>
      <c r="AI5152">
        <v>2</v>
      </c>
      <c r="AJ5152">
        <v>0</v>
      </c>
      <c r="AK5152">
        <v>177.41</v>
      </c>
      <c r="AN5152" t="s">
        <v>7439</v>
      </c>
      <c r="AO5152">
        <v>30000</v>
      </c>
      <c r="AU5152">
        <v>8.75</v>
      </c>
      <c r="AV5152" t="s">
        <v>768</v>
      </c>
      <c r="AW5152" t="s">
        <v>46862</v>
      </c>
    </row>
    <row r="5153" spans="1:50">
      <c r="A5153" s="1">
        <f>HYPERLINK("https://lsnyc.legalserver.org/matter/dynamic-profile/view/1889970","19-1889970")</f>
        <v>0</v>
      </c>
      <c r="B5153" t="s">
        <v>170</v>
      </c>
      <c r="C5153" t="s">
        <v>340</v>
      </c>
      <c r="D5153" t="s">
        <v>744</v>
      </c>
      <c r="F5153" t="s">
        <v>3312</v>
      </c>
      <c r="G5153" t="s">
        <v>6102</v>
      </c>
      <c r="H5153" t="s">
        <v>13521</v>
      </c>
      <c r="I5153" t="s">
        <v>18193</v>
      </c>
      <c r="J5153" t="s">
        <v>18894</v>
      </c>
      <c r="K5153">
        <v>11221</v>
      </c>
      <c r="L5153" t="s">
        <v>18958</v>
      </c>
      <c r="M5153" t="s">
        <v>18958</v>
      </c>
      <c r="N5153" t="s">
        <v>22845</v>
      </c>
      <c r="O5153" t="s">
        <v>26523</v>
      </c>
      <c r="R5153" t="s">
        <v>26588</v>
      </c>
      <c r="S5153" t="s">
        <v>18959</v>
      </c>
      <c r="U5153" t="s">
        <v>26604</v>
      </c>
      <c r="W5153" t="s">
        <v>739</v>
      </c>
      <c r="X5153">
        <v>844</v>
      </c>
      <c r="Y5153" t="s">
        <v>26652</v>
      </c>
      <c r="Z5153" t="s">
        <v>26669</v>
      </c>
      <c r="AB5153" t="s">
        <v>30879</v>
      </c>
      <c r="AD5153" t="s">
        <v>41110</v>
      </c>
      <c r="AE5153">
        <v>0</v>
      </c>
      <c r="AG5153" t="s">
        <v>45556</v>
      </c>
      <c r="AH5153">
        <v>11</v>
      </c>
      <c r="AI5153">
        <v>1</v>
      </c>
      <c r="AJ5153">
        <v>0</v>
      </c>
      <c r="AK5153">
        <v>256.2</v>
      </c>
      <c r="AN5153" t="s">
        <v>7439</v>
      </c>
      <c r="AO5153">
        <v>32000</v>
      </c>
      <c r="AU5153">
        <v>4.3</v>
      </c>
      <c r="AV5153" t="s">
        <v>780</v>
      </c>
      <c r="AW5153" t="s">
        <v>46853</v>
      </c>
    </row>
    <row r="5154" spans="1:50">
      <c r="A5154" s="1">
        <f>HYPERLINK("https://lsnyc.legalserver.org/matter/dynamic-profile/view/1889903","19-1889903")</f>
        <v>0</v>
      </c>
      <c r="B5154" t="s">
        <v>193</v>
      </c>
      <c r="C5154" t="s">
        <v>340</v>
      </c>
      <c r="D5154" t="s">
        <v>744</v>
      </c>
      <c r="F5154" t="s">
        <v>3313</v>
      </c>
      <c r="G5154" t="s">
        <v>7574</v>
      </c>
      <c r="H5154" t="s">
        <v>10105</v>
      </c>
      <c r="I5154" t="s">
        <v>17424</v>
      </c>
      <c r="J5154" t="s">
        <v>18894</v>
      </c>
      <c r="K5154">
        <v>11224</v>
      </c>
      <c r="L5154" t="s">
        <v>18958</v>
      </c>
      <c r="M5154" t="s">
        <v>18958</v>
      </c>
      <c r="N5154" t="s">
        <v>22846</v>
      </c>
      <c r="O5154" t="s">
        <v>26523</v>
      </c>
      <c r="P5154" t="s">
        <v>26560</v>
      </c>
      <c r="R5154" t="s">
        <v>26586</v>
      </c>
      <c r="U5154" t="s">
        <v>26604</v>
      </c>
      <c r="W5154" t="s">
        <v>739</v>
      </c>
      <c r="X5154">
        <v>1268</v>
      </c>
      <c r="Y5154" t="s">
        <v>26652</v>
      </c>
      <c r="Z5154" t="s">
        <v>26664</v>
      </c>
      <c r="AB5154" t="s">
        <v>30880</v>
      </c>
      <c r="AE5154">
        <v>0</v>
      </c>
      <c r="AG5154" t="s">
        <v>45562</v>
      </c>
      <c r="AH5154">
        <v>25</v>
      </c>
      <c r="AI5154">
        <v>1</v>
      </c>
      <c r="AJ5154">
        <v>1</v>
      </c>
      <c r="AK5154">
        <v>147.84</v>
      </c>
      <c r="AN5154" t="s">
        <v>7439</v>
      </c>
      <c r="AO5154">
        <v>25000</v>
      </c>
      <c r="AU5154">
        <v>15.1</v>
      </c>
      <c r="AV5154" t="s">
        <v>720</v>
      </c>
      <c r="AW5154" t="s">
        <v>281</v>
      </c>
    </row>
    <row r="5155" spans="1:50">
      <c r="A5155" s="1">
        <f>HYPERLINK("https://lsnyc.legalserver.org/matter/dynamic-profile/view/1890036","19-1890036")</f>
        <v>0</v>
      </c>
      <c r="B5155" t="s">
        <v>172</v>
      </c>
      <c r="C5155" t="s">
        <v>340</v>
      </c>
      <c r="D5155" t="s">
        <v>744</v>
      </c>
      <c r="F5155" t="s">
        <v>1355</v>
      </c>
      <c r="G5155" t="s">
        <v>5100</v>
      </c>
      <c r="H5155" t="s">
        <v>13522</v>
      </c>
      <c r="I5155" t="s">
        <v>18112</v>
      </c>
      <c r="J5155" t="s">
        <v>18894</v>
      </c>
      <c r="K5155">
        <v>11226</v>
      </c>
      <c r="L5155" t="s">
        <v>18958</v>
      </c>
      <c r="M5155" t="s">
        <v>18958</v>
      </c>
      <c r="N5155" t="s">
        <v>22847</v>
      </c>
      <c r="O5155" t="s">
        <v>26523</v>
      </c>
      <c r="P5155" t="s">
        <v>26560</v>
      </c>
      <c r="R5155" t="s">
        <v>26588</v>
      </c>
      <c r="U5155" t="s">
        <v>26604</v>
      </c>
      <c r="W5155" t="s">
        <v>739</v>
      </c>
      <c r="X5155">
        <v>942.3200000000001</v>
      </c>
      <c r="Y5155" t="s">
        <v>26652</v>
      </c>
      <c r="Z5155" t="s">
        <v>26664</v>
      </c>
      <c r="AB5155" t="s">
        <v>30881</v>
      </c>
      <c r="AD5155" t="s">
        <v>41111</v>
      </c>
      <c r="AE5155">
        <v>47</v>
      </c>
      <c r="AH5155">
        <v>35</v>
      </c>
      <c r="AI5155">
        <v>1</v>
      </c>
      <c r="AJ5155">
        <v>0</v>
      </c>
      <c r="AK5155">
        <v>59.95</v>
      </c>
      <c r="AN5155" t="s">
        <v>7439</v>
      </c>
      <c r="AO5155">
        <v>7488</v>
      </c>
      <c r="AU5155">
        <v>27.6</v>
      </c>
      <c r="AV5155" t="s">
        <v>835</v>
      </c>
      <c r="AW5155" t="s">
        <v>46862</v>
      </c>
    </row>
    <row r="5156" spans="1:50">
      <c r="A5156" s="1">
        <f>HYPERLINK("https://lsnyc.legalserver.org/matter/dynamic-profile/view/1890064","19-1890064")</f>
        <v>0</v>
      </c>
      <c r="B5156" t="s">
        <v>140</v>
      </c>
      <c r="C5156" t="s">
        <v>341</v>
      </c>
      <c r="D5156" t="s">
        <v>710</v>
      </c>
      <c r="E5156" t="s">
        <v>832</v>
      </c>
      <c r="F5156" t="s">
        <v>1024</v>
      </c>
      <c r="G5156" t="s">
        <v>3034</v>
      </c>
      <c r="H5156" t="s">
        <v>13523</v>
      </c>
      <c r="I5156">
        <v>1</v>
      </c>
      <c r="J5156" t="s">
        <v>18894</v>
      </c>
      <c r="K5156">
        <v>11203</v>
      </c>
      <c r="L5156" t="s">
        <v>18958</v>
      </c>
      <c r="M5156" t="s">
        <v>18960</v>
      </c>
      <c r="N5156" t="s">
        <v>22848</v>
      </c>
      <c r="O5156" t="s">
        <v>26524</v>
      </c>
      <c r="P5156" t="s">
        <v>26564</v>
      </c>
      <c r="Q5156" t="s">
        <v>26570</v>
      </c>
      <c r="R5156" t="s">
        <v>26586</v>
      </c>
      <c r="S5156" t="s">
        <v>18959</v>
      </c>
      <c r="U5156" t="s">
        <v>26604</v>
      </c>
      <c r="V5156" t="s">
        <v>26610</v>
      </c>
      <c r="W5156" t="s">
        <v>739</v>
      </c>
      <c r="X5156">
        <v>1675</v>
      </c>
      <c r="Y5156" t="s">
        <v>26652</v>
      </c>
      <c r="Z5156" t="s">
        <v>26664</v>
      </c>
      <c r="AA5156" t="s">
        <v>26683</v>
      </c>
      <c r="AB5156" t="s">
        <v>30882</v>
      </c>
      <c r="AC5156" t="s">
        <v>35932</v>
      </c>
      <c r="AD5156" t="s">
        <v>41112</v>
      </c>
      <c r="AE5156">
        <v>2</v>
      </c>
      <c r="AF5156" t="s">
        <v>45547</v>
      </c>
      <c r="AG5156" t="s">
        <v>26530</v>
      </c>
      <c r="AH5156">
        <v>0</v>
      </c>
      <c r="AI5156">
        <v>1</v>
      </c>
      <c r="AJ5156">
        <v>4</v>
      </c>
      <c r="AK5156">
        <v>0</v>
      </c>
      <c r="AN5156" t="s">
        <v>7439</v>
      </c>
      <c r="AO5156">
        <v>0</v>
      </c>
      <c r="AU5156">
        <v>2.1</v>
      </c>
      <c r="AV5156" t="s">
        <v>832</v>
      </c>
      <c r="AW5156" t="s">
        <v>46862</v>
      </c>
      <c r="AX5156" t="s">
        <v>46898</v>
      </c>
    </row>
    <row r="5157" spans="1:50">
      <c r="A5157" s="1">
        <f>HYPERLINK("https://lsnyc.legalserver.org/matter/dynamic-profile/view/1890425","19-1890425")</f>
        <v>0</v>
      </c>
      <c r="B5157" t="s">
        <v>232</v>
      </c>
      <c r="C5157" t="s">
        <v>341</v>
      </c>
      <c r="D5157" t="s">
        <v>690</v>
      </c>
      <c r="E5157" t="s">
        <v>659</v>
      </c>
      <c r="F5157" t="s">
        <v>3314</v>
      </c>
      <c r="G5157" t="s">
        <v>5740</v>
      </c>
      <c r="H5157" t="s">
        <v>13524</v>
      </c>
      <c r="I5157" t="s">
        <v>17290</v>
      </c>
      <c r="J5157" t="s">
        <v>18894</v>
      </c>
      <c r="K5157">
        <v>11223</v>
      </c>
      <c r="L5157" t="s">
        <v>18958</v>
      </c>
      <c r="M5157" t="s">
        <v>18958</v>
      </c>
      <c r="N5157" t="s">
        <v>22849</v>
      </c>
      <c r="O5157" t="s">
        <v>26523</v>
      </c>
      <c r="P5157" t="s">
        <v>26565</v>
      </c>
      <c r="Q5157" t="s">
        <v>26571</v>
      </c>
      <c r="R5157" t="s">
        <v>26586</v>
      </c>
      <c r="U5157" t="s">
        <v>26604</v>
      </c>
      <c r="W5157" t="s">
        <v>739</v>
      </c>
      <c r="X5157">
        <v>1511.05</v>
      </c>
      <c r="Y5157" t="s">
        <v>26652</v>
      </c>
      <c r="Z5157" t="s">
        <v>26664</v>
      </c>
      <c r="AA5157" t="s">
        <v>26683</v>
      </c>
      <c r="AB5157" t="s">
        <v>30883</v>
      </c>
      <c r="AD5157" t="s">
        <v>41113</v>
      </c>
      <c r="AE5157">
        <v>0</v>
      </c>
      <c r="AG5157" t="s">
        <v>45557</v>
      </c>
      <c r="AH5157">
        <v>8</v>
      </c>
      <c r="AI5157">
        <v>2</v>
      </c>
      <c r="AJ5157">
        <v>1</v>
      </c>
      <c r="AK5157">
        <v>43.6</v>
      </c>
      <c r="AN5157" t="s">
        <v>7439</v>
      </c>
      <c r="AO5157">
        <v>9300</v>
      </c>
      <c r="AU5157">
        <v>2</v>
      </c>
      <c r="AV5157" t="s">
        <v>659</v>
      </c>
      <c r="AW5157" t="s">
        <v>281</v>
      </c>
    </row>
    <row r="5158" spans="1:50">
      <c r="A5158" s="1">
        <f>HYPERLINK("https://lsnyc.legalserver.org/matter/dynamic-profile/view/1890402","19-1890402")</f>
        <v>0</v>
      </c>
      <c r="B5158" t="s">
        <v>232</v>
      </c>
      <c r="C5158" t="s">
        <v>341</v>
      </c>
      <c r="D5158" t="s">
        <v>690</v>
      </c>
      <c r="E5158" t="s">
        <v>657</v>
      </c>
      <c r="F5158" t="s">
        <v>3315</v>
      </c>
      <c r="G5158" t="s">
        <v>5086</v>
      </c>
      <c r="H5158" t="s">
        <v>13525</v>
      </c>
      <c r="I5158" t="s">
        <v>17322</v>
      </c>
      <c r="J5158" t="s">
        <v>18894</v>
      </c>
      <c r="K5158">
        <v>11216</v>
      </c>
      <c r="L5158" t="s">
        <v>18958</v>
      </c>
      <c r="M5158" t="s">
        <v>18958</v>
      </c>
      <c r="N5158" t="s">
        <v>22850</v>
      </c>
      <c r="O5158" t="s">
        <v>26523</v>
      </c>
      <c r="P5158" t="s">
        <v>26560</v>
      </c>
      <c r="Q5158" t="s">
        <v>26573</v>
      </c>
      <c r="R5158" t="s">
        <v>26588</v>
      </c>
      <c r="S5158" t="s">
        <v>18959</v>
      </c>
      <c r="U5158" t="s">
        <v>26605</v>
      </c>
      <c r="W5158" t="s">
        <v>739</v>
      </c>
      <c r="X5158">
        <v>103</v>
      </c>
      <c r="Y5158" t="s">
        <v>26652</v>
      </c>
      <c r="Z5158" t="s">
        <v>26664</v>
      </c>
      <c r="AA5158" t="s">
        <v>26680</v>
      </c>
      <c r="AB5158" t="s">
        <v>30884</v>
      </c>
      <c r="AD5158" t="s">
        <v>41114</v>
      </c>
      <c r="AE5158">
        <v>16</v>
      </c>
      <c r="AF5158" t="s">
        <v>45549</v>
      </c>
      <c r="AH5158">
        <v>18</v>
      </c>
      <c r="AI5158">
        <v>2</v>
      </c>
      <c r="AJ5158">
        <v>1</v>
      </c>
      <c r="AK5158">
        <v>44.11</v>
      </c>
      <c r="AN5158" t="s">
        <v>7439</v>
      </c>
      <c r="AO5158">
        <v>9408</v>
      </c>
      <c r="AS5158" t="s">
        <v>46499</v>
      </c>
      <c r="AT5158" t="s">
        <v>46660</v>
      </c>
      <c r="AU5158">
        <v>3.25</v>
      </c>
      <c r="AV5158" t="s">
        <v>657</v>
      </c>
      <c r="AW5158" t="s">
        <v>281</v>
      </c>
    </row>
    <row r="5159" spans="1:50">
      <c r="A5159" s="1">
        <f>HYPERLINK("https://lsnyc.legalserver.org/matter/dynamic-profile/view/1890365","19-1890365")</f>
        <v>0</v>
      </c>
      <c r="B5159" t="s">
        <v>140</v>
      </c>
      <c r="C5159" t="s">
        <v>341</v>
      </c>
      <c r="D5159" t="s">
        <v>690</v>
      </c>
      <c r="E5159" t="s">
        <v>823</v>
      </c>
      <c r="F5159" t="s">
        <v>3316</v>
      </c>
      <c r="G5159" t="s">
        <v>5269</v>
      </c>
      <c r="H5159" t="s">
        <v>13526</v>
      </c>
      <c r="I5159">
        <v>31</v>
      </c>
      <c r="J5159" t="s">
        <v>18894</v>
      </c>
      <c r="K5159">
        <v>11226</v>
      </c>
      <c r="L5159" t="s">
        <v>18958</v>
      </c>
      <c r="M5159" t="s">
        <v>18958</v>
      </c>
      <c r="N5159" t="s">
        <v>22851</v>
      </c>
      <c r="O5159" t="s">
        <v>26524</v>
      </c>
      <c r="P5159" t="s">
        <v>26560</v>
      </c>
      <c r="Q5159" t="s">
        <v>26568</v>
      </c>
      <c r="R5159" t="s">
        <v>26588</v>
      </c>
      <c r="S5159" t="s">
        <v>18959</v>
      </c>
      <c r="U5159" t="s">
        <v>26604</v>
      </c>
      <c r="V5159" t="s">
        <v>26610</v>
      </c>
      <c r="W5159" t="s">
        <v>739</v>
      </c>
      <c r="X5159">
        <v>756.96</v>
      </c>
      <c r="Y5159" t="s">
        <v>26652</v>
      </c>
      <c r="Z5159" t="s">
        <v>26664</v>
      </c>
      <c r="AA5159" t="s">
        <v>26678</v>
      </c>
      <c r="AB5159" t="s">
        <v>30885</v>
      </c>
      <c r="AD5159" t="s">
        <v>41115</v>
      </c>
      <c r="AE5159">
        <v>30</v>
      </c>
      <c r="AF5159" t="s">
        <v>45541</v>
      </c>
      <c r="AG5159" t="s">
        <v>45559</v>
      </c>
      <c r="AH5159">
        <v>44</v>
      </c>
      <c r="AI5159">
        <v>1</v>
      </c>
      <c r="AJ5159">
        <v>0</v>
      </c>
      <c r="AK5159">
        <v>131.91</v>
      </c>
      <c r="AN5159" t="s">
        <v>7439</v>
      </c>
      <c r="AO5159">
        <v>16476</v>
      </c>
      <c r="AS5159" t="s">
        <v>46499</v>
      </c>
      <c r="AT5159" t="s">
        <v>46731</v>
      </c>
      <c r="AU5159">
        <v>8.199999999999999</v>
      </c>
      <c r="AV5159" t="s">
        <v>823</v>
      </c>
      <c r="AW5159" t="s">
        <v>46862</v>
      </c>
    </row>
    <row r="5160" spans="1:50">
      <c r="A5160" s="1">
        <f>HYPERLINK("https://lsnyc.legalserver.org/matter/dynamic-profile/view/1890439","19-1890439")</f>
        <v>0</v>
      </c>
      <c r="B5160" t="s">
        <v>170</v>
      </c>
      <c r="C5160" t="s">
        <v>341</v>
      </c>
      <c r="D5160" t="s">
        <v>690</v>
      </c>
      <c r="E5160" t="s">
        <v>793</v>
      </c>
      <c r="F5160" t="s">
        <v>3317</v>
      </c>
      <c r="G5160" t="s">
        <v>7575</v>
      </c>
      <c r="H5160" t="s">
        <v>13527</v>
      </c>
      <c r="I5160" t="s">
        <v>17306</v>
      </c>
      <c r="J5160" t="s">
        <v>18894</v>
      </c>
      <c r="K5160">
        <v>11212</v>
      </c>
      <c r="L5160" t="s">
        <v>18958</v>
      </c>
      <c r="M5160" t="s">
        <v>18958</v>
      </c>
      <c r="N5160" t="s">
        <v>22852</v>
      </c>
      <c r="O5160" t="s">
        <v>26523</v>
      </c>
      <c r="P5160" t="s">
        <v>26560</v>
      </c>
      <c r="Q5160" t="s">
        <v>26568</v>
      </c>
      <c r="R5160" t="s">
        <v>26586</v>
      </c>
      <c r="U5160" t="s">
        <v>26605</v>
      </c>
      <c r="W5160" t="s">
        <v>739</v>
      </c>
      <c r="X5160">
        <v>811</v>
      </c>
      <c r="Y5160" t="s">
        <v>26652</v>
      </c>
      <c r="Z5160" t="s">
        <v>26664</v>
      </c>
      <c r="AA5160" t="s">
        <v>26680</v>
      </c>
      <c r="AB5160" t="s">
        <v>30886</v>
      </c>
      <c r="AD5160" t="s">
        <v>41116</v>
      </c>
      <c r="AE5160">
        <v>9</v>
      </c>
      <c r="AG5160" t="s">
        <v>19330</v>
      </c>
      <c r="AH5160">
        <v>6</v>
      </c>
      <c r="AI5160">
        <v>3</v>
      </c>
      <c r="AJ5160">
        <v>3</v>
      </c>
      <c r="AK5160">
        <v>60.13</v>
      </c>
      <c r="AN5160" t="s">
        <v>7439</v>
      </c>
      <c r="AO5160">
        <v>20800</v>
      </c>
      <c r="AS5160" t="s">
        <v>46499</v>
      </c>
      <c r="AT5160" t="s">
        <v>46777</v>
      </c>
      <c r="AU5160">
        <v>0.8</v>
      </c>
      <c r="AV5160" t="s">
        <v>751</v>
      </c>
      <c r="AW5160" t="s">
        <v>281</v>
      </c>
    </row>
    <row r="5161" spans="1:50">
      <c r="A5161" s="1">
        <f>HYPERLINK("https://lsnyc.legalserver.org/matter/dynamic-profile/view/1890391","19-1890391")</f>
        <v>0</v>
      </c>
      <c r="B5161" t="s">
        <v>140</v>
      </c>
      <c r="C5161" t="s">
        <v>340</v>
      </c>
      <c r="D5161" t="s">
        <v>690</v>
      </c>
      <c r="F5161" t="s">
        <v>1690</v>
      </c>
      <c r="G5161" t="s">
        <v>7576</v>
      </c>
      <c r="H5161" t="s">
        <v>13528</v>
      </c>
      <c r="I5161">
        <v>2</v>
      </c>
      <c r="J5161" t="s">
        <v>18894</v>
      </c>
      <c r="K5161">
        <v>11208</v>
      </c>
      <c r="L5161" t="s">
        <v>18958</v>
      </c>
      <c r="M5161" t="s">
        <v>18958</v>
      </c>
      <c r="N5161" t="s">
        <v>22853</v>
      </c>
      <c r="O5161" t="s">
        <v>26523</v>
      </c>
      <c r="P5161" t="s">
        <v>26560</v>
      </c>
      <c r="R5161" t="s">
        <v>26578</v>
      </c>
      <c r="S5161" t="s">
        <v>18959</v>
      </c>
      <c r="U5161" t="s">
        <v>26604</v>
      </c>
      <c r="V5161" t="s">
        <v>26610</v>
      </c>
      <c r="W5161" t="s">
        <v>739</v>
      </c>
      <c r="X5161">
        <v>2500</v>
      </c>
      <c r="Y5161" t="s">
        <v>26652</v>
      </c>
      <c r="Z5161" t="s">
        <v>26668</v>
      </c>
      <c r="AB5161" t="s">
        <v>30887</v>
      </c>
      <c r="AD5161" t="s">
        <v>41117</v>
      </c>
      <c r="AE5161">
        <v>2</v>
      </c>
      <c r="AF5161" t="s">
        <v>45547</v>
      </c>
      <c r="AG5161" t="s">
        <v>45562</v>
      </c>
      <c r="AH5161">
        <v>4</v>
      </c>
      <c r="AI5161">
        <v>3</v>
      </c>
      <c r="AJ5161">
        <v>2</v>
      </c>
      <c r="AK5161">
        <v>0</v>
      </c>
      <c r="AN5161" t="s">
        <v>7439</v>
      </c>
      <c r="AO5161">
        <v>0</v>
      </c>
      <c r="AU5161">
        <v>31.4</v>
      </c>
      <c r="AV5161" t="s">
        <v>828</v>
      </c>
      <c r="AW5161" t="s">
        <v>46862</v>
      </c>
    </row>
    <row r="5162" spans="1:50">
      <c r="A5162" s="1">
        <f>HYPERLINK("https://lsnyc.legalserver.org/matter/dynamic-profile/view/1890410","19-1890410")</f>
        <v>0</v>
      </c>
      <c r="B5162" t="s">
        <v>140</v>
      </c>
      <c r="C5162" t="s">
        <v>340</v>
      </c>
      <c r="D5162" t="s">
        <v>690</v>
      </c>
      <c r="F5162" t="s">
        <v>1527</v>
      </c>
      <c r="G5162" t="s">
        <v>5178</v>
      </c>
      <c r="H5162" t="s">
        <v>13404</v>
      </c>
      <c r="I5162">
        <v>10</v>
      </c>
      <c r="J5162" t="s">
        <v>18894</v>
      </c>
      <c r="K5162">
        <v>11226</v>
      </c>
      <c r="L5162" t="s">
        <v>18958</v>
      </c>
      <c r="M5162" t="s">
        <v>18958</v>
      </c>
      <c r="N5162" t="s">
        <v>22854</v>
      </c>
      <c r="O5162" t="s">
        <v>26523</v>
      </c>
      <c r="P5162" t="s">
        <v>26560</v>
      </c>
      <c r="R5162" t="s">
        <v>26588</v>
      </c>
      <c r="S5162" t="s">
        <v>18959</v>
      </c>
      <c r="U5162" t="s">
        <v>26604</v>
      </c>
      <c r="W5162" t="s">
        <v>739</v>
      </c>
      <c r="X5162">
        <v>217</v>
      </c>
      <c r="Y5162" t="s">
        <v>26652</v>
      </c>
      <c r="Z5162" t="s">
        <v>26664</v>
      </c>
      <c r="AB5162" t="s">
        <v>30888</v>
      </c>
      <c r="AD5162" t="s">
        <v>41118</v>
      </c>
      <c r="AE5162">
        <v>16</v>
      </c>
      <c r="AG5162" t="s">
        <v>45556</v>
      </c>
      <c r="AH5162">
        <v>16</v>
      </c>
      <c r="AI5162">
        <v>1</v>
      </c>
      <c r="AJ5162">
        <v>0</v>
      </c>
      <c r="AK5162">
        <v>95.12</v>
      </c>
      <c r="AN5162" t="s">
        <v>7439</v>
      </c>
      <c r="AO5162">
        <v>11880</v>
      </c>
      <c r="AU5162">
        <v>13.3</v>
      </c>
      <c r="AV5162" t="s">
        <v>829</v>
      </c>
      <c r="AW5162" t="s">
        <v>46862</v>
      </c>
    </row>
    <row r="5163" spans="1:50">
      <c r="A5163" s="1">
        <f>HYPERLINK("https://lsnyc.legalserver.org/matter/dynamic-profile/view/1890368","19-1890368")</f>
        <v>0</v>
      </c>
      <c r="B5163" t="s">
        <v>227</v>
      </c>
      <c r="C5163" t="s">
        <v>340</v>
      </c>
      <c r="D5163" t="s">
        <v>690</v>
      </c>
      <c r="F5163" t="s">
        <v>1773</v>
      </c>
      <c r="G5163" t="s">
        <v>5266</v>
      </c>
      <c r="H5163" t="s">
        <v>13529</v>
      </c>
      <c r="J5163" t="s">
        <v>18894</v>
      </c>
      <c r="K5163">
        <v>11221</v>
      </c>
      <c r="L5163" t="s">
        <v>18958</v>
      </c>
      <c r="M5163" t="s">
        <v>18958</v>
      </c>
      <c r="N5163" t="s">
        <v>22855</v>
      </c>
      <c r="O5163" t="s">
        <v>26524</v>
      </c>
      <c r="P5163" t="s">
        <v>26560</v>
      </c>
      <c r="R5163" t="s">
        <v>26588</v>
      </c>
      <c r="U5163" t="s">
        <v>26604</v>
      </c>
      <c r="W5163" t="s">
        <v>739</v>
      </c>
      <c r="X5163">
        <v>0</v>
      </c>
      <c r="Y5163" t="s">
        <v>26652</v>
      </c>
      <c r="Z5163" t="s">
        <v>26669</v>
      </c>
      <c r="AB5163" t="s">
        <v>27762</v>
      </c>
      <c r="AE5163">
        <v>0</v>
      </c>
      <c r="AG5163" t="s">
        <v>19330</v>
      </c>
      <c r="AH5163">
        <v>4</v>
      </c>
      <c r="AI5163">
        <v>2</v>
      </c>
      <c r="AJ5163">
        <v>0</v>
      </c>
      <c r="AK5163">
        <v>0</v>
      </c>
      <c r="AN5163" t="s">
        <v>7439</v>
      </c>
      <c r="AO5163">
        <v>0</v>
      </c>
      <c r="AU5163">
        <v>14.7</v>
      </c>
      <c r="AV5163" t="s">
        <v>817</v>
      </c>
      <c r="AW5163" t="s">
        <v>281</v>
      </c>
    </row>
    <row r="5164" spans="1:50">
      <c r="A5164" s="1">
        <f>HYPERLINK("https://lsnyc.legalserver.org/matter/dynamic-profile/view/1890641","19-1890641")</f>
        <v>0</v>
      </c>
      <c r="B5164" t="s">
        <v>99</v>
      </c>
      <c r="C5164" t="s">
        <v>341</v>
      </c>
      <c r="D5164" t="s">
        <v>745</v>
      </c>
      <c r="E5164" t="s">
        <v>838</v>
      </c>
      <c r="F5164" t="s">
        <v>2250</v>
      </c>
      <c r="G5164" t="s">
        <v>7577</v>
      </c>
      <c r="H5164" t="s">
        <v>13241</v>
      </c>
      <c r="I5164" t="s">
        <v>17274</v>
      </c>
      <c r="J5164" t="s">
        <v>18894</v>
      </c>
      <c r="K5164">
        <v>11226</v>
      </c>
      <c r="L5164" t="s">
        <v>18958</v>
      </c>
      <c r="M5164" t="s">
        <v>18958</v>
      </c>
      <c r="N5164" t="s">
        <v>22856</v>
      </c>
      <c r="O5164" t="s">
        <v>26523</v>
      </c>
      <c r="P5164" t="s">
        <v>26560</v>
      </c>
      <c r="Q5164" t="s">
        <v>26568</v>
      </c>
      <c r="R5164" t="s">
        <v>26588</v>
      </c>
      <c r="S5164" t="s">
        <v>18959</v>
      </c>
      <c r="U5164" t="s">
        <v>26604</v>
      </c>
      <c r="V5164" t="s">
        <v>26611</v>
      </c>
      <c r="W5164" t="s">
        <v>739</v>
      </c>
      <c r="X5164">
        <v>1201.4</v>
      </c>
      <c r="Y5164" t="s">
        <v>26652</v>
      </c>
      <c r="Z5164" t="s">
        <v>26664</v>
      </c>
      <c r="AA5164" t="s">
        <v>26678</v>
      </c>
      <c r="AB5164" t="s">
        <v>30889</v>
      </c>
      <c r="AC5164" t="s">
        <v>35933</v>
      </c>
      <c r="AD5164" t="s">
        <v>41119</v>
      </c>
      <c r="AE5164">
        <v>59</v>
      </c>
      <c r="AF5164" t="s">
        <v>45541</v>
      </c>
      <c r="AG5164" t="s">
        <v>19330</v>
      </c>
      <c r="AH5164">
        <v>19</v>
      </c>
      <c r="AI5164">
        <v>1</v>
      </c>
      <c r="AJ5164">
        <v>0</v>
      </c>
      <c r="AK5164">
        <v>0</v>
      </c>
      <c r="AN5164" t="s">
        <v>7439</v>
      </c>
      <c r="AO5164">
        <v>0</v>
      </c>
      <c r="AQ5164" t="s">
        <v>46362</v>
      </c>
      <c r="AR5164" t="s">
        <v>46379</v>
      </c>
      <c r="AS5164" t="s">
        <v>46499</v>
      </c>
      <c r="AT5164" t="s">
        <v>46717</v>
      </c>
      <c r="AU5164">
        <v>12.9</v>
      </c>
      <c r="AV5164" t="s">
        <v>838</v>
      </c>
      <c r="AW5164" t="s">
        <v>46862</v>
      </c>
      <c r="AX5164" t="s">
        <v>46897</v>
      </c>
    </row>
    <row r="5165" spans="1:50">
      <c r="A5165" s="1">
        <f>HYPERLINK("https://lsnyc.legalserver.org/matter/dynamic-profile/view/1890534","19-1890534")</f>
        <v>0</v>
      </c>
      <c r="B5165" t="s">
        <v>140</v>
      </c>
      <c r="C5165" t="s">
        <v>341</v>
      </c>
      <c r="D5165" t="s">
        <v>745</v>
      </c>
      <c r="E5165" t="s">
        <v>823</v>
      </c>
      <c r="F5165" t="s">
        <v>1480</v>
      </c>
      <c r="G5165" t="s">
        <v>5664</v>
      </c>
      <c r="H5165" t="s">
        <v>13530</v>
      </c>
      <c r="I5165" t="s">
        <v>18194</v>
      </c>
      <c r="J5165" t="s">
        <v>18894</v>
      </c>
      <c r="K5165">
        <v>11226</v>
      </c>
      <c r="L5165" t="s">
        <v>18958</v>
      </c>
      <c r="M5165" t="s">
        <v>18958</v>
      </c>
      <c r="N5165" t="s">
        <v>22857</v>
      </c>
      <c r="O5165" t="s">
        <v>26523</v>
      </c>
      <c r="P5165" t="s">
        <v>26560</v>
      </c>
      <c r="Q5165" t="s">
        <v>26568</v>
      </c>
      <c r="R5165" t="s">
        <v>26588</v>
      </c>
      <c r="S5165" t="s">
        <v>18959</v>
      </c>
      <c r="U5165" t="s">
        <v>26604</v>
      </c>
      <c r="V5165" t="s">
        <v>26611</v>
      </c>
      <c r="W5165" t="s">
        <v>739</v>
      </c>
      <c r="X5165">
        <v>1830.1</v>
      </c>
      <c r="Y5165" t="s">
        <v>26652</v>
      </c>
      <c r="Z5165" t="s">
        <v>26664</v>
      </c>
      <c r="AA5165" t="s">
        <v>26678</v>
      </c>
      <c r="AB5165" t="s">
        <v>30890</v>
      </c>
      <c r="AD5165" t="s">
        <v>41120</v>
      </c>
      <c r="AE5165">
        <v>61</v>
      </c>
      <c r="AF5165" t="s">
        <v>45541</v>
      </c>
      <c r="AG5165" t="s">
        <v>45556</v>
      </c>
      <c r="AH5165">
        <v>20</v>
      </c>
      <c r="AI5165">
        <v>5</v>
      </c>
      <c r="AJ5165">
        <v>0</v>
      </c>
      <c r="AK5165">
        <v>48.53</v>
      </c>
      <c r="AN5165" t="s">
        <v>7439</v>
      </c>
      <c r="AO5165">
        <v>14640</v>
      </c>
      <c r="AS5165" t="s">
        <v>46499</v>
      </c>
      <c r="AT5165" t="s">
        <v>46731</v>
      </c>
      <c r="AU5165">
        <v>15.1</v>
      </c>
      <c r="AV5165" t="s">
        <v>823</v>
      </c>
      <c r="AW5165" t="s">
        <v>46862</v>
      </c>
    </row>
    <row r="5166" spans="1:50">
      <c r="A5166" s="1">
        <f>HYPERLINK("https://lsnyc.legalserver.org/matter/dynamic-profile/view/1890569","19-1890569")</f>
        <v>0</v>
      </c>
      <c r="B5166" t="s">
        <v>227</v>
      </c>
      <c r="C5166" t="s">
        <v>341</v>
      </c>
      <c r="D5166" t="s">
        <v>745</v>
      </c>
      <c r="E5166" t="s">
        <v>830</v>
      </c>
      <c r="F5166" t="s">
        <v>3318</v>
      </c>
      <c r="G5166" t="s">
        <v>1263</v>
      </c>
      <c r="H5166" t="s">
        <v>13531</v>
      </c>
      <c r="I5166">
        <v>603</v>
      </c>
      <c r="J5166" t="s">
        <v>18894</v>
      </c>
      <c r="K5166">
        <v>11226</v>
      </c>
      <c r="L5166" t="s">
        <v>18958</v>
      </c>
      <c r="M5166" t="s">
        <v>18958</v>
      </c>
      <c r="N5166" t="s">
        <v>22858</v>
      </c>
      <c r="O5166" t="s">
        <v>26523</v>
      </c>
      <c r="P5166" t="s">
        <v>26560</v>
      </c>
      <c r="Q5166" t="s">
        <v>26568</v>
      </c>
      <c r="R5166" t="s">
        <v>26588</v>
      </c>
      <c r="U5166" t="s">
        <v>26604</v>
      </c>
      <c r="W5166" t="s">
        <v>739</v>
      </c>
      <c r="X5166">
        <v>999</v>
      </c>
      <c r="Y5166" t="s">
        <v>26652</v>
      </c>
      <c r="Z5166" t="s">
        <v>26659</v>
      </c>
      <c r="AA5166" t="s">
        <v>26678</v>
      </c>
      <c r="AB5166" t="s">
        <v>30891</v>
      </c>
      <c r="AD5166" t="s">
        <v>41121</v>
      </c>
      <c r="AE5166">
        <v>71</v>
      </c>
      <c r="AH5166">
        <v>20</v>
      </c>
      <c r="AI5166">
        <v>1</v>
      </c>
      <c r="AJ5166">
        <v>1</v>
      </c>
      <c r="AK5166">
        <v>55.35</v>
      </c>
      <c r="AN5166" t="s">
        <v>7439</v>
      </c>
      <c r="AO5166">
        <v>9360</v>
      </c>
      <c r="AS5166" t="s">
        <v>46499</v>
      </c>
      <c r="AU5166">
        <v>5</v>
      </c>
      <c r="AV5166" t="s">
        <v>810</v>
      </c>
      <c r="AW5166" t="s">
        <v>46862</v>
      </c>
    </row>
    <row r="5167" spans="1:50">
      <c r="A5167" s="1">
        <f>HYPERLINK("https://lsnyc.legalserver.org/matter/dynamic-profile/view/1890519","19-1890519")</f>
        <v>0</v>
      </c>
      <c r="B5167" t="s">
        <v>232</v>
      </c>
      <c r="C5167" t="s">
        <v>340</v>
      </c>
      <c r="D5167" t="s">
        <v>745</v>
      </c>
      <c r="F5167" t="s">
        <v>3319</v>
      </c>
      <c r="G5167" t="s">
        <v>1995</v>
      </c>
      <c r="H5167" t="s">
        <v>13532</v>
      </c>
      <c r="J5167" t="s">
        <v>18894</v>
      </c>
      <c r="K5167">
        <v>11216</v>
      </c>
      <c r="L5167" t="s">
        <v>18958</v>
      </c>
      <c r="M5167" t="s">
        <v>18958</v>
      </c>
      <c r="N5167" t="s">
        <v>22859</v>
      </c>
      <c r="O5167" t="s">
        <v>26523</v>
      </c>
      <c r="P5167" t="s">
        <v>26560</v>
      </c>
      <c r="R5167" t="s">
        <v>26588</v>
      </c>
      <c r="U5167" t="s">
        <v>26605</v>
      </c>
      <c r="W5167" t="s">
        <v>739</v>
      </c>
      <c r="X5167">
        <v>961</v>
      </c>
      <c r="Y5167" t="s">
        <v>26652</v>
      </c>
      <c r="Z5167" t="s">
        <v>26664</v>
      </c>
      <c r="AB5167" t="s">
        <v>28802</v>
      </c>
      <c r="AD5167" t="s">
        <v>41122</v>
      </c>
      <c r="AE5167">
        <v>0</v>
      </c>
      <c r="AF5167" t="s">
        <v>45549</v>
      </c>
      <c r="AH5167">
        <v>28</v>
      </c>
      <c r="AI5167">
        <v>4</v>
      </c>
      <c r="AJ5167">
        <v>0</v>
      </c>
      <c r="AK5167">
        <v>112.03</v>
      </c>
      <c r="AN5167" t="s">
        <v>7439</v>
      </c>
      <c r="AO5167">
        <v>28848</v>
      </c>
      <c r="AU5167">
        <v>2.45</v>
      </c>
      <c r="AV5167" t="s">
        <v>765</v>
      </c>
      <c r="AW5167" t="s">
        <v>281</v>
      </c>
    </row>
    <row r="5168" spans="1:50">
      <c r="A5168" s="1">
        <f>HYPERLINK("https://lsnyc.legalserver.org/matter/dynamic-profile/view/1890518","19-1890518")</f>
        <v>0</v>
      </c>
      <c r="B5168" t="s">
        <v>140</v>
      </c>
      <c r="C5168" t="s">
        <v>340</v>
      </c>
      <c r="D5168" t="s">
        <v>745</v>
      </c>
      <c r="F5168" t="s">
        <v>2445</v>
      </c>
      <c r="G5168" t="s">
        <v>7578</v>
      </c>
      <c r="H5168" t="s">
        <v>13533</v>
      </c>
      <c r="I5168" t="s">
        <v>17416</v>
      </c>
      <c r="J5168" t="s">
        <v>18894</v>
      </c>
      <c r="K5168">
        <v>11236</v>
      </c>
      <c r="L5168" t="s">
        <v>18958</v>
      </c>
      <c r="M5168" t="s">
        <v>18958</v>
      </c>
      <c r="N5168" t="s">
        <v>22860</v>
      </c>
      <c r="O5168" t="s">
        <v>26524</v>
      </c>
      <c r="P5168" t="s">
        <v>26560</v>
      </c>
      <c r="R5168" t="s">
        <v>26586</v>
      </c>
      <c r="S5168" t="s">
        <v>18959</v>
      </c>
      <c r="U5168" t="s">
        <v>26604</v>
      </c>
      <c r="V5168" t="s">
        <v>26610</v>
      </c>
      <c r="W5168" t="s">
        <v>739</v>
      </c>
      <c r="X5168">
        <v>1275</v>
      </c>
      <c r="Y5168" t="s">
        <v>26652</v>
      </c>
      <c r="Z5168" t="s">
        <v>26664</v>
      </c>
      <c r="AB5168" t="s">
        <v>30892</v>
      </c>
      <c r="AD5168" t="s">
        <v>41123</v>
      </c>
      <c r="AE5168">
        <v>3</v>
      </c>
      <c r="AF5168" t="s">
        <v>45547</v>
      </c>
      <c r="AG5168" t="s">
        <v>19330</v>
      </c>
      <c r="AH5168">
        <v>10</v>
      </c>
      <c r="AI5168">
        <v>2</v>
      </c>
      <c r="AJ5168">
        <v>0</v>
      </c>
      <c r="AK5168">
        <v>151.56</v>
      </c>
      <c r="AN5168" t="s">
        <v>7439</v>
      </c>
      <c r="AO5168">
        <v>25628</v>
      </c>
      <c r="AU5168">
        <v>23.8</v>
      </c>
      <c r="AV5168" t="s">
        <v>819</v>
      </c>
      <c r="AW5168" t="s">
        <v>46862</v>
      </c>
    </row>
    <row r="5169" spans="1:50">
      <c r="A5169" s="1">
        <f>HYPERLINK("https://lsnyc.legalserver.org/matter/dynamic-profile/view/1890636","19-1890636")</f>
        <v>0</v>
      </c>
      <c r="B5169" t="s">
        <v>101</v>
      </c>
      <c r="C5169" t="s">
        <v>340</v>
      </c>
      <c r="D5169" t="s">
        <v>745</v>
      </c>
      <c r="F5169" t="s">
        <v>1745</v>
      </c>
      <c r="G5169" t="s">
        <v>7579</v>
      </c>
      <c r="H5169" t="s">
        <v>13499</v>
      </c>
      <c r="I5169" t="s">
        <v>17338</v>
      </c>
      <c r="J5169" t="s">
        <v>18894</v>
      </c>
      <c r="K5169">
        <v>11226</v>
      </c>
      <c r="L5169" t="s">
        <v>18958</v>
      </c>
      <c r="M5169" t="s">
        <v>18958</v>
      </c>
      <c r="N5169" t="s">
        <v>22861</v>
      </c>
      <c r="O5169" t="s">
        <v>26524</v>
      </c>
      <c r="P5169" t="s">
        <v>26560</v>
      </c>
      <c r="R5169" t="s">
        <v>26588</v>
      </c>
      <c r="U5169" t="s">
        <v>26604</v>
      </c>
      <c r="W5169" t="s">
        <v>739</v>
      </c>
      <c r="X5169">
        <v>843</v>
      </c>
      <c r="Y5169" t="s">
        <v>26652</v>
      </c>
      <c r="Z5169" t="s">
        <v>26664</v>
      </c>
      <c r="AB5169" t="s">
        <v>29716</v>
      </c>
      <c r="AD5169" t="s">
        <v>41124</v>
      </c>
      <c r="AE5169">
        <v>76</v>
      </c>
      <c r="AG5169" t="s">
        <v>26530</v>
      </c>
      <c r="AH5169">
        <v>3</v>
      </c>
      <c r="AI5169">
        <v>1</v>
      </c>
      <c r="AJ5169">
        <v>0</v>
      </c>
      <c r="AK5169">
        <v>80.98999999999999</v>
      </c>
      <c r="AN5169" t="s">
        <v>7439</v>
      </c>
      <c r="AO5169">
        <v>10116</v>
      </c>
      <c r="AU5169">
        <v>2.7</v>
      </c>
      <c r="AV5169" t="s">
        <v>660</v>
      </c>
      <c r="AW5169" t="s">
        <v>46862</v>
      </c>
    </row>
    <row r="5170" spans="1:50">
      <c r="A5170" s="1">
        <f>HYPERLINK("https://lsnyc.legalserver.org/matter/dynamic-profile/view/1889539","19-1889539")</f>
        <v>0</v>
      </c>
      <c r="B5170" t="s">
        <v>240</v>
      </c>
      <c r="C5170" t="s">
        <v>340</v>
      </c>
      <c r="D5170" t="s">
        <v>746</v>
      </c>
      <c r="F5170" t="s">
        <v>3235</v>
      </c>
      <c r="G5170" t="s">
        <v>6127</v>
      </c>
      <c r="H5170" t="s">
        <v>13365</v>
      </c>
      <c r="I5170" t="s">
        <v>17326</v>
      </c>
      <c r="J5170" t="s">
        <v>18894</v>
      </c>
      <c r="K5170">
        <v>11235</v>
      </c>
      <c r="L5170" t="s">
        <v>18958</v>
      </c>
      <c r="M5170" t="s">
        <v>18958</v>
      </c>
      <c r="O5170" t="s">
        <v>26548</v>
      </c>
      <c r="P5170" t="s">
        <v>26566</v>
      </c>
      <c r="R5170" t="s">
        <v>26578</v>
      </c>
      <c r="U5170" t="s">
        <v>26604</v>
      </c>
      <c r="W5170" t="s">
        <v>739</v>
      </c>
      <c r="X5170">
        <v>0</v>
      </c>
      <c r="Y5170" t="s">
        <v>26652</v>
      </c>
      <c r="AB5170" t="s">
        <v>30734</v>
      </c>
      <c r="AD5170" t="s">
        <v>40939</v>
      </c>
      <c r="AE5170">
        <v>0</v>
      </c>
      <c r="AF5170" t="s">
        <v>45548</v>
      </c>
      <c r="AH5170">
        <v>0</v>
      </c>
      <c r="AI5170">
        <v>2</v>
      </c>
      <c r="AJ5170">
        <v>0</v>
      </c>
      <c r="AK5170">
        <v>113.54</v>
      </c>
      <c r="AN5170" t="s">
        <v>7439</v>
      </c>
      <c r="AO5170">
        <v>19200</v>
      </c>
      <c r="AU5170">
        <v>12.05</v>
      </c>
      <c r="AV5170" t="s">
        <v>751</v>
      </c>
      <c r="AW5170" t="s">
        <v>219</v>
      </c>
    </row>
    <row r="5171" spans="1:50">
      <c r="A5171" s="1">
        <f>HYPERLINK("https://lsnyc.legalserver.org/matter/dynamic-profile/view/1890697","19-1890697")</f>
        <v>0</v>
      </c>
      <c r="B5171" t="s">
        <v>99</v>
      </c>
      <c r="C5171" t="s">
        <v>341</v>
      </c>
      <c r="D5171" t="s">
        <v>737</v>
      </c>
      <c r="E5171" t="s">
        <v>757</v>
      </c>
      <c r="F5171" t="s">
        <v>1039</v>
      </c>
      <c r="G5171" t="s">
        <v>7580</v>
      </c>
      <c r="H5171" t="s">
        <v>13534</v>
      </c>
      <c r="I5171">
        <v>1</v>
      </c>
      <c r="J5171" t="s">
        <v>18894</v>
      </c>
      <c r="K5171">
        <v>11205</v>
      </c>
      <c r="L5171" t="s">
        <v>18958</v>
      </c>
      <c r="M5171" t="s">
        <v>18958</v>
      </c>
      <c r="N5171" t="s">
        <v>22862</v>
      </c>
      <c r="O5171" t="s">
        <v>26524</v>
      </c>
      <c r="P5171" t="s">
        <v>26564</v>
      </c>
      <c r="Q5171" t="s">
        <v>26570</v>
      </c>
      <c r="R5171" t="s">
        <v>26586</v>
      </c>
      <c r="S5171" t="s">
        <v>18959</v>
      </c>
      <c r="U5171" t="s">
        <v>26604</v>
      </c>
      <c r="V5171" t="s">
        <v>26614</v>
      </c>
      <c r="W5171" t="s">
        <v>739</v>
      </c>
      <c r="X5171">
        <v>0.01</v>
      </c>
      <c r="Y5171" t="s">
        <v>26652</v>
      </c>
      <c r="Z5171" t="s">
        <v>26664</v>
      </c>
      <c r="AA5171" t="s">
        <v>26683</v>
      </c>
      <c r="AB5171" t="s">
        <v>30893</v>
      </c>
      <c r="AD5171" t="s">
        <v>41125</v>
      </c>
      <c r="AE5171">
        <v>3</v>
      </c>
      <c r="AF5171" t="s">
        <v>45547</v>
      </c>
      <c r="AG5171" t="s">
        <v>19330</v>
      </c>
      <c r="AH5171">
        <v>8</v>
      </c>
      <c r="AI5171">
        <v>1</v>
      </c>
      <c r="AJ5171">
        <v>0</v>
      </c>
      <c r="AK5171">
        <v>0</v>
      </c>
      <c r="AN5171" t="s">
        <v>7439</v>
      </c>
      <c r="AO5171">
        <v>0</v>
      </c>
      <c r="AR5171" t="s">
        <v>26530</v>
      </c>
      <c r="AS5171" t="s">
        <v>46502</v>
      </c>
      <c r="AT5171" t="s">
        <v>46666</v>
      </c>
      <c r="AU5171">
        <v>2</v>
      </c>
      <c r="AV5171" t="s">
        <v>757</v>
      </c>
      <c r="AW5171" t="s">
        <v>281</v>
      </c>
    </row>
    <row r="5172" spans="1:50">
      <c r="A5172" s="1">
        <f>HYPERLINK("https://lsnyc.legalserver.org/matter/dynamic-profile/view/1890672","19-1890672")</f>
        <v>0</v>
      </c>
      <c r="B5172" t="s">
        <v>99</v>
      </c>
      <c r="C5172" t="s">
        <v>340</v>
      </c>
      <c r="D5172" t="s">
        <v>737</v>
      </c>
      <c r="F5172" t="s">
        <v>3320</v>
      </c>
      <c r="G5172" t="s">
        <v>5630</v>
      </c>
      <c r="H5172" t="s">
        <v>13535</v>
      </c>
      <c r="I5172" t="s">
        <v>17277</v>
      </c>
      <c r="J5172" t="s">
        <v>18894</v>
      </c>
      <c r="K5172">
        <v>11216</v>
      </c>
      <c r="L5172" t="s">
        <v>18958</v>
      </c>
      <c r="M5172" t="s">
        <v>18958</v>
      </c>
      <c r="N5172" t="s">
        <v>22863</v>
      </c>
      <c r="O5172" t="s">
        <v>26523</v>
      </c>
      <c r="P5172" t="s">
        <v>26560</v>
      </c>
      <c r="R5172" t="s">
        <v>26588</v>
      </c>
      <c r="S5172" t="s">
        <v>18959</v>
      </c>
      <c r="U5172" t="s">
        <v>26605</v>
      </c>
      <c r="V5172" t="s">
        <v>26610</v>
      </c>
      <c r="W5172" t="s">
        <v>739</v>
      </c>
      <c r="X5172">
        <v>483</v>
      </c>
      <c r="Y5172" t="s">
        <v>26652</v>
      </c>
      <c r="Z5172" t="s">
        <v>26664</v>
      </c>
      <c r="AB5172" t="s">
        <v>30894</v>
      </c>
      <c r="AD5172" t="s">
        <v>41126</v>
      </c>
      <c r="AE5172">
        <v>24</v>
      </c>
      <c r="AF5172" t="s">
        <v>45549</v>
      </c>
      <c r="AG5172" t="s">
        <v>19330</v>
      </c>
      <c r="AH5172">
        <v>14</v>
      </c>
      <c r="AI5172">
        <v>2</v>
      </c>
      <c r="AJ5172">
        <v>2</v>
      </c>
      <c r="AK5172">
        <v>90.87</v>
      </c>
      <c r="AN5172" t="s">
        <v>7439</v>
      </c>
      <c r="AO5172">
        <v>23400</v>
      </c>
      <c r="AU5172">
        <v>7.8</v>
      </c>
      <c r="AV5172" t="s">
        <v>829</v>
      </c>
      <c r="AW5172" t="s">
        <v>281</v>
      </c>
    </row>
    <row r="5173" spans="1:50">
      <c r="A5173" s="1">
        <f>HYPERLINK("https://lsnyc.legalserver.org/matter/dynamic-profile/view/1890713","19-1890713")</f>
        <v>0</v>
      </c>
      <c r="B5173" t="s">
        <v>167</v>
      </c>
      <c r="C5173" t="s">
        <v>340</v>
      </c>
      <c r="D5173" t="s">
        <v>737</v>
      </c>
      <c r="F5173" t="s">
        <v>3321</v>
      </c>
      <c r="G5173" t="s">
        <v>5678</v>
      </c>
      <c r="H5173" t="s">
        <v>10276</v>
      </c>
      <c r="I5173" t="s">
        <v>18195</v>
      </c>
      <c r="J5173" t="s">
        <v>18894</v>
      </c>
      <c r="K5173">
        <v>11225</v>
      </c>
      <c r="L5173" t="s">
        <v>18958</v>
      </c>
      <c r="M5173" t="s">
        <v>18958</v>
      </c>
      <c r="N5173" t="s">
        <v>22864</v>
      </c>
      <c r="O5173" t="s">
        <v>26523</v>
      </c>
      <c r="P5173" t="s">
        <v>26560</v>
      </c>
      <c r="R5173" t="s">
        <v>26588</v>
      </c>
      <c r="U5173" t="s">
        <v>26604</v>
      </c>
      <c r="W5173" t="s">
        <v>739</v>
      </c>
      <c r="X5173">
        <v>1500</v>
      </c>
      <c r="Y5173" t="s">
        <v>26652</v>
      </c>
      <c r="Z5173" t="s">
        <v>26669</v>
      </c>
      <c r="AB5173" t="s">
        <v>30895</v>
      </c>
      <c r="AD5173" t="s">
        <v>41127</v>
      </c>
      <c r="AE5173">
        <v>0</v>
      </c>
      <c r="AG5173" t="s">
        <v>19330</v>
      </c>
      <c r="AH5173">
        <v>7</v>
      </c>
      <c r="AI5173">
        <v>1</v>
      </c>
      <c r="AJ5173">
        <v>0</v>
      </c>
      <c r="AK5173">
        <v>153.72</v>
      </c>
      <c r="AN5173" t="s">
        <v>7439</v>
      </c>
      <c r="AO5173">
        <v>19200</v>
      </c>
      <c r="AU5173">
        <v>16.2</v>
      </c>
      <c r="AV5173" t="s">
        <v>729</v>
      </c>
      <c r="AW5173" t="s">
        <v>281</v>
      </c>
    </row>
    <row r="5174" spans="1:50">
      <c r="A5174" s="1">
        <f>HYPERLINK("https://lsnyc.legalserver.org/matter/dynamic-profile/view/1890666","19-1890666")</f>
        <v>0</v>
      </c>
      <c r="B5174" t="s">
        <v>193</v>
      </c>
      <c r="C5174" t="s">
        <v>340</v>
      </c>
      <c r="D5174" t="s">
        <v>737</v>
      </c>
      <c r="F5174" t="s">
        <v>2495</v>
      </c>
      <c r="G5174" t="s">
        <v>5115</v>
      </c>
      <c r="H5174" t="s">
        <v>13536</v>
      </c>
      <c r="I5174" t="s">
        <v>17356</v>
      </c>
      <c r="J5174" t="s">
        <v>18894</v>
      </c>
      <c r="K5174">
        <v>11203</v>
      </c>
      <c r="L5174" t="s">
        <v>18958</v>
      </c>
      <c r="M5174" t="s">
        <v>18958</v>
      </c>
      <c r="N5174" t="s">
        <v>22865</v>
      </c>
      <c r="O5174" t="s">
        <v>26524</v>
      </c>
      <c r="P5174" t="s">
        <v>26564</v>
      </c>
      <c r="R5174" t="s">
        <v>26588</v>
      </c>
      <c r="U5174" t="s">
        <v>26604</v>
      </c>
      <c r="W5174" t="s">
        <v>739</v>
      </c>
      <c r="X5174">
        <v>1125</v>
      </c>
      <c r="Y5174" t="s">
        <v>26652</v>
      </c>
      <c r="Z5174" t="s">
        <v>26669</v>
      </c>
      <c r="AB5174" t="s">
        <v>30896</v>
      </c>
      <c r="AD5174" t="s">
        <v>41128</v>
      </c>
      <c r="AE5174">
        <v>0</v>
      </c>
      <c r="AG5174" t="s">
        <v>19330</v>
      </c>
      <c r="AH5174">
        <v>15</v>
      </c>
      <c r="AI5174">
        <v>1</v>
      </c>
      <c r="AJ5174">
        <v>2</v>
      </c>
      <c r="AK5174">
        <v>10.91</v>
      </c>
      <c r="AN5174" t="s">
        <v>7439</v>
      </c>
      <c r="AO5174">
        <v>2328</v>
      </c>
      <c r="AU5174">
        <v>6.9</v>
      </c>
      <c r="AV5174" t="s">
        <v>767</v>
      </c>
      <c r="AW5174" t="s">
        <v>281</v>
      </c>
    </row>
    <row r="5175" spans="1:50">
      <c r="A5175" s="1">
        <f>HYPERLINK("https://lsnyc.legalserver.org/matter/dynamic-profile/view/1890665","19-1890665")</f>
        <v>0</v>
      </c>
      <c r="B5175" t="s">
        <v>193</v>
      </c>
      <c r="C5175" t="s">
        <v>340</v>
      </c>
      <c r="D5175" t="s">
        <v>737</v>
      </c>
      <c r="F5175" t="s">
        <v>3322</v>
      </c>
      <c r="G5175" t="s">
        <v>1205</v>
      </c>
      <c r="H5175" t="s">
        <v>12445</v>
      </c>
      <c r="I5175" t="s">
        <v>18196</v>
      </c>
      <c r="J5175" t="s">
        <v>18894</v>
      </c>
      <c r="K5175">
        <v>11225</v>
      </c>
      <c r="L5175" t="s">
        <v>18958</v>
      </c>
      <c r="M5175" t="s">
        <v>18958</v>
      </c>
      <c r="N5175" t="s">
        <v>22866</v>
      </c>
      <c r="O5175" t="s">
        <v>26523</v>
      </c>
      <c r="P5175" t="s">
        <v>26560</v>
      </c>
      <c r="R5175" t="s">
        <v>26588</v>
      </c>
      <c r="U5175" t="s">
        <v>26604</v>
      </c>
      <c r="W5175" t="s">
        <v>739</v>
      </c>
      <c r="X5175">
        <v>1310</v>
      </c>
      <c r="Y5175" t="s">
        <v>26652</v>
      </c>
      <c r="Z5175" t="s">
        <v>26669</v>
      </c>
      <c r="AB5175" t="s">
        <v>30897</v>
      </c>
      <c r="AD5175" t="s">
        <v>41129</v>
      </c>
      <c r="AE5175">
        <v>0</v>
      </c>
      <c r="AG5175" t="s">
        <v>19330</v>
      </c>
      <c r="AH5175">
        <v>4</v>
      </c>
      <c r="AI5175">
        <v>2</v>
      </c>
      <c r="AJ5175">
        <v>0</v>
      </c>
      <c r="AK5175">
        <v>289.77</v>
      </c>
      <c r="AL5175" t="s">
        <v>794</v>
      </c>
      <c r="AM5175" t="s">
        <v>45575</v>
      </c>
      <c r="AN5175" t="s">
        <v>7439</v>
      </c>
      <c r="AO5175">
        <v>49000</v>
      </c>
      <c r="AU5175">
        <v>13.8</v>
      </c>
      <c r="AV5175" t="s">
        <v>766</v>
      </c>
      <c r="AW5175" t="s">
        <v>281</v>
      </c>
    </row>
    <row r="5176" spans="1:50">
      <c r="A5176" s="1">
        <f>HYPERLINK("https://lsnyc.legalserver.org/matter/dynamic-profile/view/1890958","19-1890958")</f>
        <v>0</v>
      </c>
      <c r="B5176" t="s">
        <v>170</v>
      </c>
      <c r="C5176" t="s">
        <v>341</v>
      </c>
      <c r="D5176" t="s">
        <v>731</v>
      </c>
      <c r="E5176" t="s">
        <v>574</v>
      </c>
      <c r="F5176" t="s">
        <v>3323</v>
      </c>
      <c r="G5176" t="s">
        <v>5199</v>
      </c>
      <c r="H5176" t="s">
        <v>13537</v>
      </c>
      <c r="I5176" t="s">
        <v>17323</v>
      </c>
      <c r="J5176" t="s">
        <v>18894</v>
      </c>
      <c r="K5176">
        <v>11235</v>
      </c>
      <c r="L5176" t="s">
        <v>18958</v>
      </c>
      <c r="M5176" t="s">
        <v>18958</v>
      </c>
      <c r="N5176" t="s">
        <v>22867</v>
      </c>
      <c r="O5176" t="s">
        <v>26523</v>
      </c>
      <c r="P5176" t="s">
        <v>26564</v>
      </c>
      <c r="Q5176" t="s">
        <v>26570</v>
      </c>
      <c r="R5176" t="s">
        <v>26586</v>
      </c>
      <c r="U5176" t="s">
        <v>26604</v>
      </c>
      <c r="W5176" t="s">
        <v>739</v>
      </c>
      <c r="X5176">
        <v>4300</v>
      </c>
      <c r="Y5176" t="s">
        <v>26652</v>
      </c>
      <c r="Z5176" t="s">
        <v>26664</v>
      </c>
      <c r="AA5176" t="s">
        <v>26683</v>
      </c>
      <c r="AB5176" t="s">
        <v>30898</v>
      </c>
      <c r="AD5176" t="s">
        <v>41130</v>
      </c>
      <c r="AE5176">
        <v>3</v>
      </c>
      <c r="AG5176" t="s">
        <v>19330</v>
      </c>
      <c r="AH5176">
        <v>1</v>
      </c>
      <c r="AI5176">
        <v>1</v>
      </c>
      <c r="AJ5176">
        <v>2</v>
      </c>
      <c r="AK5176">
        <v>93.76000000000001</v>
      </c>
      <c r="AN5176" t="s">
        <v>7439</v>
      </c>
      <c r="AO5176">
        <v>20000</v>
      </c>
      <c r="AU5176">
        <v>3.1</v>
      </c>
      <c r="AV5176" t="s">
        <v>574</v>
      </c>
      <c r="AW5176" t="s">
        <v>46853</v>
      </c>
    </row>
    <row r="5177" spans="1:50">
      <c r="A5177" s="1">
        <f>HYPERLINK("https://lsnyc.legalserver.org/matter/dynamic-profile/view/1891052","19-1891052")</f>
        <v>0</v>
      </c>
      <c r="B5177" t="s">
        <v>101</v>
      </c>
      <c r="C5177" t="s">
        <v>341</v>
      </c>
      <c r="D5177" t="s">
        <v>740</v>
      </c>
      <c r="E5177" t="s">
        <v>806</v>
      </c>
      <c r="F5177" t="s">
        <v>3324</v>
      </c>
      <c r="G5177" t="s">
        <v>7581</v>
      </c>
      <c r="H5177" t="s">
        <v>11353</v>
      </c>
      <c r="I5177" t="s">
        <v>18197</v>
      </c>
      <c r="J5177" t="s">
        <v>18894</v>
      </c>
      <c r="K5177">
        <v>11221</v>
      </c>
      <c r="L5177" t="s">
        <v>18958</v>
      </c>
      <c r="M5177" t="s">
        <v>18958</v>
      </c>
      <c r="N5177" t="s">
        <v>22868</v>
      </c>
      <c r="O5177" t="s">
        <v>26523</v>
      </c>
      <c r="P5177" t="s">
        <v>26560</v>
      </c>
      <c r="Q5177" t="s">
        <v>26568</v>
      </c>
      <c r="R5177" t="s">
        <v>26588</v>
      </c>
      <c r="S5177" t="s">
        <v>18959</v>
      </c>
      <c r="U5177" t="s">
        <v>26604</v>
      </c>
      <c r="V5177" t="s">
        <v>26610</v>
      </c>
      <c r="W5177" t="s">
        <v>739</v>
      </c>
      <c r="X5177">
        <v>740</v>
      </c>
      <c r="Y5177" t="s">
        <v>26652</v>
      </c>
      <c r="Z5177" t="s">
        <v>26669</v>
      </c>
      <c r="AA5177" t="s">
        <v>26678</v>
      </c>
      <c r="AB5177" t="s">
        <v>28576</v>
      </c>
      <c r="AC5177" t="s">
        <v>35934</v>
      </c>
      <c r="AD5177" t="s">
        <v>41131</v>
      </c>
      <c r="AE5177">
        <v>36</v>
      </c>
      <c r="AF5177" t="s">
        <v>45541</v>
      </c>
      <c r="AG5177" t="s">
        <v>19330</v>
      </c>
      <c r="AH5177">
        <v>10</v>
      </c>
      <c r="AI5177">
        <v>2</v>
      </c>
      <c r="AJ5177">
        <v>2</v>
      </c>
      <c r="AK5177">
        <v>116.5</v>
      </c>
      <c r="AN5177" t="s">
        <v>7439</v>
      </c>
      <c r="AO5177">
        <v>30000</v>
      </c>
      <c r="AS5177" t="s">
        <v>46499</v>
      </c>
      <c r="AT5177" t="s">
        <v>46619</v>
      </c>
      <c r="AU5177">
        <v>12.1</v>
      </c>
      <c r="AV5177" t="s">
        <v>806</v>
      </c>
      <c r="AW5177" t="s">
        <v>46853</v>
      </c>
      <c r="AX5177" t="s">
        <v>46897</v>
      </c>
    </row>
    <row r="5178" spans="1:50">
      <c r="A5178" s="1">
        <f>HYPERLINK("https://lsnyc.legalserver.org/matter/dynamic-profile/view/1891043","19-1891043")</f>
        <v>0</v>
      </c>
      <c r="B5178" t="s">
        <v>101</v>
      </c>
      <c r="C5178" t="s">
        <v>340</v>
      </c>
      <c r="D5178" t="s">
        <v>740</v>
      </c>
      <c r="F5178" t="s">
        <v>902</v>
      </c>
      <c r="G5178" t="s">
        <v>7582</v>
      </c>
      <c r="H5178" t="s">
        <v>13538</v>
      </c>
      <c r="I5178" t="s">
        <v>17331</v>
      </c>
      <c r="J5178" t="s">
        <v>18894</v>
      </c>
      <c r="K5178">
        <v>11223</v>
      </c>
      <c r="L5178" t="s">
        <v>18958</v>
      </c>
      <c r="M5178" t="s">
        <v>18958</v>
      </c>
      <c r="N5178" t="s">
        <v>22869</v>
      </c>
      <c r="O5178" t="s">
        <v>26524</v>
      </c>
      <c r="P5178" t="s">
        <v>26560</v>
      </c>
      <c r="R5178" t="s">
        <v>26586</v>
      </c>
      <c r="U5178" t="s">
        <v>26604</v>
      </c>
      <c r="W5178" t="s">
        <v>739</v>
      </c>
      <c r="X5178">
        <v>1208.92</v>
      </c>
      <c r="Y5178" t="s">
        <v>26652</v>
      </c>
      <c r="Z5178" t="s">
        <v>26664</v>
      </c>
      <c r="AB5178" t="s">
        <v>30899</v>
      </c>
      <c r="AD5178" t="s">
        <v>41132</v>
      </c>
      <c r="AE5178">
        <v>6</v>
      </c>
      <c r="AG5178" t="s">
        <v>19330</v>
      </c>
      <c r="AH5178">
        <v>11</v>
      </c>
      <c r="AI5178">
        <v>2</v>
      </c>
      <c r="AJ5178">
        <v>0</v>
      </c>
      <c r="AK5178">
        <v>177.41</v>
      </c>
      <c r="AO5178">
        <v>30000</v>
      </c>
      <c r="AU5178">
        <v>28.75</v>
      </c>
      <c r="AV5178" t="s">
        <v>831</v>
      </c>
      <c r="AW5178" t="s">
        <v>46853</v>
      </c>
    </row>
    <row r="5179" spans="1:50">
      <c r="A5179" s="1">
        <f>HYPERLINK("https://lsnyc.legalserver.org/matter/dynamic-profile/view/1891033","19-1891033")</f>
        <v>0</v>
      </c>
      <c r="B5179" t="s">
        <v>129</v>
      </c>
      <c r="C5179" t="s">
        <v>340</v>
      </c>
      <c r="D5179" t="s">
        <v>740</v>
      </c>
      <c r="F5179" t="s">
        <v>974</v>
      </c>
      <c r="G5179" t="s">
        <v>5177</v>
      </c>
      <c r="H5179" t="s">
        <v>12483</v>
      </c>
      <c r="I5179" t="s">
        <v>17322</v>
      </c>
      <c r="J5179" t="s">
        <v>18894</v>
      </c>
      <c r="K5179">
        <v>11221</v>
      </c>
      <c r="L5179" t="s">
        <v>18958</v>
      </c>
      <c r="M5179" t="s">
        <v>18958</v>
      </c>
      <c r="N5179" t="s">
        <v>22870</v>
      </c>
      <c r="O5179" t="s">
        <v>26524</v>
      </c>
      <c r="P5179" t="s">
        <v>26560</v>
      </c>
      <c r="R5179" t="s">
        <v>26588</v>
      </c>
      <c r="U5179" t="s">
        <v>26604</v>
      </c>
      <c r="W5179" t="s">
        <v>739</v>
      </c>
      <c r="X5179">
        <v>1415</v>
      </c>
      <c r="Y5179" t="s">
        <v>26652</v>
      </c>
      <c r="Z5179" t="s">
        <v>26669</v>
      </c>
      <c r="AB5179" t="s">
        <v>27867</v>
      </c>
      <c r="AE5179">
        <v>0</v>
      </c>
      <c r="AG5179" t="s">
        <v>45556</v>
      </c>
      <c r="AH5179">
        <v>10</v>
      </c>
      <c r="AI5179">
        <v>1</v>
      </c>
      <c r="AJ5179">
        <v>0</v>
      </c>
      <c r="AK5179">
        <v>12.49</v>
      </c>
      <c r="AN5179" t="s">
        <v>7439</v>
      </c>
      <c r="AO5179">
        <v>1560</v>
      </c>
      <c r="AU5179">
        <v>0.5</v>
      </c>
      <c r="AV5179" t="s">
        <v>830</v>
      </c>
      <c r="AW5179" t="s">
        <v>281</v>
      </c>
    </row>
    <row r="5180" spans="1:50">
      <c r="A5180" s="1">
        <f>HYPERLINK("https://lsnyc.legalserver.org/matter/dynamic-profile/view/1891075","19-1891075")</f>
        <v>0</v>
      </c>
      <c r="B5180" t="s">
        <v>129</v>
      </c>
      <c r="C5180" t="s">
        <v>340</v>
      </c>
      <c r="D5180" t="s">
        <v>740</v>
      </c>
      <c r="F5180" t="s">
        <v>3325</v>
      </c>
      <c r="G5180" t="s">
        <v>7380</v>
      </c>
      <c r="H5180" t="s">
        <v>13539</v>
      </c>
      <c r="I5180">
        <v>2</v>
      </c>
      <c r="J5180" t="s">
        <v>18894</v>
      </c>
      <c r="K5180">
        <v>11221</v>
      </c>
      <c r="L5180" t="s">
        <v>18958</v>
      </c>
      <c r="M5180" t="s">
        <v>18958</v>
      </c>
      <c r="N5180" t="s">
        <v>22871</v>
      </c>
      <c r="O5180" t="s">
        <v>26524</v>
      </c>
      <c r="P5180" t="s">
        <v>26560</v>
      </c>
      <c r="R5180" t="s">
        <v>26588</v>
      </c>
      <c r="U5180" t="s">
        <v>26604</v>
      </c>
      <c r="W5180" t="s">
        <v>739</v>
      </c>
      <c r="X5180">
        <v>1260</v>
      </c>
      <c r="Y5180" t="s">
        <v>26652</v>
      </c>
      <c r="Z5180" t="s">
        <v>26669</v>
      </c>
      <c r="AB5180" t="s">
        <v>30900</v>
      </c>
      <c r="AD5180" t="s">
        <v>41133</v>
      </c>
      <c r="AE5180">
        <v>2</v>
      </c>
      <c r="AH5180">
        <v>3</v>
      </c>
      <c r="AI5180">
        <v>3</v>
      </c>
      <c r="AJ5180">
        <v>0</v>
      </c>
      <c r="AK5180">
        <v>78.76000000000001</v>
      </c>
      <c r="AN5180" t="s">
        <v>7439</v>
      </c>
      <c r="AO5180">
        <v>16800</v>
      </c>
      <c r="AU5180">
        <v>10.75</v>
      </c>
      <c r="AV5180" t="s">
        <v>773</v>
      </c>
      <c r="AW5180" t="s">
        <v>46862</v>
      </c>
    </row>
    <row r="5181" spans="1:50">
      <c r="A5181" s="1">
        <f>HYPERLINK("https://lsnyc.legalserver.org/matter/dynamic-profile/view/1891023","19-1891023")</f>
        <v>0</v>
      </c>
      <c r="B5181" t="s">
        <v>129</v>
      </c>
      <c r="C5181" t="s">
        <v>340</v>
      </c>
      <c r="D5181" t="s">
        <v>740</v>
      </c>
      <c r="F5181" t="s">
        <v>969</v>
      </c>
      <c r="G5181" t="s">
        <v>5269</v>
      </c>
      <c r="H5181" t="s">
        <v>13540</v>
      </c>
      <c r="I5181" t="s">
        <v>17290</v>
      </c>
      <c r="J5181" t="s">
        <v>18894</v>
      </c>
      <c r="K5181">
        <v>11225</v>
      </c>
      <c r="L5181" t="s">
        <v>18958</v>
      </c>
      <c r="M5181" t="s">
        <v>18958</v>
      </c>
      <c r="N5181" t="s">
        <v>22872</v>
      </c>
      <c r="O5181" t="s">
        <v>26523</v>
      </c>
      <c r="P5181" t="s">
        <v>26560</v>
      </c>
      <c r="R5181" t="s">
        <v>26588</v>
      </c>
      <c r="U5181" t="s">
        <v>26604</v>
      </c>
      <c r="W5181" t="s">
        <v>739</v>
      </c>
      <c r="X5181">
        <v>593.97</v>
      </c>
      <c r="Y5181" t="s">
        <v>26652</v>
      </c>
      <c r="Z5181" t="s">
        <v>26669</v>
      </c>
      <c r="AB5181" t="s">
        <v>30901</v>
      </c>
      <c r="AE5181">
        <v>30</v>
      </c>
      <c r="AG5181" t="s">
        <v>19330</v>
      </c>
      <c r="AH5181">
        <v>19</v>
      </c>
      <c r="AI5181">
        <v>1</v>
      </c>
      <c r="AJ5181">
        <v>0</v>
      </c>
      <c r="AK5181">
        <v>96.08</v>
      </c>
      <c r="AN5181" t="s">
        <v>7439</v>
      </c>
      <c r="AO5181">
        <v>12000</v>
      </c>
      <c r="AU5181">
        <v>12.25</v>
      </c>
      <c r="AV5181" t="s">
        <v>773</v>
      </c>
      <c r="AW5181" t="s">
        <v>281</v>
      </c>
    </row>
    <row r="5182" spans="1:50">
      <c r="A5182" s="1">
        <f>HYPERLINK("https://lsnyc.legalserver.org/matter/dynamic-profile/view/1891060","19-1891060")</f>
        <v>0</v>
      </c>
      <c r="B5182" t="s">
        <v>123</v>
      </c>
      <c r="C5182" t="s">
        <v>340</v>
      </c>
      <c r="D5182" t="s">
        <v>740</v>
      </c>
      <c r="F5182" t="s">
        <v>3326</v>
      </c>
      <c r="G5182" t="s">
        <v>968</v>
      </c>
      <c r="H5182" t="s">
        <v>13541</v>
      </c>
      <c r="I5182" t="s">
        <v>17273</v>
      </c>
      <c r="J5182" t="s">
        <v>18894</v>
      </c>
      <c r="K5182">
        <v>11226</v>
      </c>
      <c r="L5182" t="s">
        <v>18958</v>
      </c>
      <c r="M5182" t="s">
        <v>18958</v>
      </c>
      <c r="N5182" t="s">
        <v>22873</v>
      </c>
      <c r="O5182" t="s">
        <v>26524</v>
      </c>
      <c r="P5182" t="s">
        <v>26560</v>
      </c>
      <c r="R5182" t="s">
        <v>26588</v>
      </c>
      <c r="U5182" t="s">
        <v>26604</v>
      </c>
      <c r="W5182" t="s">
        <v>739</v>
      </c>
      <c r="X5182">
        <v>875</v>
      </c>
      <c r="Y5182" t="s">
        <v>26652</v>
      </c>
      <c r="Z5182" t="s">
        <v>26664</v>
      </c>
      <c r="AB5182" t="s">
        <v>30902</v>
      </c>
      <c r="AD5182" t="s">
        <v>41134</v>
      </c>
      <c r="AE5182">
        <v>40</v>
      </c>
      <c r="AG5182" t="s">
        <v>19330</v>
      </c>
      <c r="AH5182">
        <v>33</v>
      </c>
      <c r="AI5182">
        <v>1</v>
      </c>
      <c r="AJ5182">
        <v>0</v>
      </c>
      <c r="AK5182">
        <v>67.25</v>
      </c>
      <c r="AN5182" t="s">
        <v>45585</v>
      </c>
      <c r="AO5182">
        <v>8400</v>
      </c>
      <c r="AU5182">
        <v>8.449999999999999</v>
      </c>
      <c r="AV5182" t="s">
        <v>768</v>
      </c>
      <c r="AW5182" t="s">
        <v>46862</v>
      </c>
    </row>
    <row r="5183" spans="1:50">
      <c r="A5183" s="1">
        <f>HYPERLINK("https://lsnyc.legalserver.org/matter/dynamic-profile/view/1890998","19-1890998")</f>
        <v>0</v>
      </c>
      <c r="B5183" t="s">
        <v>123</v>
      </c>
      <c r="C5183" t="s">
        <v>340</v>
      </c>
      <c r="D5183" t="s">
        <v>740</v>
      </c>
      <c r="F5183" t="s">
        <v>1377</v>
      </c>
      <c r="G5183" t="s">
        <v>7583</v>
      </c>
      <c r="H5183" t="s">
        <v>13542</v>
      </c>
      <c r="I5183" t="s">
        <v>17283</v>
      </c>
      <c r="J5183" t="s">
        <v>18894</v>
      </c>
      <c r="K5183">
        <v>11226</v>
      </c>
      <c r="L5183" t="s">
        <v>18958</v>
      </c>
      <c r="M5183" t="s">
        <v>18958</v>
      </c>
      <c r="N5183" t="s">
        <v>22874</v>
      </c>
      <c r="O5183" t="s">
        <v>26524</v>
      </c>
      <c r="P5183" t="s">
        <v>26560</v>
      </c>
      <c r="R5183" t="s">
        <v>26588</v>
      </c>
      <c r="U5183" t="s">
        <v>26604</v>
      </c>
      <c r="W5183" t="s">
        <v>739</v>
      </c>
      <c r="X5183">
        <v>962</v>
      </c>
      <c r="Y5183" t="s">
        <v>26652</v>
      </c>
      <c r="Z5183" t="s">
        <v>26664</v>
      </c>
      <c r="AB5183" t="s">
        <v>30903</v>
      </c>
      <c r="AD5183" t="s">
        <v>41135</v>
      </c>
      <c r="AE5183">
        <v>47</v>
      </c>
      <c r="AG5183" t="s">
        <v>19330</v>
      </c>
      <c r="AH5183">
        <v>19</v>
      </c>
      <c r="AI5183">
        <v>2</v>
      </c>
      <c r="AJ5183">
        <v>0</v>
      </c>
      <c r="AK5183">
        <v>69.69</v>
      </c>
      <c r="AN5183" t="s">
        <v>45585</v>
      </c>
      <c r="AO5183">
        <v>11784</v>
      </c>
      <c r="AU5183">
        <v>13.42</v>
      </c>
      <c r="AV5183" t="s">
        <v>765</v>
      </c>
      <c r="AW5183" t="s">
        <v>46862</v>
      </c>
    </row>
    <row r="5184" spans="1:50">
      <c r="A5184" s="1">
        <f>HYPERLINK("https://lsnyc.legalserver.org/matter/dynamic-profile/view/1891396","19-1891396")</f>
        <v>0</v>
      </c>
      <c r="B5184" t="s">
        <v>240</v>
      </c>
      <c r="C5184" t="s">
        <v>340</v>
      </c>
      <c r="D5184" t="s">
        <v>747</v>
      </c>
      <c r="F5184" t="s">
        <v>2302</v>
      </c>
      <c r="G5184" t="s">
        <v>5026</v>
      </c>
      <c r="H5184" t="s">
        <v>11711</v>
      </c>
      <c r="I5184" t="s">
        <v>17476</v>
      </c>
      <c r="J5184" t="s">
        <v>18894</v>
      </c>
      <c r="K5184">
        <v>11226</v>
      </c>
      <c r="L5184" t="s">
        <v>18958</v>
      </c>
      <c r="M5184" t="s">
        <v>18958</v>
      </c>
      <c r="P5184" t="s">
        <v>26562</v>
      </c>
      <c r="R5184" t="s">
        <v>26578</v>
      </c>
      <c r="U5184" t="s">
        <v>26604</v>
      </c>
      <c r="W5184" t="s">
        <v>739</v>
      </c>
      <c r="X5184">
        <v>0</v>
      </c>
      <c r="Y5184" t="s">
        <v>26652</v>
      </c>
      <c r="AB5184" t="s">
        <v>28942</v>
      </c>
      <c r="AD5184" t="s">
        <v>39002</v>
      </c>
      <c r="AE5184">
        <v>0</v>
      </c>
      <c r="AH5184">
        <v>0</v>
      </c>
      <c r="AI5184">
        <v>1</v>
      </c>
      <c r="AJ5184">
        <v>0</v>
      </c>
      <c r="AK5184">
        <v>51.88</v>
      </c>
      <c r="AN5184" t="s">
        <v>7439</v>
      </c>
      <c r="AO5184">
        <v>6480</v>
      </c>
      <c r="AU5184">
        <v>24.5</v>
      </c>
      <c r="AV5184" t="s">
        <v>772</v>
      </c>
      <c r="AW5184" t="s">
        <v>219</v>
      </c>
    </row>
    <row r="5185" spans="1:50">
      <c r="A5185" s="1">
        <f>HYPERLINK("https://lsnyc.legalserver.org/matter/dynamic-profile/view/1890374","19-1890374")</f>
        <v>0</v>
      </c>
      <c r="B5185" t="s">
        <v>243</v>
      </c>
      <c r="C5185" t="s">
        <v>340</v>
      </c>
      <c r="D5185" t="s">
        <v>723</v>
      </c>
      <c r="F5185" t="s">
        <v>3327</v>
      </c>
      <c r="G5185" t="s">
        <v>3103</v>
      </c>
      <c r="H5185" t="s">
        <v>11943</v>
      </c>
      <c r="I5185" t="s">
        <v>17322</v>
      </c>
      <c r="J5185" t="s">
        <v>18894</v>
      </c>
      <c r="K5185">
        <v>11226</v>
      </c>
      <c r="L5185" t="s">
        <v>18958</v>
      </c>
      <c r="M5185" t="s">
        <v>18958</v>
      </c>
      <c r="O5185" t="s">
        <v>26526</v>
      </c>
      <c r="P5185" t="s">
        <v>26560</v>
      </c>
      <c r="R5185" t="s">
        <v>26578</v>
      </c>
      <c r="S5185" t="s">
        <v>18959</v>
      </c>
      <c r="U5185" t="s">
        <v>26604</v>
      </c>
      <c r="W5185" t="s">
        <v>739</v>
      </c>
      <c r="X5185">
        <v>778.9299999999999</v>
      </c>
      <c r="Y5185" t="s">
        <v>26652</v>
      </c>
      <c r="AB5185" t="s">
        <v>27841</v>
      </c>
      <c r="AD5185" t="s">
        <v>40660</v>
      </c>
      <c r="AE5185">
        <v>36</v>
      </c>
      <c r="AH5185">
        <v>8</v>
      </c>
      <c r="AI5185">
        <v>4</v>
      </c>
      <c r="AJ5185">
        <v>1</v>
      </c>
      <c r="AK5185">
        <v>193.32</v>
      </c>
      <c r="AN5185" t="s">
        <v>45585</v>
      </c>
      <c r="AO5185">
        <v>58324</v>
      </c>
      <c r="AU5185">
        <v>2.4</v>
      </c>
      <c r="AV5185" t="s">
        <v>800</v>
      </c>
      <c r="AW5185" t="s">
        <v>219</v>
      </c>
    </row>
    <row r="5186" spans="1:50">
      <c r="A5186" s="1">
        <f>HYPERLINK("https://lsnyc.legalserver.org/matter/dynamic-profile/view/0821915","16-0821915")</f>
        <v>0</v>
      </c>
      <c r="B5186" t="s">
        <v>58</v>
      </c>
      <c r="C5186" t="s">
        <v>340</v>
      </c>
      <c r="D5186" t="s">
        <v>748</v>
      </c>
      <c r="F5186" t="s">
        <v>1315</v>
      </c>
      <c r="G5186" t="s">
        <v>6790</v>
      </c>
      <c r="H5186" t="s">
        <v>11263</v>
      </c>
      <c r="I5186" t="s">
        <v>17628</v>
      </c>
      <c r="J5186" t="s">
        <v>18892</v>
      </c>
      <c r="K5186">
        <v>10456</v>
      </c>
      <c r="L5186" t="s">
        <v>18958</v>
      </c>
      <c r="M5186" t="s">
        <v>18958</v>
      </c>
      <c r="N5186" t="s">
        <v>22875</v>
      </c>
      <c r="O5186" t="s">
        <v>26549</v>
      </c>
      <c r="P5186" t="s">
        <v>26560</v>
      </c>
      <c r="R5186" t="s">
        <v>26577</v>
      </c>
      <c r="S5186" t="s">
        <v>18959</v>
      </c>
      <c r="U5186" t="s">
        <v>26605</v>
      </c>
      <c r="V5186" t="s">
        <v>26610</v>
      </c>
      <c r="W5186" t="s">
        <v>863</v>
      </c>
      <c r="X5186">
        <v>300</v>
      </c>
      <c r="Y5186" t="s">
        <v>26650</v>
      </c>
      <c r="Z5186" t="s">
        <v>26656</v>
      </c>
      <c r="AB5186" t="s">
        <v>30904</v>
      </c>
      <c r="AE5186">
        <v>112</v>
      </c>
      <c r="AF5186" t="s">
        <v>45542</v>
      </c>
      <c r="AG5186" t="s">
        <v>19330</v>
      </c>
      <c r="AH5186">
        <v>23</v>
      </c>
      <c r="AI5186">
        <v>1</v>
      </c>
      <c r="AJ5186">
        <v>1</v>
      </c>
      <c r="AK5186">
        <v>129.84</v>
      </c>
      <c r="AN5186" t="s">
        <v>7439</v>
      </c>
      <c r="AO5186">
        <v>20799.96</v>
      </c>
      <c r="AP5186" t="s">
        <v>45617</v>
      </c>
      <c r="AU5186">
        <v>36.25</v>
      </c>
      <c r="AV5186" t="s">
        <v>771</v>
      </c>
      <c r="AW5186" t="s">
        <v>46839</v>
      </c>
    </row>
    <row r="5187" spans="1:50">
      <c r="A5187" s="1">
        <f>HYPERLINK("https://lsnyc.legalserver.org/matter/dynamic-profile/view/1862841","18-1862841")</f>
        <v>0</v>
      </c>
      <c r="B5187" t="s">
        <v>100</v>
      </c>
      <c r="C5187" t="s">
        <v>340</v>
      </c>
      <c r="D5187" t="s">
        <v>430</v>
      </c>
      <c r="F5187" t="s">
        <v>887</v>
      </c>
      <c r="G5187" t="s">
        <v>5434</v>
      </c>
      <c r="H5187" t="s">
        <v>11443</v>
      </c>
      <c r="I5187" t="s">
        <v>17361</v>
      </c>
      <c r="J5187" t="s">
        <v>18892</v>
      </c>
      <c r="K5187">
        <v>10457</v>
      </c>
      <c r="L5187" t="s">
        <v>18958</v>
      </c>
      <c r="M5187" t="s">
        <v>18960</v>
      </c>
      <c r="N5187" t="s">
        <v>22876</v>
      </c>
      <c r="O5187" t="s">
        <v>26527</v>
      </c>
      <c r="P5187" t="s">
        <v>26561</v>
      </c>
      <c r="R5187" t="s">
        <v>26578</v>
      </c>
      <c r="S5187" t="s">
        <v>18958</v>
      </c>
      <c r="U5187" t="s">
        <v>26604</v>
      </c>
      <c r="W5187" t="s">
        <v>863</v>
      </c>
      <c r="X5187">
        <v>0</v>
      </c>
      <c r="Y5187" t="s">
        <v>26650</v>
      </c>
      <c r="Z5187" t="s">
        <v>26659</v>
      </c>
      <c r="AB5187" t="s">
        <v>27983</v>
      </c>
      <c r="AD5187" t="s">
        <v>34738</v>
      </c>
      <c r="AE5187">
        <v>100</v>
      </c>
      <c r="AF5187" t="s">
        <v>45541</v>
      </c>
      <c r="AH5187">
        <v>0</v>
      </c>
      <c r="AI5187">
        <v>1</v>
      </c>
      <c r="AJ5187">
        <v>0</v>
      </c>
      <c r="AK5187">
        <v>0</v>
      </c>
      <c r="AN5187" t="s">
        <v>45581</v>
      </c>
      <c r="AO5187">
        <v>0</v>
      </c>
      <c r="AP5187" t="s">
        <v>45843</v>
      </c>
      <c r="AU5187">
        <v>0.4</v>
      </c>
      <c r="AV5187" t="s">
        <v>430</v>
      </c>
      <c r="AW5187" t="s">
        <v>46847</v>
      </c>
    </row>
    <row r="5188" spans="1:50">
      <c r="A5188" s="1">
        <f>HYPERLINK("https://lsnyc.legalserver.org/matter/dynamic-profile/view/1886489","18-1886489")</f>
        <v>0</v>
      </c>
      <c r="B5188" t="s">
        <v>130</v>
      </c>
      <c r="C5188" t="s">
        <v>340</v>
      </c>
      <c r="D5188" t="s">
        <v>706</v>
      </c>
      <c r="F5188" t="s">
        <v>2120</v>
      </c>
      <c r="G5188" t="s">
        <v>5266</v>
      </c>
      <c r="H5188" t="s">
        <v>13543</v>
      </c>
      <c r="I5188" t="s">
        <v>17308</v>
      </c>
      <c r="J5188" t="s">
        <v>18901</v>
      </c>
      <c r="K5188">
        <v>11433</v>
      </c>
      <c r="L5188" t="s">
        <v>18958</v>
      </c>
      <c r="M5188" t="s">
        <v>18959</v>
      </c>
      <c r="N5188" t="s">
        <v>22877</v>
      </c>
      <c r="O5188" t="s">
        <v>26524</v>
      </c>
      <c r="P5188" t="s">
        <v>26560</v>
      </c>
      <c r="R5188" t="s">
        <v>26585</v>
      </c>
      <c r="S5188" t="s">
        <v>18959</v>
      </c>
      <c r="U5188" t="s">
        <v>26604</v>
      </c>
      <c r="V5188" t="s">
        <v>26610</v>
      </c>
      <c r="W5188" t="s">
        <v>714</v>
      </c>
      <c r="X5188">
        <v>1100</v>
      </c>
      <c r="Y5188" t="s">
        <v>26653</v>
      </c>
      <c r="Z5188" t="s">
        <v>26668</v>
      </c>
      <c r="AB5188" t="s">
        <v>30905</v>
      </c>
      <c r="AD5188" t="s">
        <v>41136</v>
      </c>
      <c r="AE5188">
        <v>3</v>
      </c>
      <c r="AF5188" t="s">
        <v>45547</v>
      </c>
      <c r="AG5188" t="s">
        <v>19330</v>
      </c>
      <c r="AH5188">
        <v>1</v>
      </c>
      <c r="AI5188">
        <v>1</v>
      </c>
      <c r="AJ5188">
        <v>0</v>
      </c>
      <c r="AK5188">
        <v>222.73</v>
      </c>
      <c r="AL5188" t="s">
        <v>706</v>
      </c>
      <c r="AM5188" t="s">
        <v>45575</v>
      </c>
      <c r="AN5188" t="s">
        <v>7439</v>
      </c>
      <c r="AO5188">
        <v>27040</v>
      </c>
      <c r="AP5188" t="s">
        <v>45844</v>
      </c>
      <c r="AU5188">
        <v>22.1</v>
      </c>
      <c r="AV5188" t="s">
        <v>831</v>
      </c>
      <c r="AW5188" t="s">
        <v>163</v>
      </c>
    </row>
    <row r="5189" spans="1:50">
      <c r="A5189" s="1">
        <f>HYPERLINK("https://lsnyc.legalserver.org/matter/dynamic-profile/view/1888717","19-1888717")</f>
        <v>0</v>
      </c>
      <c r="B5189" t="s">
        <v>174</v>
      </c>
      <c r="C5189" t="s">
        <v>341</v>
      </c>
      <c r="D5189" t="s">
        <v>698</v>
      </c>
      <c r="E5189" t="s">
        <v>832</v>
      </c>
      <c r="F5189" t="s">
        <v>903</v>
      </c>
      <c r="G5189" t="s">
        <v>7260</v>
      </c>
      <c r="H5189" t="s">
        <v>13544</v>
      </c>
      <c r="I5189" t="s">
        <v>17312</v>
      </c>
      <c r="J5189" t="s">
        <v>18894</v>
      </c>
      <c r="K5189">
        <v>11207</v>
      </c>
      <c r="L5189" t="s">
        <v>18958</v>
      </c>
      <c r="M5189" t="s">
        <v>18959</v>
      </c>
      <c r="N5189" t="s">
        <v>22878</v>
      </c>
      <c r="O5189" t="s">
        <v>26524</v>
      </c>
      <c r="P5189" t="s">
        <v>26564</v>
      </c>
      <c r="Q5189" t="s">
        <v>26570</v>
      </c>
      <c r="R5189" t="s">
        <v>26578</v>
      </c>
      <c r="S5189" t="s">
        <v>18959</v>
      </c>
      <c r="U5189" t="s">
        <v>26604</v>
      </c>
      <c r="V5189" t="s">
        <v>26610</v>
      </c>
      <c r="W5189" t="s">
        <v>714</v>
      </c>
      <c r="X5189">
        <v>1515</v>
      </c>
      <c r="Y5189" t="s">
        <v>26652</v>
      </c>
      <c r="Z5189" t="s">
        <v>26657</v>
      </c>
      <c r="AA5189" t="s">
        <v>26683</v>
      </c>
      <c r="AB5189" t="s">
        <v>30906</v>
      </c>
      <c r="AC5189" t="s">
        <v>35935</v>
      </c>
      <c r="AD5189" t="s">
        <v>41137</v>
      </c>
      <c r="AE5189">
        <v>2</v>
      </c>
      <c r="AF5189" t="s">
        <v>45547</v>
      </c>
      <c r="AG5189" t="s">
        <v>45562</v>
      </c>
      <c r="AH5189">
        <v>3</v>
      </c>
      <c r="AI5189">
        <v>1</v>
      </c>
      <c r="AJ5189">
        <v>3</v>
      </c>
      <c r="AK5189">
        <v>123.18</v>
      </c>
      <c r="AN5189" t="s">
        <v>7439</v>
      </c>
      <c r="AO5189">
        <v>31720</v>
      </c>
      <c r="AU5189">
        <v>1.5</v>
      </c>
      <c r="AV5189" t="s">
        <v>714</v>
      </c>
      <c r="AW5189" t="s">
        <v>46841</v>
      </c>
      <c r="AX5189" t="s">
        <v>46897</v>
      </c>
    </row>
    <row r="5190" spans="1:50">
      <c r="A5190" s="1">
        <f>HYPERLINK("https://lsnyc.legalserver.org/matter/dynamic-profile/view/1889678","19-1889678")</f>
        <v>0</v>
      </c>
      <c r="B5190" t="s">
        <v>60</v>
      </c>
      <c r="C5190" t="s">
        <v>340</v>
      </c>
      <c r="D5190" t="s">
        <v>709</v>
      </c>
      <c r="F5190" t="s">
        <v>2795</v>
      </c>
      <c r="G5190" t="s">
        <v>7584</v>
      </c>
      <c r="H5190" t="s">
        <v>12875</v>
      </c>
      <c r="I5190" t="s">
        <v>17397</v>
      </c>
      <c r="J5190" t="s">
        <v>18892</v>
      </c>
      <c r="K5190">
        <v>10463</v>
      </c>
      <c r="L5190" t="s">
        <v>18958</v>
      </c>
      <c r="M5190" t="s">
        <v>18958</v>
      </c>
      <c r="N5190" t="s">
        <v>22879</v>
      </c>
      <c r="O5190" t="s">
        <v>26529</v>
      </c>
      <c r="P5190" t="s">
        <v>26562</v>
      </c>
      <c r="R5190" t="s">
        <v>26578</v>
      </c>
      <c r="S5190" t="s">
        <v>18959</v>
      </c>
      <c r="U5190" t="s">
        <v>26604</v>
      </c>
      <c r="V5190" t="s">
        <v>26610</v>
      </c>
      <c r="W5190" t="s">
        <v>714</v>
      </c>
      <c r="X5190">
        <v>421.7</v>
      </c>
      <c r="Y5190" t="s">
        <v>26650</v>
      </c>
      <c r="Z5190" t="s">
        <v>26663</v>
      </c>
      <c r="AB5190" t="s">
        <v>28092</v>
      </c>
      <c r="AD5190" t="s">
        <v>41138</v>
      </c>
      <c r="AE5190">
        <v>67</v>
      </c>
      <c r="AF5190" t="s">
        <v>45554</v>
      </c>
      <c r="AG5190" t="s">
        <v>45561</v>
      </c>
      <c r="AH5190">
        <v>19</v>
      </c>
      <c r="AI5190">
        <v>1</v>
      </c>
      <c r="AJ5190">
        <v>0</v>
      </c>
      <c r="AK5190">
        <v>138.35</v>
      </c>
      <c r="AN5190" t="s">
        <v>7439</v>
      </c>
      <c r="AO5190">
        <v>17280</v>
      </c>
      <c r="AU5190">
        <v>6</v>
      </c>
      <c r="AV5190" t="s">
        <v>757</v>
      </c>
      <c r="AW5190" t="s">
        <v>336</v>
      </c>
    </row>
    <row r="5191" spans="1:50">
      <c r="A5191" s="1">
        <f>HYPERLINK("https://lsnyc.legalserver.org/matter/dynamic-profile/view/1889211","19-1889211")</f>
        <v>0</v>
      </c>
      <c r="B5191" t="s">
        <v>120</v>
      </c>
      <c r="C5191" t="s">
        <v>340</v>
      </c>
      <c r="D5191" t="s">
        <v>693</v>
      </c>
      <c r="F5191" t="s">
        <v>3061</v>
      </c>
      <c r="G5191" t="s">
        <v>2504</v>
      </c>
      <c r="H5191" t="s">
        <v>11344</v>
      </c>
      <c r="I5191" t="s">
        <v>17967</v>
      </c>
      <c r="J5191" t="s">
        <v>18892</v>
      </c>
      <c r="K5191">
        <v>10457</v>
      </c>
      <c r="L5191" t="s">
        <v>18958</v>
      </c>
      <c r="M5191" t="s">
        <v>18958</v>
      </c>
      <c r="N5191" t="s">
        <v>22880</v>
      </c>
      <c r="O5191" t="s">
        <v>26523</v>
      </c>
      <c r="P5191" t="s">
        <v>26560</v>
      </c>
      <c r="R5191" t="s">
        <v>26579</v>
      </c>
      <c r="S5191" t="s">
        <v>18959</v>
      </c>
      <c r="U5191" t="s">
        <v>26604</v>
      </c>
      <c r="V5191" t="s">
        <v>26610</v>
      </c>
      <c r="W5191" t="s">
        <v>714</v>
      </c>
      <c r="X5191">
        <v>1200</v>
      </c>
      <c r="Y5191" t="s">
        <v>26650</v>
      </c>
      <c r="Z5191" t="s">
        <v>26668</v>
      </c>
      <c r="AB5191" t="s">
        <v>30907</v>
      </c>
      <c r="AC5191" t="s">
        <v>35936</v>
      </c>
      <c r="AD5191" t="s">
        <v>41139</v>
      </c>
      <c r="AE5191">
        <v>49</v>
      </c>
      <c r="AF5191" t="s">
        <v>45541</v>
      </c>
      <c r="AG5191" t="s">
        <v>19330</v>
      </c>
      <c r="AH5191">
        <v>1</v>
      </c>
      <c r="AI5191">
        <v>1</v>
      </c>
      <c r="AJ5191">
        <v>0</v>
      </c>
      <c r="AK5191">
        <v>74.08</v>
      </c>
      <c r="AN5191" t="s">
        <v>7439</v>
      </c>
      <c r="AO5191">
        <v>9252</v>
      </c>
      <c r="AU5191">
        <v>7.1</v>
      </c>
      <c r="AV5191" t="s">
        <v>797</v>
      </c>
      <c r="AW5191" t="s">
        <v>46847</v>
      </c>
    </row>
    <row r="5192" spans="1:50">
      <c r="A5192" s="1">
        <f>HYPERLINK("https://lsnyc.legalserver.org/matter/dynamic-profile/view/1889154","19-1889154")</f>
        <v>0</v>
      </c>
      <c r="B5192" t="s">
        <v>120</v>
      </c>
      <c r="C5192" t="s">
        <v>340</v>
      </c>
      <c r="D5192" t="s">
        <v>693</v>
      </c>
      <c r="F5192" t="s">
        <v>3328</v>
      </c>
      <c r="G5192" t="s">
        <v>7585</v>
      </c>
      <c r="H5192" t="s">
        <v>13430</v>
      </c>
      <c r="I5192" t="s">
        <v>17425</v>
      </c>
      <c r="J5192" t="s">
        <v>18892</v>
      </c>
      <c r="K5192">
        <v>10457</v>
      </c>
      <c r="L5192" t="s">
        <v>18958</v>
      </c>
      <c r="M5192" t="s">
        <v>18958</v>
      </c>
      <c r="N5192" t="s">
        <v>22881</v>
      </c>
      <c r="O5192" t="s">
        <v>26523</v>
      </c>
      <c r="P5192" t="s">
        <v>26560</v>
      </c>
      <c r="R5192" t="s">
        <v>26579</v>
      </c>
      <c r="S5192" t="s">
        <v>18959</v>
      </c>
      <c r="U5192" t="s">
        <v>26604</v>
      </c>
      <c r="V5192" t="s">
        <v>26610</v>
      </c>
      <c r="W5192" t="s">
        <v>714</v>
      </c>
      <c r="X5192">
        <v>1368.76</v>
      </c>
      <c r="Y5192" t="s">
        <v>26650</v>
      </c>
      <c r="Z5192" t="s">
        <v>26668</v>
      </c>
      <c r="AB5192" t="s">
        <v>30532</v>
      </c>
      <c r="AD5192" t="s">
        <v>41140</v>
      </c>
      <c r="AE5192">
        <v>55</v>
      </c>
      <c r="AF5192" t="s">
        <v>45541</v>
      </c>
      <c r="AG5192" t="s">
        <v>19330</v>
      </c>
      <c r="AH5192">
        <v>1</v>
      </c>
      <c r="AI5192">
        <v>1</v>
      </c>
      <c r="AJ5192">
        <v>0</v>
      </c>
      <c r="AK5192">
        <v>152.12</v>
      </c>
      <c r="AN5192" t="s">
        <v>45581</v>
      </c>
      <c r="AO5192">
        <v>19000</v>
      </c>
      <c r="AU5192">
        <v>18.6</v>
      </c>
      <c r="AV5192" t="s">
        <v>831</v>
      </c>
      <c r="AW5192" t="s">
        <v>46847</v>
      </c>
    </row>
    <row r="5193" spans="1:50">
      <c r="A5193" s="1">
        <f>HYPERLINK("https://lsnyc.legalserver.org/matter/dynamic-profile/view/1889861","19-1889861")</f>
        <v>0</v>
      </c>
      <c r="B5193" t="s">
        <v>260</v>
      </c>
      <c r="C5193" t="s">
        <v>341</v>
      </c>
      <c r="D5193" t="s">
        <v>714</v>
      </c>
      <c r="E5193" t="s">
        <v>821</v>
      </c>
      <c r="F5193" t="s">
        <v>1125</v>
      </c>
      <c r="G5193" t="s">
        <v>5048</v>
      </c>
      <c r="H5193" t="s">
        <v>13545</v>
      </c>
      <c r="I5193" t="s">
        <v>17283</v>
      </c>
      <c r="J5193" t="s">
        <v>18893</v>
      </c>
      <c r="K5193">
        <v>10034</v>
      </c>
      <c r="L5193" t="s">
        <v>18958</v>
      </c>
      <c r="M5193" t="s">
        <v>18960</v>
      </c>
      <c r="O5193" t="s">
        <v>26534</v>
      </c>
      <c r="P5193" t="s">
        <v>26565</v>
      </c>
      <c r="Q5193" t="s">
        <v>26571</v>
      </c>
      <c r="R5193" t="s">
        <v>26578</v>
      </c>
      <c r="S5193" t="s">
        <v>18959</v>
      </c>
      <c r="U5193" t="s">
        <v>26607</v>
      </c>
      <c r="W5193" t="s">
        <v>714</v>
      </c>
      <c r="X5193">
        <v>1231.92</v>
      </c>
      <c r="Y5193" t="s">
        <v>26651</v>
      </c>
      <c r="Z5193" t="s">
        <v>26661</v>
      </c>
      <c r="AA5193" t="s">
        <v>26682</v>
      </c>
      <c r="AB5193" t="s">
        <v>29862</v>
      </c>
      <c r="AD5193" t="s">
        <v>39984</v>
      </c>
      <c r="AE5193">
        <v>42</v>
      </c>
      <c r="AF5193" t="s">
        <v>45541</v>
      </c>
      <c r="AG5193" t="s">
        <v>45559</v>
      </c>
      <c r="AH5193">
        <v>14</v>
      </c>
      <c r="AI5193">
        <v>1</v>
      </c>
      <c r="AJ5193">
        <v>0</v>
      </c>
      <c r="AK5193">
        <v>111.45</v>
      </c>
      <c r="AN5193" t="s">
        <v>45581</v>
      </c>
      <c r="AO5193">
        <v>13920</v>
      </c>
      <c r="AU5193">
        <v>1.6</v>
      </c>
      <c r="AV5193" t="s">
        <v>835</v>
      </c>
      <c r="AW5193" t="s">
        <v>260</v>
      </c>
      <c r="AX5193" t="s">
        <v>46897</v>
      </c>
    </row>
    <row r="5194" spans="1:50">
      <c r="A5194" s="1">
        <f>HYPERLINK("https://lsnyc.legalserver.org/matter/dynamic-profile/view/1889746","19-1889746")</f>
        <v>0</v>
      </c>
      <c r="B5194" t="s">
        <v>107</v>
      </c>
      <c r="C5194" t="s">
        <v>341</v>
      </c>
      <c r="D5194" t="s">
        <v>714</v>
      </c>
      <c r="E5194" t="s">
        <v>745</v>
      </c>
      <c r="F5194" t="s">
        <v>1033</v>
      </c>
      <c r="G5194" t="s">
        <v>7586</v>
      </c>
      <c r="H5194" t="s">
        <v>13546</v>
      </c>
      <c r="I5194" t="s">
        <v>17306</v>
      </c>
      <c r="J5194" t="s">
        <v>18901</v>
      </c>
      <c r="K5194">
        <v>11434</v>
      </c>
      <c r="L5194" t="s">
        <v>18958</v>
      </c>
      <c r="M5194" t="s">
        <v>18958</v>
      </c>
      <c r="N5194" t="s">
        <v>22882</v>
      </c>
      <c r="O5194" t="s">
        <v>26523</v>
      </c>
      <c r="P5194" t="s">
        <v>26560</v>
      </c>
      <c r="Q5194" t="s">
        <v>26568</v>
      </c>
      <c r="R5194" t="s">
        <v>26585</v>
      </c>
      <c r="S5194" t="s">
        <v>18959</v>
      </c>
      <c r="U5194" t="s">
        <v>26605</v>
      </c>
      <c r="V5194" t="s">
        <v>26610</v>
      </c>
      <c r="W5194" t="s">
        <v>714</v>
      </c>
      <c r="X5194">
        <v>921</v>
      </c>
      <c r="Y5194" t="s">
        <v>26653</v>
      </c>
      <c r="Z5194" t="s">
        <v>26668</v>
      </c>
      <c r="AA5194" t="s">
        <v>26680</v>
      </c>
      <c r="AB5194" t="s">
        <v>30908</v>
      </c>
      <c r="AD5194" t="s">
        <v>34738</v>
      </c>
      <c r="AE5194">
        <v>231</v>
      </c>
      <c r="AF5194" t="s">
        <v>45549</v>
      </c>
      <c r="AG5194" t="s">
        <v>19330</v>
      </c>
      <c r="AH5194">
        <v>24</v>
      </c>
      <c r="AI5194">
        <v>2</v>
      </c>
      <c r="AJ5194">
        <v>2</v>
      </c>
      <c r="AK5194">
        <v>139.81</v>
      </c>
      <c r="AN5194" t="s">
        <v>7439</v>
      </c>
      <c r="AO5194">
        <v>36000</v>
      </c>
      <c r="AR5194" t="s">
        <v>46379</v>
      </c>
      <c r="AS5194" t="s">
        <v>46499</v>
      </c>
      <c r="AT5194" t="s">
        <v>46506</v>
      </c>
      <c r="AU5194">
        <v>0.75</v>
      </c>
      <c r="AV5194" t="s">
        <v>745</v>
      </c>
      <c r="AW5194" t="s">
        <v>208</v>
      </c>
    </row>
    <row r="5195" spans="1:50">
      <c r="A5195" s="1">
        <f>HYPERLINK("https://lsnyc.legalserver.org/matter/dynamic-profile/view/1889789","19-1889789")</f>
        <v>0</v>
      </c>
      <c r="B5195" t="s">
        <v>133</v>
      </c>
      <c r="C5195" t="s">
        <v>341</v>
      </c>
      <c r="D5195" t="s">
        <v>714</v>
      </c>
      <c r="E5195" t="s">
        <v>769</v>
      </c>
      <c r="F5195" t="s">
        <v>3329</v>
      </c>
      <c r="G5195" t="s">
        <v>5199</v>
      </c>
      <c r="H5195" t="s">
        <v>13547</v>
      </c>
      <c r="I5195" t="s">
        <v>17366</v>
      </c>
      <c r="J5195" t="s">
        <v>18892</v>
      </c>
      <c r="K5195">
        <v>10467</v>
      </c>
      <c r="L5195" t="s">
        <v>18958</v>
      </c>
      <c r="M5195" t="s">
        <v>18958</v>
      </c>
      <c r="N5195" t="s">
        <v>22883</v>
      </c>
      <c r="O5195" t="s">
        <v>26523</v>
      </c>
      <c r="P5195" t="s">
        <v>26560</v>
      </c>
      <c r="Q5195" t="s">
        <v>26573</v>
      </c>
      <c r="R5195" t="s">
        <v>26579</v>
      </c>
      <c r="S5195" t="s">
        <v>18959</v>
      </c>
      <c r="U5195" t="s">
        <v>26604</v>
      </c>
      <c r="W5195" t="s">
        <v>714</v>
      </c>
      <c r="X5195">
        <v>0</v>
      </c>
      <c r="Y5195" t="s">
        <v>26650</v>
      </c>
      <c r="Z5195" t="s">
        <v>26668</v>
      </c>
      <c r="AA5195" t="s">
        <v>26678</v>
      </c>
      <c r="AB5195" t="s">
        <v>30909</v>
      </c>
      <c r="AD5195" t="s">
        <v>41141</v>
      </c>
      <c r="AE5195">
        <v>0</v>
      </c>
      <c r="AF5195" t="s">
        <v>45547</v>
      </c>
      <c r="AG5195" t="s">
        <v>19330</v>
      </c>
      <c r="AH5195">
        <v>1</v>
      </c>
      <c r="AI5195">
        <v>1</v>
      </c>
      <c r="AJ5195">
        <v>1</v>
      </c>
      <c r="AK5195">
        <v>92.25</v>
      </c>
      <c r="AN5195" t="s">
        <v>45581</v>
      </c>
      <c r="AO5195">
        <v>15600</v>
      </c>
      <c r="AS5195" t="s">
        <v>46499</v>
      </c>
      <c r="AT5195" t="s">
        <v>46781</v>
      </c>
      <c r="AU5195">
        <v>10.95</v>
      </c>
      <c r="AV5195" t="s">
        <v>769</v>
      </c>
      <c r="AW5195" t="s">
        <v>46870</v>
      </c>
    </row>
    <row r="5196" spans="1:50">
      <c r="A5196" s="1">
        <f>HYPERLINK("https://lsnyc.legalserver.org/matter/dynamic-profile/view/1889770","19-1889770")</f>
        <v>0</v>
      </c>
      <c r="B5196" t="s">
        <v>53</v>
      </c>
      <c r="C5196" t="s">
        <v>341</v>
      </c>
      <c r="D5196" t="s">
        <v>714</v>
      </c>
      <c r="E5196" t="s">
        <v>830</v>
      </c>
      <c r="F5196" t="s">
        <v>3330</v>
      </c>
      <c r="G5196" t="s">
        <v>7386</v>
      </c>
      <c r="H5196" t="s">
        <v>13548</v>
      </c>
      <c r="I5196">
        <v>1</v>
      </c>
      <c r="J5196" t="s">
        <v>18892</v>
      </c>
      <c r="K5196">
        <v>10468</v>
      </c>
      <c r="L5196" t="s">
        <v>18958</v>
      </c>
      <c r="M5196" t="s">
        <v>18958</v>
      </c>
      <c r="N5196" t="s">
        <v>22884</v>
      </c>
      <c r="O5196" t="s">
        <v>26523</v>
      </c>
      <c r="P5196" t="s">
        <v>26560</v>
      </c>
      <c r="Q5196" t="s">
        <v>26568</v>
      </c>
      <c r="R5196" t="s">
        <v>26579</v>
      </c>
      <c r="S5196" t="s">
        <v>18959</v>
      </c>
      <c r="U5196" t="s">
        <v>26604</v>
      </c>
      <c r="V5196" t="s">
        <v>26610</v>
      </c>
      <c r="W5196" t="s">
        <v>714</v>
      </c>
      <c r="X5196">
        <v>981.35</v>
      </c>
      <c r="Y5196" t="s">
        <v>26650</v>
      </c>
      <c r="Z5196" t="s">
        <v>26664</v>
      </c>
      <c r="AA5196" t="s">
        <v>26678</v>
      </c>
      <c r="AB5196" t="s">
        <v>30910</v>
      </c>
      <c r="AC5196" t="s">
        <v>35937</v>
      </c>
      <c r="AD5196" t="s">
        <v>41142</v>
      </c>
      <c r="AE5196">
        <v>69</v>
      </c>
      <c r="AF5196" t="s">
        <v>45541</v>
      </c>
      <c r="AG5196" t="s">
        <v>19330</v>
      </c>
      <c r="AH5196">
        <v>16</v>
      </c>
      <c r="AI5196">
        <v>1</v>
      </c>
      <c r="AJ5196">
        <v>0</v>
      </c>
      <c r="AK5196">
        <v>83.27</v>
      </c>
      <c r="AN5196" t="s">
        <v>45581</v>
      </c>
      <c r="AO5196">
        <v>10400</v>
      </c>
      <c r="AQ5196" t="s">
        <v>46361</v>
      </c>
      <c r="AR5196" t="s">
        <v>46385</v>
      </c>
      <c r="AS5196" t="s">
        <v>46499</v>
      </c>
      <c r="AT5196" t="s">
        <v>46793</v>
      </c>
      <c r="AU5196">
        <v>24.75</v>
      </c>
      <c r="AV5196" t="s">
        <v>830</v>
      </c>
      <c r="AW5196" t="s">
        <v>334</v>
      </c>
    </row>
    <row r="5197" spans="1:50">
      <c r="A5197" s="1">
        <f>HYPERLINK("https://lsnyc.legalserver.org/matter/dynamic-profile/view/1889754","19-1889754")</f>
        <v>0</v>
      </c>
      <c r="B5197" t="s">
        <v>131</v>
      </c>
      <c r="C5197" t="s">
        <v>341</v>
      </c>
      <c r="D5197" t="s">
        <v>714</v>
      </c>
      <c r="E5197" t="s">
        <v>785</v>
      </c>
      <c r="F5197" t="s">
        <v>1800</v>
      </c>
      <c r="G5197" t="s">
        <v>7587</v>
      </c>
      <c r="H5197" t="s">
        <v>13549</v>
      </c>
      <c r="I5197" t="s">
        <v>17430</v>
      </c>
      <c r="J5197" t="s">
        <v>18902</v>
      </c>
      <c r="K5197">
        <v>10314</v>
      </c>
      <c r="L5197" t="s">
        <v>18958</v>
      </c>
      <c r="M5197" t="s">
        <v>18958</v>
      </c>
      <c r="N5197" t="s">
        <v>22885</v>
      </c>
      <c r="O5197" t="s">
        <v>26523</v>
      </c>
      <c r="P5197" t="s">
        <v>26564</v>
      </c>
      <c r="Q5197" t="s">
        <v>26570</v>
      </c>
      <c r="R5197" t="s">
        <v>26590</v>
      </c>
      <c r="S5197" t="s">
        <v>18959</v>
      </c>
      <c r="U5197" t="s">
        <v>26604</v>
      </c>
      <c r="V5197" t="s">
        <v>26611</v>
      </c>
      <c r="W5197" t="s">
        <v>714</v>
      </c>
      <c r="X5197">
        <v>1500</v>
      </c>
      <c r="Y5197" t="s">
        <v>26654</v>
      </c>
      <c r="Z5197" t="s">
        <v>26668</v>
      </c>
      <c r="AA5197" t="s">
        <v>26683</v>
      </c>
      <c r="AB5197" t="s">
        <v>30911</v>
      </c>
      <c r="AD5197" t="s">
        <v>41143</v>
      </c>
      <c r="AE5197">
        <v>2</v>
      </c>
      <c r="AF5197" t="s">
        <v>45547</v>
      </c>
      <c r="AG5197" t="s">
        <v>19330</v>
      </c>
      <c r="AH5197">
        <v>-1</v>
      </c>
      <c r="AI5197">
        <v>2</v>
      </c>
      <c r="AJ5197">
        <v>1</v>
      </c>
      <c r="AK5197">
        <v>235.72</v>
      </c>
      <c r="AN5197" t="s">
        <v>7439</v>
      </c>
      <c r="AO5197">
        <v>50280</v>
      </c>
      <c r="AU5197">
        <v>0.7</v>
      </c>
      <c r="AV5197" t="s">
        <v>785</v>
      </c>
      <c r="AW5197" t="s">
        <v>185</v>
      </c>
    </row>
    <row r="5198" spans="1:50">
      <c r="A5198" s="1">
        <f>HYPERLINK("https://lsnyc.legalserver.org/matter/dynamic-profile/view/1889859","19-1889859")</f>
        <v>0</v>
      </c>
      <c r="B5198" t="s">
        <v>261</v>
      </c>
      <c r="C5198" t="s">
        <v>341</v>
      </c>
      <c r="D5198" t="s">
        <v>714</v>
      </c>
      <c r="E5198" t="s">
        <v>775</v>
      </c>
      <c r="F5198" t="s">
        <v>2207</v>
      </c>
      <c r="G5198" t="s">
        <v>5103</v>
      </c>
      <c r="H5198" t="s">
        <v>13550</v>
      </c>
      <c r="I5198">
        <v>206</v>
      </c>
      <c r="J5198" t="s">
        <v>18892</v>
      </c>
      <c r="K5198">
        <v>10453</v>
      </c>
      <c r="L5198" t="s">
        <v>18958</v>
      </c>
      <c r="M5198" t="s">
        <v>18958</v>
      </c>
      <c r="O5198" t="s">
        <v>26529</v>
      </c>
      <c r="P5198" t="s">
        <v>26564</v>
      </c>
      <c r="Q5198" t="s">
        <v>26570</v>
      </c>
      <c r="R5198" t="s">
        <v>26578</v>
      </c>
      <c r="S5198" t="s">
        <v>18959</v>
      </c>
      <c r="U5198" t="s">
        <v>26604</v>
      </c>
      <c r="W5198" t="s">
        <v>714</v>
      </c>
      <c r="X5198">
        <v>0</v>
      </c>
      <c r="Y5198" t="s">
        <v>26650</v>
      </c>
      <c r="Z5198" t="s">
        <v>26663</v>
      </c>
      <c r="AA5198" t="s">
        <v>26683</v>
      </c>
      <c r="AB5198" t="s">
        <v>30912</v>
      </c>
      <c r="AD5198" t="s">
        <v>41144</v>
      </c>
      <c r="AE5198">
        <v>54</v>
      </c>
      <c r="AF5198" t="s">
        <v>45541</v>
      </c>
      <c r="AG5198" t="s">
        <v>19330</v>
      </c>
      <c r="AH5198">
        <v>0</v>
      </c>
      <c r="AI5198">
        <v>3</v>
      </c>
      <c r="AJ5198">
        <v>0</v>
      </c>
      <c r="AK5198">
        <v>239.1</v>
      </c>
      <c r="AN5198" t="s">
        <v>7439</v>
      </c>
      <c r="AO5198">
        <v>51000</v>
      </c>
      <c r="AU5198">
        <v>1.15</v>
      </c>
      <c r="AV5198" t="s">
        <v>775</v>
      </c>
      <c r="AW5198" t="s">
        <v>46847</v>
      </c>
    </row>
    <row r="5199" spans="1:50">
      <c r="A5199" s="1">
        <f>HYPERLINK("https://lsnyc.legalserver.org/matter/dynamic-profile/view/1889753","19-1889753")</f>
        <v>0</v>
      </c>
      <c r="B5199" t="s">
        <v>107</v>
      </c>
      <c r="C5199" t="s">
        <v>340</v>
      </c>
      <c r="D5199" t="s">
        <v>714</v>
      </c>
      <c r="F5199" t="s">
        <v>3331</v>
      </c>
      <c r="G5199" t="s">
        <v>7588</v>
      </c>
      <c r="H5199" t="s">
        <v>12317</v>
      </c>
      <c r="I5199" t="s">
        <v>17361</v>
      </c>
      <c r="J5199" t="s">
        <v>18901</v>
      </c>
      <c r="K5199">
        <v>11434</v>
      </c>
      <c r="L5199" t="s">
        <v>18958</v>
      </c>
      <c r="M5199" t="s">
        <v>18958</v>
      </c>
      <c r="N5199" t="s">
        <v>22886</v>
      </c>
      <c r="O5199" t="s">
        <v>26523</v>
      </c>
      <c r="P5199" t="s">
        <v>26560</v>
      </c>
      <c r="R5199" t="s">
        <v>26585</v>
      </c>
      <c r="S5199" t="s">
        <v>18959</v>
      </c>
      <c r="U5199" t="s">
        <v>26605</v>
      </c>
      <c r="V5199" t="s">
        <v>26614</v>
      </c>
      <c r="W5199" t="s">
        <v>714</v>
      </c>
      <c r="X5199">
        <v>1800</v>
      </c>
      <c r="Y5199" t="s">
        <v>26653</v>
      </c>
      <c r="Z5199" t="s">
        <v>26668</v>
      </c>
      <c r="AB5199" t="s">
        <v>30319</v>
      </c>
      <c r="AC5199" t="s">
        <v>35938</v>
      </c>
      <c r="AD5199" t="s">
        <v>41145</v>
      </c>
      <c r="AE5199">
        <v>602</v>
      </c>
      <c r="AF5199" t="s">
        <v>45549</v>
      </c>
      <c r="AG5199" t="s">
        <v>19330</v>
      </c>
      <c r="AH5199">
        <v>16</v>
      </c>
      <c r="AI5199">
        <v>4</v>
      </c>
      <c r="AJ5199">
        <v>0</v>
      </c>
      <c r="AK5199">
        <v>183.19</v>
      </c>
      <c r="AN5199" t="s">
        <v>7439</v>
      </c>
      <c r="AO5199">
        <v>47172</v>
      </c>
      <c r="AQ5199" t="s">
        <v>46366</v>
      </c>
      <c r="AR5199" t="s">
        <v>26530</v>
      </c>
      <c r="AS5199" t="s">
        <v>46499</v>
      </c>
      <c r="AT5199" t="s">
        <v>46687</v>
      </c>
      <c r="AU5199">
        <v>5.5</v>
      </c>
      <c r="AV5199" t="s">
        <v>752</v>
      </c>
      <c r="AW5199" t="s">
        <v>208</v>
      </c>
    </row>
    <row r="5200" spans="1:50">
      <c r="A5200" s="1">
        <f>HYPERLINK("https://lsnyc.legalserver.org/matter/dynamic-profile/view/1889842","19-1889842")</f>
        <v>0</v>
      </c>
      <c r="B5200" t="s">
        <v>53</v>
      </c>
      <c r="C5200" t="s">
        <v>340</v>
      </c>
      <c r="D5200" t="s">
        <v>714</v>
      </c>
      <c r="F5200" t="s">
        <v>3332</v>
      </c>
      <c r="G5200" t="s">
        <v>7589</v>
      </c>
      <c r="H5200" t="s">
        <v>13551</v>
      </c>
      <c r="I5200">
        <v>1</v>
      </c>
      <c r="J5200" t="s">
        <v>18892</v>
      </c>
      <c r="K5200">
        <v>10467</v>
      </c>
      <c r="L5200" t="s">
        <v>18958</v>
      </c>
      <c r="M5200" t="s">
        <v>18958</v>
      </c>
      <c r="N5200" t="s">
        <v>22887</v>
      </c>
      <c r="O5200" t="s">
        <v>26524</v>
      </c>
      <c r="P5200" t="s">
        <v>26560</v>
      </c>
      <c r="R5200" t="s">
        <v>26579</v>
      </c>
      <c r="S5200" t="s">
        <v>18959</v>
      </c>
      <c r="U5200" t="s">
        <v>26604</v>
      </c>
      <c r="V5200" t="s">
        <v>26610</v>
      </c>
      <c r="W5200" t="s">
        <v>714</v>
      </c>
      <c r="X5200">
        <v>1250</v>
      </c>
      <c r="Y5200" t="s">
        <v>26650</v>
      </c>
      <c r="Z5200" t="s">
        <v>26664</v>
      </c>
      <c r="AB5200" t="s">
        <v>30913</v>
      </c>
      <c r="AC5200" t="s">
        <v>35939</v>
      </c>
      <c r="AE5200">
        <v>2</v>
      </c>
      <c r="AF5200" t="s">
        <v>45547</v>
      </c>
      <c r="AG5200" t="s">
        <v>45557</v>
      </c>
      <c r="AH5200">
        <v>2</v>
      </c>
      <c r="AI5200">
        <v>3</v>
      </c>
      <c r="AJ5200">
        <v>4</v>
      </c>
      <c r="AK5200">
        <v>23.13</v>
      </c>
      <c r="AN5200" t="s">
        <v>7439</v>
      </c>
      <c r="AO5200">
        <v>9022</v>
      </c>
      <c r="AU5200">
        <v>9.5</v>
      </c>
      <c r="AV5200" t="s">
        <v>835</v>
      </c>
      <c r="AW5200" t="s">
        <v>334</v>
      </c>
      <c r="AX5200" t="s">
        <v>46898</v>
      </c>
    </row>
    <row r="5201" spans="1:49">
      <c r="A5201" s="1">
        <f>HYPERLINK("https://lsnyc.legalserver.org/matter/dynamic-profile/view/1889847","19-1889847")</f>
        <v>0</v>
      </c>
      <c r="B5201" t="s">
        <v>56</v>
      </c>
      <c r="C5201" t="s">
        <v>340</v>
      </c>
      <c r="D5201" t="s">
        <v>714</v>
      </c>
      <c r="F5201" t="s">
        <v>1935</v>
      </c>
      <c r="G5201" t="s">
        <v>5695</v>
      </c>
      <c r="H5201" t="s">
        <v>13552</v>
      </c>
      <c r="I5201" t="s">
        <v>17332</v>
      </c>
      <c r="J5201" t="s">
        <v>18892</v>
      </c>
      <c r="K5201">
        <v>10451</v>
      </c>
      <c r="L5201" t="s">
        <v>18958</v>
      </c>
      <c r="M5201" t="s">
        <v>18958</v>
      </c>
      <c r="N5201" t="s">
        <v>22888</v>
      </c>
      <c r="O5201" t="s">
        <v>26523</v>
      </c>
      <c r="P5201" t="s">
        <v>26560</v>
      </c>
      <c r="R5201" t="s">
        <v>26577</v>
      </c>
      <c r="S5201" t="s">
        <v>18959</v>
      </c>
      <c r="U5201" t="s">
        <v>26604</v>
      </c>
      <c r="W5201" t="s">
        <v>714</v>
      </c>
      <c r="X5201">
        <v>2200</v>
      </c>
      <c r="Y5201" t="s">
        <v>26650</v>
      </c>
      <c r="AB5201" t="s">
        <v>30914</v>
      </c>
      <c r="AE5201">
        <v>6</v>
      </c>
      <c r="AG5201" t="s">
        <v>45557</v>
      </c>
      <c r="AH5201">
        <v>3</v>
      </c>
      <c r="AI5201">
        <v>1</v>
      </c>
      <c r="AJ5201">
        <v>5</v>
      </c>
      <c r="AK5201">
        <v>26.02</v>
      </c>
      <c r="AN5201" t="s">
        <v>45581</v>
      </c>
      <c r="AO5201">
        <v>9000</v>
      </c>
      <c r="AU5201">
        <v>27</v>
      </c>
      <c r="AV5201" t="s">
        <v>720</v>
      </c>
      <c r="AW5201" t="s">
        <v>46871</v>
      </c>
    </row>
    <row r="5202" spans="1:49">
      <c r="A5202" s="1">
        <f>HYPERLINK("https://lsnyc.legalserver.org/matter/dynamic-profile/view/1889848","19-1889848")</f>
        <v>0</v>
      </c>
      <c r="B5202" t="s">
        <v>65</v>
      </c>
      <c r="C5202" t="s">
        <v>340</v>
      </c>
      <c r="D5202" t="s">
        <v>714</v>
      </c>
      <c r="F5202" t="s">
        <v>3333</v>
      </c>
      <c r="G5202" t="s">
        <v>5008</v>
      </c>
      <c r="H5202" t="s">
        <v>13553</v>
      </c>
      <c r="I5202" t="s">
        <v>17946</v>
      </c>
      <c r="J5202" t="s">
        <v>18892</v>
      </c>
      <c r="K5202">
        <v>10462</v>
      </c>
      <c r="L5202" t="s">
        <v>18958</v>
      </c>
      <c r="M5202" t="s">
        <v>18958</v>
      </c>
      <c r="N5202" t="s">
        <v>22889</v>
      </c>
      <c r="O5202" t="s">
        <v>26524</v>
      </c>
      <c r="P5202" t="s">
        <v>26560</v>
      </c>
      <c r="R5202" t="s">
        <v>26579</v>
      </c>
      <c r="S5202" t="s">
        <v>18959</v>
      </c>
      <c r="U5202" t="s">
        <v>26604</v>
      </c>
      <c r="V5202" t="s">
        <v>26612</v>
      </c>
      <c r="W5202" t="s">
        <v>714</v>
      </c>
      <c r="X5202">
        <v>2118</v>
      </c>
      <c r="Y5202" t="s">
        <v>26650</v>
      </c>
      <c r="Z5202" t="s">
        <v>26668</v>
      </c>
      <c r="AB5202" t="s">
        <v>30915</v>
      </c>
      <c r="AD5202" t="s">
        <v>41146</v>
      </c>
      <c r="AE5202">
        <v>2</v>
      </c>
      <c r="AF5202" t="s">
        <v>45547</v>
      </c>
      <c r="AG5202" t="s">
        <v>45556</v>
      </c>
      <c r="AH5202">
        <v>1</v>
      </c>
      <c r="AI5202">
        <v>1</v>
      </c>
      <c r="AJ5202">
        <v>2</v>
      </c>
      <c r="AK5202">
        <v>115.65</v>
      </c>
      <c r="AN5202" t="s">
        <v>7439</v>
      </c>
      <c r="AO5202">
        <v>24668</v>
      </c>
      <c r="AQ5202" t="s">
        <v>46365</v>
      </c>
      <c r="AR5202" t="s">
        <v>46418</v>
      </c>
      <c r="AS5202" t="s">
        <v>46500</v>
      </c>
      <c r="AT5202" t="s">
        <v>46665</v>
      </c>
      <c r="AU5202">
        <v>42.05</v>
      </c>
      <c r="AV5202" t="s">
        <v>832</v>
      </c>
      <c r="AW5202" t="s">
        <v>46859</v>
      </c>
    </row>
    <row r="5203" spans="1:49">
      <c r="A5203" s="1">
        <f>HYPERLINK("https://lsnyc.legalserver.org/matter/dynamic-profile/view/1889751","19-1889751")</f>
        <v>0</v>
      </c>
      <c r="B5203" t="s">
        <v>187</v>
      </c>
      <c r="C5203" t="s">
        <v>340</v>
      </c>
      <c r="D5203" t="s">
        <v>714</v>
      </c>
      <c r="F5203" t="s">
        <v>3334</v>
      </c>
      <c r="G5203" t="s">
        <v>5727</v>
      </c>
      <c r="H5203" t="s">
        <v>13554</v>
      </c>
      <c r="I5203">
        <v>6</v>
      </c>
      <c r="J5203" t="s">
        <v>18892</v>
      </c>
      <c r="K5203">
        <v>10470</v>
      </c>
      <c r="L5203" t="s">
        <v>18958</v>
      </c>
      <c r="M5203" t="s">
        <v>18958</v>
      </c>
      <c r="N5203" t="s">
        <v>22890</v>
      </c>
      <c r="O5203" t="s">
        <v>26523</v>
      </c>
      <c r="P5203" t="s">
        <v>26560</v>
      </c>
      <c r="R5203" t="s">
        <v>26577</v>
      </c>
      <c r="S5203" t="s">
        <v>18959</v>
      </c>
      <c r="U5203" t="s">
        <v>26604</v>
      </c>
      <c r="V5203" t="s">
        <v>26611</v>
      </c>
      <c r="W5203" t="s">
        <v>714</v>
      </c>
      <c r="X5203">
        <v>1750</v>
      </c>
      <c r="Y5203" t="s">
        <v>26650</v>
      </c>
      <c r="Z5203" t="s">
        <v>26668</v>
      </c>
      <c r="AB5203" t="s">
        <v>30916</v>
      </c>
      <c r="AC5203" t="s">
        <v>35940</v>
      </c>
      <c r="AD5203" t="s">
        <v>41147</v>
      </c>
      <c r="AE5203">
        <v>0</v>
      </c>
      <c r="AF5203" t="s">
        <v>45541</v>
      </c>
      <c r="AG5203" t="s">
        <v>19330</v>
      </c>
      <c r="AH5203">
        <v>1</v>
      </c>
      <c r="AI5203">
        <v>1</v>
      </c>
      <c r="AJ5203">
        <v>1</v>
      </c>
      <c r="AK5203">
        <v>169.13</v>
      </c>
      <c r="AN5203" t="s">
        <v>7439</v>
      </c>
      <c r="AO5203">
        <v>28600</v>
      </c>
      <c r="AU5203">
        <v>13.5</v>
      </c>
      <c r="AV5203" t="s">
        <v>838</v>
      </c>
      <c r="AW5203" t="s">
        <v>46871</v>
      </c>
    </row>
    <row r="5204" spans="1:49">
      <c r="A5204" s="1">
        <f>HYPERLINK("https://lsnyc.legalserver.org/matter/dynamic-profile/view/1889799","19-1889799")</f>
        <v>0</v>
      </c>
      <c r="B5204" t="s">
        <v>69</v>
      </c>
      <c r="C5204" t="s">
        <v>340</v>
      </c>
      <c r="D5204" t="s">
        <v>714</v>
      </c>
      <c r="F5204" t="s">
        <v>1042</v>
      </c>
      <c r="G5204" t="s">
        <v>7590</v>
      </c>
      <c r="H5204" t="s">
        <v>13555</v>
      </c>
      <c r="I5204" t="s">
        <v>17440</v>
      </c>
      <c r="J5204" t="s">
        <v>18892</v>
      </c>
      <c r="K5204">
        <v>10457</v>
      </c>
      <c r="L5204" t="s">
        <v>18958</v>
      </c>
      <c r="M5204" t="s">
        <v>18958</v>
      </c>
      <c r="N5204" t="s">
        <v>22891</v>
      </c>
      <c r="O5204" t="s">
        <v>26523</v>
      </c>
      <c r="P5204" t="s">
        <v>26560</v>
      </c>
      <c r="R5204" t="s">
        <v>26579</v>
      </c>
      <c r="U5204" t="s">
        <v>26604</v>
      </c>
      <c r="V5204" t="s">
        <v>26610</v>
      </c>
      <c r="W5204" t="s">
        <v>714</v>
      </c>
      <c r="X5204">
        <v>1575</v>
      </c>
      <c r="Y5204" t="s">
        <v>26650</v>
      </c>
      <c r="Z5204" t="s">
        <v>26664</v>
      </c>
      <c r="AB5204" t="s">
        <v>30917</v>
      </c>
      <c r="AD5204" t="s">
        <v>41148</v>
      </c>
      <c r="AE5204">
        <v>0</v>
      </c>
      <c r="AH5204">
        <v>3</v>
      </c>
      <c r="AI5204">
        <v>1</v>
      </c>
      <c r="AJ5204">
        <v>2</v>
      </c>
      <c r="AK5204">
        <v>243.79</v>
      </c>
      <c r="AL5204" t="s">
        <v>787</v>
      </c>
      <c r="AM5204" t="s">
        <v>45575</v>
      </c>
      <c r="AO5204">
        <v>52000</v>
      </c>
      <c r="AP5204" t="s">
        <v>45641</v>
      </c>
      <c r="AU5204">
        <v>5.7</v>
      </c>
      <c r="AV5204" t="s">
        <v>797</v>
      </c>
      <c r="AW5204" t="s">
        <v>334</v>
      </c>
    </row>
    <row r="5205" spans="1:49">
      <c r="A5205" s="1">
        <f>HYPERLINK("https://lsnyc.legalserver.org/matter/dynamic-profile/view/1889793","19-1889793")</f>
        <v>0</v>
      </c>
      <c r="B5205" t="s">
        <v>51</v>
      </c>
      <c r="C5205" t="s">
        <v>340</v>
      </c>
      <c r="D5205" t="s">
        <v>714</v>
      </c>
      <c r="F5205" t="s">
        <v>3335</v>
      </c>
      <c r="G5205" t="s">
        <v>1748</v>
      </c>
      <c r="H5205" t="s">
        <v>13556</v>
      </c>
      <c r="I5205" t="s">
        <v>17327</v>
      </c>
      <c r="J5205" t="s">
        <v>18892</v>
      </c>
      <c r="K5205">
        <v>10466</v>
      </c>
      <c r="L5205" t="s">
        <v>18958</v>
      </c>
      <c r="M5205" t="s">
        <v>18958</v>
      </c>
      <c r="N5205" t="s">
        <v>22892</v>
      </c>
      <c r="O5205" t="s">
        <v>26524</v>
      </c>
      <c r="P5205" t="s">
        <v>26560</v>
      </c>
      <c r="R5205" t="s">
        <v>26577</v>
      </c>
      <c r="U5205" t="s">
        <v>26604</v>
      </c>
      <c r="V5205" t="s">
        <v>26610</v>
      </c>
      <c r="W5205" t="s">
        <v>714</v>
      </c>
      <c r="X5205">
        <v>1400</v>
      </c>
      <c r="Y5205" t="s">
        <v>26650</v>
      </c>
      <c r="Z5205" t="s">
        <v>26664</v>
      </c>
      <c r="AB5205" t="s">
        <v>30657</v>
      </c>
      <c r="AC5205" t="s">
        <v>35941</v>
      </c>
      <c r="AD5205" t="s">
        <v>41149</v>
      </c>
      <c r="AE5205">
        <v>6</v>
      </c>
      <c r="AF5205" t="s">
        <v>45541</v>
      </c>
      <c r="AG5205" t="s">
        <v>19330</v>
      </c>
      <c r="AH5205">
        <v>3</v>
      </c>
      <c r="AI5205">
        <v>1</v>
      </c>
      <c r="AJ5205">
        <v>2</v>
      </c>
      <c r="AK5205">
        <v>121.89</v>
      </c>
      <c r="AN5205" t="s">
        <v>7439</v>
      </c>
      <c r="AO5205">
        <v>26000</v>
      </c>
      <c r="AU5205">
        <v>25.9</v>
      </c>
      <c r="AV5205" t="s">
        <v>827</v>
      </c>
      <c r="AW5205" t="s">
        <v>334</v>
      </c>
    </row>
    <row r="5206" spans="1:49">
      <c r="A5206" s="1">
        <f>HYPERLINK("https://lsnyc.legalserver.org/matter/dynamic-profile/view/1890137","19-1890137")</f>
        <v>0</v>
      </c>
      <c r="B5206" t="s">
        <v>134</v>
      </c>
      <c r="C5206" t="s">
        <v>340</v>
      </c>
      <c r="D5206" t="s">
        <v>710</v>
      </c>
      <c r="F5206" t="s">
        <v>3008</v>
      </c>
      <c r="G5206" t="s">
        <v>7591</v>
      </c>
      <c r="H5206" t="s">
        <v>13557</v>
      </c>
      <c r="I5206" t="s">
        <v>17319</v>
      </c>
      <c r="J5206" t="s">
        <v>18894</v>
      </c>
      <c r="K5206">
        <v>11212</v>
      </c>
      <c r="L5206" t="s">
        <v>18958</v>
      </c>
      <c r="M5206" t="s">
        <v>18958</v>
      </c>
      <c r="O5206" t="s">
        <v>26526</v>
      </c>
      <c r="P5206" t="s">
        <v>26560</v>
      </c>
      <c r="R5206" t="s">
        <v>26578</v>
      </c>
      <c r="S5206" t="s">
        <v>18958</v>
      </c>
      <c r="U5206" t="s">
        <v>26604</v>
      </c>
      <c r="V5206" t="s">
        <v>26610</v>
      </c>
      <c r="W5206" t="s">
        <v>714</v>
      </c>
      <c r="X5206">
        <v>1000</v>
      </c>
      <c r="Y5206" t="s">
        <v>26652</v>
      </c>
      <c r="Z5206" t="s">
        <v>26663</v>
      </c>
      <c r="AB5206" t="s">
        <v>30918</v>
      </c>
      <c r="AE5206">
        <v>71</v>
      </c>
      <c r="AF5206" t="s">
        <v>45541</v>
      </c>
      <c r="AG5206" t="s">
        <v>45556</v>
      </c>
      <c r="AH5206">
        <v>45</v>
      </c>
      <c r="AI5206">
        <v>1</v>
      </c>
      <c r="AJ5206">
        <v>0</v>
      </c>
      <c r="AK5206">
        <v>67.25</v>
      </c>
      <c r="AN5206" t="s">
        <v>7439</v>
      </c>
      <c r="AO5206">
        <v>8400</v>
      </c>
      <c r="AU5206">
        <v>0</v>
      </c>
      <c r="AW5206" t="s">
        <v>279</v>
      </c>
    </row>
    <row r="5207" spans="1:49">
      <c r="A5207" s="1">
        <f>HYPERLINK("https://lsnyc.legalserver.org/matter/dynamic-profile/view/1890128","19-1890128")</f>
        <v>0</v>
      </c>
      <c r="B5207" t="s">
        <v>134</v>
      </c>
      <c r="C5207" t="s">
        <v>340</v>
      </c>
      <c r="D5207" t="s">
        <v>710</v>
      </c>
      <c r="F5207" t="s">
        <v>2533</v>
      </c>
      <c r="G5207" t="s">
        <v>5664</v>
      </c>
      <c r="H5207" t="s">
        <v>13557</v>
      </c>
      <c r="I5207" t="s">
        <v>17278</v>
      </c>
      <c r="J5207" t="s">
        <v>18894</v>
      </c>
      <c r="K5207">
        <v>11212</v>
      </c>
      <c r="L5207" t="s">
        <v>18958</v>
      </c>
      <c r="M5207" t="s">
        <v>18958</v>
      </c>
      <c r="O5207" t="s">
        <v>26526</v>
      </c>
      <c r="P5207" t="s">
        <v>26560</v>
      </c>
      <c r="R5207" t="s">
        <v>26583</v>
      </c>
      <c r="S5207" t="s">
        <v>18958</v>
      </c>
      <c r="U5207" t="s">
        <v>26604</v>
      </c>
      <c r="V5207" t="s">
        <v>26610</v>
      </c>
      <c r="W5207" t="s">
        <v>714</v>
      </c>
      <c r="X5207">
        <v>991.65</v>
      </c>
      <c r="Y5207" t="s">
        <v>26652</v>
      </c>
      <c r="Z5207" t="s">
        <v>26663</v>
      </c>
      <c r="AB5207" t="s">
        <v>30919</v>
      </c>
      <c r="AC5207" t="s">
        <v>19330</v>
      </c>
      <c r="AE5207">
        <v>71</v>
      </c>
      <c r="AF5207" t="s">
        <v>45541</v>
      </c>
      <c r="AG5207" t="s">
        <v>19330</v>
      </c>
      <c r="AH5207">
        <v>30</v>
      </c>
      <c r="AI5207">
        <v>2</v>
      </c>
      <c r="AJ5207">
        <v>0</v>
      </c>
      <c r="AK5207">
        <v>236.55</v>
      </c>
      <c r="AM5207" t="s">
        <v>45575</v>
      </c>
      <c r="AN5207" t="s">
        <v>7439</v>
      </c>
      <c r="AO5207">
        <v>40000</v>
      </c>
      <c r="AP5207" t="s">
        <v>45845</v>
      </c>
      <c r="AU5207">
        <v>4.1</v>
      </c>
      <c r="AV5207" t="s">
        <v>756</v>
      </c>
      <c r="AW5207" t="s">
        <v>279</v>
      </c>
    </row>
    <row r="5208" spans="1:49">
      <c r="A5208" s="1">
        <f>HYPERLINK("https://lsnyc.legalserver.org/matter/dynamic-profile/view/1890117","19-1890117")</f>
        <v>0</v>
      </c>
      <c r="B5208" t="s">
        <v>134</v>
      </c>
      <c r="C5208" t="s">
        <v>340</v>
      </c>
      <c r="D5208" t="s">
        <v>710</v>
      </c>
      <c r="F5208" t="s">
        <v>3336</v>
      </c>
      <c r="G5208" t="s">
        <v>5089</v>
      </c>
      <c r="H5208" t="s">
        <v>13557</v>
      </c>
      <c r="I5208" t="s">
        <v>17332</v>
      </c>
      <c r="J5208" t="s">
        <v>18894</v>
      </c>
      <c r="K5208">
        <v>11212</v>
      </c>
      <c r="L5208" t="s">
        <v>18958</v>
      </c>
      <c r="M5208" t="s">
        <v>18958</v>
      </c>
      <c r="O5208" t="s">
        <v>26526</v>
      </c>
      <c r="P5208" t="s">
        <v>26560</v>
      </c>
      <c r="R5208" t="s">
        <v>26583</v>
      </c>
      <c r="S5208" t="s">
        <v>18958</v>
      </c>
      <c r="U5208" t="s">
        <v>26604</v>
      </c>
      <c r="V5208" t="s">
        <v>26610</v>
      </c>
      <c r="W5208" t="s">
        <v>714</v>
      </c>
      <c r="X5208">
        <v>1333.51</v>
      </c>
      <c r="Y5208" t="s">
        <v>26652</v>
      </c>
      <c r="Z5208" t="s">
        <v>26663</v>
      </c>
      <c r="AB5208" t="s">
        <v>30920</v>
      </c>
      <c r="AC5208" t="s">
        <v>19330</v>
      </c>
      <c r="AD5208" t="s">
        <v>41150</v>
      </c>
      <c r="AE5208">
        <v>71</v>
      </c>
      <c r="AF5208" t="s">
        <v>45541</v>
      </c>
      <c r="AG5208" t="s">
        <v>19330</v>
      </c>
      <c r="AH5208">
        <v>12</v>
      </c>
      <c r="AI5208">
        <v>2</v>
      </c>
      <c r="AJ5208">
        <v>0</v>
      </c>
      <c r="AK5208">
        <v>248.37</v>
      </c>
      <c r="AM5208" t="s">
        <v>45575</v>
      </c>
      <c r="AN5208" t="s">
        <v>7439</v>
      </c>
      <c r="AO5208">
        <v>42000</v>
      </c>
      <c r="AP5208" t="s">
        <v>45845</v>
      </c>
      <c r="AU5208">
        <v>0</v>
      </c>
      <c r="AW5208" t="s">
        <v>279</v>
      </c>
    </row>
    <row r="5209" spans="1:49">
      <c r="A5209" s="1">
        <f>HYPERLINK("https://lsnyc.legalserver.org/matter/dynamic-profile/view/1890447","19-1890447")</f>
        <v>0</v>
      </c>
      <c r="B5209" t="s">
        <v>243</v>
      </c>
      <c r="C5209" t="s">
        <v>340</v>
      </c>
      <c r="D5209" t="s">
        <v>745</v>
      </c>
      <c r="F5209" t="s">
        <v>3337</v>
      </c>
      <c r="G5209" t="s">
        <v>5136</v>
      </c>
      <c r="H5209" t="s">
        <v>11135</v>
      </c>
      <c r="I5209" t="s">
        <v>17299</v>
      </c>
      <c r="J5209" t="s">
        <v>18894</v>
      </c>
      <c r="K5209">
        <v>11225</v>
      </c>
      <c r="L5209" t="s">
        <v>18958</v>
      </c>
      <c r="M5209" t="s">
        <v>18958</v>
      </c>
      <c r="O5209" t="s">
        <v>26528</v>
      </c>
      <c r="P5209" t="s">
        <v>26560</v>
      </c>
      <c r="R5209" t="s">
        <v>26578</v>
      </c>
      <c r="U5209" t="s">
        <v>26604</v>
      </c>
      <c r="W5209" t="s">
        <v>714</v>
      </c>
      <c r="X5209">
        <v>838.9400000000001</v>
      </c>
      <c r="Y5209" t="s">
        <v>26652</v>
      </c>
      <c r="AB5209" t="s">
        <v>27657</v>
      </c>
      <c r="AE5209">
        <v>0</v>
      </c>
      <c r="AH5209">
        <v>39</v>
      </c>
      <c r="AI5209">
        <v>2</v>
      </c>
      <c r="AJ5209">
        <v>0</v>
      </c>
      <c r="AK5209">
        <v>225.59</v>
      </c>
      <c r="AN5209" t="s">
        <v>7439</v>
      </c>
      <c r="AO5209">
        <v>38148</v>
      </c>
      <c r="AU5209">
        <v>0</v>
      </c>
      <c r="AW5209" t="s">
        <v>219</v>
      </c>
    </row>
    <row r="5210" spans="1:49">
      <c r="A5210" s="1">
        <f>HYPERLINK("https://lsnyc.legalserver.org/matter/dynamic-profile/view/1890592","19-1890592")</f>
        <v>0</v>
      </c>
      <c r="B5210" t="s">
        <v>243</v>
      </c>
      <c r="C5210" t="s">
        <v>340</v>
      </c>
      <c r="D5210" t="s">
        <v>745</v>
      </c>
      <c r="F5210" t="s">
        <v>3337</v>
      </c>
      <c r="G5210" t="s">
        <v>5136</v>
      </c>
      <c r="H5210" t="s">
        <v>11135</v>
      </c>
      <c r="I5210" t="s">
        <v>17299</v>
      </c>
      <c r="J5210" t="s">
        <v>18894</v>
      </c>
      <c r="K5210">
        <v>11225</v>
      </c>
      <c r="L5210" t="s">
        <v>18958</v>
      </c>
      <c r="M5210" t="s">
        <v>18958</v>
      </c>
      <c r="O5210" t="s">
        <v>26534</v>
      </c>
      <c r="P5210" t="s">
        <v>26561</v>
      </c>
      <c r="R5210" t="s">
        <v>26578</v>
      </c>
      <c r="S5210" t="s">
        <v>18958</v>
      </c>
      <c r="U5210" t="s">
        <v>26604</v>
      </c>
      <c r="W5210" t="s">
        <v>714</v>
      </c>
      <c r="X5210">
        <v>838.9400000000001</v>
      </c>
      <c r="Y5210" t="s">
        <v>26652</v>
      </c>
      <c r="AB5210" t="s">
        <v>30921</v>
      </c>
      <c r="AE5210">
        <v>0</v>
      </c>
      <c r="AH5210">
        <v>39</v>
      </c>
      <c r="AI5210">
        <v>2</v>
      </c>
      <c r="AJ5210">
        <v>0</v>
      </c>
      <c r="AK5210">
        <v>225.59</v>
      </c>
      <c r="AN5210" t="s">
        <v>7439</v>
      </c>
      <c r="AO5210">
        <v>38148</v>
      </c>
      <c r="AU5210">
        <v>0</v>
      </c>
      <c r="AW5210" t="s">
        <v>219</v>
      </c>
    </row>
    <row r="5211" spans="1:49">
      <c r="A5211" s="1">
        <f>HYPERLINK("https://lsnyc.legalserver.org/matter/dynamic-profile/view/1858176","18-1858176")</f>
        <v>0</v>
      </c>
      <c r="B5211" t="s">
        <v>52</v>
      </c>
      <c r="C5211" t="s">
        <v>340</v>
      </c>
      <c r="D5211" t="s">
        <v>749</v>
      </c>
      <c r="F5211" t="s">
        <v>1087</v>
      </c>
      <c r="G5211" t="s">
        <v>6524</v>
      </c>
      <c r="H5211" t="s">
        <v>13558</v>
      </c>
      <c r="I5211" t="s">
        <v>17356</v>
      </c>
      <c r="J5211" t="s">
        <v>18892</v>
      </c>
      <c r="K5211">
        <v>10467</v>
      </c>
      <c r="L5211" t="s">
        <v>18958</v>
      </c>
      <c r="M5211" t="s">
        <v>18960</v>
      </c>
      <c r="N5211" t="s">
        <v>22893</v>
      </c>
      <c r="O5211" t="s">
        <v>26524</v>
      </c>
      <c r="P5211" t="s">
        <v>26560</v>
      </c>
      <c r="R5211" t="s">
        <v>26579</v>
      </c>
      <c r="S5211" t="s">
        <v>18959</v>
      </c>
      <c r="U5211" t="s">
        <v>26604</v>
      </c>
      <c r="V5211" t="s">
        <v>26610</v>
      </c>
      <c r="W5211" t="s">
        <v>744</v>
      </c>
      <c r="X5211">
        <v>1028.13</v>
      </c>
      <c r="Y5211" t="s">
        <v>26650</v>
      </c>
      <c r="Z5211" t="s">
        <v>26662</v>
      </c>
      <c r="AB5211" t="s">
        <v>30922</v>
      </c>
      <c r="AC5211" t="s">
        <v>35942</v>
      </c>
      <c r="AD5211" t="s">
        <v>41151</v>
      </c>
      <c r="AE5211">
        <v>91</v>
      </c>
      <c r="AF5211" t="s">
        <v>45541</v>
      </c>
      <c r="AG5211" t="s">
        <v>26530</v>
      </c>
      <c r="AH5211">
        <v>26</v>
      </c>
      <c r="AI5211">
        <v>1</v>
      </c>
      <c r="AJ5211">
        <v>0</v>
      </c>
      <c r="AK5211">
        <v>83.08</v>
      </c>
      <c r="AN5211" t="s">
        <v>7439</v>
      </c>
      <c r="AO5211">
        <v>10020</v>
      </c>
      <c r="AP5211" t="s">
        <v>45620</v>
      </c>
      <c r="AU5211">
        <v>13.78</v>
      </c>
      <c r="AV5211" t="s">
        <v>682</v>
      </c>
      <c r="AW5211" t="s">
        <v>46848</v>
      </c>
    </row>
    <row r="5212" spans="1:49">
      <c r="A5212" s="1">
        <f>HYPERLINK("https://lsnyc.legalserver.org/matter/dynamic-profile/view/1878293","18-1878293")</f>
        <v>0</v>
      </c>
      <c r="B5212" t="s">
        <v>204</v>
      </c>
      <c r="C5212" t="s">
        <v>341</v>
      </c>
      <c r="D5212" t="s">
        <v>596</v>
      </c>
      <c r="E5212" t="s">
        <v>682</v>
      </c>
      <c r="F5212" t="s">
        <v>3338</v>
      </c>
      <c r="G5212" t="s">
        <v>6648</v>
      </c>
      <c r="H5212" t="s">
        <v>13559</v>
      </c>
      <c r="I5212">
        <v>511</v>
      </c>
      <c r="J5212" t="s">
        <v>18894</v>
      </c>
      <c r="K5212">
        <v>11216</v>
      </c>
      <c r="L5212" t="s">
        <v>18958</v>
      </c>
      <c r="M5212" t="s">
        <v>18958</v>
      </c>
      <c r="N5212" t="s">
        <v>22894</v>
      </c>
      <c r="O5212" t="s">
        <v>26523</v>
      </c>
      <c r="Q5212" t="s">
        <v>26568</v>
      </c>
      <c r="R5212" t="s">
        <v>26588</v>
      </c>
      <c r="U5212" t="s">
        <v>26604</v>
      </c>
      <c r="W5212" t="s">
        <v>744</v>
      </c>
      <c r="X5212">
        <v>1800</v>
      </c>
      <c r="Y5212" t="s">
        <v>26652</v>
      </c>
      <c r="Z5212" t="s">
        <v>26659</v>
      </c>
      <c r="AA5212" t="s">
        <v>26678</v>
      </c>
      <c r="AB5212" t="s">
        <v>30923</v>
      </c>
      <c r="AD5212" t="s">
        <v>41152</v>
      </c>
      <c r="AE5212">
        <v>70</v>
      </c>
      <c r="AH5212">
        <v>11</v>
      </c>
      <c r="AI5212">
        <v>1</v>
      </c>
      <c r="AJ5212">
        <v>0</v>
      </c>
      <c r="AK5212">
        <v>151.53</v>
      </c>
      <c r="AN5212" t="s">
        <v>7439</v>
      </c>
      <c r="AO5212">
        <v>18396</v>
      </c>
      <c r="AS5212" t="s">
        <v>46499</v>
      </c>
      <c r="AT5212" t="s">
        <v>46543</v>
      </c>
      <c r="AU5212">
        <v>19.1</v>
      </c>
      <c r="AV5212" t="s">
        <v>688</v>
      </c>
      <c r="AW5212" t="s">
        <v>46853</v>
      </c>
    </row>
    <row r="5213" spans="1:49">
      <c r="A5213" s="1">
        <f>HYPERLINK("https://lsnyc.legalserver.org/matter/dynamic-profile/view/1885563","18-1885563")</f>
        <v>0</v>
      </c>
      <c r="B5213" t="s">
        <v>247</v>
      </c>
      <c r="C5213" t="s">
        <v>341</v>
      </c>
      <c r="D5213" t="s">
        <v>691</v>
      </c>
      <c r="E5213" t="s">
        <v>754</v>
      </c>
      <c r="F5213" t="s">
        <v>3339</v>
      </c>
      <c r="G5213" t="s">
        <v>5677</v>
      </c>
      <c r="H5213" t="s">
        <v>9888</v>
      </c>
      <c r="I5213" t="s">
        <v>17484</v>
      </c>
      <c r="J5213" t="s">
        <v>18898</v>
      </c>
      <c r="K5213">
        <v>11691</v>
      </c>
      <c r="L5213" t="s">
        <v>18958</v>
      </c>
      <c r="M5213" t="s">
        <v>18958</v>
      </c>
      <c r="N5213" t="s">
        <v>22895</v>
      </c>
      <c r="O5213" t="s">
        <v>26523</v>
      </c>
      <c r="P5213" t="s">
        <v>26560</v>
      </c>
      <c r="Q5213" t="s">
        <v>26573</v>
      </c>
      <c r="R5213" t="s">
        <v>26578</v>
      </c>
      <c r="S5213" t="s">
        <v>18959</v>
      </c>
      <c r="U5213" t="s">
        <v>26604</v>
      </c>
      <c r="V5213" t="s">
        <v>26609</v>
      </c>
      <c r="W5213" t="s">
        <v>744</v>
      </c>
      <c r="X5213">
        <v>1497</v>
      </c>
      <c r="Y5213" t="s">
        <v>26653</v>
      </c>
      <c r="Z5213" t="s">
        <v>26664</v>
      </c>
      <c r="AA5213" t="s">
        <v>26680</v>
      </c>
      <c r="AB5213" t="s">
        <v>30924</v>
      </c>
      <c r="AC5213" t="s">
        <v>35943</v>
      </c>
      <c r="AD5213" t="s">
        <v>41153</v>
      </c>
      <c r="AE5213">
        <v>231</v>
      </c>
      <c r="AF5213" t="s">
        <v>45550</v>
      </c>
      <c r="AG5213" t="s">
        <v>45556</v>
      </c>
      <c r="AH5213">
        <v>2</v>
      </c>
      <c r="AI5213">
        <v>2</v>
      </c>
      <c r="AJ5213">
        <v>2</v>
      </c>
      <c r="AK5213">
        <v>40.7</v>
      </c>
      <c r="AN5213" t="s">
        <v>7439</v>
      </c>
      <c r="AO5213">
        <v>10216</v>
      </c>
      <c r="AQ5213" t="s">
        <v>46359</v>
      </c>
      <c r="AR5213" t="s">
        <v>46379</v>
      </c>
      <c r="AS5213" t="s">
        <v>46499</v>
      </c>
      <c r="AT5213" t="s">
        <v>46525</v>
      </c>
      <c r="AU5213">
        <v>7.28</v>
      </c>
      <c r="AV5213" t="s">
        <v>744</v>
      </c>
      <c r="AW5213" t="s">
        <v>208</v>
      </c>
    </row>
    <row r="5214" spans="1:49">
      <c r="A5214" s="1">
        <f>HYPERLINK("https://lsnyc.legalserver.org/matter/dynamic-profile/view/1886259","18-1886259")</f>
        <v>0</v>
      </c>
      <c r="B5214" t="s">
        <v>200</v>
      </c>
      <c r="C5214" t="s">
        <v>341</v>
      </c>
      <c r="D5214" t="s">
        <v>684</v>
      </c>
      <c r="E5214" t="s">
        <v>744</v>
      </c>
      <c r="F5214" t="s">
        <v>3340</v>
      </c>
      <c r="G5214" t="s">
        <v>7592</v>
      </c>
      <c r="H5214" t="s">
        <v>13560</v>
      </c>
      <c r="I5214" t="s">
        <v>17334</v>
      </c>
      <c r="J5214" t="s">
        <v>18894</v>
      </c>
      <c r="K5214">
        <v>11212</v>
      </c>
      <c r="L5214" t="s">
        <v>18958</v>
      </c>
      <c r="M5214" t="s">
        <v>18958</v>
      </c>
      <c r="N5214" t="s">
        <v>22896</v>
      </c>
      <c r="O5214" t="s">
        <v>26523</v>
      </c>
      <c r="P5214" t="s">
        <v>26564</v>
      </c>
      <c r="Q5214" t="s">
        <v>26570</v>
      </c>
      <c r="R5214" t="s">
        <v>26578</v>
      </c>
      <c r="S5214" t="s">
        <v>18959</v>
      </c>
      <c r="U5214" t="s">
        <v>26604</v>
      </c>
      <c r="V5214" t="s">
        <v>26610</v>
      </c>
      <c r="W5214" t="s">
        <v>744</v>
      </c>
      <c r="X5214">
        <v>1750</v>
      </c>
      <c r="Y5214" t="s">
        <v>26652</v>
      </c>
      <c r="AA5214" t="s">
        <v>26683</v>
      </c>
      <c r="AB5214" t="s">
        <v>30925</v>
      </c>
      <c r="AC5214">
        <v>6359075</v>
      </c>
      <c r="AD5214" t="s">
        <v>41154</v>
      </c>
      <c r="AE5214">
        <v>4</v>
      </c>
      <c r="AF5214" t="s">
        <v>45547</v>
      </c>
      <c r="AG5214" t="s">
        <v>45557</v>
      </c>
      <c r="AH5214">
        <v>3</v>
      </c>
      <c r="AI5214">
        <v>1</v>
      </c>
      <c r="AJ5214">
        <v>1</v>
      </c>
      <c r="AK5214">
        <v>14.22</v>
      </c>
      <c r="AN5214" t="s">
        <v>7439</v>
      </c>
      <c r="AO5214">
        <v>2340</v>
      </c>
      <c r="AU5214">
        <v>5.55</v>
      </c>
      <c r="AV5214" t="s">
        <v>693</v>
      </c>
      <c r="AW5214" t="s">
        <v>46857</v>
      </c>
    </row>
    <row r="5215" spans="1:49">
      <c r="A5215" s="1">
        <f>HYPERLINK("https://lsnyc.legalserver.org/matter/dynamic-profile/view/1886546","18-1886546")</f>
        <v>0</v>
      </c>
      <c r="B5215" t="s">
        <v>142</v>
      </c>
      <c r="C5215" t="s">
        <v>341</v>
      </c>
      <c r="D5215" t="s">
        <v>699</v>
      </c>
      <c r="E5215" t="s">
        <v>740</v>
      </c>
      <c r="F5215" t="s">
        <v>1283</v>
      </c>
      <c r="G5215" t="s">
        <v>2749</v>
      </c>
      <c r="H5215" t="s">
        <v>13561</v>
      </c>
      <c r="I5215">
        <v>1</v>
      </c>
      <c r="J5215" t="s">
        <v>18920</v>
      </c>
      <c r="K5215">
        <v>11369</v>
      </c>
      <c r="L5215" t="s">
        <v>18958</v>
      </c>
      <c r="M5215" t="s">
        <v>18958</v>
      </c>
      <c r="N5215" t="s">
        <v>22897</v>
      </c>
      <c r="O5215" t="s">
        <v>26524</v>
      </c>
      <c r="P5215" t="s">
        <v>26564</v>
      </c>
      <c r="Q5215" t="s">
        <v>26570</v>
      </c>
      <c r="R5215" t="s">
        <v>26584</v>
      </c>
      <c r="S5215" t="s">
        <v>18959</v>
      </c>
      <c r="U5215" t="s">
        <v>26604</v>
      </c>
      <c r="V5215" t="s">
        <v>26610</v>
      </c>
      <c r="W5215" t="s">
        <v>744</v>
      </c>
      <c r="X5215">
        <v>1260</v>
      </c>
      <c r="Y5215" t="s">
        <v>26653</v>
      </c>
      <c r="Z5215" t="s">
        <v>26664</v>
      </c>
      <c r="AA5215" t="s">
        <v>26683</v>
      </c>
      <c r="AB5215" t="s">
        <v>30926</v>
      </c>
      <c r="AC5215" t="s">
        <v>35944</v>
      </c>
      <c r="AD5215" t="s">
        <v>41155</v>
      </c>
      <c r="AE5215">
        <v>3</v>
      </c>
      <c r="AF5215" t="s">
        <v>20460</v>
      </c>
      <c r="AG5215" t="s">
        <v>19330</v>
      </c>
      <c r="AH5215">
        <v>4</v>
      </c>
      <c r="AI5215">
        <v>2</v>
      </c>
      <c r="AJ5215">
        <v>0</v>
      </c>
      <c r="AK5215">
        <v>97.20999999999999</v>
      </c>
      <c r="AN5215" t="s">
        <v>45581</v>
      </c>
      <c r="AO5215">
        <v>16000</v>
      </c>
      <c r="AU5215">
        <v>1.2</v>
      </c>
      <c r="AV5215" t="s">
        <v>740</v>
      </c>
      <c r="AW5215" t="s">
        <v>208</v>
      </c>
    </row>
    <row r="5216" spans="1:49">
      <c r="A5216" s="1">
        <f>HYPERLINK("https://lsnyc.legalserver.org/matter/dynamic-profile/view/1889572","19-1889572")</f>
        <v>0</v>
      </c>
      <c r="B5216" t="s">
        <v>262</v>
      </c>
      <c r="C5216" t="s">
        <v>340</v>
      </c>
      <c r="D5216" t="s">
        <v>677</v>
      </c>
      <c r="F5216" t="s">
        <v>1283</v>
      </c>
      <c r="G5216" t="s">
        <v>7593</v>
      </c>
      <c r="H5216" t="s">
        <v>13562</v>
      </c>
      <c r="J5216" t="s">
        <v>18892</v>
      </c>
      <c r="K5216">
        <v>10459</v>
      </c>
      <c r="L5216" t="s">
        <v>18958</v>
      </c>
      <c r="M5216" t="s">
        <v>18958</v>
      </c>
      <c r="N5216" t="s">
        <v>22898</v>
      </c>
      <c r="O5216" t="s">
        <v>26523</v>
      </c>
      <c r="P5216" t="s">
        <v>26560</v>
      </c>
      <c r="R5216" t="s">
        <v>26577</v>
      </c>
      <c r="S5216" t="s">
        <v>18959</v>
      </c>
      <c r="U5216" t="s">
        <v>26604</v>
      </c>
      <c r="V5216" t="s">
        <v>26611</v>
      </c>
      <c r="W5216" t="s">
        <v>744</v>
      </c>
      <c r="X5216">
        <v>1000</v>
      </c>
      <c r="Y5216" t="s">
        <v>26650</v>
      </c>
      <c r="Z5216" t="s">
        <v>26668</v>
      </c>
      <c r="AB5216" t="s">
        <v>30927</v>
      </c>
      <c r="AD5216" t="s">
        <v>41156</v>
      </c>
      <c r="AE5216">
        <v>0</v>
      </c>
      <c r="AF5216" t="s">
        <v>20460</v>
      </c>
      <c r="AG5216" t="s">
        <v>45557</v>
      </c>
      <c r="AH5216">
        <v>1</v>
      </c>
      <c r="AI5216">
        <v>1</v>
      </c>
      <c r="AJ5216">
        <v>1</v>
      </c>
      <c r="AK5216">
        <v>20.65</v>
      </c>
      <c r="AN5216" t="s">
        <v>7439</v>
      </c>
      <c r="AO5216">
        <v>3492</v>
      </c>
      <c r="AU5216">
        <v>42.7</v>
      </c>
      <c r="AV5216" t="s">
        <v>803</v>
      </c>
      <c r="AW5216" t="s">
        <v>336</v>
      </c>
    </row>
    <row r="5217" spans="1:50">
      <c r="A5217" s="1">
        <f>HYPERLINK("https://lsnyc.legalserver.org/matter/dynamic-profile/view/1889917","19-1889917")</f>
        <v>0</v>
      </c>
      <c r="B5217" t="s">
        <v>260</v>
      </c>
      <c r="C5217" t="s">
        <v>341</v>
      </c>
      <c r="D5217" t="s">
        <v>744</v>
      </c>
      <c r="E5217" t="s">
        <v>821</v>
      </c>
      <c r="F5217" t="s">
        <v>1125</v>
      </c>
      <c r="G5217" t="s">
        <v>5048</v>
      </c>
      <c r="H5217" t="s">
        <v>13545</v>
      </c>
      <c r="I5217" t="s">
        <v>17283</v>
      </c>
      <c r="J5217" t="s">
        <v>18893</v>
      </c>
      <c r="K5217">
        <v>10034</v>
      </c>
      <c r="L5217" t="s">
        <v>18958</v>
      </c>
      <c r="M5217" t="s">
        <v>18960</v>
      </c>
      <c r="O5217" t="s">
        <v>26534</v>
      </c>
      <c r="P5217" t="s">
        <v>26565</v>
      </c>
      <c r="Q5217" t="s">
        <v>26571</v>
      </c>
      <c r="R5217" t="s">
        <v>26578</v>
      </c>
      <c r="S5217" t="s">
        <v>18959</v>
      </c>
      <c r="U5217" t="s">
        <v>26604</v>
      </c>
      <c r="W5217" t="s">
        <v>744</v>
      </c>
      <c r="X5217">
        <v>1231.92</v>
      </c>
      <c r="Y5217" t="s">
        <v>26651</v>
      </c>
      <c r="Z5217" t="s">
        <v>26661</v>
      </c>
      <c r="AA5217" t="s">
        <v>26682</v>
      </c>
      <c r="AB5217" t="s">
        <v>29862</v>
      </c>
      <c r="AD5217" t="s">
        <v>41157</v>
      </c>
      <c r="AE5217">
        <v>42</v>
      </c>
      <c r="AF5217" t="s">
        <v>45541</v>
      </c>
      <c r="AG5217" t="s">
        <v>45559</v>
      </c>
      <c r="AH5217">
        <v>14</v>
      </c>
      <c r="AI5217">
        <v>1</v>
      </c>
      <c r="AJ5217">
        <v>0</v>
      </c>
      <c r="AK5217">
        <v>111.45</v>
      </c>
      <c r="AN5217" t="s">
        <v>45581</v>
      </c>
      <c r="AO5217">
        <v>13920</v>
      </c>
      <c r="AU5217">
        <v>9.1</v>
      </c>
      <c r="AV5217" t="s">
        <v>835</v>
      </c>
      <c r="AW5217" t="s">
        <v>260</v>
      </c>
      <c r="AX5217" t="s">
        <v>46897</v>
      </c>
    </row>
    <row r="5218" spans="1:50">
      <c r="A5218" s="1">
        <f>HYPERLINK("https://lsnyc.legalserver.org/matter/dynamic-profile/view/1890030","19-1890030")</f>
        <v>0</v>
      </c>
      <c r="B5218" t="s">
        <v>72</v>
      </c>
      <c r="C5218" t="s">
        <v>341</v>
      </c>
      <c r="D5218" t="s">
        <v>744</v>
      </c>
      <c r="E5218" t="s">
        <v>821</v>
      </c>
      <c r="F5218" t="s">
        <v>1191</v>
      </c>
      <c r="G5218" t="s">
        <v>7594</v>
      </c>
      <c r="H5218" t="s">
        <v>13563</v>
      </c>
      <c r="I5218" t="s">
        <v>17272</v>
      </c>
      <c r="J5218" t="s">
        <v>18893</v>
      </c>
      <c r="K5218">
        <v>10040</v>
      </c>
      <c r="L5218" t="s">
        <v>18958</v>
      </c>
      <c r="M5218" t="s">
        <v>18958</v>
      </c>
      <c r="P5218" t="s">
        <v>26564</v>
      </c>
      <c r="Q5218" t="s">
        <v>26570</v>
      </c>
      <c r="R5218" t="s">
        <v>26578</v>
      </c>
      <c r="S5218" t="s">
        <v>18959</v>
      </c>
      <c r="U5218" t="s">
        <v>26604</v>
      </c>
      <c r="W5218" t="s">
        <v>744</v>
      </c>
      <c r="X5218">
        <v>714</v>
      </c>
      <c r="Y5218" t="s">
        <v>26651</v>
      </c>
      <c r="Z5218" t="s">
        <v>26661</v>
      </c>
      <c r="AA5218" t="s">
        <v>26683</v>
      </c>
      <c r="AB5218" t="s">
        <v>30928</v>
      </c>
      <c r="AD5218" t="s">
        <v>41158</v>
      </c>
      <c r="AE5218">
        <v>68</v>
      </c>
      <c r="AF5218" t="s">
        <v>45541</v>
      </c>
      <c r="AG5218" t="s">
        <v>45559</v>
      </c>
      <c r="AH5218">
        <v>23</v>
      </c>
      <c r="AI5218">
        <v>2</v>
      </c>
      <c r="AJ5218">
        <v>0</v>
      </c>
      <c r="AK5218">
        <v>51.09</v>
      </c>
      <c r="AN5218" t="s">
        <v>7439</v>
      </c>
      <c r="AO5218">
        <v>8640</v>
      </c>
      <c r="AU5218">
        <v>0.2</v>
      </c>
      <c r="AV5218" t="s">
        <v>747</v>
      </c>
      <c r="AW5218" t="s">
        <v>46840</v>
      </c>
      <c r="AX5218" t="s">
        <v>46897</v>
      </c>
    </row>
    <row r="5219" spans="1:50">
      <c r="A5219" s="1">
        <f>HYPERLINK("https://lsnyc.legalserver.org/matter/dynamic-profile/view/1890003","19-1890003")</f>
        <v>0</v>
      </c>
      <c r="B5219" t="s">
        <v>72</v>
      </c>
      <c r="C5219" t="s">
        <v>341</v>
      </c>
      <c r="D5219" t="s">
        <v>744</v>
      </c>
      <c r="E5219" t="s">
        <v>821</v>
      </c>
      <c r="F5219" t="s">
        <v>3229</v>
      </c>
      <c r="G5219" t="s">
        <v>7595</v>
      </c>
      <c r="H5219" t="s">
        <v>13564</v>
      </c>
      <c r="I5219">
        <v>53</v>
      </c>
      <c r="J5219" t="s">
        <v>18893</v>
      </c>
      <c r="K5219">
        <v>10034</v>
      </c>
      <c r="L5219" t="s">
        <v>18958</v>
      </c>
      <c r="M5219" t="s">
        <v>18958</v>
      </c>
      <c r="O5219" t="s">
        <v>26523</v>
      </c>
      <c r="P5219" t="s">
        <v>26564</v>
      </c>
      <c r="Q5219" t="s">
        <v>26570</v>
      </c>
      <c r="R5219" t="s">
        <v>26578</v>
      </c>
      <c r="S5219" t="s">
        <v>18959</v>
      </c>
      <c r="U5219" t="s">
        <v>26604</v>
      </c>
      <c r="W5219" t="s">
        <v>744</v>
      </c>
      <c r="X5219">
        <v>930.27</v>
      </c>
      <c r="Y5219" t="s">
        <v>26651</v>
      </c>
      <c r="Z5219" t="s">
        <v>26659</v>
      </c>
      <c r="AA5219" t="s">
        <v>26683</v>
      </c>
      <c r="AB5219" t="s">
        <v>30929</v>
      </c>
      <c r="AD5219" t="s">
        <v>41159</v>
      </c>
      <c r="AE5219">
        <v>20</v>
      </c>
      <c r="AF5219" t="s">
        <v>45541</v>
      </c>
      <c r="AG5219" t="s">
        <v>19330</v>
      </c>
      <c r="AH5219">
        <v>22</v>
      </c>
      <c r="AI5219">
        <v>4</v>
      </c>
      <c r="AJ5219">
        <v>1</v>
      </c>
      <c r="AK5219">
        <v>198.59</v>
      </c>
      <c r="AN5219" t="s">
        <v>45581</v>
      </c>
      <c r="AO5219">
        <v>59916</v>
      </c>
      <c r="AU5219">
        <v>0.1</v>
      </c>
      <c r="AV5219" t="s">
        <v>747</v>
      </c>
      <c r="AW5219" t="s">
        <v>46840</v>
      </c>
      <c r="AX5219" t="s">
        <v>46897</v>
      </c>
    </row>
    <row r="5220" spans="1:50">
      <c r="A5220" s="1">
        <f>HYPERLINK("https://lsnyc.legalserver.org/matter/dynamic-profile/view/1890018","19-1890018")</f>
        <v>0</v>
      </c>
      <c r="B5220" t="s">
        <v>72</v>
      </c>
      <c r="C5220" t="s">
        <v>341</v>
      </c>
      <c r="D5220" t="s">
        <v>744</v>
      </c>
      <c r="E5220" t="s">
        <v>821</v>
      </c>
      <c r="F5220" t="s">
        <v>1345</v>
      </c>
      <c r="G5220" t="s">
        <v>2925</v>
      </c>
      <c r="H5220" t="s">
        <v>13565</v>
      </c>
      <c r="I5220" t="s">
        <v>17388</v>
      </c>
      <c r="J5220" t="s">
        <v>18893</v>
      </c>
      <c r="K5220">
        <v>10032</v>
      </c>
      <c r="L5220" t="s">
        <v>18958</v>
      </c>
      <c r="M5220" t="s">
        <v>18958</v>
      </c>
      <c r="O5220" t="s">
        <v>26524</v>
      </c>
      <c r="P5220" t="s">
        <v>26564</v>
      </c>
      <c r="Q5220" t="s">
        <v>26570</v>
      </c>
      <c r="R5220" t="s">
        <v>26578</v>
      </c>
      <c r="S5220" t="s">
        <v>18959</v>
      </c>
      <c r="U5220" t="s">
        <v>26604</v>
      </c>
      <c r="W5220" t="s">
        <v>744</v>
      </c>
      <c r="X5220">
        <v>909.6799999999999</v>
      </c>
      <c r="Y5220" t="s">
        <v>26651</v>
      </c>
      <c r="Z5220" t="s">
        <v>26661</v>
      </c>
      <c r="AA5220" t="s">
        <v>26683</v>
      </c>
      <c r="AB5220" t="s">
        <v>30930</v>
      </c>
      <c r="AD5220" t="s">
        <v>41160</v>
      </c>
      <c r="AE5220">
        <v>42</v>
      </c>
      <c r="AF5220" t="s">
        <v>45541</v>
      </c>
      <c r="AG5220" t="s">
        <v>19330</v>
      </c>
      <c r="AH5220">
        <v>37</v>
      </c>
      <c r="AI5220">
        <v>3</v>
      </c>
      <c r="AJ5220">
        <v>0</v>
      </c>
      <c r="AK5220">
        <v>290.67</v>
      </c>
      <c r="AN5220" t="s">
        <v>45581</v>
      </c>
      <c r="AO5220">
        <v>62000</v>
      </c>
      <c r="AU5220">
        <v>0.45</v>
      </c>
      <c r="AV5220" t="s">
        <v>747</v>
      </c>
      <c r="AW5220" t="s">
        <v>46840</v>
      </c>
      <c r="AX5220" t="s">
        <v>46897</v>
      </c>
    </row>
    <row r="5221" spans="1:50">
      <c r="A5221" s="1">
        <f>HYPERLINK("https://lsnyc.legalserver.org/matter/dynamic-profile/view/1889914","19-1889914")</f>
        <v>0</v>
      </c>
      <c r="B5221" t="s">
        <v>74</v>
      </c>
      <c r="C5221" t="s">
        <v>341</v>
      </c>
      <c r="D5221" t="s">
        <v>744</v>
      </c>
      <c r="E5221" t="s">
        <v>832</v>
      </c>
      <c r="F5221" t="s">
        <v>1070</v>
      </c>
      <c r="G5221" t="s">
        <v>5688</v>
      </c>
      <c r="H5221" t="s">
        <v>13566</v>
      </c>
      <c r="I5221" t="s">
        <v>17316</v>
      </c>
      <c r="J5221" t="s">
        <v>18893</v>
      </c>
      <c r="K5221">
        <v>10034</v>
      </c>
      <c r="L5221" t="s">
        <v>18958</v>
      </c>
      <c r="M5221" t="s">
        <v>18958</v>
      </c>
      <c r="O5221" t="s">
        <v>26529</v>
      </c>
      <c r="P5221" t="s">
        <v>26560</v>
      </c>
      <c r="Q5221" t="s">
        <v>26568</v>
      </c>
      <c r="R5221" t="s">
        <v>26578</v>
      </c>
      <c r="S5221" t="s">
        <v>18959</v>
      </c>
      <c r="U5221" t="s">
        <v>26604</v>
      </c>
      <c r="W5221" t="s">
        <v>744</v>
      </c>
      <c r="X5221">
        <v>792.86</v>
      </c>
      <c r="Y5221" t="s">
        <v>26651</v>
      </c>
      <c r="Z5221" t="s">
        <v>26661</v>
      </c>
      <c r="AA5221" t="s">
        <v>26678</v>
      </c>
      <c r="AB5221" t="s">
        <v>30931</v>
      </c>
      <c r="AD5221" t="s">
        <v>41161</v>
      </c>
      <c r="AE5221">
        <v>31</v>
      </c>
      <c r="AF5221" t="s">
        <v>45541</v>
      </c>
      <c r="AG5221" t="s">
        <v>19330</v>
      </c>
      <c r="AH5221">
        <v>35</v>
      </c>
      <c r="AI5221">
        <v>3</v>
      </c>
      <c r="AJ5221">
        <v>2</v>
      </c>
      <c r="AK5221">
        <v>99.44</v>
      </c>
      <c r="AN5221" t="s">
        <v>45581</v>
      </c>
      <c r="AO5221">
        <v>30000</v>
      </c>
      <c r="AU5221">
        <v>37.5</v>
      </c>
      <c r="AV5221" t="s">
        <v>804</v>
      </c>
      <c r="AW5221" t="s">
        <v>46840</v>
      </c>
      <c r="AX5221" t="s">
        <v>46897</v>
      </c>
    </row>
    <row r="5222" spans="1:50">
      <c r="A5222" s="1">
        <f>HYPERLINK("https://lsnyc.legalserver.org/matter/dynamic-profile/view/1889884","19-1889884")</f>
        <v>0</v>
      </c>
      <c r="B5222" t="s">
        <v>214</v>
      </c>
      <c r="C5222" t="s">
        <v>341</v>
      </c>
      <c r="D5222" t="s">
        <v>744</v>
      </c>
      <c r="E5222" t="s">
        <v>744</v>
      </c>
      <c r="F5222" t="s">
        <v>979</v>
      </c>
      <c r="G5222" t="s">
        <v>7596</v>
      </c>
      <c r="H5222" t="s">
        <v>13567</v>
      </c>
      <c r="I5222" t="s">
        <v>17533</v>
      </c>
      <c r="J5222" t="s">
        <v>7026</v>
      </c>
      <c r="K5222">
        <v>11368</v>
      </c>
      <c r="L5222" t="s">
        <v>18958</v>
      </c>
      <c r="M5222" t="s">
        <v>18958</v>
      </c>
      <c r="N5222" t="s">
        <v>19045</v>
      </c>
      <c r="O5222" t="s">
        <v>18997</v>
      </c>
      <c r="P5222" t="s">
        <v>26564</v>
      </c>
      <c r="Q5222" t="s">
        <v>26570</v>
      </c>
      <c r="R5222" t="s">
        <v>26589</v>
      </c>
      <c r="S5222" t="s">
        <v>18959</v>
      </c>
      <c r="U5222" t="s">
        <v>26604</v>
      </c>
      <c r="V5222" t="s">
        <v>26610</v>
      </c>
      <c r="W5222" t="s">
        <v>744</v>
      </c>
      <c r="X5222">
        <v>1620</v>
      </c>
      <c r="Y5222" t="s">
        <v>26653</v>
      </c>
      <c r="Z5222" t="s">
        <v>26671</v>
      </c>
      <c r="AA5222" t="s">
        <v>26683</v>
      </c>
      <c r="AB5222" t="s">
        <v>30932</v>
      </c>
      <c r="AD5222" t="s">
        <v>41162</v>
      </c>
      <c r="AE5222">
        <v>3</v>
      </c>
      <c r="AF5222" t="s">
        <v>45547</v>
      </c>
      <c r="AG5222" t="s">
        <v>19330</v>
      </c>
      <c r="AH5222">
        <v>4</v>
      </c>
      <c r="AI5222">
        <v>1</v>
      </c>
      <c r="AJ5222">
        <v>2</v>
      </c>
      <c r="AK5222">
        <v>237.98</v>
      </c>
      <c r="AL5222" t="s">
        <v>45567</v>
      </c>
      <c r="AM5222" t="s">
        <v>45577</v>
      </c>
      <c r="AN5222" t="s">
        <v>7439</v>
      </c>
      <c r="AO5222">
        <v>50761.38</v>
      </c>
      <c r="AU5222">
        <v>1.45</v>
      </c>
      <c r="AV5222" t="s">
        <v>744</v>
      </c>
      <c r="AW5222" t="s">
        <v>214</v>
      </c>
    </row>
    <row r="5223" spans="1:50">
      <c r="A5223" s="1">
        <f>HYPERLINK("https://lsnyc.legalserver.org/matter/dynamic-profile/view/1890054","19-1890054")</f>
        <v>0</v>
      </c>
      <c r="B5223" t="s">
        <v>122</v>
      </c>
      <c r="C5223" t="s">
        <v>341</v>
      </c>
      <c r="D5223" t="s">
        <v>744</v>
      </c>
      <c r="E5223" t="s">
        <v>737</v>
      </c>
      <c r="F5223" t="s">
        <v>3341</v>
      </c>
      <c r="G5223" t="s">
        <v>5431</v>
      </c>
      <c r="H5223" t="s">
        <v>13568</v>
      </c>
      <c r="I5223" t="s">
        <v>17814</v>
      </c>
      <c r="J5223" t="s">
        <v>18901</v>
      </c>
      <c r="K5223">
        <v>11435</v>
      </c>
      <c r="L5223" t="s">
        <v>18958</v>
      </c>
      <c r="M5223" t="s">
        <v>18958</v>
      </c>
      <c r="N5223" t="s">
        <v>22899</v>
      </c>
      <c r="O5223" t="s">
        <v>26523</v>
      </c>
      <c r="P5223" t="s">
        <v>26564</v>
      </c>
      <c r="Q5223" t="s">
        <v>26570</v>
      </c>
      <c r="R5223" t="s">
        <v>26584</v>
      </c>
      <c r="S5223" t="s">
        <v>18959</v>
      </c>
      <c r="U5223" t="s">
        <v>26604</v>
      </c>
      <c r="V5223" t="s">
        <v>26610</v>
      </c>
      <c r="W5223" t="s">
        <v>744</v>
      </c>
      <c r="X5223">
        <v>1322.73</v>
      </c>
      <c r="Y5223" t="s">
        <v>26653</v>
      </c>
      <c r="Z5223" t="s">
        <v>26664</v>
      </c>
      <c r="AA5223" t="s">
        <v>26683</v>
      </c>
      <c r="AB5223" t="s">
        <v>30933</v>
      </c>
      <c r="AC5223" t="s">
        <v>35945</v>
      </c>
      <c r="AD5223" t="s">
        <v>41163</v>
      </c>
      <c r="AE5223">
        <v>78</v>
      </c>
      <c r="AF5223" t="s">
        <v>45541</v>
      </c>
      <c r="AG5223" t="s">
        <v>19330</v>
      </c>
      <c r="AH5223">
        <v>20</v>
      </c>
      <c r="AI5223">
        <v>2</v>
      </c>
      <c r="AJ5223">
        <v>0</v>
      </c>
      <c r="AK5223">
        <v>66.11</v>
      </c>
      <c r="AO5223">
        <v>11180</v>
      </c>
      <c r="AU5223">
        <v>3</v>
      </c>
      <c r="AV5223" t="s">
        <v>737</v>
      </c>
      <c r="AW5223" t="s">
        <v>122</v>
      </c>
    </row>
    <row r="5224" spans="1:50">
      <c r="A5224" s="1">
        <f>HYPERLINK("https://lsnyc.legalserver.org/matter/dynamic-profile/view/1889931","19-1889931")</f>
        <v>0</v>
      </c>
      <c r="B5224" t="s">
        <v>235</v>
      </c>
      <c r="C5224" t="s">
        <v>341</v>
      </c>
      <c r="D5224" t="s">
        <v>744</v>
      </c>
      <c r="E5224" t="s">
        <v>720</v>
      </c>
      <c r="F5224" t="s">
        <v>3342</v>
      </c>
      <c r="G5224" t="s">
        <v>5241</v>
      </c>
      <c r="H5224" t="s">
        <v>13569</v>
      </c>
      <c r="I5224" t="s">
        <v>17416</v>
      </c>
      <c r="J5224" t="s">
        <v>18901</v>
      </c>
      <c r="K5224">
        <v>11433</v>
      </c>
      <c r="L5224" t="s">
        <v>18958</v>
      </c>
      <c r="M5224" t="s">
        <v>18958</v>
      </c>
      <c r="N5224" t="s">
        <v>22900</v>
      </c>
      <c r="O5224" t="s">
        <v>26524</v>
      </c>
      <c r="P5224" t="s">
        <v>26560</v>
      </c>
      <c r="Q5224" t="s">
        <v>26570</v>
      </c>
      <c r="R5224" t="s">
        <v>26585</v>
      </c>
      <c r="S5224" t="s">
        <v>18959</v>
      </c>
      <c r="U5224" t="s">
        <v>26604</v>
      </c>
      <c r="V5224" t="s">
        <v>26610</v>
      </c>
      <c r="W5224" t="s">
        <v>744</v>
      </c>
      <c r="X5224">
        <v>1000</v>
      </c>
      <c r="Y5224" t="s">
        <v>26653</v>
      </c>
      <c r="Z5224" t="s">
        <v>26664</v>
      </c>
      <c r="AA5224" t="s">
        <v>26679</v>
      </c>
      <c r="AB5224" t="s">
        <v>30934</v>
      </c>
      <c r="AD5224" t="s">
        <v>41164</v>
      </c>
      <c r="AE5224">
        <v>2</v>
      </c>
      <c r="AF5224" t="s">
        <v>45547</v>
      </c>
      <c r="AG5224" t="s">
        <v>19330</v>
      </c>
      <c r="AH5224">
        <v>1</v>
      </c>
      <c r="AI5224">
        <v>4</v>
      </c>
      <c r="AJ5224">
        <v>2</v>
      </c>
      <c r="AK5224">
        <v>112.75</v>
      </c>
      <c r="AN5224" t="s">
        <v>7439</v>
      </c>
      <c r="AO5224">
        <v>39000</v>
      </c>
      <c r="AQ5224" t="s">
        <v>46365</v>
      </c>
      <c r="AS5224" t="s">
        <v>46500</v>
      </c>
      <c r="AT5224" t="s">
        <v>46646</v>
      </c>
      <c r="AU5224">
        <v>14.4</v>
      </c>
      <c r="AV5224" t="s">
        <v>828</v>
      </c>
      <c r="AW5224" t="s">
        <v>161</v>
      </c>
      <c r="AX5224" t="s">
        <v>46897</v>
      </c>
    </row>
    <row r="5225" spans="1:50">
      <c r="A5225" s="1">
        <f>HYPERLINK("https://lsnyc.legalserver.org/matter/dynamic-profile/view/1889894","19-1889894")</f>
        <v>0</v>
      </c>
      <c r="B5225" t="s">
        <v>164</v>
      </c>
      <c r="C5225" t="s">
        <v>340</v>
      </c>
      <c r="D5225" t="s">
        <v>744</v>
      </c>
      <c r="F5225" t="s">
        <v>1002</v>
      </c>
      <c r="G5225" t="s">
        <v>893</v>
      </c>
      <c r="H5225" t="s">
        <v>13570</v>
      </c>
      <c r="I5225" t="s">
        <v>17416</v>
      </c>
      <c r="J5225" t="s">
        <v>18918</v>
      </c>
      <c r="K5225">
        <v>11417</v>
      </c>
      <c r="L5225" t="s">
        <v>18958</v>
      </c>
      <c r="M5225" t="s">
        <v>18958</v>
      </c>
      <c r="N5225" t="s">
        <v>22901</v>
      </c>
      <c r="O5225" t="s">
        <v>26524</v>
      </c>
      <c r="P5225" t="s">
        <v>26563</v>
      </c>
      <c r="R5225" t="s">
        <v>26584</v>
      </c>
      <c r="S5225" t="s">
        <v>18959</v>
      </c>
      <c r="U5225" t="s">
        <v>26604</v>
      </c>
      <c r="V5225" t="s">
        <v>26610</v>
      </c>
      <c r="W5225" t="s">
        <v>744</v>
      </c>
      <c r="X5225">
        <v>985</v>
      </c>
      <c r="Y5225" t="s">
        <v>26653</v>
      </c>
      <c r="Z5225" t="s">
        <v>26664</v>
      </c>
      <c r="AB5225" t="s">
        <v>30935</v>
      </c>
      <c r="AD5225" t="s">
        <v>41165</v>
      </c>
      <c r="AE5225">
        <v>2</v>
      </c>
      <c r="AF5225" t="s">
        <v>45547</v>
      </c>
      <c r="AG5225" t="s">
        <v>19330</v>
      </c>
      <c r="AH5225">
        <v>25</v>
      </c>
      <c r="AI5225">
        <v>2</v>
      </c>
      <c r="AJ5225">
        <v>0</v>
      </c>
      <c r="AK5225">
        <v>53.22</v>
      </c>
      <c r="AN5225" t="s">
        <v>7439</v>
      </c>
      <c r="AO5225">
        <v>9000</v>
      </c>
      <c r="AU5225">
        <v>0.2</v>
      </c>
      <c r="AV5225" t="s">
        <v>753</v>
      </c>
      <c r="AW5225" t="s">
        <v>161</v>
      </c>
    </row>
    <row r="5226" spans="1:50">
      <c r="A5226" s="1">
        <f>HYPERLINK("https://lsnyc.legalserver.org/matter/dynamic-profile/view/1889939","19-1889939")</f>
        <v>0</v>
      </c>
      <c r="B5226" t="s">
        <v>164</v>
      </c>
      <c r="C5226" t="s">
        <v>340</v>
      </c>
      <c r="D5226" t="s">
        <v>744</v>
      </c>
      <c r="F5226" t="s">
        <v>3343</v>
      </c>
      <c r="G5226" t="s">
        <v>7597</v>
      </c>
      <c r="H5226" t="s">
        <v>13571</v>
      </c>
      <c r="I5226" t="s">
        <v>17754</v>
      </c>
      <c r="J5226" t="s">
        <v>18897</v>
      </c>
      <c r="K5226">
        <v>11415</v>
      </c>
      <c r="L5226" t="s">
        <v>18958</v>
      </c>
      <c r="M5226" t="s">
        <v>18958</v>
      </c>
      <c r="N5226" t="s">
        <v>22902</v>
      </c>
      <c r="O5226" t="s">
        <v>26523</v>
      </c>
      <c r="P5226" t="s">
        <v>26563</v>
      </c>
      <c r="R5226" t="s">
        <v>26584</v>
      </c>
      <c r="S5226" t="s">
        <v>18959</v>
      </c>
      <c r="U5226" t="s">
        <v>26604</v>
      </c>
      <c r="V5226" t="s">
        <v>26610</v>
      </c>
      <c r="W5226" t="s">
        <v>744</v>
      </c>
      <c r="X5226">
        <v>600</v>
      </c>
      <c r="Y5226" t="s">
        <v>26653</v>
      </c>
      <c r="Z5226" t="s">
        <v>26664</v>
      </c>
      <c r="AB5226" t="s">
        <v>26972</v>
      </c>
      <c r="AD5226" t="s">
        <v>41166</v>
      </c>
      <c r="AE5226">
        <v>90</v>
      </c>
      <c r="AF5226" t="s">
        <v>45541</v>
      </c>
      <c r="AG5226" t="s">
        <v>19330</v>
      </c>
      <c r="AH5226">
        <v>7</v>
      </c>
      <c r="AI5226">
        <v>3</v>
      </c>
      <c r="AJ5226">
        <v>0</v>
      </c>
      <c r="AK5226">
        <v>135.96</v>
      </c>
      <c r="AN5226" t="s">
        <v>7439</v>
      </c>
      <c r="AO5226">
        <v>29000</v>
      </c>
      <c r="AU5226">
        <v>0.9</v>
      </c>
      <c r="AV5226" t="s">
        <v>753</v>
      </c>
      <c r="AW5226" t="s">
        <v>161</v>
      </c>
    </row>
    <row r="5227" spans="1:50">
      <c r="A5227" s="1">
        <f>HYPERLINK("https://lsnyc.legalserver.org/matter/dynamic-profile/view/1889925","19-1889925")</f>
        <v>0</v>
      </c>
      <c r="B5227" t="s">
        <v>164</v>
      </c>
      <c r="C5227" t="s">
        <v>340</v>
      </c>
      <c r="D5227" t="s">
        <v>744</v>
      </c>
      <c r="F5227" t="s">
        <v>3344</v>
      </c>
      <c r="G5227" t="s">
        <v>5269</v>
      </c>
      <c r="H5227" t="s">
        <v>13572</v>
      </c>
      <c r="I5227">
        <v>1</v>
      </c>
      <c r="J5227" t="s">
        <v>18901</v>
      </c>
      <c r="K5227">
        <v>11433</v>
      </c>
      <c r="L5227" t="s">
        <v>18958</v>
      </c>
      <c r="M5227" t="s">
        <v>18958</v>
      </c>
      <c r="N5227" t="s">
        <v>22903</v>
      </c>
      <c r="O5227" t="s">
        <v>26524</v>
      </c>
      <c r="P5227" t="s">
        <v>26563</v>
      </c>
      <c r="R5227" t="s">
        <v>26585</v>
      </c>
      <c r="S5227" t="s">
        <v>18959</v>
      </c>
      <c r="U5227" t="s">
        <v>26604</v>
      </c>
      <c r="V5227" t="s">
        <v>26611</v>
      </c>
      <c r="W5227" t="s">
        <v>744</v>
      </c>
      <c r="X5227">
        <v>1957</v>
      </c>
      <c r="Y5227" t="s">
        <v>26653</v>
      </c>
      <c r="Z5227" t="s">
        <v>26664</v>
      </c>
      <c r="AB5227" t="s">
        <v>30936</v>
      </c>
      <c r="AC5227" t="s">
        <v>35946</v>
      </c>
      <c r="AD5227" t="s">
        <v>41167</v>
      </c>
      <c r="AE5227">
        <v>1</v>
      </c>
      <c r="AF5227" t="s">
        <v>45547</v>
      </c>
      <c r="AG5227" t="s">
        <v>19330</v>
      </c>
      <c r="AH5227">
        <v>31</v>
      </c>
      <c r="AI5227">
        <v>3</v>
      </c>
      <c r="AJ5227">
        <v>2</v>
      </c>
      <c r="AK5227">
        <v>76.23</v>
      </c>
      <c r="AN5227" t="s">
        <v>7439</v>
      </c>
      <c r="AO5227">
        <v>23000</v>
      </c>
      <c r="AU5227">
        <v>0.2</v>
      </c>
      <c r="AV5227" t="s">
        <v>753</v>
      </c>
      <c r="AW5227" t="s">
        <v>161</v>
      </c>
    </row>
    <row r="5228" spans="1:50">
      <c r="A5228" s="1">
        <f>HYPERLINK("https://lsnyc.legalserver.org/matter/dynamic-profile/view/1891233","19-1891233")</f>
        <v>0</v>
      </c>
      <c r="B5228" t="s">
        <v>149</v>
      </c>
      <c r="C5228" t="s">
        <v>340</v>
      </c>
      <c r="D5228" t="s">
        <v>744</v>
      </c>
      <c r="F5228" t="s">
        <v>913</v>
      </c>
      <c r="G5228" t="s">
        <v>5121</v>
      </c>
      <c r="H5228" t="s">
        <v>13573</v>
      </c>
      <c r="I5228" t="s">
        <v>17349</v>
      </c>
      <c r="J5228" t="s">
        <v>18892</v>
      </c>
      <c r="K5228">
        <v>10467</v>
      </c>
      <c r="L5228" t="s">
        <v>18958</v>
      </c>
      <c r="M5228" t="s">
        <v>18958</v>
      </c>
      <c r="N5228" t="s">
        <v>22904</v>
      </c>
      <c r="O5228" t="s">
        <v>26523</v>
      </c>
      <c r="P5228" t="s">
        <v>26560</v>
      </c>
      <c r="R5228" t="s">
        <v>26579</v>
      </c>
      <c r="S5228" t="s">
        <v>18959</v>
      </c>
      <c r="U5228" t="s">
        <v>26604</v>
      </c>
      <c r="W5228" t="s">
        <v>744</v>
      </c>
      <c r="X5228">
        <v>408</v>
      </c>
      <c r="Y5228" t="s">
        <v>26650</v>
      </c>
      <c r="Z5228" t="s">
        <v>26664</v>
      </c>
      <c r="AB5228" t="s">
        <v>30937</v>
      </c>
      <c r="AC5228" t="s">
        <v>35947</v>
      </c>
      <c r="AD5228" t="s">
        <v>41168</v>
      </c>
      <c r="AE5228">
        <v>733</v>
      </c>
      <c r="AF5228" t="s">
        <v>45549</v>
      </c>
      <c r="AG5228" t="s">
        <v>19330</v>
      </c>
      <c r="AH5228">
        <v>5</v>
      </c>
      <c r="AI5228">
        <v>1</v>
      </c>
      <c r="AJ5228">
        <v>3</v>
      </c>
      <c r="AK5228">
        <v>35.34</v>
      </c>
      <c r="AN5228" t="s">
        <v>7439</v>
      </c>
      <c r="AO5228">
        <v>9100</v>
      </c>
      <c r="AU5228">
        <v>7.65</v>
      </c>
      <c r="AV5228" t="s">
        <v>791</v>
      </c>
      <c r="AW5228" t="s">
        <v>336</v>
      </c>
    </row>
    <row r="5229" spans="1:50">
      <c r="A5229" s="1">
        <f>HYPERLINK("https://lsnyc.legalserver.org/matter/dynamic-profile/view/1889966","19-1889966")</f>
        <v>0</v>
      </c>
      <c r="B5229" t="s">
        <v>108</v>
      </c>
      <c r="C5229" t="s">
        <v>340</v>
      </c>
      <c r="D5229" t="s">
        <v>744</v>
      </c>
      <c r="F5229" t="s">
        <v>3345</v>
      </c>
      <c r="G5229" t="s">
        <v>7062</v>
      </c>
      <c r="H5229" t="s">
        <v>13574</v>
      </c>
      <c r="I5229" t="s">
        <v>17416</v>
      </c>
      <c r="J5229" t="s">
        <v>18939</v>
      </c>
      <c r="K5229">
        <v>11423</v>
      </c>
      <c r="L5229" t="s">
        <v>18958</v>
      </c>
      <c r="M5229" t="s">
        <v>18958</v>
      </c>
      <c r="N5229" t="s">
        <v>22905</v>
      </c>
      <c r="O5229" t="s">
        <v>26523</v>
      </c>
      <c r="P5229" t="s">
        <v>26560</v>
      </c>
      <c r="R5229" t="s">
        <v>26584</v>
      </c>
      <c r="S5229" t="s">
        <v>18959</v>
      </c>
      <c r="U5229" t="s">
        <v>26604</v>
      </c>
      <c r="V5229" t="s">
        <v>26610</v>
      </c>
      <c r="W5229" t="s">
        <v>744</v>
      </c>
      <c r="X5229">
        <v>1520</v>
      </c>
      <c r="Y5229" t="s">
        <v>26653</v>
      </c>
      <c r="Z5229" t="s">
        <v>26664</v>
      </c>
      <c r="AB5229" t="s">
        <v>30938</v>
      </c>
      <c r="AD5229" t="s">
        <v>41169</v>
      </c>
      <c r="AE5229">
        <v>2</v>
      </c>
      <c r="AF5229" t="s">
        <v>45547</v>
      </c>
      <c r="AG5229" t="s">
        <v>45556</v>
      </c>
      <c r="AH5229">
        <v>9</v>
      </c>
      <c r="AI5229">
        <v>3</v>
      </c>
      <c r="AJ5229">
        <v>1</v>
      </c>
      <c r="AK5229">
        <v>159.22</v>
      </c>
      <c r="AN5229" t="s">
        <v>7439</v>
      </c>
      <c r="AO5229">
        <v>41000</v>
      </c>
      <c r="AQ5229" t="s">
        <v>46361</v>
      </c>
      <c r="AR5229" t="s">
        <v>46380</v>
      </c>
      <c r="AS5229" t="s">
        <v>46499</v>
      </c>
      <c r="AT5229" t="s">
        <v>46531</v>
      </c>
      <c r="AU5229">
        <v>10.75</v>
      </c>
      <c r="AV5229" t="s">
        <v>784</v>
      </c>
      <c r="AW5229" t="s">
        <v>161</v>
      </c>
    </row>
    <row r="5230" spans="1:50">
      <c r="A5230" s="1">
        <f>HYPERLINK("https://lsnyc.legalserver.org/matter/dynamic-profile/view/1890023","19-1890023")</f>
        <v>0</v>
      </c>
      <c r="B5230" t="s">
        <v>251</v>
      </c>
      <c r="C5230" t="s">
        <v>340</v>
      </c>
      <c r="D5230" t="s">
        <v>744</v>
      </c>
      <c r="F5230" t="s">
        <v>1021</v>
      </c>
      <c r="G5230" t="s">
        <v>5110</v>
      </c>
      <c r="H5230" t="s">
        <v>13575</v>
      </c>
      <c r="I5230" t="s">
        <v>17432</v>
      </c>
      <c r="J5230" t="s">
        <v>18892</v>
      </c>
      <c r="K5230">
        <v>10468</v>
      </c>
      <c r="L5230" t="s">
        <v>18958</v>
      </c>
      <c r="M5230" t="s">
        <v>18958</v>
      </c>
      <c r="N5230" t="s">
        <v>22906</v>
      </c>
      <c r="O5230" t="s">
        <v>26523</v>
      </c>
      <c r="P5230" t="s">
        <v>26560</v>
      </c>
      <c r="R5230" t="s">
        <v>26579</v>
      </c>
      <c r="S5230" t="s">
        <v>18959</v>
      </c>
      <c r="U5230" t="s">
        <v>26604</v>
      </c>
      <c r="V5230" t="s">
        <v>26610</v>
      </c>
      <c r="W5230" t="s">
        <v>744</v>
      </c>
      <c r="X5230">
        <v>1075</v>
      </c>
      <c r="Y5230" t="s">
        <v>26650</v>
      </c>
      <c r="Z5230" t="s">
        <v>26664</v>
      </c>
      <c r="AB5230" t="s">
        <v>30939</v>
      </c>
      <c r="AC5230" t="s">
        <v>35948</v>
      </c>
      <c r="AD5230" t="s">
        <v>41170</v>
      </c>
      <c r="AE5230">
        <v>65</v>
      </c>
      <c r="AF5230" t="s">
        <v>45541</v>
      </c>
      <c r="AG5230" t="s">
        <v>19330</v>
      </c>
      <c r="AH5230">
        <v>5</v>
      </c>
      <c r="AI5230">
        <v>1</v>
      </c>
      <c r="AJ5230">
        <v>0</v>
      </c>
      <c r="AK5230">
        <v>72.06</v>
      </c>
      <c r="AN5230" t="s">
        <v>7439</v>
      </c>
      <c r="AO5230">
        <v>9000</v>
      </c>
      <c r="AU5230">
        <v>9.300000000000001</v>
      </c>
      <c r="AV5230" t="s">
        <v>771</v>
      </c>
      <c r="AW5230" t="s">
        <v>46871</v>
      </c>
    </row>
    <row r="5231" spans="1:50">
      <c r="A5231" s="1">
        <f>HYPERLINK("https://lsnyc.legalserver.org/matter/dynamic-profile/view/1890029","19-1890029")</f>
        <v>0</v>
      </c>
      <c r="B5231" t="s">
        <v>258</v>
      </c>
      <c r="C5231" t="s">
        <v>340</v>
      </c>
      <c r="D5231" t="s">
        <v>744</v>
      </c>
      <c r="F5231" t="s">
        <v>3346</v>
      </c>
      <c r="G5231" t="s">
        <v>2729</v>
      </c>
      <c r="H5231" t="s">
        <v>13576</v>
      </c>
      <c r="I5231" t="s">
        <v>17366</v>
      </c>
      <c r="J5231" t="s">
        <v>18901</v>
      </c>
      <c r="K5231">
        <v>11435</v>
      </c>
      <c r="L5231" t="s">
        <v>18958</v>
      </c>
      <c r="M5231" t="s">
        <v>18958</v>
      </c>
      <c r="N5231" t="s">
        <v>22907</v>
      </c>
      <c r="O5231" t="s">
        <v>26523</v>
      </c>
      <c r="P5231" t="s">
        <v>26560</v>
      </c>
      <c r="R5231" t="s">
        <v>26584</v>
      </c>
      <c r="S5231" t="s">
        <v>18959</v>
      </c>
      <c r="U5231" t="s">
        <v>26604</v>
      </c>
      <c r="V5231" t="s">
        <v>26610</v>
      </c>
      <c r="W5231" t="s">
        <v>744</v>
      </c>
      <c r="X5231">
        <v>1486</v>
      </c>
      <c r="Y5231" t="s">
        <v>26653</v>
      </c>
      <c r="Z5231" t="s">
        <v>26664</v>
      </c>
      <c r="AB5231" t="s">
        <v>30940</v>
      </c>
      <c r="AC5231" t="s">
        <v>35949</v>
      </c>
      <c r="AD5231" t="s">
        <v>41171</v>
      </c>
      <c r="AE5231">
        <v>24</v>
      </c>
      <c r="AF5231" t="s">
        <v>45541</v>
      </c>
      <c r="AG5231" t="s">
        <v>19330</v>
      </c>
      <c r="AH5231">
        <v>7</v>
      </c>
      <c r="AI5231">
        <v>3</v>
      </c>
      <c r="AJ5231">
        <v>2</v>
      </c>
      <c r="AK5231">
        <v>139.21</v>
      </c>
      <c r="AN5231" t="s">
        <v>45592</v>
      </c>
      <c r="AO5231">
        <v>42000</v>
      </c>
      <c r="AU5231">
        <v>12.5</v>
      </c>
      <c r="AV5231" t="s">
        <v>815</v>
      </c>
      <c r="AW5231" t="s">
        <v>122</v>
      </c>
    </row>
    <row r="5232" spans="1:50">
      <c r="A5232" s="1">
        <f>HYPERLINK("https://lsnyc.legalserver.org/matter/dynamic-profile/view/1890017","19-1890017")</f>
        <v>0</v>
      </c>
      <c r="B5232" t="s">
        <v>152</v>
      </c>
      <c r="C5232" t="s">
        <v>340</v>
      </c>
      <c r="D5232" t="s">
        <v>744</v>
      </c>
      <c r="F5232" t="s">
        <v>1258</v>
      </c>
      <c r="G5232" t="s">
        <v>7598</v>
      </c>
      <c r="H5232" t="s">
        <v>13577</v>
      </c>
      <c r="I5232">
        <v>3</v>
      </c>
      <c r="J5232" t="s">
        <v>18892</v>
      </c>
      <c r="K5232">
        <v>10462</v>
      </c>
      <c r="L5232" t="s">
        <v>18958</v>
      </c>
      <c r="M5232" t="s">
        <v>18958</v>
      </c>
      <c r="N5232" t="s">
        <v>22908</v>
      </c>
      <c r="O5232" t="s">
        <v>26528</v>
      </c>
      <c r="P5232" t="s">
        <v>26565</v>
      </c>
      <c r="R5232" t="s">
        <v>26578</v>
      </c>
      <c r="U5232" t="s">
        <v>26604</v>
      </c>
      <c r="W5232" t="s">
        <v>744</v>
      </c>
      <c r="X5232">
        <v>800</v>
      </c>
      <c r="Y5232" t="s">
        <v>26650</v>
      </c>
      <c r="AB5232" t="s">
        <v>30941</v>
      </c>
      <c r="AD5232" t="s">
        <v>41172</v>
      </c>
      <c r="AE5232">
        <v>0</v>
      </c>
      <c r="AG5232" t="s">
        <v>45562</v>
      </c>
      <c r="AH5232">
        <v>1</v>
      </c>
      <c r="AI5232">
        <v>1</v>
      </c>
      <c r="AJ5232">
        <v>0</v>
      </c>
      <c r="AK5232">
        <v>101.75</v>
      </c>
      <c r="AN5232" t="s">
        <v>7439</v>
      </c>
      <c r="AO5232">
        <v>12708</v>
      </c>
      <c r="AP5232" t="s">
        <v>45846</v>
      </c>
      <c r="AU5232">
        <v>1</v>
      </c>
      <c r="AV5232" t="s">
        <v>813</v>
      </c>
      <c r="AW5232" t="s">
        <v>302</v>
      </c>
    </row>
    <row r="5233" spans="1:50">
      <c r="A5233" s="1">
        <f>HYPERLINK("https://lsnyc.legalserver.org/matter/dynamic-profile/view/1890055","19-1890055")</f>
        <v>0</v>
      </c>
      <c r="B5233" t="s">
        <v>68</v>
      </c>
      <c r="C5233" t="s">
        <v>340</v>
      </c>
      <c r="D5233" t="s">
        <v>744</v>
      </c>
      <c r="F5233" t="s">
        <v>2240</v>
      </c>
      <c r="G5233" t="s">
        <v>5685</v>
      </c>
      <c r="H5233" t="s">
        <v>13578</v>
      </c>
      <c r="I5233" t="s">
        <v>17379</v>
      </c>
      <c r="J5233" t="s">
        <v>18892</v>
      </c>
      <c r="K5233">
        <v>10468</v>
      </c>
      <c r="L5233" t="s">
        <v>18958</v>
      </c>
      <c r="M5233" t="s">
        <v>18958</v>
      </c>
      <c r="N5233" t="s">
        <v>22909</v>
      </c>
      <c r="O5233" t="s">
        <v>26523</v>
      </c>
      <c r="P5233" t="s">
        <v>26560</v>
      </c>
      <c r="R5233" t="s">
        <v>26579</v>
      </c>
      <c r="S5233" t="s">
        <v>18959</v>
      </c>
      <c r="U5233" t="s">
        <v>26604</v>
      </c>
      <c r="V5233" t="s">
        <v>26610</v>
      </c>
      <c r="W5233" t="s">
        <v>744</v>
      </c>
      <c r="X5233">
        <v>1450</v>
      </c>
      <c r="Y5233" t="s">
        <v>26650</v>
      </c>
      <c r="Z5233" t="s">
        <v>26668</v>
      </c>
      <c r="AB5233" t="s">
        <v>30942</v>
      </c>
      <c r="AE5233">
        <v>46</v>
      </c>
      <c r="AF5233" t="s">
        <v>45541</v>
      </c>
      <c r="AG5233" t="s">
        <v>19330</v>
      </c>
      <c r="AH5233">
        <v>1</v>
      </c>
      <c r="AI5233">
        <v>1</v>
      </c>
      <c r="AJ5233">
        <v>1</v>
      </c>
      <c r="AK5233">
        <v>76.88</v>
      </c>
      <c r="AN5233" t="s">
        <v>45581</v>
      </c>
      <c r="AO5233">
        <v>13000</v>
      </c>
      <c r="AQ5233" t="s">
        <v>46362</v>
      </c>
      <c r="AR5233" t="s">
        <v>26530</v>
      </c>
      <c r="AS5233" t="s">
        <v>46501</v>
      </c>
      <c r="AT5233" t="s">
        <v>46794</v>
      </c>
      <c r="AU5233">
        <v>31.4</v>
      </c>
      <c r="AV5233" t="s">
        <v>838</v>
      </c>
      <c r="AW5233" t="s">
        <v>46836</v>
      </c>
    </row>
    <row r="5234" spans="1:50">
      <c r="A5234" s="1">
        <f>HYPERLINK("https://lsnyc.legalserver.org/matter/dynamic-profile/view/1889945","19-1889945")</f>
        <v>0</v>
      </c>
      <c r="B5234" t="s">
        <v>214</v>
      </c>
      <c r="C5234" t="s">
        <v>340</v>
      </c>
      <c r="D5234" t="s">
        <v>744</v>
      </c>
      <c r="F5234" t="s">
        <v>3347</v>
      </c>
      <c r="G5234" t="s">
        <v>7029</v>
      </c>
      <c r="H5234" t="s">
        <v>13579</v>
      </c>
      <c r="I5234">
        <v>516</v>
      </c>
      <c r="J5234" t="s">
        <v>18900</v>
      </c>
      <c r="K5234">
        <v>11355</v>
      </c>
      <c r="L5234" t="s">
        <v>18958</v>
      </c>
      <c r="M5234" t="s">
        <v>18958</v>
      </c>
      <c r="N5234" t="s">
        <v>22910</v>
      </c>
      <c r="O5234" t="s">
        <v>26523</v>
      </c>
      <c r="P5234" t="s">
        <v>26560</v>
      </c>
      <c r="R5234" t="s">
        <v>26584</v>
      </c>
      <c r="S5234" t="s">
        <v>18959</v>
      </c>
      <c r="U5234" t="s">
        <v>26604</v>
      </c>
      <c r="V5234" t="s">
        <v>26610</v>
      </c>
      <c r="W5234" t="s">
        <v>744</v>
      </c>
      <c r="X5234">
        <v>1222.48</v>
      </c>
      <c r="Y5234" t="s">
        <v>26653</v>
      </c>
      <c r="Z5234" t="s">
        <v>26664</v>
      </c>
      <c r="AB5234" t="s">
        <v>30943</v>
      </c>
      <c r="AC5234" t="s">
        <v>35950</v>
      </c>
      <c r="AD5234" t="s">
        <v>41173</v>
      </c>
      <c r="AE5234">
        <v>158</v>
      </c>
      <c r="AF5234" t="s">
        <v>45548</v>
      </c>
      <c r="AG5234" t="s">
        <v>45559</v>
      </c>
      <c r="AH5234">
        <v>45</v>
      </c>
      <c r="AI5234">
        <v>1</v>
      </c>
      <c r="AJ5234">
        <v>0</v>
      </c>
      <c r="AK5234">
        <v>136.11</v>
      </c>
      <c r="AN5234" t="s">
        <v>7439</v>
      </c>
      <c r="AO5234">
        <v>17000</v>
      </c>
      <c r="AU5234">
        <v>40.84</v>
      </c>
      <c r="AV5234" t="s">
        <v>821</v>
      </c>
      <c r="AW5234" t="s">
        <v>161</v>
      </c>
      <c r="AX5234" t="s">
        <v>46897</v>
      </c>
    </row>
    <row r="5235" spans="1:50">
      <c r="A5235" s="1">
        <f>HYPERLINK("https://lsnyc.legalserver.org/matter/dynamic-profile/view/1889902","19-1889902")</f>
        <v>0</v>
      </c>
      <c r="B5235" t="s">
        <v>121</v>
      </c>
      <c r="C5235" t="s">
        <v>340</v>
      </c>
      <c r="D5235" t="s">
        <v>744</v>
      </c>
      <c r="F5235" t="s">
        <v>2255</v>
      </c>
      <c r="G5235" t="s">
        <v>5599</v>
      </c>
      <c r="H5235" t="s">
        <v>13264</v>
      </c>
      <c r="I5235" t="s">
        <v>17293</v>
      </c>
      <c r="J5235" t="s">
        <v>18892</v>
      </c>
      <c r="K5235">
        <v>10455</v>
      </c>
      <c r="L5235" t="s">
        <v>18958</v>
      </c>
      <c r="M5235" t="s">
        <v>18958</v>
      </c>
      <c r="N5235" t="s">
        <v>22911</v>
      </c>
      <c r="O5235" t="s">
        <v>26523</v>
      </c>
      <c r="P5235" t="s">
        <v>26560</v>
      </c>
      <c r="R5235" t="s">
        <v>26577</v>
      </c>
      <c r="S5235" t="s">
        <v>18959</v>
      </c>
      <c r="U5235" t="s">
        <v>26604</v>
      </c>
      <c r="V5235" t="s">
        <v>26612</v>
      </c>
      <c r="W5235" t="s">
        <v>744</v>
      </c>
      <c r="X5235">
        <v>1124.45</v>
      </c>
      <c r="Y5235" t="s">
        <v>26650</v>
      </c>
      <c r="Z5235" t="s">
        <v>26659</v>
      </c>
      <c r="AB5235" t="s">
        <v>30944</v>
      </c>
      <c r="AC5235" t="s">
        <v>35951</v>
      </c>
      <c r="AD5235" t="s">
        <v>41174</v>
      </c>
      <c r="AE5235">
        <v>0</v>
      </c>
      <c r="AF5235" t="s">
        <v>45541</v>
      </c>
      <c r="AG5235" t="s">
        <v>45556</v>
      </c>
      <c r="AH5235">
        <v>27</v>
      </c>
      <c r="AI5235">
        <v>2</v>
      </c>
      <c r="AJ5235">
        <v>2</v>
      </c>
      <c r="AK5235">
        <v>20.7</v>
      </c>
      <c r="AN5235" t="s">
        <v>7439</v>
      </c>
      <c r="AO5235">
        <v>5330</v>
      </c>
      <c r="AU5235">
        <v>7.9</v>
      </c>
      <c r="AV5235" t="s">
        <v>829</v>
      </c>
      <c r="AW5235" t="s">
        <v>46870</v>
      </c>
    </row>
    <row r="5236" spans="1:50">
      <c r="A5236" s="1">
        <f>HYPERLINK("https://lsnyc.legalserver.org/matter/dynamic-profile/view/1889910","19-1889910")</f>
        <v>0</v>
      </c>
      <c r="B5236" t="s">
        <v>87</v>
      </c>
      <c r="C5236" t="s">
        <v>340</v>
      </c>
      <c r="D5236" t="s">
        <v>744</v>
      </c>
      <c r="F5236" t="s">
        <v>2058</v>
      </c>
      <c r="G5236" t="s">
        <v>5221</v>
      </c>
      <c r="H5236" t="s">
        <v>13580</v>
      </c>
      <c r="I5236">
        <v>3</v>
      </c>
      <c r="J5236" t="s">
        <v>18892</v>
      </c>
      <c r="K5236">
        <v>10460</v>
      </c>
      <c r="L5236" t="s">
        <v>18958</v>
      </c>
      <c r="M5236" t="s">
        <v>18958</v>
      </c>
      <c r="N5236" t="s">
        <v>22912</v>
      </c>
      <c r="O5236" t="s">
        <v>26523</v>
      </c>
      <c r="P5236" t="s">
        <v>26560</v>
      </c>
      <c r="R5236" t="s">
        <v>26577</v>
      </c>
      <c r="S5236" t="s">
        <v>18959</v>
      </c>
      <c r="U5236" t="s">
        <v>26604</v>
      </c>
      <c r="V5236" t="s">
        <v>26610</v>
      </c>
      <c r="W5236" t="s">
        <v>744</v>
      </c>
      <c r="X5236">
        <v>800</v>
      </c>
      <c r="Y5236" t="s">
        <v>26650</v>
      </c>
      <c r="Z5236" t="s">
        <v>26668</v>
      </c>
      <c r="AB5236" t="s">
        <v>30945</v>
      </c>
      <c r="AD5236" t="s">
        <v>41175</v>
      </c>
      <c r="AE5236">
        <v>3</v>
      </c>
      <c r="AF5236" t="s">
        <v>20460</v>
      </c>
      <c r="AG5236" t="s">
        <v>19330</v>
      </c>
      <c r="AH5236">
        <v>2</v>
      </c>
      <c r="AI5236">
        <v>1</v>
      </c>
      <c r="AJ5236">
        <v>0</v>
      </c>
      <c r="AK5236">
        <v>17.58</v>
      </c>
      <c r="AN5236" t="s">
        <v>7439</v>
      </c>
      <c r="AO5236">
        <v>2196</v>
      </c>
      <c r="AU5236">
        <v>6.85</v>
      </c>
      <c r="AV5236" t="s">
        <v>757</v>
      </c>
      <c r="AW5236" t="s">
        <v>46841</v>
      </c>
      <c r="AX5236" t="s">
        <v>46897</v>
      </c>
    </row>
    <row r="5237" spans="1:50">
      <c r="A5237" s="1">
        <f>HYPERLINK("https://lsnyc.legalserver.org/matter/dynamic-profile/view/1890049","19-1890049")</f>
        <v>0</v>
      </c>
      <c r="B5237" t="s">
        <v>69</v>
      </c>
      <c r="C5237" t="s">
        <v>340</v>
      </c>
      <c r="D5237" t="s">
        <v>744</v>
      </c>
      <c r="F5237" t="s">
        <v>1190</v>
      </c>
      <c r="G5237" t="s">
        <v>5973</v>
      </c>
      <c r="H5237" t="s">
        <v>13581</v>
      </c>
      <c r="I5237" t="s">
        <v>17274</v>
      </c>
      <c r="J5237" t="s">
        <v>18892</v>
      </c>
      <c r="K5237">
        <v>10457</v>
      </c>
      <c r="L5237" t="s">
        <v>18958</v>
      </c>
      <c r="M5237" t="s">
        <v>18958</v>
      </c>
      <c r="N5237" t="s">
        <v>22913</v>
      </c>
      <c r="O5237" t="s">
        <v>26523</v>
      </c>
      <c r="P5237" t="s">
        <v>26560</v>
      </c>
      <c r="R5237" t="s">
        <v>26579</v>
      </c>
      <c r="S5237" t="s">
        <v>18959</v>
      </c>
      <c r="U5237" t="s">
        <v>26604</v>
      </c>
      <c r="W5237" t="s">
        <v>744</v>
      </c>
      <c r="X5237">
        <v>2194</v>
      </c>
      <c r="Y5237" t="s">
        <v>26650</v>
      </c>
      <c r="Z5237" t="s">
        <v>26664</v>
      </c>
      <c r="AB5237" t="s">
        <v>30946</v>
      </c>
      <c r="AC5237" t="s">
        <v>35952</v>
      </c>
      <c r="AD5237" t="s">
        <v>41176</v>
      </c>
      <c r="AE5237">
        <v>0</v>
      </c>
      <c r="AF5237" t="s">
        <v>45547</v>
      </c>
      <c r="AG5237" t="s">
        <v>45558</v>
      </c>
      <c r="AH5237">
        <v>4</v>
      </c>
      <c r="AI5237">
        <v>1</v>
      </c>
      <c r="AJ5237">
        <v>5</v>
      </c>
      <c r="AK5237">
        <v>21.86</v>
      </c>
      <c r="AN5237" t="s">
        <v>7439</v>
      </c>
      <c r="AO5237">
        <v>7560</v>
      </c>
      <c r="AU5237">
        <v>16.6</v>
      </c>
      <c r="AV5237" t="s">
        <v>804</v>
      </c>
      <c r="AW5237" t="s">
        <v>46870</v>
      </c>
    </row>
    <row r="5238" spans="1:50">
      <c r="A5238" s="1">
        <f>HYPERLINK("https://lsnyc.legalserver.org/matter/dynamic-profile/view/1889881","19-1889881")</f>
        <v>0</v>
      </c>
      <c r="B5238" t="s">
        <v>235</v>
      </c>
      <c r="C5238" t="s">
        <v>340</v>
      </c>
      <c r="D5238" t="s">
        <v>744</v>
      </c>
      <c r="F5238" t="s">
        <v>2452</v>
      </c>
      <c r="G5238" t="s">
        <v>7599</v>
      </c>
      <c r="H5238" t="s">
        <v>13582</v>
      </c>
      <c r="I5238" t="s">
        <v>17275</v>
      </c>
      <c r="J5238" t="s">
        <v>18913</v>
      </c>
      <c r="K5238">
        <v>11105</v>
      </c>
      <c r="L5238" t="s">
        <v>18958</v>
      </c>
      <c r="M5238" t="s">
        <v>18958</v>
      </c>
      <c r="N5238" t="s">
        <v>22914</v>
      </c>
      <c r="O5238" t="s">
        <v>26523</v>
      </c>
      <c r="P5238" t="s">
        <v>26564</v>
      </c>
      <c r="R5238" t="s">
        <v>26584</v>
      </c>
      <c r="S5238" t="s">
        <v>18959</v>
      </c>
      <c r="U5238" t="s">
        <v>26604</v>
      </c>
      <c r="V5238" t="s">
        <v>26611</v>
      </c>
      <c r="W5238" t="s">
        <v>744</v>
      </c>
      <c r="X5238">
        <v>2000</v>
      </c>
      <c r="Y5238" t="s">
        <v>26653</v>
      </c>
      <c r="Z5238" t="s">
        <v>26664</v>
      </c>
      <c r="AB5238" t="s">
        <v>30947</v>
      </c>
      <c r="AC5238" t="s">
        <v>35953</v>
      </c>
      <c r="AD5238" t="s">
        <v>41177</v>
      </c>
      <c r="AE5238">
        <v>33</v>
      </c>
      <c r="AF5238" t="s">
        <v>45541</v>
      </c>
      <c r="AG5238" t="s">
        <v>19330</v>
      </c>
      <c r="AH5238">
        <v>1</v>
      </c>
      <c r="AI5238">
        <v>1</v>
      </c>
      <c r="AJ5238">
        <v>5</v>
      </c>
      <c r="AK5238">
        <v>0</v>
      </c>
      <c r="AN5238" t="s">
        <v>7439</v>
      </c>
      <c r="AO5238">
        <v>0</v>
      </c>
      <c r="AU5238">
        <v>0.16</v>
      </c>
      <c r="AV5238" t="s">
        <v>660</v>
      </c>
      <c r="AW5238" t="s">
        <v>161</v>
      </c>
    </row>
    <row r="5239" spans="1:50">
      <c r="A5239" s="1">
        <f>HYPERLINK("https://lsnyc.legalserver.org/matter/dynamic-profile/view/1889956","19-1889956")</f>
        <v>0</v>
      </c>
      <c r="B5239" t="s">
        <v>235</v>
      </c>
      <c r="C5239" t="s">
        <v>340</v>
      </c>
      <c r="D5239" t="s">
        <v>744</v>
      </c>
      <c r="F5239" t="s">
        <v>900</v>
      </c>
      <c r="G5239" t="s">
        <v>7600</v>
      </c>
      <c r="H5239" t="s">
        <v>13583</v>
      </c>
      <c r="I5239" t="s">
        <v>17316</v>
      </c>
      <c r="J5239" t="s">
        <v>18907</v>
      </c>
      <c r="K5239">
        <v>11377</v>
      </c>
      <c r="L5239" t="s">
        <v>18958</v>
      </c>
      <c r="M5239" t="s">
        <v>18958</v>
      </c>
      <c r="N5239" t="s">
        <v>22915</v>
      </c>
      <c r="O5239" t="s">
        <v>26523</v>
      </c>
      <c r="P5239" t="s">
        <v>26564</v>
      </c>
      <c r="R5239" t="s">
        <v>26584</v>
      </c>
      <c r="S5239" t="s">
        <v>18959</v>
      </c>
      <c r="U5239" t="s">
        <v>26604</v>
      </c>
      <c r="V5239" t="s">
        <v>26610</v>
      </c>
      <c r="W5239" t="s">
        <v>744</v>
      </c>
      <c r="X5239">
        <v>687</v>
      </c>
      <c r="Y5239" t="s">
        <v>26653</v>
      </c>
      <c r="Z5239" t="s">
        <v>26664</v>
      </c>
      <c r="AB5239" t="s">
        <v>30948</v>
      </c>
      <c r="AD5239" t="s">
        <v>41178</v>
      </c>
      <c r="AE5239">
        <v>67</v>
      </c>
      <c r="AF5239" t="s">
        <v>45541</v>
      </c>
      <c r="AG5239" t="s">
        <v>19330</v>
      </c>
      <c r="AH5239">
        <v>18</v>
      </c>
      <c r="AI5239">
        <v>1</v>
      </c>
      <c r="AJ5239">
        <v>0</v>
      </c>
      <c r="AK5239">
        <v>90.41</v>
      </c>
      <c r="AN5239" t="s">
        <v>45581</v>
      </c>
      <c r="AO5239">
        <v>11292</v>
      </c>
      <c r="AU5239">
        <v>0.66</v>
      </c>
      <c r="AV5239" t="s">
        <v>754</v>
      </c>
      <c r="AW5239" t="s">
        <v>161</v>
      </c>
    </row>
    <row r="5240" spans="1:50">
      <c r="A5240" s="1">
        <f>HYPERLINK("https://lsnyc.legalserver.org/matter/dynamic-profile/view/1890256","19-1890256")</f>
        <v>0</v>
      </c>
      <c r="B5240" t="s">
        <v>275</v>
      </c>
      <c r="C5240" t="s">
        <v>340</v>
      </c>
      <c r="D5240" t="s">
        <v>744</v>
      </c>
      <c r="F5240" t="s">
        <v>1894</v>
      </c>
      <c r="G5240" t="s">
        <v>5720</v>
      </c>
      <c r="H5240" t="s">
        <v>13584</v>
      </c>
      <c r="I5240" t="s">
        <v>17378</v>
      </c>
      <c r="J5240" t="s">
        <v>18892</v>
      </c>
      <c r="K5240">
        <v>10467</v>
      </c>
      <c r="L5240" t="s">
        <v>18958</v>
      </c>
      <c r="M5240" t="s">
        <v>18958</v>
      </c>
      <c r="N5240" t="s">
        <v>22916</v>
      </c>
      <c r="O5240" t="s">
        <v>26523</v>
      </c>
      <c r="P5240" t="s">
        <v>26560</v>
      </c>
      <c r="R5240" t="s">
        <v>26579</v>
      </c>
      <c r="S5240" t="s">
        <v>18959</v>
      </c>
      <c r="U5240" t="s">
        <v>26604</v>
      </c>
      <c r="V5240" t="s">
        <v>26610</v>
      </c>
      <c r="W5240" t="s">
        <v>744</v>
      </c>
      <c r="X5240">
        <v>430</v>
      </c>
      <c r="Y5240" t="s">
        <v>26650</v>
      </c>
      <c r="Z5240" t="s">
        <v>26664</v>
      </c>
      <c r="AB5240" t="s">
        <v>28276</v>
      </c>
      <c r="AD5240" t="s">
        <v>41179</v>
      </c>
      <c r="AE5240">
        <v>733</v>
      </c>
      <c r="AF5240" t="s">
        <v>45549</v>
      </c>
      <c r="AG5240" t="s">
        <v>19330</v>
      </c>
      <c r="AH5240">
        <v>4</v>
      </c>
      <c r="AI5240">
        <v>1</v>
      </c>
      <c r="AJ5240">
        <v>2</v>
      </c>
      <c r="AK5240">
        <v>73.14</v>
      </c>
      <c r="AN5240" t="s">
        <v>7439</v>
      </c>
      <c r="AO5240">
        <v>15600</v>
      </c>
      <c r="AU5240">
        <v>19</v>
      </c>
      <c r="AV5240" t="s">
        <v>822</v>
      </c>
      <c r="AW5240" t="s">
        <v>336</v>
      </c>
    </row>
    <row r="5241" spans="1:50">
      <c r="A5241" s="1">
        <f>HYPERLINK("https://lsnyc.legalserver.org/matter/dynamic-profile/view/1890336","19-1890336")</f>
        <v>0</v>
      </c>
      <c r="B5241" t="s">
        <v>275</v>
      </c>
      <c r="C5241" t="s">
        <v>340</v>
      </c>
      <c r="D5241" t="s">
        <v>744</v>
      </c>
      <c r="F5241" t="s">
        <v>1532</v>
      </c>
      <c r="G5241" t="s">
        <v>6172</v>
      </c>
      <c r="H5241" t="s">
        <v>13573</v>
      </c>
      <c r="I5241" t="s">
        <v>17366</v>
      </c>
      <c r="J5241" t="s">
        <v>18892</v>
      </c>
      <c r="K5241">
        <v>10467</v>
      </c>
      <c r="L5241" t="s">
        <v>18958</v>
      </c>
      <c r="M5241" t="s">
        <v>18958</v>
      </c>
      <c r="N5241" t="s">
        <v>22917</v>
      </c>
      <c r="O5241" t="s">
        <v>26523</v>
      </c>
      <c r="P5241" t="s">
        <v>26560</v>
      </c>
      <c r="R5241" t="s">
        <v>26579</v>
      </c>
      <c r="S5241" t="s">
        <v>18959</v>
      </c>
      <c r="U5241" t="s">
        <v>26604</v>
      </c>
      <c r="V5241" t="s">
        <v>26610</v>
      </c>
      <c r="W5241" t="s">
        <v>744</v>
      </c>
      <c r="X5241">
        <v>484.8</v>
      </c>
      <c r="Y5241" t="s">
        <v>26650</v>
      </c>
      <c r="Z5241" t="s">
        <v>26664</v>
      </c>
      <c r="AB5241" t="s">
        <v>30949</v>
      </c>
      <c r="AC5241" t="s">
        <v>35954</v>
      </c>
      <c r="AD5241" t="s">
        <v>41180</v>
      </c>
      <c r="AE5241">
        <v>733</v>
      </c>
      <c r="AF5241" t="s">
        <v>45549</v>
      </c>
      <c r="AG5241" t="s">
        <v>19330</v>
      </c>
      <c r="AH5241">
        <v>18</v>
      </c>
      <c r="AI5241">
        <v>3</v>
      </c>
      <c r="AJ5241">
        <v>0</v>
      </c>
      <c r="AK5241">
        <v>97.52</v>
      </c>
      <c r="AN5241" t="s">
        <v>7439</v>
      </c>
      <c r="AO5241">
        <v>20800</v>
      </c>
      <c r="AU5241">
        <v>26.5</v>
      </c>
      <c r="AV5241" t="s">
        <v>814</v>
      </c>
      <c r="AW5241" t="s">
        <v>336</v>
      </c>
    </row>
    <row r="5242" spans="1:50">
      <c r="A5242" s="1">
        <f>HYPERLINK("https://lsnyc.legalserver.org/matter/dynamic-profile/view/1890066","19-1890066")</f>
        <v>0</v>
      </c>
      <c r="B5242" t="s">
        <v>158</v>
      </c>
      <c r="C5242" t="s">
        <v>340</v>
      </c>
      <c r="D5242" t="s">
        <v>710</v>
      </c>
      <c r="F5242" t="s">
        <v>1062</v>
      </c>
      <c r="G5242" t="s">
        <v>7601</v>
      </c>
      <c r="H5242" t="s">
        <v>13585</v>
      </c>
      <c r="I5242" t="s">
        <v>17445</v>
      </c>
      <c r="J5242" t="s">
        <v>18894</v>
      </c>
      <c r="K5242">
        <v>11226</v>
      </c>
      <c r="L5242" t="s">
        <v>18958</v>
      </c>
      <c r="M5242" t="s">
        <v>18958</v>
      </c>
      <c r="N5242" t="s">
        <v>22918</v>
      </c>
      <c r="O5242" t="s">
        <v>26523</v>
      </c>
      <c r="P5242" t="s">
        <v>26560</v>
      </c>
      <c r="R5242" t="s">
        <v>26588</v>
      </c>
      <c r="U5242" t="s">
        <v>26604</v>
      </c>
      <c r="W5242" t="s">
        <v>744</v>
      </c>
      <c r="X5242">
        <v>0</v>
      </c>
      <c r="Y5242" t="s">
        <v>26652</v>
      </c>
      <c r="AB5242" t="s">
        <v>30950</v>
      </c>
      <c r="AE5242">
        <v>0</v>
      </c>
      <c r="AH5242">
        <v>18</v>
      </c>
      <c r="AI5242">
        <v>2</v>
      </c>
      <c r="AJ5242">
        <v>0</v>
      </c>
      <c r="AK5242">
        <v>384.39</v>
      </c>
      <c r="AN5242" t="s">
        <v>7439</v>
      </c>
      <c r="AO5242">
        <v>65000</v>
      </c>
      <c r="AU5242">
        <v>5.3</v>
      </c>
      <c r="AV5242" t="s">
        <v>756</v>
      </c>
      <c r="AW5242" t="s">
        <v>219</v>
      </c>
    </row>
    <row r="5243" spans="1:50">
      <c r="A5243" s="1">
        <f>HYPERLINK("https://lsnyc.legalserver.org/matter/dynamic-profile/view/1890705","19-1890705")</f>
        <v>0</v>
      </c>
      <c r="B5243" t="s">
        <v>157</v>
      </c>
      <c r="C5243" t="s">
        <v>341</v>
      </c>
      <c r="D5243" t="s">
        <v>737</v>
      </c>
      <c r="E5243" t="s">
        <v>752</v>
      </c>
      <c r="F5243" t="s">
        <v>1914</v>
      </c>
      <c r="G5243" t="s">
        <v>5285</v>
      </c>
      <c r="H5243" t="s">
        <v>13586</v>
      </c>
      <c r="I5243">
        <v>53</v>
      </c>
      <c r="J5243" t="s">
        <v>18893</v>
      </c>
      <c r="K5243">
        <v>10034</v>
      </c>
      <c r="L5243" t="s">
        <v>18958</v>
      </c>
      <c r="M5243" t="s">
        <v>18958</v>
      </c>
      <c r="P5243" t="s">
        <v>26564</v>
      </c>
      <c r="Q5243" t="s">
        <v>26570</v>
      </c>
      <c r="R5243" t="s">
        <v>26578</v>
      </c>
      <c r="S5243" t="s">
        <v>18959</v>
      </c>
      <c r="U5243" t="s">
        <v>26604</v>
      </c>
      <c r="W5243" t="s">
        <v>744</v>
      </c>
      <c r="X5243">
        <v>900</v>
      </c>
      <c r="Y5243" t="s">
        <v>26651</v>
      </c>
      <c r="Z5243" t="s">
        <v>26661</v>
      </c>
      <c r="AA5243" t="s">
        <v>26683</v>
      </c>
      <c r="AB5243" t="s">
        <v>30951</v>
      </c>
      <c r="AD5243" t="s">
        <v>41181</v>
      </c>
      <c r="AE5243">
        <v>25</v>
      </c>
      <c r="AF5243" t="s">
        <v>45541</v>
      </c>
      <c r="AH5243">
        <v>8</v>
      </c>
      <c r="AI5243">
        <v>3</v>
      </c>
      <c r="AJ5243">
        <v>0</v>
      </c>
      <c r="AK5243">
        <v>52.66</v>
      </c>
      <c r="AN5243" t="s">
        <v>45581</v>
      </c>
      <c r="AO5243">
        <v>11232</v>
      </c>
      <c r="AU5243">
        <v>1.4</v>
      </c>
      <c r="AV5243" t="s">
        <v>752</v>
      </c>
      <c r="AW5243" t="s">
        <v>46849</v>
      </c>
    </row>
    <row r="5244" spans="1:50">
      <c r="A5244" s="1">
        <f>HYPERLINK("https://lsnyc.legalserver.org/matter/dynamic-profile/view/1858281","18-1858281")</f>
        <v>0</v>
      </c>
      <c r="B5244" t="s">
        <v>137</v>
      </c>
      <c r="C5244" t="s">
        <v>341</v>
      </c>
      <c r="D5244" t="s">
        <v>750</v>
      </c>
      <c r="E5244" t="s">
        <v>820</v>
      </c>
      <c r="F5244" t="s">
        <v>1197</v>
      </c>
      <c r="G5244" t="s">
        <v>4588</v>
      </c>
      <c r="H5244" t="s">
        <v>13587</v>
      </c>
      <c r="I5244" t="s">
        <v>18198</v>
      </c>
      <c r="J5244" t="s">
        <v>18892</v>
      </c>
      <c r="K5244">
        <v>10469</v>
      </c>
      <c r="L5244" t="s">
        <v>18958</v>
      </c>
      <c r="M5244" t="s">
        <v>18958</v>
      </c>
      <c r="N5244" t="s">
        <v>22919</v>
      </c>
      <c r="O5244" t="s">
        <v>26523</v>
      </c>
      <c r="P5244" t="s">
        <v>26560</v>
      </c>
      <c r="Q5244" t="s">
        <v>26568</v>
      </c>
      <c r="R5244" t="s">
        <v>26577</v>
      </c>
      <c r="S5244" t="s">
        <v>18959</v>
      </c>
      <c r="U5244" t="s">
        <v>26604</v>
      </c>
      <c r="V5244" t="s">
        <v>26610</v>
      </c>
      <c r="W5244" t="s">
        <v>710</v>
      </c>
      <c r="X5244">
        <v>1117.34</v>
      </c>
      <c r="Y5244" t="s">
        <v>26650</v>
      </c>
      <c r="Z5244" t="s">
        <v>26664</v>
      </c>
      <c r="AA5244" t="s">
        <v>26678</v>
      </c>
      <c r="AB5244" t="s">
        <v>30952</v>
      </c>
      <c r="AD5244" t="s">
        <v>41182</v>
      </c>
      <c r="AE5244">
        <v>0</v>
      </c>
      <c r="AF5244" t="s">
        <v>45541</v>
      </c>
      <c r="AG5244" t="s">
        <v>19330</v>
      </c>
      <c r="AH5244">
        <v>21</v>
      </c>
      <c r="AI5244">
        <v>3</v>
      </c>
      <c r="AJ5244">
        <v>0</v>
      </c>
      <c r="AK5244">
        <v>171.4</v>
      </c>
      <c r="AO5244">
        <v>35000</v>
      </c>
      <c r="AP5244" t="s">
        <v>45753</v>
      </c>
      <c r="AQ5244" t="s">
        <v>46358</v>
      </c>
      <c r="AR5244" t="s">
        <v>46487</v>
      </c>
      <c r="AS5244" t="s">
        <v>46499</v>
      </c>
      <c r="AT5244" t="s">
        <v>46785</v>
      </c>
      <c r="AU5244">
        <v>77.8</v>
      </c>
      <c r="AV5244" t="s">
        <v>761</v>
      </c>
      <c r="AW5244" t="s">
        <v>46848</v>
      </c>
    </row>
    <row r="5245" spans="1:50">
      <c r="A5245" s="1">
        <f>HYPERLINK("https://lsnyc.legalserver.org/matter/dynamic-profile/view/1858249","18-1858249")</f>
        <v>0</v>
      </c>
      <c r="B5245" t="s">
        <v>182</v>
      </c>
      <c r="C5245" t="s">
        <v>341</v>
      </c>
      <c r="D5245" t="s">
        <v>750</v>
      </c>
      <c r="E5245" t="s">
        <v>770</v>
      </c>
      <c r="F5245" t="s">
        <v>1861</v>
      </c>
      <c r="G5245" t="s">
        <v>5187</v>
      </c>
      <c r="H5245" t="s">
        <v>13588</v>
      </c>
      <c r="I5245" t="s">
        <v>17306</v>
      </c>
      <c r="J5245" t="s">
        <v>18892</v>
      </c>
      <c r="K5245">
        <v>10457</v>
      </c>
      <c r="L5245" t="s">
        <v>18958</v>
      </c>
      <c r="M5245" t="s">
        <v>18960</v>
      </c>
      <c r="N5245" t="s">
        <v>22920</v>
      </c>
      <c r="O5245" t="s">
        <v>26523</v>
      </c>
      <c r="P5245" t="s">
        <v>26560</v>
      </c>
      <c r="Q5245" t="s">
        <v>26569</v>
      </c>
      <c r="R5245" t="s">
        <v>26579</v>
      </c>
      <c r="U5245" t="s">
        <v>26604</v>
      </c>
      <c r="V5245" t="s">
        <v>26610</v>
      </c>
      <c r="W5245" t="s">
        <v>710</v>
      </c>
      <c r="X5245">
        <v>705</v>
      </c>
      <c r="Y5245" t="s">
        <v>26650</v>
      </c>
      <c r="Z5245" t="s">
        <v>26662</v>
      </c>
      <c r="AA5245" t="s">
        <v>26678</v>
      </c>
      <c r="AB5245" t="s">
        <v>30953</v>
      </c>
      <c r="AC5245" t="s">
        <v>35955</v>
      </c>
      <c r="AD5245" t="s">
        <v>41183</v>
      </c>
      <c r="AE5245">
        <v>18</v>
      </c>
      <c r="AF5245" t="s">
        <v>45541</v>
      </c>
      <c r="AG5245" t="s">
        <v>45557</v>
      </c>
      <c r="AH5245">
        <v>7</v>
      </c>
      <c r="AI5245">
        <v>1</v>
      </c>
      <c r="AJ5245">
        <v>1</v>
      </c>
      <c r="AK5245">
        <v>22.41</v>
      </c>
      <c r="AN5245" t="s">
        <v>45581</v>
      </c>
      <c r="AO5245">
        <v>3638.88</v>
      </c>
      <c r="AP5245" t="s">
        <v>45621</v>
      </c>
      <c r="AQ5245" t="s">
        <v>46364</v>
      </c>
      <c r="AR5245" t="s">
        <v>46408</v>
      </c>
      <c r="AS5245" t="s">
        <v>46499</v>
      </c>
      <c r="AT5245" t="s">
        <v>46615</v>
      </c>
      <c r="AU5245">
        <v>29.95</v>
      </c>
      <c r="AV5245" t="s">
        <v>779</v>
      </c>
      <c r="AW5245" t="s">
        <v>46848</v>
      </c>
      <c r="AX5245" t="s">
        <v>46898</v>
      </c>
    </row>
    <row r="5246" spans="1:50">
      <c r="A5246" s="1">
        <f>HYPERLINK("https://lsnyc.legalserver.org/matter/dynamic-profile/view/1858334","18-1858334")</f>
        <v>0</v>
      </c>
      <c r="B5246" t="s">
        <v>82</v>
      </c>
      <c r="C5246" t="s">
        <v>340</v>
      </c>
      <c r="D5246" t="s">
        <v>750</v>
      </c>
      <c r="F5246" t="s">
        <v>1228</v>
      </c>
      <c r="G5246" t="s">
        <v>6030</v>
      </c>
      <c r="H5246" t="s">
        <v>13589</v>
      </c>
      <c r="I5246">
        <v>56</v>
      </c>
      <c r="J5246" t="s">
        <v>18892</v>
      </c>
      <c r="K5246">
        <v>10457</v>
      </c>
      <c r="L5246" t="s">
        <v>18958</v>
      </c>
      <c r="M5246" t="s">
        <v>18958</v>
      </c>
      <c r="N5246" t="s">
        <v>22921</v>
      </c>
      <c r="O5246" t="s">
        <v>26523</v>
      </c>
      <c r="P5246" t="s">
        <v>26560</v>
      </c>
      <c r="R5246" t="s">
        <v>26579</v>
      </c>
      <c r="S5246" t="s">
        <v>18959</v>
      </c>
      <c r="U5246" t="s">
        <v>26604</v>
      </c>
      <c r="V5246" t="s">
        <v>26611</v>
      </c>
      <c r="W5246" t="s">
        <v>710</v>
      </c>
      <c r="X5246">
        <v>1315</v>
      </c>
      <c r="Y5246" t="s">
        <v>26650</v>
      </c>
      <c r="Z5246" t="s">
        <v>26662</v>
      </c>
      <c r="AB5246" t="s">
        <v>30954</v>
      </c>
      <c r="AC5246" t="s">
        <v>35956</v>
      </c>
      <c r="AD5246" t="s">
        <v>41184</v>
      </c>
      <c r="AE5246">
        <v>0</v>
      </c>
      <c r="AF5246" t="s">
        <v>45541</v>
      </c>
      <c r="AG5246" t="s">
        <v>45561</v>
      </c>
      <c r="AH5246">
        <v>18</v>
      </c>
      <c r="AI5246">
        <v>1</v>
      </c>
      <c r="AJ5246">
        <v>0</v>
      </c>
      <c r="AK5246">
        <v>37.17</v>
      </c>
      <c r="AN5246" t="s">
        <v>45581</v>
      </c>
      <c r="AO5246">
        <v>4512</v>
      </c>
      <c r="AP5246" t="s">
        <v>45620</v>
      </c>
      <c r="AU5246">
        <v>20.05</v>
      </c>
      <c r="AV5246" t="s">
        <v>772</v>
      </c>
      <c r="AW5246" t="s">
        <v>46848</v>
      </c>
    </row>
    <row r="5247" spans="1:50">
      <c r="A5247" s="1">
        <f>HYPERLINK("https://lsnyc.legalserver.org/matter/dynamic-profile/view/1858268","18-1858268")</f>
        <v>0</v>
      </c>
      <c r="B5247" t="s">
        <v>52</v>
      </c>
      <c r="C5247" t="s">
        <v>340</v>
      </c>
      <c r="D5247" t="s">
        <v>750</v>
      </c>
      <c r="F5247" t="s">
        <v>1106</v>
      </c>
      <c r="G5247" t="s">
        <v>5269</v>
      </c>
      <c r="H5247" t="s">
        <v>13558</v>
      </c>
      <c r="I5247" t="s">
        <v>17449</v>
      </c>
      <c r="J5247" t="s">
        <v>18892</v>
      </c>
      <c r="K5247">
        <v>10467</v>
      </c>
      <c r="L5247" t="s">
        <v>18958</v>
      </c>
      <c r="M5247" t="s">
        <v>18960</v>
      </c>
      <c r="N5247" t="s">
        <v>22922</v>
      </c>
      <c r="O5247" t="s">
        <v>26524</v>
      </c>
      <c r="P5247" t="s">
        <v>26560</v>
      </c>
      <c r="R5247" t="s">
        <v>26579</v>
      </c>
      <c r="S5247" t="s">
        <v>18959</v>
      </c>
      <c r="U5247" t="s">
        <v>26604</v>
      </c>
      <c r="V5247" t="s">
        <v>26610</v>
      </c>
      <c r="W5247" t="s">
        <v>710</v>
      </c>
      <c r="X5247">
        <v>971.34</v>
      </c>
      <c r="Y5247" t="s">
        <v>26650</v>
      </c>
      <c r="Z5247" t="s">
        <v>26662</v>
      </c>
      <c r="AB5247" t="s">
        <v>30955</v>
      </c>
      <c r="AC5247" t="s">
        <v>35957</v>
      </c>
      <c r="AD5247" t="s">
        <v>41185</v>
      </c>
      <c r="AE5247">
        <v>91</v>
      </c>
      <c r="AF5247" t="s">
        <v>45541</v>
      </c>
      <c r="AG5247" t="s">
        <v>26530</v>
      </c>
      <c r="AH5247">
        <v>15</v>
      </c>
      <c r="AI5247">
        <v>1</v>
      </c>
      <c r="AJ5247">
        <v>0</v>
      </c>
      <c r="AK5247">
        <v>77.51000000000001</v>
      </c>
      <c r="AN5247" t="s">
        <v>7439</v>
      </c>
      <c r="AO5247">
        <v>9348</v>
      </c>
      <c r="AP5247" t="s">
        <v>45620</v>
      </c>
      <c r="AU5247">
        <v>12.3</v>
      </c>
      <c r="AV5247" t="s">
        <v>682</v>
      </c>
      <c r="AW5247" t="s">
        <v>46848</v>
      </c>
    </row>
    <row r="5248" spans="1:50">
      <c r="A5248" s="1">
        <f>HYPERLINK("https://lsnyc.legalserver.org/matter/dynamic-profile/view/1858213","18-1858213")</f>
        <v>0</v>
      </c>
      <c r="B5248" t="s">
        <v>52</v>
      </c>
      <c r="C5248" t="s">
        <v>340</v>
      </c>
      <c r="D5248" t="s">
        <v>750</v>
      </c>
      <c r="F5248" t="s">
        <v>3348</v>
      </c>
      <c r="G5248" t="s">
        <v>7602</v>
      </c>
      <c r="H5248" t="s">
        <v>13558</v>
      </c>
      <c r="I5248" t="s">
        <v>17362</v>
      </c>
      <c r="J5248" t="s">
        <v>18892</v>
      </c>
      <c r="K5248">
        <v>10467</v>
      </c>
      <c r="L5248" t="s">
        <v>18958</v>
      </c>
      <c r="M5248" t="s">
        <v>18960</v>
      </c>
      <c r="N5248" t="s">
        <v>22923</v>
      </c>
      <c r="O5248" t="s">
        <v>26524</v>
      </c>
      <c r="P5248" t="s">
        <v>26560</v>
      </c>
      <c r="R5248" t="s">
        <v>26579</v>
      </c>
      <c r="S5248" t="s">
        <v>18959</v>
      </c>
      <c r="U5248" t="s">
        <v>26604</v>
      </c>
      <c r="V5248" t="s">
        <v>26610</v>
      </c>
      <c r="W5248" t="s">
        <v>710</v>
      </c>
      <c r="X5248">
        <v>1033.13</v>
      </c>
      <c r="Y5248" t="s">
        <v>26650</v>
      </c>
      <c r="Z5248" t="s">
        <v>26662</v>
      </c>
      <c r="AB5248" t="s">
        <v>28495</v>
      </c>
      <c r="AC5248" t="s">
        <v>35958</v>
      </c>
      <c r="AD5248" t="s">
        <v>41186</v>
      </c>
      <c r="AE5248">
        <v>91</v>
      </c>
      <c r="AF5248" t="s">
        <v>45541</v>
      </c>
      <c r="AG5248" t="s">
        <v>26530</v>
      </c>
      <c r="AH5248">
        <v>13</v>
      </c>
      <c r="AI5248">
        <v>1</v>
      </c>
      <c r="AJ5248">
        <v>0</v>
      </c>
      <c r="AK5248">
        <v>114.43</v>
      </c>
      <c r="AN5248" t="s">
        <v>7439</v>
      </c>
      <c r="AO5248">
        <v>13800</v>
      </c>
      <c r="AP5248" t="s">
        <v>45620</v>
      </c>
      <c r="AU5248">
        <v>11.94</v>
      </c>
      <c r="AV5248" t="s">
        <v>723</v>
      </c>
      <c r="AW5248" t="s">
        <v>46848</v>
      </c>
    </row>
    <row r="5249" spans="1:50">
      <c r="A5249" s="1">
        <f>HYPERLINK("https://lsnyc.legalserver.org/matter/dynamic-profile/view/1886806","19-1886806")</f>
        <v>0</v>
      </c>
      <c r="B5249" t="s">
        <v>70</v>
      </c>
      <c r="C5249" t="s">
        <v>341</v>
      </c>
      <c r="D5249" t="s">
        <v>713</v>
      </c>
      <c r="E5249" t="s">
        <v>805</v>
      </c>
      <c r="F5249" t="s">
        <v>2769</v>
      </c>
      <c r="G5249" t="s">
        <v>7603</v>
      </c>
      <c r="H5249" t="s">
        <v>12830</v>
      </c>
      <c r="I5249" t="s">
        <v>17552</v>
      </c>
      <c r="J5249" t="s">
        <v>18892</v>
      </c>
      <c r="K5249">
        <v>10468</v>
      </c>
      <c r="L5249" t="s">
        <v>18958</v>
      </c>
      <c r="M5249" t="s">
        <v>18958</v>
      </c>
      <c r="N5249" t="s">
        <v>22924</v>
      </c>
      <c r="O5249" t="s">
        <v>26523</v>
      </c>
      <c r="P5249" t="s">
        <v>26560</v>
      </c>
      <c r="Q5249" t="s">
        <v>26574</v>
      </c>
      <c r="R5249" t="s">
        <v>26579</v>
      </c>
      <c r="S5249" t="s">
        <v>18959</v>
      </c>
      <c r="U5249" t="s">
        <v>26604</v>
      </c>
      <c r="V5249" t="s">
        <v>26609</v>
      </c>
      <c r="W5249" t="s">
        <v>710</v>
      </c>
      <c r="X5249">
        <v>1007.45</v>
      </c>
      <c r="Y5249" t="s">
        <v>26650</v>
      </c>
      <c r="Z5249" t="s">
        <v>26668</v>
      </c>
      <c r="AA5249" t="s">
        <v>26678</v>
      </c>
      <c r="AB5249" t="s">
        <v>29303</v>
      </c>
      <c r="AC5249" t="s">
        <v>35959</v>
      </c>
      <c r="AD5249" t="s">
        <v>41187</v>
      </c>
      <c r="AE5249">
        <v>22</v>
      </c>
      <c r="AF5249" t="s">
        <v>20460</v>
      </c>
      <c r="AG5249" t="s">
        <v>45559</v>
      </c>
      <c r="AH5249">
        <v>21</v>
      </c>
      <c r="AI5249">
        <v>4</v>
      </c>
      <c r="AJ5249">
        <v>1</v>
      </c>
      <c r="AK5249">
        <v>89.56999999999999</v>
      </c>
      <c r="AN5249" t="s">
        <v>7439</v>
      </c>
      <c r="AO5249">
        <v>26352</v>
      </c>
      <c r="AQ5249" t="s">
        <v>46361</v>
      </c>
      <c r="AR5249" t="s">
        <v>46380</v>
      </c>
      <c r="AS5249" t="s">
        <v>46499</v>
      </c>
      <c r="AT5249" t="s">
        <v>46740</v>
      </c>
      <c r="AU5249">
        <v>10.2</v>
      </c>
      <c r="AV5249" t="s">
        <v>803</v>
      </c>
      <c r="AW5249" t="s">
        <v>46870</v>
      </c>
      <c r="AX5249" t="s">
        <v>46897</v>
      </c>
    </row>
    <row r="5250" spans="1:50">
      <c r="A5250" s="1">
        <f>HYPERLINK("https://lsnyc.legalserver.org/matter/dynamic-profile/view/1888915","19-1888915")</f>
        <v>0</v>
      </c>
      <c r="B5250" t="s">
        <v>125</v>
      </c>
      <c r="C5250" t="s">
        <v>340</v>
      </c>
      <c r="D5250" t="s">
        <v>732</v>
      </c>
      <c r="F5250" t="s">
        <v>2585</v>
      </c>
      <c r="G5250" t="s">
        <v>994</v>
      </c>
      <c r="H5250" t="s">
        <v>13590</v>
      </c>
      <c r="I5250">
        <v>14</v>
      </c>
      <c r="J5250" t="s">
        <v>18894</v>
      </c>
      <c r="K5250">
        <v>11212</v>
      </c>
      <c r="L5250" t="s">
        <v>18958</v>
      </c>
      <c r="M5250" t="s">
        <v>18958</v>
      </c>
      <c r="N5250" t="s">
        <v>22925</v>
      </c>
      <c r="O5250" t="s">
        <v>26524</v>
      </c>
      <c r="P5250" t="s">
        <v>26560</v>
      </c>
      <c r="R5250" t="s">
        <v>26578</v>
      </c>
      <c r="S5250" t="s">
        <v>18959</v>
      </c>
      <c r="U5250" t="s">
        <v>26604</v>
      </c>
      <c r="V5250" t="s">
        <v>26610</v>
      </c>
      <c r="W5250" t="s">
        <v>710</v>
      </c>
      <c r="X5250">
        <v>1078</v>
      </c>
      <c r="Y5250" t="s">
        <v>26652</v>
      </c>
      <c r="Z5250" t="s">
        <v>26661</v>
      </c>
      <c r="AB5250" t="s">
        <v>30956</v>
      </c>
      <c r="AC5250" t="s">
        <v>19330</v>
      </c>
      <c r="AD5250" t="s">
        <v>41188</v>
      </c>
      <c r="AE5250">
        <v>15</v>
      </c>
      <c r="AF5250" t="s">
        <v>45541</v>
      </c>
      <c r="AG5250" t="s">
        <v>19330</v>
      </c>
      <c r="AH5250">
        <v>8</v>
      </c>
      <c r="AI5250">
        <v>2</v>
      </c>
      <c r="AJ5250">
        <v>3</v>
      </c>
      <c r="AK5250">
        <v>308.25</v>
      </c>
      <c r="AN5250" t="s">
        <v>7439</v>
      </c>
      <c r="AO5250">
        <v>93000</v>
      </c>
      <c r="AP5250" t="s">
        <v>45847</v>
      </c>
      <c r="AU5250">
        <v>38.35</v>
      </c>
      <c r="AV5250" t="s">
        <v>772</v>
      </c>
      <c r="AW5250" t="s">
        <v>46842</v>
      </c>
      <c r="AX5250" t="s">
        <v>46897</v>
      </c>
    </row>
    <row r="5251" spans="1:50">
      <c r="A5251" s="1">
        <f>HYPERLINK("https://lsnyc.legalserver.org/matter/dynamic-profile/view/1889030","19-1889030")</f>
        <v>0</v>
      </c>
      <c r="B5251" t="s">
        <v>200</v>
      </c>
      <c r="C5251" t="s">
        <v>340</v>
      </c>
      <c r="D5251" t="s">
        <v>709</v>
      </c>
      <c r="F5251" t="s">
        <v>1569</v>
      </c>
      <c r="G5251" t="s">
        <v>5086</v>
      </c>
      <c r="H5251" t="s">
        <v>13591</v>
      </c>
      <c r="I5251" t="s">
        <v>17291</v>
      </c>
      <c r="J5251" t="s">
        <v>18894</v>
      </c>
      <c r="K5251">
        <v>11233</v>
      </c>
      <c r="L5251" t="s">
        <v>18958</v>
      </c>
      <c r="M5251" t="s">
        <v>18958</v>
      </c>
      <c r="N5251" t="s">
        <v>22926</v>
      </c>
      <c r="O5251" t="s">
        <v>26524</v>
      </c>
      <c r="P5251" t="s">
        <v>26560</v>
      </c>
      <c r="R5251" t="s">
        <v>26578</v>
      </c>
      <c r="S5251" t="s">
        <v>26598</v>
      </c>
      <c r="U5251" t="s">
        <v>26604</v>
      </c>
      <c r="V5251" t="s">
        <v>26610</v>
      </c>
      <c r="W5251" t="s">
        <v>710</v>
      </c>
      <c r="X5251">
        <v>1162</v>
      </c>
      <c r="Y5251" t="s">
        <v>26652</v>
      </c>
      <c r="Z5251" t="s">
        <v>26661</v>
      </c>
      <c r="AB5251" t="s">
        <v>30957</v>
      </c>
      <c r="AC5251" t="s">
        <v>19330</v>
      </c>
      <c r="AD5251" t="s">
        <v>41189</v>
      </c>
      <c r="AE5251">
        <v>8</v>
      </c>
      <c r="AF5251" t="s">
        <v>45541</v>
      </c>
      <c r="AG5251" t="s">
        <v>19330</v>
      </c>
      <c r="AH5251">
        <v>26</v>
      </c>
      <c r="AI5251">
        <v>4</v>
      </c>
      <c r="AJ5251">
        <v>0</v>
      </c>
      <c r="AK5251">
        <v>184.47</v>
      </c>
      <c r="AN5251" t="s">
        <v>7439</v>
      </c>
      <c r="AO5251">
        <v>47500</v>
      </c>
      <c r="AU5251">
        <v>29.2</v>
      </c>
      <c r="AV5251" t="s">
        <v>839</v>
      </c>
      <c r="AW5251" t="s">
        <v>279</v>
      </c>
      <c r="AX5251" t="s">
        <v>46897</v>
      </c>
    </row>
    <row r="5252" spans="1:50">
      <c r="A5252" s="1">
        <f>HYPERLINK("https://lsnyc.legalserver.org/matter/dynamic-profile/view/1889403","19-1889403")</f>
        <v>0</v>
      </c>
      <c r="B5252" t="s">
        <v>140</v>
      </c>
      <c r="C5252" t="s">
        <v>341</v>
      </c>
      <c r="D5252" t="s">
        <v>694</v>
      </c>
      <c r="E5252" t="s">
        <v>710</v>
      </c>
      <c r="F5252" t="s">
        <v>2513</v>
      </c>
      <c r="G5252" t="s">
        <v>7604</v>
      </c>
      <c r="H5252" t="s">
        <v>13592</v>
      </c>
      <c r="I5252" t="s">
        <v>18199</v>
      </c>
      <c r="J5252" t="s">
        <v>18894</v>
      </c>
      <c r="K5252">
        <v>11223</v>
      </c>
      <c r="L5252" t="s">
        <v>18958</v>
      </c>
      <c r="M5252" t="s">
        <v>18958</v>
      </c>
      <c r="N5252" t="s">
        <v>22927</v>
      </c>
      <c r="O5252" t="s">
        <v>26523</v>
      </c>
      <c r="P5252" t="s">
        <v>26564</v>
      </c>
      <c r="Q5252" t="s">
        <v>26570</v>
      </c>
      <c r="R5252" t="s">
        <v>26586</v>
      </c>
      <c r="S5252" t="s">
        <v>18959</v>
      </c>
      <c r="U5252" t="s">
        <v>26604</v>
      </c>
      <c r="V5252" t="s">
        <v>26610</v>
      </c>
      <c r="W5252" t="s">
        <v>710</v>
      </c>
      <c r="X5252">
        <v>1500</v>
      </c>
      <c r="Y5252" t="s">
        <v>26652</v>
      </c>
      <c r="Z5252" t="s">
        <v>26664</v>
      </c>
      <c r="AA5252" t="s">
        <v>26683</v>
      </c>
      <c r="AB5252" t="s">
        <v>30958</v>
      </c>
      <c r="AC5252" t="s">
        <v>35960</v>
      </c>
      <c r="AE5252">
        <v>2</v>
      </c>
      <c r="AF5252" t="s">
        <v>45547</v>
      </c>
      <c r="AH5252">
        <v>1</v>
      </c>
      <c r="AI5252">
        <v>2</v>
      </c>
      <c r="AJ5252">
        <v>3</v>
      </c>
      <c r="AK5252">
        <v>24.22</v>
      </c>
      <c r="AO5252">
        <v>7308</v>
      </c>
      <c r="AU5252">
        <v>2.8</v>
      </c>
      <c r="AV5252" t="s">
        <v>710</v>
      </c>
      <c r="AW5252" t="s">
        <v>46862</v>
      </c>
    </row>
    <row r="5253" spans="1:50">
      <c r="A5253" s="1">
        <f>HYPERLINK("https://lsnyc.legalserver.org/matter/dynamic-profile/view/1889288","19-1889288")</f>
        <v>0</v>
      </c>
      <c r="B5253" t="s">
        <v>140</v>
      </c>
      <c r="C5253" t="s">
        <v>341</v>
      </c>
      <c r="D5253" t="s">
        <v>694</v>
      </c>
      <c r="E5253" t="s">
        <v>710</v>
      </c>
      <c r="F5253" t="s">
        <v>1592</v>
      </c>
      <c r="G5253" t="s">
        <v>1800</v>
      </c>
      <c r="H5253" t="s">
        <v>13593</v>
      </c>
      <c r="I5253" t="s">
        <v>17374</v>
      </c>
      <c r="J5253" t="s">
        <v>18894</v>
      </c>
      <c r="K5253">
        <v>11214</v>
      </c>
      <c r="L5253" t="s">
        <v>18958</v>
      </c>
      <c r="M5253" t="s">
        <v>18958</v>
      </c>
      <c r="N5253" t="s">
        <v>22928</v>
      </c>
      <c r="O5253" t="s">
        <v>26524</v>
      </c>
      <c r="P5253" t="s">
        <v>26564</v>
      </c>
      <c r="Q5253" t="s">
        <v>26570</v>
      </c>
      <c r="R5253" t="s">
        <v>26586</v>
      </c>
      <c r="S5253" t="s">
        <v>18959</v>
      </c>
      <c r="U5253" t="s">
        <v>26604</v>
      </c>
      <c r="V5253" t="s">
        <v>26610</v>
      </c>
      <c r="W5253" t="s">
        <v>710</v>
      </c>
      <c r="X5253">
        <v>1150</v>
      </c>
      <c r="Y5253" t="s">
        <v>26652</v>
      </c>
      <c r="Z5253" t="s">
        <v>26664</v>
      </c>
      <c r="AA5253" t="s">
        <v>26683</v>
      </c>
      <c r="AB5253" t="s">
        <v>30913</v>
      </c>
      <c r="AD5253" t="s">
        <v>41190</v>
      </c>
      <c r="AE5253">
        <v>2</v>
      </c>
      <c r="AF5253" t="s">
        <v>45547</v>
      </c>
      <c r="AH5253">
        <v>6</v>
      </c>
      <c r="AI5253">
        <v>2</v>
      </c>
      <c r="AJ5253">
        <v>0</v>
      </c>
      <c r="AK5253">
        <v>131.85</v>
      </c>
      <c r="AN5253" t="s">
        <v>7439</v>
      </c>
      <c r="AO5253">
        <v>22296</v>
      </c>
      <c r="AU5253">
        <v>1.1</v>
      </c>
      <c r="AV5253" t="s">
        <v>694</v>
      </c>
      <c r="AW5253" t="s">
        <v>46862</v>
      </c>
    </row>
    <row r="5254" spans="1:50">
      <c r="A5254" s="1">
        <f>HYPERLINK("https://lsnyc.legalserver.org/matter/dynamic-profile/view/1889702","19-1889702")</f>
        <v>0</v>
      </c>
      <c r="B5254" t="s">
        <v>140</v>
      </c>
      <c r="C5254" t="s">
        <v>341</v>
      </c>
      <c r="D5254" t="s">
        <v>739</v>
      </c>
      <c r="E5254" t="s">
        <v>710</v>
      </c>
      <c r="F5254" t="s">
        <v>2111</v>
      </c>
      <c r="G5254" t="s">
        <v>1384</v>
      </c>
      <c r="H5254" t="s">
        <v>13594</v>
      </c>
      <c r="I5254" t="s">
        <v>17291</v>
      </c>
      <c r="J5254" t="s">
        <v>18894</v>
      </c>
      <c r="K5254">
        <v>11226</v>
      </c>
      <c r="L5254" t="s">
        <v>18958</v>
      </c>
      <c r="M5254" t="s">
        <v>18958</v>
      </c>
      <c r="N5254" t="s">
        <v>22929</v>
      </c>
      <c r="O5254" t="s">
        <v>26526</v>
      </c>
      <c r="P5254" t="s">
        <v>26564</v>
      </c>
      <c r="Q5254" t="s">
        <v>26570</v>
      </c>
      <c r="R5254" t="s">
        <v>26586</v>
      </c>
      <c r="S5254" t="s">
        <v>18959</v>
      </c>
      <c r="U5254" t="s">
        <v>26604</v>
      </c>
      <c r="V5254" t="s">
        <v>26610</v>
      </c>
      <c r="W5254" t="s">
        <v>710</v>
      </c>
      <c r="X5254">
        <v>1246.39</v>
      </c>
      <c r="Y5254" t="s">
        <v>26652</v>
      </c>
      <c r="Z5254" t="s">
        <v>26664</v>
      </c>
      <c r="AA5254" t="s">
        <v>26683</v>
      </c>
      <c r="AB5254" t="s">
        <v>26967</v>
      </c>
      <c r="AD5254" t="s">
        <v>41191</v>
      </c>
      <c r="AE5254">
        <v>6</v>
      </c>
      <c r="AF5254" t="s">
        <v>45541</v>
      </c>
      <c r="AG5254" t="s">
        <v>19330</v>
      </c>
      <c r="AH5254">
        <v>5</v>
      </c>
      <c r="AI5254">
        <v>2</v>
      </c>
      <c r="AJ5254">
        <v>0</v>
      </c>
      <c r="AK5254">
        <v>236.78</v>
      </c>
      <c r="AO5254">
        <v>40040</v>
      </c>
      <c r="AU5254">
        <v>2.3</v>
      </c>
      <c r="AV5254" t="s">
        <v>710</v>
      </c>
      <c r="AW5254" t="s">
        <v>46862</v>
      </c>
    </row>
    <row r="5255" spans="1:50">
      <c r="A5255" s="1">
        <f>HYPERLINK("https://lsnyc.legalserver.org/matter/dynamic-profile/view/1889858","19-1889858")</f>
        <v>0</v>
      </c>
      <c r="B5255" t="s">
        <v>140</v>
      </c>
      <c r="C5255" t="s">
        <v>341</v>
      </c>
      <c r="D5255" t="s">
        <v>714</v>
      </c>
      <c r="E5255" t="s">
        <v>710</v>
      </c>
      <c r="F5255" t="s">
        <v>3349</v>
      </c>
      <c r="G5255" t="s">
        <v>5678</v>
      </c>
      <c r="H5255" t="s">
        <v>13595</v>
      </c>
      <c r="I5255" t="s">
        <v>17469</v>
      </c>
      <c r="J5255" t="s">
        <v>18894</v>
      </c>
      <c r="K5255">
        <v>11220</v>
      </c>
      <c r="L5255" t="s">
        <v>18958</v>
      </c>
      <c r="M5255" t="s">
        <v>18958</v>
      </c>
      <c r="N5255" t="s">
        <v>22930</v>
      </c>
      <c r="O5255" t="s">
        <v>26524</v>
      </c>
      <c r="P5255" t="s">
        <v>26564</v>
      </c>
      <c r="Q5255" t="s">
        <v>26570</v>
      </c>
      <c r="R5255" t="s">
        <v>26586</v>
      </c>
      <c r="S5255" t="s">
        <v>18959</v>
      </c>
      <c r="U5255" t="s">
        <v>26604</v>
      </c>
      <c r="V5255" t="s">
        <v>26610</v>
      </c>
      <c r="W5255" t="s">
        <v>710</v>
      </c>
      <c r="X5255">
        <v>1722</v>
      </c>
      <c r="Y5255" t="s">
        <v>26652</v>
      </c>
      <c r="Z5255" t="s">
        <v>26664</v>
      </c>
      <c r="AA5255" t="s">
        <v>26683</v>
      </c>
      <c r="AB5255" t="s">
        <v>30959</v>
      </c>
      <c r="AD5255" t="s">
        <v>41192</v>
      </c>
      <c r="AE5255">
        <v>3</v>
      </c>
      <c r="AF5255" t="s">
        <v>45547</v>
      </c>
      <c r="AG5255" t="s">
        <v>19330</v>
      </c>
      <c r="AH5255">
        <v>19</v>
      </c>
      <c r="AI5255">
        <v>2</v>
      </c>
      <c r="AJ5255">
        <v>0</v>
      </c>
      <c r="AK5255">
        <v>160.5</v>
      </c>
      <c r="AN5255" t="s">
        <v>45581</v>
      </c>
      <c r="AO5255">
        <v>27140</v>
      </c>
      <c r="AU5255">
        <v>0.8</v>
      </c>
      <c r="AV5255" t="s">
        <v>710</v>
      </c>
      <c r="AW5255" t="s">
        <v>46853</v>
      </c>
    </row>
    <row r="5256" spans="1:50">
      <c r="A5256" s="1">
        <f>HYPERLINK("https://lsnyc.legalserver.org/matter/dynamic-profile/view/1889841","19-1889841")</f>
        <v>0</v>
      </c>
      <c r="B5256" t="s">
        <v>140</v>
      </c>
      <c r="C5256" t="s">
        <v>341</v>
      </c>
      <c r="D5256" t="s">
        <v>714</v>
      </c>
      <c r="E5256" t="s">
        <v>710</v>
      </c>
      <c r="F5256" t="s">
        <v>1677</v>
      </c>
      <c r="G5256" t="s">
        <v>7605</v>
      </c>
      <c r="H5256" t="s">
        <v>13596</v>
      </c>
      <c r="I5256" t="s">
        <v>17416</v>
      </c>
      <c r="J5256" t="s">
        <v>18894</v>
      </c>
      <c r="K5256">
        <v>11233</v>
      </c>
      <c r="L5256" t="s">
        <v>18958</v>
      </c>
      <c r="M5256" t="s">
        <v>18958</v>
      </c>
      <c r="N5256" t="s">
        <v>22931</v>
      </c>
      <c r="O5256" t="s">
        <v>26526</v>
      </c>
      <c r="P5256" t="s">
        <v>26564</v>
      </c>
      <c r="Q5256" t="s">
        <v>26570</v>
      </c>
      <c r="R5256" t="s">
        <v>26586</v>
      </c>
      <c r="U5256" t="s">
        <v>26607</v>
      </c>
      <c r="W5256" t="s">
        <v>710</v>
      </c>
      <c r="X5256">
        <v>400</v>
      </c>
      <c r="Y5256" t="s">
        <v>26652</v>
      </c>
      <c r="Z5256" t="s">
        <v>26664</v>
      </c>
      <c r="AA5256" t="s">
        <v>26683</v>
      </c>
      <c r="AB5256" t="s">
        <v>30960</v>
      </c>
      <c r="AD5256" t="s">
        <v>41193</v>
      </c>
      <c r="AE5256">
        <v>3</v>
      </c>
      <c r="AG5256" t="s">
        <v>19330</v>
      </c>
      <c r="AH5256">
        <v>-1</v>
      </c>
      <c r="AI5256">
        <v>1</v>
      </c>
      <c r="AJ5256">
        <v>0</v>
      </c>
      <c r="AK5256">
        <v>164.93</v>
      </c>
      <c r="AN5256" t="s">
        <v>7439</v>
      </c>
      <c r="AO5256">
        <v>20600</v>
      </c>
      <c r="AU5256">
        <v>0.6</v>
      </c>
      <c r="AV5256" t="s">
        <v>710</v>
      </c>
      <c r="AW5256" t="s">
        <v>46853</v>
      </c>
    </row>
    <row r="5257" spans="1:50">
      <c r="A5257" s="1">
        <f>HYPERLINK("https://lsnyc.legalserver.org/matter/dynamic-profile/view/1890125","19-1890125")</f>
        <v>0</v>
      </c>
      <c r="B5257" t="s">
        <v>77</v>
      </c>
      <c r="C5257" t="s">
        <v>341</v>
      </c>
      <c r="D5257" t="s">
        <v>710</v>
      </c>
      <c r="E5257" t="s">
        <v>821</v>
      </c>
      <c r="F5257" t="s">
        <v>948</v>
      </c>
      <c r="G5257" t="s">
        <v>6065</v>
      </c>
      <c r="H5257" t="s">
        <v>13597</v>
      </c>
      <c r="I5257" t="s">
        <v>17347</v>
      </c>
      <c r="J5257" t="s">
        <v>18893</v>
      </c>
      <c r="K5257">
        <v>10026</v>
      </c>
      <c r="L5257" t="s">
        <v>18958</v>
      </c>
      <c r="M5257" t="s">
        <v>18958</v>
      </c>
      <c r="N5257" t="s">
        <v>22932</v>
      </c>
      <c r="O5257" t="s">
        <v>26523</v>
      </c>
      <c r="P5257" t="s">
        <v>26560</v>
      </c>
      <c r="Q5257" t="s">
        <v>26568</v>
      </c>
      <c r="R5257" t="s">
        <v>26580</v>
      </c>
      <c r="S5257" t="s">
        <v>18959</v>
      </c>
      <c r="U5257" t="s">
        <v>26604</v>
      </c>
      <c r="W5257" t="s">
        <v>710</v>
      </c>
      <c r="X5257">
        <v>897.89</v>
      </c>
      <c r="Y5257" t="s">
        <v>26651</v>
      </c>
      <c r="Z5257" t="s">
        <v>26668</v>
      </c>
      <c r="AA5257" t="s">
        <v>26678</v>
      </c>
      <c r="AB5257" t="s">
        <v>30961</v>
      </c>
      <c r="AD5257" t="s">
        <v>41194</v>
      </c>
      <c r="AE5257">
        <v>0</v>
      </c>
      <c r="AF5257" t="s">
        <v>45541</v>
      </c>
      <c r="AG5257" t="s">
        <v>19330</v>
      </c>
      <c r="AH5257">
        <v>10</v>
      </c>
      <c r="AI5257">
        <v>1</v>
      </c>
      <c r="AJ5257">
        <v>0</v>
      </c>
      <c r="AK5257">
        <v>61.59</v>
      </c>
      <c r="AN5257" t="s">
        <v>7439</v>
      </c>
      <c r="AO5257">
        <v>7692</v>
      </c>
      <c r="AS5257" t="s">
        <v>46499</v>
      </c>
      <c r="AU5257">
        <v>11.4</v>
      </c>
      <c r="AV5257" t="s">
        <v>834</v>
      </c>
      <c r="AW5257" t="s">
        <v>314</v>
      </c>
    </row>
    <row r="5258" spans="1:50">
      <c r="A5258" s="1">
        <f>HYPERLINK("https://lsnyc.legalserver.org/matter/dynamic-profile/view/1890082","19-1890082")</f>
        <v>0</v>
      </c>
      <c r="B5258" t="s">
        <v>151</v>
      </c>
      <c r="C5258" t="s">
        <v>341</v>
      </c>
      <c r="D5258" t="s">
        <v>710</v>
      </c>
      <c r="E5258" t="s">
        <v>764</v>
      </c>
      <c r="F5258" t="s">
        <v>2564</v>
      </c>
      <c r="G5258" t="s">
        <v>5785</v>
      </c>
      <c r="H5258" t="s">
        <v>12224</v>
      </c>
      <c r="I5258">
        <v>209</v>
      </c>
      <c r="J5258" t="s">
        <v>18893</v>
      </c>
      <c r="K5258">
        <v>10025</v>
      </c>
      <c r="L5258" t="s">
        <v>18958</v>
      </c>
      <c r="M5258" t="s">
        <v>18958</v>
      </c>
      <c r="N5258" t="s">
        <v>22933</v>
      </c>
      <c r="O5258" t="s">
        <v>26523</v>
      </c>
      <c r="P5258" t="s">
        <v>26560</v>
      </c>
      <c r="Q5258" t="s">
        <v>26568</v>
      </c>
      <c r="R5258" t="s">
        <v>26580</v>
      </c>
      <c r="S5258" t="s">
        <v>18959</v>
      </c>
      <c r="U5258" t="s">
        <v>26604</v>
      </c>
      <c r="V5258" t="s">
        <v>26610</v>
      </c>
      <c r="W5258" t="s">
        <v>710</v>
      </c>
      <c r="X5258">
        <v>241</v>
      </c>
      <c r="Y5258" t="s">
        <v>26651</v>
      </c>
      <c r="AA5258" t="s">
        <v>26678</v>
      </c>
      <c r="AB5258" t="s">
        <v>30962</v>
      </c>
      <c r="AC5258" t="s">
        <v>35961</v>
      </c>
      <c r="AD5258" t="s">
        <v>41195</v>
      </c>
      <c r="AE5258">
        <v>0</v>
      </c>
      <c r="AF5258" t="s">
        <v>20460</v>
      </c>
      <c r="AG5258" t="s">
        <v>45556</v>
      </c>
      <c r="AH5258">
        <v>1</v>
      </c>
      <c r="AI5258">
        <v>1</v>
      </c>
      <c r="AJ5258">
        <v>0</v>
      </c>
      <c r="AK5258">
        <v>74.08</v>
      </c>
      <c r="AN5258" t="s">
        <v>45581</v>
      </c>
      <c r="AO5258">
        <v>9252</v>
      </c>
      <c r="AS5258" t="s">
        <v>46499</v>
      </c>
      <c r="AT5258" t="s">
        <v>46531</v>
      </c>
      <c r="AU5258">
        <v>6.9</v>
      </c>
      <c r="AV5258" t="s">
        <v>741</v>
      </c>
      <c r="AW5258" t="s">
        <v>314</v>
      </c>
    </row>
    <row r="5259" spans="1:50">
      <c r="A5259" s="1">
        <f>HYPERLINK("https://lsnyc.legalserver.org/matter/dynamic-profile/view/1890113","19-1890113")</f>
        <v>0</v>
      </c>
      <c r="B5259" t="s">
        <v>234</v>
      </c>
      <c r="C5259" t="s">
        <v>341</v>
      </c>
      <c r="D5259" t="s">
        <v>710</v>
      </c>
      <c r="E5259" t="s">
        <v>818</v>
      </c>
      <c r="F5259" t="s">
        <v>1603</v>
      </c>
      <c r="G5259" t="s">
        <v>5969</v>
      </c>
      <c r="H5259" t="s">
        <v>13598</v>
      </c>
      <c r="I5259" t="s">
        <v>17366</v>
      </c>
      <c r="J5259" t="s">
        <v>18893</v>
      </c>
      <c r="K5259">
        <v>10026</v>
      </c>
      <c r="L5259" t="s">
        <v>18958</v>
      </c>
      <c r="M5259" t="s">
        <v>18958</v>
      </c>
      <c r="N5259" t="s">
        <v>22934</v>
      </c>
      <c r="O5259" t="s">
        <v>26523</v>
      </c>
      <c r="P5259" t="s">
        <v>26560</v>
      </c>
      <c r="Q5259" t="s">
        <v>26568</v>
      </c>
      <c r="R5259" t="s">
        <v>26580</v>
      </c>
      <c r="S5259" t="s">
        <v>18959</v>
      </c>
      <c r="U5259" t="s">
        <v>26606</v>
      </c>
      <c r="V5259" t="s">
        <v>26610</v>
      </c>
      <c r="W5259" t="s">
        <v>710</v>
      </c>
      <c r="X5259">
        <v>2403</v>
      </c>
      <c r="Y5259" t="s">
        <v>26651</v>
      </c>
      <c r="Z5259" t="s">
        <v>26668</v>
      </c>
      <c r="AA5259" t="s">
        <v>26678</v>
      </c>
      <c r="AB5259" t="s">
        <v>29159</v>
      </c>
      <c r="AD5259" t="s">
        <v>41196</v>
      </c>
      <c r="AE5259">
        <v>0</v>
      </c>
      <c r="AF5259" t="s">
        <v>45543</v>
      </c>
      <c r="AG5259" t="s">
        <v>45556</v>
      </c>
      <c r="AH5259">
        <v>13</v>
      </c>
      <c r="AI5259">
        <v>1</v>
      </c>
      <c r="AJ5259">
        <v>1</v>
      </c>
      <c r="AK5259">
        <v>76.88</v>
      </c>
      <c r="AN5259" t="s">
        <v>7439</v>
      </c>
      <c r="AO5259">
        <v>13000</v>
      </c>
      <c r="AS5259" t="s">
        <v>46499</v>
      </c>
      <c r="AT5259" t="s">
        <v>46784</v>
      </c>
      <c r="AU5259">
        <v>6.6</v>
      </c>
      <c r="AV5259" t="s">
        <v>769</v>
      </c>
      <c r="AW5259" t="s">
        <v>314</v>
      </c>
      <c r="AX5259" t="s">
        <v>46897</v>
      </c>
    </row>
    <row r="5260" spans="1:50">
      <c r="A5260" s="1">
        <f>HYPERLINK("https://lsnyc.legalserver.org/matter/dynamic-profile/view/1890097","19-1890097")</f>
        <v>0</v>
      </c>
      <c r="B5260" t="s">
        <v>68</v>
      </c>
      <c r="C5260" t="s">
        <v>341</v>
      </c>
      <c r="D5260" t="s">
        <v>710</v>
      </c>
      <c r="E5260" t="s">
        <v>825</v>
      </c>
      <c r="F5260" t="s">
        <v>2340</v>
      </c>
      <c r="G5260" t="s">
        <v>5086</v>
      </c>
      <c r="H5260" t="s">
        <v>11767</v>
      </c>
      <c r="I5260" t="s">
        <v>17278</v>
      </c>
      <c r="J5260" t="s">
        <v>18892</v>
      </c>
      <c r="K5260">
        <v>10460</v>
      </c>
      <c r="L5260" t="s">
        <v>18958</v>
      </c>
      <c r="M5260" t="s">
        <v>18958</v>
      </c>
      <c r="N5260" t="s">
        <v>19330</v>
      </c>
      <c r="O5260" t="s">
        <v>26529</v>
      </c>
      <c r="P5260" t="s">
        <v>26564</v>
      </c>
      <c r="Q5260" t="s">
        <v>26570</v>
      </c>
      <c r="R5260" t="s">
        <v>26577</v>
      </c>
      <c r="U5260" t="s">
        <v>26604</v>
      </c>
      <c r="W5260" t="s">
        <v>710</v>
      </c>
      <c r="X5260">
        <v>1063.13</v>
      </c>
      <c r="Y5260" t="s">
        <v>26650</v>
      </c>
      <c r="Z5260" t="s">
        <v>26663</v>
      </c>
      <c r="AA5260" t="s">
        <v>26683</v>
      </c>
      <c r="AB5260" t="s">
        <v>29019</v>
      </c>
      <c r="AC5260" t="s">
        <v>35291</v>
      </c>
      <c r="AE5260">
        <v>35</v>
      </c>
      <c r="AF5260" t="s">
        <v>45541</v>
      </c>
      <c r="AG5260" t="s">
        <v>45557</v>
      </c>
      <c r="AH5260">
        <v>4</v>
      </c>
      <c r="AI5260">
        <v>1</v>
      </c>
      <c r="AJ5260">
        <v>3</v>
      </c>
      <c r="AK5260">
        <v>17.99</v>
      </c>
      <c r="AN5260" t="s">
        <v>7439</v>
      </c>
      <c r="AO5260">
        <v>4632</v>
      </c>
      <c r="AP5260" t="s">
        <v>45791</v>
      </c>
      <c r="AU5260">
        <v>0.6</v>
      </c>
      <c r="AV5260" t="s">
        <v>758</v>
      </c>
      <c r="AW5260" t="s">
        <v>46836</v>
      </c>
      <c r="AX5260" t="s">
        <v>46898</v>
      </c>
    </row>
    <row r="5261" spans="1:50">
      <c r="A5261" s="1">
        <f>HYPERLINK("https://lsnyc.legalserver.org/matter/dynamic-profile/view/1890201","19-1890201")</f>
        <v>0</v>
      </c>
      <c r="B5261" t="s">
        <v>75</v>
      </c>
      <c r="C5261" t="s">
        <v>341</v>
      </c>
      <c r="D5261" t="s">
        <v>710</v>
      </c>
      <c r="E5261" t="s">
        <v>787</v>
      </c>
      <c r="F5261" t="s">
        <v>3350</v>
      </c>
      <c r="G5261" t="s">
        <v>5199</v>
      </c>
      <c r="H5261" t="s">
        <v>13599</v>
      </c>
      <c r="I5261" t="s">
        <v>17578</v>
      </c>
      <c r="J5261" t="s">
        <v>18892</v>
      </c>
      <c r="K5261">
        <v>10473</v>
      </c>
      <c r="L5261" t="s">
        <v>18958</v>
      </c>
      <c r="M5261" t="s">
        <v>18958</v>
      </c>
      <c r="N5261" t="s">
        <v>22935</v>
      </c>
      <c r="O5261" t="s">
        <v>26523</v>
      </c>
      <c r="P5261" t="s">
        <v>26560</v>
      </c>
      <c r="Q5261" t="s">
        <v>26568</v>
      </c>
      <c r="R5261" t="s">
        <v>26578</v>
      </c>
      <c r="S5261" t="s">
        <v>18959</v>
      </c>
      <c r="U5261" t="s">
        <v>26604</v>
      </c>
      <c r="W5261" t="s">
        <v>710</v>
      </c>
      <c r="X5261">
        <v>2220.4</v>
      </c>
      <c r="Y5261" t="s">
        <v>26650</v>
      </c>
      <c r="AA5261" t="s">
        <v>26678</v>
      </c>
      <c r="AB5261" t="s">
        <v>30963</v>
      </c>
      <c r="AC5261" t="s">
        <v>35962</v>
      </c>
      <c r="AD5261" t="s">
        <v>41197</v>
      </c>
      <c r="AE5261">
        <v>0</v>
      </c>
      <c r="AF5261" t="s">
        <v>45547</v>
      </c>
      <c r="AG5261" t="s">
        <v>19330</v>
      </c>
      <c r="AH5261">
        <v>3</v>
      </c>
      <c r="AI5261">
        <v>2</v>
      </c>
      <c r="AJ5261">
        <v>3</v>
      </c>
      <c r="AK5261">
        <v>70.63</v>
      </c>
      <c r="AN5261" t="s">
        <v>7439</v>
      </c>
      <c r="AO5261">
        <v>21308</v>
      </c>
      <c r="AU5261">
        <v>14.5</v>
      </c>
      <c r="AV5261" t="s">
        <v>690</v>
      </c>
      <c r="AW5261" t="s">
        <v>46870</v>
      </c>
    </row>
    <row r="5262" spans="1:50">
      <c r="A5262" s="1">
        <f>HYPERLINK("https://lsnyc.legalserver.org/matter/dynamic-profile/view/1890118","19-1890118")</f>
        <v>0</v>
      </c>
      <c r="B5262" t="s">
        <v>144</v>
      </c>
      <c r="C5262" t="s">
        <v>340</v>
      </c>
      <c r="D5262" t="s">
        <v>710</v>
      </c>
      <c r="F5262" t="s">
        <v>3351</v>
      </c>
      <c r="G5262" t="s">
        <v>5340</v>
      </c>
      <c r="H5262" t="s">
        <v>13600</v>
      </c>
      <c r="I5262" t="s">
        <v>17299</v>
      </c>
      <c r="J5262" t="s">
        <v>18893</v>
      </c>
      <c r="K5262">
        <v>10025</v>
      </c>
      <c r="L5262" t="s">
        <v>18958</v>
      </c>
      <c r="M5262" t="s">
        <v>18958</v>
      </c>
      <c r="N5262" t="s">
        <v>22936</v>
      </c>
      <c r="O5262" t="s">
        <v>26523</v>
      </c>
      <c r="P5262" t="s">
        <v>26560</v>
      </c>
      <c r="R5262" t="s">
        <v>26580</v>
      </c>
      <c r="S5262" t="s">
        <v>18959</v>
      </c>
      <c r="U5262" t="s">
        <v>26604</v>
      </c>
      <c r="V5262" t="s">
        <v>26610</v>
      </c>
      <c r="W5262" t="s">
        <v>710</v>
      </c>
      <c r="X5262">
        <v>786.14</v>
      </c>
      <c r="Y5262" t="s">
        <v>26651</v>
      </c>
      <c r="Z5262" t="s">
        <v>26668</v>
      </c>
      <c r="AB5262" t="s">
        <v>27748</v>
      </c>
      <c r="AC5262">
        <v>37295333</v>
      </c>
      <c r="AD5262" t="s">
        <v>41198</v>
      </c>
      <c r="AE5262">
        <v>0</v>
      </c>
      <c r="AF5262" t="s">
        <v>45541</v>
      </c>
      <c r="AG5262" t="s">
        <v>19330</v>
      </c>
      <c r="AH5262">
        <v>20</v>
      </c>
      <c r="AI5262">
        <v>1</v>
      </c>
      <c r="AJ5262">
        <v>2</v>
      </c>
      <c r="AK5262">
        <v>21.33</v>
      </c>
      <c r="AN5262" t="s">
        <v>7439</v>
      </c>
      <c r="AO5262">
        <v>4550</v>
      </c>
      <c r="AU5262">
        <v>11.25</v>
      </c>
      <c r="AV5262" t="s">
        <v>729</v>
      </c>
      <c r="AW5262" t="s">
        <v>314</v>
      </c>
    </row>
    <row r="5263" spans="1:50">
      <c r="A5263" s="1">
        <f>HYPERLINK("https://lsnyc.legalserver.org/matter/dynamic-profile/view/1890098","19-1890098")</f>
        <v>0</v>
      </c>
      <c r="B5263" t="s">
        <v>165</v>
      </c>
      <c r="C5263" t="s">
        <v>340</v>
      </c>
      <c r="D5263" t="s">
        <v>710</v>
      </c>
      <c r="F5263" t="s">
        <v>1062</v>
      </c>
      <c r="G5263" t="s">
        <v>7606</v>
      </c>
      <c r="H5263" t="s">
        <v>13601</v>
      </c>
      <c r="I5263" t="s">
        <v>17273</v>
      </c>
      <c r="J5263" t="s">
        <v>18893</v>
      </c>
      <c r="K5263">
        <v>10026</v>
      </c>
      <c r="L5263" t="s">
        <v>18958</v>
      </c>
      <c r="M5263" t="s">
        <v>18958</v>
      </c>
      <c r="N5263" t="s">
        <v>22937</v>
      </c>
      <c r="O5263" t="s">
        <v>26523</v>
      </c>
      <c r="P5263" t="s">
        <v>26560</v>
      </c>
      <c r="R5263" t="s">
        <v>26580</v>
      </c>
      <c r="S5263" t="s">
        <v>18959</v>
      </c>
      <c r="U5263" t="s">
        <v>26604</v>
      </c>
      <c r="V5263" t="s">
        <v>26610</v>
      </c>
      <c r="W5263" t="s">
        <v>710</v>
      </c>
      <c r="X5263">
        <v>767</v>
      </c>
      <c r="Y5263" t="s">
        <v>26651</v>
      </c>
      <c r="Z5263" t="s">
        <v>26664</v>
      </c>
      <c r="AB5263" t="s">
        <v>29503</v>
      </c>
      <c r="AC5263" t="s">
        <v>35963</v>
      </c>
      <c r="AD5263" t="s">
        <v>41199</v>
      </c>
      <c r="AE5263">
        <v>0</v>
      </c>
      <c r="AF5263" t="s">
        <v>20460</v>
      </c>
      <c r="AG5263" t="s">
        <v>45556</v>
      </c>
      <c r="AH5263">
        <v>5</v>
      </c>
      <c r="AI5263">
        <v>2</v>
      </c>
      <c r="AJ5263">
        <v>4</v>
      </c>
      <c r="AK5263">
        <v>82.68000000000001</v>
      </c>
      <c r="AN5263" t="s">
        <v>7439</v>
      </c>
      <c r="AO5263">
        <v>28600</v>
      </c>
      <c r="AU5263">
        <v>9.9</v>
      </c>
      <c r="AV5263" t="s">
        <v>831</v>
      </c>
      <c r="AW5263" t="s">
        <v>46875</v>
      </c>
    </row>
    <row r="5264" spans="1:50">
      <c r="A5264" s="1">
        <f>HYPERLINK("https://lsnyc.legalserver.org/matter/dynamic-profile/view/1891167","19-1891167")</f>
        <v>0</v>
      </c>
      <c r="B5264" t="s">
        <v>149</v>
      </c>
      <c r="C5264" t="s">
        <v>340</v>
      </c>
      <c r="D5264" t="s">
        <v>710</v>
      </c>
      <c r="F5264" t="s">
        <v>1087</v>
      </c>
      <c r="G5264" t="s">
        <v>4588</v>
      </c>
      <c r="H5264" t="s">
        <v>13602</v>
      </c>
      <c r="I5264" t="s">
        <v>17451</v>
      </c>
      <c r="J5264" t="s">
        <v>18892</v>
      </c>
      <c r="K5264">
        <v>10457</v>
      </c>
      <c r="L5264" t="s">
        <v>18958</v>
      </c>
      <c r="M5264" t="s">
        <v>18958</v>
      </c>
      <c r="N5264" t="s">
        <v>22938</v>
      </c>
      <c r="O5264" t="s">
        <v>26523</v>
      </c>
      <c r="P5264" t="s">
        <v>26560</v>
      </c>
      <c r="R5264" t="s">
        <v>26579</v>
      </c>
      <c r="S5264" t="s">
        <v>18959</v>
      </c>
      <c r="U5264" t="s">
        <v>26604</v>
      </c>
      <c r="W5264" t="s">
        <v>710</v>
      </c>
      <c r="X5264">
        <v>1124.88</v>
      </c>
      <c r="Y5264" t="s">
        <v>26650</v>
      </c>
      <c r="Z5264" t="s">
        <v>26664</v>
      </c>
      <c r="AB5264" t="s">
        <v>30964</v>
      </c>
      <c r="AC5264" t="s">
        <v>35964</v>
      </c>
      <c r="AD5264" t="s">
        <v>41200</v>
      </c>
      <c r="AE5264">
        <v>26</v>
      </c>
      <c r="AF5264" t="s">
        <v>45545</v>
      </c>
      <c r="AG5264" t="s">
        <v>19330</v>
      </c>
      <c r="AH5264">
        <v>5</v>
      </c>
      <c r="AI5264">
        <v>1</v>
      </c>
      <c r="AJ5264">
        <v>4</v>
      </c>
      <c r="AK5264">
        <v>75.56999999999999</v>
      </c>
      <c r="AN5264" t="s">
        <v>45581</v>
      </c>
      <c r="AO5264">
        <v>22800</v>
      </c>
      <c r="AU5264">
        <v>4.85</v>
      </c>
      <c r="AV5264" t="s">
        <v>720</v>
      </c>
      <c r="AW5264" t="s">
        <v>336</v>
      </c>
      <c r="AX5264" t="s">
        <v>46898</v>
      </c>
    </row>
    <row r="5265" spans="1:49">
      <c r="A5265" s="1">
        <f>HYPERLINK("https://lsnyc.legalserver.org/matter/dynamic-profile/view/1890120","19-1890120")</f>
        <v>0</v>
      </c>
      <c r="B5265" t="s">
        <v>57</v>
      </c>
      <c r="C5265" t="s">
        <v>340</v>
      </c>
      <c r="D5265" t="s">
        <v>710</v>
      </c>
      <c r="F5265" t="s">
        <v>871</v>
      </c>
      <c r="G5265" t="s">
        <v>6790</v>
      </c>
      <c r="H5265" t="s">
        <v>13603</v>
      </c>
      <c r="I5265" t="s">
        <v>17566</v>
      </c>
      <c r="J5265" t="s">
        <v>18892</v>
      </c>
      <c r="K5265">
        <v>10467</v>
      </c>
      <c r="L5265" t="s">
        <v>18958</v>
      </c>
      <c r="M5265" t="s">
        <v>18958</v>
      </c>
      <c r="N5265" t="s">
        <v>22939</v>
      </c>
      <c r="O5265" t="s">
        <v>26523</v>
      </c>
      <c r="P5265" t="s">
        <v>26560</v>
      </c>
      <c r="R5265" t="s">
        <v>26579</v>
      </c>
      <c r="S5265" t="s">
        <v>18959</v>
      </c>
      <c r="U5265" t="s">
        <v>26604</v>
      </c>
      <c r="W5265" t="s">
        <v>710</v>
      </c>
      <c r="X5265">
        <v>1124</v>
      </c>
      <c r="Y5265" t="s">
        <v>26650</v>
      </c>
      <c r="Z5265" t="s">
        <v>26664</v>
      </c>
      <c r="AB5265" t="s">
        <v>30965</v>
      </c>
      <c r="AD5265" t="s">
        <v>41201</v>
      </c>
      <c r="AE5265">
        <v>0</v>
      </c>
      <c r="AF5265" t="s">
        <v>45541</v>
      </c>
      <c r="AG5265" t="s">
        <v>19330</v>
      </c>
      <c r="AH5265">
        <v>2</v>
      </c>
      <c r="AI5265">
        <v>1</v>
      </c>
      <c r="AJ5265">
        <v>2</v>
      </c>
      <c r="AK5265">
        <v>112.51</v>
      </c>
      <c r="AN5265" t="s">
        <v>7439</v>
      </c>
      <c r="AO5265">
        <v>23998</v>
      </c>
      <c r="AU5265">
        <v>9.35</v>
      </c>
      <c r="AV5265" t="s">
        <v>835</v>
      </c>
      <c r="AW5265" t="s">
        <v>46870</v>
      </c>
    </row>
    <row r="5266" spans="1:49">
      <c r="A5266" s="1">
        <f>HYPERLINK("https://lsnyc.legalserver.org/matter/dynamic-profile/view/1890166","19-1890166")</f>
        <v>0</v>
      </c>
      <c r="B5266" t="s">
        <v>57</v>
      </c>
      <c r="C5266" t="s">
        <v>340</v>
      </c>
      <c r="D5266" t="s">
        <v>710</v>
      </c>
      <c r="F5266" t="s">
        <v>947</v>
      </c>
      <c r="G5266" t="s">
        <v>7607</v>
      </c>
      <c r="H5266" t="s">
        <v>11449</v>
      </c>
      <c r="I5266" t="s">
        <v>18200</v>
      </c>
      <c r="J5266" t="s">
        <v>18892</v>
      </c>
      <c r="K5266">
        <v>10467</v>
      </c>
      <c r="L5266" t="s">
        <v>18958</v>
      </c>
      <c r="M5266" t="s">
        <v>18958</v>
      </c>
      <c r="N5266" t="s">
        <v>22940</v>
      </c>
      <c r="O5266" t="s">
        <v>26523</v>
      </c>
      <c r="P5266" t="s">
        <v>26560</v>
      </c>
      <c r="R5266" t="s">
        <v>26579</v>
      </c>
      <c r="S5266" t="s">
        <v>18959</v>
      </c>
      <c r="U5266" t="s">
        <v>26604</v>
      </c>
      <c r="W5266" t="s">
        <v>710</v>
      </c>
      <c r="X5266">
        <v>1425</v>
      </c>
      <c r="Y5266" t="s">
        <v>26650</v>
      </c>
      <c r="Z5266" t="s">
        <v>26664</v>
      </c>
      <c r="AB5266" t="s">
        <v>27461</v>
      </c>
      <c r="AD5266" t="s">
        <v>41202</v>
      </c>
      <c r="AE5266">
        <v>0</v>
      </c>
      <c r="AF5266" t="s">
        <v>45541</v>
      </c>
      <c r="AG5266" t="s">
        <v>19330</v>
      </c>
      <c r="AH5266">
        <v>0</v>
      </c>
      <c r="AI5266">
        <v>1</v>
      </c>
      <c r="AJ5266">
        <v>2</v>
      </c>
      <c r="AK5266">
        <v>146.27</v>
      </c>
      <c r="AN5266" t="s">
        <v>7439</v>
      </c>
      <c r="AO5266">
        <v>31200</v>
      </c>
      <c r="AU5266">
        <v>7.5</v>
      </c>
      <c r="AV5266" t="s">
        <v>810</v>
      </c>
      <c r="AW5266" t="s">
        <v>46870</v>
      </c>
    </row>
    <row r="5267" spans="1:49">
      <c r="A5267" s="1">
        <f>HYPERLINK("https://lsnyc.legalserver.org/matter/dynamic-profile/view/1890075","19-1890075")</f>
        <v>0</v>
      </c>
      <c r="B5267" t="s">
        <v>94</v>
      </c>
      <c r="C5267" t="s">
        <v>340</v>
      </c>
      <c r="D5267" t="s">
        <v>710</v>
      </c>
      <c r="F5267" t="s">
        <v>3352</v>
      </c>
      <c r="G5267" t="s">
        <v>1000</v>
      </c>
      <c r="H5267" t="s">
        <v>13604</v>
      </c>
      <c r="I5267" t="s">
        <v>17274</v>
      </c>
      <c r="J5267" t="s">
        <v>18893</v>
      </c>
      <c r="K5267">
        <v>10026</v>
      </c>
      <c r="L5267" t="s">
        <v>18958</v>
      </c>
      <c r="M5267" t="s">
        <v>18958</v>
      </c>
      <c r="P5267" t="s">
        <v>26564</v>
      </c>
      <c r="R5267" t="s">
        <v>26582</v>
      </c>
      <c r="S5267" t="s">
        <v>18959</v>
      </c>
      <c r="U5267" t="s">
        <v>26604</v>
      </c>
      <c r="V5267" t="s">
        <v>26610</v>
      </c>
      <c r="W5267" t="s">
        <v>710</v>
      </c>
      <c r="X5267">
        <v>1050</v>
      </c>
      <c r="Y5267" t="s">
        <v>26651</v>
      </c>
      <c r="Z5267" t="s">
        <v>26668</v>
      </c>
      <c r="AB5267" t="s">
        <v>27404</v>
      </c>
      <c r="AD5267" t="s">
        <v>41203</v>
      </c>
      <c r="AE5267">
        <v>0</v>
      </c>
      <c r="AF5267" t="s">
        <v>20460</v>
      </c>
      <c r="AG5267" t="s">
        <v>19330</v>
      </c>
      <c r="AH5267">
        <v>3</v>
      </c>
      <c r="AI5267">
        <v>1</v>
      </c>
      <c r="AJ5267">
        <v>1</v>
      </c>
      <c r="AK5267">
        <v>236.55</v>
      </c>
      <c r="AN5267" t="s">
        <v>7439</v>
      </c>
      <c r="AO5267">
        <v>40000</v>
      </c>
      <c r="AU5267">
        <v>0</v>
      </c>
      <c r="AW5267" t="s">
        <v>314</v>
      </c>
    </row>
    <row r="5268" spans="1:49">
      <c r="A5268" s="1">
        <f>HYPERLINK("https://lsnyc.legalserver.org/matter/dynamic-profile/view/1890162","19-1890162")</f>
        <v>0</v>
      </c>
      <c r="B5268" t="s">
        <v>94</v>
      </c>
      <c r="C5268" t="s">
        <v>340</v>
      </c>
      <c r="D5268" t="s">
        <v>710</v>
      </c>
      <c r="F5268" t="s">
        <v>3353</v>
      </c>
      <c r="G5268" t="s">
        <v>5008</v>
      </c>
      <c r="H5268" t="s">
        <v>13605</v>
      </c>
      <c r="I5268" t="s">
        <v>17307</v>
      </c>
      <c r="J5268" t="s">
        <v>18893</v>
      </c>
      <c r="K5268">
        <v>10027</v>
      </c>
      <c r="L5268" t="s">
        <v>18958</v>
      </c>
      <c r="M5268" t="s">
        <v>18958</v>
      </c>
      <c r="N5268" t="s">
        <v>22941</v>
      </c>
      <c r="O5268" t="s">
        <v>26523</v>
      </c>
      <c r="P5268" t="s">
        <v>26560</v>
      </c>
      <c r="R5268" t="s">
        <v>26580</v>
      </c>
      <c r="S5268" t="s">
        <v>18959</v>
      </c>
      <c r="U5268" t="s">
        <v>26604</v>
      </c>
      <c r="V5268" t="s">
        <v>26612</v>
      </c>
      <c r="W5268" t="s">
        <v>710</v>
      </c>
      <c r="X5268">
        <v>1085</v>
      </c>
      <c r="Y5268" t="s">
        <v>26651</v>
      </c>
      <c r="Z5268" t="s">
        <v>26668</v>
      </c>
      <c r="AB5268" t="s">
        <v>30966</v>
      </c>
      <c r="AC5268" t="s">
        <v>35965</v>
      </c>
      <c r="AD5268" t="s">
        <v>41204</v>
      </c>
      <c r="AE5268">
        <v>0</v>
      </c>
      <c r="AF5268" t="s">
        <v>45544</v>
      </c>
      <c r="AG5268" t="s">
        <v>19330</v>
      </c>
      <c r="AH5268">
        <v>6</v>
      </c>
      <c r="AI5268">
        <v>1</v>
      </c>
      <c r="AJ5268">
        <v>1</v>
      </c>
      <c r="AK5268">
        <v>6.15</v>
      </c>
      <c r="AN5268" t="s">
        <v>7439</v>
      </c>
      <c r="AO5268">
        <v>1040</v>
      </c>
      <c r="AU5268">
        <v>19.8</v>
      </c>
      <c r="AV5268" t="s">
        <v>827</v>
      </c>
      <c r="AW5268" t="s">
        <v>314</v>
      </c>
    </row>
    <row r="5269" spans="1:49">
      <c r="A5269" s="1">
        <f>HYPERLINK("https://lsnyc.legalserver.org/matter/dynamic-profile/view/1890106","19-1890106")</f>
        <v>0</v>
      </c>
      <c r="B5269" t="s">
        <v>94</v>
      </c>
      <c r="C5269" t="s">
        <v>340</v>
      </c>
      <c r="D5269" t="s">
        <v>710</v>
      </c>
      <c r="F5269" t="s">
        <v>3354</v>
      </c>
      <c r="G5269" t="s">
        <v>5416</v>
      </c>
      <c r="H5269" t="s">
        <v>10015</v>
      </c>
      <c r="I5269" t="s">
        <v>17527</v>
      </c>
      <c r="J5269" t="s">
        <v>18893</v>
      </c>
      <c r="K5269">
        <v>10027</v>
      </c>
      <c r="L5269" t="s">
        <v>18958</v>
      </c>
      <c r="M5269" t="s">
        <v>18958</v>
      </c>
      <c r="N5269" t="s">
        <v>22942</v>
      </c>
      <c r="O5269" t="s">
        <v>26523</v>
      </c>
      <c r="P5269" t="s">
        <v>26560</v>
      </c>
      <c r="R5269" t="s">
        <v>26580</v>
      </c>
      <c r="S5269" t="s">
        <v>18959</v>
      </c>
      <c r="U5269" t="s">
        <v>26604</v>
      </c>
      <c r="V5269" t="s">
        <v>26610</v>
      </c>
      <c r="W5269" t="s">
        <v>710</v>
      </c>
      <c r="X5269">
        <v>1052</v>
      </c>
      <c r="Y5269" t="s">
        <v>26651</v>
      </c>
      <c r="Z5269" t="s">
        <v>26668</v>
      </c>
      <c r="AB5269" t="s">
        <v>30967</v>
      </c>
      <c r="AD5269" t="s">
        <v>41205</v>
      </c>
      <c r="AE5269">
        <v>0</v>
      </c>
      <c r="AF5269" t="s">
        <v>45541</v>
      </c>
      <c r="AG5269" t="s">
        <v>45559</v>
      </c>
      <c r="AH5269">
        <v>14</v>
      </c>
      <c r="AI5269">
        <v>2</v>
      </c>
      <c r="AJ5269">
        <v>0</v>
      </c>
      <c r="AK5269">
        <v>113.54</v>
      </c>
      <c r="AN5269" t="s">
        <v>45581</v>
      </c>
      <c r="AO5269">
        <v>19200</v>
      </c>
      <c r="AU5269">
        <v>24.2</v>
      </c>
      <c r="AV5269" t="s">
        <v>832</v>
      </c>
      <c r="AW5269" t="s">
        <v>314</v>
      </c>
    </row>
    <row r="5270" spans="1:49">
      <c r="A5270" s="1">
        <f>HYPERLINK("https://lsnyc.legalserver.org/matter/dynamic-profile/view/1890204","19-1890204")</f>
        <v>0</v>
      </c>
      <c r="B5270" t="s">
        <v>143</v>
      </c>
      <c r="C5270" t="s">
        <v>340</v>
      </c>
      <c r="D5270" t="s">
        <v>710</v>
      </c>
      <c r="F5270" t="s">
        <v>1336</v>
      </c>
      <c r="G5270" t="s">
        <v>6039</v>
      </c>
      <c r="H5270" t="s">
        <v>13606</v>
      </c>
      <c r="I5270" t="s">
        <v>17446</v>
      </c>
      <c r="J5270" t="s">
        <v>18892</v>
      </c>
      <c r="K5270">
        <v>10468</v>
      </c>
      <c r="L5270" t="s">
        <v>18958</v>
      </c>
      <c r="M5270" t="s">
        <v>18958</v>
      </c>
      <c r="N5270" t="s">
        <v>22943</v>
      </c>
      <c r="O5270" t="s">
        <v>26523</v>
      </c>
      <c r="P5270" t="s">
        <v>26560</v>
      </c>
      <c r="R5270" t="s">
        <v>26579</v>
      </c>
      <c r="S5270" t="s">
        <v>18959</v>
      </c>
      <c r="U5270" t="s">
        <v>26604</v>
      </c>
      <c r="V5270" t="s">
        <v>26611</v>
      </c>
      <c r="W5270" t="s">
        <v>710</v>
      </c>
      <c r="X5270">
        <v>2100</v>
      </c>
      <c r="Y5270" t="s">
        <v>26650</v>
      </c>
      <c r="Z5270" t="s">
        <v>26655</v>
      </c>
      <c r="AB5270" t="s">
        <v>28132</v>
      </c>
      <c r="AC5270" t="s">
        <v>34983</v>
      </c>
      <c r="AD5270" t="s">
        <v>38181</v>
      </c>
      <c r="AE5270">
        <v>11</v>
      </c>
      <c r="AF5270" t="s">
        <v>45541</v>
      </c>
      <c r="AH5270">
        <v>2</v>
      </c>
      <c r="AI5270">
        <v>2</v>
      </c>
      <c r="AJ5270">
        <v>1</v>
      </c>
      <c r="AK5270">
        <v>65.64</v>
      </c>
      <c r="AN5270" t="s">
        <v>45581</v>
      </c>
      <c r="AO5270">
        <v>14000</v>
      </c>
      <c r="AU5270">
        <v>18.1</v>
      </c>
      <c r="AV5270" t="s">
        <v>835</v>
      </c>
      <c r="AW5270" t="s">
        <v>46832</v>
      </c>
    </row>
    <row r="5271" spans="1:49">
      <c r="A5271" s="1">
        <f>HYPERLINK("https://lsnyc.legalserver.org/matter/dynamic-profile/view/1890053","19-1890053")</f>
        <v>0</v>
      </c>
      <c r="B5271" t="s">
        <v>251</v>
      </c>
      <c r="C5271" t="s">
        <v>340</v>
      </c>
      <c r="D5271" t="s">
        <v>710</v>
      </c>
      <c r="F5271" t="s">
        <v>2815</v>
      </c>
      <c r="G5271" t="s">
        <v>2564</v>
      </c>
      <c r="H5271" t="s">
        <v>13607</v>
      </c>
      <c r="I5271" t="s">
        <v>17352</v>
      </c>
      <c r="J5271" t="s">
        <v>18892</v>
      </c>
      <c r="K5271">
        <v>10467</v>
      </c>
      <c r="L5271" t="s">
        <v>18958</v>
      </c>
      <c r="M5271" t="s">
        <v>18958</v>
      </c>
      <c r="N5271" t="s">
        <v>22944</v>
      </c>
      <c r="O5271" t="s">
        <v>26523</v>
      </c>
      <c r="P5271" t="s">
        <v>26560</v>
      </c>
      <c r="R5271" t="s">
        <v>26579</v>
      </c>
      <c r="S5271" t="s">
        <v>18959</v>
      </c>
      <c r="U5271" t="s">
        <v>26604</v>
      </c>
      <c r="V5271" t="s">
        <v>26610</v>
      </c>
      <c r="W5271" t="s">
        <v>710</v>
      </c>
      <c r="X5271">
        <v>1475</v>
      </c>
      <c r="Y5271" t="s">
        <v>26650</v>
      </c>
      <c r="Z5271" t="s">
        <v>26664</v>
      </c>
      <c r="AB5271" t="s">
        <v>30968</v>
      </c>
      <c r="AC5271" t="s">
        <v>35966</v>
      </c>
      <c r="AE5271">
        <v>6</v>
      </c>
      <c r="AF5271" t="s">
        <v>45547</v>
      </c>
      <c r="AG5271" t="s">
        <v>19330</v>
      </c>
      <c r="AH5271">
        <v>3</v>
      </c>
      <c r="AI5271">
        <v>1</v>
      </c>
      <c r="AJ5271">
        <v>2</v>
      </c>
      <c r="AK5271">
        <v>58.51</v>
      </c>
      <c r="AN5271" t="s">
        <v>7439</v>
      </c>
      <c r="AO5271">
        <v>12480</v>
      </c>
      <c r="AU5271">
        <v>22.55</v>
      </c>
      <c r="AV5271" t="s">
        <v>831</v>
      </c>
      <c r="AW5271" t="s">
        <v>46871</v>
      </c>
    </row>
    <row r="5272" spans="1:49">
      <c r="A5272" s="1">
        <f>HYPERLINK("https://lsnyc.legalserver.org/matter/dynamic-profile/view/1890169","19-1890169")</f>
        <v>0</v>
      </c>
      <c r="B5272" t="s">
        <v>251</v>
      </c>
      <c r="C5272" t="s">
        <v>340</v>
      </c>
      <c r="D5272" t="s">
        <v>710</v>
      </c>
      <c r="F5272" t="s">
        <v>3355</v>
      </c>
      <c r="G5272" t="s">
        <v>5047</v>
      </c>
      <c r="H5272" t="s">
        <v>10636</v>
      </c>
      <c r="I5272" t="s">
        <v>18201</v>
      </c>
      <c r="J5272" t="s">
        <v>18892</v>
      </c>
      <c r="K5272">
        <v>10467</v>
      </c>
      <c r="L5272" t="s">
        <v>18958</v>
      </c>
      <c r="M5272" t="s">
        <v>18958</v>
      </c>
      <c r="N5272" t="s">
        <v>22945</v>
      </c>
      <c r="O5272" t="s">
        <v>26523</v>
      </c>
      <c r="P5272" t="s">
        <v>26560</v>
      </c>
      <c r="R5272" t="s">
        <v>26579</v>
      </c>
      <c r="S5272" t="s">
        <v>18959</v>
      </c>
      <c r="U5272" t="s">
        <v>26604</v>
      </c>
      <c r="V5272" t="s">
        <v>26612</v>
      </c>
      <c r="W5272" t="s">
        <v>710</v>
      </c>
      <c r="X5272">
        <v>1350</v>
      </c>
      <c r="Y5272" t="s">
        <v>26650</v>
      </c>
      <c r="Z5272" t="s">
        <v>26664</v>
      </c>
      <c r="AB5272" t="s">
        <v>30969</v>
      </c>
      <c r="AD5272" t="s">
        <v>41206</v>
      </c>
      <c r="AE5272">
        <v>60</v>
      </c>
      <c r="AF5272" t="s">
        <v>45541</v>
      </c>
      <c r="AG5272" t="s">
        <v>19330</v>
      </c>
      <c r="AH5272">
        <v>5</v>
      </c>
      <c r="AI5272">
        <v>1</v>
      </c>
      <c r="AJ5272">
        <v>1</v>
      </c>
      <c r="AK5272">
        <v>165.58</v>
      </c>
      <c r="AN5272" t="s">
        <v>7439</v>
      </c>
      <c r="AO5272">
        <v>28000</v>
      </c>
      <c r="AP5272" t="s">
        <v>45848</v>
      </c>
      <c r="AU5272">
        <v>15.75</v>
      </c>
      <c r="AV5272" t="s">
        <v>830</v>
      </c>
      <c r="AW5272" t="s">
        <v>46831</v>
      </c>
    </row>
    <row r="5273" spans="1:49">
      <c r="A5273" s="1">
        <f>HYPERLINK("https://lsnyc.legalserver.org/matter/dynamic-profile/view/1890191","19-1890191")</f>
        <v>0</v>
      </c>
      <c r="B5273" t="s">
        <v>191</v>
      </c>
      <c r="C5273" t="s">
        <v>340</v>
      </c>
      <c r="D5273" t="s">
        <v>710</v>
      </c>
      <c r="F5273" t="s">
        <v>3356</v>
      </c>
      <c r="G5273" t="s">
        <v>6858</v>
      </c>
      <c r="H5273" t="s">
        <v>10000</v>
      </c>
      <c r="I5273" t="s">
        <v>17379</v>
      </c>
      <c r="J5273" t="s">
        <v>18893</v>
      </c>
      <c r="K5273">
        <v>10027</v>
      </c>
      <c r="L5273" t="s">
        <v>18958</v>
      </c>
      <c r="M5273" t="s">
        <v>18958</v>
      </c>
      <c r="N5273" t="s">
        <v>22946</v>
      </c>
      <c r="O5273" t="s">
        <v>26523</v>
      </c>
      <c r="P5273" t="s">
        <v>26560</v>
      </c>
      <c r="R5273" t="s">
        <v>26580</v>
      </c>
      <c r="S5273" t="s">
        <v>18959</v>
      </c>
      <c r="U5273" t="s">
        <v>26605</v>
      </c>
      <c r="V5273" t="s">
        <v>26610</v>
      </c>
      <c r="W5273" t="s">
        <v>710</v>
      </c>
      <c r="X5273">
        <v>530</v>
      </c>
      <c r="Y5273" t="s">
        <v>26651</v>
      </c>
      <c r="Z5273" t="s">
        <v>26664</v>
      </c>
      <c r="AB5273" t="s">
        <v>30970</v>
      </c>
      <c r="AC5273" t="s">
        <v>35967</v>
      </c>
      <c r="AD5273" t="s">
        <v>41207</v>
      </c>
      <c r="AE5273">
        <v>0</v>
      </c>
      <c r="AF5273" t="s">
        <v>45549</v>
      </c>
      <c r="AG5273" t="s">
        <v>19330</v>
      </c>
      <c r="AH5273">
        <v>24</v>
      </c>
      <c r="AI5273">
        <v>1</v>
      </c>
      <c r="AJ5273">
        <v>0</v>
      </c>
      <c r="AK5273">
        <v>82.43000000000001</v>
      </c>
      <c r="AN5273" t="s">
        <v>7439</v>
      </c>
      <c r="AO5273">
        <v>10296</v>
      </c>
      <c r="AU5273">
        <v>4</v>
      </c>
      <c r="AV5273" t="s">
        <v>731</v>
      </c>
      <c r="AW5273" t="s">
        <v>46875</v>
      </c>
    </row>
    <row r="5274" spans="1:49">
      <c r="A5274" s="1">
        <f>HYPERLINK("https://lsnyc.legalserver.org/matter/dynamic-profile/view/1890107","19-1890107")</f>
        <v>0</v>
      </c>
      <c r="B5274" t="s">
        <v>82</v>
      </c>
      <c r="C5274" t="s">
        <v>340</v>
      </c>
      <c r="D5274" t="s">
        <v>710</v>
      </c>
      <c r="F5274" t="s">
        <v>3357</v>
      </c>
      <c r="G5274" t="s">
        <v>5968</v>
      </c>
      <c r="H5274" t="s">
        <v>13608</v>
      </c>
      <c r="I5274" t="s">
        <v>17309</v>
      </c>
      <c r="J5274" t="s">
        <v>18892</v>
      </c>
      <c r="K5274">
        <v>10468</v>
      </c>
      <c r="L5274" t="s">
        <v>18958</v>
      </c>
      <c r="M5274" t="s">
        <v>18958</v>
      </c>
      <c r="N5274" t="s">
        <v>22947</v>
      </c>
      <c r="O5274" t="s">
        <v>26523</v>
      </c>
      <c r="P5274" t="s">
        <v>26560</v>
      </c>
      <c r="R5274" t="s">
        <v>26579</v>
      </c>
      <c r="U5274" t="s">
        <v>26604</v>
      </c>
      <c r="V5274" t="s">
        <v>26610</v>
      </c>
      <c r="W5274" t="s">
        <v>710</v>
      </c>
      <c r="X5274">
        <v>1606.93</v>
      </c>
      <c r="Y5274" t="s">
        <v>26650</v>
      </c>
      <c r="Z5274" t="s">
        <v>26664</v>
      </c>
      <c r="AB5274" t="s">
        <v>30971</v>
      </c>
      <c r="AC5274" t="s">
        <v>35968</v>
      </c>
      <c r="AD5274" t="s">
        <v>41208</v>
      </c>
      <c r="AE5274">
        <v>0</v>
      </c>
      <c r="AF5274" t="s">
        <v>45541</v>
      </c>
      <c r="AG5274" t="s">
        <v>45557</v>
      </c>
      <c r="AH5274">
        <v>2</v>
      </c>
      <c r="AI5274">
        <v>1</v>
      </c>
      <c r="AJ5274">
        <v>3</v>
      </c>
      <c r="AK5274">
        <v>47.05</v>
      </c>
      <c r="AN5274" t="s">
        <v>45581</v>
      </c>
      <c r="AO5274">
        <v>12116</v>
      </c>
      <c r="AU5274">
        <v>5.75</v>
      </c>
      <c r="AV5274" t="s">
        <v>767</v>
      </c>
      <c r="AW5274" t="s">
        <v>46836</v>
      </c>
    </row>
    <row r="5275" spans="1:49">
      <c r="A5275" s="1">
        <f>HYPERLINK("https://lsnyc.legalserver.org/matter/dynamic-profile/view/1890188","19-1890188")</f>
        <v>0</v>
      </c>
      <c r="B5275" t="s">
        <v>82</v>
      </c>
      <c r="C5275" t="s">
        <v>340</v>
      </c>
      <c r="D5275" t="s">
        <v>710</v>
      </c>
      <c r="F5275" t="s">
        <v>900</v>
      </c>
      <c r="G5275" t="s">
        <v>2564</v>
      </c>
      <c r="H5275" t="s">
        <v>13343</v>
      </c>
      <c r="I5275" t="s">
        <v>17298</v>
      </c>
      <c r="J5275" t="s">
        <v>18892</v>
      </c>
      <c r="K5275">
        <v>10457</v>
      </c>
      <c r="L5275" t="s">
        <v>18958</v>
      </c>
      <c r="M5275" t="s">
        <v>18958</v>
      </c>
      <c r="N5275" t="s">
        <v>22948</v>
      </c>
      <c r="O5275" t="s">
        <v>26523</v>
      </c>
      <c r="P5275" t="s">
        <v>26560</v>
      </c>
      <c r="R5275" t="s">
        <v>26579</v>
      </c>
      <c r="S5275" t="s">
        <v>18959</v>
      </c>
      <c r="U5275" t="s">
        <v>26604</v>
      </c>
      <c r="V5275" t="s">
        <v>26610</v>
      </c>
      <c r="W5275" t="s">
        <v>710</v>
      </c>
      <c r="X5275">
        <v>1681.55</v>
      </c>
      <c r="Y5275" t="s">
        <v>26650</v>
      </c>
      <c r="Z5275" t="s">
        <v>26664</v>
      </c>
      <c r="AB5275" t="s">
        <v>30972</v>
      </c>
      <c r="AD5275" t="s">
        <v>41209</v>
      </c>
      <c r="AE5275">
        <v>0</v>
      </c>
      <c r="AF5275" t="s">
        <v>45541</v>
      </c>
      <c r="AG5275" t="s">
        <v>19330</v>
      </c>
      <c r="AH5275">
        <v>9</v>
      </c>
      <c r="AI5275">
        <v>2</v>
      </c>
      <c r="AJ5275">
        <v>4</v>
      </c>
      <c r="AK5275">
        <v>67.65000000000001</v>
      </c>
      <c r="AN5275" t="s">
        <v>45581</v>
      </c>
      <c r="AO5275">
        <v>23400</v>
      </c>
      <c r="AU5275">
        <v>2</v>
      </c>
      <c r="AV5275" t="s">
        <v>786</v>
      </c>
      <c r="AW5275" t="s">
        <v>46836</v>
      </c>
    </row>
    <row r="5276" spans="1:49">
      <c r="A5276" s="1">
        <f>HYPERLINK("https://lsnyc.legalserver.org/matter/dynamic-profile/view/1890127","19-1890127")</f>
        <v>0</v>
      </c>
      <c r="B5276" t="s">
        <v>59</v>
      </c>
      <c r="C5276" t="s">
        <v>340</v>
      </c>
      <c r="D5276" t="s">
        <v>710</v>
      </c>
      <c r="F5276" t="s">
        <v>900</v>
      </c>
      <c r="G5276" t="s">
        <v>7608</v>
      </c>
      <c r="H5276" t="s">
        <v>10199</v>
      </c>
      <c r="I5276" t="s">
        <v>17284</v>
      </c>
      <c r="J5276" t="s">
        <v>18893</v>
      </c>
      <c r="K5276">
        <v>10031</v>
      </c>
      <c r="L5276" t="s">
        <v>18958</v>
      </c>
      <c r="M5276" t="s">
        <v>18958</v>
      </c>
      <c r="N5276" t="s">
        <v>22949</v>
      </c>
      <c r="O5276" t="s">
        <v>26524</v>
      </c>
      <c r="P5276" t="s">
        <v>26560</v>
      </c>
      <c r="R5276" t="s">
        <v>26580</v>
      </c>
      <c r="S5276" t="s">
        <v>18959</v>
      </c>
      <c r="U5276" t="s">
        <v>26604</v>
      </c>
      <c r="V5276" t="s">
        <v>26610</v>
      </c>
      <c r="W5276" t="s">
        <v>710</v>
      </c>
      <c r="X5276">
        <v>1316.71</v>
      </c>
      <c r="Y5276" t="s">
        <v>26651</v>
      </c>
      <c r="Z5276" t="s">
        <v>26664</v>
      </c>
      <c r="AB5276" t="s">
        <v>30973</v>
      </c>
      <c r="AD5276" t="s">
        <v>41210</v>
      </c>
      <c r="AE5276">
        <v>0</v>
      </c>
      <c r="AF5276" t="s">
        <v>45541</v>
      </c>
      <c r="AG5276" t="s">
        <v>19330</v>
      </c>
      <c r="AH5276">
        <v>21</v>
      </c>
      <c r="AI5276">
        <v>1</v>
      </c>
      <c r="AJ5276">
        <v>0</v>
      </c>
      <c r="AK5276">
        <v>0</v>
      </c>
      <c r="AN5276" t="s">
        <v>7439</v>
      </c>
      <c r="AO5276">
        <v>0</v>
      </c>
      <c r="AU5276">
        <v>46.35</v>
      </c>
      <c r="AV5276" t="s">
        <v>836</v>
      </c>
      <c r="AW5276" t="s">
        <v>46875</v>
      </c>
    </row>
    <row r="5277" spans="1:49">
      <c r="A5277" s="1">
        <f>HYPERLINK("https://lsnyc.legalserver.org/matter/dynamic-profile/view/1890076","19-1890076")</f>
        <v>0</v>
      </c>
      <c r="B5277" t="s">
        <v>59</v>
      </c>
      <c r="C5277" t="s">
        <v>340</v>
      </c>
      <c r="D5277" t="s">
        <v>710</v>
      </c>
      <c r="F5277" t="s">
        <v>1512</v>
      </c>
      <c r="G5277" t="s">
        <v>5265</v>
      </c>
      <c r="H5277" t="s">
        <v>13609</v>
      </c>
      <c r="I5277">
        <v>14</v>
      </c>
      <c r="J5277" t="s">
        <v>18893</v>
      </c>
      <c r="K5277">
        <v>10031</v>
      </c>
      <c r="L5277" t="s">
        <v>18958</v>
      </c>
      <c r="M5277" t="s">
        <v>18958</v>
      </c>
      <c r="N5277" t="s">
        <v>22950</v>
      </c>
      <c r="O5277" t="s">
        <v>26523</v>
      </c>
      <c r="P5277" t="s">
        <v>26560</v>
      </c>
      <c r="R5277" t="s">
        <v>26580</v>
      </c>
      <c r="S5277" t="s">
        <v>18959</v>
      </c>
      <c r="U5277" t="s">
        <v>26604</v>
      </c>
      <c r="V5277" t="s">
        <v>26610</v>
      </c>
      <c r="W5277" t="s">
        <v>710</v>
      </c>
      <c r="X5277">
        <v>751</v>
      </c>
      <c r="Y5277" t="s">
        <v>26651</v>
      </c>
      <c r="Z5277" t="s">
        <v>26664</v>
      </c>
      <c r="AB5277" t="s">
        <v>30974</v>
      </c>
      <c r="AD5277" t="s">
        <v>41211</v>
      </c>
      <c r="AE5277">
        <v>0</v>
      </c>
      <c r="AF5277" t="s">
        <v>45541</v>
      </c>
      <c r="AG5277" t="s">
        <v>19330</v>
      </c>
      <c r="AH5277">
        <v>20</v>
      </c>
      <c r="AI5277">
        <v>1</v>
      </c>
      <c r="AJ5277">
        <v>0</v>
      </c>
      <c r="AK5277">
        <v>76.04000000000001</v>
      </c>
      <c r="AN5277" t="s">
        <v>45581</v>
      </c>
      <c r="AO5277">
        <v>9496.799999999999</v>
      </c>
      <c r="AU5277">
        <v>9.9</v>
      </c>
      <c r="AV5277" t="s">
        <v>768</v>
      </c>
      <c r="AW5277" t="s">
        <v>46875</v>
      </c>
    </row>
    <row r="5278" spans="1:49">
      <c r="A5278" s="1">
        <f>HYPERLINK("https://lsnyc.legalserver.org/matter/dynamic-profile/view/1890168","19-1890168")</f>
        <v>0</v>
      </c>
      <c r="B5278" t="s">
        <v>160</v>
      </c>
      <c r="C5278" t="s">
        <v>340</v>
      </c>
      <c r="D5278" t="s">
        <v>710</v>
      </c>
      <c r="F5278" t="s">
        <v>3358</v>
      </c>
      <c r="G5278" t="s">
        <v>7609</v>
      </c>
      <c r="H5278" t="s">
        <v>13610</v>
      </c>
      <c r="I5278">
        <v>1</v>
      </c>
      <c r="J5278" t="s">
        <v>18894</v>
      </c>
      <c r="K5278">
        <v>11223</v>
      </c>
      <c r="L5278" t="s">
        <v>18960</v>
      </c>
      <c r="M5278" t="s">
        <v>18960</v>
      </c>
      <c r="P5278" t="s">
        <v>26564</v>
      </c>
      <c r="R5278" t="s">
        <v>26591</v>
      </c>
      <c r="U5278" t="s">
        <v>26604</v>
      </c>
      <c r="W5278" t="s">
        <v>710</v>
      </c>
      <c r="X5278">
        <v>0</v>
      </c>
      <c r="Y5278" t="s">
        <v>26652</v>
      </c>
      <c r="AB5278" t="s">
        <v>30975</v>
      </c>
      <c r="AD5278" t="s">
        <v>41212</v>
      </c>
      <c r="AE5278">
        <v>0</v>
      </c>
      <c r="AH5278">
        <v>0</v>
      </c>
      <c r="AI5278">
        <v>1</v>
      </c>
      <c r="AJ5278">
        <v>0</v>
      </c>
      <c r="AK5278">
        <v>17.29</v>
      </c>
      <c r="AN5278" t="s">
        <v>7439</v>
      </c>
      <c r="AO5278">
        <v>2160</v>
      </c>
      <c r="AU5278">
        <v>2.8</v>
      </c>
      <c r="AV5278" t="s">
        <v>747</v>
      </c>
      <c r="AW5278" t="s">
        <v>46859</v>
      </c>
    </row>
    <row r="5279" spans="1:49">
      <c r="A5279" s="1">
        <f>HYPERLINK("https://lsnyc.legalserver.org/matter/dynamic-profile/view/1890100","19-1890100")</f>
        <v>0</v>
      </c>
      <c r="B5279" t="s">
        <v>62</v>
      </c>
      <c r="C5279" t="s">
        <v>340</v>
      </c>
      <c r="D5279" t="s">
        <v>710</v>
      </c>
      <c r="F5279" t="s">
        <v>875</v>
      </c>
      <c r="G5279" t="s">
        <v>5416</v>
      </c>
      <c r="H5279" t="s">
        <v>10015</v>
      </c>
      <c r="I5279" t="s">
        <v>17355</v>
      </c>
      <c r="J5279" t="s">
        <v>18893</v>
      </c>
      <c r="K5279">
        <v>10027</v>
      </c>
      <c r="L5279" t="s">
        <v>18958</v>
      </c>
      <c r="M5279" t="s">
        <v>18958</v>
      </c>
      <c r="N5279" t="s">
        <v>22951</v>
      </c>
      <c r="O5279" t="s">
        <v>26523</v>
      </c>
      <c r="P5279" t="s">
        <v>26560</v>
      </c>
      <c r="R5279" t="s">
        <v>26580</v>
      </c>
      <c r="S5279" t="s">
        <v>18959</v>
      </c>
      <c r="U5279" t="s">
        <v>26604</v>
      </c>
      <c r="W5279" t="s">
        <v>710</v>
      </c>
      <c r="X5279">
        <v>1123</v>
      </c>
      <c r="Y5279" t="s">
        <v>26651</v>
      </c>
      <c r="Z5279" t="s">
        <v>26668</v>
      </c>
      <c r="AB5279" t="s">
        <v>28438</v>
      </c>
      <c r="AD5279" t="s">
        <v>41213</v>
      </c>
      <c r="AE5279">
        <v>0</v>
      </c>
      <c r="AF5279" t="s">
        <v>20460</v>
      </c>
      <c r="AG5279" t="s">
        <v>45557</v>
      </c>
      <c r="AH5279">
        <v>15</v>
      </c>
      <c r="AI5279">
        <v>2</v>
      </c>
      <c r="AJ5279">
        <v>0</v>
      </c>
      <c r="AK5279">
        <v>161.44</v>
      </c>
      <c r="AN5279" t="s">
        <v>45581</v>
      </c>
      <c r="AO5279">
        <v>27300</v>
      </c>
      <c r="AU5279">
        <v>8</v>
      </c>
      <c r="AV5279" t="s">
        <v>720</v>
      </c>
      <c r="AW5279" t="s">
        <v>314</v>
      </c>
    </row>
    <row r="5280" spans="1:49">
      <c r="A5280" s="1">
        <f>HYPERLINK("https://lsnyc.legalserver.org/matter/dynamic-profile/view/1890161","19-1890161")</f>
        <v>0</v>
      </c>
      <c r="B5280" t="s">
        <v>62</v>
      </c>
      <c r="C5280" t="s">
        <v>340</v>
      </c>
      <c r="D5280" t="s">
        <v>710</v>
      </c>
      <c r="F5280" t="s">
        <v>3359</v>
      </c>
      <c r="G5280" t="s">
        <v>7185</v>
      </c>
      <c r="H5280" t="s">
        <v>13611</v>
      </c>
      <c r="I5280" t="s">
        <v>17316</v>
      </c>
      <c r="J5280" t="s">
        <v>18893</v>
      </c>
      <c r="K5280">
        <v>10027</v>
      </c>
      <c r="L5280" t="s">
        <v>18958</v>
      </c>
      <c r="M5280" t="s">
        <v>18958</v>
      </c>
      <c r="N5280" t="s">
        <v>22952</v>
      </c>
      <c r="O5280" t="s">
        <v>26523</v>
      </c>
      <c r="P5280" t="s">
        <v>26560</v>
      </c>
      <c r="R5280" t="s">
        <v>26580</v>
      </c>
      <c r="S5280" t="s">
        <v>18959</v>
      </c>
      <c r="U5280" t="s">
        <v>26604</v>
      </c>
      <c r="V5280" t="s">
        <v>26610</v>
      </c>
      <c r="W5280" t="s">
        <v>710</v>
      </c>
      <c r="X5280">
        <v>850</v>
      </c>
      <c r="Y5280" t="s">
        <v>26651</v>
      </c>
      <c r="Z5280" t="s">
        <v>26668</v>
      </c>
      <c r="AB5280" t="s">
        <v>30976</v>
      </c>
      <c r="AD5280" t="s">
        <v>41214</v>
      </c>
      <c r="AE5280">
        <v>0</v>
      </c>
      <c r="AF5280" t="s">
        <v>45541</v>
      </c>
      <c r="AG5280" t="s">
        <v>19330</v>
      </c>
      <c r="AH5280">
        <v>20</v>
      </c>
      <c r="AI5280">
        <v>3</v>
      </c>
      <c r="AJ5280">
        <v>2</v>
      </c>
      <c r="AK5280">
        <v>165.73</v>
      </c>
      <c r="AN5280" t="s">
        <v>7439</v>
      </c>
      <c r="AO5280">
        <v>50000</v>
      </c>
      <c r="AU5280">
        <v>14.75</v>
      </c>
      <c r="AV5280" t="s">
        <v>838</v>
      </c>
      <c r="AW5280" t="s">
        <v>46875</v>
      </c>
    </row>
    <row r="5281" spans="1:50">
      <c r="A5281" s="1">
        <f>HYPERLINK("https://lsnyc.legalserver.org/matter/dynamic-profile/view/1890346","19-1890346")</f>
        <v>0</v>
      </c>
      <c r="B5281" t="s">
        <v>109</v>
      </c>
      <c r="C5281" t="s">
        <v>340</v>
      </c>
      <c r="D5281" t="s">
        <v>702</v>
      </c>
      <c r="F5281" t="s">
        <v>3356</v>
      </c>
      <c r="G5281" t="s">
        <v>5627</v>
      </c>
      <c r="H5281" t="s">
        <v>10704</v>
      </c>
      <c r="I5281" t="s">
        <v>17325</v>
      </c>
      <c r="J5281" t="s">
        <v>18902</v>
      </c>
      <c r="K5281">
        <v>10303</v>
      </c>
      <c r="L5281" t="s">
        <v>18958</v>
      </c>
      <c r="M5281" t="s">
        <v>18958</v>
      </c>
      <c r="N5281" t="s">
        <v>22953</v>
      </c>
      <c r="O5281" t="s">
        <v>26523</v>
      </c>
      <c r="P5281" t="s">
        <v>26560</v>
      </c>
      <c r="R5281" t="s">
        <v>26590</v>
      </c>
      <c r="S5281" t="s">
        <v>18959</v>
      </c>
      <c r="U5281" t="s">
        <v>26605</v>
      </c>
      <c r="V5281" t="s">
        <v>26612</v>
      </c>
      <c r="W5281" t="s">
        <v>710</v>
      </c>
      <c r="X5281">
        <v>114</v>
      </c>
      <c r="Y5281" t="s">
        <v>26654</v>
      </c>
      <c r="Z5281" t="s">
        <v>26659</v>
      </c>
      <c r="AB5281" t="s">
        <v>30977</v>
      </c>
      <c r="AD5281" t="s">
        <v>41215</v>
      </c>
      <c r="AE5281">
        <v>0</v>
      </c>
      <c r="AF5281" t="s">
        <v>45549</v>
      </c>
      <c r="AH5281">
        <v>3</v>
      </c>
      <c r="AI5281">
        <v>1</v>
      </c>
      <c r="AJ5281">
        <v>3</v>
      </c>
      <c r="AK5281">
        <v>67.84999999999999</v>
      </c>
      <c r="AN5281" t="s">
        <v>7439</v>
      </c>
      <c r="AO5281">
        <v>17472</v>
      </c>
      <c r="AU5281">
        <v>6.25</v>
      </c>
      <c r="AV5281" t="s">
        <v>761</v>
      </c>
      <c r="AW5281" t="s">
        <v>46852</v>
      </c>
    </row>
    <row r="5282" spans="1:50">
      <c r="A5282" s="1">
        <f>HYPERLINK("https://lsnyc.legalserver.org/matter/dynamic-profile/view/1892301","19-1892301")</f>
        <v>0</v>
      </c>
      <c r="B5282" t="s">
        <v>243</v>
      </c>
      <c r="C5282" t="s">
        <v>340</v>
      </c>
      <c r="D5282" t="s">
        <v>659</v>
      </c>
      <c r="F5282" t="s">
        <v>1283</v>
      </c>
      <c r="G5282" t="s">
        <v>6119</v>
      </c>
      <c r="H5282" t="s">
        <v>13612</v>
      </c>
      <c r="I5282" t="s">
        <v>17299</v>
      </c>
      <c r="J5282" t="s">
        <v>18894</v>
      </c>
      <c r="K5282">
        <v>11225</v>
      </c>
      <c r="L5282" t="s">
        <v>18958</v>
      </c>
      <c r="M5282" t="s">
        <v>18958</v>
      </c>
      <c r="O5282" t="s">
        <v>26528</v>
      </c>
      <c r="P5282" t="s">
        <v>26560</v>
      </c>
      <c r="R5282" t="s">
        <v>26578</v>
      </c>
      <c r="U5282" t="s">
        <v>26604</v>
      </c>
      <c r="W5282" t="s">
        <v>710</v>
      </c>
      <c r="X5282">
        <v>0</v>
      </c>
      <c r="Y5282" t="s">
        <v>26652</v>
      </c>
      <c r="AB5282" t="s">
        <v>30978</v>
      </c>
      <c r="AD5282" t="s">
        <v>41216</v>
      </c>
      <c r="AE5282">
        <v>0</v>
      </c>
      <c r="AH5282">
        <v>0</v>
      </c>
      <c r="AI5282">
        <v>3</v>
      </c>
      <c r="AJ5282">
        <v>0</v>
      </c>
      <c r="AK5282">
        <v>150.02</v>
      </c>
      <c r="AN5282" t="s">
        <v>7439</v>
      </c>
      <c r="AO5282">
        <v>32000</v>
      </c>
      <c r="AU5282">
        <v>7.7</v>
      </c>
      <c r="AV5282" t="s">
        <v>829</v>
      </c>
      <c r="AW5282" t="s">
        <v>219</v>
      </c>
    </row>
    <row r="5283" spans="1:50">
      <c r="A5283" s="1">
        <f>HYPERLINK("https://lsnyc.legalserver.org/matter/dynamic-profile/view/1892318","19-1892318")</f>
        <v>0</v>
      </c>
      <c r="B5283" t="s">
        <v>243</v>
      </c>
      <c r="C5283" t="s">
        <v>340</v>
      </c>
      <c r="D5283" t="s">
        <v>659</v>
      </c>
      <c r="F5283" t="s">
        <v>3360</v>
      </c>
      <c r="G5283" t="s">
        <v>7065</v>
      </c>
      <c r="H5283" t="s">
        <v>11532</v>
      </c>
      <c r="I5283" t="s">
        <v>17277</v>
      </c>
      <c r="J5283" t="s">
        <v>18894</v>
      </c>
      <c r="K5283">
        <v>11225</v>
      </c>
      <c r="L5283" t="s">
        <v>18958</v>
      </c>
      <c r="M5283" t="s">
        <v>18958</v>
      </c>
      <c r="O5283" t="s">
        <v>26528</v>
      </c>
      <c r="P5283" t="s">
        <v>26560</v>
      </c>
      <c r="R5283" t="s">
        <v>26578</v>
      </c>
      <c r="U5283" t="s">
        <v>26604</v>
      </c>
      <c r="W5283" t="s">
        <v>710</v>
      </c>
      <c r="X5283">
        <v>0</v>
      </c>
      <c r="Y5283" t="s">
        <v>26652</v>
      </c>
      <c r="AB5283" t="s">
        <v>30979</v>
      </c>
      <c r="AD5283" t="s">
        <v>41217</v>
      </c>
      <c r="AE5283">
        <v>0</v>
      </c>
      <c r="AH5283">
        <v>0</v>
      </c>
      <c r="AI5283">
        <v>2</v>
      </c>
      <c r="AJ5283">
        <v>0</v>
      </c>
      <c r="AK5283">
        <v>656.42</v>
      </c>
      <c r="AN5283" t="s">
        <v>7439</v>
      </c>
      <c r="AO5283">
        <v>111000</v>
      </c>
      <c r="AU5283">
        <v>0.5</v>
      </c>
      <c r="AV5283" t="s">
        <v>660</v>
      </c>
      <c r="AW5283" t="s">
        <v>219</v>
      </c>
    </row>
    <row r="5284" spans="1:50">
      <c r="A5284" s="1">
        <f>HYPERLINK("https://lsnyc.legalserver.org/matter/dynamic-profile/view/1892457","19-1892457")</f>
        <v>0</v>
      </c>
      <c r="B5284" t="s">
        <v>243</v>
      </c>
      <c r="C5284" t="s">
        <v>340</v>
      </c>
      <c r="D5284" t="s">
        <v>416</v>
      </c>
      <c r="F5284" t="s">
        <v>1630</v>
      </c>
      <c r="G5284" t="s">
        <v>945</v>
      </c>
      <c r="H5284" t="s">
        <v>11135</v>
      </c>
      <c r="I5284" t="s">
        <v>17306</v>
      </c>
      <c r="J5284" t="s">
        <v>18894</v>
      </c>
      <c r="K5284">
        <v>11225</v>
      </c>
      <c r="L5284" t="s">
        <v>18958</v>
      </c>
      <c r="M5284" t="s">
        <v>18958</v>
      </c>
      <c r="O5284" t="s">
        <v>26528</v>
      </c>
      <c r="P5284" t="s">
        <v>26560</v>
      </c>
      <c r="R5284" t="s">
        <v>26578</v>
      </c>
      <c r="U5284" t="s">
        <v>26604</v>
      </c>
      <c r="W5284" t="s">
        <v>710</v>
      </c>
      <c r="X5284">
        <v>0</v>
      </c>
      <c r="Y5284" t="s">
        <v>26652</v>
      </c>
      <c r="AB5284" t="s">
        <v>28317</v>
      </c>
      <c r="AD5284" t="s">
        <v>38365</v>
      </c>
      <c r="AE5284">
        <v>0</v>
      </c>
      <c r="AH5284">
        <v>0</v>
      </c>
      <c r="AI5284">
        <v>1</v>
      </c>
      <c r="AJ5284">
        <v>0</v>
      </c>
      <c r="AK5284">
        <v>83.27</v>
      </c>
      <c r="AN5284" t="s">
        <v>7439</v>
      </c>
      <c r="AO5284">
        <v>10400</v>
      </c>
      <c r="AU5284">
        <v>0</v>
      </c>
      <c r="AW5284" t="s">
        <v>219</v>
      </c>
    </row>
    <row r="5285" spans="1:50">
      <c r="A5285" s="1">
        <f>HYPERLINK("https://lsnyc.legalserver.org/matter/dynamic-profile/view/1892395","19-1892395")</f>
        <v>0</v>
      </c>
      <c r="B5285" t="s">
        <v>243</v>
      </c>
      <c r="C5285" t="s">
        <v>340</v>
      </c>
      <c r="D5285" t="s">
        <v>416</v>
      </c>
      <c r="F5285" t="s">
        <v>2405</v>
      </c>
      <c r="G5285" t="s">
        <v>6689</v>
      </c>
      <c r="H5285" t="s">
        <v>11135</v>
      </c>
      <c r="I5285" t="s">
        <v>17919</v>
      </c>
      <c r="J5285" t="s">
        <v>18894</v>
      </c>
      <c r="K5285">
        <v>11225</v>
      </c>
      <c r="L5285" t="s">
        <v>18958</v>
      </c>
      <c r="M5285" t="s">
        <v>18958</v>
      </c>
      <c r="O5285" t="s">
        <v>26528</v>
      </c>
      <c r="P5285" t="s">
        <v>26560</v>
      </c>
      <c r="R5285" t="s">
        <v>26578</v>
      </c>
      <c r="U5285" t="s">
        <v>26604</v>
      </c>
      <c r="W5285" t="s">
        <v>710</v>
      </c>
      <c r="X5285">
        <v>0</v>
      </c>
      <c r="Y5285" t="s">
        <v>26652</v>
      </c>
      <c r="AB5285" t="s">
        <v>29264</v>
      </c>
      <c r="AD5285" t="s">
        <v>39430</v>
      </c>
      <c r="AE5285">
        <v>0</v>
      </c>
      <c r="AH5285">
        <v>0</v>
      </c>
      <c r="AI5285">
        <v>1</v>
      </c>
      <c r="AJ5285">
        <v>1</v>
      </c>
      <c r="AK5285">
        <v>114.25</v>
      </c>
      <c r="AN5285" t="s">
        <v>7439</v>
      </c>
      <c r="AO5285">
        <v>19320</v>
      </c>
      <c r="AU5285">
        <v>0.5</v>
      </c>
      <c r="AV5285" t="s">
        <v>822</v>
      </c>
      <c r="AW5285" t="s">
        <v>219</v>
      </c>
    </row>
    <row r="5286" spans="1:50">
      <c r="A5286" s="1">
        <f>HYPERLINK("https://lsnyc.legalserver.org/matter/dynamic-profile/view/1892467","19-1892467")</f>
        <v>0</v>
      </c>
      <c r="B5286" t="s">
        <v>243</v>
      </c>
      <c r="C5286" t="s">
        <v>340</v>
      </c>
      <c r="D5286" t="s">
        <v>416</v>
      </c>
      <c r="F5286" t="s">
        <v>2068</v>
      </c>
      <c r="G5286" t="s">
        <v>6717</v>
      </c>
      <c r="H5286" t="s">
        <v>11532</v>
      </c>
      <c r="I5286" t="s">
        <v>17316</v>
      </c>
      <c r="J5286" t="s">
        <v>18894</v>
      </c>
      <c r="K5286">
        <v>11225</v>
      </c>
      <c r="L5286" t="s">
        <v>18958</v>
      </c>
      <c r="M5286" t="s">
        <v>18958</v>
      </c>
      <c r="P5286" t="s">
        <v>26560</v>
      </c>
      <c r="R5286" t="s">
        <v>26578</v>
      </c>
      <c r="U5286" t="s">
        <v>26604</v>
      </c>
      <c r="W5286" t="s">
        <v>710</v>
      </c>
      <c r="X5286">
        <v>0</v>
      </c>
      <c r="Y5286" t="s">
        <v>26652</v>
      </c>
      <c r="AB5286" t="s">
        <v>29314</v>
      </c>
      <c r="AD5286" t="s">
        <v>34738</v>
      </c>
      <c r="AE5286">
        <v>0</v>
      </c>
      <c r="AH5286">
        <v>0</v>
      </c>
      <c r="AI5286">
        <v>2</v>
      </c>
      <c r="AJ5286">
        <v>0</v>
      </c>
      <c r="AK5286">
        <v>479.01</v>
      </c>
      <c r="AN5286" t="s">
        <v>7439</v>
      </c>
      <c r="AO5286">
        <v>81000</v>
      </c>
      <c r="AU5286">
        <v>1</v>
      </c>
      <c r="AV5286" t="s">
        <v>781</v>
      </c>
      <c r="AW5286" t="s">
        <v>219</v>
      </c>
    </row>
    <row r="5287" spans="1:50">
      <c r="A5287" s="1">
        <f>HYPERLINK("https://lsnyc.legalserver.org/matter/dynamic-profile/view/1879764","18-1879764")</f>
        <v>0</v>
      </c>
      <c r="B5287" t="s">
        <v>243</v>
      </c>
      <c r="C5287" t="s">
        <v>340</v>
      </c>
      <c r="D5287" t="s">
        <v>751</v>
      </c>
      <c r="F5287" t="s">
        <v>948</v>
      </c>
      <c r="G5287" t="s">
        <v>6381</v>
      </c>
      <c r="H5287" t="s">
        <v>11532</v>
      </c>
      <c r="I5287" t="s">
        <v>17307</v>
      </c>
      <c r="J5287" t="s">
        <v>18894</v>
      </c>
      <c r="K5287">
        <v>11225</v>
      </c>
      <c r="L5287" t="s">
        <v>18958</v>
      </c>
      <c r="M5287" t="s">
        <v>18958</v>
      </c>
      <c r="O5287" t="s">
        <v>26528</v>
      </c>
      <c r="P5287" t="s">
        <v>26560</v>
      </c>
      <c r="R5287" t="s">
        <v>26578</v>
      </c>
      <c r="U5287" t="s">
        <v>26604</v>
      </c>
      <c r="W5287" t="s">
        <v>710</v>
      </c>
      <c r="X5287">
        <v>0</v>
      </c>
      <c r="Y5287" t="s">
        <v>26652</v>
      </c>
      <c r="AB5287" t="s">
        <v>28737</v>
      </c>
      <c r="AC5287" t="s">
        <v>35202</v>
      </c>
      <c r="AD5287" t="s">
        <v>38792</v>
      </c>
      <c r="AE5287">
        <v>0</v>
      </c>
      <c r="AH5287">
        <v>0</v>
      </c>
      <c r="AI5287">
        <v>1</v>
      </c>
      <c r="AJ5287">
        <v>0</v>
      </c>
      <c r="AK5287">
        <v>7.05</v>
      </c>
      <c r="AN5287" t="s">
        <v>7439</v>
      </c>
      <c r="AO5287">
        <v>855.36</v>
      </c>
      <c r="AU5287">
        <v>0</v>
      </c>
      <c r="AW5287" t="s">
        <v>198</v>
      </c>
    </row>
    <row r="5288" spans="1:50">
      <c r="A5288" s="1">
        <f>HYPERLINK("https://lsnyc.legalserver.org/matter/dynamic-profile/view/1892480","19-1892480")</f>
        <v>0</v>
      </c>
      <c r="B5288" t="s">
        <v>243</v>
      </c>
      <c r="C5288" t="s">
        <v>340</v>
      </c>
      <c r="D5288" t="s">
        <v>751</v>
      </c>
      <c r="F5288" t="s">
        <v>1630</v>
      </c>
      <c r="G5288" t="s">
        <v>945</v>
      </c>
      <c r="H5288" t="s">
        <v>11135</v>
      </c>
      <c r="I5288" t="s">
        <v>17306</v>
      </c>
      <c r="J5288" t="s">
        <v>18894</v>
      </c>
      <c r="K5288">
        <v>11225</v>
      </c>
      <c r="L5288" t="s">
        <v>18958</v>
      </c>
      <c r="M5288" t="s">
        <v>18958</v>
      </c>
      <c r="P5288" t="s">
        <v>26560</v>
      </c>
      <c r="R5288" t="s">
        <v>26578</v>
      </c>
      <c r="S5288" t="s">
        <v>18958</v>
      </c>
      <c r="U5288" t="s">
        <v>26604</v>
      </c>
      <c r="W5288" t="s">
        <v>710</v>
      </c>
      <c r="X5288">
        <v>0</v>
      </c>
      <c r="Y5288" t="s">
        <v>26652</v>
      </c>
      <c r="AB5288" t="s">
        <v>28317</v>
      </c>
      <c r="AD5288" t="s">
        <v>38365</v>
      </c>
      <c r="AE5288">
        <v>0</v>
      </c>
      <c r="AH5288">
        <v>0</v>
      </c>
      <c r="AI5288">
        <v>1</v>
      </c>
      <c r="AJ5288">
        <v>0</v>
      </c>
      <c r="AK5288">
        <v>83.27</v>
      </c>
      <c r="AN5288" t="s">
        <v>7439</v>
      </c>
      <c r="AO5288">
        <v>10400</v>
      </c>
      <c r="AU5288">
        <v>0.5</v>
      </c>
      <c r="AV5288" t="s">
        <v>823</v>
      </c>
      <c r="AW5288" t="s">
        <v>219</v>
      </c>
    </row>
    <row r="5289" spans="1:50">
      <c r="A5289" s="1">
        <f>HYPERLINK("https://lsnyc.legalserver.org/matter/dynamic-profile/view/1892741","19-1892741")</f>
        <v>0</v>
      </c>
      <c r="B5289" t="s">
        <v>243</v>
      </c>
      <c r="C5289" t="s">
        <v>340</v>
      </c>
      <c r="D5289" t="s">
        <v>752</v>
      </c>
      <c r="F5289" t="s">
        <v>2228</v>
      </c>
      <c r="G5289" t="s">
        <v>7610</v>
      </c>
      <c r="H5289" t="s">
        <v>13612</v>
      </c>
      <c r="I5289" t="s">
        <v>17316</v>
      </c>
      <c r="J5289" t="s">
        <v>18894</v>
      </c>
      <c r="K5289">
        <v>11225</v>
      </c>
      <c r="L5289" t="s">
        <v>18958</v>
      </c>
      <c r="M5289" t="s">
        <v>18958</v>
      </c>
      <c r="O5289" t="s">
        <v>26528</v>
      </c>
      <c r="P5289" t="s">
        <v>26560</v>
      </c>
      <c r="R5289" t="s">
        <v>26578</v>
      </c>
      <c r="S5289" t="s">
        <v>18958</v>
      </c>
      <c r="U5289" t="s">
        <v>26604</v>
      </c>
      <c r="W5289" t="s">
        <v>710</v>
      </c>
      <c r="X5289">
        <v>1726.17</v>
      </c>
      <c r="Y5289" t="s">
        <v>26652</v>
      </c>
      <c r="AB5289" t="s">
        <v>30242</v>
      </c>
      <c r="AE5289">
        <v>0</v>
      </c>
      <c r="AH5289">
        <v>14</v>
      </c>
      <c r="AI5289">
        <v>2</v>
      </c>
      <c r="AJ5289">
        <v>0</v>
      </c>
      <c r="AK5289">
        <v>72.45</v>
      </c>
      <c r="AN5289" t="s">
        <v>7439</v>
      </c>
      <c r="AO5289">
        <v>12252</v>
      </c>
      <c r="AU5289">
        <v>1.8</v>
      </c>
      <c r="AV5289" t="s">
        <v>777</v>
      </c>
      <c r="AW5289" t="s">
        <v>219</v>
      </c>
      <c r="AX5289" t="s">
        <v>46897</v>
      </c>
    </row>
    <row r="5290" spans="1:50">
      <c r="A5290" s="1">
        <f>HYPERLINK("https://lsnyc.legalserver.org/matter/dynamic-profile/view/1892743","19-1892743")</f>
        <v>0</v>
      </c>
      <c r="B5290" t="s">
        <v>243</v>
      </c>
      <c r="C5290" t="s">
        <v>340</v>
      </c>
      <c r="D5290" t="s">
        <v>752</v>
      </c>
      <c r="F5290" t="s">
        <v>2228</v>
      </c>
      <c r="G5290" t="s">
        <v>7610</v>
      </c>
      <c r="H5290" t="s">
        <v>13612</v>
      </c>
      <c r="I5290" t="s">
        <v>17316</v>
      </c>
      <c r="J5290" t="s">
        <v>18894</v>
      </c>
      <c r="K5290">
        <v>11225</v>
      </c>
      <c r="L5290" t="s">
        <v>18958</v>
      </c>
      <c r="M5290" t="s">
        <v>18958</v>
      </c>
      <c r="O5290" t="s">
        <v>26528</v>
      </c>
      <c r="P5290" t="s">
        <v>26560</v>
      </c>
      <c r="R5290" t="s">
        <v>26578</v>
      </c>
      <c r="S5290" t="s">
        <v>18958</v>
      </c>
      <c r="U5290" t="s">
        <v>26604</v>
      </c>
      <c r="W5290" t="s">
        <v>710</v>
      </c>
      <c r="X5290">
        <v>1726.17</v>
      </c>
      <c r="Y5290" t="s">
        <v>26652</v>
      </c>
      <c r="AB5290" t="s">
        <v>30242</v>
      </c>
      <c r="AE5290">
        <v>0</v>
      </c>
      <c r="AH5290">
        <v>14</v>
      </c>
      <c r="AI5290">
        <v>2</v>
      </c>
      <c r="AJ5290">
        <v>0</v>
      </c>
      <c r="AK5290">
        <v>72.45</v>
      </c>
      <c r="AN5290" t="s">
        <v>7439</v>
      </c>
      <c r="AO5290">
        <v>12252</v>
      </c>
      <c r="AU5290">
        <v>0</v>
      </c>
      <c r="AW5290" t="s">
        <v>219</v>
      </c>
    </row>
    <row r="5291" spans="1:50">
      <c r="A5291" s="1">
        <f>HYPERLINK("https://lsnyc.legalserver.org/matter/dynamic-profile/view/1892729","19-1892729")</f>
        <v>0</v>
      </c>
      <c r="B5291" t="s">
        <v>243</v>
      </c>
      <c r="C5291" t="s">
        <v>340</v>
      </c>
      <c r="D5291" t="s">
        <v>752</v>
      </c>
      <c r="F5291" t="s">
        <v>1630</v>
      </c>
      <c r="G5291" t="s">
        <v>945</v>
      </c>
      <c r="H5291" t="s">
        <v>11135</v>
      </c>
      <c r="I5291" t="s">
        <v>17306</v>
      </c>
      <c r="J5291" t="s">
        <v>18894</v>
      </c>
      <c r="K5291">
        <v>11225</v>
      </c>
      <c r="L5291" t="s">
        <v>18958</v>
      </c>
      <c r="M5291" t="s">
        <v>18958</v>
      </c>
      <c r="P5291" t="s">
        <v>26560</v>
      </c>
      <c r="R5291" t="s">
        <v>26578</v>
      </c>
      <c r="S5291" t="s">
        <v>18958</v>
      </c>
      <c r="U5291" t="s">
        <v>26604</v>
      </c>
      <c r="W5291" t="s">
        <v>710</v>
      </c>
      <c r="X5291">
        <v>1480.9</v>
      </c>
      <c r="Y5291" t="s">
        <v>26652</v>
      </c>
      <c r="AB5291" t="s">
        <v>28317</v>
      </c>
      <c r="AD5291" t="s">
        <v>38365</v>
      </c>
      <c r="AE5291">
        <v>0</v>
      </c>
      <c r="AH5291">
        <v>11</v>
      </c>
      <c r="AI5291">
        <v>1</v>
      </c>
      <c r="AJ5291">
        <v>0</v>
      </c>
      <c r="AK5291">
        <v>83.27</v>
      </c>
      <c r="AN5291" t="s">
        <v>7439</v>
      </c>
      <c r="AO5291">
        <v>10400</v>
      </c>
      <c r="AU5291">
        <v>0</v>
      </c>
      <c r="AW5291" t="s">
        <v>219</v>
      </c>
    </row>
    <row r="5292" spans="1:50">
      <c r="A5292" s="1">
        <f>HYPERLINK("https://lsnyc.legalserver.org/matter/dynamic-profile/view/1892717","19-1892717")</f>
        <v>0</v>
      </c>
      <c r="B5292" t="s">
        <v>243</v>
      </c>
      <c r="C5292" t="s">
        <v>340</v>
      </c>
      <c r="D5292" t="s">
        <v>752</v>
      </c>
      <c r="F5292" t="s">
        <v>2405</v>
      </c>
      <c r="G5292" t="s">
        <v>6689</v>
      </c>
      <c r="H5292" t="s">
        <v>11135</v>
      </c>
      <c r="I5292" t="s">
        <v>17919</v>
      </c>
      <c r="J5292" t="s">
        <v>18894</v>
      </c>
      <c r="K5292">
        <v>11225</v>
      </c>
      <c r="L5292" t="s">
        <v>18958</v>
      </c>
      <c r="M5292" t="s">
        <v>18958</v>
      </c>
      <c r="P5292" t="s">
        <v>26560</v>
      </c>
      <c r="R5292" t="s">
        <v>26578</v>
      </c>
      <c r="S5292" t="s">
        <v>18958</v>
      </c>
      <c r="U5292" t="s">
        <v>26604</v>
      </c>
      <c r="W5292" t="s">
        <v>710</v>
      </c>
      <c r="X5292">
        <v>1526.3</v>
      </c>
      <c r="Y5292" t="s">
        <v>26652</v>
      </c>
      <c r="AB5292" t="s">
        <v>29264</v>
      </c>
      <c r="AD5292" t="s">
        <v>39430</v>
      </c>
      <c r="AE5292">
        <v>0</v>
      </c>
      <c r="AH5292">
        <v>6</v>
      </c>
      <c r="AI5292">
        <v>1</v>
      </c>
      <c r="AJ5292">
        <v>1</v>
      </c>
      <c r="AK5292">
        <v>131.99</v>
      </c>
      <c r="AN5292" t="s">
        <v>7439</v>
      </c>
      <c r="AO5292">
        <v>22320</v>
      </c>
      <c r="AU5292">
        <v>1.3</v>
      </c>
      <c r="AV5292" t="s">
        <v>768</v>
      </c>
      <c r="AW5292" t="s">
        <v>219</v>
      </c>
    </row>
    <row r="5293" spans="1:50">
      <c r="A5293" s="1">
        <f>HYPERLINK("https://lsnyc.legalserver.org/matter/dynamic-profile/view/1892734","19-1892734")</f>
        <v>0</v>
      </c>
      <c r="B5293" t="s">
        <v>243</v>
      </c>
      <c r="C5293" t="s">
        <v>340</v>
      </c>
      <c r="D5293" t="s">
        <v>752</v>
      </c>
      <c r="F5293" t="s">
        <v>1283</v>
      </c>
      <c r="G5293" t="s">
        <v>6119</v>
      </c>
      <c r="H5293" t="s">
        <v>13612</v>
      </c>
      <c r="I5293" t="s">
        <v>17299</v>
      </c>
      <c r="J5293" t="s">
        <v>18894</v>
      </c>
      <c r="K5293">
        <v>11225</v>
      </c>
      <c r="L5293" t="s">
        <v>18958</v>
      </c>
      <c r="M5293" t="s">
        <v>18958</v>
      </c>
      <c r="O5293" t="s">
        <v>26528</v>
      </c>
      <c r="P5293" t="s">
        <v>26560</v>
      </c>
      <c r="R5293" t="s">
        <v>26578</v>
      </c>
      <c r="S5293" t="s">
        <v>18958</v>
      </c>
      <c r="U5293" t="s">
        <v>26604</v>
      </c>
      <c r="W5293" t="s">
        <v>710</v>
      </c>
      <c r="X5293">
        <v>0</v>
      </c>
      <c r="Y5293" t="s">
        <v>26652</v>
      </c>
      <c r="AB5293" t="s">
        <v>30978</v>
      </c>
      <c r="AD5293" t="s">
        <v>41216</v>
      </c>
      <c r="AE5293">
        <v>0</v>
      </c>
      <c r="AH5293">
        <v>0</v>
      </c>
      <c r="AI5293">
        <v>3</v>
      </c>
      <c r="AJ5293">
        <v>0</v>
      </c>
      <c r="AK5293">
        <v>150.02</v>
      </c>
      <c r="AN5293" t="s">
        <v>7439</v>
      </c>
      <c r="AO5293">
        <v>32000</v>
      </c>
      <c r="AU5293">
        <v>3</v>
      </c>
      <c r="AV5293" t="s">
        <v>802</v>
      </c>
      <c r="AW5293" t="s">
        <v>219</v>
      </c>
    </row>
    <row r="5294" spans="1:50">
      <c r="A5294" s="1">
        <f>HYPERLINK("https://lsnyc.legalserver.org/matter/dynamic-profile/view/1892917","19-1892917")</f>
        <v>0</v>
      </c>
      <c r="B5294" t="s">
        <v>243</v>
      </c>
      <c r="C5294" t="s">
        <v>340</v>
      </c>
      <c r="D5294" t="s">
        <v>753</v>
      </c>
      <c r="F5294" t="s">
        <v>948</v>
      </c>
      <c r="G5294" t="s">
        <v>6381</v>
      </c>
      <c r="H5294" t="s">
        <v>11532</v>
      </c>
      <c r="I5294" t="s">
        <v>17307</v>
      </c>
      <c r="J5294" t="s">
        <v>18894</v>
      </c>
      <c r="K5294">
        <v>11225</v>
      </c>
      <c r="L5294" t="s">
        <v>18958</v>
      </c>
      <c r="M5294" t="s">
        <v>18958</v>
      </c>
      <c r="O5294" t="s">
        <v>26528</v>
      </c>
      <c r="P5294" t="s">
        <v>26560</v>
      </c>
      <c r="R5294" t="s">
        <v>26578</v>
      </c>
      <c r="U5294" t="s">
        <v>26604</v>
      </c>
      <c r="W5294" t="s">
        <v>710</v>
      </c>
      <c r="X5294">
        <v>1108.02</v>
      </c>
      <c r="Y5294" t="s">
        <v>26652</v>
      </c>
      <c r="AB5294" t="s">
        <v>28737</v>
      </c>
      <c r="AC5294" t="s">
        <v>35202</v>
      </c>
      <c r="AD5294" t="s">
        <v>38792</v>
      </c>
      <c r="AE5294">
        <v>0</v>
      </c>
      <c r="AH5294">
        <v>13</v>
      </c>
      <c r="AI5294">
        <v>1</v>
      </c>
      <c r="AJ5294">
        <v>0</v>
      </c>
      <c r="AK5294">
        <v>6.85</v>
      </c>
      <c r="AN5294" t="s">
        <v>7439</v>
      </c>
      <c r="AO5294">
        <v>855.36</v>
      </c>
      <c r="AU5294">
        <v>2.6</v>
      </c>
      <c r="AV5294" t="s">
        <v>831</v>
      </c>
      <c r="AW5294" t="s">
        <v>219</v>
      </c>
      <c r="AX5294" t="s">
        <v>46897</v>
      </c>
    </row>
    <row r="5295" spans="1:50">
      <c r="A5295" s="1">
        <f>HYPERLINK("https://lsnyc.legalserver.org/matter/dynamic-profile/view/1892876","19-1892876")</f>
        <v>0</v>
      </c>
      <c r="B5295" t="s">
        <v>243</v>
      </c>
      <c r="C5295" t="s">
        <v>340</v>
      </c>
      <c r="D5295" t="s">
        <v>753</v>
      </c>
      <c r="F5295" t="s">
        <v>3337</v>
      </c>
      <c r="G5295" t="s">
        <v>5136</v>
      </c>
      <c r="H5295" t="s">
        <v>11135</v>
      </c>
      <c r="I5295" t="s">
        <v>17299</v>
      </c>
      <c r="J5295" t="s">
        <v>18894</v>
      </c>
      <c r="K5295">
        <v>11225</v>
      </c>
      <c r="L5295" t="s">
        <v>18958</v>
      </c>
      <c r="M5295" t="s">
        <v>18958</v>
      </c>
      <c r="O5295" t="s">
        <v>26534</v>
      </c>
      <c r="P5295" t="s">
        <v>26561</v>
      </c>
      <c r="R5295" t="s">
        <v>26578</v>
      </c>
      <c r="S5295" t="s">
        <v>18958</v>
      </c>
      <c r="U5295" t="s">
        <v>26604</v>
      </c>
      <c r="W5295" t="s">
        <v>710</v>
      </c>
      <c r="X5295">
        <v>1726.17</v>
      </c>
      <c r="Y5295" t="s">
        <v>26652</v>
      </c>
      <c r="AB5295" t="s">
        <v>30921</v>
      </c>
      <c r="AE5295">
        <v>0</v>
      </c>
      <c r="AH5295">
        <v>14</v>
      </c>
      <c r="AI5295">
        <v>2</v>
      </c>
      <c r="AJ5295">
        <v>0</v>
      </c>
      <c r="AK5295">
        <v>225.59</v>
      </c>
      <c r="AN5295" t="s">
        <v>7439</v>
      </c>
      <c r="AO5295">
        <v>38148</v>
      </c>
      <c r="AU5295">
        <v>0</v>
      </c>
      <c r="AW5295" t="s">
        <v>219</v>
      </c>
    </row>
    <row r="5296" spans="1:50">
      <c r="A5296" s="1">
        <f>HYPERLINK("https://lsnyc.legalserver.org/matter/dynamic-profile/view/1892896","19-1892896")</f>
        <v>0</v>
      </c>
      <c r="B5296" t="s">
        <v>243</v>
      </c>
      <c r="C5296" t="s">
        <v>340</v>
      </c>
      <c r="D5296" t="s">
        <v>753</v>
      </c>
      <c r="F5296" t="s">
        <v>3360</v>
      </c>
      <c r="G5296" t="s">
        <v>7065</v>
      </c>
      <c r="H5296" t="s">
        <v>11532</v>
      </c>
      <c r="I5296" t="s">
        <v>17277</v>
      </c>
      <c r="J5296" t="s">
        <v>18894</v>
      </c>
      <c r="K5296">
        <v>11225</v>
      </c>
      <c r="L5296" t="s">
        <v>18958</v>
      </c>
      <c r="M5296" t="s">
        <v>18958</v>
      </c>
      <c r="O5296" t="s">
        <v>26528</v>
      </c>
      <c r="P5296" t="s">
        <v>26560</v>
      </c>
      <c r="R5296" t="s">
        <v>26578</v>
      </c>
      <c r="S5296" t="s">
        <v>18958</v>
      </c>
      <c r="U5296" t="s">
        <v>26604</v>
      </c>
      <c r="W5296" t="s">
        <v>710</v>
      </c>
      <c r="X5296">
        <v>0</v>
      </c>
      <c r="Y5296" t="s">
        <v>26652</v>
      </c>
      <c r="AB5296" t="s">
        <v>30979</v>
      </c>
      <c r="AD5296" t="s">
        <v>41217</v>
      </c>
      <c r="AE5296">
        <v>0</v>
      </c>
      <c r="AH5296">
        <v>0</v>
      </c>
      <c r="AI5296">
        <v>2</v>
      </c>
      <c r="AJ5296">
        <v>0</v>
      </c>
      <c r="AK5296">
        <v>656.42</v>
      </c>
      <c r="AN5296" t="s">
        <v>7439</v>
      </c>
      <c r="AO5296">
        <v>111000</v>
      </c>
      <c r="AU5296">
        <v>243.25</v>
      </c>
      <c r="AV5296" t="s">
        <v>836</v>
      </c>
      <c r="AW5296" t="s">
        <v>219</v>
      </c>
    </row>
    <row r="5297" spans="1:50">
      <c r="A5297" s="1">
        <f>HYPERLINK("https://lsnyc.legalserver.org/matter/dynamic-profile/view/1892994","19-1892994")</f>
        <v>0</v>
      </c>
      <c r="B5297" t="s">
        <v>243</v>
      </c>
      <c r="C5297" t="s">
        <v>340</v>
      </c>
      <c r="D5297" t="s">
        <v>754</v>
      </c>
      <c r="F5297" t="s">
        <v>2068</v>
      </c>
      <c r="G5297" t="s">
        <v>6717</v>
      </c>
      <c r="H5297" t="s">
        <v>11532</v>
      </c>
      <c r="I5297" t="s">
        <v>17316</v>
      </c>
      <c r="J5297" t="s">
        <v>18894</v>
      </c>
      <c r="K5297">
        <v>11225</v>
      </c>
      <c r="L5297" t="s">
        <v>18958</v>
      </c>
      <c r="M5297" t="s">
        <v>18958</v>
      </c>
      <c r="O5297" t="s">
        <v>26528</v>
      </c>
      <c r="P5297" t="s">
        <v>26560</v>
      </c>
      <c r="R5297" t="s">
        <v>26578</v>
      </c>
      <c r="U5297" t="s">
        <v>26604</v>
      </c>
      <c r="W5297" t="s">
        <v>710</v>
      </c>
      <c r="X5297">
        <v>0</v>
      </c>
      <c r="Y5297" t="s">
        <v>26652</v>
      </c>
      <c r="AB5297" t="s">
        <v>29314</v>
      </c>
      <c r="AD5297" t="s">
        <v>34738</v>
      </c>
      <c r="AE5297">
        <v>0</v>
      </c>
      <c r="AH5297">
        <v>0</v>
      </c>
      <c r="AI5297">
        <v>2</v>
      </c>
      <c r="AJ5297">
        <v>0</v>
      </c>
      <c r="AK5297">
        <v>5762.27</v>
      </c>
      <c r="AN5297" t="s">
        <v>7439</v>
      </c>
      <c r="AO5297">
        <v>974400</v>
      </c>
      <c r="AU5297">
        <v>5</v>
      </c>
      <c r="AV5297" t="s">
        <v>755</v>
      </c>
      <c r="AW5297" t="s">
        <v>219</v>
      </c>
    </row>
    <row r="5298" spans="1:50">
      <c r="A5298" s="1">
        <f>HYPERLINK("https://lsnyc.legalserver.org/matter/dynamic-profile/view/1894027","19-1894027")</f>
        <v>0</v>
      </c>
      <c r="B5298" t="s">
        <v>112</v>
      </c>
      <c r="C5298" t="s">
        <v>340</v>
      </c>
      <c r="D5298" t="s">
        <v>755</v>
      </c>
      <c r="F5298" t="s">
        <v>1114</v>
      </c>
      <c r="G5298" t="s">
        <v>7611</v>
      </c>
      <c r="H5298" t="s">
        <v>13613</v>
      </c>
      <c r="I5298" t="s">
        <v>18202</v>
      </c>
      <c r="J5298" t="s">
        <v>18901</v>
      </c>
      <c r="K5298">
        <v>11434</v>
      </c>
      <c r="L5298" t="s">
        <v>18958</v>
      </c>
      <c r="M5298" t="s">
        <v>18958</v>
      </c>
      <c r="N5298" t="s">
        <v>22954</v>
      </c>
      <c r="O5298" t="s">
        <v>26524</v>
      </c>
      <c r="P5298" t="s">
        <v>26560</v>
      </c>
      <c r="R5298" t="s">
        <v>26585</v>
      </c>
      <c r="S5298" t="s">
        <v>18959</v>
      </c>
      <c r="U5298" t="s">
        <v>26604</v>
      </c>
      <c r="V5298" t="s">
        <v>26610</v>
      </c>
      <c r="W5298" t="s">
        <v>710</v>
      </c>
      <c r="X5298">
        <v>2400</v>
      </c>
      <c r="Y5298" t="s">
        <v>26653</v>
      </c>
      <c r="Z5298" t="s">
        <v>26668</v>
      </c>
      <c r="AB5298" t="s">
        <v>30980</v>
      </c>
      <c r="AD5298" t="s">
        <v>41218</v>
      </c>
      <c r="AE5298">
        <v>2</v>
      </c>
      <c r="AF5298" t="s">
        <v>45547</v>
      </c>
      <c r="AG5298" t="s">
        <v>19330</v>
      </c>
      <c r="AH5298">
        <v>2</v>
      </c>
      <c r="AI5298">
        <v>3</v>
      </c>
      <c r="AJ5298">
        <v>1</v>
      </c>
      <c r="AK5298">
        <v>166.99</v>
      </c>
      <c r="AN5298" t="s">
        <v>7439</v>
      </c>
      <c r="AO5298">
        <v>43000</v>
      </c>
      <c r="AU5298">
        <v>5.3</v>
      </c>
      <c r="AV5298" t="s">
        <v>775</v>
      </c>
      <c r="AW5298" t="s">
        <v>112</v>
      </c>
    </row>
    <row r="5299" spans="1:50">
      <c r="A5299" s="1">
        <f>HYPERLINK("https://lsnyc.legalserver.org/matter/dynamic-profile/view/1887724","19-1887724")</f>
        <v>0</v>
      </c>
      <c r="B5299" t="s">
        <v>119</v>
      </c>
      <c r="C5299" t="s">
        <v>341</v>
      </c>
      <c r="D5299" t="s">
        <v>458</v>
      </c>
      <c r="E5299" t="s">
        <v>752</v>
      </c>
      <c r="F5299" t="s">
        <v>3361</v>
      </c>
      <c r="G5299" t="s">
        <v>7612</v>
      </c>
      <c r="H5299" t="s">
        <v>13614</v>
      </c>
      <c r="I5299" t="s">
        <v>17388</v>
      </c>
      <c r="J5299" t="s">
        <v>18893</v>
      </c>
      <c r="K5299">
        <v>10029</v>
      </c>
      <c r="L5299" t="s">
        <v>18958</v>
      </c>
      <c r="M5299" t="s">
        <v>18958</v>
      </c>
      <c r="O5299" t="s">
        <v>18997</v>
      </c>
      <c r="P5299" t="s">
        <v>26564</v>
      </c>
      <c r="Q5299" t="s">
        <v>26570</v>
      </c>
      <c r="R5299" t="s">
        <v>26578</v>
      </c>
      <c r="S5299" t="s">
        <v>18959</v>
      </c>
      <c r="U5299" t="s">
        <v>26604</v>
      </c>
      <c r="V5299" t="s">
        <v>26610</v>
      </c>
      <c r="W5299" t="s">
        <v>702</v>
      </c>
      <c r="X5299">
        <v>838</v>
      </c>
      <c r="Y5299" t="s">
        <v>26651</v>
      </c>
      <c r="Z5299" t="s">
        <v>26530</v>
      </c>
      <c r="AA5299" t="s">
        <v>26683</v>
      </c>
      <c r="AB5299" t="s">
        <v>27724</v>
      </c>
      <c r="AD5299" t="s">
        <v>41219</v>
      </c>
      <c r="AE5299">
        <v>56</v>
      </c>
      <c r="AF5299" t="s">
        <v>45541</v>
      </c>
      <c r="AG5299" t="s">
        <v>19330</v>
      </c>
      <c r="AH5299">
        <v>3</v>
      </c>
      <c r="AI5299">
        <v>1</v>
      </c>
      <c r="AJ5299">
        <v>0</v>
      </c>
      <c r="AK5299">
        <v>30.44</v>
      </c>
      <c r="AN5299" t="s">
        <v>7439</v>
      </c>
      <c r="AO5299">
        <v>3696</v>
      </c>
      <c r="AU5299">
        <v>2.6</v>
      </c>
      <c r="AV5299" t="s">
        <v>702</v>
      </c>
      <c r="AW5299" t="s">
        <v>46841</v>
      </c>
    </row>
    <row r="5300" spans="1:50">
      <c r="A5300" s="1">
        <f>HYPERLINK("https://lsnyc.legalserver.org/matter/dynamic-profile/view/1887728","19-1887728")</f>
        <v>0</v>
      </c>
      <c r="B5300" t="s">
        <v>119</v>
      </c>
      <c r="C5300" t="s">
        <v>340</v>
      </c>
      <c r="D5300" t="s">
        <v>458</v>
      </c>
      <c r="F5300" t="s">
        <v>1153</v>
      </c>
      <c r="G5300" t="s">
        <v>5078</v>
      </c>
      <c r="H5300" t="s">
        <v>13615</v>
      </c>
      <c r="I5300" t="s">
        <v>17306</v>
      </c>
      <c r="J5300" t="s">
        <v>18893</v>
      </c>
      <c r="K5300">
        <v>10029</v>
      </c>
      <c r="L5300" t="s">
        <v>18958</v>
      </c>
      <c r="M5300" t="s">
        <v>18958</v>
      </c>
      <c r="N5300" t="s">
        <v>22955</v>
      </c>
      <c r="O5300" t="s">
        <v>26523</v>
      </c>
      <c r="P5300" t="s">
        <v>26563</v>
      </c>
      <c r="R5300" t="s">
        <v>26578</v>
      </c>
      <c r="S5300" t="s">
        <v>18959</v>
      </c>
      <c r="U5300" t="s">
        <v>26604</v>
      </c>
      <c r="V5300" t="s">
        <v>26610</v>
      </c>
      <c r="W5300" t="s">
        <v>702</v>
      </c>
      <c r="X5300">
        <v>1311</v>
      </c>
      <c r="Y5300" t="s">
        <v>26651</v>
      </c>
      <c r="Z5300" t="s">
        <v>26666</v>
      </c>
      <c r="AB5300" t="s">
        <v>30981</v>
      </c>
      <c r="AC5300" t="s">
        <v>35969</v>
      </c>
      <c r="AD5300" t="s">
        <v>41220</v>
      </c>
      <c r="AE5300">
        <v>13</v>
      </c>
      <c r="AF5300" t="s">
        <v>45541</v>
      </c>
      <c r="AG5300" t="s">
        <v>45557</v>
      </c>
      <c r="AH5300">
        <v>4</v>
      </c>
      <c r="AI5300">
        <v>1</v>
      </c>
      <c r="AJ5300">
        <v>4</v>
      </c>
      <c r="AK5300">
        <v>27.66</v>
      </c>
      <c r="AN5300" t="s">
        <v>45581</v>
      </c>
      <c r="AO5300">
        <v>8138</v>
      </c>
      <c r="AU5300">
        <v>104.2</v>
      </c>
      <c r="AV5300" t="s">
        <v>834</v>
      </c>
      <c r="AW5300" t="s">
        <v>46846</v>
      </c>
    </row>
    <row r="5301" spans="1:50">
      <c r="A5301" s="1">
        <f>HYPERLINK("https://lsnyc.legalserver.org/matter/dynamic-profile/view/1889597","19-1889597")</f>
        <v>0</v>
      </c>
      <c r="B5301" t="s">
        <v>87</v>
      </c>
      <c r="C5301" t="s">
        <v>340</v>
      </c>
      <c r="D5301" t="s">
        <v>735</v>
      </c>
      <c r="F5301" t="s">
        <v>952</v>
      </c>
      <c r="G5301" t="s">
        <v>7613</v>
      </c>
      <c r="H5301" t="s">
        <v>13616</v>
      </c>
      <c r="I5301" t="s">
        <v>17290</v>
      </c>
      <c r="J5301" t="s">
        <v>18892</v>
      </c>
      <c r="K5301">
        <v>10462</v>
      </c>
      <c r="L5301" t="s">
        <v>18958</v>
      </c>
      <c r="M5301" t="s">
        <v>18958</v>
      </c>
      <c r="N5301" t="s">
        <v>22956</v>
      </c>
      <c r="O5301" t="s">
        <v>26524</v>
      </c>
      <c r="P5301" t="s">
        <v>26560</v>
      </c>
      <c r="R5301" t="s">
        <v>26579</v>
      </c>
      <c r="S5301" t="s">
        <v>18959</v>
      </c>
      <c r="U5301" t="s">
        <v>26604</v>
      </c>
      <c r="V5301" t="s">
        <v>26610</v>
      </c>
      <c r="W5301" t="s">
        <v>702</v>
      </c>
      <c r="X5301">
        <v>1609</v>
      </c>
      <c r="Y5301" t="s">
        <v>26650</v>
      </c>
      <c r="Z5301" t="s">
        <v>26668</v>
      </c>
      <c r="AB5301" t="s">
        <v>30982</v>
      </c>
      <c r="AC5301">
        <v>7713422</v>
      </c>
      <c r="AD5301" t="s">
        <v>41221</v>
      </c>
      <c r="AE5301">
        <v>0</v>
      </c>
      <c r="AF5301" t="s">
        <v>45545</v>
      </c>
      <c r="AG5301" t="s">
        <v>45556</v>
      </c>
      <c r="AH5301">
        <v>15</v>
      </c>
      <c r="AI5301">
        <v>2</v>
      </c>
      <c r="AJ5301">
        <v>0</v>
      </c>
      <c r="AK5301">
        <v>109.99</v>
      </c>
      <c r="AN5301" t="s">
        <v>7439</v>
      </c>
      <c r="AO5301">
        <v>18600</v>
      </c>
      <c r="AP5301" t="s">
        <v>45849</v>
      </c>
      <c r="AU5301">
        <v>12.5</v>
      </c>
      <c r="AV5301" t="s">
        <v>836</v>
      </c>
      <c r="AW5301" t="s">
        <v>46870</v>
      </c>
    </row>
    <row r="5302" spans="1:50">
      <c r="A5302" s="1">
        <f>HYPERLINK("https://lsnyc.legalserver.org/matter/dynamic-profile/view/1890281","19-1890281")</f>
        <v>0</v>
      </c>
      <c r="B5302" t="s">
        <v>107</v>
      </c>
      <c r="C5302" t="s">
        <v>341</v>
      </c>
      <c r="D5302" t="s">
        <v>702</v>
      </c>
      <c r="E5302" t="s">
        <v>819</v>
      </c>
      <c r="F5302" t="s">
        <v>3362</v>
      </c>
      <c r="G5302" t="s">
        <v>2579</v>
      </c>
      <c r="H5302" t="s">
        <v>13617</v>
      </c>
      <c r="J5302" t="s">
        <v>18897</v>
      </c>
      <c r="K5302">
        <v>11415</v>
      </c>
      <c r="L5302" t="s">
        <v>18958</v>
      </c>
      <c r="M5302" t="s">
        <v>18958</v>
      </c>
      <c r="N5302" t="s">
        <v>22957</v>
      </c>
      <c r="O5302" t="s">
        <v>26533</v>
      </c>
      <c r="P5302" t="s">
        <v>26564</v>
      </c>
      <c r="Q5302" t="s">
        <v>26570</v>
      </c>
      <c r="R5302" t="s">
        <v>26584</v>
      </c>
      <c r="S5302" t="s">
        <v>18959</v>
      </c>
      <c r="U5302" t="s">
        <v>26604</v>
      </c>
      <c r="V5302" t="s">
        <v>26610</v>
      </c>
      <c r="W5302" t="s">
        <v>702</v>
      </c>
      <c r="X5302">
        <v>0</v>
      </c>
      <c r="Y5302" t="s">
        <v>26653</v>
      </c>
      <c r="Z5302" t="s">
        <v>26664</v>
      </c>
      <c r="AA5302" t="s">
        <v>26683</v>
      </c>
      <c r="AB5302" t="s">
        <v>30983</v>
      </c>
      <c r="AD5302" t="s">
        <v>41222</v>
      </c>
      <c r="AE5302">
        <v>2</v>
      </c>
      <c r="AF5302" t="s">
        <v>45547</v>
      </c>
      <c r="AG5302" t="s">
        <v>19330</v>
      </c>
      <c r="AH5302">
        <v>1</v>
      </c>
      <c r="AI5302">
        <v>1</v>
      </c>
      <c r="AJ5302">
        <v>0</v>
      </c>
      <c r="AK5302">
        <v>57.65</v>
      </c>
      <c r="AN5302" t="s">
        <v>7439</v>
      </c>
      <c r="AO5302">
        <v>7200</v>
      </c>
      <c r="AT5302" t="s">
        <v>46706</v>
      </c>
      <c r="AU5302">
        <v>1.75</v>
      </c>
      <c r="AV5302" t="s">
        <v>745</v>
      </c>
      <c r="AW5302" t="s">
        <v>122</v>
      </c>
      <c r="AX5302" t="s">
        <v>46897</v>
      </c>
    </row>
    <row r="5303" spans="1:50">
      <c r="A5303" s="1">
        <f>HYPERLINK("https://lsnyc.legalserver.org/matter/dynamic-profile/view/1890296","19-1890296")</f>
        <v>0</v>
      </c>
      <c r="B5303" t="s">
        <v>98</v>
      </c>
      <c r="C5303" t="s">
        <v>341</v>
      </c>
      <c r="D5303" t="s">
        <v>702</v>
      </c>
      <c r="E5303" t="s">
        <v>754</v>
      </c>
      <c r="F5303" t="s">
        <v>3363</v>
      </c>
      <c r="G5303" t="s">
        <v>5265</v>
      </c>
      <c r="H5303" t="s">
        <v>12681</v>
      </c>
      <c r="I5303" t="s">
        <v>18203</v>
      </c>
      <c r="J5303" t="s">
        <v>18892</v>
      </c>
      <c r="K5303">
        <v>10452</v>
      </c>
      <c r="L5303" t="s">
        <v>18958</v>
      </c>
      <c r="M5303" t="s">
        <v>18958</v>
      </c>
      <c r="O5303" t="s">
        <v>18997</v>
      </c>
      <c r="P5303" t="s">
        <v>26565</v>
      </c>
      <c r="Q5303" t="s">
        <v>26571</v>
      </c>
      <c r="R5303" t="s">
        <v>26578</v>
      </c>
      <c r="S5303" t="s">
        <v>18959</v>
      </c>
      <c r="U5303" t="s">
        <v>26604</v>
      </c>
      <c r="W5303" t="s">
        <v>702</v>
      </c>
      <c r="X5303">
        <v>1500</v>
      </c>
      <c r="Y5303" t="s">
        <v>26650</v>
      </c>
      <c r="Z5303" t="s">
        <v>26663</v>
      </c>
      <c r="AA5303" t="s">
        <v>26683</v>
      </c>
      <c r="AB5303" t="s">
        <v>30984</v>
      </c>
      <c r="AE5303">
        <v>59</v>
      </c>
      <c r="AF5303" t="s">
        <v>45541</v>
      </c>
      <c r="AG5303" t="s">
        <v>19330</v>
      </c>
      <c r="AH5303">
        <v>6</v>
      </c>
      <c r="AI5303">
        <v>1</v>
      </c>
      <c r="AJ5303">
        <v>2</v>
      </c>
      <c r="AK5303">
        <v>0</v>
      </c>
      <c r="AN5303" t="s">
        <v>45581</v>
      </c>
      <c r="AO5303">
        <v>0</v>
      </c>
      <c r="AU5303">
        <v>1.3</v>
      </c>
      <c r="AV5303" t="s">
        <v>754</v>
      </c>
      <c r="AW5303" t="s">
        <v>98</v>
      </c>
    </row>
    <row r="5304" spans="1:50">
      <c r="A5304" s="1">
        <f>HYPERLINK("https://lsnyc.legalserver.org/matter/dynamic-profile/view/1890302","19-1890302")</f>
        <v>0</v>
      </c>
      <c r="B5304" t="s">
        <v>98</v>
      </c>
      <c r="C5304" t="s">
        <v>341</v>
      </c>
      <c r="D5304" t="s">
        <v>702</v>
      </c>
      <c r="E5304" t="s">
        <v>753</v>
      </c>
      <c r="F5304" t="s">
        <v>871</v>
      </c>
      <c r="G5304" t="s">
        <v>5265</v>
      </c>
      <c r="H5304" t="s">
        <v>13618</v>
      </c>
      <c r="I5304" t="s">
        <v>17332</v>
      </c>
      <c r="J5304" t="s">
        <v>18892</v>
      </c>
      <c r="K5304">
        <v>10452</v>
      </c>
      <c r="L5304" t="s">
        <v>18958</v>
      </c>
      <c r="M5304" t="s">
        <v>18958</v>
      </c>
      <c r="O5304" t="s">
        <v>18997</v>
      </c>
      <c r="P5304" t="s">
        <v>26564</v>
      </c>
      <c r="Q5304" t="s">
        <v>26570</v>
      </c>
      <c r="R5304" t="s">
        <v>26578</v>
      </c>
      <c r="S5304" t="s">
        <v>18959</v>
      </c>
      <c r="U5304" t="s">
        <v>26604</v>
      </c>
      <c r="W5304" t="s">
        <v>702</v>
      </c>
      <c r="X5304">
        <v>786.4</v>
      </c>
      <c r="Y5304" t="s">
        <v>26650</v>
      </c>
      <c r="Z5304" t="s">
        <v>26663</v>
      </c>
      <c r="AA5304" t="s">
        <v>26683</v>
      </c>
      <c r="AB5304" t="s">
        <v>30985</v>
      </c>
      <c r="AE5304">
        <v>72</v>
      </c>
      <c r="AF5304" t="s">
        <v>45541</v>
      </c>
      <c r="AG5304" t="s">
        <v>45556</v>
      </c>
      <c r="AH5304">
        <v>33</v>
      </c>
      <c r="AI5304">
        <v>1</v>
      </c>
      <c r="AJ5304">
        <v>0</v>
      </c>
      <c r="AK5304">
        <v>84.36</v>
      </c>
      <c r="AN5304" t="s">
        <v>45581</v>
      </c>
      <c r="AO5304">
        <v>10536</v>
      </c>
      <c r="AU5304">
        <v>1.3</v>
      </c>
      <c r="AV5304" t="s">
        <v>753</v>
      </c>
      <c r="AW5304" t="s">
        <v>98</v>
      </c>
    </row>
    <row r="5305" spans="1:50">
      <c r="A5305" s="1">
        <f>HYPERLINK("https://lsnyc.legalserver.org/matter/dynamic-profile/view/1890295","19-1890295")</f>
        <v>0</v>
      </c>
      <c r="B5305" t="s">
        <v>230</v>
      </c>
      <c r="C5305" t="s">
        <v>341</v>
      </c>
      <c r="D5305" t="s">
        <v>702</v>
      </c>
      <c r="E5305" t="s">
        <v>754</v>
      </c>
      <c r="F5305" t="s">
        <v>3364</v>
      </c>
      <c r="G5305" t="s">
        <v>7614</v>
      </c>
      <c r="H5305" t="s">
        <v>10885</v>
      </c>
      <c r="I5305" t="s">
        <v>17440</v>
      </c>
      <c r="J5305" t="s">
        <v>18894</v>
      </c>
      <c r="K5305">
        <v>11230</v>
      </c>
      <c r="L5305" t="s">
        <v>18958</v>
      </c>
      <c r="M5305" t="s">
        <v>18960</v>
      </c>
      <c r="N5305" t="s">
        <v>22958</v>
      </c>
      <c r="O5305" t="s">
        <v>26523</v>
      </c>
      <c r="P5305" t="s">
        <v>26563</v>
      </c>
      <c r="Q5305" t="s">
        <v>26571</v>
      </c>
      <c r="R5305" t="s">
        <v>26586</v>
      </c>
      <c r="S5305" t="s">
        <v>18959</v>
      </c>
      <c r="U5305" t="s">
        <v>26604</v>
      </c>
      <c r="V5305" t="s">
        <v>26614</v>
      </c>
      <c r="W5305" t="s">
        <v>702</v>
      </c>
      <c r="X5305">
        <v>0</v>
      </c>
      <c r="Y5305" t="s">
        <v>26652</v>
      </c>
      <c r="Z5305" t="s">
        <v>26668</v>
      </c>
      <c r="AA5305" t="s">
        <v>26683</v>
      </c>
      <c r="AB5305" t="s">
        <v>30986</v>
      </c>
      <c r="AD5305" t="s">
        <v>41223</v>
      </c>
      <c r="AE5305">
        <v>50</v>
      </c>
      <c r="AH5305">
        <v>10</v>
      </c>
      <c r="AI5305">
        <v>1</v>
      </c>
      <c r="AJ5305">
        <v>0</v>
      </c>
      <c r="AK5305">
        <v>81.56999999999999</v>
      </c>
      <c r="AN5305" t="s">
        <v>45602</v>
      </c>
      <c r="AO5305">
        <v>10188</v>
      </c>
      <c r="AU5305">
        <v>1</v>
      </c>
      <c r="AV5305" t="s">
        <v>702</v>
      </c>
      <c r="AW5305" t="s">
        <v>46856</v>
      </c>
    </row>
    <row r="5306" spans="1:50">
      <c r="A5306" s="1">
        <f>HYPERLINK("https://lsnyc.legalserver.org/matter/dynamic-profile/view/1890276","19-1890276")</f>
        <v>0</v>
      </c>
      <c r="B5306" t="s">
        <v>68</v>
      </c>
      <c r="C5306" t="s">
        <v>341</v>
      </c>
      <c r="D5306" t="s">
        <v>702</v>
      </c>
      <c r="E5306" t="s">
        <v>816</v>
      </c>
      <c r="F5306" t="s">
        <v>1932</v>
      </c>
      <c r="G5306" t="s">
        <v>7615</v>
      </c>
      <c r="H5306" t="s">
        <v>13619</v>
      </c>
      <c r="I5306" t="s">
        <v>17301</v>
      </c>
      <c r="J5306" t="s">
        <v>18892</v>
      </c>
      <c r="K5306">
        <v>10462</v>
      </c>
      <c r="L5306" t="s">
        <v>18958</v>
      </c>
      <c r="M5306" t="s">
        <v>18958</v>
      </c>
      <c r="N5306" t="s">
        <v>22959</v>
      </c>
      <c r="O5306" t="s">
        <v>26523</v>
      </c>
      <c r="P5306" t="s">
        <v>26560</v>
      </c>
      <c r="Q5306" t="s">
        <v>26568</v>
      </c>
      <c r="R5306" t="s">
        <v>26579</v>
      </c>
      <c r="S5306" t="s">
        <v>18959</v>
      </c>
      <c r="U5306" t="s">
        <v>26604</v>
      </c>
      <c r="V5306" t="s">
        <v>26610</v>
      </c>
      <c r="W5306" t="s">
        <v>702</v>
      </c>
      <c r="X5306">
        <v>1099</v>
      </c>
      <c r="Y5306" t="s">
        <v>26650</v>
      </c>
      <c r="AA5306" t="s">
        <v>26678</v>
      </c>
      <c r="AB5306" t="s">
        <v>28061</v>
      </c>
      <c r="AC5306" t="s">
        <v>35970</v>
      </c>
      <c r="AD5306" t="s">
        <v>41224</v>
      </c>
      <c r="AE5306">
        <v>90</v>
      </c>
      <c r="AF5306" t="s">
        <v>45541</v>
      </c>
      <c r="AG5306" t="s">
        <v>19330</v>
      </c>
      <c r="AH5306">
        <v>8</v>
      </c>
      <c r="AI5306">
        <v>3</v>
      </c>
      <c r="AJ5306">
        <v>1</v>
      </c>
      <c r="AK5306">
        <v>194.17</v>
      </c>
      <c r="AN5306" t="s">
        <v>7439</v>
      </c>
      <c r="AO5306">
        <v>50000</v>
      </c>
      <c r="AQ5306" t="s">
        <v>46362</v>
      </c>
      <c r="AR5306" t="s">
        <v>46385</v>
      </c>
      <c r="AS5306" t="s">
        <v>46499</v>
      </c>
      <c r="AT5306" t="s">
        <v>46641</v>
      </c>
      <c r="AU5306">
        <v>5.7</v>
      </c>
      <c r="AV5306" t="s">
        <v>815</v>
      </c>
      <c r="AW5306" t="s">
        <v>46836</v>
      </c>
    </row>
    <row r="5307" spans="1:50">
      <c r="A5307" s="1">
        <f>HYPERLINK("https://lsnyc.legalserver.org/matter/dynamic-profile/view/1890261","19-1890261")</f>
        <v>0</v>
      </c>
      <c r="B5307" t="s">
        <v>214</v>
      </c>
      <c r="C5307" t="s">
        <v>341</v>
      </c>
      <c r="D5307" t="s">
        <v>702</v>
      </c>
      <c r="E5307" t="s">
        <v>789</v>
      </c>
      <c r="F5307" t="s">
        <v>3365</v>
      </c>
      <c r="G5307" t="s">
        <v>2975</v>
      </c>
      <c r="H5307" t="s">
        <v>13620</v>
      </c>
      <c r="I5307" t="s">
        <v>17410</v>
      </c>
      <c r="J5307" t="s">
        <v>18923</v>
      </c>
      <c r="K5307">
        <v>11418</v>
      </c>
      <c r="L5307" t="s">
        <v>18958</v>
      </c>
      <c r="M5307" t="s">
        <v>18958</v>
      </c>
      <c r="N5307" t="s">
        <v>22960</v>
      </c>
      <c r="O5307" t="s">
        <v>26523</v>
      </c>
      <c r="P5307" t="s">
        <v>26560</v>
      </c>
      <c r="Q5307" t="s">
        <v>26573</v>
      </c>
      <c r="R5307" t="s">
        <v>26584</v>
      </c>
      <c r="S5307" t="s">
        <v>18959</v>
      </c>
      <c r="U5307" t="s">
        <v>26604</v>
      </c>
      <c r="V5307" t="s">
        <v>26610</v>
      </c>
      <c r="W5307" t="s">
        <v>702</v>
      </c>
      <c r="X5307">
        <v>1530</v>
      </c>
      <c r="Y5307" t="s">
        <v>26653</v>
      </c>
      <c r="Z5307" t="s">
        <v>26664</v>
      </c>
      <c r="AA5307" t="s">
        <v>26678</v>
      </c>
      <c r="AB5307" t="s">
        <v>30987</v>
      </c>
      <c r="AC5307" t="s">
        <v>35971</v>
      </c>
      <c r="AD5307" t="s">
        <v>41225</v>
      </c>
      <c r="AE5307">
        <v>6</v>
      </c>
      <c r="AF5307" t="s">
        <v>45541</v>
      </c>
      <c r="AG5307" t="s">
        <v>19330</v>
      </c>
      <c r="AH5307">
        <v>2</v>
      </c>
      <c r="AI5307">
        <v>1</v>
      </c>
      <c r="AJ5307">
        <v>1</v>
      </c>
      <c r="AK5307">
        <v>106.45</v>
      </c>
      <c r="AN5307" t="s">
        <v>7439</v>
      </c>
      <c r="AO5307">
        <v>18000</v>
      </c>
      <c r="AR5307" t="s">
        <v>46380</v>
      </c>
      <c r="AS5307" t="s">
        <v>46499</v>
      </c>
      <c r="AT5307" t="s">
        <v>46679</v>
      </c>
      <c r="AU5307">
        <v>4.55</v>
      </c>
      <c r="AV5307" t="s">
        <v>789</v>
      </c>
      <c r="AW5307" t="s">
        <v>122</v>
      </c>
    </row>
    <row r="5308" spans="1:50">
      <c r="A5308" s="1">
        <f>HYPERLINK("https://lsnyc.legalserver.org/matter/dynamic-profile/view/1890300","19-1890300")</f>
        <v>0</v>
      </c>
      <c r="B5308" t="s">
        <v>75</v>
      </c>
      <c r="C5308" t="s">
        <v>341</v>
      </c>
      <c r="D5308" t="s">
        <v>702</v>
      </c>
      <c r="E5308" t="s">
        <v>737</v>
      </c>
      <c r="F5308" t="s">
        <v>1980</v>
      </c>
      <c r="G5308" t="s">
        <v>902</v>
      </c>
      <c r="H5308" t="s">
        <v>13621</v>
      </c>
      <c r="I5308">
        <v>217</v>
      </c>
      <c r="J5308" t="s">
        <v>18892</v>
      </c>
      <c r="K5308">
        <v>10472</v>
      </c>
      <c r="L5308" t="s">
        <v>18958</v>
      </c>
      <c r="M5308" t="s">
        <v>18958</v>
      </c>
      <c r="N5308" t="s">
        <v>22961</v>
      </c>
      <c r="O5308" t="s">
        <v>26523</v>
      </c>
      <c r="P5308" t="s">
        <v>26564</v>
      </c>
      <c r="Q5308" t="s">
        <v>26570</v>
      </c>
      <c r="R5308" t="s">
        <v>26578</v>
      </c>
      <c r="U5308" t="s">
        <v>26604</v>
      </c>
      <c r="W5308" t="s">
        <v>702</v>
      </c>
      <c r="X5308">
        <v>1100</v>
      </c>
      <c r="Y5308" t="s">
        <v>26650</v>
      </c>
      <c r="AA5308" t="s">
        <v>26683</v>
      </c>
      <c r="AB5308" t="s">
        <v>28587</v>
      </c>
      <c r="AD5308" t="s">
        <v>41226</v>
      </c>
      <c r="AE5308">
        <v>0</v>
      </c>
      <c r="AH5308">
        <v>1</v>
      </c>
      <c r="AI5308">
        <v>2</v>
      </c>
      <c r="AJ5308">
        <v>3</v>
      </c>
      <c r="AK5308">
        <v>68.94</v>
      </c>
      <c r="AN5308" t="s">
        <v>45592</v>
      </c>
      <c r="AO5308">
        <v>20800</v>
      </c>
      <c r="AU5308">
        <v>6.5</v>
      </c>
      <c r="AV5308" t="s">
        <v>745</v>
      </c>
      <c r="AW5308" t="s">
        <v>46871</v>
      </c>
    </row>
    <row r="5309" spans="1:50">
      <c r="A5309" s="1">
        <f>HYPERLINK("https://lsnyc.legalserver.org/matter/dynamic-profile/view/1890219","19-1890219")</f>
        <v>0</v>
      </c>
      <c r="B5309" t="s">
        <v>270</v>
      </c>
      <c r="C5309" t="s">
        <v>341</v>
      </c>
      <c r="D5309" t="s">
        <v>702</v>
      </c>
      <c r="E5309" t="s">
        <v>767</v>
      </c>
      <c r="F5309" t="s">
        <v>2121</v>
      </c>
      <c r="G5309" t="s">
        <v>7616</v>
      </c>
      <c r="H5309" t="s">
        <v>13622</v>
      </c>
      <c r="I5309" t="s">
        <v>17344</v>
      </c>
      <c r="J5309" t="s">
        <v>18892</v>
      </c>
      <c r="K5309">
        <v>10468</v>
      </c>
      <c r="L5309" t="s">
        <v>18958</v>
      </c>
      <c r="M5309" t="s">
        <v>18958</v>
      </c>
      <c r="N5309" t="s">
        <v>22962</v>
      </c>
      <c r="O5309" t="s">
        <v>26523</v>
      </c>
      <c r="P5309" t="s">
        <v>26560</v>
      </c>
      <c r="Q5309" t="s">
        <v>26568</v>
      </c>
      <c r="R5309" t="s">
        <v>26579</v>
      </c>
      <c r="U5309" t="s">
        <v>26604</v>
      </c>
      <c r="V5309" t="s">
        <v>26614</v>
      </c>
      <c r="W5309" t="s">
        <v>702</v>
      </c>
      <c r="X5309">
        <v>1303</v>
      </c>
      <c r="Y5309" t="s">
        <v>26650</v>
      </c>
      <c r="Z5309" t="s">
        <v>26664</v>
      </c>
      <c r="AA5309" t="s">
        <v>26678</v>
      </c>
      <c r="AB5309" t="s">
        <v>30988</v>
      </c>
      <c r="AE5309">
        <v>0</v>
      </c>
      <c r="AF5309" t="s">
        <v>45547</v>
      </c>
      <c r="AG5309" t="s">
        <v>19330</v>
      </c>
      <c r="AH5309">
        <v>6</v>
      </c>
      <c r="AI5309">
        <v>2</v>
      </c>
      <c r="AJ5309">
        <v>3</v>
      </c>
      <c r="AK5309">
        <v>77.56</v>
      </c>
      <c r="AN5309" t="s">
        <v>45581</v>
      </c>
      <c r="AO5309">
        <v>23400</v>
      </c>
      <c r="AR5309" t="s">
        <v>26530</v>
      </c>
      <c r="AS5309" t="s">
        <v>46499</v>
      </c>
      <c r="AT5309" t="s">
        <v>46772</v>
      </c>
      <c r="AU5309">
        <v>10.1</v>
      </c>
      <c r="AV5309" t="s">
        <v>767</v>
      </c>
      <c r="AW5309" t="s">
        <v>334</v>
      </c>
    </row>
    <row r="5310" spans="1:50">
      <c r="A5310" s="1">
        <f>HYPERLINK("https://lsnyc.legalserver.org/matter/dynamic-profile/view/1890220","19-1890220")</f>
        <v>0</v>
      </c>
      <c r="B5310" t="s">
        <v>104</v>
      </c>
      <c r="C5310" t="s">
        <v>341</v>
      </c>
      <c r="D5310" t="s">
        <v>702</v>
      </c>
      <c r="E5310" t="s">
        <v>831</v>
      </c>
      <c r="F5310" t="s">
        <v>1636</v>
      </c>
      <c r="G5310" t="s">
        <v>7587</v>
      </c>
      <c r="H5310" t="s">
        <v>13623</v>
      </c>
      <c r="I5310" t="s">
        <v>18191</v>
      </c>
      <c r="J5310" t="s">
        <v>18902</v>
      </c>
      <c r="K5310">
        <v>10314</v>
      </c>
      <c r="L5310" t="s">
        <v>18958</v>
      </c>
      <c r="M5310" t="s">
        <v>18958</v>
      </c>
      <c r="N5310" t="s">
        <v>22963</v>
      </c>
      <c r="O5310" t="s">
        <v>26523</v>
      </c>
      <c r="P5310" t="s">
        <v>26560</v>
      </c>
      <c r="Q5310" t="s">
        <v>26568</v>
      </c>
      <c r="R5310" t="s">
        <v>26590</v>
      </c>
      <c r="S5310" t="s">
        <v>18959</v>
      </c>
      <c r="U5310" t="s">
        <v>26604</v>
      </c>
      <c r="V5310" t="s">
        <v>26610</v>
      </c>
      <c r="W5310" t="s">
        <v>702</v>
      </c>
      <c r="X5310">
        <v>1015</v>
      </c>
      <c r="Y5310" t="s">
        <v>26654</v>
      </c>
      <c r="Z5310" t="s">
        <v>26668</v>
      </c>
      <c r="AA5310" t="s">
        <v>26678</v>
      </c>
      <c r="AB5310" t="s">
        <v>30989</v>
      </c>
      <c r="AD5310" t="s">
        <v>41227</v>
      </c>
      <c r="AE5310">
        <v>8</v>
      </c>
      <c r="AF5310" t="s">
        <v>45541</v>
      </c>
      <c r="AG5310" t="s">
        <v>19330</v>
      </c>
      <c r="AH5310">
        <v>5</v>
      </c>
      <c r="AI5310">
        <v>1</v>
      </c>
      <c r="AJ5310">
        <v>1</v>
      </c>
      <c r="AK5310">
        <v>157.45</v>
      </c>
      <c r="AN5310" t="s">
        <v>7439</v>
      </c>
      <c r="AO5310">
        <v>26624.04</v>
      </c>
      <c r="AR5310" t="s">
        <v>46379</v>
      </c>
      <c r="AS5310" t="s">
        <v>46499</v>
      </c>
      <c r="AT5310" t="s">
        <v>46615</v>
      </c>
      <c r="AU5310">
        <v>10.25</v>
      </c>
      <c r="AV5310" t="s">
        <v>818</v>
      </c>
      <c r="AW5310" t="s">
        <v>210</v>
      </c>
      <c r="AX5310" t="s">
        <v>46897</v>
      </c>
    </row>
    <row r="5311" spans="1:50">
      <c r="A5311" s="1">
        <f>HYPERLINK("https://lsnyc.legalserver.org/matter/dynamic-profile/view/1890233","19-1890233")</f>
        <v>0</v>
      </c>
      <c r="B5311" t="s">
        <v>107</v>
      </c>
      <c r="C5311" t="s">
        <v>340</v>
      </c>
      <c r="D5311" t="s">
        <v>702</v>
      </c>
      <c r="F5311" t="s">
        <v>1039</v>
      </c>
      <c r="G5311" t="s">
        <v>7617</v>
      </c>
      <c r="H5311" t="s">
        <v>13624</v>
      </c>
      <c r="I5311" t="s">
        <v>17291</v>
      </c>
      <c r="J5311" t="s">
        <v>18947</v>
      </c>
      <c r="K5311">
        <v>11385</v>
      </c>
      <c r="L5311" t="s">
        <v>18958</v>
      </c>
      <c r="M5311" t="s">
        <v>18960</v>
      </c>
      <c r="N5311" t="s">
        <v>22964</v>
      </c>
      <c r="O5311" t="s">
        <v>26523</v>
      </c>
      <c r="P5311" t="s">
        <v>26560</v>
      </c>
      <c r="R5311" t="s">
        <v>26584</v>
      </c>
      <c r="S5311" t="s">
        <v>18959</v>
      </c>
      <c r="U5311" t="s">
        <v>26604</v>
      </c>
      <c r="V5311" t="s">
        <v>26610</v>
      </c>
      <c r="W5311" t="s">
        <v>702</v>
      </c>
      <c r="X5311">
        <v>1112</v>
      </c>
      <c r="Y5311" t="s">
        <v>26653</v>
      </c>
      <c r="Z5311" t="s">
        <v>26664</v>
      </c>
      <c r="AB5311" t="s">
        <v>30990</v>
      </c>
      <c r="AC5311" t="s">
        <v>35972</v>
      </c>
      <c r="AD5311" t="s">
        <v>41228</v>
      </c>
      <c r="AE5311">
        <v>6</v>
      </c>
      <c r="AF5311" t="s">
        <v>45541</v>
      </c>
      <c r="AG5311" t="s">
        <v>45558</v>
      </c>
      <c r="AH5311">
        <v>15</v>
      </c>
      <c r="AI5311">
        <v>2</v>
      </c>
      <c r="AJ5311">
        <v>2</v>
      </c>
      <c r="AK5311">
        <v>66.34</v>
      </c>
      <c r="AN5311" t="s">
        <v>7439</v>
      </c>
      <c r="AO5311">
        <v>17082</v>
      </c>
      <c r="AQ5311" t="s">
        <v>46362</v>
      </c>
      <c r="AR5311" t="s">
        <v>46422</v>
      </c>
      <c r="AS5311" t="s">
        <v>46499</v>
      </c>
      <c r="AT5311" t="s">
        <v>46641</v>
      </c>
      <c r="AU5311">
        <v>22.58</v>
      </c>
      <c r="AV5311" t="s">
        <v>826</v>
      </c>
      <c r="AW5311" t="s">
        <v>122</v>
      </c>
      <c r="AX5311" t="s">
        <v>46897</v>
      </c>
    </row>
    <row r="5312" spans="1:50">
      <c r="A5312" s="1">
        <f>HYPERLINK("https://lsnyc.legalserver.org/matter/dynamic-profile/view/1890347","19-1890347")</f>
        <v>0</v>
      </c>
      <c r="B5312" t="s">
        <v>98</v>
      </c>
      <c r="C5312" t="s">
        <v>340</v>
      </c>
      <c r="D5312" t="s">
        <v>702</v>
      </c>
      <c r="F5312" t="s">
        <v>2871</v>
      </c>
      <c r="G5312" t="s">
        <v>7618</v>
      </c>
      <c r="H5312" t="s">
        <v>13625</v>
      </c>
      <c r="I5312" t="s">
        <v>17436</v>
      </c>
      <c r="J5312" t="s">
        <v>18892</v>
      </c>
      <c r="K5312">
        <v>10452</v>
      </c>
      <c r="L5312" t="s">
        <v>18958</v>
      </c>
      <c r="M5312" t="s">
        <v>18958</v>
      </c>
      <c r="O5312" t="s">
        <v>18997</v>
      </c>
      <c r="P5312" t="s">
        <v>26565</v>
      </c>
      <c r="R5312" t="s">
        <v>26578</v>
      </c>
      <c r="S5312" t="s">
        <v>18959</v>
      </c>
      <c r="U5312" t="s">
        <v>26604</v>
      </c>
      <c r="W5312" t="s">
        <v>702</v>
      </c>
      <c r="X5312">
        <v>1743.88</v>
      </c>
      <c r="Y5312" t="s">
        <v>26650</v>
      </c>
      <c r="Z5312" t="s">
        <v>26663</v>
      </c>
      <c r="AB5312" t="s">
        <v>29724</v>
      </c>
      <c r="AE5312">
        <v>63</v>
      </c>
      <c r="AF5312" t="s">
        <v>45541</v>
      </c>
      <c r="AG5312" t="s">
        <v>45556</v>
      </c>
      <c r="AH5312">
        <v>28</v>
      </c>
      <c r="AI5312">
        <v>1</v>
      </c>
      <c r="AJ5312">
        <v>0</v>
      </c>
      <c r="AK5312">
        <v>81.09</v>
      </c>
      <c r="AN5312" t="s">
        <v>45581</v>
      </c>
      <c r="AO5312">
        <v>10128</v>
      </c>
      <c r="AU5312">
        <v>1.2</v>
      </c>
      <c r="AV5312" t="s">
        <v>731</v>
      </c>
      <c r="AW5312" t="s">
        <v>98</v>
      </c>
    </row>
    <row r="5313" spans="1:50">
      <c r="A5313" s="1">
        <f>HYPERLINK("https://lsnyc.legalserver.org/matter/dynamic-profile/view/1890236","19-1890236")</f>
        <v>0</v>
      </c>
      <c r="B5313" t="s">
        <v>133</v>
      </c>
      <c r="C5313" t="s">
        <v>340</v>
      </c>
      <c r="D5313" t="s">
        <v>702</v>
      </c>
      <c r="F5313" t="s">
        <v>1351</v>
      </c>
      <c r="G5313" t="s">
        <v>5678</v>
      </c>
      <c r="H5313" t="s">
        <v>13626</v>
      </c>
      <c r="I5313">
        <v>14</v>
      </c>
      <c r="J5313" t="s">
        <v>18892</v>
      </c>
      <c r="K5313">
        <v>10457</v>
      </c>
      <c r="L5313" t="s">
        <v>18958</v>
      </c>
      <c r="M5313" t="s">
        <v>18958</v>
      </c>
      <c r="N5313" t="s">
        <v>22965</v>
      </c>
      <c r="O5313" t="s">
        <v>26523</v>
      </c>
      <c r="P5313" t="s">
        <v>26560</v>
      </c>
      <c r="R5313" t="s">
        <v>26579</v>
      </c>
      <c r="U5313" t="s">
        <v>26604</v>
      </c>
      <c r="V5313" t="s">
        <v>26610</v>
      </c>
      <c r="W5313" t="s">
        <v>702</v>
      </c>
      <c r="X5313">
        <v>591</v>
      </c>
      <c r="Y5313" t="s">
        <v>26650</v>
      </c>
      <c r="Z5313" t="s">
        <v>26664</v>
      </c>
      <c r="AB5313" t="s">
        <v>30991</v>
      </c>
      <c r="AD5313" t="s">
        <v>41229</v>
      </c>
      <c r="AE5313">
        <v>0</v>
      </c>
      <c r="AF5313" t="s">
        <v>45541</v>
      </c>
      <c r="AH5313">
        <v>8</v>
      </c>
      <c r="AI5313">
        <v>2</v>
      </c>
      <c r="AJ5313">
        <v>0</v>
      </c>
      <c r="AK5313">
        <v>54.71</v>
      </c>
      <c r="AO5313">
        <v>9252</v>
      </c>
      <c r="AU5313">
        <v>7.2</v>
      </c>
      <c r="AV5313" t="s">
        <v>839</v>
      </c>
      <c r="AW5313" t="s">
        <v>334</v>
      </c>
    </row>
    <row r="5314" spans="1:50">
      <c r="A5314" s="1">
        <f>HYPERLINK("https://lsnyc.legalserver.org/matter/dynamic-profile/view/1889283","19-1889283")</f>
        <v>0</v>
      </c>
      <c r="B5314" t="s">
        <v>278</v>
      </c>
      <c r="C5314" t="s">
        <v>340</v>
      </c>
      <c r="D5314" t="s">
        <v>702</v>
      </c>
      <c r="F5314" t="s">
        <v>1789</v>
      </c>
      <c r="G5314" t="s">
        <v>5121</v>
      </c>
      <c r="H5314" t="s">
        <v>13627</v>
      </c>
      <c r="I5314" t="s">
        <v>18204</v>
      </c>
      <c r="J5314" t="s">
        <v>18902</v>
      </c>
      <c r="K5314">
        <v>10301</v>
      </c>
      <c r="L5314" t="s">
        <v>18958</v>
      </c>
      <c r="M5314" t="s">
        <v>18960</v>
      </c>
      <c r="N5314" t="s">
        <v>22966</v>
      </c>
      <c r="O5314" t="s">
        <v>26524</v>
      </c>
      <c r="P5314" t="s">
        <v>26560</v>
      </c>
      <c r="R5314" t="s">
        <v>26578</v>
      </c>
      <c r="S5314" t="s">
        <v>18959</v>
      </c>
      <c r="U5314" t="s">
        <v>26604</v>
      </c>
      <c r="V5314" t="s">
        <v>26610</v>
      </c>
      <c r="W5314" t="s">
        <v>702</v>
      </c>
      <c r="X5314">
        <v>723</v>
      </c>
      <c r="Y5314" t="s">
        <v>26654</v>
      </c>
      <c r="Z5314" t="s">
        <v>26657</v>
      </c>
      <c r="AB5314" t="s">
        <v>30992</v>
      </c>
      <c r="AD5314" t="s">
        <v>41230</v>
      </c>
      <c r="AE5314">
        <v>110</v>
      </c>
      <c r="AF5314" t="s">
        <v>45541</v>
      </c>
      <c r="AG5314" t="s">
        <v>19330</v>
      </c>
      <c r="AH5314">
        <v>46</v>
      </c>
      <c r="AI5314">
        <v>2</v>
      </c>
      <c r="AJ5314">
        <v>0</v>
      </c>
      <c r="AK5314">
        <v>347.72</v>
      </c>
      <c r="AN5314" t="s">
        <v>7439</v>
      </c>
      <c r="AO5314">
        <v>58800</v>
      </c>
      <c r="AU5314">
        <v>35.69</v>
      </c>
      <c r="AV5314" t="s">
        <v>762</v>
      </c>
      <c r="AW5314" t="s">
        <v>46855</v>
      </c>
      <c r="AX5314" t="s">
        <v>46897</v>
      </c>
    </row>
    <row r="5315" spans="1:50">
      <c r="A5315" s="1">
        <f>HYPERLINK("https://lsnyc.legalserver.org/matter/dynamic-profile/view/1890263","19-1890263")</f>
        <v>0</v>
      </c>
      <c r="B5315" t="s">
        <v>97</v>
      </c>
      <c r="C5315" t="s">
        <v>340</v>
      </c>
      <c r="D5315" t="s">
        <v>702</v>
      </c>
      <c r="F5315" t="s">
        <v>952</v>
      </c>
      <c r="G5315" t="s">
        <v>7619</v>
      </c>
      <c r="H5315" t="s">
        <v>13628</v>
      </c>
      <c r="I5315" t="s">
        <v>17282</v>
      </c>
      <c r="J5315" t="s">
        <v>18892</v>
      </c>
      <c r="K5315">
        <v>10453</v>
      </c>
      <c r="L5315" t="s">
        <v>18958</v>
      </c>
      <c r="M5315" t="s">
        <v>18958</v>
      </c>
      <c r="N5315" t="s">
        <v>22967</v>
      </c>
      <c r="O5315" t="s">
        <v>26523</v>
      </c>
      <c r="P5315" t="s">
        <v>26560</v>
      </c>
      <c r="R5315" t="s">
        <v>26577</v>
      </c>
      <c r="U5315" t="s">
        <v>26604</v>
      </c>
      <c r="V5315" t="s">
        <v>26610</v>
      </c>
      <c r="W5315" t="s">
        <v>702</v>
      </c>
      <c r="X5315">
        <v>475.56</v>
      </c>
      <c r="Y5315" t="s">
        <v>26650</v>
      </c>
      <c r="Z5315" t="s">
        <v>26668</v>
      </c>
      <c r="AB5315" t="s">
        <v>30993</v>
      </c>
      <c r="AC5315" t="s">
        <v>35973</v>
      </c>
      <c r="AE5315">
        <v>62</v>
      </c>
      <c r="AF5315" t="s">
        <v>45541</v>
      </c>
      <c r="AG5315" t="s">
        <v>19330</v>
      </c>
      <c r="AH5315">
        <v>23</v>
      </c>
      <c r="AI5315">
        <v>3</v>
      </c>
      <c r="AJ5315">
        <v>0</v>
      </c>
      <c r="AK5315">
        <v>14.63</v>
      </c>
      <c r="AN5315" t="s">
        <v>7439</v>
      </c>
      <c r="AO5315">
        <v>3120</v>
      </c>
      <c r="AU5315">
        <v>27.35</v>
      </c>
      <c r="AV5315" t="s">
        <v>773</v>
      </c>
      <c r="AW5315" t="s">
        <v>334</v>
      </c>
      <c r="AX5315" t="s">
        <v>46898</v>
      </c>
    </row>
    <row r="5316" spans="1:50">
      <c r="A5316" s="1">
        <f>HYPERLINK("https://lsnyc.legalserver.org/matter/dynamic-profile/view/1890216","19-1890216")</f>
        <v>0</v>
      </c>
      <c r="B5316" t="s">
        <v>97</v>
      </c>
      <c r="C5316" t="s">
        <v>340</v>
      </c>
      <c r="D5316" t="s">
        <v>702</v>
      </c>
      <c r="F5316" t="s">
        <v>1108</v>
      </c>
      <c r="G5316" t="s">
        <v>3402</v>
      </c>
      <c r="H5316" t="s">
        <v>13629</v>
      </c>
      <c r="I5316" t="s">
        <v>18205</v>
      </c>
      <c r="J5316" t="s">
        <v>18892</v>
      </c>
      <c r="K5316">
        <v>10457</v>
      </c>
      <c r="L5316" t="s">
        <v>18958</v>
      </c>
      <c r="M5316" t="s">
        <v>18960</v>
      </c>
      <c r="N5316" t="s">
        <v>22968</v>
      </c>
      <c r="O5316" t="s">
        <v>26524</v>
      </c>
      <c r="P5316" t="s">
        <v>26560</v>
      </c>
      <c r="R5316" t="s">
        <v>26579</v>
      </c>
      <c r="U5316" t="s">
        <v>26604</v>
      </c>
      <c r="W5316" t="s">
        <v>702</v>
      </c>
      <c r="X5316">
        <v>1951.85</v>
      </c>
      <c r="Y5316" t="s">
        <v>26650</v>
      </c>
      <c r="AB5316" t="s">
        <v>30994</v>
      </c>
      <c r="AC5316" t="s">
        <v>35974</v>
      </c>
      <c r="AD5316" t="s">
        <v>41231</v>
      </c>
      <c r="AE5316">
        <v>0</v>
      </c>
      <c r="AG5316" t="s">
        <v>45556</v>
      </c>
      <c r="AH5316">
        <v>10</v>
      </c>
      <c r="AI5316">
        <v>4</v>
      </c>
      <c r="AJ5316">
        <v>5</v>
      </c>
      <c r="AK5316">
        <v>65.2</v>
      </c>
      <c r="AN5316" t="s">
        <v>7439</v>
      </c>
      <c r="AO5316">
        <v>31200</v>
      </c>
      <c r="AU5316">
        <v>20.4</v>
      </c>
      <c r="AV5316" t="s">
        <v>809</v>
      </c>
      <c r="AW5316" t="s">
        <v>46836</v>
      </c>
    </row>
    <row r="5317" spans="1:50">
      <c r="A5317" s="1">
        <f>HYPERLINK("https://lsnyc.legalserver.org/matter/dynamic-profile/view/1890283","19-1890283")</f>
        <v>0</v>
      </c>
      <c r="B5317" t="s">
        <v>97</v>
      </c>
      <c r="C5317" t="s">
        <v>340</v>
      </c>
      <c r="D5317" t="s">
        <v>702</v>
      </c>
      <c r="F5317" t="s">
        <v>3366</v>
      </c>
      <c r="G5317" t="s">
        <v>7620</v>
      </c>
      <c r="H5317" t="s">
        <v>12829</v>
      </c>
      <c r="I5317">
        <v>21</v>
      </c>
      <c r="J5317" t="s">
        <v>18892</v>
      </c>
      <c r="K5317">
        <v>10457</v>
      </c>
      <c r="L5317" t="s">
        <v>18958</v>
      </c>
      <c r="M5317" t="s">
        <v>18958</v>
      </c>
      <c r="N5317" t="s">
        <v>22969</v>
      </c>
      <c r="O5317" t="s">
        <v>26523</v>
      </c>
      <c r="P5317" t="s">
        <v>26560</v>
      </c>
      <c r="R5317" t="s">
        <v>26579</v>
      </c>
      <c r="U5317" t="s">
        <v>26604</v>
      </c>
      <c r="V5317" t="s">
        <v>26610</v>
      </c>
      <c r="W5317" t="s">
        <v>702</v>
      </c>
      <c r="X5317">
        <v>1417.5</v>
      </c>
      <c r="Y5317" t="s">
        <v>26650</v>
      </c>
      <c r="Z5317" t="s">
        <v>26664</v>
      </c>
      <c r="AB5317" t="s">
        <v>30995</v>
      </c>
      <c r="AE5317">
        <v>0</v>
      </c>
      <c r="AH5317">
        <v>5</v>
      </c>
      <c r="AI5317">
        <v>2</v>
      </c>
      <c r="AJ5317">
        <v>3</v>
      </c>
      <c r="AK5317">
        <v>116.01</v>
      </c>
      <c r="AN5317" t="s">
        <v>7439</v>
      </c>
      <c r="AO5317">
        <v>35000</v>
      </c>
      <c r="AU5317">
        <v>4.15</v>
      </c>
      <c r="AV5317" t="s">
        <v>781</v>
      </c>
      <c r="AW5317" t="s">
        <v>334</v>
      </c>
    </row>
    <row r="5318" spans="1:50">
      <c r="A5318" s="1">
        <f>HYPERLINK("https://lsnyc.legalserver.org/matter/dynamic-profile/view/1890247","19-1890247")</f>
        <v>0</v>
      </c>
      <c r="B5318" t="s">
        <v>108</v>
      </c>
      <c r="C5318" t="s">
        <v>340</v>
      </c>
      <c r="D5318" t="s">
        <v>702</v>
      </c>
      <c r="F5318" t="s">
        <v>1232</v>
      </c>
      <c r="G5318" t="s">
        <v>5265</v>
      </c>
      <c r="H5318" t="s">
        <v>13630</v>
      </c>
      <c r="I5318" t="s">
        <v>17332</v>
      </c>
      <c r="J5318" t="s">
        <v>18901</v>
      </c>
      <c r="K5318">
        <v>11434</v>
      </c>
      <c r="L5318" t="s">
        <v>18958</v>
      </c>
      <c r="M5318" t="s">
        <v>18958</v>
      </c>
      <c r="N5318" t="s">
        <v>22970</v>
      </c>
      <c r="O5318" t="s">
        <v>26523</v>
      </c>
      <c r="P5318" t="s">
        <v>26560</v>
      </c>
      <c r="R5318" t="s">
        <v>26585</v>
      </c>
      <c r="S5318" t="s">
        <v>18959</v>
      </c>
      <c r="U5318" t="s">
        <v>26604</v>
      </c>
      <c r="V5318" t="s">
        <v>26610</v>
      </c>
      <c r="W5318" t="s">
        <v>702</v>
      </c>
      <c r="X5318">
        <v>1800</v>
      </c>
      <c r="Y5318" t="s">
        <v>26653</v>
      </c>
      <c r="Z5318" t="s">
        <v>26668</v>
      </c>
      <c r="AB5318" t="s">
        <v>28517</v>
      </c>
      <c r="AC5318" t="s">
        <v>35975</v>
      </c>
      <c r="AD5318" t="s">
        <v>41232</v>
      </c>
      <c r="AE5318">
        <v>6</v>
      </c>
      <c r="AF5318" t="s">
        <v>20460</v>
      </c>
      <c r="AG5318" t="s">
        <v>19330</v>
      </c>
      <c r="AH5318">
        <v>-1</v>
      </c>
      <c r="AI5318">
        <v>1</v>
      </c>
      <c r="AJ5318">
        <v>2</v>
      </c>
      <c r="AK5318">
        <v>153.02</v>
      </c>
      <c r="AN5318" t="s">
        <v>7439</v>
      </c>
      <c r="AO5318">
        <v>32640</v>
      </c>
      <c r="AU5318">
        <v>35.38</v>
      </c>
      <c r="AV5318" t="s">
        <v>828</v>
      </c>
      <c r="AW5318" t="s">
        <v>208</v>
      </c>
    </row>
    <row r="5319" spans="1:50">
      <c r="A5319" s="1">
        <f>HYPERLINK("https://lsnyc.legalserver.org/matter/dynamic-profile/view/1890223","19-1890223")</f>
        <v>0</v>
      </c>
      <c r="B5319" t="s">
        <v>131</v>
      </c>
      <c r="C5319" t="s">
        <v>340</v>
      </c>
      <c r="D5319" t="s">
        <v>702</v>
      </c>
      <c r="F5319" t="s">
        <v>2907</v>
      </c>
      <c r="G5319" t="s">
        <v>7621</v>
      </c>
      <c r="H5319" t="s">
        <v>13631</v>
      </c>
      <c r="I5319" t="s">
        <v>17324</v>
      </c>
      <c r="J5319" t="s">
        <v>18902</v>
      </c>
      <c r="K5319">
        <v>10314</v>
      </c>
      <c r="L5319" t="s">
        <v>18958</v>
      </c>
      <c r="M5319" t="s">
        <v>18958</v>
      </c>
      <c r="N5319" t="s">
        <v>22971</v>
      </c>
      <c r="O5319" t="s">
        <v>26523</v>
      </c>
      <c r="P5319" t="s">
        <v>26560</v>
      </c>
      <c r="R5319" t="s">
        <v>26590</v>
      </c>
      <c r="S5319" t="s">
        <v>18959</v>
      </c>
      <c r="U5319" t="s">
        <v>26604</v>
      </c>
      <c r="V5319" t="s">
        <v>26610</v>
      </c>
      <c r="W5319" t="s">
        <v>702</v>
      </c>
      <c r="X5319">
        <v>1000</v>
      </c>
      <c r="Y5319" t="s">
        <v>26654</v>
      </c>
      <c r="Z5319" t="s">
        <v>26668</v>
      </c>
      <c r="AB5319" t="s">
        <v>27387</v>
      </c>
      <c r="AD5319" t="s">
        <v>41233</v>
      </c>
      <c r="AE5319">
        <v>2</v>
      </c>
      <c r="AF5319" t="s">
        <v>45547</v>
      </c>
      <c r="AH5319">
        <v>0</v>
      </c>
      <c r="AI5319">
        <v>1</v>
      </c>
      <c r="AJ5319">
        <v>0</v>
      </c>
      <c r="AK5319">
        <v>86.47</v>
      </c>
      <c r="AN5319" t="s">
        <v>7439</v>
      </c>
      <c r="AO5319">
        <v>10800</v>
      </c>
      <c r="AU5319">
        <v>5.7</v>
      </c>
      <c r="AV5319" t="s">
        <v>818</v>
      </c>
      <c r="AW5319" t="s">
        <v>210</v>
      </c>
    </row>
    <row r="5320" spans="1:50">
      <c r="A5320" s="1">
        <f>HYPERLINK("https://lsnyc.legalserver.org/matter/dynamic-profile/view/1890314","19-1890314")</f>
        <v>0</v>
      </c>
      <c r="B5320" t="s">
        <v>212</v>
      </c>
      <c r="C5320" t="s">
        <v>340</v>
      </c>
      <c r="D5320" t="s">
        <v>702</v>
      </c>
      <c r="F5320" t="s">
        <v>3367</v>
      </c>
      <c r="G5320" t="s">
        <v>5269</v>
      </c>
      <c r="H5320" t="s">
        <v>13632</v>
      </c>
      <c r="J5320" t="s">
        <v>18901</v>
      </c>
      <c r="K5320">
        <v>11434</v>
      </c>
      <c r="L5320" t="s">
        <v>18958</v>
      </c>
      <c r="M5320" t="s">
        <v>18958</v>
      </c>
      <c r="N5320" t="s">
        <v>22972</v>
      </c>
      <c r="O5320" t="s">
        <v>26524</v>
      </c>
      <c r="P5320" t="s">
        <v>26560</v>
      </c>
      <c r="R5320" t="s">
        <v>26585</v>
      </c>
      <c r="S5320" t="s">
        <v>18959</v>
      </c>
      <c r="U5320" t="s">
        <v>26604</v>
      </c>
      <c r="W5320" t="s">
        <v>702</v>
      </c>
      <c r="X5320">
        <v>1600</v>
      </c>
      <c r="Y5320" t="s">
        <v>26653</v>
      </c>
      <c r="Z5320" t="s">
        <v>26668</v>
      </c>
      <c r="AB5320" t="s">
        <v>27191</v>
      </c>
      <c r="AD5320" t="s">
        <v>34738</v>
      </c>
      <c r="AE5320">
        <v>0</v>
      </c>
      <c r="AF5320" t="s">
        <v>20460</v>
      </c>
      <c r="AG5320" t="s">
        <v>19330</v>
      </c>
      <c r="AH5320">
        <v>5</v>
      </c>
      <c r="AI5320">
        <v>1</v>
      </c>
      <c r="AJ5320">
        <v>2</v>
      </c>
      <c r="AK5320">
        <v>79.7</v>
      </c>
      <c r="AN5320" t="s">
        <v>7439</v>
      </c>
      <c r="AO5320">
        <v>17000</v>
      </c>
      <c r="AU5320">
        <v>3.8</v>
      </c>
      <c r="AV5320" t="s">
        <v>809</v>
      </c>
      <c r="AW5320" t="s">
        <v>208</v>
      </c>
    </row>
    <row r="5321" spans="1:50">
      <c r="A5321" s="1">
        <f>HYPERLINK("https://lsnyc.legalserver.org/matter/dynamic-profile/view/1890250","19-1890250")</f>
        <v>0</v>
      </c>
      <c r="B5321" t="s">
        <v>141</v>
      </c>
      <c r="C5321" t="s">
        <v>340</v>
      </c>
      <c r="D5321" t="s">
        <v>702</v>
      </c>
      <c r="F5321" t="s">
        <v>3368</v>
      </c>
      <c r="G5321" t="s">
        <v>7622</v>
      </c>
      <c r="H5321" t="s">
        <v>13633</v>
      </c>
      <c r="J5321" t="s">
        <v>18901</v>
      </c>
      <c r="K5321">
        <v>11433</v>
      </c>
      <c r="L5321" t="s">
        <v>18958</v>
      </c>
      <c r="M5321" t="s">
        <v>18958</v>
      </c>
      <c r="N5321" t="s">
        <v>22973</v>
      </c>
      <c r="O5321" t="s">
        <v>26524</v>
      </c>
      <c r="P5321" t="s">
        <v>26560</v>
      </c>
      <c r="R5321" t="s">
        <v>26585</v>
      </c>
      <c r="S5321" t="s">
        <v>18959</v>
      </c>
      <c r="U5321" t="s">
        <v>26604</v>
      </c>
      <c r="V5321" t="s">
        <v>26610</v>
      </c>
      <c r="W5321" t="s">
        <v>702</v>
      </c>
      <c r="X5321">
        <v>800</v>
      </c>
      <c r="Y5321" t="s">
        <v>26653</v>
      </c>
      <c r="Z5321" t="s">
        <v>26668</v>
      </c>
      <c r="AB5321" t="s">
        <v>30996</v>
      </c>
      <c r="AD5321" t="s">
        <v>41234</v>
      </c>
      <c r="AE5321">
        <v>3</v>
      </c>
      <c r="AF5321" t="s">
        <v>45547</v>
      </c>
      <c r="AG5321" t="s">
        <v>19330</v>
      </c>
      <c r="AH5321">
        <v>5</v>
      </c>
      <c r="AI5321">
        <v>1</v>
      </c>
      <c r="AJ5321">
        <v>0</v>
      </c>
      <c r="AK5321">
        <v>0</v>
      </c>
      <c r="AN5321" t="s">
        <v>7439</v>
      </c>
      <c r="AO5321">
        <v>0</v>
      </c>
      <c r="AQ5321" t="s">
        <v>46362</v>
      </c>
      <c r="AR5321" t="s">
        <v>26530</v>
      </c>
      <c r="AS5321" t="s">
        <v>46502</v>
      </c>
      <c r="AT5321" t="s">
        <v>46735</v>
      </c>
      <c r="AU5321">
        <v>13.45</v>
      </c>
      <c r="AV5321" t="s">
        <v>838</v>
      </c>
      <c r="AW5321" t="s">
        <v>208</v>
      </c>
      <c r="AX5321" t="s">
        <v>46897</v>
      </c>
    </row>
    <row r="5322" spans="1:50">
      <c r="A5322" s="1">
        <f>HYPERLINK("https://lsnyc.legalserver.org/matter/dynamic-profile/view/1890333","19-1890333")</f>
        <v>0</v>
      </c>
      <c r="B5322" t="s">
        <v>75</v>
      </c>
      <c r="C5322" t="s">
        <v>340</v>
      </c>
      <c r="D5322" t="s">
        <v>702</v>
      </c>
      <c r="F5322" t="s">
        <v>2556</v>
      </c>
      <c r="G5322" t="s">
        <v>6232</v>
      </c>
      <c r="H5322" t="s">
        <v>13634</v>
      </c>
      <c r="I5322" t="s">
        <v>17349</v>
      </c>
      <c r="J5322" t="s">
        <v>18892</v>
      </c>
      <c r="K5322">
        <v>10451</v>
      </c>
      <c r="L5322" t="s">
        <v>18958</v>
      </c>
      <c r="M5322" t="s">
        <v>18958</v>
      </c>
      <c r="O5322" t="s">
        <v>26534</v>
      </c>
      <c r="P5322" t="s">
        <v>26565</v>
      </c>
      <c r="R5322" t="s">
        <v>26578</v>
      </c>
      <c r="S5322" t="s">
        <v>18959</v>
      </c>
      <c r="U5322" t="s">
        <v>26604</v>
      </c>
      <c r="W5322" t="s">
        <v>702</v>
      </c>
      <c r="X5322">
        <v>1600</v>
      </c>
      <c r="Y5322" t="s">
        <v>26650</v>
      </c>
      <c r="Z5322" t="s">
        <v>26663</v>
      </c>
      <c r="AB5322" t="s">
        <v>30997</v>
      </c>
      <c r="AE5322">
        <v>59</v>
      </c>
      <c r="AF5322" t="s">
        <v>45541</v>
      </c>
      <c r="AG5322" t="s">
        <v>19330</v>
      </c>
      <c r="AH5322">
        <v>3</v>
      </c>
      <c r="AI5322">
        <v>2</v>
      </c>
      <c r="AJ5322">
        <v>1</v>
      </c>
      <c r="AK5322">
        <v>170.65</v>
      </c>
      <c r="AN5322" t="s">
        <v>45581</v>
      </c>
      <c r="AO5322">
        <v>36400</v>
      </c>
      <c r="AU5322">
        <v>14</v>
      </c>
      <c r="AV5322" t="s">
        <v>843</v>
      </c>
      <c r="AW5322" t="s">
        <v>98</v>
      </c>
    </row>
    <row r="5323" spans="1:50">
      <c r="A5323" s="1">
        <f>HYPERLINK("https://lsnyc.legalserver.org/matter/dynamic-profile/view/1890215","19-1890215")</f>
        <v>0</v>
      </c>
      <c r="B5323" t="s">
        <v>182</v>
      </c>
      <c r="C5323" t="s">
        <v>340</v>
      </c>
      <c r="D5323" t="s">
        <v>702</v>
      </c>
      <c r="F5323" t="s">
        <v>3003</v>
      </c>
      <c r="G5323" t="s">
        <v>7623</v>
      </c>
      <c r="H5323" t="s">
        <v>10779</v>
      </c>
      <c r="I5323" t="s">
        <v>17347</v>
      </c>
      <c r="J5323" t="s">
        <v>18892</v>
      </c>
      <c r="K5323">
        <v>10457</v>
      </c>
      <c r="L5323" t="s">
        <v>18958</v>
      </c>
      <c r="M5323" t="s">
        <v>18958</v>
      </c>
      <c r="N5323" t="s">
        <v>22974</v>
      </c>
      <c r="O5323" t="s">
        <v>26524</v>
      </c>
      <c r="P5323" t="s">
        <v>26560</v>
      </c>
      <c r="R5323" t="s">
        <v>26579</v>
      </c>
      <c r="U5323" t="s">
        <v>26604</v>
      </c>
      <c r="V5323" t="s">
        <v>26610</v>
      </c>
      <c r="W5323" t="s">
        <v>702</v>
      </c>
      <c r="X5323">
        <v>560</v>
      </c>
      <c r="Y5323" t="s">
        <v>26650</v>
      </c>
      <c r="Z5323" t="s">
        <v>26664</v>
      </c>
      <c r="AB5323" t="s">
        <v>30998</v>
      </c>
      <c r="AC5323" t="s">
        <v>35976</v>
      </c>
      <c r="AD5323" t="s">
        <v>41235</v>
      </c>
      <c r="AE5323">
        <v>0</v>
      </c>
      <c r="AF5323" t="s">
        <v>45541</v>
      </c>
      <c r="AG5323" t="s">
        <v>45557</v>
      </c>
      <c r="AH5323">
        <v>25</v>
      </c>
      <c r="AI5323">
        <v>3</v>
      </c>
      <c r="AJ5323">
        <v>4</v>
      </c>
      <c r="AK5323">
        <v>43.07</v>
      </c>
      <c r="AN5323" t="s">
        <v>7439</v>
      </c>
      <c r="AO5323">
        <v>16800</v>
      </c>
      <c r="AU5323">
        <v>13.5</v>
      </c>
      <c r="AV5323" t="s">
        <v>816</v>
      </c>
      <c r="AW5323" t="s">
        <v>334</v>
      </c>
    </row>
    <row r="5324" spans="1:50">
      <c r="A5324" s="1">
        <f>HYPERLINK("https://lsnyc.legalserver.org/matter/dynamic-profile/view/1890318","19-1890318")</f>
        <v>0</v>
      </c>
      <c r="B5324" t="s">
        <v>142</v>
      </c>
      <c r="C5324" t="s">
        <v>340</v>
      </c>
      <c r="D5324" t="s">
        <v>702</v>
      </c>
      <c r="F5324" t="s">
        <v>3369</v>
      </c>
      <c r="G5324" t="s">
        <v>7624</v>
      </c>
      <c r="H5324" t="s">
        <v>13635</v>
      </c>
      <c r="I5324" t="s">
        <v>18206</v>
      </c>
      <c r="J5324" t="s">
        <v>18896</v>
      </c>
      <c r="K5324">
        <v>11419</v>
      </c>
      <c r="L5324" t="s">
        <v>18958</v>
      </c>
      <c r="M5324" t="s">
        <v>18958</v>
      </c>
      <c r="N5324" t="s">
        <v>22975</v>
      </c>
      <c r="O5324" t="s">
        <v>26524</v>
      </c>
      <c r="P5324" t="s">
        <v>26560</v>
      </c>
      <c r="R5324" t="s">
        <v>26584</v>
      </c>
      <c r="S5324" t="s">
        <v>18959</v>
      </c>
      <c r="U5324" t="s">
        <v>26604</v>
      </c>
      <c r="V5324" t="s">
        <v>26609</v>
      </c>
      <c r="W5324" t="s">
        <v>702</v>
      </c>
      <c r="X5324">
        <v>1150</v>
      </c>
      <c r="Y5324" t="s">
        <v>26653</v>
      </c>
      <c r="Z5324" t="s">
        <v>26664</v>
      </c>
      <c r="AB5324" t="s">
        <v>30999</v>
      </c>
      <c r="AC5324" t="s">
        <v>35977</v>
      </c>
      <c r="AD5324" t="s">
        <v>41236</v>
      </c>
      <c r="AE5324">
        <v>2</v>
      </c>
      <c r="AF5324" t="s">
        <v>45547</v>
      </c>
      <c r="AG5324" t="s">
        <v>19330</v>
      </c>
      <c r="AH5324">
        <v>12</v>
      </c>
      <c r="AI5324">
        <v>2</v>
      </c>
      <c r="AJ5324">
        <v>1</v>
      </c>
      <c r="AK5324">
        <v>0</v>
      </c>
      <c r="AN5324" t="s">
        <v>7439</v>
      </c>
      <c r="AO5324">
        <v>0</v>
      </c>
      <c r="AQ5324" t="s">
        <v>46365</v>
      </c>
      <c r="AR5324" t="s">
        <v>46490</v>
      </c>
      <c r="AS5324" t="s">
        <v>46502</v>
      </c>
      <c r="AT5324" t="s">
        <v>46554</v>
      </c>
      <c r="AU5324">
        <v>37.2</v>
      </c>
      <c r="AV5324" t="s">
        <v>754</v>
      </c>
      <c r="AW5324" t="s">
        <v>161</v>
      </c>
    </row>
    <row r="5325" spans="1:50">
      <c r="A5325" s="1">
        <f>HYPERLINK("https://lsnyc.legalserver.org/matter/dynamic-profile/view/1890323","19-1890323")</f>
        <v>0</v>
      </c>
      <c r="B5325" t="s">
        <v>142</v>
      </c>
      <c r="C5325" t="s">
        <v>340</v>
      </c>
      <c r="D5325" t="s">
        <v>702</v>
      </c>
      <c r="F5325" t="s">
        <v>3370</v>
      </c>
      <c r="G5325" t="s">
        <v>7625</v>
      </c>
      <c r="H5325" t="s">
        <v>13636</v>
      </c>
      <c r="J5325" t="s">
        <v>18918</v>
      </c>
      <c r="K5325">
        <v>11416</v>
      </c>
      <c r="L5325" t="s">
        <v>18958</v>
      </c>
      <c r="M5325" t="s">
        <v>18958</v>
      </c>
      <c r="N5325" t="s">
        <v>22976</v>
      </c>
      <c r="O5325" t="s">
        <v>26524</v>
      </c>
      <c r="P5325" t="s">
        <v>26564</v>
      </c>
      <c r="R5325" t="s">
        <v>26584</v>
      </c>
      <c r="S5325" t="s">
        <v>18959</v>
      </c>
      <c r="U5325" t="s">
        <v>26604</v>
      </c>
      <c r="V5325" t="s">
        <v>26610</v>
      </c>
      <c r="W5325" t="s">
        <v>702</v>
      </c>
      <c r="X5325">
        <v>1515</v>
      </c>
      <c r="Y5325" t="s">
        <v>26653</v>
      </c>
      <c r="Z5325" t="s">
        <v>26664</v>
      </c>
      <c r="AB5325" t="s">
        <v>31000</v>
      </c>
      <c r="AC5325" t="s">
        <v>35978</v>
      </c>
      <c r="AD5325" t="s">
        <v>41237</v>
      </c>
      <c r="AE5325">
        <v>4</v>
      </c>
      <c r="AF5325" t="s">
        <v>45547</v>
      </c>
      <c r="AG5325" t="s">
        <v>45558</v>
      </c>
      <c r="AH5325">
        <v>3</v>
      </c>
      <c r="AI5325">
        <v>2</v>
      </c>
      <c r="AJ5325">
        <v>1</v>
      </c>
      <c r="AK5325">
        <v>37.86</v>
      </c>
      <c r="AN5325" t="s">
        <v>7439</v>
      </c>
      <c r="AO5325">
        <v>8076</v>
      </c>
      <c r="AU5325">
        <v>2</v>
      </c>
      <c r="AV5325" t="s">
        <v>802</v>
      </c>
      <c r="AW5325" t="s">
        <v>161</v>
      </c>
    </row>
    <row r="5326" spans="1:50">
      <c r="A5326" s="1">
        <f>HYPERLINK("https://lsnyc.legalserver.org/matter/dynamic-profile/view/1890319","19-1890319")</f>
        <v>0</v>
      </c>
      <c r="B5326" t="s">
        <v>142</v>
      </c>
      <c r="C5326" t="s">
        <v>340</v>
      </c>
      <c r="D5326" t="s">
        <v>702</v>
      </c>
      <c r="F5326" t="s">
        <v>2106</v>
      </c>
      <c r="G5326" t="s">
        <v>5269</v>
      </c>
      <c r="J5326" t="s">
        <v>18901</v>
      </c>
      <c r="K5326">
        <v>11434</v>
      </c>
      <c r="L5326" t="s">
        <v>18958</v>
      </c>
      <c r="M5326" t="s">
        <v>18958</v>
      </c>
      <c r="N5326" t="s">
        <v>22977</v>
      </c>
      <c r="O5326" t="s">
        <v>26524</v>
      </c>
      <c r="P5326" t="s">
        <v>26560</v>
      </c>
      <c r="R5326" t="s">
        <v>26585</v>
      </c>
      <c r="S5326" t="s">
        <v>18959</v>
      </c>
      <c r="U5326" t="s">
        <v>26604</v>
      </c>
      <c r="V5326" t="s">
        <v>26610</v>
      </c>
      <c r="W5326" t="s">
        <v>702</v>
      </c>
      <c r="X5326">
        <v>2000</v>
      </c>
      <c r="Y5326" t="s">
        <v>26653</v>
      </c>
      <c r="Z5326" t="s">
        <v>26668</v>
      </c>
      <c r="AB5326" t="s">
        <v>31001</v>
      </c>
      <c r="AD5326" t="s">
        <v>34738</v>
      </c>
      <c r="AE5326">
        <v>1</v>
      </c>
      <c r="AF5326" t="s">
        <v>20460</v>
      </c>
      <c r="AG5326" t="s">
        <v>19330</v>
      </c>
      <c r="AH5326">
        <v>3</v>
      </c>
      <c r="AI5326">
        <v>2</v>
      </c>
      <c r="AJ5326">
        <v>2</v>
      </c>
      <c r="AK5326">
        <v>60.58</v>
      </c>
      <c r="AN5326" t="s">
        <v>7439</v>
      </c>
      <c r="AO5326">
        <v>15600</v>
      </c>
      <c r="AQ5326" t="s">
        <v>46359</v>
      </c>
      <c r="AR5326" t="s">
        <v>46379</v>
      </c>
      <c r="AS5326" t="s">
        <v>46499</v>
      </c>
      <c r="AT5326" t="s">
        <v>46744</v>
      </c>
      <c r="AU5326">
        <v>13.8</v>
      </c>
      <c r="AV5326" t="s">
        <v>791</v>
      </c>
      <c r="AW5326" t="s">
        <v>208</v>
      </c>
    </row>
    <row r="5327" spans="1:50">
      <c r="A5327" s="1">
        <f>HYPERLINK("https://lsnyc.legalserver.org/matter/dynamic-profile/view/1890234","19-1890234")</f>
        <v>0</v>
      </c>
      <c r="B5327" t="s">
        <v>112</v>
      </c>
      <c r="C5327" t="s">
        <v>340</v>
      </c>
      <c r="D5327" t="s">
        <v>702</v>
      </c>
      <c r="F5327" t="s">
        <v>948</v>
      </c>
      <c r="G5327" t="s">
        <v>5271</v>
      </c>
      <c r="H5327" t="s">
        <v>13637</v>
      </c>
      <c r="I5327" t="s">
        <v>17312</v>
      </c>
      <c r="J5327" t="s">
        <v>18901</v>
      </c>
      <c r="K5327">
        <v>11434</v>
      </c>
      <c r="L5327" t="s">
        <v>18958</v>
      </c>
      <c r="M5327" t="s">
        <v>18958</v>
      </c>
      <c r="N5327" t="s">
        <v>22978</v>
      </c>
      <c r="O5327" t="s">
        <v>26524</v>
      </c>
      <c r="P5327" t="s">
        <v>26560</v>
      </c>
      <c r="R5327" t="s">
        <v>26585</v>
      </c>
      <c r="S5327" t="s">
        <v>18959</v>
      </c>
      <c r="U5327" t="s">
        <v>26604</v>
      </c>
      <c r="V5327" t="s">
        <v>26610</v>
      </c>
      <c r="W5327" t="s">
        <v>702</v>
      </c>
      <c r="X5327">
        <v>900</v>
      </c>
      <c r="Y5327" t="s">
        <v>26653</v>
      </c>
      <c r="Z5327" t="s">
        <v>26668</v>
      </c>
      <c r="AB5327" t="s">
        <v>31002</v>
      </c>
      <c r="AD5327" t="s">
        <v>41238</v>
      </c>
      <c r="AE5327">
        <v>0</v>
      </c>
      <c r="AF5327" t="s">
        <v>20460</v>
      </c>
      <c r="AG5327" t="s">
        <v>19330</v>
      </c>
      <c r="AH5327">
        <v>27</v>
      </c>
      <c r="AI5327">
        <v>2</v>
      </c>
      <c r="AJ5327">
        <v>2</v>
      </c>
      <c r="AK5327">
        <v>172.43</v>
      </c>
      <c r="AN5327" t="s">
        <v>7439</v>
      </c>
      <c r="AO5327">
        <v>44400</v>
      </c>
      <c r="AU5327">
        <v>38.8</v>
      </c>
      <c r="AV5327" t="s">
        <v>773</v>
      </c>
      <c r="AW5327" t="s">
        <v>208</v>
      </c>
    </row>
    <row r="5328" spans="1:50">
      <c r="A5328" s="1">
        <f>HYPERLINK("https://lsnyc.legalserver.org/matter/dynamic-profile/view/1890262","19-1890262")</f>
        <v>0</v>
      </c>
      <c r="B5328" t="s">
        <v>114</v>
      </c>
      <c r="C5328" t="s">
        <v>340</v>
      </c>
      <c r="D5328" t="s">
        <v>702</v>
      </c>
      <c r="F5328" t="s">
        <v>962</v>
      </c>
      <c r="G5328" t="s">
        <v>5087</v>
      </c>
      <c r="H5328" t="s">
        <v>13638</v>
      </c>
      <c r="I5328" t="s">
        <v>17743</v>
      </c>
      <c r="J5328" t="s">
        <v>18901</v>
      </c>
      <c r="K5328">
        <v>11434</v>
      </c>
      <c r="L5328" t="s">
        <v>18958</v>
      </c>
      <c r="M5328" t="s">
        <v>18958</v>
      </c>
      <c r="N5328" t="s">
        <v>22979</v>
      </c>
      <c r="O5328" t="s">
        <v>26524</v>
      </c>
      <c r="P5328" t="s">
        <v>26560</v>
      </c>
      <c r="R5328" t="s">
        <v>26585</v>
      </c>
      <c r="S5328" t="s">
        <v>18959</v>
      </c>
      <c r="U5328" t="s">
        <v>26604</v>
      </c>
      <c r="W5328" t="s">
        <v>702</v>
      </c>
      <c r="X5328">
        <v>1240.32</v>
      </c>
      <c r="Y5328" t="s">
        <v>26653</v>
      </c>
      <c r="Z5328" t="s">
        <v>26668</v>
      </c>
      <c r="AB5328" t="s">
        <v>31003</v>
      </c>
      <c r="AD5328" t="s">
        <v>41239</v>
      </c>
      <c r="AE5328">
        <v>0</v>
      </c>
      <c r="AF5328" t="s">
        <v>20460</v>
      </c>
      <c r="AG5328" t="s">
        <v>19330</v>
      </c>
      <c r="AH5328">
        <v>2</v>
      </c>
      <c r="AI5328">
        <v>1</v>
      </c>
      <c r="AJ5328">
        <v>1</v>
      </c>
      <c r="AK5328">
        <v>13.99</v>
      </c>
      <c r="AN5328" t="s">
        <v>45581</v>
      </c>
      <c r="AO5328">
        <v>2366</v>
      </c>
      <c r="AU5328">
        <v>13.5</v>
      </c>
      <c r="AV5328" t="s">
        <v>838</v>
      </c>
      <c r="AW5328" t="s">
        <v>208</v>
      </c>
    </row>
    <row r="5329" spans="1:50">
      <c r="A5329" s="1">
        <f>HYPERLINK("https://lsnyc.legalserver.org/matter/dynamic-profile/view/1890313","19-1890313")</f>
        <v>0</v>
      </c>
      <c r="B5329" t="s">
        <v>188</v>
      </c>
      <c r="C5329" t="s">
        <v>340</v>
      </c>
      <c r="D5329" t="s">
        <v>702</v>
      </c>
      <c r="F5329" t="s">
        <v>3371</v>
      </c>
      <c r="G5329" t="s">
        <v>868</v>
      </c>
      <c r="H5329" t="s">
        <v>13639</v>
      </c>
      <c r="I5329" t="s">
        <v>17509</v>
      </c>
      <c r="J5329" t="s">
        <v>18892</v>
      </c>
      <c r="K5329">
        <v>10460</v>
      </c>
      <c r="L5329" t="s">
        <v>18958</v>
      </c>
      <c r="M5329" t="s">
        <v>18958</v>
      </c>
      <c r="N5329" t="s">
        <v>22980</v>
      </c>
      <c r="O5329" t="s">
        <v>26523</v>
      </c>
      <c r="P5329" t="s">
        <v>26560</v>
      </c>
      <c r="R5329" t="s">
        <v>26577</v>
      </c>
      <c r="U5329" t="s">
        <v>26604</v>
      </c>
      <c r="W5329" t="s">
        <v>702</v>
      </c>
      <c r="X5329">
        <v>283</v>
      </c>
      <c r="Y5329" t="s">
        <v>26650</v>
      </c>
      <c r="Z5329" t="s">
        <v>26673</v>
      </c>
      <c r="AB5329" t="s">
        <v>27960</v>
      </c>
      <c r="AD5329" t="s">
        <v>41240</v>
      </c>
      <c r="AE5329">
        <v>72</v>
      </c>
      <c r="AF5329" t="s">
        <v>45543</v>
      </c>
      <c r="AH5329">
        <v>17</v>
      </c>
      <c r="AI5329">
        <v>1</v>
      </c>
      <c r="AJ5329">
        <v>0</v>
      </c>
      <c r="AK5329">
        <v>75.23</v>
      </c>
      <c r="AN5329" t="s">
        <v>7439</v>
      </c>
      <c r="AO5329">
        <v>9396</v>
      </c>
      <c r="AU5329">
        <v>43.7</v>
      </c>
      <c r="AV5329" t="s">
        <v>839</v>
      </c>
      <c r="AW5329" t="s">
        <v>46861</v>
      </c>
    </row>
    <row r="5330" spans="1:50">
      <c r="A5330" s="1">
        <f>HYPERLINK("https://lsnyc.legalserver.org/matter/dynamic-profile/view/1890221","19-1890221")</f>
        <v>0</v>
      </c>
      <c r="B5330" t="s">
        <v>51</v>
      </c>
      <c r="C5330" t="s">
        <v>340</v>
      </c>
      <c r="D5330" t="s">
        <v>702</v>
      </c>
      <c r="F5330" t="s">
        <v>887</v>
      </c>
      <c r="G5330" t="s">
        <v>7626</v>
      </c>
      <c r="H5330" t="s">
        <v>13640</v>
      </c>
      <c r="I5330" t="s">
        <v>17327</v>
      </c>
      <c r="J5330" t="s">
        <v>18892</v>
      </c>
      <c r="K5330">
        <v>10454</v>
      </c>
      <c r="L5330" t="s">
        <v>18958</v>
      </c>
      <c r="M5330" t="s">
        <v>18958</v>
      </c>
      <c r="N5330" t="s">
        <v>22981</v>
      </c>
      <c r="O5330" t="s">
        <v>26523</v>
      </c>
      <c r="P5330" t="s">
        <v>26560</v>
      </c>
      <c r="R5330" t="s">
        <v>26577</v>
      </c>
      <c r="U5330" t="s">
        <v>26604</v>
      </c>
      <c r="V5330" t="s">
        <v>26611</v>
      </c>
      <c r="W5330" t="s">
        <v>702</v>
      </c>
      <c r="X5330">
        <v>1586.11</v>
      </c>
      <c r="Y5330" t="s">
        <v>26650</v>
      </c>
      <c r="Z5330" t="s">
        <v>26663</v>
      </c>
      <c r="AB5330" t="s">
        <v>31004</v>
      </c>
      <c r="AC5330" t="s">
        <v>35979</v>
      </c>
      <c r="AD5330" t="s">
        <v>41241</v>
      </c>
      <c r="AE5330">
        <v>0</v>
      </c>
      <c r="AF5330" t="s">
        <v>45541</v>
      </c>
      <c r="AG5330" t="s">
        <v>45557</v>
      </c>
      <c r="AH5330">
        <v>10</v>
      </c>
      <c r="AI5330">
        <v>2</v>
      </c>
      <c r="AJ5330">
        <v>4</v>
      </c>
      <c r="AK5330">
        <v>83.68000000000001</v>
      </c>
      <c r="AN5330" t="s">
        <v>7439</v>
      </c>
      <c r="AO5330">
        <v>28944</v>
      </c>
      <c r="AR5330" t="s">
        <v>26530</v>
      </c>
      <c r="AS5330" t="s">
        <v>46499</v>
      </c>
      <c r="AT5330" t="s">
        <v>46772</v>
      </c>
      <c r="AU5330">
        <v>44.3</v>
      </c>
      <c r="AV5330" t="s">
        <v>838</v>
      </c>
      <c r="AW5330" t="s">
        <v>46836</v>
      </c>
    </row>
    <row r="5331" spans="1:50">
      <c r="A5331" s="1">
        <f>HYPERLINK("https://lsnyc.legalserver.org/matter/dynamic-profile/view/1890287","19-1890287")</f>
        <v>0</v>
      </c>
      <c r="B5331" t="s">
        <v>235</v>
      </c>
      <c r="C5331" t="s">
        <v>340</v>
      </c>
      <c r="D5331" t="s">
        <v>702</v>
      </c>
      <c r="F5331" t="s">
        <v>3372</v>
      </c>
      <c r="G5331" t="s">
        <v>7627</v>
      </c>
      <c r="H5331" t="s">
        <v>13641</v>
      </c>
      <c r="I5331" t="s">
        <v>17321</v>
      </c>
      <c r="J5331" t="s">
        <v>18898</v>
      </c>
      <c r="K5331">
        <v>11691</v>
      </c>
      <c r="L5331" t="s">
        <v>18958</v>
      </c>
      <c r="M5331" t="s">
        <v>18960</v>
      </c>
      <c r="N5331" t="s">
        <v>22982</v>
      </c>
      <c r="O5331" t="s">
        <v>26523</v>
      </c>
      <c r="P5331" t="s">
        <v>26560</v>
      </c>
      <c r="R5331" t="s">
        <v>26584</v>
      </c>
      <c r="U5331" t="s">
        <v>26604</v>
      </c>
      <c r="V5331" t="s">
        <v>26610</v>
      </c>
      <c r="W5331" t="s">
        <v>702</v>
      </c>
      <c r="X5331">
        <v>118</v>
      </c>
      <c r="Y5331" t="s">
        <v>26653</v>
      </c>
      <c r="Z5331" t="s">
        <v>26664</v>
      </c>
      <c r="AB5331" t="s">
        <v>31005</v>
      </c>
      <c r="AC5331" t="s">
        <v>35980</v>
      </c>
      <c r="AD5331" t="s">
        <v>41242</v>
      </c>
      <c r="AE5331">
        <v>60</v>
      </c>
      <c r="AF5331" t="s">
        <v>45549</v>
      </c>
      <c r="AG5331" t="s">
        <v>19330</v>
      </c>
      <c r="AH5331">
        <v>4</v>
      </c>
      <c r="AI5331">
        <v>1</v>
      </c>
      <c r="AJ5331">
        <v>2</v>
      </c>
      <c r="AK5331">
        <v>90.01000000000001</v>
      </c>
      <c r="AN5331" t="s">
        <v>7439</v>
      </c>
      <c r="AO5331">
        <v>19200</v>
      </c>
      <c r="AU5331">
        <v>12.4</v>
      </c>
      <c r="AV5331" t="s">
        <v>814</v>
      </c>
      <c r="AW5331" t="s">
        <v>122</v>
      </c>
    </row>
    <row r="5332" spans="1:50">
      <c r="A5332" s="1">
        <f>HYPERLINK("https://lsnyc.legalserver.org/matter/dynamic-profile/view/1890258","19-1890258")</f>
        <v>0</v>
      </c>
      <c r="B5332" t="s">
        <v>235</v>
      </c>
      <c r="C5332" t="s">
        <v>340</v>
      </c>
      <c r="D5332" t="s">
        <v>702</v>
      </c>
      <c r="F5332" t="s">
        <v>2828</v>
      </c>
      <c r="G5332" t="s">
        <v>5244</v>
      </c>
      <c r="H5332" t="s">
        <v>13642</v>
      </c>
      <c r="J5332" t="s">
        <v>18901</v>
      </c>
      <c r="K5332">
        <v>11433</v>
      </c>
      <c r="L5332" t="s">
        <v>18958</v>
      </c>
      <c r="M5332" t="s">
        <v>18958</v>
      </c>
      <c r="N5332" t="s">
        <v>22983</v>
      </c>
      <c r="O5332" t="s">
        <v>26524</v>
      </c>
      <c r="P5332" t="s">
        <v>26560</v>
      </c>
      <c r="R5332" t="s">
        <v>26585</v>
      </c>
      <c r="S5332" t="s">
        <v>18959</v>
      </c>
      <c r="U5332" t="s">
        <v>26604</v>
      </c>
      <c r="V5332" t="s">
        <v>26610</v>
      </c>
      <c r="W5332" t="s">
        <v>702</v>
      </c>
      <c r="X5332">
        <v>2000</v>
      </c>
      <c r="Y5332" t="s">
        <v>26653</v>
      </c>
      <c r="Z5332" t="s">
        <v>26668</v>
      </c>
      <c r="AB5332" t="s">
        <v>31006</v>
      </c>
      <c r="AD5332" t="s">
        <v>41243</v>
      </c>
      <c r="AE5332">
        <v>0</v>
      </c>
      <c r="AF5332" t="s">
        <v>20460</v>
      </c>
      <c r="AG5332" t="s">
        <v>19330</v>
      </c>
      <c r="AH5332">
        <v>-1</v>
      </c>
      <c r="AI5332">
        <v>2</v>
      </c>
      <c r="AJ5332">
        <v>4</v>
      </c>
      <c r="AK5332">
        <v>59.38</v>
      </c>
      <c r="AN5332" t="s">
        <v>45581</v>
      </c>
      <c r="AO5332">
        <v>20540</v>
      </c>
      <c r="AU5332">
        <v>2.4</v>
      </c>
      <c r="AV5332" t="s">
        <v>785</v>
      </c>
      <c r="AW5332" t="s">
        <v>208</v>
      </c>
    </row>
    <row r="5333" spans="1:50">
      <c r="A5333" s="1">
        <f>HYPERLINK("https://lsnyc.legalserver.org/matter/dynamic-profile/view/1890332","19-1890332")</f>
        <v>0</v>
      </c>
      <c r="B5333" t="s">
        <v>98</v>
      </c>
      <c r="C5333" t="s">
        <v>341</v>
      </c>
      <c r="D5333" t="s">
        <v>745</v>
      </c>
      <c r="E5333" t="s">
        <v>754</v>
      </c>
      <c r="F5333" t="s">
        <v>977</v>
      </c>
      <c r="G5333" t="s">
        <v>5827</v>
      </c>
      <c r="H5333" t="s">
        <v>13643</v>
      </c>
      <c r="I5333" t="s">
        <v>17306</v>
      </c>
      <c r="J5333" t="s">
        <v>18892</v>
      </c>
      <c r="K5333">
        <v>10452</v>
      </c>
      <c r="L5333" t="s">
        <v>18958</v>
      </c>
      <c r="M5333" t="s">
        <v>18958</v>
      </c>
      <c r="O5333" t="s">
        <v>18997</v>
      </c>
      <c r="P5333" t="s">
        <v>26564</v>
      </c>
      <c r="Q5333" t="s">
        <v>26570</v>
      </c>
      <c r="R5333" t="s">
        <v>26578</v>
      </c>
      <c r="S5333" t="s">
        <v>18959</v>
      </c>
      <c r="U5333" t="s">
        <v>26604</v>
      </c>
      <c r="W5333" t="s">
        <v>702</v>
      </c>
      <c r="X5333">
        <v>573.25</v>
      </c>
      <c r="Y5333" t="s">
        <v>26650</v>
      </c>
      <c r="Z5333" t="s">
        <v>26663</v>
      </c>
      <c r="AA5333" t="s">
        <v>26689</v>
      </c>
      <c r="AB5333" t="s">
        <v>31007</v>
      </c>
      <c r="AE5333">
        <v>0</v>
      </c>
      <c r="AF5333" t="s">
        <v>45553</v>
      </c>
      <c r="AG5333" t="s">
        <v>19330</v>
      </c>
      <c r="AH5333">
        <v>23</v>
      </c>
      <c r="AI5333">
        <v>2</v>
      </c>
      <c r="AJ5333">
        <v>0</v>
      </c>
      <c r="AK5333">
        <v>51.31</v>
      </c>
      <c r="AN5333" t="s">
        <v>45581</v>
      </c>
      <c r="AO5333">
        <v>8676</v>
      </c>
      <c r="AU5333">
        <v>2.9</v>
      </c>
      <c r="AV5333" t="s">
        <v>754</v>
      </c>
      <c r="AW5333" t="s">
        <v>98</v>
      </c>
    </row>
    <row r="5334" spans="1:50">
      <c r="A5334" s="1">
        <f>HYPERLINK("https://lsnyc.legalserver.org/matter/dynamic-profile/view/1890235","19-1890235")</f>
        <v>0</v>
      </c>
      <c r="B5334" t="s">
        <v>103</v>
      </c>
      <c r="C5334" t="s">
        <v>340</v>
      </c>
      <c r="D5334" t="s">
        <v>756</v>
      </c>
      <c r="F5334" t="s">
        <v>1551</v>
      </c>
      <c r="G5334" t="s">
        <v>5221</v>
      </c>
      <c r="H5334" t="s">
        <v>13644</v>
      </c>
      <c r="I5334" t="s">
        <v>17272</v>
      </c>
      <c r="J5334" t="s">
        <v>18902</v>
      </c>
      <c r="K5334">
        <v>10304</v>
      </c>
      <c r="L5334" t="s">
        <v>18958</v>
      </c>
      <c r="M5334" t="s">
        <v>18958</v>
      </c>
      <c r="N5334" t="s">
        <v>22984</v>
      </c>
      <c r="O5334" t="s">
        <v>26524</v>
      </c>
      <c r="P5334" t="s">
        <v>26560</v>
      </c>
      <c r="R5334" t="s">
        <v>26578</v>
      </c>
      <c r="S5334" t="s">
        <v>18959</v>
      </c>
      <c r="U5334" t="s">
        <v>26604</v>
      </c>
      <c r="V5334" t="s">
        <v>26610</v>
      </c>
      <c r="W5334" t="s">
        <v>702</v>
      </c>
      <c r="X5334">
        <v>1100</v>
      </c>
      <c r="Y5334" t="s">
        <v>26654</v>
      </c>
      <c r="Z5334" t="s">
        <v>26665</v>
      </c>
      <c r="AB5334" t="s">
        <v>31008</v>
      </c>
      <c r="AD5334" t="s">
        <v>41244</v>
      </c>
      <c r="AE5334">
        <v>5</v>
      </c>
      <c r="AF5334" t="s">
        <v>45547</v>
      </c>
      <c r="AG5334" t="s">
        <v>19330</v>
      </c>
      <c r="AH5334">
        <v>5</v>
      </c>
      <c r="AI5334">
        <v>1</v>
      </c>
      <c r="AJ5334">
        <v>0</v>
      </c>
      <c r="AK5334">
        <v>99.81999999999999</v>
      </c>
      <c r="AN5334" t="s">
        <v>7439</v>
      </c>
      <c r="AO5334">
        <v>12468</v>
      </c>
      <c r="AU5334">
        <v>12.6</v>
      </c>
      <c r="AV5334" t="s">
        <v>838</v>
      </c>
      <c r="AW5334" t="s">
        <v>210</v>
      </c>
      <c r="AX5334" t="s">
        <v>46897</v>
      </c>
    </row>
    <row r="5335" spans="1:50">
      <c r="A5335" s="1">
        <f>HYPERLINK("https://lsnyc.legalserver.org/matter/dynamic-profile/view/1893121","19-1893121")</f>
        <v>0</v>
      </c>
      <c r="B5335" t="s">
        <v>101</v>
      </c>
      <c r="C5335" t="s">
        <v>341</v>
      </c>
      <c r="D5335" t="s">
        <v>754</v>
      </c>
      <c r="E5335" t="s">
        <v>729</v>
      </c>
      <c r="F5335" t="s">
        <v>875</v>
      </c>
      <c r="G5335" t="s">
        <v>7628</v>
      </c>
      <c r="H5335" t="s">
        <v>13645</v>
      </c>
      <c r="I5335">
        <v>2</v>
      </c>
      <c r="J5335" t="s">
        <v>18894</v>
      </c>
      <c r="K5335">
        <v>11223</v>
      </c>
      <c r="L5335" t="s">
        <v>18958</v>
      </c>
      <c r="M5335" t="s">
        <v>18960</v>
      </c>
      <c r="O5335" t="s">
        <v>18997</v>
      </c>
      <c r="P5335" t="s">
        <v>26564</v>
      </c>
      <c r="Q5335" t="s">
        <v>26570</v>
      </c>
      <c r="R5335" t="s">
        <v>26586</v>
      </c>
      <c r="U5335" t="s">
        <v>26604</v>
      </c>
      <c r="W5335" t="s">
        <v>702</v>
      </c>
      <c r="X5335">
        <v>924</v>
      </c>
      <c r="Y5335" t="s">
        <v>26652</v>
      </c>
      <c r="Z5335" t="s">
        <v>26530</v>
      </c>
      <c r="AA5335" t="s">
        <v>26683</v>
      </c>
      <c r="AB5335" t="s">
        <v>31009</v>
      </c>
      <c r="AD5335" t="s">
        <v>41245</v>
      </c>
      <c r="AE5335">
        <v>2</v>
      </c>
      <c r="AF5335" t="s">
        <v>20460</v>
      </c>
      <c r="AH5335">
        <v>28</v>
      </c>
      <c r="AI5335">
        <v>1</v>
      </c>
      <c r="AJ5335">
        <v>0</v>
      </c>
      <c r="AK5335">
        <v>69.66</v>
      </c>
      <c r="AN5335" t="s">
        <v>45595</v>
      </c>
      <c r="AO5335">
        <v>8700</v>
      </c>
      <c r="AU5335">
        <v>6.35</v>
      </c>
      <c r="AV5335" t="s">
        <v>729</v>
      </c>
      <c r="AW5335" t="s">
        <v>46856</v>
      </c>
    </row>
    <row r="5336" spans="1:50">
      <c r="A5336" s="1">
        <f>HYPERLINK("https://lsnyc.legalserver.org/matter/dynamic-profile/view/1885924","18-1885924")</f>
        <v>0</v>
      </c>
      <c r="B5336" t="s">
        <v>202</v>
      </c>
      <c r="C5336" t="s">
        <v>341</v>
      </c>
      <c r="D5336" t="s">
        <v>670</v>
      </c>
      <c r="E5336" t="s">
        <v>690</v>
      </c>
      <c r="F5336" t="s">
        <v>898</v>
      </c>
      <c r="G5336" t="s">
        <v>2749</v>
      </c>
      <c r="H5336" t="s">
        <v>10810</v>
      </c>
      <c r="I5336" t="s">
        <v>17442</v>
      </c>
      <c r="J5336" t="s">
        <v>18894</v>
      </c>
      <c r="K5336">
        <v>11212</v>
      </c>
      <c r="L5336" t="s">
        <v>18958</v>
      </c>
      <c r="M5336" t="s">
        <v>18958</v>
      </c>
      <c r="N5336" t="s">
        <v>22985</v>
      </c>
      <c r="O5336" t="s">
        <v>26523</v>
      </c>
      <c r="P5336" t="s">
        <v>26562</v>
      </c>
      <c r="Q5336" t="s">
        <v>26569</v>
      </c>
      <c r="R5336" t="s">
        <v>26586</v>
      </c>
      <c r="S5336" t="s">
        <v>18959</v>
      </c>
      <c r="U5336" t="s">
        <v>26605</v>
      </c>
      <c r="V5336" t="s">
        <v>26610</v>
      </c>
      <c r="W5336" t="s">
        <v>690</v>
      </c>
      <c r="X5336">
        <v>668</v>
      </c>
      <c r="Y5336" t="s">
        <v>26652</v>
      </c>
      <c r="Z5336" t="s">
        <v>26664</v>
      </c>
      <c r="AA5336" t="s">
        <v>26681</v>
      </c>
      <c r="AB5336" t="s">
        <v>31010</v>
      </c>
      <c r="AD5336" t="s">
        <v>41246</v>
      </c>
      <c r="AE5336">
        <v>13</v>
      </c>
      <c r="AF5336" t="s">
        <v>20460</v>
      </c>
      <c r="AG5336" t="s">
        <v>19330</v>
      </c>
      <c r="AH5336">
        <v>20</v>
      </c>
      <c r="AI5336">
        <v>2</v>
      </c>
      <c r="AJ5336">
        <v>2</v>
      </c>
      <c r="AK5336">
        <v>88.51000000000001</v>
      </c>
      <c r="AN5336" t="s">
        <v>45581</v>
      </c>
      <c r="AO5336">
        <v>22216.7</v>
      </c>
      <c r="AU5336">
        <v>1.2</v>
      </c>
      <c r="AV5336" t="s">
        <v>704</v>
      </c>
      <c r="AW5336" t="s">
        <v>46853</v>
      </c>
    </row>
    <row r="5337" spans="1:50">
      <c r="A5337" s="1">
        <f>HYPERLINK("https://lsnyc.legalserver.org/matter/dynamic-profile/view/1890433","19-1890433")</f>
        <v>0</v>
      </c>
      <c r="B5337" t="s">
        <v>75</v>
      </c>
      <c r="C5337" t="s">
        <v>340</v>
      </c>
      <c r="D5337" t="s">
        <v>692</v>
      </c>
      <c r="F5337" t="s">
        <v>887</v>
      </c>
      <c r="G5337" t="s">
        <v>5330</v>
      </c>
      <c r="H5337" t="s">
        <v>12169</v>
      </c>
      <c r="I5337" t="s">
        <v>17360</v>
      </c>
      <c r="J5337" t="s">
        <v>18892</v>
      </c>
      <c r="K5337">
        <v>10453</v>
      </c>
      <c r="L5337" t="s">
        <v>18958</v>
      </c>
      <c r="M5337" t="s">
        <v>18958</v>
      </c>
      <c r="O5337" t="s">
        <v>26526</v>
      </c>
      <c r="P5337" t="s">
        <v>26560</v>
      </c>
      <c r="R5337" t="s">
        <v>26578</v>
      </c>
      <c r="U5337" t="s">
        <v>26604</v>
      </c>
      <c r="W5337" t="s">
        <v>690</v>
      </c>
      <c r="X5337">
        <v>692.88</v>
      </c>
      <c r="Y5337" t="s">
        <v>26650</v>
      </c>
      <c r="Z5337" t="s">
        <v>26663</v>
      </c>
      <c r="AB5337" t="s">
        <v>31011</v>
      </c>
      <c r="AD5337" t="s">
        <v>41247</v>
      </c>
      <c r="AE5337">
        <v>44</v>
      </c>
      <c r="AF5337" t="s">
        <v>45541</v>
      </c>
      <c r="AG5337" t="s">
        <v>19330</v>
      </c>
      <c r="AH5337">
        <v>27</v>
      </c>
      <c r="AI5337">
        <v>2</v>
      </c>
      <c r="AJ5337">
        <v>0</v>
      </c>
      <c r="AK5337">
        <v>182.26</v>
      </c>
      <c r="AN5337" t="s">
        <v>7439</v>
      </c>
      <c r="AO5337">
        <v>30000</v>
      </c>
      <c r="AU5337">
        <v>0</v>
      </c>
      <c r="AW5337" t="s">
        <v>336</v>
      </c>
    </row>
    <row r="5338" spans="1:50">
      <c r="A5338" s="1">
        <f>HYPERLINK("https://lsnyc.legalserver.org/matter/dynamic-profile/view/1888077","19-1888077")</f>
        <v>0</v>
      </c>
      <c r="B5338" t="s">
        <v>280</v>
      </c>
      <c r="C5338" t="s">
        <v>341</v>
      </c>
      <c r="D5338" t="s">
        <v>685</v>
      </c>
      <c r="E5338" t="s">
        <v>690</v>
      </c>
      <c r="F5338" t="s">
        <v>3373</v>
      </c>
      <c r="G5338" t="s">
        <v>5266</v>
      </c>
      <c r="H5338" t="s">
        <v>13646</v>
      </c>
      <c r="I5338" t="s">
        <v>17331</v>
      </c>
      <c r="J5338" t="s">
        <v>18910</v>
      </c>
      <c r="K5338">
        <v>11420</v>
      </c>
      <c r="L5338" t="s">
        <v>18958</v>
      </c>
      <c r="M5338" t="s">
        <v>18958</v>
      </c>
      <c r="N5338" t="s">
        <v>22986</v>
      </c>
      <c r="O5338" t="s">
        <v>26524</v>
      </c>
      <c r="P5338" t="s">
        <v>26564</v>
      </c>
      <c r="Q5338" t="s">
        <v>26570</v>
      </c>
      <c r="R5338" t="s">
        <v>26584</v>
      </c>
      <c r="S5338" t="s">
        <v>18959</v>
      </c>
      <c r="U5338" t="s">
        <v>26604</v>
      </c>
      <c r="V5338" t="s">
        <v>26610</v>
      </c>
      <c r="W5338" t="s">
        <v>690</v>
      </c>
      <c r="X5338">
        <v>509</v>
      </c>
      <c r="Y5338" t="s">
        <v>26653</v>
      </c>
      <c r="Z5338" t="s">
        <v>26664</v>
      </c>
      <c r="AA5338" t="s">
        <v>26683</v>
      </c>
      <c r="AB5338" t="s">
        <v>31012</v>
      </c>
      <c r="AC5338" t="s">
        <v>35981</v>
      </c>
      <c r="AD5338" t="s">
        <v>41248</v>
      </c>
      <c r="AE5338">
        <v>0</v>
      </c>
      <c r="AF5338" t="s">
        <v>20460</v>
      </c>
      <c r="AG5338" t="s">
        <v>19330</v>
      </c>
      <c r="AH5338">
        <v>-1</v>
      </c>
      <c r="AI5338">
        <v>1</v>
      </c>
      <c r="AJ5338">
        <v>0</v>
      </c>
      <c r="AK5338">
        <v>8.199999999999999</v>
      </c>
      <c r="AN5338" t="s">
        <v>7439</v>
      </c>
      <c r="AO5338">
        <v>996</v>
      </c>
      <c r="AU5338">
        <v>1.45</v>
      </c>
      <c r="AV5338" t="s">
        <v>690</v>
      </c>
      <c r="AW5338" t="s">
        <v>208</v>
      </c>
    </row>
    <row r="5339" spans="1:50">
      <c r="A5339" s="1">
        <f>HYPERLINK("https://lsnyc.legalserver.org/matter/dynamic-profile/view/1888718","19-1888718")</f>
        <v>0</v>
      </c>
      <c r="B5339" t="s">
        <v>158</v>
      </c>
      <c r="C5339" t="s">
        <v>340</v>
      </c>
      <c r="D5339" t="s">
        <v>698</v>
      </c>
      <c r="F5339" t="s">
        <v>3374</v>
      </c>
      <c r="G5339" t="s">
        <v>7629</v>
      </c>
      <c r="H5339" t="s">
        <v>13647</v>
      </c>
      <c r="I5339" t="s">
        <v>17355</v>
      </c>
      <c r="J5339" t="s">
        <v>18894</v>
      </c>
      <c r="K5339">
        <v>11210</v>
      </c>
      <c r="L5339" t="s">
        <v>18958</v>
      </c>
      <c r="M5339" t="s">
        <v>18958</v>
      </c>
      <c r="N5339" t="s">
        <v>22987</v>
      </c>
      <c r="O5339" t="s">
        <v>26523</v>
      </c>
      <c r="P5339" t="s">
        <v>26560</v>
      </c>
      <c r="R5339" t="s">
        <v>26586</v>
      </c>
      <c r="U5339" t="s">
        <v>26604</v>
      </c>
      <c r="W5339" t="s">
        <v>690</v>
      </c>
      <c r="X5339">
        <v>1600</v>
      </c>
      <c r="Y5339" t="s">
        <v>26652</v>
      </c>
      <c r="Z5339" t="s">
        <v>26664</v>
      </c>
      <c r="AB5339" t="s">
        <v>26899</v>
      </c>
      <c r="AD5339" t="s">
        <v>41249</v>
      </c>
      <c r="AE5339">
        <v>0</v>
      </c>
      <c r="AG5339" t="s">
        <v>19330</v>
      </c>
      <c r="AH5339">
        <v>4</v>
      </c>
      <c r="AI5339">
        <v>2</v>
      </c>
      <c r="AJ5339">
        <v>3</v>
      </c>
      <c r="AK5339">
        <v>129.27</v>
      </c>
      <c r="AN5339" t="s">
        <v>7439</v>
      </c>
      <c r="AO5339">
        <v>39000</v>
      </c>
      <c r="AU5339">
        <v>29</v>
      </c>
      <c r="AV5339" t="s">
        <v>814</v>
      </c>
      <c r="AW5339" t="s">
        <v>46853</v>
      </c>
    </row>
    <row r="5340" spans="1:50">
      <c r="A5340" s="1">
        <f>HYPERLINK("https://lsnyc.legalserver.org/matter/dynamic-profile/view/1889249","19-1889249")</f>
        <v>0</v>
      </c>
      <c r="B5340" t="s">
        <v>158</v>
      </c>
      <c r="C5340" t="s">
        <v>340</v>
      </c>
      <c r="D5340" t="s">
        <v>693</v>
      </c>
      <c r="F5340" t="s">
        <v>3375</v>
      </c>
      <c r="G5340" t="s">
        <v>7630</v>
      </c>
      <c r="H5340" t="s">
        <v>13648</v>
      </c>
      <c r="I5340" t="s">
        <v>17299</v>
      </c>
      <c r="J5340" t="s">
        <v>18894</v>
      </c>
      <c r="K5340">
        <v>11226</v>
      </c>
      <c r="L5340" t="s">
        <v>18958</v>
      </c>
      <c r="M5340" t="s">
        <v>18958</v>
      </c>
      <c r="N5340" t="s">
        <v>22988</v>
      </c>
      <c r="O5340" t="s">
        <v>26523</v>
      </c>
      <c r="P5340" t="s">
        <v>26560</v>
      </c>
      <c r="R5340" t="s">
        <v>26588</v>
      </c>
      <c r="U5340" t="s">
        <v>26604</v>
      </c>
      <c r="W5340" t="s">
        <v>690</v>
      </c>
      <c r="X5340">
        <v>835.09</v>
      </c>
      <c r="Y5340" t="s">
        <v>26652</v>
      </c>
      <c r="Z5340" t="s">
        <v>26664</v>
      </c>
      <c r="AB5340" t="s">
        <v>31013</v>
      </c>
      <c r="AD5340" t="s">
        <v>41250</v>
      </c>
      <c r="AE5340">
        <v>16</v>
      </c>
      <c r="AG5340" t="s">
        <v>19330</v>
      </c>
      <c r="AH5340">
        <v>30</v>
      </c>
      <c r="AI5340">
        <v>2</v>
      </c>
      <c r="AJ5340">
        <v>1</v>
      </c>
      <c r="AK5340">
        <v>82.36</v>
      </c>
      <c r="AN5340" t="s">
        <v>7439</v>
      </c>
      <c r="AO5340">
        <v>17568</v>
      </c>
      <c r="AU5340">
        <v>17.1</v>
      </c>
      <c r="AV5340" t="s">
        <v>815</v>
      </c>
      <c r="AW5340" t="s">
        <v>46862</v>
      </c>
    </row>
    <row r="5341" spans="1:50">
      <c r="A5341" s="1">
        <f>HYPERLINK("https://lsnyc.legalserver.org/matter/dynamic-profile/view/1890094","19-1890094")</f>
        <v>0</v>
      </c>
      <c r="B5341" t="s">
        <v>96</v>
      </c>
      <c r="C5341" t="s">
        <v>340</v>
      </c>
      <c r="D5341" t="s">
        <v>710</v>
      </c>
      <c r="F5341" t="s">
        <v>3376</v>
      </c>
      <c r="G5341" t="s">
        <v>7631</v>
      </c>
      <c r="H5341" t="s">
        <v>13649</v>
      </c>
      <c r="I5341">
        <v>12</v>
      </c>
      <c r="J5341" t="s">
        <v>18892</v>
      </c>
      <c r="K5341">
        <v>10456</v>
      </c>
      <c r="L5341" t="s">
        <v>18958</v>
      </c>
      <c r="M5341" t="s">
        <v>18958</v>
      </c>
      <c r="N5341" t="s">
        <v>22989</v>
      </c>
      <c r="O5341" t="s">
        <v>26523</v>
      </c>
      <c r="P5341" t="s">
        <v>26560</v>
      </c>
      <c r="R5341" t="s">
        <v>26577</v>
      </c>
      <c r="S5341" t="s">
        <v>18959</v>
      </c>
      <c r="U5341" t="s">
        <v>26604</v>
      </c>
      <c r="W5341" t="s">
        <v>690</v>
      </c>
      <c r="X5341">
        <v>1298.95</v>
      </c>
      <c r="Y5341" t="s">
        <v>26650</v>
      </c>
      <c r="Z5341" t="s">
        <v>26659</v>
      </c>
      <c r="AB5341" t="s">
        <v>30414</v>
      </c>
      <c r="AD5341" t="s">
        <v>41251</v>
      </c>
      <c r="AE5341">
        <v>0</v>
      </c>
      <c r="AG5341" t="s">
        <v>45556</v>
      </c>
      <c r="AH5341">
        <v>11</v>
      </c>
      <c r="AI5341">
        <v>1</v>
      </c>
      <c r="AJ5341">
        <v>2</v>
      </c>
      <c r="AK5341">
        <v>45.18</v>
      </c>
      <c r="AN5341" t="s">
        <v>45581</v>
      </c>
      <c r="AO5341">
        <v>9636</v>
      </c>
      <c r="AU5341">
        <v>15.15</v>
      </c>
      <c r="AV5341" t="s">
        <v>794</v>
      </c>
      <c r="AW5341" t="s">
        <v>46870</v>
      </c>
    </row>
    <row r="5342" spans="1:50">
      <c r="A5342" s="1">
        <f>HYPERLINK("https://lsnyc.legalserver.org/matter/dynamic-profile/view/1890375","19-1890375")</f>
        <v>0</v>
      </c>
      <c r="B5342" t="s">
        <v>98</v>
      </c>
      <c r="C5342" t="s">
        <v>341</v>
      </c>
      <c r="D5342" t="s">
        <v>690</v>
      </c>
      <c r="E5342" t="s">
        <v>754</v>
      </c>
      <c r="F5342" t="s">
        <v>3377</v>
      </c>
      <c r="G5342" t="s">
        <v>7632</v>
      </c>
      <c r="H5342" t="s">
        <v>12681</v>
      </c>
      <c r="J5342" t="s">
        <v>18892</v>
      </c>
      <c r="K5342">
        <v>10452</v>
      </c>
      <c r="L5342" t="s">
        <v>18958</v>
      </c>
      <c r="M5342" t="s">
        <v>18958</v>
      </c>
      <c r="O5342" t="s">
        <v>18997</v>
      </c>
      <c r="P5342" t="s">
        <v>26564</v>
      </c>
      <c r="Q5342" t="s">
        <v>26570</v>
      </c>
      <c r="R5342" t="s">
        <v>26578</v>
      </c>
      <c r="S5342" t="s">
        <v>18959</v>
      </c>
      <c r="U5342" t="s">
        <v>26604</v>
      </c>
      <c r="W5342" t="s">
        <v>690</v>
      </c>
      <c r="X5342">
        <v>1200</v>
      </c>
      <c r="Y5342" t="s">
        <v>26650</v>
      </c>
      <c r="Z5342" t="s">
        <v>26663</v>
      </c>
      <c r="AA5342" t="s">
        <v>26683</v>
      </c>
      <c r="AD5342" t="s">
        <v>41252</v>
      </c>
      <c r="AE5342">
        <v>59</v>
      </c>
      <c r="AF5342" t="s">
        <v>45541</v>
      </c>
      <c r="AG5342" t="s">
        <v>19330</v>
      </c>
      <c r="AH5342">
        <v>2</v>
      </c>
      <c r="AI5342">
        <v>2</v>
      </c>
      <c r="AJ5342">
        <v>1</v>
      </c>
      <c r="AK5342">
        <v>0</v>
      </c>
      <c r="AN5342" t="s">
        <v>45581</v>
      </c>
      <c r="AO5342">
        <v>0</v>
      </c>
      <c r="AU5342">
        <v>1.2</v>
      </c>
      <c r="AV5342" t="s">
        <v>754</v>
      </c>
      <c r="AW5342" t="s">
        <v>98</v>
      </c>
    </row>
    <row r="5343" spans="1:50">
      <c r="A5343" s="1">
        <f>HYPERLINK("https://lsnyc.legalserver.org/matter/dynamic-profile/view/1890460","19-1890460")</f>
        <v>0</v>
      </c>
      <c r="B5343" t="s">
        <v>98</v>
      </c>
      <c r="C5343" t="s">
        <v>341</v>
      </c>
      <c r="D5343" t="s">
        <v>690</v>
      </c>
      <c r="E5343" t="s">
        <v>753</v>
      </c>
      <c r="F5343" t="s">
        <v>3378</v>
      </c>
      <c r="G5343" t="s">
        <v>1685</v>
      </c>
      <c r="H5343" t="s">
        <v>13650</v>
      </c>
      <c r="I5343" t="s">
        <v>17313</v>
      </c>
      <c r="J5343" t="s">
        <v>18892</v>
      </c>
      <c r="K5343">
        <v>10472</v>
      </c>
      <c r="L5343" t="s">
        <v>18958</v>
      </c>
      <c r="M5343" t="s">
        <v>18958</v>
      </c>
      <c r="O5343" t="s">
        <v>18997</v>
      </c>
      <c r="P5343" t="s">
        <v>26564</v>
      </c>
      <c r="Q5343" t="s">
        <v>26570</v>
      </c>
      <c r="R5343" t="s">
        <v>26578</v>
      </c>
      <c r="S5343" t="s">
        <v>18959</v>
      </c>
      <c r="U5343" t="s">
        <v>26604</v>
      </c>
      <c r="W5343" t="s">
        <v>690</v>
      </c>
      <c r="X5343">
        <v>1000</v>
      </c>
      <c r="Y5343" t="s">
        <v>26650</v>
      </c>
      <c r="Z5343" t="s">
        <v>26663</v>
      </c>
      <c r="AA5343" t="s">
        <v>26683</v>
      </c>
      <c r="AB5343" t="s">
        <v>31014</v>
      </c>
      <c r="AE5343">
        <v>129</v>
      </c>
      <c r="AF5343" t="s">
        <v>45541</v>
      </c>
      <c r="AG5343" t="s">
        <v>19330</v>
      </c>
      <c r="AH5343">
        <v>1</v>
      </c>
      <c r="AI5343">
        <v>1</v>
      </c>
      <c r="AJ5343">
        <v>2</v>
      </c>
      <c r="AK5343">
        <v>93.76000000000001</v>
      </c>
      <c r="AN5343" t="s">
        <v>7439</v>
      </c>
      <c r="AO5343">
        <v>20000</v>
      </c>
      <c r="AU5343">
        <v>0.8</v>
      </c>
      <c r="AV5343" t="s">
        <v>753</v>
      </c>
      <c r="AW5343" t="s">
        <v>98</v>
      </c>
    </row>
    <row r="5344" spans="1:50">
      <c r="A5344" s="1">
        <f>HYPERLINK("https://lsnyc.legalserver.org/matter/dynamic-profile/view/1890386","19-1890386")</f>
        <v>0</v>
      </c>
      <c r="B5344" t="s">
        <v>74</v>
      </c>
      <c r="C5344" t="s">
        <v>341</v>
      </c>
      <c r="D5344" t="s">
        <v>690</v>
      </c>
      <c r="E5344" t="s">
        <v>831</v>
      </c>
      <c r="F5344" t="s">
        <v>3379</v>
      </c>
      <c r="G5344" t="s">
        <v>7383</v>
      </c>
      <c r="H5344" t="s">
        <v>13651</v>
      </c>
      <c r="I5344" t="s">
        <v>17388</v>
      </c>
      <c r="J5344" t="s">
        <v>18893</v>
      </c>
      <c r="K5344">
        <v>10034</v>
      </c>
      <c r="L5344" t="s">
        <v>18958</v>
      </c>
      <c r="M5344" t="s">
        <v>18958</v>
      </c>
      <c r="O5344" t="s">
        <v>26529</v>
      </c>
      <c r="P5344" t="s">
        <v>26564</v>
      </c>
      <c r="Q5344" t="s">
        <v>26570</v>
      </c>
      <c r="R5344" t="s">
        <v>26578</v>
      </c>
      <c r="S5344" t="s">
        <v>18959</v>
      </c>
      <c r="U5344" t="s">
        <v>26604</v>
      </c>
      <c r="W5344" t="s">
        <v>690</v>
      </c>
      <c r="X5344">
        <v>864.9299999999999</v>
      </c>
      <c r="Y5344" t="s">
        <v>26651</v>
      </c>
      <c r="Z5344" t="s">
        <v>26661</v>
      </c>
      <c r="AA5344" t="s">
        <v>26683</v>
      </c>
      <c r="AB5344" t="s">
        <v>31015</v>
      </c>
      <c r="AD5344" t="s">
        <v>41253</v>
      </c>
      <c r="AE5344">
        <v>121</v>
      </c>
      <c r="AF5344" t="s">
        <v>45541</v>
      </c>
      <c r="AG5344" t="s">
        <v>19330</v>
      </c>
      <c r="AH5344">
        <v>35</v>
      </c>
      <c r="AI5344">
        <v>2</v>
      </c>
      <c r="AJ5344">
        <v>0</v>
      </c>
      <c r="AK5344">
        <v>53.22</v>
      </c>
      <c r="AN5344" t="s">
        <v>45581</v>
      </c>
      <c r="AO5344">
        <v>9000</v>
      </c>
      <c r="AU5344">
        <v>0.25</v>
      </c>
      <c r="AV5344" t="s">
        <v>831</v>
      </c>
      <c r="AW5344" t="s">
        <v>46840</v>
      </c>
      <c r="AX5344" t="s">
        <v>46897</v>
      </c>
    </row>
    <row r="5345" spans="1:50">
      <c r="A5345" s="1">
        <f>HYPERLINK("https://lsnyc.legalserver.org/matter/dynamic-profile/view/1890403","19-1890403")</f>
        <v>0</v>
      </c>
      <c r="B5345" t="s">
        <v>79</v>
      </c>
      <c r="C5345" t="s">
        <v>341</v>
      </c>
      <c r="D5345" t="s">
        <v>690</v>
      </c>
      <c r="E5345" t="s">
        <v>737</v>
      </c>
      <c r="F5345" t="s">
        <v>1640</v>
      </c>
      <c r="G5345" t="s">
        <v>1725</v>
      </c>
      <c r="H5345" t="s">
        <v>13652</v>
      </c>
      <c r="I5345" t="s">
        <v>17424</v>
      </c>
      <c r="J5345" t="s">
        <v>18893</v>
      </c>
      <c r="K5345">
        <v>10033</v>
      </c>
      <c r="L5345" t="s">
        <v>18958</v>
      </c>
      <c r="M5345" t="s">
        <v>18958</v>
      </c>
      <c r="O5345" t="s">
        <v>26524</v>
      </c>
      <c r="P5345" t="s">
        <v>26564</v>
      </c>
      <c r="Q5345" t="s">
        <v>26570</v>
      </c>
      <c r="R5345" t="s">
        <v>26578</v>
      </c>
      <c r="S5345" t="s">
        <v>18959</v>
      </c>
      <c r="U5345" t="s">
        <v>26604</v>
      </c>
      <c r="W5345" t="s">
        <v>690</v>
      </c>
      <c r="X5345">
        <v>1055</v>
      </c>
      <c r="Y5345" t="s">
        <v>26651</v>
      </c>
      <c r="Z5345" t="s">
        <v>26659</v>
      </c>
      <c r="AA5345" t="s">
        <v>26683</v>
      </c>
      <c r="AB5345" t="s">
        <v>31016</v>
      </c>
      <c r="AD5345" t="s">
        <v>41254</v>
      </c>
      <c r="AE5345">
        <v>57</v>
      </c>
      <c r="AF5345" t="s">
        <v>45541</v>
      </c>
      <c r="AG5345" t="s">
        <v>45559</v>
      </c>
      <c r="AH5345">
        <v>26</v>
      </c>
      <c r="AI5345">
        <v>2</v>
      </c>
      <c r="AJ5345">
        <v>1</v>
      </c>
      <c r="AK5345">
        <v>42.19</v>
      </c>
      <c r="AN5345" t="s">
        <v>45581</v>
      </c>
      <c r="AO5345">
        <v>9000</v>
      </c>
      <c r="AU5345">
        <v>1</v>
      </c>
      <c r="AV5345" t="s">
        <v>690</v>
      </c>
      <c r="AW5345" t="s">
        <v>46840</v>
      </c>
    </row>
    <row r="5346" spans="1:50">
      <c r="A5346" s="1">
        <f>HYPERLINK("https://lsnyc.legalserver.org/matter/dynamic-profile/view/1890434","19-1890434")</f>
        <v>0</v>
      </c>
      <c r="B5346" t="s">
        <v>79</v>
      </c>
      <c r="C5346" t="s">
        <v>341</v>
      </c>
      <c r="D5346" t="s">
        <v>690</v>
      </c>
      <c r="E5346" t="s">
        <v>574</v>
      </c>
      <c r="F5346" t="s">
        <v>1789</v>
      </c>
      <c r="G5346" t="s">
        <v>7542</v>
      </c>
      <c r="H5346" t="s">
        <v>13653</v>
      </c>
      <c r="I5346">
        <v>26</v>
      </c>
      <c r="J5346" t="s">
        <v>18893</v>
      </c>
      <c r="K5346">
        <v>10033</v>
      </c>
      <c r="L5346" t="s">
        <v>18958</v>
      </c>
      <c r="M5346" t="s">
        <v>18958</v>
      </c>
      <c r="O5346" t="s">
        <v>26529</v>
      </c>
      <c r="P5346" t="s">
        <v>26564</v>
      </c>
      <c r="Q5346" t="s">
        <v>26570</v>
      </c>
      <c r="R5346" t="s">
        <v>26578</v>
      </c>
      <c r="S5346" t="s">
        <v>18959</v>
      </c>
      <c r="U5346" t="s">
        <v>26604</v>
      </c>
      <c r="W5346" t="s">
        <v>690</v>
      </c>
      <c r="X5346">
        <v>819</v>
      </c>
      <c r="Y5346" t="s">
        <v>26651</v>
      </c>
      <c r="Z5346" t="s">
        <v>26661</v>
      </c>
      <c r="AA5346" t="s">
        <v>26683</v>
      </c>
      <c r="AB5346" t="s">
        <v>29739</v>
      </c>
      <c r="AD5346" t="s">
        <v>41255</v>
      </c>
      <c r="AE5346">
        <v>42</v>
      </c>
      <c r="AF5346" t="s">
        <v>45541</v>
      </c>
      <c r="AG5346" t="s">
        <v>19330</v>
      </c>
      <c r="AH5346">
        <v>31</v>
      </c>
      <c r="AI5346">
        <v>3</v>
      </c>
      <c r="AJ5346">
        <v>0</v>
      </c>
      <c r="AK5346">
        <v>210.97</v>
      </c>
      <c r="AN5346" t="s">
        <v>45581</v>
      </c>
      <c r="AO5346">
        <v>45000</v>
      </c>
      <c r="AU5346">
        <v>2.9</v>
      </c>
      <c r="AV5346" t="s">
        <v>728</v>
      </c>
      <c r="AW5346" t="s">
        <v>46840</v>
      </c>
    </row>
    <row r="5347" spans="1:50">
      <c r="A5347" s="1">
        <f>HYPERLINK("https://lsnyc.legalserver.org/matter/dynamic-profile/view/1890387","19-1890387")</f>
        <v>0</v>
      </c>
      <c r="B5347" t="s">
        <v>65</v>
      </c>
      <c r="C5347" t="s">
        <v>341</v>
      </c>
      <c r="D5347" t="s">
        <v>690</v>
      </c>
      <c r="E5347" t="s">
        <v>857</v>
      </c>
      <c r="F5347" t="s">
        <v>2207</v>
      </c>
      <c r="G5347" t="s">
        <v>7633</v>
      </c>
      <c r="H5347" t="s">
        <v>12265</v>
      </c>
      <c r="I5347" t="s">
        <v>17307</v>
      </c>
      <c r="J5347" t="s">
        <v>18892</v>
      </c>
      <c r="K5347">
        <v>10467</v>
      </c>
      <c r="L5347" t="s">
        <v>18958</v>
      </c>
      <c r="M5347" t="s">
        <v>18958</v>
      </c>
      <c r="N5347" t="s">
        <v>22990</v>
      </c>
      <c r="O5347" t="s">
        <v>26523</v>
      </c>
      <c r="P5347" t="s">
        <v>26560</v>
      </c>
      <c r="Q5347" t="s">
        <v>26568</v>
      </c>
      <c r="R5347" t="s">
        <v>26579</v>
      </c>
      <c r="U5347" t="s">
        <v>26604</v>
      </c>
      <c r="V5347" t="s">
        <v>26609</v>
      </c>
      <c r="W5347" t="s">
        <v>690</v>
      </c>
      <c r="X5347">
        <v>1036.94</v>
      </c>
      <c r="Y5347" t="s">
        <v>26650</v>
      </c>
      <c r="Z5347" t="s">
        <v>26664</v>
      </c>
      <c r="AA5347" t="s">
        <v>26678</v>
      </c>
      <c r="AB5347" t="s">
        <v>31017</v>
      </c>
      <c r="AC5347" t="s">
        <v>35982</v>
      </c>
      <c r="AD5347" t="s">
        <v>41256</v>
      </c>
      <c r="AE5347">
        <v>0</v>
      </c>
      <c r="AF5347" t="s">
        <v>45541</v>
      </c>
      <c r="AG5347" t="s">
        <v>19330</v>
      </c>
      <c r="AH5347">
        <v>5</v>
      </c>
      <c r="AI5347">
        <v>1</v>
      </c>
      <c r="AJ5347">
        <v>1</v>
      </c>
      <c r="AK5347">
        <v>34.95</v>
      </c>
      <c r="AN5347" t="s">
        <v>7439</v>
      </c>
      <c r="AO5347">
        <v>5910</v>
      </c>
      <c r="AP5347" t="s">
        <v>45654</v>
      </c>
      <c r="AQ5347" t="s">
        <v>46362</v>
      </c>
      <c r="AR5347" t="s">
        <v>46380</v>
      </c>
      <c r="AS5347" t="s">
        <v>46499</v>
      </c>
      <c r="AT5347" t="s">
        <v>46607</v>
      </c>
      <c r="AU5347">
        <v>6.05</v>
      </c>
      <c r="AV5347" t="s">
        <v>780</v>
      </c>
      <c r="AW5347" t="s">
        <v>334</v>
      </c>
    </row>
    <row r="5348" spans="1:50">
      <c r="A5348" s="1">
        <f>HYPERLINK("https://lsnyc.legalserver.org/matter/dynamic-profile/view/1890457","19-1890457")</f>
        <v>0</v>
      </c>
      <c r="B5348" t="s">
        <v>173</v>
      </c>
      <c r="C5348" t="s">
        <v>341</v>
      </c>
      <c r="D5348" t="s">
        <v>690</v>
      </c>
      <c r="E5348" t="s">
        <v>416</v>
      </c>
      <c r="F5348" t="s">
        <v>1474</v>
      </c>
      <c r="G5348" t="s">
        <v>3103</v>
      </c>
      <c r="H5348" t="s">
        <v>10391</v>
      </c>
      <c r="I5348" t="s">
        <v>17389</v>
      </c>
      <c r="J5348" t="s">
        <v>18893</v>
      </c>
      <c r="K5348">
        <v>10033</v>
      </c>
      <c r="L5348" t="s">
        <v>18958</v>
      </c>
      <c r="M5348" t="s">
        <v>18958</v>
      </c>
      <c r="N5348" t="s">
        <v>22991</v>
      </c>
      <c r="O5348" t="s">
        <v>26524</v>
      </c>
      <c r="P5348" t="s">
        <v>26564</v>
      </c>
      <c r="Q5348" t="s">
        <v>26570</v>
      </c>
      <c r="R5348" t="s">
        <v>26582</v>
      </c>
      <c r="S5348" t="s">
        <v>18959</v>
      </c>
      <c r="U5348" t="s">
        <v>26604</v>
      </c>
      <c r="V5348" t="s">
        <v>26610</v>
      </c>
      <c r="W5348" t="s">
        <v>690</v>
      </c>
      <c r="X5348">
        <v>982.15</v>
      </c>
      <c r="Y5348" t="s">
        <v>26651</v>
      </c>
      <c r="Z5348" t="s">
        <v>26664</v>
      </c>
      <c r="AA5348" t="s">
        <v>26683</v>
      </c>
      <c r="AB5348" t="s">
        <v>27501</v>
      </c>
      <c r="AC5348" t="s">
        <v>35983</v>
      </c>
      <c r="AD5348" t="s">
        <v>37559</v>
      </c>
      <c r="AE5348">
        <v>41</v>
      </c>
      <c r="AF5348" t="s">
        <v>20460</v>
      </c>
      <c r="AG5348" t="s">
        <v>19330</v>
      </c>
      <c r="AH5348">
        <v>12</v>
      </c>
      <c r="AI5348">
        <v>1</v>
      </c>
      <c r="AJ5348">
        <v>0</v>
      </c>
      <c r="AK5348">
        <v>106.16</v>
      </c>
      <c r="AN5348" t="s">
        <v>7439</v>
      </c>
      <c r="AO5348">
        <v>13260</v>
      </c>
      <c r="AU5348">
        <v>1.2</v>
      </c>
      <c r="AV5348" t="s">
        <v>690</v>
      </c>
      <c r="AW5348" t="s">
        <v>46835</v>
      </c>
      <c r="AX5348" t="s">
        <v>46898</v>
      </c>
    </row>
    <row r="5349" spans="1:50">
      <c r="A5349" s="1">
        <f>HYPERLINK("https://lsnyc.legalserver.org/matter/dynamic-profile/view/1890363","19-1890363")</f>
        <v>0</v>
      </c>
      <c r="B5349" t="s">
        <v>61</v>
      </c>
      <c r="C5349" t="s">
        <v>340</v>
      </c>
      <c r="D5349" t="s">
        <v>690</v>
      </c>
      <c r="F5349" t="s">
        <v>3086</v>
      </c>
      <c r="G5349" t="s">
        <v>5685</v>
      </c>
      <c r="H5349" t="s">
        <v>13654</v>
      </c>
      <c r="I5349" t="s">
        <v>17388</v>
      </c>
      <c r="J5349" t="s">
        <v>18893</v>
      </c>
      <c r="K5349">
        <v>10034</v>
      </c>
      <c r="L5349" t="s">
        <v>18958</v>
      </c>
      <c r="M5349" t="s">
        <v>18958</v>
      </c>
      <c r="N5349" t="s">
        <v>22992</v>
      </c>
      <c r="O5349" t="s">
        <v>26524</v>
      </c>
      <c r="P5349" t="s">
        <v>26560</v>
      </c>
      <c r="R5349" t="s">
        <v>26578</v>
      </c>
      <c r="S5349" t="s">
        <v>18959</v>
      </c>
      <c r="U5349" t="s">
        <v>26604</v>
      </c>
      <c r="V5349" t="s">
        <v>26610</v>
      </c>
      <c r="W5349" t="s">
        <v>690</v>
      </c>
      <c r="X5349">
        <v>1300</v>
      </c>
      <c r="Y5349" t="s">
        <v>26651</v>
      </c>
      <c r="Z5349" t="s">
        <v>26664</v>
      </c>
      <c r="AB5349" t="s">
        <v>29562</v>
      </c>
      <c r="AD5349" t="s">
        <v>41257</v>
      </c>
      <c r="AE5349">
        <v>259</v>
      </c>
      <c r="AF5349" t="s">
        <v>45541</v>
      </c>
      <c r="AG5349" t="s">
        <v>19330</v>
      </c>
      <c r="AH5349">
        <v>18</v>
      </c>
      <c r="AI5349">
        <v>2</v>
      </c>
      <c r="AJ5349">
        <v>0</v>
      </c>
      <c r="AK5349">
        <v>169.13</v>
      </c>
      <c r="AN5349" t="s">
        <v>45581</v>
      </c>
      <c r="AO5349">
        <v>28600</v>
      </c>
      <c r="AU5349">
        <v>16.4</v>
      </c>
      <c r="AV5349" t="s">
        <v>821</v>
      </c>
      <c r="AW5349" t="s">
        <v>46835</v>
      </c>
      <c r="AX5349" t="s">
        <v>46897</v>
      </c>
    </row>
    <row r="5350" spans="1:50">
      <c r="A5350" s="1">
        <f>HYPERLINK("https://lsnyc.legalserver.org/matter/dynamic-profile/view/1890456","19-1890456")</f>
        <v>0</v>
      </c>
      <c r="B5350" t="s">
        <v>202</v>
      </c>
      <c r="C5350" t="s">
        <v>340</v>
      </c>
      <c r="D5350" t="s">
        <v>690</v>
      </c>
      <c r="F5350" t="s">
        <v>1712</v>
      </c>
      <c r="G5350" t="s">
        <v>7634</v>
      </c>
      <c r="H5350" t="s">
        <v>13655</v>
      </c>
      <c r="I5350" t="s">
        <v>17355</v>
      </c>
      <c r="J5350" t="s">
        <v>18894</v>
      </c>
      <c r="K5350">
        <v>11221</v>
      </c>
      <c r="L5350" t="s">
        <v>18958</v>
      </c>
      <c r="M5350" t="s">
        <v>18958</v>
      </c>
      <c r="N5350" t="s">
        <v>22993</v>
      </c>
      <c r="O5350" t="s">
        <v>26523</v>
      </c>
      <c r="P5350" t="s">
        <v>26560</v>
      </c>
      <c r="R5350" t="s">
        <v>26588</v>
      </c>
      <c r="S5350" t="s">
        <v>18959</v>
      </c>
      <c r="U5350" t="s">
        <v>26604</v>
      </c>
      <c r="V5350" t="s">
        <v>26610</v>
      </c>
      <c r="W5350" t="s">
        <v>690</v>
      </c>
      <c r="X5350">
        <v>0</v>
      </c>
      <c r="Y5350" t="s">
        <v>26652</v>
      </c>
      <c r="Z5350" t="s">
        <v>26659</v>
      </c>
      <c r="AB5350" t="s">
        <v>30550</v>
      </c>
      <c r="AD5350" t="s">
        <v>41258</v>
      </c>
      <c r="AE5350">
        <v>30</v>
      </c>
      <c r="AF5350" t="s">
        <v>45541</v>
      </c>
      <c r="AG5350" t="s">
        <v>45557</v>
      </c>
      <c r="AH5350">
        <v>18</v>
      </c>
      <c r="AI5350">
        <v>1</v>
      </c>
      <c r="AJ5350">
        <v>1</v>
      </c>
      <c r="AK5350">
        <v>42.01</v>
      </c>
      <c r="AN5350" t="s">
        <v>7439</v>
      </c>
      <c r="AO5350">
        <v>7104</v>
      </c>
      <c r="AU5350">
        <v>7.4</v>
      </c>
      <c r="AV5350" t="s">
        <v>838</v>
      </c>
      <c r="AW5350" t="s">
        <v>202</v>
      </c>
    </row>
    <row r="5351" spans="1:50">
      <c r="A5351" s="1">
        <f>HYPERLINK("https://lsnyc.legalserver.org/matter/dynamic-profile/view/1890448","19-1890448")</f>
        <v>0</v>
      </c>
      <c r="B5351" t="s">
        <v>94</v>
      </c>
      <c r="C5351" t="s">
        <v>340</v>
      </c>
      <c r="D5351" t="s">
        <v>690</v>
      </c>
      <c r="F5351" t="s">
        <v>887</v>
      </c>
      <c r="G5351" t="s">
        <v>5121</v>
      </c>
      <c r="H5351" t="s">
        <v>13656</v>
      </c>
      <c r="I5351" t="s">
        <v>18207</v>
      </c>
      <c r="J5351" t="s">
        <v>18893</v>
      </c>
      <c r="K5351">
        <v>10039</v>
      </c>
      <c r="L5351" t="s">
        <v>18958</v>
      </c>
      <c r="M5351" t="s">
        <v>18958</v>
      </c>
      <c r="N5351" t="s">
        <v>22994</v>
      </c>
      <c r="O5351" t="s">
        <v>26523</v>
      </c>
      <c r="P5351" t="s">
        <v>26564</v>
      </c>
      <c r="R5351" t="s">
        <v>26582</v>
      </c>
      <c r="S5351" t="s">
        <v>18959</v>
      </c>
      <c r="U5351" t="s">
        <v>26605</v>
      </c>
      <c r="V5351" t="s">
        <v>26610</v>
      </c>
      <c r="W5351" t="s">
        <v>690</v>
      </c>
      <c r="X5351">
        <v>220</v>
      </c>
      <c r="Y5351" t="s">
        <v>26651</v>
      </c>
      <c r="Z5351" t="s">
        <v>26664</v>
      </c>
      <c r="AB5351" t="s">
        <v>31018</v>
      </c>
      <c r="AD5351" t="s">
        <v>41259</v>
      </c>
      <c r="AE5351">
        <v>0</v>
      </c>
      <c r="AF5351" t="s">
        <v>45542</v>
      </c>
      <c r="AG5351" t="s">
        <v>19330</v>
      </c>
      <c r="AH5351">
        <v>10</v>
      </c>
      <c r="AI5351">
        <v>1</v>
      </c>
      <c r="AJ5351">
        <v>0</v>
      </c>
      <c r="AK5351">
        <v>71.29000000000001</v>
      </c>
      <c r="AN5351" t="s">
        <v>7439</v>
      </c>
      <c r="AO5351">
        <v>8904</v>
      </c>
      <c r="AU5351">
        <v>0.5</v>
      </c>
      <c r="AV5351" t="s">
        <v>690</v>
      </c>
      <c r="AW5351" t="s">
        <v>46835</v>
      </c>
    </row>
    <row r="5352" spans="1:50">
      <c r="A5352" s="1">
        <f>HYPERLINK("https://lsnyc.legalserver.org/matter/dynamic-profile/view/1890362","19-1890362")</f>
        <v>0</v>
      </c>
      <c r="B5352" t="s">
        <v>94</v>
      </c>
      <c r="C5352" t="s">
        <v>340</v>
      </c>
      <c r="D5352" t="s">
        <v>690</v>
      </c>
      <c r="F5352" t="s">
        <v>1738</v>
      </c>
      <c r="G5352" t="s">
        <v>4588</v>
      </c>
      <c r="H5352" t="s">
        <v>13254</v>
      </c>
      <c r="I5352" t="s">
        <v>18208</v>
      </c>
      <c r="J5352" t="s">
        <v>18893</v>
      </c>
      <c r="K5352">
        <v>10128</v>
      </c>
      <c r="L5352" t="s">
        <v>18958</v>
      </c>
      <c r="M5352" t="s">
        <v>18958</v>
      </c>
      <c r="N5352" t="s">
        <v>22995</v>
      </c>
      <c r="O5352" t="s">
        <v>26524</v>
      </c>
      <c r="P5352" t="s">
        <v>26564</v>
      </c>
      <c r="R5352" t="s">
        <v>26582</v>
      </c>
      <c r="S5352" t="s">
        <v>18959</v>
      </c>
      <c r="U5352" t="s">
        <v>26605</v>
      </c>
      <c r="W5352" t="s">
        <v>690</v>
      </c>
      <c r="X5352">
        <v>400</v>
      </c>
      <c r="Y5352" t="s">
        <v>26651</v>
      </c>
      <c r="Z5352" t="s">
        <v>26664</v>
      </c>
      <c r="AB5352" t="s">
        <v>30617</v>
      </c>
      <c r="AD5352" t="s">
        <v>41260</v>
      </c>
      <c r="AE5352">
        <v>0</v>
      </c>
      <c r="AG5352" t="s">
        <v>19330</v>
      </c>
      <c r="AH5352">
        <v>15</v>
      </c>
      <c r="AI5352">
        <v>1</v>
      </c>
      <c r="AJ5352">
        <v>0</v>
      </c>
      <c r="AK5352">
        <v>105.68</v>
      </c>
      <c r="AN5352" t="s">
        <v>7439</v>
      </c>
      <c r="AO5352">
        <v>13200</v>
      </c>
      <c r="AU5352">
        <v>0.25</v>
      </c>
      <c r="AV5352" t="s">
        <v>771</v>
      </c>
      <c r="AW5352" t="s">
        <v>46875</v>
      </c>
    </row>
    <row r="5353" spans="1:50">
      <c r="A5353" s="1">
        <f>HYPERLINK("https://lsnyc.legalserver.org/matter/dynamic-profile/view/1890417","19-1890417")</f>
        <v>0</v>
      </c>
      <c r="B5353" t="s">
        <v>94</v>
      </c>
      <c r="C5353" t="s">
        <v>340</v>
      </c>
      <c r="D5353" t="s">
        <v>690</v>
      </c>
      <c r="F5353" t="s">
        <v>1417</v>
      </c>
      <c r="G5353" t="s">
        <v>2749</v>
      </c>
      <c r="H5353" t="s">
        <v>13657</v>
      </c>
      <c r="I5353" t="s">
        <v>17867</v>
      </c>
      <c r="J5353" t="s">
        <v>18893</v>
      </c>
      <c r="K5353">
        <v>10011</v>
      </c>
      <c r="L5353" t="s">
        <v>18958</v>
      </c>
      <c r="M5353" t="s">
        <v>18958</v>
      </c>
      <c r="N5353" t="s">
        <v>22996</v>
      </c>
      <c r="O5353" t="s">
        <v>26523</v>
      </c>
      <c r="P5353" t="s">
        <v>26564</v>
      </c>
      <c r="R5353" t="s">
        <v>26582</v>
      </c>
      <c r="S5353" t="s">
        <v>18959</v>
      </c>
      <c r="U5353" t="s">
        <v>26605</v>
      </c>
      <c r="V5353" t="s">
        <v>26611</v>
      </c>
      <c r="W5353" t="s">
        <v>690</v>
      </c>
      <c r="X5353">
        <v>1391</v>
      </c>
      <c r="Y5353" t="s">
        <v>26651</v>
      </c>
      <c r="Z5353" t="s">
        <v>26664</v>
      </c>
      <c r="AB5353" t="s">
        <v>31019</v>
      </c>
      <c r="AD5353" t="s">
        <v>41261</v>
      </c>
      <c r="AE5353">
        <v>0</v>
      </c>
      <c r="AF5353" t="s">
        <v>45542</v>
      </c>
      <c r="AG5353" t="s">
        <v>19330</v>
      </c>
      <c r="AH5353">
        <v>11</v>
      </c>
      <c r="AI5353">
        <v>1</v>
      </c>
      <c r="AJ5353">
        <v>0</v>
      </c>
      <c r="AK5353">
        <v>120.1</v>
      </c>
      <c r="AN5353" t="s">
        <v>7439</v>
      </c>
      <c r="AO5353">
        <v>15000</v>
      </c>
      <c r="AU5353">
        <v>0.5</v>
      </c>
      <c r="AV5353" t="s">
        <v>690</v>
      </c>
      <c r="AW5353" t="s">
        <v>46835</v>
      </c>
    </row>
    <row r="5354" spans="1:50">
      <c r="A5354" s="1">
        <f>HYPERLINK("https://lsnyc.legalserver.org/matter/dynamic-profile/view/1890380","19-1890380")</f>
        <v>0</v>
      </c>
      <c r="B5354" t="s">
        <v>262</v>
      </c>
      <c r="C5354" t="s">
        <v>340</v>
      </c>
      <c r="D5354" t="s">
        <v>690</v>
      </c>
      <c r="F5354" t="s">
        <v>1480</v>
      </c>
      <c r="G5354" t="s">
        <v>6617</v>
      </c>
      <c r="H5354" t="s">
        <v>11857</v>
      </c>
      <c r="I5354" t="s">
        <v>17616</v>
      </c>
      <c r="J5354" t="s">
        <v>18892</v>
      </c>
      <c r="K5354">
        <v>10467</v>
      </c>
      <c r="L5354" t="s">
        <v>18958</v>
      </c>
      <c r="M5354" t="s">
        <v>18958</v>
      </c>
      <c r="N5354" t="s">
        <v>22997</v>
      </c>
      <c r="O5354" t="s">
        <v>26523</v>
      </c>
      <c r="P5354" t="s">
        <v>26560</v>
      </c>
      <c r="R5354" t="s">
        <v>26579</v>
      </c>
      <c r="S5354" t="s">
        <v>18959</v>
      </c>
      <c r="U5354" t="s">
        <v>26604</v>
      </c>
      <c r="V5354" t="s">
        <v>26609</v>
      </c>
      <c r="W5354" t="s">
        <v>690</v>
      </c>
      <c r="X5354">
        <v>440.17</v>
      </c>
      <c r="Y5354" t="s">
        <v>26650</v>
      </c>
      <c r="Z5354" t="s">
        <v>26664</v>
      </c>
      <c r="AB5354" t="s">
        <v>29122</v>
      </c>
      <c r="AC5354" t="s">
        <v>35984</v>
      </c>
      <c r="AD5354" t="s">
        <v>39176</v>
      </c>
      <c r="AE5354">
        <v>10</v>
      </c>
      <c r="AF5354" t="s">
        <v>45554</v>
      </c>
      <c r="AG5354" t="s">
        <v>19330</v>
      </c>
      <c r="AH5354">
        <v>3</v>
      </c>
      <c r="AI5354">
        <v>1</v>
      </c>
      <c r="AJ5354">
        <v>0</v>
      </c>
      <c r="AK5354">
        <v>134.51</v>
      </c>
      <c r="AN5354" t="s">
        <v>7439</v>
      </c>
      <c r="AO5354">
        <v>16800</v>
      </c>
      <c r="AU5354">
        <v>22.7</v>
      </c>
      <c r="AV5354" t="s">
        <v>838</v>
      </c>
      <c r="AW5354" t="s">
        <v>46847</v>
      </c>
      <c r="AX5354" t="s">
        <v>46898</v>
      </c>
    </row>
    <row r="5355" spans="1:50">
      <c r="A5355" s="1">
        <f>HYPERLINK("https://lsnyc.legalserver.org/matter/dynamic-profile/view/1890381","19-1890381")</f>
        <v>0</v>
      </c>
      <c r="B5355" t="s">
        <v>64</v>
      </c>
      <c r="C5355" t="s">
        <v>340</v>
      </c>
      <c r="D5355" t="s">
        <v>690</v>
      </c>
      <c r="F5355" t="s">
        <v>3380</v>
      </c>
      <c r="G5355" t="s">
        <v>7635</v>
      </c>
      <c r="H5355" t="s">
        <v>11966</v>
      </c>
      <c r="I5355">
        <v>20</v>
      </c>
      <c r="J5355" t="s">
        <v>18892</v>
      </c>
      <c r="K5355">
        <v>10468</v>
      </c>
      <c r="L5355" t="s">
        <v>18958</v>
      </c>
      <c r="M5355" t="s">
        <v>18958</v>
      </c>
      <c r="N5355" t="s">
        <v>22998</v>
      </c>
      <c r="O5355" t="s">
        <v>26523</v>
      </c>
      <c r="P5355" t="s">
        <v>26560</v>
      </c>
      <c r="R5355" t="s">
        <v>26579</v>
      </c>
      <c r="S5355" t="s">
        <v>18959</v>
      </c>
      <c r="U5355" t="s">
        <v>26604</v>
      </c>
      <c r="V5355" t="s">
        <v>26610</v>
      </c>
      <c r="W5355" t="s">
        <v>690</v>
      </c>
      <c r="X5355">
        <v>813</v>
      </c>
      <c r="Y5355" t="s">
        <v>26650</v>
      </c>
      <c r="Z5355" t="s">
        <v>26664</v>
      </c>
      <c r="AB5355" t="s">
        <v>29245</v>
      </c>
      <c r="AC5355" t="s">
        <v>35985</v>
      </c>
      <c r="AD5355" t="s">
        <v>39298</v>
      </c>
      <c r="AE5355">
        <v>0</v>
      </c>
      <c r="AF5355" t="s">
        <v>45541</v>
      </c>
      <c r="AG5355" t="s">
        <v>45559</v>
      </c>
      <c r="AH5355">
        <v>29</v>
      </c>
      <c r="AI5355">
        <v>1</v>
      </c>
      <c r="AJ5355">
        <v>0</v>
      </c>
      <c r="AK5355">
        <v>0</v>
      </c>
      <c r="AN5355" t="s">
        <v>45581</v>
      </c>
      <c r="AO5355">
        <v>0</v>
      </c>
      <c r="AU5355">
        <v>10.2</v>
      </c>
      <c r="AV5355" t="s">
        <v>835</v>
      </c>
      <c r="AW5355" t="s">
        <v>46871</v>
      </c>
    </row>
    <row r="5356" spans="1:50">
      <c r="A5356" s="1">
        <f>HYPERLINK("https://lsnyc.legalserver.org/matter/dynamic-profile/view/1890413","19-1890413")</f>
        <v>0</v>
      </c>
      <c r="B5356" t="s">
        <v>64</v>
      </c>
      <c r="C5356" t="s">
        <v>340</v>
      </c>
      <c r="D5356" t="s">
        <v>690</v>
      </c>
      <c r="F5356" t="s">
        <v>3381</v>
      </c>
      <c r="G5356" t="s">
        <v>7636</v>
      </c>
      <c r="H5356" t="s">
        <v>13658</v>
      </c>
      <c r="I5356" t="s">
        <v>17471</v>
      </c>
      <c r="J5356" t="s">
        <v>18892</v>
      </c>
      <c r="K5356">
        <v>10457</v>
      </c>
      <c r="L5356" t="s">
        <v>18958</v>
      </c>
      <c r="M5356" t="s">
        <v>18958</v>
      </c>
      <c r="N5356" t="s">
        <v>22999</v>
      </c>
      <c r="O5356" t="s">
        <v>26524</v>
      </c>
      <c r="P5356" t="s">
        <v>26560</v>
      </c>
      <c r="R5356" t="s">
        <v>26579</v>
      </c>
      <c r="S5356" t="s">
        <v>18959</v>
      </c>
      <c r="U5356" t="s">
        <v>26604</v>
      </c>
      <c r="V5356" t="s">
        <v>26610</v>
      </c>
      <c r="W5356" t="s">
        <v>690</v>
      </c>
      <c r="X5356">
        <v>1059.78</v>
      </c>
      <c r="Y5356" t="s">
        <v>26650</v>
      </c>
      <c r="Z5356" t="s">
        <v>26664</v>
      </c>
      <c r="AB5356" t="s">
        <v>31020</v>
      </c>
      <c r="AD5356" t="s">
        <v>41262</v>
      </c>
      <c r="AE5356">
        <v>7</v>
      </c>
      <c r="AF5356" t="s">
        <v>45551</v>
      </c>
      <c r="AG5356" t="s">
        <v>26530</v>
      </c>
      <c r="AH5356">
        <v>15</v>
      </c>
      <c r="AI5356">
        <v>2</v>
      </c>
      <c r="AJ5356">
        <v>0</v>
      </c>
      <c r="AK5356">
        <v>176.2</v>
      </c>
      <c r="AN5356" t="s">
        <v>7439</v>
      </c>
      <c r="AO5356">
        <v>29796</v>
      </c>
      <c r="AU5356">
        <v>9.449999999999999</v>
      </c>
      <c r="AV5356" t="s">
        <v>832</v>
      </c>
      <c r="AW5356" t="s">
        <v>46871</v>
      </c>
    </row>
    <row r="5357" spans="1:50">
      <c r="A5357" s="1">
        <f>HYPERLINK("https://lsnyc.legalserver.org/matter/dynamic-profile/view/1890366","19-1890366")</f>
        <v>0</v>
      </c>
      <c r="B5357" t="s">
        <v>188</v>
      </c>
      <c r="C5357" t="s">
        <v>340</v>
      </c>
      <c r="D5357" t="s">
        <v>690</v>
      </c>
      <c r="F5357" t="s">
        <v>3382</v>
      </c>
      <c r="G5357" t="s">
        <v>5008</v>
      </c>
      <c r="H5357" t="s">
        <v>13659</v>
      </c>
      <c r="I5357" t="s">
        <v>17322</v>
      </c>
      <c r="J5357" t="s">
        <v>18892</v>
      </c>
      <c r="K5357">
        <v>10457</v>
      </c>
      <c r="L5357" t="s">
        <v>18958</v>
      </c>
      <c r="M5357" t="s">
        <v>18958</v>
      </c>
      <c r="N5357" t="s">
        <v>23000</v>
      </c>
      <c r="O5357" t="s">
        <v>26523</v>
      </c>
      <c r="P5357" t="s">
        <v>26560</v>
      </c>
      <c r="R5357" t="s">
        <v>26578</v>
      </c>
      <c r="S5357" t="s">
        <v>18959</v>
      </c>
      <c r="U5357" t="s">
        <v>26604</v>
      </c>
      <c r="W5357" t="s">
        <v>690</v>
      </c>
      <c r="X5357">
        <v>3123.85</v>
      </c>
      <c r="Y5357" t="s">
        <v>26650</v>
      </c>
      <c r="AB5357" t="s">
        <v>31021</v>
      </c>
      <c r="AD5357" t="s">
        <v>41263</v>
      </c>
      <c r="AE5357">
        <v>20</v>
      </c>
      <c r="AG5357" t="s">
        <v>45560</v>
      </c>
      <c r="AH5357">
        <v>7</v>
      </c>
      <c r="AI5357">
        <v>2</v>
      </c>
      <c r="AJ5357">
        <v>0</v>
      </c>
      <c r="AK5357">
        <v>134.19</v>
      </c>
      <c r="AN5357" t="s">
        <v>7439</v>
      </c>
      <c r="AO5357">
        <v>22692</v>
      </c>
      <c r="AU5357">
        <v>23.8</v>
      </c>
      <c r="AV5357" t="s">
        <v>839</v>
      </c>
      <c r="AW5357" t="s">
        <v>329</v>
      </c>
    </row>
    <row r="5358" spans="1:50">
      <c r="A5358" s="1">
        <f>HYPERLINK("https://lsnyc.legalserver.org/matter/dynamic-profile/view/1890435","19-1890435")</f>
        <v>0</v>
      </c>
      <c r="B5358" t="s">
        <v>173</v>
      </c>
      <c r="C5358" t="s">
        <v>340</v>
      </c>
      <c r="D5358" t="s">
        <v>690</v>
      </c>
      <c r="F5358" t="s">
        <v>1985</v>
      </c>
      <c r="G5358" t="s">
        <v>7637</v>
      </c>
      <c r="H5358" t="s">
        <v>13660</v>
      </c>
      <c r="I5358">
        <v>1228</v>
      </c>
      <c r="J5358" t="s">
        <v>18893</v>
      </c>
      <c r="K5358">
        <v>10018</v>
      </c>
      <c r="L5358" t="s">
        <v>18958</v>
      </c>
      <c r="M5358" t="s">
        <v>18958</v>
      </c>
      <c r="N5358" t="s">
        <v>23001</v>
      </c>
      <c r="O5358" t="s">
        <v>26524</v>
      </c>
      <c r="P5358" t="s">
        <v>26564</v>
      </c>
      <c r="R5358" t="s">
        <v>26582</v>
      </c>
      <c r="S5358" t="s">
        <v>18959</v>
      </c>
      <c r="U5358" t="s">
        <v>26604</v>
      </c>
      <c r="W5358" t="s">
        <v>690</v>
      </c>
      <c r="X5358">
        <v>5619.32</v>
      </c>
      <c r="Y5358" t="s">
        <v>26651</v>
      </c>
      <c r="Z5358" t="s">
        <v>26664</v>
      </c>
      <c r="AB5358" t="s">
        <v>26850</v>
      </c>
      <c r="AC5358" t="s">
        <v>35986</v>
      </c>
      <c r="AD5358" t="s">
        <v>41264</v>
      </c>
      <c r="AE5358">
        <v>0</v>
      </c>
      <c r="AG5358" t="s">
        <v>26530</v>
      </c>
      <c r="AH5358">
        <v>4</v>
      </c>
      <c r="AI5358">
        <v>1</v>
      </c>
      <c r="AJ5358">
        <v>0</v>
      </c>
      <c r="AK5358">
        <v>19.05</v>
      </c>
      <c r="AN5358" t="s">
        <v>7439</v>
      </c>
      <c r="AO5358">
        <v>2379</v>
      </c>
      <c r="AU5358">
        <v>1</v>
      </c>
      <c r="AV5358" t="s">
        <v>416</v>
      </c>
      <c r="AW5358" t="s">
        <v>46875</v>
      </c>
    </row>
    <row r="5359" spans="1:50">
      <c r="A5359" s="1">
        <f>HYPERLINK("https://lsnyc.legalserver.org/matter/dynamic-profile/view/1890367","19-1890367")</f>
        <v>0</v>
      </c>
      <c r="B5359" t="s">
        <v>173</v>
      </c>
      <c r="C5359" t="s">
        <v>340</v>
      </c>
      <c r="D5359" t="s">
        <v>690</v>
      </c>
      <c r="F5359" t="s">
        <v>3383</v>
      </c>
      <c r="G5359" t="s">
        <v>7638</v>
      </c>
      <c r="H5359" t="s">
        <v>13661</v>
      </c>
      <c r="I5359" t="s">
        <v>17351</v>
      </c>
      <c r="J5359" t="s">
        <v>18893</v>
      </c>
      <c r="K5359">
        <v>10039</v>
      </c>
      <c r="L5359" t="s">
        <v>18958</v>
      </c>
      <c r="M5359" t="s">
        <v>18958</v>
      </c>
      <c r="N5359" t="s">
        <v>23002</v>
      </c>
      <c r="O5359" t="s">
        <v>26524</v>
      </c>
      <c r="P5359" t="s">
        <v>26564</v>
      </c>
      <c r="R5359" t="s">
        <v>26582</v>
      </c>
      <c r="S5359" t="s">
        <v>18959</v>
      </c>
      <c r="U5359" t="s">
        <v>26604</v>
      </c>
      <c r="W5359" t="s">
        <v>690</v>
      </c>
      <c r="X5359">
        <v>811</v>
      </c>
      <c r="Y5359" t="s">
        <v>26651</v>
      </c>
      <c r="Z5359" t="s">
        <v>26664</v>
      </c>
      <c r="AB5359" t="s">
        <v>31022</v>
      </c>
      <c r="AC5359" t="s">
        <v>35987</v>
      </c>
      <c r="AD5359" t="s">
        <v>41265</v>
      </c>
      <c r="AE5359">
        <v>0</v>
      </c>
      <c r="AF5359" t="s">
        <v>45550</v>
      </c>
      <c r="AG5359" t="s">
        <v>19330</v>
      </c>
      <c r="AH5359">
        <v>40</v>
      </c>
      <c r="AI5359">
        <v>2</v>
      </c>
      <c r="AJ5359">
        <v>2</v>
      </c>
      <c r="AK5359">
        <v>55.53</v>
      </c>
      <c r="AN5359" t="s">
        <v>7439</v>
      </c>
      <c r="AO5359">
        <v>14300</v>
      </c>
      <c r="AU5359">
        <v>0</v>
      </c>
      <c r="AW5359" t="s">
        <v>46875</v>
      </c>
    </row>
    <row r="5360" spans="1:50">
      <c r="A5360" s="1">
        <f>HYPERLINK("https://lsnyc.legalserver.org/matter/dynamic-profile/view/1890360","19-1890360")</f>
        <v>0</v>
      </c>
      <c r="B5360" t="s">
        <v>173</v>
      </c>
      <c r="C5360" t="s">
        <v>340</v>
      </c>
      <c r="D5360" t="s">
        <v>690</v>
      </c>
      <c r="F5360" t="s">
        <v>887</v>
      </c>
      <c r="G5360" t="s">
        <v>5208</v>
      </c>
      <c r="H5360" t="s">
        <v>13662</v>
      </c>
      <c r="I5360" t="s">
        <v>17325</v>
      </c>
      <c r="J5360" t="s">
        <v>18893</v>
      </c>
      <c r="K5360">
        <v>10032</v>
      </c>
      <c r="L5360" t="s">
        <v>18958</v>
      </c>
      <c r="M5360" t="s">
        <v>18958</v>
      </c>
      <c r="N5360" t="s">
        <v>23003</v>
      </c>
      <c r="O5360" t="s">
        <v>26523</v>
      </c>
      <c r="P5360" t="s">
        <v>26564</v>
      </c>
      <c r="R5360" t="s">
        <v>26582</v>
      </c>
      <c r="S5360" t="s">
        <v>18959</v>
      </c>
      <c r="U5360" t="s">
        <v>26604</v>
      </c>
      <c r="V5360" t="s">
        <v>26610</v>
      </c>
      <c r="W5360" t="s">
        <v>690</v>
      </c>
      <c r="X5360">
        <v>1500</v>
      </c>
      <c r="Y5360" t="s">
        <v>26651</v>
      </c>
      <c r="Z5360" t="s">
        <v>26664</v>
      </c>
      <c r="AB5360" t="s">
        <v>31023</v>
      </c>
      <c r="AD5360" t="s">
        <v>41266</v>
      </c>
      <c r="AE5360">
        <v>0</v>
      </c>
      <c r="AF5360" t="s">
        <v>45541</v>
      </c>
      <c r="AG5360" t="s">
        <v>45559</v>
      </c>
      <c r="AH5360">
        <v>14</v>
      </c>
      <c r="AI5360">
        <v>1</v>
      </c>
      <c r="AJ5360">
        <v>0</v>
      </c>
      <c r="AK5360">
        <v>158.33</v>
      </c>
      <c r="AN5360" t="s">
        <v>45581</v>
      </c>
      <c r="AO5360">
        <v>19776</v>
      </c>
      <c r="AU5360">
        <v>0</v>
      </c>
      <c r="AW5360" t="s">
        <v>46835</v>
      </c>
    </row>
    <row r="5361" spans="1:50">
      <c r="A5361" s="1">
        <f>HYPERLINK("https://lsnyc.legalserver.org/matter/dynamic-profile/view/1890396","19-1890396")</f>
        <v>0</v>
      </c>
      <c r="B5361" t="s">
        <v>173</v>
      </c>
      <c r="C5361" t="s">
        <v>340</v>
      </c>
      <c r="D5361" t="s">
        <v>690</v>
      </c>
      <c r="F5361" t="s">
        <v>868</v>
      </c>
      <c r="G5361" t="s">
        <v>3283</v>
      </c>
      <c r="H5361" t="s">
        <v>13663</v>
      </c>
      <c r="I5361">
        <v>51</v>
      </c>
      <c r="J5361" t="s">
        <v>18893</v>
      </c>
      <c r="K5361">
        <v>10032</v>
      </c>
      <c r="L5361" t="s">
        <v>18958</v>
      </c>
      <c r="M5361" t="s">
        <v>18958</v>
      </c>
      <c r="N5361" t="s">
        <v>23004</v>
      </c>
      <c r="O5361" t="s">
        <v>26524</v>
      </c>
      <c r="P5361" t="s">
        <v>26564</v>
      </c>
      <c r="R5361" t="s">
        <v>26582</v>
      </c>
      <c r="S5361" t="s">
        <v>18959</v>
      </c>
      <c r="U5361" t="s">
        <v>26604</v>
      </c>
      <c r="V5361" t="s">
        <v>26610</v>
      </c>
      <c r="W5361" t="s">
        <v>690</v>
      </c>
      <c r="X5361">
        <v>892</v>
      </c>
      <c r="Y5361" t="s">
        <v>26651</v>
      </c>
      <c r="Z5361" t="s">
        <v>26664</v>
      </c>
      <c r="AB5361" t="s">
        <v>31024</v>
      </c>
      <c r="AD5361" t="s">
        <v>41267</v>
      </c>
      <c r="AE5361">
        <v>57</v>
      </c>
      <c r="AF5361" t="s">
        <v>20460</v>
      </c>
      <c r="AG5361" t="s">
        <v>45559</v>
      </c>
      <c r="AH5361">
        <v>40</v>
      </c>
      <c r="AI5361">
        <v>1</v>
      </c>
      <c r="AJ5361">
        <v>0</v>
      </c>
      <c r="AK5361">
        <v>160.13</v>
      </c>
      <c r="AN5361" t="s">
        <v>7439</v>
      </c>
      <c r="AO5361">
        <v>20000</v>
      </c>
      <c r="AU5361">
        <v>0</v>
      </c>
      <c r="AW5361" t="s">
        <v>46835</v>
      </c>
    </row>
    <row r="5362" spans="1:50">
      <c r="A5362" s="1">
        <f>HYPERLINK("https://lsnyc.legalserver.org/matter/dynamic-profile/view/1890643","19-1890643")</f>
        <v>0</v>
      </c>
      <c r="B5362" t="s">
        <v>211</v>
      </c>
      <c r="C5362" t="s">
        <v>340</v>
      </c>
      <c r="D5362" t="s">
        <v>745</v>
      </c>
      <c r="F5362" t="s">
        <v>1072</v>
      </c>
      <c r="G5362" t="s">
        <v>7639</v>
      </c>
      <c r="H5362" t="s">
        <v>10439</v>
      </c>
      <c r="I5362" t="s">
        <v>17330</v>
      </c>
      <c r="J5362" t="s">
        <v>18894</v>
      </c>
      <c r="K5362">
        <v>11216</v>
      </c>
      <c r="L5362" t="s">
        <v>18958</v>
      </c>
      <c r="M5362" t="s">
        <v>18958</v>
      </c>
      <c r="N5362" t="s">
        <v>23005</v>
      </c>
      <c r="O5362" t="s">
        <v>26534</v>
      </c>
      <c r="P5362" t="s">
        <v>26565</v>
      </c>
      <c r="R5362" t="s">
        <v>26583</v>
      </c>
      <c r="U5362" t="s">
        <v>26604</v>
      </c>
      <c r="V5362" t="s">
        <v>26612</v>
      </c>
      <c r="W5362" t="s">
        <v>690</v>
      </c>
      <c r="X5362">
        <v>1381.47</v>
      </c>
      <c r="Y5362" t="s">
        <v>26652</v>
      </c>
      <c r="Z5362" t="s">
        <v>26655</v>
      </c>
      <c r="AB5362" t="s">
        <v>27452</v>
      </c>
      <c r="AD5362" t="s">
        <v>41268</v>
      </c>
      <c r="AE5362">
        <v>0</v>
      </c>
      <c r="AG5362" t="s">
        <v>19330</v>
      </c>
      <c r="AH5362">
        <v>9</v>
      </c>
      <c r="AI5362">
        <v>1</v>
      </c>
      <c r="AJ5362">
        <v>0</v>
      </c>
      <c r="AK5362">
        <v>720.58</v>
      </c>
      <c r="AN5362" t="s">
        <v>7439</v>
      </c>
      <c r="AO5362">
        <v>90000</v>
      </c>
      <c r="AU5362">
        <v>12.4</v>
      </c>
      <c r="AV5362" t="s">
        <v>772</v>
      </c>
      <c r="AW5362" t="s">
        <v>279</v>
      </c>
    </row>
    <row r="5363" spans="1:50">
      <c r="A5363" s="1">
        <f>HYPERLINK("https://lsnyc.legalserver.org/matter/dynamic-profile/view/1890543","19-1890543")</f>
        <v>0</v>
      </c>
      <c r="B5363" t="s">
        <v>95</v>
      </c>
      <c r="C5363" t="s">
        <v>340</v>
      </c>
      <c r="D5363" t="s">
        <v>745</v>
      </c>
      <c r="F5363" t="s">
        <v>3384</v>
      </c>
      <c r="G5363" t="s">
        <v>5079</v>
      </c>
      <c r="H5363" t="s">
        <v>12646</v>
      </c>
      <c r="I5363" t="s">
        <v>17436</v>
      </c>
      <c r="J5363" t="s">
        <v>18894</v>
      </c>
      <c r="K5363">
        <v>11233</v>
      </c>
      <c r="L5363" t="s">
        <v>18958</v>
      </c>
      <c r="M5363" t="s">
        <v>18959</v>
      </c>
      <c r="O5363" t="s">
        <v>26534</v>
      </c>
      <c r="P5363" t="s">
        <v>26561</v>
      </c>
      <c r="R5363" t="s">
        <v>26578</v>
      </c>
      <c r="S5363" t="s">
        <v>18958</v>
      </c>
      <c r="U5363" t="s">
        <v>26604</v>
      </c>
      <c r="V5363" t="s">
        <v>26610</v>
      </c>
      <c r="W5363" t="s">
        <v>690</v>
      </c>
      <c r="X5363">
        <v>300</v>
      </c>
      <c r="Y5363" t="s">
        <v>26652</v>
      </c>
      <c r="Z5363" t="s">
        <v>26666</v>
      </c>
      <c r="AB5363" t="s">
        <v>31025</v>
      </c>
      <c r="AE5363">
        <v>359</v>
      </c>
      <c r="AF5363" t="s">
        <v>45541</v>
      </c>
      <c r="AG5363" t="s">
        <v>45556</v>
      </c>
      <c r="AH5363">
        <v>50</v>
      </c>
      <c r="AI5363">
        <v>2</v>
      </c>
      <c r="AJ5363">
        <v>0</v>
      </c>
      <c r="AK5363">
        <v>40.21</v>
      </c>
      <c r="AN5363" t="s">
        <v>7439</v>
      </c>
      <c r="AO5363">
        <v>6800</v>
      </c>
      <c r="AP5363" t="s">
        <v>45850</v>
      </c>
      <c r="AU5363">
        <v>0</v>
      </c>
      <c r="AW5363" t="s">
        <v>279</v>
      </c>
    </row>
    <row r="5364" spans="1:50">
      <c r="A5364" s="1">
        <f>HYPERLINK("https://lsnyc.legalserver.org/matter/dynamic-profile/view/1890532","19-1890532")</f>
        <v>0</v>
      </c>
      <c r="B5364" t="s">
        <v>95</v>
      </c>
      <c r="C5364" t="s">
        <v>340</v>
      </c>
      <c r="D5364" t="s">
        <v>745</v>
      </c>
      <c r="F5364" t="s">
        <v>974</v>
      </c>
      <c r="G5364" t="s">
        <v>7640</v>
      </c>
      <c r="H5364" t="s">
        <v>9692</v>
      </c>
      <c r="I5364" t="s">
        <v>17540</v>
      </c>
      <c r="J5364" t="s">
        <v>18894</v>
      </c>
      <c r="K5364">
        <v>11233</v>
      </c>
      <c r="L5364" t="s">
        <v>18958</v>
      </c>
      <c r="M5364" t="s">
        <v>18959</v>
      </c>
      <c r="N5364" t="s">
        <v>19045</v>
      </c>
      <c r="O5364" t="s">
        <v>26534</v>
      </c>
      <c r="P5364" t="s">
        <v>26561</v>
      </c>
      <c r="R5364" t="s">
        <v>26578</v>
      </c>
      <c r="S5364" t="s">
        <v>18958</v>
      </c>
      <c r="U5364" t="s">
        <v>26604</v>
      </c>
      <c r="V5364" t="s">
        <v>26610</v>
      </c>
      <c r="W5364" t="s">
        <v>690</v>
      </c>
      <c r="X5364">
        <v>923</v>
      </c>
      <c r="Y5364" t="s">
        <v>26652</v>
      </c>
      <c r="AB5364" t="s">
        <v>31026</v>
      </c>
      <c r="AE5364">
        <v>359</v>
      </c>
      <c r="AF5364" t="s">
        <v>45541</v>
      </c>
      <c r="AG5364" t="s">
        <v>45556</v>
      </c>
      <c r="AH5364">
        <v>0</v>
      </c>
      <c r="AI5364">
        <v>2</v>
      </c>
      <c r="AJ5364">
        <v>2</v>
      </c>
      <c r="AK5364">
        <v>43.01</v>
      </c>
      <c r="AN5364" t="s">
        <v>7439</v>
      </c>
      <c r="AO5364">
        <v>11076</v>
      </c>
      <c r="AP5364" t="s">
        <v>45851</v>
      </c>
      <c r="AU5364">
        <v>0</v>
      </c>
      <c r="AW5364" t="s">
        <v>279</v>
      </c>
    </row>
    <row r="5365" spans="1:50">
      <c r="A5365" s="1">
        <f>HYPERLINK("https://lsnyc.legalserver.org/matter/dynamic-profile/view/1890555","19-1890555")</f>
        <v>0</v>
      </c>
      <c r="B5365" t="s">
        <v>95</v>
      </c>
      <c r="C5365" t="s">
        <v>340</v>
      </c>
      <c r="D5365" t="s">
        <v>745</v>
      </c>
      <c r="F5365" t="s">
        <v>3385</v>
      </c>
      <c r="G5365" t="s">
        <v>7641</v>
      </c>
      <c r="H5365" t="s">
        <v>9692</v>
      </c>
      <c r="I5365" t="s">
        <v>18209</v>
      </c>
      <c r="J5365" t="s">
        <v>18894</v>
      </c>
      <c r="K5365">
        <v>11233</v>
      </c>
      <c r="L5365" t="s">
        <v>18958</v>
      </c>
      <c r="M5365" t="s">
        <v>18959</v>
      </c>
      <c r="O5365" t="s">
        <v>26534</v>
      </c>
      <c r="P5365" t="s">
        <v>26561</v>
      </c>
      <c r="R5365" t="s">
        <v>26578</v>
      </c>
      <c r="S5365" t="s">
        <v>18958</v>
      </c>
      <c r="U5365" t="s">
        <v>26604</v>
      </c>
      <c r="V5365" t="s">
        <v>26610</v>
      </c>
      <c r="W5365" t="s">
        <v>690</v>
      </c>
      <c r="X5365">
        <v>915</v>
      </c>
      <c r="Y5365" t="s">
        <v>26652</v>
      </c>
      <c r="Z5365" t="s">
        <v>26530</v>
      </c>
      <c r="AB5365" t="s">
        <v>31027</v>
      </c>
      <c r="AE5365">
        <v>359</v>
      </c>
      <c r="AF5365" t="s">
        <v>45541</v>
      </c>
      <c r="AG5365" t="s">
        <v>19330</v>
      </c>
      <c r="AH5365">
        <v>6</v>
      </c>
      <c r="AI5365">
        <v>2</v>
      </c>
      <c r="AJ5365">
        <v>2</v>
      </c>
      <c r="AK5365">
        <v>46.6</v>
      </c>
      <c r="AN5365" t="s">
        <v>7439</v>
      </c>
      <c r="AO5365">
        <v>12000</v>
      </c>
      <c r="AP5365" t="s">
        <v>45852</v>
      </c>
      <c r="AU5365">
        <v>0</v>
      </c>
      <c r="AW5365" t="s">
        <v>286</v>
      </c>
    </row>
    <row r="5366" spans="1:50">
      <c r="A5366" s="1">
        <f>HYPERLINK("https://lsnyc.legalserver.org/matter/dynamic-profile/view/1890637","19-1890637")</f>
        <v>0</v>
      </c>
      <c r="B5366" t="s">
        <v>95</v>
      </c>
      <c r="C5366" t="s">
        <v>340</v>
      </c>
      <c r="D5366" t="s">
        <v>745</v>
      </c>
      <c r="F5366" t="s">
        <v>1010</v>
      </c>
      <c r="G5366" t="s">
        <v>4239</v>
      </c>
      <c r="H5366" t="s">
        <v>12646</v>
      </c>
      <c r="I5366" t="s">
        <v>17639</v>
      </c>
      <c r="J5366" t="s">
        <v>18894</v>
      </c>
      <c r="K5366">
        <v>11233</v>
      </c>
      <c r="L5366" t="s">
        <v>18958</v>
      </c>
      <c r="M5366" t="s">
        <v>18959</v>
      </c>
      <c r="N5366" t="s">
        <v>19045</v>
      </c>
      <c r="O5366" t="s">
        <v>26534</v>
      </c>
      <c r="P5366" t="s">
        <v>26561</v>
      </c>
      <c r="R5366" t="s">
        <v>26578</v>
      </c>
      <c r="S5366" t="s">
        <v>18958</v>
      </c>
      <c r="U5366" t="s">
        <v>26604</v>
      </c>
      <c r="V5366" t="s">
        <v>26610</v>
      </c>
      <c r="W5366" t="s">
        <v>690</v>
      </c>
      <c r="X5366">
        <v>1148.69</v>
      </c>
      <c r="Y5366" t="s">
        <v>26652</v>
      </c>
      <c r="Z5366" t="s">
        <v>26530</v>
      </c>
      <c r="AB5366" t="s">
        <v>31028</v>
      </c>
      <c r="AC5366" t="s">
        <v>19045</v>
      </c>
      <c r="AE5366">
        <v>359</v>
      </c>
      <c r="AF5366" t="s">
        <v>45541</v>
      </c>
      <c r="AG5366" t="s">
        <v>19330</v>
      </c>
      <c r="AH5366">
        <v>34</v>
      </c>
      <c r="AI5366">
        <v>1</v>
      </c>
      <c r="AJ5366">
        <v>0</v>
      </c>
      <c r="AK5366">
        <v>166.73</v>
      </c>
      <c r="AN5366" t="s">
        <v>7439</v>
      </c>
      <c r="AO5366">
        <v>20824.62</v>
      </c>
      <c r="AP5366" t="s">
        <v>45853</v>
      </c>
      <c r="AU5366">
        <v>0</v>
      </c>
      <c r="AW5366" t="s">
        <v>286</v>
      </c>
      <c r="AX5366" t="s">
        <v>19330</v>
      </c>
    </row>
    <row r="5367" spans="1:50">
      <c r="A5367" s="1">
        <f>HYPERLINK("https://lsnyc.legalserver.org/matter/dynamic-profile/view/1890630","19-1890630")</f>
        <v>0</v>
      </c>
      <c r="B5367" t="s">
        <v>95</v>
      </c>
      <c r="C5367" t="s">
        <v>340</v>
      </c>
      <c r="D5367" t="s">
        <v>745</v>
      </c>
      <c r="F5367" t="s">
        <v>2086</v>
      </c>
      <c r="G5367" t="s">
        <v>7642</v>
      </c>
      <c r="H5367" t="s">
        <v>9692</v>
      </c>
      <c r="I5367" t="s">
        <v>17825</v>
      </c>
      <c r="J5367" t="s">
        <v>18894</v>
      </c>
      <c r="K5367">
        <v>11233</v>
      </c>
      <c r="L5367" t="s">
        <v>18958</v>
      </c>
      <c r="M5367" t="s">
        <v>18959</v>
      </c>
      <c r="O5367" t="s">
        <v>26534</v>
      </c>
      <c r="P5367" t="s">
        <v>26561</v>
      </c>
      <c r="R5367" t="s">
        <v>26578</v>
      </c>
      <c r="S5367" t="s">
        <v>18958</v>
      </c>
      <c r="U5367" t="s">
        <v>26604</v>
      </c>
      <c r="V5367" t="s">
        <v>26610</v>
      </c>
      <c r="W5367" t="s">
        <v>690</v>
      </c>
      <c r="X5367">
        <v>1200</v>
      </c>
      <c r="Y5367" t="s">
        <v>26652</v>
      </c>
      <c r="Z5367" t="s">
        <v>26530</v>
      </c>
      <c r="AB5367" t="s">
        <v>31029</v>
      </c>
      <c r="AE5367">
        <v>359</v>
      </c>
      <c r="AF5367" t="s">
        <v>45541</v>
      </c>
      <c r="AG5367" t="s">
        <v>19330</v>
      </c>
      <c r="AH5367">
        <v>10</v>
      </c>
      <c r="AI5367">
        <v>3</v>
      </c>
      <c r="AJ5367">
        <v>1</v>
      </c>
      <c r="AK5367">
        <v>174.76</v>
      </c>
      <c r="AN5367" t="s">
        <v>7439</v>
      </c>
      <c r="AO5367">
        <v>45000</v>
      </c>
      <c r="AP5367" t="s">
        <v>45853</v>
      </c>
      <c r="AU5367">
        <v>0</v>
      </c>
      <c r="AW5367" t="s">
        <v>286</v>
      </c>
    </row>
    <row r="5368" spans="1:50">
      <c r="A5368" s="1">
        <f>HYPERLINK("https://lsnyc.legalserver.org/matter/dynamic-profile/view/1890579","19-1890579")</f>
        <v>0</v>
      </c>
      <c r="B5368" t="s">
        <v>95</v>
      </c>
      <c r="C5368" t="s">
        <v>340</v>
      </c>
      <c r="D5368" t="s">
        <v>745</v>
      </c>
      <c r="F5368" t="s">
        <v>1706</v>
      </c>
      <c r="G5368" t="s">
        <v>7643</v>
      </c>
      <c r="H5368" t="s">
        <v>9692</v>
      </c>
      <c r="I5368" t="s">
        <v>18210</v>
      </c>
      <c r="J5368" t="s">
        <v>18894</v>
      </c>
      <c r="K5368">
        <v>11233</v>
      </c>
      <c r="L5368" t="s">
        <v>18958</v>
      </c>
      <c r="M5368" t="s">
        <v>18959</v>
      </c>
      <c r="N5368" t="s">
        <v>19330</v>
      </c>
      <c r="O5368" t="s">
        <v>26534</v>
      </c>
      <c r="P5368" t="s">
        <v>26561</v>
      </c>
      <c r="R5368" t="s">
        <v>26578</v>
      </c>
      <c r="S5368" t="s">
        <v>18958</v>
      </c>
      <c r="U5368" t="s">
        <v>26604</v>
      </c>
      <c r="V5368" t="s">
        <v>26610</v>
      </c>
      <c r="W5368" t="s">
        <v>690</v>
      </c>
      <c r="X5368">
        <v>965.96</v>
      </c>
      <c r="Y5368" t="s">
        <v>26652</v>
      </c>
      <c r="Z5368" t="s">
        <v>26666</v>
      </c>
      <c r="AB5368" t="s">
        <v>31030</v>
      </c>
      <c r="AE5368">
        <v>359</v>
      </c>
      <c r="AF5368" t="s">
        <v>45541</v>
      </c>
      <c r="AH5368">
        <v>42</v>
      </c>
      <c r="AI5368">
        <v>1</v>
      </c>
      <c r="AJ5368">
        <v>0</v>
      </c>
      <c r="AK5368">
        <v>192.53</v>
      </c>
      <c r="AN5368" t="s">
        <v>7439</v>
      </c>
      <c r="AO5368">
        <v>24046.8</v>
      </c>
      <c r="AP5368" t="s">
        <v>45854</v>
      </c>
      <c r="AU5368">
        <v>0</v>
      </c>
      <c r="AW5368" t="s">
        <v>279</v>
      </c>
    </row>
    <row r="5369" spans="1:50">
      <c r="A5369" s="1">
        <f>HYPERLINK("https://lsnyc.legalserver.org/matter/dynamic-profile/view/1890540","19-1890540")</f>
        <v>0</v>
      </c>
      <c r="B5369" t="s">
        <v>95</v>
      </c>
      <c r="C5369" t="s">
        <v>340</v>
      </c>
      <c r="D5369" t="s">
        <v>745</v>
      </c>
      <c r="F5369" t="s">
        <v>1745</v>
      </c>
      <c r="G5369" t="s">
        <v>7644</v>
      </c>
      <c r="H5369" t="s">
        <v>9692</v>
      </c>
      <c r="I5369" t="s">
        <v>17281</v>
      </c>
      <c r="J5369" t="s">
        <v>18894</v>
      </c>
      <c r="K5369">
        <v>11233</v>
      </c>
      <c r="L5369" t="s">
        <v>18958</v>
      </c>
      <c r="M5369" t="s">
        <v>18959</v>
      </c>
      <c r="N5369" t="s">
        <v>19330</v>
      </c>
      <c r="O5369" t="s">
        <v>26534</v>
      </c>
      <c r="P5369" t="s">
        <v>26561</v>
      </c>
      <c r="R5369" t="s">
        <v>26578</v>
      </c>
      <c r="S5369" t="s">
        <v>18958</v>
      </c>
      <c r="U5369" t="s">
        <v>26604</v>
      </c>
      <c r="V5369" t="s">
        <v>26610</v>
      </c>
      <c r="W5369" t="s">
        <v>690</v>
      </c>
      <c r="X5369">
        <v>950</v>
      </c>
      <c r="Y5369" t="s">
        <v>26652</v>
      </c>
      <c r="Z5369" t="s">
        <v>26666</v>
      </c>
      <c r="AB5369" t="s">
        <v>31031</v>
      </c>
      <c r="AE5369">
        <v>359</v>
      </c>
      <c r="AF5369" t="s">
        <v>45541</v>
      </c>
      <c r="AG5369" t="s">
        <v>19330</v>
      </c>
      <c r="AH5369">
        <v>15</v>
      </c>
      <c r="AI5369">
        <v>4</v>
      </c>
      <c r="AJ5369">
        <v>0</v>
      </c>
      <c r="AK5369">
        <v>193.03</v>
      </c>
      <c r="AN5369" t="s">
        <v>7439</v>
      </c>
      <c r="AO5369">
        <v>49705</v>
      </c>
      <c r="AP5369" t="s">
        <v>45850</v>
      </c>
      <c r="AU5369">
        <v>0</v>
      </c>
      <c r="AW5369" t="s">
        <v>279</v>
      </c>
    </row>
    <row r="5370" spans="1:50">
      <c r="A5370" s="1">
        <f>HYPERLINK("https://lsnyc.legalserver.org/matter/dynamic-profile/view/1890535","19-1890535")</f>
        <v>0</v>
      </c>
      <c r="B5370" t="s">
        <v>95</v>
      </c>
      <c r="C5370" t="s">
        <v>340</v>
      </c>
      <c r="D5370" t="s">
        <v>745</v>
      </c>
      <c r="F5370" t="s">
        <v>3386</v>
      </c>
      <c r="G5370" t="s">
        <v>5141</v>
      </c>
      <c r="H5370" t="s">
        <v>12646</v>
      </c>
      <c r="I5370" t="s">
        <v>18211</v>
      </c>
      <c r="J5370" t="s">
        <v>18894</v>
      </c>
      <c r="K5370">
        <v>11233</v>
      </c>
      <c r="L5370" t="s">
        <v>18958</v>
      </c>
      <c r="M5370" t="s">
        <v>18959</v>
      </c>
      <c r="N5370" t="s">
        <v>18997</v>
      </c>
      <c r="O5370" t="s">
        <v>26534</v>
      </c>
      <c r="P5370" t="s">
        <v>26561</v>
      </c>
      <c r="R5370" t="s">
        <v>26578</v>
      </c>
      <c r="S5370" t="s">
        <v>18958</v>
      </c>
      <c r="U5370" t="s">
        <v>26604</v>
      </c>
      <c r="V5370" t="s">
        <v>26610</v>
      </c>
      <c r="W5370" t="s">
        <v>690</v>
      </c>
      <c r="X5370">
        <v>1121</v>
      </c>
      <c r="Y5370" t="s">
        <v>26652</v>
      </c>
      <c r="Z5370" t="s">
        <v>26530</v>
      </c>
      <c r="AB5370" t="s">
        <v>31032</v>
      </c>
      <c r="AC5370" t="s">
        <v>19330</v>
      </c>
      <c r="AE5370">
        <v>359</v>
      </c>
      <c r="AF5370" t="s">
        <v>45541</v>
      </c>
      <c r="AG5370" t="s">
        <v>19330</v>
      </c>
      <c r="AH5370">
        <v>4</v>
      </c>
      <c r="AI5370">
        <v>3</v>
      </c>
      <c r="AJ5370">
        <v>0</v>
      </c>
      <c r="AK5370">
        <v>209.07</v>
      </c>
      <c r="AL5370" t="s">
        <v>672</v>
      </c>
      <c r="AM5370" t="s">
        <v>45575</v>
      </c>
      <c r="AN5370" t="s">
        <v>7439</v>
      </c>
      <c r="AO5370">
        <v>44595</v>
      </c>
      <c r="AP5370" t="s">
        <v>45855</v>
      </c>
      <c r="AU5370">
        <v>0</v>
      </c>
      <c r="AW5370" t="s">
        <v>279</v>
      </c>
      <c r="AX5370" t="s">
        <v>19330</v>
      </c>
    </row>
    <row r="5371" spans="1:50">
      <c r="A5371" s="1">
        <f>HYPERLINK("https://lsnyc.legalserver.org/matter/dynamic-profile/view/1890561","19-1890561")</f>
        <v>0</v>
      </c>
      <c r="B5371" t="s">
        <v>95</v>
      </c>
      <c r="C5371" t="s">
        <v>340</v>
      </c>
      <c r="D5371" t="s">
        <v>745</v>
      </c>
      <c r="F5371" t="s">
        <v>1116</v>
      </c>
      <c r="G5371" t="s">
        <v>7645</v>
      </c>
      <c r="H5371" t="s">
        <v>9692</v>
      </c>
      <c r="I5371" t="s">
        <v>18212</v>
      </c>
      <c r="J5371" t="s">
        <v>18894</v>
      </c>
      <c r="K5371">
        <v>11233</v>
      </c>
      <c r="L5371" t="s">
        <v>18958</v>
      </c>
      <c r="M5371" t="s">
        <v>18959</v>
      </c>
      <c r="O5371" t="s">
        <v>26534</v>
      </c>
      <c r="P5371" t="s">
        <v>26561</v>
      </c>
      <c r="R5371" t="s">
        <v>26578</v>
      </c>
      <c r="S5371" t="s">
        <v>18958</v>
      </c>
      <c r="U5371" t="s">
        <v>26604</v>
      </c>
      <c r="V5371" t="s">
        <v>26610</v>
      </c>
      <c r="W5371" t="s">
        <v>690</v>
      </c>
      <c r="X5371">
        <v>1031.53</v>
      </c>
      <c r="Y5371" t="s">
        <v>26652</v>
      </c>
      <c r="Z5371" t="s">
        <v>26530</v>
      </c>
      <c r="AB5371" t="s">
        <v>31033</v>
      </c>
      <c r="AE5371">
        <v>359</v>
      </c>
      <c r="AF5371" t="s">
        <v>45541</v>
      </c>
      <c r="AG5371" t="s">
        <v>19330</v>
      </c>
      <c r="AH5371">
        <v>21</v>
      </c>
      <c r="AI5371">
        <v>2</v>
      </c>
      <c r="AJ5371">
        <v>3</v>
      </c>
      <c r="AK5371">
        <v>222.07</v>
      </c>
      <c r="AN5371" t="s">
        <v>7439</v>
      </c>
      <c r="AO5371">
        <v>67000</v>
      </c>
      <c r="AP5371" t="s">
        <v>45853</v>
      </c>
      <c r="AU5371">
        <v>0</v>
      </c>
      <c r="AW5371" t="s">
        <v>286</v>
      </c>
    </row>
    <row r="5372" spans="1:50">
      <c r="A5372" s="1">
        <f>HYPERLINK("https://lsnyc.legalserver.org/matter/dynamic-profile/view/1890584","19-1890584")</f>
        <v>0</v>
      </c>
      <c r="B5372" t="s">
        <v>95</v>
      </c>
      <c r="C5372" t="s">
        <v>340</v>
      </c>
      <c r="D5372" t="s">
        <v>745</v>
      </c>
      <c r="F5372" t="s">
        <v>1025</v>
      </c>
      <c r="G5372" t="s">
        <v>7646</v>
      </c>
      <c r="H5372" t="s">
        <v>12646</v>
      </c>
      <c r="I5372" t="s">
        <v>17712</v>
      </c>
      <c r="J5372" t="s">
        <v>18894</v>
      </c>
      <c r="K5372">
        <v>11233</v>
      </c>
      <c r="L5372" t="s">
        <v>18958</v>
      </c>
      <c r="M5372" t="s">
        <v>18959</v>
      </c>
      <c r="O5372" t="s">
        <v>26534</v>
      </c>
      <c r="P5372" t="s">
        <v>26561</v>
      </c>
      <c r="R5372" t="s">
        <v>26578</v>
      </c>
      <c r="S5372" t="s">
        <v>18958</v>
      </c>
      <c r="U5372" t="s">
        <v>26604</v>
      </c>
      <c r="V5372" t="s">
        <v>26610</v>
      </c>
      <c r="W5372" t="s">
        <v>690</v>
      </c>
      <c r="X5372">
        <v>1189.18</v>
      </c>
      <c r="Y5372" t="s">
        <v>26652</v>
      </c>
      <c r="Z5372" t="s">
        <v>26530</v>
      </c>
      <c r="AB5372" t="s">
        <v>31034</v>
      </c>
      <c r="AE5372">
        <v>359</v>
      </c>
      <c r="AF5372" t="s">
        <v>45541</v>
      </c>
      <c r="AG5372" t="s">
        <v>19330</v>
      </c>
      <c r="AH5372">
        <v>44</v>
      </c>
      <c r="AI5372">
        <v>2</v>
      </c>
      <c r="AJ5372">
        <v>0</v>
      </c>
      <c r="AK5372">
        <v>325.25</v>
      </c>
      <c r="AN5372" t="s">
        <v>7439</v>
      </c>
      <c r="AO5372">
        <v>55000</v>
      </c>
      <c r="AP5372" t="s">
        <v>45853</v>
      </c>
      <c r="AU5372">
        <v>0</v>
      </c>
      <c r="AW5372" t="s">
        <v>286</v>
      </c>
    </row>
    <row r="5373" spans="1:50">
      <c r="A5373" s="1">
        <f>HYPERLINK("https://lsnyc.legalserver.org/matter/dynamic-profile/view/1890567","19-1890567")</f>
        <v>0</v>
      </c>
      <c r="B5373" t="s">
        <v>95</v>
      </c>
      <c r="C5373" t="s">
        <v>340</v>
      </c>
      <c r="D5373" t="s">
        <v>745</v>
      </c>
      <c r="F5373" t="s">
        <v>1197</v>
      </c>
      <c r="G5373" t="s">
        <v>5454</v>
      </c>
      <c r="H5373" t="s">
        <v>9692</v>
      </c>
      <c r="I5373" t="s">
        <v>18036</v>
      </c>
      <c r="J5373" t="s">
        <v>18894</v>
      </c>
      <c r="K5373">
        <v>11233</v>
      </c>
      <c r="L5373" t="s">
        <v>18958</v>
      </c>
      <c r="M5373" t="s">
        <v>18959</v>
      </c>
      <c r="O5373" t="s">
        <v>26534</v>
      </c>
      <c r="P5373" t="s">
        <v>26561</v>
      </c>
      <c r="R5373" t="s">
        <v>26578</v>
      </c>
      <c r="S5373" t="s">
        <v>18958</v>
      </c>
      <c r="U5373" t="s">
        <v>26604</v>
      </c>
      <c r="V5373" t="s">
        <v>26610</v>
      </c>
      <c r="W5373" t="s">
        <v>690</v>
      </c>
      <c r="X5373">
        <v>1108.41</v>
      </c>
      <c r="Y5373" t="s">
        <v>26652</v>
      </c>
      <c r="Z5373" t="s">
        <v>26530</v>
      </c>
      <c r="AB5373" t="s">
        <v>28765</v>
      </c>
      <c r="AE5373">
        <v>359</v>
      </c>
      <c r="AF5373" t="s">
        <v>45541</v>
      </c>
      <c r="AG5373" t="s">
        <v>19330</v>
      </c>
      <c r="AH5373">
        <v>38</v>
      </c>
      <c r="AI5373">
        <v>2</v>
      </c>
      <c r="AJ5373">
        <v>0</v>
      </c>
      <c r="AK5373">
        <v>329.64</v>
      </c>
      <c r="AN5373" t="s">
        <v>7439</v>
      </c>
      <c r="AO5373">
        <v>55742</v>
      </c>
      <c r="AP5373" t="s">
        <v>45853</v>
      </c>
      <c r="AU5373">
        <v>0</v>
      </c>
      <c r="AW5373" t="s">
        <v>286</v>
      </c>
    </row>
    <row r="5374" spans="1:50">
      <c r="A5374" s="1">
        <f>HYPERLINK("https://lsnyc.legalserver.org/matter/dynamic-profile/view/1890628","19-1890628")</f>
        <v>0</v>
      </c>
      <c r="B5374" t="s">
        <v>95</v>
      </c>
      <c r="C5374" t="s">
        <v>340</v>
      </c>
      <c r="D5374" t="s">
        <v>745</v>
      </c>
      <c r="F5374" t="s">
        <v>1705</v>
      </c>
      <c r="G5374" t="s">
        <v>7647</v>
      </c>
      <c r="H5374" t="s">
        <v>12646</v>
      </c>
      <c r="I5374" t="s">
        <v>18213</v>
      </c>
      <c r="J5374" t="s">
        <v>18894</v>
      </c>
      <c r="K5374">
        <v>11233</v>
      </c>
      <c r="L5374" t="s">
        <v>18958</v>
      </c>
      <c r="M5374" t="s">
        <v>18959</v>
      </c>
      <c r="O5374" t="s">
        <v>26534</v>
      </c>
      <c r="P5374" t="s">
        <v>26561</v>
      </c>
      <c r="R5374" t="s">
        <v>26578</v>
      </c>
      <c r="S5374" t="s">
        <v>18958</v>
      </c>
      <c r="U5374" t="s">
        <v>26604</v>
      </c>
      <c r="V5374" t="s">
        <v>26610</v>
      </c>
      <c r="W5374" t="s">
        <v>690</v>
      </c>
      <c r="X5374">
        <v>1534.37</v>
      </c>
      <c r="Y5374" t="s">
        <v>26652</v>
      </c>
      <c r="Z5374" t="s">
        <v>26530</v>
      </c>
      <c r="AB5374" t="s">
        <v>31035</v>
      </c>
      <c r="AE5374">
        <v>359</v>
      </c>
      <c r="AF5374" t="s">
        <v>45541</v>
      </c>
      <c r="AG5374" t="s">
        <v>19330</v>
      </c>
      <c r="AH5374">
        <v>3</v>
      </c>
      <c r="AI5374">
        <v>2</v>
      </c>
      <c r="AJ5374">
        <v>0</v>
      </c>
      <c r="AK5374">
        <v>384.39</v>
      </c>
      <c r="AL5374" t="s">
        <v>672</v>
      </c>
      <c r="AM5374" t="s">
        <v>45575</v>
      </c>
      <c r="AN5374" t="s">
        <v>7439</v>
      </c>
      <c r="AO5374">
        <v>65000</v>
      </c>
      <c r="AP5374" t="s">
        <v>45856</v>
      </c>
      <c r="AU5374">
        <v>0</v>
      </c>
      <c r="AW5374" t="s">
        <v>286</v>
      </c>
    </row>
    <row r="5375" spans="1:50">
      <c r="A5375" s="1">
        <f>HYPERLINK("https://lsnyc.legalserver.org/matter/dynamic-profile/view/1890526","19-1890526")</f>
        <v>0</v>
      </c>
      <c r="B5375" t="s">
        <v>95</v>
      </c>
      <c r="C5375" t="s">
        <v>340</v>
      </c>
      <c r="D5375" t="s">
        <v>745</v>
      </c>
      <c r="F5375" t="s">
        <v>1820</v>
      </c>
      <c r="G5375" t="s">
        <v>4612</v>
      </c>
      <c r="H5375" t="s">
        <v>12646</v>
      </c>
      <c r="I5375" t="s">
        <v>17757</v>
      </c>
      <c r="J5375" t="s">
        <v>18894</v>
      </c>
      <c r="K5375">
        <v>11233</v>
      </c>
      <c r="L5375" t="s">
        <v>18958</v>
      </c>
      <c r="M5375" t="s">
        <v>18959</v>
      </c>
      <c r="N5375" t="s">
        <v>19045</v>
      </c>
      <c r="O5375" t="s">
        <v>26534</v>
      </c>
      <c r="P5375" t="s">
        <v>26561</v>
      </c>
      <c r="R5375" t="s">
        <v>26578</v>
      </c>
      <c r="S5375" t="s">
        <v>18958</v>
      </c>
      <c r="U5375" t="s">
        <v>26604</v>
      </c>
      <c r="V5375" t="s">
        <v>26610</v>
      </c>
      <c r="W5375" t="s">
        <v>690</v>
      </c>
      <c r="X5375">
        <v>1027</v>
      </c>
      <c r="Y5375" t="s">
        <v>26652</v>
      </c>
      <c r="Z5375" t="s">
        <v>26666</v>
      </c>
      <c r="AB5375" t="s">
        <v>31036</v>
      </c>
      <c r="AC5375" t="s">
        <v>19045</v>
      </c>
      <c r="AE5375">
        <v>359</v>
      </c>
      <c r="AF5375" t="s">
        <v>45541</v>
      </c>
      <c r="AG5375" t="s">
        <v>19330</v>
      </c>
      <c r="AH5375">
        <v>7</v>
      </c>
      <c r="AI5375">
        <v>2</v>
      </c>
      <c r="AJ5375">
        <v>0</v>
      </c>
      <c r="AK5375">
        <v>420.19</v>
      </c>
      <c r="AN5375" t="s">
        <v>7439</v>
      </c>
      <c r="AO5375">
        <v>71054</v>
      </c>
      <c r="AP5375" t="s">
        <v>45857</v>
      </c>
      <c r="AU5375">
        <v>0</v>
      </c>
      <c r="AW5375" t="s">
        <v>279</v>
      </c>
      <c r="AX5375" t="s">
        <v>19330</v>
      </c>
    </row>
    <row r="5376" spans="1:50">
      <c r="A5376" s="1">
        <f>HYPERLINK("https://lsnyc.legalserver.org/matter/dynamic-profile/view/1890550","19-1890550")</f>
        <v>0</v>
      </c>
      <c r="B5376" t="s">
        <v>95</v>
      </c>
      <c r="C5376" t="s">
        <v>340</v>
      </c>
      <c r="D5376" t="s">
        <v>745</v>
      </c>
      <c r="F5376" t="s">
        <v>3387</v>
      </c>
      <c r="G5376" t="s">
        <v>5079</v>
      </c>
      <c r="H5376" t="s">
        <v>12646</v>
      </c>
      <c r="I5376" t="s">
        <v>17283</v>
      </c>
      <c r="J5376" t="s">
        <v>18894</v>
      </c>
      <c r="K5376">
        <v>11233</v>
      </c>
      <c r="L5376" t="s">
        <v>18958</v>
      </c>
      <c r="M5376" t="s">
        <v>18959</v>
      </c>
      <c r="N5376" t="s">
        <v>19330</v>
      </c>
      <c r="O5376" t="s">
        <v>26534</v>
      </c>
      <c r="P5376" t="s">
        <v>26561</v>
      </c>
      <c r="R5376" t="s">
        <v>26578</v>
      </c>
      <c r="S5376" t="s">
        <v>18958</v>
      </c>
      <c r="U5376" t="s">
        <v>26604</v>
      </c>
      <c r="V5376" t="s">
        <v>26610</v>
      </c>
      <c r="W5376" t="s">
        <v>690</v>
      </c>
      <c r="X5376">
        <v>1016</v>
      </c>
      <c r="Y5376" t="s">
        <v>26652</v>
      </c>
      <c r="Z5376" t="s">
        <v>26666</v>
      </c>
      <c r="AB5376" t="s">
        <v>27284</v>
      </c>
      <c r="AE5376">
        <v>359</v>
      </c>
      <c r="AF5376" t="s">
        <v>45541</v>
      </c>
      <c r="AG5376" t="s">
        <v>19330</v>
      </c>
      <c r="AH5376">
        <v>30</v>
      </c>
      <c r="AI5376">
        <v>2</v>
      </c>
      <c r="AJ5376">
        <v>0</v>
      </c>
      <c r="AK5376">
        <v>435.02</v>
      </c>
      <c r="AN5376" t="s">
        <v>7439</v>
      </c>
      <c r="AO5376">
        <v>73562</v>
      </c>
      <c r="AP5376" t="s">
        <v>45858</v>
      </c>
      <c r="AU5376">
        <v>0</v>
      </c>
      <c r="AW5376" t="s">
        <v>279</v>
      </c>
    </row>
    <row r="5377" spans="1:50">
      <c r="A5377" s="1">
        <f>HYPERLINK("https://lsnyc.legalserver.org/matter/dynamic-profile/view/1890581","19-1890581")</f>
        <v>0</v>
      </c>
      <c r="B5377" t="s">
        <v>95</v>
      </c>
      <c r="C5377" t="s">
        <v>340</v>
      </c>
      <c r="D5377" t="s">
        <v>745</v>
      </c>
      <c r="F5377" t="s">
        <v>3388</v>
      </c>
      <c r="G5377" t="s">
        <v>7648</v>
      </c>
      <c r="H5377" t="s">
        <v>12646</v>
      </c>
      <c r="I5377" t="s">
        <v>17338</v>
      </c>
      <c r="J5377" t="s">
        <v>18894</v>
      </c>
      <c r="K5377">
        <v>11233</v>
      </c>
      <c r="L5377" t="s">
        <v>18958</v>
      </c>
      <c r="M5377" t="s">
        <v>18959</v>
      </c>
      <c r="N5377" t="s">
        <v>18997</v>
      </c>
      <c r="O5377" t="s">
        <v>26534</v>
      </c>
      <c r="P5377" t="s">
        <v>26561</v>
      </c>
      <c r="R5377" t="s">
        <v>26578</v>
      </c>
      <c r="S5377" t="s">
        <v>18958</v>
      </c>
      <c r="U5377" t="s">
        <v>26604</v>
      </c>
      <c r="V5377" t="s">
        <v>26610</v>
      </c>
      <c r="W5377" t="s">
        <v>690</v>
      </c>
      <c r="X5377">
        <v>1520</v>
      </c>
      <c r="Y5377" t="s">
        <v>26652</v>
      </c>
      <c r="Z5377" t="s">
        <v>26666</v>
      </c>
      <c r="AB5377" t="s">
        <v>31037</v>
      </c>
      <c r="AE5377">
        <v>359</v>
      </c>
      <c r="AF5377" t="s">
        <v>45541</v>
      </c>
      <c r="AG5377" t="s">
        <v>19330</v>
      </c>
      <c r="AH5377">
        <v>2</v>
      </c>
      <c r="AI5377">
        <v>2</v>
      </c>
      <c r="AJ5377">
        <v>0</v>
      </c>
      <c r="AK5377">
        <v>437.61</v>
      </c>
      <c r="AN5377" t="s">
        <v>7439</v>
      </c>
      <c r="AO5377">
        <v>74000</v>
      </c>
      <c r="AP5377" t="s">
        <v>45854</v>
      </c>
      <c r="AU5377">
        <v>0</v>
      </c>
      <c r="AW5377" t="s">
        <v>279</v>
      </c>
    </row>
    <row r="5378" spans="1:50">
      <c r="A5378" s="1">
        <f>HYPERLINK("https://lsnyc.legalserver.org/matter/dynamic-profile/view/1890575","19-1890575")</f>
        <v>0</v>
      </c>
      <c r="B5378" t="s">
        <v>95</v>
      </c>
      <c r="C5378" t="s">
        <v>340</v>
      </c>
      <c r="D5378" t="s">
        <v>745</v>
      </c>
      <c r="F5378" t="s">
        <v>2517</v>
      </c>
      <c r="G5378" t="s">
        <v>6311</v>
      </c>
      <c r="H5378" t="s">
        <v>12646</v>
      </c>
      <c r="I5378" t="s">
        <v>18214</v>
      </c>
      <c r="J5378" t="s">
        <v>18894</v>
      </c>
      <c r="K5378">
        <v>11233</v>
      </c>
      <c r="L5378" t="s">
        <v>18958</v>
      </c>
      <c r="M5378" t="s">
        <v>18959</v>
      </c>
      <c r="O5378" t="s">
        <v>26534</v>
      </c>
      <c r="P5378" t="s">
        <v>26561</v>
      </c>
      <c r="R5378" t="s">
        <v>26578</v>
      </c>
      <c r="S5378" t="s">
        <v>18958</v>
      </c>
      <c r="U5378" t="s">
        <v>26604</v>
      </c>
      <c r="V5378" t="s">
        <v>26610</v>
      </c>
      <c r="W5378" t="s">
        <v>690</v>
      </c>
      <c r="X5378">
        <v>1094.88</v>
      </c>
      <c r="Y5378" t="s">
        <v>26652</v>
      </c>
      <c r="Z5378" t="s">
        <v>26530</v>
      </c>
      <c r="AB5378" t="s">
        <v>27796</v>
      </c>
      <c r="AE5378">
        <v>359</v>
      </c>
      <c r="AF5378" t="s">
        <v>45541</v>
      </c>
      <c r="AG5378" t="s">
        <v>19330</v>
      </c>
      <c r="AH5378">
        <v>40</v>
      </c>
      <c r="AI5378">
        <v>1</v>
      </c>
      <c r="AJ5378">
        <v>0</v>
      </c>
      <c r="AK5378">
        <v>440.35</v>
      </c>
      <c r="AN5378" t="s">
        <v>7439</v>
      </c>
      <c r="AO5378">
        <v>55000</v>
      </c>
      <c r="AP5378" t="s">
        <v>45853</v>
      </c>
      <c r="AU5378">
        <v>0</v>
      </c>
      <c r="AW5378" t="s">
        <v>286</v>
      </c>
    </row>
    <row r="5379" spans="1:50">
      <c r="A5379" s="1">
        <f>HYPERLINK("https://lsnyc.legalserver.org/matter/dynamic-profile/view/1890587","19-1890587")</f>
        <v>0</v>
      </c>
      <c r="B5379" t="s">
        <v>95</v>
      </c>
      <c r="C5379" t="s">
        <v>340</v>
      </c>
      <c r="D5379" t="s">
        <v>745</v>
      </c>
      <c r="F5379" t="s">
        <v>3389</v>
      </c>
      <c r="G5379" t="s">
        <v>3599</v>
      </c>
      <c r="H5379" t="s">
        <v>12646</v>
      </c>
      <c r="I5379" t="s">
        <v>18215</v>
      </c>
      <c r="J5379" t="s">
        <v>18894</v>
      </c>
      <c r="K5379">
        <v>11233</v>
      </c>
      <c r="L5379" t="s">
        <v>18958</v>
      </c>
      <c r="M5379" t="s">
        <v>18959</v>
      </c>
      <c r="N5379" t="s">
        <v>18997</v>
      </c>
      <c r="O5379" t="s">
        <v>26534</v>
      </c>
      <c r="P5379" t="s">
        <v>26561</v>
      </c>
      <c r="R5379" t="s">
        <v>26578</v>
      </c>
      <c r="S5379" t="s">
        <v>18958</v>
      </c>
      <c r="U5379" t="s">
        <v>26604</v>
      </c>
      <c r="V5379" t="s">
        <v>26610</v>
      </c>
      <c r="W5379" t="s">
        <v>690</v>
      </c>
      <c r="X5379">
        <v>1077</v>
      </c>
      <c r="Y5379" t="s">
        <v>26652</v>
      </c>
      <c r="Z5379" t="s">
        <v>26666</v>
      </c>
      <c r="AB5379" t="s">
        <v>28092</v>
      </c>
      <c r="AE5379">
        <v>359</v>
      </c>
      <c r="AF5379" t="s">
        <v>45541</v>
      </c>
      <c r="AG5379" t="s">
        <v>19330</v>
      </c>
      <c r="AH5379">
        <v>12</v>
      </c>
      <c r="AI5379">
        <v>2</v>
      </c>
      <c r="AJ5379">
        <v>2</v>
      </c>
      <c r="AK5379">
        <v>446.6</v>
      </c>
      <c r="AN5379" t="s">
        <v>7439</v>
      </c>
      <c r="AO5379">
        <v>115000</v>
      </c>
      <c r="AP5379" t="s">
        <v>45854</v>
      </c>
      <c r="AU5379">
        <v>0</v>
      </c>
      <c r="AW5379" t="s">
        <v>279</v>
      </c>
    </row>
    <row r="5380" spans="1:50">
      <c r="A5380" s="1">
        <f>HYPERLINK("https://lsnyc.legalserver.org/matter/dynamic-profile/view/1890552","19-1890552")</f>
        <v>0</v>
      </c>
      <c r="B5380" t="s">
        <v>95</v>
      </c>
      <c r="C5380" t="s">
        <v>340</v>
      </c>
      <c r="D5380" t="s">
        <v>745</v>
      </c>
      <c r="F5380" t="s">
        <v>1189</v>
      </c>
      <c r="G5380" t="s">
        <v>5157</v>
      </c>
      <c r="H5380" t="s">
        <v>9692</v>
      </c>
      <c r="I5380" t="s">
        <v>18216</v>
      </c>
      <c r="J5380" t="s">
        <v>18894</v>
      </c>
      <c r="K5380">
        <v>11233</v>
      </c>
      <c r="L5380" t="s">
        <v>18958</v>
      </c>
      <c r="M5380" t="s">
        <v>18959</v>
      </c>
      <c r="O5380" t="s">
        <v>26534</v>
      </c>
      <c r="P5380" t="s">
        <v>26561</v>
      </c>
      <c r="R5380" t="s">
        <v>26578</v>
      </c>
      <c r="S5380" t="s">
        <v>18958</v>
      </c>
      <c r="U5380" t="s">
        <v>26604</v>
      </c>
      <c r="V5380" t="s">
        <v>26610</v>
      </c>
      <c r="W5380" t="s">
        <v>690</v>
      </c>
      <c r="X5380">
        <v>680</v>
      </c>
      <c r="Y5380" t="s">
        <v>26652</v>
      </c>
      <c r="Z5380" t="s">
        <v>26530</v>
      </c>
      <c r="AB5380" t="s">
        <v>31038</v>
      </c>
      <c r="AE5380">
        <v>359</v>
      </c>
      <c r="AF5380" t="s">
        <v>45541</v>
      </c>
      <c r="AG5380" t="s">
        <v>19330</v>
      </c>
      <c r="AH5380">
        <v>3</v>
      </c>
      <c r="AI5380">
        <v>1</v>
      </c>
      <c r="AJ5380">
        <v>0</v>
      </c>
      <c r="AK5380">
        <v>504.4</v>
      </c>
      <c r="AN5380" t="s">
        <v>7439</v>
      </c>
      <c r="AO5380">
        <v>63000</v>
      </c>
      <c r="AP5380" t="s">
        <v>45859</v>
      </c>
      <c r="AU5380">
        <v>0</v>
      </c>
      <c r="AW5380" t="s">
        <v>286</v>
      </c>
    </row>
    <row r="5381" spans="1:50">
      <c r="A5381" s="1">
        <f>HYPERLINK("https://lsnyc.legalserver.org/matter/dynamic-profile/view/1891491","19-1891491")</f>
        <v>0</v>
      </c>
      <c r="B5381" t="s">
        <v>95</v>
      </c>
      <c r="C5381" t="s">
        <v>340</v>
      </c>
      <c r="D5381" t="s">
        <v>757</v>
      </c>
      <c r="F5381" t="s">
        <v>3390</v>
      </c>
      <c r="G5381" t="s">
        <v>7649</v>
      </c>
      <c r="H5381" t="s">
        <v>9692</v>
      </c>
      <c r="I5381" t="s">
        <v>18217</v>
      </c>
      <c r="J5381" t="s">
        <v>18894</v>
      </c>
      <c r="K5381">
        <v>11233</v>
      </c>
      <c r="L5381" t="s">
        <v>18958</v>
      </c>
      <c r="M5381" t="s">
        <v>18959</v>
      </c>
      <c r="O5381" t="s">
        <v>26534</v>
      </c>
      <c r="P5381" t="s">
        <v>26561</v>
      </c>
      <c r="R5381" t="s">
        <v>26578</v>
      </c>
      <c r="S5381" t="s">
        <v>18958</v>
      </c>
      <c r="U5381" t="s">
        <v>26604</v>
      </c>
      <c r="V5381" t="s">
        <v>26610</v>
      </c>
      <c r="W5381" t="s">
        <v>690</v>
      </c>
      <c r="X5381">
        <v>505</v>
      </c>
      <c r="Y5381" t="s">
        <v>26652</v>
      </c>
      <c r="AB5381" t="s">
        <v>31039</v>
      </c>
      <c r="AE5381">
        <v>359</v>
      </c>
      <c r="AF5381" t="s">
        <v>45541</v>
      </c>
      <c r="AH5381">
        <v>40</v>
      </c>
      <c r="AI5381">
        <v>1</v>
      </c>
      <c r="AJ5381">
        <v>0</v>
      </c>
      <c r="AK5381">
        <v>0</v>
      </c>
      <c r="AN5381" t="s">
        <v>7439</v>
      </c>
      <c r="AO5381">
        <v>0</v>
      </c>
      <c r="AP5381" t="s">
        <v>45860</v>
      </c>
      <c r="AU5381">
        <v>0</v>
      </c>
      <c r="AW5381" t="s">
        <v>279</v>
      </c>
    </row>
    <row r="5382" spans="1:50">
      <c r="A5382" s="1">
        <f>HYPERLINK("https://lsnyc.legalserver.org/matter/dynamic-profile/view/1891507","19-1891507")</f>
        <v>0</v>
      </c>
      <c r="B5382" t="s">
        <v>95</v>
      </c>
      <c r="C5382" t="s">
        <v>340</v>
      </c>
      <c r="D5382" t="s">
        <v>757</v>
      </c>
      <c r="F5382" t="s">
        <v>3391</v>
      </c>
      <c r="G5382" t="s">
        <v>1056</v>
      </c>
      <c r="H5382" t="s">
        <v>9692</v>
      </c>
      <c r="I5382" t="s">
        <v>17338</v>
      </c>
      <c r="J5382" t="s">
        <v>18894</v>
      </c>
      <c r="K5382">
        <v>11233</v>
      </c>
      <c r="L5382" t="s">
        <v>18958</v>
      </c>
      <c r="M5382" t="s">
        <v>18959</v>
      </c>
      <c r="N5382" t="s">
        <v>19045</v>
      </c>
      <c r="O5382" t="s">
        <v>26534</v>
      </c>
      <c r="P5382" t="s">
        <v>26561</v>
      </c>
      <c r="R5382" t="s">
        <v>26578</v>
      </c>
      <c r="S5382" t="s">
        <v>18958</v>
      </c>
      <c r="U5382" t="s">
        <v>26604</v>
      </c>
      <c r="V5382" t="s">
        <v>26610</v>
      </c>
      <c r="W5382" t="s">
        <v>690</v>
      </c>
      <c r="X5382">
        <v>0</v>
      </c>
      <c r="Y5382" t="s">
        <v>26652</v>
      </c>
      <c r="AB5382" t="s">
        <v>31040</v>
      </c>
      <c r="AE5382">
        <v>359</v>
      </c>
      <c r="AF5382" t="s">
        <v>45541</v>
      </c>
      <c r="AH5382">
        <v>14</v>
      </c>
      <c r="AI5382">
        <v>1</v>
      </c>
      <c r="AJ5382">
        <v>0</v>
      </c>
      <c r="AK5382">
        <v>0</v>
      </c>
      <c r="AN5382" t="s">
        <v>7439</v>
      </c>
      <c r="AO5382">
        <v>0</v>
      </c>
      <c r="AP5382" t="s">
        <v>45860</v>
      </c>
      <c r="AU5382">
        <v>0</v>
      </c>
      <c r="AW5382" t="s">
        <v>279</v>
      </c>
    </row>
    <row r="5383" spans="1:50">
      <c r="A5383" s="1">
        <f>HYPERLINK("https://lsnyc.legalserver.org/matter/dynamic-profile/view/1891500","19-1891500")</f>
        <v>0</v>
      </c>
      <c r="B5383" t="s">
        <v>95</v>
      </c>
      <c r="C5383" t="s">
        <v>340</v>
      </c>
      <c r="D5383" t="s">
        <v>757</v>
      </c>
      <c r="F5383" t="s">
        <v>3392</v>
      </c>
      <c r="G5383" t="s">
        <v>7062</v>
      </c>
      <c r="H5383" t="s">
        <v>12646</v>
      </c>
      <c r="I5383" t="s">
        <v>18210</v>
      </c>
      <c r="J5383" t="s">
        <v>18894</v>
      </c>
      <c r="K5383">
        <v>11233</v>
      </c>
      <c r="L5383" t="s">
        <v>18958</v>
      </c>
      <c r="M5383" t="s">
        <v>18959</v>
      </c>
      <c r="N5383" t="s">
        <v>19330</v>
      </c>
      <c r="O5383" t="s">
        <v>26534</v>
      </c>
      <c r="P5383" t="s">
        <v>26561</v>
      </c>
      <c r="R5383" t="s">
        <v>26578</v>
      </c>
      <c r="S5383" t="s">
        <v>18958</v>
      </c>
      <c r="U5383" t="s">
        <v>26604</v>
      </c>
      <c r="V5383" t="s">
        <v>26610</v>
      </c>
      <c r="W5383" t="s">
        <v>690</v>
      </c>
      <c r="X5383">
        <v>997</v>
      </c>
      <c r="Y5383" t="s">
        <v>26652</v>
      </c>
      <c r="AB5383" t="s">
        <v>31041</v>
      </c>
      <c r="AE5383">
        <v>359</v>
      </c>
      <c r="AF5383" t="s">
        <v>45541</v>
      </c>
      <c r="AH5383">
        <v>40</v>
      </c>
      <c r="AI5383">
        <v>2</v>
      </c>
      <c r="AJ5383">
        <v>1</v>
      </c>
      <c r="AK5383">
        <v>215.66</v>
      </c>
      <c r="AL5383" t="s">
        <v>672</v>
      </c>
      <c r="AM5383" t="s">
        <v>45575</v>
      </c>
      <c r="AN5383" t="s">
        <v>7439</v>
      </c>
      <c r="AO5383">
        <v>46000</v>
      </c>
      <c r="AP5383" t="s">
        <v>45860</v>
      </c>
      <c r="AU5383">
        <v>0</v>
      </c>
      <c r="AW5383" t="s">
        <v>279</v>
      </c>
    </row>
    <row r="5384" spans="1:50">
      <c r="A5384" s="1">
        <f>HYPERLINK("https://lsnyc.legalserver.org/matter/dynamic-profile/view/1891565","19-1891565")</f>
        <v>0</v>
      </c>
      <c r="B5384" t="s">
        <v>95</v>
      </c>
      <c r="C5384" t="s">
        <v>340</v>
      </c>
      <c r="D5384" t="s">
        <v>757</v>
      </c>
      <c r="F5384" t="s">
        <v>1402</v>
      </c>
      <c r="G5384" t="s">
        <v>945</v>
      </c>
      <c r="H5384" t="s">
        <v>12646</v>
      </c>
      <c r="I5384" t="s">
        <v>17587</v>
      </c>
      <c r="J5384" t="s">
        <v>18894</v>
      </c>
      <c r="K5384">
        <v>11233</v>
      </c>
      <c r="L5384" t="s">
        <v>18958</v>
      </c>
      <c r="M5384" t="s">
        <v>18959</v>
      </c>
      <c r="N5384" t="s">
        <v>19045</v>
      </c>
      <c r="O5384" t="s">
        <v>26534</v>
      </c>
      <c r="P5384" t="s">
        <v>26561</v>
      </c>
      <c r="R5384" t="s">
        <v>26578</v>
      </c>
      <c r="S5384" t="s">
        <v>18958</v>
      </c>
      <c r="U5384" t="s">
        <v>26604</v>
      </c>
      <c r="V5384" t="s">
        <v>26610</v>
      </c>
      <c r="W5384" t="s">
        <v>690</v>
      </c>
      <c r="X5384">
        <v>1003</v>
      </c>
      <c r="Y5384" t="s">
        <v>26652</v>
      </c>
      <c r="AB5384" t="s">
        <v>31042</v>
      </c>
      <c r="AE5384">
        <v>359</v>
      </c>
      <c r="AF5384" t="s">
        <v>45541</v>
      </c>
      <c r="AH5384">
        <v>13</v>
      </c>
      <c r="AI5384">
        <v>1</v>
      </c>
      <c r="AJ5384">
        <v>2</v>
      </c>
      <c r="AK5384">
        <v>281.29</v>
      </c>
      <c r="AL5384" t="s">
        <v>672</v>
      </c>
      <c r="AM5384" t="s">
        <v>45575</v>
      </c>
      <c r="AN5384" t="s">
        <v>7439</v>
      </c>
      <c r="AO5384">
        <v>60000</v>
      </c>
      <c r="AP5384" t="s">
        <v>45860</v>
      </c>
      <c r="AU5384">
        <v>0</v>
      </c>
      <c r="AW5384" t="s">
        <v>279</v>
      </c>
    </row>
    <row r="5385" spans="1:50">
      <c r="A5385" s="1">
        <f>HYPERLINK("https://lsnyc.legalserver.org/matter/dynamic-profile/view/1891559","19-1891559")</f>
        <v>0</v>
      </c>
      <c r="B5385" t="s">
        <v>95</v>
      </c>
      <c r="C5385" t="s">
        <v>340</v>
      </c>
      <c r="D5385" t="s">
        <v>757</v>
      </c>
      <c r="F5385" t="s">
        <v>1087</v>
      </c>
      <c r="G5385" t="s">
        <v>7650</v>
      </c>
      <c r="H5385" t="s">
        <v>12646</v>
      </c>
      <c r="I5385" t="s">
        <v>18218</v>
      </c>
      <c r="J5385" t="s">
        <v>18894</v>
      </c>
      <c r="K5385">
        <v>11233</v>
      </c>
      <c r="L5385" t="s">
        <v>18958</v>
      </c>
      <c r="M5385" t="s">
        <v>18959</v>
      </c>
      <c r="N5385" t="s">
        <v>23006</v>
      </c>
      <c r="O5385" t="s">
        <v>26534</v>
      </c>
      <c r="P5385" t="s">
        <v>26561</v>
      </c>
      <c r="R5385" t="s">
        <v>26578</v>
      </c>
      <c r="S5385" t="s">
        <v>18958</v>
      </c>
      <c r="U5385" t="s">
        <v>26604</v>
      </c>
      <c r="V5385" t="s">
        <v>26610</v>
      </c>
      <c r="W5385" t="s">
        <v>690</v>
      </c>
      <c r="X5385">
        <v>1040</v>
      </c>
      <c r="Y5385" t="s">
        <v>26652</v>
      </c>
      <c r="AB5385" t="s">
        <v>31043</v>
      </c>
      <c r="AE5385">
        <v>359</v>
      </c>
      <c r="AF5385" t="s">
        <v>45541</v>
      </c>
      <c r="AH5385">
        <v>32</v>
      </c>
      <c r="AI5385">
        <v>3</v>
      </c>
      <c r="AJ5385">
        <v>0</v>
      </c>
      <c r="AK5385">
        <v>300.05</v>
      </c>
      <c r="AL5385" t="s">
        <v>672</v>
      </c>
      <c r="AM5385" t="s">
        <v>45575</v>
      </c>
      <c r="AN5385" t="s">
        <v>7439</v>
      </c>
      <c r="AO5385">
        <v>64000</v>
      </c>
      <c r="AP5385" t="s">
        <v>45860</v>
      </c>
      <c r="AU5385">
        <v>0</v>
      </c>
      <c r="AW5385" t="s">
        <v>279</v>
      </c>
    </row>
    <row r="5386" spans="1:50">
      <c r="A5386" s="1">
        <f>HYPERLINK("https://lsnyc.legalserver.org/matter/dynamic-profile/view/1891563","19-1891563")</f>
        <v>0</v>
      </c>
      <c r="B5386" t="s">
        <v>95</v>
      </c>
      <c r="C5386" t="s">
        <v>340</v>
      </c>
      <c r="D5386" t="s">
        <v>757</v>
      </c>
      <c r="F5386" t="s">
        <v>1489</v>
      </c>
      <c r="G5386" t="s">
        <v>5812</v>
      </c>
      <c r="H5386" t="s">
        <v>12646</v>
      </c>
      <c r="I5386" t="s">
        <v>18219</v>
      </c>
      <c r="J5386" t="s">
        <v>18894</v>
      </c>
      <c r="K5386">
        <v>11233</v>
      </c>
      <c r="L5386" t="s">
        <v>18958</v>
      </c>
      <c r="M5386" t="s">
        <v>18959</v>
      </c>
      <c r="N5386" t="s">
        <v>19045</v>
      </c>
      <c r="O5386" t="s">
        <v>26534</v>
      </c>
      <c r="P5386" t="s">
        <v>26561</v>
      </c>
      <c r="R5386" t="s">
        <v>26578</v>
      </c>
      <c r="S5386" t="s">
        <v>18958</v>
      </c>
      <c r="U5386" t="s">
        <v>26604</v>
      </c>
      <c r="V5386" t="s">
        <v>26610</v>
      </c>
      <c r="W5386" t="s">
        <v>690</v>
      </c>
      <c r="X5386">
        <v>1157</v>
      </c>
      <c r="Y5386" t="s">
        <v>26652</v>
      </c>
      <c r="AB5386" t="s">
        <v>27657</v>
      </c>
      <c r="AC5386" t="s">
        <v>19330</v>
      </c>
      <c r="AE5386">
        <v>359</v>
      </c>
      <c r="AF5386" t="s">
        <v>45541</v>
      </c>
      <c r="AG5386" t="s">
        <v>19330</v>
      </c>
      <c r="AH5386">
        <v>39</v>
      </c>
      <c r="AI5386">
        <v>6</v>
      </c>
      <c r="AJ5386">
        <v>0</v>
      </c>
      <c r="AK5386">
        <v>383.06</v>
      </c>
      <c r="AN5386" t="s">
        <v>7439</v>
      </c>
      <c r="AO5386">
        <v>132500</v>
      </c>
      <c r="AP5386" t="s">
        <v>45861</v>
      </c>
      <c r="AU5386">
        <v>0</v>
      </c>
      <c r="AW5386" t="s">
        <v>279</v>
      </c>
      <c r="AX5386" t="s">
        <v>19330</v>
      </c>
    </row>
    <row r="5387" spans="1:50">
      <c r="A5387" s="1">
        <f>HYPERLINK("https://lsnyc.legalserver.org/matter/dynamic-profile/view/1891541","19-1891541")</f>
        <v>0</v>
      </c>
      <c r="B5387" t="s">
        <v>95</v>
      </c>
      <c r="C5387" t="s">
        <v>340</v>
      </c>
      <c r="D5387" t="s">
        <v>757</v>
      </c>
      <c r="F5387" t="s">
        <v>3393</v>
      </c>
      <c r="G5387" t="s">
        <v>3846</v>
      </c>
      <c r="H5387" t="s">
        <v>9692</v>
      </c>
      <c r="I5387" t="s">
        <v>17302</v>
      </c>
      <c r="J5387" t="s">
        <v>18894</v>
      </c>
      <c r="K5387">
        <v>11233</v>
      </c>
      <c r="L5387" t="s">
        <v>18958</v>
      </c>
      <c r="M5387" t="s">
        <v>18959</v>
      </c>
      <c r="N5387" t="s">
        <v>19045</v>
      </c>
      <c r="O5387" t="s">
        <v>26534</v>
      </c>
      <c r="P5387" t="s">
        <v>26561</v>
      </c>
      <c r="R5387" t="s">
        <v>26578</v>
      </c>
      <c r="S5387" t="s">
        <v>18958</v>
      </c>
      <c r="U5387" t="s">
        <v>26604</v>
      </c>
      <c r="V5387" t="s">
        <v>26610</v>
      </c>
      <c r="W5387" t="s">
        <v>690</v>
      </c>
      <c r="X5387">
        <v>1089.12</v>
      </c>
      <c r="Y5387" t="s">
        <v>26652</v>
      </c>
      <c r="AB5387" t="s">
        <v>31044</v>
      </c>
      <c r="AE5387">
        <v>359</v>
      </c>
      <c r="AF5387" t="s">
        <v>45541</v>
      </c>
      <c r="AH5387">
        <v>20</v>
      </c>
      <c r="AI5387">
        <v>2</v>
      </c>
      <c r="AJ5387">
        <v>0</v>
      </c>
      <c r="AK5387">
        <v>408.04</v>
      </c>
      <c r="AN5387" t="s">
        <v>7439</v>
      </c>
      <c r="AO5387">
        <v>69000</v>
      </c>
      <c r="AP5387" t="s">
        <v>45860</v>
      </c>
      <c r="AU5387">
        <v>0</v>
      </c>
      <c r="AW5387" t="s">
        <v>279</v>
      </c>
    </row>
    <row r="5388" spans="1:50">
      <c r="A5388" s="1">
        <f>HYPERLINK("https://lsnyc.legalserver.org/matter/dynamic-profile/view/1891531","19-1891531")</f>
        <v>0</v>
      </c>
      <c r="B5388" t="s">
        <v>95</v>
      </c>
      <c r="C5388" t="s">
        <v>340</v>
      </c>
      <c r="D5388" t="s">
        <v>757</v>
      </c>
      <c r="F5388" t="s">
        <v>1217</v>
      </c>
      <c r="G5388" t="s">
        <v>5606</v>
      </c>
      <c r="H5388" t="s">
        <v>9692</v>
      </c>
      <c r="I5388" t="s">
        <v>17538</v>
      </c>
      <c r="J5388" t="s">
        <v>18894</v>
      </c>
      <c r="K5388">
        <v>11233</v>
      </c>
      <c r="L5388" t="s">
        <v>18958</v>
      </c>
      <c r="M5388" t="s">
        <v>18959</v>
      </c>
      <c r="N5388" t="s">
        <v>19045</v>
      </c>
      <c r="O5388" t="s">
        <v>26534</v>
      </c>
      <c r="P5388" t="s">
        <v>26561</v>
      </c>
      <c r="R5388" t="s">
        <v>26578</v>
      </c>
      <c r="S5388" t="s">
        <v>18958</v>
      </c>
      <c r="U5388" t="s">
        <v>26604</v>
      </c>
      <c r="V5388" t="s">
        <v>26610</v>
      </c>
      <c r="W5388" t="s">
        <v>690</v>
      </c>
      <c r="X5388">
        <v>1195</v>
      </c>
      <c r="Y5388" t="s">
        <v>26652</v>
      </c>
      <c r="AB5388" t="s">
        <v>27657</v>
      </c>
      <c r="AC5388" t="s">
        <v>19330</v>
      </c>
      <c r="AE5388">
        <v>359</v>
      </c>
      <c r="AF5388" t="s">
        <v>45541</v>
      </c>
      <c r="AG5388" t="s">
        <v>19330</v>
      </c>
      <c r="AH5388">
        <v>30</v>
      </c>
      <c r="AI5388">
        <v>2</v>
      </c>
      <c r="AJ5388">
        <v>0</v>
      </c>
      <c r="AK5388">
        <v>696.9400000000001</v>
      </c>
      <c r="AN5388" t="s">
        <v>7439</v>
      </c>
      <c r="AO5388">
        <v>117853</v>
      </c>
      <c r="AP5388" t="s">
        <v>45860</v>
      </c>
      <c r="AU5388">
        <v>0</v>
      </c>
      <c r="AW5388" t="s">
        <v>279</v>
      </c>
      <c r="AX5388" t="s">
        <v>19330</v>
      </c>
    </row>
    <row r="5389" spans="1:50">
      <c r="A5389" s="1">
        <f>HYPERLINK("https://lsnyc.legalserver.org/matter/dynamic-profile/view/1890605","19-1890605")</f>
        <v>0</v>
      </c>
      <c r="B5389" t="s">
        <v>199</v>
      </c>
      <c r="C5389" t="s">
        <v>340</v>
      </c>
      <c r="D5389" t="s">
        <v>757</v>
      </c>
      <c r="F5389" t="s">
        <v>1397</v>
      </c>
      <c r="G5389" t="s">
        <v>7651</v>
      </c>
      <c r="H5389" t="s">
        <v>13664</v>
      </c>
      <c r="I5389" t="s">
        <v>18039</v>
      </c>
      <c r="J5389" t="s">
        <v>18894</v>
      </c>
      <c r="K5389">
        <v>11238</v>
      </c>
      <c r="L5389" t="s">
        <v>18958</v>
      </c>
      <c r="M5389" t="s">
        <v>18958</v>
      </c>
      <c r="O5389" t="s">
        <v>26539</v>
      </c>
      <c r="P5389" t="s">
        <v>26562</v>
      </c>
      <c r="R5389" t="s">
        <v>26578</v>
      </c>
      <c r="S5389" t="s">
        <v>18959</v>
      </c>
      <c r="U5389" t="s">
        <v>26604</v>
      </c>
      <c r="W5389" t="s">
        <v>690</v>
      </c>
      <c r="X5389">
        <v>650.39</v>
      </c>
      <c r="Y5389" t="s">
        <v>26652</v>
      </c>
      <c r="Z5389" t="s">
        <v>26659</v>
      </c>
      <c r="AB5389" t="s">
        <v>31045</v>
      </c>
      <c r="AD5389" t="s">
        <v>41269</v>
      </c>
      <c r="AE5389">
        <v>29</v>
      </c>
      <c r="AF5389" t="s">
        <v>45541</v>
      </c>
      <c r="AH5389">
        <v>0</v>
      </c>
      <c r="AI5389">
        <v>2</v>
      </c>
      <c r="AJ5389">
        <v>0</v>
      </c>
      <c r="AK5389">
        <v>53.22</v>
      </c>
      <c r="AN5389" t="s">
        <v>7439</v>
      </c>
      <c r="AO5389">
        <v>9000</v>
      </c>
      <c r="AU5389">
        <v>14.4</v>
      </c>
      <c r="AV5389" t="s">
        <v>834</v>
      </c>
      <c r="AW5389" t="s">
        <v>219</v>
      </c>
      <c r="AX5389" t="s">
        <v>46897</v>
      </c>
    </row>
    <row r="5390" spans="1:50">
      <c r="A5390" s="1">
        <f>HYPERLINK("https://lsnyc.legalserver.org/matter/dynamic-profile/view/1891662","19-1891662")</f>
        <v>0</v>
      </c>
      <c r="B5390" t="s">
        <v>95</v>
      </c>
      <c r="C5390" t="s">
        <v>340</v>
      </c>
      <c r="D5390" t="s">
        <v>723</v>
      </c>
      <c r="F5390" t="s">
        <v>2567</v>
      </c>
      <c r="G5390" t="s">
        <v>6218</v>
      </c>
      <c r="H5390" t="s">
        <v>12646</v>
      </c>
      <c r="I5390" t="s">
        <v>17701</v>
      </c>
      <c r="J5390" t="s">
        <v>18894</v>
      </c>
      <c r="K5390">
        <v>11233</v>
      </c>
      <c r="L5390" t="s">
        <v>18958</v>
      </c>
      <c r="M5390" t="s">
        <v>18959</v>
      </c>
      <c r="N5390" t="s">
        <v>19330</v>
      </c>
      <c r="O5390" t="s">
        <v>26534</v>
      </c>
      <c r="P5390" t="s">
        <v>26561</v>
      </c>
      <c r="R5390" t="s">
        <v>26578</v>
      </c>
      <c r="S5390" t="s">
        <v>18958</v>
      </c>
      <c r="U5390" t="s">
        <v>26604</v>
      </c>
      <c r="V5390" t="s">
        <v>26610</v>
      </c>
      <c r="W5390" t="s">
        <v>690</v>
      </c>
      <c r="X5390">
        <v>802</v>
      </c>
      <c r="Y5390" t="s">
        <v>26652</v>
      </c>
      <c r="AB5390" t="s">
        <v>31046</v>
      </c>
      <c r="AE5390">
        <v>359</v>
      </c>
      <c r="AF5390" t="s">
        <v>45541</v>
      </c>
      <c r="AH5390">
        <v>12</v>
      </c>
      <c r="AI5390">
        <v>2</v>
      </c>
      <c r="AJ5390">
        <v>0</v>
      </c>
      <c r="AK5390">
        <v>65.78</v>
      </c>
      <c r="AN5390" t="s">
        <v>7439</v>
      </c>
      <c r="AO5390">
        <v>11124</v>
      </c>
      <c r="AP5390" t="s">
        <v>45860</v>
      </c>
      <c r="AU5390">
        <v>0</v>
      </c>
      <c r="AW5390" t="s">
        <v>279</v>
      </c>
    </row>
    <row r="5391" spans="1:50">
      <c r="A5391" s="1">
        <f>HYPERLINK("https://lsnyc.legalserver.org/matter/dynamic-profile/view/1891604","19-1891604")</f>
        <v>0</v>
      </c>
      <c r="B5391" t="s">
        <v>95</v>
      </c>
      <c r="C5391" t="s">
        <v>340</v>
      </c>
      <c r="D5391" t="s">
        <v>723</v>
      </c>
      <c r="F5391" t="s">
        <v>1870</v>
      </c>
      <c r="G5391" t="s">
        <v>7652</v>
      </c>
      <c r="H5391" t="s">
        <v>9692</v>
      </c>
      <c r="I5391" t="s">
        <v>17315</v>
      </c>
      <c r="J5391" t="s">
        <v>18894</v>
      </c>
      <c r="K5391">
        <v>11233</v>
      </c>
      <c r="L5391" t="s">
        <v>18958</v>
      </c>
      <c r="M5391" t="s">
        <v>18959</v>
      </c>
      <c r="N5391" t="s">
        <v>19330</v>
      </c>
      <c r="O5391" t="s">
        <v>26534</v>
      </c>
      <c r="P5391" t="s">
        <v>26561</v>
      </c>
      <c r="R5391" t="s">
        <v>26578</v>
      </c>
      <c r="S5391" t="s">
        <v>18958</v>
      </c>
      <c r="U5391" t="s">
        <v>26604</v>
      </c>
      <c r="V5391" t="s">
        <v>26610</v>
      </c>
      <c r="W5391" t="s">
        <v>690</v>
      </c>
      <c r="X5391">
        <v>820</v>
      </c>
      <c r="Y5391" t="s">
        <v>26652</v>
      </c>
      <c r="AB5391" t="s">
        <v>31047</v>
      </c>
      <c r="AE5391">
        <v>359</v>
      </c>
      <c r="AF5391" t="s">
        <v>45541</v>
      </c>
      <c r="AH5391">
        <v>6</v>
      </c>
      <c r="AI5391">
        <v>1</v>
      </c>
      <c r="AJ5391">
        <v>2</v>
      </c>
      <c r="AK5391">
        <v>97.52</v>
      </c>
      <c r="AN5391" t="s">
        <v>7439</v>
      </c>
      <c r="AO5391">
        <v>20800</v>
      </c>
      <c r="AP5391" t="s">
        <v>45860</v>
      </c>
      <c r="AU5391">
        <v>0</v>
      </c>
      <c r="AW5391" t="s">
        <v>279</v>
      </c>
    </row>
    <row r="5392" spans="1:50">
      <c r="A5392" s="1">
        <f>HYPERLINK("https://lsnyc.legalserver.org/matter/dynamic-profile/view/1891635","19-1891635")</f>
        <v>0</v>
      </c>
      <c r="B5392" t="s">
        <v>95</v>
      </c>
      <c r="C5392" t="s">
        <v>340</v>
      </c>
      <c r="D5392" t="s">
        <v>723</v>
      </c>
      <c r="F5392" t="s">
        <v>1457</v>
      </c>
      <c r="G5392" t="s">
        <v>6572</v>
      </c>
      <c r="H5392" t="s">
        <v>9692</v>
      </c>
      <c r="I5392" t="s">
        <v>17604</v>
      </c>
      <c r="J5392" t="s">
        <v>18894</v>
      </c>
      <c r="K5392">
        <v>11233</v>
      </c>
      <c r="L5392" t="s">
        <v>18958</v>
      </c>
      <c r="M5392" t="s">
        <v>18959</v>
      </c>
      <c r="N5392" t="s">
        <v>19330</v>
      </c>
      <c r="O5392" t="s">
        <v>26534</v>
      </c>
      <c r="P5392" t="s">
        <v>26561</v>
      </c>
      <c r="R5392" t="s">
        <v>26578</v>
      </c>
      <c r="S5392" t="s">
        <v>18958</v>
      </c>
      <c r="U5392" t="s">
        <v>26604</v>
      </c>
      <c r="V5392" t="s">
        <v>26610</v>
      </c>
      <c r="W5392" t="s">
        <v>690</v>
      </c>
      <c r="X5392">
        <v>1442</v>
      </c>
      <c r="Y5392" t="s">
        <v>26652</v>
      </c>
      <c r="AB5392" t="s">
        <v>30961</v>
      </c>
      <c r="AE5392">
        <v>359</v>
      </c>
      <c r="AF5392" t="s">
        <v>45541</v>
      </c>
      <c r="AH5392">
        <v>28</v>
      </c>
      <c r="AI5392">
        <v>2</v>
      </c>
      <c r="AJ5392">
        <v>0</v>
      </c>
      <c r="AK5392">
        <v>195.15</v>
      </c>
      <c r="AN5392" t="s">
        <v>7439</v>
      </c>
      <c r="AO5392">
        <v>33000</v>
      </c>
      <c r="AP5392" t="s">
        <v>45860</v>
      </c>
      <c r="AU5392">
        <v>0</v>
      </c>
      <c r="AW5392" t="s">
        <v>279</v>
      </c>
    </row>
    <row r="5393" spans="1:50">
      <c r="A5393" s="1">
        <f>HYPERLINK("https://lsnyc.legalserver.org/matter/dynamic-profile/view/1891580","19-1891580")</f>
        <v>0</v>
      </c>
      <c r="B5393" t="s">
        <v>95</v>
      </c>
      <c r="C5393" t="s">
        <v>340</v>
      </c>
      <c r="D5393" t="s">
        <v>723</v>
      </c>
      <c r="F5393" t="s">
        <v>1029</v>
      </c>
      <c r="G5393" t="s">
        <v>7653</v>
      </c>
      <c r="H5393" t="s">
        <v>12646</v>
      </c>
      <c r="I5393" t="s">
        <v>17428</v>
      </c>
      <c r="J5393" t="s">
        <v>18894</v>
      </c>
      <c r="K5393">
        <v>11233</v>
      </c>
      <c r="L5393" t="s">
        <v>18958</v>
      </c>
      <c r="M5393" t="s">
        <v>18959</v>
      </c>
      <c r="O5393" t="s">
        <v>26534</v>
      </c>
      <c r="P5393" t="s">
        <v>26561</v>
      </c>
      <c r="R5393" t="s">
        <v>26578</v>
      </c>
      <c r="S5393" t="s">
        <v>18958</v>
      </c>
      <c r="U5393" t="s">
        <v>26604</v>
      </c>
      <c r="V5393" t="s">
        <v>26610</v>
      </c>
      <c r="W5393" t="s">
        <v>690</v>
      </c>
      <c r="X5393">
        <v>811.37</v>
      </c>
      <c r="Y5393" t="s">
        <v>26652</v>
      </c>
      <c r="AB5393" t="s">
        <v>31048</v>
      </c>
      <c r="AE5393">
        <v>359</v>
      </c>
      <c r="AF5393" t="s">
        <v>45541</v>
      </c>
      <c r="AH5393">
        <v>20</v>
      </c>
      <c r="AI5393">
        <v>2</v>
      </c>
      <c r="AJ5393">
        <v>0</v>
      </c>
      <c r="AK5393">
        <v>271.41</v>
      </c>
      <c r="AL5393" t="s">
        <v>672</v>
      </c>
      <c r="AM5393" t="s">
        <v>45575</v>
      </c>
      <c r="AN5393" t="s">
        <v>7439</v>
      </c>
      <c r="AO5393">
        <v>45895</v>
      </c>
      <c r="AP5393" t="s">
        <v>45860</v>
      </c>
      <c r="AU5393">
        <v>0</v>
      </c>
      <c r="AW5393" t="s">
        <v>279</v>
      </c>
    </row>
    <row r="5394" spans="1:50">
      <c r="A5394" s="1">
        <f>HYPERLINK("https://lsnyc.legalserver.org/matter/dynamic-profile/view/1891594","19-1891594")</f>
        <v>0</v>
      </c>
      <c r="B5394" t="s">
        <v>95</v>
      </c>
      <c r="C5394" t="s">
        <v>340</v>
      </c>
      <c r="D5394" t="s">
        <v>723</v>
      </c>
      <c r="F5394" t="s">
        <v>3394</v>
      </c>
      <c r="G5394" t="s">
        <v>5857</v>
      </c>
      <c r="H5394" t="s">
        <v>9692</v>
      </c>
      <c r="I5394" t="s">
        <v>17362</v>
      </c>
      <c r="J5394" t="s">
        <v>18894</v>
      </c>
      <c r="K5394">
        <v>11233</v>
      </c>
      <c r="L5394" t="s">
        <v>18958</v>
      </c>
      <c r="M5394" t="s">
        <v>18959</v>
      </c>
      <c r="N5394" t="s">
        <v>19330</v>
      </c>
      <c r="O5394" t="s">
        <v>26534</v>
      </c>
      <c r="P5394" t="s">
        <v>26561</v>
      </c>
      <c r="R5394" t="s">
        <v>26578</v>
      </c>
      <c r="S5394" t="s">
        <v>18958</v>
      </c>
      <c r="U5394" t="s">
        <v>26604</v>
      </c>
      <c r="V5394" t="s">
        <v>26610</v>
      </c>
      <c r="W5394" t="s">
        <v>690</v>
      </c>
      <c r="X5394">
        <v>1038.66</v>
      </c>
      <c r="Y5394" t="s">
        <v>26652</v>
      </c>
      <c r="AB5394" t="s">
        <v>31049</v>
      </c>
      <c r="AE5394">
        <v>359</v>
      </c>
      <c r="AF5394" t="s">
        <v>45541</v>
      </c>
      <c r="AH5394">
        <v>50</v>
      </c>
      <c r="AI5394">
        <v>2</v>
      </c>
      <c r="AJ5394">
        <v>0</v>
      </c>
      <c r="AK5394">
        <v>366.65</v>
      </c>
      <c r="AN5394" t="s">
        <v>7439</v>
      </c>
      <c r="AO5394">
        <v>62000</v>
      </c>
      <c r="AP5394" t="s">
        <v>45860</v>
      </c>
      <c r="AU5394">
        <v>0</v>
      </c>
      <c r="AW5394" t="s">
        <v>279</v>
      </c>
    </row>
    <row r="5395" spans="1:50">
      <c r="A5395" s="1">
        <f>HYPERLINK("https://lsnyc.legalserver.org/matter/dynamic-profile/view/1891586","19-1891586")</f>
        <v>0</v>
      </c>
      <c r="B5395" t="s">
        <v>95</v>
      </c>
      <c r="C5395" t="s">
        <v>340</v>
      </c>
      <c r="D5395" t="s">
        <v>723</v>
      </c>
      <c r="F5395" t="s">
        <v>3395</v>
      </c>
      <c r="G5395" t="s">
        <v>7654</v>
      </c>
      <c r="H5395" t="s">
        <v>12646</v>
      </c>
      <c r="I5395" t="s">
        <v>17361</v>
      </c>
      <c r="J5395" t="s">
        <v>18894</v>
      </c>
      <c r="K5395">
        <v>11233</v>
      </c>
      <c r="L5395" t="s">
        <v>18958</v>
      </c>
      <c r="M5395" t="s">
        <v>18959</v>
      </c>
      <c r="N5395" t="s">
        <v>19330</v>
      </c>
      <c r="O5395" t="s">
        <v>26534</v>
      </c>
      <c r="P5395" t="s">
        <v>26561</v>
      </c>
      <c r="R5395" t="s">
        <v>26578</v>
      </c>
      <c r="S5395" t="s">
        <v>18958</v>
      </c>
      <c r="U5395" t="s">
        <v>26604</v>
      </c>
      <c r="V5395" t="s">
        <v>26610</v>
      </c>
      <c r="W5395" t="s">
        <v>690</v>
      </c>
      <c r="X5395">
        <v>1485</v>
      </c>
      <c r="Y5395" t="s">
        <v>26652</v>
      </c>
      <c r="AB5395" t="s">
        <v>27100</v>
      </c>
      <c r="AE5395">
        <v>359</v>
      </c>
      <c r="AF5395" t="s">
        <v>45541</v>
      </c>
      <c r="AH5395">
        <v>2</v>
      </c>
      <c r="AI5395">
        <v>1</v>
      </c>
      <c r="AJ5395">
        <v>0</v>
      </c>
      <c r="AK5395">
        <v>416.33</v>
      </c>
      <c r="AN5395" t="s">
        <v>7439</v>
      </c>
      <c r="AO5395">
        <v>52000</v>
      </c>
      <c r="AP5395" t="s">
        <v>45860</v>
      </c>
      <c r="AU5395">
        <v>0</v>
      </c>
      <c r="AW5395" t="s">
        <v>279</v>
      </c>
    </row>
    <row r="5396" spans="1:50">
      <c r="A5396" s="1">
        <f>HYPERLINK("https://lsnyc.legalserver.org/matter/dynamic-profile/view/1892004","19-1892004")</f>
        <v>0</v>
      </c>
      <c r="B5396" t="s">
        <v>95</v>
      </c>
      <c r="C5396" t="s">
        <v>340</v>
      </c>
      <c r="D5396" t="s">
        <v>574</v>
      </c>
      <c r="F5396" t="s">
        <v>1281</v>
      </c>
      <c r="G5396" t="s">
        <v>7655</v>
      </c>
      <c r="H5396" t="s">
        <v>9692</v>
      </c>
      <c r="I5396" t="s">
        <v>17343</v>
      </c>
      <c r="J5396" t="s">
        <v>18894</v>
      </c>
      <c r="K5396">
        <v>11233</v>
      </c>
      <c r="L5396" t="s">
        <v>18958</v>
      </c>
      <c r="M5396" t="s">
        <v>18959</v>
      </c>
      <c r="O5396" t="s">
        <v>26534</v>
      </c>
      <c r="P5396" t="s">
        <v>26561</v>
      </c>
      <c r="R5396" t="s">
        <v>26578</v>
      </c>
      <c r="S5396" t="s">
        <v>18958</v>
      </c>
      <c r="U5396" t="s">
        <v>26604</v>
      </c>
      <c r="V5396" t="s">
        <v>26610</v>
      </c>
      <c r="W5396" t="s">
        <v>690</v>
      </c>
      <c r="X5396">
        <v>654.65</v>
      </c>
      <c r="Y5396" t="s">
        <v>26652</v>
      </c>
      <c r="Z5396" t="s">
        <v>26530</v>
      </c>
      <c r="AB5396" t="s">
        <v>31050</v>
      </c>
      <c r="AE5396">
        <v>359</v>
      </c>
      <c r="AF5396" t="s">
        <v>45541</v>
      </c>
      <c r="AG5396" t="s">
        <v>19330</v>
      </c>
      <c r="AH5396">
        <v>17</v>
      </c>
      <c r="AI5396">
        <v>1</v>
      </c>
      <c r="AJ5396">
        <v>1</v>
      </c>
      <c r="AK5396">
        <v>76.88</v>
      </c>
      <c r="AN5396" t="s">
        <v>7439</v>
      </c>
      <c r="AO5396">
        <v>13000</v>
      </c>
      <c r="AP5396" t="s">
        <v>45856</v>
      </c>
      <c r="AU5396">
        <v>0</v>
      </c>
      <c r="AW5396" t="s">
        <v>286</v>
      </c>
    </row>
    <row r="5397" spans="1:50">
      <c r="A5397" s="1">
        <f>HYPERLINK("https://lsnyc.legalserver.org/matter/dynamic-profile/view/1891991","19-1891991")</f>
        <v>0</v>
      </c>
      <c r="B5397" t="s">
        <v>95</v>
      </c>
      <c r="C5397" t="s">
        <v>340</v>
      </c>
      <c r="D5397" t="s">
        <v>574</v>
      </c>
      <c r="F5397" t="s">
        <v>1457</v>
      </c>
      <c r="G5397" t="s">
        <v>7656</v>
      </c>
      <c r="H5397" t="s">
        <v>12821</v>
      </c>
      <c r="I5397" t="s">
        <v>18220</v>
      </c>
      <c r="J5397" t="s">
        <v>18894</v>
      </c>
      <c r="K5397">
        <v>11233</v>
      </c>
      <c r="L5397" t="s">
        <v>18958</v>
      </c>
      <c r="M5397" t="s">
        <v>18959</v>
      </c>
      <c r="O5397" t="s">
        <v>26534</v>
      </c>
      <c r="P5397" t="s">
        <v>26561</v>
      </c>
      <c r="R5397" t="s">
        <v>26578</v>
      </c>
      <c r="S5397" t="s">
        <v>18958</v>
      </c>
      <c r="U5397" t="s">
        <v>26604</v>
      </c>
      <c r="V5397" t="s">
        <v>26610</v>
      </c>
      <c r="W5397" t="s">
        <v>690</v>
      </c>
      <c r="X5397">
        <v>1040.6</v>
      </c>
      <c r="Y5397" t="s">
        <v>26652</v>
      </c>
      <c r="Z5397" t="s">
        <v>26530</v>
      </c>
      <c r="AB5397" t="s">
        <v>31051</v>
      </c>
      <c r="AE5397">
        <v>359</v>
      </c>
      <c r="AF5397" t="s">
        <v>45541</v>
      </c>
      <c r="AG5397" t="s">
        <v>45556</v>
      </c>
      <c r="AH5397">
        <v>29</v>
      </c>
      <c r="AI5397">
        <v>2</v>
      </c>
      <c r="AJ5397">
        <v>0</v>
      </c>
      <c r="AK5397">
        <v>77.31999999999999</v>
      </c>
      <c r="AN5397" t="s">
        <v>7439</v>
      </c>
      <c r="AO5397">
        <v>13074</v>
      </c>
      <c r="AP5397" t="s">
        <v>45862</v>
      </c>
      <c r="AU5397">
        <v>0</v>
      </c>
      <c r="AW5397" t="s">
        <v>286</v>
      </c>
    </row>
    <row r="5398" spans="1:50">
      <c r="A5398" s="1">
        <f>HYPERLINK("https://lsnyc.legalserver.org/matter/dynamic-profile/view/1891925","19-1891925")</f>
        <v>0</v>
      </c>
      <c r="B5398" t="s">
        <v>95</v>
      </c>
      <c r="C5398" t="s">
        <v>340</v>
      </c>
      <c r="D5398" t="s">
        <v>574</v>
      </c>
      <c r="F5398" t="s">
        <v>3396</v>
      </c>
      <c r="G5398" t="s">
        <v>7657</v>
      </c>
      <c r="H5398" t="s">
        <v>9692</v>
      </c>
      <c r="I5398" t="s">
        <v>17755</v>
      </c>
      <c r="J5398" t="s">
        <v>18894</v>
      </c>
      <c r="K5398">
        <v>11233</v>
      </c>
      <c r="L5398" t="s">
        <v>18958</v>
      </c>
      <c r="M5398" t="s">
        <v>18959</v>
      </c>
      <c r="O5398" t="s">
        <v>26534</v>
      </c>
      <c r="P5398" t="s">
        <v>26561</v>
      </c>
      <c r="R5398" t="s">
        <v>26578</v>
      </c>
      <c r="S5398" t="s">
        <v>18958</v>
      </c>
      <c r="U5398" t="s">
        <v>26604</v>
      </c>
      <c r="V5398" t="s">
        <v>26610</v>
      </c>
      <c r="W5398" t="s">
        <v>690</v>
      </c>
      <c r="X5398">
        <v>1047</v>
      </c>
      <c r="Y5398" t="s">
        <v>26652</v>
      </c>
      <c r="Z5398" t="s">
        <v>26530</v>
      </c>
      <c r="AB5398" t="s">
        <v>31052</v>
      </c>
      <c r="AE5398">
        <v>359</v>
      </c>
      <c r="AF5398" t="s">
        <v>45541</v>
      </c>
      <c r="AG5398" t="s">
        <v>19330</v>
      </c>
      <c r="AH5398">
        <v>8</v>
      </c>
      <c r="AI5398">
        <v>3</v>
      </c>
      <c r="AJ5398">
        <v>3</v>
      </c>
      <c r="AK5398">
        <v>211.54</v>
      </c>
      <c r="AN5398" t="s">
        <v>7439</v>
      </c>
      <c r="AO5398">
        <v>73170</v>
      </c>
      <c r="AP5398" t="s">
        <v>45856</v>
      </c>
      <c r="AU5398">
        <v>0</v>
      </c>
      <c r="AW5398" t="s">
        <v>286</v>
      </c>
    </row>
    <row r="5399" spans="1:50">
      <c r="A5399" s="1">
        <f>HYPERLINK("https://lsnyc.legalserver.org/matter/dynamic-profile/view/1891891","19-1891891")</f>
        <v>0</v>
      </c>
      <c r="B5399" t="s">
        <v>95</v>
      </c>
      <c r="C5399" t="s">
        <v>340</v>
      </c>
      <c r="D5399" t="s">
        <v>574</v>
      </c>
      <c r="F5399" t="s">
        <v>2111</v>
      </c>
      <c r="G5399" t="s">
        <v>7658</v>
      </c>
      <c r="H5399" t="s">
        <v>12646</v>
      </c>
      <c r="I5399" t="s">
        <v>17321</v>
      </c>
      <c r="J5399" t="s">
        <v>18894</v>
      </c>
      <c r="K5399">
        <v>11233</v>
      </c>
      <c r="L5399" t="s">
        <v>18959</v>
      </c>
      <c r="M5399" t="s">
        <v>18959</v>
      </c>
      <c r="O5399" t="s">
        <v>26534</v>
      </c>
      <c r="P5399" t="s">
        <v>26561</v>
      </c>
      <c r="R5399" t="s">
        <v>26578</v>
      </c>
      <c r="S5399" t="s">
        <v>18958</v>
      </c>
      <c r="U5399" t="s">
        <v>26604</v>
      </c>
      <c r="V5399" t="s">
        <v>26610</v>
      </c>
      <c r="W5399" t="s">
        <v>690</v>
      </c>
      <c r="X5399">
        <v>775</v>
      </c>
      <c r="Y5399" t="s">
        <v>26652</v>
      </c>
      <c r="Z5399" t="s">
        <v>26530</v>
      </c>
      <c r="AB5399" t="s">
        <v>31053</v>
      </c>
      <c r="AE5399">
        <v>359</v>
      </c>
      <c r="AF5399" t="s">
        <v>45541</v>
      </c>
      <c r="AG5399" t="s">
        <v>19330</v>
      </c>
      <c r="AH5399">
        <v>10</v>
      </c>
      <c r="AI5399">
        <v>2</v>
      </c>
      <c r="AJ5399">
        <v>0</v>
      </c>
      <c r="AK5399">
        <v>254.29</v>
      </c>
      <c r="AN5399" t="s">
        <v>7439</v>
      </c>
      <c r="AO5399">
        <v>43000</v>
      </c>
      <c r="AP5399" t="s">
        <v>45856</v>
      </c>
      <c r="AU5399">
        <v>0</v>
      </c>
      <c r="AW5399" t="s">
        <v>286</v>
      </c>
    </row>
    <row r="5400" spans="1:50">
      <c r="A5400" s="1">
        <f>HYPERLINK("https://lsnyc.legalserver.org/matter/dynamic-profile/view/1891940","19-1891940")</f>
        <v>0</v>
      </c>
      <c r="B5400" t="s">
        <v>95</v>
      </c>
      <c r="C5400" t="s">
        <v>340</v>
      </c>
      <c r="D5400" t="s">
        <v>574</v>
      </c>
      <c r="F5400" t="s">
        <v>1633</v>
      </c>
      <c r="G5400" t="s">
        <v>5177</v>
      </c>
      <c r="H5400" t="s">
        <v>12646</v>
      </c>
      <c r="I5400" t="s">
        <v>17312</v>
      </c>
      <c r="J5400" t="s">
        <v>18894</v>
      </c>
      <c r="K5400">
        <v>11233</v>
      </c>
      <c r="L5400" t="s">
        <v>18958</v>
      </c>
      <c r="M5400" t="s">
        <v>18959</v>
      </c>
      <c r="O5400" t="s">
        <v>26534</v>
      </c>
      <c r="P5400" t="s">
        <v>26561</v>
      </c>
      <c r="R5400" t="s">
        <v>26578</v>
      </c>
      <c r="S5400" t="s">
        <v>18958</v>
      </c>
      <c r="U5400" t="s">
        <v>26604</v>
      </c>
      <c r="V5400" t="s">
        <v>26610</v>
      </c>
      <c r="W5400" t="s">
        <v>690</v>
      </c>
      <c r="X5400">
        <v>1489</v>
      </c>
      <c r="Y5400" t="s">
        <v>26652</v>
      </c>
      <c r="Z5400" t="s">
        <v>26530</v>
      </c>
      <c r="AB5400" t="s">
        <v>29374</v>
      </c>
      <c r="AE5400">
        <v>359</v>
      </c>
      <c r="AF5400" t="s">
        <v>45541</v>
      </c>
      <c r="AG5400" t="s">
        <v>19330</v>
      </c>
      <c r="AH5400">
        <v>4</v>
      </c>
      <c r="AI5400">
        <v>2</v>
      </c>
      <c r="AJ5400">
        <v>0</v>
      </c>
      <c r="AK5400">
        <v>384.39</v>
      </c>
      <c r="AL5400" t="s">
        <v>672</v>
      </c>
      <c r="AM5400" t="s">
        <v>45575</v>
      </c>
      <c r="AN5400" t="s">
        <v>7439</v>
      </c>
      <c r="AO5400">
        <v>65000</v>
      </c>
      <c r="AP5400" t="s">
        <v>45856</v>
      </c>
      <c r="AU5400">
        <v>0</v>
      </c>
      <c r="AW5400" t="s">
        <v>286</v>
      </c>
    </row>
    <row r="5401" spans="1:50">
      <c r="A5401" s="1">
        <f>HYPERLINK("https://lsnyc.legalserver.org/matter/dynamic-profile/view/1891983","19-1891983")</f>
        <v>0</v>
      </c>
      <c r="B5401" t="s">
        <v>95</v>
      </c>
      <c r="C5401" t="s">
        <v>340</v>
      </c>
      <c r="D5401" t="s">
        <v>574</v>
      </c>
      <c r="F5401" t="s">
        <v>986</v>
      </c>
      <c r="G5401" t="s">
        <v>7659</v>
      </c>
      <c r="H5401" t="s">
        <v>12646</v>
      </c>
      <c r="I5401" t="s">
        <v>17972</v>
      </c>
      <c r="J5401" t="s">
        <v>18894</v>
      </c>
      <c r="K5401">
        <v>11233</v>
      </c>
      <c r="L5401" t="s">
        <v>18958</v>
      </c>
      <c r="M5401" t="s">
        <v>18959</v>
      </c>
      <c r="O5401" t="s">
        <v>26534</v>
      </c>
      <c r="P5401" t="s">
        <v>26561</v>
      </c>
      <c r="R5401" t="s">
        <v>26578</v>
      </c>
      <c r="S5401" t="s">
        <v>18958</v>
      </c>
      <c r="U5401" t="s">
        <v>26604</v>
      </c>
      <c r="V5401" t="s">
        <v>26610</v>
      </c>
      <c r="W5401" t="s">
        <v>690</v>
      </c>
      <c r="X5401">
        <v>989.35</v>
      </c>
      <c r="Y5401" t="s">
        <v>26652</v>
      </c>
      <c r="Z5401" t="s">
        <v>26530</v>
      </c>
      <c r="AB5401" t="s">
        <v>31054</v>
      </c>
      <c r="AE5401">
        <v>359</v>
      </c>
      <c r="AF5401" t="s">
        <v>45541</v>
      </c>
      <c r="AG5401" t="s">
        <v>19330</v>
      </c>
      <c r="AH5401">
        <v>16</v>
      </c>
      <c r="AI5401">
        <v>2</v>
      </c>
      <c r="AJ5401">
        <v>0</v>
      </c>
      <c r="AK5401">
        <v>567.71</v>
      </c>
      <c r="AN5401" t="s">
        <v>7439</v>
      </c>
      <c r="AO5401">
        <v>96000</v>
      </c>
      <c r="AP5401" t="s">
        <v>45863</v>
      </c>
      <c r="AU5401">
        <v>0</v>
      </c>
      <c r="AW5401" t="s">
        <v>286</v>
      </c>
    </row>
    <row r="5402" spans="1:50">
      <c r="A5402" s="1">
        <f>HYPERLINK("https://lsnyc.legalserver.org/matter/dynamic-profile/view/1892080","19-1892080")</f>
        <v>0</v>
      </c>
      <c r="B5402" t="s">
        <v>95</v>
      </c>
      <c r="C5402" t="s">
        <v>340</v>
      </c>
      <c r="D5402" t="s">
        <v>758</v>
      </c>
      <c r="F5402" t="s">
        <v>1641</v>
      </c>
      <c r="G5402" t="s">
        <v>7660</v>
      </c>
      <c r="H5402" t="s">
        <v>12821</v>
      </c>
      <c r="I5402" t="s">
        <v>18221</v>
      </c>
      <c r="J5402" t="s">
        <v>18894</v>
      </c>
      <c r="K5402">
        <v>11233</v>
      </c>
      <c r="L5402" t="s">
        <v>18958</v>
      </c>
      <c r="M5402" t="s">
        <v>18959</v>
      </c>
      <c r="O5402" t="s">
        <v>26534</v>
      </c>
      <c r="P5402" t="s">
        <v>26561</v>
      </c>
      <c r="R5402" t="s">
        <v>26578</v>
      </c>
      <c r="S5402" t="s">
        <v>18958</v>
      </c>
      <c r="U5402" t="s">
        <v>26604</v>
      </c>
      <c r="V5402" t="s">
        <v>26610</v>
      </c>
      <c r="W5402" t="s">
        <v>690</v>
      </c>
      <c r="X5402">
        <v>1150</v>
      </c>
      <c r="Y5402" t="s">
        <v>26652</v>
      </c>
      <c r="Z5402" t="s">
        <v>26530</v>
      </c>
      <c r="AB5402" t="s">
        <v>31055</v>
      </c>
      <c r="AE5402">
        <v>359</v>
      </c>
      <c r="AF5402" t="s">
        <v>45541</v>
      </c>
      <c r="AH5402">
        <v>45</v>
      </c>
      <c r="AI5402">
        <v>1</v>
      </c>
      <c r="AJ5402">
        <v>0</v>
      </c>
      <c r="AK5402">
        <v>113.66</v>
      </c>
      <c r="AN5402" t="s">
        <v>7439</v>
      </c>
      <c r="AO5402">
        <v>14196</v>
      </c>
      <c r="AP5402" t="s">
        <v>45856</v>
      </c>
      <c r="AU5402">
        <v>0</v>
      </c>
      <c r="AW5402" t="s">
        <v>286</v>
      </c>
    </row>
    <row r="5403" spans="1:50">
      <c r="A5403" s="1">
        <f>HYPERLINK("https://lsnyc.legalserver.org/matter/dynamic-profile/view/1892069","19-1892069")</f>
        <v>0</v>
      </c>
      <c r="B5403" t="s">
        <v>95</v>
      </c>
      <c r="C5403" t="s">
        <v>340</v>
      </c>
      <c r="D5403" t="s">
        <v>758</v>
      </c>
      <c r="F5403" t="s">
        <v>3397</v>
      </c>
      <c r="G5403" t="s">
        <v>4785</v>
      </c>
      <c r="H5403" t="s">
        <v>9692</v>
      </c>
      <c r="I5403" t="s">
        <v>17293</v>
      </c>
      <c r="J5403" t="s">
        <v>18894</v>
      </c>
      <c r="K5403">
        <v>11233</v>
      </c>
      <c r="L5403" t="s">
        <v>18958</v>
      </c>
      <c r="M5403" t="s">
        <v>18959</v>
      </c>
      <c r="O5403" t="s">
        <v>26534</v>
      </c>
      <c r="P5403" t="s">
        <v>26561</v>
      </c>
      <c r="R5403" t="s">
        <v>26578</v>
      </c>
      <c r="S5403" t="s">
        <v>18958</v>
      </c>
      <c r="U5403" t="s">
        <v>26604</v>
      </c>
      <c r="V5403" t="s">
        <v>26610</v>
      </c>
      <c r="W5403" t="s">
        <v>690</v>
      </c>
      <c r="X5403">
        <v>978</v>
      </c>
      <c r="Y5403" t="s">
        <v>26652</v>
      </c>
      <c r="Z5403" t="s">
        <v>26530</v>
      </c>
      <c r="AB5403" t="s">
        <v>27127</v>
      </c>
      <c r="AE5403">
        <v>359</v>
      </c>
      <c r="AF5403" t="s">
        <v>45541</v>
      </c>
      <c r="AG5403" t="s">
        <v>19330</v>
      </c>
      <c r="AH5403">
        <v>3</v>
      </c>
      <c r="AI5403">
        <v>2</v>
      </c>
      <c r="AJ5403">
        <v>1</v>
      </c>
      <c r="AK5403">
        <v>281.29</v>
      </c>
      <c r="AN5403" t="s">
        <v>7439</v>
      </c>
      <c r="AO5403">
        <v>60000</v>
      </c>
      <c r="AP5403" t="s">
        <v>45856</v>
      </c>
      <c r="AU5403">
        <v>0</v>
      </c>
      <c r="AW5403" t="s">
        <v>286</v>
      </c>
    </row>
    <row r="5404" spans="1:50">
      <c r="A5404" s="1">
        <f>HYPERLINK("https://lsnyc.legalserver.org/matter/dynamic-profile/view/1892094","19-1892094")</f>
        <v>0</v>
      </c>
      <c r="B5404" t="s">
        <v>95</v>
      </c>
      <c r="C5404" t="s">
        <v>340</v>
      </c>
      <c r="D5404" t="s">
        <v>758</v>
      </c>
      <c r="F5404" t="s">
        <v>2276</v>
      </c>
      <c r="G5404" t="s">
        <v>5269</v>
      </c>
      <c r="H5404" t="s">
        <v>9692</v>
      </c>
      <c r="I5404" t="s">
        <v>18222</v>
      </c>
      <c r="J5404" t="s">
        <v>18894</v>
      </c>
      <c r="K5404">
        <v>11233</v>
      </c>
      <c r="L5404" t="s">
        <v>18958</v>
      </c>
      <c r="M5404" t="s">
        <v>18959</v>
      </c>
      <c r="O5404" t="s">
        <v>26534</v>
      </c>
      <c r="P5404" t="s">
        <v>26561</v>
      </c>
      <c r="R5404" t="s">
        <v>26578</v>
      </c>
      <c r="S5404" t="s">
        <v>18958</v>
      </c>
      <c r="U5404" t="s">
        <v>26604</v>
      </c>
      <c r="V5404" t="s">
        <v>26610</v>
      </c>
      <c r="W5404" t="s">
        <v>690</v>
      </c>
      <c r="X5404">
        <v>1037</v>
      </c>
      <c r="Y5404" t="s">
        <v>26652</v>
      </c>
      <c r="Z5404" t="s">
        <v>26530</v>
      </c>
      <c r="AB5404" t="s">
        <v>31056</v>
      </c>
      <c r="AE5404">
        <v>359</v>
      </c>
      <c r="AF5404" t="s">
        <v>45541</v>
      </c>
      <c r="AH5404">
        <v>49</v>
      </c>
      <c r="AI5404">
        <v>3</v>
      </c>
      <c r="AJ5404">
        <v>0</v>
      </c>
      <c r="AK5404">
        <v>365.68</v>
      </c>
      <c r="AN5404" t="s">
        <v>7439</v>
      </c>
      <c r="AO5404">
        <v>78000</v>
      </c>
      <c r="AP5404" t="s">
        <v>45856</v>
      </c>
      <c r="AU5404">
        <v>0</v>
      </c>
      <c r="AW5404" t="s">
        <v>286</v>
      </c>
    </row>
    <row r="5405" spans="1:50">
      <c r="A5405" s="1">
        <f>HYPERLINK("https://lsnyc.legalserver.org/matter/dynamic-profile/view/1892239","19-1892239")</f>
        <v>0</v>
      </c>
      <c r="B5405" t="s">
        <v>208</v>
      </c>
      <c r="C5405" t="s">
        <v>341</v>
      </c>
      <c r="D5405" t="s">
        <v>659</v>
      </c>
      <c r="E5405" t="s">
        <v>416</v>
      </c>
      <c r="F5405" t="s">
        <v>3398</v>
      </c>
      <c r="G5405" t="s">
        <v>5008</v>
      </c>
      <c r="H5405" t="s">
        <v>13665</v>
      </c>
      <c r="I5405" t="s">
        <v>17436</v>
      </c>
      <c r="J5405" t="s">
        <v>18919</v>
      </c>
      <c r="K5405">
        <v>11427</v>
      </c>
      <c r="L5405" t="s">
        <v>18958</v>
      </c>
      <c r="M5405" t="s">
        <v>18958</v>
      </c>
      <c r="N5405" t="s">
        <v>23007</v>
      </c>
      <c r="O5405" t="s">
        <v>26523</v>
      </c>
      <c r="P5405" t="s">
        <v>26564</v>
      </c>
      <c r="Q5405" t="s">
        <v>26570</v>
      </c>
      <c r="R5405" t="s">
        <v>26584</v>
      </c>
      <c r="S5405" t="s">
        <v>18959</v>
      </c>
      <c r="U5405" t="s">
        <v>26604</v>
      </c>
      <c r="W5405" t="s">
        <v>690</v>
      </c>
      <c r="X5405">
        <v>1328</v>
      </c>
      <c r="Y5405" t="s">
        <v>26653</v>
      </c>
      <c r="Z5405" t="s">
        <v>26664</v>
      </c>
      <c r="AA5405" t="s">
        <v>26683</v>
      </c>
      <c r="AB5405" t="s">
        <v>31057</v>
      </c>
      <c r="AC5405" t="s">
        <v>35988</v>
      </c>
      <c r="AD5405" t="s">
        <v>41270</v>
      </c>
      <c r="AE5405">
        <v>48</v>
      </c>
      <c r="AG5405" t="s">
        <v>19330</v>
      </c>
      <c r="AH5405">
        <v>21</v>
      </c>
      <c r="AI5405">
        <v>1</v>
      </c>
      <c r="AJ5405">
        <v>1</v>
      </c>
      <c r="AK5405">
        <v>4.68</v>
      </c>
      <c r="AN5405" t="s">
        <v>7439</v>
      </c>
      <c r="AO5405">
        <v>791</v>
      </c>
      <c r="AU5405">
        <v>3.1</v>
      </c>
      <c r="AV5405" t="s">
        <v>759</v>
      </c>
      <c r="AW5405" t="s">
        <v>208</v>
      </c>
      <c r="AX5405" t="s">
        <v>46897</v>
      </c>
    </row>
    <row r="5406" spans="1:50">
      <c r="A5406" s="1">
        <f>HYPERLINK("https://lsnyc.legalserver.org/matter/dynamic-profile/view/1892505","19-1892505")</f>
        <v>0</v>
      </c>
      <c r="B5406" t="s">
        <v>95</v>
      </c>
      <c r="C5406" t="s">
        <v>340</v>
      </c>
      <c r="D5406" t="s">
        <v>751</v>
      </c>
      <c r="F5406" t="s">
        <v>1328</v>
      </c>
      <c r="G5406" t="s">
        <v>5269</v>
      </c>
      <c r="H5406" t="s">
        <v>9692</v>
      </c>
      <c r="I5406" t="s">
        <v>17358</v>
      </c>
      <c r="J5406" t="s">
        <v>18894</v>
      </c>
      <c r="K5406">
        <v>11233</v>
      </c>
      <c r="L5406" t="s">
        <v>18958</v>
      </c>
      <c r="M5406" t="s">
        <v>18959</v>
      </c>
      <c r="N5406" t="s">
        <v>19045</v>
      </c>
      <c r="O5406" t="s">
        <v>26534</v>
      </c>
      <c r="P5406" t="s">
        <v>26561</v>
      </c>
      <c r="R5406" t="s">
        <v>26578</v>
      </c>
      <c r="S5406" t="s">
        <v>18958</v>
      </c>
      <c r="U5406" t="s">
        <v>26604</v>
      </c>
      <c r="V5406" t="s">
        <v>26610</v>
      </c>
      <c r="W5406" t="s">
        <v>690</v>
      </c>
      <c r="X5406">
        <v>986</v>
      </c>
      <c r="Y5406" t="s">
        <v>26652</v>
      </c>
      <c r="Z5406" t="s">
        <v>26530</v>
      </c>
      <c r="AB5406" t="s">
        <v>31058</v>
      </c>
      <c r="AC5406" t="s">
        <v>19045</v>
      </c>
      <c r="AE5406">
        <v>359</v>
      </c>
      <c r="AF5406" t="s">
        <v>45541</v>
      </c>
      <c r="AG5406" t="s">
        <v>19330</v>
      </c>
      <c r="AH5406">
        <v>16</v>
      </c>
      <c r="AI5406">
        <v>2</v>
      </c>
      <c r="AJ5406">
        <v>1</v>
      </c>
      <c r="AK5406">
        <v>171.84</v>
      </c>
      <c r="AN5406" t="s">
        <v>7439</v>
      </c>
      <c r="AO5406">
        <v>36653</v>
      </c>
      <c r="AP5406" t="s">
        <v>45864</v>
      </c>
      <c r="AU5406">
        <v>0</v>
      </c>
      <c r="AW5406" t="s">
        <v>286</v>
      </c>
      <c r="AX5406" t="s">
        <v>19330</v>
      </c>
    </row>
    <row r="5407" spans="1:50">
      <c r="A5407" s="1">
        <f>HYPERLINK("https://lsnyc.legalserver.org/matter/dynamic-profile/view/1892521","19-1892521")</f>
        <v>0</v>
      </c>
      <c r="B5407" t="s">
        <v>95</v>
      </c>
      <c r="C5407" t="s">
        <v>340</v>
      </c>
      <c r="D5407" t="s">
        <v>751</v>
      </c>
      <c r="F5407" t="s">
        <v>1283</v>
      </c>
      <c r="G5407" t="s">
        <v>1146</v>
      </c>
      <c r="H5407" t="s">
        <v>9692</v>
      </c>
      <c r="I5407" t="s">
        <v>17570</v>
      </c>
      <c r="J5407" t="s">
        <v>18894</v>
      </c>
      <c r="K5407">
        <v>11233</v>
      </c>
      <c r="L5407" t="s">
        <v>18958</v>
      </c>
      <c r="M5407" t="s">
        <v>18959</v>
      </c>
      <c r="O5407" t="s">
        <v>26534</v>
      </c>
      <c r="P5407" t="s">
        <v>26561</v>
      </c>
      <c r="R5407" t="s">
        <v>26578</v>
      </c>
      <c r="S5407" t="s">
        <v>18958</v>
      </c>
      <c r="U5407" t="s">
        <v>26604</v>
      </c>
      <c r="V5407" t="s">
        <v>26610</v>
      </c>
      <c r="W5407" t="s">
        <v>690</v>
      </c>
      <c r="X5407">
        <v>2500</v>
      </c>
      <c r="Y5407" t="s">
        <v>26652</v>
      </c>
      <c r="Z5407" t="s">
        <v>26530</v>
      </c>
      <c r="AB5407" t="s">
        <v>31059</v>
      </c>
      <c r="AE5407">
        <v>359</v>
      </c>
      <c r="AF5407" t="s">
        <v>45541</v>
      </c>
      <c r="AH5407">
        <v>51</v>
      </c>
      <c r="AI5407">
        <v>1</v>
      </c>
      <c r="AJ5407">
        <v>0</v>
      </c>
      <c r="AK5407">
        <v>280.22</v>
      </c>
      <c r="AN5407" t="s">
        <v>7439</v>
      </c>
      <c r="AO5407">
        <v>35000</v>
      </c>
      <c r="AP5407" t="s">
        <v>45856</v>
      </c>
      <c r="AU5407">
        <v>0</v>
      </c>
      <c r="AW5407" t="s">
        <v>286</v>
      </c>
    </row>
    <row r="5408" spans="1:50">
      <c r="A5408" s="1">
        <f>HYPERLINK("https://lsnyc.legalserver.org/matter/dynamic-profile/view/1892678","19-1892678")</f>
        <v>0</v>
      </c>
      <c r="B5408" t="s">
        <v>95</v>
      </c>
      <c r="C5408" t="s">
        <v>340</v>
      </c>
      <c r="D5408" t="s">
        <v>752</v>
      </c>
      <c r="F5408" t="s">
        <v>1253</v>
      </c>
      <c r="G5408" t="s">
        <v>5436</v>
      </c>
      <c r="H5408" t="s">
        <v>12821</v>
      </c>
      <c r="I5408" t="s">
        <v>18223</v>
      </c>
      <c r="J5408" t="s">
        <v>18894</v>
      </c>
      <c r="K5408">
        <v>11233</v>
      </c>
      <c r="L5408" t="s">
        <v>18958</v>
      </c>
      <c r="M5408" t="s">
        <v>18959</v>
      </c>
      <c r="O5408" t="s">
        <v>26534</v>
      </c>
      <c r="P5408" t="s">
        <v>26561</v>
      </c>
      <c r="R5408" t="s">
        <v>26578</v>
      </c>
      <c r="S5408" t="s">
        <v>18958</v>
      </c>
      <c r="U5408" t="s">
        <v>26604</v>
      </c>
      <c r="V5408" t="s">
        <v>26610</v>
      </c>
      <c r="W5408" t="s">
        <v>690</v>
      </c>
      <c r="X5408">
        <v>0</v>
      </c>
      <c r="Y5408" t="s">
        <v>26652</v>
      </c>
      <c r="Z5408" t="s">
        <v>26530</v>
      </c>
      <c r="AB5408" t="s">
        <v>31060</v>
      </c>
      <c r="AE5408">
        <v>359</v>
      </c>
      <c r="AF5408" t="s">
        <v>45541</v>
      </c>
      <c r="AH5408">
        <v>1</v>
      </c>
      <c r="AI5408">
        <v>1</v>
      </c>
      <c r="AJ5408">
        <v>1</v>
      </c>
      <c r="AK5408">
        <v>86.08</v>
      </c>
      <c r="AN5408" t="s">
        <v>7439</v>
      </c>
      <c r="AO5408">
        <v>14556</v>
      </c>
      <c r="AP5408" t="s">
        <v>45864</v>
      </c>
      <c r="AU5408">
        <v>0</v>
      </c>
      <c r="AW5408" t="s">
        <v>286</v>
      </c>
    </row>
    <row r="5409" spans="1:49">
      <c r="A5409" s="1">
        <f>HYPERLINK("https://lsnyc.legalserver.org/matter/dynamic-profile/view/1892650","19-1892650")</f>
        <v>0</v>
      </c>
      <c r="B5409" t="s">
        <v>95</v>
      </c>
      <c r="C5409" t="s">
        <v>340</v>
      </c>
      <c r="D5409" t="s">
        <v>752</v>
      </c>
      <c r="F5409" t="s">
        <v>974</v>
      </c>
      <c r="G5409" t="s">
        <v>7661</v>
      </c>
      <c r="H5409" t="s">
        <v>12821</v>
      </c>
      <c r="I5409" t="s">
        <v>17690</v>
      </c>
      <c r="J5409" t="s">
        <v>18894</v>
      </c>
      <c r="K5409">
        <v>11233</v>
      </c>
      <c r="L5409" t="s">
        <v>18958</v>
      </c>
      <c r="M5409" t="s">
        <v>18959</v>
      </c>
      <c r="O5409" t="s">
        <v>26534</v>
      </c>
      <c r="P5409" t="s">
        <v>26561</v>
      </c>
      <c r="R5409" t="s">
        <v>26578</v>
      </c>
      <c r="S5409" t="s">
        <v>18958</v>
      </c>
      <c r="U5409" t="s">
        <v>26604</v>
      </c>
      <c r="V5409" t="s">
        <v>26610</v>
      </c>
      <c r="W5409" t="s">
        <v>690</v>
      </c>
      <c r="X5409">
        <v>1321</v>
      </c>
      <c r="Y5409" t="s">
        <v>26652</v>
      </c>
      <c r="Z5409" t="s">
        <v>26530</v>
      </c>
      <c r="AB5409" t="s">
        <v>27114</v>
      </c>
      <c r="AE5409">
        <v>359</v>
      </c>
      <c r="AF5409" t="s">
        <v>45541</v>
      </c>
      <c r="AH5409">
        <v>34</v>
      </c>
      <c r="AI5409">
        <v>1</v>
      </c>
      <c r="AJ5409">
        <v>3</v>
      </c>
      <c r="AK5409">
        <v>89.8</v>
      </c>
      <c r="AN5409" t="s">
        <v>7439</v>
      </c>
      <c r="AO5409">
        <v>23124</v>
      </c>
      <c r="AP5409" t="s">
        <v>45864</v>
      </c>
      <c r="AU5409">
        <v>0</v>
      </c>
      <c r="AW5409" t="s">
        <v>286</v>
      </c>
    </row>
    <row r="5410" spans="1:49">
      <c r="A5410" s="1">
        <f>HYPERLINK("https://lsnyc.legalserver.org/matter/dynamic-profile/view/1892667","19-1892667")</f>
        <v>0</v>
      </c>
      <c r="B5410" t="s">
        <v>95</v>
      </c>
      <c r="C5410" t="s">
        <v>340</v>
      </c>
      <c r="D5410" t="s">
        <v>752</v>
      </c>
      <c r="F5410" t="s">
        <v>3399</v>
      </c>
      <c r="G5410" t="s">
        <v>7662</v>
      </c>
      <c r="H5410" t="s">
        <v>12821</v>
      </c>
      <c r="I5410" t="s">
        <v>17390</v>
      </c>
      <c r="J5410" t="s">
        <v>18894</v>
      </c>
      <c r="K5410">
        <v>11233</v>
      </c>
      <c r="L5410" t="s">
        <v>18958</v>
      </c>
      <c r="M5410" t="s">
        <v>18959</v>
      </c>
      <c r="O5410" t="s">
        <v>26534</v>
      </c>
      <c r="P5410" t="s">
        <v>26561</v>
      </c>
      <c r="R5410" t="s">
        <v>26578</v>
      </c>
      <c r="S5410" t="s">
        <v>18958</v>
      </c>
      <c r="U5410" t="s">
        <v>26604</v>
      </c>
      <c r="V5410" t="s">
        <v>26610</v>
      </c>
      <c r="W5410" t="s">
        <v>690</v>
      </c>
      <c r="X5410">
        <v>981.97</v>
      </c>
      <c r="Y5410" t="s">
        <v>26652</v>
      </c>
      <c r="Z5410" t="s">
        <v>26530</v>
      </c>
      <c r="AB5410" t="s">
        <v>28624</v>
      </c>
      <c r="AE5410">
        <v>359</v>
      </c>
      <c r="AF5410" t="s">
        <v>45541</v>
      </c>
      <c r="AH5410">
        <v>0</v>
      </c>
      <c r="AI5410">
        <v>4</v>
      </c>
      <c r="AJ5410">
        <v>1</v>
      </c>
      <c r="AK5410">
        <v>178.99</v>
      </c>
      <c r="AN5410" t="s">
        <v>8151</v>
      </c>
      <c r="AO5410">
        <v>54000</v>
      </c>
      <c r="AP5410" t="s">
        <v>45864</v>
      </c>
      <c r="AU5410">
        <v>0</v>
      </c>
      <c r="AW5410" t="s">
        <v>286</v>
      </c>
    </row>
    <row r="5411" spans="1:49">
      <c r="A5411" s="1">
        <f>HYPERLINK("https://lsnyc.legalserver.org/matter/dynamic-profile/view/1892764","19-1892764")</f>
        <v>0</v>
      </c>
      <c r="B5411" t="s">
        <v>95</v>
      </c>
      <c r="C5411" t="s">
        <v>340</v>
      </c>
      <c r="D5411" t="s">
        <v>752</v>
      </c>
      <c r="F5411" t="s">
        <v>3400</v>
      </c>
      <c r="G5411" t="s">
        <v>7663</v>
      </c>
      <c r="H5411" t="s">
        <v>12821</v>
      </c>
      <c r="I5411" t="s">
        <v>17496</v>
      </c>
      <c r="J5411" t="s">
        <v>18894</v>
      </c>
      <c r="K5411">
        <v>11233</v>
      </c>
      <c r="L5411" t="s">
        <v>18958</v>
      </c>
      <c r="M5411" t="s">
        <v>18959</v>
      </c>
      <c r="O5411" t="s">
        <v>26534</v>
      </c>
      <c r="P5411" t="s">
        <v>26561</v>
      </c>
      <c r="R5411" t="s">
        <v>26578</v>
      </c>
      <c r="S5411" t="s">
        <v>18958</v>
      </c>
      <c r="U5411" t="s">
        <v>26604</v>
      </c>
      <c r="V5411" t="s">
        <v>26610</v>
      </c>
      <c r="W5411" t="s">
        <v>690</v>
      </c>
      <c r="X5411">
        <v>1200</v>
      </c>
      <c r="Y5411" t="s">
        <v>26652</v>
      </c>
      <c r="Z5411" t="s">
        <v>26530</v>
      </c>
      <c r="AB5411" t="s">
        <v>31061</v>
      </c>
      <c r="AE5411">
        <v>359</v>
      </c>
      <c r="AF5411" t="s">
        <v>45541</v>
      </c>
      <c r="AH5411">
        <v>4</v>
      </c>
      <c r="AI5411">
        <v>2</v>
      </c>
      <c r="AJ5411">
        <v>1</v>
      </c>
      <c r="AK5411">
        <v>281.29</v>
      </c>
      <c r="AN5411" t="s">
        <v>7439</v>
      </c>
      <c r="AO5411">
        <v>60000</v>
      </c>
      <c r="AP5411" t="s">
        <v>45865</v>
      </c>
      <c r="AU5411">
        <v>0</v>
      </c>
      <c r="AW5411" t="s">
        <v>286</v>
      </c>
    </row>
    <row r="5412" spans="1:49">
      <c r="A5412" s="1">
        <f>HYPERLINK("https://lsnyc.legalserver.org/matter/dynamic-profile/view/1892761","19-1892761")</f>
        <v>0</v>
      </c>
      <c r="B5412" t="s">
        <v>95</v>
      </c>
      <c r="C5412" t="s">
        <v>340</v>
      </c>
      <c r="D5412" t="s">
        <v>752</v>
      </c>
      <c r="F5412" t="s">
        <v>3401</v>
      </c>
      <c r="G5412" t="s">
        <v>7664</v>
      </c>
      <c r="H5412" t="s">
        <v>13666</v>
      </c>
      <c r="I5412" t="s">
        <v>17471</v>
      </c>
      <c r="J5412" t="s">
        <v>18894</v>
      </c>
      <c r="K5412">
        <v>11233</v>
      </c>
      <c r="L5412" t="s">
        <v>18958</v>
      </c>
      <c r="M5412" t="s">
        <v>18959</v>
      </c>
      <c r="O5412" t="s">
        <v>26534</v>
      </c>
      <c r="P5412" t="s">
        <v>26561</v>
      </c>
      <c r="R5412" t="s">
        <v>26578</v>
      </c>
      <c r="S5412" t="s">
        <v>18958</v>
      </c>
      <c r="U5412" t="s">
        <v>26604</v>
      </c>
      <c r="V5412" t="s">
        <v>26610</v>
      </c>
      <c r="W5412" t="s">
        <v>690</v>
      </c>
      <c r="X5412">
        <v>1825</v>
      </c>
      <c r="Y5412" t="s">
        <v>26652</v>
      </c>
      <c r="Z5412" t="s">
        <v>26530</v>
      </c>
      <c r="AB5412" t="s">
        <v>31062</v>
      </c>
      <c r="AE5412">
        <v>359</v>
      </c>
      <c r="AF5412" t="s">
        <v>45541</v>
      </c>
      <c r="AH5412">
        <v>1</v>
      </c>
      <c r="AI5412">
        <v>2</v>
      </c>
      <c r="AJ5412">
        <v>0</v>
      </c>
      <c r="AK5412">
        <v>283.86</v>
      </c>
      <c r="AL5412" t="s">
        <v>672</v>
      </c>
      <c r="AM5412" t="s">
        <v>45575</v>
      </c>
      <c r="AN5412" t="s">
        <v>7439</v>
      </c>
      <c r="AO5412">
        <v>48000</v>
      </c>
      <c r="AP5412" t="s">
        <v>45866</v>
      </c>
      <c r="AU5412">
        <v>0</v>
      </c>
      <c r="AW5412" t="s">
        <v>286</v>
      </c>
    </row>
    <row r="5413" spans="1:49">
      <c r="A5413" s="1">
        <f>HYPERLINK("https://lsnyc.legalserver.org/matter/dynamic-profile/view/1892641","19-1892641")</f>
        <v>0</v>
      </c>
      <c r="B5413" t="s">
        <v>95</v>
      </c>
      <c r="C5413" t="s">
        <v>340</v>
      </c>
      <c r="D5413" t="s">
        <v>752</v>
      </c>
      <c r="F5413" t="s">
        <v>1555</v>
      </c>
      <c r="G5413" t="s">
        <v>5761</v>
      </c>
      <c r="H5413" t="s">
        <v>12821</v>
      </c>
      <c r="I5413" t="s">
        <v>18224</v>
      </c>
      <c r="J5413" t="s">
        <v>18894</v>
      </c>
      <c r="K5413">
        <v>11233</v>
      </c>
      <c r="L5413" t="s">
        <v>18958</v>
      </c>
      <c r="M5413" t="s">
        <v>18959</v>
      </c>
      <c r="O5413" t="s">
        <v>26534</v>
      </c>
      <c r="P5413" t="s">
        <v>26561</v>
      </c>
      <c r="R5413" t="s">
        <v>26578</v>
      </c>
      <c r="S5413" t="s">
        <v>18958</v>
      </c>
      <c r="U5413" t="s">
        <v>26604</v>
      </c>
      <c r="V5413" t="s">
        <v>26610</v>
      </c>
      <c r="W5413" t="s">
        <v>690</v>
      </c>
      <c r="X5413">
        <v>812</v>
      </c>
      <c r="Y5413" t="s">
        <v>26652</v>
      </c>
      <c r="Z5413" t="s">
        <v>26530</v>
      </c>
      <c r="AB5413" t="s">
        <v>31063</v>
      </c>
      <c r="AE5413">
        <v>359</v>
      </c>
      <c r="AF5413" t="s">
        <v>45541</v>
      </c>
      <c r="AH5413">
        <v>18</v>
      </c>
      <c r="AI5413">
        <v>1</v>
      </c>
      <c r="AJ5413">
        <v>0</v>
      </c>
      <c r="AK5413">
        <v>320.26</v>
      </c>
      <c r="AN5413" t="s">
        <v>7439</v>
      </c>
      <c r="AO5413">
        <v>40000</v>
      </c>
      <c r="AP5413" t="s">
        <v>45856</v>
      </c>
      <c r="AU5413">
        <v>0</v>
      </c>
      <c r="AW5413" t="s">
        <v>286</v>
      </c>
    </row>
    <row r="5414" spans="1:49">
      <c r="A5414" s="1">
        <f>HYPERLINK("https://lsnyc.legalserver.org/matter/dynamic-profile/view/1892850","19-1892850")</f>
        <v>0</v>
      </c>
      <c r="B5414" t="s">
        <v>95</v>
      </c>
      <c r="C5414" t="s">
        <v>340</v>
      </c>
      <c r="D5414" t="s">
        <v>753</v>
      </c>
      <c r="F5414" t="s">
        <v>3402</v>
      </c>
      <c r="G5414" t="s">
        <v>5266</v>
      </c>
      <c r="H5414" t="s">
        <v>13666</v>
      </c>
      <c r="I5414" t="s">
        <v>18207</v>
      </c>
      <c r="J5414" t="s">
        <v>18894</v>
      </c>
      <c r="K5414">
        <v>11233</v>
      </c>
      <c r="L5414" t="s">
        <v>18958</v>
      </c>
      <c r="M5414" t="s">
        <v>18959</v>
      </c>
      <c r="O5414" t="s">
        <v>26534</v>
      </c>
      <c r="P5414" t="s">
        <v>26561</v>
      </c>
      <c r="R5414" t="s">
        <v>26578</v>
      </c>
      <c r="S5414" t="s">
        <v>18958</v>
      </c>
      <c r="U5414" t="s">
        <v>26604</v>
      </c>
      <c r="V5414" t="s">
        <v>26610</v>
      </c>
      <c r="W5414" t="s">
        <v>690</v>
      </c>
      <c r="X5414">
        <v>833</v>
      </c>
      <c r="Y5414" t="s">
        <v>26652</v>
      </c>
      <c r="Z5414" t="s">
        <v>26530</v>
      </c>
      <c r="AB5414" t="s">
        <v>31064</v>
      </c>
      <c r="AE5414">
        <v>359</v>
      </c>
      <c r="AF5414" t="s">
        <v>45541</v>
      </c>
      <c r="AH5414">
        <v>1</v>
      </c>
      <c r="AI5414">
        <v>1</v>
      </c>
      <c r="AJ5414">
        <v>0</v>
      </c>
      <c r="AK5414">
        <v>344.28</v>
      </c>
      <c r="AL5414" t="s">
        <v>672</v>
      </c>
      <c r="AM5414" t="s">
        <v>45575</v>
      </c>
      <c r="AN5414" t="s">
        <v>7439</v>
      </c>
      <c r="AO5414">
        <v>43000</v>
      </c>
      <c r="AP5414" t="s">
        <v>45853</v>
      </c>
      <c r="AU5414">
        <v>0</v>
      </c>
      <c r="AW5414" t="s">
        <v>286</v>
      </c>
    </row>
    <row r="5415" spans="1:49">
      <c r="A5415" s="1">
        <f>HYPERLINK("https://lsnyc.legalserver.org/matter/dynamic-profile/view/1892863","19-1892863")</f>
        <v>0</v>
      </c>
      <c r="B5415" t="s">
        <v>95</v>
      </c>
      <c r="C5415" t="s">
        <v>340</v>
      </c>
      <c r="D5415" t="s">
        <v>753</v>
      </c>
      <c r="F5415" t="s">
        <v>2542</v>
      </c>
      <c r="G5415" t="s">
        <v>7665</v>
      </c>
      <c r="H5415" t="s">
        <v>13666</v>
      </c>
      <c r="I5415" t="s">
        <v>17410</v>
      </c>
      <c r="J5415" t="s">
        <v>18894</v>
      </c>
      <c r="K5415">
        <v>11233</v>
      </c>
      <c r="L5415" t="s">
        <v>18958</v>
      </c>
      <c r="M5415" t="s">
        <v>18959</v>
      </c>
      <c r="O5415" t="s">
        <v>26534</v>
      </c>
      <c r="P5415" t="s">
        <v>26561</v>
      </c>
      <c r="R5415" t="s">
        <v>26578</v>
      </c>
      <c r="S5415" t="s">
        <v>18958</v>
      </c>
      <c r="U5415" t="s">
        <v>26604</v>
      </c>
      <c r="V5415" t="s">
        <v>26610</v>
      </c>
      <c r="W5415" t="s">
        <v>690</v>
      </c>
      <c r="X5415">
        <v>621.34</v>
      </c>
      <c r="Y5415" t="s">
        <v>26652</v>
      </c>
      <c r="Z5415" t="s">
        <v>26530</v>
      </c>
      <c r="AB5415" t="s">
        <v>31065</v>
      </c>
      <c r="AE5415">
        <v>359</v>
      </c>
      <c r="AF5415" t="s">
        <v>45541</v>
      </c>
      <c r="AH5415">
        <v>18</v>
      </c>
      <c r="AI5415">
        <v>1</v>
      </c>
      <c r="AJ5415">
        <v>0</v>
      </c>
      <c r="AK5415">
        <v>408.33</v>
      </c>
      <c r="AN5415" t="s">
        <v>7439</v>
      </c>
      <c r="AO5415">
        <v>51000</v>
      </c>
      <c r="AP5415" t="s">
        <v>45864</v>
      </c>
      <c r="AU5415">
        <v>0</v>
      </c>
      <c r="AW5415" t="s">
        <v>286</v>
      </c>
    </row>
    <row r="5416" spans="1:49">
      <c r="A5416" s="1">
        <f>HYPERLINK("https://lsnyc.legalserver.org/matter/dynamic-profile/view/1893258","19-1893258")</f>
        <v>0</v>
      </c>
      <c r="B5416" t="s">
        <v>95</v>
      </c>
      <c r="C5416" t="s">
        <v>340</v>
      </c>
      <c r="D5416" t="s">
        <v>759</v>
      </c>
      <c r="F5416" t="s">
        <v>3403</v>
      </c>
      <c r="G5416" t="s">
        <v>5008</v>
      </c>
      <c r="H5416" t="s">
        <v>12646</v>
      </c>
      <c r="I5416" t="s">
        <v>17299</v>
      </c>
      <c r="J5416" t="s">
        <v>18894</v>
      </c>
      <c r="K5416">
        <v>11233</v>
      </c>
      <c r="L5416" t="s">
        <v>18958</v>
      </c>
      <c r="M5416" t="s">
        <v>18959</v>
      </c>
      <c r="N5416" t="s">
        <v>19330</v>
      </c>
      <c r="O5416" t="s">
        <v>26534</v>
      </c>
      <c r="P5416" t="s">
        <v>26561</v>
      </c>
      <c r="R5416" t="s">
        <v>26578</v>
      </c>
      <c r="S5416" t="s">
        <v>18958</v>
      </c>
      <c r="U5416" t="s">
        <v>26604</v>
      </c>
      <c r="V5416" t="s">
        <v>26610</v>
      </c>
      <c r="W5416" t="s">
        <v>690</v>
      </c>
      <c r="X5416">
        <v>1515</v>
      </c>
      <c r="Y5416" t="s">
        <v>26652</v>
      </c>
      <c r="Z5416" t="s">
        <v>26530</v>
      </c>
      <c r="AB5416" t="s">
        <v>31066</v>
      </c>
      <c r="AC5416" t="s">
        <v>19330</v>
      </c>
      <c r="AE5416">
        <v>359</v>
      </c>
      <c r="AF5416" t="s">
        <v>45541</v>
      </c>
      <c r="AG5416" t="s">
        <v>19330</v>
      </c>
      <c r="AH5416">
        <v>2</v>
      </c>
      <c r="AI5416">
        <v>1</v>
      </c>
      <c r="AJ5416">
        <v>0</v>
      </c>
      <c r="AK5416">
        <v>454.64</v>
      </c>
      <c r="AN5416" t="s">
        <v>7439</v>
      </c>
      <c r="AO5416">
        <v>56784</v>
      </c>
      <c r="AP5416" t="s">
        <v>45867</v>
      </c>
      <c r="AU5416">
        <v>0</v>
      </c>
      <c r="AW5416" t="s">
        <v>279</v>
      </c>
    </row>
    <row r="5417" spans="1:49">
      <c r="A5417" s="1">
        <f>HYPERLINK("https://lsnyc.legalserver.org/matter/dynamic-profile/view/1897167","19-1897167")</f>
        <v>0</v>
      </c>
      <c r="B5417" t="s">
        <v>95</v>
      </c>
      <c r="C5417" t="s">
        <v>340</v>
      </c>
      <c r="D5417" t="s">
        <v>760</v>
      </c>
      <c r="F5417" t="s">
        <v>3404</v>
      </c>
      <c r="G5417" t="s">
        <v>7666</v>
      </c>
      <c r="H5417" t="s">
        <v>12646</v>
      </c>
      <c r="I5417" t="s">
        <v>18225</v>
      </c>
      <c r="J5417" t="s">
        <v>18894</v>
      </c>
      <c r="K5417">
        <v>11233</v>
      </c>
      <c r="L5417" t="s">
        <v>18958</v>
      </c>
      <c r="M5417" t="s">
        <v>18959</v>
      </c>
      <c r="O5417" t="s">
        <v>26534</v>
      </c>
      <c r="P5417" t="s">
        <v>26561</v>
      </c>
      <c r="R5417" t="s">
        <v>26578</v>
      </c>
      <c r="S5417" t="s">
        <v>18958</v>
      </c>
      <c r="U5417" t="s">
        <v>26604</v>
      </c>
      <c r="V5417" t="s">
        <v>26610</v>
      </c>
      <c r="W5417" t="s">
        <v>690</v>
      </c>
      <c r="X5417">
        <v>1294.06</v>
      </c>
      <c r="Y5417" t="s">
        <v>26652</v>
      </c>
      <c r="Z5417" t="s">
        <v>26530</v>
      </c>
      <c r="AE5417">
        <v>359</v>
      </c>
      <c r="AF5417" t="s">
        <v>45541</v>
      </c>
      <c r="AG5417" t="s">
        <v>19330</v>
      </c>
      <c r="AH5417">
        <v>27</v>
      </c>
      <c r="AI5417">
        <v>1</v>
      </c>
      <c r="AJ5417">
        <v>0</v>
      </c>
      <c r="AK5417">
        <v>0</v>
      </c>
      <c r="AN5417" t="s">
        <v>7439</v>
      </c>
      <c r="AO5417">
        <v>0</v>
      </c>
      <c r="AP5417" t="s">
        <v>45853</v>
      </c>
      <c r="AU5417">
        <v>0</v>
      </c>
      <c r="AW5417" t="s">
        <v>286</v>
      </c>
    </row>
    <row r="5418" spans="1:49">
      <c r="A5418" s="1">
        <f>HYPERLINK("https://lsnyc.legalserver.org/matter/dynamic-profile/view/1897185","19-1897185")</f>
        <v>0</v>
      </c>
      <c r="B5418" t="s">
        <v>95</v>
      </c>
      <c r="C5418" t="s">
        <v>340</v>
      </c>
      <c r="D5418" t="s">
        <v>760</v>
      </c>
      <c r="F5418" t="s">
        <v>928</v>
      </c>
      <c r="G5418" t="s">
        <v>994</v>
      </c>
      <c r="H5418" t="s">
        <v>12646</v>
      </c>
      <c r="I5418" t="s">
        <v>17293</v>
      </c>
      <c r="J5418" t="s">
        <v>18894</v>
      </c>
      <c r="K5418">
        <v>11233</v>
      </c>
      <c r="L5418" t="s">
        <v>18958</v>
      </c>
      <c r="M5418" t="s">
        <v>18959</v>
      </c>
      <c r="O5418" t="s">
        <v>26534</v>
      </c>
      <c r="P5418" t="s">
        <v>26561</v>
      </c>
      <c r="R5418" t="s">
        <v>26578</v>
      </c>
      <c r="S5418" t="s">
        <v>18958</v>
      </c>
      <c r="U5418" t="s">
        <v>26604</v>
      </c>
      <c r="V5418" t="s">
        <v>26610</v>
      </c>
      <c r="W5418" t="s">
        <v>690</v>
      </c>
      <c r="X5418">
        <v>1014</v>
      </c>
      <c r="Y5418" t="s">
        <v>26652</v>
      </c>
      <c r="Z5418" t="s">
        <v>26530</v>
      </c>
      <c r="AB5418" t="s">
        <v>31067</v>
      </c>
      <c r="AE5418">
        <v>359</v>
      </c>
      <c r="AF5418" t="s">
        <v>45541</v>
      </c>
      <c r="AH5418">
        <v>30</v>
      </c>
      <c r="AI5418">
        <v>1</v>
      </c>
      <c r="AJ5418">
        <v>0</v>
      </c>
      <c r="AK5418">
        <v>0</v>
      </c>
      <c r="AN5418" t="s">
        <v>7439</v>
      </c>
      <c r="AO5418">
        <v>0</v>
      </c>
      <c r="AP5418" t="s">
        <v>45868</v>
      </c>
      <c r="AU5418">
        <v>0</v>
      </c>
      <c r="AW5418" t="s">
        <v>286</v>
      </c>
    </row>
    <row r="5419" spans="1:49">
      <c r="A5419" s="1">
        <f>HYPERLINK("https://lsnyc.legalserver.org/matter/dynamic-profile/view/1897195","19-1897195")</f>
        <v>0</v>
      </c>
      <c r="B5419" t="s">
        <v>95</v>
      </c>
      <c r="C5419" t="s">
        <v>340</v>
      </c>
      <c r="D5419" t="s">
        <v>760</v>
      </c>
      <c r="F5419" t="s">
        <v>3405</v>
      </c>
      <c r="G5419" t="s">
        <v>7667</v>
      </c>
      <c r="H5419" t="s">
        <v>12821</v>
      </c>
      <c r="I5419" t="s">
        <v>18226</v>
      </c>
      <c r="J5419" t="s">
        <v>18894</v>
      </c>
      <c r="K5419">
        <v>11233</v>
      </c>
      <c r="L5419" t="s">
        <v>18958</v>
      </c>
      <c r="M5419" t="s">
        <v>18959</v>
      </c>
      <c r="O5419" t="s">
        <v>26534</v>
      </c>
      <c r="P5419" t="s">
        <v>26561</v>
      </c>
      <c r="R5419" t="s">
        <v>26578</v>
      </c>
      <c r="S5419" t="s">
        <v>18958</v>
      </c>
      <c r="U5419" t="s">
        <v>26604</v>
      </c>
      <c r="V5419" t="s">
        <v>26610</v>
      </c>
      <c r="W5419" t="s">
        <v>690</v>
      </c>
      <c r="X5419">
        <v>0</v>
      </c>
      <c r="Y5419" t="s">
        <v>26652</v>
      </c>
      <c r="Z5419" t="s">
        <v>26530</v>
      </c>
      <c r="AB5419" t="s">
        <v>31068</v>
      </c>
      <c r="AE5419">
        <v>359</v>
      </c>
      <c r="AF5419" t="s">
        <v>45541</v>
      </c>
      <c r="AH5419">
        <v>20</v>
      </c>
      <c r="AI5419">
        <v>1</v>
      </c>
      <c r="AJ5419">
        <v>0</v>
      </c>
      <c r="AK5419">
        <v>0</v>
      </c>
      <c r="AN5419" t="s">
        <v>7439</v>
      </c>
      <c r="AO5419">
        <v>0</v>
      </c>
      <c r="AP5419" t="s">
        <v>45853</v>
      </c>
      <c r="AU5419">
        <v>0</v>
      </c>
      <c r="AW5419" t="s">
        <v>286</v>
      </c>
    </row>
    <row r="5420" spans="1:49">
      <c r="A5420" s="1">
        <f>HYPERLINK("https://lsnyc.legalserver.org/matter/dynamic-profile/view/1897175","19-1897175")</f>
        <v>0</v>
      </c>
      <c r="B5420" t="s">
        <v>95</v>
      </c>
      <c r="C5420" t="s">
        <v>340</v>
      </c>
      <c r="D5420" t="s">
        <v>760</v>
      </c>
      <c r="F5420" t="s">
        <v>939</v>
      </c>
      <c r="G5420" t="s">
        <v>5008</v>
      </c>
      <c r="H5420" t="s">
        <v>12646</v>
      </c>
      <c r="I5420" t="s">
        <v>18227</v>
      </c>
      <c r="J5420" t="s">
        <v>18894</v>
      </c>
      <c r="K5420">
        <v>11233</v>
      </c>
      <c r="L5420" t="s">
        <v>18958</v>
      </c>
      <c r="M5420" t="s">
        <v>18959</v>
      </c>
      <c r="O5420" t="s">
        <v>26534</v>
      </c>
      <c r="P5420" t="s">
        <v>26561</v>
      </c>
      <c r="R5420" t="s">
        <v>26578</v>
      </c>
      <c r="S5420" t="s">
        <v>18958</v>
      </c>
      <c r="U5420" t="s">
        <v>26604</v>
      </c>
      <c r="V5420" t="s">
        <v>26610</v>
      </c>
      <c r="W5420" t="s">
        <v>690</v>
      </c>
      <c r="X5420">
        <v>603.74</v>
      </c>
      <c r="Y5420" t="s">
        <v>26652</v>
      </c>
      <c r="Z5420" t="s">
        <v>26530</v>
      </c>
      <c r="AB5420" t="s">
        <v>31069</v>
      </c>
      <c r="AE5420">
        <v>359</v>
      </c>
      <c r="AF5420" t="s">
        <v>45541</v>
      </c>
      <c r="AG5420" t="s">
        <v>19330</v>
      </c>
      <c r="AH5420">
        <v>50</v>
      </c>
      <c r="AI5420">
        <v>1</v>
      </c>
      <c r="AJ5420">
        <v>0</v>
      </c>
      <c r="AK5420">
        <v>87.33</v>
      </c>
      <c r="AN5420" t="s">
        <v>7439</v>
      </c>
      <c r="AO5420">
        <v>10908</v>
      </c>
      <c r="AP5420" t="s">
        <v>45864</v>
      </c>
      <c r="AU5420">
        <v>0</v>
      </c>
      <c r="AW5420" t="s">
        <v>286</v>
      </c>
    </row>
    <row r="5421" spans="1:49">
      <c r="A5421" s="1">
        <f>HYPERLINK("https://lsnyc.legalserver.org/matter/dynamic-profile/view/1897154","19-1897154")</f>
        <v>0</v>
      </c>
      <c r="B5421" t="s">
        <v>95</v>
      </c>
      <c r="C5421" t="s">
        <v>340</v>
      </c>
      <c r="D5421" t="s">
        <v>760</v>
      </c>
      <c r="F5421" t="s">
        <v>3406</v>
      </c>
      <c r="G5421" t="s">
        <v>1384</v>
      </c>
      <c r="H5421" t="s">
        <v>9692</v>
      </c>
      <c r="I5421" t="s">
        <v>18122</v>
      </c>
      <c r="J5421" t="s">
        <v>18894</v>
      </c>
      <c r="K5421">
        <v>11233</v>
      </c>
      <c r="L5421" t="s">
        <v>18958</v>
      </c>
      <c r="M5421" t="s">
        <v>18959</v>
      </c>
      <c r="O5421" t="s">
        <v>26534</v>
      </c>
      <c r="P5421" t="s">
        <v>26561</v>
      </c>
      <c r="R5421" t="s">
        <v>26578</v>
      </c>
      <c r="S5421" t="s">
        <v>18958</v>
      </c>
      <c r="U5421" t="s">
        <v>26604</v>
      </c>
      <c r="V5421" t="s">
        <v>26610</v>
      </c>
      <c r="W5421" t="s">
        <v>690</v>
      </c>
      <c r="X5421">
        <v>1100</v>
      </c>
      <c r="Y5421" t="s">
        <v>26652</v>
      </c>
      <c r="Z5421" t="s">
        <v>26530</v>
      </c>
      <c r="AB5421" t="s">
        <v>31070</v>
      </c>
      <c r="AE5421">
        <v>359</v>
      </c>
      <c r="AF5421" t="s">
        <v>45541</v>
      </c>
      <c r="AG5421" t="s">
        <v>19330</v>
      </c>
      <c r="AH5421">
        <v>32</v>
      </c>
      <c r="AI5421">
        <v>1</v>
      </c>
      <c r="AJ5421">
        <v>1</v>
      </c>
      <c r="AK5421">
        <v>95.8</v>
      </c>
      <c r="AN5421" t="s">
        <v>7439</v>
      </c>
      <c r="AO5421">
        <v>16200</v>
      </c>
      <c r="AP5421" t="s">
        <v>45853</v>
      </c>
      <c r="AU5421">
        <v>0</v>
      </c>
      <c r="AW5421" t="s">
        <v>286</v>
      </c>
    </row>
    <row r="5422" spans="1:49">
      <c r="A5422" s="1">
        <f>HYPERLINK("https://lsnyc.legalserver.org/matter/dynamic-profile/view/1897205","19-1897205")</f>
        <v>0</v>
      </c>
      <c r="B5422" t="s">
        <v>95</v>
      </c>
      <c r="C5422" t="s">
        <v>340</v>
      </c>
      <c r="D5422" t="s">
        <v>760</v>
      </c>
      <c r="F5422" t="s">
        <v>1228</v>
      </c>
      <c r="G5422" t="s">
        <v>7668</v>
      </c>
      <c r="H5422" t="s">
        <v>13666</v>
      </c>
      <c r="I5422" t="s">
        <v>17322</v>
      </c>
      <c r="J5422" t="s">
        <v>18894</v>
      </c>
      <c r="K5422">
        <v>11233</v>
      </c>
      <c r="L5422" t="s">
        <v>18958</v>
      </c>
      <c r="M5422" t="s">
        <v>18959</v>
      </c>
      <c r="O5422" t="s">
        <v>26534</v>
      </c>
      <c r="P5422" t="s">
        <v>26561</v>
      </c>
      <c r="R5422" t="s">
        <v>26578</v>
      </c>
      <c r="S5422" t="s">
        <v>18958</v>
      </c>
      <c r="U5422" t="s">
        <v>26604</v>
      </c>
      <c r="V5422" t="s">
        <v>26610</v>
      </c>
      <c r="W5422" t="s">
        <v>690</v>
      </c>
      <c r="X5422">
        <v>651.8</v>
      </c>
      <c r="Y5422" t="s">
        <v>26652</v>
      </c>
      <c r="Z5422" t="s">
        <v>26530</v>
      </c>
      <c r="AB5422" t="s">
        <v>31071</v>
      </c>
      <c r="AE5422">
        <v>359</v>
      </c>
      <c r="AF5422" t="s">
        <v>45541</v>
      </c>
      <c r="AH5422">
        <v>40</v>
      </c>
      <c r="AI5422">
        <v>1</v>
      </c>
      <c r="AJ5422">
        <v>2</v>
      </c>
      <c r="AK5422">
        <v>262.54</v>
      </c>
      <c r="AN5422" t="s">
        <v>45581</v>
      </c>
      <c r="AO5422">
        <v>56000</v>
      </c>
      <c r="AP5422" t="s">
        <v>45869</v>
      </c>
      <c r="AU5422">
        <v>0</v>
      </c>
      <c r="AW5422" t="s">
        <v>286</v>
      </c>
    </row>
    <row r="5423" spans="1:49">
      <c r="A5423" s="1">
        <f>HYPERLINK("https://lsnyc.legalserver.org/matter/dynamic-profile/view/1897399","19-1897399")</f>
        <v>0</v>
      </c>
      <c r="B5423" t="s">
        <v>95</v>
      </c>
      <c r="C5423" t="s">
        <v>340</v>
      </c>
      <c r="D5423" t="s">
        <v>761</v>
      </c>
      <c r="F5423" t="s">
        <v>3407</v>
      </c>
      <c r="G5423" t="s">
        <v>7669</v>
      </c>
      <c r="H5423" t="s">
        <v>9692</v>
      </c>
      <c r="I5423" t="s">
        <v>18228</v>
      </c>
      <c r="J5423" t="s">
        <v>18894</v>
      </c>
      <c r="K5423">
        <v>11233</v>
      </c>
      <c r="L5423" t="s">
        <v>18958</v>
      </c>
      <c r="M5423" t="s">
        <v>18959</v>
      </c>
      <c r="O5423" t="s">
        <v>26534</v>
      </c>
      <c r="P5423" t="s">
        <v>26561</v>
      </c>
      <c r="R5423" t="s">
        <v>26578</v>
      </c>
      <c r="S5423" t="s">
        <v>18958</v>
      </c>
      <c r="U5423" t="s">
        <v>26604</v>
      </c>
      <c r="V5423" t="s">
        <v>26610</v>
      </c>
      <c r="W5423" t="s">
        <v>690</v>
      </c>
      <c r="X5423">
        <v>924.1799999999999</v>
      </c>
      <c r="Y5423" t="s">
        <v>26652</v>
      </c>
      <c r="Z5423" t="s">
        <v>26666</v>
      </c>
      <c r="AB5423" t="s">
        <v>27244</v>
      </c>
      <c r="AE5423">
        <v>359</v>
      </c>
      <c r="AF5423" t="s">
        <v>45541</v>
      </c>
      <c r="AH5423">
        <v>3</v>
      </c>
      <c r="AI5423">
        <v>2</v>
      </c>
      <c r="AJ5423">
        <v>0</v>
      </c>
      <c r="AK5423">
        <v>236.55</v>
      </c>
      <c r="AN5423" t="s">
        <v>7439</v>
      </c>
      <c r="AO5423">
        <v>40000</v>
      </c>
      <c r="AP5423" t="s">
        <v>45870</v>
      </c>
      <c r="AU5423">
        <v>0</v>
      </c>
      <c r="AW5423" t="s">
        <v>279</v>
      </c>
    </row>
    <row r="5424" spans="1:49">
      <c r="A5424" s="1">
        <f>HYPERLINK("https://lsnyc.legalserver.org/matter/dynamic-profile/view/1897404","19-1897404")</f>
        <v>0</v>
      </c>
      <c r="B5424" t="s">
        <v>95</v>
      </c>
      <c r="C5424" t="s">
        <v>340</v>
      </c>
      <c r="D5424" t="s">
        <v>761</v>
      </c>
      <c r="F5424" t="s">
        <v>1573</v>
      </c>
      <c r="G5424" t="s">
        <v>7670</v>
      </c>
      <c r="H5424" t="s">
        <v>9692</v>
      </c>
      <c r="I5424" t="s">
        <v>18229</v>
      </c>
      <c r="J5424" t="s">
        <v>18894</v>
      </c>
      <c r="K5424">
        <v>11233</v>
      </c>
      <c r="L5424" t="s">
        <v>18958</v>
      </c>
      <c r="M5424" t="s">
        <v>18959</v>
      </c>
      <c r="O5424" t="s">
        <v>26534</v>
      </c>
      <c r="P5424" t="s">
        <v>26561</v>
      </c>
      <c r="R5424" t="s">
        <v>26578</v>
      </c>
      <c r="S5424" t="s">
        <v>18958</v>
      </c>
      <c r="U5424" t="s">
        <v>26604</v>
      </c>
      <c r="V5424" t="s">
        <v>26610</v>
      </c>
      <c r="W5424" t="s">
        <v>690</v>
      </c>
      <c r="X5424">
        <v>601</v>
      </c>
      <c r="Y5424" t="s">
        <v>26652</v>
      </c>
      <c r="Z5424" t="s">
        <v>26666</v>
      </c>
      <c r="AB5424" t="s">
        <v>31072</v>
      </c>
      <c r="AE5424">
        <v>359</v>
      </c>
      <c r="AF5424" t="s">
        <v>45541</v>
      </c>
      <c r="AH5424">
        <v>7</v>
      </c>
      <c r="AI5424">
        <v>1</v>
      </c>
      <c r="AJ5424">
        <v>0</v>
      </c>
      <c r="AK5424">
        <v>264.21</v>
      </c>
      <c r="AN5424" t="s">
        <v>7439</v>
      </c>
      <c r="AO5424">
        <v>33000</v>
      </c>
      <c r="AP5424" t="s">
        <v>45871</v>
      </c>
      <c r="AU5424">
        <v>0</v>
      </c>
      <c r="AW5424" t="s">
        <v>279</v>
      </c>
    </row>
    <row r="5425" spans="1:49">
      <c r="A5425" s="1">
        <f>HYPERLINK("https://lsnyc.legalserver.org/matter/dynamic-profile/view/1897345","19-1897345")</f>
        <v>0</v>
      </c>
      <c r="B5425" t="s">
        <v>95</v>
      </c>
      <c r="C5425" t="s">
        <v>340</v>
      </c>
      <c r="D5425" t="s">
        <v>761</v>
      </c>
      <c r="F5425" t="s">
        <v>1045</v>
      </c>
      <c r="G5425" t="s">
        <v>6055</v>
      </c>
      <c r="H5425" t="s">
        <v>12646</v>
      </c>
      <c r="I5425" t="s">
        <v>17632</v>
      </c>
      <c r="J5425" t="s">
        <v>18894</v>
      </c>
      <c r="K5425">
        <v>11233</v>
      </c>
      <c r="L5425" t="s">
        <v>18958</v>
      </c>
      <c r="M5425" t="s">
        <v>18959</v>
      </c>
      <c r="O5425" t="s">
        <v>26534</v>
      </c>
      <c r="P5425" t="s">
        <v>26561</v>
      </c>
      <c r="R5425" t="s">
        <v>26578</v>
      </c>
      <c r="S5425" t="s">
        <v>18958</v>
      </c>
      <c r="U5425" t="s">
        <v>26604</v>
      </c>
      <c r="V5425" t="s">
        <v>26610</v>
      </c>
      <c r="W5425" t="s">
        <v>690</v>
      </c>
      <c r="X5425">
        <v>780</v>
      </c>
      <c r="Y5425" t="s">
        <v>26652</v>
      </c>
      <c r="Z5425" t="s">
        <v>26666</v>
      </c>
      <c r="AB5425" t="s">
        <v>31073</v>
      </c>
      <c r="AE5425">
        <v>359</v>
      </c>
      <c r="AF5425" t="s">
        <v>45541</v>
      </c>
      <c r="AH5425">
        <v>21</v>
      </c>
      <c r="AI5425">
        <v>2</v>
      </c>
      <c r="AJ5425">
        <v>0</v>
      </c>
      <c r="AK5425">
        <v>266.11</v>
      </c>
      <c r="AN5425" t="s">
        <v>7439</v>
      </c>
      <c r="AO5425">
        <v>45000</v>
      </c>
      <c r="AP5425" t="s">
        <v>45872</v>
      </c>
      <c r="AU5425">
        <v>0</v>
      </c>
      <c r="AW5425" t="s">
        <v>279</v>
      </c>
    </row>
    <row r="5426" spans="1:49">
      <c r="A5426" s="1">
        <f>HYPERLINK("https://lsnyc.legalserver.org/matter/dynamic-profile/view/1897392","19-1897392")</f>
        <v>0</v>
      </c>
      <c r="B5426" t="s">
        <v>95</v>
      </c>
      <c r="C5426" t="s">
        <v>340</v>
      </c>
      <c r="D5426" t="s">
        <v>761</v>
      </c>
      <c r="F5426" t="s">
        <v>1417</v>
      </c>
      <c r="G5426" t="s">
        <v>7671</v>
      </c>
      <c r="H5426" t="s">
        <v>12646</v>
      </c>
      <c r="I5426" t="s">
        <v>18049</v>
      </c>
      <c r="J5426" t="s">
        <v>18894</v>
      </c>
      <c r="K5426">
        <v>11233</v>
      </c>
      <c r="L5426" t="s">
        <v>18958</v>
      </c>
      <c r="M5426" t="s">
        <v>18959</v>
      </c>
      <c r="O5426" t="s">
        <v>26534</v>
      </c>
      <c r="P5426" t="s">
        <v>26562</v>
      </c>
      <c r="R5426" t="s">
        <v>26578</v>
      </c>
      <c r="S5426" t="s">
        <v>18958</v>
      </c>
      <c r="U5426" t="s">
        <v>26604</v>
      </c>
      <c r="V5426" t="s">
        <v>26610</v>
      </c>
      <c r="W5426" t="s">
        <v>690</v>
      </c>
      <c r="X5426">
        <v>1162</v>
      </c>
      <c r="Y5426" t="s">
        <v>26652</v>
      </c>
      <c r="Z5426" t="s">
        <v>26666</v>
      </c>
      <c r="AB5426" t="s">
        <v>31074</v>
      </c>
      <c r="AE5426">
        <v>359</v>
      </c>
      <c r="AF5426" t="s">
        <v>45541</v>
      </c>
      <c r="AH5426">
        <v>30</v>
      </c>
      <c r="AI5426">
        <v>1</v>
      </c>
      <c r="AJ5426">
        <v>0</v>
      </c>
      <c r="AK5426">
        <v>320.26</v>
      </c>
      <c r="AN5426" t="s">
        <v>7439</v>
      </c>
      <c r="AO5426">
        <v>40000</v>
      </c>
      <c r="AP5426" t="s">
        <v>45873</v>
      </c>
      <c r="AU5426">
        <v>0</v>
      </c>
      <c r="AW5426" t="s">
        <v>279</v>
      </c>
    </row>
    <row r="5427" spans="1:49">
      <c r="A5427" s="1">
        <f>HYPERLINK("https://lsnyc.legalserver.org/matter/dynamic-profile/view/1897408","19-1897408")</f>
        <v>0</v>
      </c>
      <c r="B5427" t="s">
        <v>95</v>
      </c>
      <c r="C5427" t="s">
        <v>340</v>
      </c>
      <c r="D5427" t="s">
        <v>761</v>
      </c>
      <c r="F5427" t="s">
        <v>1523</v>
      </c>
      <c r="G5427" t="s">
        <v>7672</v>
      </c>
      <c r="H5427" t="s">
        <v>9692</v>
      </c>
      <c r="I5427" t="s">
        <v>18230</v>
      </c>
      <c r="J5427" t="s">
        <v>18894</v>
      </c>
      <c r="K5427">
        <v>11233</v>
      </c>
      <c r="L5427" t="s">
        <v>18958</v>
      </c>
      <c r="M5427" t="s">
        <v>18959</v>
      </c>
      <c r="O5427" t="s">
        <v>26534</v>
      </c>
      <c r="P5427" t="s">
        <v>26561</v>
      </c>
      <c r="R5427" t="s">
        <v>26578</v>
      </c>
      <c r="S5427" t="s">
        <v>18958</v>
      </c>
      <c r="U5427" t="s">
        <v>26604</v>
      </c>
      <c r="V5427" t="s">
        <v>26610</v>
      </c>
      <c r="W5427" t="s">
        <v>690</v>
      </c>
      <c r="X5427">
        <v>1000</v>
      </c>
      <c r="Y5427" t="s">
        <v>26652</v>
      </c>
      <c r="Z5427" t="s">
        <v>26666</v>
      </c>
      <c r="AB5427" t="s">
        <v>31075</v>
      </c>
      <c r="AE5427">
        <v>359</v>
      </c>
      <c r="AF5427" t="s">
        <v>45541</v>
      </c>
      <c r="AH5427">
        <v>4</v>
      </c>
      <c r="AI5427">
        <v>3</v>
      </c>
      <c r="AJ5427">
        <v>0</v>
      </c>
      <c r="AK5427">
        <v>375.06</v>
      </c>
      <c r="AN5427" t="s">
        <v>7439</v>
      </c>
      <c r="AO5427">
        <v>80000</v>
      </c>
      <c r="AP5427" t="s">
        <v>45874</v>
      </c>
      <c r="AU5427">
        <v>0</v>
      </c>
      <c r="AW5427" t="s">
        <v>279</v>
      </c>
    </row>
    <row r="5428" spans="1:49">
      <c r="A5428" s="1">
        <f>HYPERLINK("https://lsnyc.legalserver.org/matter/dynamic-profile/view/1897337","19-1897337")</f>
        <v>0</v>
      </c>
      <c r="B5428" t="s">
        <v>95</v>
      </c>
      <c r="C5428" t="s">
        <v>340</v>
      </c>
      <c r="D5428" t="s">
        <v>761</v>
      </c>
      <c r="F5428" t="s">
        <v>1876</v>
      </c>
      <c r="G5428" t="s">
        <v>7673</v>
      </c>
      <c r="H5428" t="s">
        <v>12646</v>
      </c>
      <c r="I5428" t="s">
        <v>17588</v>
      </c>
      <c r="J5428" t="s">
        <v>18894</v>
      </c>
      <c r="K5428">
        <v>11233</v>
      </c>
      <c r="L5428" t="s">
        <v>18958</v>
      </c>
      <c r="M5428" t="s">
        <v>18959</v>
      </c>
      <c r="O5428" t="s">
        <v>26534</v>
      </c>
      <c r="P5428" t="s">
        <v>26561</v>
      </c>
      <c r="R5428" t="s">
        <v>26578</v>
      </c>
      <c r="U5428" t="s">
        <v>26604</v>
      </c>
      <c r="V5428" t="s">
        <v>26610</v>
      </c>
      <c r="W5428" t="s">
        <v>690</v>
      </c>
      <c r="X5428">
        <v>100</v>
      </c>
      <c r="Y5428" t="s">
        <v>26652</v>
      </c>
      <c r="Z5428" t="s">
        <v>26666</v>
      </c>
      <c r="AB5428" t="s">
        <v>31076</v>
      </c>
      <c r="AE5428">
        <v>359</v>
      </c>
      <c r="AF5428" t="s">
        <v>45541</v>
      </c>
      <c r="AH5428">
        <v>50</v>
      </c>
      <c r="AI5428">
        <v>2</v>
      </c>
      <c r="AJ5428">
        <v>0</v>
      </c>
      <c r="AK5428">
        <v>384.39</v>
      </c>
      <c r="AN5428" t="s">
        <v>7439</v>
      </c>
      <c r="AO5428">
        <v>65000</v>
      </c>
      <c r="AP5428" t="s">
        <v>45875</v>
      </c>
      <c r="AU5428">
        <v>0</v>
      </c>
      <c r="AW5428" t="s">
        <v>279</v>
      </c>
    </row>
    <row r="5429" spans="1:49">
      <c r="A5429" s="1">
        <f>HYPERLINK("https://lsnyc.legalserver.org/matter/dynamic-profile/view/1897528","19-1897528")</f>
        <v>0</v>
      </c>
      <c r="B5429" t="s">
        <v>95</v>
      </c>
      <c r="C5429" t="s">
        <v>340</v>
      </c>
      <c r="D5429" t="s">
        <v>762</v>
      </c>
      <c r="F5429" t="s">
        <v>1010</v>
      </c>
      <c r="G5429" t="s">
        <v>7674</v>
      </c>
      <c r="H5429" t="s">
        <v>12646</v>
      </c>
      <c r="I5429" t="s">
        <v>18231</v>
      </c>
      <c r="J5429" t="s">
        <v>18894</v>
      </c>
      <c r="K5429">
        <v>11233</v>
      </c>
      <c r="L5429" t="s">
        <v>18958</v>
      </c>
      <c r="M5429" t="s">
        <v>18959</v>
      </c>
      <c r="O5429" t="s">
        <v>26534</v>
      </c>
      <c r="P5429" t="s">
        <v>26561</v>
      </c>
      <c r="R5429" t="s">
        <v>26578</v>
      </c>
      <c r="S5429" t="s">
        <v>18958</v>
      </c>
      <c r="U5429" t="s">
        <v>26604</v>
      </c>
      <c r="V5429" t="s">
        <v>26610</v>
      </c>
      <c r="W5429" t="s">
        <v>690</v>
      </c>
      <c r="X5429">
        <v>976.08</v>
      </c>
      <c r="Y5429" t="s">
        <v>26652</v>
      </c>
      <c r="Z5429" t="s">
        <v>26666</v>
      </c>
      <c r="AB5429" t="s">
        <v>31077</v>
      </c>
      <c r="AE5429">
        <v>359</v>
      </c>
      <c r="AF5429" t="s">
        <v>45541</v>
      </c>
      <c r="AH5429">
        <v>0</v>
      </c>
      <c r="AI5429">
        <v>1</v>
      </c>
      <c r="AJ5429">
        <v>0</v>
      </c>
      <c r="AK5429">
        <v>0</v>
      </c>
      <c r="AN5429" t="s">
        <v>7439</v>
      </c>
      <c r="AO5429">
        <v>0</v>
      </c>
      <c r="AP5429" t="s">
        <v>45875</v>
      </c>
      <c r="AU5429">
        <v>0</v>
      </c>
      <c r="AW5429" t="s">
        <v>279</v>
      </c>
    </row>
    <row r="5430" spans="1:49">
      <c r="A5430" s="1">
        <f>HYPERLINK("https://lsnyc.legalserver.org/matter/dynamic-profile/view/1897516","19-1897516")</f>
        <v>0</v>
      </c>
      <c r="B5430" t="s">
        <v>95</v>
      </c>
      <c r="C5430" t="s">
        <v>340</v>
      </c>
      <c r="D5430" t="s">
        <v>762</v>
      </c>
      <c r="F5430" t="s">
        <v>3408</v>
      </c>
      <c r="G5430" t="s">
        <v>7675</v>
      </c>
      <c r="H5430" t="s">
        <v>9692</v>
      </c>
      <c r="I5430" t="s">
        <v>17484</v>
      </c>
      <c r="J5430" t="s">
        <v>18894</v>
      </c>
      <c r="K5430">
        <v>11233</v>
      </c>
      <c r="L5430" t="s">
        <v>18958</v>
      </c>
      <c r="M5430" t="s">
        <v>18959</v>
      </c>
      <c r="O5430" t="s">
        <v>26534</v>
      </c>
      <c r="P5430" t="s">
        <v>26561</v>
      </c>
      <c r="R5430" t="s">
        <v>26578</v>
      </c>
      <c r="S5430" t="s">
        <v>18958</v>
      </c>
      <c r="U5430" t="s">
        <v>26604</v>
      </c>
      <c r="V5430" t="s">
        <v>26610</v>
      </c>
      <c r="W5430" t="s">
        <v>690</v>
      </c>
      <c r="X5430">
        <v>0</v>
      </c>
      <c r="Y5430" t="s">
        <v>26652</v>
      </c>
      <c r="AB5430" t="s">
        <v>31078</v>
      </c>
      <c r="AE5430">
        <v>359</v>
      </c>
      <c r="AF5430" t="s">
        <v>45541</v>
      </c>
      <c r="AH5430">
        <v>0</v>
      </c>
      <c r="AI5430">
        <v>2</v>
      </c>
      <c r="AJ5430">
        <v>3</v>
      </c>
      <c r="AK5430">
        <v>142.53</v>
      </c>
      <c r="AN5430" t="s">
        <v>26530</v>
      </c>
      <c r="AO5430">
        <v>43000</v>
      </c>
      <c r="AP5430" t="s">
        <v>45875</v>
      </c>
      <c r="AU5430">
        <v>0</v>
      </c>
      <c r="AW5430" t="s">
        <v>279</v>
      </c>
    </row>
    <row r="5431" spans="1:49">
      <c r="A5431" s="1">
        <f>HYPERLINK("https://lsnyc.legalserver.org/matter/dynamic-profile/view/1897518","19-1897518")</f>
        <v>0</v>
      </c>
      <c r="B5431" t="s">
        <v>95</v>
      </c>
      <c r="C5431" t="s">
        <v>340</v>
      </c>
      <c r="D5431" t="s">
        <v>762</v>
      </c>
      <c r="F5431" t="s">
        <v>1106</v>
      </c>
      <c r="G5431" t="s">
        <v>5079</v>
      </c>
      <c r="H5431" t="s">
        <v>9692</v>
      </c>
      <c r="I5431" t="s">
        <v>18232</v>
      </c>
      <c r="J5431" t="s">
        <v>18894</v>
      </c>
      <c r="K5431">
        <v>11233</v>
      </c>
      <c r="L5431" t="s">
        <v>18958</v>
      </c>
      <c r="M5431" t="s">
        <v>18959</v>
      </c>
      <c r="O5431" t="s">
        <v>26534</v>
      </c>
      <c r="P5431" t="s">
        <v>26561</v>
      </c>
      <c r="R5431" t="s">
        <v>26578</v>
      </c>
      <c r="S5431" t="s">
        <v>18958</v>
      </c>
      <c r="U5431" t="s">
        <v>26604</v>
      </c>
      <c r="V5431" t="s">
        <v>26610</v>
      </c>
      <c r="W5431" t="s">
        <v>690</v>
      </c>
      <c r="X5431">
        <v>981</v>
      </c>
      <c r="Y5431" t="s">
        <v>26652</v>
      </c>
      <c r="Z5431" t="s">
        <v>26666</v>
      </c>
      <c r="AB5431" t="s">
        <v>31079</v>
      </c>
      <c r="AE5431">
        <v>359</v>
      </c>
      <c r="AF5431" t="s">
        <v>45541</v>
      </c>
      <c r="AH5431">
        <v>20</v>
      </c>
      <c r="AI5431">
        <v>1</v>
      </c>
      <c r="AJ5431">
        <v>1</v>
      </c>
      <c r="AK5431">
        <v>189.24</v>
      </c>
      <c r="AN5431" t="s">
        <v>7439</v>
      </c>
      <c r="AO5431">
        <v>32000</v>
      </c>
      <c r="AP5431" t="s">
        <v>45875</v>
      </c>
      <c r="AU5431">
        <v>0</v>
      </c>
      <c r="AW5431" t="s">
        <v>279</v>
      </c>
    </row>
    <row r="5432" spans="1:49">
      <c r="A5432" s="1">
        <f>HYPERLINK("https://lsnyc.legalserver.org/matter/dynamic-profile/view/1897522","19-1897522")</f>
        <v>0</v>
      </c>
      <c r="B5432" t="s">
        <v>95</v>
      </c>
      <c r="C5432" t="s">
        <v>340</v>
      </c>
      <c r="D5432" t="s">
        <v>762</v>
      </c>
      <c r="F5432" t="s">
        <v>938</v>
      </c>
      <c r="G5432" t="s">
        <v>995</v>
      </c>
      <c r="H5432" t="s">
        <v>12646</v>
      </c>
      <c r="I5432" t="s">
        <v>18233</v>
      </c>
      <c r="J5432" t="s">
        <v>18894</v>
      </c>
      <c r="K5432">
        <v>11233</v>
      </c>
      <c r="L5432" t="s">
        <v>18958</v>
      </c>
      <c r="M5432" t="s">
        <v>18959</v>
      </c>
      <c r="O5432" t="s">
        <v>26534</v>
      </c>
      <c r="P5432" t="s">
        <v>26561</v>
      </c>
      <c r="R5432" t="s">
        <v>26578</v>
      </c>
      <c r="S5432" t="s">
        <v>18958</v>
      </c>
      <c r="U5432" t="s">
        <v>26604</v>
      </c>
      <c r="V5432" t="s">
        <v>26610</v>
      </c>
      <c r="W5432" t="s">
        <v>690</v>
      </c>
      <c r="X5432">
        <v>1225.26</v>
      </c>
      <c r="Y5432" t="s">
        <v>26652</v>
      </c>
      <c r="Z5432" t="s">
        <v>26666</v>
      </c>
      <c r="AB5432" t="s">
        <v>31080</v>
      </c>
      <c r="AC5432" t="s">
        <v>19330</v>
      </c>
      <c r="AE5432">
        <v>359</v>
      </c>
      <c r="AF5432" t="s">
        <v>45541</v>
      </c>
      <c r="AG5432" t="s">
        <v>19330</v>
      </c>
      <c r="AH5432">
        <v>0</v>
      </c>
      <c r="AI5432">
        <v>1</v>
      </c>
      <c r="AJ5432">
        <v>0</v>
      </c>
      <c r="AK5432">
        <v>236.19</v>
      </c>
      <c r="AN5432" t="s">
        <v>7439</v>
      </c>
      <c r="AO5432">
        <v>29500</v>
      </c>
      <c r="AP5432" t="s">
        <v>45875</v>
      </c>
      <c r="AU5432">
        <v>0</v>
      </c>
      <c r="AW5432" t="s">
        <v>279</v>
      </c>
    </row>
    <row r="5433" spans="1:49">
      <c r="A5433" s="1">
        <f>HYPERLINK("https://lsnyc.legalserver.org/matter/dynamic-profile/view/1897534","19-1897534")</f>
        <v>0</v>
      </c>
      <c r="B5433" t="s">
        <v>95</v>
      </c>
      <c r="C5433" t="s">
        <v>340</v>
      </c>
      <c r="D5433" t="s">
        <v>762</v>
      </c>
      <c r="F5433" t="s">
        <v>2272</v>
      </c>
      <c r="G5433" t="s">
        <v>7676</v>
      </c>
      <c r="H5433" t="s">
        <v>12646</v>
      </c>
      <c r="I5433" t="s">
        <v>18052</v>
      </c>
      <c r="J5433" t="s">
        <v>18894</v>
      </c>
      <c r="K5433">
        <v>11233</v>
      </c>
      <c r="L5433" t="s">
        <v>18958</v>
      </c>
      <c r="M5433" t="s">
        <v>18959</v>
      </c>
      <c r="O5433" t="s">
        <v>26534</v>
      </c>
      <c r="P5433" t="s">
        <v>26561</v>
      </c>
      <c r="R5433" t="s">
        <v>26578</v>
      </c>
      <c r="S5433" t="s">
        <v>18958</v>
      </c>
      <c r="U5433" t="s">
        <v>26604</v>
      </c>
      <c r="V5433" t="s">
        <v>26610</v>
      </c>
      <c r="W5433" t="s">
        <v>690</v>
      </c>
      <c r="X5433">
        <v>0</v>
      </c>
      <c r="Y5433" t="s">
        <v>26652</v>
      </c>
      <c r="Z5433" t="s">
        <v>26666</v>
      </c>
      <c r="AB5433" t="s">
        <v>28044</v>
      </c>
      <c r="AE5433">
        <v>359</v>
      </c>
      <c r="AF5433" t="s">
        <v>45541</v>
      </c>
      <c r="AH5433">
        <v>40</v>
      </c>
      <c r="AI5433">
        <v>1</v>
      </c>
      <c r="AJ5433">
        <v>0</v>
      </c>
      <c r="AK5433">
        <v>264.21</v>
      </c>
      <c r="AN5433" t="s">
        <v>7439</v>
      </c>
      <c r="AO5433">
        <v>33000</v>
      </c>
      <c r="AP5433" t="s">
        <v>45875</v>
      </c>
      <c r="AU5433">
        <v>0</v>
      </c>
      <c r="AW5433" t="s">
        <v>279</v>
      </c>
    </row>
    <row r="5434" spans="1:49">
      <c r="A5434" s="1">
        <f>HYPERLINK("https://lsnyc.legalserver.org/matter/dynamic-profile/view/1897609","19-1897609")</f>
        <v>0</v>
      </c>
      <c r="B5434" t="s">
        <v>95</v>
      </c>
      <c r="C5434" t="s">
        <v>340</v>
      </c>
      <c r="D5434" t="s">
        <v>763</v>
      </c>
      <c r="F5434" t="s">
        <v>1174</v>
      </c>
      <c r="G5434" t="s">
        <v>7677</v>
      </c>
      <c r="H5434" t="s">
        <v>9692</v>
      </c>
      <c r="I5434" t="s">
        <v>18135</v>
      </c>
      <c r="J5434" t="s">
        <v>18894</v>
      </c>
      <c r="K5434">
        <v>11233</v>
      </c>
      <c r="L5434" t="s">
        <v>18958</v>
      </c>
      <c r="M5434" t="s">
        <v>18959</v>
      </c>
      <c r="O5434" t="s">
        <v>26534</v>
      </c>
      <c r="P5434" t="s">
        <v>26561</v>
      </c>
      <c r="R5434" t="s">
        <v>26578</v>
      </c>
      <c r="S5434" t="s">
        <v>18958</v>
      </c>
      <c r="U5434" t="s">
        <v>26604</v>
      </c>
      <c r="V5434" t="s">
        <v>26610</v>
      </c>
      <c r="W5434" t="s">
        <v>690</v>
      </c>
      <c r="X5434">
        <v>865</v>
      </c>
      <c r="Y5434" t="s">
        <v>26652</v>
      </c>
      <c r="Z5434" t="s">
        <v>26666</v>
      </c>
      <c r="AB5434" t="s">
        <v>31081</v>
      </c>
      <c r="AE5434">
        <v>359</v>
      </c>
      <c r="AF5434" t="s">
        <v>45541</v>
      </c>
      <c r="AH5434">
        <v>26</v>
      </c>
      <c r="AI5434">
        <v>1</v>
      </c>
      <c r="AJ5434">
        <v>0</v>
      </c>
      <c r="AK5434">
        <v>256.2</v>
      </c>
      <c r="AN5434" t="s">
        <v>7439</v>
      </c>
      <c r="AO5434">
        <v>32000</v>
      </c>
      <c r="AP5434" t="s">
        <v>45875</v>
      </c>
      <c r="AU5434">
        <v>0</v>
      </c>
      <c r="AW5434" t="s">
        <v>279</v>
      </c>
    </row>
    <row r="5435" spans="1:49">
      <c r="A5435" s="1">
        <f>HYPERLINK("https://lsnyc.legalserver.org/matter/dynamic-profile/view/1897605","19-1897605")</f>
        <v>0</v>
      </c>
      <c r="B5435" t="s">
        <v>95</v>
      </c>
      <c r="C5435" t="s">
        <v>340</v>
      </c>
      <c r="D5435" t="s">
        <v>763</v>
      </c>
      <c r="F5435" t="s">
        <v>2735</v>
      </c>
      <c r="G5435" t="s">
        <v>7678</v>
      </c>
      <c r="H5435" t="s">
        <v>9692</v>
      </c>
      <c r="I5435" t="s">
        <v>17586</v>
      </c>
      <c r="J5435" t="s">
        <v>18894</v>
      </c>
      <c r="K5435">
        <v>11233</v>
      </c>
      <c r="L5435" t="s">
        <v>18958</v>
      </c>
      <c r="M5435" t="s">
        <v>18959</v>
      </c>
      <c r="O5435" t="s">
        <v>26534</v>
      </c>
      <c r="P5435" t="s">
        <v>26561</v>
      </c>
      <c r="R5435" t="s">
        <v>26578</v>
      </c>
      <c r="S5435" t="s">
        <v>18958</v>
      </c>
      <c r="U5435" t="s">
        <v>26604</v>
      </c>
      <c r="V5435" t="s">
        <v>26610</v>
      </c>
      <c r="W5435" t="s">
        <v>690</v>
      </c>
      <c r="X5435">
        <v>824.45</v>
      </c>
      <c r="Y5435" t="s">
        <v>26652</v>
      </c>
      <c r="Z5435" t="s">
        <v>26666</v>
      </c>
      <c r="AB5435" t="s">
        <v>31082</v>
      </c>
      <c r="AE5435">
        <v>359</v>
      </c>
      <c r="AF5435" t="s">
        <v>45541</v>
      </c>
      <c r="AH5435">
        <v>8</v>
      </c>
      <c r="AI5435">
        <v>1</v>
      </c>
      <c r="AJ5435">
        <v>0</v>
      </c>
      <c r="AK5435">
        <v>398.72</v>
      </c>
      <c r="AN5435" t="s">
        <v>7439</v>
      </c>
      <c r="AO5435">
        <v>49800</v>
      </c>
      <c r="AP5435" t="s">
        <v>45875</v>
      </c>
      <c r="AU5435">
        <v>0</v>
      </c>
      <c r="AW5435" t="s">
        <v>279</v>
      </c>
    </row>
    <row r="5436" spans="1:49">
      <c r="A5436" s="1">
        <f>HYPERLINK("https://lsnyc.legalserver.org/matter/dynamic-profile/view/1897702","19-1897702")</f>
        <v>0</v>
      </c>
      <c r="B5436" t="s">
        <v>95</v>
      </c>
      <c r="C5436" t="s">
        <v>340</v>
      </c>
      <c r="D5436" t="s">
        <v>764</v>
      </c>
      <c r="F5436" t="s">
        <v>3409</v>
      </c>
      <c r="G5436" t="s">
        <v>7679</v>
      </c>
      <c r="H5436" t="s">
        <v>13666</v>
      </c>
      <c r="I5436" t="s">
        <v>18234</v>
      </c>
      <c r="J5436" t="s">
        <v>18894</v>
      </c>
      <c r="K5436">
        <v>11233</v>
      </c>
      <c r="L5436" t="s">
        <v>18958</v>
      </c>
      <c r="M5436" t="s">
        <v>18959</v>
      </c>
      <c r="O5436" t="s">
        <v>26534</v>
      </c>
      <c r="P5436" t="s">
        <v>26561</v>
      </c>
      <c r="R5436" t="s">
        <v>26578</v>
      </c>
      <c r="S5436" t="s">
        <v>18958</v>
      </c>
      <c r="U5436" t="s">
        <v>26604</v>
      </c>
      <c r="V5436" t="s">
        <v>26610</v>
      </c>
      <c r="W5436" t="s">
        <v>690</v>
      </c>
      <c r="X5436">
        <v>1330</v>
      </c>
      <c r="Y5436" t="s">
        <v>26652</v>
      </c>
      <c r="Z5436" t="s">
        <v>26530</v>
      </c>
      <c r="AB5436" t="s">
        <v>31083</v>
      </c>
      <c r="AE5436">
        <v>359</v>
      </c>
      <c r="AF5436" t="s">
        <v>45541</v>
      </c>
      <c r="AH5436">
        <v>24</v>
      </c>
      <c r="AI5436">
        <v>4</v>
      </c>
      <c r="AJ5436">
        <v>2</v>
      </c>
      <c r="AK5436">
        <v>130.1</v>
      </c>
      <c r="AN5436" t="s">
        <v>26530</v>
      </c>
      <c r="AO5436">
        <v>45000</v>
      </c>
      <c r="AP5436" t="s">
        <v>45853</v>
      </c>
      <c r="AU5436">
        <v>0</v>
      </c>
      <c r="AW5436" t="s">
        <v>286</v>
      </c>
    </row>
    <row r="5437" spans="1:49">
      <c r="A5437" s="1">
        <f>HYPERLINK("https://lsnyc.legalserver.org/matter/dynamic-profile/view/1897843","19-1897843")</f>
        <v>0</v>
      </c>
      <c r="B5437" t="s">
        <v>95</v>
      </c>
      <c r="C5437" t="s">
        <v>340</v>
      </c>
      <c r="D5437" t="s">
        <v>765</v>
      </c>
      <c r="F5437" t="s">
        <v>1677</v>
      </c>
      <c r="G5437" t="s">
        <v>5454</v>
      </c>
      <c r="H5437" t="s">
        <v>9692</v>
      </c>
      <c r="I5437" t="s">
        <v>18235</v>
      </c>
      <c r="J5437" t="s">
        <v>18894</v>
      </c>
      <c r="K5437">
        <v>11233</v>
      </c>
      <c r="L5437" t="s">
        <v>18958</v>
      </c>
      <c r="M5437" t="s">
        <v>18959</v>
      </c>
      <c r="O5437" t="s">
        <v>26534</v>
      </c>
      <c r="P5437" t="s">
        <v>26561</v>
      </c>
      <c r="R5437" t="s">
        <v>26578</v>
      </c>
      <c r="S5437" t="s">
        <v>18958</v>
      </c>
      <c r="U5437" t="s">
        <v>26604</v>
      </c>
      <c r="V5437" t="s">
        <v>26610</v>
      </c>
      <c r="W5437" t="s">
        <v>690</v>
      </c>
      <c r="X5437">
        <v>1300</v>
      </c>
      <c r="Y5437" t="s">
        <v>26652</v>
      </c>
      <c r="Z5437" t="s">
        <v>26530</v>
      </c>
      <c r="AB5437" t="s">
        <v>31084</v>
      </c>
      <c r="AE5437">
        <v>359</v>
      </c>
      <c r="AF5437" t="s">
        <v>45541</v>
      </c>
      <c r="AH5437">
        <v>3</v>
      </c>
      <c r="AI5437">
        <v>2</v>
      </c>
      <c r="AJ5437">
        <v>1</v>
      </c>
      <c r="AK5437">
        <v>93.76000000000001</v>
      </c>
      <c r="AN5437" t="s">
        <v>7439</v>
      </c>
      <c r="AO5437">
        <v>20000</v>
      </c>
      <c r="AP5437" t="s">
        <v>45853</v>
      </c>
      <c r="AU5437">
        <v>0</v>
      </c>
      <c r="AW5437" t="s">
        <v>286</v>
      </c>
    </row>
    <row r="5438" spans="1:49">
      <c r="A5438" s="1">
        <f>HYPERLINK("https://lsnyc.legalserver.org/matter/dynamic-profile/view/1898030","19-1898030")</f>
        <v>0</v>
      </c>
      <c r="B5438" t="s">
        <v>95</v>
      </c>
      <c r="C5438" t="s">
        <v>340</v>
      </c>
      <c r="D5438" t="s">
        <v>766</v>
      </c>
      <c r="F5438" t="s">
        <v>1318</v>
      </c>
      <c r="G5438" t="s">
        <v>7658</v>
      </c>
      <c r="H5438" t="s">
        <v>9692</v>
      </c>
      <c r="I5438" t="s">
        <v>18236</v>
      </c>
      <c r="J5438" t="s">
        <v>18894</v>
      </c>
      <c r="K5438">
        <v>11233</v>
      </c>
      <c r="L5438" t="s">
        <v>18958</v>
      </c>
      <c r="M5438" t="s">
        <v>18959</v>
      </c>
      <c r="O5438" t="s">
        <v>26534</v>
      </c>
      <c r="P5438" t="s">
        <v>26561</v>
      </c>
      <c r="R5438" t="s">
        <v>26578</v>
      </c>
      <c r="S5438" t="s">
        <v>18958</v>
      </c>
      <c r="U5438" t="s">
        <v>26604</v>
      </c>
      <c r="V5438" t="s">
        <v>26610</v>
      </c>
      <c r="W5438" t="s">
        <v>690</v>
      </c>
      <c r="X5438">
        <v>1059</v>
      </c>
      <c r="Y5438" t="s">
        <v>26652</v>
      </c>
      <c r="Z5438" t="s">
        <v>26530</v>
      </c>
      <c r="AB5438" t="s">
        <v>30484</v>
      </c>
      <c r="AE5438">
        <v>359</v>
      </c>
      <c r="AF5438" t="s">
        <v>45541</v>
      </c>
      <c r="AH5438">
        <v>39</v>
      </c>
      <c r="AI5438">
        <v>2</v>
      </c>
      <c r="AJ5438">
        <v>1</v>
      </c>
      <c r="AK5438">
        <v>178.15</v>
      </c>
      <c r="AN5438" t="s">
        <v>7439</v>
      </c>
      <c r="AO5438">
        <v>38000</v>
      </c>
      <c r="AP5438" t="s">
        <v>45864</v>
      </c>
      <c r="AU5438">
        <v>0</v>
      </c>
      <c r="AW5438" t="s">
        <v>286</v>
      </c>
    </row>
    <row r="5439" spans="1:49">
      <c r="A5439" s="1">
        <f>HYPERLINK("https://lsnyc.legalserver.org/matter/dynamic-profile/view/1898022","19-1898022")</f>
        <v>0</v>
      </c>
      <c r="B5439" t="s">
        <v>95</v>
      </c>
      <c r="C5439" t="s">
        <v>340</v>
      </c>
      <c r="D5439" t="s">
        <v>766</v>
      </c>
      <c r="F5439" t="s">
        <v>1480</v>
      </c>
      <c r="G5439" t="s">
        <v>6811</v>
      </c>
      <c r="H5439" t="s">
        <v>13666</v>
      </c>
      <c r="I5439" t="s">
        <v>17425</v>
      </c>
      <c r="J5439" t="s">
        <v>18894</v>
      </c>
      <c r="K5439">
        <v>11233</v>
      </c>
      <c r="L5439" t="s">
        <v>18958</v>
      </c>
      <c r="M5439" t="s">
        <v>18959</v>
      </c>
      <c r="O5439" t="s">
        <v>26534</v>
      </c>
      <c r="P5439" t="s">
        <v>26561</v>
      </c>
      <c r="R5439" t="s">
        <v>26578</v>
      </c>
      <c r="S5439" t="s">
        <v>18958</v>
      </c>
      <c r="U5439" t="s">
        <v>26604</v>
      </c>
      <c r="V5439" t="s">
        <v>26610</v>
      </c>
      <c r="W5439" t="s">
        <v>690</v>
      </c>
      <c r="X5439">
        <v>836.36</v>
      </c>
      <c r="Y5439" t="s">
        <v>26652</v>
      </c>
      <c r="Z5439" t="s">
        <v>26530</v>
      </c>
      <c r="AB5439" t="s">
        <v>31085</v>
      </c>
      <c r="AD5439" t="s">
        <v>41271</v>
      </c>
      <c r="AE5439">
        <v>359</v>
      </c>
      <c r="AF5439" t="s">
        <v>45541</v>
      </c>
      <c r="AH5439">
        <v>16</v>
      </c>
      <c r="AI5439">
        <v>1</v>
      </c>
      <c r="AJ5439">
        <v>0</v>
      </c>
      <c r="AK5439">
        <v>216.17</v>
      </c>
      <c r="AN5439" t="s">
        <v>7439</v>
      </c>
      <c r="AO5439">
        <v>27000</v>
      </c>
      <c r="AP5439" t="s">
        <v>45876</v>
      </c>
      <c r="AU5439">
        <v>0</v>
      </c>
      <c r="AW5439" t="s">
        <v>286</v>
      </c>
    </row>
    <row r="5440" spans="1:49">
      <c r="A5440" s="1">
        <f>HYPERLINK("https://lsnyc.legalserver.org/matter/dynamic-profile/view/1898251","19-1898251")</f>
        <v>0</v>
      </c>
      <c r="B5440" t="s">
        <v>95</v>
      </c>
      <c r="C5440" t="s">
        <v>340</v>
      </c>
      <c r="D5440" t="s">
        <v>767</v>
      </c>
      <c r="F5440" t="s">
        <v>1024</v>
      </c>
      <c r="G5440" t="s">
        <v>5266</v>
      </c>
      <c r="H5440" t="s">
        <v>12821</v>
      </c>
      <c r="I5440" t="s">
        <v>17696</v>
      </c>
      <c r="J5440" t="s">
        <v>18894</v>
      </c>
      <c r="K5440">
        <v>11233</v>
      </c>
      <c r="L5440" t="s">
        <v>18958</v>
      </c>
      <c r="M5440" t="s">
        <v>18959</v>
      </c>
      <c r="O5440" t="s">
        <v>26534</v>
      </c>
      <c r="P5440" t="s">
        <v>26561</v>
      </c>
      <c r="R5440" t="s">
        <v>26578</v>
      </c>
      <c r="S5440" t="s">
        <v>18958</v>
      </c>
      <c r="U5440" t="s">
        <v>26604</v>
      </c>
      <c r="V5440" t="s">
        <v>26610</v>
      </c>
      <c r="W5440" t="s">
        <v>690</v>
      </c>
      <c r="X5440">
        <v>1000</v>
      </c>
      <c r="Y5440" t="s">
        <v>26652</v>
      </c>
      <c r="Z5440" t="s">
        <v>26530</v>
      </c>
      <c r="AB5440" t="s">
        <v>31086</v>
      </c>
      <c r="AE5440">
        <v>359</v>
      </c>
      <c r="AF5440" t="s">
        <v>45541</v>
      </c>
      <c r="AH5440">
        <v>25</v>
      </c>
      <c r="AI5440">
        <v>2</v>
      </c>
      <c r="AJ5440">
        <v>0</v>
      </c>
      <c r="AK5440">
        <v>42.58</v>
      </c>
      <c r="AN5440" t="s">
        <v>7439</v>
      </c>
      <c r="AO5440">
        <v>7200</v>
      </c>
      <c r="AP5440" t="s">
        <v>45853</v>
      </c>
      <c r="AU5440">
        <v>0</v>
      </c>
      <c r="AW5440" t="s">
        <v>286</v>
      </c>
    </row>
    <row r="5441" spans="1:50">
      <c r="A5441" s="1">
        <f>HYPERLINK("https://lsnyc.legalserver.org/matter/dynamic-profile/view/1898243","19-1898243")</f>
        <v>0</v>
      </c>
      <c r="B5441" t="s">
        <v>95</v>
      </c>
      <c r="C5441" t="s">
        <v>340</v>
      </c>
      <c r="D5441" t="s">
        <v>767</v>
      </c>
      <c r="F5441" t="s">
        <v>3410</v>
      </c>
      <c r="G5441" t="s">
        <v>7680</v>
      </c>
      <c r="H5441" t="s">
        <v>9692</v>
      </c>
      <c r="I5441" t="s">
        <v>18237</v>
      </c>
      <c r="J5441" t="s">
        <v>18894</v>
      </c>
      <c r="K5441">
        <v>11233</v>
      </c>
      <c r="L5441" t="s">
        <v>18958</v>
      </c>
      <c r="M5441" t="s">
        <v>18959</v>
      </c>
      <c r="O5441" t="s">
        <v>26534</v>
      </c>
      <c r="P5441" t="s">
        <v>26561</v>
      </c>
      <c r="R5441" t="s">
        <v>26578</v>
      </c>
      <c r="S5441" t="s">
        <v>18958</v>
      </c>
      <c r="U5441" t="s">
        <v>26604</v>
      </c>
      <c r="V5441" t="s">
        <v>26610</v>
      </c>
      <c r="W5441" t="s">
        <v>690</v>
      </c>
      <c r="X5441">
        <v>1024</v>
      </c>
      <c r="Y5441" t="s">
        <v>26652</v>
      </c>
      <c r="Z5441" t="s">
        <v>26530</v>
      </c>
      <c r="AB5441" t="s">
        <v>31087</v>
      </c>
      <c r="AE5441">
        <v>359</v>
      </c>
      <c r="AF5441" t="s">
        <v>45541</v>
      </c>
      <c r="AH5441">
        <v>24</v>
      </c>
      <c r="AI5441">
        <v>3</v>
      </c>
      <c r="AJ5441">
        <v>1</v>
      </c>
      <c r="AK5441">
        <v>271.84</v>
      </c>
      <c r="AN5441" t="s">
        <v>7439</v>
      </c>
      <c r="AO5441">
        <v>70000</v>
      </c>
      <c r="AP5441" t="s">
        <v>45853</v>
      </c>
      <c r="AU5441">
        <v>0</v>
      </c>
      <c r="AW5441" t="s">
        <v>286</v>
      </c>
    </row>
    <row r="5442" spans="1:50">
      <c r="A5442" s="1">
        <f>HYPERLINK("https://lsnyc.legalserver.org/matter/dynamic-profile/view/1898259","19-1898259")</f>
        <v>0</v>
      </c>
      <c r="B5442" t="s">
        <v>95</v>
      </c>
      <c r="C5442" t="s">
        <v>340</v>
      </c>
      <c r="D5442" t="s">
        <v>767</v>
      </c>
      <c r="F5442" t="s">
        <v>3411</v>
      </c>
      <c r="G5442" t="s">
        <v>7681</v>
      </c>
      <c r="H5442" t="s">
        <v>9692</v>
      </c>
      <c r="I5442" t="s">
        <v>17440</v>
      </c>
      <c r="J5442" t="s">
        <v>18894</v>
      </c>
      <c r="K5442">
        <v>11233</v>
      </c>
      <c r="L5442" t="s">
        <v>18958</v>
      </c>
      <c r="M5442" t="s">
        <v>18959</v>
      </c>
      <c r="O5442" t="s">
        <v>26534</v>
      </c>
      <c r="P5442" t="s">
        <v>26561</v>
      </c>
      <c r="R5442" t="s">
        <v>26578</v>
      </c>
      <c r="S5442" t="s">
        <v>18958</v>
      </c>
      <c r="U5442" t="s">
        <v>26604</v>
      </c>
      <c r="V5442" t="s">
        <v>26610</v>
      </c>
      <c r="W5442" t="s">
        <v>690</v>
      </c>
      <c r="X5442">
        <v>1872.98</v>
      </c>
      <c r="Y5442" t="s">
        <v>26652</v>
      </c>
      <c r="Z5442" t="s">
        <v>26530</v>
      </c>
      <c r="AE5442">
        <v>359</v>
      </c>
      <c r="AF5442" t="s">
        <v>45541</v>
      </c>
      <c r="AH5442">
        <v>2</v>
      </c>
      <c r="AI5442">
        <v>1</v>
      </c>
      <c r="AJ5442">
        <v>0</v>
      </c>
      <c r="AK5442">
        <v>312.25</v>
      </c>
      <c r="AN5442" t="s">
        <v>7439</v>
      </c>
      <c r="AO5442">
        <v>39000</v>
      </c>
      <c r="AP5442" t="s">
        <v>45864</v>
      </c>
      <c r="AU5442">
        <v>0</v>
      </c>
      <c r="AW5442" t="s">
        <v>286</v>
      </c>
    </row>
    <row r="5443" spans="1:50">
      <c r="A5443" s="1">
        <f>HYPERLINK("https://lsnyc.legalserver.org/matter/dynamic-profile/view/1898268","19-1898268")</f>
        <v>0</v>
      </c>
      <c r="B5443" t="s">
        <v>95</v>
      </c>
      <c r="C5443" t="s">
        <v>340</v>
      </c>
      <c r="D5443" t="s">
        <v>767</v>
      </c>
      <c r="F5443" t="s">
        <v>3412</v>
      </c>
      <c r="G5443" t="s">
        <v>4160</v>
      </c>
      <c r="H5443" t="s">
        <v>9692</v>
      </c>
      <c r="I5443" t="s">
        <v>17379</v>
      </c>
      <c r="J5443" t="s">
        <v>18894</v>
      </c>
      <c r="K5443">
        <v>11233</v>
      </c>
      <c r="L5443" t="s">
        <v>18958</v>
      </c>
      <c r="M5443" t="s">
        <v>18959</v>
      </c>
      <c r="O5443" t="s">
        <v>26534</v>
      </c>
      <c r="P5443" t="s">
        <v>26561</v>
      </c>
      <c r="R5443" t="s">
        <v>26578</v>
      </c>
      <c r="S5443" t="s">
        <v>18958</v>
      </c>
      <c r="U5443" t="s">
        <v>26604</v>
      </c>
      <c r="V5443" t="s">
        <v>26610</v>
      </c>
      <c r="W5443" t="s">
        <v>690</v>
      </c>
      <c r="X5443">
        <v>0</v>
      </c>
      <c r="Y5443" t="s">
        <v>26652</v>
      </c>
      <c r="AB5443" t="s">
        <v>31088</v>
      </c>
      <c r="AE5443">
        <v>359</v>
      </c>
      <c r="AF5443" t="s">
        <v>45541</v>
      </c>
      <c r="AH5443">
        <v>14</v>
      </c>
      <c r="AI5443">
        <v>1</v>
      </c>
      <c r="AJ5443">
        <v>0</v>
      </c>
      <c r="AK5443">
        <v>720.58</v>
      </c>
      <c r="AN5443" t="s">
        <v>7439</v>
      </c>
      <c r="AO5443">
        <v>90000</v>
      </c>
      <c r="AP5443" t="s">
        <v>45853</v>
      </c>
      <c r="AU5443">
        <v>0</v>
      </c>
      <c r="AW5443" t="s">
        <v>286</v>
      </c>
    </row>
    <row r="5444" spans="1:50">
      <c r="A5444" s="1">
        <f>HYPERLINK("https://lsnyc.legalserver.org/matter/dynamic-profile/view/1898383","19-1898383")</f>
        <v>0</v>
      </c>
      <c r="B5444" t="s">
        <v>95</v>
      </c>
      <c r="C5444" t="s">
        <v>340</v>
      </c>
      <c r="D5444" t="s">
        <v>768</v>
      </c>
      <c r="F5444" t="s">
        <v>1630</v>
      </c>
      <c r="G5444" t="s">
        <v>7682</v>
      </c>
      <c r="H5444" t="s">
        <v>13666</v>
      </c>
      <c r="I5444" t="s">
        <v>18238</v>
      </c>
      <c r="J5444" t="s">
        <v>18894</v>
      </c>
      <c r="K5444">
        <v>11233</v>
      </c>
      <c r="L5444" t="s">
        <v>18958</v>
      </c>
      <c r="M5444" t="s">
        <v>18959</v>
      </c>
      <c r="O5444" t="s">
        <v>26534</v>
      </c>
      <c r="P5444" t="s">
        <v>26561</v>
      </c>
      <c r="R5444" t="s">
        <v>26578</v>
      </c>
      <c r="S5444" t="s">
        <v>18958</v>
      </c>
      <c r="U5444" t="s">
        <v>26604</v>
      </c>
      <c r="V5444" t="s">
        <v>26610</v>
      </c>
      <c r="W5444" t="s">
        <v>690</v>
      </c>
      <c r="X5444">
        <v>628.51</v>
      </c>
      <c r="Y5444" t="s">
        <v>26652</v>
      </c>
      <c r="Z5444" t="s">
        <v>26530</v>
      </c>
      <c r="AB5444" t="s">
        <v>31089</v>
      </c>
      <c r="AE5444">
        <v>359</v>
      </c>
      <c r="AF5444" t="s">
        <v>45541</v>
      </c>
      <c r="AH5444">
        <v>7</v>
      </c>
      <c r="AI5444">
        <v>1</v>
      </c>
      <c r="AJ5444">
        <v>0</v>
      </c>
      <c r="AK5444">
        <v>160.13</v>
      </c>
      <c r="AN5444" t="s">
        <v>7439</v>
      </c>
      <c r="AO5444">
        <v>20000</v>
      </c>
      <c r="AP5444" t="s">
        <v>45853</v>
      </c>
      <c r="AU5444">
        <v>0</v>
      </c>
      <c r="AW5444" t="s">
        <v>286</v>
      </c>
    </row>
    <row r="5445" spans="1:50">
      <c r="A5445" s="1">
        <f>HYPERLINK("https://lsnyc.legalserver.org/matter/dynamic-profile/view/1898376","19-1898376")</f>
        <v>0</v>
      </c>
      <c r="B5445" t="s">
        <v>95</v>
      </c>
      <c r="C5445" t="s">
        <v>340</v>
      </c>
      <c r="D5445" t="s">
        <v>768</v>
      </c>
      <c r="F5445" t="s">
        <v>886</v>
      </c>
      <c r="G5445" t="s">
        <v>7033</v>
      </c>
      <c r="H5445" t="s">
        <v>9692</v>
      </c>
      <c r="I5445" t="s">
        <v>17666</v>
      </c>
      <c r="J5445" t="s">
        <v>18894</v>
      </c>
      <c r="K5445">
        <v>11233</v>
      </c>
      <c r="L5445" t="s">
        <v>18958</v>
      </c>
      <c r="M5445" t="s">
        <v>18959</v>
      </c>
      <c r="O5445" t="s">
        <v>26534</v>
      </c>
      <c r="P5445" t="s">
        <v>26561</v>
      </c>
      <c r="R5445" t="s">
        <v>26578</v>
      </c>
      <c r="S5445" t="s">
        <v>18958</v>
      </c>
      <c r="U5445" t="s">
        <v>26604</v>
      </c>
      <c r="V5445" t="s">
        <v>26610</v>
      </c>
      <c r="W5445" t="s">
        <v>690</v>
      </c>
      <c r="X5445">
        <v>1082.69</v>
      </c>
      <c r="Y5445" t="s">
        <v>26652</v>
      </c>
      <c r="Z5445" t="s">
        <v>26530</v>
      </c>
      <c r="AB5445" t="s">
        <v>31090</v>
      </c>
      <c r="AE5445">
        <v>359</v>
      </c>
      <c r="AF5445" t="s">
        <v>45541</v>
      </c>
      <c r="AH5445">
        <v>39</v>
      </c>
      <c r="AI5445">
        <v>2</v>
      </c>
      <c r="AJ5445">
        <v>0</v>
      </c>
      <c r="AK5445">
        <v>212.89</v>
      </c>
      <c r="AN5445" t="s">
        <v>7439</v>
      </c>
      <c r="AO5445">
        <v>36000</v>
      </c>
      <c r="AP5445" t="s">
        <v>45853</v>
      </c>
      <c r="AU5445">
        <v>0</v>
      </c>
      <c r="AW5445" t="s">
        <v>286</v>
      </c>
    </row>
    <row r="5446" spans="1:50">
      <c r="A5446" s="1">
        <f>HYPERLINK("https://lsnyc.legalserver.org/matter/dynamic-profile/view/1898404","19-1898404")</f>
        <v>0</v>
      </c>
      <c r="B5446" t="s">
        <v>95</v>
      </c>
      <c r="C5446" t="s">
        <v>340</v>
      </c>
      <c r="D5446" t="s">
        <v>768</v>
      </c>
      <c r="F5446" t="s">
        <v>3413</v>
      </c>
      <c r="G5446" t="s">
        <v>6473</v>
      </c>
      <c r="H5446" t="s">
        <v>12646</v>
      </c>
      <c r="I5446" t="s">
        <v>18221</v>
      </c>
      <c r="J5446" t="s">
        <v>18894</v>
      </c>
      <c r="K5446">
        <v>11233</v>
      </c>
      <c r="L5446" t="s">
        <v>18958</v>
      </c>
      <c r="M5446" t="s">
        <v>18959</v>
      </c>
      <c r="O5446" t="s">
        <v>26534</v>
      </c>
      <c r="P5446" t="s">
        <v>26561</v>
      </c>
      <c r="R5446" t="s">
        <v>26578</v>
      </c>
      <c r="S5446" t="s">
        <v>18958</v>
      </c>
      <c r="U5446" t="s">
        <v>26604</v>
      </c>
      <c r="V5446" t="s">
        <v>26610</v>
      </c>
      <c r="W5446" t="s">
        <v>690</v>
      </c>
      <c r="X5446">
        <v>1160</v>
      </c>
      <c r="Y5446" t="s">
        <v>26652</v>
      </c>
      <c r="Z5446" t="s">
        <v>26530</v>
      </c>
      <c r="AB5446" t="s">
        <v>31091</v>
      </c>
      <c r="AE5446">
        <v>359</v>
      </c>
      <c r="AF5446" t="s">
        <v>45541</v>
      </c>
      <c r="AH5446">
        <v>37</v>
      </c>
      <c r="AI5446">
        <v>2</v>
      </c>
      <c r="AJ5446">
        <v>3</v>
      </c>
      <c r="AK5446">
        <v>298.31</v>
      </c>
      <c r="AN5446" t="s">
        <v>7439</v>
      </c>
      <c r="AO5446">
        <v>90000</v>
      </c>
      <c r="AP5446" t="s">
        <v>45853</v>
      </c>
      <c r="AU5446">
        <v>0</v>
      </c>
      <c r="AW5446" t="s">
        <v>286</v>
      </c>
    </row>
    <row r="5447" spans="1:50">
      <c r="A5447" s="1">
        <f>HYPERLINK("https://lsnyc.legalserver.org/matter/dynamic-profile/view/1898368","19-1898368")</f>
        <v>0</v>
      </c>
      <c r="B5447" t="s">
        <v>95</v>
      </c>
      <c r="C5447" t="s">
        <v>340</v>
      </c>
      <c r="D5447" t="s">
        <v>768</v>
      </c>
      <c r="F5447" t="s">
        <v>3414</v>
      </c>
      <c r="G5447" t="s">
        <v>7683</v>
      </c>
      <c r="H5447" t="s">
        <v>13666</v>
      </c>
      <c r="I5447" t="s">
        <v>17756</v>
      </c>
      <c r="J5447" t="s">
        <v>18894</v>
      </c>
      <c r="K5447">
        <v>11233</v>
      </c>
      <c r="L5447" t="s">
        <v>18958</v>
      </c>
      <c r="M5447" t="s">
        <v>18959</v>
      </c>
      <c r="O5447" t="s">
        <v>26534</v>
      </c>
      <c r="P5447" t="s">
        <v>26561</v>
      </c>
      <c r="R5447" t="s">
        <v>26578</v>
      </c>
      <c r="S5447" t="s">
        <v>18958</v>
      </c>
      <c r="U5447" t="s">
        <v>26604</v>
      </c>
      <c r="V5447" t="s">
        <v>26610</v>
      </c>
      <c r="W5447" t="s">
        <v>690</v>
      </c>
      <c r="X5447">
        <v>629.15</v>
      </c>
      <c r="Y5447" t="s">
        <v>26652</v>
      </c>
      <c r="Z5447" t="s">
        <v>26530</v>
      </c>
      <c r="AB5447" t="s">
        <v>30307</v>
      </c>
      <c r="AE5447">
        <v>359</v>
      </c>
      <c r="AF5447" t="s">
        <v>45541</v>
      </c>
      <c r="AH5447">
        <v>8</v>
      </c>
      <c r="AI5447">
        <v>1</v>
      </c>
      <c r="AJ5447">
        <v>0</v>
      </c>
      <c r="AK5447">
        <v>392.31</v>
      </c>
      <c r="AN5447" t="s">
        <v>7439</v>
      </c>
      <c r="AO5447">
        <v>49000</v>
      </c>
      <c r="AP5447" t="s">
        <v>45853</v>
      </c>
      <c r="AU5447">
        <v>0</v>
      </c>
      <c r="AW5447" t="s">
        <v>286</v>
      </c>
    </row>
    <row r="5448" spans="1:50">
      <c r="A5448" s="1">
        <f>HYPERLINK("https://lsnyc.legalserver.org/matter/dynamic-profile/view/1898394","19-1898394")</f>
        <v>0</v>
      </c>
      <c r="B5448" t="s">
        <v>95</v>
      </c>
      <c r="C5448" t="s">
        <v>340</v>
      </c>
      <c r="D5448" t="s">
        <v>768</v>
      </c>
      <c r="F5448" t="s">
        <v>3415</v>
      </c>
      <c r="G5448" t="s">
        <v>5771</v>
      </c>
      <c r="H5448" t="s">
        <v>9692</v>
      </c>
      <c r="I5448" t="s">
        <v>18208</v>
      </c>
      <c r="J5448" t="s">
        <v>18894</v>
      </c>
      <c r="K5448">
        <v>11233</v>
      </c>
      <c r="L5448" t="s">
        <v>18958</v>
      </c>
      <c r="M5448" t="s">
        <v>18959</v>
      </c>
      <c r="O5448" t="s">
        <v>26534</v>
      </c>
      <c r="P5448" t="s">
        <v>26561</v>
      </c>
      <c r="R5448" t="s">
        <v>26578</v>
      </c>
      <c r="S5448" t="s">
        <v>18958</v>
      </c>
      <c r="U5448" t="s">
        <v>26604</v>
      </c>
      <c r="V5448" t="s">
        <v>26610</v>
      </c>
      <c r="W5448" t="s">
        <v>690</v>
      </c>
      <c r="X5448">
        <v>1170.14</v>
      </c>
      <c r="Y5448" t="s">
        <v>26652</v>
      </c>
      <c r="Z5448" t="s">
        <v>26530</v>
      </c>
      <c r="AB5448" t="s">
        <v>31092</v>
      </c>
      <c r="AE5448">
        <v>359</v>
      </c>
      <c r="AF5448" t="s">
        <v>45541</v>
      </c>
      <c r="AH5448">
        <v>19</v>
      </c>
      <c r="AI5448">
        <v>2</v>
      </c>
      <c r="AJ5448">
        <v>0</v>
      </c>
      <c r="AK5448">
        <v>502.66</v>
      </c>
      <c r="AN5448" t="s">
        <v>7439</v>
      </c>
      <c r="AO5448">
        <v>85000</v>
      </c>
      <c r="AP5448" t="s">
        <v>45853</v>
      </c>
      <c r="AU5448">
        <v>0</v>
      </c>
      <c r="AW5448" t="s">
        <v>286</v>
      </c>
    </row>
    <row r="5449" spans="1:50">
      <c r="A5449" s="1">
        <f>HYPERLINK("https://lsnyc.legalserver.org/matter/dynamic-profile/view/1898732","19-1898732")</f>
        <v>0</v>
      </c>
      <c r="B5449" t="s">
        <v>95</v>
      </c>
      <c r="C5449" t="s">
        <v>340</v>
      </c>
      <c r="D5449" t="s">
        <v>769</v>
      </c>
      <c r="F5449" t="s">
        <v>3416</v>
      </c>
      <c r="G5449" t="s">
        <v>3117</v>
      </c>
      <c r="H5449" t="s">
        <v>13666</v>
      </c>
      <c r="I5449" t="s">
        <v>18239</v>
      </c>
      <c r="J5449" t="s">
        <v>18894</v>
      </c>
      <c r="K5449">
        <v>11233</v>
      </c>
      <c r="L5449" t="s">
        <v>18958</v>
      </c>
      <c r="M5449" t="s">
        <v>18959</v>
      </c>
      <c r="O5449" t="s">
        <v>26534</v>
      </c>
      <c r="P5449" t="s">
        <v>26561</v>
      </c>
      <c r="R5449" t="s">
        <v>26578</v>
      </c>
      <c r="S5449" t="s">
        <v>18958</v>
      </c>
      <c r="U5449" t="s">
        <v>26604</v>
      </c>
      <c r="V5449" t="s">
        <v>26610</v>
      </c>
      <c r="W5449" t="s">
        <v>690</v>
      </c>
      <c r="X5449">
        <v>615</v>
      </c>
      <c r="Y5449" t="s">
        <v>26652</v>
      </c>
      <c r="Z5449" t="s">
        <v>26530</v>
      </c>
      <c r="AB5449" t="s">
        <v>27492</v>
      </c>
      <c r="AE5449">
        <v>359</v>
      </c>
      <c r="AF5449" t="s">
        <v>45541</v>
      </c>
      <c r="AH5449">
        <v>10</v>
      </c>
      <c r="AI5449">
        <v>1</v>
      </c>
      <c r="AJ5449">
        <v>1</v>
      </c>
      <c r="AK5449">
        <v>70.95999999999999</v>
      </c>
      <c r="AN5449" t="s">
        <v>7439</v>
      </c>
      <c r="AO5449">
        <v>12000</v>
      </c>
      <c r="AP5449" t="s">
        <v>45853</v>
      </c>
      <c r="AU5449">
        <v>0</v>
      </c>
      <c r="AW5449" t="s">
        <v>286</v>
      </c>
    </row>
    <row r="5450" spans="1:50">
      <c r="A5450" s="1">
        <f>HYPERLINK("https://lsnyc.legalserver.org/matter/dynamic-profile/view/1898838","19-1898838")</f>
        <v>0</v>
      </c>
      <c r="B5450" t="s">
        <v>95</v>
      </c>
      <c r="C5450" t="s">
        <v>340</v>
      </c>
      <c r="D5450" t="s">
        <v>770</v>
      </c>
      <c r="F5450" t="s">
        <v>1573</v>
      </c>
      <c r="G5450" t="s">
        <v>5266</v>
      </c>
      <c r="H5450" t="s">
        <v>13667</v>
      </c>
      <c r="I5450" t="s">
        <v>18191</v>
      </c>
      <c r="J5450" t="s">
        <v>18894</v>
      </c>
      <c r="K5450">
        <v>11233</v>
      </c>
      <c r="L5450" t="s">
        <v>18958</v>
      </c>
      <c r="M5450" t="s">
        <v>18959</v>
      </c>
      <c r="N5450" t="s">
        <v>19330</v>
      </c>
      <c r="O5450" t="s">
        <v>26534</v>
      </c>
      <c r="P5450" t="s">
        <v>26561</v>
      </c>
      <c r="R5450" t="s">
        <v>26578</v>
      </c>
      <c r="S5450" t="s">
        <v>18958</v>
      </c>
      <c r="U5450" t="s">
        <v>26604</v>
      </c>
      <c r="V5450" t="s">
        <v>26610</v>
      </c>
      <c r="W5450" t="s">
        <v>690</v>
      </c>
      <c r="X5450">
        <v>0</v>
      </c>
      <c r="Y5450" t="s">
        <v>26652</v>
      </c>
      <c r="Z5450" t="s">
        <v>26530</v>
      </c>
      <c r="AB5450" t="s">
        <v>31093</v>
      </c>
      <c r="AE5450">
        <v>359</v>
      </c>
      <c r="AF5450" t="s">
        <v>45541</v>
      </c>
      <c r="AH5450">
        <v>21</v>
      </c>
      <c r="AI5450">
        <v>1</v>
      </c>
      <c r="AJ5450">
        <v>0</v>
      </c>
      <c r="AK5450">
        <v>283.43</v>
      </c>
      <c r="AN5450" t="s">
        <v>7439</v>
      </c>
      <c r="AO5450">
        <v>35400</v>
      </c>
      <c r="AP5450" t="s">
        <v>45877</v>
      </c>
      <c r="AU5450">
        <v>0</v>
      </c>
      <c r="AW5450" t="s">
        <v>286</v>
      </c>
      <c r="AX5450" t="s">
        <v>19330</v>
      </c>
    </row>
    <row r="5451" spans="1:50">
      <c r="A5451" s="1">
        <f>HYPERLINK("https://lsnyc.legalserver.org/matter/dynamic-profile/view/1898848","19-1898848")</f>
        <v>0</v>
      </c>
      <c r="B5451" t="s">
        <v>95</v>
      </c>
      <c r="C5451" t="s">
        <v>340</v>
      </c>
      <c r="D5451" t="s">
        <v>770</v>
      </c>
      <c r="F5451" t="s">
        <v>916</v>
      </c>
      <c r="G5451" t="s">
        <v>7684</v>
      </c>
      <c r="H5451" t="s">
        <v>9692</v>
      </c>
      <c r="I5451" t="s">
        <v>18240</v>
      </c>
      <c r="J5451" t="s">
        <v>18894</v>
      </c>
      <c r="K5451">
        <v>11233</v>
      </c>
      <c r="L5451" t="s">
        <v>18958</v>
      </c>
      <c r="M5451" t="s">
        <v>18959</v>
      </c>
      <c r="O5451" t="s">
        <v>26534</v>
      </c>
      <c r="P5451" t="s">
        <v>26561</v>
      </c>
      <c r="R5451" t="s">
        <v>26578</v>
      </c>
      <c r="S5451" t="s">
        <v>18958</v>
      </c>
      <c r="U5451" t="s">
        <v>26604</v>
      </c>
      <c r="V5451" t="s">
        <v>26610</v>
      </c>
      <c r="W5451" t="s">
        <v>690</v>
      </c>
      <c r="X5451">
        <v>628.51</v>
      </c>
      <c r="Y5451" t="s">
        <v>26652</v>
      </c>
      <c r="Z5451" t="s">
        <v>26530</v>
      </c>
      <c r="AB5451" t="s">
        <v>30941</v>
      </c>
      <c r="AE5451">
        <v>359</v>
      </c>
      <c r="AF5451" t="s">
        <v>45541</v>
      </c>
      <c r="AH5451">
        <v>3</v>
      </c>
      <c r="AI5451">
        <v>1</v>
      </c>
      <c r="AJ5451">
        <v>0</v>
      </c>
      <c r="AK5451">
        <v>312.25</v>
      </c>
      <c r="AN5451" t="s">
        <v>7439</v>
      </c>
      <c r="AO5451">
        <v>39000</v>
      </c>
      <c r="AP5451" t="s">
        <v>45853</v>
      </c>
      <c r="AU5451">
        <v>0</v>
      </c>
      <c r="AW5451" t="s">
        <v>286</v>
      </c>
    </row>
    <row r="5452" spans="1:50">
      <c r="A5452" s="1">
        <f>HYPERLINK("https://lsnyc.legalserver.org/matter/dynamic-profile/view/1898845","19-1898845")</f>
        <v>0</v>
      </c>
      <c r="B5452" t="s">
        <v>95</v>
      </c>
      <c r="C5452" t="s">
        <v>340</v>
      </c>
      <c r="D5452" t="s">
        <v>770</v>
      </c>
      <c r="F5452" t="s">
        <v>1548</v>
      </c>
      <c r="G5452" t="s">
        <v>7685</v>
      </c>
      <c r="H5452" t="s">
        <v>9692</v>
      </c>
      <c r="I5452" t="s">
        <v>17585</v>
      </c>
      <c r="J5452" t="s">
        <v>18894</v>
      </c>
      <c r="K5452">
        <v>11233</v>
      </c>
      <c r="L5452" t="s">
        <v>18958</v>
      </c>
      <c r="M5452" t="s">
        <v>18959</v>
      </c>
      <c r="O5452" t="s">
        <v>26534</v>
      </c>
      <c r="P5452" t="s">
        <v>26561</v>
      </c>
      <c r="R5452" t="s">
        <v>26578</v>
      </c>
      <c r="S5452" t="s">
        <v>18958</v>
      </c>
      <c r="U5452" t="s">
        <v>26604</v>
      </c>
      <c r="V5452" t="s">
        <v>26610</v>
      </c>
      <c r="W5452" t="s">
        <v>690</v>
      </c>
      <c r="X5452">
        <v>0</v>
      </c>
      <c r="Y5452" t="s">
        <v>26652</v>
      </c>
      <c r="Z5452" t="s">
        <v>26530</v>
      </c>
      <c r="AB5452" t="s">
        <v>31094</v>
      </c>
      <c r="AE5452">
        <v>359</v>
      </c>
      <c r="AF5452" t="s">
        <v>45541</v>
      </c>
      <c r="AH5452">
        <v>6</v>
      </c>
      <c r="AI5452">
        <v>1</v>
      </c>
      <c r="AJ5452">
        <v>1</v>
      </c>
      <c r="AK5452">
        <v>354.82</v>
      </c>
      <c r="AN5452" t="s">
        <v>7439</v>
      </c>
      <c r="AO5452">
        <v>60000</v>
      </c>
      <c r="AP5452" t="s">
        <v>45853</v>
      </c>
      <c r="AU5452">
        <v>0</v>
      </c>
      <c r="AW5452" t="s">
        <v>286</v>
      </c>
    </row>
    <row r="5453" spans="1:50">
      <c r="A5453" s="1">
        <f>HYPERLINK("https://lsnyc.legalserver.org/matter/dynamic-profile/view/1898826","19-1898826")</f>
        <v>0</v>
      </c>
      <c r="B5453" t="s">
        <v>95</v>
      </c>
      <c r="C5453" t="s">
        <v>340</v>
      </c>
      <c r="D5453" t="s">
        <v>770</v>
      </c>
      <c r="F5453" t="s">
        <v>887</v>
      </c>
      <c r="G5453" t="s">
        <v>7686</v>
      </c>
      <c r="H5453" t="s">
        <v>13666</v>
      </c>
      <c r="I5453" t="s">
        <v>17535</v>
      </c>
      <c r="J5453" t="s">
        <v>18894</v>
      </c>
      <c r="K5453">
        <v>11233</v>
      </c>
      <c r="L5453" t="s">
        <v>18958</v>
      </c>
      <c r="M5453" t="s">
        <v>18959</v>
      </c>
      <c r="O5453" t="s">
        <v>26534</v>
      </c>
      <c r="P5453" t="s">
        <v>26561</v>
      </c>
      <c r="R5453" t="s">
        <v>26578</v>
      </c>
      <c r="S5453" t="s">
        <v>18958</v>
      </c>
      <c r="U5453" t="s">
        <v>26604</v>
      </c>
      <c r="V5453" t="s">
        <v>26610</v>
      </c>
      <c r="W5453" t="s">
        <v>690</v>
      </c>
      <c r="X5453">
        <v>950</v>
      </c>
      <c r="Y5453" t="s">
        <v>26652</v>
      </c>
      <c r="Z5453" t="s">
        <v>26530</v>
      </c>
      <c r="AB5453" t="s">
        <v>31095</v>
      </c>
      <c r="AE5453">
        <v>359</v>
      </c>
      <c r="AF5453" t="s">
        <v>45541</v>
      </c>
      <c r="AH5453">
        <v>9</v>
      </c>
      <c r="AI5453">
        <v>1</v>
      </c>
      <c r="AJ5453">
        <v>0</v>
      </c>
      <c r="AK5453">
        <v>511.84</v>
      </c>
      <c r="AN5453" t="s">
        <v>7439</v>
      </c>
      <c r="AO5453">
        <v>63929</v>
      </c>
      <c r="AP5453" t="s">
        <v>45853</v>
      </c>
      <c r="AU5453">
        <v>0</v>
      </c>
      <c r="AW5453" t="s">
        <v>286</v>
      </c>
    </row>
    <row r="5454" spans="1:50">
      <c r="A5454" s="1">
        <f>HYPERLINK("https://lsnyc.legalserver.org/matter/dynamic-profile/view/1898956","19-1898956")</f>
        <v>0</v>
      </c>
      <c r="B5454" t="s">
        <v>95</v>
      </c>
      <c r="C5454" t="s">
        <v>340</v>
      </c>
      <c r="D5454" t="s">
        <v>771</v>
      </c>
      <c r="F5454" t="s">
        <v>3417</v>
      </c>
      <c r="G5454" t="s">
        <v>7687</v>
      </c>
      <c r="H5454" t="s">
        <v>9692</v>
      </c>
      <c r="I5454" t="s">
        <v>17814</v>
      </c>
      <c r="J5454" t="s">
        <v>18894</v>
      </c>
      <c r="K5454">
        <v>11233</v>
      </c>
      <c r="L5454" t="s">
        <v>18958</v>
      </c>
      <c r="M5454" t="s">
        <v>18960</v>
      </c>
      <c r="O5454" t="s">
        <v>26534</v>
      </c>
      <c r="P5454" t="s">
        <v>26561</v>
      </c>
      <c r="R5454" t="s">
        <v>26578</v>
      </c>
      <c r="S5454" t="s">
        <v>18958</v>
      </c>
      <c r="U5454" t="s">
        <v>26604</v>
      </c>
      <c r="V5454" t="s">
        <v>26610</v>
      </c>
      <c r="W5454" t="s">
        <v>690</v>
      </c>
      <c r="X5454">
        <v>1041.4</v>
      </c>
      <c r="Y5454" t="s">
        <v>26652</v>
      </c>
      <c r="Z5454" t="s">
        <v>26530</v>
      </c>
      <c r="AB5454" t="s">
        <v>31096</v>
      </c>
      <c r="AE5454">
        <v>359</v>
      </c>
      <c r="AF5454" t="s">
        <v>45541</v>
      </c>
      <c r="AH5454">
        <v>18</v>
      </c>
      <c r="AI5454">
        <v>2</v>
      </c>
      <c r="AJ5454">
        <v>0</v>
      </c>
      <c r="AK5454">
        <v>97.5</v>
      </c>
      <c r="AN5454" t="s">
        <v>7439</v>
      </c>
      <c r="AO5454">
        <v>16488</v>
      </c>
      <c r="AP5454" t="s">
        <v>45853</v>
      </c>
      <c r="AU5454">
        <v>0</v>
      </c>
      <c r="AW5454" t="s">
        <v>286</v>
      </c>
      <c r="AX5454" t="s">
        <v>19330</v>
      </c>
    </row>
    <row r="5455" spans="1:50">
      <c r="A5455" s="1">
        <f>HYPERLINK("https://lsnyc.legalserver.org/matter/dynamic-profile/view/1898987","19-1898987")</f>
        <v>0</v>
      </c>
      <c r="B5455" t="s">
        <v>95</v>
      </c>
      <c r="C5455" t="s">
        <v>340</v>
      </c>
      <c r="D5455" t="s">
        <v>771</v>
      </c>
      <c r="F5455" t="s">
        <v>964</v>
      </c>
      <c r="G5455" t="s">
        <v>7688</v>
      </c>
      <c r="H5455" t="s">
        <v>13666</v>
      </c>
      <c r="I5455" t="s">
        <v>18241</v>
      </c>
      <c r="J5455" t="s">
        <v>18894</v>
      </c>
      <c r="K5455">
        <v>11233</v>
      </c>
      <c r="L5455" t="s">
        <v>18958</v>
      </c>
      <c r="M5455" t="s">
        <v>18960</v>
      </c>
      <c r="O5455" t="s">
        <v>26534</v>
      </c>
      <c r="P5455" t="s">
        <v>26561</v>
      </c>
      <c r="R5455" t="s">
        <v>26578</v>
      </c>
      <c r="S5455" t="s">
        <v>18958</v>
      </c>
      <c r="U5455" t="s">
        <v>26604</v>
      </c>
      <c r="V5455" t="s">
        <v>26610</v>
      </c>
      <c r="W5455" t="s">
        <v>690</v>
      </c>
      <c r="X5455">
        <v>1343.02</v>
      </c>
      <c r="Y5455" t="s">
        <v>26652</v>
      </c>
      <c r="Z5455" t="s">
        <v>26530</v>
      </c>
      <c r="AB5455" t="s">
        <v>31097</v>
      </c>
      <c r="AE5455">
        <v>359</v>
      </c>
      <c r="AF5455" t="s">
        <v>45541</v>
      </c>
      <c r="AH5455">
        <v>25</v>
      </c>
      <c r="AI5455">
        <v>2</v>
      </c>
      <c r="AJ5455">
        <v>2</v>
      </c>
      <c r="AK5455">
        <v>116.5</v>
      </c>
      <c r="AO5455">
        <v>30000</v>
      </c>
      <c r="AP5455" t="s">
        <v>45878</v>
      </c>
      <c r="AU5455">
        <v>0</v>
      </c>
      <c r="AW5455" t="s">
        <v>286</v>
      </c>
      <c r="AX5455" t="s">
        <v>19330</v>
      </c>
    </row>
    <row r="5456" spans="1:50">
      <c r="A5456" s="1">
        <f>HYPERLINK("https://lsnyc.legalserver.org/matter/dynamic-profile/view/1898976","19-1898976")</f>
        <v>0</v>
      </c>
      <c r="B5456" t="s">
        <v>95</v>
      </c>
      <c r="C5456" t="s">
        <v>340</v>
      </c>
      <c r="D5456" t="s">
        <v>771</v>
      </c>
      <c r="F5456" t="s">
        <v>1049</v>
      </c>
      <c r="G5456" t="s">
        <v>7689</v>
      </c>
      <c r="H5456" t="s">
        <v>12821</v>
      </c>
      <c r="I5456" t="s">
        <v>18242</v>
      </c>
      <c r="J5456" t="s">
        <v>18894</v>
      </c>
      <c r="K5456">
        <v>11233</v>
      </c>
      <c r="L5456" t="s">
        <v>18958</v>
      </c>
      <c r="M5456" t="s">
        <v>18960</v>
      </c>
      <c r="O5456" t="s">
        <v>26534</v>
      </c>
      <c r="P5456" t="s">
        <v>26561</v>
      </c>
      <c r="R5456" t="s">
        <v>26578</v>
      </c>
      <c r="S5456" t="s">
        <v>18958</v>
      </c>
      <c r="U5456" t="s">
        <v>26604</v>
      </c>
      <c r="V5456" t="s">
        <v>26610</v>
      </c>
      <c r="W5456" t="s">
        <v>690</v>
      </c>
      <c r="X5456">
        <v>1400</v>
      </c>
      <c r="Y5456" t="s">
        <v>26652</v>
      </c>
      <c r="Z5456" t="s">
        <v>26530</v>
      </c>
      <c r="AB5456" t="s">
        <v>27063</v>
      </c>
      <c r="AE5456">
        <v>359</v>
      </c>
      <c r="AF5456" t="s">
        <v>45541</v>
      </c>
      <c r="AH5456">
        <v>0</v>
      </c>
      <c r="AI5456">
        <v>2</v>
      </c>
      <c r="AJ5456">
        <v>0</v>
      </c>
      <c r="AK5456">
        <v>236.55</v>
      </c>
      <c r="AN5456" t="s">
        <v>7439</v>
      </c>
      <c r="AO5456">
        <v>40000</v>
      </c>
      <c r="AP5456" t="s">
        <v>45878</v>
      </c>
      <c r="AU5456">
        <v>0</v>
      </c>
      <c r="AW5456" t="s">
        <v>286</v>
      </c>
      <c r="AX5456" t="s">
        <v>19330</v>
      </c>
    </row>
    <row r="5457" spans="1:50">
      <c r="A5457" s="1">
        <f>HYPERLINK("https://lsnyc.legalserver.org/matter/dynamic-profile/view/1898966","19-1898966")</f>
        <v>0</v>
      </c>
      <c r="B5457" t="s">
        <v>95</v>
      </c>
      <c r="C5457" t="s">
        <v>340</v>
      </c>
      <c r="D5457" t="s">
        <v>771</v>
      </c>
      <c r="F5457" t="s">
        <v>948</v>
      </c>
      <c r="G5457" t="s">
        <v>5720</v>
      </c>
      <c r="H5457" t="s">
        <v>13666</v>
      </c>
      <c r="I5457" t="s">
        <v>18243</v>
      </c>
      <c r="J5457" t="s">
        <v>18894</v>
      </c>
      <c r="K5457">
        <v>11233</v>
      </c>
      <c r="L5457" t="s">
        <v>18958</v>
      </c>
      <c r="M5457" t="s">
        <v>18960</v>
      </c>
      <c r="O5457" t="s">
        <v>26534</v>
      </c>
      <c r="P5457" t="s">
        <v>26561</v>
      </c>
      <c r="R5457" t="s">
        <v>26578</v>
      </c>
      <c r="S5457" t="s">
        <v>18958</v>
      </c>
      <c r="U5457" t="s">
        <v>26604</v>
      </c>
      <c r="V5457" t="s">
        <v>26610</v>
      </c>
      <c r="W5457" t="s">
        <v>690</v>
      </c>
      <c r="X5457">
        <v>913</v>
      </c>
      <c r="Y5457" t="s">
        <v>26652</v>
      </c>
      <c r="Z5457" t="s">
        <v>26530</v>
      </c>
      <c r="AB5457" t="s">
        <v>31098</v>
      </c>
      <c r="AE5457">
        <v>359</v>
      </c>
      <c r="AF5457" t="s">
        <v>45541</v>
      </c>
      <c r="AH5457">
        <v>20</v>
      </c>
      <c r="AI5457">
        <v>1</v>
      </c>
      <c r="AJ5457">
        <v>0</v>
      </c>
      <c r="AK5457">
        <v>264.21</v>
      </c>
      <c r="AN5457" t="s">
        <v>7439</v>
      </c>
      <c r="AO5457">
        <v>33000</v>
      </c>
      <c r="AP5457" t="s">
        <v>45853</v>
      </c>
      <c r="AU5457">
        <v>0</v>
      </c>
      <c r="AW5457" t="s">
        <v>286</v>
      </c>
      <c r="AX5457" t="s">
        <v>19330</v>
      </c>
    </row>
    <row r="5458" spans="1:50">
      <c r="A5458" s="1">
        <f>HYPERLINK("https://lsnyc.legalserver.org/matter/dynamic-profile/view/1898951","19-1898951")</f>
        <v>0</v>
      </c>
      <c r="B5458" t="s">
        <v>95</v>
      </c>
      <c r="C5458" t="s">
        <v>340</v>
      </c>
      <c r="D5458" t="s">
        <v>771</v>
      </c>
      <c r="F5458" t="s">
        <v>3418</v>
      </c>
      <c r="G5458" t="s">
        <v>5561</v>
      </c>
      <c r="H5458" t="s">
        <v>13666</v>
      </c>
      <c r="I5458" t="s">
        <v>18244</v>
      </c>
      <c r="J5458" t="s">
        <v>18894</v>
      </c>
      <c r="K5458">
        <v>11233</v>
      </c>
      <c r="L5458" t="s">
        <v>18958</v>
      </c>
      <c r="M5458" t="s">
        <v>18960</v>
      </c>
      <c r="O5458" t="s">
        <v>26534</v>
      </c>
      <c r="P5458" t="s">
        <v>26561</v>
      </c>
      <c r="R5458" t="s">
        <v>26578</v>
      </c>
      <c r="S5458" t="s">
        <v>18958</v>
      </c>
      <c r="U5458" t="s">
        <v>26604</v>
      </c>
      <c r="V5458" t="s">
        <v>26610</v>
      </c>
      <c r="W5458" t="s">
        <v>690</v>
      </c>
      <c r="X5458">
        <v>888.58</v>
      </c>
      <c r="Y5458" t="s">
        <v>26652</v>
      </c>
      <c r="Z5458" t="s">
        <v>26530</v>
      </c>
      <c r="AB5458" t="s">
        <v>27498</v>
      </c>
      <c r="AE5458">
        <v>359</v>
      </c>
      <c r="AF5458" t="s">
        <v>45541</v>
      </c>
      <c r="AH5458">
        <v>11</v>
      </c>
      <c r="AI5458">
        <v>1</v>
      </c>
      <c r="AJ5458">
        <v>1</v>
      </c>
      <c r="AK5458">
        <v>354.82</v>
      </c>
      <c r="AN5458" t="s">
        <v>7439</v>
      </c>
      <c r="AO5458">
        <v>60000</v>
      </c>
      <c r="AP5458" t="s">
        <v>45853</v>
      </c>
      <c r="AU5458">
        <v>0</v>
      </c>
      <c r="AW5458" t="s">
        <v>286</v>
      </c>
      <c r="AX5458" t="s">
        <v>19330</v>
      </c>
    </row>
    <row r="5459" spans="1:50">
      <c r="A5459" s="1">
        <f>HYPERLINK("https://lsnyc.legalserver.org/matter/dynamic-profile/view/1898982","19-1898982")</f>
        <v>0</v>
      </c>
      <c r="B5459" t="s">
        <v>95</v>
      </c>
      <c r="C5459" t="s">
        <v>340</v>
      </c>
      <c r="D5459" t="s">
        <v>771</v>
      </c>
      <c r="F5459" t="s">
        <v>1155</v>
      </c>
      <c r="G5459" t="s">
        <v>5269</v>
      </c>
      <c r="H5459" t="s">
        <v>9692</v>
      </c>
      <c r="I5459" t="s">
        <v>18245</v>
      </c>
      <c r="J5459" t="s">
        <v>18894</v>
      </c>
      <c r="K5459">
        <v>11233</v>
      </c>
      <c r="L5459" t="s">
        <v>18958</v>
      </c>
      <c r="M5459" t="s">
        <v>18960</v>
      </c>
      <c r="O5459" t="s">
        <v>26534</v>
      </c>
      <c r="P5459" t="s">
        <v>26561</v>
      </c>
      <c r="R5459" t="s">
        <v>26578</v>
      </c>
      <c r="S5459" t="s">
        <v>18958</v>
      </c>
      <c r="U5459" t="s">
        <v>26604</v>
      </c>
      <c r="V5459" t="s">
        <v>26610</v>
      </c>
      <c r="W5459" t="s">
        <v>690</v>
      </c>
      <c r="X5459">
        <v>1162</v>
      </c>
      <c r="Y5459" t="s">
        <v>26652</v>
      </c>
      <c r="Z5459" t="s">
        <v>26530</v>
      </c>
      <c r="AB5459" t="s">
        <v>31099</v>
      </c>
      <c r="AE5459">
        <v>359</v>
      </c>
      <c r="AF5459" t="s">
        <v>45541</v>
      </c>
      <c r="AH5459">
        <v>55</v>
      </c>
      <c r="AI5459">
        <v>1</v>
      </c>
      <c r="AJ5459">
        <v>0</v>
      </c>
      <c r="AK5459">
        <v>360.29</v>
      </c>
      <c r="AN5459" t="s">
        <v>7439</v>
      </c>
      <c r="AO5459">
        <v>45000</v>
      </c>
      <c r="AP5459" t="s">
        <v>45878</v>
      </c>
      <c r="AU5459">
        <v>0</v>
      </c>
      <c r="AW5459" t="s">
        <v>286</v>
      </c>
      <c r="AX5459" t="s">
        <v>19330</v>
      </c>
    </row>
    <row r="5460" spans="1:50">
      <c r="A5460" s="1">
        <f>HYPERLINK("https://lsnyc.legalserver.org/matter/dynamic-profile/view/1901993","19-1901993")</f>
        <v>0</v>
      </c>
      <c r="B5460" t="s">
        <v>95</v>
      </c>
      <c r="C5460" t="s">
        <v>340</v>
      </c>
      <c r="D5460" t="s">
        <v>720</v>
      </c>
      <c r="F5460" t="s">
        <v>1300</v>
      </c>
      <c r="G5460" t="s">
        <v>7690</v>
      </c>
      <c r="H5460" t="s">
        <v>9692</v>
      </c>
      <c r="I5460" t="s">
        <v>17422</v>
      </c>
      <c r="J5460" t="s">
        <v>18894</v>
      </c>
      <c r="K5460">
        <v>11233</v>
      </c>
      <c r="L5460" t="s">
        <v>18958</v>
      </c>
      <c r="M5460" t="s">
        <v>18960</v>
      </c>
      <c r="N5460" t="s">
        <v>19330</v>
      </c>
      <c r="O5460" t="s">
        <v>26534</v>
      </c>
      <c r="P5460" t="s">
        <v>26561</v>
      </c>
      <c r="R5460" t="s">
        <v>26578</v>
      </c>
      <c r="S5460" t="s">
        <v>18958</v>
      </c>
      <c r="U5460" t="s">
        <v>26604</v>
      </c>
      <c r="V5460" t="s">
        <v>26610</v>
      </c>
      <c r="W5460" t="s">
        <v>690</v>
      </c>
      <c r="X5460">
        <v>840</v>
      </c>
      <c r="Y5460" t="s">
        <v>26652</v>
      </c>
      <c r="Z5460" t="s">
        <v>26530</v>
      </c>
      <c r="AB5460" t="s">
        <v>31100</v>
      </c>
      <c r="AE5460">
        <v>359</v>
      </c>
      <c r="AF5460" t="s">
        <v>45541</v>
      </c>
      <c r="AH5460">
        <v>9</v>
      </c>
      <c r="AI5460">
        <v>1</v>
      </c>
      <c r="AJ5460">
        <v>0</v>
      </c>
      <c r="AK5460">
        <v>0</v>
      </c>
      <c r="AN5460" t="s">
        <v>7439</v>
      </c>
      <c r="AO5460">
        <v>0</v>
      </c>
      <c r="AP5460" t="s">
        <v>45853</v>
      </c>
      <c r="AU5460">
        <v>0</v>
      </c>
      <c r="AW5460" t="s">
        <v>286</v>
      </c>
      <c r="AX5460" t="s">
        <v>19330</v>
      </c>
    </row>
    <row r="5461" spans="1:50">
      <c r="A5461" s="1">
        <f>HYPERLINK("https://lsnyc.legalserver.org/matter/dynamic-profile/view/1902020","19-1902020")</f>
        <v>0</v>
      </c>
      <c r="B5461" t="s">
        <v>95</v>
      </c>
      <c r="C5461" t="s">
        <v>340</v>
      </c>
      <c r="D5461" t="s">
        <v>720</v>
      </c>
      <c r="F5461" t="s">
        <v>1002</v>
      </c>
      <c r="G5461" t="s">
        <v>3190</v>
      </c>
      <c r="H5461" t="s">
        <v>9692</v>
      </c>
      <c r="I5461" t="s">
        <v>17504</v>
      </c>
      <c r="J5461" t="s">
        <v>18894</v>
      </c>
      <c r="K5461">
        <v>11233</v>
      </c>
      <c r="L5461" t="s">
        <v>18958</v>
      </c>
      <c r="M5461" t="s">
        <v>18960</v>
      </c>
      <c r="N5461" t="s">
        <v>19330</v>
      </c>
      <c r="O5461" t="s">
        <v>26534</v>
      </c>
      <c r="P5461" t="s">
        <v>26561</v>
      </c>
      <c r="R5461" t="s">
        <v>26578</v>
      </c>
      <c r="S5461" t="s">
        <v>18958</v>
      </c>
      <c r="U5461" t="s">
        <v>26604</v>
      </c>
      <c r="V5461" t="s">
        <v>26610</v>
      </c>
      <c r="W5461" t="s">
        <v>690</v>
      </c>
      <c r="X5461">
        <v>1126</v>
      </c>
      <c r="Y5461" t="s">
        <v>26652</v>
      </c>
      <c r="Z5461" t="s">
        <v>26530</v>
      </c>
      <c r="AB5461" t="s">
        <v>31101</v>
      </c>
      <c r="AE5461">
        <v>359</v>
      </c>
      <c r="AF5461" t="s">
        <v>45541</v>
      </c>
      <c r="AH5461">
        <v>45</v>
      </c>
      <c r="AI5461">
        <v>1</v>
      </c>
      <c r="AJ5461">
        <v>0</v>
      </c>
      <c r="AK5461">
        <v>0</v>
      </c>
      <c r="AN5461" t="s">
        <v>7439</v>
      </c>
      <c r="AO5461">
        <v>0</v>
      </c>
      <c r="AP5461" t="s">
        <v>45853</v>
      </c>
      <c r="AU5461">
        <v>0</v>
      </c>
      <c r="AW5461" t="s">
        <v>286</v>
      </c>
      <c r="AX5461" t="s">
        <v>19330</v>
      </c>
    </row>
    <row r="5462" spans="1:50">
      <c r="A5462" s="1">
        <f>HYPERLINK("https://lsnyc.legalserver.org/matter/dynamic-profile/view/1902001","19-1902001")</f>
        <v>0</v>
      </c>
      <c r="B5462" t="s">
        <v>95</v>
      </c>
      <c r="C5462" t="s">
        <v>340</v>
      </c>
      <c r="D5462" t="s">
        <v>720</v>
      </c>
      <c r="F5462" t="s">
        <v>1457</v>
      </c>
      <c r="G5462" t="s">
        <v>7691</v>
      </c>
      <c r="H5462" t="s">
        <v>12646</v>
      </c>
      <c r="I5462" t="s">
        <v>18246</v>
      </c>
      <c r="J5462" t="s">
        <v>18894</v>
      </c>
      <c r="K5462">
        <v>11233</v>
      </c>
      <c r="L5462" t="s">
        <v>18958</v>
      </c>
      <c r="M5462" t="s">
        <v>18960</v>
      </c>
      <c r="N5462" t="s">
        <v>19330</v>
      </c>
      <c r="O5462" t="s">
        <v>26534</v>
      </c>
      <c r="P5462" t="s">
        <v>26561</v>
      </c>
      <c r="R5462" t="s">
        <v>26578</v>
      </c>
      <c r="S5462" t="s">
        <v>18958</v>
      </c>
      <c r="U5462" t="s">
        <v>26604</v>
      </c>
      <c r="W5462" t="s">
        <v>690</v>
      </c>
      <c r="X5462">
        <v>1350</v>
      </c>
      <c r="Y5462" t="s">
        <v>26652</v>
      </c>
      <c r="Z5462" t="s">
        <v>26530</v>
      </c>
      <c r="AB5462" t="s">
        <v>31102</v>
      </c>
      <c r="AE5462">
        <v>359</v>
      </c>
      <c r="AF5462" t="s">
        <v>45541</v>
      </c>
      <c r="AH5462">
        <v>20</v>
      </c>
      <c r="AI5462">
        <v>3</v>
      </c>
      <c r="AJ5462">
        <v>1</v>
      </c>
      <c r="AK5462">
        <v>35.93</v>
      </c>
      <c r="AN5462" t="s">
        <v>7439</v>
      </c>
      <c r="AO5462">
        <v>9252</v>
      </c>
      <c r="AP5462" t="s">
        <v>45853</v>
      </c>
      <c r="AU5462">
        <v>0</v>
      </c>
      <c r="AW5462" t="s">
        <v>286</v>
      </c>
      <c r="AX5462" t="s">
        <v>19330</v>
      </c>
    </row>
    <row r="5463" spans="1:50">
      <c r="A5463" s="1">
        <f>HYPERLINK("https://lsnyc.legalserver.org/matter/dynamic-profile/view/1901977","19-1901977")</f>
        <v>0</v>
      </c>
      <c r="B5463" t="s">
        <v>95</v>
      </c>
      <c r="C5463" t="s">
        <v>340</v>
      </c>
      <c r="D5463" t="s">
        <v>720</v>
      </c>
      <c r="F5463" t="s">
        <v>1121</v>
      </c>
      <c r="G5463" t="s">
        <v>7315</v>
      </c>
      <c r="H5463" t="s">
        <v>12646</v>
      </c>
      <c r="I5463" t="s">
        <v>18247</v>
      </c>
      <c r="J5463" t="s">
        <v>18894</v>
      </c>
      <c r="K5463">
        <v>11233</v>
      </c>
      <c r="L5463" t="s">
        <v>18958</v>
      </c>
      <c r="M5463" t="s">
        <v>18960</v>
      </c>
      <c r="N5463" t="s">
        <v>19330</v>
      </c>
      <c r="O5463" t="s">
        <v>26534</v>
      </c>
      <c r="P5463" t="s">
        <v>26561</v>
      </c>
      <c r="R5463" t="s">
        <v>26578</v>
      </c>
      <c r="S5463" t="s">
        <v>18958</v>
      </c>
      <c r="U5463" t="s">
        <v>26604</v>
      </c>
      <c r="V5463" t="s">
        <v>26610</v>
      </c>
      <c r="W5463" t="s">
        <v>690</v>
      </c>
      <c r="X5463">
        <v>1375</v>
      </c>
      <c r="Y5463" t="s">
        <v>26652</v>
      </c>
      <c r="Z5463" t="s">
        <v>26530</v>
      </c>
      <c r="AB5463" t="s">
        <v>28380</v>
      </c>
      <c r="AE5463">
        <v>359</v>
      </c>
      <c r="AF5463" t="s">
        <v>45541</v>
      </c>
      <c r="AH5463">
        <v>10</v>
      </c>
      <c r="AI5463">
        <v>2</v>
      </c>
      <c r="AJ5463">
        <v>0</v>
      </c>
      <c r="AK5463">
        <v>47.31</v>
      </c>
      <c r="AN5463" t="s">
        <v>7439</v>
      </c>
      <c r="AO5463">
        <v>8000</v>
      </c>
      <c r="AP5463" t="s">
        <v>45853</v>
      </c>
      <c r="AU5463">
        <v>0</v>
      </c>
      <c r="AW5463" t="s">
        <v>286</v>
      </c>
      <c r="AX5463" t="s">
        <v>19330</v>
      </c>
    </row>
    <row r="5464" spans="1:50">
      <c r="A5464" s="1">
        <f>HYPERLINK("https://lsnyc.legalserver.org/matter/dynamic-profile/view/1902042","19-1902042")</f>
        <v>0</v>
      </c>
      <c r="B5464" t="s">
        <v>95</v>
      </c>
      <c r="C5464" t="s">
        <v>340</v>
      </c>
      <c r="D5464" t="s">
        <v>720</v>
      </c>
      <c r="F5464" t="s">
        <v>3419</v>
      </c>
      <c r="G5464" t="s">
        <v>7692</v>
      </c>
      <c r="H5464" t="s">
        <v>13666</v>
      </c>
      <c r="I5464" t="s">
        <v>18248</v>
      </c>
      <c r="J5464" t="s">
        <v>18894</v>
      </c>
      <c r="K5464">
        <v>11233</v>
      </c>
      <c r="L5464" t="s">
        <v>18958</v>
      </c>
      <c r="M5464" t="s">
        <v>18960</v>
      </c>
      <c r="N5464" t="s">
        <v>19330</v>
      </c>
      <c r="O5464" t="s">
        <v>26534</v>
      </c>
      <c r="P5464" t="s">
        <v>26561</v>
      </c>
      <c r="R5464" t="s">
        <v>26578</v>
      </c>
      <c r="S5464" t="s">
        <v>18958</v>
      </c>
      <c r="U5464" t="s">
        <v>26604</v>
      </c>
      <c r="V5464" t="s">
        <v>26610</v>
      </c>
      <c r="W5464" t="s">
        <v>690</v>
      </c>
      <c r="X5464">
        <v>879</v>
      </c>
      <c r="Y5464" t="s">
        <v>26652</v>
      </c>
      <c r="Z5464" t="s">
        <v>26530</v>
      </c>
      <c r="AB5464" t="s">
        <v>28070</v>
      </c>
      <c r="AE5464">
        <v>359</v>
      </c>
      <c r="AF5464" t="s">
        <v>45541</v>
      </c>
      <c r="AH5464">
        <v>40</v>
      </c>
      <c r="AI5464">
        <v>2</v>
      </c>
      <c r="AJ5464">
        <v>0</v>
      </c>
      <c r="AK5464">
        <v>55.28</v>
      </c>
      <c r="AN5464" t="s">
        <v>7439</v>
      </c>
      <c r="AO5464">
        <v>9348</v>
      </c>
      <c r="AP5464" t="s">
        <v>45853</v>
      </c>
      <c r="AU5464">
        <v>0</v>
      </c>
      <c r="AW5464" t="s">
        <v>286</v>
      </c>
      <c r="AX5464" t="s">
        <v>19330</v>
      </c>
    </row>
    <row r="5465" spans="1:50">
      <c r="A5465" s="1">
        <f>HYPERLINK("https://lsnyc.legalserver.org/matter/dynamic-profile/view/1901986","19-1901986")</f>
        <v>0</v>
      </c>
      <c r="B5465" t="s">
        <v>95</v>
      </c>
      <c r="C5465" t="s">
        <v>340</v>
      </c>
      <c r="D5465" t="s">
        <v>720</v>
      </c>
      <c r="F5465" t="s">
        <v>3420</v>
      </c>
      <c r="G5465" t="s">
        <v>5965</v>
      </c>
      <c r="H5465" t="s">
        <v>13666</v>
      </c>
      <c r="I5465" t="s">
        <v>18249</v>
      </c>
      <c r="J5465" t="s">
        <v>18894</v>
      </c>
      <c r="K5465">
        <v>11233</v>
      </c>
      <c r="L5465" t="s">
        <v>18958</v>
      </c>
      <c r="M5465" t="s">
        <v>18960</v>
      </c>
      <c r="N5465" t="s">
        <v>19330</v>
      </c>
      <c r="O5465" t="s">
        <v>26534</v>
      </c>
      <c r="P5465" t="s">
        <v>26561</v>
      </c>
      <c r="R5465" t="s">
        <v>26578</v>
      </c>
      <c r="S5465" t="s">
        <v>18958</v>
      </c>
      <c r="U5465" t="s">
        <v>26604</v>
      </c>
      <c r="V5465" t="s">
        <v>26610</v>
      </c>
      <c r="W5465" t="s">
        <v>690</v>
      </c>
      <c r="X5465">
        <v>1099.98</v>
      </c>
      <c r="Y5465" t="s">
        <v>26652</v>
      </c>
      <c r="Z5465" t="s">
        <v>26530</v>
      </c>
      <c r="AB5465" t="s">
        <v>31103</v>
      </c>
      <c r="AE5465">
        <v>359</v>
      </c>
      <c r="AF5465" t="s">
        <v>45541</v>
      </c>
      <c r="AH5465">
        <v>51</v>
      </c>
      <c r="AI5465">
        <v>1</v>
      </c>
      <c r="AJ5465">
        <v>0</v>
      </c>
      <c r="AK5465">
        <v>80.06</v>
      </c>
      <c r="AN5465" t="s">
        <v>7439</v>
      </c>
      <c r="AO5465">
        <v>10000</v>
      </c>
      <c r="AP5465" t="s">
        <v>45853</v>
      </c>
      <c r="AU5465">
        <v>0</v>
      </c>
      <c r="AW5465" t="s">
        <v>286</v>
      </c>
      <c r="AX5465" t="s">
        <v>19330</v>
      </c>
    </row>
    <row r="5466" spans="1:50">
      <c r="A5466" s="1">
        <f>HYPERLINK("https://lsnyc.legalserver.org/matter/dynamic-profile/view/1902026","19-1902026")</f>
        <v>0</v>
      </c>
      <c r="B5466" t="s">
        <v>95</v>
      </c>
      <c r="C5466" t="s">
        <v>340</v>
      </c>
      <c r="D5466" t="s">
        <v>720</v>
      </c>
      <c r="F5466" t="s">
        <v>1081</v>
      </c>
      <c r="G5466" t="s">
        <v>7693</v>
      </c>
      <c r="H5466" t="s">
        <v>9692</v>
      </c>
      <c r="I5466" t="s">
        <v>18250</v>
      </c>
      <c r="J5466" t="s">
        <v>18894</v>
      </c>
      <c r="K5466">
        <v>11233</v>
      </c>
      <c r="L5466" t="s">
        <v>18958</v>
      </c>
      <c r="M5466" t="s">
        <v>18960</v>
      </c>
      <c r="N5466" t="s">
        <v>19330</v>
      </c>
      <c r="O5466" t="s">
        <v>26534</v>
      </c>
      <c r="P5466" t="s">
        <v>26561</v>
      </c>
      <c r="R5466" t="s">
        <v>26578</v>
      </c>
      <c r="S5466" t="s">
        <v>18958</v>
      </c>
      <c r="U5466" t="s">
        <v>26604</v>
      </c>
      <c r="W5466" t="s">
        <v>690</v>
      </c>
      <c r="X5466">
        <v>656.89</v>
      </c>
      <c r="Y5466" t="s">
        <v>26652</v>
      </c>
      <c r="Z5466" t="s">
        <v>26530</v>
      </c>
      <c r="AB5466" t="s">
        <v>31104</v>
      </c>
      <c r="AE5466">
        <v>359</v>
      </c>
      <c r="AF5466" t="s">
        <v>45541</v>
      </c>
      <c r="AH5466">
        <v>0</v>
      </c>
      <c r="AI5466">
        <v>1</v>
      </c>
      <c r="AJ5466">
        <v>0</v>
      </c>
      <c r="AK5466">
        <v>114.62</v>
      </c>
      <c r="AN5466" t="s">
        <v>7439</v>
      </c>
      <c r="AO5466">
        <v>14316</v>
      </c>
      <c r="AP5466" t="s">
        <v>45853</v>
      </c>
      <c r="AU5466">
        <v>0</v>
      </c>
      <c r="AW5466" t="s">
        <v>286</v>
      </c>
      <c r="AX5466" t="s">
        <v>19330</v>
      </c>
    </row>
    <row r="5467" spans="1:50">
      <c r="A5467" s="1">
        <f>HYPERLINK("https://lsnyc.legalserver.org/matter/dynamic-profile/view/1902048","19-1902048")</f>
        <v>0</v>
      </c>
      <c r="B5467" t="s">
        <v>95</v>
      </c>
      <c r="C5467" t="s">
        <v>340</v>
      </c>
      <c r="D5467" t="s">
        <v>720</v>
      </c>
      <c r="F5467" t="s">
        <v>3421</v>
      </c>
      <c r="G5467" t="s">
        <v>7694</v>
      </c>
      <c r="H5467" t="s">
        <v>9692</v>
      </c>
      <c r="I5467" t="s">
        <v>18251</v>
      </c>
      <c r="J5467" t="s">
        <v>18894</v>
      </c>
      <c r="K5467">
        <v>11233</v>
      </c>
      <c r="L5467" t="s">
        <v>18958</v>
      </c>
      <c r="M5467" t="s">
        <v>18960</v>
      </c>
      <c r="N5467" t="s">
        <v>19330</v>
      </c>
      <c r="O5467" t="s">
        <v>26534</v>
      </c>
      <c r="P5467" t="s">
        <v>26561</v>
      </c>
      <c r="R5467" t="s">
        <v>26578</v>
      </c>
      <c r="S5467" t="s">
        <v>18958</v>
      </c>
      <c r="U5467" t="s">
        <v>26604</v>
      </c>
      <c r="V5467" t="s">
        <v>26610</v>
      </c>
      <c r="W5467" t="s">
        <v>690</v>
      </c>
      <c r="X5467">
        <v>787</v>
      </c>
      <c r="Y5467" t="s">
        <v>26652</v>
      </c>
      <c r="Z5467" t="s">
        <v>26530</v>
      </c>
      <c r="AB5467" t="s">
        <v>31105</v>
      </c>
      <c r="AE5467">
        <v>359</v>
      </c>
      <c r="AF5467" t="s">
        <v>45541</v>
      </c>
      <c r="AH5467">
        <v>10</v>
      </c>
      <c r="AI5467">
        <v>1</v>
      </c>
      <c r="AJ5467">
        <v>2</v>
      </c>
      <c r="AK5467">
        <v>164.09</v>
      </c>
      <c r="AN5467" t="s">
        <v>7439</v>
      </c>
      <c r="AO5467">
        <v>35000</v>
      </c>
      <c r="AP5467" t="s">
        <v>45853</v>
      </c>
      <c r="AU5467">
        <v>0</v>
      </c>
      <c r="AW5467" t="s">
        <v>286</v>
      </c>
      <c r="AX5467" t="s">
        <v>19330</v>
      </c>
    </row>
    <row r="5468" spans="1:50">
      <c r="A5468" s="1">
        <f>HYPERLINK("https://lsnyc.legalserver.org/matter/dynamic-profile/view/1902260","19-1902260")</f>
        <v>0</v>
      </c>
      <c r="B5468" t="s">
        <v>174</v>
      </c>
      <c r="C5468" t="s">
        <v>340</v>
      </c>
      <c r="D5468" t="s">
        <v>772</v>
      </c>
      <c r="F5468" t="s">
        <v>3422</v>
      </c>
      <c r="G5468" t="s">
        <v>7695</v>
      </c>
      <c r="H5468" t="s">
        <v>13668</v>
      </c>
      <c r="I5468" t="s">
        <v>17324</v>
      </c>
      <c r="J5468" t="s">
        <v>18894</v>
      </c>
      <c r="K5468">
        <v>11233</v>
      </c>
      <c r="L5468" t="s">
        <v>18959</v>
      </c>
      <c r="M5468" t="s">
        <v>18960</v>
      </c>
      <c r="N5468" t="s">
        <v>23008</v>
      </c>
      <c r="O5468" t="s">
        <v>26524</v>
      </c>
      <c r="P5468" t="s">
        <v>26560</v>
      </c>
      <c r="R5468" t="s">
        <v>26578</v>
      </c>
      <c r="S5468" t="s">
        <v>18959</v>
      </c>
      <c r="U5468" t="s">
        <v>26604</v>
      </c>
      <c r="V5468" t="s">
        <v>26610</v>
      </c>
      <c r="W5468" t="s">
        <v>690</v>
      </c>
      <c r="X5468">
        <v>600</v>
      </c>
      <c r="Y5468" t="s">
        <v>26652</v>
      </c>
      <c r="Z5468" t="s">
        <v>26667</v>
      </c>
      <c r="AB5468" t="s">
        <v>31106</v>
      </c>
      <c r="AC5468" t="s">
        <v>19330</v>
      </c>
      <c r="AD5468" t="s">
        <v>41272</v>
      </c>
      <c r="AE5468">
        <v>6</v>
      </c>
      <c r="AF5468" t="s">
        <v>45541</v>
      </c>
      <c r="AG5468" t="s">
        <v>19330</v>
      </c>
      <c r="AH5468">
        <v>4</v>
      </c>
      <c r="AI5468">
        <v>1</v>
      </c>
      <c r="AJ5468">
        <v>0</v>
      </c>
      <c r="AK5468">
        <v>192.15</v>
      </c>
      <c r="AN5468" t="s">
        <v>7439</v>
      </c>
      <c r="AO5468">
        <v>24000</v>
      </c>
      <c r="AU5468">
        <v>0.2</v>
      </c>
      <c r="AV5468" t="s">
        <v>831</v>
      </c>
      <c r="AW5468" t="s">
        <v>279</v>
      </c>
      <c r="AX5468" t="s">
        <v>19330</v>
      </c>
    </row>
    <row r="5469" spans="1:50">
      <c r="A5469" s="1">
        <f>HYPERLINK("https://lsnyc.legalserver.org/matter/dynamic-profile/view/1902158","19-1902158")</f>
        <v>0</v>
      </c>
      <c r="B5469" t="s">
        <v>95</v>
      </c>
      <c r="C5469" t="s">
        <v>340</v>
      </c>
      <c r="D5469" t="s">
        <v>772</v>
      </c>
      <c r="F5469" t="s">
        <v>2151</v>
      </c>
      <c r="G5469" t="s">
        <v>7696</v>
      </c>
      <c r="H5469" t="s">
        <v>9692</v>
      </c>
      <c r="I5469" t="s">
        <v>17951</v>
      </c>
      <c r="J5469" t="s">
        <v>18894</v>
      </c>
      <c r="K5469">
        <v>11233</v>
      </c>
      <c r="L5469" t="s">
        <v>18958</v>
      </c>
      <c r="M5469" t="s">
        <v>18960</v>
      </c>
      <c r="N5469" t="s">
        <v>19330</v>
      </c>
      <c r="O5469" t="s">
        <v>26534</v>
      </c>
      <c r="P5469" t="s">
        <v>26561</v>
      </c>
      <c r="R5469" t="s">
        <v>26578</v>
      </c>
      <c r="S5469" t="s">
        <v>18958</v>
      </c>
      <c r="U5469" t="s">
        <v>26604</v>
      </c>
      <c r="V5469" t="s">
        <v>26610</v>
      </c>
      <c r="W5469" t="s">
        <v>690</v>
      </c>
      <c r="X5469">
        <v>1170</v>
      </c>
      <c r="Y5469" t="s">
        <v>26652</v>
      </c>
      <c r="Z5469" t="s">
        <v>26530</v>
      </c>
      <c r="AE5469">
        <v>359</v>
      </c>
      <c r="AF5469" t="s">
        <v>45541</v>
      </c>
      <c r="AH5469">
        <v>29</v>
      </c>
      <c r="AI5469">
        <v>3</v>
      </c>
      <c r="AJ5469">
        <v>4</v>
      </c>
      <c r="AK5469">
        <v>17.94</v>
      </c>
      <c r="AN5469" t="s">
        <v>7439</v>
      </c>
      <c r="AO5469">
        <v>7000</v>
      </c>
      <c r="AP5469" t="s">
        <v>45853</v>
      </c>
      <c r="AU5469">
        <v>0</v>
      </c>
      <c r="AW5469" t="s">
        <v>286</v>
      </c>
      <c r="AX5469" t="s">
        <v>19330</v>
      </c>
    </row>
    <row r="5470" spans="1:50">
      <c r="A5470" s="1">
        <f>HYPERLINK("https://lsnyc.legalserver.org/matter/dynamic-profile/view/1902056","19-1902056")</f>
        <v>0</v>
      </c>
      <c r="B5470" t="s">
        <v>95</v>
      </c>
      <c r="C5470" t="s">
        <v>340</v>
      </c>
      <c r="D5470" t="s">
        <v>772</v>
      </c>
      <c r="F5470" t="s">
        <v>1333</v>
      </c>
      <c r="G5470" t="s">
        <v>7697</v>
      </c>
      <c r="H5470" t="s">
        <v>9692</v>
      </c>
      <c r="I5470" t="s">
        <v>18252</v>
      </c>
      <c r="J5470" t="s">
        <v>18894</v>
      </c>
      <c r="K5470">
        <v>11233</v>
      </c>
      <c r="L5470" t="s">
        <v>18958</v>
      </c>
      <c r="M5470" t="s">
        <v>18960</v>
      </c>
      <c r="N5470" t="s">
        <v>19330</v>
      </c>
      <c r="O5470" t="s">
        <v>26534</v>
      </c>
      <c r="P5470" t="s">
        <v>26561</v>
      </c>
      <c r="R5470" t="s">
        <v>26578</v>
      </c>
      <c r="S5470" t="s">
        <v>18958</v>
      </c>
      <c r="U5470" t="s">
        <v>26604</v>
      </c>
      <c r="V5470" t="s">
        <v>26610</v>
      </c>
      <c r="W5470" t="s">
        <v>690</v>
      </c>
      <c r="X5470">
        <v>1200</v>
      </c>
      <c r="Y5470" t="s">
        <v>26652</v>
      </c>
      <c r="Z5470" t="s">
        <v>26530</v>
      </c>
      <c r="AB5470" t="s">
        <v>30611</v>
      </c>
      <c r="AE5470">
        <v>359</v>
      </c>
      <c r="AF5470" t="s">
        <v>45541</v>
      </c>
      <c r="AH5470">
        <v>20</v>
      </c>
      <c r="AI5470">
        <v>3</v>
      </c>
      <c r="AJ5470">
        <v>0</v>
      </c>
      <c r="AK5470">
        <v>328.18</v>
      </c>
      <c r="AN5470" t="s">
        <v>7439</v>
      </c>
      <c r="AO5470">
        <v>70000</v>
      </c>
      <c r="AP5470" t="s">
        <v>45864</v>
      </c>
      <c r="AU5470">
        <v>0</v>
      </c>
      <c r="AW5470" t="s">
        <v>286</v>
      </c>
      <c r="AX5470" t="s">
        <v>19330</v>
      </c>
    </row>
    <row r="5471" spans="1:50">
      <c r="A5471" s="1">
        <f>HYPERLINK("https://lsnyc.legalserver.org/matter/dynamic-profile/view/1902030","19-1902030")</f>
        <v>0</v>
      </c>
      <c r="B5471" t="s">
        <v>174</v>
      </c>
      <c r="C5471" t="s">
        <v>340</v>
      </c>
      <c r="D5471" t="s">
        <v>773</v>
      </c>
      <c r="F5471" t="s">
        <v>3423</v>
      </c>
      <c r="G5471" t="s">
        <v>7698</v>
      </c>
      <c r="H5471" t="s">
        <v>13668</v>
      </c>
      <c r="I5471">
        <v>2</v>
      </c>
      <c r="J5471" t="s">
        <v>18894</v>
      </c>
      <c r="K5471">
        <v>11233</v>
      </c>
      <c r="L5471" t="s">
        <v>18958</v>
      </c>
      <c r="M5471" t="s">
        <v>18960</v>
      </c>
      <c r="N5471" t="s">
        <v>23009</v>
      </c>
      <c r="O5471" t="s">
        <v>26524</v>
      </c>
      <c r="P5471" t="s">
        <v>26560</v>
      </c>
      <c r="R5471" t="s">
        <v>26578</v>
      </c>
      <c r="S5471" t="s">
        <v>18959</v>
      </c>
      <c r="U5471" t="s">
        <v>26604</v>
      </c>
      <c r="V5471" t="s">
        <v>26610</v>
      </c>
      <c r="W5471" t="s">
        <v>690</v>
      </c>
      <c r="X5471">
        <v>650</v>
      </c>
      <c r="Y5471" t="s">
        <v>26652</v>
      </c>
      <c r="Z5471" t="s">
        <v>26667</v>
      </c>
      <c r="AB5471" t="s">
        <v>31107</v>
      </c>
      <c r="AC5471" t="s">
        <v>19330</v>
      </c>
      <c r="AD5471" t="s">
        <v>41273</v>
      </c>
      <c r="AE5471">
        <v>6</v>
      </c>
      <c r="AF5471" t="s">
        <v>45541</v>
      </c>
      <c r="AG5471" t="s">
        <v>19330</v>
      </c>
      <c r="AH5471">
        <v>3</v>
      </c>
      <c r="AI5471">
        <v>1</v>
      </c>
      <c r="AJ5471">
        <v>0</v>
      </c>
      <c r="AK5471">
        <v>172.94</v>
      </c>
      <c r="AN5471" t="s">
        <v>7439</v>
      </c>
      <c r="AO5471">
        <v>21600</v>
      </c>
      <c r="AU5471">
        <v>0</v>
      </c>
      <c r="AW5471" t="s">
        <v>279</v>
      </c>
      <c r="AX5471" t="s">
        <v>46897</v>
      </c>
    </row>
    <row r="5472" spans="1:50">
      <c r="A5472" s="1">
        <f>HYPERLINK("https://lsnyc.legalserver.org/matter/dynamic-profile/view/1853639","17-1853639")</f>
        <v>0</v>
      </c>
      <c r="B5472" t="s">
        <v>109</v>
      </c>
      <c r="C5472" t="s">
        <v>341</v>
      </c>
      <c r="D5472" t="s">
        <v>774</v>
      </c>
      <c r="E5472" t="s">
        <v>728</v>
      </c>
      <c r="F5472" t="s">
        <v>1235</v>
      </c>
      <c r="G5472" t="s">
        <v>5633</v>
      </c>
      <c r="H5472" t="s">
        <v>13669</v>
      </c>
      <c r="I5472" t="s">
        <v>18253</v>
      </c>
      <c r="J5472" t="s">
        <v>18902</v>
      </c>
      <c r="K5472">
        <v>10304</v>
      </c>
      <c r="L5472" t="s">
        <v>18958</v>
      </c>
      <c r="M5472" t="s">
        <v>18958</v>
      </c>
      <c r="N5472" t="s">
        <v>23010</v>
      </c>
      <c r="O5472" t="s">
        <v>26523</v>
      </c>
      <c r="P5472" t="s">
        <v>26560</v>
      </c>
      <c r="Q5472" t="s">
        <v>26568</v>
      </c>
      <c r="R5472" t="s">
        <v>26578</v>
      </c>
      <c r="S5472" t="s">
        <v>18959</v>
      </c>
      <c r="U5472" t="s">
        <v>26604</v>
      </c>
      <c r="V5472" t="s">
        <v>26610</v>
      </c>
      <c r="W5472" t="s">
        <v>849</v>
      </c>
      <c r="X5472">
        <v>1900</v>
      </c>
      <c r="Y5472" t="s">
        <v>26654</v>
      </c>
      <c r="Z5472" t="s">
        <v>26659</v>
      </c>
      <c r="AA5472" t="s">
        <v>26678</v>
      </c>
      <c r="AB5472" t="s">
        <v>31108</v>
      </c>
      <c r="AD5472" t="s">
        <v>41274</v>
      </c>
      <c r="AE5472">
        <v>3</v>
      </c>
      <c r="AF5472" t="s">
        <v>45547</v>
      </c>
      <c r="AH5472">
        <v>5</v>
      </c>
      <c r="AI5472">
        <v>2</v>
      </c>
      <c r="AJ5472">
        <v>0</v>
      </c>
      <c r="AK5472">
        <v>80.91</v>
      </c>
      <c r="AN5472" t="s">
        <v>7439</v>
      </c>
      <c r="AO5472">
        <v>13140</v>
      </c>
      <c r="AQ5472" t="s">
        <v>46362</v>
      </c>
      <c r="AR5472" t="s">
        <v>26530</v>
      </c>
      <c r="AS5472" t="s">
        <v>46500</v>
      </c>
      <c r="AT5472" t="s">
        <v>46795</v>
      </c>
      <c r="AU5472">
        <v>3.3</v>
      </c>
      <c r="AV5472" t="s">
        <v>849</v>
      </c>
      <c r="AW5472" t="s">
        <v>46852</v>
      </c>
    </row>
    <row r="5473" spans="1:50">
      <c r="A5473" s="1">
        <f>HYPERLINK("https://lsnyc.legalserver.org/matter/dynamic-profile/view/1858685","18-1858685")</f>
        <v>0</v>
      </c>
      <c r="B5473" t="s">
        <v>81</v>
      </c>
      <c r="C5473" t="s">
        <v>340</v>
      </c>
      <c r="D5473" t="s">
        <v>558</v>
      </c>
      <c r="F5473" t="s">
        <v>1228</v>
      </c>
      <c r="G5473" t="s">
        <v>7699</v>
      </c>
      <c r="H5473" t="s">
        <v>13670</v>
      </c>
      <c r="I5473" t="s">
        <v>17274</v>
      </c>
      <c r="J5473" t="s">
        <v>18892</v>
      </c>
      <c r="K5473">
        <v>10456</v>
      </c>
      <c r="L5473" t="s">
        <v>18958</v>
      </c>
      <c r="M5473" t="s">
        <v>18960</v>
      </c>
      <c r="N5473" t="s">
        <v>23011</v>
      </c>
      <c r="O5473" t="s">
        <v>26524</v>
      </c>
      <c r="P5473" t="s">
        <v>26560</v>
      </c>
      <c r="R5473" t="s">
        <v>26577</v>
      </c>
      <c r="S5473" t="s">
        <v>18959</v>
      </c>
      <c r="U5473" t="s">
        <v>26604</v>
      </c>
      <c r="V5473" t="s">
        <v>26609</v>
      </c>
      <c r="W5473" t="s">
        <v>849</v>
      </c>
      <c r="X5473">
        <v>1545.32</v>
      </c>
      <c r="Y5473" t="s">
        <v>26650</v>
      </c>
      <c r="Z5473" t="s">
        <v>26664</v>
      </c>
      <c r="AB5473" t="s">
        <v>28650</v>
      </c>
      <c r="AD5473" t="s">
        <v>41275</v>
      </c>
      <c r="AE5473">
        <v>14</v>
      </c>
      <c r="AF5473" t="s">
        <v>45541</v>
      </c>
      <c r="AG5473" t="s">
        <v>19330</v>
      </c>
      <c r="AH5473">
        <v>5</v>
      </c>
      <c r="AI5473">
        <v>3</v>
      </c>
      <c r="AJ5473">
        <v>0</v>
      </c>
      <c r="AK5473">
        <v>195.89</v>
      </c>
      <c r="AN5473" t="s">
        <v>7439</v>
      </c>
      <c r="AO5473">
        <v>40000</v>
      </c>
      <c r="AP5473" t="s">
        <v>45620</v>
      </c>
      <c r="AU5473">
        <v>34.7</v>
      </c>
      <c r="AV5473" t="s">
        <v>764</v>
      </c>
      <c r="AW5473" t="s">
        <v>46848</v>
      </c>
      <c r="AX5473" t="s">
        <v>46897</v>
      </c>
    </row>
    <row r="5474" spans="1:50">
      <c r="A5474" s="1">
        <f>HYPERLINK("https://lsnyc.legalserver.org/matter/dynamic-profile/view/1890572","19-1890572")</f>
        <v>0</v>
      </c>
      <c r="B5474" t="s">
        <v>95</v>
      </c>
      <c r="C5474" t="s">
        <v>340</v>
      </c>
      <c r="D5474" t="s">
        <v>745</v>
      </c>
      <c r="F5474" t="s">
        <v>1002</v>
      </c>
      <c r="G5474" t="s">
        <v>6908</v>
      </c>
      <c r="H5474" t="s">
        <v>9692</v>
      </c>
      <c r="I5474" t="s">
        <v>18008</v>
      </c>
      <c r="J5474" t="s">
        <v>18894</v>
      </c>
      <c r="K5474">
        <v>11233</v>
      </c>
      <c r="L5474" t="s">
        <v>18958</v>
      </c>
      <c r="M5474" t="s">
        <v>18959</v>
      </c>
      <c r="N5474" t="s">
        <v>19330</v>
      </c>
      <c r="O5474" t="s">
        <v>26534</v>
      </c>
      <c r="P5474" t="s">
        <v>26561</v>
      </c>
      <c r="R5474" t="s">
        <v>26578</v>
      </c>
      <c r="S5474" t="s">
        <v>18958</v>
      </c>
      <c r="U5474" t="s">
        <v>26604</v>
      </c>
      <c r="V5474" t="s">
        <v>26610</v>
      </c>
      <c r="W5474" t="s">
        <v>849</v>
      </c>
      <c r="X5474">
        <v>875</v>
      </c>
      <c r="Y5474" t="s">
        <v>26652</v>
      </c>
      <c r="Z5474" t="s">
        <v>26666</v>
      </c>
      <c r="AB5474" t="s">
        <v>31109</v>
      </c>
      <c r="AC5474" t="s">
        <v>19330</v>
      </c>
      <c r="AE5474">
        <v>359</v>
      </c>
      <c r="AF5474" t="s">
        <v>45541</v>
      </c>
      <c r="AG5474" t="s">
        <v>19330</v>
      </c>
      <c r="AH5474">
        <v>40</v>
      </c>
      <c r="AI5474">
        <v>1</v>
      </c>
      <c r="AJ5474">
        <v>0</v>
      </c>
      <c r="AK5474">
        <v>176.86</v>
      </c>
      <c r="AN5474" t="s">
        <v>7439</v>
      </c>
      <c r="AO5474">
        <v>22090</v>
      </c>
      <c r="AP5474" t="s">
        <v>45854</v>
      </c>
      <c r="AU5474">
        <v>0</v>
      </c>
      <c r="AW5474" t="s">
        <v>279</v>
      </c>
      <c r="AX5474" t="s">
        <v>19330</v>
      </c>
    </row>
    <row r="5475" spans="1:50">
      <c r="A5475" s="1">
        <f>HYPERLINK("https://lsnyc.legalserver.org/matter/dynamic-profile/view/1884622","18-1884622")</f>
        <v>0</v>
      </c>
      <c r="B5475" t="s">
        <v>82</v>
      </c>
      <c r="C5475" t="s">
        <v>340</v>
      </c>
      <c r="D5475" t="s">
        <v>678</v>
      </c>
      <c r="F5475" t="s">
        <v>1336</v>
      </c>
      <c r="G5475" t="s">
        <v>5706</v>
      </c>
      <c r="H5475" t="s">
        <v>13671</v>
      </c>
      <c r="I5475">
        <v>1</v>
      </c>
      <c r="J5475" t="s">
        <v>18892</v>
      </c>
      <c r="K5475">
        <v>10467</v>
      </c>
      <c r="L5475" t="s">
        <v>18958</v>
      </c>
      <c r="M5475" t="s">
        <v>18958</v>
      </c>
      <c r="N5475" t="s">
        <v>23012</v>
      </c>
      <c r="O5475" t="s">
        <v>26523</v>
      </c>
      <c r="P5475" t="s">
        <v>26560</v>
      </c>
      <c r="R5475" t="s">
        <v>26579</v>
      </c>
      <c r="S5475" t="s">
        <v>18959</v>
      </c>
      <c r="U5475" t="s">
        <v>26604</v>
      </c>
      <c r="V5475" t="s">
        <v>26610</v>
      </c>
      <c r="W5475" t="s">
        <v>745</v>
      </c>
      <c r="X5475">
        <v>1053.3</v>
      </c>
      <c r="Y5475" t="s">
        <v>26650</v>
      </c>
      <c r="Z5475" t="s">
        <v>26659</v>
      </c>
      <c r="AB5475" t="s">
        <v>31110</v>
      </c>
      <c r="AD5475" t="s">
        <v>41276</v>
      </c>
      <c r="AE5475">
        <v>0</v>
      </c>
      <c r="AF5475" t="s">
        <v>45541</v>
      </c>
      <c r="AG5475" t="s">
        <v>19330</v>
      </c>
      <c r="AH5475">
        <v>15</v>
      </c>
      <c r="AI5475">
        <v>2</v>
      </c>
      <c r="AJ5475">
        <v>0</v>
      </c>
      <c r="AK5475">
        <v>304.25</v>
      </c>
      <c r="AL5475" t="s">
        <v>745</v>
      </c>
      <c r="AM5475" t="s">
        <v>45575</v>
      </c>
      <c r="AN5475" t="s">
        <v>45581</v>
      </c>
      <c r="AO5475">
        <v>50080</v>
      </c>
      <c r="AU5475">
        <v>9.65</v>
      </c>
      <c r="AV5475" t="s">
        <v>771</v>
      </c>
      <c r="AW5475" t="s">
        <v>46836</v>
      </c>
    </row>
    <row r="5476" spans="1:50">
      <c r="A5476" s="1">
        <f>HYPERLINK("https://lsnyc.legalserver.org/matter/dynamic-profile/view/1890259","19-1890259")</f>
        <v>0</v>
      </c>
      <c r="B5476" t="s">
        <v>251</v>
      </c>
      <c r="C5476" t="s">
        <v>341</v>
      </c>
      <c r="D5476" t="s">
        <v>414</v>
      </c>
      <c r="E5476" t="s">
        <v>751</v>
      </c>
      <c r="F5476" t="s">
        <v>3424</v>
      </c>
      <c r="G5476" t="s">
        <v>5174</v>
      </c>
      <c r="H5476" t="s">
        <v>13672</v>
      </c>
      <c r="I5476" t="s">
        <v>17284</v>
      </c>
      <c r="J5476" t="s">
        <v>18892</v>
      </c>
      <c r="K5476">
        <v>10454</v>
      </c>
      <c r="L5476" t="s">
        <v>18958</v>
      </c>
      <c r="M5476" t="s">
        <v>18958</v>
      </c>
      <c r="N5476" t="s">
        <v>23013</v>
      </c>
      <c r="O5476" t="s">
        <v>26523</v>
      </c>
      <c r="P5476" t="s">
        <v>26564</v>
      </c>
      <c r="Q5476" t="s">
        <v>26571</v>
      </c>
      <c r="R5476" t="s">
        <v>26577</v>
      </c>
      <c r="U5476" t="s">
        <v>26604</v>
      </c>
      <c r="V5476" t="s">
        <v>26610</v>
      </c>
      <c r="W5476" t="s">
        <v>745</v>
      </c>
      <c r="X5476">
        <v>331</v>
      </c>
      <c r="Y5476" t="s">
        <v>26650</v>
      </c>
      <c r="Z5476" t="s">
        <v>26661</v>
      </c>
      <c r="AA5476" t="s">
        <v>26688</v>
      </c>
      <c r="AB5476" t="s">
        <v>31111</v>
      </c>
      <c r="AD5476" t="s">
        <v>41277</v>
      </c>
      <c r="AE5476">
        <v>0</v>
      </c>
      <c r="AF5476" t="s">
        <v>20460</v>
      </c>
      <c r="AG5476" t="s">
        <v>45556</v>
      </c>
      <c r="AH5476">
        <v>20</v>
      </c>
      <c r="AI5476">
        <v>1</v>
      </c>
      <c r="AJ5476">
        <v>2</v>
      </c>
      <c r="AK5476">
        <v>94.70999999999999</v>
      </c>
      <c r="AN5476" t="s">
        <v>7439</v>
      </c>
      <c r="AO5476">
        <v>19680</v>
      </c>
      <c r="AU5476">
        <v>1.5</v>
      </c>
      <c r="AV5476" t="s">
        <v>745</v>
      </c>
      <c r="AW5476" t="s">
        <v>302</v>
      </c>
    </row>
    <row r="5477" spans="1:50">
      <c r="A5477" s="1">
        <f>HYPERLINK("https://lsnyc.legalserver.org/matter/dynamic-profile/view/1887435","19-1887435")</f>
        <v>0</v>
      </c>
      <c r="B5477" t="s">
        <v>254</v>
      </c>
      <c r="C5477" t="s">
        <v>341</v>
      </c>
      <c r="D5477" t="s">
        <v>414</v>
      </c>
      <c r="E5477" t="s">
        <v>745</v>
      </c>
      <c r="F5477" t="s">
        <v>3425</v>
      </c>
      <c r="G5477" t="s">
        <v>6860</v>
      </c>
      <c r="H5477" t="s">
        <v>13673</v>
      </c>
      <c r="I5477" t="s">
        <v>17284</v>
      </c>
      <c r="J5477" t="s">
        <v>18892</v>
      </c>
      <c r="K5477">
        <v>10467</v>
      </c>
      <c r="L5477" t="s">
        <v>18958</v>
      </c>
      <c r="M5477" t="s">
        <v>18958</v>
      </c>
      <c r="N5477" t="s">
        <v>23014</v>
      </c>
      <c r="O5477" t="s">
        <v>26523</v>
      </c>
      <c r="P5477" t="s">
        <v>26564</v>
      </c>
      <c r="Q5477" t="s">
        <v>26570</v>
      </c>
      <c r="R5477" t="s">
        <v>26579</v>
      </c>
      <c r="S5477" t="s">
        <v>18959</v>
      </c>
      <c r="U5477" t="s">
        <v>26604</v>
      </c>
      <c r="V5477" t="s">
        <v>26612</v>
      </c>
      <c r="W5477" t="s">
        <v>745</v>
      </c>
      <c r="X5477">
        <v>1680.22</v>
      </c>
      <c r="Y5477" t="s">
        <v>26650</v>
      </c>
      <c r="Z5477" t="s">
        <v>26668</v>
      </c>
      <c r="AA5477" t="s">
        <v>26683</v>
      </c>
      <c r="AB5477" t="s">
        <v>31112</v>
      </c>
      <c r="AD5477" t="s">
        <v>41278</v>
      </c>
      <c r="AE5477">
        <v>49</v>
      </c>
      <c r="AF5477" t="s">
        <v>20460</v>
      </c>
      <c r="AG5477" t="s">
        <v>19330</v>
      </c>
      <c r="AH5477">
        <v>12</v>
      </c>
      <c r="AI5477">
        <v>1</v>
      </c>
      <c r="AJ5477">
        <v>3</v>
      </c>
      <c r="AK5477">
        <v>151.39</v>
      </c>
      <c r="AN5477" t="s">
        <v>7439</v>
      </c>
      <c r="AO5477">
        <v>38000</v>
      </c>
      <c r="AP5477" t="s">
        <v>45879</v>
      </c>
      <c r="AU5477">
        <v>3</v>
      </c>
      <c r="AV5477" t="s">
        <v>745</v>
      </c>
      <c r="AW5477" t="s">
        <v>46870</v>
      </c>
    </row>
    <row r="5478" spans="1:50">
      <c r="A5478" s="1">
        <f>HYPERLINK("https://lsnyc.legalserver.org/matter/dynamic-profile/view/1888343","19-1888343")</f>
        <v>0</v>
      </c>
      <c r="B5478" t="s">
        <v>130</v>
      </c>
      <c r="C5478" t="s">
        <v>341</v>
      </c>
      <c r="D5478" t="s">
        <v>727</v>
      </c>
      <c r="E5478" t="s">
        <v>728</v>
      </c>
      <c r="F5478" t="s">
        <v>1585</v>
      </c>
      <c r="G5478" t="s">
        <v>6986</v>
      </c>
      <c r="H5478" t="s">
        <v>13674</v>
      </c>
      <c r="J5478" t="s">
        <v>18912</v>
      </c>
      <c r="K5478">
        <v>11374</v>
      </c>
      <c r="L5478" t="s">
        <v>18958</v>
      </c>
      <c r="M5478" t="s">
        <v>18958</v>
      </c>
      <c r="N5478" t="s">
        <v>23015</v>
      </c>
      <c r="O5478" t="s">
        <v>26524</v>
      </c>
      <c r="P5478" t="s">
        <v>26564</v>
      </c>
      <c r="Q5478" t="s">
        <v>26570</v>
      </c>
      <c r="R5478" t="s">
        <v>26584</v>
      </c>
      <c r="S5478" t="s">
        <v>18959</v>
      </c>
      <c r="U5478" t="s">
        <v>26604</v>
      </c>
      <c r="V5478" t="s">
        <v>26610</v>
      </c>
      <c r="W5478" t="s">
        <v>745</v>
      </c>
      <c r="X5478">
        <v>1750</v>
      </c>
      <c r="Y5478" t="s">
        <v>26653</v>
      </c>
      <c r="Z5478" t="s">
        <v>26664</v>
      </c>
      <c r="AA5478" t="s">
        <v>26683</v>
      </c>
      <c r="AB5478" t="s">
        <v>31113</v>
      </c>
      <c r="AD5478" t="s">
        <v>41279</v>
      </c>
      <c r="AE5478">
        <v>2</v>
      </c>
      <c r="AF5478" t="s">
        <v>45547</v>
      </c>
      <c r="AG5478" t="s">
        <v>19330</v>
      </c>
      <c r="AH5478">
        <v>1</v>
      </c>
      <c r="AI5478">
        <v>4</v>
      </c>
      <c r="AJ5478">
        <v>2</v>
      </c>
      <c r="AK5478">
        <v>133.37</v>
      </c>
      <c r="AN5478" t="s">
        <v>7439</v>
      </c>
      <c r="AO5478">
        <v>45000</v>
      </c>
      <c r="AU5478">
        <v>0.9</v>
      </c>
      <c r="AV5478" t="s">
        <v>745</v>
      </c>
      <c r="AW5478" t="s">
        <v>208</v>
      </c>
    </row>
    <row r="5479" spans="1:50">
      <c r="A5479" s="1">
        <f>HYPERLINK("https://lsnyc.legalserver.org/matter/dynamic-profile/view/1888811","19-1888811")</f>
        <v>0</v>
      </c>
      <c r="B5479" t="s">
        <v>253</v>
      </c>
      <c r="C5479" t="s">
        <v>340</v>
      </c>
      <c r="D5479" t="s">
        <v>698</v>
      </c>
      <c r="F5479" t="s">
        <v>1282</v>
      </c>
      <c r="G5479" t="s">
        <v>7700</v>
      </c>
      <c r="H5479" t="s">
        <v>13675</v>
      </c>
      <c r="I5479" t="s">
        <v>17354</v>
      </c>
      <c r="J5479" t="s">
        <v>18892</v>
      </c>
      <c r="K5479">
        <v>10471</v>
      </c>
      <c r="L5479" t="s">
        <v>18958</v>
      </c>
      <c r="M5479" t="s">
        <v>18958</v>
      </c>
      <c r="N5479" t="s">
        <v>23016</v>
      </c>
      <c r="O5479" t="s">
        <v>26523</v>
      </c>
      <c r="P5479" t="s">
        <v>26564</v>
      </c>
      <c r="R5479" t="s">
        <v>26577</v>
      </c>
      <c r="S5479" t="s">
        <v>18959</v>
      </c>
      <c r="U5479" t="s">
        <v>26604</v>
      </c>
      <c r="V5479" t="s">
        <v>26612</v>
      </c>
      <c r="W5479" t="s">
        <v>745</v>
      </c>
      <c r="X5479">
        <v>1200</v>
      </c>
      <c r="Y5479" t="s">
        <v>26650</v>
      </c>
      <c r="Z5479" t="s">
        <v>26664</v>
      </c>
      <c r="AB5479" t="s">
        <v>27033</v>
      </c>
      <c r="AD5479" t="s">
        <v>41280</v>
      </c>
      <c r="AE5479">
        <v>3</v>
      </c>
      <c r="AF5479" t="s">
        <v>45547</v>
      </c>
      <c r="AG5479" t="s">
        <v>19330</v>
      </c>
      <c r="AH5479">
        <v>3</v>
      </c>
      <c r="AI5479">
        <v>1</v>
      </c>
      <c r="AJ5479">
        <v>2</v>
      </c>
      <c r="AK5479">
        <v>134.08</v>
      </c>
      <c r="AN5479" t="s">
        <v>7439</v>
      </c>
      <c r="AO5479">
        <v>28600</v>
      </c>
      <c r="AR5479" t="s">
        <v>46379</v>
      </c>
      <c r="AS5479" t="s">
        <v>46499</v>
      </c>
      <c r="AT5479" t="s">
        <v>46796</v>
      </c>
      <c r="AU5479">
        <v>2.25</v>
      </c>
      <c r="AV5479" t="s">
        <v>839</v>
      </c>
      <c r="AW5479" t="s">
        <v>46847</v>
      </c>
      <c r="AX5479" t="s">
        <v>46897</v>
      </c>
    </row>
    <row r="5480" spans="1:50">
      <c r="A5480" s="1">
        <f>HYPERLINK("https://lsnyc.legalserver.org/matter/dynamic-profile/view/1888957","19-1888957")</f>
        <v>0</v>
      </c>
      <c r="B5480" t="s">
        <v>56</v>
      </c>
      <c r="C5480" t="s">
        <v>340</v>
      </c>
      <c r="D5480" t="s">
        <v>732</v>
      </c>
      <c r="F5480" t="s">
        <v>1154</v>
      </c>
      <c r="G5480" t="s">
        <v>5982</v>
      </c>
      <c r="H5480" t="s">
        <v>13676</v>
      </c>
      <c r="I5480" t="s">
        <v>17859</v>
      </c>
      <c r="J5480" t="s">
        <v>18892</v>
      </c>
      <c r="K5480">
        <v>10467</v>
      </c>
      <c r="L5480" t="s">
        <v>18958</v>
      </c>
      <c r="M5480" t="s">
        <v>18958</v>
      </c>
      <c r="N5480" t="s">
        <v>23017</v>
      </c>
      <c r="O5480" t="s">
        <v>26525</v>
      </c>
      <c r="P5480" t="s">
        <v>26561</v>
      </c>
      <c r="R5480" t="s">
        <v>26579</v>
      </c>
      <c r="T5480" t="s">
        <v>26579</v>
      </c>
      <c r="U5480" t="s">
        <v>26605</v>
      </c>
      <c r="V5480" t="s">
        <v>26610</v>
      </c>
      <c r="W5480" t="s">
        <v>745</v>
      </c>
      <c r="X5480">
        <v>0</v>
      </c>
      <c r="Y5480" t="s">
        <v>26650</v>
      </c>
      <c r="Z5480" t="s">
        <v>26664</v>
      </c>
      <c r="AB5480" t="s">
        <v>30622</v>
      </c>
      <c r="AD5480" t="s">
        <v>41281</v>
      </c>
      <c r="AE5480">
        <v>0</v>
      </c>
      <c r="AF5480" t="s">
        <v>45541</v>
      </c>
      <c r="AH5480">
        <v>0</v>
      </c>
      <c r="AI5480">
        <v>1</v>
      </c>
      <c r="AJ5480">
        <v>1</v>
      </c>
      <c r="AK5480">
        <v>70.59</v>
      </c>
      <c r="AN5480" t="s">
        <v>7439</v>
      </c>
      <c r="AO5480">
        <v>11936</v>
      </c>
      <c r="AP5480" t="s">
        <v>45880</v>
      </c>
      <c r="AU5480">
        <v>5.75</v>
      </c>
      <c r="AV5480" t="s">
        <v>815</v>
      </c>
      <c r="AW5480" t="s">
        <v>46859</v>
      </c>
    </row>
    <row r="5481" spans="1:50">
      <c r="A5481" s="1">
        <f>HYPERLINK("https://lsnyc.legalserver.org/matter/dynamic-profile/view/1889543","19-1889543")</f>
        <v>0</v>
      </c>
      <c r="B5481" t="s">
        <v>130</v>
      </c>
      <c r="C5481" t="s">
        <v>341</v>
      </c>
      <c r="D5481" t="s">
        <v>735</v>
      </c>
      <c r="E5481" t="s">
        <v>728</v>
      </c>
      <c r="F5481" t="s">
        <v>1433</v>
      </c>
      <c r="G5481" t="s">
        <v>7701</v>
      </c>
      <c r="H5481" t="s">
        <v>13677</v>
      </c>
      <c r="I5481" t="s">
        <v>17721</v>
      </c>
      <c r="J5481" t="s">
        <v>18919</v>
      </c>
      <c r="K5481">
        <v>11429</v>
      </c>
      <c r="L5481" t="s">
        <v>18958</v>
      </c>
      <c r="M5481" t="s">
        <v>18958</v>
      </c>
      <c r="N5481" t="s">
        <v>23018</v>
      </c>
      <c r="O5481" t="s">
        <v>26524</v>
      </c>
      <c r="P5481" t="s">
        <v>26564</v>
      </c>
      <c r="Q5481" t="s">
        <v>26570</v>
      </c>
      <c r="R5481" t="s">
        <v>26584</v>
      </c>
      <c r="S5481" t="s">
        <v>18959</v>
      </c>
      <c r="U5481" t="s">
        <v>26604</v>
      </c>
      <c r="V5481" t="s">
        <v>26610</v>
      </c>
      <c r="W5481" t="s">
        <v>745</v>
      </c>
      <c r="X5481">
        <v>0</v>
      </c>
      <c r="Y5481" t="s">
        <v>26653</v>
      </c>
      <c r="Z5481" t="s">
        <v>26664</v>
      </c>
      <c r="AA5481" t="s">
        <v>26683</v>
      </c>
      <c r="AB5481" t="s">
        <v>31114</v>
      </c>
      <c r="AC5481" t="s">
        <v>35989</v>
      </c>
      <c r="AD5481" t="s">
        <v>41282</v>
      </c>
      <c r="AE5481">
        <v>2</v>
      </c>
      <c r="AF5481" t="s">
        <v>45547</v>
      </c>
      <c r="AG5481" t="s">
        <v>19330</v>
      </c>
      <c r="AH5481">
        <v>36</v>
      </c>
      <c r="AI5481">
        <v>1</v>
      </c>
      <c r="AJ5481">
        <v>0</v>
      </c>
      <c r="AK5481">
        <v>48.04</v>
      </c>
      <c r="AN5481" t="s">
        <v>7439</v>
      </c>
      <c r="AO5481">
        <v>6000</v>
      </c>
      <c r="AU5481">
        <v>1.45</v>
      </c>
      <c r="AV5481" t="s">
        <v>805</v>
      </c>
      <c r="AW5481" t="s">
        <v>208</v>
      </c>
    </row>
    <row r="5482" spans="1:50">
      <c r="A5482" s="1">
        <f>HYPERLINK("https://lsnyc.legalserver.org/matter/dynamic-profile/view/1889567","19-1889567")</f>
        <v>0</v>
      </c>
      <c r="B5482" t="s">
        <v>130</v>
      </c>
      <c r="C5482" t="s">
        <v>341</v>
      </c>
      <c r="D5482" t="s">
        <v>735</v>
      </c>
      <c r="E5482" t="s">
        <v>728</v>
      </c>
      <c r="F5482" t="s">
        <v>1258</v>
      </c>
      <c r="G5482" t="s">
        <v>7702</v>
      </c>
      <c r="H5482" t="s">
        <v>13678</v>
      </c>
      <c r="J5482" t="s">
        <v>18922</v>
      </c>
      <c r="K5482">
        <v>11694</v>
      </c>
      <c r="L5482" t="s">
        <v>18958</v>
      </c>
      <c r="M5482" t="s">
        <v>18958</v>
      </c>
      <c r="N5482" t="s">
        <v>23019</v>
      </c>
      <c r="O5482" t="s">
        <v>26533</v>
      </c>
      <c r="P5482" t="s">
        <v>26564</v>
      </c>
      <c r="Q5482" t="s">
        <v>26570</v>
      </c>
      <c r="R5482" t="s">
        <v>26584</v>
      </c>
      <c r="S5482" t="s">
        <v>18959</v>
      </c>
      <c r="U5482" t="s">
        <v>26604</v>
      </c>
      <c r="V5482" t="s">
        <v>26610</v>
      </c>
      <c r="W5482" t="s">
        <v>745</v>
      </c>
      <c r="X5482">
        <v>219</v>
      </c>
      <c r="Y5482" t="s">
        <v>26653</v>
      </c>
      <c r="Z5482" t="s">
        <v>26664</v>
      </c>
      <c r="AA5482" t="s">
        <v>26683</v>
      </c>
      <c r="AB5482" t="s">
        <v>29086</v>
      </c>
      <c r="AD5482" t="s">
        <v>41283</v>
      </c>
      <c r="AE5482">
        <v>25</v>
      </c>
      <c r="AF5482" t="s">
        <v>20460</v>
      </c>
      <c r="AG5482" t="s">
        <v>19330</v>
      </c>
      <c r="AH5482">
        <v>5</v>
      </c>
      <c r="AI5482">
        <v>2</v>
      </c>
      <c r="AJ5482">
        <v>0</v>
      </c>
      <c r="AK5482">
        <v>109.43</v>
      </c>
      <c r="AN5482" t="s">
        <v>7439</v>
      </c>
      <c r="AO5482">
        <v>18504</v>
      </c>
      <c r="AU5482">
        <v>1.25</v>
      </c>
      <c r="AV5482" t="s">
        <v>745</v>
      </c>
      <c r="AW5482" t="s">
        <v>208</v>
      </c>
    </row>
    <row r="5483" spans="1:50">
      <c r="A5483" s="1">
        <f>HYPERLINK("https://lsnyc.legalserver.org/matter/dynamic-profile/view/1890473","19-1890473")</f>
        <v>0</v>
      </c>
      <c r="B5483" t="s">
        <v>209</v>
      </c>
      <c r="C5483" t="s">
        <v>341</v>
      </c>
      <c r="D5483" t="s">
        <v>690</v>
      </c>
      <c r="E5483" t="s">
        <v>745</v>
      </c>
      <c r="F5483" t="s">
        <v>1191</v>
      </c>
      <c r="G5483" t="s">
        <v>968</v>
      </c>
      <c r="H5483" t="s">
        <v>13679</v>
      </c>
      <c r="I5483" t="s">
        <v>18254</v>
      </c>
      <c r="J5483" t="s">
        <v>18892</v>
      </c>
      <c r="K5483">
        <v>10461</v>
      </c>
      <c r="L5483" t="s">
        <v>18958</v>
      </c>
      <c r="M5483" t="s">
        <v>18958</v>
      </c>
      <c r="N5483" t="s">
        <v>23020</v>
      </c>
      <c r="O5483" t="s">
        <v>26524</v>
      </c>
      <c r="P5483" t="s">
        <v>26564</v>
      </c>
      <c r="Q5483" t="s">
        <v>26570</v>
      </c>
      <c r="R5483" t="s">
        <v>26577</v>
      </c>
      <c r="S5483" t="s">
        <v>18959</v>
      </c>
      <c r="U5483" t="s">
        <v>26604</v>
      </c>
      <c r="V5483" t="s">
        <v>26610</v>
      </c>
      <c r="W5483" t="s">
        <v>745</v>
      </c>
      <c r="X5483">
        <v>1550</v>
      </c>
      <c r="Y5483" t="s">
        <v>26650</v>
      </c>
      <c r="Z5483" t="s">
        <v>26668</v>
      </c>
      <c r="AA5483" t="s">
        <v>26683</v>
      </c>
      <c r="AB5483" t="s">
        <v>29808</v>
      </c>
      <c r="AC5483" t="s">
        <v>35990</v>
      </c>
      <c r="AD5483" t="s">
        <v>41284</v>
      </c>
      <c r="AE5483">
        <v>5</v>
      </c>
      <c r="AF5483" t="s">
        <v>20460</v>
      </c>
      <c r="AG5483" t="s">
        <v>45558</v>
      </c>
      <c r="AH5483">
        <v>1</v>
      </c>
      <c r="AI5483">
        <v>1</v>
      </c>
      <c r="AJ5483">
        <v>2</v>
      </c>
      <c r="AK5483">
        <v>63.07</v>
      </c>
      <c r="AN5483" t="s">
        <v>7439</v>
      </c>
      <c r="AO5483">
        <v>13452</v>
      </c>
      <c r="AU5483">
        <v>1.2</v>
      </c>
      <c r="AV5483" t="s">
        <v>745</v>
      </c>
      <c r="AW5483" t="s">
        <v>46831</v>
      </c>
    </row>
    <row r="5484" spans="1:50">
      <c r="A5484" s="1">
        <f>HYPERLINK("https://lsnyc.legalserver.org/matter/dynamic-profile/view/1890654","19-1890654")</f>
        <v>0</v>
      </c>
      <c r="B5484" t="s">
        <v>70</v>
      </c>
      <c r="C5484" t="s">
        <v>341</v>
      </c>
      <c r="D5484" t="s">
        <v>745</v>
      </c>
      <c r="E5484" t="s">
        <v>805</v>
      </c>
      <c r="F5484" t="s">
        <v>1402</v>
      </c>
      <c r="G5484" t="s">
        <v>6958</v>
      </c>
      <c r="H5484" t="s">
        <v>12582</v>
      </c>
      <c r="I5484" t="s">
        <v>17331</v>
      </c>
      <c r="J5484" t="s">
        <v>18892</v>
      </c>
      <c r="K5484">
        <v>10467</v>
      </c>
      <c r="L5484" t="s">
        <v>18958</v>
      </c>
      <c r="M5484" t="s">
        <v>18958</v>
      </c>
      <c r="O5484" t="s">
        <v>26537</v>
      </c>
      <c r="P5484" t="s">
        <v>26562</v>
      </c>
      <c r="Q5484" t="s">
        <v>26571</v>
      </c>
      <c r="R5484" t="s">
        <v>26578</v>
      </c>
      <c r="S5484" t="s">
        <v>18959</v>
      </c>
      <c r="U5484" t="s">
        <v>26606</v>
      </c>
      <c r="V5484" t="s">
        <v>26610</v>
      </c>
      <c r="W5484" t="s">
        <v>745</v>
      </c>
      <c r="X5484">
        <v>1832</v>
      </c>
      <c r="Y5484" t="s">
        <v>26650</v>
      </c>
      <c r="Z5484" t="s">
        <v>26655</v>
      </c>
      <c r="AA5484" t="s">
        <v>26682</v>
      </c>
      <c r="AB5484" t="s">
        <v>29850</v>
      </c>
      <c r="AD5484" t="s">
        <v>39972</v>
      </c>
      <c r="AE5484">
        <v>2</v>
      </c>
      <c r="AF5484" t="s">
        <v>45547</v>
      </c>
      <c r="AG5484" t="s">
        <v>45556</v>
      </c>
      <c r="AH5484">
        <v>9</v>
      </c>
      <c r="AI5484">
        <v>2</v>
      </c>
      <c r="AJ5484">
        <v>1</v>
      </c>
      <c r="AK5484">
        <v>63.29</v>
      </c>
      <c r="AN5484" t="s">
        <v>7439</v>
      </c>
      <c r="AO5484">
        <v>13500</v>
      </c>
      <c r="AU5484">
        <v>0.7</v>
      </c>
      <c r="AV5484" t="s">
        <v>759</v>
      </c>
      <c r="AW5484" t="s">
        <v>70</v>
      </c>
    </row>
    <row r="5485" spans="1:50">
      <c r="A5485" s="1">
        <f>HYPERLINK("https://lsnyc.legalserver.org/matter/dynamic-profile/view/1890537","19-1890537")</f>
        <v>0</v>
      </c>
      <c r="B5485" t="s">
        <v>202</v>
      </c>
      <c r="C5485" t="s">
        <v>341</v>
      </c>
      <c r="D5485" t="s">
        <v>745</v>
      </c>
      <c r="E5485" t="s">
        <v>820</v>
      </c>
      <c r="F5485" t="s">
        <v>3426</v>
      </c>
      <c r="G5485" t="s">
        <v>7703</v>
      </c>
      <c r="H5485" t="s">
        <v>13680</v>
      </c>
      <c r="I5485" t="s">
        <v>17284</v>
      </c>
      <c r="J5485" t="s">
        <v>18894</v>
      </c>
      <c r="K5485">
        <v>11233</v>
      </c>
      <c r="L5485" t="s">
        <v>18958</v>
      </c>
      <c r="M5485" t="s">
        <v>18960</v>
      </c>
      <c r="N5485" t="s">
        <v>23021</v>
      </c>
      <c r="O5485" t="s">
        <v>26537</v>
      </c>
      <c r="P5485" t="s">
        <v>26564</v>
      </c>
      <c r="Q5485" t="s">
        <v>26570</v>
      </c>
      <c r="R5485" t="s">
        <v>26586</v>
      </c>
      <c r="U5485" t="s">
        <v>26605</v>
      </c>
      <c r="V5485" t="s">
        <v>26610</v>
      </c>
      <c r="W5485" t="s">
        <v>745</v>
      </c>
      <c r="X5485">
        <v>173</v>
      </c>
      <c r="Y5485" t="s">
        <v>26652</v>
      </c>
      <c r="Z5485" t="s">
        <v>26659</v>
      </c>
      <c r="AA5485" t="s">
        <v>26683</v>
      </c>
      <c r="AB5485" t="s">
        <v>31115</v>
      </c>
      <c r="AD5485" t="s">
        <v>41285</v>
      </c>
      <c r="AE5485">
        <v>78</v>
      </c>
      <c r="AF5485" t="s">
        <v>45549</v>
      </c>
      <c r="AG5485" t="s">
        <v>45556</v>
      </c>
      <c r="AH5485">
        <v>2</v>
      </c>
      <c r="AI5485">
        <v>1</v>
      </c>
      <c r="AJ5485">
        <v>0</v>
      </c>
      <c r="AK5485">
        <v>74.08</v>
      </c>
      <c r="AN5485" t="s">
        <v>7439</v>
      </c>
      <c r="AO5485">
        <v>9252</v>
      </c>
      <c r="AU5485">
        <v>4.9</v>
      </c>
      <c r="AV5485" t="s">
        <v>834</v>
      </c>
      <c r="AW5485" t="s">
        <v>46856</v>
      </c>
    </row>
    <row r="5486" spans="1:50">
      <c r="A5486" s="1">
        <f>HYPERLINK("https://lsnyc.legalserver.org/matter/dynamic-profile/view/1890376","19-1890376")</f>
        <v>0</v>
      </c>
      <c r="B5486" t="s">
        <v>153</v>
      </c>
      <c r="C5486" t="s">
        <v>341</v>
      </c>
      <c r="D5486" t="s">
        <v>745</v>
      </c>
      <c r="E5486" t="s">
        <v>830</v>
      </c>
      <c r="F5486" t="s">
        <v>3427</v>
      </c>
      <c r="G5486" t="s">
        <v>6333</v>
      </c>
      <c r="H5486" t="s">
        <v>10326</v>
      </c>
      <c r="I5486" t="s">
        <v>17436</v>
      </c>
      <c r="J5486" t="s">
        <v>18902</v>
      </c>
      <c r="K5486">
        <v>10304</v>
      </c>
      <c r="L5486" t="s">
        <v>18958</v>
      </c>
      <c r="M5486" t="s">
        <v>18960</v>
      </c>
      <c r="N5486" t="s">
        <v>23022</v>
      </c>
      <c r="O5486" t="s">
        <v>26523</v>
      </c>
      <c r="P5486" t="s">
        <v>26560</v>
      </c>
      <c r="Q5486" t="s">
        <v>26568</v>
      </c>
      <c r="R5486" t="s">
        <v>26578</v>
      </c>
      <c r="S5486" t="s">
        <v>18959</v>
      </c>
      <c r="U5486" t="s">
        <v>26604</v>
      </c>
      <c r="V5486" t="s">
        <v>26610</v>
      </c>
      <c r="W5486" t="s">
        <v>745</v>
      </c>
      <c r="X5486">
        <v>480</v>
      </c>
      <c r="Y5486" t="s">
        <v>26654</v>
      </c>
      <c r="Z5486" t="s">
        <v>26659</v>
      </c>
      <c r="AA5486" t="s">
        <v>26678</v>
      </c>
      <c r="AB5486" t="s">
        <v>31116</v>
      </c>
      <c r="AD5486" t="s">
        <v>41286</v>
      </c>
      <c r="AE5486">
        <v>0</v>
      </c>
      <c r="AF5486" t="s">
        <v>45541</v>
      </c>
      <c r="AG5486" t="s">
        <v>45562</v>
      </c>
      <c r="AH5486">
        <v>3</v>
      </c>
      <c r="AI5486">
        <v>1</v>
      </c>
      <c r="AJ5486">
        <v>2</v>
      </c>
      <c r="AK5486">
        <v>169.49</v>
      </c>
      <c r="AN5486" t="s">
        <v>7439</v>
      </c>
      <c r="AO5486">
        <v>36153</v>
      </c>
      <c r="AU5486">
        <v>15.3</v>
      </c>
      <c r="AV5486" t="s">
        <v>825</v>
      </c>
      <c r="AW5486" t="s">
        <v>185</v>
      </c>
      <c r="AX5486" t="s">
        <v>46897</v>
      </c>
    </row>
    <row r="5487" spans="1:50">
      <c r="A5487" s="1">
        <f>HYPERLINK("https://lsnyc.legalserver.org/matter/dynamic-profile/view/1890633","19-1890633")</f>
        <v>0</v>
      </c>
      <c r="B5487" t="s">
        <v>68</v>
      </c>
      <c r="C5487" t="s">
        <v>341</v>
      </c>
      <c r="D5487" t="s">
        <v>745</v>
      </c>
      <c r="E5487" t="s">
        <v>763</v>
      </c>
      <c r="F5487" t="s">
        <v>3428</v>
      </c>
      <c r="G5487" t="s">
        <v>992</v>
      </c>
      <c r="H5487" t="s">
        <v>13681</v>
      </c>
      <c r="I5487" t="s">
        <v>18255</v>
      </c>
      <c r="J5487" t="s">
        <v>18892</v>
      </c>
      <c r="K5487">
        <v>10473</v>
      </c>
      <c r="L5487" t="s">
        <v>18958</v>
      </c>
      <c r="M5487" t="s">
        <v>18958</v>
      </c>
      <c r="N5487" t="s">
        <v>23023</v>
      </c>
      <c r="O5487" t="s">
        <v>26524</v>
      </c>
      <c r="P5487" t="s">
        <v>26564</v>
      </c>
      <c r="Q5487" t="s">
        <v>26570</v>
      </c>
      <c r="R5487" t="s">
        <v>26577</v>
      </c>
      <c r="S5487" t="s">
        <v>18959</v>
      </c>
      <c r="U5487" t="s">
        <v>26604</v>
      </c>
      <c r="W5487" t="s">
        <v>745</v>
      </c>
      <c r="X5487">
        <v>1180</v>
      </c>
      <c r="Y5487" t="s">
        <v>26650</v>
      </c>
      <c r="Z5487" t="s">
        <v>26668</v>
      </c>
      <c r="AA5487" t="s">
        <v>26683</v>
      </c>
      <c r="AB5487" t="s">
        <v>31117</v>
      </c>
      <c r="AD5487" t="s">
        <v>41287</v>
      </c>
      <c r="AE5487">
        <v>0</v>
      </c>
      <c r="AF5487" t="s">
        <v>45541</v>
      </c>
      <c r="AG5487" t="s">
        <v>19330</v>
      </c>
      <c r="AH5487">
        <v>10</v>
      </c>
      <c r="AI5487">
        <v>2</v>
      </c>
      <c r="AJ5487">
        <v>0</v>
      </c>
      <c r="AK5487">
        <v>197.52</v>
      </c>
      <c r="AN5487" t="s">
        <v>7439</v>
      </c>
      <c r="AO5487">
        <v>33400</v>
      </c>
      <c r="AU5487">
        <v>1.8</v>
      </c>
      <c r="AV5487" t="s">
        <v>763</v>
      </c>
      <c r="AW5487" t="s">
        <v>46870</v>
      </c>
    </row>
    <row r="5488" spans="1:50">
      <c r="A5488" s="1">
        <f>HYPERLINK("https://lsnyc.legalserver.org/matter/dynamic-profile/view/1890536","19-1890536")</f>
        <v>0</v>
      </c>
      <c r="B5488" t="s">
        <v>209</v>
      </c>
      <c r="C5488" t="s">
        <v>341</v>
      </c>
      <c r="D5488" t="s">
        <v>745</v>
      </c>
      <c r="E5488" t="s">
        <v>745</v>
      </c>
      <c r="F5488" t="s">
        <v>1191</v>
      </c>
      <c r="G5488" t="s">
        <v>968</v>
      </c>
      <c r="H5488" t="s">
        <v>13679</v>
      </c>
      <c r="I5488" t="s">
        <v>18254</v>
      </c>
      <c r="J5488" t="s">
        <v>18892</v>
      </c>
      <c r="K5488">
        <v>10461</v>
      </c>
      <c r="L5488" t="s">
        <v>18958</v>
      </c>
      <c r="M5488" t="s">
        <v>18958</v>
      </c>
      <c r="N5488" t="s">
        <v>23024</v>
      </c>
      <c r="O5488" t="s">
        <v>26524</v>
      </c>
      <c r="P5488" t="s">
        <v>26564</v>
      </c>
      <c r="Q5488" t="s">
        <v>26570</v>
      </c>
      <c r="R5488" t="s">
        <v>26577</v>
      </c>
      <c r="S5488" t="s">
        <v>18959</v>
      </c>
      <c r="U5488" t="s">
        <v>26604</v>
      </c>
      <c r="V5488" t="s">
        <v>26610</v>
      </c>
      <c r="W5488" t="s">
        <v>745</v>
      </c>
      <c r="X5488">
        <v>1550</v>
      </c>
      <c r="Y5488" t="s">
        <v>26650</v>
      </c>
      <c r="Z5488" t="s">
        <v>26659</v>
      </c>
      <c r="AA5488" t="s">
        <v>26683</v>
      </c>
      <c r="AB5488" t="s">
        <v>29808</v>
      </c>
      <c r="AC5488" t="s">
        <v>35990</v>
      </c>
      <c r="AD5488" t="s">
        <v>41284</v>
      </c>
      <c r="AE5488">
        <v>5</v>
      </c>
      <c r="AF5488" t="s">
        <v>45547</v>
      </c>
      <c r="AG5488" t="s">
        <v>45558</v>
      </c>
      <c r="AH5488">
        <v>1</v>
      </c>
      <c r="AI5488">
        <v>1</v>
      </c>
      <c r="AJ5488">
        <v>2</v>
      </c>
      <c r="AK5488">
        <v>64.70999999999999</v>
      </c>
      <c r="AN5488" t="s">
        <v>7439</v>
      </c>
      <c r="AO5488">
        <v>13802</v>
      </c>
      <c r="AU5488">
        <v>0.5</v>
      </c>
      <c r="AV5488" t="s">
        <v>745</v>
      </c>
      <c r="AW5488" t="s">
        <v>209</v>
      </c>
    </row>
    <row r="5489" spans="1:50">
      <c r="A5489" s="1">
        <f>HYPERLINK("https://lsnyc.legalserver.org/matter/dynamic-profile/view/1894520","19-1894520")</f>
        <v>0</v>
      </c>
      <c r="B5489" t="s">
        <v>82</v>
      </c>
      <c r="C5489" t="s">
        <v>341</v>
      </c>
      <c r="D5489" t="s">
        <v>745</v>
      </c>
      <c r="E5489" t="s">
        <v>760</v>
      </c>
      <c r="F5489" t="s">
        <v>1336</v>
      </c>
      <c r="G5489" t="s">
        <v>5706</v>
      </c>
      <c r="H5489" t="s">
        <v>13671</v>
      </c>
      <c r="I5489">
        <v>1</v>
      </c>
      <c r="J5489" t="s">
        <v>18892</v>
      </c>
      <c r="K5489">
        <v>10467</v>
      </c>
      <c r="L5489" t="s">
        <v>18958</v>
      </c>
      <c r="M5489" t="s">
        <v>18958</v>
      </c>
      <c r="N5489" t="s">
        <v>23025</v>
      </c>
      <c r="O5489" t="s">
        <v>26523</v>
      </c>
      <c r="P5489" t="s">
        <v>26560</v>
      </c>
      <c r="Q5489" t="s">
        <v>26568</v>
      </c>
      <c r="R5489" t="s">
        <v>26579</v>
      </c>
      <c r="U5489" t="s">
        <v>26604</v>
      </c>
      <c r="V5489" t="s">
        <v>26611</v>
      </c>
      <c r="W5489" t="s">
        <v>745</v>
      </c>
      <c r="X5489">
        <v>1053.3</v>
      </c>
      <c r="Y5489" t="s">
        <v>26650</v>
      </c>
      <c r="Z5489" t="s">
        <v>26659</v>
      </c>
      <c r="AA5489" t="s">
        <v>26678</v>
      </c>
      <c r="AB5489" t="s">
        <v>31110</v>
      </c>
      <c r="AC5489" t="s">
        <v>35991</v>
      </c>
      <c r="AD5489" t="s">
        <v>41276</v>
      </c>
      <c r="AE5489">
        <v>28</v>
      </c>
      <c r="AF5489" t="s">
        <v>45541</v>
      </c>
      <c r="AG5489" t="s">
        <v>19330</v>
      </c>
      <c r="AH5489">
        <v>18</v>
      </c>
      <c r="AI5489">
        <v>2</v>
      </c>
      <c r="AJ5489">
        <v>0</v>
      </c>
      <c r="AK5489">
        <v>237.02</v>
      </c>
      <c r="AL5489" t="s">
        <v>745</v>
      </c>
      <c r="AM5489" t="s">
        <v>45575</v>
      </c>
      <c r="AN5489" t="s">
        <v>45581</v>
      </c>
      <c r="AO5489">
        <v>40080</v>
      </c>
      <c r="AR5489" t="s">
        <v>46379</v>
      </c>
      <c r="AS5489" t="s">
        <v>46499</v>
      </c>
      <c r="AT5489" t="s">
        <v>46616</v>
      </c>
      <c r="AU5489">
        <v>0.4</v>
      </c>
      <c r="AV5489" t="s">
        <v>794</v>
      </c>
      <c r="AW5489" t="s">
        <v>46867</v>
      </c>
    </row>
    <row r="5490" spans="1:50">
      <c r="A5490" s="1">
        <f>HYPERLINK("https://lsnyc.legalserver.org/matter/dynamic-profile/view/1890546","19-1890546")</f>
        <v>0</v>
      </c>
      <c r="B5490" t="s">
        <v>70</v>
      </c>
      <c r="C5490" t="s">
        <v>340</v>
      </c>
      <c r="D5490" t="s">
        <v>745</v>
      </c>
      <c r="F5490" t="s">
        <v>1992</v>
      </c>
      <c r="G5490" t="s">
        <v>6793</v>
      </c>
      <c r="H5490" t="s">
        <v>10918</v>
      </c>
      <c r="I5490" t="s">
        <v>18256</v>
      </c>
      <c r="J5490" t="s">
        <v>18892</v>
      </c>
      <c r="K5490">
        <v>10451</v>
      </c>
      <c r="L5490" t="s">
        <v>18958</v>
      </c>
      <c r="M5490" t="s">
        <v>18958</v>
      </c>
      <c r="N5490" t="s">
        <v>23026</v>
      </c>
      <c r="O5490" t="s">
        <v>26524</v>
      </c>
      <c r="P5490" t="s">
        <v>26560</v>
      </c>
      <c r="R5490" t="s">
        <v>26577</v>
      </c>
      <c r="S5490" t="s">
        <v>18959</v>
      </c>
      <c r="U5490" t="s">
        <v>26604</v>
      </c>
      <c r="V5490" t="s">
        <v>26613</v>
      </c>
      <c r="W5490" t="s">
        <v>745</v>
      </c>
      <c r="X5490">
        <v>747.67</v>
      </c>
      <c r="Y5490" t="s">
        <v>26650</v>
      </c>
      <c r="Z5490" t="s">
        <v>26668</v>
      </c>
      <c r="AB5490" t="s">
        <v>31118</v>
      </c>
      <c r="AC5490" t="s">
        <v>25800</v>
      </c>
      <c r="AD5490" t="s">
        <v>41288</v>
      </c>
      <c r="AE5490">
        <v>107</v>
      </c>
      <c r="AF5490" t="s">
        <v>45541</v>
      </c>
      <c r="AG5490" t="s">
        <v>45556</v>
      </c>
      <c r="AH5490">
        <v>18</v>
      </c>
      <c r="AI5490">
        <v>3</v>
      </c>
      <c r="AJ5490">
        <v>5</v>
      </c>
      <c r="AK5490">
        <v>69.56</v>
      </c>
      <c r="AN5490" t="s">
        <v>7439</v>
      </c>
      <c r="AO5490">
        <v>30212</v>
      </c>
      <c r="AU5490">
        <v>32.2</v>
      </c>
      <c r="AV5490" t="s">
        <v>831</v>
      </c>
      <c r="AW5490" t="s">
        <v>334</v>
      </c>
    </row>
    <row r="5491" spans="1:50">
      <c r="A5491" s="1">
        <f>HYPERLINK("https://lsnyc.legalserver.org/matter/dynamic-profile/view/1890639","19-1890639")</f>
        <v>0</v>
      </c>
      <c r="B5491" t="s">
        <v>108</v>
      </c>
      <c r="C5491" t="s">
        <v>340</v>
      </c>
      <c r="D5491" t="s">
        <v>745</v>
      </c>
      <c r="F5491" t="s">
        <v>3429</v>
      </c>
      <c r="G5491" t="s">
        <v>7704</v>
      </c>
      <c r="H5491" t="s">
        <v>13682</v>
      </c>
      <c r="J5491" t="s">
        <v>18901</v>
      </c>
      <c r="K5491">
        <v>11434</v>
      </c>
      <c r="L5491" t="s">
        <v>18958</v>
      </c>
      <c r="M5491" t="s">
        <v>18958</v>
      </c>
      <c r="N5491" t="s">
        <v>23027</v>
      </c>
      <c r="O5491" t="s">
        <v>26524</v>
      </c>
      <c r="P5491" t="s">
        <v>26560</v>
      </c>
      <c r="R5491" t="s">
        <v>26585</v>
      </c>
      <c r="S5491" t="s">
        <v>18959</v>
      </c>
      <c r="U5491" t="s">
        <v>26604</v>
      </c>
      <c r="V5491" t="s">
        <v>26614</v>
      </c>
      <c r="W5491" t="s">
        <v>745</v>
      </c>
      <c r="X5491">
        <v>800</v>
      </c>
      <c r="Y5491" t="s">
        <v>26653</v>
      </c>
      <c r="Z5491" t="s">
        <v>26668</v>
      </c>
      <c r="AB5491" t="s">
        <v>31119</v>
      </c>
      <c r="AE5491">
        <v>4</v>
      </c>
      <c r="AF5491" t="s">
        <v>45547</v>
      </c>
      <c r="AG5491" t="s">
        <v>19330</v>
      </c>
      <c r="AH5491">
        <v>5</v>
      </c>
      <c r="AI5491">
        <v>1</v>
      </c>
      <c r="AJ5491">
        <v>1</v>
      </c>
      <c r="AK5491">
        <v>0</v>
      </c>
      <c r="AN5491" t="s">
        <v>7439</v>
      </c>
      <c r="AO5491">
        <v>0</v>
      </c>
      <c r="AQ5491" t="s">
        <v>46359</v>
      </c>
      <c r="AR5491" t="s">
        <v>46417</v>
      </c>
      <c r="AS5491" t="s">
        <v>46500</v>
      </c>
      <c r="AT5491" t="s">
        <v>46677</v>
      </c>
      <c r="AU5491">
        <v>0.6</v>
      </c>
      <c r="AV5491" t="s">
        <v>777</v>
      </c>
      <c r="AW5491" t="s">
        <v>108</v>
      </c>
    </row>
    <row r="5492" spans="1:50">
      <c r="A5492" s="1">
        <f>HYPERLINK("https://lsnyc.legalserver.org/matter/dynamic-profile/view/1889314","19-1889314")</f>
        <v>0</v>
      </c>
      <c r="B5492" t="s">
        <v>153</v>
      </c>
      <c r="C5492" t="s">
        <v>340</v>
      </c>
      <c r="D5492" t="s">
        <v>745</v>
      </c>
      <c r="F5492" t="s">
        <v>3430</v>
      </c>
      <c r="G5492" t="s">
        <v>7705</v>
      </c>
      <c r="H5492" t="s">
        <v>13319</v>
      </c>
      <c r="I5492" t="s">
        <v>17757</v>
      </c>
      <c r="J5492" t="s">
        <v>18902</v>
      </c>
      <c r="K5492">
        <v>10304</v>
      </c>
      <c r="L5492" t="s">
        <v>18958</v>
      </c>
      <c r="M5492" t="s">
        <v>18958</v>
      </c>
      <c r="N5492" t="s">
        <v>23028</v>
      </c>
      <c r="O5492" t="s">
        <v>26524</v>
      </c>
      <c r="P5492" t="s">
        <v>26560</v>
      </c>
      <c r="R5492" t="s">
        <v>26578</v>
      </c>
      <c r="S5492" t="s">
        <v>18959</v>
      </c>
      <c r="U5492" t="s">
        <v>26606</v>
      </c>
      <c r="V5492" t="s">
        <v>26610</v>
      </c>
      <c r="W5492" t="s">
        <v>745</v>
      </c>
      <c r="X5492">
        <v>480</v>
      </c>
      <c r="Y5492" t="s">
        <v>26654</v>
      </c>
      <c r="Z5492" t="s">
        <v>26530</v>
      </c>
      <c r="AB5492" t="s">
        <v>29230</v>
      </c>
      <c r="AD5492" t="s">
        <v>41289</v>
      </c>
      <c r="AE5492">
        <v>0</v>
      </c>
      <c r="AF5492" t="s">
        <v>45552</v>
      </c>
      <c r="AH5492">
        <v>2</v>
      </c>
      <c r="AI5492">
        <v>1</v>
      </c>
      <c r="AJ5492">
        <v>3</v>
      </c>
      <c r="AK5492">
        <v>129.24</v>
      </c>
      <c r="AO5492">
        <v>33279.96</v>
      </c>
      <c r="AU5492">
        <v>14.4</v>
      </c>
      <c r="AV5492" t="s">
        <v>836</v>
      </c>
      <c r="AW5492" t="s">
        <v>210</v>
      </c>
      <c r="AX5492" t="s">
        <v>46897</v>
      </c>
    </row>
    <row r="5493" spans="1:50">
      <c r="A5493" s="1">
        <f>HYPERLINK("https://lsnyc.legalserver.org/matter/dynamic-profile/view/1890524","19-1890524")</f>
        <v>0</v>
      </c>
      <c r="B5493" t="s">
        <v>82</v>
      </c>
      <c r="C5493" t="s">
        <v>340</v>
      </c>
      <c r="D5493" t="s">
        <v>745</v>
      </c>
      <c r="F5493" t="s">
        <v>3431</v>
      </c>
      <c r="G5493" t="s">
        <v>7706</v>
      </c>
      <c r="H5493" t="s">
        <v>13683</v>
      </c>
      <c r="I5493" t="s">
        <v>17277</v>
      </c>
      <c r="J5493" t="s">
        <v>18892</v>
      </c>
      <c r="K5493">
        <v>10457</v>
      </c>
      <c r="L5493" t="s">
        <v>18958</v>
      </c>
      <c r="M5493" t="s">
        <v>18958</v>
      </c>
      <c r="N5493" t="s">
        <v>23029</v>
      </c>
      <c r="O5493" t="s">
        <v>26523</v>
      </c>
      <c r="P5493" t="s">
        <v>26560</v>
      </c>
      <c r="R5493" t="s">
        <v>26579</v>
      </c>
      <c r="U5493" t="s">
        <v>26604</v>
      </c>
      <c r="V5493" t="s">
        <v>26610</v>
      </c>
      <c r="W5493" t="s">
        <v>745</v>
      </c>
      <c r="X5493">
        <v>1096</v>
      </c>
      <c r="Y5493" t="s">
        <v>26650</v>
      </c>
      <c r="Z5493" t="s">
        <v>26664</v>
      </c>
      <c r="AB5493" t="s">
        <v>31120</v>
      </c>
      <c r="AC5493" t="s">
        <v>35992</v>
      </c>
      <c r="AD5493" t="s">
        <v>41290</v>
      </c>
      <c r="AE5493">
        <v>0</v>
      </c>
      <c r="AG5493" t="s">
        <v>45557</v>
      </c>
      <c r="AH5493">
        <v>6</v>
      </c>
      <c r="AI5493">
        <v>1</v>
      </c>
      <c r="AJ5493">
        <v>2</v>
      </c>
      <c r="AK5493">
        <v>0</v>
      </c>
      <c r="AN5493" t="s">
        <v>7439</v>
      </c>
      <c r="AO5493">
        <v>0</v>
      </c>
      <c r="AU5493">
        <v>8</v>
      </c>
      <c r="AV5493" t="s">
        <v>832</v>
      </c>
      <c r="AW5493" t="s">
        <v>334</v>
      </c>
    </row>
    <row r="5494" spans="1:50">
      <c r="A5494" s="1">
        <f>HYPERLINK("https://lsnyc.legalserver.org/matter/dynamic-profile/view/1890813","19-1890813")</f>
        <v>0</v>
      </c>
      <c r="B5494" t="s">
        <v>147</v>
      </c>
      <c r="C5494" t="s">
        <v>340</v>
      </c>
      <c r="D5494" t="s">
        <v>737</v>
      </c>
      <c r="F5494" t="s">
        <v>3432</v>
      </c>
      <c r="G5494" t="s">
        <v>7313</v>
      </c>
      <c r="H5494" t="s">
        <v>13684</v>
      </c>
      <c r="I5494" t="s">
        <v>17406</v>
      </c>
      <c r="J5494" t="s">
        <v>18894</v>
      </c>
      <c r="K5494">
        <v>11225</v>
      </c>
      <c r="L5494" t="s">
        <v>18959</v>
      </c>
      <c r="M5494" t="s">
        <v>18958</v>
      </c>
      <c r="R5494" t="s">
        <v>26578</v>
      </c>
      <c r="S5494" t="s">
        <v>18959</v>
      </c>
      <c r="U5494" t="s">
        <v>26604</v>
      </c>
      <c r="W5494" t="s">
        <v>745</v>
      </c>
      <c r="X5494">
        <v>0</v>
      </c>
      <c r="Y5494" t="s">
        <v>26652</v>
      </c>
      <c r="AB5494" t="s">
        <v>27657</v>
      </c>
      <c r="AE5494">
        <v>72</v>
      </c>
      <c r="AH5494">
        <v>32</v>
      </c>
      <c r="AI5494">
        <v>4</v>
      </c>
      <c r="AJ5494">
        <v>1</v>
      </c>
      <c r="AK5494">
        <v>33.37</v>
      </c>
      <c r="AN5494" t="s">
        <v>7439</v>
      </c>
      <c r="AO5494">
        <v>10068</v>
      </c>
      <c r="AP5494" t="s">
        <v>45881</v>
      </c>
      <c r="AU5494">
        <v>9.800000000000001</v>
      </c>
      <c r="AV5494" t="s">
        <v>769</v>
      </c>
      <c r="AW5494" t="s">
        <v>219</v>
      </c>
    </row>
    <row r="5495" spans="1:50">
      <c r="A5495" s="1">
        <f>HYPERLINK("https://lsnyc.legalserver.org/matter/dynamic-profile/view/1890510","19-1890510")</f>
        <v>0</v>
      </c>
      <c r="B5495" t="s">
        <v>280</v>
      </c>
      <c r="C5495" t="s">
        <v>341</v>
      </c>
      <c r="D5495" t="s">
        <v>751</v>
      </c>
      <c r="E5495" t="s">
        <v>751</v>
      </c>
      <c r="F5495" t="s">
        <v>919</v>
      </c>
      <c r="G5495" t="s">
        <v>5141</v>
      </c>
      <c r="H5495" t="s">
        <v>10095</v>
      </c>
      <c r="I5495" t="s">
        <v>17307</v>
      </c>
      <c r="J5495" t="s">
        <v>18897</v>
      </c>
      <c r="K5495">
        <v>11415</v>
      </c>
      <c r="L5495" t="s">
        <v>18958</v>
      </c>
      <c r="M5495" t="s">
        <v>18958</v>
      </c>
      <c r="N5495" t="s">
        <v>23030</v>
      </c>
      <c r="O5495" t="s">
        <v>26526</v>
      </c>
      <c r="P5495" t="s">
        <v>26564</v>
      </c>
      <c r="Q5495" t="s">
        <v>26570</v>
      </c>
      <c r="R5495" t="s">
        <v>26584</v>
      </c>
      <c r="S5495" t="s">
        <v>18959</v>
      </c>
      <c r="U5495" t="s">
        <v>26604</v>
      </c>
      <c r="V5495" t="s">
        <v>26610</v>
      </c>
      <c r="W5495" t="s">
        <v>745</v>
      </c>
      <c r="X5495">
        <v>1700</v>
      </c>
      <c r="Y5495" t="s">
        <v>26653</v>
      </c>
      <c r="Z5495" t="s">
        <v>26664</v>
      </c>
      <c r="AA5495" t="s">
        <v>26683</v>
      </c>
      <c r="AB5495" t="s">
        <v>31121</v>
      </c>
      <c r="AD5495" t="s">
        <v>41291</v>
      </c>
      <c r="AE5495">
        <v>39</v>
      </c>
      <c r="AH5495">
        <v>0</v>
      </c>
      <c r="AI5495">
        <v>1</v>
      </c>
      <c r="AJ5495">
        <v>0</v>
      </c>
      <c r="AK5495">
        <v>131.96</v>
      </c>
      <c r="AN5495" t="s">
        <v>7439</v>
      </c>
      <c r="AO5495">
        <v>16482.12</v>
      </c>
      <c r="AU5495">
        <v>0.55</v>
      </c>
      <c r="AV5495" t="s">
        <v>751</v>
      </c>
      <c r="AW5495" t="s">
        <v>280</v>
      </c>
    </row>
    <row r="5496" spans="1:50">
      <c r="A5496" s="1">
        <f>HYPERLINK("https://lsnyc.legalserver.org/matter/dynamic-profile/view/1890735","19-1890735")</f>
        <v>0</v>
      </c>
      <c r="B5496" t="s">
        <v>194</v>
      </c>
      <c r="C5496" t="s">
        <v>340</v>
      </c>
      <c r="D5496" t="s">
        <v>737</v>
      </c>
      <c r="F5496" t="s">
        <v>3433</v>
      </c>
      <c r="G5496" t="s">
        <v>5078</v>
      </c>
      <c r="H5496" t="s">
        <v>13685</v>
      </c>
      <c r="I5496">
        <v>37</v>
      </c>
      <c r="J5496" t="s">
        <v>18893</v>
      </c>
      <c r="K5496">
        <v>10031</v>
      </c>
      <c r="L5496" t="s">
        <v>18958</v>
      </c>
      <c r="M5496" t="s">
        <v>18958</v>
      </c>
      <c r="N5496" t="s">
        <v>23031</v>
      </c>
      <c r="O5496" t="s">
        <v>26523</v>
      </c>
      <c r="P5496" t="s">
        <v>26560</v>
      </c>
      <c r="R5496" t="s">
        <v>26580</v>
      </c>
      <c r="S5496" t="s">
        <v>18959</v>
      </c>
      <c r="U5496" t="s">
        <v>26604</v>
      </c>
      <c r="W5496" t="s">
        <v>746</v>
      </c>
      <c r="X5496">
        <v>880</v>
      </c>
      <c r="Y5496" t="s">
        <v>26651</v>
      </c>
      <c r="Z5496" t="s">
        <v>26668</v>
      </c>
      <c r="AB5496" t="s">
        <v>31122</v>
      </c>
      <c r="AC5496" t="s">
        <v>35993</v>
      </c>
      <c r="AD5496" t="s">
        <v>41292</v>
      </c>
      <c r="AE5496">
        <v>0</v>
      </c>
      <c r="AF5496" t="s">
        <v>45548</v>
      </c>
      <c r="AG5496" t="s">
        <v>26530</v>
      </c>
      <c r="AH5496">
        <v>15</v>
      </c>
      <c r="AI5496">
        <v>2</v>
      </c>
      <c r="AJ5496">
        <v>1</v>
      </c>
      <c r="AK5496">
        <v>17.19</v>
      </c>
      <c r="AN5496" t="s">
        <v>7439</v>
      </c>
      <c r="AO5496">
        <v>3666</v>
      </c>
      <c r="AU5496">
        <v>8.9</v>
      </c>
      <c r="AV5496" t="s">
        <v>809</v>
      </c>
      <c r="AW5496" t="s">
        <v>314</v>
      </c>
    </row>
    <row r="5497" spans="1:50">
      <c r="A5497" s="1">
        <f>HYPERLINK("https://lsnyc.legalserver.org/matter/dynamic-profile/view/1891375","19-1891375")</f>
        <v>0</v>
      </c>
      <c r="B5497" t="s">
        <v>240</v>
      </c>
      <c r="C5497" t="s">
        <v>340</v>
      </c>
      <c r="D5497" t="s">
        <v>747</v>
      </c>
      <c r="F5497" t="s">
        <v>3218</v>
      </c>
      <c r="G5497" t="s">
        <v>7468</v>
      </c>
      <c r="H5497" t="s">
        <v>13323</v>
      </c>
      <c r="I5497" t="s">
        <v>18167</v>
      </c>
      <c r="J5497" t="s">
        <v>18894</v>
      </c>
      <c r="K5497">
        <v>11226</v>
      </c>
      <c r="L5497" t="s">
        <v>18960</v>
      </c>
      <c r="M5497" t="s">
        <v>18960</v>
      </c>
      <c r="P5497" t="s">
        <v>26562</v>
      </c>
      <c r="R5497" t="s">
        <v>26578</v>
      </c>
      <c r="U5497" t="s">
        <v>26604</v>
      </c>
      <c r="W5497" t="s">
        <v>746</v>
      </c>
      <c r="X5497">
        <v>0</v>
      </c>
      <c r="Y5497" t="s">
        <v>26652</v>
      </c>
      <c r="AB5497" t="s">
        <v>30691</v>
      </c>
      <c r="AD5497" t="s">
        <v>40895</v>
      </c>
      <c r="AE5497">
        <v>0</v>
      </c>
      <c r="AH5497">
        <v>0</v>
      </c>
      <c r="AI5497">
        <v>1</v>
      </c>
      <c r="AJ5497">
        <v>0</v>
      </c>
      <c r="AK5497">
        <v>82.43000000000001</v>
      </c>
      <c r="AN5497" t="s">
        <v>7439</v>
      </c>
      <c r="AO5497">
        <v>10296</v>
      </c>
      <c r="AU5497">
        <v>21</v>
      </c>
      <c r="AV5497" t="s">
        <v>761</v>
      </c>
      <c r="AW5497" t="s">
        <v>219</v>
      </c>
    </row>
    <row r="5498" spans="1:50">
      <c r="A5498" s="1">
        <f>HYPERLINK("https://lsnyc.legalserver.org/matter/dynamic-profile/view/1891385","19-1891385")</f>
        <v>0</v>
      </c>
      <c r="B5498" t="s">
        <v>240</v>
      </c>
      <c r="C5498" t="s">
        <v>340</v>
      </c>
      <c r="D5498" t="s">
        <v>747</v>
      </c>
      <c r="F5498" t="s">
        <v>3218</v>
      </c>
      <c r="G5498" t="s">
        <v>7468</v>
      </c>
      <c r="H5498" t="s">
        <v>13323</v>
      </c>
      <c r="I5498" t="s">
        <v>18167</v>
      </c>
      <c r="J5498" t="s">
        <v>18894</v>
      </c>
      <c r="K5498">
        <v>11226</v>
      </c>
      <c r="L5498" t="s">
        <v>18959</v>
      </c>
      <c r="M5498" t="s">
        <v>18960</v>
      </c>
      <c r="P5498" t="s">
        <v>26562</v>
      </c>
      <c r="R5498" t="s">
        <v>26578</v>
      </c>
      <c r="U5498" t="s">
        <v>26604</v>
      </c>
      <c r="W5498" t="s">
        <v>746</v>
      </c>
      <c r="X5498">
        <v>0</v>
      </c>
      <c r="Y5498" t="s">
        <v>26652</v>
      </c>
      <c r="AB5498" t="s">
        <v>30691</v>
      </c>
      <c r="AD5498" t="s">
        <v>40895</v>
      </c>
      <c r="AE5498">
        <v>0</v>
      </c>
      <c r="AH5498">
        <v>0</v>
      </c>
      <c r="AI5498">
        <v>1</v>
      </c>
      <c r="AJ5498">
        <v>0</v>
      </c>
      <c r="AK5498">
        <v>82.43000000000001</v>
      </c>
      <c r="AN5498" t="s">
        <v>7439</v>
      </c>
      <c r="AO5498">
        <v>10296</v>
      </c>
      <c r="AU5498">
        <v>13.5</v>
      </c>
      <c r="AV5498" t="s">
        <v>729</v>
      </c>
      <c r="AW5498" t="s">
        <v>219</v>
      </c>
    </row>
    <row r="5499" spans="1:50">
      <c r="A5499" s="1">
        <f>HYPERLINK("https://lsnyc.legalserver.org/matter/dynamic-profile/view/1886570","18-1886570")</f>
        <v>0</v>
      </c>
      <c r="B5499" t="s">
        <v>93</v>
      </c>
      <c r="C5499" t="s">
        <v>341</v>
      </c>
      <c r="D5499" t="s">
        <v>699</v>
      </c>
      <c r="E5499" t="s">
        <v>802</v>
      </c>
      <c r="F5499" t="s">
        <v>2815</v>
      </c>
      <c r="G5499" t="s">
        <v>5199</v>
      </c>
      <c r="H5499" t="s">
        <v>13686</v>
      </c>
      <c r="I5499">
        <v>2</v>
      </c>
      <c r="J5499" t="s">
        <v>18899</v>
      </c>
      <c r="K5499">
        <v>11385</v>
      </c>
      <c r="L5499" t="s">
        <v>18958</v>
      </c>
      <c r="M5499" t="s">
        <v>18958</v>
      </c>
      <c r="N5499" t="s">
        <v>23032</v>
      </c>
      <c r="O5499" t="s">
        <v>26523</v>
      </c>
      <c r="P5499" t="s">
        <v>26560</v>
      </c>
      <c r="Q5499" t="s">
        <v>26568</v>
      </c>
      <c r="R5499" t="s">
        <v>26585</v>
      </c>
      <c r="S5499" t="s">
        <v>18959</v>
      </c>
      <c r="U5499" t="s">
        <v>26604</v>
      </c>
      <c r="V5499" t="s">
        <v>26611</v>
      </c>
      <c r="W5499" t="s">
        <v>737</v>
      </c>
      <c r="X5499">
        <v>2000</v>
      </c>
      <c r="Y5499" t="s">
        <v>26653</v>
      </c>
      <c r="Z5499" t="s">
        <v>26664</v>
      </c>
      <c r="AA5499" t="s">
        <v>26678</v>
      </c>
      <c r="AB5499" t="s">
        <v>31123</v>
      </c>
      <c r="AC5499" t="s">
        <v>35994</v>
      </c>
      <c r="AD5499" t="s">
        <v>41293</v>
      </c>
      <c r="AE5499">
        <v>0</v>
      </c>
      <c r="AF5499" t="s">
        <v>20460</v>
      </c>
      <c r="AG5499" t="s">
        <v>19330</v>
      </c>
      <c r="AH5499">
        <v>2</v>
      </c>
      <c r="AI5499">
        <v>1</v>
      </c>
      <c r="AJ5499">
        <v>3</v>
      </c>
      <c r="AK5499">
        <v>79.68000000000001</v>
      </c>
      <c r="AN5499" t="s">
        <v>7439</v>
      </c>
      <c r="AO5499">
        <v>20000</v>
      </c>
      <c r="AR5499" t="s">
        <v>46379</v>
      </c>
      <c r="AS5499" t="s">
        <v>46499</v>
      </c>
      <c r="AT5499" t="s">
        <v>46739</v>
      </c>
      <c r="AU5499">
        <v>10.85</v>
      </c>
      <c r="AV5499" t="s">
        <v>740</v>
      </c>
      <c r="AW5499" t="s">
        <v>208</v>
      </c>
    </row>
    <row r="5500" spans="1:50">
      <c r="A5500" s="1">
        <f>HYPERLINK("https://lsnyc.legalserver.org/matter/dynamic-profile/view/1888531","19-1888531")</f>
        <v>0</v>
      </c>
      <c r="B5500" t="s">
        <v>193</v>
      </c>
      <c r="C5500" t="s">
        <v>340</v>
      </c>
      <c r="D5500" t="s">
        <v>707</v>
      </c>
      <c r="F5500" t="s">
        <v>3434</v>
      </c>
      <c r="G5500" t="s">
        <v>7707</v>
      </c>
      <c r="H5500" t="s">
        <v>13687</v>
      </c>
      <c r="I5500">
        <v>305</v>
      </c>
      <c r="J5500" t="s">
        <v>18894</v>
      </c>
      <c r="K5500">
        <v>11226</v>
      </c>
      <c r="L5500" t="s">
        <v>18958</v>
      </c>
      <c r="M5500" t="s">
        <v>18958</v>
      </c>
      <c r="N5500" t="s">
        <v>23033</v>
      </c>
      <c r="O5500" t="s">
        <v>26523</v>
      </c>
      <c r="P5500" t="s">
        <v>26560</v>
      </c>
      <c r="R5500" t="s">
        <v>26588</v>
      </c>
      <c r="U5500" t="s">
        <v>26604</v>
      </c>
      <c r="W5500" t="s">
        <v>737</v>
      </c>
      <c r="X5500">
        <v>1297.13</v>
      </c>
      <c r="Y5500" t="s">
        <v>26652</v>
      </c>
      <c r="Z5500" t="s">
        <v>26664</v>
      </c>
      <c r="AB5500" t="s">
        <v>31124</v>
      </c>
      <c r="AD5500" t="s">
        <v>41294</v>
      </c>
      <c r="AE5500">
        <v>0</v>
      </c>
      <c r="AG5500" t="s">
        <v>19330</v>
      </c>
      <c r="AH5500">
        <v>14</v>
      </c>
      <c r="AI5500">
        <v>2</v>
      </c>
      <c r="AJ5500">
        <v>0</v>
      </c>
      <c r="AK5500">
        <v>0</v>
      </c>
      <c r="AN5500" t="s">
        <v>7439</v>
      </c>
      <c r="AO5500">
        <v>0</v>
      </c>
      <c r="AU5500">
        <v>28.1</v>
      </c>
      <c r="AV5500" t="s">
        <v>695</v>
      </c>
      <c r="AW5500" t="s">
        <v>46862</v>
      </c>
    </row>
    <row r="5501" spans="1:50">
      <c r="A5501" s="1">
        <f>HYPERLINK("https://lsnyc.legalserver.org/matter/dynamic-profile/view/1889786","19-1889786")</f>
        <v>0</v>
      </c>
      <c r="B5501" t="s">
        <v>54</v>
      </c>
      <c r="C5501" t="s">
        <v>340</v>
      </c>
      <c r="D5501" t="s">
        <v>714</v>
      </c>
      <c r="F5501" t="s">
        <v>1330</v>
      </c>
      <c r="G5501" t="s">
        <v>7708</v>
      </c>
      <c r="H5501" t="s">
        <v>13688</v>
      </c>
      <c r="I5501" t="s">
        <v>17354</v>
      </c>
      <c r="J5501" t="s">
        <v>18892</v>
      </c>
      <c r="K5501">
        <v>10467</v>
      </c>
      <c r="L5501" t="s">
        <v>18958</v>
      </c>
      <c r="M5501" t="s">
        <v>18958</v>
      </c>
      <c r="N5501" t="s">
        <v>23034</v>
      </c>
      <c r="O5501" t="s">
        <v>26523</v>
      </c>
      <c r="P5501" t="s">
        <v>26560</v>
      </c>
      <c r="R5501" t="s">
        <v>26579</v>
      </c>
      <c r="S5501" t="s">
        <v>18959</v>
      </c>
      <c r="U5501" t="s">
        <v>26604</v>
      </c>
      <c r="V5501" t="s">
        <v>26610</v>
      </c>
      <c r="W5501" t="s">
        <v>737</v>
      </c>
      <c r="X5501">
        <v>1238.14</v>
      </c>
      <c r="Y5501" t="s">
        <v>26650</v>
      </c>
      <c r="Z5501" t="s">
        <v>26663</v>
      </c>
      <c r="AB5501" t="s">
        <v>31125</v>
      </c>
      <c r="AD5501" t="s">
        <v>41295</v>
      </c>
      <c r="AE5501">
        <v>26</v>
      </c>
      <c r="AF5501" t="s">
        <v>45541</v>
      </c>
      <c r="AG5501" t="s">
        <v>19330</v>
      </c>
      <c r="AH5501">
        <v>4</v>
      </c>
      <c r="AI5501">
        <v>2</v>
      </c>
      <c r="AJ5501">
        <v>0</v>
      </c>
      <c r="AK5501">
        <v>158.58</v>
      </c>
      <c r="AN5501" t="s">
        <v>7439</v>
      </c>
      <c r="AO5501">
        <v>26816.52</v>
      </c>
      <c r="AQ5501" t="s">
        <v>46362</v>
      </c>
      <c r="AR5501" t="s">
        <v>46380</v>
      </c>
      <c r="AS5501" t="s">
        <v>46499</v>
      </c>
      <c r="AT5501" t="s">
        <v>46641</v>
      </c>
      <c r="AU5501">
        <v>8.449999999999999</v>
      </c>
      <c r="AV5501" t="s">
        <v>810</v>
      </c>
      <c r="AW5501" t="s">
        <v>267</v>
      </c>
      <c r="AX5501" t="s">
        <v>46897</v>
      </c>
    </row>
    <row r="5502" spans="1:50">
      <c r="A5502" s="1">
        <f>HYPERLINK("https://lsnyc.legalserver.org/matter/dynamic-profile/view/1890455","19-1890455")</f>
        <v>0</v>
      </c>
      <c r="B5502" t="s">
        <v>103</v>
      </c>
      <c r="C5502" t="s">
        <v>340</v>
      </c>
      <c r="D5502" t="s">
        <v>690</v>
      </c>
      <c r="F5502" t="s">
        <v>3435</v>
      </c>
      <c r="G5502" t="s">
        <v>7709</v>
      </c>
      <c r="H5502" t="s">
        <v>13689</v>
      </c>
      <c r="I5502" t="s">
        <v>18257</v>
      </c>
      <c r="J5502" t="s">
        <v>18902</v>
      </c>
      <c r="K5502">
        <v>10301</v>
      </c>
      <c r="L5502" t="s">
        <v>18958</v>
      </c>
      <c r="M5502" t="s">
        <v>18958</v>
      </c>
      <c r="N5502" t="s">
        <v>23035</v>
      </c>
      <c r="O5502" t="s">
        <v>26523</v>
      </c>
      <c r="P5502" t="s">
        <v>26560</v>
      </c>
      <c r="R5502" t="s">
        <v>26578</v>
      </c>
      <c r="S5502" t="s">
        <v>18959</v>
      </c>
      <c r="T5502" t="s">
        <v>26578</v>
      </c>
      <c r="U5502" t="s">
        <v>26604</v>
      </c>
      <c r="V5502" t="s">
        <v>26612</v>
      </c>
      <c r="W5502" t="s">
        <v>737</v>
      </c>
      <c r="X5502">
        <v>1492</v>
      </c>
      <c r="Y5502" t="s">
        <v>26654</v>
      </c>
      <c r="Z5502" t="s">
        <v>26661</v>
      </c>
      <c r="AB5502" t="s">
        <v>31126</v>
      </c>
      <c r="AD5502" t="s">
        <v>41296</v>
      </c>
      <c r="AE5502">
        <v>70</v>
      </c>
      <c r="AF5502" t="s">
        <v>20460</v>
      </c>
      <c r="AG5502" t="s">
        <v>19330</v>
      </c>
      <c r="AH5502">
        <v>5</v>
      </c>
      <c r="AI5502">
        <v>1</v>
      </c>
      <c r="AJ5502">
        <v>0</v>
      </c>
      <c r="AK5502">
        <v>320.58</v>
      </c>
      <c r="AL5502" t="s">
        <v>820</v>
      </c>
      <c r="AM5502" t="s">
        <v>45575</v>
      </c>
      <c r="AN5502" t="s">
        <v>7439</v>
      </c>
      <c r="AO5502">
        <v>40040</v>
      </c>
      <c r="AU5502">
        <v>39.05</v>
      </c>
      <c r="AV5502" t="s">
        <v>836</v>
      </c>
      <c r="AW5502" t="s">
        <v>46849</v>
      </c>
    </row>
    <row r="5503" spans="1:50">
      <c r="A5503" s="1">
        <f>HYPERLINK("https://lsnyc.legalserver.org/matter/dynamic-profile/view/1890740","19-1890740")</f>
        <v>0</v>
      </c>
      <c r="B5503" t="s">
        <v>107</v>
      </c>
      <c r="C5503" t="s">
        <v>341</v>
      </c>
      <c r="D5503" t="s">
        <v>737</v>
      </c>
      <c r="E5503" t="s">
        <v>820</v>
      </c>
      <c r="F5503" t="s">
        <v>3436</v>
      </c>
      <c r="G5503" t="s">
        <v>5497</v>
      </c>
      <c r="H5503" t="s">
        <v>13690</v>
      </c>
      <c r="I5503" t="s">
        <v>17352</v>
      </c>
      <c r="J5503" t="s">
        <v>18909</v>
      </c>
      <c r="K5503">
        <v>11101</v>
      </c>
      <c r="L5503" t="s">
        <v>18958</v>
      </c>
      <c r="M5503" t="s">
        <v>18958</v>
      </c>
      <c r="N5503" t="s">
        <v>23036</v>
      </c>
      <c r="O5503" t="s">
        <v>26523</v>
      </c>
      <c r="P5503" t="s">
        <v>26560</v>
      </c>
      <c r="Q5503" t="s">
        <v>26568</v>
      </c>
      <c r="R5503" t="s">
        <v>26584</v>
      </c>
      <c r="S5503" t="s">
        <v>18959</v>
      </c>
      <c r="U5503" t="s">
        <v>26605</v>
      </c>
      <c r="V5503" t="s">
        <v>26614</v>
      </c>
      <c r="W5503" t="s">
        <v>737</v>
      </c>
      <c r="X5503">
        <v>294</v>
      </c>
      <c r="Y5503" t="s">
        <v>26653</v>
      </c>
      <c r="Z5503" t="s">
        <v>26661</v>
      </c>
      <c r="AA5503" t="s">
        <v>26678</v>
      </c>
      <c r="AB5503" t="s">
        <v>28406</v>
      </c>
      <c r="AC5503" t="s">
        <v>35995</v>
      </c>
      <c r="AD5503" t="s">
        <v>41297</v>
      </c>
      <c r="AE5503">
        <v>525</v>
      </c>
      <c r="AF5503" t="s">
        <v>45549</v>
      </c>
      <c r="AG5503" t="s">
        <v>19330</v>
      </c>
      <c r="AH5503">
        <v>7</v>
      </c>
      <c r="AI5503">
        <v>4</v>
      </c>
      <c r="AJ5503">
        <v>0</v>
      </c>
      <c r="AK5503">
        <v>14.91</v>
      </c>
      <c r="AN5503" t="s">
        <v>7439</v>
      </c>
      <c r="AO5503">
        <v>3840</v>
      </c>
      <c r="AQ5503" t="s">
        <v>46365</v>
      </c>
      <c r="AR5503" t="s">
        <v>26530</v>
      </c>
      <c r="AS5503" t="s">
        <v>46499</v>
      </c>
      <c r="AT5503" t="s">
        <v>46586</v>
      </c>
      <c r="AU5503">
        <v>8.25</v>
      </c>
      <c r="AV5503" t="s">
        <v>751</v>
      </c>
      <c r="AW5503" t="s">
        <v>208</v>
      </c>
    </row>
    <row r="5504" spans="1:50">
      <c r="A5504" s="1">
        <f>HYPERLINK("https://lsnyc.legalserver.org/matter/dynamic-profile/view/1890738","19-1890738")</f>
        <v>0</v>
      </c>
      <c r="B5504" t="s">
        <v>225</v>
      </c>
      <c r="C5504" t="s">
        <v>341</v>
      </c>
      <c r="D5504" t="s">
        <v>737</v>
      </c>
      <c r="E5504" t="s">
        <v>803</v>
      </c>
      <c r="F5504" t="s">
        <v>2633</v>
      </c>
      <c r="G5504" t="s">
        <v>7710</v>
      </c>
      <c r="H5504" t="s">
        <v>13691</v>
      </c>
      <c r="I5504">
        <v>5</v>
      </c>
      <c r="J5504" t="s">
        <v>18893</v>
      </c>
      <c r="K5504">
        <v>10029</v>
      </c>
      <c r="L5504" t="s">
        <v>18958</v>
      </c>
      <c r="M5504" t="s">
        <v>18958</v>
      </c>
      <c r="N5504" t="s">
        <v>23037</v>
      </c>
      <c r="O5504" t="s">
        <v>26523</v>
      </c>
      <c r="P5504" t="s">
        <v>26560</v>
      </c>
      <c r="Q5504" t="s">
        <v>26568</v>
      </c>
      <c r="R5504" t="s">
        <v>26582</v>
      </c>
      <c r="S5504" t="s">
        <v>18959</v>
      </c>
      <c r="U5504" t="s">
        <v>26604</v>
      </c>
      <c r="V5504" t="s">
        <v>26610</v>
      </c>
      <c r="W5504" t="s">
        <v>737</v>
      </c>
      <c r="X5504">
        <v>1223.47</v>
      </c>
      <c r="Y5504" t="s">
        <v>26651</v>
      </c>
      <c r="Z5504" t="s">
        <v>26664</v>
      </c>
      <c r="AA5504" t="s">
        <v>26694</v>
      </c>
      <c r="AB5504" t="s">
        <v>31127</v>
      </c>
      <c r="AC5504" t="s">
        <v>35996</v>
      </c>
      <c r="AD5504" t="s">
        <v>34738</v>
      </c>
      <c r="AE5504">
        <v>0</v>
      </c>
      <c r="AF5504" t="s">
        <v>20460</v>
      </c>
      <c r="AG5504" t="s">
        <v>19330</v>
      </c>
      <c r="AH5504">
        <v>10</v>
      </c>
      <c r="AI5504">
        <v>1</v>
      </c>
      <c r="AJ5504">
        <v>4</v>
      </c>
      <c r="AK5504">
        <v>62.98</v>
      </c>
      <c r="AN5504" t="s">
        <v>45581</v>
      </c>
      <c r="AO5504">
        <v>19000</v>
      </c>
      <c r="AQ5504" t="s">
        <v>46365</v>
      </c>
      <c r="AR5504" t="s">
        <v>46443</v>
      </c>
      <c r="AS5504" t="s">
        <v>46499</v>
      </c>
      <c r="AT5504" t="s">
        <v>46570</v>
      </c>
      <c r="AU5504">
        <v>40.7</v>
      </c>
      <c r="AV5504" t="s">
        <v>763</v>
      </c>
      <c r="AW5504" t="s">
        <v>46875</v>
      </c>
    </row>
    <row r="5505" spans="1:50">
      <c r="A5505" s="1">
        <f>HYPERLINK("https://lsnyc.legalserver.org/matter/dynamic-profile/view/1890750","19-1890750")</f>
        <v>0</v>
      </c>
      <c r="B5505" t="s">
        <v>64</v>
      </c>
      <c r="C5505" t="s">
        <v>341</v>
      </c>
      <c r="D5505" t="s">
        <v>737</v>
      </c>
      <c r="E5505" t="s">
        <v>781</v>
      </c>
      <c r="F5505" t="s">
        <v>3437</v>
      </c>
      <c r="G5505" t="s">
        <v>7711</v>
      </c>
      <c r="H5505" t="s">
        <v>9662</v>
      </c>
      <c r="I5505">
        <v>1106</v>
      </c>
      <c r="J5505" t="s">
        <v>18892</v>
      </c>
      <c r="K5505">
        <v>10457</v>
      </c>
      <c r="L5505" t="s">
        <v>18958</v>
      </c>
      <c r="M5505" t="s">
        <v>18958</v>
      </c>
      <c r="N5505" t="s">
        <v>23038</v>
      </c>
      <c r="O5505" t="s">
        <v>26523</v>
      </c>
      <c r="P5505" t="s">
        <v>26560</v>
      </c>
      <c r="Q5505" t="s">
        <v>26568</v>
      </c>
      <c r="R5505" t="s">
        <v>26579</v>
      </c>
      <c r="S5505" t="s">
        <v>18959</v>
      </c>
      <c r="U5505" t="s">
        <v>26604</v>
      </c>
      <c r="V5505" t="s">
        <v>26610</v>
      </c>
      <c r="W5505" t="s">
        <v>737</v>
      </c>
      <c r="X5505">
        <v>1053</v>
      </c>
      <c r="Y5505" t="s">
        <v>26650</v>
      </c>
      <c r="Z5505" t="s">
        <v>26659</v>
      </c>
      <c r="AA5505" t="s">
        <v>26678</v>
      </c>
      <c r="AB5505" t="s">
        <v>31128</v>
      </c>
      <c r="AC5505" t="s">
        <v>35997</v>
      </c>
      <c r="AD5505" t="s">
        <v>41298</v>
      </c>
      <c r="AE5505">
        <v>0</v>
      </c>
      <c r="AF5505" t="s">
        <v>45544</v>
      </c>
      <c r="AG5505" t="s">
        <v>45556</v>
      </c>
      <c r="AH5505">
        <v>5</v>
      </c>
      <c r="AI5505">
        <v>1</v>
      </c>
      <c r="AJ5505">
        <v>0</v>
      </c>
      <c r="AK5505">
        <v>80.31999999999999</v>
      </c>
      <c r="AO5505">
        <v>10032</v>
      </c>
      <c r="AQ5505" t="s">
        <v>46362</v>
      </c>
      <c r="AR5505" t="s">
        <v>46403</v>
      </c>
      <c r="AS5505" t="s">
        <v>46499</v>
      </c>
      <c r="AT5505" t="s">
        <v>46713</v>
      </c>
      <c r="AU5505">
        <v>6.25</v>
      </c>
      <c r="AV5505" t="s">
        <v>781</v>
      </c>
      <c r="AW5505" t="s">
        <v>46871</v>
      </c>
    </row>
    <row r="5506" spans="1:50">
      <c r="A5506" s="1">
        <f>HYPERLINK("https://lsnyc.legalserver.org/matter/dynamic-profile/view/1890490","19-1890490")</f>
        <v>0</v>
      </c>
      <c r="B5506" t="s">
        <v>122</v>
      </c>
      <c r="C5506" t="s">
        <v>341</v>
      </c>
      <c r="D5506" t="s">
        <v>737</v>
      </c>
      <c r="E5506" t="s">
        <v>720</v>
      </c>
      <c r="F5506" t="s">
        <v>2815</v>
      </c>
      <c r="G5506" t="s">
        <v>5199</v>
      </c>
      <c r="H5506" t="s">
        <v>13686</v>
      </c>
      <c r="I5506">
        <v>2</v>
      </c>
      <c r="J5506" t="s">
        <v>18899</v>
      </c>
      <c r="K5506">
        <v>11385</v>
      </c>
      <c r="L5506" t="s">
        <v>18958</v>
      </c>
      <c r="M5506" t="s">
        <v>18958</v>
      </c>
      <c r="N5506" t="s">
        <v>23039</v>
      </c>
      <c r="O5506" t="s">
        <v>26523</v>
      </c>
      <c r="P5506" t="s">
        <v>26565</v>
      </c>
      <c r="Q5506" t="s">
        <v>26571</v>
      </c>
      <c r="R5506" t="s">
        <v>26592</v>
      </c>
      <c r="S5506" t="s">
        <v>18959</v>
      </c>
      <c r="U5506" t="s">
        <v>26604</v>
      </c>
      <c r="V5506" t="s">
        <v>26609</v>
      </c>
      <c r="W5506" t="s">
        <v>737</v>
      </c>
      <c r="X5506">
        <v>2000</v>
      </c>
      <c r="Y5506" t="s">
        <v>26653</v>
      </c>
      <c r="Z5506" t="s">
        <v>26664</v>
      </c>
      <c r="AA5506" t="s">
        <v>26681</v>
      </c>
      <c r="AB5506" t="s">
        <v>31123</v>
      </c>
      <c r="AC5506" t="s">
        <v>35994</v>
      </c>
      <c r="AD5506" t="s">
        <v>41293</v>
      </c>
      <c r="AE5506">
        <v>4</v>
      </c>
      <c r="AF5506" t="s">
        <v>20460</v>
      </c>
      <c r="AG5506" t="s">
        <v>19330</v>
      </c>
      <c r="AH5506">
        <v>2</v>
      </c>
      <c r="AI5506">
        <v>1</v>
      </c>
      <c r="AJ5506">
        <v>3</v>
      </c>
      <c r="AK5506">
        <v>77.67</v>
      </c>
      <c r="AN5506" t="s">
        <v>7439</v>
      </c>
      <c r="AO5506">
        <v>20000</v>
      </c>
      <c r="AU5506">
        <v>10.25</v>
      </c>
      <c r="AV5506" t="s">
        <v>794</v>
      </c>
      <c r="AW5506" t="s">
        <v>122</v>
      </c>
    </row>
    <row r="5507" spans="1:50">
      <c r="A5507" s="1">
        <f>HYPERLINK("https://lsnyc.legalserver.org/matter/dynamic-profile/view/1889816","19-1889816")</f>
        <v>0</v>
      </c>
      <c r="B5507" t="s">
        <v>103</v>
      </c>
      <c r="C5507" t="s">
        <v>341</v>
      </c>
      <c r="D5507" t="s">
        <v>737</v>
      </c>
      <c r="E5507" t="s">
        <v>830</v>
      </c>
      <c r="F5507" t="s">
        <v>947</v>
      </c>
      <c r="G5507" t="s">
        <v>5103</v>
      </c>
      <c r="H5507" t="s">
        <v>13692</v>
      </c>
      <c r="I5507" t="s">
        <v>17316</v>
      </c>
      <c r="J5507" t="s">
        <v>18902</v>
      </c>
      <c r="K5507">
        <v>10301</v>
      </c>
      <c r="L5507" t="s">
        <v>18958</v>
      </c>
      <c r="M5507" t="s">
        <v>18958</v>
      </c>
      <c r="N5507" t="s">
        <v>23040</v>
      </c>
      <c r="O5507" t="s">
        <v>26523</v>
      </c>
      <c r="P5507" t="s">
        <v>26560</v>
      </c>
      <c r="Q5507" t="s">
        <v>26568</v>
      </c>
      <c r="R5507" t="s">
        <v>26578</v>
      </c>
      <c r="S5507" t="s">
        <v>18959</v>
      </c>
      <c r="U5507" t="s">
        <v>26604</v>
      </c>
      <c r="V5507" t="s">
        <v>26610</v>
      </c>
      <c r="W5507" t="s">
        <v>737</v>
      </c>
      <c r="X5507">
        <v>1550</v>
      </c>
      <c r="Y5507" t="s">
        <v>26654</v>
      </c>
      <c r="Z5507" t="s">
        <v>26674</v>
      </c>
      <c r="AA5507" t="s">
        <v>26679</v>
      </c>
      <c r="AB5507" t="s">
        <v>31129</v>
      </c>
      <c r="AD5507" t="s">
        <v>41299</v>
      </c>
      <c r="AE5507">
        <v>80</v>
      </c>
      <c r="AF5507" t="s">
        <v>45541</v>
      </c>
      <c r="AG5507" t="s">
        <v>19330</v>
      </c>
      <c r="AH5507">
        <v>1</v>
      </c>
      <c r="AI5507">
        <v>1</v>
      </c>
      <c r="AJ5507">
        <v>2</v>
      </c>
      <c r="AK5507">
        <v>164.09</v>
      </c>
      <c r="AN5507" t="s">
        <v>7439</v>
      </c>
      <c r="AO5507">
        <v>35000</v>
      </c>
      <c r="AQ5507" t="s">
        <v>46362</v>
      </c>
      <c r="AR5507" t="s">
        <v>26530</v>
      </c>
      <c r="AS5507" t="s">
        <v>46500</v>
      </c>
      <c r="AT5507" t="s">
        <v>46717</v>
      </c>
      <c r="AU5507">
        <v>7.7</v>
      </c>
      <c r="AV5507" t="s">
        <v>830</v>
      </c>
      <c r="AW5507" t="s">
        <v>46852</v>
      </c>
      <c r="AX5507" t="s">
        <v>46897</v>
      </c>
    </row>
    <row r="5508" spans="1:50">
      <c r="A5508" s="1">
        <f>HYPERLINK("https://lsnyc.legalserver.org/matter/dynamic-profile/view/1890688","19-1890688")</f>
        <v>0</v>
      </c>
      <c r="B5508" t="s">
        <v>144</v>
      </c>
      <c r="C5508" t="s">
        <v>340</v>
      </c>
      <c r="D5508" t="s">
        <v>737</v>
      </c>
      <c r="F5508" t="s">
        <v>1133</v>
      </c>
      <c r="G5508" t="s">
        <v>6008</v>
      </c>
      <c r="H5508" t="s">
        <v>11211</v>
      </c>
      <c r="I5508" t="s">
        <v>18258</v>
      </c>
      <c r="J5508" t="s">
        <v>18893</v>
      </c>
      <c r="K5508">
        <v>10027</v>
      </c>
      <c r="L5508" t="s">
        <v>18958</v>
      </c>
      <c r="M5508" t="s">
        <v>18958</v>
      </c>
      <c r="N5508" t="s">
        <v>23041</v>
      </c>
      <c r="O5508" t="s">
        <v>26523</v>
      </c>
      <c r="P5508" t="s">
        <v>26560</v>
      </c>
      <c r="R5508" t="s">
        <v>26580</v>
      </c>
      <c r="S5508" t="s">
        <v>18959</v>
      </c>
      <c r="U5508" t="s">
        <v>26604</v>
      </c>
      <c r="V5508" t="s">
        <v>26610</v>
      </c>
      <c r="W5508" t="s">
        <v>737</v>
      </c>
      <c r="X5508">
        <v>664</v>
      </c>
      <c r="Y5508" t="s">
        <v>26651</v>
      </c>
      <c r="Z5508" t="s">
        <v>26668</v>
      </c>
      <c r="AB5508" t="s">
        <v>31130</v>
      </c>
      <c r="AD5508" t="s">
        <v>41300</v>
      </c>
      <c r="AE5508">
        <v>0</v>
      </c>
      <c r="AF5508" t="s">
        <v>20460</v>
      </c>
      <c r="AG5508" t="s">
        <v>26530</v>
      </c>
      <c r="AH5508">
        <v>14</v>
      </c>
      <c r="AI5508">
        <v>2</v>
      </c>
      <c r="AJ5508">
        <v>0</v>
      </c>
      <c r="AK5508">
        <v>116.59</v>
      </c>
      <c r="AN5508" t="s">
        <v>45581</v>
      </c>
      <c r="AO5508">
        <v>19716</v>
      </c>
      <c r="AU5508">
        <v>14</v>
      </c>
      <c r="AV5508" t="s">
        <v>839</v>
      </c>
      <c r="AW5508" t="s">
        <v>46875</v>
      </c>
    </row>
    <row r="5509" spans="1:50">
      <c r="A5509" s="1">
        <f>HYPERLINK("https://lsnyc.legalserver.org/matter/dynamic-profile/view/1890772","19-1890772")</f>
        <v>0</v>
      </c>
      <c r="B5509" t="s">
        <v>144</v>
      </c>
      <c r="C5509" t="s">
        <v>340</v>
      </c>
      <c r="D5509" t="s">
        <v>737</v>
      </c>
      <c r="F5509" t="s">
        <v>1253</v>
      </c>
      <c r="G5509" t="s">
        <v>6276</v>
      </c>
      <c r="H5509" t="s">
        <v>10209</v>
      </c>
      <c r="I5509" t="s">
        <v>18259</v>
      </c>
      <c r="J5509" t="s">
        <v>18893</v>
      </c>
      <c r="K5509">
        <v>10031</v>
      </c>
      <c r="L5509" t="s">
        <v>18958</v>
      </c>
      <c r="M5509" t="s">
        <v>18958</v>
      </c>
      <c r="N5509" t="s">
        <v>23042</v>
      </c>
      <c r="O5509" t="s">
        <v>26523</v>
      </c>
      <c r="P5509" t="s">
        <v>26560</v>
      </c>
      <c r="R5509" t="s">
        <v>26580</v>
      </c>
      <c r="S5509" t="s">
        <v>18959</v>
      </c>
      <c r="U5509" t="s">
        <v>26604</v>
      </c>
      <c r="V5509" t="s">
        <v>26612</v>
      </c>
      <c r="W5509" t="s">
        <v>737</v>
      </c>
      <c r="X5509">
        <v>2640</v>
      </c>
      <c r="Y5509" t="s">
        <v>26651</v>
      </c>
      <c r="Z5509" t="s">
        <v>26668</v>
      </c>
      <c r="AB5509" t="s">
        <v>31131</v>
      </c>
      <c r="AD5509" t="s">
        <v>41301</v>
      </c>
      <c r="AE5509">
        <v>0</v>
      </c>
      <c r="AG5509" t="s">
        <v>45563</v>
      </c>
      <c r="AH5509">
        <v>6</v>
      </c>
      <c r="AI5509">
        <v>2</v>
      </c>
      <c r="AJ5509">
        <v>0</v>
      </c>
      <c r="AK5509">
        <v>230.63</v>
      </c>
      <c r="AN5509" t="s">
        <v>7439</v>
      </c>
      <c r="AO5509">
        <v>39000</v>
      </c>
      <c r="AU5509">
        <v>16.5</v>
      </c>
      <c r="AV5509" t="s">
        <v>657</v>
      </c>
      <c r="AW5509" t="s">
        <v>46875</v>
      </c>
    </row>
    <row r="5510" spans="1:50">
      <c r="A5510" s="1">
        <f>HYPERLINK("https://lsnyc.legalserver.org/matter/dynamic-profile/view/1890671","19-1890671")</f>
        <v>0</v>
      </c>
      <c r="B5510" t="s">
        <v>136</v>
      </c>
      <c r="C5510" t="s">
        <v>340</v>
      </c>
      <c r="D5510" t="s">
        <v>737</v>
      </c>
      <c r="F5510" t="s">
        <v>1031</v>
      </c>
      <c r="G5510" t="s">
        <v>3036</v>
      </c>
      <c r="H5510" t="s">
        <v>13693</v>
      </c>
      <c r="I5510" t="s">
        <v>17309</v>
      </c>
      <c r="J5510" t="s">
        <v>18892</v>
      </c>
      <c r="K5510">
        <v>10474</v>
      </c>
      <c r="L5510" t="s">
        <v>18958</v>
      </c>
      <c r="M5510" t="s">
        <v>18958</v>
      </c>
      <c r="N5510" t="s">
        <v>23043</v>
      </c>
      <c r="O5510" t="s">
        <v>26523</v>
      </c>
      <c r="P5510" t="s">
        <v>26560</v>
      </c>
      <c r="R5510" t="s">
        <v>26577</v>
      </c>
      <c r="S5510" t="s">
        <v>18959</v>
      </c>
      <c r="U5510" t="s">
        <v>26604</v>
      </c>
      <c r="V5510" t="s">
        <v>26610</v>
      </c>
      <c r="W5510" t="s">
        <v>737</v>
      </c>
      <c r="X5510">
        <v>986</v>
      </c>
      <c r="Y5510" t="s">
        <v>26650</v>
      </c>
      <c r="Z5510" t="s">
        <v>26668</v>
      </c>
      <c r="AB5510" t="s">
        <v>31132</v>
      </c>
      <c r="AD5510" t="s">
        <v>41302</v>
      </c>
      <c r="AE5510">
        <v>0</v>
      </c>
      <c r="AF5510" t="s">
        <v>45548</v>
      </c>
      <c r="AG5510" t="s">
        <v>19330</v>
      </c>
      <c r="AH5510">
        <v>53</v>
      </c>
      <c r="AI5510">
        <v>1</v>
      </c>
      <c r="AJ5510">
        <v>0</v>
      </c>
      <c r="AK5510">
        <v>166.01</v>
      </c>
      <c r="AN5510" t="s">
        <v>7439</v>
      </c>
      <c r="AO5510">
        <v>20735</v>
      </c>
      <c r="AU5510">
        <v>16.5</v>
      </c>
      <c r="AV5510" t="s">
        <v>806</v>
      </c>
      <c r="AW5510" t="s">
        <v>46836</v>
      </c>
    </row>
    <row r="5511" spans="1:50">
      <c r="A5511" s="1">
        <f>HYPERLINK("https://lsnyc.legalserver.org/matter/dynamic-profile/view/1890682","19-1890682")</f>
        <v>0</v>
      </c>
      <c r="B5511" t="s">
        <v>61</v>
      </c>
      <c r="C5511" t="s">
        <v>340</v>
      </c>
      <c r="D5511" t="s">
        <v>737</v>
      </c>
      <c r="F5511" t="s">
        <v>936</v>
      </c>
      <c r="G5511" t="s">
        <v>7712</v>
      </c>
      <c r="H5511" t="s">
        <v>13694</v>
      </c>
      <c r="I5511">
        <v>65</v>
      </c>
      <c r="J5511" t="s">
        <v>18893</v>
      </c>
      <c r="K5511">
        <v>10040</v>
      </c>
      <c r="L5511" t="s">
        <v>18958</v>
      </c>
      <c r="M5511" t="s">
        <v>18958</v>
      </c>
      <c r="P5511" t="s">
        <v>26564</v>
      </c>
      <c r="R5511" t="s">
        <v>26578</v>
      </c>
      <c r="S5511" t="s">
        <v>18959</v>
      </c>
      <c r="U5511" t="s">
        <v>26604</v>
      </c>
      <c r="W5511" t="s">
        <v>737</v>
      </c>
      <c r="X5511">
        <v>167</v>
      </c>
      <c r="Y5511" t="s">
        <v>26651</v>
      </c>
      <c r="Z5511" t="s">
        <v>26661</v>
      </c>
      <c r="AB5511" t="s">
        <v>31133</v>
      </c>
      <c r="AD5511" t="s">
        <v>41303</v>
      </c>
      <c r="AE5511">
        <v>42</v>
      </c>
      <c r="AF5511" t="s">
        <v>45541</v>
      </c>
      <c r="AG5511" t="s">
        <v>19330</v>
      </c>
      <c r="AH5511">
        <v>40</v>
      </c>
      <c r="AI5511">
        <v>1</v>
      </c>
      <c r="AJ5511">
        <v>0</v>
      </c>
      <c r="AK5511">
        <v>20.85</v>
      </c>
      <c r="AN5511" t="s">
        <v>7439</v>
      </c>
      <c r="AO5511">
        <v>2604</v>
      </c>
      <c r="AU5511">
        <v>2</v>
      </c>
      <c r="AV5511" t="s">
        <v>788</v>
      </c>
      <c r="AW5511" t="s">
        <v>46840</v>
      </c>
      <c r="AX5511" t="s">
        <v>46897</v>
      </c>
    </row>
    <row r="5512" spans="1:50">
      <c r="A5512" s="1">
        <f>HYPERLINK("https://lsnyc.legalserver.org/matter/dynamic-profile/view/1890689","19-1890689")</f>
        <v>0</v>
      </c>
      <c r="B5512" t="s">
        <v>61</v>
      </c>
      <c r="C5512" t="s">
        <v>340</v>
      </c>
      <c r="D5512" t="s">
        <v>737</v>
      </c>
      <c r="F5512" t="s">
        <v>1283</v>
      </c>
      <c r="G5512" t="s">
        <v>5863</v>
      </c>
      <c r="H5512" t="s">
        <v>13695</v>
      </c>
      <c r="I5512" t="s">
        <v>17424</v>
      </c>
      <c r="J5512" t="s">
        <v>18893</v>
      </c>
      <c r="K5512">
        <v>10034</v>
      </c>
      <c r="L5512" t="s">
        <v>18958</v>
      </c>
      <c r="M5512" t="s">
        <v>18958</v>
      </c>
      <c r="O5512" t="s">
        <v>26523</v>
      </c>
      <c r="P5512" t="s">
        <v>26564</v>
      </c>
      <c r="R5512" t="s">
        <v>26578</v>
      </c>
      <c r="S5512" t="s">
        <v>18959</v>
      </c>
      <c r="U5512" t="s">
        <v>26604</v>
      </c>
      <c r="W5512" t="s">
        <v>737</v>
      </c>
      <c r="X5512">
        <v>1125.59</v>
      </c>
      <c r="Y5512" t="s">
        <v>26651</v>
      </c>
      <c r="Z5512" t="s">
        <v>26661</v>
      </c>
      <c r="AB5512" t="s">
        <v>31134</v>
      </c>
      <c r="AD5512" t="s">
        <v>41304</v>
      </c>
      <c r="AE5512">
        <v>59</v>
      </c>
      <c r="AF5512" t="s">
        <v>45541</v>
      </c>
      <c r="AG5512" t="s">
        <v>19330</v>
      </c>
      <c r="AH5512">
        <v>33</v>
      </c>
      <c r="AI5512">
        <v>1</v>
      </c>
      <c r="AJ5512">
        <v>0</v>
      </c>
      <c r="AK5512">
        <v>166.53</v>
      </c>
      <c r="AN5512" t="s">
        <v>45581</v>
      </c>
      <c r="AO5512">
        <v>20800</v>
      </c>
      <c r="AU5512">
        <v>1.4</v>
      </c>
      <c r="AV5512" t="s">
        <v>737</v>
      </c>
      <c r="AW5512" t="s">
        <v>46840</v>
      </c>
      <c r="AX5512" t="s">
        <v>46897</v>
      </c>
    </row>
    <row r="5513" spans="1:50">
      <c r="A5513" s="1">
        <f>HYPERLINK("https://lsnyc.legalserver.org/matter/dynamic-profile/view/1890691","19-1890691")</f>
        <v>0</v>
      </c>
      <c r="B5513" t="s">
        <v>169</v>
      </c>
      <c r="C5513" t="s">
        <v>340</v>
      </c>
      <c r="D5513" t="s">
        <v>737</v>
      </c>
      <c r="F5513" t="s">
        <v>1241</v>
      </c>
      <c r="G5513" t="s">
        <v>7713</v>
      </c>
      <c r="H5513" t="s">
        <v>13696</v>
      </c>
      <c r="I5513" t="s">
        <v>17374</v>
      </c>
      <c r="J5513" t="s">
        <v>18892</v>
      </c>
      <c r="K5513">
        <v>10459</v>
      </c>
      <c r="L5513" t="s">
        <v>18958</v>
      </c>
      <c r="M5513" t="s">
        <v>18958</v>
      </c>
      <c r="N5513" t="s">
        <v>23044</v>
      </c>
      <c r="O5513" t="s">
        <v>26524</v>
      </c>
      <c r="P5513" t="s">
        <v>26560</v>
      </c>
      <c r="R5513" t="s">
        <v>26578</v>
      </c>
      <c r="S5513" t="s">
        <v>18959</v>
      </c>
      <c r="U5513" t="s">
        <v>26604</v>
      </c>
      <c r="V5513" t="s">
        <v>26609</v>
      </c>
      <c r="W5513" t="s">
        <v>737</v>
      </c>
      <c r="X5513">
        <v>915</v>
      </c>
      <c r="Y5513" t="s">
        <v>26650</v>
      </c>
      <c r="AB5513" t="s">
        <v>28180</v>
      </c>
      <c r="AE5513">
        <v>20</v>
      </c>
      <c r="AF5513" t="s">
        <v>45541</v>
      </c>
      <c r="AG5513" t="s">
        <v>19330</v>
      </c>
      <c r="AH5513">
        <v>23</v>
      </c>
      <c r="AI5513">
        <v>2</v>
      </c>
      <c r="AJ5513">
        <v>0</v>
      </c>
      <c r="AK5513">
        <v>49.08</v>
      </c>
      <c r="AN5513" t="s">
        <v>45581</v>
      </c>
      <c r="AO5513">
        <v>8300</v>
      </c>
      <c r="AU5513">
        <v>25.95</v>
      </c>
      <c r="AV5513" t="s">
        <v>834</v>
      </c>
      <c r="AW5513" t="s">
        <v>46829</v>
      </c>
    </row>
    <row r="5514" spans="1:50">
      <c r="A5514" s="1">
        <f>HYPERLINK("https://lsnyc.legalserver.org/matter/dynamic-profile/view/1890704","19-1890704")</f>
        <v>0</v>
      </c>
      <c r="B5514" t="s">
        <v>57</v>
      </c>
      <c r="C5514" t="s">
        <v>340</v>
      </c>
      <c r="D5514" t="s">
        <v>737</v>
      </c>
      <c r="F5514" t="s">
        <v>895</v>
      </c>
      <c r="G5514" t="s">
        <v>5439</v>
      </c>
      <c r="H5514" t="s">
        <v>13697</v>
      </c>
      <c r="I5514" t="s">
        <v>17325</v>
      </c>
      <c r="J5514" t="s">
        <v>18892</v>
      </c>
      <c r="K5514">
        <v>10457</v>
      </c>
      <c r="L5514" t="s">
        <v>18958</v>
      </c>
      <c r="M5514" t="s">
        <v>18958</v>
      </c>
      <c r="N5514" t="s">
        <v>23045</v>
      </c>
      <c r="O5514" t="s">
        <v>26523</v>
      </c>
      <c r="P5514" t="s">
        <v>26560</v>
      </c>
      <c r="R5514" t="s">
        <v>26579</v>
      </c>
      <c r="U5514" t="s">
        <v>26604</v>
      </c>
      <c r="W5514" t="s">
        <v>737</v>
      </c>
      <c r="X5514">
        <v>1200</v>
      </c>
      <c r="Y5514" t="s">
        <v>26650</v>
      </c>
      <c r="AB5514" t="s">
        <v>31135</v>
      </c>
      <c r="AE5514">
        <v>5</v>
      </c>
      <c r="AH5514">
        <v>6</v>
      </c>
      <c r="AI5514">
        <v>2</v>
      </c>
      <c r="AJ5514">
        <v>2</v>
      </c>
      <c r="AK5514">
        <v>44.43</v>
      </c>
      <c r="AN5514" t="s">
        <v>45581</v>
      </c>
      <c r="AO5514">
        <v>11440</v>
      </c>
      <c r="AU5514">
        <v>23</v>
      </c>
      <c r="AV5514" t="s">
        <v>773</v>
      </c>
      <c r="AW5514" t="s">
        <v>46836</v>
      </c>
    </row>
    <row r="5515" spans="1:50">
      <c r="A5515" s="1">
        <f>HYPERLINK("https://lsnyc.legalserver.org/matter/dynamic-profile/view/1890764","19-1890764")</f>
        <v>0</v>
      </c>
      <c r="B5515" t="s">
        <v>262</v>
      </c>
      <c r="C5515" t="s">
        <v>340</v>
      </c>
      <c r="D5515" t="s">
        <v>737</v>
      </c>
      <c r="F5515" t="s">
        <v>887</v>
      </c>
      <c r="G5515" t="s">
        <v>2564</v>
      </c>
      <c r="H5515" t="s">
        <v>13698</v>
      </c>
      <c r="I5515">
        <v>2</v>
      </c>
      <c r="J5515" t="s">
        <v>18892</v>
      </c>
      <c r="K5515">
        <v>10461</v>
      </c>
      <c r="L5515" t="s">
        <v>18958</v>
      </c>
      <c r="M5515" t="s">
        <v>18958</v>
      </c>
      <c r="N5515" t="s">
        <v>23046</v>
      </c>
      <c r="O5515" t="s">
        <v>26523</v>
      </c>
      <c r="P5515" t="s">
        <v>26564</v>
      </c>
      <c r="R5515" t="s">
        <v>26577</v>
      </c>
      <c r="S5515" t="s">
        <v>18959</v>
      </c>
      <c r="U5515" t="s">
        <v>26604</v>
      </c>
      <c r="W5515" t="s">
        <v>737</v>
      </c>
      <c r="X5515">
        <v>2200</v>
      </c>
      <c r="Y5515" t="s">
        <v>26650</v>
      </c>
      <c r="Z5515" t="s">
        <v>26664</v>
      </c>
      <c r="AB5515" t="s">
        <v>27296</v>
      </c>
      <c r="AD5515" t="s">
        <v>41305</v>
      </c>
      <c r="AE5515">
        <v>0</v>
      </c>
      <c r="AG5515" t="s">
        <v>19330</v>
      </c>
      <c r="AH5515">
        <v>2</v>
      </c>
      <c r="AI5515">
        <v>4</v>
      </c>
      <c r="AJ5515">
        <v>2</v>
      </c>
      <c r="AK5515">
        <v>95.54000000000001</v>
      </c>
      <c r="AN5515" t="s">
        <v>7439</v>
      </c>
      <c r="AO5515">
        <v>33048</v>
      </c>
      <c r="AU5515">
        <v>4.6</v>
      </c>
      <c r="AV5515" t="s">
        <v>759</v>
      </c>
      <c r="AW5515" t="s">
        <v>336</v>
      </c>
    </row>
    <row r="5516" spans="1:50">
      <c r="A5516" s="1">
        <f>HYPERLINK("https://lsnyc.legalserver.org/matter/dynamic-profile/view/1890971","19-1890971")</f>
        <v>0</v>
      </c>
      <c r="B5516" t="s">
        <v>81</v>
      </c>
      <c r="C5516" t="s">
        <v>340</v>
      </c>
      <c r="D5516" t="s">
        <v>737</v>
      </c>
      <c r="F5516" t="s">
        <v>3438</v>
      </c>
      <c r="G5516" t="s">
        <v>7714</v>
      </c>
      <c r="H5516" t="s">
        <v>13699</v>
      </c>
      <c r="I5516">
        <v>603</v>
      </c>
      <c r="J5516" t="s">
        <v>18892</v>
      </c>
      <c r="K5516">
        <v>10457</v>
      </c>
      <c r="L5516" t="s">
        <v>18958</v>
      </c>
      <c r="M5516" t="s">
        <v>18958</v>
      </c>
      <c r="N5516" t="s">
        <v>23047</v>
      </c>
      <c r="O5516" t="s">
        <v>26523</v>
      </c>
      <c r="P5516" t="s">
        <v>26560</v>
      </c>
      <c r="R5516" t="s">
        <v>26579</v>
      </c>
      <c r="S5516" t="s">
        <v>18959</v>
      </c>
      <c r="U5516" t="s">
        <v>26604</v>
      </c>
      <c r="W5516" t="s">
        <v>737</v>
      </c>
      <c r="X5516">
        <v>1250</v>
      </c>
      <c r="Y5516" t="s">
        <v>26650</v>
      </c>
      <c r="Z5516" t="s">
        <v>26668</v>
      </c>
      <c r="AB5516" t="s">
        <v>31136</v>
      </c>
      <c r="AC5516" t="s">
        <v>35998</v>
      </c>
      <c r="AD5516" t="s">
        <v>41306</v>
      </c>
      <c r="AE5516">
        <v>68</v>
      </c>
      <c r="AF5516" t="s">
        <v>20460</v>
      </c>
      <c r="AG5516" t="s">
        <v>19330</v>
      </c>
      <c r="AH5516">
        <v>4</v>
      </c>
      <c r="AI5516">
        <v>1</v>
      </c>
      <c r="AJ5516">
        <v>0</v>
      </c>
      <c r="AK5516">
        <v>0</v>
      </c>
      <c r="AN5516" t="s">
        <v>7439</v>
      </c>
      <c r="AO5516">
        <v>0</v>
      </c>
      <c r="AU5516">
        <v>7.95</v>
      </c>
      <c r="AV5516" t="s">
        <v>830</v>
      </c>
      <c r="AW5516" t="s">
        <v>329</v>
      </c>
    </row>
    <row r="5517" spans="1:50">
      <c r="A5517" s="1">
        <f>HYPERLINK("https://lsnyc.legalserver.org/matter/dynamic-profile/view/1891439","19-1891439")</f>
        <v>0</v>
      </c>
      <c r="B5517" t="s">
        <v>81</v>
      </c>
      <c r="C5517" t="s">
        <v>340</v>
      </c>
      <c r="D5517" t="s">
        <v>737</v>
      </c>
      <c r="F5517" t="s">
        <v>1044</v>
      </c>
      <c r="G5517" t="s">
        <v>5095</v>
      </c>
      <c r="H5517" t="s">
        <v>13700</v>
      </c>
      <c r="I5517">
        <v>772</v>
      </c>
      <c r="J5517" t="s">
        <v>18892</v>
      </c>
      <c r="K5517">
        <v>10462</v>
      </c>
      <c r="L5517" t="s">
        <v>18958</v>
      </c>
      <c r="M5517" t="s">
        <v>18958</v>
      </c>
      <c r="N5517" t="s">
        <v>23048</v>
      </c>
      <c r="O5517" t="s">
        <v>26523</v>
      </c>
      <c r="P5517" t="s">
        <v>26560</v>
      </c>
      <c r="R5517" t="s">
        <v>26579</v>
      </c>
      <c r="S5517" t="s">
        <v>18959</v>
      </c>
      <c r="U5517" t="s">
        <v>26604</v>
      </c>
      <c r="V5517" t="s">
        <v>26609</v>
      </c>
      <c r="W5517" t="s">
        <v>737</v>
      </c>
      <c r="X5517">
        <v>1565</v>
      </c>
      <c r="Y5517" t="s">
        <v>26650</v>
      </c>
      <c r="Z5517" t="s">
        <v>26668</v>
      </c>
      <c r="AB5517" t="s">
        <v>31137</v>
      </c>
      <c r="AC5517" t="s">
        <v>35999</v>
      </c>
      <c r="AD5517" t="s">
        <v>41307</v>
      </c>
      <c r="AE5517">
        <v>190</v>
      </c>
      <c r="AF5517" t="s">
        <v>45541</v>
      </c>
      <c r="AG5517" t="s">
        <v>45562</v>
      </c>
      <c r="AH5517">
        <v>4</v>
      </c>
      <c r="AI5517">
        <v>2</v>
      </c>
      <c r="AJ5517">
        <v>1</v>
      </c>
      <c r="AK5517">
        <v>53.45</v>
      </c>
      <c r="AN5517" t="s">
        <v>7439</v>
      </c>
      <c r="AO5517">
        <v>11400</v>
      </c>
      <c r="AU5517">
        <v>3.5</v>
      </c>
      <c r="AV5517" t="s">
        <v>811</v>
      </c>
      <c r="AW5517" t="s">
        <v>329</v>
      </c>
      <c r="AX5517" t="s">
        <v>46898</v>
      </c>
    </row>
    <row r="5518" spans="1:50">
      <c r="A5518" s="1">
        <f>HYPERLINK("https://lsnyc.legalserver.org/matter/dynamic-profile/view/1890684","19-1890684")</f>
        <v>0</v>
      </c>
      <c r="B5518" t="s">
        <v>81</v>
      </c>
      <c r="C5518" t="s">
        <v>340</v>
      </c>
      <c r="D5518" t="s">
        <v>737</v>
      </c>
      <c r="F5518" t="s">
        <v>3003</v>
      </c>
      <c r="G5518" t="s">
        <v>1146</v>
      </c>
      <c r="H5518" t="s">
        <v>11401</v>
      </c>
      <c r="I5518" t="s">
        <v>18260</v>
      </c>
      <c r="J5518" t="s">
        <v>18892</v>
      </c>
      <c r="K5518">
        <v>10457</v>
      </c>
      <c r="L5518" t="s">
        <v>18958</v>
      </c>
      <c r="M5518" t="s">
        <v>18958</v>
      </c>
      <c r="N5518" t="s">
        <v>23049</v>
      </c>
      <c r="O5518" t="s">
        <v>26523</v>
      </c>
      <c r="P5518" t="s">
        <v>26560</v>
      </c>
      <c r="R5518" t="s">
        <v>26579</v>
      </c>
      <c r="S5518" t="s">
        <v>18959</v>
      </c>
      <c r="U5518" t="s">
        <v>26604</v>
      </c>
      <c r="W5518" t="s">
        <v>737</v>
      </c>
      <c r="X5518">
        <v>959.59</v>
      </c>
      <c r="Y5518" t="s">
        <v>26650</v>
      </c>
      <c r="Z5518" t="s">
        <v>26659</v>
      </c>
      <c r="AB5518" t="s">
        <v>31138</v>
      </c>
      <c r="AC5518" t="s">
        <v>36000</v>
      </c>
      <c r="AD5518" t="s">
        <v>41308</v>
      </c>
      <c r="AE5518">
        <v>222</v>
      </c>
      <c r="AF5518" t="s">
        <v>45541</v>
      </c>
      <c r="AG5518" t="s">
        <v>45557</v>
      </c>
      <c r="AH5518">
        <v>29</v>
      </c>
      <c r="AI5518">
        <v>1</v>
      </c>
      <c r="AJ5518">
        <v>1</v>
      </c>
      <c r="AK5518">
        <v>75.34</v>
      </c>
      <c r="AN5518" t="s">
        <v>7439</v>
      </c>
      <c r="AO5518">
        <v>12740</v>
      </c>
      <c r="AU5518">
        <v>6.5</v>
      </c>
      <c r="AV5518" t="s">
        <v>811</v>
      </c>
      <c r="AW5518" t="s">
        <v>46832</v>
      </c>
    </row>
    <row r="5519" spans="1:50">
      <c r="A5519" s="1">
        <f>HYPERLINK("https://lsnyc.legalserver.org/matter/dynamic-profile/view/1891097","19-1891097")</f>
        <v>0</v>
      </c>
      <c r="B5519" t="s">
        <v>81</v>
      </c>
      <c r="C5519" t="s">
        <v>340</v>
      </c>
      <c r="D5519" t="s">
        <v>737</v>
      </c>
      <c r="F5519" t="s">
        <v>3439</v>
      </c>
      <c r="G5519" t="s">
        <v>7715</v>
      </c>
      <c r="H5519" t="s">
        <v>13683</v>
      </c>
      <c r="I5519" t="s">
        <v>17322</v>
      </c>
      <c r="J5519" t="s">
        <v>18892</v>
      </c>
      <c r="K5519">
        <v>10457</v>
      </c>
      <c r="L5519" t="s">
        <v>18958</v>
      </c>
      <c r="M5519" t="s">
        <v>18958</v>
      </c>
      <c r="N5519" t="s">
        <v>23050</v>
      </c>
      <c r="O5519" t="s">
        <v>26523</v>
      </c>
      <c r="P5519" t="s">
        <v>26560</v>
      </c>
      <c r="R5519" t="s">
        <v>26579</v>
      </c>
      <c r="S5519" t="s">
        <v>18959</v>
      </c>
      <c r="U5519" t="s">
        <v>26604</v>
      </c>
      <c r="W5519" t="s">
        <v>737</v>
      </c>
      <c r="X5519">
        <v>604</v>
      </c>
      <c r="Y5519" t="s">
        <v>26650</v>
      </c>
      <c r="AB5519" t="s">
        <v>31139</v>
      </c>
      <c r="AC5519" t="s">
        <v>36001</v>
      </c>
      <c r="AD5519" t="s">
        <v>41309</v>
      </c>
      <c r="AE5519">
        <v>11</v>
      </c>
      <c r="AH5519">
        <v>11</v>
      </c>
      <c r="AI5519">
        <v>1</v>
      </c>
      <c r="AJ5519">
        <v>2</v>
      </c>
      <c r="AK5519">
        <v>126.58</v>
      </c>
      <c r="AN5519" t="s">
        <v>7439</v>
      </c>
      <c r="AO5519">
        <v>27000</v>
      </c>
      <c r="AU5519">
        <v>4.4</v>
      </c>
      <c r="AV5519" t="s">
        <v>843</v>
      </c>
      <c r="AW5519" t="s">
        <v>329</v>
      </c>
    </row>
    <row r="5520" spans="1:50">
      <c r="A5520" s="1">
        <f>HYPERLINK("https://lsnyc.legalserver.org/matter/dynamic-profile/view/1890728","19-1890728")</f>
        <v>0</v>
      </c>
      <c r="B5520" t="s">
        <v>191</v>
      </c>
      <c r="C5520" t="s">
        <v>340</v>
      </c>
      <c r="D5520" t="s">
        <v>737</v>
      </c>
      <c r="F5520" t="s">
        <v>2698</v>
      </c>
      <c r="G5520" t="s">
        <v>7716</v>
      </c>
      <c r="H5520" t="s">
        <v>13701</v>
      </c>
      <c r="I5520">
        <v>4</v>
      </c>
      <c r="J5520" t="s">
        <v>18893</v>
      </c>
      <c r="K5520">
        <v>10026</v>
      </c>
      <c r="L5520" t="s">
        <v>18958</v>
      </c>
      <c r="M5520" t="s">
        <v>18958</v>
      </c>
      <c r="N5520" t="s">
        <v>23051</v>
      </c>
      <c r="O5520" t="s">
        <v>26523</v>
      </c>
      <c r="P5520" t="s">
        <v>26560</v>
      </c>
      <c r="R5520" t="s">
        <v>26580</v>
      </c>
      <c r="S5520" t="s">
        <v>18959</v>
      </c>
      <c r="U5520" t="s">
        <v>26604</v>
      </c>
      <c r="W5520" t="s">
        <v>737</v>
      </c>
      <c r="X5520">
        <v>1096.71</v>
      </c>
      <c r="Y5520" t="s">
        <v>26651</v>
      </c>
      <c r="Z5520" t="s">
        <v>26668</v>
      </c>
      <c r="AB5520" t="s">
        <v>31140</v>
      </c>
      <c r="AD5520" t="s">
        <v>41310</v>
      </c>
      <c r="AE5520">
        <v>0</v>
      </c>
      <c r="AF5520" t="s">
        <v>20460</v>
      </c>
      <c r="AG5520" t="s">
        <v>19330</v>
      </c>
      <c r="AH5520">
        <v>19</v>
      </c>
      <c r="AI5520">
        <v>2</v>
      </c>
      <c r="AJ5520">
        <v>3</v>
      </c>
      <c r="AK5520">
        <v>48.81</v>
      </c>
      <c r="AN5520" t="s">
        <v>7439</v>
      </c>
      <c r="AO5520">
        <v>14725</v>
      </c>
      <c r="AU5520">
        <v>8.800000000000001</v>
      </c>
      <c r="AV5520" t="s">
        <v>772</v>
      </c>
      <c r="AW5520" t="s">
        <v>46875</v>
      </c>
    </row>
    <row r="5521" spans="1:49">
      <c r="A5521" s="1">
        <f>HYPERLINK("https://lsnyc.legalserver.org/matter/dynamic-profile/view/1886962","19-1886962")</f>
        <v>0</v>
      </c>
      <c r="B5521" t="s">
        <v>212</v>
      </c>
      <c r="C5521" t="s">
        <v>340</v>
      </c>
      <c r="D5521" t="s">
        <v>737</v>
      </c>
      <c r="F5521" t="s">
        <v>3440</v>
      </c>
      <c r="G5521" t="s">
        <v>7717</v>
      </c>
      <c r="J5521" t="s">
        <v>18907</v>
      </c>
      <c r="K5521">
        <v>11377</v>
      </c>
      <c r="L5521" t="s">
        <v>18958</v>
      </c>
      <c r="M5521" t="s">
        <v>18958</v>
      </c>
      <c r="N5521" t="s">
        <v>23052</v>
      </c>
      <c r="O5521" t="s">
        <v>26524</v>
      </c>
      <c r="P5521" t="s">
        <v>26560</v>
      </c>
      <c r="R5521" t="s">
        <v>26584</v>
      </c>
      <c r="S5521" t="s">
        <v>18959</v>
      </c>
      <c r="U5521" t="s">
        <v>26604</v>
      </c>
      <c r="V5521" t="s">
        <v>26610</v>
      </c>
      <c r="W5521" t="s">
        <v>737</v>
      </c>
      <c r="X5521">
        <v>1003</v>
      </c>
      <c r="Y5521" t="s">
        <v>26653</v>
      </c>
      <c r="Z5521" t="s">
        <v>26664</v>
      </c>
      <c r="AB5521" t="s">
        <v>31141</v>
      </c>
      <c r="AD5521" t="s">
        <v>41311</v>
      </c>
      <c r="AE5521">
        <v>17</v>
      </c>
      <c r="AF5521" t="s">
        <v>45541</v>
      </c>
      <c r="AH5521">
        <v>10</v>
      </c>
      <c r="AI5521">
        <v>1</v>
      </c>
      <c r="AJ5521">
        <v>0</v>
      </c>
      <c r="AK5521">
        <v>131.8</v>
      </c>
      <c r="AN5521" t="s">
        <v>7439</v>
      </c>
      <c r="AO5521">
        <v>16000</v>
      </c>
      <c r="AU5521">
        <v>37.43</v>
      </c>
      <c r="AV5521" t="s">
        <v>809</v>
      </c>
      <c r="AW5521" t="s">
        <v>247</v>
      </c>
    </row>
    <row r="5522" spans="1:49">
      <c r="A5522" s="1">
        <f>HYPERLINK("https://lsnyc.legalserver.org/matter/dynamic-profile/view/1890698","19-1890698")</f>
        <v>0</v>
      </c>
      <c r="B5522" t="s">
        <v>218</v>
      </c>
      <c r="C5522" t="s">
        <v>340</v>
      </c>
      <c r="D5522" t="s">
        <v>737</v>
      </c>
      <c r="F5522" t="s">
        <v>2536</v>
      </c>
      <c r="G5522" t="s">
        <v>6016</v>
      </c>
      <c r="H5522" t="s">
        <v>13702</v>
      </c>
      <c r="I5522" t="s">
        <v>17536</v>
      </c>
      <c r="J5522" t="s">
        <v>18893</v>
      </c>
      <c r="K5522">
        <v>10033</v>
      </c>
      <c r="L5522" t="s">
        <v>18958</v>
      </c>
      <c r="M5522" t="s">
        <v>18958</v>
      </c>
      <c r="P5522" t="s">
        <v>26560</v>
      </c>
      <c r="R5522" t="s">
        <v>26578</v>
      </c>
      <c r="S5522" t="s">
        <v>18959</v>
      </c>
      <c r="U5522" t="s">
        <v>26604</v>
      </c>
      <c r="W5522" t="s">
        <v>737</v>
      </c>
      <c r="X5522">
        <v>1213</v>
      </c>
      <c r="Y5522" t="s">
        <v>26651</v>
      </c>
      <c r="Z5522" t="s">
        <v>26661</v>
      </c>
      <c r="AB5522" t="s">
        <v>31142</v>
      </c>
      <c r="AD5522" t="s">
        <v>41312</v>
      </c>
      <c r="AE5522">
        <v>0</v>
      </c>
      <c r="AF5522" t="s">
        <v>45541</v>
      </c>
      <c r="AG5522" t="s">
        <v>45560</v>
      </c>
      <c r="AH5522">
        <v>3</v>
      </c>
      <c r="AI5522">
        <v>1</v>
      </c>
      <c r="AJ5522">
        <v>0</v>
      </c>
      <c r="AK5522">
        <v>63.28</v>
      </c>
      <c r="AN5522" t="s">
        <v>7439</v>
      </c>
      <c r="AO5522">
        <v>7904</v>
      </c>
      <c r="AU5522">
        <v>140.9</v>
      </c>
      <c r="AV5522" t="s">
        <v>835</v>
      </c>
      <c r="AW5522" t="s">
        <v>46840</v>
      </c>
    </row>
    <row r="5523" spans="1:49">
      <c r="A5523" s="1">
        <f>HYPERLINK("https://lsnyc.legalserver.org/matter/dynamic-profile/view/1890804","19-1890804")</f>
        <v>0</v>
      </c>
      <c r="B5523" t="s">
        <v>114</v>
      </c>
      <c r="C5523" t="s">
        <v>340</v>
      </c>
      <c r="D5523" t="s">
        <v>737</v>
      </c>
      <c r="F5523" t="s">
        <v>3441</v>
      </c>
      <c r="G5523" t="s">
        <v>5977</v>
      </c>
      <c r="H5523" t="s">
        <v>13703</v>
      </c>
      <c r="J5523" t="s">
        <v>18901</v>
      </c>
      <c r="K5523">
        <v>11432</v>
      </c>
      <c r="L5523" t="s">
        <v>18958</v>
      </c>
      <c r="M5523" t="s">
        <v>18958</v>
      </c>
      <c r="N5523" t="s">
        <v>23053</v>
      </c>
      <c r="O5523" t="s">
        <v>26523</v>
      </c>
      <c r="P5523" t="s">
        <v>26564</v>
      </c>
      <c r="R5523" t="s">
        <v>26584</v>
      </c>
      <c r="S5523" t="s">
        <v>18959</v>
      </c>
      <c r="U5523" t="s">
        <v>26604</v>
      </c>
      <c r="V5523" t="s">
        <v>26611</v>
      </c>
      <c r="W5523" t="s">
        <v>737</v>
      </c>
      <c r="X5523">
        <v>0</v>
      </c>
      <c r="Y5523" t="s">
        <v>26653</v>
      </c>
      <c r="Z5523" t="s">
        <v>26661</v>
      </c>
      <c r="AB5523" t="s">
        <v>31143</v>
      </c>
      <c r="AD5523" t="s">
        <v>41313</v>
      </c>
      <c r="AE5523">
        <v>3</v>
      </c>
      <c r="AF5523" t="s">
        <v>45547</v>
      </c>
      <c r="AG5523" t="s">
        <v>19330</v>
      </c>
      <c r="AH5523">
        <v>1</v>
      </c>
      <c r="AI5523">
        <v>6</v>
      </c>
      <c r="AJ5523">
        <v>0</v>
      </c>
      <c r="AK5523">
        <v>144.55</v>
      </c>
      <c r="AN5523" t="s">
        <v>7439</v>
      </c>
      <c r="AO5523">
        <v>50000</v>
      </c>
      <c r="AU5523">
        <v>0</v>
      </c>
      <c r="AW5523" t="s">
        <v>161</v>
      </c>
    </row>
    <row r="5524" spans="1:49">
      <c r="A5524" s="1">
        <f>HYPERLINK("https://lsnyc.legalserver.org/matter/dynamic-profile/view/1890770","19-1890770")</f>
        <v>0</v>
      </c>
      <c r="B5524" t="s">
        <v>86</v>
      </c>
      <c r="C5524" t="s">
        <v>340</v>
      </c>
      <c r="D5524" t="s">
        <v>737</v>
      </c>
      <c r="F5524" t="s">
        <v>3442</v>
      </c>
      <c r="G5524" t="s">
        <v>6890</v>
      </c>
      <c r="H5524" t="s">
        <v>13704</v>
      </c>
      <c r="I5524">
        <v>1</v>
      </c>
      <c r="J5524" t="s">
        <v>18893</v>
      </c>
      <c r="K5524">
        <v>10026</v>
      </c>
      <c r="L5524" t="s">
        <v>18958</v>
      </c>
      <c r="M5524" t="s">
        <v>18958</v>
      </c>
      <c r="N5524" t="s">
        <v>23054</v>
      </c>
      <c r="O5524" t="s">
        <v>26523</v>
      </c>
      <c r="P5524" t="s">
        <v>26560</v>
      </c>
      <c r="R5524" t="s">
        <v>26580</v>
      </c>
      <c r="S5524" t="s">
        <v>18959</v>
      </c>
      <c r="U5524" t="s">
        <v>26604</v>
      </c>
      <c r="W5524" t="s">
        <v>737</v>
      </c>
      <c r="X5524">
        <v>983</v>
      </c>
      <c r="Y5524" t="s">
        <v>26651</v>
      </c>
      <c r="Z5524" t="s">
        <v>26664</v>
      </c>
      <c r="AB5524" t="s">
        <v>28334</v>
      </c>
      <c r="AC5524" t="s">
        <v>36002</v>
      </c>
      <c r="AD5524" t="s">
        <v>41314</v>
      </c>
      <c r="AE5524">
        <v>0</v>
      </c>
      <c r="AF5524" t="s">
        <v>45541</v>
      </c>
      <c r="AG5524" t="s">
        <v>45556</v>
      </c>
      <c r="AH5524">
        <v>6</v>
      </c>
      <c r="AI5524">
        <v>1</v>
      </c>
      <c r="AJ5524">
        <v>0</v>
      </c>
      <c r="AK5524">
        <v>80.7</v>
      </c>
      <c r="AN5524" t="s">
        <v>7439</v>
      </c>
      <c r="AO5524">
        <v>10080</v>
      </c>
      <c r="AU5524">
        <v>4.9</v>
      </c>
      <c r="AV5524" t="s">
        <v>838</v>
      </c>
      <c r="AW5524" t="s">
        <v>314</v>
      </c>
    </row>
    <row r="5525" spans="1:49">
      <c r="A5525" s="1">
        <f>HYPERLINK("https://lsnyc.legalserver.org/matter/dynamic-profile/view/1890785","19-1890785")</f>
        <v>0</v>
      </c>
      <c r="B5525" t="s">
        <v>86</v>
      </c>
      <c r="C5525" t="s">
        <v>340</v>
      </c>
      <c r="D5525" t="s">
        <v>737</v>
      </c>
      <c r="F5525" t="s">
        <v>1031</v>
      </c>
      <c r="G5525" t="s">
        <v>5141</v>
      </c>
      <c r="H5525" t="s">
        <v>12024</v>
      </c>
      <c r="I5525" t="s">
        <v>17319</v>
      </c>
      <c r="J5525" t="s">
        <v>18893</v>
      </c>
      <c r="K5525">
        <v>10027</v>
      </c>
      <c r="L5525" t="s">
        <v>18958</v>
      </c>
      <c r="M5525" t="s">
        <v>18958</v>
      </c>
      <c r="N5525" t="s">
        <v>23055</v>
      </c>
      <c r="O5525" t="s">
        <v>26523</v>
      </c>
      <c r="P5525" t="s">
        <v>26560</v>
      </c>
      <c r="R5525" t="s">
        <v>26580</v>
      </c>
      <c r="S5525" t="s">
        <v>18959</v>
      </c>
      <c r="U5525" t="s">
        <v>26604</v>
      </c>
      <c r="W5525" t="s">
        <v>737</v>
      </c>
      <c r="X5525">
        <v>1050</v>
      </c>
      <c r="Y5525" t="s">
        <v>26651</v>
      </c>
      <c r="Z5525" t="s">
        <v>26664</v>
      </c>
      <c r="AB5525" t="s">
        <v>28385</v>
      </c>
      <c r="AD5525" t="s">
        <v>41315</v>
      </c>
      <c r="AE5525">
        <v>0</v>
      </c>
      <c r="AF5525" t="s">
        <v>20460</v>
      </c>
      <c r="AG5525" t="s">
        <v>45559</v>
      </c>
      <c r="AH5525">
        <v>7</v>
      </c>
      <c r="AI5525">
        <v>2</v>
      </c>
      <c r="AJ5525">
        <v>1</v>
      </c>
      <c r="AK5525">
        <v>183.57</v>
      </c>
      <c r="AN5525" t="s">
        <v>7439</v>
      </c>
      <c r="AO5525">
        <v>39156</v>
      </c>
      <c r="AU5525">
        <v>13.75</v>
      </c>
      <c r="AV5525" t="s">
        <v>827</v>
      </c>
      <c r="AW5525" t="s">
        <v>46875</v>
      </c>
    </row>
    <row r="5526" spans="1:49">
      <c r="A5526" s="1">
        <f>HYPERLINK("https://lsnyc.legalserver.org/matter/dynamic-profile/view/1890724","19-1890724")</f>
        <v>0</v>
      </c>
      <c r="B5526" t="s">
        <v>194</v>
      </c>
      <c r="C5526" t="s">
        <v>340</v>
      </c>
      <c r="D5526" t="s">
        <v>737</v>
      </c>
      <c r="F5526" t="s">
        <v>1759</v>
      </c>
      <c r="G5526" t="s">
        <v>7718</v>
      </c>
      <c r="H5526" t="s">
        <v>13705</v>
      </c>
      <c r="I5526" t="s">
        <v>18261</v>
      </c>
      <c r="J5526" t="s">
        <v>18893</v>
      </c>
      <c r="K5526">
        <v>10031</v>
      </c>
      <c r="L5526" t="s">
        <v>18958</v>
      </c>
      <c r="M5526" t="s">
        <v>18958</v>
      </c>
      <c r="N5526" t="s">
        <v>23056</v>
      </c>
      <c r="O5526" t="s">
        <v>26523</v>
      </c>
      <c r="P5526" t="s">
        <v>26560</v>
      </c>
      <c r="R5526" t="s">
        <v>26580</v>
      </c>
      <c r="S5526" t="s">
        <v>18959</v>
      </c>
      <c r="U5526" t="s">
        <v>26604</v>
      </c>
      <c r="V5526" t="s">
        <v>26610</v>
      </c>
      <c r="W5526" t="s">
        <v>737</v>
      </c>
      <c r="X5526">
        <v>1116.42</v>
      </c>
      <c r="Y5526" t="s">
        <v>26651</v>
      </c>
      <c r="Z5526" t="s">
        <v>26664</v>
      </c>
      <c r="AB5526" t="s">
        <v>31144</v>
      </c>
      <c r="AD5526" t="s">
        <v>41316</v>
      </c>
      <c r="AE5526">
        <v>0</v>
      </c>
      <c r="AF5526" t="s">
        <v>45541</v>
      </c>
      <c r="AG5526" t="s">
        <v>19330</v>
      </c>
      <c r="AH5526">
        <v>7</v>
      </c>
      <c r="AI5526">
        <v>1</v>
      </c>
      <c r="AJ5526">
        <v>0</v>
      </c>
      <c r="AK5526">
        <v>0</v>
      </c>
      <c r="AN5526" t="s">
        <v>7439</v>
      </c>
      <c r="AO5526">
        <v>0</v>
      </c>
      <c r="AU5526">
        <v>19.8</v>
      </c>
      <c r="AV5526" t="s">
        <v>839</v>
      </c>
      <c r="AW5526" t="s">
        <v>46875</v>
      </c>
    </row>
    <row r="5527" spans="1:49">
      <c r="A5527" s="1">
        <f>HYPERLINK("https://lsnyc.legalserver.org/matter/dynamic-profile/view/1890734","19-1890734")</f>
        <v>0</v>
      </c>
      <c r="B5527" t="s">
        <v>125</v>
      </c>
      <c r="C5527" t="s">
        <v>340</v>
      </c>
      <c r="D5527" t="s">
        <v>737</v>
      </c>
      <c r="F5527" t="s">
        <v>1253</v>
      </c>
      <c r="G5527" t="s">
        <v>7719</v>
      </c>
      <c r="H5527" t="s">
        <v>13706</v>
      </c>
      <c r="I5527">
        <v>3</v>
      </c>
      <c r="J5527" t="s">
        <v>18894</v>
      </c>
      <c r="K5527">
        <v>11233</v>
      </c>
      <c r="L5527" t="s">
        <v>18958</v>
      </c>
      <c r="M5527" t="s">
        <v>18958</v>
      </c>
      <c r="N5527" t="s">
        <v>23057</v>
      </c>
      <c r="O5527" t="s">
        <v>26524</v>
      </c>
      <c r="P5527" t="s">
        <v>26564</v>
      </c>
      <c r="R5527" t="s">
        <v>26578</v>
      </c>
      <c r="S5527" t="s">
        <v>18959</v>
      </c>
      <c r="U5527" t="s">
        <v>26604</v>
      </c>
      <c r="W5527" t="s">
        <v>737</v>
      </c>
      <c r="X5527">
        <v>0</v>
      </c>
      <c r="Y5527" t="s">
        <v>26652</v>
      </c>
      <c r="Z5527" t="s">
        <v>26661</v>
      </c>
      <c r="AB5527" t="s">
        <v>31145</v>
      </c>
      <c r="AE5527">
        <v>14</v>
      </c>
      <c r="AF5527" t="s">
        <v>20460</v>
      </c>
      <c r="AG5527" t="s">
        <v>19330</v>
      </c>
      <c r="AH5527">
        <v>6</v>
      </c>
      <c r="AI5527">
        <v>3</v>
      </c>
      <c r="AJ5527">
        <v>1</v>
      </c>
      <c r="AK5527">
        <v>291.26</v>
      </c>
      <c r="AN5527" t="s">
        <v>7439</v>
      </c>
      <c r="AO5527">
        <v>75000</v>
      </c>
      <c r="AU5527">
        <v>1.25</v>
      </c>
      <c r="AV5527" t="s">
        <v>753</v>
      </c>
      <c r="AW5527" t="s">
        <v>286</v>
      </c>
    </row>
    <row r="5528" spans="1:49">
      <c r="A5528" s="1">
        <f>HYPERLINK("https://lsnyc.legalserver.org/matter/dynamic-profile/view/1891367","19-1891367")</f>
        <v>0</v>
      </c>
      <c r="B5528" t="s">
        <v>147</v>
      </c>
      <c r="C5528" t="s">
        <v>340</v>
      </c>
      <c r="D5528" t="s">
        <v>728</v>
      </c>
      <c r="F5528" t="s">
        <v>1024</v>
      </c>
      <c r="G5528" t="s">
        <v>7720</v>
      </c>
      <c r="H5528" t="s">
        <v>10474</v>
      </c>
      <c r="I5528" t="s">
        <v>18262</v>
      </c>
      <c r="J5528" t="s">
        <v>18894</v>
      </c>
      <c r="K5528">
        <v>11225</v>
      </c>
      <c r="L5528" t="s">
        <v>18958</v>
      </c>
      <c r="M5528" t="s">
        <v>18958</v>
      </c>
      <c r="N5528" t="s">
        <v>23058</v>
      </c>
      <c r="O5528" t="s">
        <v>26534</v>
      </c>
      <c r="P5528" t="s">
        <v>26561</v>
      </c>
      <c r="R5528" t="s">
        <v>26578</v>
      </c>
      <c r="S5528" t="s">
        <v>18958</v>
      </c>
      <c r="U5528" t="s">
        <v>26604</v>
      </c>
      <c r="W5528" t="s">
        <v>737</v>
      </c>
      <c r="X5528">
        <v>856</v>
      </c>
      <c r="Y5528" t="s">
        <v>26652</v>
      </c>
      <c r="Z5528" t="s">
        <v>26663</v>
      </c>
      <c r="AB5528" t="s">
        <v>30993</v>
      </c>
      <c r="AD5528" t="s">
        <v>41317</v>
      </c>
      <c r="AE5528">
        <v>89</v>
      </c>
      <c r="AF5528" t="s">
        <v>45541</v>
      </c>
      <c r="AH5528">
        <v>16</v>
      </c>
      <c r="AI5528">
        <v>1</v>
      </c>
      <c r="AJ5528">
        <v>0</v>
      </c>
      <c r="AK5528">
        <v>320.26</v>
      </c>
      <c r="AN5528" t="s">
        <v>7439</v>
      </c>
      <c r="AO5528">
        <v>40000</v>
      </c>
      <c r="AU5528">
        <v>1.3</v>
      </c>
      <c r="AV5528" t="s">
        <v>809</v>
      </c>
      <c r="AW5528" t="s">
        <v>219</v>
      </c>
    </row>
    <row r="5529" spans="1:49">
      <c r="A5529" s="1">
        <f>HYPERLINK("https://lsnyc.legalserver.org/matter/dynamic-profile/view/1891795","19-1891795")</f>
        <v>0</v>
      </c>
      <c r="B5529" t="s">
        <v>147</v>
      </c>
      <c r="C5529" t="s">
        <v>340</v>
      </c>
      <c r="D5529" t="s">
        <v>728</v>
      </c>
      <c r="F5529" t="s">
        <v>1283</v>
      </c>
      <c r="G5529" t="s">
        <v>7674</v>
      </c>
      <c r="H5529" t="s">
        <v>10474</v>
      </c>
      <c r="J5529" t="s">
        <v>18894</v>
      </c>
      <c r="K5529">
        <v>11225</v>
      </c>
      <c r="L5529" t="s">
        <v>18958</v>
      </c>
      <c r="M5529" t="s">
        <v>18958</v>
      </c>
      <c r="N5529" t="s">
        <v>23059</v>
      </c>
      <c r="O5529" t="s">
        <v>26534</v>
      </c>
      <c r="P5529" t="s">
        <v>26561</v>
      </c>
      <c r="R5529" t="s">
        <v>26578</v>
      </c>
      <c r="S5529" t="s">
        <v>18958</v>
      </c>
      <c r="U5529" t="s">
        <v>26604</v>
      </c>
      <c r="W5529" t="s">
        <v>737</v>
      </c>
      <c r="X5529">
        <v>1552.37</v>
      </c>
      <c r="Y5529" t="s">
        <v>26652</v>
      </c>
      <c r="Z5529" t="s">
        <v>26663</v>
      </c>
      <c r="AB5529" t="s">
        <v>31146</v>
      </c>
      <c r="AD5529" t="s">
        <v>41318</v>
      </c>
      <c r="AE5529">
        <v>89</v>
      </c>
      <c r="AF5529" t="s">
        <v>45541</v>
      </c>
      <c r="AH5529">
        <v>3</v>
      </c>
      <c r="AI5529">
        <v>1</v>
      </c>
      <c r="AJ5529">
        <v>0</v>
      </c>
      <c r="AK5529">
        <v>528.42</v>
      </c>
      <c r="AN5529" t="s">
        <v>7439</v>
      </c>
      <c r="AO5529">
        <v>66000</v>
      </c>
      <c r="AU5529">
        <v>0.2</v>
      </c>
      <c r="AV5529" t="s">
        <v>753</v>
      </c>
      <c r="AW5529" t="s">
        <v>219</v>
      </c>
    </row>
    <row r="5530" spans="1:49">
      <c r="A5530" s="1">
        <f>HYPERLINK("https://lsnyc.legalserver.org/matter/dynamic-profile/view/1891818","19-1891818")</f>
        <v>0</v>
      </c>
      <c r="B5530" t="s">
        <v>147</v>
      </c>
      <c r="C5530" t="s">
        <v>340</v>
      </c>
      <c r="D5530" t="s">
        <v>728</v>
      </c>
      <c r="F5530" t="s">
        <v>3443</v>
      </c>
      <c r="G5530" t="s">
        <v>7721</v>
      </c>
      <c r="H5530" t="s">
        <v>10474</v>
      </c>
      <c r="I5530" t="s">
        <v>17468</v>
      </c>
      <c r="J5530" t="s">
        <v>18894</v>
      </c>
      <c r="K5530">
        <v>11225</v>
      </c>
      <c r="L5530" t="s">
        <v>18958</v>
      </c>
      <c r="M5530" t="s">
        <v>18958</v>
      </c>
      <c r="N5530" t="s">
        <v>23059</v>
      </c>
      <c r="O5530" t="s">
        <v>26534</v>
      </c>
      <c r="P5530" t="s">
        <v>26561</v>
      </c>
      <c r="R5530" t="s">
        <v>26578</v>
      </c>
      <c r="S5530" t="s">
        <v>18958</v>
      </c>
      <c r="U5530" t="s">
        <v>26604</v>
      </c>
      <c r="W5530" t="s">
        <v>737</v>
      </c>
      <c r="X5530">
        <v>1740.79</v>
      </c>
      <c r="Y5530" t="s">
        <v>26652</v>
      </c>
      <c r="Z5530" t="s">
        <v>26663</v>
      </c>
      <c r="AB5530" t="s">
        <v>31147</v>
      </c>
      <c r="AD5530" t="s">
        <v>41319</v>
      </c>
      <c r="AE5530">
        <v>89</v>
      </c>
      <c r="AF5530" t="s">
        <v>45541</v>
      </c>
      <c r="AH5530">
        <v>7</v>
      </c>
      <c r="AI5530">
        <v>1</v>
      </c>
      <c r="AJ5530">
        <v>0</v>
      </c>
      <c r="AK5530">
        <v>6245</v>
      </c>
      <c r="AN5530" t="s">
        <v>7439</v>
      </c>
      <c r="AO5530">
        <v>780000</v>
      </c>
      <c r="AU5530">
        <v>0</v>
      </c>
      <c r="AW5530" t="s">
        <v>219</v>
      </c>
    </row>
    <row r="5531" spans="1:49">
      <c r="A5531" s="1">
        <f>HYPERLINK("https://lsnyc.legalserver.org/matter/dynamic-profile/view/1892931","19-1892931")</f>
        <v>0</v>
      </c>
      <c r="B5531" t="s">
        <v>147</v>
      </c>
      <c r="C5531" t="s">
        <v>340</v>
      </c>
      <c r="D5531" t="s">
        <v>753</v>
      </c>
      <c r="F5531" t="s">
        <v>1024</v>
      </c>
      <c r="G5531" t="s">
        <v>7720</v>
      </c>
      <c r="H5531" t="s">
        <v>10474</v>
      </c>
      <c r="I5531" t="s">
        <v>18262</v>
      </c>
      <c r="J5531" t="s">
        <v>18894</v>
      </c>
      <c r="K5531">
        <v>11225</v>
      </c>
      <c r="L5531" t="s">
        <v>18958</v>
      </c>
      <c r="M5531" t="s">
        <v>18958</v>
      </c>
      <c r="N5531" t="s">
        <v>23059</v>
      </c>
      <c r="O5531" t="s">
        <v>26534</v>
      </c>
      <c r="P5531" t="s">
        <v>26561</v>
      </c>
      <c r="R5531" t="s">
        <v>26578</v>
      </c>
      <c r="S5531" t="s">
        <v>18958</v>
      </c>
      <c r="U5531" t="s">
        <v>26604</v>
      </c>
      <c r="W5531" t="s">
        <v>737</v>
      </c>
      <c r="X5531">
        <v>0</v>
      </c>
      <c r="Y5531" t="s">
        <v>26652</v>
      </c>
      <c r="Z5531" t="s">
        <v>26663</v>
      </c>
      <c r="AB5531" t="s">
        <v>30993</v>
      </c>
      <c r="AD5531" t="s">
        <v>41317</v>
      </c>
      <c r="AE5531">
        <v>86</v>
      </c>
      <c r="AF5531" t="s">
        <v>45541</v>
      </c>
      <c r="AH5531">
        <v>16</v>
      </c>
      <c r="AI5531">
        <v>1</v>
      </c>
      <c r="AJ5531">
        <v>0</v>
      </c>
      <c r="AK5531">
        <v>320.26</v>
      </c>
      <c r="AN5531" t="s">
        <v>7439</v>
      </c>
      <c r="AO5531">
        <v>40000</v>
      </c>
      <c r="AU5531">
        <v>6.2</v>
      </c>
      <c r="AV5531" t="s">
        <v>821</v>
      </c>
      <c r="AW5531" t="s">
        <v>219</v>
      </c>
    </row>
    <row r="5532" spans="1:49">
      <c r="A5532" s="1">
        <f>HYPERLINK("https://lsnyc.legalserver.org/matter/dynamic-profile/view/1892920","19-1892920")</f>
        <v>0</v>
      </c>
      <c r="B5532" t="s">
        <v>147</v>
      </c>
      <c r="C5532" t="s">
        <v>340</v>
      </c>
      <c r="D5532" t="s">
        <v>753</v>
      </c>
      <c r="F5532" t="s">
        <v>3443</v>
      </c>
      <c r="G5532" t="s">
        <v>7721</v>
      </c>
      <c r="H5532" t="s">
        <v>10474</v>
      </c>
      <c r="I5532" t="s">
        <v>17468</v>
      </c>
      <c r="J5532" t="s">
        <v>18894</v>
      </c>
      <c r="K5532">
        <v>11225</v>
      </c>
      <c r="L5532" t="s">
        <v>18958</v>
      </c>
      <c r="M5532" t="s">
        <v>18958</v>
      </c>
      <c r="N5532" t="s">
        <v>23058</v>
      </c>
      <c r="O5532" t="s">
        <v>26534</v>
      </c>
      <c r="P5532" t="s">
        <v>26560</v>
      </c>
      <c r="R5532" t="s">
        <v>26578</v>
      </c>
      <c r="S5532" t="s">
        <v>18958</v>
      </c>
      <c r="U5532" t="s">
        <v>26604</v>
      </c>
      <c r="W5532" t="s">
        <v>737</v>
      </c>
      <c r="X5532">
        <v>1740.79</v>
      </c>
      <c r="Y5532" t="s">
        <v>26652</v>
      </c>
      <c r="Z5532" t="s">
        <v>26663</v>
      </c>
      <c r="AB5532" t="s">
        <v>31147</v>
      </c>
      <c r="AD5532" t="s">
        <v>41319</v>
      </c>
      <c r="AE5532">
        <v>89</v>
      </c>
      <c r="AF5532" t="s">
        <v>45541</v>
      </c>
      <c r="AH5532">
        <v>7</v>
      </c>
      <c r="AI5532">
        <v>1</v>
      </c>
      <c r="AJ5532">
        <v>0</v>
      </c>
      <c r="AK5532">
        <v>520.42</v>
      </c>
      <c r="AN5532" t="s">
        <v>7439</v>
      </c>
      <c r="AO5532">
        <v>65000</v>
      </c>
      <c r="AU5532">
        <v>0</v>
      </c>
      <c r="AW5532" t="s">
        <v>219</v>
      </c>
    </row>
    <row r="5533" spans="1:49">
      <c r="A5533" s="1">
        <f>HYPERLINK("https://lsnyc.legalserver.org/matter/dynamic-profile/view/1892956","19-1892956")</f>
        <v>0</v>
      </c>
      <c r="B5533" t="s">
        <v>147</v>
      </c>
      <c r="C5533" t="s">
        <v>340</v>
      </c>
      <c r="D5533" t="s">
        <v>753</v>
      </c>
      <c r="F5533" t="s">
        <v>1283</v>
      </c>
      <c r="G5533" t="s">
        <v>7674</v>
      </c>
      <c r="H5533" t="s">
        <v>10474</v>
      </c>
      <c r="J5533" t="s">
        <v>18894</v>
      </c>
      <c r="K5533">
        <v>11225</v>
      </c>
      <c r="L5533" t="s">
        <v>18958</v>
      </c>
      <c r="M5533" t="s">
        <v>18958</v>
      </c>
      <c r="N5533" t="s">
        <v>23058</v>
      </c>
      <c r="O5533" t="s">
        <v>26534</v>
      </c>
      <c r="P5533" t="s">
        <v>26560</v>
      </c>
      <c r="R5533" t="s">
        <v>26578</v>
      </c>
      <c r="S5533" t="s">
        <v>18958</v>
      </c>
      <c r="U5533" t="s">
        <v>26604</v>
      </c>
      <c r="W5533" t="s">
        <v>737</v>
      </c>
      <c r="X5533">
        <v>1552.37</v>
      </c>
      <c r="Y5533" t="s">
        <v>26652</v>
      </c>
      <c r="Z5533" t="s">
        <v>26663</v>
      </c>
      <c r="AB5533" t="s">
        <v>31146</v>
      </c>
      <c r="AD5533" t="s">
        <v>41318</v>
      </c>
      <c r="AE5533">
        <v>89</v>
      </c>
      <c r="AF5533" t="s">
        <v>45541</v>
      </c>
      <c r="AH5533">
        <v>3</v>
      </c>
      <c r="AI5533">
        <v>1</v>
      </c>
      <c r="AJ5533">
        <v>0</v>
      </c>
      <c r="AK5533">
        <v>528.42</v>
      </c>
      <c r="AN5533" t="s">
        <v>7439</v>
      </c>
      <c r="AO5533">
        <v>66000</v>
      </c>
      <c r="AU5533">
        <v>0</v>
      </c>
      <c r="AW5533" t="s">
        <v>219</v>
      </c>
    </row>
    <row r="5534" spans="1:49">
      <c r="A5534" s="1">
        <f>HYPERLINK("https://lsnyc.legalserver.org/matter/dynamic-profile/view/1892946","19-1892946")</f>
        <v>0</v>
      </c>
      <c r="B5534" t="s">
        <v>147</v>
      </c>
      <c r="C5534" t="s">
        <v>340</v>
      </c>
      <c r="D5534" t="s">
        <v>753</v>
      </c>
      <c r="F5534" t="s">
        <v>948</v>
      </c>
      <c r="G5534" t="s">
        <v>5761</v>
      </c>
      <c r="H5534" t="s">
        <v>10474</v>
      </c>
      <c r="I5534" t="s">
        <v>18263</v>
      </c>
      <c r="J5534" t="s">
        <v>18894</v>
      </c>
      <c r="K5534">
        <v>11225</v>
      </c>
      <c r="L5534" t="s">
        <v>18958</v>
      </c>
      <c r="M5534" t="s">
        <v>18958</v>
      </c>
      <c r="N5534" t="s">
        <v>23058</v>
      </c>
      <c r="O5534" t="s">
        <v>26534</v>
      </c>
      <c r="P5534" t="s">
        <v>26560</v>
      </c>
      <c r="R5534" t="s">
        <v>26578</v>
      </c>
      <c r="S5534" t="s">
        <v>18958</v>
      </c>
      <c r="U5534" t="s">
        <v>26604</v>
      </c>
      <c r="V5534" t="s">
        <v>26610</v>
      </c>
      <c r="W5534" t="s">
        <v>737</v>
      </c>
      <c r="X5534">
        <v>1510</v>
      </c>
      <c r="Y5534" t="s">
        <v>26652</v>
      </c>
      <c r="Z5534" t="s">
        <v>26663</v>
      </c>
      <c r="AB5534" t="s">
        <v>31148</v>
      </c>
      <c r="AD5534" t="s">
        <v>41320</v>
      </c>
      <c r="AE5534">
        <v>86</v>
      </c>
      <c r="AF5534" t="s">
        <v>45541</v>
      </c>
      <c r="AH5534">
        <v>5</v>
      </c>
      <c r="AI5534">
        <v>1</v>
      </c>
      <c r="AJ5534">
        <v>0</v>
      </c>
      <c r="AK5534">
        <v>800.64</v>
      </c>
      <c r="AN5534" t="s">
        <v>7439</v>
      </c>
      <c r="AO5534">
        <v>100000</v>
      </c>
      <c r="AU5534">
        <v>0</v>
      </c>
      <c r="AW5534" t="s">
        <v>219</v>
      </c>
    </row>
    <row r="5535" spans="1:49">
      <c r="A5535" s="1">
        <f>HYPERLINK("https://lsnyc.legalserver.org/matter/dynamic-profile/view/1886127","18-1886127")</f>
        <v>0</v>
      </c>
      <c r="B5535" t="s">
        <v>87</v>
      </c>
      <c r="C5535" t="s">
        <v>340</v>
      </c>
      <c r="D5535" t="s">
        <v>692</v>
      </c>
      <c r="F5535" t="s">
        <v>1128</v>
      </c>
      <c r="G5535" t="s">
        <v>7722</v>
      </c>
      <c r="H5535" t="s">
        <v>13707</v>
      </c>
      <c r="I5535" t="s">
        <v>17288</v>
      </c>
      <c r="J5535" t="s">
        <v>18892</v>
      </c>
      <c r="K5535">
        <v>10468</v>
      </c>
      <c r="L5535" t="s">
        <v>18958</v>
      </c>
      <c r="M5535" t="s">
        <v>18958</v>
      </c>
      <c r="N5535" t="s">
        <v>23060</v>
      </c>
      <c r="O5535" t="s">
        <v>26523</v>
      </c>
      <c r="P5535" t="s">
        <v>26560</v>
      </c>
      <c r="R5535" t="s">
        <v>26579</v>
      </c>
      <c r="U5535" t="s">
        <v>26604</v>
      </c>
      <c r="V5535" t="s">
        <v>26610</v>
      </c>
      <c r="W5535" t="s">
        <v>731</v>
      </c>
      <c r="X5535">
        <v>743</v>
      </c>
      <c r="Y5535" t="s">
        <v>26650</v>
      </c>
      <c r="Z5535" t="s">
        <v>26530</v>
      </c>
      <c r="AB5535" t="s">
        <v>31149</v>
      </c>
      <c r="AE5535">
        <v>0</v>
      </c>
      <c r="AF5535" t="s">
        <v>45543</v>
      </c>
      <c r="AG5535" t="s">
        <v>45556</v>
      </c>
      <c r="AH5535">
        <v>35</v>
      </c>
      <c r="AI5535">
        <v>1</v>
      </c>
      <c r="AJ5535">
        <v>0</v>
      </c>
      <c r="AK5535">
        <v>52.94</v>
      </c>
      <c r="AN5535" t="s">
        <v>7439</v>
      </c>
      <c r="AO5535">
        <v>6427.2</v>
      </c>
      <c r="AU5535">
        <v>6.5</v>
      </c>
      <c r="AV5535" t="s">
        <v>807</v>
      </c>
      <c r="AW5535" t="s">
        <v>46846</v>
      </c>
    </row>
    <row r="5536" spans="1:49">
      <c r="A5536" s="1">
        <f>HYPERLINK("https://lsnyc.legalserver.org/matter/dynamic-profile/view/1887469","19-1887469")</f>
        <v>0</v>
      </c>
      <c r="B5536" t="s">
        <v>102</v>
      </c>
      <c r="C5536" t="s">
        <v>340</v>
      </c>
      <c r="D5536" t="s">
        <v>414</v>
      </c>
      <c r="F5536" t="s">
        <v>998</v>
      </c>
      <c r="G5536" t="s">
        <v>7723</v>
      </c>
      <c r="H5536" t="s">
        <v>13708</v>
      </c>
      <c r="I5536" t="s">
        <v>17578</v>
      </c>
      <c r="J5536" t="s">
        <v>18902</v>
      </c>
      <c r="K5536">
        <v>10304</v>
      </c>
      <c r="L5536" t="s">
        <v>18958</v>
      </c>
      <c r="M5536" t="s">
        <v>18958</v>
      </c>
      <c r="N5536" t="s">
        <v>23061</v>
      </c>
      <c r="O5536" t="s">
        <v>26523</v>
      </c>
      <c r="P5536" t="s">
        <v>26565</v>
      </c>
      <c r="R5536" t="s">
        <v>26578</v>
      </c>
      <c r="S5536" t="s">
        <v>18959</v>
      </c>
      <c r="U5536" t="s">
        <v>26604</v>
      </c>
      <c r="W5536" t="s">
        <v>731</v>
      </c>
      <c r="X5536">
        <v>1540</v>
      </c>
      <c r="Y5536" t="s">
        <v>26654</v>
      </c>
      <c r="AB5536" t="s">
        <v>31150</v>
      </c>
      <c r="AE5536">
        <v>3</v>
      </c>
      <c r="AH5536">
        <v>0</v>
      </c>
      <c r="AI5536">
        <v>2</v>
      </c>
      <c r="AJ5536">
        <v>2</v>
      </c>
      <c r="AK5536">
        <v>186.45</v>
      </c>
      <c r="AN5536" t="s">
        <v>45581</v>
      </c>
      <c r="AO5536">
        <v>46800</v>
      </c>
      <c r="AU5536">
        <v>1.5</v>
      </c>
      <c r="AV5536" t="s">
        <v>731</v>
      </c>
      <c r="AW5536" t="s">
        <v>46850</v>
      </c>
    </row>
    <row r="5537" spans="1:50">
      <c r="A5537" s="1">
        <f>HYPERLINK("https://lsnyc.legalserver.org/matter/dynamic-profile/view/1888708","19-1888708")</f>
        <v>0</v>
      </c>
      <c r="B5537" t="s">
        <v>57</v>
      </c>
      <c r="C5537" t="s">
        <v>340</v>
      </c>
      <c r="D5537" t="s">
        <v>698</v>
      </c>
      <c r="F5537" t="s">
        <v>1822</v>
      </c>
      <c r="G5537" t="s">
        <v>5311</v>
      </c>
      <c r="H5537" t="s">
        <v>13709</v>
      </c>
      <c r="I5537">
        <v>2</v>
      </c>
      <c r="J5537" t="s">
        <v>18892</v>
      </c>
      <c r="K5537">
        <v>10457</v>
      </c>
      <c r="L5537" t="s">
        <v>18958</v>
      </c>
      <c r="M5537" t="s">
        <v>18958</v>
      </c>
      <c r="N5537" t="s">
        <v>23062</v>
      </c>
      <c r="O5537" t="s">
        <v>26523</v>
      </c>
      <c r="P5537" t="s">
        <v>26560</v>
      </c>
      <c r="R5537" t="s">
        <v>26579</v>
      </c>
      <c r="S5537" t="s">
        <v>18959</v>
      </c>
      <c r="U5537" t="s">
        <v>26604</v>
      </c>
      <c r="V5537" t="s">
        <v>26610</v>
      </c>
      <c r="W5537" t="s">
        <v>731</v>
      </c>
      <c r="X5537">
        <v>2395</v>
      </c>
      <c r="Y5537" t="s">
        <v>26650</v>
      </c>
      <c r="Z5537" t="s">
        <v>26664</v>
      </c>
      <c r="AB5537" t="s">
        <v>31151</v>
      </c>
      <c r="AD5537" t="s">
        <v>41321</v>
      </c>
      <c r="AE5537">
        <v>0</v>
      </c>
      <c r="AH5537">
        <v>0</v>
      </c>
      <c r="AI5537">
        <v>4</v>
      </c>
      <c r="AJ5537">
        <v>0</v>
      </c>
      <c r="AK5537">
        <v>118.06</v>
      </c>
      <c r="AN5537" t="s">
        <v>45581</v>
      </c>
      <c r="AO5537">
        <v>30400</v>
      </c>
      <c r="AU5537">
        <v>7.3</v>
      </c>
      <c r="AV5537" t="s">
        <v>763</v>
      </c>
      <c r="AW5537" t="s">
        <v>334</v>
      </c>
      <c r="AX5537" t="s">
        <v>46897</v>
      </c>
    </row>
    <row r="5538" spans="1:50">
      <c r="A5538" s="1">
        <f>HYPERLINK("https://lsnyc.legalserver.org/matter/dynamic-profile/view/1890123","19-1890123")</f>
        <v>0</v>
      </c>
      <c r="B5538" t="s">
        <v>98</v>
      </c>
      <c r="C5538" t="s">
        <v>341</v>
      </c>
      <c r="D5538" t="s">
        <v>710</v>
      </c>
      <c r="E5538" t="s">
        <v>753</v>
      </c>
      <c r="F5538" t="s">
        <v>2825</v>
      </c>
      <c r="G5538" t="s">
        <v>7724</v>
      </c>
      <c r="H5538" t="s">
        <v>13710</v>
      </c>
      <c r="I5538" t="s">
        <v>17643</v>
      </c>
      <c r="J5538" t="s">
        <v>18892</v>
      </c>
      <c r="K5538">
        <v>10453</v>
      </c>
      <c r="L5538" t="s">
        <v>18958</v>
      </c>
      <c r="M5538" t="s">
        <v>18958</v>
      </c>
      <c r="O5538" t="s">
        <v>18997</v>
      </c>
      <c r="P5538" t="s">
        <v>26564</v>
      </c>
      <c r="Q5538" t="s">
        <v>26570</v>
      </c>
      <c r="R5538" t="s">
        <v>26578</v>
      </c>
      <c r="S5538" t="s">
        <v>18959</v>
      </c>
      <c r="U5538" t="s">
        <v>26604</v>
      </c>
      <c r="W5538" t="s">
        <v>731</v>
      </c>
      <c r="X5538">
        <v>986.5</v>
      </c>
      <c r="Y5538" t="s">
        <v>26650</v>
      </c>
      <c r="Z5538" t="s">
        <v>26663</v>
      </c>
      <c r="AA5538" t="s">
        <v>26683</v>
      </c>
      <c r="AB5538" t="s">
        <v>31152</v>
      </c>
      <c r="AD5538" t="s">
        <v>41322</v>
      </c>
      <c r="AE5538">
        <v>71</v>
      </c>
      <c r="AF5538" t="s">
        <v>45541</v>
      </c>
      <c r="AG5538" t="s">
        <v>19330</v>
      </c>
      <c r="AH5538">
        <v>34</v>
      </c>
      <c r="AI5538">
        <v>2</v>
      </c>
      <c r="AJ5538">
        <v>0</v>
      </c>
      <c r="AK5538">
        <v>95.8</v>
      </c>
      <c r="AN5538" t="s">
        <v>45581</v>
      </c>
      <c r="AO5538">
        <v>16200</v>
      </c>
      <c r="AU5538">
        <v>1.7</v>
      </c>
      <c r="AV5538" t="s">
        <v>753</v>
      </c>
      <c r="AW5538" t="s">
        <v>46849</v>
      </c>
    </row>
    <row r="5539" spans="1:50">
      <c r="A5539" s="1">
        <f>HYPERLINK("https://lsnyc.legalserver.org/matter/dynamic-profile/view/1890646","19-1890646")</f>
        <v>0</v>
      </c>
      <c r="B5539" t="s">
        <v>187</v>
      </c>
      <c r="C5539" t="s">
        <v>340</v>
      </c>
      <c r="D5539" t="s">
        <v>745</v>
      </c>
      <c r="F5539" t="s">
        <v>899</v>
      </c>
      <c r="G5539" t="s">
        <v>7725</v>
      </c>
      <c r="H5539" t="s">
        <v>13573</v>
      </c>
      <c r="I5539" t="s">
        <v>17440</v>
      </c>
      <c r="J5539" t="s">
        <v>18895</v>
      </c>
      <c r="K5539">
        <v>10467</v>
      </c>
      <c r="L5539" t="s">
        <v>18958</v>
      </c>
      <c r="M5539" t="s">
        <v>18958</v>
      </c>
      <c r="N5539" t="s">
        <v>23063</v>
      </c>
      <c r="O5539" t="s">
        <v>26523</v>
      </c>
      <c r="P5539" t="s">
        <v>26560</v>
      </c>
      <c r="R5539" t="s">
        <v>26579</v>
      </c>
      <c r="S5539" t="s">
        <v>18959</v>
      </c>
      <c r="U5539" t="s">
        <v>26606</v>
      </c>
      <c r="V5539" t="s">
        <v>26610</v>
      </c>
      <c r="W5539" t="s">
        <v>731</v>
      </c>
      <c r="X5539">
        <v>252</v>
      </c>
      <c r="Y5539" t="s">
        <v>26650</v>
      </c>
      <c r="Z5539" t="s">
        <v>26668</v>
      </c>
      <c r="AB5539" t="s">
        <v>31153</v>
      </c>
      <c r="AC5539" t="s">
        <v>36003</v>
      </c>
      <c r="AD5539" t="s">
        <v>41323</v>
      </c>
      <c r="AE5539">
        <v>0</v>
      </c>
      <c r="AF5539" t="s">
        <v>45549</v>
      </c>
      <c r="AG5539" t="s">
        <v>19330</v>
      </c>
      <c r="AH5539">
        <v>1</v>
      </c>
      <c r="AI5539">
        <v>1</v>
      </c>
      <c r="AJ5539">
        <v>1</v>
      </c>
      <c r="AK5539">
        <v>0</v>
      </c>
      <c r="AN5539" t="s">
        <v>7439</v>
      </c>
      <c r="AO5539">
        <v>0</v>
      </c>
      <c r="AU5539">
        <v>5.1</v>
      </c>
      <c r="AV5539" t="s">
        <v>838</v>
      </c>
      <c r="AW5539" t="s">
        <v>46832</v>
      </c>
    </row>
    <row r="5540" spans="1:50">
      <c r="A5540" s="1">
        <f>HYPERLINK("https://lsnyc.legalserver.org/matter/dynamic-profile/view/1890706","19-1890706")</f>
        <v>0</v>
      </c>
      <c r="B5540" t="s">
        <v>165</v>
      </c>
      <c r="C5540" t="s">
        <v>340</v>
      </c>
      <c r="D5540" t="s">
        <v>737</v>
      </c>
      <c r="F5540" t="s">
        <v>2120</v>
      </c>
      <c r="G5540" t="s">
        <v>7726</v>
      </c>
      <c r="H5540" t="s">
        <v>13711</v>
      </c>
      <c r="I5540" t="s">
        <v>17348</v>
      </c>
      <c r="J5540" t="s">
        <v>18893</v>
      </c>
      <c r="K5540">
        <v>10026</v>
      </c>
      <c r="L5540" t="s">
        <v>18958</v>
      </c>
      <c r="M5540" t="s">
        <v>18958</v>
      </c>
      <c r="N5540" t="s">
        <v>23064</v>
      </c>
      <c r="O5540" t="s">
        <v>26523</v>
      </c>
      <c r="P5540" t="s">
        <v>26560</v>
      </c>
      <c r="R5540" t="s">
        <v>26580</v>
      </c>
      <c r="S5540" t="s">
        <v>18959</v>
      </c>
      <c r="U5540" t="s">
        <v>26604</v>
      </c>
      <c r="W5540" t="s">
        <v>731</v>
      </c>
      <c r="X5540">
        <v>1043.47</v>
      </c>
      <c r="Y5540" t="s">
        <v>26651</v>
      </c>
      <c r="Z5540" t="s">
        <v>26668</v>
      </c>
      <c r="AB5540" t="s">
        <v>31154</v>
      </c>
      <c r="AD5540" t="s">
        <v>41324</v>
      </c>
      <c r="AE5540">
        <v>0</v>
      </c>
      <c r="AF5540" t="s">
        <v>45541</v>
      </c>
      <c r="AG5540" t="s">
        <v>19330</v>
      </c>
      <c r="AH5540">
        <v>25</v>
      </c>
      <c r="AI5540">
        <v>2</v>
      </c>
      <c r="AJ5540">
        <v>2</v>
      </c>
      <c r="AK5540">
        <v>116.5</v>
      </c>
      <c r="AN5540" t="s">
        <v>7439</v>
      </c>
      <c r="AO5540">
        <v>30000</v>
      </c>
      <c r="AU5540">
        <v>7.7</v>
      </c>
      <c r="AV5540" t="s">
        <v>828</v>
      </c>
      <c r="AW5540" t="s">
        <v>46875</v>
      </c>
    </row>
    <row r="5541" spans="1:50">
      <c r="A5541" s="1">
        <f>HYPERLINK("https://lsnyc.legalserver.org/matter/dynamic-profile/view/1890803","19-1890803")</f>
        <v>0</v>
      </c>
      <c r="B5541" t="s">
        <v>187</v>
      </c>
      <c r="C5541" t="s">
        <v>340</v>
      </c>
      <c r="D5541" t="s">
        <v>737</v>
      </c>
      <c r="F5541" t="s">
        <v>3444</v>
      </c>
      <c r="G5541" t="s">
        <v>7727</v>
      </c>
      <c r="H5541" t="s">
        <v>13712</v>
      </c>
      <c r="I5541" t="s">
        <v>17344</v>
      </c>
      <c r="J5541" t="s">
        <v>18892</v>
      </c>
      <c r="K5541">
        <v>10451</v>
      </c>
      <c r="L5541" t="s">
        <v>18958</v>
      </c>
      <c r="M5541" t="s">
        <v>18958</v>
      </c>
      <c r="N5541" t="s">
        <v>23065</v>
      </c>
      <c r="O5541" t="s">
        <v>26523</v>
      </c>
      <c r="P5541" t="s">
        <v>26560</v>
      </c>
      <c r="R5541" t="s">
        <v>26577</v>
      </c>
      <c r="S5541" t="s">
        <v>18959</v>
      </c>
      <c r="U5541" t="s">
        <v>26604</v>
      </c>
      <c r="V5541" t="s">
        <v>26610</v>
      </c>
      <c r="W5541" t="s">
        <v>731</v>
      </c>
      <c r="X5541">
        <v>1309.16</v>
      </c>
      <c r="Y5541" t="s">
        <v>26650</v>
      </c>
      <c r="Z5541" t="s">
        <v>26664</v>
      </c>
      <c r="AB5541" t="s">
        <v>31155</v>
      </c>
      <c r="AD5541" t="s">
        <v>41325</v>
      </c>
      <c r="AE5541">
        <v>0</v>
      </c>
      <c r="AF5541" t="s">
        <v>20460</v>
      </c>
      <c r="AG5541" t="s">
        <v>19330</v>
      </c>
      <c r="AH5541">
        <v>4</v>
      </c>
      <c r="AI5541">
        <v>1</v>
      </c>
      <c r="AJ5541">
        <v>3</v>
      </c>
      <c r="AK5541">
        <v>0</v>
      </c>
      <c r="AN5541" t="s">
        <v>45581</v>
      </c>
      <c r="AO5541">
        <v>0</v>
      </c>
      <c r="AU5541">
        <v>7.9</v>
      </c>
      <c r="AV5541" t="s">
        <v>764</v>
      </c>
      <c r="AW5541" t="s">
        <v>46832</v>
      </c>
    </row>
    <row r="5542" spans="1:50">
      <c r="A5542" s="1">
        <f>HYPERLINK("https://lsnyc.legalserver.org/matter/dynamic-profile/view/1890937","19-1890937")</f>
        <v>0</v>
      </c>
      <c r="B5542" t="s">
        <v>130</v>
      </c>
      <c r="C5542" t="s">
        <v>341</v>
      </c>
      <c r="D5542" t="s">
        <v>731</v>
      </c>
      <c r="E5542" t="s">
        <v>769</v>
      </c>
      <c r="F5542" t="s">
        <v>3445</v>
      </c>
      <c r="G5542" t="s">
        <v>7728</v>
      </c>
      <c r="H5542" t="s">
        <v>13713</v>
      </c>
      <c r="I5542" t="s">
        <v>17301</v>
      </c>
      <c r="J5542" t="s">
        <v>18901</v>
      </c>
      <c r="K5542">
        <v>11435</v>
      </c>
      <c r="L5542" t="s">
        <v>18958</v>
      </c>
      <c r="M5542" t="s">
        <v>18958</v>
      </c>
      <c r="N5542" t="s">
        <v>23066</v>
      </c>
      <c r="O5542" t="s">
        <v>26523</v>
      </c>
      <c r="P5542" t="s">
        <v>26560</v>
      </c>
      <c r="Q5542" t="s">
        <v>26568</v>
      </c>
      <c r="R5542" t="s">
        <v>26584</v>
      </c>
      <c r="S5542" t="s">
        <v>18959</v>
      </c>
      <c r="U5542" t="s">
        <v>26604</v>
      </c>
      <c r="V5542" t="s">
        <v>26614</v>
      </c>
      <c r="W5542" t="s">
        <v>731</v>
      </c>
      <c r="X5542">
        <v>1534</v>
      </c>
      <c r="Y5542" t="s">
        <v>26653</v>
      </c>
      <c r="Z5542" t="s">
        <v>26664</v>
      </c>
      <c r="AA5542" t="s">
        <v>26681</v>
      </c>
      <c r="AB5542" t="s">
        <v>31156</v>
      </c>
      <c r="AC5542" t="s">
        <v>36004</v>
      </c>
      <c r="AD5542" t="s">
        <v>41326</v>
      </c>
      <c r="AE5542">
        <v>24</v>
      </c>
      <c r="AF5542" t="s">
        <v>45541</v>
      </c>
      <c r="AG5542" t="s">
        <v>45558</v>
      </c>
      <c r="AH5542">
        <v>2</v>
      </c>
      <c r="AI5542">
        <v>2</v>
      </c>
      <c r="AJ5542">
        <v>3</v>
      </c>
      <c r="AK5542">
        <v>60.32</v>
      </c>
      <c r="AN5542" t="s">
        <v>45613</v>
      </c>
      <c r="AO5542">
        <v>18200</v>
      </c>
      <c r="AQ5542" t="s">
        <v>46365</v>
      </c>
      <c r="AR5542" t="s">
        <v>26530</v>
      </c>
      <c r="AS5542" t="s">
        <v>46500</v>
      </c>
      <c r="AT5542" t="s">
        <v>46660</v>
      </c>
      <c r="AU5542">
        <v>54.25</v>
      </c>
      <c r="AV5542" t="s">
        <v>660</v>
      </c>
      <c r="AW5542" t="s">
        <v>208</v>
      </c>
    </row>
    <row r="5543" spans="1:50">
      <c r="A5543" s="1">
        <f>HYPERLINK("https://lsnyc.legalserver.org/matter/dynamic-profile/view/1890926","19-1890926")</f>
        <v>0</v>
      </c>
      <c r="B5543" t="s">
        <v>53</v>
      </c>
      <c r="C5543" t="s">
        <v>341</v>
      </c>
      <c r="D5543" t="s">
        <v>731</v>
      </c>
      <c r="E5543" t="s">
        <v>832</v>
      </c>
      <c r="F5543" t="s">
        <v>1798</v>
      </c>
      <c r="G5543" t="s">
        <v>6673</v>
      </c>
      <c r="H5543" t="s">
        <v>11602</v>
      </c>
      <c r="I5543" t="s">
        <v>17902</v>
      </c>
      <c r="J5543" t="s">
        <v>18892</v>
      </c>
      <c r="K5543">
        <v>10467</v>
      </c>
      <c r="L5543" t="s">
        <v>18958</v>
      </c>
      <c r="M5543" t="s">
        <v>18958</v>
      </c>
      <c r="N5543" t="s">
        <v>23067</v>
      </c>
      <c r="O5543" t="s">
        <v>26524</v>
      </c>
      <c r="P5543" t="s">
        <v>26560</v>
      </c>
      <c r="Q5543" t="s">
        <v>26568</v>
      </c>
      <c r="R5543" t="s">
        <v>26579</v>
      </c>
      <c r="S5543" t="s">
        <v>18959</v>
      </c>
      <c r="U5543" t="s">
        <v>26604</v>
      </c>
      <c r="V5543" t="s">
        <v>26610</v>
      </c>
      <c r="W5543" t="s">
        <v>731</v>
      </c>
      <c r="X5543">
        <v>1239.3</v>
      </c>
      <c r="Y5543" t="s">
        <v>26650</v>
      </c>
      <c r="Z5543" t="s">
        <v>26659</v>
      </c>
      <c r="AA5543" t="s">
        <v>26678</v>
      </c>
      <c r="AB5543" t="s">
        <v>29235</v>
      </c>
      <c r="AC5543" t="s">
        <v>35363</v>
      </c>
      <c r="AD5543" t="s">
        <v>39288</v>
      </c>
      <c r="AE5543">
        <v>48</v>
      </c>
      <c r="AF5543" t="s">
        <v>45541</v>
      </c>
      <c r="AG5543" t="s">
        <v>45557</v>
      </c>
      <c r="AH5543">
        <v>6</v>
      </c>
      <c r="AI5543">
        <v>1</v>
      </c>
      <c r="AJ5543">
        <v>6</v>
      </c>
      <c r="AK5543">
        <v>24</v>
      </c>
      <c r="AN5543" t="s">
        <v>45581</v>
      </c>
      <c r="AO5543">
        <v>9363.9</v>
      </c>
      <c r="AP5543" t="s">
        <v>45882</v>
      </c>
      <c r="AR5543" t="s">
        <v>46379</v>
      </c>
      <c r="AS5543" t="s">
        <v>46499</v>
      </c>
      <c r="AT5543" t="s">
        <v>46531</v>
      </c>
      <c r="AU5543">
        <v>3</v>
      </c>
      <c r="AV5543" t="s">
        <v>784</v>
      </c>
      <c r="AW5543" t="s">
        <v>53</v>
      </c>
    </row>
    <row r="5544" spans="1:50">
      <c r="A5544" s="1">
        <f>HYPERLINK("https://lsnyc.legalserver.org/matter/dynamic-profile/view/1890979","19-1890979")</f>
        <v>0</v>
      </c>
      <c r="B5544" t="s">
        <v>108</v>
      </c>
      <c r="C5544" t="s">
        <v>341</v>
      </c>
      <c r="D5544" t="s">
        <v>731</v>
      </c>
      <c r="E5544" t="s">
        <v>828</v>
      </c>
      <c r="F5544" t="s">
        <v>3446</v>
      </c>
      <c r="G5544" t="s">
        <v>7729</v>
      </c>
      <c r="H5544" t="s">
        <v>13714</v>
      </c>
      <c r="I5544" t="s">
        <v>18051</v>
      </c>
      <c r="J5544" t="s">
        <v>18920</v>
      </c>
      <c r="K5544">
        <v>11370</v>
      </c>
      <c r="L5544" t="s">
        <v>18958</v>
      </c>
      <c r="M5544" t="s">
        <v>18958</v>
      </c>
      <c r="N5544" t="s">
        <v>23068</v>
      </c>
      <c r="O5544" t="s">
        <v>26524</v>
      </c>
      <c r="P5544" t="s">
        <v>26564</v>
      </c>
      <c r="Q5544" t="s">
        <v>26570</v>
      </c>
      <c r="R5544" t="s">
        <v>26584</v>
      </c>
      <c r="S5544" t="s">
        <v>18959</v>
      </c>
      <c r="U5544" t="s">
        <v>26604</v>
      </c>
      <c r="V5544" t="s">
        <v>26611</v>
      </c>
      <c r="W5544" t="s">
        <v>731</v>
      </c>
      <c r="X5544">
        <v>2000</v>
      </c>
      <c r="Y5544" t="s">
        <v>26653</v>
      </c>
      <c r="Z5544" t="s">
        <v>26664</v>
      </c>
      <c r="AA5544" t="s">
        <v>26683</v>
      </c>
      <c r="AB5544" t="s">
        <v>31157</v>
      </c>
      <c r="AD5544" t="s">
        <v>41327</v>
      </c>
      <c r="AE5544">
        <v>3</v>
      </c>
      <c r="AF5544" t="s">
        <v>45547</v>
      </c>
      <c r="AG5544" t="s">
        <v>19330</v>
      </c>
      <c r="AH5544">
        <v>1</v>
      </c>
      <c r="AI5544">
        <v>1</v>
      </c>
      <c r="AJ5544">
        <v>1</v>
      </c>
      <c r="AK5544">
        <v>0</v>
      </c>
      <c r="AN5544" t="s">
        <v>45581</v>
      </c>
      <c r="AO5544">
        <v>0</v>
      </c>
      <c r="AU5544">
        <v>1</v>
      </c>
      <c r="AV5544" t="s">
        <v>747</v>
      </c>
      <c r="AW5544" t="s">
        <v>208</v>
      </c>
      <c r="AX5544" t="s">
        <v>46897</v>
      </c>
    </row>
    <row r="5545" spans="1:50">
      <c r="A5545" s="1">
        <f>HYPERLINK("https://lsnyc.legalserver.org/matter/dynamic-profile/view/1890933","19-1890933")</f>
        <v>0</v>
      </c>
      <c r="B5545" t="s">
        <v>258</v>
      </c>
      <c r="C5545" t="s">
        <v>341</v>
      </c>
      <c r="D5545" t="s">
        <v>731</v>
      </c>
      <c r="E5545" t="s">
        <v>822</v>
      </c>
      <c r="F5545" t="s">
        <v>1300</v>
      </c>
      <c r="G5545" t="s">
        <v>7730</v>
      </c>
      <c r="H5545" t="s">
        <v>13715</v>
      </c>
      <c r="I5545">
        <v>21</v>
      </c>
      <c r="J5545" t="s">
        <v>18900</v>
      </c>
      <c r="K5545">
        <v>11354</v>
      </c>
      <c r="L5545" t="s">
        <v>18958</v>
      </c>
      <c r="M5545" t="s">
        <v>18958</v>
      </c>
      <c r="N5545" t="s">
        <v>23069</v>
      </c>
      <c r="O5545" t="s">
        <v>26523</v>
      </c>
      <c r="P5545" t="s">
        <v>26564</v>
      </c>
      <c r="Q5545" t="s">
        <v>26570</v>
      </c>
      <c r="R5545" t="s">
        <v>26584</v>
      </c>
      <c r="S5545" t="s">
        <v>18959</v>
      </c>
      <c r="U5545" t="s">
        <v>26605</v>
      </c>
      <c r="V5545" t="s">
        <v>26610</v>
      </c>
      <c r="W5545" t="s">
        <v>731</v>
      </c>
      <c r="X5545">
        <v>528</v>
      </c>
      <c r="Y5545" t="s">
        <v>26653</v>
      </c>
      <c r="Z5545" t="s">
        <v>26664</v>
      </c>
      <c r="AA5545" t="s">
        <v>26683</v>
      </c>
      <c r="AB5545" t="s">
        <v>31158</v>
      </c>
      <c r="AC5545" t="s">
        <v>34738</v>
      </c>
      <c r="AD5545" t="s">
        <v>41328</v>
      </c>
      <c r="AE5545">
        <v>434</v>
      </c>
      <c r="AF5545" t="s">
        <v>45549</v>
      </c>
      <c r="AG5545" t="s">
        <v>19330</v>
      </c>
      <c r="AH5545">
        <v>-1</v>
      </c>
      <c r="AI5545">
        <v>1</v>
      </c>
      <c r="AJ5545">
        <v>1</v>
      </c>
      <c r="AK5545">
        <v>26.22</v>
      </c>
      <c r="AN5545" t="s">
        <v>7439</v>
      </c>
      <c r="AO5545">
        <v>4433</v>
      </c>
      <c r="AU5545">
        <v>1.1</v>
      </c>
      <c r="AV5545" t="s">
        <v>823</v>
      </c>
      <c r="AW5545" t="s">
        <v>208</v>
      </c>
      <c r="AX5545" t="s">
        <v>46897</v>
      </c>
    </row>
    <row r="5546" spans="1:50">
      <c r="A5546" s="1">
        <f>HYPERLINK("https://lsnyc.legalserver.org/matter/dynamic-profile/view/1890839","19-1890839")</f>
        <v>0</v>
      </c>
      <c r="B5546" t="s">
        <v>258</v>
      </c>
      <c r="C5546" t="s">
        <v>341</v>
      </c>
      <c r="D5546" t="s">
        <v>731</v>
      </c>
      <c r="E5546" t="s">
        <v>822</v>
      </c>
      <c r="F5546" t="s">
        <v>1136</v>
      </c>
      <c r="G5546" t="s">
        <v>7731</v>
      </c>
      <c r="H5546" t="s">
        <v>13716</v>
      </c>
      <c r="I5546" t="s">
        <v>17469</v>
      </c>
      <c r="J5546" t="s">
        <v>18920</v>
      </c>
      <c r="K5546">
        <v>11370</v>
      </c>
      <c r="L5546" t="s">
        <v>18958</v>
      </c>
      <c r="M5546" t="s">
        <v>18958</v>
      </c>
      <c r="N5546" t="s">
        <v>23070</v>
      </c>
      <c r="O5546" t="s">
        <v>26524</v>
      </c>
      <c r="P5546" t="s">
        <v>26564</v>
      </c>
      <c r="Q5546" t="s">
        <v>26570</v>
      </c>
      <c r="R5546" t="s">
        <v>26584</v>
      </c>
      <c r="S5546" t="s">
        <v>18959</v>
      </c>
      <c r="U5546" t="s">
        <v>26604</v>
      </c>
      <c r="V5546" t="s">
        <v>26610</v>
      </c>
      <c r="W5546" t="s">
        <v>731</v>
      </c>
      <c r="X5546">
        <v>2100</v>
      </c>
      <c r="Y5546" t="s">
        <v>26653</v>
      </c>
      <c r="Z5546" t="s">
        <v>26664</v>
      </c>
      <c r="AA5546" t="s">
        <v>26683</v>
      </c>
      <c r="AB5546" t="s">
        <v>31159</v>
      </c>
      <c r="AC5546" t="s">
        <v>36005</v>
      </c>
      <c r="AD5546" t="s">
        <v>41329</v>
      </c>
      <c r="AE5546">
        <v>3</v>
      </c>
      <c r="AF5546" t="s">
        <v>45547</v>
      </c>
      <c r="AG5546" t="s">
        <v>19330</v>
      </c>
      <c r="AH5546">
        <v>4</v>
      </c>
      <c r="AI5546">
        <v>2</v>
      </c>
      <c r="AJ5546">
        <v>2</v>
      </c>
      <c r="AK5546">
        <v>77.67</v>
      </c>
      <c r="AN5546" t="s">
        <v>7439</v>
      </c>
      <c r="AO5546">
        <v>20000</v>
      </c>
      <c r="AU5546">
        <v>1.5</v>
      </c>
      <c r="AV5546" t="s">
        <v>747</v>
      </c>
      <c r="AW5546" t="s">
        <v>161</v>
      </c>
      <c r="AX5546" t="s">
        <v>46897</v>
      </c>
    </row>
    <row r="5547" spans="1:50">
      <c r="A5547" s="1">
        <f>HYPERLINK("https://lsnyc.legalserver.org/matter/dynamic-profile/view/1890855","19-1890855")</f>
        <v>0</v>
      </c>
      <c r="B5547" t="s">
        <v>258</v>
      </c>
      <c r="C5547" t="s">
        <v>341</v>
      </c>
      <c r="D5547" t="s">
        <v>731</v>
      </c>
      <c r="E5547" t="s">
        <v>822</v>
      </c>
      <c r="F5547" t="s">
        <v>1827</v>
      </c>
      <c r="G5547" t="s">
        <v>7732</v>
      </c>
      <c r="H5547" t="s">
        <v>13717</v>
      </c>
      <c r="I5547" t="s">
        <v>17330</v>
      </c>
      <c r="J5547" t="s">
        <v>18919</v>
      </c>
      <c r="K5547">
        <v>11427</v>
      </c>
      <c r="L5547" t="s">
        <v>18958</v>
      </c>
      <c r="M5547" t="s">
        <v>18958</v>
      </c>
      <c r="N5547" t="s">
        <v>23071</v>
      </c>
      <c r="O5547" t="s">
        <v>26523</v>
      </c>
      <c r="P5547" t="s">
        <v>26564</v>
      </c>
      <c r="Q5547" t="s">
        <v>26570</v>
      </c>
      <c r="R5547" t="s">
        <v>26584</v>
      </c>
      <c r="S5547" t="s">
        <v>18959</v>
      </c>
      <c r="U5547" t="s">
        <v>26604</v>
      </c>
      <c r="V5547" t="s">
        <v>26610</v>
      </c>
      <c r="W5547" t="s">
        <v>731</v>
      </c>
      <c r="X5547">
        <v>865</v>
      </c>
      <c r="Y5547" t="s">
        <v>26653</v>
      </c>
      <c r="Z5547" t="s">
        <v>26664</v>
      </c>
      <c r="AA5547" t="s">
        <v>26683</v>
      </c>
      <c r="AB5547" t="s">
        <v>31160</v>
      </c>
      <c r="AC5547" t="s">
        <v>36006</v>
      </c>
      <c r="AD5547" t="s">
        <v>41330</v>
      </c>
      <c r="AE5547">
        <v>60</v>
      </c>
      <c r="AF5547" t="s">
        <v>45541</v>
      </c>
      <c r="AG5547" t="s">
        <v>19330</v>
      </c>
      <c r="AH5547">
        <v>21</v>
      </c>
      <c r="AI5547">
        <v>2</v>
      </c>
      <c r="AJ5547">
        <v>0</v>
      </c>
      <c r="AK5547">
        <v>127.07</v>
      </c>
      <c r="AN5547" t="s">
        <v>7439</v>
      </c>
      <c r="AO5547">
        <v>21487</v>
      </c>
      <c r="AU5547">
        <v>0.6</v>
      </c>
      <c r="AV5547" t="s">
        <v>823</v>
      </c>
      <c r="AW5547" t="s">
        <v>161</v>
      </c>
      <c r="AX5547" t="s">
        <v>46897</v>
      </c>
    </row>
    <row r="5548" spans="1:50">
      <c r="A5548" s="1">
        <f>HYPERLINK("https://lsnyc.legalserver.org/matter/dynamic-profile/view/1890907","19-1890907")</f>
        <v>0</v>
      </c>
      <c r="B5548" t="s">
        <v>162</v>
      </c>
      <c r="C5548" t="s">
        <v>341</v>
      </c>
      <c r="D5548" t="s">
        <v>731</v>
      </c>
      <c r="E5548" t="s">
        <v>740</v>
      </c>
      <c r="F5548" t="s">
        <v>3447</v>
      </c>
      <c r="G5548" t="s">
        <v>7733</v>
      </c>
      <c r="H5548" t="s">
        <v>13718</v>
      </c>
      <c r="I5548">
        <v>7</v>
      </c>
      <c r="J5548" t="s">
        <v>18894</v>
      </c>
      <c r="K5548">
        <v>11219</v>
      </c>
      <c r="L5548" t="s">
        <v>18958</v>
      </c>
      <c r="M5548" t="s">
        <v>18960</v>
      </c>
      <c r="N5548" t="s">
        <v>23072</v>
      </c>
      <c r="O5548" t="s">
        <v>26524</v>
      </c>
      <c r="P5548" t="s">
        <v>26565</v>
      </c>
      <c r="Q5548" t="s">
        <v>26570</v>
      </c>
      <c r="R5548" t="s">
        <v>26586</v>
      </c>
      <c r="S5548" t="s">
        <v>18959</v>
      </c>
      <c r="U5548" t="s">
        <v>26604</v>
      </c>
      <c r="V5548" t="s">
        <v>26612</v>
      </c>
      <c r="W5548" t="s">
        <v>731</v>
      </c>
      <c r="X5548">
        <v>700</v>
      </c>
      <c r="Y5548" t="s">
        <v>26652</v>
      </c>
      <c r="Z5548" t="s">
        <v>26668</v>
      </c>
      <c r="AA5548" t="s">
        <v>26683</v>
      </c>
      <c r="AB5548" t="s">
        <v>31161</v>
      </c>
      <c r="AD5548" t="s">
        <v>41331</v>
      </c>
      <c r="AE5548">
        <v>4</v>
      </c>
      <c r="AF5548" t="s">
        <v>45552</v>
      </c>
      <c r="AG5548" t="s">
        <v>19330</v>
      </c>
      <c r="AH5548">
        <v>8</v>
      </c>
      <c r="AI5548">
        <v>2</v>
      </c>
      <c r="AJ5548">
        <v>0</v>
      </c>
      <c r="AK5548">
        <v>97.65000000000001</v>
      </c>
      <c r="AN5548" t="s">
        <v>7439</v>
      </c>
      <c r="AO5548">
        <v>16512</v>
      </c>
      <c r="AU5548">
        <v>1.3</v>
      </c>
      <c r="AV5548" t="s">
        <v>731</v>
      </c>
      <c r="AW5548" t="s">
        <v>46856</v>
      </c>
    </row>
    <row r="5549" spans="1:50">
      <c r="A5549" s="1">
        <f>HYPERLINK("https://lsnyc.legalserver.org/matter/dynamic-profile/view/1890884","19-1890884")</f>
        <v>0</v>
      </c>
      <c r="B5549" t="s">
        <v>214</v>
      </c>
      <c r="C5549" t="s">
        <v>341</v>
      </c>
      <c r="D5549" t="s">
        <v>731</v>
      </c>
      <c r="E5549" t="s">
        <v>843</v>
      </c>
      <c r="F5549" t="s">
        <v>3448</v>
      </c>
      <c r="G5549" t="s">
        <v>7734</v>
      </c>
      <c r="H5549" t="s">
        <v>13719</v>
      </c>
      <c r="I5549">
        <v>205</v>
      </c>
      <c r="J5549" t="s">
        <v>18909</v>
      </c>
      <c r="K5549">
        <v>11101</v>
      </c>
      <c r="L5549" t="s">
        <v>18958</v>
      </c>
      <c r="M5549" t="s">
        <v>18958</v>
      </c>
      <c r="N5549" t="s">
        <v>23073</v>
      </c>
      <c r="O5549" t="s">
        <v>26524</v>
      </c>
      <c r="P5549" t="s">
        <v>26560</v>
      </c>
      <c r="Q5549" t="s">
        <v>26568</v>
      </c>
      <c r="R5549" t="s">
        <v>26578</v>
      </c>
      <c r="S5549" t="s">
        <v>18959</v>
      </c>
      <c r="U5549" t="s">
        <v>26604</v>
      </c>
      <c r="V5549" t="s">
        <v>26610</v>
      </c>
      <c r="W5549" t="s">
        <v>731</v>
      </c>
      <c r="X5549">
        <v>0</v>
      </c>
      <c r="Y5549" t="s">
        <v>26653</v>
      </c>
      <c r="Z5549" t="s">
        <v>26664</v>
      </c>
      <c r="AA5549" t="s">
        <v>26679</v>
      </c>
      <c r="AB5549" t="s">
        <v>31162</v>
      </c>
      <c r="AC5549" t="s">
        <v>35263</v>
      </c>
      <c r="AD5549" t="s">
        <v>41332</v>
      </c>
      <c r="AE5549">
        <v>92</v>
      </c>
      <c r="AF5549" t="s">
        <v>45547</v>
      </c>
      <c r="AG5549" t="s">
        <v>19330</v>
      </c>
      <c r="AH5549">
        <v>5</v>
      </c>
      <c r="AI5549">
        <v>2</v>
      </c>
      <c r="AJ5549">
        <v>2</v>
      </c>
      <c r="AK5549">
        <v>0</v>
      </c>
      <c r="AN5549" t="s">
        <v>7439</v>
      </c>
      <c r="AO5549">
        <v>0</v>
      </c>
      <c r="AQ5549" t="s">
        <v>46361</v>
      </c>
      <c r="AR5549" t="s">
        <v>46379</v>
      </c>
      <c r="AS5549" t="s">
        <v>46500</v>
      </c>
      <c r="AT5549" t="s">
        <v>46730</v>
      </c>
      <c r="AU5549">
        <v>20.7</v>
      </c>
      <c r="AV5549" t="s">
        <v>843</v>
      </c>
      <c r="AW5549" t="s">
        <v>161</v>
      </c>
      <c r="AX5549" t="s">
        <v>46897</v>
      </c>
    </row>
    <row r="5550" spans="1:50">
      <c r="A5550" s="1">
        <f>HYPERLINK("https://lsnyc.legalserver.org/matter/dynamic-profile/view/1890821","19-1890821")</f>
        <v>0</v>
      </c>
      <c r="B5550" t="s">
        <v>50</v>
      </c>
      <c r="C5550" t="s">
        <v>341</v>
      </c>
      <c r="D5550" t="s">
        <v>731</v>
      </c>
      <c r="E5550" t="s">
        <v>779</v>
      </c>
      <c r="F5550" t="s">
        <v>1371</v>
      </c>
      <c r="G5550" t="s">
        <v>3105</v>
      </c>
      <c r="H5550" t="s">
        <v>13720</v>
      </c>
      <c r="I5550" t="s">
        <v>18002</v>
      </c>
      <c r="J5550" t="s">
        <v>18892</v>
      </c>
      <c r="K5550">
        <v>10467</v>
      </c>
      <c r="L5550" t="s">
        <v>18958</v>
      </c>
      <c r="M5550" t="s">
        <v>18958</v>
      </c>
      <c r="N5550" t="s">
        <v>23074</v>
      </c>
      <c r="O5550" t="s">
        <v>26523</v>
      </c>
      <c r="P5550" t="s">
        <v>26560</v>
      </c>
      <c r="Q5550" t="s">
        <v>26568</v>
      </c>
      <c r="R5550" t="s">
        <v>26579</v>
      </c>
      <c r="S5550" t="s">
        <v>18959</v>
      </c>
      <c r="U5550" t="s">
        <v>26604</v>
      </c>
      <c r="V5550" t="s">
        <v>26610</v>
      </c>
      <c r="W5550" t="s">
        <v>731</v>
      </c>
      <c r="X5550">
        <v>1113.75</v>
      </c>
      <c r="Y5550" t="s">
        <v>26650</v>
      </c>
      <c r="Z5550" t="s">
        <v>26664</v>
      </c>
      <c r="AA5550" t="s">
        <v>26678</v>
      </c>
      <c r="AB5550" t="s">
        <v>27316</v>
      </c>
      <c r="AC5550" t="s">
        <v>36007</v>
      </c>
      <c r="AE5550">
        <v>51</v>
      </c>
      <c r="AF5550" t="s">
        <v>45541</v>
      </c>
      <c r="AG5550" t="s">
        <v>45557</v>
      </c>
      <c r="AH5550">
        <v>6</v>
      </c>
      <c r="AI5550">
        <v>1</v>
      </c>
      <c r="AJ5550">
        <v>2</v>
      </c>
      <c r="AK5550">
        <v>48.76</v>
      </c>
      <c r="AN5550" t="s">
        <v>45581</v>
      </c>
      <c r="AO5550">
        <v>10400</v>
      </c>
      <c r="AQ5550" t="s">
        <v>46364</v>
      </c>
      <c r="AR5550" t="s">
        <v>46491</v>
      </c>
      <c r="AS5550" t="s">
        <v>46499</v>
      </c>
      <c r="AT5550" t="s">
        <v>46777</v>
      </c>
      <c r="AU5550">
        <v>22.25</v>
      </c>
      <c r="AV5550" t="s">
        <v>779</v>
      </c>
      <c r="AW5550" t="s">
        <v>334</v>
      </c>
    </row>
    <row r="5551" spans="1:50">
      <c r="A5551" s="1">
        <f>HYPERLINK("https://lsnyc.legalserver.org/matter/dynamic-profile/view/1890977","19-1890977")</f>
        <v>0</v>
      </c>
      <c r="B5551" t="s">
        <v>87</v>
      </c>
      <c r="C5551" t="s">
        <v>341</v>
      </c>
      <c r="D5551" t="s">
        <v>731</v>
      </c>
      <c r="E5551" t="s">
        <v>760</v>
      </c>
      <c r="F5551" t="s">
        <v>1323</v>
      </c>
      <c r="G5551" t="s">
        <v>5199</v>
      </c>
      <c r="H5551" t="s">
        <v>13721</v>
      </c>
      <c r="I5551" t="s">
        <v>17389</v>
      </c>
      <c r="J5551" t="s">
        <v>18892</v>
      </c>
      <c r="K5551">
        <v>10468</v>
      </c>
      <c r="L5551" t="s">
        <v>18958</v>
      </c>
      <c r="M5551" t="s">
        <v>18958</v>
      </c>
      <c r="N5551" t="s">
        <v>23075</v>
      </c>
      <c r="O5551" t="s">
        <v>26523</v>
      </c>
      <c r="P5551" t="s">
        <v>26560</v>
      </c>
      <c r="Q5551" t="s">
        <v>26568</v>
      </c>
      <c r="R5551" t="s">
        <v>26579</v>
      </c>
      <c r="U5551" t="s">
        <v>26604</v>
      </c>
      <c r="V5551" t="s">
        <v>26610</v>
      </c>
      <c r="W5551" t="s">
        <v>731</v>
      </c>
      <c r="X5551">
        <v>0</v>
      </c>
      <c r="Y5551" t="s">
        <v>26650</v>
      </c>
      <c r="Z5551" t="s">
        <v>26664</v>
      </c>
      <c r="AA5551" t="s">
        <v>26678</v>
      </c>
      <c r="AB5551" t="s">
        <v>31163</v>
      </c>
      <c r="AD5551" t="s">
        <v>41333</v>
      </c>
      <c r="AE5551">
        <v>0</v>
      </c>
      <c r="AF5551" t="s">
        <v>45541</v>
      </c>
      <c r="AG5551" t="s">
        <v>45559</v>
      </c>
      <c r="AH5551">
        <v>14</v>
      </c>
      <c r="AI5551">
        <v>1</v>
      </c>
      <c r="AJ5551">
        <v>0</v>
      </c>
      <c r="AK5551">
        <v>155.36</v>
      </c>
      <c r="AN5551" t="s">
        <v>7439</v>
      </c>
      <c r="AO5551">
        <v>19404</v>
      </c>
      <c r="AS5551" t="s">
        <v>46499</v>
      </c>
      <c r="AT5551" t="s">
        <v>46616</v>
      </c>
      <c r="AU5551">
        <v>5</v>
      </c>
      <c r="AV5551" t="s">
        <v>786</v>
      </c>
      <c r="AW5551" t="s">
        <v>334</v>
      </c>
    </row>
    <row r="5552" spans="1:50">
      <c r="A5552" s="1">
        <f>HYPERLINK("https://lsnyc.legalserver.org/matter/dynamic-profile/view/1890850","19-1890850")</f>
        <v>0</v>
      </c>
      <c r="B5552" t="s">
        <v>157</v>
      </c>
      <c r="C5552" t="s">
        <v>341</v>
      </c>
      <c r="D5552" t="s">
        <v>731</v>
      </c>
      <c r="E5552" t="s">
        <v>773</v>
      </c>
      <c r="F5552" t="s">
        <v>3449</v>
      </c>
      <c r="G5552" t="s">
        <v>7735</v>
      </c>
      <c r="H5552" t="s">
        <v>10313</v>
      </c>
      <c r="I5552" t="s">
        <v>17432</v>
      </c>
      <c r="J5552" t="s">
        <v>18893</v>
      </c>
      <c r="K5552">
        <v>10033</v>
      </c>
      <c r="L5552" t="s">
        <v>18958</v>
      </c>
      <c r="M5552" t="s">
        <v>18958</v>
      </c>
      <c r="O5552" t="s">
        <v>26529</v>
      </c>
      <c r="P5552" t="s">
        <v>26564</v>
      </c>
      <c r="Q5552" t="s">
        <v>26570</v>
      </c>
      <c r="R5552" t="s">
        <v>26578</v>
      </c>
      <c r="S5552" t="s">
        <v>18958</v>
      </c>
      <c r="U5552" t="s">
        <v>26604</v>
      </c>
      <c r="W5552" t="s">
        <v>731</v>
      </c>
      <c r="X5552">
        <v>2020</v>
      </c>
      <c r="Y5552" t="s">
        <v>26651</v>
      </c>
      <c r="Z5552" t="s">
        <v>26670</v>
      </c>
      <c r="AA5552" t="s">
        <v>26683</v>
      </c>
      <c r="AB5552" t="s">
        <v>31164</v>
      </c>
      <c r="AE5552">
        <v>60</v>
      </c>
      <c r="AF5552" t="s">
        <v>45541</v>
      </c>
      <c r="AG5552" t="s">
        <v>19330</v>
      </c>
      <c r="AH5552">
        <v>6</v>
      </c>
      <c r="AI5552">
        <v>1</v>
      </c>
      <c r="AJ5552">
        <v>3</v>
      </c>
      <c r="AK5552">
        <v>359.22</v>
      </c>
      <c r="AL5552" t="s">
        <v>800</v>
      </c>
      <c r="AM5552" t="s">
        <v>45575</v>
      </c>
      <c r="AN5552" t="s">
        <v>7439</v>
      </c>
      <c r="AO5552">
        <v>92500</v>
      </c>
      <c r="AU5552">
        <v>3.05</v>
      </c>
      <c r="AV5552" t="s">
        <v>810</v>
      </c>
      <c r="AW5552" t="s">
        <v>46840</v>
      </c>
      <c r="AX5552" t="s">
        <v>46897</v>
      </c>
    </row>
    <row r="5553" spans="1:50">
      <c r="A5553" s="1">
        <f>HYPERLINK("https://lsnyc.legalserver.org/matter/dynamic-profile/view/1890842","19-1890842")</f>
        <v>0</v>
      </c>
      <c r="B5553" t="s">
        <v>157</v>
      </c>
      <c r="C5553" t="s">
        <v>341</v>
      </c>
      <c r="D5553" t="s">
        <v>731</v>
      </c>
      <c r="E5553" t="s">
        <v>773</v>
      </c>
      <c r="F5553" t="s">
        <v>1975</v>
      </c>
      <c r="G5553" t="s">
        <v>7736</v>
      </c>
      <c r="H5553" t="s">
        <v>10313</v>
      </c>
      <c r="I5553" t="s">
        <v>17304</v>
      </c>
      <c r="J5553" t="s">
        <v>18893</v>
      </c>
      <c r="K5553">
        <v>10033</v>
      </c>
      <c r="L5553" t="s">
        <v>18958</v>
      </c>
      <c r="M5553" t="s">
        <v>18958</v>
      </c>
      <c r="P5553" t="s">
        <v>26564</v>
      </c>
      <c r="Q5553" t="s">
        <v>26570</v>
      </c>
      <c r="R5553" t="s">
        <v>26578</v>
      </c>
      <c r="S5553" t="s">
        <v>18958</v>
      </c>
      <c r="U5553" t="s">
        <v>26604</v>
      </c>
      <c r="W5553" t="s">
        <v>731</v>
      </c>
      <c r="X5553">
        <v>0</v>
      </c>
      <c r="Y5553" t="s">
        <v>26651</v>
      </c>
      <c r="Z5553" t="s">
        <v>26670</v>
      </c>
      <c r="AA5553" t="s">
        <v>26683</v>
      </c>
      <c r="AB5553" t="s">
        <v>31165</v>
      </c>
      <c r="AD5553" t="s">
        <v>41334</v>
      </c>
      <c r="AE5553">
        <v>60</v>
      </c>
      <c r="AF5553" t="s">
        <v>45541</v>
      </c>
      <c r="AG5553" t="s">
        <v>19330</v>
      </c>
      <c r="AH5553">
        <v>0</v>
      </c>
      <c r="AI5553">
        <v>1</v>
      </c>
      <c r="AJ5553">
        <v>0</v>
      </c>
      <c r="AK5553">
        <v>360.29</v>
      </c>
      <c r="AL5553" t="s">
        <v>800</v>
      </c>
      <c r="AM5553" t="s">
        <v>45575</v>
      </c>
      <c r="AN5553" t="s">
        <v>7439</v>
      </c>
      <c r="AO5553">
        <v>45000</v>
      </c>
      <c r="AU5553">
        <v>0.01</v>
      </c>
      <c r="AV5553" t="s">
        <v>773</v>
      </c>
      <c r="AW5553" t="s">
        <v>46840</v>
      </c>
    </row>
    <row r="5554" spans="1:50">
      <c r="A5554" s="1">
        <f>HYPERLINK("https://lsnyc.legalserver.org/matter/dynamic-profile/view/1890836","19-1890836")</f>
        <v>0</v>
      </c>
      <c r="B5554" t="s">
        <v>157</v>
      </c>
      <c r="C5554" t="s">
        <v>341</v>
      </c>
      <c r="D5554" t="s">
        <v>731</v>
      </c>
      <c r="E5554" t="s">
        <v>773</v>
      </c>
      <c r="F5554" t="s">
        <v>1111</v>
      </c>
      <c r="G5554" t="s">
        <v>7458</v>
      </c>
      <c r="H5554" t="s">
        <v>10313</v>
      </c>
      <c r="I5554" t="s">
        <v>17338</v>
      </c>
      <c r="J5554" t="s">
        <v>18893</v>
      </c>
      <c r="K5554">
        <v>10033</v>
      </c>
      <c r="L5554" t="s">
        <v>18958</v>
      </c>
      <c r="M5554" t="s">
        <v>18958</v>
      </c>
      <c r="O5554" t="s">
        <v>26529</v>
      </c>
      <c r="P5554" t="s">
        <v>26564</v>
      </c>
      <c r="Q5554" t="s">
        <v>26570</v>
      </c>
      <c r="R5554" t="s">
        <v>26578</v>
      </c>
      <c r="S5554" t="s">
        <v>18958</v>
      </c>
      <c r="U5554" t="s">
        <v>26604</v>
      </c>
      <c r="W5554" t="s">
        <v>731</v>
      </c>
      <c r="X5554">
        <v>1200</v>
      </c>
      <c r="Y5554" t="s">
        <v>26651</v>
      </c>
      <c r="Z5554" t="s">
        <v>26670</v>
      </c>
      <c r="AA5554" t="s">
        <v>26683</v>
      </c>
      <c r="AB5554" t="s">
        <v>31166</v>
      </c>
      <c r="AD5554" t="s">
        <v>41335</v>
      </c>
      <c r="AE5554">
        <v>60</v>
      </c>
      <c r="AF5554" t="s">
        <v>45541</v>
      </c>
      <c r="AG5554" t="s">
        <v>19330</v>
      </c>
      <c r="AH5554">
        <v>22</v>
      </c>
      <c r="AI5554">
        <v>1</v>
      </c>
      <c r="AJ5554">
        <v>0</v>
      </c>
      <c r="AK5554">
        <v>520.42</v>
      </c>
      <c r="AN5554" t="s">
        <v>7439</v>
      </c>
      <c r="AO5554">
        <v>65000</v>
      </c>
      <c r="AU5554">
        <v>0.01</v>
      </c>
      <c r="AV5554" t="s">
        <v>773</v>
      </c>
      <c r="AW5554" t="s">
        <v>46840</v>
      </c>
      <c r="AX5554" t="s">
        <v>46897</v>
      </c>
    </row>
    <row r="5555" spans="1:50">
      <c r="A5555" s="1">
        <f>HYPERLINK("https://lsnyc.legalserver.org/matter/dynamic-profile/view/1890830","19-1890830")</f>
        <v>0</v>
      </c>
      <c r="B5555" t="s">
        <v>157</v>
      </c>
      <c r="C5555" t="s">
        <v>341</v>
      </c>
      <c r="D5555" t="s">
        <v>731</v>
      </c>
      <c r="E5555" t="s">
        <v>773</v>
      </c>
      <c r="F5555" t="s">
        <v>1083</v>
      </c>
      <c r="G5555" t="s">
        <v>5419</v>
      </c>
      <c r="H5555" t="s">
        <v>10313</v>
      </c>
      <c r="I5555" t="s">
        <v>17275</v>
      </c>
      <c r="J5555" t="s">
        <v>18893</v>
      </c>
      <c r="K5555">
        <v>10033</v>
      </c>
      <c r="L5555" t="s">
        <v>18958</v>
      </c>
      <c r="M5555" t="s">
        <v>18958</v>
      </c>
      <c r="O5555" t="s">
        <v>26529</v>
      </c>
      <c r="P5555" t="s">
        <v>26564</v>
      </c>
      <c r="Q5555" t="s">
        <v>26570</v>
      </c>
      <c r="R5555" t="s">
        <v>26578</v>
      </c>
      <c r="S5555" t="s">
        <v>18958</v>
      </c>
      <c r="U5555" t="s">
        <v>26604</v>
      </c>
      <c r="W5555" t="s">
        <v>731</v>
      </c>
      <c r="X5555">
        <v>1450</v>
      </c>
      <c r="Y5555" t="s">
        <v>26651</v>
      </c>
      <c r="Z5555" t="s">
        <v>26670</v>
      </c>
      <c r="AA5555" t="s">
        <v>26683</v>
      </c>
      <c r="AB5555" t="s">
        <v>31167</v>
      </c>
      <c r="AD5555" t="s">
        <v>41336</v>
      </c>
      <c r="AE5555">
        <v>60</v>
      </c>
      <c r="AF5555" t="s">
        <v>45541</v>
      </c>
      <c r="AG5555" t="s">
        <v>19330</v>
      </c>
      <c r="AH5555">
        <v>27</v>
      </c>
      <c r="AI5555">
        <v>3</v>
      </c>
      <c r="AJ5555">
        <v>0</v>
      </c>
      <c r="AK5555">
        <v>576.65</v>
      </c>
      <c r="AN5555" t="s">
        <v>7439</v>
      </c>
      <c r="AO5555">
        <v>123000</v>
      </c>
      <c r="AU5555">
        <v>0.01</v>
      </c>
      <c r="AV5555" t="s">
        <v>832</v>
      </c>
      <c r="AW5555" t="s">
        <v>46840</v>
      </c>
      <c r="AX5555" t="s">
        <v>46897</v>
      </c>
    </row>
    <row r="5556" spans="1:50">
      <c r="A5556" s="1">
        <f>HYPERLINK("https://lsnyc.legalserver.org/matter/dynamic-profile/view/1890945","19-1890945")</f>
        <v>0</v>
      </c>
      <c r="B5556" t="s">
        <v>136</v>
      </c>
      <c r="C5556" t="s">
        <v>340</v>
      </c>
      <c r="D5556" t="s">
        <v>731</v>
      </c>
      <c r="F5556" t="s">
        <v>3450</v>
      </c>
      <c r="G5556" t="s">
        <v>7737</v>
      </c>
      <c r="H5556" t="s">
        <v>13722</v>
      </c>
      <c r="I5556" t="s">
        <v>17348</v>
      </c>
      <c r="J5556" t="s">
        <v>18892</v>
      </c>
      <c r="K5556">
        <v>10457</v>
      </c>
      <c r="L5556" t="s">
        <v>18958</v>
      </c>
      <c r="M5556" t="s">
        <v>18958</v>
      </c>
      <c r="N5556" t="s">
        <v>23076</v>
      </c>
      <c r="O5556" t="s">
        <v>26523</v>
      </c>
      <c r="P5556" t="s">
        <v>26560</v>
      </c>
      <c r="R5556" t="s">
        <v>26579</v>
      </c>
      <c r="U5556" t="s">
        <v>26604</v>
      </c>
      <c r="V5556" t="s">
        <v>26612</v>
      </c>
      <c r="W5556" t="s">
        <v>731</v>
      </c>
      <c r="X5556">
        <v>0</v>
      </c>
      <c r="Y5556" t="s">
        <v>26650</v>
      </c>
      <c r="Z5556" t="s">
        <v>26664</v>
      </c>
      <c r="AB5556" t="s">
        <v>31168</v>
      </c>
      <c r="AC5556" t="s">
        <v>36008</v>
      </c>
      <c r="AD5556" t="s">
        <v>41337</v>
      </c>
      <c r="AE5556">
        <v>0</v>
      </c>
      <c r="AG5556" t="s">
        <v>45558</v>
      </c>
      <c r="AH5556">
        <v>0</v>
      </c>
      <c r="AI5556">
        <v>1</v>
      </c>
      <c r="AJ5556">
        <v>2</v>
      </c>
      <c r="AK5556">
        <v>42.19</v>
      </c>
      <c r="AN5556" t="s">
        <v>7439</v>
      </c>
      <c r="AO5556">
        <v>9000</v>
      </c>
      <c r="AU5556">
        <v>10.75</v>
      </c>
      <c r="AV5556" t="s">
        <v>838</v>
      </c>
      <c r="AW5556" t="s">
        <v>334</v>
      </c>
    </row>
    <row r="5557" spans="1:50">
      <c r="A5557" s="1">
        <f>HYPERLINK("https://lsnyc.legalserver.org/matter/dynamic-profile/view/1890844","19-1890844")</f>
        <v>0</v>
      </c>
      <c r="B5557" t="s">
        <v>107</v>
      </c>
      <c r="C5557" t="s">
        <v>340</v>
      </c>
      <c r="D5557" t="s">
        <v>731</v>
      </c>
      <c r="F5557" t="s">
        <v>886</v>
      </c>
      <c r="G5557" t="s">
        <v>7605</v>
      </c>
      <c r="H5557" t="s">
        <v>13423</v>
      </c>
      <c r="I5557" t="s">
        <v>17332</v>
      </c>
      <c r="J5557" t="s">
        <v>7026</v>
      </c>
      <c r="K5557">
        <v>11368</v>
      </c>
      <c r="L5557" t="s">
        <v>18958</v>
      </c>
      <c r="M5557" t="s">
        <v>18958</v>
      </c>
      <c r="N5557" t="s">
        <v>23077</v>
      </c>
      <c r="O5557" t="s">
        <v>26523</v>
      </c>
      <c r="P5557" t="s">
        <v>26560</v>
      </c>
      <c r="R5557" t="s">
        <v>26584</v>
      </c>
      <c r="S5557" t="s">
        <v>18959</v>
      </c>
      <c r="U5557" t="s">
        <v>26604</v>
      </c>
      <c r="V5557" t="s">
        <v>26610</v>
      </c>
      <c r="W5557" t="s">
        <v>731</v>
      </c>
      <c r="X5557">
        <v>235</v>
      </c>
      <c r="Y5557" t="s">
        <v>26653</v>
      </c>
      <c r="Z5557" t="s">
        <v>26664</v>
      </c>
      <c r="AB5557" t="s">
        <v>31169</v>
      </c>
      <c r="AC5557" t="s">
        <v>36009</v>
      </c>
      <c r="AD5557" t="s">
        <v>41338</v>
      </c>
      <c r="AE5557">
        <v>225</v>
      </c>
      <c r="AF5557" t="s">
        <v>45541</v>
      </c>
      <c r="AG5557" t="s">
        <v>45557</v>
      </c>
      <c r="AH5557">
        <v>40</v>
      </c>
      <c r="AI5557">
        <v>1</v>
      </c>
      <c r="AJ5557">
        <v>1</v>
      </c>
      <c r="AK5557">
        <v>0</v>
      </c>
      <c r="AN5557" t="s">
        <v>7439</v>
      </c>
      <c r="AO5557">
        <v>0</v>
      </c>
      <c r="AU5557">
        <v>24.2</v>
      </c>
      <c r="AV5557" t="s">
        <v>835</v>
      </c>
      <c r="AW5557" t="s">
        <v>161</v>
      </c>
    </row>
    <row r="5558" spans="1:50">
      <c r="A5558" s="1">
        <f>HYPERLINK("https://lsnyc.legalserver.org/matter/dynamic-profile/view/1890760","19-1890760")</f>
        <v>0</v>
      </c>
      <c r="B5558" t="s">
        <v>278</v>
      </c>
      <c r="C5558" t="s">
        <v>340</v>
      </c>
      <c r="D5558" t="s">
        <v>731</v>
      </c>
      <c r="F5558" t="s">
        <v>1282</v>
      </c>
      <c r="G5558" t="s">
        <v>7738</v>
      </c>
      <c r="H5558" t="s">
        <v>13723</v>
      </c>
      <c r="I5558" t="s">
        <v>17533</v>
      </c>
      <c r="J5558" t="s">
        <v>18902</v>
      </c>
      <c r="K5558">
        <v>10314</v>
      </c>
      <c r="L5558" t="s">
        <v>18958</v>
      </c>
      <c r="M5558" t="s">
        <v>18958</v>
      </c>
      <c r="N5558" t="s">
        <v>23078</v>
      </c>
      <c r="O5558" t="s">
        <v>26523</v>
      </c>
      <c r="P5558" t="s">
        <v>26560</v>
      </c>
      <c r="R5558" t="s">
        <v>26590</v>
      </c>
      <c r="S5558" t="s">
        <v>18959</v>
      </c>
      <c r="U5558" t="s">
        <v>26604</v>
      </c>
      <c r="V5558" t="s">
        <v>26610</v>
      </c>
      <c r="W5558" t="s">
        <v>731</v>
      </c>
      <c r="X5558">
        <v>1500</v>
      </c>
      <c r="Y5558" t="s">
        <v>26654</v>
      </c>
      <c r="Z5558" t="s">
        <v>26661</v>
      </c>
      <c r="AB5558" t="s">
        <v>31170</v>
      </c>
      <c r="AD5558" t="s">
        <v>41339</v>
      </c>
      <c r="AE5558">
        <v>2</v>
      </c>
      <c r="AF5558" t="s">
        <v>45547</v>
      </c>
      <c r="AG5558" t="s">
        <v>19330</v>
      </c>
      <c r="AH5558">
        <v>0</v>
      </c>
      <c r="AI5558">
        <v>1</v>
      </c>
      <c r="AJ5558">
        <v>0</v>
      </c>
      <c r="AK5558">
        <v>18.25</v>
      </c>
      <c r="AN5558" t="s">
        <v>7439</v>
      </c>
      <c r="AO5558">
        <v>2280</v>
      </c>
      <c r="AU5558">
        <v>52.45</v>
      </c>
      <c r="AV5558" t="s">
        <v>797</v>
      </c>
      <c r="AW5558" t="s">
        <v>46855</v>
      </c>
    </row>
    <row r="5559" spans="1:50">
      <c r="A5559" s="1">
        <f>HYPERLINK("https://lsnyc.legalserver.org/matter/dynamic-profile/view/1890928","19-1890928")</f>
        <v>0</v>
      </c>
      <c r="B5559" t="s">
        <v>108</v>
      </c>
      <c r="C5559" t="s">
        <v>340</v>
      </c>
      <c r="D5559" t="s">
        <v>731</v>
      </c>
      <c r="F5559" t="s">
        <v>1366</v>
      </c>
      <c r="G5559" t="s">
        <v>7739</v>
      </c>
      <c r="H5559" t="s">
        <v>13724</v>
      </c>
      <c r="I5559" t="s">
        <v>17844</v>
      </c>
      <c r="J5559" t="s">
        <v>18928</v>
      </c>
      <c r="K5559">
        <v>11365</v>
      </c>
      <c r="L5559" t="s">
        <v>18958</v>
      </c>
      <c r="M5559" t="s">
        <v>18958</v>
      </c>
      <c r="N5559" t="s">
        <v>23079</v>
      </c>
      <c r="O5559" t="s">
        <v>26524</v>
      </c>
      <c r="P5559" t="s">
        <v>26564</v>
      </c>
      <c r="R5559" t="s">
        <v>26584</v>
      </c>
      <c r="S5559" t="s">
        <v>18959</v>
      </c>
      <c r="U5559" t="s">
        <v>26604</v>
      </c>
      <c r="V5559" t="s">
        <v>26610</v>
      </c>
      <c r="W5559" t="s">
        <v>731</v>
      </c>
      <c r="X5559">
        <v>2200</v>
      </c>
      <c r="Y5559" t="s">
        <v>26653</v>
      </c>
      <c r="Z5559" t="s">
        <v>26664</v>
      </c>
      <c r="AB5559" t="s">
        <v>31171</v>
      </c>
      <c r="AD5559" t="s">
        <v>41340</v>
      </c>
      <c r="AE5559">
        <v>0</v>
      </c>
      <c r="AF5559" t="s">
        <v>20460</v>
      </c>
      <c r="AG5559" t="s">
        <v>19330</v>
      </c>
      <c r="AH5559">
        <v>4</v>
      </c>
      <c r="AI5559">
        <v>2</v>
      </c>
      <c r="AJ5559">
        <v>1</v>
      </c>
      <c r="AK5559">
        <v>132.67</v>
      </c>
      <c r="AN5559" t="s">
        <v>7439</v>
      </c>
      <c r="AO5559">
        <v>28298</v>
      </c>
      <c r="AU5559">
        <v>1</v>
      </c>
      <c r="AV5559" t="s">
        <v>731</v>
      </c>
      <c r="AW5559" t="s">
        <v>208</v>
      </c>
    </row>
    <row r="5560" spans="1:50">
      <c r="A5560" s="1">
        <f>HYPERLINK("https://lsnyc.legalserver.org/matter/dynamic-profile/view/1890876","19-1890876")</f>
        <v>0</v>
      </c>
      <c r="B5560" t="s">
        <v>85</v>
      </c>
      <c r="C5560" t="s">
        <v>340</v>
      </c>
      <c r="D5560" t="s">
        <v>731</v>
      </c>
      <c r="F5560" t="s">
        <v>1688</v>
      </c>
      <c r="G5560" t="s">
        <v>7740</v>
      </c>
      <c r="H5560" t="s">
        <v>13725</v>
      </c>
      <c r="I5560" t="s">
        <v>17374</v>
      </c>
      <c r="J5560" t="s">
        <v>18923</v>
      </c>
      <c r="K5560">
        <v>11418</v>
      </c>
      <c r="L5560" t="s">
        <v>18958</v>
      </c>
      <c r="M5560" t="s">
        <v>18958</v>
      </c>
      <c r="N5560" t="s">
        <v>23080</v>
      </c>
      <c r="O5560" t="s">
        <v>26524</v>
      </c>
      <c r="P5560" t="s">
        <v>26564</v>
      </c>
      <c r="R5560" t="s">
        <v>26584</v>
      </c>
      <c r="U5560" t="s">
        <v>26604</v>
      </c>
      <c r="V5560" t="s">
        <v>26610</v>
      </c>
      <c r="W5560" t="s">
        <v>731</v>
      </c>
      <c r="X5560">
        <v>800</v>
      </c>
      <c r="Y5560" t="s">
        <v>26653</v>
      </c>
      <c r="Z5560" t="s">
        <v>26664</v>
      </c>
      <c r="AB5560" t="s">
        <v>27111</v>
      </c>
      <c r="AC5560" t="s">
        <v>36010</v>
      </c>
      <c r="AD5560" t="s">
        <v>41341</v>
      </c>
      <c r="AE5560">
        <v>2</v>
      </c>
      <c r="AF5560" t="s">
        <v>45547</v>
      </c>
      <c r="AG5560" t="s">
        <v>19330</v>
      </c>
      <c r="AH5560">
        <v>8</v>
      </c>
      <c r="AI5560">
        <v>2</v>
      </c>
      <c r="AJ5560">
        <v>0</v>
      </c>
      <c r="AK5560">
        <v>106.45</v>
      </c>
      <c r="AN5560" t="s">
        <v>7439</v>
      </c>
      <c r="AO5560">
        <v>18000</v>
      </c>
      <c r="AU5560">
        <v>0.2</v>
      </c>
      <c r="AV5560" t="s">
        <v>728</v>
      </c>
      <c r="AW5560" t="s">
        <v>161</v>
      </c>
    </row>
    <row r="5561" spans="1:50">
      <c r="A5561" s="1">
        <f>HYPERLINK("https://lsnyc.legalserver.org/matter/dynamic-profile/view/1890973","19-1890973")</f>
        <v>0</v>
      </c>
      <c r="B5561" t="s">
        <v>258</v>
      </c>
      <c r="C5561" t="s">
        <v>340</v>
      </c>
      <c r="D5561" t="s">
        <v>731</v>
      </c>
      <c r="F5561" t="s">
        <v>3451</v>
      </c>
      <c r="G5561" t="s">
        <v>6735</v>
      </c>
      <c r="H5561" t="s">
        <v>13726</v>
      </c>
      <c r="I5561" t="s">
        <v>17375</v>
      </c>
      <c r="J5561" t="s">
        <v>18931</v>
      </c>
      <c r="K5561">
        <v>11412</v>
      </c>
      <c r="L5561" t="s">
        <v>18958</v>
      </c>
      <c r="M5561" t="s">
        <v>18958</v>
      </c>
      <c r="N5561" t="s">
        <v>23081</v>
      </c>
      <c r="O5561" t="s">
        <v>26524</v>
      </c>
      <c r="P5561" t="s">
        <v>26560</v>
      </c>
      <c r="R5561" t="s">
        <v>26584</v>
      </c>
      <c r="S5561" t="s">
        <v>18959</v>
      </c>
      <c r="U5561" t="s">
        <v>26604</v>
      </c>
      <c r="V5561" t="s">
        <v>26610</v>
      </c>
      <c r="W5561" t="s">
        <v>731</v>
      </c>
      <c r="X5561">
        <v>1100</v>
      </c>
      <c r="Y5561" t="s">
        <v>26653</v>
      </c>
      <c r="Z5561" t="s">
        <v>26664</v>
      </c>
      <c r="AB5561" t="s">
        <v>29752</v>
      </c>
      <c r="AD5561" t="s">
        <v>41342</v>
      </c>
      <c r="AE5561">
        <v>2</v>
      </c>
      <c r="AF5561" t="s">
        <v>45547</v>
      </c>
      <c r="AG5561" t="s">
        <v>19330</v>
      </c>
      <c r="AH5561">
        <v>18</v>
      </c>
      <c r="AI5561">
        <v>3</v>
      </c>
      <c r="AJ5561">
        <v>1</v>
      </c>
      <c r="AK5561">
        <v>148.55</v>
      </c>
      <c r="AN5561" t="s">
        <v>7439</v>
      </c>
      <c r="AO5561">
        <v>38252</v>
      </c>
      <c r="AU5561">
        <v>30.4</v>
      </c>
      <c r="AV5561" t="s">
        <v>836</v>
      </c>
      <c r="AW5561" t="s">
        <v>208</v>
      </c>
      <c r="AX5561" t="s">
        <v>46897</v>
      </c>
    </row>
    <row r="5562" spans="1:50">
      <c r="A5562" s="1">
        <f>HYPERLINK("https://lsnyc.legalserver.org/matter/dynamic-profile/view/1890897","19-1890897")</f>
        <v>0</v>
      </c>
      <c r="B5562" t="s">
        <v>258</v>
      </c>
      <c r="C5562" t="s">
        <v>340</v>
      </c>
      <c r="D5562" t="s">
        <v>731</v>
      </c>
      <c r="F5562" t="s">
        <v>939</v>
      </c>
      <c r="G5562" t="s">
        <v>7741</v>
      </c>
      <c r="H5562" t="s">
        <v>13727</v>
      </c>
      <c r="I5562" t="s">
        <v>17322</v>
      </c>
      <c r="J5562" t="s">
        <v>18928</v>
      </c>
      <c r="K5562">
        <v>11365</v>
      </c>
      <c r="L5562" t="s">
        <v>18958</v>
      </c>
      <c r="M5562" t="s">
        <v>18958</v>
      </c>
      <c r="N5562" t="s">
        <v>23082</v>
      </c>
      <c r="O5562" t="s">
        <v>26523</v>
      </c>
      <c r="P5562" t="s">
        <v>26560</v>
      </c>
      <c r="R5562" t="s">
        <v>26584</v>
      </c>
      <c r="S5562" t="s">
        <v>18959</v>
      </c>
      <c r="U5562" t="s">
        <v>26604</v>
      </c>
      <c r="V5562" t="s">
        <v>26610</v>
      </c>
      <c r="W5562" t="s">
        <v>731</v>
      </c>
      <c r="X5562">
        <v>1112</v>
      </c>
      <c r="Y5562" t="s">
        <v>26653</v>
      </c>
      <c r="Z5562" t="s">
        <v>26664</v>
      </c>
      <c r="AB5562" t="s">
        <v>31172</v>
      </c>
      <c r="AC5562" t="s">
        <v>36011</v>
      </c>
      <c r="AD5562" t="s">
        <v>41343</v>
      </c>
      <c r="AE5562">
        <v>84</v>
      </c>
      <c r="AF5562" t="s">
        <v>45550</v>
      </c>
      <c r="AG5562" t="s">
        <v>19330</v>
      </c>
      <c r="AH5562">
        <v>10</v>
      </c>
      <c r="AI5562">
        <v>2</v>
      </c>
      <c r="AJ5562">
        <v>0</v>
      </c>
      <c r="AK5562">
        <v>154.68</v>
      </c>
      <c r="AN5562" t="s">
        <v>7439</v>
      </c>
      <c r="AO5562">
        <v>26156</v>
      </c>
      <c r="AU5562">
        <v>31.75</v>
      </c>
      <c r="AV5562" t="s">
        <v>832</v>
      </c>
      <c r="AW5562" t="s">
        <v>161</v>
      </c>
      <c r="AX5562" t="s">
        <v>46897</v>
      </c>
    </row>
    <row r="5563" spans="1:50">
      <c r="A5563" s="1">
        <f>HYPERLINK("https://lsnyc.legalserver.org/matter/dynamic-profile/view/1890941","19-1890941")</f>
        <v>0</v>
      </c>
      <c r="B5563" t="s">
        <v>253</v>
      </c>
      <c r="C5563" t="s">
        <v>340</v>
      </c>
      <c r="D5563" t="s">
        <v>731</v>
      </c>
      <c r="F5563" t="s">
        <v>1769</v>
      </c>
      <c r="G5563" t="s">
        <v>7742</v>
      </c>
      <c r="H5563" t="s">
        <v>13728</v>
      </c>
      <c r="I5563" t="s">
        <v>17410</v>
      </c>
      <c r="J5563" t="s">
        <v>18892</v>
      </c>
      <c r="K5563">
        <v>10468</v>
      </c>
      <c r="L5563" t="s">
        <v>18958</v>
      </c>
      <c r="M5563" t="s">
        <v>18958</v>
      </c>
      <c r="N5563" t="s">
        <v>23083</v>
      </c>
      <c r="O5563" t="s">
        <v>26523</v>
      </c>
      <c r="P5563" t="s">
        <v>26560</v>
      </c>
      <c r="R5563" t="s">
        <v>26579</v>
      </c>
      <c r="U5563" t="s">
        <v>26604</v>
      </c>
      <c r="V5563" t="s">
        <v>26610</v>
      </c>
      <c r="W5563" t="s">
        <v>731</v>
      </c>
      <c r="X5563">
        <v>1569</v>
      </c>
      <c r="Y5563" t="s">
        <v>26650</v>
      </c>
      <c r="AB5563" t="s">
        <v>27305</v>
      </c>
      <c r="AD5563" t="s">
        <v>41344</v>
      </c>
      <c r="AE5563">
        <v>26</v>
      </c>
      <c r="AF5563" t="s">
        <v>45541</v>
      </c>
      <c r="AH5563">
        <v>8</v>
      </c>
      <c r="AI5563">
        <v>2</v>
      </c>
      <c r="AJ5563">
        <v>0</v>
      </c>
      <c r="AK5563">
        <v>159.67</v>
      </c>
      <c r="AN5563" t="s">
        <v>45581</v>
      </c>
      <c r="AO5563">
        <v>27000</v>
      </c>
      <c r="AU5563">
        <v>12.2</v>
      </c>
      <c r="AV5563" t="s">
        <v>809</v>
      </c>
      <c r="AW5563" t="s">
        <v>329</v>
      </c>
    </row>
    <row r="5564" spans="1:50">
      <c r="A5564" s="1">
        <f>HYPERLINK("https://lsnyc.legalserver.org/matter/dynamic-profile/view/1890794","19-1890794")</f>
        <v>0</v>
      </c>
      <c r="B5564" t="s">
        <v>218</v>
      </c>
      <c r="C5564" t="s">
        <v>340</v>
      </c>
      <c r="D5564" t="s">
        <v>731</v>
      </c>
      <c r="F5564" t="s">
        <v>3452</v>
      </c>
      <c r="G5564" t="s">
        <v>5402</v>
      </c>
      <c r="H5564" t="s">
        <v>12597</v>
      </c>
      <c r="I5564" t="s">
        <v>17325</v>
      </c>
      <c r="J5564" t="s">
        <v>18893</v>
      </c>
      <c r="K5564">
        <v>10032</v>
      </c>
      <c r="L5564" t="s">
        <v>18958</v>
      </c>
      <c r="M5564" t="s">
        <v>18958</v>
      </c>
      <c r="P5564" t="s">
        <v>26564</v>
      </c>
      <c r="R5564" t="s">
        <v>26578</v>
      </c>
      <c r="S5564" t="s">
        <v>18958</v>
      </c>
      <c r="U5564" t="s">
        <v>26604</v>
      </c>
      <c r="W5564" t="s">
        <v>731</v>
      </c>
      <c r="X5564">
        <v>650</v>
      </c>
      <c r="Y5564" t="s">
        <v>26651</v>
      </c>
      <c r="Z5564" t="s">
        <v>26661</v>
      </c>
      <c r="AB5564" t="s">
        <v>31173</v>
      </c>
      <c r="AD5564" t="s">
        <v>41345</v>
      </c>
      <c r="AE5564">
        <v>42</v>
      </c>
      <c r="AF5564" t="s">
        <v>45541</v>
      </c>
      <c r="AG5564" t="s">
        <v>19330</v>
      </c>
      <c r="AH5564">
        <v>25</v>
      </c>
      <c r="AI5564">
        <v>3</v>
      </c>
      <c r="AJ5564">
        <v>1</v>
      </c>
      <c r="AK5564">
        <v>139.04</v>
      </c>
      <c r="AN5564" t="s">
        <v>45581</v>
      </c>
      <c r="AO5564">
        <v>35804</v>
      </c>
      <c r="AU5564">
        <v>0</v>
      </c>
      <c r="AW5564" t="s">
        <v>46840</v>
      </c>
    </row>
    <row r="5565" spans="1:50">
      <c r="A5565" s="1">
        <f>HYPERLINK("https://lsnyc.legalserver.org/matter/dynamic-profile/view/1890827","19-1890827")</f>
        <v>0</v>
      </c>
      <c r="B5565" t="s">
        <v>218</v>
      </c>
      <c r="C5565" t="s">
        <v>340</v>
      </c>
      <c r="D5565" t="s">
        <v>731</v>
      </c>
      <c r="F5565" t="s">
        <v>887</v>
      </c>
      <c r="G5565" t="s">
        <v>7743</v>
      </c>
      <c r="H5565" t="s">
        <v>12597</v>
      </c>
      <c r="I5565" t="s">
        <v>17322</v>
      </c>
      <c r="J5565" t="s">
        <v>18893</v>
      </c>
      <c r="K5565">
        <v>10032</v>
      </c>
      <c r="L5565" t="s">
        <v>18958</v>
      </c>
      <c r="M5565" t="s">
        <v>18958</v>
      </c>
      <c r="P5565" t="s">
        <v>26562</v>
      </c>
      <c r="R5565" t="s">
        <v>26578</v>
      </c>
      <c r="S5565" t="s">
        <v>18958</v>
      </c>
      <c r="U5565" t="s">
        <v>26604</v>
      </c>
      <c r="W5565" t="s">
        <v>731</v>
      </c>
      <c r="X5565">
        <v>699.15</v>
      </c>
      <c r="Y5565" t="s">
        <v>26651</v>
      </c>
      <c r="Z5565" t="s">
        <v>26661</v>
      </c>
      <c r="AB5565" t="s">
        <v>31174</v>
      </c>
      <c r="AD5565" t="s">
        <v>41346</v>
      </c>
      <c r="AE5565">
        <v>0</v>
      </c>
      <c r="AF5565" t="s">
        <v>45541</v>
      </c>
      <c r="AG5565" t="s">
        <v>45559</v>
      </c>
      <c r="AH5565">
        <v>40</v>
      </c>
      <c r="AI5565">
        <v>1</v>
      </c>
      <c r="AJ5565">
        <v>0</v>
      </c>
      <c r="AK5565">
        <v>190.71</v>
      </c>
      <c r="AN5565" t="s">
        <v>45581</v>
      </c>
      <c r="AO5565">
        <v>23820</v>
      </c>
      <c r="AU5565">
        <v>0</v>
      </c>
      <c r="AW5565" t="s">
        <v>46840</v>
      </c>
    </row>
    <row r="5566" spans="1:50">
      <c r="A5566" s="1">
        <f>HYPERLINK("https://lsnyc.legalserver.org/matter/dynamic-profile/view/1890878","19-1890878")</f>
        <v>0</v>
      </c>
      <c r="B5566" t="s">
        <v>65</v>
      </c>
      <c r="C5566" t="s">
        <v>340</v>
      </c>
      <c r="D5566" t="s">
        <v>731</v>
      </c>
      <c r="F5566" t="s">
        <v>3453</v>
      </c>
      <c r="G5566" t="s">
        <v>7074</v>
      </c>
      <c r="H5566" t="s">
        <v>13729</v>
      </c>
      <c r="I5566">
        <v>1</v>
      </c>
      <c r="J5566" t="s">
        <v>18892</v>
      </c>
      <c r="K5566">
        <v>10462</v>
      </c>
      <c r="L5566" t="s">
        <v>18958</v>
      </c>
      <c r="M5566" t="s">
        <v>18958</v>
      </c>
      <c r="N5566" t="s">
        <v>23084</v>
      </c>
      <c r="O5566" t="s">
        <v>26523</v>
      </c>
      <c r="P5566" t="s">
        <v>26560</v>
      </c>
      <c r="R5566" t="s">
        <v>26579</v>
      </c>
      <c r="U5566" t="s">
        <v>26604</v>
      </c>
      <c r="V5566" t="s">
        <v>26610</v>
      </c>
      <c r="W5566" t="s">
        <v>731</v>
      </c>
      <c r="X5566">
        <v>1956</v>
      </c>
      <c r="Y5566" t="s">
        <v>26650</v>
      </c>
      <c r="Z5566" t="s">
        <v>26664</v>
      </c>
      <c r="AB5566" t="s">
        <v>31175</v>
      </c>
      <c r="AD5566" t="s">
        <v>41347</v>
      </c>
      <c r="AE5566">
        <v>0</v>
      </c>
      <c r="AF5566" t="s">
        <v>45547</v>
      </c>
      <c r="AG5566" t="s">
        <v>45562</v>
      </c>
      <c r="AH5566">
        <v>5</v>
      </c>
      <c r="AI5566">
        <v>1</v>
      </c>
      <c r="AJ5566">
        <v>5</v>
      </c>
      <c r="AK5566">
        <v>14.12</v>
      </c>
      <c r="AO5566">
        <v>4884</v>
      </c>
      <c r="AU5566">
        <v>23.45</v>
      </c>
      <c r="AV5566" t="s">
        <v>839</v>
      </c>
      <c r="AW5566" t="s">
        <v>334</v>
      </c>
    </row>
    <row r="5567" spans="1:50">
      <c r="A5567" s="1">
        <f>HYPERLINK("https://lsnyc.legalserver.org/matter/dynamic-profile/view/1890962","19-1890962")</f>
        <v>0</v>
      </c>
      <c r="B5567" t="s">
        <v>65</v>
      </c>
      <c r="C5567" t="s">
        <v>340</v>
      </c>
      <c r="D5567" t="s">
        <v>731</v>
      </c>
      <c r="F5567" t="s">
        <v>3148</v>
      </c>
      <c r="G5567" t="s">
        <v>3798</v>
      </c>
      <c r="H5567" t="s">
        <v>13200</v>
      </c>
      <c r="I5567" t="s">
        <v>17293</v>
      </c>
      <c r="J5567" t="s">
        <v>18892</v>
      </c>
      <c r="K5567">
        <v>10467</v>
      </c>
      <c r="L5567" t="s">
        <v>18958</v>
      </c>
      <c r="M5567" t="s">
        <v>18958</v>
      </c>
      <c r="N5567" t="s">
        <v>22483</v>
      </c>
      <c r="O5567" t="s">
        <v>26523</v>
      </c>
      <c r="P5567" t="s">
        <v>26560</v>
      </c>
      <c r="R5567" t="s">
        <v>26579</v>
      </c>
      <c r="U5567" t="s">
        <v>26604</v>
      </c>
      <c r="V5567" t="s">
        <v>26610</v>
      </c>
      <c r="W5567" t="s">
        <v>731</v>
      </c>
      <c r="X5567">
        <v>1081.56</v>
      </c>
      <c r="Y5567" t="s">
        <v>26650</v>
      </c>
      <c r="Z5567" t="s">
        <v>26664</v>
      </c>
      <c r="AB5567" t="s">
        <v>30559</v>
      </c>
      <c r="AC5567" t="s">
        <v>36012</v>
      </c>
      <c r="AD5567" t="s">
        <v>40745</v>
      </c>
      <c r="AE5567">
        <v>0</v>
      </c>
      <c r="AF5567" t="s">
        <v>45541</v>
      </c>
      <c r="AG5567" t="s">
        <v>19330</v>
      </c>
      <c r="AH5567">
        <v>6</v>
      </c>
      <c r="AI5567">
        <v>1</v>
      </c>
      <c r="AJ5567">
        <v>0</v>
      </c>
      <c r="AK5567">
        <v>163.33</v>
      </c>
      <c r="AO5567">
        <v>20400</v>
      </c>
      <c r="AU5567">
        <v>11.25</v>
      </c>
      <c r="AV5567" t="s">
        <v>773</v>
      </c>
      <c r="AW5567" t="s">
        <v>334</v>
      </c>
    </row>
    <row r="5568" spans="1:50">
      <c r="A5568" s="1">
        <f>HYPERLINK("https://lsnyc.legalserver.org/matter/dynamic-profile/view/1890870","19-1890870")</f>
        <v>0</v>
      </c>
      <c r="B5568" t="s">
        <v>112</v>
      </c>
      <c r="C5568" t="s">
        <v>340</v>
      </c>
      <c r="D5568" t="s">
        <v>731</v>
      </c>
      <c r="F5568" t="s">
        <v>887</v>
      </c>
      <c r="G5568" t="s">
        <v>5939</v>
      </c>
      <c r="H5568" t="s">
        <v>13730</v>
      </c>
      <c r="I5568" t="s">
        <v>17316</v>
      </c>
      <c r="J5568" t="s">
        <v>18898</v>
      </c>
      <c r="K5568">
        <v>11691</v>
      </c>
      <c r="L5568" t="s">
        <v>18958</v>
      </c>
      <c r="M5568" t="s">
        <v>18958</v>
      </c>
      <c r="N5568" t="s">
        <v>23085</v>
      </c>
      <c r="O5568" t="s">
        <v>26523</v>
      </c>
      <c r="P5568" t="s">
        <v>26564</v>
      </c>
      <c r="R5568" t="s">
        <v>26578</v>
      </c>
      <c r="S5568" t="s">
        <v>18959</v>
      </c>
      <c r="U5568" t="s">
        <v>26604</v>
      </c>
      <c r="V5568" t="s">
        <v>26611</v>
      </c>
      <c r="W5568" t="s">
        <v>731</v>
      </c>
      <c r="X5568">
        <v>1085</v>
      </c>
      <c r="Y5568" t="s">
        <v>26653</v>
      </c>
      <c r="Z5568" t="s">
        <v>26664</v>
      </c>
      <c r="AB5568" t="s">
        <v>31176</v>
      </c>
      <c r="AC5568" t="s">
        <v>36013</v>
      </c>
      <c r="AD5568" t="s">
        <v>34738</v>
      </c>
      <c r="AE5568">
        <v>84</v>
      </c>
      <c r="AF5568" t="s">
        <v>45541</v>
      </c>
      <c r="AG5568" t="s">
        <v>19330</v>
      </c>
      <c r="AH5568">
        <v>25</v>
      </c>
      <c r="AI5568">
        <v>3</v>
      </c>
      <c r="AJ5568">
        <v>0</v>
      </c>
      <c r="AK5568">
        <v>0</v>
      </c>
      <c r="AN5568" t="s">
        <v>45581</v>
      </c>
      <c r="AO5568">
        <v>0</v>
      </c>
      <c r="AU5568">
        <v>0.5</v>
      </c>
      <c r="AV5568" t="s">
        <v>731</v>
      </c>
      <c r="AW5568" t="s">
        <v>161</v>
      </c>
    </row>
    <row r="5569" spans="1:50">
      <c r="A5569" s="1">
        <f>HYPERLINK("https://lsnyc.legalserver.org/matter/dynamic-profile/view/1890925","19-1890925")</f>
        <v>0</v>
      </c>
      <c r="B5569" t="s">
        <v>112</v>
      </c>
      <c r="C5569" t="s">
        <v>340</v>
      </c>
      <c r="D5569" t="s">
        <v>731</v>
      </c>
      <c r="F5569" t="s">
        <v>3454</v>
      </c>
      <c r="G5569" t="s">
        <v>2506</v>
      </c>
      <c r="H5569" t="s">
        <v>13731</v>
      </c>
      <c r="I5569" t="s">
        <v>17283</v>
      </c>
      <c r="J5569" t="s">
        <v>18900</v>
      </c>
      <c r="K5569">
        <v>11354</v>
      </c>
      <c r="L5569" t="s">
        <v>18958</v>
      </c>
      <c r="M5569" t="s">
        <v>18958</v>
      </c>
      <c r="N5569" t="s">
        <v>23086</v>
      </c>
      <c r="O5569" t="s">
        <v>26523</v>
      </c>
      <c r="P5569" t="s">
        <v>26560</v>
      </c>
      <c r="R5569" t="s">
        <v>26584</v>
      </c>
      <c r="S5569" t="s">
        <v>18959</v>
      </c>
      <c r="U5569" t="s">
        <v>26604</v>
      </c>
      <c r="V5569" t="s">
        <v>26610</v>
      </c>
      <c r="W5569" t="s">
        <v>731</v>
      </c>
      <c r="X5569">
        <v>1550</v>
      </c>
      <c r="Y5569" t="s">
        <v>26653</v>
      </c>
      <c r="Z5569" t="s">
        <v>26664</v>
      </c>
      <c r="AB5569" t="s">
        <v>31177</v>
      </c>
      <c r="AD5569" t="s">
        <v>41348</v>
      </c>
      <c r="AE5569">
        <v>0</v>
      </c>
      <c r="AF5569" t="s">
        <v>20460</v>
      </c>
      <c r="AG5569" t="s">
        <v>19330</v>
      </c>
      <c r="AH5569">
        <v>-1</v>
      </c>
      <c r="AI5569">
        <v>2</v>
      </c>
      <c r="AJ5569">
        <v>2</v>
      </c>
      <c r="AK5569">
        <v>116.5</v>
      </c>
      <c r="AN5569" t="s">
        <v>45581</v>
      </c>
      <c r="AO5569">
        <v>30000</v>
      </c>
      <c r="AU5569">
        <v>7</v>
      </c>
      <c r="AV5569" t="s">
        <v>803</v>
      </c>
      <c r="AW5569" t="s">
        <v>208</v>
      </c>
    </row>
    <row r="5570" spans="1:50">
      <c r="A5570" s="1">
        <f>HYPERLINK("https://lsnyc.legalserver.org/matter/dynamic-profile/view/1890848","19-1890848")</f>
        <v>0</v>
      </c>
      <c r="B5570" t="s">
        <v>112</v>
      </c>
      <c r="C5570" t="s">
        <v>340</v>
      </c>
      <c r="D5570" t="s">
        <v>731</v>
      </c>
      <c r="F5570" t="s">
        <v>1603</v>
      </c>
      <c r="G5570" t="s">
        <v>5147</v>
      </c>
      <c r="H5570" t="s">
        <v>10043</v>
      </c>
      <c r="I5570" t="s">
        <v>17424</v>
      </c>
      <c r="J5570" t="s">
        <v>7026</v>
      </c>
      <c r="K5570">
        <v>11368</v>
      </c>
      <c r="L5570" t="s">
        <v>18958</v>
      </c>
      <c r="M5570" t="s">
        <v>18958</v>
      </c>
      <c r="N5570" t="s">
        <v>23087</v>
      </c>
      <c r="O5570" t="s">
        <v>26523</v>
      </c>
      <c r="P5570" t="s">
        <v>26564</v>
      </c>
      <c r="R5570" t="s">
        <v>26584</v>
      </c>
      <c r="S5570" t="s">
        <v>18959</v>
      </c>
      <c r="U5570" t="s">
        <v>26604</v>
      </c>
      <c r="V5570" t="s">
        <v>26614</v>
      </c>
      <c r="W5570" t="s">
        <v>731</v>
      </c>
      <c r="X5570">
        <v>1667</v>
      </c>
      <c r="Y5570" t="s">
        <v>26653</v>
      </c>
      <c r="Z5570" t="s">
        <v>26664</v>
      </c>
      <c r="AB5570" t="s">
        <v>31178</v>
      </c>
      <c r="AD5570" t="s">
        <v>41349</v>
      </c>
      <c r="AE5570">
        <v>232</v>
      </c>
      <c r="AF5570" t="s">
        <v>45541</v>
      </c>
      <c r="AG5570" t="s">
        <v>19330</v>
      </c>
      <c r="AH5570">
        <v>10</v>
      </c>
      <c r="AI5570">
        <v>1</v>
      </c>
      <c r="AJ5570">
        <v>0</v>
      </c>
      <c r="AK5570">
        <v>145.72</v>
      </c>
      <c r="AN5570" t="s">
        <v>7439</v>
      </c>
      <c r="AO5570">
        <v>18200</v>
      </c>
      <c r="AU5570">
        <v>0.5</v>
      </c>
      <c r="AV5570" t="s">
        <v>731</v>
      </c>
      <c r="AW5570" t="s">
        <v>161</v>
      </c>
    </row>
    <row r="5571" spans="1:50">
      <c r="A5571" s="1">
        <f>HYPERLINK("https://lsnyc.legalserver.org/matter/dynamic-profile/view/1890955","19-1890955")</f>
        <v>0</v>
      </c>
      <c r="B5571" t="s">
        <v>91</v>
      </c>
      <c r="C5571" t="s">
        <v>340</v>
      </c>
      <c r="D5571" t="s">
        <v>731</v>
      </c>
      <c r="F5571" t="s">
        <v>3455</v>
      </c>
      <c r="G5571" t="s">
        <v>7744</v>
      </c>
      <c r="H5571" t="s">
        <v>12800</v>
      </c>
      <c r="I5571" t="s">
        <v>18095</v>
      </c>
      <c r="J5571" t="s">
        <v>7026</v>
      </c>
      <c r="K5571">
        <v>11368</v>
      </c>
      <c r="L5571" t="s">
        <v>18958</v>
      </c>
      <c r="M5571" t="s">
        <v>18958</v>
      </c>
      <c r="N5571" t="s">
        <v>23088</v>
      </c>
      <c r="O5571" t="s">
        <v>26523</v>
      </c>
      <c r="P5571" t="s">
        <v>26564</v>
      </c>
      <c r="R5571" t="s">
        <v>26584</v>
      </c>
      <c r="S5571" t="s">
        <v>18959</v>
      </c>
      <c r="U5571" t="s">
        <v>26604</v>
      </c>
      <c r="V5571" t="s">
        <v>26610</v>
      </c>
      <c r="W5571" t="s">
        <v>731</v>
      </c>
      <c r="X5571">
        <v>1754.8</v>
      </c>
      <c r="Y5571" t="s">
        <v>26653</v>
      </c>
      <c r="Z5571" t="s">
        <v>26664</v>
      </c>
      <c r="AB5571" t="s">
        <v>31179</v>
      </c>
      <c r="AD5571" t="s">
        <v>41350</v>
      </c>
      <c r="AE5571">
        <v>0</v>
      </c>
      <c r="AF5571" t="s">
        <v>20460</v>
      </c>
      <c r="AG5571" t="s">
        <v>19330</v>
      </c>
      <c r="AH5571">
        <v>32</v>
      </c>
      <c r="AI5571">
        <v>2</v>
      </c>
      <c r="AJ5571">
        <v>1</v>
      </c>
      <c r="AK5571">
        <v>73.14</v>
      </c>
      <c r="AN5571" t="s">
        <v>8151</v>
      </c>
      <c r="AO5571">
        <v>15600</v>
      </c>
      <c r="AU5571">
        <v>1.1</v>
      </c>
      <c r="AV5571" t="s">
        <v>747</v>
      </c>
      <c r="AW5571" t="s">
        <v>208</v>
      </c>
    </row>
    <row r="5572" spans="1:50">
      <c r="A5572" s="1">
        <f>HYPERLINK("https://lsnyc.legalserver.org/matter/dynamic-profile/view/1890895","19-1890895")</f>
        <v>0</v>
      </c>
      <c r="B5572" t="s">
        <v>114</v>
      </c>
      <c r="C5572" t="s">
        <v>340</v>
      </c>
      <c r="D5572" t="s">
        <v>731</v>
      </c>
      <c r="F5572" t="s">
        <v>1300</v>
      </c>
      <c r="G5572" t="s">
        <v>7745</v>
      </c>
      <c r="H5572" t="s">
        <v>13732</v>
      </c>
      <c r="I5572" t="s">
        <v>17273</v>
      </c>
      <c r="J5572" t="s">
        <v>18915</v>
      </c>
      <c r="K5572">
        <v>11372</v>
      </c>
      <c r="L5572" t="s">
        <v>18958</v>
      </c>
      <c r="M5572" t="s">
        <v>18958</v>
      </c>
      <c r="N5572" t="s">
        <v>23089</v>
      </c>
      <c r="O5572" t="s">
        <v>26524</v>
      </c>
      <c r="P5572" t="s">
        <v>26563</v>
      </c>
      <c r="R5572" t="s">
        <v>26584</v>
      </c>
      <c r="S5572" t="s">
        <v>18959</v>
      </c>
      <c r="U5572" t="s">
        <v>26604</v>
      </c>
      <c r="V5572" t="s">
        <v>26610</v>
      </c>
      <c r="W5572" t="s">
        <v>731</v>
      </c>
      <c r="X5572">
        <v>1094</v>
      </c>
      <c r="Y5572" t="s">
        <v>26653</v>
      </c>
      <c r="Z5572" t="s">
        <v>26664</v>
      </c>
      <c r="AB5572" t="s">
        <v>31180</v>
      </c>
      <c r="AC5572" t="s">
        <v>36014</v>
      </c>
      <c r="AD5572" t="s">
        <v>41351</v>
      </c>
      <c r="AE5572">
        <v>38</v>
      </c>
      <c r="AF5572" t="s">
        <v>45541</v>
      </c>
      <c r="AG5572" t="s">
        <v>19330</v>
      </c>
      <c r="AH5572">
        <v>15</v>
      </c>
      <c r="AI5572">
        <v>1</v>
      </c>
      <c r="AJ5572">
        <v>4</v>
      </c>
      <c r="AK5572">
        <v>18.61</v>
      </c>
      <c r="AN5572" t="s">
        <v>45581</v>
      </c>
      <c r="AO5572">
        <v>5616</v>
      </c>
      <c r="AU5572">
        <v>8.6</v>
      </c>
      <c r="AV5572" t="s">
        <v>807</v>
      </c>
      <c r="AW5572" t="s">
        <v>161</v>
      </c>
    </row>
    <row r="5573" spans="1:50">
      <c r="A5573" s="1">
        <f>HYPERLINK("https://lsnyc.legalserver.org/matter/dynamic-profile/view/1890891","19-1890891")</f>
        <v>0</v>
      </c>
      <c r="B5573" t="s">
        <v>87</v>
      </c>
      <c r="C5573" t="s">
        <v>340</v>
      </c>
      <c r="D5573" t="s">
        <v>731</v>
      </c>
      <c r="F5573" t="s">
        <v>1206</v>
      </c>
      <c r="G5573" t="s">
        <v>7746</v>
      </c>
      <c r="H5573" t="s">
        <v>13733</v>
      </c>
      <c r="I5573">
        <v>607</v>
      </c>
      <c r="J5573" t="s">
        <v>18892</v>
      </c>
      <c r="K5573">
        <v>10468</v>
      </c>
      <c r="L5573" t="s">
        <v>18958</v>
      </c>
      <c r="M5573" t="s">
        <v>18958</v>
      </c>
      <c r="N5573" t="s">
        <v>23090</v>
      </c>
      <c r="O5573" t="s">
        <v>26523</v>
      </c>
      <c r="P5573" t="s">
        <v>26560</v>
      </c>
      <c r="R5573" t="s">
        <v>26579</v>
      </c>
      <c r="U5573" t="s">
        <v>26604</v>
      </c>
      <c r="V5573" t="s">
        <v>26610</v>
      </c>
      <c r="W5573" t="s">
        <v>731</v>
      </c>
      <c r="X5573">
        <v>0</v>
      </c>
      <c r="Y5573" t="s">
        <v>26650</v>
      </c>
      <c r="Z5573" t="s">
        <v>26664</v>
      </c>
      <c r="AB5573" t="s">
        <v>31181</v>
      </c>
      <c r="AD5573" t="s">
        <v>41352</v>
      </c>
      <c r="AE5573">
        <v>0</v>
      </c>
      <c r="AF5573" t="s">
        <v>45550</v>
      </c>
      <c r="AH5573">
        <v>0</v>
      </c>
      <c r="AI5573">
        <v>1</v>
      </c>
      <c r="AJ5573">
        <v>0</v>
      </c>
      <c r="AK5573">
        <v>128.1</v>
      </c>
      <c r="AN5573" t="s">
        <v>45581</v>
      </c>
      <c r="AO5573">
        <v>16000</v>
      </c>
      <c r="AU5573">
        <v>4.25</v>
      </c>
      <c r="AV5573" t="s">
        <v>794</v>
      </c>
      <c r="AW5573" t="s">
        <v>334</v>
      </c>
    </row>
    <row r="5574" spans="1:50">
      <c r="A5574" s="1">
        <f>HYPERLINK("https://lsnyc.legalserver.org/matter/dynamic-profile/view/1890903","19-1890903")</f>
        <v>0</v>
      </c>
      <c r="B5574" t="s">
        <v>221</v>
      </c>
      <c r="C5574" t="s">
        <v>340</v>
      </c>
      <c r="D5574" t="s">
        <v>731</v>
      </c>
      <c r="F5574" t="s">
        <v>3456</v>
      </c>
      <c r="G5574" t="s">
        <v>7747</v>
      </c>
      <c r="H5574" t="s">
        <v>13734</v>
      </c>
      <c r="I5574" t="s">
        <v>17274</v>
      </c>
      <c r="J5574" t="s">
        <v>18901</v>
      </c>
      <c r="K5574">
        <v>11433</v>
      </c>
      <c r="L5574" t="s">
        <v>18958</v>
      </c>
      <c r="M5574" t="s">
        <v>18958</v>
      </c>
      <c r="N5574" t="s">
        <v>23091</v>
      </c>
      <c r="O5574" t="s">
        <v>26523</v>
      </c>
      <c r="P5574" t="s">
        <v>26560</v>
      </c>
      <c r="R5574" t="s">
        <v>26585</v>
      </c>
      <c r="S5574" t="s">
        <v>18959</v>
      </c>
      <c r="U5574" t="s">
        <v>26604</v>
      </c>
      <c r="V5574" t="s">
        <v>26610</v>
      </c>
      <c r="W5574" t="s">
        <v>731</v>
      </c>
      <c r="X5574">
        <v>1956</v>
      </c>
      <c r="Y5574" t="s">
        <v>26653</v>
      </c>
      <c r="Z5574" t="s">
        <v>26664</v>
      </c>
      <c r="AB5574" t="s">
        <v>31182</v>
      </c>
      <c r="AC5574" t="s">
        <v>36015</v>
      </c>
      <c r="AD5574" t="s">
        <v>41353</v>
      </c>
      <c r="AE5574">
        <v>2</v>
      </c>
      <c r="AF5574" t="s">
        <v>45547</v>
      </c>
      <c r="AG5574" t="s">
        <v>19330</v>
      </c>
      <c r="AH5574">
        <v>1</v>
      </c>
      <c r="AI5574">
        <v>2</v>
      </c>
      <c r="AJ5574">
        <v>4</v>
      </c>
      <c r="AK5574">
        <v>45.79</v>
      </c>
      <c r="AN5574" t="s">
        <v>7439</v>
      </c>
      <c r="AO5574">
        <v>15840</v>
      </c>
      <c r="AU5574">
        <v>96.55</v>
      </c>
      <c r="AV5574" t="s">
        <v>839</v>
      </c>
      <c r="AW5574" t="s">
        <v>161</v>
      </c>
    </row>
    <row r="5575" spans="1:50">
      <c r="A5575" s="1">
        <f>HYPERLINK("https://lsnyc.legalserver.org/matter/dynamic-profile/view/1891009","19-1891009")</f>
        <v>0</v>
      </c>
      <c r="B5575" t="s">
        <v>98</v>
      </c>
      <c r="C5575" t="s">
        <v>341</v>
      </c>
      <c r="D5575" t="s">
        <v>740</v>
      </c>
      <c r="E5575" t="s">
        <v>784</v>
      </c>
      <c r="F5575" t="s">
        <v>893</v>
      </c>
      <c r="G5575" t="s">
        <v>7748</v>
      </c>
      <c r="H5575" t="s">
        <v>13735</v>
      </c>
      <c r="I5575" t="s">
        <v>17520</v>
      </c>
      <c r="J5575" t="s">
        <v>18892</v>
      </c>
      <c r="K5575">
        <v>10459</v>
      </c>
      <c r="L5575" t="s">
        <v>18958</v>
      </c>
      <c r="M5575" t="s">
        <v>18958</v>
      </c>
      <c r="O5575" t="s">
        <v>18997</v>
      </c>
      <c r="P5575" t="s">
        <v>26565</v>
      </c>
      <c r="Q5575" t="s">
        <v>26571</v>
      </c>
      <c r="R5575" t="s">
        <v>26578</v>
      </c>
      <c r="S5575" t="s">
        <v>18959</v>
      </c>
      <c r="U5575" t="s">
        <v>26604</v>
      </c>
      <c r="W5575" t="s">
        <v>731</v>
      </c>
      <c r="X5575">
        <v>1048.5</v>
      </c>
      <c r="Y5575" t="s">
        <v>26650</v>
      </c>
      <c r="Z5575" t="s">
        <v>26663</v>
      </c>
      <c r="AA5575" t="s">
        <v>26683</v>
      </c>
      <c r="AB5575" t="s">
        <v>31183</v>
      </c>
      <c r="AD5575" t="s">
        <v>41354</v>
      </c>
      <c r="AE5575">
        <v>9</v>
      </c>
      <c r="AF5575" t="s">
        <v>45541</v>
      </c>
      <c r="AG5575" t="s">
        <v>19330</v>
      </c>
      <c r="AH5575">
        <v>5</v>
      </c>
      <c r="AI5575">
        <v>1</v>
      </c>
      <c r="AJ5575">
        <v>0</v>
      </c>
      <c r="AK5575">
        <v>8.01</v>
      </c>
      <c r="AN5575" t="s">
        <v>7439</v>
      </c>
      <c r="AO5575">
        <v>1000</v>
      </c>
      <c r="AU5575">
        <v>3.05</v>
      </c>
      <c r="AV5575" t="s">
        <v>784</v>
      </c>
      <c r="AW5575" t="s">
        <v>98</v>
      </c>
    </row>
    <row r="5576" spans="1:50">
      <c r="A5576" s="1">
        <f>HYPERLINK("https://lsnyc.legalserver.org/matter/dynamic-profile/view/1891000","19-1891000")</f>
        <v>0</v>
      </c>
      <c r="B5576" t="s">
        <v>98</v>
      </c>
      <c r="C5576" t="s">
        <v>341</v>
      </c>
      <c r="D5576" t="s">
        <v>740</v>
      </c>
      <c r="E5576" t="s">
        <v>753</v>
      </c>
      <c r="F5576" t="s">
        <v>2655</v>
      </c>
      <c r="G5576" t="s">
        <v>5199</v>
      </c>
      <c r="H5576" t="s">
        <v>13736</v>
      </c>
      <c r="I5576" t="s">
        <v>17312</v>
      </c>
      <c r="J5576" t="s">
        <v>18892</v>
      </c>
      <c r="K5576">
        <v>10468</v>
      </c>
      <c r="L5576" t="s">
        <v>18958</v>
      </c>
      <c r="M5576" t="s">
        <v>18958</v>
      </c>
      <c r="O5576" t="s">
        <v>18997</v>
      </c>
      <c r="P5576" t="s">
        <v>26564</v>
      </c>
      <c r="Q5576" t="s">
        <v>26570</v>
      </c>
      <c r="R5576" t="s">
        <v>26578</v>
      </c>
      <c r="S5576" t="s">
        <v>18959</v>
      </c>
      <c r="U5576" t="s">
        <v>26604</v>
      </c>
      <c r="W5576" t="s">
        <v>731</v>
      </c>
      <c r="X5576">
        <v>1505.6</v>
      </c>
      <c r="Y5576" t="s">
        <v>26650</v>
      </c>
      <c r="Z5576" t="s">
        <v>26663</v>
      </c>
      <c r="AA5576" t="s">
        <v>26683</v>
      </c>
      <c r="AB5576" t="s">
        <v>31184</v>
      </c>
      <c r="AD5576" t="s">
        <v>41355</v>
      </c>
      <c r="AE5576">
        <v>49</v>
      </c>
      <c r="AF5576" t="s">
        <v>45541</v>
      </c>
      <c r="AG5576" t="s">
        <v>45556</v>
      </c>
      <c r="AH5576">
        <v>8</v>
      </c>
      <c r="AI5576">
        <v>1</v>
      </c>
      <c r="AJ5576">
        <v>0</v>
      </c>
      <c r="AK5576">
        <v>86.47</v>
      </c>
      <c r="AN5576" t="s">
        <v>45581</v>
      </c>
      <c r="AO5576">
        <v>10800</v>
      </c>
      <c r="AU5576">
        <v>1.2</v>
      </c>
      <c r="AV5576" t="s">
        <v>753</v>
      </c>
      <c r="AW5576" t="s">
        <v>98</v>
      </c>
    </row>
    <row r="5577" spans="1:50">
      <c r="A5577" s="1">
        <f>HYPERLINK("https://lsnyc.legalserver.org/matter/dynamic-profile/view/1891547","19-1891547")</f>
        <v>0</v>
      </c>
      <c r="B5577" t="s">
        <v>52</v>
      </c>
      <c r="C5577" t="s">
        <v>341</v>
      </c>
      <c r="D5577" t="s">
        <v>757</v>
      </c>
      <c r="E5577" t="s">
        <v>787</v>
      </c>
      <c r="F5577" t="s">
        <v>871</v>
      </c>
      <c r="G5577" t="s">
        <v>6498</v>
      </c>
      <c r="H5577" t="s">
        <v>13737</v>
      </c>
      <c r="I5577">
        <v>1</v>
      </c>
      <c r="J5577" t="s">
        <v>18892</v>
      </c>
      <c r="K5577">
        <v>10453</v>
      </c>
      <c r="L5577" t="s">
        <v>18958</v>
      </c>
      <c r="M5577" t="s">
        <v>18958</v>
      </c>
      <c r="N5577" t="s">
        <v>23092</v>
      </c>
      <c r="O5577" t="s">
        <v>26523</v>
      </c>
      <c r="P5577" t="s">
        <v>26564</v>
      </c>
      <c r="Q5577" t="s">
        <v>26570</v>
      </c>
      <c r="R5577" t="s">
        <v>26578</v>
      </c>
      <c r="S5577" t="s">
        <v>18959</v>
      </c>
      <c r="U5577" t="s">
        <v>26604</v>
      </c>
      <c r="V5577" t="s">
        <v>26612</v>
      </c>
      <c r="W5577" t="s">
        <v>731</v>
      </c>
      <c r="X5577">
        <v>1515</v>
      </c>
      <c r="Y5577" t="s">
        <v>26650</v>
      </c>
      <c r="Z5577" t="s">
        <v>26663</v>
      </c>
      <c r="AA5577" t="s">
        <v>26683</v>
      </c>
      <c r="AB5577" t="s">
        <v>31185</v>
      </c>
      <c r="AD5577" t="s">
        <v>41356</v>
      </c>
      <c r="AE5577">
        <v>3</v>
      </c>
      <c r="AF5577" t="s">
        <v>45547</v>
      </c>
      <c r="AG5577" t="s">
        <v>45557</v>
      </c>
      <c r="AH5577">
        <v>2</v>
      </c>
      <c r="AI5577">
        <v>2</v>
      </c>
      <c r="AJ5577">
        <v>1</v>
      </c>
      <c r="AK5577">
        <v>8.33</v>
      </c>
      <c r="AN5577" t="s">
        <v>45581</v>
      </c>
      <c r="AO5577">
        <v>1776</v>
      </c>
      <c r="AU5577">
        <v>1</v>
      </c>
      <c r="AV5577" t="s">
        <v>757</v>
      </c>
      <c r="AW5577" t="s">
        <v>46847</v>
      </c>
    </row>
    <row r="5578" spans="1:50">
      <c r="A5578" s="1">
        <f>HYPERLINK("https://lsnyc.legalserver.org/matter/dynamic-profile/view/1892068","19-1892068")</f>
        <v>0</v>
      </c>
      <c r="B5578" t="s">
        <v>128</v>
      </c>
      <c r="C5578" t="s">
        <v>341</v>
      </c>
      <c r="D5578" t="s">
        <v>758</v>
      </c>
      <c r="E5578" t="s">
        <v>752</v>
      </c>
      <c r="F5578" t="s">
        <v>1197</v>
      </c>
      <c r="G5578" t="s">
        <v>5008</v>
      </c>
      <c r="H5578" t="s">
        <v>13738</v>
      </c>
      <c r="I5578" t="s">
        <v>17393</v>
      </c>
      <c r="J5578" t="s">
        <v>18894</v>
      </c>
      <c r="K5578">
        <v>11208</v>
      </c>
      <c r="L5578" t="s">
        <v>18958</v>
      </c>
      <c r="M5578" t="s">
        <v>18958</v>
      </c>
      <c r="N5578" t="s">
        <v>23093</v>
      </c>
      <c r="O5578" t="s">
        <v>26524</v>
      </c>
      <c r="P5578" t="s">
        <v>26564</v>
      </c>
      <c r="Q5578" t="s">
        <v>26570</v>
      </c>
      <c r="R5578" t="s">
        <v>26578</v>
      </c>
      <c r="S5578" t="s">
        <v>18959</v>
      </c>
      <c r="U5578" t="s">
        <v>26604</v>
      </c>
      <c r="V5578" t="s">
        <v>26610</v>
      </c>
      <c r="W5578" t="s">
        <v>731</v>
      </c>
      <c r="X5578">
        <v>0</v>
      </c>
      <c r="Y5578" t="s">
        <v>26652</v>
      </c>
      <c r="Z5578" t="s">
        <v>26664</v>
      </c>
      <c r="AA5578" t="s">
        <v>26683</v>
      </c>
      <c r="AB5578" t="s">
        <v>31186</v>
      </c>
      <c r="AD5578" t="s">
        <v>41357</v>
      </c>
      <c r="AE5578">
        <v>3</v>
      </c>
      <c r="AF5578" t="s">
        <v>45547</v>
      </c>
      <c r="AG5578" t="s">
        <v>19330</v>
      </c>
      <c r="AH5578">
        <v>12</v>
      </c>
      <c r="AI5578">
        <v>1</v>
      </c>
      <c r="AJ5578">
        <v>0</v>
      </c>
      <c r="AK5578">
        <v>80.06</v>
      </c>
      <c r="AN5578" t="s">
        <v>7439</v>
      </c>
      <c r="AO5578">
        <v>10000</v>
      </c>
      <c r="AU5578">
        <v>1</v>
      </c>
      <c r="AV5578" t="s">
        <v>752</v>
      </c>
      <c r="AW5578" t="s">
        <v>46853</v>
      </c>
    </row>
    <row r="5579" spans="1:50">
      <c r="A5579" s="1">
        <f>HYPERLINK("https://lsnyc.legalserver.org/matter/dynamic-profile/view/1894265","19-1894265")</f>
        <v>0</v>
      </c>
      <c r="B5579" t="s">
        <v>128</v>
      </c>
      <c r="C5579" t="s">
        <v>341</v>
      </c>
      <c r="D5579" t="s">
        <v>775</v>
      </c>
      <c r="E5579" t="s">
        <v>775</v>
      </c>
      <c r="F5579" t="s">
        <v>900</v>
      </c>
      <c r="G5579" t="s">
        <v>7409</v>
      </c>
      <c r="H5579" t="s">
        <v>13739</v>
      </c>
      <c r="I5579" t="s">
        <v>18264</v>
      </c>
      <c r="J5579" t="s">
        <v>18894</v>
      </c>
      <c r="K5579">
        <v>11218</v>
      </c>
      <c r="L5579" t="s">
        <v>18958</v>
      </c>
      <c r="M5579" t="s">
        <v>18958</v>
      </c>
      <c r="N5579" t="s">
        <v>23094</v>
      </c>
      <c r="O5579" t="s">
        <v>26523</v>
      </c>
      <c r="P5579" t="s">
        <v>26564</v>
      </c>
      <c r="Q5579" t="s">
        <v>26570</v>
      </c>
      <c r="R5579" t="s">
        <v>26586</v>
      </c>
      <c r="S5579" t="s">
        <v>18959</v>
      </c>
      <c r="U5579" t="s">
        <v>26604</v>
      </c>
      <c r="V5579" t="s">
        <v>26610</v>
      </c>
      <c r="W5579" t="s">
        <v>731</v>
      </c>
      <c r="X5579">
        <v>1207.13</v>
      </c>
      <c r="Y5579" t="s">
        <v>26652</v>
      </c>
      <c r="Z5579" t="s">
        <v>26664</v>
      </c>
      <c r="AA5579" t="s">
        <v>26683</v>
      </c>
      <c r="AB5579" t="s">
        <v>31187</v>
      </c>
      <c r="AD5579" t="s">
        <v>41358</v>
      </c>
      <c r="AE5579">
        <v>32</v>
      </c>
      <c r="AF5579" t="s">
        <v>45541</v>
      </c>
      <c r="AG5579" t="s">
        <v>19330</v>
      </c>
      <c r="AH5579">
        <v>18</v>
      </c>
      <c r="AI5579">
        <v>2</v>
      </c>
      <c r="AJ5579">
        <v>3</v>
      </c>
      <c r="AK5579">
        <v>86.18000000000001</v>
      </c>
      <c r="AN5579" t="s">
        <v>45581</v>
      </c>
      <c r="AO5579">
        <v>26000</v>
      </c>
      <c r="AU5579">
        <v>0.5</v>
      </c>
      <c r="AV5579" t="s">
        <v>775</v>
      </c>
      <c r="AW5579" t="s">
        <v>46853</v>
      </c>
    </row>
    <row r="5580" spans="1:50">
      <c r="A5580" s="1">
        <f>HYPERLINK("https://lsnyc.legalserver.org/matter/dynamic-profile/view/1889178","19-1889178")</f>
        <v>0</v>
      </c>
      <c r="B5580" t="s">
        <v>269</v>
      </c>
      <c r="C5580" t="s">
        <v>341</v>
      </c>
      <c r="D5580" t="s">
        <v>693</v>
      </c>
      <c r="E5580" t="s">
        <v>839</v>
      </c>
      <c r="F5580" t="s">
        <v>3457</v>
      </c>
      <c r="G5580" t="s">
        <v>5341</v>
      </c>
      <c r="H5580" t="s">
        <v>13740</v>
      </c>
      <c r="I5580" t="s">
        <v>17284</v>
      </c>
      <c r="J5580" t="s">
        <v>18892</v>
      </c>
      <c r="K5580">
        <v>10459</v>
      </c>
      <c r="L5580" t="s">
        <v>18958</v>
      </c>
      <c r="M5580" t="s">
        <v>18958</v>
      </c>
      <c r="N5580" t="s">
        <v>23095</v>
      </c>
      <c r="O5580" t="s">
        <v>26524</v>
      </c>
      <c r="P5580" t="s">
        <v>26560</v>
      </c>
      <c r="Q5580" t="s">
        <v>26568</v>
      </c>
      <c r="R5580" t="s">
        <v>26577</v>
      </c>
      <c r="S5580" t="s">
        <v>18959</v>
      </c>
      <c r="U5580" t="s">
        <v>26604</v>
      </c>
      <c r="V5580" t="s">
        <v>26609</v>
      </c>
      <c r="W5580" t="s">
        <v>740</v>
      </c>
      <c r="X5580">
        <v>1160</v>
      </c>
      <c r="Y5580" t="s">
        <v>26650</v>
      </c>
      <c r="Z5580" t="s">
        <v>26668</v>
      </c>
      <c r="AA5580" t="s">
        <v>26678</v>
      </c>
      <c r="AB5580" t="s">
        <v>31188</v>
      </c>
      <c r="AC5580" t="s">
        <v>36016</v>
      </c>
      <c r="AD5580" t="s">
        <v>41359</v>
      </c>
      <c r="AE5580">
        <v>28</v>
      </c>
      <c r="AF5580" t="s">
        <v>45541</v>
      </c>
      <c r="AG5580" t="s">
        <v>45561</v>
      </c>
      <c r="AH5580">
        <v>8</v>
      </c>
      <c r="AI5580">
        <v>1</v>
      </c>
      <c r="AJ5580">
        <v>3</v>
      </c>
      <c r="AK5580">
        <v>34.95</v>
      </c>
      <c r="AN5580" t="s">
        <v>7439</v>
      </c>
      <c r="AO5580">
        <v>9000</v>
      </c>
      <c r="AQ5580" t="s">
        <v>46362</v>
      </c>
      <c r="AR5580" t="s">
        <v>26530</v>
      </c>
      <c r="AS5580" t="s">
        <v>46499</v>
      </c>
      <c r="AT5580" t="s">
        <v>46781</v>
      </c>
      <c r="AU5580">
        <v>16.25</v>
      </c>
      <c r="AV5580" t="s">
        <v>769</v>
      </c>
      <c r="AW5580" t="s">
        <v>46832</v>
      </c>
      <c r="AX5580" t="s">
        <v>46898</v>
      </c>
    </row>
    <row r="5581" spans="1:50">
      <c r="A5581" s="1">
        <f>HYPERLINK("https://lsnyc.legalserver.org/matter/dynamic-profile/view/1889406","19-1889406")</f>
        <v>0</v>
      </c>
      <c r="B5581" t="s">
        <v>70</v>
      </c>
      <c r="C5581" t="s">
        <v>340</v>
      </c>
      <c r="D5581" t="s">
        <v>677</v>
      </c>
      <c r="F5581" t="s">
        <v>3458</v>
      </c>
      <c r="G5581" t="s">
        <v>1993</v>
      </c>
      <c r="H5581" t="s">
        <v>13720</v>
      </c>
      <c r="I5581" t="s">
        <v>17273</v>
      </c>
      <c r="J5581" t="s">
        <v>18892</v>
      </c>
      <c r="K5581">
        <v>10467</v>
      </c>
      <c r="L5581" t="s">
        <v>18958</v>
      </c>
      <c r="M5581" t="s">
        <v>18958</v>
      </c>
      <c r="N5581" t="s">
        <v>23096</v>
      </c>
      <c r="O5581" t="s">
        <v>26526</v>
      </c>
      <c r="P5581" t="s">
        <v>26560</v>
      </c>
      <c r="R5581" t="s">
        <v>26577</v>
      </c>
      <c r="S5581" t="s">
        <v>18959</v>
      </c>
      <c r="U5581" t="s">
        <v>26604</v>
      </c>
      <c r="V5581" t="s">
        <v>26610</v>
      </c>
      <c r="W5581" t="s">
        <v>740</v>
      </c>
      <c r="X5581">
        <v>1091.61</v>
      </c>
      <c r="Y5581" t="s">
        <v>26650</v>
      </c>
      <c r="Z5581" t="s">
        <v>26668</v>
      </c>
      <c r="AB5581" t="s">
        <v>31189</v>
      </c>
      <c r="AD5581" t="s">
        <v>41360</v>
      </c>
      <c r="AE5581">
        <v>52</v>
      </c>
      <c r="AF5581" t="s">
        <v>45541</v>
      </c>
      <c r="AG5581" t="s">
        <v>19330</v>
      </c>
      <c r="AH5581">
        <v>27</v>
      </c>
      <c r="AI5581">
        <v>2</v>
      </c>
      <c r="AJ5581">
        <v>3</v>
      </c>
      <c r="AK5581">
        <v>68.94</v>
      </c>
      <c r="AN5581" t="s">
        <v>7439</v>
      </c>
      <c r="AO5581">
        <v>20800</v>
      </c>
      <c r="AU5581">
        <v>12.3</v>
      </c>
      <c r="AV5581" t="s">
        <v>832</v>
      </c>
      <c r="AW5581" t="s">
        <v>46870</v>
      </c>
    </row>
    <row r="5582" spans="1:50">
      <c r="A5582" s="1">
        <f>HYPERLINK("https://lsnyc.legalserver.org/matter/dynamic-profile/view/1889854","19-1889854")</f>
        <v>0</v>
      </c>
      <c r="B5582" t="s">
        <v>100</v>
      </c>
      <c r="C5582" t="s">
        <v>340</v>
      </c>
      <c r="D5582" t="s">
        <v>714</v>
      </c>
      <c r="F5582" t="s">
        <v>3344</v>
      </c>
      <c r="G5582" t="s">
        <v>7284</v>
      </c>
      <c r="H5582" t="s">
        <v>9760</v>
      </c>
      <c r="I5582" t="s">
        <v>17319</v>
      </c>
      <c r="J5582" t="s">
        <v>18892</v>
      </c>
      <c r="K5582">
        <v>10452</v>
      </c>
      <c r="L5582" t="s">
        <v>18958</v>
      </c>
      <c r="M5582" t="s">
        <v>18958</v>
      </c>
      <c r="O5582" t="s">
        <v>26523</v>
      </c>
      <c r="P5582" t="s">
        <v>26564</v>
      </c>
      <c r="R5582" t="s">
        <v>26578</v>
      </c>
      <c r="S5582" t="s">
        <v>18959</v>
      </c>
      <c r="U5582" t="s">
        <v>26604</v>
      </c>
      <c r="W5582" t="s">
        <v>740</v>
      </c>
      <c r="X5582">
        <v>715.1900000000001</v>
      </c>
      <c r="Y5582" t="s">
        <v>26650</v>
      </c>
      <c r="Z5582" t="s">
        <v>26663</v>
      </c>
      <c r="AB5582" t="s">
        <v>31190</v>
      </c>
      <c r="AD5582" t="s">
        <v>41361</v>
      </c>
      <c r="AE5582">
        <v>147</v>
      </c>
      <c r="AF5582" t="s">
        <v>45543</v>
      </c>
      <c r="AG5582" t="s">
        <v>45556</v>
      </c>
      <c r="AH5582">
        <v>25</v>
      </c>
      <c r="AI5582">
        <v>1</v>
      </c>
      <c r="AJ5582">
        <v>0</v>
      </c>
      <c r="AK5582">
        <v>34.11</v>
      </c>
      <c r="AN5582" t="s">
        <v>7439</v>
      </c>
      <c r="AO5582">
        <v>4260</v>
      </c>
      <c r="AU5582">
        <v>0.1</v>
      </c>
      <c r="AV5582" t="s">
        <v>740</v>
      </c>
      <c r="AW5582" t="s">
        <v>46847</v>
      </c>
    </row>
    <row r="5583" spans="1:50">
      <c r="A5583" s="1">
        <f>HYPERLINK("https://lsnyc.legalserver.org/matter/dynamic-profile/view/1890057","19-1890057")</f>
        <v>0</v>
      </c>
      <c r="B5583" t="s">
        <v>128</v>
      </c>
      <c r="C5583" t="s">
        <v>341</v>
      </c>
      <c r="D5583" t="s">
        <v>744</v>
      </c>
      <c r="E5583" t="s">
        <v>804</v>
      </c>
      <c r="F5583" t="s">
        <v>937</v>
      </c>
      <c r="G5583" t="s">
        <v>5565</v>
      </c>
      <c r="H5583" t="s">
        <v>10970</v>
      </c>
      <c r="I5583" t="s">
        <v>17648</v>
      </c>
      <c r="J5583" t="s">
        <v>18894</v>
      </c>
      <c r="K5583">
        <v>11217</v>
      </c>
      <c r="L5583" t="s">
        <v>18958</v>
      </c>
      <c r="M5583" t="s">
        <v>18958</v>
      </c>
      <c r="N5583" t="s">
        <v>20167</v>
      </c>
      <c r="O5583" t="s">
        <v>26523</v>
      </c>
      <c r="P5583" t="s">
        <v>26560</v>
      </c>
      <c r="Q5583" t="s">
        <v>26568</v>
      </c>
      <c r="R5583" t="s">
        <v>26586</v>
      </c>
      <c r="S5583" t="s">
        <v>18959</v>
      </c>
      <c r="U5583" t="s">
        <v>26604</v>
      </c>
      <c r="V5583" t="s">
        <v>26610</v>
      </c>
      <c r="W5583" t="s">
        <v>740</v>
      </c>
      <c r="X5583">
        <v>581</v>
      </c>
      <c r="Y5583" t="s">
        <v>26652</v>
      </c>
      <c r="Z5583" t="s">
        <v>26659</v>
      </c>
      <c r="AA5583" t="s">
        <v>26677</v>
      </c>
      <c r="AB5583" t="s">
        <v>27278</v>
      </c>
      <c r="AD5583" t="s">
        <v>38194</v>
      </c>
      <c r="AE5583">
        <v>8</v>
      </c>
      <c r="AF5583" t="s">
        <v>45551</v>
      </c>
      <c r="AG5583" t="s">
        <v>19330</v>
      </c>
      <c r="AH5583">
        <v>20</v>
      </c>
      <c r="AI5583">
        <v>2</v>
      </c>
      <c r="AJ5583">
        <v>2</v>
      </c>
      <c r="AK5583">
        <v>40.28</v>
      </c>
      <c r="AN5583" t="s">
        <v>45581</v>
      </c>
      <c r="AO5583">
        <v>10372</v>
      </c>
      <c r="AQ5583" t="s">
        <v>46359</v>
      </c>
      <c r="AR5583" t="s">
        <v>46381</v>
      </c>
      <c r="AS5583" t="s">
        <v>46499</v>
      </c>
      <c r="AT5583" t="s">
        <v>46708</v>
      </c>
      <c r="AU5583">
        <v>13.5</v>
      </c>
      <c r="AV5583" t="s">
        <v>806</v>
      </c>
      <c r="AW5583" t="s">
        <v>46853</v>
      </c>
      <c r="AX5583" t="s">
        <v>46897</v>
      </c>
    </row>
    <row r="5584" spans="1:50">
      <c r="A5584" s="1">
        <f>HYPERLINK("https://lsnyc.legalserver.org/matter/dynamic-profile/view/1890632","19-1890632")</f>
        <v>0</v>
      </c>
      <c r="B5584" t="s">
        <v>136</v>
      </c>
      <c r="C5584" t="s">
        <v>340</v>
      </c>
      <c r="D5584" t="s">
        <v>745</v>
      </c>
      <c r="F5584" t="s">
        <v>2112</v>
      </c>
      <c r="G5584" t="s">
        <v>1725</v>
      </c>
      <c r="H5584" t="s">
        <v>10791</v>
      </c>
      <c r="I5584" t="s">
        <v>17389</v>
      </c>
      <c r="J5584" t="s">
        <v>18892</v>
      </c>
      <c r="K5584">
        <v>10456</v>
      </c>
      <c r="L5584" t="s">
        <v>18958</v>
      </c>
      <c r="M5584" t="s">
        <v>18958</v>
      </c>
      <c r="N5584" t="s">
        <v>23097</v>
      </c>
      <c r="O5584" t="s">
        <v>26524</v>
      </c>
      <c r="P5584" t="s">
        <v>26560</v>
      </c>
      <c r="R5584" t="s">
        <v>26577</v>
      </c>
      <c r="U5584" t="s">
        <v>26604</v>
      </c>
      <c r="V5584" t="s">
        <v>26610</v>
      </c>
      <c r="W5584" t="s">
        <v>740</v>
      </c>
      <c r="X5584">
        <v>226</v>
      </c>
      <c r="Y5584" t="s">
        <v>26650</v>
      </c>
      <c r="Z5584" t="s">
        <v>26668</v>
      </c>
      <c r="AB5584" t="s">
        <v>31191</v>
      </c>
      <c r="AD5584" t="s">
        <v>41362</v>
      </c>
      <c r="AE5584">
        <v>0</v>
      </c>
      <c r="AH5584">
        <v>14</v>
      </c>
      <c r="AI5584">
        <v>1</v>
      </c>
      <c r="AJ5584">
        <v>0</v>
      </c>
      <c r="AK5584">
        <v>140.11</v>
      </c>
      <c r="AN5584" t="s">
        <v>45581</v>
      </c>
      <c r="AO5584">
        <v>17500</v>
      </c>
      <c r="AU5584">
        <v>13</v>
      </c>
      <c r="AV5584" t="s">
        <v>828</v>
      </c>
      <c r="AW5584" t="s">
        <v>334</v>
      </c>
    </row>
    <row r="5585" spans="1:50">
      <c r="A5585" s="1">
        <f>HYPERLINK("https://lsnyc.legalserver.org/matter/dynamic-profile/view/1890863","19-1890863")</f>
        <v>0</v>
      </c>
      <c r="B5585" t="s">
        <v>85</v>
      </c>
      <c r="C5585" t="s">
        <v>340</v>
      </c>
      <c r="D5585" t="s">
        <v>731</v>
      </c>
      <c r="F5585" t="s">
        <v>2123</v>
      </c>
      <c r="G5585" t="s">
        <v>7749</v>
      </c>
      <c r="H5585" t="s">
        <v>13741</v>
      </c>
      <c r="I5585" t="s">
        <v>17430</v>
      </c>
      <c r="J5585" t="s">
        <v>18918</v>
      </c>
      <c r="K5585">
        <v>11416</v>
      </c>
      <c r="L5585" t="s">
        <v>18958</v>
      </c>
      <c r="M5585" t="s">
        <v>18958</v>
      </c>
      <c r="N5585" t="s">
        <v>23098</v>
      </c>
      <c r="O5585" t="s">
        <v>26533</v>
      </c>
      <c r="P5585" t="s">
        <v>26564</v>
      </c>
      <c r="R5585" t="s">
        <v>26584</v>
      </c>
      <c r="S5585" t="s">
        <v>18959</v>
      </c>
      <c r="U5585" t="s">
        <v>26604</v>
      </c>
      <c r="V5585" t="s">
        <v>26610</v>
      </c>
      <c r="W5585" t="s">
        <v>740</v>
      </c>
      <c r="X5585">
        <v>1800</v>
      </c>
      <c r="Y5585" t="s">
        <v>26653</v>
      </c>
      <c r="Z5585" t="s">
        <v>26664</v>
      </c>
      <c r="AB5585" t="s">
        <v>31192</v>
      </c>
      <c r="AD5585" t="s">
        <v>41363</v>
      </c>
      <c r="AE5585">
        <v>2</v>
      </c>
      <c r="AF5585" t="s">
        <v>45547</v>
      </c>
      <c r="AG5585" t="s">
        <v>19330</v>
      </c>
      <c r="AH5585">
        <v>-1</v>
      </c>
      <c r="AI5585">
        <v>1</v>
      </c>
      <c r="AJ5585">
        <v>0</v>
      </c>
      <c r="AK5585">
        <v>168.13</v>
      </c>
      <c r="AN5585" t="s">
        <v>7439</v>
      </c>
      <c r="AO5585">
        <v>21000</v>
      </c>
      <c r="AU5585">
        <v>1.1</v>
      </c>
      <c r="AV5585" t="s">
        <v>728</v>
      </c>
      <c r="AW5585" t="s">
        <v>161</v>
      </c>
    </row>
    <row r="5586" spans="1:50">
      <c r="A5586" s="1">
        <f>HYPERLINK("https://lsnyc.legalserver.org/matter/dynamic-profile/view/1890446","19-1890446")</f>
        <v>0</v>
      </c>
      <c r="B5586" t="s">
        <v>68</v>
      </c>
      <c r="C5586" t="s">
        <v>340</v>
      </c>
      <c r="D5586" t="s">
        <v>731</v>
      </c>
      <c r="F5586" t="s">
        <v>2611</v>
      </c>
      <c r="G5586" t="s">
        <v>6843</v>
      </c>
      <c r="H5586" t="s">
        <v>12263</v>
      </c>
      <c r="I5586">
        <v>1</v>
      </c>
      <c r="J5586" t="s">
        <v>18892</v>
      </c>
      <c r="K5586">
        <v>10461</v>
      </c>
      <c r="L5586" t="s">
        <v>18958</v>
      </c>
      <c r="M5586" t="s">
        <v>18958</v>
      </c>
      <c r="N5586" t="s">
        <v>23099</v>
      </c>
      <c r="O5586" t="s">
        <v>26523</v>
      </c>
      <c r="P5586" t="s">
        <v>26560</v>
      </c>
      <c r="R5586" t="s">
        <v>26577</v>
      </c>
      <c r="S5586" t="s">
        <v>18959</v>
      </c>
      <c r="U5586" t="s">
        <v>26604</v>
      </c>
      <c r="V5586" t="s">
        <v>26610</v>
      </c>
      <c r="W5586" t="s">
        <v>740</v>
      </c>
      <c r="X5586">
        <v>1141.16</v>
      </c>
      <c r="Y5586" t="s">
        <v>26650</v>
      </c>
      <c r="Z5586" t="s">
        <v>26661</v>
      </c>
      <c r="AB5586" t="s">
        <v>26758</v>
      </c>
      <c r="AC5586" t="s">
        <v>36017</v>
      </c>
      <c r="AD5586" t="s">
        <v>39620</v>
      </c>
      <c r="AE5586">
        <v>2</v>
      </c>
      <c r="AF5586" t="s">
        <v>45541</v>
      </c>
      <c r="AG5586" t="s">
        <v>45558</v>
      </c>
      <c r="AH5586">
        <v>13</v>
      </c>
      <c r="AI5586">
        <v>2</v>
      </c>
      <c r="AJ5586">
        <v>3</v>
      </c>
      <c r="AK5586">
        <v>37.23</v>
      </c>
      <c r="AN5586" t="s">
        <v>45581</v>
      </c>
      <c r="AO5586">
        <v>11232</v>
      </c>
      <c r="AU5586">
        <v>17.2</v>
      </c>
      <c r="AV5586" t="s">
        <v>825</v>
      </c>
      <c r="AW5586" t="s">
        <v>291</v>
      </c>
    </row>
    <row r="5587" spans="1:50">
      <c r="A5587" s="1">
        <f>HYPERLINK("https://lsnyc.legalserver.org/matter/dynamic-profile/view/1890890","19-1890890")</f>
        <v>0</v>
      </c>
      <c r="B5587" t="s">
        <v>112</v>
      </c>
      <c r="C5587" t="s">
        <v>340</v>
      </c>
      <c r="D5587" t="s">
        <v>731</v>
      </c>
      <c r="F5587" t="s">
        <v>3459</v>
      </c>
      <c r="G5587" t="s">
        <v>7750</v>
      </c>
      <c r="H5587" t="s">
        <v>13742</v>
      </c>
      <c r="I5587" t="s">
        <v>17306</v>
      </c>
      <c r="J5587" t="s">
        <v>18928</v>
      </c>
      <c r="K5587">
        <v>11365</v>
      </c>
      <c r="L5587" t="s">
        <v>18958</v>
      </c>
      <c r="M5587" t="s">
        <v>18958</v>
      </c>
      <c r="N5587" t="s">
        <v>23100</v>
      </c>
      <c r="O5587" t="s">
        <v>26524</v>
      </c>
      <c r="P5587" t="s">
        <v>26563</v>
      </c>
      <c r="R5587" t="s">
        <v>26584</v>
      </c>
      <c r="S5587" t="s">
        <v>18959</v>
      </c>
      <c r="U5587" t="s">
        <v>26604</v>
      </c>
      <c r="V5587" t="s">
        <v>26610</v>
      </c>
      <c r="W5587" t="s">
        <v>740</v>
      </c>
      <c r="X5587">
        <v>1830</v>
      </c>
      <c r="Y5587" t="s">
        <v>26653</v>
      </c>
      <c r="Z5587" t="s">
        <v>26664</v>
      </c>
      <c r="AB5587" t="s">
        <v>31193</v>
      </c>
      <c r="AD5587" t="s">
        <v>41364</v>
      </c>
      <c r="AE5587">
        <v>251</v>
      </c>
      <c r="AF5587" t="s">
        <v>20460</v>
      </c>
      <c r="AG5587" t="s">
        <v>19330</v>
      </c>
      <c r="AH5587">
        <v>4</v>
      </c>
      <c r="AI5587">
        <v>1</v>
      </c>
      <c r="AJ5587">
        <v>1</v>
      </c>
      <c r="AK5587">
        <v>138.38</v>
      </c>
      <c r="AN5587" t="s">
        <v>7439</v>
      </c>
      <c r="AO5587">
        <v>23400</v>
      </c>
      <c r="AU5587">
        <v>0</v>
      </c>
      <c r="AW5587" t="s">
        <v>161</v>
      </c>
    </row>
    <row r="5588" spans="1:50">
      <c r="A5588" s="1">
        <f>HYPERLINK("https://lsnyc.legalserver.org/matter/dynamic-profile/view/1891038","19-1891038")</f>
        <v>0</v>
      </c>
      <c r="B5588" t="s">
        <v>260</v>
      </c>
      <c r="C5588" t="s">
        <v>341</v>
      </c>
      <c r="D5588" t="s">
        <v>740</v>
      </c>
      <c r="E5588" t="s">
        <v>821</v>
      </c>
      <c r="F5588" t="s">
        <v>1512</v>
      </c>
      <c r="G5588" t="s">
        <v>5685</v>
      </c>
      <c r="H5588" t="s">
        <v>10374</v>
      </c>
      <c r="I5588">
        <v>2</v>
      </c>
      <c r="J5588" t="s">
        <v>18893</v>
      </c>
      <c r="K5588">
        <v>10034</v>
      </c>
      <c r="L5588" t="s">
        <v>18958</v>
      </c>
      <c r="M5588" t="s">
        <v>18958</v>
      </c>
      <c r="O5588" t="s">
        <v>26539</v>
      </c>
      <c r="P5588" t="s">
        <v>26565</v>
      </c>
      <c r="Q5588" t="s">
        <v>26571</v>
      </c>
      <c r="R5588" t="s">
        <v>26578</v>
      </c>
      <c r="S5588" t="s">
        <v>18959</v>
      </c>
      <c r="U5588" t="s">
        <v>26604</v>
      </c>
      <c r="W5588" t="s">
        <v>740</v>
      </c>
      <c r="X5588">
        <v>871.5700000000001</v>
      </c>
      <c r="Y5588" t="s">
        <v>26651</v>
      </c>
      <c r="Z5588" t="s">
        <v>26659</v>
      </c>
      <c r="AA5588" t="s">
        <v>26682</v>
      </c>
      <c r="AB5588" t="s">
        <v>27561</v>
      </c>
      <c r="AC5588">
        <v>837516</v>
      </c>
      <c r="AD5588" t="s">
        <v>37617</v>
      </c>
      <c r="AE5588">
        <v>25</v>
      </c>
      <c r="AF5588" t="s">
        <v>45541</v>
      </c>
      <c r="AG5588" t="s">
        <v>45559</v>
      </c>
      <c r="AH5588">
        <v>12</v>
      </c>
      <c r="AI5588">
        <v>1</v>
      </c>
      <c r="AJ5588">
        <v>1</v>
      </c>
      <c r="AK5588">
        <v>53.79</v>
      </c>
      <c r="AN5588" t="s">
        <v>45581</v>
      </c>
      <c r="AO5588">
        <v>9096</v>
      </c>
      <c r="AU5588">
        <v>2.5</v>
      </c>
      <c r="AV5588" t="s">
        <v>811</v>
      </c>
      <c r="AW5588" t="s">
        <v>46840</v>
      </c>
      <c r="AX5588" t="s">
        <v>46897</v>
      </c>
    </row>
    <row r="5589" spans="1:50">
      <c r="A5589" s="1">
        <f>HYPERLINK("https://lsnyc.legalserver.org/matter/dynamic-profile/view/1891126","19-1891126")</f>
        <v>0</v>
      </c>
      <c r="B5589" t="s">
        <v>280</v>
      </c>
      <c r="C5589" t="s">
        <v>341</v>
      </c>
      <c r="D5589" t="s">
        <v>740</v>
      </c>
      <c r="E5589" t="s">
        <v>740</v>
      </c>
      <c r="F5589" t="s">
        <v>3460</v>
      </c>
      <c r="G5589" t="s">
        <v>7751</v>
      </c>
      <c r="H5589" t="s">
        <v>13743</v>
      </c>
      <c r="J5589" t="s">
        <v>18933</v>
      </c>
      <c r="K5589">
        <v>11422</v>
      </c>
      <c r="L5589" t="s">
        <v>18958</v>
      </c>
      <c r="M5589" t="s">
        <v>18958</v>
      </c>
      <c r="N5589" t="s">
        <v>23101</v>
      </c>
      <c r="O5589" t="s">
        <v>26526</v>
      </c>
      <c r="P5589" t="s">
        <v>26564</v>
      </c>
      <c r="Q5589" t="s">
        <v>26570</v>
      </c>
      <c r="R5589" t="s">
        <v>26584</v>
      </c>
      <c r="S5589" t="s">
        <v>18959</v>
      </c>
      <c r="U5589" t="s">
        <v>26604</v>
      </c>
      <c r="V5589" t="s">
        <v>26610</v>
      </c>
      <c r="W5589" t="s">
        <v>740</v>
      </c>
      <c r="X5589">
        <v>1400</v>
      </c>
      <c r="Y5589" t="s">
        <v>26653</v>
      </c>
      <c r="Z5589" t="s">
        <v>26664</v>
      </c>
      <c r="AA5589" t="s">
        <v>26683</v>
      </c>
      <c r="AB5589" t="s">
        <v>26857</v>
      </c>
      <c r="AD5589" t="s">
        <v>41365</v>
      </c>
      <c r="AE5589">
        <v>2</v>
      </c>
      <c r="AF5589" t="s">
        <v>45547</v>
      </c>
      <c r="AG5589" t="s">
        <v>19330</v>
      </c>
      <c r="AH5589">
        <v>5</v>
      </c>
      <c r="AI5589">
        <v>3</v>
      </c>
      <c r="AJ5589">
        <v>0</v>
      </c>
      <c r="AK5589">
        <v>75.01000000000001</v>
      </c>
      <c r="AN5589" t="s">
        <v>7439</v>
      </c>
      <c r="AO5589">
        <v>16000</v>
      </c>
      <c r="AU5589">
        <v>0.55</v>
      </c>
      <c r="AV5589" t="s">
        <v>740</v>
      </c>
      <c r="AW5589" t="s">
        <v>280</v>
      </c>
    </row>
    <row r="5590" spans="1:50">
      <c r="A5590" s="1">
        <f>HYPERLINK("https://lsnyc.legalserver.org/matter/dynamic-profile/view/1890992","19-1890992")</f>
        <v>0</v>
      </c>
      <c r="B5590" t="s">
        <v>98</v>
      </c>
      <c r="C5590" t="s">
        <v>341</v>
      </c>
      <c r="D5590" t="s">
        <v>740</v>
      </c>
      <c r="E5590" t="s">
        <v>755</v>
      </c>
      <c r="F5590" t="s">
        <v>1510</v>
      </c>
      <c r="G5590" t="s">
        <v>6080</v>
      </c>
      <c r="H5590" t="s">
        <v>12570</v>
      </c>
      <c r="I5590" t="s">
        <v>18082</v>
      </c>
      <c r="J5590" t="s">
        <v>18892</v>
      </c>
      <c r="K5590">
        <v>10453</v>
      </c>
      <c r="L5590" t="s">
        <v>18958</v>
      </c>
      <c r="M5590" t="s">
        <v>18958</v>
      </c>
      <c r="O5590" t="s">
        <v>18997</v>
      </c>
      <c r="P5590" t="s">
        <v>26564</v>
      </c>
      <c r="Q5590" t="s">
        <v>26570</v>
      </c>
      <c r="R5590" t="s">
        <v>26578</v>
      </c>
      <c r="S5590" t="s">
        <v>18959</v>
      </c>
      <c r="U5590" t="s">
        <v>26604</v>
      </c>
      <c r="W5590" t="s">
        <v>740</v>
      </c>
      <c r="X5590">
        <v>1266.7</v>
      </c>
      <c r="Y5590" t="s">
        <v>26650</v>
      </c>
      <c r="Z5590" t="s">
        <v>26663</v>
      </c>
      <c r="AA5590" t="s">
        <v>26683</v>
      </c>
      <c r="AB5590" t="s">
        <v>31194</v>
      </c>
      <c r="AD5590" t="s">
        <v>41366</v>
      </c>
      <c r="AE5590">
        <v>111</v>
      </c>
      <c r="AF5590" t="s">
        <v>45541</v>
      </c>
      <c r="AG5590" t="s">
        <v>45562</v>
      </c>
      <c r="AH5590">
        <v>2</v>
      </c>
      <c r="AI5590">
        <v>1</v>
      </c>
      <c r="AJ5590">
        <v>0</v>
      </c>
      <c r="AK5590">
        <v>147.48</v>
      </c>
      <c r="AN5590" t="s">
        <v>7439</v>
      </c>
      <c r="AO5590">
        <v>18420</v>
      </c>
      <c r="AU5590">
        <v>2.7</v>
      </c>
      <c r="AV5590" t="s">
        <v>755</v>
      </c>
      <c r="AW5590" t="s">
        <v>98</v>
      </c>
    </row>
    <row r="5591" spans="1:50">
      <c r="A5591" s="1">
        <f>HYPERLINK("https://lsnyc.legalserver.org/matter/dynamic-profile/view/1891011","19-1891011")</f>
        <v>0</v>
      </c>
      <c r="B5591" t="s">
        <v>283</v>
      </c>
      <c r="C5591" t="s">
        <v>341</v>
      </c>
      <c r="D5591" t="s">
        <v>740</v>
      </c>
      <c r="E5591" t="s">
        <v>740</v>
      </c>
      <c r="F5591" t="s">
        <v>1056</v>
      </c>
      <c r="G5591" t="s">
        <v>5103</v>
      </c>
      <c r="H5591" t="s">
        <v>13744</v>
      </c>
      <c r="I5591" t="s">
        <v>17469</v>
      </c>
      <c r="J5591" t="s">
        <v>18894</v>
      </c>
      <c r="K5591">
        <v>11214</v>
      </c>
      <c r="L5591" t="s">
        <v>18958</v>
      </c>
      <c r="M5591" t="s">
        <v>18958</v>
      </c>
      <c r="N5591" t="s">
        <v>23102</v>
      </c>
      <c r="O5591" t="s">
        <v>26524</v>
      </c>
      <c r="P5591" t="s">
        <v>26564</v>
      </c>
      <c r="Q5591" t="s">
        <v>26570</v>
      </c>
      <c r="R5591" t="s">
        <v>26586</v>
      </c>
      <c r="S5591" t="s">
        <v>18959</v>
      </c>
      <c r="U5591" t="s">
        <v>26604</v>
      </c>
      <c r="V5591" t="s">
        <v>26610</v>
      </c>
      <c r="W5591" t="s">
        <v>740</v>
      </c>
      <c r="X5591">
        <v>850</v>
      </c>
      <c r="Y5591" t="s">
        <v>26652</v>
      </c>
      <c r="Z5591" t="s">
        <v>26664</v>
      </c>
      <c r="AA5591" t="s">
        <v>26683</v>
      </c>
      <c r="AB5591" t="s">
        <v>31195</v>
      </c>
      <c r="AD5591" t="s">
        <v>41367</v>
      </c>
      <c r="AE5591">
        <v>3</v>
      </c>
      <c r="AG5591" t="s">
        <v>19330</v>
      </c>
      <c r="AH5591">
        <v>9</v>
      </c>
      <c r="AI5591">
        <v>1</v>
      </c>
      <c r="AJ5591">
        <v>0</v>
      </c>
      <c r="AK5591">
        <v>108.57</v>
      </c>
      <c r="AN5591" t="s">
        <v>45581</v>
      </c>
      <c r="AO5591">
        <v>13560</v>
      </c>
      <c r="AU5591">
        <v>0.5</v>
      </c>
      <c r="AV5591" t="s">
        <v>702</v>
      </c>
      <c r="AW5591" t="s">
        <v>46853</v>
      </c>
    </row>
    <row r="5592" spans="1:50">
      <c r="A5592" s="1">
        <f>HYPERLINK("https://lsnyc.legalserver.org/matter/dynamic-profile/view/1891047","19-1891047")</f>
        <v>0</v>
      </c>
      <c r="B5592" t="s">
        <v>104</v>
      </c>
      <c r="C5592" t="s">
        <v>341</v>
      </c>
      <c r="D5592" t="s">
        <v>740</v>
      </c>
      <c r="E5592" t="s">
        <v>763</v>
      </c>
      <c r="F5592" t="s">
        <v>1288</v>
      </c>
      <c r="G5592" t="s">
        <v>7752</v>
      </c>
      <c r="H5592" t="s">
        <v>13745</v>
      </c>
      <c r="I5592" t="s">
        <v>18265</v>
      </c>
      <c r="J5592" t="s">
        <v>18902</v>
      </c>
      <c r="K5592">
        <v>10303</v>
      </c>
      <c r="L5592" t="s">
        <v>18958</v>
      </c>
      <c r="M5592" t="s">
        <v>18958</v>
      </c>
      <c r="N5592" t="s">
        <v>23103</v>
      </c>
      <c r="O5592" t="s">
        <v>26523</v>
      </c>
      <c r="P5592" t="s">
        <v>26560</v>
      </c>
      <c r="Q5592" t="s">
        <v>26568</v>
      </c>
      <c r="R5592" t="s">
        <v>26590</v>
      </c>
      <c r="S5592" t="s">
        <v>18959</v>
      </c>
      <c r="U5592" t="s">
        <v>26604</v>
      </c>
      <c r="V5592" t="s">
        <v>26610</v>
      </c>
      <c r="W5592" t="s">
        <v>740</v>
      </c>
      <c r="X5592">
        <v>596.74</v>
      </c>
      <c r="Y5592" t="s">
        <v>26654</v>
      </c>
      <c r="Z5592" t="s">
        <v>26668</v>
      </c>
      <c r="AA5592" t="s">
        <v>26678</v>
      </c>
      <c r="AB5592" t="s">
        <v>31196</v>
      </c>
      <c r="AD5592" t="s">
        <v>41368</v>
      </c>
      <c r="AE5592">
        <v>0</v>
      </c>
      <c r="AF5592" t="s">
        <v>45541</v>
      </c>
      <c r="AG5592" t="s">
        <v>19330</v>
      </c>
      <c r="AH5592">
        <v>7</v>
      </c>
      <c r="AI5592">
        <v>2</v>
      </c>
      <c r="AJ5592">
        <v>1</v>
      </c>
      <c r="AK5592">
        <v>178.62</v>
      </c>
      <c r="AN5592" t="s">
        <v>7439</v>
      </c>
      <c r="AO5592">
        <v>38100</v>
      </c>
      <c r="AR5592" t="s">
        <v>46379</v>
      </c>
      <c r="AS5592" t="s">
        <v>46499</v>
      </c>
      <c r="AT5592" t="s">
        <v>46777</v>
      </c>
      <c r="AU5592">
        <v>8.199999999999999</v>
      </c>
      <c r="AV5592" t="s">
        <v>793</v>
      </c>
      <c r="AW5592" t="s">
        <v>185</v>
      </c>
    </row>
    <row r="5593" spans="1:50">
      <c r="A5593" s="1">
        <f>HYPERLINK("https://lsnyc.legalserver.org/matter/dynamic-profile/view/1891044","19-1891044")</f>
        <v>0</v>
      </c>
      <c r="B5593" t="s">
        <v>157</v>
      </c>
      <c r="C5593" t="s">
        <v>341</v>
      </c>
      <c r="D5593" t="s">
        <v>740</v>
      </c>
      <c r="E5593" t="s">
        <v>773</v>
      </c>
      <c r="F5593" t="s">
        <v>3461</v>
      </c>
      <c r="G5593" t="s">
        <v>6071</v>
      </c>
      <c r="H5593" t="s">
        <v>10313</v>
      </c>
      <c r="I5593" t="s">
        <v>17380</v>
      </c>
      <c r="J5593" t="s">
        <v>18893</v>
      </c>
      <c r="K5593">
        <v>10033</v>
      </c>
      <c r="L5593" t="s">
        <v>18958</v>
      </c>
      <c r="M5593" t="s">
        <v>18958</v>
      </c>
      <c r="O5593" t="s">
        <v>26529</v>
      </c>
      <c r="P5593" t="s">
        <v>26564</v>
      </c>
      <c r="Q5593" t="s">
        <v>26570</v>
      </c>
      <c r="R5593" t="s">
        <v>26578</v>
      </c>
      <c r="S5593" t="s">
        <v>18958</v>
      </c>
      <c r="U5593" t="s">
        <v>26604</v>
      </c>
      <c r="W5593" t="s">
        <v>740</v>
      </c>
      <c r="X5593">
        <v>1900</v>
      </c>
      <c r="Y5593" t="s">
        <v>26651</v>
      </c>
      <c r="Z5593" t="s">
        <v>26670</v>
      </c>
      <c r="AA5593" t="s">
        <v>26683</v>
      </c>
      <c r="AB5593" t="s">
        <v>31197</v>
      </c>
      <c r="AD5593" t="s">
        <v>41369</v>
      </c>
      <c r="AE5593">
        <v>60</v>
      </c>
      <c r="AF5593" t="s">
        <v>45541</v>
      </c>
      <c r="AG5593" t="s">
        <v>19330</v>
      </c>
      <c r="AH5593">
        <v>8</v>
      </c>
      <c r="AI5593">
        <v>1</v>
      </c>
      <c r="AJ5593">
        <v>0</v>
      </c>
      <c r="AK5593">
        <v>416.33</v>
      </c>
      <c r="AL5593" t="s">
        <v>800</v>
      </c>
      <c r="AM5593" t="s">
        <v>45575</v>
      </c>
      <c r="AN5593" t="s">
        <v>7439</v>
      </c>
      <c r="AO5593">
        <v>52000</v>
      </c>
      <c r="AU5593">
        <v>0.01</v>
      </c>
      <c r="AV5593" t="s">
        <v>832</v>
      </c>
      <c r="AW5593" t="s">
        <v>46840</v>
      </c>
      <c r="AX5593" t="s">
        <v>46897</v>
      </c>
    </row>
    <row r="5594" spans="1:50">
      <c r="A5594" s="1">
        <f>HYPERLINK("https://lsnyc.legalserver.org/matter/dynamic-profile/view/1891049","19-1891049")</f>
        <v>0</v>
      </c>
      <c r="B5594" t="s">
        <v>157</v>
      </c>
      <c r="C5594" t="s">
        <v>341</v>
      </c>
      <c r="D5594" t="s">
        <v>740</v>
      </c>
      <c r="E5594" t="s">
        <v>773</v>
      </c>
      <c r="F5594" t="s">
        <v>1022</v>
      </c>
      <c r="G5594" t="s">
        <v>7753</v>
      </c>
      <c r="H5594" t="s">
        <v>10313</v>
      </c>
      <c r="I5594" t="s">
        <v>17272</v>
      </c>
      <c r="J5594" t="s">
        <v>18893</v>
      </c>
      <c r="K5594">
        <v>10033</v>
      </c>
      <c r="L5594" t="s">
        <v>18958</v>
      </c>
      <c r="M5594" t="s">
        <v>18958</v>
      </c>
      <c r="O5594" t="s">
        <v>26529</v>
      </c>
      <c r="P5594" t="s">
        <v>26564</v>
      </c>
      <c r="Q5594" t="s">
        <v>26570</v>
      </c>
      <c r="R5594" t="s">
        <v>26578</v>
      </c>
      <c r="S5594" t="s">
        <v>18958</v>
      </c>
      <c r="U5594" t="s">
        <v>26604</v>
      </c>
      <c r="W5594" t="s">
        <v>740</v>
      </c>
      <c r="X5594">
        <v>1680</v>
      </c>
      <c r="Y5594" t="s">
        <v>26651</v>
      </c>
      <c r="Z5594" t="s">
        <v>26670</v>
      </c>
      <c r="AA5594" t="s">
        <v>26683</v>
      </c>
      <c r="AB5594" t="s">
        <v>31198</v>
      </c>
      <c r="AE5594">
        <v>60</v>
      </c>
      <c r="AF5594" t="s">
        <v>45541</v>
      </c>
      <c r="AG5594" t="s">
        <v>19330</v>
      </c>
      <c r="AH5594">
        <v>11</v>
      </c>
      <c r="AI5594">
        <v>1</v>
      </c>
      <c r="AJ5594">
        <v>0</v>
      </c>
      <c r="AK5594">
        <v>1200.96</v>
      </c>
      <c r="AN5594" t="s">
        <v>7439</v>
      </c>
      <c r="AO5594">
        <v>150000</v>
      </c>
      <c r="AU5594">
        <v>0.01</v>
      </c>
      <c r="AV5594" t="s">
        <v>773</v>
      </c>
      <c r="AW5594" t="s">
        <v>46840</v>
      </c>
      <c r="AX5594" t="s">
        <v>46897</v>
      </c>
    </row>
    <row r="5595" spans="1:50">
      <c r="A5595" s="1">
        <f>HYPERLINK("https://lsnyc.legalserver.org/matter/dynamic-profile/view/1891026","19-1891026")</f>
        <v>0</v>
      </c>
      <c r="B5595" t="s">
        <v>278</v>
      </c>
      <c r="C5595" t="s">
        <v>340</v>
      </c>
      <c r="D5595" t="s">
        <v>740</v>
      </c>
      <c r="F5595" t="s">
        <v>1826</v>
      </c>
      <c r="G5595" t="s">
        <v>6215</v>
      </c>
      <c r="H5595" t="s">
        <v>13746</v>
      </c>
      <c r="I5595">
        <v>1</v>
      </c>
      <c r="J5595" t="s">
        <v>18902</v>
      </c>
      <c r="K5595">
        <v>10314</v>
      </c>
      <c r="L5595" t="s">
        <v>18958</v>
      </c>
      <c r="M5595" t="s">
        <v>18958</v>
      </c>
      <c r="N5595" t="s">
        <v>23104</v>
      </c>
      <c r="O5595" t="s">
        <v>26523</v>
      </c>
      <c r="P5595" t="s">
        <v>26560</v>
      </c>
      <c r="R5595" t="s">
        <v>26590</v>
      </c>
      <c r="S5595" t="s">
        <v>18959</v>
      </c>
      <c r="U5595" t="s">
        <v>26604</v>
      </c>
      <c r="V5595" t="s">
        <v>26610</v>
      </c>
      <c r="W5595" t="s">
        <v>740</v>
      </c>
      <c r="X5595">
        <v>1200</v>
      </c>
      <c r="Y5595" t="s">
        <v>26654</v>
      </c>
      <c r="Z5595" t="s">
        <v>26668</v>
      </c>
      <c r="AB5595" t="s">
        <v>28123</v>
      </c>
      <c r="AD5595" t="s">
        <v>41370</v>
      </c>
      <c r="AE5595">
        <v>2</v>
      </c>
      <c r="AG5595" t="s">
        <v>19330</v>
      </c>
      <c r="AH5595">
        <v>9</v>
      </c>
      <c r="AI5595">
        <v>1</v>
      </c>
      <c r="AJ5595">
        <v>1</v>
      </c>
      <c r="AK5595">
        <v>88.23</v>
      </c>
      <c r="AN5595" t="s">
        <v>45581</v>
      </c>
      <c r="AO5595">
        <v>14920</v>
      </c>
      <c r="AR5595" t="s">
        <v>46381</v>
      </c>
      <c r="AU5595">
        <v>13.35</v>
      </c>
      <c r="AV5595" t="s">
        <v>838</v>
      </c>
      <c r="AW5595" t="s">
        <v>185</v>
      </c>
    </row>
    <row r="5596" spans="1:50">
      <c r="A5596" s="1">
        <f>HYPERLINK("https://lsnyc.legalserver.org/matter/dynamic-profile/view/1891074","19-1891074")</f>
        <v>0</v>
      </c>
      <c r="B5596" t="s">
        <v>262</v>
      </c>
      <c r="C5596" t="s">
        <v>340</v>
      </c>
      <c r="D5596" t="s">
        <v>740</v>
      </c>
      <c r="F5596" t="s">
        <v>1181</v>
      </c>
      <c r="G5596" t="s">
        <v>6086</v>
      </c>
      <c r="H5596" t="s">
        <v>12087</v>
      </c>
      <c r="I5596" t="s">
        <v>17323</v>
      </c>
      <c r="J5596" t="s">
        <v>18892</v>
      </c>
      <c r="K5596">
        <v>10467</v>
      </c>
      <c r="L5596" t="s">
        <v>18958</v>
      </c>
      <c r="M5596" t="s">
        <v>18958</v>
      </c>
      <c r="N5596" t="s">
        <v>23105</v>
      </c>
      <c r="O5596" t="s">
        <v>26523</v>
      </c>
      <c r="P5596" t="s">
        <v>26560</v>
      </c>
      <c r="R5596" t="s">
        <v>26579</v>
      </c>
      <c r="S5596" t="s">
        <v>18959</v>
      </c>
      <c r="U5596" t="s">
        <v>26604</v>
      </c>
      <c r="W5596" t="s">
        <v>740</v>
      </c>
      <c r="X5596">
        <v>0</v>
      </c>
      <c r="Y5596" t="s">
        <v>26650</v>
      </c>
      <c r="Z5596" t="s">
        <v>26664</v>
      </c>
      <c r="AB5596" t="s">
        <v>28222</v>
      </c>
      <c r="AD5596" t="s">
        <v>38270</v>
      </c>
      <c r="AE5596">
        <v>336</v>
      </c>
      <c r="AF5596" t="s">
        <v>45549</v>
      </c>
      <c r="AH5596">
        <v>0</v>
      </c>
      <c r="AI5596">
        <v>1</v>
      </c>
      <c r="AJ5596">
        <v>0</v>
      </c>
      <c r="AK5596">
        <v>79.94</v>
      </c>
      <c r="AN5596" t="s">
        <v>7439</v>
      </c>
      <c r="AO5596">
        <v>9984</v>
      </c>
      <c r="AU5596">
        <v>30.75</v>
      </c>
      <c r="AV5596" t="s">
        <v>839</v>
      </c>
      <c r="AW5596" t="s">
        <v>336</v>
      </c>
    </row>
    <row r="5597" spans="1:50">
      <c r="A5597" s="1">
        <f>HYPERLINK("https://lsnyc.legalserver.org/matter/dynamic-profile/view/1891055","19-1891055")</f>
        <v>0</v>
      </c>
      <c r="B5597" t="s">
        <v>153</v>
      </c>
      <c r="C5597" t="s">
        <v>340</v>
      </c>
      <c r="D5597" t="s">
        <v>740</v>
      </c>
      <c r="F5597" t="s">
        <v>1857</v>
      </c>
      <c r="G5597" t="s">
        <v>5208</v>
      </c>
      <c r="H5597" t="s">
        <v>13747</v>
      </c>
      <c r="I5597" t="s">
        <v>18266</v>
      </c>
      <c r="J5597" t="s">
        <v>18902</v>
      </c>
      <c r="K5597">
        <v>10303</v>
      </c>
      <c r="L5597" t="s">
        <v>18958</v>
      </c>
      <c r="M5597" t="s">
        <v>18958</v>
      </c>
      <c r="N5597" t="s">
        <v>23106</v>
      </c>
      <c r="O5597" t="s">
        <v>26523</v>
      </c>
      <c r="P5597" t="s">
        <v>26560</v>
      </c>
      <c r="R5597" t="s">
        <v>26590</v>
      </c>
      <c r="S5597" t="s">
        <v>18959</v>
      </c>
      <c r="U5597" t="s">
        <v>26604</v>
      </c>
      <c r="V5597" t="s">
        <v>26610</v>
      </c>
      <c r="W5597" t="s">
        <v>740</v>
      </c>
      <c r="X5597">
        <v>1268</v>
      </c>
      <c r="Y5597" t="s">
        <v>26654</v>
      </c>
      <c r="Z5597" t="s">
        <v>26668</v>
      </c>
      <c r="AB5597" t="s">
        <v>31199</v>
      </c>
      <c r="AD5597" t="s">
        <v>41371</v>
      </c>
      <c r="AE5597">
        <v>2</v>
      </c>
      <c r="AF5597" t="s">
        <v>45547</v>
      </c>
      <c r="AG5597" t="s">
        <v>45562</v>
      </c>
      <c r="AH5597">
        <v>3</v>
      </c>
      <c r="AI5597">
        <v>1</v>
      </c>
      <c r="AJ5597">
        <v>0</v>
      </c>
      <c r="AK5597">
        <v>67.25</v>
      </c>
      <c r="AN5597" t="s">
        <v>7439</v>
      </c>
      <c r="AO5597">
        <v>8400</v>
      </c>
      <c r="AU5597">
        <v>19.35</v>
      </c>
      <c r="AV5597" t="s">
        <v>836</v>
      </c>
      <c r="AW5597" t="s">
        <v>185</v>
      </c>
    </row>
    <row r="5598" spans="1:50">
      <c r="A5598" s="1">
        <f>HYPERLINK("https://lsnyc.legalserver.org/matter/dynamic-profile/view/1890994","19-1890994")</f>
        <v>0</v>
      </c>
      <c r="B5598" t="s">
        <v>115</v>
      </c>
      <c r="C5598" t="s">
        <v>340</v>
      </c>
      <c r="D5598" t="s">
        <v>740</v>
      </c>
      <c r="F5598" t="s">
        <v>2222</v>
      </c>
      <c r="G5598" t="s">
        <v>5826</v>
      </c>
      <c r="H5598" t="s">
        <v>12186</v>
      </c>
      <c r="I5598" t="s">
        <v>17306</v>
      </c>
      <c r="J5598" t="s">
        <v>18892</v>
      </c>
      <c r="K5598">
        <v>10467</v>
      </c>
      <c r="L5598" t="s">
        <v>18958</v>
      </c>
      <c r="M5598" t="s">
        <v>18958</v>
      </c>
      <c r="O5598" t="s">
        <v>18997</v>
      </c>
      <c r="P5598" t="s">
        <v>26564</v>
      </c>
      <c r="R5598" t="s">
        <v>26578</v>
      </c>
      <c r="S5598" t="s">
        <v>18959</v>
      </c>
      <c r="U5598" t="s">
        <v>26604</v>
      </c>
      <c r="W5598" t="s">
        <v>740</v>
      </c>
      <c r="X5598">
        <v>1164.51</v>
      </c>
      <c r="Y5598" t="s">
        <v>26650</v>
      </c>
      <c r="Z5598" t="s">
        <v>26663</v>
      </c>
      <c r="AA5598" t="s">
        <v>26683</v>
      </c>
      <c r="AB5598" t="s">
        <v>31200</v>
      </c>
      <c r="AE5598">
        <v>40</v>
      </c>
      <c r="AF5598" t="s">
        <v>45541</v>
      </c>
      <c r="AG5598" t="s">
        <v>19330</v>
      </c>
      <c r="AH5598">
        <v>13</v>
      </c>
      <c r="AI5598">
        <v>1</v>
      </c>
      <c r="AJ5598">
        <v>0</v>
      </c>
      <c r="AK5598">
        <v>448.36</v>
      </c>
      <c r="AN5598" t="s">
        <v>7439</v>
      </c>
      <c r="AO5598">
        <v>56000</v>
      </c>
      <c r="AU5598">
        <v>4.4</v>
      </c>
      <c r="AV5598" t="s">
        <v>770</v>
      </c>
      <c r="AW5598" t="s">
        <v>98</v>
      </c>
    </row>
    <row r="5599" spans="1:50">
      <c r="A5599" s="1">
        <f>HYPERLINK("https://lsnyc.legalserver.org/matter/dynamic-profile/view/1891002","19-1891002")</f>
        <v>0</v>
      </c>
      <c r="B5599" t="s">
        <v>103</v>
      </c>
      <c r="C5599" t="s">
        <v>340</v>
      </c>
      <c r="D5599" t="s">
        <v>740</v>
      </c>
      <c r="F5599" t="s">
        <v>3462</v>
      </c>
      <c r="G5599" t="s">
        <v>7754</v>
      </c>
      <c r="H5599" t="s">
        <v>13748</v>
      </c>
      <c r="I5599">
        <v>2</v>
      </c>
      <c r="J5599" t="s">
        <v>18902</v>
      </c>
      <c r="K5599">
        <v>10302</v>
      </c>
      <c r="L5599" t="s">
        <v>18958</v>
      </c>
      <c r="M5599" t="s">
        <v>18958</v>
      </c>
      <c r="N5599" t="s">
        <v>23107</v>
      </c>
      <c r="O5599" t="s">
        <v>26523</v>
      </c>
      <c r="P5599" t="s">
        <v>26560</v>
      </c>
      <c r="R5599" t="s">
        <v>26590</v>
      </c>
      <c r="S5599" t="s">
        <v>18959</v>
      </c>
      <c r="U5599" t="s">
        <v>26604</v>
      </c>
      <c r="V5599" t="s">
        <v>26610</v>
      </c>
      <c r="W5599" t="s">
        <v>740</v>
      </c>
      <c r="X5599">
        <v>1300</v>
      </c>
      <c r="Y5599" t="s">
        <v>26654</v>
      </c>
      <c r="Z5599" t="s">
        <v>26668</v>
      </c>
      <c r="AB5599" t="s">
        <v>31201</v>
      </c>
      <c r="AD5599" t="s">
        <v>41372</v>
      </c>
      <c r="AE5599">
        <v>2</v>
      </c>
      <c r="AF5599" t="s">
        <v>45547</v>
      </c>
      <c r="AG5599" t="s">
        <v>26530</v>
      </c>
      <c r="AH5599">
        <v>5</v>
      </c>
      <c r="AI5599">
        <v>2</v>
      </c>
      <c r="AJ5599">
        <v>0</v>
      </c>
      <c r="AK5599">
        <v>87.84999999999999</v>
      </c>
      <c r="AN5599" t="s">
        <v>7439</v>
      </c>
      <c r="AO5599">
        <v>14856</v>
      </c>
      <c r="AU5599">
        <v>5</v>
      </c>
      <c r="AV5599" t="s">
        <v>806</v>
      </c>
      <c r="AW5599" t="s">
        <v>185</v>
      </c>
    </row>
    <row r="5600" spans="1:50">
      <c r="A5600" s="1">
        <f>HYPERLINK("https://lsnyc.legalserver.org/matter/dynamic-profile/view/1891028","19-1891028")</f>
        <v>0</v>
      </c>
      <c r="B5600" t="s">
        <v>59</v>
      </c>
      <c r="C5600" t="s">
        <v>340</v>
      </c>
      <c r="D5600" t="s">
        <v>740</v>
      </c>
      <c r="F5600" t="s">
        <v>3463</v>
      </c>
      <c r="G5600" t="s">
        <v>5481</v>
      </c>
      <c r="H5600" t="s">
        <v>13749</v>
      </c>
      <c r="I5600" t="s">
        <v>18267</v>
      </c>
      <c r="J5600" t="s">
        <v>18893</v>
      </c>
      <c r="K5600">
        <v>10029</v>
      </c>
      <c r="L5600" t="s">
        <v>18958</v>
      </c>
      <c r="M5600" t="s">
        <v>18958</v>
      </c>
      <c r="N5600" t="s">
        <v>23108</v>
      </c>
      <c r="O5600" t="s">
        <v>26523</v>
      </c>
      <c r="P5600" t="s">
        <v>26564</v>
      </c>
      <c r="R5600" t="s">
        <v>26582</v>
      </c>
      <c r="S5600" t="s">
        <v>18959</v>
      </c>
      <c r="U5600" t="s">
        <v>26605</v>
      </c>
      <c r="W5600" t="s">
        <v>740</v>
      </c>
      <c r="X5600">
        <v>881</v>
      </c>
      <c r="Y5600" t="s">
        <v>26651</v>
      </c>
      <c r="Z5600" t="s">
        <v>26655</v>
      </c>
      <c r="AB5600" t="s">
        <v>31202</v>
      </c>
      <c r="AC5600" t="s">
        <v>36018</v>
      </c>
      <c r="AD5600" t="s">
        <v>41373</v>
      </c>
      <c r="AE5600">
        <v>0</v>
      </c>
      <c r="AF5600" t="s">
        <v>45549</v>
      </c>
      <c r="AG5600" t="s">
        <v>26530</v>
      </c>
      <c r="AH5600">
        <v>2</v>
      </c>
      <c r="AI5600">
        <v>2</v>
      </c>
      <c r="AJ5600">
        <v>4</v>
      </c>
      <c r="AK5600">
        <v>18.79</v>
      </c>
      <c r="AN5600" t="s">
        <v>45581</v>
      </c>
      <c r="AO5600">
        <v>6500</v>
      </c>
      <c r="AU5600">
        <v>0.9</v>
      </c>
      <c r="AV5600" t="s">
        <v>753</v>
      </c>
      <c r="AW5600" t="s">
        <v>46875</v>
      </c>
    </row>
    <row r="5601" spans="1:50">
      <c r="A5601" s="1">
        <f>HYPERLINK("https://lsnyc.legalserver.org/matter/dynamic-profile/view/1890991","19-1890991")</f>
        <v>0</v>
      </c>
      <c r="B5601" t="s">
        <v>59</v>
      </c>
      <c r="C5601" t="s">
        <v>340</v>
      </c>
      <c r="D5601" t="s">
        <v>740</v>
      </c>
      <c r="F5601" t="s">
        <v>962</v>
      </c>
      <c r="G5601" t="s">
        <v>5187</v>
      </c>
      <c r="H5601" t="s">
        <v>13750</v>
      </c>
      <c r="I5601" t="s">
        <v>17715</v>
      </c>
      <c r="J5601" t="s">
        <v>18893</v>
      </c>
      <c r="K5601">
        <v>10032</v>
      </c>
      <c r="L5601" t="s">
        <v>18958</v>
      </c>
      <c r="M5601" t="s">
        <v>18958</v>
      </c>
      <c r="N5601" t="s">
        <v>23109</v>
      </c>
      <c r="O5601" t="s">
        <v>26524</v>
      </c>
      <c r="P5601" t="s">
        <v>26564</v>
      </c>
      <c r="R5601" t="s">
        <v>26582</v>
      </c>
      <c r="S5601" t="s">
        <v>18959</v>
      </c>
      <c r="U5601" t="s">
        <v>26604</v>
      </c>
      <c r="W5601" t="s">
        <v>740</v>
      </c>
      <c r="X5601">
        <v>781.86</v>
      </c>
      <c r="Y5601" t="s">
        <v>26651</v>
      </c>
      <c r="Z5601" t="s">
        <v>26668</v>
      </c>
      <c r="AB5601" t="s">
        <v>31203</v>
      </c>
      <c r="AD5601" t="s">
        <v>41374</v>
      </c>
      <c r="AE5601">
        <v>0</v>
      </c>
      <c r="AF5601" t="s">
        <v>45548</v>
      </c>
      <c r="AG5601" t="s">
        <v>45559</v>
      </c>
      <c r="AH5601">
        <v>44</v>
      </c>
      <c r="AI5601">
        <v>2</v>
      </c>
      <c r="AJ5601">
        <v>0</v>
      </c>
      <c r="AK5601">
        <v>149.88</v>
      </c>
      <c r="AN5601" t="s">
        <v>45581</v>
      </c>
      <c r="AO5601">
        <v>25344</v>
      </c>
      <c r="AU5601">
        <v>1.33</v>
      </c>
      <c r="AV5601" t="s">
        <v>785</v>
      </c>
      <c r="AW5601" t="s">
        <v>46875</v>
      </c>
    </row>
    <row r="5602" spans="1:50">
      <c r="A5602" s="1">
        <f>HYPERLINK("https://lsnyc.legalserver.org/matter/dynamic-profile/view/1898924","19-1898924")</f>
        <v>0</v>
      </c>
      <c r="B5602" t="s">
        <v>161</v>
      </c>
      <c r="C5602" t="s">
        <v>340</v>
      </c>
      <c r="D5602" t="s">
        <v>770</v>
      </c>
      <c r="F5602" t="s">
        <v>1587</v>
      </c>
      <c r="G5602" t="s">
        <v>7755</v>
      </c>
      <c r="H5602" t="s">
        <v>13751</v>
      </c>
      <c r="I5602" t="s">
        <v>17277</v>
      </c>
      <c r="J5602" t="s">
        <v>18894</v>
      </c>
      <c r="K5602">
        <v>11233</v>
      </c>
      <c r="L5602" t="s">
        <v>18958</v>
      </c>
      <c r="M5602" t="s">
        <v>18958</v>
      </c>
      <c r="N5602" t="s">
        <v>23110</v>
      </c>
      <c r="O5602" t="s">
        <v>26552</v>
      </c>
      <c r="P5602" t="s">
        <v>26562</v>
      </c>
      <c r="R5602" t="s">
        <v>26578</v>
      </c>
      <c r="S5602" t="s">
        <v>18959</v>
      </c>
      <c r="U5602" t="s">
        <v>26604</v>
      </c>
      <c r="V5602" t="s">
        <v>26610</v>
      </c>
      <c r="W5602" t="s">
        <v>740</v>
      </c>
      <c r="X5602">
        <v>0</v>
      </c>
      <c r="Y5602" t="s">
        <v>26652</v>
      </c>
      <c r="Z5602" t="s">
        <v>26664</v>
      </c>
      <c r="AB5602" t="s">
        <v>31204</v>
      </c>
      <c r="AC5602" t="s">
        <v>36019</v>
      </c>
      <c r="AD5602" t="s">
        <v>34738</v>
      </c>
      <c r="AE5602">
        <v>17</v>
      </c>
      <c r="AF5602" t="s">
        <v>45541</v>
      </c>
      <c r="AG5602" t="s">
        <v>45558</v>
      </c>
      <c r="AH5602">
        <v>2</v>
      </c>
      <c r="AI5602">
        <v>3</v>
      </c>
      <c r="AJ5602">
        <v>3</v>
      </c>
      <c r="AK5602">
        <v>0</v>
      </c>
      <c r="AN5602" t="s">
        <v>7439</v>
      </c>
      <c r="AO5602">
        <v>0</v>
      </c>
      <c r="AU5602">
        <v>1</v>
      </c>
      <c r="AV5602" t="s">
        <v>770</v>
      </c>
      <c r="AW5602" t="s">
        <v>161</v>
      </c>
    </row>
    <row r="5603" spans="1:50">
      <c r="A5603" s="1">
        <f>HYPERLINK("https://lsnyc.legalserver.org/matter/dynamic-profile/view/1859279","18-1859279")</f>
        <v>0</v>
      </c>
      <c r="B5603" t="s">
        <v>137</v>
      </c>
      <c r="C5603" t="s">
        <v>341</v>
      </c>
      <c r="D5603" t="s">
        <v>776</v>
      </c>
      <c r="E5603" t="s">
        <v>815</v>
      </c>
      <c r="F5603" t="s">
        <v>1309</v>
      </c>
      <c r="G5603" t="s">
        <v>5427</v>
      </c>
      <c r="H5603" t="s">
        <v>13752</v>
      </c>
      <c r="I5603" t="s">
        <v>17388</v>
      </c>
      <c r="J5603" t="s">
        <v>18892</v>
      </c>
      <c r="K5603">
        <v>10467</v>
      </c>
      <c r="L5603" t="s">
        <v>18958</v>
      </c>
      <c r="M5603" t="s">
        <v>18958</v>
      </c>
      <c r="N5603" t="s">
        <v>23111</v>
      </c>
      <c r="O5603" t="s">
        <v>26523</v>
      </c>
      <c r="P5603" t="s">
        <v>26560</v>
      </c>
      <c r="Q5603" t="s">
        <v>26568</v>
      </c>
      <c r="R5603" t="s">
        <v>26579</v>
      </c>
      <c r="U5603" t="s">
        <v>26604</v>
      </c>
      <c r="V5603" t="s">
        <v>26611</v>
      </c>
      <c r="W5603" t="s">
        <v>507</v>
      </c>
      <c r="X5603">
        <v>1175</v>
      </c>
      <c r="Y5603" t="s">
        <v>26650</v>
      </c>
      <c r="Z5603" t="s">
        <v>26662</v>
      </c>
      <c r="AA5603" t="s">
        <v>26679</v>
      </c>
      <c r="AB5603" t="s">
        <v>31205</v>
      </c>
      <c r="AC5603" t="s">
        <v>36020</v>
      </c>
      <c r="AD5603" t="s">
        <v>41375</v>
      </c>
      <c r="AE5603">
        <v>12</v>
      </c>
      <c r="AF5603" t="s">
        <v>45541</v>
      </c>
      <c r="AG5603" t="s">
        <v>19330</v>
      </c>
      <c r="AH5603">
        <v>3</v>
      </c>
      <c r="AI5603">
        <v>2</v>
      </c>
      <c r="AJ5603">
        <v>0</v>
      </c>
      <c r="AK5603">
        <v>15.69</v>
      </c>
      <c r="AO5603">
        <v>2548</v>
      </c>
      <c r="AP5603" t="s">
        <v>45620</v>
      </c>
      <c r="AQ5603" t="s">
        <v>46364</v>
      </c>
      <c r="AR5603" t="s">
        <v>46492</v>
      </c>
      <c r="AS5603" t="s">
        <v>46500</v>
      </c>
      <c r="AT5603" t="s">
        <v>46781</v>
      </c>
      <c r="AU5603">
        <v>34.25</v>
      </c>
      <c r="AV5603" t="s">
        <v>724</v>
      </c>
      <c r="AW5603" t="s">
        <v>46848</v>
      </c>
      <c r="AX5603" t="s">
        <v>46897</v>
      </c>
    </row>
    <row r="5604" spans="1:50">
      <c r="A5604" s="1">
        <f>HYPERLINK("https://lsnyc.legalserver.org/matter/dynamic-profile/view/1892349","19-1892349")</f>
        <v>0</v>
      </c>
      <c r="B5604" t="s">
        <v>83</v>
      </c>
      <c r="C5604" t="s">
        <v>340</v>
      </c>
      <c r="D5604" t="s">
        <v>416</v>
      </c>
      <c r="F5604" t="s">
        <v>2473</v>
      </c>
      <c r="G5604" t="s">
        <v>3173</v>
      </c>
      <c r="H5604" t="s">
        <v>11992</v>
      </c>
      <c r="I5604" t="s">
        <v>17277</v>
      </c>
      <c r="J5604" t="s">
        <v>18894</v>
      </c>
      <c r="K5604">
        <v>11233</v>
      </c>
      <c r="L5604" t="s">
        <v>18958</v>
      </c>
      <c r="M5604" t="s">
        <v>18958</v>
      </c>
      <c r="N5604" t="s">
        <v>23112</v>
      </c>
      <c r="O5604" t="s">
        <v>26524</v>
      </c>
      <c r="P5604" t="s">
        <v>26560</v>
      </c>
      <c r="R5604" t="s">
        <v>26578</v>
      </c>
      <c r="S5604" t="s">
        <v>18958</v>
      </c>
      <c r="U5604" t="s">
        <v>26604</v>
      </c>
      <c r="V5604" t="s">
        <v>26610</v>
      </c>
      <c r="W5604" t="s">
        <v>864</v>
      </c>
      <c r="X5604">
        <v>733.64</v>
      </c>
      <c r="Y5604" t="s">
        <v>26652</v>
      </c>
      <c r="Z5604" t="s">
        <v>26661</v>
      </c>
      <c r="AB5604" t="s">
        <v>29271</v>
      </c>
      <c r="AC5604" t="s">
        <v>19330</v>
      </c>
      <c r="AD5604" t="s">
        <v>39323</v>
      </c>
      <c r="AE5604">
        <v>32</v>
      </c>
      <c r="AF5604" t="s">
        <v>45541</v>
      </c>
      <c r="AG5604" t="s">
        <v>19330</v>
      </c>
      <c r="AH5604">
        <v>5</v>
      </c>
      <c r="AI5604">
        <v>1</v>
      </c>
      <c r="AJ5604">
        <v>1</v>
      </c>
      <c r="AK5604">
        <v>149.76</v>
      </c>
      <c r="AN5604" t="s">
        <v>7439</v>
      </c>
      <c r="AO5604">
        <v>25324</v>
      </c>
      <c r="AP5604" t="s">
        <v>45834</v>
      </c>
      <c r="AU5604">
        <v>0</v>
      </c>
      <c r="AW5604" t="s">
        <v>279</v>
      </c>
    </row>
    <row r="5605" spans="1:50">
      <c r="A5605" s="1">
        <f>HYPERLINK("https://lsnyc.legalserver.org/matter/dynamic-profile/view/1882243","18-1882243")</f>
        <v>0</v>
      </c>
      <c r="B5605" t="s">
        <v>201</v>
      </c>
      <c r="C5605" t="s">
        <v>341</v>
      </c>
      <c r="D5605" t="s">
        <v>427</v>
      </c>
      <c r="E5605" t="s">
        <v>756</v>
      </c>
      <c r="F5605" t="s">
        <v>3100</v>
      </c>
      <c r="G5605" t="s">
        <v>1995</v>
      </c>
      <c r="H5605" t="s">
        <v>13753</v>
      </c>
      <c r="I5605" t="s">
        <v>18268</v>
      </c>
      <c r="J5605" t="s">
        <v>18894</v>
      </c>
      <c r="K5605">
        <v>11233</v>
      </c>
      <c r="L5605" t="s">
        <v>18958</v>
      </c>
      <c r="M5605" t="s">
        <v>18958</v>
      </c>
      <c r="P5605" t="s">
        <v>26560</v>
      </c>
      <c r="Q5605" t="s">
        <v>26568</v>
      </c>
      <c r="R5605" t="s">
        <v>26578</v>
      </c>
      <c r="U5605" t="s">
        <v>26604</v>
      </c>
      <c r="W5605" t="s">
        <v>756</v>
      </c>
      <c r="X5605">
        <v>0</v>
      </c>
      <c r="Y5605" t="s">
        <v>26652</v>
      </c>
      <c r="AA5605" t="s">
        <v>26678</v>
      </c>
      <c r="AB5605" t="s">
        <v>31206</v>
      </c>
      <c r="AD5605" t="s">
        <v>41376</v>
      </c>
      <c r="AE5605">
        <v>0</v>
      </c>
      <c r="AH5605">
        <v>0</v>
      </c>
      <c r="AI5605">
        <v>1</v>
      </c>
      <c r="AJ5605">
        <v>0</v>
      </c>
      <c r="AK5605">
        <v>79.47</v>
      </c>
      <c r="AN5605" t="s">
        <v>7439</v>
      </c>
      <c r="AO5605">
        <v>9648</v>
      </c>
      <c r="AQ5605" t="s">
        <v>46365</v>
      </c>
      <c r="AR5605" t="s">
        <v>46379</v>
      </c>
      <c r="AS5605" t="s">
        <v>46499</v>
      </c>
      <c r="AT5605" t="s">
        <v>46598</v>
      </c>
      <c r="AU5605">
        <v>13.75</v>
      </c>
      <c r="AV5605" t="s">
        <v>756</v>
      </c>
      <c r="AW5605" t="s">
        <v>46882</v>
      </c>
      <c r="AX5605" t="s">
        <v>46897</v>
      </c>
    </row>
    <row r="5606" spans="1:50">
      <c r="A5606" s="1">
        <f>HYPERLINK("https://lsnyc.legalserver.org/matter/dynamic-profile/view/1889201","19-1889201")</f>
        <v>0</v>
      </c>
      <c r="B5606" t="s">
        <v>120</v>
      </c>
      <c r="C5606" t="s">
        <v>340</v>
      </c>
      <c r="D5606" t="s">
        <v>693</v>
      </c>
      <c r="F5606" t="s">
        <v>887</v>
      </c>
      <c r="G5606" t="s">
        <v>7756</v>
      </c>
      <c r="H5606" t="s">
        <v>13754</v>
      </c>
      <c r="I5606" t="s">
        <v>17306</v>
      </c>
      <c r="J5606" t="s">
        <v>18892</v>
      </c>
      <c r="K5606">
        <v>10452</v>
      </c>
      <c r="L5606" t="s">
        <v>18958</v>
      </c>
      <c r="M5606" t="s">
        <v>18958</v>
      </c>
      <c r="N5606" t="s">
        <v>23113</v>
      </c>
      <c r="O5606" t="s">
        <v>26524</v>
      </c>
      <c r="P5606" t="s">
        <v>26564</v>
      </c>
      <c r="R5606" t="s">
        <v>26577</v>
      </c>
      <c r="S5606" t="s">
        <v>18959</v>
      </c>
      <c r="U5606" t="s">
        <v>26604</v>
      </c>
      <c r="W5606" t="s">
        <v>756</v>
      </c>
      <c r="X5606">
        <v>0</v>
      </c>
      <c r="Y5606" t="s">
        <v>26650</v>
      </c>
      <c r="Z5606" t="s">
        <v>26668</v>
      </c>
      <c r="AB5606" t="s">
        <v>31207</v>
      </c>
      <c r="AD5606" t="s">
        <v>41377</v>
      </c>
      <c r="AE5606">
        <v>2</v>
      </c>
      <c r="AF5606" t="s">
        <v>45549</v>
      </c>
      <c r="AG5606" t="s">
        <v>45556</v>
      </c>
      <c r="AH5606">
        <v>0</v>
      </c>
      <c r="AI5606">
        <v>3</v>
      </c>
      <c r="AJ5606">
        <v>0</v>
      </c>
      <c r="AK5606">
        <v>0</v>
      </c>
      <c r="AN5606" t="s">
        <v>45581</v>
      </c>
      <c r="AO5606">
        <v>0</v>
      </c>
      <c r="AU5606">
        <v>1.8</v>
      </c>
      <c r="AV5606" t="s">
        <v>756</v>
      </c>
      <c r="AW5606" t="s">
        <v>46847</v>
      </c>
    </row>
    <row r="5607" spans="1:50">
      <c r="A5607" s="1">
        <f>HYPERLINK("https://lsnyc.legalserver.org/matter/dynamic-profile/view/1889330","19-1889330")</f>
        <v>0</v>
      </c>
      <c r="B5607" t="s">
        <v>117</v>
      </c>
      <c r="C5607" t="s">
        <v>340</v>
      </c>
      <c r="D5607" t="s">
        <v>694</v>
      </c>
      <c r="F5607" t="s">
        <v>3464</v>
      </c>
      <c r="G5607" t="s">
        <v>7757</v>
      </c>
      <c r="H5607" t="s">
        <v>13755</v>
      </c>
      <c r="I5607" t="s">
        <v>17439</v>
      </c>
      <c r="J5607" t="s">
        <v>18894</v>
      </c>
      <c r="K5607">
        <v>11220</v>
      </c>
      <c r="L5607" t="s">
        <v>18958</v>
      </c>
      <c r="M5607" t="s">
        <v>18958</v>
      </c>
      <c r="N5607" t="s">
        <v>23114</v>
      </c>
      <c r="O5607" t="s">
        <v>26524</v>
      </c>
      <c r="P5607" t="s">
        <v>26560</v>
      </c>
      <c r="R5607" t="s">
        <v>26589</v>
      </c>
      <c r="S5607" t="s">
        <v>18959</v>
      </c>
      <c r="U5607" t="s">
        <v>26604</v>
      </c>
      <c r="V5607" t="s">
        <v>26610</v>
      </c>
      <c r="W5607" t="s">
        <v>756</v>
      </c>
      <c r="X5607">
        <v>1176</v>
      </c>
      <c r="Y5607" t="s">
        <v>26652</v>
      </c>
      <c r="Z5607" t="s">
        <v>26671</v>
      </c>
      <c r="AB5607" t="s">
        <v>31208</v>
      </c>
      <c r="AC5607" t="s">
        <v>36021</v>
      </c>
      <c r="AD5607" t="s">
        <v>41378</v>
      </c>
      <c r="AE5607">
        <v>11</v>
      </c>
      <c r="AF5607" t="s">
        <v>20460</v>
      </c>
      <c r="AH5607">
        <v>14</v>
      </c>
      <c r="AI5607">
        <v>1</v>
      </c>
      <c r="AJ5607">
        <v>4</v>
      </c>
      <c r="AK5607">
        <v>57.08</v>
      </c>
      <c r="AL5607" t="s">
        <v>45567</v>
      </c>
      <c r="AM5607" t="s">
        <v>45577</v>
      </c>
      <c r="AN5607" t="s">
        <v>45582</v>
      </c>
      <c r="AO5607">
        <v>17220</v>
      </c>
      <c r="AU5607">
        <v>16</v>
      </c>
      <c r="AV5607" t="s">
        <v>814</v>
      </c>
      <c r="AW5607" t="s">
        <v>279</v>
      </c>
      <c r="AX5607" t="s">
        <v>46897</v>
      </c>
    </row>
    <row r="5608" spans="1:50">
      <c r="A5608" s="1">
        <f>HYPERLINK("https://lsnyc.legalserver.org/matter/dynamic-profile/view/1889301","19-1889301")</f>
        <v>0</v>
      </c>
      <c r="B5608" t="s">
        <v>119</v>
      </c>
      <c r="C5608" t="s">
        <v>340</v>
      </c>
      <c r="D5608" t="s">
        <v>694</v>
      </c>
      <c r="F5608" t="s">
        <v>2655</v>
      </c>
      <c r="G5608" t="s">
        <v>7758</v>
      </c>
      <c r="H5608" t="s">
        <v>13756</v>
      </c>
      <c r="I5608" t="s">
        <v>17306</v>
      </c>
      <c r="J5608" t="s">
        <v>18893</v>
      </c>
      <c r="K5608">
        <v>10035</v>
      </c>
      <c r="L5608" t="s">
        <v>18958</v>
      </c>
      <c r="M5608" t="s">
        <v>18958</v>
      </c>
      <c r="N5608" t="s">
        <v>23115</v>
      </c>
      <c r="O5608" t="s">
        <v>26523</v>
      </c>
      <c r="P5608" t="s">
        <v>26560</v>
      </c>
      <c r="R5608" t="s">
        <v>26578</v>
      </c>
      <c r="S5608" t="s">
        <v>18959</v>
      </c>
      <c r="U5608" t="s">
        <v>26604</v>
      </c>
      <c r="V5608" t="s">
        <v>26610</v>
      </c>
      <c r="W5608" t="s">
        <v>756</v>
      </c>
      <c r="X5608">
        <v>817.16</v>
      </c>
      <c r="Y5608" t="s">
        <v>26651</v>
      </c>
      <c r="Z5608" t="s">
        <v>26659</v>
      </c>
      <c r="AB5608" t="s">
        <v>29456</v>
      </c>
      <c r="AC5608" t="s">
        <v>36022</v>
      </c>
      <c r="AD5608" t="s">
        <v>41379</v>
      </c>
      <c r="AE5608">
        <v>4</v>
      </c>
      <c r="AF5608" t="s">
        <v>45548</v>
      </c>
      <c r="AG5608" t="s">
        <v>45556</v>
      </c>
      <c r="AH5608">
        <v>19</v>
      </c>
      <c r="AI5608">
        <v>3</v>
      </c>
      <c r="AJ5608">
        <v>0</v>
      </c>
      <c r="AK5608">
        <v>31.39</v>
      </c>
      <c r="AN5608" t="s">
        <v>45581</v>
      </c>
      <c r="AO5608">
        <v>6696</v>
      </c>
      <c r="AU5608">
        <v>22.25</v>
      </c>
      <c r="AV5608" t="s">
        <v>834</v>
      </c>
      <c r="AW5608" t="s">
        <v>46875</v>
      </c>
    </row>
    <row r="5609" spans="1:50">
      <c r="A5609" s="1">
        <f>HYPERLINK("https://lsnyc.legalserver.org/matter/dynamic-profile/view/1890091","19-1890091")</f>
        <v>0</v>
      </c>
      <c r="B5609" t="s">
        <v>258</v>
      </c>
      <c r="C5609" t="s">
        <v>340</v>
      </c>
      <c r="D5609" t="s">
        <v>710</v>
      </c>
      <c r="F5609" t="s">
        <v>1471</v>
      </c>
      <c r="G5609" t="s">
        <v>7759</v>
      </c>
      <c r="H5609" t="s">
        <v>13757</v>
      </c>
      <c r="I5609" t="s">
        <v>17416</v>
      </c>
      <c r="J5609" t="s">
        <v>18901</v>
      </c>
      <c r="K5609">
        <v>11434</v>
      </c>
      <c r="L5609" t="s">
        <v>18958</v>
      </c>
      <c r="M5609" t="s">
        <v>18958</v>
      </c>
      <c r="N5609" t="s">
        <v>23116</v>
      </c>
      <c r="O5609" t="s">
        <v>26523</v>
      </c>
      <c r="P5609" t="s">
        <v>26560</v>
      </c>
      <c r="R5609" t="s">
        <v>26585</v>
      </c>
      <c r="S5609" t="s">
        <v>18959</v>
      </c>
      <c r="U5609" t="s">
        <v>26604</v>
      </c>
      <c r="V5609" t="s">
        <v>26610</v>
      </c>
      <c r="W5609" t="s">
        <v>756</v>
      </c>
      <c r="X5609">
        <v>950</v>
      </c>
      <c r="Y5609" t="s">
        <v>26653</v>
      </c>
      <c r="Z5609" t="s">
        <v>26668</v>
      </c>
      <c r="AB5609" t="s">
        <v>31209</v>
      </c>
      <c r="AC5609" t="s">
        <v>36023</v>
      </c>
      <c r="AD5609" t="s">
        <v>41380</v>
      </c>
      <c r="AE5609">
        <v>2</v>
      </c>
      <c r="AF5609" t="s">
        <v>45545</v>
      </c>
      <c r="AG5609" t="s">
        <v>19330</v>
      </c>
      <c r="AH5609">
        <v>6</v>
      </c>
      <c r="AI5609">
        <v>2</v>
      </c>
      <c r="AJ5609">
        <v>1</v>
      </c>
      <c r="AK5609">
        <v>73.14</v>
      </c>
      <c r="AN5609" t="s">
        <v>7439</v>
      </c>
      <c r="AO5609">
        <v>15600</v>
      </c>
      <c r="AQ5609" t="s">
        <v>46362</v>
      </c>
      <c r="AR5609" t="s">
        <v>46420</v>
      </c>
      <c r="AS5609" t="s">
        <v>46500</v>
      </c>
      <c r="AT5609" t="s">
        <v>46704</v>
      </c>
      <c r="AU5609">
        <v>17.4</v>
      </c>
      <c r="AV5609" t="s">
        <v>764</v>
      </c>
      <c r="AW5609" t="s">
        <v>208</v>
      </c>
      <c r="AX5609" t="s">
        <v>46897</v>
      </c>
    </row>
    <row r="5610" spans="1:50">
      <c r="A5610" s="1">
        <f>HYPERLINK("https://lsnyc.legalserver.org/matter/dynamic-profile/view/1890477","19-1890477")</f>
        <v>0</v>
      </c>
      <c r="B5610" t="s">
        <v>64</v>
      </c>
      <c r="C5610" t="s">
        <v>340</v>
      </c>
      <c r="D5610" t="s">
        <v>690</v>
      </c>
      <c r="F5610" t="s">
        <v>3465</v>
      </c>
      <c r="G5610" t="s">
        <v>5512</v>
      </c>
      <c r="H5610" t="s">
        <v>13758</v>
      </c>
      <c r="I5610" t="s">
        <v>17564</v>
      </c>
      <c r="J5610" t="s">
        <v>18892</v>
      </c>
      <c r="K5610">
        <v>10462</v>
      </c>
      <c r="L5610" t="s">
        <v>18958</v>
      </c>
      <c r="M5610" t="s">
        <v>18958</v>
      </c>
      <c r="N5610" t="s">
        <v>22969</v>
      </c>
      <c r="O5610" t="s">
        <v>26523</v>
      </c>
      <c r="P5610" t="s">
        <v>26560</v>
      </c>
      <c r="R5610" t="s">
        <v>26579</v>
      </c>
      <c r="S5610" t="s">
        <v>18959</v>
      </c>
      <c r="U5610" t="s">
        <v>26604</v>
      </c>
      <c r="V5610" t="s">
        <v>26610</v>
      </c>
      <c r="W5610" t="s">
        <v>756</v>
      </c>
      <c r="X5610">
        <v>1650</v>
      </c>
      <c r="Y5610" t="s">
        <v>26650</v>
      </c>
      <c r="Z5610" t="s">
        <v>26664</v>
      </c>
      <c r="AB5610" t="s">
        <v>28370</v>
      </c>
      <c r="AD5610" t="s">
        <v>41381</v>
      </c>
      <c r="AE5610">
        <v>2</v>
      </c>
      <c r="AF5610" t="s">
        <v>45547</v>
      </c>
      <c r="AG5610" t="s">
        <v>19330</v>
      </c>
      <c r="AH5610">
        <v>1</v>
      </c>
      <c r="AI5610">
        <v>2</v>
      </c>
      <c r="AJ5610">
        <v>0</v>
      </c>
      <c r="AK5610">
        <v>177.41</v>
      </c>
      <c r="AN5610" t="s">
        <v>7439</v>
      </c>
      <c r="AO5610">
        <v>30000</v>
      </c>
      <c r="AU5610">
        <v>5.9</v>
      </c>
      <c r="AV5610" t="s">
        <v>808</v>
      </c>
      <c r="AW5610" t="s">
        <v>46871</v>
      </c>
    </row>
    <row r="5611" spans="1:50">
      <c r="A5611" s="1">
        <f>HYPERLINK("https://lsnyc.legalserver.org/matter/dynamic-profile/view/1890898","19-1890898")</f>
        <v>0</v>
      </c>
      <c r="B5611" t="s">
        <v>200</v>
      </c>
      <c r="C5611" t="s">
        <v>341</v>
      </c>
      <c r="D5611" t="s">
        <v>731</v>
      </c>
      <c r="E5611" t="s">
        <v>803</v>
      </c>
      <c r="F5611" t="s">
        <v>1602</v>
      </c>
      <c r="G5611" t="s">
        <v>5185</v>
      </c>
      <c r="H5611" t="s">
        <v>13759</v>
      </c>
      <c r="I5611">
        <v>2</v>
      </c>
      <c r="J5611" t="s">
        <v>18894</v>
      </c>
      <c r="K5611">
        <v>11208</v>
      </c>
      <c r="L5611" t="s">
        <v>18958</v>
      </c>
      <c r="M5611" t="s">
        <v>18958</v>
      </c>
      <c r="N5611" t="s">
        <v>23117</v>
      </c>
      <c r="O5611" t="s">
        <v>26524</v>
      </c>
      <c r="P5611" t="s">
        <v>26565</v>
      </c>
      <c r="Q5611" t="s">
        <v>26570</v>
      </c>
      <c r="R5611" t="s">
        <v>26578</v>
      </c>
      <c r="S5611" t="s">
        <v>18959</v>
      </c>
      <c r="U5611" t="s">
        <v>26604</v>
      </c>
      <c r="V5611" t="s">
        <v>26612</v>
      </c>
      <c r="W5611" t="s">
        <v>756</v>
      </c>
      <c r="X5611">
        <v>2100</v>
      </c>
      <c r="Y5611" t="s">
        <v>26652</v>
      </c>
      <c r="Z5611" t="s">
        <v>26659</v>
      </c>
      <c r="AA5611" t="s">
        <v>26683</v>
      </c>
      <c r="AB5611" t="s">
        <v>31210</v>
      </c>
      <c r="AC5611">
        <v>6654584</v>
      </c>
      <c r="AD5611" t="s">
        <v>41382</v>
      </c>
      <c r="AE5611">
        <v>3</v>
      </c>
      <c r="AF5611" t="s">
        <v>45547</v>
      </c>
      <c r="AG5611" t="s">
        <v>45556</v>
      </c>
      <c r="AH5611">
        <v>1</v>
      </c>
      <c r="AI5611">
        <v>3</v>
      </c>
      <c r="AJ5611">
        <v>1</v>
      </c>
      <c r="AK5611">
        <v>20.19</v>
      </c>
      <c r="AN5611" t="s">
        <v>7439</v>
      </c>
      <c r="AO5611">
        <v>5200</v>
      </c>
      <c r="AU5611">
        <v>1.2</v>
      </c>
      <c r="AV5611" t="s">
        <v>756</v>
      </c>
      <c r="AW5611" t="s">
        <v>279</v>
      </c>
    </row>
    <row r="5612" spans="1:50">
      <c r="A5612" s="1">
        <f>HYPERLINK("https://lsnyc.legalserver.org/matter/dynamic-profile/view/1891277","19-1891277")</f>
        <v>0</v>
      </c>
      <c r="B5612" t="s">
        <v>108</v>
      </c>
      <c r="C5612" t="s">
        <v>341</v>
      </c>
      <c r="D5612" t="s">
        <v>756</v>
      </c>
      <c r="E5612" t="s">
        <v>793</v>
      </c>
      <c r="F5612" t="s">
        <v>3466</v>
      </c>
      <c r="G5612" t="s">
        <v>7760</v>
      </c>
      <c r="H5612" t="s">
        <v>13760</v>
      </c>
      <c r="I5612" t="s">
        <v>17389</v>
      </c>
      <c r="J5612" t="s">
        <v>18913</v>
      </c>
      <c r="K5612">
        <v>11106</v>
      </c>
      <c r="L5612" t="s">
        <v>18958</v>
      </c>
      <c r="M5612" t="s">
        <v>18958</v>
      </c>
      <c r="N5612" t="s">
        <v>23118</v>
      </c>
      <c r="O5612" t="s">
        <v>26524</v>
      </c>
      <c r="P5612" t="s">
        <v>26564</v>
      </c>
      <c r="Q5612" t="s">
        <v>26570</v>
      </c>
      <c r="R5612" t="s">
        <v>26584</v>
      </c>
      <c r="S5612" t="s">
        <v>18959</v>
      </c>
      <c r="U5612" t="s">
        <v>26604</v>
      </c>
      <c r="V5612" t="s">
        <v>26612</v>
      </c>
      <c r="W5612" t="s">
        <v>756</v>
      </c>
      <c r="X5612">
        <v>1547</v>
      </c>
      <c r="Y5612" t="s">
        <v>26653</v>
      </c>
      <c r="Z5612" t="s">
        <v>26664</v>
      </c>
      <c r="AA5612" t="s">
        <v>26683</v>
      </c>
      <c r="AB5612" t="s">
        <v>31211</v>
      </c>
      <c r="AC5612" t="s">
        <v>19045</v>
      </c>
      <c r="AD5612" t="s">
        <v>34738</v>
      </c>
      <c r="AE5612">
        <v>63</v>
      </c>
      <c r="AF5612" t="s">
        <v>45541</v>
      </c>
      <c r="AG5612" t="s">
        <v>19330</v>
      </c>
      <c r="AH5612">
        <v>0</v>
      </c>
      <c r="AI5612">
        <v>3</v>
      </c>
      <c r="AJ5612">
        <v>0</v>
      </c>
      <c r="AK5612">
        <v>53.63</v>
      </c>
      <c r="AN5612" t="s">
        <v>7439</v>
      </c>
      <c r="AO5612">
        <v>11440</v>
      </c>
      <c r="AU5612">
        <v>1</v>
      </c>
      <c r="AV5612" t="s">
        <v>756</v>
      </c>
      <c r="AW5612" t="s">
        <v>108</v>
      </c>
    </row>
    <row r="5613" spans="1:50">
      <c r="A5613" s="1">
        <f>HYPERLINK("https://lsnyc.legalserver.org/matter/dynamic-profile/view/1891213","19-1891213")</f>
        <v>0</v>
      </c>
      <c r="B5613" t="s">
        <v>72</v>
      </c>
      <c r="C5613" t="s">
        <v>341</v>
      </c>
      <c r="D5613" t="s">
        <v>756</v>
      </c>
      <c r="E5613" t="s">
        <v>809</v>
      </c>
      <c r="F5613" t="s">
        <v>1309</v>
      </c>
      <c r="G5613" t="s">
        <v>5138</v>
      </c>
      <c r="H5613" t="s">
        <v>13761</v>
      </c>
      <c r="I5613" t="s">
        <v>17275</v>
      </c>
      <c r="J5613" t="s">
        <v>18893</v>
      </c>
      <c r="K5613">
        <v>10034</v>
      </c>
      <c r="L5613" t="s">
        <v>18958</v>
      </c>
      <c r="M5613" t="s">
        <v>18958</v>
      </c>
      <c r="P5613" t="s">
        <v>26564</v>
      </c>
      <c r="Q5613" t="s">
        <v>26570</v>
      </c>
      <c r="R5613" t="s">
        <v>26578</v>
      </c>
      <c r="S5613" t="s">
        <v>18959</v>
      </c>
      <c r="U5613" t="s">
        <v>26604</v>
      </c>
      <c r="W5613" t="s">
        <v>756</v>
      </c>
      <c r="X5613">
        <v>1281.5</v>
      </c>
      <c r="Y5613" t="s">
        <v>26651</v>
      </c>
      <c r="Z5613" t="s">
        <v>26661</v>
      </c>
      <c r="AA5613" t="s">
        <v>26683</v>
      </c>
      <c r="AB5613" t="s">
        <v>30432</v>
      </c>
      <c r="AD5613" t="s">
        <v>41383</v>
      </c>
      <c r="AE5613">
        <v>0</v>
      </c>
      <c r="AF5613" t="s">
        <v>45541</v>
      </c>
      <c r="AG5613" t="s">
        <v>45559</v>
      </c>
      <c r="AH5613">
        <v>10</v>
      </c>
      <c r="AI5613">
        <v>1</v>
      </c>
      <c r="AJ5613">
        <v>0</v>
      </c>
      <c r="AK5613">
        <v>137.39</v>
      </c>
      <c r="AN5613" t="s">
        <v>7439</v>
      </c>
      <c r="AO5613">
        <v>17160</v>
      </c>
      <c r="AU5613">
        <v>0.2</v>
      </c>
      <c r="AV5613" t="s">
        <v>809</v>
      </c>
      <c r="AW5613" t="s">
        <v>46840</v>
      </c>
    </row>
    <row r="5614" spans="1:50">
      <c r="A5614" s="1">
        <f>HYPERLINK("https://lsnyc.legalserver.org/matter/dynamic-profile/view/1891182","19-1891182")</f>
        <v>0</v>
      </c>
      <c r="B5614" t="s">
        <v>72</v>
      </c>
      <c r="C5614" t="s">
        <v>341</v>
      </c>
      <c r="D5614" t="s">
        <v>756</v>
      </c>
      <c r="E5614" t="s">
        <v>821</v>
      </c>
      <c r="F5614" t="s">
        <v>1154</v>
      </c>
      <c r="G5614" t="s">
        <v>6529</v>
      </c>
      <c r="H5614" t="s">
        <v>13762</v>
      </c>
      <c r="I5614" t="s">
        <v>17274</v>
      </c>
      <c r="J5614" t="s">
        <v>18893</v>
      </c>
      <c r="K5614">
        <v>10040</v>
      </c>
      <c r="L5614" t="s">
        <v>18958</v>
      </c>
      <c r="M5614" t="s">
        <v>18958</v>
      </c>
      <c r="P5614" t="s">
        <v>26564</v>
      </c>
      <c r="Q5614" t="s">
        <v>26570</v>
      </c>
      <c r="R5614" t="s">
        <v>26578</v>
      </c>
      <c r="S5614" t="s">
        <v>18959</v>
      </c>
      <c r="U5614" t="s">
        <v>26604</v>
      </c>
      <c r="W5614" t="s">
        <v>756</v>
      </c>
      <c r="X5614">
        <v>1796.11</v>
      </c>
      <c r="Y5614" t="s">
        <v>26651</v>
      </c>
      <c r="Z5614" t="s">
        <v>26661</v>
      </c>
      <c r="AA5614" t="s">
        <v>26683</v>
      </c>
      <c r="AB5614" t="s">
        <v>31212</v>
      </c>
      <c r="AD5614" t="s">
        <v>41384</v>
      </c>
      <c r="AE5614">
        <v>21</v>
      </c>
      <c r="AF5614" t="s">
        <v>45541</v>
      </c>
      <c r="AG5614" t="s">
        <v>19330</v>
      </c>
      <c r="AH5614">
        <v>13</v>
      </c>
      <c r="AI5614">
        <v>3</v>
      </c>
      <c r="AJ5614">
        <v>1</v>
      </c>
      <c r="AK5614">
        <v>141.36</v>
      </c>
      <c r="AN5614" t="s">
        <v>45581</v>
      </c>
      <c r="AO5614">
        <v>36400</v>
      </c>
      <c r="AU5614">
        <v>0.1</v>
      </c>
      <c r="AV5614" t="s">
        <v>756</v>
      </c>
      <c r="AW5614" t="s">
        <v>46840</v>
      </c>
      <c r="AX5614" t="s">
        <v>46897</v>
      </c>
    </row>
    <row r="5615" spans="1:50">
      <c r="A5615" s="1">
        <f>HYPERLINK("https://lsnyc.legalserver.org/matter/dynamic-profile/view/1891226","19-1891226")</f>
        <v>0</v>
      </c>
      <c r="B5615" t="s">
        <v>72</v>
      </c>
      <c r="C5615" t="s">
        <v>341</v>
      </c>
      <c r="D5615" t="s">
        <v>756</v>
      </c>
      <c r="E5615" t="s">
        <v>821</v>
      </c>
      <c r="F5615" t="s">
        <v>1234</v>
      </c>
      <c r="G5615" t="s">
        <v>962</v>
      </c>
      <c r="H5615" t="s">
        <v>13763</v>
      </c>
      <c r="I5615" t="s">
        <v>17360</v>
      </c>
      <c r="J5615" t="s">
        <v>18893</v>
      </c>
      <c r="K5615">
        <v>10034</v>
      </c>
      <c r="L5615" t="s">
        <v>18958</v>
      </c>
      <c r="M5615" t="s">
        <v>18958</v>
      </c>
      <c r="P5615" t="s">
        <v>26564</v>
      </c>
      <c r="Q5615" t="s">
        <v>26570</v>
      </c>
      <c r="R5615" t="s">
        <v>26578</v>
      </c>
      <c r="S5615" t="s">
        <v>18959</v>
      </c>
      <c r="U5615" t="s">
        <v>26604</v>
      </c>
      <c r="W5615" t="s">
        <v>756</v>
      </c>
      <c r="X5615">
        <v>2397</v>
      </c>
      <c r="Y5615" t="s">
        <v>26651</v>
      </c>
      <c r="Z5615" t="s">
        <v>26661</v>
      </c>
      <c r="AA5615" t="s">
        <v>26683</v>
      </c>
      <c r="AB5615" t="s">
        <v>31213</v>
      </c>
      <c r="AD5615" t="s">
        <v>41385</v>
      </c>
      <c r="AE5615">
        <v>0</v>
      </c>
      <c r="AF5615" t="s">
        <v>45541</v>
      </c>
      <c r="AG5615" t="s">
        <v>19330</v>
      </c>
      <c r="AH5615">
        <v>3</v>
      </c>
      <c r="AI5615">
        <v>3</v>
      </c>
      <c r="AJ5615">
        <v>2</v>
      </c>
      <c r="AK5615">
        <v>215.45</v>
      </c>
      <c r="AN5615" t="s">
        <v>7439</v>
      </c>
      <c r="AO5615">
        <v>65000</v>
      </c>
      <c r="AU5615">
        <v>0.1</v>
      </c>
      <c r="AV5615" t="s">
        <v>728</v>
      </c>
      <c r="AW5615" t="s">
        <v>46840</v>
      </c>
      <c r="AX5615" t="s">
        <v>46897</v>
      </c>
    </row>
    <row r="5616" spans="1:50">
      <c r="A5616" s="1">
        <f>HYPERLINK("https://lsnyc.legalserver.org/matter/dynamic-profile/view/1891212","19-1891212")</f>
        <v>0</v>
      </c>
      <c r="B5616" t="s">
        <v>122</v>
      </c>
      <c r="C5616" t="s">
        <v>341</v>
      </c>
      <c r="D5616" t="s">
        <v>756</v>
      </c>
      <c r="E5616" t="s">
        <v>755</v>
      </c>
      <c r="F5616" t="s">
        <v>964</v>
      </c>
      <c r="G5616" t="s">
        <v>5973</v>
      </c>
      <c r="H5616" t="s">
        <v>13764</v>
      </c>
      <c r="I5616">
        <v>3</v>
      </c>
      <c r="J5616" t="s">
        <v>18918</v>
      </c>
      <c r="K5616">
        <v>11416</v>
      </c>
      <c r="L5616" t="s">
        <v>18958</v>
      </c>
      <c r="M5616" t="s">
        <v>18958</v>
      </c>
      <c r="N5616" t="s">
        <v>23119</v>
      </c>
      <c r="O5616" t="s">
        <v>26524</v>
      </c>
      <c r="P5616" t="s">
        <v>26564</v>
      </c>
      <c r="Q5616" t="s">
        <v>26570</v>
      </c>
      <c r="R5616" t="s">
        <v>26584</v>
      </c>
      <c r="U5616" t="s">
        <v>26604</v>
      </c>
      <c r="W5616" t="s">
        <v>756</v>
      </c>
      <c r="X5616">
        <v>1700</v>
      </c>
      <c r="Y5616" t="s">
        <v>26653</v>
      </c>
      <c r="Z5616" t="s">
        <v>26664</v>
      </c>
      <c r="AA5616" t="s">
        <v>26683</v>
      </c>
      <c r="AB5616" t="s">
        <v>31214</v>
      </c>
      <c r="AC5616" t="s">
        <v>36024</v>
      </c>
      <c r="AD5616" t="s">
        <v>41386</v>
      </c>
      <c r="AE5616">
        <v>3</v>
      </c>
      <c r="AF5616" t="s">
        <v>20460</v>
      </c>
      <c r="AG5616" t="s">
        <v>19330</v>
      </c>
      <c r="AH5616">
        <v>4</v>
      </c>
      <c r="AI5616">
        <v>1</v>
      </c>
      <c r="AJ5616">
        <v>2</v>
      </c>
      <c r="AK5616">
        <v>100.03</v>
      </c>
      <c r="AN5616" t="s">
        <v>7439</v>
      </c>
      <c r="AO5616">
        <v>21336</v>
      </c>
      <c r="AU5616">
        <v>0.75</v>
      </c>
      <c r="AV5616" t="s">
        <v>756</v>
      </c>
      <c r="AW5616" t="s">
        <v>122</v>
      </c>
    </row>
    <row r="5617" spans="1:50">
      <c r="A5617" s="1">
        <f>HYPERLINK("https://lsnyc.legalserver.org/matter/dynamic-profile/view/1891206","19-1891206")</f>
        <v>0</v>
      </c>
      <c r="B5617" t="s">
        <v>276</v>
      </c>
      <c r="C5617" t="s">
        <v>340</v>
      </c>
      <c r="D5617" t="s">
        <v>756</v>
      </c>
      <c r="F5617" t="s">
        <v>994</v>
      </c>
      <c r="G5617" t="s">
        <v>5418</v>
      </c>
      <c r="H5617" t="s">
        <v>13765</v>
      </c>
      <c r="I5617">
        <v>4</v>
      </c>
      <c r="J5617" t="s">
        <v>18894</v>
      </c>
      <c r="K5617">
        <v>11232</v>
      </c>
      <c r="L5617" t="s">
        <v>18958</v>
      </c>
      <c r="M5617" t="s">
        <v>18958</v>
      </c>
      <c r="N5617" t="s">
        <v>23120</v>
      </c>
      <c r="O5617" t="s">
        <v>26523</v>
      </c>
      <c r="P5617" t="s">
        <v>26560</v>
      </c>
      <c r="R5617" t="s">
        <v>26578</v>
      </c>
      <c r="U5617" t="s">
        <v>26604</v>
      </c>
      <c r="W5617" t="s">
        <v>756</v>
      </c>
      <c r="X5617">
        <v>1147.63</v>
      </c>
      <c r="Y5617" t="s">
        <v>26652</v>
      </c>
      <c r="Z5617" t="s">
        <v>26663</v>
      </c>
      <c r="AB5617" t="s">
        <v>30541</v>
      </c>
      <c r="AD5617" t="s">
        <v>41387</v>
      </c>
      <c r="AE5617">
        <v>0</v>
      </c>
      <c r="AF5617" t="s">
        <v>45541</v>
      </c>
      <c r="AG5617" t="s">
        <v>45556</v>
      </c>
      <c r="AH5617">
        <v>23</v>
      </c>
      <c r="AI5617">
        <v>1</v>
      </c>
      <c r="AJ5617">
        <v>0</v>
      </c>
      <c r="AK5617">
        <v>73.02</v>
      </c>
      <c r="AN5617" t="s">
        <v>7439</v>
      </c>
      <c r="AO5617">
        <v>9120</v>
      </c>
      <c r="AQ5617" t="s">
        <v>46362</v>
      </c>
      <c r="AS5617" t="s">
        <v>46499</v>
      </c>
      <c r="AU5617">
        <v>12</v>
      </c>
      <c r="AV5617" t="s">
        <v>761</v>
      </c>
      <c r="AW5617" t="s">
        <v>219</v>
      </c>
    </row>
    <row r="5618" spans="1:50">
      <c r="A5618" s="1">
        <f>HYPERLINK("https://lsnyc.legalserver.org/matter/dynamic-profile/view/1891260","19-1891260")</f>
        <v>0</v>
      </c>
      <c r="B5618" t="s">
        <v>82</v>
      </c>
      <c r="C5618" t="s">
        <v>340</v>
      </c>
      <c r="D5618" t="s">
        <v>756</v>
      </c>
      <c r="F5618" t="s">
        <v>3467</v>
      </c>
      <c r="G5618" t="s">
        <v>5969</v>
      </c>
      <c r="H5618" t="s">
        <v>13766</v>
      </c>
      <c r="I5618" t="s">
        <v>17522</v>
      </c>
      <c r="J5618" t="s">
        <v>18892</v>
      </c>
      <c r="K5618">
        <v>10457</v>
      </c>
      <c r="L5618" t="s">
        <v>18958</v>
      </c>
      <c r="M5618" t="s">
        <v>18958</v>
      </c>
      <c r="N5618" t="s">
        <v>23121</v>
      </c>
      <c r="O5618" t="s">
        <v>26524</v>
      </c>
      <c r="P5618" t="s">
        <v>26560</v>
      </c>
      <c r="R5618" t="s">
        <v>26579</v>
      </c>
      <c r="S5618" t="s">
        <v>18959</v>
      </c>
      <c r="U5618" t="s">
        <v>26604</v>
      </c>
      <c r="V5618" t="s">
        <v>26610</v>
      </c>
      <c r="W5618" t="s">
        <v>756</v>
      </c>
      <c r="X5618">
        <v>50</v>
      </c>
      <c r="Y5618" t="s">
        <v>26650</v>
      </c>
      <c r="Z5618" t="s">
        <v>26664</v>
      </c>
      <c r="AB5618" t="s">
        <v>28236</v>
      </c>
      <c r="AD5618" t="s">
        <v>41388</v>
      </c>
      <c r="AE5618">
        <v>0</v>
      </c>
      <c r="AF5618" t="s">
        <v>45541</v>
      </c>
      <c r="AG5618" t="s">
        <v>45556</v>
      </c>
      <c r="AH5618">
        <v>8</v>
      </c>
      <c r="AI5618">
        <v>3</v>
      </c>
      <c r="AJ5618">
        <v>2</v>
      </c>
      <c r="AK5618">
        <v>0</v>
      </c>
      <c r="AN5618" t="s">
        <v>45581</v>
      </c>
      <c r="AO5618">
        <v>0</v>
      </c>
      <c r="AU5618">
        <v>9</v>
      </c>
      <c r="AV5618" t="s">
        <v>833</v>
      </c>
      <c r="AW5618" t="s">
        <v>334</v>
      </c>
    </row>
    <row r="5619" spans="1:50">
      <c r="A5619" s="1">
        <f>HYPERLINK("https://lsnyc.legalserver.org/matter/dynamic-profile/view/1891220","19-1891220")</f>
        <v>0</v>
      </c>
      <c r="B5619" t="s">
        <v>142</v>
      </c>
      <c r="C5619" t="s">
        <v>340</v>
      </c>
      <c r="D5619" t="s">
        <v>756</v>
      </c>
      <c r="F5619" t="s">
        <v>1039</v>
      </c>
      <c r="G5619" t="s">
        <v>1165</v>
      </c>
      <c r="H5619" t="s">
        <v>13767</v>
      </c>
      <c r="I5619" t="s">
        <v>17331</v>
      </c>
      <c r="J5619" t="s">
        <v>18899</v>
      </c>
      <c r="K5619">
        <v>11385</v>
      </c>
      <c r="L5619" t="s">
        <v>18958</v>
      </c>
      <c r="M5619" t="s">
        <v>18958</v>
      </c>
      <c r="N5619" t="s">
        <v>23122</v>
      </c>
      <c r="O5619" t="s">
        <v>26523</v>
      </c>
      <c r="P5619" t="s">
        <v>26560</v>
      </c>
      <c r="R5619" t="s">
        <v>26585</v>
      </c>
      <c r="S5619" t="s">
        <v>18959</v>
      </c>
      <c r="U5619" t="s">
        <v>26604</v>
      </c>
      <c r="V5619" t="s">
        <v>26610</v>
      </c>
      <c r="W5619" t="s">
        <v>756</v>
      </c>
      <c r="X5619">
        <v>1310.62</v>
      </c>
      <c r="Y5619" t="s">
        <v>26653</v>
      </c>
      <c r="Z5619" t="s">
        <v>26664</v>
      </c>
      <c r="AB5619" t="s">
        <v>29918</v>
      </c>
      <c r="AC5619" t="s">
        <v>36025</v>
      </c>
      <c r="AD5619" t="s">
        <v>41389</v>
      </c>
      <c r="AE5619">
        <v>6</v>
      </c>
      <c r="AF5619" t="s">
        <v>45541</v>
      </c>
      <c r="AG5619" t="s">
        <v>45557</v>
      </c>
      <c r="AH5619">
        <v>10</v>
      </c>
      <c r="AI5619">
        <v>4</v>
      </c>
      <c r="AJ5619">
        <v>2</v>
      </c>
      <c r="AK5619">
        <v>26.75</v>
      </c>
      <c r="AN5619" t="s">
        <v>45582</v>
      </c>
      <c r="AO5619">
        <v>9252</v>
      </c>
      <c r="AU5619">
        <v>6.9</v>
      </c>
      <c r="AV5619" t="s">
        <v>827</v>
      </c>
      <c r="AW5619" t="s">
        <v>108</v>
      </c>
    </row>
    <row r="5620" spans="1:50">
      <c r="A5620" s="1">
        <f>HYPERLINK("https://lsnyc.legalserver.org/matter/dynamic-profile/view/1891236","19-1891236")</f>
        <v>0</v>
      </c>
      <c r="B5620" t="s">
        <v>103</v>
      </c>
      <c r="C5620" t="s">
        <v>340</v>
      </c>
      <c r="D5620" t="s">
        <v>756</v>
      </c>
      <c r="F5620" t="s">
        <v>3468</v>
      </c>
      <c r="G5620" t="s">
        <v>7761</v>
      </c>
      <c r="H5620" t="s">
        <v>13768</v>
      </c>
      <c r="I5620" t="s">
        <v>17274</v>
      </c>
      <c r="J5620" t="s">
        <v>18902</v>
      </c>
      <c r="K5620">
        <v>10301</v>
      </c>
      <c r="L5620" t="s">
        <v>18958</v>
      </c>
      <c r="M5620" t="s">
        <v>18958</v>
      </c>
      <c r="N5620" t="s">
        <v>23123</v>
      </c>
      <c r="O5620" t="s">
        <v>26523</v>
      </c>
      <c r="P5620" t="s">
        <v>26560</v>
      </c>
      <c r="R5620" t="s">
        <v>26578</v>
      </c>
      <c r="S5620" t="s">
        <v>18959</v>
      </c>
      <c r="U5620" t="s">
        <v>26604</v>
      </c>
      <c r="V5620" t="s">
        <v>26611</v>
      </c>
      <c r="W5620" t="s">
        <v>756</v>
      </c>
      <c r="X5620">
        <v>1429.3</v>
      </c>
      <c r="Y5620" t="s">
        <v>26654</v>
      </c>
      <c r="Z5620" t="s">
        <v>26661</v>
      </c>
      <c r="AB5620" t="s">
        <v>31215</v>
      </c>
      <c r="AD5620" t="s">
        <v>41390</v>
      </c>
      <c r="AE5620">
        <v>2</v>
      </c>
      <c r="AF5620" t="s">
        <v>45541</v>
      </c>
      <c r="AG5620" t="s">
        <v>19330</v>
      </c>
      <c r="AH5620">
        <v>10</v>
      </c>
      <c r="AI5620">
        <v>1</v>
      </c>
      <c r="AJ5620">
        <v>0</v>
      </c>
      <c r="AK5620">
        <v>0</v>
      </c>
      <c r="AN5620" t="s">
        <v>7439</v>
      </c>
      <c r="AO5620">
        <v>0</v>
      </c>
      <c r="AU5620">
        <v>15</v>
      </c>
      <c r="AV5620" t="s">
        <v>839</v>
      </c>
      <c r="AW5620" t="s">
        <v>46852</v>
      </c>
      <c r="AX5620" t="s">
        <v>46897</v>
      </c>
    </row>
    <row r="5621" spans="1:50">
      <c r="A5621" s="1">
        <f>HYPERLINK("https://lsnyc.legalserver.org/matter/dynamic-profile/view/1891274","19-1891274")</f>
        <v>0</v>
      </c>
      <c r="B5621" t="s">
        <v>112</v>
      </c>
      <c r="C5621" t="s">
        <v>340</v>
      </c>
      <c r="D5621" t="s">
        <v>756</v>
      </c>
      <c r="F5621" t="s">
        <v>939</v>
      </c>
      <c r="G5621" t="s">
        <v>5191</v>
      </c>
      <c r="H5621" t="s">
        <v>13769</v>
      </c>
      <c r="J5621" t="s">
        <v>18932</v>
      </c>
      <c r="K5621">
        <v>11385</v>
      </c>
      <c r="L5621" t="s">
        <v>18958</v>
      </c>
      <c r="M5621" t="s">
        <v>18958</v>
      </c>
      <c r="N5621" t="s">
        <v>23124</v>
      </c>
      <c r="O5621" t="s">
        <v>26523</v>
      </c>
      <c r="P5621" t="s">
        <v>26560</v>
      </c>
      <c r="R5621" t="s">
        <v>26585</v>
      </c>
      <c r="S5621" t="s">
        <v>18959</v>
      </c>
      <c r="U5621" t="s">
        <v>26604</v>
      </c>
      <c r="V5621" t="s">
        <v>26612</v>
      </c>
      <c r="W5621" t="s">
        <v>756</v>
      </c>
      <c r="X5621">
        <v>1624</v>
      </c>
      <c r="Y5621" t="s">
        <v>26653</v>
      </c>
      <c r="Z5621" t="s">
        <v>26664</v>
      </c>
      <c r="AB5621" t="s">
        <v>29984</v>
      </c>
      <c r="AC5621" t="s">
        <v>36026</v>
      </c>
      <c r="AD5621" t="s">
        <v>41391</v>
      </c>
      <c r="AE5621">
        <v>6</v>
      </c>
      <c r="AF5621" t="s">
        <v>45541</v>
      </c>
      <c r="AG5621" t="s">
        <v>45556</v>
      </c>
      <c r="AH5621">
        <v>9</v>
      </c>
      <c r="AI5621">
        <v>2</v>
      </c>
      <c r="AJ5621">
        <v>0</v>
      </c>
      <c r="AK5621">
        <v>0</v>
      </c>
      <c r="AN5621" t="s">
        <v>7439</v>
      </c>
      <c r="AO5621">
        <v>0</v>
      </c>
      <c r="AU5621">
        <v>15.75</v>
      </c>
      <c r="AV5621" t="s">
        <v>828</v>
      </c>
      <c r="AW5621" t="s">
        <v>108</v>
      </c>
    </row>
    <row r="5622" spans="1:50">
      <c r="A5622" s="1">
        <f>HYPERLINK("https://lsnyc.legalserver.org/matter/dynamic-profile/view/1891201","19-1891201")</f>
        <v>0</v>
      </c>
      <c r="B5622" t="s">
        <v>91</v>
      </c>
      <c r="C5622" t="s">
        <v>340</v>
      </c>
      <c r="D5622" t="s">
        <v>756</v>
      </c>
      <c r="F5622" t="s">
        <v>3230</v>
      </c>
      <c r="G5622" t="s">
        <v>7762</v>
      </c>
      <c r="H5622" t="s">
        <v>13770</v>
      </c>
      <c r="I5622">
        <v>2</v>
      </c>
      <c r="J5622" t="s">
        <v>18901</v>
      </c>
      <c r="K5622">
        <v>11433</v>
      </c>
      <c r="L5622" t="s">
        <v>18958</v>
      </c>
      <c r="M5622" t="s">
        <v>18958</v>
      </c>
      <c r="N5622" t="s">
        <v>23125</v>
      </c>
      <c r="O5622" t="s">
        <v>26523</v>
      </c>
      <c r="P5622" t="s">
        <v>26560</v>
      </c>
      <c r="R5622" t="s">
        <v>26585</v>
      </c>
      <c r="U5622" t="s">
        <v>26604</v>
      </c>
      <c r="W5622" t="s">
        <v>756</v>
      </c>
      <c r="X5622">
        <v>1350</v>
      </c>
      <c r="Y5622" t="s">
        <v>26653</v>
      </c>
      <c r="Z5622" t="s">
        <v>26664</v>
      </c>
      <c r="AB5622" t="s">
        <v>31216</v>
      </c>
      <c r="AC5622" t="s">
        <v>36027</v>
      </c>
      <c r="AD5622" t="s">
        <v>41392</v>
      </c>
      <c r="AE5622">
        <v>4</v>
      </c>
      <c r="AF5622" t="s">
        <v>45547</v>
      </c>
      <c r="AG5622" t="s">
        <v>19330</v>
      </c>
      <c r="AH5622">
        <v>4</v>
      </c>
      <c r="AI5622">
        <v>1</v>
      </c>
      <c r="AJ5622">
        <v>2</v>
      </c>
      <c r="AK5622">
        <v>0</v>
      </c>
      <c r="AN5622" t="s">
        <v>7439</v>
      </c>
      <c r="AO5622">
        <v>0</v>
      </c>
      <c r="AU5622">
        <v>11.75</v>
      </c>
      <c r="AV5622" t="s">
        <v>821</v>
      </c>
      <c r="AW5622" t="s">
        <v>122</v>
      </c>
    </row>
    <row r="5623" spans="1:50">
      <c r="A5623" s="1">
        <f>HYPERLINK("https://lsnyc.legalserver.org/matter/dynamic-profile/view/1891284","19-1891284")</f>
        <v>0</v>
      </c>
      <c r="B5623" t="s">
        <v>256</v>
      </c>
      <c r="C5623" t="s">
        <v>340</v>
      </c>
      <c r="D5623" t="s">
        <v>756</v>
      </c>
      <c r="F5623" t="s">
        <v>3061</v>
      </c>
      <c r="G5623" t="s">
        <v>7763</v>
      </c>
      <c r="H5623" t="s">
        <v>13771</v>
      </c>
      <c r="I5623" t="s">
        <v>17342</v>
      </c>
      <c r="J5623" t="s">
        <v>18894</v>
      </c>
      <c r="K5623">
        <v>11220</v>
      </c>
      <c r="L5623" t="s">
        <v>18958</v>
      </c>
      <c r="M5623" t="s">
        <v>18958</v>
      </c>
      <c r="N5623" t="s">
        <v>23126</v>
      </c>
      <c r="O5623" t="s">
        <v>26524</v>
      </c>
      <c r="P5623" t="s">
        <v>26560</v>
      </c>
      <c r="R5623" t="s">
        <v>26578</v>
      </c>
      <c r="U5623" t="s">
        <v>26604</v>
      </c>
      <c r="W5623" t="s">
        <v>756</v>
      </c>
      <c r="X5623">
        <v>425.19</v>
      </c>
      <c r="Y5623" t="s">
        <v>26652</v>
      </c>
      <c r="AB5623" t="s">
        <v>31217</v>
      </c>
      <c r="AE5623">
        <v>0</v>
      </c>
      <c r="AH5623">
        <v>50</v>
      </c>
      <c r="AI5623">
        <v>2</v>
      </c>
      <c r="AJ5623">
        <v>0</v>
      </c>
      <c r="AK5623">
        <v>277.94</v>
      </c>
      <c r="AN5623" t="s">
        <v>45581</v>
      </c>
      <c r="AO5623">
        <v>47000</v>
      </c>
      <c r="AU5623">
        <v>1</v>
      </c>
      <c r="AV5623" t="s">
        <v>756</v>
      </c>
      <c r="AW5623" t="s">
        <v>219</v>
      </c>
    </row>
    <row r="5624" spans="1:50">
      <c r="A5624" s="1">
        <f>HYPERLINK("https://lsnyc.legalserver.org/matter/dynamic-profile/view/1891237","19-1891237")</f>
        <v>0</v>
      </c>
      <c r="B5624" t="s">
        <v>54</v>
      </c>
      <c r="C5624" t="s">
        <v>340</v>
      </c>
      <c r="D5624" t="s">
        <v>756</v>
      </c>
      <c r="F5624" t="s">
        <v>1219</v>
      </c>
      <c r="G5624" t="s">
        <v>5208</v>
      </c>
      <c r="H5624" t="s">
        <v>13772</v>
      </c>
      <c r="I5624">
        <v>55</v>
      </c>
      <c r="J5624" t="s">
        <v>18892</v>
      </c>
      <c r="K5624">
        <v>10457</v>
      </c>
      <c r="L5624" t="s">
        <v>18958</v>
      </c>
      <c r="M5624" t="s">
        <v>18958</v>
      </c>
      <c r="N5624" t="s">
        <v>23127</v>
      </c>
      <c r="O5624" t="s">
        <v>26523</v>
      </c>
      <c r="P5624" t="s">
        <v>26560</v>
      </c>
      <c r="R5624" t="s">
        <v>26579</v>
      </c>
      <c r="S5624" t="s">
        <v>18959</v>
      </c>
      <c r="U5624" t="s">
        <v>26604</v>
      </c>
      <c r="V5624" t="s">
        <v>26610</v>
      </c>
      <c r="W5624" t="s">
        <v>756</v>
      </c>
      <c r="X5624">
        <v>2115.02</v>
      </c>
      <c r="Y5624" t="s">
        <v>26650</v>
      </c>
      <c r="Z5624" t="s">
        <v>26668</v>
      </c>
      <c r="AB5624" t="s">
        <v>29041</v>
      </c>
      <c r="AC5624" t="s">
        <v>36028</v>
      </c>
      <c r="AD5624" t="s">
        <v>41393</v>
      </c>
      <c r="AE5624">
        <v>43</v>
      </c>
      <c r="AF5624" t="s">
        <v>45541</v>
      </c>
      <c r="AG5624" t="s">
        <v>45559</v>
      </c>
      <c r="AH5624">
        <v>43</v>
      </c>
      <c r="AI5624">
        <v>1</v>
      </c>
      <c r="AJ5624">
        <v>0</v>
      </c>
      <c r="AK5624">
        <v>75.8</v>
      </c>
      <c r="AN5624" t="s">
        <v>7439</v>
      </c>
      <c r="AO5624">
        <v>9468</v>
      </c>
      <c r="AU5624">
        <v>25.4</v>
      </c>
      <c r="AV5624" t="s">
        <v>835</v>
      </c>
      <c r="AW5624" t="s">
        <v>46832</v>
      </c>
    </row>
    <row r="5625" spans="1:50">
      <c r="A5625" s="1">
        <f>HYPERLINK("https://lsnyc.legalserver.org/matter/dynamic-profile/view/1891177","19-1891177")</f>
        <v>0</v>
      </c>
      <c r="B5625" t="s">
        <v>235</v>
      </c>
      <c r="C5625" t="s">
        <v>340</v>
      </c>
      <c r="D5625" t="s">
        <v>756</v>
      </c>
      <c r="F5625" t="s">
        <v>1036</v>
      </c>
      <c r="G5625" t="s">
        <v>7764</v>
      </c>
      <c r="H5625" t="s">
        <v>10627</v>
      </c>
      <c r="I5625" t="s">
        <v>17976</v>
      </c>
      <c r="J5625" t="s">
        <v>18915</v>
      </c>
      <c r="K5625">
        <v>11372</v>
      </c>
      <c r="L5625" t="s">
        <v>18958</v>
      </c>
      <c r="M5625" t="s">
        <v>18958</v>
      </c>
      <c r="N5625" t="s">
        <v>23128</v>
      </c>
      <c r="O5625" t="s">
        <v>26524</v>
      </c>
      <c r="P5625" t="s">
        <v>26564</v>
      </c>
      <c r="R5625" t="s">
        <v>26584</v>
      </c>
      <c r="U5625" t="s">
        <v>26604</v>
      </c>
      <c r="W5625" t="s">
        <v>756</v>
      </c>
      <c r="X5625">
        <v>540</v>
      </c>
      <c r="Y5625" t="s">
        <v>26653</v>
      </c>
      <c r="Z5625" t="s">
        <v>26664</v>
      </c>
      <c r="AB5625" t="s">
        <v>31218</v>
      </c>
      <c r="AC5625" t="s">
        <v>19045</v>
      </c>
      <c r="AD5625" t="s">
        <v>41394</v>
      </c>
      <c r="AE5625">
        <v>16</v>
      </c>
      <c r="AF5625" t="s">
        <v>45541</v>
      </c>
      <c r="AH5625">
        <v>13</v>
      </c>
      <c r="AI5625">
        <v>1</v>
      </c>
      <c r="AJ5625">
        <v>0</v>
      </c>
      <c r="AK5625">
        <v>156.08</v>
      </c>
      <c r="AN5625" t="s">
        <v>45581</v>
      </c>
      <c r="AO5625">
        <v>19494</v>
      </c>
      <c r="AU5625">
        <v>4.65</v>
      </c>
      <c r="AV5625" t="s">
        <v>660</v>
      </c>
      <c r="AW5625" t="s">
        <v>235</v>
      </c>
    </row>
    <row r="5626" spans="1:50">
      <c r="A5626" s="1">
        <f>HYPERLINK("https://lsnyc.legalserver.org/matter/dynamic-profile/view/1891772","19-1891772")</f>
        <v>0</v>
      </c>
      <c r="B5626" t="s">
        <v>169</v>
      </c>
      <c r="C5626" t="s">
        <v>341</v>
      </c>
      <c r="D5626" t="s">
        <v>728</v>
      </c>
      <c r="E5626" t="s">
        <v>795</v>
      </c>
      <c r="F5626" t="s">
        <v>1048</v>
      </c>
      <c r="G5626" t="s">
        <v>1695</v>
      </c>
      <c r="H5626" t="s">
        <v>13773</v>
      </c>
      <c r="J5626" t="s">
        <v>18892</v>
      </c>
      <c r="K5626">
        <v>10459</v>
      </c>
      <c r="L5626" t="s">
        <v>18958</v>
      </c>
      <c r="M5626" t="s">
        <v>18958</v>
      </c>
      <c r="N5626" t="s">
        <v>23129</v>
      </c>
      <c r="O5626" t="s">
        <v>26523</v>
      </c>
      <c r="P5626" t="s">
        <v>26560</v>
      </c>
      <c r="Q5626" t="s">
        <v>26568</v>
      </c>
      <c r="R5626" t="s">
        <v>26578</v>
      </c>
      <c r="S5626" t="s">
        <v>18959</v>
      </c>
      <c r="U5626" t="s">
        <v>26604</v>
      </c>
      <c r="V5626" t="s">
        <v>26612</v>
      </c>
      <c r="W5626" t="s">
        <v>756</v>
      </c>
      <c r="X5626">
        <v>1348.53</v>
      </c>
      <c r="Y5626" t="s">
        <v>26650</v>
      </c>
      <c r="Z5626" t="s">
        <v>26664</v>
      </c>
      <c r="AA5626" t="s">
        <v>26678</v>
      </c>
      <c r="AB5626" t="s">
        <v>31219</v>
      </c>
      <c r="AC5626" t="s">
        <v>36029</v>
      </c>
      <c r="AE5626">
        <v>22</v>
      </c>
      <c r="AF5626" t="s">
        <v>20460</v>
      </c>
      <c r="AG5626" t="s">
        <v>45562</v>
      </c>
      <c r="AH5626">
        <v>1</v>
      </c>
      <c r="AI5626">
        <v>1</v>
      </c>
      <c r="AJ5626">
        <v>2</v>
      </c>
      <c r="AK5626">
        <v>114.86</v>
      </c>
      <c r="AN5626" t="s">
        <v>7439</v>
      </c>
      <c r="AO5626">
        <v>24500</v>
      </c>
      <c r="AQ5626" t="s">
        <v>46359</v>
      </c>
      <c r="AR5626" t="s">
        <v>46385</v>
      </c>
      <c r="AS5626" t="s">
        <v>46499</v>
      </c>
      <c r="AT5626" t="s">
        <v>46787</v>
      </c>
      <c r="AU5626">
        <v>15.2</v>
      </c>
      <c r="AV5626" t="s">
        <v>794</v>
      </c>
      <c r="AW5626" t="s">
        <v>329</v>
      </c>
    </row>
    <row r="5627" spans="1:50">
      <c r="A5627" s="1">
        <f>HYPERLINK("https://lsnyc.legalserver.org/matter/dynamic-profile/view/1891259","19-1891259")</f>
        <v>0</v>
      </c>
      <c r="B5627" t="s">
        <v>214</v>
      </c>
      <c r="C5627" t="s">
        <v>340</v>
      </c>
      <c r="D5627" t="s">
        <v>416</v>
      </c>
      <c r="F5627" t="s">
        <v>3236</v>
      </c>
      <c r="G5627" t="s">
        <v>1725</v>
      </c>
      <c r="H5627" t="s">
        <v>13774</v>
      </c>
      <c r="I5627">
        <v>2</v>
      </c>
      <c r="J5627" t="s">
        <v>18900</v>
      </c>
      <c r="K5627">
        <v>11355</v>
      </c>
      <c r="L5627" t="s">
        <v>18958</v>
      </c>
      <c r="M5627" t="s">
        <v>18958</v>
      </c>
      <c r="N5627" t="s">
        <v>23130</v>
      </c>
      <c r="O5627" t="s">
        <v>26524</v>
      </c>
      <c r="P5627" t="s">
        <v>26560</v>
      </c>
      <c r="R5627" t="s">
        <v>26589</v>
      </c>
      <c r="S5627" t="s">
        <v>18959</v>
      </c>
      <c r="U5627" t="s">
        <v>26604</v>
      </c>
      <c r="V5627" t="s">
        <v>26610</v>
      </c>
      <c r="W5627" t="s">
        <v>756</v>
      </c>
      <c r="X5627">
        <v>2150</v>
      </c>
      <c r="Y5627" t="s">
        <v>26653</v>
      </c>
      <c r="Z5627" t="s">
        <v>26671</v>
      </c>
      <c r="AB5627" t="s">
        <v>31220</v>
      </c>
      <c r="AC5627" t="s">
        <v>34738</v>
      </c>
      <c r="AD5627" t="s">
        <v>34738</v>
      </c>
      <c r="AE5627">
        <v>3</v>
      </c>
      <c r="AF5627" t="s">
        <v>45547</v>
      </c>
      <c r="AG5627" t="s">
        <v>19330</v>
      </c>
      <c r="AH5627">
        <v>1</v>
      </c>
      <c r="AI5627">
        <v>1</v>
      </c>
      <c r="AJ5627">
        <v>3</v>
      </c>
      <c r="AK5627">
        <v>60.58</v>
      </c>
      <c r="AL5627" t="s">
        <v>45567</v>
      </c>
      <c r="AM5627" t="s">
        <v>45577</v>
      </c>
      <c r="AN5627" t="s">
        <v>45581</v>
      </c>
      <c r="AO5627">
        <v>15600</v>
      </c>
      <c r="AU5627">
        <v>21.15</v>
      </c>
      <c r="AV5627" t="s">
        <v>836</v>
      </c>
      <c r="AW5627" t="s">
        <v>214</v>
      </c>
    </row>
    <row r="5628" spans="1:50">
      <c r="A5628" s="1">
        <f>HYPERLINK("https://lsnyc.legalserver.org/matter/dynamic-profile/view/1883388","18-1883388")</f>
        <v>0</v>
      </c>
      <c r="B5628" t="s">
        <v>108</v>
      </c>
      <c r="C5628" t="s">
        <v>341</v>
      </c>
      <c r="D5628" t="s">
        <v>662</v>
      </c>
      <c r="E5628" t="s">
        <v>828</v>
      </c>
      <c r="F5628" t="s">
        <v>928</v>
      </c>
      <c r="G5628" t="s">
        <v>7765</v>
      </c>
      <c r="H5628" t="s">
        <v>12551</v>
      </c>
      <c r="J5628" t="s">
        <v>18901</v>
      </c>
      <c r="K5628">
        <v>11434</v>
      </c>
      <c r="L5628" t="s">
        <v>18958</v>
      </c>
      <c r="M5628" t="s">
        <v>18958</v>
      </c>
      <c r="N5628" t="s">
        <v>23131</v>
      </c>
      <c r="O5628" t="s">
        <v>26524</v>
      </c>
      <c r="P5628" t="s">
        <v>26560</v>
      </c>
      <c r="Q5628" t="s">
        <v>26568</v>
      </c>
      <c r="R5628" t="s">
        <v>26585</v>
      </c>
      <c r="S5628" t="s">
        <v>18959</v>
      </c>
      <c r="U5628" t="s">
        <v>26604</v>
      </c>
      <c r="V5628" t="s">
        <v>26610</v>
      </c>
      <c r="W5628" t="s">
        <v>747</v>
      </c>
      <c r="X5628">
        <v>600</v>
      </c>
      <c r="Y5628" t="s">
        <v>26653</v>
      </c>
      <c r="Z5628" t="s">
        <v>26668</v>
      </c>
      <c r="AA5628" t="s">
        <v>26679</v>
      </c>
      <c r="AB5628" t="s">
        <v>31221</v>
      </c>
      <c r="AD5628" t="s">
        <v>41395</v>
      </c>
      <c r="AE5628">
        <v>4</v>
      </c>
      <c r="AF5628" t="s">
        <v>45547</v>
      </c>
      <c r="AG5628" t="s">
        <v>19330</v>
      </c>
      <c r="AH5628">
        <v>5</v>
      </c>
      <c r="AI5628">
        <v>1</v>
      </c>
      <c r="AJ5628">
        <v>0</v>
      </c>
      <c r="AK5628">
        <v>187.81</v>
      </c>
      <c r="AN5628" t="s">
        <v>7439</v>
      </c>
      <c r="AO5628">
        <v>22800</v>
      </c>
      <c r="AQ5628" t="s">
        <v>46362</v>
      </c>
      <c r="AR5628" t="s">
        <v>46406</v>
      </c>
      <c r="AS5628" t="s">
        <v>46500</v>
      </c>
      <c r="AT5628" t="s">
        <v>46506</v>
      </c>
      <c r="AU5628">
        <v>6.5</v>
      </c>
      <c r="AV5628" t="s">
        <v>687</v>
      </c>
      <c r="AW5628" t="s">
        <v>208</v>
      </c>
      <c r="AX5628" t="s">
        <v>46897</v>
      </c>
    </row>
    <row r="5629" spans="1:50">
      <c r="A5629" s="1">
        <f>HYPERLINK("https://lsnyc.legalserver.org/matter/dynamic-profile/view/1887070","19-1887070")</f>
        <v>0</v>
      </c>
      <c r="B5629" t="s">
        <v>68</v>
      </c>
      <c r="C5629" t="s">
        <v>341</v>
      </c>
      <c r="D5629" t="s">
        <v>668</v>
      </c>
      <c r="E5629" t="s">
        <v>741</v>
      </c>
      <c r="F5629" t="s">
        <v>3469</v>
      </c>
      <c r="G5629" t="s">
        <v>5654</v>
      </c>
      <c r="H5629" t="s">
        <v>10795</v>
      </c>
      <c r="I5629" t="s">
        <v>18269</v>
      </c>
      <c r="J5629" t="s">
        <v>18892</v>
      </c>
      <c r="K5629">
        <v>10457</v>
      </c>
      <c r="L5629" t="s">
        <v>18958</v>
      </c>
      <c r="M5629" t="s">
        <v>18958</v>
      </c>
      <c r="N5629" t="s">
        <v>23132</v>
      </c>
      <c r="O5629" t="s">
        <v>26523</v>
      </c>
      <c r="P5629" t="s">
        <v>26560</v>
      </c>
      <c r="Q5629" t="s">
        <v>26568</v>
      </c>
      <c r="R5629" t="s">
        <v>26579</v>
      </c>
      <c r="S5629" t="s">
        <v>18959</v>
      </c>
      <c r="U5629" t="s">
        <v>26604</v>
      </c>
      <c r="V5629" t="s">
        <v>26610</v>
      </c>
      <c r="W5629" t="s">
        <v>747</v>
      </c>
      <c r="X5629">
        <v>1650</v>
      </c>
      <c r="Y5629" t="s">
        <v>26650</v>
      </c>
      <c r="Z5629" t="s">
        <v>26664</v>
      </c>
      <c r="AA5629" t="s">
        <v>26678</v>
      </c>
      <c r="AB5629" t="s">
        <v>31222</v>
      </c>
      <c r="AD5629" t="s">
        <v>41396</v>
      </c>
      <c r="AE5629">
        <v>32</v>
      </c>
      <c r="AF5629" t="s">
        <v>45541</v>
      </c>
      <c r="AG5629" t="s">
        <v>19330</v>
      </c>
      <c r="AH5629">
        <v>3</v>
      </c>
      <c r="AI5629">
        <v>2</v>
      </c>
      <c r="AJ5629">
        <v>2</v>
      </c>
      <c r="AK5629">
        <v>191.24</v>
      </c>
      <c r="AN5629" t="s">
        <v>7439</v>
      </c>
      <c r="AO5629">
        <v>48000</v>
      </c>
      <c r="AR5629" t="s">
        <v>46379</v>
      </c>
      <c r="AS5629" t="s">
        <v>46499</v>
      </c>
      <c r="AT5629" t="s">
        <v>46666</v>
      </c>
      <c r="AU5629">
        <v>5.6</v>
      </c>
      <c r="AV5629" t="s">
        <v>757</v>
      </c>
      <c r="AW5629" t="s">
        <v>334</v>
      </c>
      <c r="AX5629" t="s">
        <v>46897</v>
      </c>
    </row>
    <row r="5630" spans="1:50">
      <c r="A5630" s="1">
        <f>HYPERLINK("https://lsnyc.legalserver.org/matter/dynamic-profile/view/1887964","19-1887964")</f>
        <v>0</v>
      </c>
      <c r="B5630" t="s">
        <v>125</v>
      </c>
      <c r="C5630" t="s">
        <v>340</v>
      </c>
      <c r="D5630" t="s">
        <v>573</v>
      </c>
      <c r="F5630" t="s">
        <v>3470</v>
      </c>
      <c r="G5630" t="s">
        <v>879</v>
      </c>
      <c r="H5630" t="s">
        <v>13775</v>
      </c>
      <c r="I5630" t="s">
        <v>18270</v>
      </c>
      <c r="J5630" t="s">
        <v>18894</v>
      </c>
      <c r="K5630">
        <v>11208</v>
      </c>
      <c r="L5630" t="s">
        <v>18958</v>
      </c>
      <c r="M5630" t="s">
        <v>18959</v>
      </c>
      <c r="N5630" t="s">
        <v>23133</v>
      </c>
      <c r="O5630" t="s">
        <v>26523</v>
      </c>
      <c r="P5630" t="s">
        <v>26564</v>
      </c>
      <c r="R5630" t="s">
        <v>26578</v>
      </c>
      <c r="S5630" t="s">
        <v>18959</v>
      </c>
      <c r="U5630" t="s">
        <v>26604</v>
      </c>
      <c r="V5630" t="s">
        <v>26610</v>
      </c>
      <c r="W5630" t="s">
        <v>747</v>
      </c>
      <c r="X5630">
        <v>1400</v>
      </c>
      <c r="Y5630" t="s">
        <v>26652</v>
      </c>
      <c r="Z5630" t="s">
        <v>26657</v>
      </c>
      <c r="AB5630" t="s">
        <v>31223</v>
      </c>
      <c r="AD5630" t="s">
        <v>41397</v>
      </c>
      <c r="AE5630">
        <v>102</v>
      </c>
      <c r="AF5630" t="s">
        <v>45541</v>
      </c>
      <c r="AG5630" t="s">
        <v>45556</v>
      </c>
      <c r="AH5630">
        <v>1</v>
      </c>
      <c r="AI5630">
        <v>1</v>
      </c>
      <c r="AJ5630">
        <v>0</v>
      </c>
      <c r="AK5630">
        <v>291.6</v>
      </c>
      <c r="AN5630" t="s">
        <v>7439</v>
      </c>
      <c r="AO5630">
        <v>35400</v>
      </c>
      <c r="AU5630">
        <v>5</v>
      </c>
      <c r="AV5630" t="s">
        <v>751</v>
      </c>
      <c r="AW5630" t="s">
        <v>46829</v>
      </c>
      <c r="AX5630" t="s">
        <v>46897</v>
      </c>
    </row>
    <row r="5631" spans="1:50">
      <c r="A5631" s="1">
        <f>HYPERLINK("https://lsnyc.legalserver.org/matter/dynamic-profile/view/1889974","19-1889974")</f>
        <v>0</v>
      </c>
      <c r="B5631" t="s">
        <v>52</v>
      </c>
      <c r="C5631" t="s">
        <v>341</v>
      </c>
      <c r="D5631" t="s">
        <v>744</v>
      </c>
      <c r="E5631" t="s">
        <v>787</v>
      </c>
      <c r="F5631" t="s">
        <v>1107</v>
      </c>
      <c r="G5631" t="s">
        <v>5686</v>
      </c>
      <c r="H5631" t="s">
        <v>13776</v>
      </c>
      <c r="I5631" t="s">
        <v>18271</v>
      </c>
      <c r="J5631" t="s">
        <v>18892</v>
      </c>
      <c r="K5631">
        <v>10457</v>
      </c>
      <c r="L5631" t="s">
        <v>18958</v>
      </c>
      <c r="M5631" t="s">
        <v>18958</v>
      </c>
      <c r="O5631" t="s">
        <v>18997</v>
      </c>
      <c r="P5631" t="s">
        <v>26564</v>
      </c>
      <c r="Q5631" t="s">
        <v>26570</v>
      </c>
      <c r="R5631" t="s">
        <v>26578</v>
      </c>
      <c r="S5631" t="s">
        <v>18959</v>
      </c>
      <c r="U5631" t="s">
        <v>26604</v>
      </c>
      <c r="W5631" t="s">
        <v>747</v>
      </c>
      <c r="X5631">
        <v>700</v>
      </c>
      <c r="Y5631" t="s">
        <v>26650</v>
      </c>
      <c r="AA5631" t="s">
        <v>26683</v>
      </c>
      <c r="AB5631" t="s">
        <v>31224</v>
      </c>
      <c r="AD5631" t="s">
        <v>41398</v>
      </c>
      <c r="AE5631">
        <v>3</v>
      </c>
      <c r="AF5631" t="s">
        <v>20460</v>
      </c>
      <c r="AG5631" t="s">
        <v>19330</v>
      </c>
      <c r="AH5631">
        <v>1</v>
      </c>
      <c r="AI5631">
        <v>1</v>
      </c>
      <c r="AJ5631">
        <v>0</v>
      </c>
      <c r="AK5631">
        <v>0</v>
      </c>
      <c r="AN5631" t="s">
        <v>7439</v>
      </c>
      <c r="AO5631">
        <v>0</v>
      </c>
      <c r="AU5631">
        <v>1.5</v>
      </c>
      <c r="AV5631" t="s">
        <v>747</v>
      </c>
      <c r="AW5631" t="s">
        <v>46829</v>
      </c>
    </row>
    <row r="5632" spans="1:50">
      <c r="A5632" s="1">
        <f>HYPERLINK("https://lsnyc.legalserver.org/matter/dynamic-profile/view/1890585","19-1890585")</f>
        <v>0</v>
      </c>
      <c r="B5632" t="s">
        <v>95</v>
      </c>
      <c r="C5632" t="s">
        <v>340</v>
      </c>
      <c r="D5632" t="s">
        <v>745</v>
      </c>
      <c r="F5632" t="s">
        <v>3471</v>
      </c>
      <c r="G5632" t="s">
        <v>7766</v>
      </c>
      <c r="H5632" t="s">
        <v>12646</v>
      </c>
      <c r="I5632" t="s">
        <v>17313</v>
      </c>
      <c r="J5632" t="s">
        <v>18894</v>
      </c>
      <c r="K5632">
        <v>11233</v>
      </c>
      <c r="L5632" t="s">
        <v>18958</v>
      </c>
      <c r="M5632" t="s">
        <v>18959</v>
      </c>
      <c r="O5632" t="s">
        <v>26534</v>
      </c>
      <c r="P5632" t="s">
        <v>26561</v>
      </c>
      <c r="R5632" t="s">
        <v>26578</v>
      </c>
      <c r="S5632" t="s">
        <v>18958</v>
      </c>
      <c r="U5632" t="s">
        <v>26604</v>
      </c>
      <c r="V5632" t="s">
        <v>26610</v>
      </c>
      <c r="W5632" t="s">
        <v>747</v>
      </c>
      <c r="X5632">
        <v>1034</v>
      </c>
      <c r="Y5632" t="s">
        <v>26652</v>
      </c>
      <c r="Z5632" t="s">
        <v>26530</v>
      </c>
      <c r="AB5632" t="s">
        <v>31225</v>
      </c>
      <c r="AE5632">
        <v>359</v>
      </c>
      <c r="AF5632" t="s">
        <v>45541</v>
      </c>
      <c r="AG5632" t="s">
        <v>19330</v>
      </c>
      <c r="AH5632">
        <v>37</v>
      </c>
      <c r="AI5632">
        <v>2</v>
      </c>
      <c r="AJ5632">
        <v>0</v>
      </c>
      <c r="AK5632">
        <v>159.67</v>
      </c>
      <c r="AN5632" t="s">
        <v>7439</v>
      </c>
      <c r="AO5632">
        <v>27000</v>
      </c>
      <c r="AP5632" t="s">
        <v>45878</v>
      </c>
      <c r="AU5632">
        <v>0</v>
      </c>
      <c r="AW5632" t="s">
        <v>286</v>
      </c>
    </row>
    <row r="5633" spans="1:50">
      <c r="A5633" s="1">
        <f>HYPERLINK("https://lsnyc.legalserver.org/matter/dynamic-profile/view/1891165","19-1891165")</f>
        <v>0</v>
      </c>
      <c r="B5633" t="s">
        <v>99</v>
      </c>
      <c r="C5633" t="s">
        <v>340</v>
      </c>
      <c r="D5633" t="s">
        <v>756</v>
      </c>
      <c r="F5633" t="s">
        <v>940</v>
      </c>
      <c r="G5633" t="s">
        <v>5685</v>
      </c>
      <c r="H5633" t="s">
        <v>13777</v>
      </c>
      <c r="I5633" t="s">
        <v>17331</v>
      </c>
      <c r="J5633" t="s">
        <v>18894</v>
      </c>
      <c r="K5633">
        <v>11220</v>
      </c>
      <c r="L5633" t="s">
        <v>18958</v>
      </c>
      <c r="M5633" t="s">
        <v>18958</v>
      </c>
      <c r="N5633" t="s">
        <v>23134</v>
      </c>
      <c r="O5633" t="s">
        <v>26523</v>
      </c>
      <c r="P5633" t="s">
        <v>26560</v>
      </c>
      <c r="R5633" t="s">
        <v>26586</v>
      </c>
      <c r="S5633" t="s">
        <v>18959</v>
      </c>
      <c r="U5633" t="s">
        <v>26604</v>
      </c>
      <c r="V5633" t="s">
        <v>26610</v>
      </c>
      <c r="W5633" t="s">
        <v>747</v>
      </c>
      <c r="X5633">
        <v>656.1799999999999</v>
      </c>
      <c r="Y5633" t="s">
        <v>26652</v>
      </c>
      <c r="Z5633" t="s">
        <v>26664</v>
      </c>
      <c r="AB5633" t="s">
        <v>31226</v>
      </c>
      <c r="AD5633" t="s">
        <v>41399</v>
      </c>
      <c r="AE5633">
        <v>6</v>
      </c>
      <c r="AF5633" t="s">
        <v>45541</v>
      </c>
      <c r="AG5633" t="s">
        <v>19330</v>
      </c>
      <c r="AH5633">
        <v>30</v>
      </c>
      <c r="AI5633">
        <v>2</v>
      </c>
      <c r="AJ5633">
        <v>0</v>
      </c>
      <c r="AK5633">
        <v>18.45</v>
      </c>
      <c r="AN5633" t="s">
        <v>45581</v>
      </c>
      <c r="AO5633">
        <v>3120</v>
      </c>
      <c r="AU5633">
        <v>18.4</v>
      </c>
      <c r="AV5633" t="s">
        <v>814</v>
      </c>
      <c r="AW5633" t="s">
        <v>46853</v>
      </c>
    </row>
    <row r="5634" spans="1:50">
      <c r="A5634" s="1">
        <f>HYPERLINK("https://lsnyc.legalserver.org/matter/dynamic-profile/view/1891354","19-1891354")</f>
        <v>0</v>
      </c>
      <c r="B5634" t="s">
        <v>260</v>
      </c>
      <c r="C5634" t="s">
        <v>341</v>
      </c>
      <c r="D5634" t="s">
        <v>747</v>
      </c>
      <c r="E5634" t="s">
        <v>747</v>
      </c>
      <c r="F5634" t="s">
        <v>895</v>
      </c>
      <c r="G5634" t="s">
        <v>7767</v>
      </c>
      <c r="H5634" t="s">
        <v>13778</v>
      </c>
      <c r="I5634" t="s">
        <v>17360</v>
      </c>
      <c r="J5634" t="s">
        <v>18893</v>
      </c>
      <c r="K5634">
        <v>10034</v>
      </c>
      <c r="L5634" t="s">
        <v>18958</v>
      </c>
      <c r="M5634" t="s">
        <v>18960</v>
      </c>
      <c r="O5634" t="s">
        <v>18997</v>
      </c>
      <c r="P5634" t="s">
        <v>26565</v>
      </c>
      <c r="Q5634" t="s">
        <v>26571</v>
      </c>
      <c r="R5634" t="s">
        <v>26578</v>
      </c>
      <c r="S5634" t="s">
        <v>18959</v>
      </c>
      <c r="U5634" t="s">
        <v>26604</v>
      </c>
      <c r="W5634" t="s">
        <v>747</v>
      </c>
      <c r="X5634">
        <v>1098.91</v>
      </c>
      <c r="Y5634" t="s">
        <v>26651</v>
      </c>
      <c r="Z5634" t="s">
        <v>26661</v>
      </c>
      <c r="AA5634" t="s">
        <v>26682</v>
      </c>
      <c r="AB5634" t="s">
        <v>30970</v>
      </c>
      <c r="AC5634" t="s">
        <v>36030</v>
      </c>
      <c r="AD5634" t="s">
        <v>41400</v>
      </c>
      <c r="AE5634">
        <v>52</v>
      </c>
      <c r="AF5634" t="s">
        <v>45541</v>
      </c>
      <c r="AG5634" t="s">
        <v>26530</v>
      </c>
      <c r="AH5634">
        <v>18</v>
      </c>
      <c r="AI5634">
        <v>1</v>
      </c>
      <c r="AJ5634">
        <v>0</v>
      </c>
      <c r="AK5634">
        <v>124.8</v>
      </c>
      <c r="AN5634" t="s">
        <v>7439</v>
      </c>
      <c r="AO5634">
        <v>15588</v>
      </c>
      <c r="AU5634">
        <v>2</v>
      </c>
      <c r="AV5634" t="s">
        <v>747</v>
      </c>
      <c r="AW5634" t="s">
        <v>260</v>
      </c>
      <c r="AX5634" t="s">
        <v>46898</v>
      </c>
    </row>
    <row r="5635" spans="1:50">
      <c r="A5635" s="1">
        <f>HYPERLINK("https://lsnyc.legalserver.org/matter/dynamic-profile/view/1891373","19-1891373")</f>
        <v>0</v>
      </c>
      <c r="B5635" t="s">
        <v>260</v>
      </c>
      <c r="C5635" t="s">
        <v>341</v>
      </c>
      <c r="D5635" t="s">
        <v>747</v>
      </c>
      <c r="E5635" t="s">
        <v>821</v>
      </c>
      <c r="F5635" t="s">
        <v>895</v>
      </c>
      <c r="G5635" t="s">
        <v>7767</v>
      </c>
      <c r="H5635" t="s">
        <v>13778</v>
      </c>
      <c r="I5635" t="s">
        <v>17360</v>
      </c>
      <c r="J5635" t="s">
        <v>18893</v>
      </c>
      <c r="K5635">
        <v>10034</v>
      </c>
      <c r="L5635" t="s">
        <v>18958</v>
      </c>
      <c r="M5635" t="s">
        <v>18959</v>
      </c>
      <c r="O5635" t="s">
        <v>18997</v>
      </c>
      <c r="P5635" t="s">
        <v>26565</v>
      </c>
      <c r="Q5635" t="s">
        <v>26571</v>
      </c>
      <c r="R5635" t="s">
        <v>26578</v>
      </c>
      <c r="S5635" t="s">
        <v>18959</v>
      </c>
      <c r="U5635" t="s">
        <v>26604</v>
      </c>
      <c r="W5635" t="s">
        <v>747</v>
      </c>
      <c r="X5635">
        <v>1077</v>
      </c>
      <c r="Y5635" t="s">
        <v>26651</v>
      </c>
      <c r="Z5635" t="s">
        <v>26661</v>
      </c>
      <c r="AA5635" t="s">
        <v>26682</v>
      </c>
      <c r="AB5635" t="s">
        <v>30970</v>
      </c>
      <c r="AC5635" t="s">
        <v>36030</v>
      </c>
      <c r="AD5635" t="s">
        <v>41400</v>
      </c>
      <c r="AE5635">
        <v>52</v>
      </c>
      <c r="AF5635" t="s">
        <v>45541</v>
      </c>
      <c r="AG5635" t="s">
        <v>26530</v>
      </c>
      <c r="AH5635">
        <v>18</v>
      </c>
      <c r="AI5635">
        <v>1</v>
      </c>
      <c r="AJ5635">
        <v>0</v>
      </c>
      <c r="AK5635">
        <v>124.8</v>
      </c>
      <c r="AO5635">
        <v>15588</v>
      </c>
      <c r="AU5635">
        <v>10.1</v>
      </c>
      <c r="AV5635" t="s">
        <v>810</v>
      </c>
      <c r="AW5635" t="s">
        <v>260</v>
      </c>
      <c r="AX5635" t="s">
        <v>46897</v>
      </c>
    </row>
    <row r="5636" spans="1:50">
      <c r="A5636" s="1">
        <f>HYPERLINK("https://lsnyc.legalserver.org/matter/dynamic-profile/view/1891365","19-1891365")</f>
        <v>0</v>
      </c>
      <c r="B5636" t="s">
        <v>165</v>
      </c>
      <c r="C5636" t="s">
        <v>341</v>
      </c>
      <c r="D5636" t="s">
        <v>747</v>
      </c>
      <c r="E5636" t="s">
        <v>832</v>
      </c>
      <c r="F5636" t="s">
        <v>1397</v>
      </c>
      <c r="G5636" t="s">
        <v>6494</v>
      </c>
      <c r="H5636" t="s">
        <v>13387</v>
      </c>
      <c r="I5636">
        <v>510</v>
      </c>
      <c r="J5636" t="s">
        <v>18893</v>
      </c>
      <c r="K5636">
        <v>10027</v>
      </c>
      <c r="L5636" t="s">
        <v>18958</v>
      </c>
      <c r="M5636" t="s">
        <v>18958</v>
      </c>
      <c r="N5636" t="s">
        <v>23135</v>
      </c>
      <c r="O5636" t="s">
        <v>26523</v>
      </c>
      <c r="P5636" t="s">
        <v>26560</v>
      </c>
      <c r="Q5636" t="s">
        <v>26573</v>
      </c>
      <c r="R5636" t="s">
        <v>26580</v>
      </c>
      <c r="S5636" t="s">
        <v>18959</v>
      </c>
      <c r="U5636" t="s">
        <v>26604</v>
      </c>
      <c r="V5636" t="s">
        <v>26610</v>
      </c>
      <c r="W5636" t="s">
        <v>747</v>
      </c>
      <c r="X5636">
        <v>870</v>
      </c>
      <c r="Y5636" t="s">
        <v>26651</v>
      </c>
      <c r="Z5636" t="s">
        <v>26668</v>
      </c>
      <c r="AA5636" t="s">
        <v>26678</v>
      </c>
      <c r="AB5636" t="s">
        <v>31227</v>
      </c>
      <c r="AC5636" t="s">
        <v>36031</v>
      </c>
      <c r="AD5636" t="s">
        <v>41401</v>
      </c>
      <c r="AE5636">
        <v>72</v>
      </c>
      <c r="AF5636" t="s">
        <v>45541</v>
      </c>
      <c r="AG5636" t="s">
        <v>45561</v>
      </c>
      <c r="AH5636">
        <v>10</v>
      </c>
      <c r="AI5636">
        <v>1</v>
      </c>
      <c r="AJ5636">
        <v>0</v>
      </c>
      <c r="AK5636">
        <v>39.14</v>
      </c>
      <c r="AN5636" t="s">
        <v>7439</v>
      </c>
      <c r="AO5636">
        <v>4888</v>
      </c>
      <c r="AS5636" t="s">
        <v>46499</v>
      </c>
      <c r="AU5636">
        <v>2.9</v>
      </c>
      <c r="AV5636" t="s">
        <v>831</v>
      </c>
      <c r="AW5636" t="s">
        <v>314</v>
      </c>
    </row>
    <row r="5637" spans="1:50">
      <c r="A5637" s="1">
        <f>HYPERLINK("https://lsnyc.legalserver.org/matter/dynamic-profile/view/1891293","19-1891293")</f>
        <v>0</v>
      </c>
      <c r="B5637" t="s">
        <v>278</v>
      </c>
      <c r="C5637" t="s">
        <v>341</v>
      </c>
      <c r="D5637" t="s">
        <v>747</v>
      </c>
      <c r="E5637" t="s">
        <v>830</v>
      </c>
      <c r="F5637" t="s">
        <v>3472</v>
      </c>
      <c r="G5637" t="s">
        <v>5121</v>
      </c>
      <c r="H5637" t="s">
        <v>11310</v>
      </c>
      <c r="I5637" t="s">
        <v>18272</v>
      </c>
      <c r="J5637" t="s">
        <v>18902</v>
      </c>
      <c r="K5637">
        <v>10303</v>
      </c>
      <c r="L5637" t="s">
        <v>18958</v>
      </c>
      <c r="M5637" t="s">
        <v>18958</v>
      </c>
      <c r="N5637" t="s">
        <v>23136</v>
      </c>
      <c r="O5637" t="s">
        <v>26523</v>
      </c>
      <c r="P5637" t="s">
        <v>26560</v>
      </c>
      <c r="Q5637" t="s">
        <v>26568</v>
      </c>
      <c r="R5637" t="s">
        <v>26590</v>
      </c>
      <c r="S5637" t="s">
        <v>18959</v>
      </c>
      <c r="U5637" t="s">
        <v>26606</v>
      </c>
      <c r="V5637" t="s">
        <v>26610</v>
      </c>
      <c r="W5637" t="s">
        <v>747</v>
      </c>
      <c r="X5637">
        <v>215</v>
      </c>
      <c r="Y5637" t="s">
        <v>26654</v>
      </c>
      <c r="Z5637" t="s">
        <v>26668</v>
      </c>
      <c r="AA5637" t="s">
        <v>26677</v>
      </c>
      <c r="AB5637" t="s">
        <v>31228</v>
      </c>
      <c r="AC5637" t="s">
        <v>36032</v>
      </c>
      <c r="AD5637" t="s">
        <v>41402</v>
      </c>
      <c r="AE5637">
        <v>0</v>
      </c>
      <c r="AF5637" t="s">
        <v>45543</v>
      </c>
      <c r="AG5637" t="s">
        <v>45556</v>
      </c>
      <c r="AH5637">
        <v>0</v>
      </c>
      <c r="AI5637">
        <v>1</v>
      </c>
      <c r="AJ5637">
        <v>2</v>
      </c>
      <c r="AK5637">
        <v>21.83</v>
      </c>
      <c r="AN5637" t="s">
        <v>7439</v>
      </c>
      <c r="AO5637">
        <v>4656</v>
      </c>
      <c r="AS5637" t="s">
        <v>46499</v>
      </c>
      <c r="AU5637">
        <v>14.35</v>
      </c>
      <c r="AV5637" t="s">
        <v>833</v>
      </c>
      <c r="AW5637" t="s">
        <v>210</v>
      </c>
    </row>
    <row r="5638" spans="1:50">
      <c r="A5638" s="1">
        <f>HYPERLINK("https://lsnyc.legalserver.org/matter/dynamic-profile/view/1891388","19-1891388")</f>
        <v>0</v>
      </c>
      <c r="B5638" t="s">
        <v>151</v>
      </c>
      <c r="C5638" t="s">
        <v>341</v>
      </c>
      <c r="D5638" t="s">
        <v>747</v>
      </c>
      <c r="E5638" t="s">
        <v>764</v>
      </c>
      <c r="F5638" t="s">
        <v>1910</v>
      </c>
      <c r="G5638" t="s">
        <v>7768</v>
      </c>
      <c r="H5638" t="s">
        <v>13605</v>
      </c>
      <c r="I5638" t="s">
        <v>17351</v>
      </c>
      <c r="J5638" t="s">
        <v>18893</v>
      </c>
      <c r="K5638">
        <v>10027</v>
      </c>
      <c r="L5638" t="s">
        <v>18958</v>
      </c>
      <c r="M5638" t="s">
        <v>18958</v>
      </c>
      <c r="N5638" t="s">
        <v>23137</v>
      </c>
      <c r="O5638" t="s">
        <v>26523</v>
      </c>
      <c r="P5638" t="s">
        <v>26560</v>
      </c>
      <c r="Q5638" t="s">
        <v>26574</v>
      </c>
      <c r="R5638" t="s">
        <v>26580</v>
      </c>
      <c r="S5638" t="s">
        <v>18959</v>
      </c>
      <c r="U5638" t="s">
        <v>26604</v>
      </c>
      <c r="V5638" t="s">
        <v>26618</v>
      </c>
      <c r="W5638" t="s">
        <v>747</v>
      </c>
      <c r="X5638">
        <v>900</v>
      </c>
      <c r="Y5638" t="s">
        <v>26651</v>
      </c>
      <c r="Z5638" t="s">
        <v>26664</v>
      </c>
      <c r="AA5638" t="s">
        <v>26678</v>
      </c>
      <c r="AB5638" t="s">
        <v>31229</v>
      </c>
      <c r="AD5638" t="s">
        <v>41403</v>
      </c>
      <c r="AE5638">
        <v>0</v>
      </c>
      <c r="AF5638" t="s">
        <v>45544</v>
      </c>
      <c r="AG5638" t="s">
        <v>19330</v>
      </c>
      <c r="AH5638">
        <v>7</v>
      </c>
      <c r="AI5638">
        <v>1</v>
      </c>
      <c r="AJ5638">
        <v>0</v>
      </c>
      <c r="AK5638">
        <v>192.15</v>
      </c>
      <c r="AN5638" t="s">
        <v>7439</v>
      </c>
      <c r="AO5638">
        <v>24000</v>
      </c>
      <c r="AS5638" t="s">
        <v>46499</v>
      </c>
      <c r="AT5638" t="s">
        <v>46714</v>
      </c>
      <c r="AU5638">
        <v>3.7</v>
      </c>
      <c r="AV5638" t="s">
        <v>753</v>
      </c>
      <c r="AW5638" t="s">
        <v>46875</v>
      </c>
    </row>
    <row r="5639" spans="1:50">
      <c r="A5639" s="1">
        <f>HYPERLINK("https://lsnyc.legalserver.org/matter/dynamic-profile/view/1891304","19-1891304")</f>
        <v>0</v>
      </c>
      <c r="B5639" t="s">
        <v>151</v>
      </c>
      <c r="C5639" t="s">
        <v>341</v>
      </c>
      <c r="D5639" t="s">
        <v>747</v>
      </c>
      <c r="E5639" t="s">
        <v>764</v>
      </c>
      <c r="F5639" t="s">
        <v>3473</v>
      </c>
      <c r="G5639" t="s">
        <v>5258</v>
      </c>
      <c r="H5639" t="s">
        <v>13779</v>
      </c>
      <c r="I5639" t="s">
        <v>18273</v>
      </c>
      <c r="J5639" t="s">
        <v>18893</v>
      </c>
      <c r="K5639">
        <v>10027</v>
      </c>
      <c r="L5639" t="s">
        <v>18958</v>
      </c>
      <c r="M5639" t="s">
        <v>18958</v>
      </c>
      <c r="N5639" t="s">
        <v>23138</v>
      </c>
      <c r="O5639" t="s">
        <v>26524</v>
      </c>
      <c r="P5639" t="s">
        <v>26560</v>
      </c>
      <c r="Q5639" t="s">
        <v>26568</v>
      </c>
      <c r="R5639" t="s">
        <v>26580</v>
      </c>
      <c r="S5639" t="s">
        <v>18959</v>
      </c>
      <c r="U5639" t="s">
        <v>26604</v>
      </c>
      <c r="V5639" t="s">
        <v>26612</v>
      </c>
      <c r="W5639" t="s">
        <v>747</v>
      </c>
      <c r="X5639">
        <v>700</v>
      </c>
      <c r="Y5639" t="s">
        <v>26651</v>
      </c>
      <c r="Z5639" t="s">
        <v>26668</v>
      </c>
      <c r="AA5639" t="s">
        <v>26678</v>
      </c>
      <c r="AB5639" t="s">
        <v>29458</v>
      </c>
      <c r="AD5639" t="s">
        <v>41404</v>
      </c>
      <c r="AE5639">
        <v>0</v>
      </c>
      <c r="AF5639" t="s">
        <v>20460</v>
      </c>
      <c r="AG5639" t="s">
        <v>19330</v>
      </c>
      <c r="AH5639">
        <v>1</v>
      </c>
      <c r="AI5639">
        <v>2</v>
      </c>
      <c r="AJ5639">
        <v>2</v>
      </c>
      <c r="AK5639">
        <v>194.61</v>
      </c>
      <c r="AN5639" t="s">
        <v>7439</v>
      </c>
      <c r="AO5639">
        <v>50112</v>
      </c>
      <c r="AS5639" t="s">
        <v>46499</v>
      </c>
      <c r="AT5639" t="s">
        <v>46704</v>
      </c>
      <c r="AU5639">
        <v>2</v>
      </c>
      <c r="AV5639" t="s">
        <v>672</v>
      </c>
      <c r="AW5639" t="s">
        <v>314</v>
      </c>
    </row>
    <row r="5640" spans="1:50">
      <c r="A5640" s="1">
        <f>HYPERLINK("https://lsnyc.legalserver.org/matter/dynamic-profile/view/1892790","19-1892790")</f>
        <v>0</v>
      </c>
      <c r="B5640" t="s">
        <v>251</v>
      </c>
      <c r="C5640" t="s">
        <v>341</v>
      </c>
      <c r="D5640" t="s">
        <v>747</v>
      </c>
      <c r="E5640" t="s">
        <v>770</v>
      </c>
      <c r="F5640" t="s">
        <v>1371</v>
      </c>
      <c r="G5640" t="s">
        <v>7769</v>
      </c>
      <c r="H5640" t="s">
        <v>13780</v>
      </c>
      <c r="I5640" t="s">
        <v>17339</v>
      </c>
      <c r="J5640" t="s">
        <v>18892</v>
      </c>
      <c r="K5640">
        <v>10467</v>
      </c>
      <c r="L5640" t="s">
        <v>18958</v>
      </c>
      <c r="M5640" t="s">
        <v>18958</v>
      </c>
      <c r="N5640" t="s">
        <v>23139</v>
      </c>
      <c r="O5640" t="s">
        <v>26523</v>
      </c>
      <c r="P5640" t="s">
        <v>26560</v>
      </c>
      <c r="Q5640" t="s">
        <v>26573</v>
      </c>
      <c r="R5640" t="s">
        <v>26579</v>
      </c>
      <c r="S5640" t="s">
        <v>18959</v>
      </c>
      <c r="U5640" t="s">
        <v>26604</v>
      </c>
      <c r="V5640" t="s">
        <v>26610</v>
      </c>
      <c r="W5640" t="s">
        <v>747</v>
      </c>
      <c r="X5640">
        <v>988.33</v>
      </c>
      <c r="Y5640" t="s">
        <v>26650</v>
      </c>
      <c r="Z5640" t="s">
        <v>26664</v>
      </c>
      <c r="AA5640" t="s">
        <v>26678</v>
      </c>
      <c r="AB5640" t="s">
        <v>31223</v>
      </c>
      <c r="AD5640" t="s">
        <v>41405</v>
      </c>
      <c r="AE5640">
        <v>0</v>
      </c>
      <c r="AF5640" t="s">
        <v>20460</v>
      </c>
      <c r="AG5640" t="s">
        <v>19330</v>
      </c>
      <c r="AH5640">
        <v>4</v>
      </c>
      <c r="AI5640">
        <v>1</v>
      </c>
      <c r="AJ5640">
        <v>2</v>
      </c>
      <c r="AK5640">
        <v>170.9</v>
      </c>
      <c r="AN5640" t="s">
        <v>7439</v>
      </c>
      <c r="AO5640">
        <v>36452</v>
      </c>
      <c r="AQ5640" t="s">
        <v>46362</v>
      </c>
      <c r="AR5640" t="s">
        <v>46379</v>
      </c>
      <c r="AS5640" t="s">
        <v>46499</v>
      </c>
      <c r="AT5640" t="s">
        <v>46674</v>
      </c>
      <c r="AU5640">
        <v>4.15</v>
      </c>
      <c r="AV5640" t="s">
        <v>671</v>
      </c>
      <c r="AW5640" t="s">
        <v>336</v>
      </c>
    </row>
    <row r="5641" spans="1:50">
      <c r="A5641" s="1">
        <f>HYPERLINK("https://lsnyc.legalserver.org/matter/dynamic-profile/view/1891331","19-1891331")</f>
        <v>0</v>
      </c>
      <c r="B5641" t="s">
        <v>153</v>
      </c>
      <c r="C5641" t="s">
        <v>341</v>
      </c>
      <c r="D5641" t="s">
        <v>747</v>
      </c>
      <c r="E5641" t="s">
        <v>830</v>
      </c>
      <c r="F5641" t="s">
        <v>2850</v>
      </c>
      <c r="G5641" t="s">
        <v>5720</v>
      </c>
      <c r="H5641" t="s">
        <v>10733</v>
      </c>
      <c r="I5641" t="s">
        <v>17725</v>
      </c>
      <c r="J5641" t="s">
        <v>18902</v>
      </c>
      <c r="K5641">
        <v>10303</v>
      </c>
      <c r="L5641" t="s">
        <v>18958</v>
      </c>
      <c r="M5641" t="s">
        <v>18958</v>
      </c>
      <c r="N5641" t="s">
        <v>23140</v>
      </c>
      <c r="O5641" t="s">
        <v>26523</v>
      </c>
      <c r="P5641" t="s">
        <v>26560</v>
      </c>
      <c r="Q5641" t="s">
        <v>26568</v>
      </c>
      <c r="R5641" t="s">
        <v>26590</v>
      </c>
      <c r="S5641" t="s">
        <v>18959</v>
      </c>
      <c r="U5641" t="s">
        <v>26606</v>
      </c>
      <c r="V5641" t="s">
        <v>26610</v>
      </c>
      <c r="W5641" t="s">
        <v>747</v>
      </c>
      <c r="X5641">
        <v>459</v>
      </c>
      <c r="Y5641" t="s">
        <v>26654</v>
      </c>
      <c r="Z5641" t="s">
        <v>26668</v>
      </c>
      <c r="AA5641" t="s">
        <v>26677</v>
      </c>
      <c r="AB5641" t="s">
        <v>31230</v>
      </c>
      <c r="AD5641" t="s">
        <v>41406</v>
      </c>
      <c r="AE5641">
        <v>0</v>
      </c>
      <c r="AF5641" t="s">
        <v>45543</v>
      </c>
      <c r="AG5641" t="s">
        <v>45556</v>
      </c>
      <c r="AH5641">
        <v>7</v>
      </c>
      <c r="AI5641">
        <v>2</v>
      </c>
      <c r="AJ5641">
        <v>3</v>
      </c>
      <c r="AK5641">
        <v>122.9</v>
      </c>
      <c r="AN5641" t="s">
        <v>7439</v>
      </c>
      <c r="AO5641">
        <v>37080</v>
      </c>
      <c r="AS5641" t="s">
        <v>46499</v>
      </c>
      <c r="AU5641">
        <v>9.1</v>
      </c>
      <c r="AV5641" t="s">
        <v>828</v>
      </c>
      <c r="AW5641" t="s">
        <v>210</v>
      </c>
    </row>
    <row r="5642" spans="1:50">
      <c r="A5642" s="1">
        <f>HYPERLINK("https://lsnyc.legalserver.org/matter/dynamic-profile/view/1891870","19-1891870")</f>
        <v>0</v>
      </c>
      <c r="B5642" t="s">
        <v>93</v>
      </c>
      <c r="C5642" t="s">
        <v>341</v>
      </c>
      <c r="D5642" t="s">
        <v>747</v>
      </c>
      <c r="E5642" t="s">
        <v>802</v>
      </c>
      <c r="F5642" t="s">
        <v>3344</v>
      </c>
      <c r="G5642" t="s">
        <v>5269</v>
      </c>
      <c r="H5642" t="s">
        <v>13572</v>
      </c>
      <c r="I5642">
        <v>1</v>
      </c>
      <c r="J5642" t="s">
        <v>18901</v>
      </c>
      <c r="K5642">
        <v>11433</v>
      </c>
      <c r="L5642" t="s">
        <v>18958</v>
      </c>
      <c r="M5642" t="s">
        <v>18958</v>
      </c>
      <c r="N5642" t="s">
        <v>22903</v>
      </c>
      <c r="O5642" t="s">
        <v>26524</v>
      </c>
      <c r="P5642" t="s">
        <v>26560</v>
      </c>
      <c r="Q5642" t="s">
        <v>26575</v>
      </c>
      <c r="R5642" t="s">
        <v>26585</v>
      </c>
      <c r="S5642" t="s">
        <v>18959</v>
      </c>
      <c r="U5642" t="s">
        <v>26604</v>
      </c>
      <c r="V5642" t="s">
        <v>26612</v>
      </c>
      <c r="W5642" t="s">
        <v>747</v>
      </c>
      <c r="X5642">
        <v>0</v>
      </c>
      <c r="Y5642" t="s">
        <v>26653</v>
      </c>
      <c r="Z5642" t="s">
        <v>26664</v>
      </c>
      <c r="AA5642" t="s">
        <v>26679</v>
      </c>
      <c r="AB5642" t="s">
        <v>30936</v>
      </c>
      <c r="AC5642" t="s">
        <v>35946</v>
      </c>
      <c r="AD5642" t="s">
        <v>41167</v>
      </c>
      <c r="AE5642">
        <v>3</v>
      </c>
      <c r="AF5642" t="s">
        <v>45547</v>
      </c>
      <c r="AG5642" t="s">
        <v>19330</v>
      </c>
      <c r="AH5642">
        <v>3</v>
      </c>
      <c r="AI5642">
        <v>3</v>
      </c>
      <c r="AJ5642">
        <v>2</v>
      </c>
      <c r="AK5642">
        <v>76.23</v>
      </c>
      <c r="AN5642" t="s">
        <v>7439</v>
      </c>
      <c r="AO5642">
        <v>23000</v>
      </c>
      <c r="AQ5642" t="s">
        <v>46365</v>
      </c>
      <c r="AR5642" t="s">
        <v>26530</v>
      </c>
      <c r="AS5642" t="s">
        <v>46500</v>
      </c>
      <c r="AT5642" t="s">
        <v>46537</v>
      </c>
      <c r="AU5642">
        <v>5.25</v>
      </c>
      <c r="AV5642" t="s">
        <v>574</v>
      </c>
      <c r="AW5642" t="s">
        <v>93</v>
      </c>
    </row>
    <row r="5643" spans="1:50">
      <c r="A5643" s="1">
        <f>HYPERLINK("https://lsnyc.legalserver.org/matter/dynamic-profile/view/1891352","19-1891352")</f>
        <v>0</v>
      </c>
      <c r="B5643" t="s">
        <v>171</v>
      </c>
      <c r="C5643" t="s">
        <v>341</v>
      </c>
      <c r="D5643" t="s">
        <v>747</v>
      </c>
      <c r="E5643" t="s">
        <v>416</v>
      </c>
      <c r="F5643" t="s">
        <v>3474</v>
      </c>
      <c r="G5643" t="s">
        <v>5608</v>
      </c>
      <c r="H5643" t="s">
        <v>11405</v>
      </c>
      <c r="I5643" t="s">
        <v>17352</v>
      </c>
      <c r="J5643" t="s">
        <v>18893</v>
      </c>
      <c r="K5643">
        <v>10031</v>
      </c>
      <c r="L5643" t="s">
        <v>18958</v>
      </c>
      <c r="M5643" t="s">
        <v>18958</v>
      </c>
      <c r="N5643" t="s">
        <v>23141</v>
      </c>
      <c r="O5643" t="s">
        <v>26524</v>
      </c>
      <c r="P5643" t="s">
        <v>26564</v>
      </c>
      <c r="Q5643" t="s">
        <v>26570</v>
      </c>
      <c r="R5643" t="s">
        <v>26580</v>
      </c>
      <c r="S5643" t="s">
        <v>18959</v>
      </c>
      <c r="U5643" t="s">
        <v>26604</v>
      </c>
      <c r="W5643" t="s">
        <v>747</v>
      </c>
      <c r="X5643">
        <v>800</v>
      </c>
      <c r="Y5643" t="s">
        <v>26651</v>
      </c>
      <c r="Z5643" t="s">
        <v>26668</v>
      </c>
      <c r="AA5643" t="s">
        <v>26683</v>
      </c>
      <c r="AB5643" t="s">
        <v>31231</v>
      </c>
      <c r="AD5643" t="s">
        <v>41407</v>
      </c>
      <c r="AE5643">
        <v>0</v>
      </c>
      <c r="AF5643" t="s">
        <v>45544</v>
      </c>
      <c r="AG5643" t="s">
        <v>26530</v>
      </c>
      <c r="AH5643">
        <v>20</v>
      </c>
      <c r="AI5643">
        <v>2</v>
      </c>
      <c r="AJ5643">
        <v>1</v>
      </c>
      <c r="AK5643">
        <v>112.52</v>
      </c>
      <c r="AN5643" t="s">
        <v>7439</v>
      </c>
      <c r="AO5643">
        <v>24000</v>
      </c>
      <c r="AU5643">
        <v>0.1</v>
      </c>
      <c r="AV5643" t="s">
        <v>747</v>
      </c>
      <c r="AW5643" t="s">
        <v>46875</v>
      </c>
    </row>
    <row r="5644" spans="1:50">
      <c r="A5644" s="1">
        <f>HYPERLINK("https://lsnyc.legalserver.org/matter/dynamic-profile/view/1892169","19-1892169")</f>
        <v>0</v>
      </c>
      <c r="B5644" t="s">
        <v>270</v>
      </c>
      <c r="C5644" t="s">
        <v>341</v>
      </c>
      <c r="D5644" t="s">
        <v>747</v>
      </c>
      <c r="E5644" t="s">
        <v>768</v>
      </c>
      <c r="F5644" t="s">
        <v>875</v>
      </c>
      <c r="G5644" t="s">
        <v>5094</v>
      </c>
      <c r="H5644" t="s">
        <v>13781</v>
      </c>
      <c r="I5644" t="s">
        <v>18274</v>
      </c>
      <c r="J5644" t="s">
        <v>18892</v>
      </c>
      <c r="K5644">
        <v>10467</v>
      </c>
      <c r="L5644" t="s">
        <v>18958</v>
      </c>
      <c r="M5644" t="s">
        <v>18958</v>
      </c>
      <c r="N5644" t="s">
        <v>23142</v>
      </c>
      <c r="O5644" t="s">
        <v>26524</v>
      </c>
      <c r="P5644" t="s">
        <v>26560</v>
      </c>
      <c r="Q5644" t="s">
        <v>26568</v>
      </c>
      <c r="R5644" t="s">
        <v>26579</v>
      </c>
      <c r="S5644" t="s">
        <v>18959</v>
      </c>
      <c r="U5644" t="s">
        <v>26604</v>
      </c>
      <c r="V5644" t="s">
        <v>26610</v>
      </c>
      <c r="W5644" t="s">
        <v>747</v>
      </c>
      <c r="X5644">
        <v>1854</v>
      </c>
      <c r="Y5644" t="s">
        <v>26650</v>
      </c>
      <c r="Z5644" t="s">
        <v>26664</v>
      </c>
      <c r="AA5644" t="s">
        <v>26677</v>
      </c>
      <c r="AB5644" t="s">
        <v>31232</v>
      </c>
      <c r="AD5644" t="s">
        <v>41408</v>
      </c>
      <c r="AE5644">
        <v>5</v>
      </c>
      <c r="AF5644" t="s">
        <v>45545</v>
      </c>
      <c r="AG5644" t="s">
        <v>45556</v>
      </c>
      <c r="AH5644">
        <v>5</v>
      </c>
      <c r="AI5644">
        <v>2</v>
      </c>
      <c r="AJ5644">
        <v>4</v>
      </c>
      <c r="AK5644">
        <v>120.66</v>
      </c>
      <c r="AN5644" t="s">
        <v>45581</v>
      </c>
      <c r="AO5644">
        <v>41736</v>
      </c>
      <c r="AS5644" t="s">
        <v>46499</v>
      </c>
      <c r="AU5644">
        <v>9.699999999999999</v>
      </c>
      <c r="AV5644" t="s">
        <v>762</v>
      </c>
      <c r="AW5644" t="s">
        <v>336</v>
      </c>
    </row>
    <row r="5645" spans="1:50">
      <c r="A5645" s="1">
        <f>HYPERLINK("https://lsnyc.legalserver.org/matter/dynamic-profile/view/1891366","19-1891366")</f>
        <v>0</v>
      </c>
      <c r="B5645" t="s">
        <v>252</v>
      </c>
      <c r="C5645" t="s">
        <v>341</v>
      </c>
      <c r="D5645" t="s">
        <v>747</v>
      </c>
      <c r="E5645" t="s">
        <v>574</v>
      </c>
      <c r="F5645" t="s">
        <v>1228</v>
      </c>
      <c r="G5645" t="s">
        <v>7668</v>
      </c>
      <c r="H5645" t="s">
        <v>12646</v>
      </c>
      <c r="I5645" t="s">
        <v>17322</v>
      </c>
      <c r="J5645" t="s">
        <v>18894</v>
      </c>
      <c r="K5645">
        <v>11233</v>
      </c>
      <c r="L5645" t="s">
        <v>18958</v>
      </c>
      <c r="M5645" t="s">
        <v>18958</v>
      </c>
      <c r="O5645" t="s">
        <v>18997</v>
      </c>
      <c r="P5645" t="s">
        <v>26564</v>
      </c>
      <c r="Q5645" t="s">
        <v>26570</v>
      </c>
      <c r="R5645" t="s">
        <v>26578</v>
      </c>
      <c r="S5645" t="s">
        <v>18959</v>
      </c>
      <c r="U5645" t="s">
        <v>26604</v>
      </c>
      <c r="W5645" t="s">
        <v>747</v>
      </c>
      <c r="X5645">
        <v>0</v>
      </c>
      <c r="Y5645" t="s">
        <v>26652</v>
      </c>
      <c r="AA5645" t="s">
        <v>26683</v>
      </c>
      <c r="AB5645" t="s">
        <v>31071</v>
      </c>
      <c r="AE5645">
        <v>359</v>
      </c>
      <c r="AF5645" t="s">
        <v>45541</v>
      </c>
      <c r="AG5645" t="s">
        <v>19330</v>
      </c>
      <c r="AH5645">
        <v>0</v>
      </c>
      <c r="AI5645">
        <v>1</v>
      </c>
      <c r="AJ5645">
        <v>0</v>
      </c>
      <c r="AK5645">
        <v>0</v>
      </c>
      <c r="AN5645" t="s">
        <v>7439</v>
      </c>
      <c r="AO5645">
        <v>0</v>
      </c>
      <c r="AU5645">
        <v>1</v>
      </c>
      <c r="AV5645" t="s">
        <v>728</v>
      </c>
      <c r="AW5645" t="s">
        <v>286</v>
      </c>
    </row>
    <row r="5646" spans="1:50">
      <c r="A5646" s="1">
        <f>HYPERLINK("https://lsnyc.legalserver.org/matter/dynamic-profile/view/1891320","19-1891320")</f>
        <v>0</v>
      </c>
      <c r="B5646" t="s">
        <v>103</v>
      </c>
      <c r="C5646" t="s">
        <v>341</v>
      </c>
      <c r="D5646" t="s">
        <v>747</v>
      </c>
      <c r="E5646" t="s">
        <v>834</v>
      </c>
      <c r="F5646" t="s">
        <v>3475</v>
      </c>
      <c r="G5646" t="s">
        <v>5419</v>
      </c>
      <c r="H5646" t="s">
        <v>13782</v>
      </c>
      <c r="J5646" t="s">
        <v>18902</v>
      </c>
      <c r="K5646">
        <v>10303</v>
      </c>
      <c r="L5646" t="s">
        <v>18958</v>
      </c>
      <c r="M5646" t="s">
        <v>18958</v>
      </c>
      <c r="N5646" t="s">
        <v>23143</v>
      </c>
      <c r="O5646" t="s">
        <v>26523</v>
      </c>
      <c r="P5646" t="s">
        <v>26560</v>
      </c>
      <c r="Q5646" t="s">
        <v>26568</v>
      </c>
      <c r="R5646" t="s">
        <v>26590</v>
      </c>
      <c r="S5646" t="s">
        <v>18959</v>
      </c>
      <c r="U5646" t="s">
        <v>26604</v>
      </c>
      <c r="V5646" t="s">
        <v>26610</v>
      </c>
      <c r="W5646" t="s">
        <v>747</v>
      </c>
      <c r="X5646">
        <v>1956</v>
      </c>
      <c r="Y5646" t="s">
        <v>26654</v>
      </c>
      <c r="Z5646" t="s">
        <v>26668</v>
      </c>
      <c r="AA5646" t="s">
        <v>26686</v>
      </c>
      <c r="AB5646" t="s">
        <v>31233</v>
      </c>
      <c r="AD5646" t="s">
        <v>41409</v>
      </c>
      <c r="AE5646">
        <v>1</v>
      </c>
      <c r="AF5646" t="s">
        <v>45547</v>
      </c>
      <c r="AG5646" t="s">
        <v>19330</v>
      </c>
      <c r="AH5646">
        <v>2</v>
      </c>
      <c r="AI5646">
        <v>2</v>
      </c>
      <c r="AJ5646">
        <v>0</v>
      </c>
      <c r="AK5646">
        <v>13.34</v>
      </c>
      <c r="AN5646" t="s">
        <v>7439</v>
      </c>
      <c r="AO5646">
        <v>2256</v>
      </c>
      <c r="AQ5646" t="s">
        <v>46362</v>
      </c>
      <c r="AR5646" t="s">
        <v>46388</v>
      </c>
      <c r="AS5646" t="s">
        <v>46500</v>
      </c>
      <c r="AT5646" t="s">
        <v>46668</v>
      </c>
      <c r="AU5646">
        <v>5.5</v>
      </c>
      <c r="AV5646" t="s">
        <v>834</v>
      </c>
      <c r="AW5646" t="s">
        <v>210</v>
      </c>
      <c r="AX5646" t="s">
        <v>46897</v>
      </c>
    </row>
    <row r="5647" spans="1:50">
      <c r="A5647" s="1">
        <f>HYPERLINK("https://lsnyc.legalserver.org/matter/dynamic-profile/view/1891303","19-1891303")</f>
        <v>0</v>
      </c>
      <c r="B5647" t="s">
        <v>103</v>
      </c>
      <c r="C5647" t="s">
        <v>341</v>
      </c>
      <c r="D5647" t="s">
        <v>747</v>
      </c>
      <c r="E5647" t="s">
        <v>834</v>
      </c>
      <c r="F5647" t="s">
        <v>1489</v>
      </c>
      <c r="G5647" t="s">
        <v>7770</v>
      </c>
      <c r="H5647" t="s">
        <v>13783</v>
      </c>
      <c r="I5647" t="s">
        <v>17322</v>
      </c>
      <c r="J5647" t="s">
        <v>18902</v>
      </c>
      <c r="K5647">
        <v>10314</v>
      </c>
      <c r="L5647" t="s">
        <v>18958</v>
      </c>
      <c r="M5647" t="s">
        <v>18958</v>
      </c>
      <c r="N5647" t="s">
        <v>23144</v>
      </c>
      <c r="O5647" t="s">
        <v>26523</v>
      </c>
      <c r="P5647" t="s">
        <v>26560</v>
      </c>
      <c r="Q5647" t="s">
        <v>26571</v>
      </c>
      <c r="R5647" t="s">
        <v>26590</v>
      </c>
      <c r="S5647" t="s">
        <v>18959</v>
      </c>
      <c r="U5647" t="s">
        <v>26604</v>
      </c>
      <c r="V5647" t="s">
        <v>26610</v>
      </c>
      <c r="W5647" t="s">
        <v>747</v>
      </c>
      <c r="X5647">
        <v>1164</v>
      </c>
      <c r="Y5647" t="s">
        <v>26654</v>
      </c>
      <c r="Z5647" t="s">
        <v>26668</v>
      </c>
      <c r="AA5647" t="s">
        <v>26678</v>
      </c>
      <c r="AB5647" t="s">
        <v>31234</v>
      </c>
      <c r="AD5647" t="s">
        <v>41410</v>
      </c>
      <c r="AE5647">
        <v>16</v>
      </c>
      <c r="AF5647" t="s">
        <v>45541</v>
      </c>
      <c r="AG5647" t="s">
        <v>19330</v>
      </c>
      <c r="AH5647">
        <v>2</v>
      </c>
      <c r="AI5647">
        <v>1</v>
      </c>
      <c r="AJ5647">
        <v>0</v>
      </c>
      <c r="AK5647">
        <v>124.9</v>
      </c>
      <c r="AN5647" t="s">
        <v>7439</v>
      </c>
      <c r="AO5647">
        <v>15600</v>
      </c>
      <c r="AU5647">
        <v>7.8</v>
      </c>
      <c r="AV5647" t="s">
        <v>834</v>
      </c>
      <c r="AW5647" t="s">
        <v>210</v>
      </c>
      <c r="AX5647" t="s">
        <v>46897</v>
      </c>
    </row>
    <row r="5648" spans="1:50">
      <c r="A5648" s="1">
        <f>HYPERLINK("https://lsnyc.legalserver.org/matter/dynamic-profile/view/1891368","19-1891368")</f>
        <v>0</v>
      </c>
      <c r="B5648" t="s">
        <v>51</v>
      </c>
      <c r="C5648" t="s">
        <v>341</v>
      </c>
      <c r="D5648" t="s">
        <v>747</v>
      </c>
      <c r="E5648" t="s">
        <v>829</v>
      </c>
      <c r="F5648" t="s">
        <v>1235</v>
      </c>
      <c r="G5648" t="s">
        <v>7402</v>
      </c>
      <c r="H5648" t="s">
        <v>13784</v>
      </c>
      <c r="I5648" t="s">
        <v>18145</v>
      </c>
      <c r="J5648" t="s">
        <v>18892</v>
      </c>
      <c r="K5648">
        <v>10472</v>
      </c>
      <c r="L5648" t="s">
        <v>18958</v>
      </c>
      <c r="M5648" t="s">
        <v>18958</v>
      </c>
      <c r="N5648" t="s">
        <v>22486</v>
      </c>
      <c r="O5648" t="s">
        <v>26523</v>
      </c>
      <c r="P5648" t="s">
        <v>26560</v>
      </c>
      <c r="Q5648" t="s">
        <v>26568</v>
      </c>
      <c r="R5648" t="s">
        <v>26577</v>
      </c>
      <c r="S5648" t="s">
        <v>18959</v>
      </c>
      <c r="U5648" t="s">
        <v>26604</v>
      </c>
      <c r="V5648" t="s">
        <v>26612</v>
      </c>
      <c r="W5648" t="s">
        <v>747</v>
      </c>
      <c r="X5648">
        <v>1140</v>
      </c>
      <c r="Y5648" t="s">
        <v>26650</v>
      </c>
      <c r="Z5648" t="s">
        <v>26655</v>
      </c>
      <c r="AA5648" t="s">
        <v>26678</v>
      </c>
      <c r="AB5648" t="s">
        <v>30561</v>
      </c>
      <c r="AD5648" t="s">
        <v>40749</v>
      </c>
      <c r="AE5648">
        <v>53</v>
      </c>
      <c r="AF5648" t="s">
        <v>45541</v>
      </c>
      <c r="AG5648" t="s">
        <v>19330</v>
      </c>
      <c r="AH5648">
        <v>13</v>
      </c>
      <c r="AI5648">
        <v>2</v>
      </c>
      <c r="AJ5648">
        <v>1</v>
      </c>
      <c r="AK5648">
        <v>109.8</v>
      </c>
      <c r="AN5648" t="s">
        <v>7439</v>
      </c>
      <c r="AO5648">
        <v>23420</v>
      </c>
      <c r="AQ5648" t="s">
        <v>46365</v>
      </c>
      <c r="AR5648" t="s">
        <v>46379</v>
      </c>
      <c r="AS5648" t="s">
        <v>46499</v>
      </c>
      <c r="AT5648" t="s">
        <v>46599</v>
      </c>
      <c r="AU5648">
        <v>3</v>
      </c>
      <c r="AV5648" t="s">
        <v>741</v>
      </c>
      <c r="AW5648" t="s">
        <v>46832</v>
      </c>
    </row>
    <row r="5649" spans="1:50">
      <c r="A5649" s="1">
        <f>HYPERLINK("https://lsnyc.legalserver.org/matter/dynamic-profile/view/1891358","19-1891358")</f>
        <v>0</v>
      </c>
      <c r="B5649" t="s">
        <v>165</v>
      </c>
      <c r="C5649" t="s">
        <v>340</v>
      </c>
      <c r="D5649" t="s">
        <v>747</v>
      </c>
      <c r="F5649" t="s">
        <v>3476</v>
      </c>
      <c r="G5649" t="s">
        <v>7771</v>
      </c>
      <c r="H5649" t="s">
        <v>13785</v>
      </c>
      <c r="I5649" t="s">
        <v>17374</v>
      </c>
      <c r="J5649" t="s">
        <v>18893</v>
      </c>
      <c r="K5649">
        <v>10025</v>
      </c>
      <c r="L5649" t="s">
        <v>18958</v>
      </c>
      <c r="M5649" t="s">
        <v>18958</v>
      </c>
      <c r="N5649" t="s">
        <v>23145</v>
      </c>
      <c r="O5649" t="s">
        <v>26524</v>
      </c>
      <c r="P5649" t="s">
        <v>26560</v>
      </c>
      <c r="R5649" t="s">
        <v>26580</v>
      </c>
      <c r="S5649" t="s">
        <v>18959</v>
      </c>
      <c r="U5649" t="s">
        <v>26604</v>
      </c>
      <c r="V5649" t="s">
        <v>26610</v>
      </c>
      <c r="W5649" t="s">
        <v>747</v>
      </c>
      <c r="X5649">
        <v>0</v>
      </c>
      <c r="Y5649" t="s">
        <v>26651</v>
      </c>
      <c r="AB5649" t="s">
        <v>31235</v>
      </c>
      <c r="AD5649" t="s">
        <v>41411</v>
      </c>
      <c r="AE5649">
        <v>0</v>
      </c>
      <c r="AF5649" t="s">
        <v>20460</v>
      </c>
      <c r="AG5649" t="s">
        <v>19330</v>
      </c>
      <c r="AH5649">
        <v>2</v>
      </c>
      <c r="AI5649">
        <v>3</v>
      </c>
      <c r="AJ5649">
        <v>2</v>
      </c>
      <c r="AK5649">
        <v>0</v>
      </c>
      <c r="AN5649" t="s">
        <v>7439</v>
      </c>
      <c r="AO5649">
        <v>0</v>
      </c>
      <c r="AU5649">
        <v>5.1</v>
      </c>
      <c r="AV5649" t="s">
        <v>819</v>
      </c>
      <c r="AW5649" t="s">
        <v>314</v>
      </c>
    </row>
    <row r="5650" spans="1:50">
      <c r="A5650" s="1">
        <f>HYPERLINK("https://lsnyc.legalserver.org/matter/dynamic-profile/view/1891381","19-1891381")</f>
        <v>0</v>
      </c>
      <c r="B5650" t="s">
        <v>61</v>
      </c>
      <c r="C5650" t="s">
        <v>340</v>
      </c>
      <c r="D5650" t="s">
        <v>747</v>
      </c>
      <c r="F5650" t="s">
        <v>1461</v>
      </c>
      <c r="G5650" t="s">
        <v>7190</v>
      </c>
      <c r="H5650" t="s">
        <v>13786</v>
      </c>
      <c r="I5650" t="s">
        <v>17273</v>
      </c>
      <c r="J5650" t="s">
        <v>18893</v>
      </c>
      <c r="K5650">
        <v>10034</v>
      </c>
      <c r="L5650" t="s">
        <v>18958</v>
      </c>
      <c r="M5650" t="s">
        <v>18958</v>
      </c>
      <c r="O5650" t="s">
        <v>26539</v>
      </c>
      <c r="P5650" t="s">
        <v>26565</v>
      </c>
      <c r="R5650" t="s">
        <v>26578</v>
      </c>
      <c r="S5650" t="s">
        <v>18959</v>
      </c>
      <c r="U5650" t="s">
        <v>26604</v>
      </c>
      <c r="W5650" t="s">
        <v>747</v>
      </c>
      <c r="X5650">
        <v>2300</v>
      </c>
      <c r="Y5650" t="s">
        <v>26651</v>
      </c>
      <c r="Z5650" t="s">
        <v>26659</v>
      </c>
      <c r="AB5650" t="s">
        <v>31236</v>
      </c>
      <c r="AD5650" t="s">
        <v>41412</v>
      </c>
      <c r="AE5650">
        <v>22</v>
      </c>
      <c r="AF5650" t="s">
        <v>45541</v>
      </c>
      <c r="AG5650" t="s">
        <v>45559</v>
      </c>
      <c r="AH5650">
        <v>11</v>
      </c>
      <c r="AI5650">
        <v>1</v>
      </c>
      <c r="AJ5650">
        <v>1</v>
      </c>
      <c r="AK5650">
        <v>82.31999999999999</v>
      </c>
      <c r="AN5650" t="s">
        <v>7439</v>
      </c>
      <c r="AO5650">
        <v>13920</v>
      </c>
      <c r="AU5650">
        <v>10</v>
      </c>
      <c r="AV5650" t="s">
        <v>828</v>
      </c>
      <c r="AW5650" t="s">
        <v>46840</v>
      </c>
    </row>
    <row r="5651" spans="1:50">
      <c r="A5651" s="1">
        <f>HYPERLINK("https://lsnyc.legalserver.org/matter/dynamic-profile/view/1892922","19-1892922")</f>
        <v>0</v>
      </c>
      <c r="B5651" t="s">
        <v>149</v>
      </c>
      <c r="C5651" t="s">
        <v>340</v>
      </c>
      <c r="D5651" t="s">
        <v>747</v>
      </c>
      <c r="F5651" t="s">
        <v>875</v>
      </c>
      <c r="G5651" t="s">
        <v>5097</v>
      </c>
      <c r="H5651" t="s">
        <v>13787</v>
      </c>
      <c r="I5651" t="s">
        <v>17277</v>
      </c>
      <c r="J5651" t="s">
        <v>18892</v>
      </c>
      <c r="K5651">
        <v>10455</v>
      </c>
      <c r="L5651" t="s">
        <v>18958</v>
      </c>
      <c r="M5651" t="s">
        <v>18958</v>
      </c>
      <c r="N5651" t="s">
        <v>23146</v>
      </c>
      <c r="O5651" t="s">
        <v>26523</v>
      </c>
      <c r="P5651" t="s">
        <v>26564</v>
      </c>
      <c r="R5651" t="s">
        <v>26577</v>
      </c>
      <c r="S5651" t="s">
        <v>18959</v>
      </c>
      <c r="U5651" t="s">
        <v>26604</v>
      </c>
      <c r="W5651" t="s">
        <v>747</v>
      </c>
      <c r="X5651">
        <v>1030.79</v>
      </c>
      <c r="Y5651" t="s">
        <v>26650</v>
      </c>
      <c r="Z5651" t="s">
        <v>26668</v>
      </c>
      <c r="AB5651" t="s">
        <v>30305</v>
      </c>
      <c r="AD5651" t="s">
        <v>41413</v>
      </c>
      <c r="AE5651">
        <v>0</v>
      </c>
      <c r="AF5651" t="s">
        <v>45541</v>
      </c>
      <c r="AG5651" t="s">
        <v>19330</v>
      </c>
      <c r="AH5651">
        <v>7</v>
      </c>
      <c r="AI5651">
        <v>2</v>
      </c>
      <c r="AJ5651">
        <v>1</v>
      </c>
      <c r="AK5651">
        <v>134.08</v>
      </c>
      <c r="AN5651" t="s">
        <v>45581</v>
      </c>
      <c r="AO5651">
        <v>28600</v>
      </c>
      <c r="AU5651">
        <v>5.2</v>
      </c>
      <c r="AV5651" t="s">
        <v>785</v>
      </c>
      <c r="AW5651" t="s">
        <v>336</v>
      </c>
    </row>
    <row r="5652" spans="1:50">
      <c r="A5652" s="1">
        <f>HYPERLINK("https://lsnyc.legalserver.org/matter/dynamic-profile/view/1893511","19-1893511")</f>
        <v>0</v>
      </c>
      <c r="B5652" t="s">
        <v>149</v>
      </c>
      <c r="C5652" t="s">
        <v>340</v>
      </c>
      <c r="D5652" t="s">
        <v>747</v>
      </c>
      <c r="F5652" t="s">
        <v>2633</v>
      </c>
      <c r="G5652" t="s">
        <v>5313</v>
      </c>
      <c r="H5652" t="s">
        <v>13788</v>
      </c>
      <c r="I5652">
        <v>31</v>
      </c>
      <c r="J5652" t="s">
        <v>18892</v>
      </c>
      <c r="K5652">
        <v>10467</v>
      </c>
      <c r="L5652" t="s">
        <v>18958</v>
      </c>
      <c r="M5652" t="s">
        <v>18958</v>
      </c>
      <c r="N5652" t="s">
        <v>23147</v>
      </c>
      <c r="O5652" t="s">
        <v>26523</v>
      </c>
      <c r="P5652" t="s">
        <v>26560</v>
      </c>
      <c r="R5652" t="s">
        <v>26579</v>
      </c>
      <c r="S5652" t="s">
        <v>18959</v>
      </c>
      <c r="U5652" t="s">
        <v>26604</v>
      </c>
      <c r="W5652" t="s">
        <v>747</v>
      </c>
      <c r="X5652">
        <v>1180</v>
      </c>
      <c r="Y5652" t="s">
        <v>26650</v>
      </c>
      <c r="Z5652" t="s">
        <v>26664</v>
      </c>
      <c r="AB5652" t="s">
        <v>31237</v>
      </c>
      <c r="AC5652" t="s">
        <v>36033</v>
      </c>
      <c r="AD5652" t="s">
        <v>41414</v>
      </c>
      <c r="AE5652">
        <v>0</v>
      </c>
      <c r="AF5652" t="s">
        <v>45541</v>
      </c>
      <c r="AG5652" t="s">
        <v>45558</v>
      </c>
      <c r="AH5652">
        <v>4</v>
      </c>
      <c r="AI5652">
        <v>1</v>
      </c>
      <c r="AJ5652">
        <v>4</v>
      </c>
      <c r="AK5652">
        <v>14.73</v>
      </c>
      <c r="AN5652" t="s">
        <v>45581</v>
      </c>
      <c r="AO5652">
        <v>4444</v>
      </c>
      <c r="AU5652">
        <v>9.4</v>
      </c>
      <c r="AV5652" t="s">
        <v>836</v>
      </c>
      <c r="AW5652" t="s">
        <v>336</v>
      </c>
    </row>
    <row r="5653" spans="1:50">
      <c r="A5653" s="1">
        <f>HYPERLINK("https://lsnyc.legalserver.org/matter/dynamic-profile/view/1891363","19-1891363")</f>
        <v>0</v>
      </c>
      <c r="B5653" t="s">
        <v>97</v>
      </c>
      <c r="C5653" t="s">
        <v>340</v>
      </c>
      <c r="D5653" t="s">
        <v>747</v>
      </c>
      <c r="F5653" t="s">
        <v>1878</v>
      </c>
      <c r="G5653" t="s">
        <v>6399</v>
      </c>
      <c r="H5653" t="s">
        <v>13789</v>
      </c>
      <c r="I5653" t="s">
        <v>17312</v>
      </c>
      <c r="J5653" t="s">
        <v>18892</v>
      </c>
      <c r="K5653">
        <v>10468</v>
      </c>
      <c r="L5653" t="s">
        <v>18958</v>
      </c>
      <c r="M5653" t="s">
        <v>18958</v>
      </c>
      <c r="N5653" t="s">
        <v>23148</v>
      </c>
      <c r="O5653" t="s">
        <v>26523</v>
      </c>
      <c r="P5653" t="s">
        <v>26560</v>
      </c>
      <c r="R5653" t="s">
        <v>26579</v>
      </c>
      <c r="U5653" t="s">
        <v>26604</v>
      </c>
      <c r="W5653" t="s">
        <v>747</v>
      </c>
      <c r="X5653">
        <v>966.3200000000001</v>
      </c>
      <c r="Y5653" t="s">
        <v>26650</v>
      </c>
      <c r="AB5653" t="s">
        <v>31238</v>
      </c>
      <c r="AD5653" t="s">
        <v>41415</v>
      </c>
      <c r="AE5653">
        <v>0</v>
      </c>
      <c r="AH5653">
        <v>7</v>
      </c>
      <c r="AI5653">
        <v>1</v>
      </c>
      <c r="AJ5653">
        <v>3</v>
      </c>
      <c r="AK5653">
        <v>114.41</v>
      </c>
      <c r="AN5653" t="s">
        <v>45581</v>
      </c>
      <c r="AO5653">
        <v>29460</v>
      </c>
      <c r="AU5653">
        <v>8.699999999999999</v>
      </c>
      <c r="AV5653" t="s">
        <v>773</v>
      </c>
      <c r="AW5653" t="s">
        <v>46836</v>
      </c>
    </row>
    <row r="5654" spans="1:50">
      <c r="A5654" s="1">
        <f>HYPERLINK("https://lsnyc.legalserver.org/matter/dynamic-profile/view/1891338","19-1891338")</f>
        <v>0</v>
      </c>
      <c r="B5654" t="s">
        <v>66</v>
      </c>
      <c r="C5654" t="s">
        <v>340</v>
      </c>
      <c r="D5654" t="s">
        <v>747</v>
      </c>
      <c r="F5654" t="s">
        <v>3089</v>
      </c>
      <c r="G5654" t="s">
        <v>7772</v>
      </c>
      <c r="H5654" t="s">
        <v>13790</v>
      </c>
      <c r="I5654">
        <v>5</v>
      </c>
      <c r="J5654" t="s">
        <v>18893</v>
      </c>
      <c r="K5654">
        <v>10031</v>
      </c>
      <c r="L5654" t="s">
        <v>18958</v>
      </c>
      <c r="M5654" t="s">
        <v>18958</v>
      </c>
      <c r="N5654" t="s">
        <v>23149</v>
      </c>
      <c r="O5654" t="s">
        <v>26523</v>
      </c>
      <c r="P5654" t="s">
        <v>26560</v>
      </c>
      <c r="R5654" t="s">
        <v>26580</v>
      </c>
      <c r="S5654" t="s">
        <v>18959</v>
      </c>
      <c r="U5654" t="s">
        <v>26604</v>
      </c>
      <c r="V5654" t="s">
        <v>26610</v>
      </c>
      <c r="W5654" t="s">
        <v>747</v>
      </c>
      <c r="X5654">
        <v>2511.22</v>
      </c>
      <c r="Y5654" t="s">
        <v>26651</v>
      </c>
      <c r="Z5654" t="s">
        <v>26668</v>
      </c>
      <c r="AB5654" t="s">
        <v>27708</v>
      </c>
      <c r="AD5654" t="s">
        <v>41416</v>
      </c>
      <c r="AE5654">
        <v>0</v>
      </c>
      <c r="AG5654" t="s">
        <v>45556</v>
      </c>
      <c r="AH5654">
        <v>26</v>
      </c>
      <c r="AI5654">
        <v>3</v>
      </c>
      <c r="AJ5654">
        <v>0</v>
      </c>
      <c r="AK5654">
        <v>173.84</v>
      </c>
      <c r="AN5654" t="s">
        <v>45581</v>
      </c>
      <c r="AO5654">
        <v>37080</v>
      </c>
      <c r="AU5654">
        <v>5.45</v>
      </c>
      <c r="AV5654" t="s">
        <v>695</v>
      </c>
      <c r="AW5654" t="s">
        <v>46875</v>
      </c>
    </row>
    <row r="5655" spans="1:50">
      <c r="A5655" s="1">
        <f>HYPERLINK("https://lsnyc.legalserver.org/matter/dynamic-profile/view/1891330","19-1891330")</f>
        <v>0</v>
      </c>
      <c r="B5655" t="s">
        <v>94</v>
      </c>
      <c r="C5655" t="s">
        <v>340</v>
      </c>
      <c r="D5655" t="s">
        <v>747</v>
      </c>
      <c r="F5655" t="s">
        <v>1746</v>
      </c>
      <c r="G5655" t="s">
        <v>5461</v>
      </c>
      <c r="H5655" t="s">
        <v>10209</v>
      </c>
      <c r="I5655" t="s">
        <v>18275</v>
      </c>
      <c r="J5655" t="s">
        <v>18893</v>
      </c>
      <c r="K5655">
        <v>10031</v>
      </c>
      <c r="L5655" t="s">
        <v>18958</v>
      </c>
      <c r="M5655" t="s">
        <v>18958</v>
      </c>
      <c r="N5655" t="s">
        <v>23150</v>
      </c>
      <c r="O5655" t="s">
        <v>26523</v>
      </c>
      <c r="P5655" t="s">
        <v>26560</v>
      </c>
      <c r="R5655" t="s">
        <v>26580</v>
      </c>
      <c r="S5655" t="s">
        <v>18959</v>
      </c>
      <c r="U5655" t="s">
        <v>26604</v>
      </c>
      <c r="V5655" t="s">
        <v>26610</v>
      </c>
      <c r="W5655" t="s">
        <v>747</v>
      </c>
      <c r="X5655">
        <v>1995</v>
      </c>
      <c r="Y5655" t="s">
        <v>26651</v>
      </c>
      <c r="Z5655" t="s">
        <v>26668</v>
      </c>
      <c r="AB5655" t="s">
        <v>31239</v>
      </c>
      <c r="AD5655" t="s">
        <v>41417</v>
      </c>
      <c r="AE5655">
        <v>0</v>
      </c>
      <c r="AF5655" t="s">
        <v>20460</v>
      </c>
      <c r="AG5655" t="s">
        <v>19330</v>
      </c>
      <c r="AH5655">
        <v>2</v>
      </c>
      <c r="AI5655">
        <v>2</v>
      </c>
      <c r="AJ5655">
        <v>1</v>
      </c>
      <c r="AK5655">
        <v>223.22</v>
      </c>
      <c r="AN5655" t="s">
        <v>7439</v>
      </c>
      <c r="AO5655">
        <v>47612</v>
      </c>
      <c r="AU5655">
        <v>7.1</v>
      </c>
      <c r="AV5655" t="s">
        <v>793</v>
      </c>
      <c r="AW5655" t="s">
        <v>314</v>
      </c>
    </row>
    <row r="5656" spans="1:50">
      <c r="A5656" s="1">
        <f>HYPERLINK("https://lsnyc.legalserver.org/matter/dynamic-profile/view/1891345","19-1891345")</f>
        <v>0</v>
      </c>
      <c r="B5656" t="s">
        <v>151</v>
      </c>
      <c r="C5656" t="s">
        <v>340</v>
      </c>
      <c r="D5656" t="s">
        <v>747</v>
      </c>
      <c r="F5656" t="s">
        <v>3477</v>
      </c>
      <c r="G5656" t="s">
        <v>5269</v>
      </c>
      <c r="H5656" t="s">
        <v>13791</v>
      </c>
      <c r="I5656" t="s">
        <v>17272</v>
      </c>
      <c r="J5656" t="s">
        <v>18893</v>
      </c>
      <c r="K5656">
        <v>10031</v>
      </c>
      <c r="L5656" t="s">
        <v>18958</v>
      </c>
      <c r="M5656" t="s">
        <v>18958</v>
      </c>
      <c r="N5656" t="s">
        <v>23151</v>
      </c>
      <c r="O5656" t="s">
        <v>26523</v>
      </c>
      <c r="P5656" t="s">
        <v>26560</v>
      </c>
      <c r="R5656" t="s">
        <v>26580</v>
      </c>
      <c r="S5656" t="s">
        <v>18959</v>
      </c>
      <c r="U5656" t="s">
        <v>26604</v>
      </c>
      <c r="V5656" t="s">
        <v>26610</v>
      </c>
      <c r="W5656" t="s">
        <v>747</v>
      </c>
      <c r="X5656">
        <v>1242</v>
      </c>
      <c r="Y5656" t="s">
        <v>26651</v>
      </c>
      <c r="Z5656" t="s">
        <v>26668</v>
      </c>
      <c r="AB5656" t="s">
        <v>30644</v>
      </c>
      <c r="AD5656" t="s">
        <v>41418</v>
      </c>
      <c r="AE5656">
        <v>0</v>
      </c>
      <c r="AF5656" t="s">
        <v>20460</v>
      </c>
      <c r="AG5656" t="s">
        <v>19330</v>
      </c>
      <c r="AH5656">
        <v>20</v>
      </c>
      <c r="AI5656">
        <v>2</v>
      </c>
      <c r="AJ5656">
        <v>2</v>
      </c>
      <c r="AK5656">
        <v>163.11</v>
      </c>
      <c r="AN5656" t="s">
        <v>7439</v>
      </c>
      <c r="AO5656">
        <v>42000</v>
      </c>
      <c r="AU5656">
        <v>7.9</v>
      </c>
      <c r="AV5656" t="s">
        <v>839</v>
      </c>
      <c r="AW5656" t="s">
        <v>314</v>
      </c>
    </row>
    <row r="5657" spans="1:50">
      <c r="A5657" s="1">
        <f>HYPERLINK("https://lsnyc.legalserver.org/matter/dynamic-profile/view/1892779","19-1892779")</f>
        <v>0</v>
      </c>
      <c r="B5657" t="s">
        <v>251</v>
      </c>
      <c r="C5657" t="s">
        <v>340</v>
      </c>
      <c r="D5657" t="s">
        <v>747</v>
      </c>
      <c r="F5657" t="s">
        <v>871</v>
      </c>
      <c r="G5657" t="s">
        <v>5147</v>
      </c>
      <c r="H5657" t="s">
        <v>13792</v>
      </c>
      <c r="I5657">
        <v>2</v>
      </c>
      <c r="J5657" t="s">
        <v>18892</v>
      </c>
      <c r="K5657">
        <v>10467</v>
      </c>
      <c r="L5657" t="s">
        <v>18958</v>
      </c>
      <c r="M5657" t="s">
        <v>18958</v>
      </c>
      <c r="N5657" t="s">
        <v>23152</v>
      </c>
      <c r="O5657" t="s">
        <v>26523</v>
      </c>
      <c r="P5657" t="s">
        <v>26560</v>
      </c>
      <c r="R5657" t="s">
        <v>26579</v>
      </c>
      <c r="S5657" t="s">
        <v>18959</v>
      </c>
      <c r="U5657" t="s">
        <v>26604</v>
      </c>
      <c r="V5657" t="s">
        <v>26610</v>
      </c>
      <c r="W5657" t="s">
        <v>747</v>
      </c>
      <c r="X5657">
        <v>1980</v>
      </c>
      <c r="Y5657" t="s">
        <v>26650</v>
      </c>
      <c r="Z5657" t="s">
        <v>26664</v>
      </c>
      <c r="AB5657" t="s">
        <v>27195</v>
      </c>
      <c r="AC5657" t="s">
        <v>36034</v>
      </c>
      <c r="AD5657" t="s">
        <v>41419</v>
      </c>
      <c r="AE5657">
        <v>0</v>
      </c>
      <c r="AF5657" t="s">
        <v>45548</v>
      </c>
      <c r="AG5657" t="s">
        <v>45558</v>
      </c>
      <c r="AH5657">
        <v>1</v>
      </c>
      <c r="AI5657">
        <v>1</v>
      </c>
      <c r="AJ5657">
        <v>5</v>
      </c>
      <c r="AK5657">
        <v>0</v>
      </c>
      <c r="AN5657" t="s">
        <v>45581</v>
      </c>
      <c r="AO5657">
        <v>0</v>
      </c>
      <c r="AU5657">
        <v>8.5</v>
      </c>
      <c r="AV5657" t="s">
        <v>814</v>
      </c>
      <c r="AW5657" t="s">
        <v>336</v>
      </c>
      <c r="AX5657" t="s">
        <v>46898</v>
      </c>
    </row>
    <row r="5658" spans="1:50">
      <c r="A5658" s="1">
        <f>HYPERLINK("https://lsnyc.legalserver.org/matter/dynamic-profile/view/1891307","19-1891307")</f>
        <v>0</v>
      </c>
      <c r="B5658" t="s">
        <v>191</v>
      </c>
      <c r="C5658" t="s">
        <v>340</v>
      </c>
      <c r="D5658" t="s">
        <v>747</v>
      </c>
      <c r="F5658" t="s">
        <v>3478</v>
      </c>
      <c r="G5658" t="s">
        <v>7773</v>
      </c>
      <c r="H5658" t="s">
        <v>13793</v>
      </c>
      <c r="I5658" t="s">
        <v>17378</v>
      </c>
      <c r="J5658" t="s">
        <v>18893</v>
      </c>
      <c r="K5658">
        <v>10026</v>
      </c>
      <c r="L5658" t="s">
        <v>18958</v>
      </c>
      <c r="M5658" t="s">
        <v>18958</v>
      </c>
      <c r="N5658" t="s">
        <v>23153</v>
      </c>
      <c r="O5658" t="s">
        <v>26523</v>
      </c>
      <c r="P5658" t="s">
        <v>26560</v>
      </c>
      <c r="R5658" t="s">
        <v>26580</v>
      </c>
      <c r="S5658" t="s">
        <v>18959</v>
      </c>
      <c r="U5658" t="s">
        <v>26604</v>
      </c>
      <c r="V5658" t="s">
        <v>26610</v>
      </c>
      <c r="W5658" t="s">
        <v>747</v>
      </c>
      <c r="X5658">
        <v>2500</v>
      </c>
      <c r="Y5658" t="s">
        <v>26651</v>
      </c>
      <c r="Z5658" t="s">
        <v>26664</v>
      </c>
      <c r="AB5658" t="s">
        <v>31240</v>
      </c>
      <c r="AD5658" t="s">
        <v>41420</v>
      </c>
      <c r="AE5658">
        <v>0</v>
      </c>
      <c r="AF5658" t="s">
        <v>45541</v>
      </c>
      <c r="AG5658" t="s">
        <v>19330</v>
      </c>
      <c r="AH5658">
        <v>7</v>
      </c>
      <c r="AI5658">
        <v>1</v>
      </c>
      <c r="AJ5658">
        <v>0</v>
      </c>
      <c r="AK5658">
        <v>187.35</v>
      </c>
      <c r="AN5658" t="s">
        <v>7439</v>
      </c>
      <c r="AO5658">
        <v>23400</v>
      </c>
      <c r="AU5658">
        <v>35.1</v>
      </c>
      <c r="AV5658" t="s">
        <v>772</v>
      </c>
      <c r="AW5658" t="s">
        <v>46875</v>
      </c>
    </row>
    <row r="5659" spans="1:50">
      <c r="A5659" s="1">
        <f>HYPERLINK("https://lsnyc.legalserver.org/matter/dynamic-profile/view/1891341","19-1891341")</f>
        <v>0</v>
      </c>
      <c r="B5659" t="s">
        <v>153</v>
      </c>
      <c r="C5659" t="s">
        <v>340</v>
      </c>
      <c r="D5659" t="s">
        <v>747</v>
      </c>
      <c r="F5659" t="s">
        <v>3479</v>
      </c>
      <c r="G5659" t="s">
        <v>7774</v>
      </c>
      <c r="H5659" t="s">
        <v>13794</v>
      </c>
      <c r="I5659" t="s">
        <v>18276</v>
      </c>
      <c r="J5659" t="s">
        <v>18902</v>
      </c>
      <c r="K5659">
        <v>10301</v>
      </c>
      <c r="L5659" t="s">
        <v>18958</v>
      </c>
      <c r="M5659" t="s">
        <v>18958</v>
      </c>
      <c r="N5659" t="s">
        <v>23154</v>
      </c>
      <c r="O5659" t="s">
        <v>26524</v>
      </c>
      <c r="P5659" t="s">
        <v>26560</v>
      </c>
      <c r="R5659" t="s">
        <v>26587</v>
      </c>
      <c r="S5659" t="s">
        <v>18959</v>
      </c>
      <c r="U5659" t="s">
        <v>26604</v>
      </c>
      <c r="V5659" t="s">
        <v>26610</v>
      </c>
      <c r="W5659" t="s">
        <v>747</v>
      </c>
      <c r="X5659">
        <v>500</v>
      </c>
      <c r="Y5659" t="s">
        <v>26654</v>
      </c>
      <c r="Z5659" t="s">
        <v>26668</v>
      </c>
      <c r="AB5659" t="s">
        <v>31241</v>
      </c>
      <c r="AD5659" t="s">
        <v>41421</v>
      </c>
      <c r="AE5659">
        <v>5</v>
      </c>
      <c r="AH5659">
        <v>3</v>
      </c>
      <c r="AI5659">
        <v>1</v>
      </c>
      <c r="AJ5659">
        <v>0</v>
      </c>
      <c r="AK5659">
        <v>80.42</v>
      </c>
      <c r="AN5659" t="s">
        <v>7439</v>
      </c>
      <c r="AO5659">
        <v>10044</v>
      </c>
      <c r="AU5659">
        <v>5.05</v>
      </c>
      <c r="AV5659" t="s">
        <v>835</v>
      </c>
      <c r="AW5659" t="s">
        <v>210</v>
      </c>
    </row>
    <row r="5660" spans="1:50">
      <c r="A5660" s="1">
        <f>HYPERLINK("https://lsnyc.legalserver.org/matter/dynamic-profile/view/1891329","19-1891329")</f>
        <v>0</v>
      </c>
      <c r="B5660" t="s">
        <v>121</v>
      </c>
      <c r="C5660" t="s">
        <v>340</v>
      </c>
      <c r="D5660" t="s">
        <v>747</v>
      </c>
      <c r="F5660" t="s">
        <v>2287</v>
      </c>
      <c r="G5660" t="s">
        <v>3283</v>
      </c>
      <c r="H5660" t="s">
        <v>11763</v>
      </c>
      <c r="I5660" t="s">
        <v>17349</v>
      </c>
      <c r="J5660" t="s">
        <v>18892</v>
      </c>
      <c r="K5660">
        <v>10468</v>
      </c>
      <c r="L5660" t="s">
        <v>18958</v>
      </c>
      <c r="M5660" t="s">
        <v>18958</v>
      </c>
      <c r="N5660" t="s">
        <v>23155</v>
      </c>
      <c r="O5660" t="s">
        <v>26524</v>
      </c>
      <c r="P5660" t="s">
        <v>26560</v>
      </c>
      <c r="R5660" t="s">
        <v>26579</v>
      </c>
      <c r="U5660" t="s">
        <v>26604</v>
      </c>
      <c r="V5660" t="s">
        <v>26610</v>
      </c>
      <c r="W5660" t="s">
        <v>747</v>
      </c>
      <c r="X5660">
        <v>1428</v>
      </c>
      <c r="Y5660" t="s">
        <v>26650</v>
      </c>
      <c r="Z5660" t="s">
        <v>26659</v>
      </c>
      <c r="AB5660" t="s">
        <v>29465</v>
      </c>
      <c r="AC5660" t="s">
        <v>35457</v>
      </c>
      <c r="AD5660" t="s">
        <v>39529</v>
      </c>
      <c r="AE5660">
        <v>0</v>
      </c>
      <c r="AF5660" t="s">
        <v>45541</v>
      </c>
      <c r="AG5660" t="s">
        <v>45556</v>
      </c>
      <c r="AH5660">
        <v>8</v>
      </c>
      <c r="AI5660">
        <v>1</v>
      </c>
      <c r="AJ5660">
        <v>0</v>
      </c>
      <c r="AK5660">
        <v>116.73</v>
      </c>
      <c r="AN5660" t="s">
        <v>7439</v>
      </c>
      <c r="AO5660">
        <v>14580</v>
      </c>
      <c r="AQ5660" t="s">
        <v>46359</v>
      </c>
      <c r="AR5660" t="s">
        <v>46380</v>
      </c>
      <c r="AS5660" t="s">
        <v>46499</v>
      </c>
      <c r="AT5660" t="s">
        <v>46730</v>
      </c>
      <c r="AU5660">
        <v>7.1</v>
      </c>
      <c r="AV5660" t="s">
        <v>829</v>
      </c>
      <c r="AW5660" t="s">
        <v>46836</v>
      </c>
    </row>
    <row r="5661" spans="1:50">
      <c r="A5661" s="1">
        <f>HYPERLINK("https://lsnyc.legalserver.org/matter/dynamic-profile/view/1891327","19-1891327")</f>
        <v>0</v>
      </c>
      <c r="B5661" t="s">
        <v>187</v>
      </c>
      <c r="C5661" t="s">
        <v>340</v>
      </c>
      <c r="D5661" t="s">
        <v>747</v>
      </c>
      <c r="F5661" t="s">
        <v>3480</v>
      </c>
      <c r="G5661" t="s">
        <v>6346</v>
      </c>
      <c r="H5661" t="s">
        <v>10109</v>
      </c>
      <c r="I5661" t="s">
        <v>17275</v>
      </c>
      <c r="J5661" t="s">
        <v>18892</v>
      </c>
      <c r="K5661">
        <v>10457</v>
      </c>
      <c r="L5661" t="s">
        <v>18958</v>
      </c>
      <c r="M5661" t="s">
        <v>18958</v>
      </c>
      <c r="N5661" t="s">
        <v>23156</v>
      </c>
      <c r="O5661" t="s">
        <v>26523</v>
      </c>
      <c r="P5661" t="s">
        <v>26560</v>
      </c>
      <c r="R5661" t="s">
        <v>26579</v>
      </c>
      <c r="S5661" t="s">
        <v>18959</v>
      </c>
      <c r="U5661" t="s">
        <v>26604</v>
      </c>
      <c r="V5661" t="s">
        <v>26610</v>
      </c>
      <c r="W5661" t="s">
        <v>747</v>
      </c>
      <c r="X5661">
        <v>977</v>
      </c>
      <c r="Y5661" t="s">
        <v>26650</v>
      </c>
      <c r="Z5661" t="s">
        <v>26668</v>
      </c>
      <c r="AB5661" t="s">
        <v>29031</v>
      </c>
      <c r="AD5661" t="s">
        <v>41422</v>
      </c>
      <c r="AE5661">
        <v>0</v>
      </c>
      <c r="AF5661" t="s">
        <v>45543</v>
      </c>
      <c r="AG5661" t="s">
        <v>45556</v>
      </c>
      <c r="AH5661">
        <v>18</v>
      </c>
      <c r="AI5661">
        <v>4</v>
      </c>
      <c r="AJ5661">
        <v>0</v>
      </c>
      <c r="AK5661">
        <v>153.27</v>
      </c>
      <c r="AN5661" t="s">
        <v>7439</v>
      </c>
      <c r="AO5661">
        <v>39468</v>
      </c>
      <c r="AU5661">
        <v>9.1</v>
      </c>
      <c r="AV5661" t="s">
        <v>826</v>
      </c>
      <c r="AW5661" t="s">
        <v>46832</v>
      </c>
    </row>
    <row r="5662" spans="1:50">
      <c r="A5662" s="1">
        <f>HYPERLINK("https://lsnyc.legalserver.org/matter/dynamic-profile/view/1891376","19-1891376")</f>
        <v>0</v>
      </c>
      <c r="B5662" t="s">
        <v>194</v>
      </c>
      <c r="C5662" t="s">
        <v>340</v>
      </c>
      <c r="D5662" t="s">
        <v>747</v>
      </c>
      <c r="F5662" t="s">
        <v>3481</v>
      </c>
      <c r="G5662" t="s">
        <v>5269</v>
      </c>
      <c r="H5662" t="s">
        <v>13795</v>
      </c>
      <c r="I5662" t="s">
        <v>18277</v>
      </c>
      <c r="J5662" t="s">
        <v>18893</v>
      </c>
      <c r="K5662">
        <v>10025</v>
      </c>
      <c r="L5662" t="s">
        <v>18958</v>
      </c>
      <c r="M5662" t="s">
        <v>18958</v>
      </c>
      <c r="N5662" t="s">
        <v>23157</v>
      </c>
      <c r="O5662" t="s">
        <v>26523</v>
      </c>
      <c r="P5662" t="s">
        <v>26560</v>
      </c>
      <c r="R5662" t="s">
        <v>26580</v>
      </c>
      <c r="S5662" t="s">
        <v>18959</v>
      </c>
      <c r="U5662" t="s">
        <v>26604</v>
      </c>
      <c r="V5662" t="s">
        <v>26610</v>
      </c>
      <c r="W5662" t="s">
        <v>747</v>
      </c>
      <c r="X5662">
        <v>543</v>
      </c>
      <c r="Y5662" t="s">
        <v>26651</v>
      </c>
      <c r="Z5662" t="s">
        <v>26664</v>
      </c>
      <c r="AB5662" t="s">
        <v>31242</v>
      </c>
      <c r="AC5662" t="s">
        <v>36035</v>
      </c>
      <c r="AD5662" t="s">
        <v>41423</v>
      </c>
      <c r="AE5662">
        <v>0</v>
      </c>
      <c r="AH5662">
        <v>16</v>
      </c>
      <c r="AI5662">
        <v>1</v>
      </c>
      <c r="AJ5662">
        <v>0</v>
      </c>
      <c r="AK5662">
        <v>17.49</v>
      </c>
      <c r="AN5662" t="s">
        <v>7439</v>
      </c>
      <c r="AO5662">
        <v>2184</v>
      </c>
      <c r="AU5662">
        <v>11.55</v>
      </c>
      <c r="AV5662" t="s">
        <v>809</v>
      </c>
      <c r="AW5662" t="s">
        <v>46875</v>
      </c>
    </row>
    <row r="5663" spans="1:50">
      <c r="A5663" s="1">
        <f>HYPERLINK("https://lsnyc.legalserver.org/matter/dynamic-profile/view/1891387","19-1891387")</f>
        <v>0</v>
      </c>
      <c r="B5663" t="s">
        <v>59</v>
      </c>
      <c r="C5663" t="s">
        <v>340</v>
      </c>
      <c r="D5663" t="s">
        <v>747</v>
      </c>
      <c r="F5663" t="s">
        <v>3482</v>
      </c>
      <c r="G5663" t="s">
        <v>5191</v>
      </c>
      <c r="H5663" t="s">
        <v>13336</v>
      </c>
      <c r="I5663">
        <v>22</v>
      </c>
      <c r="J5663" t="s">
        <v>18893</v>
      </c>
      <c r="K5663">
        <v>10025</v>
      </c>
      <c r="L5663" t="s">
        <v>18958</v>
      </c>
      <c r="M5663" t="s">
        <v>18958</v>
      </c>
      <c r="N5663" t="s">
        <v>23158</v>
      </c>
      <c r="O5663" t="s">
        <v>26523</v>
      </c>
      <c r="P5663" t="s">
        <v>26560</v>
      </c>
      <c r="R5663" t="s">
        <v>26580</v>
      </c>
      <c r="S5663" t="s">
        <v>18959</v>
      </c>
      <c r="U5663" t="s">
        <v>26604</v>
      </c>
      <c r="V5663" t="s">
        <v>26610</v>
      </c>
      <c r="W5663" t="s">
        <v>747</v>
      </c>
      <c r="X5663">
        <v>2600</v>
      </c>
      <c r="Y5663" t="s">
        <v>26651</v>
      </c>
      <c r="Z5663" t="s">
        <v>26664</v>
      </c>
      <c r="AB5663" t="s">
        <v>31243</v>
      </c>
      <c r="AD5663" t="s">
        <v>41424</v>
      </c>
      <c r="AE5663">
        <v>0</v>
      </c>
      <c r="AF5663" t="s">
        <v>45548</v>
      </c>
      <c r="AG5663" t="s">
        <v>19330</v>
      </c>
      <c r="AH5663">
        <v>48</v>
      </c>
      <c r="AI5663">
        <v>1</v>
      </c>
      <c r="AJ5663">
        <v>0</v>
      </c>
      <c r="AK5663">
        <v>104.08</v>
      </c>
      <c r="AN5663" t="s">
        <v>7439</v>
      </c>
      <c r="AO5663">
        <v>12999</v>
      </c>
      <c r="AU5663">
        <v>21.7</v>
      </c>
      <c r="AV5663" t="s">
        <v>838</v>
      </c>
      <c r="AW5663" t="s">
        <v>314</v>
      </c>
    </row>
    <row r="5664" spans="1:50">
      <c r="A5664" s="1">
        <f>HYPERLINK("https://lsnyc.legalserver.org/matter/dynamic-profile/view/1891420","19-1891420")</f>
        <v>0</v>
      </c>
      <c r="B5664" t="s">
        <v>106</v>
      </c>
      <c r="C5664" t="s">
        <v>340</v>
      </c>
      <c r="D5664" t="s">
        <v>747</v>
      </c>
      <c r="F5664" t="s">
        <v>2619</v>
      </c>
      <c r="G5664" t="s">
        <v>6851</v>
      </c>
      <c r="H5664" t="s">
        <v>12279</v>
      </c>
      <c r="I5664" t="s">
        <v>17306</v>
      </c>
      <c r="J5664" t="s">
        <v>18894</v>
      </c>
      <c r="K5664">
        <v>11238</v>
      </c>
      <c r="L5664" t="s">
        <v>18958</v>
      </c>
      <c r="M5664" t="s">
        <v>18959</v>
      </c>
      <c r="N5664" t="s">
        <v>23159</v>
      </c>
      <c r="O5664" t="s">
        <v>26523</v>
      </c>
      <c r="P5664" t="s">
        <v>26560</v>
      </c>
      <c r="R5664" t="s">
        <v>26586</v>
      </c>
      <c r="S5664" t="s">
        <v>18959</v>
      </c>
      <c r="U5664" t="s">
        <v>26604</v>
      </c>
      <c r="V5664" t="s">
        <v>26610</v>
      </c>
      <c r="W5664" t="s">
        <v>747</v>
      </c>
      <c r="X5664">
        <v>609</v>
      </c>
      <c r="Y5664" t="s">
        <v>26652</v>
      </c>
      <c r="Z5664" t="s">
        <v>26659</v>
      </c>
      <c r="AB5664" t="s">
        <v>29565</v>
      </c>
      <c r="AD5664" t="s">
        <v>39638</v>
      </c>
      <c r="AE5664">
        <v>15</v>
      </c>
      <c r="AG5664" t="s">
        <v>19330</v>
      </c>
      <c r="AH5664">
        <v>10</v>
      </c>
      <c r="AI5664">
        <v>1</v>
      </c>
      <c r="AJ5664">
        <v>0</v>
      </c>
      <c r="AK5664">
        <v>76.86</v>
      </c>
      <c r="AN5664" t="s">
        <v>7439</v>
      </c>
      <c r="AO5664">
        <v>9600</v>
      </c>
      <c r="AU5664">
        <v>5.6</v>
      </c>
      <c r="AV5664" t="s">
        <v>800</v>
      </c>
      <c r="AW5664" t="s">
        <v>106</v>
      </c>
    </row>
    <row r="5665" spans="1:50">
      <c r="A5665" s="1">
        <f>HYPERLINK("https://lsnyc.legalserver.org/matter/dynamic-profile/view/1891554","19-1891554")</f>
        <v>0</v>
      </c>
      <c r="B5665" t="s">
        <v>52</v>
      </c>
      <c r="C5665" t="s">
        <v>341</v>
      </c>
      <c r="D5665" t="s">
        <v>757</v>
      </c>
      <c r="E5665" t="s">
        <v>787</v>
      </c>
      <c r="F5665" t="s">
        <v>1328</v>
      </c>
      <c r="G5665" t="s">
        <v>7419</v>
      </c>
      <c r="H5665" t="s">
        <v>13235</v>
      </c>
      <c r="I5665" t="s">
        <v>17272</v>
      </c>
      <c r="J5665" t="s">
        <v>18892</v>
      </c>
      <c r="K5665">
        <v>10459</v>
      </c>
      <c r="L5665" t="s">
        <v>18958</v>
      </c>
      <c r="M5665" t="s">
        <v>18958</v>
      </c>
      <c r="O5665" t="s">
        <v>26529</v>
      </c>
      <c r="P5665" t="s">
        <v>26565</v>
      </c>
      <c r="Q5665" t="s">
        <v>26571</v>
      </c>
      <c r="R5665" t="s">
        <v>26578</v>
      </c>
      <c r="S5665" t="s">
        <v>18959</v>
      </c>
      <c r="U5665" t="s">
        <v>26604</v>
      </c>
      <c r="W5665" t="s">
        <v>747</v>
      </c>
      <c r="X5665">
        <v>1750</v>
      </c>
      <c r="Y5665" t="s">
        <v>26650</v>
      </c>
      <c r="Z5665" t="s">
        <v>26663</v>
      </c>
      <c r="AA5665" t="s">
        <v>26683</v>
      </c>
      <c r="AB5665" t="s">
        <v>30592</v>
      </c>
      <c r="AD5665" t="s">
        <v>40786</v>
      </c>
      <c r="AE5665">
        <v>20</v>
      </c>
      <c r="AF5665" t="s">
        <v>20460</v>
      </c>
      <c r="AG5665" t="s">
        <v>19330</v>
      </c>
      <c r="AH5665">
        <v>1</v>
      </c>
      <c r="AI5665">
        <v>1</v>
      </c>
      <c r="AJ5665">
        <v>0</v>
      </c>
      <c r="AK5665">
        <v>480.38</v>
      </c>
      <c r="AN5665" t="s">
        <v>7439</v>
      </c>
      <c r="AO5665">
        <v>60000</v>
      </c>
      <c r="AU5665">
        <v>3</v>
      </c>
      <c r="AV5665" t="s">
        <v>728</v>
      </c>
      <c r="AW5665" t="s">
        <v>46847</v>
      </c>
    </row>
    <row r="5666" spans="1:50">
      <c r="A5666" s="1">
        <f>HYPERLINK("https://lsnyc.legalserver.org/matter/dynamic-profile/view/1891494","19-1891494")</f>
        <v>0</v>
      </c>
      <c r="B5666" t="s">
        <v>95</v>
      </c>
      <c r="C5666" t="s">
        <v>340</v>
      </c>
      <c r="D5666" t="s">
        <v>757</v>
      </c>
      <c r="F5666" t="s">
        <v>3390</v>
      </c>
      <c r="G5666" t="s">
        <v>7649</v>
      </c>
      <c r="H5666" t="s">
        <v>9692</v>
      </c>
      <c r="I5666" t="s">
        <v>18217</v>
      </c>
      <c r="J5666" t="s">
        <v>18894</v>
      </c>
      <c r="K5666">
        <v>11233</v>
      </c>
      <c r="L5666" t="s">
        <v>18958</v>
      </c>
      <c r="M5666" t="s">
        <v>18959</v>
      </c>
      <c r="N5666" t="s">
        <v>19330</v>
      </c>
      <c r="O5666" t="s">
        <v>26531</v>
      </c>
      <c r="P5666" t="s">
        <v>26565</v>
      </c>
      <c r="R5666" t="s">
        <v>26578</v>
      </c>
      <c r="S5666" t="s">
        <v>18958</v>
      </c>
      <c r="U5666" t="s">
        <v>26604</v>
      </c>
      <c r="V5666" t="s">
        <v>26610</v>
      </c>
      <c r="W5666" t="s">
        <v>747</v>
      </c>
      <c r="X5666">
        <v>505</v>
      </c>
      <c r="Y5666" t="s">
        <v>26652</v>
      </c>
      <c r="AB5666" t="s">
        <v>31039</v>
      </c>
      <c r="AE5666">
        <v>359</v>
      </c>
      <c r="AF5666" t="s">
        <v>45541</v>
      </c>
      <c r="AH5666">
        <v>40</v>
      </c>
      <c r="AI5666">
        <v>1</v>
      </c>
      <c r="AJ5666">
        <v>0</v>
      </c>
      <c r="AK5666">
        <v>0</v>
      </c>
      <c r="AN5666" t="s">
        <v>7439</v>
      </c>
      <c r="AO5666">
        <v>0</v>
      </c>
      <c r="AP5666" t="s">
        <v>45883</v>
      </c>
      <c r="AU5666">
        <v>0</v>
      </c>
      <c r="AW5666" t="s">
        <v>279</v>
      </c>
    </row>
    <row r="5667" spans="1:50">
      <c r="A5667" s="1">
        <f>HYPERLINK("https://lsnyc.legalserver.org/matter/dynamic-profile/view/1891511","19-1891511")</f>
        <v>0</v>
      </c>
      <c r="B5667" t="s">
        <v>95</v>
      </c>
      <c r="C5667" t="s">
        <v>340</v>
      </c>
      <c r="D5667" t="s">
        <v>757</v>
      </c>
      <c r="F5667" t="s">
        <v>3391</v>
      </c>
      <c r="G5667" t="s">
        <v>1056</v>
      </c>
      <c r="H5667" t="s">
        <v>9692</v>
      </c>
      <c r="I5667" t="s">
        <v>17338</v>
      </c>
      <c r="J5667" t="s">
        <v>18894</v>
      </c>
      <c r="K5667">
        <v>11233</v>
      </c>
      <c r="L5667" t="s">
        <v>18958</v>
      </c>
      <c r="M5667" t="s">
        <v>18959</v>
      </c>
      <c r="N5667" t="s">
        <v>19330</v>
      </c>
      <c r="O5667" t="s">
        <v>26531</v>
      </c>
      <c r="P5667" t="s">
        <v>26565</v>
      </c>
      <c r="R5667" t="s">
        <v>26578</v>
      </c>
      <c r="S5667" t="s">
        <v>18958</v>
      </c>
      <c r="U5667" t="s">
        <v>26604</v>
      </c>
      <c r="V5667" t="s">
        <v>26610</v>
      </c>
      <c r="W5667" t="s">
        <v>747</v>
      </c>
      <c r="X5667">
        <v>0</v>
      </c>
      <c r="Y5667" t="s">
        <v>26652</v>
      </c>
      <c r="AB5667" t="s">
        <v>31040</v>
      </c>
      <c r="AE5667">
        <v>359</v>
      </c>
      <c r="AF5667" t="s">
        <v>45541</v>
      </c>
      <c r="AH5667">
        <v>14</v>
      </c>
      <c r="AI5667">
        <v>1</v>
      </c>
      <c r="AJ5667">
        <v>0</v>
      </c>
      <c r="AK5667">
        <v>0</v>
      </c>
      <c r="AN5667" t="s">
        <v>7439</v>
      </c>
      <c r="AO5667">
        <v>0</v>
      </c>
      <c r="AP5667" t="s">
        <v>45884</v>
      </c>
      <c r="AU5667">
        <v>0</v>
      </c>
      <c r="AW5667" t="s">
        <v>279</v>
      </c>
    </row>
    <row r="5668" spans="1:50">
      <c r="A5668" s="1">
        <f>HYPERLINK("https://lsnyc.legalserver.org/matter/dynamic-profile/view/1891534","19-1891534")</f>
        <v>0</v>
      </c>
      <c r="B5668" t="s">
        <v>95</v>
      </c>
      <c r="C5668" t="s">
        <v>340</v>
      </c>
      <c r="D5668" t="s">
        <v>757</v>
      </c>
      <c r="F5668" t="s">
        <v>1217</v>
      </c>
      <c r="G5668" t="s">
        <v>5606</v>
      </c>
      <c r="H5668" t="s">
        <v>9692</v>
      </c>
      <c r="I5668" t="s">
        <v>17538</v>
      </c>
      <c r="J5668" t="s">
        <v>18894</v>
      </c>
      <c r="K5668">
        <v>11233</v>
      </c>
      <c r="L5668" t="s">
        <v>18958</v>
      </c>
      <c r="M5668" t="s">
        <v>18959</v>
      </c>
      <c r="N5668" t="s">
        <v>19330</v>
      </c>
      <c r="O5668" t="s">
        <v>26531</v>
      </c>
      <c r="P5668" t="s">
        <v>26565</v>
      </c>
      <c r="R5668" t="s">
        <v>26578</v>
      </c>
      <c r="S5668" t="s">
        <v>18958</v>
      </c>
      <c r="U5668" t="s">
        <v>26604</v>
      </c>
      <c r="V5668" t="s">
        <v>26610</v>
      </c>
      <c r="W5668" t="s">
        <v>747</v>
      </c>
      <c r="X5668">
        <v>1195</v>
      </c>
      <c r="Y5668" t="s">
        <v>26652</v>
      </c>
      <c r="AB5668" t="s">
        <v>27657</v>
      </c>
      <c r="AC5668" t="s">
        <v>19330</v>
      </c>
      <c r="AE5668">
        <v>359</v>
      </c>
      <c r="AF5668" t="s">
        <v>45541</v>
      </c>
      <c r="AG5668" t="s">
        <v>19330</v>
      </c>
      <c r="AH5668">
        <v>30</v>
      </c>
      <c r="AI5668">
        <v>2</v>
      </c>
      <c r="AJ5668">
        <v>0</v>
      </c>
      <c r="AK5668">
        <v>0</v>
      </c>
      <c r="AN5668" t="s">
        <v>7439</v>
      </c>
      <c r="AO5668">
        <v>0</v>
      </c>
      <c r="AP5668" t="s">
        <v>45885</v>
      </c>
      <c r="AU5668">
        <v>0</v>
      </c>
      <c r="AW5668" t="s">
        <v>279</v>
      </c>
      <c r="AX5668" t="s">
        <v>19330</v>
      </c>
    </row>
    <row r="5669" spans="1:50">
      <c r="A5669" s="1">
        <f>HYPERLINK("https://lsnyc.legalserver.org/matter/dynamic-profile/view/1891478","19-1891478")</f>
        <v>0</v>
      </c>
      <c r="B5669" t="s">
        <v>95</v>
      </c>
      <c r="C5669" t="s">
        <v>340</v>
      </c>
      <c r="D5669" t="s">
        <v>757</v>
      </c>
      <c r="F5669" t="s">
        <v>3384</v>
      </c>
      <c r="G5669" t="s">
        <v>5079</v>
      </c>
      <c r="H5669" t="s">
        <v>12646</v>
      </c>
      <c r="I5669" t="s">
        <v>17436</v>
      </c>
      <c r="J5669" t="s">
        <v>18894</v>
      </c>
      <c r="K5669">
        <v>11233</v>
      </c>
      <c r="L5669" t="s">
        <v>18958</v>
      </c>
      <c r="M5669" t="s">
        <v>18959</v>
      </c>
      <c r="O5669" t="s">
        <v>26531</v>
      </c>
      <c r="P5669" t="s">
        <v>26565</v>
      </c>
      <c r="R5669" t="s">
        <v>26578</v>
      </c>
      <c r="S5669" t="s">
        <v>18958</v>
      </c>
      <c r="U5669" t="s">
        <v>26604</v>
      </c>
      <c r="V5669" t="s">
        <v>26610</v>
      </c>
      <c r="W5669" t="s">
        <v>747</v>
      </c>
      <c r="X5669">
        <v>300</v>
      </c>
      <c r="Y5669" t="s">
        <v>26652</v>
      </c>
      <c r="Z5669" t="s">
        <v>26666</v>
      </c>
      <c r="AB5669" t="s">
        <v>31025</v>
      </c>
      <c r="AE5669">
        <v>359</v>
      </c>
      <c r="AF5669" t="s">
        <v>45541</v>
      </c>
      <c r="AG5669" t="s">
        <v>45556</v>
      </c>
      <c r="AH5669">
        <v>50</v>
      </c>
      <c r="AI5669">
        <v>2</v>
      </c>
      <c r="AJ5669">
        <v>0</v>
      </c>
      <c r="AK5669">
        <v>40.21</v>
      </c>
      <c r="AN5669" t="s">
        <v>7439</v>
      </c>
      <c r="AO5669">
        <v>6800</v>
      </c>
      <c r="AP5669" t="s">
        <v>45886</v>
      </c>
      <c r="AU5669">
        <v>0</v>
      </c>
      <c r="AW5669" t="s">
        <v>286</v>
      </c>
    </row>
    <row r="5670" spans="1:50">
      <c r="A5670" s="1">
        <f>HYPERLINK("https://lsnyc.legalserver.org/matter/dynamic-profile/view/1891460","19-1891460")</f>
        <v>0</v>
      </c>
      <c r="B5670" t="s">
        <v>95</v>
      </c>
      <c r="C5670" t="s">
        <v>340</v>
      </c>
      <c r="D5670" t="s">
        <v>757</v>
      </c>
      <c r="F5670" t="s">
        <v>938</v>
      </c>
      <c r="G5670" t="s">
        <v>7165</v>
      </c>
      <c r="H5670" t="s">
        <v>12646</v>
      </c>
      <c r="I5670" t="s">
        <v>18046</v>
      </c>
      <c r="J5670" t="s">
        <v>18894</v>
      </c>
      <c r="K5670">
        <v>11233</v>
      </c>
      <c r="L5670" t="s">
        <v>18958</v>
      </c>
      <c r="M5670" t="s">
        <v>18960</v>
      </c>
      <c r="O5670" t="s">
        <v>26531</v>
      </c>
      <c r="P5670" t="s">
        <v>26565</v>
      </c>
      <c r="R5670" t="s">
        <v>26578</v>
      </c>
      <c r="S5670" t="s">
        <v>18958</v>
      </c>
      <c r="U5670" t="s">
        <v>26604</v>
      </c>
      <c r="V5670" t="s">
        <v>26610</v>
      </c>
      <c r="W5670" t="s">
        <v>747</v>
      </c>
      <c r="X5670">
        <v>841.4299999999999</v>
      </c>
      <c r="Y5670" t="s">
        <v>26652</v>
      </c>
      <c r="Z5670" t="s">
        <v>26655</v>
      </c>
      <c r="AB5670" t="s">
        <v>27569</v>
      </c>
      <c r="AD5670" t="s">
        <v>40238</v>
      </c>
      <c r="AE5670">
        <v>764</v>
      </c>
      <c r="AF5670" t="s">
        <v>45541</v>
      </c>
      <c r="AG5670" t="s">
        <v>45556</v>
      </c>
      <c r="AH5670">
        <v>31</v>
      </c>
      <c r="AI5670">
        <v>1</v>
      </c>
      <c r="AJ5670">
        <v>0</v>
      </c>
      <c r="AK5670">
        <v>133.64</v>
      </c>
      <c r="AN5670" t="s">
        <v>7439</v>
      </c>
      <c r="AO5670">
        <v>16692</v>
      </c>
      <c r="AP5670" t="s">
        <v>45887</v>
      </c>
      <c r="AU5670">
        <v>0</v>
      </c>
      <c r="AW5670" t="s">
        <v>286</v>
      </c>
    </row>
    <row r="5671" spans="1:50">
      <c r="A5671" s="1">
        <f>HYPERLINK("https://lsnyc.legalserver.org/matter/dynamic-profile/view/1891469","19-1891469")</f>
        <v>0</v>
      </c>
      <c r="B5671" t="s">
        <v>95</v>
      </c>
      <c r="C5671" t="s">
        <v>340</v>
      </c>
      <c r="D5671" t="s">
        <v>757</v>
      </c>
      <c r="F5671" t="s">
        <v>3386</v>
      </c>
      <c r="G5671" t="s">
        <v>5141</v>
      </c>
      <c r="H5671" t="s">
        <v>12646</v>
      </c>
      <c r="I5671" t="s">
        <v>18211</v>
      </c>
      <c r="J5671" t="s">
        <v>18894</v>
      </c>
      <c r="K5671">
        <v>11233</v>
      </c>
      <c r="L5671" t="s">
        <v>18958</v>
      </c>
      <c r="M5671" t="s">
        <v>18959</v>
      </c>
      <c r="O5671" t="s">
        <v>26531</v>
      </c>
      <c r="P5671" t="s">
        <v>26565</v>
      </c>
      <c r="R5671" t="s">
        <v>26578</v>
      </c>
      <c r="S5671" t="s">
        <v>18958</v>
      </c>
      <c r="U5671" t="s">
        <v>26604</v>
      </c>
      <c r="V5671" t="s">
        <v>26610</v>
      </c>
      <c r="W5671" t="s">
        <v>747</v>
      </c>
      <c r="X5671">
        <v>1121</v>
      </c>
      <c r="Y5671" t="s">
        <v>26652</v>
      </c>
      <c r="Z5671" t="s">
        <v>26530</v>
      </c>
      <c r="AB5671" t="s">
        <v>31032</v>
      </c>
      <c r="AE5671">
        <v>359</v>
      </c>
      <c r="AF5671" t="s">
        <v>45541</v>
      </c>
      <c r="AG5671" t="s">
        <v>19330</v>
      </c>
      <c r="AH5671">
        <v>4</v>
      </c>
      <c r="AI5671">
        <v>3</v>
      </c>
      <c r="AJ5671">
        <v>0</v>
      </c>
      <c r="AK5671">
        <v>209.07</v>
      </c>
      <c r="AL5671" t="s">
        <v>672</v>
      </c>
      <c r="AM5671" t="s">
        <v>45575</v>
      </c>
      <c r="AN5671" t="s">
        <v>7439</v>
      </c>
      <c r="AO5671">
        <v>44595</v>
      </c>
      <c r="AP5671" t="s">
        <v>45888</v>
      </c>
      <c r="AU5671">
        <v>0</v>
      </c>
      <c r="AW5671" t="s">
        <v>286</v>
      </c>
    </row>
    <row r="5672" spans="1:50">
      <c r="A5672" s="1">
        <f>HYPERLINK("https://lsnyc.legalserver.org/matter/dynamic-profile/view/1891502","19-1891502")</f>
        <v>0</v>
      </c>
      <c r="B5672" t="s">
        <v>95</v>
      </c>
      <c r="C5672" t="s">
        <v>340</v>
      </c>
      <c r="D5672" t="s">
        <v>757</v>
      </c>
      <c r="F5672" t="s">
        <v>3392</v>
      </c>
      <c r="G5672" t="s">
        <v>7062</v>
      </c>
      <c r="H5672" t="s">
        <v>12646</v>
      </c>
      <c r="I5672" t="s">
        <v>18210</v>
      </c>
      <c r="J5672" t="s">
        <v>18894</v>
      </c>
      <c r="K5672">
        <v>11233</v>
      </c>
      <c r="L5672" t="s">
        <v>18958</v>
      </c>
      <c r="M5672" t="s">
        <v>18959</v>
      </c>
      <c r="N5672" t="s">
        <v>19330</v>
      </c>
      <c r="O5672" t="s">
        <v>26531</v>
      </c>
      <c r="P5672" t="s">
        <v>26565</v>
      </c>
      <c r="R5672" t="s">
        <v>26578</v>
      </c>
      <c r="S5672" t="s">
        <v>18958</v>
      </c>
      <c r="U5672" t="s">
        <v>26604</v>
      </c>
      <c r="V5672" t="s">
        <v>26610</v>
      </c>
      <c r="W5672" t="s">
        <v>747</v>
      </c>
      <c r="X5672">
        <v>997</v>
      </c>
      <c r="Y5672" t="s">
        <v>26652</v>
      </c>
      <c r="AB5672" t="s">
        <v>31041</v>
      </c>
      <c r="AE5672">
        <v>359</v>
      </c>
      <c r="AF5672" t="s">
        <v>45541</v>
      </c>
      <c r="AH5672">
        <v>40</v>
      </c>
      <c r="AI5672">
        <v>2</v>
      </c>
      <c r="AJ5672">
        <v>1</v>
      </c>
      <c r="AK5672">
        <v>215.66</v>
      </c>
      <c r="AL5672" t="s">
        <v>672</v>
      </c>
      <c r="AM5672" t="s">
        <v>45575</v>
      </c>
      <c r="AN5672" t="s">
        <v>7439</v>
      </c>
      <c r="AO5672">
        <v>46000</v>
      </c>
      <c r="AP5672" t="s">
        <v>45889</v>
      </c>
      <c r="AU5672">
        <v>0</v>
      </c>
      <c r="AW5672" t="s">
        <v>279</v>
      </c>
    </row>
    <row r="5673" spans="1:50">
      <c r="A5673" s="1">
        <f>HYPERLINK("https://lsnyc.legalserver.org/matter/dynamic-profile/view/1891447","19-1891447")</f>
        <v>0</v>
      </c>
      <c r="B5673" t="s">
        <v>95</v>
      </c>
      <c r="C5673" t="s">
        <v>340</v>
      </c>
      <c r="D5673" t="s">
        <v>757</v>
      </c>
      <c r="F5673" t="s">
        <v>2875</v>
      </c>
      <c r="G5673" t="s">
        <v>5428</v>
      </c>
      <c r="H5673" t="s">
        <v>12646</v>
      </c>
      <c r="I5673" t="s">
        <v>18036</v>
      </c>
      <c r="J5673" t="s">
        <v>18894</v>
      </c>
      <c r="K5673">
        <v>11233</v>
      </c>
      <c r="L5673" t="s">
        <v>18958</v>
      </c>
      <c r="M5673" t="s">
        <v>18958</v>
      </c>
      <c r="O5673" t="s">
        <v>26531</v>
      </c>
      <c r="P5673" t="s">
        <v>26565</v>
      </c>
      <c r="R5673" t="s">
        <v>26578</v>
      </c>
      <c r="S5673" t="s">
        <v>18958</v>
      </c>
      <c r="U5673" t="s">
        <v>26604</v>
      </c>
      <c r="V5673" t="s">
        <v>26610</v>
      </c>
      <c r="W5673" t="s">
        <v>747</v>
      </c>
      <c r="X5673">
        <v>1094</v>
      </c>
      <c r="Y5673" t="s">
        <v>26652</v>
      </c>
      <c r="Z5673" t="s">
        <v>26667</v>
      </c>
      <c r="AB5673" t="s">
        <v>29785</v>
      </c>
      <c r="AE5673">
        <v>764</v>
      </c>
      <c r="AF5673" t="s">
        <v>45541</v>
      </c>
      <c r="AG5673" t="s">
        <v>19330</v>
      </c>
      <c r="AH5673">
        <v>40</v>
      </c>
      <c r="AI5673">
        <v>1</v>
      </c>
      <c r="AJ5673">
        <v>0</v>
      </c>
      <c r="AK5673">
        <v>224.18</v>
      </c>
      <c r="AL5673" t="s">
        <v>672</v>
      </c>
      <c r="AM5673" t="s">
        <v>45575</v>
      </c>
      <c r="AN5673" t="s">
        <v>7439</v>
      </c>
      <c r="AO5673">
        <v>28000</v>
      </c>
      <c r="AP5673" t="s">
        <v>45890</v>
      </c>
      <c r="AU5673">
        <v>0</v>
      </c>
      <c r="AW5673" t="s">
        <v>286</v>
      </c>
    </row>
    <row r="5674" spans="1:50">
      <c r="A5674" s="1">
        <f>HYPERLINK("https://lsnyc.legalserver.org/matter/dynamic-profile/view/1891566","19-1891566")</f>
        <v>0</v>
      </c>
      <c r="B5674" t="s">
        <v>95</v>
      </c>
      <c r="C5674" t="s">
        <v>340</v>
      </c>
      <c r="D5674" t="s">
        <v>757</v>
      </c>
      <c r="F5674" t="s">
        <v>1402</v>
      </c>
      <c r="G5674" t="s">
        <v>945</v>
      </c>
      <c r="H5674" t="s">
        <v>12646</v>
      </c>
      <c r="I5674" t="s">
        <v>17587</v>
      </c>
      <c r="J5674" t="s">
        <v>18894</v>
      </c>
      <c r="K5674">
        <v>11233</v>
      </c>
      <c r="L5674" t="s">
        <v>18958</v>
      </c>
      <c r="M5674" t="s">
        <v>18959</v>
      </c>
      <c r="N5674" t="s">
        <v>19045</v>
      </c>
      <c r="O5674" t="s">
        <v>26531</v>
      </c>
      <c r="P5674" t="s">
        <v>26565</v>
      </c>
      <c r="R5674" t="s">
        <v>26578</v>
      </c>
      <c r="S5674" t="s">
        <v>18958</v>
      </c>
      <c r="U5674" t="s">
        <v>26604</v>
      </c>
      <c r="V5674" t="s">
        <v>26610</v>
      </c>
      <c r="W5674" t="s">
        <v>747</v>
      </c>
      <c r="X5674">
        <v>1003</v>
      </c>
      <c r="Y5674" t="s">
        <v>26652</v>
      </c>
      <c r="AB5674" t="s">
        <v>31042</v>
      </c>
      <c r="AE5674">
        <v>359</v>
      </c>
      <c r="AF5674" t="s">
        <v>45541</v>
      </c>
      <c r="AH5674">
        <v>13</v>
      </c>
      <c r="AI5674">
        <v>1</v>
      </c>
      <c r="AJ5674">
        <v>2</v>
      </c>
      <c r="AK5674">
        <v>281.29</v>
      </c>
      <c r="AL5674" t="s">
        <v>672</v>
      </c>
      <c r="AM5674" t="s">
        <v>45575</v>
      </c>
      <c r="AN5674" t="s">
        <v>7439</v>
      </c>
      <c r="AO5674">
        <v>60000</v>
      </c>
      <c r="AP5674" t="s">
        <v>45891</v>
      </c>
      <c r="AU5674">
        <v>0</v>
      </c>
      <c r="AW5674" t="s">
        <v>279</v>
      </c>
    </row>
    <row r="5675" spans="1:50">
      <c r="A5675" s="1">
        <f>HYPERLINK("https://lsnyc.legalserver.org/matter/dynamic-profile/view/1891560","19-1891560")</f>
        <v>0</v>
      </c>
      <c r="B5675" t="s">
        <v>95</v>
      </c>
      <c r="C5675" t="s">
        <v>340</v>
      </c>
      <c r="D5675" t="s">
        <v>757</v>
      </c>
      <c r="F5675" t="s">
        <v>1087</v>
      </c>
      <c r="G5675" t="s">
        <v>7650</v>
      </c>
      <c r="H5675" t="s">
        <v>12646</v>
      </c>
      <c r="I5675" t="s">
        <v>18218</v>
      </c>
      <c r="J5675" t="s">
        <v>18894</v>
      </c>
      <c r="K5675">
        <v>11233</v>
      </c>
      <c r="L5675" t="s">
        <v>18958</v>
      </c>
      <c r="M5675" t="s">
        <v>18959</v>
      </c>
      <c r="N5675" t="s">
        <v>19330</v>
      </c>
      <c r="O5675" t="s">
        <v>26531</v>
      </c>
      <c r="P5675" t="s">
        <v>26565</v>
      </c>
      <c r="R5675" t="s">
        <v>26578</v>
      </c>
      <c r="S5675" t="s">
        <v>18958</v>
      </c>
      <c r="U5675" t="s">
        <v>26604</v>
      </c>
      <c r="V5675" t="s">
        <v>26610</v>
      </c>
      <c r="W5675" t="s">
        <v>747</v>
      </c>
      <c r="X5675">
        <v>1040</v>
      </c>
      <c r="Y5675" t="s">
        <v>26652</v>
      </c>
      <c r="AB5675" t="s">
        <v>31043</v>
      </c>
      <c r="AE5675">
        <v>359</v>
      </c>
      <c r="AF5675" t="s">
        <v>45541</v>
      </c>
      <c r="AH5675">
        <v>32</v>
      </c>
      <c r="AI5675">
        <v>3</v>
      </c>
      <c r="AJ5675">
        <v>0</v>
      </c>
      <c r="AK5675">
        <v>300.05</v>
      </c>
      <c r="AL5675" t="s">
        <v>672</v>
      </c>
      <c r="AM5675" t="s">
        <v>45575</v>
      </c>
      <c r="AN5675" t="s">
        <v>7439</v>
      </c>
      <c r="AO5675">
        <v>64000</v>
      </c>
      <c r="AP5675" t="s">
        <v>45892</v>
      </c>
      <c r="AU5675">
        <v>0</v>
      </c>
      <c r="AW5675" t="s">
        <v>279</v>
      </c>
    </row>
    <row r="5676" spans="1:50">
      <c r="A5676" s="1">
        <f>HYPERLINK("https://lsnyc.legalserver.org/matter/dynamic-profile/view/1891444","19-1891444")</f>
        <v>0</v>
      </c>
      <c r="B5676" t="s">
        <v>95</v>
      </c>
      <c r="C5676" t="s">
        <v>340</v>
      </c>
      <c r="D5676" t="s">
        <v>757</v>
      </c>
      <c r="F5676" t="s">
        <v>2876</v>
      </c>
      <c r="G5676" t="s">
        <v>4085</v>
      </c>
      <c r="H5676" t="s">
        <v>12646</v>
      </c>
      <c r="I5676" t="s">
        <v>17422</v>
      </c>
      <c r="J5676" t="s">
        <v>18894</v>
      </c>
      <c r="K5676">
        <v>11233</v>
      </c>
      <c r="L5676" t="s">
        <v>18958</v>
      </c>
      <c r="M5676" t="s">
        <v>18958</v>
      </c>
      <c r="O5676" t="s">
        <v>26531</v>
      </c>
      <c r="P5676" t="s">
        <v>26565</v>
      </c>
      <c r="R5676" t="s">
        <v>26578</v>
      </c>
      <c r="S5676" t="s">
        <v>18958</v>
      </c>
      <c r="U5676" t="s">
        <v>26604</v>
      </c>
      <c r="V5676" t="s">
        <v>26610</v>
      </c>
      <c r="W5676" t="s">
        <v>747</v>
      </c>
      <c r="X5676">
        <v>628</v>
      </c>
      <c r="Y5676" t="s">
        <v>26652</v>
      </c>
      <c r="Z5676" t="s">
        <v>26667</v>
      </c>
      <c r="AB5676" t="s">
        <v>30031</v>
      </c>
      <c r="AD5676" t="s">
        <v>40161</v>
      </c>
      <c r="AE5676">
        <v>764</v>
      </c>
      <c r="AF5676" t="s">
        <v>45541</v>
      </c>
      <c r="AG5676" t="s">
        <v>19330</v>
      </c>
      <c r="AH5676">
        <v>18</v>
      </c>
      <c r="AI5676">
        <v>1</v>
      </c>
      <c r="AJ5676">
        <v>0</v>
      </c>
      <c r="AK5676">
        <v>320.26</v>
      </c>
      <c r="AL5676" t="s">
        <v>672</v>
      </c>
      <c r="AM5676" t="s">
        <v>45575</v>
      </c>
      <c r="AN5676" t="s">
        <v>7439</v>
      </c>
      <c r="AO5676">
        <v>40000</v>
      </c>
      <c r="AP5676" t="s">
        <v>45893</v>
      </c>
      <c r="AU5676">
        <v>0</v>
      </c>
      <c r="AW5676" t="s">
        <v>286</v>
      </c>
    </row>
    <row r="5677" spans="1:50">
      <c r="A5677" s="1">
        <f>HYPERLINK("https://lsnyc.legalserver.org/matter/dynamic-profile/view/1891556","19-1891556")</f>
        <v>0</v>
      </c>
      <c r="B5677" t="s">
        <v>95</v>
      </c>
      <c r="C5677" t="s">
        <v>340</v>
      </c>
      <c r="D5677" t="s">
        <v>757</v>
      </c>
      <c r="F5677" t="s">
        <v>939</v>
      </c>
      <c r="G5677" t="s">
        <v>7775</v>
      </c>
      <c r="H5677" t="s">
        <v>9692</v>
      </c>
      <c r="I5677" t="s">
        <v>17397</v>
      </c>
      <c r="J5677" t="s">
        <v>18894</v>
      </c>
      <c r="K5677">
        <v>11233</v>
      </c>
      <c r="L5677" t="s">
        <v>18958</v>
      </c>
      <c r="M5677" t="s">
        <v>18959</v>
      </c>
      <c r="N5677" t="s">
        <v>19045</v>
      </c>
      <c r="O5677" t="s">
        <v>26531</v>
      </c>
      <c r="P5677" t="s">
        <v>26565</v>
      </c>
      <c r="R5677" t="s">
        <v>26578</v>
      </c>
      <c r="S5677" t="s">
        <v>18958</v>
      </c>
      <c r="U5677" t="s">
        <v>26604</v>
      </c>
      <c r="V5677" t="s">
        <v>26610</v>
      </c>
      <c r="W5677" t="s">
        <v>747</v>
      </c>
      <c r="X5677">
        <v>1000</v>
      </c>
      <c r="Y5677" t="s">
        <v>26652</v>
      </c>
      <c r="AB5677" t="s">
        <v>30012</v>
      </c>
      <c r="AE5677">
        <v>359</v>
      </c>
      <c r="AF5677" t="s">
        <v>45541</v>
      </c>
      <c r="AH5677">
        <v>50</v>
      </c>
      <c r="AI5677">
        <v>1</v>
      </c>
      <c r="AJ5677">
        <v>0</v>
      </c>
      <c r="AK5677">
        <v>320.26</v>
      </c>
      <c r="AN5677" t="s">
        <v>7439</v>
      </c>
      <c r="AO5677">
        <v>40000</v>
      </c>
      <c r="AP5677" t="s">
        <v>45894</v>
      </c>
      <c r="AU5677">
        <v>0</v>
      </c>
      <c r="AW5677" t="s">
        <v>279</v>
      </c>
    </row>
    <row r="5678" spans="1:50">
      <c r="A5678" s="1">
        <f>HYPERLINK("https://lsnyc.legalserver.org/matter/dynamic-profile/view/1891564","19-1891564")</f>
        <v>0</v>
      </c>
      <c r="B5678" t="s">
        <v>95</v>
      </c>
      <c r="C5678" t="s">
        <v>340</v>
      </c>
      <c r="D5678" t="s">
        <v>757</v>
      </c>
      <c r="F5678" t="s">
        <v>1489</v>
      </c>
      <c r="G5678" t="s">
        <v>5812</v>
      </c>
      <c r="H5678" t="s">
        <v>12646</v>
      </c>
      <c r="I5678" t="s">
        <v>18219</v>
      </c>
      <c r="J5678" t="s">
        <v>18894</v>
      </c>
      <c r="K5678">
        <v>11233</v>
      </c>
      <c r="L5678" t="s">
        <v>18958</v>
      </c>
      <c r="M5678" t="s">
        <v>18959</v>
      </c>
      <c r="N5678" t="s">
        <v>19045</v>
      </c>
      <c r="O5678" t="s">
        <v>26531</v>
      </c>
      <c r="P5678" t="s">
        <v>26565</v>
      </c>
      <c r="R5678" t="s">
        <v>26578</v>
      </c>
      <c r="S5678" t="s">
        <v>18958</v>
      </c>
      <c r="U5678" t="s">
        <v>26604</v>
      </c>
      <c r="V5678" t="s">
        <v>26610</v>
      </c>
      <c r="W5678" t="s">
        <v>747</v>
      </c>
      <c r="X5678">
        <v>1157</v>
      </c>
      <c r="Y5678" t="s">
        <v>26652</v>
      </c>
      <c r="AB5678" t="s">
        <v>27657</v>
      </c>
      <c r="AE5678">
        <v>359</v>
      </c>
      <c r="AF5678" t="s">
        <v>45541</v>
      </c>
      <c r="AH5678">
        <v>39</v>
      </c>
      <c r="AI5678">
        <v>6</v>
      </c>
      <c r="AJ5678">
        <v>0</v>
      </c>
      <c r="AK5678">
        <v>383.06</v>
      </c>
      <c r="AL5678" t="s">
        <v>672</v>
      </c>
      <c r="AN5678" t="s">
        <v>7439</v>
      </c>
      <c r="AO5678">
        <v>132500</v>
      </c>
      <c r="AP5678" t="s">
        <v>45895</v>
      </c>
      <c r="AU5678">
        <v>0</v>
      </c>
      <c r="AW5678" t="s">
        <v>279</v>
      </c>
    </row>
    <row r="5679" spans="1:50">
      <c r="A5679" s="1">
        <f>HYPERLINK("https://lsnyc.legalserver.org/matter/dynamic-profile/view/1891544","19-1891544")</f>
        <v>0</v>
      </c>
      <c r="B5679" t="s">
        <v>95</v>
      </c>
      <c r="C5679" t="s">
        <v>340</v>
      </c>
      <c r="D5679" t="s">
        <v>757</v>
      </c>
      <c r="F5679" t="s">
        <v>3393</v>
      </c>
      <c r="G5679" t="s">
        <v>3846</v>
      </c>
      <c r="H5679" t="s">
        <v>9692</v>
      </c>
      <c r="I5679" t="s">
        <v>17302</v>
      </c>
      <c r="J5679" t="s">
        <v>18894</v>
      </c>
      <c r="K5679">
        <v>11233</v>
      </c>
      <c r="L5679" t="s">
        <v>18958</v>
      </c>
      <c r="M5679" t="s">
        <v>18959</v>
      </c>
      <c r="O5679" t="s">
        <v>26531</v>
      </c>
      <c r="P5679" t="s">
        <v>26565</v>
      </c>
      <c r="R5679" t="s">
        <v>26578</v>
      </c>
      <c r="S5679" t="s">
        <v>18958</v>
      </c>
      <c r="U5679" t="s">
        <v>26604</v>
      </c>
      <c r="V5679" t="s">
        <v>26610</v>
      </c>
      <c r="W5679" t="s">
        <v>747</v>
      </c>
      <c r="X5679">
        <v>1089.12</v>
      </c>
      <c r="Y5679" t="s">
        <v>26652</v>
      </c>
      <c r="AB5679" t="s">
        <v>31044</v>
      </c>
      <c r="AE5679">
        <v>359</v>
      </c>
      <c r="AF5679" t="s">
        <v>45541</v>
      </c>
      <c r="AH5679">
        <v>20</v>
      </c>
      <c r="AI5679">
        <v>2</v>
      </c>
      <c r="AJ5679">
        <v>0</v>
      </c>
      <c r="AK5679">
        <v>408.04</v>
      </c>
      <c r="AN5679" t="s">
        <v>7439</v>
      </c>
      <c r="AO5679">
        <v>69000</v>
      </c>
      <c r="AP5679" t="s">
        <v>45896</v>
      </c>
      <c r="AU5679">
        <v>0</v>
      </c>
      <c r="AW5679" t="s">
        <v>279</v>
      </c>
    </row>
    <row r="5680" spans="1:50">
      <c r="A5680" s="1">
        <f>HYPERLINK("https://lsnyc.legalserver.org/matter/dynamic-profile/view/1891485","19-1891485")</f>
        <v>0</v>
      </c>
      <c r="B5680" t="s">
        <v>95</v>
      </c>
      <c r="C5680" t="s">
        <v>340</v>
      </c>
      <c r="D5680" t="s">
        <v>757</v>
      </c>
      <c r="F5680" t="s">
        <v>3387</v>
      </c>
      <c r="G5680" t="s">
        <v>5079</v>
      </c>
      <c r="H5680" t="s">
        <v>12646</v>
      </c>
      <c r="I5680" t="s">
        <v>17283</v>
      </c>
      <c r="J5680" t="s">
        <v>18894</v>
      </c>
      <c r="K5680">
        <v>11233</v>
      </c>
      <c r="L5680" t="s">
        <v>18958</v>
      </c>
      <c r="M5680" t="s">
        <v>18959</v>
      </c>
      <c r="O5680" t="s">
        <v>26531</v>
      </c>
      <c r="P5680" t="s">
        <v>26565</v>
      </c>
      <c r="R5680" t="s">
        <v>26578</v>
      </c>
      <c r="S5680" t="s">
        <v>18958</v>
      </c>
      <c r="U5680" t="s">
        <v>26604</v>
      </c>
      <c r="V5680" t="s">
        <v>26610</v>
      </c>
      <c r="W5680" t="s">
        <v>747</v>
      </c>
      <c r="X5680">
        <v>1016</v>
      </c>
      <c r="Y5680" t="s">
        <v>26652</v>
      </c>
      <c r="Z5680" t="s">
        <v>26666</v>
      </c>
      <c r="AB5680" t="s">
        <v>27284</v>
      </c>
      <c r="AE5680">
        <v>359</v>
      </c>
      <c r="AF5680" t="s">
        <v>45541</v>
      </c>
      <c r="AG5680" t="s">
        <v>19330</v>
      </c>
      <c r="AH5680">
        <v>30</v>
      </c>
      <c r="AI5680">
        <v>2</v>
      </c>
      <c r="AJ5680">
        <v>0</v>
      </c>
      <c r="AK5680">
        <v>435.02</v>
      </c>
      <c r="AN5680" t="s">
        <v>7439</v>
      </c>
      <c r="AO5680">
        <v>73562</v>
      </c>
      <c r="AP5680" t="s">
        <v>45897</v>
      </c>
      <c r="AU5680">
        <v>0</v>
      </c>
      <c r="AW5680" t="s">
        <v>286</v>
      </c>
    </row>
    <row r="5681" spans="1:50">
      <c r="A5681" s="1">
        <f>HYPERLINK("https://lsnyc.legalserver.org/matter/dynamic-profile/view/1891452","19-1891452")</f>
        <v>0</v>
      </c>
      <c r="B5681" t="s">
        <v>95</v>
      </c>
      <c r="C5681" t="s">
        <v>340</v>
      </c>
      <c r="D5681" t="s">
        <v>757</v>
      </c>
      <c r="F5681" t="s">
        <v>1045</v>
      </c>
      <c r="G5681" t="s">
        <v>7164</v>
      </c>
      <c r="H5681" t="s">
        <v>12646</v>
      </c>
      <c r="I5681" t="s">
        <v>17600</v>
      </c>
      <c r="J5681" t="s">
        <v>18894</v>
      </c>
      <c r="K5681">
        <v>11233</v>
      </c>
      <c r="L5681" t="s">
        <v>18958</v>
      </c>
      <c r="M5681" t="s">
        <v>18958</v>
      </c>
      <c r="O5681" t="s">
        <v>26531</v>
      </c>
      <c r="P5681" t="s">
        <v>26565</v>
      </c>
      <c r="R5681" t="s">
        <v>26578</v>
      </c>
      <c r="S5681" t="s">
        <v>18958</v>
      </c>
      <c r="U5681" t="s">
        <v>26604</v>
      </c>
      <c r="V5681" t="s">
        <v>26610</v>
      </c>
      <c r="W5681" t="s">
        <v>747</v>
      </c>
      <c r="X5681">
        <v>1133</v>
      </c>
      <c r="Y5681" t="s">
        <v>26652</v>
      </c>
      <c r="Z5681" t="s">
        <v>26667</v>
      </c>
      <c r="AB5681" t="s">
        <v>30103</v>
      </c>
      <c r="AD5681" t="s">
        <v>40236</v>
      </c>
      <c r="AE5681">
        <v>764</v>
      </c>
      <c r="AF5681" t="s">
        <v>45541</v>
      </c>
      <c r="AG5681" t="s">
        <v>19330</v>
      </c>
      <c r="AH5681">
        <v>36</v>
      </c>
      <c r="AI5681">
        <v>2</v>
      </c>
      <c r="AJ5681">
        <v>0</v>
      </c>
      <c r="AK5681">
        <v>674.16</v>
      </c>
      <c r="AN5681" t="s">
        <v>7439</v>
      </c>
      <c r="AO5681">
        <v>114000</v>
      </c>
      <c r="AP5681" t="s">
        <v>45898</v>
      </c>
      <c r="AU5681">
        <v>0</v>
      </c>
      <c r="AW5681" t="s">
        <v>286</v>
      </c>
    </row>
    <row r="5682" spans="1:50">
      <c r="A5682" s="1">
        <f>HYPERLINK("https://lsnyc.legalserver.org/matter/dynamic-profile/view/1891458","19-1891458")</f>
        <v>0</v>
      </c>
      <c r="B5682" t="s">
        <v>95</v>
      </c>
      <c r="C5682" t="s">
        <v>340</v>
      </c>
      <c r="D5682" t="s">
        <v>757</v>
      </c>
      <c r="F5682" t="s">
        <v>2804</v>
      </c>
      <c r="G5682" t="s">
        <v>7062</v>
      </c>
      <c r="H5682" t="s">
        <v>12646</v>
      </c>
      <c r="I5682" t="s">
        <v>18017</v>
      </c>
      <c r="J5682" t="s">
        <v>18894</v>
      </c>
      <c r="K5682">
        <v>11233</v>
      </c>
      <c r="L5682" t="s">
        <v>18958</v>
      </c>
      <c r="M5682" t="s">
        <v>18958</v>
      </c>
      <c r="O5682" t="s">
        <v>26531</v>
      </c>
      <c r="P5682" t="s">
        <v>26565</v>
      </c>
      <c r="R5682" t="s">
        <v>26578</v>
      </c>
      <c r="S5682" t="s">
        <v>18958</v>
      </c>
      <c r="U5682" t="s">
        <v>26604</v>
      </c>
      <c r="V5682" t="s">
        <v>26610</v>
      </c>
      <c r="W5682" t="s">
        <v>747</v>
      </c>
      <c r="X5682">
        <v>0</v>
      </c>
      <c r="Y5682" t="s">
        <v>26652</v>
      </c>
      <c r="Z5682" t="s">
        <v>26667</v>
      </c>
      <c r="AB5682" t="s">
        <v>29432</v>
      </c>
      <c r="AE5682">
        <v>764</v>
      </c>
      <c r="AF5682" t="s">
        <v>45541</v>
      </c>
      <c r="AG5682" t="s">
        <v>19330</v>
      </c>
      <c r="AH5682">
        <v>0</v>
      </c>
      <c r="AI5682">
        <v>3</v>
      </c>
      <c r="AJ5682">
        <v>0</v>
      </c>
      <c r="AK5682">
        <v>909.52</v>
      </c>
      <c r="AN5682" t="s">
        <v>7439</v>
      </c>
      <c r="AO5682">
        <v>194000</v>
      </c>
      <c r="AP5682" t="s">
        <v>45899</v>
      </c>
      <c r="AU5682">
        <v>0</v>
      </c>
      <c r="AW5682" t="s">
        <v>286</v>
      </c>
    </row>
    <row r="5683" spans="1:50">
      <c r="A5683" s="1">
        <f>HYPERLINK("https://lsnyc.legalserver.org/matter/dynamic-profile/view/1891713","19-1891713")</f>
        <v>0</v>
      </c>
      <c r="B5683" t="s">
        <v>95</v>
      </c>
      <c r="C5683" t="s">
        <v>340</v>
      </c>
      <c r="D5683" t="s">
        <v>723</v>
      </c>
      <c r="F5683" t="s">
        <v>1812</v>
      </c>
      <c r="G5683" t="s">
        <v>5720</v>
      </c>
      <c r="H5683" t="s">
        <v>9692</v>
      </c>
      <c r="I5683" t="s">
        <v>18041</v>
      </c>
      <c r="J5683" t="s">
        <v>18894</v>
      </c>
      <c r="K5683">
        <v>11233</v>
      </c>
      <c r="L5683" t="s">
        <v>18958</v>
      </c>
      <c r="M5683" t="s">
        <v>18958</v>
      </c>
      <c r="N5683" t="s">
        <v>19045</v>
      </c>
      <c r="O5683" t="s">
        <v>26531</v>
      </c>
      <c r="P5683" t="s">
        <v>26565</v>
      </c>
      <c r="R5683" t="s">
        <v>26578</v>
      </c>
      <c r="S5683" t="s">
        <v>18958</v>
      </c>
      <c r="U5683" t="s">
        <v>26604</v>
      </c>
      <c r="V5683" t="s">
        <v>26610</v>
      </c>
      <c r="W5683" t="s">
        <v>747</v>
      </c>
      <c r="X5683">
        <v>1036</v>
      </c>
      <c r="Y5683" t="s">
        <v>26652</v>
      </c>
      <c r="AB5683" t="s">
        <v>28658</v>
      </c>
      <c r="AD5683" t="s">
        <v>40216</v>
      </c>
      <c r="AE5683">
        <v>359</v>
      </c>
      <c r="AF5683" t="s">
        <v>45541</v>
      </c>
      <c r="AG5683" t="s">
        <v>45556</v>
      </c>
      <c r="AH5683">
        <v>13</v>
      </c>
      <c r="AI5683">
        <v>2</v>
      </c>
      <c r="AJ5683">
        <v>4</v>
      </c>
      <c r="AK5683">
        <v>57.82</v>
      </c>
      <c r="AN5683" t="s">
        <v>7439</v>
      </c>
      <c r="AO5683">
        <v>20000</v>
      </c>
      <c r="AP5683" t="s">
        <v>45900</v>
      </c>
      <c r="AU5683">
        <v>0</v>
      </c>
      <c r="AW5683" t="s">
        <v>279</v>
      </c>
    </row>
    <row r="5684" spans="1:50">
      <c r="A5684" s="1">
        <f>HYPERLINK("https://lsnyc.legalserver.org/matter/dynamic-profile/view/1891663","19-1891663")</f>
        <v>0</v>
      </c>
      <c r="B5684" t="s">
        <v>95</v>
      </c>
      <c r="C5684" t="s">
        <v>340</v>
      </c>
      <c r="D5684" t="s">
        <v>723</v>
      </c>
      <c r="F5684" t="s">
        <v>2567</v>
      </c>
      <c r="G5684" t="s">
        <v>6218</v>
      </c>
      <c r="H5684" t="s">
        <v>12646</v>
      </c>
      <c r="I5684" t="s">
        <v>17701</v>
      </c>
      <c r="J5684" t="s">
        <v>18894</v>
      </c>
      <c r="K5684">
        <v>11233</v>
      </c>
      <c r="L5684" t="s">
        <v>18958</v>
      </c>
      <c r="M5684" t="s">
        <v>18959</v>
      </c>
      <c r="N5684" t="s">
        <v>19330</v>
      </c>
      <c r="O5684" t="s">
        <v>26531</v>
      </c>
      <c r="P5684" t="s">
        <v>26565</v>
      </c>
      <c r="R5684" t="s">
        <v>26578</v>
      </c>
      <c r="S5684" t="s">
        <v>18958</v>
      </c>
      <c r="U5684" t="s">
        <v>26604</v>
      </c>
      <c r="V5684" t="s">
        <v>26610</v>
      </c>
      <c r="W5684" t="s">
        <v>747</v>
      </c>
      <c r="X5684">
        <v>802</v>
      </c>
      <c r="Y5684" t="s">
        <v>26652</v>
      </c>
      <c r="AB5684" t="s">
        <v>31046</v>
      </c>
      <c r="AE5684">
        <v>359</v>
      </c>
      <c r="AF5684" t="s">
        <v>45541</v>
      </c>
      <c r="AH5684">
        <v>12</v>
      </c>
      <c r="AI5684">
        <v>2</v>
      </c>
      <c r="AJ5684">
        <v>0</v>
      </c>
      <c r="AK5684">
        <v>65.78</v>
      </c>
      <c r="AN5684" t="s">
        <v>7439</v>
      </c>
      <c r="AO5684">
        <v>11124</v>
      </c>
      <c r="AP5684" t="s">
        <v>45901</v>
      </c>
      <c r="AU5684">
        <v>0</v>
      </c>
      <c r="AW5684" t="s">
        <v>279</v>
      </c>
    </row>
    <row r="5685" spans="1:50">
      <c r="A5685" s="1">
        <f>HYPERLINK("https://lsnyc.legalserver.org/matter/dynamic-profile/view/1891702","19-1891702")</f>
        <v>0</v>
      </c>
      <c r="B5685" t="s">
        <v>95</v>
      </c>
      <c r="C5685" t="s">
        <v>340</v>
      </c>
      <c r="D5685" t="s">
        <v>723</v>
      </c>
      <c r="F5685" t="s">
        <v>948</v>
      </c>
      <c r="G5685" t="s">
        <v>7059</v>
      </c>
      <c r="H5685" t="s">
        <v>9692</v>
      </c>
      <c r="I5685" t="s">
        <v>17553</v>
      </c>
      <c r="J5685" t="s">
        <v>18894</v>
      </c>
      <c r="K5685">
        <v>11233</v>
      </c>
      <c r="L5685" t="s">
        <v>18958</v>
      </c>
      <c r="M5685" t="s">
        <v>18958</v>
      </c>
      <c r="N5685" t="s">
        <v>19330</v>
      </c>
      <c r="O5685" t="s">
        <v>26531</v>
      </c>
      <c r="P5685" t="s">
        <v>26565</v>
      </c>
      <c r="R5685" t="s">
        <v>26578</v>
      </c>
      <c r="S5685" t="s">
        <v>18958</v>
      </c>
      <c r="U5685" t="s">
        <v>26604</v>
      </c>
      <c r="V5685" t="s">
        <v>26610</v>
      </c>
      <c r="W5685" t="s">
        <v>747</v>
      </c>
      <c r="X5685">
        <v>995.08</v>
      </c>
      <c r="Y5685" t="s">
        <v>26652</v>
      </c>
      <c r="AB5685" t="s">
        <v>28688</v>
      </c>
      <c r="AC5685" t="s">
        <v>35628</v>
      </c>
      <c r="AD5685" t="s">
        <v>40039</v>
      </c>
      <c r="AE5685">
        <v>359</v>
      </c>
      <c r="AF5685" t="s">
        <v>45541</v>
      </c>
      <c r="AH5685">
        <v>16</v>
      </c>
      <c r="AI5685">
        <v>2</v>
      </c>
      <c r="AJ5685">
        <v>0</v>
      </c>
      <c r="AK5685">
        <v>81.15000000000001</v>
      </c>
      <c r="AN5685" t="s">
        <v>7439</v>
      </c>
      <c r="AO5685">
        <v>13722.36</v>
      </c>
      <c r="AP5685" t="s">
        <v>45902</v>
      </c>
      <c r="AU5685">
        <v>104.6</v>
      </c>
      <c r="AV5685" t="s">
        <v>814</v>
      </c>
      <c r="AW5685" t="s">
        <v>279</v>
      </c>
    </row>
    <row r="5686" spans="1:50">
      <c r="A5686" s="1">
        <f>HYPERLINK("https://lsnyc.legalserver.org/matter/dynamic-profile/view/1891606","19-1891606")</f>
        <v>0</v>
      </c>
      <c r="B5686" t="s">
        <v>95</v>
      </c>
      <c r="C5686" t="s">
        <v>340</v>
      </c>
      <c r="D5686" t="s">
        <v>723</v>
      </c>
      <c r="F5686" t="s">
        <v>1870</v>
      </c>
      <c r="G5686" t="s">
        <v>7652</v>
      </c>
      <c r="H5686" t="s">
        <v>9692</v>
      </c>
      <c r="I5686" t="s">
        <v>17315</v>
      </c>
      <c r="J5686" t="s">
        <v>18894</v>
      </c>
      <c r="K5686">
        <v>11233</v>
      </c>
      <c r="L5686" t="s">
        <v>18958</v>
      </c>
      <c r="M5686" t="s">
        <v>18959</v>
      </c>
      <c r="N5686" t="s">
        <v>19330</v>
      </c>
      <c r="O5686" t="s">
        <v>26531</v>
      </c>
      <c r="P5686" t="s">
        <v>26565</v>
      </c>
      <c r="R5686" t="s">
        <v>26578</v>
      </c>
      <c r="S5686" t="s">
        <v>18958</v>
      </c>
      <c r="U5686" t="s">
        <v>26604</v>
      </c>
      <c r="V5686" t="s">
        <v>26610</v>
      </c>
      <c r="W5686" t="s">
        <v>747</v>
      </c>
      <c r="X5686">
        <v>820</v>
      </c>
      <c r="Y5686" t="s">
        <v>26652</v>
      </c>
      <c r="AB5686" t="s">
        <v>31047</v>
      </c>
      <c r="AE5686">
        <v>359</v>
      </c>
      <c r="AF5686" t="s">
        <v>45541</v>
      </c>
      <c r="AH5686">
        <v>6</v>
      </c>
      <c r="AI5686">
        <v>1</v>
      </c>
      <c r="AJ5686">
        <v>2</v>
      </c>
      <c r="AK5686">
        <v>97.52</v>
      </c>
      <c r="AN5686" t="s">
        <v>7439</v>
      </c>
      <c r="AO5686">
        <v>20800</v>
      </c>
      <c r="AP5686" t="s">
        <v>45903</v>
      </c>
      <c r="AU5686">
        <v>0</v>
      </c>
      <c r="AW5686" t="s">
        <v>279</v>
      </c>
    </row>
    <row r="5687" spans="1:50">
      <c r="A5687" s="1">
        <f>HYPERLINK("https://lsnyc.legalserver.org/matter/dynamic-profile/view/1891605","19-1891605")</f>
        <v>0</v>
      </c>
      <c r="B5687" t="s">
        <v>95</v>
      </c>
      <c r="C5687" t="s">
        <v>340</v>
      </c>
      <c r="D5687" t="s">
        <v>723</v>
      </c>
      <c r="F5687" t="s">
        <v>3471</v>
      </c>
      <c r="G5687" t="s">
        <v>7766</v>
      </c>
      <c r="H5687" t="s">
        <v>12646</v>
      </c>
      <c r="I5687" t="s">
        <v>17313</v>
      </c>
      <c r="J5687" t="s">
        <v>18894</v>
      </c>
      <c r="K5687">
        <v>11233</v>
      </c>
      <c r="L5687" t="s">
        <v>18958</v>
      </c>
      <c r="M5687" t="s">
        <v>18959</v>
      </c>
      <c r="O5687" t="s">
        <v>26531</v>
      </c>
      <c r="P5687" t="s">
        <v>26565</v>
      </c>
      <c r="R5687" t="s">
        <v>26578</v>
      </c>
      <c r="S5687" t="s">
        <v>18958</v>
      </c>
      <c r="U5687" t="s">
        <v>26604</v>
      </c>
      <c r="V5687" t="s">
        <v>26610</v>
      </c>
      <c r="W5687" t="s">
        <v>747</v>
      </c>
      <c r="X5687">
        <v>1034</v>
      </c>
      <c r="Y5687" t="s">
        <v>26652</v>
      </c>
      <c r="Z5687" t="s">
        <v>26530</v>
      </c>
      <c r="AB5687" t="s">
        <v>31225</v>
      </c>
      <c r="AE5687">
        <v>359</v>
      </c>
      <c r="AF5687" t="s">
        <v>45541</v>
      </c>
      <c r="AG5687" t="s">
        <v>19330</v>
      </c>
      <c r="AH5687">
        <v>37</v>
      </c>
      <c r="AI5687">
        <v>2</v>
      </c>
      <c r="AJ5687">
        <v>0</v>
      </c>
      <c r="AK5687">
        <v>159.67</v>
      </c>
      <c r="AN5687" t="s">
        <v>7439</v>
      </c>
      <c r="AO5687">
        <v>27000</v>
      </c>
      <c r="AP5687" t="s">
        <v>45904</v>
      </c>
      <c r="AU5687">
        <v>0</v>
      </c>
      <c r="AW5687" t="s">
        <v>286</v>
      </c>
    </row>
    <row r="5688" spans="1:50">
      <c r="A5688" s="1">
        <f>HYPERLINK("https://lsnyc.legalserver.org/matter/dynamic-profile/view/1891624","19-1891624")</f>
        <v>0</v>
      </c>
      <c r="B5688" t="s">
        <v>95</v>
      </c>
      <c r="C5688" t="s">
        <v>340</v>
      </c>
      <c r="D5688" t="s">
        <v>723</v>
      </c>
      <c r="F5688" t="s">
        <v>1010</v>
      </c>
      <c r="G5688" t="s">
        <v>4239</v>
      </c>
      <c r="H5688" t="s">
        <v>12646</v>
      </c>
      <c r="I5688" t="s">
        <v>17639</v>
      </c>
      <c r="J5688" t="s">
        <v>18894</v>
      </c>
      <c r="K5688">
        <v>11233</v>
      </c>
      <c r="L5688" t="s">
        <v>18958</v>
      </c>
      <c r="M5688" t="s">
        <v>18959</v>
      </c>
      <c r="O5688" t="s">
        <v>26531</v>
      </c>
      <c r="P5688" t="s">
        <v>26565</v>
      </c>
      <c r="R5688" t="s">
        <v>26578</v>
      </c>
      <c r="S5688" t="s">
        <v>18958</v>
      </c>
      <c r="U5688" t="s">
        <v>26604</v>
      </c>
      <c r="V5688" t="s">
        <v>26610</v>
      </c>
      <c r="W5688" t="s">
        <v>747</v>
      </c>
      <c r="X5688">
        <v>1148.69</v>
      </c>
      <c r="Y5688" t="s">
        <v>26652</v>
      </c>
      <c r="Z5688" t="s">
        <v>26530</v>
      </c>
      <c r="AB5688" t="s">
        <v>31028</v>
      </c>
      <c r="AE5688">
        <v>359</v>
      </c>
      <c r="AF5688" t="s">
        <v>45541</v>
      </c>
      <c r="AG5688" t="s">
        <v>19330</v>
      </c>
      <c r="AH5688">
        <v>34</v>
      </c>
      <c r="AI5688">
        <v>1</v>
      </c>
      <c r="AJ5688">
        <v>0</v>
      </c>
      <c r="AK5688">
        <v>166.73</v>
      </c>
      <c r="AN5688" t="s">
        <v>7439</v>
      </c>
      <c r="AO5688">
        <v>20824.62</v>
      </c>
      <c r="AP5688" t="s">
        <v>45905</v>
      </c>
      <c r="AU5688">
        <v>0</v>
      </c>
      <c r="AW5688" t="s">
        <v>286</v>
      </c>
      <c r="AX5688" t="s">
        <v>19330</v>
      </c>
    </row>
    <row r="5689" spans="1:50">
      <c r="A5689" s="1">
        <f>HYPERLINK("https://lsnyc.legalserver.org/matter/dynamic-profile/view/1891715","19-1891715")</f>
        <v>0</v>
      </c>
      <c r="B5689" t="s">
        <v>95</v>
      </c>
      <c r="C5689" t="s">
        <v>340</v>
      </c>
      <c r="D5689" t="s">
        <v>723</v>
      </c>
      <c r="F5689" t="s">
        <v>1116</v>
      </c>
      <c r="G5689" t="s">
        <v>5173</v>
      </c>
      <c r="H5689" t="s">
        <v>12821</v>
      </c>
      <c r="I5689" t="s">
        <v>17467</v>
      </c>
      <c r="J5689" t="s">
        <v>18894</v>
      </c>
      <c r="K5689">
        <v>11233</v>
      </c>
      <c r="L5689" t="s">
        <v>18958</v>
      </c>
      <c r="M5689" t="s">
        <v>18958</v>
      </c>
      <c r="N5689" t="s">
        <v>19045</v>
      </c>
      <c r="O5689" t="s">
        <v>26531</v>
      </c>
      <c r="P5689" t="s">
        <v>26565</v>
      </c>
      <c r="R5689" t="s">
        <v>26578</v>
      </c>
      <c r="S5689" t="s">
        <v>18958</v>
      </c>
      <c r="U5689" t="s">
        <v>26604</v>
      </c>
      <c r="V5689" t="s">
        <v>26610</v>
      </c>
      <c r="W5689" t="s">
        <v>747</v>
      </c>
      <c r="X5689">
        <v>446</v>
      </c>
      <c r="Y5689" t="s">
        <v>26652</v>
      </c>
      <c r="AB5689" t="s">
        <v>27657</v>
      </c>
      <c r="AD5689" t="s">
        <v>40237</v>
      </c>
      <c r="AE5689">
        <v>359</v>
      </c>
      <c r="AF5689" t="s">
        <v>45541</v>
      </c>
      <c r="AG5689" t="s">
        <v>45556</v>
      </c>
      <c r="AH5689">
        <v>0</v>
      </c>
      <c r="AI5689">
        <v>1</v>
      </c>
      <c r="AJ5689">
        <v>0</v>
      </c>
      <c r="AK5689">
        <v>168.13</v>
      </c>
      <c r="AN5689" t="s">
        <v>7439</v>
      </c>
      <c r="AO5689">
        <v>21000</v>
      </c>
      <c r="AP5689" t="s">
        <v>45906</v>
      </c>
      <c r="AU5689">
        <v>0</v>
      </c>
      <c r="AW5689" t="s">
        <v>279</v>
      </c>
    </row>
    <row r="5690" spans="1:50">
      <c r="A5690" s="1">
        <f>HYPERLINK("https://lsnyc.legalserver.org/matter/dynamic-profile/view/1891718","19-1891718")</f>
        <v>0</v>
      </c>
      <c r="B5690" t="s">
        <v>95</v>
      </c>
      <c r="C5690" t="s">
        <v>340</v>
      </c>
      <c r="D5690" t="s">
        <v>723</v>
      </c>
      <c r="F5690" t="s">
        <v>2803</v>
      </c>
      <c r="G5690" t="s">
        <v>7060</v>
      </c>
      <c r="H5690" t="s">
        <v>9692</v>
      </c>
      <c r="I5690" t="s">
        <v>18016</v>
      </c>
      <c r="J5690" t="s">
        <v>18894</v>
      </c>
      <c r="K5690">
        <v>11233</v>
      </c>
      <c r="L5690" t="s">
        <v>18958</v>
      </c>
      <c r="M5690" t="s">
        <v>18958</v>
      </c>
      <c r="N5690" t="s">
        <v>19045</v>
      </c>
      <c r="O5690" t="s">
        <v>26531</v>
      </c>
      <c r="P5690" t="s">
        <v>26565</v>
      </c>
      <c r="R5690" t="s">
        <v>26578</v>
      </c>
      <c r="S5690" t="s">
        <v>18958</v>
      </c>
      <c r="U5690" t="s">
        <v>26604</v>
      </c>
      <c r="V5690" t="s">
        <v>26610</v>
      </c>
      <c r="W5690" t="s">
        <v>747</v>
      </c>
      <c r="X5690">
        <v>1353.11</v>
      </c>
      <c r="Y5690" t="s">
        <v>26652</v>
      </c>
      <c r="AB5690" t="s">
        <v>29919</v>
      </c>
      <c r="AD5690" t="s">
        <v>40040</v>
      </c>
      <c r="AE5690">
        <v>359</v>
      </c>
      <c r="AF5690" t="s">
        <v>45541</v>
      </c>
      <c r="AG5690" t="s">
        <v>19330</v>
      </c>
      <c r="AH5690">
        <v>24</v>
      </c>
      <c r="AI5690">
        <v>5</v>
      </c>
      <c r="AJ5690">
        <v>0</v>
      </c>
      <c r="AK5690">
        <v>169.71</v>
      </c>
      <c r="AN5690" t="s">
        <v>7439</v>
      </c>
      <c r="AO5690">
        <v>51200</v>
      </c>
      <c r="AP5690" t="s">
        <v>45907</v>
      </c>
      <c r="AU5690">
        <v>0</v>
      </c>
      <c r="AW5690" t="s">
        <v>279</v>
      </c>
    </row>
    <row r="5691" spans="1:50">
      <c r="A5691" s="1">
        <f>HYPERLINK("https://lsnyc.legalserver.org/matter/dynamic-profile/view/1891717","19-1891717")</f>
        <v>0</v>
      </c>
      <c r="B5691" t="s">
        <v>95</v>
      </c>
      <c r="C5691" t="s">
        <v>340</v>
      </c>
      <c r="D5691" t="s">
        <v>723</v>
      </c>
      <c r="F5691" t="s">
        <v>868</v>
      </c>
      <c r="G5691" t="s">
        <v>6564</v>
      </c>
      <c r="H5691" t="s">
        <v>9692</v>
      </c>
      <c r="I5691" t="s">
        <v>18053</v>
      </c>
      <c r="J5691" t="s">
        <v>18894</v>
      </c>
      <c r="K5691">
        <v>11233</v>
      </c>
      <c r="L5691" t="s">
        <v>18958</v>
      </c>
      <c r="M5691" t="s">
        <v>18958</v>
      </c>
      <c r="N5691" t="s">
        <v>19045</v>
      </c>
      <c r="O5691" t="s">
        <v>26531</v>
      </c>
      <c r="P5691" t="s">
        <v>26565</v>
      </c>
      <c r="R5691" t="s">
        <v>26578</v>
      </c>
      <c r="S5691" t="s">
        <v>18958</v>
      </c>
      <c r="U5691" t="s">
        <v>26604</v>
      </c>
      <c r="V5691" t="s">
        <v>26610</v>
      </c>
      <c r="W5691" t="s">
        <v>747</v>
      </c>
      <c r="X5691">
        <v>1076.55</v>
      </c>
      <c r="Y5691" t="s">
        <v>26652</v>
      </c>
      <c r="AB5691" t="s">
        <v>30129</v>
      </c>
      <c r="AD5691" t="s">
        <v>40265</v>
      </c>
      <c r="AE5691">
        <v>359</v>
      </c>
      <c r="AF5691" t="s">
        <v>45541</v>
      </c>
      <c r="AG5691" t="s">
        <v>45559</v>
      </c>
      <c r="AH5691">
        <v>21</v>
      </c>
      <c r="AI5691">
        <v>1</v>
      </c>
      <c r="AJ5691">
        <v>0</v>
      </c>
      <c r="AK5691">
        <v>185.37</v>
      </c>
      <c r="AN5691" t="s">
        <v>7439</v>
      </c>
      <c r="AO5691">
        <v>23152.8</v>
      </c>
      <c r="AP5691" t="s">
        <v>45908</v>
      </c>
      <c r="AU5691">
        <v>0</v>
      </c>
      <c r="AW5691" t="s">
        <v>279</v>
      </c>
    </row>
    <row r="5692" spans="1:50">
      <c r="A5692" s="1">
        <f>HYPERLINK("https://lsnyc.legalserver.org/matter/dynamic-profile/view/1891660","19-1891660")</f>
        <v>0</v>
      </c>
      <c r="B5692" t="s">
        <v>95</v>
      </c>
      <c r="C5692" t="s">
        <v>340</v>
      </c>
      <c r="D5692" t="s">
        <v>723</v>
      </c>
      <c r="F5692" t="s">
        <v>1457</v>
      </c>
      <c r="G5692" t="s">
        <v>6572</v>
      </c>
      <c r="H5692" t="s">
        <v>9692</v>
      </c>
      <c r="I5692" t="s">
        <v>17604</v>
      </c>
      <c r="J5692" t="s">
        <v>18894</v>
      </c>
      <c r="K5692">
        <v>11233</v>
      </c>
      <c r="L5692" t="s">
        <v>18958</v>
      </c>
      <c r="M5692" t="s">
        <v>18959</v>
      </c>
      <c r="N5692" t="s">
        <v>19330</v>
      </c>
      <c r="O5692" t="s">
        <v>26531</v>
      </c>
      <c r="P5692" t="s">
        <v>26565</v>
      </c>
      <c r="R5692" t="s">
        <v>26578</v>
      </c>
      <c r="S5692" t="s">
        <v>18958</v>
      </c>
      <c r="U5692" t="s">
        <v>26604</v>
      </c>
      <c r="V5692" t="s">
        <v>26610</v>
      </c>
      <c r="W5692" t="s">
        <v>747</v>
      </c>
      <c r="X5692">
        <v>1442</v>
      </c>
      <c r="Y5692" t="s">
        <v>26652</v>
      </c>
      <c r="AB5692" t="s">
        <v>30961</v>
      </c>
      <c r="AE5692">
        <v>359</v>
      </c>
      <c r="AF5692" t="s">
        <v>45541</v>
      </c>
      <c r="AH5692">
        <v>28</v>
      </c>
      <c r="AI5692">
        <v>2</v>
      </c>
      <c r="AJ5692">
        <v>0</v>
      </c>
      <c r="AK5692">
        <v>195.15</v>
      </c>
      <c r="AN5692" t="s">
        <v>7439</v>
      </c>
      <c r="AO5692">
        <v>33000</v>
      </c>
      <c r="AP5692" t="s">
        <v>45909</v>
      </c>
      <c r="AU5692">
        <v>0</v>
      </c>
      <c r="AW5692" t="s">
        <v>279</v>
      </c>
    </row>
    <row r="5693" spans="1:50">
      <c r="A5693" s="1">
        <f>HYPERLINK("https://lsnyc.legalserver.org/matter/dynamic-profile/view/1891583","19-1891583")</f>
        <v>0</v>
      </c>
      <c r="B5693" t="s">
        <v>95</v>
      </c>
      <c r="C5693" t="s">
        <v>340</v>
      </c>
      <c r="D5693" t="s">
        <v>723</v>
      </c>
      <c r="F5693" t="s">
        <v>1029</v>
      </c>
      <c r="G5693" t="s">
        <v>7653</v>
      </c>
      <c r="H5693" t="s">
        <v>12646</v>
      </c>
      <c r="I5693" t="s">
        <v>17428</v>
      </c>
      <c r="J5693" t="s">
        <v>18894</v>
      </c>
      <c r="K5693">
        <v>11233</v>
      </c>
      <c r="L5693" t="s">
        <v>18958</v>
      </c>
      <c r="M5693" t="s">
        <v>18959</v>
      </c>
      <c r="N5693" t="s">
        <v>19330</v>
      </c>
      <c r="O5693" t="s">
        <v>26531</v>
      </c>
      <c r="P5693" t="s">
        <v>26565</v>
      </c>
      <c r="R5693" t="s">
        <v>26578</v>
      </c>
      <c r="S5693" t="s">
        <v>18958</v>
      </c>
      <c r="U5693" t="s">
        <v>26604</v>
      </c>
      <c r="V5693" t="s">
        <v>26610</v>
      </c>
      <c r="W5693" t="s">
        <v>747</v>
      </c>
      <c r="X5693">
        <v>811.37</v>
      </c>
      <c r="Y5693" t="s">
        <v>26652</v>
      </c>
      <c r="AB5693" t="s">
        <v>31048</v>
      </c>
      <c r="AE5693">
        <v>359</v>
      </c>
      <c r="AF5693" t="s">
        <v>45541</v>
      </c>
      <c r="AH5693">
        <v>20</v>
      </c>
      <c r="AI5693">
        <v>2</v>
      </c>
      <c r="AJ5693">
        <v>0</v>
      </c>
      <c r="AK5693">
        <v>271.41</v>
      </c>
      <c r="AL5693" t="s">
        <v>672</v>
      </c>
      <c r="AM5693" t="s">
        <v>45575</v>
      </c>
      <c r="AN5693" t="s">
        <v>7439</v>
      </c>
      <c r="AO5693">
        <v>45895</v>
      </c>
      <c r="AP5693" t="s">
        <v>45910</v>
      </c>
      <c r="AU5693">
        <v>0</v>
      </c>
      <c r="AW5693" t="s">
        <v>279</v>
      </c>
    </row>
    <row r="5694" spans="1:50">
      <c r="A5694" s="1">
        <f>HYPERLINK("https://lsnyc.legalserver.org/matter/dynamic-profile/view/1891600","19-1891600")</f>
        <v>0</v>
      </c>
      <c r="B5694" t="s">
        <v>95</v>
      </c>
      <c r="C5694" t="s">
        <v>340</v>
      </c>
      <c r="D5694" t="s">
        <v>723</v>
      </c>
      <c r="F5694" t="s">
        <v>1025</v>
      </c>
      <c r="G5694" t="s">
        <v>7646</v>
      </c>
      <c r="H5694" t="s">
        <v>12646</v>
      </c>
      <c r="I5694" t="s">
        <v>17712</v>
      </c>
      <c r="J5694" t="s">
        <v>18894</v>
      </c>
      <c r="K5694">
        <v>11233</v>
      </c>
      <c r="L5694" t="s">
        <v>18958</v>
      </c>
      <c r="M5694" t="s">
        <v>18959</v>
      </c>
      <c r="O5694" t="s">
        <v>26531</v>
      </c>
      <c r="P5694" t="s">
        <v>26565</v>
      </c>
      <c r="R5694" t="s">
        <v>26578</v>
      </c>
      <c r="S5694" t="s">
        <v>18958</v>
      </c>
      <c r="U5694" t="s">
        <v>26604</v>
      </c>
      <c r="V5694" t="s">
        <v>26610</v>
      </c>
      <c r="W5694" t="s">
        <v>747</v>
      </c>
      <c r="X5694">
        <v>1189.1</v>
      </c>
      <c r="Y5694" t="s">
        <v>26652</v>
      </c>
      <c r="Z5694" t="s">
        <v>26530</v>
      </c>
      <c r="AB5694" t="s">
        <v>31034</v>
      </c>
      <c r="AE5694">
        <v>359</v>
      </c>
      <c r="AF5694" t="s">
        <v>45541</v>
      </c>
      <c r="AG5694" t="s">
        <v>19330</v>
      </c>
      <c r="AH5694">
        <v>44</v>
      </c>
      <c r="AI5694">
        <v>2</v>
      </c>
      <c r="AJ5694">
        <v>0</v>
      </c>
      <c r="AK5694">
        <v>325.25</v>
      </c>
      <c r="AN5694" t="s">
        <v>7439</v>
      </c>
      <c r="AO5694">
        <v>55000</v>
      </c>
      <c r="AP5694" t="s">
        <v>45911</v>
      </c>
      <c r="AU5694">
        <v>0</v>
      </c>
      <c r="AW5694" t="s">
        <v>286</v>
      </c>
    </row>
    <row r="5695" spans="1:50">
      <c r="A5695" s="1">
        <f>HYPERLINK("https://lsnyc.legalserver.org/matter/dynamic-profile/view/1891710","19-1891710")</f>
        <v>0</v>
      </c>
      <c r="B5695" t="s">
        <v>95</v>
      </c>
      <c r="C5695" t="s">
        <v>340</v>
      </c>
      <c r="D5695" t="s">
        <v>723</v>
      </c>
      <c r="F5695" t="s">
        <v>2877</v>
      </c>
      <c r="G5695" t="s">
        <v>7131</v>
      </c>
      <c r="H5695" t="s">
        <v>9692</v>
      </c>
      <c r="I5695" t="s">
        <v>17601</v>
      </c>
      <c r="J5695" t="s">
        <v>18894</v>
      </c>
      <c r="K5695">
        <v>11233</v>
      </c>
      <c r="L5695" t="s">
        <v>18958</v>
      </c>
      <c r="M5695" t="s">
        <v>18958</v>
      </c>
      <c r="N5695" t="s">
        <v>19330</v>
      </c>
      <c r="O5695" t="s">
        <v>26531</v>
      </c>
      <c r="P5695" t="s">
        <v>26565</v>
      </c>
      <c r="R5695" t="s">
        <v>26578</v>
      </c>
      <c r="S5695" t="s">
        <v>18958</v>
      </c>
      <c r="U5695" t="s">
        <v>26604</v>
      </c>
      <c r="V5695" t="s">
        <v>26610</v>
      </c>
      <c r="W5695" t="s">
        <v>747</v>
      </c>
      <c r="X5695">
        <v>583.25</v>
      </c>
      <c r="Y5695" t="s">
        <v>26652</v>
      </c>
      <c r="AB5695" t="s">
        <v>30032</v>
      </c>
      <c r="AD5695" t="s">
        <v>40162</v>
      </c>
      <c r="AE5695">
        <v>359</v>
      </c>
      <c r="AF5695" t="s">
        <v>45541</v>
      </c>
      <c r="AG5695" t="s">
        <v>19330</v>
      </c>
      <c r="AH5695">
        <v>0</v>
      </c>
      <c r="AI5695">
        <v>1</v>
      </c>
      <c r="AJ5695">
        <v>0</v>
      </c>
      <c r="AK5695">
        <v>336.27</v>
      </c>
      <c r="AN5695" t="s">
        <v>7439</v>
      </c>
      <c r="AO5695">
        <v>42000</v>
      </c>
      <c r="AP5695" t="s">
        <v>45912</v>
      </c>
      <c r="AU5695">
        <v>0</v>
      </c>
      <c r="AW5695" t="s">
        <v>279</v>
      </c>
    </row>
    <row r="5696" spans="1:50">
      <c r="A5696" s="1">
        <f>HYPERLINK("https://lsnyc.legalserver.org/matter/dynamic-profile/view/1891599","19-1891599")</f>
        <v>0</v>
      </c>
      <c r="B5696" t="s">
        <v>95</v>
      </c>
      <c r="C5696" t="s">
        <v>340</v>
      </c>
      <c r="D5696" t="s">
        <v>723</v>
      </c>
      <c r="F5696" t="s">
        <v>3394</v>
      </c>
      <c r="G5696" t="s">
        <v>5857</v>
      </c>
      <c r="H5696" t="s">
        <v>9692</v>
      </c>
      <c r="I5696" t="s">
        <v>17362</v>
      </c>
      <c r="J5696" t="s">
        <v>18894</v>
      </c>
      <c r="K5696">
        <v>11233</v>
      </c>
      <c r="L5696" t="s">
        <v>18958</v>
      </c>
      <c r="M5696" t="s">
        <v>18959</v>
      </c>
      <c r="N5696" t="s">
        <v>19330</v>
      </c>
      <c r="O5696" t="s">
        <v>26531</v>
      </c>
      <c r="P5696" t="s">
        <v>26565</v>
      </c>
      <c r="R5696" t="s">
        <v>26578</v>
      </c>
      <c r="S5696" t="s">
        <v>18958</v>
      </c>
      <c r="U5696" t="s">
        <v>26604</v>
      </c>
      <c r="V5696" t="s">
        <v>26610</v>
      </c>
      <c r="W5696" t="s">
        <v>747</v>
      </c>
      <c r="X5696">
        <v>1038.66</v>
      </c>
      <c r="Y5696" t="s">
        <v>26652</v>
      </c>
      <c r="AB5696" t="s">
        <v>31049</v>
      </c>
      <c r="AE5696">
        <v>359</v>
      </c>
      <c r="AF5696" t="s">
        <v>45541</v>
      </c>
      <c r="AH5696">
        <v>50</v>
      </c>
      <c r="AI5696">
        <v>2</v>
      </c>
      <c r="AJ5696">
        <v>0</v>
      </c>
      <c r="AK5696">
        <v>366.65</v>
      </c>
      <c r="AN5696" t="s">
        <v>7439</v>
      </c>
      <c r="AO5696">
        <v>62000</v>
      </c>
      <c r="AP5696" t="s">
        <v>45913</v>
      </c>
      <c r="AU5696">
        <v>0</v>
      </c>
      <c r="AW5696" t="s">
        <v>279</v>
      </c>
    </row>
    <row r="5697" spans="1:50">
      <c r="A5697" s="1">
        <f>HYPERLINK("https://lsnyc.legalserver.org/matter/dynamic-profile/view/1891616","19-1891616")</f>
        <v>0</v>
      </c>
      <c r="B5697" t="s">
        <v>95</v>
      </c>
      <c r="C5697" t="s">
        <v>340</v>
      </c>
      <c r="D5697" t="s">
        <v>723</v>
      </c>
      <c r="F5697" t="s">
        <v>1705</v>
      </c>
      <c r="G5697" t="s">
        <v>7647</v>
      </c>
      <c r="H5697" t="s">
        <v>12646</v>
      </c>
      <c r="I5697" t="s">
        <v>18213</v>
      </c>
      <c r="J5697" t="s">
        <v>18894</v>
      </c>
      <c r="K5697">
        <v>11233</v>
      </c>
      <c r="L5697" t="s">
        <v>18958</v>
      </c>
      <c r="M5697" t="s">
        <v>18959</v>
      </c>
      <c r="O5697" t="s">
        <v>26531</v>
      </c>
      <c r="P5697" t="s">
        <v>26565</v>
      </c>
      <c r="R5697" t="s">
        <v>26578</v>
      </c>
      <c r="S5697" t="s">
        <v>18958</v>
      </c>
      <c r="U5697" t="s">
        <v>26604</v>
      </c>
      <c r="V5697" t="s">
        <v>26610</v>
      </c>
      <c r="W5697" t="s">
        <v>747</v>
      </c>
      <c r="X5697">
        <v>1534.37</v>
      </c>
      <c r="Y5697" t="s">
        <v>26652</v>
      </c>
      <c r="Z5697" t="s">
        <v>26530</v>
      </c>
      <c r="AB5697" t="s">
        <v>31035</v>
      </c>
      <c r="AE5697">
        <v>359</v>
      </c>
      <c r="AF5697" t="s">
        <v>45541</v>
      </c>
      <c r="AG5697" t="s">
        <v>19330</v>
      </c>
      <c r="AH5697">
        <v>3</v>
      </c>
      <c r="AI5697">
        <v>2</v>
      </c>
      <c r="AJ5697">
        <v>0</v>
      </c>
      <c r="AK5697">
        <v>384.39</v>
      </c>
      <c r="AL5697" t="s">
        <v>672</v>
      </c>
      <c r="AM5697" t="s">
        <v>45575</v>
      </c>
      <c r="AN5697" t="s">
        <v>7439</v>
      </c>
      <c r="AO5697">
        <v>65000</v>
      </c>
      <c r="AP5697" t="s">
        <v>45914</v>
      </c>
      <c r="AU5697">
        <v>0</v>
      </c>
      <c r="AW5697" t="s">
        <v>286</v>
      </c>
    </row>
    <row r="5698" spans="1:50">
      <c r="A5698" s="1">
        <f>HYPERLINK("https://lsnyc.legalserver.org/matter/dynamic-profile/view/1891589","19-1891589")</f>
        <v>0</v>
      </c>
      <c r="B5698" t="s">
        <v>95</v>
      </c>
      <c r="C5698" t="s">
        <v>340</v>
      </c>
      <c r="D5698" t="s">
        <v>723</v>
      </c>
      <c r="F5698" t="s">
        <v>3395</v>
      </c>
      <c r="G5698" t="s">
        <v>7654</v>
      </c>
      <c r="H5698" t="s">
        <v>12646</v>
      </c>
      <c r="I5698" t="s">
        <v>17361</v>
      </c>
      <c r="J5698" t="s">
        <v>18894</v>
      </c>
      <c r="K5698">
        <v>11233</v>
      </c>
      <c r="L5698" t="s">
        <v>18958</v>
      </c>
      <c r="M5698" t="s">
        <v>18959</v>
      </c>
      <c r="N5698" t="s">
        <v>19330</v>
      </c>
      <c r="O5698" t="s">
        <v>26531</v>
      </c>
      <c r="P5698" t="s">
        <v>26565</v>
      </c>
      <c r="R5698" t="s">
        <v>26578</v>
      </c>
      <c r="S5698" t="s">
        <v>18958</v>
      </c>
      <c r="U5698" t="s">
        <v>26604</v>
      </c>
      <c r="V5698" t="s">
        <v>26610</v>
      </c>
      <c r="W5698" t="s">
        <v>747</v>
      </c>
      <c r="X5698">
        <v>1485</v>
      </c>
      <c r="Y5698" t="s">
        <v>26652</v>
      </c>
      <c r="AB5698" t="s">
        <v>27100</v>
      </c>
      <c r="AE5698">
        <v>359</v>
      </c>
      <c r="AF5698" t="s">
        <v>45541</v>
      </c>
      <c r="AH5698">
        <v>2</v>
      </c>
      <c r="AI5698">
        <v>1</v>
      </c>
      <c r="AJ5698">
        <v>0</v>
      </c>
      <c r="AK5698">
        <v>416.33</v>
      </c>
      <c r="AN5698" t="s">
        <v>7439</v>
      </c>
      <c r="AO5698">
        <v>52000</v>
      </c>
      <c r="AP5698" t="s">
        <v>45915</v>
      </c>
      <c r="AU5698">
        <v>0</v>
      </c>
      <c r="AW5698" t="s">
        <v>279</v>
      </c>
    </row>
    <row r="5699" spans="1:50">
      <c r="A5699" s="1">
        <f>HYPERLINK("https://lsnyc.legalserver.org/matter/dynamic-profile/view/1891597","19-1891597")</f>
        <v>0</v>
      </c>
      <c r="B5699" t="s">
        <v>95</v>
      </c>
      <c r="C5699" t="s">
        <v>340</v>
      </c>
      <c r="D5699" t="s">
        <v>723</v>
      </c>
      <c r="F5699" t="s">
        <v>3388</v>
      </c>
      <c r="G5699" t="s">
        <v>7648</v>
      </c>
      <c r="H5699" t="s">
        <v>12646</v>
      </c>
      <c r="I5699" t="s">
        <v>17338</v>
      </c>
      <c r="J5699" t="s">
        <v>18894</v>
      </c>
      <c r="K5699">
        <v>11233</v>
      </c>
      <c r="L5699" t="s">
        <v>18958</v>
      </c>
      <c r="M5699" t="s">
        <v>18959</v>
      </c>
      <c r="O5699" t="s">
        <v>26531</v>
      </c>
      <c r="P5699" t="s">
        <v>26565</v>
      </c>
      <c r="R5699" t="s">
        <v>26578</v>
      </c>
      <c r="S5699" t="s">
        <v>18958</v>
      </c>
      <c r="U5699" t="s">
        <v>26604</v>
      </c>
      <c r="V5699" t="s">
        <v>26610</v>
      </c>
      <c r="W5699" t="s">
        <v>747</v>
      </c>
      <c r="X5699">
        <v>1520</v>
      </c>
      <c r="Y5699" t="s">
        <v>26652</v>
      </c>
      <c r="Z5699" t="s">
        <v>26666</v>
      </c>
      <c r="AB5699" t="s">
        <v>31037</v>
      </c>
      <c r="AE5699">
        <v>359</v>
      </c>
      <c r="AF5699" t="s">
        <v>45541</v>
      </c>
      <c r="AG5699" t="s">
        <v>19330</v>
      </c>
      <c r="AH5699">
        <v>2</v>
      </c>
      <c r="AI5699">
        <v>2</v>
      </c>
      <c r="AJ5699">
        <v>0</v>
      </c>
      <c r="AK5699">
        <v>437.61</v>
      </c>
      <c r="AN5699" t="s">
        <v>7439</v>
      </c>
      <c r="AO5699">
        <v>74000</v>
      </c>
      <c r="AP5699" t="s">
        <v>45916</v>
      </c>
      <c r="AU5699">
        <v>0</v>
      </c>
      <c r="AW5699" t="s">
        <v>286</v>
      </c>
    </row>
    <row r="5700" spans="1:50">
      <c r="A5700" s="1">
        <f>HYPERLINK("https://lsnyc.legalserver.org/matter/dynamic-profile/view/1891590","19-1891590")</f>
        <v>0</v>
      </c>
      <c r="B5700" t="s">
        <v>95</v>
      </c>
      <c r="C5700" t="s">
        <v>340</v>
      </c>
      <c r="D5700" t="s">
        <v>723</v>
      </c>
      <c r="F5700" t="s">
        <v>2517</v>
      </c>
      <c r="G5700" t="s">
        <v>6311</v>
      </c>
      <c r="H5700" t="s">
        <v>12646</v>
      </c>
      <c r="I5700" t="s">
        <v>18214</v>
      </c>
      <c r="J5700" t="s">
        <v>18894</v>
      </c>
      <c r="K5700">
        <v>11233</v>
      </c>
      <c r="L5700" t="s">
        <v>18958</v>
      </c>
      <c r="M5700" t="s">
        <v>18959</v>
      </c>
      <c r="O5700" t="s">
        <v>26531</v>
      </c>
      <c r="P5700" t="s">
        <v>26565</v>
      </c>
      <c r="R5700" t="s">
        <v>26578</v>
      </c>
      <c r="S5700" t="s">
        <v>18958</v>
      </c>
      <c r="U5700" t="s">
        <v>26604</v>
      </c>
      <c r="V5700" t="s">
        <v>26610</v>
      </c>
      <c r="W5700" t="s">
        <v>747</v>
      </c>
      <c r="X5700">
        <v>1094.88</v>
      </c>
      <c r="Y5700" t="s">
        <v>26652</v>
      </c>
      <c r="Z5700" t="s">
        <v>26530</v>
      </c>
      <c r="AB5700" t="s">
        <v>27796</v>
      </c>
      <c r="AE5700">
        <v>359</v>
      </c>
      <c r="AF5700" t="s">
        <v>45541</v>
      </c>
      <c r="AG5700" t="s">
        <v>19330</v>
      </c>
      <c r="AH5700">
        <v>40</v>
      </c>
      <c r="AI5700">
        <v>1</v>
      </c>
      <c r="AJ5700">
        <v>0</v>
      </c>
      <c r="AK5700">
        <v>440.35</v>
      </c>
      <c r="AN5700" t="s">
        <v>7439</v>
      </c>
      <c r="AO5700">
        <v>55000</v>
      </c>
      <c r="AP5700" t="s">
        <v>45917</v>
      </c>
      <c r="AU5700">
        <v>0</v>
      </c>
      <c r="AW5700" t="s">
        <v>286</v>
      </c>
    </row>
    <row r="5701" spans="1:50">
      <c r="A5701" s="1">
        <f>HYPERLINK("https://lsnyc.legalserver.org/matter/dynamic-profile/view/1891610","19-1891610")</f>
        <v>0</v>
      </c>
      <c r="B5701" t="s">
        <v>95</v>
      </c>
      <c r="C5701" t="s">
        <v>340</v>
      </c>
      <c r="D5701" t="s">
        <v>723</v>
      </c>
      <c r="F5701" t="s">
        <v>3389</v>
      </c>
      <c r="G5701" t="s">
        <v>3599</v>
      </c>
      <c r="H5701" t="s">
        <v>12646</v>
      </c>
      <c r="I5701" t="s">
        <v>18215</v>
      </c>
      <c r="J5701" t="s">
        <v>18894</v>
      </c>
      <c r="K5701">
        <v>11233</v>
      </c>
      <c r="L5701" t="s">
        <v>18958</v>
      </c>
      <c r="M5701" t="s">
        <v>18959</v>
      </c>
      <c r="O5701" t="s">
        <v>26531</v>
      </c>
      <c r="P5701" t="s">
        <v>26565</v>
      </c>
      <c r="R5701" t="s">
        <v>26578</v>
      </c>
      <c r="S5701" t="s">
        <v>18958</v>
      </c>
      <c r="U5701" t="s">
        <v>26604</v>
      </c>
      <c r="V5701" t="s">
        <v>26610</v>
      </c>
      <c r="W5701" t="s">
        <v>747</v>
      </c>
      <c r="X5701">
        <v>1077</v>
      </c>
      <c r="Y5701" t="s">
        <v>26652</v>
      </c>
      <c r="Z5701" t="s">
        <v>26666</v>
      </c>
      <c r="AB5701" t="s">
        <v>28092</v>
      </c>
      <c r="AE5701">
        <v>359</v>
      </c>
      <c r="AF5701" t="s">
        <v>45541</v>
      </c>
      <c r="AG5701" t="s">
        <v>19330</v>
      </c>
      <c r="AH5701">
        <v>12</v>
      </c>
      <c r="AI5701">
        <v>2</v>
      </c>
      <c r="AJ5701">
        <v>2</v>
      </c>
      <c r="AK5701">
        <v>446.6</v>
      </c>
      <c r="AN5701" t="s">
        <v>7439</v>
      </c>
      <c r="AO5701">
        <v>115000</v>
      </c>
      <c r="AP5701" t="s">
        <v>45918</v>
      </c>
      <c r="AU5701">
        <v>0</v>
      </c>
      <c r="AW5701" t="s">
        <v>286</v>
      </c>
    </row>
    <row r="5702" spans="1:50">
      <c r="A5702" s="1">
        <f>HYPERLINK("https://lsnyc.legalserver.org/matter/dynamic-profile/view/1891802","19-1891802")</f>
        <v>0</v>
      </c>
      <c r="B5702" t="s">
        <v>95</v>
      </c>
      <c r="C5702" t="s">
        <v>341</v>
      </c>
      <c r="D5702" t="s">
        <v>728</v>
      </c>
      <c r="E5702" t="s">
        <v>574</v>
      </c>
      <c r="F5702" t="s">
        <v>939</v>
      </c>
      <c r="G5702" t="s">
        <v>7775</v>
      </c>
      <c r="H5702" t="s">
        <v>9692</v>
      </c>
      <c r="I5702" t="s">
        <v>17397</v>
      </c>
      <c r="J5702" t="s">
        <v>18894</v>
      </c>
      <c r="K5702">
        <v>11233</v>
      </c>
      <c r="L5702" t="s">
        <v>18958</v>
      </c>
      <c r="M5702" t="s">
        <v>18958</v>
      </c>
      <c r="O5702" t="s">
        <v>26531</v>
      </c>
      <c r="P5702" t="s">
        <v>26562</v>
      </c>
      <c r="Q5702" t="s">
        <v>26569</v>
      </c>
      <c r="R5702" t="s">
        <v>26578</v>
      </c>
      <c r="S5702" t="s">
        <v>18958</v>
      </c>
      <c r="U5702" t="s">
        <v>26604</v>
      </c>
      <c r="V5702" t="s">
        <v>26610</v>
      </c>
      <c r="W5702" t="s">
        <v>747</v>
      </c>
      <c r="X5702">
        <v>0</v>
      </c>
      <c r="Y5702" t="s">
        <v>26652</v>
      </c>
      <c r="AA5702" t="s">
        <v>26687</v>
      </c>
      <c r="AC5702" t="s">
        <v>19330</v>
      </c>
      <c r="AE5702">
        <v>359</v>
      </c>
      <c r="AF5702" t="s">
        <v>45541</v>
      </c>
      <c r="AG5702" t="s">
        <v>19330</v>
      </c>
      <c r="AH5702">
        <v>0</v>
      </c>
      <c r="AI5702">
        <v>1</v>
      </c>
      <c r="AJ5702">
        <v>0</v>
      </c>
      <c r="AK5702">
        <v>320.26</v>
      </c>
      <c r="AN5702" t="s">
        <v>7439</v>
      </c>
      <c r="AO5702">
        <v>40000</v>
      </c>
      <c r="AU5702">
        <v>0.25</v>
      </c>
      <c r="AV5702" t="s">
        <v>574</v>
      </c>
      <c r="AW5702" t="s">
        <v>279</v>
      </c>
    </row>
    <row r="5703" spans="1:50">
      <c r="A5703" s="1">
        <f>HYPERLINK("https://lsnyc.legalserver.org/matter/dynamic-profile/view/1891856","19-1891856")</f>
        <v>0</v>
      </c>
      <c r="B5703" t="s">
        <v>95</v>
      </c>
      <c r="C5703" t="s">
        <v>340</v>
      </c>
      <c r="D5703" t="s">
        <v>728</v>
      </c>
      <c r="F5703" t="s">
        <v>974</v>
      </c>
      <c r="G5703" t="s">
        <v>7640</v>
      </c>
      <c r="H5703" t="s">
        <v>9692</v>
      </c>
      <c r="I5703" t="s">
        <v>17540</v>
      </c>
      <c r="J5703" t="s">
        <v>18894</v>
      </c>
      <c r="K5703">
        <v>11233</v>
      </c>
      <c r="L5703" t="s">
        <v>18958</v>
      </c>
      <c r="M5703" t="s">
        <v>18959</v>
      </c>
      <c r="N5703" t="s">
        <v>19330</v>
      </c>
      <c r="O5703" t="s">
        <v>26531</v>
      </c>
      <c r="P5703" t="s">
        <v>26565</v>
      </c>
      <c r="R5703" t="s">
        <v>26578</v>
      </c>
      <c r="S5703" t="s">
        <v>18958</v>
      </c>
      <c r="U5703" t="s">
        <v>26604</v>
      </c>
      <c r="V5703" t="s">
        <v>26610</v>
      </c>
      <c r="W5703" t="s">
        <v>747</v>
      </c>
      <c r="X5703">
        <v>923</v>
      </c>
      <c r="Y5703" t="s">
        <v>26652</v>
      </c>
      <c r="AB5703" t="s">
        <v>31026</v>
      </c>
      <c r="AE5703">
        <v>359</v>
      </c>
      <c r="AF5703" t="s">
        <v>45541</v>
      </c>
      <c r="AG5703" t="s">
        <v>45556</v>
      </c>
      <c r="AH5703">
        <v>0</v>
      </c>
      <c r="AI5703">
        <v>2</v>
      </c>
      <c r="AJ5703">
        <v>2</v>
      </c>
      <c r="AK5703">
        <v>43.01</v>
      </c>
      <c r="AN5703" t="s">
        <v>7439</v>
      </c>
      <c r="AO5703">
        <v>11076</v>
      </c>
      <c r="AP5703" t="s">
        <v>45919</v>
      </c>
      <c r="AU5703">
        <v>0</v>
      </c>
      <c r="AW5703" t="s">
        <v>279</v>
      </c>
    </row>
    <row r="5704" spans="1:50">
      <c r="A5704" s="1">
        <f>HYPERLINK("https://lsnyc.legalserver.org/matter/dynamic-profile/view/1891865","19-1891865")</f>
        <v>0</v>
      </c>
      <c r="B5704" t="s">
        <v>95</v>
      </c>
      <c r="C5704" t="s">
        <v>340</v>
      </c>
      <c r="D5704" t="s">
        <v>728</v>
      </c>
      <c r="F5704" t="s">
        <v>3385</v>
      </c>
      <c r="G5704" t="s">
        <v>7641</v>
      </c>
      <c r="H5704" t="s">
        <v>9692</v>
      </c>
      <c r="I5704" t="s">
        <v>18209</v>
      </c>
      <c r="J5704" t="s">
        <v>18894</v>
      </c>
      <c r="K5704">
        <v>11233</v>
      </c>
      <c r="L5704" t="s">
        <v>18958</v>
      </c>
      <c r="M5704" t="s">
        <v>18959</v>
      </c>
      <c r="N5704" t="s">
        <v>19330</v>
      </c>
      <c r="O5704" t="s">
        <v>26531</v>
      </c>
      <c r="P5704" t="s">
        <v>26565</v>
      </c>
      <c r="R5704" t="s">
        <v>26578</v>
      </c>
      <c r="S5704" t="s">
        <v>18958</v>
      </c>
      <c r="U5704" t="s">
        <v>26604</v>
      </c>
      <c r="V5704" t="s">
        <v>26610</v>
      </c>
      <c r="W5704" t="s">
        <v>747</v>
      </c>
      <c r="X5704">
        <v>915</v>
      </c>
      <c r="Y5704" t="s">
        <v>26652</v>
      </c>
      <c r="AB5704" t="s">
        <v>31027</v>
      </c>
      <c r="AE5704">
        <v>359</v>
      </c>
      <c r="AF5704" t="s">
        <v>45541</v>
      </c>
      <c r="AG5704" t="s">
        <v>19330</v>
      </c>
      <c r="AH5704">
        <v>6</v>
      </c>
      <c r="AI5704">
        <v>2</v>
      </c>
      <c r="AJ5704">
        <v>2</v>
      </c>
      <c r="AK5704">
        <v>129.51</v>
      </c>
      <c r="AN5704" t="s">
        <v>7439</v>
      </c>
      <c r="AO5704">
        <v>33348</v>
      </c>
      <c r="AP5704" t="s">
        <v>45920</v>
      </c>
      <c r="AU5704">
        <v>0</v>
      </c>
      <c r="AW5704" t="s">
        <v>279</v>
      </c>
    </row>
    <row r="5705" spans="1:50">
      <c r="A5705" s="1">
        <f>HYPERLINK("https://lsnyc.legalserver.org/matter/dynamic-profile/view/1891875","19-1891875")</f>
        <v>0</v>
      </c>
      <c r="B5705" t="s">
        <v>95</v>
      </c>
      <c r="C5705" t="s">
        <v>340</v>
      </c>
      <c r="D5705" t="s">
        <v>728</v>
      </c>
      <c r="F5705" t="s">
        <v>2086</v>
      </c>
      <c r="G5705" t="s">
        <v>7642</v>
      </c>
      <c r="H5705" t="s">
        <v>9692</v>
      </c>
      <c r="I5705" t="s">
        <v>17825</v>
      </c>
      <c r="J5705" t="s">
        <v>18894</v>
      </c>
      <c r="K5705">
        <v>11233</v>
      </c>
      <c r="L5705" t="s">
        <v>18958</v>
      </c>
      <c r="M5705" t="s">
        <v>18959</v>
      </c>
      <c r="N5705" t="s">
        <v>19045</v>
      </c>
      <c r="O5705" t="s">
        <v>26531</v>
      </c>
      <c r="P5705" t="s">
        <v>26565</v>
      </c>
      <c r="R5705" t="s">
        <v>26578</v>
      </c>
      <c r="S5705" t="s">
        <v>18958</v>
      </c>
      <c r="U5705" t="s">
        <v>26604</v>
      </c>
      <c r="V5705" t="s">
        <v>26610</v>
      </c>
      <c r="W5705" t="s">
        <v>747</v>
      </c>
      <c r="X5705">
        <v>1200</v>
      </c>
      <c r="Y5705" t="s">
        <v>26652</v>
      </c>
      <c r="AB5705" t="s">
        <v>31029</v>
      </c>
      <c r="AE5705">
        <v>359</v>
      </c>
      <c r="AF5705" t="s">
        <v>45541</v>
      </c>
      <c r="AG5705" t="s">
        <v>19330</v>
      </c>
      <c r="AH5705">
        <v>10</v>
      </c>
      <c r="AI5705">
        <v>3</v>
      </c>
      <c r="AJ5705">
        <v>1</v>
      </c>
      <c r="AK5705">
        <v>174.76</v>
      </c>
      <c r="AN5705" t="s">
        <v>7439</v>
      </c>
      <c r="AO5705">
        <v>45000</v>
      </c>
      <c r="AP5705" t="s">
        <v>45921</v>
      </c>
      <c r="AU5705">
        <v>0</v>
      </c>
      <c r="AW5705" t="s">
        <v>279</v>
      </c>
    </row>
    <row r="5706" spans="1:50">
      <c r="A5706" s="1">
        <f>HYPERLINK("https://lsnyc.legalserver.org/matter/dynamic-profile/view/1891871","19-1891871")</f>
        <v>0</v>
      </c>
      <c r="B5706" t="s">
        <v>95</v>
      </c>
      <c r="C5706" t="s">
        <v>340</v>
      </c>
      <c r="D5706" t="s">
        <v>728</v>
      </c>
      <c r="F5706" t="s">
        <v>1002</v>
      </c>
      <c r="G5706" t="s">
        <v>6908</v>
      </c>
      <c r="H5706" t="s">
        <v>9692</v>
      </c>
      <c r="I5706" t="s">
        <v>18008</v>
      </c>
      <c r="J5706" t="s">
        <v>18894</v>
      </c>
      <c r="K5706">
        <v>11233</v>
      </c>
      <c r="L5706" t="s">
        <v>18958</v>
      </c>
      <c r="M5706" t="s">
        <v>18959</v>
      </c>
      <c r="N5706" t="s">
        <v>19330</v>
      </c>
      <c r="O5706" t="s">
        <v>26531</v>
      </c>
      <c r="P5706" t="s">
        <v>26565</v>
      </c>
      <c r="R5706" t="s">
        <v>26578</v>
      </c>
      <c r="S5706" t="s">
        <v>18958</v>
      </c>
      <c r="U5706" t="s">
        <v>26604</v>
      </c>
      <c r="V5706" t="s">
        <v>26610</v>
      </c>
      <c r="W5706" t="s">
        <v>747</v>
      </c>
      <c r="X5706">
        <v>875</v>
      </c>
      <c r="Y5706" t="s">
        <v>26652</v>
      </c>
      <c r="AB5706" t="s">
        <v>31109</v>
      </c>
      <c r="AC5706" t="s">
        <v>19330</v>
      </c>
      <c r="AE5706">
        <v>359</v>
      </c>
      <c r="AF5706" t="s">
        <v>45541</v>
      </c>
      <c r="AG5706" t="s">
        <v>19330</v>
      </c>
      <c r="AH5706">
        <v>40</v>
      </c>
      <c r="AI5706">
        <v>1</v>
      </c>
      <c r="AJ5706">
        <v>0</v>
      </c>
      <c r="AK5706">
        <v>176.86</v>
      </c>
      <c r="AN5706" t="s">
        <v>7439</v>
      </c>
      <c r="AO5706">
        <v>22090</v>
      </c>
      <c r="AP5706" t="s">
        <v>45851</v>
      </c>
      <c r="AU5706">
        <v>0</v>
      </c>
      <c r="AW5706" t="s">
        <v>279</v>
      </c>
      <c r="AX5706" t="s">
        <v>19330</v>
      </c>
    </row>
    <row r="5707" spans="1:50">
      <c r="A5707" s="1">
        <f>HYPERLINK("https://lsnyc.legalserver.org/matter/dynamic-profile/view/1891872","19-1891872")</f>
        <v>0</v>
      </c>
      <c r="B5707" t="s">
        <v>95</v>
      </c>
      <c r="C5707" t="s">
        <v>340</v>
      </c>
      <c r="D5707" t="s">
        <v>728</v>
      </c>
      <c r="F5707" t="s">
        <v>1706</v>
      </c>
      <c r="G5707" t="s">
        <v>7643</v>
      </c>
      <c r="H5707" t="s">
        <v>9692</v>
      </c>
      <c r="I5707" t="s">
        <v>18210</v>
      </c>
      <c r="J5707" t="s">
        <v>18894</v>
      </c>
      <c r="K5707">
        <v>11233</v>
      </c>
      <c r="L5707" t="s">
        <v>18958</v>
      </c>
      <c r="M5707" t="s">
        <v>18959</v>
      </c>
      <c r="N5707" t="s">
        <v>19330</v>
      </c>
      <c r="O5707" t="s">
        <v>26531</v>
      </c>
      <c r="P5707" t="s">
        <v>26565</v>
      </c>
      <c r="R5707" t="s">
        <v>26578</v>
      </c>
      <c r="S5707" t="s">
        <v>18958</v>
      </c>
      <c r="U5707" t="s">
        <v>26604</v>
      </c>
      <c r="V5707" t="s">
        <v>26610</v>
      </c>
      <c r="W5707" t="s">
        <v>747</v>
      </c>
      <c r="X5707">
        <v>965.96</v>
      </c>
      <c r="Y5707" t="s">
        <v>26652</v>
      </c>
      <c r="AB5707" t="s">
        <v>31030</v>
      </c>
      <c r="AE5707">
        <v>359</v>
      </c>
      <c r="AF5707" t="s">
        <v>45541</v>
      </c>
      <c r="AH5707">
        <v>42</v>
      </c>
      <c r="AI5707">
        <v>1</v>
      </c>
      <c r="AJ5707">
        <v>0</v>
      </c>
      <c r="AK5707">
        <v>192.53</v>
      </c>
      <c r="AN5707" t="s">
        <v>7439</v>
      </c>
      <c r="AO5707">
        <v>24046.8</v>
      </c>
      <c r="AP5707" t="s">
        <v>45922</v>
      </c>
      <c r="AU5707">
        <v>0</v>
      </c>
      <c r="AW5707" t="s">
        <v>279</v>
      </c>
    </row>
    <row r="5708" spans="1:50">
      <c r="A5708" s="1">
        <f>HYPERLINK("https://lsnyc.legalserver.org/matter/dynamic-profile/view/1891859","19-1891859")</f>
        <v>0</v>
      </c>
      <c r="B5708" t="s">
        <v>95</v>
      </c>
      <c r="C5708" t="s">
        <v>340</v>
      </c>
      <c r="D5708" t="s">
        <v>728</v>
      </c>
      <c r="F5708" t="s">
        <v>1745</v>
      </c>
      <c r="G5708" t="s">
        <v>7644</v>
      </c>
      <c r="H5708" t="s">
        <v>9692</v>
      </c>
      <c r="I5708" t="s">
        <v>17281</v>
      </c>
      <c r="J5708" t="s">
        <v>18894</v>
      </c>
      <c r="K5708">
        <v>11233</v>
      </c>
      <c r="L5708" t="s">
        <v>18958</v>
      </c>
      <c r="M5708" t="s">
        <v>18959</v>
      </c>
      <c r="N5708" t="s">
        <v>19330</v>
      </c>
      <c r="O5708" t="s">
        <v>26531</v>
      </c>
      <c r="P5708" t="s">
        <v>26565</v>
      </c>
      <c r="R5708" t="s">
        <v>26578</v>
      </c>
      <c r="S5708" t="s">
        <v>18958</v>
      </c>
      <c r="U5708" t="s">
        <v>26604</v>
      </c>
      <c r="V5708" t="s">
        <v>26610</v>
      </c>
      <c r="W5708" t="s">
        <v>747</v>
      </c>
      <c r="X5708">
        <v>950</v>
      </c>
      <c r="Y5708" t="s">
        <v>26652</v>
      </c>
      <c r="AB5708" t="s">
        <v>31031</v>
      </c>
      <c r="AE5708">
        <v>359</v>
      </c>
      <c r="AF5708" t="s">
        <v>45541</v>
      </c>
      <c r="AG5708" t="s">
        <v>19330</v>
      </c>
      <c r="AH5708">
        <v>15</v>
      </c>
      <c r="AI5708">
        <v>4</v>
      </c>
      <c r="AJ5708">
        <v>0</v>
      </c>
      <c r="AK5708">
        <v>193.03</v>
      </c>
      <c r="AN5708" t="s">
        <v>7439</v>
      </c>
      <c r="AO5708">
        <v>49705</v>
      </c>
      <c r="AP5708" t="s">
        <v>45923</v>
      </c>
      <c r="AU5708">
        <v>0</v>
      </c>
      <c r="AW5708" t="s">
        <v>279</v>
      </c>
    </row>
    <row r="5709" spans="1:50">
      <c r="A5709" s="1">
        <f>HYPERLINK("https://lsnyc.legalserver.org/matter/dynamic-profile/view/1891867","19-1891867")</f>
        <v>0</v>
      </c>
      <c r="B5709" t="s">
        <v>95</v>
      </c>
      <c r="C5709" t="s">
        <v>340</v>
      </c>
      <c r="D5709" t="s">
        <v>728</v>
      </c>
      <c r="F5709" t="s">
        <v>1116</v>
      </c>
      <c r="G5709" t="s">
        <v>7645</v>
      </c>
      <c r="H5709" t="s">
        <v>9692</v>
      </c>
      <c r="I5709" t="s">
        <v>18212</v>
      </c>
      <c r="J5709" t="s">
        <v>18894</v>
      </c>
      <c r="K5709">
        <v>11233</v>
      </c>
      <c r="L5709" t="s">
        <v>18958</v>
      </c>
      <c r="M5709" t="s">
        <v>18959</v>
      </c>
      <c r="O5709" t="s">
        <v>26531</v>
      </c>
      <c r="P5709" t="s">
        <v>26565</v>
      </c>
      <c r="R5709" t="s">
        <v>26578</v>
      </c>
      <c r="S5709" t="s">
        <v>18958</v>
      </c>
      <c r="U5709" t="s">
        <v>26604</v>
      </c>
      <c r="V5709" t="s">
        <v>26610</v>
      </c>
      <c r="W5709" t="s">
        <v>747</v>
      </c>
      <c r="X5709">
        <v>1031.53</v>
      </c>
      <c r="Y5709" t="s">
        <v>26652</v>
      </c>
      <c r="AB5709" t="s">
        <v>31033</v>
      </c>
      <c r="AE5709">
        <v>359</v>
      </c>
      <c r="AF5709" t="s">
        <v>45541</v>
      </c>
      <c r="AG5709" t="s">
        <v>19330</v>
      </c>
      <c r="AH5709">
        <v>21</v>
      </c>
      <c r="AI5709">
        <v>2</v>
      </c>
      <c r="AJ5709">
        <v>3</v>
      </c>
      <c r="AK5709">
        <v>222.07</v>
      </c>
      <c r="AN5709" t="s">
        <v>7439</v>
      </c>
      <c r="AO5709">
        <v>67000</v>
      </c>
      <c r="AP5709" t="s">
        <v>45924</v>
      </c>
      <c r="AU5709">
        <v>0</v>
      </c>
      <c r="AW5709" t="s">
        <v>279</v>
      </c>
    </row>
    <row r="5710" spans="1:50">
      <c r="A5710" s="1">
        <f>HYPERLINK("https://lsnyc.legalserver.org/matter/dynamic-profile/view/1891869","19-1891869")</f>
        <v>0</v>
      </c>
      <c r="B5710" t="s">
        <v>95</v>
      </c>
      <c r="C5710" t="s">
        <v>340</v>
      </c>
      <c r="D5710" t="s">
        <v>728</v>
      </c>
      <c r="F5710" t="s">
        <v>1197</v>
      </c>
      <c r="G5710" t="s">
        <v>5454</v>
      </c>
      <c r="H5710" t="s">
        <v>9692</v>
      </c>
      <c r="I5710" t="s">
        <v>18036</v>
      </c>
      <c r="J5710" t="s">
        <v>18894</v>
      </c>
      <c r="K5710">
        <v>11233</v>
      </c>
      <c r="L5710" t="s">
        <v>18958</v>
      </c>
      <c r="M5710" t="s">
        <v>18959</v>
      </c>
      <c r="N5710" t="s">
        <v>19330</v>
      </c>
      <c r="O5710" t="s">
        <v>26531</v>
      </c>
      <c r="P5710" t="s">
        <v>26565</v>
      </c>
      <c r="R5710" t="s">
        <v>26578</v>
      </c>
      <c r="S5710" t="s">
        <v>18958</v>
      </c>
      <c r="U5710" t="s">
        <v>26604</v>
      </c>
      <c r="V5710" t="s">
        <v>26610</v>
      </c>
      <c r="W5710" t="s">
        <v>747</v>
      </c>
      <c r="X5710">
        <v>1108.41</v>
      </c>
      <c r="Y5710" t="s">
        <v>26652</v>
      </c>
      <c r="AB5710" t="s">
        <v>28765</v>
      </c>
      <c r="AE5710">
        <v>359</v>
      </c>
      <c r="AF5710" t="s">
        <v>45541</v>
      </c>
      <c r="AG5710" t="s">
        <v>19330</v>
      </c>
      <c r="AH5710">
        <v>38</v>
      </c>
      <c r="AI5710">
        <v>2</v>
      </c>
      <c r="AJ5710">
        <v>0</v>
      </c>
      <c r="AK5710">
        <v>329.64</v>
      </c>
      <c r="AN5710" t="s">
        <v>7439</v>
      </c>
      <c r="AO5710">
        <v>55742</v>
      </c>
      <c r="AP5710" t="s">
        <v>45925</v>
      </c>
      <c r="AU5710">
        <v>0</v>
      </c>
      <c r="AW5710" t="s">
        <v>279</v>
      </c>
    </row>
    <row r="5711" spans="1:50">
      <c r="A5711" s="1">
        <f>HYPERLINK("https://lsnyc.legalserver.org/matter/dynamic-profile/view/1891861","19-1891861")</f>
        <v>0</v>
      </c>
      <c r="B5711" t="s">
        <v>95</v>
      </c>
      <c r="C5711" t="s">
        <v>340</v>
      </c>
      <c r="D5711" t="s">
        <v>728</v>
      </c>
      <c r="F5711" t="s">
        <v>1189</v>
      </c>
      <c r="G5711" t="s">
        <v>5157</v>
      </c>
      <c r="H5711" t="s">
        <v>9692</v>
      </c>
      <c r="I5711" t="s">
        <v>18216</v>
      </c>
      <c r="J5711" t="s">
        <v>18894</v>
      </c>
      <c r="K5711">
        <v>11233</v>
      </c>
      <c r="L5711" t="s">
        <v>18958</v>
      </c>
      <c r="M5711" t="s">
        <v>18959</v>
      </c>
      <c r="N5711" t="s">
        <v>19330</v>
      </c>
      <c r="O5711" t="s">
        <v>26531</v>
      </c>
      <c r="P5711" t="s">
        <v>26565</v>
      </c>
      <c r="R5711" t="s">
        <v>26578</v>
      </c>
      <c r="S5711" t="s">
        <v>18958</v>
      </c>
      <c r="U5711" t="s">
        <v>26604</v>
      </c>
      <c r="V5711" t="s">
        <v>26610</v>
      </c>
      <c r="W5711" t="s">
        <v>747</v>
      </c>
      <c r="X5711">
        <v>680</v>
      </c>
      <c r="Y5711" t="s">
        <v>26652</v>
      </c>
      <c r="AB5711" t="s">
        <v>31038</v>
      </c>
      <c r="AE5711">
        <v>359</v>
      </c>
      <c r="AF5711" t="s">
        <v>45541</v>
      </c>
      <c r="AG5711" t="s">
        <v>19330</v>
      </c>
      <c r="AH5711">
        <v>3</v>
      </c>
      <c r="AI5711">
        <v>1</v>
      </c>
      <c r="AJ5711">
        <v>0</v>
      </c>
      <c r="AK5711">
        <v>504.4</v>
      </c>
      <c r="AN5711" t="s">
        <v>7439</v>
      </c>
      <c r="AO5711">
        <v>63000</v>
      </c>
      <c r="AP5711" t="s">
        <v>45926</v>
      </c>
      <c r="AU5711">
        <v>0</v>
      </c>
      <c r="AW5711" t="s">
        <v>279</v>
      </c>
    </row>
    <row r="5712" spans="1:50">
      <c r="A5712" s="1">
        <f>HYPERLINK("https://lsnyc.legalserver.org/matter/dynamic-profile/view/1892008","19-1892008")</f>
        <v>0</v>
      </c>
      <c r="B5712" t="s">
        <v>95</v>
      </c>
      <c r="C5712" t="s">
        <v>340</v>
      </c>
      <c r="D5712" t="s">
        <v>574</v>
      </c>
      <c r="F5712" t="s">
        <v>1281</v>
      </c>
      <c r="G5712" t="s">
        <v>7655</v>
      </c>
      <c r="H5712" t="s">
        <v>9692</v>
      </c>
      <c r="I5712" t="s">
        <v>17343</v>
      </c>
      <c r="J5712" t="s">
        <v>18894</v>
      </c>
      <c r="K5712">
        <v>11233</v>
      </c>
      <c r="L5712" t="s">
        <v>18958</v>
      </c>
      <c r="M5712" t="s">
        <v>18959</v>
      </c>
      <c r="O5712" t="s">
        <v>26531</v>
      </c>
      <c r="P5712" t="s">
        <v>26565</v>
      </c>
      <c r="R5712" t="s">
        <v>26578</v>
      </c>
      <c r="S5712" t="s">
        <v>18958</v>
      </c>
      <c r="U5712" t="s">
        <v>26604</v>
      </c>
      <c r="V5712" t="s">
        <v>26610</v>
      </c>
      <c r="W5712" t="s">
        <v>747</v>
      </c>
      <c r="X5712">
        <v>654.65</v>
      </c>
      <c r="Y5712" t="s">
        <v>26652</v>
      </c>
      <c r="Z5712" t="s">
        <v>26530</v>
      </c>
      <c r="AB5712" t="s">
        <v>31050</v>
      </c>
      <c r="AE5712">
        <v>359</v>
      </c>
      <c r="AF5712" t="s">
        <v>45541</v>
      </c>
      <c r="AG5712" t="s">
        <v>19330</v>
      </c>
      <c r="AH5712">
        <v>17</v>
      </c>
      <c r="AI5712">
        <v>1</v>
      </c>
      <c r="AJ5712">
        <v>1</v>
      </c>
      <c r="AK5712">
        <v>76.88</v>
      </c>
      <c r="AN5712" t="s">
        <v>7439</v>
      </c>
      <c r="AO5712">
        <v>13000</v>
      </c>
      <c r="AP5712" t="s">
        <v>45927</v>
      </c>
      <c r="AU5712">
        <v>0</v>
      </c>
      <c r="AW5712" t="s">
        <v>286</v>
      </c>
    </row>
    <row r="5713" spans="1:50">
      <c r="A5713" s="1">
        <f>HYPERLINK("https://lsnyc.legalserver.org/matter/dynamic-profile/view/1891999","19-1891999")</f>
        <v>0</v>
      </c>
      <c r="B5713" t="s">
        <v>95</v>
      </c>
      <c r="C5713" t="s">
        <v>340</v>
      </c>
      <c r="D5713" t="s">
        <v>574</v>
      </c>
      <c r="F5713" t="s">
        <v>1457</v>
      </c>
      <c r="G5713" t="s">
        <v>7656</v>
      </c>
      <c r="H5713" t="s">
        <v>12821</v>
      </c>
      <c r="I5713" t="s">
        <v>18220</v>
      </c>
      <c r="J5713" t="s">
        <v>18894</v>
      </c>
      <c r="K5713">
        <v>11233</v>
      </c>
      <c r="L5713" t="s">
        <v>18958</v>
      </c>
      <c r="M5713" t="s">
        <v>18959</v>
      </c>
      <c r="O5713" t="s">
        <v>26531</v>
      </c>
      <c r="P5713" t="s">
        <v>26565</v>
      </c>
      <c r="R5713" t="s">
        <v>26578</v>
      </c>
      <c r="S5713" t="s">
        <v>18958</v>
      </c>
      <c r="U5713" t="s">
        <v>26604</v>
      </c>
      <c r="V5713" t="s">
        <v>26610</v>
      </c>
      <c r="W5713" t="s">
        <v>747</v>
      </c>
      <c r="X5713">
        <v>1040.6</v>
      </c>
      <c r="Y5713" t="s">
        <v>26652</v>
      </c>
      <c r="Z5713" t="s">
        <v>26530</v>
      </c>
      <c r="AB5713" t="s">
        <v>31051</v>
      </c>
      <c r="AE5713">
        <v>359</v>
      </c>
      <c r="AF5713" t="s">
        <v>45541</v>
      </c>
      <c r="AG5713" t="s">
        <v>45556</v>
      </c>
      <c r="AH5713">
        <v>29</v>
      </c>
      <c r="AI5713">
        <v>2</v>
      </c>
      <c r="AJ5713">
        <v>0</v>
      </c>
      <c r="AK5713">
        <v>77.31999999999999</v>
      </c>
      <c r="AN5713" t="s">
        <v>7439</v>
      </c>
      <c r="AO5713">
        <v>13074</v>
      </c>
      <c r="AP5713" t="s">
        <v>45928</v>
      </c>
      <c r="AU5713">
        <v>0</v>
      </c>
      <c r="AW5713" t="s">
        <v>286</v>
      </c>
    </row>
    <row r="5714" spans="1:50">
      <c r="A5714" s="1">
        <f>HYPERLINK("https://lsnyc.legalserver.org/matter/dynamic-profile/view/1891930","19-1891930")</f>
        <v>0</v>
      </c>
      <c r="B5714" t="s">
        <v>95</v>
      </c>
      <c r="C5714" t="s">
        <v>340</v>
      </c>
      <c r="D5714" t="s">
        <v>574</v>
      </c>
      <c r="F5714" t="s">
        <v>3396</v>
      </c>
      <c r="G5714" t="s">
        <v>7657</v>
      </c>
      <c r="H5714" t="s">
        <v>9692</v>
      </c>
      <c r="I5714" t="s">
        <v>17755</v>
      </c>
      <c r="J5714" t="s">
        <v>18894</v>
      </c>
      <c r="K5714">
        <v>11233</v>
      </c>
      <c r="L5714" t="s">
        <v>18958</v>
      </c>
      <c r="M5714" t="s">
        <v>18959</v>
      </c>
      <c r="O5714" t="s">
        <v>26531</v>
      </c>
      <c r="P5714" t="s">
        <v>26565</v>
      </c>
      <c r="R5714" t="s">
        <v>26578</v>
      </c>
      <c r="S5714" t="s">
        <v>18958</v>
      </c>
      <c r="U5714" t="s">
        <v>26604</v>
      </c>
      <c r="V5714" t="s">
        <v>26610</v>
      </c>
      <c r="W5714" t="s">
        <v>747</v>
      </c>
      <c r="X5714">
        <v>1047</v>
      </c>
      <c r="Y5714" t="s">
        <v>26652</v>
      </c>
      <c r="Z5714" t="s">
        <v>26530</v>
      </c>
      <c r="AB5714" t="s">
        <v>31052</v>
      </c>
      <c r="AE5714">
        <v>359</v>
      </c>
      <c r="AF5714" t="s">
        <v>45541</v>
      </c>
      <c r="AG5714" t="s">
        <v>19330</v>
      </c>
      <c r="AH5714">
        <v>8</v>
      </c>
      <c r="AI5714">
        <v>3</v>
      </c>
      <c r="AJ5714">
        <v>3</v>
      </c>
      <c r="AK5714">
        <v>211.54</v>
      </c>
      <c r="AN5714" t="s">
        <v>7439</v>
      </c>
      <c r="AO5714">
        <v>73170</v>
      </c>
      <c r="AP5714" t="s">
        <v>45929</v>
      </c>
      <c r="AU5714">
        <v>0</v>
      </c>
      <c r="AW5714" t="s">
        <v>286</v>
      </c>
    </row>
    <row r="5715" spans="1:50">
      <c r="A5715" s="1">
        <f>HYPERLINK("https://lsnyc.legalserver.org/matter/dynamic-profile/view/1891899","19-1891899")</f>
        <v>0</v>
      </c>
      <c r="B5715" t="s">
        <v>95</v>
      </c>
      <c r="C5715" t="s">
        <v>340</v>
      </c>
      <c r="D5715" t="s">
        <v>574</v>
      </c>
      <c r="F5715" t="s">
        <v>2111</v>
      </c>
      <c r="G5715" t="s">
        <v>7658</v>
      </c>
      <c r="H5715" t="s">
        <v>12646</v>
      </c>
      <c r="I5715" t="s">
        <v>17321</v>
      </c>
      <c r="J5715" t="s">
        <v>18894</v>
      </c>
      <c r="K5715">
        <v>11233</v>
      </c>
      <c r="L5715" t="s">
        <v>18959</v>
      </c>
      <c r="M5715" t="s">
        <v>18959</v>
      </c>
      <c r="O5715" t="s">
        <v>26531</v>
      </c>
      <c r="P5715" t="s">
        <v>26565</v>
      </c>
      <c r="R5715" t="s">
        <v>26578</v>
      </c>
      <c r="S5715" t="s">
        <v>18958</v>
      </c>
      <c r="U5715" t="s">
        <v>26604</v>
      </c>
      <c r="V5715" t="s">
        <v>26610</v>
      </c>
      <c r="W5715" t="s">
        <v>747</v>
      </c>
      <c r="X5715">
        <v>775</v>
      </c>
      <c r="Y5715" t="s">
        <v>26652</v>
      </c>
      <c r="Z5715" t="s">
        <v>26530</v>
      </c>
      <c r="AB5715" t="s">
        <v>31053</v>
      </c>
      <c r="AE5715">
        <v>359</v>
      </c>
      <c r="AF5715" t="s">
        <v>45541</v>
      </c>
      <c r="AG5715" t="s">
        <v>19330</v>
      </c>
      <c r="AH5715">
        <v>10</v>
      </c>
      <c r="AI5715">
        <v>2</v>
      </c>
      <c r="AJ5715">
        <v>0</v>
      </c>
      <c r="AK5715">
        <v>254.29</v>
      </c>
      <c r="AN5715" t="s">
        <v>7439</v>
      </c>
      <c r="AO5715">
        <v>43000</v>
      </c>
      <c r="AP5715" t="s">
        <v>45930</v>
      </c>
      <c r="AU5715">
        <v>0</v>
      </c>
      <c r="AW5715" t="s">
        <v>286</v>
      </c>
    </row>
    <row r="5716" spans="1:50">
      <c r="A5716" s="1">
        <f>HYPERLINK("https://lsnyc.legalserver.org/matter/dynamic-profile/view/1891944","19-1891944")</f>
        <v>0</v>
      </c>
      <c r="B5716" t="s">
        <v>95</v>
      </c>
      <c r="C5716" t="s">
        <v>340</v>
      </c>
      <c r="D5716" t="s">
        <v>574</v>
      </c>
      <c r="F5716" t="s">
        <v>1633</v>
      </c>
      <c r="G5716" t="s">
        <v>5177</v>
      </c>
      <c r="H5716" t="s">
        <v>12646</v>
      </c>
      <c r="I5716" t="s">
        <v>17312</v>
      </c>
      <c r="J5716" t="s">
        <v>18894</v>
      </c>
      <c r="K5716">
        <v>11233</v>
      </c>
      <c r="L5716" t="s">
        <v>18958</v>
      </c>
      <c r="M5716" t="s">
        <v>18959</v>
      </c>
      <c r="O5716" t="s">
        <v>26531</v>
      </c>
      <c r="P5716" t="s">
        <v>26565</v>
      </c>
      <c r="R5716" t="s">
        <v>26578</v>
      </c>
      <c r="S5716" t="s">
        <v>18958</v>
      </c>
      <c r="U5716" t="s">
        <v>26604</v>
      </c>
      <c r="V5716" t="s">
        <v>26610</v>
      </c>
      <c r="W5716" t="s">
        <v>747</v>
      </c>
      <c r="X5716">
        <v>1489</v>
      </c>
      <c r="Y5716" t="s">
        <v>26652</v>
      </c>
      <c r="Z5716" t="s">
        <v>26530</v>
      </c>
      <c r="AB5716" t="s">
        <v>29374</v>
      </c>
      <c r="AE5716">
        <v>359</v>
      </c>
      <c r="AF5716" t="s">
        <v>45541</v>
      </c>
      <c r="AG5716" t="s">
        <v>19330</v>
      </c>
      <c r="AH5716">
        <v>4</v>
      </c>
      <c r="AI5716">
        <v>2</v>
      </c>
      <c r="AJ5716">
        <v>0</v>
      </c>
      <c r="AK5716">
        <v>384.39</v>
      </c>
      <c r="AL5716" t="s">
        <v>672</v>
      </c>
      <c r="AM5716" t="s">
        <v>45575</v>
      </c>
      <c r="AN5716" t="s">
        <v>7439</v>
      </c>
      <c r="AO5716">
        <v>65000</v>
      </c>
      <c r="AP5716" t="s">
        <v>45931</v>
      </c>
      <c r="AU5716">
        <v>0</v>
      </c>
      <c r="AW5716" t="s">
        <v>286</v>
      </c>
    </row>
    <row r="5717" spans="1:50">
      <c r="A5717" s="1">
        <f>HYPERLINK("https://lsnyc.legalserver.org/matter/dynamic-profile/view/1891914","19-1891914")</f>
        <v>0</v>
      </c>
      <c r="B5717" t="s">
        <v>95</v>
      </c>
      <c r="C5717" t="s">
        <v>340</v>
      </c>
      <c r="D5717" t="s">
        <v>574</v>
      </c>
      <c r="F5717" t="s">
        <v>3483</v>
      </c>
      <c r="G5717" t="s">
        <v>5441</v>
      </c>
      <c r="H5717" t="s">
        <v>9692</v>
      </c>
      <c r="I5717" t="s">
        <v>18278</v>
      </c>
      <c r="J5717" t="s">
        <v>18894</v>
      </c>
      <c r="K5717">
        <v>11233</v>
      </c>
      <c r="L5717" t="s">
        <v>18958</v>
      </c>
      <c r="M5717" t="s">
        <v>18959</v>
      </c>
      <c r="O5717" t="s">
        <v>26534</v>
      </c>
      <c r="P5717" t="s">
        <v>26561</v>
      </c>
      <c r="R5717" t="s">
        <v>26578</v>
      </c>
      <c r="S5717" t="s">
        <v>18958</v>
      </c>
      <c r="U5717" t="s">
        <v>26604</v>
      </c>
      <c r="V5717" t="s">
        <v>26610</v>
      </c>
      <c r="W5717" t="s">
        <v>747</v>
      </c>
      <c r="X5717">
        <v>1292.74</v>
      </c>
      <c r="Y5717" t="s">
        <v>26652</v>
      </c>
      <c r="Z5717" t="s">
        <v>26530</v>
      </c>
      <c r="AB5717" t="s">
        <v>31244</v>
      </c>
      <c r="AE5717">
        <v>359</v>
      </c>
      <c r="AF5717" t="s">
        <v>45541</v>
      </c>
      <c r="AG5717" t="s">
        <v>19330</v>
      </c>
      <c r="AH5717">
        <v>27</v>
      </c>
      <c r="AI5717">
        <v>2</v>
      </c>
      <c r="AJ5717">
        <v>0</v>
      </c>
      <c r="AK5717">
        <v>473.09</v>
      </c>
      <c r="AN5717" t="s">
        <v>7439</v>
      </c>
      <c r="AO5717">
        <v>80000</v>
      </c>
      <c r="AP5717" t="s">
        <v>45856</v>
      </c>
      <c r="AU5717">
        <v>0</v>
      </c>
      <c r="AW5717" t="s">
        <v>286</v>
      </c>
    </row>
    <row r="5718" spans="1:50">
      <c r="A5718" s="1">
        <f>HYPERLINK("https://lsnyc.legalserver.org/matter/dynamic-profile/view/1891920","19-1891920")</f>
        <v>0</v>
      </c>
      <c r="B5718" t="s">
        <v>95</v>
      </c>
      <c r="C5718" t="s">
        <v>340</v>
      </c>
      <c r="D5718" t="s">
        <v>574</v>
      </c>
      <c r="F5718" t="s">
        <v>3483</v>
      </c>
      <c r="G5718" t="s">
        <v>5441</v>
      </c>
      <c r="H5718" t="s">
        <v>9692</v>
      </c>
      <c r="I5718" t="s">
        <v>18278</v>
      </c>
      <c r="J5718" t="s">
        <v>18894</v>
      </c>
      <c r="K5718">
        <v>11233</v>
      </c>
      <c r="L5718" t="s">
        <v>18958</v>
      </c>
      <c r="M5718" t="s">
        <v>18959</v>
      </c>
      <c r="O5718" t="s">
        <v>26531</v>
      </c>
      <c r="P5718" t="s">
        <v>26565</v>
      </c>
      <c r="R5718" t="s">
        <v>26578</v>
      </c>
      <c r="S5718" t="s">
        <v>18958</v>
      </c>
      <c r="U5718" t="s">
        <v>26604</v>
      </c>
      <c r="V5718" t="s">
        <v>26610</v>
      </c>
      <c r="W5718" t="s">
        <v>747</v>
      </c>
      <c r="X5718">
        <v>1292.74</v>
      </c>
      <c r="Y5718" t="s">
        <v>26652</v>
      </c>
      <c r="Z5718" t="s">
        <v>26530</v>
      </c>
      <c r="AB5718" t="s">
        <v>31244</v>
      </c>
      <c r="AE5718">
        <v>359</v>
      </c>
      <c r="AF5718" t="s">
        <v>45541</v>
      </c>
      <c r="AG5718" t="s">
        <v>19330</v>
      </c>
      <c r="AH5718">
        <v>27</v>
      </c>
      <c r="AI5718">
        <v>2</v>
      </c>
      <c r="AJ5718">
        <v>0</v>
      </c>
      <c r="AK5718">
        <v>473.09</v>
      </c>
      <c r="AN5718" t="s">
        <v>7439</v>
      </c>
      <c r="AO5718">
        <v>80000</v>
      </c>
      <c r="AP5718" t="s">
        <v>45932</v>
      </c>
      <c r="AU5718">
        <v>0</v>
      </c>
      <c r="AW5718" t="s">
        <v>286</v>
      </c>
    </row>
    <row r="5719" spans="1:50">
      <c r="A5719" s="1">
        <f>HYPERLINK("https://lsnyc.legalserver.org/matter/dynamic-profile/view/1891988","19-1891988")</f>
        <v>0</v>
      </c>
      <c r="B5719" t="s">
        <v>95</v>
      </c>
      <c r="C5719" t="s">
        <v>340</v>
      </c>
      <c r="D5719" t="s">
        <v>574</v>
      </c>
      <c r="F5719" t="s">
        <v>986</v>
      </c>
      <c r="G5719" t="s">
        <v>7659</v>
      </c>
      <c r="H5719" t="s">
        <v>12646</v>
      </c>
      <c r="I5719" t="s">
        <v>17972</v>
      </c>
      <c r="J5719" t="s">
        <v>18894</v>
      </c>
      <c r="K5719">
        <v>11233</v>
      </c>
      <c r="L5719" t="s">
        <v>18958</v>
      </c>
      <c r="M5719" t="s">
        <v>18959</v>
      </c>
      <c r="O5719" t="s">
        <v>26531</v>
      </c>
      <c r="P5719" t="s">
        <v>26565</v>
      </c>
      <c r="R5719" t="s">
        <v>26578</v>
      </c>
      <c r="S5719" t="s">
        <v>18958</v>
      </c>
      <c r="U5719" t="s">
        <v>26604</v>
      </c>
      <c r="V5719" t="s">
        <v>26610</v>
      </c>
      <c r="W5719" t="s">
        <v>747</v>
      </c>
      <c r="X5719">
        <v>989.35</v>
      </c>
      <c r="Y5719" t="s">
        <v>26652</v>
      </c>
      <c r="Z5719" t="s">
        <v>26530</v>
      </c>
      <c r="AB5719" t="s">
        <v>31054</v>
      </c>
      <c r="AE5719">
        <v>359</v>
      </c>
      <c r="AF5719" t="s">
        <v>45541</v>
      </c>
      <c r="AG5719" t="s">
        <v>19330</v>
      </c>
      <c r="AH5719">
        <v>16</v>
      </c>
      <c r="AI5719">
        <v>2</v>
      </c>
      <c r="AJ5719">
        <v>0</v>
      </c>
      <c r="AK5719">
        <v>567.71</v>
      </c>
      <c r="AN5719" t="s">
        <v>7439</v>
      </c>
      <c r="AO5719">
        <v>96000</v>
      </c>
      <c r="AP5719" t="s">
        <v>45933</v>
      </c>
      <c r="AU5719">
        <v>0</v>
      </c>
      <c r="AW5719" t="s">
        <v>286</v>
      </c>
    </row>
    <row r="5720" spans="1:50">
      <c r="A5720" s="1">
        <f>HYPERLINK("https://lsnyc.legalserver.org/matter/dynamic-profile/view/1892085","19-1892085")</f>
        <v>0</v>
      </c>
      <c r="B5720" t="s">
        <v>95</v>
      </c>
      <c r="C5720" t="s">
        <v>340</v>
      </c>
      <c r="D5720" t="s">
        <v>758</v>
      </c>
      <c r="F5720" t="s">
        <v>1641</v>
      </c>
      <c r="G5720" t="s">
        <v>7660</v>
      </c>
      <c r="H5720" t="s">
        <v>12821</v>
      </c>
      <c r="I5720" t="s">
        <v>18221</v>
      </c>
      <c r="J5720" t="s">
        <v>18894</v>
      </c>
      <c r="K5720">
        <v>11233</v>
      </c>
      <c r="L5720" t="s">
        <v>18958</v>
      </c>
      <c r="M5720" t="s">
        <v>18959</v>
      </c>
      <c r="O5720" t="s">
        <v>26531</v>
      </c>
      <c r="P5720" t="s">
        <v>26565</v>
      </c>
      <c r="R5720" t="s">
        <v>26578</v>
      </c>
      <c r="S5720" t="s">
        <v>18958</v>
      </c>
      <c r="U5720" t="s">
        <v>26604</v>
      </c>
      <c r="V5720" t="s">
        <v>26610</v>
      </c>
      <c r="W5720" t="s">
        <v>747</v>
      </c>
      <c r="X5720">
        <v>1150</v>
      </c>
      <c r="Y5720" t="s">
        <v>26652</v>
      </c>
      <c r="Z5720" t="s">
        <v>26530</v>
      </c>
      <c r="AB5720" t="s">
        <v>31055</v>
      </c>
      <c r="AE5720">
        <v>359</v>
      </c>
      <c r="AF5720" t="s">
        <v>45541</v>
      </c>
      <c r="AH5720">
        <v>45</v>
      </c>
      <c r="AI5720">
        <v>1</v>
      </c>
      <c r="AJ5720">
        <v>0</v>
      </c>
      <c r="AK5720">
        <v>113.66</v>
      </c>
      <c r="AN5720" t="s">
        <v>7439</v>
      </c>
      <c r="AO5720">
        <v>14196</v>
      </c>
      <c r="AP5720" t="s">
        <v>45934</v>
      </c>
      <c r="AU5720">
        <v>0</v>
      </c>
      <c r="AW5720" t="s">
        <v>286</v>
      </c>
    </row>
    <row r="5721" spans="1:50">
      <c r="A5721" s="1">
        <f>HYPERLINK("https://lsnyc.legalserver.org/matter/dynamic-profile/view/1892076","19-1892076")</f>
        <v>0</v>
      </c>
      <c r="B5721" t="s">
        <v>95</v>
      </c>
      <c r="C5721" t="s">
        <v>340</v>
      </c>
      <c r="D5721" t="s">
        <v>758</v>
      </c>
      <c r="F5721" t="s">
        <v>3397</v>
      </c>
      <c r="G5721" t="s">
        <v>4785</v>
      </c>
      <c r="H5721" t="s">
        <v>9692</v>
      </c>
      <c r="I5721" t="s">
        <v>17293</v>
      </c>
      <c r="J5721" t="s">
        <v>18894</v>
      </c>
      <c r="K5721">
        <v>11233</v>
      </c>
      <c r="L5721" t="s">
        <v>18958</v>
      </c>
      <c r="M5721" t="s">
        <v>18959</v>
      </c>
      <c r="O5721" t="s">
        <v>26531</v>
      </c>
      <c r="P5721" t="s">
        <v>26565</v>
      </c>
      <c r="R5721" t="s">
        <v>26578</v>
      </c>
      <c r="S5721" t="s">
        <v>18958</v>
      </c>
      <c r="U5721" t="s">
        <v>26604</v>
      </c>
      <c r="V5721" t="s">
        <v>26610</v>
      </c>
      <c r="W5721" t="s">
        <v>747</v>
      </c>
      <c r="X5721">
        <v>978</v>
      </c>
      <c r="Y5721" t="s">
        <v>26652</v>
      </c>
      <c r="Z5721" t="s">
        <v>26530</v>
      </c>
      <c r="AB5721" t="s">
        <v>27127</v>
      </c>
      <c r="AE5721">
        <v>359</v>
      </c>
      <c r="AF5721" t="s">
        <v>45541</v>
      </c>
      <c r="AG5721" t="s">
        <v>19330</v>
      </c>
      <c r="AH5721">
        <v>3</v>
      </c>
      <c r="AI5721">
        <v>2</v>
      </c>
      <c r="AJ5721">
        <v>1</v>
      </c>
      <c r="AK5721">
        <v>281.29</v>
      </c>
      <c r="AN5721" t="s">
        <v>7439</v>
      </c>
      <c r="AO5721">
        <v>60000</v>
      </c>
      <c r="AP5721" t="s">
        <v>45935</v>
      </c>
      <c r="AU5721">
        <v>0</v>
      </c>
      <c r="AW5721" t="s">
        <v>286</v>
      </c>
    </row>
    <row r="5722" spans="1:50">
      <c r="A5722" s="1">
        <f>HYPERLINK("https://lsnyc.legalserver.org/matter/dynamic-profile/view/1892098","19-1892098")</f>
        <v>0</v>
      </c>
      <c r="B5722" t="s">
        <v>95</v>
      </c>
      <c r="C5722" t="s">
        <v>340</v>
      </c>
      <c r="D5722" t="s">
        <v>758</v>
      </c>
      <c r="F5722" t="s">
        <v>2276</v>
      </c>
      <c r="G5722" t="s">
        <v>5269</v>
      </c>
      <c r="H5722" t="s">
        <v>9692</v>
      </c>
      <c r="I5722" t="s">
        <v>18222</v>
      </c>
      <c r="J5722" t="s">
        <v>18894</v>
      </c>
      <c r="K5722">
        <v>11233</v>
      </c>
      <c r="L5722" t="s">
        <v>18958</v>
      </c>
      <c r="M5722" t="s">
        <v>18959</v>
      </c>
      <c r="O5722" t="s">
        <v>26531</v>
      </c>
      <c r="P5722" t="s">
        <v>26565</v>
      </c>
      <c r="R5722" t="s">
        <v>26578</v>
      </c>
      <c r="S5722" t="s">
        <v>18958</v>
      </c>
      <c r="U5722" t="s">
        <v>26604</v>
      </c>
      <c r="V5722" t="s">
        <v>26610</v>
      </c>
      <c r="W5722" t="s">
        <v>747</v>
      </c>
      <c r="X5722">
        <v>1037</v>
      </c>
      <c r="Y5722" t="s">
        <v>26652</v>
      </c>
      <c r="Z5722" t="s">
        <v>26530</v>
      </c>
      <c r="AB5722" t="s">
        <v>31056</v>
      </c>
      <c r="AE5722">
        <v>359</v>
      </c>
      <c r="AF5722" t="s">
        <v>45541</v>
      </c>
      <c r="AH5722">
        <v>49</v>
      </c>
      <c r="AI5722">
        <v>3</v>
      </c>
      <c r="AJ5722">
        <v>0</v>
      </c>
      <c r="AK5722">
        <v>4388.19</v>
      </c>
      <c r="AN5722" t="s">
        <v>7439</v>
      </c>
      <c r="AO5722">
        <v>936000</v>
      </c>
      <c r="AP5722" t="s">
        <v>45936</v>
      </c>
      <c r="AU5722">
        <v>0</v>
      </c>
      <c r="AW5722" t="s">
        <v>286</v>
      </c>
    </row>
    <row r="5723" spans="1:50">
      <c r="A5723" s="1">
        <f>HYPERLINK("https://lsnyc.legalserver.org/matter/dynamic-profile/view/1892508","19-1892508")</f>
        <v>0</v>
      </c>
      <c r="B5723" t="s">
        <v>95</v>
      </c>
      <c r="C5723" t="s">
        <v>340</v>
      </c>
      <c r="D5723" t="s">
        <v>751</v>
      </c>
      <c r="F5723" t="s">
        <v>1328</v>
      </c>
      <c r="G5723" t="s">
        <v>5269</v>
      </c>
      <c r="H5723" t="s">
        <v>9692</v>
      </c>
      <c r="I5723" t="s">
        <v>17358</v>
      </c>
      <c r="J5723" t="s">
        <v>18894</v>
      </c>
      <c r="K5723">
        <v>11233</v>
      </c>
      <c r="L5723" t="s">
        <v>18958</v>
      </c>
      <c r="M5723" t="s">
        <v>18959</v>
      </c>
      <c r="N5723" t="s">
        <v>19330</v>
      </c>
      <c r="O5723" t="s">
        <v>26531</v>
      </c>
      <c r="P5723" t="s">
        <v>26565</v>
      </c>
      <c r="R5723" t="s">
        <v>26578</v>
      </c>
      <c r="S5723" t="s">
        <v>18958</v>
      </c>
      <c r="U5723" t="s">
        <v>26604</v>
      </c>
      <c r="V5723" t="s">
        <v>26610</v>
      </c>
      <c r="W5723" t="s">
        <v>747</v>
      </c>
      <c r="X5723">
        <v>986</v>
      </c>
      <c r="Y5723" t="s">
        <v>26652</v>
      </c>
      <c r="Z5723" t="s">
        <v>26530</v>
      </c>
      <c r="AB5723" t="s">
        <v>31058</v>
      </c>
      <c r="AC5723" t="s">
        <v>19045</v>
      </c>
      <c r="AE5723">
        <v>359</v>
      </c>
      <c r="AF5723" t="s">
        <v>45541</v>
      </c>
      <c r="AG5723" t="s">
        <v>19330</v>
      </c>
      <c r="AH5723">
        <v>16</v>
      </c>
      <c r="AI5723">
        <v>2</v>
      </c>
      <c r="AJ5723">
        <v>1</v>
      </c>
      <c r="AK5723">
        <v>171.84</v>
      </c>
      <c r="AN5723" t="s">
        <v>7439</v>
      </c>
      <c r="AO5723">
        <v>36653</v>
      </c>
      <c r="AP5723" t="s">
        <v>45937</v>
      </c>
      <c r="AU5723">
        <v>0</v>
      </c>
      <c r="AW5723" t="s">
        <v>286</v>
      </c>
      <c r="AX5723" t="s">
        <v>19330</v>
      </c>
    </row>
    <row r="5724" spans="1:50">
      <c r="A5724" s="1">
        <f>HYPERLINK("https://lsnyc.legalserver.org/matter/dynamic-profile/view/1892522","19-1892522")</f>
        <v>0</v>
      </c>
      <c r="B5724" t="s">
        <v>95</v>
      </c>
      <c r="C5724" t="s">
        <v>340</v>
      </c>
      <c r="D5724" t="s">
        <v>751</v>
      </c>
      <c r="F5724" t="s">
        <v>1283</v>
      </c>
      <c r="G5724" t="s">
        <v>1146</v>
      </c>
      <c r="H5724" t="s">
        <v>9692</v>
      </c>
      <c r="I5724" t="s">
        <v>17570</v>
      </c>
      <c r="J5724" t="s">
        <v>18894</v>
      </c>
      <c r="K5724">
        <v>11233</v>
      </c>
      <c r="L5724" t="s">
        <v>18958</v>
      </c>
      <c r="M5724" t="s">
        <v>18959</v>
      </c>
      <c r="O5724" t="s">
        <v>26531</v>
      </c>
      <c r="P5724" t="s">
        <v>26565</v>
      </c>
      <c r="R5724" t="s">
        <v>26578</v>
      </c>
      <c r="S5724" t="s">
        <v>18958</v>
      </c>
      <c r="U5724" t="s">
        <v>26604</v>
      </c>
      <c r="V5724" t="s">
        <v>26610</v>
      </c>
      <c r="W5724" t="s">
        <v>747</v>
      </c>
      <c r="X5724">
        <v>2500</v>
      </c>
      <c r="Y5724" t="s">
        <v>26652</v>
      </c>
      <c r="Z5724" t="s">
        <v>26530</v>
      </c>
      <c r="AB5724" t="s">
        <v>31059</v>
      </c>
      <c r="AE5724">
        <v>359</v>
      </c>
      <c r="AF5724" t="s">
        <v>45541</v>
      </c>
      <c r="AH5724">
        <v>51</v>
      </c>
      <c r="AI5724">
        <v>1</v>
      </c>
      <c r="AJ5724">
        <v>0</v>
      </c>
      <c r="AK5724">
        <v>280.22</v>
      </c>
      <c r="AN5724" t="s">
        <v>7439</v>
      </c>
      <c r="AO5724">
        <v>35000</v>
      </c>
      <c r="AP5724" t="s">
        <v>45938</v>
      </c>
      <c r="AU5724">
        <v>0</v>
      </c>
      <c r="AW5724" t="s">
        <v>286</v>
      </c>
    </row>
    <row r="5725" spans="1:50">
      <c r="A5725" s="1">
        <f>HYPERLINK("https://lsnyc.legalserver.org/matter/dynamic-profile/view/1892517","19-1892517")</f>
        <v>0</v>
      </c>
      <c r="B5725" t="s">
        <v>95</v>
      </c>
      <c r="C5725" t="s">
        <v>340</v>
      </c>
      <c r="D5725" t="s">
        <v>751</v>
      </c>
      <c r="F5725" t="s">
        <v>873</v>
      </c>
      <c r="G5725" t="s">
        <v>5269</v>
      </c>
      <c r="H5725" t="s">
        <v>12646</v>
      </c>
      <c r="I5725" t="s">
        <v>17478</v>
      </c>
      <c r="J5725" t="s">
        <v>18894</v>
      </c>
      <c r="K5725">
        <v>11233</v>
      </c>
      <c r="L5725" t="s">
        <v>18958</v>
      </c>
      <c r="M5725" t="s">
        <v>18959</v>
      </c>
      <c r="N5725" t="s">
        <v>19330</v>
      </c>
      <c r="O5725" t="s">
        <v>26531</v>
      </c>
      <c r="P5725" t="s">
        <v>26565</v>
      </c>
      <c r="R5725" t="s">
        <v>26578</v>
      </c>
      <c r="S5725" t="s">
        <v>18958</v>
      </c>
      <c r="U5725" t="s">
        <v>26604</v>
      </c>
      <c r="V5725" t="s">
        <v>26610</v>
      </c>
      <c r="W5725" t="s">
        <v>747</v>
      </c>
      <c r="X5725">
        <v>0</v>
      </c>
      <c r="Y5725" t="s">
        <v>26652</v>
      </c>
      <c r="Z5725" t="s">
        <v>26530</v>
      </c>
      <c r="AB5725" t="s">
        <v>27657</v>
      </c>
      <c r="AC5725" t="s">
        <v>19330</v>
      </c>
      <c r="AE5725">
        <v>359</v>
      </c>
      <c r="AF5725" t="s">
        <v>45541</v>
      </c>
      <c r="AG5725" t="s">
        <v>19330</v>
      </c>
      <c r="AH5725">
        <v>43</v>
      </c>
      <c r="AI5725">
        <v>2</v>
      </c>
      <c r="AJ5725">
        <v>0</v>
      </c>
      <c r="AK5725">
        <v>413.96</v>
      </c>
      <c r="AN5725" t="s">
        <v>7439</v>
      </c>
      <c r="AO5725">
        <v>70000</v>
      </c>
      <c r="AP5725" t="s">
        <v>45939</v>
      </c>
      <c r="AU5725">
        <v>0</v>
      </c>
      <c r="AW5725" t="s">
        <v>286</v>
      </c>
      <c r="AX5725" t="s">
        <v>19330</v>
      </c>
    </row>
    <row r="5726" spans="1:50">
      <c r="A5726" s="1">
        <f>HYPERLINK("https://lsnyc.legalserver.org/matter/dynamic-profile/view/1892681","19-1892681")</f>
        <v>0</v>
      </c>
      <c r="B5726" t="s">
        <v>95</v>
      </c>
      <c r="C5726" t="s">
        <v>340</v>
      </c>
      <c r="D5726" t="s">
        <v>752</v>
      </c>
      <c r="F5726" t="s">
        <v>1253</v>
      </c>
      <c r="G5726" t="s">
        <v>5436</v>
      </c>
      <c r="H5726" t="s">
        <v>12821</v>
      </c>
      <c r="I5726" t="s">
        <v>18223</v>
      </c>
      <c r="J5726" t="s">
        <v>18894</v>
      </c>
      <c r="K5726">
        <v>11233</v>
      </c>
      <c r="L5726" t="s">
        <v>18958</v>
      </c>
      <c r="M5726" t="s">
        <v>18959</v>
      </c>
      <c r="O5726" t="s">
        <v>26531</v>
      </c>
      <c r="P5726" t="s">
        <v>26565</v>
      </c>
      <c r="R5726" t="s">
        <v>26578</v>
      </c>
      <c r="S5726" t="s">
        <v>18958</v>
      </c>
      <c r="U5726" t="s">
        <v>26604</v>
      </c>
      <c r="V5726" t="s">
        <v>26610</v>
      </c>
      <c r="W5726" t="s">
        <v>747</v>
      </c>
      <c r="X5726">
        <v>0</v>
      </c>
      <c r="Y5726" t="s">
        <v>26652</v>
      </c>
      <c r="Z5726" t="s">
        <v>26530</v>
      </c>
      <c r="AB5726" t="s">
        <v>31060</v>
      </c>
      <c r="AE5726">
        <v>359</v>
      </c>
      <c r="AF5726" t="s">
        <v>45541</v>
      </c>
      <c r="AH5726">
        <v>1</v>
      </c>
      <c r="AI5726">
        <v>1</v>
      </c>
      <c r="AJ5726">
        <v>1</v>
      </c>
      <c r="AK5726">
        <v>86.08</v>
      </c>
      <c r="AN5726" t="s">
        <v>7439</v>
      </c>
      <c r="AO5726">
        <v>14556</v>
      </c>
      <c r="AP5726" t="s">
        <v>45940</v>
      </c>
      <c r="AU5726">
        <v>0</v>
      </c>
      <c r="AW5726" t="s">
        <v>286</v>
      </c>
    </row>
    <row r="5727" spans="1:50">
      <c r="A5727" s="1">
        <f>HYPERLINK("https://lsnyc.legalserver.org/matter/dynamic-profile/view/1892653","19-1892653")</f>
        <v>0</v>
      </c>
      <c r="B5727" t="s">
        <v>95</v>
      </c>
      <c r="C5727" t="s">
        <v>340</v>
      </c>
      <c r="D5727" t="s">
        <v>752</v>
      </c>
      <c r="F5727" t="s">
        <v>974</v>
      </c>
      <c r="G5727" t="s">
        <v>7661</v>
      </c>
      <c r="H5727" t="s">
        <v>12821</v>
      </c>
      <c r="I5727" t="s">
        <v>17690</v>
      </c>
      <c r="J5727" t="s">
        <v>18894</v>
      </c>
      <c r="K5727">
        <v>11233</v>
      </c>
      <c r="L5727" t="s">
        <v>18958</v>
      </c>
      <c r="M5727" t="s">
        <v>18959</v>
      </c>
      <c r="O5727" t="s">
        <v>26531</v>
      </c>
      <c r="P5727" t="s">
        <v>26565</v>
      </c>
      <c r="R5727" t="s">
        <v>26578</v>
      </c>
      <c r="S5727" t="s">
        <v>18958</v>
      </c>
      <c r="U5727" t="s">
        <v>26604</v>
      </c>
      <c r="V5727" t="s">
        <v>26610</v>
      </c>
      <c r="W5727" t="s">
        <v>747</v>
      </c>
      <c r="X5727">
        <v>1321</v>
      </c>
      <c r="Y5727" t="s">
        <v>26652</v>
      </c>
      <c r="Z5727" t="s">
        <v>26530</v>
      </c>
      <c r="AB5727" t="s">
        <v>27114</v>
      </c>
      <c r="AE5727">
        <v>359</v>
      </c>
      <c r="AF5727" t="s">
        <v>45541</v>
      </c>
      <c r="AH5727">
        <v>34</v>
      </c>
      <c r="AI5727">
        <v>1</v>
      </c>
      <c r="AJ5727">
        <v>3</v>
      </c>
      <c r="AK5727">
        <v>89.8</v>
      </c>
      <c r="AN5727" t="s">
        <v>7439</v>
      </c>
      <c r="AO5727">
        <v>23124</v>
      </c>
      <c r="AP5727" t="s">
        <v>45941</v>
      </c>
      <c r="AU5727">
        <v>0</v>
      </c>
      <c r="AW5727" t="s">
        <v>286</v>
      </c>
    </row>
    <row r="5728" spans="1:50">
      <c r="A5728" s="1">
        <f>HYPERLINK("https://lsnyc.legalserver.org/matter/dynamic-profile/view/1892672","19-1892672")</f>
        <v>0</v>
      </c>
      <c r="B5728" t="s">
        <v>95</v>
      </c>
      <c r="C5728" t="s">
        <v>340</v>
      </c>
      <c r="D5728" t="s">
        <v>752</v>
      </c>
      <c r="F5728" t="s">
        <v>3399</v>
      </c>
      <c r="G5728" t="s">
        <v>7662</v>
      </c>
      <c r="H5728" t="s">
        <v>12821</v>
      </c>
      <c r="I5728" t="s">
        <v>17390</v>
      </c>
      <c r="J5728" t="s">
        <v>18894</v>
      </c>
      <c r="K5728">
        <v>11233</v>
      </c>
      <c r="L5728" t="s">
        <v>18958</v>
      </c>
      <c r="M5728" t="s">
        <v>18959</v>
      </c>
      <c r="O5728" t="s">
        <v>26531</v>
      </c>
      <c r="P5728" t="s">
        <v>26565</v>
      </c>
      <c r="R5728" t="s">
        <v>26578</v>
      </c>
      <c r="S5728" t="s">
        <v>18958</v>
      </c>
      <c r="U5728" t="s">
        <v>26604</v>
      </c>
      <c r="V5728" t="s">
        <v>26610</v>
      </c>
      <c r="W5728" t="s">
        <v>747</v>
      </c>
      <c r="X5728">
        <v>981.97</v>
      </c>
      <c r="Y5728" t="s">
        <v>26652</v>
      </c>
      <c r="Z5728" t="s">
        <v>26530</v>
      </c>
      <c r="AB5728" t="s">
        <v>28624</v>
      </c>
      <c r="AE5728">
        <v>359</v>
      </c>
      <c r="AF5728" t="s">
        <v>45541</v>
      </c>
      <c r="AH5728">
        <v>0</v>
      </c>
      <c r="AI5728">
        <v>4</v>
      </c>
      <c r="AJ5728">
        <v>1</v>
      </c>
      <c r="AK5728">
        <v>178.99</v>
      </c>
      <c r="AN5728" t="s">
        <v>8151</v>
      </c>
      <c r="AO5728">
        <v>54000</v>
      </c>
      <c r="AP5728" t="s">
        <v>45942</v>
      </c>
      <c r="AU5728">
        <v>0</v>
      </c>
      <c r="AW5728" t="s">
        <v>286</v>
      </c>
    </row>
    <row r="5729" spans="1:49">
      <c r="A5729" s="1">
        <f>HYPERLINK("https://lsnyc.legalserver.org/matter/dynamic-profile/view/1892770","19-1892770")</f>
        <v>0</v>
      </c>
      <c r="B5729" t="s">
        <v>95</v>
      </c>
      <c r="C5729" t="s">
        <v>340</v>
      </c>
      <c r="D5729" t="s">
        <v>752</v>
      </c>
      <c r="F5729" t="s">
        <v>3400</v>
      </c>
      <c r="G5729" t="s">
        <v>7663</v>
      </c>
      <c r="H5729" t="s">
        <v>12821</v>
      </c>
      <c r="I5729" t="s">
        <v>17496</v>
      </c>
      <c r="J5729" t="s">
        <v>18894</v>
      </c>
      <c r="K5729">
        <v>11233</v>
      </c>
      <c r="L5729" t="s">
        <v>18958</v>
      </c>
      <c r="M5729" t="s">
        <v>18959</v>
      </c>
      <c r="O5729" t="s">
        <v>26531</v>
      </c>
      <c r="P5729" t="s">
        <v>26565</v>
      </c>
      <c r="R5729" t="s">
        <v>26578</v>
      </c>
      <c r="S5729" t="s">
        <v>18958</v>
      </c>
      <c r="U5729" t="s">
        <v>26604</v>
      </c>
      <c r="V5729" t="s">
        <v>26610</v>
      </c>
      <c r="W5729" t="s">
        <v>747</v>
      </c>
      <c r="X5729">
        <v>1200</v>
      </c>
      <c r="Y5729" t="s">
        <v>26652</v>
      </c>
      <c r="Z5729" t="s">
        <v>26530</v>
      </c>
      <c r="AB5729" t="s">
        <v>31061</v>
      </c>
      <c r="AE5729">
        <v>359</v>
      </c>
      <c r="AF5729" t="s">
        <v>45541</v>
      </c>
      <c r="AH5729">
        <v>4</v>
      </c>
      <c r="AI5729">
        <v>2</v>
      </c>
      <c r="AJ5729">
        <v>1</v>
      </c>
      <c r="AK5729">
        <v>281.29</v>
      </c>
      <c r="AN5729" t="s">
        <v>7439</v>
      </c>
      <c r="AO5729">
        <v>60000</v>
      </c>
      <c r="AP5729" t="s">
        <v>45943</v>
      </c>
      <c r="AU5729">
        <v>0</v>
      </c>
      <c r="AW5729" t="s">
        <v>286</v>
      </c>
    </row>
    <row r="5730" spans="1:49">
      <c r="A5730" s="1">
        <f>HYPERLINK("https://lsnyc.legalserver.org/matter/dynamic-profile/view/1892762","19-1892762")</f>
        <v>0</v>
      </c>
      <c r="B5730" t="s">
        <v>95</v>
      </c>
      <c r="C5730" t="s">
        <v>340</v>
      </c>
      <c r="D5730" t="s">
        <v>752</v>
      </c>
      <c r="F5730" t="s">
        <v>3401</v>
      </c>
      <c r="G5730" t="s">
        <v>7664</v>
      </c>
      <c r="H5730" t="s">
        <v>13666</v>
      </c>
      <c r="I5730" t="s">
        <v>17471</v>
      </c>
      <c r="J5730" t="s">
        <v>18894</v>
      </c>
      <c r="K5730">
        <v>11233</v>
      </c>
      <c r="L5730" t="s">
        <v>18958</v>
      </c>
      <c r="M5730" t="s">
        <v>18959</v>
      </c>
      <c r="O5730" t="s">
        <v>26531</v>
      </c>
      <c r="P5730" t="s">
        <v>26565</v>
      </c>
      <c r="R5730" t="s">
        <v>26578</v>
      </c>
      <c r="S5730" t="s">
        <v>18958</v>
      </c>
      <c r="U5730" t="s">
        <v>26604</v>
      </c>
      <c r="V5730" t="s">
        <v>26610</v>
      </c>
      <c r="W5730" t="s">
        <v>747</v>
      </c>
      <c r="X5730">
        <v>1825</v>
      </c>
      <c r="Y5730" t="s">
        <v>26652</v>
      </c>
      <c r="Z5730" t="s">
        <v>26530</v>
      </c>
      <c r="AB5730" t="s">
        <v>31062</v>
      </c>
      <c r="AE5730">
        <v>359</v>
      </c>
      <c r="AF5730" t="s">
        <v>45541</v>
      </c>
      <c r="AH5730">
        <v>1</v>
      </c>
      <c r="AI5730">
        <v>2</v>
      </c>
      <c r="AJ5730">
        <v>0</v>
      </c>
      <c r="AK5730">
        <v>283.86</v>
      </c>
      <c r="AL5730" t="s">
        <v>672</v>
      </c>
      <c r="AM5730" t="s">
        <v>45575</v>
      </c>
      <c r="AN5730" t="s">
        <v>7439</v>
      </c>
      <c r="AO5730">
        <v>48000</v>
      </c>
      <c r="AP5730" t="s">
        <v>45944</v>
      </c>
      <c r="AU5730">
        <v>0</v>
      </c>
      <c r="AW5730" t="s">
        <v>286</v>
      </c>
    </row>
    <row r="5731" spans="1:49">
      <c r="A5731" s="1">
        <f>HYPERLINK("https://lsnyc.legalserver.org/matter/dynamic-profile/view/1892643","19-1892643")</f>
        <v>0</v>
      </c>
      <c r="B5731" t="s">
        <v>95</v>
      </c>
      <c r="C5731" t="s">
        <v>340</v>
      </c>
      <c r="D5731" t="s">
        <v>752</v>
      </c>
      <c r="F5731" t="s">
        <v>1555</v>
      </c>
      <c r="G5731" t="s">
        <v>5761</v>
      </c>
      <c r="H5731" t="s">
        <v>12821</v>
      </c>
      <c r="I5731" t="s">
        <v>18224</v>
      </c>
      <c r="J5731" t="s">
        <v>18894</v>
      </c>
      <c r="K5731">
        <v>11233</v>
      </c>
      <c r="L5731" t="s">
        <v>18958</v>
      </c>
      <c r="M5731" t="s">
        <v>18959</v>
      </c>
      <c r="O5731" t="s">
        <v>26531</v>
      </c>
      <c r="P5731" t="s">
        <v>26565</v>
      </c>
      <c r="R5731" t="s">
        <v>26578</v>
      </c>
      <c r="S5731" t="s">
        <v>18958</v>
      </c>
      <c r="U5731" t="s">
        <v>26604</v>
      </c>
      <c r="V5731" t="s">
        <v>26610</v>
      </c>
      <c r="W5731" t="s">
        <v>747</v>
      </c>
      <c r="X5731">
        <v>812</v>
      </c>
      <c r="Y5731" t="s">
        <v>26652</v>
      </c>
      <c r="Z5731" t="s">
        <v>26530</v>
      </c>
      <c r="AB5731" t="s">
        <v>31063</v>
      </c>
      <c r="AE5731">
        <v>359</v>
      </c>
      <c r="AF5731" t="s">
        <v>45541</v>
      </c>
      <c r="AH5731">
        <v>18</v>
      </c>
      <c r="AI5731">
        <v>1</v>
      </c>
      <c r="AJ5731">
        <v>0</v>
      </c>
      <c r="AK5731">
        <v>320.26</v>
      </c>
      <c r="AN5731" t="s">
        <v>7439</v>
      </c>
      <c r="AO5731">
        <v>40000</v>
      </c>
      <c r="AP5731" t="s">
        <v>45945</v>
      </c>
      <c r="AU5731">
        <v>0</v>
      </c>
      <c r="AW5731" t="s">
        <v>286</v>
      </c>
    </row>
    <row r="5732" spans="1:49">
      <c r="A5732" s="1">
        <f>HYPERLINK("https://lsnyc.legalserver.org/matter/dynamic-profile/view/1892854","19-1892854")</f>
        <v>0</v>
      </c>
      <c r="B5732" t="s">
        <v>95</v>
      </c>
      <c r="C5732" t="s">
        <v>340</v>
      </c>
      <c r="D5732" t="s">
        <v>753</v>
      </c>
      <c r="F5732" t="s">
        <v>3402</v>
      </c>
      <c r="G5732" t="s">
        <v>5266</v>
      </c>
      <c r="H5732" t="s">
        <v>13666</v>
      </c>
      <c r="I5732" t="s">
        <v>18207</v>
      </c>
      <c r="J5732" t="s">
        <v>18894</v>
      </c>
      <c r="K5732">
        <v>11233</v>
      </c>
      <c r="L5732" t="s">
        <v>18958</v>
      </c>
      <c r="M5732" t="s">
        <v>18959</v>
      </c>
      <c r="O5732" t="s">
        <v>26531</v>
      </c>
      <c r="P5732" t="s">
        <v>26565</v>
      </c>
      <c r="R5732" t="s">
        <v>26578</v>
      </c>
      <c r="S5732" t="s">
        <v>18958</v>
      </c>
      <c r="U5732" t="s">
        <v>26604</v>
      </c>
      <c r="V5732" t="s">
        <v>26610</v>
      </c>
      <c r="W5732" t="s">
        <v>747</v>
      </c>
      <c r="X5732">
        <v>833</v>
      </c>
      <c r="Y5732" t="s">
        <v>26652</v>
      </c>
      <c r="Z5732" t="s">
        <v>26530</v>
      </c>
      <c r="AB5732" t="s">
        <v>31064</v>
      </c>
      <c r="AE5732">
        <v>0</v>
      </c>
      <c r="AF5732" t="s">
        <v>45541</v>
      </c>
      <c r="AH5732">
        <v>1</v>
      </c>
      <c r="AI5732">
        <v>1</v>
      </c>
      <c r="AJ5732">
        <v>0</v>
      </c>
      <c r="AK5732">
        <v>344.28</v>
      </c>
      <c r="AL5732" t="s">
        <v>672</v>
      </c>
      <c r="AM5732" t="s">
        <v>45575</v>
      </c>
      <c r="AN5732" t="s">
        <v>7439</v>
      </c>
      <c r="AO5732">
        <v>43000</v>
      </c>
      <c r="AP5732" t="s">
        <v>45946</v>
      </c>
      <c r="AU5732">
        <v>0</v>
      </c>
      <c r="AW5732" t="s">
        <v>286</v>
      </c>
    </row>
    <row r="5733" spans="1:49">
      <c r="A5733" s="1">
        <f>HYPERLINK("https://lsnyc.legalserver.org/matter/dynamic-profile/view/1892865","19-1892865")</f>
        <v>0</v>
      </c>
      <c r="B5733" t="s">
        <v>95</v>
      </c>
      <c r="C5733" t="s">
        <v>340</v>
      </c>
      <c r="D5733" t="s">
        <v>753</v>
      </c>
      <c r="F5733" t="s">
        <v>2542</v>
      </c>
      <c r="G5733" t="s">
        <v>7665</v>
      </c>
      <c r="H5733" t="s">
        <v>13666</v>
      </c>
      <c r="I5733" t="s">
        <v>17410</v>
      </c>
      <c r="J5733" t="s">
        <v>18894</v>
      </c>
      <c r="K5733">
        <v>11233</v>
      </c>
      <c r="L5733" t="s">
        <v>18958</v>
      </c>
      <c r="M5733" t="s">
        <v>18959</v>
      </c>
      <c r="O5733" t="s">
        <v>26531</v>
      </c>
      <c r="P5733" t="s">
        <v>26565</v>
      </c>
      <c r="R5733" t="s">
        <v>26578</v>
      </c>
      <c r="S5733" t="s">
        <v>18958</v>
      </c>
      <c r="U5733" t="s">
        <v>26604</v>
      </c>
      <c r="V5733" t="s">
        <v>26610</v>
      </c>
      <c r="W5733" t="s">
        <v>747</v>
      </c>
      <c r="X5733">
        <v>621.34</v>
      </c>
      <c r="Y5733" t="s">
        <v>26652</v>
      </c>
      <c r="Z5733" t="s">
        <v>26530</v>
      </c>
      <c r="AB5733" t="s">
        <v>31065</v>
      </c>
      <c r="AE5733">
        <v>359</v>
      </c>
      <c r="AF5733" t="s">
        <v>45541</v>
      </c>
      <c r="AH5733">
        <v>18</v>
      </c>
      <c r="AI5733">
        <v>1</v>
      </c>
      <c r="AJ5733">
        <v>0</v>
      </c>
      <c r="AK5733">
        <v>408.33</v>
      </c>
      <c r="AN5733" t="s">
        <v>7439</v>
      </c>
      <c r="AO5733">
        <v>51000</v>
      </c>
      <c r="AP5733" t="s">
        <v>45947</v>
      </c>
      <c r="AU5733">
        <v>0</v>
      </c>
      <c r="AW5733" t="s">
        <v>286</v>
      </c>
    </row>
    <row r="5734" spans="1:49">
      <c r="A5734" s="1">
        <f>HYPERLINK("https://lsnyc.legalserver.org/matter/dynamic-profile/view/1893262","19-1893262")</f>
        <v>0</v>
      </c>
      <c r="B5734" t="s">
        <v>95</v>
      </c>
      <c r="C5734" t="s">
        <v>340</v>
      </c>
      <c r="D5734" t="s">
        <v>759</v>
      </c>
      <c r="F5734" t="s">
        <v>3403</v>
      </c>
      <c r="G5734" t="s">
        <v>5008</v>
      </c>
      <c r="H5734" t="s">
        <v>12646</v>
      </c>
      <c r="I5734" t="s">
        <v>17299</v>
      </c>
      <c r="J5734" t="s">
        <v>18894</v>
      </c>
      <c r="K5734">
        <v>11233</v>
      </c>
      <c r="L5734" t="s">
        <v>18958</v>
      </c>
      <c r="M5734" t="s">
        <v>18959</v>
      </c>
      <c r="N5734" t="s">
        <v>19330</v>
      </c>
      <c r="O5734" t="s">
        <v>26531</v>
      </c>
      <c r="P5734" t="s">
        <v>26565</v>
      </c>
      <c r="R5734" t="s">
        <v>26578</v>
      </c>
      <c r="S5734" t="s">
        <v>18958</v>
      </c>
      <c r="U5734" t="s">
        <v>26604</v>
      </c>
      <c r="V5734" t="s">
        <v>26610</v>
      </c>
      <c r="W5734" t="s">
        <v>747</v>
      </c>
      <c r="X5734">
        <v>1515</v>
      </c>
      <c r="Y5734" t="s">
        <v>26652</v>
      </c>
      <c r="Z5734" t="s">
        <v>26530</v>
      </c>
      <c r="AB5734" t="s">
        <v>31066</v>
      </c>
      <c r="AE5734">
        <v>359</v>
      </c>
      <c r="AF5734" t="s">
        <v>45541</v>
      </c>
      <c r="AG5734" t="s">
        <v>19330</v>
      </c>
      <c r="AH5734">
        <v>2</v>
      </c>
      <c r="AI5734">
        <v>1</v>
      </c>
      <c r="AJ5734">
        <v>0</v>
      </c>
      <c r="AK5734">
        <v>454.64</v>
      </c>
      <c r="AN5734" t="s">
        <v>7439</v>
      </c>
      <c r="AO5734">
        <v>56784</v>
      </c>
      <c r="AP5734" t="s">
        <v>45948</v>
      </c>
      <c r="AU5734">
        <v>0</v>
      </c>
      <c r="AW5734" t="s">
        <v>279</v>
      </c>
    </row>
    <row r="5735" spans="1:49">
      <c r="A5735" s="1">
        <f>HYPERLINK("https://lsnyc.legalserver.org/matter/dynamic-profile/view/1897171","19-1897171")</f>
        <v>0</v>
      </c>
      <c r="B5735" t="s">
        <v>95</v>
      </c>
      <c r="C5735" t="s">
        <v>340</v>
      </c>
      <c r="D5735" t="s">
        <v>760</v>
      </c>
      <c r="F5735" t="s">
        <v>3404</v>
      </c>
      <c r="G5735" t="s">
        <v>7666</v>
      </c>
      <c r="H5735" t="s">
        <v>12646</v>
      </c>
      <c r="I5735" t="s">
        <v>18225</v>
      </c>
      <c r="J5735" t="s">
        <v>18894</v>
      </c>
      <c r="K5735">
        <v>11233</v>
      </c>
      <c r="L5735" t="s">
        <v>18958</v>
      </c>
      <c r="M5735" t="s">
        <v>18959</v>
      </c>
      <c r="O5735" t="s">
        <v>26531</v>
      </c>
      <c r="P5735" t="s">
        <v>26565</v>
      </c>
      <c r="R5735" t="s">
        <v>26578</v>
      </c>
      <c r="S5735" t="s">
        <v>18958</v>
      </c>
      <c r="U5735" t="s">
        <v>26604</v>
      </c>
      <c r="V5735" t="s">
        <v>26610</v>
      </c>
      <c r="W5735" t="s">
        <v>747</v>
      </c>
      <c r="X5735">
        <v>1294.06</v>
      </c>
      <c r="Y5735" t="s">
        <v>26652</v>
      </c>
      <c r="Z5735" t="s">
        <v>26530</v>
      </c>
      <c r="AE5735">
        <v>359</v>
      </c>
      <c r="AF5735" t="s">
        <v>45541</v>
      </c>
      <c r="AG5735" t="s">
        <v>19330</v>
      </c>
      <c r="AH5735">
        <v>27</v>
      </c>
      <c r="AI5735">
        <v>1</v>
      </c>
      <c r="AJ5735">
        <v>0</v>
      </c>
      <c r="AK5735">
        <v>0</v>
      </c>
      <c r="AN5735" t="s">
        <v>7439</v>
      </c>
      <c r="AO5735">
        <v>0</v>
      </c>
      <c r="AP5735" t="s">
        <v>45949</v>
      </c>
      <c r="AU5735">
        <v>0</v>
      </c>
      <c r="AW5735" t="s">
        <v>286</v>
      </c>
    </row>
    <row r="5736" spans="1:49">
      <c r="A5736" s="1">
        <f>HYPERLINK("https://lsnyc.legalserver.org/matter/dynamic-profile/view/1897190","19-1897190")</f>
        <v>0</v>
      </c>
      <c r="B5736" t="s">
        <v>95</v>
      </c>
      <c r="C5736" t="s">
        <v>340</v>
      </c>
      <c r="D5736" t="s">
        <v>760</v>
      </c>
      <c r="F5736" t="s">
        <v>928</v>
      </c>
      <c r="G5736" t="s">
        <v>994</v>
      </c>
      <c r="H5736" t="s">
        <v>12646</v>
      </c>
      <c r="I5736" t="s">
        <v>17293</v>
      </c>
      <c r="J5736" t="s">
        <v>18894</v>
      </c>
      <c r="K5736">
        <v>11233</v>
      </c>
      <c r="L5736" t="s">
        <v>18958</v>
      </c>
      <c r="M5736" t="s">
        <v>18959</v>
      </c>
      <c r="O5736" t="s">
        <v>26531</v>
      </c>
      <c r="P5736" t="s">
        <v>26565</v>
      </c>
      <c r="R5736" t="s">
        <v>26578</v>
      </c>
      <c r="S5736" t="s">
        <v>18958</v>
      </c>
      <c r="U5736" t="s">
        <v>26604</v>
      </c>
      <c r="V5736" t="s">
        <v>26610</v>
      </c>
      <c r="W5736" t="s">
        <v>747</v>
      </c>
      <c r="X5736">
        <v>1014</v>
      </c>
      <c r="Y5736" t="s">
        <v>26652</v>
      </c>
      <c r="Z5736" t="s">
        <v>26530</v>
      </c>
      <c r="AB5736" t="s">
        <v>31067</v>
      </c>
      <c r="AE5736">
        <v>359</v>
      </c>
      <c r="AF5736" t="s">
        <v>45541</v>
      </c>
      <c r="AH5736">
        <v>30</v>
      </c>
      <c r="AI5736">
        <v>1</v>
      </c>
      <c r="AJ5736">
        <v>0</v>
      </c>
      <c r="AK5736">
        <v>0</v>
      </c>
      <c r="AN5736" t="s">
        <v>7439</v>
      </c>
      <c r="AO5736">
        <v>0</v>
      </c>
      <c r="AU5736">
        <v>0</v>
      </c>
      <c r="AW5736" t="s">
        <v>286</v>
      </c>
    </row>
    <row r="5737" spans="1:49">
      <c r="A5737" s="1">
        <f>HYPERLINK("https://lsnyc.legalserver.org/matter/dynamic-profile/view/1897201","19-1897201")</f>
        <v>0</v>
      </c>
      <c r="B5737" t="s">
        <v>95</v>
      </c>
      <c r="C5737" t="s">
        <v>340</v>
      </c>
      <c r="D5737" t="s">
        <v>760</v>
      </c>
      <c r="F5737" t="s">
        <v>3405</v>
      </c>
      <c r="G5737" t="s">
        <v>7667</v>
      </c>
      <c r="H5737" t="s">
        <v>12821</v>
      </c>
      <c r="I5737" t="s">
        <v>18226</v>
      </c>
      <c r="J5737" t="s">
        <v>18894</v>
      </c>
      <c r="K5737">
        <v>11233</v>
      </c>
      <c r="L5737" t="s">
        <v>18958</v>
      </c>
      <c r="M5737" t="s">
        <v>18959</v>
      </c>
      <c r="O5737" t="s">
        <v>26531</v>
      </c>
      <c r="P5737" t="s">
        <v>26565</v>
      </c>
      <c r="R5737" t="s">
        <v>26578</v>
      </c>
      <c r="S5737" t="s">
        <v>18958</v>
      </c>
      <c r="U5737" t="s">
        <v>26604</v>
      </c>
      <c r="V5737" t="s">
        <v>26610</v>
      </c>
      <c r="W5737" t="s">
        <v>747</v>
      </c>
      <c r="X5737">
        <v>0</v>
      </c>
      <c r="Y5737" t="s">
        <v>26652</v>
      </c>
      <c r="Z5737" t="s">
        <v>26530</v>
      </c>
      <c r="AB5737" t="s">
        <v>31068</v>
      </c>
      <c r="AE5737">
        <v>359</v>
      </c>
      <c r="AF5737" t="s">
        <v>45541</v>
      </c>
      <c r="AH5737">
        <v>20</v>
      </c>
      <c r="AI5737">
        <v>1</v>
      </c>
      <c r="AJ5737">
        <v>0</v>
      </c>
      <c r="AK5737">
        <v>0</v>
      </c>
      <c r="AN5737" t="s">
        <v>7439</v>
      </c>
      <c r="AO5737">
        <v>0</v>
      </c>
      <c r="AU5737">
        <v>0</v>
      </c>
      <c r="AW5737" t="s">
        <v>286</v>
      </c>
    </row>
    <row r="5738" spans="1:49">
      <c r="A5738" s="1">
        <f>HYPERLINK("https://lsnyc.legalserver.org/matter/dynamic-profile/view/1897179","19-1897179")</f>
        <v>0</v>
      </c>
      <c r="B5738" t="s">
        <v>95</v>
      </c>
      <c r="C5738" t="s">
        <v>340</v>
      </c>
      <c r="D5738" t="s">
        <v>760</v>
      </c>
      <c r="F5738" t="s">
        <v>939</v>
      </c>
      <c r="G5738" t="s">
        <v>5008</v>
      </c>
      <c r="H5738" t="s">
        <v>12646</v>
      </c>
      <c r="I5738" t="s">
        <v>18227</v>
      </c>
      <c r="J5738" t="s">
        <v>18894</v>
      </c>
      <c r="K5738">
        <v>11233</v>
      </c>
      <c r="L5738" t="s">
        <v>18958</v>
      </c>
      <c r="M5738" t="s">
        <v>18959</v>
      </c>
      <c r="O5738" t="s">
        <v>26531</v>
      </c>
      <c r="P5738" t="s">
        <v>26565</v>
      </c>
      <c r="R5738" t="s">
        <v>26578</v>
      </c>
      <c r="S5738" t="s">
        <v>18958</v>
      </c>
      <c r="U5738" t="s">
        <v>26604</v>
      </c>
      <c r="V5738" t="s">
        <v>26610</v>
      </c>
      <c r="W5738" t="s">
        <v>747</v>
      </c>
      <c r="X5738">
        <v>603.74</v>
      </c>
      <c r="Y5738" t="s">
        <v>26652</v>
      </c>
      <c r="Z5738" t="s">
        <v>26530</v>
      </c>
      <c r="AB5738" t="s">
        <v>31069</v>
      </c>
      <c r="AE5738">
        <v>359</v>
      </c>
      <c r="AF5738" t="s">
        <v>45541</v>
      </c>
      <c r="AH5738">
        <v>50</v>
      </c>
      <c r="AI5738">
        <v>1</v>
      </c>
      <c r="AJ5738">
        <v>0</v>
      </c>
      <c r="AK5738">
        <v>87.33</v>
      </c>
      <c r="AN5738" t="s">
        <v>7439</v>
      </c>
      <c r="AO5738">
        <v>10908</v>
      </c>
      <c r="AP5738" t="s">
        <v>45950</v>
      </c>
      <c r="AU5738">
        <v>0</v>
      </c>
      <c r="AW5738" t="s">
        <v>286</v>
      </c>
    </row>
    <row r="5739" spans="1:49">
      <c r="A5739" s="1">
        <f>HYPERLINK("https://lsnyc.legalserver.org/matter/dynamic-profile/view/1897159","19-1897159")</f>
        <v>0</v>
      </c>
      <c r="B5739" t="s">
        <v>95</v>
      </c>
      <c r="C5739" t="s">
        <v>340</v>
      </c>
      <c r="D5739" t="s">
        <v>760</v>
      </c>
      <c r="F5739" t="s">
        <v>3406</v>
      </c>
      <c r="G5739" t="s">
        <v>1384</v>
      </c>
      <c r="H5739" t="s">
        <v>9692</v>
      </c>
      <c r="I5739" t="s">
        <v>18122</v>
      </c>
      <c r="J5739" t="s">
        <v>18894</v>
      </c>
      <c r="K5739">
        <v>11233</v>
      </c>
      <c r="L5739" t="s">
        <v>18958</v>
      </c>
      <c r="M5739" t="s">
        <v>18959</v>
      </c>
      <c r="O5739" t="s">
        <v>26531</v>
      </c>
      <c r="P5739" t="s">
        <v>26565</v>
      </c>
      <c r="R5739" t="s">
        <v>26578</v>
      </c>
      <c r="S5739" t="s">
        <v>18958</v>
      </c>
      <c r="U5739" t="s">
        <v>26604</v>
      </c>
      <c r="V5739" t="s">
        <v>26610</v>
      </c>
      <c r="W5739" t="s">
        <v>747</v>
      </c>
      <c r="X5739">
        <v>1100</v>
      </c>
      <c r="Y5739" t="s">
        <v>26652</v>
      </c>
      <c r="Z5739" t="s">
        <v>26530</v>
      </c>
      <c r="AB5739" t="s">
        <v>31070</v>
      </c>
      <c r="AE5739">
        <v>359</v>
      </c>
      <c r="AF5739" t="s">
        <v>45541</v>
      </c>
      <c r="AG5739" t="s">
        <v>19330</v>
      </c>
      <c r="AH5739">
        <v>32</v>
      </c>
      <c r="AI5739">
        <v>1</v>
      </c>
      <c r="AJ5739">
        <v>1</v>
      </c>
      <c r="AK5739">
        <v>95.8</v>
      </c>
      <c r="AN5739" t="s">
        <v>7439</v>
      </c>
      <c r="AO5739">
        <v>16200</v>
      </c>
      <c r="AP5739" t="s">
        <v>45951</v>
      </c>
      <c r="AU5739">
        <v>0</v>
      </c>
      <c r="AW5739" t="s">
        <v>286</v>
      </c>
    </row>
    <row r="5740" spans="1:49">
      <c r="A5740" s="1">
        <f>HYPERLINK("https://lsnyc.legalserver.org/matter/dynamic-profile/view/1897206","19-1897206")</f>
        <v>0</v>
      </c>
      <c r="B5740" t="s">
        <v>95</v>
      </c>
      <c r="C5740" t="s">
        <v>340</v>
      </c>
      <c r="D5740" t="s">
        <v>760</v>
      </c>
      <c r="F5740" t="s">
        <v>1228</v>
      </c>
      <c r="G5740" t="s">
        <v>7668</v>
      </c>
      <c r="H5740" t="s">
        <v>13666</v>
      </c>
      <c r="I5740" t="s">
        <v>17322</v>
      </c>
      <c r="J5740" t="s">
        <v>18894</v>
      </c>
      <c r="K5740">
        <v>11233</v>
      </c>
      <c r="L5740" t="s">
        <v>18958</v>
      </c>
      <c r="M5740" t="s">
        <v>18959</v>
      </c>
      <c r="O5740" t="s">
        <v>26531</v>
      </c>
      <c r="P5740" t="s">
        <v>26565</v>
      </c>
      <c r="R5740" t="s">
        <v>26578</v>
      </c>
      <c r="S5740" t="s">
        <v>18958</v>
      </c>
      <c r="U5740" t="s">
        <v>26604</v>
      </c>
      <c r="V5740" t="s">
        <v>26610</v>
      </c>
      <c r="W5740" t="s">
        <v>747</v>
      </c>
      <c r="X5740">
        <v>651</v>
      </c>
      <c r="Y5740" t="s">
        <v>26652</v>
      </c>
      <c r="Z5740" t="s">
        <v>26530</v>
      </c>
      <c r="AB5740" t="s">
        <v>31071</v>
      </c>
      <c r="AE5740">
        <v>359</v>
      </c>
      <c r="AF5740" t="s">
        <v>45541</v>
      </c>
      <c r="AH5740">
        <v>40</v>
      </c>
      <c r="AI5740">
        <v>1</v>
      </c>
      <c r="AJ5740">
        <v>2</v>
      </c>
      <c r="AK5740">
        <v>262.54</v>
      </c>
      <c r="AN5740" t="s">
        <v>45581</v>
      </c>
      <c r="AO5740">
        <v>56000</v>
      </c>
      <c r="AP5740" t="s">
        <v>45952</v>
      </c>
      <c r="AU5740">
        <v>0</v>
      </c>
      <c r="AW5740" t="s">
        <v>286</v>
      </c>
    </row>
    <row r="5741" spans="1:49">
      <c r="A5741" s="1">
        <f>HYPERLINK("https://lsnyc.legalserver.org/matter/dynamic-profile/view/1897400","19-1897400")</f>
        <v>0</v>
      </c>
      <c r="B5741" t="s">
        <v>95</v>
      </c>
      <c r="C5741" t="s">
        <v>340</v>
      </c>
      <c r="D5741" t="s">
        <v>761</v>
      </c>
      <c r="F5741" t="s">
        <v>3407</v>
      </c>
      <c r="G5741" t="s">
        <v>7669</v>
      </c>
      <c r="H5741" t="s">
        <v>9692</v>
      </c>
      <c r="I5741" t="s">
        <v>18228</v>
      </c>
      <c r="J5741" t="s">
        <v>18894</v>
      </c>
      <c r="K5741">
        <v>11233</v>
      </c>
      <c r="L5741" t="s">
        <v>18958</v>
      </c>
      <c r="M5741" t="s">
        <v>18959</v>
      </c>
      <c r="O5741" t="s">
        <v>26531</v>
      </c>
      <c r="P5741" t="s">
        <v>26565</v>
      </c>
      <c r="R5741" t="s">
        <v>26578</v>
      </c>
      <c r="S5741" t="s">
        <v>18958</v>
      </c>
      <c r="U5741" t="s">
        <v>26604</v>
      </c>
      <c r="V5741" t="s">
        <v>26610</v>
      </c>
      <c r="W5741" t="s">
        <v>747</v>
      </c>
      <c r="X5741">
        <v>924.1799999999999</v>
      </c>
      <c r="Y5741" t="s">
        <v>26652</v>
      </c>
      <c r="Z5741" t="s">
        <v>26666</v>
      </c>
      <c r="AB5741" t="s">
        <v>27244</v>
      </c>
      <c r="AE5741">
        <v>359</v>
      </c>
      <c r="AF5741" t="s">
        <v>45541</v>
      </c>
      <c r="AH5741">
        <v>3</v>
      </c>
      <c r="AI5741">
        <v>2</v>
      </c>
      <c r="AJ5741">
        <v>0</v>
      </c>
      <c r="AK5741">
        <v>236.55</v>
      </c>
      <c r="AN5741" t="s">
        <v>7439</v>
      </c>
      <c r="AO5741">
        <v>40000</v>
      </c>
      <c r="AP5741" t="s">
        <v>45875</v>
      </c>
      <c r="AU5741">
        <v>0</v>
      </c>
      <c r="AW5741" t="s">
        <v>279</v>
      </c>
    </row>
    <row r="5742" spans="1:49">
      <c r="A5742" s="1">
        <f>HYPERLINK("https://lsnyc.legalserver.org/matter/dynamic-profile/view/1897406","19-1897406")</f>
        <v>0</v>
      </c>
      <c r="B5742" t="s">
        <v>95</v>
      </c>
      <c r="C5742" t="s">
        <v>340</v>
      </c>
      <c r="D5742" t="s">
        <v>761</v>
      </c>
      <c r="F5742" t="s">
        <v>1573</v>
      </c>
      <c r="G5742" t="s">
        <v>7670</v>
      </c>
      <c r="H5742" t="s">
        <v>9692</v>
      </c>
      <c r="I5742" t="s">
        <v>18229</v>
      </c>
      <c r="J5742" t="s">
        <v>18894</v>
      </c>
      <c r="K5742">
        <v>11233</v>
      </c>
      <c r="L5742" t="s">
        <v>18958</v>
      </c>
      <c r="M5742" t="s">
        <v>18959</v>
      </c>
      <c r="P5742" t="s">
        <v>26565</v>
      </c>
      <c r="R5742" t="s">
        <v>26578</v>
      </c>
      <c r="S5742" t="s">
        <v>18958</v>
      </c>
      <c r="U5742" t="s">
        <v>26604</v>
      </c>
      <c r="V5742" t="s">
        <v>26610</v>
      </c>
      <c r="W5742" t="s">
        <v>747</v>
      </c>
      <c r="X5742">
        <v>601</v>
      </c>
      <c r="Y5742" t="s">
        <v>26652</v>
      </c>
      <c r="Z5742" t="s">
        <v>26666</v>
      </c>
      <c r="AB5742" t="s">
        <v>31072</v>
      </c>
      <c r="AE5742">
        <v>359</v>
      </c>
      <c r="AF5742" t="s">
        <v>45541</v>
      </c>
      <c r="AH5742">
        <v>7</v>
      </c>
      <c r="AI5742">
        <v>1</v>
      </c>
      <c r="AJ5742">
        <v>0</v>
      </c>
      <c r="AK5742">
        <v>264.21</v>
      </c>
      <c r="AN5742" t="s">
        <v>7439</v>
      </c>
      <c r="AO5742">
        <v>33000</v>
      </c>
      <c r="AP5742" t="s">
        <v>45875</v>
      </c>
      <c r="AU5742">
        <v>0</v>
      </c>
      <c r="AW5742" t="s">
        <v>279</v>
      </c>
    </row>
    <row r="5743" spans="1:49">
      <c r="A5743" s="1">
        <f>HYPERLINK("https://lsnyc.legalserver.org/matter/dynamic-profile/view/1897349","19-1897349")</f>
        <v>0</v>
      </c>
      <c r="B5743" t="s">
        <v>95</v>
      </c>
      <c r="C5743" t="s">
        <v>340</v>
      </c>
      <c r="D5743" t="s">
        <v>761</v>
      </c>
      <c r="F5743" t="s">
        <v>1045</v>
      </c>
      <c r="G5743" t="s">
        <v>6055</v>
      </c>
      <c r="H5743" t="s">
        <v>12646</v>
      </c>
      <c r="I5743" t="s">
        <v>17632</v>
      </c>
      <c r="J5743" t="s">
        <v>18894</v>
      </c>
      <c r="K5743">
        <v>11233</v>
      </c>
      <c r="L5743" t="s">
        <v>18958</v>
      </c>
      <c r="M5743" t="s">
        <v>18959</v>
      </c>
      <c r="O5743" t="s">
        <v>26531</v>
      </c>
      <c r="P5743" t="s">
        <v>26565</v>
      </c>
      <c r="R5743" t="s">
        <v>26578</v>
      </c>
      <c r="S5743" t="s">
        <v>18958</v>
      </c>
      <c r="U5743" t="s">
        <v>26604</v>
      </c>
      <c r="V5743" t="s">
        <v>26610</v>
      </c>
      <c r="W5743" t="s">
        <v>747</v>
      </c>
      <c r="X5743">
        <v>780</v>
      </c>
      <c r="Y5743" t="s">
        <v>26652</v>
      </c>
      <c r="Z5743" t="s">
        <v>26666</v>
      </c>
      <c r="AB5743" t="s">
        <v>31073</v>
      </c>
      <c r="AE5743">
        <v>359</v>
      </c>
      <c r="AF5743" t="s">
        <v>45541</v>
      </c>
      <c r="AH5743">
        <v>21</v>
      </c>
      <c r="AI5743">
        <v>2</v>
      </c>
      <c r="AJ5743">
        <v>0</v>
      </c>
      <c r="AK5743">
        <v>266.11</v>
      </c>
      <c r="AN5743" t="s">
        <v>7439</v>
      </c>
      <c r="AO5743">
        <v>45000</v>
      </c>
      <c r="AU5743">
        <v>0</v>
      </c>
      <c r="AW5743" t="s">
        <v>279</v>
      </c>
    </row>
    <row r="5744" spans="1:49">
      <c r="A5744" s="1">
        <f>HYPERLINK("https://lsnyc.legalserver.org/matter/dynamic-profile/view/1897393","19-1897393")</f>
        <v>0</v>
      </c>
      <c r="B5744" t="s">
        <v>95</v>
      </c>
      <c r="C5744" t="s">
        <v>340</v>
      </c>
      <c r="D5744" t="s">
        <v>761</v>
      </c>
      <c r="F5744" t="s">
        <v>1417</v>
      </c>
      <c r="G5744" t="s">
        <v>7671</v>
      </c>
      <c r="H5744" t="s">
        <v>12646</v>
      </c>
      <c r="I5744" t="s">
        <v>18049</v>
      </c>
      <c r="J5744" t="s">
        <v>18894</v>
      </c>
      <c r="K5744">
        <v>11233</v>
      </c>
      <c r="L5744" t="s">
        <v>18958</v>
      </c>
      <c r="M5744" t="s">
        <v>18959</v>
      </c>
      <c r="O5744" t="s">
        <v>26531</v>
      </c>
      <c r="P5744" t="s">
        <v>26565</v>
      </c>
      <c r="R5744" t="s">
        <v>26578</v>
      </c>
      <c r="S5744" t="s">
        <v>18958</v>
      </c>
      <c r="U5744" t="s">
        <v>26604</v>
      </c>
      <c r="V5744" t="s">
        <v>26610</v>
      </c>
      <c r="W5744" t="s">
        <v>747</v>
      </c>
      <c r="X5744">
        <v>1162</v>
      </c>
      <c r="Y5744" t="s">
        <v>26652</v>
      </c>
      <c r="Z5744" t="s">
        <v>26666</v>
      </c>
      <c r="AB5744" t="s">
        <v>31074</v>
      </c>
      <c r="AE5744">
        <v>359</v>
      </c>
      <c r="AF5744" t="s">
        <v>45541</v>
      </c>
      <c r="AH5744">
        <v>30</v>
      </c>
      <c r="AI5744">
        <v>1</v>
      </c>
      <c r="AJ5744">
        <v>0</v>
      </c>
      <c r="AK5744">
        <v>320.26</v>
      </c>
      <c r="AN5744" t="s">
        <v>7439</v>
      </c>
      <c r="AO5744">
        <v>40000</v>
      </c>
      <c r="AP5744" t="s">
        <v>45875</v>
      </c>
      <c r="AU5744">
        <v>0</v>
      </c>
      <c r="AW5744" t="s">
        <v>279</v>
      </c>
    </row>
    <row r="5745" spans="1:49">
      <c r="A5745" s="1">
        <f>HYPERLINK("https://lsnyc.legalserver.org/matter/dynamic-profile/view/1897410","19-1897410")</f>
        <v>0</v>
      </c>
      <c r="B5745" t="s">
        <v>95</v>
      </c>
      <c r="C5745" t="s">
        <v>340</v>
      </c>
      <c r="D5745" t="s">
        <v>761</v>
      </c>
      <c r="F5745" t="s">
        <v>1523</v>
      </c>
      <c r="G5745" t="s">
        <v>7672</v>
      </c>
      <c r="H5745" t="s">
        <v>9692</v>
      </c>
      <c r="I5745" t="s">
        <v>18230</v>
      </c>
      <c r="J5745" t="s">
        <v>18894</v>
      </c>
      <c r="K5745">
        <v>11233</v>
      </c>
      <c r="L5745" t="s">
        <v>18958</v>
      </c>
      <c r="M5745" t="s">
        <v>18959</v>
      </c>
      <c r="P5745" t="s">
        <v>26565</v>
      </c>
      <c r="R5745" t="s">
        <v>26578</v>
      </c>
      <c r="S5745" t="s">
        <v>18958</v>
      </c>
      <c r="U5745" t="s">
        <v>26604</v>
      </c>
      <c r="V5745" t="s">
        <v>26610</v>
      </c>
      <c r="W5745" t="s">
        <v>747</v>
      </c>
      <c r="X5745">
        <v>1000</v>
      </c>
      <c r="Y5745" t="s">
        <v>26652</v>
      </c>
      <c r="Z5745" t="s">
        <v>26666</v>
      </c>
      <c r="AB5745" t="s">
        <v>31075</v>
      </c>
      <c r="AE5745">
        <v>359</v>
      </c>
      <c r="AF5745" t="s">
        <v>45541</v>
      </c>
      <c r="AH5745">
        <v>4</v>
      </c>
      <c r="AI5745">
        <v>3</v>
      </c>
      <c r="AJ5745">
        <v>0</v>
      </c>
      <c r="AK5745">
        <v>375.06</v>
      </c>
      <c r="AN5745" t="s">
        <v>7439</v>
      </c>
      <c r="AO5745">
        <v>80000</v>
      </c>
      <c r="AP5745" t="s">
        <v>45875</v>
      </c>
      <c r="AU5745">
        <v>0</v>
      </c>
      <c r="AW5745" t="s">
        <v>279</v>
      </c>
    </row>
    <row r="5746" spans="1:49">
      <c r="A5746" s="1">
        <f>HYPERLINK("https://lsnyc.legalserver.org/matter/dynamic-profile/view/1897341","19-1897341")</f>
        <v>0</v>
      </c>
      <c r="B5746" t="s">
        <v>95</v>
      </c>
      <c r="C5746" t="s">
        <v>340</v>
      </c>
      <c r="D5746" t="s">
        <v>761</v>
      </c>
      <c r="F5746" t="s">
        <v>1876</v>
      </c>
      <c r="G5746" t="s">
        <v>7673</v>
      </c>
      <c r="H5746" t="s">
        <v>12646</v>
      </c>
      <c r="I5746" t="s">
        <v>17588</v>
      </c>
      <c r="J5746" t="s">
        <v>18894</v>
      </c>
      <c r="K5746">
        <v>11233</v>
      </c>
      <c r="L5746" t="s">
        <v>18958</v>
      </c>
      <c r="M5746" t="s">
        <v>18959</v>
      </c>
      <c r="O5746" t="s">
        <v>26531</v>
      </c>
      <c r="P5746" t="s">
        <v>26565</v>
      </c>
      <c r="R5746" t="s">
        <v>26578</v>
      </c>
      <c r="S5746" t="s">
        <v>18958</v>
      </c>
      <c r="U5746" t="s">
        <v>26604</v>
      </c>
      <c r="V5746" t="s">
        <v>26610</v>
      </c>
      <c r="W5746" t="s">
        <v>747</v>
      </c>
      <c r="X5746">
        <v>1000</v>
      </c>
      <c r="Y5746" t="s">
        <v>26652</v>
      </c>
      <c r="Z5746" t="s">
        <v>26666</v>
      </c>
      <c r="AB5746" t="s">
        <v>31076</v>
      </c>
      <c r="AE5746">
        <v>359</v>
      </c>
      <c r="AF5746" t="s">
        <v>45541</v>
      </c>
      <c r="AH5746">
        <v>50</v>
      </c>
      <c r="AI5746">
        <v>2</v>
      </c>
      <c r="AJ5746">
        <v>0</v>
      </c>
      <c r="AK5746">
        <v>384.39</v>
      </c>
      <c r="AN5746" t="s">
        <v>7439</v>
      </c>
      <c r="AO5746">
        <v>65000</v>
      </c>
      <c r="AP5746" t="s">
        <v>45953</v>
      </c>
      <c r="AU5746">
        <v>0</v>
      </c>
      <c r="AW5746" t="s">
        <v>279</v>
      </c>
    </row>
    <row r="5747" spans="1:49">
      <c r="A5747" s="1">
        <f>HYPERLINK("https://lsnyc.legalserver.org/matter/dynamic-profile/view/1897530","19-1897530")</f>
        <v>0</v>
      </c>
      <c r="B5747" t="s">
        <v>95</v>
      </c>
      <c r="C5747" t="s">
        <v>340</v>
      </c>
      <c r="D5747" t="s">
        <v>762</v>
      </c>
      <c r="F5747" t="s">
        <v>1010</v>
      </c>
      <c r="G5747" t="s">
        <v>7674</v>
      </c>
      <c r="H5747" t="s">
        <v>12646</v>
      </c>
      <c r="I5747" t="s">
        <v>18231</v>
      </c>
      <c r="J5747" t="s">
        <v>18894</v>
      </c>
      <c r="K5747">
        <v>11233</v>
      </c>
      <c r="L5747" t="s">
        <v>18958</v>
      </c>
      <c r="M5747" t="s">
        <v>18959</v>
      </c>
      <c r="O5747" t="s">
        <v>26531</v>
      </c>
      <c r="P5747" t="s">
        <v>26565</v>
      </c>
      <c r="R5747" t="s">
        <v>26578</v>
      </c>
      <c r="S5747" t="s">
        <v>18958</v>
      </c>
      <c r="U5747" t="s">
        <v>26604</v>
      </c>
      <c r="V5747" t="s">
        <v>26610</v>
      </c>
      <c r="W5747" t="s">
        <v>747</v>
      </c>
      <c r="X5747">
        <v>976.08</v>
      </c>
      <c r="Y5747" t="s">
        <v>26652</v>
      </c>
      <c r="Z5747" t="s">
        <v>26666</v>
      </c>
      <c r="AB5747" t="s">
        <v>31077</v>
      </c>
      <c r="AE5747">
        <v>359</v>
      </c>
      <c r="AF5747" t="s">
        <v>45541</v>
      </c>
      <c r="AH5747">
        <v>0</v>
      </c>
      <c r="AI5747">
        <v>1</v>
      </c>
      <c r="AJ5747">
        <v>0</v>
      </c>
      <c r="AK5747">
        <v>0</v>
      </c>
      <c r="AN5747" t="s">
        <v>7439</v>
      </c>
      <c r="AO5747">
        <v>0</v>
      </c>
      <c r="AP5747" t="s">
        <v>45954</v>
      </c>
      <c r="AU5747">
        <v>0</v>
      </c>
      <c r="AW5747" t="s">
        <v>279</v>
      </c>
    </row>
    <row r="5748" spans="1:49">
      <c r="A5748" s="1">
        <f>HYPERLINK("https://lsnyc.legalserver.org/matter/dynamic-profile/view/1897517","19-1897517")</f>
        <v>0</v>
      </c>
      <c r="B5748" t="s">
        <v>95</v>
      </c>
      <c r="C5748" t="s">
        <v>340</v>
      </c>
      <c r="D5748" t="s">
        <v>762</v>
      </c>
      <c r="F5748" t="s">
        <v>3408</v>
      </c>
      <c r="G5748" t="s">
        <v>7675</v>
      </c>
      <c r="H5748" t="s">
        <v>9692</v>
      </c>
      <c r="I5748" t="s">
        <v>17484</v>
      </c>
      <c r="J5748" t="s">
        <v>18894</v>
      </c>
      <c r="K5748">
        <v>11233</v>
      </c>
      <c r="L5748" t="s">
        <v>18958</v>
      </c>
      <c r="M5748" t="s">
        <v>18959</v>
      </c>
      <c r="O5748" t="s">
        <v>26531</v>
      </c>
      <c r="P5748" t="s">
        <v>26565</v>
      </c>
      <c r="R5748" t="s">
        <v>26578</v>
      </c>
      <c r="S5748" t="s">
        <v>18959</v>
      </c>
      <c r="U5748" t="s">
        <v>26604</v>
      </c>
      <c r="V5748" t="s">
        <v>26610</v>
      </c>
      <c r="W5748" t="s">
        <v>747</v>
      </c>
      <c r="X5748">
        <v>0</v>
      </c>
      <c r="Y5748" t="s">
        <v>26652</v>
      </c>
      <c r="AB5748" t="s">
        <v>31078</v>
      </c>
      <c r="AE5748">
        <v>359</v>
      </c>
      <c r="AF5748" t="s">
        <v>45541</v>
      </c>
      <c r="AH5748">
        <v>0</v>
      </c>
      <c r="AI5748">
        <v>2</v>
      </c>
      <c r="AJ5748">
        <v>3</v>
      </c>
      <c r="AK5748">
        <v>142.53</v>
      </c>
      <c r="AN5748" t="s">
        <v>26530</v>
      </c>
      <c r="AO5748">
        <v>43000</v>
      </c>
      <c r="AP5748" t="s">
        <v>45955</v>
      </c>
      <c r="AU5748">
        <v>0</v>
      </c>
      <c r="AW5748" t="s">
        <v>279</v>
      </c>
    </row>
    <row r="5749" spans="1:49">
      <c r="A5749" s="1">
        <f>HYPERLINK("https://lsnyc.legalserver.org/matter/dynamic-profile/view/1897521","19-1897521")</f>
        <v>0</v>
      </c>
      <c r="B5749" t="s">
        <v>95</v>
      </c>
      <c r="C5749" t="s">
        <v>340</v>
      </c>
      <c r="D5749" t="s">
        <v>762</v>
      </c>
      <c r="F5749" t="s">
        <v>1106</v>
      </c>
      <c r="G5749" t="s">
        <v>5079</v>
      </c>
      <c r="H5749" t="s">
        <v>9692</v>
      </c>
      <c r="I5749" t="s">
        <v>18232</v>
      </c>
      <c r="J5749" t="s">
        <v>18894</v>
      </c>
      <c r="K5749">
        <v>11233</v>
      </c>
      <c r="L5749" t="s">
        <v>18958</v>
      </c>
      <c r="M5749" t="s">
        <v>18959</v>
      </c>
      <c r="O5749" t="s">
        <v>26531</v>
      </c>
      <c r="P5749" t="s">
        <v>26565</v>
      </c>
      <c r="R5749" t="s">
        <v>26578</v>
      </c>
      <c r="S5749" t="s">
        <v>18958</v>
      </c>
      <c r="U5749" t="s">
        <v>26604</v>
      </c>
      <c r="V5749" t="s">
        <v>26610</v>
      </c>
      <c r="W5749" t="s">
        <v>747</v>
      </c>
      <c r="X5749">
        <v>981</v>
      </c>
      <c r="Y5749" t="s">
        <v>26652</v>
      </c>
      <c r="AB5749" t="s">
        <v>31079</v>
      </c>
      <c r="AE5749">
        <v>359</v>
      </c>
      <c r="AF5749" t="s">
        <v>45541</v>
      </c>
      <c r="AH5749">
        <v>20</v>
      </c>
      <c r="AI5749">
        <v>1</v>
      </c>
      <c r="AJ5749">
        <v>1</v>
      </c>
      <c r="AK5749">
        <v>189.24</v>
      </c>
      <c r="AN5749" t="s">
        <v>7439</v>
      </c>
      <c r="AO5749">
        <v>32000</v>
      </c>
      <c r="AP5749" t="s">
        <v>45956</v>
      </c>
      <c r="AU5749">
        <v>0</v>
      </c>
      <c r="AW5749" t="s">
        <v>279</v>
      </c>
    </row>
    <row r="5750" spans="1:49">
      <c r="A5750" s="1">
        <f>HYPERLINK("https://lsnyc.legalserver.org/matter/dynamic-profile/view/1897526","19-1897526")</f>
        <v>0</v>
      </c>
      <c r="B5750" t="s">
        <v>95</v>
      </c>
      <c r="C5750" t="s">
        <v>340</v>
      </c>
      <c r="D5750" t="s">
        <v>762</v>
      </c>
      <c r="F5750" t="s">
        <v>938</v>
      </c>
      <c r="G5750" t="s">
        <v>995</v>
      </c>
      <c r="H5750" t="s">
        <v>12646</v>
      </c>
      <c r="I5750" t="s">
        <v>18233</v>
      </c>
      <c r="J5750" t="s">
        <v>18894</v>
      </c>
      <c r="K5750">
        <v>11233</v>
      </c>
      <c r="L5750" t="s">
        <v>18958</v>
      </c>
      <c r="M5750" t="s">
        <v>18959</v>
      </c>
      <c r="N5750" t="s">
        <v>19330</v>
      </c>
      <c r="O5750" t="s">
        <v>26531</v>
      </c>
      <c r="P5750" t="s">
        <v>26565</v>
      </c>
      <c r="R5750" t="s">
        <v>26578</v>
      </c>
      <c r="S5750" t="s">
        <v>18958</v>
      </c>
      <c r="U5750" t="s">
        <v>26604</v>
      </c>
      <c r="V5750" t="s">
        <v>26610</v>
      </c>
      <c r="W5750" t="s">
        <v>747</v>
      </c>
      <c r="X5750">
        <v>1225.26</v>
      </c>
      <c r="Y5750" t="s">
        <v>26652</v>
      </c>
      <c r="Z5750" t="s">
        <v>26666</v>
      </c>
      <c r="AB5750" t="s">
        <v>31080</v>
      </c>
      <c r="AC5750" t="s">
        <v>19330</v>
      </c>
      <c r="AE5750">
        <v>359</v>
      </c>
      <c r="AF5750" t="s">
        <v>45541</v>
      </c>
      <c r="AG5750" t="s">
        <v>19330</v>
      </c>
      <c r="AH5750">
        <v>0</v>
      </c>
      <c r="AI5750">
        <v>1</v>
      </c>
      <c r="AJ5750">
        <v>0</v>
      </c>
      <c r="AK5750">
        <v>236.19</v>
      </c>
      <c r="AN5750" t="s">
        <v>7439</v>
      </c>
      <c r="AO5750">
        <v>29500</v>
      </c>
      <c r="AP5750" t="s">
        <v>45957</v>
      </c>
      <c r="AU5750">
        <v>0</v>
      </c>
      <c r="AW5750" t="s">
        <v>279</v>
      </c>
    </row>
    <row r="5751" spans="1:49">
      <c r="A5751" s="1">
        <f>HYPERLINK("https://lsnyc.legalserver.org/matter/dynamic-profile/view/1897535","19-1897535")</f>
        <v>0</v>
      </c>
      <c r="B5751" t="s">
        <v>95</v>
      </c>
      <c r="C5751" t="s">
        <v>340</v>
      </c>
      <c r="D5751" t="s">
        <v>762</v>
      </c>
      <c r="F5751" t="s">
        <v>2272</v>
      </c>
      <c r="G5751" t="s">
        <v>7676</v>
      </c>
      <c r="H5751" t="s">
        <v>12646</v>
      </c>
      <c r="I5751" t="s">
        <v>18052</v>
      </c>
      <c r="J5751" t="s">
        <v>18894</v>
      </c>
      <c r="K5751">
        <v>11233</v>
      </c>
      <c r="L5751" t="s">
        <v>18958</v>
      </c>
      <c r="M5751" t="s">
        <v>18959</v>
      </c>
      <c r="O5751" t="s">
        <v>26531</v>
      </c>
      <c r="P5751" t="s">
        <v>26565</v>
      </c>
      <c r="R5751" t="s">
        <v>26578</v>
      </c>
      <c r="S5751" t="s">
        <v>18958</v>
      </c>
      <c r="U5751" t="s">
        <v>26604</v>
      </c>
      <c r="V5751" t="s">
        <v>26610</v>
      </c>
      <c r="W5751" t="s">
        <v>747</v>
      </c>
      <c r="X5751">
        <v>0</v>
      </c>
      <c r="Y5751" t="s">
        <v>26652</v>
      </c>
      <c r="Z5751" t="s">
        <v>26666</v>
      </c>
      <c r="AB5751" t="s">
        <v>28044</v>
      </c>
      <c r="AE5751">
        <v>359</v>
      </c>
      <c r="AF5751" t="s">
        <v>45541</v>
      </c>
      <c r="AH5751">
        <v>40</v>
      </c>
      <c r="AI5751">
        <v>1</v>
      </c>
      <c r="AJ5751">
        <v>0</v>
      </c>
      <c r="AK5751">
        <v>264.21</v>
      </c>
      <c r="AN5751" t="s">
        <v>7439</v>
      </c>
      <c r="AO5751">
        <v>33000</v>
      </c>
      <c r="AP5751" t="s">
        <v>45958</v>
      </c>
      <c r="AU5751">
        <v>0</v>
      </c>
      <c r="AW5751" t="s">
        <v>279</v>
      </c>
    </row>
    <row r="5752" spans="1:49">
      <c r="A5752" s="1">
        <f>HYPERLINK("https://lsnyc.legalserver.org/matter/dynamic-profile/view/1897614","19-1897614")</f>
        <v>0</v>
      </c>
      <c r="B5752" t="s">
        <v>95</v>
      </c>
      <c r="C5752" t="s">
        <v>340</v>
      </c>
      <c r="D5752" t="s">
        <v>763</v>
      </c>
      <c r="F5752" t="s">
        <v>1174</v>
      </c>
      <c r="G5752" t="s">
        <v>7677</v>
      </c>
      <c r="H5752" t="s">
        <v>9692</v>
      </c>
      <c r="I5752" t="s">
        <v>18135</v>
      </c>
      <c r="J5752" t="s">
        <v>18894</v>
      </c>
      <c r="K5752">
        <v>11233</v>
      </c>
      <c r="L5752" t="s">
        <v>18958</v>
      </c>
      <c r="M5752" t="s">
        <v>18959</v>
      </c>
      <c r="O5752" t="s">
        <v>26531</v>
      </c>
      <c r="P5752" t="s">
        <v>26565</v>
      </c>
      <c r="R5752" t="s">
        <v>26578</v>
      </c>
      <c r="S5752" t="s">
        <v>18958</v>
      </c>
      <c r="U5752" t="s">
        <v>26604</v>
      </c>
      <c r="V5752" t="s">
        <v>26610</v>
      </c>
      <c r="W5752" t="s">
        <v>747</v>
      </c>
      <c r="X5752">
        <v>865</v>
      </c>
      <c r="Y5752" t="s">
        <v>26652</v>
      </c>
      <c r="Z5752" t="s">
        <v>26666</v>
      </c>
      <c r="AB5752" t="s">
        <v>31081</v>
      </c>
      <c r="AE5752">
        <v>359</v>
      </c>
      <c r="AF5752" t="s">
        <v>45541</v>
      </c>
      <c r="AH5752">
        <v>26</v>
      </c>
      <c r="AI5752">
        <v>1</v>
      </c>
      <c r="AJ5752">
        <v>0</v>
      </c>
      <c r="AK5752">
        <v>256.2</v>
      </c>
      <c r="AN5752" t="s">
        <v>7439</v>
      </c>
      <c r="AO5752">
        <v>32000</v>
      </c>
      <c r="AP5752" t="s">
        <v>45959</v>
      </c>
      <c r="AU5752">
        <v>0</v>
      </c>
      <c r="AW5752" t="s">
        <v>279</v>
      </c>
    </row>
    <row r="5753" spans="1:49">
      <c r="A5753" s="1">
        <f>HYPERLINK("https://lsnyc.legalserver.org/matter/dynamic-profile/view/1897606","19-1897606")</f>
        <v>0</v>
      </c>
      <c r="B5753" t="s">
        <v>95</v>
      </c>
      <c r="C5753" t="s">
        <v>340</v>
      </c>
      <c r="D5753" t="s">
        <v>763</v>
      </c>
      <c r="F5753" t="s">
        <v>2735</v>
      </c>
      <c r="G5753" t="s">
        <v>7678</v>
      </c>
      <c r="H5753" t="s">
        <v>9692</v>
      </c>
      <c r="I5753" t="s">
        <v>17586</v>
      </c>
      <c r="J5753" t="s">
        <v>18894</v>
      </c>
      <c r="K5753">
        <v>11233</v>
      </c>
      <c r="L5753" t="s">
        <v>18958</v>
      </c>
      <c r="M5753" t="s">
        <v>18959</v>
      </c>
      <c r="O5753" t="s">
        <v>26531</v>
      </c>
      <c r="P5753" t="s">
        <v>26565</v>
      </c>
      <c r="R5753" t="s">
        <v>26578</v>
      </c>
      <c r="S5753" t="s">
        <v>18958</v>
      </c>
      <c r="U5753" t="s">
        <v>26604</v>
      </c>
      <c r="V5753" t="s">
        <v>26610</v>
      </c>
      <c r="W5753" t="s">
        <v>747</v>
      </c>
      <c r="X5753">
        <v>829.45</v>
      </c>
      <c r="Y5753" t="s">
        <v>26652</v>
      </c>
      <c r="Z5753" t="s">
        <v>26666</v>
      </c>
      <c r="AB5753" t="s">
        <v>31082</v>
      </c>
      <c r="AE5753">
        <v>359</v>
      </c>
      <c r="AF5753" t="s">
        <v>45541</v>
      </c>
      <c r="AH5753">
        <v>8</v>
      </c>
      <c r="AI5753">
        <v>1</v>
      </c>
      <c r="AJ5753">
        <v>0</v>
      </c>
      <c r="AK5753">
        <v>398.72</v>
      </c>
      <c r="AN5753" t="s">
        <v>7439</v>
      </c>
      <c r="AO5753">
        <v>49800</v>
      </c>
      <c r="AP5753" t="s">
        <v>45960</v>
      </c>
      <c r="AU5753">
        <v>0</v>
      </c>
      <c r="AW5753" t="s">
        <v>279</v>
      </c>
    </row>
    <row r="5754" spans="1:49">
      <c r="A5754" s="1">
        <f>HYPERLINK("https://lsnyc.legalserver.org/matter/dynamic-profile/view/1897704","19-1897704")</f>
        <v>0</v>
      </c>
      <c r="B5754" t="s">
        <v>95</v>
      </c>
      <c r="C5754" t="s">
        <v>340</v>
      </c>
      <c r="D5754" t="s">
        <v>764</v>
      </c>
      <c r="F5754" t="s">
        <v>3409</v>
      </c>
      <c r="G5754" t="s">
        <v>7679</v>
      </c>
      <c r="H5754" t="s">
        <v>13666</v>
      </c>
      <c r="I5754" t="s">
        <v>18234</v>
      </c>
      <c r="J5754" t="s">
        <v>18894</v>
      </c>
      <c r="K5754">
        <v>11233</v>
      </c>
      <c r="L5754" t="s">
        <v>18958</v>
      </c>
      <c r="M5754" t="s">
        <v>18959</v>
      </c>
      <c r="O5754" t="s">
        <v>26531</v>
      </c>
      <c r="P5754" t="s">
        <v>26565</v>
      </c>
      <c r="R5754" t="s">
        <v>26578</v>
      </c>
      <c r="S5754" t="s">
        <v>18958</v>
      </c>
      <c r="U5754" t="s">
        <v>26604</v>
      </c>
      <c r="V5754" t="s">
        <v>26610</v>
      </c>
      <c r="W5754" t="s">
        <v>747</v>
      </c>
      <c r="X5754">
        <v>1330</v>
      </c>
      <c r="Y5754" t="s">
        <v>26652</v>
      </c>
      <c r="Z5754" t="s">
        <v>26530</v>
      </c>
      <c r="AB5754" t="s">
        <v>31083</v>
      </c>
      <c r="AE5754">
        <v>359</v>
      </c>
      <c r="AF5754" t="s">
        <v>45541</v>
      </c>
      <c r="AH5754">
        <v>24</v>
      </c>
      <c r="AI5754">
        <v>4</v>
      </c>
      <c r="AJ5754">
        <v>2</v>
      </c>
      <c r="AK5754">
        <v>130.1</v>
      </c>
      <c r="AN5754" t="s">
        <v>26530</v>
      </c>
      <c r="AO5754">
        <v>45000</v>
      </c>
      <c r="AP5754" t="s">
        <v>45961</v>
      </c>
      <c r="AU5754">
        <v>0</v>
      </c>
      <c r="AW5754" t="s">
        <v>286</v>
      </c>
    </row>
    <row r="5755" spans="1:49">
      <c r="A5755" s="1">
        <f>HYPERLINK("https://lsnyc.legalserver.org/matter/dynamic-profile/view/1897985","19-1897985")</f>
        <v>0</v>
      </c>
      <c r="B5755" t="s">
        <v>95</v>
      </c>
      <c r="C5755" t="s">
        <v>340</v>
      </c>
      <c r="D5755" t="s">
        <v>766</v>
      </c>
      <c r="F5755" t="s">
        <v>1677</v>
      </c>
      <c r="G5755" t="s">
        <v>5454</v>
      </c>
      <c r="H5755" t="s">
        <v>9692</v>
      </c>
      <c r="I5755" t="s">
        <v>18235</v>
      </c>
      <c r="J5755" t="s">
        <v>18894</v>
      </c>
      <c r="K5755">
        <v>11233</v>
      </c>
      <c r="L5755" t="s">
        <v>18958</v>
      </c>
      <c r="M5755" t="s">
        <v>18959</v>
      </c>
      <c r="O5755" t="s">
        <v>26531</v>
      </c>
      <c r="P5755" t="s">
        <v>26565</v>
      </c>
      <c r="R5755" t="s">
        <v>26578</v>
      </c>
      <c r="S5755" t="s">
        <v>18958</v>
      </c>
      <c r="U5755" t="s">
        <v>26604</v>
      </c>
      <c r="V5755" t="s">
        <v>26610</v>
      </c>
      <c r="W5755" t="s">
        <v>747</v>
      </c>
      <c r="X5755">
        <v>1300</v>
      </c>
      <c r="Y5755" t="s">
        <v>26652</v>
      </c>
      <c r="Z5755" t="s">
        <v>26530</v>
      </c>
      <c r="AB5755" t="s">
        <v>31084</v>
      </c>
      <c r="AE5755">
        <v>359</v>
      </c>
      <c r="AF5755" t="s">
        <v>45541</v>
      </c>
      <c r="AH5755">
        <v>3</v>
      </c>
      <c r="AI5755">
        <v>2</v>
      </c>
      <c r="AJ5755">
        <v>1</v>
      </c>
      <c r="AK5755">
        <v>93.76000000000001</v>
      </c>
      <c r="AN5755" t="s">
        <v>7439</v>
      </c>
      <c r="AO5755">
        <v>20000</v>
      </c>
      <c r="AP5755" t="s">
        <v>45962</v>
      </c>
      <c r="AU5755">
        <v>0</v>
      </c>
      <c r="AW5755" t="s">
        <v>286</v>
      </c>
    </row>
    <row r="5756" spans="1:49">
      <c r="A5756" s="1">
        <f>HYPERLINK("https://lsnyc.legalserver.org/matter/dynamic-profile/view/1898037","19-1898037")</f>
        <v>0</v>
      </c>
      <c r="B5756" t="s">
        <v>95</v>
      </c>
      <c r="C5756" t="s">
        <v>340</v>
      </c>
      <c r="D5756" t="s">
        <v>766</v>
      </c>
      <c r="F5756" t="s">
        <v>1318</v>
      </c>
      <c r="G5756" t="s">
        <v>7658</v>
      </c>
      <c r="H5756" t="s">
        <v>9692</v>
      </c>
      <c r="I5756" t="s">
        <v>18236</v>
      </c>
      <c r="J5756" t="s">
        <v>18894</v>
      </c>
      <c r="K5756">
        <v>11233</v>
      </c>
      <c r="L5756" t="s">
        <v>18958</v>
      </c>
      <c r="M5756" t="s">
        <v>18959</v>
      </c>
      <c r="O5756" t="s">
        <v>26531</v>
      </c>
      <c r="P5756" t="s">
        <v>26565</v>
      </c>
      <c r="R5756" t="s">
        <v>26578</v>
      </c>
      <c r="S5756" t="s">
        <v>18958</v>
      </c>
      <c r="U5756" t="s">
        <v>26604</v>
      </c>
      <c r="V5756" t="s">
        <v>26610</v>
      </c>
      <c r="W5756" t="s">
        <v>747</v>
      </c>
      <c r="X5756">
        <v>1059</v>
      </c>
      <c r="Y5756" t="s">
        <v>26652</v>
      </c>
      <c r="Z5756" t="s">
        <v>26530</v>
      </c>
      <c r="AB5756" t="s">
        <v>30484</v>
      </c>
      <c r="AE5756">
        <v>359</v>
      </c>
      <c r="AF5756" t="s">
        <v>45541</v>
      </c>
      <c r="AH5756">
        <v>39</v>
      </c>
      <c r="AI5756">
        <v>2</v>
      </c>
      <c r="AJ5756">
        <v>1</v>
      </c>
      <c r="AK5756">
        <v>178.15</v>
      </c>
      <c r="AN5756" t="s">
        <v>7439</v>
      </c>
      <c r="AO5756">
        <v>38000</v>
      </c>
      <c r="AP5756" t="s">
        <v>45963</v>
      </c>
      <c r="AU5756">
        <v>0</v>
      </c>
      <c r="AW5756" t="s">
        <v>286</v>
      </c>
    </row>
    <row r="5757" spans="1:49">
      <c r="A5757" s="1">
        <f>HYPERLINK("https://lsnyc.legalserver.org/matter/dynamic-profile/view/1898027","19-1898027")</f>
        <v>0</v>
      </c>
      <c r="B5757" t="s">
        <v>95</v>
      </c>
      <c r="C5757" t="s">
        <v>340</v>
      </c>
      <c r="D5757" t="s">
        <v>766</v>
      </c>
      <c r="F5757" t="s">
        <v>1480</v>
      </c>
      <c r="G5757" t="s">
        <v>6811</v>
      </c>
      <c r="H5757" t="s">
        <v>13666</v>
      </c>
      <c r="I5757" t="s">
        <v>17425</v>
      </c>
      <c r="J5757" t="s">
        <v>18894</v>
      </c>
      <c r="K5757">
        <v>11233</v>
      </c>
      <c r="L5757" t="s">
        <v>18958</v>
      </c>
      <c r="M5757" t="s">
        <v>18959</v>
      </c>
      <c r="O5757" t="s">
        <v>26531</v>
      </c>
      <c r="P5757" t="s">
        <v>26565</v>
      </c>
      <c r="R5757" t="s">
        <v>26578</v>
      </c>
      <c r="S5757" t="s">
        <v>18958</v>
      </c>
      <c r="U5757" t="s">
        <v>26604</v>
      </c>
      <c r="V5757" t="s">
        <v>26610</v>
      </c>
      <c r="W5757" t="s">
        <v>747</v>
      </c>
      <c r="X5757">
        <v>836.36</v>
      </c>
      <c r="Y5757" t="s">
        <v>26652</v>
      </c>
      <c r="Z5757" t="s">
        <v>26530</v>
      </c>
      <c r="AB5757" t="s">
        <v>31085</v>
      </c>
      <c r="AD5757" t="s">
        <v>41271</v>
      </c>
      <c r="AE5757">
        <v>359</v>
      </c>
      <c r="AF5757" t="s">
        <v>45541</v>
      </c>
      <c r="AH5757">
        <v>16</v>
      </c>
      <c r="AI5757">
        <v>1</v>
      </c>
      <c r="AJ5757">
        <v>0</v>
      </c>
      <c r="AK5757">
        <v>216.17</v>
      </c>
      <c r="AN5757" t="s">
        <v>7439</v>
      </c>
      <c r="AO5757">
        <v>27000</v>
      </c>
      <c r="AP5757" t="s">
        <v>45964</v>
      </c>
      <c r="AU5757">
        <v>0</v>
      </c>
      <c r="AW5757" t="s">
        <v>286</v>
      </c>
    </row>
    <row r="5758" spans="1:49">
      <c r="A5758" s="1">
        <f>HYPERLINK("https://lsnyc.legalserver.org/matter/dynamic-profile/view/1898252","19-1898252")</f>
        <v>0</v>
      </c>
      <c r="B5758" t="s">
        <v>95</v>
      </c>
      <c r="C5758" t="s">
        <v>340</v>
      </c>
      <c r="D5758" t="s">
        <v>767</v>
      </c>
      <c r="F5758" t="s">
        <v>1024</v>
      </c>
      <c r="G5758" t="s">
        <v>5266</v>
      </c>
      <c r="H5758" t="s">
        <v>12821</v>
      </c>
      <c r="I5758" t="s">
        <v>17696</v>
      </c>
      <c r="J5758" t="s">
        <v>18894</v>
      </c>
      <c r="K5758">
        <v>11233</v>
      </c>
      <c r="L5758" t="s">
        <v>18958</v>
      </c>
      <c r="M5758" t="s">
        <v>18959</v>
      </c>
      <c r="O5758" t="s">
        <v>26531</v>
      </c>
      <c r="P5758" t="s">
        <v>26565</v>
      </c>
      <c r="R5758" t="s">
        <v>26578</v>
      </c>
      <c r="S5758" t="s">
        <v>18958</v>
      </c>
      <c r="U5758" t="s">
        <v>26604</v>
      </c>
      <c r="V5758" t="s">
        <v>26610</v>
      </c>
      <c r="W5758" t="s">
        <v>747</v>
      </c>
      <c r="X5758">
        <v>1000</v>
      </c>
      <c r="Y5758" t="s">
        <v>26652</v>
      </c>
      <c r="Z5758" t="s">
        <v>26530</v>
      </c>
      <c r="AB5758" t="s">
        <v>31086</v>
      </c>
      <c r="AE5758">
        <v>359</v>
      </c>
      <c r="AF5758" t="s">
        <v>45541</v>
      </c>
      <c r="AH5758">
        <v>25</v>
      </c>
      <c r="AI5758">
        <v>2</v>
      </c>
      <c r="AJ5758">
        <v>0</v>
      </c>
      <c r="AK5758">
        <v>42.58</v>
      </c>
      <c r="AN5758" t="s">
        <v>7439</v>
      </c>
      <c r="AO5758">
        <v>7200</v>
      </c>
      <c r="AP5758" t="s">
        <v>45965</v>
      </c>
      <c r="AU5758">
        <v>0</v>
      </c>
      <c r="AW5758" t="s">
        <v>286</v>
      </c>
    </row>
    <row r="5759" spans="1:49">
      <c r="A5759" s="1">
        <f>HYPERLINK("https://lsnyc.legalserver.org/matter/dynamic-profile/view/1898244","19-1898244")</f>
        <v>0</v>
      </c>
      <c r="B5759" t="s">
        <v>95</v>
      </c>
      <c r="C5759" t="s">
        <v>340</v>
      </c>
      <c r="D5759" t="s">
        <v>767</v>
      </c>
      <c r="F5759" t="s">
        <v>3410</v>
      </c>
      <c r="G5759" t="s">
        <v>7680</v>
      </c>
      <c r="H5759" t="s">
        <v>9692</v>
      </c>
      <c r="I5759" t="s">
        <v>18237</v>
      </c>
      <c r="J5759" t="s">
        <v>18894</v>
      </c>
      <c r="K5759">
        <v>11233</v>
      </c>
      <c r="L5759" t="s">
        <v>18958</v>
      </c>
      <c r="M5759" t="s">
        <v>18959</v>
      </c>
      <c r="O5759" t="s">
        <v>26531</v>
      </c>
      <c r="P5759" t="s">
        <v>26565</v>
      </c>
      <c r="R5759" t="s">
        <v>26578</v>
      </c>
      <c r="S5759" t="s">
        <v>18958</v>
      </c>
      <c r="U5759" t="s">
        <v>26604</v>
      </c>
      <c r="V5759" t="s">
        <v>26610</v>
      </c>
      <c r="W5759" t="s">
        <v>747</v>
      </c>
      <c r="X5759">
        <v>1024</v>
      </c>
      <c r="Y5759" t="s">
        <v>26652</v>
      </c>
      <c r="Z5759" t="s">
        <v>26530</v>
      </c>
      <c r="AB5759" t="s">
        <v>31087</v>
      </c>
      <c r="AE5759">
        <v>359</v>
      </c>
      <c r="AF5759" t="s">
        <v>45541</v>
      </c>
      <c r="AH5759">
        <v>24</v>
      </c>
      <c r="AI5759">
        <v>3</v>
      </c>
      <c r="AJ5759">
        <v>1</v>
      </c>
      <c r="AK5759">
        <v>271.84</v>
      </c>
      <c r="AN5759" t="s">
        <v>7439</v>
      </c>
      <c r="AO5759">
        <v>70000</v>
      </c>
      <c r="AP5759" t="s">
        <v>45966</v>
      </c>
      <c r="AU5759">
        <v>0</v>
      </c>
      <c r="AW5759" t="s">
        <v>286</v>
      </c>
    </row>
    <row r="5760" spans="1:49">
      <c r="A5760" s="1">
        <f>HYPERLINK("https://lsnyc.legalserver.org/matter/dynamic-profile/view/1898269","19-1898269")</f>
        <v>0</v>
      </c>
      <c r="B5760" t="s">
        <v>95</v>
      </c>
      <c r="C5760" t="s">
        <v>340</v>
      </c>
      <c r="D5760" t="s">
        <v>767</v>
      </c>
      <c r="F5760" t="s">
        <v>3412</v>
      </c>
      <c r="G5760" t="s">
        <v>4160</v>
      </c>
      <c r="H5760" t="s">
        <v>9692</v>
      </c>
      <c r="I5760" t="s">
        <v>17379</v>
      </c>
      <c r="J5760" t="s">
        <v>18894</v>
      </c>
      <c r="K5760">
        <v>11233</v>
      </c>
      <c r="L5760" t="s">
        <v>18958</v>
      </c>
      <c r="M5760" t="s">
        <v>18959</v>
      </c>
      <c r="O5760" t="s">
        <v>26531</v>
      </c>
      <c r="P5760" t="s">
        <v>26565</v>
      </c>
      <c r="R5760" t="s">
        <v>26578</v>
      </c>
      <c r="S5760" t="s">
        <v>18958</v>
      </c>
      <c r="U5760" t="s">
        <v>26604</v>
      </c>
      <c r="V5760" t="s">
        <v>26610</v>
      </c>
      <c r="W5760" t="s">
        <v>747</v>
      </c>
      <c r="X5760">
        <v>0</v>
      </c>
      <c r="Y5760" t="s">
        <v>26652</v>
      </c>
      <c r="Z5760" t="s">
        <v>26530</v>
      </c>
      <c r="AB5760" t="s">
        <v>31088</v>
      </c>
      <c r="AE5760">
        <v>359</v>
      </c>
      <c r="AF5760" t="s">
        <v>45541</v>
      </c>
      <c r="AH5760">
        <v>14</v>
      </c>
      <c r="AI5760">
        <v>1</v>
      </c>
      <c r="AJ5760">
        <v>0</v>
      </c>
      <c r="AK5760">
        <v>720.58</v>
      </c>
      <c r="AN5760" t="s">
        <v>7439</v>
      </c>
      <c r="AO5760">
        <v>90000</v>
      </c>
      <c r="AP5760" t="s">
        <v>45967</v>
      </c>
      <c r="AU5760">
        <v>0</v>
      </c>
      <c r="AW5760" t="s">
        <v>286</v>
      </c>
    </row>
    <row r="5761" spans="1:50">
      <c r="A5761" s="1">
        <f>HYPERLINK("https://lsnyc.legalserver.org/matter/dynamic-profile/view/1898263","19-1898263")</f>
        <v>0</v>
      </c>
      <c r="B5761" t="s">
        <v>95</v>
      </c>
      <c r="C5761" t="s">
        <v>340</v>
      </c>
      <c r="D5761" t="s">
        <v>767</v>
      </c>
      <c r="F5761" t="s">
        <v>3411</v>
      </c>
      <c r="G5761" t="s">
        <v>7681</v>
      </c>
      <c r="H5761" t="s">
        <v>9692</v>
      </c>
      <c r="I5761" t="s">
        <v>17440</v>
      </c>
      <c r="J5761" t="s">
        <v>18894</v>
      </c>
      <c r="K5761">
        <v>11233</v>
      </c>
      <c r="L5761" t="s">
        <v>18958</v>
      </c>
      <c r="M5761" t="s">
        <v>18959</v>
      </c>
      <c r="O5761" t="s">
        <v>26531</v>
      </c>
      <c r="P5761" t="s">
        <v>26565</v>
      </c>
      <c r="R5761" t="s">
        <v>26578</v>
      </c>
      <c r="S5761" t="s">
        <v>18958</v>
      </c>
      <c r="U5761" t="s">
        <v>26604</v>
      </c>
      <c r="V5761" t="s">
        <v>26610</v>
      </c>
      <c r="W5761" t="s">
        <v>747</v>
      </c>
      <c r="X5761">
        <v>1872.98</v>
      </c>
      <c r="Y5761" t="s">
        <v>26652</v>
      </c>
      <c r="AE5761">
        <v>359</v>
      </c>
      <c r="AF5761" t="s">
        <v>45541</v>
      </c>
      <c r="AH5761">
        <v>2</v>
      </c>
      <c r="AI5761">
        <v>1</v>
      </c>
      <c r="AJ5761">
        <v>0</v>
      </c>
      <c r="AK5761">
        <v>3747</v>
      </c>
      <c r="AN5761" t="s">
        <v>7439</v>
      </c>
      <c r="AO5761">
        <v>468000</v>
      </c>
      <c r="AP5761" t="s">
        <v>45968</v>
      </c>
      <c r="AU5761">
        <v>0</v>
      </c>
      <c r="AW5761" t="s">
        <v>286</v>
      </c>
    </row>
    <row r="5762" spans="1:50">
      <c r="A5762" s="1">
        <f>HYPERLINK("https://lsnyc.legalserver.org/matter/dynamic-profile/view/1898386","19-1898386")</f>
        <v>0</v>
      </c>
      <c r="B5762" t="s">
        <v>95</v>
      </c>
      <c r="C5762" t="s">
        <v>340</v>
      </c>
      <c r="D5762" t="s">
        <v>768</v>
      </c>
      <c r="F5762" t="s">
        <v>1630</v>
      </c>
      <c r="G5762" t="s">
        <v>7682</v>
      </c>
      <c r="H5762" t="s">
        <v>13666</v>
      </c>
      <c r="I5762" t="s">
        <v>18238</v>
      </c>
      <c r="J5762" t="s">
        <v>18894</v>
      </c>
      <c r="K5762">
        <v>11233</v>
      </c>
      <c r="L5762" t="s">
        <v>18958</v>
      </c>
      <c r="M5762" t="s">
        <v>18959</v>
      </c>
      <c r="O5762" t="s">
        <v>26531</v>
      </c>
      <c r="P5762" t="s">
        <v>26565</v>
      </c>
      <c r="R5762" t="s">
        <v>26578</v>
      </c>
      <c r="S5762" t="s">
        <v>18958</v>
      </c>
      <c r="U5762" t="s">
        <v>26604</v>
      </c>
      <c r="V5762" t="s">
        <v>26610</v>
      </c>
      <c r="W5762" t="s">
        <v>747</v>
      </c>
      <c r="X5762">
        <v>628.51</v>
      </c>
      <c r="Y5762" t="s">
        <v>26652</v>
      </c>
      <c r="Z5762" t="s">
        <v>26530</v>
      </c>
      <c r="AB5762" t="s">
        <v>31089</v>
      </c>
      <c r="AE5762">
        <v>359</v>
      </c>
      <c r="AF5762" t="s">
        <v>45541</v>
      </c>
      <c r="AH5762">
        <v>7</v>
      </c>
      <c r="AI5762">
        <v>1</v>
      </c>
      <c r="AJ5762">
        <v>0</v>
      </c>
      <c r="AK5762">
        <v>160.13</v>
      </c>
      <c r="AN5762" t="s">
        <v>7439</v>
      </c>
      <c r="AO5762">
        <v>20000</v>
      </c>
      <c r="AP5762" t="s">
        <v>45969</v>
      </c>
      <c r="AU5762">
        <v>0</v>
      </c>
      <c r="AW5762" t="s">
        <v>286</v>
      </c>
    </row>
    <row r="5763" spans="1:50">
      <c r="A5763" s="1">
        <f>HYPERLINK("https://lsnyc.legalserver.org/matter/dynamic-profile/view/1898379","19-1898379")</f>
        <v>0</v>
      </c>
      <c r="B5763" t="s">
        <v>95</v>
      </c>
      <c r="C5763" t="s">
        <v>340</v>
      </c>
      <c r="D5763" t="s">
        <v>768</v>
      </c>
      <c r="F5763" t="s">
        <v>886</v>
      </c>
      <c r="G5763" t="s">
        <v>7033</v>
      </c>
      <c r="H5763" t="s">
        <v>9692</v>
      </c>
      <c r="I5763" t="s">
        <v>17666</v>
      </c>
      <c r="J5763" t="s">
        <v>18894</v>
      </c>
      <c r="K5763">
        <v>11233</v>
      </c>
      <c r="L5763" t="s">
        <v>18958</v>
      </c>
      <c r="M5763" t="s">
        <v>18959</v>
      </c>
      <c r="O5763" t="s">
        <v>26531</v>
      </c>
      <c r="P5763" t="s">
        <v>26565</v>
      </c>
      <c r="R5763" t="s">
        <v>26578</v>
      </c>
      <c r="S5763" t="s">
        <v>18958</v>
      </c>
      <c r="U5763" t="s">
        <v>26604</v>
      </c>
      <c r="V5763" t="s">
        <v>26610</v>
      </c>
      <c r="W5763" t="s">
        <v>747</v>
      </c>
      <c r="X5763">
        <v>1082.69</v>
      </c>
      <c r="Y5763" t="s">
        <v>26652</v>
      </c>
      <c r="Z5763" t="s">
        <v>26530</v>
      </c>
      <c r="AB5763" t="s">
        <v>31090</v>
      </c>
      <c r="AE5763">
        <v>359</v>
      </c>
      <c r="AF5763" t="s">
        <v>45541</v>
      </c>
      <c r="AH5763">
        <v>39</v>
      </c>
      <c r="AI5763">
        <v>2</v>
      </c>
      <c r="AJ5763">
        <v>0</v>
      </c>
      <c r="AK5763">
        <v>212.89</v>
      </c>
      <c r="AN5763" t="s">
        <v>7439</v>
      </c>
      <c r="AO5763">
        <v>36000</v>
      </c>
      <c r="AP5763" t="s">
        <v>45970</v>
      </c>
      <c r="AU5763">
        <v>0</v>
      </c>
      <c r="AW5763" t="s">
        <v>286</v>
      </c>
    </row>
    <row r="5764" spans="1:50">
      <c r="A5764" s="1">
        <f>HYPERLINK("https://lsnyc.legalserver.org/matter/dynamic-profile/view/1898406","19-1898406")</f>
        <v>0</v>
      </c>
      <c r="B5764" t="s">
        <v>95</v>
      </c>
      <c r="C5764" t="s">
        <v>340</v>
      </c>
      <c r="D5764" t="s">
        <v>768</v>
      </c>
      <c r="F5764" t="s">
        <v>3413</v>
      </c>
      <c r="G5764" t="s">
        <v>6473</v>
      </c>
      <c r="H5764" t="s">
        <v>12646</v>
      </c>
      <c r="I5764" t="s">
        <v>18221</v>
      </c>
      <c r="J5764" t="s">
        <v>18894</v>
      </c>
      <c r="K5764">
        <v>11233</v>
      </c>
      <c r="L5764" t="s">
        <v>18958</v>
      </c>
      <c r="M5764" t="s">
        <v>18959</v>
      </c>
      <c r="O5764" t="s">
        <v>26531</v>
      </c>
      <c r="P5764" t="s">
        <v>26565</v>
      </c>
      <c r="R5764" t="s">
        <v>26578</v>
      </c>
      <c r="S5764" t="s">
        <v>18958</v>
      </c>
      <c r="U5764" t="s">
        <v>26604</v>
      </c>
      <c r="V5764" t="s">
        <v>26610</v>
      </c>
      <c r="W5764" t="s">
        <v>747</v>
      </c>
      <c r="X5764">
        <v>1160</v>
      </c>
      <c r="Y5764" t="s">
        <v>26652</v>
      </c>
      <c r="Z5764" t="s">
        <v>26530</v>
      </c>
      <c r="AB5764" t="s">
        <v>31091</v>
      </c>
      <c r="AE5764">
        <v>359</v>
      </c>
      <c r="AF5764" t="s">
        <v>45541</v>
      </c>
      <c r="AH5764">
        <v>37</v>
      </c>
      <c r="AI5764">
        <v>2</v>
      </c>
      <c r="AJ5764">
        <v>3</v>
      </c>
      <c r="AK5764">
        <v>298.31</v>
      </c>
      <c r="AN5764" t="s">
        <v>7439</v>
      </c>
      <c r="AO5764">
        <v>90000</v>
      </c>
      <c r="AP5764" t="s">
        <v>45971</v>
      </c>
      <c r="AU5764">
        <v>0</v>
      </c>
      <c r="AW5764" t="s">
        <v>286</v>
      </c>
    </row>
    <row r="5765" spans="1:50">
      <c r="A5765" s="1">
        <f>HYPERLINK("https://lsnyc.legalserver.org/matter/dynamic-profile/view/1898370","19-1898370")</f>
        <v>0</v>
      </c>
      <c r="B5765" t="s">
        <v>95</v>
      </c>
      <c r="C5765" t="s">
        <v>340</v>
      </c>
      <c r="D5765" t="s">
        <v>768</v>
      </c>
      <c r="F5765" t="s">
        <v>3414</v>
      </c>
      <c r="G5765" t="s">
        <v>7683</v>
      </c>
      <c r="H5765" t="s">
        <v>13666</v>
      </c>
      <c r="I5765" t="s">
        <v>17756</v>
      </c>
      <c r="J5765" t="s">
        <v>18894</v>
      </c>
      <c r="K5765">
        <v>11233</v>
      </c>
      <c r="L5765" t="s">
        <v>18958</v>
      </c>
      <c r="M5765" t="s">
        <v>18959</v>
      </c>
      <c r="O5765" t="s">
        <v>26531</v>
      </c>
      <c r="P5765" t="s">
        <v>26565</v>
      </c>
      <c r="R5765" t="s">
        <v>26578</v>
      </c>
      <c r="S5765" t="s">
        <v>18958</v>
      </c>
      <c r="U5765" t="s">
        <v>26604</v>
      </c>
      <c r="V5765" t="s">
        <v>26610</v>
      </c>
      <c r="W5765" t="s">
        <v>747</v>
      </c>
      <c r="X5765">
        <v>629.15</v>
      </c>
      <c r="Y5765" t="s">
        <v>26652</v>
      </c>
      <c r="Z5765" t="s">
        <v>26530</v>
      </c>
      <c r="AB5765" t="s">
        <v>30307</v>
      </c>
      <c r="AE5765">
        <v>359</v>
      </c>
      <c r="AF5765" t="s">
        <v>45541</v>
      </c>
      <c r="AH5765">
        <v>8</v>
      </c>
      <c r="AI5765">
        <v>1</v>
      </c>
      <c r="AJ5765">
        <v>0</v>
      </c>
      <c r="AK5765">
        <v>392.31</v>
      </c>
      <c r="AN5765" t="s">
        <v>7439</v>
      </c>
      <c r="AO5765">
        <v>49000</v>
      </c>
      <c r="AP5765" t="s">
        <v>45972</v>
      </c>
      <c r="AU5765">
        <v>0</v>
      </c>
      <c r="AW5765" t="s">
        <v>286</v>
      </c>
    </row>
    <row r="5766" spans="1:50">
      <c r="A5766" s="1">
        <f>HYPERLINK("https://lsnyc.legalserver.org/matter/dynamic-profile/view/1898399","19-1898399")</f>
        <v>0</v>
      </c>
      <c r="B5766" t="s">
        <v>95</v>
      </c>
      <c r="C5766" t="s">
        <v>340</v>
      </c>
      <c r="D5766" t="s">
        <v>768</v>
      </c>
      <c r="F5766" t="s">
        <v>3415</v>
      </c>
      <c r="G5766" t="s">
        <v>5771</v>
      </c>
      <c r="H5766" t="s">
        <v>9692</v>
      </c>
      <c r="I5766" t="s">
        <v>18208</v>
      </c>
      <c r="J5766" t="s">
        <v>18894</v>
      </c>
      <c r="K5766">
        <v>11233</v>
      </c>
      <c r="L5766" t="s">
        <v>18958</v>
      </c>
      <c r="M5766" t="s">
        <v>18959</v>
      </c>
      <c r="O5766" t="s">
        <v>26531</v>
      </c>
      <c r="P5766" t="s">
        <v>26565</v>
      </c>
      <c r="R5766" t="s">
        <v>26578</v>
      </c>
      <c r="S5766" t="s">
        <v>18958</v>
      </c>
      <c r="U5766" t="s">
        <v>26604</v>
      </c>
      <c r="V5766" t="s">
        <v>26610</v>
      </c>
      <c r="W5766" t="s">
        <v>747</v>
      </c>
      <c r="X5766">
        <v>1170.14</v>
      </c>
      <c r="Y5766" t="s">
        <v>26652</v>
      </c>
      <c r="Z5766" t="s">
        <v>26530</v>
      </c>
      <c r="AB5766" t="s">
        <v>31092</v>
      </c>
      <c r="AE5766">
        <v>359</v>
      </c>
      <c r="AF5766" t="s">
        <v>45541</v>
      </c>
      <c r="AH5766">
        <v>19</v>
      </c>
      <c r="AI5766">
        <v>2</v>
      </c>
      <c r="AJ5766">
        <v>0</v>
      </c>
      <c r="AK5766">
        <v>502.66</v>
      </c>
      <c r="AN5766" t="s">
        <v>7439</v>
      </c>
      <c r="AO5766">
        <v>85000</v>
      </c>
      <c r="AP5766" t="s">
        <v>45973</v>
      </c>
      <c r="AU5766">
        <v>0</v>
      </c>
      <c r="AW5766" t="s">
        <v>286</v>
      </c>
    </row>
    <row r="5767" spans="1:50">
      <c r="A5767" s="1">
        <f>HYPERLINK("https://lsnyc.legalserver.org/matter/dynamic-profile/view/1898821","19-1898821")</f>
        <v>0</v>
      </c>
      <c r="B5767" t="s">
        <v>95</v>
      </c>
      <c r="C5767" t="s">
        <v>340</v>
      </c>
      <c r="D5767" t="s">
        <v>770</v>
      </c>
      <c r="F5767" t="s">
        <v>3416</v>
      </c>
      <c r="G5767" t="s">
        <v>3117</v>
      </c>
      <c r="H5767" t="s">
        <v>13666</v>
      </c>
      <c r="I5767" t="s">
        <v>18239</v>
      </c>
      <c r="J5767" t="s">
        <v>18894</v>
      </c>
      <c r="K5767">
        <v>11233</v>
      </c>
      <c r="L5767" t="s">
        <v>18958</v>
      </c>
      <c r="M5767" t="s">
        <v>18959</v>
      </c>
      <c r="O5767" t="s">
        <v>26531</v>
      </c>
      <c r="P5767" t="s">
        <v>26565</v>
      </c>
      <c r="R5767" t="s">
        <v>26578</v>
      </c>
      <c r="S5767" t="s">
        <v>18958</v>
      </c>
      <c r="U5767" t="s">
        <v>26604</v>
      </c>
      <c r="V5767" t="s">
        <v>26610</v>
      </c>
      <c r="W5767" t="s">
        <v>747</v>
      </c>
      <c r="X5767">
        <v>615</v>
      </c>
      <c r="Y5767" t="s">
        <v>26652</v>
      </c>
      <c r="Z5767" t="s">
        <v>26530</v>
      </c>
      <c r="AB5767" t="s">
        <v>27492</v>
      </c>
      <c r="AE5767">
        <v>359</v>
      </c>
      <c r="AF5767" t="s">
        <v>45541</v>
      </c>
      <c r="AH5767">
        <v>10</v>
      </c>
      <c r="AI5767">
        <v>1</v>
      </c>
      <c r="AJ5767">
        <v>1</v>
      </c>
      <c r="AK5767">
        <v>70.95999999999999</v>
      </c>
      <c r="AN5767" t="s">
        <v>7439</v>
      </c>
      <c r="AO5767">
        <v>12000</v>
      </c>
      <c r="AP5767" t="s">
        <v>45974</v>
      </c>
      <c r="AU5767">
        <v>0</v>
      </c>
      <c r="AW5767" t="s">
        <v>286</v>
      </c>
    </row>
    <row r="5768" spans="1:50">
      <c r="A5768" s="1">
        <f>HYPERLINK("https://lsnyc.legalserver.org/matter/dynamic-profile/view/1898842","19-1898842")</f>
        <v>0</v>
      </c>
      <c r="B5768" t="s">
        <v>95</v>
      </c>
      <c r="C5768" t="s">
        <v>340</v>
      </c>
      <c r="D5768" t="s">
        <v>770</v>
      </c>
      <c r="F5768" t="s">
        <v>1573</v>
      </c>
      <c r="G5768" t="s">
        <v>5266</v>
      </c>
      <c r="H5768" t="s">
        <v>13667</v>
      </c>
      <c r="I5768" t="s">
        <v>18191</v>
      </c>
      <c r="J5768" t="s">
        <v>18894</v>
      </c>
      <c r="K5768">
        <v>11233</v>
      </c>
      <c r="L5768" t="s">
        <v>18958</v>
      </c>
      <c r="M5768" t="s">
        <v>18959</v>
      </c>
      <c r="N5768" t="s">
        <v>19330</v>
      </c>
      <c r="O5768" t="s">
        <v>26531</v>
      </c>
      <c r="P5768" t="s">
        <v>26565</v>
      </c>
      <c r="R5768" t="s">
        <v>26578</v>
      </c>
      <c r="S5768" t="s">
        <v>18958</v>
      </c>
      <c r="U5768" t="s">
        <v>26604</v>
      </c>
      <c r="V5768" t="s">
        <v>26610</v>
      </c>
      <c r="W5768" t="s">
        <v>747</v>
      </c>
      <c r="X5768">
        <v>0</v>
      </c>
      <c r="Y5768" t="s">
        <v>26652</v>
      </c>
      <c r="Z5768" t="s">
        <v>26530</v>
      </c>
      <c r="AB5768" t="s">
        <v>31093</v>
      </c>
      <c r="AC5768" t="s">
        <v>19330</v>
      </c>
      <c r="AE5768">
        <v>359</v>
      </c>
      <c r="AF5768" t="s">
        <v>45541</v>
      </c>
      <c r="AG5768" t="s">
        <v>19330</v>
      </c>
      <c r="AH5768">
        <v>21</v>
      </c>
      <c r="AI5768">
        <v>1</v>
      </c>
      <c r="AJ5768">
        <v>0</v>
      </c>
      <c r="AK5768">
        <v>283.43</v>
      </c>
      <c r="AN5768" t="s">
        <v>7439</v>
      </c>
      <c r="AO5768">
        <v>35400</v>
      </c>
      <c r="AP5768" t="s">
        <v>45975</v>
      </c>
      <c r="AU5768">
        <v>0</v>
      </c>
      <c r="AW5768" t="s">
        <v>286</v>
      </c>
      <c r="AX5768" t="s">
        <v>19330</v>
      </c>
    </row>
    <row r="5769" spans="1:50">
      <c r="A5769" s="1">
        <f>HYPERLINK("https://lsnyc.legalserver.org/matter/dynamic-profile/view/1898851","19-1898851")</f>
        <v>0</v>
      </c>
      <c r="B5769" t="s">
        <v>95</v>
      </c>
      <c r="C5769" t="s">
        <v>340</v>
      </c>
      <c r="D5769" t="s">
        <v>770</v>
      </c>
      <c r="F5769" t="s">
        <v>916</v>
      </c>
      <c r="G5769" t="s">
        <v>7684</v>
      </c>
      <c r="H5769" t="s">
        <v>9692</v>
      </c>
      <c r="I5769" t="s">
        <v>18240</v>
      </c>
      <c r="J5769" t="s">
        <v>18894</v>
      </c>
      <c r="K5769">
        <v>11233</v>
      </c>
      <c r="L5769" t="s">
        <v>18958</v>
      </c>
      <c r="M5769" t="s">
        <v>18959</v>
      </c>
      <c r="O5769" t="s">
        <v>26531</v>
      </c>
      <c r="P5769" t="s">
        <v>26565</v>
      </c>
      <c r="R5769" t="s">
        <v>26578</v>
      </c>
      <c r="S5769" t="s">
        <v>18958</v>
      </c>
      <c r="U5769" t="s">
        <v>26604</v>
      </c>
      <c r="V5769" t="s">
        <v>26610</v>
      </c>
      <c r="W5769" t="s">
        <v>747</v>
      </c>
      <c r="X5769">
        <v>628.51</v>
      </c>
      <c r="Y5769" t="s">
        <v>26652</v>
      </c>
      <c r="Z5769" t="s">
        <v>26530</v>
      </c>
      <c r="AB5769" t="s">
        <v>30941</v>
      </c>
      <c r="AE5769">
        <v>359</v>
      </c>
      <c r="AF5769" t="s">
        <v>45541</v>
      </c>
      <c r="AH5769">
        <v>3</v>
      </c>
      <c r="AI5769">
        <v>1</v>
      </c>
      <c r="AJ5769">
        <v>0</v>
      </c>
      <c r="AK5769">
        <v>312.25</v>
      </c>
      <c r="AN5769" t="s">
        <v>7439</v>
      </c>
      <c r="AO5769">
        <v>39000</v>
      </c>
      <c r="AP5769" t="s">
        <v>45976</v>
      </c>
      <c r="AU5769">
        <v>0</v>
      </c>
      <c r="AW5769" t="s">
        <v>286</v>
      </c>
    </row>
    <row r="5770" spans="1:50">
      <c r="A5770" s="1">
        <f>HYPERLINK("https://lsnyc.legalserver.org/matter/dynamic-profile/view/1898847","19-1898847")</f>
        <v>0</v>
      </c>
      <c r="B5770" t="s">
        <v>95</v>
      </c>
      <c r="C5770" t="s">
        <v>340</v>
      </c>
      <c r="D5770" t="s">
        <v>770</v>
      </c>
      <c r="F5770" t="s">
        <v>1548</v>
      </c>
      <c r="G5770" t="s">
        <v>7685</v>
      </c>
      <c r="H5770" t="s">
        <v>9692</v>
      </c>
      <c r="I5770" t="s">
        <v>17585</v>
      </c>
      <c r="J5770" t="s">
        <v>18894</v>
      </c>
      <c r="K5770">
        <v>11233</v>
      </c>
      <c r="L5770" t="s">
        <v>18958</v>
      </c>
      <c r="M5770" t="s">
        <v>18959</v>
      </c>
      <c r="O5770" t="s">
        <v>26531</v>
      </c>
      <c r="P5770" t="s">
        <v>26565</v>
      </c>
      <c r="R5770" t="s">
        <v>26578</v>
      </c>
      <c r="S5770" t="s">
        <v>18958</v>
      </c>
      <c r="U5770" t="s">
        <v>26604</v>
      </c>
      <c r="V5770" t="s">
        <v>26610</v>
      </c>
      <c r="W5770" t="s">
        <v>747</v>
      </c>
      <c r="X5770">
        <v>0</v>
      </c>
      <c r="Y5770" t="s">
        <v>26652</v>
      </c>
      <c r="Z5770" t="s">
        <v>26530</v>
      </c>
      <c r="AB5770" t="s">
        <v>31094</v>
      </c>
      <c r="AE5770">
        <v>359</v>
      </c>
      <c r="AF5770" t="s">
        <v>45541</v>
      </c>
      <c r="AH5770">
        <v>6</v>
      </c>
      <c r="AI5770">
        <v>1</v>
      </c>
      <c r="AJ5770">
        <v>1</v>
      </c>
      <c r="AK5770">
        <v>354.82</v>
      </c>
      <c r="AN5770" t="s">
        <v>7439</v>
      </c>
      <c r="AO5770">
        <v>60000</v>
      </c>
      <c r="AP5770" t="s">
        <v>45977</v>
      </c>
      <c r="AU5770">
        <v>0</v>
      </c>
      <c r="AW5770" t="s">
        <v>286</v>
      </c>
    </row>
    <row r="5771" spans="1:50">
      <c r="A5771" s="1">
        <f>HYPERLINK("https://lsnyc.legalserver.org/matter/dynamic-profile/view/1898836","19-1898836")</f>
        <v>0</v>
      </c>
      <c r="B5771" t="s">
        <v>95</v>
      </c>
      <c r="C5771" t="s">
        <v>340</v>
      </c>
      <c r="D5771" t="s">
        <v>770</v>
      </c>
      <c r="F5771" t="s">
        <v>887</v>
      </c>
      <c r="G5771" t="s">
        <v>7686</v>
      </c>
      <c r="H5771" t="s">
        <v>13666</v>
      </c>
      <c r="I5771" t="s">
        <v>17535</v>
      </c>
      <c r="J5771" t="s">
        <v>18894</v>
      </c>
      <c r="K5771">
        <v>11233</v>
      </c>
      <c r="L5771" t="s">
        <v>18958</v>
      </c>
      <c r="M5771" t="s">
        <v>18959</v>
      </c>
      <c r="O5771" t="s">
        <v>26531</v>
      </c>
      <c r="P5771" t="s">
        <v>26565</v>
      </c>
      <c r="R5771" t="s">
        <v>26578</v>
      </c>
      <c r="S5771" t="s">
        <v>18958</v>
      </c>
      <c r="U5771" t="s">
        <v>26604</v>
      </c>
      <c r="V5771" t="s">
        <v>26610</v>
      </c>
      <c r="W5771" t="s">
        <v>747</v>
      </c>
      <c r="X5771">
        <v>950</v>
      </c>
      <c r="Y5771" t="s">
        <v>26652</v>
      </c>
      <c r="Z5771" t="s">
        <v>26530</v>
      </c>
      <c r="AB5771" t="s">
        <v>31095</v>
      </c>
      <c r="AE5771">
        <v>359</v>
      </c>
      <c r="AF5771" t="s">
        <v>45541</v>
      </c>
      <c r="AH5771">
        <v>9</v>
      </c>
      <c r="AI5771">
        <v>1</v>
      </c>
      <c r="AJ5771">
        <v>0</v>
      </c>
      <c r="AK5771">
        <v>511.84</v>
      </c>
      <c r="AN5771" t="s">
        <v>7439</v>
      </c>
      <c r="AO5771">
        <v>63929</v>
      </c>
      <c r="AP5771" t="s">
        <v>45978</v>
      </c>
      <c r="AU5771">
        <v>0</v>
      </c>
      <c r="AW5771" t="s">
        <v>286</v>
      </c>
    </row>
    <row r="5772" spans="1:50">
      <c r="A5772" s="1">
        <f>HYPERLINK("https://lsnyc.legalserver.org/matter/dynamic-profile/view/1898960","19-1898960")</f>
        <v>0</v>
      </c>
      <c r="B5772" t="s">
        <v>95</v>
      </c>
      <c r="C5772" t="s">
        <v>340</v>
      </c>
      <c r="D5772" t="s">
        <v>771</v>
      </c>
      <c r="F5772" t="s">
        <v>3417</v>
      </c>
      <c r="G5772" t="s">
        <v>7687</v>
      </c>
      <c r="H5772" t="s">
        <v>9692</v>
      </c>
      <c r="I5772" t="s">
        <v>17814</v>
      </c>
      <c r="J5772" t="s">
        <v>18894</v>
      </c>
      <c r="K5772">
        <v>11233</v>
      </c>
      <c r="L5772" t="s">
        <v>18958</v>
      </c>
      <c r="M5772" t="s">
        <v>18960</v>
      </c>
      <c r="O5772" t="s">
        <v>26531</v>
      </c>
      <c r="P5772" t="s">
        <v>26565</v>
      </c>
      <c r="R5772" t="s">
        <v>26578</v>
      </c>
      <c r="S5772" t="s">
        <v>18958</v>
      </c>
      <c r="U5772" t="s">
        <v>26604</v>
      </c>
      <c r="V5772" t="s">
        <v>26610</v>
      </c>
      <c r="W5772" t="s">
        <v>747</v>
      </c>
      <c r="X5772">
        <v>1041.4</v>
      </c>
      <c r="Y5772" t="s">
        <v>26652</v>
      </c>
      <c r="Z5772" t="s">
        <v>26530</v>
      </c>
      <c r="AB5772" t="s">
        <v>31096</v>
      </c>
      <c r="AE5772">
        <v>359</v>
      </c>
      <c r="AF5772" t="s">
        <v>45541</v>
      </c>
      <c r="AH5772">
        <v>18</v>
      </c>
      <c r="AI5772">
        <v>2</v>
      </c>
      <c r="AJ5772">
        <v>0</v>
      </c>
      <c r="AK5772">
        <v>97.5</v>
      </c>
      <c r="AN5772" t="s">
        <v>7439</v>
      </c>
      <c r="AO5772">
        <v>16488</v>
      </c>
      <c r="AP5772" t="s">
        <v>45979</v>
      </c>
      <c r="AU5772">
        <v>0</v>
      </c>
      <c r="AW5772" t="s">
        <v>286</v>
      </c>
      <c r="AX5772" t="s">
        <v>19330</v>
      </c>
    </row>
    <row r="5773" spans="1:50">
      <c r="A5773" s="1">
        <f>HYPERLINK("https://lsnyc.legalserver.org/matter/dynamic-profile/view/1898989","19-1898989")</f>
        <v>0</v>
      </c>
      <c r="B5773" t="s">
        <v>95</v>
      </c>
      <c r="C5773" t="s">
        <v>340</v>
      </c>
      <c r="D5773" t="s">
        <v>771</v>
      </c>
      <c r="F5773" t="s">
        <v>964</v>
      </c>
      <c r="G5773" t="s">
        <v>7688</v>
      </c>
      <c r="H5773" t="s">
        <v>13666</v>
      </c>
      <c r="I5773" t="s">
        <v>18241</v>
      </c>
      <c r="J5773" t="s">
        <v>18894</v>
      </c>
      <c r="K5773">
        <v>11233</v>
      </c>
      <c r="L5773" t="s">
        <v>18958</v>
      </c>
      <c r="M5773" t="s">
        <v>18960</v>
      </c>
      <c r="O5773" t="s">
        <v>26531</v>
      </c>
      <c r="P5773" t="s">
        <v>26565</v>
      </c>
      <c r="R5773" t="s">
        <v>26578</v>
      </c>
      <c r="S5773" t="s">
        <v>18958</v>
      </c>
      <c r="U5773" t="s">
        <v>26604</v>
      </c>
      <c r="V5773" t="s">
        <v>26610</v>
      </c>
      <c r="W5773" t="s">
        <v>747</v>
      </c>
      <c r="X5773">
        <v>1343.02</v>
      </c>
      <c r="Y5773" t="s">
        <v>26652</v>
      </c>
      <c r="Z5773" t="s">
        <v>26530</v>
      </c>
      <c r="AB5773" t="s">
        <v>31097</v>
      </c>
      <c r="AE5773">
        <v>359</v>
      </c>
      <c r="AF5773" t="s">
        <v>45541</v>
      </c>
      <c r="AH5773">
        <v>25</v>
      </c>
      <c r="AI5773">
        <v>2</v>
      </c>
      <c r="AJ5773">
        <v>2</v>
      </c>
      <c r="AK5773">
        <v>116.5</v>
      </c>
      <c r="AO5773">
        <v>30000</v>
      </c>
      <c r="AP5773" t="s">
        <v>45980</v>
      </c>
      <c r="AU5773">
        <v>0</v>
      </c>
      <c r="AW5773" t="s">
        <v>286</v>
      </c>
      <c r="AX5773" t="s">
        <v>19330</v>
      </c>
    </row>
    <row r="5774" spans="1:50">
      <c r="A5774" s="1">
        <f>HYPERLINK("https://lsnyc.legalserver.org/matter/dynamic-profile/view/1898979","19-1898979")</f>
        <v>0</v>
      </c>
      <c r="B5774" t="s">
        <v>95</v>
      </c>
      <c r="C5774" t="s">
        <v>340</v>
      </c>
      <c r="D5774" t="s">
        <v>771</v>
      </c>
      <c r="F5774" t="s">
        <v>1049</v>
      </c>
      <c r="G5774" t="s">
        <v>7689</v>
      </c>
      <c r="H5774" t="s">
        <v>12821</v>
      </c>
      <c r="I5774" t="s">
        <v>18242</v>
      </c>
      <c r="J5774" t="s">
        <v>18894</v>
      </c>
      <c r="K5774">
        <v>11233</v>
      </c>
      <c r="L5774" t="s">
        <v>18958</v>
      </c>
      <c r="M5774" t="s">
        <v>18960</v>
      </c>
      <c r="O5774" t="s">
        <v>26531</v>
      </c>
      <c r="P5774" t="s">
        <v>26565</v>
      </c>
      <c r="R5774" t="s">
        <v>26578</v>
      </c>
      <c r="S5774" t="s">
        <v>18958</v>
      </c>
      <c r="U5774" t="s">
        <v>26604</v>
      </c>
      <c r="V5774" t="s">
        <v>26610</v>
      </c>
      <c r="W5774" t="s">
        <v>747</v>
      </c>
      <c r="X5774">
        <v>1400</v>
      </c>
      <c r="Y5774" t="s">
        <v>26652</v>
      </c>
      <c r="Z5774" t="s">
        <v>26530</v>
      </c>
      <c r="AB5774" t="s">
        <v>27063</v>
      </c>
      <c r="AE5774">
        <v>359</v>
      </c>
      <c r="AF5774" t="s">
        <v>45541</v>
      </c>
      <c r="AH5774">
        <v>0</v>
      </c>
      <c r="AI5774">
        <v>2</v>
      </c>
      <c r="AJ5774">
        <v>0</v>
      </c>
      <c r="AK5774">
        <v>236.55</v>
      </c>
      <c r="AN5774" t="s">
        <v>7439</v>
      </c>
      <c r="AO5774">
        <v>40000</v>
      </c>
      <c r="AP5774" t="s">
        <v>45981</v>
      </c>
      <c r="AU5774">
        <v>0</v>
      </c>
      <c r="AW5774" t="s">
        <v>286</v>
      </c>
      <c r="AX5774" t="s">
        <v>19330</v>
      </c>
    </row>
    <row r="5775" spans="1:50">
      <c r="A5775" s="1">
        <f>HYPERLINK("https://lsnyc.legalserver.org/matter/dynamic-profile/view/1898972","19-1898972")</f>
        <v>0</v>
      </c>
      <c r="B5775" t="s">
        <v>95</v>
      </c>
      <c r="C5775" t="s">
        <v>340</v>
      </c>
      <c r="D5775" t="s">
        <v>771</v>
      </c>
      <c r="F5775" t="s">
        <v>948</v>
      </c>
      <c r="G5775" t="s">
        <v>5720</v>
      </c>
      <c r="H5775" t="s">
        <v>13666</v>
      </c>
      <c r="I5775" t="s">
        <v>18243</v>
      </c>
      <c r="J5775" t="s">
        <v>18894</v>
      </c>
      <c r="K5775">
        <v>11233</v>
      </c>
      <c r="L5775" t="s">
        <v>18958</v>
      </c>
      <c r="M5775" t="s">
        <v>18960</v>
      </c>
      <c r="O5775" t="s">
        <v>26531</v>
      </c>
      <c r="P5775" t="s">
        <v>26565</v>
      </c>
      <c r="R5775" t="s">
        <v>26578</v>
      </c>
      <c r="S5775" t="s">
        <v>18958</v>
      </c>
      <c r="U5775" t="s">
        <v>26604</v>
      </c>
      <c r="V5775" t="s">
        <v>26610</v>
      </c>
      <c r="W5775" t="s">
        <v>747</v>
      </c>
      <c r="X5775">
        <v>913</v>
      </c>
      <c r="Y5775" t="s">
        <v>26652</v>
      </c>
      <c r="Z5775" t="s">
        <v>26530</v>
      </c>
      <c r="AB5775" t="s">
        <v>31098</v>
      </c>
      <c r="AE5775">
        <v>359</v>
      </c>
      <c r="AF5775" t="s">
        <v>45541</v>
      </c>
      <c r="AH5775">
        <v>20</v>
      </c>
      <c r="AI5775">
        <v>1</v>
      </c>
      <c r="AJ5775">
        <v>0</v>
      </c>
      <c r="AK5775">
        <v>264.21</v>
      </c>
      <c r="AN5775" t="s">
        <v>7439</v>
      </c>
      <c r="AO5775">
        <v>33000</v>
      </c>
      <c r="AP5775" t="s">
        <v>45982</v>
      </c>
      <c r="AU5775">
        <v>0</v>
      </c>
      <c r="AW5775" t="s">
        <v>286</v>
      </c>
      <c r="AX5775" t="s">
        <v>19330</v>
      </c>
    </row>
    <row r="5776" spans="1:50">
      <c r="A5776" s="1">
        <f>HYPERLINK("https://lsnyc.legalserver.org/matter/dynamic-profile/view/1898953","19-1898953")</f>
        <v>0</v>
      </c>
      <c r="B5776" t="s">
        <v>95</v>
      </c>
      <c r="C5776" t="s">
        <v>340</v>
      </c>
      <c r="D5776" t="s">
        <v>771</v>
      </c>
      <c r="F5776" t="s">
        <v>3418</v>
      </c>
      <c r="G5776" t="s">
        <v>5561</v>
      </c>
      <c r="H5776" t="s">
        <v>13666</v>
      </c>
      <c r="I5776" t="s">
        <v>18244</v>
      </c>
      <c r="J5776" t="s">
        <v>18894</v>
      </c>
      <c r="K5776">
        <v>11233</v>
      </c>
      <c r="L5776" t="s">
        <v>18958</v>
      </c>
      <c r="M5776" t="s">
        <v>18960</v>
      </c>
      <c r="O5776" t="s">
        <v>26531</v>
      </c>
      <c r="P5776" t="s">
        <v>26565</v>
      </c>
      <c r="R5776" t="s">
        <v>26578</v>
      </c>
      <c r="S5776" t="s">
        <v>18958</v>
      </c>
      <c r="U5776" t="s">
        <v>26604</v>
      </c>
      <c r="V5776" t="s">
        <v>26610</v>
      </c>
      <c r="W5776" t="s">
        <v>747</v>
      </c>
      <c r="X5776">
        <v>888.58</v>
      </c>
      <c r="Y5776" t="s">
        <v>26652</v>
      </c>
      <c r="Z5776" t="s">
        <v>26530</v>
      </c>
      <c r="AB5776" t="s">
        <v>27498</v>
      </c>
      <c r="AE5776">
        <v>359</v>
      </c>
      <c r="AF5776" t="s">
        <v>45541</v>
      </c>
      <c r="AH5776">
        <v>11</v>
      </c>
      <c r="AI5776">
        <v>1</v>
      </c>
      <c r="AJ5776">
        <v>1</v>
      </c>
      <c r="AK5776">
        <v>354.82</v>
      </c>
      <c r="AN5776" t="s">
        <v>7439</v>
      </c>
      <c r="AO5776">
        <v>60000</v>
      </c>
      <c r="AP5776" t="s">
        <v>45983</v>
      </c>
      <c r="AU5776">
        <v>0</v>
      </c>
      <c r="AW5776" t="s">
        <v>286</v>
      </c>
      <c r="AX5776" t="s">
        <v>19330</v>
      </c>
    </row>
    <row r="5777" spans="1:50">
      <c r="A5777" s="1">
        <f>HYPERLINK("https://lsnyc.legalserver.org/matter/dynamic-profile/view/1898983","19-1898983")</f>
        <v>0</v>
      </c>
      <c r="B5777" t="s">
        <v>95</v>
      </c>
      <c r="C5777" t="s">
        <v>340</v>
      </c>
      <c r="D5777" t="s">
        <v>771</v>
      </c>
      <c r="F5777" t="s">
        <v>1155</v>
      </c>
      <c r="G5777" t="s">
        <v>5269</v>
      </c>
      <c r="H5777" t="s">
        <v>9692</v>
      </c>
      <c r="I5777" t="s">
        <v>18245</v>
      </c>
      <c r="J5777" t="s">
        <v>18894</v>
      </c>
      <c r="K5777">
        <v>11233</v>
      </c>
      <c r="L5777" t="s">
        <v>18958</v>
      </c>
      <c r="M5777" t="s">
        <v>18960</v>
      </c>
      <c r="O5777" t="s">
        <v>26531</v>
      </c>
      <c r="P5777" t="s">
        <v>26565</v>
      </c>
      <c r="R5777" t="s">
        <v>26578</v>
      </c>
      <c r="S5777" t="s">
        <v>18958</v>
      </c>
      <c r="U5777" t="s">
        <v>26604</v>
      </c>
      <c r="V5777" t="s">
        <v>26610</v>
      </c>
      <c r="W5777" t="s">
        <v>747</v>
      </c>
      <c r="X5777">
        <v>1162</v>
      </c>
      <c r="Y5777" t="s">
        <v>26652</v>
      </c>
      <c r="Z5777" t="s">
        <v>26530</v>
      </c>
      <c r="AB5777" t="s">
        <v>31099</v>
      </c>
      <c r="AE5777">
        <v>359</v>
      </c>
      <c r="AF5777" t="s">
        <v>45541</v>
      </c>
      <c r="AH5777">
        <v>55</v>
      </c>
      <c r="AI5777">
        <v>1</v>
      </c>
      <c r="AJ5777">
        <v>0</v>
      </c>
      <c r="AK5777">
        <v>360.29</v>
      </c>
      <c r="AN5777" t="s">
        <v>7439</v>
      </c>
      <c r="AO5777">
        <v>45000</v>
      </c>
      <c r="AP5777" t="s">
        <v>45984</v>
      </c>
      <c r="AU5777">
        <v>0</v>
      </c>
      <c r="AW5777" t="s">
        <v>286</v>
      </c>
      <c r="AX5777" t="s">
        <v>19330</v>
      </c>
    </row>
    <row r="5778" spans="1:50">
      <c r="A5778" s="1">
        <f>HYPERLINK("https://lsnyc.legalserver.org/matter/dynamic-profile/view/1901995","19-1901995")</f>
        <v>0</v>
      </c>
      <c r="B5778" t="s">
        <v>95</v>
      </c>
      <c r="C5778" t="s">
        <v>340</v>
      </c>
      <c r="D5778" t="s">
        <v>720</v>
      </c>
      <c r="F5778" t="s">
        <v>1300</v>
      </c>
      <c r="G5778" t="s">
        <v>7690</v>
      </c>
      <c r="H5778" t="s">
        <v>9692</v>
      </c>
      <c r="I5778" t="s">
        <v>17422</v>
      </c>
      <c r="J5778" t="s">
        <v>18894</v>
      </c>
      <c r="K5778">
        <v>11233</v>
      </c>
      <c r="L5778" t="s">
        <v>18958</v>
      </c>
      <c r="M5778" t="s">
        <v>18960</v>
      </c>
      <c r="N5778" t="s">
        <v>18997</v>
      </c>
      <c r="O5778" t="s">
        <v>26531</v>
      </c>
      <c r="P5778" t="s">
        <v>26565</v>
      </c>
      <c r="R5778" t="s">
        <v>26578</v>
      </c>
      <c r="S5778" t="s">
        <v>18958</v>
      </c>
      <c r="U5778" t="s">
        <v>26604</v>
      </c>
      <c r="V5778" t="s">
        <v>26610</v>
      </c>
      <c r="W5778" t="s">
        <v>747</v>
      </c>
      <c r="X5778">
        <v>840</v>
      </c>
      <c r="Y5778" t="s">
        <v>26652</v>
      </c>
      <c r="Z5778" t="s">
        <v>26530</v>
      </c>
      <c r="AB5778" t="s">
        <v>31100</v>
      </c>
      <c r="AE5778">
        <v>359</v>
      </c>
      <c r="AF5778" t="s">
        <v>45541</v>
      </c>
      <c r="AH5778">
        <v>9</v>
      </c>
      <c r="AI5778">
        <v>1</v>
      </c>
      <c r="AJ5778">
        <v>0</v>
      </c>
      <c r="AK5778">
        <v>0</v>
      </c>
      <c r="AN5778" t="s">
        <v>7439</v>
      </c>
      <c r="AO5778">
        <v>0</v>
      </c>
      <c r="AP5778" t="s">
        <v>45985</v>
      </c>
      <c r="AU5778">
        <v>0</v>
      </c>
      <c r="AW5778" t="s">
        <v>286</v>
      </c>
      <c r="AX5778" t="s">
        <v>19330</v>
      </c>
    </row>
    <row r="5779" spans="1:50">
      <c r="A5779" s="1">
        <f>HYPERLINK("https://lsnyc.legalserver.org/matter/dynamic-profile/view/1902021","19-1902021")</f>
        <v>0</v>
      </c>
      <c r="B5779" t="s">
        <v>95</v>
      </c>
      <c r="C5779" t="s">
        <v>340</v>
      </c>
      <c r="D5779" t="s">
        <v>720</v>
      </c>
      <c r="F5779" t="s">
        <v>1002</v>
      </c>
      <c r="G5779" t="s">
        <v>3190</v>
      </c>
      <c r="H5779" t="s">
        <v>9692</v>
      </c>
      <c r="I5779" t="s">
        <v>17504</v>
      </c>
      <c r="J5779" t="s">
        <v>18894</v>
      </c>
      <c r="K5779">
        <v>11233</v>
      </c>
      <c r="L5779" t="s">
        <v>18958</v>
      </c>
      <c r="M5779" t="s">
        <v>18960</v>
      </c>
      <c r="N5779" t="s">
        <v>18997</v>
      </c>
      <c r="O5779" t="s">
        <v>26531</v>
      </c>
      <c r="P5779" t="s">
        <v>26565</v>
      </c>
      <c r="R5779" t="s">
        <v>26578</v>
      </c>
      <c r="S5779" t="s">
        <v>18958</v>
      </c>
      <c r="U5779" t="s">
        <v>26604</v>
      </c>
      <c r="V5779" t="s">
        <v>26610</v>
      </c>
      <c r="W5779" t="s">
        <v>747</v>
      </c>
      <c r="X5779">
        <v>1126</v>
      </c>
      <c r="Y5779" t="s">
        <v>26652</v>
      </c>
      <c r="Z5779" t="s">
        <v>26530</v>
      </c>
      <c r="AB5779" t="s">
        <v>31101</v>
      </c>
      <c r="AE5779">
        <v>359</v>
      </c>
      <c r="AF5779" t="s">
        <v>45541</v>
      </c>
      <c r="AH5779">
        <v>45</v>
      </c>
      <c r="AI5779">
        <v>1</v>
      </c>
      <c r="AJ5779">
        <v>0</v>
      </c>
      <c r="AK5779">
        <v>0</v>
      </c>
      <c r="AN5779" t="s">
        <v>7439</v>
      </c>
      <c r="AO5779">
        <v>0</v>
      </c>
      <c r="AP5779" t="s">
        <v>45986</v>
      </c>
      <c r="AU5779">
        <v>0</v>
      </c>
      <c r="AW5779" t="s">
        <v>286</v>
      </c>
      <c r="AX5779" t="s">
        <v>19330</v>
      </c>
    </row>
    <row r="5780" spans="1:50">
      <c r="A5780" s="1">
        <f>HYPERLINK("https://lsnyc.legalserver.org/matter/dynamic-profile/view/1902003","19-1902003")</f>
        <v>0</v>
      </c>
      <c r="B5780" t="s">
        <v>95</v>
      </c>
      <c r="C5780" t="s">
        <v>340</v>
      </c>
      <c r="D5780" t="s">
        <v>720</v>
      </c>
      <c r="F5780" t="s">
        <v>1457</v>
      </c>
      <c r="G5780" t="s">
        <v>7691</v>
      </c>
      <c r="H5780" t="s">
        <v>12646</v>
      </c>
      <c r="I5780" t="s">
        <v>18246</v>
      </c>
      <c r="J5780" t="s">
        <v>18894</v>
      </c>
      <c r="K5780">
        <v>11233</v>
      </c>
      <c r="L5780" t="s">
        <v>18958</v>
      </c>
      <c r="M5780" t="s">
        <v>18960</v>
      </c>
      <c r="N5780" t="s">
        <v>18997</v>
      </c>
      <c r="O5780" t="s">
        <v>26531</v>
      </c>
      <c r="P5780" t="s">
        <v>26565</v>
      </c>
      <c r="R5780" t="s">
        <v>26578</v>
      </c>
      <c r="S5780" t="s">
        <v>18958</v>
      </c>
      <c r="U5780" t="s">
        <v>26604</v>
      </c>
      <c r="W5780" t="s">
        <v>747</v>
      </c>
      <c r="X5780">
        <v>1350</v>
      </c>
      <c r="Y5780" t="s">
        <v>26652</v>
      </c>
      <c r="Z5780" t="s">
        <v>26530</v>
      </c>
      <c r="AB5780" t="s">
        <v>31102</v>
      </c>
      <c r="AE5780">
        <v>359</v>
      </c>
      <c r="AF5780" t="s">
        <v>45541</v>
      </c>
      <c r="AH5780">
        <v>20</v>
      </c>
      <c r="AI5780">
        <v>3</v>
      </c>
      <c r="AJ5780">
        <v>1</v>
      </c>
      <c r="AK5780">
        <v>35.93</v>
      </c>
      <c r="AN5780" t="s">
        <v>7439</v>
      </c>
      <c r="AO5780">
        <v>9252</v>
      </c>
      <c r="AP5780" t="s">
        <v>45987</v>
      </c>
      <c r="AU5780">
        <v>0</v>
      </c>
      <c r="AW5780" t="s">
        <v>286</v>
      </c>
      <c r="AX5780" t="s">
        <v>19330</v>
      </c>
    </row>
    <row r="5781" spans="1:50">
      <c r="A5781" s="1">
        <f>HYPERLINK("https://lsnyc.legalserver.org/matter/dynamic-profile/view/1901980","19-1901980")</f>
        <v>0</v>
      </c>
      <c r="B5781" t="s">
        <v>95</v>
      </c>
      <c r="C5781" t="s">
        <v>340</v>
      </c>
      <c r="D5781" t="s">
        <v>720</v>
      </c>
      <c r="F5781" t="s">
        <v>1121</v>
      </c>
      <c r="G5781" t="s">
        <v>7315</v>
      </c>
      <c r="H5781" t="s">
        <v>12646</v>
      </c>
      <c r="I5781" t="s">
        <v>18247</v>
      </c>
      <c r="J5781" t="s">
        <v>18894</v>
      </c>
      <c r="K5781">
        <v>11233</v>
      </c>
      <c r="L5781" t="s">
        <v>18958</v>
      </c>
      <c r="M5781" t="s">
        <v>18960</v>
      </c>
      <c r="N5781" t="s">
        <v>18993</v>
      </c>
      <c r="O5781" t="s">
        <v>26531</v>
      </c>
      <c r="P5781" t="s">
        <v>26565</v>
      </c>
      <c r="R5781" t="s">
        <v>26578</v>
      </c>
      <c r="S5781" t="s">
        <v>18958</v>
      </c>
      <c r="U5781" t="s">
        <v>26604</v>
      </c>
      <c r="V5781" t="s">
        <v>26610</v>
      </c>
      <c r="W5781" t="s">
        <v>747</v>
      </c>
      <c r="X5781">
        <v>1375</v>
      </c>
      <c r="Y5781" t="s">
        <v>26652</v>
      </c>
      <c r="Z5781" t="s">
        <v>26530</v>
      </c>
      <c r="AB5781" t="s">
        <v>28380</v>
      </c>
      <c r="AE5781">
        <v>359</v>
      </c>
      <c r="AF5781" t="s">
        <v>45541</v>
      </c>
      <c r="AH5781">
        <v>10</v>
      </c>
      <c r="AI5781">
        <v>2</v>
      </c>
      <c r="AJ5781">
        <v>0</v>
      </c>
      <c r="AK5781">
        <v>47.31</v>
      </c>
      <c r="AN5781" t="s">
        <v>7439</v>
      </c>
      <c r="AO5781">
        <v>8000</v>
      </c>
      <c r="AP5781" t="s">
        <v>45988</v>
      </c>
      <c r="AU5781">
        <v>0</v>
      </c>
      <c r="AW5781" t="s">
        <v>286</v>
      </c>
      <c r="AX5781" t="s">
        <v>19330</v>
      </c>
    </row>
    <row r="5782" spans="1:50">
      <c r="A5782" s="1">
        <f>HYPERLINK("https://lsnyc.legalserver.org/matter/dynamic-profile/view/1902045","19-1902045")</f>
        <v>0</v>
      </c>
      <c r="B5782" t="s">
        <v>95</v>
      </c>
      <c r="C5782" t="s">
        <v>340</v>
      </c>
      <c r="D5782" t="s">
        <v>720</v>
      </c>
      <c r="F5782" t="s">
        <v>3419</v>
      </c>
      <c r="G5782" t="s">
        <v>7692</v>
      </c>
      <c r="H5782" t="s">
        <v>13666</v>
      </c>
      <c r="I5782" t="s">
        <v>18248</v>
      </c>
      <c r="J5782" t="s">
        <v>18894</v>
      </c>
      <c r="K5782">
        <v>11233</v>
      </c>
      <c r="L5782" t="s">
        <v>18958</v>
      </c>
      <c r="M5782" t="s">
        <v>18960</v>
      </c>
      <c r="N5782" t="s">
        <v>18997</v>
      </c>
      <c r="O5782" t="s">
        <v>26531</v>
      </c>
      <c r="P5782" t="s">
        <v>26565</v>
      </c>
      <c r="R5782" t="s">
        <v>26578</v>
      </c>
      <c r="S5782" t="s">
        <v>18958</v>
      </c>
      <c r="U5782" t="s">
        <v>26604</v>
      </c>
      <c r="V5782" t="s">
        <v>26610</v>
      </c>
      <c r="W5782" t="s">
        <v>747</v>
      </c>
      <c r="X5782">
        <v>879</v>
      </c>
      <c r="Y5782" t="s">
        <v>26652</v>
      </c>
      <c r="Z5782" t="s">
        <v>26530</v>
      </c>
      <c r="AB5782" t="s">
        <v>28070</v>
      </c>
      <c r="AE5782">
        <v>359</v>
      </c>
      <c r="AF5782" t="s">
        <v>45541</v>
      </c>
      <c r="AH5782">
        <v>40</v>
      </c>
      <c r="AI5782">
        <v>2</v>
      </c>
      <c r="AJ5782">
        <v>0</v>
      </c>
      <c r="AK5782">
        <v>55.28</v>
      </c>
      <c r="AN5782" t="s">
        <v>7439</v>
      </c>
      <c r="AO5782">
        <v>9348</v>
      </c>
      <c r="AP5782" t="s">
        <v>45989</v>
      </c>
      <c r="AU5782">
        <v>0</v>
      </c>
      <c r="AW5782" t="s">
        <v>286</v>
      </c>
      <c r="AX5782" t="s">
        <v>19330</v>
      </c>
    </row>
    <row r="5783" spans="1:50">
      <c r="A5783" s="1">
        <f>HYPERLINK("https://lsnyc.legalserver.org/matter/dynamic-profile/view/1901989","19-1901989")</f>
        <v>0</v>
      </c>
      <c r="B5783" t="s">
        <v>95</v>
      </c>
      <c r="C5783" t="s">
        <v>340</v>
      </c>
      <c r="D5783" t="s">
        <v>720</v>
      </c>
      <c r="F5783" t="s">
        <v>3420</v>
      </c>
      <c r="G5783" t="s">
        <v>5965</v>
      </c>
      <c r="H5783" t="s">
        <v>13666</v>
      </c>
      <c r="I5783" t="s">
        <v>18249</v>
      </c>
      <c r="J5783" t="s">
        <v>18894</v>
      </c>
      <c r="K5783">
        <v>11233</v>
      </c>
      <c r="L5783" t="s">
        <v>18958</v>
      </c>
      <c r="M5783" t="s">
        <v>18960</v>
      </c>
      <c r="N5783" t="s">
        <v>18997</v>
      </c>
      <c r="O5783" t="s">
        <v>26531</v>
      </c>
      <c r="P5783" t="s">
        <v>26565</v>
      </c>
      <c r="R5783" t="s">
        <v>26578</v>
      </c>
      <c r="S5783" t="s">
        <v>18958</v>
      </c>
      <c r="U5783" t="s">
        <v>26604</v>
      </c>
      <c r="V5783" t="s">
        <v>26610</v>
      </c>
      <c r="W5783" t="s">
        <v>747</v>
      </c>
      <c r="X5783">
        <v>1099.98</v>
      </c>
      <c r="Y5783" t="s">
        <v>26652</v>
      </c>
      <c r="Z5783" t="s">
        <v>26530</v>
      </c>
      <c r="AB5783" t="s">
        <v>31103</v>
      </c>
      <c r="AE5783">
        <v>359</v>
      </c>
      <c r="AF5783" t="s">
        <v>45541</v>
      </c>
      <c r="AH5783">
        <v>51</v>
      </c>
      <c r="AI5783">
        <v>1</v>
      </c>
      <c r="AJ5783">
        <v>0</v>
      </c>
      <c r="AK5783">
        <v>80.06</v>
      </c>
      <c r="AN5783" t="s">
        <v>7439</v>
      </c>
      <c r="AO5783">
        <v>10000</v>
      </c>
      <c r="AP5783" t="s">
        <v>45990</v>
      </c>
      <c r="AU5783">
        <v>0</v>
      </c>
      <c r="AW5783" t="s">
        <v>286</v>
      </c>
      <c r="AX5783" t="s">
        <v>19330</v>
      </c>
    </row>
    <row r="5784" spans="1:50">
      <c r="A5784" s="1">
        <f>HYPERLINK("https://lsnyc.legalserver.org/matter/dynamic-profile/view/1902028","19-1902028")</f>
        <v>0</v>
      </c>
      <c r="B5784" t="s">
        <v>95</v>
      </c>
      <c r="C5784" t="s">
        <v>340</v>
      </c>
      <c r="D5784" t="s">
        <v>720</v>
      </c>
      <c r="F5784" t="s">
        <v>1081</v>
      </c>
      <c r="G5784" t="s">
        <v>7693</v>
      </c>
      <c r="H5784" t="s">
        <v>9692</v>
      </c>
      <c r="I5784" t="s">
        <v>18250</v>
      </c>
      <c r="J5784" t="s">
        <v>18894</v>
      </c>
      <c r="K5784">
        <v>11233</v>
      </c>
      <c r="L5784" t="s">
        <v>18958</v>
      </c>
      <c r="M5784" t="s">
        <v>18960</v>
      </c>
      <c r="N5784" t="s">
        <v>18997</v>
      </c>
      <c r="O5784" t="s">
        <v>26531</v>
      </c>
      <c r="P5784" t="s">
        <v>26565</v>
      </c>
      <c r="R5784" t="s">
        <v>26578</v>
      </c>
      <c r="S5784" t="s">
        <v>18958</v>
      </c>
      <c r="U5784" t="s">
        <v>26604</v>
      </c>
      <c r="V5784" t="s">
        <v>26610</v>
      </c>
      <c r="W5784" t="s">
        <v>747</v>
      </c>
      <c r="X5784">
        <v>626.89</v>
      </c>
      <c r="Y5784" t="s">
        <v>26652</v>
      </c>
      <c r="Z5784" t="s">
        <v>26530</v>
      </c>
      <c r="AB5784" t="s">
        <v>31104</v>
      </c>
      <c r="AE5784">
        <v>359</v>
      </c>
      <c r="AF5784" t="s">
        <v>45541</v>
      </c>
      <c r="AH5784">
        <v>0</v>
      </c>
      <c r="AI5784">
        <v>1</v>
      </c>
      <c r="AJ5784">
        <v>0</v>
      </c>
      <c r="AK5784">
        <v>114.62</v>
      </c>
      <c r="AN5784" t="s">
        <v>7439</v>
      </c>
      <c r="AO5784">
        <v>14316</v>
      </c>
      <c r="AP5784" t="s">
        <v>45991</v>
      </c>
      <c r="AU5784">
        <v>0</v>
      </c>
      <c r="AW5784" t="s">
        <v>286</v>
      </c>
      <c r="AX5784" t="s">
        <v>19330</v>
      </c>
    </row>
    <row r="5785" spans="1:50">
      <c r="A5785" s="1">
        <f>HYPERLINK("https://lsnyc.legalserver.org/matter/dynamic-profile/view/1902052","19-1902052")</f>
        <v>0</v>
      </c>
      <c r="B5785" t="s">
        <v>95</v>
      </c>
      <c r="C5785" t="s">
        <v>340</v>
      </c>
      <c r="D5785" t="s">
        <v>720</v>
      </c>
      <c r="F5785" t="s">
        <v>3421</v>
      </c>
      <c r="G5785" t="s">
        <v>7694</v>
      </c>
      <c r="H5785" t="s">
        <v>9692</v>
      </c>
      <c r="I5785" t="s">
        <v>18251</v>
      </c>
      <c r="J5785" t="s">
        <v>18894</v>
      </c>
      <c r="K5785">
        <v>11233</v>
      </c>
      <c r="L5785" t="s">
        <v>18958</v>
      </c>
      <c r="M5785" t="s">
        <v>18960</v>
      </c>
      <c r="N5785" t="s">
        <v>18997</v>
      </c>
      <c r="O5785" t="s">
        <v>26531</v>
      </c>
      <c r="P5785" t="s">
        <v>26565</v>
      </c>
      <c r="R5785" t="s">
        <v>26578</v>
      </c>
      <c r="S5785" t="s">
        <v>18958</v>
      </c>
      <c r="U5785" t="s">
        <v>26604</v>
      </c>
      <c r="V5785" t="s">
        <v>26610</v>
      </c>
      <c r="W5785" t="s">
        <v>747</v>
      </c>
      <c r="X5785">
        <v>787</v>
      </c>
      <c r="Y5785" t="s">
        <v>26652</v>
      </c>
      <c r="Z5785" t="s">
        <v>26530</v>
      </c>
      <c r="AB5785" t="s">
        <v>31105</v>
      </c>
      <c r="AE5785">
        <v>359</v>
      </c>
      <c r="AF5785" t="s">
        <v>45541</v>
      </c>
      <c r="AH5785">
        <v>10</v>
      </c>
      <c r="AI5785">
        <v>1</v>
      </c>
      <c r="AJ5785">
        <v>2</v>
      </c>
      <c r="AK5785">
        <v>164.09</v>
      </c>
      <c r="AN5785" t="s">
        <v>7439</v>
      </c>
      <c r="AO5785">
        <v>35000</v>
      </c>
      <c r="AP5785" t="s">
        <v>45992</v>
      </c>
      <c r="AU5785">
        <v>0</v>
      </c>
      <c r="AW5785" t="s">
        <v>286</v>
      </c>
      <c r="AX5785" t="s">
        <v>46897</v>
      </c>
    </row>
    <row r="5786" spans="1:50">
      <c r="A5786" s="1">
        <f>HYPERLINK("https://lsnyc.legalserver.org/matter/dynamic-profile/view/1902163","19-1902163")</f>
        <v>0</v>
      </c>
      <c r="B5786" t="s">
        <v>95</v>
      </c>
      <c r="C5786" t="s">
        <v>340</v>
      </c>
      <c r="D5786" t="s">
        <v>772</v>
      </c>
      <c r="F5786" t="s">
        <v>2151</v>
      </c>
      <c r="G5786" t="s">
        <v>7696</v>
      </c>
      <c r="H5786" t="s">
        <v>9692</v>
      </c>
      <c r="I5786" t="s">
        <v>17951</v>
      </c>
      <c r="J5786" t="s">
        <v>18894</v>
      </c>
      <c r="K5786">
        <v>11233</v>
      </c>
      <c r="L5786" t="s">
        <v>18958</v>
      </c>
      <c r="M5786" t="s">
        <v>18960</v>
      </c>
      <c r="N5786" t="s">
        <v>18993</v>
      </c>
      <c r="O5786" t="s">
        <v>26531</v>
      </c>
      <c r="P5786" t="s">
        <v>26565</v>
      </c>
      <c r="R5786" t="s">
        <v>26578</v>
      </c>
      <c r="S5786" t="s">
        <v>18958</v>
      </c>
      <c r="U5786" t="s">
        <v>26604</v>
      </c>
      <c r="V5786" t="s">
        <v>26610</v>
      </c>
      <c r="W5786" t="s">
        <v>747</v>
      </c>
      <c r="X5786">
        <v>1170</v>
      </c>
      <c r="Y5786" t="s">
        <v>26652</v>
      </c>
      <c r="Z5786" t="s">
        <v>26530</v>
      </c>
      <c r="AE5786">
        <v>359</v>
      </c>
      <c r="AF5786" t="s">
        <v>45541</v>
      </c>
      <c r="AH5786">
        <v>29</v>
      </c>
      <c r="AI5786">
        <v>3</v>
      </c>
      <c r="AJ5786">
        <v>4</v>
      </c>
      <c r="AK5786">
        <v>17.94</v>
      </c>
      <c r="AN5786" t="s">
        <v>7439</v>
      </c>
      <c r="AO5786">
        <v>7000</v>
      </c>
      <c r="AP5786" t="s">
        <v>45993</v>
      </c>
      <c r="AU5786">
        <v>0</v>
      </c>
      <c r="AW5786" t="s">
        <v>286</v>
      </c>
      <c r="AX5786" t="s">
        <v>19330</v>
      </c>
    </row>
    <row r="5787" spans="1:50">
      <c r="A5787" s="1">
        <f>HYPERLINK("https://lsnyc.legalserver.org/matter/dynamic-profile/view/1902152","19-1902152")</f>
        <v>0</v>
      </c>
      <c r="B5787" t="s">
        <v>95</v>
      </c>
      <c r="C5787" t="s">
        <v>340</v>
      </c>
      <c r="D5787" t="s">
        <v>772</v>
      </c>
      <c r="F5787" t="s">
        <v>1333</v>
      </c>
      <c r="G5787" t="s">
        <v>7697</v>
      </c>
      <c r="H5787" t="s">
        <v>9692</v>
      </c>
      <c r="I5787" t="s">
        <v>18252</v>
      </c>
      <c r="J5787" t="s">
        <v>18894</v>
      </c>
      <c r="K5787">
        <v>11233</v>
      </c>
      <c r="L5787" t="s">
        <v>18958</v>
      </c>
      <c r="M5787" t="s">
        <v>18960</v>
      </c>
      <c r="N5787" t="s">
        <v>18997</v>
      </c>
      <c r="O5787" t="s">
        <v>26531</v>
      </c>
      <c r="P5787" t="s">
        <v>26565</v>
      </c>
      <c r="R5787" t="s">
        <v>26578</v>
      </c>
      <c r="S5787" t="s">
        <v>18958</v>
      </c>
      <c r="U5787" t="s">
        <v>26604</v>
      </c>
      <c r="V5787" t="s">
        <v>26610</v>
      </c>
      <c r="W5787" t="s">
        <v>747</v>
      </c>
      <c r="X5787">
        <v>1200</v>
      </c>
      <c r="Y5787" t="s">
        <v>26652</v>
      </c>
      <c r="Z5787" t="s">
        <v>26530</v>
      </c>
      <c r="AB5787" t="s">
        <v>30611</v>
      </c>
      <c r="AE5787">
        <v>359</v>
      </c>
      <c r="AF5787" t="s">
        <v>45541</v>
      </c>
      <c r="AH5787">
        <v>20</v>
      </c>
      <c r="AI5787">
        <v>3</v>
      </c>
      <c r="AJ5787">
        <v>0</v>
      </c>
      <c r="AK5787">
        <v>328.18</v>
      </c>
      <c r="AN5787" t="s">
        <v>7439</v>
      </c>
      <c r="AO5787">
        <v>70000</v>
      </c>
      <c r="AP5787" t="s">
        <v>45994</v>
      </c>
      <c r="AU5787">
        <v>0</v>
      </c>
      <c r="AW5787" t="s">
        <v>286</v>
      </c>
      <c r="AX5787" t="s">
        <v>19330</v>
      </c>
    </row>
    <row r="5788" spans="1:50">
      <c r="A5788" s="1">
        <f>HYPERLINK("https://lsnyc.legalserver.org/matter/dynamic-profile/view/1888883","19-1888883")</f>
        <v>0</v>
      </c>
      <c r="B5788" t="s">
        <v>278</v>
      </c>
      <c r="C5788" t="s">
        <v>340</v>
      </c>
      <c r="D5788" t="s">
        <v>732</v>
      </c>
      <c r="F5788" t="s">
        <v>1276</v>
      </c>
      <c r="G5788" t="s">
        <v>5075</v>
      </c>
      <c r="H5788" t="s">
        <v>13796</v>
      </c>
      <c r="I5788" t="s">
        <v>17416</v>
      </c>
      <c r="J5788" t="s">
        <v>18902</v>
      </c>
      <c r="K5788">
        <v>10304</v>
      </c>
      <c r="L5788" t="s">
        <v>18958</v>
      </c>
      <c r="M5788" t="s">
        <v>18958</v>
      </c>
      <c r="N5788" t="s">
        <v>19330</v>
      </c>
      <c r="O5788" t="s">
        <v>26524</v>
      </c>
      <c r="P5788" t="s">
        <v>26562</v>
      </c>
      <c r="R5788" t="s">
        <v>26578</v>
      </c>
      <c r="S5788" t="s">
        <v>18959</v>
      </c>
      <c r="U5788" t="s">
        <v>26604</v>
      </c>
      <c r="V5788" t="s">
        <v>26610</v>
      </c>
      <c r="W5788" t="s">
        <v>757</v>
      </c>
      <c r="X5788">
        <v>1060</v>
      </c>
      <c r="Y5788" t="s">
        <v>26654</v>
      </c>
      <c r="Z5788" t="s">
        <v>26530</v>
      </c>
      <c r="AB5788" t="s">
        <v>30293</v>
      </c>
      <c r="AD5788" t="s">
        <v>41425</v>
      </c>
      <c r="AE5788">
        <v>2</v>
      </c>
      <c r="AF5788" t="s">
        <v>45552</v>
      </c>
      <c r="AG5788" t="s">
        <v>45561</v>
      </c>
      <c r="AH5788">
        <v>4</v>
      </c>
      <c r="AI5788">
        <v>1</v>
      </c>
      <c r="AJ5788">
        <v>0</v>
      </c>
      <c r="AK5788">
        <v>81.47</v>
      </c>
      <c r="AN5788" t="s">
        <v>7439</v>
      </c>
      <c r="AO5788">
        <v>10176</v>
      </c>
      <c r="AU5788">
        <v>8.9</v>
      </c>
      <c r="AV5788" t="s">
        <v>831</v>
      </c>
      <c r="AW5788" t="s">
        <v>46850</v>
      </c>
      <c r="AX5788" t="s">
        <v>46897</v>
      </c>
    </row>
    <row r="5789" spans="1:50">
      <c r="A5789" s="1">
        <f>HYPERLINK("https://lsnyc.legalserver.org/matter/dynamic-profile/view/1890358","19-1890358")</f>
        <v>0</v>
      </c>
      <c r="B5789" t="s">
        <v>187</v>
      </c>
      <c r="C5789" t="s">
        <v>341</v>
      </c>
      <c r="D5789" t="s">
        <v>677</v>
      </c>
      <c r="E5789" t="s">
        <v>741</v>
      </c>
      <c r="F5789" t="s">
        <v>891</v>
      </c>
      <c r="G5789" t="s">
        <v>7380</v>
      </c>
      <c r="H5789" t="s">
        <v>13797</v>
      </c>
      <c r="I5789">
        <v>1</v>
      </c>
      <c r="J5789" t="s">
        <v>18892</v>
      </c>
      <c r="K5789">
        <v>10469</v>
      </c>
      <c r="L5789" t="s">
        <v>18958</v>
      </c>
      <c r="M5789" t="s">
        <v>18958</v>
      </c>
      <c r="N5789" t="s">
        <v>23160</v>
      </c>
      <c r="O5789" t="s">
        <v>26524</v>
      </c>
      <c r="P5789" t="s">
        <v>26564</v>
      </c>
      <c r="Q5789" t="s">
        <v>26570</v>
      </c>
      <c r="R5789" t="s">
        <v>26577</v>
      </c>
      <c r="S5789" t="s">
        <v>18959</v>
      </c>
      <c r="U5789" t="s">
        <v>26604</v>
      </c>
      <c r="V5789" t="s">
        <v>26610</v>
      </c>
      <c r="W5789" t="s">
        <v>757</v>
      </c>
      <c r="X5789">
        <v>0</v>
      </c>
      <c r="Y5789" t="s">
        <v>26650</v>
      </c>
      <c r="Z5789" t="s">
        <v>26668</v>
      </c>
      <c r="AA5789" t="s">
        <v>26683</v>
      </c>
      <c r="AB5789" t="s">
        <v>31245</v>
      </c>
      <c r="AD5789" t="s">
        <v>41426</v>
      </c>
      <c r="AE5789">
        <v>0</v>
      </c>
      <c r="AH5789">
        <v>0</v>
      </c>
      <c r="AI5789">
        <v>1</v>
      </c>
      <c r="AJ5789">
        <v>1</v>
      </c>
      <c r="AK5789">
        <v>177.13</v>
      </c>
      <c r="AN5789" t="s">
        <v>7439</v>
      </c>
      <c r="AO5789">
        <v>29952</v>
      </c>
      <c r="AT5789" t="s">
        <v>46666</v>
      </c>
      <c r="AU5789">
        <v>0.6</v>
      </c>
      <c r="AV5789" t="s">
        <v>757</v>
      </c>
      <c r="AW5789" t="s">
        <v>302</v>
      </c>
    </row>
    <row r="5790" spans="1:50">
      <c r="A5790" s="1">
        <f>HYPERLINK("https://lsnyc.legalserver.org/matter/dynamic-profile/view/1889519","19-1889519")</f>
        <v>0</v>
      </c>
      <c r="B5790" t="s">
        <v>177</v>
      </c>
      <c r="C5790" t="s">
        <v>341</v>
      </c>
      <c r="D5790" t="s">
        <v>735</v>
      </c>
      <c r="E5790" t="s">
        <v>771</v>
      </c>
      <c r="F5790" t="s">
        <v>1140</v>
      </c>
      <c r="G5790" t="s">
        <v>7776</v>
      </c>
      <c r="H5790" t="s">
        <v>13798</v>
      </c>
      <c r="I5790" t="s">
        <v>18279</v>
      </c>
      <c r="J5790" t="s">
        <v>18892</v>
      </c>
      <c r="K5790">
        <v>10453</v>
      </c>
      <c r="L5790" t="s">
        <v>18958</v>
      </c>
      <c r="M5790" t="s">
        <v>18958</v>
      </c>
      <c r="N5790" t="s">
        <v>23161</v>
      </c>
      <c r="O5790" t="s">
        <v>26523</v>
      </c>
      <c r="P5790" t="s">
        <v>26560</v>
      </c>
      <c r="Q5790" t="s">
        <v>26568</v>
      </c>
      <c r="R5790" t="s">
        <v>26578</v>
      </c>
      <c r="U5790" t="s">
        <v>26604</v>
      </c>
      <c r="W5790" t="s">
        <v>757</v>
      </c>
      <c r="X5790">
        <v>1475.86</v>
      </c>
      <c r="Y5790" t="s">
        <v>26650</v>
      </c>
      <c r="Z5790" t="s">
        <v>26657</v>
      </c>
      <c r="AA5790" t="s">
        <v>26678</v>
      </c>
      <c r="AB5790" t="s">
        <v>29359</v>
      </c>
      <c r="AD5790" t="s">
        <v>41427</v>
      </c>
      <c r="AE5790">
        <v>0</v>
      </c>
      <c r="AF5790" t="s">
        <v>45541</v>
      </c>
      <c r="AG5790" t="s">
        <v>45561</v>
      </c>
      <c r="AH5790">
        <v>1</v>
      </c>
      <c r="AI5790">
        <v>2</v>
      </c>
      <c r="AJ5790">
        <v>0</v>
      </c>
      <c r="AK5790">
        <v>91.90000000000001</v>
      </c>
      <c r="AN5790" t="s">
        <v>7439</v>
      </c>
      <c r="AO5790">
        <v>15540</v>
      </c>
      <c r="AU5790">
        <v>24.8</v>
      </c>
      <c r="AV5790" t="s">
        <v>754</v>
      </c>
      <c r="AW5790" t="s">
        <v>46858</v>
      </c>
    </row>
    <row r="5791" spans="1:50">
      <c r="A5791" s="1">
        <f>HYPERLINK("https://lsnyc.legalserver.org/matter/dynamic-profile/view/1889603","19-1889603")</f>
        <v>0</v>
      </c>
      <c r="B5791" t="s">
        <v>138</v>
      </c>
      <c r="C5791" t="s">
        <v>340</v>
      </c>
      <c r="D5791" t="s">
        <v>735</v>
      </c>
      <c r="F5791" t="s">
        <v>3484</v>
      </c>
      <c r="G5791" t="s">
        <v>7777</v>
      </c>
      <c r="H5791" t="s">
        <v>13799</v>
      </c>
      <c r="I5791" t="s">
        <v>17316</v>
      </c>
      <c r="J5791" t="s">
        <v>18893</v>
      </c>
      <c r="K5791">
        <v>10035</v>
      </c>
      <c r="L5791" t="s">
        <v>18958</v>
      </c>
      <c r="M5791" t="s">
        <v>18958</v>
      </c>
      <c r="N5791" t="s">
        <v>23162</v>
      </c>
      <c r="O5791" t="s">
        <v>26523</v>
      </c>
      <c r="P5791" t="s">
        <v>26563</v>
      </c>
      <c r="R5791" t="s">
        <v>26578</v>
      </c>
      <c r="S5791" t="s">
        <v>18959</v>
      </c>
      <c r="U5791" t="s">
        <v>26604</v>
      </c>
      <c r="V5791" t="s">
        <v>26610</v>
      </c>
      <c r="W5791" t="s">
        <v>757</v>
      </c>
      <c r="X5791">
        <v>3600</v>
      </c>
      <c r="Y5791" t="s">
        <v>26651</v>
      </c>
      <c r="Z5791" t="s">
        <v>26665</v>
      </c>
      <c r="AB5791" t="s">
        <v>31246</v>
      </c>
      <c r="AD5791" t="s">
        <v>41428</v>
      </c>
      <c r="AE5791">
        <v>48</v>
      </c>
      <c r="AF5791" t="s">
        <v>45551</v>
      </c>
      <c r="AG5791" t="s">
        <v>45563</v>
      </c>
      <c r="AH5791">
        <v>12</v>
      </c>
      <c r="AI5791">
        <v>4</v>
      </c>
      <c r="AJ5791">
        <v>0</v>
      </c>
      <c r="AK5791">
        <v>109.28</v>
      </c>
      <c r="AN5791" t="s">
        <v>7439</v>
      </c>
      <c r="AO5791">
        <v>28140</v>
      </c>
      <c r="AU5791">
        <v>12.6</v>
      </c>
      <c r="AV5791" t="s">
        <v>833</v>
      </c>
      <c r="AW5791" t="s">
        <v>46841</v>
      </c>
    </row>
    <row r="5792" spans="1:50">
      <c r="A5792" s="1">
        <f>HYPERLINK("https://lsnyc.legalserver.org/matter/dynamic-profile/view/1890041","19-1890041")</f>
        <v>0</v>
      </c>
      <c r="B5792" t="s">
        <v>108</v>
      </c>
      <c r="C5792" t="s">
        <v>341</v>
      </c>
      <c r="D5792" t="s">
        <v>744</v>
      </c>
      <c r="E5792" t="s">
        <v>828</v>
      </c>
      <c r="F5792" t="s">
        <v>887</v>
      </c>
      <c r="G5792" t="s">
        <v>7417</v>
      </c>
      <c r="H5792" t="s">
        <v>13231</v>
      </c>
      <c r="I5792" t="s">
        <v>18146</v>
      </c>
      <c r="J5792" t="s">
        <v>7026</v>
      </c>
      <c r="K5792">
        <v>11368</v>
      </c>
      <c r="L5792" t="s">
        <v>18958</v>
      </c>
      <c r="M5792" t="s">
        <v>18958</v>
      </c>
      <c r="N5792" t="s">
        <v>23163</v>
      </c>
      <c r="O5792" t="s">
        <v>26524</v>
      </c>
      <c r="P5792" t="s">
        <v>26564</v>
      </c>
      <c r="Q5792" t="s">
        <v>26570</v>
      </c>
      <c r="R5792" t="s">
        <v>26584</v>
      </c>
      <c r="S5792" t="s">
        <v>18959</v>
      </c>
      <c r="U5792" t="s">
        <v>26604</v>
      </c>
      <c r="V5792" t="s">
        <v>26610</v>
      </c>
      <c r="W5792" t="s">
        <v>757</v>
      </c>
      <c r="X5792">
        <v>600</v>
      </c>
      <c r="Y5792" t="s">
        <v>26653</v>
      </c>
      <c r="Z5792" t="s">
        <v>26664</v>
      </c>
      <c r="AA5792" t="s">
        <v>26683</v>
      </c>
      <c r="AB5792" t="s">
        <v>30588</v>
      </c>
      <c r="AC5792" t="s">
        <v>36036</v>
      </c>
      <c r="AD5792" t="s">
        <v>40782</v>
      </c>
      <c r="AE5792">
        <v>3</v>
      </c>
      <c r="AF5792" t="s">
        <v>45547</v>
      </c>
      <c r="AG5792" t="s">
        <v>19330</v>
      </c>
      <c r="AH5792">
        <v>8</v>
      </c>
      <c r="AI5792">
        <v>1</v>
      </c>
      <c r="AJ5792">
        <v>0</v>
      </c>
      <c r="AK5792">
        <v>76.86</v>
      </c>
      <c r="AN5792" t="s">
        <v>45581</v>
      </c>
      <c r="AO5792">
        <v>9600</v>
      </c>
      <c r="AU5792">
        <v>0.1</v>
      </c>
      <c r="AV5792" t="s">
        <v>757</v>
      </c>
      <c r="AW5792" t="s">
        <v>122</v>
      </c>
      <c r="AX5792" t="s">
        <v>46897</v>
      </c>
    </row>
    <row r="5793" spans="1:50">
      <c r="A5793" s="1">
        <f>HYPERLINK("https://lsnyc.legalserver.org/matter/dynamic-profile/view/1890217","19-1890217")</f>
        <v>0</v>
      </c>
      <c r="B5793" t="s">
        <v>137</v>
      </c>
      <c r="C5793" t="s">
        <v>341</v>
      </c>
      <c r="D5793" t="s">
        <v>702</v>
      </c>
      <c r="E5793" t="s">
        <v>765</v>
      </c>
      <c r="F5793" t="s">
        <v>2405</v>
      </c>
      <c r="G5793" t="s">
        <v>6855</v>
      </c>
      <c r="H5793" t="s">
        <v>11089</v>
      </c>
      <c r="I5793" t="s">
        <v>17312</v>
      </c>
      <c r="J5793" t="s">
        <v>18892</v>
      </c>
      <c r="K5793">
        <v>10457</v>
      </c>
      <c r="L5793" t="s">
        <v>18958</v>
      </c>
      <c r="M5793" t="s">
        <v>18958</v>
      </c>
      <c r="N5793" t="s">
        <v>23164</v>
      </c>
      <c r="O5793" t="s">
        <v>26523</v>
      </c>
      <c r="P5793" t="s">
        <v>26560</v>
      </c>
      <c r="Q5793" t="s">
        <v>26568</v>
      </c>
      <c r="R5793" t="s">
        <v>26579</v>
      </c>
      <c r="S5793" t="s">
        <v>18959</v>
      </c>
      <c r="U5793" t="s">
        <v>26604</v>
      </c>
      <c r="V5793" t="s">
        <v>26609</v>
      </c>
      <c r="W5793" t="s">
        <v>757</v>
      </c>
      <c r="X5793">
        <v>329</v>
      </c>
      <c r="Y5793" t="s">
        <v>26650</v>
      </c>
      <c r="Z5793" t="s">
        <v>26668</v>
      </c>
      <c r="AA5793" t="s">
        <v>26678</v>
      </c>
      <c r="AB5793" t="s">
        <v>31247</v>
      </c>
      <c r="AC5793" t="s">
        <v>36037</v>
      </c>
      <c r="AD5793" t="s">
        <v>41429</v>
      </c>
      <c r="AE5793">
        <v>86</v>
      </c>
      <c r="AF5793" t="s">
        <v>45543</v>
      </c>
      <c r="AG5793" t="s">
        <v>19330</v>
      </c>
      <c r="AH5793">
        <v>5</v>
      </c>
      <c r="AI5793">
        <v>1</v>
      </c>
      <c r="AJ5793">
        <v>0</v>
      </c>
      <c r="AK5793">
        <v>14.41</v>
      </c>
      <c r="AN5793" t="s">
        <v>7439</v>
      </c>
      <c r="AO5793">
        <v>1800</v>
      </c>
      <c r="AR5793" t="s">
        <v>46462</v>
      </c>
      <c r="AS5793" t="s">
        <v>46499</v>
      </c>
      <c r="AT5793" t="s">
        <v>46785</v>
      </c>
      <c r="AU5793">
        <v>7</v>
      </c>
      <c r="AV5793" t="s">
        <v>760</v>
      </c>
      <c r="AW5793" t="s">
        <v>46847</v>
      </c>
      <c r="AX5793" t="s">
        <v>46897</v>
      </c>
    </row>
    <row r="5794" spans="1:50">
      <c r="A5794" s="1">
        <f>HYPERLINK("https://lsnyc.legalserver.org/matter/dynamic-profile/view/1891306","19-1891306")</f>
        <v>0</v>
      </c>
      <c r="B5794" t="s">
        <v>138</v>
      </c>
      <c r="C5794" t="s">
        <v>340</v>
      </c>
      <c r="D5794" t="s">
        <v>747</v>
      </c>
      <c r="F5794" t="s">
        <v>2181</v>
      </c>
      <c r="G5794" t="s">
        <v>6361</v>
      </c>
      <c r="H5794" t="s">
        <v>11508</v>
      </c>
      <c r="I5794" t="s">
        <v>17643</v>
      </c>
      <c r="J5794" t="s">
        <v>18893</v>
      </c>
      <c r="K5794">
        <v>10029</v>
      </c>
      <c r="L5794" t="s">
        <v>18958</v>
      </c>
      <c r="M5794" t="s">
        <v>18958</v>
      </c>
      <c r="O5794" t="s">
        <v>18997</v>
      </c>
      <c r="P5794" t="s">
        <v>26563</v>
      </c>
      <c r="R5794" t="s">
        <v>26578</v>
      </c>
      <c r="S5794" t="s">
        <v>18959</v>
      </c>
      <c r="U5794" t="s">
        <v>26604</v>
      </c>
      <c r="V5794" t="s">
        <v>26610</v>
      </c>
      <c r="W5794" t="s">
        <v>757</v>
      </c>
      <c r="X5794">
        <v>1500</v>
      </c>
      <c r="Y5794" t="s">
        <v>26651</v>
      </c>
      <c r="Z5794" t="s">
        <v>26661</v>
      </c>
      <c r="AB5794" t="s">
        <v>28713</v>
      </c>
      <c r="AD5794" t="s">
        <v>38766</v>
      </c>
      <c r="AE5794">
        <v>8</v>
      </c>
      <c r="AF5794" t="s">
        <v>20460</v>
      </c>
      <c r="AG5794" t="s">
        <v>19330</v>
      </c>
      <c r="AH5794">
        <v>18</v>
      </c>
      <c r="AI5794">
        <v>1</v>
      </c>
      <c r="AJ5794">
        <v>0</v>
      </c>
      <c r="AK5794">
        <v>84.55</v>
      </c>
      <c r="AN5794" t="s">
        <v>45581</v>
      </c>
      <c r="AO5794">
        <v>10560</v>
      </c>
      <c r="AU5794">
        <v>5.5</v>
      </c>
      <c r="AV5794" t="s">
        <v>760</v>
      </c>
      <c r="AW5794" t="s">
        <v>46849</v>
      </c>
    </row>
    <row r="5795" spans="1:50">
      <c r="A5795" s="1">
        <f>HYPERLINK("https://lsnyc.legalserver.org/matter/dynamic-profile/view/1891562","19-1891562")</f>
        <v>0</v>
      </c>
      <c r="B5795" t="s">
        <v>107</v>
      </c>
      <c r="C5795" t="s">
        <v>341</v>
      </c>
      <c r="D5795" t="s">
        <v>757</v>
      </c>
      <c r="E5795" t="s">
        <v>828</v>
      </c>
      <c r="F5795" t="s">
        <v>3485</v>
      </c>
      <c r="G5795" t="s">
        <v>7409</v>
      </c>
      <c r="H5795" t="s">
        <v>13800</v>
      </c>
      <c r="J5795" t="s">
        <v>7026</v>
      </c>
      <c r="K5795">
        <v>11368</v>
      </c>
      <c r="L5795" t="s">
        <v>18958</v>
      </c>
      <c r="M5795" t="s">
        <v>18958</v>
      </c>
      <c r="N5795" t="s">
        <v>23165</v>
      </c>
      <c r="O5795" t="s">
        <v>26524</v>
      </c>
      <c r="P5795" t="s">
        <v>26564</v>
      </c>
      <c r="Q5795" t="s">
        <v>26570</v>
      </c>
      <c r="R5795" t="s">
        <v>26584</v>
      </c>
      <c r="S5795" t="s">
        <v>18959</v>
      </c>
      <c r="U5795" t="s">
        <v>26604</v>
      </c>
      <c r="V5795" t="s">
        <v>26610</v>
      </c>
      <c r="W5795" t="s">
        <v>757</v>
      </c>
      <c r="X5795">
        <v>1850</v>
      </c>
      <c r="Y5795" t="s">
        <v>26653</v>
      </c>
      <c r="Z5795" t="s">
        <v>26664</v>
      </c>
      <c r="AA5795" t="s">
        <v>26683</v>
      </c>
      <c r="AB5795" t="s">
        <v>26741</v>
      </c>
      <c r="AC5795" t="s">
        <v>36038</v>
      </c>
      <c r="AD5795" t="s">
        <v>41430</v>
      </c>
      <c r="AE5795">
        <v>4</v>
      </c>
      <c r="AF5795" t="s">
        <v>45547</v>
      </c>
      <c r="AG5795" t="s">
        <v>19330</v>
      </c>
      <c r="AH5795">
        <v>13</v>
      </c>
      <c r="AI5795">
        <v>2</v>
      </c>
      <c r="AJ5795">
        <v>3</v>
      </c>
      <c r="AK5795">
        <v>9.94</v>
      </c>
      <c r="AN5795" t="s">
        <v>7439</v>
      </c>
      <c r="AO5795">
        <v>3000</v>
      </c>
      <c r="AT5795" t="s">
        <v>46666</v>
      </c>
      <c r="AU5795">
        <v>1</v>
      </c>
      <c r="AV5795" t="s">
        <v>757</v>
      </c>
      <c r="AW5795" t="s">
        <v>107</v>
      </c>
      <c r="AX5795" t="s">
        <v>46897</v>
      </c>
    </row>
    <row r="5796" spans="1:50">
      <c r="A5796" s="1">
        <f>HYPERLINK("https://lsnyc.legalserver.org/matter/dynamic-profile/view/1891498","19-1891498")</f>
        <v>0</v>
      </c>
      <c r="B5796" t="s">
        <v>280</v>
      </c>
      <c r="C5796" t="s">
        <v>341</v>
      </c>
      <c r="D5796" t="s">
        <v>757</v>
      </c>
      <c r="E5796" t="s">
        <v>805</v>
      </c>
      <c r="F5796" t="s">
        <v>3486</v>
      </c>
      <c r="G5796" t="s">
        <v>5518</v>
      </c>
      <c r="H5796" t="s">
        <v>10299</v>
      </c>
      <c r="I5796" t="s">
        <v>17395</v>
      </c>
      <c r="J5796" t="s">
        <v>18909</v>
      </c>
      <c r="K5796">
        <v>11101</v>
      </c>
      <c r="L5796" t="s">
        <v>18958</v>
      </c>
      <c r="M5796" t="s">
        <v>18958</v>
      </c>
      <c r="N5796" t="s">
        <v>23166</v>
      </c>
      <c r="O5796" t="s">
        <v>26524</v>
      </c>
      <c r="P5796" t="s">
        <v>26560</v>
      </c>
      <c r="Q5796" t="s">
        <v>26568</v>
      </c>
      <c r="R5796" t="s">
        <v>26578</v>
      </c>
      <c r="S5796" t="s">
        <v>18959</v>
      </c>
      <c r="U5796" t="s">
        <v>26604</v>
      </c>
      <c r="V5796" t="s">
        <v>26610</v>
      </c>
      <c r="W5796" t="s">
        <v>757</v>
      </c>
      <c r="X5796">
        <v>336</v>
      </c>
      <c r="Y5796" t="s">
        <v>26653</v>
      </c>
      <c r="Z5796" t="s">
        <v>26659</v>
      </c>
      <c r="AA5796" t="s">
        <v>26678</v>
      </c>
      <c r="AB5796" t="s">
        <v>31248</v>
      </c>
      <c r="AC5796" t="s">
        <v>36039</v>
      </c>
      <c r="AD5796" t="s">
        <v>41431</v>
      </c>
      <c r="AE5796">
        <v>306</v>
      </c>
      <c r="AF5796" t="s">
        <v>45551</v>
      </c>
      <c r="AG5796" t="s">
        <v>45556</v>
      </c>
      <c r="AH5796">
        <v>3</v>
      </c>
      <c r="AI5796">
        <v>1</v>
      </c>
      <c r="AJ5796">
        <v>1</v>
      </c>
      <c r="AK5796">
        <v>59.14</v>
      </c>
      <c r="AN5796" t="s">
        <v>7439</v>
      </c>
      <c r="AO5796">
        <v>10000</v>
      </c>
      <c r="AQ5796" t="s">
        <v>46359</v>
      </c>
      <c r="AR5796" t="s">
        <v>46383</v>
      </c>
      <c r="AS5796" t="s">
        <v>46499</v>
      </c>
      <c r="AT5796" t="s">
        <v>46784</v>
      </c>
      <c r="AU5796">
        <v>34.9</v>
      </c>
      <c r="AV5796" t="s">
        <v>818</v>
      </c>
      <c r="AW5796" t="s">
        <v>280</v>
      </c>
      <c r="AX5796" t="s">
        <v>46897</v>
      </c>
    </row>
    <row r="5797" spans="1:50">
      <c r="A5797" s="1">
        <f>HYPERLINK("https://lsnyc.legalserver.org/matter/dynamic-profile/view/1891426","19-1891426")</f>
        <v>0</v>
      </c>
      <c r="B5797" t="s">
        <v>133</v>
      </c>
      <c r="C5797" t="s">
        <v>341</v>
      </c>
      <c r="D5797" t="s">
        <v>757</v>
      </c>
      <c r="E5797" t="s">
        <v>830</v>
      </c>
      <c r="F5797" t="s">
        <v>962</v>
      </c>
      <c r="G5797" t="s">
        <v>5148</v>
      </c>
      <c r="H5797" t="s">
        <v>13801</v>
      </c>
      <c r="I5797" t="s">
        <v>17284</v>
      </c>
      <c r="J5797" t="s">
        <v>18892</v>
      </c>
      <c r="K5797">
        <v>10467</v>
      </c>
      <c r="L5797" t="s">
        <v>18958</v>
      </c>
      <c r="M5797" t="s">
        <v>18958</v>
      </c>
      <c r="N5797" t="s">
        <v>23167</v>
      </c>
      <c r="O5797" t="s">
        <v>26523</v>
      </c>
      <c r="P5797" t="s">
        <v>26560</v>
      </c>
      <c r="Q5797" t="s">
        <v>26570</v>
      </c>
      <c r="R5797" t="s">
        <v>26579</v>
      </c>
      <c r="U5797" t="s">
        <v>26604</v>
      </c>
      <c r="V5797" t="s">
        <v>26610</v>
      </c>
      <c r="W5797" t="s">
        <v>757</v>
      </c>
      <c r="X5797">
        <v>1643</v>
      </c>
      <c r="Y5797" t="s">
        <v>26650</v>
      </c>
      <c r="Z5797" t="s">
        <v>26664</v>
      </c>
      <c r="AA5797" t="s">
        <v>26678</v>
      </c>
      <c r="AB5797" t="s">
        <v>30631</v>
      </c>
      <c r="AC5797" t="s">
        <v>34514</v>
      </c>
      <c r="AD5797" t="s">
        <v>36906</v>
      </c>
      <c r="AE5797">
        <v>0</v>
      </c>
      <c r="AH5797">
        <v>16</v>
      </c>
      <c r="AI5797">
        <v>2</v>
      </c>
      <c r="AJ5797">
        <v>4</v>
      </c>
      <c r="AK5797">
        <v>22.62</v>
      </c>
      <c r="AN5797" t="s">
        <v>7439</v>
      </c>
      <c r="AO5797">
        <v>7824</v>
      </c>
      <c r="AU5797">
        <v>2.75</v>
      </c>
      <c r="AV5797" t="s">
        <v>830</v>
      </c>
      <c r="AW5797" t="s">
        <v>334</v>
      </c>
    </row>
    <row r="5798" spans="1:50">
      <c r="A5798" s="1">
        <f>HYPERLINK("https://lsnyc.legalserver.org/matter/dynamic-profile/view/1891421","19-1891421")</f>
        <v>0</v>
      </c>
      <c r="B5798" t="s">
        <v>133</v>
      </c>
      <c r="C5798" t="s">
        <v>341</v>
      </c>
      <c r="D5798" t="s">
        <v>757</v>
      </c>
      <c r="E5798" t="s">
        <v>780</v>
      </c>
      <c r="F5798" t="s">
        <v>3487</v>
      </c>
      <c r="G5798" t="s">
        <v>5706</v>
      </c>
      <c r="H5798" t="s">
        <v>13802</v>
      </c>
      <c r="I5798">
        <v>516</v>
      </c>
      <c r="J5798" t="s">
        <v>18892</v>
      </c>
      <c r="K5798">
        <v>10457</v>
      </c>
      <c r="L5798" t="s">
        <v>18958</v>
      </c>
      <c r="M5798" t="s">
        <v>18958</v>
      </c>
      <c r="N5798" t="s">
        <v>23168</v>
      </c>
      <c r="O5798" t="s">
        <v>26523</v>
      </c>
      <c r="P5798" t="s">
        <v>26560</v>
      </c>
      <c r="Q5798" t="s">
        <v>26568</v>
      </c>
      <c r="R5798" t="s">
        <v>26579</v>
      </c>
      <c r="S5798" t="s">
        <v>18959</v>
      </c>
      <c r="U5798" t="s">
        <v>26604</v>
      </c>
      <c r="V5798" t="s">
        <v>26610</v>
      </c>
      <c r="W5798" t="s">
        <v>757</v>
      </c>
      <c r="X5798">
        <v>1024</v>
      </c>
      <c r="Y5798" t="s">
        <v>26650</v>
      </c>
      <c r="Z5798" t="s">
        <v>26664</v>
      </c>
      <c r="AA5798" t="s">
        <v>26678</v>
      </c>
      <c r="AB5798" t="s">
        <v>31249</v>
      </c>
      <c r="AE5798">
        <v>248</v>
      </c>
      <c r="AF5798" t="s">
        <v>45541</v>
      </c>
      <c r="AH5798">
        <v>1</v>
      </c>
      <c r="AI5798">
        <v>1</v>
      </c>
      <c r="AJ5798">
        <v>2</v>
      </c>
      <c r="AK5798">
        <v>196.91</v>
      </c>
      <c r="AO5798">
        <v>42000</v>
      </c>
      <c r="AR5798" t="s">
        <v>46379</v>
      </c>
      <c r="AS5798" t="s">
        <v>46499</v>
      </c>
      <c r="AT5798" t="s">
        <v>46777</v>
      </c>
      <c r="AU5798">
        <v>2</v>
      </c>
      <c r="AV5798" t="s">
        <v>793</v>
      </c>
      <c r="AW5798" t="s">
        <v>334</v>
      </c>
    </row>
    <row r="5799" spans="1:50">
      <c r="A5799" s="1">
        <f>HYPERLINK("https://lsnyc.legalserver.org/matter/dynamic-profile/view/1891558","19-1891558")</f>
        <v>0</v>
      </c>
      <c r="B5799" t="s">
        <v>70</v>
      </c>
      <c r="C5799" t="s">
        <v>341</v>
      </c>
      <c r="D5799" t="s">
        <v>757</v>
      </c>
      <c r="E5799" t="s">
        <v>786</v>
      </c>
      <c r="F5799" t="s">
        <v>1992</v>
      </c>
      <c r="G5799" t="s">
        <v>6793</v>
      </c>
      <c r="H5799" t="s">
        <v>10918</v>
      </c>
      <c r="I5799" t="s">
        <v>18256</v>
      </c>
      <c r="J5799" t="s">
        <v>18892</v>
      </c>
      <c r="K5799">
        <v>10451</v>
      </c>
      <c r="L5799" t="s">
        <v>18958</v>
      </c>
      <c r="M5799" t="s">
        <v>18958</v>
      </c>
      <c r="N5799" t="s">
        <v>23169</v>
      </c>
      <c r="O5799" t="s">
        <v>26524</v>
      </c>
      <c r="P5799" t="s">
        <v>26560</v>
      </c>
      <c r="Q5799" t="s">
        <v>26573</v>
      </c>
      <c r="R5799" t="s">
        <v>26577</v>
      </c>
      <c r="S5799" t="s">
        <v>18959</v>
      </c>
      <c r="U5799" t="s">
        <v>26604</v>
      </c>
      <c r="V5799" t="s">
        <v>26613</v>
      </c>
      <c r="W5799" t="s">
        <v>757</v>
      </c>
      <c r="X5799">
        <v>747.67</v>
      </c>
      <c r="Y5799" t="s">
        <v>26650</v>
      </c>
      <c r="Z5799" t="s">
        <v>26668</v>
      </c>
      <c r="AA5799" t="s">
        <v>26690</v>
      </c>
      <c r="AB5799" t="s">
        <v>31118</v>
      </c>
      <c r="AC5799" t="s">
        <v>36040</v>
      </c>
      <c r="AD5799" t="s">
        <v>41288</v>
      </c>
      <c r="AE5799">
        <v>100</v>
      </c>
      <c r="AF5799" t="s">
        <v>45541</v>
      </c>
      <c r="AG5799" t="s">
        <v>45556</v>
      </c>
      <c r="AH5799">
        <v>19</v>
      </c>
      <c r="AI5799">
        <v>3</v>
      </c>
      <c r="AJ5799">
        <v>5</v>
      </c>
      <c r="AK5799">
        <v>69.56</v>
      </c>
      <c r="AN5799" t="s">
        <v>7439</v>
      </c>
      <c r="AO5799">
        <v>30212</v>
      </c>
      <c r="AR5799" t="s">
        <v>46380</v>
      </c>
      <c r="AS5799" t="s">
        <v>46499</v>
      </c>
      <c r="AT5799" t="s">
        <v>46714</v>
      </c>
      <c r="AU5799">
        <v>1.1</v>
      </c>
      <c r="AV5799" t="s">
        <v>753</v>
      </c>
      <c r="AW5799" t="s">
        <v>70</v>
      </c>
    </row>
    <row r="5800" spans="1:50">
      <c r="A5800" s="1">
        <f>HYPERLINK("https://lsnyc.legalserver.org/matter/dynamic-profile/view/1891443","19-1891443")</f>
        <v>0</v>
      </c>
      <c r="B5800" t="s">
        <v>141</v>
      </c>
      <c r="C5800" t="s">
        <v>341</v>
      </c>
      <c r="D5800" t="s">
        <v>757</v>
      </c>
      <c r="E5800" t="s">
        <v>805</v>
      </c>
      <c r="F5800" t="s">
        <v>1383</v>
      </c>
      <c r="G5800" t="s">
        <v>5827</v>
      </c>
      <c r="H5800" t="s">
        <v>9988</v>
      </c>
      <c r="I5800" t="s">
        <v>18280</v>
      </c>
      <c r="J5800" t="s">
        <v>18906</v>
      </c>
      <c r="K5800">
        <v>11373</v>
      </c>
      <c r="L5800" t="s">
        <v>18958</v>
      </c>
      <c r="M5800" t="s">
        <v>18958</v>
      </c>
      <c r="N5800" t="s">
        <v>23170</v>
      </c>
      <c r="O5800" t="s">
        <v>26523</v>
      </c>
      <c r="P5800" t="s">
        <v>26560</v>
      </c>
      <c r="Q5800" t="s">
        <v>26568</v>
      </c>
      <c r="R5800" t="s">
        <v>26585</v>
      </c>
      <c r="S5800" t="s">
        <v>18959</v>
      </c>
      <c r="U5800" t="s">
        <v>26604</v>
      </c>
      <c r="V5800" t="s">
        <v>26612</v>
      </c>
      <c r="W5800" t="s">
        <v>757</v>
      </c>
      <c r="X5800">
        <v>1109.21</v>
      </c>
      <c r="Y5800" t="s">
        <v>26653</v>
      </c>
      <c r="Z5800" t="s">
        <v>26664</v>
      </c>
      <c r="AA5800" t="s">
        <v>26678</v>
      </c>
      <c r="AB5800" t="s">
        <v>31250</v>
      </c>
      <c r="AC5800" t="s">
        <v>36041</v>
      </c>
      <c r="AD5800" t="s">
        <v>41432</v>
      </c>
      <c r="AE5800">
        <v>125</v>
      </c>
      <c r="AF5800" t="s">
        <v>45541</v>
      </c>
      <c r="AG5800" t="s">
        <v>45559</v>
      </c>
      <c r="AH5800">
        <v>25</v>
      </c>
      <c r="AI5800">
        <v>1</v>
      </c>
      <c r="AJ5800">
        <v>0</v>
      </c>
      <c r="AK5800">
        <v>63.7</v>
      </c>
      <c r="AN5800" t="s">
        <v>7439</v>
      </c>
      <c r="AO5800">
        <v>7956</v>
      </c>
      <c r="AQ5800" t="s">
        <v>46359</v>
      </c>
      <c r="AR5800" t="s">
        <v>46422</v>
      </c>
      <c r="AS5800" t="s">
        <v>46499</v>
      </c>
      <c r="AT5800" t="s">
        <v>46606</v>
      </c>
      <c r="AU5800">
        <v>13.6</v>
      </c>
      <c r="AV5800" t="s">
        <v>788</v>
      </c>
      <c r="AW5800" t="s">
        <v>142</v>
      </c>
      <c r="AX5800" t="s">
        <v>46897</v>
      </c>
    </row>
    <row r="5801" spans="1:50">
      <c r="A5801" s="1">
        <f>HYPERLINK("https://lsnyc.legalserver.org/matter/dynamic-profile/view/1891536","19-1891536")</f>
        <v>0</v>
      </c>
      <c r="B5801" t="s">
        <v>200</v>
      </c>
      <c r="C5801" t="s">
        <v>341</v>
      </c>
      <c r="D5801" t="s">
        <v>757</v>
      </c>
      <c r="E5801" t="s">
        <v>574</v>
      </c>
      <c r="F5801" t="s">
        <v>3488</v>
      </c>
      <c r="G5801" t="s">
        <v>7778</v>
      </c>
      <c r="H5801" t="s">
        <v>13803</v>
      </c>
      <c r="I5801" t="s">
        <v>17330</v>
      </c>
      <c r="J5801" t="s">
        <v>18894</v>
      </c>
      <c r="K5801">
        <v>11208</v>
      </c>
      <c r="L5801" t="s">
        <v>18958</v>
      </c>
      <c r="M5801" t="s">
        <v>18958</v>
      </c>
      <c r="N5801" t="s">
        <v>23171</v>
      </c>
      <c r="O5801" t="s">
        <v>26524</v>
      </c>
      <c r="P5801" t="s">
        <v>26565</v>
      </c>
      <c r="Q5801" t="s">
        <v>26571</v>
      </c>
      <c r="R5801" t="s">
        <v>26578</v>
      </c>
      <c r="U5801" t="s">
        <v>26604</v>
      </c>
      <c r="W5801" t="s">
        <v>757</v>
      </c>
      <c r="X5801">
        <v>1500</v>
      </c>
      <c r="Y5801" t="s">
        <v>26652</v>
      </c>
      <c r="Z5801" t="s">
        <v>26664</v>
      </c>
      <c r="AA5801" t="s">
        <v>26681</v>
      </c>
      <c r="AB5801" t="s">
        <v>30609</v>
      </c>
      <c r="AD5801" t="s">
        <v>41433</v>
      </c>
      <c r="AE5801">
        <v>6</v>
      </c>
      <c r="AF5801" t="s">
        <v>45547</v>
      </c>
      <c r="AH5801">
        <v>3</v>
      </c>
      <c r="AI5801">
        <v>1</v>
      </c>
      <c r="AJ5801">
        <v>2</v>
      </c>
      <c r="AK5801">
        <v>107.83</v>
      </c>
      <c r="AN5801" t="s">
        <v>45581</v>
      </c>
      <c r="AO5801">
        <v>23000</v>
      </c>
      <c r="AU5801">
        <v>1.2</v>
      </c>
      <c r="AV5801" t="s">
        <v>757</v>
      </c>
      <c r="AW5801" t="s">
        <v>46856</v>
      </c>
    </row>
    <row r="5802" spans="1:50">
      <c r="A5802" s="1">
        <f>HYPERLINK("https://lsnyc.legalserver.org/matter/dynamic-profile/view/1891521","19-1891521")</f>
        <v>0</v>
      </c>
      <c r="B5802" t="s">
        <v>170</v>
      </c>
      <c r="C5802" t="s">
        <v>341</v>
      </c>
      <c r="D5802" t="s">
        <v>757</v>
      </c>
      <c r="E5802" t="s">
        <v>660</v>
      </c>
      <c r="F5802" t="s">
        <v>1087</v>
      </c>
      <c r="G5802" t="s">
        <v>7779</v>
      </c>
      <c r="H5802" t="s">
        <v>13804</v>
      </c>
      <c r="I5802" t="s">
        <v>18281</v>
      </c>
      <c r="J5802" t="s">
        <v>18894</v>
      </c>
      <c r="K5802">
        <v>11224</v>
      </c>
      <c r="L5802" t="s">
        <v>18958</v>
      </c>
      <c r="M5802" t="s">
        <v>18960</v>
      </c>
      <c r="N5802" t="s">
        <v>23172</v>
      </c>
      <c r="O5802" t="s">
        <v>26523</v>
      </c>
      <c r="P5802" t="s">
        <v>26562</v>
      </c>
      <c r="Q5802" t="s">
        <v>26569</v>
      </c>
      <c r="R5802" t="s">
        <v>26586</v>
      </c>
      <c r="U5802" t="s">
        <v>26604</v>
      </c>
      <c r="W5802" t="s">
        <v>757</v>
      </c>
      <c r="X5802">
        <v>782</v>
      </c>
      <c r="Y5802" t="s">
        <v>26652</v>
      </c>
      <c r="Z5802" t="s">
        <v>26668</v>
      </c>
      <c r="AA5802" t="s">
        <v>26682</v>
      </c>
      <c r="AB5802" t="s">
        <v>31251</v>
      </c>
      <c r="AD5802" t="s">
        <v>41434</v>
      </c>
      <c r="AE5802">
        <v>14</v>
      </c>
      <c r="AF5802" t="s">
        <v>45549</v>
      </c>
      <c r="AH5802">
        <v>14</v>
      </c>
      <c r="AI5802">
        <v>5</v>
      </c>
      <c r="AJ5802">
        <v>0</v>
      </c>
      <c r="AK5802">
        <v>0</v>
      </c>
      <c r="AN5802" t="s">
        <v>7439</v>
      </c>
      <c r="AO5802">
        <v>0</v>
      </c>
      <c r="AU5802">
        <v>4</v>
      </c>
      <c r="AV5802" t="s">
        <v>660</v>
      </c>
      <c r="AW5802" t="s">
        <v>46856</v>
      </c>
      <c r="AX5802" t="s">
        <v>46897</v>
      </c>
    </row>
    <row r="5803" spans="1:50">
      <c r="A5803" s="1">
        <f>HYPERLINK("https://lsnyc.legalserver.org/matter/dynamic-profile/view/1891519","19-1891519")</f>
        <v>0</v>
      </c>
      <c r="B5803" t="s">
        <v>226</v>
      </c>
      <c r="C5803" t="s">
        <v>341</v>
      </c>
      <c r="D5803" t="s">
        <v>757</v>
      </c>
      <c r="E5803" t="s">
        <v>786</v>
      </c>
      <c r="F5803" t="s">
        <v>3489</v>
      </c>
      <c r="G5803" t="s">
        <v>1384</v>
      </c>
      <c r="H5803" t="s">
        <v>11221</v>
      </c>
      <c r="I5803" t="s">
        <v>17356</v>
      </c>
      <c r="J5803" t="s">
        <v>18892</v>
      </c>
      <c r="K5803">
        <v>10452</v>
      </c>
      <c r="L5803" t="s">
        <v>18958</v>
      </c>
      <c r="M5803" t="s">
        <v>18958</v>
      </c>
      <c r="O5803" t="s">
        <v>18997</v>
      </c>
      <c r="P5803" t="s">
        <v>26565</v>
      </c>
      <c r="Q5803" t="s">
        <v>26571</v>
      </c>
      <c r="R5803" t="s">
        <v>26578</v>
      </c>
      <c r="S5803" t="s">
        <v>18959</v>
      </c>
      <c r="U5803" t="s">
        <v>26604</v>
      </c>
      <c r="W5803" t="s">
        <v>757</v>
      </c>
      <c r="X5803">
        <v>687.74</v>
      </c>
      <c r="Y5803" t="s">
        <v>26650</v>
      </c>
      <c r="Z5803" t="s">
        <v>26663</v>
      </c>
      <c r="AA5803" t="s">
        <v>26683</v>
      </c>
      <c r="AB5803" t="s">
        <v>31252</v>
      </c>
      <c r="AD5803" t="s">
        <v>41435</v>
      </c>
      <c r="AE5803">
        <v>58</v>
      </c>
      <c r="AF5803" t="s">
        <v>45541</v>
      </c>
      <c r="AG5803" t="s">
        <v>45559</v>
      </c>
      <c r="AH5803">
        <v>46</v>
      </c>
      <c r="AI5803">
        <v>1</v>
      </c>
      <c r="AJ5803">
        <v>0</v>
      </c>
      <c r="AK5803">
        <v>83.39</v>
      </c>
      <c r="AN5803" t="s">
        <v>7439</v>
      </c>
      <c r="AO5803">
        <v>10416</v>
      </c>
      <c r="AU5803">
        <v>2.1</v>
      </c>
      <c r="AV5803" t="s">
        <v>786</v>
      </c>
      <c r="AW5803" t="s">
        <v>226</v>
      </c>
    </row>
    <row r="5804" spans="1:50">
      <c r="A5804" s="1">
        <f>HYPERLINK("https://lsnyc.legalserver.org/matter/dynamic-profile/view/1891457","19-1891457")</f>
        <v>0</v>
      </c>
      <c r="B5804" t="s">
        <v>226</v>
      </c>
      <c r="C5804" t="s">
        <v>341</v>
      </c>
      <c r="D5804" t="s">
        <v>757</v>
      </c>
      <c r="E5804" t="s">
        <v>786</v>
      </c>
      <c r="F5804" t="s">
        <v>3490</v>
      </c>
      <c r="G5804" t="s">
        <v>5563</v>
      </c>
      <c r="H5804" t="s">
        <v>13805</v>
      </c>
      <c r="I5804" t="s">
        <v>17343</v>
      </c>
      <c r="J5804" t="s">
        <v>18892</v>
      </c>
      <c r="K5804">
        <v>10468</v>
      </c>
      <c r="L5804" t="s">
        <v>18958</v>
      </c>
      <c r="M5804" t="s">
        <v>18958</v>
      </c>
      <c r="O5804" t="s">
        <v>18997</v>
      </c>
      <c r="P5804" t="s">
        <v>26564</v>
      </c>
      <c r="Q5804" t="s">
        <v>26570</v>
      </c>
      <c r="R5804" t="s">
        <v>26578</v>
      </c>
      <c r="S5804" t="s">
        <v>18959</v>
      </c>
      <c r="U5804" t="s">
        <v>26604</v>
      </c>
      <c r="W5804" t="s">
        <v>757</v>
      </c>
      <c r="X5804">
        <v>917</v>
      </c>
      <c r="Y5804" t="s">
        <v>26650</v>
      </c>
      <c r="Z5804" t="s">
        <v>26663</v>
      </c>
      <c r="AA5804" t="s">
        <v>26683</v>
      </c>
      <c r="AB5804" t="s">
        <v>31253</v>
      </c>
      <c r="AD5804" t="s">
        <v>41436</v>
      </c>
      <c r="AE5804">
        <v>65</v>
      </c>
      <c r="AF5804" t="s">
        <v>45541</v>
      </c>
      <c r="AG5804" t="s">
        <v>19330</v>
      </c>
      <c r="AH5804">
        <v>5</v>
      </c>
      <c r="AI5804">
        <v>1</v>
      </c>
      <c r="AJ5804">
        <v>0</v>
      </c>
      <c r="AK5804">
        <v>384.31</v>
      </c>
      <c r="AN5804" t="s">
        <v>7439</v>
      </c>
      <c r="AO5804">
        <v>48000</v>
      </c>
      <c r="AU5804">
        <v>2.2</v>
      </c>
      <c r="AV5804" t="s">
        <v>786</v>
      </c>
      <c r="AW5804" t="s">
        <v>226</v>
      </c>
    </row>
    <row r="5805" spans="1:50">
      <c r="A5805" s="1">
        <f>HYPERLINK("https://lsnyc.legalserver.org/matter/dynamic-profile/view/1891532","19-1891532")</f>
        <v>0</v>
      </c>
      <c r="B5805" t="s">
        <v>188</v>
      </c>
      <c r="C5805" t="s">
        <v>341</v>
      </c>
      <c r="D5805" t="s">
        <v>757</v>
      </c>
      <c r="E5805" t="s">
        <v>836</v>
      </c>
      <c r="F5805" t="s">
        <v>1036</v>
      </c>
      <c r="G5805" t="s">
        <v>5632</v>
      </c>
      <c r="H5805" t="s">
        <v>10116</v>
      </c>
      <c r="I5805" t="s">
        <v>17298</v>
      </c>
      <c r="J5805" t="s">
        <v>18892</v>
      </c>
      <c r="K5805">
        <v>10459</v>
      </c>
      <c r="L5805" t="s">
        <v>18958</v>
      </c>
      <c r="M5805" t="s">
        <v>18960</v>
      </c>
      <c r="N5805" t="s">
        <v>19045</v>
      </c>
      <c r="O5805" t="s">
        <v>26529</v>
      </c>
      <c r="P5805" t="s">
        <v>26564</v>
      </c>
      <c r="Q5805" t="s">
        <v>26570</v>
      </c>
      <c r="R5805" t="s">
        <v>26578</v>
      </c>
      <c r="S5805" t="s">
        <v>18959</v>
      </c>
      <c r="U5805" t="s">
        <v>26604</v>
      </c>
      <c r="V5805" t="s">
        <v>26610</v>
      </c>
      <c r="W5805" t="s">
        <v>757</v>
      </c>
      <c r="X5805">
        <v>423</v>
      </c>
      <c r="Y5805" t="s">
        <v>26650</v>
      </c>
      <c r="Z5805" t="s">
        <v>26663</v>
      </c>
      <c r="AA5805" t="s">
        <v>26683</v>
      </c>
      <c r="AB5805" t="s">
        <v>31254</v>
      </c>
      <c r="AD5805" t="s">
        <v>41437</v>
      </c>
      <c r="AE5805">
        <v>0</v>
      </c>
      <c r="AF5805" t="s">
        <v>45541</v>
      </c>
      <c r="AG5805" t="s">
        <v>19330</v>
      </c>
      <c r="AH5805">
        <v>14</v>
      </c>
      <c r="AI5805">
        <v>2</v>
      </c>
      <c r="AJ5805">
        <v>0</v>
      </c>
      <c r="AK5805">
        <v>124.19</v>
      </c>
      <c r="AN5805" t="s">
        <v>7439</v>
      </c>
      <c r="AO5805">
        <v>21000</v>
      </c>
      <c r="AP5805" t="s">
        <v>45995</v>
      </c>
      <c r="AU5805">
        <v>0.84</v>
      </c>
      <c r="AV5805" t="s">
        <v>757</v>
      </c>
      <c r="AW5805" t="s">
        <v>46860</v>
      </c>
      <c r="AX5805" t="s">
        <v>46897</v>
      </c>
    </row>
    <row r="5806" spans="1:50">
      <c r="A5806" s="1">
        <f>HYPERLINK("https://lsnyc.legalserver.org/matter/dynamic-profile/view/1891530","19-1891530")</f>
        <v>0</v>
      </c>
      <c r="B5806" t="s">
        <v>52</v>
      </c>
      <c r="C5806" t="s">
        <v>341</v>
      </c>
      <c r="D5806" t="s">
        <v>757</v>
      </c>
      <c r="E5806" t="s">
        <v>787</v>
      </c>
      <c r="F5806" t="s">
        <v>1463</v>
      </c>
      <c r="G5806" t="s">
        <v>5191</v>
      </c>
      <c r="H5806" t="s">
        <v>13806</v>
      </c>
      <c r="I5806">
        <v>34</v>
      </c>
      <c r="J5806" t="s">
        <v>18892</v>
      </c>
      <c r="K5806">
        <v>10452</v>
      </c>
      <c r="L5806" t="s">
        <v>18958</v>
      </c>
      <c r="M5806" t="s">
        <v>18958</v>
      </c>
      <c r="O5806" t="s">
        <v>26539</v>
      </c>
      <c r="P5806" t="s">
        <v>26564</v>
      </c>
      <c r="Q5806" t="s">
        <v>26570</v>
      </c>
      <c r="R5806" t="s">
        <v>26578</v>
      </c>
      <c r="S5806" t="s">
        <v>18959</v>
      </c>
      <c r="U5806" t="s">
        <v>26604</v>
      </c>
      <c r="W5806" t="s">
        <v>757</v>
      </c>
      <c r="X5806">
        <v>735.92</v>
      </c>
      <c r="Y5806" t="s">
        <v>26650</v>
      </c>
      <c r="Z5806" t="s">
        <v>26663</v>
      </c>
      <c r="AA5806" t="s">
        <v>26683</v>
      </c>
      <c r="AB5806" t="s">
        <v>31255</v>
      </c>
      <c r="AE5806">
        <v>40</v>
      </c>
      <c r="AF5806" t="s">
        <v>20460</v>
      </c>
      <c r="AG5806" t="s">
        <v>19330</v>
      </c>
      <c r="AH5806">
        <v>38</v>
      </c>
      <c r="AI5806">
        <v>2</v>
      </c>
      <c r="AJ5806">
        <v>0</v>
      </c>
      <c r="AK5806">
        <v>52.16</v>
      </c>
      <c r="AN5806" t="s">
        <v>45581</v>
      </c>
      <c r="AO5806">
        <v>8820</v>
      </c>
      <c r="AU5806">
        <v>1</v>
      </c>
      <c r="AV5806" t="s">
        <v>728</v>
      </c>
      <c r="AW5806" t="s">
        <v>46847</v>
      </c>
    </row>
    <row r="5807" spans="1:50">
      <c r="A5807" s="1">
        <f>HYPERLINK("https://lsnyc.legalserver.org/matter/dynamic-profile/view/1891471","19-1891471")</f>
        <v>0</v>
      </c>
      <c r="B5807" t="s">
        <v>52</v>
      </c>
      <c r="C5807" t="s">
        <v>341</v>
      </c>
      <c r="D5807" t="s">
        <v>757</v>
      </c>
      <c r="E5807" t="s">
        <v>787</v>
      </c>
      <c r="F5807" t="s">
        <v>3491</v>
      </c>
      <c r="G5807" t="s">
        <v>5956</v>
      </c>
      <c r="H5807" t="s">
        <v>13300</v>
      </c>
      <c r="I5807" t="s">
        <v>17410</v>
      </c>
      <c r="J5807" t="s">
        <v>18892</v>
      </c>
      <c r="K5807">
        <v>10468</v>
      </c>
      <c r="L5807" t="s">
        <v>18958</v>
      </c>
      <c r="M5807" t="s">
        <v>18958</v>
      </c>
      <c r="O5807" t="s">
        <v>26523</v>
      </c>
      <c r="P5807" t="s">
        <v>26564</v>
      </c>
      <c r="Q5807" t="s">
        <v>26570</v>
      </c>
      <c r="R5807" t="s">
        <v>26578</v>
      </c>
      <c r="S5807" t="s">
        <v>18959</v>
      </c>
      <c r="U5807" t="s">
        <v>26604</v>
      </c>
      <c r="V5807" t="s">
        <v>26610</v>
      </c>
      <c r="W5807" t="s">
        <v>757</v>
      </c>
      <c r="X5807">
        <v>1183.65</v>
      </c>
      <c r="Y5807" t="s">
        <v>26650</v>
      </c>
      <c r="Z5807" t="s">
        <v>26663</v>
      </c>
      <c r="AA5807" t="s">
        <v>26683</v>
      </c>
      <c r="AB5807" t="s">
        <v>28988</v>
      </c>
      <c r="AD5807" t="s">
        <v>41438</v>
      </c>
      <c r="AE5807">
        <v>55</v>
      </c>
      <c r="AF5807" t="s">
        <v>20460</v>
      </c>
      <c r="AG5807" t="s">
        <v>19330</v>
      </c>
      <c r="AH5807">
        <v>7</v>
      </c>
      <c r="AI5807">
        <v>1</v>
      </c>
      <c r="AJ5807">
        <v>2</v>
      </c>
      <c r="AK5807">
        <v>58.51</v>
      </c>
      <c r="AN5807" t="s">
        <v>7439</v>
      </c>
      <c r="AO5807">
        <v>12480</v>
      </c>
      <c r="AU5807">
        <v>1.5</v>
      </c>
      <c r="AV5807" t="s">
        <v>723</v>
      </c>
      <c r="AW5807" t="s">
        <v>46847</v>
      </c>
    </row>
    <row r="5808" spans="1:50">
      <c r="A5808" s="1">
        <f>HYPERLINK("https://lsnyc.legalserver.org/matter/dynamic-profile/view/1891537","19-1891537")</f>
        <v>0</v>
      </c>
      <c r="B5808" t="s">
        <v>52</v>
      </c>
      <c r="C5808" t="s">
        <v>341</v>
      </c>
      <c r="D5808" t="s">
        <v>757</v>
      </c>
      <c r="E5808" t="s">
        <v>787</v>
      </c>
      <c r="F5808" t="s">
        <v>1206</v>
      </c>
      <c r="G5808" t="s">
        <v>6613</v>
      </c>
      <c r="H5808" t="s">
        <v>11612</v>
      </c>
      <c r="J5808" t="s">
        <v>18892</v>
      </c>
      <c r="K5808">
        <v>10452</v>
      </c>
      <c r="L5808" t="s">
        <v>18958</v>
      </c>
      <c r="M5808" t="s">
        <v>18958</v>
      </c>
      <c r="O5808" t="s">
        <v>26539</v>
      </c>
      <c r="P5808" t="s">
        <v>26564</v>
      </c>
      <c r="Q5808" t="s">
        <v>26570</v>
      </c>
      <c r="R5808" t="s">
        <v>26578</v>
      </c>
      <c r="S5808" t="s">
        <v>18959</v>
      </c>
      <c r="U5808" t="s">
        <v>26604</v>
      </c>
      <c r="W5808" t="s">
        <v>757</v>
      </c>
      <c r="X5808">
        <v>1300</v>
      </c>
      <c r="Y5808" t="s">
        <v>26650</v>
      </c>
      <c r="Z5808" t="s">
        <v>26663</v>
      </c>
      <c r="AA5808" t="s">
        <v>26683</v>
      </c>
      <c r="AB5808" t="s">
        <v>31256</v>
      </c>
      <c r="AD5808" t="s">
        <v>39168</v>
      </c>
      <c r="AE5808">
        <v>109</v>
      </c>
      <c r="AF5808" t="s">
        <v>20460</v>
      </c>
      <c r="AG5808" t="s">
        <v>19330</v>
      </c>
      <c r="AH5808">
        <v>6</v>
      </c>
      <c r="AI5808">
        <v>2</v>
      </c>
      <c r="AJ5808">
        <v>0</v>
      </c>
      <c r="AK5808">
        <v>101.41</v>
      </c>
      <c r="AN5808" t="s">
        <v>45581</v>
      </c>
      <c r="AO5808">
        <v>17148</v>
      </c>
      <c r="AU5808">
        <v>1</v>
      </c>
      <c r="AV5808" t="s">
        <v>756</v>
      </c>
      <c r="AW5808" t="s">
        <v>46847</v>
      </c>
    </row>
    <row r="5809" spans="1:50">
      <c r="A5809" s="1">
        <f>HYPERLINK("https://lsnyc.legalserver.org/matter/dynamic-profile/view/1891553","19-1891553")</f>
        <v>0</v>
      </c>
      <c r="B5809" t="s">
        <v>52</v>
      </c>
      <c r="C5809" t="s">
        <v>341</v>
      </c>
      <c r="D5809" t="s">
        <v>757</v>
      </c>
      <c r="E5809" t="s">
        <v>787</v>
      </c>
      <c r="F5809" t="s">
        <v>3492</v>
      </c>
      <c r="G5809" t="s">
        <v>7780</v>
      </c>
      <c r="H5809" t="s">
        <v>10353</v>
      </c>
      <c r="I5809">
        <v>50</v>
      </c>
      <c r="J5809" t="s">
        <v>18892</v>
      </c>
      <c r="K5809">
        <v>10451</v>
      </c>
      <c r="L5809" t="s">
        <v>18958</v>
      </c>
      <c r="M5809" t="s">
        <v>18958</v>
      </c>
      <c r="O5809" t="s">
        <v>26529</v>
      </c>
      <c r="P5809" t="s">
        <v>26564</v>
      </c>
      <c r="Q5809" t="s">
        <v>26570</v>
      </c>
      <c r="R5809" t="s">
        <v>26578</v>
      </c>
      <c r="S5809" t="s">
        <v>18959</v>
      </c>
      <c r="U5809" t="s">
        <v>26604</v>
      </c>
      <c r="W5809" t="s">
        <v>757</v>
      </c>
      <c r="X5809">
        <v>1712.38</v>
      </c>
      <c r="Y5809" t="s">
        <v>26650</v>
      </c>
      <c r="Z5809" t="s">
        <v>26663</v>
      </c>
      <c r="AA5809" t="s">
        <v>26683</v>
      </c>
      <c r="AB5809" t="s">
        <v>31257</v>
      </c>
      <c r="AD5809" t="s">
        <v>41439</v>
      </c>
      <c r="AE5809">
        <v>81</v>
      </c>
      <c r="AF5809" t="s">
        <v>45541</v>
      </c>
      <c r="AG5809" t="s">
        <v>19330</v>
      </c>
      <c r="AH5809">
        <v>8</v>
      </c>
      <c r="AI5809">
        <v>5</v>
      </c>
      <c r="AJ5809">
        <v>1</v>
      </c>
      <c r="AK5809">
        <v>115.64</v>
      </c>
      <c r="AN5809" t="s">
        <v>7439</v>
      </c>
      <c r="AO5809">
        <v>40000</v>
      </c>
      <c r="AU5809">
        <v>1</v>
      </c>
      <c r="AV5809" t="s">
        <v>723</v>
      </c>
      <c r="AW5809" t="s">
        <v>46847</v>
      </c>
    </row>
    <row r="5810" spans="1:50">
      <c r="A5810" s="1">
        <f>HYPERLINK("https://lsnyc.legalserver.org/matter/dynamic-profile/view/1891430","19-1891430")</f>
        <v>0</v>
      </c>
      <c r="B5810" t="s">
        <v>133</v>
      </c>
      <c r="C5810" t="s">
        <v>340</v>
      </c>
      <c r="D5810" t="s">
        <v>757</v>
      </c>
      <c r="F5810" t="s">
        <v>979</v>
      </c>
      <c r="G5810" t="s">
        <v>7781</v>
      </c>
      <c r="H5810" t="s">
        <v>13807</v>
      </c>
      <c r="I5810" t="s">
        <v>17293</v>
      </c>
      <c r="J5810" t="s">
        <v>18892</v>
      </c>
      <c r="K5810">
        <v>10467</v>
      </c>
      <c r="L5810" t="s">
        <v>18958</v>
      </c>
      <c r="M5810" t="s">
        <v>18958</v>
      </c>
      <c r="N5810" t="s">
        <v>23173</v>
      </c>
      <c r="O5810" t="s">
        <v>26523</v>
      </c>
      <c r="P5810" t="s">
        <v>26560</v>
      </c>
      <c r="R5810" t="s">
        <v>26579</v>
      </c>
      <c r="U5810" t="s">
        <v>26604</v>
      </c>
      <c r="V5810" t="s">
        <v>26610</v>
      </c>
      <c r="W5810" t="s">
        <v>757</v>
      </c>
      <c r="X5810">
        <v>542</v>
      </c>
      <c r="Y5810" t="s">
        <v>26650</v>
      </c>
      <c r="Z5810" t="s">
        <v>26664</v>
      </c>
      <c r="AB5810" t="s">
        <v>31258</v>
      </c>
      <c r="AD5810" t="s">
        <v>41440</v>
      </c>
      <c r="AE5810">
        <v>0</v>
      </c>
      <c r="AF5810" t="s">
        <v>45549</v>
      </c>
      <c r="AH5810">
        <v>5</v>
      </c>
      <c r="AI5810">
        <v>2</v>
      </c>
      <c r="AJ5810">
        <v>1</v>
      </c>
      <c r="AK5810">
        <v>162.59</v>
      </c>
      <c r="AN5810" t="s">
        <v>7439</v>
      </c>
      <c r="AO5810">
        <v>34680</v>
      </c>
      <c r="AR5810" t="s">
        <v>46379</v>
      </c>
      <c r="AS5810" t="s">
        <v>46499</v>
      </c>
      <c r="AT5810" t="s">
        <v>46666</v>
      </c>
      <c r="AU5810">
        <v>1</v>
      </c>
      <c r="AV5810" t="s">
        <v>574</v>
      </c>
      <c r="AW5810" t="s">
        <v>334</v>
      </c>
    </row>
    <row r="5811" spans="1:50">
      <c r="A5811" s="1">
        <f>HYPERLINK("https://lsnyc.legalserver.org/matter/dynamic-profile/view/1890432","19-1890432")</f>
        <v>0</v>
      </c>
      <c r="B5811" t="s">
        <v>278</v>
      </c>
      <c r="C5811" t="s">
        <v>340</v>
      </c>
      <c r="D5811" t="s">
        <v>757</v>
      </c>
      <c r="F5811" t="s">
        <v>871</v>
      </c>
      <c r="G5811" t="s">
        <v>5301</v>
      </c>
      <c r="H5811" t="s">
        <v>13808</v>
      </c>
      <c r="I5811" t="s">
        <v>17576</v>
      </c>
      <c r="J5811" t="s">
        <v>18902</v>
      </c>
      <c r="K5811">
        <v>10304</v>
      </c>
      <c r="L5811" t="s">
        <v>18958</v>
      </c>
      <c r="M5811" t="s">
        <v>18958</v>
      </c>
      <c r="N5811" t="s">
        <v>23174</v>
      </c>
      <c r="O5811" t="s">
        <v>26524</v>
      </c>
      <c r="P5811" t="s">
        <v>26560</v>
      </c>
      <c r="R5811" t="s">
        <v>26578</v>
      </c>
      <c r="S5811" t="s">
        <v>18959</v>
      </c>
      <c r="U5811" t="s">
        <v>26604</v>
      </c>
      <c r="V5811" t="s">
        <v>26610</v>
      </c>
      <c r="W5811" t="s">
        <v>757</v>
      </c>
      <c r="X5811">
        <v>2257</v>
      </c>
      <c r="Y5811" t="s">
        <v>26654</v>
      </c>
      <c r="Z5811" t="s">
        <v>26659</v>
      </c>
      <c r="AB5811" t="s">
        <v>31259</v>
      </c>
      <c r="AD5811" t="s">
        <v>41441</v>
      </c>
      <c r="AE5811">
        <v>2</v>
      </c>
      <c r="AF5811" t="s">
        <v>45552</v>
      </c>
      <c r="AG5811" t="s">
        <v>45556</v>
      </c>
      <c r="AH5811">
        <v>1</v>
      </c>
      <c r="AI5811">
        <v>3</v>
      </c>
      <c r="AJ5811">
        <v>2</v>
      </c>
      <c r="AK5811">
        <v>51.03</v>
      </c>
      <c r="AN5811" t="s">
        <v>45581</v>
      </c>
      <c r="AO5811">
        <v>15396</v>
      </c>
      <c r="AU5811">
        <v>22.3</v>
      </c>
      <c r="AV5811" t="s">
        <v>833</v>
      </c>
      <c r="AW5811" t="s">
        <v>46852</v>
      </c>
      <c r="AX5811" t="s">
        <v>46897</v>
      </c>
    </row>
    <row r="5812" spans="1:50">
      <c r="A5812" s="1">
        <f>HYPERLINK("https://lsnyc.legalserver.org/matter/dynamic-profile/view/1891528","19-1891528")</f>
        <v>0</v>
      </c>
      <c r="B5812" t="s">
        <v>204</v>
      </c>
      <c r="C5812" t="s">
        <v>340</v>
      </c>
      <c r="D5812" t="s">
        <v>757</v>
      </c>
      <c r="F5812" t="s">
        <v>3493</v>
      </c>
      <c r="G5812" t="s">
        <v>5105</v>
      </c>
      <c r="H5812" t="s">
        <v>13809</v>
      </c>
      <c r="I5812" t="s">
        <v>17388</v>
      </c>
      <c r="J5812" t="s">
        <v>18894</v>
      </c>
      <c r="K5812">
        <v>11213</v>
      </c>
      <c r="L5812" t="s">
        <v>18958</v>
      </c>
      <c r="M5812" t="s">
        <v>18960</v>
      </c>
      <c r="N5812" t="s">
        <v>23175</v>
      </c>
      <c r="O5812" t="s">
        <v>26523</v>
      </c>
      <c r="P5812" t="s">
        <v>26560</v>
      </c>
      <c r="R5812" t="s">
        <v>26586</v>
      </c>
      <c r="U5812" t="s">
        <v>26604</v>
      </c>
      <c r="W5812" t="s">
        <v>757</v>
      </c>
      <c r="X5812">
        <v>808.85</v>
      </c>
      <c r="Y5812" t="s">
        <v>26652</v>
      </c>
      <c r="Z5812" t="s">
        <v>26664</v>
      </c>
      <c r="AB5812" t="s">
        <v>26839</v>
      </c>
      <c r="AD5812" t="s">
        <v>41442</v>
      </c>
      <c r="AE5812">
        <v>8</v>
      </c>
      <c r="AF5812" t="s">
        <v>45541</v>
      </c>
      <c r="AH5812">
        <v>7</v>
      </c>
      <c r="AI5812">
        <v>1</v>
      </c>
      <c r="AJ5812">
        <v>3</v>
      </c>
      <c r="AK5812">
        <v>69.90000000000001</v>
      </c>
      <c r="AN5812" t="s">
        <v>45596</v>
      </c>
      <c r="AO5812">
        <v>18000</v>
      </c>
      <c r="AU5812">
        <v>14.7</v>
      </c>
      <c r="AV5812" t="s">
        <v>773</v>
      </c>
      <c r="AW5812" t="s">
        <v>46856</v>
      </c>
    </row>
    <row r="5813" spans="1:50">
      <c r="A5813" s="1">
        <f>HYPERLINK("https://lsnyc.legalserver.org/matter/dynamic-profile/view/1891495","19-1891495")</f>
        <v>0</v>
      </c>
      <c r="B5813" t="s">
        <v>64</v>
      </c>
      <c r="C5813" t="s">
        <v>340</v>
      </c>
      <c r="D5813" t="s">
        <v>757</v>
      </c>
      <c r="F5813" t="s">
        <v>3494</v>
      </c>
      <c r="G5813" t="s">
        <v>5512</v>
      </c>
      <c r="H5813" t="s">
        <v>13810</v>
      </c>
      <c r="I5813" t="s">
        <v>17790</v>
      </c>
      <c r="J5813" t="s">
        <v>18892</v>
      </c>
      <c r="K5813">
        <v>10457</v>
      </c>
      <c r="L5813" t="s">
        <v>18958</v>
      </c>
      <c r="M5813" t="s">
        <v>18958</v>
      </c>
      <c r="N5813" t="s">
        <v>23176</v>
      </c>
      <c r="O5813" t="s">
        <v>26523</v>
      </c>
      <c r="P5813" t="s">
        <v>26560</v>
      </c>
      <c r="R5813" t="s">
        <v>26579</v>
      </c>
      <c r="S5813" t="s">
        <v>18959</v>
      </c>
      <c r="U5813" t="s">
        <v>26605</v>
      </c>
      <c r="V5813" t="s">
        <v>26610</v>
      </c>
      <c r="W5813" t="s">
        <v>757</v>
      </c>
      <c r="X5813">
        <v>492</v>
      </c>
      <c r="Y5813" t="s">
        <v>26650</v>
      </c>
      <c r="Z5813" t="s">
        <v>26664</v>
      </c>
      <c r="AB5813" t="s">
        <v>31260</v>
      </c>
      <c r="AC5813" t="s">
        <v>36042</v>
      </c>
      <c r="AD5813" t="s">
        <v>41443</v>
      </c>
      <c r="AE5813">
        <v>0</v>
      </c>
      <c r="AF5813" t="s">
        <v>45549</v>
      </c>
      <c r="AH5813">
        <v>1</v>
      </c>
      <c r="AI5813">
        <v>1</v>
      </c>
      <c r="AJ5813">
        <v>2</v>
      </c>
      <c r="AK5813">
        <v>73.14</v>
      </c>
      <c r="AN5813" t="s">
        <v>7439</v>
      </c>
      <c r="AO5813">
        <v>15600</v>
      </c>
      <c r="AU5813">
        <v>9.5</v>
      </c>
      <c r="AV5813" t="s">
        <v>809</v>
      </c>
      <c r="AW5813" t="s">
        <v>46870</v>
      </c>
    </row>
    <row r="5814" spans="1:50">
      <c r="A5814" s="1">
        <f>HYPERLINK("https://lsnyc.legalserver.org/matter/dynamic-profile/view/1891506","19-1891506")</f>
        <v>0</v>
      </c>
      <c r="B5814" t="s">
        <v>142</v>
      </c>
      <c r="C5814" t="s">
        <v>340</v>
      </c>
      <c r="D5814" t="s">
        <v>757</v>
      </c>
      <c r="F5814" t="s">
        <v>1730</v>
      </c>
      <c r="G5814" t="s">
        <v>7782</v>
      </c>
      <c r="H5814" t="s">
        <v>13811</v>
      </c>
      <c r="I5814" t="s">
        <v>17582</v>
      </c>
      <c r="J5814" t="s">
        <v>18919</v>
      </c>
      <c r="K5814">
        <v>11429</v>
      </c>
      <c r="L5814" t="s">
        <v>18958</v>
      </c>
      <c r="M5814" t="s">
        <v>18958</v>
      </c>
      <c r="N5814" t="s">
        <v>23177</v>
      </c>
      <c r="O5814" t="s">
        <v>26524</v>
      </c>
      <c r="P5814" t="s">
        <v>26560</v>
      </c>
      <c r="R5814" t="s">
        <v>26584</v>
      </c>
      <c r="S5814" t="s">
        <v>18959</v>
      </c>
      <c r="U5814" t="s">
        <v>26604</v>
      </c>
      <c r="V5814" t="s">
        <v>26610</v>
      </c>
      <c r="W5814" t="s">
        <v>757</v>
      </c>
      <c r="X5814">
        <v>1100</v>
      </c>
      <c r="Y5814" t="s">
        <v>26653</v>
      </c>
      <c r="Z5814" t="s">
        <v>26664</v>
      </c>
      <c r="AB5814" t="s">
        <v>30170</v>
      </c>
      <c r="AD5814" t="s">
        <v>41444</v>
      </c>
      <c r="AE5814">
        <v>2</v>
      </c>
      <c r="AF5814" t="s">
        <v>45547</v>
      </c>
      <c r="AG5814" t="s">
        <v>19330</v>
      </c>
      <c r="AH5814">
        <v>6</v>
      </c>
      <c r="AI5814">
        <v>1</v>
      </c>
      <c r="AJ5814">
        <v>3</v>
      </c>
      <c r="AK5814">
        <v>35.88</v>
      </c>
      <c r="AN5814" t="s">
        <v>7439</v>
      </c>
      <c r="AO5814">
        <v>9240</v>
      </c>
      <c r="AU5814">
        <v>1</v>
      </c>
      <c r="AV5814" t="s">
        <v>757</v>
      </c>
      <c r="AW5814" t="s">
        <v>142</v>
      </c>
    </row>
    <row r="5815" spans="1:50">
      <c r="A5815" s="1">
        <f>HYPERLINK("https://lsnyc.legalserver.org/matter/dynamic-profile/view/1891569","19-1891569")</f>
        <v>0</v>
      </c>
      <c r="B5815" t="s">
        <v>120</v>
      </c>
      <c r="C5815" t="s">
        <v>340</v>
      </c>
      <c r="D5815" t="s">
        <v>757</v>
      </c>
      <c r="F5815" t="s">
        <v>3495</v>
      </c>
      <c r="G5815" t="s">
        <v>1725</v>
      </c>
      <c r="H5815" t="s">
        <v>13812</v>
      </c>
      <c r="I5815" t="s">
        <v>17436</v>
      </c>
      <c r="J5815" t="s">
        <v>18892</v>
      </c>
      <c r="K5815">
        <v>10468</v>
      </c>
      <c r="L5815" t="s">
        <v>18958</v>
      </c>
      <c r="M5815" t="s">
        <v>18958</v>
      </c>
      <c r="N5815" t="s">
        <v>23178</v>
      </c>
      <c r="O5815" t="s">
        <v>26523</v>
      </c>
      <c r="P5815" t="s">
        <v>26560</v>
      </c>
      <c r="R5815" t="s">
        <v>26579</v>
      </c>
      <c r="S5815" t="s">
        <v>18959</v>
      </c>
      <c r="U5815" t="s">
        <v>26604</v>
      </c>
      <c r="V5815" t="s">
        <v>26610</v>
      </c>
      <c r="W5815" t="s">
        <v>757</v>
      </c>
      <c r="X5815">
        <v>1361.69</v>
      </c>
      <c r="Y5815" t="s">
        <v>26650</v>
      </c>
      <c r="Z5815" t="s">
        <v>26664</v>
      </c>
      <c r="AB5815" t="s">
        <v>31261</v>
      </c>
      <c r="AC5815" t="s">
        <v>36043</v>
      </c>
      <c r="AD5815" t="s">
        <v>41445</v>
      </c>
      <c r="AE5815">
        <v>30</v>
      </c>
      <c r="AF5815" t="s">
        <v>45545</v>
      </c>
      <c r="AG5815" t="s">
        <v>19330</v>
      </c>
      <c r="AH5815">
        <v>3</v>
      </c>
      <c r="AI5815">
        <v>1</v>
      </c>
      <c r="AJ5815">
        <v>2</v>
      </c>
      <c r="AK5815">
        <v>82.89</v>
      </c>
      <c r="AN5815" t="s">
        <v>45581</v>
      </c>
      <c r="AO5815">
        <v>17680</v>
      </c>
      <c r="AU5815">
        <v>11.1</v>
      </c>
      <c r="AV5815" t="s">
        <v>834</v>
      </c>
      <c r="AW5815" t="s">
        <v>46832</v>
      </c>
      <c r="AX5815" t="s">
        <v>46898</v>
      </c>
    </row>
    <row r="5816" spans="1:50">
      <c r="A5816" s="1">
        <f>HYPERLINK("https://lsnyc.legalserver.org/matter/dynamic-profile/view/1891512","19-1891512")</f>
        <v>0</v>
      </c>
      <c r="B5816" t="s">
        <v>187</v>
      </c>
      <c r="C5816" t="s">
        <v>340</v>
      </c>
      <c r="D5816" t="s">
        <v>757</v>
      </c>
      <c r="F5816" t="s">
        <v>1769</v>
      </c>
      <c r="G5816" t="s">
        <v>5873</v>
      </c>
      <c r="H5816" t="s">
        <v>13050</v>
      </c>
      <c r="I5816" t="s">
        <v>17307</v>
      </c>
      <c r="J5816" t="s">
        <v>18892</v>
      </c>
      <c r="K5816">
        <v>10457</v>
      </c>
      <c r="L5816" t="s">
        <v>18958</v>
      </c>
      <c r="M5816" t="s">
        <v>18958</v>
      </c>
      <c r="N5816" t="s">
        <v>23179</v>
      </c>
      <c r="O5816" t="s">
        <v>26523</v>
      </c>
      <c r="P5816" t="s">
        <v>26560</v>
      </c>
      <c r="R5816" t="s">
        <v>26579</v>
      </c>
      <c r="S5816" t="s">
        <v>18959</v>
      </c>
      <c r="U5816" t="s">
        <v>26604</v>
      </c>
      <c r="V5816" t="s">
        <v>26610</v>
      </c>
      <c r="W5816" t="s">
        <v>757</v>
      </c>
      <c r="X5816">
        <v>1545.3</v>
      </c>
      <c r="Y5816" t="s">
        <v>26650</v>
      </c>
      <c r="Z5816" t="s">
        <v>26668</v>
      </c>
      <c r="AB5816" t="s">
        <v>31262</v>
      </c>
      <c r="AD5816" t="s">
        <v>41446</v>
      </c>
      <c r="AE5816">
        <v>0</v>
      </c>
      <c r="AF5816" t="s">
        <v>45541</v>
      </c>
      <c r="AG5816" t="s">
        <v>45562</v>
      </c>
      <c r="AH5816">
        <v>2</v>
      </c>
      <c r="AI5816">
        <v>1</v>
      </c>
      <c r="AJ5816">
        <v>2</v>
      </c>
      <c r="AK5816">
        <v>70.31999999999999</v>
      </c>
      <c r="AN5816" t="s">
        <v>7439</v>
      </c>
      <c r="AO5816">
        <v>15000</v>
      </c>
      <c r="AU5816">
        <v>9.9</v>
      </c>
      <c r="AV5816" t="s">
        <v>835</v>
      </c>
      <c r="AW5816" t="s">
        <v>46832</v>
      </c>
    </row>
    <row r="5817" spans="1:50">
      <c r="A5817" s="1">
        <f>HYPERLINK("https://lsnyc.legalserver.org/matter/dynamic-profile/view/1891476","19-1891476")</f>
        <v>0</v>
      </c>
      <c r="B5817" t="s">
        <v>54</v>
      </c>
      <c r="C5817" t="s">
        <v>340</v>
      </c>
      <c r="D5817" t="s">
        <v>757</v>
      </c>
      <c r="F5817" t="s">
        <v>1551</v>
      </c>
      <c r="G5817" t="s">
        <v>6776</v>
      </c>
      <c r="H5817" t="s">
        <v>13813</v>
      </c>
      <c r="I5817" t="s">
        <v>17356</v>
      </c>
      <c r="J5817" t="s">
        <v>18892</v>
      </c>
      <c r="K5817">
        <v>10467</v>
      </c>
      <c r="L5817" t="s">
        <v>18958</v>
      </c>
      <c r="M5817" t="s">
        <v>18958</v>
      </c>
      <c r="N5817" t="s">
        <v>23180</v>
      </c>
      <c r="O5817" t="s">
        <v>26523</v>
      </c>
      <c r="P5817" t="s">
        <v>26560</v>
      </c>
      <c r="R5817" t="s">
        <v>26579</v>
      </c>
      <c r="S5817" t="s">
        <v>18959</v>
      </c>
      <c r="U5817" t="s">
        <v>26604</v>
      </c>
      <c r="V5817" t="s">
        <v>26610</v>
      </c>
      <c r="W5817" t="s">
        <v>757</v>
      </c>
      <c r="X5817">
        <v>1084.39</v>
      </c>
      <c r="Y5817" t="s">
        <v>26650</v>
      </c>
      <c r="Z5817" t="s">
        <v>26668</v>
      </c>
      <c r="AB5817" t="s">
        <v>31263</v>
      </c>
      <c r="AC5817" t="s">
        <v>36044</v>
      </c>
      <c r="AD5817" t="s">
        <v>41447</v>
      </c>
      <c r="AE5817">
        <v>51</v>
      </c>
      <c r="AF5817" t="s">
        <v>45541</v>
      </c>
      <c r="AG5817" t="s">
        <v>19330</v>
      </c>
      <c r="AH5817">
        <v>4</v>
      </c>
      <c r="AI5817">
        <v>1</v>
      </c>
      <c r="AJ5817">
        <v>1</v>
      </c>
      <c r="AK5817">
        <v>70.95999999999999</v>
      </c>
      <c r="AN5817" t="s">
        <v>45581</v>
      </c>
      <c r="AO5817">
        <v>12000</v>
      </c>
      <c r="AR5817" t="s">
        <v>46394</v>
      </c>
      <c r="AS5817" t="s">
        <v>46500</v>
      </c>
      <c r="AT5817" t="s">
        <v>46609</v>
      </c>
      <c r="AU5817">
        <v>5.8</v>
      </c>
      <c r="AV5817" t="s">
        <v>777</v>
      </c>
      <c r="AW5817" t="s">
        <v>46832</v>
      </c>
    </row>
    <row r="5818" spans="1:50">
      <c r="A5818" s="1">
        <f>HYPERLINK("https://lsnyc.legalserver.org/matter/dynamic-profile/view/1892955","19-1892955")</f>
        <v>0</v>
      </c>
      <c r="B5818" t="s">
        <v>164</v>
      </c>
      <c r="C5818" t="s">
        <v>340</v>
      </c>
      <c r="D5818" t="s">
        <v>753</v>
      </c>
      <c r="F5818" t="s">
        <v>1383</v>
      </c>
      <c r="G5818" t="s">
        <v>5827</v>
      </c>
      <c r="H5818" t="s">
        <v>9988</v>
      </c>
      <c r="I5818" t="s">
        <v>18280</v>
      </c>
      <c r="J5818" t="s">
        <v>18906</v>
      </c>
      <c r="K5818">
        <v>11373</v>
      </c>
      <c r="L5818" t="s">
        <v>18958</v>
      </c>
      <c r="M5818" t="s">
        <v>18958</v>
      </c>
      <c r="O5818" t="s">
        <v>26545</v>
      </c>
      <c r="P5818" t="s">
        <v>26562</v>
      </c>
      <c r="R5818" t="s">
        <v>26578</v>
      </c>
      <c r="S5818" t="s">
        <v>18959</v>
      </c>
      <c r="U5818" t="s">
        <v>26604</v>
      </c>
      <c r="V5818" t="s">
        <v>26612</v>
      </c>
      <c r="W5818" t="s">
        <v>757</v>
      </c>
      <c r="X5818">
        <v>947.9299999999999</v>
      </c>
      <c r="Y5818" t="s">
        <v>26653</v>
      </c>
      <c r="Z5818" t="s">
        <v>26664</v>
      </c>
      <c r="AB5818" t="s">
        <v>31250</v>
      </c>
      <c r="AC5818" t="s">
        <v>36041</v>
      </c>
      <c r="AD5818" t="s">
        <v>41432</v>
      </c>
      <c r="AE5818">
        <v>125</v>
      </c>
      <c r="AF5818" t="s">
        <v>45541</v>
      </c>
      <c r="AG5818" t="s">
        <v>45559</v>
      </c>
      <c r="AH5818">
        <v>25</v>
      </c>
      <c r="AI5818">
        <v>1</v>
      </c>
      <c r="AJ5818">
        <v>0</v>
      </c>
      <c r="AK5818">
        <v>63.7</v>
      </c>
      <c r="AN5818" t="s">
        <v>7439</v>
      </c>
      <c r="AO5818">
        <v>7956</v>
      </c>
      <c r="AU5818">
        <v>0.05</v>
      </c>
      <c r="AV5818" t="s">
        <v>784</v>
      </c>
      <c r="AW5818" t="s">
        <v>141</v>
      </c>
    </row>
    <row r="5819" spans="1:50">
      <c r="A5819" s="1">
        <f>HYPERLINK("https://lsnyc.legalserver.org/matter/dynamic-profile/view/1891492","19-1891492")</f>
        <v>0</v>
      </c>
      <c r="B5819" t="s">
        <v>235</v>
      </c>
      <c r="C5819" t="s">
        <v>341</v>
      </c>
      <c r="D5819" t="s">
        <v>777</v>
      </c>
      <c r="E5819" t="s">
        <v>763</v>
      </c>
      <c r="F5819" t="s">
        <v>875</v>
      </c>
      <c r="G5819" t="s">
        <v>7783</v>
      </c>
      <c r="H5819" t="s">
        <v>13814</v>
      </c>
      <c r="J5819" t="s">
        <v>18913</v>
      </c>
      <c r="K5819">
        <v>11102</v>
      </c>
      <c r="L5819" t="s">
        <v>18958</v>
      </c>
      <c r="M5819" t="s">
        <v>18958</v>
      </c>
      <c r="N5819" t="s">
        <v>23181</v>
      </c>
      <c r="O5819" t="s">
        <v>26524</v>
      </c>
      <c r="P5819" t="s">
        <v>26560</v>
      </c>
      <c r="Q5819" t="s">
        <v>26568</v>
      </c>
      <c r="R5819" t="s">
        <v>26578</v>
      </c>
      <c r="S5819" t="s">
        <v>18959</v>
      </c>
      <c r="U5819" t="s">
        <v>26604</v>
      </c>
      <c r="V5819" t="s">
        <v>26610</v>
      </c>
      <c r="W5819" t="s">
        <v>757</v>
      </c>
      <c r="X5819">
        <v>1557</v>
      </c>
      <c r="Y5819" t="s">
        <v>26653</v>
      </c>
      <c r="Z5819" t="s">
        <v>26660</v>
      </c>
      <c r="AA5819" t="s">
        <v>26678</v>
      </c>
      <c r="AB5819" t="s">
        <v>30544</v>
      </c>
      <c r="AC5819" t="s">
        <v>36045</v>
      </c>
      <c r="AD5819" t="s">
        <v>41448</v>
      </c>
      <c r="AE5819">
        <v>6</v>
      </c>
      <c r="AF5819" t="s">
        <v>45541</v>
      </c>
      <c r="AG5819" t="s">
        <v>45557</v>
      </c>
      <c r="AH5819">
        <v>1</v>
      </c>
      <c r="AI5819">
        <v>1</v>
      </c>
      <c r="AJ5819">
        <v>3</v>
      </c>
      <c r="AK5819">
        <v>0</v>
      </c>
      <c r="AO5819">
        <v>0</v>
      </c>
      <c r="AQ5819" t="s">
        <v>46359</v>
      </c>
      <c r="AR5819" t="s">
        <v>46379</v>
      </c>
      <c r="AS5819" t="s">
        <v>46499</v>
      </c>
      <c r="AT5819" t="s">
        <v>46556</v>
      </c>
      <c r="AU5819">
        <v>17.6</v>
      </c>
      <c r="AV5819" t="s">
        <v>762</v>
      </c>
      <c r="AW5819" t="s">
        <v>235</v>
      </c>
    </row>
    <row r="5820" spans="1:50">
      <c r="A5820" s="1">
        <f>HYPERLINK("https://lsnyc.legalserver.org/matter/dynamic-profile/view/1851783","17-1851783")</f>
        <v>0</v>
      </c>
      <c r="B5820" t="s">
        <v>153</v>
      </c>
      <c r="C5820" t="s">
        <v>341</v>
      </c>
      <c r="D5820" t="s">
        <v>778</v>
      </c>
      <c r="E5820" t="s">
        <v>830</v>
      </c>
      <c r="F5820" t="s">
        <v>1972</v>
      </c>
      <c r="G5820" t="s">
        <v>7784</v>
      </c>
      <c r="H5820" t="s">
        <v>13815</v>
      </c>
      <c r="I5820" t="s">
        <v>18282</v>
      </c>
      <c r="J5820" t="s">
        <v>18902</v>
      </c>
      <c r="K5820">
        <v>10304</v>
      </c>
      <c r="L5820" t="s">
        <v>18958</v>
      </c>
      <c r="M5820" t="s">
        <v>18958</v>
      </c>
      <c r="N5820" t="s">
        <v>19037</v>
      </c>
      <c r="O5820" t="s">
        <v>26532</v>
      </c>
      <c r="P5820" t="s">
        <v>26562</v>
      </c>
      <c r="Q5820" t="s">
        <v>26568</v>
      </c>
      <c r="R5820" t="s">
        <v>26578</v>
      </c>
      <c r="S5820" t="s">
        <v>18959</v>
      </c>
      <c r="U5820" t="s">
        <v>26604</v>
      </c>
      <c r="V5820" t="s">
        <v>26610</v>
      </c>
      <c r="W5820" t="s">
        <v>723</v>
      </c>
      <c r="X5820">
        <v>678.91</v>
      </c>
      <c r="Y5820" t="s">
        <v>26654</v>
      </c>
      <c r="Z5820" t="s">
        <v>26659</v>
      </c>
      <c r="AA5820" t="s">
        <v>26678</v>
      </c>
      <c r="AB5820" t="s">
        <v>31264</v>
      </c>
      <c r="AD5820" t="s">
        <v>41449</v>
      </c>
      <c r="AE5820">
        <v>16</v>
      </c>
      <c r="AF5820" t="s">
        <v>45541</v>
      </c>
      <c r="AG5820" t="s">
        <v>19330</v>
      </c>
      <c r="AH5820">
        <v>18</v>
      </c>
      <c r="AI5820">
        <v>1</v>
      </c>
      <c r="AJ5820">
        <v>0</v>
      </c>
      <c r="AK5820">
        <v>215.02</v>
      </c>
      <c r="AL5820" t="s">
        <v>585</v>
      </c>
      <c r="AM5820" t="s">
        <v>45575</v>
      </c>
      <c r="AN5820" t="s">
        <v>7439</v>
      </c>
      <c r="AO5820">
        <v>25932</v>
      </c>
      <c r="AU5820">
        <v>36.15</v>
      </c>
      <c r="AV5820" t="s">
        <v>757</v>
      </c>
      <c r="AW5820" t="s">
        <v>46873</v>
      </c>
    </row>
    <row r="5821" spans="1:50">
      <c r="A5821" s="1">
        <f>HYPERLINK("https://lsnyc.legalserver.org/matter/dynamic-profile/view/1888496","19-1888496")</f>
        <v>0</v>
      </c>
      <c r="B5821" t="s">
        <v>67</v>
      </c>
      <c r="C5821" t="s">
        <v>340</v>
      </c>
      <c r="D5821" t="s">
        <v>718</v>
      </c>
      <c r="F5821" t="s">
        <v>1120</v>
      </c>
      <c r="G5821" t="s">
        <v>5266</v>
      </c>
      <c r="H5821" t="s">
        <v>13816</v>
      </c>
      <c r="I5821" t="s">
        <v>17347</v>
      </c>
      <c r="J5821" t="s">
        <v>18892</v>
      </c>
      <c r="K5821">
        <v>10456</v>
      </c>
      <c r="L5821" t="s">
        <v>18958</v>
      </c>
      <c r="M5821" t="s">
        <v>18958</v>
      </c>
      <c r="O5821" t="s">
        <v>26523</v>
      </c>
      <c r="P5821" t="s">
        <v>26564</v>
      </c>
      <c r="R5821" t="s">
        <v>26578</v>
      </c>
      <c r="S5821" t="s">
        <v>18959</v>
      </c>
      <c r="U5821" t="s">
        <v>26604</v>
      </c>
      <c r="V5821" t="s">
        <v>26610</v>
      </c>
      <c r="W5821" t="s">
        <v>723</v>
      </c>
      <c r="X5821">
        <v>239</v>
      </c>
      <c r="Y5821" t="s">
        <v>26650</v>
      </c>
      <c r="Z5821" t="s">
        <v>26663</v>
      </c>
      <c r="AB5821" t="s">
        <v>31265</v>
      </c>
      <c r="AD5821" t="s">
        <v>41450</v>
      </c>
      <c r="AE5821">
        <v>46</v>
      </c>
      <c r="AF5821" t="s">
        <v>45541</v>
      </c>
      <c r="AG5821" t="s">
        <v>45556</v>
      </c>
      <c r="AH5821">
        <v>15</v>
      </c>
      <c r="AI5821">
        <v>1</v>
      </c>
      <c r="AJ5821">
        <v>0</v>
      </c>
      <c r="AK5821">
        <v>74.14</v>
      </c>
      <c r="AN5821" t="s">
        <v>7439</v>
      </c>
      <c r="AO5821">
        <v>9000</v>
      </c>
      <c r="AU5821">
        <v>1</v>
      </c>
      <c r="AV5821" t="s">
        <v>723</v>
      </c>
      <c r="AW5821" t="s">
        <v>336</v>
      </c>
    </row>
    <row r="5822" spans="1:50">
      <c r="A5822" s="1">
        <f>HYPERLINK("https://lsnyc.legalserver.org/matter/dynamic-profile/view/1888492","19-1888492")</f>
        <v>0</v>
      </c>
      <c r="B5822" t="s">
        <v>67</v>
      </c>
      <c r="C5822" t="s">
        <v>340</v>
      </c>
      <c r="D5822" t="s">
        <v>718</v>
      </c>
      <c r="F5822" t="s">
        <v>3240</v>
      </c>
      <c r="G5822" t="s">
        <v>7785</v>
      </c>
      <c r="H5822" t="s">
        <v>13817</v>
      </c>
      <c r="I5822" t="s">
        <v>17316</v>
      </c>
      <c r="J5822" t="s">
        <v>18892</v>
      </c>
      <c r="K5822">
        <v>10453</v>
      </c>
      <c r="L5822" t="s">
        <v>18958</v>
      </c>
      <c r="M5822" t="s">
        <v>18958</v>
      </c>
      <c r="O5822" t="s">
        <v>18997</v>
      </c>
      <c r="P5822" t="s">
        <v>26565</v>
      </c>
      <c r="R5822" t="s">
        <v>26578</v>
      </c>
      <c r="S5822" t="s">
        <v>18959</v>
      </c>
      <c r="U5822" t="s">
        <v>26604</v>
      </c>
      <c r="W5822" t="s">
        <v>723</v>
      </c>
      <c r="X5822">
        <v>460</v>
      </c>
      <c r="Y5822" t="s">
        <v>26650</v>
      </c>
      <c r="Z5822" t="s">
        <v>26663</v>
      </c>
      <c r="AB5822" t="s">
        <v>31266</v>
      </c>
      <c r="AD5822" t="s">
        <v>41451</v>
      </c>
      <c r="AE5822">
        <v>8</v>
      </c>
      <c r="AF5822" t="s">
        <v>45541</v>
      </c>
      <c r="AG5822" t="s">
        <v>45556</v>
      </c>
      <c r="AH5822">
        <v>5</v>
      </c>
      <c r="AI5822">
        <v>1</v>
      </c>
      <c r="AJ5822">
        <v>0</v>
      </c>
      <c r="AK5822">
        <v>138.39</v>
      </c>
      <c r="AN5822" t="s">
        <v>45581</v>
      </c>
      <c r="AO5822">
        <v>16800</v>
      </c>
      <c r="AU5822">
        <v>1</v>
      </c>
      <c r="AV5822" t="s">
        <v>723</v>
      </c>
      <c r="AW5822" t="s">
        <v>336</v>
      </c>
    </row>
    <row r="5823" spans="1:50">
      <c r="A5823" s="1">
        <f>HYPERLINK("https://lsnyc.legalserver.org/matter/dynamic-profile/view/1891391","19-1891391")</f>
        <v>0</v>
      </c>
      <c r="B5823" t="s">
        <v>258</v>
      </c>
      <c r="C5823" t="s">
        <v>340</v>
      </c>
      <c r="D5823" t="s">
        <v>747</v>
      </c>
      <c r="F5823" t="s">
        <v>1653</v>
      </c>
      <c r="G5823" t="s">
        <v>5848</v>
      </c>
      <c r="H5823" t="s">
        <v>10665</v>
      </c>
      <c r="I5823" t="s">
        <v>17316</v>
      </c>
      <c r="J5823" t="s">
        <v>18928</v>
      </c>
      <c r="K5823">
        <v>11365</v>
      </c>
      <c r="L5823" t="s">
        <v>18958</v>
      </c>
      <c r="M5823" t="s">
        <v>18960</v>
      </c>
      <c r="N5823" t="s">
        <v>23182</v>
      </c>
      <c r="O5823" t="s">
        <v>26523</v>
      </c>
      <c r="P5823" t="s">
        <v>26560</v>
      </c>
      <c r="R5823" t="s">
        <v>26584</v>
      </c>
      <c r="S5823" t="s">
        <v>18959</v>
      </c>
      <c r="U5823" t="s">
        <v>26605</v>
      </c>
      <c r="V5823" t="s">
        <v>26610</v>
      </c>
      <c r="W5823" t="s">
        <v>723</v>
      </c>
      <c r="X5823">
        <v>532</v>
      </c>
      <c r="Y5823" t="s">
        <v>26653</v>
      </c>
      <c r="Z5823" t="s">
        <v>26661</v>
      </c>
      <c r="AB5823" t="s">
        <v>27802</v>
      </c>
      <c r="AC5823" t="s">
        <v>36046</v>
      </c>
      <c r="AD5823" t="s">
        <v>37853</v>
      </c>
      <c r="AE5823">
        <v>701</v>
      </c>
      <c r="AF5823" t="s">
        <v>45549</v>
      </c>
      <c r="AG5823" t="s">
        <v>19330</v>
      </c>
      <c r="AH5823">
        <v>13</v>
      </c>
      <c r="AI5823">
        <v>1</v>
      </c>
      <c r="AJ5823">
        <v>2</v>
      </c>
      <c r="AK5823">
        <v>36.4</v>
      </c>
      <c r="AN5823" t="s">
        <v>7439</v>
      </c>
      <c r="AO5823">
        <v>7764</v>
      </c>
      <c r="AQ5823" t="s">
        <v>46361</v>
      </c>
      <c r="AR5823" t="s">
        <v>46407</v>
      </c>
      <c r="AS5823" t="s">
        <v>46499</v>
      </c>
      <c r="AT5823" t="s">
        <v>46674</v>
      </c>
      <c r="AU5823">
        <v>12.85</v>
      </c>
      <c r="AV5823" t="s">
        <v>823</v>
      </c>
      <c r="AW5823" t="s">
        <v>93</v>
      </c>
      <c r="AX5823" t="s">
        <v>46897</v>
      </c>
    </row>
    <row r="5824" spans="1:50">
      <c r="A5824" s="1">
        <f>HYPERLINK("https://lsnyc.legalserver.org/matter/dynamic-profile/view/1891614","19-1891614")</f>
        <v>0</v>
      </c>
      <c r="B5824" t="s">
        <v>183</v>
      </c>
      <c r="C5824" t="s">
        <v>341</v>
      </c>
      <c r="D5824" t="s">
        <v>723</v>
      </c>
      <c r="E5824" t="s">
        <v>834</v>
      </c>
      <c r="F5824" t="s">
        <v>1197</v>
      </c>
      <c r="G5824" t="s">
        <v>5692</v>
      </c>
      <c r="H5824" t="s">
        <v>13818</v>
      </c>
      <c r="I5824" t="s">
        <v>17388</v>
      </c>
      <c r="J5824" t="s">
        <v>18893</v>
      </c>
      <c r="K5824">
        <v>10040</v>
      </c>
      <c r="L5824" t="s">
        <v>18958</v>
      </c>
      <c r="M5824" t="s">
        <v>18958</v>
      </c>
      <c r="N5824" t="s">
        <v>23183</v>
      </c>
      <c r="O5824" t="s">
        <v>26524</v>
      </c>
      <c r="P5824" t="s">
        <v>26564</v>
      </c>
      <c r="Q5824" t="s">
        <v>26570</v>
      </c>
      <c r="R5824" t="s">
        <v>26582</v>
      </c>
      <c r="S5824" t="s">
        <v>18959</v>
      </c>
      <c r="U5824" t="s">
        <v>26604</v>
      </c>
      <c r="V5824" t="s">
        <v>26610</v>
      </c>
      <c r="W5824" t="s">
        <v>723</v>
      </c>
      <c r="X5824">
        <v>775</v>
      </c>
      <c r="Y5824" t="s">
        <v>26651</v>
      </c>
      <c r="Z5824" t="s">
        <v>26664</v>
      </c>
      <c r="AA5824" t="s">
        <v>26683</v>
      </c>
      <c r="AB5824" t="s">
        <v>31267</v>
      </c>
      <c r="AD5824" t="s">
        <v>41452</v>
      </c>
      <c r="AE5824">
        <v>0</v>
      </c>
      <c r="AF5824" t="s">
        <v>45541</v>
      </c>
      <c r="AG5824" t="s">
        <v>19330</v>
      </c>
      <c r="AH5824">
        <v>6</v>
      </c>
      <c r="AI5824">
        <v>1</v>
      </c>
      <c r="AJ5824">
        <v>1</v>
      </c>
      <c r="AK5824">
        <v>130.69</v>
      </c>
      <c r="AN5824" t="s">
        <v>45581</v>
      </c>
      <c r="AO5824">
        <v>22100</v>
      </c>
      <c r="AU5824">
        <v>1.6</v>
      </c>
      <c r="AV5824" t="s">
        <v>834</v>
      </c>
      <c r="AW5824" t="s">
        <v>46835</v>
      </c>
    </row>
    <row r="5825" spans="1:50">
      <c r="A5825" s="1">
        <f>HYPERLINK("https://lsnyc.legalserver.org/matter/dynamic-profile/view/1891608","19-1891608")</f>
        <v>0</v>
      </c>
      <c r="B5825" t="s">
        <v>165</v>
      </c>
      <c r="C5825" t="s">
        <v>341</v>
      </c>
      <c r="D5825" t="s">
        <v>723</v>
      </c>
      <c r="E5825" t="s">
        <v>832</v>
      </c>
      <c r="F5825" t="s">
        <v>3496</v>
      </c>
      <c r="G5825" t="s">
        <v>7786</v>
      </c>
      <c r="H5825" t="s">
        <v>13819</v>
      </c>
      <c r="I5825">
        <v>22</v>
      </c>
      <c r="J5825" t="s">
        <v>18893</v>
      </c>
      <c r="K5825">
        <v>10030</v>
      </c>
      <c r="L5825" t="s">
        <v>18958</v>
      </c>
      <c r="M5825" t="s">
        <v>18958</v>
      </c>
      <c r="N5825" t="s">
        <v>23184</v>
      </c>
      <c r="O5825" t="s">
        <v>26524</v>
      </c>
      <c r="P5825" t="s">
        <v>26564</v>
      </c>
      <c r="Q5825" t="s">
        <v>26570</v>
      </c>
      <c r="R5825" t="s">
        <v>26582</v>
      </c>
      <c r="S5825" t="s">
        <v>18959</v>
      </c>
      <c r="U5825" t="s">
        <v>26604</v>
      </c>
      <c r="W5825" t="s">
        <v>723</v>
      </c>
      <c r="X5825">
        <v>800</v>
      </c>
      <c r="Y5825" t="s">
        <v>26651</v>
      </c>
      <c r="Z5825" t="s">
        <v>26664</v>
      </c>
      <c r="AA5825" t="s">
        <v>26683</v>
      </c>
      <c r="AB5825" t="s">
        <v>31268</v>
      </c>
      <c r="AD5825" t="s">
        <v>34738</v>
      </c>
      <c r="AE5825">
        <v>0</v>
      </c>
      <c r="AF5825" t="s">
        <v>20460</v>
      </c>
      <c r="AH5825">
        <v>-1</v>
      </c>
      <c r="AI5825">
        <v>2</v>
      </c>
      <c r="AJ5825">
        <v>0</v>
      </c>
      <c r="AK5825">
        <v>0</v>
      </c>
      <c r="AN5825" t="s">
        <v>45581</v>
      </c>
      <c r="AO5825">
        <v>0</v>
      </c>
      <c r="AU5825">
        <v>1.1</v>
      </c>
      <c r="AV5825" t="s">
        <v>831</v>
      </c>
      <c r="AW5825" t="s">
        <v>46875</v>
      </c>
    </row>
    <row r="5826" spans="1:50">
      <c r="A5826" s="1">
        <f>HYPERLINK("https://lsnyc.legalserver.org/matter/dynamic-profile/view/1891601","19-1891601")</f>
        <v>0</v>
      </c>
      <c r="B5826" t="s">
        <v>79</v>
      </c>
      <c r="C5826" t="s">
        <v>341</v>
      </c>
      <c r="D5826" t="s">
        <v>723</v>
      </c>
      <c r="E5826" t="s">
        <v>789</v>
      </c>
      <c r="F5826" t="s">
        <v>2086</v>
      </c>
      <c r="G5826" t="s">
        <v>5460</v>
      </c>
      <c r="H5826" t="s">
        <v>13820</v>
      </c>
      <c r="I5826" t="s">
        <v>17283</v>
      </c>
      <c r="J5826" t="s">
        <v>18893</v>
      </c>
      <c r="K5826">
        <v>10040</v>
      </c>
      <c r="L5826" t="s">
        <v>18958</v>
      </c>
      <c r="M5826" t="s">
        <v>18960</v>
      </c>
      <c r="O5826" t="s">
        <v>18997</v>
      </c>
      <c r="P5826" t="s">
        <v>26564</v>
      </c>
      <c r="Q5826" t="s">
        <v>26570</v>
      </c>
      <c r="R5826" t="s">
        <v>26578</v>
      </c>
      <c r="S5826" t="s">
        <v>18959</v>
      </c>
      <c r="U5826" t="s">
        <v>26604</v>
      </c>
      <c r="W5826" t="s">
        <v>723</v>
      </c>
      <c r="X5826">
        <v>2300</v>
      </c>
      <c r="Y5826" t="s">
        <v>26651</v>
      </c>
      <c r="Z5826" t="s">
        <v>26661</v>
      </c>
      <c r="AA5826" t="s">
        <v>26683</v>
      </c>
      <c r="AB5826" t="s">
        <v>29045</v>
      </c>
      <c r="AD5826" t="s">
        <v>41453</v>
      </c>
      <c r="AE5826">
        <v>55</v>
      </c>
      <c r="AF5826" t="s">
        <v>45541</v>
      </c>
      <c r="AG5826" t="s">
        <v>19330</v>
      </c>
      <c r="AH5826">
        <v>11</v>
      </c>
      <c r="AI5826">
        <v>2</v>
      </c>
      <c r="AJ5826">
        <v>2</v>
      </c>
      <c r="AK5826">
        <v>184.85</v>
      </c>
      <c r="AN5826" t="s">
        <v>45581</v>
      </c>
      <c r="AO5826">
        <v>47600</v>
      </c>
      <c r="AU5826">
        <v>2.43</v>
      </c>
      <c r="AV5826" t="s">
        <v>657</v>
      </c>
      <c r="AW5826" t="s">
        <v>46838</v>
      </c>
      <c r="AX5826" t="s">
        <v>46897</v>
      </c>
    </row>
    <row r="5827" spans="1:50">
      <c r="A5827" s="1">
        <f>HYPERLINK("https://lsnyc.legalserver.org/matter/dynamic-profile/view/1891647","19-1891647")</f>
        <v>0</v>
      </c>
      <c r="B5827" t="s">
        <v>141</v>
      </c>
      <c r="C5827" t="s">
        <v>341</v>
      </c>
      <c r="D5827" t="s">
        <v>723</v>
      </c>
      <c r="E5827" t="s">
        <v>819</v>
      </c>
      <c r="F5827" t="s">
        <v>937</v>
      </c>
      <c r="G5827" t="s">
        <v>7787</v>
      </c>
      <c r="H5827" t="s">
        <v>13821</v>
      </c>
      <c r="I5827" t="s">
        <v>17309</v>
      </c>
      <c r="J5827" t="s">
        <v>18900</v>
      </c>
      <c r="K5827">
        <v>11354</v>
      </c>
      <c r="L5827" t="s">
        <v>18958</v>
      </c>
      <c r="M5827" t="s">
        <v>18958</v>
      </c>
      <c r="N5827" t="s">
        <v>19330</v>
      </c>
      <c r="O5827" t="s">
        <v>18997</v>
      </c>
      <c r="P5827" t="s">
        <v>26565</v>
      </c>
      <c r="Q5827" t="s">
        <v>26571</v>
      </c>
      <c r="R5827" t="s">
        <v>26578</v>
      </c>
      <c r="S5827" t="s">
        <v>18959</v>
      </c>
      <c r="U5827" t="s">
        <v>26604</v>
      </c>
      <c r="V5827" t="s">
        <v>26610</v>
      </c>
      <c r="W5827" t="s">
        <v>723</v>
      </c>
      <c r="X5827">
        <v>1214</v>
      </c>
      <c r="Y5827" t="s">
        <v>26653</v>
      </c>
      <c r="Z5827" t="s">
        <v>26659</v>
      </c>
      <c r="AA5827" t="s">
        <v>26681</v>
      </c>
      <c r="AB5827" t="s">
        <v>31269</v>
      </c>
      <c r="AC5827" t="s">
        <v>36047</v>
      </c>
      <c r="AD5827" t="s">
        <v>41454</v>
      </c>
      <c r="AE5827">
        <v>8</v>
      </c>
      <c r="AF5827" t="s">
        <v>45547</v>
      </c>
      <c r="AG5827" t="s">
        <v>45560</v>
      </c>
      <c r="AH5827">
        <v>6</v>
      </c>
      <c r="AI5827">
        <v>1</v>
      </c>
      <c r="AJ5827">
        <v>0</v>
      </c>
      <c r="AK5827">
        <v>80.98999999999999</v>
      </c>
      <c r="AN5827" t="s">
        <v>7439</v>
      </c>
      <c r="AO5827">
        <v>10116</v>
      </c>
      <c r="AR5827" t="s">
        <v>26530</v>
      </c>
      <c r="AS5827" t="s">
        <v>46499</v>
      </c>
      <c r="AT5827" t="s">
        <v>46700</v>
      </c>
      <c r="AU5827">
        <v>2.15</v>
      </c>
      <c r="AV5827" t="s">
        <v>784</v>
      </c>
      <c r="AW5827" t="s">
        <v>141</v>
      </c>
      <c r="AX5827" t="s">
        <v>46897</v>
      </c>
    </row>
    <row r="5828" spans="1:50">
      <c r="A5828" s="1">
        <f>HYPERLINK("https://lsnyc.legalserver.org/matter/dynamic-profile/view/1891709","19-1891709")</f>
        <v>0</v>
      </c>
      <c r="B5828" t="s">
        <v>120</v>
      </c>
      <c r="C5828" t="s">
        <v>341</v>
      </c>
      <c r="D5828" t="s">
        <v>723</v>
      </c>
      <c r="E5828" t="s">
        <v>780</v>
      </c>
      <c r="F5828" t="s">
        <v>1429</v>
      </c>
      <c r="G5828" t="s">
        <v>7788</v>
      </c>
      <c r="H5828" t="s">
        <v>9801</v>
      </c>
      <c r="I5828" t="s">
        <v>17360</v>
      </c>
      <c r="J5828" t="s">
        <v>18892</v>
      </c>
      <c r="K5828">
        <v>10468</v>
      </c>
      <c r="L5828" t="s">
        <v>18958</v>
      </c>
      <c r="M5828" t="s">
        <v>18958</v>
      </c>
      <c r="N5828" t="s">
        <v>23185</v>
      </c>
      <c r="O5828" t="s">
        <v>26523</v>
      </c>
      <c r="P5828" t="s">
        <v>26560</v>
      </c>
      <c r="Q5828" t="s">
        <v>26568</v>
      </c>
      <c r="R5828" t="s">
        <v>26579</v>
      </c>
      <c r="S5828" t="s">
        <v>18959</v>
      </c>
      <c r="U5828" t="s">
        <v>26604</v>
      </c>
      <c r="V5828" t="s">
        <v>26610</v>
      </c>
      <c r="W5828" t="s">
        <v>723</v>
      </c>
      <c r="X5828">
        <v>1580.11</v>
      </c>
      <c r="Y5828" t="s">
        <v>26650</v>
      </c>
      <c r="Z5828" t="s">
        <v>26668</v>
      </c>
      <c r="AA5828" t="s">
        <v>26678</v>
      </c>
      <c r="AB5828" t="s">
        <v>31270</v>
      </c>
      <c r="AE5828">
        <v>30</v>
      </c>
      <c r="AF5828" t="s">
        <v>45541</v>
      </c>
      <c r="AG5828" t="s">
        <v>19330</v>
      </c>
      <c r="AH5828">
        <v>5</v>
      </c>
      <c r="AI5828">
        <v>2</v>
      </c>
      <c r="AJ5828">
        <v>3</v>
      </c>
      <c r="AK5828">
        <v>103.41</v>
      </c>
      <c r="AN5828" t="s">
        <v>45581</v>
      </c>
      <c r="AO5828">
        <v>31200</v>
      </c>
      <c r="AQ5828" t="s">
        <v>46362</v>
      </c>
      <c r="AR5828" t="s">
        <v>46381</v>
      </c>
      <c r="AS5828" t="s">
        <v>46499</v>
      </c>
      <c r="AT5828" t="s">
        <v>46699</v>
      </c>
      <c r="AU5828">
        <v>9.300000000000001</v>
      </c>
      <c r="AV5828" t="s">
        <v>695</v>
      </c>
      <c r="AW5828" t="s">
        <v>46832</v>
      </c>
    </row>
    <row r="5829" spans="1:50">
      <c r="A5829" s="1">
        <f>HYPERLINK("https://lsnyc.legalserver.org/matter/dynamic-profile/view/1891683","19-1891683")</f>
        <v>0</v>
      </c>
      <c r="B5829" t="s">
        <v>122</v>
      </c>
      <c r="C5829" t="s">
        <v>341</v>
      </c>
      <c r="D5829" t="s">
        <v>723</v>
      </c>
      <c r="E5829" t="s">
        <v>755</v>
      </c>
      <c r="F5829" t="s">
        <v>876</v>
      </c>
      <c r="G5829" t="s">
        <v>5208</v>
      </c>
      <c r="H5829" t="s">
        <v>13822</v>
      </c>
      <c r="I5829" t="s">
        <v>18283</v>
      </c>
      <c r="J5829" t="s">
        <v>18913</v>
      </c>
      <c r="K5829">
        <v>11106</v>
      </c>
      <c r="L5829" t="s">
        <v>18958</v>
      </c>
      <c r="M5829" t="s">
        <v>18959</v>
      </c>
      <c r="N5829" t="s">
        <v>23186</v>
      </c>
      <c r="O5829" t="s">
        <v>26526</v>
      </c>
      <c r="P5829" t="s">
        <v>26564</v>
      </c>
      <c r="Q5829" t="s">
        <v>26570</v>
      </c>
      <c r="R5829" t="s">
        <v>26584</v>
      </c>
      <c r="U5829" t="s">
        <v>26604</v>
      </c>
      <c r="V5829" t="s">
        <v>26610</v>
      </c>
      <c r="W5829" t="s">
        <v>723</v>
      </c>
      <c r="X5829">
        <v>215</v>
      </c>
      <c r="Y5829" t="s">
        <v>26653</v>
      </c>
      <c r="Z5829" t="s">
        <v>26664</v>
      </c>
      <c r="AA5829" t="s">
        <v>26683</v>
      </c>
      <c r="AB5829" t="s">
        <v>31271</v>
      </c>
      <c r="AD5829" t="s">
        <v>41455</v>
      </c>
      <c r="AE5829">
        <v>42</v>
      </c>
      <c r="AF5829" t="s">
        <v>45549</v>
      </c>
      <c r="AG5829" t="s">
        <v>19330</v>
      </c>
      <c r="AH5829">
        <v>23</v>
      </c>
      <c r="AI5829">
        <v>1</v>
      </c>
      <c r="AJ5829">
        <v>0</v>
      </c>
      <c r="AK5829">
        <v>18.94</v>
      </c>
      <c r="AO5829">
        <v>2366</v>
      </c>
      <c r="AU5829">
        <v>1</v>
      </c>
      <c r="AV5829" t="s">
        <v>723</v>
      </c>
      <c r="AW5829" t="s">
        <v>122</v>
      </c>
    </row>
    <row r="5830" spans="1:50">
      <c r="A5830" s="1">
        <f>HYPERLINK("https://lsnyc.legalserver.org/matter/dynamic-profile/view/1891615","19-1891615")</f>
        <v>0</v>
      </c>
      <c r="B5830" t="s">
        <v>122</v>
      </c>
      <c r="C5830" t="s">
        <v>341</v>
      </c>
      <c r="D5830" t="s">
        <v>723</v>
      </c>
      <c r="E5830" t="s">
        <v>755</v>
      </c>
      <c r="F5830" t="s">
        <v>1789</v>
      </c>
      <c r="G5830" t="s">
        <v>7789</v>
      </c>
      <c r="H5830" t="s">
        <v>13823</v>
      </c>
      <c r="I5830" t="s">
        <v>17375</v>
      </c>
      <c r="J5830" t="s">
        <v>18910</v>
      </c>
      <c r="K5830">
        <v>11420</v>
      </c>
      <c r="L5830" t="s">
        <v>18958</v>
      </c>
      <c r="M5830" t="s">
        <v>18958</v>
      </c>
      <c r="N5830" t="s">
        <v>23187</v>
      </c>
      <c r="O5830" t="s">
        <v>26526</v>
      </c>
      <c r="P5830" t="s">
        <v>26564</v>
      </c>
      <c r="Q5830" t="s">
        <v>26570</v>
      </c>
      <c r="R5830" t="s">
        <v>26584</v>
      </c>
      <c r="U5830" t="s">
        <v>26607</v>
      </c>
      <c r="V5830" t="s">
        <v>26610</v>
      </c>
      <c r="W5830" t="s">
        <v>723</v>
      </c>
      <c r="X5830">
        <v>1400</v>
      </c>
      <c r="Y5830" t="s">
        <v>26653</v>
      </c>
      <c r="Z5830" t="s">
        <v>26664</v>
      </c>
      <c r="AA5830" t="s">
        <v>26683</v>
      </c>
      <c r="AB5830" t="s">
        <v>31272</v>
      </c>
      <c r="AD5830" t="s">
        <v>41456</v>
      </c>
      <c r="AE5830">
        <v>2</v>
      </c>
      <c r="AF5830" t="s">
        <v>45547</v>
      </c>
      <c r="AG5830" t="s">
        <v>19330</v>
      </c>
      <c r="AH5830">
        <v>9</v>
      </c>
      <c r="AI5830">
        <v>2</v>
      </c>
      <c r="AJ5830">
        <v>0</v>
      </c>
      <c r="AK5830">
        <v>104.08</v>
      </c>
      <c r="AN5830" t="s">
        <v>45581</v>
      </c>
      <c r="AO5830">
        <v>17600</v>
      </c>
      <c r="AU5830">
        <v>1</v>
      </c>
      <c r="AV5830" t="s">
        <v>723</v>
      </c>
      <c r="AW5830" t="s">
        <v>122</v>
      </c>
    </row>
    <row r="5831" spans="1:50">
      <c r="A5831" s="1">
        <f>HYPERLINK("https://lsnyc.legalserver.org/matter/dynamic-profile/view/1891654","19-1891654")</f>
        <v>0</v>
      </c>
      <c r="B5831" t="s">
        <v>198</v>
      </c>
      <c r="C5831" t="s">
        <v>341</v>
      </c>
      <c r="D5831" t="s">
        <v>723</v>
      </c>
      <c r="E5831" t="s">
        <v>767</v>
      </c>
      <c r="F5831" t="s">
        <v>3497</v>
      </c>
      <c r="G5831" t="s">
        <v>1506</v>
      </c>
      <c r="H5831" t="s">
        <v>13824</v>
      </c>
      <c r="I5831" t="s">
        <v>17480</v>
      </c>
      <c r="J5831" t="s">
        <v>18894</v>
      </c>
      <c r="K5831">
        <v>11217</v>
      </c>
      <c r="L5831" t="s">
        <v>18960</v>
      </c>
      <c r="M5831" t="s">
        <v>18960</v>
      </c>
      <c r="Q5831" t="s">
        <v>26570</v>
      </c>
      <c r="R5831" t="s">
        <v>26578</v>
      </c>
      <c r="U5831" t="s">
        <v>26604</v>
      </c>
      <c r="W5831" t="s">
        <v>723</v>
      </c>
      <c r="X5831">
        <v>0</v>
      </c>
      <c r="Y5831" t="s">
        <v>26652</v>
      </c>
      <c r="AA5831" t="s">
        <v>26683</v>
      </c>
      <c r="AB5831" t="s">
        <v>31273</v>
      </c>
      <c r="AD5831" t="s">
        <v>41457</v>
      </c>
      <c r="AE5831">
        <v>0</v>
      </c>
      <c r="AH5831">
        <v>0</v>
      </c>
      <c r="AI5831">
        <v>2</v>
      </c>
      <c r="AJ5831">
        <v>4</v>
      </c>
      <c r="AK5831">
        <v>245.74</v>
      </c>
      <c r="AN5831" t="s">
        <v>7439</v>
      </c>
      <c r="AO5831">
        <v>85000</v>
      </c>
      <c r="AU5831">
        <v>3.1</v>
      </c>
      <c r="AV5831" t="s">
        <v>767</v>
      </c>
      <c r="AW5831" t="s">
        <v>198</v>
      </c>
    </row>
    <row r="5832" spans="1:50">
      <c r="A5832" s="1">
        <f>HYPERLINK("https://lsnyc.legalserver.org/matter/dynamic-profile/view/1891572","19-1891572")</f>
        <v>0</v>
      </c>
      <c r="B5832" t="s">
        <v>194</v>
      </c>
      <c r="C5832" t="s">
        <v>341</v>
      </c>
      <c r="D5832" t="s">
        <v>723</v>
      </c>
      <c r="E5832" t="s">
        <v>832</v>
      </c>
      <c r="F5832" t="s">
        <v>3498</v>
      </c>
      <c r="G5832" t="s">
        <v>7498</v>
      </c>
      <c r="H5832" t="s">
        <v>13825</v>
      </c>
      <c r="I5832">
        <v>36</v>
      </c>
      <c r="J5832" t="s">
        <v>18893</v>
      </c>
      <c r="K5832">
        <v>10033</v>
      </c>
      <c r="L5832" t="s">
        <v>18958</v>
      </c>
      <c r="M5832" t="s">
        <v>18958</v>
      </c>
      <c r="N5832" t="s">
        <v>23188</v>
      </c>
      <c r="O5832" t="s">
        <v>26523</v>
      </c>
      <c r="P5832" t="s">
        <v>26564</v>
      </c>
      <c r="Q5832" t="s">
        <v>26570</v>
      </c>
      <c r="R5832" t="s">
        <v>26582</v>
      </c>
      <c r="S5832" t="s">
        <v>18959</v>
      </c>
      <c r="U5832" t="s">
        <v>26604</v>
      </c>
      <c r="V5832" t="s">
        <v>26610</v>
      </c>
      <c r="W5832" t="s">
        <v>723</v>
      </c>
      <c r="X5832">
        <v>1289.99</v>
      </c>
      <c r="Y5832" t="s">
        <v>26651</v>
      </c>
      <c r="Z5832" t="s">
        <v>26664</v>
      </c>
      <c r="AA5832" t="s">
        <v>26683</v>
      </c>
      <c r="AB5832" t="s">
        <v>31274</v>
      </c>
      <c r="AD5832" t="s">
        <v>41458</v>
      </c>
      <c r="AE5832">
        <v>30</v>
      </c>
      <c r="AF5832" t="s">
        <v>45541</v>
      </c>
      <c r="AG5832" t="s">
        <v>19330</v>
      </c>
      <c r="AH5832">
        <v>20</v>
      </c>
      <c r="AI5832">
        <v>2</v>
      </c>
      <c r="AJ5832">
        <v>1</v>
      </c>
      <c r="AK5832">
        <v>132.21</v>
      </c>
      <c r="AN5832" t="s">
        <v>45581</v>
      </c>
      <c r="AO5832">
        <v>28200</v>
      </c>
      <c r="AU5832">
        <v>0.2</v>
      </c>
      <c r="AV5832" t="s">
        <v>831</v>
      </c>
      <c r="AW5832" t="s">
        <v>46835</v>
      </c>
    </row>
    <row r="5833" spans="1:50">
      <c r="A5833" s="1">
        <f>HYPERLINK("https://lsnyc.legalserver.org/matter/dynamic-profile/view/1891638","19-1891638")</f>
        <v>0</v>
      </c>
      <c r="B5833" t="s">
        <v>183</v>
      </c>
      <c r="C5833" t="s">
        <v>340</v>
      </c>
      <c r="D5833" t="s">
        <v>723</v>
      </c>
      <c r="F5833" t="s">
        <v>1578</v>
      </c>
      <c r="G5833" t="s">
        <v>7790</v>
      </c>
      <c r="H5833" t="s">
        <v>13826</v>
      </c>
      <c r="I5833" t="s">
        <v>17316</v>
      </c>
      <c r="J5833" t="s">
        <v>18893</v>
      </c>
      <c r="K5833">
        <v>10030</v>
      </c>
      <c r="L5833" t="s">
        <v>18958</v>
      </c>
      <c r="M5833" t="s">
        <v>18958</v>
      </c>
      <c r="N5833" t="s">
        <v>23189</v>
      </c>
      <c r="O5833" t="s">
        <v>26524</v>
      </c>
      <c r="P5833" t="s">
        <v>26564</v>
      </c>
      <c r="R5833" t="s">
        <v>26582</v>
      </c>
      <c r="S5833" t="s">
        <v>18959</v>
      </c>
      <c r="U5833" t="s">
        <v>26604</v>
      </c>
      <c r="W5833" t="s">
        <v>723</v>
      </c>
      <c r="X5833">
        <v>0</v>
      </c>
      <c r="Y5833" t="s">
        <v>26651</v>
      </c>
      <c r="AB5833" t="s">
        <v>26905</v>
      </c>
      <c r="AC5833" t="s">
        <v>36048</v>
      </c>
      <c r="AD5833" t="s">
        <v>41459</v>
      </c>
      <c r="AE5833">
        <v>0</v>
      </c>
      <c r="AG5833" t="s">
        <v>45563</v>
      </c>
      <c r="AH5833">
        <v>0</v>
      </c>
      <c r="AI5833">
        <v>1</v>
      </c>
      <c r="AJ5833">
        <v>0</v>
      </c>
      <c r="AK5833">
        <v>18.94</v>
      </c>
      <c r="AN5833" t="s">
        <v>7439</v>
      </c>
      <c r="AO5833">
        <v>2366</v>
      </c>
      <c r="AU5833">
        <v>2.1</v>
      </c>
      <c r="AV5833" t="s">
        <v>723</v>
      </c>
      <c r="AW5833" t="s">
        <v>46875</v>
      </c>
    </row>
    <row r="5834" spans="1:50">
      <c r="A5834" s="1">
        <f>HYPERLINK("https://lsnyc.legalserver.org/matter/dynamic-profile/view/1891575","19-1891575")</f>
        <v>0</v>
      </c>
      <c r="B5834" t="s">
        <v>183</v>
      </c>
      <c r="C5834" t="s">
        <v>340</v>
      </c>
      <c r="D5834" t="s">
        <v>723</v>
      </c>
      <c r="F5834" t="s">
        <v>3499</v>
      </c>
      <c r="G5834" t="s">
        <v>7791</v>
      </c>
      <c r="H5834" t="s">
        <v>13827</v>
      </c>
      <c r="I5834">
        <v>902</v>
      </c>
      <c r="J5834" t="s">
        <v>18893</v>
      </c>
      <c r="K5834">
        <v>10001</v>
      </c>
      <c r="L5834" t="s">
        <v>18958</v>
      </c>
      <c r="M5834" t="s">
        <v>18958</v>
      </c>
      <c r="N5834" t="s">
        <v>23190</v>
      </c>
      <c r="O5834" t="s">
        <v>26523</v>
      </c>
      <c r="P5834" t="s">
        <v>26564</v>
      </c>
      <c r="R5834" t="s">
        <v>26582</v>
      </c>
      <c r="S5834" t="s">
        <v>18959</v>
      </c>
      <c r="U5834" t="s">
        <v>26604</v>
      </c>
      <c r="V5834" t="s">
        <v>26610</v>
      </c>
      <c r="W5834" t="s">
        <v>723</v>
      </c>
      <c r="X5834">
        <v>1085.57</v>
      </c>
      <c r="Y5834" t="s">
        <v>26651</v>
      </c>
      <c r="Z5834" t="s">
        <v>26664</v>
      </c>
      <c r="AB5834" t="s">
        <v>31275</v>
      </c>
      <c r="AD5834" t="s">
        <v>41460</v>
      </c>
      <c r="AE5834">
        <v>0</v>
      </c>
      <c r="AF5834" t="s">
        <v>45541</v>
      </c>
      <c r="AG5834" t="s">
        <v>45559</v>
      </c>
      <c r="AH5834">
        <v>42</v>
      </c>
      <c r="AI5834">
        <v>1</v>
      </c>
      <c r="AJ5834">
        <v>0</v>
      </c>
      <c r="AK5834">
        <v>82.43000000000001</v>
      </c>
      <c r="AN5834" t="s">
        <v>7439</v>
      </c>
      <c r="AO5834">
        <v>10296</v>
      </c>
      <c r="AU5834">
        <v>1.5</v>
      </c>
      <c r="AV5834" t="s">
        <v>723</v>
      </c>
      <c r="AW5834" t="s">
        <v>46835</v>
      </c>
    </row>
    <row r="5835" spans="1:50">
      <c r="A5835" s="1">
        <f>HYPERLINK("https://lsnyc.legalserver.org/matter/dynamic-profile/view/1891576","19-1891576")</f>
        <v>0</v>
      </c>
      <c r="B5835" t="s">
        <v>94</v>
      </c>
      <c r="C5835" t="s">
        <v>340</v>
      </c>
      <c r="D5835" t="s">
        <v>723</v>
      </c>
      <c r="F5835" t="s">
        <v>2854</v>
      </c>
      <c r="G5835" t="s">
        <v>7792</v>
      </c>
      <c r="H5835" t="s">
        <v>13828</v>
      </c>
      <c r="I5835" t="s">
        <v>17288</v>
      </c>
      <c r="J5835" t="s">
        <v>18893</v>
      </c>
      <c r="K5835">
        <v>10032</v>
      </c>
      <c r="L5835" t="s">
        <v>18958</v>
      </c>
      <c r="M5835" t="s">
        <v>18958</v>
      </c>
      <c r="N5835" t="s">
        <v>23191</v>
      </c>
      <c r="O5835" t="s">
        <v>26524</v>
      </c>
      <c r="P5835" t="s">
        <v>26560</v>
      </c>
      <c r="R5835" t="s">
        <v>26582</v>
      </c>
      <c r="S5835" t="s">
        <v>18959</v>
      </c>
      <c r="U5835" t="s">
        <v>26604</v>
      </c>
      <c r="W5835" t="s">
        <v>723</v>
      </c>
      <c r="X5835">
        <v>1232</v>
      </c>
      <c r="Y5835" t="s">
        <v>26651</v>
      </c>
      <c r="Z5835" t="s">
        <v>26664</v>
      </c>
      <c r="AB5835" t="s">
        <v>31276</v>
      </c>
      <c r="AD5835" t="s">
        <v>41461</v>
      </c>
      <c r="AE5835">
        <v>0</v>
      </c>
      <c r="AF5835" t="s">
        <v>45541</v>
      </c>
      <c r="AG5835" t="s">
        <v>19330</v>
      </c>
      <c r="AH5835">
        <v>2</v>
      </c>
      <c r="AI5835">
        <v>3</v>
      </c>
      <c r="AJ5835">
        <v>0</v>
      </c>
      <c r="AK5835">
        <v>86.75</v>
      </c>
      <c r="AN5835" t="s">
        <v>7439</v>
      </c>
      <c r="AO5835">
        <v>18504</v>
      </c>
      <c r="AU5835">
        <v>25.4</v>
      </c>
      <c r="AV5835" t="s">
        <v>838</v>
      </c>
      <c r="AW5835" t="s">
        <v>46875</v>
      </c>
    </row>
    <row r="5836" spans="1:50">
      <c r="A5836" s="1">
        <f>HYPERLINK("https://lsnyc.legalserver.org/matter/dynamic-profile/view/1891675","19-1891675")</f>
        <v>0</v>
      </c>
      <c r="B5836" t="s">
        <v>258</v>
      </c>
      <c r="C5836" t="s">
        <v>340</v>
      </c>
      <c r="D5836" t="s">
        <v>723</v>
      </c>
      <c r="F5836" t="s">
        <v>3500</v>
      </c>
      <c r="G5836" t="s">
        <v>7793</v>
      </c>
      <c r="H5836" t="s">
        <v>13829</v>
      </c>
      <c r="I5836" t="s">
        <v>18284</v>
      </c>
      <c r="J5836" t="s">
        <v>18906</v>
      </c>
      <c r="K5836">
        <v>11373</v>
      </c>
      <c r="L5836" t="s">
        <v>18958</v>
      </c>
      <c r="M5836" t="s">
        <v>18958</v>
      </c>
      <c r="N5836" t="s">
        <v>23192</v>
      </c>
      <c r="O5836" t="s">
        <v>26523</v>
      </c>
      <c r="P5836" t="s">
        <v>26560</v>
      </c>
      <c r="R5836" t="s">
        <v>26585</v>
      </c>
      <c r="S5836" t="s">
        <v>18959</v>
      </c>
      <c r="U5836" t="s">
        <v>26604</v>
      </c>
      <c r="V5836" t="s">
        <v>26611</v>
      </c>
      <c r="W5836" t="s">
        <v>723</v>
      </c>
      <c r="X5836">
        <v>1034.72</v>
      </c>
      <c r="Y5836" t="s">
        <v>26653</v>
      </c>
      <c r="Z5836" t="s">
        <v>26655</v>
      </c>
      <c r="AB5836" t="s">
        <v>29547</v>
      </c>
      <c r="AC5836" t="s">
        <v>36049</v>
      </c>
      <c r="AD5836" t="s">
        <v>41462</v>
      </c>
      <c r="AE5836">
        <v>78</v>
      </c>
      <c r="AF5836" t="s">
        <v>45541</v>
      </c>
      <c r="AG5836" t="s">
        <v>26530</v>
      </c>
      <c r="AH5836">
        <v>46</v>
      </c>
      <c r="AI5836">
        <v>1</v>
      </c>
      <c r="AJ5836">
        <v>0</v>
      </c>
      <c r="AK5836">
        <v>0</v>
      </c>
      <c r="AN5836" t="s">
        <v>7439</v>
      </c>
      <c r="AO5836">
        <v>0</v>
      </c>
      <c r="AQ5836" t="s">
        <v>46365</v>
      </c>
      <c r="AR5836" t="s">
        <v>26530</v>
      </c>
      <c r="AS5836" t="s">
        <v>46499</v>
      </c>
      <c r="AT5836" t="s">
        <v>46777</v>
      </c>
      <c r="AU5836">
        <v>18.5</v>
      </c>
      <c r="AV5836" t="s">
        <v>781</v>
      </c>
      <c r="AW5836" t="s">
        <v>212</v>
      </c>
      <c r="AX5836" t="s">
        <v>46897</v>
      </c>
    </row>
    <row r="5837" spans="1:50">
      <c r="A5837" s="1">
        <f>HYPERLINK("https://lsnyc.legalserver.org/matter/dynamic-profile/view/1891620","19-1891620")</f>
        <v>0</v>
      </c>
      <c r="B5837" t="s">
        <v>64</v>
      </c>
      <c r="C5837" t="s">
        <v>340</v>
      </c>
      <c r="D5837" t="s">
        <v>723</v>
      </c>
      <c r="F5837" t="s">
        <v>3501</v>
      </c>
      <c r="G5837" t="s">
        <v>7794</v>
      </c>
      <c r="H5837" t="s">
        <v>10010</v>
      </c>
      <c r="I5837" t="s">
        <v>17421</v>
      </c>
      <c r="J5837" t="s">
        <v>18892</v>
      </c>
      <c r="K5837">
        <v>10467</v>
      </c>
      <c r="L5837" t="s">
        <v>18958</v>
      </c>
      <c r="M5837" t="s">
        <v>18958</v>
      </c>
      <c r="N5837" t="s">
        <v>23193</v>
      </c>
      <c r="O5837" t="s">
        <v>26523</v>
      </c>
      <c r="P5837" t="s">
        <v>26560</v>
      </c>
      <c r="R5837" t="s">
        <v>26579</v>
      </c>
      <c r="S5837" t="s">
        <v>18959</v>
      </c>
      <c r="U5837" t="s">
        <v>26604</v>
      </c>
      <c r="V5837" t="s">
        <v>26610</v>
      </c>
      <c r="W5837" t="s">
        <v>723</v>
      </c>
      <c r="X5837">
        <v>1500</v>
      </c>
      <c r="Y5837" t="s">
        <v>26650</v>
      </c>
      <c r="Z5837" t="s">
        <v>26664</v>
      </c>
      <c r="AB5837" t="s">
        <v>31277</v>
      </c>
      <c r="AD5837" t="s">
        <v>41463</v>
      </c>
      <c r="AE5837">
        <v>0</v>
      </c>
      <c r="AF5837" t="s">
        <v>45541</v>
      </c>
      <c r="AG5837" t="s">
        <v>19330</v>
      </c>
      <c r="AH5837">
        <v>0</v>
      </c>
      <c r="AI5837">
        <v>2</v>
      </c>
      <c r="AJ5837">
        <v>1</v>
      </c>
      <c r="AK5837">
        <v>73.14</v>
      </c>
      <c r="AN5837" t="s">
        <v>45581</v>
      </c>
      <c r="AO5837">
        <v>15600</v>
      </c>
      <c r="AU5837">
        <v>9.5</v>
      </c>
      <c r="AV5837" t="s">
        <v>828</v>
      </c>
      <c r="AW5837" t="s">
        <v>46870</v>
      </c>
    </row>
    <row r="5838" spans="1:50">
      <c r="A5838" s="1">
        <f>HYPERLINK("https://lsnyc.legalserver.org/matter/dynamic-profile/view/1891602","19-1891602")</f>
        <v>0</v>
      </c>
      <c r="B5838" t="s">
        <v>194</v>
      </c>
      <c r="C5838" t="s">
        <v>340</v>
      </c>
      <c r="D5838" t="s">
        <v>723</v>
      </c>
      <c r="F5838" t="s">
        <v>3502</v>
      </c>
      <c r="G5838" t="s">
        <v>5330</v>
      </c>
      <c r="H5838" t="s">
        <v>13830</v>
      </c>
      <c r="I5838" t="s">
        <v>18285</v>
      </c>
      <c r="J5838" t="s">
        <v>18893</v>
      </c>
      <c r="K5838">
        <v>10032</v>
      </c>
      <c r="L5838" t="s">
        <v>18958</v>
      </c>
      <c r="M5838" t="s">
        <v>18958</v>
      </c>
      <c r="N5838" t="s">
        <v>23194</v>
      </c>
      <c r="O5838" t="s">
        <v>26524</v>
      </c>
      <c r="P5838" t="s">
        <v>26564</v>
      </c>
      <c r="R5838" t="s">
        <v>26582</v>
      </c>
      <c r="S5838" t="s">
        <v>18959</v>
      </c>
      <c r="U5838" t="s">
        <v>26605</v>
      </c>
      <c r="V5838" t="s">
        <v>26610</v>
      </c>
      <c r="W5838" t="s">
        <v>723</v>
      </c>
      <c r="X5838">
        <v>249</v>
      </c>
      <c r="Y5838" t="s">
        <v>26651</v>
      </c>
      <c r="Z5838" t="s">
        <v>26664</v>
      </c>
      <c r="AB5838" t="s">
        <v>29221</v>
      </c>
      <c r="AD5838" t="s">
        <v>41464</v>
      </c>
      <c r="AE5838">
        <v>0</v>
      </c>
      <c r="AF5838" t="s">
        <v>45542</v>
      </c>
      <c r="AG5838" t="s">
        <v>19330</v>
      </c>
      <c r="AH5838">
        <v>11</v>
      </c>
      <c r="AI5838">
        <v>1</v>
      </c>
      <c r="AJ5838">
        <v>0</v>
      </c>
      <c r="AK5838">
        <v>80.7</v>
      </c>
      <c r="AN5838" t="s">
        <v>45581</v>
      </c>
      <c r="AO5838">
        <v>10080</v>
      </c>
      <c r="AU5838">
        <v>0.1</v>
      </c>
      <c r="AV5838" t="s">
        <v>723</v>
      </c>
      <c r="AW5838" t="s">
        <v>46835</v>
      </c>
    </row>
    <row r="5839" spans="1:50">
      <c r="A5839" s="1">
        <f>HYPERLINK("https://lsnyc.legalserver.org/matter/dynamic-profile/view/1891573","19-1891573")</f>
        <v>0</v>
      </c>
      <c r="B5839" t="s">
        <v>194</v>
      </c>
      <c r="C5839" t="s">
        <v>340</v>
      </c>
      <c r="D5839" t="s">
        <v>723</v>
      </c>
      <c r="F5839" t="s">
        <v>3436</v>
      </c>
      <c r="G5839" t="s">
        <v>7795</v>
      </c>
      <c r="H5839" t="s">
        <v>13831</v>
      </c>
      <c r="I5839" t="s">
        <v>17299</v>
      </c>
      <c r="J5839" t="s">
        <v>18893</v>
      </c>
      <c r="K5839">
        <v>10039</v>
      </c>
      <c r="L5839" t="s">
        <v>18958</v>
      </c>
      <c r="M5839" t="s">
        <v>18958</v>
      </c>
      <c r="N5839" t="s">
        <v>23195</v>
      </c>
      <c r="O5839" t="s">
        <v>26523</v>
      </c>
      <c r="P5839" t="s">
        <v>26564</v>
      </c>
      <c r="R5839" t="s">
        <v>26582</v>
      </c>
      <c r="S5839" t="s">
        <v>18959</v>
      </c>
      <c r="U5839" t="s">
        <v>26604</v>
      </c>
      <c r="W5839" t="s">
        <v>723</v>
      </c>
      <c r="X5839">
        <v>500.88</v>
      </c>
      <c r="Y5839" t="s">
        <v>26651</v>
      </c>
      <c r="Z5839" t="s">
        <v>26664</v>
      </c>
      <c r="AB5839" t="s">
        <v>31278</v>
      </c>
      <c r="AC5839" t="s">
        <v>36050</v>
      </c>
      <c r="AD5839" t="s">
        <v>41465</v>
      </c>
      <c r="AE5839">
        <v>0</v>
      </c>
      <c r="AF5839" t="s">
        <v>20460</v>
      </c>
      <c r="AH5839">
        <v>2</v>
      </c>
      <c r="AI5839">
        <v>1</v>
      </c>
      <c r="AJ5839">
        <v>0</v>
      </c>
      <c r="AK5839">
        <v>90.89</v>
      </c>
      <c r="AN5839" t="s">
        <v>7439</v>
      </c>
      <c r="AO5839">
        <v>11352</v>
      </c>
      <c r="AU5839">
        <v>0.1</v>
      </c>
      <c r="AV5839" t="s">
        <v>723</v>
      </c>
      <c r="AW5839" t="s">
        <v>46875</v>
      </c>
    </row>
    <row r="5840" spans="1:50">
      <c r="A5840" s="1">
        <f>HYPERLINK("https://lsnyc.legalserver.org/matter/dynamic-profile/view/1891571","19-1891571")</f>
        <v>0</v>
      </c>
      <c r="B5840" t="s">
        <v>194</v>
      </c>
      <c r="C5840" t="s">
        <v>340</v>
      </c>
      <c r="D5840" t="s">
        <v>723</v>
      </c>
      <c r="F5840" t="s">
        <v>887</v>
      </c>
      <c r="G5840" t="s">
        <v>5434</v>
      </c>
      <c r="H5840" t="s">
        <v>13832</v>
      </c>
      <c r="I5840" t="s">
        <v>17325</v>
      </c>
      <c r="J5840" t="s">
        <v>18893</v>
      </c>
      <c r="K5840">
        <v>10032</v>
      </c>
      <c r="L5840" t="s">
        <v>18958</v>
      </c>
      <c r="M5840" t="s">
        <v>18958</v>
      </c>
      <c r="N5840" t="s">
        <v>23196</v>
      </c>
      <c r="O5840" t="s">
        <v>26524</v>
      </c>
      <c r="P5840" t="s">
        <v>26564</v>
      </c>
      <c r="R5840" t="s">
        <v>26582</v>
      </c>
      <c r="S5840" t="s">
        <v>18959</v>
      </c>
      <c r="U5840" t="s">
        <v>26604</v>
      </c>
      <c r="V5840" t="s">
        <v>26610</v>
      </c>
      <c r="W5840" t="s">
        <v>723</v>
      </c>
      <c r="X5840">
        <v>1646</v>
      </c>
      <c r="Y5840" t="s">
        <v>26651</v>
      </c>
      <c r="Z5840" t="s">
        <v>26664</v>
      </c>
      <c r="AB5840" t="s">
        <v>31268</v>
      </c>
      <c r="AD5840" t="s">
        <v>41466</v>
      </c>
      <c r="AE5840">
        <v>0</v>
      </c>
      <c r="AF5840" t="s">
        <v>45541</v>
      </c>
      <c r="AG5840" t="s">
        <v>45556</v>
      </c>
      <c r="AH5840">
        <v>4</v>
      </c>
      <c r="AI5840">
        <v>1</v>
      </c>
      <c r="AJ5840">
        <v>0</v>
      </c>
      <c r="AK5840">
        <v>104.05</v>
      </c>
      <c r="AN5840" t="s">
        <v>45581</v>
      </c>
      <c r="AO5840">
        <v>12996</v>
      </c>
      <c r="AU5840">
        <v>0.1</v>
      </c>
      <c r="AV5840" t="s">
        <v>723</v>
      </c>
      <c r="AW5840" t="s">
        <v>46835</v>
      </c>
    </row>
    <row r="5841" spans="1:50">
      <c r="A5841" s="1">
        <f>HYPERLINK("https://lsnyc.legalserver.org/matter/dynamic-profile/view/1891629","19-1891629")</f>
        <v>0</v>
      </c>
      <c r="B5841" t="s">
        <v>79</v>
      </c>
      <c r="C5841" t="s">
        <v>341</v>
      </c>
      <c r="D5841" t="s">
        <v>723</v>
      </c>
      <c r="E5841" t="s">
        <v>416</v>
      </c>
      <c r="F5841" t="s">
        <v>2427</v>
      </c>
      <c r="G5841" t="s">
        <v>5655</v>
      </c>
      <c r="H5841" t="s">
        <v>13833</v>
      </c>
      <c r="I5841" t="s">
        <v>17813</v>
      </c>
      <c r="J5841" t="s">
        <v>18893</v>
      </c>
      <c r="K5841">
        <v>10032</v>
      </c>
      <c r="L5841" t="s">
        <v>18958</v>
      </c>
      <c r="M5841" t="s">
        <v>18958</v>
      </c>
      <c r="O5841" t="s">
        <v>26523</v>
      </c>
      <c r="P5841" t="s">
        <v>26564</v>
      </c>
      <c r="Q5841" t="s">
        <v>26570</v>
      </c>
      <c r="R5841" t="s">
        <v>26578</v>
      </c>
      <c r="S5841" t="s">
        <v>18959</v>
      </c>
      <c r="U5841" t="s">
        <v>26604</v>
      </c>
      <c r="W5841" t="s">
        <v>26639</v>
      </c>
      <c r="X5841">
        <v>2182</v>
      </c>
      <c r="Y5841" t="s">
        <v>26651</v>
      </c>
      <c r="Z5841" t="s">
        <v>26661</v>
      </c>
      <c r="AA5841" t="s">
        <v>26683</v>
      </c>
      <c r="AB5841" t="s">
        <v>28756</v>
      </c>
      <c r="AE5841">
        <v>74</v>
      </c>
      <c r="AF5841" t="s">
        <v>45541</v>
      </c>
      <c r="AG5841" t="s">
        <v>19330</v>
      </c>
      <c r="AH5841">
        <v>16</v>
      </c>
      <c r="AI5841">
        <v>1</v>
      </c>
      <c r="AJ5841">
        <v>1</v>
      </c>
      <c r="AK5841">
        <v>591.37</v>
      </c>
      <c r="AN5841" t="s">
        <v>7439</v>
      </c>
      <c r="AO5841">
        <v>100000</v>
      </c>
      <c r="AU5841">
        <v>1</v>
      </c>
      <c r="AV5841" t="s">
        <v>723</v>
      </c>
      <c r="AW5841" t="s">
        <v>46838</v>
      </c>
    </row>
    <row r="5842" spans="1:50">
      <c r="A5842" s="1">
        <f>HYPERLINK("https://lsnyc.legalserver.org/matter/dynamic-profile/view/1895274","19-1895274")</f>
        <v>0</v>
      </c>
      <c r="B5842" t="s">
        <v>197</v>
      </c>
      <c r="C5842" t="s">
        <v>340</v>
      </c>
      <c r="D5842" t="s">
        <v>779</v>
      </c>
      <c r="F5842" t="s">
        <v>919</v>
      </c>
      <c r="G5842" t="s">
        <v>7796</v>
      </c>
      <c r="H5842" t="s">
        <v>13834</v>
      </c>
      <c r="I5842" t="s">
        <v>17307</v>
      </c>
      <c r="J5842" t="s">
        <v>18894</v>
      </c>
      <c r="K5842">
        <v>11221</v>
      </c>
      <c r="L5842" t="s">
        <v>18958</v>
      </c>
      <c r="M5842" t="s">
        <v>18958</v>
      </c>
      <c r="O5842" t="s">
        <v>26540</v>
      </c>
      <c r="P5842" t="s">
        <v>26560</v>
      </c>
      <c r="R5842" t="s">
        <v>26578</v>
      </c>
      <c r="S5842" t="s">
        <v>18958</v>
      </c>
      <c r="U5842" t="s">
        <v>26604</v>
      </c>
      <c r="W5842" t="s">
        <v>26639</v>
      </c>
      <c r="X5842">
        <v>1292.5</v>
      </c>
      <c r="Y5842" t="s">
        <v>26652</v>
      </c>
      <c r="Z5842" t="s">
        <v>26530</v>
      </c>
      <c r="AB5842" t="s">
        <v>31279</v>
      </c>
      <c r="AD5842" t="s">
        <v>41467</v>
      </c>
      <c r="AE5842">
        <v>0</v>
      </c>
      <c r="AG5842" t="s">
        <v>19330</v>
      </c>
      <c r="AH5842">
        <v>13</v>
      </c>
      <c r="AI5842">
        <v>3</v>
      </c>
      <c r="AJ5842">
        <v>0</v>
      </c>
      <c r="AK5842">
        <v>134.08</v>
      </c>
      <c r="AN5842" t="s">
        <v>7439</v>
      </c>
      <c r="AO5842">
        <v>28600</v>
      </c>
      <c r="AU5842">
        <v>16.2</v>
      </c>
      <c r="AV5842" t="s">
        <v>805</v>
      </c>
      <c r="AW5842" t="s">
        <v>286</v>
      </c>
    </row>
    <row r="5843" spans="1:50">
      <c r="A5843" s="1">
        <f>HYPERLINK("https://lsnyc.legalserver.org/matter/dynamic-profile/view/1897037","19-1897037")</f>
        <v>0</v>
      </c>
      <c r="B5843" t="s">
        <v>155</v>
      </c>
      <c r="C5843" t="s">
        <v>340</v>
      </c>
      <c r="D5843" t="s">
        <v>780</v>
      </c>
      <c r="F5843" t="s">
        <v>3503</v>
      </c>
      <c r="G5843" t="s">
        <v>7171</v>
      </c>
      <c r="H5843" t="s">
        <v>13835</v>
      </c>
      <c r="I5843" t="s">
        <v>17393</v>
      </c>
      <c r="J5843" t="s">
        <v>18894</v>
      </c>
      <c r="K5843">
        <v>11225</v>
      </c>
      <c r="L5843" t="s">
        <v>18958</v>
      </c>
      <c r="M5843" t="s">
        <v>18958</v>
      </c>
      <c r="N5843" t="s">
        <v>23197</v>
      </c>
      <c r="O5843" t="s">
        <v>26524</v>
      </c>
      <c r="P5843" t="s">
        <v>26560</v>
      </c>
      <c r="R5843" t="s">
        <v>26588</v>
      </c>
      <c r="U5843" t="s">
        <v>26604</v>
      </c>
      <c r="W5843" t="s">
        <v>846</v>
      </c>
      <c r="X5843">
        <v>0</v>
      </c>
      <c r="Y5843" t="s">
        <v>26652</v>
      </c>
      <c r="Z5843" t="s">
        <v>26669</v>
      </c>
      <c r="AB5843" t="s">
        <v>31280</v>
      </c>
      <c r="AD5843" t="s">
        <v>41468</v>
      </c>
      <c r="AE5843">
        <v>0</v>
      </c>
      <c r="AH5843">
        <v>0</v>
      </c>
      <c r="AI5843">
        <v>1</v>
      </c>
      <c r="AJ5843">
        <v>0</v>
      </c>
      <c r="AK5843">
        <v>124.13</v>
      </c>
      <c r="AN5843" t="s">
        <v>7439</v>
      </c>
      <c r="AO5843">
        <v>15504</v>
      </c>
      <c r="AU5843">
        <v>21.9</v>
      </c>
      <c r="AV5843" t="s">
        <v>828</v>
      </c>
      <c r="AW5843" t="s">
        <v>46853</v>
      </c>
      <c r="AX5843" t="s">
        <v>46897</v>
      </c>
    </row>
    <row r="5844" spans="1:50">
      <c r="A5844" s="1">
        <f>HYPERLINK("https://lsnyc.legalserver.org/matter/dynamic-profile/view/1891542","19-1891542")</f>
        <v>0</v>
      </c>
      <c r="B5844" t="s">
        <v>52</v>
      </c>
      <c r="C5844" t="s">
        <v>341</v>
      </c>
      <c r="D5844" t="s">
        <v>757</v>
      </c>
      <c r="E5844" t="s">
        <v>787</v>
      </c>
      <c r="F5844" t="s">
        <v>1771</v>
      </c>
      <c r="G5844" t="s">
        <v>5147</v>
      </c>
      <c r="H5844" t="s">
        <v>10746</v>
      </c>
      <c r="I5844" t="s">
        <v>17995</v>
      </c>
      <c r="J5844" t="s">
        <v>18892</v>
      </c>
      <c r="K5844">
        <v>10457</v>
      </c>
      <c r="L5844" t="s">
        <v>18958</v>
      </c>
      <c r="M5844" t="s">
        <v>18958</v>
      </c>
      <c r="N5844" t="s">
        <v>23198</v>
      </c>
      <c r="O5844" t="s">
        <v>26526</v>
      </c>
      <c r="P5844" t="s">
        <v>26564</v>
      </c>
      <c r="Q5844" t="s">
        <v>26570</v>
      </c>
      <c r="R5844" t="s">
        <v>26578</v>
      </c>
      <c r="S5844" t="s">
        <v>18959</v>
      </c>
      <c r="U5844" t="s">
        <v>26604</v>
      </c>
      <c r="W5844" t="s">
        <v>728</v>
      </c>
      <c r="X5844">
        <v>385</v>
      </c>
      <c r="Y5844" t="s">
        <v>26650</v>
      </c>
      <c r="Z5844" t="s">
        <v>26663</v>
      </c>
      <c r="AA5844" t="s">
        <v>26683</v>
      </c>
      <c r="AB5844" t="s">
        <v>29465</v>
      </c>
      <c r="AD5844" t="s">
        <v>39898</v>
      </c>
      <c r="AE5844">
        <v>47</v>
      </c>
      <c r="AF5844" t="s">
        <v>45541</v>
      </c>
      <c r="AG5844" t="s">
        <v>45556</v>
      </c>
      <c r="AH5844">
        <v>6</v>
      </c>
      <c r="AI5844">
        <v>1</v>
      </c>
      <c r="AJ5844">
        <v>0</v>
      </c>
      <c r="AK5844">
        <v>73.69</v>
      </c>
      <c r="AN5844" t="s">
        <v>45581</v>
      </c>
      <c r="AO5844">
        <v>9204</v>
      </c>
      <c r="AU5844">
        <v>1</v>
      </c>
      <c r="AV5844" t="s">
        <v>728</v>
      </c>
      <c r="AW5844" t="s">
        <v>46847</v>
      </c>
    </row>
    <row r="5845" spans="1:50">
      <c r="A5845" s="1">
        <f>HYPERLINK("https://lsnyc.legalserver.org/matter/dynamic-profile/view/1891853","19-1891853")</f>
        <v>0</v>
      </c>
      <c r="B5845" t="s">
        <v>56</v>
      </c>
      <c r="C5845" t="s">
        <v>341</v>
      </c>
      <c r="D5845" t="s">
        <v>728</v>
      </c>
      <c r="E5845" t="s">
        <v>835</v>
      </c>
      <c r="F5845" t="s">
        <v>945</v>
      </c>
      <c r="G5845" t="s">
        <v>7797</v>
      </c>
      <c r="H5845" t="s">
        <v>13836</v>
      </c>
      <c r="I5845" t="s">
        <v>17780</v>
      </c>
      <c r="J5845" t="s">
        <v>18892</v>
      </c>
      <c r="K5845">
        <v>10453</v>
      </c>
      <c r="L5845" t="s">
        <v>18958</v>
      </c>
      <c r="M5845" t="s">
        <v>18958</v>
      </c>
      <c r="N5845" t="s">
        <v>23199</v>
      </c>
      <c r="O5845" t="s">
        <v>26523</v>
      </c>
      <c r="P5845" t="s">
        <v>26560</v>
      </c>
      <c r="Q5845" t="s">
        <v>26568</v>
      </c>
      <c r="R5845" t="s">
        <v>26577</v>
      </c>
      <c r="S5845" t="s">
        <v>18959</v>
      </c>
      <c r="U5845" t="s">
        <v>26604</v>
      </c>
      <c r="V5845" t="s">
        <v>26612</v>
      </c>
      <c r="W5845" t="s">
        <v>728</v>
      </c>
      <c r="X5845">
        <v>1223.9</v>
      </c>
      <c r="Y5845" t="s">
        <v>26650</v>
      </c>
      <c r="Z5845" t="s">
        <v>26668</v>
      </c>
      <c r="AA5845" t="s">
        <v>26678</v>
      </c>
      <c r="AB5845" t="s">
        <v>31281</v>
      </c>
      <c r="AC5845" t="s">
        <v>36051</v>
      </c>
      <c r="AD5845" t="s">
        <v>41469</v>
      </c>
      <c r="AE5845">
        <v>0</v>
      </c>
      <c r="AG5845" t="s">
        <v>19330</v>
      </c>
      <c r="AH5845">
        <v>26</v>
      </c>
      <c r="AI5845">
        <v>1</v>
      </c>
      <c r="AJ5845">
        <v>0</v>
      </c>
      <c r="AK5845">
        <v>57.74</v>
      </c>
      <c r="AN5845" t="s">
        <v>7439</v>
      </c>
      <c r="AO5845">
        <v>7212</v>
      </c>
      <c r="AS5845" t="s">
        <v>46499</v>
      </c>
      <c r="AU5845">
        <v>5</v>
      </c>
      <c r="AV5845" t="s">
        <v>728</v>
      </c>
      <c r="AW5845" t="s">
        <v>46831</v>
      </c>
    </row>
    <row r="5846" spans="1:50">
      <c r="A5846" s="1">
        <f>HYPERLINK("https://lsnyc.legalserver.org/matter/dynamic-profile/view/1891727","19-1891727")</f>
        <v>0</v>
      </c>
      <c r="B5846" t="s">
        <v>136</v>
      </c>
      <c r="C5846" t="s">
        <v>340</v>
      </c>
      <c r="D5846" t="s">
        <v>728</v>
      </c>
      <c r="F5846" t="s">
        <v>1241</v>
      </c>
      <c r="G5846" t="s">
        <v>5121</v>
      </c>
      <c r="H5846" t="s">
        <v>12686</v>
      </c>
      <c r="I5846">
        <v>58</v>
      </c>
      <c r="J5846" t="s">
        <v>18892</v>
      </c>
      <c r="K5846">
        <v>10468</v>
      </c>
      <c r="L5846" t="s">
        <v>18958</v>
      </c>
      <c r="M5846" t="s">
        <v>18958</v>
      </c>
      <c r="N5846" t="s">
        <v>23200</v>
      </c>
      <c r="O5846" t="s">
        <v>26523</v>
      </c>
      <c r="P5846" t="s">
        <v>26564</v>
      </c>
      <c r="R5846" t="s">
        <v>26579</v>
      </c>
      <c r="U5846" t="s">
        <v>26604</v>
      </c>
      <c r="V5846" t="s">
        <v>26610</v>
      </c>
      <c r="W5846" t="s">
        <v>728</v>
      </c>
      <c r="X5846">
        <v>921</v>
      </c>
      <c r="Y5846" t="s">
        <v>26650</v>
      </c>
      <c r="Z5846" t="s">
        <v>26664</v>
      </c>
      <c r="AB5846" t="s">
        <v>31282</v>
      </c>
      <c r="AD5846" t="s">
        <v>41470</v>
      </c>
      <c r="AE5846">
        <v>0</v>
      </c>
      <c r="AF5846" t="s">
        <v>45541</v>
      </c>
      <c r="AG5846" t="s">
        <v>45557</v>
      </c>
      <c r="AH5846">
        <v>21</v>
      </c>
      <c r="AI5846">
        <v>1</v>
      </c>
      <c r="AJ5846">
        <v>1</v>
      </c>
      <c r="AK5846">
        <v>64.36</v>
      </c>
      <c r="AN5846" t="s">
        <v>7439</v>
      </c>
      <c r="AO5846">
        <v>10884</v>
      </c>
      <c r="AP5846" t="s">
        <v>45838</v>
      </c>
      <c r="AU5846">
        <v>1.5</v>
      </c>
      <c r="AV5846" t="s">
        <v>574</v>
      </c>
      <c r="AW5846" t="s">
        <v>334</v>
      </c>
      <c r="AX5846" t="s">
        <v>46897</v>
      </c>
    </row>
    <row r="5847" spans="1:50">
      <c r="A5847" s="1">
        <f>HYPERLINK("https://lsnyc.legalserver.org/matter/dynamic-profile/view/1891734","19-1891734")</f>
        <v>0</v>
      </c>
      <c r="B5847" t="s">
        <v>136</v>
      </c>
      <c r="C5847" t="s">
        <v>340</v>
      </c>
      <c r="D5847" t="s">
        <v>728</v>
      </c>
      <c r="F5847" t="s">
        <v>3504</v>
      </c>
      <c r="G5847" t="s">
        <v>5138</v>
      </c>
      <c r="H5847" t="s">
        <v>13837</v>
      </c>
      <c r="I5847">
        <v>2</v>
      </c>
      <c r="J5847" t="s">
        <v>18892</v>
      </c>
      <c r="K5847">
        <v>10457</v>
      </c>
      <c r="L5847" t="s">
        <v>18958</v>
      </c>
      <c r="M5847" t="s">
        <v>18958</v>
      </c>
      <c r="N5847" t="s">
        <v>23201</v>
      </c>
      <c r="O5847" t="s">
        <v>26523</v>
      </c>
      <c r="P5847" t="s">
        <v>26560</v>
      </c>
      <c r="R5847" t="s">
        <v>26579</v>
      </c>
      <c r="U5847" t="s">
        <v>26604</v>
      </c>
      <c r="V5847" t="s">
        <v>26610</v>
      </c>
      <c r="W5847" t="s">
        <v>728</v>
      </c>
      <c r="X5847">
        <v>2100</v>
      </c>
      <c r="Y5847" t="s">
        <v>26650</v>
      </c>
      <c r="Z5847" t="s">
        <v>26664</v>
      </c>
      <c r="AB5847" t="s">
        <v>31283</v>
      </c>
      <c r="AD5847" t="s">
        <v>41471</v>
      </c>
      <c r="AE5847">
        <v>0</v>
      </c>
      <c r="AH5847">
        <v>3</v>
      </c>
      <c r="AI5847">
        <v>1</v>
      </c>
      <c r="AJ5847">
        <v>1</v>
      </c>
      <c r="AK5847">
        <v>141.45</v>
      </c>
      <c r="AO5847">
        <v>23920</v>
      </c>
      <c r="AU5847">
        <v>7.5</v>
      </c>
      <c r="AV5847" t="s">
        <v>797</v>
      </c>
      <c r="AW5847" t="s">
        <v>334</v>
      </c>
    </row>
    <row r="5848" spans="1:50">
      <c r="A5848" s="1">
        <f>HYPERLINK("https://lsnyc.legalserver.org/matter/dynamic-profile/view/1891755","19-1891755")</f>
        <v>0</v>
      </c>
      <c r="B5848" t="s">
        <v>70</v>
      </c>
      <c r="C5848" t="s">
        <v>340</v>
      </c>
      <c r="D5848" t="s">
        <v>728</v>
      </c>
      <c r="F5848" t="s">
        <v>1235</v>
      </c>
      <c r="G5848" t="s">
        <v>1339</v>
      </c>
      <c r="H5848" t="s">
        <v>10142</v>
      </c>
      <c r="I5848" t="s">
        <v>17471</v>
      </c>
      <c r="J5848" t="s">
        <v>18892</v>
      </c>
      <c r="K5848">
        <v>10472</v>
      </c>
      <c r="L5848" t="s">
        <v>18958</v>
      </c>
      <c r="M5848" t="s">
        <v>18958</v>
      </c>
      <c r="N5848" t="s">
        <v>23202</v>
      </c>
      <c r="O5848" t="s">
        <v>26523</v>
      </c>
      <c r="P5848" t="s">
        <v>26560</v>
      </c>
      <c r="R5848" t="s">
        <v>26577</v>
      </c>
      <c r="S5848" t="s">
        <v>18959</v>
      </c>
      <c r="U5848" t="s">
        <v>26605</v>
      </c>
      <c r="W5848" t="s">
        <v>728</v>
      </c>
      <c r="X5848">
        <v>1439</v>
      </c>
      <c r="Y5848" t="s">
        <v>26650</v>
      </c>
      <c r="Z5848" t="s">
        <v>26668</v>
      </c>
      <c r="AB5848" t="s">
        <v>27235</v>
      </c>
      <c r="AC5848" t="s">
        <v>34671</v>
      </c>
      <c r="AD5848" t="s">
        <v>37309</v>
      </c>
      <c r="AE5848">
        <v>594</v>
      </c>
      <c r="AF5848" t="s">
        <v>45549</v>
      </c>
      <c r="AG5848" t="s">
        <v>19330</v>
      </c>
      <c r="AH5848">
        <v>25</v>
      </c>
      <c r="AI5848">
        <v>2</v>
      </c>
      <c r="AJ5848">
        <v>0</v>
      </c>
      <c r="AK5848">
        <v>239.86</v>
      </c>
      <c r="AL5848" t="s">
        <v>787</v>
      </c>
      <c r="AM5848" t="s">
        <v>45575</v>
      </c>
      <c r="AN5848" t="s">
        <v>7439</v>
      </c>
      <c r="AO5848">
        <v>40560</v>
      </c>
      <c r="AP5848" t="s">
        <v>45641</v>
      </c>
      <c r="AU5848">
        <v>11</v>
      </c>
      <c r="AV5848" t="s">
        <v>814</v>
      </c>
      <c r="AW5848" t="s">
        <v>46870</v>
      </c>
    </row>
    <row r="5849" spans="1:50">
      <c r="A5849" s="1">
        <f>HYPERLINK("https://lsnyc.legalserver.org/matter/dynamic-profile/view/1891804","19-1891804")</f>
        <v>0</v>
      </c>
      <c r="B5849" t="s">
        <v>56</v>
      </c>
      <c r="C5849" t="s">
        <v>340</v>
      </c>
      <c r="D5849" t="s">
        <v>728</v>
      </c>
      <c r="F5849" t="s">
        <v>3505</v>
      </c>
      <c r="G5849" t="s">
        <v>3500</v>
      </c>
      <c r="H5849" t="s">
        <v>13838</v>
      </c>
      <c r="I5849" t="s">
        <v>17274</v>
      </c>
      <c r="J5849" t="s">
        <v>18892</v>
      </c>
      <c r="K5849">
        <v>10460</v>
      </c>
      <c r="L5849" t="s">
        <v>18958</v>
      </c>
      <c r="M5849" t="s">
        <v>18958</v>
      </c>
      <c r="N5849" t="s">
        <v>23203</v>
      </c>
      <c r="O5849" t="s">
        <v>26523</v>
      </c>
      <c r="P5849" t="s">
        <v>26560</v>
      </c>
      <c r="R5849" t="s">
        <v>26577</v>
      </c>
      <c r="U5849" t="s">
        <v>26604</v>
      </c>
      <c r="W5849" t="s">
        <v>728</v>
      </c>
      <c r="X5849">
        <v>1290.28</v>
      </c>
      <c r="Y5849" t="s">
        <v>26650</v>
      </c>
      <c r="Z5849" t="s">
        <v>26660</v>
      </c>
      <c r="AB5849" t="s">
        <v>30345</v>
      </c>
      <c r="AC5849" t="s">
        <v>36052</v>
      </c>
      <c r="AD5849" t="s">
        <v>41472</v>
      </c>
      <c r="AE5849">
        <v>20</v>
      </c>
      <c r="AF5849" t="s">
        <v>45541</v>
      </c>
      <c r="AG5849" t="s">
        <v>45557</v>
      </c>
      <c r="AH5849">
        <v>14</v>
      </c>
      <c r="AI5849">
        <v>1</v>
      </c>
      <c r="AJ5849">
        <v>1</v>
      </c>
      <c r="AK5849">
        <v>0</v>
      </c>
      <c r="AN5849" t="s">
        <v>7439</v>
      </c>
      <c r="AO5849">
        <v>0</v>
      </c>
      <c r="AU5849">
        <v>15.25</v>
      </c>
      <c r="AV5849" t="s">
        <v>818</v>
      </c>
      <c r="AW5849" t="s">
        <v>46836</v>
      </c>
    </row>
    <row r="5850" spans="1:50">
      <c r="A5850" s="1">
        <f>HYPERLINK("https://lsnyc.legalserver.org/matter/dynamic-profile/view/1891774","19-1891774")</f>
        <v>0</v>
      </c>
      <c r="B5850" t="s">
        <v>56</v>
      </c>
      <c r="C5850" t="s">
        <v>340</v>
      </c>
      <c r="D5850" t="s">
        <v>728</v>
      </c>
      <c r="F5850" t="s">
        <v>1955</v>
      </c>
      <c r="G5850" t="s">
        <v>7236</v>
      </c>
      <c r="H5850" t="s">
        <v>13839</v>
      </c>
      <c r="I5850" t="s">
        <v>18286</v>
      </c>
      <c r="J5850" t="s">
        <v>18892</v>
      </c>
      <c r="K5850">
        <v>10457</v>
      </c>
      <c r="L5850" t="s">
        <v>18958</v>
      </c>
      <c r="M5850" t="s">
        <v>18958</v>
      </c>
      <c r="N5850" t="s">
        <v>23204</v>
      </c>
      <c r="O5850" t="s">
        <v>26523</v>
      </c>
      <c r="P5850" t="s">
        <v>26560</v>
      </c>
      <c r="R5850" t="s">
        <v>26579</v>
      </c>
      <c r="U5850" t="s">
        <v>26604</v>
      </c>
      <c r="W5850" t="s">
        <v>728</v>
      </c>
      <c r="X5850">
        <v>0</v>
      </c>
      <c r="Y5850" t="s">
        <v>26650</v>
      </c>
      <c r="Z5850" t="s">
        <v>26668</v>
      </c>
      <c r="AB5850" t="s">
        <v>31284</v>
      </c>
      <c r="AD5850" t="s">
        <v>41473</v>
      </c>
      <c r="AE5850">
        <v>5</v>
      </c>
      <c r="AH5850">
        <v>0</v>
      </c>
      <c r="AI5850">
        <v>1</v>
      </c>
      <c r="AJ5850">
        <v>3</v>
      </c>
      <c r="AK5850">
        <v>35.93</v>
      </c>
      <c r="AO5850">
        <v>9252</v>
      </c>
      <c r="AU5850">
        <v>9</v>
      </c>
      <c r="AV5850" t="s">
        <v>822</v>
      </c>
      <c r="AW5850" t="s">
        <v>46836</v>
      </c>
    </row>
    <row r="5851" spans="1:50">
      <c r="A5851" s="1">
        <f>HYPERLINK("https://lsnyc.legalserver.org/matter/dynamic-profile/view/1891854","19-1891854")</f>
        <v>0</v>
      </c>
      <c r="B5851" t="s">
        <v>54</v>
      </c>
      <c r="C5851" t="s">
        <v>340</v>
      </c>
      <c r="D5851" t="s">
        <v>728</v>
      </c>
      <c r="F5851" t="s">
        <v>1353</v>
      </c>
      <c r="G5851" t="s">
        <v>5547</v>
      </c>
      <c r="H5851" t="s">
        <v>13840</v>
      </c>
      <c r="I5851" t="s">
        <v>17272</v>
      </c>
      <c r="J5851" t="s">
        <v>18892</v>
      </c>
      <c r="K5851">
        <v>10459</v>
      </c>
      <c r="L5851" t="s">
        <v>18958</v>
      </c>
      <c r="M5851" t="s">
        <v>18958</v>
      </c>
      <c r="N5851" t="s">
        <v>23205</v>
      </c>
      <c r="O5851" t="s">
        <v>26524</v>
      </c>
      <c r="P5851" t="s">
        <v>26560</v>
      </c>
      <c r="R5851" t="s">
        <v>26577</v>
      </c>
      <c r="S5851" t="s">
        <v>18959</v>
      </c>
      <c r="U5851" t="s">
        <v>26604</v>
      </c>
      <c r="V5851" t="s">
        <v>26610</v>
      </c>
      <c r="W5851" t="s">
        <v>728</v>
      </c>
      <c r="X5851">
        <v>1072</v>
      </c>
      <c r="Y5851" t="s">
        <v>26650</v>
      </c>
      <c r="Z5851" t="s">
        <v>26664</v>
      </c>
      <c r="AB5851" t="s">
        <v>28674</v>
      </c>
      <c r="AC5851" t="s">
        <v>36053</v>
      </c>
      <c r="AD5851" t="s">
        <v>41474</v>
      </c>
      <c r="AE5851">
        <v>20</v>
      </c>
      <c r="AF5851" t="s">
        <v>45541</v>
      </c>
      <c r="AG5851" t="s">
        <v>45557</v>
      </c>
      <c r="AH5851">
        <v>6</v>
      </c>
      <c r="AI5851">
        <v>1</v>
      </c>
      <c r="AJ5851">
        <v>3</v>
      </c>
      <c r="AK5851">
        <v>81.55</v>
      </c>
      <c r="AN5851" t="s">
        <v>7439</v>
      </c>
      <c r="AO5851">
        <v>21000</v>
      </c>
      <c r="AR5851" t="s">
        <v>46380</v>
      </c>
      <c r="AS5851" t="s">
        <v>46499</v>
      </c>
      <c r="AT5851" t="s">
        <v>46700</v>
      </c>
      <c r="AU5851">
        <v>2.9</v>
      </c>
      <c r="AV5851" t="s">
        <v>660</v>
      </c>
      <c r="AW5851" t="s">
        <v>46832</v>
      </c>
    </row>
    <row r="5852" spans="1:50">
      <c r="A5852" s="1">
        <f>HYPERLINK("https://lsnyc.legalserver.org/matter/dynamic-profile/view/1891815","19-1891815")</f>
        <v>0</v>
      </c>
      <c r="B5852" t="s">
        <v>59</v>
      </c>
      <c r="C5852" t="s">
        <v>340</v>
      </c>
      <c r="D5852" t="s">
        <v>728</v>
      </c>
      <c r="F5852" t="s">
        <v>1079</v>
      </c>
      <c r="G5852" t="s">
        <v>5816</v>
      </c>
      <c r="H5852" t="s">
        <v>13841</v>
      </c>
      <c r="I5852" t="s">
        <v>17277</v>
      </c>
      <c r="J5852" t="s">
        <v>18893</v>
      </c>
      <c r="K5852">
        <v>10027</v>
      </c>
      <c r="L5852" t="s">
        <v>18958</v>
      </c>
      <c r="M5852" t="s">
        <v>18958</v>
      </c>
      <c r="N5852" t="s">
        <v>23206</v>
      </c>
      <c r="O5852" t="s">
        <v>26523</v>
      </c>
      <c r="P5852" t="s">
        <v>26560</v>
      </c>
      <c r="R5852" t="s">
        <v>26580</v>
      </c>
      <c r="S5852" t="s">
        <v>18959</v>
      </c>
      <c r="U5852" t="s">
        <v>26604</v>
      </c>
      <c r="W5852" t="s">
        <v>728</v>
      </c>
      <c r="X5852">
        <v>812.6900000000001</v>
      </c>
      <c r="Y5852" t="s">
        <v>26651</v>
      </c>
      <c r="Z5852" t="s">
        <v>26668</v>
      </c>
      <c r="AB5852" t="s">
        <v>31285</v>
      </c>
      <c r="AD5852" t="s">
        <v>41475</v>
      </c>
      <c r="AE5852">
        <v>0</v>
      </c>
      <c r="AF5852" t="s">
        <v>45541</v>
      </c>
      <c r="AG5852" t="s">
        <v>19330</v>
      </c>
      <c r="AH5852">
        <v>4</v>
      </c>
      <c r="AI5852">
        <v>1</v>
      </c>
      <c r="AJ5852">
        <v>1</v>
      </c>
      <c r="AK5852">
        <v>137.75</v>
      </c>
      <c r="AN5852" t="s">
        <v>7439</v>
      </c>
      <c r="AO5852">
        <v>23293.44</v>
      </c>
      <c r="AU5852">
        <v>5.5</v>
      </c>
      <c r="AV5852" t="s">
        <v>826</v>
      </c>
      <c r="AW5852" t="s">
        <v>46875</v>
      </c>
    </row>
    <row r="5853" spans="1:50">
      <c r="A5853" s="1">
        <f>HYPERLINK("https://lsnyc.legalserver.org/matter/dynamic-profile/view/1891782","19-1891782")</f>
        <v>0</v>
      </c>
      <c r="B5853" t="s">
        <v>103</v>
      </c>
      <c r="C5853" t="s">
        <v>341</v>
      </c>
      <c r="D5853" t="s">
        <v>574</v>
      </c>
      <c r="E5853" t="s">
        <v>830</v>
      </c>
      <c r="F5853" t="s">
        <v>1163</v>
      </c>
      <c r="G5853" t="s">
        <v>7798</v>
      </c>
      <c r="H5853" t="s">
        <v>13842</v>
      </c>
      <c r="I5853" t="s">
        <v>17401</v>
      </c>
      <c r="J5853" t="s">
        <v>18902</v>
      </c>
      <c r="K5853">
        <v>10312</v>
      </c>
      <c r="L5853" t="s">
        <v>18958</v>
      </c>
      <c r="M5853" t="s">
        <v>18958</v>
      </c>
      <c r="N5853" t="s">
        <v>23207</v>
      </c>
      <c r="O5853" t="s">
        <v>26524</v>
      </c>
      <c r="P5853" t="s">
        <v>26560</v>
      </c>
      <c r="Q5853" t="s">
        <v>26568</v>
      </c>
      <c r="R5853" t="s">
        <v>26578</v>
      </c>
      <c r="S5853" t="s">
        <v>26598</v>
      </c>
      <c r="U5853" t="s">
        <v>26604</v>
      </c>
      <c r="V5853" t="s">
        <v>26610</v>
      </c>
      <c r="W5853" t="s">
        <v>728</v>
      </c>
      <c r="X5853">
        <v>2400</v>
      </c>
      <c r="Y5853" t="s">
        <v>26654</v>
      </c>
      <c r="Z5853" t="s">
        <v>26668</v>
      </c>
      <c r="AA5853" t="s">
        <v>26687</v>
      </c>
      <c r="AB5853" t="s">
        <v>31286</v>
      </c>
      <c r="AD5853" t="s">
        <v>41476</v>
      </c>
      <c r="AE5853">
        <v>1</v>
      </c>
      <c r="AF5853" t="s">
        <v>45547</v>
      </c>
      <c r="AG5853" t="s">
        <v>19330</v>
      </c>
      <c r="AH5853">
        <v>1</v>
      </c>
      <c r="AI5853">
        <v>3</v>
      </c>
      <c r="AJ5853">
        <v>0</v>
      </c>
      <c r="AK5853">
        <v>67.51000000000001</v>
      </c>
      <c r="AN5853" t="s">
        <v>7439</v>
      </c>
      <c r="AO5853">
        <v>14400</v>
      </c>
      <c r="AQ5853" t="s">
        <v>46362</v>
      </c>
      <c r="AR5853" t="s">
        <v>46388</v>
      </c>
      <c r="AS5853" t="s">
        <v>46500</v>
      </c>
      <c r="AT5853" t="s">
        <v>46797</v>
      </c>
      <c r="AU5853">
        <v>6.6</v>
      </c>
      <c r="AV5853" t="s">
        <v>830</v>
      </c>
      <c r="AW5853" t="s">
        <v>46852</v>
      </c>
      <c r="AX5853" t="s">
        <v>19330</v>
      </c>
    </row>
    <row r="5854" spans="1:50">
      <c r="A5854" s="1">
        <f>HYPERLINK("https://lsnyc.legalserver.org/matter/dynamic-profile/view/1887012","19-1887012")</f>
        <v>0</v>
      </c>
      <c r="B5854" t="s">
        <v>130</v>
      </c>
      <c r="C5854" t="s">
        <v>341</v>
      </c>
      <c r="D5854" t="s">
        <v>718</v>
      </c>
      <c r="E5854" t="s">
        <v>801</v>
      </c>
      <c r="F5854" t="s">
        <v>1497</v>
      </c>
      <c r="G5854" t="s">
        <v>6276</v>
      </c>
      <c r="H5854" t="s">
        <v>13843</v>
      </c>
      <c r="J5854" t="s">
        <v>18931</v>
      </c>
      <c r="K5854">
        <v>11412</v>
      </c>
      <c r="L5854" t="s">
        <v>18958</v>
      </c>
      <c r="M5854" t="s">
        <v>18958</v>
      </c>
      <c r="N5854" t="s">
        <v>23208</v>
      </c>
      <c r="O5854" t="s">
        <v>26524</v>
      </c>
      <c r="P5854" t="s">
        <v>26564</v>
      </c>
      <c r="Q5854" t="s">
        <v>26570</v>
      </c>
      <c r="R5854" t="s">
        <v>26584</v>
      </c>
      <c r="S5854" t="s">
        <v>18959</v>
      </c>
      <c r="U5854" t="s">
        <v>26604</v>
      </c>
      <c r="V5854" t="s">
        <v>26611</v>
      </c>
      <c r="W5854" t="s">
        <v>574</v>
      </c>
      <c r="X5854">
        <v>1268</v>
      </c>
      <c r="Y5854" t="s">
        <v>26653</v>
      </c>
      <c r="Z5854" t="s">
        <v>26664</v>
      </c>
      <c r="AA5854" t="s">
        <v>26683</v>
      </c>
      <c r="AB5854" t="s">
        <v>31287</v>
      </c>
      <c r="AC5854" t="s">
        <v>36054</v>
      </c>
      <c r="AD5854" t="s">
        <v>41477</v>
      </c>
      <c r="AE5854">
        <v>2</v>
      </c>
      <c r="AF5854" t="s">
        <v>45547</v>
      </c>
      <c r="AG5854" t="s">
        <v>45562</v>
      </c>
      <c r="AH5854">
        <v>4</v>
      </c>
      <c r="AI5854">
        <v>1</v>
      </c>
      <c r="AJ5854">
        <v>1</v>
      </c>
      <c r="AK5854">
        <v>9.48</v>
      </c>
      <c r="AN5854" t="s">
        <v>7439</v>
      </c>
      <c r="AO5854">
        <v>1560</v>
      </c>
      <c r="AU5854">
        <v>1.45</v>
      </c>
      <c r="AV5854" t="s">
        <v>574</v>
      </c>
      <c r="AW5854" t="s">
        <v>130</v>
      </c>
    </row>
    <row r="5855" spans="1:50">
      <c r="A5855" s="1">
        <f>HYPERLINK("https://lsnyc.legalserver.org/matter/dynamic-profile/view/1889547","19-1889547")</f>
        <v>0</v>
      </c>
      <c r="B5855" t="s">
        <v>130</v>
      </c>
      <c r="C5855" t="s">
        <v>341</v>
      </c>
      <c r="D5855" t="s">
        <v>735</v>
      </c>
      <c r="E5855" t="s">
        <v>801</v>
      </c>
      <c r="F5855" t="s">
        <v>1352</v>
      </c>
      <c r="G5855" t="s">
        <v>1488</v>
      </c>
      <c r="H5855" t="s">
        <v>13844</v>
      </c>
      <c r="I5855" t="s">
        <v>17291</v>
      </c>
      <c r="J5855" t="s">
        <v>18908</v>
      </c>
      <c r="K5855">
        <v>11411</v>
      </c>
      <c r="L5855" t="s">
        <v>18958</v>
      </c>
      <c r="M5855" t="s">
        <v>18958</v>
      </c>
      <c r="N5855" t="s">
        <v>23209</v>
      </c>
      <c r="O5855" t="s">
        <v>26524</v>
      </c>
      <c r="P5855" t="s">
        <v>26564</v>
      </c>
      <c r="Q5855" t="s">
        <v>26570</v>
      </c>
      <c r="R5855" t="s">
        <v>26584</v>
      </c>
      <c r="S5855" t="s">
        <v>18959</v>
      </c>
      <c r="U5855" t="s">
        <v>26604</v>
      </c>
      <c r="V5855" t="s">
        <v>26612</v>
      </c>
      <c r="W5855" t="s">
        <v>574</v>
      </c>
      <c r="X5855">
        <v>700</v>
      </c>
      <c r="Y5855" t="s">
        <v>26653</v>
      </c>
      <c r="Z5855" t="s">
        <v>26664</v>
      </c>
      <c r="AA5855" t="s">
        <v>26683</v>
      </c>
      <c r="AB5855" t="s">
        <v>31288</v>
      </c>
      <c r="AC5855" t="s">
        <v>36055</v>
      </c>
      <c r="AD5855" t="s">
        <v>41478</v>
      </c>
      <c r="AE5855">
        <v>3</v>
      </c>
      <c r="AF5855" t="s">
        <v>45547</v>
      </c>
      <c r="AG5855" t="s">
        <v>19330</v>
      </c>
      <c r="AH5855">
        <v>3</v>
      </c>
      <c r="AI5855">
        <v>2</v>
      </c>
      <c r="AJ5855">
        <v>1</v>
      </c>
      <c r="AK5855">
        <v>0</v>
      </c>
      <c r="AN5855" t="s">
        <v>7439</v>
      </c>
      <c r="AO5855">
        <v>0</v>
      </c>
      <c r="AU5855">
        <v>1.25</v>
      </c>
      <c r="AV5855" t="s">
        <v>574</v>
      </c>
      <c r="AW5855" t="s">
        <v>208</v>
      </c>
    </row>
    <row r="5856" spans="1:50">
      <c r="A5856" s="1">
        <f>HYPERLINK("https://lsnyc.legalserver.org/matter/dynamic-profile/view/1890048","19-1890048")</f>
        <v>0</v>
      </c>
      <c r="B5856" t="s">
        <v>130</v>
      </c>
      <c r="C5856" t="s">
        <v>341</v>
      </c>
      <c r="D5856" t="s">
        <v>744</v>
      </c>
      <c r="E5856" t="s">
        <v>801</v>
      </c>
      <c r="F5856" t="s">
        <v>1162</v>
      </c>
      <c r="G5856" t="s">
        <v>7799</v>
      </c>
      <c r="H5856" t="s">
        <v>13845</v>
      </c>
      <c r="I5856" t="s">
        <v>17334</v>
      </c>
      <c r="J5856" t="s">
        <v>18907</v>
      </c>
      <c r="K5856">
        <v>11377</v>
      </c>
      <c r="L5856" t="s">
        <v>18958</v>
      </c>
      <c r="M5856" t="s">
        <v>18958</v>
      </c>
      <c r="N5856" t="s">
        <v>23210</v>
      </c>
      <c r="O5856" t="s">
        <v>26523</v>
      </c>
      <c r="P5856" t="s">
        <v>26564</v>
      </c>
      <c r="Q5856" t="s">
        <v>26570</v>
      </c>
      <c r="R5856" t="s">
        <v>26584</v>
      </c>
      <c r="S5856" t="s">
        <v>18959</v>
      </c>
      <c r="U5856" t="s">
        <v>26604</v>
      </c>
      <c r="V5856" t="s">
        <v>26612</v>
      </c>
      <c r="W5856" t="s">
        <v>574</v>
      </c>
      <c r="X5856">
        <v>1475</v>
      </c>
      <c r="Y5856" t="s">
        <v>26653</v>
      </c>
      <c r="Z5856" t="s">
        <v>26664</v>
      </c>
      <c r="AA5856" t="s">
        <v>26683</v>
      </c>
      <c r="AB5856" t="s">
        <v>31289</v>
      </c>
      <c r="AC5856" t="s">
        <v>36056</v>
      </c>
      <c r="AD5856" t="s">
        <v>41479</v>
      </c>
      <c r="AE5856">
        <v>6</v>
      </c>
      <c r="AF5856" t="s">
        <v>45541</v>
      </c>
      <c r="AG5856" t="s">
        <v>19330</v>
      </c>
      <c r="AH5856">
        <v>18</v>
      </c>
      <c r="AI5856">
        <v>1</v>
      </c>
      <c r="AJ5856">
        <v>1</v>
      </c>
      <c r="AK5856">
        <v>114.39</v>
      </c>
      <c r="AN5856" t="s">
        <v>7439</v>
      </c>
      <c r="AO5856">
        <v>19344</v>
      </c>
      <c r="AU5856">
        <v>1.2</v>
      </c>
      <c r="AV5856" t="s">
        <v>574</v>
      </c>
      <c r="AW5856" t="s">
        <v>122</v>
      </c>
    </row>
    <row r="5857" spans="1:50">
      <c r="A5857" s="1">
        <f>HYPERLINK("https://lsnyc.legalserver.org/matter/dynamic-profile/view/1890285","19-1890285")</f>
        <v>0</v>
      </c>
      <c r="B5857" t="s">
        <v>130</v>
      </c>
      <c r="C5857" t="s">
        <v>341</v>
      </c>
      <c r="D5857" t="s">
        <v>702</v>
      </c>
      <c r="E5857" t="s">
        <v>801</v>
      </c>
      <c r="F5857" t="s">
        <v>3506</v>
      </c>
      <c r="G5857" t="s">
        <v>7800</v>
      </c>
      <c r="H5857" t="s">
        <v>13846</v>
      </c>
      <c r="I5857" t="s">
        <v>17402</v>
      </c>
      <c r="J5857" t="s">
        <v>18918</v>
      </c>
      <c r="K5857">
        <v>11416</v>
      </c>
      <c r="L5857" t="s">
        <v>18958</v>
      </c>
      <c r="M5857" t="s">
        <v>18958</v>
      </c>
      <c r="N5857" t="s">
        <v>23211</v>
      </c>
      <c r="O5857" t="s">
        <v>26523</v>
      </c>
      <c r="P5857" t="s">
        <v>26564</v>
      </c>
      <c r="Q5857" t="s">
        <v>26570</v>
      </c>
      <c r="R5857" t="s">
        <v>26584</v>
      </c>
      <c r="S5857" t="s">
        <v>18959</v>
      </c>
      <c r="U5857" t="s">
        <v>26604</v>
      </c>
      <c r="V5857" t="s">
        <v>26610</v>
      </c>
      <c r="W5857" t="s">
        <v>574</v>
      </c>
      <c r="X5857">
        <v>1000</v>
      </c>
      <c r="Y5857" t="s">
        <v>26653</v>
      </c>
      <c r="Z5857" t="s">
        <v>26664</v>
      </c>
      <c r="AA5857" t="s">
        <v>26683</v>
      </c>
      <c r="AB5857" t="s">
        <v>31290</v>
      </c>
      <c r="AC5857" t="s">
        <v>36057</v>
      </c>
      <c r="AD5857" t="s">
        <v>41480</v>
      </c>
      <c r="AE5857">
        <v>4</v>
      </c>
      <c r="AF5857" t="s">
        <v>45547</v>
      </c>
      <c r="AG5857" t="s">
        <v>19330</v>
      </c>
      <c r="AH5857">
        <v>10</v>
      </c>
      <c r="AI5857">
        <v>1</v>
      </c>
      <c r="AJ5857">
        <v>0</v>
      </c>
      <c r="AK5857">
        <v>19.05</v>
      </c>
      <c r="AN5857" t="s">
        <v>7439</v>
      </c>
      <c r="AO5857">
        <v>2379</v>
      </c>
      <c r="AU5857">
        <v>1.25</v>
      </c>
      <c r="AV5857" t="s">
        <v>574</v>
      </c>
      <c r="AW5857" t="s">
        <v>122</v>
      </c>
    </row>
    <row r="5858" spans="1:50">
      <c r="A5858" s="1">
        <f>HYPERLINK("https://lsnyc.legalserver.org/matter/dynamic-profile/view/1890547","19-1890547")</f>
        <v>0</v>
      </c>
      <c r="B5858" t="s">
        <v>169</v>
      </c>
      <c r="C5858" t="s">
        <v>341</v>
      </c>
      <c r="D5858" t="s">
        <v>745</v>
      </c>
      <c r="E5858" t="s">
        <v>817</v>
      </c>
      <c r="F5858" t="s">
        <v>1010</v>
      </c>
      <c r="G5858" t="s">
        <v>7801</v>
      </c>
      <c r="H5858" t="s">
        <v>13847</v>
      </c>
      <c r="I5858" t="s">
        <v>18287</v>
      </c>
      <c r="J5858" t="s">
        <v>18892</v>
      </c>
      <c r="K5858">
        <v>10452</v>
      </c>
      <c r="L5858" t="s">
        <v>18958</v>
      </c>
      <c r="M5858" t="s">
        <v>18958</v>
      </c>
      <c r="N5858" t="s">
        <v>23129</v>
      </c>
      <c r="O5858" t="s">
        <v>26523</v>
      </c>
      <c r="P5858" t="s">
        <v>26560</v>
      </c>
      <c r="Q5858" t="s">
        <v>26568</v>
      </c>
      <c r="R5858" t="s">
        <v>26578</v>
      </c>
      <c r="S5858" t="s">
        <v>18959</v>
      </c>
      <c r="U5858" t="s">
        <v>26604</v>
      </c>
      <c r="V5858" t="s">
        <v>26611</v>
      </c>
      <c r="W5858" t="s">
        <v>574</v>
      </c>
      <c r="X5858">
        <v>876</v>
      </c>
      <c r="Y5858" t="s">
        <v>26650</v>
      </c>
      <c r="Z5858" t="s">
        <v>26664</v>
      </c>
      <c r="AA5858" t="s">
        <v>26678</v>
      </c>
      <c r="AB5858" t="s">
        <v>31291</v>
      </c>
      <c r="AD5858" t="s">
        <v>41481</v>
      </c>
      <c r="AE5858">
        <v>120</v>
      </c>
      <c r="AF5858" t="s">
        <v>45541</v>
      </c>
      <c r="AG5858" t="s">
        <v>45559</v>
      </c>
      <c r="AH5858">
        <v>28</v>
      </c>
      <c r="AI5858">
        <v>1</v>
      </c>
      <c r="AJ5858">
        <v>0</v>
      </c>
      <c r="AK5858">
        <v>184.15</v>
      </c>
      <c r="AN5858" t="s">
        <v>7439</v>
      </c>
      <c r="AO5858">
        <v>23000</v>
      </c>
      <c r="AQ5858" t="s">
        <v>46359</v>
      </c>
      <c r="AR5858" t="s">
        <v>46482</v>
      </c>
      <c r="AS5858" t="s">
        <v>46499</v>
      </c>
      <c r="AT5858" t="s">
        <v>46641</v>
      </c>
      <c r="AU5858">
        <v>31.5</v>
      </c>
      <c r="AV5858" t="s">
        <v>810</v>
      </c>
      <c r="AW5858" t="s">
        <v>46857</v>
      </c>
      <c r="AX5858" t="s">
        <v>46897</v>
      </c>
    </row>
    <row r="5859" spans="1:50">
      <c r="A5859" s="1">
        <f>HYPERLINK("https://lsnyc.legalserver.org/matter/dynamic-profile/view/1891292","19-1891292")</f>
        <v>0</v>
      </c>
      <c r="B5859" t="s">
        <v>187</v>
      </c>
      <c r="C5859" t="s">
        <v>340</v>
      </c>
      <c r="D5859" t="s">
        <v>747</v>
      </c>
      <c r="F5859" t="s">
        <v>916</v>
      </c>
      <c r="G5859" t="s">
        <v>7802</v>
      </c>
      <c r="H5859" t="s">
        <v>13848</v>
      </c>
      <c r="I5859" t="s">
        <v>17390</v>
      </c>
      <c r="J5859" t="s">
        <v>18892</v>
      </c>
      <c r="K5859">
        <v>10457</v>
      </c>
      <c r="L5859" t="s">
        <v>18958</v>
      </c>
      <c r="M5859" t="s">
        <v>18958</v>
      </c>
      <c r="N5859" t="s">
        <v>23200</v>
      </c>
      <c r="O5859" t="s">
        <v>26523</v>
      </c>
      <c r="P5859" t="s">
        <v>26560</v>
      </c>
      <c r="R5859" t="s">
        <v>26579</v>
      </c>
      <c r="S5859" t="s">
        <v>18959</v>
      </c>
      <c r="U5859" t="s">
        <v>26604</v>
      </c>
      <c r="V5859" t="s">
        <v>26610</v>
      </c>
      <c r="W5859" t="s">
        <v>574</v>
      </c>
      <c r="X5859">
        <v>771.4299999999999</v>
      </c>
      <c r="Y5859" t="s">
        <v>26650</v>
      </c>
      <c r="Z5859" t="s">
        <v>26668</v>
      </c>
      <c r="AB5859" t="s">
        <v>31201</v>
      </c>
      <c r="AC5859" t="s">
        <v>36058</v>
      </c>
      <c r="AD5859" t="s">
        <v>41482</v>
      </c>
      <c r="AE5859">
        <v>0</v>
      </c>
      <c r="AF5859" t="s">
        <v>45541</v>
      </c>
      <c r="AG5859" t="s">
        <v>45559</v>
      </c>
      <c r="AH5859">
        <v>38</v>
      </c>
      <c r="AI5859">
        <v>1</v>
      </c>
      <c r="AJ5859">
        <v>0</v>
      </c>
      <c r="AK5859">
        <v>78.98</v>
      </c>
      <c r="AN5859" t="s">
        <v>45581</v>
      </c>
      <c r="AO5859">
        <v>9864</v>
      </c>
      <c r="AU5859">
        <v>6.2</v>
      </c>
      <c r="AV5859" t="s">
        <v>761</v>
      </c>
      <c r="AW5859" t="s">
        <v>46832</v>
      </c>
    </row>
    <row r="5860" spans="1:50">
      <c r="A5860" s="1">
        <f>HYPERLINK("https://lsnyc.legalserver.org/matter/dynamic-profile/view/1891548","19-1891548")</f>
        <v>0</v>
      </c>
      <c r="B5860" t="s">
        <v>130</v>
      </c>
      <c r="C5860" t="s">
        <v>341</v>
      </c>
      <c r="D5860" t="s">
        <v>757</v>
      </c>
      <c r="E5860" t="s">
        <v>801</v>
      </c>
      <c r="F5860" t="s">
        <v>3507</v>
      </c>
      <c r="G5860" t="s">
        <v>5208</v>
      </c>
      <c r="H5860" t="s">
        <v>13849</v>
      </c>
      <c r="I5860" t="s">
        <v>17360</v>
      </c>
      <c r="J5860" t="s">
        <v>18915</v>
      </c>
      <c r="K5860">
        <v>11372</v>
      </c>
      <c r="L5860" t="s">
        <v>18958</v>
      </c>
      <c r="M5860" t="s">
        <v>18958</v>
      </c>
      <c r="N5860" t="s">
        <v>23212</v>
      </c>
      <c r="O5860" t="s">
        <v>26523</v>
      </c>
      <c r="P5860" t="s">
        <v>26564</v>
      </c>
      <c r="Q5860" t="s">
        <v>26570</v>
      </c>
      <c r="R5860" t="s">
        <v>26584</v>
      </c>
      <c r="S5860" t="s">
        <v>18959</v>
      </c>
      <c r="U5860" t="s">
        <v>26604</v>
      </c>
      <c r="V5860" t="s">
        <v>26610</v>
      </c>
      <c r="W5860" t="s">
        <v>574</v>
      </c>
      <c r="X5860">
        <v>1609.4</v>
      </c>
      <c r="Y5860" t="s">
        <v>26653</v>
      </c>
      <c r="Z5860" t="s">
        <v>26664</v>
      </c>
      <c r="AA5860" t="s">
        <v>26683</v>
      </c>
      <c r="AB5860" t="s">
        <v>31292</v>
      </c>
      <c r="AC5860" t="s">
        <v>36059</v>
      </c>
      <c r="AD5860" t="s">
        <v>41483</v>
      </c>
      <c r="AE5860">
        <v>192</v>
      </c>
      <c r="AF5860" t="s">
        <v>45541</v>
      </c>
      <c r="AG5860" t="s">
        <v>19330</v>
      </c>
      <c r="AH5860">
        <v>11</v>
      </c>
      <c r="AI5860">
        <v>3</v>
      </c>
      <c r="AJ5860">
        <v>0</v>
      </c>
      <c r="AK5860">
        <v>104.98</v>
      </c>
      <c r="AN5860" t="s">
        <v>7439</v>
      </c>
      <c r="AO5860">
        <v>22392</v>
      </c>
      <c r="AU5860">
        <v>0.75</v>
      </c>
      <c r="AV5860" t="s">
        <v>574</v>
      </c>
      <c r="AW5860" t="s">
        <v>122</v>
      </c>
    </row>
    <row r="5861" spans="1:50">
      <c r="A5861" s="1">
        <f>HYPERLINK("https://lsnyc.legalserver.org/matter/dynamic-profile/view/1891523","19-1891523")</f>
        <v>0</v>
      </c>
      <c r="B5861" t="s">
        <v>130</v>
      </c>
      <c r="C5861" t="s">
        <v>341</v>
      </c>
      <c r="D5861" t="s">
        <v>728</v>
      </c>
      <c r="E5861" t="s">
        <v>801</v>
      </c>
      <c r="F5861" t="s">
        <v>3508</v>
      </c>
      <c r="G5861" t="s">
        <v>1092</v>
      </c>
      <c r="H5861" t="s">
        <v>13850</v>
      </c>
      <c r="I5861" t="s">
        <v>17312</v>
      </c>
      <c r="J5861" t="s">
        <v>18919</v>
      </c>
      <c r="K5861">
        <v>11429</v>
      </c>
      <c r="L5861" t="s">
        <v>18958</v>
      </c>
      <c r="M5861" t="s">
        <v>18958</v>
      </c>
      <c r="N5861" t="s">
        <v>23213</v>
      </c>
      <c r="O5861" t="s">
        <v>26524</v>
      </c>
      <c r="P5861" t="s">
        <v>26564</v>
      </c>
      <c r="Q5861" t="s">
        <v>26570</v>
      </c>
      <c r="R5861" t="s">
        <v>26584</v>
      </c>
      <c r="S5861" t="s">
        <v>18959</v>
      </c>
      <c r="U5861" t="s">
        <v>26604</v>
      </c>
      <c r="V5861" t="s">
        <v>26610</v>
      </c>
      <c r="W5861" t="s">
        <v>574</v>
      </c>
      <c r="X5861">
        <v>1190</v>
      </c>
      <c r="Y5861" t="s">
        <v>26653</v>
      </c>
      <c r="Z5861" t="s">
        <v>26664</v>
      </c>
      <c r="AA5861" t="s">
        <v>26683</v>
      </c>
      <c r="AB5861" t="s">
        <v>31293</v>
      </c>
      <c r="AC5861" t="s">
        <v>36060</v>
      </c>
      <c r="AD5861" t="s">
        <v>41484</v>
      </c>
      <c r="AE5861">
        <v>2</v>
      </c>
      <c r="AF5861" t="s">
        <v>45547</v>
      </c>
      <c r="AG5861" t="s">
        <v>19330</v>
      </c>
      <c r="AH5861">
        <v>11</v>
      </c>
      <c r="AI5861">
        <v>3</v>
      </c>
      <c r="AJ5861">
        <v>0</v>
      </c>
      <c r="AK5861">
        <v>45.01</v>
      </c>
      <c r="AN5861" t="s">
        <v>7439</v>
      </c>
      <c r="AO5861">
        <v>9600</v>
      </c>
      <c r="AU5861">
        <v>1.25</v>
      </c>
      <c r="AV5861" t="s">
        <v>574</v>
      </c>
      <c r="AW5861" t="s">
        <v>130</v>
      </c>
    </row>
    <row r="5862" spans="1:50">
      <c r="A5862" s="1">
        <f>HYPERLINK("https://lsnyc.legalserver.org/matter/dynamic-profile/view/1891952","19-1891952")</f>
        <v>0</v>
      </c>
      <c r="B5862" t="s">
        <v>280</v>
      </c>
      <c r="C5862" t="s">
        <v>341</v>
      </c>
      <c r="D5862" t="s">
        <v>574</v>
      </c>
      <c r="E5862" t="s">
        <v>805</v>
      </c>
      <c r="F5862" t="s">
        <v>1108</v>
      </c>
      <c r="G5862" t="s">
        <v>5185</v>
      </c>
      <c r="H5862" t="s">
        <v>13851</v>
      </c>
      <c r="I5862" t="s">
        <v>17274</v>
      </c>
      <c r="J5862" t="s">
        <v>18898</v>
      </c>
      <c r="K5862">
        <v>11691</v>
      </c>
      <c r="L5862" t="s">
        <v>18958</v>
      </c>
      <c r="M5862" t="s">
        <v>18958</v>
      </c>
      <c r="N5862" t="s">
        <v>23214</v>
      </c>
      <c r="O5862" t="s">
        <v>26523</v>
      </c>
      <c r="P5862" t="s">
        <v>26560</v>
      </c>
      <c r="Q5862" t="s">
        <v>26568</v>
      </c>
      <c r="R5862" t="s">
        <v>26578</v>
      </c>
      <c r="S5862" t="s">
        <v>18959</v>
      </c>
      <c r="U5862" t="s">
        <v>26604</v>
      </c>
      <c r="V5862" t="s">
        <v>26611</v>
      </c>
      <c r="W5862" t="s">
        <v>574</v>
      </c>
      <c r="X5862">
        <v>816</v>
      </c>
      <c r="Y5862" t="s">
        <v>26653</v>
      </c>
      <c r="Z5862" t="s">
        <v>26660</v>
      </c>
      <c r="AA5862" t="s">
        <v>26678</v>
      </c>
      <c r="AB5862" t="s">
        <v>31294</v>
      </c>
      <c r="AC5862" t="s">
        <v>34738</v>
      </c>
      <c r="AD5862" t="s">
        <v>41485</v>
      </c>
      <c r="AE5862">
        <v>53</v>
      </c>
      <c r="AF5862" t="s">
        <v>45543</v>
      </c>
      <c r="AG5862" t="s">
        <v>45556</v>
      </c>
      <c r="AH5862">
        <v>1</v>
      </c>
      <c r="AI5862">
        <v>1</v>
      </c>
      <c r="AJ5862">
        <v>1</v>
      </c>
      <c r="AK5862">
        <v>200.26</v>
      </c>
      <c r="AN5862" t="s">
        <v>7439</v>
      </c>
      <c r="AO5862">
        <v>33864.48</v>
      </c>
      <c r="AQ5862" t="s">
        <v>46362</v>
      </c>
      <c r="AR5862" t="s">
        <v>46379</v>
      </c>
      <c r="AS5862" t="s">
        <v>46499</v>
      </c>
      <c r="AT5862" t="s">
        <v>46704</v>
      </c>
      <c r="AU5862">
        <v>4.35</v>
      </c>
      <c r="AV5862" t="s">
        <v>805</v>
      </c>
      <c r="AW5862" t="s">
        <v>280</v>
      </c>
    </row>
    <row r="5863" spans="1:50">
      <c r="A5863" s="1">
        <f>HYPERLINK("https://lsnyc.legalserver.org/matter/dynamic-profile/view/1891938","19-1891938")</f>
        <v>0</v>
      </c>
      <c r="B5863" t="s">
        <v>96</v>
      </c>
      <c r="C5863" t="s">
        <v>341</v>
      </c>
      <c r="D5863" t="s">
        <v>574</v>
      </c>
      <c r="E5863" t="s">
        <v>795</v>
      </c>
      <c r="F5863" t="s">
        <v>1366</v>
      </c>
      <c r="G5863" t="s">
        <v>5941</v>
      </c>
      <c r="H5863" t="s">
        <v>10807</v>
      </c>
      <c r="I5863" t="s">
        <v>17293</v>
      </c>
      <c r="J5863" t="s">
        <v>18892</v>
      </c>
      <c r="K5863">
        <v>10474</v>
      </c>
      <c r="L5863" t="s">
        <v>18958</v>
      </c>
      <c r="M5863" t="s">
        <v>18958</v>
      </c>
      <c r="N5863" t="s">
        <v>23215</v>
      </c>
      <c r="O5863" t="s">
        <v>26523</v>
      </c>
      <c r="P5863" t="s">
        <v>26560</v>
      </c>
      <c r="Q5863" t="s">
        <v>26568</v>
      </c>
      <c r="R5863" t="s">
        <v>26577</v>
      </c>
      <c r="U5863" t="s">
        <v>26604</v>
      </c>
      <c r="V5863" t="s">
        <v>26610</v>
      </c>
      <c r="W5863" t="s">
        <v>574</v>
      </c>
      <c r="X5863">
        <v>1345</v>
      </c>
      <c r="Y5863" t="s">
        <v>26650</v>
      </c>
      <c r="Z5863" t="s">
        <v>26659</v>
      </c>
      <c r="AA5863" t="s">
        <v>26678</v>
      </c>
      <c r="AB5863" t="s">
        <v>27964</v>
      </c>
      <c r="AC5863" t="s">
        <v>34928</v>
      </c>
      <c r="AD5863" t="s">
        <v>38015</v>
      </c>
      <c r="AE5863">
        <v>50</v>
      </c>
      <c r="AF5863" t="s">
        <v>45541</v>
      </c>
      <c r="AG5863" t="s">
        <v>45562</v>
      </c>
      <c r="AH5863">
        <v>3</v>
      </c>
      <c r="AI5863">
        <v>1</v>
      </c>
      <c r="AJ5863">
        <v>0</v>
      </c>
      <c r="AK5863">
        <v>78.78</v>
      </c>
      <c r="AN5863" t="s">
        <v>7439</v>
      </c>
      <c r="AO5863">
        <v>9840</v>
      </c>
      <c r="AQ5863" t="s">
        <v>46362</v>
      </c>
      <c r="AR5863" t="s">
        <v>46397</v>
      </c>
      <c r="AS5863" t="s">
        <v>46499</v>
      </c>
      <c r="AT5863" t="s">
        <v>46623</v>
      </c>
      <c r="AU5863">
        <v>3.2</v>
      </c>
      <c r="AV5863" t="s">
        <v>775</v>
      </c>
      <c r="AW5863" t="s">
        <v>46870</v>
      </c>
    </row>
    <row r="5864" spans="1:50">
      <c r="A5864" s="1">
        <f>HYPERLINK("https://lsnyc.legalserver.org/matter/dynamic-profile/view/1892028","19-1892028")</f>
        <v>0</v>
      </c>
      <c r="B5864" t="s">
        <v>58</v>
      </c>
      <c r="C5864" t="s">
        <v>341</v>
      </c>
      <c r="D5864" t="s">
        <v>574</v>
      </c>
      <c r="E5864" t="s">
        <v>833</v>
      </c>
      <c r="F5864" t="s">
        <v>3509</v>
      </c>
      <c r="G5864" t="s">
        <v>7803</v>
      </c>
      <c r="H5864" t="s">
        <v>13852</v>
      </c>
      <c r="J5864" t="s">
        <v>18892</v>
      </c>
      <c r="K5864">
        <v>10466</v>
      </c>
      <c r="L5864" t="s">
        <v>18958</v>
      </c>
      <c r="M5864" t="s">
        <v>18958</v>
      </c>
      <c r="N5864" t="s">
        <v>23216</v>
      </c>
      <c r="O5864" t="s">
        <v>26524</v>
      </c>
      <c r="P5864" t="s">
        <v>26564</v>
      </c>
      <c r="Q5864" t="s">
        <v>26570</v>
      </c>
      <c r="R5864" t="s">
        <v>26577</v>
      </c>
      <c r="S5864" t="s">
        <v>18959</v>
      </c>
      <c r="U5864" t="s">
        <v>26604</v>
      </c>
      <c r="V5864" t="s">
        <v>26610</v>
      </c>
      <c r="W5864" t="s">
        <v>574</v>
      </c>
      <c r="X5864">
        <v>0</v>
      </c>
      <c r="Y5864" t="s">
        <v>26650</v>
      </c>
      <c r="Z5864" t="s">
        <v>26668</v>
      </c>
      <c r="AA5864" t="s">
        <v>26683</v>
      </c>
      <c r="AB5864" t="s">
        <v>27442</v>
      </c>
      <c r="AD5864" t="s">
        <v>41486</v>
      </c>
      <c r="AE5864">
        <v>3</v>
      </c>
      <c r="AF5864" t="s">
        <v>20460</v>
      </c>
      <c r="AH5864">
        <v>1</v>
      </c>
      <c r="AI5864">
        <v>1</v>
      </c>
      <c r="AJ5864">
        <v>2</v>
      </c>
      <c r="AK5864">
        <v>164.09</v>
      </c>
      <c r="AO5864">
        <v>35000</v>
      </c>
      <c r="AU5864">
        <v>1.75</v>
      </c>
      <c r="AV5864" t="s">
        <v>657</v>
      </c>
      <c r="AW5864" t="s">
        <v>334</v>
      </c>
      <c r="AX5864" t="s">
        <v>46897</v>
      </c>
    </row>
    <row r="5865" spans="1:50">
      <c r="A5865" s="1">
        <f>HYPERLINK("https://lsnyc.legalserver.org/matter/dynamic-profile/view/1891889","19-1891889")</f>
        <v>0</v>
      </c>
      <c r="B5865" t="s">
        <v>157</v>
      </c>
      <c r="C5865" t="s">
        <v>341</v>
      </c>
      <c r="D5865" t="s">
        <v>574</v>
      </c>
      <c r="E5865" t="s">
        <v>657</v>
      </c>
      <c r="F5865" t="s">
        <v>2188</v>
      </c>
      <c r="G5865" t="s">
        <v>7804</v>
      </c>
      <c r="H5865" t="s">
        <v>13853</v>
      </c>
      <c r="I5865">
        <v>1</v>
      </c>
      <c r="J5865" t="s">
        <v>18893</v>
      </c>
      <c r="K5865">
        <v>10032</v>
      </c>
      <c r="L5865" t="s">
        <v>18958</v>
      </c>
      <c r="M5865" t="s">
        <v>18958</v>
      </c>
      <c r="N5865" t="s">
        <v>23217</v>
      </c>
      <c r="P5865" t="s">
        <v>26564</v>
      </c>
      <c r="Q5865" t="s">
        <v>26570</v>
      </c>
      <c r="R5865" t="s">
        <v>26578</v>
      </c>
      <c r="S5865" t="s">
        <v>18959</v>
      </c>
      <c r="U5865" t="s">
        <v>26604</v>
      </c>
      <c r="W5865" t="s">
        <v>574</v>
      </c>
      <c r="X5865">
        <v>2500</v>
      </c>
      <c r="Y5865" t="s">
        <v>26651</v>
      </c>
      <c r="Z5865" t="s">
        <v>26661</v>
      </c>
      <c r="AA5865" t="s">
        <v>26683</v>
      </c>
      <c r="AB5865" t="s">
        <v>31295</v>
      </c>
      <c r="AC5865" t="s">
        <v>36061</v>
      </c>
      <c r="AD5865" t="s">
        <v>41487</v>
      </c>
      <c r="AE5865">
        <v>0</v>
      </c>
      <c r="AF5865" t="s">
        <v>45541</v>
      </c>
      <c r="AG5865" t="s">
        <v>19330</v>
      </c>
      <c r="AH5865">
        <v>2</v>
      </c>
      <c r="AI5865">
        <v>1</v>
      </c>
      <c r="AJ5865">
        <v>0</v>
      </c>
      <c r="AK5865">
        <v>0</v>
      </c>
      <c r="AN5865" t="s">
        <v>7439</v>
      </c>
      <c r="AO5865">
        <v>0</v>
      </c>
      <c r="AU5865">
        <v>1.2</v>
      </c>
      <c r="AV5865" t="s">
        <v>657</v>
      </c>
      <c r="AW5865" t="s">
        <v>46840</v>
      </c>
    </row>
    <row r="5866" spans="1:50">
      <c r="A5866" s="1">
        <f>HYPERLINK("https://lsnyc.legalserver.org/matter/dynamic-profile/view/1891916","19-1891916")</f>
        <v>0</v>
      </c>
      <c r="B5866" t="s">
        <v>157</v>
      </c>
      <c r="C5866" t="s">
        <v>341</v>
      </c>
      <c r="D5866" t="s">
        <v>574</v>
      </c>
      <c r="E5866" t="s">
        <v>753</v>
      </c>
      <c r="F5866" t="s">
        <v>3510</v>
      </c>
      <c r="G5866" t="s">
        <v>5187</v>
      </c>
      <c r="H5866" t="s">
        <v>13854</v>
      </c>
      <c r="I5866" t="s">
        <v>17354</v>
      </c>
      <c r="J5866" t="s">
        <v>18893</v>
      </c>
      <c r="K5866">
        <v>10034</v>
      </c>
      <c r="L5866" t="s">
        <v>18958</v>
      </c>
      <c r="M5866" t="s">
        <v>18958</v>
      </c>
      <c r="P5866" t="s">
        <v>26564</v>
      </c>
      <c r="Q5866" t="s">
        <v>26570</v>
      </c>
      <c r="R5866" t="s">
        <v>26578</v>
      </c>
      <c r="S5866" t="s">
        <v>18959</v>
      </c>
      <c r="U5866" t="s">
        <v>26604</v>
      </c>
      <c r="W5866" t="s">
        <v>574</v>
      </c>
      <c r="X5866">
        <v>489.71</v>
      </c>
      <c r="Y5866" t="s">
        <v>26651</v>
      </c>
      <c r="Z5866" t="s">
        <v>26661</v>
      </c>
      <c r="AA5866" t="s">
        <v>26683</v>
      </c>
      <c r="AB5866" t="s">
        <v>27798</v>
      </c>
      <c r="AD5866" t="s">
        <v>41488</v>
      </c>
      <c r="AE5866">
        <v>0</v>
      </c>
      <c r="AF5866" t="s">
        <v>45541</v>
      </c>
      <c r="AG5866" t="s">
        <v>19330</v>
      </c>
      <c r="AH5866">
        <v>27</v>
      </c>
      <c r="AI5866">
        <v>1</v>
      </c>
      <c r="AJ5866">
        <v>0</v>
      </c>
      <c r="AK5866">
        <v>152.12</v>
      </c>
      <c r="AN5866" t="s">
        <v>7439</v>
      </c>
      <c r="AO5866">
        <v>19000</v>
      </c>
      <c r="AU5866">
        <v>1.8</v>
      </c>
      <c r="AV5866" t="s">
        <v>753</v>
      </c>
      <c r="AW5866" t="s">
        <v>46840</v>
      </c>
    </row>
    <row r="5867" spans="1:50">
      <c r="A5867" s="1">
        <f>HYPERLINK("https://lsnyc.legalserver.org/matter/dynamic-profile/view/1892005","19-1892005")</f>
        <v>0</v>
      </c>
      <c r="B5867" t="s">
        <v>157</v>
      </c>
      <c r="C5867" t="s">
        <v>341</v>
      </c>
      <c r="D5867" t="s">
        <v>574</v>
      </c>
      <c r="E5867" t="s">
        <v>753</v>
      </c>
      <c r="F5867" t="s">
        <v>3511</v>
      </c>
      <c r="G5867" t="s">
        <v>7805</v>
      </c>
      <c r="H5867" t="s">
        <v>13855</v>
      </c>
      <c r="I5867" t="s">
        <v>17273</v>
      </c>
      <c r="J5867" t="s">
        <v>18893</v>
      </c>
      <c r="K5867">
        <v>10032</v>
      </c>
      <c r="L5867" t="s">
        <v>18958</v>
      </c>
      <c r="M5867" t="s">
        <v>18958</v>
      </c>
      <c r="P5867" t="s">
        <v>26564</v>
      </c>
      <c r="Q5867" t="s">
        <v>26570</v>
      </c>
      <c r="R5867" t="s">
        <v>26578</v>
      </c>
      <c r="S5867" t="s">
        <v>18959</v>
      </c>
      <c r="U5867" t="s">
        <v>26604</v>
      </c>
      <c r="W5867" t="s">
        <v>574</v>
      </c>
      <c r="X5867">
        <v>1239.65</v>
      </c>
      <c r="Y5867" t="s">
        <v>26651</v>
      </c>
      <c r="Z5867" t="s">
        <v>26661</v>
      </c>
      <c r="AA5867" t="s">
        <v>26683</v>
      </c>
      <c r="AB5867" t="s">
        <v>31296</v>
      </c>
      <c r="AD5867" t="s">
        <v>41489</v>
      </c>
      <c r="AE5867">
        <v>0</v>
      </c>
      <c r="AF5867" t="s">
        <v>45541</v>
      </c>
      <c r="AG5867" t="s">
        <v>19330</v>
      </c>
      <c r="AH5867">
        <v>21</v>
      </c>
      <c r="AI5867">
        <v>2</v>
      </c>
      <c r="AJ5867">
        <v>0</v>
      </c>
      <c r="AK5867">
        <v>180.2</v>
      </c>
      <c r="AN5867" t="s">
        <v>45581</v>
      </c>
      <c r="AO5867">
        <v>30472</v>
      </c>
      <c r="AU5867">
        <v>1.1</v>
      </c>
      <c r="AV5867" t="s">
        <v>753</v>
      </c>
      <c r="AW5867" t="s">
        <v>46840</v>
      </c>
    </row>
    <row r="5868" spans="1:50">
      <c r="A5868" s="1">
        <f>HYPERLINK("https://lsnyc.legalserver.org/matter/dynamic-profile/view/1891989","19-1891989")</f>
        <v>0</v>
      </c>
      <c r="B5868" t="s">
        <v>172</v>
      </c>
      <c r="C5868" t="s">
        <v>341</v>
      </c>
      <c r="D5868" t="s">
        <v>574</v>
      </c>
      <c r="E5868" t="s">
        <v>768</v>
      </c>
      <c r="F5868" t="s">
        <v>1906</v>
      </c>
      <c r="G5868" t="s">
        <v>7806</v>
      </c>
      <c r="H5868" t="s">
        <v>11031</v>
      </c>
      <c r="I5868" t="s">
        <v>17351</v>
      </c>
      <c r="J5868" t="s">
        <v>18894</v>
      </c>
      <c r="K5868">
        <v>11208</v>
      </c>
      <c r="L5868" t="s">
        <v>18958</v>
      </c>
      <c r="M5868" t="s">
        <v>18960</v>
      </c>
      <c r="N5868" t="s">
        <v>23218</v>
      </c>
      <c r="O5868" t="s">
        <v>26525</v>
      </c>
      <c r="P5868" t="s">
        <v>26564</v>
      </c>
      <c r="Q5868" t="s">
        <v>26570</v>
      </c>
      <c r="R5868" t="s">
        <v>26586</v>
      </c>
      <c r="U5868" t="s">
        <v>26604</v>
      </c>
      <c r="W5868" t="s">
        <v>574</v>
      </c>
      <c r="X5868">
        <v>257</v>
      </c>
      <c r="Y5868" t="s">
        <v>26652</v>
      </c>
      <c r="Z5868" t="s">
        <v>26663</v>
      </c>
      <c r="AA5868" t="s">
        <v>26683</v>
      </c>
      <c r="AB5868" t="s">
        <v>30295</v>
      </c>
      <c r="AD5868" t="s">
        <v>41490</v>
      </c>
      <c r="AE5868">
        <v>22</v>
      </c>
      <c r="AF5868" t="s">
        <v>45542</v>
      </c>
      <c r="AH5868">
        <v>47</v>
      </c>
      <c r="AI5868">
        <v>2</v>
      </c>
      <c r="AJ5868">
        <v>0</v>
      </c>
      <c r="AK5868">
        <v>54.71</v>
      </c>
      <c r="AN5868" t="s">
        <v>7439</v>
      </c>
      <c r="AO5868">
        <v>9252</v>
      </c>
      <c r="AU5868">
        <v>2.2</v>
      </c>
      <c r="AV5868" t="s">
        <v>768</v>
      </c>
      <c r="AW5868" t="s">
        <v>46856</v>
      </c>
    </row>
    <row r="5869" spans="1:50">
      <c r="A5869" s="1">
        <f>HYPERLINK("https://lsnyc.legalserver.org/matter/dynamic-profile/view/1891936","19-1891936")</f>
        <v>0</v>
      </c>
      <c r="B5869" t="s">
        <v>136</v>
      </c>
      <c r="C5869" t="s">
        <v>340</v>
      </c>
      <c r="D5869" t="s">
        <v>574</v>
      </c>
      <c r="F5869" t="s">
        <v>3512</v>
      </c>
      <c r="G5869" t="s">
        <v>7807</v>
      </c>
      <c r="H5869" t="s">
        <v>13856</v>
      </c>
      <c r="I5869" t="s">
        <v>17338</v>
      </c>
      <c r="J5869" t="s">
        <v>18892</v>
      </c>
      <c r="K5869">
        <v>10467</v>
      </c>
      <c r="L5869" t="s">
        <v>18958</v>
      </c>
      <c r="M5869" t="s">
        <v>18959</v>
      </c>
      <c r="N5869" t="s">
        <v>23219</v>
      </c>
      <c r="O5869" t="s">
        <v>26523</v>
      </c>
      <c r="P5869" t="s">
        <v>26560</v>
      </c>
      <c r="R5869" t="s">
        <v>26579</v>
      </c>
      <c r="S5869" t="s">
        <v>18959</v>
      </c>
      <c r="U5869" t="s">
        <v>26604</v>
      </c>
      <c r="V5869" t="s">
        <v>26611</v>
      </c>
      <c r="W5869" t="s">
        <v>574</v>
      </c>
      <c r="X5869">
        <v>1290.94</v>
      </c>
      <c r="Y5869" t="s">
        <v>26650</v>
      </c>
      <c r="Z5869" t="s">
        <v>26659</v>
      </c>
      <c r="AB5869" t="s">
        <v>31297</v>
      </c>
      <c r="AC5869" t="s">
        <v>36062</v>
      </c>
      <c r="AD5869" t="s">
        <v>41491</v>
      </c>
      <c r="AE5869">
        <v>0</v>
      </c>
      <c r="AF5869" t="s">
        <v>45541</v>
      </c>
      <c r="AH5869">
        <v>4</v>
      </c>
      <c r="AI5869">
        <v>2</v>
      </c>
      <c r="AJ5869">
        <v>1</v>
      </c>
      <c r="AK5869">
        <v>115.8</v>
      </c>
      <c r="AN5869" t="s">
        <v>45581</v>
      </c>
      <c r="AO5869">
        <v>24700</v>
      </c>
      <c r="AU5869">
        <v>4</v>
      </c>
      <c r="AV5869" t="s">
        <v>753</v>
      </c>
      <c r="AW5869" t="s">
        <v>136</v>
      </c>
    </row>
    <row r="5870" spans="1:50">
      <c r="A5870" s="1">
        <f>HYPERLINK("https://lsnyc.legalserver.org/matter/dynamic-profile/view/1891961","19-1891961")</f>
        <v>0</v>
      </c>
      <c r="B5870" t="s">
        <v>70</v>
      </c>
      <c r="C5870" t="s">
        <v>340</v>
      </c>
      <c r="D5870" t="s">
        <v>574</v>
      </c>
      <c r="F5870" t="s">
        <v>1283</v>
      </c>
      <c r="G5870" t="s">
        <v>7808</v>
      </c>
      <c r="H5870" t="s">
        <v>13857</v>
      </c>
      <c r="I5870" t="s">
        <v>17355</v>
      </c>
      <c r="J5870" t="s">
        <v>18892</v>
      </c>
      <c r="K5870">
        <v>10453</v>
      </c>
      <c r="L5870" t="s">
        <v>18958</v>
      </c>
      <c r="M5870" t="s">
        <v>18958</v>
      </c>
      <c r="N5870" t="s">
        <v>23220</v>
      </c>
      <c r="O5870" t="s">
        <v>26523</v>
      </c>
      <c r="P5870" t="s">
        <v>26560</v>
      </c>
      <c r="R5870" t="s">
        <v>26577</v>
      </c>
      <c r="S5870" t="s">
        <v>18959</v>
      </c>
      <c r="U5870" t="s">
        <v>26604</v>
      </c>
      <c r="V5870" t="s">
        <v>26611</v>
      </c>
      <c r="W5870" t="s">
        <v>574</v>
      </c>
      <c r="X5870">
        <v>1297.3</v>
      </c>
      <c r="Y5870" t="s">
        <v>26650</v>
      </c>
      <c r="Z5870" t="s">
        <v>26668</v>
      </c>
      <c r="AB5870" t="s">
        <v>31298</v>
      </c>
      <c r="AE5870">
        <v>48</v>
      </c>
      <c r="AF5870" t="s">
        <v>45541</v>
      </c>
      <c r="AG5870" t="s">
        <v>45556</v>
      </c>
      <c r="AH5870">
        <v>20</v>
      </c>
      <c r="AI5870">
        <v>1</v>
      </c>
      <c r="AJ5870">
        <v>0</v>
      </c>
      <c r="AK5870">
        <v>0</v>
      </c>
      <c r="AN5870" t="s">
        <v>7439</v>
      </c>
      <c r="AO5870">
        <v>0</v>
      </c>
      <c r="AU5870">
        <v>10.3</v>
      </c>
      <c r="AV5870" t="s">
        <v>838</v>
      </c>
      <c r="AW5870" t="s">
        <v>70</v>
      </c>
    </row>
    <row r="5871" spans="1:50">
      <c r="A5871" s="1">
        <f>HYPERLINK("https://lsnyc.legalserver.org/matter/dynamic-profile/view/1891947","19-1891947")</f>
        <v>0</v>
      </c>
      <c r="B5871" t="s">
        <v>202</v>
      </c>
      <c r="C5871" t="s">
        <v>340</v>
      </c>
      <c r="D5871" t="s">
        <v>574</v>
      </c>
      <c r="F5871" t="s">
        <v>3513</v>
      </c>
      <c r="G5871" t="s">
        <v>5165</v>
      </c>
      <c r="H5871" t="s">
        <v>13858</v>
      </c>
      <c r="I5871" t="s">
        <v>17292</v>
      </c>
      <c r="J5871" t="s">
        <v>18894</v>
      </c>
      <c r="K5871">
        <v>11225</v>
      </c>
      <c r="L5871" t="s">
        <v>18958</v>
      </c>
      <c r="M5871" t="s">
        <v>18960</v>
      </c>
      <c r="N5871" t="s">
        <v>23221</v>
      </c>
      <c r="O5871" t="s">
        <v>26523</v>
      </c>
      <c r="P5871" t="s">
        <v>26560</v>
      </c>
      <c r="R5871" t="s">
        <v>26588</v>
      </c>
      <c r="S5871" t="s">
        <v>18959</v>
      </c>
      <c r="U5871" t="s">
        <v>26604</v>
      </c>
      <c r="V5871" t="s">
        <v>26610</v>
      </c>
      <c r="W5871" t="s">
        <v>574</v>
      </c>
      <c r="X5871">
        <v>1580.46</v>
      </c>
      <c r="Y5871" t="s">
        <v>26652</v>
      </c>
      <c r="Z5871" t="s">
        <v>26661</v>
      </c>
      <c r="AB5871" t="s">
        <v>27413</v>
      </c>
      <c r="AC5871" t="s">
        <v>36063</v>
      </c>
      <c r="AD5871" t="s">
        <v>41492</v>
      </c>
      <c r="AE5871">
        <v>60</v>
      </c>
      <c r="AF5871" t="s">
        <v>20460</v>
      </c>
      <c r="AG5871" t="s">
        <v>19330</v>
      </c>
      <c r="AH5871">
        <v>7</v>
      </c>
      <c r="AI5871">
        <v>2</v>
      </c>
      <c r="AJ5871">
        <v>0</v>
      </c>
      <c r="AK5871">
        <v>86.09999999999999</v>
      </c>
      <c r="AN5871" t="s">
        <v>7439</v>
      </c>
      <c r="AO5871">
        <v>14560</v>
      </c>
      <c r="AQ5871" t="s">
        <v>46359</v>
      </c>
      <c r="AR5871" t="s">
        <v>46379</v>
      </c>
      <c r="AS5871" t="s">
        <v>46499</v>
      </c>
      <c r="AT5871" t="s">
        <v>46668</v>
      </c>
      <c r="AU5871">
        <v>7.05</v>
      </c>
      <c r="AV5871" t="s">
        <v>769</v>
      </c>
      <c r="AW5871" t="s">
        <v>46856</v>
      </c>
    </row>
    <row r="5872" spans="1:50">
      <c r="A5872" s="1">
        <f>HYPERLINK("https://lsnyc.legalserver.org/matter/dynamic-profile/view/1891987","19-1891987")</f>
        <v>0</v>
      </c>
      <c r="B5872" t="s">
        <v>99</v>
      </c>
      <c r="C5872" t="s">
        <v>340</v>
      </c>
      <c r="D5872" t="s">
        <v>574</v>
      </c>
      <c r="F5872" t="s">
        <v>2002</v>
      </c>
      <c r="G5872" t="s">
        <v>5447</v>
      </c>
      <c r="H5872" t="s">
        <v>13859</v>
      </c>
      <c r="I5872" t="s">
        <v>17378</v>
      </c>
      <c r="J5872" t="s">
        <v>18894</v>
      </c>
      <c r="K5872">
        <v>11224</v>
      </c>
      <c r="L5872" t="s">
        <v>18958</v>
      </c>
      <c r="M5872" t="s">
        <v>18958</v>
      </c>
      <c r="N5872" t="s">
        <v>23222</v>
      </c>
      <c r="O5872" t="s">
        <v>26523</v>
      </c>
      <c r="P5872" t="s">
        <v>26560</v>
      </c>
      <c r="R5872" t="s">
        <v>26583</v>
      </c>
      <c r="S5872" t="s">
        <v>18959</v>
      </c>
      <c r="U5872" t="s">
        <v>26605</v>
      </c>
      <c r="V5872" t="s">
        <v>26610</v>
      </c>
      <c r="W5872" t="s">
        <v>574</v>
      </c>
      <c r="X5872">
        <v>1400</v>
      </c>
      <c r="Y5872" t="s">
        <v>26652</v>
      </c>
      <c r="Z5872" t="s">
        <v>26655</v>
      </c>
      <c r="AB5872" t="s">
        <v>31299</v>
      </c>
      <c r="AC5872" t="s">
        <v>19330</v>
      </c>
      <c r="AD5872" t="s">
        <v>41493</v>
      </c>
      <c r="AE5872">
        <v>0</v>
      </c>
      <c r="AF5872" t="s">
        <v>45542</v>
      </c>
      <c r="AG5872" t="s">
        <v>19330</v>
      </c>
      <c r="AH5872">
        <v>8</v>
      </c>
      <c r="AI5872">
        <v>1</v>
      </c>
      <c r="AJ5872">
        <v>1</v>
      </c>
      <c r="AK5872">
        <v>338.79</v>
      </c>
      <c r="AN5872" t="s">
        <v>7439</v>
      </c>
      <c r="AO5872">
        <v>57289</v>
      </c>
      <c r="AU5872">
        <v>9.4</v>
      </c>
      <c r="AV5872" t="s">
        <v>818</v>
      </c>
      <c r="AW5872" t="s">
        <v>99</v>
      </c>
    </row>
    <row r="5873" spans="1:50">
      <c r="A5873" s="1">
        <f>HYPERLINK("https://lsnyc.legalserver.org/matter/dynamic-profile/view/1891897","19-1891897")</f>
        <v>0</v>
      </c>
      <c r="B5873" t="s">
        <v>60</v>
      </c>
      <c r="C5873" t="s">
        <v>340</v>
      </c>
      <c r="D5873" t="s">
        <v>574</v>
      </c>
      <c r="F5873" t="s">
        <v>1107</v>
      </c>
      <c r="G5873" t="s">
        <v>7156</v>
      </c>
      <c r="H5873" t="s">
        <v>11344</v>
      </c>
      <c r="I5873" t="s">
        <v>17436</v>
      </c>
      <c r="J5873" t="s">
        <v>18892</v>
      </c>
      <c r="K5873">
        <v>10457</v>
      </c>
      <c r="L5873" t="s">
        <v>18958</v>
      </c>
      <c r="M5873" t="s">
        <v>18958</v>
      </c>
      <c r="N5873" t="s">
        <v>23223</v>
      </c>
      <c r="O5873" t="s">
        <v>26523</v>
      </c>
      <c r="P5873" t="s">
        <v>26564</v>
      </c>
      <c r="R5873" t="s">
        <v>26578</v>
      </c>
      <c r="U5873" t="s">
        <v>26604</v>
      </c>
      <c r="W5873" t="s">
        <v>574</v>
      </c>
      <c r="X5873">
        <v>1213</v>
      </c>
      <c r="Y5873" t="s">
        <v>26650</v>
      </c>
      <c r="AB5873" t="s">
        <v>31300</v>
      </c>
      <c r="AD5873" t="s">
        <v>41494</v>
      </c>
      <c r="AE5873">
        <v>0</v>
      </c>
      <c r="AF5873" t="s">
        <v>45541</v>
      </c>
      <c r="AG5873" t="s">
        <v>45560</v>
      </c>
      <c r="AH5873">
        <v>3</v>
      </c>
      <c r="AI5873">
        <v>1</v>
      </c>
      <c r="AJ5873">
        <v>0</v>
      </c>
      <c r="AK5873">
        <v>145.84</v>
      </c>
      <c r="AN5873" t="s">
        <v>7439</v>
      </c>
      <c r="AO5873">
        <v>18216</v>
      </c>
      <c r="AU5873">
        <v>1.1</v>
      </c>
      <c r="AV5873" t="s">
        <v>754</v>
      </c>
      <c r="AW5873" t="s">
        <v>46859</v>
      </c>
    </row>
    <row r="5874" spans="1:50">
      <c r="A5874" s="1">
        <f>HYPERLINK("https://lsnyc.legalserver.org/matter/dynamic-profile/view/1891918","19-1891918")</f>
        <v>0</v>
      </c>
      <c r="B5874" t="s">
        <v>153</v>
      </c>
      <c r="C5874" t="s">
        <v>340</v>
      </c>
      <c r="D5874" t="s">
        <v>574</v>
      </c>
      <c r="F5874" t="s">
        <v>3514</v>
      </c>
      <c r="G5874" t="s">
        <v>7809</v>
      </c>
      <c r="H5874" t="s">
        <v>13860</v>
      </c>
      <c r="I5874" t="s">
        <v>17430</v>
      </c>
      <c r="J5874" t="s">
        <v>18902</v>
      </c>
      <c r="K5874">
        <v>10314</v>
      </c>
      <c r="L5874" t="s">
        <v>18958</v>
      </c>
      <c r="M5874" t="s">
        <v>18958</v>
      </c>
      <c r="N5874" t="s">
        <v>18993</v>
      </c>
      <c r="O5874" t="s">
        <v>26531</v>
      </c>
      <c r="P5874" t="s">
        <v>26562</v>
      </c>
      <c r="R5874" t="s">
        <v>26587</v>
      </c>
      <c r="S5874" t="s">
        <v>18959</v>
      </c>
      <c r="U5874" t="s">
        <v>26604</v>
      </c>
      <c r="V5874" t="s">
        <v>26610</v>
      </c>
      <c r="W5874" t="s">
        <v>574</v>
      </c>
      <c r="X5874">
        <v>950</v>
      </c>
      <c r="Y5874" t="s">
        <v>26654</v>
      </c>
      <c r="Z5874" t="s">
        <v>26659</v>
      </c>
      <c r="AB5874" t="s">
        <v>28203</v>
      </c>
      <c r="AD5874" t="s">
        <v>41495</v>
      </c>
      <c r="AE5874">
        <v>3</v>
      </c>
      <c r="AF5874" t="s">
        <v>45547</v>
      </c>
      <c r="AG5874" t="s">
        <v>19330</v>
      </c>
      <c r="AH5874">
        <v>5</v>
      </c>
      <c r="AI5874">
        <v>1</v>
      </c>
      <c r="AJ5874">
        <v>1</v>
      </c>
      <c r="AK5874">
        <v>196.66</v>
      </c>
      <c r="AN5874" t="s">
        <v>7439</v>
      </c>
      <c r="AO5874">
        <v>33254.4</v>
      </c>
      <c r="AU5874">
        <v>8.6</v>
      </c>
      <c r="AV5874" t="s">
        <v>772</v>
      </c>
      <c r="AW5874" t="s">
        <v>185</v>
      </c>
    </row>
    <row r="5875" spans="1:50">
      <c r="A5875" s="1">
        <f>HYPERLINK("https://lsnyc.legalserver.org/matter/dynamic-profile/view/1891984","19-1891984")</f>
        <v>0</v>
      </c>
      <c r="B5875" t="s">
        <v>214</v>
      </c>
      <c r="C5875" t="s">
        <v>340</v>
      </c>
      <c r="D5875" t="s">
        <v>574</v>
      </c>
      <c r="F5875" t="s">
        <v>1043</v>
      </c>
      <c r="G5875" t="s">
        <v>1876</v>
      </c>
      <c r="H5875" t="s">
        <v>13861</v>
      </c>
      <c r="I5875" t="s">
        <v>17380</v>
      </c>
      <c r="J5875" t="s">
        <v>18901</v>
      </c>
      <c r="K5875">
        <v>11433</v>
      </c>
      <c r="L5875" t="s">
        <v>18958</v>
      </c>
      <c r="M5875" t="s">
        <v>18960</v>
      </c>
      <c r="N5875" t="s">
        <v>23224</v>
      </c>
      <c r="O5875" t="s">
        <v>26523</v>
      </c>
      <c r="P5875" t="s">
        <v>26564</v>
      </c>
      <c r="R5875" t="s">
        <v>26585</v>
      </c>
      <c r="S5875" t="s">
        <v>18959</v>
      </c>
      <c r="U5875" t="s">
        <v>26604</v>
      </c>
      <c r="V5875" t="s">
        <v>26611</v>
      </c>
      <c r="W5875" t="s">
        <v>574</v>
      </c>
      <c r="X5875">
        <v>285</v>
      </c>
      <c r="Y5875" t="s">
        <v>26653</v>
      </c>
      <c r="Z5875" t="s">
        <v>26664</v>
      </c>
      <c r="AB5875" t="s">
        <v>31301</v>
      </c>
      <c r="AC5875" t="s">
        <v>36064</v>
      </c>
      <c r="AD5875" t="s">
        <v>41496</v>
      </c>
      <c r="AE5875">
        <v>100</v>
      </c>
      <c r="AF5875" t="s">
        <v>45547</v>
      </c>
      <c r="AG5875" t="s">
        <v>19330</v>
      </c>
      <c r="AH5875">
        <v>3</v>
      </c>
      <c r="AI5875">
        <v>1</v>
      </c>
      <c r="AJ5875">
        <v>0</v>
      </c>
      <c r="AK5875">
        <v>35.55</v>
      </c>
      <c r="AN5875" t="s">
        <v>45583</v>
      </c>
      <c r="AO5875">
        <v>4440</v>
      </c>
      <c r="AU5875">
        <v>3.37</v>
      </c>
      <c r="AV5875" t="s">
        <v>830</v>
      </c>
      <c r="AW5875" t="s">
        <v>122</v>
      </c>
      <c r="AX5875" t="s">
        <v>46898</v>
      </c>
    </row>
    <row r="5876" spans="1:50">
      <c r="A5876" s="1">
        <f>HYPERLINK("https://lsnyc.legalserver.org/matter/dynamic-profile/view/1891880","19-1891880")</f>
        <v>0</v>
      </c>
      <c r="B5876" t="s">
        <v>135</v>
      </c>
      <c r="C5876" t="s">
        <v>340</v>
      </c>
      <c r="D5876" t="s">
        <v>574</v>
      </c>
      <c r="F5876" t="s">
        <v>1087</v>
      </c>
      <c r="G5876" t="s">
        <v>4594</v>
      </c>
      <c r="H5876" t="s">
        <v>13798</v>
      </c>
      <c r="I5876" t="s">
        <v>17867</v>
      </c>
      <c r="J5876" t="s">
        <v>18892</v>
      </c>
      <c r="K5876">
        <v>10453</v>
      </c>
      <c r="L5876" t="s">
        <v>18958</v>
      </c>
      <c r="M5876" t="s">
        <v>18958</v>
      </c>
      <c r="N5876" t="s">
        <v>23225</v>
      </c>
      <c r="O5876" t="s">
        <v>26524</v>
      </c>
      <c r="P5876" t="s">
        <v>26560</v>
      </c>
      <c r="R5876" t="s">
        <v>26578</v>
      </c>
      <c r="S5876" t="s">
        <v>18959</v>
      </c>
      <c r="U5876" t="s">
        <v>26604</v>
      </c>
      <c r="W5876" t="s">
        <v>574</v>
      </c>
      <c r="X5876">
        <v>985</v>
      </c>
      <c r="Y5876" t="s">
        <v>26650</v>
      </c>
      <c r="Z5876" t="s">
        <v>26663</v>
      </c>
      <c r="AB5876" t="s">
        <v>31302</v>
      </c>
      <c r="AE5876">
        <v>167</v>
      </c>
      <c r="AF5876" t="s">
        <v>45541</v>
      </c>
      <c r="AG5876" t="s">
        <v>19330</v>
      </c>
      <c r="AH5876">
        <v>17</v>
      </c>
      <c r="AI5876">
        <v>3</v>
      </c>
      <c r="AJ5876">
        <v>2</v>
      </c>
      <c r="AK5876">
        <v>149.15</v>
      </c>
      <c r="AN5876" t="s">
        <v>7439</v>
      </c>
      <c r="AO5876">
        <v>45000</v>
      </c>
      <c r="AU5876">
        <v>31.3</v>
      </c>
      <c r="AV5876" t="s">
        <v>834</v>
      </c>
      <c r="AW5876" t="s">
        <v>46847</v>
      </c>
    </row>
    <row r="5877" spans="1:50">
      <c r="A5877" s="1">
        <f>HYPERLINK("https://lsnyc.legalserver.org/matter/dynamic-profile/view/1891903","19-1891903")</f>
        <v>0</v>
      </c>
      <c r="B5877" t="s">
        <v>82</v>
      </c>
      <c r="C5877" t="s">
        <v>340</v>
      </c>
      <c r="D5877" t="s">
        <v>574</v>
      </c>
      <c r="F5877" t="s">
        <v>3515</v>
      </c>
      <c r="G5877" t="s">
        <v>5748</v>
      </c>
      <c r="H5877" t="s">
        <v>9882</v>
      </c>
      <c r="I5877" t="s">
        <v>18288</v>
      </c>
      <c r="J5877" t="s">
        <v>18892</v>
      </c>
      <c r="K5877">
        <v>10467</v>
      </c>
      <c r="L5877" t="s">
        <v>18958</v>
      </c>
      <c r="M5877" t="s">
        <v>18958</v>
      </c>
      <c r="N5877" t="s">
        <v>23226</v>
      </c>
      <c r="O5877" t="s">
        <v>26523</v>
      </c>
      <c r="P5877" t="s">
        <v>26560</v>
      </c>
      <c r="R5877" t="s">
        <v>26579</v>
      </c>
      <c r="U5877" t="s">
        <v>26604</v>
      </c>
      <c r="V5877" t="s">
        <v>26610</v>
      </c>
      <c r="W5877" t="s">
        <v>574</v>
      </c>
      <c r="X5877">
        <v>1111.88</v>
      </c>
      <c r="Y5877" t="s">
        <v>26650</v>
      </c>
      <c r="Z5877" t="s">
        <v>26664</v>
      </c>
      <c r="AB5877" t="s">
        <v>31303</v>
      </c>
      <c r="AC5877" t="s">
        <v>36065</v>
      </c>
      <c r="AD5877" t="s">
        <v>41497</v>
      </c>
      <c r="AE5877">
        <v>0</v>
      </c>
      <c r="AF5877" t="s">
        <v>45541</v>
      </c>
      <c r="AG5877" t="s">
        <v>45557</v>
      </c>
      <c r="AH5877">
        <v>10</v>
      </c>
      <c r="AI5877">
        <v>2</v>
      </c>
      <c r="AJ5877">
        <v>1</v>
      </c>
      <c r="AK5877">
        <v>73.14</v>
      </c>
      <c r="AN5877" t="s">
        <v>45581</v>
      </c>
      <c r="AO5877">
        <v>15600</v>
      </c>
      <c r="AU5877">
        <v>8.75</v>
      </c>
      <c r="AV5877" t="s">
        <v>764</v>
      </c>
      <c r="AW5877" t="s">
        <v>334</v>
      </c>
    </row>
    <row r="5878" spans="1:50">
      <c r="A5878" s="1">
        <f>HYPERLINK("https://lsnyc.legalserver.org/matter/dynamic-profile/view/1891949","19-1891949")</f>
        <v>0</v>
      </c>
      <c r="B5878" t="s">
        <v>82</v>
      </c>
      <c r="C5878" t="s">
        <v>340</v>
      </c>
      <c r="D5878" t="s">
        <v>574</v>
      </c>
      <c r="F5878" t="s">
        <v>1165</v>
      </c>
      <c r="G5878" t="s">
        <v>7810</v>
      </c>
      <c r="H5878" t="s">
        <v>13862</v>
      </c>
      <c r="I5878" t="s">
        <v>17440</v>
      </c>
      <c r="J5878" t="s">
        <v>18892</v>
      </c>
      <c r="K5878">
        <v>10468</v>
      </c>
      <c r="L5878" t="s">
        <v>18958</v>
      </c>
      <c r="M5878" t="s">
        <v>18958</v>
      </c>
      <c r="N5878" t="s">
        <v>23227</v>
      </c>
      <c r="O5878" t="s">
        <v>26524</v>
      </c>
      <c r="P5878" t="s">
        <v>26560</v>
      </c>
      <c r="R5878" t="s">
        <v>26579</v>
      </c>
      <c r="U5878" t="s">
        <v>26604</v>
      </c>
      <c r="V5878" t="s">
        <v>26610</v>
      </c>
      <c r="W5878" t="s">
        <v>574</v>
      </c>
      <c r="X5878">
        <v>170</v>
      </c>
      <c r="Y5878" t="s">
        <v>26650</v>
      </c>
      <c r="Z5878" t="s">
        <v>26664</v>
      </c>
      <c r="AB5878" t="s">
        <v>31304</v>
      </c>
      <c r="AD5878" t="s">
        <v>41498</v>
      </c>
      <c r="AE5878">
        <v>0</v>
      </c>
      <c r="AF5878" t="s">
        <v>45541</v>
      </c>
      <c r="AG5878" t="s">
        <v>45556</v>
      </c>
      <c r="AH5878">
        <v>10</v>
      </c>
      <c r="AI5878">
        <v>1</v>
      </c>
      <c r="AJ5878">
        <v>0</v>
      </c>
      <c r="AK5878">
        <v>76.86</v>
      </c>
      <c r="AN5878" t="s">
        <v>7439</v>
      </c>
      <c r="AO5878">
        <v>9600</v>
      </c>
      <c r="AP5878" t="s">
        <v>45654</v>
      </c>
      <c r="AU5878">
        <v>5.5</v>
      </c>
      <c r="AV5878" t="s">
        <v>830</v>
      </c>
      <c r="AW5878" t="s">
        <v>334</v>
      </c>
    </row>
    <row r="5879" spans="1:50">
      <c r="A5879" s="1">
        <f>HYPERLINK("https://lsnyc.legalserver.org/matter/dynamic-profile/view/1891883","19-1891883")</f>
        <v>0</v>
      </c>
      <c r="B5879" t="s">
        <v>82</v>
      </c>
      <c r="C5879" t="s">
        <v>340</v>
      </c>
      <c r="D5879" t="s">
        <v>574</v>
      </c>
      <c r="F5879" t="s">
        <v>3178</v>
      </c>
      <c r="G5879" t="s">
        <v>5147</v>
      </c>
      <c r="H5879" t="s">
        <v>13863</v>
      </c>
      <c r="I5879" t="s">
        <v>18289</v>
      </c>
      <c r="J5879" t="s">
        <v>18892</v>
      </c>
      <c r="K5879">
        <v>10468</v>
      </c>
      <c r="L5879" t="s">
        <v>18958</v>
      </c>
      <c r="M5879" t="s">
        <v>18958</v>
      </c>
      <c r="N5879" t="s">
        <v>23228</v>
      </c>
      <c r="O5879" t="s">
        <v>26523</v>
      </c>
      <c r="P5879" t="s">
        <v>26560</v>
      </c>
      <c r="R5879" t="s">
        <v>26579</v>
      </c>
      <c r="S5879" t="s">
        <v>18959</v>
      </c>
      <c r="U5879" t="s">
        <v>26604</v>
      </c>
      <c r="V5879" t="s">
        <v>26613</v>
      </c>
      <c r="W5879" t="s">
        <v>574</v>
      </c>
      <c r="X5879">
        <v>1024.24</v>
      </c>
      <c r="Y5879" t="s">
        <v>26650</v>
      </c>
      <c r="Z5879" t="s">
        <v>26664</v>
      </c>
      <c r="AB5879" t="s">
        <v>31305</v>
      </c>
      <c r="AD5879" t="s">
        <v>41499</v>
      </c>
      <c r="AE5879">
        <v>0</v>
      </c>
      <c r="AF5879" t="s">
        <v>45541</v>
      </c>
      <c r="AG5879" t="s">
        <v>19330</v>
      </c>
      <c r="AH5879">
        <v>20</v>
      </c>
      <c r="AI5879">
        <v>5</v>
      </c>
      <c r="AJ5879">
        <v>1</v>
      </c>
      <c r="AK5879">
        <v>87.31</v>
      </c>
      <c r="AO5879">
        <v>30200</v>
      </c>
      <c r="AU5879">
        <v>6</v>
      </c>
      <c r="AV5879" t="s">
        <v>820</v>
      </c>
      <c r="AW5879" t="s">
        <v>334</v>
      </c>
    </row>
    <row r="5880" spans="1:50">
      <c r="A5880" s="1">
        <f>HYPERLINK("https://lsnyc.legalserver.org/matter/dynamic-profile/view/1891972","19-1891972")</f>
        <v>0</v>
      </c>
      <c r="B5880" t="s">
        <v>120</v>
      </c>
      <c r="C5880" t="s">
        <v>340</v>
      </c>
      <c r="D5880" t="s">
        <v>574</v>
      </c>
      <c r="F5880" t="s">
        <v>3516</v>
      </c>
      <c r="G5880" t="s">
        <v>994</v>
      </c>
      <c r="H5880" t="s">
        <v>13864</v>
      </c>
      <c r="I5880" t="s">
        <v>17322</v>
      </c>
      <c r="J5880" t="s">
        <v>18892</v>
      </c>
      <c r="K5880">
        <v>10467</v>
      </c>
      <c r="L5880" t="s">
        <v>18958</v>
      </c>
      <c r="M5880" t="s">
        <v>18958</v>
      </c>
      <c r="N5880" t="s">
        <v>23229</v>
      </c>
      <c r="O5880" t="s">
        <v>26524</v>
      </c>
      <c r="P5880" t="s">
        <v>26560</v>
      </c>
      <c r="R5880" t="s">
        <v>26579</v>
      </c>
      <c r="S5880" t="s">
        <v>18959</v>
      </c>
      <c r="U5880" t="s">
        <v>26604</v>
      </c>
      <c r="V5880" t="s">
        <v>26610</v>
      </c>
      <c r="W5880" t="s">
        <v>574</v>
      </c>
      <c r="X5880">
        <v>800</v>
      </c>
      <c r="Y5880" t="s">
        <v>26650</v>
      </c>
      <c r="Z5880" t="s">
        <v>26668</v>
      </c>
      <c r="AB5880" t="s">
        <v>31306</v>
      </c>
      <c r="AC5880" t="s">
        <v>36066</v>
      </c>
      <c r="AD5880" t="s">
        <v>41500</v>
      </c>
      <c r="AE5880">
        <v>4</v>
      </c>
      <c r="AF5880" t="s">
        <v>45545</v>
      </c>
      <c r="AG5880" t="s">
        <v>19330</v>
      </c>
      <c r="AH5880">
        <v>9</v>
      </c>
      <c r="AI5880">
        <v>1</v>
      </c>
      <c r="AJ5880">
        <v>0</v>
      </c>
      <c r="AK5880">
        <v>11.53</v>
      </c>
      <c r="AN5880" t="s">
        <v>7439</v>
      </c>
      <c r="AO5880">
        <v>1440</v>
      </c>
      <c r="AU5880">
        <v>16</v>
      </c>
      <c r="AV5880" t="s">
        <v>836</v>
      </c>
      <c r="AW5880" t="s">
        <v>46832</v>
      </c>
    </row>
    <row r="5881" spans="1:50">
      <c r="A5881" s="1">
        <f>HYPERLINK("https://lsnyc.legalserver.org/matter/dynamic-profile/view/1892034","19-1892034")</f>
        <v>0</v>
      </c>
      <c r="B5881" t="s">
        <v>125</v>
      </c>
      <c r="C5881" t="s">
        <v>340</v>
      </c>
      <c r="D5881" t="s">
        <v>574</v>
      </c>
      <c r="F5881" t="s">
        <v>1854</v>
      </c>
      <c r="G5881" t="s">
        <v>7811</v>
      </c>
      <c r="H5881" t="s">
        <v>13865</v>
      </c>
      <c r="I5881" t="s">
        <v>17646</v>
      </c>
      <c r="J5881" t="s">
        <v>18894</v>
      </c>
      <c r="K5881">
        <v>11212</v>
      </c>
      <c r="L5881" t="s">
        <v>18958</v>
      </c>
      <c r="M5881" t="s">
        <v>18958</v>
      </c>
      <c r="N5881" t="s">
        <v>23230</v>
      </c>
      <c r="O5881" t="s">
        <v>26523</v>
      </c>
      <c r="P5881" t="s">
        <v>26564</v>
      </c>
      <c r="R5881" t="s">
        <v>26578</v>
      </c>
      <c r="S5881" t="s">
        <v>18959</v>
      </c>
      <c r="U5881" t="s">
        <v>26604</v>
      </c>
      <c r="W5881" t="s">
        <v>574</v>
      </c>
      <c r="X5881">
        <v>1049.49</v>
      </c>
      <c r="Y5881" t="s">
        <v>26652</v>
      </c>
      <c r="Z5881" t="s">
        <v>26659</v>
      </c>
      <c r="AB5881" t="s">
        <v>31307</v>
      </c>
      <c r="AD5881" t="s">
        <v>41501</v>
      </c>
      <c r="AE5881">
        <v>54</v>
      </c>
      <c r="AF5881" t="s">
        <v>45541</v>
      </c>
      <c r="AG5881" t="s">
        <v>19330</v>
      </c>
      <c r="AH5881">
        <v>15</v>
      </c>
      <c r="AI5881">
        <v>1</v>
      </c>
      <c r="AJ5881">
        <v>0</v>
      </c>
      <c r="AK5881">
        <v>200.16</v>
      </c>
      <c r="AN5881" t="s">
        <v>7439</v>
      </c>
      <c r="AO5881">
        <v>25000</v>
      </c>
      <c r="AU5881">
        <v>1.25</v>
      </c>
      <c r="AV5881" t="s">
        <v>785</v>
      </c>
      <c r="AW5881" t="s">
        <v>286</v>
      </c>
    </row>
    <row r="5882" spans="1:50">
      <c r="A5882" s="1">
        <f>HYPERLINK("https://lsnyc.legalserver.org/matter/dynamic-profile/view/1891161","19-1891161")</f>
        <v>0</v>
      </c>
      <c r="B5882" t="s">
        <v>155</v>
      </c>
      <c r="C5882" t="s">
        <v>340</v>
      </c>
      <c r="D5882" t="s">
        <v>756</v>
      </c>
      <c r="F5882" t="s">
        <v>1113</v>
      </c>
      <c r="G5882" t="s">
        <v>6548</v>
      </c>
      <c r="H5882" t="s">
        <v>11766</v>
      </c>
      <c r="I5882" t="s">
        <v>17342</v>
      </c>
      <c r="J5882" t="s">
        <v>18894</v>
      </c>
      <c r="K5882">
        <v>11216</v>
      </c>
      <c r="L5882" t="s">
        <v>18958</v>
      </c>
      <c r="M5882" t="s">
        <v>18958</v>
      </c>
      <c r="N5882" t="s">
        <v>23231</v>
      </c>
      <c r="O5882" t="s">
        <v>26523</v>
      </c>
      <c r="P5882" t="s">
        <v>26560</v>
      </c>
      <c r="R5882" t="s">
        <v>26588</v>
      </c>
      <c r="U5882" t="s">
        <v>26604</v>
      </c>
      <c r="W5882" t="s">
        <v>758</v>
      </c>
      <c r="X5882">
        <v>305</v>
      </c>
      <c r="Y5882" t="s">
        <v>26652</v>
      </c>
      <c r="Z5882" t="s">
        <v>26669</v>
      </c>
      <c r="AB5882" t="s">
        <v>29018</v>
      </c>
      <c r="AD5882" t="s">
        <v>39070</v>
      </c>
      <c r="AE5882">
        <v>0</v>
      </c>
      <c r="AH5882">
        <v>0</v>
      </c>
      <c r="AI5882">
        <v>1</v>
      </c>
      <c r="AJ5882">
        <v>0</v>
      </c>
      <c r="AK5882">
        <v>96.08</v>
      </c>
      <c r="AN5882" t="s">
        <v>7439</v>
      </c>
      <c r="AO5882">
        <v>12000</v>
      </c>
      <c r="AU5882">
        <v>4.8</v>
      </c>
      <c r="AV5882" t="s">
        <v>788</v>
      </c>
      <c r="AW5882" t="s">
        <v>281</v>
      </c>
      <c r="AX5882" t="s">
        <v>46897</v>
      </c>
    </row>
    <row r="5883" spans="1:50">
      <c r="A5883" s="1">
        <f>HYPERLINK("https://lsnyc.legalserver.org/matter/dynamic-profile/view/1891913","19-1891913")</f>
        <v>0</v>
      </c>
      <c r="B5883" t="s">
        <v>269</v>
      </c>
      <c r="C5883" t="s">
        <v>340</v>
      </c>
      <c r="D5883" t="s">
        <v>574</v>
      </c>
      <c r="F5883" t="s">
        <v>871</v>
      </c>
      <c r="G5883" t="s">
        <v>7812</v>
      </c>
      <c r="H5883" t="s">
        <v>13866</v>
      </c>
      <c r="I5883" t="s">
        <v>17304</v>
      </c>
      <c r="J5883" t="s">
        <v>18892</v>
      </c>
      <c r="K5883">
        <v>10451</v>
      </c>
      <c r="L5883" t="s">
        <v>18958</v>
      </c>
      <c r="M5883" t="s">
        <v>18958</v>
      </c>
      <c r="N5883" t="s">
        <v>23232</v>
      </c>
      <c r="O5883" t="s">
        <v>26524</v>
      </c>
      <c r="P5883" t="s">
        <v>26560</v>
      </c>
      <c r="R5883" t="s">
        <v>26577</v>
      </c>
      <c r="S5883" t="s">
        <v>18959</v>
      </c>
      <c r="U5883" t="s">
        <v>26604</v>
      </c>
      <c r="V5883" t="s">
        <v>26610</v>
      </c>
      <c r="W5883" t="s">
        <v>758</v>
      </c>
      <c r="X5883">
        <v>891.87</v>
      </c>
      <c r="Y5883" t="s">
        <v>26650</v>
      </c>
      <c r="Z5883" t="s">
        <v>26659</v>
      </c>
      <c r="AB5883" t="s">
        <v>31308</v>
      </c>
      <c r="AD5883" t="s">
        <v>41502</v>
      </c>
      <c r="AE5883">
        <v>84</v>
      </c>
      <c r="AF5883" t="s">
        <v>45541</v>
      </c>
      <c r="AG5883" t="s">
        <v>45558</v>
      </c>
      <c r="AH5883">
        <v>25</v>
      </c>
      <c r="AI5883">
        <v>1</v>
      </c>
      <c r="AJ5883">
        <v>2</v>
      </c>
      <c r="AK5883">
        <v>19.58</v>
      </c>
      <c r="AN5883" t="s">
        <v>45581</v>
      </c>
      <c r="AO5883">
        <v>4176</v>
      </c>
      <c r="AU5883">
        <v>52.45</v>
      </c>
      <c r="AV5883" t="s">
        <v>838</v>
      </c>
      <c r="AW5883" t="s">
        <v>46847</v>
      </c>
    </row>
    <row r="5884" spans="1:50">
      <c r="A5884" s="1">
        <f>HYPERLINK("https://lsnyc.legalserver.org/matter/dynamic-profile/view/1892120","19-1892120")</f>
        <v>0</v>
      </c>
      <c r="B5884" t="s">
        <v>107</v>
      </c>
      <c r="C5884" t="s">
        <v>341</v>
      </c>
      <c r="D5884" t="s">
        <v>758</v>
      </c>
      <c r="E5884" t="s">
        <v>819</v>
      </c>
      <c r="F5884" t="s">
        <v>3517</v>
      </c>
      <c r="G5884" t="s">
        <v>5695</v>
      </c>
      <c r="H5884" t="s">
        <v>13867</v>
      </c>
      <c r="I5884" t="s">
        <v>18290</v>
      </c>
      <c r="J5884" t="s">
        <v>18906</v>
      </c>
      <c r="K5884">
        <v>11373</v>
      </c>
      <c r="L5884" t="s">
        <v>18958</v>
      </c>
      <c r="M5884" t="s">
        <v>18958</v>
      </c>
      <c r="N5884" t="s">
        <v>23233</v>
      </c>
      <c r="O5884" t="s">
        <v>26524</v>
      </c>
      <c r="P5884" t="s">
        <v>26560</v>
      </c>
      <c r="Q5884" t="s">
        <v>26568</v>
      </c>
      <c r="R5884" t="s">
        <v>26585</v>
      </c>
      <c r="S5884" t="s">
        <v>18959</v>
      </c>
      <c r="U5884" t="s">
        <v>26604</v>
      </c>
      <c r="V5884" t="s">
        <v>26610</v>
      </c>
      <c r="W5884" t="s">
        <v>758</v>
      </c>
      <c r="X5884">
        <v>900</v>
      </c>
      <c r="Y5884" t="s">
        <v>26653</v>
      </c>
      <c r="Z5884" t="s">
        <v>26668</v>
      </c>
      <c r="AA5884" t="s">
        <v>26678</v>
      </c>
      <c r="AB5884" t="s">
        <v>27548</v>
      </c>
      <c r="AC5884" t="s">
        <v>19045</v>
      </c>
      <c r="AD5884" t="s">
        <v>34738</v>
      </c>
      <c r="AE5884">
        <v>107</v>
      </c>
      <c r="AF5884" t="s">
        <v>20460</v>
      </c>
      <c r="AG5884" t="s">
        <v>19330</v>
      </c>
      <c r="AH5884">
        <v>1</v>
      </c>
      <c r="AI5884">
        <v>2</v>
      </c>
      <c r="AJ5884">
        <v>2</v>
      </c>
      <c r="AK5884">
        <v>0</v>
      </c>
      <c r="AN5884" t="s">
        <v>45581</v>
      </c>
      <c r="AO5884">
        <v>0</v>
      </c>
      <c r="AQ5884" t="s">
        <v>46359</v>
      </c>
      <c r="AR5884" t="s">
        <v>46381</v>
      </c>
      <c r="AS5884" t="s">
        <v>46499</v>
      </c>
      <c r="AT5884" t="s">
        <v>46623</v>
      </c>
      <c r="AU5884">
        <v>11.35</v>
      </c>
      <c r="AV5884" t="s">
        <v>805</v>
      </c>
      <c r="AW5884" t="s">
        <v>208</v>
      </c>
      <c r="AX5884" t="s">
        <v>46897</v>
      </c>
    </row>
    <row r="5885" spans="1:50">
      <c r="A5885" s="1">
        <f>HYPERLINK("https://lsnyc.legalserver.org/matter/dynamic-profile/view/1892071","19-1892071")</f>
        <v>0</v>
      </c>
      <c r="B5885" t="s">
        <v>70</v>
      </c>
      <c r="C5885" t="s">
        <v>341</v>
      </c>
      <c r="D5885" t="s">
        <v>758</v>
      </c>
      <c r="E5885" t="s">
        <v>763</v>
      </c>
      <c r="F5885" t="s">
        <v>1013</v>
      </c>
      <c r="G5885" t="s">
        <v>1189</v>
      </c>
      <c r="H5885" t="s">
        <v>13868</v>
      </c>
      <c r="I5885" t="s">
        <v>17300</v>
      </c>
      <c r="J5885" t="s">
        <v>18892</v>
      </c>
      <c r="K5885">
        <v>10473</v>
      </c>
      <c r="L5885" t="s">
        <v>18958</v>
      </c>
      <c r="M5885" t="s">
        <v>18958</v>
      </c>
      <c r="N5885" t="s">
        <v>23234</v>
      </c>
      <c r="O5885" t="s">
        <v>26524</v>
      </c>
      <c r="P5885" t="s">
        <v>26564</v>
      </c>
      <c r="Q5885" t="s">
        <v>26570</v>
      </c>
      <c r="R5885" t="s">
        <v>26577</v>
      </c>
      <c r="S5885" t="s">
        <v>18959</v>
      </c>
      <c r="U5885" t="s">
        <v>26604</v>
      </c>
      <c r="W5885" t="s">
        <v>758</v>
      </c>
      <c r="X5885">
        <v>231.7</v>
      </c>
      <c r="Y5885" t="s">
        <v>26650</v>
      </c>
      <c r="Z5885" t="s">
        <v>26670</v>
      </c>
      <c r="AA5885" t="s">
        <v>26683</v>
      </c>
      <c r="AB5885" t="s">
        <v>31309</v>
      </c>
      <c r="AC5885" t="s">
        <v>36067</v>
      </c>
      <c r="AD5885" t="s">
        <v>41503</v>
      </c>
      <c r="AE5885">
        <v>0</v>
      </c>
      <c r="AF5885" t="s">
        <v>45549</v>
      </c>
      <c r="AG5885" t="s">
        <v>19330</v>
      </c>
      <c r="AH5885">
        <v>12</v>
      </c>
      <c r="AI5885">
        <v>4</v>
      </c>
      <c r="AJ5885">
        <v>1</v>
      </c>
      <c r="AK5885">
        <v>30.67</v>
      </c>
      <c r="AN5885" t="s">
        <v>7439</v>
      </c>
      <c r="AO5885">
        <v>9252</v>
      </c>
      <c r="AU5885">
        <v>1.9</v>
      </c>
      <c r="AV5885" t="s">
        <v>781</v>
      </c>
      <c r="AW5885" t="s">
        <v>46870</v>
      </c>
    </row>
    <row r="5886" spans="1:50">
      <c r="A5886" s="1">
        <f>HYPERLINK("https://lsnyc.legalserver.org/matter/dynamic-profile/view/1892107","19-1892107")</f>
        <v>0</v>
      </c>
      <c r="B5886" t="s">
        <v>77</v>
      </c>
      <c r="C5886" t="s">
        <v>341</v>
      </c>
      <c r="D5886" t="s">
        <v>758</v>
      </c>
      <c r="E5886" t="s">
        <v>832</v>
      </c>
      <c r="F5886" t="s">
        <v>1218</v>
      </c>
      <c r="G5886" t="s">
        <v>5363</v>
      </c>
      <c r="H5886" t="s">
        <v>13869</v>
      </c>
      <c r="I5886" t="s">
        <v>17360</v>
      </c>
      <c r="J5886" t="s">
        <v>18893</v>
      </c>
      <c r="K5886">
        <v>10025</v>
      </c>
      <c r="L5886" t="s">
        <v>18958</v>
      </c>
      <c r="M5886" t="s">
        <v>18958</v>
      </c>
      <c r="N5886" t="s">
        <v>23235</v>
      </c>
      <c r="O5886" t="s">
        <v>26523</v>
      </c>
      <c r="P5886" t="s">
        <v>26560</v>
      </c>
      <c r="Q5886" t="s">
        <v>26568</v>
      </c>
      <c r="R5886" t="s">
        <v>26580</v>
      </c>
      <c r="S5886" t="s">
        <v>18959</v>
      </c>
      <c r="U5886" t="s">
        <v>26604</v>
      </c>
      <c r="V5886" t="s">
        <v>26611</v>
      </c>
      <c r="W5886" t="s">
        <v>758</v>
      </c>
      <c r="X5886">
        <v>4339</v>
      </c>
      <c r="Y5886" t="s">
        <v>26651</v>
      </c>
      <c r="Z5886" t="s">
        <v>26668</v>
      </c>
      <c r="AA5886" t="s">
        <v>26678</v>
      </c>
      <c r="AB5886" t="s">
        <v>31310</v>
      </c>
      <c r="AD5886" t="s">
        <v>41504</v>
      </c>
      <c r="AE5886">
        <v>0</v>
      </c>
      <c r="AF5886" t="s">
        <v>45541</v>
      </c>
      <c r="AG5886" t="s">
        <v>45556</v>
      </c>
      <c r="AH5886">
        <v>10</v>
      </c>
      <c r="AI5886">
        <v>1</v>
      </c>
      <c r="AJ5886">
        <v>2</v>
      </c>
      <c r="AK5886">
        <v>162.73</v>
      </c>
      <c r="AN5886" t="s">
        <v>7439</v>
      </c>
      <c r="AO5886">
        <v>34710</v>
      </c>
      <c r="AQ5886" t="s">
        <v>46359</v>
      </c>
      <c r="AS5886" t="s">
        <v>46499</v>
      </c>
      <c r="AT5886" t="s">
        <v>46780</v>
      </c>
      <c r="AU5886">
        <v>8.699999999999999</v>
      </c>
      <c r="AV5886" t="s">
        <v>832</v>
      </c>
      <c r="AW5886" t="s">
        <v>46875</v>
      </c>
    </row>
    <row r="5887" spans="1:50">
      <c r="A5887" s="1">
        <f>HYPERLINK("https://lsnyc.legalserver.org/matter/dynamic-profile/view/1892061","19-1892061")</f>
        <v>0</v>
      </c>
      <c r="B5887" t="s">
        <v>77</v>
      </c>
      <c r="C5887" t="s">
        <v>341</v>
      </c>
      <c r="D5887" t="s">
        <v>758</v>
      </c>
      <c r="E5887" t="s">
        <v>820</v>
      </c>
      <c r="F5887" t="s">
        <v>873</v>
      </c>
      <c r="G5887" t="s">
        <v>5079</v>
      </c>
      <c r="H5887" t="s">
        <v>13870</v>
      </c>
      <c r="I5887" t="s">
        <v>17669</v>
      </c>
      <c r="J5887" t="s">
        <v>18893</v>
      </c>
      <c r="K5887">
        <v>10031</v>
      </c>
      <c r="L5887" t="s">
        <v>18958</v>
      </c>
      <c r="M5887" t="s">
        <v>18958</v>
      </c>
      <c r="N5887" t="s">
        <v>23236</v>
      </c>
      <c r="O5887" t="s">
        <v>26523</v>
      </c>
      <c r="P5887" t="s">
        <v>26564</v>
      </c>
      <c r="Q5887" t="s">
        <v>26570</v>
      </c>
      <c r="R5887" t="s">
        <v>26580</v>
      </c>
      <c r="S5887" t="s">
        <v>18959</v>
      </c>
      <c r="U5887" t="s">
        <v>26604</v>
      </c>
      <c r="V5887" t="s">
        <v>26610</v>
      </c>
      <c r="W5887" t="s">
        <v>758</v>
      </c>
      <c r="X5887">
        <v>2542</v>
      </c>
      <c r="Y5887" t="s">
        <v>26651</v>
      </c>
      <c r="Z5887" t="s">
        <v>26668</v>
      </c>
      <c r="AA5887" t="s">
        <v>26683</v>
      </c>
      <c r="AB5887" t="s">
        <v>31311</v>
      </c>
      <c r="AD5887" t="s">
        <v>41505</v>
      </c>
      <c r="AE5887">
        <v>0</v>
      </c>
      <c r="AF5887" t="s">
        <v>45543</v>
      </c>
      <c r="AG5887" t="s">
        <v>45556</v>
      </c>
      <c r="AH5887">
        <v>20</v>
      </c>
      <c r="AI5887">
        <v>2</v>
      </c>
      <c r="AJ5887">
        <v>0</v>
      </c>
      <c r="AK5887">
        <v>219.99</v>
      </c>
      <c r="AN5887" t="s">
        <v>7439</v>
      </c>
      <c r="AO5887">
        <v>37200</v>
      </c>
      <c r="AU5887">
        <v>1</v>
      </c>
      <c r="AV5887" t="s">
        <v>758</v>
      </c>
      <c r="AW5887" t="s">
        <v>46875</v>
      </c>
    </row>
    <row r="5888" spans="1:50">
      <c r="A5888" s="1">
        <f>HYPERLINK("https://lsnyc.legalserver.org/matter/dynamic-profile/view/1892088","19-1892088")</f>
        <v>0</v>
      </c>
      <c r="B5888" t="s">
        <v>141</v>
      </c>
      <c r="C5888" t="s">
        <v>341</v>
      </c>
      <c r="D5888" t="s">
        <v>758</v>
      </c>
      <c r="E5888" t="s">
        <v>805</v>
      </c>
      <c r="F5888" t="s">
        <v>948</v>
      </c>
      <c r="G5888" t="s">
        <v>5700</v>
      </c>
      <c r="H5888" t="s">
        <v>13871</v>
      </c>
      <c r="I5888">
        <v>1</v>
      </c>
      <c r="J5888" t="s">
        <v>18899</v>
      </c>
      <c r="K5888">
        <v>11385</v>
      </c>
      <c r="L5888" t="s">
        <v>18958</v>
      </c>
      <c r="M5888" t="s">
        <v>18958</v>
      </c>
      <c r="N5888" t="s">
        <v>23237</v>
      </c>
      <c r="O5888" t="s">
        <v>26524</v>
      </c>
      <c r="P5888" t="s">
        <v>26560</v>
      </c>
      <c r="Q5888" t="s">
        <v>26568</v>
      </c>
      <c r="R5888" t="s">
        <v>26585</v>
      </c>
      <c r="S5888" t="s">
        <v>18959</v>
      </c>
      <c r="U5888" t="s">
        <v>26604</v>
      </c>
      <c r="V5888" t="s">
        <v>26610</v>
      </c>
      <c r="W5888" t="s">
        <v>758</v>
      </c>
      <c r="X5888">
        <v>1008</v>
      </c>
      <c r="Y5888" t="s">
        <v>26653</v>
      </c>
      <c r="Z5888" t="s">
        <v>26668</v>
      </c>
      <c r="AA5888" t="s">
        <v>26678</v>
      </c>
      <c r="AB5888" t="s">
        <v>31312</v>
      </c>
      <c r="AC5888" t="s">
        <v>34738</v>
      </c>
      <c r="AD5888" t="s">
        <v>41506</v>
      </c>
      <c r="AE5888">
        <v>6</v>
      </c>
      <c r="AF5888" t="s">
        <v>45541</v>
      </c>
      <c r="AG5888" t="s">
        <v>19330</v>
      </c>
      <c r="AH5888">
        <v>35</v>
      </c>
      <c r="AI5888">
        <v>1</v>
      </c>
      <c r="AJ5888">
        <v>0</v>
      </c>
      <c r="AK5888">
        <v>85.98999999999999</v>
      </c>
      <c r="AN5888" t="s">
        <v>7439</v>
      </c>
      <c r="AO5888">
        <v>10740</v>
      </c>
      <c r="AQ5888" t="s">
        <v>46361</v>
      </c>
      <c r="AR5888" t="s">
        <v>46379</v>
      </c>
      <c r="AS5888" t="s">
        <v>46499</v>
      </c>
      <c r="AT5888" t="s">
        <v>46655</v>
      </c>
      <c r="AU5888">
        <v>34.2</v>
      </c>
      <c r="AV5888" t="s">
        <v>672</v>
      </c>
      <c r="AW5888" t="s">
        <v>208</v>
      </c>
      <c r="AX5888" t="s">
        <v>46897</v>
      </c>
    </row>
    <row r="5889" spans="1:50">
      <c r="A5889" s="1">
        <f>HYPERLINK("https://lsnyc.legalserver.org/matter/dynamic-profile/view/1893342","19-1893342")</f>
        <v>0</v>
      </c>
      <c r="B5889" t="s">
        <v>270</v>
      </c>
      <c r="C5889" t="s">
        <v>341</v>
      </c>
      <c r="D5889" t="s">
        <v>758</v>
      </c>
      <c r="E5889" t="s">
        <v>768</v>
      </c>
      <c r="F5889" t="s">
        <v>3518</v>
      </c>
      <c r="G5889" t="s">
        <v>7813</v>
      </c>
      <c r="H5889" t="s">
        <v>13872</v>
      </c>
      <c r="I5889">
        <v>302</v>
      </c>
      <c r="J5889" t="s">
        <v>18892</v>
      </c>
      <c r="K5889">
        <v>10468</v>
      </c>
      <c r="L5889" t="s">
        <v>18958</v>
      </c>
      <c r="M5889" t="s">
        <v>18958</v>
      </c>
      <c r="N5889" t="s">
        <v>23238</v>
      </c>
      <c r="O5889" t="s">
        <v>26523</v>
      </c>
      <c r="P5889" t="s">
        <v>26560</v>
      </c>
      <c r="Q5889" t="s">
        <v>26568</v>
      </c>
      <c r="R5889" t="s">
        <v>26579</v>
      </c>
      <c r="S5889" t="s">
        <v>18959</v>
      </c>
      <c r="U5889" t="s">
        <v>26604</v>
      </c>
      <c r="V5889" t="s">
        <v>26610</v>
      </c>
      <c r="W5889" t="s">
        <v>758</v>
      </c>
      <c r="X5889">
        <v>0</v>
      </c>
      <c r="Y5889" t="s">
        <v>26650</v>
      </c>
      <c r="Z5889" t="s">
        <v>26664</v>
      </c>
      <c r="AA5889" t="s">
        <v>26681</v>
      </c>
      <c r="AB5889" t="s">
        <v>31313</v>
      </c>
      <c r="AD5889" t="s">
        <v>41507</v>
      </c>
      <c r="AE5889">
        <v>57</v>
      </c>
      <c r="AF5889" t="s">
        <v>45552</v>
      </c>
      <c r="AG5889" t="s">
        <v>45563</v>
      </c>
      <c r="AH5889">
        <v>0</v>
      </c>
      <c r="AI5889">
        <v>1</v>
      </c>
      <c r="AJ5889">
        <v>0</v>
      </c>
      <c r="AK5889">
        <v>74.08</v>
      </c>
      <c r="AN5889" t="s">
        <v>7439</v>
      </c>
      <c r="AO5889">
        <v>9252</v>
      </c>
      <c r="AR5889" t="s">
        <v>46379</v>
      </c>
      <c r="AS5889" t="s">
        <v>46499</v>
      </c>
      <c r="AT5889" t="s">
        <v>46679</v>
      </c>
      <c r="AU5889">
        <v>2.3</v>
      </c>
      <c r="AV5889" t="s">
        <v>762</v>
      </c>
      <c r="AW5889" t="s">
        <v>336</v>
      </c>
    </row>
    <row r="5890" spans="1:50">
      <c r="A5890" s="1">
        <f>HYPERLINK("https://lsnyc.legalserver.org/matter/dynamic-profile/view/1892179","19-1892179")</f>
        <v>0</v>
      </c>
      <c r="B5890" t="s">
        <v>155</v>
      </c>
      <c r="C5890" t="s">
        <v>341</v>
      </c>
      <c r="D5890" t="s">
        <v>758</v>
      </c>
      <c r="E5890" t="s">
        <v>416</v>
      </c>
      <c r="F5890" t="s">
        <v>1283</v>
      </c>
      <c r="G5890" t="s">
        <v>7814</v>
      </c>
      <c r="H5890" t="s">
        <v>9861</v>
      </c>
      <c r="I5890" t="s">
        <v>18291</v>
      </c>
      <c r="J5890" t="s">
        <v>18894</v>
      </c>
      <c r="K5890">
        <v>11213</v>
      </c>
      <c r="L5890" t="s">
        <v>18958</v>
      </c>
      <c r="M5890" t="s">
        <v>18958</v>
      </c>
      <c r="N5890" t="s">
        <v>23239</v>
      </c>
      <c r="O5890" t="s">
        <v>26524</v>
      </c>
      <c r="P5890" t="s">
        <v>26564</v>
      </c>
      <c r="Q5890" t="s">
        <v>26570</v>
      </c>
      <c r="R5890" t="s">
        <v>26586</v>
      </c>
      <c r="U5890" t="s">
        <v>26604</v>
      </c>
      <c r="W5890" t="s">
        <v>758</v>
      </c>
      <c r="X5890">
        <v>1255.46</v>
      </c>
      <c r="Y5890" t="s">
        <v>26652</v>
      </c>
      <c r="AA5890" t="s">
        <v>26683</v>
      </c>
      <c r="AB5890" t="s">
        <v>31314</v>
      </c>
      <c r="AD5890" t="s">
        <v>41508</v>
      </c>
      <c r="AE5890">
        <v>22</v>
      </c>
      <c r="AH5890">
        <v>31</v>
      </c>
      <c r="AI5890">
        <v>3</v>
      </c>
      <c r="AJ5890">
        <v>0</v>
      </c>
      <c r="AK5890">
        <v>114.51</v>
      </c>
      <c r="AO5890">
        <v>24424</v>
      </c>
      <c r="AU5890">
        <v>1.8</v>
      </c>
      <c r="AV5890" t="s">
        <v>416</v>
      </c>
      <c r="AW5890" t="s">
        <v>46853</v>
      </c>
    </row>
    <row r="5891" spans="1:50">
      <c r="A5891" s="1">
        <f>HYPERLINK("https://lsnyc.legalserver.org/matter/dynamic-profile/view/1892142","19-1892142")</f>
        <v>0</v>
      </c>
      <c r="B5891" t="s">
        <v>157</v>
      </c>
      <c r="C5891" t="s">
        <v>341</v>
      </c>
      <c r="D5891" t="s">
        <v>758</v>
      </c>
      <c r="E5891" t="s">
        <v>753</v>
      </c>
      <c r="F5891" t="s">
        <v>3519</v>
      </c>
      <c r="G5891" t="s">
        <v>5147</v>
      </c>
      <c r="H5891" t="s">
        <v>13873</v>
      </c>
      <c r="I5891">
        <v>10</v>
      </c>
      <c r="J5891" t="s">
        <v>18893</v>
      </c>
      <c r="K5891">
        <v>10034</v>
      </c>
      <c r="L5891" t="s">
        <v>18958</v>
      </c>
      <c r="M5891" t="s">
        <v>18958</v>
      </c>
      <c r="P5891" t="s">
        <v>26564</v>
      </c>
      <c r="Q5891" t="s">
        <v>26570</v>
      </c>
      <c r="R5891" t="s">
        <v>26578</v>
      </c>
      <c r="S5891" t="s">
        <v>18959</v>
      </c>
      <c r="U5891" t="s">
        <v>26604</v>
      </c>
      <c r="W5891" t="s">
        <v>758</v>
      </c>
      <c r="X5891">
        <v>1246.98</v>
      </c>
      <c r="Y5891" t="s">
        <v>26651</v>
      </c>
      <c r="Z5891" t="s">
        <v>26659</v>
      </c>
      <c r="AA5891" t="s">
        <v>26683</v>
      </c>
      <c r="AB5891" t="s">
        <v>31315</v>
      </c>
      <c r="AD5891" t="s">
        <v>41509</v>
      </c>
      <c r="AE5891">
        <v>0</v>
      </c>
      <c r="AF5891" t="s">
        <v>45541</v>
      </c>
      <c r="AG5891" t="s">
        <v>19330</v>
      </c>
      <c r="AH5891">
        <v>8</v>
      </c>
      <c r="AI5891">
        <v>2</v>
      </c>
      <c r="AJ5891">
        <v>0</v>
      </c>
      <c r="AK5891">
        <v>246.75</v>
      </c>
      <c r="AN5891" t="s">
        <v>45581</v>
      </c>
      <c r="AO5891">
        <v>41725.28</v>
      </c>
      <c r="AU5891">
        <v>1.4</v>
      </c>
      <c r="AV5891" t="s">
        <v>753</v>
      </c>
      <c r="AW5891" t="s">
        <v>46840</v>
      </c>
    </row>
    <row r="5892" spans="1:50">
      <c r="A5892" s="1">
        <f>HYPERLINK("https://lsnyc.legalserver.org/matter/dynamic-profile/view/1892102","19-1892102")</f>
        <v>0</v>
      </c>
      <c r="B5892" t="s">
        <v>144</v>
      </c>
      <c r="C5892" t="s">
        <v>340</v>
      </c>
      <c r="D5892" t="s">
        <v>758</v>
      </c>
      <c r="F5892" t="s">
        <v>3520</v>
      </c>
      <c r="G5892" t="s">
        <v>5208</v>
      </c>
      <c r="H5892" t="s">
        <v>13874</v>
      </c>
      <c r="I5892" t="s">
        <v>17290</v>
      </c>
      <c r="J5892" t="s">
        <v>18893</v>
      </c>
      <c r="K5892">
        <v>10025</v>
      </c>
      <c r="L5892" t="s">
        <v>18958</v>
      </c>
      <c r="M5892" t="s">
        <v>18958</v>
      </c>
      <c r="N5892" t="s">
        <v>23240</v>
      </c>
      <c r="O5892" t="s">
        <v>26523</v>
      </c>
      <c r="P5892" t="s">
        <v>26560</v>
      </c>
      <c r="R5892" t="s">
        <v>26580</v>
      </c>
      <c r="S5892" t="s">
        <v>18959</v>
      </c>
      <c r="U5892" t="s">
        <v>26605</v>
      </c>
      <c r="V5892" t="s">
        <v>26611</v>
      </c>
      <c r="W5892" t="s">
        <v>758</v>
      </c>
      <c r="X5892">
        <v>521</v>
      </c>
      <c r="Y5892" t="s">
        <v>26651</v>
      </c>
      <c r="Z5892" t="s">
        <v>26664</v>
      </c>
      <c r="AB5892" t="s">
        <v>31316</v>
      </c>
      <c r="AD5892" t="s">
        <v>41510</v>
      </c>
      <c r="AE5892">
        <v>0</v>
      </c>
      <c r="AF5892" t="s">
        <v>45542</v>
      </c>
      <c r="AG5892" t="s">
        <v>19330</v>
      </c>
      <c r="AH5892">
        <v>8</v>
      </c>
      <c r="AI5892">
        <v>1</v>
      </c>
      <c r="AJ5892">
        <v>0</v>
      </c>
      <c r="AK5892">
        <v>0</v>
      </c>
      <c r="AN5892" t="s">
        <v>7439</v>
      </c>
      <c r="AO5892">
        <v>0</v>
      </c>
      <c r="AU5892">
        <v>5</v>
      </c>
      <c r="AV5892" t="s">
        <v>809</v>
      </c>
      <c r="AW5892" t="s">
        <v>46835</v>
      </c>
    </row>
    <row r="5893" spans="1:50">
      <c r="A5893" s="1">
        <f>HYPERLINK("https://lsnyc.legalserver.org/matter/dynamic-profile/view/1892065","19-1892065")</f>
        <v>0</v>
      </c>
      <c r="B5893" t="s">
        <v>144</v>
      </c>
      <c r="C5893" t="s">
        <v>340</v>
      </c>
      <c r="D5893" t="s">
        <v>758</v>
      </c>
      <c r="F5893" t="s">
        <v>968</v>
      </c>
      <c r="G5893" t="s">
        <v>5266</v>
      </c>
      <c r="H5893" t="s">
        <v>9859</v>
      </c>
      <c r="I5893">
        <v>32</v>
      </c>
      <c r="J5893" t="s">
        <v>18893</v>
      </c>
      <c r="K5893">
        <v>10027</v>
      </c>
      <c r="L5893" t="s">
        <v>18958</v>
      </c>
      <c r="M5893" t="s">
        <v>18958</v>
      </c>
      <c r="N5893" t="s">
        <v>23241</v>
      </c>
      <c r="O5893" t="s">
        <v>26523</v>
      </c>
      <c r="P5893" t="s">
        <v>26560</v>
      </c>
      <c r="R5893" t="s">
        <v>26580</v>
      </c>
      <c r="S5893" t="s">
        <v>18959</v>
      </c>
      <c r="U5893" t="s">
        <v>26604</v>
      </c>
      <c r="V5893" t="s">
        <v>26610</v>
      </c>
      <c r="W5893" t="s">
        <v>758</v>
      </c>
      <c r="X5893">
        <v>132</v>
      </c>
      <c r="Y5893" t="s">
        <v>26651</v>
      </c>
      <c r="Z5893" t="s">
        <v>26664</v>
      </c>
      <c r="AB5893" t="s">
        <v>26946</v>
      </c>
      <c r="AD5893" t="s">
        <v>37038</v>
      </c>
      <c r="AE5893">
        <v>17</v>
      </c>
      <c r="AF5893" t="s">
        <v>45548</v>
      </c>
      <c r="AG5893" t="s">
        <v>19330</v>
      </c>
      <c r="AH5893">
        <v>40</v>
      </c>
      <c r="AI5893">
        <v>2</v>
      </c>
      <c r="AJ5893">
        <v>2</v>
      </c>
      <c r="AK5893">
        <v>100.97</v>
      </c>
      <c r="AN5893" t="s">
        <v>7439</v>
      </c>
      <c r="AO5893">
        <v>26000</v>
      </c>
      <c r="AU5893">
        <v>12.75</v>
      </c>
      <c r="AV5893" t="s">
        <v>830</v>
      </c>
      <c r="AW5893" t="s">
        <v>46835</v>
      </c>
    </row>
    <row r="5894" spans="1:50">
      <c r="A5894" s="1">
        <f>HYPERLINK("https://lsnyc.legalserver.org/matter/dynamic-profile/view/1892171","19-1892171")</f>
        <v>0</v>
      </c>
      <c r="B5894" t="s">
        <v>183</v>
      </c>
      <c r="C5894" t="s">
        <v>340</v>
      </c>
      <c r="D5894" t="s">
        <v>758</v>
      </c>
      <c r="F5894" t="s">
        <v>3521</v>
      </c>
      <c r="G5894" t="s">
        <v>6098</v>
      </c>
      <c r="H5894" t="s">
        <v>13875</v>
      </c>
      <c r="I5894" t="s">
        <v>18292</v>
      </c>
      <c r="J5894" t="s">
        <v>18893</v>
      </c>
      <c r="K5894">
        <v>10025</v>
      </c>
      <c r="L5894" t="s">
        <v>18958</v>
      </c>
      <c r="M5894" t="s">
        <v>18958</v>
      </c>
      <c r="N5894" t="s">
        <v>23242</v>
      </c>
      <c r="O5894" t="s">
        <v>26523</v>
      </c>
      <c r="P5894" t="s">
        <v>26560</v>
      </c>
      <c r="R5894" t="s">
        <v>26580</v>
      </c>
      <c r="S5894" t="s">
        <v>18959</v>
      </c>
      <c r="U5894" t="s">
        <v>26604</v>
      </c>
      <c r="V5894" t="s">
        <v>26610</v>
      </c>
      <c r="W5894" t="s">
        <v>758</v>
      </c>
      <c r="X5894">
        <v>1307.58</v>
      </c>
      <c r="Y5894" t="s">
        <v>26651</v>
      </c>
      <c r="Z5894" t="s">
        <v>26664</v>
      </c>
      <c r="AB5894" t="s">
        <v>31317</v>
      </c>
      <c r="AD5894" t="s">
        <v>41511</v>
      </c>
      <c r="AE5894">
        <v>20</v>
      </c>
      <c r="AF5894" t="s">
        <v>45541</v>
      </c>
      <c r="AG5894" t="s">
        <v>19330</v>
      </c>
      <c r="AH5894">
        <v>12</v>
      </c>
      <c r="AI5894">
        <v>3</v>
      </c>
      <c r="AJ5894">
        <v>0</v>
      </c>
      <c r="AK5894">
        <v>0</v>
      </c>
      <c r="AN5894" t="s">
        <v>7439</v>
      </c>
      <c r="AO5894">
        <v>0</v>
      </c>
      <c r="AU5894">
        <v>28.55</v>
      </c>
      <c r="AV5894" t="s">
        <v>834</v>
      </c>
      <c r="AW5894" t="s">
        <v>46875</v>
      </c>
    </row>
    <row r="5895" spans="1:50">
      <c r="A5895" s="1">
        <f>HYPERLINK("https://lsnyc.legalserver.org/matter/dynamic-profile/view/1892064","19-1892064")</f>
        <v>0</v>
      </c>
      <c r="B5895" t="s">
        <v>70</v>
      </c>
      <c r="C5895" t="s">
        <v>340</v>
      </c>
      <c r="D5895" t="s">
        <v>758</v>
      </c>
      <c r="F5895" t="s">
        <v>916</v>
      </c>
      <c r="G5895" t="s">
        <v>7815</v>
      </c>
      <c r="H5895" t="s">
        <v>13876</v>
      </c>
      <c r="I5895" t="s">
        <v>17274</v>
      </c>
      <c r="J5895" t="s">
        <v>18892</v>
      </c>
      <c r="K5895">
        <v>10467</v>
      </c>
      <c r="L5895" t="s">
        <v>18958</v>
      </c>
      <c r="M5895" t="s">
        <v>18958</v>
      </c>
      <c r="N5895" t="s">
        <v>23243</v>
      </c>
      <c r="O5895" t="s">
        <v>26523</v>
      </c>
      <c r="P5895" t="s">
        <v>26560</v>
      </c>
      <c r="R5895" t="s">
        <v>26579</v>
      </c>
      <c r="S5895" t="s">
        <v>18959</v>
      </c>
      <c r="U5895" t="s">
        <v>26604</v>
      </c>
      <c r="W5895" t="s">
        <v>758</v>
      </c>
      <c r="X5895">
        <v>1550</v>
      </c>
      <c r="Y5895" t="s">
        <v>26650</v>
      </c>
      <c r="Z5895" t="s">
        <v>26664</v>
      </c>
      <c r="AB5895" t="s">
        <v>27621</v>
      </c>
      <c r="AC5895" t="s">
        <v>36068</v>
      </c>
      <c r="AD5895" t="s">
        <v>41512</v>
      </c>
      <c r="AE5895">
        <v>12</v>
      </c>
      <c r="AF5895" t="s">
        <v>45541</v>
      </c>
      <c r="AG5895" t="s">
        <v>45558</v>
      </c>
      <c r="AH5895">
        <v>3</v>
      </c>
      <c r="AI5895">
        <v>1</v>
      </c>
      <c r="AJ5895">
        <v>3</v>
      </c>
      <c r="AK5895">
        <v>31.08</v>
      </c>
      <c r="AN5895" t="s">
        <v>7439</v>
      </c>
      <c r="AO5895">
        <v>8004</v>
      </c>
      <c r="AU5895">
        <v>13</v>
      </c>
      <c r="AV5895" t="s">
        <v>821</v>
      </c>
      <c r="AW5895" t="s">
        <v>46870</v>
      </c>
    </row>
    <row r="5896" spans="1:50">
      <c r="A5896" s="1">
        <f>HYPERLINK("https://lsnyc.legalserver.org/matter/dynamic-profile/view/1892121","19-1892121")</f>
        <v>0</v>
      </c>
      <c r="B5896" t="s">
        <v>57</v>
      </c>
      <c r="C5896" t="s">
        <v>340</v>
      </c>
      <c r="D5896" t="s">
        <v>758</v>
      </c>
      <c r="F5896" t="s">
        <v>3206</v>
      </c>
      <c r="G5896" t="s">
        <v>3138</v>
      </c>
      <c r="H5896" t="s">
        <v>13299</v>
      </c>
      <c r="I5896" t="s">
        <v>18161</v>
      </c>
      <c r="J5896" t="s">
        <v>18892</v>
      </c>
      <c r="K5896">
        <v>10457</v>
      </c>
      <c r="L5896" t="s">
        <v>18958</v>
      </c>
      <c r="M5896" t="s">
        <v>18958</v>
      </c>
      <c r="N5896" t="s">
        <v>23244</v>
      </c>
      <c r="O5896" t="s">
        <v>26526</v>
      </c>
      <c r="P5896" t="s">
        <v>26560</v>
      </c>
      <c r="R5896" t="s">
        <v>26577</v>
      </c>
      <c r="U5896" t="s">
        <v>26604</v>
      </c>
      <c r="W5896" t="s">
        <v>758</v>
      </c>
      <c r="X5896">
        <v>1198</v>
      </c>
      <c r="Y5896" t="s">
        <v>26650</v>
      </c>
      <c r="AB5896" t="s">
        <v>30661</v>
      </c>
      <c r="AD5896" t="s">
        <v>40866</v>
      </c>
      <c r="AE5896">
        <v>0</v>
      </c>
      <c r="AF5896" t="s">
        <v>45541</v>
      </c>
      <c r="AH5896">
        <v>15</v>
      </c>
      <c r="AI5896">
        <v>2</v>
      </c>
      <c r="AJ5896">
        <v>2</v>
      </c>
      <c r="AK5896">
        <v>0</v>
      </c>
      <c r="AN5896" t="s">
        <v>45581</v>
      </c>
      <c r="AO5896">
        <v>0</v>
      </c>
      <c r="AU5896">
        <v>10.4</v>
      </c>
      <c r="AV5896" t="s">
        <v>720</v>
      </c>
      <c r="AW5896" t="s">
        <v>46836</v>
      </c>
    </row>
    <row r="5897" spans="1:50">
      <c r="A5897" s="1">
        <f>HYPERLINK("https://lsnyc.legalserver.org/matter/dynamic-profile/view/1892100","19-1892100")</f>
        <v>0</v>
      </c>
      <c r="B5897" t="s">
        <v>57</v>
      </c>
      <c r="C5897" t="s">
        <v>340</v>
      </c>
      <c r="D5897" t="s">
        <v>758</v>
      </c>
      <c r="F5897" t="s">
        <v>1365</v>
      </c>
      <c r="G5897" t="s">
        <v>5539</v>
      </c>
      <c r="H5897" t="s">
        <v>10228</v>
      </c>
      <c r="I5897" t="s">
        <v>17316</v>
      </c>
      <c r="J5897" t="s">
        <v>18892</v>
      </c>
      <c r="K5897">
        <v>10454</v>
      </c>
      <c r="L5897" t="s">
        <v>18958</v>
      </c>
      <c r="M5897" t="s">
        <v>18958</v>
      </c>
      <c r="N5897" t="s">
        <v>23245</v>
      </c>
      <c r="O5897" t="s">
        <v>26523</v>
      </c>
      <c r="P5897" t="s">
        <v>26560</v>
      </c>
      <c r="R5897" t="s">
        <v>26577</v>
      </c>
      <c r="U5897" t="s">
        <v>26604</v>
      </c>
      <c r="W5897" t="s">
        <v>758</v>
      </c>
      <c r="X5897">
        <v>1484.74</v>
      </c>
      <c r="Y5897" t="s">
        <v>26650</v>
      </c>
      <c r="AB5897" t="s">
        <v>27335</v>
      </c>
      <c r="AC5897" t="s">
        <v>34705</v>
      </c>
      <c r="AD5897" t="s">
        <v>37401</v>
      </c>
      <c r="AE5897">
        <v>0</v>
      </c>
      <c r="AF5897" t="s">
        <v>45541</v>
      </c>
      <c r="AH5897">
        <v>14</v>
      </c>
      <c r="AI5897">
        <v>1</v>
      </c>
      <c r="AJ5897">
        <v>2</v>
      </c>
      <c r="AK5897">
        <v>112.52</v>
      </c>
      <c r="AN5897" t="s">
        <v>7439</v>
      </c>
      <c r="AO5897">
        <v>24000</v>
      </c>
      <c r="AU5897">
        <v>7.75</v>
      </c>
      <c r="AV5897" t="s">
        <v>793</v>
      </c>
      <c r="AW5897" t="s">
        <v>46836</v>
      </c>
    </row>
    <row r="5898" spans="1:50">
      <c r="A5898" s="1">
        <f>HYPERLINK("https://lsnyc.legalserver.org/matter/dynamic-profile/view/1892127","19-1892127")</f>
        <v>0</v>
      </c>
      <c r="B5898" t="s">
        <v>66</v>
      </c>
      <c r="C5898" t="s">
        <v>340</v>
      </c>
      <c r="D5898" t="s">
        <v>758</v>
      </c>
      <c r="F5898" t="s">
        <v>1299</v>
      </c>
      <c r="G5898" t="s">
        <v>3662</v>
      </c>
      <c r="H5898" t="s">
        <v>10930</v>
      </c>
      <c r="I5898" t="s">
        <v>18293</v>
      </c>
      <c r="J5898" t="s">
        <v>18893</v>
      </c>
      <c r="K5898">
        <v>10025</v>
      </c>
      <c r="L5898" t="s">
        <v>18958</v>
      </c>
      <c r="M5898" t="s">
        <v>18958</v>
      </c>
      <c r="N5898" t="s">
        <v>23246</v>
      </c>
      <c r="O5898" t="s">
        <v>26524</v>
      </c>
      <c r="P5898" t="s">
        <v>26560</v>
      </c>
      <c r="R5898" t="s">
        <v>26580</v>
      </c>
      <c r="S5898" t="s">
        <v>18959</v>
      </c>
      <c r="U5898" t="s">
        <v>26605</v>
      </c>
      <c r="V5898" t="s">
        <v>26610</v>
      </c>
      <c r="W5898" t="s">
        <v>758</v>
      </c>
      <c r="X5898">
        <v>383</v>
      </c>
      <c r="Y5898" t="s">
        <v>26651</v>
      </c>
      <c r="Z5898" t="s">
        <v>26664</v>
      </c>
      <c r="AB5898" t="s">
        <v>31318</v>
      </c>
      <c r="AD5898" t="s">
        <v>41513</v>
      </c>
      <c r="AE5898">
        <v>0</v>
      </c>
      <c r="AF5898" t="s">
        <v>45542</v>
      </c>
      <c r="AG5898" t="s">
        <v>19330</v>
      </c>
      <c r="AH5898">
        <v>46</v>
      </c>
      <c r="AI5898">
        <v>1</v>
      </c>
      <c r="AJ5898">
        <v>0</v>
      </c>
      <c r="AK5898">
        <v>43.23</v>
      </c>
      <c r="AN5898" t="s">
        <v>7439</v>
      </c>
      <c r="AO5898">
        <v>5400</v>
      </c>
      <c r="AU5898">
        <v>6.25</v>
      </c>
      <c r="AV5898" t="s">
        <v>768</v>
      </c>
      <c r="AW5898" t="s">
        <v>46835</v>
      </c>
    </row>
    <row r="5899" spans="1:50">
      <c r="A5899" s="1">
        <f>HYPERLINK("https://lsnyc.legalserver.org/matter/dynamic-profile/view/1892091","19-1892091")</f>
        <v>0</v>
      </c>
      <c r="B5899" t="s">
        <v>94</v>
      </c>
      <c r="C5899" t="s">
        <v>340</v>
      </c>
      <c r="D5899" t="s">
        <v>758</v>
      </c>
      <c r="F5899" t="s">
        <v>1636</v>
      </c>
      <c r="G5899" t="s">
        <v>5636</v>
      </c>
      <c r="H5899" t="s">
        <v>11196</v>
      </c>
      <c r="I5899" t="s">
        <v>17351</v>
      </c>
      <c r="J5899" t="s">
        <v>18893</v>
      </c>
      <c r="K5899">
        <v>10027</v>
      </c>
      <c r="L5899" t="s">
        <v>18958</v>
      </c>
      <c r="M5899" t="s">
        <v>18958</v>
      </c>
      <c r="N5899" t="s">
        <v>23247</v>
      </c>
      <c r="O5899" t="s">
        <v>26523</v>
      </c>
      <c r="P5899" t="s">
        <v>26560</v>
      </c>
      <c r="R5899" t="s">
        <v>26580</v>
      </c>
      <c r="S5899" t="s">
        <v>18959</v>
      </c>
      <c r="U5899" t="s">
        <v>26604</v>
      </c>
      <c r="V5899" t="s">
        <v>26610</v>
      </c>
      <c r="W5899" t="s">
        <v>758</v>
      </c>
      <c r="X5899">
        <v>1292</v>
      </c>
      <c r="Y5899" t="s">
        <v>26651</v>
      </c>
      <c r="Z5899" t="s">
        <v>26668</v>
      </c>
      <c r="AB5899" t="s">
        <v>31319</v>
      </c>
      <c r="AD5899" t="s">
        <v>41514</v>
      </c>
      <c r="AE5899">
        <v>0</v>
      </c>
      <c r="AF5899" t="s">
        <v>45541</v>
      </c>
      <c r="AG5899" t="s">
        <v>19330</v>
      </c>
      <c r="AH5899">
        <v>4</v>
      </c>
      <c r="AI5899">
        <v>2</v>
      </c>
      <c r="AJ5899">
        <v>0</v>
      </c>
      <c r="AK5899">
        <v>153.76</v>
      </c>
      <c r="AN5899" t="s">
        <v>7439</v>
      </c>
      <c r="AO5899">
        <v>26000</v>
      </c>
      <c r="AU5899">
        <v>21.05</v>
      </c>
      <c r="AV5899" t="s">
        <v>839</v>
      </c>
      <c r="AW5899" t="s">
        <v>46875</v>
      </c>
    </row>
    <row r="5900" spans="1:50">
      <c r="A5900" s="1">
        <f>HYPERLINK("https://lsnyc.legalserver.org/matter/dynamic-profile/view/1892152","19-1892152")</f>
        <v>0</v>
      </c>
      <c r="B5900" t="s">
        <v>77</v>
      </c>
      <c r="C5900" t="s">
        <v>340</v>
      </c>
      <c r="D5900" t="s">
        <v>758</v>
      </c>
      <c r="F5900" t="s">
        <v>928</v>
      </c>
      <c r="G5900" t="s">
        <v>7816</v>
      </c>
      <c r="H5900" t="s">
        <v>10209</v>
      </c>
      <c r="I5900" t="s">
        <v>18294</v>
      </c>
      <c r="J5900" t="s">
        <v>18893</v>
      </c>
      <c r="K5900">
        <v>10031</v>
      </c>
      <c r="L5900" t="s">
        <v>18958</v>
      </c>
      <c r="M5900" t="s">
        <v>18958</v>
      </c>
      <c r="N5900" t="s">
        <v>23248</v>
      </c>
      <c r="O5900" t="s">
        <v>26523</v>
      </c>
      <c r="P5900" t="s">
        <v>26560</v>
      </c>
      <c r="R5900" t="s">
        <v>26580</v>
      </c>
      <c r="S5900" t="s">
        <v>18959</v>
      </c>
      <c r="U5900" t="s">
        <v>26604</v>
      </c>
      <c r="V5900" t="s">
        <v>26610</v>
      </c>
      <c r="W5900" t="s">
        <v>758</v>
      </c>
      <c r="X5900">
        <v>186</v>
      </c>
      <c r="Y5900" t="s">
        <v>26651</v>
      </c>
      <c r="Z5900" t="s">
        <v>26664</v>
      </c>
      <c r="AB5900" t="s">
        <v>29953</v>
      </c>
      <c r="AD5900" t="s">
        <v>41515</v>
      </c>
      <c r="AE5900">
        <v>0</v>
      </c>
      <c r="AF5900" t="s">
        <v>45548</v>
      </c>
      <c r="AG5900" t="s">
        <v>45556</v>
      </c>
      <c r="AH5900">
        <v>40</v>
      </c>
      <c r="AI5900">
        <v>1</v>
      </c>
      <c r="AJ5900">
        <v>0</v>
      </c>
      <c r="AK5900">
        <v>80.13</v>
      </c>
      <c r="AN5900" t="s">
        <v>7439</v>
      </c>
      <c r="AO5900">
        <v>10008</v>
      </c>
      <c r="AU5900">
        <v>3.6</v>
      </c>
      <c r="AV5900" t="s">
        <v>835</v>
      </c>
      <c r="AW5900" t="s">
        <v>46835</v>
      </c>
    </row>
    <row r="5901" spans="1:50">
      <c r="A5901" s="1">
        <f>HYPERLINK("https://lsnyc.legalserver.org/matter/dynamic-profile/view/1892614","19-1892614")</f>
        <v>0</v>
      </c>
      <c r="B5901" t="s">
        <v>262</v>
      </c>
      <c r="C5901" t="s">
        <v>340</v>
      </c>
      <c r="D5901" t="s">
        <v>758</v>
      </c>
      <c r="F5901" t="s">
        <v>2111</v>
      </c>
      <c r="G5901" t="s">
        <v>5208</v>
      </c>
      <c r="H5901" t="s">
        <v>10157</v>
      </c>
      <c r="I5901" t="s">
        <v>17278</v>
      </c>
      <c r="J5901" t="s">
        <v>18892</v>
      </c>
      <c r="K5901">
        <v>10468</v>
      </c>
      <c r="L5901" t="s">
        <v>18958</v>
      </c>
      <c r="M5901" t="s">
        <v>18958</v>
      </c>
      <c r="N5901" t="s">
        <v>23249</v>
      </c>
      <c r="O5901" t="s">
        <v>26523</v>
      </c>
      <c r="P5901" t="s">
        <v>26560</v>
      </c>
      <c r="R5901" t="s">
        <v>26579</v>
      </c>
      <c r="S5901" t="s">
        <v>18959</v>
      </c>
      <c r="U5901" t="s">
        <v>26604</v>
      </c>
      <c r="W5901" t="s">
        <v>758</v>
      </c>
      <c r="X5901">
        <v>789</v>
      </c>
      <c r="Y5901" t="s">
        <v>26650</v>
      </c>
      <c r="Z5901" t="s">
        <v>26664</v>
      </c>
      <c r="AB5901" t="s">
        <v>31320</v>
      </c>
      <c r="AC5901" t="s">
        <v>36069</v>
      </c>
      <c r="AD5901" t="s">
        <v>41516</v>
      </c>
      <c r="AE5901">
        <v>65</v>
      </c>
      <c r="AF5901" t="s">
        <v>20460</v>
      </c>
      <c r="AH5901">
        <v>11</v>
      </c>
      <c r="AI5901">
        <v>1</v>
      </c>
      <c r="AJ5901">
        <v>1</v>
      </c>
      <c r="AK5901">
        <v>47.05</v>
      </c>
      <c r="AN5901" t="s">
        <v>45581</v>
      </c>
      <c r="AO5901">
        <v>7956</v>
      </c>
      <c r="AU5901">
        <v>21.2</v>
      </c>
      <c r="AV5901" t="s">
        <v>839</v>
      </c>
      <c r="AW5901" t="s">
        <v>336</v>
      </c>
    </row>
    <row r="5902" spans="1:50">
      <c r="A5902" s="1">
        <f>HYPERLINK("https://lsnyc.legalserver.org/matter/dynamic-profile/view/1892540","19-1892540")</f>
        <v>0</v>
      </c>
      <c r="B5902" t="s">
        <v>262</v>
      </c>
      <c r="C5902" t="s">
        <v>340</v>
      </c>
      <c r="D5902" t="s">
        <v>758</v>
      </c>
      <c r="F5902" t="s">
        <v>979</v>
      </c>
      <c r="G5902" t="s">
        <v>5177</v>
      </c>
      <c r="H5902" t="s">
        <v>11961</v>
      </c>
      <c r="I5902" t="s">
        <v>17276</v>
      </c>
      <c r="J5902" t="s">
        <v>18892</v>
      </c>
      <c r="K5902">
        <v>10467</v>
      </c>
      <c r="L5902" t="s">
        <v>18958</v>
      </c>
      <c r="M5902" t="s">
        <v>18958</v>
      </c>
      <c r="N5902" t="s">
        <v>23250</v>
      </c>
      <c r="O5902" t="s">
        <v>26523</v>
      </c>
      <c r="P5902" t="s">
        <v>26560</v>
      </c>
      <c r="R5902" t="s">
        <v>26579</v>
      </c>
      <c r="S5902" t="s">
        <v>18959</v>
      </c>
      <c r="U5902" t="s">
        <v>26604</v>
      </c>
      <c r="W5902" t="s">
        <v>758</v>
      </c>
      <c r="X5902">
        <v>785.5700000000001</v>
      </c>
      <c r="Y5902" t="s">
        <v>26650</v>
      </c>
      <c r="Z5902" t="s">
        <v>26664</v>
      </c>
      <c r="AB5902" t="s">
        <v>31321</v>
      </c>
      <c r="AD5902" t="s">
        <v>41517</v>
      </c>
      <c r="AE5902">
        <v>86</v>
      </c>
      <c r="AF5902" t="s">
        <v>45541</v>
      </c>
      <c r="AG5902" t="s">
        <v>19330</v>
      </c>
      <c r="AH5902">
        <v>28</v>
      </c>
      <c r="AI5902">
        <v>1</v>
      </c>
      <c r="AJ5902">
        <v>0</v>
      </c>
      <c r="AK5902">
        <v>184.15</v>
      </c>
      <c r="AN5902" t="s">
        <v>7439</v>
      </c>
      <c r="AO5902">
        <v>23000</v>
      </c>
      <c r="AU5902">
        <v>39.2</v>
      </c>
      <c r="AV5902" t="s">
        <v>839</v>
      </c>
      <c r="AW5902" t="s">
        <v>336</v>
      </c>
    </row>
    <row r="5903" spans="1:50">
      <c r="A5903" s="1">
        <f>HYPERLINK("https://lsnyc.legalserver.org/matter/dynamic-profile/view/1892074","19-1892074")</f>
        <v>0</v>
      </c>
      <c r="B5903" t="s">
        <v>84</v>
      </c>
      <c r="C5903" t="s">
        <v>340</v>
      </c>
      <c r="D5903" t="s">
        <v>758</v>
      </c>
      <c r="F5903" t="s">
        <v>1309</v>
      </c>
      <c r="G5903" t="s">
        <v>5345</v>
      </c>
      <c r="H5903" t="s">
        <v>13877</v>
      </c>
      <c r="I5903" t="s">
        <v>17343</v>
      </c>
      <c r="J5903" t="s">
        <v>18893</v>
      </c>
      <c r="K5903">
        <v>10031</v>
      </c>
      <c r="L5903" t="s">
        <v>18958</v>
      </c>
      <c r="M5903" t="s">
        <v>18958</v>
      </c>
      <c r="N5903" t="s">
        <v>23251</v>
      </c>
      <c r="O5903" t="s">
        <v>26523</v>
      </c>
      <c r="P5903" t="s">
        <v>26560</v>
      </c>
      <c r="R5903" t="s">
        <v>26580</v>
      </c>
      <c r="S5903" t="s">
        <v>18959</v>
      </c>
      <c r="U5903" t="s">
        <v>26604</v>
      </c>
      <c r="V5903" t="s">
        <v>26612</v>
      </c>
      <c r="W5903" t="s">
        <v>758</v>
      </c>
      <c r="X5903">
        <v>1238</v>
      </c>
      <c r="Y5903" t="s">
        <v>26651</v>
      </c>
      <c r="Z5903" t="s">
        <v>26664</v>
      </c>
      <c r="AB5903" t="s">
        <v>30078</v>
      </c>
      <c r="AD5903" t="s">
        <v>41518</v>
      </c>
      <c r="AE5903">
        <v>0</v>
      </c>
      <c r="AF5903" t="s">
        <v>45541</v>
      </c>
      <c r="AG5903" t="s">
        <v>19330</v>
      </c>
      <c r="AH5903">
        <v>5</v>
      </c>
      <c r="AI5903">
        <v>1</v>
      </c>
      <c r="AJ5903">
        <v>0</v>
      </c>
      <c r="AK5903">
        <v>0</v>
      </c>
      <c r="AO5903">
        <v>0</v>
      </c>
      <c r="AU5903">
        <v>2.6</v>
      </c>
      <c r="AV5903" t="s">
        <v>771</v>
      </c>
      <c r="AW5903" t="s">
        <v>46835</v>
      </c>
    </row>
    <row r="5904" spans="1:50">
      <c r="A5904" s="1">
        <f>HYPERLINK("https://lsnyc.legalserver.org/matter/dynamic-profile/view/1892164","19-1892164")</f>
        <v>0</v>
      </c>
      <c r="B5904" t="s">
        <v>258</v>
      </c>
      <c r="C5904" t="s">
        <v>340</v>
      </c>
      <c r="D5904" t="s">
        <v>758</v>
      </c>
      <c r="F5904" t="s">
        <v>3522</v>
      </c>
      <c r="G5904" t="s">
        <v>5177</v>
      </c>
      <c r="H5904" t="s">
        <v>13878</v>
      </c>
      <c r="I5904" t="s">
        <v>17283</v>
      </c>
      <c r="J5904" t="s">
        <v>18901</v>
      </c>
      <c r="K5904">
        <v>11433</v>
      </c>
      <c r="L5904" t="s">
        <v>18958</v>
      </c>
      <c r="M5904" t="s">
        <v>18958</v>
      </c>
      <c r="N5904" t="s">
        <v>23252</v>
      </c>
      <c r="O5904" t="s">
        <v>26523</v>
      </c>
      <c r="P5904" t="s">
        <v>26560</v>
      </c>
      <c r="R5904" t="s">
        <v>26585</v>
      </c>
      <c r="S5904" t="s">
        <v>18959</v>
      </c>
      <c r="U5904" t="s">
        <v>26605</v>
      </c>
      <c r="V5904" t="s">
        <v>26610</v>
      </c>
      <c r="W5904" t="s">
        <v>758</v>
      </c>
      <c r="X5904">
        <v>951</v>
      </c>
      <c r="Y5904" t="s">
        <v>26653</v>
      </c>
      <c r="Z5904" t="s">
        <v>26668</v>
      </c>
      <c r="AB5904" t="s">
        <v>31322</v>
      </c>
      <c r="AD5904" t="s">
        <v>41519</v>
      </c>
      <c r="AE5904">
        <v>9</v>
      </c>
      <c r="AF5904" t="s">
        <v>45549</v>
      </c>
      <c r="AG5904" t="s">
        <v>19330</v>
      </c>
      <c r="AH5904">
        <v>10</v>
      </c>
      <c r="AI5904">
        <v>1</v>
      </c>
      <c r="AJ5904">
        <v>1</v>
      </c>
      <c r="AK5904">
        <v>85.16</v>
      </c>
      <c r="AN5904" t="s">
        <v>7439</v>
      </c>
      <c r="AO5904">
        <v>14400</v>
      </c>
      <c r="AU5904">
        <v>15.7</v>
      </c>
      <c r="AV5904" t="s">
        <v>838</v>
      </c>
      <c r="AW5904" t="s">
        <v>258</v>
      </c>
      <c r="AX5904" t="s">
        <v>46897</v>
      </c>
    </row>
    <row r="5905" spans="1:50">
      <c r="A5905" s="1">
        <f>HYPERLINK("https://lsnyc.legalserver.org/matter/dynamic-profile/view/1892180","19-1892180")</f>
        <v>0</v>
      </c>
      <c r="B5905" t="s">
        <v>65</v>
      </c>
      <c r="C5905" t="s">
        <v>340</v>
      </c>
      <c r="D5905" t="s">
        <v>758</v>
      </c>
      <c r="F5905" t="s">
        <v>871</v>
      </c>
      <c r="G5905" t="s">
        <v>4588</v>
      </c>
      <c r="H5905" t="s">
        <v>13879</v>
      </c>
      <c r="I5905" t="s">
        <v>18134</v>
      </c>
      <c r="J5905" t="s">
        <v>18892</v>
      </c>
      <c r="K5905">
        <v>10457</v>
      </c>
      <c r="L5905" t="s">
        <v>18958</v>
      </c>
      <c r="M5905" t="s">
        <v>18958</v>
      </c>
      <c r="N5905" t="s">
        <v>23253</v>
      </c>
      <c r="O5905" t="s">
        <v>26523</v>
      </c>
      <c r="P5905" t="s">
        <v>26560</v>
      </c>
      <c r="R5905" t="s">
        <v>26579</v>
      </c>
      <c r="U5905" t="s">
        <v>26604</v>
      </c>
      <c r="V5905" t="s">
        <v>26610</v>
      </c>
      <c r="W5905" t="s">
        <v>758</v>
      </c>
      <c r="X5905">
        <v>1265.63</v>
      </c>
      <c r="Y5905" t="s">
        <v>26650</v>
      </c>
      <c r="Z5905" t="s">
        <v>26664</v>
      </c>
      <c r="AB5905" t="s">
        <v>31323</v>
      </c>
      <c r="AD5905" t="s">
        <v>41520</v>
      </c>
      <c r="AE5905">
        <v>6</v>
      </c>
      <c r="AF5905" t="s">
        <v>20460</v>
      </c>
      <c r="AG5905" t="s">
        <v>19330</v>
      </c>
      <c r="AH5905">
        <v>3</v>
      </c>
      <c r="AI5905">
        <v>3</v>
      </c>
      <c r="AJ5905">
        <v>2</v>
      </c>
      <c r="AK5905">
        <v>183.81</v>
      </c>
      <c r="AN5905" t="s">
        <v>45581</v>
      </c>
      <c r="AO5905">
        <v>55455.92</v>
      </c>
      <c r="AU5905">
        <v>8.199999999999999</v>
      </c>
      <c r="AV5905" t="s">
        <v>773</v>
      </c>
      <c r="AW5905" t="s">
        <v>46831</v>
      </c>
    </row>
    <row r="5906" spans="1:50">
      <c r="A5906" s="1">
        <f>HYPERLINK("https://lsnyc.legalserver.org/matter/dynamic-profile/view/1892172","19-1892172")</f>
        <v>0</v>
      </c>
      <c r="B5906" t="s">
        <v>65</v>
      </c>
      <c r="C5906" t="s">
        <v>340</v>
      </c>
      <c r="D5906" t="s">
        <v>758</v>
      </c>
      <c r="F5906" t="s">
        <v>3523</v>
      </c>
      <c r="G5906" t="s">
        <v>7817</v>
      </c>
      <c r="H5906" t="s">
        <v>13880</v>
      </c>
      <c r="I5906" t="s">
        <v>18295</v>
      </c>
      <c r="J5906" t="s">
        <v>18892</v>
      </c>
      <c r="K5906">
        <v>10462</v>
      </c>
      <c r="L5906" t="s">
        <v>18958</v>
      </c>
      <c r="M5906" t="s">
        <v>18958</v>
      </c>
      <c r="N5906" t="s">
        <v>23254</v>
      </c>
      <c r="O5906" t="s">
        <v>26524</v>
      </c>
      <c r="P5906" t="s">
        <v>26560</v>
      </c>
      <c r="R5906" t="s">
        <v>26579</v>
      </c>
      <c r="U5906" t="s">
        <v>26604</v>
      </c>
      <c r="V5906" t="s">
        <v>26610</v>
      </c>
      <c r="W5906" t="s">
        <v>758</v>
      </c>
      <c r="X5906">
        <v>800</v>
      </c>
      <c r="Y5906" t="s">
        <v>26650</v>
      </c>
      <c r="Z5906" t="s">
        <v>26664</v>
      </c>
      <c r="AB5906" t="s">
        <v>31324</v>
      </c>
      <c r="AD5906" t="s">
        <v>41521</v>
      </c>
      <c r="AE5906">
        <v>0</v>
      </c>
      <c r="AF5906" t="s">
        <v>45547</v>
      </c>
      <c r="AG5906" t="s">
        <v>19330</v>
      </c>
      <c r="AH5906">
        <v>3</v>
      </c>
      <c r="AI5906">
        <v>1</v>
      </c>
      <c r="AJ5906">
        <v>0</v>
      </c>
      <c r="AK5906">
        <v>187.35</v>
      </c>
      <c r="AN5906" t="s">
        <v>45584</v>
      </c>
      <c r="AO5906">
        <v>23400</v>
      </c>
      <c r="AU5906">
        <v>19.9</v>
      </c>
      <c r="AV5906" t="s">
        <v>772</v>
      </c>
      <c r="AW5906" t="s">
        <v>334</v>
      </c>
    </row>
    <row r="5907" spans="1:50">
      <c r="A5907" s="1">
        <f>HYPERLINK("https://lsnyc.legalserver.org/matter/dynamic-profile/view/1892123","19-1892123")</f>
        <v>0</v>
      </c>
      <c r="B5907" t="s">
        <v>59</v>
      </c>
      <c r="C5907" t="s">
        <v>340</v>
      </c>
      <c r="D5907" t="s">
        <v>758</v>
      </c>
      <c r="F5907" t="s">
        <v>1336</v>
      </c>
      <c r="G5907" t="s">
        <v>1144</v>
      </c>
      <c r="H5907" t="s">
        <v>13881</v>
      </c>
      <c r="I5907" t="s">
        <v>17390</v>
      </c>
      <c r="J5907" t="s">
        <v>18893</v>
      </c>
      <c r="K5907">
        <v>10031</v>
      </c>
      <c r="L5907" t="s">
        <v>18958</v>
      </c>
      <c r="M5907" t="s">
        <v>18958</v>
      </c>
      <c r="N5907" t="s">
        <v>23255</v>
      </c>
      <c r="O5907" t="s">
        <v>26523</v>
      </c>
      <c r="P5907" t="s">
        <v>26560</v>
      </c>
      <c r="R5907" t="s">
        <v>26580</v>
      </c>
      <c r="S5907" t="s">
        <v>18959</v>
      </c>
      <c r="U5907" t="s">
        <v>26604</v>
      </c>
      <c r="V5907" t="s">
        <v>26612</v>
      </c>
      <c r="W5907" t="s">
        <v>758</v>
      </c>
      <c r="X5907">
        <v>1552</v>
      </c>
      <c r="Y5907" t="s">
        <v>26651</v>
      </c>
      <c r="Z5907" t="s">
        <v>26664</v>
      </c>
      <c r="AB5907" t="s">
        <v>26923</v>
      </c>
      <c r="AD5907" t="s">
        <v>41522</v>
      </c>
      <c r="AE5907">
        <v>0</v>
      </c>
      <c r="AF5907" t="s">
        <v>20460</v>
      </c>
      <c r="AG5907" t="s">
        <v>45562</v>
      </c>
      <c r="AH5907">
        <v>1</v>
      </c>
      <c r="AI5907">
        <v>1</v>
      </c>
      <c r="AJ5907">
        <v>2</v>
      </c>
      <c r="AK5907">
        <v>121.48</v>
      </c>
      <c r="AN5907" t="s">
        <v>45581</v>
      </c>
      <c r="AO5907">
        <v>25912</v>
      </c>
      <c r="AU5907">
        <v>7.7</v>
      </c>
      <c r="AV5907" t="s">
        <v>839</v>
      </c>
      <c r="AW5907" t="s">
        <v>46875</v>
      </c>
    </row>
    <row r="5908" spans="1:50">
      <c r="A5908" s="1">
        <f>HYPERLINK("https://lsnyc.legalserver.org/matter/dynamic-profile/view/1892087","19-1892087")</f>
        <v>0</v>
      </c>
      <c r="B5908" t="s">
        <v>59</v>
      </c>
      <c r="C5908" t="s">
        <v>340</v>
      </c>
      <c r="D5908" t="s">
        <v>758</v>
      </c>
      <c r="F5908" t="s">
        <v>887</v>
      </c>
      <c r="G5908" t="s">
        <v>7232</v>
      </c>
      <c r="H5908" t="s">
        <v>13882</v>
      </c>
      <c r="I5908" t="s">
        <v>17362</v>
      </c>
      <c r="J5908" t="s">
        <v>18893</v>
      </c>
      <c r="K5908">
        <v>10025</v>
      </c>
      <c r="L5908" t="s">
        <v>18958</v>
      </c>
      <c r="M5908" t="s">
        <v>18958</v>
      </c>
      <c r="N5908" t="s">
        <v>23256</v>
      </c>
      <c r="O5908" t="s">
        <v>26523</v>
      </c>
      <c r="P5908" t="s">
        <v>26560</v>
      </c>
      <c r="R5908" t="s">
        <v>26580</v>
      </c>
      <c r="S5908" t="s">
        <v>18959</v>
      </c>
      <c r="U5908" t="s">
        <v>26604</v>
      </c>
      <c r="V5908" t="s">
        <v>26610</v>
      </c>
      <c r="W5908" t="s">
        <v>758</v>
      </c>
      <c r="X5908">
        <v>530</v>
      </c>
      <c r="Y5908" t="s">
        <v>26651</v>
      </c>
      <c r="Z5908" t="s">
        <v>26664</v>
      </c>
      <c r="AB5908" t="s">
        <v>31325</v>
      </c>
      <c r="AD5908" t="s">
        <v>41523</v>
      </c>
      <c r="AE5908">
        <v>0</v>
      </c>
      <c r="AF5908" t="s">
        <v>45543</v>
      </c>
      <c r="AG5908" t="s">
        <v>19330</v>
      </c>
      <c r="AH5908">
        <v>37</v>
      </c>
      <c r="AI5908">
        <v>2</v>
      </c>
      <c r="AJ5908">
        <v>0</v>
      </c>
      <c r="AK5908">
        <v>139.28</v>
      </c>
      <c r="AN5908" t="s">
        <v>7439</v>
      </c>
      <c r="AO5908">
        <v>23552</v>
      </c>
      <c r="AU5908">
        <v>9.550000000000001</v>
      </c>
      <c r="AV5908" t="s">
        <v>839</v>
      </c>
      <c r="AW5908" t="s">
        <v>46835</v>
      </c>
    </row>
    <row r="5909" spans="1:50">
      <c r="A5909" s="1">
        <f>HYPERLINK("https://lsnyc.legalserver.org/matter/dynamic-profile/view/1892113","19-1892113")</f>
        <v>0</v>
      </c>
      <c r="B5909" t="s">
        <v>235</v>
      </c>
      <c r="C5909" t="s">
        <v>340</v>
      </c>
      <c r="D5909" t="s">
        <v>758</v>
      </c>
      <c r="F5909" t="s">
        <v>3524</v>
      </c>
      <c r="G5909" t="s">
        <v>7818</v>
      </c>
      <c r="H5909" t="s">
        <v>13883</v>
      </c>
      <c r="I5909" t="s">
        <v>17328</v>
      </c>
      <c r="J5909" t="s">
        <v>18901</v>
      </c>
      <c r="K5909">
        <v>11433</v>
      </c>
      <c r="L5909" t="s">
        <v>18958</v>
      </c>
      <c r="M5909" t="s">
        <v>18958</v>
      </c>
      <c r="N5909" t="s">
        <v>23257</v>
      </c>
      <c r="O5909" t="s">
        <v>26524</v>
      </c>
      <c r="P5909" t="s">
        <v>26560</v>
      </c>
      <c r="R5909" t="s">
        <v>26585</v>
      </c>
      <c r="S5909" t="s">
        <v>18959</v>
      </c>
      <c r="U5909" t="s">
        <v>26604</v>
      </c>
      <c r="W5909" t="s">
        <v>758</v>
      </c>
      <c r="X5909">
        <v>850</v>
      </c>
      <c r="Y5909" t="s">
        <v>26653</v>
      </c>
      <c r="Z5909" t="s">
        <v>26668</v>
      </c>
      <c r="AB5909" t="s">
        <v>30020</v>
      </c>
      <c r="AD5909" t="s">
        <v>41524</v>
      </c>
      <c r="AE5909">
        <v>0</v>
      </c>
      <c r="AF5909" t="s">
        <v>20460</v>
      </c>
      <c r="AG5909" t="s">
        <v>19330</v>
      </c>
      <c r="AH5909">
        <v>1</v>
      </c>
      <c r="AI5909">
        <v>2</v>
      </c>
      <c r="AJ5909">
        <v>1</v>
      </c>
      <c r="AK5909">
        <v>170.65</v>
      </c>
      <c r="AN5909" t="s">
        <v>7439</v>
      </c>
      <c r="AO5909">
        <v>36400</v>
      </c>
      <c r="AU5909">
        <v>10.6</v>
      </c>
      <c r="AV5909" t="s">
        <v>773</v>
      </c>
      <c r="AW5909" t="s">
        <v>208</v>
      </c>
    </row>
    <row r="5910" spans="1:50">
      <c r="A5910" s="1">
        <f>HYPERLINK("https://lsnyc.legalserver.org/matter/dynamic-profile/view/1892187","19-1892187")</f>
        <v>0</v>
      </c>
      <c r="B5910" t="s">
        <v>104</v>
      </c>
      <c r="C5910" t="s">
        <v>341</v>
      </c>
      <c r="D5910" t="s">
        <v>657</v>
      </c>
      <c r="E5910" t="s">
        <v>787</v>
      </c>
      <c r="F5910" t="s">
        <v>2874</v>
      </c>
      <c r="G5910" t="s">
        <v>7819</v>
      </c>
      <c r="H5910" t="s">
        <v>13884</v>
      </c>
      <c r="I5910" t="s">
        <v>17300</v>
      </c>
      <c r="J5910" t="s">
        <v>18902</v>
      </c>
      <c r="K5910">
        <v>10303</v>
      </c>
      <c r="L5910" t="s">
        <v>18958</v>
      </c>
      <c r="M5910" t="s">
        <v>18958</v>
      </c>
      <c r="N5910" t="s">
        <v>23258</v>
      </c>
      <c r="O5910" t="s">
        <v>26524</v>
      </c>
      <c r="P5910" t="s">
        <v>26567</v>
      </c>
      <c r="Q5910" t="s">
        <v>26568</v>
      </c>
      <c r="R5910" t="s">
        <v>26590</v>
      </c>
      <c r="S5910" t="s">
        <v>18959</v>
      </c>
      <c r="U5910" t="s">
        <v>26604</v>
      </c>
      <c r="V5910" t="s">
        <v>26610</v>
      </c>
      <c r="W5910" t="s">
        <v>758</v>
      </c>
      <c r="X5910">
        <v>360</v>
      </c>
      <c r="Y5910" t="s">
        <v>26654</v>
      </c>
      <c r="Z5910" t="s">
        <v>26668</v>
      </c>
      <c r="AA5910" t="s">
        <v>26678</v>
      </c>
      <c r="AB5910" t="s">
        <v>31326</v>
      </c>
      <c r="AD5910" t="s">
        <v>41525</v>
      </c>
      <c r="AE5910">
        <v>3</v>
      </c>
      <c r="AF5910" t="s">
        <v>45547</v>
      </c>
      <c r="AG5910" t="s">
        <v>26530</v>
      </c>
      <c r="AH5910">
        <v>4</v>
      </c>
      <c r="AI5910">
        <v>1</v>
      </c>
      <c r="AJ5910">
        <v>0</v>
      </c>
      <c r="AK5910">
        <v>113.37</v>
      </c>
      <c r="AN5910" t="s">
        <v>7439</v>
      </c>
      <c r="AO5910">
        <v>14160</v>
      </c>
      <c r="AR5910" t="s">
        <v>46379</v>
      </c>
      <c r="AS5910" t="s">
        <v>46499</v>
      </c>
      <c r="AT5910" t="s">
        <v>46660</v>
      </c>
      <c r="AU5910">
        <v>3.2</v>
      </c>
      <c r="AV5910" t="s">
        <v>657</v>
      </c>
      <c r="AW5910" t="s">
        <v>210</v>
      </c>
    </row>
    <row r="5911" spans="1:50">
      <c r="A5911" s="1">
        <f>HYPERLINK("https://lsnyc.legalserver.org/matter/dynamic-profile/view/1895463","19-1895463")</f>
        <v>0</v>
      </c>
      <c r="B5911" t="s">
        <v>116</v>
      </c>
      <c r="C5911" t="s">
        <v>341</v>
      </c>
      <c r="D5911" t="s">
        <v>781</v>
      </c>
      <c r="E5911" t="s">
        <v>832</v>
      </c>
      <c r="F5911" t="s">
        <v>939</v>
      </c>
      <c r="G5911" t="s">
        <v>5197</v>
      </c>
      <c r="H5911" t="s">
        <v>9761</v>
      </c>
      <c r="I5911" t="s">
        <v>17306</v>
      </c>
      <c r="J5911" t="s">
        <v>18894</v>
      </c>
      <c r="K5911">
        <v>11206</v>
      </c>
      <c r="L5911" t="s">
        <v>18958</v>
      </c>
      <c r="M5911" t="s">
        <v>18958</v>
      </c>
      <c r="N5911" t="s">
        <v>23259</v>
      </c>
      <c r="O5911" t="s">
        <v>26534</v>
      </c>
      <c r="P5911" t="s">
        <v>26562</v>
      </c>
      <c r="Q5911" t="s">
        <v>26570</v>
      </c>
      <c r="R5911" t="s">
        <v>26578</v>
      </c>
      <c r="S5911" t="s">
        <v>18958</v>
      </c>
      <c r="U5911" t="s">
        <v>26604</v>
      </c>
      <c r="W5911" t="s">
        <v>758</v>
      </c>
      <c r="X5911">
        <v>872.36</v>
      </c>
      <c r="Y5911" t="s">
        <v>26652</v>
      </c>
      <c r="Z5911" t="s">
        <v>26667</v>
      </c>
      <c r="AA5911" t="s">
        <v>26681</v>
      </c>
      <c r="AB5911" t="s">
        <v>31327</v>
      </c>
      <c r="AD5911" t="s">
        <v>41526</v>
      </c>
      <c r="AE5911">
        <v>8</v>
      </c>
      <c r="AG5911" t="s">
        <v>19330</v>
      </c>
      <c r="AH5911">
        <v>0</v>
      </c>
      <c r="AI5911">
        <v>1</v>
      </c>
      <c r="AJ5911">
        <v>0</v>
      </c>
      <c r="AK5911">
        <v>167.17</v>
      </c>
      <c r="AN5911" t="s">
        <v>7439</v>
      </c>
      <c r="AO5911">
        <v>20880</v>
      </c>
      <c r="AP5911" t="s">
        <v>45996</v>
      </c>
      <c r="AS5911" t="s">
        <v>46499</v>
      </c>
      <c r="AT5911" t="s">
        <v>46603</v>
      </c>
      <c r="AU5911">
        <v>0.1</v>
      </c>
      <c r="AV5911" t="s">
        <v>797</v>
      </c>
      <c r="AW5911" t="s">
        <v>286</v>
      </c>
      <c r="AX5911" t="s">
        <v>46897</v>
      </c>
    </row>
    <row r="5912" spans="1:50">
      <c r="A5912" s="1">
        <f>HYPERLINK("https://lsnyc.legalserver.org/matter/dynamic-profile/view/1895467","19-1895467")</f>
        <v>0</v>
      </c>
      <c r="B5912" t="s">
        <v>116</v>
      </c>
      <c r="C5912" t="s">
        <v>340</v>
      </c>
      <c r="D5912" t="s">
        <v>781</v>
      </c>
      <c r="F5912" t="s">
        <v>1001</v>
      </c>
      <c r="G5912" t="s">
        <v>5147</v>
      </c>
      <c r="H5912" t="s">
        <v>9761</v>
      </c>
      <c r="I5912" t="s">
        <v>17322</v>
      </c>
      <c r="J5912" t="s">
        <v>18894</v>
      </c>
      <c r="K5912">
        <v>11206</v>
      </c>
      <c r="L5912" t="s">
        <v>18958</v>
      </c>
      <c r="M5912" t="s">
        <v>18958</v>
      </c>
      <c r="N5912" t="s">
        <v>23259</v>
      </c>
      <c r="O5912" t="s">
        <v>26534</v>
      </c>
      <c r="P5912" t="s">
        <v>26562</v>
      </c>
      <c r="R5912" t="s">
        <v>26578</v>
      </c>
      <c r="S5912" t="s">
        <v>18958</v>
      </c>
      <c r="U5912" t="s">
        <v>26604</v>
      </c>
      <c r="W5912" t="s">
        <v>758</v>
      </c>
      <c r="X5912">
        <v>1245</v>
      </c>
      <c r="Y5912" t="s">
        <v>26652</v>
      </c>
      <c r="Z5912" t="s">
        <v>26667</v>
      </c>
      <c r="AB5912" t="s">
        <v>26844</v>
      </c>
      <c r="AC5912" t="s">
        <v>34525</v>
      </c>
      <c r="AE5912">
        <v>8</v>
      </c>
      <c r="AF5912" t="s">
        <v>45541</v>
      </c>
      <c r="AG5912" t="s">
        <v>45560</v>
      </c>
      <c r="AH5912">
        <v>1</v>
      </c>
      <c r="AI5912">
        <v>2</v>
      </c>
      <c r="AJ5912">
        <v>0</v>
      </c>
      <c r="AK5912">
        <v>106.45</v>
      </c>
      <c r="AN5912" t="s">
        <v>7439</v>
      </c>
      <c r="AO5912">
        <v>18000</v>
      </c>
      <c r="AP5912" t="s">
        <v>45997</v>
      </c>
      <c r="AU5912">
        <v>0.1</v>
      </c>
      <c r="AV5912" t="s">
        <v>825</v>
      </c>
      <c r="AW5912" t="s">
        <v>286</v>
      </c>
      <c r="AX5912" t="s">
        <v>46897</v>
      </c>
    </row>
    <row r="5913" spans="1:50">
      <c r="A5913" s="1">
        <f>HYPERLINK("https://lsnyc.legalserver.org/matter/dynamic-profile/view/1895465","19-1895465")</f>
        <v>0</v>
      </c>
      <c r="B5913" t="s">
        <v>116</v>
      </c>
      <c r="C5913" t="s">
        <v>340</v>
      </c>
      <c r="D5913" t="s">
        <v>781</v>
      </c>
      <c r="F5913" t="s">
        <v>1352</v>
      </c>
      <c r="G5913" t="s">
        <v>2065</v>
      </c>
      <c r="H5913" t="s">
        <v>9761</v>
      </c>
      <c r="J5913" t="s">
        <v>18894</v>
      </c>
      <c r="K5913">
        <v>11206</v>
      </c>
      <c r="L5913" t="s">
        <v>18958</v>
      </c>
      <c r="M5913" t="s">
        <v>18958</v>
      </c>
      <c r="N5913" t="s">
        <v>23260</v>
      </c>
      <c r="O5913" t="s">
        <v>26534</v>
      </c>
      <c r="P5913" t="s">
        <v>26562</v>
      </c>
      <c r="R5913" t="s">
        <v>26578</v>
      </c>
      <c r="S5913" t="s">
        <v>18958</v>
      </c>
      <c r="U5913" t="s">
        <v>26604</v>
      </c>
      <c r="W5913" t="s">
        <v>758</v>
      </c>
      <c r="X5913">
        <v>588</v>
      </c>
      <c r="Y5913" t="s">
        <v>26652</v>
      </c>
      <c r="Z5913" t="s">
        <v>26659</v>
      </c>
      <c r="AB5913" t="s">
        <v>31328</v>
      </c>
      <c r="AD5913" t="s">
        <v>41527</v>
      </c>
      <c r="AE5913">
        <v>8</v>
      </c>
      <c r="AF5913" t="s">
        <v>45541</v>
      </c>
      <c r="AH5913">
        <v>4</v>
      </c>
      <c r="AI5913">
        <v>1</v>
      </c>
      <c r="AJ5913">
        <v>1</v>
      </c>
      <c r="AK5913">
        <v>182.14</v>
      </c>
      <c r="AN5913" t="s">
        <v>7439</v>
      </c>
      <c r="AO5913">
        <v>30800</v>
      </c>
      <c r="AP5913" t="s">
        <v>45998</v>
      </c>
      <c r="AU5913">
        <v>0.1</v>
      </c>
      <c r="AV5913" t="s">
        <v>797</v>
      </c>
      <c r="AW5913" t="s">
        <v>286</v>
      </c>
      <c r="AX5913" t="s">
        <v>46897</v>
      </c>
    </row>
    <row r="5914" spans="1:50">
      <c r="A5914" s="1">
        <f>HYPERLINK("https://lsnyc.legalserver.org/matter/dynamic-profile/view/1880408","18-1880408")</f>
        <v>0</v>
      </c>
      <c r="B5914" t="s">
        <v>115</v>
      </c>
      <c r="C5914" t="s">
        <v>341</v>
      </c>
      <c r="D5914" t="s">
        <v>600</v>
      </c>
      <c r="E5914" t="s">
        <v>494</v>
      </c>
      <c r="F5914" t="s">
        <v>3525</v>
      </c>
      <c r="G5914" t="s">
        <v>4195</v>
      </c>
      <c r="H5914" t="s">
        <v>10879</v>
      </c>
      <c r="I5914" t="s">
        <v>18296</v>
      </c>
      <c r="J5914" t="s">
        <v>18892</v>
      </c>
      <c r="K5914">
        <v>10453</v>
      </c>
      <c r="L5914" t="s">
        <v>18958</v>
      </c>
      <c r="M5914" t="s">
        <v>18958</v>
      </c>
      <c r="N5914" t="s">
        <v>23261</v>
      </c>
      <c r="O5914" t="s">
        <v>26523</v>
      </c>
      <c r="P5914" t="s">
        <v>26564</v>
      </c>
      <c r="Q5914" t="s">
        <v>26570</v>
      </c>
      <c r="R5914" t="s">
        <v>26578</v>
      </c>
      <c r="U5914" t="s">
        <v>26604</v>
      </c>
      <c r="W5914" t="s">
        <v>659</v>
      </c>
      <c r="X5914">
        <v>1488</v>
      </c>
      <c r="Y5914" t="s">
        <v>26650</v>
      </c>
      <c r="AA5914" t="s">
        <v>26683</v>
      </c>
      <c r="AB5914" t="s">
        <v>31329</v>
      </c>
      <c r="AD5914" t="s">
        <v>41528</v>
      </c>
      <c r="AE5914">
        <v>380</v>
      </c>
      <c r="AF5914" t="s">
        <v>45543</v>
      </c>
      <c r="AG5914" t="s">
        <v>45556</v>
      </c>
      <c r="AH5914">
        <v>25</v>
      </c>
      <c r="AI5914">
        <v>1</v>
      </c>
      <c r="AJ5914">
        <v>0</v>
      </c>
      <c r="AK5914">
        <v>98.84999999999999</v>
      </c>
      <c r="AN5914" t="s">
        <v>7439</v>
      </c>
      <c r="AO5914">
        <v>12000</v>
      </c>
      <c r="AU5914">
        <v>2</v>
      </c>
      <c r="AV5914" t="s">
        <v>624</v>
      </c>
      <c r="AW5914" t="s">
        <v>46857</v>
      </c>
    </row>
    <row r="5915" spans="1:50">
      <c r="A5915" s="1">
        <f>HYPERLINK("https://lsnyc.legalserver.org/matter/dynamic-profile/view/1880411","18-1880411")</f>
        <v>0</v>
      </c>
      <c r="B5915" t="s">
        <v>169</v>
      </c>
      <c r="C5915" t="s">
        <v>340</v>
      </c>
      <c r="D5915" t="s">
        <v>600</v>
      </c>
      <c r="F5915" t="s">
        <v>916</v>
      </c>
      <c r="G5915" t="s">
        <v>7820</v>
      </c>
      <c r="H5915" t="s">
        <v>10353</v>
      </c>
      <c r="I5915" t="s">
        <v>17316</v>
      </c>
      <c r="J5915" t="s">
        <v>18892</v>
      </c>
      <c r="K5915">
        <v>10451</v>
      </c>
      <c r="L5915" t="s">
        <v>18958</v>
      </c>
      <c r="M5915" t="s">
        <v>18958</v>
      </c>
      <c r="N5915" t="s">
        <v>23262</v>
      </c>
      <c r="O5915" t="s">
        <v>26534</v>
      </c>
      <c r="P5915" t="s">
        <v>26561</v>
      </c>
      <c r="R5915" t="s">
        <v>26578</v>
      </c>
      <c r="S5915" t="s">
        <v>18959</v>
      </c>
      <c r="U5915" t="s">
        <v>26604</v>
      </c>
      <c r="V5915" t="s">
        <v>26610</v>
      </c>
      <c r="W5915" t="s">
        <v>659</v>
      </c>
      <c r="X5915">
        <v>941.27</v>
      </c>
      <c r="Y5915" t="s">
        <v>26650</v>
      </c>
      <c r="Z5915" t="s">
        <v>26659</v>
      </c>
      <c r="AB5915" t="s">
        <v>31330</v>
      </c>
      <c r="AD5915" t="s">
        <v>41529</v>
      </c>
      <c r="AE5915">
        <v>81</v>
      </c>
      <c r="AF5915" t="s">
        <v>45541</v>
      </c>
      <c r="AG5915" t="s">
        <v>19330</v>
      </c>
      <c r="AH5915">
        <v>37</v>
      </c>
      <c r="AI5915">
        <v>2</v>
      </c>
      <c r="AJ5915">
        <v>0</v>
      </c>
      <c r="AK5915">
        <v>291.62</v>
      </c>
      <c r="AL5915" t="s">
        <v>45573</v>
      </c>
      <c r="AM5915" t="s">
        <v>45575</v>
      </c>
      <c r="AN5915" t="s">
        <v>7439</v>
      </c>
      <c r="AO5915">
        <v>48000</v>
      </c>
      <c r="AU5915">
        <v>26.7</v>
      </c>
      <c r="AV5915" t="s">
        <v>833</v>
      </c>
      <c r="AW5915" t="s">
        <v>336</v>
      </c>
    </row>
    <row r="5916" spans="1:50">
      <c r="A5916" s="1">
        <f>HYPERLINK("https://lsnyc.legalserver.org/matter/dynamic-profile/view/1881840","18-1881840")</f>
        <v>0</v>
      </c>
      <c r="B5916" t="s">
        <v>100</v>
      </c>
      <c r="C5916" t="s">
        <v>341</v>
      </c>
      <c r="D5916" t="s">
        <v>643</v>
      </c>
      <c r="E5916" t="s">
        <v>657</v>
      </c>
      <c r="F5916" t="s">
        <v>1980</v>
      </c>
      <c r="G5916" t="s">
        <v>7821</v>
      </c>
      <c r="H5916" t="s">
        <v>13885</v>
      </c>
      <c r="I5916" t="s">
        <v>17362</v>
      </c>
      <c r="J5916" t="s">
        <v>18892</v>
      </c>
      <c r="K5916">
        <v>10456</v>
      </c>
      <c r="L5916" t="s">
        <v>18958</v>
      </c>
      <c r="M5916" t="s">
        <v>18958</v>
      </c>
      <c r="O5916" t="s">
        <v>26534</v>
      </c>
      <c r="P5916" t="s">
        <v>26564</v>
      </c>
      <c r="Q5916" t="s">
        <v>26570</v>
      </c>
      <c r="R5916" t="s">
        <v>26578</v>
      </c>
      <c r="S5916" t="s">
        <v>18959</v>
      </c>
      <c r="U5916" t="s">
        <v>26604</v>
      </c>
      <c r="W5916" t="s">
        <v>659</v>
      </c>
      <c r="X5916">
        <v>1400</v>
      </c>
      <c r="Y5916" t="s">
        <v>26650</v>
      </c>
      <c r="Z5916" t="s">
        <v>26663</v>
      </c>
      <c r="AA5916" t="s">
        <v>26683</v>
      </c>
      <c r="AB5916" t="s">
        <v>31331</v>
      </c>
      <c r="AD5916" t="s">
        <v>41530</v>
      </c>
      <c r="AE5916">
        <v>49</v>
      </c>
      <c r="AF5916" t="s">
        <v>45541</v>
      </c>
      <c r="AH5916">
        <v>4</v>
      </c>
      <c r="AI5916">
        <v>2</v>
      </c>
      <c r="AJ5916">
        <v>2</v>
      </c>
      <c r="AK5916">
        <v>82.87</v>
      </c>
      <c r="AN5916" t="s">
        <v>45592</v>
      </c>
      <c r="AO5916">
        <v>20800</v>
      </c>
      <c r="AU5916">
        <v>0.8</v>
      </c>
      <c r="AV5916" t="s">
        <v>657</v>
      </c>
      <c r="AW5916" t="s">
        <v>261</v>
      </c>
    </row>
    <row r="5917" spans="1:50">
      <c r="A5917" s="1">
        <f>HYPERLINK("https://lsnyc.legalserver.org/matter/dynamic-profile/view/1881919","18-1881919")</f>
        <v>0</v>
      </c>
      <c r="B5917" t="s">
        <v>100</v>
      </c>
      <c r="C5917" t="s">
        <v>341</v>
      </c>
      <c r="D5917" t="s">
        <v>645</v>
      </c>
      <c r="E5917" t="s">
        <v>657</v>
      </c>
      <c r="F5917" t="s">
        <v>1592</v>
      </c>
      <c r="G5917" t="s">
        <v>5678</v>
      </c>
      <c r="H5917" t="s">
        <v>13886</v>
      </c>
      <c r="J5917" t="s">
        <v>18892</v>
      </c>
      <c r="K5917">
        <v>10472</v>
      </c>
      <c r="L5917" t="s">
        <v>18958</v>
      </c>
      <c r="M5917" t="s">
        <v>18958</v>
      </c>
      <c r="O5917" t="s">
        <v>26523</v>
      </c>
      <c r="P5917" t="s">
        <v>26564</v>
      </c>
      <c r="Q5917" t="s">
        <v>26570</v>
      </c>
      <c r="R5917" t="s">
        <v>26578</v>
      </c>
      <c r="S5917" t="s">
        <v>18959</v>
      </c>
      <c r="U5917" t="s">
        <v>26604</v>
      </c>
      <c r="V5917" t="s">
        <v>26611</v>
      </c>
      <c r="W5917" t="s">
        <v>659</v>
      </c>
      <c r="X5917">
        <v>968</v>
      </c>
      <c r="Y5917" t="s">
        <v>26650</v>
      </c>
      <c r="Z5917" t="s">
        <v>26663</v>
      </c>
      <c r="AA5917" t="s">
        <v>26683</v>
      </c>
      <c r="AB5917" t="s">
        <v>30793</v>
      </c>
      <c r="AD5917" t="s">
        <v>41531</v>
      </c>
      <c r="AE5917">
        <v>0</v>
      </c>
      <c r="AF5917" t="s">
        <v>45541</v>
      </c>
      <c r="AH5917">
        <v>0</v>
      </c>
      <c r="AI5917">
        <v>2</v>
      </c>
      <c r="AJ5917">
        <v>0</v>
      </c>
      <c r="AK5917">
        <v>60.95</v>
      </c>
      <c r="AN5917" t="s">
        <v>45581</v>
      </c>
      <c r="AO5917">
        <v>10032</v>
      </c>
      <c r="AU5917">
        <v>0.85</v>
      </c>
      <c r="AV5917" t="s">
        <v>657</v>
      </c>
      <c r="AW5917" t="s">
        <v>261</v>
      </c>
    </row>
    <row r="5918" spans="1:50">
      <c r="A5918" s="1">
        <f>HYPERLINK("https://lsnyc.legalserver.org/matter/dynamic-profile/view/1886675","18-1886675")</f>
        <v>0</v>
      </c>
      <c r="B5918" t="s">
        <v>96</v>
      </c>
      <c r="C5918" t="s">
        <v>340</v>
      </c>
      <c r="D5918" t="s">
        <v>712</v>
      </c>
      <c r="F5918" t="s">
        <v>2657</v>
      </c>
      <c r="G5918" t="s">
        <v>5199</v>
      </c>
      <c r="H5918" t="s">
        <v>13887</v>
      </c>
      <c r="I5918" t="s">
        <v>17293</v>
      </c>
      <c r="J5918" t="s">
        <v>18892</v>
      </c>
      <c r="K5918">
        <v>10457</v>
      </c>
      <c r="L5918" t="s">
        <v>18958</v>
      </c>
      <c r="M5918" t="s">
        <v>18958</v>
      </c>
      <c r="O5918" t="s">
        <v>26539</v>
      </c>
      <c r="P5918" t="s">
        <v>26565</v>
      </c>
      <c r="R5918" t="s">
        <v>26578</v>
      </c>
      <c r="U5918" t="s">
        <v>26607</v>
      </c>
      <c r="W5918" t="s">
        <v>659</v>
      </c>
      <c r="X5918">
        <v>908.14</v>
      </c>
      <c r="Y5918" t="s">
        <v>26650</v>
      </c>
      <c r="Z5918" t="s">
        <v>26668</v>
      </c>
      <c r="AB5918" t="s">
        <v>31332</v>
      </c>
      <c r="AD5918" t="s">
        <v>41532</v>
      </c>
      <c r="AE5918">
        <v>0</v>
      </c>
      <c r="AF5918" t="s">
        <v>45541</v>
      </c>
      <c r="AG5918" t="s">
        <v>19330</v>
      </c>
      <c r="AH5918">
        <v>17</v>
      </c>
      <c r="AI5918">
        <v>1</v>
      </c>
      <c r="AJ5918">
        <v>0</v>
      </c>
      <c r="AK5918">
        <v>74.14</v>
      </c>
      <c r="AN5918" t="s">
        <v>45581</v>
      </c>
      <c r="AO5918">
        <v>9000</v>
      </c>
      <c r="AU5918">
        <v>0.5</v>
      </c>
      <c r="AV5918" t="s">
        <v>712</v>
      </c>
      <c r="AW5918" t="s">
        <v>46870</v>
      </c>
    </row>
    <row r="5919" spans="1:50">
      <c r="A5919" s="1">
        <f>HYPERLINK("https://lsnyc.legalserver.org/matter/dynamic-profile/view/1889466","19-1889466")</f>
        <v>0</v>
      </c>
      <c r="B5919" t="s">
        <v>134</v>
      </c>
      <c r="C5919" t="s">
        <v>340</v>
      </c>
      <c r="D5919" t="s">
        <v>677</v>
      </c>
      <c r="F5919" t="s">
        <v>1331</v>
      </c>
      <c r="G5919" t="s">
        <v>7822</v>
      </c>
      <c r="H5919" t="s">
        <v>13888</v>
      </c>
      <c r="I5919" t="s">
        <v>17430</v>
      </c>
      <c r="J5919" t="s">
        <v>18894</v>
      </c>
      <c r="K5919">
        <v>11208</v>
      </c>
      <c r="L5919" t="s">
        <v>18958</v>
      </c>
      <c r="M5919" t="s">
        <v>18958</v>
      </c>
      <c r="N5919" t="s">
        <v>23263</v>
      </c>
      <c r="O5919" t="s">
        <v>26524</v>
      </c>
      <c r="P5919" t="s">
        <v>26565</v>
      </c>
      <c r="R5919" t="s">
        <v>26578</v>
      </c>
      <c r="S5919" t="s">
        <v>18959</v>
      </c>
      <c r="U5919" t="s">
        <v>26604</v>
      </c>
      <c r="W5919" t="s">
        <v>659</v>
      </c>
      <c r="X5919">
        <v>1150</v>
      </c>
      <c r="Y5919" t="s">
        <v>26652</v>
      </c>
      <c r="Z5919" t="s">
        <v>26660</v>
      </c>
      <c r="AB5919" t="s">
        <v>31333</v>
      </c>
      <c r="AD5919" t="s">
        <v>41533</v>
      </c>
      <c r="AE5919">
        <v>5</v>
      </c>
      <c r="AF5919" t="s">
        <v>45547</v>
      </c>
      <c r="AG5919" t="s">
        <v>19330</v>
      </c>
      <c r="AH5919">
        <v>6</v>
      </c>
      <c r="AI5919">
        <v>2</v>
      </c>
      <c r="AJ5919">
        <v>0</v>
      </c>
      <c r="AK5919">
        <v>123</v>
      </c>
      <c r="AN5919" t="s">
        <v>7439</v>
      </c>
      <c r="AO5919">
        <v>20800</v>
      </c>
      <c r="AU5919">
        <v>3</v>
      </c>
      <c r="AV5919" t="s">
        <v>659</v>
      </c>
      <c r="AW5919" t="s">
        <v>286</v>
      </c>
    </row>
    <row r="5920" spans="1:50">
      <c r="A5920" s="1">
        <f>HYPERLINK("https://lsnyc.legalserver.org/matter/dynamic-profile/view/1889687","19-1889687")</f>
        <v>0</v>
      </c>
      <c r="B5920" t="s">
        <v>126</v>
      </c>
      <c r="C5920" t="s">
        <v>340</v>
      </c>
      <c r="D5920" t="s">
        <v>739</v>
      </c>
      <c r="F5920" t="s">
        <v>3526</v>
      </c>
      <c r="G5920" t="s">
        <v>7823</v>
      </c>
      <c r="H5920" t="s">
        <v>13889</v>
      </c>
      <c r="I5920" t="s">
        <v>17465</v>
      </c>
      <c r="J5920" t="s">
        <v>18894</v>
      </c>
      <c r="K5920">
        <v>11233</v>
      </c>
      <c r="L5920" t="s">
        <v>18958</v>
      </c>
      <c r="M5920" t="s">
        <v>18959</v>
      </c>
      <c r="N5920" t="s">
        <v>23264</v>
      </c>
      <c r="O5920" t="s">
        <v>26524</v>
      </c>
      <c r="P5920" t="s">
        <v>26560</v>
      </c>
      <c r="R5920" t="s">
        <v>26578</v>
      </c>
      <c r="S5920" t="s">
        <v>18959</v>
      </c>
      <c r="U5920" t="s">
        <v>26604</v>
      </c>
      <c r="V5920" t="s">
        <v>26610</v>
      </c>
      <c r="W5920" t="s">
        <v>659</v>
      </c>
      <c r="X5920">
        <v>200</v>
      </c>
      <c r="Y5920" t="s">
        <v>26652</v>
      </c>
      <c r="Z5920" t="s">
        <v>26661</v>
      </c>
      <c r="AB5920" t="s">
        <v>31334</v>
      </c>
      <c r="AC5920" t="s">
        <v>19330</v>
      </c>
      <c r="AD5920" t="s">
        <v>41534</v>
      </c>
      <c r="AE5920">
        <v>100</v>
      </c>
      <c r="AF5920" t="s">
        <v>20460</v>
      </c>
      <c r="AG5920" t="s">
        <v>19330</v>
      </c>
      <c r="AH5920">
        <v>25</v>
      </c>
      <c r="AI5920">
        <v>1</v>
      </c>
      <c r="AJ5920">
        <v>0</v>
      </c>
      <c r="AK5920">
        <v>64.37</v>
      </c>
      <c r="AN5920" t="s">
        <v>45593</v>
      </c>
      <c r="AO5920">
        <v>8040</v>
      </c>
      <c r="AU5920">
        <v>20.2</v>
      </c>
      <c r="AV5920" t="s">
        <v>814</v>
      </c>
      <c r="AW5920" t="s">
        <v>46857</v>
      </c>
      <c r="AX5920" t="s">
        <v>46897</v>
      </c>
    </row>
    <row r="5921" spans="1:50">
      <c r="A5921" s="1">
        <f>HYPERLINK("https://lsnyc.legalserver.org/matter/dynamic-profile/view/1889830","19-1889830")</f>
        <v>0</v>
      </c>
      <c r="B5921" t="s">
        <v>100</v>
      </c>
      <c r="C5921" t="s">
        <v>341</v>
      </c>
      <c r="D5921" t="s">
        <v>714</v>
      </c>
      <c r="E5921" t="s">
        <v>747</v>
      </c>
      <c r="F5921" t="s">
        <v>3527</v>
      </c>
      <c r="G5921" t="s">
        <v>7824</v>
      </c>
      <c r="H5921" t="s">
        <v>13890</v>
      </c>
      <c r="I5921" t="s">
        <v>17300</v>
      </c>
      <c r="J5921" t="s">
        <v>18892</v>
      </c>
      <c r="K5921">
        <v>10452</v>
      </c>
      <c r="L5921" t="s">
        <v>18958</v>
      </c>
      <c r="M5921" t="s">
        <v>18958</v>
      </c>
      <c r="P5921" t="s">
        <v>26564</v>
      </c>
      <c r="Q5921" t="s">
        <v>26570</v>
      </c>
      <c r="R5921" t="s">
        <v>26578</v>
      </c>
      <c r="S5921" t="s">
        <v>18959</v>
      </c>
      <c r="U5921" t="s">
        <v>26604</v>
      </c>
      <c r="W5921" t="s">
        <v>659</v>
      </c>
      <c r="X5921">
        <v>788.67</v>
      </c>
      <c r="Y5921" t="s">
        <v>26650</v>
      </c>
      <c r="Z5921" t="s">
        <v>26663</v>
      </c>
      <c r="AA5921" t="s">
        <v>26683</v>
      </c>
      <c r="AB5921" t="s">
        <v>29557</v>
      </c>
      <c r="AD5921" t="s">
        <v>41535</v>
      </c>
      <c r="AE5921">
        <v>62</v>
      </c>
      <c r="AF5921" t="s">
        <v>45547</v>
      </c>
      <c r="AG5921" t="s">
        <v>19330</v>
      </c>
      <c r="AH5921">
        <v>29</v>
      </c>
      <c r="AI5921">
        <v>2</v>
      </c>
      <c r="AJ5921">
        <v>1</v>
      </c>
      <c r="AK5921">
        <v>185.28</v>
      </c>
      <c r="AN5921" t="s">
        <v>45581</v>
      </c>
      <c r="AO5921">
        <v>39520</v>
      </c>
      <c r="AU5921">
        <v>0.1</v>
      </c>
      <c r="AV5921" t="s">
        <v>740</v>
      </c>
      <c r="AW5921" t="s">
        <v>46847</v>
      </c>
    </row>
    <row r="5922" spans="1:50">
      <c r="A5922" s="1">
        <f>HYPERLINK("https://lsnyc.legalserver.org/matter/dynamic-profile/view/1889801","19-1889801")</f>
        <v>0</v>
      </c>
      <c r="B5922" t="s">
        <v>100</v>
      </c>
      <c r="C5922" t="s">
        <v>341</v>
      </c>
      <c r="D5922" t="s">
        <v>714</v>
      </c>
      <c r="E5922" t="s">
        <v>747</v>
      </c>
      <c r="F5922" t="s">
        <v>1228</v>
      </c>
      <c r="G5922" t="s">
        <v>7825</v>
      </c>
      <c r="H5922" t="s">
        <v>13891</v>
      </c>
      <c r="I5922" t="s">
        <v>17358</v>
      </c>
      <c r="J5922" t="s">
        <v>18892</v>
      </c>
      <c r="K5922">
        <v>10452</v>
      </c>
      <c r="L5922" t="s">
        <v>18958</v>
      </c>
      <c r="M5922" t="s">
        <v>18958</v>
      </c>
      <c r="O5922" t="s">
        <v>26534</v>
      </c>
      <c r="P5922" t="s">
        <v>26565</v>
      </c>
      <c r="Q5922" t="s">
        <v>26571</v>
      </c>
      <c r="R5922" t="s">
        <v>26578</v>
      </c>
      <c r="S5922" t="s">
        <v>18959</v>
      </c>
      <c r="U5922" t="s">
        <v>26604</v>
      </c>
      <c r="W5922" t="s">
        <v>659</v>
      </c>
      <c r="X5922">
        <v>1226</v>
      </c>
      <c r="Y5922" t="s">
        <v>26650</v>
      </c>
      <c r="Z5922" t="s">
        <v>26663</v>
      </c>
      <c r="AA5922" t="s">
        <v>26690</v>
      </c>
      <c r="AB5922" t="s">
        <v>31335</v>
      </c>
      <c r="AD5922" t="s">
        <v>41536</v>
      </c>
      <c r="AE5922">
        <v>56</v>
      </c>
      <c r="AF5922" t="s">
        <v>20460</v>
      </c>
      <c r="AG5922" t="s">
        <v>19330</v>
      </c>
      <c r="AH5922">
        <v>5</v>
      </c>
      <c r="AI5922">
        <v>1</v>
      </c>
      <c r="AJ5922">
        <v>0</v>
      </c>
      <c r="AK5922">
        <v>480.38</v>
      </c>
      <c r="AN5922" t="s">
        <v>45581</v>
      </c>
      <c r="AO5922">
        <v>60000</v>
      </c>
      <c r="AU5922">
        <v>0.1</v>
      </c>
      <c r="AV5922" t="s">
        <v>740</v>
      </c>
      <c r="AW5922" t="s">
        <v>46847</v>
      </c>
    </row>
    <row r="5923" spans="1:50">
      <c r="A5923" s="1">
        <f>HYPERLINK("https://lsnyc.legalserver.org/matter/dynamic-profile/view/1889808","19-1889808")</f>
        <v>0</v>
      </c>
      <c r="B5923" t="s">
        <v>116</v>
      </c>
      <c r="C5923" t="s">
        <v>341</v>
      </c>
      <c r="D5923" t="s">
        <v>714</v>
      </c>
      <c r="E5923" t="s">
        <v>752</v>
      </c>
      <c r="F5923" t="s">
        <v>948</v>
      </c>
      <c r="G5923" t="s">
        <v>4085</v>
      </c>
      <c r="H5923" t="s">
        <v>13892</v>
      </c>
      <c r="I5923">
        <v>2</v>
      </c>
      <c r="J5923" t="s">
        <v>18894</v>
      </c>
      <c r="K5923">
        <v>11233</v>
      </c>
      <c r="L5923" t="s">
        <v>18958</v>
      </c>
      <c r="M5923" t="s">
        <v>18958</v>
      </c>
      <c r="N5923" t="s">
        <v>23265</v>
      </c>
      <c r="O5923" t="s">
        <v>26524</v>
      </c>
      <c r="P5923" t="s">
        <v>26565</v>
      </c>
      <c r="Q5923" t="s">
        <v>26571</v>
      </c>
      <c r="R5923" t="s">
        <v>26578</v>
      </c>
      <c r="S5923" t="s">
        <v>18959</v>
      </c>
      <c r="U5923" t="s">
        <v>26604</v>
      </c>
      <c r="W5923" t="s">
        <v>659</v>
      </c>
      <c r="X5923">
        <v>1500</v>
      </c>
      <c r="Y5923" t="s">
        <v>26652</v>
      </c>
      <c r="Z5923" t="s">
        <v>26668</v>
      </c>
      <c r="AA5923" t="s">
        <v>26681</v>
      </c>
      <c r="AB5923" t="s">
        <v>28707</v>
      </c>
      <c r="AC5923" t="s">
        <v>34508</v>
      </c>
      <c r="AD5923" t="s">
        <v>41537</v>
      </c>
      <c r="AE5923">
        <v>3</v>
      </c>
      <c r="AF5923" t="s">
        <v>45547</v>
      </c>
      <c r="AG5923" t="s">
        <v>19330</v>
      </c>
      <c r="AH5923">
        <v>3</v>
      </c>
      <c r="AI5923">
        <v>2</v>
      </c>
      <c r="AJ5923">
        <v>1</v>
      </c>
      <c r="AK5923">
        <v>0</v>
      </c>
      <c r="AN5923" t="s">
        <v>7439</v>
      </c>
      <c r="AO5923">
        <v>0</v>
      </c>
      <c r="AU5923">
        <v>1.8</v>
      </c>
      <c r="AV5923" t="s">
        <v>659</v>
      </c>
      <c r="AW5923" t="s">
        <v>279</v>
      </c>
    </row>
    <row r="5924" spans="1:50">
      <c r="A5924" s="1">
        <f>HYPERLINK("https://lsnyc.legalserver.org/matter/dynamic-profile/view/1889927","19-1889927")</f>
        <v>0</v>
      </c>
      <c r="B5924" t="s">
        <v>55</v>
      </c>
      <c r="C5924" t="s">
        <v>341</v>
      </c>
      <c r="D5924" t="s">
        <v>744</v>
      </c>
      <c r="E5924" t="s">
        <v>808</v>
      </c>
      <c r="F5924" t="s">
        <v>2074</v>
      </c>
      <c r="G5924" t="s">
        <v>7826</v>
      </c>
      <c r="H5924" t="s">
        <v>13893</v>
      </c>
      <c r="I5924" t="s">
        <v>17277</v>
      </c>
      <c r="J5924" t="s">
        <v>18892</v>
      </c>
      <c r="K5924">
        <v>10472</v>
      </c>
      <c r="L5924" t="s">
        <v>18958</v>
      </c>
      <c r="M5924" t="s">
        <v>18958</v>
      </c>
      <c r="N5924" t="s">
        <v>23266</v>
      </c>
      <c r="O5924" t="s">
        <v>26523</v>
      </c>
      <c r="P5924" t="s">
        <v>26562</v>
      </c>
      <c r="Q5924" t="s">
        <v>26570</v>
      </c>
      <c r="R5924" t="s">
        <v>26589</v>
      </c>
      <c r="S5924" t="s">
        <v>18959</v>
      </c>
      <c r="U5924" t="s">
        <v>26604</v>
      </c>
      <c r="W5924" t="s">
        <v>659</v>
      </c>
      <c r="X5924">
        <v>838</v>
      </c>
      <c r="Y5924" t="s">
        <v>26650</v>
      </c>
      <c r="Z5924" t="s">
        <v>26671</v>
      </c>
      <c r="AA5924" t="s">
        <v>26679</v>
      </c>
      <c r="AB5924" t="s">
        <v>27598</v>
      </c>
      <c r="AE5924">
        <v>54</v>
      </c>
      <c r="AF5924" t="s">
        <v>20460</v>
      </c>
      <c r="AG5924" t="s">
        <v>45556</v>
      </c>
      <c r="AH5924">
        <v>2</v>
      </c>
      <c r="AI5924">
        <v>1</v>
      </c>
      <c r="AJ5924">
        <v>1</v>
      </c>
      <c r="AK5924">
        <v>54.86</v>
      </c>
      <c r="AL5924" t="s">
        <v>45568</v>
      </c>
      <c r="AM5924" t="s">
        <v>45577</v>
      </c>
      <c r="AN5924" t="s">
        <v>45581</v>
      </c>
      <c r="AO5924">
        <v>9276</v>
      </c>
      <c r="AU5924">
        <v>10.4</v>
      </c>
      <c r="AV5924" t="s">
        <v>801</v>
      </c>
      <c r="AW5924" t="s">
        <v>46847</v>
      </c>
    </row>
    <row r="5925" spans="1:50">
      <c r="A5925" s="1">
        <f>HYPERLINK("https://lsnyc.legalserver.org/matter/dynamic-profile/view/1890203","19-1890203")</f>
        <v>0</v>
      </c>
      <c r="B5925" t="s">
        <v>116</v>
      </c>
      <c r="C5925" t="s">
        <v>341</v>
      </c>
      <c r="D5925" t="s">
        <v>690</v>
      </c>
      <c r="E5925" t="s">
        <v>752</v>
      </c>
      <c r="F5925" t="s">
        <v>923</v>
      </c>
      <c r="G5925" t="s">
        <v>5557</v>
      </c>
      <c r="H5925" t="s">
        <v>13894</v>
      </c>
      <c r="I5925">
        <v>1</v>
      </c>
      <c r="J5925" t="s">
        <v>18894</v>
      </c>
      <c r="K5925">
        <v>11233</v>
      </c>
      <c r="L5925" t="s">
        <v>18958</v>
      </c>
      <c r="M5925" t="s">
        <v>18958</v>
      </c>
      <c r="N5925" t="s">
        <v>23267</v>
      </c>
      <c r="O5925" t="s">
        <v>26524</v>
      </c>
      <c r="P5925" t="s">
        <v>26565</v>
      </c>
      <c r="Q5925" t="s">
        <v>26571</v>
      </c>
      <c r="R5925" t="s">
        <v>26578</v>
      </c>
      <c r="S5925" t="s">
        <v>18959</v>
      </c>
      <c r="U5925" t="s">
        <v>26604</v>
      </c>
      <c r="V5925" t="s">
        <v>26610</v>
      </c>
      <c r="W5925" t="s">
        <v>659</v>
      </c>
      <c r="X5925">
        <v>650</v>
      </c>
      <c r="Y5925" t="s">
        <v>26652</v>
      </c>
      <c r="Z5925" t="s">
        <v>26657</v>
      </c>
      <c r="AA5925" t="s">
        <v>26681</v>
      </c>
      <c r="AB5925" t="s">
        <v>31336</v>
      </c>
      <c r="AD5925" t="s">
        <v>41538</v>
      </c>
      <c r="AE5925">
        <v>5</v>
      </c>
      <c r="AF5925" t="s">
        <v>45547</v>
      </c>
      <c r="AG5925" t="s">
        <v>19330</v>
      </c>
      <c r="AH5925">
        <v>3</v>
      </c>
      <c r="AI5925">
        <v>2</v>
      </c>
      <c r="AJ5925">
        <v>0</v>
      </c>
      <c r="AK5925">
        <v>46.13</v>
      </c>
      <c r="AN5925" t="s">
        <v>7439</v>
      </c>
      <c r="AO5925">
        <v>7800</v>
      </c>
      <c r="AT5925" t="s">
        <v>46677</v>
      </c>
      <c r="AU5925">
        <v>1.8</v>
      </c>
      <c r="AV5925" t="s">
        <v>659</v>
      </c>
      <c r="AW5925" t="s">
        <v>279</v>
      </c>
    </row>
    <row r="5926" spans="1:50">
      <c r="A5926" s="1">
        <f>HYPERLINK("https://lsnyc.legalserver.org/matter/dynamic-profile/view/1891031","19-1891031")</f>
        <v>0</v>
      </c>
      <c r="B5926" t="s">
        <v>98</v>
      </c>
      <c r="C5926" t="s">
        <v>341</v>
      </c>
      <c r="D5926" t="s">
        <v>740</v>
      </c>
      <c r="E5926" t="s">
        <v>753</v>
      </c>
      <c r="F5926" t="s">
        <v>1228</v>
      </c>
      <c r="G5926" t="s">
        <v>5739</v>
      </c>
      <c r="H5926" t="s">
        <v>11428</v>
      </c>
      <c r="I5926" t="s">
        <v>17272</v>
      </c>
      <c r="J5926" t="s">
        <v>18892</v>
      </c>
      <c r="K5926">
        <v>10453</v>
      </c>
      <c r="L5926" t="s">
        <v>18958</v>
      </c>
      <c r="M5926" t="s">
        <v>18958</v>
      </c>
      <c r="O5926" t="s">
        <v>18997</v>
      </c>
      <c r="P5926" t="s">
        <v>26564</v>
      </c>
      <c r="Q5926" t="s">
        <v>26570</v>
      </c>
      <c r="R5926" t="s">
        <v>26578</v>
      </c>
      <c r="S5926" t="s">
        <v>18959</v>
      </c>
      <c r="U5926" t="s">
        <v>26604</v>
      </c>
      <c r="W5926" t="s">
        <v>659</v>
      </c>
      <c r="X5926">
        <v>1250</v>
      </c>
      <c r="Y5926" t="s">
        <v>26650</v>
      </c>
      <c r="Z5926" t="s">
        <v>26663</v>
      </c>
      <c r="AA5926" t="s">
        <v>26683</v>
      </c>
      <c r="AB5926" t="s">
        <v>28630</v>
      </c>
      <c r="AD5926" t="s">
        <v>38682</v>
      </c>
      <c r="AE5926">
        <v>20</v>
      </c>
      <c r="AF5926" t="s">
        <v>45541</v>
      </c>
      <c r="AG5926" t="s">
        <v>19330</v>
      </c>
      <c r="AH5926">
        <v>4</v>
      </c>
      <c r="AI5926">
        <v>3</v>
      </c>
      <c r="AJ5926">
        <v>0</v>
      </c>
      <c r="AK5926">
        <v>323.49</v>
      </c>
      <c r="AN5926" t="s">
        <v>45581</v>
      </c>
      <c r="AO5926">
        <v>69000</v>
      </c>
      <c r="AU5926">
        <v>1.4</v>
      </c>
      <c r="AV5926" t="s">
        <v>753</v>
      </c>
      <c r="AW5926" t="s">
        <v>98</v>
      </c>
    </row>
    <row r="5927" spans="1:50">
      <c r="A5927" s="1">
        <f>HYPERLINK("https://lsnyc.legalserver.org/matter/dynamic-profile/view/1891216","19-1891216")</f>
        <v>0</v>
      </c>
      <c r="B5927" t="s">
        <v>134</v>
      </c>
      <c r="C5927" t="s">
        <v>340</v>
      </c>
      <c r="D5927" t="s">
        <v>756</v>
      </c>
      <c r="F5927" t="s">
        <v>2120</v>
      </c>
      <c r="G5927" t="s">
        <v>7827</v>
      </c>
      <c r="H5927" t="s">
        <v>13895</v>
      </c>
      <c r="J5927" t="s">
        <v>18894</v>
      </c>
      <c r="K5927">
        <v>11208</v>
      </c>
      <c r="L5927" t="s">
        <v>18958</v>
      </c>
      <c r="M5927" t="s">
        <v>18959</v>
      </c>
      <c r="N5927" t="s">
        <v>23268</v>
      </c>
      <c r="O5927" t="s">
        <v>26524</v>
      </c>
      <c r="P5927" t="s">
        <v>26565</v>
      </c>
      <c r="R5927" t="s">
        <v>26578</v>
      </c>
      <c r="S5927" t="s">
        <v>18959</v>
      </c>
      <c r="U5927" t="s">
        <v>26604</v>
      </c>
      <c r="V5927" t="s">
        <v>26610</v>
      </c>
      <c r="W5927" t="s">
        <v>659</v>
      </c>
      <c r="X5927">
        <v>1574</v>
      </c>
      <c r="Y5927" t="s">
        <v>26652</v>
      </c>
      <c r="Z5927" t="s">
        <v>26530</v>
      </c>
      <c r="AB5927" t="s">
        <v>31337</v>
      </c>
      <c r="AC5927" t="s">
        <v>19330</v>
      </c>
      <c r="AD5927" t="s">
        <v>41539</v>
      </c>
      <c r="AE5927">
        <v>2</v>
      </c>
      <c r="AF5927" t="s">
        <v>45547</v>
      </c>
      <c r="AG5927" t="s">
        <v>19330</v>
      </c>
      <c r="AH5927">
        <v>15</v>
      </c>
      <c r="AI5927">
        <v>3</v>
      </c>
      <c r="AJ5927">
        <v>0</v>
      </c>
      <c r="AK5927">
        <v>134.08</v>
      </c>
      <c r="AN5927" t="s">
        <v>7439</v>
      </c>
      <c r="AO5927">
        <v>28600</v>
      </c>
      <c r="AU5927">
        <v>3.5</v>
      </c>
      <c r="AV5927" t="s">
        <v>659</v>
      </c>
      <c r="AW5927" t="s">
        <v>286</v>
      </c>
      <c r="AX5927" t="s">
        <v>46897</v>
      </c>
    </row>
    <row r="5928" spans="1:50">
      <c r="A5928" s="1">
        <f>HYPERLINK("https://lsnyc.legalserver.org/matter/dynamic-profile/view/1891405","19-1891405")</f>
        <v>0</v>
      </c>
      <c r="B5928" t="s">
        <v>64</v>
      </c>
      <c r="C5928" t="s">
        <v>341</v>
      </c>
      <c r="D5928" t="s">
        <v>747</v>
      </c>
      <c r="E5928" t="s">
        <v>659</v>
      </c>
      <c r="F5928" t="s">
        <v>1092</v>
      </c>
      <c r="G5928" t="s">
        <v>7828</v>
      </c>
      <c r="H5928" t="s">
        <v>13896</v>
      </c>
      <c r="I5928" t="s">
        <v>17387</v>
      </c>
      <c r="J5928" t="s">
        <v>18892</v>
      </c>
      <c r="K5928">
        <v>10461</v>
      </c>
      <c r="L5928" t="s">
        <v>18958</v>
      </c>
      <c r="M5928" t="s">
        <v>18958</v>
      </c>
      <c r="N5928" t="s">
        <v>23269</v>
      </c>
      <c r="O5928" t="s">
        <v>26523</v>
      </c>
      <c r="P5928" t="s">
        <v>26564</v>
      </c>
      <c r="Q5928" t="s">
        <v>26570</v>
      </c>
      <c r="R5928" t="s">
        <v>26577</v>
      </c>
      <c r="S5928" t="s">
        <v>18959</v>
      </c>
      <c r="U5928" t="s">
        <v>26604</v>
      </c>
      <c r="V5928" t="s">
        <v>26610</v>
      </c>
      <c r="W5928" t="s">
        <v>659</v>
      </c>
      <c r="X5928">
        <v>1860</v>
      </c>
      <c r="Y5928" t="s">
        <v>26650</v>
      </c>
      <c r="Z5928" t="s">
        <v>26668</v>
      </c>
      <c r="AA5928" t="s">
        <v>26683</v>
      </c>
      <c r="AB5928" t="s">
        <v>31338</v>
      </c>
      <c r="AD5928" t="s">
        <v>41540</v>
      </c>
      <c r="AE5928">
        <v>0</v>
      </c>
      <c r="AF5928" t="s">
        <v>45541</v>
      </c>
      <c r="AH5928">
        <v>4</v>
      </c>
      <c r="AI5928">
        <v>2</v>
      </c>
      <c r="AJ5928">
        <v>0</v>
      </c>
      <c r="AK5928">
        <v>111.89</v>
      </c>
      <c r="AN5928" t="s">
        <v>7439</v>
      </c>
      <c r="AO5928">
        <v>18920</v>
      </c>
      <c r="AU5928">
        <v>1</v>
      </c>
      <c r="AV5928" t="s">
        <v>659</v>
      </c>
      <c r="AW5928" t="s">
        <v>46870</v>
      </c>
    </row>
    <row r="5929" spans="1:50">
      <c r="A5929" s="1">
        <f>HYPERLINK("https://lsnyc.legalserver.org/matter/dynamic-profile/view/1891424","19-1891424")</f>
        <v>0</v>
      </c>
      <c r="B5929" t="s">
        <v>137</v>
      </c>
      <c r="C5929" t="s">
        <v>341</v>
      </c>
      <c r="D5929" t="s">
        <v>757</v>
      </c>
      <c r="E5929" t="s">
        <v>817</v>
      </c>
      <c r="F5929" t="s">
        <v>1323</v>
      </c>
      <c r="G5929" t="s">
        <v>2749</v>
      </c>
      <c r="H5929" t="s">
        <v>13897</v>
      </c>
      <c r="I5929" t="s">
        <v>17436</v>
      </c>
      <c r="J5929" t="s">
        <v>18892</v>
      </c>
      <c r="K5929">
        <v>10463</v>
      </c>
      <c r="L5929" t="s">
        <v>18958</v>
      </c>
      <c r="M5929" t="s">
        <v>18958</v>
      </c>
      <c r="N5929" t="s">
        <v>23270</v>
      </c>
      <c r="O5929" t="s">
        <v>26523</v>
      </c>
      <c r="P5929" t="s">
        <v>26560</v>
      </c>
      <c r="Q5929" t="s">
        <v>26568</v>
      </c>
      <c r="R5929" t="s">
        <v>26577</v>
      </c>
      <c r="S5929" t="s">
        <v>18959</v>
      </c>
      <c r="U5929" t="s">
        <v>26604</v>
      </c>
      <c r="V5929" t="s">
        <v>26609</v>
      </c>
      <c r="W5929" t="s">
        <v>659</v>
      </c>
      <c r="X5929">
        <v>932</v>
      </c>
      <c r="Y5929" t="s">
        <v>26650</v>
      </c>
      <c r="Z5929" t="s">
        <v>26659</v>
      </c>
      <c r="AA5929" t="s">
        <v>26678</v>
      </c>
      <c r="AB5929" t="s">
        <v>28700</v>
      </c>
      <c r="AC5929" t="s">
        <v>36070</v>
      </c>
      <c r="AD5929" t="s">
        <v>41541</v>
      </c>
      <c r="AE5929">
        <v>26</v>
      </c>
      <c r="AF5929" t="s">
        <v>45541</v>
      </c>
      <c r="AG5929" t="s">
        <v>19330</v>
      </c>
      <c r="AH5929">
        <v>6</v>
      </c>
      <c r="AI5929">
        <v>2</v>
      </c>
      <c r="AJ5929">
        <v>1</v>
      </c>
      <c r="AK5929">
        <v>86.47</v>
      </c>
      <c r="AN5929" t="s">
        <v>45581</v>
      </c>
      <c r="AO5929">
        <v>18444</v>
      </c>
      <c r="AR5929" t="s">
        <v>46380</v>
      </c>
      <c r="AS5929" t="s">
        <v>46499</v>
      </c>
      <c r="AT5929" t="s">
        <v>46749</v>
      </c>
      <c r="AU5929">
        <v>9</v>
      </c>
      <c r="AV5929" t="s">
        <v>729</v>
      </c>
      <c r="AW5929" t="s">
        <v>46847</v>
      </c>
      <c r="AX5929" t="s">
        <v>46898</v>
      </c>
    </row>
    <row r="5930" spans="1:50">
      <c r="A5930" s="1">
        <f>HYPERLINK("https://lsnyc.legalserver.org/matter/dynamic-profile/view/1891535","19-1891535")</f>
        <v>0</v>
      </c>
      <c r="B5930" t="s">
        <v>138</v>
      </c>
      <c r="C5930" t="s">
        <v>340</v>
      </c>
      <c r="D5930" t="s">
        <v>757</v>
      </c>
      <c r="F5930" t="s">
        <v>1562</v>
      </c>
      <c r="G5930" t="s">
        <v>5639</v>
      </c>
      <c r="H5930" t="s">
        <v>13898</v>
      </c>
      <c r="I5930" t="s">
        <v>17272</v>
      </c>
      <c r="J5930" t="s">
        <v>18893</v>
      </c>
      <c r="K5930">
        <v>10035</v>
      </c>
      <c r="L5930" t="s">
        <v>18958</v>
      </c>
      <c r="M5930" t="s">
        <v>18958</v>
      </c>
      <c r="O5930" t="s">
        <v>18997</v>
      </c>
      <c r="P5930" t="s">
        <v>26563</v>
      </c>
      <c r="R5930" t="s">
        <v>26578</v>
      </c>
      <c r="S5930" t="s">
        <v>18958</v>
      </c>
      <c r="U5930" t="s">
        <v>26604</v>
      </c>
      <c r="V5930" t="s">
        <v>26610</v>
      </c>
      <c r="W5930" t="s">
        <v>659</v>
      </c>
      <c r="X5930">
        <v>1530</v>
      </c>
      <c r="Y5930" t="s">
        <v>26651</v>
      </c>
      <c r="Z5930" t="s">
        <v>26673</v>
      </c>
      <c r="AB5930" t="s">
        <v>31339</v>
      </c>
      <c r="AD5930" t="s">
        <v>41542</v>
      </c>
      <c r="AE5930">
        <v>30</v>
      </c>
      <c r="AF5930" t="s">
        <v>45541</v>
      </c>
      <c r="AG5930" t="s">
        <v>19330</v>
      </c>
      <c r="AH5930">
        <v>3</v>
      </c>
      <c r="AI5930">
        <v>1</v>
      </c>
      <c r="AJ5930">
        <v>1</v>
      </c>
      <c r="AK5930">
        <v>92.25</v>
      </c>
      <c r="AN5930" t="s">
        <v>7439</v>
      </c>
      <c r="AO5930">
        <v>15600</v>
      </c>
      <c r="AU5930">
        <v>42.52</v>
      </c>
      <c r="AV5930" t="s">
        <v>831</v>
      </c>
      <c r="AW5930" t="s">
        <v>46858</v>
      </c>
    </row>
    <row r="5931" spans="1:50">
      <c r="A5931" s="1">
        <f>HYPERLINK("https://lsnyc.legalserver.org/matter/dynamic-profile/view/1891986","19-1891986")</f>
        <v>0</v>
      </c>
      <c r="B5931" t="s">
        <v>152</v>
      </c>
      <c r="C5931" t="s">
        <v>341</v>
      </c>
      <c r="D5931" t="s">
        <v>574</v>
      </c>
      <c r="E5931" t="s">
        <v>820</v>
      </c>
      <c r="F5931" t="s">
        <v>958</v>
      </c>
      <c r="G5931" t="s">
        <v>4588</v>
      </c>
      <c r="H5931" t="s">
        <v>13899</v>
      </c>
      <c r="I5931" t="s">
        <v>17550</v>
      </c>
      <c r="J5931" t="s">
        <v>18892</v>
      </c>
      <c r="K5931">
        <v>10456</v>
      </c>
      <c r="L5931" t="s">
        <v>18958</v>
      </c>
      <c r="M5931" t="s">
        <v>18958</v>
      </c>
      <c r="P5931" t="s">
        <v>26564</v>
      </c>
      <c r="Q5931" t="s">
        <v>26570</v>
      </c>
      <c r="R5931" t="s">
        <v>26578</v>
      </c>
      <c r="S5931" t="s">
        <v>18959</v>
      </c>
      <c r="U5931" t="s">
        <v>26604</v>
      </c>
      <c r="W5931" t="s">
        <v>659</v>
      </c>
      <c r="X5931">
        <v>1298.95</v>
      </c>
      <c r="Y5931" t="s">
        <v>26650</v>
      </c>
      <c r="Z5931" t="s">
        <v>26663</v>
      </c>
      <c r="AA5931" t="s">
        <v>26683</v>
      </c>
      <c r="AB5931" t="s">
        <v>28761</v>
      </c>
      <c r="AD5931" t="s">
        <v>41543</v>
      </c>
      <c r="AE5931">
        <v>11</v>
      </c>
      <c r="AF5931" t="s">
        <v>20460</v>
      </c>
      <c r="AG5931" t="s">
        <v>45560</v>
      </c>
      <c r="AH5931">
        <v>26</v>
      </c>
      <c r="AI5931">
        <v>2</v>
      </c>
      <c r="AJ5931">
        <v>0</v>
      </c>
      <c r="AK5931">
        <v>161.55</v>
      </c>
      <c r="AN5931" t="s">
        <v>45581</v>
      </c>
      <c r="AO5931">
        <v>27317.76</v>
      </c>
      <c r="AU5931">
        <v>0.1</v>
      </c>
      <c r="AV5931" t="s">
        <v>820</v>
      </c>
      <c r="AW5931" t="s">
        <v>46847</v>
      </c>
    </row>
    <row r="5932" spans="1:50">
      <c r="A5932" s="1">
        <f>HYPERLINK("https://lsnyc.legalserver.org/matter/dynamic-profile/view/1891890","19-1891890")</f>
        <v>0</v>
      </c>
      <c r="B5932" t="s">
        <v>119</v>
      </c>
      <c r="C5932" t="s">
        <v>341</v>
      </c>
      <c r="D5932" t="s">
        <v>574</v>
      </c>
      <c r="E5932" t="s">
        <v>792</v>
      </c>
      <c r="F5932" t="s">
        <v>1197</v>
      </c>
      <c r="G5932" t="s">
        <v>5262</v>
      </c>
      <c r="H5932" t="s">
        <v>13900</v>
      </c>
      <c r="I5932" t="s">
        <v>18297</v>
      </c>
      <c r="J5932" t="s">
        <v>18893</v>
      </c>
      <c r="K5932">
        <v>10029</v>
      </c>
      <c r="L5932" t="s">
        <v>18958</v>
      </c>
      <c r="M5932" t="s">
        <v>18958</v>
      </c>
      <c r="O5932" t="s">
        <v>18997</v>
      </c>
      <c r="P5932" t="s">
        <v>26565</v>
      </c>
      <c r="Q5932" t="s">
        <v>26571</v>
      </c>
      <c r="R5932" t="s">
        <v>26578</v>
      </c>
      <c r="S5932" t="s">
        <v>18959</v>
      </c>
      <c r="U5932" t="s">
        <v>26604</v>
      </c>
      <c r="V5932" t="s">
        <v>26610</v>
      </c>
      <c r="W5932" t="s">
        <v>659</v>
      </c>
      <c r="X5932">
        <v>351.16</v>
      </c>
      <c r="Y5932" t="s">
        <v>26651</v>
      </c>
      <c r="Z5932" t="s">
        <v>26660</v>
      </c>
      <c r="AA5932" t="s">
        <v>26683</v>
      </c>
      <c r="AB5932" t="s">
        <v>31340</v>
      </c>
      <c r="AD5932" t="s">
        <v>41544</v>
      </c>
      <c r="AE5932">
        <v>12</v>
      </c>
      <c r="AF5932" t="s">
        <v>45548</v>
      </c>
      <c r="AG5932" t="s">
        <v>19330</v>
      </c>
      <c r="AH5932">
        <v>22</v>
      </c>
      <c r="AI5932">
        <v>1</v>
      </c>
      <c r="AJ5932">
        <v>0</v>
      </c>
      <c r="AK5932">
        <v>146.42</v>
      </c>
      <c r="AN5932" t="s">
        <v>7439</v>
      </c>
      <c r="AO5932">
        <v>18288</v>
      </c>
      <c r="AU5932">
        <v>3</v>
      </c>
      <c r="AV5932" t="s">
        <v>792</v>
      </c>
      <c r="AW5932" t="s">
        <v>46846</v>
      </c>
    </row>
    <row r="5933" spans="1:50">
      <c r="A5933" s="1">
        <f>HYPERLINK("https://lsnyc.legalserver.org/matter/dynamic-profile/view/1891258","19-1891258")</f>
        <v>0</v>
      </c>
      <c r="B5933" t="s">
        <v>278</v>
      </c>
      <c r="C5933" t="s">
        <v>341</v>
      </c>
      <c r="D5933" t="s">
        <v>659</v>
      </c>
      <c r="E5933" t="s">
        <v>781</v>
      </c>
      <c r="F5933" t="s">
        <v>1044</v>
      </c>
      <c r="G5933" t="s">
        <v>5125</v>
      </c>
      <c r="H5933" t="s">
        <v>13901</v>
      </c>
      <c r="I5933" t="s">
        <v>17415</v>
      </c>
      <c r="J5933" t="s">
        <v>18902</v>
      </c>
      <c r="K5933">
        <v>10306</v>
      </c>
      <c r="L5933" t="s">
        <v>18958</v>
      </c>
      <c r="M5933" t="s">
        <v>18958</v>
      </c>
      <c r="N5933" t="s">
        <v>23271</v>
      </c>
      <c r="O5933" t="s">
        <v>26523</v>
      </c>
      <c r="P5933" t="s">
        <v>26560</v>
      </c>
      <c r="Q5933" t="s">
        <v>26574</v>
      </c>
      <c r="R5933" t="s">
        <v>26578</v>
      </c>
      <c r="S5933" t="s">
        <v>18959</v>
      </c>
      <c r="U5933" t="s">
        <v>26604</v>
      </c>
      <c r="V5933" t="s">
        <v>26611</v>
      </c>
      <c r="W5933" t="s">
        <v>659</v>
      </c>
      <c r="X5933">
        <v>1800</v>
      </c>
      <c r="Y5933" t="s">
        <v>26654</v>
      </c>
      <c r="Z5933" t="s">
        <v>26661</v>
      </c>
      <c r="AA5933" t="s">
        <v>26678</v>
      </c>
      <c r="AB5933" t="s">
        <v>31341</v>
      </c>
      <c r="AD5933" t="s">
        <v>41545</v>
      </c>
      <c r="AE5933">
        <v>3</v>
      </c>
      <c r="AF5933" t="s">
        <v>45547</v>
      </c>
      <c r="AG5933" t="s">
        <v>19330</v>
      </c>
      <c r="AH5933">
        <v>1</v>
      </c>
      <c r="AI5933">
        <v>1</v>
      </c>
      <c r="AJ5933">
        <v>1</v>
      </c>
      <c r="AK5933">
        <v>22.29</v>
      </c>
      <c r="AN5933" t="s">
        <v>45598</v>
      </c>
      <c r="AO5933">
        <v>3770</v>
      </c>
      <c r="AQ5933" t="s">
        <v>46359</v>
      </c>
      <c r="AR5933" t="s">
        <v>46379</v>
      </c>
      <c r="AS5933" t="s">
        <v>46499</v>
      </c>
      <c r="AT5933" t="s">
        <v>46660</v>
      </c>
      <c r="AU5933">
        <v>13.6</v>
      </c>
      <c r="AV5933" t="s">
        <v>792</v>
      </c>
      <c r="AW5933" t="s">
        <v>46852</v>
      </c>
      <c r="AX5933" t="s">
        <v>46897</v>
      </c>
    </row>
    <row r="5934" spans="1:50">
      <c r="A5934" s="1">
        <f>HYPERLINK("https://lsnyc.legalserver.org/matter/dynamic-profile/view/1892201","19-1892201")</f>
        <v>0</v>
      </c>
      <c r="B5934" t="s">
        <v>278</v>
      </c>
      <c r="C5934" t="s">
        <v>341</v>
      </c>
      <c r="D5934" t="s">
        <v>659</v>
      </c>
      <c r="E5934" t="s">
        <v>781</v>
      </c>
      <c r="F5934" t="s">
        <v>3528</v>
      </c>
      <c r="G5934" t="s">
        <v>7829</v>
      </c>
      <c r="H5934" t="s">
        <v>13902</v>
      </c>
      <c r="J5934" t="s">
        <v>18902</v>
      </c>
      <c r="K5934">
        <v>10303</v>
      </c>
      <c r="L5934" t="s">
        <v>18958</v>
      </c>
      <c r="M5934" t="s">
        <v>18958</v>
      </c>
      <c r="N5934" t="s">
        <v>23272</v>
      </c>
      <c r="O5934" t="s">
        <v>26524</v>
      </c>
      <c r="P5934" t="s">
        <v>26560</v>
      </c>
      <c r="Q5934" t="s">
        <v>26568</v>
      </c>
      <c r="R5934" t="s">
        <v>26590</v>
      </c>
      <c r="S5934" t="s">
        <v>18959</v>
      </c>
      <c r="U5934" t="s">
        <v>26604</v>
      </c>
      <c r="V5934" t="s">
        <v>26610</v>
      </c>
      <c r="W5934" t="s">
        <v>659</v>
      </c>
      <c r="X5934">
        <v>2000</v>
      </c>
      <c r="Y5934" t="s">
        <v>26654</v>
      </c>
      <c r="Z5934" t="s">
        <v>26661</v>
      </c>
      <c r="AA5934" t="s">
        <v>26679</v>
      </c>
      <c r="AB5934" t="s">
        <v>31342</v>
      </c>
      <c r="AD5934" t="s">
        <v>41546</v>
      </c>
      <c r="AE5934">
        <v>3</v>
      </c>
      <c r="AF5934" t="s">
        <v>45547</v>
      </c>
      <c r="AG5934" t="s">
        <v>19330</v>
      </c>
      <c r="AH5934">
        <v>3</v>
      </c>
      <c r="AI5934">
        <v>2</v>
      </c>
      <c r="AJ5934">
        <v>0</v>
      </c>
      <c r="AK5934">
        <v>141.93</v>
      </c>
      <c r="AN5934" t="s">
        <v>7439</v>
      </c>
      <c r="AO5934">
        <v>24000</v>
      </c>
      <c r="AQ5934" t="s">
        <v>46359</v>
      </c>
      <c r="AR5934" t="s">
        <v>46379</v>
      </c>
      <c r="AS5934" t="s">
        <v>46499</v>
      </c>
      <c r="AT5934" t="s">
        <v>46713</v>
      </c>
      <c r="AU5934">
        <v>13.85</v>
      </c>
      <c r="AV5934" t="s">
        <v>781</v>
      </c>
      <c r="AW5934" t="s">
        <v>46883</v>
      </c>
    </row>
    <row r="5935" spans="1:50">
      <c r="A5935" s="1">
        <f>HYPERLINK("https://lsnyc.legalserver.org/matter/dynamic-profile/view/1892212","19-1892212")</f>
        <v>0</v>
      </c>
      <c r="B5935" t="s">
        <v>153</v>
      </c>
      <c r="C5935" t="s">
        <v>341</v>
      </c>
      <c r="D5935" t="s">
        <v>659</v>
      </c>
      <c r="E5935" t="s">
        <v>762</v>
      </c>
      <c r="F5935" t="s">
        <v>1191</v>
      </c>
      <c r="G5935" t="s">
        <v>6103</v>
      </c>
      <c r="H5935" t="s">
        <v>12630</v>
      </c>
      <c r="J5935" t="s">
        <v>18902</v>
      </c>
      <c r="K5935">
        <v>10310</v>
      </c>
      <c r="L5935" t="s">
        <v>18958</v>
      </c>
      <c r="M5935" t="s">
        <v>18958</v>
      </c>
      <c r="N5935" t="s">
        <v>23273</v>
      </c>
      <c r="O5935" t="s">
        <v>26524</v>
      </c>
      <c r="P5935" t="s">
        <v>26560</v>
      </c>
      <c r="Q5935" t="s">
        <v>26568</v>
      </c>
      <c r="R5935" t="s">
        <v>26590</v>
      </c>
      <c r="S5935" t="s">
        <v>18959</v>
      </c>
      <c r="U5935" t="s">
        <v>26604</v>
      </c>
      <c r="V5935" t="s">
        <v>26610</v>
      </c>
      <c r="W5935" t="s">
        <v>659</v>
      </c>
      <c r="X5935">
        <v>0</v>
      </c>
      <c r="Y5935" t="s">
        <v>26654</v>
      </c>
      <c r="Z5935" t="s">
        <v>26668</v>
      </c>
      <c r="AA5935" t="s">
        <v>26678</v>
      </c>
      <c r="AB5935" t="s">
        <v>29900</v>
      </c>
      <c r="AD5935" t="s">
        <v>40020</v>
      </c>
      <c r="AE5935">
        <v>1</v>
      </c>
      <c r="AF5935" t="s">
        <v>45547</v>
      </c>
      <c r="AG5935" t="s">
        <v>19330</v>
      </c>
      <c r="AH5935">
        <v>15</v>
      </c>
      <c r="AI5935">
        <v>2</v>
      </c>
      <c r="AJ5935">
        <v>0</v>
      </c>
      <c r="AK5935">
        <v>241.28</v>
      </c>
      <c r="AL5935" t="s">
        <v>659</v>
      </c>
      <c r="AM5935" t="s">
        <v>45575</v>
      </c>
      <c r="AN5935" t="s">
        <v>7439</v>
      </c>
      <c r="AO5935">
        <v>40800</v>
      </c>
      <c r="AQ5935" t="s">
        <v>46367</v>
      </c>
      <c r="AR5935" t="s">
        <v>46379</v>
      </c>
      <c r="AS5935" t="s">
        <v>46499</v>
      </c>
      <c r="AT5935" t="s">
        <v>46740</v>
      </c>
      <c r="AU5935">
        <v>4.3</v>
      </c>
      <c r="AV5935" t="s">
        <v>660</v>
      </c>
      <c r="AW5935" t="s">
        <v>185</v>
      </c>
    </row>
    <row r="5936" spans="1:50">
      <c r="A5936" s="1">
        <f>HYPERLINK("https://lsnyc.legalserver.org/matter/dynamic-profile/view/1892213","19-1892213")</f>
        <v>0</v>
      </c>
      <c r="B5936" t="s">
        <v>103</v>
      </c>
      <c r="C5936" t="s">
        <v>341</v>
      </c>
      <c r="D5936" t="s">
        <v>659</v>
      </c>
      <c r="E5936" t="s">
        <v>834</v>
      </c>
      <c r="F5936" t="s">
        <v>1123</v>
      </c>
      <c r="G5936" t="s">
        <v>5126</v>
      </c>
      <c r="H5936" t="s">
        <v>13903</v>
      </c>
      <c r="J5936" t="s">
        <v>18902</v>
      </c>
      <c r="K5936">
        <v>10314</v>
      </c>
      <c r="L5936" t="s">
        <v>18958</v>
      </c>
      <c r="M5936" t="s">
        <v>18958</v>
      </c>
      <c r="N5936" t="s">
        <v>23274</v>
      </c>
      <c r="O5936" t="s">
        <v>26524</v>
      </c>
      <c r="P5936" t="s">
        <v>26560</v>
      </c>
      <c r="Q5936" t="s">
        <v>26568</v>
      </c>
      <c r="R5936" t="s">
        <v>26590</v>
      </c>
      <c r="S5936" t="s">
        <v>18959</v>
      </c>
      <c r="U5936" t="s">
        <v>26604</v>
      </c>
      <c r="V5936" t="s">
        <v>26610</v>
      </c>
      <c r="W5936" t="s">
        <v>659</v>
      </c>
      <c r="X5936">
        <v>1600</v>
      </c>
      <c r="Y5936" t="s">
        <v>26654</v>
      </c>
      <c r="Z5936" t="s">
        <v>26668</v>
      </c>
      <c r="AA5936" t="s">
        <v>26679</v>
      </c>
      <c r="AB5936" t="s">
        <v>31343</v>
      </c>
      <c r="AD5936" t="s">
        <v>41547</v>
      </c>
      <c r="AE5936">
        <v>3</v>
      </c>
      <c r="AF5936" t="s">
        <v>45547</v>
      </c>
      <c r="AG5936" t="s">
        <v>19330</v>
      </c>
      <c r="AH5936">
        <v>7</v>
      </c>
      <c r="AI5936">
        <v>3</v>
      </c>
      <c r="AJ5936">
        <v>1</v>
      </c>
      <c r="AK5936">
        <v>95.81999999999999</v>
      </c>
      <c r="AN5936" t="s">
        <v>7439</v>
      </c>
      <c r="AO5936">
        <v>24674</v>
      </c>
      <c r="AQ5936" t="s">
        <v>46362</v>
      </c>
      <c r="AR5936" t="s">
        <v>46388</v>
      </c>
      <c r="AS5936" t="s">
        <v>46500</v>
      </c>
      <c r="AT5936" t="s">
        <v>46740</v>
      </c>
      <c r="AU5936">
        <v>4.2</v>
      </c>
      <c r="AV5936" t="s">
        <v>834</v>
      </c>
      <c r="AW5936" t="s">
        <v>46883</v>
      </c>
      <c r="AX5936" t="s">
        <v>46897</v>
      </c>
    </row>
    <row r="5937" spans="1:50">
      <c r="A5937" s="1">
        <f>HYPERLINK("https://lsnyc.legalserver.org/matter/dynamic-profile/view/1892236","19-1892236")</f>
        <v>0</v>
      </c>
      <c r="B5937" t="s">
        <v>188</v>
      </c>
      <c r="C5937" t="s">
        <v>341</v>
      </c>
      <c r="D5937" t="s">
        <v>659</v>
      </c>
      <c r="E5937" t="s">
        <v>795</v>
      </c>
      <c r="F5937" t="s">
        <v>2066</v>
      </c>
      <c r="G5937" t="s">
        <v>5870</v>
      </c>
      <c r="H5937" t="s">
        <v>13904</v>
      </c>
      <c r="I5937" t="s">
        <v>17928</v>
      </c>
      <c r="J5937" t="s">
        <v>18892</v>
      </c>
      <c r="K5937">
        <v>10459</v>
      </c>
      <c r="L5937" t="s">
        <v>18958</v>
      </c>
      <c r="M5937" t="s">
        <v>18958</v>
      </c>
      <c r="N5937" t="s">
        <v>23275</v>
      </c>
      <c r="O5937" t="s">
        <v>26524</v>
      </c>
      <c r="P5937" t="s">
        <v>26564</v>
      </c>
      <c r="Q5937" t="s">
        <v>26570</v>
      </c>
      <c r="R5937" t="s">
        <v>26578</v>
      </c>
      <c r="S5937" t="s">
        <v>18959</v>
      </c>
      <c r="U5937" t="s">
        <v>26604</v>
      </c>
      <c r="V5937" t="s">
        <v>26610</v>
      </c>
      <c r="W5937" t="s">
        <v>659</v>
      </c>
      <c r="X5937">
        <v>900</v>
      </c>
      <c r="Y5937" t="s">
        <v>26650</v>
      </c>
      <c r="Z5937" t="s">
        <v>26667</v>
      </c>
      <c r="AA5937" t="s">
        <v>26683</v>
      </c>
      <c r="AB5937" t="s">
        <v>31344</v>
      </c>
      <c r="AE5937">
        <v>0</v>
      </c>
      <c r="AF5937" t="s">
        <v>45549</v>
      </c>
      <c r="AG5937" t="s">
        <v>19330</v>
      </c>
      <c r="AH5937">
        <v>2</v>
      </c>
      <c r="AI5937">
        <v>2</v>
      </c>
      <c r="AJ5937">
        <v>1</v>
      </c>
      <c r="AK5937">
        <v>8.44</v>
      </c>
      <c r="AN5937" t="s">
        <v>45581</v>
      </c>
      <c r="AO5937">
        <v>1800</v>
      </c>
      <c r="AU5937">
        <v>0.1</v>
      </c>
      <c r="AV5937" t="s">
        <v>657</v>
      </c>
      <c r="AW5937" t="s">
        <v>55</v>
      </c>
    </row>
    <row r="5938" spans="1:50">
      <c r="A5938" s="1">
        <f>HYPERLINK("https://lsnyc.legalserver.org/matter/dynamic-profile/view/1892243","19-1892243")</f>
        <v>0</v>
      </c>
      <c r="B5938" t="s">
        <v>221</v>
      </c>
      <c r="C5938" t="s">
        <v>341</v>
      </c>
      <c r="D5938" t="s">
        <v>659</v>
      </c>
      <c r="E5938" t="s">
        <v>754</v>
      </c>
      <c r="F5938" t="s">
        <v>3529</v>
      </c>
      <c r="G5938" t="s">
        <v>7830</v>
      </c>
      <c r="H5938" t="s">
        <v>13905</v>
      </c>
      <c r="I5938" t="s">
        <v>17352</v>
      </c>
      <c r="J5938" t="s">
        <v>18901</v>
      </c>
      <c r="K5938">
        <v>11435</v>
      </c>
      <c r="L5938" t="s">
        <v>18958</v>
      </c>
      <c r="M5938" t="s">
        <v>18958</v>
      </c>
      <c r="N5938" t="s">
        <v>23276</v>
      </c>
      <c r="O5938" t="s">
        <v>26523</v>
      </c>
      <c r="P5938" t="s">
        <v>26564</v>
      </c>
      <c r="Q5938" t="s">
        <v>26570</v>
      </c>
      <c r="R5938" t="s">
        <v>26584</v>
      </c>
      <c r="S5938" t="s">
        <v>18959</v>
      </c>
      <c r="U5938" t="s">
        <v>26604</v>
      </c>
      <c r="W5938" t="s">
        <v>659</v>
      </c>
      <c r="X5938">
        <v>1650</v>
      </c>
      <c r="Y5938" t="s">
        <v>26653</v>
      </c>
      <c r="Z5938" t="s">
        <v>26664</v>
      </c>
      <c r="AA5938" t="s">
        <v>26683</v>
      </c>
      <c r="AB5938" t="s">
        <v>31345</v>
      </c>
      <c r="AD5938" t="s">
        <v>41548</v>
      </c>
      <c r="AE5938">
        <v>0</v>
      </c>
      <c r="AG5938" t="s">
        <v>19330</v>
      </c>
      <c r="AH5938">
        <v>-1</v>
      </c>
      <c r="AI5938">
        <v>1</v>
      </c>
      <c r="AJ5938">
        <v>1</v>
      </c>
      <c r="AK5938">
        <v>0</v>
      </c>
      <c r="AN5938" t="s">
        <v>7439</v>
      </c>
      <c r="AO5938">
        <v>0</v>
      </c>
      <c r="AU5938">
        <v>4</v>
      </c>
      <c r="AV5938" t="s">
        <v>753</v>
      </c>
      <c r="AW5938" t="s">
        <v>208</v>
      </c>
    </row>
    <row r="5939" spans="1:50">
      <c r="A5939" s="1">
        <f>HYPERLINK("https://lsnyc.legalserver.org/matter/dynamic-profile/view/1892193","19-1892193")</f>
        <v>0</v>
      </c>
      <c r="B5939" t="s">
        <v>251</v>
      </c>
      <c r="C5939" t="s">
        <v>340</v>
      </c>
      <c r="D5939" t="s">
        <v>659</v>
      </c>
      <c r="F5939" t="s">
        <v>3530</v>
      </c>
      <c r="G5939" t="s">
        <v>5076</v>
      </c>
      <c r="H5939" t="s">
        <v>13906</v>
      </c>
      <c r="I5939" t="s">
        <v>18298</v>
      </c>
      <c r="J5939" t="s">
        <v>18892</v>
      </c>
      <c r="K5939">
        <v>10466</v>
      </c>
      <c r="L5939" t="s">
        <v>18958</v>
      </c>
      <c r="M5939" t="s">
        <v>18958</v>
      </c>
      <c r="N5939" t="s">
        <v>23277</v>
      </c>
      <c r="O5939" t="s">
        <v>26523</v>
      </c>
      <c r="P5939" t="s">
        <v>26560</v>
      </c>
      <c r="R5939" t="s">
        <v>26577</v>
      </c>
      <c r="U5939" t="s">
        <v>26604</v>
      </c>
      <c r="V5939" t="s">
        <v>26612</v>
      </c>
      <c r="W5939" t="s">
        <v>659</v>
      </c>
      <c r="X5939">
        <v>0</v>
      </c>
      <c r="Y5939" t="s">
        <v>26650</v>
      </c>
      <c r="AB5939" t="s">
        <v>31346</v>
      </c>
      <c r="AD5939" t="s">
        <v>41549</v>
      </c>
      <c r="AE5939">
        <v>0</v>
      </c>
      <c r="AF5939" t="s">
        <v>45549</v>
      </c>
      <c r="AH5939">
        <v>0</v>
      </c>
      <c r="AI5939">
        <v>2</v>
      </c>
      <c r="AJ5939">
        <v>1</v>
      </c>
      <c r="AK5939">
        <v>8.050000000000001</v>
      </c>
      <c r="AN5939" t="s">
        <v>7439</v>
      </c>
      <c r="AO5939">
        <v>1716</v>
      </c>
      <c r="AU5939">
        <v>32.15</v>
      </c>
      <c r="AV5939" t="s">
        <v>830</v>
      </c>
      <c r="AW5939" t="s">
        <v>334</v>
      </c>
    </row>
    <row r="5940" spans="1:50">
      <c r="A5940" s="1">
        <f>HYPERLINK("https://lsnyc.legalserver.org/matter/dynamic-profile/view/1892238","19-1892238")</f>
        <v>0</v>
      </c>
      <c r="B5940" t="s">
        <v>153</v>
      </c>
      <c r="C5940" t="s">
        <v>340</v>
      </c>
      <c r="D5940" t="s">
        <v>659</v>
      </c>
      <c r="F5940" t="s">
        <v>3531</v>
      </c>
      <c r="G5940" t="s">
        <v>5305</v>
      </c>
      <c r="H5940" t="s">
        <v>13907</v>
      </c>
      <c r="J5940" t="s">
        <v>18902</v>
      </c>
      <c r="K5940">
        <v>10303</v>
      </c>
      <c r="L5940" t="s">
        <v>18958</v>
      </c>
      <c r="M5940" t="s">
        <v>18958</v>
      </c>
      <c r="N5940" t="s">
        <v>23278</v>
      </c>
      <c r="O5940" t="s">
        <v>26524</v>
      </c>
      <c r="P5940" t="s">
        <v>26560</v>
      </c>
      <c r="R5940" t="s">
        <v>26590</v>
      </c>
      <c r="S5940" t="s">
        <v>18959</v>
      </c>
      <c r="U5940" t="s">
        <v>26604</v>
      </c>
      <c r="V5940" t="s">
        <v>26610</v>
      </c>
      <c r="W5940" t="s">
        <v>659</v>
      </c>
      <c r="X5940">
        <v>1700</v>
      </c>
      <c r="Y5940" t="s">
        <v>26654</v>
      </c>
      <c r="Z5940" t="s">
        <v>26668</v>
      </c>
      <c r="AB5940" t="s">
        <v>31347</v>
      </c>
      <c r="AD5940" t="s">
        <v>41550</v>
      </c>
      <c r="AE5940">
        <v>2</v>
      </c>
      <c r="AF5940" t="s">
        <v>45547</v>
      </c>
      <c r="AG5940" t="s">
        <v>19330</v>
      </c>
      <c r="AH5940">
        <v>6</v>
      </c>
      <c r="AI5940">
        <v>2</v>
      </c>
      <c r="AJ5940">
        <v>3</v>
      </c>
      <c r="AK5940">
        <v>146.5</v>
      </c>
      <c r="AN5940" t="s">
        <v>45581</v>
      </c>
      <c r="AO5940">
        <v>44200</v>
      </c>
      <c r="AU5940">
        <v>4.3</v>
      </c>
      <c r="AV5940" t="s">
        <v>830</v>
      </c>
      <c r="AW5940" t="s">
        <v>46883</v>
      </c>
    </row>
    <row r="5941" spans="1:50">
      <c r="A5941" s="1">
        <f>HYPERLINK("https://lsnyc.legalserver.org/matter/dynamic-profile/view/1892258","19-1892258")</f>
        <v>0</v>
      </c>
      <c r="B5941" t="s">
        <v>212</v>
      </c>
      <c r="C5941" t="s">
        <v>340</v>
      </c>
      <c r="D5941" t="s">
        <v>659</v>
      </c>
      <c r="F5941" t="s">
        <v>995</v>
      </c>
      <c r="G5941" t="s">
        <v>7831</v>
      </c>
      <c r="H5941" t="s">
        <v>13908</v>
      </c>
      <c r="I5941">
        <v>109</v>
      </c>
      <c r="J5941" t="s">
        <v>18926</v>
      </c>
      <c r="K5941">
        <v>11378</v>
      </c>
      <c r="L5941" t="s">
        <v>18958</v>
      </c>
      <c r="M5941" t="s">
        <v>18958</v>
      </c>
      <c r="N5941" t="s">
        <v>23279</v>
      </c>
      <c r="O5941" t="s">
        <v>26523</v>
      </c>
      <c r="P5941" t="s">
        <v>26560</v>
      </c>
      <c r="R5941" t="s">
        <v>26584</v>
      </c>
      <c r="S5941" t="s">
        <v>18959</v>
      </c>
      <c r="U5941" t="s">
        <v>26604</v>
      </c>
      <c r="V5941" t="s">
        <v>26610</v>
      </c>
      <c r="W5941" t="s">
        <v>659</v>
      </c>
      <c r="X5941">
        <v>1900</v>
      </c>
      <c r="Y5941" t="s">
        <v>26653</v>
      </c>
      <c r="Z5941" t="s">
        <v>26664</v>
      </c>
      <c r="AB5941" t="s">
        <v>31348</v>
      </c>
      <c r="AD5941" t="s">
        <v>41551</v>
      </c>
      <c r="AE5941">
        <v>0</v>
      </c>
      <c r="AF5941" t="s">
        <v>45541</v>
      </c>
      <c r="AH5941">
        <v>13</v>
      </c>
      <c r="AI5941">
        <v>2</v>
      </c>
      <c r="AJ5941">
        <v>3</v>
      </c>
      <c r="AK5941">
        <v>59.66</v>
      </c>
      <c r="AN5941" t="s">
        <v>7439</v>
      </c>
      <c r="AO5941">
        <v>18000</v>
      </c>
      <c r="AU5941">
        <v>3.4</v>
      </c>
      <c r="AV5941" t="s">
        <v>815</v>
      </c>
      <c r="AW5941" t="s">
        <v>212</v>
      </c>
    </row>
    <row r="5942" spans="1:50">
      <c r="A5942" s="1">
        <f>HYPERLINK("https://lsnyc.legalserver.org/matter/dynamic-profile/view/1892295","19-1892295")</f>
        <v>0</v>
      </c>
      <c r="B5942" t="s">
        <v>284</v>
      </c>
      <c r="C5942" t="s">
        <v>340</v>
      </c>
      <c r="D5942" t="s">
        <v>659</v>
      </c>
      <c r="F5942" t="s">
        <v>893</v>
      </c>
      <c r="G5942" t="s">
        <v>5664</v>
      </c>
      <c r="H5942" t="s">
        <v>13909</v>
      </c>
      <c r="J5942" t="s">
        <v>18892</v>
      </c>
      <c r="K5942">
        <v>10472</v>
      </c>
      <c r="L5942" t="s">
        <v>18958</v>
      </c>
      <c r="M5942" t="s">
        <v>18958</v>
      </c>
      <c r="N5942" t="s">
        <v>23280</v>
      </c>
      <c r="O5942" t="s">
        <v>26524</v>
      </c>
      <c r="P5942" t="s">
        <v>26564</v>
      </c>
      <c r="R5942" t="s">
        <v>26577</v>
      </c>
      <c r="U5942" t="s">
        <v>26604</v>
      </c>
      <c r="V5942" t="s">
        <v>26610</v>
      </c>
      <c r="W5942" t="s">
        <v>659</v>
      </c>
      <c r="X5942">
        <v>0</v>
      </c>
      <c r="Y5942" t="s">
        <v>26650</v>
      </c>
      <c r="Z5942" t="s">
        <v>26668</v>
      </c>
      <c r="AB5942" t="s">
        <v>31349</v>
      </c>
      <c r="AD5942" t="s">
        <v>41552</v>
      </c>
      <c r="AE5942">
        <v>0</v>
      </c>
      <c r="AH5942">
        <v>10</v>
      </c>
      <c r="AI5942">
        <v>1</v>
      </c>
      <c r="AJ5942">
        <v>0</v>
      </c>
      <c r="AK5942">
        <v>17.58</v>
      </c>
      <c r="AN5942" t="s">
        <v>7439</v>
      </c>
      <c r="AO5942">
        <v>2196</v>
      </c>
      <c r="AU5942">
        <v>0.9</v>
      </c>
      <c r="AV5942" t="s">
        <v>781</v>
      </c>
      <c r="AW5942" t="s">
        <v>334</v>
      </c>
    </row>
    <row r="5943" spans="1:50">
      <c r="A5943" s="1">
        <f>HYPERLINK("https://lsnyc.legalserver.org/matter/dynamic-profile/view/1892273","19-1892273")</f>
        <v>0</v>
      </c>
      <c r="B5943" t="s">
        <v>65</v>
      </c>
      <c r="C5943" t="s">
        <v>340</v>
      </c>
      <c r="D5943" t="s">
        <v>659</v>
      </c>
      <c r="F5943" t="s">
        <v>3532</v>
      </c>
      <c r="G5943" t="s">
        <v>5466</v>
      </c>
      <c r="H5943" t="s">
        <v>13910</v>
      </c>
      <c r="I5943" t="s">
        <v>17420</v>
      </c>
      <c r="J5943" t="s">
        <v>18892</v>
      </c>
      <c r="K5943">
        <v>10457</v>
      </c>
      <c r="L5943" t="s">
        <v>18958</v>
      </c>
      <c r="M5943" t="s">
        <v>18958</v>
      </c>
      <c r="N5943" t="s">
        <v>23281</v>
      </c>
      <c r="O5943" t="s">
        <v>26524</v>
      </c>
      <c r="P5943" t="s">
        <v>26560</v>
      </c>
      <c r="R5943" t="s">
        <v>26579</v>
      </c>
      <c r="S5943" t="s">
        <v>18959</v>
      </c>
      <c r="U5943" t="s">
        <v>26604</v>
      </c>
      <c r="V5943" t="s">
        <v>26609</v>
      </c>
      <c r="W5943" t="s">
        <v>659</v>
      </c>
      <c r="X5943">
        <v>763.38</v>
      </c>
      <c r="Y5943" t="s">
        <v>26650</v>
      </c>
      <c r="Z5943" t="s">
        <v>26664</v>
      </c>
      <c r="AB5943" t="s">
        <v>30547</v>
      </c>
      <c r="AE5943">
        <v>66</v>
      </c>
      <c r="AF5943" t="s">
        <v>45541</v>
      </c>
      <c r="AG5943" t="s">
        <v>19330</v>
      </c>
      <c r="AH5943">
        <v>30</v>
      </c>
      <c r="AI5943">
        <v>1</v>
      </c>
      <c r="AJ5943">
        <v>0</v>
      </c>
      <c r="AK5943">
        <v>60.85</v>
      </c>
      <c r="AN5943" t="s">
        <v>45581</v>
      </c>
      <c r="AO5943">
        <v>7599.6</v>
      </c>
      <c r="AU5943">
        <v>9.5</v>
      </c>
      <c r="AV5943" t="s">
        <v>833</v>
      </c>
      <c r="AW5943" t="s">
        <v>46847</v>
      </c>
      <c r="AX5943" t="s">
        <v>46897</v>
      </c>
    </row>
    <row r="5944" spans="1:50">
      <c r="A5944" s="1">
        <f>HYPERLINK("https://lsnyc.legalserver.org/matter/dynamic-profile/view/1892229","19-1892229")</f>
        <v>0</v>
      </c>
      <c r="B5944" t="s">
        <v>121</v>
      </c>
      <c r="C5944" t="s">
        <v>340</v>
      </c>
      <c r="D5944" t="s">
        <v>659</v>
      </c>
      <c r="F5944" t="s">
        <v>3533</v>
      </c>
      <c r="G5944" t="s">
        <v>5269</v>
      </c>
      <c r="H5944" t="s">
        <v>13911</v>
      </c>
      <c r="I5944" t="s">
        <v>18027</v>
      </c>
      <c r="J5944" t="s">
        <v>18892</v>
      </c>
      <c r="K5944">
        <v>10456</v>
      </c>
      <c r="L5944" t="s">
        <v>18958</v>
      </c>
      <c r="M5944" t="s">
        <v>18958</v>
      </c>
      <c r="N5944" t="s">
        <v>23282</v>
      </c>
      <c r="O5944" t="s">
        <v>26524</v>
      </c>
      <c r="P5944" t="s">
        <v>26560</v>
      </c>
      <c r="R5944" t="s">
        <v>26577</v>
      </c>
      <c r="U5944" t="s">
        <v>26604</v>
      </c>
      <c r="V5944" t="s">
        <v>26610</v>
      </c>
      <c r="W5944" t="s">
        <v>659</v>
      </c>
      <c r="X5944">
        <v>300</v>
      </c>
      <c r="Y5944" t="s">
        <v>26650</v>
      </c>
      <c r="Z5944" t="s">
        <v>26661</v>
      </c>
      <c r="AB5944" t="s">
        <v>31350</v>
      </c>
      <c r="AD5944" t="s">
        <v>41553</v>
      </c>
      <c r="AE5944">
        <v>0</v>
      </c>
      <c r="AF5944" t="s">
        <v>45542</v>
      </c>
      <c r="AG5944" t="s">
        <v>19330</v>
      </c>
      <c r="AH5944">
        <v>23</v>
      </c>
      <c r="AI5944">
        <v>2</v>
      </c>
      <c r="AJ5944">
        <v>0</v>
      </c>
      <c r="AK5944">
        <v>246.01</v>
      </c>
      <c r="AL5944" t="s">
        <v>751</v>
      </c>
      <c r="AM5944" t="s">
        <v>45575</v>
      </c>
      <c r="AN5944" t="s">
        <v>7439</v>
      </c>
      <c r="AO5944">
        <v>41600</v>
      </c>
      <c r="AU5944">
        <v>9.5</v>
      </c>
      <c r="AV5944" t="s">
        <v>827</v>
      </c>
      <c r="AW5944" t="s">
        <v>46836</v>
      </c>
    </row>
    <row r="5945" spans="1:50">
      <c r="A5945" s="1">
        <f>HYPERLINK("https://lsnyc.legalserver.org/matter/dynamic-profile/view/1892230","19-1892230")</f>
        <v>0</v>
      </c>
      <c r="B5945" t="s">
        <v>121</v>
      </c>
      <c r="C5945" t="s">
        <v>340</v>
      </c>
      <c r="D5945" t="s">
        <v>659</v>
      </c>
      <c r="F5945" t="s">
        <v>1049</v>
      </c>
      <c r="G5945" t="s">
        <v>7832</v>
      </c>
      <c r="H5945" t="s">
        <v>9670</v>
      </c>
      <c r="I5945">
        <v>29</v>
      </c>
      <c r="J5945" t="s">
        <v>18892</v>
      </c>
      <c r="K5945">
        <v>10457</v>
      </c>
      <c r="L5945" t="s">
        <v>18958</v>
      </c>
      <c r="M5945" t="s">
        <v>18958</v>
      </c>
      <c r="N5945" t="s">
        <v>23283</v>
      </c>
      <c r="O5945" t="s">
        <v>26523</v>
      </c>
      <c r="P5945" t="s">
        <v>26560</v>
      </c>
      <c r="R5945" t="s">
        <v>26579</v>
      </c>
      <c r="S5945" t="s">
        <v>18959</v>
      </c>
      <c r="U5945" t="s">
        <v>26604</v>
      </c>
      <c r="V5945" t="s">
        <v>26610</v>
      </c>
      <c r="W5945" t="s">
        <v>659</v>
      </c>
      <c r="X5945">
        <v>1421</v>
      </c>
      <c r="Y5945" t="s">
        <v>26650</v>
      </c>
      <c r="Z5945" t="s">
        <v>26664</v>
      </c>
      <c r="AB5945" t="s">
        <v>31351</v>
      </c>
      <c r="AD5945" t="s">
        <v>41554</v>
      </c>
      <c r="AE5945">
        <v>0</v>
      </c>
      <c r="AF5945" t="s">
        <v>45541</v>
      </c>
      <c r="AG5945" t="s">
        <v>45561</v>
      </c>
      <c r="AH5945">
        <v>1</v>
      </c>
      <c r="AI5945">
        <v>1</v>
      </c>
      <c r="AJ5945">
        <v>0</v>
      </c>
      <c r="AK5945">
        <v>153.72</v>
      </c>
      <c r="AN5945" t="s">
        <v>45581</v>
      </c>
      <c r="AO5945">
        <v>19200</v>
      </c>
      <c r="AU5945">
        <v>7.8</v>
      </c>
      <c r="AV5945" t="s">
        <v>780</v>
      </c>
      <c r="AW5945" t="s">
        <v>46870</v>
      </c>
    </row>
    <row r="5946" spans="1:50">
      <c r="A5946" s="1">
        <f>HYPERLINK("https://lsnyc.legalserver.org/matter/dynamic-profile/view/1892222","19-1892222")</f>
        <v>0</v>
      </c>
      <c r="B5946" t="s">
        <v>103</v>
      </c>
      <c r="C5946" t="s">
        <v>340</v>
      </c>
      <c r="D5946" t="s">
        <v>659</v>
      </c>
      <c r="F5946" t="s">
        <v>1806</v>
      </c>
      <c r="G5946" t="s">
        <v>7833</v>
      </c>
      <c r="H5946" t="s">
        <v>13912</v>
      </c>
      <c r="I5946">
        <v>2</v>
      </c>
      <c r="J5946" t="s">
        <v>18902</v>
      </c>
      <c r="K5946">
        <v>10303</v>
      </c>
      <c r="L5946" t="s">
        <v>18958</v>
      </c>
      <c r="M5946" t="s">
        <v>18958</v>
      </c>
      <c r="N5946" t="s">
        <v>23284</v>
      </c>
      <c r="O5946" t="s">
        <v>26524</v>
      </c>
      <c r="P5946" t="s">
        <v>26560</v>
      </c>
      <c r="R5946" t="s">
        <v>26590</v>
      </c>
      <c r="S5946" t="s">
        <v>18959</v>
      </c>
      <c r="U5946" t="s">
        <v>26604</v>
      </c>
      <c r="V5946" t="s">
        <v>26610</v>
      </c>
      <c r="W5946" t="s">
        <v>659</v>
      </c>
      <c r="X5946">
        <v>2400</v>
      </c>
      <c r="Y5946" t="s">
        <v>26654</v>
      </c>
      <c r="Z5946" t="s">
        <v>26668</v>
      </c>
      <c r="AB5946" t="s">
        <v>31352</v>
      </c>
      <c r="AD5946" t="s">
        <v>41555</v>
      </c>
      <c r="AE5946">
        <v>3</v>
      </c>
      <c r="AF5946" t="s">
        <v>45547</v>
      </c>
      <c r="AG5946" t="s">
        <v>45566</v>
      </c>
      <c r="AH5946">
        <v>1</v>
      </c>
      <c r="AI5946">
        <v>5</v>
      </c>
      <c r="AJ5946">
        <v>0</v>
      </c>
      <c r="AK5946">
        <v>42.08</v>
      </c>
      <c r="AN5946" t="s">
        <v>7439</v>
      </c>
      <c r="AO5946">
        <v>12696</v>
      </c>
      <c r="AU5946">
        <v>7.8</v>
      </c>
      <c r="AV5946" t="s">
        <v>773</v>
      </c>
      <c r="AW5946" t="s">
        <v>185</v>
      </c>
    </row>
    <row r="5947" spans="1:50">
      <c r="A5947" s="1">
        <f>HYPERLINK("https://lsnyc.legalserver.org/matter/dynamic-profile/view/1892268","19-1892268")</f>
        <v>0</v>
      </c>
      <c r="B5947" t="s">
        <v>188</v>
      </c>
      <c r="C5947" t="s">
        <v>340</v>
      </c>
      <c r="D5947" t="s">
        <v>659</v>
      </c>
      <c r="F5947" t="s">
        <v>3534</v>
      </c>
      <c r="G5947" t="s">
        <v>7834</v>
      </c>
      <c r="H5947" t="s">
        <v>13913</v>
      </c>
      <c r="I5947" t="s">
        <v>17390</v>
      </c>
      <c r="J5947" t="s">
        <v>18892</v>
      </c>
      <c r="K5947">
        <v>10452</v>
      </c>
      <c r="L5947" t="s">
        <v>18958</v>
      </c>
      <c r="M5947" t="s">
        <v>18958</v>
      </c>
      <c r="P5947" t="s">
        <v>26564</v>
      </c>
      <c r="R5947" t="s">
        <v>26578</v>
      </c>
      <c r="U5947" t="s">
        <v>26604</v>
      </c>
      <c r="W5947" t="s">
        <v>659</v>
      </c>
      <c r="X5947">
        <v>0</v>
      </c>
      <c r="Y5947" t="s">
        <v>26650</v>
      </c>
      <c r="Z5947" t="s">
        <v>26667</v>
      </c>
      <c r="AB5947" t="s">
        <v>31353</v>
      </c>
      <c r="AD5947" t="s">
        <v>41556</v>
      </c>
      <c r="AE5947">
        <v>0</v>
      </c>
      <c r="AG5947" t="s">
        <v>26530</v>
      </c>
      <c r="AH5947">
        <v>7</v>
      </c>
      <c r="AI5947">
        <v>2</v>
      </c>
      <c r="AJ5947">
        <v>2</v>
      </c>
      <c r="AK5947">
        <v>16.31</v>
      </c>
      <c r="AN5947" t="s">
        <v>7439</v>
      </c>
      <c r="AO5947">
        <v>4200</v>
      </c>
      <c r="AU5947">
        <v>1.3</v>
      </c>
      <c r="AV5947" t="s">
        <v>839</v>
      </c>
      <c r="AW5947" t="s">
        <v>188</v>
      </c>
    </row>
    <row r="5948" spans="1:50">
      <c r="A5948" s="1">
        <f>HYPERLINK("https://lsnyc.legalserver.org/matter/dynamic-profile/view/1892304","19-1892304")</f>
        <v>0</v>
      </c>
      <c r="B5948" t="s">
        <v>188</v>
      </c>
      <c r="C5948" t="s">
        <v>340</v>
      </c>
      <c r="D5948" t="s">
        <v>659</v>
      </c>
      <c r="F5948" t="s">
        <v>916</v>
      </c>
      <c r="G5948" t="s">
        <v>5275</v>
      </c>
      <c r="H5948" t="s">
        <v>13914</v>
      </c>
      <c r="I5948" t="s">
        <v>17388</v>
      </c>
      <c r="J5948" t="s">
        <v>18892</v>
      </c>
      <c r="K5948">
        <v>10451</v>
      </c>
      <c r="L5948" t="s">
        <v>18958</v>
      </c>
      <c r="M5948" t="s">
        <v>18958</v>
      </c>
      <c r="O5948" t="s">
        <v>26526</v>
      </c>
      <c r="P5948" t="s">
        <v>26564</v>
      </c>
      <c r="R5948" t="s">
        <v>26578</v>
      </c>
      <c r="U5948" t="s">
        <v>26604</v>
      </c>
      <c r="W5948" t="s">
        <v>659</v>
      </c>
      <c r="X5948">
        <v>0</v>
      </c>
      <c r="Y5948" t="s">
        <v>26650</v>
      </c>
      <c r="AB5948" t="s">
        <v>31354</v>
      </c>
      <c r="AD5948" t="s">
        <v>41557</v>
      </c>
      <c r="AE5948">
        <v>0</v>
      </c>
      <c r="AH5948">
        <v>0</v>
      </c>
      <c r="AI5948">
        <v>2</v>
      </c>
      <c r="AJ5948">
        <v>1</v>
      </c>
      <c r="AK5948">
        <v>74.81999999999999</v>
      </c>
      <c r="AN5948" t="s">
        <v>45581</v>
      </c>
      <c r="AO5948">
        <v>15960</v>
      </c>
      <c r="AU5948">
        <v>0</v>
      </c>
      <c r="AW5948" t="s">
        <v>188</v>
      </c>
    </row>
    <row r="5949" spans="1:50">
      <c r="A5949" s="1">
        <f>HYPERLINK("https://lsnyc.legalserver.org/matter/dynamic-profile/view/1892284","19-1892284")</f>
        <v>0</v>
      </c>
      <c r="B5949" t="s">
        <v>188</v>
      </c>
      <c r="C5949" t="s">
        <v>340</v>
      </c>
      <c r="D5949" t="s">
        <v>659</v>
      </c>
      <c r="F5949" t="s">
        <v>1391</v>
      </c>
      <c r="G5949" t="s">
        <v>7835</v>
      </c>
      <c r="H5949" t="s">
        <v>13547</v>
      </c>
      <c r="I5949" t="s">
        <v>17322</v>
      </c>
      <c r="J5949" t="s">
        <v>18892</v>
      </c>
      <c r="K5949">
        <v>10467</v>
      </c>
      <c r="L5949" t="s">
        <v>18958</v>
      </c>
      <c r="M5949" t="s">
        <v>18958</v>
      </c>
      <c r="O5949" t="s">
        <v>26529</v>
      </c>
      <c r="P5949" t="s">
        <v>26564</v>
      </c>
      <c r="R5949" t="s">
        <v>26578</v>
      </c>
      <c r="U5949" t="s">
        <v>26604</v>
      </c>
      <c r="W5949" t="s">
        <v>659</v>
      </c>
      <c r="X5949">
        <v>923</v>
      </c>
      <c r="Y5949" t="s">
        <v>26650</v>
      </c>
      <c r="AB5949" t="s">
        <v>31355</v>
      </c>
      <c r="AD5949" t="s">
        <v>41558</v>
      </c>
      <c r="AE5949">
        <v>0</v>
      </c>
      <c r="AG5949" t="s">
        <v>45559</v>
      </c>
      <c r="AH5949">
        <v>21</v>
      </c>
      <c r="AI5949">
        <v>1</v>
      </c>
      <c r="AJ5949">
        <v>0</v>
      </c>
      <c r="AK5949">
        <v>82.63</v>
      </c>
      <c r="AN5949" t="s">
        <v>45581</v>
      </c>
      <c r="AO5949">
        <v>10320</v>
      </c>
      <c r="AU5949">
        <v>0</v>
      </c>
      <c r="AW5949" t="s">
        <v>188</v>
      </c>
    </row>
    <row r="5950" spans="1:50">
      <c r="A5950" s="1">
        <f>HYPERLINK("https://lsnyc.legalserver.org/matter/dynamic-profile/view/1892203","19-1892203")</f>
        <v>0</v>
      </c>
      <c r="B5950" t="s">
        <v>87</v>
      </c>
      <c r="C5950" t="s">
        <v>340</v>
      </c>
      <c r="D5950" t="s">
        <v>659</v>
      </c>
      <c r="F5950" t="s">
        <v>991</v>
      </c>
      <c r="G5950" t="s">
        <v>7836</v>
      </c>
      <c r="H5950" t="s">
        <v>13915</v>
      </c>
      <c r="I5950" t="s">
        <v>17334</v>
      </c>
      <c r="J5950" t="s">
        <v>18892</v>
      </c>
      <c r="K5950">
        <v>10462</v>
      </c>
      <c r="L5950" t="s">
        <v>18958</v>
      </c>
      <c r="M5950" t="s">
        <v>18958</v>
      </c>
      <c r="N5950" t="s">
        <v>23285</v>
      </c>
      <c r="O5950" t="s">
        <v>26524</v>
      </c>
      <c r="P5950" t="s">
        <v>26560</v>
      </c>
      <c r="R5950" t="s">
        <v>26579</v>
      </c>
      <c r="S5950" t="s">
        <v>18959</v>
      </c>
      <c r="U5950" t="s">
        <v>26604</v>
      </c>
      <c r="V5950" t="s">
        <v>26610</v>
      </c>
      <c r="W5950" t="s">
        <v>659</v>
      </c>
      <c r="X5950">
        <v>1228.16</v>
      </c>
      <c r="Y5950" t="s">
        <v>26650</v>
      </c>
      <c r="Z5950" t="s">
        <v>26664</v>
      </c>
      <c r="AB5950" t="s">
        <v>30704</v>
      </c>
      <c r="AD5950" t="s">
        <v>41559</v>
      </c>
      <c r="AE5950">
        <v>0</v>
      </c>
      <c r="AF5950" t="s">
        <v>45547</v>
      </c>
      <c r="AG5950" t="s">
        <v>45560</v>
      </c>
      <c r="AH5950">
        <v>2</v>
      </c>
      <c r="AI5950">
        <v>2</v>
      </c>
      <c r="AJ5950">
        <v>2</v>
      </c>
      <c r="AK5950">
        <v>112.53</v>
      </c>
      <c r="AN5950" t="s">
        <v>7439</v>
      </c>
      <c r="AO5950">
        <v>28975.56</v>
      </c>
      <c r="AU5950">
        <v>6.1</v>
      </c>
      <c r="AV5950" t="s">
        <v>772</v>
      </c>
      <c r="AW5950" t="s">
        <v>46870</v>
      </c>
    </row>
    <row r="5951" spans="1:50">
      <c r="A5951" s="1">
        <f>HYPERLINK("https://lsnyc.legalserver.org/matter/dynamic-profile/view/1892324","19-1892324")</f>
        <v>0</v>
      </c>
      <c r="B5951" t="s">
        <v>54</v>
      </c>
      <c r="C5951" t="s">
        <v>340</v>
      </c>
      <c r="D5951" t="s">
        <v>659</v>
      </c>
      <c r="F5951" t="s">
        <v>3535</v>
      </c>
      <c r="G5951" t="s">
        <v>7837</v>
      </c>
      <c r="H5951" t="s">
        <v>13916</v>
      </c>
      <c r="I5951" t="s">
        <v>17274</v>
      </c>
      <c r="J5951" t="s">
        <v>18892</v>
      </c>
      <c r="K5951">
        <v>10468</v>
      </c>
      <c r="L5951" t="s">
        <v>18958</v>
      </c>
      <c r="M5951" t="s">
        <v>18958</v>
      </c>
      <c r="N5951" t="s">
        <v>23286</v>
      </c>
      <c r="O5951" t="s">
        <v>26523</v>
      </c>
      <c r="P5951" t="s">
        <v>26560</v>
      </c>
      <c r="R5951" t="s">
        <v>26579</v>
      </c>
      <c r="S5951" t="s">
        <v>18959</v>
      </c>
      <c r="U5951" t="s">
        <v>26604</v>
      </c>
      <c r="V5951" t="s">
        <v>26610</v>
      </c>
      <c r="W5951" t="s">
        <v>659</v>
      </c>
      <c r="X5951">
        <v>1288.62</v>
      </c>
      <c r="Y5951" t="s">
        <v>26650</v>
      </c>
      <c r="Z5951" t="s">
        <v>26668</v>
      </c>
      <c r="AB5951" t="s">
        <v>31356</v>
      </c>
      <c r="AD5951" t="s">
        <v>41560</v>
      </c>
      <c r="AE5951">
        <v>124</v>
      </c>
      <c r="AF5951" t="s">
        <v>45541</v>
      </c>
      <c r="AG5951" t="s">
        <v>19330</v>
      </c>
      <c r="AH5951">
        <v>4</v>
      </c>
      <c r="AI5951">
        <v>1</v>
      </c>
      <c r="AJ5951">
        <v>0</v>
      </c>
      <c r="AK5951">
        <v>144.12</v>
      </c>
      <c r="AN5951" t="s">
        <v>7439</v>
      </c>
      <c r="AO5951">
        <v>18000</v>
      </c>
      <c r="AU5951">
        <v>20.2</v>
      </c>
      <c r="AV5951" t="s">
        <v>833</v>
      </c>
      <c r="AW5951" t="s">
        <v>46832</v>
      </c>
      <c r="AX5951" t="s">
        <v>46897</v>
      </c>
    </row>
    <row r="5952" spans="1:50">
      <c r="A5952" s="1">
        <f>HYPERLINK("https://lsnyc.legalserver.org/matter/dynamic-profile/view/1892314","19-1892314")</f>
        <v>0</v>
      </c>
      <c r="B5952" t="s">
        <v>235</v>
      </c>
      <c r="C5952" t="s">
        <v>340</v>
      </c>
      <c r="D5952" t="s">
        <v>659</v>
      </c>
      <c r="F5952" t="s">
        <v>3536</v>
      </c>
      <c r="G5952" t="s">
        <v>2541</v>
      </c>
      <c r="H5952" t="s">
        <v>13917</v>
      </c>
      <c r="J5952" t="s">
        <v>18918</v>
      </c>
      <c r="K5952">
        <v>11417</v>
      </c>
      <c r="L5952" t="s">
        <v>18958</v>
      </c>
      <c r="M5952" t="s">
        <v>18958</v>
      </c>
      <c r="N5952" t="s">
        <v>23287</v>
      </c>
      <c r="O5952" t="s">
        <v>26524</v>
      </c>
      <c r="P5952" t="s">
        <v>26564</v>
      </c>
      <c r="R5952" t="s">
        <v>26584</v>
      </c>
      <c r="S5952" t="s">
        <v>18959</v>
      </c>
      <c r="U5952" t="s">
        <v>26604</v>
      </c>
      <c r="W5952" t="s">
        <v>659</v>
      </c>
      <c r="X5952">
        <v>0</v>
      </c>
      <c r="Y5952" t="s">
        <v>26653</v>
      </c>
      <c r="Z5952" t="s">
        <v>26664</v>
      </c>
      <c r="AB5952" t="s">
        <v>31357</v>
      </c>
      <c r="AD5952" t="s">
        <v>41561</v>
      </c>
      <c r="AE5952">
        <v>0</v>
      </c>
      <c r="AF5952" t="s">
        <v>20460</v>
      </c>
      <c r="AH5952">
        <v>53</v>
      </c>
      <c r="AI5952">
        <v>1</v>
      </c>
      <c r="AJ5952">
        <v>0</v>
      </c>
      <c r="AK5952">
        <v>0</v>
      </c>
      <c r="AN5952" t="s">
        <v>7439</v>
      </c>
      <c r="AO5952">
        <v>0</v>
      </c>
      <c r="AU5952">
        <v>1.3</v>
      </c>
      <c r="AV5952" t="s">
        <v>753</v>
      </c>
      <c r="AW5952" t="s">
        <v>208</v>
      </c>
    </row>
    <row r="5953" spans="1:49">
      <c r="A5953" s="1">
        <f>HYPERLINK("https://lsnyc.legalserver.org/matter/dynamic-profile/view/1892317","19-1892317")</f>
        <v>0</v>
      </c>
      <c r="B5953" t="s">
        <v>221</v>
      </c>
      <c r="C5953" t="s">
        <v>340</v>
      </c>
      <c r="D5953" t="s">
        <v>659</v>
      </c>
      <c r="F5953" t="s">
        <v>939</v>
      </c>
      <c r="G5953" t="s">
        <v>7838</v>
      </c>
      <c r="H5953" t="s">
        <v>13918</v>
      </c>
      <c r="I5953" t="s">
        <v>18299</v>
      </c>
      <c r="J5953" t="s">
        <v>18925</v>
      </c>
      <c r="K5953">
        <v>11357</v>
      </c>
      <c r="L5953" t="s">
        <v>18958</v>
      </c>
      <c r="M5953" t="s">
        <v>18958</v>
      </c>
      <c r="N5953" t="s">
        <v>23288</v>
      </c>
      <c r="O5953" t="s">
        <v>26523</v>
      </c>
      <c r="P5953" t="s">
        <v>26564</v>
      </c>
      <c r="R5953" t="s">
        <v>26584</v>
      </c>
      <c r="S5953" t="s">
        <v>18959</v>
      </c>
      <c r="U5953" t="s">
        <v>26604</v>
      </c>
      <c r="W5953" t="s">
        <v>659</v>
      </c>
      <c r="X5953">
        <v>0</v>
      </c>
      <c r="Y5953" t="s">
        <v>26653</v>
      </c>
      <c r="Z5953" t="s">
        <v>26664</v>
      </c>
      <c r="AB5953" t="s">
        <v>31358</v>
      </c>
      <c r="AD5953" t="s">
        <v>41562</v>
      </c>
      <c r="AE5953">
        <v>0</v>
      </c>
      <c r="AF5953" t="s">
        <v>20460</v>
      </c>
      <c r="AG5953" t="s">
        <v>19330</v>
      </c>
      <c r="AH5953">
        <v>24</v>
      </c>
      <c r="AI5953">
        <v>2</v>
      </c>
      <c r="AJ5953">
        <v>0</v>
      </c>
      <c r="AK5953">
        <v>50.86</v>
      </c>
      <c r="AN5953" t="s">
        <v>7439</v>
      </c>
      <c r="AO5953">
        <v>8600</v>
      </c>
      <c r="AU5953">
        <v>1.4</v>
      </c>
      <c r="AV5953" t="s">
        <v>769</v>
      </c>
      <c r="AW5953" t="s">
        <v>208</v>
      </c>
    </row>
    <row r="5954" spans="1:49">
      <c r="A5954" s="1">
        <f>HYPERLINK("https://lsnyc.legalserver.org/matter/dynamic-profile/view/1892386","19-1892386")</f>
        <v>0</v>
      </c>
      <c r="B5954" t="s">
        <v>212</v>
      </c>
      <c r="C5954" t="s">
        <v>341</v>
      </c>
      <c r="D5954" t="s">
        <v>416</v>
      </c>
      <c r="E5954" t="s">
        <v>751</v>
      </c>
      <c r="F5954" t="s">
        <v>952</v>
      </c>
      <c r="G5954" t="s">
        <v>7839</v>
      </c>
      <c r="H5954" t="s">
        <v>13919</v>
      </c>
      <c r="I5954" t="s">
        <v>17708</v>
      </c>
      <c r="J5954" t="s">
        <v>18913</v>
      </c>
      <c r="K5954">
        <v>11103</v>
      </c>
      <c r="L5954" t="s">
        <v>18958</v>
      </c>
      <c r="M5954" t="s">
        <v>18958</v>
      </c>
      <c r="O5954" t="s">
        <v>18997</v>
      </c>
      <c r="P5954" t="s">
        <v>26564</v>
      </c>
      <c r="Q5954" t="s">
        <v>26570</v>
      </c>
      <c r="R5954" t="s">
        <v>26578</v>
      </c>
      <c r="S5954" t="s">
        <v>18959</v>
      </c>
      <c r="U5954" t="s">
        <v>26604</v>
      </c>
      <c r="W5954" t="s">
        <v>659</v>
      </c>
      <c r="X5954">
        <v>0</v>
      </c>
      <c r="Y5954" t="s">
        <v>26653</v>
      </c>
      <c r="Z5954" t="s">
        <v>26663</v>
      </c>
      <c r="AA5954" t="s">
        <v>26683</v>
      </c>
      <c r="AB5954" t="s">
        <v>31359</v>
      </c>
      <c r="AC5954" t="s">
        <v>34738</v>
      </c>
      <c r="AD5954" t="s">
        <v>34738</v>
      </c>
      <c r="AE5954">
        <v>0</v>
      </c>
      <c r="AF5954" t="s">
        <v>20460</v>
      </c>
      <c r="AG5954" t="s">
        <v>19330</v>
      </c>
      <c r="AH5954">
        <v>0</v>
      </c>
      <c r="AI5954">
        <v>1</v>
      </c>
      <c r="AJ5954">
        <v>0</v>
      </c>
      <c r="AK5954">
        <v>0</v>
      </c>
      <c r="AN5954" t="s">
        <v>7439</v>
      </c>
      <c r="AO5954">
        <v>0</v>
      </c>
      <c r="AU5954">
        <v>0.05</v>
      </c>
      <c r="AV5954" t="s">
        <v>751</v>
      </c>
      <c r="AW5954" t="s">
        <v>212</v>
      </c>
    </row>
    <row r="5955" spans="1:49">
      <c r="A5955" s="1">
        <f>HYPERLINK("https://lsnyc.legalserver.org/matter/dynamic-profile/view/1892392","19-1892392")</f>
        <v>0</v>
      </c>
      <c r="B5955" t="s">
        <v>212</v>
      </c>
      <c r="C5955" t="s">
        <v>341</v>
      </c>
      <c r="D5955" t="s">
        <v>416</v>
      </c>
      <c r="E5955" t="s">
        <v>751</v>
      </c>
      <c r="F5955" t="s">
        <v>3537</v>
      </c>
      <c r="G5955" t="s">
        <v>7558</v>
      </c>
      <c r="H5955" t="s">
        <v>13920</v>
      </c>
      <c r="J5955" t="s">
        <v>18920</v>
      </c>
      <c r="K5955">
        <v>11370</v>
      </c>
      <c r="L5955" t="s">
        <v>18958</v>
      </c>
      <c r="M5955" t="s">
        <v>18958</v>
      </c>
      <c r="O5955" t="s">
        <v>18997</v>
      </c>
      <c r="P5955" t="s">
        <v>26564</v>
      </c>
      <c r="Q5955" t="s">
        <v>26570</v>
      </c>
      <c r="R5955" t="s">
        <v>26578</v>
      </c>
      <c r="S5955" t="s">
        <v>18959</v>
      </c>
      <c r="U5955" t="s">
        <v>26604</v>
      </c>
      <c r="W5955" t="s">
        <v>659</v>
      </c>
      <c r="X5955">
        <v>0</v>
      </c>
      <c r="Y5955" t="s">
        <v>26653</v>
      </c>
      <c r="Z5955" t="s">
        <v>26663</v>
      </c>
      <c r="AA5955" t="s">
        <v>26683</v>
      </c>
      <c r="AB5955" t="s">
        <v>28141</v>
      </c>
      <c r="AC5955" t="s">
        <v>34738</v>
      </c>
      <c r="AD5955" t="s">
        <v>34738</v>
      </c>
      <c r="AE5955">
        <v>0</v>
      </c>
      <c r="AF5955" t="s">
        <v>20460</v>
      </c>
      <c r="AG5955" t="s">
        <v>19330</v>
      </c>
      <c r="AH5955">
        <v>0</v>
      </c>
      <c r="AI5955">
        <v>1</v>
      </c>
      <c r="AJ5955">
        <v>0</v>
      </c>
      <c r="AK5955">
        <v>240.19</v>
      </c>
      <c r="AN5955" t="s">
        <v>7439</v>
      </c>
      <c r="AO5955">
        <v>30000</v>
      </c>
      <c r="AU5955">
        <v>0.05</v>
      </c>
      <c r="AV5955" t="s">
        <v>751</v>
      </c>
      <c r="AW5955" t="s">
        <v>212</v>
      </c>
    </row>
    <row r="5956" spans="1:49">
      <c r="A5956" s="1">
        <f>HYPERLINK("https://lsnyc.legalserver.org/matter/dynamic-profile/view/1892359","19-1892359")</f>
        <v>0</v>
      </c>
      <c r="B5956" t="s">
        <v>117</v>
      </c>
      <c r="C5956" t="s">
        <v>340</v>
      </c>
      <c r="D5956" t="s">
        <v>416</v>
      </c>
      <c r="F5956" t="s">
        <v>1488</v>
      </c>
      <c r="G5956" t="s">
        <v>7840</v>
      </c>
      <c r="H5956" t="s">
        <v>13921</v>
      </c>
      <c r="I5956">
        <v>1</v>
      </c>
      <c r="J5956" t="s">
        <v>18894</v>
      </c>
      <c r="K5956">
        <v>11208</v>
      </c>
      <c r="L5956" t="s">
        <v>18958</v>
      </c>
      <c r="M5956" t="s">
        <v>18958</v>
      </c>
      <c r="N5956" t="s">
        <v>23289</v>
      </c>
      <c r="O5956" t="s">
        <v>26524</v>
      </c>
      <c r="P5956" t="s">
        <v>26560</v>
      </c>
      <c r="R5956" t="s">
        <v>26578</v>
      </c>
      <c r="S5956" t="s">
        <v>18959</v>
      </c>
      <c r="U5956" t="s">
        <v>26604</v>
      </c>
      <c r="W5956" t="s">
        <v>659</v>
      </c>
      <c r="X5956">
        <v>1268</v>
      </c>
      <c r="Y5956" t="s">
        <v>26652</v>
      </c>
      <c r="Z5956" t="s">
        <v>26664</v>
      </c>
      <c r="AB5956" t="s">
        <v>31360</v>
      </c>
      <c r="AC5956" t="s">
        <v>36071</v>
      </c>
      <c r="AE5956">
        <v>3</v>
      </c>
      <c r="AF5956" t="s">
        <v>45547</v>
      </c>
      <c r="AG5956" t="s">
        <v>45562</v>
      </c>
      <c r="AH5956">
        <v>1</v>
      </c>
      <c r="AI5956">
        <v>1</v>
      </c>
      <c r="AJ5956">
        <v>0</v>
      </c>
      <c r="AK5956">
        <v>87.43000000000001</v>
      </c>
      <c r="AN5956" t="s">
        <v>7439</v>
      </c>
      <c r="AO5956">
        <v>10920</v>
      </c>
      <c r="AU5956">
        <v>42.1</v>
      </c>
      <c r="AV5956" t="s">
        <v>767</v>
      </c>
      <c r="AW5956" t="s">
        <v>286</v>
      </c>
    </row>
    <row r="5957" spans="1:49">
      <c r="A5957" s="1">
        <f>HYPERLINK("https://lsnyc.legalserver.org/matter/dynamic-profile/view/1892427","19-1892427")</f>
        <v>0</v>
      </c>
      <c r="B5957" t="s">
        <v>242</v>
      </c>
      <c r="C5957" t="s">
        <v>340</v>
      </c>
      <c r="D5957" t="s">
        <v>416</v>
      </c>
      <c r="F5957" t="s">
        <v>3538</v>
      </c>
      <c r="G5957" t="s">
        <v>7841</v>
      </c>
      <c r="H5957" t="s">
        <v>13922</v>
      </c>
      <c r="I5957" t="s">
        <v>17378</v>
      </c>
      <c r="J5957" t="s">
        <v>18894</v>
      </c>
      <c r="K5957">
        <v>11235</v>
      </c>
      <c r="L5957" t="s">
        <v>18958</v>
      </c>
      <c r="M5957" t="s">
        <v>18958</v>
      </c>
      <c r="N5957" t="s">
        <v>23290</v>
      </c>
      <c r="O5957" t="s">
        <v>26524</v>
      </c>
      <c r="P5957" t="s">
        <v>26560</v>
      </c>
      <c r="R5957" t="s">
        <v>26586</v>
      </c>
      <c r="S5957" t="s">
        <v>18959</v>
      </c>
      <c r="U5957" t="s">
        <v>26604</v>
      </c>
      <c r="V5957" t="s">
        <v>26610</v>
      </c>
      <c r="W5957" t="s">
        <v>659</v>
      </c>
      <c r="X5957">
        <v>1250</v>
      </c>
      <c r="Y5957" t="s">
        <v>26652</v>
      </c>
      <c r="Z5957" t="s">
        <v>26664</v>
      </c>
      <c r="AB5957" t="s">
        <v>31361</v>
      </c>
      <c r="AD5957" t="s">
        <v>41563</v>
      </c>
      <c r="AE5957">
        <v>38</v>
      </c>
      <c r="AG5957" t="s">
        <v>19330</v>
      </c>
      <c r="AH5957">
        <v>10</v>
      </c>
      <c r="AI5957">
        <v>1</v>
      </c>
      <c r="AJ5957">
        <v>0</v>
      </c>
      <c r="AK5957">
        <v>64.05</v>
      </c>
      <c r="AO5957">
        <v>8000</v>
      </c>
      <c r="AU5957">
        <v>10.5</v>
      </c>
      <c r="AV5957" t="s">
        <v>785</v>
      </c>
      <c r="AW5957" t="s">
        <v>46862</v>
      </c>
    </row>
    <row r="5958" spans="1:49">
      <c r="A5958" s="1">
        <f>HYPERLINK("https://lsnyc.legalserver.org/matter/dynamic-profile/view/1892409","19-1892409")</f>
        <v>0</v>
      </c>
      <c r="B5958" t="s">
        <v>242</v>
      </c>
      <c r="C5958" t="s">
        <v>340</v>
      </c>
      <c r="D5958" t="s">
        <v>416</v>
      </c>
      <c r="F5958" t="s">
        <v>870</v>
      </c>
      <c r="G5958" t="s">
        <v>6718</v>
      </c>
      <c r="H5958" t="s">
        <v>13923</v>
      </c>
      <c r="I5958" t="s">
        <v>17712</v>
      </c>
      <c r="J5958" t="s">
        <v>18894</v>
      </c>
      <c r="K5958">
        <v>11205</v>
      </c>
      <c r="L5958" t="s">
        <v>18958</v>
      </c>
      <c r="M5958" t="s">
        <v>18958</v>
      </c>
      <c r="N5958" t="s">
        <v>23291</v>
      </c>
      <c r="O5958" t="s">
        <v>26523</v>
      </c>
      <c r="P5958" t="s">
        <v>26560</v>
      </c>
      <c r="R5958" t="s">
        <v>26586</v>
      </c>
      <c r="S5958" t="s">
        <v>18959</v>
      </c>
      <c r="U5958" t="s">
        <v>26605</v>
      </c>
      <c r="V5958" t="s">
        <v>26610</v>
      </c>
      <c r="W5958" t="s">
        <v>659</v>
      </c>
      <c r="X5958">
        <v>625.6</v>
      </c>
      <c r="Y5958" t="s">
        <v>26652</v>
      </c>
      <c r="Z5958" t="s">
        <v>26664</v>
      </c>
      <c r="AB5958" t="s">
        <v>31362</v>
      </c>
      <c r="AD5958" t="s">
        <v>41564</v>
      </c>
      <c r="AE5958">
        <v>104</v>
      </c>
      <c r="AF5958" t="s">
        <v>45549</v>
      </c>
      <c r="AG5958" t="s">
        <v>19330</v>
      </c>
      <c r="AH5958">
        <v>20</v>
      </c>
      <c r="AI5958">
        <v>1</v>
      </c>
      <c r="AJ5958">
        <v>2</v>
      </c>
      <c r="AK5958">
        <v>103.14</v>
      </c>
      <c r="AN5958" t="s">
        <v>7439</v>
      </c>
      <c r="AO5958">
        <v>22000</v>
      </c>
      <c r="AU5958">
        <v>9.5</v>
      </c>
      <c r="AV5958" t="s">
        <v>805</v>
      </c>
      <c r="AW5958" t="s">
        <v>46862</v>
      </c>
    </row>
    <row r="5959" spans="1:49">
      <c r="A5959" s="1">
        <f>HYPERLINK("https://lsnyc.legalserver.org/matter/dynamic-profile/view/1892330","19-1892330")</f>
        <v>0</v>
      </c>
      <c r="B5959" t="s">
        <v>242</v>
      </c>
      <c r="C5959" t="s">
        <v>340</v>
      </c>
      <c r="D5959" t="s">
        <v>416</v>
      </c>
      <c r="F5959" t="s">
        <v>1208</v>
      </c>
      <c r="G5959" t="s">
        <v>7487</v>
      </c>
      <c r="H5959" t="s">
        <v>13924</v>
      </c>
      <c r="I5959">
        <v>4</v>
      </c>
      <c r="J5959" t="s">
        <v>18894</v>
      </c>
      <c r="K5959">
        <v>11216</v>
      </c>
      <c r="L5959" t="s">
        <v>18958</v>
      </c>
      <c r="M5959" t="s">
        <v>18958</v>
      </c>
      <c r="N5959" t="s">
        <v>23292</v>
      </c>
      <c r="O5959" t="s">
        <v>26524</v>
      </c>
      <c r="P5959" t="s">
        <v>26560</v>
      </c>
      <c r="R5959" t="s">
        <v>26588</v>
      </c>
      <c r="S5959" t="s">
        <v>18959</v>
      </c>
      <c r="U5959" t="s">
        <v>26604</v>
      </c>
      <c r="V5959" t="s">
        <v>26610</v>
      </c>
      <c r="W5959" t="s">
        <v>659</v>
      </c>
      <c r="X5959">
        <v>600</v>
      </c>
      <c r="Y5959" t="s">
        <v>26652</v>
      </c>
      <c r="Z5959" t="s">
        <v>26664</v>
      </c>
      <c r="AB5959" t="s">
        <v>31363</v>
      </c>
      <c r="AD5959" t="s">
        <v>41565</v>
      </c>
      <c r="AE5959">
        <v>4</v>
      </c>
      <c r="AF5959" t="s">
        <v>45547</v>
      </c>
      <c r="AG5959" t="s">
        <v>19330</v>
      </c>
      <c r="AH5959">
        <v>14</v>
      </c>
      <c r="AI5959">
        <v>1</v>
      </c>
      <c r="AJ5959">
        <v>0</v>
      </c>
      <c r="AK5959">
        <v>76.86</v>
      </c>
      <c r="AN5959" t="s">
        <v>7439</v>
      </c>
      <c r="AO5959">
        <v>9600</v>
      </c>
      <c r="AU5959">
        <v>25.4</v>
      </c>
      <c r="AV5959" t="s">
        <v>826</v>
      </c>
      <c r="AW5959" t="s">
        <v>281</v>
      </c>
    </row>
    <row r="5960" spans="1:49">
      <c r="A5960" s="1">
        <f>HYPERLINK("https://lsnyc.legalserver.org/matter/dynamic-profile/view/1892591","19-1892591")</f>
        <v>0</v>
      </c>
      <c r="B5960" t="s">
        <v>212</v>
      </c>
      <c r="C5960" t="s">
        <v>341</v>
      </c>
      <c r="D5960" t="s">
        <v>751</v>
      </c>
      <c r="E5960" t="s">
        <v>751</v>
      </c>
      <c r="F5960" t="s">
        <v>1371</v>
      </c>
      <c r="G5960" t="s">
        <v>5138</v>
      </c>
      <c r="H5960" t="s">
        <v>13919</v>
      </c>
      <c r="I5960" t="s">
        <v>17730</v>
      </c>
      <c r="J5960" t="s">
        <v>18913</v>
      </c>
      <c r="K5960">
        <v>11103</v>
      </c>
      <c r="L5960" t="s">
        <v>18958</v>
      </c>
      <c r="M5960" t="s">
        <v>18958</v>
      </c>
      <c r="O5960" t="s">
        <v>18997</v>
      </c>
      <c r="P5960" t="s">
        <v>26564</v>
      </c>
      <c r="Q5960" t="s">
        <v>26570</v>
      </c>
      <c r="R5960" t="s">
        <v>26578</v>
      </c>
      <c r="S5960" t="s">
        <v>18959</v>
      </c>
      <c r="U5960" t="s">
        <v>26604</v>
      </c>
      <c r="W5960" t="s">
        <v>659</v>
      </c>
      <c r="X5960">
        <v>0</v>
      </c>
      <c r="Y5960" t="s">
        <v>26653</v>
      </c>
      <c r="Z5960" t="s">
        <v>26663</v>
      </c>
      <c r="AA5960" t="s">
        <v>26683</v>
      </c>
      <c r="AB5960" t="s">
        <v>29574</v>
      </c>
      <c r="AC5960" t="s">
        <v>34738</v>
      </c>
      <c r="AD5960" t="s">
        <v>34738</v>
      </c>
      <c r="AE5960">
        <v>0</v>
      </c>
      <c r="AF5960" t="s">
        <v>20460</v>
      </c>
      <c r="AG5960" t="s">
        <v>19330</v>
      </c>
      <c r="AH5960">
        <v>0</v>
      </c>
      <c r="AI5960">
        <v>2</v>
      </c>
      <c r="AJ5960">
        <v>0</v>
      </c>
      <c r="AK5960">
        <v>219.99</v>
      </c>
      <c r="AN5960" t="s">
        <v>7439</v>
      </c>
      <c r="AO5960">
        <v>37200</v>
      </c>
      <c r="AU5960">
        <v>0.05</v>
      </c>
      <c r="AV5960" t="s">
        <v>751</v>
      </c>
      <c r="AW5960" t="s">
        <v>212</v>
      </c>
    </row>
    <row r="5961" spans="1:49">
      <c r="A5961" s="1">
        <f>HYPERLINK("https://lsnyc.legalserver.org/matter/dynamic-profile/view/1892571","19-1892571")</f>
        <v>0</v>
      </c>
      <c r="B5961" t="s">
        <v>242</v>
      </c>
      <c r="C5961" t="s">
        <v>340</v>
      </c>
      <c r="D5961" t="s">
        <v>752</v>
      </c>
      <c r="F5961" t="s">
        <v>1401</v>
      </c>
      <c r="G5961" t="s">
        <v>7842</v>
      </c>
      <c r="H5961" t="s">
        <v>13925</v>
      </c>
      <c r="I5961">
        <v>40</v>
      </c>
      <c r="J5961" t="s">
        <v>18894</v>
      </c>
      <c r="K5961">
        <v>11226</v>
      </c>
      <c r="L5961" t="s">
        <v>18958</v>
      </c>
      <c r="M5961" t="s">
        <v>18958</v>
      </c>
      <c r="N5961" t="s">
        <v>23293</v>
      </c>
      <c r="O5961" t="s">
        <v>26523</v>
      </c>
      <c r="P5961" t="s">
        <v>26564</v>
      </c>
      <c r="R5961" t="s">
        <v>26588</v>
      </c>
      <c r="S5961" t="s">
        <v>18959</v>
      </c>
      <c r="U5961" t="s">
        <v>26604</v>
      </c>
      <c r="V5961" t="s">
        <v>26611</v>
      </c>
      <c r="W5961" t="s">
        <v>659</v>
      </c>
      <c r="X5961">
        <v>1295</v>
      </c>
      <c r="Y5961" t="s">
        <v>26652</v>
      </c>
      <c r="AA5961" t="s">
        <v>26683</v>
      </c>
      <c r="AB5961" t="s">
        <v>31364</v>
      </c>
      <c r="AE5961">
        <v>0</v>
      </c>
      <c r="AH5961">
        <v>1</v>
      </c>
      <c r="AI5961">
        <v>1</v>
      </c>
      <c r="AJ5961">
        <v>0</v>
      </c>
      <c r="AK5961">
        <v>80.06</v>
      </c>
      <c r="AN5961" t="s">
        <v>45581</v>
      </c>
      <c r="AO5961">
        <v>10000</v>
      </c>
      <c r="AU5961">
        <v>13.5</v>
      </c>
      <c r="AV5961" t="s">
        <v>720</v>
      </c>
      <c r="AW5961" t="s">
        <v>46856</v>
      </c>
    </row>
    <row r="5962" spans="1:49">
      <c r="A5962" s="1">
        <f>HYPERLINK("https://lsnyc.legalserver.org/matter/dynamic-profile/view/1872675","18-1872675")</f>
        <v>0</v>
      </c>
      <c r="B5962" t="s">
        <v>165</v>
      </c>
      <c r="C5962" t="s">
        <v>341</v>
      </c>
      <c r="D5962" t="s">
        <v>409</v>
      </c>
      <c r="E5962" t="s">
        <v>684</v>
      </c>
      <c r="F5962" t="s">
        <v>3539</v>
      </c>
      <c r="G5962" t="s">
        <v>7843</v>
      </c>
      <c r="H5962" t="s">
        <v>13926</v>
      </c>
      <c r="I5962" t="s">
        <v>17434</v>
      </c>
      <c r="J5962" t="s">
        <v>18893</v>
      </c>
      <c r="K5962">
        <v>10011</v>
      </c>
      <c r="L5962" t="s">
        <v>18958</v>
      </c>
      <c r="M5962" t="s">
        <v>18958</v>
      </c>
      <c r="N5962" t="s">
        <v>23294</v>
      </c>
      <c r="O5962" t="s">
        <v>26524</v>
      </c>
      <c r="P5962" t="s">
        <v>26564</v>
      </c>
      <c r="Q5962" t="s">
        <v>26570</v>
      </c>
      <c r="R5962" t="s">
        <v>26582</v>
      </c>
      <c r="S5962" t="s">
        <v>18959</v>
      </c>
      <c r="U5962" t="s">
        <v>26604</v>
      </c>
      <c r="W5962" t="s">
        <v>416</v>
      </c>
      <c r="X5962">
        <v>796</v>
      </c>
      <c r="Y5962" t="s">
        <v>26651</v>
      </c>
      <c r="Z5962" t="s">
        <v>26664</v>
      </c>
      <c r="AA5962" t="s">
        <v>26683</v>
      </c>
      <c r="AB5962" t="s">
        <v>31365</v>
      </c>
      <c r="AD5962" t="s">
        <v>41566</v>
      </c>
      <c r="AE5962">
        <v>102</v>
      </c>
      <c r="AG5962" t="s">
        <v>19330</v>
      </c>
      <c r="AH5962">
        <v>30</v>
      </c>
      <c r="AI5962">
        <v>1</v>
      </c>
      <c r="AJ5962">
        <v>0</v>
      </c>
      <c r="AK5962">
        <v>82.23999999999999</v>
      </c>
      <c r="AO5962">
        <v>9984</v>
      </c>
      <c r="AU5962">
        <v>0.1</v>
      </c>
      <c r="AV5962" t="s">
        <v>684</v>
      </c>
      <c r="AW5962" t="s">
        <v>46845</v>
      </c>
    </row>
    <row r="5963" spans="1:49">
      <c r="A5963" s="1">
        <f>HYPERLINK("https://lsnyc.legalserver.org/matter/dynamic-profile/view/1872870","18-1872870")</f>
        <v>0</v>
      </c>
      <c r="B5963" t="s">
        <v>77</v>
      </c>
      <c r="C5963" t="s">
        <v>341</v>
      </c>
      <c r="D5963" t="s">
        <v>436</v>
      </c>
      <c r="E5963" t="s">
        <v>687</v>
      </c>
      <c r="F5963" t="s">
        <v>881</v>
      </c>
      <c r="G5963" t="s">
        <v>6690</v>
      </c>
      <c r="H5963" t="s">
        <v>13927</v>
      </c>
      <c r="I5963">
        <v>55</v>
      </c>
      <c r="J5963" t="s">
        <v>18893</v>
      </c>
      <c r="K5963">
        <v>10032</v>
      </c>
      <c r="L5963" t="s">
        <v>18958</v>
      </c>
      <c r="M5963" t="s">
        <v>18958</v>
      </c>
      <c r="N5963" t="s">
        <v>23295</v>
      </c>
      <c r="O5963" t="s">
        <v>26524</v>
      </c>
      <c r="P5963" t="s">
        <v>26564</v>
      </c>
      <c r="Q5963" t="s">
        <v>26570</v>
      </c>
      <c r="R5963" t="s">
        <v>26582</v>
      </c>
      <c r="S5963" t="s">
        <v>18959</v>
      </c>
      <c r="U5963" t="s">
        <v>26604</v>
      </c>
      <c r="V5963" t="s">
        <v>26610</v>
      </c>
      <c r="W5963" t="s">
        <v>416</v>
      </c>
      <c r="X5963">
        <v>551.46</v>
      </c>
      <c r="Y5963" t="s">
        <v>26651</v>
      </c>
      <c r="Z5963" t="s">
        <v>26661</v>
      </c>
      <c r="AA5963" t="s">
        <v>26683</v>
      </c>
      <c r="AB5963" t="s">
        <v>31366</v>
      </c>
      <c r="AD5963" t="s">
        <v>41567</v>
      </c>
      <c r="AE5963">
        <v>0</v>
      </c>
      <c r="AF5963" t="s">
        <v>45541</v>
      </c>
      <c r="AG5963" t="s">
        <v>19330</v>
      </c>
      <c r="AH5963">
        <v>38</v>
      </c>
      <c r="AI5963">
        <v>1</v>
      </c>
      <c r="AJ5963">
        <v>0</v>
      </c>
      <c r="AK5963">
        <v>77.40000000000001</v>
      </c>
      <c r="AN5963" t="s">
        <v>7439</v>
      </c>
      <c r="AO5963">
        <v>9396</v>
      </c>
      <c r="AU5963">
        <v>1.6</v>
      </c>
      <c r="AV5963" t="s">
        <v>687</v>
      </c>
      <c r="AW5963" t="s">
        <v>314</v>
      </c>
    </row>
    <row r="5964" spans="1:49">
      <c r="A5964" s="1">
        <f>HYPERLINK("https://lsnyc.legalserver.org/matter/dynamic-profile/view/1872996","18-1872996")</f>
        <v>0</v>
      </c>
      <c r="B5964" t="s">
        <v>151</v>
      </c>
      <c r="C5964" t="s">
        <v>341</v>
      </c>
      <c r="D5964" t="s">
        <v>440</v>
      </c>
      <c r="E5964" t="s">
        <v>667</v>
      </c>
      <c r="F5964" t="s">
        <v>3540</v>
      </c>
      <c r="G5964" t="s">
        <v>7844</v>
      </c>
      <c r="H5964" t="s">
        <v>13928</v>
      </c>
      <c r="I5964" t="s">
        <v>17283</v>
      </c>
      <c r="J5964" t="s">
        <v>18893</v>
      </c>
      <c r="K5964">
        <v>10014</v>
      </c>
      <c r="L5964" t="s">
        <v>18958</v>
      </c>
      <c r="M5964" t="s">
        <v>18958</v>
      </c>
      <c r="N5964" t="s">
        <v>23296</v>
      </c>
      <c r="O5964" t="s">
        <v>26523</v>
      </c>
      <c r="P5964" t="s">
        <v>26564</v>
      </c>
      <c r="Q5964" t="s">
        <v>26570</v>
      </c>
      <c r="R5964" t="s">
        <v>26582</v>
      </c>
      <c r="S5964" t="s">
        <v>18959</v>
      </c>
      <c r="U5964" t="s">
        <v>26604</v>
      </c>
      <c r="W5964" t="s">
        <v>416</v>
      </c>
      <c r="X5964">
        <v>1000</v>
      </c>
      <c r="Y5964" t="s">
        <v>26651</v>
      </c>
      <c r="AA5964" t="s">
        <v>26683</v>
      </c>
      <c r="AB5964" t="s">
        <v>31367</v>
      </c>
      <c r="AD5964" t="s">
        <v>41568</v>
      </c>
      <c r="AE5964">
        <v>0</v>
      </c>
      <c r="AF5964" t="s">
        <v>45541</v>
      </c>
      <c r="AG5964" t="s">
        <v>19330</v>
      </c>
      <c r="AH5964">
        <v>30</v>
      </c>
      <c r="AI5964">
        <v>1</v>
      </c>
      <c r="AJ5964">
        <v>0</v>
      </c>
      <c r="AK5964">
        <v>197.69</v>
      </c>
      <c r="AN5964" t="s">
        <v>7439</v>
      </c>
      <c r="AO5964">
        <v>24000</v>
      </c>
      <c r="AU5964">
        <v>3.1</v>
      </c>
      <c r="AV5964" t="s">
        <v>515</v>
      </c>
      <c r="AW5964" t="s">
        <v>314</v>
      </c>
    </row>
    <row r="5965" spans="1:49">
      <c r="A5965" s="1">
        <f>HYPERLINK("https://lsnyc.legalserver.org/matter/dynamic-profile/view/1873971","18-1873971")</f>
        <v>0</v>
      </c>
      <c r="B5965" t="s">
        <v>86</v>
      </c>
      <c r="C5965" t="s">
        <v>341</v>
      </c>
      <c r="D5965" t="s">
        <v>469</v>
      </c>
      <c r="E5965" t="s">
        <v>461</v>
      </c>
      <c r="F5965" t="s">
        <v>3541</v>
      </c>
      <c r="G5965" t="s">
        <v>7845</v>
      </c>
      <c r="H5965" t="s">
        <v>13929</v>
      </c>
      <c r="I5965" t="s">
        <v>17315</v>
      </c>
      <c r="J5965" t="s">
        <v>18893</v>
      </c>
      <c r="K5965">
        <v>10039</v>
      </c>
      <c r="L5965" t="s">
        <v>18958</v>
      </c>
      <c r="M5965" t="s">
        <v>18958</v>
      </c>
      <c r="N5965" t="s">
        <v>23297</v>
      </c>
      <c r="O5965" t="s">
        <v>26524</v>
      </c>
      <c r="P5965" t="s">
        <v>26564</v>
      </c>
      <c r="Q5965" t="s">
        <v>26570</v>
      </c>
      <c r="R5965" t="s">
        <v>26582</v>
      </c>
      <c r="S5965" t="s">
        <v>18959</v>
      </c>
      <c r="U5965" t="s">
        <v>26604</v>
      </c>
      <c r="W5965" t="s">
        <v>416</v>
      </c>
      <c r="X5965">
        <v>1000</v>
      </c>
      <c r="Y5965" t="s">
        <v>26651</v>
      </c>
      <c r="Z5965" t="s">
        <v>26664</v>
      </c>
      <c r="AA5965" t="s">
        <v>26683</v>
      </c>
      <c r="AB5965" t="s">
        <v>31368</v>
      </c>
      <c r="AD5965" t="s">
        <v>41569</v>
      </c>
      <c r="AE5965">
        <v>0</v>
      </c>
      <c r="AF5965" t="s">
        <v>45541</v>
      </c>
      <c r="AG5965" t="s">
        <v>19330</v>
      </c>
      <c r="AH5965">
        <v>22</v>
      </c>
      <c r="AI5965">
        <v>4</v>
      </c>
      <c r="AJ5965">
        <v>1</v>
      </c>
      <c r="AK5965">
        <v>35.35</v>
      </c>
      <c r="AM5965" t="s">
        <v>45576</v>
      </c>
      <c r="AO5965">
        <v>10400</v>
      </c>
      <c r="AU5965">
        <v>1.3</v>
      </c>
      <c r="AV5965" t="s">
        <v>469</v>
      </c>
      <c r="AW5965" t="s">
        <v>317</v>
      </c>
    </row>
    <row r="5966" spans="1:49">
      <c r="A5966" s="1">
        <f>HYPERLINK("https://lsnyc.legalserver.org/matter/dynamic-profile/view/1874131","18-1874131")</f>
        <v>0</v>
      </c>
      <c r="B5966" t="s">
        <v>165</v>
      </c>
      <c r="C5966" t="s">
        <v>341</v>
      </c>
      <c r="D5966" t="s">
        <v>497</v>
      </c>
      <c r="E5966" t="s">
        <v>684</v>
      </c>
      <c r="F5966" t="s">
        <v>1893</v>
      </c>
      <c r="G5966" t="s">
        <v>1384</v>
      </c>
      <c r="H5966" t="s">
        <v>13930</v>
      </c>
      <c r="I5966" t="s">
        <v>17390</v>
      </c>
      <c r="J5966" t="s">
        <v>18893</v>
      </c>
      <c r="K5966">
        <v>10030</v>
      </c>
      <c r="L5966" t="s">
        <v>18958</v>
      </c>
      <c r="M5966" t="s">
        <v>18958</v>
      </c>
      <c r="N5966" t="s">
        <v>23298</v>
      </c>
      <c r="O5966" t="s">
        <v>26523</v>
      </c>
      <c r="P5966" t="s">
        <v>26564</v>
      </c>
      <c r="Q5966" t="s">
        <v>26570</v>
      </c>
      <c r="R5966" t="s">
        <v>26582</v>
      </c>
      <c r="S5966" t="s">
        <v>18959</v>
      </c>
      <c r="U5966" t="s">
        <v>26604</v>
      </c>
      <c r="W5966" t="s">
        <v>416</v>
      </c>
      <c r="X5966">
        <v>1843.88</v>
      </c>
      <c r="Y5966" t="s">
        <v>26651</v>
      </c>
      <c r="Z5966" t="s">
        <v>26661</v>
      </c>
      <c r="AA5966" t="s">
        <v>26683</v>
      </c>
      <c r="AB5966" t="s">
        <v>31369</v>
      </c>
      <c r="AD5966" t="s">
        <v>41570</v>
      </c>
      <c r="AE5966">
        <v>0</v>
      </c>
      <c r="AF5966" t="s">
        <v>45541</v>
      </c>
      <c r="AG5966" t="s">
        <v>45556</v>
      </c>
      <c r="AH5966">
        <v>15</v>
      </c>
      <c r="AI5966">
        <v>2</v>
      </c>
      <c r="AJ5966">
        <v>0</v>
      </c>
      <c r="AK5966">
        <v>64.52</v>
      </c>
      <c r="AN5966" t="s">
        <v>7439</v>
      </c>
      <c r="AO5966">
        <v>10620</v>
      </c>
      <c r="AU5966">
        <v>1.5</v>
      </c>
      <c r="AV5966" t="s">
        <v>684</v>
      </c>
      <c r="AW5966" t="s">
        <v>314</v>
      </c>
    </row>
    <row r="5967" spans="1:49">
      <c r="A5967" s="1">
        <f>HYPERLINK("https://lsnyc.legalserver.org/matter/dynamic-profile/view/1874691","18-1874691")</f>
        <v>0</v>
      </c>
      <c r="B5967" t="s">
        <v>127</v>
      </c>
      <c r="C5967" t="s">
        <v>340</v>
      </c>
      <c r="D5967" t="s">
        <v>504</v>
      </c>
      <c r="F5967" t="s">
        <v>1221</v>
      </c>
      <c r="G5967" t="s">
        <v>7588</v>
      </c>
      <c r="H5967" t="s">
        <v>13931</v>
      </c>
      <c r="I5967" t="s">
        <v>17322</v>
      </c>
      <c r="J5967" t="s">
        <v>18894</v>
      </c>
      <c r="K5967">
        <v>11233</v>
      </c>
      <c r="L5967" t="s">
        <v>18958</v>
      </c>
      <c r="M5967" t="s">
        <v>18958</v>
      </c>
      <c r="N5967" t="s">
        <v>23299</v>
      </c>
      <c r="O5967" t="s">
        <v>26523</v>
      </c>
      <c r="P5967" t="s">
        <v>26560</v>
      </c>
      <c r="R5967" t="s">
        <v>26578</v>
      </c>
      <c r="S5967" t="s">
        <v>18959</v>
      </c>
      <c r="U5967" t="s">
        <v>26604</v>
      </c>
      <c r="W5967" t="s">
        <v>416</v>
      </c>
      <c r="X5967">
        <v>933.24</v>
      </c>
      <c r="Y5967" t="s">
        <v>26652</v>
      </c>
      <c r="Z5967" t="s">
        <v>26659</v>
      </c>
      <c r="AB5967" t="s">
        <v>31370</v>
      </c>
      <c r="AC5967" t="s">
        <v>36072</v>
      </c>
      <c r="AD5967" t="s">
        <v>41571</v>
      </c>
      <c r="AE5967">
        <v>8</v>
      </c>
      <c r="AF5967" t="s">
        <v>45543</v>
      </c>
      <c r="AG5967" t="s">
        <v>45556</v>
      </c>
      <c r="AH5967">
        <v>20</v>
      </c>
      <c r="AI5967">
        <v>2</v>
      </c>
      <c r="AJ5967">
        <v>1</v>
      </c>
      <c r="AK5967">
        <v>40.42</v>
      </c>
      <c r="AN5967" t="s">
        <v>7439</v>
      </c>
      <c r="AO5967">
        <v>8400</v>
      </c>
      <c r="AU5967">
        <v>18.06</v>
      </c>
      <c r="AV5967" t="s">
        <v>728</v>
      </c>
      <c r="AW5967" t="s">
        <v>46829</v>
      </c>
    </row>
    <row r="5968" spans="1:49">
      <c r="A5968" s="1">
        <f>HYPERLINK("https://lsnyc.legalserver.org/matter/dynamic-profile/view/1875443","18-1875443")</f>
        <v>0</v>
      </c>
      <c r="B5968" t="s">
        <v>76</v>
      </c>
      <c r="C5968" t="s">
        <v>341</v>
      </c>
      <c r="D5968" t="s">
        <v>515</v>
      </c>
      <c r="E5968" t="s">
        <v>779</v>
      </c>
      <c r="F5968" t="s">
        <v>2298</v>
      </c>
      <c r="G5968" t="s">
        <v>5547</v>
      </c>
      <c r="H5968" t="s">
        <v>13932</v>
      </c>
      <c r="I5968">
        <v>111</v>
      </c>
      <c r="J5968" t="s">
        <v>18893</v>
      </c>
      <c r="K5968">
        <v>10002</v>
      </c>
      <c r="L5968" t="s">
        <v>18960</v>
      </c>
      <c r="M5968" t="s">
        <v>18960</v>
      </c>
      <c r="N5968" t="s">
        <v>23300</v>
      </c>
      <c r="O5968" t="s">
        <v>26523</v>
      </c>
      <c r="P5968" t="s">
        <v>26564</v>
      </c>
      <c r="Q5968" t="s">
        <v>26570</v>
      </c>
      <c r="R5968" t="s">
        <v>26592</v>
      </c>
      <c r="U5968" t="s">
        <v>26604</v>
      </c>
      <c r="W5968" t="s">
        <v>416</v>
      </c>
      <c r="X5968">
        <v>202</v>
      </c>
      <c r="Y5968" t="s">
        <v>26651</v>
      </c>
      <c r="AA5968" t="s">
        <v>26683</v>
      </c>
      <c r="AB5968" t="s">
        <v>31371</v>
      </c>
      <c r="AD5968" t="s">
        <v>41572</v>
      </c>
      <c r="AE5968">
        <v>0</v>
      </c>
      <c r="AG5968" t="s">
        <v>19330</v>
      </c>
      <c r="AH5968">
        <v>4</v>
      </c>
      <c r="AI5968">
        <v>1</v>
      </c>
      <c r="AJ5968">
        <v>0</v>
      </c>
      <c r="AK5968">
        <v>79.08</v>
      </c>
      <c r="AN5968" t="s">
        <v>7439</v>
      </c>
      <c r="AO5968">
        <v>9600</v>
      </c>
      <c r="AU5968">
        <v>1.25</v>
      </c>
      <c r="AV5968" t="s">
        <v>533</v>
      </c>
      <c r="AW5968" t="s">
        <v>46838</v>
      </c>
    </row>
    <row r="5969" spans="1:50">
      <c r="A5969" s="1">
        <f>HYPERLINK("https://lsnyc.legalserver.org/matter/dynamic-profile/view/1875659","18-1875659")</f>
        <v>0</v>
      </c>
      <c r="B5969" t="s">
        <v>200</v>
      </c>
      <c r="C5969" t="s">
        <v>341</v>
      </c>
      <c r="D5969" t="s">
        <v>521</v>
      </c>
      <c r="E5969" t="s">
        <v>805</v>
      </c>
      <c r="F5969" t="s">
        <v>2111</v>
      </c>
      <c r="G5969" t="s">
        <v>5419</v>
      </c>
      <c r="H5969" t="s">
        <v>13933</v>
      </c>
      <c r="I5969" t="s">
        <v>17322</v>
      </c>
      <c r="J5969" t="s">
        <v>18894</v>
      </c>
      <c r="K5969">
        <v>11233</v>
      </c>
      <c r="L5969" t="s">
        <v>18958</v>
      </c>
      <c r="M5969" t="s">
        <v>18958</v>
      </c>
      <c r="N5969" t="s">
        <v>23301</v>
      </c>
      <c r="O5969" t="s">
        <v>26523</v>
      </c>
      <c r="P5969" t="s">
        <v>26560</v>
      </c>
      <c r="Q5969" t="s">
        <v>26573</v>
      </c>
      <c r="R5969" t="s">
        <v>26578</v>
      </c>
      <c r="U5969" t="s">
        <v>26604</v>
      </c>
      <c r="W5969" t="s">
        <v>416</v>
      </c>
      <c r="X5969">
        <v>997</v>
      </c>
      <c r="Y5969" t="s">
        <v>26652</v>
      </c>
      <c r="Z5969" t="s">
        <v>26663</v>
      </c>
      <c r="AA5969" t="s">
        <v>26678</v>
      </c>
      <c r="AB5969" t="s">
        <v>31372</v>
      </c>
      <c r="AD5969" t="s">
        <v>41573</v>
      </c>
      <c r="AE5969">
        <v>12</v>
      </c>
      <c r="AG5969" t="s">
        <v>45556</v>
      </c>
      <c r="AH5969">
        <v>20</v>
      </c>
      <c r="AI5969">
        <v>2</v>
      </c>
      <c r="AJ5969">
        <v>0</v>
      </c>
      <c r="AK5969">
        <v>133.95</v>
      </c>
      <c r="AN5969" t="s">
        <v>7439</v>
      </c>
      <c r="AO5969">
        <v>22048</v>
      </c>
      <c r="AU5969">
        <v>30</v>
      </c>
      <c r="AV5969" t="s">
        <v>797</v>
      </c>
      <c r="AW5969" t="s">
        <v>46853</v>
      </c>
    </row>
    <row r="5970" spans="1:50">
      <c r="A5970" s="1">
        <f>HYPERLINK("https://lsnyc.legalserver.org/matter/dynamic-profile/view/1875689","18-1875689")</f>
        <v>0</v>
      </c>
      <c r="B5970" t="s">
        <v>77</v>
      </c>
      <c r="C5970" t="s">
        <v>341</v>
      </c>
      <c r="D5970" t="s">
        <v>533</v>
      </c>
      <c r="E5970" t="s">
        <v>623</v>
      </c>
      <c r="F5970" t="s">
        <v>1377</v>
      </c>
      <c r="G5970" t="s">
        <v>7846</v>
      </c>
      <c r="H5970" t="s">
        <v>13934</v>
      </c>
      <c r="I5970" t="s">
        <v>17325</v>
      </c>
      <c r="J5970" t="s">
        <v>18893</v>
      </c>
      <c r="K5970">
        <v>10026</v>
      </c>
      <c r="L5970" t="s">
        <v>18958</v>
      </c>
      <c r="M5970" t="s">
        <v>18958</v>
      </c>
      <c r="N5970" t="s">
        <v>23302</v>
      </c>
      <c r="O5970" t="s">
        <v>26523</v>
      </c>
      <c r="P5970" t="s">
        <v>26560</v>
      </c>
      <c r="Q5970" t="s">
        <v>26568</v>
      </c>
      <c r="R5970" t="s">
        <v>26580</v>
      </c>
      <c r="S5970" t="s">
        <v>18959</v>
      </c>
      <c r="U5970" t="s">
        <v>26605</v>
      </c>
      <c r="V5970" t="s">
        <v>26610</v>
      </c>
      <c r="W5970" t="s">
        <v>416</v>
      </c>
      <c r="X5970">
        <v>313</v>
      </c>
      <c r="Y5970" t="s">
        <v>26651</v>
      </c>
      <c r="Z5970" t="s">
        <v>26664</v>
      </c>
      <c r="AA5970" t="s">
        <v>26678</v>
      </c>
      <c r="AB5970" t="s">
        <v>31373</v>
      </c>
      <c r="AD5970" t="s">
        <v>41574</v>
      </c>
      <c r="AE5970">
        <v>32</v>
      </c>
      <c r="AF5970" t="s">
        <v>45544</v>
      </c>
      <c r="AG5970" t="s">
        <v>45556</v>
      </c>
      <c r="AH5970">
        <v>35</v>
      </c>
      <c r="AI5970">
        <v>1</v>
      </c>
      <c r="AJ5970">
        <v>0</v>
      </c>
      <c r="AK5970">
        <v>138.39</v>
      </c>
      <c r="AN5970" t="s">
        <v>7439</v>
      </c>
      <c r="AO5970">
        <v>16800</v>
      </c>
      <c r="AQ5970" t="s">
        <v>46365</v>
      </c>
      <c r="AR5970" t="s">
        <v>46379</v>
      </c>
      <c r="AS5970" t="s">
        <v>46499</v>
      </c>
      <c r="AT5970" t="s">
        <v>46647</v>
      </c>
      <c r="AU5970">
        <v>5.7</v>
      </c>
      <c r="AV5970" t="s">
        <v>606</v>
      </c>
      <c r="AW5970" t="s">
        <v>314</v>
      </c>
    </row>
    <row r="5971" spans="1:50">
      <c r="A5971" s="1">
        <f>HYPERLINK("https://lsnyc.legalserver.org/matter/dynamic-profile/view/1876789","18-1876789")</f>
        <v>0</v>
      </c>
      <c r="B5971" t="s">
        <v>156</v>
      </c>
      <c r="C5971" t="s">
        <v>341</v>
      </c>
      <c r="D5971" t="s">
        <v>422</v>
      </c>
      <c r="E5971" t="s">
        <v>712</v>
      </c>
      <c r="F5971" t="s">
        <v>979</v>
      </c>
      <c r="G5971" t="s">
        <v>7847</v>
      </c>
      <c r="H5971" t="s">
        <v>13935</v>
      </c>
      <c r="I5971">
        <v>5</v>
      </c>
      <c r="J5971" t="s">
        <v>18893</v>
      </c>
      <c r="K5971">
        <v>10032</v>
      </c>
      <c r="L5971" t="s">
        <v>18958</v>
      </c>
      <c r="M5971" t="s">
        <v>18958</v>
      </c>
      <c r="N5971" t="s">
        <v>23303</v>
      </c>
      <c r="O5971" t="s">
        <v>26523</v>
      </c>
      <c r="P5971" t="s">
        <v>26564</v>
      </c>
      <c r="Q5971" t="s">
        <v>26570</v>
      </c>
      <c r="R5971" t="s">
        <v>26582</v>
      </c>
      <c r="S5971" t="s">
        <v>18959</v>
      </c>
      <c r="U5971" t="s">
        <v>26604</v>
      </c>
      <c r="W5971" t="s">
        <v>416</v>
      </c>
      <c r="X5971">
        <v>1213.52</v>
      </c>
      <c r="Y5971" t="s">
        <v>26651</v>
      </c>
      <c r="AA5971" t="s">
        <v>26683</v>
      </c>
      <c r="AB5971" t="s">
        <v>30337</v>
      </c>
      <c r="AD5971" t="s">
        <v>41575</v>
      </c>
      <c r="AE5971">
        <v>35</v>
      </c>
      <c r="AH5971">
        <v>4</v>
      </c>
      <c r="AI5971">
        <v>1</v>
      </c>
      <c r="AJ5971">
        <v>0</v>
      </c>
      <c r="AK5971">
        <v>102.8</v>
      </c>
      <c r="AN5971" t="s">
        <v>7439</v>
      </c>
      <c r="AO5971">
        <v>12480</v>
      </c>
      <c r="AU5971">
        <v>0.5</v>
      </c>
      <c r="AV5971" t="s">
        <v>422</v>
      </c>
      <c r="AW5971" t="s">
        <v>46838</v>
      </c>
    </row>
    <row r="5972" spans="1:50">
      <c r="A5972" s="1">
        <f>HYPERLINK("https://lsnyc.legalserver.org/matter/dynamic-profile/view/1876861","18-1876861")</f>
        <v>0</v>
      </c>
      <c r="B5972" t="s">
        <v>80</v>
      </c>
      <c r="C5972" t="s">
        <v>341</v>
      </c>
      <c r="D5972" t="s">
        <v>422</v>
      </c>
      <c r="E5972" t="s">
        <v>712</v>
      </c>
      <c r="F5972" t="s">
        <v>1964</v>
      </c>
      <c r="G5972" t="s">
        <v>5818</v>
      </c>
      <c r="H5972" t="s">
        <v>13936</v>
      </c>
      <c r="I5972" t="s">
        <v>18300</v>
      </c>
      <c r="J5972" t="s">
        <v>18893</v>
      </c>
      <c r="K5972">
        <v>10019</v>
      </c>
      <c r="L5972" t="s">
        <v>18958</v>
      </c>
      <c r="M5972" t="s">
        <v>18958</v>
      </c>
      <c r="N5972" t="s">
        <v>23304</v>
      </c>
      <c r="O5972" t="s">
        <v>26524</v>
      </c>
      <c r="P5972" t="s">
        <v>26564</v>
      </c>
      <c r="Q5972" t="s">
        <v>26570</v>
      </c>
      <c r="R5972" t="s">
        <v>26582</v>
      </c>
      <c r="S5972" t="s">
        <v>18959</v>
      </c>
      <c r="U5972" t="s">
        <v>26604</v>
      </c>
      <c r="W5972" t="s">
        <v>416</v>
      </c>
      <c r="X5972">
        <v>767.55</v>
      </c>
      <c r="Y5972" t="s">
        <v>26651</v>
      </c>
      <c r="Z5972" t="s">
        <v>26664</v>
      </c>
      <c r="AA5972" t="s">
        <v>26683</v>
      </c>
      <c r="AB5972" t="s">
        <v>31374</v>
      </c>
      <c r="AD5972" t="s">
        <v>41576</v>
      </c>
      <c r="AE5972">
        <v>736</v>
      </c>
      <c r="AF5972" t="s">
        <v>20460</v>
      </c>
      <c r="AG5972" t="s">
        <v>19330</v>
      </c>
      <c r="AH5972">
        <v>21</v>
      </c>
      <c r="AI5972">
        <v>1</v>
      </c>
      <c r="AJ5972">
        <v>0</v>
      </c>
      <c r="AK5972">
        <v>103.79</v>
      </c>
      <c r="AN5972" t="s">
        <v>7439</v>
      </c>
      <c r="AO5972">
        <v>12600</v>
      </c>
      <c r="AU5972">
        <v>1.3</v>
      </c>
      <c r="AV5972" t="s">
        <v>635</v>
      </c>
      <c r="AW5972" t="s">
        <v>314</v>
      </c>
    </row>
    <row r="5973" spans="1:50">
      <c r="A5973" s="1">
        <f>HYPERLINK("https://lsnyc.legalserver.org/matter/dynamic-profile/view/1877946","18-1877946")</f>
        <v>0</v>
      </c>
      <c r="B5973" t="s">
        <v>200</v>
      </c>
      <c r="C5973" t="s">
        <v>340</v>
      </c>
      <c r="D5973" t="s">
        <v>572</v>
      </c>
      <c r="F5973" t="s">
        <v>3542</v>
      </c>
      <c r="G5973" t="s">
        <v>7848</v>
      </c>
      <c r="H5973" t="s">
        <v>13937</v>
      </c>
      <c r="I5973">
        <v>21</v>
      </c>
      <c r="J5973" t="s">
        <v>18894</v>
      </c>
      <c r="K5973">
        <v>11206</v>
      </c>
      <c r="L5973" t="s">
        <v>18958</v>
      </c>
      <c r="M5973" t="s">
        <v>18958</v>
      </c>
      <c r="N5973" t="s">
        <v>23305</v>
      </c>
      <c r="O5973" t="s">
        <v>26523</v>
      </c>
      <c r="P5973" t="s">
        <v>26560</v>
      </c>
      <c r="R5973" t="s">
        <v>26578</v>
      </c>
      <c r="U5973" t="s">
        <v>26604</v>
      </c>
      <c r="W5973" t="s">
        <v>416</v>
      </c>
      <c r="X5973">
        <v>0</v>
      </c>
      <c r="Y5973" t="s">
        <v>26652</v>
      </c>
      <c r="Z5973" t="s">
        <v>26664</v>
      </c>
      <c r="AB5973" t="s">
        <v>31375</v>
      </c>
      <c r="AD5973" t="s">
        <v>41577</v>
      </c>
      <c r="AE5973">
        <v>0</v>
      </c>
      <c r="AG5973" t="s">
        <v>45556</v>
      </c>
      <c r="AH5973">
        <v>15</v>
      </c>
      <c r="AI5973">
        <v>1</v>
      </c>
      <c r="AJ5973">
        <v>0</v>
      </c>
      <c r="AK5973">
        <v>76.11</v>
      </c>
      <c r="AN5973" t="s">
        <v>7439</v>
      </c>
      <c r="AO5973">
        <v>9240</v>
      </c>
      <c r="AU5973">
        <v>10.3</v>
      </c>
      <c r="AV5973" t="s">
        <v>794</v>
      </c>
      <c r="AW5973" t="s">
        <v>46862</v>
      </c>
    </row>
    <row r="5974" spans="1:50">
      <c r="A5974" s="1">
        <f>HYPERLINK("https://lsnyc.legalserver.org/matter/dynamic-profile/view/1879361","18-1879361")</f>
        <v>0</v>
      </c>
      <c r="B5974" t="s">
        <v>200</v>
      </c>
      <c r="C5974" t="s">
        <v>340</v>
      </c>
      <c r="D5974" t="s">
        <v>575</v>
      </c>
      <c r="F5974" t="s">
        <v>1250</v>
      </c>
      <c r="G5974" t="s">
        <v>5438</v>
      </c>
      <c r="H5974" t="s">
        <v>13938</v>
      </c>
      <c r="I5974" t="s">
        <v>17355</v>
      </c>
      <c r="J5974" t="s">
        <v>18894</v>
      </c>
      <c r="K5974">
        <v>11239</v>
      </c>
      <c r="L5974" t="s">
        <v>18958</v>
      </c>
      <c r="M5974" t="s">
        <v>18958</v>
      </c>
      <c r="N5974" t="s">
        <v>23306</v>
      </c>
      <c r="O5974" t="s">
        <v>26523</v>
      </c>
      <c r="P5974" t="s">
        <v>26560</v>
      </c>
      <c r="R5974" t="s">
        <v>26578</v>
      </c>
      <c r="U5974" t="s">
        <v>26604</v>
      </c>
      <c r="W5974" t="s">
        <v>416</v>
      </c>
      <c r="X5974">
        <v>3260</v>
      </c>
      <c r="Y5974" t="s">
        <v>26652</v>
      </c>
      <c r="Z5974" t="s">
        <v>26664</v>
      </c>
      <c r="AB5974" t="s">
        <v>31376</v>
      </c>
      <c r="AC5974" t="s">
        <v>36073</v>
      </c>
      <c r="AD5974" t="s">
        <v>41578</v>
      </c>
      <c r="AE5974">
        <v>84</v>
      </c>
      <c r="AG5974" t="s">
        <v>26530</v>
      </c>
      <c r="AH5974">
        <v>43</v>
      </c>
      <c r="AI5974">
        <v>1</v>
      </c>
      <c r="AJ5974">
        <v>1</v>
      </c>
      <c r="AK5974">
        <v>0</v>
      </c>
      <c r="AN5974" t="s">
        <v>7439</v>
      </c>
      <c r="AO5974">
        <v>0</v>
      </c>
      <c r="AU5974">
        <v>9.5</v>
      </c>
      <c r="AV5974" t="s">
        <v>779</v>
      </c>
      <c r="AW5974" t="s">
        <v>46862</v>
      </c>
    </row>
    <row r="5975" spans="1:50">
      <c r="A5975" s="1">
        <f>HYPERLINK("https://lsnyc.legalserver.org/matter/dynamic-profile/view/1879452","18-1879452")</f>
        <v>0</v>
      </c>
      <c r="B5975" t="s">
        <v>80</v>
      </c>
      <c r="C5975" t="s">
        <v>341</v>
      </c>
      <c r="D5975" t="s">
        <v>529</v>
      </c>
      <c r="E5975" t="s">
        <v>494</v>
      </c>
      <c r="F5975" t="s">
        <v>1119</v>
      </c>
      <c r="G5975" t="s">
        <v>7356</v>
      </c>
      <c r="H5975" t="s">
        <v>13939</v>
      </c>
      <c r="I5975" t="s">
        <v>17327</v>
      </c>
      <c r="J5975" t="s">
        <v>18893</v>
      </c>
      <c r="K5975">
        <v>10025</v>
      </c>
      <c r="L5975" t="s">
        <v>18958</v>
      </c>
      <c r="M5975" t="s">
        <v>18958</v>
      </c>
      <c r="N5975" t="s">
        <v>23307</v>
      </c>
      <c r="O5975" t="s">
        <v>26523</v>
      </c>
      <c r="P5975" t="s">
        <v>26560</v>
      </c>
      <c r="Q5975" t="s">
        <v>26568</v>
      </c>
      <c r="R5975" t="s">
        <v>26580</v>
      </c>
      <c r="S5975" t="s">
        <v>18959</v>
      </c>
      <c r="U5975" t="s">
        <v>26604</v>
      </c>
      <c r="V5975" t="s">
        <v>26610</v>
      </c>
      <c r="W5975" t="s">
        <v>416</v>
      </c>
      <c r="X5975">
        <v>1514</v>
      </c>
      <c r="Y5975" t="s">
        <v>26651</v>
      </c>
      <c r="Z5975" t="s">
        <v>26664</v>
      </c>
      <c r="AA5975" t="s">
        <v>26678</v>
      </c>
      <c r="AB5975" t="s">
        <v>31377</v>
      </c>
      <c r="AD5975" t="s">
        <v>41579</v>
      </c>
      <c r="AE5975">
        <v>0</v>
      </c>
      <c r="AF5975" t="s">
        <v>20460</v>
      </c>
      <c r="AG5975" t="s">
        <v>19330</v>
      </c>
      <c r="AH5975">
        <v>22</v>
      </c>
      <c r="AI5975">
        <v>3</v>
      </c>
      <c r="AJ5975">
        <v>3</v>
      </c>
      <c r="AK5975">
        <v>100.18</v>
      </c>
      <c r="AN5975" t="s">
        <v>45581</v>
      </c>
      <c r="AO5975">
        <v>33800</v>
      </c>
      <c r="AR5975" t="s">
        <v>46381</v>
      </c>
      <c r="AS5975" t="s">
        <v>46499</v>
      </c>
      <c r="AT5975" t="s">
        <v>46605</v>
      </c>
      <c r="AU5975">
        <v>5.2</v>
      </c>
      <c r="AV5975" t="s">
        <v>652</v>
      </c>
      <c r="AW5975" t="s">
        <v>314</v>
      </c>
    </row>
    <row r="5976" spans="1:50">
      <c r="A5976" s="1">
        <f>HYPERLINK("https://lsnyc.legalserver.org/matter/dynamic-profile/view/1879962","18-1879962")</f>
        <v>0</v>
      </c>
      <c r="B5976" t="s">
        <v>126</v>
      </c>
      <c r="C5976" t="s">
        <v>340</v>
      </c>
      <c r="D5976" t="s">
        <v>412</v>
      </c>
      <c r="F5976" t="s">
        <v>2018</v>
      </c>
      <c r="G5976" t="s">
        <v>7849</v>
      </c>
      <c r="H5976" t="s">
        <v>13940</v>
      </c>
      <c r="I5976" t="s">
        <v>17331</v>
      </c>
      <c r="J5976" t="s">
        <v>18894</v>
      </c>
      <c r="K5976">
        <v>11237</v>
      </c>
      <c r="L5976" t="s">
        <v>18958</v>
      </c>
      <c r="M5976" t="s">
        <v>18959</v>
      </c>
      <c r="N5976" t="s">
        <v>23308</v>
      </c>
      <c r="O5976" t="s">
        <v>26524</v>
      </c>
      <c r="P5976" t="s">
        <v>26560</v>
      </c>
      <c r="R5976" t="s">
        <v>26578</v>
      </c>
      <c r="U5976" t="s">
        <v>26604</v>
      </c>
      <c r="W5976" t="s">
        <v>416</v>
      </c>
      <c r="X5976">
        <v>973</v>
      </c>
      <c r="Y5976" t="s">
        <v>26652</v>
      </c>
      <c r="Z5976" t="s">
        <v>26664</v>
      </c>
      <c r="AB5976" t="s">
        <v>31378</v>
      </c>
      <c r="AC5976" t="s">
        <v>36074</v>
      </c>
      <c r="AD5976" t="s">
        <v>41580</v>
      </c>
      <c r="AE5976">
        <v>0</v>
      </c>
      <c r="AG5976" t="s">
        <v>45556</v>
      </c>
      <c r="AH5976">
        <v>12</v>
      </c>
      <c r="AI5976">
        <v>1</v>
      </c>
      <c r="AJ5976">
        <v>0</v>
      </c>
      <c r="AK5976">
        <v>0</v>
      </c>
      <c r="AN5976" t="s">
        <v>7439</v>
      </c>
      <c r="AO5976">
        <v>0</v>
      </c>
      <c r="AU5976">
        <v>72.3</v>
      </c>
      <c r="AV5976" t="s">
        <v>839</v>
      </c>
      <c r="AW5976" t="s">
        <v>46862</v>
      </c>
    </row>
    <row r="5977" spans="1:50">
      <c r="A5977" s="1">
        <f>HYPERLINK("https://lsnyc.legalserver.org/matter/dynamic-profile/view/1880283","18-1880283")</f>
        <v>0</v>
      </c>
      <c r="B5977" t="s">
        <v>126</v>
      </c>
      <c r="C5977" t="s">
        <v>340</v>
      </c>
      <c r="D5977" t="s">
        <v>614</v>
      </c>
      <c r="F5977" t="s">
        <v>1319</v>
      </c>
      <c r="G5977" t="s">
        <v>1938</v>
      </c>
      <c r="H5977" t="s">
        <v>11487</v>
      </c>
      <c r="I5977" t="s">
        <v>18301</v>
      </c>
      <c r="J5977" t="s">
        <v>18894</v>
      </c>
      <c r="K5977">
        <v>11208</v>
      </c>
      <c r="L5977" t="s">
        <v>18958</v>
      </c>
      <c r="M5977" t="s">
        <v>18958</v>
      </c>
      <c r="N5977" t="s">
        <v>23309</v>
      </c>
      <c r="O5977" t="s">
        <v>26523</v>
      </c>
      <c r="P5977" t="s">
        <v>26560</v>
      </c>
      <c r="R5977" t="s">
        <v>26578</v>
      </c>
      <c r="U5977" t="s">
        <v>26604</v>
      </c>
      <c r="W5977" t="s">
        <v>416</v>
      </c>
      <c r="X5977">
        <v>1186</v>
      </c>
      <c r="Y5977" t="s">
        <v>26652</v>
      </c>
      <c r="Z5977" t="s">
        <v>26664</v>
      </c>
      <c r="AB5977" t="s">
        <v>31379</v>
      </c>
      <c r="AC5977" t="s">
        <v>36075</v>
      </c>
      <c r="AD5977" t="s">
        <v>41581</v>
      </c>
      <c r="AE5977">
        <v>0</v>
      </c>
      <c r="AH5977">
        <v>11</v>
      </c>
      <c r="AI5977">
        <v>1</v>
      </c>
      <c r="AJ5977">
        <v>1</v>
      </c>
      <c r="AK5977">
        <v>15.48</v>
      </c>
      <c r="AN5977" t="s">
        <v>7439</v>
      </c>
      <c r="AO5977">
        <v>2548</v>
      </c>
      <c r="AU5977">
        <v>59.15</v>
      </c>
      <c r="AV5977" t="s">
        <v>821</v>
      </c>
      <c r="AW5977" t="s">
        <v>281</v>
      </c>
    </row>
    <row r="5978" spans="1:50">
      <c r="A5978" s="1">
        <f>HYPERLINK("https://lsnyc.legalserver.org/matter/dynamic-profile/view/1880730","18-1880730")</f>
        <v>0</v>
      </c>
      <c r="B5978" t="s">
        <v>165</v>
      </c>
      <c r="C5978" t="s">
        <v>341</v>
      </c>
      <c r="D5978" t="s">
        <v>630</v>
      </c>
      <c r="E5978" t="s">
        <v>684</v>
      </c>
      <c r="F5978" t="s">
        <v>979</v>
      </c>
      <c r="G5978" t="s">
        <v>7850</v>
      </c>
      <c r="H5978" t="s">
        <v>13941</v>
      </c>
      <c r="I5978">
        <v>9</v>
      </c>
      <c r="J5978" t="s">
        <v>18893</v>
      </c>
      <c r="K5978">
        <v>10009</v>
      </c>
      <c r="L5978" t="s">
        <v>18958</v>
      </c>
      <c r="M5978" t="s">
        <v>18958</v>
      </c>
      <c r="N5978" t="s">
        <v>23310</v>
      </c>
      <c r="O5978" t="s">
        <v>26524</v>
      </c>
      <c r="P5978" t="s">
        <v>26565</v>
      </c>
      <c r="Q5978" t="s">
        <v>26571</v>
      </c>
      <c r="R5978" t="s">
        <v>26582</v>
      </c>
      <c r="S5978" t="s">
        <v>18959</v>
      </c>
      <c r="U5978" t="s">
        <v>26604</v>
      </c>
      <c r="W5978" t="s">
        <v>416</v>
      </c>
      <c r="X5978">
        <v>400</v>
      </c>
      <c r="Y5978" t="s">
        <v>26651</v>
      </c>
      <c r="Z5978" t="s">
        <v>26664</v>
      </c>
      <c r="AA5978" t="s">
        <v>26683</v>
      </c>
      <c r="AB5978" t="s">
        <v>27711</v>
      </c>
      <c r="AD5978" t="s">
        <v>41582</v>
      </c>
      <c r="AE5978">
        <v>7</v>
      </c>
      <c r="AG5978" t="s">
        <v>19330</v>
      </c>
      <c r="AH5978">
        <v>4</v>
      </c>
      <c r="AI5978">
        <v>1</v>
      </c>
      <c r="AJ5978">
        <v>1</v>
      </c>
      <c r="AK5978">
        <v>167.12</v>
      </c>
      <c r="AO5978">
        <v>27508</v>
      </c>
      <c r="AU5978">
        <v>0.5</v>
      </c>
      <c r="AV5978" t="s">
        <v>684</v>
      </c>
      <c r="AW5978" t="s">
        <v>317</v>
      </c>
    </row>
    <row r="5979" spans="1:50">
      <c r="A5979" s="1">
        <f>HYPERLINK("https://lsnyc.legalserver.org/matter/dynamic-profile/view/1881098","18-1881098")</f>
        <v>0</v>
      </c>
      <c r="B5979" t="s">
        <v>200</v>
      </c>
      <c r="C5979" t="s">
        <v>340</v>
      </c>
      <c r="D5979" t="s">
        <v>639</v>
      </c>
      <c r="F5979" t="s">
        <v>3543</v>
      </c>
      <c r="G5979" t="s">
        <v>5454</v>
      </c>
      <c r="H5979" t="s">
        <v>13942</v>
      </c>
      <c r="I5979" t="s">
        <v>17309</v>
      </c>
      <c r="J5979" t="s">
        <v>18894</v>
      </c>
      <c r="K5979">
        <v>11208</v>
      </c>
      <c r="L5979" t="s">
        <v>18958</v>
      </c>
      <c r="M5979" t="s">
        <v>18958</v>
      </c>
      <c r="N5979" t="s">
        <v>23311</v>
      </c>
      <c r="O5979" t="s">
        <v>26523</v>
      </c>
      <c r="P5979" t="s">
        <v>26560</v>
      </c>
      <c r="R5979" t="s">
        <v>26578</v>
      </c>
      <c r="U5979" t="s">
        <v>26604</v>
      </c>
      <c r="W5979" t="s">
        <v>416</v>
      </c>
      <c r="X5979">
        <v>1088</v>
      </c>
      <c r="Y5979" t="s">
        <v>26652</v>
      </c>
      <c r="Z5979" t="s">
        <v>26664</v>
      </c>
      <c r="AB5979" t="s">
        <v>31114</v>
      </c>
      <c r="AC5979" t="s">
        <v>36076</v>
      </c>
      <c r="AD5979" t="s">
        <v>41583</v>
      </c>
      <c r="AE5979">
        <v>6</v>
      </c>
      <c r="AG5979" t="s">
        <v>45556</v>
      </c>
      <c r="AH5979">
        <v>13</v>
      </c>
      <c r="AI5979">
        <v>1</v>
      </c>
      <c r="AJ5979">
        <v>1</v>
      </c>
      <c r="AK5979">
        <v>78.98</v>
      </c>
      <c r="AN5979" t="s">
        <v>7439</v>
      </c>
      <c r="AO5979">
        <v>13000</v>
      </c>
      <c r="AU5979">
        <v>18.3</v>
      </c>
      <c r="AV5979" t="s">
        <v>834</v>
      </c>
      <c r="AW5979" t="s">
        <v>46862</v>
      </c>
    </row>
    <row r="5980" spans="1:50">
      <c r="A5980" s="1">
        <f>HYPERLINK("https://lsnyc.legalserver.org/matter/dynamic-profile/view/1881394","18-1881394")</f>
        <v>0</v>
      </c>
      <c r="B5980" t="s">
        <v>77</v>
      </c>
      <c r="C5980" t="s">
        <v>341</v>
      </c>
      <c r="D5980" t="s">
        <v>632</v>
      </c>
      <c r="E5980" t="s">
        <v>678</v>
      </c>
      <c r="F5980" t="s">
        <v>3544</v>
      </c>
      <c r="G5980" t="s">
        <v>7851</v>
      </c>
      <c r="H5980" t="s">
        <v>13943</v>
      </c>
      <c r="I5980" t="s">
        <v>18302</v>
      </c>
      <c r="J5980" t="s">
        <v>18893</v>
      </c>
      <c r="K5980">
        <v>10030</v>
      </c>
      <c r="L5980" t="s">
        <v>18958</v>
      </c>
      <c r="M5980" t="s">
        <v>18960</v>
      </c>
      <c r="N5980" t="s">
        <v>23312</v>
      </c>
      <c r="O5980" t="s">
        <v>26523</v>
      </c>
      <c r="P5980" t="s">
        <v>26564</v>
      </c>
      <c r="Q5980" t="s">
        <v>26570</v>
      </c>
      <c r="R5980" t="s">
        <v>26582</v>
      </c>
      <c r="S5980" t="s">
        <v>18959</v>
      </c>
      <c r="U5980" t="s">
        <v>26605</v>
      </c>
      <c r="V5980" t="s">
        <v>26610</v>
      </c>
      <c r="W5980" t="s">
        <v>416</v>
      </c>
      <c r="X5980">
        <v>0</v>
      </c>
      <c r="Y5980" t="s">
        <v>26651</v>
      </c>
      <c r="AA5980" t="s">
        <v>26683</v>
      </c>
      <c r="AB5980" t="s">
        <v>31380</v>
      </c>
      <c r="AC5980" t="s">
        <v>36077</v>
      </c>
      <c r="AD5980" t="s">
        <v>41584</v>
      </c>
      <c r="AE5980">
        <v>24</v>
      </c>
      <c r="AH5980">
        <v>0</v>
      </c>
      <c r="AI5980">
        <v>2</v>
      </c>
      <c r="AJ5980">
        <v>4</v>
      </c>
      <c r="AK5980">
        <v>106.7</v>
      </c>
      <c r="AO5980">
        <v>36000</v>
      </c>
      <c r="AU5980">
        <v>1.05</v>
      </c>
      <c r="AV5980" t="s">
        <v>678</v>
      </c>
      <c r="AW5980" t="s">
        <v>264</v>
      </c>
    </row>
    <row r="5981" spans="1:50">
      <c r="A5981" s="1">
        <f>HYPERLINK("https://lsnyc.legalserver.org/matter/dynamic-profile/view/1882513","18-1882513")</f>
        <v>0</v>
      </c>
      <c r="B5981" t="s">
        <v>144</v>
      </c>
      <c r="C5981" t="s">
        <v>341</v>
      </c>
      <c r="D5981" t="s">
        <v>646</v>
      </c>
      <c r="E5981" t="s">
        <v>699</v>
      </c>
      <c r="F5981" t="s">
        <v>3545</v>
      </c>
      <c r="G5981" t="s">
        <v>6080</v>
      </c>
      <c r="H5981" t="s">
        <v>13944</v>
      </c>
      <c r="I5981">
        <v>34</v>
      </c>
      <c r="J5981" t="s">
        <v>18893</v>
      </c>
      <c r="K5981">
        <v>10032</v>
      </c>
      <c r="L5981" t="s">
        <v>18958</v>
      </c>
      <c r="M5981" t="s">
        <v>18958</v>
      </c>
      <c r="N5981" t="s">
        <v>23313</v>
      </c>
      <c r="O5981" t="s">
        <v>26524</v>
      </c>
      <c r="P5981" t="s">
        <v>26564</v>
      </c>
      <c r="Q5981" t="s">
        <v>26570</v>
      </c>
      <c r="R5981" t="s">
        <v>26582</v>
      </c>
      <c r="S5981" t="s">
        <v>18959</v>
      </c>
      <c r="T5981" t="s">
        <v>26582</v>
      </c>
      <c r="U5981" t="s">
        <v>26604</v>
      </c>
      <c r="V5981" t="s">
        <v>26610</v>
      </c>
      <c r="W5981" t="s">
        <v>416</v>
      </c>
      <c r="X5981">
        <v>245</v>
      </c>
      <c r="Y5981" t="s">
        <v>26651</v>
      </c>
      <c r="Z5981" t="s">
        <v>26664</v>
      </c>
      <c r="AA5981" t="s">
        <v>26683</v>
      </c>
      <c r="AB5981" t="s">
        <v>31381</v>
      </c>
      <c r="AD5981" t="s">
        <v>41585</v>
      </c>
      <c r="AE5981">
        <v>22</v>
      </c>
      <c r="AF5981" t="s">
        <v>45548</v>
      </c>
      <c r="AG5981" t="s">
        <v>26530</v>
      </c>
      <c r="AH5981">
        <v>32</v>
      </c>
      <c r="AI5981">
        <v>2</v>
      </c>
      <c r="AJ5981">
        <v>0</v>
      </c>
      <c r="AK5981">
        <v>129.77</v>
      </c>
      <c r="AN5981" t="s">
        <v>7439</v>
      </c>
      <c r="AO5981">
        <v>21360</v>
      </c>
      <c r="AU5981">
        <v>0.7</v>
      </c>
      <c r="AV5981" t="s">
        <v>664</v>
      </c>
      <c r="AW5981" t="s">
        <v>314</v>
      </c>
    </row>
    <row r="5982" spans="1:50">
      <c r="A5982" s="1">
        <f>HYPERLINK("https://lsnyc.legalserver.org/matter/dynamic-profile/view/1882563","18-1882563")</f>
        <v>0</v>
      </c>
      <c r="B5982" t="s">
        <v>80</v>
      </c>
      <c r="C5982" t="s">
        <v>341</v>
      </c>
      <c r="D5982" t="s">
        <v>646</v>
      </c>
      <c r="E5982" t="s">
        <v>699</v>
      </c>
      <c r="F5982" t="s">
        <v>1471</v>
      </c>
      <c r="G5982" t="s">
        <v>5444</v>
      </c>
      <c r="H5982" t="s">
        <v>13945</v>
      </c>
      <c r="I5982" t="s">
        <v>17355</v>
      </c>
      <c r="J5982" t="s">
        <v>18893</v>
      </c>
      <c r="K5982">
        <v>10030</v>
      </c>
      <c r="L5982" t="s">
        <v>18958</v>
      </c>
      <c r="M5982" t="s">
        <v>18958</v>
      </c>
      <c r="N5982" t="s">
        <v>23314</v>
      </c>
      <c r="O5982" t="s">
        <v>26523</v>
      </c>
      <c r="P5982" t="s">
        <v>26564</v>
      </c>
      <c r="Q5982" t="s">
        <v>26570</v>
      </c>
      <c r="R5982" t="s">
        <v>26582</v>
      </c>
      <c r="S5982" t="s">
        <v>18959</v>
      </c>
      <c r="U5982" t="s">
        <v>26604</v>
      </c>
      <c r="V5982" t="s">
        <v>26611</v>
      </c>
      <c r="W5982" t="s">
        <v>416</v>
      </c>
      <c r="X5982">
        <v>259</v>
      </c>
      <c r="Y5982" t="s">
        <v>26651</v>
      </c>
      <c r="Z5982" t="s">
        <v>26664</v>
      </c>
      <c r="AA5982" t="s">
        <v>26683</v>
      </c>
      <c r="AB5982" t="s">
        <v>31382</v>
      </c>
      <c r="AD5982" t="s">
        <v>41586</v>
      </c>
      <c r="AE5982">
        <v>24</v>
      </c>
      <c r="AF5982" t="s">
        <v>45552</v>
      </c>
      <c r="AG5982" t="s">
        <v>26530</v>
      </c>
      <c r="AH5982">
        <v>4</v>
      </c>
      <c r="AI5982">
        <v>1</v>
      </c>
      <c r="AJ5982">
        <v>1</v>
      </c>
      <c r="AK5982">
        <v>43.38</v>
      </c>
      <c r="AN5982" t="s">
        <v>7439</v>
      </c>
      <c r="AO5982">
        <v>7140</v>
      </c>
      <c r="AU5982">
        <v>0</v>
      </c>
      <c r="AW5982" t="s">
        <v>314</v>
      </c>
    </row>
    <row r="5983" spans="1:50">
      <c r="A5983" s="1">
        <f>HYPERLINK("https://lsnyc.legalserver.org/matter/dynamic-profile/view/1882511","18-1882511")</f>
        <v>0</v>
      </c>
      <c r="B5983" t="s">
        <v>117</v>
      </c>
      <c r="C5983" t="s">
        <v>340</v>
      </c>
      <c r="D5983" t="s">
        <v>646</v>
      </c>
      <c r="F5983" t="s">
        <v>1114</v>
      </c>
      <c r="G5983" t="s">
        <v>5696</v>
      </c>
      <c r="H5983" t="s">
        <v>13946</v>
      </c>
      <c r="I5983">
        <v>2</v>
      </c>
      <c r="J5983" t="s">
        <v>18894</v>
      </c>
      <c r="K5983">
        <v>11233</v>
      </c>
      <c r="L5983" t="s">
        <v>18958</v>
      </c>
      <c r="M5983" t="s">
        <v>18958</v>
      </c>
      <c r="N5983" t="s">
        <v>23315</v>
      </c>
      <c r="O5983" t="s">
        <v>26523</v>
      </c>
      <c r="P5983" t="s">
        <v>26560</v>
      </c>
      <c r="R5983" t="s">
        <v>26578</v>
      </c>
      <c r="S5983" t="s">
        <v>18959</v>
      </c>
      <c r="U5983" t="s">
        <v>26604</v>
      </c>
      <c r="V5983" t="s">
        <v>26610</v>
      </c>
      <c r="W5983" t="s">
        <v>416</v>
      </c>
      <c r="X5983">
        <v>1025</v>
      </c>
      <c r="Y5983" t="s">
        <v>26652</v>
      </c>
      <c r="Z5983" t="s">
        <v>26668</v>
      </c>
      <c r="AB5983" t="s">
        <v>31383</v>
      </c>
      <c r="AC5983">
        <v>17593488</v>
      </c>
      <c r="AD5983" t="s">
        <v>41587</v>
      </c>
      <c r="AE5983">
        <v>3</v>
      </c>
      <c r="AF5983" t="s">
        <v>45547</v>
      </c>
      <c r="AG5983" t="s">
        <v>19330</v>
      </c>
      <c r="AH5983">
        <v>8</v>
      </c>
      <c r="AI5983">
        <v>3</v>
      </c>
      <c r="AJ5983">
        <v>0</v>
      </c>
      <c r="AK5983">
        <v>190.57</v>
      </c>
      <c r="AN5983" t="s">
        <v>7439</v>
      </c>
      <c r="AO5983">
        <v>39600</v>
      </c>
      <c r="AU5983">
        <v>30.1</v>
      </c>
      <c r="AV5983" t="s">
        <v>46822</v>
      </c>
      <c r="AW5983" t="s">
        <v>46859</v>
      </c>
      <c r="AX5983" t="s">
        <v>46897</v>
      </c>
    </row>
    <row r="5984" spans="1:50">
      <c r="A5984" s="1">
        <f>HYPERLINK("https://lsnyc.legalserver.org/matter/dynamic-profile/view/1883710","18-1883710")</f>
        <v>0</v>
      </c>
      <c r="B5984" t="s">
        <v>86</v>
      </c>
      <c r="C5984" t="s">
        <v>341</v>
      </c>
      <c r="D5984" t="s">
        <v>665</v>
      </c>
      <c r="E5984" t="s">
        <v>652</v>
      </c>
      <c r="F5984" t="s">
        <v>3546</v>
      </c>
      <c r="G5984" t="s">
        <v>7852</v>
      </c>
      <c r="H5984" t="s">
        <v>13947</v>
      </c>
      <c r="I5984" t="s">
        <v>17307</v>
      </c>
      <c r="J5984" t="s">
        <v>18893</v>
      </c>
      <c r="K5984">
        <v>10026</v>
      </c>
      <c r="L5984" t="s">
        <v>18958</v>
      </c>
      <c r="M5984" t="s">
        <v>18958</v>
      </c>
      <c r="N5984" t="s">
        <v>23316</v>
      </c>
      <c r="O5984" t="s">
        <v>26523</v>
      </c>
      <c r="P5984" t="s">
        <v>26564</v>
      </c>
      <c r="Q5984" t="s">
        <v>26570</v>
      </c>
      <c r="R5984" t="s">
        <v>26580</v>
      </c>
      <c r="S5984" t="s">
        <v>18959</v>
      </c>
      <c r="U5984" t="s">
        <v>26604</v>
      </c>
      <c r="V5984" t="s">
        <v>26610</v>
      </c>
      <c r="W5984" t="s">
        <v>416</v>
      </c>
      <c r="X5984">
        <v>1280</v>
      </c>
      <c r="Y5984" t="s">
        <v>26651</v>
      </c>
      <c r="AA5984" t="s">
        <v>26683</v>
      </c>
      <c r="AB5984" t="s">
        <v>31384</v>
      </c>
      <c r="AD5984" t="s">
        <v>41588</v>
      </c>
      <c r="AE5984">
        <v>0</v>
      </c>
      <c r="AF5984" t="s">
        <v>20460</v>
      </c>
      <c r="AH5984">
        <v>10</v>
      </c>
      <c r="AI5984">
        <v>3</v>
      </c>
      <c r="AJ5984">
        <v>0</v>
      </c>
      <c r="AK5984">
        <v>447.55</v>
      </c>
      <c r="AN5984" t="s">
        <v>7439</v>
      </c>
      <c r="AO5984">
        <v>93000</v>
      </c>
      <c r="AU5984">
        <v>0.1</v>
      </c>
      <c r="AV5984" t="s">
        <v>652</v>
      </c>
      <c r="AW5984" t="s">
        <v>46875</v>
      </c>
    </row>
    <row r="5985" spans="1:50">
      <c r="A5985" s="1">
        <f>HYPERLINK("https://lsnyc.legalserver.org/matter/dynamic-profile/view/1883687","18-1883687")</f>
        <v>0</v>
      </c>
      <c r="B5985" t="s">
        <v>54</v>
      </c>
      <c r="C5985" t="s">
        <v>340</v>
      </c>
      <c r="D5985" t="s">
        <v>665</v>
      </c>
      <c r="F5985" t="s">
        <v>919</v>
      </c>
      <c r="G5985" t="s">
        <v>5116</v>
      </c>
      <c r="H5985" t="s">
        <v>9688</v>
      </c>
      <c r="I5985" t="s">
        <v>17310</v>
      </c>
      <c r="J5985" t="s">
        <v>18892</v>
      </c>
      <c r="K5985">
        <v>10451</v>
      </c>
      <c r="L5985" t="s">
        <v>18958</v>
      </c>
      <c r="M5985" t="s">
        <v>18958</v>
      </c>
      <c r="N5985" t="s">
        <v>23317</v>
      </c>
      <c r="O5985" t="s">
        <v>26548</v>
      </c>
      <c r="P5985" t="s">
        <v>26566</v>
      </c>
      <c r="R5985" t="s">
        <v>26577</v>
      </c>
      <c r="S5985" t="s">
        <v>18959</v>
      </c>
      <c r="U5985" t="s">
        <v>26607</v>
      </c>
      <c r="V5985" t="s">
        <v>26610</v>
      </c>
      <c r="W5985" t="s">
        <v>416</v>
      </c>
      <c r="X5985">
        <v>752</v>
      </c>
      <c r="Y5985" t="s">
        <v>26650</v>
      </c>
      <c r="Z5985" t="s">
        <v>26655</v>
      </c>
      <c r="AB5985" t="s">
        <v>26752</v>
      </c>
      <c r="AC5985" t="s">
        <v>34494</v>
      </c>
      <c r="AD5985" t="s">
        <v>36862</v>
      </c>
      <c r="AE5985">
        <v>867</v>
      </c>
      <c r="AF5985" t="s">
        <v>45549</v>
      </c>
      <c r="AG5985" t="s">
        <v>26530</v>
      </c>
      <c r="AH5985">
        <v>8</v>
      </c>
      <c r="AI5985">
        <v>2</v>
      </c>
      <c r="AJ5985">
        <v>1</v>
      </c>
      <c r="AK5985">
        <v>98.63</v>
      </c>
      <c r="AN5985" t="s">
        <v>7439</v>
      </c>
      <c r="AO5985">
        <v>20496</v>
      </c>
      <c r="AP5985" t="s">
        <v>45787</v>
      </c>
      <c r="AU5985">
        <v>162.8</v>
      </c>
      <c r="AV5985" t="s">
        <v>836</v>
      </c>
      <c r="AW5985" t="s">
        <v>46832</v>
      </c>
      <c r="AX5985" t="s">
        <v>46898</v>
      </c>
    </row>
    <row r="5986" spans="1:50">
      <c r="A5986" s="1">
        <f>HYPERLINK("https://lsnyc.legalserver.org/matter/dynamic-profile/view/1884127","18-1884127")</f>
        <v>0</v>
      </c>
      <c r="B5986" t="s">
        <v>234</v>
      </c>
      <c r="C5986" t="s">
        <v>341</v>
      </c>
      <c r="D5986" t="s">
        <v>652</v>
      </c>
      <c r="E5986" t="s">
        <v>777</v>
      </c>
      <c r="F5986" t="s">
        <v>1467</v>
      </c>
      <c r="G5986" t="s">
        <v>5473</v>
      </c>
      <c r="H5986" t="s">
        <v>13948</v>
      </c>
      <c r="I5986">
        <v>503</v>
      </c>
      <c r="J5986" t="s">
        <v>18945</v>
      </c>
      <c r="K5986">
        <v>10027</v>
      </c>
      <c r="L5986" t="s">
        <v>18958</v>
      </c>
      <c r="M5986" t="s">
        <v>18958</v>
      </c>
      <c r="N5986" t="s">
        <v>23318</v>
      </c>
      <c r="O5986" t="s">
        <v>26523</v>
      </c>
      <c r="P5986" t="s">
        <v>26560</v>
      </c>
      <c r="Q5986" t="s">
        <v>26568</v>
      </c>
      <c r="R5986" t="s">
        <v>26580</v>
      </c>
      <c r="S5986" t="s">
        <v>18959</v>
      </c>
      <c r="U5986" t="s">
        <v>26604</v>
      </c>
      <c r="W5986" t="s">
        <v>416</v>
      </c>
      <c r="X5986">
        <v>1075</v>
      </c>
      <c r="Y5986" t="s">
        <v>26651</v>
      </c>
      <c r="Z5986" t="s">
        <v>26664</v>
      </c>
      <c r="AA5986" t="s">
        <v>26678</v>
      </c>
      <c r="AB5986" t="s">
        <v>28518</v>
      </c>
      <c r="AC5986" t="s">
        <v>36078</v>
      </c>
      <c r="AD5986" t="s">
        <v>41589</v>
      </c>
      <c r="AE5986">
        <v>0</v>
      </c>
      <c r="AF5986" t="s">
        <v>45541</v>
      </c>
      <c r="AG5986" t="s">
        <v>45557</v>
      </c>
      <c r="AH5986">
        <v>6</v>
      </c>
      <c r="AI5986">
        <v>1</v>
      </c>
      <c r="AJ5986">
        <v>3</v>
      </c>
      <c r="AK5986">
        <v>17.4</v>
      </c>
      <c r="AN5986" t="s">
        <v>7439</v>
      </c>
      <c r="AO5986">
        <v>4368</v>
      </c>
      <c r="AR5986" t="s">
        <v>46379</v>
      </c>
      <c r="AS5986" t="s">
        <v>46499</v>
      </c>
      <c r="AT5986" t="s">
        <v>46772</v>
      </c>
      <c r="AU5986">
        <v>20.9</v>
      </c>
      <c r="AV5986" t="s">
        <v>775</v>
      </c>
      <c r="AW5986" t="s">
        <v>314</v>
      </c>
    </row>
    <row r="5987" spans="1:50">
      <c r="A5987" s="1">
        <f>HYPERLINK("https://lsnyc.legalserver.org/matter/dynamic-profile/view/1884092","18-1884092")</f>
        <v>0</v>
      </c>
      <c r="B5987" t="s">
        <v>80</v>
      </c>
      <c r="C5987" t="s">
        <v>341</v>
      </c>
      <c r="D5987" t="s">
        <v>652</v>
      </c>
      <c r="E5987" t="s">
        <v>494</v>
      </c>
      <c r="F5987" t="s">
        <v>887</v>
      </c>
      <c r="G5987" t="s">
        <v>6790</v>
      </c>
      <c r="H5987" t="s">
        <v>13949</v>
      </c>
      <c r="I5987" t="s">
        <v>17347</v>
      </c>
      <c r="J5987" t="s">
        <v>18893</v>
      </c>
      <c r="K5987">
        <v>10031</v>
      </c>
      <c r="L5987" t="s">
        <v>18958</v>
      </c>
      <c r="M5987" t="s">
        <v>18958</v>
      </c>
      <c r="N5987" t="s">
        <v>23319</v>
      </c>
      <c r="O5987" t="s">
        <v>26523</v>
      </c>
      <c r="P5987" t="s">
        <v>26560</v>
      </c>
      <c r="Q5987" t="s">
        <v>26573</v>
      </c>
      <c r="R5987" t="s">
        <v>26580</v>
      </c>
      <c r="S5987" t="s">
        <v>18959</v>
      </c>
      <c r="U5987" t="s">
        <v>26604</v>
      </c>
      <c r="W5987" t="s">
        <v>416</v>
      </c>
      <c r="X5987">
        <v>1248</v>
      </c>
      <c r="Y5987" t="s">
        <v>26651</v>
      </c>
      <c r="Z5987" t="s">
        <v>26664</v>
      </c>
      <c r="AA5987" t="s">
        <v>26678</v>
      </c>
      <c r="AB5987" t="s">
        <v>31385</v>
      </c>
      <c r="AD5987" t="s">
        <v>41590</v>
      </c>
      <c r="AE5987">
        <v>15</v>
      </c>
      <c r="AG5987" t="s">
        <v>19330</v>
      </c>
      <c r="AH5987">
        <v>25</v>
      </c>
      <c r="AI5987">
        <v>1</v>
      </c>
      <c r="AJ5987">
        <v>0</v>
      </c>
      <c r="AK5987">
        <v>171.33</v>
      </c>
      <c r="AN5987" t="s">
        <v>45581</v>
      </c>
      <c r="AO5987">
        <v>20800</v>
      </c>
      <c r="AS5987" t="s">
        <v>46499</v>
      </c>
      <c r="AU5987">
        <v>5.05</v>
      </c>
      <c r="AV5987" t="s">
        <v>716</v>
      </c>
      <c r="AW5987" t="s">
        <v>46875</v>
      </c>
    </row>
    <row r="5988" spans="1:50">
      <c r="A5988" s="1">
        <f>HYPERLINK("https://lsnyc.legalserver.org/matter/dynamic-profile/view/1884635","18-1884635")</f>
        <v>0</v>
      </c>
      <c r="B5988" t="s">
        <v>117</v>
      </c>
      <c r="C5988" t="s">
        <v>340</v>
      </c>
      <c r="D5988" t="s">
        <v>687</v>
      </c>
      <c r="F5988" t="s">
        <v>2585</v>
      </c>
      <c r="G5988" t="s">
        <v>5394</v>
      </c>
      <c r="H5988" t="s">
        <v>13950</v>
      </c>
      <c r="I5988" t="s">
        <v>17284</v>
      </c>
      <c r="J5988" t="s">
        <v>18894</v>
      </c>
      <c r="K5988">
        <v>11233</v>
      </c>
      <c r="L5988" t="s">
        <v>18958</v>
      </c>
      <c r="M5988" t="s">
        <v>18958</v>
      </c>
      <c r="N5988" t="s">
        <v>23320</v>
      </c>
      <c r="O5988" t="s">
        <v>26523</v>
      </c>
      <c r="P5988" t="s">
        <v>26560</v>
      </c>
      <c r="R5988" t="s">
        <v>26578</v>
      </c>
      <c r="S5988" t="s">
        <v>18959</v>
      </c>
      <c r="U5988" t="s">
        <v>26604</v>
      </c>
      <c r="V5988" t="s">
        <v>26610</v>
      </c>
      <c r="W5988" t="s">
        <v>416</v>
      </c>
      <c r="X5988">
        <v>530</v>
      </c>
      <c r="Y5988" t="s">
        <v>26652</v>
      </c>
      <c r="Z5988" t="s">
        <v>26664</v>
      </c>
      <c r="AB5988" t="s">
        <v>31386</v>
      </c>
      <c r="AD5988" t="s">
        <v>41591</v>
      </c>
      <c r="AE5988">
        <v>15</v>
      </c>
      <c r="AH5988">
        <v>37</v>
      </c>
      <c r="AI5988">
        <v>1</v>
      </c>
      <c r="AJ5988">
        <v>0</v>
      </c>
      <c r="AK5988">
        <v>82.54000000000001</v>
      </c>
      <c r="AN5988" t="s">
        <v>7439</v>
      </c>
      <c r="AO5988">
        <v>10020</v>
      </c>
      <c r="AU5988">
        <v>38</v>
      </c>
      <c r="AV5988" t="s">
        <v>832</v>
      </c>
      <c r="AW5988" t="s">
        <v>281</v>
      </c>
    </row>
    <row r="5989" spans="1:50">
      <c r="A5989" s="1">
        <f>HYPERLINK("https://lsnyc.legalserver.org/matter/dynamic-profile/view/1885393","18-1885393")</f>
        <v>0</v>
      </c>
      <c r="B5989" t="s">
        <v>117</v>
      </c>
      <c r="C5989" t="s">
        <v>340</v>
      </c>
      <c r="D5989" t="s">
        <v>452</v>
      </c>
      <c r="F5989" t="s">
        <v>3547</v>
      </c>
      <c r="G5989" t="s">
        <v>7853</v>
      </c>
      <c r="H5989" t="s">
        <v>13951</v>
      </c>
      <c r="I5989">
        <v>2</v>
      </c>
      <c r="J5989" t="s">
        <v>18894</v>
      </c>
      <c r="K5989">
        <v>11233</v>
      </c>
      <c r="L5989" t="s">
        <v>18958</v>
      </c>
      <c r="M5989" t="s">
        <v>18958</v>
      </c>
      <c r="N5989" t="s">
        <v>23321</v>
      </c>
      <c r="O5989" t="s">
        <v>26524</v>
      </c>
      <c r="P5989" t="s">
        <v>26564</v>
      </c>
      <c r="R5989" t="s">
        <v>26578</v>
      </c>
      <c r="S5989" t="s">
        <v>18959</v>
      </c>
      <c r="U5989" t="s">
        <v>26604</v>
      </c>
      <c r="V5989" t="s">
        <v>26610</v>
      </c>
      <c r="W5989" t="s">
        <v>416</v>
      </c>
      <c r="X5989">
        <v>0</v>
      </c>
      <c r="Y5989" t="s">
        <v>26652</v>
      </c>
      <c r="Z5989" t="s">
        <v>26664</v>
      </c>
      <c r="AB5989" t="s">
        <v>31387</v>
      </c>
      <c r="AC5989" t="s">
        <v>36079</v>
      </c>
      <c r="AD5989" t="s">
        <v>41592</v>
      </c>
      <c r="AE5989">
        <v>2</v>
      </c>
      <c r="AF5989" t="s">
        <v>45547</v>
      </c>
      <c r="AG5989" t="s">
        <v>19330</v>
      </c>
      <c r="AH5989">
        <v>5</v>
      </c>
      <c r="AI5989">
        <v>1</v>
      </c>
      <c r="AJ5989">
        <v>1</v>
      </c>
      <c r="AK5989">
        <v>110.57</v>
      </c>
      <c r="AO5989">
        <v>18200</v>
      </c>
      <c r="AU5989">
        <v>4.3</v>
      </c>
      <c r="AV5989" t="s">
        <v>757</v>
      </c>
      <c r="AW5989" t="s">
        <v>46862</v>
      </c>
    </row>
    <row r="5990" spans="1:50">
      <c r="A5990" s="1">
        <f>HYPERLINK("https://lsnyc.legalserver.org/matter/dynamic-profile/view/1886083","18-1886083")</f>
        <v>0</v>
      </c>
      <c r="B5990" t="s">
        <v>80</v>
      </c>
      <c r="C5990" t="s">
        <v>341</v>
      </c>
      <c r="D5990" t="s">
        <v>692</v>
      </c>
      <c r="E5990" t="s">
        <v>699</v>
      </c>
      <c r="F5990" t="s">
        <v>3548</v>
      </c>
      <c r="G5990" t="s">
        <v>7061</v>
      </c>
      <c r="H5990" t="s">
        <v>13952</v>
      </c>
      <c r="I5990" t="s">
        <v>17362</v>
      </c>
      <c r="J5990" t="s">
        <v>18893</v>
      </c>
      <c r="K5990">
        <v>10031</v>
      </c>
      <c r="L5990" t="s">
        <v>18958</v>
      </c>
      <c r="M5990" t="s">
        <v>18958</v>
      </c>
      <c r="N5990" t="s">
        <v>23322</v>
      </c>
      <c r="O5990" t="s">
        <v>26524</v>
      </c>
      <c r="P5990" t="s">
        <v>26564</v>
      </c>
      <c r="Q5990" t="s">
        <v>26570</v>
      </c>
      <c r="R5990" t="s">
        <v>26580</v>
      </c>
      <c r="S5990" t="s">
        <v>18959</v>
      </c>
      <c r="U5990" t="s">
        <v>26604</v>
      </c>
      <c r="W5990" t="s">
        <v>416</v>
      </c>
      <c r="X5990">
        <v>0</v>
      </c>
      <c r="Y5990" t="s">
        <v>26651</v>
      </c>
      <c r="Z5990" t="s">
        <v>26668</v>
      </c>
      <c r="AA5990" t="s">
        <v>26683</v>
      </c>
      <c r="AB5990" t="s">
        <v>31388</v>
      </c>
      <c r="AD5990" t="s">
        <v>41593</v>
      </c>
      <c r="AE5990">
        <v>46</v>
      </c>
      <c r="AF5990" t="s">
        <v>20460</v>
      </c>
      <c r="AG5990" t="s">
        <v>45562</v>
      </c>
      <c r="AH5990">
        <v>-1</v>
      </c>
      <c r="AI5990">
        <v>1</v>
      </c>
      <c r="AJ5990">
        <v>0</v>
      </c>
      <c r="AK5990">
        <v>71.17</v>
      </c>
      <c r="AN5990" t="s">
        <v>7439</v>
      </c>
      <c r="AO5990">
        <v>8640</v>
      </c>
      <c r="AU5990">
        <v>0.3</v>
      </c>
      <c r="AV5990" t="s">
        <v>692</v>
      </c>
      <c r="AW5990" t="s">
        <v>314</v>
      </c>
    </row>
    <row r="5991" spans="1:50">
      <c r="A5991" s="1">
        <f>HYPERLINK("https://lsnyc.legalserver.org/matter/dynamic-profile/view/1886632","18-1886632")</f>
        <v>0</v>
      </c>
      <c r="B5991" t="s">
        <v>194</v>
      </c>
      <c r="C5991" t="s">
        <v>341</v>
      </c>
      <c r="D5991" t="s">
        <v>712</v>
      </c>
      <c r="E5991" t="s">
        <v>494</v>
      </c>
      <c r="F5991" t="s">
        <v>1830</v>
      </c>
      <c r="G5991" t="s">
        <v>6172</v>
      </c>
      <c r="H5991" t="s">
        <v>13953</v>
      </c>
      <c r="I5991" t="s">
        <v>18303</v>
      </c>
      <c r="J5991" t="s">
        <v>18893</v>
      </c>
      <c r="K5991">
        <v>10028</v>
      </c>
      <c r="L5991" t="s">
        <v>18958</v>
      </c>
      <c r="M5991" t="s">
        <v>18958</v>
      </c>
      <c r="N5991" t="s">
        <v>23323</v>
      </c>
      <c r="O5991" t="s">
        <v>26523</v>
      </c>
      <c r="P5991" t="s">
        <v>26564</v>
      </c>
      <c r="Q5991" t="s">
        <v>26570</v>
      </c>
      <c r="R5991" t="s">
        <v>26582</v>
      </c>
      <c r="S5991" t="s">
        <v>18959</v>
      </c>
      <c r="U5991" t="s">
        <v>26604</v>
      </c>
      <c r="W5991" t="s">
        <v>416</v>
      </c>
      <c r="X5991">
        <v>1658</v>
      </c>
      <c r="Y5991" t="s">
        <v>26651</v>
      </c>
      <c r="Z5991" t="s">
        <v>26664</v>
      </c>
      <c r="AA5991" t="s">
        <v>26683</v>
      </c>
      <c r="AB5991" t="s">
        <v>31389</v>
      </c>
      <c r="AC5991" t="s">
        <v>36080</v>
      </c>
      <c r="AD5991" t="s">
        <v>41594</v>
      </c>
      <c r="AE5991">
        <v>0</v>
      </c>
      <c r="AF5991" t="s">
        <v>45541</v>
      </c>
      <c r="AH5991">
        <v>27</v>
      </c>
      <c r="AI5991">
        <v>1</v>
      </c>
      <c r="AJ5991">
        <v>0</v>
      </c>
      <c r="AK5991">
        <v>19.28</v>
      </c>
      <c r="AN5991" t="s">
        <v>7439</v>
      </c>
      <c r="AO5991">
        <v>2340</v>
      </c>
      <c r="AU5991">
        <v>1</v>
      </c>
      <c r="AV5991" t="s">
        <v>712</v>
      </c>
      <c r="AW5991" t="s">
        <v>46875</v>
      </c>
    </row>
    <row r="5992" spans="1:50">
      <c r="A5992" s="1">
        <f>HYPERLINK("https://lsnyc.legalserver.org/matter/dynamic-profile/view/1884493","18-1884493")</f>
        <v>0</v>
      </c>
      <c r="B5992" t="s">
        <v>169</v>
      </c>
      <c r="C5992" t="s">
        <v>341</v>
      </c>
      <c r="D5992" t="s">
        <v>782</v>
      </c>
      <c r="E5992" t="s">
        <v>789</v>
      </c>
      <c r="F5992" t="s">
        <v>2646</v>
      </c>
      <c r="G5992" t="s">
        <v>6869</v>
      </c>
      <c r="H5992" t="s">
        <v>12323</v>
      </c>
      <c r="I5992" t="s">
        <v>17312</v>
      </c>
      <c r="J5992" t="s">
        <v>18892</v>
      </c>
      <c r="K5992">
        <v>10456</v>
      </c>
      <c r="L5992" t="s">
        <v>18958</v>
      </c>
      <c r="M5992" t="s">
        <v>18958</v>
      </c>
      <c r="O5992" t="s">
        <v>26529</v>
      </c>
      <c r="P5992" t="s">
        <v>26562</v>
      </c>
      <c r="Q5992" t="s">
        <v>26571</v>
      </c>
      <c r="R5992" t="s">
        <v>26578</v>
      </c>
      <c r="U5992" t="s">
        <v>26608</v>
      </c>
      <c r="W5992" t="s">
        <v>416</v>
      </c>
      <c r="X5992">
        <v>1108</v>
      </c>
      <c r="Y5992" t="s">
        <v>26650</v>
      </c>
      <c r="Z5992" t="s">
        <v>26659</v>
      </c>
      <c r="AA5992" t="s">
        <v>26682</v>
      </c>
      <c r="AB5992" t="s">
        <v>29600</v>
      </c>
      <c r="AC5992" t="s">
        <v>35513</v>
      </c>
      <c r="AD5992" t="s">
        <v>39683</v>
      </c>
      <c r="AE5992">
        <v>0</v>
      </c>
      <c r="AF5992" t="s">
        <v>45541</v>
      </c>
      <c r="AG5992" t="s">
        <v>45558</v>
      </c>
      <c r="AH5992">
        <v>8</v>
      </c>
      <c r="AI5992">
        <v>1</v>
      </c>
      <c r="AJ5992">
        <v>0</v>
      </c>
      <c r="AK5992">
        <v>9.880000000000001</v>
      </c>
      <c r="AN5992" t="s">
        <v>45581</v>
      </c>
      <c r="AO5992">
        <v>1200</v>
      </c>
      <c r="AP5992" t="s">
        <v>45999</v>
      </c>
      <c r="AU5992">
        <v>0.5</v>
      </c>
      <c r="AV5992" t="s">
        <v>787</v>
      </c>
      <c r="AW5992" t="s">
        <v>46847</v>
      </c>
    </row>
    <row r="5993" spans="1:50">
      <c r="A5993" s="1">
        <f>HYPERLINK("https://lsnyc.legalserver.org/matter/dynamic-profile/view/1886858","19-1886858")</f>
        <v>0</v>
      </c>
      <c r="B5993" t="s">
        <v>84</v>
      </c>
      <c r="C5993" t="s">
        <v>341</v>
      </c>
      <c r="D5993" t="s">
        <v>713</v>
      </c>
      <c r="E5993" t="s">
        <v>416</v>
      </c>
      <c r="F5993" t="s">
        <v>1663</v>
      </c>
      <c r="G5993" t="s">
        <v>5794</v>
      </c>
      <c r="H5993" t="s">
        <v>9992</v>
      </c>
      <c r="I5993" t="s">
        <v>17390</v>
      </c>
      <c r="J5993" t="s">
        <v>18893</v>
      </c>
      <c r="K5993">
        <v>10027</v>
      </c>
      <c r="L5993" t="s">
        <v>18958</v>
      </c>
      <c r="M5993" t="s">
        <v>18958</v>
      </c>
      <c r="N5993" t="s">
        <v>23324</v>
      </c>
      <c r="O5993" t="s">
        <v>26523</v>
      </c>
      <c r="P5993" t="s">
        <v>26564</v>
      </c>
      <c r="Q5993" t="s">
        <v>26570</v>
      </c>
      <c r="R5993" t="s">
        <v>26580</v>
      </c>
      <c r="S5993" t="s">
        <v>18959</v>
      </c>
      <c r="U5993" t="s">
        <v>26605</v>
      </c>
      <c r="W5993" t="s">
        <v>416</v>
      </c>
      <c r="X5993">
        <v>700</v>
      </c>
      <c r="Y5993" t="s">
        <v>26651</v>
      </c>
      <c r="Z5993" t="s">
        <v>26664</v>
      </c>
      <c r="AA5993" t="s">
        <v>26683</v>
      </c>
      <c r="AB5993" t="s">
        <v>31390</v>
      </c>
      <c r="AC5993" t="s">
        <v>36081</v>
      </c>
      <c r="AD5993" t="s">
        <v>41595</v>
      </c>
      <c r="AE5993">
        <v>650</v>
      </c>
      <c r="AF5993" t="s">
        <v>45549</v>
      </c>
      <c r="AG5993" t="s">
        <v>19330</v>
      </c>
      <c r="AH5993">
        <v>51</v>
      </c>
      <c r="AI5993">
        <v>1</v>
      </c>
      <c r="AJ5993">
        <v>0</v>
      </c>
      <c r="AK5993">
        <v>48.14</v>
      </c>
      <c r="AN5993" t="s">
        <v>7439</v>
      </c>
      <c r="AO5993">
        <v>5844</v>
      </c>
      <c r="AU5993">
        <v>0.3</v>
      </c>
      <c r="AV5993" t="s">
        <v>744</v>
      </c>
      <c r="AW5993" t="s">
        <v>314</v>
      </c>
      <c r="AX5993" t="s">
        <v>46898</v>
      </c>
    </row>
    <row r="5994" spans="1:50">
      <c r="A5994" s="1">
        <f>HYPERLINK("https://lsnyc.legalserver.org/matter/dynamic-profile/view/1886957","19-1886957")</f>
        <v>0</v>
      </c>
      <c r="B5994" t="s">
        <v>117</v>
      </c>
      <c r="C5994" t="s">
        <v>340</v>
      </c>
      <c r="D5994" t="s">
        <v>718</v>
      </c>
      <c r="F5994" t="s">
        <v>1016</v>
      </c>
      <c r="G5994" t="s">
        <v>5335</v>
      </c>
      <c r="H5994" t="s">
        <v>13954</v>
      </c>
      <c r="I5994" t="s">
        <v>18003</v>
      </c>
      <c r="J5994" t="s">
        <v>18894</v>
      </c>
      <c r="K5994">
        <v>11208</v>
      </c>
      <c r="L5994" t="s">
        <v>18958</v>
      </c>
      <c r="M5994" t="s">
        <v>18958</v>
      </c>
      <c r="N5994" t="s">
        <v>23325</v>
      </c>
      <c r="O5994" t="s">
        <v>26523</v>
      </c>
      <c r="R5994" t="s">
        <v>26578</v>
      </c>
      <c r="S5994" t="s">
        <v>18959</v>
      </c>
      <c r="U5994" t="s">
        <v>26604</v>
      </c>
      <c r="V5994" t="s">
        <v>26610</v>
      </c>
      <c r="W5994" t="s">
        <v>416</v>
      </c>
      <c r="X5994">
        <v>1200</v>
      </c>
      <c r="Y5994" t="s">
        <v>26652</v>
      </c>
      <c r="Z5994" t="s">
        <v>26668</v>
      </c>
      <c r="AB5994" t="s">
        <v>31391</v>
      </c>
      <c r="AC5994" t="s">
        <v>36082</v>
      </c>
      <c r="AD5994" t="s">
        <v>41596</v>
      </c>
      <c r="AE5994">
        <v>56</v>
      </c>
      <c r="AG5994" t="s">
        <v>26530</v>
      </c>
      <c r="AH5994">
        <v>1</v>
      </c>
      <c r="AI5994">
        <v>1</v>
      </c>
      <c r="AJ5994">
        <v>0</v>
      </c>
      <c r="AK5994">
        <v>19.77</v>
      </c>
      <c r="AN5994" t="s">
        <v>45581</v>
      </c>
      <c r="AO5994">
        <v>2400</v>
      </c>
      <c r="AU5994">
        <v>0.8</v>
      </c>
      <c r="AV5994" t="s">
        <v>414</v>
      </c>
      <c r="AW5994" t="s">
        <v>279</v>
      </c>
    </row>
    <row r="5995" spans="1:50">
      <c r="A5995" s="1">
        <f>HYPERLINK("https://lsnyc.legalserver.org/matter/dynamic-profile/view/1886968","19-1886968")</f>
        <v>0</v>
      </c>
      <c r="B5995" t="s">
        <v>174</v>
      </c>
      <c r="C5995" t="s">
        <v>340</v>
      </c>
      <c r="D5995" t="s">
        <v>718</v>
      </c>
      <c r="F5995" t="s">
        <v>3549</v>
      </c>
      <c r="G5995" t="s">
        <v>1128</v>
      </c>
      <c r="H5995" t="s">
        <v>13955</v>
      </c>
      <c r="I5995" t="s">
        <v>17362</v>
      </c>
      <c r="J5995" t="s">
        <v>18894</v>
      </c>
      <c r="K5995">
        <v>11208</v>
      </c>
      <c r="L5995" t="s">
        <v>18958</v>
      </c>
      <c r="M5995" t="s">
        <v>18958</v>
      </c>
      <c r="N5995" t="s">
        <v>23326</v>
      </c>
      <c r="O5995" t="s">
        <v>26523</v>
      </c>
      <c r="P5995" t="s">
        <v>26560</v>
      </c>
      <c r="R5995" t="s">
        <v>26578</v>
      </c>
      <c r="S5995" t="s">
        <v>18959</v>
      </c>
      <c r="U5995" t="s">
        <v>26604</v>
      </c>
      <c r="V5995" t="s">
        <v>26610</v>
      </c>
      <c r="W5995" t="s">
        <v>416</v>
      </c>
      <c r="X5995">
        <v>913</v>
      </c>
      <c r="Y5995" t="s">
        <v>26652</v>
      </c>
      <c r="Z5995" t="s">
        <v>26661</v>
      </c>
      <c r="AB5995" t="s">
        <v>27984</v>
      </c>
      <c r="AC5995" t="s">
        <v>19045</v>
      </c>
      <c r="AD5995" t="s">
        <v>41597</v>
      </c>
      <c r="AE5995">
        <v>64</v>
      </c>
      <c r="AF5995" t="s">
        <v>45541</v>
      </c>
      <c r="AG5995" t="s">
        <v>19330</v>
      </c>
      <c r="AH5995">
        <v>5</v>
      </c>
      <c r="AI5995">
        <v>1</v>
      </c>
      <c r="AJ5995">
        <v>0</v>
      </c>
      <c r="AK5995">
        <v>176.47</v>
      </c>
      <c r="AN5995" t="s">
        <v>7439</v>
      </c>
      <c r="AO5995">
        <v>21424</v>
      </c>
      <c r="AU5995">
        <v>29.1</v>
      </c>
      <c r="AV5995" t="s">
        <v>835</v>
      </c>
      <c r="AW5995" t="s">
        <v>279</v>
      </c>
    </row>
    <row r="5996" spans="1:50">
      <c r="A5996" s="1">
        <f>HYPERLINK("https://lsnyc.legalserver.org/matter/dynamic-profile/view/1887432","19-1887432")</f>
        <v>0</v>
      </c>
      <c r="B5996" t="s">
        <v>151</v>
      </c>
      <c r="C5996" t="s">
        <v>341</v>
      </c>
      <c r="D5996" t="s">
        <v>414</v>
      </c>
      <c r="E5996" t="s">
        <v>777</v>
      </c>
      <c r="F5996" t="s">
        <v>875</v>
      </c>
      <c r="G5996" t="s">
        <v>6102</v>
      </c>
      <c r="H5996" t="s">
        <v>13956</v>
      </c>
      <c r="I5996" t="s">
        <v>18304</v>
      </c>
      <c r="J5996" t="s">
        <v>18893</v>
      </c>
      <c r="K5996">
        <v>10032</v>
      </c>
      <c r="L5996" t="s">
        <v>18958</v>
      </c>
      <c r="M5996" t="s">
        <v>18958</v>
      </c>
      <c r="O5996" t="s">
        <v>26535</v>
      </c>
      <c r="P5996" t="s">
        <v>26564</v>
      </c>
      <c r="Q5996" t="s">
        <v>26570</v>
      </c>
      <c r="R5996" t="s">
        <v>26582</v>
      </c>
      <c r="S5996" t="s">
        <v>18959</v>
      </c>
      <c r="U5996" t="s">
        <v>26604</v>
      </c>
      <c r="W5996" t="s">
        <v>416</v>
      </c>
      <c r="X5996">
        <v>958.5</v>
      </c>
      <c r="Y5996" t="s">
        <v>26651</v>
      </c>
      <c r="Z5996" t="s">
        <v>26664</v>
      </c>
      <c r="AA5996" t="s">
        <v>26683</v>
      </c>
      <c r="AB5996" t="s">
        <v>31392</v>
      </c>
      <c r="AC5996" t="s">
        <v>36083</v>
      </c>
      <c r="AD5996" t="s">
        <v>41598</v>
      </c>
      <c r="AE5996">
        <v>0</v>
      </c>
      <c r="AF5996" t="s">
        <v>45550</v>
      </c>
      <c r="AG5996" t="s">
        <v>19330</v>
      </c>
      <c r="AH5996">
        <v>1</v>
      </c>
      <c r="AI5996">
        <v>3</v>
      </c>
      <c r="AJ5996">
        <v>1</v>
      </c>
      <c r="AK5996">
        <v>313.78</v>
      </c>
      <c r="AN5996" t="s">
        <v>45581</v>
      </c>
      <c r="AO5996">
        <v>78760</v>
      </c>
      <c r="AU5996">
        <v>1.1</v>
      </c>
      <c r="AV5996" t="s">
        <v>775</v>
      </c>
      <c r="AW5996" t="s">
        <v>46875</v>
      </c>
    </row>
    <row r="5997" spans="1:50">
      <c r="A5997" s="1">
        <f>HYPERLINK("https://lsnyc.legalserver.org/matter/dynamic-profile/view/1887420","19-1887420")</f>
        <v>0</v>
      </c>
      <c r="B5997" t="s">
        <v>125</v>
      </c>
      <c r="C5997" t="s">
        <v>340</v>
      </c>
      <c r="D5997" t="s">
        <v>414</v>
      </c>
      <c r="F5997" t="s">
        <v>2222</v>
      </c>
      <c r="G5997" t="s">
        <v>7854</v>
      </c>
      <c r="H5997" t="s">
        <v>13957</v>
      </c>
      <c r="I5997" t="s">
        <v>17334</v>
      </c>
      <c r="J5997" t="s">
        <v>18894</v>
      </c>
      <c r="K5997">
        <v>11207</v>
      </c>
      <c r="L5997" t="s">
        <v>18958</v>
      </c>
      <c r="M5997" t="s">
        <v>18958</v>
      </c>
      <c r="N5997" t="s">
        <v>23327</v>
      </c>
      <c r="O5997" t="s">
        <v>26523</v>
      </c>
      <c r="P5997" t="s">
        <v>26564</v>
      </c>
      <c r="R5997" t="s">
        <v>26578</v>
      </c>
      <c r="S5997" t="s">
        <v>18959</v>
      </c>
      <c r="U5997" t="s">
        <v>26604</v>
      </c>
      <c r="V5997" t="s">
        <v>26609</v>
      </c>
      <c r="W5997" t="s">
        <v>416</v>
      </c>
      <c r="X5997">
        <v>2065</v>
      </c>
      <c r="Y5997" t="s">
        <v>26652</v>
      </c>
      <c r="Z5997" t="s">
        <v>26668</v>
      </c>
      <c r="AB5997" t="s">
        <v>29742</v>
      </c>
      <c r="AC5997" t="s">
        <v>36084</v>
      </c>
      <c r="AD5997" t="s">
        <v>41599</v>
      </c>
      <c r="AE5997">
        <v>6</v>
      </c>
      <c r="AF5997" t="s">
        <v>45541</v>
      </c>
      <c r="AG5997" t="s">
        <v>45556</v>
      </c>
      <c r="AH5997">
        <v>2</v>
      </c>
      <c r="AI5997">
        <v>3</v>
      </c>
      <c r="AJ5997">
        <v>2</v>
      </c>
      <c r="AK5997">
        <v>20.97</v>
      </c>
      <c r="AN5997" t="s">
        <v>7439</v>
      </c>
      <c r="AO5997">
        <v>6168</v>
      </c>
      <c r="AU5997">
        <v>3.25</v>
      </c>
      <c r="AV5997" t="s">
        <v>693</v>
      </c>
      <c r="AW5997" t="s">
        <v>279</v>
      </c>
    </row>
    <row r="5998" spans="1:50">
      <c r="A5998" s="1">
        <f>HYPERLINK("https://lsnyc.legalserver.org/matter/dynamic-profile/view/1887611","19-1887611")</f>
        <v>0</v>
      </c>
      <c r="B5998" t="s">
        <v>174</v>
      </c>
      <c r="C5998" t="s">
        <v>341</v>
      </c>
      <c r="D5998" t="s">
        <v>415</v>
      </c>
      <c r="E5998" t="s">
        <v>832</v>
      </c>
      <c r="F5998" t="s">
        <v>1668</v>
      </c>
      <c r="G5998" t="s">
        <v>7855</v>
      </c>
      <c r="H5998" t="s">
        <v>13958</v>
      </c>
      <c r="I5998">
        <v>414</v>
      </c>
      <c r="J5998" t="s">
        <v>18894</v>
      </c>
      <c r="K5998">
        <v>11207</v>
      </c>
      <c r="L5998" t="s">
        <v>18958</v>
      </c>
      <c r="M5998" t="s">
        <v>18958</v>
      </c>
      <c r="N5998" t="s">
        <v>23328</v>
      </c>
      <c r="O5998" t="s">
        <v>26523</v>
      </c>
      <c r="P5998" t="s">
        <v>26560</v>
      </c>
      <c r="Q5998" t="s">
        <v>26568</v>
      </c>
      <c r="R5998" t="s">
        <v>26578</v>
      </c>
      <c r="S5998" t="s">
        <v>18959</v>
      </c>
      <c r="U5998" t="s">
        <v>26604</v>
      </c>
      <c r="V5998" t="s">
        <v>26612</v>
      </c>
      <c r="W5998" t="s">
        <v>416</v>
      </c>
      <c r="X5998">
        <v>1275</v>
      </c>
      <c r="Y5998" t="s">
        <v>26652</v>
      </c>
      <c r="Z5998" t="s">
        <v>26664</v>
      </c>
      <c r="AA5998" t="s">
        <v>26678</v>
      </c>
      <c r="AB5998" t="s">
        <v>31393</v>
      </c>
      <c r="AC5998" t="s">
        <v>25800</v>
      </c>
      <c r="AD5998" t="s">
        <v>41600</v>
      </c>
      <c r="AE5998">
        <v>88</v>
      </c>
      <c r="AF5998" t="s">
        <v>45541</v>
      </c>
      <c r="AG5998" t="s">
        <v>45557</v>
      </c>
      <c r="AH5998">
        <v>1</v>
      </c>
      <c r="AI5998">
        <v>3</v>
      </c>
      <c r="AJ5998">
        <v>1</v>
      </c>
      <c r="AK5998">
        <v>240.49</v>
      </c>
      <c r="AL5998" t="s">
        <v>820</v>
      </c>
      <c r="AM5998" t="s">
        <v>45575</v>
      </c>
      <c r="AN5998" t="s">
        <v>45596</v>
      </c>
      <c r="AO5998">
        <v>60364</v>
      </c>
      <c r="AQ5998" t="s">
        <v>46359</v>
      </c>
      <c r="AR5998" t="s">
        <v>46415</v>
      </c>
      <c r="AS5998" t="s">
        <v>46499</v>
      </c>
      <c r="AT5998" t="s">
        <v>46754</v>
      </c>
      <c r="AU5998">
        <v>31.9</v>
      </c>
      <c r="AV5998" t="s">
        <v>769</v>
      </c>
      <c r="AW5998" t="s">
        <v>286</v>
      </c>
      <c r="AX5998" t="s">
        <v>46897</v>
      </c>
    </row>
    <row r="5999" spans="1:50">
      <c r="A5999" s="1">
        <f>HYPERLINK("https://lsnyc.legalserver.org/matter/dynamic-profile/view/1887570","19-1887570")</f>
        <v>0</v>
      </c>
      <c r="B5999" t="s">
        <v>117</v>
      </c>
      <c r="C5999" t="s">
        <v>340</v>
      </c>
      <c r="D5999" t="s">
        <v>415</v>
      </c>
      <c r="F5999" t="s">
        <v>1328</v>
      </c>
      <c r="G5999" t="s">
        <v>7856</v>
      </c>
      <c r="H5999" t="s">
        <v>13959</v>
      </c>
      <c r="I5999" t="s">
        <v>17275</v>
      </c>
      <c r="J5999" t="s">
        <v>18894</v>
      </c>
      <c r="K5999">
        <v>11207</v>
      </c>
      <c r="L5999" t="s">
        <v>18958</v>
      </c>
      <c r="M5999" t="s">
        <v>18958</v>
      </c>
      <c r="N5999" t="s">
        <v>23329</v>
      </c>
      <c r="O5999" t="s">
        <v>26523</v>
      </c>
      <c r="P5999" t="s">
        <v>26560</v>
      </c>
      <c r="R5999" t="s">
        <v>26578</v>
      </c>
      <c r="S5999" t="s">
        <v>18959</v>
      </c>
      <c r="U5999" t="s">
        <v>26604</v>
      </c>
      <c r="V5999" t="s">
        <v>26610</v>
      </c>
      <c r="W5999" t="s">
        <v>416</v>
      </c>
      <c r="X5999">
        <v>1337</v>
      </c>
      <c r="Y5999" t="s">
        <v>26652</v>
      </c>
      <c r="Z5999" t="s">
        <v>26659</v>
      </c>
      <c r="AB5999" t="s">
        <v>31394</v>
      </c>
      <c r="AC5999" t="s">
        <v>36085</v>
      </c>
      <c r="AD5999" t="s">
        <v>41601</v>
      </c>
      <c r="AE5999">
        <v>25</v>
      </c>
      <c r="AF5999" t="s">
        <v>45541</v>
      </c>
      <c r="AG5999" t="s">
        <v>45556</v>
      </c>
      <c r="AH5999">
        <v>7</v>
      </c>
      <c r="AI5999">
        <v>2</v>
      </c>
      <c r="AJ5999">
        <v>0</v>
      </c>
      <c r="AK5999">
        <v>121.51</v>
      </c>
      <c r="AN5999" t="s">
        <v>7439</v>
      </c>
      <c r="AO5999">
        <v>20000</v>
      </c>
      <c r="AU5999">
        <v>10.6</v>
      </c>
      <c r="AV5999" t="s">
        <v>832</v>
      </c>
      <c r="AW5999" t="s">
        <v>279</v>
      </c>
      <c r="AX5999" t="s">
        <v>46897</v>
      </c>
    </row>
    <row r="6000" spans="1:50">
      <c r="A6000" s="1">
        <f>HYPERLINK("https://lsnyc.legalserver.org/matter/dynamic-profile/view/1887643","19-1887643")</f>
        <v>0</v>
      </c>
      <c r="B6000" t="s">
        <v>200</v>
      </c>
      <c r="C6000" t="s">
        <v>340</v>
      </c>
      <c r="D6000" t="s">
        <v>415</v>
      </c>
      <c r="F6000" t="s">
        <v>1282</v>
      </c>
      <c r="G6000" t="s">
        <v>5121</v>
      </c>
      <c r="H6000" t="s">
        <v>13960</v>
      </c>
      <c r="I6000" t="s">
        <v>17387</v>
      </c>
      <c r="J6000" t="s">
        <v>18894</v>
      </c>
      <c r="K6000">
        <v>11208</v>
      </c>
      <c r="L6000" t="s">
        <v>18958</v>
      </c>
      <c r="M6000" t="s">
        <v>18958</v>
      </c>
      <c r="N6000" t="s">
        <v>23330</v>
      </c>
      <c r="O6000" t="s">
        <v>26523</v>
      </c>
      <c r="P6000" t="s">
        <v>26560</v>
      </c>
      <c r="R6000" t="s">
        <v>26578</v>
      </c>
      <c r="S6000" t="s">
        <v>18959</v>
      </c>
      <c r="U6000" t="s">
        <v>26604</v>
      </c>
      <c r="W6000" t="s">
        <v>416</v>
      </c>
      <c r="X6000">
        <v>2000</v>
      </c>
      <c r="Y6000" t="s">
        <v>26652</v>
      </c>
      <c r="Z6000" t="s">
        <v>26664</v>
      </c>
      <c r="AB6000" t="s">
        <v>30457</v>
      </c>
      <c r="AD6000" t="s">
        <v>41602</v>
      </c>
      <c r="AE6000">
        <v>2</v>
      </c>
      <c r="AF6000" t="s">
        <v>45547</v>
      </c>
      <c r="AG6000" t="s">
        <v>45556</v>
      </c>
      <c r="AH6000">
        <v>1</v>
      </c>
      <c r="AI6000">
        <v>2</v>
      </c>
      <c r="AJ6000">
        <v>1</v>
      </c>
      <c r="AK6000">
        <v>173.46</v>
      </c>
      <c r="AN6000" t="s">
        <v>7439</v>
      </c>
      <c r="AO6000">
        <v>36044</v>
      </c>
      <c r="AU6000">
        <v>12.8</v>
      </c>
      <c r="AV6000" t="s">
        <v>819</v>
      </c>
      <c r="AW6000" t="s">
        <v>286</v>
      </c>
    </row>
    <row r="6001" spans="1:50">
      <c r="A6001" s="1">
        <f>HYPERLINK("https://lsnyc.legalserver.org/matter/dynamic-profile/view/1887398","19-1887398")</f>
        <v>0</v>
      </c>
      <c r="B6001" t="s">
        <v>117</v>
      </c>
      <c r="C6001" t="s">
        <v>340</v>
      </c>
      <c r="D6001" t="s">
        <v>458</v>
      </c>
      <c r="F6001" t="s">
        <v>1495</v>
      </c>
      <c r="G6001" t="s">
        <v>3372</v>
      </c>
      <c r="H6001" t="s">
        <v>13961</v>
      </c>
      <c r="I6001">
        <v>2</v>
      </c>
      <c r="J6001" t="s">
        <v>18894</v>
      </c>
      <c r="K6001">
        <v>11233</v>
      </c>
      <c r="L6001" t="s">
        <v>18958</v>
      </c>
      <c r="M6001" t="s">
        <v>18958</v>
      </c>
      <c r="N6001" t="s">
        <v>23331</v>
      </c>
      <c r="O6001" t="s">
        <v>26524</v>
      </c>
      <c r="P6001" t="s">
        <v>26560</v>
      </c>
      <c r="R6001" t="s">
        <v>26578</v>
      </c>
      <c r="S6001" t="s">
        <v>18959</v>
      </c>
      <c r="U6001" t="s">
        <v>26604</v>
      </c>
      <c r="V6001" t="s">
        <v>26610</v>
      </c>
      <c r="W6001" t="s">
        <v>416</v>
      </c>
      <c r="X6001">
        <v>1187</v>
      </c>
      <c r="Y6001" t="s">
        <v>26652</v>
      </c>
      <c r="Z6001" t="s">
        <v>26661</v>
      </c>
      <c r="AB6001" t="s">
        <v>27225</v>
      </c>
      <c r="AC6001">
        <v>805135</v>
      </c>
      <c r="AD6001" t="s">
        <v>41603</v>
      </c>
      <c r="AE6001">
        <v>6</v>
      </c>
      <c r="AF6001" t="s">
        <v>20460</v>
      </c>
      <c r="AG6001" t="s">
        <v>45562</v>
      </c>
      <c r="AH6001">
        <v>3</v>
      </c>
      <c r="AI6001">
        <v>1</v>
      </c>
      <c r="AJ6001">
        <v>0</v>
      </c>
      <c r="AK6001">
        <v>17.56</v>
      </c>
      <c r="AN6001" t="s">
        <v>7439</v>
      </c>
      <c r="AO6001">
        <v>2132</v>
      </c>
      <c r="AP6001" t="s">
        <v>46000</v>
      </c>
      <c r="AU6001">
        <v>19.7</v>
      </c>
      <c r="AV6001" t="s">
        <v>833</v>
      </c>
      <c r="AW6001" t="s">
        <v>279</v>
      </c>
    </row>
    <row r="6002" spans="1:50">
      <c r="A6002" s="1">
        <f>HYPERLINK("https://lsnyc.legalserver.org/matter/dynamic-profile/view/1887928","19-1887928")</f>
        <v>0</v>
      </c>
      <c r="B6002" t="s">
        <v>219</v>
      </c>
      <c r="C6002" t="s">
        <v>340</v>
      </c>
      <c r="D6002" t="s">
        <v>573</v>
      </c>
      <c r="F6002" t="s">
        <v>1080</v>
      </c>
      <c r="G6002" t="s">
        <v>5121</v>
      </c>
      <c r="H6002" t="s">
        <v>13962</v>
      </c>
      <c r="J6002" t="s">
        <v>18894</v>
      </c>
      <c r="K6002">
        <v>11206</v>
      </c>
      <c r="L6002" t="s">
        <v>18958</v>
      </c>
      <c r="M6002" t="s">
        <v>18958</v>
      </c>
      <c r="O6002" t="s">
        <v>26523</v>
      </c>
      <c r="P6002" t="s">
        <v>26564</v>
      </c>
      <c r="R6002" t="s">
        <v>26578</v>
      </c>
      <c r="S6002" t="s">
        <v>18959</v>
      </c>
      <c r="U6002" t="s">
        <v>26604</v>
      </c>
      <c r="W6002" t="s">
        <v>416</v>
      </c>
      <c r="X6002">
        <v>1199.56</v>
      </c>
      <c r="Y6002" t="s">
        <v>26652</v>
      </c>
      <c r="AB6002" t="s">
        <v>31395</v>
      </c>
      <c r="AD6002" t="s">
        <v>41604</v>
      </c>
      <c r="AE6002">
        <v>0</v>
      </c>
      <c r="AH6002">
        <v>11</v>
      </c>
      <c r="AI6002">
        <v>2</v>
      </c>
      <c r="AJ6002">
        <v>1</v>
      </c>
      <c r="AK6002">
        <v>173.24</v>
      </c>
      <c r="AN6002" t="s">
        <v>7439</v>
      </c>
      <c r="AO6002">
        <v>36000</v>
      </c>
      <c r="AU6002">
        <v>0.6</v>
      </c>
      <c r="AV6002" t="s">
        <v>729</v>
      </c>
      <c r="AW6002" t="s">
        <v>219</v>
      </c>
    </row>
    <row r="6003" spans="1:50">
      <c r="A6003" s="1">
        <f>HYPERLINK("https://lsnyc.legalserver.org/matter/dynamic-profile/view/1887902","19-1887902")</f>
        <v>0</v>
      </c>
      <c r="B6003" t="s">
        <v>227</v>
      </c>
      <c r="C6003" t="s">
        <v>340</v>
      </c>
      <c r="D6003" t="s">
        <v>573</v>
      </c>
      <c r="F6003" t="s">
        <v>1771</v>
      </c>
      <c r="G6003" t="s">
        <v>5447</v>
      </c>
      <c r="H6003" t="s">
        <v>13963</v>
      </c>
      <c r="I6003" t="s">
        <v>17330</v>
      </c>
      <c r="J6003" t="s">
        <v>18894</v>
      </c>
      <c r="K6003">
        <v>11221</v>
      </c>
      <c r="L6003" t="s">
        <v>18958</v>
      </c>
      <c r="M6003" t="s">
        <v>18960</v>
      </c>
      <c r="N6003" t="s">
        <v>23332</v>
      </c>
      <c r="O6003" t="s">
        <v>26523</v>
      </c>
      <c r="R6003" t="s">
        <v>26588</v>
      </c>
      <c r="U6003" t="s">
        <v>26604</v>
      </c>
      <c r="W6003" t="s">
        <v>416</v>
      </c>
      <c r="X6003">
        <v>829</v>
      </c>
      <c r="Y6003" t="s">
        <v>26652</v>
      </c>
      <c r="Z6003" t="s">
        <v>26669</v>
      </c>
      <c r="AB6003" t="s">
        <v>31396</v>
      </c>
      <c r="AD6003" t="s">
        <v>41605</v>
      </c>
      <c r="AE6003">
        <v>6</v>
      </c>
      <c r="AG6003" t="s">
        <v>45559</v>
      </c>
      <c r="AH6003">
        <v>25</v>
      </c>
      <c r="AI6003">
        <v>3</v>
      </c>
      <c r="AJ6003">
        <v>0</v>
      </c>
      <c r="AK6003">
        <v>131.09</v>
      </c>
      <c r="AN6003" t="s">
        <v>7439</v>
      </c>
      <c r="AO6003">
        <v>27240</v>
      </c>
      <c r="AU6003">
        <v>12.1</v>
      </c>
      <c r="AV6003" t="s">
        <v>720</v>
      </c>
      <c r="AW6003" t="s">
        <v>46853</v>
      </c>
    </row>
    <row r="6004" spans="1:50">
      <c r="A6004" s="1">
        <f>HYPERLINK("https://lsnyc.legalserver.org/matter/dynamic-profile/view/1888400","19-1888400")</f>
        <v>0</v>
      </c>
      <c r="B6004" t="s">
        <v>167</v>
      </c>
      <c r="C6004" t="s">
        <v>340</v>
      </c>
      <c r="D6004" t="s">
        <v>727</v>
      </c>
      <c r="F6004" t="s">
        <v>980</v>
      </c>
      <c r="G6004" t="s">
        <v>6855</v>
      </c>
      <c r="H6004" t="s">
        <v>13964</v>
      </c>
      <c r="I6004" t="s">
        <v>17897</v>
      </c>
      <c r="J6004" t="s">
        <v>18894</v>
      </c>
      <c r="K6004">
        <v>11209</v>
      </c>
      <c r="L6004" t="s">
        <v>18958</v>
      </c>
      <c r="M6004" t="s">
        <v>18958</v>
      </c>
      <c r="N6004" t="s">
        <v>23333</v>
      </c>
      <c r="O6004" t="s">
        <v>26523</v>
      </c>
      <c r="P6004" t="s">
        <v>26560</v>
      </c>
      <c r="R6004" t="s">
        <v>26586</v>
      </c>
      <c r="S6004" t="s">
        <v>18958</v>
      </c>
      <c r="U6004" t="s">
        <v>26604</v>
      </c>
      <c r="W6004" t="s">
        <v>416</v>
      </c>
      <c r="X6004">
        <v>2300</v>
      </c>
      <c r="Y6004" t="s">
        <v>26652</v>
      </c>
      <c r="Z6004" t="s">
        <v>26668</v>
      </c>
      <c r="AB6004" t="s">
        <v>31397</v>
      </c>
      <c r="AD6004" t="s">
        <v>41606</v>
      </c>
      <c r="AE6004">
        <v>50</v>
      </c>
      <c r="AF6004" t="s">
        <v>45541</v>
      </c>
      <c r="AH6004">
        <v>3</v>
      </c>
      <c r="AI6004">
        <v>2</v>
      </c>
      <c r="AJ6004">
        <v>1</v>
      </c>
      <c r="AK6004">
        <v>121.27</v>
      </c>
      <c r="AN6004" t="s">
        <v>7439</v>
      </c>
      <c r="AO6004">
        <v>25200</v>
      </c>
      <c r="AU6004">
        <v>12.9</v>
      </c>
      <c r="AV6004" t="s">
        <v>416</v>
      </c>
      <c r="AW6004" t="s">
        <v>323</v>
      </c>
    </row>
    <row r="6005" spans="1:50">
      <c r="A6005" s="1">
        <f>HYPERLINK("https://lsnyc.legalserver.org/matter/dynamic-profile/view/1888712","19-1888712")</f>
        <v>0</v>
      </c>
      <c r="B6005" t="s">
        <v>62</v>
      </c>
      <c r="C6005" t="s">
        <v>340</v>
      </c>
      <c r="D6005" t="s">
        <v>698</v>
      </c>
      <c r="F6005" t="s">
        <v>2239</v>
      </c>
      <c r="G6005" t="s">
        <v>7857</v>
      </c>
      <c r="H6005" t="s">
        <v>10935</v>
      </c>
      <c r="I6005" t="s">
        <v>17820</v>
      </c>
      <c r="J6005" t="s">
        <v>18893</v>
      </c>
      <c r="K6005">
        <v>10002</v>
      </c>
      <c r="L6005" t="s">
        <v>18958</v>
      </c>
      <c r="M6005" t="s">
        <v>18958</v>
      </c>
      <c r="O6005" t="s">
        <v>26523</v>
      </c>
      <c r="P6005" t="s">
        <v>26560</v>
      </c>
      <c r="R6005" t="s">
        <v>26582</v>
      </c>
      <c r="S6005" t="s">
        <v>18959</v>
      </c>
      <c r="U6005" t="s">
        <v>26605</v>
      </c>
      <c r="W6005" t="s">
        <v>416</v>
      </c>
      <c r="X6005">
        <v>450</v>
      </c>
      <c r="Y6005" t="s">
        <v>26651</v>
      </c>
      <c r="Z6005" t="s">
        <v>26664</v>
      </c>
      <c r="AB6005" t="s">
        <v>30792</v>
      </c>
      <c r="AC6005" t="s">
        <v>36086</v>
      </c>
      <c r="AD6005" t="s">
        <v>41607</v>
      </c>
      <c r="AE6005">
        <v>0</v>
      </c>
      <c r="AF6005" t="s">
        <v>45549</v>
      </c>
      <c r="AG6005" t="s">
        <v>19330</v>
      </c>
      <c r="AH6005">
        <v>-1</v>
      </c>
      <c r="AI6005">
        <v>2</v>
      </c>
      <c r="AJ6005">
        <v>0</v>
      </c>
      <c r="AK6005">
        <v>153.76</v>
      </c>
      <c r="AN6005" t="s">
        <v>7439</v>
      </c>
      <c r="AO6005">
        <v>26000</v>
      </c>
      <c r="AU6005">
        <v>8</v>
      </c>
      <c r="AV6005" t="s">
        <v>770</v>
      </c>
      <c r="AW6005" t="s">
        <v>314</v>
      </c>
    </row>
    <row r="6006" spans="1:50">
      <c r="A6006" s="1">
        <f>HYPERLINK("https://lsnyc.legalserver.org/matter/dynamic-profile/view/1889120","19-1889120")</f>
        <v>0</v>
      </c>
      <c r="B6006" t="s">
        <v>230</v>
      </c>
      <c r="C6006" t="s">
        <v>341</v>
      </c>
      <c r="D6006" t="s">
        <v>693</v>
      </c>
      <c r="E6006" t="s">
        <v>830</v>
      </c>
      <c r="F6006" t="s">
        <v>2908</v>
      </c>
      <c r="G6006" t="s">
        <v>5611</v>
      </c>
      <c r="H6006" t="s">
        <v>12606</v>
      </c>
      <c r="I6006" t="s">
        <v>17356</v>
      </c>
      <c r="J6006" t="s">
        <v>18894</v>
      </c>
      <c r="K6006">
        <v>11226</v>
      </c>
      <c r="L6006" t="s">
        <v>18958</v>
      </c>
      <c r="M6006" t="s">
        <v>18958</v>
      </c>
      <c r="N6006" t="s">
        <v>23334</v>
      </c>
      <c r="O6006" t="s">
        <v>26523</v>
      </c>
      <c r="P6006" t="s">
        <v>26560</v>
      </c>
      <c r="Q6006" t="s">
        <v>26568</v>
      </c>
      <c r="R6006" t="s">
        <v>26588</v>
      </c>
      <c r="S6006" t="s">
        <v>18959</v>
      </c>
      <c r="U6006" t="s">
        <v>26604</v>
      </c>
      <c r="V6006" t="s">
        <v>26610</v>
      </c>
      <c r="W6006" t="s">
        <v>416</v>
      </c>
      <c r="X6006">
        <v>1108</v>
      </c>
      <c r="Y6006" t="s">
        <v>26652</v>
      </c>
      <c r="Z6006" t="s">
        <v>26664</v>
      </c>
      <c r="AA6006" t="s">
        <v>26678</v>
      </c>
      <c r="AB6006" t="s">
        <v>30104</v>
      </c>
      <c r="AE6006">
        <v>43</v>
      </c>
      <c r="AF6006" t="s">
        <v>20460</v>
      </c>
      <c r="AG6006" t="s">
        <v>19330</v>
      </c>
      <c r="AH6006">
        <v>14</v>
      </c>
      <c r="AI6006">
        <v>1</v>
      </c>
      <c r="AJ6006">
        <v>1</v>
      </c>
      <c r="AK6006">
        <v>266.11</v>
      </c>
      <c r="AN6006" t="s">
        <v>7439</v>
      </c>
      <c r="AO6006">
        <v>45000</v>
      </c>
      <c r="AS6006" t="s">
        <v>46499</v>
      </c>
      <c r="AU6006">
        <v>34</v>
      </c>
      <c r="AV6006" t="s">
        <v>767</v>
      </c>
      <c r="AW6006" t="s">
        <v>46862</v>
      </c>
    </row>
    <row r="6007" spans="1:50">
      <c r="A6007" s="1">
        <f>HYPERLINK("https://lsnyc.legalserver.org/matter/dynamic-profile/view/1889261","19-1889261")</f>
        <v>0</v>
      </c>
      <c r="B6007" t="s">
        <v>169</v>
      </c>
      <c r="C6007" t="s">
        <v>340</v>
      </c>
      <c r="D6007" t="s">
        <v>693</v>
      </c>
      <c r="F6007" t="s">
        <v>3550</v>
      </c>
      <c r="G6007" t="s">
        <v>1725</v>
      </c>
      <c r="H6007" t="s">
        <v>10149</v>
      </c>
      <c r="I6007" t="s">
        <v>18305</v>
      </c>
      <c r="J6007" t="s">
        <v>18892</v>
      </c>
      <c r="K6007">
        <v>10458</v>
      </c>
      <c r="L6007" t="s">
        <v>18958</v>
      </c>
      <c r="M6007" t="s">
        <v>18958</v>
      </c>
      <c r="N6007" t="s">
        <v>23335</v>
      </c>
      <c r="O6007" t="s">
        <v>26526</v>
      </c>
      <c r="P6007" t="s">
        <v>26560</v>
      </c>
      <c r="R6007" t="s">
        <v>26578</v>
      </c>
      <c r="S6007" t="s">
        <v>18958</v>
      </c>
      <c r="U6007" t="s">
        <v>26604</v>
      </c>
      <c r="W6007" t="s">
        <v>416</v>
      </c>
      <c r="X6007">
        <v>1122.95</v>
      </c>
      <c r="Y6007" t="s">
        <v>26650</v>
      </c>
      <c r="Z6007" t="s">
        <v>26663</v>
      </c>
      <c r="AB6007" t="s">
        <v>31398</v>
      </c>
      <c r="AD6007" t="s">
        <v>41608</v>
      </c>
      <c r="AE6007">
        <v>142</v>
      </c>
      <c r="AF6007" t="s">
        <v>45541</v>
      </c>
      <c r="AG6007" t="s">
        <v>19330</v>
      </c>
      <c r="AH6007">
        <v>6</v>
      </c>
      <c r="AI6007">
        <v>2</v>
      </c>
      <c r="AJ6007">
        <v>2</v>
      </c>
      <c r="AK6007">
        <v>100.97</v>
      </c>
      <c r="AN6007" t="s">
        <v>45581</v>
      </c>
      <c r="AO6007">
        <v>26000</v>
      </c>
      <c r="AU6007">
        <v>2.15</v>
      </c>
      <c r="AV6007" t="s">
        <v>741</v>
      </c>
      <c r="AW6007" t="s">
        <v>261</v>
      </c>
    </row>
    <row r="6008" spans="1:50">
      <c r="A6008" s="1">
        <f>HYPERLINK("https://lsnyc.legalserver.org/matter/dynamic-profile/view/1889220","19-1889220")</f>
        <v>0</v>
      </c>
      <c r="B6008" t="s">
        <v>199</v>
      </c>
      <c r="C6008" t="s">
        <v>340</v>
      </c>
      <c r="D6008" t="s">
        <v>693</v>
      </c>
      <c r="F6008" t="s">
        <v>1454</v>
      </c>
      <c r="G6008" t="s">
        <v>7346</v>
      </c>
      <c r="H6008" t="s">
        <v>12606</v>
      </c>
      <c r="J6008" t="s">
        <v>18894</v>
      </c>
      <c r="K6008">
        <v>11226</v>
      </c>
      <c r="L6008" t="s">
        <v>18958</v>
      </c>
      <c r="M6008" t="s">
        <v>18958</v>
      </c>
      <c r="N6008" t="s">
        <v>21891</v>
      </c>
      <c r="O6008" t="s">
        <v>26534</v>
      </c>
      <c r="P6008" t="s">
        <v>26561</v>
      </c>
      <c r="R6008" t="s">
        <v>26578</v>
      </c>
      <c r="S6008" t="s">
        <v>18958</v>
      </c>
      <c r="U6008" t="s">
        <v>26604</v>
      </c>
      <c r="W6008" t="s">
        <v>416</v>
      </c>
      <c r="X6008">
        <v>2937</v>
      </c>
      <c r="Y6008" t="s">
        <v>26652</v>
      </c>
      <c r="Z6008" t="s">
        <v>26661</v>
      </c>
      <c r="AB6008" t="s">
        <v>30460</v>
      </c>
      <c r="AD6008" t="s">
        <v>40632</v>
      </c>
      <c r="AE6008">
        <v>43</v>
      </c>
      <c r="AF6008" t="s">
        <v>45541</v>
      </c>
      <c r="AH6008">
        <v>3</v>
      </c>
      <c r="AI6008">
        <v>2</v>
      </c>
      <c r="AJ6008">
        <v>1</v>
      </c>
      <c r="AK6008">
        <v>761.84</v>
      </c>
      <c r="AN6008" t="s">
        <v>7439</v>
      </c>
      <c r="AO6008">
        <v>162500</v>
      </c>
      <c r="AQ6008" t="s">
        <v>46359</v>
      </c>
      <c r="AU6008">
        <v>0.1</v>
      </c>
      <c r="AV6008" t="s">
        <v>816</v>
      </c>
      <c r="AW6008" t="s">
        <v>219</v>
      </c>
      <c r="AX6008" t="s">
        <v>46897</v>
      </c>
    </row>
    <row r="6009" spans="1:50">
      <c r="A6009" s="1">
        <f>HYPERLINK("https://lsnyc.legalserver.org/matter/dynamic-profile/view/1889089","19-1889089")</f>
        <v>0</v>
      </c>
      <c r="B6009" t="s">
        <v>125</v>
      </c>
      <c r="C6009" t="s">
        <v>341</v>
      </c>
      <c r="D6009" t="s">
        <v>694</v>
      </c>
      <c r="E6009" t="s">
        <v>826</v>
      </c>
      <c r="F6009" t="s">
        <v>1641</v>
      </c>
      <c r="G6009" t="s">
        <v>3503</v>
      </c>
      <c r="H6009" t="s">
        <v>13965</v>
      </c>
      <c r="J6009" t="s">
        <v>18894</v>
      </c>
      <c r="K6009">
        <v>11233</v>
      </c>
      <c r="L6009" t="s">
        <v>18958</v>
      </c>
      <c r="M6009" t="s">
        <v>18958</v>
      </c>
      <c r="N6009" t="s">
        <v>23336</v>
      </c>
      <c r="O6009" t="s">
        <v>26523</v>
      </c>
      <c r="P6009" t="s">
        <v>26564</v>
      </c>
      <c r="Q6009" t="s">
        <v>26570</v>
      </c>
      <c r="R6009" t="s">
        <v>26578</v>
      </c>
      <c r="S6009" t="s">
        <v>18959</v>
      </c>
      <c r="U6009" t="s">
        <v>26604</v>
      </c>
      <c r="V6009" t="s">
        <v>26610</v>
      </c>
      <c r="W6009" t="s">
        <v>416</v>
      </c>
      <c r="X6009">
        <v>2000</v>
      </c>
      <c r="Y6009" t="s">
        <v>26652</v>
      </c>
      <c r="Z6009" t="s">
        <v>26664</v>
      </c>
      <c r="AA6009" t="s">
        <v>26683</v>
      </c>
      <c r="AB6009" t="s">
        <v>31399</v>
      </c>
      <c r="AC6009" t="s">
        <v>19330</v>
      </c>
      <c r="AD6009" t="s">
        <v>41609</v>
      </c>
      <c r="AE6009">
        <v>3</v>
      </c>
      <c r="AF6009" t="s">
        <v>45547</v>
      </c>
      <c r="AG6009" t="s">
        <v>19330</v>
      </c>
      <c r="AH6009">
        <v>3</v>
      </c>
      <c r="AI6009">
        <v>4</v>
      </c>
      <c r="AJ6009">
        <v>0</v>
      </c>
      <c r="AK6009">
        <v>156.86</v>
      </c>
      <c r="AN6009" t="s">
        <v>7439</v>
      </c>
      <c r="AO6009">
        <v>40392</v>
      </c>
      <c r="AU6009">
        <v>2.5</v>
      </c>
      <c r="AV6009" t="s">
        <v>753</v>
      </c>
      <c r="AW6009" t="s">
        <v>279</v>
      </c>
      <c r="AX6009" t="s">
        <v>46897</v>
      </c>
    </row>
    <row r="6010" spans="1:50">
      <c r="A6010" s="1">
        <f>HYPERLINK("https://lsnyc.legalserver.org/matter/dynamic-profile/view/1889758","19-1889758")</f>
        <v>0</v>
      </c>
      <c r="B6010" t="s">
        <v>253</v>
      </c>
      <c r="C6010" t="s">
        <v>340</v>
      </c>
      <c r="D6010" t="s">
        <v>714</v>
      </c>
      <c r="F6010" t="s">
        <v>1246</v>
      </c>
      <c r="G6010" t="s">
        <v>5479</v>
      </c>
      <c r="H6010" t="s">
        <v>10138</v>
      </c>
      <c r="I6010">
        <v>307</v>
      </c>
      <c r="J6010" t="s">
        <v>18892</v>
      </c>
      <c r="K6010">
        <v>10457</v>
      </c>
      <c r="L6010" t="s">
        <v>18958</v>
      </c>
      <c r="M6010" t="s">
        <v>18958</v>
      </c>
      <c r="N6010" t="s">
        <v>23337</v>
      </c>
      <c r="O6010" t="s">
        <v>26523</v>
      </c>
      <c r="P6010" t="s">
        <v>26560</v>
      </c>
      <c r="R6010" t="s">
        <v>26579</v>
      </c>
      <c r="U6010" t="s">
        <v>26604</v>
      </c>
      <c r="V6010" t="s">
        <v>26612</v>
      </c>
      <c r="W6010" t="s">
        <v>416</v>
      </c>
      <c r="X6010">
        <v>1000</v>
      </c>
      <c r="Y6010" t="s">
        <v>26650</v>
      </c>
      <c r="Z6010" t="s">
        <v>26661</v>
      </c>
      <c r="AB6010" t="s">
        <v>27228</v>
      </c>
      <c r="AD6010" t="s">
        <v>37302</v>
      </c>
      <c r="AE6010">
        <v>0</v>
      </c>
      <c r="AF6010" t="s">
        <v>45541</v>
      </c>
      <c r="AG6010" t="s">
        <v>45563</v>
      </c>
      <c r="AH6010">
        <v>6</v>
      </c>
      <c r="AI6010">
        <v>1</v>
      </c>
      <c r="AJ6010">
        <v>0</v>
      </c>
      <c r="AK6010">
        <v>328.26</v>
      </c>
      <c r="AL6010" t="s">
        <v>781</v>
      </c>
      <c r="AM6010" t="s">
        <v>45575</v>
      </c>
      <c r="AN6010" t="s">
        <v>7439</v>
      </c>
      <c r="AO6010">
        <v>41000</v>
      </c>
      <c r="AP6010" t="s">
        <v>46001</v>
      </c>
      <c r="AU6010">
        <v>33.75</v>
      </c>
      <c r="AV6010" t="s">
        <v>833</v>
      </c>
      <c r="AW6010" t="s">
        <v>46842</v>
      </c>
    </row>
    <row r="6011" spans="1:50">
      <c r="A6011" s="1">
        <f>HYPERLINK("https://lsnyc.legalserver.org/matter/dynamic-profile/view/1889921","19-1889921")</f>
        <v>0</v>
      </c>
      <c r="B6011" t="s">
        <v>170</v>
      </c>
      <c r="C6011" t="s">
        <v>341</v>
      </c>
      <c r="D6011" t="s">
        <v>744</v>
      </c>
      <c r="E6011" t="s">
        <v>838</v>
      </c>
      <c r="F6011" t="s">
        <v>1377</v>
      </c>
      <c r="G6011" t="s">
        <v>989</v>
      </c>
      <c r="H6011" t="s">
        <v>13966</v>
      </c>
      <c r="I6011" t="s">
        <v>17509</v>
      </c>
      <c r="J6011" t="s">
        <v>18894</v>
      </c>
      <c r="K6011">
        <v>11221</v>
      </c>
      <c r="L6011" t="s">
        <v>18958</v>
      </c>
      <c r="M6011" t="s">
        <v>18958</v>
      </c>
      <c r="N6011" t="s">
        <v>23338</v>
      </c>
      <c r="O6011" t="s">
        <v>26523</v>
      </c>
      <c r="P6011" t="s">
        <v>26560</v>
      </c>
      <c r="Q6011" t="s">
        <v>26568</v>
      </c>
      <c r="R6011" t="s">
        <v>26588</v>
      </c>
      <c r="U6011" t="s">
        <v>26604</v>
      </c>
      <c r="W6011" t="s">
        <v>416</v>
      </c>
      <c r="X6011">
        <v>1060</v>
      </c>
      <c r="Y6011" t="s">
        <v>26652</v>
      </c>
      <c r="Z6011" t="s">
        <v>26669</v>
      </c>
      <c r="AA6011" t="s">
        <v>26678</v>
      </c>
      <c r="AB6011" t="s">
        <v>31400</v>
      </c>
      <c r="AE6011">
        <v>8</v>
      </c>
      <c r="AH6011">
        <v>9</v>
      </c>
      <c r="AI6011">
        <v>2</v>
      </c>
      <c r="AJ6011">
        <v>0</v>
      </c>
      <c r="AK6011">
        <v>141.93</v>
      </c>
      <c r="AO6011">
        <v>24000</v>
      </c>
      <c r="AS6011" t="s">
        <v>46499</v>
      </c>
      <c r="AU6011">
        <v>4.7</v>
      </c>
      <c r="AV6011" t="s">
        <v>795</v>
      </c>
      <c r="AW6011" t="s">
        <v>46862</v>
      </c>
    </row>
    <row r="6012" spans="1:50">
      <c r="A6012" s="1">
        <f>HYPERLINK("https://lsnyc.legalserver.org/matter/dynamic-profile/view/1890108","19-1890108")</f>
        <v>0</v>
      </c>
      <c r="B6012" t="s">
        <v>200</v>
      </c>
      <c r="C6012" t="s">
        <v>341</v>
      </c>
      <c r="D6012" t="s">
        <v>710</v>
      </c>
      <c r="E6012" t="s">
        <v>416</v>
      </c>
      <c r="F6012" t="s">
        <v>1366</v>
      </c>
      <c r="G6012" t="s">
        <v>7858</v>
      </c>
      <c r="H6012" t="s">
        <v>13967</v>
      </c>
      <c r="I6012" t="s">
        <v>17430</v>
      </c>
      <c r="J6012" t="s">
        <v>18894</v>
      </c>
      <c r="K6012">
        <v>11207</v>
      </c>
      <c r="L6012" t="s">
        <v>18958</v>
      </c>
      <c r="M6012" t="s">
        <v>18958</v>
      </c>
      <c r="N6012" t="s">
        <v>23339</v>
      </c>
      <c r="O6012" t="s">
        <v>26524</v>
      </c>
      <c r="P6012" t="s">
        <v>26564</v>
      </c>
      <c r="Q6012" t="s">
        <v>26570</v>
      </c>
      <c r="R6012" t="s">
        <v>26578</v>
      </c>
      <c r="S6012" t="s">
        <v>18959</v>
      </c>
      <c r="U6012" t="s">
        <v>26604</v>
      </c>
      <c r="W6012" t="s">
        <v>416</v>
      </c>
      <c r="X6012">
        <v>500</v>
      </c>
      <c r="Y6012" t="s">
        <v>26652</v>
      </c>
      <c r="Z6012" t="s">
        <v>26666</v>
      </c>
      <c r="AA6012" t="s">
        <v>26683</v>
      </c>
      <c r="AB6012" t="s">
        <v>31401</v>
      </c>
      <c r="AD6012" t="s">
        <v>41610</v>
      </c>
      <c r="AE6012">
        <v>2</v>
      </c>
      <c r="AF6012" t="s">
        <v>45547</v>
      </c>
      <c r="AG6012" t="s">
        <v>19330</v>
      </c>
      <c r="AH6012">
        <v>2</v>
      </c>
      <c r="AI6012">
        <v>1</v>
      </c>
      <c r="AJ6012">
        <v>0</v>
      </c>
      <c r="AK6012">
        <v>240.19</v>
      </c>
      <c r="AN6012" t="s">
        <v>7439</v>
      </c>
      <c r="AO6012">
        <v>30000</v>
      </c>
      <c r="AU6012">
        <v>1.4</v>
      </c>
      <c r="AV6012" t="s">
        <v>416</v>
      </c>
      <c r="AW6012" t="s">
        <v>286</v>
      </c>
    </row>
    <row r="6013" spans="1:50">
      <c r="A6013" s="1">
        <f>HYPERLINK("https://lsnyc.legalserver.org/matter/dynamic-profile/view/1890398","19-1890398")</f>
        <v>0</v>
      </c>
      <c r="B6013" t="s">
        <v>94</v>
      </c>
      <c r="C6013" t="s">
        <v>341</v>
      </c>
      <c r="D6013" t="s">
        <v>690</v>
      </c>
      <c r="E6013" t="s">
        <v>690</v>
      </c>
      <c r="F6013" t="s">
        <v>2120</v>
      </c>
      <c r="G6013" t="s">
        <v>5685</v>
      </c>
      <c r="H6013" t="s">
        <v>13968</v>
      </c>
      <c r="I6013">
        <v>26</v>
      </c>
      <c r="J6013" t="s">
        <v>18893</v>
      </c>
      <c r="K6013">
        <v>10009</v>
      </c>
      <c r="L6013" t="s">
        <v>18958</v>
      </c>
      <c r="M6013" t="s">
        <v>18958</v>
      </c>
      <c r="N6013" t="s">
        <v>23340</v>
      </c>
      <c r="O6013" t="s">
        <v>26524</v>
      </c>
      <c r="P6013" t="s">
        <v>26564</v>
      </c>
      <c r="Q6013" t="s">
        <v>26570</v>
      </c>
      <c r="R6013" t="s">
        <v>26582</v>
      </c>
      <c r="S6013" t="s">
        <v>18959</v>
      </c>
      <c r="U6013" t="s">
        <v>26604</v>
      </c>
      <c r="W6013" t="s">
        <v>416</v>
      </c>
      <c r="X6013">
        <v>1133.58</v>
      </c>
      <c r="Y6013" t="s">
        <v>26651</v>
      </c>
      <c r="Z6013" t="s">
        <v>26664</v>
      </c>
      <c r="AA6013" t="s">
        <v>26683</v>
      </c>
      <c r="AB6013" t="s">
        <v>30413</v>
      </c>
      <c r="AC6013" t="s">
        <v>36087</v>
      </c>
      <c r="AD6013" t="s">
        <v>41611</v>
      </c>
      <c r="AE6013">
        <v>0</v>
      </c>
      <c r="AF6013" t="s">
        <v>20460</v>
      </c>
      <c r="AG6013" t="s">
        <v>19330</v>
      </c>
      <c r="AH6013">
        <v>35</v>
      </c>
      <c r="AI6013">
        <v>1</v>
      </c>
      <c r="AJ6013">
        <v>0</v>
      </c>
      <c r="AK6013">
        <v>0</v>
      </c>
      <c r="AN6013" t="s">
        <v>7439</v>
      </c>
      <c r="AO6013">
        <v>0</v>
      </c>
      <c r="AU6013">
        <v>1</v>
      </c>
      <c r="AV6013" t="s">
        <v>690</v>
      </c>
      <c r="AW6013" t="s">
        <v>46875</v>
      </c>
    </row>
    <row r="6014" spans="1:50">
      <c r="A6014" s="1">
        <f>HYPERLINK("https://lsnyc.legalserver.org/matter/dynamic-profile/view/1890418","19-1890418")</f>
        <v>0</v>
      </c>
      <c r="B6014" t="s">
        <v>171</v>
      </c>
      <c r="C6014" t="s">
        <v>341</v>
      </c>
      <c r="D6014" t="s">
        <v>690</v>
      </c>
      <c r="E6014" t="s">
        <v>416</v>
      </c>
      <c r="F6014" t="s">
        <v>2722</v>
      </c>
      <c r="G6014" t="s">
        <v>5606</v>
      </c>
      <c r="H6014" t="s">
        <v>13969</v>
      </c>
      <c r="I6014" t="s">
        <v>18292</v>
      </c>
      <c r="J6014" t="s">
        <v>18893</v>
      </c>
      <c r="K6014">
        <v>10028</v>
      </c>
      <c r="L6014" t="s">
        <v>18958</v>
      </c>
      <c r="M6014" t="s">
        <v>18958</v>
      </c>
      <c r="N6014" t="s">
        <v>23341</v>
      </c>
      <c r="O6014" t="s">
        <v>26524</v>
      </c>
      <c r="P6014" t="s">
        <v>26564</v>
      </c>
      <c r="Q6014" t="s">
        <v>26570</v>
      </c>
      <c r="R6014" t="s">
        <v>26582</v>
      </c>
      <c r="S6014" t="s">
        <v>18959</v>
      </c>
      <c r="U6014" t="s">
        <v>26604</v>
      </c>
      <c r="V6014" t="s">
        <v>26610</v>
      </c>
      <c r="W6014" t="s">
        <v>416</v>
      </c>
      <c r="X6014">
        <v>895</v>
      </c>
      <c r="Y6014" t="s">
        <v>26651</v>
      </c>
      <c r="Z6014" t="s">
        <v>26664</v>
      </c>
      <c r="AA6014" t="s">
        <v>26683</v>
      </c>
      <c r="AB6014" t="s">
        <v>31402</v>
      </c>
      <c r="AD6014" t="s">
        <v>41612</v>
      </c>
      <c r="AE6014">
        <v>0</v>
      </c>
      <c r="AF6014" t="s">
        <v>45541</v>
      </c>
      <c r="AG6014" t="s">
        <v>19330</v>
      </c>
      <c r="AH6014">
        <v>18</v>
      </c>
      <c r="AI6014">
        <v>1</v>
      </c>
      <c r="AJ6014">
        <v>0</v>
      </c>
      <c r="AK6014">
        <v>0</v>
      </c>
      <c r="AN6014" t="s">
        <v>7439</v>
      </c>
      <c r="AO6014">
        <v>0</v>
      </c>
      <c r="AU6014">
        <v>0.1</v>
      </c>
      <c r="AV6014" t="s">
        <v>690</v>
      </c>
      <c r="AW6014" t="s">
        <v>46875</v>
      </c>
    </row>
    <row r="6015" spans="1:50">
      <c r="A6015" s="1">
        <f>HYPERLINK("https://lsnyc.legalserver.org/matter/dynamic-profile/view/1890464","19-1890464")</f>
        <v>0</v>
      </c>
      <c r="B6015" t="s">
        <v>173</v>
      </c>
      <c r="C6015" t="s">
        <v>341</v>
      </c>
      <c r="D6015" t="s">
        <v>690</v>
      </c>
      <c r="E6015" t="s">
        <v>781</v>
      </c>
      <c r="F6015" t="s">
        <v>3551</v>
      </c>
      <c r="G6015" t="s">
        <v>7015</v>
      </c>
      <c r="H6015" t="s">
        <v>13970</v>
      </c>
      <c r="I6015" t="s">
        <v>18306</v>
      </c>
      <c r="J6015" t="s">
        <v>18893</v>
      </c>
      <c r="K6015">
        <v>10009</v>
      </c>
      <c r="L6015" t="s">
        <v>18958</v>
      </c>
      <c r="M6015" t="s">
        <v>18958</v>
      </c>
      <c r="N6015" t="s">
        <v>23342</v>
      </c>
      <c r="O6015" t="s">
        <v>26523</v>
      </c>
      <c r="P6015" t="s">
        <v>26564</v>
      </c>
      <c r="Q6015" t="s">
        <v>26570</v>
      </c>
      <c r="R6015" t="s">
        <v>26582</v>
      </c>
      <c r="S6015" t="s">
        <v>18959</v>
      </c>
      <c r="U6015" t="s">
        <v>26605</v>
      </c>
      <c r="W6015" t="s">
        <v>416</v>
      </c>
      <c r="X6015">
        <v>736</v>
      </c>
      <c r="Y6015" t="s">
        <v>26651</v>
      </c>
      <c r="Z6015" t="s">
        <v>26664</v>
      </c>
      <c r="AA6015" t="s">
        <v>26683</v>
      </c>
      <c r="AB6015" t="s">
        <v>28256</v>
      </c>
      <c r="AC6015" t="s">
        <v>36088</v>
      </c>
      <c r="AD6015" t="s">
        <v>41613</v>
      </c>
      <c r="AE6015">
        <v>0</v>
      </c>
      <c r="AF6015" t="s">
        <v>45549</v>
      </c>
      <c r="AG6015" t="s">
        <v>19330</v>
      </c>
      <c r="AH6015">
        <v>14</v>
      </c>
      <c r="AI6015">
        <v>2</v>
      </c>
      <c r="AJ6015">
        <v>0</v>
      </c>
      <c r="AK6015">
        <v>61.38</v>
      </c>
      <c r="AN6015" t="s">
        <v>26530</v>
      </c>
      <c r="AO6015">
        <v>10380</v>
      </c>
      <c r="AU6015">
        <v>0.25</v>
      </c>
      <c r="AV6015" t="s">
        <v>777</v>
      </c>
      <c r="AW6015" t="s">
        <v>46875</v>
      </c>
    </row>
    <row r="6016" spans="1:50">
      <c r="A6016" s="1">
        <f>HYPERLINK("https://lsnyc.legalserver.org/matter/dynamic-profile/view/1890443","19-1890443")</f>
        <v>0</v>
      </c>
      <c r="B6016" t="s">
        <v>140</v>
      </c>
      <c r="C6016" t="s">
        <v>340</v>
      </c>
      <c r="D6016" t="s">
        <v>690</v>
      </c>
      <c r="F6016" t="s">
        <v>886</v>
      </c>
      <c r="G6016" t="s">
        <v>7859</v>
      </c>
      <c r="H6016" t="s">
        <v>13971</v>
      </c>
      <c r="I6016" t="s">
        <v>17361</v>
      </c>
      <c r="J6016" t="s">
        <v>18894</v>
      </c>
      <c r="K6016">
        <v>11226</v>
      </c>
      <c r="L6016" t="s">
        <v>18958</v>
      </c>
      <c r="M6016" t="s">
        <v>18958</v>
      </c>
      <c r="N6016" t="s">
        <v>23343</v>
      </c>
      <c r="O6016" t="s">
        <v>26523</v>
      </c>
      <c r="P6016" t="s">
        <v>26560</v>
      </c>
      <c r="R6016" t="s">
        <v>26588</v>
      </c>
      <c r="S6016" t="s">
        <v>18959</v>
      </c>
      <c r="U6016" t="s">
        <v>26604</v>
      </c>
      <c r="V6016" t="s">
        <v>26611</v>
      </c>
      <c r="W6016" t="s">
        <v>416</v>
      </c>
      <c r="X6016">
        <v>2448</v>
      </c>
      <c r="Y6016" t="s">
        <v>26652</v>
      </c>
      <c r="Z6016" t="s">
        <v>26664</v>
      </c>
      <c r="AB6016" t="s">
        <v>31403</v>
      </c>
      <c r="AD6016" t="s">
        <v>41614</v>
      </c>
      <c r="AE6016">
        <v>97</v>
      </c>
      <c r="AF6016" t="s">
        <v>45541</v>
      </c>
      <c r="AG6016" t="s">
        <v>19330</v>
      </c>
      <c r="AH6016">
        <v>4</v>
      </c>
      <c r="AI6016">
        <v>3</v>
      </c>
      <c r="AJ6016">
        <v>2</v>
      </c>
      <c r="AK6016">
        <v>215.45</v>
      </c>
      <c r="AN6016" t="s">
        <v>7439</v>
      </c>
      <c r="AO6016">
        <v>65000</v>
      </c>
      <c r="AU6016">
        <v>32.5</v>
      </c>
      <c r="AV6016" t="s">
        <v>831</v>
      </c>
      <c r="AW6016" t="s">
        <v>46862</v>
      </c>
      <c r="AX6016" t="s">
        <v>46897</v>
      </c>
    </row>
    <row r="6017" spans="1:50">
      <c r="A6017" s="1">
        <f>HYPERLINK("https://lsnyc.legalserver.org/matter/dynamic-profile/view/1890831","19-1890831")</f>
        <v>0</v>
      </c>
      <c r="B6017" t="s">
        <v>200</v>
      </c>
      <c r="C6017" t="s">
        <v>340</v>
      </c>
      <c r="D6017" t="s">
        <v>731</v>
      </c>
      <c r="F6017" t="s">
        <v>1827</v>
      </c>
      <c r="G6017" t="s">
        <v>7860</v>
      </c>
      <c r="H6017" t="s">
        <v>13972</v>
      </c>
      <c r="I6017" t="s">
        <v>17316</v>
      </c>
      <c r="J6017" t="s">
        <v>18894</v>
      </c>
      <c r="K6017">
        <v>11207</v>
      </c>
      <c r="L6017" t="s">
        <v>18958</v>
      </c>
      <c r="M6017" t="s">
        <v>18958</v>
      </c>
      <c r="N6017" t="s">
        <v>23344</v>
      </c>
      <c r="O6017" t="s">
        <v>26523</v>
      </c>
      <c r="P6017" t="s">
        <v>26560</v>
      </c>
      <c r="R6017" t="s">
        <v>26578</v>
      </c>
      <c r="S6017" t="s">
        <v>18959</v>
      </c>
      <c r="U6017" t="s">
        <v>26604</v>
      </c>
      <c r="W6017" t="s">
        <v>416</v>
      </c>
      <c r="X6017">
        <v>160</v>
      </c>
      <c r="Y6017" t="s">
        <v>26652</v>
      </c>
      <c r="Z6017" t="s">
        <v>26673</v>
      </c>
      <c r="AB6017" t="s">
        <v>31404</v>
      </c>
      <c r="AD6017" t="s">
        <v>41615</v>
      </c>
      <c r="AE6017">
        <v>4</v>
      </c>
      <c r="AF6017" t="s">
        <v>45543</v>
      </c>
      <c r="AH6017">
        <v>14</v>
      </c>
      <c r="AI6017">
        <v>2</v>
      </c>
      <c r="AJ6017">
        <v>0</v>
      </c>
      <c r="AK6017">
        <v>65.29000000000001</v>
      </c>
      <c r="AN6017" t="s">
        <v>45581</v>
      </c>
      <c r="AO6017">
        <v>11040</v>
      </c>
      <c r="AU6017">
        <v>15.65</v>
      </c>
      <c r="AV6017" t="s">
        <v>772</v>
      </c>
      <c r="AW6017" t="s">
        <v>46829</v>
      </c>
    </row>
    <row r="6018" spans="1:50">
      <c r="A6018" s="1">
        <f>HYPERLINK("https://lsnyc.legalserver.org/matter/dynamic-profile/view/1891099","19-1891099")</f>
        <v>0</v>
      </c>
      <c r="B6018" t="s">
        <v>129</v>
      </c>
      <c r="C6018" t="s">
        <v>340</v>
      </c>
      <c r="D6018" t="s">
        <v>740</v>
      </c>
      <c r="F6018" t="s">
        <v>3552</v>
      </c>
      <c r="G6018" t="s">
        <v>7861</v>
      </c>
      <c r="H6018" t="s">
        <v>13973</v>
      </c>
      <c r="I6018">
        <v>3</v>
      </c>
      <c r="J6018" t="s">
        <v>18894</v>
      </c>
      <c r="K6018">
        <v>11216</v>
      </c>
      <c r="L6018" t="s">
        <v>18958</v>
      </c>
      <c r="M6018" t="s">
        <v>18958</v>
      </c>
      <c r="N6018" t="s">
        <v>23345</v>
      </c>
      <c r="O6018" t="s">
        <v>26523</v>
      </c>
      <c r="P6018" t="s">
        <v>26560</v>
      </c>
      <c r="R6018" t="s">
        <v>26588</v>
      </c>
      <c r="U6018" t="s">
        <v>26604</v>
      </c>
      <c r="V6018" t="s">
        <v>26610</v>
      </c>
      <c r="W6018" t="s">
        <v>416</v>
      </c>
      <c r="X6018">
        <v>825</v>
      </c>
      <c r="Y6018" t="s">
        <v>26652</v>
      </c>
      <c r="Z6018" t="s">
        <v>26669</v>
      </c>
      <c r="AB6018" t="s">
        <v>31405</v>
      </c>
      <c r="AD6018" t="s">
        <v>41616</v>
      </c>
      <c r="AE6018">
        <v>8</v>
      </c>
      <c r="AF6018" t="s">
        <v>45541</v>
      </c>
      <c r="AG6018" t="s">
        <v>19330</v>
      </c>
      <c r="AH6018">
        <v>4</v>
      </c>
      <c r="AI6018">
        <v>1</v>
      </c>
      <c r="AJ6018">
        <v>0</v>
      </c>
      <c r="AK6018">
        <v>200.16</v>
      </c>
      <c r="AN6018" t="s">
        <v>7439</v>
      </c>
      <c r="AO6018">
        <v>25000</v>
      </c>
      <c r="AU6018">
        <v>16.75</v>
      </c>
      <c r="AV6018" t="s">
        <v>720</v>
      </c>
      <c r="AW6018" t="s">
        <v>46862</v>
      </c>
    </row>
    <row r="6019" spans="1:50">
      <c r="A6019" s="1">
        <f>HYPERLINK("https://lsnyc.legalserver.org/matter/dynamic-profile/view/1891137","19-1891137")</f>
        <v>0</v>
      </c>
      <c r="B6019" t="s">
        <v>147</v>
      </c>
      <c r="C6019" t="s">
        <v>340</v>
      </c>
      <c r="D6019" t="s">
        <v>507</v>
      </c>
      <c r="F6019" t="s">
        <v>948</v>
      </c>
      <c r="G6019" t="s">
        <v>5761</v>
      </c>
      <c r="H6019" t="s">
        <v>10474</v>
      </c>
      <c r="I6019" t="s">
        <v>18263</v>
      </c>
      <c r="J6019" t="s">
        <v>18894</v>
      </c>
      <c r="K6019">
        <v>11225</v>
      </c>
      <c r="L6019" t="s">
        <v>18958</v>
      </c>
      <c r="M6019" t="s">
        <v>18958</v>
      </c>
      <c r="N6019" t="s">
        <v>23059</v>
      </c>
      <c r="O6019" t="s">
        <v>26534</v>
      </c>
      <c r="P6019" t="s">
        <v>26561</v>
      </c>
      <c r="R6019" t="s">
        <v>26578</v>
      </c>
      <c r="S6019" t="s">
        <v>18958</v>
      </c>
      <c r="U6019" t="s">
        <v>26604</v>
      </c>
      <c r="W6019" t="s">
        <v>416</v>
      </c>
      <c r="X6019">
        <v>1510</v>
      </c>
      <c r="Y6019" t="s">
        <v>26652</v>
      </c>
      <c r="Z6019" t="s">
        <v>26663</v>
      </c>
      <c r="AB6019" t="s">
        <v>31148</v>
      </c>
      <c r="AD6019" t="s">
        <v>41320</v>
      </c>
      <c r="AE6019">
        <v>89</v>
      </c>
      <c r="AF6019" t="s">
        <v>45541</v>
      </c>
      <c r="AH6019">
        <v>5</v>
      </c>
      <c r="AI6019">
        <v>1</v>
      </c>
      <c r="AJ6019">
        <v>0</v>
      </c>
      <c r="AK6019">
        <v>800.64</v>
      </c>
      <c r="AN6019" t="s">
        <v>7439</v>
      </c>
      <c r="AO6019">
        <v>100000</v>
      </c>
      <c r="AU6019">
        <v>0</v>
      </c>
      <c r="AW6019" t="s">
        <v>219</v>
      </c>
    </row>
    <row r="6020" spans="1:50">
      <c r="A6020" s="1">
        <f>HYPERLINK("https://lsnyc.legalserver.org/matter/dynamic-profile/view/1891175","19-1891175")</f>
        <v>0</v>
      </c>
      <c r="B6020" t="s">
        <v>123</v>
      </c>
      <c r="C6020" t="s">
        <v>341</v>
      </c>
      <c r="D6020" t="s">
        <v>756</v>
      </c>
      <c r="E6020" t="s">
        <v>813</v>
      </c>
      <c r="F6020" t="s">
        <v>1120</v>
      </c>
      <c r="G6020" t="s">
        <v>1031</v>
      </c>
      <c r="H6020" t="s">
        <v>13974</v>
      </c>
      <c r="I6020" t="s">
        <v>17273</v>
      </c>
      <c r="J6020" t="s">
        <v>18894</v>
      </c>
      <c r="K6020">
        <v>11230</v>
      </c>
      <c r="L6020" t="s">
        <v>18958</v>
      </c>
      <c r="M6020" t="s">
        <v>18958</v>
      </c>
      <c r="N6020" t="s">
        <v>23346</v>
      </c>
      <c r="O6020" t="s">
        <v>26523</v>
      </c>
      <c r="P6020" t="s">
        <v>26560</v>
      </c>
      <c r="Q6020" t="s">
        <v>26568</v>
      </c>
      <c r="R6020" t="s">
        <v>26586</v>
      </c>
      <c r="U6020" t="s">
        <v>26604</v>
      </c>
      <c r="W6020" t="s">
        <v>416</v>
      </c>
      <c r="X6020">
        <v>1391</v>
      </c>
      <c r="Y6020" t="s">
        <v>26652</v>
      </c>
      <c r="Z6020" t="s">
        <v>26664</v>
      </c>
      <c r="AA6020" t="s">
        <v>26678</v>
      </c>
      <c r="AB6020" t="s">
        <v>31406</v>
      </c>
      <c r="AD6020" t="s">
        <v>41617</v>
      </c>
      <c r="AE6020">
        <v>35</v>
      </c>
      <c r="AG6020" t="s">
        <v>19330</v>
      </c>
      <c r="AH6020">
        <v>9</v>
      </c>
      <c r="AI6020">
        <v>2</v>
      </c>
      <c r="AJ6020">
        <v>3</v>
      </c>
      <c r="AK6020">
        <v>175.67</v>
      </c>
      <c r="AN6020" t="s">
        <v>7439</v>
      </c>
      <c r="AO6020">
        <v>53000</v>
      </c>
      <c r="AR6020" t="s">
        <v>46379</v>
      </c>
      <c r="AS6020" t="s">
        <v>46499</v>
      </c>
      <c r="AT6020" t="s">
        <v>46554</v>
      </c>
      <c r="AU6020">
        <v>6.67</v>
      </c>
      <c r="AV6020" t="s">
        <v>754</v>
      </c>
      <c r="AW6020" t="s">
        <v>46862</v>
      </c>
    </row>
    <row r="6021" spans="1:50">
      <c r="A6021" s="1">
        <f>HYPERLINK("https://lsnyc.legalserver.org/matter/dynamic-profile/view/1891147","19-1891147")</f>
        <v>0</v>
      </c>
      <c r="B6021" t="s">
        <v>123</v>
      </c>
      <c r="C6021" t="s">
        <v>341</v>
      </c>
      <c r="D6021" t="s">
        <v>756</v>
      </c>
      <c r="E6021" t="s">
        <v>813</v>
      </c>
      <c r="F6021" t="s">
        <v>3036</v>
      </c>
      <c r="G6021" t="s">
        <v>5597</v>
      </c>
      <c r="H6021" t="s">
        <v>13971</v>
      </c>
      <c r="I6021" t="s">
        <v>17352</v>
      </c>
      <c r="J6021" t="s">
        <v>18894</v>
      </c>
      <c r="K6021">
        <v>11226</v>
      </c>
      <c r="L6021" t="s">
        <v>18958</v>
      </c>
      <c r="M6021" t="s">
        <v>18958</v>
      </c>
      <c r="N6021" t="s">
        <v>23347</v>
      </c>
      <c r="O6021" t="s">
        <v>26523</v>
      </c>
      <c r="P6021" t="s">
        <v>26560</v>
      </c>
      <c r="Q6021" t="s">
        <v>26568</v>
      </c>
      <c r="R6021" t="s">
        <v>26588</v>
      </c>
      <c r="U6021" t="s">
        <v>26604</v>
      </c>
      <c r="W6021" t="s">
        <v>416</v>
      </c>
      <c r="X6021">
        <v>1423.39</v>
      </c>
      <c r="Y6021" t="s">
        <v>26652</v>
      </c>
      <c r="Z6021" t="s">
        <v>26664</v>
      </c>
      <c r="AA6021" t="s">
        <v>26678</v>
      </c>
      <c r="AB6021" t="s">
        <v>31407</v>
      </c>
      <c r="AD6021" t="s">
        <v>41618</v>
      </c>
      <c r="AE6021">
        <v>97</v>
      </c>
      <c r="AG6021" t="s">
        <v>19330</v>
      </c>
      <c r="AH6021">
        <v>7</v>
      </c>
      <c r="AI6021">
        <v>2</v>
      </c>
      <c r="AJ6021">
        <v>1</v>
      </c>
      <c r="AK6021">
        <v>198.78</v>
      </c>
      <c r="AN6021" t="s">
        <v>8151</v>
      </c>
      <c r="AO6021">
        <v>42400</v>
      </c>
      <c r="AQ6021" t="s">
        <v>46359</v>
      </c>
      <c r="AR6021" t="s">
        <v>46379</v>
      </c>
      <c r="AS6021" t="s">
        <v>46499</v>
      </c>
      <c r="AT6021" t="s">
        <v>46707</v>
      </c>
      <c r="AU6021">
        <v>9.85</v>
      </c>
      <c r="AV6021" t="s">
        <v>784</v>
      </c>
      <c r="AW6021" t="s">
        <v>46862</v>
      </c>
      <c r="AX6021" t="s">
        <v>46897</v>
      </c>
    </row>
    <row r="6022" spans="1:50">
      <c r="A6022" s="1">
        <f>HYPERLINK("https://lsnyc.legalserver.org/matter/dynamic-profile/view/1891257","19-1891257")</f>
        <v>0</v>
      </c>
      <c r="B6022" t="s">
        <v>167</v>
      </c>
      <c r="C6022" t="s">
        <v>340</v>
      </c>
      <c r="D6022" t="s">
        <v>756</v>
      </c>
      <c r="F6022" t="s">
        <v>1233</v>
      </c>
      <c r="G6022" t="s">
        <v>6102</v>
      </c>
      <c r="H6022" t="s">
        <v>13975</v>
      </c>
      <c r="I6022" t="s">
        <v>17331</v>
      </c>
      <c r="J6022" t="s">
        <v>18894</v>
      </c>
      <c r="K6022">
        <v>11212</v>
      </c>
      <c r="L6022" t="s">
        <v>18958</v>
      </c>
      <c r="M6022" t="s">
        <v>18958</v>
      </c>
      <c r="N6022" t="s">
        <v>23348</v>
      </c>
      <c r="O6022" t="s">
        <v>26523</v>
      </c>
      <c r="P6022" t="s">
        <v>26560</v>
      </c>
      <c r="R6022" t="s">
        <v>26588</v>
      </c>
      <c r="U6022" t="s">
        <v>26604</v>
      </c>
      <c r="W6022" t="s">
        <v>416</v>
      </c>
      <c r="X6022">
        <v>900</v>
      </c>
      <c r="Y6022" t="s">
        <v>26652</v>
      </c>
      <c r="Z6022" t="s">
        <v>26669</v>
      </c>
      <c r="AB6022" t="s">
        <v>31408</v>
      </c>
      <c r="AD6022" t="s">
        <v>41619</v>
      </c>
      <c r="AE6022">
        <v>6</v>
      </c>
      <c r="AG6022" t="s">
        <v>19330</v>
      </c>
      <c r="AH6022">
        <v>8</v>
      </c>
      <c r="AI6022">
        <v>2</v>
      </c>
      <c r="AJ6022">
        <v>0</v>
      </c>
      <c r="AK6022">
        <v>126.08</v>
      </c>
      <c r="AO6022">
        <v>21320</v>
      </c>
      <c r="AU6022">
        <v>25</v>
      </c>
      <c r="AV6022" t="s">
        <v>830</v>
      </c>
      <c r="AW6022" t="s">
        <v>46862</v>
      </c>
    </row>
    <row r="6023" spans="1:50">
      <c r="A6023" s="1">
        <f>HYPERLINK("https://lsnyc.legalserver.org/matter/dynamic-profile/view/1891326","19-1891326")</f>
        <v>0</v>
      </c>
      <c r="B6023" t="s">
        <v>151</v>
      </c>
      <c r="C6023" t="s">
        <v>341</v>
      </c>
      <c r="D6023" t="s">
        <v>747</v>
      </c>
      <c r="E6023" t="s">
        <v>777</v>
      </c>
      <c r="F6023" t="s">
        <v>3388</v>
      </c>
      <c r="G6023" t="s">
        <v>7862</v>
      </c>
      <c r="H6023" t="s">
        <v>13976</v>
      </c>
      <c r="I6023" t="s">
        <v>17406</v>
      </c>
      <c r="J6023" t="s">
        <v>18893</v>
      </c>
      <c r="K6023">
        <v>10025</v>
      </c>
      <c r="L6023" t="s">
        <v>18958</v>
      </c>
      <c r="M6023" t="s">
        <v>18958</v>
      </c>
      <c r="N6023" t="s">
        <v>23349</v>
      </c>
      <c r="O6023" t="s">
        <v>26523</v>
      </c>
      <c r="P6023" t="s">
        <v>26564</v>
      </c>
      <c r="Q6023" t="s">
        <v>26570</v>
      </c>
      <c r="R6023" t="s">
        <v>26580</v>
      </c>
      <c r="S6023" t="s">
        <v>18959</v>
      </c>
      <c r="U6023" t="s">
        <v>26604</v>
      </c>
      <c r="V6023" t="s">
        <v>26610</v>
      </c>
      <c r="W6023" t="s">
        <v>416</v>
      </c>
      <c r="X6023">
        <v>1072</v>
      </c>
      <c r="Y6023" t="s">
        <v>26651</v>
      </c>
      <c r="Z6023" t="s">
        <v>26668</v>
      </c>
      <c r="AA6023" t="s">
        <v>26683</v>
      </c>
      <c r="AB6023" t="s">
        <v>31409</v>
      </c>
      <c r="AD6023" t="s">
        <v>41620</v>
      </c>
      <c r="AE6023">
        <v>0</v>
      </c>
      <c r="AF6023" t="s">
        <v>45543</v>
      </c>
      <c r="AG6023" t="s">
        <v>45556</v>
      </c>
      <c r="AH6023">
        <v>8</v>
      </c>
      <c r="AI6023">
        <v>1</v>
      </c>
      <c r="AJ6023">
        <v>0</v>
      </c>
      <c r="AK6023">
        <v>360.29</v>
      </c>
      <c r="AN6023" t="s">
        <v>7439</v>
      </c>
      <c r="AO6023">
        <v>45000</v>
      </c>
      <c r="AU6023">
        <v>1.6</v>
      </c>
      <c r="AV6023" t="s">
        <v>741</v>
      </c>
      <c r="AW6023" t="s">
        <v>46875</v>
      </c>
    </row>
    <row r="6024" spans="1:50">
      <c r="A6024" s="1">
        <f>HYPERLINK("https://lsnyc.legalserver.org/matter/dynamic-profile/view/1891371","19-1891371")</f>
        <v>0</v>
      </c>
      <c r="B6024" t="s">
        <v>232</v>
      </c>
      <c r="C6024" t="s">
        <v>340</v>
      </c>
      <c r="D6024" t="s">
        <v>747</v>
      </c>
      <c r="F6024" t="s">
        <v>3553</v>
      </c>
      <c r="G6024" t="s">
        <v>7863</v>
      </c>
      <c r="H6024" t="s">
        <v>13977</v>
      </c>
      <c r="I6024" t="s">
        <v>17274</v>
      </c>
      <c r="J6024" t="s">
        <v>18894</v>
      </c>
      <c r="K6024">
        <v>11236</v>
      </c>
      <c r="L6024" t="s">
        <v>18958</v>
      </c>
      <c r="M6024" t="s">
        <v>18958</v>
      </c>
      <c r="N6024" t="s">
        <v>23350</v>
      </c>
      <c r="O6024" t="s">
        <v>26523</v>
      </c>
      <c r="P6024" t="s">
        <v>26560</v>
      </c>
      <c r="R6024" t="s">
        <v>26586</v>
      </c>
      <c r="U6024" t="s">
        <v>26605</v>
      </c>
      <c r="W6024" t="s">
        <v>416</v>
      </c>
      <c r="X6024">
        <v>665</v>
      </c>
      <c r="Y6024" t="s">
        <v>26652</v>
      </c>
      <c r="Z6024" t="s">
        <v>26664</v>
      </c>
      <c r="AB6024" t="s">
        <v>31410</v>
      </c>
      <c r="AE6024">
        <v>70</v>
      </c>
      <c r="AH6024">
        <v>2</v>
      </c>
      <c r="AI6024">
        <v>2</v>
      </c>
      <c r="AJ6024">
        <v>1</v>
      </c>
      <c r="AK6024">
        <v>55.22</v>
      </c>
      <c r="AN6024" t="s">
        <v>7439</v>
      </c>
      <c r="AO6024">
        <v>11778</v>
      </c>
      <c r="AU6024">
        <v>14.45</v>
      </c>
      <c r="AV6024" t="s">
        <v>773</v>
      </c>
      <c r="AW6024" t="s">
        <v>46862</v>
      </c>
    </row>
    <row r="6025" spans="1:50">
      <c r="A6025" s="1">
        <f>HYPERLINK("https://lsnyc.legalserver.org/matter/dynamic-profile/view/1891640","19-1891640")</f>
        <v>0</v>
      </c>
      <c r="B6025" t="s">
        <v>203</v>
      </c>
      <c r="C6025" t="s">
        <v>341</v>
      </c>
      <c r="D6025" t="s">
        <v>723</v>
      </c>
      <c r="E6025" t="s">
        <v>835</v>
      </c>
      <c r="F6025" t="s">
        <v>3554</v>
      </c>
      <c r="G6025" t="s">
        <v>7864</v>
      </c>
      <c r="H6025" t="s">
        <v>13039</v>
      </c>
      <c r="I6025" t="s">
        <v>17425</v>
      </c>
      <c r="J6025" t="s">
        <v>18894</v>
      </c>
      <c r="K6025">
        <v>11226</v>
      </c>
      <c r="L6025" t="s">
        <v>18958</v>
      </c>
      <c r="M6025" t="s">
        <v>18958</v>
      </c>
      <c r="N6025" t="s">
        <v>23351</v>
      </c>
      <c r="O6025" t="s">
        <v>26523</v>
      </c>
      <c r="P6025" t="s">
        <v>26560</v>
      </c>
      <c r="Q6025" t="s">
        <v>26568</v>
      </c>
      <c r="R6025" t="s">
        <v>26588</v>
      </c>
      <c r="U6025" t="s">
        <v>26604</v>
      </c>
      <c r="W6025" t="s">
        <v>416</v>
      </c>
      <c r="X6025">
        <v>1119</v>
      </c>
      <c r="Y6025" t="s">
        <v>26652</v>
      </c>
      <c r="Z6025" t="s">
        <v>26664</v>
      </c>
      <c r="AA6025" t="s">
        <v>26678</v>
      </c>
      <c r="AB6025" t="s">
        <v>31411</v>
      </c>
      <c r="AD6025" t="s">
        <v>41621</v>
      </c>
      <c r="AE6025">
        <v>72</v>
      </c>
      <c r="AG6025" t="s">
        <v>45556</v>
      </c>
      <c r="AH6025">
        <v>18</v>
      </c>
      <c r="AI6025">
        <v>1</v>
      </c>
      <c r="AJ6025">
        <v>1</v>
      </c>
      <c r="AK6025">
        <v>206.98</v>
      </c>
      <c r="AN6025" t="s">
        <v>7439</v>
      </c>
      <c r="AO6025">
        <v>35000</v>
      </c>
      <c r="AS6025" t="s">
        <v>46499</v>
      </c>
      <c r="AU6025">
        <v>2.1</v>
      </c>
      <c r="AV6025" t="s">
        <v>791</v>
      </c>
      <c r="AW6025" t="s">
        <v>46862</v>
      </c>
    </row>
    <row r="6026" spans="1:50">
      <c r="A6026" s="1">
        <f>HYPERLINK("https://lsnyc.legalserver.org/matter/dynamic-profile/view/1891595","19-1891595")</f>
        <v>0</v>
      </c>
      <c r="B6026" t="s">
        <v>230</v>
      </c>
      <c r="C6026" t="s">
        <v>340</v>
      </c>
      <c r="D6026" t="s">
        <v>723</v>
      </c>
      <c r="F6026" t="s">
        <v>1527</v>
      </c>
      <c r="G6026" t="s">
        <v>2058</v>
      </c>
      <c r="H6026" t="s">
        <v>13978</v>
      </c>
      <c r="I6026" t="s">
        <v>17334</v>
      </c>
      <c r="J6026" t="s">
        <v>18894</v>
      </c>
      <c r="K6026">
        <v>11203</v>
      </c>
      <c r="L6026" t="s">
        <v>18958</v>
      </c>
      <c r="M6026" t="s">
        <v>18958</v>
      </c>
      <c r="N6026" t="s">
        <v>23352</v>
      </c>
      <c r="O6026" t="s">
        <v>26524</v>
      </c>
      <c r="P6026" t="s">
        <v>26560</v>
      </c>
      <c r="R6026" t="s">
        <v>26586</v>
      </c>
      <c r="S6026" t="s">
        <v>18959</v>
      </c>
      <c r="U6026" t="s">
        <v>26604</v>
      </c>
      <c r="V6026" t="s">
        <v>26610</v>
      </c>
      <c r="W6026" t="s">
        <v>416</v>
      </c>
      <c r="X6026">
        <v>0</v>
      </c>
      <c r="Y6026" t="s">
        <v>26652</v>
      </c>
      <c r="Z6026" t="s">
        <v>26664</v>
      </c>
      <c r="AB6026" t="s">
        <v>31412</v>
      </c>
      <c r="AD6026" t="s">
        <v>41622</v>
      </c>
      <c r="AE6026">
        <v>4</v>
      </c>
      <c r="AF6026" t="s">
        <v>45547</v>
      </c>
      <c r="AG6026" t="s">
        <v>19330</v>
      </c>
      <c r="AH6026">
        <v>37</v>
      </c>
      <c r="AI6026">
        <v>1</v>
      </c>
      <c r="AJ6026">
        <v>0</v>
      </c>
      <c r="AK6026">
        <v>0</v>
      </c>
      <c r="AN6026" t="s">
        <v>7439</v>
      </c>
      <c r="AO6026">
        <v>0</v>
      </c>
      <c r="AU6026">
        <v>40</v>
      </c>
      <c r="AV6026" t="s">
        <v>729</v>
      </c>
      <c r="AW6026" t="s">
        <v>281</v>
      </c>
    </row>
    <row r="6027" spans="1:50">
      <c r="A6027" s="1">
        <f>HYPERLINK("https://lsnyc.legalserver.org/matter/dynamic-profile/view/1891623","19-1891623")</f>
        <v>0</v>
      </c>
      <c r="B6027" t="s">
        <v>230</v>
      </c>
      <c r="C6027" t="s">
        <v>340</v>
      </c>
      <c r="D6027" t="s">
        <v>723</v>
      </c>
      <c r="F6027" t="s">
        <v>2044</v>
      </c>
      <c r="G6027" t="s">
        <v>7865</v>
      </c>
      <c r="H6027" t="s">
        <v>13979</v>
      </c>
      <c r="I6027" t="s">
        <v>17569</v>
      </c>
      <c r="J6027" t="s">
        <v>18894</v>
      </c>
      <c r="K6027">
        <v>11221</v>
      </c>
      <c r="L6027" t="s">
        <v>18958</v>
      </c>
      <c r="M6027" t="s">
        <v>18958</v>
      </c>
      <c r="N6027" t="s">
        <v>23353</v>
      </c>
      <c r="O6027" t="s">
        <v>26523</v>
      </c>
      <c r="P6027" t="s">
        <v>26560</v>
      </c>
      <c r="R6027" t="s">
        <v>26588</v>
      </c>
      <c r="S6027" t="s">
        <v>18959</v>
      </c>
      <c r="U6027" t="s">
        <v>26604</v>
      </c>
      <c r="V6027" t="s">
        <v>26610</v>
      </c>
      <c r="W6027" t="s">
        <v>416</v>
      </c>
      <c r="X6027">
        <v>247</v>
      </c>
      <c r="Y6027" t="s">
        <v>26652</v>
      </c>
      <c r="Z6027" t="s">
        <v>26669</v>
      </c>
      <c r="AB6027" t="s">
        <v>28968</v>
      </c>
      <c r="AD6027" t="s">
        <v>41623</v>
      </c>
      <c r="AE6027">
        <v>63</v>
      </c>
      <c r="AF6027" t="s">
        <v>45544</v>
      </c>
      <c r="AG6027" t="s">
        <v>19330</v>
      </c>
      <c r="AH6027">
        <v>5</v>
      </c>
      <c r="AI6027">
        <v>1</v>
      </c>
      <c r="AJ6027">
        <v>0</v>
      </c>
      <c r="AK6027">
        <v>96.08</v>
      </c>
      <c r="AN6027" t="s">
        <v>7439</v>
      </c>
      <c r="AO6027">
        <v>12000</v>
      </c>
      <c r="AU6027">
        <v>36.4</v>
      </c>
      <c r="AV6027" t="s">
        <v>807</v>
      </c>
      <c r="AW6027" t="s">
        <v>281</v>
      </c>
    </row>
    <row r="6028" spans="1:50">
      <c r="A6028" s="1">
        <f>HYPERLINK("https://lsnyc.legalserver.org/matter/dynamic-profile/view/1891641","19-1891641")</f>
        <v>0</v>
      </c>
      <c r="B6028" t="s">
        <v>167</v>
      </c>
      <c r="C6028" t="s">
        <v>340</v>
      </c>
      <c r="D6028" t="s">
        <v>723</v>
      </c>
      <c r="F6028" t="s">
        <v>1251</v>
      </c>
      <c r="G6028" t="s">
        <v>7866</v>
      </c>
      <c r="H6028" t="s">
        <v>13980</v>
      </c>
      <c r="I6028" t="s">
        <v>17272</v>
      </c>
      <c r="J6028" t="s">
        <v>18894</v>
      </c>
      <c r="K6028">
        <v>11225</v>
      </c>
      <c r="L6028" t="s">
        <v>18958</v>
      </c>
      <c r="M6028" t="s">
        <v>18958</v>
      </c>
      <c r="N6028" t="s">
        <v>23354</v>
      </c>
      <c r="O6028" t="s">
        <v>26523</v>
      </c>
      <c r="P6028" t="s">
        <v>26560</v>
      </c>
      <c r="R6028" t="s">
        <v>26588</v>
      </c>
      <c r="U6028" t="s">
        <v>26604</v>
      </c>
      <c r="W6028" t="s">
        <v>416</v>
      </c>
      <c r="X6028">
        <v>700.8200000000001</v>
      </c>
      <c r="Y6028" t="s">
        <v>26652</v>
      </c>
      <c r="Z6028" t="s">
        <v>26669</v>
      </c>
      <c r="AB6028" t="s">
        <v>31413</v>
      </c>
      <c r="AD6028" t="s">
        <v>41624</v>
      </c>
      <c r="AE6028">
        <v>16</v>
      </c>
      <c r="AG6028" t="s">
        <v>19330</v>
      </c>
      <c r="AH6028">
        <v>30</v>
      </c>
      <c r="AI6028">
        <v>2</v>
      </c>
      <c r="AJ6028">
        <v>1</v>
      </c>
      <c r="AK6028">
        <v>124.51</v>
      </c>
      <c r="AN6028" t="s">
        <v>7439</v>
      </c>
      <c r="AO6028">
        <v>26559</v>
      </c>
      <c r="AU6028">
        <v>5.5</v>
      </c>
      <c r="AV6028" t="s">
        <v>768</v>
      </c>
      <c r="AW6028" t="s">
        <v>281</v>
      </c>
    </row>
    <row r="6029" spans="1:50">
      <c r="A6029" s="1">
        <f>HYPERLINK("https://lsnyc.legalserver.org/matter/dynamic-profile/view/1891577","19-1891577")</f>
        <v>0</v>
      </c>
      <c r="B6029" t="s">
        <v>158</v>
      </c>
      <c r="C6029" t="s">
        <v>340</v>
      </c>
      <c r="D6029" t="s">
        <v>723</v>
      </c>
      <c r="F6029" t="s">
        <v>2207</v>
      </c>
      <c r="G6029" t="s">
        <v>5147</v>
      </c>
      <c r="H6029" t="s">
        <v>13981</v>
      </c>
      <c r="I6029" t="s">
        <v>17331</v>
      </c>
      <c r="J6029" t="s">
        <v>18894</v>
      </c>
      <c r="K6029">
        <v>11221</v>
      </c>
      <c r="L6029" t="s">
        <v>18958</v>
      </c>
      <c r="M6029" t="s">
        <v>18958</v>
      </c>
      <c r="N6029" t="s">
        <v>23355</v>
      </c>
      <c r="O6029" t="s">
        <v>26523</v>
      </c>
      <c r="P6029" t="s">
        <v>26560</v>
      </c>
      <c r="R6029" t="s">
        <v>26588</v>
      </c>
      <c r="U6029" t="s">
        <v>26604</v>
      </c>
      <c r="W6029" t="s">
        <v>416</v>
      </c>
      <c r="X6029">
        <v>850</v>
      </c>
      <c r="Y6029" t="s">
        <v>26652</v>
      </c>
      <c r="Z6029" t="s">
        <v>26669</v>
      </c>
      <c r="AB6029" t="s">
        <v>31414</v>
      </c>
      <c r="AD6029" t="s">
        <v>41625</v>
      </c>
      <c r="AE6029">
        <v>0</v>
      </c>
      <c r="AF6029" t="s">
        <v>45541</v>
      </c>
      <c r="AH6029">
        <v>5</v>
      </c>
      <c r="AI6029">
        <v>2</v>
      </c>
      <c r="AJ6029">
        <v>1</v>
      </c>
      <c r="AK6029">
        <v>67.51000000000001</v>
      </c>
      <c r="AN6029" t="s">
        <v>45581</v>
      </c>
      <c r="AO6029">
        <v>14400</v>
      </c>
      <c r="AU6029">
        <v>6.9</v>
      </c>
      <c r="AV6029" t="s">
        <v>695</v>
      </c>
      <c r="AW6029" t="s">
        <v>281</v>
      </c>
    </row>
    <row r="6030" spans="1:50">
      <c r="A6030" s="1">
        <f>HYPERLINK("https://lsnyc.legalserver.org/matter/dynamic-profile/view/1891609","19-1891609")</f>
        <v>0</v>
      </c>
      <c r="B6030" t="s">
        <v>158</v>
      </c>
      <c r="C6030" t="s">
        <v>340</v>
      </c>
      <c r="D6030" t="s">
        <v>723</v>
      </c>
      <c r="F6030" t="s">
        <v>1246</v>
      </c>
      <c r="G6030" t="s">
        <v>1128</v>
      </c>
      <c r="H6030" t="s">
        <v>13982</v>
      </c>
      <c r="J6030" t="s">
        <v>18894</v>
      </c>
      <c r="K6030">
        <v>11216</v>
      </c>
      <c r="L6030" t="s">
        <v>18958</v>
      </c>
      <c r="M6030" t="s">
        <v>18958</v>
      </c>
      <c r="N6030" t="s">
        <v>23356</v>
      </c>
      <c r="O6030" t="s">
        <v>26523</v>
      </c>
      <c r="P6030" t="s">
        <v>26560</v>
      </c>
      <c r="R6030" t="s">
        <v>26588</v>
      </c>
      <c r="U6030" t="s">
        <v>26604</v>
      </c>
      <c r="W6030" t="s">
        <v>416</v>
      </c>
      <c r="X6030">
        <v>2780</v>
      </c>
      <c r="Y6030" t="s">
        <v>26652</v>
      </c>
      <c r="Z6030" t="s">
        <v>26669</v>
      </c>
      <c r="AB6030" t="s">
        <v>31415</v>
      </c>
      <c r="AD6030" t="s">
        <v>41626</v>
      </c>
      <c r="AE6030">
        <v>0</v>
      </c>
      <c r="AG6030" t="s">
        <v>19330</v>
      </c>
      <c r="AH6030">
        <v>1</v>
      </c>
      <c r="AI6030">
        <v>2</v>
      </c>
      <c r="AJ6030">
        <v>2</v>
      </c>
      <c r="AK6030">
        <v>194.17</v>
      </c>
      <c r="AN6030" t="s">
        <v>7439</v>
      </c>
      <c r="AO6030">
        <v>50000</v>
      </c>
      <c r="AU6030">
        <v>8.699999999999999</v>
      </c>
      <c r="AV6030" t="s">
        <v>724</v>
      </c>
      <c r="AW6030" t="s">
        <v>281</v>
      </c>
    </row>
    <row r="6031" spans="1:50">
      <c r="A6031" s="1">
        <f>HYPERLINK("https://lsnyc.legalserver.org/matter/dynamic-profile/view/1891659","19-1891659")</f>
        <v>0</v>
      </c>
      <c r="B6031" t="s">
        <v>170</v>
      </c>
      <c r="C6031" t="s">
        <v>340</v>
      </c>
      <c r="D6031" t="s">
        <v>723</v>
      </c>
      <c r="F6031" t="s">
        <v>3555</v>
      </c>
      <c r="G6031" t="s">
        <v>7867</v>
      </c>
      <c r="H6031" t="s">
        <v>13983</v>
      </c>
      <c r="I6031" t="s">
        <v>17306</v>
      </c>
      <c r="J6031" t="s">
        <v>18894</v>
      </c>
      <c r="K6031">
        <v>11226</v>
      </c>
      <c r="L6031" t="s">
        <v>18958</v>
      </c>
      <c r="M6031" t="s">
        <v>18958</v>
      </c>
      <c r="N6031" t="s">
        <v>23357</v>
      </c>
      <c r="O6031" t="s">
        <v>26523</v>
      </c>
      <c r="P6031" t="s">
        <v>26560</v>
      </c>
      <c r="R6031" t="s">
        <v>26588</v>
      </c>
      <c r="U6031" t="s">
        <v>26604</v>
      </c>
      <c r="W6031" t="s">
        <v>416</v>
      </c>
      <c r="X6031">
        <v>1700</v>
      </c>
      <c r="Y6031" t="s">
        <v>26652</v>
      </c>
      <c r="Z6031" t="s">
        <v>26664</v>
      </c>
      <c r="AB6031" t="s">
        <v>31416</v>
      </c>
      <c r="AD6031" t="s">
        <v>41627</v>
      </c>
      <c r="AE6031">
        <v>12</v>
      </c>
      <c r="AG6031" t="s">
        <v>19330</v>
      </c>
      <c r="AH6031">
        <v>4</v>
      </c>
      <c r="AI6031">
        <v>4</v>
      </c>
      <c r="AJ6031">
        <v>0</v>
      </c>
      <c r="AK6031">
        <v>116.5</v>
      </c>
      <c r="AO6031">
        <v>30000</v>
      </c>
      <c r="AU6031">
        <v>6.6</v>
      </c>
      <c r="AV6031" t="s">
        <v>838</v>
      </c>
      <c r="AW6031" t="s">
        <v>46862</v>
      </c>
    </row>
    <row r="6032" spans="1:50">
      <c r="A6032" s="1">
        <f>HYPERLINK("https://lsnyc.legalserver.org/matter/dynamic-profile/view/1892381","19-1892381")</f>
        <v>0</v>
      </c>
      <c r="B6032" t="s">
        <v>242</v>
      </c>
      <c r="C6032" t="s">
        <v>341</v>
      </c>
      <c r="D6032" t="s">
        <v>728</v>
      </c>
      <c r="E6032" t="s">
        <v>741</v>
      </c>
      <c r="F6032" t="s">
        <v>3556</v>
      </c>
      <c r="G6032" t="s">
        <v>1377</v>
      </c>
      <c r="H6032" t="s">
        <v>13984</v>
      </c>
      <c r="I6032" t="s">
        <v>17347</v>
      </c>
      <c r="J6032" t="s">
        <v>18894</v>
      </c>
      <c r="K6032">
        <v>11226</v>
      </c>
      <c r="L6032" t="s">
        <v>18958</v>
      </c>
      <c r="M6032" t="s">
        <v>18958</v>
      </c>
      <c r="N6032" t="s">
        <v>23358</v>
      </c>
      <c r="O6032" t="s">
        <v>26523</v>
      </c>
      <c r="P6032" t="s">
        <v>26560</v>
      </c>
      <c r="Q6032" t="s">
        <v>26568</v>
      </c>
      <c r="R6032" t="s">
        <v>26588</v>
      </c>
      <c r="S6032" t="s">
        <v>18959</v>
      </c>
      <c r="U6032" t="s">
        <v>26604</v>
      </c>
      <c r="V6032" t="s">
        <v>26616</v>
      </c>
      <c r="W6032" t="s">
        <v>416</v>
      </c>
      <c r="X6032">
        <v>1734</v>
      </c>
      <c r="Y6032" t="s">
        <v>26652</v>
      </c>
      <c r="Z6032" t="s">
        <v>26668</v>
      </c>
      <c r="AA6032" t="s">
        <v>26678</v>
      </c>
      <c r="AB6032" t="s">
        <v>31417</v>
      </c>
      <c r="AD6032" t="s">
        <v>41628</v>
      </c>
      <c r="AE6032">
        <v>59</v>
      </c>
      <c r="AF6032" t="s">
        <v>45541</v>
      </c>
      <c r="AG6032" t="s">
        <v>19330</v>
      </c>
      <c r="AH6032">
        <v>3</v>
      </c>
      <c r="AI6032">
        <v>1</v>
      </c>
      <c r="AJ6032">
        <v>3</v>
      </c>
      <c r="AK6032">
        <v>141.36</v>
      </c>
      <c r="AN6032" t="s">
        <v>7439</v>
      </c>
      <c r="AO6032">
        <v>36400</v>
      </c>
      <c r="AQ6032" t="s">
        <v>46365</v>
      </c>
      <c r="AR6032" t="s">
        <v>46379</v>
      </c>
      <c r="AS6032" t="s">
        <v>46499</v>
      </c>
      <c r="AT6032" t="s">
        <v>46679</v>
      </c>
      <c r="AU6032">
        <v>23.52</v>
      </c>
      <c r="AV6032" t="s">
        <v>660</v>
      </c>
      <c r="AW6032" t="s">
        <v>242</v>
      </c>
    </row>
    <row r="6033" spans="1:50">
      <c r="A6033" s="1">
        <f>HYPERLINK("https://lsnyc.legalserver.org/matter/dynamic-profile/view/1891752","19-1891752")</f>
        <v>0</v>
      </c>
      <c r="B6033" t="s">
        <v>203</v>
      </c>
      <c r="C6033" t="s">
        <v>341</v>
      </c>
      <c r="D6033" t="s">
        <v>728</v>
      </c>
      <c r="E6033" t="s">
        <v>835</v>
      </c>
      <c r="F6033" t="s">
        <v>2368</v>
      </c>
      <c r="G6033" t="s">
        <v>7868</v>
      </c>
      <c r="H6033" t="s">
        <v>13985</v>
      </c>
      <c r="I6033" t="s">
        <v>17374</v>
      </c>
      <c r="J6033" t="s">
        <v>18894</v>
      </c>
      <c r="K6033">
        <v>11226</v>
      </c>
      <c r="L6033" t="s">
        <v>18958</v>
      </c>
      <c r="M6033" t="s">
        <v>18958</v>
      </c>
      <c r="N6033" t="s">
        <v>23359</v>
      </c>
      <c r="O6033" t="s">
        <v>26524</v>
      </c>
      <c r="P6033" t="s">
        <v>26560</v>
      </c>
      <c r="Q6033" t="s">
        <v>26568</v>
      </c>
      <c r="R6033" t="s">
        <v>26588</v>
      </c>
      <c r="U6033" t="s">
        <v>26604</v>
      </c>
      <c r="W6033" t="s">
        <v>416</v>
      </c>
      <c r="X6033">
        <v>280</v>
      </c>
      <c r="Y6033" t="s">
        <v>26652</v>
      </c>
      <c r="Z6033" t="s">
        <v>26664</v>
      </c>
      <c r="AA6033" t="s">
        <v>26679</v>
      </c>
      <c r="AB6033" t="s">
        <v>29330</v>
      </c>
      <c r="AD6033" t="s">
        <v>41629</v>
      </c>
      <c r="AE6033">
        <v>0</v>
      </c>
      <c r="AG6033" t="s">
        <v>19330</v>
      </c>
      <c r="AH6033">
        <v>4</v>
      </c>
      <c r="AI6033">
        <v>1</v>
      </c>
      <c r="AJ6033">
        <v>0</v>
      </c>
      <c r="AK6033">
        <v>0</v>
      </c>
      <c r="AN6033" t="s">
        <v>7439</v>
      </c>
      <c r="AO6033">
        <v>0</v>
      </c>
      <c r="AU6033">
        <v>1.61</v>
      </c>
      <c r="AV6033" t="s">
        <v>835</v>
      </c>
      <c r="AW6033" t="s">
        <v>46862</v>
      </c>
    </row>
    <row r="6034" spans="1:50">
      <c r="A6034" s="1">
        <f>HYPERLINK("https://lsnyc.legalserver.org/matter/dynamic-profile/view/1891773","19-1891773")</f>
        <v>0</v>
      </c>
      <c r="B6034" t="s">
        <v>167</v>
      </c>
      <c r="C6034" t="s">
        <v>340</v>
      </c>
      <c r="D6034" t="s">
        <v>728</v>
      </c>
      <c r="F6034" t="s">
        <v>3278</v>
      </c>
      <c r="G6034" t="s">
        <v>7537</v>
      </c>
      <c r="H6034" t="s">
        <v>11369</v>
      </c>
      <c r="I6034" t="s">
        <v>17306</v>
      </c>
      <c r="J6034" t="s">
        <v>18894</v>
      </c>
      <c r="K6034">
        <v>11226</v>
      </c>
      <c r="L6034" t="s">
        <v>18958</v>
      </c>
      <c r="M6034" t="s">
        <v>18958</v>
      </c>
      <c r="N6034" t="s">
        <v>23360</v>
      </c>
      <c r="O6034" t="s">
        <v>26523</v>
      </c>
      <c r="P6034" t="s">
        <v>26560</v>
      </c>
      <c r="R6034" t="s">
        <v>26588</v>
      </c>
      <c r="U6034" t="s">
        <v>26604</v>
      </c>
      <c r="W6034" t="s">
        <v>416</v>
      </c>
      <c r="X6034">
        <v>1200</v>
      </c>
      <c r="Y6034" t="s">
        <v>26652</v>
      </c>
      <c r="Z6034" t="s">
        <v>26664</v>
      </c>
      <c r="AB6034" t="s">
        <v>30815</v>
      </c>
      <c r="AD6034" t="s">
        <v>41044</v>
      </c>
      <c r="AE6034">
        <v>42</v>
      </c>
      <c r="AG6034" t="s">
        <v>19330</v>
      </c>
      <c r="AH6034">
        <v>10</v>
      </c>
      <c r="AI6034">
        <v>1</v>
      </c>
      <c r="AJ6034">
        <v>2</v>
      </c>
      <c r="AK6034">
        <v>73.14</v>
      </c>
      <c r="AN6034" t="s">
        <v>7439</v>
      </c>
      <c r="AO6034">
        <v>15600</v>
      </c>
      <c r="AU6034">
        <v>3.6</v>
      </c>
      <c r="AV6034" t="s">
        <v>800</v>
      </c>
      <c r="AW6034" t="s">
        <v>46862</v>
      </c>
    </row>
    <row r="6035" spans="1:50">
      <c r="A6035" s="1">
        <f>HYPERLINK("https://lsnyc.legalserver.org/matter/dynamic-profile/view/1891730","19-1891730")</f>
        <v>0</v>
      </c>
      <c r="B6035" t="s">
        <v>203</v>
      </c>
      <c r="C6035" t="s">
        <v>340</v>
      </c>
      <c r="D6035" t="s">
        <v>728</v>
      </c>
      <c r="F6035" t="s">
        <v>3557</v>
      </c>
      <c r="G6035" t="s">
        <v>7869</v>
      </c>
      <c r="H6035" t="s">
        <v>13986</v>
      </c>
      <c r="I6035" t="s">
        <v>17344</v>
      </c>
      <c r="J6035" t="s">
        <v>18894</v>
      </c>
      <c r="K6035">
        <v>11226</v>
      </c>
      <c r="L6035" t="s">
        <v>18958</v>
      </c>
      <c r="M6035" t="s">
        <v>18958</v>
      </c>
      <c r="N6035" t="s">
        <v>23361</v>
      </c>
      <c r="O6035" t="s">
        <v>26523</v>
      </c>
      <c r="P6035" t="s">
        <v>26560</v>
      </c>
      <c r="R6035" t="s">
        <v>26588</v>
      </c>
      <c r="U6035" t="s">
        <v>26604</v>
      </c>
      <c r="W6035" t="s">
        <v>416</v>
      </c>
      <c r="X6035">
        <v>939.76</v>
      </c>
      <c r="Y6035" t="s">
        <v>26652</v>
      </c>
      <c r="Z6035" t="s">
        <v>26664</v>
      </c>
      <c r="AB6035" t="s">
        <v>31418</v>
      </c>
      <c r="AD6035" t="s">
        <v>41630</v>
      </c>
      <c r="AE6035">
        <v>30</v>
      </c>
      <c r="AG6035" t="s">
        <v>19330</v>
      </c>
      <c r="AH6035">
        <v>15</v>
      </c>
      <c r="AI6035">
        <v>2</v>
      </c>
      <c r="AJ6035">
        <v>1</v>
      </c>
      <c r="AK6035">
        <v>210.97</v>
      </c>
      <c r="AN6035" t="s">
        <v>45587</v>
      </c>
      <c r="AO6035">
        <v>45000</v>
      </c>
      <c r="AU6035">
        <v>9.1</v>
      </c>
      <c r="AV6035" t="s">
        <v>793</v>
      </c>
      <c r="AW6035" t="s">
        <v>46862</v>
      </c>
    </row>
    <row r="6036" spans="1:50">
      <c r="A6036" s="1">
        <f>HYPERLINK("https://lsnyc.legalserver.org/matter/dynamic-profile/view/1891808","19-1891808")</f>
        <v>0</v>
      </c>
      <c r="B6036" t="s">
        <v>232</v>
      </c>
      <c r="C6036" t="s">
        <v>340</v>
      </c>
      <c r="D6036" t="s">
        <v>728</v>
      </c>
      <c r="F6036" t="s">
        <v>1024</v>
      </c>
      <c r="G6036" t="s">
        <v>5691</v>
      </c>
      <c r="H6036" t="s">
        <v>12427</v>
      </c>
      <c r="I6036" t="s">
        <v>17275</v>
      </c>
      <c r="J6036" t="s">
        <v>18894</v>
      </c>
      <c r="K6036">
        <v>11216</v>
      </c>
      <c r="L6036" t="s">
        <v>18958</v>
      </c>
      <c r="M6036" t="s">
        <v>18958</v>
      </c>
      <c r="N6036" t="s">
        <v>23362</v>
      </c>
      <c r="O6036" t="s">
        <v>26524</v>
      </c>
      <c r="P6036" t="s">
        <v>26560</v>
      </c>
      <c r="R6036" t="s">
        <v>26588</v>
      </c>
      <c r="U6036" t="s">
        <v>26604</v>
      </c>
      <c r="W6036" t="s">
        <v>416</v>
      </c>
      <c r="X6036">
        <v>0</v>
      </c>
      <c r="Y6036" t="s">
        <v>26652</v>
      </c>
      <c r="Z6036" t="s">
        <v>26669</v>
      </c>
      <c r="AB6036" t="s">
        <v>28628</v>
      </c>
      <c r="AE6036">
        <v>0</v>
      </c>
      <c r="AG6036" t="s">
        <v>19330</v>
      </c>
      <c r="AH6036">
        <v>30</v>
      </c>
      <c r="AI6036">
        <v>1</v>
      </c>
      <c r="AJ6036">
        <v>1</v>
      </c>
      <c r="AK6036">
        <v>22.29</v>
      </c>
      <c r="AN6036" t="s">
        <v>7439</v>
      </c>
      <c r="AO6036">
        <v>3770</v>
      </c>
      <c r="AU6036">
        <v>5.95</v>
      </c>
      <c r="AV6036" t="s">
        <v>827</v>
      </c>
      <c r="AW6036" t="s">
        <v>281</v>
      </c>
    </row>
    <row r="6037" spans="1:50">
      <c r="A6037" s="1">
        <f>HYPERLINK("https://lsnyc.legalserver.org/matter/dynamic-profile/view/1891780","19-1891780")</f>
        <v>0</v>
      </c>
      <c r="B6037" t="s">
        <v>101</v>
      </c>
      <c r="C6037" t="s">
        <v>340</v>
      </c>
      <c r="D6037" t="s">
        <v>728</v>
      </c>
      <c r="F6037" t="s">
        <v>2501</v>
      </c>
      <c r="G6037" t="s">
        <v>7870</v>
      </c>
      <c r="H6037" t="s">
        <v>13987</v>
      </c>
      <c r="I6037">
        <v>2</v>
      </c>
      <c r="J6037" t="s">
        <v>18894</v>
      </c>
      <c r="K6037">
        <v>11225</v>
      </c>
      <c r="L6037" t="s">
        <v>18958</v>
      </c>
      <c r="M6037" t="s">
        <v>18958</v>
      </c>
      <c r="N6037" t="s">
        <v>23363</v>
      </c>
      <c r="O6037" t="s">
        <v>26524</v>
      </c>
      <c r="P6037" t="s">
        <v>26560</v>
      </c>
      <c r="R6037" t="s">
        <v>26588</v>
      </c>
      <c r="U6037" t="s">
        <v>26604</v>
      </c>
      <c r="W6037" t="s">
        <v>416</v>
      </c>
      <c r="X6037">
        <v>0</v>
      </c>
      <c r="Y6037" t="s">
        <v>26652</v>
      </c>
      <c r="Z6037" t="s">
        <v>26669</v>
      </c>
      <c r="AB6037" t="s">
        <v>29684</v>
      </c>
      <c r="AD6037" t="s">
        <v>41631</v>
      </c>
      <c r="AE6037">
        <v>0</v>
      </c>
      <c r="AG6037" t="s">
        <v>19330</v>
      </c>
      <c r="AH6037">
        <v>7</v>
      </c>
      <c r="AI6037">
        <v>1</v>
      </c>
      <c r="AJ6037">
        <v>0</v>
      </c>
      <c r="AK6037">
        <v>0</v>
      </c>
      <c r="AN6037" t="s">
        <v>7439</v>
      </c>
      <c r="AO6037">
        <v>0</v>
      </c>
      <c r="AU6037">
        <v>2</v>
      </c>
      <c r="AV6037" t="s">
        <v>828</v>
      </c>
      <c r="AW6037" t="s">
        <v>281</v>
      </c>
    </row>
    <row r="6038" spans="1:50">
      <c r="A6038" s="1">
        <f>HYPERLINK("https://lsnyc.legalserver.org/matter/dynamic-profile/view/1891744","19-1891744")</f>
        <v>0</v>
      </c>
      <c r="B6038" t="s">
        <v>101</v>
      </c>
      <c r="C6038" t="s">
        <v>340</v>
      </c>
      <c r="D6038" t="s">
        <v>728</v>
      </c>
      <c r="F6038" t="s">
        <v>879</v>
      </c>
      <c r="G6038" t="s">
        <v>7233</v>
      </c>
      <c r="H6038" t="s">
        <v>13987</v>
      </c>
      <c r="I6038">
        <v>2</v>
      </c>
      <c r="J6038" t="s">
        <v>18894</v>
      </c>
      <c r="K6038">
        <v>11225</v>
      </c>
      <c r="L6038" t="s">
        <v>18958</v>
      </c>
      <c r="M6038" t="s">
        <v>18958</v>
      </c>
      <c r="N6038" t="s">
        <v>23364</v>
      </c>
      <c r="O6038" t="s">
        <v>26524</v>
      </c>
      <c r="P6038" t="s">
        <v>26560</v>
      </c>
      <c r="R6038" t="s">
        <v>26588</v>
      </c>
      <c r="U6038" t="s">
        <v>26604</v>
      </c>
      <c r="W6038" t="s">
        <v>416</v>
      </c>
      <c r="X6038">
        <v>300</v>
      </c>
      <c r="Y6038" t="s">
        <v>26652</v>
      </c>
      <c r="Z6038" t="s">
        <v>26669</v>
      </c>
      <c r="AB6038" t="s">
        <v>31419</v>
      </c>
      <c r="AD6038" t="s">
        <v>41632</v>
      </c>
      <c r="AE6038">
        <v>0</v>
      </c>
      <c r="AH6038">
        <v>6</v>
      </c>
      <c r="AI6038">
        <v>1</v>
      </c>
      <c r="AJ6038">
        <v>0</v>
      </c>
      <c r="AK6038">
        <v>39.6</v>
      </c>
      <c r="AN6038" t="s">
        <v>7439</v>
      </c>
      <c r="AO6038">
        <v>4946</v>
      </c>
      <c r="AU6038">
        <v>4.7</v>
      </c>
      <c r="AV6038" t="s">
        <v>828</v>
      </c>
      <c r="AW6038" t="s">
        <v>281</v>
      </c>
    </row>
    <row r="6039" spans="1:50">
      <c r="A6039" s="1">
        <f>HYPERLINK("https://lsnyc.legalserver.org/matter/dynamic-profile/view/1891733","19-1891733")</f>
        <v>0</v>
      </c>
      <c r="B6039" t="s">
        <v>101</v>
      </c>
      <c r="C6039" t="s">
        <v>340</v>
      </c>
      <c r="D6039" t="s">
        <v>728</v>
      </c>
      <c r="F6039" t="s">
        <v>1599</v>
      </c>
      <c r="G6039" t="s">
        <v>3036</v>
      </c>
      <c r="H6039" t="s">
        <v>13987</v>
      </c>
      <c r="I6039">
        <v>2</v>
      </c>
      <c r="J6039" t="s">
        <v>18894</v>
      </c>
      <c r="K6039">
        <v>11225</v>
      </c>
      <c r="L6039" t="s">
        <v>18958</v>
      </c>
      <c r="M6039" t="s">
        <v>18958</v>
      </c>
      <c r="N6039" t="s">
        <v>23364</v>
      </c>
      <c r="O6039" t="s">
        <v>26524</v>
      </c>
      <c r="P6039" t="s">
        <v>26560</v>
      </c>
      <c r="R6039" t="s">
        <v>26588</v>
      </c>
      <c r="U6039" t="s">
        <v>26604</v>
      </c>
      <c r="W6039" t="s">
        <v>416</v>
      </c>
      <c r="X6039">
        <v>960</v>
      </c>
      <c r="Y6039" t="s">
        <v>26652</v>
      </c>
      <c r="Z6039" t="s">
        <v>26669</v>
      </c>
      <c r="AB6039" t="s">
        <v>31420</v>
      </c>
      <c r="AE6039">
        <v>0</v>
      </c>
      <c r="AH6039">
        <v>6</v>
      </c>
      <c r="AI6039">
        <v>1</v>
      </c>
      <c r="AJ6039">
        <v>0</v>
      </c>
      <c r="AK6039">
        <v>171.34</v>
      </c>
      <c r="AN6039" t="s">
        <v>7439</v>
      </c>
      <c r="AO6039">
        <v>21400</v>
      </c>
      <c r="AU6039">
        <v>1.3</v>
      </c>
      <c r="AV6039" t="s">
        <v>828</v>
      </c>
      <c r="AW6039" t="s">
        <v>281</v>
      </c>
    </row>
    <row r="6040" spans="1:50">
      <c r="A6040" s="1">
        <f>HYPERLINK("https://lsnyc.legalserver.org/matter/dynamic-profile/view/1891864","19-1891864")</f>
        <v>0</v>
      </c>
      <c r="B6040" t="s">
        <v>129</v>
      </c>
      <c r="C6040" t="s">
        <v>340</v>
      </c>
      <c r="D6040" t="s">
        <v>728</v>
      </c>
      <c r="F6040" t="s">
        <v>2002</v>
      </c>
      <c r="G6040" t="s">
        <v>6925</v>
      </c>
      <c r="H6040" t="s">
        <v>12421</v>
      </c>
      <c r="I6040" t="s">
        <v>17356</v>
      </c>
      <c r="J6040" t="s">
        <v>18894</v>
      </c>
      <c r="K6040">
        <v>11233</v>
      </c>
      <c r="L6040" t="s">
        <v>18958</v>
      </c>
      <c r="M6040" t="s">
        <v>18958</v>
      </c>
      <c r="N6040" t="s">
        <v>23365</v>
      </c>
      <c r="O6040" t="s">
        <v>26523</v>
      </c>
      <c r="P6040" t="s">
        <v>26560</v>
      </c>
      <c r="R6040" t="s">
        <v>26586</v>
      </c>
      <c r="U6040" t="s">
        <v>26605</v>
      </c>
      <c r="W6040" t="s">
        <v>416</v>
      </c>
      <c r="X6040">
        <v>170</v>
      </c>
      <c r="Y6040" t="s">
        <v>26652</v>
      </c>
      <c r="Z6040" t="s">
        <v>26664</v>
      </c>
      <c r="AB6040" t="s">
        <v>29688</v>
      </c>
      <c r="AD6040" t="s">
        <v>39783</v>
      </c>
      <c r="AE6040">
        <v>0</v>
      </c>
      <c r="AF6040" t="s">
        <v>45549</v>
      </c>
      <c r="AG6040" t="s">
        <v>19330</v>
      </c>
      <c r="AH6040">
        <v>2</v>
      </c>
      <c r="AI6040">
        <v>1</v>
      </c>
      <c r="AJ6040">
        <v>1</v>
      </c>
      <c r="AK6040">
        <v>106.45</v>
      </c>
      <c r="AN6040" t="s">
        <v>7439</v>
      </c>
      <c r="AO6040">
        <v>18000</v>
      </c>
      <c r="AU6040">
        <v>7.25</v>
      </c>
      <c r="AV6040" t="s">
        <v>830</v>
      </c>
      <c r="AW6040" t="s">
        <v>46862</v>
      </c>
    </row>
    <row r="6041" spans="1:50">
      <c r="A6041" s="1">
        <f>HYPERLINK("https://lsnyc.legalserver.org/matter/dynamic-profile/view/1891879","19-1891879")</f>
        <v>0</v>
      </c>
      <c r="B6041" t="s">
        <v>170</v>
      </c>
      <c r="C6041" t="s">
        <v>341</v>
      </c>
      <c r="D6041" t="s">
        <v>574</v>
      </c>
      <c r="E6041" t="s">
        <v>660</v>
      </c>
      <c r="F6041" t="s">
        <v>969</v>
      </c>
      <c r="G6041" t="s">
        <v>3879</v>
      </c>
      <c r="H6041" t="s">
        <v>13988</v>
      </c>
      <c r="I6041" t="s">
        <v>17312</v>
      </c>
      <c r="J6041" t="s">
        <v>18894</v>
      </c>
      <c r="K6041">
        <v>11225</v>
      </c>
      <c r="L6041" t="s">
        <v>18958</v>
      </c>
      <c r="M6041" t="s">
        <v>18958</v>
      </c>
      <c r="N6041" t="s">
        <v>23366</v>
      </c>
      <c r="O6041" t="s">
        <v>26523</v>
      </c>
      <c r="P6041" t="s">
        <v>26564</v>
      </c>
      <c r="Q6041" t="s">
        <v>26570</v>
      </c>
      <c r="R6041" t="s">
        <v>26588</v>
      </c>
      <c r="U6041" t="s">
        <v>26604</v>
      </c>
      <c r="W6041" t="s">
        <v>416</v>
      </c>
      <c r="X6041">
        <v>773.5599999999999</v>
      </c>
      <c r="Y6041" t="s">
        <v>26652</v>
      </c>
      <c r="Z6041" t="s">
        <v>26669</v>
      </c>
      <c r="AA6041" t="s">
        <v>26683</v>
      </c>
      <c r="AB6041" t="s">
        <v>29017</v>
      </c>
      <c r="AD6041" t="s">
        <v>41633</v>
      </c>
      <c r="AE6041">
        <v>0</v>
      </c>
      <c r="AG6041" t="s">
        <v>19330</v>
      </c>
      <c r="AH6041">
        <v>29</v>
      </c>
      <c r="AI6041">
        <v>1</v>
      </c>
      <c r="AJ6041">
        <v>0</v>
      </c>
      <c r="AK6041">
        <v>67.25</v>
      </c>
      <c r="AN6041" t="s">
        <v>7439</v>
      </c>
      <c r="AO6041">
        <v>8400</v>
      </c>
      <c r="AU6041">
        <v>0.5</v>
      </c>
      <c r="AV6041" t="s">
        <v>660</v>
      </c>
      <c r="AW6041" t="s">
        <v>281</v>
      </c>
    </row>
    <row r="6042" spans="1:50">
      <c r="A6042" s="1">
        <f>HYPERLINK("https://lsnyc.legalserver.org/matter/dynamic-profile/view/1891877","19-1891877")</f>
        <v>0</v>
      </c>
      <c r="B6042" t="s">
        <v>202</v>
      </c>
      <c r="C6042" t="s">
        <v>340</v>
      </c>
      <c r="D6042" t="s">
        <v>574</v>
      </c>
      <c r="F6042" t="s">
        <v>948</v>
      </c>
      <c r="G6042" t="s">
        <v>7871</v>
      </c>
      <c r="H6042" t="s">
        <v>13989</v>
      </c>
      <c r="I6042" t="s">
        <v>17352</v>
      </c>
      <c r="J6042" t="s">
        <v>18894</v>
      </c>
      <c r="K6042">
        <v>11225</v>
      </c>
      <c r="L6042" t="s">
        <v>18958</v>
      </c>
      <c r="M6042" t="s">
        <v>18958</v>
      </c>
      <c r="N6042" t="s">
        <v>23367</v>
      </c>
      <c r="O6042" t="s">
        <v>26524</v>
      </c>
      <c r="P6042" t="s">
        <v>26560</v>
      </c>
      <c r="R6042" t="s">
        <v>26588</v>
      </c>
      <c r="S6042" t="s">
        <v>18959</v>
      </c>
      <c r="U6042" t="s">
        <v>26604</v>
      </c>
      <c r="V6042" t="s">
        <v>26610</v>
      </c>
      <c r="W6042" t="s">
        <v>416</v>
      </c>
      <c r="X6042">
        <v>1002</v>
      </c>
      <c r="Y6042" t="s">
        <v>26652</v>
      </c>
      <c r="Z6042" t="s">
        <v>26669</v>
      </c>
      <c r="AB6042" t="s">
        <v>31421</v>
      </c>
      <c r="AD6042" t="s">
        <v>41634</v>
      </c>
      <c r="AE6042">
        <v>59</v>
      </c>
      <c r="AF6042" t="s">
        <v>45541</v>
      </c>
      <c r="AG6042" t="s">
        <v>19330</v>
      </c>
      <c r="AH6042">
        <v>45</v>
      </c>
      <c r="AI6042">
        <v>2</v>
      </c>
      <c r="AJ6042">
        <v>0</v>
      </c>
      <c r="AK6042">
        <v>118.27</v>
      </c>
      <c r="AN6042" t="s">
        <v>7439</v>
      </c>
      <c r="AO6042">
        <v>20000</v>
      </c>
      <c r="AQ6042" t="s">
        <v>46362</v>
      </c>
      <c r="AU6042">
        <v>15.5</v>
      </c>
      <c r="AV6042" t="s">
        <v>839</v>
      </c>
      <c r="AW6042" t="s">
        <v>202</v>
      </c>
    </row>
    <row r="6043" spans="1:50">
      <c r="A6043" s="1">
        <f>HYPERLINK("https://lsnyc.legalserver.org/matter/dynamic-profile/view/1892059","19-1892059")</f>
        <v>0</v>
      </c>
      <c r="B6043" t="s">
        <v>99</v>
      </c>
      <c r="C6043" t="s">
        <v>341</v>
      </c>
      <c r="D6043" t="s">
        <v>758</v>
      </c>
      <c r="E6043" t="s">
        <v>838</v>
      </c>
      <c r="F6043" t="s">
        <v>899</v>
      </c>
      <c r="G6043" t="s">
        <v>5657</v>
      </c>
      <c r="H6043" t="s">
        <v>13990</v>
      </c>
      <c r="I6043">
        <v>16</v>
      </c>
      <c r="J6043" t="s">
        <v>18894</v>
      </c>
      <c r="K6043">
        <v>11217</v>
      </c>
      <c r="L6043" t="s">
        <v>18958</v>
      </c>
      <c r="M6043" t="s">
        <v>18958</v>
      </c>
      <c r="N6043" t="s">
        <v>23368</v>
      </c>
      <c r="O6043" t="s">
        <v>26523</v>
      </c>
      <c r="P6043" t="s">
        <v>26560</v>
      </c>
      <c r="Q6043" t="s">
        <v>26568</v>
      </c>
      <c r="R6043" t="s">
        <v>26586</v>
      </c>
      <c r="S6043" t="s">
        <v>18959</v>
      </c>
      <c r="U6043" t="s">
        <v>26604</v>
      </c>
      <c r="V6043" t="s">
        <v>26610</v>
      </c>
      <c r="W6043" t="s">
        <v>416</v>
      </c>
      <c r="X6043">
        <v>468.87</v>
      </c>
      <c r="Y6043" t="s">
        <v>26652</v>
      </c>
      <c r="Z6043" t="s">
        <v>26664</v>
      </c>
      <c r="AA6043" t="s">
        <v>26678</v>
      </c>
      <c r="AB6043" t="s">
        <v>31422</v>
      </c>
      <c r="AC6043" t="s">
        <v>36089</v>
      </c>
      <c r="AE6043">
        <v>17</v>
      </c>
      <c r="AF6043" t="s">
        <v>45541</v>
      </c>
      <c r="AG6043" t="s">
        <v>45559</v>
      </c>
      <c r="AH6043">
        <v>5</v>
      </c>
      <c r="AI6043">
        <v>2</v>
      </c>
      <c r="AJ6043">
        <v>1</v>
      </c>
      <c r="AK6043">
        <v>82.42</v>
      </c>
      <c r="AN6043" t="s">
        <v>7439</v>
      </c>
      <c r="AO6043">
        <v>17580</v>
      </c>
      <c r="AQ6043" t="s">
        <v>46362</v>
      </c>
      <c r="AR6043" t="s">
        <v>46381</v>
      </c>
      <c r="AS6043" t="s">
        <v>46499</v>
      </c>
      <c r="AT6043" t="s">
        <v>46764</v>
      </c>
      <c r="AU6043">
        <v>12.1</v>
      </c>
      <c r="AV6043" t="s">
        <v>838</v>
      </c>
      <c r="AW6043" t="s">
        <v>46862</v>
      </c>
      <c r="AX6043" t="s">
        <v>46897</v>
      </c>
    </row>
    <row r="6044" spans="1:50">
      <c r="A6044" s="1">
        <f>HYPERLINK("https://lsnyc.legalserver.org/matter/dynamic-profile/view/1892132","19-1892132")</f>
        <v>0</v>
      </c>
      <c r="B6044" t="s">
        <v>148</v>
      </c>
      <c r="C6044" t="s">
        <v>341</v>
      </c>
      <c r="D6044" t="s">
        <v>758</v>
      </c>
      <c r="E6044" t="s">
        <v>801</v>
      </c>
      <c r="F6044" t="s">
        <v>1993</v>
      </c>
      <c r="G6044" t="s">
        <v>7872</v>
      </c>
      <c r="H6044" t="s">
        <v>13991</v>
      </c>
      <c r="I6044" t="s">
        <v>18307</v>
      </c>
      <c r="J6044" t="s">
        <v>18894</v>
      </c>
      <c r="K6044">
        <v>11235</v>
      </c>
      <c r="L6044" t="s">
        <v>18958</v>
      </c>
      <c r="M6044" t="s">
        <v>18958</v>
      </c>
      <c r="N6044" t="s">
        <v>23369</v>
      </c>
      <c r="O6044" t="s">
        <v>26523</v>
      </c>
      <c r="Q6044" t="s">
        <v>26570</v>
      </c>
      <c r="R6044" t="s">
        <v>26586</v>
      </c>
      <c r="U6044" t="s">
        <v>26604</v>
      </c>
      <c r="W6044" t="s">
        <v>416</v>
      </c>
      <c r="X6044">
        <v>975</v>
      </c>
      <c r="Y6044" t="s">
        <v>26652</v>
      </c>
      <c r="Z6044" t="s">
        <v>26664</v>
      </c>
      <c r="AA6044" t="s">
        <v>26683</v>
      </c>
      <c r="AB6044" t="s">
        <v>31423</v>
      </c>
      <c r="AD6044" t="s">
        <v>41635</v>
      </c>
      <c r="AE6044">
        <v>35</v>
      </c>
      <c r="AG6044" t="s">
        <v>19330</v>
      </c>
      <c r="AH6044">
        <v>19</v>
      </c>
      <c r="AI6044">
        <v>2</v>
      </c>
      <c r="AJ6044">
        <v>2</v>
      </c>
      <c r="AK6044">
        <v>42.72</v>
      </c>
      <c r="AN6044" t="s">
        <v>7439</v>
      </c>
      <c r="AO6044">
        <v>11000</v>
      </c>
      <c r="AU6044">
        <v>2</v>
      </c>
      <c r="AV6044" t="s">
        <v>660</v>
      </c>
      <c r="AW6044" t="s">
        <v>46853</v>
      </c>
    </row>
    <row r="6045" spans="1:50">
      <c r="A6045" s="1">
        <f>HYPERLINK("https://lsnyc.legalserver.org/matter/dynamic-profile/view/1892077","19-1892077")</f>
        <v>0</v>
      </c>
      <c r="B6045" t="s">
        <v>144</v>
      </c>
      <c r="C6045" t="s">
        <v>340</v>
      </c>
      <c r="D6045" t="s">
        <v>758</v>
      </c>
      <c r="F6045" t="s">
        <v>3558</v>
      </c>
      <c r="G6045" t="s">
        <v>5607</v>
      </c>
      <c r="H6045" t="s">
        <v>13992</v>
      </c>
      <c r="I6045" t="s">
        <v>17446</v>
      </c>
      <c r="J6045" t="s">
        <v>18893</v>
      </c>
      <c r="K6045">
        <v>10027</v>
      </c>
      <c r="L6045" t="s">
        <v>18958</v>
      </c>
      <c r="M6045" t="s">
        <v>18958</v>
      </c>
      <c r="N6045" t="s">
        <v>23370</v>
      </c>
      <c r="O6045" t="s">
        <v>26524</v>
      </c>
      <c r="P6045" t="s">
        <v>26564</v>
      </c>
      <c r="R6045" t="s">
        <v>26580</v>
      </c>
      <c r="S6045" t="s">
        <v>18959</v>
      </c>
      <c r="U6045" t="s">
        <v>26604</v>
      </c>
      <c r="V6045" t="s">
        <v>26610</v>
      </c>
      <c r="W6045" t="s">
        <v>416</v>
      </c>
      <c r="X6045">
        <v>0</v>
      </c>
      <c r="Y6045" t="s">
        <v>26651</v>
      </c>
      <c r="Z6045" t="s">
        <v>26668</v>
      </c>
      <c r="AB6045" t="s">
        <v>27933</v>
      </c>
      <c r="AD6045" t="s">
        <v>41636</v>
      </c>
      <c r="AE6045">
        <v>30</v>
      </c>
      <c r="AF6045" t="s">
        <v>20460</v>
      </c>
      <c r="AG6045" t="s">
        <v>19330</v>
      </c>
      <c r="AH6045">
        <v>15</v>
      </c>
      <c r="AI6045">
        <v>2</v>
      </c>
      <c r="AJ6045">
        <v>1</v>
      </c>
      <c r="AK6045">
        <v>290.11</v>
      </c>
      <c r="AN6045" t="s">
        <v>45581</v>
      </c>
      <c r="AO6045">
        <v>61880</v>
      </c>
      <c r="AU6045">
        <v>1.25</v>
      </c>
      <c r="AV6045" t="s">
        <v>836</v>
      </c>
      <c r="AW6045" t="s">
        <v>46875</v>
      </c>
    </row>
    <row r="6046" spans="1:50">
      <c r="A6046" s="1">
        <f>HYPERLINK("https://lsnyc.legalserver.org/matter/dynamic-profile/view/1892138","19-1892138")</f>
        <v>0</v>
      </c>
      <c r="B6046" t="s">
        <v>158</v>
      </c>
      <c r="C6046" t="s">
        <v>340</v>
      </c>
      <c r="D6046" t="s">
        <v>758</v>
      </c>
      <c r="F6046" t="s">
        <v>1320</v>
      </c>
      <c r="G6046" t="s">
        <v>7147</v>
      </c>
      <c r="H6046" t="s">
        <v>13993</v>
      </c>
      <c r="I6046" t="s">
        <v>17416</v>
      </c>
      <c r="J6046" t="s">
        <v>18894</v>
      </c>
      <c r="K6046">
        <v>11208</v>
      </c>
      <c r="L6046" t="s">
        <v>18958</v>
      </c>
      <c r="M6046" t="s">
        <v>18958</v>
      </c>
      <c r="N6046" t="s">
        <v>23371</v>
      </c>
      <c r="O6046" t="s">
        <v>26523</v>
      </c>
      <c r="P6046" t="s">
        <v>26564</v>
      </c>
      <c r="R6046" t="s">
        <v>26578</v>
      </c>
      <c r="U6046" t="s">
        <v>26604</v>
      </c>
      <c r="W6046" t="s">
        <v>416</v>
      </c>
      <c r="X6046">
        <v>2200</v>
      </c>
      <c r="Y6046" t="s">
        <v>26652</v>
      </c>
      <c r="AB6046" t="s">
        <v>27627</v>
      </c>
      <c r="AC6046" t="s">
        <v>36090</v>
      </c>
      <c r="AD6046" t="s">
        <v>41637</v>
      </c>
      <c r="AE6046">
        <v>2</v>
      </c>
      <c r="AF6046" t="s">
        <v>45547</v>
      </c>
      <c r="AH6046">
        <v>1</v>
      </c>
      <c r="AI6046">
        <v>1</v>
      </c>
      <c r="AJ6046">
        <v>4</v>
      </c>
      <c r="AK6046">
        <v>26.89</v>
      </c>
      <c r="AN6046" t="s">
        <v>45581</v>
      </c>
      <c r="AO6046">
        <v>8112</v>
      </c>
      <c r="AU6046">
        <v>5.7</v>
      </c>
      <c r="AV6046" t="s">
        <v>657</v>
      </c>
      <c r="AW6046" t="s">
        <v>46853</v>
      </c>
    </row>
    <row r="6047" spans="1:50">
      <c r="A6047" s="1">
        <f>HYPERLINK("https://lsnyc.legalserver.org/matter/dynamic-profile/view/1892082","19-1892082")</f>
        <v>0</v>
      </c>
      <c r="B6047" t="s">
        <v>158</v>
      </c>
      <c r="C6047" t="s">
        <v>340</v>
      </c>
      <c r="D6047" t="s">
        <v>758</v>
      </c>
      <c r="F6047" t="s">
        <v>1066</v>
      </c>
      <c r="G6047" t="s">
        <v>7873</v>
      </c>
      <c r="H6047" t="s">
        <v>13994</v>
      </c>
      <c r="I6047" t="s">
        <v>18004</v>
      </c>
      <c r="J6047" t="s">
        <v>18894</v>
      </c>
      <c r="K6047">
        <v>11230</v>
      </c>
      <c r="L6047" t="s">
        <v>18958</v>
      </c>
      <c r="M6047" t="s">
        <v>18958</v>
      </c>
      <c r="N6047" t="s">
        <v>23372</v>
      </c>
      <c r="O6047" t="s">
        <v>26523</v>
      </c>
      <c r="P6047" t="s">
        <v>26564</v>
      </c>
      <c r="R6047" t="s">
        <v>26586</v>
      </c>
      <c r="U6047" t="s">
        <v>26604</v>
      </c>
      <c r="W6047" t="s">
        <v>416</v>
      </c>
      <c r="X6047">
        <v>500</v>
      </c>
      <c r="Y6047" t="s">
        <v>26652</v>
      </c>
      <c r="Z6047" t="s">
        <v>26664</v>
      </c>
      <c r="AB6047" t="s">
        <v>31424</v>
      </c>
      <c r="AD6047" t="s">
        <v>41638</v>
      </c>
      <c r="AE6047">
        <v>2</v>
      </c>
      <c r="AF6047" t="s">
        <v>45553</v>
      </c>
      <c r="AG6047" t="s">
        <v>19330</v>
      </c>
      <c r="AH6047">
        <v>-1</v>
      </c>
      <c r="AI6047">
        <v>1</v>
      </c>
      <c r="AJ6047">
        <v>0</v>
      </c>
      <c r="AK6047">
        <v>80.7</v>
      </c>
      <c r="AN6047" t="s">
        <v>45586</v>
      </c>
      <c r="AO6047">
        <v>10080</v>
      </c>
      <c r="AU6047">
        <v>3.8</v>
      </c>
      <c r="AV6047" t="s">
        <v>759</v>
      </c>
      <c r="AW6047" t="s">
        <v>46853</v>
      </c>
    </row>
    <row r="6048" spans="1:50">
      <c r="A6048" s="1">
        <f>HYPERLINK("https://lsnyc.legalserver.org/matter/dynamic-profile/view/1892109","19-1892109")</f>
        <v>0</v>
      </c>
      <c r="B6048" t="s">
        <v>158</v>
      </c>
      <c r="C6048" t="s">
        <v>340</v>
      </c>
      <c r="D6048" t="s">
        <v>758</v>
      </c>
      <c r="F6048" t="s">
        <v>1923</v>
      </c>
      <c r="G6048" t="s">
        <v>5119</v>
      </c>
      <c r="H6048" t="s">
        <v>13995</v>
      </c>
      <c r="I6048" t="s">
        <v>18132</v>
      </c>
      <c r="J6048" t="s">
        <v>18894</v>
      </c>
      <c r="K6048">
        <v>11221</v>
      </c>
      <c r="L6048" t="s">
        <v>18958</v>
      </c>
      <c r="M6048" t="s">
        <v>18958</v>
      </c>
      <c r="N6048" t="s">
        <v>23373</v>
      </c>
      <c r="O6048" t="s">
        <v>26523</v>
      </c>
      <c r="P6048" t="s">
        <v>26564</v>
      </c>
      <c r="R6048" t="s">
        <v>26588</v>
      </c>
      <c r="U6048" t="s">
        <v>26604</v>
      </c>
      <c r="W6048" t="s">
        <v>416</v>
      </c>
      <c r="X6048">
        <v>1248</v>
      </c>
      <c r="Y6048" t="s">
        <v>26652</v>
      </c>
      <c r="Z6048" t="s">
        <v>26669</v>
      </c>
      <c r="AB6048" t="s">
        <v>31425</v>
      </c>
      <c r="AE6048">
        <v>56</v>
      </c>
      <c r="AH6048">
        <v>8</v>
      </c>
      <c r="AI6048">
        <v>1</v>
      </c>
      <c r="AJ6048">
        <v>1</v>
      </c>
      <c r="AK6048">
        <v>0</v>
      </c>
      <c r="AN6048" t="s">
        <v>7439</v>
      </c>
      <c r="AO6048">
        <v>0</v>
      </c>
      <c r="AU6048">
        <v>1.4</v>
      </c>
      <c r="AV6048" t="s">
        <v>657</v>
      </c>
      <c r="AW6048" t="s">
        <v>46853</v>
      </c>
    </row>
    <row r="6049" spans="1:50">
      <c r="A6049" s="1">
        <f>HYPERLINK("https://lsnyc.legalserver.org/matter/dynamic-profile/view/1892063","19-1892063")</f>
        <v>0</v>
      </c>
      <c r="B6049" t="s">
        <v>193</v>
      </c>
      <c r="C6049" t="s">
        <v>340</v>
      </c>
      <c r="D6049" t="s">
        <v>758</v>
      </c>
      <c r="F6049" t="s">
        <v>3559</v>
      </c>
      <c r="G6049" t="s">
        <v>7664</v>
      </c>
      <c r="H6049" t="s">
        <v>13996</v>
      </c>
      <c r="J6049" t="s">
        <v>18894</v>
      </c>
      <c r="K6049">
        <v>11221</v>
      </c>
      <c r="L6049" t="s">
        <v>18958</v>
      </c>
      <c r="M6049" t="s">
        <v>18958</v>
      </c>
      <c r="N6049" t="s">
        <v>23374</v>
      </c>
      <c r="O6049" t="s">
        <v>26524</v>
      </c>
      <c r="P6049" t="s">
        <v>26560</v>
      </c>
      <c r="R6049" t="s">
        <v>26588</v>
      </c>
      <c r="U6049" t="s">
        <v>26604</v>
      </c>
      <c r="W6049" t="s">
        <v>416</v>
      </c>
      <c r="X6049">
        <v>2000</v>
      </c>
      <c r="Y6049" t="s">
        <v>26652</v>
      </c>
      <c r="Z6049" t="s">
        <v>26669</v>
      </c>
      <c r="AB6049" t="s">
        <v>29863</v>
      </c>
      <c r="AD6049" t="s">
        <v>41639</v>
      </c>
      <c r="AE6049">
        <v>0</v>
      </c>
      <c r="AG6049" t="s">
        <v>45556</v>
      </c>
      <c r="AH6049">
        <v>2</v>
      </c>
      <c r="AI6049">
        <v>2</v>
      </c>
      <c r="AJ6049">
        <v>4</v>
      </c>
      <c r="AK6049">
        <v>57.82</v>
      </c>
      <c r="AN6049" t="s">
        <v>7439</v>
      </c>
      <c r="AO6049">
        <v>20000</v>
      </c>
      <c r="AU6049">
        <v>6.9</v>
      </c>
      <c r="AV6049" t="s">
        <v>792</v>
      </c>
      <c r="AW6049" t="s">
        <v>281</v>
      </c>
    </row>
    <row r="6050" spans="1:50">
      <c r="A6050" s="1">
        <f>HYPERLINK("https://lsnyc.legalserver.org/matter/dynamic-profile/view/1892134","19-1892134")</f>
        <v>0</v>
      </c>
      <c r="B6050" t="s">
        <v>193</v>
      </c>
      <c r="C6050" t="s">
        <v>340</v>
      </c>
      <c r="D6050" t="s">
        <v>758</v>
      </c>
      <c r="F6050" t="s">
        <v>3560</v>
      </c>
      <c r="G6050" t="s">
        <v>5086</v>
      </c>
      <c r="H6050" t="s">
        <v>13997</v>
      </c>
      <c r="I6050" t="s">
        <v>18244</v>
      </c>
      <c r="J6050" t="s">
        <v>18894</v>
      </c>
      <c r="K6050">
        <v>11225</v>
      </c>
      <c r="L6050" t="s">
        <v>18958</v>
      </c>
      <c r="M6050" t="s">
        <v>18958</v>
      </c>
      <c r="N6050" t="s">
        <v>23375</v>
      </c>
      <c r="O6050" t="s">
        <v>26523</v>
      </c>
      <c r="P6050" t="s">
        <v>26560</v>
      </c>
      <c r="R6050" t="s">
        <v>26588</v>
      </c>
      <c r="U6050" t="s">
        <v>26604</v>
      </c>
      <c r="W6050" t="s">
        <v>416</v>
      </c>
      <c r="X6050">
        <v>659</v>
      </c>
      <c r="Y6050" t="s">
        <v>26652</v>
      </c>
      <c r="AB6050" t="s">
        <v>27765</v>
      </c>
      <c r="AE6050">
        <v>200</v>
      </c>
      <c r="AH6050">
        <v>11</v>
      </c>
      <c r="AI6050">
        <v>1</v>
      </c>
      <c r="AJ6050">
        <v>0</v>
      </c>
      <c r="AK6050">
        <v>184.15</v>
      </c>
      <c r="AN6050" t="s">
        <v>7439</v>
      </c>
      <c r="AO6050">
        <v>23000</v>
      </c>
      <c r="AU6050">
        <v>13.4</v>
      </c>
      <c r="AV6050" t="s">
        <v>773</v>
      </c>
      <c r="AW6050" t="s">
        <v>281</v>
      </c>
    </row>
    <row r="6051" spans="1:50">
      <c r="A6051" s="1">
        <f>HYPERLINK("https://lsnyc.legalserver.org/matter/dynamic-profile/view/1892223","19-1892223")</f>
        <v>0</v>
      </c>
      <c r="B6051" t="s">
        <v>232</v>
      </c>
      <c r="C6051" t="s">
        <v>341</v>
      </c>
      <c r="D6051" t="s">
        <v>659</v>
      </c>
      <c r="E6051" t="s">
        <v>785</v>
      </c>
      <c r="F6051" t="s">
        <v>968</v>
      </c>
      <c r="G6051" t="s">
        <v>7874</v>
      </c>
      <c r="H6051" t="s">
        <v>13998</v>
      </c>
      <c r="I6051" t="s">
        <v>17436</v>
      </c>
      <c r="J6051" t="s">
        <v>18894</v>
      </c>
      <c r="K6051">
        <v>11230</v>
      </c>
      <c r="L6051" t="s">
        <v>18958</v>
      </c>
      <c r="M6051" t="s">
        <v>18958</v>
      </c>
      <c r="N6051" t="s">
        <v>23376</v>
      </c>
      <c r="O6051" t="s">
        <v>26523</v>
      </c>
      <c r="P6051" t="s">
        <v>26564</v>
      </c>
      <c r="Q6051" t="s">
        <v>26570</v>
      </c>
      <c r="R6051" t="s">
        <v>26586</v>
      </c>
      <c r="S6051" t="s">
        <v>18959</v>
      </c>
      <c r="U6051" t="s">
        <v>26604</v>
      </c>
      <c r="V6051" t="s">
        <v>26610</v>
      </c>
      <c r="W6051" t="s">
        <v>416</v>
      </c>
      <c r="X6051">
        <v>1137.6</v>
      </c>
      <c r="Y6051" t="s">
        <v>26652</v>
      </c>
      <c r="Z6051" t="s">
        <v>26664</v>
      </c>
      <c r="AA6051" t="s">
        <v>26683</v>
      </c>
      <c r="AB6051" t="s">
        <v>29768</v>
      </c>
      <c r="AD6051" t="s">
        <v>41640</v>
      </c>
      <c r="AE6051">
        <v>44</v>
      </c>
      <c r="AF6051" t="s">
        <v>45541</v>
      </c>
      <c r="AG6051" t="s">
        <v>45559</v>
      </c>
      <c r="AH6051">
        <v>36</v>
      </c>
      <c r="AI6051">
        <v>2</v>
      </c>
      <c r="AJ6051">
        <v>0</v>
      </c>
      <c r="AK6051">
        <v>149.31</v>
      </c>
      <c r="AN6051" t="s">
        <v>7439</v>
      </c>
      <c r="AO6051">
        <v>25248</v>
      </c>
      <c r="AU6051">
        <v>0.3</v>
      </c>
      <c r="AV6051" t="s">
        <v>785</v>
      </c>
      <c r="AW6051" t="s">
        <v>46853</v>
      </c>
    </row>
    <row r="6052" spans="1:50">
      <c r="A6052" s="1">
        <f>HYPERLINK("https://lsnyc.legalserver.org/matter/dynamic-profile/view/1892309","19-1892309")</f>
        <v>0</v>
      </c>
      <c r="B6052" t="s">
        <v>209</v>
      </c>
      <c r="C6052" t="s">
        <v>341</v>
      </c>
      <c r="D6052" t="s">
        <v>659</v>
      </c>
      <c r="E6052" t="s">
        <v>741</v>
      </c>
      <c r="F6052" t="s">
        <v>1637</v>
      </c>
      <c r="G6052" t="s">
        <v>7875</v>
      </c>
      <c r="H6052" t="s">
        <v>13999</v>
      </c>
      <c r="I6052" t="s">
        <v>17366</v>
      </c>
      <c r="J6052" t="s">
        <v>18892</v>
      </c>
      <c r="K6052">
        <v>10456</v>
      </c>
      <c r="L6052" t="s">
        <v>18958</v>
      </c>
      <c r="M6052" t="s">
        <v>18958</v>
      </c>
      <c r="N6052" t="s">
        <v>23377</v>
      </c>
      <c r="O6052" t="s">
        <v>26523</v>
      </c>
      <c r="P6052" t="s">
        <v>26560</v>
      </c>
      <c r="Q6052" t="s">
        <v>26574</v>
      </c>
      <c r="R6052" t="s">
        <v>26577</v>
      </c>
      <c r="S6052" t="s">
        <v>18959</v>
      </c>
      <c r="U6052" t="s">
        <v>26604</v>
      </c>
      <c r="V6052" t="s">
        <v>26614</v>
      </c>
      <c r="W6052" t="s">
        <v>416</v>
      </c>
      <c r="X6052">
        <v>1228</v>
      </c>
      <c r="Y6052" t="s">
        <v>26650</v>
      </c>
      <c r="Z6052" t="s">
        <v>26657</v>
      </c>
      <c r="AA6052" t="s">
        <v>26678</v>
      </c>
      <c r="AB6052" t="s">
        <v>31426</v>
      </c>
      <c r="AC6052" t="s">
        <v>36091</v>
      </c>
      <c r="AD6052" t="s">
        <v>41641</v>
      </c>
      <c r="AE6052">
        <v>100</v>
      </c>
      <c r="AF6052" t="s">
        <v>45541</v>
      </c>
      <c r="AG6052" t="s">
        <v>45560</v>
      </c>
      <c r="AH6052">
        <v>5</v>
      </c>
      <c r="AI6052">
        <v>2</v>
      </c>
      <c r="AJ6052">
        <v>0</v>
      </c>
      <c r="AK6052">
        <v>94.45</v>
      </c>
      <c r="AN6052" t="s">
        <v>7439</v>
      </c>
      <c r="AO6052">
        <v>15972</v>
      </c>
      <c r="AQ6052" t="s">
        <v>46359</v>
      </c>
      <c r="AR6052" t="s">
        <v>46379</v>
      </c>
      <c r="AS6052" t="s">
        <v>46499</v>
      </c>
      <c r="AT6052" t="s">
        <v>46623</v>
      </c>
      <c r="AU6052">
        <v>8.6</v>
      </c>
      <c r="AV6052" t="s">
        <v>741</v>
      </c>
      <c r="AW6052" t="s">
        <v>46870</v>
      </c>
    </row>
    <row r="6053" spans="1:50">
      <c r="A6053" s="1">
        <f>HYPERLINK("https://lsnyc.legalserver.org/matter/dynamic-profile/view/1892210","19-1892210")</f>
        <v>0</v>
      </c>
      <c r="B6053" t="s">
        <v>167</v>
      </c>
      <c r="C6053" t="s">
        <v>340</v>
      </c>
      <c r="D6053" t="s">
        <v>659</v>
      </c>
      <c r="F6053" t="s">
        <v>3561</v>
      </c>
      <c r="G6053" t="s">
        <v>7876</v>
      </c>
      <c r="H6053" t="s">
        <v>14000</v>
      </c>
      <c r="I6053" t="s">
        <v>18308</v>
      </c>
      <c r="J6053" t="s">
        <v>18894</v>
      </c>
      <c r="K6053">
        <v>11205</v>
      </c>
      <c r="L6053" t="s">
        <v>18958</v>
      </c>
      <c r="M6053" t="s">
        <v>18958</v>
      </c>
      <c r="N6053" t="s">
        <v>23378</v>
      </c>
      <c r="O6053" t="s">
        <v>26523</v>
      </c>
      <c r="P6053" t="s">
        <v>26560</v>
      </c>
      <c r="R6053" t="s">
        <v>26586</v>
      </c>
      <c r="U6053" t="s">
        <v>26604</v>
      </c>
      <c r="W6053" t="s">
        <v>416</v>
      </c>
      <c r="X6053">
        <v>1835</v>
      </c>
      <c r="Y6053" t="s">
        <v>26652</v>
      </c>
      <c r="Z6053" t="s">
        <v>26664</v>
      </c>
      <c r="AB6053" t="s">
        <v>31427</v>
      </c>
      <c r="AD6053" t="s">
        <v>41642</v>
      </c>
      <c r="AE6053">
        <v>80</v>
      </c>
      <c r="AG6053" t="s">
        <v>26530</v>
      </c>
      <c r="AH6053">
        <v>8</v>
      </c>
      <c r="AI6053">
        <v>1</v>
      </c>
      <c r="AJ6053">
        <v>0</v>
      </c>
      <c r="AK6053">
        <v>105.68</v>
      </c>
      <c r="AN6053" t="s">
        <v>7439</v>
      </c>
      <c r="AO6053">
        <v>13200</v>
      </c>
      <c r="AU6053">
        <v>3.4</v>
      </c>
      <c r="AV6053" t="s">
        <v>785</v>
      </c>
      <c r="AW6053" t="s">
        <v>46853</v>
      </c>
    </row>
    <row r="6054" spans="1:50">
      <c r="A6054" s="1">
        <f>HYPERLINK("https://lsnyc.legalserver.org/matter/dynamic-profile/view/1892221","19-1892221")</f>
        <v>0</v>
      </c>
      <c r="B6054" t="s">
        <v>140</v>
      </c>
      <c r="C6054" t="s">
        <v>340</v>
      </c>
      <c r="D6054" t="s">
        <v>659</v>
      </c>
      <c r="F6054" t="s">
        <v>1652</v>
      </c>
      <c r="G6054" t="s">
        <v>7877</v>
      </c>
      <c r="H6054" t="s">
        <v>14001</v>
      </c>
      <c r="I6054" t="s">
        <v>18309</v>
      </c>
      <c r="J6054" t="s">
        <v>18894</v>
      </c>
      <c r="K6054">
        <v>11210</v>
      </c>
      <c r="L6054" t="s">
        <v>18958</v>
      </c>
      <c r="M6054" t="s">
        <v>18958</v>
      </c>
      <c r="N6054" t="s">
        <v>23379</v>
      </c>
      <c r="O6054" t="s">
        <v>26523</v>
      </c>
      <c r="P6054" t="s">
        <v>26560</v>
      </c>
      <c r="R6054" t="s">
        <v>26586</v>
      </c>
      <c r="S6054" t="s">
        <v>18959</v>
      </c>
      <c r="U6054" t="s">
        <v>26604</v>
      </c>
      <c r="V6054" t="s">
        <v>26610</v>
      </c>
      <c r="W6054" t="s">
        <v>416</v>
      </c>
      <c r="X6054">
        <v>1065.36</v>
      </c>
      <c r="Y6054" t="s">
        <v>26652</v>
      </c>
      <c r="Z6054" t="s">
        <v>26664</v>
      </c>
      <c r="AB6054" t="s">
        <v>31428</v>
      </c>
      <c r="AD6054" t="s">
        <v>41640</v>
      </c>
      <c r="AE6054">
        <v>6</v>
      </c>
      <c r="AG6054" t="s">
        <v>19330</v>
      </c>
      <c r="AH6054">
        <v>36</v>
      </c>
      <c r="AI6054">
        <v>2</v>
      </c>
      <c r="AJ6054">
        <v>0</v>
      </c>
      <c r="AK6054">
        <v>50.38</v>
      </c>
      <c r="AN6054" t="s">
        <v>7439</v>
      </c>
      <c r="AO6054">
        <v>8520</v>
      </c>
      <c r="AU6054">
        <v>12.6</v>
      </c>
      <c r="AV6054" t="s">
        <v>830</v>
      </c>
      <c r="AW6054" t="s">
        <v>46853</v>
      </c>
      <c r="AX6054" t="s">
        <v>46897</v>
      </c>
    </row>
    <row r="6055" spans="1:50">
      <c r="A6055" s="1">
        <f>HYPERLINK("https://lsnyc.legalserver.org/matter/dynamic-profile/view/1892188","19-1892188")</f>
        <v>0</v>
      </c>
      <c r="B6055" t="s">
        <v>193</v>
      </c>
      <c r="C6055" t="s">
        <v>340</v>
      </c>
      <c r="D6055" t="s">
        <v>659</v>
      </c>
      <c r="F6055" t="s">
        <v>3562</v>
      </c>
      <c r="G6055" t="s">
        <v>7878</v>
      </c>
      <c r="H6055" t="s">
        <v>14002</v>
      </c>
      <c r="I6055" t="s">
        <v>17272</v>
      </c>
      <c r="J6055" t="s">
        <v>18894</v>
      </c>
      <c r="K6055">
        <v>11216</v>
      </c>
      <c r="L6055" t="s">
        <v>18958</v>
      </c>
      <c r="M6055" t="s">
        <v>18958</v>
      </c>
      <c r="N6055" t="s">
        <v>23380</v>
      </c>
      <c r="O6055" t="s">
        <v>26523</v>
      </c>
      <c r="P6055" t="s">
        <v>26560</v>
      </c>
      <c r="R6055" t="s">
        <v>26588</v>
      </c>
      <c r="U6055" t="s">
        <v>26604</v>
      </c>
      <c r="W6055" t="s">
        <v>416</v>
      </c>
      <c r="X6055">
        <v>1600</v>
      </c>
      <c r="Y6055" t="s">
        <v>26652</v>
      </c>
      <c r="Z6055" t="s">
        <v>26669</v>
      </c>
      <c r="AB6055" t="s">
        <v>31429</v>
      </c>
      <c r="AD6055" t="s">
        <v>41643</v>
      </c>
      <c r="AE6055">
        <v>0</v>
      </c>
      <c r="AG6055" t="s">
        <v>45556</v>
      </c>
      <c r="AH6055">
        <v>18</v>
      </c>
      <c r="AI6055">
        <v>2</v>
      </c>
      <c r="AJ6055">
        <v>1</v>
      </c>
      <c r="AK6055">
        <v>113.14</v>
      </c>
      <c r="AN6055" t="s">
        <v>7439</v>
      </c>
      <c r="AO6055">
        <v>24132</v>
      </c>
      <c r="AU6055">
        <v>7.8</v>
      </c>
      <c r="AV6055" t="s">
        <v>767</v>
      </c>
      <c r="AW6055" t="s">
        <v>281</v>
      </c>
    </row>
    <row r="6056" spans="1:50">
      <c r="A6056" s="1">
        <f>HYPERLINK("https://lsnyc.legalserver.org/matter/dynamic-profile/view/1892434","19-1892434")</f>
        <v>0</v>
      </c>
      <c r="B6056" t="s">
        <v>53</v>
      </c>
      <c r="C6056" t="s">
        <v>341</v>
      </c>
      <c r="D6056" t="s">
        <v>416</v>
      </c>
      <c r="E6056" t="s">
        <v>830</v>
      </c>
      <c r="F6056" t="s">
        <v>1119</v>
      </c>
      <c r="G6056" t="s">
        <v>7879</v>
      </c>
      <c r="H6056" t="s">
        <v>14003</v>
      </c>
      <c r="I6056" t="s">
        <v>18310</v>
      </c>
      <c r="J6056" t="s">
        <v>18892</v>
      </c>
      <c r="K6056">
        <v>10468</v>
      </c>
      <c r="L6056" t="s">
        <v>18958</v>
      </c>
      <c r="M6056" t="s">
        <v>18958</v>
      </c>
      <c r="N6056" t="s">
        <v>23381</v>
      </c>
      <c r="O6056" t="s">
        <v>26523</v>
      </c>
      <c r="P6056" t="s">
        <v>26560</v>
      </c>
      <c r="Q6056" t="s">
        <v>26568</v>
      </c>
      <c r="R6056" t="s">
        <v>26579</v>
      </c>
      <c r="S6056" t="s">
        <v>18959</v>
      </c>
      <c r="U6056" t="s">
        <v>26604</v>
      </c>
      <c r="V6056" t="s">
        <v>26610</v>
      </c>
      <c r="W6056" t="s">
        <v>416</v>
      </c>
      <c r="X6056">
        <v>1550</v>
      </c>
      <c r="Y6056" t="s">
        <v>26650</v>
      </c>
      <c r="Z6056" t="s">
        <v>26664</v>
      </c>
      <c r="AA6056" t="s">
        <v>26678</v>
      </c>
      <c r="AB6056" t="s">
        <v>31430</v>
      </c>
      <c r="AE6056">
        <v>53</v>
      </c>
      <c r="AF6056" t="s">
        <v>45541</v>
      </c>
      <c r="AG6056" t="s">
        <v>19330</v>
      </c>
      <c r="AH6056">
        <v>2</v>
      </c>
      <c r="AI6056">
        <v>2</v>
      </c>
      <c r="AJ6056">
        <v>1</v>
      </c>
      <c r="AK6056">
        <v>182.83</v>
      </c>
      <c r="AN6056" t="s">
        <v>45581</v>
      </c>
      <c r="AO6056">
        <v>38997</v>
      </c>
      <c r="AQ6056" t="s">
        <v>46361</v>
      </c>
      <c r="AR6056" t="s">
        <v>46385</v>
      </c>
      <c r="AS6056" t="s">
        <v>46499</v>
      </c>
      <c r="AT6056" t="s">
        <v>46723</v>
      </c>
      <c r="AU6056">
        <v>18.2</v>
      </c>
      <c r="AV6056" t="s">
        <v>830</v>
      </c>
      <c r="AW6056" t="s">
        <v>334</v>
      </c>
      <c r="AX6056" t="s">
        <v>46897</v>
      </c>
    </row>
    <row r="6057" spans="1:50">
      <c r="A6057" s="1">
        <f>HYPERLINK("https://lsnyc.legalserver.org/matter/dynamic-profile/view/1892455","19-1892455")</f>
        <v>0</v>
      </c>
      <c r="B6057" t="s">
        <v>180</v>
      </c>
      <c r="C6057" t="s">
        <v>341</v>
      </c>
      <c r="D6057" t="s">
        <v>416</v>
      </c>
      <c r="E6057" t="s">
        <v>822</v>
      </c>
      <c r="F6057" t="s">
        <v>1251</v>
      </c>
      <c r="G6057" t="s">
        <v>7880</v>
      </c>
      <c r="H6057" t="s">
        <v>14004</v>
      </c>
      <c r="I6057" t="s">
        <v>17342</v>
      </c>
      <c r="J6057" t="s">
        <v>18894</v>
      </c>
      <c r="K6057">
        <v>11224</v>
      </c>
      <c r="L6057" t="s">
        <v>18958</v>
      </c>
      <c r="M6057" t="s">
        <v>18958</v>
      </c>
      <c r="N6057" t="s">
        <v>23382</v>
      </c>
      <c r="O6057" t="s">
        <v>26524</v>
      </c>
      <c r="P6057" t="s">
        <v>26565</v>
      </c>
      <c r="Q6057" t="s">
        <v>26571</v>
      </c>
      <c r="R6057" t="s">
        <v>26586</v>
      </c>
      <c r="U6057" t="s">
        <v>26604</v>
      </c>
      <c r="W6057" t="s">
        <v>416</v>
      </c>
      <c r="X6057">
        <v>747.37</v>
      </c>
      <c r="Y6057" t="s">
        <v>26652</v>
      </c>
      <c r="Z6057" t="s">
        <v>26664</v>
      </c>
      <c r="AA6057" t="s">
        <v>26683</v>
      </c>
      <c r="AB6057" t="s">
        <v>31431</v>
      </c>
      <c r="AD6057" t="s">
        <v>41644</v>
      </c>
      <c r="AE6057">
        <v>0</v>
      </c>
      <c r="AH6057">
        <v>42</v>
      </c>
      <c r="AI6057">
        <v>1</v>
      </c>
      <c r="AJ6057">
        <v>0</v>
      </c>
      <c r="AK6057">
        <v>76.86</v>
      </c>
      <c r="AN6057" t="s">
        <v>7439</v>
      </c>
      <c r="AO6057">
        <v>9600</v>
      </c>
      <c r="AU6057">
        <v>39.69</v>
      </c>
      <c r="AV6057" t="s">
        <v>822</v>
      </c>
      <c r="AW6057" t="s">
        <v>281</v>
      </c>
    </row>
    <row r="6058" spans="1:50">
      <c r="A6058" s="1">
        <f>HYPERLINK("https://lsnyc.legalserver.org/matter/dynamic-profile/view/1892379","19-1892379")</f>
        <v>0</v>
      </c>
      <c r="B6058" t="s">
        <v>79</v>
      </c>
      <c r="C6058" t="s">
        <v>341</v>
      </c>
      <c r="D6058" t="s">
        <v>416</v>
      </c>
      <c r="E6058" t="s">
        <v>833</v>
      </c>
      <c r="F6058" t="s">
        <v>1876</v>
      </c>
      <c r="G6058" t="s">
        <v>5271</v>
      </c>
      <c r="H6058" t="s">
        <v>14005</v>
      </c>
      <c r="I6058" t="s">
        <v>17277</v>
      </c>
      <c r="J6058" t="s">
        <v>18893</v>
      </c>
      <c r="K6058">
        <v>10034</v>
      </c>
      <c r="L6058" t="s">
        <v>18958</v>
      </c>
      <c r="M6058" t="s">
        <v>18958</v>
      </c>
      <c r="O6058" t="s">
        <v>26526</v>
      </c>
      <c r="P6058" t="s">
        <v>26565</v>
      </c>
      <c r="Q6058" t="s">
        <v>26571</v>
      </c>
      <c r="R6058" t="s">
        <v>26578</v>
      </c>
      <c r="S6058" t="s">
        <v>18959</v>
      </c>
      <c r="U6058" t="s">
        <v>26604</v>
      </c>
      <c r="W6058" t="s">
        <v>416</v>
      </c>
      <c r="X6058">
        <v>1040.34</v>
      </c>
      <c r="Y6058" t="s">
        <v>26651</v>
      </c>
      <c r="Z6058" t="s">
        <v>26661</v>
      </c>
      <c r="AA6058" t="s">
        <v>26683</v>
      </c>
      <c r="AB6058" t="s">
        <v>31432</v>
      </c>
      <c r="AD6058" t="s">
        <v>41645</v>
      </c>
      <c r="AE6058">
        <v>48</v>
      </c>
      <c r="AF6058" t="s">
        <v>45541</v>
      </c>
      <c r="AG6058" t="s">
        <v>19330</v>
      </c>
      <c r="AH6058">
        <v>25</v>
      </c>
      <c r="AI6058">
        <v>1</v>
      </c>
      <c r="AJ6058">
        <v>0</v>
      </c>
      <c r="AK6058">
        <v>240.19</v>
      </c>
      <c r="AN6058" t="s">
        <v>7439</v>
      </c>
      <c r="AO6058">
        <v>30000</v>
      </c>
      <c r="AU6058">
        <v>0.3</v>
      </c>
      <c r="AV6058" t="s">
        <v>729</v>
      </c>
      <c r="AW6058" t="s">
        <v>46840</v>
      </c>
      <c r="AX6058" t="s">
        <v>46897</v>
      </c>
    </row>
    <row r="6059" spans="1:50">
      <c r="A6059" s="1">
        <f>HYPERLINK("https://lsnyc.legalserver.org/matter/dynamic-profile/view/1892306","19-1892306")</f>
        <v>0</v>
      </c>
      <c r="B6059" t="s">
        <v>126</v>
      </c>
      <c r="C6059" t="s">
        <v>341</v>
      </c>
      <c r="D6059" t="s">
        <v>416</v>
      </c>
      <c r="E6059" t="s">
        <v>793</v>
      </c>
      <c r="F6059" t="s">
        <v>2111</v>
      </c>
      <c r="G6059" t="s">
        <v>7881</v>
      </c>
      <c r="H6059" t="s">
        <v>14006</v>
      </c>
      <c r="I6059" t="s">
        <v>17603</v>
      </c>
      <c r="J6059" t="s">
        <v>18894</v>
      </c>
      <c r="K6059">
        <v>11207</v>
      </c>
      <c r="L6059" t="s">
        <v>18958</v>
      </c>
      <c r="M6059" t="s">
        <v>18958</v>
      </c>
      <c r="N6059" t="s">
        <v>23383</v>
      </c>
      <c r="O6059" t="s">
        <v>26523</v>
      </c>
      <c r="P6059" t="s">
        <v>26560</v>
      </c>
      <c r="Q6059" t="s">
        <v>26573</v>
      </c>
      <c r="R6059" t="s">
        <v>26583</v>
      </c>
      <c r="S6059" t="s">
        <v>18959</v>
      </c>
      <c r="U6059" t="s">
        <v>26604</v>
      </c>
      <c r="V6059" t="s">
        <v>26609</v>
      </c>
      <c r="W6059" t="s">
        <v>416</v>
      </c>
      <c r="X6059">
        <v>888.29</v>
      </c>
      <c r="Y6059" t="s">
        <v>26652</v>
      </c>
      <c r="Z6059" t="s">
        <v>26661</v>
      </c>
      <c r="AA6059" t="s">
        <v>26683</v>
      </c>
      <c r="AB6059" t="s">
        <v>31433</v>
      </c>
      <c r="AC6059" t="s">
        <v>19330</v>
      </c>
      <c r="AD6059" t="s">
        <v>41646</v>
      </c>
      <c r="AE6059">
        <v>63</v>
      </c>
      <c r="AF6059" t="s">
        <v>45552</v>
      </c>
      <c r="AG6059" t="s">
        <v>45556</v>
      </c>
      <c r="AH6059">
        <v>18</v>
      </c>
      <c r="AI6059">
        <v>1</v>
      </c>
      <c r="AJ6059">
        <v>1</v>
      </c>
      <c r="AK6059">
        <v>206.98</v>
      </c>
      <c r="AL6059" t="s">
        <v>820</v>
      </c>
      <c r="AM6059" t="s">
        <v>45575</v>
      </c>
      <c r="AN6059" t="s">
        <v>7439</v>
      </c>
      <c r="AO6059">
        <v>35000</v>
      </c>
      <c r="AU6059">
        <v>9</v>
      </c>
      <c r="AV6059" t="s">
        <v>793</v>
      </c>
      <c r="AW6059" t="s">
        <v>46858</v>
      </c>
    </row>
    <row r="6060" spans="1:50">
      <c r="A6060" s="1">
        <f>HYPERLINK("https://lsnyc.legalserver.org/matter/dynamic-profile/view/1892416","19-1892416")</f>
        <v>0</v>
      </c>
      <c r="B6060" t="s">
        <v>211</v>
      </c>
      <c r="C6060" t="s">
        <v>340</v>
      </c>
      <c r="D6060" t="s">
        <v>416</v>
      </c>
      <c r="F6060" t="s">
        <v>3563</v>
      </c>
      <c r="G6060" t="s">
        <v>7882</v>
      </c>
      <c r="H6060" t="s">
        <v>14007</v>
      </c>
      <c r="I6060" t="s">
        <v>17272</v>
      </c>
      <c r="J6060" t="s">
        <v>18894</v>
      </c>
      <c r="K6060">
        <v>11212</v>
      </c>
      <c r="L6060" t="s">
        <v>18958</v>
      </c>
      <c r="M6060" t="s">
        <v>18958</v>
      </c>
      <c r="N6060" t="s">
        <v>19330</v>
      </c>
      <c r="O6060" t="s">
        <v>26531</v>
      </c>
      <c r="P6060" t="s">
        <v>26564</v>
      </c>
      <c r="R6060" t="s">
        <v>26578</v>
      </c>
      <c r="U6060" t="s">
        <v>26604</v>
      </c>
      <c r="W6060" t="s">
        <v>416</v>
      </c>
      <c r="X6060">
        <v>0</v>
      </c>
      <c r="Y6060" t="s">
        <v>26652</v>
      </c>
      <c r="AB6060" t="s">
        <v>30681</v>
      </c>
      <c r="AE6060">
        <v>0</v>
      </c>
      <c r="AG6060" t="s">
        <v>19330</v>
      </c>
      <c r="AH6060">
        <v>0</v>
      </c>
      <c r="AI6060">
        <v>2</v>
      </c>
      <c r="AJ6060">
        <v>1</v>
      </c>
      <c r="AK6060">
        <v>117.21</v>
      </c>
      <c r="AN6060" t="s">
        <v>7439</v>
      </c>
      <c r="AO6060">
        <v>25000</v>
      </c>
      <c r="AU6060">
        <v>5</v>
      </c>
      <c r="AV6060" t="s">
        <v>794</v>
      </c>
      <c r="AW6060" t="s">
        <v>279</v>
      </c>
    </row>
    <row r="6061" spans="1:50">
      <c r="A6061" s="1">
        <f>HYPERLINK("https://lsnyc.legalserver.org/matter/dynamic-profile/view/1892407","19-1892407")</f>
        <v>0</v>
      </c>
      <c r="B6061" t="s">
        <v>276</v>
      </c>
      <c r="C6061" t="s">
        <v>340</v>
      </c>
      <c r="D6061" t="s">
        <v>416</v>
      </c>
      <c r="F6061" t="s">
        <v>3564</v>
      </c>
      <c r="G6061" t="s">
        <v>6860</v>
      </c>
      <c r="H6061" t="s">
        <v>14008</v>
      </c>
      <c r="I6061" t="s">
        <v>18311</v>
      </c>
      <c r="J6061" t="s">
        <v>18894</v>
      </c>
      <c r="K6061">
        <v>11203</v>
      </c>
      <c r="L6061" t="s">
        <v>18958</v>
      </c>
      <c r="M6061" t="s">
        <v>18958</v>
      </c>
      <c r="N6061" t="s">
        <v>23384</v>
      </c>
      <c r="O6061" t="s">
        <v>26526</v>
      </c>
      <c r="P6061" t="s">
        <v>26560</v>
      </c>
      <c r="R6061" t="s">
        <v>26578</v>
      </c>
      <c r="U6061" t="s">
        <v>26604</v>
      </c>
      <c r="W6061" t="s">
        <v>416</v>
      </c>
      <c r="X6061">
        <v>0</v>
      </c>
      <c r="Y6061" t="s">
        <v>26652</v>
      </c>
      <c r="AB6061" t="s">
        <v>31434</v>
      </c>
      <c r="AD6061" t="s">
        <v>41647</v>
      </c>
      <c r="AE6061">
        <v>0</v>
      </c>
      <c r="AH6061">
        <v>0</v>
      </c>
      <c r="AI6061">
        <v>1</v>
      </c>
      <c r="AJ6061">
        <v>0</v>
      </c>
      <c r="AK6061">
        <v>28.82</v>
      </c>
      <c r="AN6061" t="s">
        <v>7439</v>
      </c>
      <c r="AO6061">
        <v>3600</v>
      </c>
      <c r="AU6061">
        <v>18.5</v>
      </c>
      <c r="AV6061" t="s">
        <v>826</v>
      </c>
      <c r="AW6061" t="s">
        <v>219</v>
      </c>
    </row>
    <row r="6062" spans="1:50">
      <c r="A6062" s="1">
        <f>HYPERLINK("https://lsnyc.legalserver.org/matter/dynamic-profile/view/1892385","19-1892385")</f>
        <v>0</v>
      </c>
      <c r="B6062" t="s">
        <v>276</v>
      </c>
      <c r="C6062" t="s">
        <v>340</v>
      </c>
      <c r="D6062" t="s">
        <v>416</v>
      </c>
      <c r="F6062" t="s">
        <v>868</v>
      </c>
      <c r="G6062" t="s">
        <v>3360</v>
      </c>
      <c r="H6062" t="s">
        <v>14009</v>
      </c>
      <c r="I6062" t="s">
        <v>18312</v>
      </c>
      <c r="J6062" t="s">
        <v>18894</v>
      </c>
      <c r="K6062">
        <v>11203</v>
      </c>
      <c r="L6062" t="s">
        <v>18958</v>
      </c>
      <c r="M6062" t="s">
        <v>18958</v>
      </c>
      <c r="N6062" t="s">
        <v>23385</v>
      </c>
      <c r="O6062" t="s">
        <v>26524</v>
      </c>
      <c r="P6062" t="s">
        <v>26560</v>
      </c>
      <c r="R6062" t="s">
        <v>26578</v>
      </c>
      <c r="S6062" t="s">
        <v>18959</v>
      </c>
      <c r="U6062" t="s">
        <v>26604</v>
      </c>
      <c r="W6062" t="s">
        <v>416</v>
      </c>
      <c r="X6062">
        <v>838</v>
      </c>
      <c r="Y6062" t="s">
        <v>26652</v>
      </c>
      <c r="AB6062" t="s">
        <v>31435</v>
      </c>
      <c r="AD6062" t="s">
        <v>41648</v>
      </c>
      <c r="AE6062">
        <v>0</v>
      </c>
      <c r="AF6062" t="s">
        <v>45541</v>
      </c>
      <c r="AH6062">
        <v>0</v>
      </c>
      <c r="AI6062">
        <v>1</v>
      </c>
      <c r="AJ6062">
        <v>0</v>
      </c>
      <c r="AK6062">
        <v>71.87</v>
      </c>
      <c r="AN6062" t="s">
        <v>7439</v>
      </c>
      <c r="AO6062">
        <v>8976</v>
      </c>
      <c r="AU6062">
        <v>27.8</v>
      </c>
      <c r="AV6062" t="s">
        <v>832</v>
      </c>
      <c r="AW6062" t="s">
        <v>198</v>
      </c>
    </row>
    <row r="6063" spans="1:50">
      <c r="A6063" s="1">
        <f>HYPERLINK("https://lsnyc.legalserver.org/matter/dynamic-profile/view/1892394","19-1892394")</f>
        <v>0</v>
      </c>
      <c r="B6063" t="s">
        <v>180</v>
      </c>
      <c r="C6063" t="s">
        <v>340</v>
      </c>
      <c r="D6063" t="s">
        <v>416</v>
      </c>
      <c r="F6063" t="s">
        <v>939</v>
      </c>
      <c r="G6063" t="s">
        <v>5336</v>
      </c>
      <c r="H6063" t="s">
        <v>14010</v>
      </c>
      <c r="I6063" t="s">
        <v>17299</v>
      </c>
      <c r="J6063" t="s">
        <v>18894</v>
      </c>
      <c r="K6063">
        <v>11226</v>
      </c>
      <c r="L6063" t="s">
        <v>18958</v>
      </c>
      <c r="M6063" t="s">
        <v>18958</v>
      </c>
      <c r="N6063" t="s">
        <v>23386</v>
      </c>
      <c r="O6063" t="s">
        <v>26523</v>
      </c>
      <c r="P6063" t="s">
        <v>26560</v>
      </c>
      <c r="R6063" t="s">
        <v>26588</v>
      </c>
      <c r="U6063" t="s">
        <v>26604</v>
      </c>
      <c r="W6063" t="s">
        <v>416</v>
      </c>
      <c r="X6063">
        <v>1061.67</v>
      </c>
      <c r="Y6063" t="s">
        <v>26652</v>
      </c>
      <c r="Z6063" t="s">
        <v>26664</v>
      </c>
      <c r="AB6063" t="s">
        <v>31436</v>
      </c>
      <c r="AD6063" t="s">
        <v>41649</v>
      </c>
      <c r="AE6063">
        <v>16</v>
      </c>
      <c r="AG6063" t="s">
        <v>26530</v>
      </c>
      <c r="AH6063">
        <v>10</v>
      </c>
      <c r="AI6063">
        <v>1</v>
      </c>
      <c r="AJ6063">
        <v>0</v>
      </c>
      <c r="AK6063">
        <v>38.24</v>
      </c>
      <c r="AN6063" t="s">
        <v>7439</v>
      </c>
      <c r="AO6063">
        <v>4776</v>
      </c>
      <c r="AU6063">
        <v>16.9</v>
      </c>
      <c r="AV6063" t="s">
        <v>836</v>
      </c>
      <c r="AW6063" t="s">
        <v>46862</v>
      </c>
    </row>
    <row r="6064" spans="1:50">
      <c r="A6064" s="1">
        <f>HYPERLINK("https://lsnyc.legalserver.org/matter/dynamic-profile/view/1892376","19-1892376")</f>
        <v>0</v>
      </c>
      <c r="B6064" t="s">
        <v>180</v>
      </c>
      <c r="C6064" t="s">
        <v>340</v>
      </c>
      <c r="D6064" t="s">
        <v>416</v>
      </c>
      <c r="F6064" t="s">
        <v>990</v>
      </c>
      <c r="G6064" t="s">
        <v>7883</v>
      </c>
      <c r="H6064" t="s">
        <v>14011</v>
      </c>
      <c r="I6064" t="s">
        <v>17410</v>
      </c>
      <c r="J6064" t="s">
        <v>18894</v>
      </c>
      <c r="K6064">
        <v>11226</v>
      </c>
      <c r="L6064" t="s">
        <v>18958</v>
      </c>
      <c r="M6064" t="s">
        <v>18958</v>
      </c>
      <c r="N6064" t="s">
        <v>23387</v>
      </c>
      <c r="O6064" t="s">
        <v>26523</v>
      </c>
      <c r="P6064" t="s">
        <v>26560</v>
      </c>
      <c r="R6064" t="s">
        <v>26588</v>
      </c>
      <c r="U6064" t="s">
        <v>26604</v>
      </c>
      <c r="W6064" t="s">
        <v>416</v>
      </c>
      <c r="X6064">
        <v>537.25</v>
      </c>
      <c r="Y6064" t="s">
        <v>26652</v>
      </c>
      <c r="Z6064" t="s">
        <v>26664</v>
      </c>
      <c r="AB6064" t="s">
        <v>31437</v>
      </c>
      <c r="AE6064">
        <v>6</v>
      </c>
      <c r="AG6064" t="s">
        <v>19330</v>
      </c>
      <c r="AH6064">
        <v>0</v>
      </c>
      <c r="AI6064">
        <v>2</v>
      </c>
      <c r="AJ6064">
        <v>0</v>
      </c>
      <c r="AK6064">
        <v>99.17</v>
      </c>
      <c r="AN6064" t="s">
        <v>7439</v>
      </c>
      <c r="AO6064">
        <v>16770</v>
      </c>
      <c r="AU6064">
        <v>28.6</v>
      </c>
      <c r="AV6064" t="s">
        <v>832</v>
      </c>
      <c r="AW6064" t="s">
        <v>46862</v>
      </c>
    </row>
    <row r="6065" spans="1:50">
      <c r="A6065" s="1">
        <f>HYPERLINK("https://lsnyc.legalserver.org/matter/dynamic-profile/view/1892363","19-1892363")</f>
        <v>0</v>
      </c>
      <c r="B6065" t="s">
        <v>243</v>
      </c>
      <c r="C6065" t="s">
        <v>340</v>
      </c>
      <c r="D6065" t="s">
        <v>416</v>
      </c>
      <c r="F6065" t="s">
        <v>3360</v>
      </c>
      <c r="G6065" t="s">
        <v>7065</v>
      </c>
      <c r="H6065" t="s">
        <v>11532</v>
      </c>
      <c r="I6065" t="s">
        <v>17277</v>
      </c>
      <c r="J6065" t="s">
        <v>18894</v>
      </c>
      <c r="K6065">
        <v>11225</v>
      </c>
      <c r="L6065" t="s">
        <v>18958</v>
      </c>
      <c r="M6065" t="s">
        <v>18958</v>
      </c>
      <c r="P6065" t="s">
        <v>26561</v>
      </c>
      <c r="R6065" t="s">
        <v>26578</v>
      </c>
      <c r="S6065" t="s">
        <v>18958</v>
      </c>
      <c r="U6065" t="s">
        <v>26604</v>
      </c>
      <c r="W6065" t="s">
        <v>416</v>
      </c>
      <c r="X6065">
        <v>0</v>
      </c>
      <c r="Y6065" t="s">
        <v>26652</v>
      </c>
      <c r="AB6065" t="s">
        <v>30979</v>
      </c>
      <c r="AD6065" t="s">
        <v>41217</v>
      </c>
      <c r="AE6065">
        <v>0</v>
      </c>
      <c r="AH6065">
        <v>0</v>
      </c>
      <c r="AI6065">
        <v>2</v>
      </c>
      <c r="AJ6065">
        <v>0</v>
      </c>
      <c r="AK6065">
        <v>656.42</v>
      </c>
      <c r="AN6065" t="s">
        <v>7439</v>
      </c>
      <c r="AO6065">
        <v>111000</v>
      </c>
      <c r="AU6065">
        <v>2.5</v>
      </c>
      <c r="AV6065" t="s">
        <v>813</v>
      </c>
      <c r="AW6065" t="s">
        <v>219</v>
      </c>
    </row>
    <row r="6066" spans="1:50">
      <c r="A6066" s="1">
        <f>HYPERLINK("https://lsnyc.legalserver.org/matter/dynamic-profile/view/1892440","19-1892440")</f>
        <v>0</v>
      </c>
      <c r="B6066" t="s">
        <v>167</v>
      </c>
      <c r="C6066" t="s">
        <v>340</v>
      </c>
      <c r="D6066" t="s">
        <v>416</v>
      </c>
      <c r="F6066" t="s">
        <v>3565</v>
      </c>
      <c r="G6066" t="s">
        <v>1725</v>
      </c>
      <c r="H6066" t="s">
        <v>14012</v>
      </c>
      <c r="I6066" t="s">
        <v>18313</v>
      </c>
      <c r="J6066" t="s">
        <v>18894</v>
      </c>
      <c r="K6066">
        <v>11206</v>
      </c>
      <c r="L6066" t="s">
        <v>18958</v>
      </c>
      <c r="M6066" t="s">
        <v>18958</v>
      </c>
      <c r="N6066" t="s">
        <v>23388</v>
      </c>
      <c r="O6066" t="s">
        <v>26523</v>
      </c>
      <c r="P6066" t="s">
        <v>26560</v>
      </c>
      <c r="R6066" t="s">
        <v>26586</v>
      </c>
      <c r="U6066" t="s">
        <v>26605</v>
      </c>
      <c r="W6066" t="s">
        <v>416</v>
      </c>
      <c r="X6066">
        <v>416</v>
      </c>
      <c r="Y6066" t="s">
        <v>26652</v>
      </c>
      <c r="Z6066" t="s">
        <v>26664</v>
      </c>
      <c r="AB6066" t="s">
        <v>29419</v>
      </c>
      <c r="AC6066" t="s">
        <v>36092</v>
      </c>
      <c r="AD6066" t="s">
        <v>41650</v>
      </c>
      <c r="AE6066">
        <v>0</v>
      </c>
      <c r="AH6066">
        <v>27</v>
      </c>
      <c r="AI6066">
        <v>1</v>
      </c>
      <c r="AJ6066">
        <v>2</v>
      </c>
      <c r="AK6066">
        <v>18</v>
      </c>
      <c r="AN6066" t="s">
        <v>45581</v>
      </c>
      <c r="AO6066">
        <v>3840</v>
      </c>
      <c r="AU6066">
        <v>17.5</v>
      </c>
      <c r="AV6066" t="s">
        <v>805</v>
      </c>
      <c r="AW6066" t="s">
        <v>46853</v>
      </c>
    </row>
    <row r="6067" spans="1:50">
      <c r="A6067" s="1">
        <f>HYPERLINK("https://lsnyc.legalserver.org/matter/dynamic-profile/view/1892398","19-1892398")</f>
        <v>0</v>
      </c>
      <c r="B6067" t="s">
        <v>251</v>
      </c>
      <c r="C6067" t="s">
        <v>340</v>
      </c>
      <c r="D6067" t="s">
        <v>416</v>
      </c>
      <c r="F6067" t="s">
        <v>887</v>
      </c>
      <c r="G6067" t="s">
        <v>5275</v>
      </c>
      <c r="H6067" t="s">
        <v>14013</v>
      </c>
      <c r="I6067" t="s">
        <v>17278</v>
      </c>
      <c r="J6067" t="s">
        <v>18892</v>
      </c>
      <c r="K6067">
        <v>10468</v>
      </c>
      <c r="L6067" t="s">
        <v>18958</v>
      </c>
      <c r="M6067" t="s">
        <v>18958</v>
      </c>
      <c r="N6067" t="s">
        <v>23389</v>
      </c>
      <c r="O6067" t="s">
        <v>26523</v>
      </c>
      <c r="P6067" t="s">
        <v>26560</v>
      </c>
      <c r="R6067" t="s">
        <v>26579</v>
      </c>
      <c r="S6067" t="s">
        <v>18959</v>
      </c>
      <c r="U6067" t="s">
        <v>26604</v>
      </c>
      <c r="V6067" t="s">
        <v>26610</v>
      </c>
      <c r="W6067" t="s">
        <v>416</v>
      </c>
      <c r="X6067">
        <v>1500</v>
      </c>
      <c r="Y6067" t="s">
        <v>26650</v>
      </c>
      <c r="Z6067" t="s">
        <v>26664</v>
      </c>
      <c r="AB6067" t="s">
        <v>31438</v>
      </c>
      <c r="AD6067" t="s">
        <v>41651</v>
      </c>
      <c r="AE6067">
        <v>0</v>
      </c>
      <c r="AF6067" t="s">
        <v>45541</v>
      </c>
      <c r="AG6067" t="s">
        <v>45556</v>
      </c>
      <c r="AH6067">
        <v>9</v>
      </c>
      <c r="AI6067">
        <v>2</v>
      </c>
      <c r="AJ6067">
        <v>0</v>
      </c>
      <c r="AK6067">
        <v>212.89</v>
      </c>
      <c r="AL6067" t="s">
        <v>751</v>
      </c>
      <c r="AM6067" t="s">
        <v>45575</v>
      </c>
      <c r="AN6067" t="s">
        <v>7439</v>
      </c>
      <c r="AO6067">
        <v>36000</v>
      </c>
      <c r="AU6067">
        <v>26.15</v>
      </c>
      <c r="AV6067" t="s">
        <v>833</v>
      </c>
      <c r="AW6067" t="s">
        <v>334</v>
      </c>
    </row>
    <row r="6068" spans="1:50">
      <c r="A6068" s="1">
        <f>HYPERLINK("https://lsnyc.legalserver.org/matter/dynamic-profile/view/1892465","19-1892465")</f>
        <v>0</v>
      </c>
      <c r="B6068" t="s">
        <v>56</v>
      </c>
      <c r="C6068" t="s">
        <v>340</v>
      </c>
      <c r="D6068" t="s">
        <v>416</v>
      </c>
      <c r="F6068" t="s">
        <v>2314</v>
      </c>
      <c r="G6068" t="s">
        <v>5330</v>
      </c>
      <c r="H6068" t="s">
        <v>14014</v>
      </c>
      <c r="I6068" t="s">
        <v>17496</v>
      </c>
      <c r="J6068" t="s">
        <v>18892</v>
      </c>
      <c r="K6068">
        <v>10460</v>
      </c>
      <c r="L6068" t="s">
        <v>18958</v>
      </c>
      <c r="M6068" t="s">
        <v>18958</v>
      </c>
      <c r="N6068" t="s">
        <v>23390</v>
      </c>
      <c r="O6068" t="s">
        <v>26523</v>
      </c>
      <c r="P6068" t="s">
        <v>26560</v>
      </c>
      <c r="R6068" t="s">
        <v>26577</v>
      </c>
      <c r="S6068" t="s">
        <v>18959</v>
      </c>
      <c r="U6068" t="s">
        <v>26604</v>
      </c>
      <c r="W6068" t="s">
        <v>416</v>
      </c>
      <c r="X6068">
        <v>1486</v>
      </c>
      <c r="Y6068" t="s">
        <v>26650</v>
      </c>
      <c r="Z6068" t="s">
        <v>26657</v>
      </c>
      <c r="AB6068" t="s">
        <v>27238</v>
      </c>
      <c r="AC6068" t="s">
        <v>36093</v>
      </c>
      <c r="AD6068" t="s">
        <v>41652</v>
      </c>
      <c r="AE6068">
        <v>0</v>
      </c>
      <c r="AG6068" t="s">
        <v>45558</v>
      </c>
      <c r="AH6068">
        <v>2</v>
      </c>
      <c r="AI6068">
        <v>1</v>
      </c>
      <c r="AJ6068">
        <v>3</v>
      </c>
      <c r="AK6068">
        <v>48.93</v>
      </c>
      <c r="AN6068" t="s">
        <v>7439</v>
      </c>
      <c r="AO6068">
        <v>12600</v>
      </c>
      <c r="AU6068">
        <v>12.5</v>
      </c>
      <c r="AV6068" t="s">
        <v>761</v>
      </c>
      <c r="AW6068" t="s">
        <v>46870</v>
      </c>
      <c r="AX6068" t="s">
        <v>46898</v>
      </c>
    </row>
    <row r="6069" spans="1:50">
      <c r="A6069" s="1">
        <f>HYPERLINK("https://lsnyc.legalserver.org/matter/dynamic-profile/view/1892436","19-1892436")</f>
        <v>0</v>
      </c>
      <c r="B6069" t="s">
        <v>140</v>
      </c>
      <c r="C6069" t="s">
        <v>340</v>
      </c>
      <c r="D6069" t="s">
        <v>416</v>
      </c>
      <c r="F6069" t="s">
        <v>1700</v>
      </c>
      <c r="G6069" t="s">
        <v>7855</v>
      </c>
      <c r="H6069" t="s">
        <v>14015</v>
      </c>
      <c r="I6069" t="s">
        <v>17360</v>
      </c>
      <c r="J6069" t="s">
        <v>18894</v>
      </c>
      <c r="K6069">
        <v>11221</v>
      </c>
      <c r="L6069" t="s">
        <v>18958</v>
      </c>
      <c r="M6069" t="s">
        <v>18958</v>
      </c>
      <c r="N6069" t="s">
        <v>23391</v>
      </c>
      <c r="O6069" t="s">
        <v>26523</v>
      </c>
      <c r="P6069" t="s">
        <v>26560</v>
      </c>
      <c r="R6069" t="s">
        <v>26588</v>
      </c>
      <c r="S6069" t="s">
        <v>18959</v>
      </c>
      <c r="U6069" t="s">
        <v>26604</v>
      </c>
      <c r="V6069" t="s">
        <v>26610</v>
      </c>
      <c r="W6069" t="s">
        <v>416</v>
      </c>
      <c r="X6069">
        <v>1000.26</v>
      </c>
      <c r="Y6069" t="s">
        <v>26652</v>
      </c>
      <c r="Z6069" t="s">
        <v>26669</v>
      </c>
      <c r="AB6069" t="s">
        <v>31439</v>
      </c>
      <c r="AD6069" t="s">
        <v>41653</v>
      </c>
      <c r="AE6069">
        <v>21</v>
      </c>
      <c r="AF6069" t="s">
        <v>45541</v>
      </c>
      <c r="AH6069">
        <v>6</v>
      </c>
      <c r="AI6069">
        <v>3</v>
      </c>
      <c r="AJ6069">
        <v>1</v>
      </c>
      <c r="AK6069">
        <v>147.57</v>
      </c>
      <c r="AN6069" t="s">
        <v>7439</v>
      </c>
      <c r="AO6069">
        <v>38000</v>
      </c>
      <c r="AU6069">
        <v>9.699999999999999</v>
      </c>
      <c r="AV6069" t="s">
        <v>832</v>
      </c>
      <c r="AW6069" t="s">
        <v>281</v>
      </c>
    </row>
    <row r="6070" spans="1:50">
      <c r="A6070" s="1">
        <f>HYPERLINK("https://lsnyc.legalserver.org/matter/dynamic-profile/view/1892355","19-1892355")</f>
        <v>0</v>
      </c>
      <c r="B6070" t="s">
        <v>253</v>
      </c>
      <c r="C6070" t="s">
        <v>340</v>
      </c>
      <c r="D6070" t="s">
        <v>416</v>
      </c>
      <c r="F6070" t="s">
        <v>1339</v>
      </c>
      <c r="G6070" t="s">
        <v>7229</v>
      </c>
      <c r="H6070" t="s">
        <v>14016</v>
      </c>
      <c r="I6070" t="s">
        <v>17272</v>
      </c>
      <c r="J6070" t="s">
        <v>18892</v>
      </c>
      <c r="K6070">
        <v>10463</v>
      </c>
      <c r="L6070" t="s">
        <v>18958</v>
      </c>
      <c r="M6070" t="s">
        <v>18958</v>
      </c>
      <c r="N6070" t="s">
        <v>23392</v>
      </c>
      <c r="O6070" t="s">
        <v>26523</v>
      </c>
      <c r="P6070" t="s">
        <v>26564</v>
      </c>
      <c r="R6070" t="s">
        <v>26577</v>
      </c>
      <c r="U6070" t="s">
        <v>26604</v>
      </c>
      <c r="V6070" t="s">
        <v>26610</v>
      </c>
      <c r="W6070" t="s">
        <v>416</v>
      </c>
      <c r="X6070">
        <v>0</v>
      </c>
      <c r="Y6070" t="s">
        <v>26650</v>
      </c>
      <c r="Z6070" t="s">
        <v>26668</v>
      </c>
      <c r="AB6070" t="s">
        <v>31440</v>
      </c>
      <c r="AD6070" t="s">
        <v>41654</v>
      </c>
      <c r="AE6070">
        <v>0</v>
      </c>
      <c r="AF6070" t="s">
        <v>45549</v>
      </c>
      <c r="AG6070" t="s">
        <v>45556</v>
      </c>
      <c r="AH6070">
        <v>20</v>
      </c>
      <c r="AI6070">
        <v>2</v>
      </c>
      <c r="AJ6070">
        <v>0</v>
      </c>
      <c r="AK6070">
        <v>53.93</v>
      </c>
      <c r="AN6070" t="s">
        <v>7439</v>
      </c>
      <c r="AO6070">
        <v>9120</v>
      </c>
      <c r="AU6070">
        <v>5.7</v>
      </c>
      <c r="AV6070" t="s">
        <v>764</v>
      </c>
      <c r="AW6070" t="s">
        <v>334</v>
      </c>
    </row>
    <row r="6071" spans="1:50">
      <c r="A6071" s="1">
        <f>HYPERLINK("https://lsnyc.legalserver.org/matter/dynamic-profile/view/1892346","19-1892346")</f>
        <v>0</v>
      </c>
      <c r="B6071" t="s">
        <v>82</v>
      </c>
      <c r="C6071" t="s">
        <v>340</v>
      </c>
      <c r="D6071" t="s">
        <v>416</v>
      </c>
      <c r="F6071" t="s">
        <v>3566</v>
      </c>
      <c r="G6071" t="s">
        <v>7884</v>
      </c>
      <c r="H6071" t="s">
        <v>14017</v>
      </c>
      <c r="I6071">
        <v>729</v>
      </c>
      <c r="J6071" t="s">
        <v>18892</v>
      </c>
      <c r="K6071">
        <v>10458</v>
      </c>
      <c r="L6071" t="s">
        <v>18958</v>
      </c>
      <c r="M6071" t="s">
        <v>18958</v>
      </c>
      <c r="N6071" t="s">
        <v>23393</v>
      </c>
      <c r="O6071" t="s">
        <v>26523</v>
      </c>
      <c r="P6071" t="s">
        <v>26560</v>
      </c>
      <c r="R6071" t="s">
        <v>26577</v>
      </c>
      <c r="S6071" t="s">
        <v>18959</v>
      </c>
      <c r="U6071" t="s">
        <v>26604</v>
      </c>
      <c r="V6071" t="s">
        <v>26614</v>
      </c>
      <c r="W6071" t="s">
        <v>416</v>
      </c>
      <c r="X6071">
        <v>942</v>
      </c>
      <c r="Y6071" t="s">
        <v>26650</v>
      </c>
      <c r="Z6071" t="s">
        <v>26657</v>
      </c>
      <c r="AB6071" t="s">
        <v>31441</v>
      </c>
      <c r="AD6071" t="s">
        <v>41655</v>
      </c>
      <c r="AE6071">
        <v>0</v>
      </c>
      <c r="AF6071" t="s">
        <v>45541</v>
      </c>
      <c r="AG6071" t="s">
        <v>45556</v>
      </c>
      <c r="AH6071">
        <v>7</v>
      </c>
      <c r="AI6071">
        <v>3</v>
      </c>
      <c r="AJ6071">
        <v>3</v>
      </c>
      <c r="AK6071">
        <v>27.82</v>
      </c>
      <c r="AN6071" t="s">
        <v>8151</v>
      </c>
      <c r="AO6071">
        <v>9624</v>
      </c>
      <c r="AQ6071" t="s">
        <v>46365</v>
      </c>
      <c r="AR6071" t="s">
        <v>46443</v>
      </c>
      <c r="AS6071" t="s">
        <v>46499</v>
      </c>
      <c r="AT6071" t="s">
        <v>46554</v>
      </c>
      <c r="AU6071">
        <v>8.5</v>
      </c>
      <c r="AV6071" t="s">
        <v>754</v>
      </c>
      <c r="AW6071" t="s">
        <v>46870</v>
      </c>
    </row>
    <row r="6072" spans="1:50">
      <c r="A6072" s="1">
        <f>HYPERLINK("https://lsnyc.legalserver.org/matter/dynamic-profile/view/1892401","19-1892401")</f>
        <v>0</v>
      </c>
      <c r="B6072" t="s">
        <v>238</v>
      </c>
      <c r="C6072" t="s">
        <v>340</v>
      </c>
      <c r="D6072" t="s">
        <v>416</v>
      </c>
      <c r="F6072" t="s">
        <v>3567</v>
      </c>
      <c r="G6072" t="s">
        <v>7885</v>
      </c>
      <c r="H6072" t="s">
        <v>14018</v>
      </c>
      <c r="I6072" t="s">
        <v>18314</v>
      </c>
      <c r="J6072" t="s">
        <v>18894</v>
      </c>
      <c r="K6072">
        <v>11225</v>
      </c>
      <c r="L6072" t="s">
        <v>18958</v>
      </c>
      <c r="M6072" t="s">
        <v>18958</v>
      </c>
      <c r="N6072" t="s">
        <v>23394</v>
      </c>
      <c r="O6072" t="s">
        <v>26524</v>
      </c>
      <c r="P6072" t="s">
        <v>26560</v>
      </c>
      <c r="R6072" t="s">
        <v>26588</v>
      </c>
      <c r="U6072" t="s">
        <v>26604</v>
      </c>
      <c r="W6072" t="s">
        <v>416</v>
      </c>
      <c r="X6072">
        <v>837</v>
      </c>
      <c r="Y6072" t="s">
        <v>26652</v>
      </c>
      <c r="Z6072" t="s">
        <v>26669</v>
      </c>
      <c r="AB6072" t="s">
        <v>31442</v>
      </c>
      <c r="AD6072" t="s">
        <v>41656</v>
      </c>
      <c r="AE6072">
        <v>60</v>
      </c>
      <c r="AH6072">
        <v>3</v>
      </c>
      <c r="AI6072">
        <v>2</v>
      </c>
      <c r="AJ6072">
        <v>0</v>
      </c>
      <c r="AK6072">
        <v>118.27</v>
      </c>
      <c r="AN6072" t="s">
        <v>7439</v>
      </c>
      <c r="AO6072">
        <v>20000</v>
      </c>
      <c r="AU6072">
        <v>7.5</v>
      </c>
      <c r="AV6072" t="s">
        <v>809</v>
      </c>
      <c r="AW6072" t="s">
        <v>46853</v>
      </c>
    </row>
    <row r="6073" spans="1:50">
      <c r="A6073" s="1">
        <f>HYPERLINK("https://lsnyc.legalserver.org/matter/dynamic-profile/view/1892329","19-1892329")</f>
        <v>0</v>
      </c>
      <c r="B6073" t="s">
        <v>87</v>
      </c>
      <c r="C6073" t="s">
        <v>340</v>
      </c>
      <c r="D6073" t="s">
        <v>416</v>
      </c>
      <c r="F6073" t="s">
        <v>954</v>
      </c>
      <c r="G6073" t="s">
        <v>5481</v>
      </c>
      <c r="H6073" t="s">
        <v>10056</v>
      </c>
      <c r="I6073" t="s">
        <v>17306</v>
      </c>
      <c r="J6073" t="s">
        <v>18892</v>
      </c>
      <c r="K6073">
        <v>10462</v>
      </c>
      <c r="L6073" t="s">
        <v>18958</v>
      </c>
      <c r="M6073" t="s">
        <v>18958</v>
      </c>
      <c r="N6073" t="s">
        <v>23395</v>
      </c>
      <c r="O6073" t="s">
        <v>26523</v>
      </c>
      <c r="P6073" t="s">
        <v>26560</v>
      </c>
      <c r="R6073" t="s">
        <v>26579</v>
      </c>
      <c r="U6073" t="s">
        <v>26604</v>
      </c>
      <c r="V6073" t="s">
        <v>26610</v>
      </c>
      <c r="W6073" t="s">
        <v>416</v>
      </c>
      <c r="X6073">
        <v>1275</v>
      </c>
      <c r="Y6073" t="s">
        <v>26650</v>
      </c>
      <c r="Z6073" t="s">
        <v>26664</v>
      </c>
      <c r="AB6073" t="s">
        <v>31443</v>
      </c>
      <c r="AD6073" t="s">
        <v>41657</v>
      </c>
      <c r="AE6073">
        <v>0</v>
      </c>
      <c r="AH6073">
        <v>1</v>
      </c>
      <c r="AI6073">
        <v>2</v>
      </c>
      <c r="AJ6073">
        <v>1</v>
      </c>
      <c r="AK6073">
        <v>187.53</v>
      </c>
      <c r="AN6073" t="s">
        <v>7439</v>
      </c>
      <c r="AO6073">
        <v>40000</v>
      </c>
      <c r="AU6073">
        <v>13.5</v>
      </c>
      <c r="AV6073" t="s">
        <v>763</v>
      </c>
      <c r="AW6073" t="s">
        <v>334</v>
      </c>
    </row>
    <row r="6074" spans="1:50">
      <c r="A6074" s="1">
        <f>HYPERLINK("https://lsnyc.legalserver.org/matter/dynamic-profile/view/1892339","19-1892339")</f>
        <v>0</v>
      </c>
      <c r="B6074" t="s">
        <v>54</v>
      </c>
      <c r="C6074" t="s">
        <v>340</v>
      </c>
      <c r="D6074" t="s">
        <v>416</v>
      </c>
      <c r="F6074" t="s">
        <v>1573</v>
      </c>
      <c r="G6074" t="s">
        <v>7886</v>
      </c>
      <c r="H6074" t="s">
        <v>14019</v>
      </c>
      <c r="I6074" t="s">
        <v>17430</v>
      </c>
      <c r="J6074" t="s">
        <v>18892</v>
      </c>
      <c r="K6074">
        <v>10467</v>
      </c>
      <c r="L6074" t="s">
        <v>18958</v>
      </c>
      <c r="M6074" t="s">
        <v>18958</v>
      </c>
      <c r="N6074" t="s">
        <v>23396</v>
      </c>
      <c r="O6074" t="s">
        <v>26524</v>
      </c>
      <c r="P6074" t="s">
        <v>26560</v>
      </c>
      <c r="R6074" t="s">
        <v>26579</v>
      </c>
      <c r="S6074" t="s">
        <v>18959</v>
      </c>
      <c r="U6074" t="s">
        <v>26604</v>
      </c>
      <c r="V6074" t="s">
        <v>26610</v>
      </c>
      <c r="W6074" t="s">
        <v>416</v>
      </c>
      <c r="X6074">
        <v>1500</v>
      </c>
      <c r="Y6074" t="s">
        <v>26650</v>
      </c>
      <c r="Z6074" t="s">
        <v>26668</v>
      </c>
      <c r="AB6074" t="s">
        <v>31444</v>
      </c>
      <c r="AD6074" t="s">
        <v>41658</v>
      </c>
      <c r="AE6074">
        <v>11</v>
      </c>
      <c r="AF6074" t="s">
        <v>20460</v>
      </c>
      <c r="AG6074" t="s">
        <v>19330</v>
      </c>
      <c r="AH6074">
        <v>4</v>
      </c>
      <c r="AI6074">
        <v>1</v>
      </c>
      <c r="AJ6074">
        <v>0</v>
      </c>
      <c r="AK6074">
        <v>96.08</v>
      </c>
      <c r="AN6074" t="s">
        <v>7439</v>
      </c>
      <c r="AO6074">
        <v>12000</v>
      </c>
      <c r="AU6074">
        <v>24.5</v>
      </c>
      <c r="AV6074" t="s">
        <v>830</v>
      </c>
      <c r="AW6074" t="s">
        <v>46847</v>
      </c>
    </row>
    <row r="6075" spans="1:50">
      <c r="A6075" s="1">
        <f>HYPERLINK("https://lsnyc.legalserver.org/matter/dynamic-profile/view/1892375","19-1892375")</f>
        <v>0</v>
      </c>
      <c r="B6075" t="s">
        <v>157</v>
      </c>
      <c r="C6075" t="s">
        <v>340</v>
      </c>
      <c r="D6075" t="s">
        <v>416</v>
      </c>
      <c r="F6075" t="s">
        <v>900</v>
      </c>
      <c r="G6075" t="s">
        <v>7887</v>
      </c>
      <c r="H6075" t="s">
        <v>14020</v>
      </c>
      <c r="I6075" t="s">
        <v>17406</v>
      </c>
      <c r="J6075" t="s">
        <v>18893</v>
      </c>
      <c r="K6075">
        <v>10033</v>
      </c>
      <c r="L6075" t="s">
        <v>18958</v>
      </c>
      <c r="M6075" t="s">
        <v>18958</v>
      </c>
      <c r="N6075" t="s">
        <v>23397</v>
      </c>
      <c r="P6075" t="s">
        <v>26560</v>
      </c>
      <c r="R6075" t="s">
        <v>26578</v>
      </c>
      <c r="S6075" t="s">
        <v>18959</v>
      </c>
      <c r="U6075" t="s">
        <v>26604</v>
      </c>
      <c r="W6075" t="s">
        <v>416</v>
      </c>
      <c r="X6075">
        <v>365</v>
      </c>
      <c r="Y6075" t="s">
        <v>26651</v>
      </c>
      <c r="Z6075" t="s">
        <v>26661</v>
      </c>
      <c r="AB6075" t="s">
        <v>31445</v>
      </c>
      <c r="AD6075" t="s">
        <v>41659</v>
      </c>
      <c r="AE6075">
        <v>44</v>
      </c>
      <c r="AF6075" t="s">
        <v>45541</v>
      </c>
      <c r="AH6075">
        <v>34</v>
      </c>
      <c r="AI6075">
        <v>1</v>
      </c>
      <c r="AJ6075">
        <v>0</v>
      </c>
      <c r="AK6075">
        <v>82.43000000000001</v>
      </c>
      <c r="AN6075" t="s">
        <v>45581</v>
      </c>
      <c r="AO6075">
        <v>10296</v>
      </c>
      <c r="AU6075">
        <v>38</v>
      </c>
      <c r="AV6075" t="s">
        <v>834</v>
      </c>
      <c r="AW6075" t="s">
        <v>46840</v>
      </c>
    </row>
    <row r="6076" spans="1:50">
      <c r="A6076" s="1">
        <f>HYPERLINK("https://lsnyc.legalserver.org/matter/dynamic-profile/view/1892475","19-1892475")</f>
        <v>0</v>
      </c>
      <c r="B6076" t="s">
        <v>180</v>
      </c>
      <c r="C6076" t="s">
        <v>341</v>
      </c>
      <c r="D6076" t="s">
        <v>783</v>
      </c>
      <c r="E6076" t="s">
        <v>804</v>
      </c>
      <c r="F6076" t="s">
        <v>3190</v>
      </c>
      <c r="G6076" t="s">
        <v>6571</v>
      </c>
      <c r="H6076" t="s">
        <v>12352</v>
      </c>
      <c r="I6076" t="s">
        <v>18315</v>
      </c>
      <c r="J6076" t="s">
        <v>18894</v>
      </c>
      <c r="K6076">
        <v>11226</v>
      </c>
      <c r="L6076" t="s">
        <v>18958</v>
      </c>
      <c r="M6076" t="s">
        <v>18958</v>
      </c>
      <c r="N6076" t="s">
        <v>23398</v>
      </c>
      <c r="O6076" t="s">
        <v>26531</v>
      </c>
      <c r="P6076" t="s">
        <v>26560</v>
      </c>
      <c r="Q6076" t="s">
        <v>26568</v>
      </c>
      <c r="R6076" t="s">
        <v>26586</v>
      </c>
      <c r="S6076" t="s">
        <v>18959</v>
      </c>
      <c r="U6076" t="s">
        <v>26604</v>
      </c>
      <c r="V6076" t="s">
        <v>26609</v>
      </c>
      <c r="W6076" t="s">
        <v>416</v>
      </c>
      <c r="X6076">
        <v>1435</v>
      </c>
      <c r="Y6076" t="s">
        <v>26652</v>
      </c>
      <c r="Z6076" t="s">
        <v>26664</v>
      </c>
      <c r="AA6076" t="s">
        <v>26678</v>
      </c>
      <c r="AB6076" t="s">
        <v>29501</v>
      </c>
      <c r="AC6076" t="s">
        <v>36094</v>
      </c>
      <c r="AD6076" t="s">
        <v>41660</v>
      </c>
      <c r="AE6076">
        <v>38</v>
      </c>
      <c r="AF6076" t="s">
        <v>45541</v>
      </c>
      <c r="AG6076" t="s">
        <v>19330</v>
      </c>
      <c r="AH6076">
        <v>6</v>
      </c>
      <c r="AI6076">
        <v>2</v>
      </c>
      <c r="AJ6076">
        <v>0</v>
      </c>
      <c r="AK6076">
        <v>201.06</v>
      </c>
      <c r="AN6076" t="s">
        <v>7439</v>
      </c>
      <c r="AO6076">
        <v>34000</v>
      </c>
      <c r="AS6076" t="s">
        <v>46499</v>
      </c>
      <c r="AT6076" t="s">
        <v>46786</v>
      </c>
      <c r="AU6076">
        <v>15.2</v>
      </c>
      <c r="AV6076" t="s">
        <v>804</v>
      </c>
      <c r="AW6076" t="s">
        <v>46853</v>
      </c>
      <c r="AX6076" t="s">
        <v>46897</v>
      </c>
    </row>
    <row r="6077" spans="1:50">
      <c r="A6077" s="1">
        <f>HYPERLINK("https://lsnyc.legalserver.org/matter/dynamic-profile/view/1892479","19-1892479")</f>
        <v>0</v>
      </c>
      <c r="B6077" t="s">
        <v>140</v>
      </c>
      <c r="C6077" t="s">
        <v>341</v>
      </c>
      <c r="D6077" t="s">
        <v>783</v>
      </c>
      <c r="E6077" t="s">
        <v>823</v>
      </c>
      <c r="F6077" t="s">
        <v>2188</v>
      </c>
      <c r="G6077" t="s">
        <v>6200</v>
      </c>
      <c r="H6077" t="s">
        <v>14021</v>
      </c>
      <c r="I6077" t="s">
        <v>17399</v>
      </c>
      <c r="J6077" t="s">
        <v>18894</v>
      </c>
      <c r="K6077">
        <v>11226</v>
      </c>
      <c r="L6077" t="s">
        <v>18958</v>
      </c>
      <c r="M6077" t="s">
        <v>18958</v>
      </c>
      <c r="N6077" t="s">
        <v>23399</v>
      </c>
      <c r="O6077" t="s">
        <v>26524</v>
      </c>
      <c r="P6077" t="s">
        <v>26560</v>
      </c>
      <c r="Q6077" t="s">
        <v>26568</v>
      </c>
      <c r="R6077" t="s">
        <v>26588</v>
      </c>
      <c r="U6077" t="s">
        <v>26604</v>
      </c>
      <c r="V6077" t="s">
        <v>26610</v>
      </c>
      <c r="W6077" t="s">
        <v>416</v>
      </c>
      <c r="X6077">
        <v>2983</v>
      </c>
      <c r="Y6077" t="s">
        <v>26652</v>
      </c>
      <c r="Z6077" t="s">
        <v>26664</v>
      </c>
      <c r="AA6077" t="s">
        <v>26679</v>
      </c>
      <c r="AB6077" t="s">
        <v>31446</v>
      </c>
      <c r="AD6077" t="s">
        <v>41661</v>
      </c>
      <c r="AE6077">
        <v>30</v>
      </c>
      <c r="AG6077" t="s">
        <v>19330</v>
      </c>
      <c r="AH6077">
        <v>9</v>
      </c>
      <c r="AI6077">
        <v>4</v>
      </c>
      <c r="AJ6077">
        <v>1</v>
      </c>
      <c r="AK6077">
        <v>205.5</v>
      </c>
      <c r="AN6077" t="s">
        <v>7439</v>
      </c>
      <c r="AO6077">
        <v>62000</v>
      </c>
      <c r="AU6077">
        <v>11.2</v>
      </c>
      <c r="AV6077" t="s">
        <v>792</v>
      </c>
      <c r="AW6077" t="s">
        <v>46853</v>
      </c>
    </row>
    <row r="6078" spans="1:50">
      <c r="A6078" s="1">
        <f>HYPERLINK("https://lsnyc.legalserver.org/matter/dynamic-profile/view/1892477","19-1892477")</f>
        <v>0</v>
      </c>
      <c r="B6078" t="s">
        <v>202</v>
      </c>
      <c r="C6078" t="s">
        <v>340</v>
      </c>
      <c r="D6078" t="s">
        <v>783</v>
      </c>
      <c r="F6078" t="s">
        <v>3568</v>
      </c>
      <c r="G6078" t="s">
        <v>5273</v>
      </c>
      <c r="H6078" t="s">
        <v>14022</v>
      </c>
      <c r="I6078" t="s">
        <v>18316</v>
      </c>
      <c r="J6078" t="s">
        <v>18894</v>
      </c>
      <c r="K6078">
        <v>11226</v>
      </c>
      <c r="L6078" t="s">
        <v>18958</v>
      </c>
      <c r="M6078" t="s">
        <v>18958</v>
      </c>
      <c r="N6078" t="s">
        <v>23400</v>
      </c>
      <c r="O6078" t="s">
        <v>26523</v>
      </c>
      <c r="P6078" t="s">
        <v>26560</v>
      </c>
      <c r="R6078" t="s">
        <v>26588</v>
      </c>
      <c r="S6078" t="s">
        <v>18959</v>
      </c>
      <c r="U6078" t="s">
        <v>26604</v>
      </c>
      <c r="V6078" t="s">
        <v>26610</v>
      </c>
      <c r="W6078" t="s">
        <v>416</v>
      </c>
      <c r="X6078">
        <v>1100</v>
      </c>
      <c r="Y6078" t="s">
        <v>26652</v>
      </c>
      <c r="Z6078" t="s">
        <v>26664</v>
      </c>
      <c r="AB6078" t="s">
        <v>31447</v>
      </c>
      <c r="AD6078" t="s">
        <v>41662</v>
      </c>
      <c r="AE6078">
        <v>143</v>
      </c>
      <c r="AF6078" t="s">
        <v>20460</v>
      </c>
      <c r="AG6078" t="s">
        <v>19330</v>
      </c>
      <c r="AH6078">
        <v>33</v>
      </c>
      <c r="AI6078">
        <v>1</v>
      </c>
      <c r="AJ6078">
        <v>0</v>
      </c>
      <c r="AK6078">
        <v>270.62</v>
      </c>
      <c r="AN6078" t="s">
        <v>7439</v>
      </c>
      <c r="AO6078">
        <v>33800</v>
      </c>
      <c r="AQ6078" t="s">
        <v>46362</v>
      </c>
      <c r="AU6078">
        <v>7.7</v>
      </c>
      <c r="AV6078" t="s">
        <v>823</v>
      </c>
      <c r="AW6078" t="s">
        <v>46853</v>
      </c>
    </row>
    <row r="6079" spans="1:50">
      <c r="A6079" s="1">
        <f>HYPERLINK("https://lsnyc.legalserver.org/matter/dynamic-profile/view/1892616","19-1892616")</f>
        <v>0</v>
      </c>
      <c r="B6079" t="s">
        <v>95</v>
      </c>
      <c r="C6079" t="s">
        <v>341</v>
      </c>
      <c r="D6079" t="s">
        <v>751</v>
      </c>
      <c r="E6079" t="s">
        <v>826</v>
      </c>
      <c r="F6079" t="s">
        <v>3569</v>
      </c>
      <c r="G6079" t="s">
        <v>4381</v>
      </c>
      <c r="H6079" t="s">
        <v>14023</v>
      </c>
      <c r="I6079" t="s">
        <v>17349</v>
      </c>
      <c r="J6079" t="s">
        <v>18894</v>
      </c>
      <c r="K6079">
        <v>11212</v>
      </c>
      <c r="L6079" t="s">
        <v>18958</v>
      </c>
      <c r="M6079" t="s">
        <v>18958</v>
      </c>
      <c r="N6079" t="s">
        <v>23401</v>
      </c>
      <c r="O6079" t="s">
        <v>26523</v>
      </c>
      <c r="P6079" t="s">
        <v>26565</v>
      </c>
      <c r="Q6079" t="s">
        <v>26571</v>
      </c>
      <c r="R6079" t="s">
        <v>26578</v>
      </c>
      <c r="S6079" t="s">
        <v>18959</v>
      </c>
      <c r="U6079" t="s">
        <v>26604</v>
      </c>
      <c r="V6079" t="s">
        <v>26610</v>
      </c>
      <c r="W6079" t="s">
        <v>416</v>
      </c>
      <c r="X6079">
        <v>1350</v>
      </c>
      <c r="Y6079" t="s">
        <v>26652</v>
      </c>
      <c r="Z6079" t="s">
        <v>26659</v>
      </c>
      <c r="AA6079" t="s">
        <v>26678</v>
      </c>
      <c r="AB6079" t="s">
        <v>31448</v>
      </c>
      <c r="AD6079" t="s">
        <v>41663</v>
      </c>
      <c r="AE6079">
        <v>78</v>
      </c>
      <c r="AF6079" t="s">
        <v>45541</v>
      </c>
      <c r="AH6079">
        <v>7</v>
      </c>
      <c r="AI6079">
        <v>2</v>
      </c>
      <c r="AJ6079">
        <v>4</v>
      </c>
      <c r="AK6079">
        <v>117.95</v>
      </c>
      <c r="AN6079" t="s">
        <v>7439</v>
      </c>
      <c r="AO6079">
        <v>40800</v>
      </c>
      <c r="AU6079">
        <v>0.1</v>
      </c>
      <c r="AV6079" t="s">
        <v>826</v>
      </c>
      <c r="AW6079" t="s">
        <v>279</v>
      </c>
    </row>
    <row r="6080" spans="1:50">
      <c r="A6080" s="1">
        <f>HYPERLINK("https://lsnyc.legalserver.org/matter/dynamic-profile/view/1892617","19-1892617")</f>
        <v>0</v>
      </c>
      <c r="B6080" t="s">
        <v>243</v>
      </c>
      <c r="C6080" t="s">
        <v>340</v>
      </c>
      <c r="D6080" t="s">
        <v>751</v>
      </c>
      <c r="F6080" t="s">
        <v>2469</v>
      </c>
      <c r="G6080" t="s">
        <v>6171</v>
      </c>
      <c r="H6080" t="s">
        <v>11986</v>
      </c>
      <c r="I6080">
        <v>2</v>
      </c>
      <c r="J6080" t="s">
        <v>18894</v>
      </c>
      <c r="K6080">
        <v>11206</v>
      </c>
      <c r="L6080" t="s">
        <v>18958</v>
      </c>
      <c r="M6080" t="s">
        <v>18958</v>
      </c>
      <c r="O6080" t="s">
        <v>26526</v>
      </c>
      <c r="P6080" t="s">
        <v>26560</v>
      </c>
      <c r="R6080" t="s">
        <v>26578</v>
      </c>
      <c r="S6080" t="s">
        <v>18959</v>
      </c>
      <c r="U6080" t="s">
        <v>26604</v>
      </c>
      <c r="W6080" t="s">
        <v>416</v>
      </c>
      <c r="X6080">
        <v>0</v>
      </c>
      <c r="Y6080" t="s">
        <v>26652</v>
      </c>
      <c r="AB6080" t="s">
        <v>29263</v>
      </c>
      <c r="AD6080" t="s">
        <v>39316</v>
      </c>
      <c r="AE6080">
        <v>0</v>
      </c>
      <c r="AH6080">
        <v>0</v>
      </c>
      <c r="AI6080">
        <v>2</v>
      </c>
      <c r="AJ6080">
        <v>1</v>
      </c>
      <c r="AK6080">
        <v>84.39</v>
      </c>
      <c r="AN6080" t="s">
        <v>45581</v>
      </c>
      <c r="AO6080">
        <v>18000</v>
      </c>
      <c r="AU6080">
        <v>7.8</v>
      </c>
      <c r="AV6080" t="s">
        <v>762</v>
      </c>
      <c r="AW6080" t="s">
        <v>219</v>
      </c>
    </row>
    <row r="6081" spans="1:49">
      <c r="A6081" s="1">
        <f>HYPERLINK("https://lsnyc.legalserver.org/matter/dynamic-profile/view/1892501","19-1892501")</f>
        <v>0</v>
      </c>
      <c r="B6081" t="s">
        <v>283</v>
      </c>
      <c r="C6081" t="s">
        <v>340</v>
      </c>
      <c r="D6081" t="s">
        <v>751</v>
      </c>
      <c r="F6081" t="s">
        <v>994</v>
      </c>
      <c r="G6081" t="s">
        <v>7888</v>
      </c>
      <c r="H6081" t="s">
        <v>14024</v>
      </c>
      <c r="I6081" t="s">
        <v>17393</v>
      </c>
      <c r="J6081" t="s">
        <v>18894</v>
      </c>
      <c r="K6081">
        <v>11236</v>
      </c>
      <c r="L6081" t="s">
        <v>18958</v>
      </c>
      <c r="M6081" t="s">
        <v>18958</v>
      </c>
      <c r="N6081" t="s">
        <v>23402</v>
      </c>
      <c r="O6081" t="s">
        <v>26524</v>
      </c>
      <c r="P6081" t="s">
        <v>26564</v>
      </c>
      <c r="R6081" t="s">
        <v>26586</v>
      </c>
      <c r="U6081" t="s">
        <v>26604</v>
      </c>
      <c r="W6081" t="s">
        <v>416</v>
      </c>
      <c r="X6081">
        <v>1323</v>
      </c>
      <c r="Y6081" t="s">
        <v>26652</v>
      </c>
      <c r="Z6081" t="s">
        <v>26664</v>
      </c>
      <c r="AB6081" t="s">
        <v>31449</v>
      </c>
      <c r="AD6081" t="s">
        <v>41664</v>
      </c>
      <c r="AE6081">
        <v>3</v>
      </c>
      <c r="AG6081" t="s">
        <v>45558</v>
      </c>
      <c r="AH6081">
        <v>1</v>
      </c>
      <c r="AI6081">
        <v>1</v>
      </c>
      <c r="AJ6081">
        <v>0</v>
      </c>
      <c r="AK6081">
        <v>127.11</v>
      </c>
      <c r="AN6081" t="s">
        <v>7439</v>
      </c>
      <c r="AO6081">
        <v>15876</v>
      </c>
      <c r="AU6081">
        <v>0</v>
      </c>
      <c r="AW6081" t="s">
        <v>46853</v>
      </c>
    </row>
    <row r="6082" spans="1:49">
      <c r="A6082" s="1">
        <f>HYPERLINK("https://lsnyc.legalserver.org/matter/dynamic-profile/view/1892543","19-1892543")</f>
        <v>0</v>
      </c>
      <c r="B6082" t="s">
        <v>238</v>
      </c>
      <c r="C6082" t="s">
        <v>340</v>
      </c>
      <c r="D6082" t="s">
        <v>751</v>
      </c>
      <c r="F6082" t="s">
        <v>3570</v>
      </c>
      <c r="G6082" t="s">
        <v>7889</v>
      </c>
      <c r="H6082" t="s">
        <v>14025</v>
      </c>
      <c r="I6082" t="s">
        <v>18317</v>
      </c>
      <c r="J6082" t="s">
        <v>18894</v>
      </c>
      <c r="K6082">
        <v>11220</v>
      </c>
      <c r="L6082" t="s">
        <v>18958</v>
      </c>
      <c r="M6082" t="s">
        <v>18958</v>
      </c>
      <c r="N6082" t="s">
        <v>23403</v>
      </c>
      <c r="O6082" t="s">
        <v>26523</v>
      </c>
      <c r="P6082" t="s">
        <v>26563</v>
      </c>
      <c r="R6082" t="s">
        <v>26586</v>
      </c>
      <c r="U6082" t="s">
        <v>26604</v>
      </c>
      <c r="W6082" t="s">
        <v>416</v>
      </c>
      <c r="X6082">
        <v>0</v>
      </c>
      <c r="Y6082" t="s">
        <v>26652</v>
      </c>
      <c r="AB6082" t="s">
        <v>30964</v>
      </c>
      <c r="AD6082" t="s">
        <v>41665</v>
      </c>
      <c r="AE6082">
        <v>0</v>
      </c>
      <c r="AG6082" t="s">
        <v>19330</v>
      </c>
      <c r="AH6082">
        <v>5</v>
      </c>
      <c r="AI6082">
        <v>2</v>
      </c>
      <c r="AJ6082">
        <v>1</v>
      </c>
      <c r="AK6082">
        <v>140.65</v>
      </c>
      <c r="AO6082">
        <v>30000</v>
      </c>
      <c r="AU6082">
        <v>0.5</v>
      </c>
      <c r="AV6082" t="s">
        <v>794</v>
      </c>
      <c r="AW6082" t="s">
        <v>46853</v>
      </c>
    </row>
    <row r="6083" spans="1:49">
      <c r="A6083" s="1">
        <f>HYPERLINK("https://lsnyc.legalserver.org/matter/dynamic-profile/view/1892487","19-1892487")</f>
        <v>0</v>
      </c>
      <c r="B6083" t="s">
        <v>193</v>
      </c>
      <c r="C6083" t="s">
        <v>340</v>
      </c>
      <c r="D6083" t="s">
        <v>751</v>
      </c>
      <c r="F6083" t="s">
        <v>1031</v>
      </c>
      <c r="G6083" t="s">
        <v>5609</v>
      </c>
      <c r="H6083" t="s">
        <v>14026</v>
      </c>
      <c r="I6083" t="s">
        <v>18318</v>
      </c>
      <c r="J6083" t="s">
        <v>18894</v>
      </c>
      <c r="K6083">
        <v>11224</v>
      </c>
      <c r="L6083" t="s">
        <v>18958</v>
      </c>
      <c r="M6083" t="s">
        <v>18958</v>
      </c>
      <c r="N6083" t="s">
        <v>23404</v>
      </c>
      <c r="O6083" t="s">
        <v>26523</v>
      </c>
      <c r="P6083" t="s">
        <v>26560</v>
      </c>
      <c r="R6083" t="s">
        <v>26586</v>
      </c>
      <c r="U6083" t="s">
        <v>26604</v>
      </c>
      <c r="W6083" t="s">
        <v>416</v>
      </c>
      <c r="X6083">
        <v>1304</v>
      </c>
      <c r="Y6083" t="s">
        <v>26652</v>
      </c>
      <c r="Z6083" t="s">
        <v>26664</v>
      </c>
      <c r="AB6083" t="s">
        <v>31450</v>
      </c>
      <c r="AD6083" t="s">
        <v>41666</v>
      </c>
      <c r="AE6083">
        <v>110</v>
      </c>
      <c r="AG6083" t="s">
        <v>45556</v>
      </c>
      <c r="AH6083">
        <v>29</v>
      </c>
      <c r="AI6083">
        <v>2</v>
      </c>
      <c r="AJ6083">
        <v>0</v>
      </c>
      <c r="AK6083">
        <v>93.53</v>
      </c>
      <c r="AN6083" t="s">
        <v>7439</v>
      </c>
      <c r="AO6083">
        <v>15816</v>
      </c>
      <c r="AU6083">
        <v>9.800000000000001</v>
      </c>
      <c r="AV6083" t="s">
        <v>769</v>
      </c>
      <c r="AW6083" t="s">
        <v>46853</v>
      </c>
    </row>
    <row r="6084" spans="1:49">
      <c r="A6084" s="1">
        <f>HYPERLINK("https://lsnyc.legalserver.org/matter/dynamic-profile/view/1892495","19-1892495")</f>
        <v>0</v>
      </c>
      <c r="B6084" t="s">
        <v>205</v>
      </c>
      <c r="C6084" t="s">
        <v>340</v>
      </c>
      <c r="D6084" t="s">
        <v>751</v>
      </c>
      <c r="F6084" t="s">
        <v>3571</v>
      </c>
      <c r="G6084" t="s">
        <v>7890</v>
      </c>
      <c r="H6084" t="s">
        <v>14027</v>
      </c>
      <c r="I6084" t="s">
        <v>17312</v>
      </c>
      <c r="J6084" t="s">
        <v>18894</v>
      </c>
      <c r="K6084">
        <v>11213</v>
      </c>
      <c r="L6084" t="s">
        <v>18958</v>
      </c>
      <c r="M6084" t="s">
        <v>18958</v>
      </c>
      <c r="N6084" t="s">
        <v>18997</v>
      </c>
      <c r="P6084" t="s">
        <v>26564</v>
      </c>
      <c r="R6084" t="s">
        <v>26578</v>
      </c>
      <c r="S6084" t="s">
        <v>18959</v>
      </c>
      <c r="U6084" t="s">
        <v>26604</v>
      </c>
      <c r="W6084" t="s">
        <v>416</v>
      </c>
      <c r="X6084">
        <v>0</v>
      </c>
      <c r="Y6084" t="s">
        <v>26652</v>
      </c>
      <c r="Z6084" t="s">
        <v>26530</v>
      </c>
      <c r="AB6084" t="s">
        <v>31451</v>
      </c>
      <c r="AE6084">
        <v>6</v>
      </c>
      <c r="AF6084" t="s">
        <v>45541</v>
      </c>
      <c r="AG6084" t="s">
        <v>19330</v>
      </c>
      <c r="AH6084">
        <v>0</v>
      </c>
      <c r="AI6084">
        <v>3</v>
      </c>
      <c r="AJ6084">
        <v>0</v>
      </c>
      <c r="AK6084">
        <v>166.9</v>
      </c>
      <c r="AN6084" t="s">
        <v>7439</v>
      </c>
      <c r="AO6084">
        <v>35600</v>
      </c>
      <c r="AU6084">
        <v>0</v>
      </c>
      <c r="AW6084" t="s">
        <v>286</v>
      </c>
    </row>
    <row r="6085" spans="1:49">
      <c r="A6085" s="1">
        <f>HYPERLINK("https://lsnyc.legalserver.org/matter/dynamic-profile/view/1892631","19-1892631")</f>
        <v>0</v>
      </c>
      <c r="B6085" t="s">
        <v>140</v>
      </c>
      <c r="C6085" t="s">
        <v>341</v>
      </c>
      <c r="D6085" t="s">
        <v>752</v>
      </c>
      <c r="E6085" t="s">
        <v>795</v>
      </c>
      <c r="F6085" t="s">
        <v>1964</v>
      </c>
      <c r="G6085" t="s">
        <v>7043</v>
      </c>
      <c r="H6085" t="s">
        <v>14028</v>
      </c>
      <c r="I6085" t="s">
        <v>17293</v>
      </c>
      <c r="J6085" t="s">
        <v>18894</v>
      </c>
      <c r="K6085">
        <v>11210</v>
      </c>
      <c r="L6085" t="s">
        <v>18958</v>
      </c>
      <c r="M6085" t="s">
        <v>18958</v>
      </c>
      <c r="N6085" t="s">
        <v>23405</v>
      </c>
      <c r="O6085" t="s">
        <v>26523</v>
      </c>
      <c r="P6085" t="s">
        <v>26564</v>
      </c>
      <c r="Q6085" t="s">
        <v>26570</v>
      </c>
      <c r="R6085" t="s">
        <v>26586</v>
      </c>
      <c r="S6085" t="s">
        <v>18959</v>
      </c>
      <c r="U6085" t="s">
        <v>26604</v>
      </c>
      <c r="V6085" t="s">
        <v>26610</v>
      </c>
      <c r="W6085" t="s">
        <v>416</v>
      </c>
      <c r="X6085">
        <v>1000</v>
      </c>
      <c r="Y6085" t="s">
        <v>26652</v>
      </c>
      <c r="Z6085" t="s">
        <v>26664</v>
      </c>
      <c r="AA6085" t="s">
        <v>26683</v>
      </c>
      <c r="AB6085" t="s">
        <v>31452</v>
      </c>
      <c r="AD6085" t="s">
        <v>41667</v>
      </c>
      <c r="AE6085">
        <v>60</v>
      </c>
      <c r="AF6085" t="s">
        <v>45553</v>
      </c>
      <c r="AG6085" t="s">
        <v>19330</v>
      </c>
      <c r="AH6085">
        <v>3</v>
      </c>
      <c r="AI6085">
        <v>1</v>
      </c>
      <c r="AJ6085">
        <v>0</v>
      </c>
      <c r="AK6085">
        <v>31.22</v>
      </c>
      <c r="AN6085" t="s">
        <v>45581</v>
      </c>
      <c r="AO6085">
        <v>3900</v>
      </c>
      <c r="AU6085">
        <v>2.6</v>
      </c>
      <c r="AV6085" t="s">
        <v>752</v>
      </c>
      <c r="AW6085" t="s">
        <v>46862</v>
      </c>
    </row>
    <row r="6086" spans="1:49">
      <c r="A6086" s="1">
        <f>HYPERLINK("https://lsnyc.legalserver.org/matter/dynamic-profile/view/1892706","19-1892706")</f>
        <v>0</v>
      </c>
      <c r="B6086" t="s">
        <v>283</v>
      </c>
      <c r="C6086" t="s">
        <v>340</v>
      </c>
      <c r="D6086" t="s">
        <v>752</v>
      </c>
      <c r="F6086" t="s">
        <v>3572</v>
      </c>
      <c r="G6086" t="s">
        <v>7891</v>
      </c>
      <c r="H6086" t="s">
        <v>14029</v>
      </c>
      <c r="I6086" t="s">
        <v>17272</v>
      </c>
      <c r="J6086" t="s">
        <v>18894</v>
      </c>
      <c r="K6086">
        <v>11238</v>
      </c>
      <c r="L6086" t="s">
        <v>18958</v>
      </c>
      <c r="M6086" t="s">
        <v>18958</v>
      </c>
      <c r="N6086" t="s">
        <v>23406</v>
      </c>
      <c r="O6086" t="s">
        <v>26523</v>
      </c>
      <c r="P6086" t="s">
        <v>26564</v>
      </c>
      <c r="R6086" t="s">
        <v>26586</v>
      </c>
      <c r="U6086" t="s">
        <v>26604</v>
      </c>
      <c r="W6086" t="s">
        <v>416</v>
      </c>
      <c r="X6086">
        <v>1118.18</v>
      </c>
      <c r="Y6086" t="s">
        <v>26652</v>
      </c>
      <c r="Z6086" t="s">
        <v>26664</v>
      </c>
      <c r="AB6086" t="s">
        <v>31119</v>
      </c>
      <c r="AD6086" t="s">
        <v>41668</v>
      </c>
      <c r="AE6086">
        <v>0</v>
      </c>
      <c r="AG6086" t="s">
        <v>45558</v>
      </c>
      <c r="AH6086">
        <v>-2</v>
      </c>
      <c r="AI6086">
        <v>1</v>
      </c>
      <c r="AJ6086">
        <v>0</v>
      </c>
      <c r="AK6086">
        <v>0</v>
      </c>
      <c r="AN6086" t="s">
        <v>7439</v>
      </c>
      <c r="AO6086">
        <v>0</v>
      </c>
      <c r="AU6086">
        <v>1</v>
      </c>
      <c r="AV6086" t="s">
        <v>752</v>
      </c>
      <c r="AW6086" t="s">
        <v>46862</v>
      </c>
    </row>
    <row r="6087" spans="1:49">
      <c r="A6087" s="1">
        <f>HYPERLINK("https://lsnyc.legalserver.org/matter/dynamic-profile/view/1892688","19-1892688")</f>
        <v>0</v>
      </c>
      <c r="B6087" t="s">
        <v>283</v>
      </c>
      <c r="C6087" t="s">
        <v>340</v>
      </c>
      <c r="D6087" t="s">
        <v>752</v>
      </c>
      <c r="F6087" t="s">
        <v>3573</v>
      </c>
      <c r="G6087" t="s">
        <v>4381</v>
      </c>
      <c r="H6087" t="s">
        <v>14030</v>
      </c>
      <c r="J6087" t="s">
        <v>18894</v>
      </c>
      <c r="K6087">
        <v>11203</v>
      </c>
      <c r="L6087" t="s">
        <v>18958</v>
      </c>
      <c r="M6087" t="s">
        <v>18958</v>
      </c>
      <c r="N6087" t="s">
        <v>23407</v>
      </c>
      <c r="O6087" t="s">
        <v>26524</v>
      </c>
      <c r="P6087" t="s">
        <v>26564</v>
      </c>
      <c r="R6087" t="s">
        <v>26586</v>
      </c>
      <c r="U6087" t="s">
        <v>26604</v>
      </c>
      <c r="W6087" t="s">
        <v>416</v>
      </c>
      <c r="X6087">
        <v>2500</v>
      </c>
      <c r="Y6087" t="s">
        <v>26652</v>
      </c>
      <c r="Z6087" t="s">
        <v>26664</v>
      </c>
      <c r="AB6087" t="s">
        <v>31453</v>
      </c>
      <c r="AC6087" t="s">
        <v>36095</v>
      </c>
      <c r="AE6087">
        <v>2</v>
      </c>
      <c r="AH6087">
        <v>1</v>
      </c>
      <c r="AI6087">
        <v>2</v>
      </c>
      <c r="AJ6087">
        <v>4</v>
      </c>
      <c r="AK6087">
        <v>0</v>
      </c>
      <c r="AN6087" t="s">
        <v>7439</v>
      </c>
      <c r="AO6087">
        <v>0</v>
      </c>
      <c r="AU6087">
        <v>1.3</v>
      </c>
      <c r="AV6087" t="s">
        <v>657</v>
      </c>
      <c r="AW6087" t="s">
        <v>46862</v>
      </c>
    </row>
    <row r="6088" spans="1:49">
      <c r="A6088" s="1">
        <f>HYPERLINK("https://lsnyc.legalserver.org/matter/dynamic-profile/view/1892746","19-1892746")</f>
        <v>0</v>
      </c>
      <c r="B6088" t="s">
        <v>283</v>
      </c>
      <c r="C6088" t="s">
        <v>340</v>
      </c>
      <c r="D6088" t="s">
        <v>752</v>
      </c>
      <c r="F6088" t="s">
        <v>3574</v>
      </c>
      <c r="G6088" t="s">
        <v>1993</v>
      </c>
      <c r="H6088" t="s">
        <v>14031</v>
      </c>
      <c r="I6088" t="s">
        <v>17374</v>
      </c>
      <c r="J6088" t="s">
        <v>18894</v>
      </c>
      <c r="K6088">
        <v>11230</v>
      </c>
      <c r="L6088" t="s">
        <v>18958</v>
      </c>
      <c r="M6088" t="s">
        <v>18958</v>
      </c>
      <c r="N6088" t="s">
        <v>23408</v>
      </c>
      <c r="O6088" t="s">
        <v>26524</v>
      </c>
      <c r="P6088" t="s">
        <v>26564</v>
      </c>
      <c r="R6088" t="s">
        <v>26586</v>
      </c>
      <c r="U6088" t="s">
        <v>26604</v>
      </c>
      <c r="W6088" t="s">
        <v>416</v>
      </c>
      <c r="X6088">
        <v>1000</v>
      </c>
      <c r="Y6088" t="s">
        <v>26652</v>
      </c>
      <c r="Z6088" t="s">
        <v>26664</v>
      </c>
      <c r="AB6088" t="s">
        <v>31454</v>
      </c>
      <c r="AD6088" t="s">
        <v>41669</v>
      </c>
      <c r="AE6088">
        <v>36</v>
      </c>
      <c r="AG6088" t="s">
        <v>26530</v>
      </c>
      <c r="AH6088">
        <v>28</v>
      </c>
      <c r="AI6088">
        <v>1</v>
      </c>
      <c r="AJ6088">
        <v>0</v>
      </c>
      <c r="AK6088">
        <v>96.08</v>
      </c>
      <c r="AN6088" t="s">
        <v>7439</v>
      </c>
      <c r="AO6088">
        <v>12000</v>
      </c>
      <c r="AU6088">
        <v>1</v>
      </c>
      <c r="AV6088" t="s">
        <v>752</v>
      </c>
      <c r="AW6088" t="s">
        <v>46862</v>
      </c>
    </row>
    <row r="6089" spans="1:49">
      <c r="A6089" s="1">
        <f>HYPERLINK("https://lsnyc.legalserver.org/matter/dynamic-profile/view/1892669","19-1892669")</f>
        <v>0</v>
      </c>
      <c r="B6089" t="s">
        <v>283</v>
      </c>
      <c r="C6089" t="s">
        <v>340</v>
      </c>
      <c r="D6089" t="s">
        <v>752</v>
      </c>
      <c r="F6089" t="s">
        <v>3575</v>
      </c>
      <c r="G6089" t="s">
        <v>7892</v>
      </c>
      <c r="H6089" t="s">
        <v>14032</v>
      </c>
      <c r="I6089" t="s">
        <v>17316</v>
      </c>
      <c r="J6089" t="s">
        <v>18894</v>
      </c>
      <c r="K6089">
        <v>11230</v>
      </c>
      <c r="L6089" t="s">
        <v>18958</v>
      </c>
      <c r="M6089" t="s">
        <v>18958</v>
      </c>
      <c r="N6089" t="s">
        <v>23409</v>
      </c>
      <c r="O6089" t="s">
        <v>26523</v>
      </c>
      <c r="P6089" t="s">
        <v>26564</v>
      </c>
      <c r="R6089" t="s">
        <v>26586</v>
      </c>
      <c r="U6089" t="s">
        <v>26604</v>
      </c>
      <c r="W6089" t="s">
        <v>416</v>
      </c>
      <c r="X6089">
        <v>1428</v>
      </c>
      <c r="Y6089" t="s">
        <v>26652</v>
      </c>
      <c r="Z6089" t="s">
        <v>26664</v>
      </c>
      <c r="AB6089" t="s">
        <v>31455</v>
      </c>
      <c r="AD6089" t="s">
        <v>41670</v>
      </c>
      <c r="AE6089">
        <v>27</v>
      </c>
      <c r="AG6089" t="s">
        <v>19330</v>
      </c>
      <c r="AH6089">
        <v>-4</v>
      </c>
      <c r="AI6089">
        <v>1</v>
      </c>
      <c r="AJ6089">
        <v>1</v>
      </c>
      <c r="AK6089">
        <v>183.32</v>
      </c>
      <c r="AN6089" t="s">
        <v>7439</v>
      </c>
      <c r="AO6089">
        <v>31000</v>
      </c>
      <c r="AU6089">
        <v>1</v>
      </c>
      <c r="AV6089" t="s">
        <v>752</v>
      </c>
      <c r="AW6089" t="s">
        <v>46862</v>
      </c>
    </row>
    <row r="6090" spans="1:49">
      <c r="A6090" s="1">
        <f>HYPERLINK("https://lsnyc.legalserver.org/matter/dynamic-profile/view/1892628","19-1892628")</f>
        <v>0</v>
      </c>
      <c r="B6090" t="s">
        <v>140</v>
      </c>
      <c r="C6090" t="s">
        <v>340</v>
      </c>
      <c r="D6090" t="s">
        <v>752</v>
      </c>
      <c r="F6090" t="s">
        <v>3576</v>
      </c>
      <c r="G6090" t="s">
        <v>3019</v>
      </c>
      <c r="H6090" t="s">
        <v>11231</v>
      </c>
      <c r="I6090" t="s">
        <v>17299</v>
      </c>
      <c r="J6090" t="s">
        <v>18894</v>
      </c>
      <c r="K6090">
        <v>11221</v>
      </c>
      <c r="L6090" t="s">
        <v>18958</v>
      </c>
      <c r="M6090" t="s">
        <v>18958</v>
      </c>
      <c r="N6090" t="s">
        <v>23410</v>
      </c>
      <c r="O6090" t="s">
        <v>26523</v>
      </c>
      <c r="P6090" t="s">
        <v>26560</v>
      </c>
      <c r="R6090" t="s">
        <v>26588</v>
      </c>
      <c r="S6090" t="s">
        <v>18959</v>
      </c>
      <c r="U6090" t="s">
        <v>26604</v>
      </c>
      <c r="V6090" t="s">
        <v>26610</v>
      </c>
      <c r="W6090" t="s">
        <v>416</v>
      </c>
      <c r="X6090">
        <v>738</v>
      </c>
      <c r="Y6090" t="s">
        <v>26652</v>
      </c>
      <c r="Z6090" t="s">
        <v>26669</v>
      </c>
      <c r="AB6090" t="s">
        <v>31456</v>
      </c>
      <c r="AD6090" t="s">
        <v>41671</v>
      </c>
      <c r="AE6090">
        <v>0</v>
      </c>
      <c r="AF6090" t="s">
        <v>45541</v>
      </c>
      <c r="AG6090" t="s">
        <v>19330</v>
      </c>
      <c r="AH6090">
        <v>4</v>
      </c>
      <c r="AI6090">
        <v>1</v>
      </c>
      <c r="AJ6090">
        <v>0</v>
      </c>
      <c r="AK6090">
        <v>183.19</v>
      </c>
      <c r="AN6090" t="s">
        <v>7439</v>
      </c>
      <c r="AO6090">
        <v>22880</v>
      </c>
      <c r="AU6090">
        <v>8.9</v>
      </c>
      <c r="AV6090" t="s">
        <v>831</v>
      </c>
      <c r="AW6090" t="s">
        <v>281</v>
      </c>
    </row>
    <row r="6091" spans="1:49">
      <c r="A6091" s="1">
        <f>HYPERLINK("https://lsnyc.legalserver.org/matter/dynamic-profile/view/1892684","19-1892684")</f>
        <v>0</v>
      </c>
      <c r="B6091" t="s">
        <v>238</v>
      </c>
      <c r="C6091" t="s">
        <v>340</v>
      </c>
      <c r="D6091" t="s">
        <v>752</v>
      </c>
      <c r="F6091" t="s">
        <v>2061</v>
      </c>
      <c r="G6091" t="s">
        <v>3500</v>
      </c>
      <c r="H6091" t="s">
        <v>14033</v>
      </c>
      <c r="I6091">
        <v>2</v>
      </c>
      <c r="J6091" t="s">
        <v>18894</v>
      </c>
      <c r="K6091">
        <v>11225</v>
      </c>
      <c r="L6091" t="s">
        <v>18958</v>
      </c>
      <c r="M6091" t="s">
        <v>18958</v>
      </c>
      <c r="N6091" t="s">
        <v>23411</v>
      </c>
      <c r="O6091" t="s">
        <v>26524</v>
      </c>
      <c r="P6091" t="s">
        <v>26564</v>
      </c>
      <c r="R6091" t="s">
        <v>26588</v>
      </c>
      <c r="U6091" t="s">
        <v>26604</v>
      </c>
      <c r="W6091" t="s">
        <v>416</v>
      </c>
      <c r="X6091">
        <v>1350</v>
      </c>
      <c r="Y6091" t="s">
        <v>26652</v>
      </c>
      <c r="Z6091" t="s">
        <v>26669</v>
      </c>
      <c r="AB6091" t="s">
        <v>30776</v>
      </c>
      <c r="AE6091">
        <v>3</v>
      </c>
      <c r="AF6091" t="s">
        <v>45547</v>
      </c>
      <c r="AG6091" t="s">
        <v>19330</v>
      </c>
      <c r="AH6091">
        <v>10</v>
      </c>
      <c r="AI6091">
        <v>2</v>
      </c>
      <c r="AJ6091">
        <v>0</v>
      </c>
      <c r="AK6091">
        <v>169.13</v>
      </c>
      <c r="AN6091" t="s">
        <v>7439</v>
      </c>
      <c r="AO6091">
        <v>28600</v>
      </c>
      <c r="AU6091">
        <v>0.6</v>
      </c>
      <c r="AV6091" t="s">
        <v>753</v>
      </c>
      <c r="AW6091" t="s">
        <v>281</v>
      </c>
    </row>
    <row r="6092" spans="1:49">
      <c r="A6092" s="1">
        <f>HYPERLINK("https://lsnyc.legalserver.org/matter/dynamic-profile/view/1892890","19-1892890")</f>
        <v>0</v>
      </c>
      <c r="B6092" t="s">
        <v>202</v>
      </c>
      <c r="C6092" t="s">
        <v>340</v>
      </c>
      <c r="D6092" t="s">
        <v>753</v>
      </c>
      <c r="F6092" t="s">
        <v>999</v>
      </c>
      <c r="G6092" t="s">
        <v>7893</v>
      </c>
      <c r="H6092" t="s">
        <v>14034</v>
      </c>
      <c r="I6092">
        <v>2401</v>
      </c>
      <c r="J6092" t="s">
        <v>18894</v>
      </c>
      <c r="K6092">
        <v>11224</v>
      </c>
      <c r="L6092" t="s">
        <v>18958</v>
      </c>
      <c r="M6092" t="s">
        <v>18958</v>
      </c>
      <c r="N6092" t="s">
        <v>23412</v>
      </c>
      <c r="O6092" t="s">
        <v>26523</v>
      </c>
      <c r="P6092" t="s">
        <v>26560</v>
      </c>
      <c r="R6092" t="s">
        <v>26586</v>
      </c>
      <c r="U6092" t="s">
        <v>26604</v>
      </c>
      <c r="V6092" t="s">
        <v>26610</v>
      </c>
      <c r="W6092" t="s">
        <v>416</v>
      </c>
      <c r="X6092">
        <v>1230</v>
      </c>
      <c r="Y6092" t="s">
        <v>26652</v>
      </c>
      <c r="Z6092" t="s">
        <v>26664</v>
      </c>
      <c r="AB6092" t="s">
        <v>31457</v>
      </c>
      <c r="AD6092" t="s">
        <v>41672</v>
      </c>
      <c r="AE6092">
        <v>132</v>
      </c>
      <c r="AG6092" t="s">
        <v>45558</v>
      </c>
      <c r="AH6092">
        <v>3</v>
      </c>
      <c r="AI6092">
        <v>2</v>
      </c>
      <c r="AJ6092">
        <v>1</v>
      </c>
      <c r="AK6092">
        <v>0</v>
      </c>
      <c r="AN6092" t="s">
        <v>7439</v>
      </c>
      <c r="AO6092">
        <v>0</v>
      </c>
      <c r="AU6092">
        <v>20.05</v>
      </c>
      <c r="AV6092" t="s">
        <v>839</v>
      </c>
      <c r="AW6092" t="s">
        <v>46862</v>
      </c>
    </row>
    <row r="6093" spans="1:49">
      <c r="A6093" s="1">
        <f>HYPERLINK("https://lsnyc.legalserver.org/matter/dynamic-profile/view/1892900","19-1892900")</f>
        <v>0</v>
      </c>
      <c r="B6093" t="s">
        <v>202</v>
      </c>
      <c r="C6093" t="s">
        <v>340</v>
      </c>
      <c r="D6093" t="s">
        <v>753</v>
      </c>
      <c r="F6093" t="s">
        <v>3577</v>
      </c>
      <c r="G6093" t="s">
        <v>7894</v>
      </c>
      <c r="H6093" t="s">
        <v>14035</v>
      </c>
      <c r="I6093" t="s">
        <v>17306</v>
      </c>
      <c r="J6093" t="s">
        <v>18894</v>
      </c>
      <c r="K6093">
        <v>11236</v>
      </c>
      <c r="L6093" t="s">
        <v>18958</v>
      </c>
      <c r="M6093" t="s">
        <v>18958</v>
      </c>
      <c r="N6093" t="s">
        <v>23413</v>
      </c>
      <c r="O6093" t="s">
        <v>26523</v>
      </c>
      <c r="P6093" t="s">
        <v>26560</v>
      </c>
      <c r="R6093" t="s">
        <v>26586</v>
      </c>
      <c r="S6093" t="s">
        <v>18959</v>
      </c>
      <c r="U6093" t="s">
        <v>26605</v>
      </c>
      <c r="V6093" t="s">
        <v>26611</v>
      </c>
      <c r="W6093" t="s">
        <v>416</v>
      </c>
      <c r="X6093">
        <v>429.6</v>
      </c>
      <c r="Y6093" t="s">
        <v>26652</v>
      </c>
      <c r="Z6093" t="s">
        <v>26664</v>
      </c>
      <c r="AB6093" t="s">
        <v>26707</v>
      </c>
      <c r="AD6093" t="s">
        <v>41673</v>
      </c>
      <c r="AE6093">
        <v>42</v>
      </c>
      <c r="AF6093" t="s">
        <v>45549</v>
      </c>
      <c r="AG6093" t="s">
        <v>19330</v>
      </c>
      <c r="AH6093">
        <v>14</v>
      </c>
      <c r="AI6093">
        <v>2</v>
      </c>
      <c r="AJ6093">
        <v>0</v>
      </c>
      <c r="AK6093">
        <v>100.56</v>
      </c>
      <c r="AN6093" t="s">
        <v>7439</v>
      </c>
      <c r="AO6093">
        <v>17004</v>
      </c>
      <c r="AQ6093" t="s">
        <v>46364</v>
      </c>
      <c r="AU6093">
        <v>15.95</v>
      </c>
      <c r="AV6093" t="s">
        <v>836</v>
      </c>
      <c r="AW6093" t="s">
        <v>46862</v>
      </c>
    </row>
    <row r="6094" spans="1:49">
      <c r="A6094" s="1">
        <f>HYPERLINK("https://lsnyc.legalserver.org/matter/dynamic-profile/view/1892923","19-1892923")</f>
        <v>0</v>
      </c>
      <c r="B6094" t="s">
        <v>148</v>
      </c>
      <c r="C6094" t="s">
        <v>340</v>
      </c>
      <c r="D6094" t="s">
        <v>753</v>
      </c>
      <c r="F6094" t="s">
        <v>1299</v>
      </c>
      <c r="G6094" t="s">
        <v>868</v>
      </c>
      <c r="H6094" t="s">
        <v>14036</v>
      </c>
      <c r="I6094">
        <v>2</v>
      </c>
      <c r="J6094" t="s">
        <v>18894</v>
      </c>
      <c r="K6094">
        <v>11236</v>
      </c>
      <c r="L6094" t="s">
        <v>18958</v>
      </c>
      <c r="M6094" t="s">
        <v>18958</v>
      </c>
      <c r="N6094" t="s">
        <v>23414</v>
      </c>
      <c r="O6094" t="s">
        <v>26524</v>
      </c>
      <c r="P6094" t="s">
        <v>26564</v>
      </c>
      <c r="R6094" t="s">
        <v>26586</v>
      </c>
      <c r="U6094" t="s">
        <v>26604</v>
      </c>
      <c r="W6094" t="s">
        <v>416</v>
      </c>
      <c r="X6094">
        <v>1956</v>
      </c>
      <c r="Y6094" t="s">
        <v>26652</v>
      </c>
      <c r="Z6094" t="s">
        <v>26664</v>
      </c>
      <c r="AB6094" t="s">
        <v>31458</v>
      </c>
      <c r="AD6094" t="s">
        <v>41674</v>
      </c>
      <c r="AE6094">
        <v>3</v>
      </c>
      <c r="AF6094" t="s">
        <v>45547</v>
      </c>
      <c r="AG6094" t="s">
        <v>45557</v>
      </c>
      <c r="AH6094">
        <v>1</v>
      </c>
      <c r="AI6094">
        <v>3</v>
      </c>
      <c r="AJ6094">
        <v>2</v>
      </c>
      <c r="AK6094">
        <v>69.20999999999999</v>
      </c>
      <c r="AN6094" t="s">
        <v>7439</v>
      </c>
      <c r="AO6094">
        <v>20880</v>
      </c>
      <c r="AU6094">
        <v>0</v>
      </c>
      <c r="AW6094" t="s">
        <v>281</v>
      </c>
    </row>
    <row r="6095" spans="1:49">
      <c r="A6095" s="1">
        <f>HYPERLINK("https://lsnyc.legalserver.org/matter/dynamic-profile/view/1892845","19-1892845")</f>
        <v>0</v>
      </c>
      <c r="B6095" t="s">
        <v>172</v>
      </c>
      <c r="C6095" t="s">
        <v>340</v>
      </c>
      <c r="D6095" t="s">
        <v>753</v>
      </c>
      <c r="F6095" t="s">
        <v>1010</v>
      </c>
      <c r="G6095" t="s">
        <v>6205</v>
      </c>
      <c r="H6095" t="s">
        <v>14037</v>
      </c>
      <c r="I6095" t="s">
        <v>18319</v>
      </c>
      <c r="J6095" t="s">
        <v>18894</v>
      </c>
      <c r="K6095">
        <v>11213</v>
      </c>
      <c r="L6095" t="s">
        <v>18958</v>
      </c>
      <c r="M6095" t="s">
        <v>18958</v>
      </c>
      <c r="N6095" t="s">
        <v>23415</v>
      </c>
      <c r="O6095" t="s">
        <v>26524</v>
      </c>
      <c r="P6095" t="s">
        <v>26560</v>
      </c>
      <c r="R6095" t="s">
        <v>26586</v>
      </c>
      <c r="U6095" t="s">
        <v>26604</v>
      </c>
      <c r="W6095" t="s">
        <v>416</v>
      </c>
      <c r="X6095">
        <v>725</v>
      </c>
      <c r="Y6095" t="s">
        <v>26652</v>
      </c>
      <c r="Z6095" t="s">
        <v>26664</v>
      </c>
      <c r="AB6095" t="s">
        <v>31459</v>
      </c>
      <c r="AD6095" t="s">
        <v>41675</v>
      </c>
      <c r="AE6095">
        <v>59</v>
      </c>
      <c r="AH6095">
        <v>0</v>
      </c>
      <c r="AI6095">
        <v>2</v>
      </c>
      <c r="AJ6095">
        <v>1</v>
      </c>
      <c r="AK6095">
        <v>318.8</v>
      </c>
      <c r="AN6095" t="s">
        <v>7439</v>
      </c>
      <c r="AO6095">
        <v>68000</v>
      </c>
      <c r="AU6095">
        <v>8.699999999999999</v>
      </c>
      <c r="AV6095" t="s">
        <v>797</v>
      </c>
      <c r="AW6095" t="s">
        <v>46862</v>
      </c>
    </row>
    <row r="6096" spans="1:49">
      <c r="A6096" s="1">
        <f>HYPERLINK("https://lsnyc.legalserver.org/matter/dynamic-profile/view/1893044","19-1893044")</f>
        <v>0</v>
      </c>
      <c r="B6096" t="s">
        <v>126</v>
      </c>
      <c r="C6096" t="s">
        <v>341</v>
      </c>
      <c r="D6096" t="s">
        <v>754</v>
      </c>
      <c r="E6096" t="s">
        <v>830</v>
      </c>
      <c r="F6096" t="s">
        <v>895</v>
      </c>
      <c r="G6096" t="s">
        <v>7631</v>
      </c>
      <c r="H6096" t="s">
        <v>14038</v>
      </c>
      <c r="I6096">
        <v>212</v>
      </c>
      <c r="J6096" t="s">
        <v>18894</v>
      </c>
      <c r="K6096">
        <v>11208</v>
      </c>
      <c r="L6096" t="s">
        <v>18958</v>
      </c>
      <c r="M6096" t="s">
        <v>18958</v>
      </c>
      <c r="N6096" t="s">
        <v>23416</v>
      </c>
      <c r="O6096" t="s">
        <v>26523</v>
      </c>
      <c r="P6096" t="s">
        <v>26560</v>
      </c>
      <c r="Q6096" t="s">
        <v>26568</v>
      </c>
      <c r="R6096" t="s">
        <v>26578</v>
      </c>
      <c r="S6096" t="s">
        <v>18959</v>
      </c>
      <c r="U6096" t="s">
        <v>26604</v>
      </c>
      <c r="V6096" t="s">
        <v>26610</v>
      </c>
      <c r="W6096" t="s">
        <v>416</v>
      </c>
      <c r="X6096">
        <v>1092</v>
      </c>
      <c r="Y6096" t="s">
        <v>26652</v>
      </c>
      <c r="Z6096" t="s">
        <v>26668</v>
      </c>
      <c r="AA6096" t="s">
        <v>26683</v>
      </c>
      <c r="AB6096" t="s">
        <v>31460</v>
      </c>
      <c r="AC6096" t="s">
        <v>36096</v>
      </c>
      <c r="AD6096" t="s">
        <v>41676</v>
      </c>
      <c r="AE6096">
        <v>323</v>
      </c>
      <c r="AF6096" t="s">
        <v>45541</v>
      </c>
      <c r="AG6096" t="s">
        <v>19330</v>
      </c>
      <c r="AH6096">
        <v>3</v>
      </c>
      <c r="AI6096">
        <v>1</v>
      </c>
      <c r="AJ6096">
        <v>1</v>
      </c>
      <c r="AK6096">
        <v>169.44</v>
      </c>
      <c r="AN6096" t="s">
        <v>7439</v>
      </c>
      <c r="AO6096">
        <v>28652</v>
      </c>
      <c r="AU6096">
        <v>20.5</v>
      </c>
      <c r="AV6096" t="s">
        <v>830</v>
      </c>
      <c r="AW6096" t="s">
        <v>279</v>
      </c>
    </row>
    <row r="6097" spans="1:50">
      <c r="A6097" s="1">
        <f>HYPERLINK("https://lsnyc.legalserver.org/matter/dynamic-profile/view/1892967","19-1892967")</f>
        <v>0</v>
      </c>
      <c r="B6097" t="s">
        <v>283</v>
      </c>
      <c r="C6097" t="s">
        <v>340</v>
      </c>
      <c r="D6097" t="s">
        <v>754</v>
      </c>
      <c r="F6097" t="s">
        <v>936</v>
      </c>
      <c r="G6097" t="s">
        <v>7605</v>
      </c>
      <c r="H6097" t="s">
        <v>14039</v>
      </c>
      <c r="I6097" t="s">
        <v>18320</v>
      </c>
      <c r="J6097" t="s">
        <v>18894</v>
      </c>
      <c r="K6097">
        <v>11208</v>
      </c>
      <c r="L6097" t="s">
        <v>18958</v>
      </c>
      <c r="M6097" t="s">
        <v>18958</v>
      </c>
      <c r="N6097" t="s">
        <v>23417</v>
      </c>
      <c r="O6097" t="s">
        <v>26523</v>
      </c>
      <c r="P6097" t="s">
        <v>26564</v>
      </c>
      <c r="R6097" t="s">
        <v>26578</v>
      </c>
      <c r="U6097" t="s">
        <v>26604</v>
      </c>
      <c r="W6097" t="s">
        <v>416</v>
      </c>
      <c r="X6097">
        <v>1400</v>
      </c>
      <c r="Y6097" t="s">
        <v>26652</v>
      </c>
      <c r="Z6097" t="s">
        <v>26664</v>
      </c>
      <c r="AB6097" t="s">
        <v>26975</v>
      </c>
      <c r="AD6097" t="s">
        <v>41677</v>
      </c>
      <c r="AE6097">
        <v>40</v>
      </c>
      <c r="AG6097" t="s">
        <v>19330</v>
      </c>
      <c r="AH6097">
        <v>12</v>
      </c>
      <c r="AI6097">
        <v>1</v>
      </c>
      <c r="AJ6097">
        <v>0</v>
      </c>
      <c r="AK6097">
        <v>112.09</v>
      </c>
      <c r="AN6097" t="s">
        <v>7439</v>
      </c>
      <c r="AO6097">
        <v>14000</v>
      </c>
      <c r="AU6097">
        <v>0.9</v>
      </c>
      <c r="AV6097" t="s">
        <v>657</v>
      </c>
      <c r="AW6097" t="s">
        <v>281</v>
      </c>
    </row>
    <row r="6098" spans="1:50">
      <c r="A6098" s="1">
        <f>HYPERLINK("https://lsnyc.legalserver.org/matter/dynamic-profile/view/1893199","19-1893199")</f>
        <v>0</v>
      </c>
      <c r="B6098" t="s">
        <v>227</v>
      </c>
      <c r="C6098" t="s">
        <v>341</v>
      </c>
      <c r="D6098" t="s">
        <v>759</v>
      </c>
      <c r="E6098" t="s">
        <v>780</v>
      </c>
      <c r="F6098" t="s">
        <v>964</v>
      </c>
      <c r="G6098" t="s">
        <v>7895</v>
      </c>
      <c r="H6098" t="s">
        <v>14040</v>
      </c>
      <c r="I6098" t="s">
        <v>17390</v>
      </c>
      <c r="J6098" t="s">
        <v>18894</v>
      </c>
      <c r="K6098">
        <v>11226</v>
      </c>
      <c r="L6098" t="s">
        <v>18958</v>
      </c>
      <c r="M6098" t="s">
        <v>18958</v>
      </c>
      <c r="N6098" t="s">
        <v>23418</v>
      </c>
      <c r="O6098" t="s">
        <v>26524</v>
      </c>
      <c r="P6098" t="s">
        <v>26564</v>
      </c>
      <c r="Q6098" t="s">
        <v>26570</v>
      </c>
      <c r="R6098" t="s">
        <v>26588</v>
      </c>
      <c r="U6098" t="s">
        <v>26604</v>
      </c>
      <c r="W6098" t="s">
        <v>416</v>
      </c>
      <c r="X6098">
        <v>788.54</v>
      </c>
      <c r="Y6098" t="s">
        <v>26652</v>
      </c>
      <c r="Z6098" t="s">
        <v>26664</v>
      </c>
      <c r="AA6098" t="s">
        <v>26683</v>
      </c>
      <c r="AB6098" t="s">
        <v>31461</v>
      </c>
      <c r="AE6098">
        <v>60</v>
      </c>
      <c r="AG6098" t="s">
        <v>19330</v>
      </c>
      <c r="AH6098">
        <v>6</v>
      </c>
      <c r="AI6098">
        <v>1</v>
      </c>
      <c r="AJ6098">
        <v>0</v>
      </c>
      <c r="AK6098">
        <v>92.84</v>
      </c>
      <c r="AN6098" t="s">
        <v>7439</v>
      </c>
      <c r="AO6098">
        <v>11596</v>
      </c>
      <c r="AU6098">
        <v>2.2</v>
      </c>
      <c r="AV6098" t="s">
        <v>791</v>
      </c>
      <c r="AW6098" t="s">
        <v>46862</v>
      </c>
    </row>
    <row r="6099" spans="1:50">
      <c r="A6099" s="1">
        <f>HYPERLINK("https://lsnyc.legalserver.org/matter/dynamic-profile/view/1893212","19-1893212")</f>
        <v>0</v>
      </c>
      <c r="B6099" t="s">
        <v>227</v>
      </c>
      <c r="C6099" t="s">
        <v>341</v>
      </c>
      <c r="D6099" t="s">
        <v>759</v>
      </c>
      <c r="E6099" t="s">
        <v>803</v>
      </c>
      <c r="F6099" t="s">
        <v>1987</v>
      </c>
      <c r="G6099" t="s">
        <v>7896</v>
      </c>
      <c r="H6099" t="s">
        <v>13243</v>
      </c>
      <c r="I6099" t="s">
        <v>17436</v>
      </c>
      <c r="J6099" t="s">
        <v>18894</v>
      </c>
      <c r="K6099">
        <v>11226</v>
      </c>
      <c r="L6099" t="s">
        <v>18958</v>
      </c>
      <c r="M6099" t="s">
        <v>18958</v>
      </c>
      <c r="N6099" t="s">
        <v>23419</v>
      </c>
      <c r="O6099" t="s">
        <v>26523</v>
      </c>
      <c r="P6099" t="s">
        <v>26563</v>
      </c>
      <c r="Q6099" t="s">
        <v>26570</v>
      </c>
      <c r="R6099" t="s">
        <v>26588</v>
      </c>
      <c r="U6099" t="s">
        <v>26604</v>
      </c>
      <c r="W6099" t="s">
        <v>416</v>
      </c>
      <c r="X6099">
        <v>873.4400000000001</v>
      </c>
      <c r="Y6099" t="s">
        <v>26652</v>
      </c>
      <c r="Z6099" t="s">
        <v>26664</v>
      </c>
      <c r="AA6099" t="s">
        <v>26683</v>
      </c>
      <c r="AB6099" t="s">
        <v>31462</v>
      </c>
      <c r="AD6099" t="s">
        <v>41678</v>
      </c>
      <c r="AE6099">
        <v>50</v>
      </c>
      <c r="AG6099" t="s">
        <v>19330</v>
      </c>
      <c r="AH6099">
        <v>3</v>
      </c>
      <c r="AI6099">
        <v>2</v>
      </c>
      <c r="AJ6099">
        <v>1</v>
      </c>
      <c r="AK6099">
        <v>178.15</v>
      </c>
      <c r="AN6099" t="s">
        <v>7439</v>
      </c>
      <c r="AO6099">
        <v>38000</v>
      </c>
      <c r="AU6099">
        <v>2</v>
      </c>
      <c r="AV6099" t="s">
        <v>759</v>
      </c>
      <c r="AW6099" t="s">
        <v>46862</v>
      </c>
    </row>
    <row r="6100" spans="1:50">
      <c r="A6100" s="1">
        <f>HYPERLINK("https://lsnyc.legalserver.org/matter/dynamic-profile/view/1893141","19-1893141")</f>
        <v>0</v>
      </c>
      <c r="B6100" t="s">
        <v>84</v>
      </c>
      <c r="C6100" t="s">
        <v>340</v>
      </c>
      <c r="D6100" t="s">
        <v>759</v>
      </c>
      <c r="F6100" t="s">
        <v>1935</v>
      </c>
      <c r="G6100" t="s">
        <v>5607</v>
      </c>
      <c r="H6100" t="s">
        <v>14041</v>
      </c>
      <c r="I6100" t="s">
        <v>17366</v>
      </c>
      <c r="J6100" t="s">
        <v>18893</v>
      </c>
      <c r="K6100">
        <v>10001</v>
      </c>
      <c r="L6100" t="s">
        <v>18958</v>
      </c>
      <c r="M6100" t="s">
        <v>18958</v>
      </c>
      <c r="N6100" t="s">
        <v>23420</v>
      </c>
      <c r="O6100" t="s">
        <v>26524</v>
      </c>
      <c r="P6100" t="s">
        <v>26564</v>
      </c>
      <c r="R6100" t="s">
        <v>26582</v>
      </c>
      <c r="S6100" t="s">
        <v>18959</v>
      </c>
      <c r="U6100" t="s">
        <v>26606</v>
      </c>
      <c r="V6100" t="s">
        <v>26610</v>
      </c>
      <c r="W6100" t="s">
        <v>416</v>
      </c>
      <c r="X6100">
        <v>1515</v>
      </c>
      <c r="Y6100" t="s">
        <v>26651</v>
      </c>
      <c r="Z6100" t="s">
        <v>26664</v>
      </c>
      <c r="AB6100" t="s">
        <v>27657</v>
      </c>
      <c r="AC6100" t="s">
        <v>36097</v>
      </c>
      <c r="AD6100" t="s">
        <v>41679</v>
      </c>
      <c r="AE6100">
        <v>845</v>
      </c>
      <c r="AF6100" t="s">
        <v>45551</v>
      </c>
      <c r="AG6100" t="s">
        <v>45562</v>
      </c>
      <c r="AH6100">
        <v>1</v>
      </c>
      <c r="AI6100">
        <v>2</v>
      </c>
      <c r="AJ6100">
        <v>2</v>
      </c>
      <c r="AK6100">
        <v>38.45</v>
      </c>
      <c r="AN6100" t="s">
        <v>7439</v>
      </c>
      <c r="AO6100">
        <v>9900</v>
      </c>
      <c r="AU6100">
        <v>1.8</v>
      </c>
      <c r="AV6100" t="s">
        <v>822</v>
      </c>
      <c r="AW6100" t="s">
        <v>314</v>
      </c>
    </row>
    <row r="6101" spans="1:50">
      <c r="A6101" s="1">
        <f>HYPERLINK("https://lsnyc.legalserver.org/matter/dynamic-profile/view/1893236","19-1893236")</f>
        <v>0</v>
      </c>
      <c r="B6101" t="s">
        <v>227</v>
      </c>
      <c r="C6101" t="s">
        <v>340</v>
      </c>
      <c r="D6101" t="s">
        <v>759</v>
      </c>
      <c r="F6101" t="s">
        <v>1502</v>
      </c>
      <c r="G6101" t="s">
        <v>7897</v>
      </c>
      <c r="H6101" t="s">
        <v>14042</v>
      </c>
      <c r="I6101" t="s">
        <v>18290</v>
      </c>
      <c r="J6101" t="s">
        <v>18894</v>
      </c>
      <c r="K6101">
        <v>11226</v>
      </c>
      <c r="L6101" t="s">
        <v>18958</v>
      </c>
      <c r="M6101" t="s">
        <v>18958</v>
      </c>
      <c r="N6101" t="s">
        <v>23421</v>
      </c>
      <c r="O6101" t="s">
        <v>26523</v>
      </c>
      <c r="P6101" t="s">
        <v>26563</v>
      </c>
      <c r="R6101" t="s">
        <v>26588</v>
      </c>
      <c r="U6101" t="s">
        <v>26604</v>
      </c>
      <c r="W6101" t="s">
        <v>416</v>
      </c>
      <c r="X6101">
        <v>1650</v>
      </c>
      <c r="Y6101" t="s">
        <v>26652</v>
      </c>
      <c r="Z6101" t="s">
        <v>26664</v>
      </c>
      <c r="AB6101" t="s">
        <v>31463</v>
      </c>
      <c r="AD6101" t="s">
        <v>41680</v>
      </c>
      <c r="AE6101">
        <v>61</v>
      </c>
      <c r="AG6101" t="s">
        <v>26530</v>
      </c>
      <c r="AH6101">
        <v>1</v>
      </c>
      <c r="AI6101">
        <v>1</v>
      </c>
      <c r="AJ6101">
        <v>0</v>
      </c>
      <c r="AK6101">
        <v>34.59</v>
      </c>
      <c r="AN6101" t="s">
        <v>7439</v>
      </c>
      <c r="AO6101">
        <v>4320</v>
      </c>
      <c r="AU6101">
        <v>7.1</v>
      </c>
      <c r="AV6101" t="s">
        <v>803</v>
      </c>
      <c r="AW6101" t="s">
        <v>46862</v>
      </c>
    </row>
    <row r="6102" spans="1:50">
      <c r="A6102" s="1">
        <f>HYPERLINK("https://lsnyc.legalserver.org/matter/dynamic-profile/view/1893251","19-1893251")</f>
        <v>0</v>
      </c>
      <c r="B6102" t="s">
        <v>106</v>
      </c>
      <c r="C6102" t="s">
        <v>340</v>
      </c>
      <c r="D6102" t="s">
        <v>759</v>
      </c>
      <c r="F6102" t="s">
        <v>2480</v>
      </c>
      <c r="G6102" t="s">
        <v>4528</v>
      </c>
      <c r="H6102" t="s">
        <v>14043</v>
      </c>
      <c r="I6102" t="s">
        <v>17347</v>
      </c>
      <c r="J6102" t="s">
        <v>18894</v>
      </c>
      <c r="K6102">
        <v>11233</v>
      </c>
      <c r="L6102" t="s">
        <v>18958</v>
      </c>
      <c r="M6102" t="s">
        <v>18958</v>
      </c>
      <c r="N6102" t="s">
        <v>23422</v>
      </c>
      <c r="O6102" t="s">
        <v>26523</v>
      </c>
      <c r="P6102" t="s">
        <v>26560</v>
      </c>
      <c r="R6102" t="s">
        <v>26586</v>
      </c>
      <c r="U6102" t="s">
        <v>26605</v>
      </c>
      <c r="W6102" t="s">
        <v>416</v>
      </c>
      <c r="X6102">
        <v>400</v>
      </c>
      <c r="Y6102" t="s">
        <v>26652</v>
      </c>
      <c r="Z6102" t="s">
        <v>26664</v>
      </c>
      <c r="AB6102" t="s">
        <v>31464</v>
      </c>
      <c r="AC6102" t="s">
        <v>36098</v>
      </c>
      <c r="AE6102">
        <v>72</v>
      </c>
      <c r="AG6102" t="s">
        <v>26530</v>
      </c>
      <c r="AH6102">
        <v>17</v>
      </c>
      <c r="AI6102">
        <v>1</v>
      </c>
      <c r="AJ6102">
        <v>1</v>
      </c>
      <c r="AK6102">
        <v>0</v>
      </c>
      <c r="AN6102" t="s">
        <v>7439</v>
      </c>
      <c r="AO6102">
        <v>0</v>
      </c>
      <c r="AU6102">
        <v>17.2</v>
      </c>
      <c r="AV6102" t="s">
        <v>835</v>
      </c>
      <c r="AW6102" t="s">
        <v>46862</v>
      </c>
    </row>
    <row r="6103" spans="1:50">
      <c r="A6103" s="1">
        <f>HYPERLINK("https://lsnyc.legalserver.org/matter/dynamic-profile/view/1893143","19-1893143")</f>
        <v>0</v>
      </c>
      <c r="B6103" t="s">
        <v>106</v>
      </c>
      <c r="C6103" t="s">
        <v>340</v>
      </c>
      <c r="D6103" t="s">
        <v>759</v>
      </c>
      <c r="F6103" t="s">
        <v>3578</v>
      </c>
      <c r="G6103" t="s">
        <v>6933</v>
      </c>
      <c r="H6103" t="s">
        <v>14044</v>
      </c>
      <c r="I6103" t="s">
        <v>17299</v>
      </c>
      <c r="J6103" t="s">
        <v>18894</v>
      </c>
      <c r="K6103">
        <v>11216</v>
      </c>
      <c r="L6103" t="s">
        <v>18958</v>
      </c>
      <c r="M6103" t="s">
        <v>18958</v>
      </c>
      <c r="N6103" t="s">
        <v>23423</v>
      </c>
      <c r="O6103" t="s">
        <v>26523</v>
      </c>
      <c r="P6103" t="s">
        <v>26560</v>
      </c>
      <c r="R6103" t="s">
        <v>26588</v>
      </c>
      <c r="U6103" t="s">
        <v>26604</v>
      </c>
      <c r="W6103" t="s">
        <v>416</v>
      </c>
      <c r="X6103">
        <v>948</v>
      </c>
      <c r="Y6103" t="s">
        <v>26652</v>
      </c>
      <c r="Z6103" t="s">
        <v>26669</v>
      </c>
      <c r="AB6103" t="s">
        <v>27028</v>
      </c>
      <c r="AD6103" t="s">
        <v>41681</v>
      </c>
      <c r="AE6103">
        <v>7</v>
      </c>
      <c r="AG6103" t="s">
        <v>19330</v>
      </c>
      <c r="AH6103">
        <v>20</v>
      </c>
      <c r="AI6103">
        <v>4</v>
      </c>
      <c r="AJ6103">
        <v>1</v>
      </c>
      <c r="AK6103">
        <v>198.87</v>
      </c>
      <c r="AN6103" t="s">
        <v>7439</v>
      </c>
      <c r="AO6103">
        <v>60000</v>
      </c>
      <c r="AU6103">
        <v>11.7</v>
      </c>
      <c r="AV6103" t="s">
        <v>773</v>
      </c>
      <c r="AW6103" t="s">
        <v>281</v>
      </c>
    </row>
    <row r="6104" spans="1:50">
      <c r="A6104" s="1">
        <f>HYPERLINK("https://lsnyc.legalserver.org/matter/dynamic-profile/view/1893333","19-1893333")</f>
        <v>0</v>
      </c>
      <c r="B6104" t="s">
        <v>172</v>
      </c>
      <c r="C6104" t="s">
        <v>341</v>
      </c>
      <c r="D6104" t="s">
        <v>657</v>
      </c>
      <c r="E6104" t="s">
        <v>794</v>
      </c>
      <c r="F6104" t="s">
        <v>3579</v>
      </c>
      <c r="G6104" t="s">
        <v>7898</v>
      </c>
      <c r="H6104" t="s">
        <v>14045</v>
      </c>
      <c r="I6104" t="s">
        <v>18321</v>
      </c>
      <c r="J6104" t="s">
        <v>18894</v>
      </c>
      <c r="K6104">
        <v>11209</v>
      </c>
      <c r="L6104" t="s">
        <v>18958</v>
      </c>
      <c r="M6104" t="s">
        <v>18958</v>
      </c>
      <c r="N6104" t="s">
        <v>23424</v>
      </c>
      <c r="O6104" t="s">
        <v>26523</v>
      </c>
      <c r="P6104" t="s">
        <v>26564</v>
      </c>
      <c r="Q6104" t="s">
        <v>26570</v>
      </c>
      <c r="R6104" t="s">
        <v>26586</v>
      </c>
      <c r="U6104" t="s">
        <v>26604</v>
      </c>
      <c r="W6104" t="s">
        <v>416</v>
      </c>
      <c r="X6104">
        <v>1150</v>
      </c>
      <c r="Y6104" t="s">
        <v>26652</v>
      </c>
      <c r="Z6104" t="s">
        <v>26664</v>
      </c>
      <c r="AA6104" t="s">
        <v>26678</v>
      </c>
      <c r="AB6104" t="s">
        <v>31465</v>
      </c>
      <c r="AD6104" t="s">
        <v>41682</v>
      </c>
      <c r="AE6104">
        <v>4</v>
      </c>
      <c r="AG6104" t="s">
        <v>19330</v>
      </c>
      <c r="AH6104">
        <v>15</v>
      </c>
      <c r="AI6104">
        <v>1</v>
      </c>
      <c r="AJ6104">
        <v>0</v>
      </c>
      <c r="AK6104">
        <v>128.1</v>
      </c>
      <c r="AN6104" t="s">
        <v>7439</v>
      </c>
      <c r="AO6104">
        <v>16000</v>
      </c>
      <c r="AU6104">
        <v>0.3</v>
      </c>
      <c r="AV6104" t="s">
        <v>794</v>
      </c>
      <c r="AW6104" t="s">
        <v>46853</v>
      </c>
    </row>
    <row r="6105" spans="1:50">
      <c r="A6105" s="1">
        <f>HYPERLINK("https://lsnyc.legalserver.org/matter/dynamic-profile/view/1893285","19-1893285")</f>
        <v>0</v>
      </c>
      <c r="B6105" t="s">
        <v>202</v>
      </c>
      <c r="C6105" t="s">
        <v>340</v>
      </c>
      <c r="D6105" t="s">
        <v>657</v>
      </c>
      <c r="F6105" t="s">
        <v>1790</v>
      </c>
      <c r="G6105" t="s">
        <v>7899</v>
      </c>
      <c r="H6105" t="s">
        <v>14046</v>
      </c>
      <c r="I6105" t="s">
        <v>18322</v>
      </c>
      <c r="J6105" t="s">
        <v>18894</v>
      </c>
      <c r="K6105">
        <v>11224</v>
      </c>
      <c r="L6105" t="s">
        <v>18958</v>
      </c>
      <c r="M6105" t="s">
        <v>18960</v>
      </c>
      <c r="N6105" t="s">
        <v>23425</v>
      </c>
      <c r="O6105" t="s">
        <v>26523</v>
      </c>
      <c r="P6105" t="s">
        <v>26560</v>
      </c>
      <c r="R6105" t="s">
        <v>26586</v>
      </c>
      <c r="S6105" t="s">
        <v>18959</v>
      </c>
      <c r="U6105" t="s">
        <v>26604</v>
      </c>
      <c r="V6105" t="s">
        <v>26610</v>
      </c>
      <c r="W6105" t="s">
        <v>416</v>
      </c>
      <c r="X6105">
        <v>435</v>
      </c>
      <c r="Y6105" t="s">
        <v>26652</v>
      </c>
      <c r="Z6105" t="s">
        <v>26659</v>
      </c>
      <c r="AB6105" t="s">
        <v>31466</v>
      </c>
      <c r="AE6105">
        <v>134</v>
      </c>
      <c r="AF6105" t="s">
        <v>45543</v>
      </c>
      <c r="AG6105" t="s">
        <v>45556</v>
      </c>
      <c r="AH6105">
        <v>24</v>
      </c>
      <c r="AI6105">
        <v>1</v>
      </c>
      <c r="AJ6105">
        <v>0</v>
      </c>
      <c r="AK6105">
        <v>112.03</v>
      </c>
      <c r="AN6105" t="s">
        <v>7439</v>
      </c>
      <c r="AO6105">
        <v>13992</v>
      </c>
      <c r="AQ6105" t="s">
        <v>46359</v>
      </c>
      <c r="AR6105" t="s">
        <v>46381</v>
      </c>
      <c r="AS6105" t="s">
        <v>46499</v>
      </c>
      <c r="AT6105" t="s">
        <v>46615</v>
      </c>
      <c r="AU6105">
        <v>10.95</v>
      </c>
      <c r="AV6105" t="s">
        <v>809</v>
      </c>
      <c r="AW6105" t="s">
        <v>46862</v>
      </c>
    </row>
    <row r="6106" spans="1:50">
      <c r="A6106" s="1">
        <f>HYPERLINK("https://lsnyc.legalserver.org/matter/dynamic-profile/view/1893417","19-1893417")</f>
        <v>0</v>
      </c>
      <c r="B6106" t="s">
        <v>162</v>
      </c>
      <c r="C6106" t="s">
        <v>340</v>
      </c>
      <c r="D6106" t="s">
        <v>657</v>
      </c>
      <c r="F6106" t="s">
        <v>1079</v>
      </c>
      <c r="G6106" t="s">
        <v>7900</v>
      </c>
      <c r="H6106" t="s">
        <v>14047</v>
      </c>
      <c r="I6106" t="s">
        <v>18308</v>
      </c>
      <c r="J6106" t="s">
        <v>18894</v>
      </c>
      <c r="K6106">
        <v>11210</v>
      </c>
      <c r="L6106" t="s">
        <v>18958</v>
      </c>
      <c r="M6106" t="s">
        <v>18958</v>
      </c>
      <c r="N6106" t="s">
        <v>23426</v>
      </c>
      <c r="O6106" t="s">
        <v>26523</v>
      </c>
      <c r="P6106" t="s">
        <v>26560</v>
      </c>
      <c r="R6106" t="s">
        <v>26586</v>
      </c>
      <c r="U6106" t="s">
        <v>26604</v>
      </c>
      <c r="W6106" t="s">
        <v>416</v>
      </c>
      <c r="X6106">
        <v>1725</v>
      </c>
      <c r="Y6106" t="s">
        <v>26652</v>
      </c>
      <c r="Z6106" t="s">
        <v>26664</v>
      </c>
      <c r="AB6106" t="s">
        <v>27136</v>
      </c>
      <c r="AD6106" t="s">
        <v>41683</v>
      </c>
      <c r="AE6106">
        <v>0</v>
      </c>
      <c r="AH6106">
        <v>3</v>
      </c>
      <c r="AI6106">
        <v>4</v>
      </c>
      <c r="AJ6106">
        <v>3</v>
      </c>
      <c r="AK6106">
        <v>56.94</v>
      </c>
      <c r="AN6106" t="s">
        <v>7439</v>
      </c>
      <c r="AO6106">
        <v>22212</v>
      </c>
      <c r="AU6106">
        <v>9.1</v>
      </c>
      <c r="AV6106" t="s">
        <v>831</v>
      </c>
      <c r="AW6106" t="s">
        <v>46853</v>
      </c>
    </row>
    <row r="6107" spans="1:50">
      <c r="A6107" s="1">
        <f>HYPERLINK("https://lsnyc.legalserver.org/matter/dynamic-profile/view/1893455","19-1893455")</f>
        <v>0</v>
      </c>
      <c r="B6107" t="s">
        <v>162</v>
      </c>
      <c r="C6107" t="s">
        <v>340</v>
      </c>
      <c r="D6107" t="s">
        <v>657</v>
      </c>
      <c r="F6107" t="s">
        <v>3580</v>
      </c>
      <c r="G6107" t="s">
        <v>7901</v>
      </c>
      <c r="H6107" t="s">
        <v>14048</v>
      </c>
      <c r="I6107" t="s">
        <v>17272</v>
      </c>
      <c r="J6107" t="s">
        <v>18894</v>
      </c>
      <c r="K6107">
        <v>11213</v>
      </c>
      <c r="L6107" t="s">
        <v>18958</v>
      </c>
      <c r="M6107" t="s">
        <v>18958</v>
      </c>
      <c r="N6107" t="s">
        <v>23427</v>
      </c>
      <c r="O6107" t="s">
        <v>26524</v>
      </c>
      <c r="P6107" t="s">
        <v>26560</v>
      </c>
      <c r="R6107" t="s">
        <v>26586</v>
      </c>
      <c r="U6107" t="s">
        <v>26605</v>
      </c>
      <c r="W6107" t="s">
        <v>416</v>
      </c>
      <c r="X6107">
        <v>0</v>
      </c>
      <c r="Y6107" t="s">
        <v>26652</v>
      </c>
      <c r="Z6107" t="s">
        <v>26664</v>
      </c>
      <c r="AB6107" t="s">
        <v>30968</v>
      </c>
      <c r="AD6107" t="s">
        <v>41684</v>
      </c>
      <c r="AE6107">
        <v>18</v>
      </c>
      <c r="AF6107" t="s">
        <v>45549</v>
      </c>
      <c r="AG6107" t="s">
        <v>19330</v>
      </c>
      <c r="AH6107">
        <v>28</v>
      </c>
      <c r="AI6107">
        <v>1</v>
      </c>
      <c r="AJ6107">
        <v>0</v>
      </c>
      <c r="AK6107">
        <v>193.59</v>
      </c>
      <c r="AO6107">
        <v>24180</v>
      </c>
      <c r="AU6107">
        <v>3</v>
      </c>
      <c r="AV6107" t="s">
        <v>816</v>
      </c>
      <c r="AW6107" t="s">
        <v>46862</v>
      </c>
    </row>
    <row r="6108" spans="1:50">
      <c r="A6108" s="1">
        <f>HYPERLINK("https://lsnyc.legalserver.org/matter/dynamic-profile/view/1893364","19-1893364")</f>
        <v>0</v>
      </c>
      <c r="B6108" t="s">
        <v>155</v>
      </c>
      <c r="C6108" t="s">
        <v>340</v>
      </c>
      <c r="D6108" t="s">
        <v>657</v>
      </c>
      <c r="F6108" t="s">
        <v>1283</v>
      </c>
      <c r="G6108" t="s">
        <v>7902</v>
      </c>
      <c r="H6108" t="s">
        <v>14049</v>
      </c>
      <c r="I6108" t="s">
        <v>18323</v>
      </c>
      <c r="J6108" t="s">
        <v>18894</v>
      </c>
      <c r="K6108">
        <v>11210</v>
      </c>
      <c r="L6108" t="s">
        <v>18958</v>
      </c>
      <c r="M6108" t="s">
        <v>18958</v>
      </c>
      <c r="N6108" t="s">
        <v>23428</v>
      </c>
      <c r="O6108" t="s">
        <v>26523</v>
      </c>
      <c r="P6108" t="s">
        <v>26560</v>
      </c>
      <c r="R6108" t="s">
        <v>26586</v>
      </c>
      <c r="U6108" t="s">
        <v>26604</v>
      </c>
      <c r="W6108" t="s">
        <v>416</v>
      </c>
      <c r="X6108">
        <v>961</v>
      </c>
      <c r="Y6108" t="s">
        <v>26652</v>
      </c>
      <c r="Z6108" t="s">
        <v>26664</v>
      </c>
      <c r="AB6108" t="s">
        <v>27110</v>
      </c>
      <c r="AD6108" t="s">
        <v>41685</v>
      </c>
      <c r="AE6108">
        <v>24</v>
      </c>
      <c r="AH6108">
        <v>10</v>
      </c>
      <c r="AI6108">
        <v>2</v>
      </c>
      <c r="AJ6108">
        <v>0</v>
      </c>
      <c r="AK6108">
        <v>85.18000000000001</v>
      </c>
      <c r="AN6108" t="s">
        <v>7439</v>
      </c>
      <c r="AO6108">
        <v>14404</v>
      </c>
      <c r="AU6108">
        <v>8.5</v>
      </c>
      <c r="AV6108" t="s">
        <v>819</v>
      </c>
      <c r="AW6108" t="s">
        <v>46853</v>
      </c>
      <c r="AX6108" t="s">
        <v>46897</v>
      </c>
    </row>
    <row r="6109" spans="1:50">
      <c r="A6109" s="1">
        <f>HYPERLINK("https://lsnyc.legalserver.org/matter/dynamic-profile/view/1893279","19-1893279")</f>
        <v>0</v>
      </c>
      <c r="B6109" t="s">
        <v>106</v>
      </c>
      <c r="C6109" t="s">
        <v>340</v>
      </c>
      <c r="D6109" t="s">
        <v>657</v>
      </c>
      <c r="F6109" t="s">
        <v>1548</v>
      </c>
      <c r="G6109" t="s">
        <v>5639</v>
      </c>
      <c r="H6109" t="s">
        <v>14050</v>
      </c>
      <c r="I6109" t="s">
        <v>17277</v>
      </c>
      <c r="J6109" t="s">
        <v>18894</v>
      </c>
      <c r="K6109">
        <v>11216</v>
      </c>
      <c r="L6109" t="s">
        <v>18958</v>
      </c>
      <c r="M6109" t="s">
        <v>18958</v>
      </c>
      <c r="N6109" t="s">
        <v>23429</v>
      </c>
      <c r="O6109" t="s">
        <v>26523</v>
      </c>
      <c r="P6109" t="s">
        <v>26560</v>
      </c>
      <c r="R6109" t="s">
        <v>26588</v>
      </c>
      <c r="U6109" t="s">
        <v>26604</v>
      </c>
      <c r="W6109" t="s">
        <v>416</v>
      </c>
      <c r="X6109">
        <v>1100</v>
      </c>
      <c r="Y6109" t="s">
        <v>26652</v>
      </c>
      <c r="Z6109" t="s">
        <v>26669</v>
      </c>
      <c r="AB6109" t="s">
        <v>31467</v>
      </c>
      <c r="AD6109" t="s">
        <v>41686</v>
      </c>
      <c r="AE6109">
        <v>0</v>
      </c>
      <c r="AG6109" t="s">
        <v>19330</v>
      </c>
      <c r="AH6109">
        <v>7</v>
      </c>
      <c r="AI6109">
        <v>3</v>
      </c>
      <c r="AJ6109">
        <v>0</v>
      </c>
      <c r="AK6109">
        <v>75.01000000000001</v>
      </c>
      <c r="AN6109" t="s">
        <v>7439</v>
      </c>
      <c r="AO6109">
        <v>16000</v>
      </c>
      <c r="AU6109">
        <v>10.2</v>
      </c>
      <c r="AV6109" t="s">
        <v>826</v>
      </c>
      <c r="AW6109" t="s">
        <v>281</v>
      </c>
    </row>
    <row r="6110" spans="1:50">
      <c r="A6110" s="1">
        <f>HYPERLINK("https://lsnyc.legalserver.org/matter/dynamic-profile/view/1893360","19-1893360")</f>
        <v>0</v>
      </c>
      <c r="B6110" t="s">
        <v>172</v>
      </c>
      <c r="C6110" t="s">
        <v>340</v>
      </c>
      <c r="D6110" t="s">
        <v>657</v>
      </c>
      <c r="F6110" t="s">
        <v>1092</v>
      </c>
      <c r="G6110" t="s">
        <v>7903</v>
      </c>
      <c r="H6110" t="s">
        <v>14051</v>
      </c>
      <c r="I6110" t="s">
        <v>17469</v>
      </c>
      <c r="J6110" t="s">
        <v>18894</v>
      </c>
      <c r="K6110">
        <v>11221</v>
      </c>
      <c r="L6110" t="s">
        <v>18958</v>
      </c>
      <c r="M6110" t="s">
        <v>18958</v>
      </c>
      <c r="N6110" t="s">
        <v>23430</v>
      </c>
      <c r="O6110" t="s">
        <v>26524</v>
      </c>
      <c r="P6110" t="s">
        <v>26563</v>
      </c>
      <c r="R6110" t="s">
        <v>26588</v>
      </c>
      <c r="U6110" t="s">
        <v>26604</v>
      </c>
      <c r="W6110" t="s">
        <v>416</v>
      </c>
      <c r="X6110">
        <v>850</v>
      </c>
      <c r="Y6110" t="s">
        <v>26652</v>
      </c>
      <c r="Z6110" t="s">
        <v>26664</v>
      </c>
      <c r="AB6110" t="s">
        <v>31468</v>
      </c>
      <c r="AD6110" t="s">
        <v>41687</v>
      </c>
      <c r="AE6110">
        <v>3</v>
      </c>
      <c r="AG6110" t="s">
        <v>19330</v>
      </c>
      <c r="AH6110">
        <v>2</v>
      </c>
      <c r="AI6110">
        <v>1</v>
      </c>
      <c r="AJ6110">
        <v>0</v>
      </c>
      <c r="AK6110">
        <v>0</v>
      </c>
      <c r="AN6110" t="s">
        <v>7439</v>
      </c>
      <c r="AO6110">
        <v>0</v>
      </c>
      <c r="AU6110">
        <v>5</v>
      </c>
      <c r="AV6110" t="s">
        <v>814</v>
      </c>
      <c r="AW6110" t="s">
        <v>46862</v>
      </c>
    </row>
    <row r="6111" spans="1:50">
      <c r="A6111" s="1">
        <f>HYPERLINK("https://lsnyc.legalserver.org/matter/dynamic-profile/view/1893524","19-1893524")</f>
        <v>0</v>
      </c>
      <c r="B6111" t="s">
        <v>200</v>
      </c>
      <c r="C6111" t="s">
        <v>341</v>
      </c>
      <c r="D6111" t="s">
        <v>784</v>
      </c>
      <c r="E6111" t="s">
        <v>834</v>
      </c>
      <c r="F6111" t="s">
        <v>1397</v>
      </c>
      <c r="G6111" t="s">
        <v>1901</v>
      </c>
      <c r="H6111" t="s">
        <v>11073</v>
      </c>
      <c r="I6111" t="s">
        <v>18324</v>
      </c>
      <c r="J6111" t="s">
        <v>18894</v>
      </c>
      <c r="K6111">
        <v>11208</v>
      </c>
      <c r="L6111" t="s">
        <v>18958</v>
      </c>
      <c r="M6111" t="s">
        <v>18958</v>
      </c>
      <c r="N6111" t="s">
        <v>23431</v>
      </c>
      <c r="O6111" t="s">
        <v>26523</v>
      </c>
      <c r="P6111" t="s">
        <v>26560</v>
      </c>
      <c r="Q6111" t="s">
        <v>26568</v>
      </c>
      <c r="R6111" t="s">
        <v>26578</v>
      </c>
      <c r="S6111" t="s">
        <v>18959</v>
      </c>
      <c r="U6111" t="s">
        <v>26604</v>
      </c>
      <c r="V6111" t="s">
        <v>26612</v>
      </c>
      <c r="W6111" t="s">
        <v>416</v>
      </c>
      <c r="X6111">
        <v>1255</v>
      </c>
      <c r="Y6111" t="s">
        <v>26652</v>
      </c>
      <c r="Z6111" t="s">
        <v>26659</v>
      </c>
      <c r="AA6111" t="s">
        <v>26678</v>
      </c>
      <c r="AB6111" t="s">
        <v>31469</v>
      </c>
      <c r="AC6111" t="s">
        <v>19045</v>
      </c>
      <c r="AD6111" t="s">
        <v>41688</v>
      </c>
      <c r="AE6111">
        <v>272</v>
      </c>
      <c r="AF6111" t="s">
        <v>45541</v>
      </c>
      <c r="AG6111" t="s">
        <v>45559</v>
      </c>
      <c r="AH6111">
        <v>7</v>
      </c>
      <c r="AI6111">
        <v>1</v>
      </c>
      <c r="AJ6111">
        <v>0</v>
      </c>
      <c r="AK6111">
        <v>310.04</v>
      </c>
      <c r="AL6111" t="s">
        <v>820</v>
      </c>
      <c r="AM6111" t="s">
        <v>45575</v>
      </c>
      <c r="AN6111" t="s">
        <v>7439</v>
      </c>
      <c r="AO6111">
        <v>38724</v>
      </c>
      <c r="AR6111" t="s">
        <v>46379</v>
      </c>
      <c r="AS6111" t="s">
        <v>46499</v>
      </c>
      <c r="AT6111" t="s">
        <v>46798</v>
      </c>
      <c r="AU6111">
        <v>9.9</v>
      </c>
      <c r="AV6111" t="s">
        <v>834</v>
      </c>
      <c r="AW6111" t="s">
        <v>46841</v>
      </c>
      <c r="AX6111" t="s">
        <v>46897</v>
      </c>
    </row>
    <row r="6112" spans="1:50">
      <c r="A6112" s="1">
        <f>HYPERLINK("https://lsnyc.legalserver.org/matter/dynamic-profile/view/1893477","19-1893477")</f>
        <v>0</v>
      </c>
      <c r="B6112" t="s">
        <v>106</v>
      </c>
      <c r="C6112" t="s">
        <v>341</v>
      </c>
      <c r="D6112" t="s">
        <v>784</v>
      </c>
      <c r="E6112" t="s">
        <v>781</v>
      </c>
      <c r="F6112" t="s">
        <v>1894</v>
      </c>
      <c r="G6112" t="s">
        <v>7904</v>
      </c>
      <c r="H6112" t="s">
        <v>14052</v>
      </c>
      <c r="I6112" t="s">
        <v>18325</v>
      </c>
      <c r="J6112" t="s">
        <v>18894</v>
      </c>
      <c r="K6112">
        <v>11203</v>
      </c>
      <c r="L6112" t="s">
        <v>18958</v>
      </c>
      <c r="M6112" t="s">
        <v>18958</v>
      </c>
      <c r="N6112" t="s">
        <v>23432</v>
      </c>
      <c r="O6112" t="s">
        <v>26523</v>
      </c>
      <c r="P6112" t="s">
        <v>26560</v>
      </c>
      <c r="Q6112" t="s">
        <v>26573</v>
      </c>
      <c r="R6112" t="s">
        <v>26586</v>
      </c>
      <c r="U6112" t="s">
        <v>26604</v>
      </c>
      <c r="W6112" t="s">
        <v>416</v>
      </c>
      <c r="X6112">
        <v>1367</v>
      </c>
      <c r="Y6112" t="s">
        <v>26652</v>
      </c>
      <c r="Z6112" t="s">
        <v>26664</v>
      </c>
      <c r="AA6112" t="s">
        <v>26678</v>
      </c>
      <c r="AB6112" t="s">
        <v>31470</v>
      </c>
      <c r="AD6112" t="s">
        <v>41689</v>
      </c>
      <c r="AE6112">
        <v>60</v>
      </c>
      <c r="AG6112" t="s">
        <v>45557</v>
      </c>
      <c r="AH6112">
        <v>3</v>
      </c>
      <c r="AI6112">
        <v>2</v>
      </c>
      <c r="AJ6112">
        <v>2</v>
      </c>
      <c r="AK6112">
        <v>123.03</v>
      </c>
      <c r="AN6112" t="s">
        <v>7439</v>
      </c>
      <c r="AO6112">
        <v>31680</v>
      </c>
      <c r="AS6112" t="s">
        <v>46499</v>
      </c>
      <c r="AT6112" t="s">
        <v>46713</v>
      </c>
      <c r="AU6112">
        <v>5.7</v>
      </c>
      <c r="AV6112" t="s">
        <v>781</v>
      </c>
      <c r="AW6112" t="s">
        <v>46853</v>
      </c>
    </row>
    <row r="6113" spans="1:50">
      <c r="A6113" s="1">
        <f>HYPERLINK("https://lsnyc.legalserver.org/matter/dynamic-profile/view/1893686","19-1893686")</f>
        <v>0</v>
      </c>
      <c r="B6113" t="s">
        <v>197</v>
      </c>
      <c r="C6113" t="s">
        <v>340</v>
      </c>
      <c r="D6113" t="s">
        <v>785</v>
      </c>
      <c r="F6113" t="s">
        <v>1292</v>
      </c>
      <c r="G6113" t="s">
        <v>7905</v>
      </c>
      <c r="H6113" t="s">
        <v>14053</v>
      </c>
      <c r="I6113" t="s">
        <v>17307</v>
      </c>
      <c r="J6113" t="s">
        <v>18894</v>
      </c>
      <c r="K6113">
        <v>11221</v>
      </c>
      <c r="L6113" t="s">
        <v>18958</v>
      </c>
      <c r="M6113" t="s">
        <v>18958</v>
      </c>
      <c r="N6113" t="s">
        <v>23433</v>
      </c>
      <c r="O6113" t="s">
        <v>26523</v>
      </c>
      <c r="P6113" t="s">
        <v>26560</v>
      </c>
      <c r="R6113" t="s">
        <v>26578</v>
      </c>
      <c r="S6113" t="s">
        <v>18959</v>
      </c>
      <c r="U6113" t="s">
        <v>26604</v>
      </c>
      <c r="V6113" t="s">
        <v>26610</v>
      </c>
      <c r="W6113" t="s">
        <v>416</v>
      </c>
      <c r="X6113">
        <v>1050</v>
      </c>
      <c r="Y6113" t="s">
        <v>26652</v>
      </c>
      <c r="AB6113" t="s">
        <v>31471</v>
      </c>
      <c r="AC6113" t="s">
        <v>34508</v>
      </c>
      <c r="AD6113" t="s">
        <v>41690</v>
      </c>
      <c r="AE6113">
        <v>0</v>
      </c>
      <c r="AF6113" t="s">
        <v>45541</v>
      </c>
      <c r="AG6113" t="s">
        <v>45556</v>
      </c>
      <c r="AH6113">
        <v>15</v>
      </c>
      <c r="AI6113">
        <v>2</v>
      </c>
      <c r="AJ6113">
        <v>0</v>
      </c>
      <c r="AK6113">
        <v>49.75</v>
      </c>
      <c r="AO6113">
        <v>8412</v>
      </c>
      <c r="AU6113">
        <v>16.5</v>
      </c>
      <c r="AV6113" t="s">
        <v>819</v>
      </c>
      <c r="AW6113" t="s">
        <v>279</v>
      </c>
    </row>
    <row r="6114" spans="1:50">
      <c r="A6114" s="1">
        <f>HYPERLINK("https://lsnyc.legalserver.org/matter/dynamic-profile/view/1893588","19-1893588")</f>
        <v>0</v>
      </c>
      <c r="B6114" t="s">
        <v>283</v>
      </c>
      <c r="C6114" t="s">
        <v>340</v>
      </c>
      <c r="D6114" t="s">
        <v>785</v>
      </c>
      <c r="F6114" t="s">
        <v>3581</v>
      </c>
      <c r="G6114" t="s">
        <v>7906</v>
      </c>
      <c r="H6114" t="s">
        <v>14054</v>
      </c>
      <c r="I6114">
        <v>2</v>
      </c>
      <c r="J6114" t="s">
        <v>18894</v>
      </c>
      <c r="K6114">
        <v>11208</v>
      </c>
      <c r="L6114" t="s">
        <v>18958</v>
      </c>
      <c r="M6114" t="s">
        <v>18958</v>
      </c>
      <c r="N6114" t="s">
        <v>23434</v>
      </c>
      <c r="O6114" t="s">
        <v>26524</v>
      </c>
      <c r="P6114" t="s">
        <v>26564</v>
      </c>
      <c r="R6114" t="s">
        <v>26586</v>
      </c>
      <c r="U6114" t="s">
        <v>26604</v>
      </c>
      <c r="W6114" t="s">
        <v>416</v>
      </c>
      <c r="X6114">
        <v>1400</v>
      </c>
      <c r="Y6114" t="s">
        <v>26652</v>
      </c>
      <c r="Z6114" t="s">
        <v>26664</v>
      </c>
      <c r="AB6114" t="s">
        <v>31472</v>
      </c>
      <c r="AD6114" t="s">
        <v>41691</v>
      </c>
      <c r="AE6114">
        <v>3</v>
      </c>
      <c r="AF6114" t="s">
        <v>45547</v>
      </c>
      <c r="AH6114">
        <v>1</v>
      </c>
      <c r="AI6114">
        <v>2</v>
      </c>
      <c r="AJ6114">
        <v>1</v>
      </c>
      <c r="AK6114">
        <v>175.81</v>
      </c>
      <c r="AN6114" t="s">
        <v>7439</v>
      </c>
      <c r="AO6114">
        <v>37500</v>
      </c>
      <c r="AU6114">
        <v>0.6</v>
      </c>
      <c r="AV6114" t="s">
        <v>785</v>
      </c>
      <c r="AW6114" t="s">
        <v>281</v>
      </c>
    </row>
    <row r="6115" spans="1:50">
      <c r="A6115" s="1">
        <f>HYPERLINK("https://lsnyc.legalserver.org/matter/dynamic-profile/view/1893775","19-1893775")</f>
        <v>0</v>
      </c>
      <c r="B6115" t="s">
        <v>126</v>
      </c>
      <c r="C6115" t="s">
        <v>341</v>
      </c>
      <c r="D6115" t="s">
        <v>660</v>
      </c>
      <c r="E6115" t="s">
        <v>775</v>
      </c>
      <c r="F6115" t="s">
        <v>1706</v>
      </c>
      <c r="G6115" t="s">
        <v>7907</v>
      </c>
      <c r="H6115" t="s">
        <v>14055</v>
      </c>
      <c r="I6115" t="s">
        <v>17480</v>
      </c>
      <c r="J6115" t="s">
        <v>18894</v>
      </c>
      <c r="K6115">
        <v>11207</v>
      </c>
      <c r="L6115" t="s">
        <v>18958</v>
      </c>
      <c r="M6115" t="s">
        <v>18958</v>
      </c>
      <c r="N6115" t="s">
        <v>18993</v>
      </c>
      <c r="O6115" t="s">
        <v>18997</v>
      </c>
      <c r="P6115" t="s">
        <v>26564</v>
      </c>
      <c r="Q6115" t="s">
        <v>26571</v>
      </c>
      <c r="R6115" t="s">
        <v>26578</v>
      </c>
      <c r="S6115" t="s">
        <v>18959</v>
      </c>
      <c r="U6115" t="s">
        <v>26604</v>
      </c>
      <c r="V6115" t="s">
        <v>26610</v>
      </c>
      <c r="W6115" t="s">
        <v>416</v>
      </c>
      <c r="X6115">
        <v>285</v>
      </c>
      <c r="Y6115" t="s">
        <v>26652</v>
      </c>
      <c r="AA6115" t="s">
        <v>26683</v>
      </c>
      <c r="AB6115" t="s">
        <v>31386</v>
      </c>
      <c r="AD6115" t="s">
        <v>41692</v>
      </c>
      <c r="AE6115">
        <v>744</v>
      </c>
      <c r="AF6115" t="s">
        <v>45541</v>
      </c>
      <c r="AH6115">
        <v>20</v>
      </c>
      <c r="AI6115">
        <v>2</v>
      </c>
      <c r="AJ6115">
        <v>1</v>
      </c>
      <c r="AK6115">
        <v>16.32</v>
      </c>
      <c r="AN6115" t="s">
        <v>7439</v>
      </c>
      <c r="AO6115">
        <v>3480</v>
      </c>
      <c r="AU6115">
        <v>1</v>
      </c>
      <c r="AV6115" t="s">
        <v>784</v>
      </c>
      <c r="AW6115" t="s">
        <v>279</v>
      </c>
      <c r="AX6115" t="s">
        <v>46897</v>
      </c>
    </row>
    <row r="6116" spans="1:50">
      <c r="A6116" s="1">
        <f>HYPERLINK("https://lsnyc.legalserver.org/matter/dynamic-profile/view/1893890","19-1893890")</f>
        <v>0</v>
      </c>
      <c r="B6116" t="s">
        <v>140</v>
      </c>
      <c r="C6116" t="s">
        <v>341</v>
      </c>
      <c r="D6116" t="s">
        <v>755</v>
      </c>
      <c r="E6116" t="s">
        <v>823</v>
      </c>
      <c r="F6116" t="s">
        <v>1028</v>
      </c>
      <c r="G6116" t="s">
        <v>7908</v>
      </c>
      <c r="H6116" t="s">
        <v>14056</v>
      </c>
      <c r="I6116" t="s">
        <v>17456</v>
      </c>
      <c r="J6116" t="s">
        <v>18894</v>
      </c>
      <c r="K6116">
        <v>11225</v>
      </c>
      <c r="L6116" t="s">
        <v>18958</v>
      </c>
      <c r="M6116" t="s">
        <v>18958</v>
      </c>
      <c r="N6116" t="s">
        <v>23435</v>
      </c>
      <c r="O6116" t="s">
        <v>26523</v>
      </c>
      <c r="P6116" t="s">
        <v>26560</v>
      </c>
      <c r="Q6116" t="s">
        <v>26568</v>
      </c>
      <c r="R6116" t="s">
        <v>26588</v>
      </c>
      <c r="S6116" t="s">
        <v>18959</v>
      </c>
      <c r="U6116" t="s">
        <v>26604</v>
      </c>
      <c r="V6116" t="s">
        <v>26610</v>
      </c>
      <c r="W6116" t="s">
        <v>416</v>
      </c>
      <c r="X6116">
        <v>1008.26</v>
      </c>
      <c r="Y6116" t="s">
        <v>26652</v>
      </c>
      <c r="Z6116" t="s">
        <v>26669</v>
      </c>
      <c r="AA6116" t="s">
        <v>26678</v>
      </c>
      <c r="AB6116" t="s">
        <v>31473</v>
      </c>
      <c r="AD6116" t="s">
        <v>41693</v>
      </c>
      <c r="AE6116">
        <v>40</v>
      </c>
      <c r="AG6116" t="s">
        <v>26530</v>
      </c>
      <c r="AH6116">
        <v>30</v>
      </c>
      <c r="AI6116">
        <v>1</v>
      </c>
      <c r="AJ6116">
        <v>0</v>
      </c>
      <c r="AK6116">
        <v>88.68000000000001</v>
      </c>
      <c r="AN6116" t="s">
        <v>7439</v>
      </c>
      <c r="AO6116">
        <v>11076</v>
      </c>
      <c r="AS6116" t="s">
        <v>46499</v>
      </c>
      <c r="AT6116" t="s">
        <v>46731</v>
      </c>
      <c r="AU6116">
        <v>4.4</v>
      </c>
      <c r="AV6116" t="s">
        <v>823</v>
      </c>
      <c r="AW6116" t="s">
        <v>281</v>
      </c>
    </row>
    <row r="6117" spans="1:50">
      <c r="A6117" s="1">
        <f>HYPERLINK("https://lsnyc.legalserver.org/matter/dynamic-profile/view/1893953","19-1893953")</f>
        <v>0</v>
      </c>
      <c r="B6117" t="s">
        <v>123</v>
      </c>
      <c r="C6117" t="s">
        <v>341</v>
      </c>
      <c r="D6117" t="s">
        <v>755</v>
      </c>
      <c r="E6117" t="s">
        <v>729</v>
      </c>
      <c r="F6117" t="s">
        <v>3582</v>
      </c>
      <c r="G6117" t="s">
        <v>5266</v>
      </c>
      <c r="H6117" t="s">
        <v>10258</v>
      </c>
      <c r="I6117" t="s">
        <v>18326</v>
      </c>
      <c r="J6117" t="s">
        <v>18894</v>
      </c>
      <c r="K6117">
        <v>11221</v>
      </c>
      <c r="L6117" t="s">
        <v>18958</v>
      </c>
      <c r="M6117" t="s">
        <v>18958</v>
      </c>
      <c r="N6117" t="s">
        <v>23436</v>
      </c>
      <c r="O6117" t="s">
        <v>26523</v>
      </c>
      <c r="P6117" t="s">
        <v>26560</v>
      </c>
      <c r="Q6117" t="s">
        <v>26568</v>
      </c>
      <c r="R6117" t="s">
        <v>26588</v>
      </c>
      <c r="U6117" t="s">
        <v>26604</v>
      </c>
      <c r="V6117" t="s">
        <v>26611</v>
      </c>
      <c r="W6117" t="s">
        <v>416</v>
      </c>
      <c r="X6117">
        <v>1198</v>
      </c>
      <c r="Y6117" t="s">
        <v>26652</v>
      </c>
      <c r="Z6117" t="s">
        <v>26669</v>
      </c>
      <c r="AA6117" t="s">
        <v>26678</v>
      </c>
      <c r="AB6117" t="s">
        <v>31017</v>
      </c>
      <c r="AC6117" t="s">
        <v>36099</v>
      </c>
      <c r="AD6117" t="s">
        <v>41694</v>
      </c>
      <c r="AE6117">
        <v>0</v>
      </c>
      <c r="AF6117" t="s">
        <v>45541</v>
      </c>
      <c r="AG6117" t="s">
        <v>45556</v>
      </c>
      <c r="AH6117">
        <v>2</v>
      </c>
      <c r="AI6117">
        <v>1</v>
      </c>
      <c r="AJ6117">
        <v>0</v>
      </c>
      <c r="AK6117">
        <v>20.66</v>
      </c>
      <c r="AN6117" t="s">
        <v>7439</v>
      </c>
      <c r="AO6117">
        <v>2580</v>
      </c>
      <c r="AQ6117" t="s">
        <v>46359</v>
      </c>
      <c r="AR6117" t="s">
        <v>46379</v>
      </c>
      <c r="AS6117" t="s">
        <v>46499</v>
      </c>
      <c r="AT6117" t="s">
        <v>46727</v>
      </c>
      <c r="AU6117">
        <v>10.65</v>
      </c>
      <c r="AV6117" t="s">
        <v>729</v>
      </c>
      <c r="AW6117" t="s">
        <v>281</v>
      </c>
    </row>
    <row r="6118" spans="1:50">
      <c r="A6118" s="1">
        <f>HYPERLINK("https://lsnyc.legalserver.org/matter/dynamic-profile/view/1893946","19-1893946")</f>
        <v>0</v>
      </c>
      <c r="B6118" t="s">
        <v>123</v>
      </c>
      <c r="C6118" t="s">
        <v>341</v>
      </c>
      <c r="D6118" t="s">
        <v>755</v>
      </c>
      <c r="E6118" t="s">
        <v>813</v>
      </c>
      <c r="F6118" t="s">
        <v>3583</v>
      </c>
      <c r="G6118" t="s">
        <v>5269</v>
      </c>
      <c r="H6118" t="s">
        <v>14057</v>
      </c>
      <c r="I6118" t="s">
        <v>17331</v>
      </c>
      <c r="J6118" t="s">
        <v>18894</v>
      </c>
      <c r="K6118">
        <v>11221</v>
      </c>
      <c r="L6118" t="s">
        <v>18958</v>
      </c>
      <c r="M6118" t="s">
        <v>18958</v>
      </c>
      <c r="N6118" t="s">
        <v>23437</v>
      </c>
      <c r="O6118" t="s">
        <v>26523</v>
      </c>
      <c r="P6118" t="s">
        <v>26560</v>
      </c>
      <c r="Q6118" t="s">
        <v>26568</v>
      </c>
      <c r="R6118" t="s">
        <v>26588</v>
      </c>
      <c r="U6118" t="s">
        <v>26604</v>
      </c>
      <c r="W6118" t="s">
        <v>416</v>
      </c>
      <c r="X6118">
        <v>707.67</v>
      </c>
      <c r="Y6118" t="s">
        <v>26652</v>
      </c>
      <c r="Z6118" t="s">
        <v>26669</v>
      </c>
      <c r="AA6118" t="s">
        <v>26678</v>
      </c>
      <c r="AB6118" t="s">
        <v>31474</v>
      </c>
      <c r="AC6118" t="s">
        <v>36100</v>
      </c>
      <c r="AE6118">
        <v>8</v>
      </c>
      <c r="AG6118" t="s">
        <v>19330</v>
      </c>
      <c r="AH6118">
        <v>7</v>
      </c>
      <c r="AI6118">
        <v>1</v>
      </c>
      <c r="AJ6118">
        <v>0</v>
      </c>
      <c r="AK6118">
        <v>56.11</v>
      </c>
      <c r="AN6118" t="s">
        <v>7439</v>
      </c>
      <c r="AO6118">
        <v>7008</v>
      </c>
      <c r="AQ6118" t="s">
        <v>46359</v>
      </c>
      <c r="AR6118" t="s">
        <v>46379</v>
      </c>
      <c r="AS6118" t="s">
        <v>46499</v>
      </c>
      <c r="AT6118" t="s">
        <v>46641</v>
      </c>
      <c r="AU6118">
        <v>11.25</v>
      </c>
      <c r="AV6118" t="s">
        <v>807</v>
      </c>
      <c r="AW6118" t="s">
        <v>281</v>
      </c>
      <c r="AX6118" t="s">
        <v>46897</v>
      </c>
    </row>
    <row r="6119" spans="1:50">
      <c r="A6119" s="1">
        <f>HYPERLINK("https://lsnyc.legalserver.org/matter/dynamic-profile/view/1893917","19-1893917")</f>
        <v>0</v>
      </c>
      <c r="B6119" t="s">
        <v>167</v>
      </c>
      <c r="C6119" t="s">
        <v>340</v>
      </c>
      <c r="D6119" t="s">
        <v>755</v>
      </c>
      <c r="F6119" t="s">
        <v>1314</v>
      </c>
      <c r="G6119" t="s">
        <v>1745</v>
      </c>
      <c r="H6119" t="s">
        <v>14058</v>
      </c>
      <c r="I6119" t="s">
        <v>17283</v>
      </c>
      <c r="J6119" t="s">
        <v>18894</v>
      </c>
      <c r="K6119">
        <v>11226</v>
      </c>
      <c r="L6119" t="s">
        <v>18958</v>
      </c>
      <c r="M6119" t="s">
        <v>18958</v>
      </c>
      <c r="N6119" t="s">
        <v>23438</v>
      </c>
      <c r="O6119" t="s">
        <v>26523</v>
      </c>
      <c r="P6119" t="s">
        <v>26560</v>
      </c>
      <c r="R6119" t="s">
        <v>26588</v>
      </c>
      <c r="U6119" t="s">
        <v>26604</v>
      </c>
      <c r="W6119" t="s">
        <v>416</v>
      </c>
      <c r="X6119">
        <v>1624</v>
      </c>
      <c r="Y6119" t="s">
        <v>26652</v>
      </c>
      <c r="Z6119" t="s">
        <v>26664</v>
      </c>
      <c r="AB6119" t="s">
        <v>31475</v>
      </c>
      <c r="AD6119" t="s">
        <v>41695</v>
      </c>
      <c r="AE6119">
        <v>0</v>
      </c>
      <c r="AH6119">
        <v>1</v>
      </c>
      <c r="AI6119">
        <v>3</v>
      </c>
      <c r="AJ6119">
        <v>1</v>
      </c>
      <c r="AK6119">
        <v>172.33</v>
      </c>
      <c r="AN6119" t="s">
        <v>7439</v>
      </c>
      <c r="AO6119">
        <v>44376</v>
      </c>
      <c r="AU6119">
        <v>6.6</v>
      </c>
      <c r="AV6119" t="s">
        <v>839</v>
      </c>
      <c r="AW6119" t="s">
        <v>281</v>
      </c>
    </row>
    <row r="6120" spans="1:50">
      <c r="A6120" s="1">
        <f>HYPERLINK("https://lsnyc.legalserver.org/matter/dynamic-profile/view/1893864","19-1893864")</f>
        <v>0</v>
      </c>
      <c r="B6120" t="s">
        <v>204</v>
      </c>
      <c r="C6120" t="s">
        <v>340</v>
      </c>
      <c r="D6120" t="s">
        <v>755</v>
      </c>
      <c r="F6120" t="s">
        <v>1323</v>
      </c>
      <c r="G6120" t="s">
        <v>7909</v>
      </c>
      <c r="H6120" t="s">
        <v>14059</v>
      </c>
      <c r="I6120" t="s">
        <v>17390</v>
      </c>
      <c r="J6120" t="s">
        <v>18894</v>
      </c>
      <c r="K6120">
        <v>11226</v>
      </c>
      <c r="L6120" t="s">
        <v>18958</v>
      </c>
      <c r="M6120" t="s">
        <v>18958</v>
      </c>
      <c r="N6120" t="s">
        <v>23439</v>
      </c>
      <c r="O6120" t="s">
        <v>26523</v>
      </c>
      <c r="P6120" t="s">
        <v>26560</v>
      </c>
      <c r="R6120" t="s">
        <v>26588</v>
      </c>
      <c r="U6120" t="s">
        <v>26604</v>
      </c>
      <c r="W6120" t="s">
        <v>416</v>
      </c>
      <c r="X6120">
        <v>940.4299999999999</v>
      </c>
      <c r="Y6120" t="s">
        <v>26652</v>
      </c>
      <c r="Z6120" t="s">
        <v>26664</v>
      </c>
      <c r="AB6120" t="s">
        <v>31476</v>
      </c>
      <c r="AD6120" t="s">
        <v>41696</v>
      </c>
      <c r="AE6120">
        <v>28</v>
      </c>
      <c r="AG6120" t="s">
        <v>45559</v>
      </c>
      <c r="AH6120">
        <v>34</v>
      </c>
      <c r="AI6120">
        <v>3</v>
      </c>
      <c r="AJ6120">
        <v>0</v>
      </c>
      <c r="AK6120">
        <v>130.82</v>
      </c>
      <c r="AN6120" t="s">
        <v>7439</v>
      </c>
      <c r="AO6120">
        <v>27904</v>
      </c>
      <c r="AU6120">
        <v>20.1</v>
      </c>
      <c r="AV6120" t="s">
        <v>830</v>
      </c>
      <c r="AW6120" t="s">
        <v>281</v>
      </c>
    </row>
    <row r="6121" spans="1:50">
      <c r="A6121" s="1">
        <f>HYPERLINK("https://lsnyc.legalserver.org/matter/dynamic-profile/view/1893991","19-1893991")</f>
        <v>0</v>
      </c>
      <c r="B6121" t="s">
        <v>238</v>
      </c>
      <c r="C6121" t="s">
        <v>340</v>
      </c>
      <c r="D6121" t="s">
        <v>755</v>
      </c>
      <c r="F6121" t="s">
        <v>2420</v>
      </c>
      <c r="G6121" t="s">
        <v>7910</v>
      </c>
      <c r="H6121" t="s">
        <v>14060</v>
      </c>
      <c r="I6121" t="s">
        <v>17436</v>
      </c>
      <c r="J6121" t="s">
        <v>18894</v>
      </c>
      <c r="K6121">
        <v>11236</v>
      </c>
      <c r="L6121" t="s">
        <v>18958</v>
      </c>
      <c r="M6121" t="s">
        <v>18958</v>
      </c>
      <c r="N6121" t="s">
        <v>23440</v>
      </c>
      <c r="O6121" t="s">
        <v>26523</v>
      </c>
      <c r="P6121" t="s">
        <v>26564</v>
      </c>
      <c r="R6121" t="s">
        <v>26586</v>
      </c>
      <c r="U6121" t="s">
        <v>26604</v>
      </c>
      <c r="W6121" t="s">
        <v>416</v>
      </c>
      <c r="X6121">
        <v>1366.09</v>
      </c>
      <c r="Y6121" t="s">
        <v>26652</v>
      </c>
      <c r="AB6121" t="s">
        <v>31477</v>
      </c>
      <c r="AD6121" t="s">
        <v>41697</v>
      </c>
      <c r="AE6121">
        <v>85</v>
      </c>
      <c r="AH6121">
        <v>40</v>
      </c>
      <c r="AI6121">
        <v>2</v>
      </c>
      <c r="AJ6121">
        <v>0</v>
      </c>
      <c r="AK6121">
        <v>265.43</v>
      </c>
      <c r="AN6121" t="s">
        <v>7439</v>
      </c>
      <c r="AO6121">
        <v>44884.52</v>
      </c>
      <c r="AU6121">
        <v>1.4</v>
      </c>
      <c r="AV6121" t="s">
        <v>755</v>
      </c>
      <c r="AW6121" t="s">
        <v>46862</v>
      </c>
    </row>
    <row r="6122" spans="1:50">
      <c r="A6122" s="1">
        <f>HYPERLINK("https://lsnyc.legalserver.org/matter/dynamic-profile/view/1893950","19-1893950")</f>
        <v>0</v>
      </c>
      <c r="B6122" t="s">
        <v>123</v>
      </c>
      <c r="C6122" t="s">
        <v>340</v>
      </c>
      <c r="D6122" t="s">
        <v>755</v>
      </c>
      <c r="F6122" t="s">
        <v>2058</v>
      </c>
      <c r="G6122" t="s">
        <v>4524</v>
      </c>
      <c r="H6122" t="s">
        <v>14061</v>
      </c>
      <c r="I6122" t="s">
        <v>17390</v>
      </c>
      <c r="J6122" t="s">
        <v>18894</v>
      </c>
      <c r="K6122">
        <v>11225</v>
      </c>
      <c r="L6122" t="s">
        <v>18958</v>
      </c>
      <c r="M6122" t="s">
        <v>18958</v>
      </c>
      <c r="N6122" t="s">
        <v>23441</v>
      </c>
      <c r="O6122" t="s">
        <v>26523</v>
      </c>
      <c r="P6122" t="s">
        <v>26560</v>
      </c>
      <c r="R6122" t="s">
        <v>26588</v>
      </c>
      <c r="U6122" t="s">
        <v>26604</v>
      </c>
      <c r="W6122" t="s">
        <v>416</v>
      </c>
      <c r="X6122">
        <v>1175</v>
      </c>
      <c r="Y6122" t="s">
        <v>26652</v>
      </c>
      <c r="Z6122" t="s">
        <v>26669</v>
      </c>
      <c r="AB6122" t="s">
        <v>31478</v>
      </c>
      <c r="AD6122" t="s">
        <v>41698</v>
      </c>
      <c r="AE6122">
        <v>0</v>
      </c>
      <c r="AG6122" t="s">
        <v>19330</v>
      </c>
      <c r="AH6122">
        <v>12</v>
      </c>
      <c r="AI6122">
        <v>2</v>
      </c>
      <c r="AJ6122">
        <v>0</v>
      </c>
      <c r="AK6122">
        <v>189.24</v>
      </c>
      <c r="AN6122" t="s">
        <v>7439</v>
      </c>
      <c r="AO6122">
        <v>32000</v>
      </c>
      <c r="AU6122">
        <v>3.65</v>
      </c>
      <c r="AV6122" t="s">
        <v>773</v>
      </c>
      <c r="AW6122" t="s">
        <v>281</v>
      </c>
    </row>
    <row r="6123" spans="1:50">
      <c r="A6123" s="1">
        <f>HYPERLINK("https://lsnyc.legalserver.org/matter/dynamic-profile/view/1893919","19-1893919")</f>
        <v>0</v>
      </c>
      <c r="B6123" t="s">
        <v>155</v>
      </c>
      <c r="C6123" t="s">
        <v>340</v>
      </c>
      <c r="D6123" t="s">
        <v>755</v>
      </c>
      <c r="F6123" t="s">
        <v>1992</v>
      </c>
      <c r="G6123" t="s">
        <v>1146</v>
      </c>
      <c r="H6123" t="s">
        <v>12402</v>
      </c>
      <c r="I6123">
        <v>2</v>
      </c>
      <c r="J6123" t="s">
        <v>18894</v>
      </c>
      <c r="K6123">
        <v>11221</v>
      </c>
      <c r="L6123" t="s">
        <v>18958</v>
      </c>
      <c r="M6123" t="s">
        <v>18958</v>
      </c>
      <c r="N6123" t="s">
        <v>23442</v>
      </c>
      <c r="O6123" t="s">
        <v>26523</v>
      </c>
      <c r="P6123" t="s">
        <v>26560</v>
      </c>
      <c r="R6123" t="s">
        <v>26588</v>
      </c>
      <c r="U6123" t="s">
        <v>26605</v>
      </c>
      <c r="W6123" t="s">
        <v>416</v>
      </c>
      <c r="X6123">
        <v>823</v>
      </c>
      <c r="Y6123" t="s">
        <v>26652</v>
      </c>
      <c r="Z6123" t="s">
        <v>26664</v>
      </c>
      <c r="AB6123" t="s">
        <v>31479</v>
      </c>
      <c r="AD6123" t="s">
        <v>41699</v>
      </c>
      <c r="AE6123">
        <v>0</v>
      </c>
      <c r="AF6123" t="s">
        <v>45549</v>
      </c>
      <c r="AH6123">
        <v>2</v>
      </c>
      <c r="AI6123">
        <v>2</v>
      </c>
      <c r="AJ6123">
        <v>1</v>
      </c>
      <c r="AK6123">
        <v>159.4</v>
      </c>
      <c r="AN6123" t="s">
        <v>7439</v>
      </c>
      <c r="AO6123">
        <v>34000</v>
      </c>
      <c r="AU6123">
        <v>5</v>
      </c>
      <c r="AV6123" t="s">
        <v>769</v>
      </c>
      <c r="AW6123" t="s">
        <v>46862</v>
      </c>
      <c r="AX6123" t="s">
        <v>46897</v>
      </c>
    </row>
    <row r="6124" spans="1:50">
      <c r="A6124" s="1">
        <f>HYPERLINK("https://lsnyc.legalserver.org/matter/dynamic-profile/view/1894088","19-1894088")</f>
        <v>0</v>
      </c>
      <c r="B6124" t="s">
        <v>162</v>
      </c>
      <c r="C6124" t="s">
        <v>340</v>
      </c>
      <c r="D6124" t="s">
        <v>786</v>
      </c>
      <c r="F6124" t="s">
        <v>3584</v>
      </c>
      <c r="G6124" t="s">
        <v>7911</v>
      </c>
      <c r="H6124" t="s">
        <v>14062</v>
      </c>
      <c r="I6124" t="s">
        <v>17347</v>
      </c>
      <c r="J6124" t="s">
        <v>18894</v>
      </c>
      <c r="K6124">
        <v>11213</v>
      </c>
      <c r="L6124" t="s">
        <v>18958</v>
      </c>
      <c r="M6124" t="s">
        <v>18958</v>
      </c>
      <c r="N6124" t="s">
        <v>23443</v>
      </c>
      <c r="O6124" t="s">
        <v>26523</v>
      </c>
      <c r="P6124" t="s">
        <v>26560</v>
      </c>
      <c r="R6124" t="s">
        <v>26586</v>
      </c>
      <c r="U6124" t="s">
        <v>26604</v>
      </c>
      <c r="W6124" t="s">
        <v>416</v>
      </c>
      <c r="X6124">
        <v>1030</v>
      </c>
      <c r="Y6124" t="s">
        <v>26652</v>
      </c>
      <c r="Z6124" t="s">
        <v>26664</v>
      </c>
      <c r="AB6124" t="s">
        <v>31480</v>
      </c>
      <c r="AD6124" t="s">
        <v>41700</v>
      </c>
      <c r="AE6124">
        <v>6</v>
      </c>
      <c r="AG6124" t="s">
        <v>26530</v>
      </c>
      <c r="AH6124">
        <v>38</v>
      </c>
      <c r="AI6124">
        <v>4</v>
      </c>
      <c r="AJ6124">
        <v>0</v>
      </c>
      <c r="AK6124">
        <v>0</v>
      </c>
      <c r="AN6124" t="s">
        <v>7439</v>
      </c>
      <c r="AO6124">
        <v>0</v>
      </c>
      <c r="AU6124">
        <v>11.1</v>
      </c>
      <c r="AV6124" t="s">
        <v>834</v>
      </c>
      <c r="AW6124" t="s">
        <v>46862</v>
      </c>
    </row>
    <row r="6125" spans="1:50">
      <c r="A6125" s="1">
        <f>HYPERLINK("https://lsnyc.legalserver.org/matter/dynamic-profile/view/1894059","19-1894059")</f>
        <v>0</v>
      </c>
      <c r="B6125" t="s">
        <v>162</v>
      </c>
      <c r="C6125" t="s">
        <v>340</v>
      </c>
      <c r="D6125" t="s">
        <v>786</v>
      </c>
      <c r="F6125" t="s">
        <v>871</v>
      </c>
      <c r="G6125" t="s">
        <v>7912</v>
      </c>
      <c r="H6125" t="s">
        <v>14063</v>
      </c>
      <c r="I6125" t="s">
        <v>17306</v>
      </c>
      <c r="J6125" t="s">
        <v>18894</v>
      </c>
      <c r="K6125">
        <v>11226</v>
      </c>
      <c r="L6125" t="s">
        <v>18958</v>
      </c>
      <c r="M6125" t="s">
        <v>18958</v>
      </c>
      <c r="N6125" t="s">
        <v>23444</v>
      </c>
      <c r="O6125" t="s">
        <v>26523</v>
      </c>
      <c r="P6125" t="s">
        <v>26560</v>
      </c>
      <c r="R6125" t="s">
        <v>26588</v>
      </c>
      <c r="U6125" t="s">
        <v>26604</v>
      </c>
      <c r="W6125" t="s">
        <v>416</v>
      </c>
      <c r="X6125">
        <v>1700.58</v>
      </c>
      <c r="Y6125" t="s">
        <v>26652</v>
      </c>
      <c r="Z6125" t="s">
        <v>26664</v>
      </c>
      <c r="AB6125" t="s">
        <v>29560</v>
      </c>
      <c r="AE6125">
        <v>42</v>
      </c>
      <c r="AH6125">
        <v>0</v>
      </c>
      <c r="AI6125">
        <v>2</v>
      </c>
      <c r="AJ6125">
        <v>3</v>
      </c>
      <c r="AK6125">
        <v>61.64</v>
      </c>
      <c r="AN6125" t="s">
        <v>45581</v>
      </c>
      <c r="AO6125">
        <v>18596</v>
      </c>
      <c r="AU6125">
        <v>10.5</v>
      </c>
      <c r="AV6125" t="s">
        <v>813</v>
      </c>
      <c r="AW6125" t="s">
        <v>46862</v>
      </c>
    </row>
    <row r="6126" spans="1:50">
      <c r="A6126" s="1">
        <f>HYPERLINK("https://lsnyc.legalserver.org/matter/dynamic-profile/view/1894035","19-1894035")</f>
        <v>0</v>
      </c>
      <c r="B6126" t="s">
        <v>129</v>
      </c>
      <c r="C6126" t="s">
        <v>340</v>
      </c>
      <c r="D6126" t="s">
        <v>786</v>
      </c>
      <c r="F6126" t="s">
        <v>3585</v>
      </c>
      <c r="G6126" t="s">
        <v>7913</v>
      </c>
      <c r="H6126" t="s">
        <v>14059</v>
      </c>
      <c r="I6126" t="s">
        <v>17278</v>
      </c>
      <c r="J6126" t="s">
        <v>18894</v>
      </c>
      <c r="K6126">
        <v>11226</v>
      </c>
      <c r="L6126" t="s">
        <v>18958</v>
      </c>
      <c r="M6126" t="s">
        <v>18958</v>
      </c>
      <c r="N6126" t="s">
        <v>23445</v>
      </c>
      <c r="O6126" t="s">
        <v>26523</v>
      </c>
      <c r="P6126" t="s">
        <v>26560</v>
      </c>
      <c r="R6126" t="s">
        <v>26588</v>
      </c>
      <c r="U6126" t="s">
        <v>26604</v>
      </c>
      <c r="W6126" t="s">
        <v>416</v>
      </c>
      <c r="X6126">
        <v>963.61</v>
      </c>
      <c r="Y6126" t="s">
        <v>26652</v>
      </c>
      <c r="Z6126" t="s">
        <v>26659</v>
      </c>
      <c r="AB6126" t="s">
        <v>29791</v>
      </c>
      <c r="AD6126" t="s">
        <v>41701</v>
      </c>
      <c r="AE6126">
        <v>31</v>
      </c>
      <c r="AF6126" t="s">
        <v>45541</v>
      </c>
      <c r="AH6126">
        <v>32</v>
      </c>
      <c r="AI6126">
        <v>2</v>
      </c>
      <c r="AJ6126">
        <v>0</v>
      </c>
      <c r="AK6126">
        <v>0</v>
      </c>
      <c r="AN6126" t="s">
        <v>7439</v>
      </c>
      <c r="AO6126">
        <v>0</v>
      </c>
      <c r="AU6126">
        <v>10.1</v>
      </c>
      <c r="AV6126" t="s">
        <v>769</v>
      </c>
      <c r="AW6126" t="s">
        <v>46862</v>
      </c>
    </row>
    <row r="6127" spans="1:50">
      <c r="A6127" s="1">
        <f>HYPERLINK("https://lsnyc.legalserver.org/matter/dynamic-profile/view/1894128","19-1894128")</f>
        <v>0</v>
      </c>
      <c r="B6127" t="s">
        <v>123</v>
      </c>
      <c r="C6127" t="s">
        <v>340</v>
      </c>
      <c r="D6127" t="s">
        <v>786</v>
      </c>
      <c r="F6127" t="s">
        <v>2973</v>
      </c>
      <c r="G6127" t="s">
        <v>5473</v>
      </c>
      <c r="H6127" t="s">
        <v>12906</v>
      </c>
      <c r="I6127" t="s">
        <v>18027</v>
      </c>
      <c r="J6127" t="s">
        <v>18894</v>
      </c>
      <c r="K6127">
        <v>11205</v>
      </c>
      <c r="L6127" t="s">
        <v>18958</v>
      </c>
      <c r="M6127" t="s">
        <v>18958</v>
      </c>
      <c r="O6127" t="s">
        <v>26543</v>
      </c>
      <c r="P6127" t="s">
        <v>26561</v>
      </c>
      <c r="R6127" t="s">
        <v>26586</v>
      </c>
      <c r="U6127" t="s">
        <v>26605</v>
      </c>
      <c r="W6127" t="s">
        <v>416</v>
      </c>
      <c r="X6127">
        <v>888</v>
      </c>
      <c r="Y6127" t="s">
        <v>26652</v>
      </c>
      <c r="Z6127" t="s">
        <v>26659</v>
      </c>
      <c r="AB6127" t="s">
        <v>30225</v>
      </c>
      <c r="AD6127" t="s">
        <v>40366</v>
      </c>
      <c r="AE6127">
        <v>208</v>
      </c>
      <c r="AG6127" t="s">
        <v>19330</v>
      </c>
      <c r="AH6127">
        <v>9</v>
      </c>
      <c r="AI6127">
        <v>3</v>
      </c>
      <c r="AJ6127">
        <v>1</v>
      </c>
      <c r="AK6127">
        <v>134.95</v>
      </c>
      <c r="AN6127" t="s">
        <v>7439</v>
      </c>
      <c r="AO6127">
        <v>34750</v>
      </c>
      <c r="AU6127">
        <v>2.05</v>
      </c>
      <c r="AV6127" t="s">
        <v>815</v>
      </c>
      <c r="AW6127" t="s">
        <v>46862</v>
      </c>
    </row>
    <row r="6128" spans="1:50">
      <c r="A6128" s="1">
        <f>HYPERLINK("https://lsnyc.legalserver.org/matter/dynamic-profile/view/1894223","19-1894223")</f>
        <v>0</v>
      </c>
      <c r="B6128" t="s">
        <v>128</v>
      </c>
      <c r="C6128" t="s">
        <v>341</v>
      </c>
      <c r="D6128" t="s">
        <v>775</v>
      </c>
      <c r="E6128" t="s">
        <v>805</v>
      </c>
      <c r="F6128" t="s">
        <v>1027</v>
      </c>
      <c r="G6128" t="s">
        <v>5673</v>
      </c>
      <c r="H6128" t="s">
        <v>14064</v>
      </c>
      <c r="I6128" t="s">
        <v>17517</v>
      </c>
      <c r="J6128" t="s">
        <v>18894</v>
      </c>
      <c r="K6128">
        <v>11220</v>
      </c>
      <c r="L6128" t="s">
        <v>18958</v>
      </c>
      <c r="M6128" t="s">
        <v>18958</v>
      </c>
      <c r="N6128" t="s">
        <v>23446</v>
      </c>
      <c r="O6128" t="s">
        <v>26524</v>
      </c>
      <c r="P6128" t="s">
        <v>26564</v>
      </c>
      <c r="Q6128" t="s">
        <v>26570</v>
      </c>
      <c r="R6128" t="s">
        <v>26586</v>
      </c>
      <c r="S6128" t="s">
        <v>18959</v>
      </c>
      <c r="U6128" t="s">
        <v>26604</v>
      </c>
      <c r="V6128" t="s">
        <v>26610</v>
      </c>
      <c r="W6128" t="s">
        <v>416</v>
      </c>
      <c r="X6128">
        <v>0</v>
      </c>
      <c r="Y6128" t="s">
        <v>26652</v>
      </c>
      <c r="Z6128" t="s">
        <v>26664</v>
      </c>
      <c r="AA6128" t="s">
        <v>26683</v>
      </c>
      <c r="AB6128" t="s">
        <v>31481</v>
      </c>
      <c r="AD6128" t="s">
        <v>41702</v>
      </c>
      <c r="AE6128">
        <v>6</v>
      </c>
      <c r="AF6128" t="s">
        <v>45544</v>
      </c>
      <c r="AG6128" t="s">
        <v>19330</v>
      </c>
      <c r="AH6128">
        <v>30</v>
      </c>
      <c r="AI6128">
        <v>1</v>
      </c>
      <c r="AJ6128">
        <v>0</v>
      </c>
      <c r="AK6128">
        <v>0</v>
      </c>
      <c r="AN6128" t="s">
        <v>7439</v>
      </c>
      <c r="AO6128">
        <v>0</v>
      </c>
      <c r="AU6128">
        <v>2</v>
      </c>
      <c r="AV6128" t="s">
        <v>805</v>
      </c>
      <c r="AW6128" t="s">
        <v>46862</v>
      </c>
      <c r="AX6128" t="s">
        <v>46897</v>
      </c>
    </row>
    <row r="6129" spans="1:50">
      <c r="A6129" s="1">
        <f>HYPERLINK("https://lsnyc.legalserver.org/matter/dynamic-profile/view/1894294","19-1894294")</f>
        <v>0</v>
      </c>
      <c r="B6129" t="s">
        <v>232</v>
      </c>
      <c r="C6129" t="s">
        <v>341</v>
      </c>
      <c r="D6129" t="s">
        <v>775</v>
      </c>
      <c r="E6129" t="s">
        <v>760</v>
      </c>
      <c r="F6129" t="s">
        <v>3586</v>
      </c>
      <c r="G6129" t="s">
        <v>7914</v>
      </c>
      <c r="H6129" t="s">
        <v>14065</v>
      </c>
      <c r="I6129" t="s">
        <v>17366</v>
      </c>
      <c r="J6129" t="s">
        <v>18894</v>
      </c>
      <c r="K6129">
        <v>11226</v>
      </c>
      <c r="L6129" t="s">
        <v>18958</v>
      </c>
      <c r="M6129" t="s">
        <v>18958</v>
      </c>
      <c r="N6129" t="s">
        <v>23447</v>
      </c>
      <c r="O6129" t="s">
        <v>26523</v>
      </c>
      <c r="P6129" t="s">
        <v>26560</v>
      </c>
      <c r="Q6129" t="s">
        <v>26573</v>
      </c>
      <c r="R6129" t="s">
        <v>26588</v>
      </c>
      <c r="U6129" t="s">
        <v>26604</v>
      </c>
      <c r="W6129" t="s">
        <v>416</v>
      </c>
      <c r="X6129">
        <v>1142.19</v>
      </c>
      <c r="Y6129" t="s">
        <v>26652</v>
      </c>
      <c r="Z6129" t="s">
        <v>26664</v>
      </c>
      <c r="AA6129" t="s">
        <v>26678</v>
      </c>
      <c r="AB6129" t="s">
        <v>31482</v>
      </c>
      <c r="AD6129" t="s">
        <v>41703</v>
      </c>
      <c r="AE6129">
        <v>24</v>
      </c>
      <c r="AG6129" t="s">
        <v>19330</v>
      </c>
      <c r="AH6129">
        <v>9</v>
      </c>
      <c r="AI6129">
        <v>1</v>
      </c>
      <c r="AJ6129">
        <v>2</v>
      </c>
      <c r="AK6129">
        <v>107.83</v>
      </c>
      <c r="AN6129" t="s">
        <v>7439</v>
      </c>
      <c r="AO6129">
        <v>23000</v>
      </c>
      <c r="AS6129" t="s">
        <v>46499</v>
      </c>
      <c r="AT6129" t="s">
        <v>46616</v>
      </c>
      <c r="AU6129">
        <v>3.75</v>
      </c>
      <c r="AV6129" t="s">
        <v>760</v>
      </c>
      <c r="AW6129" t="s">
        <v>46862</v>
      </c>
    </row>
    <row r="6130" spans="1:50">
      <c r="A6130" s="1">
        <f>HYPERLINK("https://lsnyc.legalserver.org/matter/dynamic-profile/view/1894174","19-1894174")</f>
        <v>0</v>
      </c>
      <c r="B6130" t="s">
        <v>123</v>
      </c>
      <c r="C6130" t="s">
        <v>341</v>
      </c>
      <c r="D6130" t="s">
        <v>775</v>
      </c>
      <c r="E6130" t="s">
        <v>813</v>
      </c>
      <c r="F6130" t="s">
        <v>1413</v>
      </c>
      <c r="G6130" t="s">
        <v>5677</v>
      </c>
      <c r="H6130" t="s">
        <v>14066</v>
      </c>
      <c r="I6130" t="s">
        <v>17293</v>
      </c>
      <c r="J6130" t="s">
        <v>18894</v>
      </c>
      <c r="K6130">
        <v>11216</v>
      </c>
      <c r="L6130" t="s">
        <v>18958</v>
      </c>
      <c r="M6130" t="s">
        <v>18958</v>
      </c>
      <c r="N6130" t="s">
        <v>23448</v>
      </c>
      <c r="O6130" t="s">
        <v>26523</v>
      </c>
      <c r="P6130" t="s">
        <v>26560</v>
      </c>
      <c r="Q6130" t="s">
        <v>26568</v>
      </c>
      <c r="R6130" t="s">
        <v>26588</v>
      </c>
      <c r="U6130" t="s">
        <v>26604</v>
      </c>
      <c r="W6130" t="s">
        <v>416</v>
      </c>
      <c r="X6130">
        <v>679</v>
      </c>
      <c r="Y6130" t="s">
        <v>26652</v>
      </c>
      <c r="Z6130" t="s">
        <v>26669</v>
      </c>
      <c r="AA6130" t="s">
        <v>26678</v>
      </c>
      <c r="AB6130" t="s">
        <v>31483</v>
      </c>
      <c r="AE6130">
        <v>0</v>
      </c>
      <c r="AH6130">
        <v>11</v>
      </c>
      <c r="AI6130">
        <v>1</v>
      </c>
      <c r="AJ6130">
        <v>1</v>
      </c>
      <c r="AK6130">
        <v>189.24</v>
      </c>
      <c r="AN6130" t="s">
        <v>7439</v>
      </c>
      <c r="AO6130">
        <v>32000</v>
      </c>
      <c r="AQ6130" t="s">
        <v>46359</v>
      </c>
      <c r="AR6130" t="s">
        <v>26530</v>
      </c>
      <c r="AS6130" t="s">
        <v>46499</v>
      </c>
      <c r="AT6130" t="s">
        <v>46679</v>
      </c>
      <c r="AU6130">
        <v>0.6</v>
      </c>
      <c r="AV6130" t="s">
        <v>813</v>
      </c>
      <c r="AW6130" t="s">
        <v>281</v>
      </c>
      <c r="AX6130" t="s">
        <v>46897</v>
      </c>
    </row>
    <row r="6131" spans="1:50">
      <c r="A6131" s="1">
        <f>HYPERLINK("https://lsnyc.legalserver.org/matter/dynamic-profile/view/1894256","19-1894256")</f>
        <v>0</v>
      </c>
      <c r="B6131" t="s">
        <v>145</v>
      </c>
      <c r="C6131" t="s">
        <v>340</v>
      </c>
      <c r="D6131" t="s">
        <v>775</v>
      </c>
      <c r="F6131" t="s">
        <v>1775</v>
      </c>
      <c r="G6131" t="s">
        <v>3540</v>
      </c>
      <c r="H6131" t="s">
        <v>14067</v>
      </c>
      <c r="I6131" t="s">
        <v>17300</v>
      </c>
      <c r="J6131" t="s">
        <v>18894</v>
      </c>
      <c r="K6131">
        <v>11216</v>
      </c>
      <c r="L6131" t="s">
        <v>18958</v>
      </c>
      <c r="M6131" t="s">
        <v>18958</v>
      </c>
      <c r="N6131" t="s">
        <v>23449</v>
      </c>
      <c r="O6131" t="s">
        <v>26524</v>
      </c>
      <c r="P6131" t="s">
        <v>26560</v>
      </c>
      <c r="R6131" t="s">
        <v>26588</v>
      </c>
      <c r="S6131" t="s">
        <v>18959</v>
      </c>
      <c r="U6131" t="s">
        <v>26604</v>
      </c>
      <c r="V6131" t="s">
        <v>26610</v>
      </c>
      <c r="W6131" t="s">
        <v>416</v>
      </c>
      <c r="X6131">
        <v>700</v>
      </c>
      <c r="Y6131" t="s">
        <v>26652</v>
      </c>
      <c r="Z6131" t="s">
        <v>26664</v>
      </c>
      <c r="AB6131" t="s">
        <v>28379</v>
      </c>
      <c r="AD6131" t="s">
        <v>41704</v>
      </c>
      <c r="AE6131">
        <v>4</v>
      </c>
      <c r="AF6131" t="s">
        <v>20460</v>
      </c>
      <c r="AG6131" t="s">
        <v>26530</v>
      </c>
      <c r="AH6131">
        <v>4</v>
      </c>
      <c r="AI6131">
        <v>1</v>
      </c>
      <c r="AJ6131">
        <v>0</v>
      </c>
      <c r="AK6131">
        <v>0</v>
      </c>
      <c r="AN6131" t="s">
        <v>7439</v>
      </c>
      <c r="AO6131">
        <v>0</v>
      </c>
      <c r="AU6131">
        <v>23.3</v>
      </c>
      <c r="AV6131" t="s">
        <v>772</v>
      </c>
      <c r="AW6131" t="s">
        <v>46862</v>
      </c>
    </row>
    <row r="6132" spans="1:50">
      <c r="A6132" s="1">
        <f>HYPERLINK("https://lsnyc.legalserver.org/matter/dynamic-profile/view/1894211","19-1894211")</f>
        <v>0</v>
      </c>
      <c r="B6132" t="s">
        <v>99</v>
      </c>
      <c r="C6132" t="s">
        <v>340</v>
      </c>
      <c r="D6132" t="s">
        <v>775</v>
      </c>
      <c r="F6132" t="s">
        <v>1081</v>
      </c>
      <c r="G6132" t="s">
        <v>5363</v>
      </c>
      <c r="H6132" t="s">
        <v>14068</v>
      </c>
      <c r="I6132" t="s">
        <v>18327</v>
      </c>
      <c r="J6132" t="s">
        <v>18894</v>
      </c>
      <c r="K6132">
        <v>11208</v>
      </c>
      <c r="L6132" t="s">
        <v>18958</v>
      </c>
      <c r="M6132" t="s">
        <v>18958</v>
      </c>
      <c r="N6132" t="s">
        <v>23450</v>
      </c>
      <c r="O6132" t="s">
        <v>26524</v>
      </c>
      <c r="P6132" t="s">
        <v>26560</v>
      </c>
      <c r="R6132" t="s">
        <v>26578</v>
      </c>
      <c r="S6132" t="s">
        <v>18959</v>
      </c>
      <c r="U6132" t="s">
        <v>26604</v>
      </c>
      <c r="V6132" t="s">
        <v>26610</v>
      </c>
      <c r="W6132" t="s">
        <v>416</v>
      </c>
      <c r="X6132">
        <v>800</v>
      </c>
      <c r="Y6132" t="s">
        <v>26652</v>
      </c>
      <c r="Z6132" t="s">
        <v>26664</v>
      </c>
      <c r="AB6132" t="s">
        <v>30223</v>
      </c>
      <c r="AC6132" t="s">
        <v>19330</v>
      </c>
      <c r="AD6132" t="s">
        <v>41705</v>
      </c>
      <c r="AE6132">
        <v>3</v>
      </c>
      <c r="AF6132" t="s">
        <v>45547</v>
      </c>
      <c r="AG6132" t="s">
        <v>45562</v>
      </c>
      <c r="AH6132">
        <v>1</v>
      </c>
      <c r="AI6132">
        <v>1</v>
      </c>
      <c r="AJ6132">
        <v>0</v>
      </c>
      <c r="AK6132">
        <v>124.9</v>
      </c>
      <c r="AN6132" t="s">
        <v>7439</v>
      </c>
      <c r="AO6132">
        <v>15600</v>
      </c>
      <c r="AU6132">
        <v>17.2</v>
      </c>
      <c r="AV6132" t="s">
        <v>830</v>
      </c>
      <c r="AW6132" t="s">
        <v>46853</v>
      </c>
    </row>
    <row r="6133" spans="1:50">
      <c r="A6133" s="1">
        <f>HYPERLINK("https://lsnyc.legalserver.org/matter/dynamic-profile/view/1894232","19-1894232")</f>
        <v>0</v>
      </c>
      <c r="B6133" t="s">
        <v>238</v>
      </c>
      <c r="C6133" t="s">
        <v>340</v>
      </c>
      <c r="D6133" t="s">
        <v>775</v>
      </c>
      <c r="F6133" t="s">
        <v>881</v>
      </c>
      <c r="G6133" t="s">
        <v>5094</v>
      </c>
      <c r="H6133" t="s">
        <v>12971</v>
      </c>
      <c r="I6133" t="s">
        <v>17312</v>
      </c>
      <c r="J6133" t="s">
        <v>18894</v>
      </c>
      <c r="K6133">
        <v>11221</v>
      </c>
      <c r="L6133" t="s">
        <v>18958</v>
      </c>
      <c r="M6133" t="s">
        <v>18958</v>
      </c>
      <c r="N6133" t="s">
        <v>23451</v>
      </c>
      <c r="O6133" t="s">
        <v>26523</v>
      </c>
      <c r="P6133" t="s">
        <v>26560</v>
      </c>
      <c r="R6133" t="s">
        <v>26588</v>
      </c>
      <c r="U6133" t="s">
        <v>26604</v>
      </c>
      <c r="W6133" t="s">
        <v>416</v>
      </c>
      <c r="X6133">
        <v>0</v>
      </c>
      <c r="Y6133" t="s">
        <v>26652</v>
      </c>
      <c r="Z6133" t="s">
        <v>26669</v>
      </c>
      <c r="AB6133" t="s">
        <v>30181</v>
      </c>
      <c r="AD6133" t="s">
        <v>41706</v>
      </c>
      <c r="AE6133">
        <v>0</v>
      </c>
      <c r="AH6133">
        <v>6</v>
      </c>
      <c r="AI6133">
        <v>2</v>
      </c>
      <c r="AJ6133">
        <v>0</v>
      </c>
      <c r="AK6133">
        <v>206.98</v>
      </c>
      <c r="AN6133" t="s">
        <v>7439</v>
      </c>
      <c r="AO6133">
        <v>35000</v>
      </c>
      <c r="AU6133">
        <v>2</v>
      </c>
      <c r="AV6133" t="s">
        <v>791</v>
      </c>
      <c r="AW6133" t="s">
        <v>281</v>
      </c>
    </row>
    <row r="6134" spans="1:50">
      <c r="A6134" s="1">
        <f>HYPERLINK("https://lsnyc.legalserver.org/matter/dynamic-profile/view/1894200","19-1894200")</f>
        <v>0</v>
      </c>
      <c r="B6134" t="s">
        <v>123</v>
      </c>
      <c r="C6134" t="s">
        <v>340</v>
      </c>
      <c r="D6134" t="s">
        <v>775</v>
      </c>
      <c r="F6134" t="s">
        <v>1020</v>
      </c>
      <c r="G6134" t="s">
        <v>5473</v>
      </c>
      <c r="H6134" t="s">
        <v>14069</v>
      </c>
      <c r="I6134" t="s">
        <v>18328</v>
      </c>
      <c r="J6134" t="s">
        <v>18894</v>
      </c>
      <c r="K6134">
        <v>11206</v>
      </c>
      <c r="L6134" t="s">
        <v>18958</v>
      </c>
      <c r="M6134" t="s">
        <v>18958</v>
      </c>
      <c r="N6134" t="s">
        <v>23452</v>
      </c>
      <c r="O6134" t="s">
        <v>26524</v>
      </c>
      <c r="P6134" t="s">
        <v>26561</v>
      </c>
      <c r="R6134" t="s">
        <v>26586</v>
      </c>
      <c r="U6134" t="s">
        <v>26605</v>
      </c>
      <c r="W6134" t="s">
        <v>416</v>
      </c>
      <c r="X6134">
        <v>350</v>
      </c>
      <c r="Y6134" t="s">
        <v>26652</v>
      </c>
      <c r="Z6134" t="s">
        <v>26659</v>
      </c>
      <c r="AB6134" t="s">
        <v>31484</v>
      </c>
      <c r="AD6134" t="s">
        <v>41707</v>
      </c>
      <c r="AE6134">
        <v>200</v>
      </c>
      <c r="AF6134" t="s">
        <v>45542</v>
      </c>
      <c r="AG6134" t="s">
        <v>19330</v>
      </c>
      <c r="AH6134">
        <v>21</v>
      </c>
      <c r="AI6134">
        <v>2</v>
      </c>
      <c r="AJ6134">
        <v>0</v>
      </c>
      <c r="AK6134">
        <v>57.13</v>
      </c>
      <c r="AN6134" t="s">
        <v>7439</v>
      </c>
      <c r="AO6134">
        <v>9660</v>
      </c>
      <c r="AU6134">
        <v>0.65</v>
      </c>
      <c r="AV6134" t="s">
        <v>794</v>
      </c>
      <c r="AW6134" t="s">
        <v>46862</v>
      </c>
    </row>
    <row r="6135" spans="1:50">
      <c r="A6135" s="1">
        <f>HYPERLINK("https://lsnyc.legalserver.org/matter/dynamic-profile/view/1894372","19-1894372")</f>
        <v>0</v>
      </c>
      <c r="B6135" t="s">
        <v>238</v>
      </c>
      <c r="C6135" t="s">
        <v>340</v>
      </c>
      <c r="D6135" t="s">
        <v>741</v>
      </c>
      <c r="F6135" t="s">
        <v>3035</v>
      </c>
      <c r="G6135" t="s">
        <v>5269</v>
      </c>
      <c r="H6135" t="s">
        <v>13004</v>
      </c>
      <c r="I6135" t="s">
        <v>17738</v>
      </c>
      <c r="J6135" t="s">
        <v>18894</v>
      </c>
      <c r="K6135">
        <v>11216</v>
      </c>
      <c r="L6135" t="s">
        <v>18958</v>
      </c>
      <c r="M6135" t="s">
        <v>18958</v>
      </c>
      <c r="N6135" t="s">
        <v>23453</v>
      </c>
      <c r="O6135" t="s">
        <v>26524</v>
      </c>
      <c r="P6135" t="s">
        <v>26560</v>
      </c>
      <c r="R6135" t="s">
        <v>26588</v>
      </c>
      <c r="U6135" t="s">
        <v>26604</v>
      </c>
      <c r="W6135" t="s">
        <v>416</v>
      </c>
      <c r="X6135">
        <v>0</v>
      </c>
      <c r="Y6135" t="s">
        <v>26652</v>
      </c>
      <c r="Z6135" t="s">
        <v>26669</v>
      </c>
      <c r="AB6135" t="s">
        <v>30354</v>
      </c>
      <c r="AD6135" t="s">
        <v>40506</v>
      </c>
      <c r="AE6135">
        <v>8</v>
      </c>
      <c r="AG6135" t="s">
        <v>19330</v>
      </c>
      <c r="AH6135">
        <v>3</v>
      </c>
      <c r="AI6135">
        <v>1</v>
      </c>
      <c r="AJ6135">
        <v>2</v>
      </c>
      <c r="AK6135">
        <v>123.77</v>
      </c>
      <c r="AN6135" t="s">
        <v>7439</v>
      </c>
      <c r="AO6135">
        <v>26400</v>
      </c>
      <c r="AU6135">
        <v>3.2</v>
      </c>
      <c r="AV6135" t="s">
        <v>805</v>
      </c>
      <c r="AW6135" t="s">
        <v>281</v>
      </c>
    </row>
    <row r="6136" spans="1:50">
      <c r="A6136" s="1">
        <f>HYPERLINK("https://lsnyc.legalserver.org/matter/dynamic-profile/view/1894438","19-1894438")</f>
        <v>0</v>
      </c>
      <c r="B6136" t="s">
        <v>129</v>
      </c>
      <c r="C6136" t="s">
        <v>340</v>
      </c>
      <c r="D6136" t="s">
        <v>741</v>
      </c>
      <c r="F6136" t="s">
        <v>3587</v>
      </c>
      <c r="G6136" t="s">
        <v>994</v>
      </c>
      <c r="H6136" t="s">
        <v>13517</v>
      </c>
      <c r="I6136" t="s">
        <v>18329</v>
      </c>
      <c r="J6136" t="s">
        <v>18894</v>
      </c>
      <c r="K6136">
        <v>11225</v>
      </c>
      <c r="L6136" t="s">
        <v>18958</v>
      </c>
      <c r="M6136" t="s">
        <v>18958</v>
      </c>
      <c r="N6136" t="s">
        <v>23454</v>
      </c>
      <c r="O6136" t="s">
        <v>26523</v>
      </c>
      <c r="P6136" t="s">
        <v>26560</v>
      </c>
      <c r="R6136" t="s">
        <v>26588</v>
      </c>
      <c r="U6136" t="s">
        <v>26604</v>
      </c>
      <c r="W6136" t="s">
        <v>416</v>
      </c>
      <c r="X6136">
        <v>118</v>
      </c>
      <c r="Y6136" t="s">
        <v>26652</v>
      </c>
      <c r="Z6136" t="s">
        <v>26659</v>
      </c>
      <c r="AB6136" t="s">
        <v>31485</v>
      </c>
      <c r="AD6136" t="s">
        <v>41708</v>
      </c>
      <c r="AE6136">
        <v>0</v>
      </c>
      <c r="AG6136" t="s">
        <v>26530</v>
      </c>
      <c r="AH6136">
        <v>20</v>
      </c>
      <c r="AI6136">
        <v>1</v>
      </c>
      <c r="AJ6136">
        <v>0</v>
      </c>
      <c r="AK6136">
        <v>256.2</v>
      </c>
      <c r="AN6136" t="s">
        <v>7439</v>
      </c>
      <c r="AO6136">
        <v>32000</v>
      </c>
      <c r="AU6136">
        <v>1</v>
      </c>
      <c r="AV6136" t="s">
        <v>741</v>
      </c>
      <c r="AW6136" t="s">
        <v>46862</v>
      </c>
    </row>
    <row r="6137" spans="1:50">
      <c r="A6137" s="1">
        <f>HYPERLINK("https://lsnyc.legalserver.org/matter/dynamic-profile/view/1894426","19-1894426")</f>
        <v>0</v>
      </c>
      <c r="B6137" t="s">
        <v>155</v>
      </c>
      <c r="C6137" t="s">
        <v>340</v>
      </c>
      <c r="D6137" t="s">
        <v>741</v>
      </c>
      <c r="F6137" t="s">
        <v>3078</v>
      </c>
      <c r="G6137" t="s">
        <v>7915</v>
      </c>
      <c r="H6137" t="s">
        <v>12320</v>
      </c>
      <c r="I6137" t="s">
        <v>18330</v>
      </c>
      <c r="J6137" t="s">
        <v>18894</v>
      </c>
      <c r="K6137">
        <v>11224</v>
      </c>
      <c r="L6137" t="s">
        <v>18958</v>
      </c>
      <c r="M6137" t="s">
        <v>18958</v>
      </c>
      <c r="N6137" t="s">
        <v>23455</v>
      </c>
      <c r="O6137" t="s">
        <v>26523</v>
      </c>
      <c r="P6137" t="s">
        <v>26560</v>
      </c>
      <c r="R6137" t="s">
        <v>26586</v>
      </c>
      <c r="U6137" t="s">
        <v>26604</v>
      </c>
      <c r="W6137" t="s">
        <v>416</v>
      </c>
      <c r="X6137">
        <v>1553.57</v>
      </c>
      <c r="Y6137" t="s">
        <v>26652</v>
      </c>
      <c r="Z6137" t="s">
        <v>26664</v>
      </c>
      <c r="AB6137" t="s">
        <v>31486</v>
      </c>
      <c r="AD6137" t="s">
        <v>41709</v>
      </c>
      <c r="AE6137">
        <v>0</v>
      </c>
      <c r="AH6137">
        <v>19</v>
      </c>
      <c r="AI6137">
        <v>2</v>
      </c>
      <c r="AJ6137">
        <v>1</v>
      </c>
      <c r="AK6137">
        <v>153.57</v>
      </c>
      <c r="AN6137" t="s">
        <v>7439</v>
      </c>
      <c r="AO6137">
        <v>32757.48</v>
      </c>
      <c r="AU6137">
        <v>5.9</v>
      </c>
      <c r="AV6137" t="s">
        <v>827</v>
      </c>
      <c r="AW6137" t="s">
        <v>46853</v>
      </c>
      <c r="AX6137" t="s">
        <v>46897</v>
      </c>
    </row>
    <row r="6138" spans="1:50">
      <c r="A6138" s="1">
        <f>HYPERLINK("https://lsnyc.legalserver.org/matter/dynamic-profile/view/1894597","19-1894597")</f>
        <v>0</v>
      </c>
      <c r="B6138" t="s">
        <v>167</v>
      </c>
      <c r="C6138" t="s">
        <v>340</v>
      </c>
      <c r="D6138" t="s">
        <v>777</v>
      </c>
      <c r="F6138" t="s">
        <v>3588</v>
      </c>
      <c r="G6138" t="s">
        <v>7916</v>
      </c>
      <c r="H6138" t="s">
        <v>14070</v>
      </c>
      <c r="I6138" t="s">
        <v>18331</v>
      </c>
      <c r="J6138" t="s">
        <v>18894</v>
      </c>
      <c r="K6138">
        <v>11226</v>
      </c>
      <c r="L6138" t="s">
        <v>18958</v>
      </c>
      <c r="M6138" t="s">
        <v>18958</v>
      </c>
      <c r="N6138" t="s">
        <v>23456</v>
      </c>
      <c r="O6138" t="s">
        <v>26524</v>
      </c>
      <c r="P6138" t="s">
        <v>26560</v>
      </c>
      <c r="R6138" t="s">
        <v>26588</v>
      </c>
      <c r="U6138" t="s">
        <v>26604</v>
      </c>
      <c r="W6138" t="s">
        <v>416</v>
      </c>
      <c r="X6138">
        <v>1300</v>
      </c>
      <c r="Y6138" t="s">
        <v>26652</v>
      </c>
      <c r="Z6138" t="s">
        <v>26664</v>
      </c>
      <c r="AB6138" t="s">
        <v>31487</v>
      </c>
      <c r="AD6138" t="s">
        <v>41710</v>
      </c>
      <c r="AE6138">
        <v>0</v>
      </c>
      <c r="AH6138">
        <v>17</v>
      </c>
      <c r="AI6138">
        <v>1</v>
      </c>
      <c r="AJ6138">
        <v>0</v>
      </c>
      <c r="AK6138">
        <v>74.45999999999999</v>
      </c>
      <c r="AN6138" t="s">
        <v>7439</v>
      </c>
      <c r="AO6138">
        <v>9300</v>
      </c>
      <c r="AU6138">
        <v>20.2</v>
      </c>
      <c r="AV6138" t="s">
        <v>839</v>
      </c>
      <c r="AW6138" t="s">
        <v>46853</v>
      </c>
    </row>
    <row r="6139" spans="1:50">
      <c r="A6139" s="1">
        <f>HYPERLINK("https://lsnyc.legalserver.org/matter/dynamic-profile/view/1894494","19-1894494")</f>
        <v>0</v>
      </c>
      <c r="B6139" t="s">
        <v>140</v>
      </c>
      <c r="C6139" t="s">
        <v>340</v>
      </c>
      <c r="D6139" t="s">
        <v>777</v>
      </c>
      <c r="F6139" t="s">
        <v>3589</v>
      </c>
      <c r="G6139" t="s">
        <v>7917</v>
      </c>
      <c r="H6139" t="s">
        <v>10938</v>
      </c>
      <c r="I6139" t="s">
        <v>18332</v>
      </c>
      <c r="J6139" t="s">
        <v>18894</v>
      </c>
      <c r="K6139">
        <v>11225</v>
      </c>
      <c r="L6139" t="s">
        <v>18958</v>
      </c>
      <c r="M6139" t="s">
        <v>18958</v>
      </c>
      <c r="N6139" t="s">
        <v>23457</v>
      </c>
      <c r="O6139" t="s">
        <v>26523</v>
      </c>
      <c r="P6139" t="s">
        <v>26560</v>
      </c>
      <c r="R6139" t="s">
        <v>26588</v>
      </c>
      <c r="S6139" t="s">
        <v>18959</v>
      </c>
      <c r="U6139" t="s">
        <v>26604</v>
      </c>
      <c r="V6139" t="s">
        <v>26610</v>
      </c>
      <c r="W6139" t="s">
        <v>416</v>
      </c>
      <c r="X6139">
        <v>1123</v>
      </c>
      <c r="Y6139" t="s">
        <v>26652</v>
      </c>
      <c r="Z6139" t="s">
        <v>26669</v>
      </c>
      <c r="AB6139" t="s">
        <v>31488</v>
      </c>
      <c r="AD6139" t="s">
        <v>41711</v>
      </c>
      <c r="AE6139">
        <v>103</v>
      </c>
      <c r="AG6139" t="s">
        <v>45559</v>
      </c>
      <c r="AH6139">
        <v>44</v>
      </c>
      <c r="AI6139">
        <v>1</v>
      </c>
      <c r="AJ6139">
        <v>1</v>
      </c>
      <c r="AK6139">
        <v>53.86</v>
      </c>
      <c r="AN6139" t="s">
        <v>7439</v>
      </c>
      <c r="AO6139">
        <v>9108</v>
      </c>
      <c r="AU6139">
        <v>11.4</v>
      </c>
      <c r="AV6139" t="s">
        <v>818</v>
      </c>
      <c r="AW6139" t="s">
        <v>46853</v>
      </c>
      <c r="AX6139" t="s">
        <v>46897</v>
      </c>
    </row>
    <row r="6140" spans="1:50">
      <c r="A6140" s="1">
        <f>HYPERLINK("https://lsnyc.legalserver.org/matter/dynamic-profile/view/1894565","19-1894565")</f>
        <v>0</v>
      </c>
      <c r="B6140" t="s">
        <v>204</v>
      </c>
      <c r="C6140" t="s">
        <v>340</v>
      </c>
      <c r="D6140" t="s">
        <v>777</v>
      </c>
      <c r="F6140" t="s">
        <v>1085</v>
      </c>
      <c r="G6140" t="s">
        <v>5266</v>
      </c>
      <c r="H6140" t="s">
        <v>14071</v>
      </c>
      <c r="I6140" t="s">
        <v>18291</v>
      </c>
      <c r="J6140" t="s">
        <v>18894</v>
      </c>
      <c r="K6140">
        <v>11226</v>
      </c>
      <c r="L6140" t="s">
        <v>18958</v>
      </c>
      <c r="M6140" t="s">
        <v>18958</v>
      </c>
      <c r="N6140" t="s">
        <v>23458</v>
      </c>
      <c r="O6140" t="s">
        <v>26523</v>
      </c>
      <c r="P6140" t="s">
        <v>26560</v>
      </c>
      <c r="R6140" t="s">
        <v>26588</v>
      </c>
      <c r="U6140" t="s">
        <v>26604</v>
      </c>
      <c r="W6140" t="s">
        <v>416</v>
      </c>
      <c r="X6140">
        <v>1600</v>
      </c>
      <c r="Y6140" t="s">
        <v>26652</v>
      </c>
      <c r="Z6140" t="s">
        <v>26664</v>
      </c>
      <c r="AB6140" t="s">
        <v>31489</v>
      </c>
      <c r="AD6140" t="s">
        <v>41712</v>
      </c>
      <c r="AE6140">
        <v>0</v>
      </c>
      <c r="AH6140">
        <v>3</v>
      </c>
      <c r="AI6140">
        <v>1</v>
      </c>
      <c r="AJ6140">
        <v>0</v>
      </c>
      <c r="AK6140">
        <v>74.08</v>
      </c>
      <c r="AN6140" t="s">
        <v>7439</v>
      </c>
      <c r="AO6140">
        <v>9252</v>
      </c>
      <c r="AU6140">
        <v>5.9</v>
      </c>
      <c r="AV6140" t="s">
        <v>729</v>
      </c>
      <c r="AW6140" t="s">
        <v>46853</v>
      </c>
    </row>
    <row r="6141" spans="1:50">
      <c r="A6141" s="1">
        <f>HYPERLINK("https://lsnyc.legalserver.org/matter/dynamic-profile/view/1894579","19-1894579")</f>
        <v>0</v>
      </c>
      <c r="B6141" t="s">
        <v>155</v>
      </c>
      <c r="C6141" t="s">
        <v>340</v>
      </c>
      <c r="D6141" t="s">
        <v>777</v>
      </c>
      <c r="F6141" t="s">
        <v>2993</v>
      </c>
      <c r="G6141" t="s">
        <v>7918</v>
      </c>
      <c r="H6141" t="s">
        <v>13585</v>
      </c>
      <c r="I6141" t="s">
        <v>18333</v>
      </c>
      <c r="J6141" t="s">
        <v>18894</v>
      </c>
      <c r="K6141">
        <v>11226</v>
      </c>
      <c r="L6141" t="s">
        <v>18958</v>
      </c>
      <c r="M6141" t="s">
        <v>18958</v>
      </c>
      <c r="N6141" t="s">
        <v>23459</v>
      </c>
      <c r="O6141" t="s">
        <v>26523</v>
      </c>
      <c r="P6141" t="s">
        <v>26560</v>
      </c>
      <c r="R6141" t="s">
        <v>26588</v>
      </c>
      <c r="U6141" t="s">
        <v>26604</v>
      </c>
      <c r="W6141" t="s">
        <v>416</v>
      </c>
      <c r="X6141">
        <v>2100</v>
      </c>
      <c r="Y6141" t="s">
        <v>26652</v>
      </c>
      <c r="Z6141" t="s">
        <v>26664</v>
      </c>
      <c r="AA6141" t="s">
        <v>26683</v>
      </c>
      <c r="AB6141" t="s">
        <v>31490</v>
      </c>
      <c r="AD6141" t="s">
        <v>41713</v>
      </c>
      <c r="AE6141">
        <v>0</v>
      </c>
      <c r="AH6141">
        <v>3</v>
      </c>
      <c r="AI6141">
        <v>1</v>
      </c>
      <c r="AJ6141">
        <v>2</v>
      </c>
      <c r="AK6141">
        <v>187.53</v>
      </c>
      <c r="AN6141" t="s">
        <v>7439</v>
      </c>
      <c r="AO6141">
        <v>40000</v>
      </c>
      <c r="AU6141">
        <v>5.1</v>
      </c>
      <c r="AV6141" t="s">
        <v>818</v>
      </c>
      <c r="AW6141" t="s">
        <v>46853</v>
      </c>
      <c r="AX6141" t="s">
        <v>46897</v>
      </c>
    </row>
    <row r="6142" spans="1:50">
      <c r="A6142" s="1">
        <f>HYPERLINK("https://lsnyc.legalserver.org/matter/dynamic-profile/view/1894680","19-1894680")</f>
        <v>0</v>
      </c>
      <c r="B6142" t="s">
        <v>203</v>
      </c>
      <c r="C6142" t="s">
        <v>341</v>
      </c>
      <c r="D6142" t="s">
        <v>787</v>
      </c>
      <c r="E6142" t="s">
        <v>835</v>
      </c>
      <c r="F6142" t="s">
        <v>3590</v>
      </c>
      <c r="G6142" t="s">
        <v>6908</v>
      </c>
      <c r="H6142" t="s">
        <v>14072</v>
      </c>
      <c r="I6142">
        <v>1</v>
      </c>
      <c r="J6142" t="s">
        <v>18894</v>
      </c>
      <c r="K6142">
        <v>11226</v>
      </c>
      <c r="L6142" t="s">
        <v>18958</v>
      </c>
      <c r="M6142" t="s">
        <v>18958</v>
      </c>
      <c r="N6142" t="s">
        <v>23460</v>
      </c>
      <c r="O6142" t="s">
        <v>26523</v>
      </c>
      <c r="P6142" t="s">
        <v>26560</v>
      </c>
      <c r="Q6142" t="s">
        <v>26568</v>
      </c>
      <c r="R6142" t="s">
        <v>26588</v>
      </c>
      <c r="U6142" t="s">
        <v>26604</v>
      </c>
      <c r="W6142" t="s">
        <v>416</v>
      </c>
      <c r="X6142">
        <v>2329</v>
      </c>
      <c r="Y6142" t="s">
        <v>26652</v>
      </c>
      <c r="Z6142" t="s">
        <v>26664</v>
      </c>
      <c r="AA6142" t="s">
        <v>26678</v>
      </c>
      <c r="AB6142" t="s">
        <v>31491</v>
      </c>
      <c r="AD6142" t="s">
        <v>41714</v>
      </c>
      <c r="AE6142">
        <v>6</v>
      </c>
      <c r="AG6142" t="s">
        <v>19330</v>
      </c>
      <c r="AH6142">
        <v>-1</v>
      </c>
      <c r="AI6142">
        <v>2</v>
      </c>
      <c r="AJ6142">
        <v>1</v>
      </c>
      <c r="AK6142">
        <v>34.66</v>
      </c>
      <c r="AN6142" t="s">
        <v>7439</v>
      </c>
      <c r="AO6142">
        <v>7392</v>
      </c>
      <c r="AS6142" t="s">
        <v>46499</v>
      </c>
      <c r="AU6142">
        <v>1</v>
      </c>
      <c r="AV6142" t="s">
        <v>787</v>
      </c>
      <c r="AW6142" t="s">
        <v>46862</v>
      </c>
    </row>
    <row r="6143" spans="1:50">
      <c r="A6143" s="1">
        <f>HYPERLINK("https://lsnyc.legalserver.org/matter/dynamic-profile/view/1894673","19-1894673")</f>
        <v>0</v>
      </c>
      <c r="B6143" t="s">
        <v>203</v>
      </c>
      <c r="C6143" t="s">
        <v>341</v>
      </c>
      <c r="D6143" t="s">
        <v>787</v>
      </c>
      <c r="E6143" t="s">
        <v>835</v>
      </c>
      <c r="F6143" t="s">
        <v>1373</v>
      </c>
      <c r="G6143" t="s">
        <v>5739</v>
      </c>
      <c r="H6143" t="s">
        <v>14073</v>
      </c>
      <c r="I6143" t="s">
        <v>17343</v>
      </c>
      <c r="J6143" t="s">
        <v>18894</v>
      </c>
      <c r="K6143">
        <v>11226</v>
      </c>
      <c r="L6143" t="s">
        <v>18958</v>
      </c>
      <c r="M6143" t="s">
        <v>18958</v>
      </c>
      <c r="N6143" t="s">
        <v>23461</v>
      </c>
      <c r="O6143" t="s">
        <v>26523</v>
      </c>
      <c r="P6143" t="s">
        <v>26560</v>
      </c>
      <c r="Q6143" t="s">
        <v>26568</v>
      </c>
      <c r="R6143" t="s">
        <v>26588</v>
      </c>
      <c r="U6143" t="s">
        <v>26604</v>
      </c>
      <c r="W6143" t="s">
        <v>416</v>
      </c>
      <c r="X6143">
        <v>1092.53</v>
      </c>
      <c r="Y6143" t="s">
        <v>26652</v>
      </c>
      <c r="AA6143" t="s">
        <v>26678</v>
      </c>
      <c r="AB6143" t="s">
        <v>31492</v>
      </c>
      <c r="AD6143" t="s">
        <v>41715</v>
      </c>
      <c r="AE6143">
        <v>0</v>
      </c>
      <c r="AG6143" t="s">
        <v>19330</v>
      </c>
      <c r="AH6143">
        <v>20</v>
      </c>
      <c r="AI6143">
        <v>2</v>
      </c>
      <c r="AJ6143">
        <v>0</v>
      </c>
      <c r="AK6143">
        <v>124.54</v>
      </c>
      <c r="AN6143" t="s">
        <v>7439</v>
      </c>
      <c r="AO6143">
        <v>21060</v>
      </c>
      <c r="AS6143" t="s">
        <v>46499</v>
      </c>
      <c r="AU6143">
        <v>3</v>
      </c>
      <c r="AV6143" t="s">
        <v>793</v>
      </c>
      <c r="AW6143" t="s">
        <v>46862</v>
      </c>
    </row>
    <row r="6144" spans="1:50">
      <c r="A6144" s="1">
        <f>HYPERLINK("https://lsnyc.legalserver.org/matter/dynamic-profile/view/1894647","19-1894647")</f>
        <v>0</v>
      </c>
      <c r="B6144" t="s">
        <v>204</v>
      </c>
      <c r="C6144" t="s">
        <v>341</v>
      </c>
      <c r="D6144" t="s">
        <v>787</v>
      </c>
      <c r="E6144" t="s">
        <v>695</v>
      </c>
      <c r="F6144" t="s">
        <v>990</v>
      </c>
      <c r="G6144" t="s">
        <v>7605</v>
      </c>
      <c r="H6144" t="s">
        <v>14074</v>
      </c>
      <c r="I6144" t="s">
        <v>18334</v>
      </c>
      <c r="J6144" t="s">
        <v>18894</v>
      </c>
      <c r="K6144">
        <v>11226</v>
      </c>
      <c r="L6144" t="s">
        <v>18958</v>
      </c>
      <c r="M6144" t="s">
        <v>18958</v>
      </c>
      <c r="N6144" t="s">
        <v>23462</v>
      </c>
      <c r="O6144" t="s">
        <v>26523</v>
      </c>
      <c r="P6144" t="s">
        <v>26565</v>
      </c>
      <c r="Q6144" t="s">
        <v>26571</v>
      </c>
      <c r="R6144" t="s">
        <v>26588</v>
      </c>
      <c r="U6144" t="s">
        <v>26604</v>
      </c>
      <c r="W6144" t="s">
        <v>416</v>
      </c>
      <c r="X6144">
        <v>1500</v>
      </c>
      <c r="Y6144" t="s">
        <v>26652</v>
      </c>
      <c r="Z6144" t="s">
        <v>26664</v>
      </c>
      <c r="AA6144" t="s">
        <v>26678</v>
      </c>
      <c r="AB6144" t="s">
        <v>27128</v>
      </c>
      <c r="AD6144" t="s">
        <v>41716</v>
      </c>
      <c r="AE6144">
        <v>84</v>
      </c>
      <c r="AG6144" t="s">
        <v>19330</v>
      </c>
      <c r="AH6144">
        <v>10</v>
      </c>
      <c r="AI6144">
        <v>1</v>
      </c>
      <c r="AJ6144">
        <v>1</v>
      </c>
      <c r="AK6144">
        <v>66.73</v>
      </c>
      <c r="AN6144" t="s">
        <v>7439</v>
      </c>
      <c r="AO6144">
        <v>11284</v>
      </c>
      <c r="AR6144" t="s">
        <v>46417</v>
      </c>
      <c r="AS6144" t="s">
        <v>46499</v>
      </c>
      <c r="AT6144" t="s">
        <v>46737</v>
      </c>
      <c r="AU6144">
        <v>2.9</v>
      </c>
      <c r="AV6144" t="s">
        <v>695</v>
      </c>
      <c r="AW6144" t="s">
        <v>46853</v>
      </c>
    </row>
    <row r="6145" spans="1:50">
      <c r="A6145" s="1">
        <f>HYPERLINK("https://lsnyc.legalserver.org/matter/dynamic-profile/view/1894661","19-1894661")</f>
        <v>0</v>
      </c>
      <c r="B6145" t="s">
        <v>204</v>
      </c>
      <c r="C6145" t="s">
        <v>341</v>
      </c>
      <c r="D6145" t="s">
        <v>787</v>
      </c>
      <c r="E6145" t="s">
        <v>761</v>
      </c>
      <c r="F6145" t="s">
        <v>903</v>
      </c>
      <c r="G6145" t="s">
        <v>7919</v>
      </c>
      <c r="H6145" t="s">
        <v>14075</v>
      </c>
      <c r="I6145" t="s">
        <v>18335</v>
      </c>
      <c r="J6145" t="s">
        <v>18894</v>
      </c>
      <c r="K6145">
        <v>11226</v>
      </c>
      <c r="L6145" t="s">
        <v>18958</v>
      </c>
      <c r="M6145" t="s">
        <v>18958</v>
      </c>
      <c r="N6145" t="s">
        <v>23463</v>
      </c>
      <c r="O6145" t="s">
        <v>26523</v>
      </c>
      <c r="P6145" t="s">
        <v>26560</v>
      </c>
      <c r="Q6145" t="s">
        <v>26573</v>
      </c>
      <c r="R6145" t="s">
        <v>26588</v>
      </c>
      <c r="U6145" t="s">
        <v>26604</v>
      </c>
      <c r="W6145" t="s">
        <v>416</v>
      </c>
      <c r="X6145">
        <v>0</v>
      </c>
      <c r="Y6145" t="s">
        <v>26652</v>
      </c>
      <c r="Z6145" t="s">
        <v>26664</v>
      </c>
      <c r="AA6145" t="s">
        <v>26678</v>
      </c>
      <c r="AB6145" t="s">
        <v>31493</v>
      </c>
      <c r="AD6145" t="s">
        <v>41717</v>
      </c>
      <c r="AE6145">
        <v>0</v>
      </c>
      <c r="AG6145" t="s">
        <v>19330</v>
      </c>
      <c r="AH6145">
        <v>30</v>
      </c>
      <c r="AI6145">
        <v>1</v>
      </c>
      <c r="AJ6145">
        <v>0</v>
      </c>
      <c r="AK6145">
        <v>210.25</v>
      </c>
      <c r="AN6145" t="s">
        <v>7439</v>
      </c>
      <c r="AO6145">
        <v>26260</v>
      </c>
      <c r="AR6145" t="s">
        <v>46399</v>
      </c>
      <c r="AS6145" t="s">
        <v>46499</v>
      </c>
      <c r="AT6145" t="s">
        <v>46785</v>
      </c>
      <c r="AU6145">
        <v>2.9</v>
      </c>
      <c r="AV6145" t="s">
        <v>761</v>
      </c>
      <c r="AW6145" t="s">
        <v>46853</v>
      </c>
    </row>
    <row r="6146" spans="1:50">
      <c r="A6146" s="1">
        <f>HYPERLINK("https://lsnyc.legalserver.org/matter/dynamic-profile/view/1894669","19-1894669")</f>
        <v>0</v>
      </c>
      <c r="B6146" t="s">
        <v>134</v>
      </c>
      <c r="C6146" t="s">
        <v>340</v>
      </c>
      <c r="D6146" t="s">
        <v>787</v>
      </c>
      <c r="F6146" t="s">
        <v>1754</v>
      </c>
      <c r="G6146" t="s">
        <v>5419</v>
      </c>
      <c r="H6146" t="s">
        <v>14076</v>
      </c>
      <c r="I6146">
        <v>3</v>
      </c>
      <c r="J6146" t="s">
        <v>18894</v>
      </c>
      <c r="K6146">
        <v>11208</v>
      </c>
      <c r="L6146" t="s">
        <v>18958</v>
      </c>
      <c r="M6146" t="s">
        <v>18958</v>
      </c>
      <c r="N6146" t="s">
        <v>23464</v>
      </c>
      <c r="O6146" t="s">
        <v>26524</v>
      </c>
      <c r="P6146" t="s">
        <v>26565</v>
      </c>
      <c r="R6146" t="s">
        <v>26578</v>
      </c>
      <c r="S6146" t="s">
        <v>18959</v>
      </c>
      <c r="U6146" t="s">
        <v>26604</v>
      </c>
      <c r="V6146" t="s">
        <v>26610</v>
      </c>
      <c r="W6146" t="s">
        <v>416</v>
      </c>
      <c r="X6146">
        <v>1515</v>
      </c>
      <c r="Y6146" t="s">
        <v>26652</v>
      </c>
      <c r="Z6146" t="s">
        <v>26668</v>
      </c>
      <c r="AB6146" t="s">
        <v>31494</v>
      </c>
      <c r="AC6146" t="s">
        <v>36101</v>
      </c>
      <c r="AD6146" t="s">
        <v>41718</v>
      </c>
      <c r="AE6146">
        <v>3</v>
      </c>
      <c r="AF6146" t="s">
        <v>45547</v>
      </c>
      <c r="AG6146" t="s">
        <v>45558</v>
      </c>
      <c r="AH6146">
        <v>1</v>
      </c>
      <c r="AI6146">
        <v>2</v>
      </c>
      <c r="AJ6146">
        <v>1</v>
      </c>
      <c r="AK6146">
        <v>23.65</v>
      </c>
      <c r="AN6146" t="s">
        <v>7439</v>
      </c>
      <c r="AO6146">
        <v>5044</v>
      </c>
      <c r="AU6146">
        <v>3.2</v>
      </c>
      <c r="AV6146" t="s">
        <v>766</v>
      </c>
      <c r="AW6146" t="s">
        <v>279</v>
      </c>
    </row>
    <row r="6147" spans="1:50">
      <c r="A6147" s="1">
        <f>HYPERLINK("https://lsnyc.legalserver.org/matter/dynamic-profile/view/1894665","19-1894665")</f>
        <v>0</v>
      </c>
      <c r="B6147" t="s">
        <v>167</v>
      </c>
      <c r="C6147" t="s">
        <v>340</v>
      </c>
      <c r="D6147" t="s">
        <v>787</v>
      </c>
      <c r="F6147" t="s">
        <v>2884</v>
      </c>
      <c r="G6147" t="s">
        <v>7920</v>
      </c>
      <c r="H6147" t="s">
        <v>9720</v>
      </c>
      <c r="I6147" t="s">
        <v>18336</v>
      </c>
      <c r="J6147" t="s">
        <v>18894</v>
      </c>
      <c r="K6147">
        <v>11225</v>
      </c>
      <c r="L6147" t="s">
        <v>18958</v>
      </c>
      <c r="M6147" t="s">
        <v>18958</v>
      </c>
      <c r="N6147" t="s">
        <v>23465</v>
      </c>
      <c r="O6147" t="s">
        <v>26523</v>
      </c>
      <c r="P6147" t="s">
        <v>26560</v>
      </c>
      <c r="R6147" t="s">
        <v>26588</v>
      </c>
      <c r="U6147" t="s">
        <v>26604</v>
      </c>
      <c r="W6147" t="s">
        <v>416</v>
      </c>
      <c r="X6147">
        <v>1675</v>
      </c>
      <c r="Y6147" t="s">
        <v>26652</v>
      </c>
      <c r="Z6147" t="s">
        <v>26669</v>
      </c>
      <c r="AB6147" t="s">
        <v>30416</v>
      </c>
      <c r="AD6147" t="s">
        <v>41719</v>
      </c>
      <c r="AE6147">
        <v>300</v>
      </c>
      <c r="AG6147" t="s">
        <v>45556</v>
      </c>
      <c r="AH6147">
        <v>20</v>
      </c>
      <c r="AI6147">
        <v>2</v>
      </c>
      <c r="AJ6147">
        <v>1</v>
      </c>
      <c r="AK6147">
        <v>84.39</v>
      </c>
      <c r="AN6147" t="s">
        <v>7439</v>
      </c>
      <c r="AO6147">
        <v>18000</v>
      </c>
      <c r="AU6147">
        <v>31.5</v>
      </c>
      <c r="AV6147" t="s">
        <v>839</v>
      </c>
      <c r="AW6147" t="s">
        <v>281</v>
      </c>
    </row>
    <row r="6148" spans="1:50">
      <c r="A6148" s="1">
        <f>HYPERLINK("https://lsnyc.legalserver.org/matter/dynamic-profile/view/1894619","19-1894619")</f>
        <v>0</v>
      </c>
      <c r="B6148" t="s">
        <v>167</v>
      </c>
      <c r="C6148" t="s">
        <v>340</v>
      </c>
      <c r="D6148" t="s">
        <v>787</v>
      </c>
      <c r="F6148" t="s">
        <v>880</v>
      </c>
      <c r="G6148" t="s">
        <v>3396</v>
      </c>
      <c r="H6148" t="s">
        <v>14077</v>
      </c>
      <c r="I6148" t="s">
        <v>17410</v>
      </c>
      <c r="J6148" t="s">
        <v>18894</v>
      </c>
      <c r="K6148">
        <v>11216</v>
      </c>
      <c r="L6148" t="s">
        <v>18958</v>
      </c>
      <c r="M6148" t="s">
        <v>18958</v>
      </c>
      <c r="N6148" t="s">
        <v>23466</v>
      </c>
      <c r="O6148" t="s">
        <v>26524</v>
      </c>
      <c r="P6148" t="s">
        <v>26560</v>
      </c>
      <c r="R6148" t="s">
        <v>26588</v>
      </c>
      <c r="U6148" t="s">
        <v>26604</v>
      </c>
      <c r="W6148" t="s">
        <v>416</v>
      </c>
      <c r="X6148">
        <v>867</v>
      </c>
      <c r="Y6148" t="s">
        <v>26652</v>
      </c>
      <c r="Z6148" t="s">
        <v>26669</v>
      </c>
      <c r="AB6148" t="s">
        <v>31171</v>
      </c>
      <c r="AD6148" t="s">
        <v>41720</v>
      </c>
      <c r="AE6148">
        <v>0</v>
      </c>
      <c r="AH6148">
        <v>14</v>
      </c>
      <c r="AI6148">
        <v>2</v>
      </c>
      <c r="AJ6148">
        <v>2</v>
      </c>
      <c r="AK6148">
        <v>151.46</v>
      </c>
      <c r="AN6148" t="s">
        <v>7439</v>
      </c>
      <c r="AO6148">
        <v>39000</v>
      </c>
      <c r="AU6148">
        <v>22</v>
      </c>
      <c r="AV6148" t="s">
        <v>832</v>
      </c>
      <c r="AW6148" t="s">
        <v>281</v>
      </c>
    </row>
    <row r="6149" spans="1:50">
      <c r="A6149" s="1">
        <f>HYPERLINK("https://lsnyc.legalserver.org/matter/dynamic-profile/view/1894742","19-1894742")</f>
        <v>0</v>
      </c>
      <c r="B6149" t="s">
        <v>162</v>
      </c>
      <c r="C6149" t="s">
        <v>341</v>
      </c>
      <c r="D6149" t="s">
        <v>788</v>
      </c>
      <c r="E6149" t="s">
        <v>819</v>
      </c>
      <c r="F6149" t="s">
        <v>1167</v>
      </c>
      <c r="G6149" t="s">
        <v>5269</v>
      </c>
      <c r="H6149" t="s">
        <v>14078</v>
      </c>
      <c r="J6149" t="s">
        <v>18894</v>
      </c>
      <c r="K6149">
        <v>11236</v>
      </c>
      <c r="L6149" t="s">
        <v>18958</v>
      </c>
      <c r="M6149" t="s">
        <v>18958</v>
      </c>
      <c r="N6149" t="s">
        <v>23467</v>
      </c>
      <c r="O6149" t="s">
        <v>26523</v>
      </c>
      <c r="P6149" t="s">
        <v>26563</v>
      </c>
      <c r="Q6149" t="s">
        <v>26570</v>
      </c>
      <c r="R6149" t="s">
        <v>26586</v>
      </c>
      <c r="U6149" t="s">
        <v>26604</v>
      </c>
      <c r="W6149" t="s">
        <v>416</v>
      </c>
      <c r="X6149">
        <v>191</v>
      </c>
      <c r="Y6149" t="s">
        <v>26652</v>
      </c>
      <c r="Z6149" t="s">
        <v>26664</v>
      </c>
      <c r="AA6149" t="s">
        <v>26683</v>
      </c>
      <c r="AB6149" t="s">
        <v>31495</v>
      </c>
      <c r="AD6149" t="s">
        <v>41721</v>
      </c>
      <c r="AE6149">
        <v>20</v>
      </c>
      <c r="AG6149" t="s">
        <v>19330</v>
      </c>
      <c r="AH6149">
        <v>29</v>
      </c>
      <c r="AI6149">
        <v>1</v>
      </c>
      <c r="AJ6149">
        <v>0</v>
      </c>
      <c r="AK6149">
        <v>102.13</v>
      </c>
      <c r="AN6149" t="s">
        <v>7439</v>
      </c>
      <c r="AO6149">
        <v>12756</v>
      </c>
      <c r="AU6149">
        <v>1</v>
      </c>
      <c r="AV6149" t="s">
        <v>765</v>
      </c>
      <c r="AW6149" t="s">
        <v>46853</v>
      </c>
    </row>
    <row r="6150" spans="1:50">
      <c r="A6150" s="1">
        <f>HYPERLINK("https://lsnyc.legalserver.org/matter/dynamic-profile/view/1894775","19-1894775")</f>
        <v>0</v>
      </c>
      <c r="B6150" t="s">
        <v>232</v>
      </c>
      <c r="C6150" t="s">
        <v>340</v>
      </c>
      <c r="D6150" t="s">
        <v>788</v>
      </c>
      <c r="F6150" t="s">
        <v>1190</v>
      </c>
      <c r="G6150" t="s">
        <v>5945</v>
      </c>
      <c r="H6150" t="s">
        <v>14079</v>
      </c>
      <c r="I6150" t="s">
        <v>18337</v>
      </c>
      <c r="J6150" t="s">
        <v>18894</v>
      </c>
      <c r="K6150">
        <v>11203</v>
      </c>
      <c r="L6150" t="s">
        <v>18958</v>
      </c>
      <c r="M6150" t="s">
        <v>18958</v>
      </c>
      <c r="N6150" t="s">
        <v>23468</v>
      </c>
      <c r="O6150" t="s">
        <v>26524</v>
      </c>
      <c r="P6150" t="s">
        <v>26560</v>
      </c>
      <c r="R6150" t="s">
        <v>26586</v>
      </c>
      <c r="U6150" t="s">
        <v>26604</v>
      </c>
      <c r="W6150" t="s">
        <v>416</v>
      </c>
      <c r="X6150">
        <v>1725</v>
      </c>
      <c r="Y6150" t="s">
        <v>26652</v>
      </c>
      <c r="Z6150" t="s">
        <v>26664</v>
      </c>
      <c r="AB6150" t="s">
        <v>31264</v>
      </c>
      <c r="AD6150" t="s">
        <v>41722</v>
      </c>
      <c r="AE6150">
        <v>0</v>
      </c>
      <c r="AG6150" t="s">
        <v>19330</v>
      </c>
      <c r="AH6150">
        <v>0</v>
      </c>
      <c r="AI6150">
        <v>1</v>
      </c>
      <c r="AJ6150">
        <v>0</v>
      </c>
      <c r="AK6150">
        <v>128.65</v>
      </c>
      <c r="AN6150" t="s">
        <v>7439</v>
      </c>
      <c r="AO6150">
        <v>16068</v>
      </c>
      <c r="AU6150">
        <v>9.15</v>
      </c>
      <c r="AV6150" t="s">
        <v>767</v>
      </c>
      <c r="AW6150" t="s">
        <v>46853</v>
      </c>
    </row>
    <row r="6151" spans="1:50">
      <c r="A6151" s="1">
        <f>HYPERLINK("https://lsnyc.legalserver.org/matter/dynamic-profile/view/1894755","19-1894755")</f>
        <v>0</v>
      </c>
      <c r="B6151" t="s">
        <v>155</v>
      </c>
      <c r="C6151" t="s">
        <v>340</v>
      </c>
      <c r="D6151" t="s">
        <v>788</v>
      </c>
      <c r="F6151" t="s">
        <v>3591</v>
      </c>
      <c r="G6151" t="s">
        <v>7921</v>
      </c>
      <c r="H6151" t="s">
        <v>14080</v>
      </c>
      <c r="I6151" t="s">
        <v>18338</v>
      </c>
      <c r="J6151" t="s">
        <v>18894</v>
      </c>
      <c r="K6151">
        <v>11213</v>
      </c>
      <c r="L6151" t="s">
        <v>18958</v>
      </c>
      <c r="M6151" t="s">
        <v>18958</v>
      </c>
      <c r="N6151" t="s">
        <v>23469</v>
      </c>
      <c r="O6151" t="s">
        <v>26523</v>
      </c>
      <c r="P6151" t="s">
        <v>26560</v>
      </c>
      <c r="R6151" t="s">
        <v>26586</v>
      </c>
      <c r="U6151" t="s">
        <v>26605</v>
      </c>
      <c r="W6151" t="s">
        <v>416</v>
      </c>
      <c r="X6151">
        <v>1385</v>
      </c>
      <c r="Y6151" t="s">
        <v>26652</v>
      </c>
      <c r="Z6151" t="s">
        <v>26664</v>
      </c>
      <c r="AB6151" t="s">
        <v>28570</v>
      </c>
      <c r="AC6151" t="s">
        <v>36102</v>
      </c>
      <c r="AD6151" t="s">
        <v>41723</v>
      </c>
      <c r="AE6151">
        <v>0</v>
      </c>
      <c r="AH6151">
        <v>13</v>
      </c>
      <c r="AI6151">
        <v>2</v>
      </c>
      <c r="AJ6151">
        <v>3</v>
      </c>
      <c r="AK6151">
        <v>35.12</v>
      </c>
      <c r="AN6151" t="s">
        <v>7439</v>
      </c>
      <c r="AO6151">
        <v>10596</v>
      </c>
      <c r="AU6151">
        <v>5.2</v>
      </c>
      <c r="AV6151" t="s">
        <v>834</v>
      </c>
      <c r="AW6151" t="s">
        <v>46853</v>
      </c>
      <c r="AX6151" t="s">
        <v>46897</v>
      </c>
    </row>
    <row r="6152" spans="1:50">
      <c r="A6152" s="1">
        <f>HYPERLINK("https://lsnyc.legalserver.org/matter/dynamic-profile/view/1894958","19-1894958")</f>
        <v>0</v>
      </c>
      <c r="B6152" t="s">
        <v>148</v>
      </c>
      <c r="C6152" t="s">
        <v>340</v>
      </c>
      <c r="D6152" t="s">
        <v>789</v>
      </c>
      <c r="F6152" t="s">
        <v>3592</v>
      </c>
      <c r="G6152" t="s">
        <v>7922</v>
      </c>
      <c r="H6152" t="s">
        <v>14081</v>
      </c>
      <c r="I6152">
        <v>1</v>
      </c>
      <c r="J6152" t="s">
        <v>18894</v>
      </c>
      <c r="K6152">
        <v>11207</v>
      </c>
      <c r="L6152" t="s">
        <v>18958</v>
      </c>
      <c r="M6152" t="s">
        <v>18958</v>
      </c>
      <c r="N6152" t="s">
        <v>23470</v>
      </c>
      <c r="O6152" t="s">
        <v>26524</v>
      </c>
      <c r="P6152" t="s">
        <v>26564</v>
      </c>
      <c r="R6152" t="s">
        <v>26586</v>
      </c>
      <c r="U6152" t="s">
        <v>26604</v>
      </c>
      <c r="W6152" t="s">
        <v>416</v>
      </c>
      <c r="X6152">
        <v>1600</v>
      </c>
      <c r="Y6152" t="s">
        <v>26652</v>
      </c>
      <c r="Z6152" t="s">
        <v>26664</v>
      </c>
      <c r="AB6152" t="s">
        <v>26762</v>
      </c>
      <c r="AD6152" t="s">
        <v>41724</v>
      </c>
      <c r="AE6152">
        <v>2</v>
      </c>
      <c r="AG6152" t="s">
        <v>26530</v>
      </c>
      <c r="AH6152">
        <v>3</v>
      </c>
      <c r="AI6152">
        <v>1</v>
      </c>
      <c r="AJ6152">
        <v>0</v>
      </c>
      <c r="AK6152">
        <v>55.93</v>
      </c>
      <c r="AN6152" t="s">
        <v>7439</v>
      </c>
      <c r="AO6152">
        <v>6986.2</v>
      </c>
      <c r="AU6152">
        <v>1.1</v>
      </c>
      <c r="AV6152" t="s">
        <v>760</v>
      </c>
      <c r="AW6152" t="s">
        <v>46862</v>
      </c>
    </row>
    <row r="6153" spans="1:50">
      <c r="A6153" s="1">
        <f>HYPERLINK("https://lsnyc.legalserver.org/matter/dynamic-profile/view/1894986","19-1894986")</f>
        <v>0</v>
      </c>
      <c r="B6153" t="s">
        <v>148</v>
      </c>
      <c r="C6153" t="s">
        <v>340</v>
      </c>
      <c r="D6153" t="s">
        <v>789</v>
      </c>
      <c r="F6153" t="s">
        <v>3593</v>
      </c>
      <c r="G6153" t="s">
        <v>7923</v>
      </c>
      <c r="H6153" t="s">
        <v>14082</v>
      </c>
      <c r="I6153" t="s">
        <v>17416</v>
      </c>
      <c r="J6153" t="s">
        <v>18894</v>
      </c>
      <c r="K6153">
        <v>11208</v>
      </c>
      <c r="L6153" t="s">
        <v>18958</v>
      </c>
      <c r="M6153" t="s">
        <v>18958</v>
      </c>
      <c r="N6153" t="s">
        <v>23471</v>
      </c>
      <c r="O6153" t="s">
        <v>26524</v>
      </c>
      <c r="P6153" t="s">
        <v>26564</v>
      </c>
      <c r="R6153" t="s">
        <v>26586</v>
      </c>
      <c r="U6153" t="s">
        <v>26604</v>
      </c>
      <c r="W6153" t="s">
        <v>416</v>
      </c>
      <c r="X6153">
        <v>1150</v>
      </c>
      <c r="Y6153" t="s">
        <v>26652</v>
      </c>
      <c r="Z6153" t="s">
        <v>26664</v>
      </c>
      <c r="AB6153" t="s">
        <v>31496</v>
      </c>
      <c r="AD6153" t="s">
        <v>41725</v>
      </c>
      <c r="AE6153">
        <v>2</v>
      </c>
      <c r="AG6153" t="s">
        <v>26530</v>
      </c>
      <c r="AH6153">
        <v>8</v>
      </c>
      <c r="AI6153">
        <v>1</v>
      </c>
      <c r="AJ6153">
        <v>2</v>
      </c>
      <c r="AK6153">
        <v>93.76000000000001</v>
      </c>
      <c r="AN6153" t="s">
        <v>7439</v>
      </c>
      <c r="AO6153">
        <v>20000</v>
      </c>
      <c r="AU6153">
        <v>1</v>
      </c>
      <c r="AV6153" t="s">
        <v>789</v>
      </c>
      <c r="AW6153" t="s">
        <v>46862</v>
      </c>
    </row>
    <row r="6154" spans="1:50">
      <c r="A6154" s="1">
        <f>HYPERLINK("https://lsnyc.legalserver.org/matter/dynamic-profile/view/1894862","19-1894862")</f>
        <v>0</v>
      </c>
      <c r="B6154" t="s">
        <v>242</v>
      </c>
      <c r="C6154" t="s">
        <v>340</v>
      </c>
      <c r="D6154" t="s">
        <v>789</v>
      </c>
      <c r="F6154" t="s">
        <v>893</v>
      </c>
      <c r="G6154" t="s">
        <v>7924</v>
      </c>
      <c r="H6154" t="s">
        <v>14053</v>
      </c>
      <c r="I6154" t="s">
        <v>17277</v>
      </c>
      <c r="J6154" t="s">
        <v>18894</v>
      </c>
      <c r="K6154">
        <v>11221</v>
      </c>
      <c r="L6154" t="s">
        <v>18958</v>
      </c>
      <c r="M6154" t="s">
        <v>18958</v>
      </c>
      <c r="N6154" t="s">
        <v>23472</v>
      </c>
      <c r="O6154" t="s">
        <v>26523</v>
      </c>
      <c r="P6154" t="s">
        <v>26560</v>
      </c>
      <c r="R6154" t="s">
        <v>26588</v>
      </c>
      <c r="S6154" t="s">
        <v>18959</v>
      </c>
      <c r="U6154" t="s">
        <v>26604</v>
      </c>
      <c r="W6154" t="s">
        <v>416</v>
      </c>
      <c r="X6154">
        <v>714</v>
      </c>
      <c r="Y6154" t="s">
        <v>26652</v>
      </c>
      <c r="Z6154" t="s">
        <v>26669</v>
      </c>
      <c r="AB6154" t="s">
        <v>31497</v>
      </c>
      <c r="AE6154">
        <v>8</v>
      </c>
      <c r="AG6154" t="s">
        <v>45557</v>
      </c>
      <c r="AH6154">
        <v>6</v>
      </c>
      <c r="AI6154">
        <v>2</v>
      </c>
      <c r="AJ6154">
        <v>0</v>
      </c>
      <c r="AK6154">
        <v>85.3</v>
      </c>
      <c r="AN6154" t="s">
        <v>7439</v>
      </c>
      <c r="AO6154">
        <v>14424</v>
      </c>
      <c r="AU6154">
        <v>16.3</v>
      </c>
      <c r="AV6154" t="s">
        <v>832</v>
      </c>
      <c r="AW6154" t="s">
        <v>281</v>
      </c>
      <c r="AX6154" t="s">
        <v>46897</v>
      </c>
    </row>
    <row r="6155" spans="1:50">
      <c r="A6155" s="1">
        <f>HYPERLINK("https://lsnyc.legalserver.org/matter/dynamic-profile/view/1894905","19-1894905")</f>
        <v>0</v>
      </c>
      <c r="B6155" t="s">
        <v>158</v>
      </c>
      <c r="C6155" t="s">
        <v>340</v>
      </c>
      <c r="D6155" t="s">
        <v>789</v>
      </c>
      <c r="F6155" t="s">
        <v>953</v>
      </c>
      <c r="G6155" t="s">
        <v>7925</v>
      </c>
      <c r="H6155" t="s">
        <v>10250</v>
      </c>
      <c r="I6155">
        <v>404</v>
      </c>
      <c r="J6155" t="s">
        <v>18894</v>
      </c>
      <c r="K6155">
        <v>11221</v>
      </c>
      <c r="L6155" t="s">
        <v>18958</v>
      </c>
      <c r="M6155" t="s">
        <v>18958</v>
      </c>
      <c r="N6155" t="s">
        <v>23473</v>
      </c>
      <c r="O6155" t="s">
        <v>26523</v>
      </c>
      <c r="P6155" t="s">
        <v>26560</v>
      </c>
      <c r="R6155" t="s">
        <v>26588</v>
      </c>
      <c r="U6155" t="s">
        <v>26604</v>
      </c>
      <c r="V6155" t="s">
        <v>26610</v>
      </c>
      <c r="W6155" t="s">
        <v>416</v>
      </c>
      <c r="X6155">
        <v>800</v>
      </c>
      <c r="Y6155" t="s">
        <v>26652</v>
      </c>
      <c r="Z6155" t="s">
        <v>26669</v>
      </c>
      <c r="AB6155" t="s">
        <v>31498</v>
      </c>
      <c r="AD6155" t="s">
        <v>41726</v>
      </c>
      <c r="AE6155">
        <v>16</v>
      </c>
      <c r="AF6155" t="s">
        <v>20460</v>
      </c>
      <c r="AG6155" t="s">
        <v>45558</v>
      </c>
      <c r="AH6155">
        <v>2</v>
      </c>
      <c r="AI6155">
        <v>1</v>
      </c>
      <c r="AJ6155">
        <v>0</v>
      </c>
      <c r="AK6155">
        <v>160.13</v>
      </c>
      <c r="AN6155" t="s">
        <v>7439</v>
      </c>
      <c r="AO6155">
        <v>20000</v>
      </c>
      <c r="AU6155">
        <v>17</v>
      </c>
      <c r="AV6155" t="s">
        <v>809</v>
      </c>
      <c r="AW6155" t="s">
        <v>281</v>
      </c>
    </row>
    <row r="6156" spans="1:50">
      <c r="A6156" s="1">
        <f>HYPERLINK("https://lsnyc.legalserver.org/matter/dynamic-profile/view/1894892","19-1894892")</f>
        <v>0</v>
      </c>
      <c r="B6156" t="s">
        <v>203</v>
      </c>
      <c r="C6156" t="s">
        <v>340</v>
      </c>
      <c r="D6156" t="s">
        <v>789</v>
      </c>
      <c r="F6156" t="s">
        <v>2058</v>
      </c>
      <c r="G6156" t="s">
        <v>7926</v>
      </c>
      <c r="H6156" t="s">
        <v>14083</v>
      </c>
      <c r="I6156" t="s">
        <v>17965</v>
      </c>
      <c r="J6156" t="s">
        <v>18894</v>
      </c>
      <c r="K6156">
        <v>11226</v>
      </c>
      <c r="L6156" t="s">
        <v>18958</v>
      </c>
      <c r="M6156" t="s">
        <v>18958</v>
      </c>
      <c r="N6156" t="s">
        <v>23474</v>
      </c>
      <c r="O6156" t="s">
        <v>26523</v>
      </c>
      <c r="P6156" t="s">
        <v>26560</v>
      </c>
      <c r="R6156" t="s">
        <v>26588</v>
      </c>
      <c r="U6156" t="s">
        <v>26604</v>
      </c>
      <c r="W6156" t="s">
        <v>416</v>
      </c>
      <c r="X6156">
        <v>2138</v>
      </c>
      <c r="Y6156" t="s">
        <v>26652</v>
      </c>
      <c r="Z6156" t="s">
        <v>26664</v>
      </c>
      <c r="AB6156" t="s">
        <v>31499</v>
      </c>
      <c r="AD6156" t="s">
        <v>41727</v>
      </c>
      <c r="AE6156">
        <v>76</v>
      </c>
      <c r="AG6156" t="s">
        <v>19330</v>
      </c>
      <c r="AH6156">
        <v>5</v>
      </c>
      <c r="AI6156">
        <v>4</v>
      </c>
      <c r="AJ6156">
        <v>5</v>
      </c>
      <c r="AK6156">
        <v>86.79000000000001</v>
      </c>
      <c r="AN6156" t="s">
        <v>7439</v>
      </c>
      <c r="AO6156">
        <v>41527</v>
      </c>
      <c r="AU6156">
        <v>5</v>
      </c>
      <c r="AV6156" t="s">
        <v>729</v>
      </c>
      <c r="AW6156" t="s">
        <v>46862</v>
      </c>
    </row>
    <row r="6157" spans="1:50">
      <c r="A6157" s="1">
        <f>HYPERLINK("https://lsnyc.legalserver.org/matter/dynamic-profile/view/1894869","19-1894869")</f>
        <v>0</v>
      </c>
      <c r="B6157" t="s">
        <v>204</v>
      </c>
      <c r="C6157" t="s">
        <v>340</v>
      </c>
      <c r="D6157" t="s">
        <v>789</v>
      </c>
      <c r="F6157" t="s">
        <v>3594</v>
      </c>
      <c r="G6157" t="s">
        <v>5212</v>
      </c>
      <c r="H6157" t="s">
        <v>14084</v>
      </c>
      <c r="I6157" t="s">
        <v>17361</v>
      </c>
      <c r="J6157" t="s">
        <v>18894</v>
      </c>
      <c r="K6157">
        <v>11226</v>
      </c>
      <c r="L6157" t="s">
        <v>18958</v>
      </c>
      <c r="M6157" t="s">
        <v>18958</v>
      </c>
      <c r="N6157" t="s">
        <v>23475</v>
      </c>
      <c r="O6157" t="s">
        <v>26523</v>
      </c>
      <c r="P6157" t="s">
        <v>26560</v>
      </c>
      <c r="R6157" t="s">
        <v>26588</v>
      </c>
      <c r="U6157" t="s">
        <v>26604</v>
      </c>
      <c r="W6157" t="s">
        <v>416</v>
      </c>
      <c r="X6157">
        <v>0</v>
      </c>
      <c r="Y6157" t="s">
        <v>26652</v>
      </c>
      <c r="Z6157" t="s">
        <v>26664</v>
      </c>
      <c r="AB6157" t="s">
        <v>31500</v>
      </c>
      <c r="AD6157" t="s">
        <v>41728</v>
      </c>
      <c r="AE6157">
        <v>60</v>
      </c>
      <c r="AH6157">
        <v>10</v>
      </c>
      <c r="AI6157">
        <v>2</v>
      </c>
      <c r="AJ6157">
        <v>3</v>
      </c>
      <c r="AK6157">
        <v>0</v>
      </c>
      <c r="AO6157">
        <v>0</v>
      </c>
      <c r="AU6157">
        <v>7.5</v>
      </c>
      <c r="AV6157" t="s">
        <v>834</v>
      </c>
      <c r="AW6157" t="s">
        <v>46862</v>
      </c>
    </row>
    <row r="6158" spans="1:50">
      <c r="A6158" s="1">
        <f>HYPERLINK("https://lsnyc.legalserver.org/matter/dynamic-profile/view/1894877","19-1894877")</f>
        <v>0</v>
      </c>
      <c r="B6158" t="s">
        <v>259</v>
      </c>
      <c r="C6158" t="s">
        <v>340</v>
      </c>
      <c r="D6158" t="s">
        <v>789</v>
      </c>
      <c r="F6158" t="s">
        <v>2432</v>
      </c>
      <c r="G6158" t="s">
        <v>5855</v>
      </c>
      <c r="H6158" t="s">
        <v>14085</v>
      </c>
      <c r="I6158" t="s">
        <v>17416</v>
      </c>
      <c r="J6158" t="s">
        <v>18894</v>
      </c>
      <c r="K6158">
        <v>11229</v>
      </c>
      <c r="L6158" t="s">
        <v>18958</v>
      </c>
      <c r="M6158" t="s">
        <v>18958</v>
      </c>
      <c r="N6158" t="s">
        <v>23476</v>
      </c>
      <c r="O6158" t="s">
        <v>26523</v>
      </c>
      <c r="P6158" t="s">
        <v>26560</v>
      </c>
      <c r="R6158" t="s">
        <v>26586</v>
      </c>
      <c r="U6158" t="s">
        <v>26604</v>
      </c>
      <c r="W6158" t="s">
        <v>416</v>
      </c>
      <c r="X6158">
        <v>2400</v>
      </c>
      <c r="Y6158" t="s">
        <v>26652</v>
      </c>
      <c r="Z6158" t="s">
        <v>26664</v>
      </c>
      <c r="AB6158" t="s">
        <v>31501</v>
      </c>
      <c r="AD6158" t="s">
        <v>41729</v>
      </c>
      <c r="AE6158">
        <v>2</v>
      </c>
      <c r="AG6158" t="s">
        <v>19330</v>
      </c>
      <c r="AH6158">
        <v>1</v>
      </c>
      <c r="AI6158">
        <v>2</v>
      </c>
      <c r="AJ6158">
        <v>0</v>
      </c>
      <c r="AK6158">
        <v>141.93</v>
      </c>
      <c r="AN6158" t="s">
        <v>45586</v>
      </c>
      <c r="AO6158">
        <v>24000</v>
      </c>
      <c r="AU6158">
        <v>0</v>
      </c>
      <c r="AW6158" t="s">
        <v>46853</v>
      </c>
    </row>
    <row r="6159" spans="1:50">
      <c r="A6159" s="1">
        <f>HYPERLINK("https://lsnyc.legalserver.org/matter/dynamic-profile/view/1895112","19-1895112")</f>
        <v>0</v>
      </c>
      <c r="B6159" t="s">
        <v>101</v>
      </c>
      <c r="C6159" t="s">
        <v>340</v>
      </c>
      <c r="D6159" t="s">
        <v>789</v>
      </c>
      <c r="F6159" t="s">
        <v>1444</v>
      </c>
      <c r="G6159" t="s">
        <v>5620</v>
      </c>
      <c r="H6159" t="s">
        <v>10347</v>
      </c>
      <c r="I6159" t="s">
        <v>17527</v>
      </c>
      <c r="J6159" t="s">
        <v>18894</v>
      </c>
      <c r="K6159">
        <v>11208</v>
      </c>
      <c r="L6159" t="s">
        <v>18958</v>
      </c>
      <c r="M6159" t="s">
        <v>18958</v>
      </c>
      <c r="O6159" t="s">
        <v>26523</v>
      </c>
      <c r="P6159" t="s">
        <v>26560</v>
      </c>
      <c r="R6159" t="s">
        <v>26586</v>
      </c>
      <c r="U6159" t="s">
        <v>26605</v>
      </c>
      <c r="W6159" t="s">
        <v>416</v>
      </c>
      <c r="X6159">
        <v>1065</v>
      </c>
      <c r="Y6159" t="s">
        <v>26652</v>
      </c>
      <c r="Z6159" t="s">
        <v>26659</v>
      </c>
      <c r="AB6159" t="s">
        <v>27453</v>
      </c>
      <c r="AD6159" t="s">
        <v>37514</v>
      </c>
      <c r="AE6159">
        <v>78</v>
      </c>
      <c r="AF6159" t="s">
        <v>45549</v>
      </c>
      <c r="AH6159">
        <v>24</v>
      </c>
      <c r="AI6159">
        <v>3</v>
      </c>
      <c r="AJ6159">
        <v>0</v>
      </c>
      <c r="AK6159">
        <v>138.44</v>
      </c>
      <c r="AN6159" t="s">
        <v>7439</v>
      </c>
      <c r="AO6159">
        <v>29530</v>
      </c>
      <c r="AU6159">
        <v>8.25</v>
      </c>
      <c r="AV6159" t="s">
        <v>821</v>
      </c>
      <c r="AW6159" t="s">
        <v>46862</v>
      </c>
    </row>
    <row r="6160" spans="1:50">
      <c r="A6160" s="1">
        <f>HYPERLINK("https://lsnyc.legalserver.org/matter/dynamic-profile/view/1895004","19-1895004")</f>
        <v>0</v>
      </c>
      <c r="B6160" t="s">
        <v>128</v>
      </c>
      <c r="C6160" t="s">
        <v>341</v>
      </c>
      <c r="D6160" t="s">
        <v>695</v>
      </c>
      <c r="E6160" t="s">
        <v>802</v>
      </c>
      <c r="F6160" t="s">
        <v>3595</v>
      </c>
      <c r="G6160" t="s">
        <v>7927</v>
      </c>
      <c r="H6160" t="s">
        <v>14086</v>
      </c>
      <c r="I6160">
        <v>117</v>
      </c>
      <c r="J6160" t="s">
        <v>18894</v>
      </c>
      <c r="K6160">
        <v>11235</v>
      </c>
      <c r="L6160" t="s">
        <v>18958</v>
      </c>
      <c r="M6160" t="s">
        <v>18958</v>
      </c>
      <c r="N6160" t="s">
        <v>23477</v>
      </c>
      <c r="O6160" t="s">
        <v>26523</v>
      </c>
      <c r="P6160" t="s">
        <v>26564</v>
      </c>
      <c r="Q6160" t="s">
        <v>26570</v>
      </c>
      <c r="R6160" t="s">
        <v>26586</v>
      </c>
      <c r="S6160" t="s">
        <v>18959</v>
      </c>
      <c r="U6160" t="s">
        <v>26604</v>
      </c>
      <c r="V6160" t="s">
        <v>26610</v>
      </c>
      <c r="W6160" t="s">
        <v>416</v>
      </c>
      <c r="X6160">
        <v>963.15</v>
      </c>
      <c r="Y6160" t="s">
        <v>26652</v>
      </c>
      <c r="Z6160" t="s">
        <v>26669</v>
      </c>
      <c r="AA6160" t="s">
        <v>26683</v>
      </c>
      <c r="AB6160" t="s">
        <v>31502</v>
      </c>
      <c r="AD6160" t="s">
        <v>41730</v>
      </c>
      <c r="AE6160">
        <v>120</v>
      </c>
      <c r="AF6160" t="s">
        <v>45541</v>
      </c>
      <c r="AG6160" t="s">
        <v>19330</v>
      </c>
      <c r="AH6160">
        <v>20</v>
      </c>
      <c r="AI6160">
        <v>1</v>
      </c>
      <c r="AJ6160">
        <v>0</v>
      </c>
      <c r="AK6160">
        <v>80.06</v>
      </c>
      <c r="AN6160" t="s">
        <v>7439</v>
      </c>
      <c r="AO6160">
        <v>10000</v>
      </c>
      <c r="AU6160">
        <v>1</v>
      </c>
      <c r="AV6160" t="s">
        <v>802</v>
      </c>
      <c r="AW6160" t="s">
        <v>281</v>
      </c>
    </row>
    <row r="6161" spans="1:50">
      <c r="A6161" s="1">
        <f>HYPERLINK("https://lsnyc.legalserver.org/matter/dynamic-profile/view/1895032","19-1895032")</f>
        <v>0</v>
      </c>
      <c r="B6161" t="s">
        <v>202</v>
      </c>
      <c r="C6161" t="s">
        <v>340</v>
      </c>
      <c r="D6161" t="s">
        <v>695</v>
      </c>
      <c r="F6161" t="s">
        <v>1251</v>
      </c>
      <c r="G6161" t="s">
        <v>3117</v>
      </c>
      <c r="H6161" t="s">
        <v>14087</v>
      </c>
      <c r="I6161">
        <v>704</v>
      </c>
      <c r="J6161" t="s">
        <v>18894</v>
      </c>
      <c r="K6161">
        <v>11201</v>
      </c>
      <c r="L6161" t="s">
        <v>18958</v>
      </c>
      <c r="M6161" t="s">
        <v>18958</v>
      </c>
      <c r="N6161" t="s">
        <v>23478</v>
      </c>
      <c r="O6161" t="s">
        <v>26523</v>
      </c>
      <c r="P6161" t="s">
        <v>26560</v>
      </c>
      <c r="R6161" t="s">
        <v>26586</v>
      </c>
      <c r="S6161" t="s">
        <v>18959</v>
      </c>
      <c r="U6161" t="s">
        <v>26604</v>
      </c>
      <c r="V6161" t="s">
        <v>26609</v>
      </c>
      <c r="W6161" t="s">
        <v>416</v>
      </c>
      <c r="X6161">
        <v>770</v>
      </c>
      <c r="Y6161" t="s">
        <v>26652</v>
      </c>
      <c r="Z6161" t="s">
        <v>26664</v>
      </c>
      <c r="AB6161" t="s">
        <v>31503</v>
      </c>
      <c r="AD6161" t="s">
        <v>41731</v>
      </c>
      <c r="AE6161">
        <v>290</v>
      </c>
      <c r="AF6161" t="s">
        <v>20460</v>
      </c>
      <c r="AG6161" t="s">
        <v>19330</v>
      </c>
      <c r="AH6161">
        <v>3</v>
      </c>
      <c r="AI6161">
        <v>1</v>
      </c>
      <c r="AJ6161">
        <v>0</v>
      </c>
      <c r="AK6161">
        <v>0</v>
      </c>
      <c r="AN6161" t="s">
        <v>7439</v>
      </c>
      <c r="AO6161">
        <v>0</v>
      </c>
      <c r="AQ6161" t="s">
        <v>46365</v>
      </c>
      <c r="AU6161">
        <v>12.25</v>
      </c>
      <c r="AV6161" t="s">
        <v>819</v>
      </c>
      <c r="AW6161" t="s">
        <v>46862</v>
      </c>
    </row>
    <row r="6162" spans="1:50">
      <c r="A6162" s="1">
        <f>HYPERLINK("https://lsnyc.legalserver.org/matter/dynamic-profile/view/1895054","19-1895054")</f>
        <v>0</v>
      </c>
      <c r="B6162" t="s">
        <v>202</v>
      </c>
      <c r="C6162" t="s">
        <v>340</v>
      </c>
      <c r="D6162" t="s">
        <v>695</v>
      </c>
      <c r="F6162" t="s">
        <v>1961</v>
      </c>
      <c r="G6162" t="s">
        <v>5572</v>
      </c>
      <c r="H6162" t="s">
        <v>14088</v>
      </c>
      <c r="I6162" t="s">
        <v>18329</v>
      </c>
      <c r="J6162" t="s">
        <v>18894</v>
      </c>
      <c r="K6162">
        <v>11230</v>
      </c>
      <c r="L6162" t="s">
        <v>18958</v>
      </c>
      <c r="M6162" t="s">
        <v>18958</v>
      </c>
      <c r="N6162" t="s">
        <v>23479</v>
      </c>
      <c r="O6162" t="s">
        <v>26523</v>
      </c>
      <c r="P6162" t="s">
        <v>26560</v>
      </c>
      <c r="R6162" t="s">
        <v>26586</v>
      </c>
      <c r="S6162" t="s">
        <v>18959</v>
      </c>
      <c r="U6162" t="s">
        <v>26604</v>
      </c>
      <c r="W6162" t="s">
        <v>416</v>
      </c>
      <c r="X6162">
        <v>1560.52</v>
      </c>
      <c r="Y6162" t="s">
        <v>26652</v>
      </c>
      <c r="Z6162" t="s">
        <v>26664</v>
      </c>
      <c r="AB6162" t="s">
        <v>31504</v>
      </c>
      <c r="AD6162" t="s">
        <v>41732</v>
      </c>
      <c r="AE6162">
        <v>34</v>
      </c>
      <c r="AG6162" t="s">
        <v>19330</v>
      </c>
      <c r="AH6162">
        <v>5</v>
      </c>
      <c r="AI6162">
        <v>3</v>
      </c>
      <c r="AJ6162">
        <v>0</v>
      </c>
      <c r="AK6162">
        <v>114.86</v>
      </c>
      <c r="AO6162">
        <v>24500</v>
      </c>
      <c r="AU6162">
        <v>3.3</v>
      </c>
      <c r="AV6162" t="s">
        <v>809</v>
      </c>
      <c r="AW6162" t="s">
        <v>46862</v>
      </c>
    </row>
    <row r="6163" spans="1:50">
      <c r="A6163" s="1">
        <f>HYPERLINK("https://lsnyc.legalserver.org/matter/dynamic-profile/view/1895010","19-1895010")</f>
        <v>0</v>
      </c>
      <c r="B6163" t="s">
        <v>148</v>
      </c>
      <c r="C6163" t="s">
        <v>340</v>
      </c>
      <c r="D6163" t="s">
        <v>695</v>
      </c>
      <c r="F6163" t="s">
        <v>3596</v>
      </c>
      <c r="G6163" t="s">
        <v>7928</v>
      </c>
      <c r="H6163" t="s">
        <v>14089</v>
      </c>
      <c r="I6163" t="s">
        <v>17284</v>
      </c>
      <c r="J6163" t="s">
        <v>18894</v>
      </c>
      <c r="K6163">
        <v>11209</v>
      </c>
      <c r="L6163" t="s">
        <v>18958</v>
      </c>
      <c r="M6163" t="s">
        <v>18958</v>
      </c>
      <c r="N6163" t="s">
        <v>23480</v>
      </c>
      <c r="O6163" t="s">
        <v>26523</v>
      </c>
      <c r="P6163" t="s">
        <v>26564</v>
      </c>
      <c r="R6163" t="s">
        <v>26586</v>
      </c>
      <c r="U6163" t="s">
        <v>26604</v>
      </c>
      <c r="W6163" t="s">
        <v>416</v>
      </c>
      <c r="X6163">
        <v>1134.75</v>
      </c>
      <c r="Y6163" t="s">
        <v>26652</v>
      </c>
      <c r="Z6163" t="s">
        <v>26664</v>
      </c>
      <c r="AB6163" t="s">
        <v>31505</v>
      </c>
      <c r="AD6163" t="s">
        <v>41733</v>
      </c>
      <c r="AE6163">
        <v>58</v>
      </c>
      <c r="AG6163" t="s">
        <v>19330</v>
      </c>
      <c r="AH6163">
        <v>-4</v>
      </c>
      <c r="AI6163">
        <v>1</v>
      </c>
      <c r="AJ6163">
        <v>0</v>
      </c>
      <c r="AK6163">
        <v>0</v>
      </c>
      <c r="AN6163" t="s">
        <v>7439</v>
      </c>
      <c r="AO6163">
        <v>0</v>
      </c>
      <c r="AU6163">
        <v>1</v>
      </c>
      <c r="AV6163" t="s">
        <v>695</v>
      </c>
      <c r="AW6163" t="s">
        <v>46862</v>
      </c>
    </row>
    <row r="6164" spans="1:50">
      <c r="A6164" s="1">
        <f>HYPERLINK("https://lsnyc.legalserver.org/matter/dynamic-profile/view/1895024","19-1895024")</f>
        <v>0</v>
      </c>
      <c r="B6164" t="s">
        <v>232</v>
      </c>
      <c r="C6164" t="s">
        <v>340</v>
      </c>
      <c r="D6164" t="s">
        <v>695</v>
      </c>
      <c r="F6164" t="s">
        <v>1191</v>
      </c>
      <c r="G6164" t="s">
        <v>5677</v>
      </c>
      <c r="H6164" t="s">
        <v>14090</v>
      </c>
      <c r="I6164" t="s">
        <v>17480</v>
      </c>
      <c r="J6164" t="s">
        <v>18894</v>
      </c>
      <c r="K6164">
        <v>11205</v>
      </c>
      <c r="L6164" t="s">
        <v>18958</v>
      </c>
      <c r="M6164" t="s">
        <v>18958</v>
      </c>
      <c r="N6164" t="s">
        <v>23481</v>
      </c>
      <c r="O6164" t="s">
        <v>26523</v>
      </c>
      <c r="P6164" t="s">
        <v>26563</v>
      </c>
      <c r="R6164" t="s">
        <v>26586</v>
      </c>
      <c r="U6164" t="s">
        <v>26605</v>
      </c>
      <c r="W6164" t="s">
        <v>416</v>
      </c>
      <c r="X6164">
        <v>221</v>
      </c>
      <c r="Y6164" t="s">
        <v>26652</v>
      </c>
      <c r="Z6164" t="s">
        <v>26664</v>
      </c>
      <c r="AB6164" t="s">
        <v>31506</v>
      </c>
      <c r="AD6164" t="s">
        <v>41734</v>
      </c>
      <c r="AE6164">
        <v>0</v>
      </c>
      <c r="AF6164" t="s">
        <v>45549</v>
      </c>
      <c r="AH6164">
        <v>1</v>
      </c>
      <c r="AI6164">
        <v>1</v>
      </c>
      <c r="AJ6164">
        <v>0</v>
      </c>
      <c r="AK6164">
        <v>72.06</v>
      </c>
      <c r="AN6164" t="s">
        <v>7439</v>
      </c>
      <c r="AO6164">
        <v>9000</v>
      </c>
      <c r="AU6164">
        <v>1</v>
      </c>
      <c r="AV6164" t="s">
        <v>827</v>
      </c>
      <c r="AW6164" t="s">
        <v>281</v>
      </c>
    </row>
    <row r="6165" spans="1:50">
      <c r="A6165" s="1">
        <f>HYPERLINK("https://lsnyc.legalserver.org/matter/dynamic-profile/view/1895267","19-1895267")</f>
        <v>0</v>
      </c>
      <c r="B6165" t="s">
        <v>180</v>
      </c>
      <c r="C6165" t="s">
        <v>340</v>
      </c>
      <c r="D6165" t="s">
        <v>779</v>
      </c>
      <c r="F6165" t="s">
        <v>3597</v>
      </c>
      <c r="G6165" t="s">
        <v>7929</v>
      </c>
      <c r="H6165" t="s">
        <v>13489</v>
      </c>
      <c r="I6165" t="s">
        <v>17380</v>
      </c>
      <c r="J6165" t="s">
        <v>18894</v>
      </c>
      <c r="K6165">
        <v>11226</v>
      </c>
      <c r="L6165" t="s">
        <v>18958</v>
      </c>
      <c r="M6165" t="s">
        <v>18958</v>
      </c>
      <c r="N6165" t="s">
        <v>23482</v>
      </c>
      <c r="O6165" t="s">
        <v>26523</v>
      </c>
      <c r="P6165" t="s">
        <v>26560</v>
      </c>
      <c r="R6165" t="s">
        <v>26588</v>
      </c>
      <c r="U6165" t="s">
        <v>26604</v>
      </c>
      <c r="W6165" t="s">
        <v>416</v>
      </c>
      <c r="X6165">
        <v>1093</v>
      </c>
      <c r="Y6165" t="s">
        <v>26652</v>
      </c>
      <c r="Z6165" t="s">
        <v>26669</v>
      </c>
      <c r="AB6165" t="s">
        <v>28185</v>
      </c>
      <c r="AE6165">
        <v>0</v>
      </c>
      <c r="AG6165" t="s">
        <v>26530</v>
      </c>
      <c r="AH6165">
        <v>6</v>
      </c>
      <c r="AI6165">
        <v>3</v>
      </c>
      <c r="AJ6165">
        <v>1</v>
      </c>
      <c r="AK6165">
        <v>0.76</v>
      </c>
      <c r="AN6165" t="s">
        <v>7439</v>
      </c>
      <c r="AO6165">
        <v>195.52</v>
      </c>
      <c r="AU6165">
        <v>9.9</v>
      </c>
      <c r="AV6165" t="s">
        <v>836</v>
      </c>
      <c r="AW6165" t="s">
        <v>281</v>
      </c>
      <c r="AX6165" t="s">
        <v>46897</v>
      </c>
    </row>
    <row r="6166" spans="1:50">
      <c r="A6166" s="1">
        <f>HYPERLINK("https://lsnyc.legalserver.org/matter/dynamic-profile/view/1895244","19-1895244")</f>
        <v>0</v>
      </c>
      <c r="B6166" t="s">
        <v>180</v>
      </c>
      <c r="C6166" t="s">
        <v>340</v>
      </c>
      <c r="D6166" t="s">
        <v>779</v>
      </c>
      <c r="F6166" t="s">
        <v>3598</v>
      </c>
      <c r="G6166" t="s">
        <v>2058</v>
      </c>
      <c r="H6166" t="s">
        <v>14091</v>
      </c>
      <c r="I6166" t="s">
        <v>17306</v>
      </c>
      <c r="J6166" t="s">
        <v>18894</v>
      </c>
      <c r="K6166">
        <v>11221</v>
      </c>
      <c r="L6166" t="s">
        <v>18958</v>
      </c>
      <c r="M6166" t="s">
        <v>18958</v>
      </c>
      <c r="N6166" t="s">
        <v>23483</v>
      </c>
      <c r="O6166" t="s">
        <v>26523</v>
      </c>
      <c r="P6166" t="s">
        <v>26560</v>
      </c>
      <c r="R6166" t="s">
        <v>26588</v>
      </c>
      <c r="S6166" t="s">
        <v>18959</v>
      </c>
      <c r="U6166" t="s">
        <v>26604</v>
      </c>
      <c r="W6166" t="s">
        <v>416</v>
      </c>
      <c r="X6166">
        <v>938</v>
      </c>
      <c r="Y6166" t="s">
        <v>26652</v>
      </c>
      <c r="Z6166" t="s">
        <v>26669</v>
      </c>
      <c r="AB6166" t="s">
        <v>31507</v>
      </c>
      <c r="AD6166" t="s">
        <v>41735</v>
      </c>
      <c r="AE6166">
        <v>0</v>
      </c>
      <c r="AG6166" t="s">
        <v>45556</v>
      </c>
      <c r="AH6166">
        <v>1</v>
      </c>
      <c r="AI6166">
        <v>1</v>
      </c>
      <c r="AJ6166">
        <v>0</v>
      </c>
      <c r="AK6166">
        <v>70.62</v>
      </c>
      <c r="AN6166" t="s">
        <v>7439</v>
      </c>
      <c r="AO6166">
        <v>8820</v>
      </c>
      <c r="AU6166">
        <v>17.7</v>
      </c>
      <c r="AV6166" t="s">
        <v>843</v>
      </c>
      <c r="AW6166" t="s">
        <v>281</v>
      </c>
    </row>
    <row r="6167" spans="1:50">
      <c r="A6167" s="1">
        <f>HYPERLINK("https://lsnyc.legalserver.org/matter/dynamic-profile/view/1895318","19-1895318")</f>
        <v>0</v>
      </c>
      <c r="B6167" t="s">
        <v>180</v>
      </c>
      <c r="C6167" t="s">
        <v>340</v>
      </c>
      <c r="D6167" t="s">
        <v>779</v>
      </c>
      <c r="F6167" t="s">
        <v>1033</v>
      </c>
      <c r="G6167" t="s">
        <v>6296</v>
      </c>
      <c r="H6167" t="s">
        <v>14092</v>
      </c>
      <c r="I6167" t="s">
        <v>17327</v>
      </c>
      <c r="J6167" t="s">
        <v>18894</v>
      </c>
      <c r="K6167">
        <v>11221</v>
      </c>
      <c r="L6167" t="s">
        <v>18958</v>
      </c>
      <c r="M6167" t="s">
        <v>18958</v>
      </c>
      <c r="N6167" t="s">
        <v>23484</v>
      </c>
      <c r="O6167" t="s">
        <v>26523</v>
      </c>
      <c r="P6167" t="s">
        <v>26560</v>
      </c>
      <c r="R6167" t="s">
        <v>26588</v>
      </c>
      <c r="U6167" t="s">
        <v>26604</v>
      </c>
      <c r="W6167" t="s">
        <v>416</v>
      </c>
      <c r="X6167">
        <v>1124</v>
      </c>
      <c r="Y6167" t="s">
        <v>26652</v>
      </c>
      <c r="Z6167" t="s">
        <v>26669</v>
      </c>
      <c r="AB6167" t="s">
        <v>30038</v>
      </c>
      <c r="AD6167" t="s">
        <v>41736</v>
      </c>
      <c r="AE6167">
        <v>0</v>
      </c>
      <c r="AG6167" t="s">
        <v>45556</v>
      </c>
      <c r="AH6167">
        <v>16</v>
      </c>
      <c r="AI6167">
        <v>2</v>
      </c>
      <c r="AJ6167">
        <v>1</v>
      </c>
      <c r="AK6167">
        <v>112.14</v>
      </c>
      <c r="AN6167" t="s">
        <v>7439</v>
      </c>
      <c r="AO6167">
        <v>23920</v>
      </c>
      <c r="AU6167">
        <v>12.9</v>
      </c>
      <c r="AV6167" t="s">
        <v>836</v>
      </c>
      <c r="AW6167" t="s">
        <v>281</v>
      </c>
    </row>
    <row r="6168" spans="1:50">
      <c r="A6168" s="1">
        <f>HYPERLINK("https://lsnyc.legalserver.org/matter/dynamic-profile/view/1895334","19-1895334")</f>
        <v>0</v>
      </c>
      <c r="B6168" t="s">
        <v>180</v>
      </c>
      <c r="C6168" t="s">
        <v>340</v>
      </c>
      <c r="D6168" t="s">
        <v>779</v>
      </c>
      <c r="F6168" t="s">
        <v>3599</v>
      </c>
      <c r="G6168" t="s">
        <v>4309</v>
      </c>
      <c r="H6168" t="s">
        <v>12427</v>
      </c>
      <c r="I6168" t="s">
        <v>18339</v>
      </c>
      <c r="J6168" t="s">
        <v>18894</v>
      </c>
      <c r="K6168">
        <v>11216</v>
      </c>
      <c r="L6168" t="s">
        <v>18958</v>
      </c>
      <c r="M6168" t="s">
        <v>18958</v>
      </c>
      <c r="N6168" t="s">
        <v>23485</v>
      </c>
      <c r="O6168" t="s">
        <v>26523</v>
      </c>
      <c r="P6168" t="s">
        <v>26560</v>
      </c>
      <c r="R6168" t="s">
        <v>26588</v>
      </c>
      <c r="S6168" t="s">
        <v>18959</v>
      </c>
      <c r="U6168" t="s">
        <v>26604</v>
      </c>
      <c r="W6168" t="s">
        <v>416</v>
      </c>
      <c r="X6168">
        <v>809</v>
      </c>
      <c r="Y6168" t="s">
        <v>26652</v>
      </c>
      <c r="Z6168" t="s">
        <v>26669</v>
      </c>
      <c r="AB6168" t="s">
        <v>31508</v>
      </c>
      <c r="AE6168">
        <v>62</v>
      </c>
      <c r="AG6168" t="s">
        <v>45556</v>
      </c>
      <c r="AH6168">
        <v>41</v>
      </c>
      <c r="AI6168">
        <v>1</v>
      </c>
      <c r="AJ6168">
        <v>0</v>
      </c>
      <c r="AK6168">
        <v>166.53</v>
      </c>
      <c r="AN6168" t="s">
        <v>7439</v>
      </c>
      <c r="AO6168">
        <v>20800</v>
      </c>
      <c r="AU6168">
        <v>3.9</v>
      </c>
      <c r="AV6168" t="s">
        <v>773</v>
      </c>
      <c r="AW6168" t="s">
        <v>281</v>
      </c>
    </row>
    <row r="6169" spans="1:50">
      <c r="A6169" s="1">
        <f>HYPERLINK("https://lsnyc.legalserver.org/matter/dynamic-profile/view/1895337","19-1895337")</f>
        <v>0</v>
      </c>
      <c r="B6169" t="s">
        <v>283</v>
      </c>
      <c r="C6169" t="s">
        <v>340</v>
      </c>
      <c r="D6169" t="s">
        <v>779</v>
      </c>
      <c r="F6169" t="s">
        <v>3600</v>
      </c>
      <c r="G6169" t="s">
        <v>5341</v>
      </c>
      <c r="H6169" t="s">
        <v>14093</v>
      </c>
      <c r="I6169" t="s">
        <v>18290</v>
      </c>
      <c r="J6169" t="s">
        <v>18894</v>
      </c>
      <c r="K6169">
        <v>11206</v>
      </c>
      <c r="L6169" t="s">
        <v>18958</v>
      </c>
      <c r="M6169" t="s">
        <v>18958</v>
      </c>
      <c r="N6169" t="s">
        <v>23486</v>
      </c>
      <c r="O6169" t="s">
        <v>26523</v>
      </c>
      <c r="P6169" t="s">
        <v>26564</v>
      </c>
      <c r="R6169" t="s">
        <v>26586</v>
      </c>
      <c r="U6169" t="s">
        <v>26605</v>
      </c>
      <c r="W6169" t="s">
        <v>416</v>
      </c>
      <c r="X6169">
        <v>1790</v>
      </c>
      <c r="Y6169" t="s">
        <v>26652</v>
      </c>
      <c r="Z6169" t="s">
        <v>26664</v>
      </c>
      <c r="AB6169" t="s">
        <v>30982</v>
      </c>
      <c r="AD6169" t="s">
        <v>41737</v>
      </c>
      <c r="AE6169">
        <v>0</v>
      </c>
      <c r="AG6169" t="s">
        <v>19330</v>
      </c>
      <c r="AH6169">
        <v>6</v>
      </c>
      <c r="AI6169">
        <v>2</v>
      </c>
      <c r="AJ6169">
        <v>1</v>
      </c>
      <c r="AK6169">
        <v>160.62</v>
      </c>
      <c r="AN6169" t="s">
        <v>7439</v>
      </c>
      <c r="AO6169">
        <v>34260</v>
      </c>
      <c r="AU6169">
        <v>0.9</v>
      </c>
      <c r="AV6169" t="s">
        <v>760</v>
      </c>
      <c r="AW6169" t="s">
        <v>46862</v>
      </c>
    </row>
    <row r="6170" spans="1:50">
      <c r="A6170" s="1">
        <f>HYPERLINK("https://lsnyc.legalserver.org/matter/dynamic-profile/view/1895247","19-1895247")</f>
        <v>0</v>
      </c>
      <c r="B6170" t="s">
        <v>129</v>
      </c>
      <c r="C6170" t="s">
        <v>340</v>
      </c>
      <c r="D6170" t="s">
        <v>779</v>
      </c>
      <c r="F6170" t="s">
        <v>1502</v>
      </c>
      <c r="G6170" t="s">
        <v>5086</v>
      </c>
      <c r="H6170" t="s">
        <v>10964</v>
      </c>
      <c r="I6170" t="s">
        <v>17397</v>
      </c>
      <c r="J6170" t="s">
        <v>18894</v>
      </c>
      <c r="K6170">
        <v>11225</v>
      </c>
      <c r="L6170" t="s">
        <v>18958</v>
      </c>
      <c r="M6170" t="s">
        <v>18958</v>
      </c>
      <c r="N6170" t="s">
        <v>23487</v>
      </c>
      <c r="O6170" t="s">
        <v>26523</v>
      </c>
      <c r="P6170" t="s">
        <v>26560</v>
      </c>
      <c r="R6170" t="s">
        <v>26588</v>
      </c>
      <c r="U6170" t="s">
        <v>26604</v>
      </c>
      <c r="W6170" t="s">
        <v>416</v>
      </c>
      <c r="X6170">
        <v>874</v>
      </c>
      <c r="Y6170" t="s">
        <v>26652</v>
      </c>
      <c r="Z6170" t="s">
        <v>26669</v>
      </c>
      <c r="AB6170" t="s">
        <v>31509</v>
      </c>
      <c r="AD6170" t="s">
        <v>41738</v>
      </c>
      <c r="AE6170">
        <v>0</v>
      </c>
      <c r="AG6170" t="s">
        <v>45562</v>
      </c>
      <c r="AH6170">
        <v>0</v>
      </c>
      <c r="AI6170">
        <v>1</v>
      </c>
      <c r="AJ6170">
        <v>0</v>
      </c>
      <c r="AK6170">
        <v>74.08</v>
      </c>
      <c r="AN6170" t="s">
        <v>7439</v>
      </c>
      <c r="AO6170">
        <v>9252</v>
      </c>
      <c r="AU6170">
        <v>4</v>
      </c>
      <c r="AV6170" t="s">
        <v>825</v>
      </c>
      <c r="AW6170" t="s">
        <v>281</v>
      </c>
    </row>
    <row r="6171" spans="1:50">
      <c r="A6171" s="1">
        <f>HYPERLINK("https://lsnyc.legalserver.org/matter/dynamic-profile/view/1895276","19-1895276")</f>
        <v>0</v>
      </c>
      <c r="B6171" t="s">
        <v>129</v>
      </c>
      <c r="C6171" t="s">
        <v>340</v>
      </c>
      <c r="D6171" t="s">
        <v>779</v>
      </c>
      <c r="F6171" t="s">
        <v>2173</v>
      </c>
      <c r="G6171" t="s">
        <v>1377</v>
      </c>
      <c r="H6171" t="s">
        <v>14094</v>
      </c>
      <c r="I6171" t="s">
        <v>17976</v>
      </c>
      <c r="J6171" t="s">
        <v>18894</v>
      </c>
      <c r="K6171">
        <v>11225</v>
      </c>
      <c r="L6171" t="s">
        <v>18958</v>
      </c>
      <c r="M6171" t="s">
        <v>18958</v>
      </c>
      <c r="N6171" t="s">
        <v>23488</v>
      </c>
      <c r="O6171" t="s">
        <v>26523</v>
      </c>
      <c r="P6171" t="s">
        <v>26560</v>
      </c>
      <c r="R6171" t="s">
        <v>26588</v>
      </c>
      <c r="U6171" t="s">
        <v>26604</v>
      </c>
      <c r="W6171" t="s">
        <v>416</v>
      </c>
      <c r="X6171">
        <v>158.74</v>
      </c>
      <c r="Y6171" t="s">
        <v>26652</v>
      </c>
      <c r="Z6171" t="s">
        <v>26669</v>
      </c>
      <c r="AB6171" t="s">
        <v>31510</v>
      </c>
      <c r="AD6171" t="s">
        <v>41739</v>
      </c>
      <c r="AE6171">
        <v>0</v>
      </c>
      <c r="AG6171" t="s">
        <v>19330</v>
      </c>
      <c r="AH6171">
        <v>36</v>
      </c>
      <c r="AI6171">
        <v>2</v>
      </c>
      <c r="AJ6171">
        <v>0</v>
      </c>
      <c r="AK6171">
        <v>346.54</v>
      </c>
      <c r="AN6171" t="s">
        <v>7439</v>
      </c>
      <c r="AO6171">
        <v>58600</v>
      </c>
      <c r="AU6171">
        <v>7.5</v>
      </c>
      <c r="AV6171" t="s">
        <v>829</v>
      </c>
      <c r="AW6171" t="s">
        <v>281</v>
      </c>
    </row>
    <row r="6172" spans="1:50">
      <c r="A6172" s="1">
        <f>HYPERLINK("https://lsnyc.legalserver.org/matter/dynamic-profile/view/1895288","19-1895288")</f>
        <v>0</v>
      </c>
      <c r="B6172" t="s">
        <v>172</v>
      </c>
      <c r="C6172" t="s">
        <v>340</v>
      </c>
      <c r="D6172" t="s">
        <v>779</v>
      </c>
      <c r="F6172" t="s">
        <v>994</v>
      </c>
      <c r="G6172" t="s">
        <v>7930</v>
      </c>
      <c r="H6172" t="s">
        <v>14095</v>
      </c>
      <c r="I6172" t="s">
        <v>17334</v>
      </c>
      <c r="J6172" t="s">
        <v>18894</v>
      </c>
      <c r="K6172">
        <v>11232</v>
      </c>
      <c r="L6172" t="s">
        <v>18958</v>
      </c>
      <c r="M6172" t="s">
        <v>18958</v>
      </c>
      <c r="N6172" t="s">
        <v>23489</v>
      </c>
      <c r="O6172" t="s">
        <v>26523</v>
      </c>
      <c r="P6172" t="s">
        <v>26560</v>
      </c>
      <c r="R6172" t="s">
        <v>26586</v>
      </c>
      <c r="U6172" t="s">
        <v>26604</v>
      </c>
      <c r="W6172" t="s">
        <v>416</v>
      </c>
      <c r="X6172">
        <v>644.8099999999999</v>
      </c>
      <c r="Y6172" t="s">
        <v>26652</v>
      </c>
      <c r="Z6172" t="s">
        <v>26664</v>
      </c>
      <c r="AB6172" t="s">
        <v>29215</v>
      </c>
      <c r="AD6172" t="s">
        <v>41740</v>
      </c>
      <c r="AE6172">
        <v>6</v>
      </c>
      <c r="AF6172" t="s">
        <v>45541</v>
      </c>
      <c r="AG6172" t="s">
        <v>19330</v>
      </c>
      <c r="AH6172">
        <v>13</v>
      </c>
      <c r="AI6172">
        <v>1</v>
      </c>
      <c r="AJ6172">
        <v>0</v>
      </c>
      <c r="AK6172">
        <v>0</v>
      </c>
      <c r="AN6172" t="s">
        <v>7439</v>
      </c>
      <c r="AO6172">
        <v>0</v>
      </c>
      <c r="AU6172">
        <v>5.5</v>
      </c>
      <c r="AV6172" t="s">
        <v>834</v>
      </c>
      <c r="AW6172" t="s">
        <v>46862</v>
      </c>
    </row>
    <row r="6173" spans="1:50">
      <c r="A6173" s="1">
        <f>HYPERLINK("https://lsnyc.legalserver.org/matter/dynamic-profile/view/1895393","19-1895393")</f>
        <v>0</v>
      </c>
      <c r="B6173" t="s">
        <v>172</v>
      </c>
      <c r="C6173" t="s">
        <v>340</v>
      </c>
      <c r="D6173" t="s">
        <v>779</v>
      </c>
      <c r="F6173" t="s">
        <v>3601</v>
      </c>
      <c r="G6173" t="s">
        <v>5916</v>
      </c>
      <c r="H6173" t="s">
        <v>14096</v>
      </c>
      <c r="I6173">
        <v>19</v>
      </c>
      <c r="J6173" t="s">
        <v>18894</v>
      </c>
      <c r="K6173">
        <v>11206</v>
      </c>
      <c r="L6173" t="s">
        <v>18958</v>
      </c>
      <c r="M6173" t="s">
        <v>18958</v>
      </c>
      <c r="N6173" t="s">
        <v>23490</v>
      </c>
      <c r="O6173" t="s">
        <v>26523</v>
      </c>
      <c r="P6173" t="s">
        <v>26560</v>
      </c>
      <c r="R6173" t="s">
        <v>26586</v>
      </c>
      <c r="U6173" t="s">
        <v>26604</v>
      </c>
      <c r="V6173" t="s">
        <v>26610</v>
      </c>
      <c r="W6173" t="s">
        <v>416</v>
      </c>
      <c r="X6173">
        <v>799</v>
      </c>
      <c r="Y6173" t="s">
        <v>26652</v>
      </c>
      <c r="Z6173" t="s">
        <v>26664</v>
      </c>
      <c r="AB6173" t="s">
        <v>31511</v>
      </c>
      <c r="AD6173" t="s">
        <v>41741</v>
      </c>
      <c r="AE6173">
        <v>21</v>
      </c>
      <c r="AF6173" t="s">
        <v>45541</v>
      </c>
      <c r="AG6173" t="s">
        <v>19330</v>
      </c>
      <c r="AH6173">
        <v>6</v>
      </c>
      <c r="AI6173">
        <v>1</v>
      </c>
      <c r="AJ6173">
        <v>2</v>
      </c>
      <c r="AK6173">
        <v>0</v>
      </c>
      <c r="AN6173" t="s">
        <v>7439</v>
      </c>
      <c r="AO6173">
        <v>0</v>
      </c>
      <c r="AU6173">
        <v>9.699999999999999</v>
      </c>
      <c r="AV6173" t="s">
        <v>821</v>
      </c>
      <c r="AW6173" t="s">
        <v>46862</v>
      </c>
    </row>
    <row r="6174" spans="1:50">
      <c r="A6174" s="1">
        <f>HYPERLINK("https://lsnyc.legalserver.org/matter/dynamic-profile/view/1896653","19-1896653")</f>
        <v>0</v>
      </c>
      <c r="B6174" t="s">
        <v>88</v>
      </c>
      <c r="C6174" t="s">
        <v>340</v>
      </c>
      <c r="D6174" t="s">
        <v>671</v>
      </c>
      <c r="F6174" t="s">
        <v>1027</v>
      </c>
      <c r="G6174" t="s">
        <v>6836</v>
      </c>
      <c r="H6174" t="s">
        <v>12249</v>
      </c>
      <c r="I6174" t="s">
        <v>17947</v>
      </c>
      <c r="J6174" t="s">
        <v>18894</v>
      </c>
      <c r="K6174">
        <v>11213</v>
      </c>
      <c r="L6174" t="s">
        <v>18958</v>
      </c>
      <c r="M6174" t="s">
        <v>18958</v>
      </c>
      <c r="N6174" t="s">
        <v>23491</v>
      </c>
      <c r="O6174" t="s">
        <v>26534</v>
      </c>
      <c r="P6174" t="s">
        <v>26561</v>
      </c>
      <c r="R6174" t="s">
        <v>26578</v>
      </c>
      <c r="S6174" t="s">
        <v>18958</v>
      </c>
      <c r="U6174" t="s">
        <v>26604</v>
      </c>
      <c r="W6174" t="s">
        <v>416</v>
      </c>
      <c r="X6174">
        <v>540</v>
      </c>
      <c r="Y6174" t="s">
        <v>26652</v>
      </c>
      <c r="Z6174" t="s">
        <v>26663</v>
      </c>
      <c r="AB6174" t="s">
        <v>29531</v>
      </c>
      <c r="AD6174" t="s">
        <v>39600</v>
      </c>
      <c r="AE6174">
        <v>6</v>
      </c>
      <c r="AF6174" t="s">
        <v>45541</v>
      </c>
      <c r="AG6174" t="s">
        <v>19330</v>
      </c>
      <c r="AH6174">
        <v>18</v>
      </c>
      <c r="AI6174">
        <v>1</v>
      </c>
      <c r="AJ6174">
        <v>0</v>
      </c>
      <c r="AK6174">
        <v>512.41</v>
      </c>
      <c r="AN6174" t="s">
        <v>7439</v>
      </c>
      <c r="AO6174">
        <v>64000</v>
      </c>
      <c r="AP6174" t="s">
        <v>46002</v>
      </c>
      <c r="AU6174">
        <v>0</v>
      </c>
      <c r="AW6174" t="s">
        <v>286</v>
      </c>
      <c r="AX6174" t="s">
        <v>46897</v>
      </c>
    </row>
    <row r="6175" spans="1:50">
      <c r="A6175" s="1">
        <f>HYPERLINK("https://lsnyc.legalserver.org/matter/dynamic-profile/view/1896656","19-1896656")</f>
        <v>0</v>
      </c>
      <c r="B6175" t="s">
        <v>88</v>
      </c>
      <c r="C6175" t="s">
        <v>340</v>
      </c>
      <c r="D6175" t="s">
        <v>671</v>
      </c>
      <c r="F6175" t="s">
        <v>1027</v>
      </c>
      <c r="G6175" t="s">
        <v>6836</v>
      </c>
      <c r="H6175" t="s">
        <v>12249</v>
      </c>
      <c r="I6175" t="s">
        <v>17947</v>
      </c>
      <c r="J6175" t="s">
        <v>18894</v>
      </c>
      <c r="K6175">
        <v>11213</v>
      </c>
      <c r="L6175" t="s">
        <v>18958</v>
      </c>
      <c r="M6175" t="s">
        <v>18958</v>
      </c>
      <c r="N6175" t="s">
        <v>23492</v>
      </c>
      <c r="O6175" t="s">
        <v>26526</v>
      </c>
      <c r="P6175" t="s">
        <v>26560</v>
      </c>
      <c r="R6175" t="s">
        <v>26578</v>
      </c>
      <c r="S6175" t="s">
        <v>18958</v>
      </c>
      <c r="U6175" t="s">
        <v>26604</v>
      </c>
      <c r="W6175" t="s">
        <v>416</v>
      </c>
      <c r="X6175">
        <v>540</v>
      </c>
      <c r="Y6175" t="s">
        <v>26652</v>
      </c>
      <c r="Z6175" t="s">
        <v>26663</v>
      </c>
      <c r="AB6175" t="s">
        <v>29531</v>
      </c>
      <c r="AD6175" t="s">
        <v>39600</v>
      </c>
      <c r="AE6175">
        <v>6</v>
      </c>
      <c r="AF6175" t="s">
        <v>45541</v>
      </c>
      <c r="AG6175" t="s">
        <v>19330</v>
      </c>
      <c r="AH6175">
        <v>18</v>
      </c>
      <c r="AI6175">
        <v>1</v>
      </c>
      <c r="AJ6175">
        <v>0</v>
      </c>
      <c r="AK6175">
        <v>512.41</v>
      </c>
      <c r="AN6175" t="s">
        <v>7439</v>
      </c>
      <c r="AO6175">
        <v>64000</v>
      </c>
      <c r="AP6175" t="s">
        <v>46003</v>
      </c>
      <c r="AU6175">
        <v>0</v>
      </c>
      <c r="AW6175" t="s">
        <v>286</v>
      </c>
      <c r="AX6175" t="s">
        <v>46897</v>
      </c>
    </row>
    <row r="6176" spans="1:50">
      <c r="A6176" s="1">
        <f>HYPERLINK("https://lsnyc.legalserver.org/matter/dynamic-profile/view/1896744","19-1896744")</f>
        <v>0</v>
      </c>
      <c r="B6176" t="s">
        <v>88</v>
      </c>
      <c r="C6176" t="s">
        <v>340</v>
      </c>
      <c r="D6176" t="s">
        <v>672</v>
      </c>
      <c r="F6176" t="s">
        <v>2600</v>
      </c>
      <c r="G6176" t="s">
        <v>6835</v>
      </c>
      <c r="H6176" t="s">
        <v>12249</v>
      </c>
      <c r="I6176" t="s">
        <v>17291</v>
      </c>
      <c r="J6176" t="s">
        <v>18894</v>
      </c>
      <c r="K6176">
        <v>11213</v>
      </c>
      <c r="L6176" t="s">
        <v>18958</v>
      </c>
      <c r="M6176" t="s">
        <v>18958</v>
      </c>
      <c r="N6176" t="s">
        <v>23491</v>
      </c>
      <c r="O6176" t="s">
        <v>26534</v>
      </c>
      <c r="P6176" t="s">
        <v>26561</v>
      </c>
      <c r="R6176" t="s">
        <v>26578</v>
      </c>
      <c r="S6176" t="s">
        <v>18958</v>
      </c>
      <c r="U6176" t="s">
        <v>26604</v>
      </c>
      <c r="W6176" t="s">
        <v>416</v>
      </c>
      <c r="X6176">
        <v>551</v>
      </c>
      <c r="Y6176" t="s">
        <v>26652</v>
      </c>
      <c r="Z6176" t="s">
        <v>26663</v>
      </c>
      <c r="AB6176" t="s">
        <v>29530</v>
      </c>
      <c r="AD6176" t="s">
        <v>39599</v>
      </c>
      <c r="AE6176">
        <v>6</v>
      </c>
      <c r="AF6176" t="s">
        <v>45541</v>
      </c>
      <c r="AG6176" t="s">
        <v>19330</v>
      </c>
      <c r="AH6176">
        <v>15</v>
      </c>
      <c r="AI6176">
        <v>2</v>
      </c>
      <c r="AJ6176">
        <v>0</v>
      </c>
      <c r="AK6176">
        <v>49.67</v>
      </c>
      <c r="AN6176" t="s">
        <v>7439</v>
      </c>
      <c r="AO6176">
        <v>8400</v>
      </c>
      <c r="AP6176" t="s">
        <v>46004</v>
      </c>
      <c r="AU6176">
        <v>0</v>
      </c>
      <c r="AW6176" t="s">
        <v>286</v>
      </c>
      <c r="AX6176" t="s">
        <v>46897</v>
      </c>
    </row>
    <row r="6177" spans="1:50">
      <c r="A6177" s="1">
        <f>HYPERLINK("https://lsnyc.legalserver.org/matter/dynamic-profile/view/1896748","19-1896748")</f>
        <v>0</v>
      </c>
      <c r="B6177" t="s">
        <v>88</v>
      </c>
      <c r="C6177" t="s">
        <v>340</v>
      </c>
      <c r="D6177" t="s">
        <v>672</v>
      </c>
      <c r="F6177" t="s">
        <v>2600</v>
      </c>
      <c r="G6177" t="s">
        <v>6835</v>
      </c>
      <c r="H6177" t="s">
        <v>12249</v>
      </c>
      <c r="I6177" t="s">
        <v>17291</v>
      </c>
      <c r="J6177" t="s">
        <v>18894</v>
      </c>
      <c r="K6177">
        <v>11213</v>
      </c>
      <c r="L6177" t="s">
        <v>18958</v>
      </c>
      <c r="M6177" t="s">
        <v>18958</v>
      </c>
      <c r="N6177" t="s">
        <v>23492</v>
      </c>
      <c r="O6177" t="s">
        <v>26526</v>
      </c>
      <c r="P6177" t="s">
        <v>26560</v>
      </c>
      <c r="R6177" t="s">
        <v>26578</v>
      </c>
      <c r="S6177" t="s">
        <v>18958</v>
      </c>
      <c r="U6177" t="s">
        <v>26604</v>
      </c>
      <c r="W6177" t="s">
        <v>416</v>
      </c>
      <c r="X6177">
        <v>551</v>
      </c>
      <c r="Y6177" t="s">
        <v>26652</v>
      </c>
      <c r="Z6177" t="s">
        <v>26663</v>
      </c>
      <c r="AB6177" t="s">
        <v>29530</v>
      </c>
      <c r="AD6177" t="s">
        <v>39599</v>
      </c>
      <c r="AE6177">
        <v>6</v>
      </c>
      <c r="AF6177" t="s">
        <v>45541</v>
      </c>
      <c r="AG6177" t="s">
        <v>19330</v>
      </c>
      <c r="AH6177">
        <v>15</v>
      </c>
      <c r="AI6177">
        <v>2</v>
      </c>
      <c r="AJ6177">
        <v>0</v>
      </c>
      <c r="AK6177">
        <v>49.67</v>
      </c>
      <c r="AN6177" t="s">
        <v>7439</v>
      </c>
      <c r="AO6177">
        <v>8400</v>
      </c>
      <c r="AP6177" t="s">
        <v>46004</v>
      </c>
      <c r="AU6177">
        <v>11</v>
      </c>
      <c r="AV6177" t="s">
        <v>769</v>
      </c>
      <c r="AW6177" t="s">
        <v>286</v>
      </c>
      <c r="AX6177" t="s">
        <v>46897</v>
      </c>
    </row>
    <row r="6178" spans="1:50">
      <c r="A6178" s="1">
        <f>HYPERLINK("https://lsnyc.legalserver.org/matter/dynamic-profile/view/1896793","19-1896793")</f>
        <v>0</v>
      </c>
      <c r="B6178" t="s">
        <v>88</v>
      </c>
      <c r="C6178" t="s">
        <v>340</v>
      </c>
      <c r="D6178" t="s">
        <v>672</v>
      </c>
      <c r="F6178" t="s">
        <v>2601</v>
      </c>
      <c r="G6178" t="s">
        <v>1384</v>
      </c>
      <c r="H6178" t="s">
        <v>12249</v>
      </c>
      <c r="I6178" t="s">
        <v>17330</v>
      </c>
      <c r="J6178" t="s">
        <v>18894</v>
      </c>
      <c r="K6178">
        <v>11213</v>
      </c>
      <c r="L6178" t="s">
        <v>18958</v>
      </c>
      <c r="M6178" t="s">
        <v>18958</v>
      </c>
      <c r="N6178" t="s">
        <v>23493</v>
      </c>
      <c r="O6178" t="s">
        <v>26534</v>
      </c>
      <c r="P6178" t="s">
        <v>26561</v>
      </c>
      <c r="R6178" t="s">
        <v>26578</v>
      </c>
      <c r="S6178" t="s">
        <v>18958</v>
      </c>
      <c r="U6178" t="s">
        <v>26604</v>
      </c>
      <c r="W6178" t="s">
        <v>416</v>
      </c>
      <c r="X6178">
        <v>855.86</v>
      </c>
      <c r="Y6178" t="s">
        <v>26652</v>
      </c>
      <c r="Z6178" t="s">
        <v>26663</v>
      </c>
      <c r="AB6178" t="s">
        <v>29532</v>
      </c>
      <c r="AE6178">
        <v>6</v>
      </c>
      <c r="AF6178" t="s">
        <v>45541</v>
      </c>
      <c r="AG6178" t="s">
        <v>19330</v>
      </c>
      <c r="AH6178">
        <v>26</v>
      </c>
      <c r="AI6178">
        <v>1</v>
      </c>
      <c r="AJ6178">
        <v>1</v>
      </c>
      <c r="AK6178">
        <v>52.58</v>
      </c>
      <c r="AN6178" t="s">
        <v>7439</v>
      </c>
      <c r="AO6178">
        <v>8892</v>
      </c>
      <c r="AP6178" t="s">
        <v>46005</v>
      </c>
      <c r="AU6178">
        <v>0</v>
      </c>
      <c r="AW6178" t="s">
        <v>286</v>
      </c>
      <c r="AX6178" t="s">
        <v>46897</v>
      </c>
    </row>
    <row r="6179" spans="1:50">
      <c r="A6179" s="1">
        <f>HYPERLINK("https://lsnyc.legalserver.org/matter/dynamic-profile/view/1896797","19-1896797")</f>
        <v>0</v>
      </c>
      <c r="B6179" t="s">
        <v>88</v>
      </c>
      <c r="C6179" t="s">
        <v>340</v>
      </c>
      <c r="D6179" t="s">
        <v>672</v>
      </c>
      <c r="F6179" t="s">
        <v>2601</v>
      </c>
      <c r="G6179" t="s">
        <v>1384</v>
      </c>
      <c r="H6179" t="s">
        <v>12249</v>
      </c>
      <c r="I6179" t="s">
        <v>17330</v>
      </c>
      <c r="J6179" t="s">
        <v>18894</v>
      </c>
      <c r="K6179">
        <v>11213</v>
      </c>
      <c r="L6179" t="s">
        <v>18958</v>
      </c>
      <c r="M6179" t="s">
        <v>18958</v>
      </c>
      <c r="N6179" t="s">
        <v>23492</v>
      </c>
      <c r="O6179" t="s">
        <v>26526</v>
      </c>
      <c r="P6179" t="s">
        <v>26560</v>
      </c>
      <c r="R6179" t="s">
        <v>26578</v>
      </c>
      <c r="S6179" t="s">
        <v>18958</v>
      </c>
      <c r="U6179" t="s">
        <v>26604</v>
      </c>
      <c r="W6179" t="s">
        <v>416</v>
      </c>
      <c r="X6179">
        <v>855.86</v>
      </c>
      <c r="Y6179" t="s">
        <v>26652</v>
      </c>
      <c r="Z6179" t="s">
        <v>26663</v>
      </c>
      <c r="AB6179" t="s">
        <v>29532</v>
      </c>
      <c r="AE6179">
        <v>6</v>
      </c>
      <c r="AF6179" t="s">
        <v>45541</v>
      </c>
      <c r="AG6179" t="s">
        <v>19330</v>
      </c>
      <c r="AH6179">
        <v>26</v>
      </c>
      <c r="AI6179">
        <v>1</v>
      </c>
      <c r="AJ6179">
        <v>1</v>
      </c>
      <c r="AK6179">
        <v>52.58</v>
      </c>
      <c r="AN6179" t="s">
        <v>7439</v>
      </c>
      <c r="AO6179">
        <v>8892</v>
      </c>
      <c r="AP6179" t="s">
        <v>46005</v>
      </c>
      <c r="AU6179">
        <v>0</v>
      </c>
      <c r="AW6179" t="s">
        <v>286</v>
      </c>
      <c r="AX6179" t="s">
        <v>46897</v>
      </c>
    </row>
    <row r="6180" spans="1:50">
      <c r="A6180" s="1">
        <f>HYPERLINK("https://lsnyc.legalserver.org/matter/dynamic-profile/view/1896760","19-1896760")</f>
        <v>0</v>
      </c>
      <c r="B6180" t="s">
        <v>88</v>
      </c>
      <c r="C6180" t="s">
        <v>340</v>
      </c>
      <c r="D6180" t="s">
        <v>672</v>
      </c>
      <c r="F6180" t="s">
        <v>1024</v>
      </c>
      <c r="G6180" t="s">
        <v>5575</v>
      </c>
      <c r="H6180" t="s">
        <v>12249</v>
      </c>
      <c r="I6180" t="s">
        <v>17331</v>
      </c>
      <c r="J6180" t="s">
        <v>18894</v>
      </c>
      <c r="K6180">
        <v>11213</v>
      </c>
      <c r="L6180" t="s">
        <v>18958</v>
      </c>
      <c r="M6180" t="s">
        <v>18959</v>
      </c>
      <c r="N6180" t="s">
        <v>23493</v>
      </c>
      <c r="O6180" t="s">
        <v>26534</v>
      </c>
      <c r="P6180" t="s">
        <v>26561</v>
      </c>
      <c r="R6180" t="s">
        <v>26578</v>
      </c>
      <c r="S6180" t="s">
        <v>18958</v>
      </c>
      <c r="U6180" t="s">
        <v>26604</v>
      </c>
      <c r="W6180" t="s">
        <v>416</v>
      </c>
      <c r="X6180">
        <v>719</v>
      </c>
      <c r="Y6180" t="s">
        <v>26652</v>
      </c>
      <c r="Z6180" t="s">
        <v>26663</v>
      </c>
      <c r="AB6180" t="s">
        <v>29533</v>
      </c>
      <c r="AD6180" t="s">
        <v>39601</v>
      </c>
      <c r="AE6180">
        <v>6</v>
      </c>
      <c r="AF6180" t="s">
        <v>45541</v>
      </c>
      <c r="AG6180" t="s">
        <v>19330</v>
      </c>
      <c r="AH6180">
        <v>22</v>
      </c>
      <c r="AI6180">
        <v>5</v>
      </c>
      <c r="AJ6180">
        <v>1</v>
      </c>
      <c r="AK6180">
        <v>109.86</v>
      </c>
      <c r="AN6180" t="s">
        <v>7439</v>
      </c>
      <c r="AO6180">
        <v>38000</v>
      </c>
      <c r="AP6180" t="s">
        <v>46006</v>
      </c>
      <c r="AU6180">
        <v>0</v>
      </c>
      <c r="AW6180" t="s">
        <v>286</v>
      </c>
    </row>
    <row r="6181" spans="1:50">
      <c r="A6181" s="1">
        <f>HYPERLINK("https://lsnyc.legalserver.org/matter/dynamic-profile/view/1896764","19-1896764")</f>
        <v>0</v>
      </c>
      <c r="B6181" t="s">
        <v>88</v>
      </c>
      <c r="C6181" t="s">
        <v>340</v>
      </c>
      <c r="D6181" t="s">
        <v>672</v>
      </c>
      <c r="F6181" t="s">
        <v>1024</v>
      </c>
      <c r="G6181" t="s">
        <v>5575</v>
      </c>
      <c r="H6181" t="s">
        <v>12249</v>
      </c>
      <c r="I6181" t="s">
        <v>17331</v>
      </c>
      <c r="J6181" t="s">
        <v>18894</v>
      </c>
      <c r="K6181">
        <v>11213</v>
      </c>
      <c r="L6181" t="s">
        <v>18958</v>
      </c>
      <c r="M6181" t="s">
        <v>18959</v>
      </c>
      <c r="N6181" t="s">
        <v>23492</v>
      </c>
      <c r="O6181" t="s">
        <v>26526</v>
      </c>
      <c r="P6181" t="s">
        <v>26560</v>
      </c>
      <c r="R6181" t="s">
        <v>26578</v>
      </c>
      <c r="S6181" t="s">
        <v>18958</v>
      </c>
      <c r="U6181" t="s">
        <v>26604</v>
      </c>
      <c r="W6181" t="s">
        <v>416</v>
      </c>
      <c r="X6181">
        <v>719</v>
      </c>
      <c r="Y6181" t="s">
        <v>26652</v>
      </c>
      <c r="Z6181" t="s">
        <v>26663</v>
      </c>
      <c r="AB6181" t="s">
        <v>29533</v>
      </c>
      <c r="AD6181" t="s">
        <v>39601</v>
      </c>
      <c r="AE6181">
        <v>6</v>
      </c>
      <c r="AF6181" t="s">
        <v>45541</v>
      </c>
      <c r="AG6181" t="s">
        <v>19330</v>
      </c>
      <c r="AH6181">
        <v>22</v>
      </c>
      <c r="AI6181">
        <v>5</v>
      </c>
      <c r="AJ6181">
        <v>1</v>
      </c>
      <c r="AK6181">
        <v>109.86</v>
      </c>
      <c r="AN6181" t="s">
        <v>7439</v>
      </c>
      <c r="AO6181">
        <v>38000</v>
      </c>
      <c r="AP6181" t="s">
        <v>46007</v>
      </c>
      <c r="AU6181">
        <v>1</v>
      </c>
      <c r="AV6181" t="s">
        <v>807</v>
      </c>
      <c r="AW6181" t="s">
        <v>286</v>
      </c>
    </row>
    <row r="6182" spans="1:50">
      <c r="A6182" s="1">
        <f>HYPERLINK("https://lsnyc.legalserver.org/matter/dynamic-profile/view/1887314","19-1887314")</f>
        <v>0</v>
      </c>
      <c r="B6182" t="s">
        <v>57</v>
      </c>
      <c r="C6182" t="s">
        <v>340</v>
      </c>
      <c r="D6182" t="s">
        <v>704</v>
      </c>
      <c r="F6182" t="s">
        <v>1228</v>
      </c>
      <c r="G6182" t="s">
        <v>6974</v>
      </c>
      <c r="H6182" t="s">
        <v>14097</v>
      </c>
      <c r="I6182">
        <v>1107</v>
      </c>
      <c r="J6182" t="s">
        <v>18892</v>
      </c>
      <c r="K6182">
        <v>10457</v>
      </c>
      <c r="L6182" t="s">
        <v>18958</v>
      </c>
      <c r="M6182" t="s">
        <v>18958</v>
      </c>
      <c r="N6182" t="s">
        <v>23494</v>
      </c>
      <c r="O6182" t="s">
        <v>26523</v>
      </c>
      <c r="P6182" t="s">
        <v>26560</v>
      </c>
      <c r="R6182" t="s">
        <v>26579</v>
      </c>
      <c r="U6182" t="s">
        <v>26604</v>
      </c>
      <c r="W6182" t="s">
        <v>751</v>
      </c>
      <c r="X6182">
        <v>508.86</v>
      </c>
      <c r="Y6182" t="s">
        <v>26650</v>
      </c>
      <c r="Z6182" t="s">
        <v>26664</v>
      </c>
      <c r="AB6182" t="s">
        <v>30432</v>
      </c>
      <c r="AD6182" t="s">
        <v>41742</v>
      </c>
      <c r="AE6182">
        <v>0</v>
      </c>
      <c r="AF6182" t="s">
        <v>45543</v>
      </c>
      <c r="AH6182">
        <v>5</v>
      </c>
      <c r="AI6182">
        <v>1</v>
      </c>
      <c r="AJ6182">
        <v>0</v>
      </c>
      <c r="AK6182">
        <v>299.84</v>
      </c>
      <c r="AL6182" t="s">
        <v>751</v>
      </c>
      <c r="AN6182" t="s">
        <v>45581</v>
      </c>
      <c r="AO6182">
        <v>36400</v>
      </c>
      <c r="AU6182">
        <v>11.5</v>
      </c>
      <c r="AV6182" t="s">
        <v>803</v>
      </c>
      <c r="AW6182" t="s">
        <v>46836</v>
      </c>
    </row>
    <row r="6183" spans="1:50">
      <c r="A6183" s="1">
        <f>HYPERLINK("https://lsnyc.legalserver.org/matter/dynamic-profile/view/1891192","19-1891192")</f>
        <v>0</v>
      </c>
      <c r="B6183" t="s">
        <v>149</v>
      </c>
      <c r="C6183" t="s">
        <v>340</v>
      </c>
      <c r="D6183" t="s">
        <v>710</v>
      </c>
      <c r="F6183" t="s">
        <v>874</v>
      </c>
      <c r="G6183" t="s">
        <v>2749</v>
      </c>
      <c r="H6183" t="s">
        <v>14098</v>
      </c>
      <c r="I6183" t="s">
        <v>17322</v>
      </c>
      <c r="J6183" t="s">
        <v>18892</v>
      </c>
      <c r="K6183">
        <v>10467</v>
      </c>
      <c r="L6183" t="s">
        <v>18958</v>
      </c>
      <c r="M6183" t="s">
        <v>18958</v>
      </c>
      <c r="N6183" t="s">
        <v>23495</v>
      </c>
      <c r="O6183" t="s">
        <v>26523</v>
      </c>
      <c r="P6183" t="s">
        <v>26560</v>
      </c>
      <c r="R6183" t="s">
        <v>26579</v>
      </c>
      <c r="S6183" t="s">
        <v>18959</v>
      </c>
      <c r="U6183" t="s">
        <v>26604</v>
      </c>
      <c r="W6183" t="s">
        <v>751</v>
      </c>
      <c r="X6183">
        <v>1465</v>
      </c>
      <c r="Y6183" t="s">
        <v>26650</v>
      </c>
      <c r="Z6183" t="s">
        <v>26664</v>
      </c>
      <c r="AB6183" t="s">
        <v>31512</v>
      </c>
      <c r="AD6183" t="s">
        <v>41743</v>
      </c>
      <c r="AE6183">
        <v>66</v>
      </c>
      <c r="AF6183" t="s">
        <v>20460</v>
      </c>
      <c r="AG6183" t="s">
        <v>19330</v>
      </c>
      <c r="AH6183">
        <v>3</v>
      </c>
      <c r="AI6183">
        <v>1</v>
      </c>
      <c r="AJ6183">
        <v>1</v>
      </c>
      <c r="AK6183">
        <v>251.05</v>
      </c>
      <c r="AL6183" t="s">
        <v>751</v>
      </c>
      <c r="AM6183" t="s">
        <v>45575</v>
      </c>
      <c r="AN6183" t="s">
        <v>7439</v>
      </c>
      <c r="AO6183">
        <v>42452</v>
      </c>
      <c r="AU6183">
        <v>4.85</v>
      </c>
      <c r="AV6183" t="s">
        <v>791</v>
      </c>
      <c r="AW6183" t="s">
        <v>336</v>
      </c>
    </row>
    <row r="6184" spans="1:50">
      <c r="A6184" s="1">
        <f>HYPERLINK("https://lsnyc.legalserver.org/matter/dynamic-profile/view/1890894","19-1890894")</f>
        <v>0</v>
      </c>
      <c r="B6184" t="s">
        <v>270</v>
      </c>
      <c r="C6184" t="s">
        <v>341</v>
      </c>
      <c r="D6184" t="s">
        <v>731</v>
      </c>
      <c r="E6184" t="s">
        <v>767</v>
      </c>
      <c r="F6184" t="s">
        <v>974</v>
      </c>
      <c r="G6184" t="s">
        <v>7931</v>
      </c>
      <c r="H6184" t="s">
        <v>13573</v>
      </c>
      <c r="I6184" t="s">
        <v>17315</v>
      </c>
      <c r="J6184" t="s">
        <v>18892</v>
      </c>
      <c r="K6184">
        <v>10467</v>
      </c>
      <c r="L6184" t="s">
        <v>18958</v>
      </c>
      <c r="M6184" t="s">
        <v>18958</v>
      </c>
      <c r="N6184" t="s">
        <v>23496</v>
      </c>
      <c r="O6184" t="s">
        <v>26523</v>
      </c>
      <c r="P6184" t="s">
        <v>26560</v>
      </c>
      <c r="Q6184" t="s">
        <v>26568</v>
      </c>
      <c r="R6184" t="s">
        <v>26579</v>
      </c>
      <c r="S6184" t="s">
        <v>18959</v>
      </c>
      <c r="U6184" t="s">
        <v>26605</v>
      </c>
      <c r="V6184" t="s">
        <v>26610</v>
      </c>
      <c r="W6184" t="s">
        <v>751</v>
      </c>
      <c r="X6184">
        <v>1345</v>
      </c>
      <c r="Y6184" t="s">
        <v>26650</v>
      </c>
      <c r="Z6184" t="s">
        <v>26668</v>
      </c>
      <c r="AA6184" t="s">
        <v>26680</v>
      </c>
      <c r="AB6184" t="s">
        <v>31513</v>
      </c>
      <c r="AD6184" t="s">
        <v>41744</v>
      </c>
      <c r="AE6184">
        <v>0</v>
      </c>
      <c r="AF6184" t="s">
        <v>45542</v>
      </c>
      <c r="AG6184" t="s">
        <v>19330</v>
      </c>
      <c r="AH6184">
        <v>20</v>
      </c>
      <c r="AI6184">
        <v>2</v>
      </c>
      <c r="AJ6184">
        <v>0</v>
      </c>
      <c r="AK6184">
        <v>319.12</v>
      </c>
      <c r="AL6184" t="s">
        <v>813</v>
      </c>
      <c r="AM6184" t="s">
        <v>45575</v>
      </c>
      <c r="AN6184" t="s">
        <v>7439</v>
      </c>
      <c r="AO6184">
        <v>53964</v>
      </c>
      <c r="AS6184" t="s">
        <v>46499</v>
      </c>
      <c r="AT6184" t="s">
        <v>46601</v>
      </c>
      <c r="AU6184">
        <v>6.9</v>
      </c>
      <c r="AV6184" t="s">
        <v>802</v>
      </c>
      <c r="AW6184" t="s">
        <v>46832</v>
      </c>
      <c r="AX6184" t="s">
        <v>46897</v>
      </c>
    </row>
    <row r="6185" spans="1:50">
      <c r="A6185" s="1">
        <f>HYPERLINK("https://lsnyc.legalserver.org/matter/dynamic-profile/view/1892361","19-1892361")</f>
        <v>0</v>
      </c>
      <c r="B6185" t="s">
        <v>212</v>
      </c>
      <c r="C6185" t="s">
        <v>341</v>
      </c>
      <c r="D6185" t="s">
        <v>416</v>
      </c>
      <c r="E6185" t="s">
        <v>751</v>
      </c>
      <c r="F6185" t="s">
        <v>1660</v>
      </c>
      <c r="G6185" t="s">
        <v>7932</v>
      </c>
      <c r="J6185" t="s">
        <v>18913</v>
      </c>
      <c r="K6185">
        <v>11103</v>
      </c>
      <c r="L6185" t="s">
        <v>18958</v>
      </c>
      <c r="M6185" t="s">
        <v>18958</v>
      </c>
      <c r="N6185" t="s">
        <v>19045</v>
      </c>
      <c r="O6185" t="s">
        <v>18997</v>
      </c>
      <c r="P6185" t="s">
        <v>26564</v>
      </c>
      <c r="Q6185" t="s">
        <v>26570</v>
      </c>
      <c r="R6185" t="s">
        <v>26578</v>
      </c>
      <c r="S6185" t="s">
        <v>18959</v>
      </c>
      <c r="U6185" t="s">
        <v>26604</v>
      </c>
      <c r="W6185" t="s">
        <v>751</v>
      </c>
      <c r="X6185">
        <v>0</v>
      </c>
      <c r="Y6185" t="s">
        <v>26653</v>
      </c>
      <c r="AA6185" t="s">
        <v>26683</v>
      </c>
      <c r="AB6185" t="s">
        <v>31514</v>
      </c>
      <c r="AE6185">
        <v>0</v>
      </c>
      <c r="AH6185">
        <v>0</v>
      </c>
      <c r="AI6185">
        <v>3</v>
      </c>
      <c r="AJ6185">
        <v>0</v>
      </c>
      <c r="AK6185">
        <v>79.7</v>
      </c>
      <c r="AO6185">
        <v>17000</v>
      </c>
      <c r="AU6185">
        <v>0.05</v>
      </c>
      <c r="AV6185" t="s">
        <v>751</v>
      </c>
      <c r="AW6185" t="s">
        <v>212</v>
      </c>
    </row>
    <row r="6186" spans="1:50">
      <c r="A6186" s="1">
        <f>HYPERLINK("https://lsnyc.legalserver.org/matter/dynamic-profile/view/1892485","19-1892485")</f>
        <v>0</v>
      </c>
      <c r="B6186" t="s">
        <v>68</v>
      </c>
      <c r="C6186" t="s">
        <v>341</v>
      </c>
      <c r="D6186" t="s">
        <v>751</v>
      </c>
      <c r="E6186" t="s">
        <v>775</v>
      </c>
      <c r="F6186" t="s">
        <v>2758</v>
      </c>
      <c r="G6186" t="s">
        <v>6391</v>
      </c>
      <c r="H6186" t="s">
        <v>14099</v>
      </c>
      <c r="I6186">
        <v>27</v>
      </c>
      <c r="J6186" t="s">
        <v>18892</v>
      </c>
      <c r="K6186">
        <v>10468</v>
      </c>
      <c r="L6186" t="s">
        <v>18958</v>
      </c>
      <c r="M6186" t="s">
        <v>18958</v>
      </c>
      <c r="N6186" t="s">
        <v>23497</v>
      </c>
      <c r="O6186" t="s">
        <v>26524</v>
      </c>
      <c r="P6186" t="s">
        <v>26564</v>
      </c>
      <c r="Q6186" t="s">
        <v>26570</v>
      </c>
      <c r="R6186" t="s">
        <v>26579</v>
      </c>
      <c r="U6186" t="s">
        <v>26604</v>
      </c>
      <c r="V6186" t="s">
        <v>26610</v>
      </c>
      <c r="W6186" t="s">
        <v>751</v>
      </c>
      <c r="X6186">
        <v>1156</v>
      </c>
      <c r="Y6186" t="s">
        <v>26650</v>
      </c>
      <c r="Z6186" t="s">
        <v>26664</v>
      </c>
      <c r="AA6186" t="s">
        <v>26683</v>
      </c>
      <c r="AB6186" t="s">
        <v>31515</v>
      </c>
      <c r="AD6186" t="s">
        <v>41745</v>
      </c>
      <c r="AE6186">
        <v>27</v>
      </c>
      <c r="AF6186" t="s">
        <v>45541</v>
      </c>
      <c r="AG6186" t="s">
        <v>19330</v>
      </c>
      <c r="AH6186">
        <v>5</v>
      </c>
      <c r="AI6186">
        <v>7</v>
      </c>
      <c r="AJ6186">
        <v>0</v>
      </c>
      <c r="AK6186">
        <v>229.38</v>
      </c>
      <c r="AN6186" t="s">
        <v>45581</v>
      </c>
      <c r="AO6186">
        <v>89480</v>
      </c>
      <c r="AU6186">
        <v>2.6</v>
      </c>
      <c r="AV6186" t="s">
        <v>775</v>
      </c>
      <c r="AW6186" t="s">
        <v>334</v>
      </c>
    </row>
    <row r="6187" spans="1:50">
      <c r="A6187" s="1">
        <f>HYPERLINK("https://lsnyc.legalserver.org/matter/dynamic-profile/view/1892489","19-1892489")</f>
        <v>0</v>
      </c>
      <c r="B6187" t="s">
        <v>236</v>
      </c>
      <c r="C6187" t="s">
        <v>341</v>
      </c>
      <c r="D6187" t="s">
        <v>751</v>
      </c>
      <c r="E6187" t="s">
        <v>779</v>
      </c>
      <c r="F6187" t="s">
        <v>1776</v>
      </c>
      <c r="G6187" t="s">
        <v>1345</v>
      </c>
      <c r="H6187" t="s">
        <v>14100</v>
      </c>
      <c r="I6187" t="s">
        <v>17332</v>
      </c>
      <c r="J6187" t="s">
        <v>18892</v>
      </c>
      <c r="K6187">
        <v>10452</v>
      </c>
      <c r="L6187" t="s">
        <v>18958</v>
      </c>
      <c r="M6187" t="s">
        <v>18958</v>
      </c>
      <c r="N6187" t="s">
        <v>23498</v>
      </c>
      <c r="O6187" t="s">
        <v>26523</v>
      </c>
      <c r="P6187" t="s">
        <v>26565</v>
      </c>
      <c r="Q6187" t="s">
        <v>26571</v>
      </c>
      <c r="R6187" t="s">
        <v>26578</v>
      </c>
      <c r="S6187" t="s">
        <v>18959</v>
      </c>
      <c r="U6187" t="s">
        <v>26604</v>
      </c>
      <c r="V6187" t="s">
        <v>26612</v>
      </c>
      <c r="W6187" t="s">
        <v>751</v>
      </c>
      <c r="X6187">
        <v>1097</v>
      </c>
      <c r="Y6187" t="s">
        <v>26650</v>
      </c>
      <c r="Z6187" t="s">
        <v>26666</v>
      </c>
      <c r="AA6187" t="s">
        <v>26683</v>
      </c>
      <c r="AB6187" t="s">
        <v>29735</v>
      </c>
      <c r="AD6187" t="s">
        <v>41746</v>
      </c>
      <c r="AE6187">
        <v>36</v>
      </c>
      <c r="AF6187" t="s">
        <v>20460</v>
      </c>
      <c r="AG6187" t="s">
        <v>19330</v>
      </c>
      <c r="AH6187">
        <v>22</v>
      </c>
      <c r="AI6187">
        <v>2</v>
      </c>
      <c r="AJ6187">
        <v>0</v>
      </c>
      <c r="AK6187">
        <v>156.12</v>
      </c>
      <c r="AN6187" t="s">
        <v>45581</v>
      </c>
      <c r="AO6187">
        <v>26400</v>
      </c>
      <c r="AU6187">
        <v>0.5</v>
      </c>
      <c r="AV6187" t="s">
        <v>751</v>
      </c>
      <c r="AW6187" t="s">
        <v>46829</v>
      </c>
    </row>
    <row r="6188" spans="1:50">
      <c r="A6188" s="1">
        <f>HYPERLINK("https://lsnyc.legalserver.org/matter/dynamic-profile/view/1892539","19-1892539")</f>
        <v>0</v>
      </c>
      <c r="B6188" t="s">
        <v>122</v>
      </c>
      <c r="C6188" t="s">
        <v>341</v>
      </c>
      <c r="D6188" t="s">
        <v>751</v>
      </c>
      <c r="E6188" t="s">
        <v>775</v>
      </c>
      <c r="F6188" t="s">
        <v>3602</v>
      </c>
      <c r="G6188" t="s">
        <v>7933</v>
      </c>
      <c r="H6188" t="s">
        <v>14101</v>
      </c>
      <c r="I6188" t="s">
        <v>17624</v>
      </c>
      <c r="J6188" t="s">
        <v>18904</v>
      </c>
      <c r="K6188">
        <v>11421</v>
      </c>
      <c r="L6188" t="s">
        <v>18958</v>
      </c>
      <c r="M6188" t="s">
        <v>18960</v>
      </c>
      <c r="N6188" t="s">
        <v>23499</v>
      </c>
      <c r="O6188" t="s">
        <v>26526</v>
      </c>
      <c r="P6188" t="s">
        <v>26564</v>
      </c>
      <c r="Q6188" t="s">
        <v>26570</v>
      </c>
      <c r="R6188" t="s">
        <v>26584</v>
      </c>
      <c r="U6188" t="s">
        <v>26604</v>
      </c>
      <c r="W6188" t="s">
        <v>751</v>
      </c>
      <c r="X6188">
        <v>2525</v>
      </c>
      <c r="Y6188" t="s">
        <v>26653</v>
      </c>
      <c r="Z6188" t="s">
        <v>26664</v>
      </c>
      <c r="AA6188" t="s">
        <v>26683</v>
      </c>
      <c r="AB6188" t="s">
        <v>31516</v>
      </c>
      <c r="AD6188" t="s">
        <v>41747</v>
      </c>
      <c r="AE6188">
        <v>2</v>
      </c>
      <c r="AF6188" t="s">
        <v>45547</v>
      </c>
      <c r="AG6188" t="s">
        <v>19330</v>
      </c>
      <c r="AH6188">
        <v>2</v>
      </c>
      <c r="AI6188">
        <v>2</v>
      </c>
      <c r="AJ6188">
        <v>4</v>
      </c>
      <c r="AK6188">
        <v>85.86</v>
      </c>
      <c r="AN6188" t="s">
        <v>7439</v>
      </c>
      <c r="AO6188">
        <v>29700</v>
      </c>
      <c r="AU6188">
        <v>2.5</v>
      </c>
      <c r="AV6188" t="s">
        <v>741</v>
      </c>
      <c r="AW6188" t="s">
        <v>122</v>
      </c>
    </row>
    <row r="6189" spans="1:50">
      <c r="A6189" s="1">
        <f>HYPERLINK("https://lsnyc.legalserver.org/matter/dynamic-profile/view/1892541","19-1892541")</f>
        <v>0</v>
      </c>
      <c r="B6189" t="s">
        <v>61</v>
      </c>
      <c r="C6189" t="s">
        <v>340</v>
      </c>
      <c r="D6189" t="s">
        <v>751</v>
      </c>
      <c r="F6189" t="s">
        <v>1592</v>
      </c>
      <c r="G6189" t="s">
        <v>7388</v>
      </c>
      <c r="H6189" t="s">
        <v>11324</v>
      </c>
      <c r="I6189">
        <v>33</v>
      </c>
      <c r="J6189" t="s">
        <v>18893</v>
      </c>
      <c r="K6189">
        <v>10034</v>
      </c>
      <c r="L6189" t="s">
        <v>18958</v>
      </c>
      <c r="M6189" t="s">
        <v>18958</v>
      </c>
      <c r="O6189" t="s">
        <v>26529</v>
      </c>
      <c r="P6189" t="s">
        <v>26565</v>
      </c>
      <c r="R6189" t="s">
        <v>26578</v>
      </c>
      <c r="S6189" t="s">
        <v>18959</v>
      </c>
      <c r="U6189" t="s">
        <v>26604</v>
      </c>
      <c r="W6189" t="s">
        <v>751</v>
      </c>
      <c r="X6189">
        <v>839</v>
      </c>
      <c r="Y6189" t="s">
        <v>26651</v>
      </c>
      <c r="Z6189" t="s">
        <v>26659</v>
      </c>
      <c r="AB6189" t="s">
        <v>30533</v>
      </c>
      <c r="AD6189" t="s">
        <v>40719</v>
      </c>
      <c r="AE6189">
        <v>25</v>
      </c>
      <c r="AF6189" t="s">
        <v>45541</v>
      </c>
      <c r="AG6189" t="s">
        <v>19330</v>
      </c>
      <c r="AH6189">
        <v>20</v>
      </c>
      <c r="AI6189">
        <v>2</v>
      </c>
      <c r="AJ6189">
        <v>0</v>
      </c>
      <c r="AK6189">
        <v>153.76</v>
      </c>
      <c r="AN6189" t="s">
        <v>7439</v>
      </c>
      <c r="AO6189">
        <v>26000</v>
      </c>
      <c r="AU6189">
        <v>16.2</v>
      </c>
      <c r="AV6189" t="s">
        <v>843</v>
      </c>
      <c r="AW6189" t="s">
        <v>46840</v>
      </c>
      <c r="AX6189" t="s">
        <v>46897</v>
      </c>
    </row>
    <row r="6190" spans="1:50">
      <c r="A6190" s="1">
        <f>HYPERLINK("https://lsnyc.legalserver.org/matter/dynamic-profile/view/1892507","19-1892507")</f>
        <v>0</v>
      </c>
      <c r="B6190" t="s">
        <v>276</v>
      </c>
      <c r="C6190" t="s">
        <v>340</v>
      </c>
      <c r="D6190" t="s">
        <v>751</v>
      </c>
      <c r="F6190" t="s">
        <v>2094</v>
      </c>
      <c r="G6190" t="s">
        <v>4777</v>
      </c>
      <c r="H6190" t="s">
        <v>14102</v>
      </c>
      <c r="I6190" t="s">
        <v>17344</v>
      </c>
      <c r="J6190" t="s">
        <v>18894</v>
      </c>
      <c r="K6190">
        <v>11238</v>
      </c>
      <c r="L6190" t="s">
        <v>18958</v>
      </c>
      <c r="M6190" t="s">
        <v>18958</v>
      </c>
      <c r="N6190" t="s">
        <v>23500</v>
      </c>
      <c r="O6190" t="s">
        <v>26523</v>
      </c>
      <c r="P6190" t="s">
        <v>26560</v>
      </c>
      <c r="R6190" t="s">
        <v>26578</v>
      </c>
      <c r="S6190" t="s">
        <v>18959</v>
      </c>
      <c r="U6190" t="s">
        <v>26604</v>
      </c>
      <c r="W6190" t="s">
        <v>751</v>
      </c>
      <c r="X6190">
        <v>230.29</v>
      </c>
      <c r="Y6190" t="s">
        <v>26652</v>
      </c>
      <c r="AB6190" t="s">
        <v>31517</v>
      </c>
      <c r="AD6190" t="s">
        <v>41748</v>
      </c>
      <c r="AE6190">
        <v>0</v>
      </c>
      <c r="AF6190" t="s">
        <v>45548</v>
      </c>
      <c r="AH6190">
        <v>63</v>
      </c>
      <c r="AI6190">
        <v>1</v>
      </c>
      <c r="AJ6190">
        <v>0</v>
      </c>
      <c r="AK6190">
        <v>73.11</v>
      </c>
      <c r="AN6190" t="s">
        <v>7439</v>
      </c>
      <c r="AO6190">
        <v>9132</v>
      </c>
      <c r="AU6190">
        <v>19.7</v>
      </c>
      <c r="AV6190" t="s">
        <v>831</v>
      </c>
      <c r="AW6190" t="s">
        <v>219</v>
      </c>
    </row>
    <row r="6191" spans="1:50">
      <c r="A6191" s="1">
        <f>HYPERLINK("https://lsnyc.legalserver.org/matter/dynamic-profile/view/1892601","19-1892601")</f>
        <v>0</v>
      </c>
      <c r="B6191" t="s">
        <v>57</v>
      </c>
      <c r="C6191" t="s">
        <v>340</v>
      </c>
      <c r="D6191" t="s">
        <v>751</v>
      </c>
      <c r="F6191" t="s">
        <v>1136</v>
      </c>
      <c r="G6191" t="s">
        <v>7934</v>
      </c>
      <c r="H6191" t="s">
        <v>11961</v>
      </c>
      <c r="I6191" t="s">
        <v>17273</v>
      </c>
      <c r="J6191" t="s">
        <v>18892</v>
      </c>
      <c r="K6191">
        <v>10467</v>
      </c>
      <c r="L6191" t="s">
        <v>18958</v>
      </c>
      <c r="M6191" t="s">
        <v>18958</v>
      </c>
      <c r="N6191" t="s">
        <v>23501</v>
      </c>
      <c r="O6191" t="s">
        <v>26523</v>
      </c>
      <c r="P6191" t="s">
        <v>26560</v>
      </c>
      <c r="R6191" t="s">
        <v>26579</v>
      </c>
      <c r="U6191" t="s">
        <v>26604</v>
      </c>
      <c r="V6191" t="s">
        <v>26610</v>
      </c>
      <c r="W6191" t="s">
        <v>751</v>
      </c>
      <c r="X6191">
        <v>1695.94</v>
      </c>
      <c r="Y6191" t="s">
        <v>26650</v>
      </c>
      <c r="Z6191" t="s">
        <v>26664</v>
      </c>
      <c r="AB6191" t="s">
        <v>31518</v>
      </c>
      <c r="AD6191" t="s">
        <v>41749</v>
      </c>
      <c r="AE6191">
        <v>0</v>
      </c>
      <c r="AG6191" t="s">
        <v>19330</v>
      </c>
      <c r="AH6191">
        <v>3</v>
      </c>
      <c r="AI6191">
        <v>2</v>
      </c>
      <c r="AJ6191">
        <v>1</v>
      </c>
      <c r="AK6191">
        <v>130.95</v>
      </c>
      <c r="AN6191" t="s">
        <v>45581</v>
      </c>
      <c r="AO6191">
        <v>27932</v>
      </c>
      <c r="AU6191">
        <v>16.5</v>
      </c>
      <c r="AV6191" t="s">
        <v>806</v>
      </c>
      <c r="AW6191" t="s">
        <v>334</v>
      </c>
    </row>
    <row r="6192" spans="1:50">
      <c r="A6192" s="1">
        <f>HYPERLINK("https://lsnyc.legalserver.org/matter/dynamic-profile/view/1891637","19-1891637")</f>
        <v>0</v>
      </c>
      <c r="B6192" t="s">
        <v>153</v>
      </c>
      <c r="C6192" t="s">
        <v>340</v>
      </c>
      <c r="D6192" t="s">
        <v>751</v>
      </c>
      <c r="F6192" t="s">
        <v>1972</v>
      </c>
      <c r="G6192" t="s">
        <v>7784</v>
      </c>
      <c r="H6192" t="s">
        <v>13815</v>
      </c>
      <c r="I6192" t="s">
        <v>18282</v>
      </c>
      <c r="J6192" t="s">
        <v>18902</v>
      </c>
      <c r="K6192">
        <v>10304</v>
      </c>
      <c r="L6192" t="s">
        <v>18960</v>
      </c>
      <c r="M6192" t="s">
        <v>18960</v>
      </c>
      <c r="O6192" t="s">
        <v>26523</v>
      </c>
      <c r="P6192" t="s">
        <v>26560</v>
      </c>
      <c r="R6192" t="s">
        <v>26578</v>
      </c>
      <c r="S6192" t="s">
        <v>18959</v>
      </c>
      <c r="U6192" t="s">
        <v>26604</v>
      </c>
      <c r="W6192" t="s">
        <v>751</v>
      </c>
      <c r="X6192">
        <v>0</v>
      </c>
      <c r="Y6192" t="s">
        <v>26654</v>
      </c>
      <c r="AB6192" t="s">
        <v>31264</v>
      </c>
      <c r="AD6192" t="s">
        <v>41449</v>
      </c>
      <c r="AE6192">
        <v>0</v>
      </c>
      <c r="AH6192">
        <v>0</v>
      </c>
      <c r="AI6192">
        <v>1</v>
      </c>
      <c r="AJ6192">
        <v>0</v>
      </c>
      <c r="AK6192">
        <v>207.62</v>
      </c>
      <c r="AM6192" t="s">
        <v>45575</v>
      </c>
      <c r="AN6192" t="s">
        <v>7439</v>
      </c>
      <c r="AO6192">
        <v>25932</v>
      </c>
      <c r="AU6192">
        <v>16.05</v>
      </c>
      <c r="AV6192" t="s">
        <v>836</v>
      </c>
      <c r="AW6192" t="s">
        <v>46852</v>
      </c>
    </row>
    <row r="6193" spans="1:50">
      <c r="A6193" s="1">
        <f>HYPERLINK("https://lsnyc.legalserver.org/matter/dynamic-profile/view/1892514","19-1892514")</f>
        <v>0</v>
      </c>
      <c r="B6193" t="s">
        <v>68</v>
      </c>
      <c r="C6193" t="s">
        <v>340</v>
      </c>
      <c r="D6193" t="s">
        <v>751</v>
      </c>
      <c r="F6193" t="s">
        <v>1527</v>
      </c>
      <c r="G6193" t="s">
        <v>5447</v>
      </c>
      <c r="H6193" t="s">
        <v>14103</v>
      </c>
      <c r="I6193" t="s">
        <v>17316</v>
      </c>
      <c r="J6193" t="s">
        <v>18892</v>
      </c>
      <c r="K6193">
        <v>10462</v>
      </c>
      <c r="L6193" t="s">
        <v>18958</v>
      </c>
      <c r="M6193" t="s">
        <v>18958</v>
      </c>
      <c r="N6193" t="s">
        <v>23502</v>
      </c>
      <c r="O6193" t="s">
        <v>26523</v>
      </c>
      <c r="P6193" t="s">
        <v>26560</v>
      </c>
      <c r="R6193" t="s">
        <v>26579</v>
      </c>
      <c r="S6193" t="s">
        <v>18959</v>
      </c>
      <c r="U6193" t="s">
        <v>26604</v>
      </c>
      <c r="V6193" t="s">
        <v>26610</v>
      </c>
      <c r="W6193" t="s">
        <v>751</v>
      </c>
      <c r="X6193">
        <v>1067</v>
      </c>
      <c r="Y6193" t="s">
        <v>26650</v>
      </c>
      <c r="Z6193" t="s">
        <v>26664</v>
      </c>
      <c r="AB6193" t="s">
        <v>31519</v>
      </c>
      <c r="AD6193" t="s">
        <v>41750</v>
      </c>
      <c r="AE6193">
        <v>81</v>
      </c>
      <c r="AF6193" t="s">
        <v>45541</v>
      </c>
      <c r="AG6193" t="s">
        <v>19330</v>
      </c>
      <c r="AH6193">
        <v>20</v>
      </c>
      <c r="AI6193">
        <v>2</v>
      </c>
      <c r="AJ6193">
        <v>2</v>
      </c>
      <c r="AK6193">
        <v>237.67</v>
      </c>
      <c r="AL6193" t="s">
        <v>672</v>
      </c>
      <c r="AM6193" t="s">
        <v>45575</v>
      </c>
      <c r="AN6193" t="s">
        <v>7439</v>
      </c>
      <c r="AO6193">
        <v>61200</v>
      </c>
      <c r="AU6193">
        <v>4.6</v>
      </c>
      <c r="AV6193" t="s">
        <v>805</v>
      </c>
      <c r="AW6193" t="s">
        <v>334</v>
      </c>
    </row>
    <row r="6194" spans="1:50">
      <c r="A6194" s="1">
        <f>HYPERLINK("https://lsnyc.legalserver.org/matter/dynamic-profile/view/1892573","19-1892573")</f>
        <v>0</v>
      </c>
      <c r="B6194" t="s">
        <v>253</v>
      </c>
      <c r="C6194" t="s">
        <v>340</v>
      </c>
      <c r="D6194" t="s">
        <v>751</v>
      </c>
      <c r="F6194" t="s">
        <v>881</v>
      </c>
      <c r="G6194" t="s">
        <v>5075</v>
      </c>
      <c r="H6194" t="s">
        <v>12753</v>
      </c>
      <c r="I6194" t="s">
        <v>18340</v>
      </c>
      <c r="J6194" t="s">
        <v>18892</v>
      </c>
      <c r="K6194">
        <v>10467</v>
      </c>
      <c r="L6194" t="s">
        <v>18958</v>
      </c>
      <c r="M6194" t="s">
        <v>18958</v>
      </c>
      <c r="N6194" t="s">
        <v>23503</v>
      </c>
      <c r="O6194" t="s">
        <v>26524</v>
      </c>
      <c r="P6194" t="s">
        <v>26560</v>
      </c>
      <c r="R6194" t="s">
        <v>26579</v>
      </c>
      <c r="S6194" t="s">
        <v>18959</v>
      </c>
      <c r="U6194" t="s">
        <v>26604</v>
      </c>
      <c r="V6194" t="s">
        <v>26610</v>
      </c>
      <c r="W6194" t="s">
        <v>751</v>
      </c>
      <c r="X6194">
        <v>0</v>
      </c>
      <c r="Y6194" t="s">
        <v>26650</v>
      </c>
      <c r="AB6194" t="s">
        <v>29075</v>
      </c>
      <c r="AD6194" t="s">
        <v>41751</v>
      </c>
      <c r="AE6194">
        <v>85</v>
      </c>
      <c r="AF6194" t="s">
        <v>45541</v>
      </c>
      <c r="AG6194" t="s">
        <v>19330</v>
      </c>
      <c r="AH6194">
        <v>15</v>
      </c>
      <c r="AI6194">
        <v>1</v>
      </c>
      <c r="AJ6194">
        <v>0</v>
      </c>
      <c r="AK6194">
        <v>70.62</v>
      </c>
      <c r="AN6194" t="s">
        <v>7439</v>
      </c>
      <c r="AO6194">
        <v>8820</v>
      </c>
      <c r="AU6194">
        <v>13.45</v>
      </c>
      <c r="AV6194" t="s">
        <v>833</v>
      </c>
      <c r="AW6194" t="s">
        <v>329</v>
      </c>
    </row>
    <row r="6195" spans="1:50">
      <c r="A6195" s="1">
        <f>HYPERLINK("https://lsnyc.legalserver.org/matter/dynamic-profile/view/1892466","19-1892466")</f>
        <v>0</v>
      </c>
      <c r="B6195" t="s">
        <v>253</v>
      </c>
      <c r="C6195" t="s">
        <v>340</v>
      </c>
      <c r="D6195" t="s">
        <v>751</v>
      </c>
      <c r="F6195" t="s">
        <v>3603</v>
      </c>
      <c r="G6195" t="s">
        <v>2749</v>
      </c>
      <c r="H6195" t="s">
        <v>10962</v>
      </c>
      <c r="I6195" t="s">
        <v>17284</v>
      </c>
      <c r="J6195" t="s">
        <v>18892</v>
      </c>
      <c r="K6195">
        <v>10457</v>
      </c>
      <c r="L6195" t="s">
        <v>18958</v>
      </c>
      <c r="M6195" t="s">
        <v>18958</v>
      </c>
      <c r="N6195" t="s">
        <v>23504</v>
      </c>
      <c r="O6195" t="s">
        <v>26523</v>
      </c>
      <c r="P6195" t="s">
        <v>26560</v>
      </c>
      <c r="R6195" t="s">
        <v>26579</v>
      </c>
      <c r="S6195" t="s">
        <v>18959</v>
      </c>
      <c r="U6195" t="s">
        <v>26604</v>
      </c>
      <c r="V6195" t="s">
        <v>26610</v>
      </c>
      <c r="W6195" t="s">
        <v>751</v>
      </c>
      <c r="X6195">
        <v>985</v>
      </c>
      <c r="Y6195" t="s">
        <v>26650</v>
      </c>
      <c r="AB6195" t="s">
        <v>31520</v>
      </c>
      <c r="AD6195" t="s">
        <v>41752</v>
      </c>
      <c r="AE6195">
        <v>47</v>
      </c>
      <c r="AF6195" t="s">
        <v>45547</v>
      </c>
      <c r="AH6195">
        <v>10</v>
      </c>
      <c r="AI6195">
        <v>1</v>
      </c>
      <c r="AJ6195">
        <v>2</v>
      </c>
      <c r="AK6195">
        <v>94.51000000000001</v>
      </c>
      <c r="AN6195" t="s">
        <v>45581</v>
      </c>
      <c r="AO6195">
        <v>20160</v>
      </c>
      <c r="AQ6195" t="s">
        <v>46362</v>
      </c>
      <c r="AR6195" t="s">
        <v>46385</v>
      </c>
      <c r="AS6195" t="s">
        <v>46499</v>
      </c>
      <c r="AT6195" t="s">
        <v>46729</v>
      </c>
      <c r="AU6195">
        <v>14.8</v>
      </c>
      <c r="AV6195" t="s">
        <v>809</v>
      </c>
      <c r="AW6195" t="s">
        <v>329</v>
      </c>
    </row>
    <row r="6196" spans="1:50">
      <c r="A6196" s="1">
        <f>HYPERLINK("https://lsnyc.legalserver.org/matter/dynamic-profile/view/1892545","19-1892545")</f>
        <v>0</v>
      </c>
      <c r="B6196" t="s">
        <v>65</v>
      </c>
      <c r="C6196" t="s">
        <v>340</v>
      </c>
      <c r="D6196" t="s">
        <v>751</v>
      </c>
      <c r="F6196" t="s">
        <v>1506</v>
      </c>
      <c r="G6196" t="s">
        <v>7935</v>
      </c>
      <c r="H6196" t="s">
        <v>14104</v>
      </c>
      <c r="I6196" t="s">
        <v>17273</v>
      </c>
      <c r="J6196" t="s">
        <v>18892</v>
      </c>
      <c r="K6196">
        <v>10467</v>
      </c>
      <c r="L6196" t="s">
        <v>18958</v>
      </c>
      <c r="M6196" t="s">
        <v>18958</v>
      </c>
      <c r="N6196" t="s">
        <v>23505</v>
      </c>
      <c r="O6196" t="s">
        <v>26523</v>
      </c>
      <c r="P6196" t="s">
        <v>26560</v>
      </c>
      <c r="R6196" t="s">
        <v>26579</v>
      </c>
      <c r="U6196" t="s">
        <v>26604</v>
      </c>
      <c r="V6196" t="s">
        <v>26611</v>
      </c>
      <c r="W6196" t="s">
        <v>751</v>
      </c>
      <c r="X6196">
        <v>1040.4</v>
      </c>
      <c r="Y6196" t="s">
        <v>26650</v>
      </c>
      <c r="Z6196" t="s">
        <v>26664</v>
      </c>
      <c r="AB6196" t="s">
        <v>31521</v>
      </c>
      <c r="AC6196" t="s">
        <v>36103</v>
      </c>
      <c r="AD6196" t="s">
        <v>41753</v>
      </c>
      <c r="AE6196">
        <v>60</v>
      </c>
      <c r="AF6196" t="s">
        <v>45541</v>
      </c>
      <c r="AG6196" t="s">
        <v>45561</v>
      </c>
      <c r="AH6196">
        <v>5</v>
      </c>
      <c r="AI6196">
        <v>1</v>
      </c>
      <c r="AJ6196">
        <v>0</v>
      </c>
      <c r="AK6196">
        <v>97.42</v>
      </c>
      <c r="AN6196" t="s">
        <v>7439</v>
      </c>
      <c r="AO6196">
        <v>12168</v>
      </c>
      <c r="AU6196">
        <v>18.35</v>
      </c>
      <c r="AV6196" t="s">
        <v>831</v>
      </c>
      <c r="AW6196" t="s">
        <v>334</v>
      </c>
    </row>
    <row r="6197" spans="1:50">
      <c r="A6197" s="1">
        <f>HYPERLINK("https://lsnyc.legalserver.org/matter/dynamic-profile/view/1892498","19-1892498")</f>
        <v>0</v>
      </c>
      <c r="B6197" t="s">
        <v>69</v>
      </c>
      <c r="C6197" t="s">
        <v>340</v>
      </c>
      <c r="D6197" t="s">
        <v>751</v>
      </c>
      <c r="F6197" t="s">
        <v>2614</v>
      </c>
      <c r="G6197" t="s">
        <v>7936</v>
      </c>
      <c r="H6197" t="s">
        <v>14105</v>
      </c>
      <c r="I6197" t="s">
        <v>17284</v>
      </c>
      <c r="J6197" t="s">
        <v>18892</v>
      </c>
      <c r="K6197">
        <v>10468</v>
      </c>
      <c r="L6197" t="s">
        <v>18958</v>
      </c>
      <c r="M6197" t="s">
        <v>18958</v>
      </c>
      <c r="N6197" t="s">
        <v>23506</v>
      </c>
      <c r="O6197" t="s">
        <v>26523</v>
      </c>
      <c r="P6197" t="s">
        <v>26560</v>
      </c>
      <c r="R6197" t="s">
        <v>26579</v>
      </c>
      <c r="U6197" t="s">
        <v>26604</v>
      </c>
      <c r="V6197" t="s">
        <v>26610</v>
      </c>
      <c r="W6197" t="s">
        <v>751</v>
      </c>
      <c r="X6197">
        <v>1368</v>
      </c>
      <c r="Y6197" t="s">
        <v>26650</v>
      </c>
      <c r="Z6197" t="s">
        <v>26664</v>
      </c>
      <c r="AB6197" t="s">
        <v>31522</v>
      </c>
      <c r="AD6197" t="s">
        <v>41754</v>
      </c>
      <c r="AE6197">
        <v>0</v>
      </c>
      <c r="AF6197" t="s">
        <v>45541</v>
      </c>
      <c r="AH6197">
        <v>0</v>
      </c>
      <c r="AI6197">
        <v>2</v>
      </c>
      <c r="AJ6197">
        <v>0</v>
      </c>
      <c r="AK6197">
        <v>141.93</v>
      </c>
      <c r="AO6197">
        <v>24000</v>
      </c>
      <c r="AU6197">
        <v>14.05</v>
      </c>
      <c r="AV6197" t="s">
        <v>829</v>
      </c>
      <c r="AW6197" t="s">
        <v>334</v>
      </c>
    </row>
    <row r="6198" spans="1:50">
      <c r="A6198" s="1">
        <f>HYPERLINK("https://lsnyc.legalserver.org/matter/dynamic-profile/view/1893304","19-1893304")</f>
        <v>0</v>
      </c>
      <c r="B6198" t="s">
        <v>134</v>
      </c>
      <c r="C6198" t="s">
        <v>341</v>
      </c>
      <c r="D6198" t="s">
        <v>657</v>
      </c>
      <c r="E6198" t="s">
        <v>830</v>
      </c>
      <c r="F6198" t="s">
        <v>3604</v>
      </c>
      <c r="G6198" t="s">
        <v>994</v>
      </c>
      <c r="H6198" t="s">
        <v>14106</v>
      </c>
      <c r="I6198" t="s">
        <v>17287</v>
      </c>
      <c r="J6198" t="s">
        <v>18894</v>
      </c>
      <c r="K6198">
        <v>11212</v>
      </c>
      <c r="L6198" t="s">
        <v>18958</v>
      </c>
      <c r="M6198" t="s">
        <v>18958</v>
      </c>
      <c r="N6198" t="s">
        <v>19037</v>
      </c>
      <c r="O6198" t="s">
        <v>26534</v>
      </c>
      <c r="P6198" t="s">
        <v>26561</v>
      </c>
      <c r="Q6198" t="s">
        <v>26570</v>
      </c>
      <c r="R6198" t="s">
        <v>26578</v>
      </c>
      <c r="S6198" t="s">
        <v>18958</v>
      </c>
      <c r="U6198" t="s">
        <v>26604</v>
      </c>
      <c r="V6198" t="s">
        <v>26610</v>
      </c>
      <c r="W6198" t="s">
        <v>751</v>
      </c>
      <c r="X6198">
        <v>900</v>
      </c>
      <c r="Y6198" t="s">
        <v>26652</v>
      </c>
      <c r="Z6198" t="s">
        <v>26663</v>
      </c>
      <c r="AA6198" t="s">
        <v>26683</v>
      </c>
      <c r="AB6198" t="s">
        <v>27657</v>
      </c>
      <c r="AE6198">
        <v>38</v>
      </c>
      <c r="AF6198" t="s">
        <v>45541</v>
      </c>
      <c r="AG6198" t="s">
        <v>19330</v>
      </c>
      <c r="AH6198">
        <v>25</v>
      </c>
      <c r="AI6198">
        <v>1</v>
      </c>
      <c r="AJ6198">
        <v>0</v>
      </c>
      <c r="AK6198">
        <v>0</v>
      </c>
      <c r="AN6198" t="s">
        <v>7439</v>
      </c>
      <c r="AO6198">
        <v>0</v>
      </c>
      <c r="AU6198">
        <v>0.1</v>
      </c>
      <c r="AV6198" t="s">
        <v>830</v>
      </c>
      <c r="AW6198" t="s">
        <v>286</v>
      </c>
      <c r="AX6198" t="s">
        <v>19330</v>
      </c>
    </row>
    <row r="6199" spans="1:50">
      <c r="A6199" s="1">
        <f>HYPERLINK("https://lsnyc.legalserver.org/matter/dynamic-profile/view/1893301","19-1893301")</f>
        <v>0</v>
      </c>
      <c r="B6199" t="s">
        <v>134</v>
      </c>
      <c r="C6199" t="s">
        <v>341</v>
      </c>
      <c r="D6199" t="s">
        <v>657</v>
      </c>
      <c r="E6199" t="s">
        <v>830</v>
      </c>
      <c r="F6199" t="s">
        <v>3604</v>
      </c>
      <c r="G6199" t="s">
        <v>994</v>
      </c>
      <c r="H6199" t="s">
        <v>14106</v>
      </c>
      <c r="I6199" t="s">
        <v>17287</v>
      </c>
      <c r="J6199" t="s">
        <v>18894</v>
      </c>
      <c r="K6199">
        <v>11212</v>
      </c>
      <c r="L6199" t="s">
        <v>18958</v>
      </c>
      <c r="M6199" t="s">
        <v>18958</v>
      </c>
      <c r="N6199" t="s">
        <v>19037</v>
      </c>
      <c r="O6199" t="s">
        <v>26526</v>
      </c>
      <c r="P6199" t="s">
        <v>26564</v>
      </c>
      <c r="Q6199" t="s">
        <v>26570</v>
      </c>
      <c r="R6199" t="s">
        <v>26578</v>
      </c>
      <c r="S6199" t="s">
        <v>18958</v>
      </c>
      <c r="U6199" t="s">
        <v>26604</v>
      </c>
      <c r="V6199" t="s">
        <v>26610</v>
      </c>
      <c r="W6199" t="s">
        <v>751</v>
      </c>
      <c r="X6199">
        <v>900</v>
      </c>
      <c r="Y6199" t="s">
        <v>26652</v>
      </c>
      <c r="Z6199" t="s">
        <v>26663</v>
      </c>
      <c r="AA6199" t="s">
        <v>26683</v>
      </c>
      <c r="AB6199" t="s">
        <v>27657</v>
      </c>
      <c r="AE6199">
        <v>38</v>
      </c>
      <c r="AF6199" t="s">
        <v>45541</v>
      </c>
      <c r="AG6199" t="s">
        <v>19330</v>
      </c>
      <c r="AH6199">
        <v>25</v>
      </c>
      <c r="AI6199">
        <v>1</v>
      </c>
      <c r="AJ6199">
        <v>0</v>
      </c>
      <c r="AK6199">
        <v>0</v>
      </c>
      <c r="AN6199" t="s">
        <v>7439</v>
      </c>
      <c r="AO6199">
        <v>0</v>
      </c>
      <c r="AU6199">
        <v>0.1</v>
      </c>
      <c r="AV6199" t="s">
        <v>830</v>
      </c>
      <c r="AW6199" t="s">
        <v>286</v>
      </c>
      <c r="AX6199" t="s">
        <v>46897</v>
      </c>
    </row>
    <row r="6200" spans="1:50">
      <c r="A6200" s="1">
        <f>HYPERLINK("https://lsnyc.legalserver.org/matter/dynamic-profile/view/1893334","19-1893334")</f>
        <v>0</v>
      </c>
      <c r="B6200" t="s">
        <v>134</v>
      </c>
      <c r="C6200" t="s">
        <v>341</v>
      </c>
      <c r="D6200" t="s">
        <v>657</v>
      </c>
      <c r="E6200" t="s">
        <v>830</v>
      </c>
      <c r="F6200" t="s">
        <v>3605</v>
      </c>
      <c r="G6200" t="s">
        <v>1759</v>
      </c>
      <c r="H6200" t="s">
        <v>14106</v>
      </c>
      <c r="I6200" t="s">
        <v>17366</v>
      </c>
      <c r="J6200" t="s">
        <v>18894</v>
      </c>
      <c r="K6200">
        <v>11212</v>
      </c>
      <c r="L6200" t="s">
        <v>18958</v>
      </c>
      <c r="M6200" t="s">
        <v>18958</v>
      </c>
      <c r="N6200" t="s">
        <v>19037</v>
      </c>
      <c r="O6200" t="s">
        <v>26534</v>
      </c>
      <c r="P6200" t="s">
        <v>26564</v>
      </c>
      <c r="Q6200" t="s">
        <v>26570</v>
      </c>
      <c r="R6200" t="s">
        <v>26578</v>
      </c>
      <c r="S6200" t="s">
        <v>18958</v>
      </c>
      <c r="U6200" t="s">
        <v>26604</v>
      </c>
      <c r="V6200" t="s">
        <v>26610</v>
      </c>
      <c r="W6200" t="s">
        <v>751</v>
      </c>
      <c r="X6200">
        <v>1386</v>
      </c>
      <c r="Y6200" t="s">
        <v>26652</v>
      </c>
      <c r="Z6200" t="s">
        <v>26663</v>
      </c>
      <c r="AA6200" t="s">
        <v>26683</v>
      </c>
      <c r="AB6200" t="s">
        <v>29096</v>
      </c>
      <c r="AC6200" t="s">
        <v>19330</v>
      </c>
      <c r="AE6200">
        <v>38</v>
      </c>
      <c r="AF6200" t="s">
        <v>45541</v>
      </c>
      <c r="AG6200" t="s">
        <v>26530</v>
      </c>
      <c r="AH6200">
        <v>4</v>
      </c>
      <c r="AI6200">
        <v>1</v>
      </c>
      <c r="AJ6200">
        <v>0</v>
      </c>
      <c r="AK6200">
        <v>62.45</v>
      </c>
      <c r="AN6200" t="s">
        <v>7439</v>
      </c>
      <c r="AO6200">
        <v>7800</v>
      </c>
      <c r="AU6200">
        <v>0.1</v>
      </c>
      <c r="AV6200" t="s">
        <v>830</v>
      </c>
      <c r="AW6200" t="s">
        <v>286</v>
      </c>
      <c r="AX6200" t="s">
        <v>46897</v>
      </c>
    </row>
    <row r="6201" spans="1:50">
      <c r="A6201" s="1">
        <f>HYPERLINK("https://lsnyc.legalserver.org/matter/dynamic-profile/view/1893325","19-1893325")</f>
        <v>0</v>
      </c>
      <c r="B6201" t="s">
        <v>134</v>
      </c>
      <c r="C6201" t="s">
        <v>340</v>
      </c>
      <c r="D6201" t="s">
        <v>657</v>
      </c>
      <c r="F6201" t="s">
        <v>1607</v>
      </c>
      <c r="G6201" t="s">
        <v>6158</v>
      </c>
      <c r="H6201" t="s">
        <v>14106</v>
      </c>
      <c r="I6201" t="s">
        <v>17351</v>
      </c>
      <c r="J6201" t="s">
        <v>18894</v>
      </c>
      <c r="K6201">
        <v>11212</v>
      </c>
      <c r="L6201" t="s">
        <v>18958</v>
      </c>
      <c r="M6201" t="s">
        <v>18958</v>
      </c>
      <c r="N6201" t="s">
        <v>19037</v>
      </c>
      <c r="O6201" t="s">
        <v>26534</v>
      </c>
      <c r="P6201" t="s">
        <v>26564</v>
      </c>
      <c r="R6201" t="s">
        <v>26578</v>
      </c>
      <c r="S6201" t="s">
        <v>18958</v>
      </c>
      <c r="U6201" t="s">
        <v>26604</v>
      </c>
      <c r="V6201" t="s">
        <v>26610</v>
      </c>
      <c r="W6201" t="s">
        <v>751</v>
      </c>
      <c r="X6201">
        <v>1489</v>
      </c>
      <c r="Y6201" t="s">
        <v>26652</v>
      </c>
      <c r="Z6201" t="s">
        <v>26663</v>
      </c>
      <c r="AB6201" t="s">
        <v>31523</v>
      </c>
      <c r="AC6201" t="s">
        <v>19330</v>
      </c>
      <c r="AD6201" t="s">
        <v>41755</v>
      </c>
      <c r="AE6201">
        <v>38</v>
      </c>
      <c r="AF6201" t="s">
        <v>45541</v>
      </c>
      <c r="AG6201" t="s">
        <v>19330</v>
      </c>
      <c r="AH6201">
        <v>6</v>
      </c>
      <c r="AI6201">
        <v>2</v>
      </c>
      <c r="AJ6201">
        <v>0</v>
      </c>
      <c r="AK6201">
        <v>351.79</v>
      </c>
      <c r="AN6201" t="s">
        <v>7439</v>
      </c>
      <c r="AO6201">
        <v>59488</v>
      </c>
      <c r="AP6201" t="s">
        <v>46008</v>
      </c>
      <c r="AU6201">
        <v>0.1</v>
      </c>
      <c r="AV6201" t="s">
        <v>830</v>
      </c>
      <c r="AW6201" t="s">
        <v>286</v>
      </c>
      <c r="AX6201" t="s">
        <v>46897</v>
      </c>
    </row>
    <row r="6202" spans="1:50">
      <c r="A6202" s="1">
        <f>HYPERLINK("https://lsnyc.legalserver.org/matter/dynamic-profile/view/1893317","19-1893317")</f>
        <v>0</v>
      </c>
      <c r="B6202" t="s">
        <v>134</v>
      </c>
      <c r="C6202" t="s">
        <v>340</v>
      </c>
      <c r="D6202" t="s">
        <v>657</v>
      </c>
      <c r="F6202" t="s">
        <v>1607</v>
      </c>
      <c r="G6202" t="s">
        <v>6158</v>
      </c>
      <c r="H6202" t="s">
        <v>14106</v>
      </c>
      <c r="I6202" t="s">
        <v>17351</v>
      </c>
      <c r="J6202" t="s">
        <v>18894</v>
      </c>
      <c r="K6202">
        <v>11212</v>
      </c>
      <c r="L6202" t="s">
        <v>18958</v>
      </c>
      <c r="M6202" t="s">
        <v>18958</v>
      </c>
      <c r="N6202" t="s">
        <v>19037</v>
      </c>
      <c r="O6202" t="s">
        <v>26526</v>
      </c>
      <c r="P6202" t="s">
        <v>26564</v>
      </c>
      <c r="R6202" t="s">
        <v>26578</v>
      </c>
      <c r="S6202" t="s">
        <v>18958</v>
      </c>
      <c r="U6202" t="s">
        <v>26604</v>
      </c>
      <c r="V6202" t="s">
        <v>26610</v>
      </c>
      <c r="W6202" t="s">
        <v>751</v>
      </c>
      <c r="X6202">
        <v>1489</v>
      </c>
      <c r="Y6202" t="s">
        <v>26652</v>
      </c>
      <c r="Z6202" t="s">
        <v>26663</v>
      </c>
      <c r="AB6202" t="s">
        <v>31523</v>
      </c>
      <c r="AD6202" t="s">
        <v>41755</v>
      </c>
      <c r="AE6202">
        <v>38</v>
      </c>
      <c r="AF6202" t="s">
        <v>45541</v>
      </c>
      <c r="AG6202" t="s">
        <v>19330</v>
      </c>
      <c r="AH6202">
        <v>6</v>
      </c>
      <c r="AI6202">
        <v>2</v>
      </c>
      <c r="AJ6202">
        <v>0</v>
      </c>
      <c r="AK6202">
        <v>351.79</v>
      </c>
      <c r="AN6202" t="s">
        <v>7439</v>
      </c>
      <c r="AO6202">
        <v>59488</v>
      </c>
      <c r="AU6202">
        <v>0.1</v>
      </c>
      <c r="AV6202" t="s">
        <v>830</v>
      </c>
      <c r="AW6202" t="s">
        <v>286</v>
      </c>
    </row>
    <row r="6203" spans="1:50">
      <c r="A6203" s="1">
        <f>HYPERLINK("https://lsnyc.legalserver.org/matter/dynamic-profile/view/1893328","19-1893328")</f>
        <v>0</v>
      </c>
      <c r="B6203" t="s">
        <v>134</v>
      </c>
      <c r="C6203" t="s">
        <v>340</v>
      </c>
      <c r="D6203" t="s">
        <v>657</v>
      </c>
      <c r="F6203" t="s">
        <v>1607</v>
      </c>
      <c r="G6203" t="s">
        <v>6158</v>
      </c>
      <c r="H6203" t="s">
        <v>14106</v>
      </c>
      <c r="I6203" t="s">
        <v>17351</v>
      </c>
      <c r="J6203" t="s">
        <v>18894</v>
      </c>
      <c r="K6203">
        <v>11212</v>
      </c>
      <c r="L6203" t="s">
        <v>18958</v>
      </c>
      <c r="M6203" t="s">
        <v>18958</v>
      </c>
      <c r="N6203" t="s">
        <v>19330</v>
      </c>
      <c r="O6203" t="s">
        <v>18997</v>
      </c>
      <c r="P6203" t="s">
        <v>26565</v>
      </c>
      <c r="R6203" t="s">
        <v>26578</v>
      </c>
      <c r="S6203" t="s">
        <v>18958</v>
      </c>
      <c r="U6203" t="s">
        <v>26604</v>
      </c>
      <c r="V6203" t="s">
        <v>26610</v>
      </c>
      <c r="W6203" t="s">
        <v>751</v>
      </c>
      <c r="X6203">
        <v>1489</v>
      </c>
      <c r="Y6203" t="s">
        <v>26652</v>
      </c>
      <c r="Z6203" t="s">
        <v>26663</v>
      </c>
      <c r="AB6203" t="s">
        <v>31523</v>
      </c>
      <c r="AC6203" t="s">
        <v>19330</v>
      </c>
      <c r="AD6203" t="s">
        <v>41755</v>
      </c>
      <c r="AE6203">
        <v>38</v>
      </c>
      <c r="AF6203" t="s">
        <v>45541</v>
      </c>
      <c r="AG6203" t="s">
        <v>19330</v>
      </c>
      <c r="AH6203">
        <v>6</v>
      </c>
      <c r="AI6203">
        <v>2</v>
      </c>
      <c r="AJ6203">
        <v>0</v>
      </c>
      <c r="AK6203">
        <v>351.79</v>
      </c>
      <c r="AN6203" t="s">
        <v>7439</v>
      </c>
      <c r="AO6203">
        <v>59488</v>
      </c>
      <c r="AP6203" t="s">
        <v>46008</v>
      </c>
      <c r="AU6203">
        <v>0</v>
      </c>
      <c r="AW6203" t="s">
        <v>286</v>
      </c>
      <c r="AX6203" t="s">
        <v>46897</v>
      </c>
    </row>
    <row r="6204" spans="1:50">
      <c r="A6204" s="1">
        <f>HYPERLINK("https://lsnyc.legalserver.org/matter/dynamic-profile/view/1874240","18-1874240")</f>
        <v>0</v>
      </c>
      <c r="B6204" t="s">
        <v>199</v>
      </c>
      <c r="C6204" t="s">
        <v>340</v>
      </c>
      <c r="D6204" t="s">
        <v>497</v>
      </c>
      <c r="F6204" t="s">
        <v>2074</v>
      </c>
      <c r="G6204" t="s">
        <v>7937</v>
      </c>
      <c r="H6204" t="s">
        <v>14107</v>
      </c>
      <c r="I6204">
        <v>415</v>
      </c>
      <c r="J6204" t="s">
        <v>18894</v>
      </c>
      <c r="K6204">
        <v>11225</v>
      </c>
      <c r="L6204" t="s">
        <v>18958</v>
      </c>
      <c r="M6204" t="s">
        <v>18958</v>
      </c>
      <c r="O6204" t="s">
        <v>26529</v>
      </c>
      <c r="P6204" t="s">
        <v>26562</v>
      </c>
      <c r="R6204" t="s">
        <v>26578</v>
      </c>
      <c r="S6204" t="s">
        <v>18959</v>
      </c>
      <c r="U6204" t="s">
        <v>26604</v>
      </c>
      <c r="W6204" t="s">
        <v>752</v>
      </c>
      <c r="X6204">
        <v>257.3</v>
      </c>
      <c r="Y6204" t="s">
        <v>26652</v>
      </c>
      <c r="Z6204" t="s">
        <v>26663</v>
      </c>
      <c r="AB6204" t="s">
        <v>31524</v>
      </c>
      <c r="AE6204">
        <v>42</v>
      </c>
      <c r="AF6204" t="s">
        <v>45541</v>
      </c>
      <c r="AG6204" t="s">
        <v>45556</v>
      </c>
      <c r="AH6204">
        <v>28</v>
      </c>
      <c r="AI6204">
        <v>2</v>
      </c>
      <c r="AJ6204">
        <v>0</v>
      </c>
      <c r="AK6204">
        <v>68.17</v>
      </c>
      <c r="AN6204" t="s">
        <v>7439</v>
      </c>
      <c r="AO6204">
        <v>11220</v>
      </c>
      <c r="AU6204">
        <v>1.7</v>
      </c>
      <c r="AV6204" t="s">
        <v>720</v>
      </c>
      <c r="AW6204" t="s">
        <v>237</v>
      </c>
    </row>
    <row r="6205" spans="1:50">
      <c r="A6205" s="1">
        <f>HYPERLINK("https://lsnyc.legalserver.org/matter/dynamic-profile/view/1883811","18-1883811")</f>
        <v>0</v>
      </c>
      <c r="B6205" t="s">
        <v>199</v>
      </c>
      <c r="C6205" t="s">
        <v>340</v>
      </c>
      <c r="D6205" t="s">
        <v>669</v>
      </c>
      <c r="F6205" t="s">
        <v>3606</v>
      </c>
      <c r="G6205" t="s">
        <v>6634</v>
      </c>
      <c r="H6205" t="s">
        <v>14108</v>
      </c>
      <c r="I6205" t="s">
        <v>17520</v>
      </c>
      <c r="J6205" t="s">
        <v>18894</v>
      </c>
      <c r="K6205">
        <v>11226</v>
      </c>
      <c r="L6205" t="s">
        <v>18958</v>
      </c>
      <c r="M6205" t="s">
        <v>18958</v>
      </c>
      <c r="N6205" t="s">
        <v>23507</v>
      </c>
      <c r="O6205" t="s">
        <v>26523</v>
      </c>
      <c r="P6205" t="s">
        <v>26560</v>
      </c>
      <c r="R6205" t="s">
        <v>26578</v>
      </c>
      <c r="S6205" t="s">
        <v>18959</v>
      </c>
      <c r="U6205" t="s">
        <v>26604</v>
      </c>
      <c r="V6205" t="s">
        <v>26610</v>
      </c>
      <c r="W6205" t="s">
        <v>752</v>
      </c>
      <c r="X6205">
        <v>2182.37</v>
      </c>
      <c r="Y6205" t="s">
        <v>26652</v>
      </c>
      <c r="Z6205" t="s">
        <v>26659</v>
      </c>
      <c r="AB6205" t="s">
        <v>30640</v>
      </c>
      <c r="AD6205" t="s">
        <v>41756</v>
      </c>
      <c r="AE6205">
        <v>39</v>
      </c>
      <c r="AF6205" t="s">
        <v>45541</v>
      </c>
      <c r="AH6205">
        <v>20</v>
      </c>
      <c r="AI6205">
        <v>1</v>
      </c>
      <c r="AJ6205">
        <v>0</v>
      </c>
      <c r="AK6205">
        <v>0</v>
      </c>
      <c r="AN6205" t="s">
        <v>7439</v>
      </c>
      <c r="AO6205">
        <v>0</v>
      </c>
      <c r="AQ6205" t="s">
        <v>46362</v>
      </c>
      <c r="AU6205">
        <v>51.8</v>
      </c>
      <c r="AV6205" t="s">
        <v>835</v>
      </c>
      <c r="AW6205" t="s">
        <v>198</v>
      </c>
      <c r="AX6205" t="s">
        <v>46897</v>
      </c>
    </row>
    <row r="6206" spans="1:50">
      <c r="A6206" s="1">
        <f>HYPERLINK("https://lsnyc.legalserver.org/matter/dynamic-profile/view/1884756","18-1884756")</f>
        <v>0</v>
      </c>
      <c r="B6206" t="s">
        <v>199</v>
      </c>
      <c r="C6206" t="s">
        <v>341</v>
      </c>
      <c r="D6206" t="s">
        <v>687</v>
      </c>
      <c r="E6206" t="s">
        <v>806</v>
      </c>
      <c r="F6206" t="s">
        <v>1756</v>
      </c>
      <c r="G6206" t="s">
        <v>6634</v>
      </c>
      <c r="H6206" t="s">
        <v>14109</v>
      </c>
      <c r="I6206" t="s">
        <v>17275</v>
      </c>
      <c r="J6206" t="s">
        <v>18894</v>
      </c>
      <c r="K6206">
        <v>11210</v>
      </c>
      <c r="L6206" t="s">
        <v>18958</v>
      </c>
      <c r="M6206" t="s">
        <v>18958</v>
      </c>
      <c r="N6206" t="s">
        <v>23508</v>
      </c>
      <c r="O6206" t="s">
        <v>26523</v>
      </c>
      <c r="P6206" t="s">
        <v>26560</v>
      </c>
      <c r="Q6206" t="s">
        <v>26568</v>
      </c>
      <c r="R6206" t="s">
        <v>26578</v>
      </c>
      <c r="S6206" t="s">
        <v>18958</v>
      </c>
      <c r="U6206" t="s">
        <v>26604</v>
      </c>
      <c r="V6206" t="s">
        <v>26610</v>
      </c>
      <c r="W6206" t="s">
        <v>752</v>
      </c>
      <c r="X6206">
        <v>993.5</v>
      </c>
      <c r="Y6206" t="s">
        <v>26652</v>
      </c>
      <c r="Z6206" t="s">
        <v>26659</v>
      </c>
      <c r="AA6206" t="s">
        <v>26678</v>
      </c>
      <c r="AB6206" t="s">
        <v>31525</v>
      </c>
      <c r="AC6206" t="s">
        <v>36104</v>
      </c>
      <c r="AD6206" t="s">
        <v>41757</v>
      </c>
      <c r="AE6206">
        <v>42</v>
      </c>
      <c r="AF6206" t="s">
        <v>45541</v>
      </c>
      <c r="AG6206" t="s">
        <v>45561</v>
      </c>
      <c r="AH6206">
        <v>19</v>
      </c>
      <c r="AI6206">
        <v>1</v>
      </c>
      <c r="AJ6206">
        <v>0</v>
      </c>
      <c r="AK6206">
        <v>80.53</v>
      </c>
      <c r="AN6206" t="s">
        <v>7439</v>
      </c>
      <c r="AO6206">
        <v>9776</v>
      </c>
      <c r="AQ6206" t="s">
        <v>46362</v>
      </c>
      <c r="AR6206" t="s">
        <v>46381</v>
      </c>
      <c r="AS6206" t="s">
        <v>46499</v>
      </c>
      <c r="AT6206" t="s">
        <v>46751</v>
      </c>
      <c r="AU6206">
        <v>30.95</v>
      </c>
      <c r="AV6206" t="s">
        <v>806</v>
      </c>
      <c r="AW6206" t="s">
        <v>198</v>
      </c>
      <c r="AX6206" t="s">
        <v>46897</v>
      </c>
    </row>
    <row r="6207" spans="1:50">
      <c r="A6207" s="1">
        <f>HYPERLINK("https://lsnyc.legalserver.org/matter/dynamic-profile/view/1887301","19-1887301")</f>
        <v>0</v>
      </c>
      <c r="B6207" t="s">
        <v>188</v>
      </c>
      <c r="C6207" t="s">
        <v>340</v>
      </c>
      <c r="D6207" t="s">
        <v>704</v>
      </c>
      <c r="F6207" t="s">
        <v>2898</v>
      </c>
      <c r="G6207" t="s">
        <v>7105</v>
      </c>
      <c r="H6207" t="s">
        <v>11980</v>
      </c>
      <c r="I6207" t="s">
        <v>17343</v>
      </c>
      <c r="J6207" t="s">
        <v>18892</v>
      </c>
      <c r="K6207">
        <v>10459</v>
      </c>
      <c r="L6207" t="s">
        <v>18958</v>
      </c>
      <c r="M6207" t="s">
        <v>18958</v>
      </c>
      <c r="N6207" t="s">
        <v>23509</v>
      </c>
      <c r="O6207" t="s">
        <v>26526</v>
      </c>
      <c r="P6207" t="s">
        <v>26560</v>
      </c>
      <c r="R6207" t="s">
        <v>26578</v>
      </c>
      <c r="S6207" t="s">
        <v>18958</v>
      </c>
      <c r="U6207" t="s">
        <v>26604</v>
      </c>
      <c r="W6207" t="s">
        <v>752</v>
      </c>
      <c r="X6207">
        <v>1442</v>
      </c>
      <c r="Y6207" t="s">
        <v>26650</v>
      </c>
      <c r="Z6207" t="s">
        <v>26663</v>
      </c>
      <c r="AB6207" t="s">
        <v>30083</v>
      </c>
      <c r="AC6207" t="s">
        <v>35692</v>
      </c>
      <c r="AD6207" t="s">
        <v>40214</v>
      </c>
      <c r="AE6207">
        <v>42</v>
      </c>
      <c r="AF6207" t="s">
        <v>45552</v>
      </c>
      <c r="AG6207" t="s">
        <v>45563</v>
      </c>
      <c r="AH6207">
        <v>23</v>
      </c>
      <c r="AI6207">
        <v>2</v>
      </c>
      <c r="AJ6207">
        <v>2</v>
      </c>
      <c r="AK6207">
        <v>66.93000000000001</v>
      </c>
      <c r="AN6207" t="s">
        <v>7439</v>
      </c>
      <c r="AO6207">
        <v>16800</v>
      </c>
      <c r="AU6207">
        <v>1.4</v>
      </c>
      <c r="AV6207" t="s">
        <v>752</v>
      </c>
      <c r="AW6207" t="s">
        <v>336</v>
      </c>
      <c r="AX6207" t="s">
        <v>46898</v>
      </c>
    </row>
    <row r="6208" spans="1:50">
      <c r="A6208" s="1">
        <f>HYPERLINK("https://lsnyc.legalserver.org/matter/dynamic-profile/view/1890445","19-1890445")</f>
        <v>0</v>
      </c>
      <c r="B6208" t="s">
        <v>56</v>
      </c>
      <c r="C6208" t="s">
        <v>340</v>
      </c>
      <c r="D6208" t="s">
        <v>690</v>
      </c>
      <c r="F6208" t="s">
        <v>3607</v>
      </c>
      <c r="G6208" t="s">
        <v>5097</v>
      </c>
      <c r="H6208" t="s">
        <v>14110</v>
      </c>
      <c r="I6208">
        <v>406</v>
      </c>
      <c r="J6208" t="s">
        <v>18892</v>
      </c>
      <c r="K6208">
        <v>10453</v>
      </c>
      <c r="L6208" t="s">
        <v>18958</v>
      </c>
      <c r="M6208" t="s">
        <v>18958</v>
      </c>
      <c r="N6208" t="s">
        <v>23510</v>
      </c>
      <c r="O6208" t="s">
        <v>26524</v>
      </c>
      <c r="P6208" t="s">
        <v>26564</v>
      </c>
      <c r="R6208" t="s">
        <v>26577</v>
      </c>
      <c r="U6208" t="s">
        <v>26604</v>
      </c>
      <c r="V6208" t="s">
        <v>26610</v>
      </c>
      <c r="W6208" t="s">
        <v>752</v>
      </c>
      <c r="X6208">
        <v>1183</v>
      </c>
      <c r="Y6208" t="s">
        <v>26650</v>
      </c>
      <c r="Z6208" t="s">
        <v>26668</v>
      </c>
      <c r="AB6208" t="s">
        <v>29144</v>
      </c>
      <c r="AD6208" t="s">
        <v>41758</v>
      </c>
      <c r="AE6208">
        <v>0</v>
      </c>
      <c r="AF6208" t="s">
        <v>45541</v>
      </c>
      <c r="AH6208">
        <v>1</v>
      </c>
      <c r="AI6208">
        <v>2</v>
      </c>
      <c r="AJ6208">
        <v>3</v>
      </c>
      <c r="AK6208">
        <v>38.5</v>
      </c>
      <c r="AO6208">
        <v>11616</v>
      </c>
      <c r="AU6208">
        <v>1</v>
      </c>
      <c r="AV6208" t="s">
        <v>731</v>
      </c>
      <c r="AW6208" t="s">
        <v>334</v>
      </c>
      <c r="AX6208" t="s">
        <v>46897</v>
      </c>
    </row>
    <row r="6209" spans="1:50">
      <c r="A6209" s="1">
        <f>HYPERLINK("https://lsnyc.legalserver.org/matter/dynamic-profile/view/1892593","19-1892593")</f>
        <v>0</v>
      </c>
      <c r="B6209" t="s">
        <v>262</v>
      </c>
      <c r="C6209" t="s">
        <v>340</v>
      </c>
      <c r="D6209" t="s">
        <v>737</v>
      </c>
      <c r="F6209" t="s">
        <v>3608</v>
      </c>
      <c r="G6209" t="s">
        <v>5147</v>
      </c>
      <c r="H6209" t="s">
        <v>14111</v>
      </c>
      <c r="I6209" t="s">
        <v>17313</v>
      </c>
      <c r="J6209" t="s">
        <v>18892</v>
      </c>
      <c r="K6209">
        <v>10468</v>
      </c>
      <c r="L6209" t="s">
        <v>18958</v>
      </c>
      <c r="M6209" t="s">
        <v>18958</v>
      </c>
      <c r="N6209" t="s">
        <v>23511</v>
      </c>
      <c r="O6209" t="s">
        <v>26523</v>
      </c>
      <c r="P6209" t="s">
        <v>26560</v>
      </c>
      <c r="R6209" t="s">
        <v>26579</v>
      </c>
      <c r="S6209" t="s">
        <v>18959</v>
      </c>
      <c r="U6209" t="s">
        <v>26604</v>
      </c>
      <c r="V6209" t="s">
        <v>26611</v>
      </c>
      <c r="W6209" t="s">
        <v>752</v>
      </c>
      <c r="X6209">
        <v>954.13</v>
      </c>
      <c r="Y6209" t="s">
        <v>26650</v>
      </c>
      <c r="Z6209" t="s">
        <v>26664</v>
      </c>
      <c r="AB6209" t="s">
        <v>31526</v>
      </c>
      <c r="AC6209" t="s">
        <v>36105</v>
      </c>
      <c r="AD6209" t="s">
        <v>41759</v>
      </c>
      <c r="AE6209">
        <v>57</v>
      </c>
      <c r="AF6209" t="s">
        <v>45541</v>
      </c>
      <c r="AG6209" t="s">
        <v>45557</v>
      </c>
      <c r="AH6209">
        <v>6</v>
      </c>
      <c r="AI6209">
        <v>2</v>
      </c>
      <c r="AJ6209">
        <v>2</v>
      </c>
      <c r="AK6209">
        <v>34.11</v>
      </c>
      <c r="AN6209" t="s">
        <v>7439</v>
      </c>
      <c r="AO6209">
        <v>8784</v>
      </c>
      <c r="AU6209">
        <v>15.7</v>
      </c>
      <c r="AV6209" t="s">
        <v>765</v>
      </c>
      <c r="AW6209" t="s">
        <v>336</v>
      </c>
    </row>
    <row r="6210" spans="1:50">
      <c r="A6210" s="1">
        <f>HYPERLINK("https://lsnyc.legalserver.org/matter/dynamic-profile/view/1891193","19-1891193")</f>
        <v>0</v>
      </c>
      <c r="B6210" t="s">
        <v>126</v>
      </c>
      <c r="C6210" t="s">
        <v>341</v>
      </c>
      <c r="D6210" t="s">
        <v>756</v>
      </c>
      <c r="E6210" t="s">
        <v>830</v>
      </c>
      <c r="F6210" t="s">
        <v>1090</v>
      </c>
      <c r="G6210" t="s">
        <v>5498</v>
      </c>
      <c r="H6210" t="s">
        <v>14112</v>
      </c>
      <c r="I6210" t="s">
        <v>17843</v>
      </c>
      <c r="J6210" t="s">
        <v>18894</v>
      </c>
      <c r="K6210">
        <v>11239</v>
      </c>
      <c r="L6210" t="s">
        <v>18958</v>
      </c>
      <c r="M6210" t="s">
        <v>18959</v>
      </c>
      <c r="N6210" t="s">
        <v>23512</v>
      </c>
      <c r="O6210" t="s">
        <v>26523</v>
      </c>
      <c r="P6210" t="s">
        <v>26560</v>
      </c>
      <c r="Q6210" t="s">
        <v>26568</v>
      </c>
      <c r="R6210" t="s">
        <v>26578</v>
      </c>
      <c r="S6210" t="s">
        <v>18959</v>
      </c>
      <c r="U6210" t="s">
        <v>26604</v>
      </c>
      <c r="V6210" t="s">
        <v>26609</v>
      </c>
      <c r="W6210" t="s">
        <v>752</v>
      </c>
      <c r="X6210">
        <v>1191</v>
      </c>
      <c r="Y6210" t="s">
        <v>26652</v>
      </c>
      <c r="AA6210" t="s">
        <v>26683</v>
      </c>
      <c r="AB6210" t="s">
        <v>31527</v>
      </c>
      <c r="AD6210" t="s">
        <v>41760</v>
      </c>
      <c r="AE6210">
        <v>1168</v>
      </c>
      <c r="AF6210" t="s">
        <v>45541</v>
      </c>
      <c r="AG6210" t="s">
        <v>26530</v>
      </c>
      <c r="AH6210">
        <v>2</v>
      </c>
      <c r="AI6210">
        <v>1</v>
      </c>
      <c r="AJ6210">
        <v>0</v>
      </c>
      <c r="AK6210">
        <v>384.31</v>
      </c>
      <c r="AN6210" t="s">
        <v>7439</v>
      </c>
      <c r="AO6210">
        <v>48000</v>
      </c>
      <c r="AU6210">
        <v>41.15</v>
      </c>
      <c r="AV6210" t="s">
        <v>830</v>
      </c>
      <c r="AW6210" t="s">
        <v>279</v>
      </c>
      <c r="AX6210" t="s">
        <v>46897</v>
      </c>
    </row>
    <row r="6211" spans="1:50">
      <c r="A6211" s="1">
        <f>HYPERLINK("https://lsnyc.legalserver.org/matter/dynamic-profile/view/1891957","19-1891957")</f>
        <v>0</v>
      </c>
      <c r="B6211" t="s">
        <v>112</v>
      </c>
      <c r="C6211" t="s">
        <v>340</v>
      </c>
      <c r="D6211" t="s">
        <v>574</v>
      </c>
      <c r="F6211" t="s">
        <v>3609</v>
      </c>
      <c r="G6211" t="s">
        <v>5271</v>
      </c>
      <c r="H6211" t="s">
        <v>13284</v>
      </c>
      <c r="I6211" t="s">
        <v>18341</v>
      </c>
      <c r="J6211" t="s">
        <v>18901</v>
      </c>
      <c r="K6211">
        <v>11434</v>
      </c>
      <c r="L6211" t="s">
        <v>18958</v>
      </c>
      <c r="M6211" t="s">
        <v>18958</v>
      </c>
      <c r="N6211" t="s">
        <v>23513</v>
      </c>
      <c r="O6211" t="s">
        <v>26523</v>
      </c>
      <c r="P6211" t="s">
        <v>26560</v>
      </c>
      <c r="R6211" t="s">
        <v>26585</v>
      </c>
      <c r="S6211" t="s">
        <v>18959</v>
      </c>
      <c r="U6211" t="s">
        <v>26605</v>
      </c>
      <c r="V6211" t="s">
        <v>26609</v>
      </c>
      <c r="W6211" t="s">
        <v>752</v>
      </c>
      <c r="X6211">
        <v>680</v>
      </c>
      <c r="Y6211" t="s">
        <v>26653</v>
      </c>
      <c r="Z6211" t="s">
        <v>26664</v>
      </c>
      <c r="AB6211" t="s">
        <v>31528</v>
      </c>
      <c r="AD6211" t="s">
        <v>41761</v>
      </c>
      <c r="AE6211">
        <v>360</v>
      </c>
      <c r="AF6211" t="s">
        <v>45543</v>
      </c>
      <c r="AG6211" t="s">
        <v>19330</v>
      </c>
      <c r="AH6211">
        <v>10</v>
      </c>
      <c r="AI6211">
        <v>1</v>
      </c>
      <c r="AJ6211">
        <v>1</v>
      </c>
      <c r="AK6211">
        <v>192.55</v>
      </c>
      <c r="AN6211" t="s">
        <v>7439</v>
      </c>
      <c r="AO6211">
        <v>32560</v>
      </c>
      <c r="AU6211">
        <v>77.09</v>
      </c>
      <c r="AV6211" t="s">
        <v>834</v>
      </c>
      <c r="AW6211" t="s">
        <v>208</v>
      </c>
    </row>
    <row r="6212" spans="1:50">
      <c r="A6212" s="1">
        <f>HYPERLINK("https://lsnyc.legalserver.org/matter/dynamic-profile/view/1892190","19-1892190")</f>
        <v>0</v>
      </c>
      <c r="B6212" t="s">
        <v>238</v>
      </c>
      <c r="C6212" t="s">
        <v>341</v>
      </c>
      <c r="D6212" t="s">
        <v>659</v>
      </c>
      <c r="E6212" t="s">
        <v>752</v>
      </c>
      <c r="F6212" t="s">
        <v>928</v>
      </c>
      <c r="G6212" t="s">
        <v>7938</v>
      </c>
      <c r="H6212" t="s">
        <v>14113</v>
      </c>
      <c r="I6212" t="s">
        <v>17579</v>
      </c>
      <c r="J6212" t="s">
        <v>18894</v>
      </c>
      <c r="K6212">
        <v>11214</v>
      </c>
      <c r="L6212" t="s">
        <v>18958</v>
      </c>
      <c r="M6212" t="s">
        <v>18960</v>
      </c>
      <c r="N6212" t="s">
        <v>23514</v>
      </c>
      <c r="O6212" t="s">
        <v>26524</v>
      </c>
      <c r="Q6212" t="s">
        <v>26570</v>
      </c>
      <c r="R6212" t="s">
        <v>26586</v>
      </c>
      <c r="U6212" t="s">
        <v>26604</v>
      </c>
      <c r="W6212" t="s">
        <v>752</v>
      </c>
      <c r="X6212">
        <v>452</v>
      </c>
      <c r="Y6212" t="s">
        <v>26652</v>
      </c>
      <c r="Z6212" t="s">
        <v>26664</v>
      </c>
      <c r="AA6212" t="s">
        <v>26683</v>
      </c>
      <c r="AB6212" t="s">
        <v>31529</v>
      </c>
      <c r="AE6212">
        <v>0</v>
      </c>
      <c r="AG6212" t="s">
        <v>19330</v>
      </c>
      <c r="AH6212">
        <v>14</v>
      </c>
      <c r="AI6212">
        <v>1</v>
      </c>
      <c r="AJ6212">
        <v>0</v>
      </c>
      <c r="AK6212">
        <v>72.92</v>
      </c>
      <c r="AN6212" t="s">
        <v>7439</v>
      </c>
      <c r="AO6212">
        <v>9108</v>
      </c>
      <c r="AU6212">
        <v>1</v>
      </c>
      <c r="AV6212" t="s">
        <v>757</v>
      </c>
      <c r="AW6212" t="s">
        <v>46853</v>
      </c>
    </row>
    <row r="6213" spans="1:50">
      <c r="A6213" s="1">
        <f>HYPERLINK("https://lsnyc.legalserver.org/matter/dynamic-profile/view/1892196","19-1892196")</f>
        <v>0</v>
      </c>
      <c r="B6213" t="s">
        <v>238</v>
      </c>
      <c r="C6213" t="s">
        <v>341</v>
      </c>
      <c r="D6213" t="s">
        <v>659</v>
      </c>
      <c r="E6213" t="s">
        <v>752</v>
      </c>
      <c r="F6213" t="s">
        <v>2121</v>
      </c>
      <c r="G6213" t="s">
        <v>5103</v>
      </c>
      <c r="H6213" t="s">
        <v>14114</v>
      </c>
      <c r="I6213" t="s">
        <v>17576</v>
      </c>
      <c r="J6213" t="s">
        <v>18894</v>
      </c>
      <c r="K6213">
        <v>11219</v>
      </c>
      <c r="L6213" t="s">
        <v>18958</v>
      </c>
      <c r="M6213" t="s">
        <v>18958</v>
      </c>
      <c r="N6213" t="s">
        <v>23515</v>
      </c>
      <c r="O6213" t="s">
        <v>26524</v>
      </c>
      <c r="P6213" t="s">
        <v>26564</v>
      </c>
      <c r="Q6213" t="s">
        <v>26570</v>
      </c>
      <c r="R6213" t="s">
        <v>26586</v>
      </c>
      <c r="U6213" t="s">
        <v>26604</v>
      </c>
      <c r="W6213" t="s">
        <v>752</v>
      </c>
      <c r="X6213">
        <v>750</v>
      </c>
      <c r="Y6213" t="s">
        <v>26652</v>
      </c>
      <c r="Z6213" t="s">
        <v>26664</v>
      </c>
      <c r="AA6213" t="s">
        <v>26683</v>
      </c>
      <c r="AB6213" t="s">
        <v>30014</v>
      </c>
      <c r="AE6213">
        <v>0</v>
      </c>
      <c r="AH6213">
        <v>27</v>
      </c>
      <c r="AI6213">
        <v>2</v>
      </c>
      <c r="AJ6213">
        <v>1</v>
      </c>
      <c r="AK6213">
        <v>140.65</v>
      </c>
      <c r="AN6213" t="s">
        <v>45581</v>
      </c>
      <c r="AO6213">
        <v>30000</v>
      </c>
      <c r="AU6213">
        <v>1</v>
      </c>
      <c r="AV6213" t="s">
        <v>757</v>
      </c>
      <c r="AW6213" t="s">
        <v>46853</v>
      </c>
    </row>
    <row r="6214" spans="1:50">
      <c r="A6214" s="1">
        <f>HYPERLINK("https://lsnyc.legalserver.org/matter/dynamic-profile/view/1892264","19-1892264")</f>
        <v>0</v>
      </c>
      <c r="B6214" t="s">
        <v>238</v>
      </c>
      <c r="C6214" t="s">
        <v>341</v>
      </c>
      <c r="D6214" t="s">
        <v>659</v>
      </c>
      <c r="E6214" t="s">
        <v>752</v>
      </c>
      <c r="F6214" t="s">
        <v>1081</v>
      </c>
      <c r="G6214" t="s">
        <v>1604</v>
      </c>
      <c r="H6214" t="s">
        <v>14115</v>
      </c>
      <c r="I6214" t="s">
        <v>18342</v>
      </c>
      <c r="J6214" t="s">
        <v>18894</v>
      </c>
      <c r="K6214">
        <v>11209</v>
      </c>
      <c r="L6214" t="s">
        <v>18958</v>
      </c>
      <c r="M6214" t="s">
        <v>18958</v>
      </c>
      <c r="N6214" t="s">
        <v>23516</v>
      </c>
      <c r="O6214" t="s">
        <v>26523</v>
      </c>
      <c r="Q6214" t="s">
        <v>26570</v>
      </c>
      <c r="R6214" t="s">
        <v>26586</v>
      </c>
      <c r="U6214" t="s">
        <v>26604</v>
      </c>
      <c r="W6214" t="s">
        <v>752</v>
      </c>
      <c r="X6214">
        <v>1125</v>
      </c>
      <c r="Y6214" t="s">
        <v>26652</v>
      </c>
      <c r="Z6214" t="s">
        <v>26664</v>
      </c>
      <c r="AA6214" t="s">
        <v>26683</v>
      </c>
      <c r="AB6214" t="s">
        <v>31530</v>
      </c>
      <c r="AD6214" t="s">
        <v>41762</v>
      </c>
      <c r="AE6214">
        <v>120</v>
      </c>
      <c r="AG6214" t="s">
        <v>19330</v>
      </c>
      <c r="AH6214">
        <v>3</v>
      </c>
      <c r="AI6214">
        <v>1</v>
      </c>
      <c r="AJ6214">
        <v>0</v>
      </c>
      <c r="AK6214">
        <v>200.16</v>
      </c>
      <c r="AN6214" t="s">
        <v>7439</v>
      </c>
      <c r="AO6214">
        <v>25000</v>
      </c>
      <c r="AU6214">
        <v>1</v>
      </c>
      <c r="AV6214" t="s">
        <v>757</v>
      </c>
      <c r="AW6214" t="s">
        <v>46853</v>
      </c>
    </row>
    <row r="6215" spans="1:50">
      <c r="A6215" s="1">
        <f>HYPERLINK("https://lsnyc.legalserver.org/matter/dynamic-profile/view/1892644","19-1892644")</f>
        <v>0</v>
      </c>
      <c r="B6215" t="s">
        <v>278</v>
      </c>
      <c r="C6215" t="s">
        <v>341</v>
      </c>
      <c r="D6215" t="s">
        <v>752</v>
      </c>
      <c r="E6215" t="s">
        <v>830</v>
      </c>
      <c r="F6215" t="s">
        <v>3610</v>
      </c>
      <c r="G6215" t="s">
        <v>5367</v>
      </c>
      <c r="H6215" t="s">
        <v>14116</v>
      </c>
      <c r="I6215" t="s">
        <v>17283</v>
      </c>
      <c r="J6215" t="s">
        <v>18902</v>
      </c>
      <c r="K6215">
        <v>10310</v>
      </c>
      <c r="L6215" t="s">
        <v>18958</v>
      </c>
      <c r="M6215" t="s">
        <v>18958</v>
      </c>
      <c r="N6215" t="s">
        <v>23517</v>
      </c>
      <c r="O6215" t="s">
        <v>26523</v>
      </c>
      <c r="P6215" t="s">
        <v>26560</v>
      </c>
      <c r="Q6215" t="s">
        <v>26568</v>
      </c>
      <c r="R6215" t="s">
        <v>26590</v>
      </c>
      <c r="S6215" t="s">
        <v>18959</v>
      </c>
      <c r="U6215" t="s">
        <v>26605</v>
      </c>
      <c r="V6215" t="s">
        <v>26610</v>
      </c>
      <c r="W6215" t="s">
        <v>752</v>
      </c>
      <c r="X6215">
        <v>1259</v>
      </c>
      <c r="Y6215" t="s">
        <v>26654</v>
      </c>
      <c r="Z6215" t="s">
        <v>26668</v>
      </c>
      <c r="AA6215" t="s">
        <v>26680</v>
      </c>
      <c r="AB6215" t="s">
        <v>31531</v>
      </c>
      <c r="AD6215" t="s">
        <v>41763</v>
      </c>
      <c r="AE6215">
        <v>0</v>
      </c>
      <c r="AF6215" t="s">
        <v>45549</v>
      </c>
      <c r="AG6215" t="s">
        <v>45556</v>
      </c>
      <c r="AH6215">
        <v>26</v>
      </c>
      <c r="AI6215">
        <v>1</v>
      </c>
      <c r="AJ6215">
        <v>1</v>
      </c>
      <c r="AK6215">
        <v>23.06</v>
      </c>
      <c r="AN6215" t="s">
        <v>7439</v>
      </c>
      <c r="AO6215">
        <v>3900</v>
      </c>
      <c r="AS6215" t="s">
        <v>46499</v>
      </c>
      <c r="AU6215">
        <v>8.5</v>
      </c>
      <c r="AV6215" t="s">
        <v>830</v>
      </c>
      <c r="AW6215" t="s">
        <v>185</v>
      </c>
    </row>
    <row r="6216" spans="1:50">
      <c r="A6216" s="1">
        <f>HYPERLINK("https://lsnyc.legalserver.org/matter/dynamic-profile/view/1892646","19-1892646")</f>
        <v>0</v>
      </c>
      <c r="B6216" t="s">
        <v>137</v>
      </c>
      <c r="C6216" t="s">
        <v>341</v>
      </c>
      <c r="D6216" t="s">
        <v>752</v>
      </c>
      <c r="E6216" t="s">
        <v>807</v>
      </c>
      <c r="F6216" t="s">
        <v>3611</v>
      </c>
      <c r="G6216" t="s">
        <v>7939</v>
      </c>
      <c r="H6216" t="s">
        <v>14117</v>
      </c>
      <c r="I6216" t="s">
        <v>18343</v>
      </c>
      <c r="J6216" t="s">
        <v>18892</v>
      </c>
      <c r="K6216">
        <v>10472</v>
      </c>
      <c r="L6216" t="s">
        <v>18958</v>
      </c>
      <c r="M6216" t="s">
        <v>18958</v>
      </c>
      <c r="N6216" t="s">
        <v>23518</v>
      </c>
      <c r="O6216" t="s">
        <v>26523</v>
      </c>
      <c r="P6216" t="s">
        <v>26564</v>
      </c>
      <c r="Q6216" t="s">
        <v>26570</v>
      </c>
      <c r="R6216" t="s">
        <v>26577</v>
      </c>
      <c r="U6216" t="s">
        <v>26604</v>
      </c>
      <c r="W6216" t="s">
        <v>752</v>
      </c>
      <c r="X6216">
        <v>1401.26</v>
      </c>
      <c r="Y6216" t="s">
        <v>26650</v>
      </c>
      <c r="AA6216" t="s">
        <v>26683</v>
      </c>
      <c r="AB6216" t="s">
        <v>29042</v>
      </c>
      <c r="AC6216" t="s">
        <v>36106</v>
      </c>
      <c r="AE6216">
        <v>0</v>
      </c>
      <c r="AF6216" t="s">
        <v>45547</v>
      </c>
      <c r="AH6216">
        <v>4</v>
      </c>
      <c r="AI6216">
        <v>1</v>
      </c>
      <c r="AJ6216">
        <v>1</v>
      </c>
      <c r="AK6216">
        <v>74.94</v>
      </c>
      <c r="AN6216" t="s">
        <v>45581</v>
      </c>
      <c r="AO6216">
        <v>12672</v>
      </c>
      <c r="AU6216">
        <v>1.75</v>
      </c>
      <c r="AV6216" t="s">
        <v>755</v>
      </c>
      <c r="AW6216" t="s">
        <v>46836</v>
      </c>
      <c r="AX6216" t="s">
        <v>46897</v>
      </c>
    </row>
    <row r="6217" spans="1:50">
      <c r="A6217" s="1">
        <f>HYPERLINK("https://lsnyc.legalserver.org/matter/dynamic-profile/view/1891487","19-1891487")</f>
        <v>0</v>
      </c>
      <c r="B6217" t="s">
        <v>131</v>
      </c>
      <c r="C6217" t="s">
        <v>341</v>
      </c>
      <c r="D6217" t="s">
        <v>752</v>
      </c>
      <c r="E6217" t="s">
        <v>773</v>
      </c>
      <c r="F6217" t="s">
        <v>1637</v>
      </c>
      <c r="G6217" t="s">
        <v>5199</v>
      </c>
      <c r="H6217" t="s">
        <v>10975</v>
      </c>
      <c r="I6217" t="s">
        <v>17910</v>
      </c>
      <c r="J6217" t="s">
        <v>18902</v>
      </c>
      <c r="K6217">
        <v>10306</v>
      </c>
      <c r="L6217" t="s">
        <v>18958</v>
      </c>
      <c r="M6217" t="s">
        <v>18958</v>
      </c>
      <c r="N6217" t="s">
        <v>23519</v>
      </c>
      <c r="O6217" t="s">
        <v>26523</v>
      </c>
      <c r="P6217" t="s">
        <v>26560</v>
      </c>
      <c r="Q6217" t="s">
        <v>26568</v>
      </c>
      <c r="R6217" t="s">
        <v>26578</v>
      </c>
      <c r="S6217" t="s">
        <v>18959</v>
      </c>
      <c r="U6217" t="s">
        <v>26604</v>
      </c>
      <c r="V6217" t="s">
        <v>26610</v>
      </c>
      <c r="W6217" t="s">
        <v>752</v>
      </c>
      <c r="X6217">
        <v>1499</v>
      </c>
      <c r="Y6217" t="s">
        <v>26654</v>
      </c>
      <c r="AA6217" t="s">
        <v>26678</v>
      </c>
      <c r="AB6217" t="s">
        <v>31532</v>
      </c>
      <c r="AD6217" t="s">
        <v>41764</v>
      </c>
      <c r="AE6217">
        <v>0</v>
      </c>
      <c r="AF6217" t="s">
        <v>45541</v>
      </c>
      <c r="AG6217" t="s">
        <v>19330</v>
      </c>
      <c r="AH6217">
        <v>2</v>
      </c>
      <c r="AI6217">
        <v>1</v>
      </c>
      <c r="AJ6217">
        <v>1</v>
      </c>
      <c r="AK6217">
        <v>21.68</v>
      </c>
      <c r="AN6217" t="s">
        <v>7439</v>
      </c>
      <c r="AO6217">
        <v>3666</v>
      </c>
      <c r="AU6217">
        <v>14.6</v>
      </c>
      <c r="AV6217" t="s">
        <v>773</v>
      </c>
      <c r="AW6217" t="s">
        <v>46852</v>
      </c>
    </row>
    <row r="6218" spans="1:50">
      <c r="A6218" s="1">
        <f>HYPERLINK("https://lsnyc.legalserver.org/matter/dynamic-profile/view/1892691","19-1892691")</f>
        <v>0</v>
      </c>
      <c r="B6218" t="s">
        <v>212</v>
      </c>
      <c r="C6218" t="s">
        <v>341</v>
      </c>
      <c r="D6218" t="s">
        <v>752</v>
      </c>
      <c r="E6218" t="s">
        <v>660</v>
      </c>
      <c r="F6218" t="s">
        <v>1447</v>
      </c>
      <c r="G6218" t="s">
        <v>5785</v>
      </c>
      <c r="H6218" t="s">
        <v>14118</v>
      </c>
      <c r="I6218" t="s">
        <v>17646</v>
      </c>
      <c r="J6218" t="s">
        <v>18899</v>
      </c>
      <c r="K6218">
        <v>11385</v>
      </c>
      <c r="L6218" t="s">
        <v>18958</v>
      </c>
      <c r="M6218" t="s">
        <v>18958</v>
      </c>
      <c r="N6218" t="s">
        <v>23520</v>
      </c>
      <c r="O6218" t="s">
        <v>26523</v>
      </c>
      <c r="P6218" t="s">
        <v>26564</v>
      </c>
      <c r="Q6218" t="s">
        <v>26570</v>
      </c>
      <c r="R6218" t="s">
        <v>26585</v>
      </c>
      <c r="S6218" t="s">
        <v>18959</v>
      </c>
      <c r="U6218" t="s">
        <v>26604</v>
      </c>
      <c r="W6218" t="s">
        <v>752</v>
      </c>
      <c r="X6218">
        <v>1151.31</v>
      </c>
      <c r="Y6218" t="s">
        <v>26653</v>
      </c>
      <c r="Z6218" t="s">
        <v>26664</v>
      </c>
      <c r="AA6218" t="s">
        <v>26683</v>
      </c>
      <c r="AB6218" t="s">
        <v>31533</v>
      </c>
      <c r="AC6218" t="s">
        <v>36107</v>
      </c>
      <c r="AD6218" t="s">
        <v>41765</v>
      </c>
      <c r="AE6218">
        <v>14</v>
      </c>
      <c r="AF6218" t="s">
        <v>45541</v>
      </c>
      <c r="AG6218" t="s">
        <v>19330</v>
      </c>
      <c r="AH6218">
        <v>30</v>
      </c>
      <c r="AI6218">
        <v>2</v>
      </c>
      <c r="AJ6218">
        <v>0</v>
      </c>
      <c r="AK6218">
        <v>59.48</v>
      </c>
      <c r="AN6218" t="s">
        <v>7439</v>
      </c>
      <c r="AO6218">
        <v>10058</v>
      </c>
      <c r="AU6218">
        <v>0.9</v>
      </c>
      <c r="AV6218" t="s">
        <v>752</v>
      </c>
      <c r="AW6218" t="s">
        <v>208</v>
      </c>
    </row>
    <row r="6219" spans="1:50">
      <c r="A6219" s="1">
        <f>HYPERLINK("https://lsnyc.legalserver.org/matter/dynamic-profile/view/1892624","19-1892624")</f>
        <v>0</v>
      </c>
      <c r="B6219" t="s">
        <v>140</v>
      </c>
      <c r="C6219" t="s">
        <v>341</v>
      </c>
      <c r="D6219" t="s">
        <v>752</v>
      </c>
      <c r="E6219" t="s">
        <v>794</v>
      </c>
      <c r="F6219" t="s">
        <v>1197</v>
      </c>
      <c r="G6219" t="s">
        <v>7940</v>
      </c>
      <c r="H6219" t="s">
        <v>12397</v>
      </c>
      <c r="I6219" t="s">
        <v>17312</v>
      </c>
      <c r="J6219" t="s">
        <v>18894</v>
      </c>
      <c r="K6219">
        <v>11221</v>
      </c>
      <c r="L6219" t="s">
        <v>18958</v>
      </c>
      <c r="M6219" t="s">
        <v>18958</v>
      </c>
      <c r="N6219" t="s">
        <v>23521</v>
      </c>
      <c r="O6219" t="s">
        <v>26523</v>
      </c>
      <c r="P6219" t="s">
        <v>26560</v>
      </c>
      <c r="Q6219" t="s">
        <v>26568</v>
      </c>
      <c r="R6219" t="s">
        <v>26588</v>
      </c>
      <c r="S6219" t="s">
        <v>18959</v>
      </c>
      <c r="U6219" t="s">
        <v>26604</v>
      </c>
      <c r="V6219" t="s">
        <v>26609</v>
      </c>
      <c r="W6219" t="s">
        <v>752</v>
      </c>
      <c r="X6219">
        <v>346</v>
      </c>
      <c r="Y6219" t="s">
        <v>26652</v>
      </c>
      <c r="Z6219" t="s">
        <v>26669</v>
      </c>
      <c r="AA6219" t="s">
        <v>26678</v>
      </c>
      <c r="AB6219" t="s">
        <v>31534</v>
      </c>
      <c r="AC6219" t="s">
        <v>36108</v>
      </c>
      <c r="AD6219" t="s">
        <v>41766</v>
      </c>
      <c r="AE6219">
        <v>40</v>
      </c>
      <c r="AF6219" t="s">
        <v>45541</v>
      </c>
      <c r="AG6219" t="s">
        <v>45556</v>
      </c>
      <c r="AH6219">
        <v>18</v>
      </c>
      <c r="AI6219">
        <v>2</v>
      </c>
      <c r="AJ6219">
        <v>0</v>
      </c>
      <c r="AK6219">
        <v>92.25</v>
      </c>
      <c r="AN6219" t="s">
        <v>7439</v>
      </c>
      <c r="AO6219">
        <v>15600</v>
      </c>
      <c r="AR6219" t="s">
        <v>46379</v>
      </c>
      <c r="AS6219" t="s">
        <v>46499</v>
      </c>
      <c r="AT6219" t="s">
        <v>46643</v>
      </c>
      <c r="AU6219">
        <v>4.7</v>
      </c>
      <c r="AV6219" t="s">
        <v>794</v>
      </c>
      <c r="AW6219" t="s">
        <v>281</v>
      </c>
    </row>
    <row r="6220" spans="1:50">
      <c r="A6220" s="1">
        <f>HYPERLINK("https://lsnyc.legalserver.org/matter/dynamic-profile/view/1892664","19-1892664")</f>
        <v>0</v>
      </c>
      <c r="B6220" t="s">
        <v>71</v>
      </c>
      <c r="C6220" t="s">
        <v>341</v>
      </c>
      <c r="D6220" t="s">
        <v>752</v>
      </c>
      <c r="E6220" t="s">
        <v>777</v>
      </c>
      <c r="F6220" t="s">
        <v>1081</v>
      </c>
      <c r="G6220" t="s">
        <v>1725</v>
      </c>
      <c r="H6220" t="s">
        <v>14119</v>
      </c>
      <c r="I6220" t="s">
        <v>17352</v>
      </c>
      <c r="J6220" t="s">
        <v>18892</v>
      </c>
      <c r="K6220">
        <v>10456</v>
      </c>
      <c r="L6220" t="s">
        <v>18958</v>
      </c>
      <c r="M6220" t="s">
        <v>18958</v>
      </c>
      <c r="N6220" t="s">
        <v>23522</v>
      </c>
      <c r="O6220" t="s">
        <v>26523</v>
      </c>
      <c r="P6220" t="s">
        <v>26564</v>
      </c>
      <c r="Q6220" t="s">
        <v>26570</v>
      </c>
      <c r="R6220" t="s">
        <v>26577</v>
      </c>
      <c r="S6220" t="s">
        <v>18959</v>
      </c>
      <c r="U6220" t="s">
        <v>26604</v>
      </c>
      <c r="W6220" t="s">
        <v>752</v>
      </c>
      <c r="X6220">
        <v>228</v>
      </c>
      <c r="Y6220" t="s">
        <v>26650</v>
      </c>
      <c r="Z6220" t="s">
        <v>26657</v>
      </c>
      <c r="AA6220" t="s">
        <v>26683</v>
      </c>
      <c r="AB6220" t="s">
        <v>31535</v>
      </c>
      <c r="AD6220" t="s">
        <v>41767</v>
      </c>
      <c r="AE6220">
        <v>0</v>
      </c>
      <c r="AF6220" t="s">
        <v>45549</v>
      </c>
      <c r="AH6220">
        <v>5</v>
      </c>
      <c r="AI6220">
        <v>1</v>
      </c>
      <c r="AJ6220">
        <v>0</v>
      </c>
      <c r="AK6220">
        <v>0</v>
      </c>
      <c r="AN6220" t="s">
        <v>7439</v>
      </c>
      <c r="AO6220">
        <v>0</v>
      </c>
      <c r="AU6220">
        <v>2.2</v>
      </c>
      <c r="AV6220" t="s">
        <v>777</v>
      </c>
      <c r="AW6220" t="s">
        <v>46870</v>
      </c>
    </row>
    <row r="6221" spans="1:50">
      <c r="A6221" s="1">
        <f>HYPERLINK("https://lsnyc.legalserver.org/matter/dynamic-profile/view/1892759","19-1892759")</f>
        <v>0</v>
      </c>
      <c r="B6221" t="s">
        <v>71</v>
      </c>
      <c r="C6221" t="s">
        <v>341</v>
      </c>
      <c r="D6221" t="s">
        <v>752</v>
      </c>
      <c r="E6221" t="s">
        <v>777</v>
      </c>
      <c r="F6221" t="s">
        <v>2704</v>
      </c>
      <c r="G6221" t="s">
        <v>1677</v>
      </c>
      <c r="H6221" t="s">
        <v>14120</v>
      </c>
      <c r="I6221" t="s">
        <v>17957</v>
      </c>
      <c r="J6221" t="s">
        <v>18892</v>
      </c>
      <c r="K6221">
        <v>10473</v>
      </c>
      <c r="L6221" t="s">
        <v>18958</v>
      </c>
      <c r="M6221" t="s">
        <v>18958</v>
      </c>
      <c r="N6221" t="s">
        <v>23523</v>
      </c>
      <c r="O6221" t="s">
        <v>26524</v>
      </c>
      <c r="P6221" t="s">
        <v>26564</v>
      </c>
      <c r="Q6221" t="s">
        <v>26570</v>
      </c>
      <c r="R6221" t="s">
        <v>26577</v>
      </c>
      <c r="S6221" t="s">
        <v>18959</v>
      </c>
      <c r="U6221" t="s">
        <v>26604</v>
      </c>
      <c r="W6221" t="s">
        <v>752</v>
      </c>
      <c r="X6221">
        <v>588.14</v>
      </c>
      <c r="Y6221" t="s">
        <v>26650</v>
      </c>
      <c r="Z6221" t="s">
        <v>26664</v>
      </c>
      <c r="AA6221" t="s">
        <v>26683</v>
      </c>
      <c r="AB6221" t="s">
        <v>28464</v>
      </c>
      <c r="AD6221" t="s">
        <v>41768</v>
      </c>
      <c r="AE6221">
        <v>239</v>
      </c>
      <c r="AF6221" t="s">
        <v>45541</v>
      </c>
      <c r="AH6221">
        <v>0</v>
      </c>
      <c r="AI6221">
        <v>1</v>
      </c>
      <c r="AJ6221">
        <v>0</v>
      </c>
      <c r="AK6221">
        <v>166.53</v>
      </c>
      <c r="AN6221" t="s">
        <v>7439</v>
      </c>
      <c r="AO6221">
        <v>20800</v>
      </c>
      <c r="AP6221" t="s">
        <v>46009</v>
      </c>
      <c r="AU6221">
        <v>1.8</v>
      </c>
      <c r="AV6221" t="s">
        <v>777</v>
      </c>
      <c r="AW6221" t="s">
        <v>46870</v>
      </c>
    </row>
    <row r="6222" spans="1:50">
      <c r="A6222" s="1">
        <f>HYPERLINK("https://lsnyc.legalserver.org/matter/dynamic-profile/view/1892728","19-1892728")</f>
        <v>0</v>
      </c>
      <c r="B6222" t="s">
        <v>141</v>
      </c>
      <c r="C6222" t="s">
        <v>341</v>
      </c>
      <c r="D6222" t="s">
        <v>752</v>
      </c>
      <c r="E6222" t="s">
        <v>754</v>
      </c>
      <c r="F6222" t="s">
        <v>3612</v>
      </c>
      <c r="G6222" t="s">
        <v>7941</v>
      </c>
      <c r="H6222" t="s">
        <v>12652</v>
      </c>
      <c r="I6222" t="s">
        <v>18279</v>
      </c>
      <c r="J6222" t="s">
        <v>18901</v>
      </c>
      <c r="K6222">
        <v>11432</v>
      </c>
      <c r="L6222" t="s">
        <v>18958</v>
      </c>
      <c r="M6222" t="s">
        <v>18958</v>
      </c>
      <c r="O6222" t="s">
        <v>18997</v>
      </c>
      <c r="P6222" t="s">
        <v>26564</v>
      </c>
      <c r="Q6222" t="s">
        <v>26570</v>
      </c>
      <c r="R6222" t="s">
        <v>26589</v>
      </c>
      <c r="S6222" t="s">
        <v>18959</v>
      </c>
      <c r="U6222" t="s">
        <v>26607</v>
      </c>
      <c r="V6222" t="s">
        <v>26610</v>
      </c>
      <c r="W6222" t="s">
        <v>752</v>
      </c>
      <c r="X6222">
        <v>0</v>
      </c>
      <c r="Y6222" t="s">
        <v>26653</v>
      </c>
      <c r="Z6222" t="s">
        <v>26671</v>
      </c>
      <c r="AA6222" t="s">
        <v>26683</v>
      </c>
      <c r="AB6222" t="s">
        <v>31536</v>
      </c>
      <c r="AD6222" t="s">
        <v>41769</v>
      </c>
      <c r="AE6222">
        <v>115</v>
      </c>
      <c r="AF6222" t="s">
        <v>45553</v>
      </c>
      <c r="AG6222" t="s">
        <v>19330</v>
      </c>
      <c r="AH6222">
        <v>2</v>
      </c>
      <c r="AI6222">
        <v>1</v>
      </c>
      <c r="AJ6222">
        <v>0</v>
      </c>
      <c r="AK6222">
        <v>96.08</v>
      </c>
      <c r="AL6222" t="s">
        <v>45567</v>
      </c>
      <c r="AM6222" t="s">
        <v>45577</v>
      </c>
      <c r="AN6222" t="s">
        <v>45592</v>
      </c>
      <c r="AO6222">
        <v>12000</v>
      </c>
      <c r="AU6222">
        <v>1.2</v>
      </c>
      <c r="AV6222" t="s">
        <v>753</v>
      </c>
      <c r="AW6222" t="s">
        <v>141</v>
      </c>
    </row>
    <row r="6223" spans="1:50">
      <c r="A6223" s="1">
        <f>HYPERLINK("https://lsnyc.legalserver.org/matter/dynamic-profile/view/1893368","19-1893368")</f>
        <v>0</v>
      </c>
      <c r="B6223" t="s">
        <v>270</v>
      </c>
      <c r="C6223" t="s">
        <v>341</v>
      </c>
      <c r="D6223" t="s">
        <v>752</v>
      </c>
      <c r="E6223" t="s">
        <v>823</v>
      </c>
      <c r="F6223" t="s">
        <v>2745</v>
      </c>
      <c r="G6223" t="s">
        <v>5026</v>
      </c>
      <c r="H6223" t="s">
        <v>14121</v>
      </c>
      <c r="I6223" t="s">
        <v>17277</v>
      </c>
      <c r="J6223" t="s">
        <v>18892</v>
      </c>
      <c r="K6223">
        <v>10452</v>
      </c>
      <c r="L6223" t="s">
        <v>18958</v>
      </c>
      <c r="M6223" t="s">
        <v>18958</v>
      </c>
      <c r="N6223" t="s">
        <v>23524</v>
      </c>
      <c r="O6223" t="s">
        <v>26523</v>
      </c>
      <c r="P6223" t="s">
        <v>26560</v>
      </c>
      <c r="Q6223" t="s">
        <v>26568</v>
      </c>
      <c r="R6223" t="s">
        <v>26577</v>
      </c>
      <c r="S6223" t="s">
        <v>18959</v>
      </c>
      <c r="U6223" t="s">
        <v>26604</v>
      </c>
      <c r="V6223" t="s">
        <v>26611</v>
      </c>
      <c r="W6223" t="s">
        <v>752</v>
      </c>
      <c r="X6223">
        <v>790</v>
      </c>
      <c r="Y6223" t="s">
        <v>26650</v>
      </c>
      <c r="Z6223" t="s">
        <v>26668</v>
      </c>
      <c r="AA6223" t="s">
        <v>26678</v>
      </c>
      <c r="AB6223" t="s">
        <v>31537</v>
      </c>
      <c r="AD6223" t="s">
        <v>41770</v>
      </c>
      <c r="AE6223">
        <v>76</v>
      </c>
      <c r="AF6223" t="s">
        <v>45541</v>
      </c>
      <c r="AG6223" t="s">
        <v>26530</v>
      </c>
      <c r="AH6223">
        <v>49</v>
      </c>
      <c r="AI6223">
        <v>1</v>
      </c>
      <c r="AJ6223">
        <v>0</v>
      </c>
      <c r="AK6223">
        <v>304.24</v>
      </c>
      <c r="AN6223" t="s">
        <v>7439</v>
      </c>
      <c r="AO6223">
        <v>38000</v>
      </c>
      <c r="AR6223" t="s">
        <v>26530</v>
      </c>
      <c r="AS6223" t="s">
        <v>46499</v>
      </c>
      <c r="AT6223" t="s">
        <v>46745</v>
      </c>
      <c r="AU6223">
        <v>24.1</v>
      </c>
      <c r="AV6223" t="s">
        <v>773</v>
      </c>
      <c r="AW6223" t="s">
        <v>336</v>
      </c>
    </row>
    <row r="6224" spans="1:50">
      <c r="A6224" s="1">
        <f>HYPERLINK("https://lsnyc.legalserver.org/matter/dynamic-profile/view/1892788","19-1892788")</f>
        <v>0</v>
      </c>
      <c r="B6224" t="s">
        <v>122</v>
      </c>
      <c r="C6224" t="s">
        <v>341</v>
      </c>
      <c r="D6224" t="s">
        <v>752</v>
      </c>
      <c r="E6224" t="s">
        <v>754</v>
      </c>
      <c r="F6224" t="s">
        <v>3613</v>
      </c>
      <c r="G6224" t="s">
        <v>7942</v>
      </c>
      <c r="H6224" t="s">
        <v>14122</v>
      </c>
      <c r="I6224" t="s">
        <v>17491</v>
      </c>
      <c r="J6224" t="s">
        <v>18917</v>
      </c>
      <c r="K6224">
        <v>11356</v>
      </c>
      <c r="L6224" t="s">
        <v>18958</v>
      </c>
      <c r="M6224" t="s">
        <v>18959</v>
      </c>
      <c r="P6224" t="s">
        <v>26564</v>
      </c>
      <c r="Q6224" t="s">
        <v>26570</v>
      </c>
      <c r="R6224" t="s">
        <v>26584</v>
      </c>
      <c r="U6224" t="s">
        <v>26604</v>
      </c>
      <c r="W6224" t="s">
        <v>752</v>
      </c>
      <c r="X6224">
        <v>1500</v>
      </c>
      <c r="Y6224" t="s">
        <v>26653</v>
      </c>
      <c r="Z6224" t="s">
        <v>26664</v>
      </c>
      <c r="AA6224" t="s">
        <v>26683</v>
      </c>
      <c r="AB6224" t="s">
        <v>31538</v>
      </c>
      <c r="AC6224" t="s">
        <v>36109</v>
      </c>
      <c r="AD6224" t="s">
        <v>41771</v>
      </c>
      <c r="AE6224">
        <v>2</v>
      </c>
      <c r="AF6224" t="s">
        <v>45547</v>
      </c>
      <c r="AG6224" t="s">
        <v>19330</v>
      </c>
      <c r="AH6224">
        <v>2</v>
      </c>
      <c r="AI6224">
        <v>1</v>
      </c>
      <c r="AJ6224">
        <v>2</v>
      </c>
      <c r="AK6224">
        <v>140.65</v>
      </c>
      <c r="AO6224">
        <v>30000</v>
      </c>
      <c r="AU6224">
        <v>1.3</v>
      </c>
      <c r="AV6224" t="s">
        <v>754</v>
      </c>
      <c r="AW6224" t="s">
        <v>122</v>
      </c>
    </row>
    <row r="6225" spans="1:50">
      <c r="A6225" s="1">
        <f>HYPERLINK("https://lsnyc.legalserver.org/matter/dynamic-profile/view/1891767","19-1891767")</f>
        <v>0</v>
      </c>
      <c r="B6225" t="s">
        <v>103</v>
      </c>
      <c r="C6225" t="s">
        <v>341</v>
      </c>
      <c r="D6225" t="s">
        <v>752</v>
      </c>
      <c r="E6225" t="s">
        <v>724</v>
      </c>
      <c r="F6225" t="s">
        <v>1592</v>
      </c>
      <c r="G6225" t="s">
        <v>7943</v>
      </c>
      <c r="H6225" t="s">
        <v>14123</v>
      </c>
      <c r="I6225" t="s">
        <v>17338</v>
      </c>
      <c r="J6225" t="s">
        <v>18902</v>
      </c>
      <c r="K6225">
        <v>10304</v>
      </c>
      <c r="L6225" t="s">
        <v>18958</v>
      </c>
      <c r="M6225" t="s">
        <v>18958</v>
      </c>
      <c r="N6225" t="s">
        <v>23525</v>
      </c>
      <c r="O6225" t="s">
        <v>26523</v>
      </c>
      <c r="P6225" t="s">
        <v>26560</v>
      </c>
      <c r="Q6225" t="s">
        <v>26568</v>
      </c>
      <c r="R6225" t="s">
        <v>26587</v>
      </c>
      <c r="S6225" t="s">
        <v>18959</v>
      </c>
      <c r="U6225" t="s">
        <v>26605</v>
      </c>
      <c r="V6225" t="s">
        <v>26610</v>
      </c>
      <c r="W6225" t="s">
        <v>752</v>
      </c>
      <c r="X6225">
        <v>709</v>
      </c>
      <c r="Y6225" t="s">
        <v>26654</v>
      </c>
      <c r="Z6225" t="s">
        <v>26668</v>
      </c>
      <c r="AA6225" t="s">
        <v>26680</v>
      </c>
      <c r="AB6225" t="s">
        <v>31539</v>
      </c>
      <c r="AD6225" t="s">
        <v>41772</v>
      </c>
      <c r="AE6225">
        <v>120</v>
      </c>
      <c r="AF6225" t="s">
        <v>45549</v>
      </c>
      <c r="AH6225">
        <v>10</v>
      </c>
      <c r="AI6225">
        <v>3</v>
      </c>
      <c r="AJ6225">
        <v>0</v>
      </c>
      <c r="AK6225">
        <v>128.68</v>
      </c>
      <c r="AO6225">
        <v>27448</v>
      </c>
      <c r="AQ6225" t="s">
        <v>46362</v>
      </c>
      <c r="AR6225" t="s">
        <v>46381</v>
      </c>
      <c r="AS6225" t="s">
        <v>46499</v>
      </c>
      <c r="AT6225" t="s">
        <v>46690</v>
      </c>
      <c r="AU6225">
        <v>5.2</v>
      </c>
      <c r="AV6225" t="s">
        <v>724</v>
      </c>
      <c r="AW6225" t="s">
        <v>46852</v>
      </c>
    </row>
    <row r="6226" spans="1:50">
      <c r="A6226" s="1">
        <f>HYPERLINK("https://lsnyc.legalserver.org/matter/dynamic-profile/view/1892652","19-1892652")</f>
        <v>0</v>
      </c>
      <c r="B6226" t="s">
        <v>104</v>
      </c>
      <c r="C6226" t="s">
        <v>341</v>
      </c>
      <c r="D6226" t="s">
        <v>752</v>
      </c>
      <c r="E6226" t="s">
        <v>830</v>
      </c>
      <c r="F6226" t="s">
        <v>3614</v>
      </c>
      <c r="G6226" t="s">
        <v>5269</v>
      </c>
      <c r="H6226" t="s">
        <v>14124</v>
      </c>
      <c r="I6226" t="s">
        <v>17301</v>
      </c>
      <c r="J6226" t="s">
        <v>18902</v>
      </c>
      <c r="K6226">
        <v>10310</v>
      </c>
      <c r="L6226" t="s">
        <v>18958</v>
      </c>
      <c r="M6226" t="s">
        <v>18958</v>
      </c>
      <c r="N6226" t="s">
        <v>23526</v>
      </c>
      <c r="O6226" t="s">
        <v>26523</v>
      </c>
      <c r="P6226" t="s">
        <v>26560</v>
      </c>
      <c r="Q6226" t="s">
        <v>26568</v>
      </c>
      <c r="R6226" t="s">
        <v>26590</v>
      </c>
      <c r="S6226" t="s">
        <v>18959</v>
      </c>
      <c r="U6226" t="s">
        <v>26605</v>
      </c>
      <c r="V6226" t="s">
        <v>26610</v>
      </c>
      <c r="W6226" t="s">
        <v>752</v>
      </c>
      <c r="X6226">
        <v>277</v>
      </c>
      <c r="Y6226" t="s">
        <v>26654</v>
      </c>
      <c r="Z6226" t="s">
        <v>26668</v>
      </c>
      <c r="AA6226" t="s">
        <v>26680</v>
      </c>
      <c r="AB6226" t="s">
        <v>31540</v>
      </c>
      <c r="AC6226">
        <v>36887554</v>
      </c>
      <c r="AD6226" t="s">
        <v>41773</v>
      </c>
      <c r="AE6226">
        <v>62</v>
      </c>
      <c r="AF6226" t="s">
        <v>45549</v>
      </c>
      <c r="AG6226" t="s">
        <v>19330</v>
      </c>
      <c r="AH6226">
        <v>-1</v>
      </c>
      <c r="AI6226">
        <v>1</v>
      </c>
      <c r="AJ6226">
        <v>1</v>
      </c>
      <c r="AK6226">
        <v>190.66</v>
      </c>
      <c r="AN6226" t="s">
        <v>7439</v>
      </c>
      <c r="AO6226">
        <v>32240.04</v>
      </c>
      <c r="AR6226" t="s">
        <v>46379</v>
      </c>
      <c r="AS6226" t="s">
        <v>46499</v>
      </c>
      <c r="AT6226" t="s">
        <v>46646</v>
      </c>
      <c r="AU6226">
        <v>11.5</v>
      </c>
      <c r="AV6226" t="s">
        <v>807</v>
      </c>
      <c r="AW6226" t="s">
        <v>46883</v>
      </c>
      <c r="AX6226" t="s">
        <v>46897</v>
      </c>
    </row>
    <row r="6227" spans="1:50">
      <c r="A6227" s="1">
        <f>HYPERLINK("https://lsnyc.legalserver.org/matter/dynamic-profile/view/1892704","19-1892704")</f>
        <v>0</v>
      </c>
      <c r="B6227" t="s">
        <v>235</v>
      </c>
      <c r="C6227" t="s">
        <v>341</v>
      </c>
      <c r="D6227" t="s">
        <v>752</v>
      </c>
      <c r="E6227" t="s">
        <v>825</v>
      </c>
      <c r="F6227" t="s">
        <v>3615</v>
      </c>
      <c r="G6227" t="s">
        <v>7944</v>
      </c>
      <c r="H6227" t="s">
        <v>14125</v>
      </c>
      <c r="I6227" t="s">
        <v>17844</v>
      </c>
      <c r="J6227" t="s">
        <v>18901</v>
      </c>
      <c r="K6227">
        <v>11434</v>
      </c>
      <c r="L6227" t="s">
        <v>18958</v>
      </c>
      <c r="M6227" t="s">
        <v>18958</v>
      </c>
      <c r="N6227" t="s">
        <v>23527</v>
      </c>
      <c r="O6227" t="s">
        <v>26524</v>
      </c>
      <c r="P6227" t="s">
        <v>26560</v>
      </c>
      <c r="Q6227" t="s">
        <v>26568</v>
      </c>
      <c r="R6227" t="s">
        <v>26585</v>
      </c>
      <c r="S6227" t="s">
        <v>18959</v>
      </c>
      <c r="U6227" t="s">
        <v>26604</v>
      </c>
      <c r="V6227" t="s">
        <v>26610</v>
      </c>
      <c r="W6227" t="s">
        <v>752</v>
      </c>
      <c r="X6227">
        <v>0</v>
      </c>
      <c r="Y6227" t="s">
        <v>26653</v>
      </c>
      <c r="Z6227" t="s">
        <v>26664</v>
      </c>
      <c r="AA6227" t="s">
        <v>26678</v>
      </c>
      <c r="AB6227" t="s">
        <v>31541</v>
      </c>
      <c r="AD6227" t="s">
        <v>41774</v>
      </c>
      <c r="AE6227">
        <v>2</v>
      </c>
      <c r="AF6227" t="s">
        <v>20460</v>
      </c>
      <c r="AG6227" t="s">
        <v>19330</v>
      </c>
      <c r="AH6227">
        <v>2</v>
      </c>
      <c r="AI6227">
        <v>1</v>
      </c>
      <c r="AJ6227">
        <v>0</v>
      </c>
      <c r="AK6227">
        <v>0</v>
      </c>
      <c r="AN6227" t="s">
        <v>7439</v>
      </c>
      <c r="AO6227">
        <v>0</v>
      </c>
      <c r="AQ6227" t="s">
        <v>46359</v>
      </c>
      <c r="AR6227" t="s">
        <v>46379</v>
      </c>
      <c r="AS6227" t="s">
        <v>46499</v>
      </c>
      <c r="AT6227" t="s">
        <v>46729</v>
      </c>
      <c r="AU6227">
        <v>24</v>
      </c>
      <c r="AV6227" t="s">
        <v>825</v>
      </c>
      <c r="AW6227" t="s">
        <v>208</v>
      </c>
      <c r="AX6227" t="s">
        <v>46897</v>
      </c>
    </row>
    <row r="6228" spans="1:50">
      <c r="A6228" s="1">
        <f>HYPERLINK("https://lsnyc.legalserver.org/matter/dynamic-profile/view/1892656","19-1892656")</f>
        <v>0</v>
      </c>
      <c r="B6228" t="s">
        <v>157</v>
      </c>
      <c r="C6228" t="s">
        <v>341</v>
      </c>
      <c r="D6228" t="s">
        <v>752</v>
      </c>
      <c r="E6228" t="s">
        <v>780</v>
      </c>
      <c r="F6228" t="s">
        <v>1032</v>
      </c>
      <c r="G6228" t="s">
        <v>5953</v>
      </c>
      <c r="H6228" t="s">
        <v>14126</v>
      </c>
      <c r="I6228" t="s">
        <v>17646</v>
      </c>
      <c r="J6228" t="s">
        <v>18893</v>
      </c>
      <c r="K6228">
        <v>10033</v>
      </c>
      <c r="L6228" t="s">
        <v>18958</v>
      </c>
      <c r="M6228" t="s">
        <v>18958</v>
      </c>
      <c r="P6228" t="s">
        <v>26565</v>
      </c>
      <c r="Q6228" t="s">
        <v>26571</v>
      </c>
      <c r="R6228" t="s">
        <v>26578</v>
      </c>
      <c r="S6228" t="s">
        <v>18959</v>
      </c>
      <c r="U6228" t="s">
        <v>26604</v>
      </c>
      <c r="W6228" t="s">
        <v>752</v>
      </c>
      <c r="X6228">
        <v>1428</v>
      </c>
      <c r="Y6228" t="s">
        <v>26651</v>
      </c>
      <c r="Z6228" t="s">
        <v>26661</v>
      </c>
      <c r="AA6228" t="s">
        <v>26681</v>
      </c>
      <c r="AB6228" t="s">
        <v>31542</v>
      </c>
      <c r="AD6228" t="s">
        <v>41775</v>
      </c>
      <c r="AE6228">
        <v>54</v>
      </c>
      <c r="AF6228" t="s">
        <v>45541</v>
      </c>
      <c r="AG6228" t="s">
        <v>19330</v>
      </c>
      <c r="AH6228">
        <v>20</v>
      </c>
      <c r="AI6228">
        <v>1</v>
      </c>
      <c r="AJ6228">
        <v>0</v>
      </c>
      <c r="AK6228">
        <v>216.17</v>
      </c>
      <c r="AN6228" t="s">
        <v>7439</v>
      </c>
      <c r="AO6228">
        <v>27000</v>
      </c>
      <c r="AU6228">
        <v>8.9</v>
      </c>
      <c r="AV6228" t="s">
        <v>803</v>
      </c>
      <c r="AW6228" t="s">
        <v>46840</v>
      </c>
    </row>
    <row r="6229" spans="1:50">
      <c r="A6229" s="1">
        <f>HYPERLINK("https://lsnyc.legalserver.org/matter/dynamic-profile/view/1892648","19-1892648")</f>
        <v>0</v>
      </c>
      <c r="B6229" t="s">
        <v>157</v>
      </c>
      <c r="C6229" t="s">
        <v>341</v>
      </c>
      <c r="D6229" t="s">
        <v>752</v>
      </c>
      <c r="E6229" t="s">
        <v>753</v>
      </c>
      <c r="F6229" t="s">
        <v>982</v>
      </c>
      <c r="G6229" t="s">
        <v>7945</v>
      </c>
      <c r="H6229" t="s">
        <v>14127</v>
      </c>
      <c r="I6229" t="s">
        <v>18344</v>
      </c>
      <c r="J6229" t="s">
        <v>18893</v>
      </c>
      <c r="K6229">
        <v>10040</v>
      </c>
      <c r="L6229" t="s">
        <v>18958</v>
      </c>
      <c r="M6229" t="s">
        <v>18958</v>
      </c>
      <c r="N6229" t="s">
        <v>23528</v>
      </c>
      <c r="O6229" t="s">
        <v>26523</v>
      </c>
      <c r="P6229" t="s">
        <v>26565</v>
      </c>
      <c r="Q6229" t="s">
        <v>26571</v>
      </c>
      <c r="R6229" t="s">
        <v>26578</v>
      </c>
      <c r="S6229" t="s">
        <v>18959</v>
      </c>
      <c r="U6229" t="s">
        <v>26604</v>
      </c>
      <c r="W6229" t="s">
        <v>752</v>
      </c>
      <c r="X6229">
        <v>802.88</v>
      </c>
      <c r="Y6229" t="s">
        <v>26651</v>
      </c>
      <c r="Z6229" t="s">
        <v>26661</v>
      </c>
      <c r="AA6229" t="s">
        <v>26681</v>
      </c>
      <c r="AB6229" t="s">
        <v>31543</v>
      </c>
      <c r="AE6229">
        <v>68</v>
      </c>
      <c r="AF6229" t="s">
        <v>45541</v>
      </c>
      <c r="AG6229" t="s">
        <v>19330</v>
      </c>
      <c r="AH6229">
        <v>30</v>
      </c>
      <c r="AI6229">
        <v>1</v>
      </c>
      <c r="AJ6229">
        <v>0</v>
      </c>
      <c r="AK6229">
        <v>312.25</v>
      </c>
      <c r="AN6229" t="s">
        <v>45581</v>
      </c>
      <c r="AO6229">
        <v>39000</v>
      </c>
      <c r="AU6229">
        <v>1.5</v>
      </c>
      <c r="AV6229" t="s">
        <v>753</v>
      </c>
      <c r="AW6229" t="s">
        <v>46840</v>
      </c>
    </row>
    <row r="6230" spans="1:50">
      <c r="A6230" s="1">
        <f>HYPERLINK("https://lsnyc.legalserver.org/matter/dynamic-profile/view/1892707","19-1892707")</f>
        <v>0</v>
      </c>
      <c r="B6230" t="s">
        <v>105</v>
      </c>
      <c r="C6230" t="s">
        <v>340</v>
      </c>
      <c r="D6230" t="s">
        <v>752</v>
      </c>
      <c r="F6230" t="s">
        <v>1300</v>
      </c>
      <c r="G6230" t="s">
        <v>5788</v>
      </c>
      <c r="H6230" t="s">
        <v>14128</v>
      </c>
      <c r="I6230" t="s">
        <v>17491</v>
      </c>
      <c r="J6230" t="s">
        <v>18901</v>
      </c>
      <c r="K6230">
        <v>11434</v>
      </c>
      <c r="L6230" t="s">
        <v>18958</v>
      </c>
      <c r="M6230" t="s">
        <v>18958</v>
      </c>
      <c r="N6230" t="s">
        <v>23529</v>
      </c>
      <c r="O6230" t="s">
        <v>26524</v>
      </c>
      <c r="P6230" t="s">
        <v>26560</v>
      </c>
      <c r="R6230" t="s">
        <v>26585</v>
      </c>
      <c r="S6230" t="s">
        <v>18959</v>
      </c>
      <c r="U6230" t="s">
        <v>26604</v>
      </c>
      <c r="V6230" t="s">
        <v>26610</v>
      </c>
      <c r="W6230" t="s">
        <v>752</v>
      </c>
      <c r="X6230">
        <v>1800</v>
      </c>
      <c r="Y6230" t="s">
        <v>26653</v>
      </c>
      <c r="Z6230" t="s">
        <v>26664</v>
      </c>
      <c r="AB6230" t="s">
        <v>31544</v>
      </c>
      <c r="AC6230" t="s">
        <v>36110</v>
      </c>
      <c r="AD6230" t="s">
        <v>41776</v>
      </c>
      <c r="AE6230">
        <v>1</v>
      </c>
      <c r="AF6230" t="s">
        <v>45547</v>
      </c>
      <c r="AG6230" t="s">
        <v>19330</v>
      </c>
      <c r="AH6230">
        <v>5</v>
      </c>
      <c r="AI6230">
        <v>3</v>
      </c>
      <c r="AJ6230">
        <v>2</v>
      </c>
      <c r="AK6230">
        <v>195.56</v>
      </c>
      <c r="AN6230" t="s">
        <v>7439</v>
      </c>
      <c r="AO6230">
        <v>59000</v>
      </c>
      <c r="AU6230">
        <v>18.15</v>
      </c>
      <c r="AV6230" t="s">
        <v>839</v>
      </c>
      <c r="AW6230" t="s">
        <v>208</v>
      </c>
      <c r="AX6230" t="s">
        <v>46898</v>
      </c>
    </row>
    <row r="6231" spans="1:50">
      <c r="A6231" s="1">
        <f>HYPERLINK("https://lsnyc.legalserver.org/matter/dynamic-profile/view/1892627","19-1892627")</f>
        <v>0</v>
      </c>
      <c r="B6231" t="s">
        <v>149</v>
      </c>
      <c r="C6231" t="s">
        <v>340</v>
      </c>
      <c r="D6231" t="s">
        <v>752</v>
      </c>
      <c r="F6231" t="s">
        <v>1010</v>
      </c>
      <c r="G6231" t="s">
        <v>7946</v>
      </c>
      <c r="H6231" t="s">
        <v>14129</v>
      </c>
      <c r="I6231" t="s">
        <v>17309</v>
      </c>
      <c r="J6231" t="s">
        <v>18892</v>
      </c>
      <c r="K6231">
        <v>10467</v>
      </c>
      <c r="L6231" t="s">
        <v>18958</v>
      </c>
      <c r="M6231" t="s">
        <v>18958</v>
      </c>
      <c r="N6231" t="s">
        <v>23530</v>
      </c>
      <c r="O6231" t="s">
        <v>26524</v>
      </c>
      <c r="P6231" t="s">
        <v>26560</v>
      </c>
      <c r="R6231" t="s">
        <v>26579</v>
      </c>
      <c r="U6231" t="s">
        <v>26604</v>
      </c>
      <c r="V6231" t="s">
        <v>26610</v>
      </c>
      <c r="W6231" t="s">
        <v>752</v>
      </c>
      <c r="X6231">
        <v>1550</v>
      </c>
      <c r="Y6231" t="s">
        <v>26650</v>
      </c>
      <c r="Z6231" t="s">
        <v>26664</v>
      </c>
      <c r="AB6231" t="s">
        <v>31545</v>
      </c>
      <c r="AD6231" t="s">
        <v>41777</v>
      </c>
      <c r="AE6231">
        <v>4</v>
      </c>
      <c r="AH6231">
        <v>6</v>
      </c>
      <c r="AI6231">
        <v>3</v>
      </c>
      <c r="AJ6231">
        <v>0</v>
      </c>
      <c r="AK6231">
        <v>196.91</v>
      </c>
      <c r="AN6231" t="s">
        <v>7439</v>
      </c>
      <c r="AO6231">
        <v>42000</v>
      </c>
      <c r="AU6231">
        <v>12.7</v>
      </c>
      <c r="AV6231" t="s">
        <v>780</v>
      </c>
      <c r="AW6231" t="s">
        <v>334</v>
      </c>
    </row>
    <row r="6232" spans="1:50">
      <c r="A6232" s="1">
        <f>HYPERLINK("https://lsnyc.legalserver.org/matter/dynamic-profile/view/1892634","19-1892634")</f>
        <v>0</v>
      </c>
      <c r="B6232" t="s">
        <v>57</v>
      </c>
      <c r="C6232" t="s">
        <v>340</v>
      </c>
      <c r="D6232" t="s">
        <v>752</v>
      </c>
      <c r="F6232" t="s">
        <v>1944</v>
      </c>
      <c r="G6232" t="s">
        <v>7947</v>
      </c>
      <c r="H6232" t="s">
        <v>14130</v>
      </c>
      <c r="I6232">
        <v>508</v>
      </c>
      <c r="J6232" t="s">
        <v>18892</v>
      </c>
      <c r="K6232">
        <v>10467</v>
      </c>
      <c r="L6232" t="s">
        <v>18958</v>
      </c>
      <c r="M6232" t="s">
        <v>18958</v>
      </c>
      <c r="N6232" t="s">
        <v>23531</v>
      </c>
      <c r="O6232" t="s">
        <v>26523</v>
      </c>
      <c r="P6232" t="s">
        <v>26560</v>
      </c>
      <c r="R6232" t="s">
        <v>26579</v>
      </c>
      <c r="U6232" t="s">
        <v>26604</v>
      </c>
      <c r="V6232" t="s">
        <v>26610</v>
      </c>
      <c r="W6232" t="s">
        <v>752</v>
      </c>
      <c r="X6232">
        <v>1109</v>
      </c>
      <c r="Y6232" t="s">
        <v>26650</v>
      </c>
      <c r="Z6232" t="s">
        <v>26664</v>
      </c>
      <c r="AB6232" t="s">
        <v>31546</v>
      </c>
      <c r="AC6232" t="s">
        <v>36111</v>
      </c>
      <c r="AD6232" t="s">
        <v>41778</v>
      </c>
      <c r="AE6232">
        <v>0</v>
      </c>
      <c r="AF6232" t="s">
        <v>45549</v>
      </c>
      <c r="AG6232" t="s">
        <v>45556</v>
      </c>
      <c r="AH6232">
        <v>7</v>
      </c>
      <c r="AI6232">
        <v>1</v>
      </c>
      <c r="AJ6232">
        <v>0</v>
      </c>
      <c r="AK6232">
        <v>71.19</v>
      </c>
      <c r="AO6232">
        <v>8892</v>
      </c>
      <c r="AU6232">
        <v>6.1</v>
      </c>
      <c r="AV6232" t="s">
        <v>831</v>
      </c>
      <c r="AW6232" t="s">
        <v>334</v>
      </c>
    </row>
    <row r="6233" spans="1:50">
      <c r="A6233" s="1">
        <f>HYPERLINK("https://lsnyc.legalserver.org/matter/dynamic-profile/view/1892676","19-1892676")</f>
        <v>0</v>
      </c>
      <c r="B6233" t="s">
        <v>108</v>
      </c>
      <c r="C6233" t="s">
        <v>340</v>
      </c>
      <c r="D6233" t="s">
        <v>752</v>
      </c>
      <c r="F6233" t="s">
        <v>1154</v>
      </c>
      <c r="G6233" t="s">
        <v>7948</v>
      </c>
      <c r="H6233" t="s">
        <v>14131</v>
      </c>
      <c r="I6233">
        <v>2</v>
      </c>
      <c r="J6233" t="s">
        <v>18919</v>
      </c>
      <c r="K6233">
        <v>11429</v>
      </c>
      <c r="L6233" t="s">
        <v>18958</v>
      </c>
      <c r="M6233" t="s">
        <v>18958</v>
      </c>
      <c r="N6233" t="s">
        <v>23532</v>
      </c>
      <c r="O6233" t="s">
        <v>26523</v>
      </c>
      <c r="P6233" t="s">
        <v>26563</v>
      </c>
      <c r="R6233" t="s">
        <v>26584</v>
      </c>
      <c r="S6233" t="s">
        <v>18959</v>
      </c>
      <c r="U6233" t="s">
        <v>26604</v>
      </c>
      <c r="W6233" t="s">
        <v>752</v>
      </c>
      <c r="X6233">
        <v>1950</v>
      </c>
      <c r="Y6233" t="s">
        <v>26653</v>
      </c>
      <c r="Z6233" t="s">
        <v>26664</v>
      </c>
      <c r="AB6233" t="s">
        <v>28066</v>
      </c>
      <c r="AC6233" t="s">
        <v>36112</v>
      </c>
      <c r="AD6233" t="s">
        <v>41779</v>
      </c>
      <c r="AE6233">
        <v>3</v>
      </c>
      <c r="AF6233" t="s">
        <v>20460</v>
      </c>
      <c r="AG6233" t="s">
        <v>45562</v>
      </c>
      <c r="AH6233">
        <v>2</v>
      </c>
      <c r="AI6233">
        <v>2</v>
      </c>
      <c r="AJ6233">
        <v>3</v>
      </c>
      <c r="AK6233">
        <v>59.66</v>
      </c>
      <c r="AN6233" t="s">
        <v>7439</v>
      </c>
      <c r="AO6233">
        <v>18000</v>
      </c>
      <c r="AU6233">
        <v>0.8</v>
      </c>
      <c r="AV6233" t="s">
        <v>660</v>
      </c>
      <c r="AW6233" t="s">
        <v>208</v>
      </c>
    </row>
    <row r="6234" spans="1:50">
      <c r="A6234" s="1">
        <f>HYPERLINK("https://lsnyc.legalserver.org/matter/dynamic-profile/view/1892791","19-1892791")</f>
        <v>0</v>
      </c>
      <c r="B6234" t="s">
        <v>108</v>
      </c>
      <c r="C6234" t="s">
        <v>340</v>
      </c>
      <c r="D6234" t="s">
        <v>752</v>
      </c>
      <c r="F6234" t="s">
        <v>996</v>
      </c>
      <c r="G6234" t="s">
        <v>5008</v>
      </c>
      <c r="H6234" t="s">
        <v>14132</v>
      </c>
      <c r="I6234" t="s">
        <v>17491</v>
      </c>
      <c r="J6234" t="s">
        <v>18901</v>
      </c>
      <c r="K6234">
        <v>11433</v>
      </c>
      <c r="L6234" t="s">
        <v>18958</v>
      </c>
      <c r="M6234" t="s">
        <v>18958</v>
      </c>
      <c r="N6234" t="s">
        <v>23533</v>
      </c>
      <c r="O6234" t="s">
        <v>26524</v>
      </c>
      <c r="P6234" t="s">
        <v>26560</v>
      </c>
      <c r="R6234" t="s">
        <v>26585</v>
      </c>
      <c r="S6234" t="s">
        <v>18959</v>
      </c>
      <c r="U6234" t="s">
        <v>26604</v>
      </c>
      <c r="V6234" t="s">
        <v>26610</v>
      </c>
      <c r="W6234" t="s">
        <v>752</v>
      </c>
      <c r="X6234">
        <v>1300</v>
      </c>
      <c r="Y6234" t="s">
        <v>26653</v>
      </c>
      <c r="Z6234" t="s">
        <v>26668</v>
      </c>
      <c r="AB6234" t="s">
        <v>31547</v>
      </c>
      <c r="AD6234" t="s">
        <v>41780</v>
      </c>
      <c r="AE6234">
        <v>0</v>
      </c>
      <c r="AF6234" t="s">
        <v>45547</v>
      </c>
      <c r="AG6234" t="s">
        <v>19330</v>
      </c>
      <c r="AH6234">
        <v>22</v>
      </c>
      <c r="AI6234">
        <v>3</v>
      </c>
      <c r="AJ6234">
        <v>0</v>
      </c>
      <c r="AK6234">
        <v>76.51000000000001</v>
      </c>
      <c r="AN6234" t="s">
        <v>7439</v>
      </c>
      <c r="AO6234">
        <v>16320</v>
      </c>
      <c r="AU6234">
        <v>18.65</v>
      </c>
      <c r="AV6234" t="s">
        <v>827</v>
      </c>
      <c r="AW6234" t="s">
        <v>208</v>
      </c>
      <c r="AX6234" t="s">
        <v>46897</v>
      </c>
    </row>
    <row r="6235" spans="1:50">
      <c r="A6235" s="1">
        <f>HYPERLINK("https://lsnyc.legalserver.org/matter/dynamic-profile/view/1892666","19-1892666")</f>
        <v>0</v>
      </c>
      <c r="B6235" t="s">
        <v>285</v>
      </c>
      <c r="C6235" t="s">
        <v>340</v>
      </c>
      <c r="D6235" t="s">
        <v>752</v>
      </c>
      <c r="F6235" t="s">
        <v>1603</v>
      </c>
      <c r="G6235" t="s">
        <v>4753</v>
      </c>
      <c r="H6235" t="s">
        <v>14123</v>
      </c>
      <c r="I6235" t="s">
        <v>18345</v>
      </c>
      <c r="J6235" t="s">
        <v>18902</v>
      </c>
      <c r="K6235">
        <v>10304</v>
      </c>
      <c r="L6235" t="s">
        <v>18958</v>
      </c>
      <c r="M6235" t="s">
        <v>18958</v>
      </c>
      <c r="N6235" t="s">
        <v>23534</v>
      </c>
      <c r="O6235" t="s">
        <v>26523</v>
      </c>
      <c r="P6235" t="s">
        <v>26560</v>
      </c>
      <c r="R6235" t="s">
        <v>26587</v>
      </c>
      <c r="S6235" t="s">
        <v>18959</v>
      </c>
      <c r="U6235" t="s">
        <v>26605</v>
      </c>
      <c r="V6235" t="s">
        <v>26611</v>
      </c>
      <c r="W6235" t="s">
        <v>752</v>
      </c>
      <c r="X6235">
        <v>211</v>
      </c>
      <c r="Y6235" t="s">
        <v>26654</v>
      </c>
      <c r="Z6235" t="s">
        <v>26668</v>
      </c>
      <c r="AB6235" t="s">
        <v>31548</v>
      </c>
      <c r="AD6235" t="s">
        <v>41781</v>
      </c>
      <c r="AE6235">
        <v>0</v>
      </c>
      <c r="AF6235" t="s">
        <v>45549</v>
      </c>
      <c r="AG6235" t="s">
        <v>45556</v>
      </c>
      <c r="AH6235">
        <v>2</v>
      </c>
      <c r="AI6235">
        <v>1</v>
      </c>
      <c r="AJ6235">
        <v>0</v>
      </c>
      <c r="AK6235">
        <v>73.98</v>
      </c>
      <c r="AN6235" t="s">
        <v>7439</v>
      </c>
      <c r="AO6235">
        <v>9240</v>
      </c>
      <c r="AU6235">
        <v>15.5</v>
      </c>
      <c r="AV6235" t="s">
        <v>838</v>
      </c>
      <c r="AW6235" t="s">
        <v>185</v>
      </c>
    </row>
    <row r="6236" spans="1:50">
      <c r="A6236" s="1">
        <f>HYPERLINK("https://lsnyc.legalserver.org/matter/dynamic-profile/view/1892683","19-1892683")</f>
        <v>0</v>
      </c>
      <c r="B6236" t="s">
        <v>143</v>
      </c>
      <c r="C6236" t="s">
        <v>340</v>
      </c>
      <c r="D6236" t="s">
        <v>752</v>
      </c>
      <c r="F6236" t="s">
        <v>3616</v>
      </c>
      <c r="G6236" t="s">
        <v>1627</v>
      </c>
      <c r="H6236" t="s">
        <v>14133</v>
      </c>
      <c r="I6236" t="s">
        <v>17284</v>
      </c>
      <c r="J6236" t="s">
        <v>18892</v>
      </c>
      <c r="K6236">
        <v>10467</v>
      </c>
      <c r="L6236" t="s">
        <v>18958</v>
      </c>
      <c r="M6236" t="s">
        <v>18958</v>
      </c>
      <c r="N6236" t="s">
        <v>23535</v>
      </c>
      <c r="O6236" t="s">
        <v>26523</v>
      </c>
      <c r="P6236" t="s">
        <v>26560</v>
      </c>
      <c r="R6236" t="s">
        <v>26579</v>
      </c>
      <c r="S6236" t="s">
        <v>18959</v>
      </c>
      <c r="U6236" t="s">
        <v>26604</v>
      </c>
      <c r="W6236" t="s">
        <v>752</v>
      </c>
      <c r="X6236">
        <v>1285</v>
      </c>
      <c r="Y6236" t="s">
        <v>26650</v>
      </c>
      <c r="Z6236" t="s">
        <v>26668</v>
      </c>
      <c r="AB6236" t="s">
        <v>31549</v>
      </c>
      <c r="AD6236" t="s">
        <v>41782</v>
      </c>
      <c r="AE6236">
        <v>0</v>
      </c>
      <c r="AF6236" t="s">
        <v>45541</v>
      </c>
      <c r="AG6236" t="s">
        <v>19330</v>
      </c>
      <c r="AH6236">
        <v>7</v>
      </c>
      <c r="AI6236">
        <v>1</v>
      </c>
      <c r="AJ6236">
        <v>0</v>
      </c>
      <c r="AK6236">
        <v>270.62</v>
      </c>
      <c r="AL6236" t="s">
        <v>781</v>
      </c>
      <c r="AM6236" t="s">
        <v>45575</v>
      </c>
      <c r="AN6236" t="s">
        <v>7439</v>
      </c>
      <c r="AO6236">
        <v>33800</v>
      </c>
      <c r="AQ6236" t="s">
        <v>46366</v>
      </c>
      <c r="AR6236" t="s">
        <v>46379</v>
      </c>
      <c r="AS6236" t="s">
        <v>46499</v>
      </c>
      <c r="AT6236" t="s">
        <v>46717</v>
      </c>
      <c r="AU6236">
        <v>21.3</v>
      </c>
      <c r="AV6236" t="s">
        <v>825</v>
      </c>
      <c r="AW6236" t="s">
        <v>46832</v>
      </c>
    </row>
    <row r="6237" spans="1:50">
      <c r="A6237" s="1">
        <f>HYPERLINK("https://lsnyc.legalserver.org/matter/dynamic-profile/view/1892670","19-1892670")</f>
        <v>0</v>
      </c>
      <c r="B6237" t="s">
        <v>85</v>
      </c>
      <c r="C6237" t="s">
        <v>340</v>
      </c>
      <c r="D6237" t="s">
        <v>752</v>
      </c>
      <c r="F6237" t="s">
        <v>1025</v>
      </c>
      <c r="G6237" t="s">
        <v>7949</v>
      </c>
      <c r="H6237" t="s">
        <v>14134</v>
      </c>
      <c r="I6237" t="s">
        <v>17291</v>
      </c>
      <c r="J6237" t="s">
        <v>18896</v>
      </c>
      <c r="K6237">
        <v>11419</v>
      </c>
      <c r="L6237" t="s">
        <v>18958</v>
      </c>
      <c r="M6237" t="s">
        <v>18958</v>
      </c>
      <c r="N6237" t="s">
        <v>23536</v>
      </c>
      <c r="O6237" t="s">
        <v>26524</v>
      </c>
      <c r="P6237" t="s">
        <v>26564</v>
      </c>
      <c r="R6237" t="s">
        <v>26584</v>
      </c>
      <c r="S6237" t="s">
        <v>18959</v>
      </c>
      <c r="U6237" t="s">
        <v>26604</v>
      </c>
      <c r="W6237" t="s">
        <v>752</v>
      </c>
      <c r="X6237">
        <v>2000</v>
      </c>
      <c r="Y6237" t="s">
        <v>26653</v>
      </c>
      <c r="Z6237" t="s">
        <v>26664</v>
      </c>
      <c r="AB6237" t="s">
        <v>31550</v>
      </c>
      <c r="AC6237" t="s">
        <v>36113</v>
      </c>
      <c r="AD6237" t="s">
        <v>41783</v>
      </c>
      <c r="AE6237">
        <v>0</v>
      </c>
      <c r="AF6237" t="s">
        <v>20460</v>
      </c>
      <c r="AG6237" t="s">
        <v>19330</v>
      </c>
      <c r="AH6237">
        <v>1</v>
      </c>
      <c r="AI6237">
        <v>2</v>
      </c>
      <c r="AJ6237">
        <v>2</v>
      </c>
      <c r="AK6237">
        <v>37.28</v>
      </c>
      <c r="AN6237" t="s">
        <v>7439</v>
      </c>
      <c r="AO6237">
        <v>9600</v>
      </c>
      <c r="AU6237">
        <v>0.5</v>
      </c>
      <c r="AV6237" t="s">
        <v>787</v>
      </c>
      <c r="AW6237" t="s">
        <v>208</v>
      </c>
    </row>
    <row r="6238" spans="1:50">
      <c r="A6238" s="1">
        <f>HYPERLINK("https://lsnyc.legalserver.org/matter/dynamic-profile/view/1892654","19-1892654")</f>
        <v>0</v>
      </c>
      <c r="B6238" t="s">
        <v>251</v>
      </c>
      <c r="C6238" t="s">
        <v>340</v>
      </c>
      <c r="D6238" t="s">
        <v>752</v>
      </c>
      <c r="F6238" t="s">
        <v>887</v>
      </c>
      <c r="G6238" t="s">
        <v>5275</v>
      </c>
      <c r="H6238" t="s">
        <v>14013</v>
      </c>
      <c r="I6238" t="s">
        <v>17278</v>
      </c>
      <c r="J6238" t="s">
        <v>18892</v>
      </c>
      <c r="K6238">
        <v>10468</v>
      </c>
      <c r="L6238" t="s">
        <v>18958</v>
      </c>
      <c r="M6238" t="s">
        <v>18958</v>
      </c>
      <c r="O6238" t="s">
        <v>26536</v>
      </c>
      <c r="P6238" t="s">
        <v>26565</v>
      </c>
      <c r="R6238" t="s">
        <v>26578</v>
      </c>
      <c r="U6238" t="s">
        <v>26606</v>
      </c>
      <c r="W6238" t="s">
        <v>752</v>
      </c>
      <c r="X6238">
        <v>1500</v>
      </c>
      <c r="Y6238" t="s">
        <v>26650</v>
      </c>
      <c r="Z6238" t="s">
        <v>26664</v>
      </c>
      <c r="AB6238" t="s">
        <v>31438</v>
      </c>
      <c r="AD6238" t="s">
        <v>41651</v>
      </c>
      <c r="AE6238">
        <v>0</v>
      </c>
      <c r="AF6238" t="s">
        <v>45541</v>
      </c>
      <c r="AG6238" t="s">
        <v>45556</v>
      </c>
      <c r="AH6238">
        <v>9</v>
      </c>
      <c r="AI6238">
        <v>2</v>
      </c>
      <c r="AJ6238">
        <v>0</v>
      </c>
      <c r="AK6238">
        <v>212.89</v>
      </c>
      <c r="AN6238" t="s">
        <v>7439</v>
      </c>
      <c r="AO6238">
        <v>36000</v>
      </c>
      <c r="AU6238">
        <v>1.5</v>
      </c>
      <c r="AV6238" t="s">
        <v>753</v>
      </c>
      <c r="AW6238" t="s">
        <v>254</v>
      </c>
    </row>
    <row r="6239" spans="1:50">
      <c r="A6239" s="1">
        <f>HYPERLINK("https://lsnyc.legalserver.org/matter/dynamic-profile/view/1892642","19-1892642")</f>
        <v>0</v>
      </c>
      <c r="B6239" t="s">
        <v>253</v>
      </c>
      <c r="C6239" t="s">
        <v>340</v>
      </c>
      <c r="D6239" t="s">
        <v>752</v>
      </c>
      <c r="F6239" t="s">
        <v>933</v>
      </c>
      <c r="G6239" t="s">
        <v>1081</v>
      </c>
      <c r="H6239" t="s">
        <v>14104</v>
      </c>
      <c r="J6239" t="s">
        <v>18892</v>
      </c>
      <c r="K6239">
        <v>10467</v>
      </c>
      <c r="L6239" t="s">
        <v>18958</v>
      </c>
      <c r="M6239" t="s">
        <v>18958</v>
      </c>
      <c r="N6239" t="s">
        <v>23537</v>
      </c>
      <c r="O6239" t="s">
        <v>26523</v>
      </c>
      <c r="P6239" t="s">
        <v>26560</v>
      </c>
      <c r="R6239" t="s">
        <v>26579</v>
      </c>
      <c r="S6239" t="s">
        <v>18959</v>
      </c>
      <c r="U6239" t="s">
        <v>26604</v>
      </c>
      <c r="V6239" t="s">
        <v>26609</v>
      </c>
      <c r="W6239" t="s">
        <v>752</v>
      </c>
      <c r="X6239">
        <v>689.48</v>
      </c>
      <c r="Y6239" t="s">
        <v>26650</v>
      </c>
      <c r="Z6239" t="s">
        <v>26668</v>
      </c>
      <c r="AB6239" t="s">
        <v>31551</v>
      </c>
      <c r="AD6239" t="s">
        <v>41784</v>
      </c>
      <c r="AE6239">
        <v>51</v>
      </c>
      <c r="AF6239" t="s">
        <v>45541</v>
      </c>
      <c r="AH6239">
        <v>4</v>
      </c>
      <c r="AI6239">
        <v>2</v>
      </c>
      <c r="AJ6239">
        <v>2</v>
      </c>
      <c r="AK6239">
        <v>133.59</v>
      </c>
      <c r="AN6239" t="s">
        <v>7439</v>
      </c>
      <c r="AO6239">
        <v>34400</v>
      </c>
      <c r="AU6239">
        <v>8.15</v>
      </c>
      <c r="AV6239" t="s">
        <v>720</v>
      </c>
      <c r="AW6239" t="s">
        <v>329</v>
      </c>
    </row>
    <row r="6240" spans="1:50">
      <c r="A6240" s="1">
        <f>HYPERLINK("https://lsnyc.legalserver.org/matter/dynamic-profile/view/1892712","19-1892712")</f>
        <v>0</v>
      </c>
      <c r="B6240" t="s">
        <v>135</v>
      </c>
      <c r="C6240" t="s">
        <v>340</v>
      </c>
      <c r="D6240" t="s">
        <v>752</v>
      </c>
      <c r="F6240" t="s">
        <v>901</v>
      </c>
      <c r="G6240" t="s">
        <v>5392</v>
      </c>
      <c r="H6240" t="s">
        <v>14135</v>
      </c>
      <c r="I6240" t="s">
        <v>17490</v>
      </c>
      <c r="J6240" t="s">
        <v>18892</v>
      </c>
      <c r="K6240">
        <v>10452</v>
      </c>
      <c r="L6240" t="s">
        <v>18958</v>
      </c>
      <c r="M6240" t="s">
        <v>18958</v>
      </c>
      <c r="N6240" t="s">
        <v>23538</v>
      </c>
      <c r="O6240" t="s">
        <v>26523</v>
      </c>
      <c r="P6240" t="s">
        <v>26560</v>
      </c>
      <c r="R6240" t="s">
        <v>26578</v>
      </c>
      <c r="S6240" t="s">
        <v>18959</v>
      </c>
      <c r="U6240" t="s">
        <v>26604</v>
      </c>
      <c r="W6240" t="s">
        <v>752</v>
      </c>
      <c r="X6240">
        <v>926.15</v>
      </c>
      <c r="Y6240" t="s">
        <v>26650</v>
      </c>
      <c r="Z6240" t="s">
        <v>26659</v>
      </c>
      <c r="AB6240" t="s">
        <v>31533</v>
      </c>
      <c r="AC6240" t="s">
        <v>36114</v>
      </c>
      <c r="AD6240" t="s">
        <v>41785</v>
      </c>
      <c r="AE6240">
        <v>60</v>
      </c>
      <c r="AF6240" t="s">
        <v>45541</v>
      </c>
      <c r="AG6240" t="s">
        <v>19330</v>
      </c>
      <c r="AH6240">
        <v>17</v>
      </c>
      <c r="AI6240">
        <v>1</v>
      </c>
      <c r="AJ6240">
        <v>0</v>
      </c>
      <c r="AK6240">
        <v>107.35</v>
      </c>
      <c r="AN6240" t="s">
        <v>45581</v>
      </c>
      <c r="AO6240">
        <v>13408.4</v>
      </c>
      <c r="AP6240" t="s">
        <v>46010</v>
      </c>
      <c r="AU6240">
        <v>19.45</v>
      </c>
      <c r="AV6240" t="s">
        <v>843</v>
      </c>
      <c r="AW6240" t="s">
        <v>46847</v>
      </c>
      <c r="AX6240" t="s">
        <v>46898</v>
      </c>
    </row>
    <row r="6241" spans="1:50">
      <c r="A6241" s="1">
        <f>HYPERLINK("https://lsnyc.legalserver.org/matter/dynamic-profile/view/1892727","19-1892727")</f>
        <v>0</v>
      </c>
      <c r="B6241" t="s">
        <v>135</v>
      </c>
      <c r="C6241" t="s">
        <v>340</v>
      </c>
      <c r="D6241" t="s">
        <v>752</v>
      </c>
      <c r="F6241" t="s">
        <v>1087</v>
      </c>
      <c r="G6241" t="s">
        <v>4594</v>
      </c>
      <c r="H6241" t="s">
        <v>13798</v>
      </c>
      <c r="I6241" t="s">
        <v>17867</v>
      </c>
      <c r="J6241" t="s">
        <v>18892</v>
      </c>
      <c r="K6241">
        <v>10453</v>
      </c>
      <c r="L6241" t="s">
        <v>18958</v>
      </c>
      <c r="M6241" t="s">
        <v>18958</v>
      </c>
      <c r="N6241" t="s">
        <v>23225</v>
      </c>
      <c r="O6241" t="s">
        <v>26524</v>
      </c>
      <c r="P6241" t="s">
        <v>26560</v>
      </c>
      <c r="R6241" t="s">
        <v>26578</v>
      </c>
      <c r="S6241" t="s">
        <v>18959</v>
      </c>
      <c r="U6241" t="s">
        <v>26604</v>
      </c>
      <c r="W6241" t="s">
        <v>752</v>
      </c>
      <c r="X6241">
        <v>985</v>
      </c>
      <c r="Y6241" t="s">
        <v>26650</v>
      </c>
      <c r="Z6241" t="s">
        <v>26663</v>
      </c>
      <c r="AB6241" t="s">
        <v>31302</v>
      </c>
      <c r="AE6241">
        <v>167</v>
      </c>
      <c r="AF6241" t="s">
        <v>45541</v>
      </c>
      <c r="AG6241" t="s">
        <v>19330</v>
      </c>
      <c r="AH6241">
        <v>17</v>
      </c>
      <c r="AI6241">
        <v>3</v>
      </c>
      <c r="AJ6241">
        <v>2</v>
      </c>
      <c r="AK6241">
        <v>149.15</v>
      </c>
      <c r="AN6241" t="s">
        <v>7439</v>
      </c>
      <c r="AO6241">
        <v>45000</v>
      </c>
      <c r="AU6241">
        <v>0</v>
      </c>
      <c r="AW6241" t="s">
        <v>329</v>
      </c>
    </row>
    <row r="6242" spans="1:50">
      <c r="A6242" s="1">
        <f>HYPERLINK("https://lsnyc.legalserver.org/matter/dynamic-profile/view/1892693","19-1892693")</f>
        <v>0</v>
      </c>
      <c r="B6242" t="s">
        <v>110</v>
      </c>
      <c r="C6242" t="s">
        <v>340</v>
      </c>
      <c r="D6242" t="s">
        <v>752</v>
      </c>
      <c r="F6242" t="s">
        <v>3617</v>
      </c>
      <c r="G6242" t="s">
        <v>1995</v>
      </c>
      <c r="H6242" t="s">
        <v>14136</v>
      </c>
      <c r="I6242" t="s">
        <v>17272</v>
      </c>
      <c r="J6242" t="s">
        <v>18915</v>
      </c>
      <c r="K6242">
        <v>11372</v>
      </c>
      <c r="L6242" t="s">
        <v>18958</v>
      </c>
      <c r="M6242" t="s">
        <v>18958</v>
      </c>
      <c r="N6242" t="s">
        <v>23539</v>
      </c>
      <c r="O6242" t="s">
        <v>26523</v>
      </c>
      <c r="P6242" t="s">
        <v>26560</v>
      </c>
      <c r="R6242" t="s">
        <v>26584</v>
      </c>
      <c r="S6242" t="s">
        <v>18959</v>
      </c>
      <c r="U6242" t="s">
        <v>26604</v>
      </c>
      <c r="W6242" t="s">
        <v>752</v>
      </c>
      <c r="X6242">
        <v>161.74</v>
      </c>
      <c r="Y6242" t="s">
        <v>26653</v>
      </c>
      <c r="Z6242" t="s">
        <v>26664</v>
      </c>
      <c r="AB6242" t="s">
        <v>28386</v>
      </c>
      <c r="AC6242" t="s">
        <v>36115</v>
      </c>
      <c r="AD6242" t="s">
        <v>41786</v>
      </c>
      <c r="AE6242">
        <v>63</v>
      </c>
      <c r="AF6242" t="s">
        <v>20460</v>
      </c>
      <c r="AG6242" t="s">
        <v>19330</v>
      </c>
      <c r="AH6242">
        <v>35</v>
      </c>
      <c r="AI6242">
        <v>1</v>
      </c>
      <c r="AJ6242">
        <v>2</v>
      </c>
      <c r="AK6242">
        <v>39.74</v>
      </c>
      <c r="AN6242" t="s">
        <v>7439</v>
      </c>
      <c r="AO6242">
        <v>8476</v>
      </c>
      <c r="AU6242">
        <v>48.35</v>
      </c>
      <c r="AV6242" t="s">
        <v>830</v>
      </c>
      <c r="AW6242" t="s">
        <v>208</v>
      </c>
    </row>
    <row r="6243" spans="1:50">
      <c r="A6243" s="1">
        <f>HYPERLINK("https://lsnyc.legalserver.org/matter/dynamic-profile/view/1892748","19-1892748")</f>
        <v>0</v>
      </c>
      <c r="B6243" t="s">
        <v>115</v>
      </c>
      <c r="C6243" t="s">
        <v>340</v>
      </c>
      <c r="D6243" t="s">
        <v>752</v>
      </c>
      <c r="F6243" t="s">
        <v>3618</v>
      </c>
      <c r="G6243" t="s">
        <v>7950</v>
      </c>
      <c r="H6243" t="s">
        <v>14137</v>
      </c>
      <c r="I6243">
        <v>2</v>
      </c>
      <c r="J6243" t="s">
        <v>18892</v>
      </c>
      <c r="K6243">
        <v>10459</v>
      </c>
      <c r="L6243" t="s">
        <v>18958</v>
      </c>
      <c r="M6243" t="s">
        <v>18958</v>
      </c>
      <c r="N6243" t="s">
        <v>23540</v>
      </c>
      <c r="O6243" t="s">
        <v>26524</v>
      </c>
      <c r="P6243" t="s">
        <v>26564</v>
      </c>
      <c r="R6243" t="s">
        <v>26578</v>
      </c>
      <c r="S6243" t="s">
        <v>18959</v>
      </c>
      <c r="U6243" t="s">
        <v>26604</v>
      </c>
      <c r="W6243" t="s">
        <v>752</v>
      </c>
      <c r="X6243">
        <v>750</v>
      </c>
      <c r="Y6243" t="s">
        <v>26650</v>
      </c>
      <c r="AB6243" t="s">
        <v>31552</v>
      </c>
      <c r="AD6243" t="s">
        <v>41787</v>
      </c>
      <c r="AE6243">
        <v>0</v>
      </c>
      <c r="AH6243">
        <v>0</v>
      </c>
      <c r="AI6243">
        <v>2</v>
      </c>
      <c r="AJ6243">
        <v>0</v>
      </c>
      <c r="AK6243">
        <v>197.85</v>
      </c>
      <c r="AN6243" t="s">
        <v>7439</v>
      </c>
      <c r="AO6243">
        <v>33456</v>
      </c>
      <c r="AP6243" t="s">
        <v>46011</v>
      </c>
      <c r="AU6243">
        <v>0</v>
      </c>
      <c r="AW6243" t="s">
        <v>46871</v>
      </c>
      <c r="AX6243" t="s">
        <v>46897</v>
      </c>
    </row>
    <row r="6244" spans="1:50">
      <c r="A6244" s="1">
        <f>HYPERLINK("https://lsnyc.legalserver.org/matter/dynamic-profile/view/1891823","19-1891823")</f>
        <v>0</v>
      </c>
      <c r="B6244" t="s">
        <v>103</v>
      </c>
      <c r="C6244" t="s">
        <v>340</v>
      </c>
      <c r="D6244" t="s">
        <v>752</v>
      </c>
      <c r="F6244" t="s">
        <v>947</v>
      </c>
      <c r="G6244" t="s">
        <v>7951</v>
      </c>
      <c r="H6244" t="s">
        <v>14138</v>
      </c>
      <c r="J6244" t="s">
        <v>18902</v>
      </c>
      <c r="K6244">
        <v>10305</v>
      </c>
      <c r="L6244" t="s">
        <v>18958</v>
      </c>
      <c r="M6244" t="s">
        <v>18958</v>
      </c>
      <c r="N6244" t="s">
        <v>23541</v>
      </c>
      <c r="O6244" t="s">
        <v>26523</v>
      </c>
      <c r="P6244" t="s">
        <v>26560</v>
      </c>
      <c r="R6244" t="s">
        <v>26578</v>
      </c>
      <c r="S6244" t="s">
        <v>18959</v>
      </c>
      <c r="U6244" t="s">
        <v>26604</v>
      </c>
      <c r="V6244" t="s">
        <v>26610</v>
      </c>
      <c r="W6244" t="s">
        <v>752</v>
      </c>
      <c r="X6244">
        <v>1300</v>
      </c>
      <c r="Y6244" t="s">
        <v>26654</v>
      </c>
      <c r="Z6244" t="s">
        <v>26659</v>
      </c>
      <c r="AB6244" t="s">
        <v>31553</v>
      </c>
      <c r="AD6244" t="s">
        <v>41788</v>
      </c>
      <c r="AE6244">
        <v>1</v>
      </c>
      <c r="AF6244" t="s">
        <v>45547</v>
      </c>
      <c r="AG6244" t="s">
        <v>19330</v>
      </c>
      <c r="AH6244">
        <v>1</v>
      </c>
      <c r="AI6244">
        <v>1</v>
      </c>
      <c r="AJ6244">
        <v>3</v>
      </c>
      <c r="AK6244">
        <v>163.68</v>
      </c>
      <c r="AN6244" t="s">
        <v>7439</v>
      </c>
      <c r="AO6244">
        <v>42148</v>
      </c>
      <c r="AU6244">
        <v>14.8</v>
      </c>
      <c r="AV6244" t="s">
        <v>839</v>
      </c>
      <c r="AW6244" t="s">
        <v>46855</v>
      </c>
    </row>
    <row r="6245" spans="1:50">
      <c r="A6245" s="1">
        <f>HYPERLINK("https://lsnyc.legalserver.org/matter/dynamic-profile/view/1892636","19-1892636")</f>
        <v>0</v>
      </c>
      <c r="B6245" t="s">
        <v>104</v>
      </c>
      <c r="C6245" t="s">
        <v>340</v>
      </c>
      <c r="D6245" t="s">
        <v>752</v>
      </c>
      <c r="F6245" t="s">
        <v>1273</v>
      </c>
      <c r="G6245" t="s">
        <v>1725</v>
      </c>
      <c r="H6245" t="s">
        <v>14139</v>
      </c>
      <c r="J6245" t="s">
        <v>18902</v>
      </c>
      <c r="K6245">
        <v>10310</v>
      </c>
      <c r="L6245" t="s">
        <v>18958</v>
      </c>
      <c r="M6245" t="s">
        <v>18958</v>
      </c>
      <c r="N6245" t="s">
        <v>23542</v>
      </c>
      <c r="O6245" t="s">
        <v>26523</v>
      </c>
      <c r="R6245" t="s">
        <v>26590</v>
      </c>
      <c r="U6245" t="s">
        <v>26605</v>
      </c>
      <c r="V6245" t="s">
        <v>26610</v>
      </c>
      <c r="W6245" t="s">
        <v>752</v>
      </c>
      <c r="X6245">
        <v>557</v>
      </c>
      <c r="Y6245" t="s">
        <v>26654</v>
      </c>
      <c r="Z6245" t="s">
        <v>26668</v>
      </c>
      <c r="AB6245" t="s">
        <v>31554</v>
      </c>
      <c r="AC6245" t="s">
        <v>36116</v>
      </c>
      <c r="AD6245" t="s">
        <v>41789</v>
      </c>
      <c r="AE6245">
        <v>0</v>
      </c>
      <c r="AH6245">
        <v>-1</v>
      </c>
      <c r="AI6245">
        <v>1</v>
      </c>
      <c r="AJ6245">
        <v>1</v>
      </c>
      <c r="AK6245">
        <v>40.73</v>
      </c>
      <c r="AN6245" t="s">
        <v>7439</v>
      </c>
      <c r="AO6245">
        <v>6888</v>
      </c>
      <c r="AU6245">
        <v>7.7</v>
      </c>
      <c r="AV6245" t="s">
        <v>834</v>
      </c>
      <c r="AW6245" t="s">
        <v>46883</v>
      </c>
    </row>
    <row r="6246" spans="1:50">
      <c r="A6246" s="1">
        <f>HYPERLINK("https://lsnyc.legalserver.org/matter/dynamic-profile/view/1892682","19-1892682")</f>
        <v>0</v>
      </c>
      <c r="B6246" t="s">
        <v>235</v>
      </c>
      <c r="C6246" t="s">
        <v>340</v>
      </c>
      <c r="D6246" t="s">
        <v>752</v>
      </c>
      <c r="F6246" t="s">
        <v>3619</v>
      </c>
      <c r="G6246" t="s">
        <v>5901</v>
      </c>
      <c r="H6246" t="s">
        <v>14140</v>
      </c>
      <c r="I6246" t="s">
        <v>17375</v>
      </c>
      <c r="J6246" t="s">
        <v>18933</v>
      </c>
      <c r="K6246">
        <v>11422</v>
      </c>
      <c r="L6246" t="s">
        <v>18958</v>
      </c>
      <c r="M6246" t="s">
        <v>18958</v>
      </c>
      <c r="N6246" t="s">
        <v>23543</v>
      </c>
      <c r="O6246" t="s">
        <v>26524</v>
      </c>
      <c r="P6246" t="s">
        <v>26563</v>
      </c>
      <c r="R6246" t="s">
        <v>26584</v>
      </c>
      <c r="S6246" t="s">
        <v>18959</v>
      </c>
      <c r="U6246" t="s">
        <v>26604</v>
      </c>
      <c r="W6246" t="s">
        <v>752</v>
      </c>
      <c r="X6246">
        <v>1717.33</v>
      </c>
      <c r="Y6246" t="s">
        <v>26653</v>
      </c>
      <c r="Z6246" t="s">
        <v>26664</v>
      </c>
      <c r="AB6246" t="s">
        <v>31555</v>
      </c>
      <c r="AC6246" t="s">
        <v>36117</v>
      </c>
      <c r="AD6246" t="s">
        <v>41790</v>
      </c>
      <c r="AE6246">
        <v>0</v>
      </c>
      <c r="AF6246" t="s">
        <v>20460</v>
      </c>
      <c r="AG6246" t="s">
        <v>45556</v>
      </c>
      <c r="AH6246">
        <v>9</v>
      </c>
      <c r="AI6246">
        <v>2</v>
      </c>
      <c r="AJ6246">
        <v>4</v>
      </c>
      <c r="AK6246">
        <v>79.68000000000001</v>
      </c>
      <c r="AN6246" t="s">
        <v>7439</v>
      </c>
      <c r="AO6246">
        <v>27560</v>
      </c>
      <c r="AU6246">
        <v>1.8</v>
      </c>
      <c r="AV6246" t="s">
        <v>752</v>
      </c>
      <c r="AW6246" t="s">
        <v>208</v>
      </c>
    </row>
    <row r="6247" spans="1:50">
      <c r="A6247" s="1">
        <f>HYPERLINK("https://lsnyc.legalserver.org/matter/dynamic-profile/view/1892730","19-1892730")</f>
        <v>0</v>
      </c>
      <c r="B6247" t="s">
        <v>221</v>
      </c>
      <c r="C6247" t="s">
        <v>340</v>
      </c>
      <c r="D6247" t="s">
        <v>752</v>
      </c>
      <c r="F6247" t="s">
        <v>2294</v>
      </c>
      <c r="G6247" t="s">
        <v>7952</v>
      </c>
      <c r="H6247" t="s">
        <v>14141</v>
      </c>
      <c r="I6247" t="s">
        <v>18346</v>
      </c>
      <c r="J6247" t="s">
        <v>18912</v>
      </c>
      <c r="K6247">
        <v>11374</v>
      </c>
      <c r="L6247" t="s">
        <v>18958</v>
      </c>
      <c r="M6247" t="s">
        <v>18958</v>
      </c>
      <c r="N6247" t="s">
        <v>23544</v>
      </c>
      <c r="O6247" t="s">
        <v>26523</v>
      </c>
      <c r="P6247" t="s">
        <v>26564</v>
      </c>
      <c r="R6247" t="s">
        <v>26584</v>
      </c>
      <c r="U6247" t="s">
        <v>26604</v>
      </c>
      <c r="W6247" t="s">
        <v>752</v>
      </c>
      <c r="X6247">
        <v>1682</v>
      </c>
      <c r="Y6247" t="s">
        <v>26653</v>
      </c>
      <c r="Z6247" t="s">
        <v>26664</v>
      </c>
      <c r="AB6247" t="s">
        <v>31556</v>
      </c>
      <c r="AD6247" t="s">
        <v>41791</v>
      </c>
      <c r="AE6247">
        <v>72</v>
      </c>
      <c r="AF6247" t="s">
        <v>45541</v>
      </c>
      <c r="AG6247" t="s">
        <v>19330</v>
      </c>
      <c r="AH6247">
        <v>12</v>
      </c>
      <c r="AI6247">
        <v>1</v>
      </c>
      <c r="AJ6247">
        <v>0</v>
      </c>
      <c r="AK6247">
        <v>134.51</v>
      </c>
      <c r="AO6247">
        <v>16800</v>
      </c>
      <c r="AU6247">
        <v>2.2</v>
      </c>
      <c r="AV6247" t="s">
        <v>754</v>
      </c>
      <c r="AW6247" t="s">
        <v>122</v>
      </c>
    </row>
    <row r="6248" spans="1:50">
      <c r="A6248" s="1">
        <f>HYPERLINK("https://lsnyc.legalserver.org/matter/dynamic-profile/view/1887587","19-1887587")</f>
        <v>0</v>
      </c>
      <c r="B6248" t="s">
        <v>133</v>
      </c>
      <c r="C6248" t="s">
        <v>340</v>
      </c>
      <c r="D6248" t="s">
        <v>415</v>
      </c>
      <c r="F6248" t="s">
        <v>1636</v>
      </c>
      <c r="G6248" t="s">
        <v>7871</v>
      </c>
      <c r="H6248" t="s">
        <v>14142</v>
      </c>
      <c r="I6248" t="s">
        <v>18347</v>
      </c>
      <c r="J6248" t="s">
        <v>18892</v>
      </c>
      <c r="K6248">
        <v>10455</v>
      </c>
      <c r="L6248" t="s">
        <v>18958</v>
      </c>
      <c r="M6248" t="s">
        <v>18958</v>
      </c>
      <c r="N6248" t="s">
        <v>23545</v>
      </c>
      <c r="O6248" t="s">
        <v>26524</v>
      </c>
      <c r="P6248" t="s">
        <v>26564</v>
      </c>
      <c r="R6248" t="s">
        <v>26577</v>
      </c>
      <c r="S6248" t="s">
        <v>18959</v>
      </c>
      <c r="U6248" t="s">
        <v>26604</v>
      </c>
      <c r="W6248" t="s">
        <v>753</v>
      </c>
      <c r="X6248">
        <v>899.97</v>
      </c>
      <c r="Y6248" t="s">
        <v>26650</v>
      </c>
      <c r="Z6248" t="s">
        <v>26668</v>
      </c>
      <c r="AB6248" t="s">
        <v>31557</v>
      </c>
      <c r="AD6248" t="s">
        <v>41792</v>
      </c>
      <c r="AE6248">
        <v>103</v>
      </c>
      <c r="AF6248" t="s">
        <v>45541</v>
      </c>
      <c r="AG6248" t="s">
        <v>19330</v>
      </c>
      <c r="AH6248">
        <v>12</v>
      </c>
      <c r="AI6248">
        <v>1</v>
      </c>
      <c r="AJ6248">
        <v>0</v>
      </c>
      <c r="AK6248">
        <v>313.01</v>
      </c>
      <c r="AN6248" t="s">
        <v>7439</v>
      </c>
      <c r="AO6248">
        <v>38000</v>
      </c>
      <c r="AP6248" t="s">
        <v>46012</v>
      </c>
      <c r="AU6248">
        <v>1.9</v>
      </c>
      <c r="AV6248" t="s">
        <v>458</v>
      </c>
      <c r="AW6248" t="s">
        <v>46870</v>
      </c>
      <c r="AX6248" t="s">
        <v>46897</v>
      </c>
    </row>
    <row r="6249" spans="1:50">
      <c r="A6249" s="1">
        <f>HYPERLINK("https://lsnyc.legalserver.org/matter/dynamic-profile/view/1888859","19-1888859")</f>
        <v>0</v>
      </c>
      <c r="B6249" t="s">
        <v>105</v>
      </c>
      <c r="C6249" t="s">
        <v>340</v>
      </c>
      <c r="D6249" t="s">
        <v>732</v>
      </c>
      <c r="F6249" t="s">
        <v>1614</v>
      </c>
      <c r="G6249" t="s">
        <v>7953</v>
      </c>
      <c r="H6249" t="s">
        <v>14143</v>
      </c>
      <c r="I6249" t="s">
        <v>17324</v>
      </c>
      <c r="J6249" t="s">
        <v>18899</v>
      </c>
      <c r="K6249">
        <v>11385</v>
      </c>
      <c r="L6249" t="s">
        <v>18958</v>
      </c>
      <c r="M6249" t="s">
        <v>18958</v>
      </c>
      <c r="N6249" t="s">
        <v>23546</v>
      </c>
      <c r="O6249" t="s">
        <v>26524</v>
      </c>
      <c r="P6249" t="s">
        <v>26560</v>
      </c>
      <c r="R6249" t="s">
        <v>26585</v>
      </c>
      <c r="S6249" t="s">
        <v>18958</v>
      </c>
      <c r="U6249" t="s">
        <v>26604</v>
      </c>
      <c r="W6249" t="s">
        <v>753</v>
      </c>
      <c r="X6249">
        <v>1850</v>
      </c>
      <c r="Y6249" t="s">
        <v>26653</v>
      </c>
      <c r="Z6249" t="s">
        <v>26664</v>
      </c>
      <c r="AB6249" t="s">
        <v>31558</v>
      </c>
      <c r="AD6249" t="s">
        <v>41793</v>
      </c>
      <c r="AE6249">
        <v>2</v>
      </c>
      <c r="AF6249" t="s">
        <v>45547</v>
      </c>
      <c r="AG6249" t="s">
        <v>19330</v>
      </c>
      <c r="AH6249">
        <v>23</v>
      </c>
      <c r="AI6249">
        <v>3</v>
      </c>
      <c r="AJ6249">
        <v>1</v>
      </c>
      <c r="AK6249">
        <v>0</v>
      </c>
      <c r="AN6249" t="s">
        <v>7439</v>
      </c>
      <c r="AO6249">
        <v>0</v>
      </c>
      <c r="AR6249" t="s">
        <v>26530</v>
      </c>
      <c r="AS6249" t="s">
        <v>46500</v>
      </c>
      <c r="AT6249" t="s">
        <v>46641</v>
      </c>
      <c r="AU6249">
        <v>2.55</v>
      </c>
      <c r="AV6249" t="s">
        <v>805</v>
      </c>
      <c r="AW6249" t="s">
        <v>122</v>
      </c>
      <c r="AX6249" t="s">
        <v>46897</v>
      </c>
    </row>
    <row r="6250" spans="1:50">
      <c r="A6250" s="1">
        <f>HYPERLINK("https://lsnyc.legalserver.org/matter/dynamic-profile/view/1891083","19-1891083")</f>
        <v>0</v>
      </c>
      <c r="B6250" t="s">
        <v>125</v>
      </c>
      <c r="C6250" t="s">
        <v>340</v>
      </c>
      <c r="D6250" t="s">
        <v>740</v>
      </c>
      <c r="F6250" t="s">
        <v>3620</v>
      </c>
      <c r="G6250" t="s">
        <v>4160</v>
      </c>
      <c r="H6250" t="s">
        <v>14144</v>
      </c>
      <c r="I6250" t="s">
        <v>17430</v>
      </c>
      <c r="J6250" t="s">
        <v>18894</v>
      </c>
      <c r="K6250">
        <v>11212</v>
      </c>
      <c r="L6250" t="s">
        <v>18958</v>
      </c>
      <c r="M6250" t="s">
        <v>18959</v>
      </c>
      <c r="N6250" t="s">
        <v>23547</v>
      </c>
      <c r="O6250" t="s">
        <v>26523</v>
      </c>
      <c r="P6250" t="s">
        <v>26564</v>
      </c>
      <c r="R6250" t="s">
        <v>26578</v>
      </c>
      <c r="S6250" t="s">
        <v>18959</v>
      </c>
      <c r="U6250" t="s">
        <v>26604</v>
      </c>
      <c r="V6250" t="s">
        <v>26611</v>
      </c>
      <c r="W6250" t="s">
        <v>753</v>
      </c>
      <c r="X6250">
        <v>1298</v>
      </c>
      <c r="Y6250" t="s">
        <v>26652</v>
      </c>
      <c r="Z6250" t="s">
        <v>26530</v>
      </c>
      <c r="AB6250" t="s">
        <v>31559</v>
      </c>
      <c r="AC6250" t="s">
        <v>36118</v>
      </c>
      <c r="AD6250" t="s">
        <v>41794</v>
      </c>
      <c r="AE6250">
        <v>3</v>
      </c>
      <c r="AF6250" t="s">
        <v>45547</v>
      </c>
      <c r="AG6250" t="s">
        <v>19330</v>
      </c>
      <c r="AH6250">
        <v>9</v>
      </c>
      <c r="AI6250">
        <v>1</v>
      </c>
      <c r="AJ6250">
        <v>2</v>
      </c>
      <c r="AK6250">
        <v>196.91</v>
      </c>
      <c r="AN6250" t="s">
        <v>7439</v>
      </c>
      <c r="AO6250">
        <v>42000</v>
      </c>
      <c r="AU6250">
        <v>2.08</v>
      </c>
      <c r="AV6250" t="s">
        <v>786</v>
      </c>
      <c r="AW6250" t="s">
        <v>46860</v>
      </c>
      <c r="AX6250" t="s">
        <v>46897</v>
      </c>
    </row>
    <row r="6251" spans="1:50">
      <c r="A6251" s="1">
        <f>HYPERLINK("https://lsnyc.legalserver.org/matter/dynamic-profile/view/1892834","19-1892834")</f>
        <v>0</v>
      </c>
      <c r="B6251" t="s">
        <v>77</v>
      </c>
      <c r="C6251" t="s">
        <v>341</v>
      </c>
      <c r="D6251" t="s">
        <v>753</v>
      </c>
      <c r="E6251" t="s">
        <v>810</v>
      </c>
      <c r="F6251" t="s">
        <v>3248</v>
      </c>
      <c r="G6251" t="s">
        <v>5664</v>
      </c>
      <c r="H6251" t="s">
        <v>14145</v>
      </c>
      <c r="J6251" t="s">
        <v>18893</v>
      </c>
      <c r="K6251">
        <v>10026</v>
      </c>
      <c r="L6251" t="s">
        <v>18958</v>
      </c>
      <c r="M6251" t="s">
        <v>18958</v>
      </c>
      <c r="N6251" t="s">
        <v>23548</v>
      </c>
      <c r="O6251" t="s">
        <v>26523</v>
      </c>
      <c r="P6251" t="s">
        <v>26564</v>
      </c>
      <c r="Q6251" t="s">
        <v>26570</v>
      </c>
      <c r="R6251" t="s">
        <v>26580</v>
      </c>
      <c r="U6251" t="s">
        <v>26605</v>
      </c>
      <c r="V6251" t="s">
        <v>26610</v>
      </c>
      <c r="W6251" t="s">
        <v>753</v>
      </c>
      <c r="X6251">
        <v>0</v>
      </c>
      <c r="Y6251" t="s">
        <v>26651</v>
      </c>
      <c r="AA6251" t="s">
        <v>26683</v>
      </c>
      <c r="AB6251" t="s">
        <v>31560</v>
      </c>
      <c r="AD6251" t="s">
        <v>41795</v>
      </c>
      <c r="AE6251">
        <v>0</v>
      </c>
      <c r="AH6251">
        <v>0</v>
      </c>
      <c r="AI6251">
        <v>1</v>
      </c>
      <c r="AJ6251">
        <v>0</v>
      </c>
      <c r="AK6251">
        <v>0</v>
      </c>
      <c r="AN6251" t="s">
        <v>7439</v>
      </c>
      <c r="AO6251">
        <v>0</v>
      </c>
      <c r="AU6251">
        <v>0.9</v>
      </c>
      <c r="AV6251" t="s">
        <v>780</v>
      </c>
      <c r="AW6251" t="s">
        <v>264</v>
      </c>
    </row>
    <row r="6252" spans="1:50">
      <c r="A6252" s="1">
        <f>HYPERLINK("https://lsnyc.legalserver.org/matter/dynamic-profile/view/1892828","19-1892828")</f>
        <v>0</v>
      </c>
      <c r="B6252" t="s">
        <v>157</v>
      </c>
      <c r="C6252" t="s">
        <v>341</v>
      </c>
      <c r="D6252" t="s">
        <v>753</v>
      </c>
      <c r="E6252" t="s">
        <v>773</v>
      </c>
      <c r="F6252" t="s">
        <v>1572</v>
      </c>
      <c r="G6252" t="s">
        <v>7664</v>
      </c>
      <c r="H6252" t="s">
        <v>10313</v>
      </c>
      <c r="I6252" t="s">
        <v>17348</v>
      </c>
      <c r="J6252" t="s">
        <v>18893</v>
      </c>
      <c r="K6252">
        <v>10033</v>
      </c>
      <c r="L6252" t="s">
        <v>18958</v>
      </c>
      <c r="M6252" t="s">
        <v>18958</v>
      </c>
      <c r="O6252" t="s">
        <v>26529</v>
      </c>
      <c r="P6252" t="s">
        <v>26564</v>
      </c>
      <c r="Q6252" t="s">
        <v>26570</v>
      </c>
      <c r="R6252" t="s">
        <v>26578</v>
      </c>
      <c r="S6252" t="s">
        <v>18958</v>
      </c>
      <c r="U6252" t="s">
        <v>26604</v>
      </c>
      <c r="W6252" t="s">
        <v>753</v>
      </c>
      <c r="X6252">
        <v>1700</v>
      </c>
      <c r="Y6252" t="s">
        <v>26651</v>
      </c>
      <c r="Z6252" t="s">
        <v>26670</v>
      </c>
      <c r="AA6252" t="s">
        <v>26683</v>
      </c>
      <c r="AB6252" t="s">
        <v>31561</v>
      </c>
      <c r="AE6252">
        <v>60</v>
      </c>
      <c r="AF6252" t="s">
        <v>45541</v>
      </c>
      <c r="AG6252" t="s">
        <v>19330</v>
      </c>
      <c r="AH6252">
        <v>16</v>
      </c>
      <c r="AI6252">
        <v>2</v>
      </c>
      <c r="AJ6252">
        <v>0</v>
      </c>
      <c r="AK6252">
        <v>431.7</v>
      </c>
      <c r="AL6252" t="s">
        <v>800</v>
      </c>
      <c r="AM6252" t="s">
        <v>45575</v>
      </c>
      <c r="AN6252" t="s">
        <v>7439</v>
      </c>
      <c r="AO6252">
        <v>73000</v>
      </c>
      <c r="AU6252">
        <v>0.01</v>
      </c>
      <c r="AV6252" t="s">
        <v>773</v>
      </c>
      <c r="AW6252" t="s">
        <v>46840</v>
      </c>
      <c r="AX6252" t="s">
        <v>46897</v>
      </c>
    </row>
    <row r="6253" spans="1:50">
      <c r="A6253" s="1">
        <f>HYPERLINK("https://lsnyc.legalserver.org/matter/dynamic-profile/view/1892880","19-1892880")</f>
        <v>0</v>
      </c>
      <c r="B6253" t="s">
        <v>260</v>
      </c>
      <c r="C6253" t="s">
        <v>340</v>
      </c>
      <c r="D6253" t="s">
        <v>753</v>
      </c>
      <c r="F6253" t="s">
        <v>887</v>
      </c>
      <c r="G6253" t="s">
        <v>5078</v>
      </c>
      <c r="H6253" t="s">
        <v>14146</v>
      </c>
      <c r="I6253" t="s">
        <v>17272</v>
      </c>
      <c r="J6253" t="s">
        <v>18893</v>
      </c>
      <c r="K6253">
        <v>10034</v>
      </c>
      <c r="L6253" t="s">
        <v>18958</v>
      </c>
      <c r="M6253" t="s">
        <v>18958</v>
      </c>
      <c r="O6253" t="s">
        <v>26539</v>
      </c>
      <c r="P6253" t="s">
        <v>26565</v>
      </c>
      <c r="R6253" t="s">
        <v>26578</v>
      </c>
      <c r="S6253" t="s">
        <v>18959</v>
      </c>
      <c r="U6253" t="s">
        <v>26604</v>
      </c>
      <c r="W6253" t="s">
        <v>753</v>
      </c>
      <c r="X6253">
        <v>880.9</v>
      </c>
      <c r="Y6253" t="s">
        <v>26651</v>
      </c>
      <c r="Z6253" t="s">
        <v>26661</v>
      </c>
      <c r="AB6253" t="s">
        <v>27779</v>
      </c>
      <c r="AD6253" t="s">
        <v>41796</v>
      </c>
      <c r="AE6253">
        <v>40</v>
      </c>
      <c r="AF6253" t="s">
        <v>45541</v>
      </c>
      <c r="AG6253" t="s">
        <v>45559</v>
      </c>
      <c r="AH6253">
        <v>19</v>
      </c>
      <c r="AI6253">
        <v>1</v>
      </c>
      <c r="AJ6253">
        <v>0</v>
      </c>
      <c r="AK6253">
        <v>74.08</v>
      </c>
      <c r="AN6253" t="s">
        <v>45581</v>
      </c>
      <c r="AO6253">
        <v>9252</v>
      </c>
      <c r="AU6253">
        <v>5.6</v>
      </c>
      <c r="AV6253" t="s">
        <v>835</v>
      </c>
      <c r="AW6253" t="s">
        <v>46840</v>
      </c>
    </row>
    <row r="6254" spans="1:50">
      <c r="A6254" s="1">
        <f>HYPERLINK("https://lsnyc.legalserver.org/matter/dynamic-profile/view/1892884","19-1892884")</f>
        <v>0</v>
      </c>
      <c r="B6254" t="s">
        <v>164</v>
      </c>
      <c r="C6254" t="s">
        <v>340</v>
      </c>
      <c r="D6254" t="s">
        <v>753</v>
      </c>
      <c r="F6254" t="s">
        <v>2633</v>
      </c>
      <c r="G6254" t="s">
        <v>7954</v>
      </c>
      <c r="H6254" t="s">
        <v>12756</v>
      </c>
      <c r="I6254" t="s">
        <v>18348</v>
      </c>
      <c r="J6254" t="s">
        <v>18898</v>
      </c>
      <c r="K6254">
        <v>11691</v>
      </c>
      <c r="L6254" t="s">
        <v>18958</v>
      </c>
      <c r="M6254" t="s">
        <v>18958</v>
      </c>
      <c r="N6254" t="s">
        <v>23549</v>
      </c>
      <c r="O6254" t="s">
        <v>26523</v>
      </c>
      <c r="P6254" t="s">
        <v>26562</v>
      </c>
      <c r="R6254" t="s">
        <v>26578</v>
      </c>
      <c r="S6254" t="s">
        <v>18959</v>
      </c>
      <c r="U6254" t="s">
        <v>26604</v>
      </c>
      <c r="V6254" t="s">
        <v>26612</v>
      </c>
      <c r="W6254" t="s">
        <v>753</v>
      </c>
      <c r="X6254">
        <v>222</v>
      </c>
      <c r="Y6254" t="s">
        <v>26653</v>
      </c>
      <c r="Z6254" t="s">
        <v>26659</v>
      </c>
      <c r="AB6254" t="s">
        <v>31562</v>
      </c>
      <c r="AC6254" t="s">
        <v>36119</v>
      </c>
      <c r="AD6254" t="s">
        <v>41797</v>
      </c>
      <c r="AE6254">
        <v>70</v>
      </c>
      <c r="AF6254" t="s">
        <v>45543</v>
      </c>
      <c r="AG6254" t="s">
        <v>19330</v>
      </c>
      <c r="AH6254">
        <v>25</v>
      </c>
      <c r="AI6254">
        <v>1</v>
      </c>
      <c r="AJ6254">
        <v>0</v>
      </c>
      <c r="AK6254">
        <v>72.06</v>
      </c>
      <c r="AN6254" t="s">
        <v>45581</v>
      </c>
      <c r="AO6254">
        <v>9000</v>
      </c>
      <c r="AU6254">
        <v>3</v>
      </c>
      <c r="AV6254" t="s">
        <v>785</v>
      </c>
      <c r="AW6254" t="s">
        <v>208</v>
      </c>
    </row>
    <row r="6255" spans="1:50">
      <c r="A6255" s="1">
        <f>HYPERLINK("https://lsnyc.legalserver.org/matter/dynamic-profile/view/1892921","19-1892921")</f>
        <v>0</v>
      </c>
      <c r="B6255" t="s">
        <v>165</v>
      </c>
      <c r="C6255" t="s">
        <v>340</v>
      </c>
      <c r="D6255" t="s">
        <v>753</v>
      </c>
      <c r="F6255" t="s">
        <v>903</v>
      </c>
      <c r="G6255" t="s">
        <v>5164</v>
      </c>
      <c r="H6255" t="s">
        <v>14147</v>
      </c>
      <c r="I6255" t="s">
        <v>17283</v>
      </c>
      <c r="J6255" t="s">
        <v>18893</v>
      </c>
      <c r="K6255">
        <v>10027</v>
      </c>
      <c r="L6255" t="s">
        <v>18958</v>
      </c>
      <c r="M6255" t="s">
        <v>18958</v>
      </c>
      <c r="N6255" t="s">
        <v>23550</v>
      </c>
      <c r="O6255" t="s">
        <v>26523</v>
      </c>
      <c r="P6255" t="s">
        <v>26560</v>
      </c>
      <c r="R6255" t="s">
        <v>26580</v>
      </c>
      <c r="S6255" t="s">
        <v>18959</v>
      </c>
      <c r="U6255" t="s">
        <v>26604</v>
      </c>
      <c r="V6255" t="s">
        <v>26610</v>
      </c>
      <c r="W6255" t="s">
        <v>753</v>
      </c>
      <c r="X6255">
        <v>325</v>
      </c>
      <c r="Y6255" t="s">
        <v>26651</v>
      </c>
      <c r="Z6255" t="s">
        <v>26668</v>
      </c>
      <c r="AB6255" t="s">
        <v>29594</v>
      </c>
      <c r="AD6255" t="s">
        <v>41798</v>
      </c>
      <c r="AE6255">
        <v>0</v>
      </c>
      <c r="AF6255" t="s">
        <v>45552</v>
      </c>
      <c r="AG6255" t="s">
        <v>19330</v>
      </c>
      <c r="AH6255">
        <v>22</v>
      </c>
      <c r="AI6255">
        <v>2</v>
      </c>
      <c r="AJ6255">
        <v>3</v>
      </c>
      <c r="AK6255">
        <v>57.57</v>
      </c>
      <c r="AO6255">
        <v>17368</v>
      </c>
      <c r="AU6255">
        <v>6.45</v>
      </c>
      <c r="AV6255" t="s">
        <v>838</v>
      </c>
      <c r="AW6255" t="s">
        <v>314</v>
      </c>
    </row>
    <row r="6256" spans="1:50">
      <c r="A6256" s="1">
        <f>HYPERLINK("https://lsnyc.legalserver.org/matter/dynamic-profile/view/1892821","19-1892821")</f>
        <v>0</v>
      </c>
      <c r="B6256" t="s">
        <v>165</v>
      </c>
      <c r="C6256" t="s">
        <v>340</v>
      </c>
      <c r="D6256" t="s">
        <v>753</v>
      </c>
      <c r="F6256" t="s">
        <v>3621</v>
      </c>
      <c r="G6256" t="s">
        <v>5656</v>
      </c>
      <c r="H6256" t="s">
        <v>14148</v>
      </c>
      <c r="J6256" t="s">
        <v>18893</v>
      </c>
      <c r="K6256">
        <v>10031</v>
      </c>
      <c r="L6256" t="s">
        <v>18958</v>
      </c>
      <c r="M6256" t="s">
        <v>18958</v>
      </c>
      <c r="N6256" t="s">
        <v>23551</v>
      </c>
      <c r="O6256" t="s">
        <v>26523</v>
      </c>
      <c r="P6256" t="s">
        <v>26560</v>
      </c>
      <c r="R6256" t="s">
        <v>26580</v>
      </c>
      <c r="U6256" t="s">
        <v>26604</v>
      </c>
      <c r="V6256" t="s">
        <v>26610</v>
      </c>
      <c r="W6256" t="s">
        <v>753</v>
      </c>
      <c r="X6256">
        <v>940</v>
      </c>
      <c r="Y6256" t="s">
        <v>26651</v>
      </c>
      <c r="Z6256" t="s">
        <v>26664</v>
      </c>
      <c r="AB6256" t="s">
        <v>31563</v>
      </c>
      <c r="AD6256" t="s">
        <v>41799</v>
      </c>
      <c r="AE6256">
        <v>36</v>
      </c>
      <c r="AH6256">
        <v>24</v>
      </c>
      <c r="AI6256">
        <v>1</v>
      </c>
      <c r="AJ6256">
        <v>1</v>
      </c>
      <c r="AK6256">
        <v>92.25</v>
      </c>
      <c r="AN6256" t="s">
        <v>7439</v>
      </c>
      <c r="AO6256">
        <v>15600</v>
      </c>
      <c r="AU6256">
        <v>9.050000000000001</v>
      </c>
      <c r="AV6256" t="s">
        <v>838</v>
      </c>
      <c r="AW6256" t="s">
        <v>264</v>
      </c>
    </row>
    <row r="6257" spans="1:50">
      <c r="A6257" s="1">
        <f>HYPERLINK("https://lsnyc.legalserver.org/matter/dynamic-profile/view/1892838","19-1892838")</f>
        <v>0</v>
      </c>
      <c r="B6257" t="s">
        <v>165</v>
      </c>
      <c r="C6257" t="s">
        <v>340</v>
      </c>
      <c r="D6257" t="s">
        <v>753</v>
      </c>
      <c r="F6257" t="s">
        <v>1827</v>
      </c>
      <c r="G6257" t="s">
        <v>5447</v>
      </c>
      <c r="H6257" t="s">
        <v>14149</v>
      </c>
      <c r="I6257">
        <v>53</v>
      </c>
      <c r="J6257" t="s">
        <v>18893</v>
      </c>
      <c r="K6257">
        <v>10031</v>
      </c>
      <c r="L6257" t="s">
        <v>18958</v>
      </c>
      <c r="M6257" t="s">
        <v>18958</v>
      </c>
      <c r="N6257" t="s">
        <v>23552</v>
      </c>
      <c r="O6257" t="s">
        <v>26524</v>
      </c>
      <c r="P6257" t="s">
        <v>26560</v>
      </c>
      <c r="R6257" t="s">
        <v>26580</v>
      </c>
      <c r="S6257" t="s">
        <v>18959</v>
      </c>
      <c r="U6257" t="s">
        <v>26604</v>
      </c>
      <c r="V6257" t="s">
        <v>26610</v>
      </c>
      <c r="W6257" t="s">
        <v>753</v>
      </c>
      <c r="X6257">
        <v>2150</v>
      </c>
      <c r="Y6257" t="s">
        <v>26651</v>
      </c>
      <c r="Z6257" t="s">
        <v>26668</v>
      </c>
      <c r="AB6257" t="s">
        <v>29098</v>
      </c>
      <c r="AD6257" t="s">
        <v>41800</v>
      </c>
      <c r="AE6257">
        <v>0</v>
      </c>
      <c r="AF6257" t="s">
        <v>45547</v>
      </c>
      <c r="AG6257" t="s">
        <v>19330</v>
      </c>
      <c r="AH6257">
        <v>13</v>
      </c>
      <c r="AI6257">
        <v>4</v>
      </c>
      <c r="AJ6257">
        <v>3</v>
      </c>
      <c r="AK6257">
        <v>199.42</v>
      </c>
      <c r="AN6257" t="s">
        <v>45581</v>
      </c>
      <c r="AO6257">
        <v>77792</v>
      </c>
      <c r="AU6257">
        <v>7.7</v>
      </c>
      <c r="AV6257" t="s">
        <v>830</v>
      </c>
      <c r="AW6257" t="s">
        <v>314</v>
      </c>
    </row>
    <row r="6258" spans="1:50">
      <c r="A6258" s="1">
        <f>HYPERLINK("https://lsnyc.legalserver.org/matter/dynamic-profile/view/1892855","19-1892855")</f>
        <v>0</v>
      </c>
      <c r="B6258" t="s">
        <v>149</v>
      </c>
      <c r="C6258" t="s">
        <v>340</v>
      </c>
      <c r="D6258" t="s">
        <v>753</v>
      </c>
      <c r="F6258" t="s">
        <v>1751</v>
      </c>
      <c r="G6258" t="s">
        <v>3500</v>
      </c>
      <c r="H6258" t="s">
        <v>11547</v>
      </c>
      <c r="I6258" t="s">
        <v>17360</v>
      </c>
      <c r="J6258" t="s">
        <v>18892</v>
      </c>
      <c r="K6258">
        <v>10467</v>
      </c>
      <c r="L6258" t="s">
        <v>18958</v>
      </c>
      <c r="M6258" t="s">
        <v>18958</v>
      </c>
      <c r="N6258" t="s">
        <v>23553</v>
      </c>
      <c r="O6258" t="s">
        <v>26523</v>
      </c>
      <c r="P6258" t="s">
        <v>26560</v>
      </c>
      <c r="R6258" t="s">
        <v>26579</v>
      </c>
      <c r="S6258" t="s">
        <v>18959</v>
      </c>
      <c r="U6258" t="s">
        <v>26604</v>
      </c>
      <c r="W6258" t="s">
        <v>753</v>
      </c>
      <c r="X6258">
        <v>1458</v>
      </c>
      <c r="Y6258" t="s">
        <v>26650</v>
      </c>
      <c r="Z6258" t="s">
        <v>26668</v>
      </c>
      <c r="AB6258" t="s">
        <v>31564</v>
      </c>
      <c r="AC6258" t="s">
        <v>36120</v>
      </c>
      <c r="AE6258">
        <v>0</v>
      </c>
      <c r="AF6258" t="s">
        <v>45541</v>
      </c>
      <c r="AG6258" t="s">
        <v>45557</v>
      </c>
      <c r="AH6258">
        <v>2</v>
      </c>
      <c r="AI6258">
        <v>1</v>
      </c>
      <c r="AJ6258">
        <v>2</v>
      </c>
      <c r="AK6258">
        <v>42.19</v>
      </c>
      <c r="AN6258" t="s">
        <v>7439</v>
      </c>
      <c r="AO6258">
        <v>9000</v>
      </c>
      <c r="AU6258">
        <v>8.800000000000001</v>
      </c>
      <c r="AV6258" t="s">
        <v>830</v>
      </c>
      <c r="AW6258" t="s">
        <v>46832</v>
      </c>
    </row>
    <row r="6259" spans="1:50">
      <c r="A6259" s="1">
        <f>HYPERLINK("https://lsnyc.legalserver.org/matter/dynamic-profile/view/1893569","19-1893569")</f>
        <v>0</v>
      </c>
      <c r="B6259" t="s">
        <v>149</v>
      </c>
      <c r="C6259" t="s">
        <v>340</v>
      </c>
      <c r="D6259" t="s">
        <v>753</v>
      </c>
      <c r="F6259" t="s">
        <v>3502</v>
      </c>
      <c r="G6259" t="s">
        <v>7955</v>
      </c>
      <c r="H6259" t="s">
        <v>14150</v>
      </c>
      <c r="I6259">
        <v>3</v>
      </c>
      <c r="J6259" t="s">
        <v>18892</v>
      </c>
      <c r="K6259">
        <v>10457</v>
      </c>
      <c r="L6259" t="s">
        <v>18958</v>
      </c>
      <c r="M6259" t="s">
        <v>18958</v>
      </c>
      <c r="N6259" t="s">
        <v>23554</v>
      </c>
      <c r="O6259" t="s">
        <v>26523</v>
      </c>
      <c r="P6259" t="s">
        <v>26560</v>
      </c>
      <c r="R6259" t="s">
        <v>26579</v>
      </c>
      <c r="S6259" t="s">
        <v>18959</v>
      </c>
      <c r="U6259" t="s">
        <v>26604</v>
      </c>
      <c r="W6259" t="s">
        <v>753</v>
      </c>
      <c r="X6259">
        <v>1515</v>
      </c>
      <c r="Y6259" t="s">
        <v>26650</v>
      </c>
      <c r="Z6259" t="s">
        <v>26664</v>
      </c>
      <c r="AB6259" t="s">
        <v>31565</v>
      </c>
      <c r="AD6259" t="s">
        <v>41801</v>
      </c>
      <c r="AE6259">
        <v>0</v>
      </c>
      <c r="AF6259" t="s">
        <v>45541</v>
      </c>
      <c r="AG6259" t="s">
        <v>45562</v>
      </c>
      <c r="AH6259">
        <v>3</v>
      </c>
      <c r="AI6259">
        <v>1</v>
      </c>
      <c r="AJ6259">
        <v>2</v>
      </c>
      <c r="AK6259">
        <v>107.88</v>
      </c>
      <c r="AN6259" t="s">
        <v>7439</v>
      </c>
      <c r="AO6259">
        <v>23010.52</v>
      </c>
      <c r="AU6259">
        <v>5.1</v>
      </c>
      <c r="AV6259" t="s">
        <v>825</v>
      </c>
      <c r="AW6259" t="s">
        <v>336</v>
      </c>
    </row>
    <row r="6260" spans="1:50">
      <c r="A6260" s="1">
        <f>HYPERLINK("https://lsnyc.legalserver.org/matter/dynamic-profile/view/1892930","19-1892930")</f>
        <v>0</v>
      </c>
      <c r="B6260" t="s">
        <v>282</v>
      </c>
      <c r="C6260" t="s">
        <v>340</v>
      </c>
      <c r="D6260" t="s">
        <v>753</v>
      </c>
      <c r="F6260" t="s">
        <v>1119</v>
      </c>
      <c r="G6260" t="s">
        <v>7956</v>
      </c>
      <c r="H6260" t="s">
        <v>14151</v>
      </c>
      <c r="I6260" t="s">
        <v>18245</v>
      </c>
      <c r="J6260" t="s">
        <v>18906</v>
      </c>
      <c r="K6260">
        <v>11373</v>
      </c>
      <c r="L6260" t="s">
        <v>18958</v>
      </c>
      <c r="M6260" t="s">
        <v>18958</v>
      </c>
      <c r="N6260" t="s">
        <v>23555</v>
      </c>
      <c r="O6260" t="s">
        <v>26523</v>
      </c>
      <c r="P6260" t="s">
        <v>26560</v>
      </c>
      <c r="R6260" t="s">
        <v>26585</v>
      </c>
      <c r="S6260" t="s">
        <v>18959</v>
      </c>
      <c r="U6260" t="s">
        <v>26604</v>
      </c>
      <c r="V6260" t="s">
        <v>26610</v>
      </c>
      <c r="W6260" t="s">
        <v>753</v>
      </c>
      <c r="X6260">
        <v>1525</v>
      </c>
      <c r="Y6260" t="s">
        <v>26653</v>
      </c>
      <c r="Z6260" t="s">
        <v>26664</v>
      </c>
      <c r="AB6260" t="s">
        <v>31566</v>
      </c>
      <c r="AC6260" t="s">
        <v>36121</v>
      </c>
      <c r="AD6260" t="s">
        <v>41802</v>
      </c>
      <c r="AE6260">
        <v>75</v>
      </c>
      <c r="AF6260" t="s">
        <v>45541</v>
      </c>
      <c r="AG6260" t="s">
        <v>45559</v>
      </c>
      <c r="AH6260">
        <v>12</v>
      </c>
      <c r="AI6260">
        <v>2</v>
      </c>
      <c r="AJ6260">
        <v>0</v>
      </c>
      <c r="AK6260">
        <v>103.61</v>
      </c>
      <c r="AN6260" t="s">
        <v>45581</v>
      </c>
      <c r="AO6260">
        <v>17520</v>
      </c>
      <c r="AU6260">
        <v>34.74</v>
      </c>
      <c r="AV6260" t="s">
        <v>836</v>
      </c>
      <c r="AW6260" t="s">
        <v>247</v>
      </c>
    </row>
    <row r="6261" spans="1:50">
      <c r="A6261" s="1">
        <f>HYPERLINK("https://lsnyc.legalserver.org/matter/dynamic-profile/view/1892885","19-1892885")</f>
        <v>0</v>
      </c>
      <c r="B6261" t="s">
        <v>84</v>
      </c>
      <c r="C6261" t="s">
        <v>340</v>
      </c>
      <c r="D6261" t="s">
        <v>753</v>
      </c>
      <c r="F6261" t="s">
        <v>1934</v>
      </c>
      <c r="G6261" t="s">
        <v>5419</v>
      </c>
      <c r="H6261" t="s">
        <v>14152</v>
      </c>
      <c r="I6261" t="s">
        <v>17322</v>
      </c>
      <c r="J6261" t="s">
        <v>18893</v>
      </c>
      <c r="K6261">
        <v>10031</v>
      </c>
      <c r="L6261" t="s">
        <v>18958</v>
      </c>
      <c r="M6261" t="s">
        <v>18958</v>
      </c>
      <c r="N6261" t="s">
        <v>23556</v>
      </c>
      <c r="O6261" t="s">
        <v>26523</v>
      </c>
      <c r="P6261" t="s">
        <v>26560</v>
      </c>
      <c r="R6261" t="s">
        <v>26580</v>
      </c>
      <c r="S6261" t="s">
        <v>18959</v>
      </c>
      <c r="U6261" t="s">
        <v>26604</v>
      </c>
      <c r="V6261" t="s">
        <v>26614</v>
      </c>
      <c r="W6261" t="s">
        <v>753</v>
      </c>
      <c r="X6261">
        <v>989</v>
      </c>
      <c r="Y6261" t="s">
        <v>26651</v>
      </c>
      <c r="Z6261" t="s">
        <v>26664</v>
      </c>
      <c r="AB6261" t="s">
        <v>31567</v>
      </c>
      <c r="AC6261" t="s">
        <v>36122</v>
      </c>
      <c r="AD6261" t="s">
        <v>41803</v>
      </c>
      <c r="AE6261">
        <v>0</v>
      </c>
      <c r="AF6261" t="s">
        <v>20460</v>
      </c>
      <c r="AG6261" t="s">
        <v>19330</v>
      </c>
      <c r="AH6261">
        <v>10</v>
      </c>
      <c r="AI6261">
        <v>1</v>
      </c>
      <c r="AJ6261">
        <v>0</v>
      </c>
      <c r="AK6261">
        <v>6.73</v>
      </c>
      <c r="AN6261" t="s">
        <v>7439</v>
      </c>
      <c r="AO6261">
        <v>840</v>
      </c>
      <c r="AU6261">
        <v>22.9</v>
      </c>
      <c r="AV6261" t="s">
        <v>763</v>
      </c>
      <c r="AW6261" t="s">
        <v>314</v>
      </c>
    </row>
    <row r="6262" spans="1:50">
      <c r="A6262" s="1">
        <f>HYPERLINK("https://lsnyc.legalserver.org/matter/dynamic-profile/view/1892939","19-1892939")</f>
        <v>0</v>
      </c>
      <c r="B6262" t="s">
        <v>84</v>
      </c>
      <c r="C6262" t="s">
        <v>340</v>
      </c>
      <c r="D6262" t="s">
        <v>753</v>
      </c>
      <c r="F6262" t="s">
        <v>3622</v>
      </c>
      <c r="G6262" t="s">
        <v>7957</v>
      </c>
      <c r="H6262" t="s">
        <v>14153</v>
      </c>
      <c r="I6262">
        <v>506</v>
      </c>
      <c r="J6262" t="s">
        <v>18893</v>
      </c>
      <c r="K6262">
        <v>10025</v>
      </c>
      <c r="L6262" t="s">
        <v>18958</v>
      </c>
      <c r="M6262" t="s">
        <v>18958</v>
      </c>
      <c r="N6262" t="s">
        <v>23557</v>
      </c>
      <c r="O6262" t="s">
        <v>26523</v>
      </c>
      <c r="P6262" t="s">
        <v>26560</v>
      </c>
      <c r="R6262" t="s">
        <v>26580</v>
      </c>
      <c r="S6262" t="s">
        <v>18959</v>
      </c>
      <c r="U6262" t="s">
        <v>26604</v>
      </c>
      <c r="V6262" t="s">
        <v>26610</v>
      </c>
      <c r="W6262" t="s">
        <v>753</v>
      </c>
      <c r="X6262">
        <v>500</v>
      </c>
      <c r="Y6262" t="s">
        <v>26651</v>
      </c>
      <c r="Z6262" t="s">
        <v>26664</v>
      </c>
      <c r="AB6262" t="s">
        <v>28893</v>
      </c>
      <c r="AD6262" t="s">
        <v>41804</v>
      </c>
      <c r="AE6262">
        <v>0</v>
      </c>
      <c r="AF6262" t="s">
        <v>45552</v>
      </c>
      <c r="AG6262" t="s">
        <v>19330</v>
      </c>
      <c r="AH6262">
        <v>8</v>
      </c>
      <c r="AI6262">
        <v>1</v>
      </c>
      <c r="AJ6262">
        <v>0</v>
      </c>
      <c r="AK6262">
        <v>200.16</v>
      </c>
      <c r="AN6262" t="s">
        <v>7439</v>
      </c>
      <c r="AO6262">
        <v>25000</v>
      </c>
      <c r="AU6262">
        <v>5.5</v>
      </c>
      <c r="AV6262" t="s">
        <v>828</v>
      </c>
      <c r="AW6262" t="s">
        <v>314</v>
      </c>
    </row>
    <row r="6263" spans="1:50">
      <c r="A6263" s="1">
        <f>HYPERLINK("https://lsnyc.legalserver.org/matter/dynamic-profile/view/1892912","19-1892912")</f>
        <v>0</v>
      </c>
      <c r="B6263" t="s">
        <v>82</v>
      </c>
      <c r="C6263" t="s">
        <v>340</v>
      </c>
      <c r="D6263" t="s">
        <v>753</v>
      </c>
      <c r="F6263" t="s">
        <v>887</v>
      </c>
      <c r="G6263" t="s">
        <v>7958</v>
      </c>
      <c r="H6263" t="s">
        <v>14154</v>
      </c>
      <c r="I6263" t="s">
        <v>17355</v>
      </c>
      <c r="J6263" t="s">
        <v>18892</v>
      </c>
      <c r="K6263">
        <v>10462</v>
      </c>
      <c r="L6263" t="s">
        <v>18958</v>
      </c>
      <c r="M6263" t="s">
        <v>18958</v>
      </c>
      <c r="N6263" t="s">
        <v>23558</v>
      </c>
      <c r="O6263" t="s">
        <v>26523</v>
      </c>
      <c r="P6263" t="s">
        <v>26560</v>
      </c>
      <c r="R6263" t="s">
        <v>26579</v>
      </c>
      <c r="S6263" t="s">
        <v>18959</v>
      </c>
      <c r="U6263" t="s">
        <v>26604</v>
      </c>
      <c r="W6263" t="s">
        <v>753</v>
      </c>
      <c r="X6263">
        <v>1700.68</v>
      </c>
      <c r="Y6263" t="s">
        <v>26650</v>
      </c>
      <c r="Z6263" t="s">
        <v>26668</v>
      </c>
      <c r="AB6263" t="s">
        <v>31568</v>
      </c>
      <c r="AD6263" t="s">
        <v>41805</v>
      </c>
      <c r="AE6263">
        <v>0</v>
      </c>
      <c r="AF6263" t="s">
        <v>20460</v>
      </c>
      <c r="AG6263" t="s">
        <v>19330</v>
      </c>
      <c r="AH6263">
        <v>22</v>
      </c>
      <c r="AI6263">
        <v>1</v>
      </c>
      <c r="AJ6263">
        <v>0</v>
      </c>
      <c r="AK6263">
        <v>131.34</v>
      </c>
      <c r="AN6263" t="s">
        <v>7439</v>
      </c>
      <c r="AO6263">
        <v>16404</v>
      </c>
      <c r="AU6263">
        <v>14.5</v>
      </c>
      <c r="AV6263" t="s">
        <v>720</v>
      </c>
      <c r="AW6263" t="s">
        <v>46871</v>
      </c>
    </row>
    <row r="6264" spans="1:50">
      <c r="A6264" s="1">
        <f>HYPERLINK("https://lsnyc.legalserver.org/matter/dynamic-profile/view/1892892","19-1892892")</f>
        <v>0</v>
      </c>
      <c r="B6264" t="s">
        <v>120</v>
      </c>
      <c r="C6264" t="s">
        <v>340</v>
      </c>
      <c r="D6264" t="s">
        <v>753</v>
      </c>
      <c r="F6264" t="s">
        <v>1032</v>
      </c>
      <c r="G6264" t="s">
        <v>5100</v>
      </c>
      <c r="H6264" t="s">
        <v>14155</v>
      </c>
      <c r="I6264" t="s">
        <v>17293</v>
      </c>
      <c r="J6264" t="s">
        <v>18892</v>
      </c>
      <c r="K6264">
        <v>10454</v>
      </c>
      <c r="L6264" t="s">
        <v>18958</v>
      </c>
      <c r="M6264" t="s">
        <v>18958</v>
      </c>
      <c r="N6264" t="s">
        <v>23559</v>
      </c>
      <c r="O6264" t="s">
        <v>26523</v>
      </c>
      <c r="P6264" t="s">
        <v>26560</v>
      </c>
      <c r="R6264" t="s">
        <v>26577</v>
      </c>
      <c r="S6264" t="s">
        <v>18959</v>
      </c>
      <c r="U6264" t="s">
        <v>26604</v>
      </c>
      <c r="W6264" t="s">
        <v>753</v>
      </c>
      <c r="X6264">
        <v>1465.51</v>
      </c>
      <c r="Y6264" t="s">
        <v>26650</v>
      </c>
      <c r="Z6264" t="s">
        <v>26659</v>
      </c>
      <c r="AB6264" t="s">
        <v>31569</v>
      </c>
      <c r="AC6264" t="s">
        <v>36123</v>
      </c>
      <c r="AD6264" t="s">
        <v>41806</v>
      </c>
      <c r="AE6264">
        <v>36</v>
      </c>
      <c r="AF6264" t="s">
        <v>45541</v>
      </c>
      <c r="AG6264" t="s">
        <v>45557</v>
      </c>
      <c r="AH6264">
        <v>5</v>
      </c>
      <c r="AI6264">
        <v>1</v>
      </c>
      <c r="AJ6264">
        <v>2</v>
      </c>
      <c r="AK6264">
        <v>18.89</v>
      </c>
      <c r="AN6264" t="s">
        <v>7439</v>
      </c>
      <c r="AO6264">
        <v>4030</v>
      </c>
      <c r="AU6264">
        <v>6.5</v>
      </c>
      <c r="AV6264" t="s">
        <v>810</v>
      </c>
      <c r="AW6264" t="s">
        <v>46832</v>
      </c>
      <c r="AX6264" t="s">
        <v>46897</v>
      </c>
    </row>
    <row r="6265" spans="1:50">
      <c r="A6265" s="1">
        <f>HYPERLINK("https://lsnyc.legalserver.org/matter/dynamic-profile/view/1893456","19-1893456")</f>
        <v>0</v>
      </c>
      <c r="B6265" t="s">
        <v>120</v>
      </c>
      <c r="C6265" t="s">
        <v>340</v>
      </c>
      <c r="D6265" t="s">
        <v>753</v>
      </c>
      <c r="F6265" t="s">
        <v>1834</v>
      </c>
      <c r="G6265" t="s">
        <v>7072</v>
      </c>
      <c r="H6265" t="s">
        <v>14156</v>
      </c>
      <c r="I6265" t="s">
        <v>17278</v>
      </c>
      <c r="J6265" t="s">
        <v>18892</v>
      </c>
      <c r="K6265">
        <v>10457</v>
      </c>
      <c r="L6265" t="s">
        <v>18958</v>
      </c>
      <c r="M6265" t="s">
        <v>18958</v>
      </c>
      <c r="N6265" t="s">
        <v>23560</v>
      </c>
      <c r="O6265" t="s">
        <v>26524</v>
      </c>
      <c r="P6265" t="s">
        <v>26560</v>
      </c>
      <c r="R6265" t="s">
        <v>26579</v>
      </c>
      <c r="S6265" t="s">
        <v>18959</v>
      </c>
      <c r="U6265" t="s">
        <v>26604</v>
      </c>
      <c r="V6265" t="s">
        <v>26610</v>
      </c>
      <c r="W6265" t="s">
        <v>753</v>
      </c>
      <c r="X6265">
        <v>1490</v>
      </c>
      <c r="Y6265" t="s">
        <v>26650</v>
      </c>
      <c r="Z6265" t="s">
        <v>26668</v>
      </c>
      <c r="AB6265" t="s">
        <v>31570</v>
      </c>
      <c r="AC6265" t="s">
        <v>36124</v>
      </c>
      <c r="AD6265" t="s">
        <v>41807</v>
      </c>
      <c r="AE6265">
        <v>0</v>
      </c>
      <c r="AF6265" t="s">
        <v>45543</v>
      </c>
      <c r="AG6265" t="s">
        <v>19330</v>
      </c>
      <c r="AH6265">
        <v>7</v>
      </c>
      <c r="AI6265">
        <v>2</v>
      </c>
      <c r="AJ6265">
        <v>1</v>
      </c>
      <c r="AK6265">
        <v>93.76000000000001</v>
      </c>
      <c r="AN6265" t="s">
        <v>45581</v>
      </c>
      <c r="AO6265">
        <v>20000</v>
      </c>
      <c r="AU6265">
        <v>16</v>
      </c>
      <c r="AV6265" t="s">
        <v>831</v>
      </c>
      <c r="AW6265" t="s">
        <v>46832</v>
      </c>
    </row>
    <row r="6266" spans="1:50">
      <c r="A6266" s="1">
        <f>HYPERLINK("https://lsnyc.legalserver.org/matter/dynamic-profile/view/1893352","19-1893352")</f>
        <v>0</v>
      </c>
      <c r="B6266" t="s">
        <v>120</v>
      </c>
      <c r="C6266" t="s">
        <v>340</v>
      </c>
      <c r="D6266" t="s">
        <v>753</v>
      </c>
      <c r="F6266" t="s">
        <v>3623</v>
      </c>
      <c r="G6266" t="s">
        <v>7959</v>
      </c>
      <c r="H6266" t="s">
        <v>14157</v>
      </c>
      <c r="I6266" t="s">
        <v>17343</v>
      </c>
      <c r="J6266" t="s">
        <v>18892</v>
      </c>
      <c r="K6266">
        <v>10467</v>
      </c>
      <c r="L6266" t="s">
        <v>18958</v>
      </c>
      <c r="M6266" t="s">
        <v>18958</v>
      </c>
      <c r="N6266" t="s">
        <v>23561</v>
      </c>
      <c r="O6266" t="s">
        <v>26523</v>
      </c>
      <c r="P6266" t="s">
        <v>26560</v>
      </c>
      <c r="R6266" t="s">
        <v>26579</v>
      </c>
      <c r="S6266" t="s">
        <v>18959</v>
      </c>
      <c r="U6266" t="s">
        <v>26604</v>
      </c>
      <c r="V6266" t="s">
        <v>26610</v>
      </c>
      <c r="W6266" t="s">
        <v>753</v>
      </c>
      <c r="X6266">
        <v>945.36</v>
      </c>
      <c r="Y6266" t="s">
        <v>26650</v>
      </c>
      <c r="Z6266" t="s">
        <v>26668</v>
      </c>
      <c r="AB6266" t="s">
        <v>28046</v>
      </c>
      <c r="AD6266" t="s">
        <v>41808</v>
      </c>
      <c r="AE6266">
        <v>0</v>
      </c>
      <c r="AF6266" t="s">
        <v>20460</v>
      </c>
      <c r="AG6266" t="s">
        <v>19330</v>
      </c>
      <c r="AH6266">
        <v>5</v>
      </c>
      <c r="AI6266">
        <v>2</v>
      </c>
      <c r="AJ6266">
        <v>0</v>
      </c>
      <c r="AK6266">
        <v>179.48</v>
      </c>
      <c r="AN6266" t="s">
        <v>45581</v>
      </c>
      <c r="AO6266">
        <v>30350</v>
      </c>
      <c r="AU6266">
        <v>12.5</v>
      </c>
      <c r="AV6266" t="s">
        <v>836</v>
      </c>
      <c r="AW6266" t="s">
        <v>46832</v>
      </c>
    </row>
    <row r="6267" spans="1:50">
      <c r="A6267" s="1">
        <f>HYPERLINK("https://lsnyc.legalserver.org/matter/dynamic-profile/view/1893206","19-1893206")</f>
        <v>0</v>
      </c>
      <c r="B6267" t="s">
        <v>187</v>
      </c>
      <c r="C6267" t="s">
        <v>340</v>
      </c>
      <c r="D6267" t="s">
        <v>753</v>
      </c>
      <c r="F6267" t="s">
        <v>1197</v>
      </c>
      <c r="G6267" t="s">
        <v>5447</v>
      </c>
      <c r="H6267" t="s">
        <v>14158</v>
      </c>
      <c r="I6267" t="s">
        <v>17425</v>
      </c>
      <c r="J6267" t="s">
        <v>18892</v>
      </c>
      <c r="K6267">
        <v>10467</v>
      </c>
      <c r="L6267" t="s">
        <v>18958</v>
      </c>
      <c r="M6267" t="s">
        <v>18958</v>
      </c>
      <c r="N6267" t="s">
        <v>23562</v>
      </c>
      <c r="O6267" t="s">
        <v>26523</v>
      </c>
      <c r="P6267" t="s">
        <v>26560</v>
      </c>
      <c r="R6267" t="s">
        <v>26579</v>
      </c>
      <c r="S6267" t="s">
        <v>18959</v>
      </c>
      <c r="U6267" t="s">
        <v>26604</v>
      </c>
      <c r="W6267" t="s">
        <v>753</v>
      </c>
      <c r="X6267">
        <v>1800</v>
      </c>
      <c r="Y6267" t="s">
        <v>26650</v>
      </c>
      <c r="Z6267" t="s">
        <v>26668</v>
      </c>
      <c r="AB6267" t="s">
        <v>31571</v>
      </c>
      <c r="AC6267" t="s">
        <v>36125</v>
      </c>
      <c r="AD6267" t="s">
        <v>41809</v>
      </c>
      <c r="AE6267">
        <v>0</v>
      </c>
      <c r="AF6267" t="s">
        <v>45543</v>
      </c>
      <c r="AG6267" t="s">
        <v>45556</v>
      </c>
      <c r="AH6267">
        <v>17</v>
      </c>
      <c r="AI6267">
        <v>1</v>
      </c>
      <c r="AJ6267">
        <v>0</v>
      </c>
      <c r="AK6267">
        <v>35.39</v>
      </c>
      <c r="AN6267" t="s">
        <v>7439</v>
      </c>
      <c r="AO6267">
        <v>4420</v>
      </c>
      <c r="AU6267">
        <v>10.4</v>
      </c>
      <c r="AV6267" t="s">
        <v>826</v>
      </c>
      <c r="AW6267" t="s">
        <v>46832</v>
      </c>
    </row>
    <row r="6268" spans="1:50">
      <c r="A6268" s="1">
        <f>HYPERLINK("https://lsnyc.legalserver.org/matter/dynamic-profile/view/1893086","19-1893086")</f>
        <v>0</v>
      </c>
      <c r="B6268" t="s">
        <v>187</v>
      </c>
      <c r="C6268" t="s">
        <v>340</v>
      </c>
      <c r="D6268" t="s">
        <v>753</v>
      </c>
      <c r="F6268" t="s">
        <v>3624</v>
      </c>
      <c r="G6268" t="s">
        <v>5111</v>
      </c>
      <c r="H6268" t="s">
        <v>11966</v>
      </c>
      <c r="I6268">
        <v>24</v>
      </c>
      <c r="J6268" t="s">
        <v>18892</v>
      </c>
      <c r="K6268">
        <v>10468</v>
      </c>
      <c r="L6268" t="s">
        <v>18958</v>
      </c>
      <c r="M6268" t="s">
        <v>18958</v>
      </c>
      <c r="N6268" t="s">
        <v>23563</v>
      </c>
      <c r="O6268" t="s">
        <v>26523</v>
      </c>
      <c r="P6268" t="s">
        <v>26560</v>
      </c>
      <c r="R6268" t="s">
        <v>26579</v>
      </c>
      <c r="S6268" t="s">
        <v>18959</v>
      </c>
      <c r="U6268" t="s">
        <v>26604</v>
      </c>
      <c r="V6268" t="s">
        <v>26610</v>
      </c>
      <c r="W6268" t="s">
        <v>753</v>
      </c>
      <c r="X6268">
        <v>725.49</v>
      </c>
      <c r="Y6268" t="s">
        <v>26650</v>
      </c>
      <c r="Z6268" t="s">
        <v>26668</v>
      </c>
      <c r="AB6268" t="s">
        <v>31572</v>
      </c>
      <c r="AC6268" t="s">
        <v>36126</v>
      </c>
      <c r="AD6268" t="s">
        <v>41810</v>
      </c>
      <c r="AE6268">
        <v>25</v>
      </c>
      <c r="AF6268" t="s">
        <v>20460</v>
      </c>
      <c r="AG6268" t="s">
        <v>45557</v>
      </c>
      <c r="AH6268">
        <v>22</v>
      </c>
      <c r="AI6268">
        <v>1</v>
      </c>
      <c r="AJ6268">
        <v>1</v>
      </c>
      <c r="AK6268">
        <v>63.68</v>
      </c>
      <c r="AN6268" t="s">
        <v>45581</v>
      </c>
      <c r="AO6268">
        <v>10768</v>
      </c>
      <c r="AU6268">
        <v>5.7</v>
      </c>
      <c r="AV6268" t="s">
        <v>763</v>
      </c>
      <c r="AW6268" t="s">
        <v>46832</v>
      </c>
    </row>
    <row r="6269" spans="1:50">
      <c r="A6269" s="1">
        <f>HYPERLINK("https://lsnyc.legalserver.org/matter/dynamic-profile/view/1892877","19-1892877")</f>
        <v>0</v>
      </c>
      <c r="B6269" t="s">
        <v>273</v>
      </c>
      <c r="C6269" t="s">
        <v>340</v>
      </c>
      <c r="D6269" t="s">
        <v>753</v>
      </c>
      <c r="F6269" t="s">
        <v>1512</v>
      </c>
      <c r="G6269" t="s">
        <v>5685</v>
      </c>
      <c r="H6269" t="s">
        <v>10374</v>
      </c>
      <c r="I6269">
        <v>2</v>
      </c>
      <c r="J6269" t="s">
        <v>18893</v>
      </c>
      <c r="K6269">
        <v>10034</v>
      </c>
      <c r="L6269" t="s">
        <v>18958</v>
      </c>
      <c r="M6269" t="s">
        <v>18958</v>
      </c>
      <c r="P6269" t="s">
        <v>26564</v>
      </c>
      <c r="R6269" t="s">
        <v>26578</v>
      </c>
      <c r="S6269" t="s">
        <v>18958</v>
      </c>
      <c r="U6269" t="s">
        <v>26604</v>
      </c>
      <c r="W6269" t="s">
        <v>753</v>
      </c>
      <c r="X6269">
        <v>803</v>
      </c>
      <c r="Y6269" t="s">
        <v>26651</v>
      </c>
      <c r="Z6269" t="s">
        <v>26659</v>
      </c>
      <c r="AB6269" t="s">
        <v>27561</v>
      </c>
      <c r="AC6269" t="s">
        <v>36127</v>
      </c>
      <c r="AD6269" t="s">
        <v>37617</v>
      </c>
      <c r="AE6269">
        <v>25</v>
      </c>
      <c r="AF6269" t="s">
        <v>45541</v>
      </c>
      <c r="AG6269" t="s">
        <v>45559</v>
      </c>
      <c r="AH6269">
        <v>14</v>
      </c>
      <c r="AI6269">
        <v>1</v>
      </c>
      <c r="AJ6269">
        <v>1</v>
      </c>
      <c r="AK6269">
        <v>67.63</v>
      </c>
      <c r="AN6269" t="s">
        <v>45581</v>
      </c>
      <c r="AO6269">
        <v>11436</v>
      </c>
      <c r="AU6269">
        <v>0</v>
      </c>
      <c r="AW6269" t="s">
        <v>46840</v>
      </c>
    </row>
    <row r="6270" spans="1:50">
      <c r="A6270" s="1">
        <f>HYPERLINK("https://lsnyc.legalserver.org/matter/dynamic-profile/view/1892846","19-1892846")</f>
        <v>0</v>
      </c>
      <c r="B6270" t="s">
        <v>273</v>
      </c>
      <c r="C6270" t="s">
        <v>340</v>
      </c>
      <c r="D6270" t="s">
        <v>753</v>
      </c>
      <c r="F6270" t="s">
        <v>2825</v>
      </c>
      <c r="G6270" t="s">
        <v>6776</v>
      </c>
      <c r="H6270" t="s">
        <v>10374</v>
      </c>
      <c r="I6270">
        <v>52</v>
      </c>
      <c r="J6270" t="s">
        <v>18893</v>
      </c>
      <c r="K6270">
        <v>10034</v>
      </c>
      <c r="L6270" t="s">
        <v>18958</v>
      </c>
      <c r="M6270" t="s">
        <v>18958</v>
      </c>
      <c r="P6270" t="s">
        <v>26564</v>
      </c>
      <c r="R6270" t="s">
        <v>26578</v>
      </c>
      <c r="S6270" t="s">
        <v>18958</v>
      </c>
      <c r="U6270" t="s">
        <v>26604</v>
      </c>
      <c r="W6270" t="s">
        <v>753</v>
      </c>
      <c r="X6270">
        <v>900</v>
      </c>
      <c r="Y6270" t="s">
        <v>26651</v>
      </c>
      <c r="Z6270" t="s">
        <v>26661</v>
      </c>
      <c r="AB6270" t="s">
        <v>27681</v>
      </c>
      <c r="AC6270" t="s">
        <v>36128</v>
      </c>
      <c r="AD6270" t="s">
        <v>41811</v>
      </c>
      <c r="AE6270">
        <v>25</v>
      </c>
      <c r="AF6270" t="s">
        <v>45541</v>
      </c>
      <c r="AG6270" t="s">
        <v>19330</v>
      </c>
      <c r="AH6270">
        <v>35</v>
      </c>
      <c r="AI6270">
        <v>1</v>
      </c>
      <c r="AJ6270">
        <v>0</v>
      </c>
      <c r="AK6270">
        <v>76</v>
      </c>
      <c r="AN6270" t="s">
        <v>45581</v>
      </c>
      <c r="AO6270">
        <v>9492</v>
      </c>
      <c r="AU6270">
        <v>0</v>
      </c>
      <c r="AW6270" t="s">
        <v>46840</v>
      </c>
    </row>
    <row r="6271" spans="1:50">
      <c r="A6271" s="1">
        <f>HYPERLINK("https://lsnyc.legalserver.org/matter/dynamic-profile/view/1892836","19-1892836")</f>
        <v>0</v>
      </c>
      <c r="B6271" t="s">
        <v>273</v>
      </c>
      <c r="C6271" t="s">
        <v>340</v>
      </c>
      <c r="D6271" t="s">
        <v>753</v>
      </c>
      <c r="F6271" t="s">
        <v>3089</v>
      </c>
      <c r="G6271" t="s">
        <v>5169</v>
      </c>
      <c r="H6271" t="s">
        <v>10374</v>
      </c>
      <c r="I6271">
        <v>5</v>
      </c>
      <c r="J6271" t="s">
        <v>18893</v>
      </c>
      <c r="K6271">
        <v>10034</v>
      </c>
      <c r="L6271" t="s">
        <v>18958</v>
      </c>
      <c r="M6271" t="s">
        <v>18958</v>
      </c>
      <c r="P6271" t="s">
        <v>26564</v>
      </c>
      <c r="R6271" t="s">
        <v>26578</v>
      </c>
      <c r="S6271" t="s">
        <v>18958</v>
      </c>
      <c r="U6271" t="s">
        <v>26604</v>
      </c>
      <c r="W6271" t="s">
        <v>753</v>
      </c>
      <c r="X6271">
        <v>694.11</v>
      </c>
      <c r="Y6271" t="s">
        <v>26651</v>
      </c>
      <c r="Z6271" t="s">
        <v>26659</v>
      </c>
      <c r="AB6271" t="s">
        <v>30449</v>
      </c>
      <c r="AD6271" t="s">
        <v>40621</v>
      </c>
      <c r="AE6271">
        <v>25</v>
      </c>
      <c r="AF6271" t="s">
        <v>45541</v>
      </c>
      <c r="AG6271" t="s">
        <v>45559</v>
      </c>
      <c r="AH6271">
        <v>47</v>
      </c>
      <c r="AI6271">
        <v>2</v>
      </c>
      <c r="AJ6271">
        <v>0</v>
      </c>
      <c r="AK6271">
        <v>123.62</v>
      </c>
      <c r="AN6271" t="s">
        <v>7439</v>
      </c>
      <c r="AO6271">
        <v>20904</v>
      </c>
      <c r="AU6271">
        <v>6.2</v>
      </c>
      <c r="AV6271" t="s">
        <v>803</v>
      </c>
      <c r="AW6271" t="s">
        <v>46840</v>
      </c>
    </row>
    <row r="6272" spans="1:50">
      <c r="A6272" s="1">
        <f>HYPERLINK("https://lsnyc.legalserver.org/matter/dynamic-profile/view/1892864","19-1892864")</f>
        <v>0</v>
      </c>
      <c r="B6272" t="s">
        <v>194</v>
      </c>
      <c r="C6272" t="s">
        <v>340</v>
      </c>
      <c r="D6272" t="s">
        <v>753</v>
      </c>
      <c r="F6272" t="s">
        <v>3625</v>
      </c>
      <c r="G6272" t="s">
        <v>5828</v>
      </c>
      <c r="H6272" t="s">
        <v>14159</v>
      </c>
      <c r="I6272">
        <v>232</v>
      </c>
      <c r="J6272" t="s">
        <v>18893</v>
      </c>
      <c r="K6272">
        <v>10025</v>
      </c>
      <c r="L6272" t="s">
        <v>18958</v>
      </c>
      <c r="M6272" t="s">
        <v>18958</v>
      </c>
      <c r="N6272" t="s">
        <v>23564</v>
      </c>
      <c r="O6272" t="s">
        <v>26523</v>
      </c>
      <c r="P6272" t="s">
        <v>26560</v>
      </c>
      <c r="R6272" t="s">
        <v>26580</v>
      </c>
      <c r="S6272" t="s">
        <v>18959</v>
      </c>
      <c r="U6272" t="s">
        <v>26604</v>
      </c>
      <c r="V6272" t="s">
        <v>26610</v>
      </c>
      <c r="W6272" t="s">
        <v>753</v>
      </c>
      <c r="X6272">
        <v>604</v>
      </c>
      <c r="Y6272" t="s">
        <v>26651</v>
      </c>
      <c r="Z6272" t="s">
        <v>26655</v>
      </c>
      <c r="AB6272" t="s">
        <v>29616</v>
      </c>
      <c r="AD6272" t="s">
        <v>41812</v>
      </c>
      <c r="AE6272">
        <v>0</v>
      </c>
      <c r="AF6272" t="s">
        <v>20460</v>
      </c>
      <c r="AG6272" t="s">
        <v>26530</v>
      </c>
      <c r="AH6272">
        <v>9</v>
      </c>
      <c r="AI6272">
        <v>1</v>
      </c>
      <c r="AJ6272">
        <v>0</v>
      </c>
      <c r="AK6272">
        <v>18.73</v>
      </c>
      <c r="AN6272" t="s">
        <v>45581</v>
      </c>
      <c r="AO6272">
        <v>2340</v>
      </c>
      <c r="AU6272">
        <v>10.7</v>
      </c>
      <c r="AV6272" t="s">
        <v>720</v>
      </c>
      <c r="AW6272" t="s">
        <v>314</v>
      </c>
    </row>
    <row r="6273" spans="1:50">
      <c r="A6273" s="1">
        <f>HYPERLINK("https://lsnyc.legalserver.org/matter/dynamic-profile/view/1892937","19-1892937")</f>
        <v>0</v>
      </c>
      <c r="B6273" t="s">
        <v>62</v>
      </c>
      <c r="C6273" t="s">
        <v>340</v>
      </c>
      <c r="D6273" t="s">
        <v>753</v>
      </c>
      <c r="F6273" t="s">
        <v>3253</v>
      </c>
      <c r="G6273" t="s">
        <v>5269</v>
      </c>
      <c r="H6273" t="s">
        <v>14160</v>
      </c>
      <c r="I6273" t="s">
        <v>17798</v>
      </c>
      <c r="J6273" t="s">
        <v>18893</v>
      </c>
      <c r="K6273">
        <v>10009</v>
      </c>
      <c r="L6273" t="s">
        <v>18958</v>
      </c>
      <c r="M6273" t="s">
        <v>18958</v>
      </c>
      <c r="N6273" t="s">
        <v>23565</v>
      </c>
      <c r="O6273" t="s">
        <v>26524</v>
      </c>
      <c r="P6273" t="s">
        <v>26560</v>
      </c>
      <c r="R6273" t="s">
        <v>26582</v>
      </c>
      <c r="S6273" t="s">
        <v>18959</v>
      </c>
      <c r="U6273" t="s">
        <v>26605</v>
      </c>
      <c r="V6273" t="s">
        <v>26614</v>
      </c>
      <c r="W6273" t="s">
        <v>753</v>
      </c>
      <c r="X6273">
        <v>924</v>
      </c>
      <c r="Y6273" t="s">
        <v>26651</v>
      </c>
      <c r="Z6273" t="s">
        <v>26664</v>
      </c>
      <c r="AB6273" t="s">
        <v>31573</v>
      </c>
      <c r="AC6273" t="s">
        <v>36129</v>
      </c>
      <c r="AD6273" t="s">
        <v>41813</v>
      </c>
      <c r="AE6273">
        <v>0</v>
      </c>
      <c r="AF6273" t="s">
        <v>45549</v>
      </c>
      <c r="AG6273" t="s">
        <v>26530</v>
      </c>
      <c r="AH6273">
        <v>4</v>
      </c>
      <c r="AI6273">
        <v>1</v>
      </c>
      <c r="AJ6273">
        <v>2</v>
      </c>
      <c r="AK6273">
        <v>85.33</v>
      </c>
      <c r="AN6273" t="s">
        <v>7439</v>
      </c>
      <c r="AO6273">
        <v>18200</v>
      </c>
      <c r="AU6273">
        <v>24.1</v>
      </c>
      <c r="AV6273" t="s">
        <v>671</v>
      </c>
      <c r="AW6273" t="s">
        <v>46875</v>
      </c>
    </row>
    <row r="6274" spans="1:50">
      <c r="A6274" s="1">
        <f>HYPERLINK("https://lsnyc.legalserver.org/matter/dynamic-profile/view/1892874","19-1892874")</f>
        <v>0</v>
      </c>
      <c r="B6274" t="s">
        <v>62</v>
      </c>
      <c r="C6274" t="s">
        <v>340</v>
      </c>
      <c r="D6274" t="s">
        <v>753</v>
      </c>
      <c r="F6274" t="s">
        <v>1850</v>
      </c>
      <c r="G6274" t="s">
        <v>6641</v>
      </c>
      <c r="H6274" t="s">
        <v>14161</v>
      </c>
      <c r="I6274" t="s">
        <v>17360</v>
      </c>
      <c r="J6274" t="s">
        <v>18893</v>
      </c>
      <c r="K6274">
        <v>10026</v>
      </c>
      <c r="L6274" t="s">
        <v>18958</v>
      </c>
      <c r="M6274" t="s">
        <v>18958</v>
      </c>
      <c r="N6274" t="s">
        <v>23566</v>
      </c>
      <c r="O6274" t="s">
        <v>26524</v>
      </c>
      <c r="P6274" t="s">
        <v>26560</v>
      </c>
      <c r="R6274" t="s">
        <v>26580</v>
      </c>
      <c r="S6274" t="s">
        <v>18959</v>
      </c>
      <c r="U6274" t="s">
        <v>26604</v>
      </c>
      <c r="V6274" t="s">
        <v>26610</v>
      </c>
      <c r="W6274" t="s">
        <v>753</v>
      </c>
      <c r="X6274">
        <v>676</v>
      </c>
      <c r="Y6274" t="s">
        <v>26651</v>
      </c>
      <c r="Z6274" t="s">
        <v>26668</v>
      </c>
      <c r="AB6274" t="s">
        <v>31574</v>
      </c>
      <c r="AE6274">
        <v>0</v>
      </c>
      <c r="AF6274" t="s">
        <v>20460</v>
      </c>
      <c r="AG6274" t="s">
        <v>19330</v>
      </c>
      <c r="AH6274">
        <v>2</v>
      </c>
      <c r="AI6274">
        <v>1</v>
      </c>
      <c r="AJ6274">
        <v>0</v>
      </c>
      <c r="AK6274">
        <v>0</v>
      </c>
      <c r="AN6274" t="s">
        <v>7439</v>
      </c>
      <c r="AO6274">
        <v>0</v>
      </c>
      <c r="AU6274">
        <v>11.6</v>
      </c>
      <c r="AV6274" t="s">
        <v>800</v>
      </c>
      <c r="AW6274" t="s">
        <v>314</v>
      </c>
    </row>
    <row r="6275" spans="1:50">
      <c r="A6275" s="1">
        <f>HYPERLINK("https://lsnyc.legalserver.org/matter/dynamic-profile/view/1892916","19-1892916")</f>
        <v>0</v>
      </c>
      <c r="B6275" t="s">
        <v>62</v>
      </c>
      <c r="C6275" t="s">
        <v>340</v>
      </c>
      <c r="D6275" t="s">
        <v>753</v>
      </c>
      <c r="F6275" t="s">
        <v>3626</v>
      </c>
      <c r="G6275" t="s">
        <v>5341</v>
      </c>
      <c r="H6275" t="s">
        <v>14162</v>
      </c>
      <c r="I6275" t="s">
        <v>17277</v>
      </c>
      <c r="J6275" t="s">
        <v>18893</v>
      </c>
      <c r="K6275">
        <v>10031</v>
      </c>
      <c r="L6275" t="s">
        <v>18958</v>
      </c>
      <c r="M6275" t="s">
        <v>18958</v>
      </c>
      <c r="N6275" t="s">
        <v>23567</v>
      </c>
      <c r="O6275" t="s">
        <v>26524</v>
      </c>
      <c r="P6275" t="s">
        <v>26560</v>
      </c>
      <c r="R6275" t="s">
        <v>26580</v>
      </c>
      <c r="S6275" t="s">
        <v>18959</v>
      </c>
      <c r="U6275" t="s">
        <v>26604</v>
      </c>
      <c r="V6275" t="s">
        <v>26610</v>
      </c>
      <c r="W6275" t="s">
        <v>753</v>
      </c>
      <c r="X6275">
        <v>630</v>
      </c>
      <c r="Y6275" t="s">
        <v>26651</v>
      </c>
      <c r="Z6275" t="s">
        <v>26664</v>
      </c>
      <c r="AB6275" t="s">
        <v>29365</v>
      </c>
      <c r="AD6275" t="s">
        <v>41814</v>
      </c>
      <c r="AE6275">
        <v>0</v>
      </c>
      <c r="AF6275" t="s">
        <v>45541</v>
      </c>
      <c r="AG6275" t="s">
        <v>19330</v>
      </c>
      <c r="AH6275">
        <v>32</v>
      </c>
      <c r="AI6275">
        <v>4</v>
      </c>
      <c r="AJ6275">
        <v>2</v>
      </c>
      <c r="AK6275">
        <v>98.29000000000001</v>
      </c>
      <c r="AN6275" t="s">
        <v>45581</v>
      </c>
      <c r="AO6275">
        <v>34000</v>
      </c>
      <c r="AU6275">
        <v>7.5</v>
      </c>
      <c r="AV6275" t="s">
        <v>834</v>
      </c>
      <c r="AW6275" t="s">
        <v>46875</v>
      </c>
    </row>
    <row r="6276" spans="1:50">
      <c r="A6276" s="1">
        <f>HYPERLINK("https://lsnyc.legalserver.org/matter/dynamic-profile/view/1878287","18-1878287")</f>
        <v>0</v>
      </c>
      <c r="B6276" t="s">
        <v>223</v>
      </c>
      <c r="C6276" t="s">
        <v>341</v>
      </c>
      <c r="D6276" t="s">
        <v>596</v>
      </c>
      <c r="E6276" t="s">
        <v>635</v>
      </c>
      <c r="F6276" t="s">
        <v>996</v>
      </c>
      <c r="G6276" t="s">
        <v>7960</v>
      </c>
      <c r="H6276" t="s">
        <v>11718</v>
      </c>
      <c r="I6276" t="s">
        <v>17306</v>
      </c>
      <c r="J6276" t="s">
        <v>18893</v>
      </c>
      <c r="K6276">
        <v>10029</v>
      </c>
      <c r="L6276" t="s">
        <v>18958</v>
      </c>
      <c r="M6276" t="s">
        <v>18958</v>
      </c>
      <c r="N6276" t="s">
        <v>20904</v>
      </c>
      <c r="O6276" t="s">
        <v>26523</v>
      </c>
      <c r="P6276" t="s">
        <v>26564</v>
      </c>
      <c r="Q6276" t="s">
        <v>26570</v>
      </c>
      <c r="R6276" t="s">
        <v>26578</v>
      </c>
      <c r="S6276" t="s">
        <v>18959</v>
      </c>
      <c r="U6276" t="s">
        <v>26604</v>
      </c>
      <c r="V6276" t="s">
        <v>26610</v>
      </c>
      <c r="W6276" t="s">
        <v>754</v>
      </c>
      <c r="X6276">
        <v>1300</v>
      </c>
      <c r="Y6276" t="s">
        <v>26651</v>
      </c>
      <c r="Z6276" t="s">
        <v>26659</v>
      </c>
      <c r="AA6276" t="s">
        <v>26683</v>
      </c>
      <c r="AB6276" t="s">
        <v>28955</v>
      </c>
      <c r="AD6276" t="s">
        <v>39012</v>
      </c>
      <c r="AE6276">
        <v>18</v>
      </c>
      <c r="AF6276" t="s">
        <v>45541</v>
      </c>
      <c r="AG6276" t="s">
        <v>19330</v>
      </c>
      <c r="AH6276">
        <v>5</v>
      </c>
      <c r="AI6276">
        <v>1</v>
      </c>
      <c r="AJ6276">
        <v>0</v>
      </c>
      <c r="AK6276">
        <v>0</v>
      </c>
      <c r="AN6276" t="s">
        <v>7439</v>
      </c>
      <c r="AO6276">
        <v>0</v>
      </c>
      <c r="AP6276" t="s">
        <v>46013</v>
      </c>
      <c r="AU6276">
        <v>1</v>
      </c>
      <c r="AV6276" t="s">
        <v>596</v>
      </c>
      <c r="AW6276" t="s">
        <v>46858</v>
      </c>
      <c r="AX6276" t="s">
        <v>46897</v>
      </c>
    </row>
    <row r="6277" spans="1:50">
      <c r="A6277" s="1">
        <f>HYPERLINK("https://lsnyc.legalserver.org/matter/dynamic-profile/view/1887744","19-1887744")</f>
        <v>0</v>
      </c>
      <c r="B6277" t="s">
        <v>286</v>
      </c>
      <c r="C6277" t="s">
        <v>341</v>
      </c>
      <c r="D6277" t="s">
        <v>458</v>
      </c>
      <c r="E6277" t="s">
        <v>754</v>
      </c>
      <c r="F6277" t="s">
        <v>3627</v>
      </c>
      <c r="G6277" t="s">
        <v>7961</v>
      </c>
      <c r="H6277" t="s">
        <v>14163</v>
      </c>
      <c r="I6277" t="s">
        <v>17430</v>
      </c>
      <c r="J6277" t="s">
        <v>18894</v>
      </c>
      <c r="K6277">
        <v>11212</v>
      </c>
      <c r="L6277" t="s">
        <v>18958</v>
      </c>
      <c r="M6277" t="s">
        <v>18958</v>
      </c>
      <c r="N6277" t="s">
        <v>23568</v>
      </c>
      <c r="O6277" t="s">
        <v>26524</v>
      </c>
      <c r="P6277" t="s">
        <v>26565</v>
      </c>
      <c r="Q6277" t="s">
        <v>26571</v>
      </c>
      <c r="R6277" t="s">
        <v>26578</v>
      </c>
      <c r="S6277" t="s">
        <v>18959</v>
      </c>
      <c r="U6277" t="s">
        <v>26604</v>
      </c>
      <c r="W6277" t="s">
        <v>754</v>
      </c>
      <c r="X6277">
        <v>1650</v>
      </c>
      <c r="Y6277" t="s">
        <v>26652</v>
      </c>
      <c r="Z6277" t="s">
        <v>26664</v>
      </c>
      <c r="AA6277" t="s">
        <v>26681</v>
      </c>
      <c r="AB6277" t="s">
        <v>31575</v>
      </c>
      <c r="AC6277" t="s">
        <v>36130</v>
      </c>
      <c r="AD6277" t="s">
        <v>41815</v>
      </c>
      <c r="AE6277">
        <v>2</v>
      </c>
      <c r="AF6277" t="s">
        <v>45547</v>
      </c>
      <c r="AG6277" t="s">
        <v>45562</v>
      </c>
      <c r="AH6277">
        <v>2</v>
      </c>
      <c r="AI6277">
        <v>1</v>
      </c>
      <c r="AJ6277">
        <v>2</v>
      </c>
      <c r="AK6277">
        <v>60.15</v>
      </c>
      <c r="AN6277" t="s">
        <v>7439</v>
      </c>
      <c r="AO6277">
        <v>12500</v>
      </c>
      <c r="AU6277">
        <v>0.25</v>
      </c>
      <c r="AV6277" t="s">
        <v>754</v>
      </c>
      <c r="AW6277" t="s">
        <v>286</v>
      </c>
      <c r="AX6277" t="s">
        <v>46897</v>
      </c>
    </row>
    <row r="6278" spans="1:50">
      <c r="A6278" s="1">
        <f>HYPERLINK("https://lsnyc.legalserver.org/matter/dynamic-profile/view/1891912","19-1891912")</f>
        <v>0</v>
      </c>
      <c r="B6278" t="s">
        <v>119</v>
      </c>
      <c r="C6278" t="s">
        <v>341</v>
      </c>
      <c r="D6278" t="s">
        <v>574</v>
      </c>
      <c r="E6278" t="s">
        <v>786</v>
      </c>
      <c r="F6278" t="s">
        <v>937</v>
      </c>
      <c r="G6278" t="s">
        <v>5100</v>
      </c>
      <c r="H6278" t="s">
        <v>14164</v>
      </c>
      <c r="I6278" t="s">
        <v>17379</v>
      </c>
      <c r="J6278" t="s">
        <v>18893</v>
      </c>
      <c r="K6278">
        <v>10035</v>
      </c>
      <c r="L6278" t="s">
        <v>18958</v>
      </c>
      <c r="M6278" t="s">
        <v>18958</v>
      </c>
      <c r="O6278" t="s">
        <v>18997</v>
      </c>
      <c r="P6278" t="s">
        <v>26564</v>
      </c>
      <c r="Q6278" t="s">
        <v>26570</v>
      </c>
      <c r="R6278" t="s">
        <v>26578</v>
      </c>
      <c r="S6278" t="s">
        <v>18959</v>
      </c>
      <c r="U6278" t="s">
        <v>26604</v>
      </c>
      <c r="V6278" t="s">
        <v>26610</v>
      </c>
      <c r="W6278" t="s">
        <v>754</v>
      </c>
      <c r="X6278">
        <v>1706</v>
      </c>
      <c r="Y6278" t="s">
        <v>26651</v>
      </c>
      <c r="Z6278" t="s">
        <v>26666</v>
      </c>
      <c r="AA6278" t="s">
        <v>26683</v>
      </c>
      <c r="AB6278" t="s">
        <v>31576</v>
      </c>
      <c r="AD6278" t="s">
        <v>41816</v>
      </c>
      <c r="AE6278">
        <v>160</v>
      </c>
      <c r="AF6278" t="s">
        <v>45541</v>
      </c>
      <c r="AG6278" t="s">
        <v>19330</v>
      </c>
      <c r="AH6278">
        <v>1</v>
      </c>
      <c r="AI6278">
        <v>1</v>
      </c>
      <c r="AJ6278">
        <v>1</v>
      </c>
      <c r="AK6278">
        <v>214.72</v>
      </c>
      <c r="AN6278" t="s">
        <v>7439</v>
      </c>
      <c r="AO6278">
        <v>36309</v>
      </c>
      <c r="AU6278">
        <v>2.5</v>
      </c>
      <c r="AV6278" t="s">
        <v>754</v>
      </c>
      <c r="AW6278" t="s">
        <v>46829</v>
      </c>
    </row>
    <row r="6279" spans="1:50">
      <c r="A6279" s="1">
        <f>HYPERLINK("https://lsnyc.legalserver.org/matter/dynamic-profile/view/1892147","19-1892147")</f>
        <v>0</v>
      </c>
      <c r="B6279" t="s">
        <v>200</v>
      </c>
      <c r="C6279" t="s">
        <v>341</v>
      </c>
      <c r="D6279" t="s">
        <v>758</v>
      </c>
      <c r="E6279" t="s">
        <v>754</v>
      </c>
      <c r="F6279" t="s">
        <v>871</v>
      </c>
      <c r="G6279" t="s">
        <v>5103</v>
      </c>
      <c r="H6279" t="s">
        <v>14165</v>
      </c>
      <c r="I6279" t="s">
        <v>17333</v>
      </c>
      <c r="J6279" t="s">
        <v>18894</v>
      </c>
      <c r="K6279">
        <v>11208</v>
      </c>
      <c r="L6279" t="s">
        <v>18958</v>
      </c>
      <c r="M6279" t="s">
        <v>18958</v>
      </c>
      <c r="N6279" t="s">
        <v>23569</v>
      </c>
      <c r="O6279" t="s">
        <v>26523</v>
      </c>
      <c r="P6279" t="s">
        <v>26564</v>
      </c>
      <c r="Q6279" t="s">
        <v>26570</v>
      </c>
      <c r="R6279" t="s">
        <v>26578</v>
      </c>
      <c r="S6279" t="s">
        <v>18959</v>
      </c>
      <c r="U6279" t="s">
        <v>26604</v>
      </c>
      <c r="W6279" t="s">
        <v>754</v>
      </c>
      <c r="X6279">
        <v>835</v>
      </c>
      <c r="Y6279" t="s">
        <v>26652</v>
      </c>
      <c r="AA6279" t="s">
        <v>26683</v>
      </c>
      <c r="AB6279" t="s">
        <v>26755</v>
      </c>
      <c r="AD6279" t="s">
        <v>41817</v>
      </c>
      <c r="AE6279">
        <v>6</v>
      </c>
      <c r="AF6279" t="s">
        <v>45541</v>
      </c>
      <c r="AG6279" t="s">
        <v>45556</v>
      </c>
      <c r="AH6279">
        <v>0</v>
      </c>
      <c r="AI6279">
        <v>1</v>
      </c>
      <c r="AJ6279">
        <v>0</v>
      </c>
      <c r="AK6279">
        <v>15.03</v>
      </c>
      <c r="AN6279" t="s">
        <v>7439</v>
      </c>
      <c r="AO6279">
        <v>1877.2</v>
      </c>
      <c r="AU6279">
        <v>1.4</v>
      </c>
      <c r="AV6279" t="s">
        <v>784</v>
      </c>
      <c r="AW6279" t="s">
        <v>286</v>
      </c>
    </row>
    <row r="6280" spans="1:50">
      <c r="A6280" s="1">
        <f>HYPERLINK("https://lsnyc.legalserver.org/matter/dynamic-profile/view/1892298","19-1892298")</f>
        <v>0</v>
      </c>
      <c r="B6280" t="s">
        <v>247</v>
      </c>
      <c r="C6280" t="s">
        <v>341</v>
      </c>
      <c r="D6280" t="s">
        <v>659</v>
      </c>
      <c r="E6280" t="s">
        <v>823</v>
      </c>
      <c r="F6280" t="s">
        <v>1517</v>
      </c>
      <c r="G6280" t="s">
        <v>7962</v>
      </c>
      <c r="H6280" t="s">
        <v>14166</v>
      </c>
      <c r="J6280" t="s">
        <v>18923</v>
      </c>
      <c r="K6280">
        <v>11418</v>
      </c>
      <c r="L6280" t="s">
        <v>18958</v>
      </c>
      <c r="M6280" t="s">
        <v>18958</v>
      </c>
      <c r="N6280" t="s">
        <v>23570</v>
      </c>
      <c r="O6280" t="s">
        <v>26523</v>
      </c>
      <c r="P6280" t="s">
        <v>26560</v>
      </c>
      <c r="Q6280" t="s">
        <v>26568</v>
      </c>
      <c r="R6280" t="s">
        <v>26584</v>
      </c>
      <c r="S6280" t="s">
        <v>18959</v>
      </c>
      <c r="U6280" t="s">
        <v>26604</v>
      </c>
      <c r="V6280" t="s">
        <v>26609</v>
      </c>
      <c r="W6280" t="s">
        <v>754</v>
      </c>
      <c r="X6280">
        <v>849.47</v>
      </c>
      <c r="Y6280" t="s">
        <v>26653</v>
      </c>
      <c r="Z6280" t="s">
        <v>26664</v>
      </c>
      <c r="AA6280" t="s">
        <v>26678</v>
      </c>
      <c r="AB6280" t="s">
        <v>31577</v>
      </c>
      <c r="AC6280" t="s">
        <v>36131</v>
      </c>
      <c r="AD6280" t="s">
        <v>41818</v>
      </c>
      <c r="AE6280">
        <v>65</v>
      </c>
      <c r="AF6280" t="s">
        <v>45541</v>
      </c>
      <c r="AG6280" t="s">
        <v>45559</v>
      </c>
      <c r="AH6280">
        <v>6</v>
      </c>
      <c r="AI6280">
        <v>1</v>
      </c>
      <c r="AJ6280">
        <v>0</v>
      </c>
      <c r="AK6280">
        <v>0</v>
      </c>
      <c r="AN6280" t="s">
        <v>7439</v>
      </c>
      <c r="AO6280">
        <v>0</v>
      </c>
      <c r="AR6280" t="s">
        <v>46379</v>
      </c>
      <c r="AS6280" t="s">
        <v>46499</v>
      </c>
      <c r="AT6280" t="s">
        <v>46785</v>
      </c>
      <c r="AU6280">
        <v>12.56</v>
      </c>
      <c r="AV6280" t="s">
        <v>762</v>
      </c>
      <c r="AW6280" t="s">
        <v>208</v>
      </c>
      <c r="AX6280" t="s">
        <v>46897</v>
      </c>
    </row>
    <row r="6281" spans="1:50">
      <c r="A6281" s="1">
        <f>HYPERLINK("https://lsnyc.legalserver.org/matter/dynamic-profile/view/1892542","19-1892542")</f>
        <v>0</v>
      </c>
      <c r="B6281" t="s">
        <v>119</v>
      </c>
      <c r="C6281" t="s">
        <v>341</v>
      </c>
      <c r="D6281" t="s">
        <v>751</v>
      </c>
      <c r="E6281" t="s">
        <v>786</v>
      </c>
      <c r="F6281" t="s">
        <v>948</v>
      </c>
      <c r="G6281" t="s">
        <v>7963</v>
      </c>
      <c r="H6281" t="s">
        <v>14167</v>
      </c>
      <c r="I6281" t="s">
        <v>17313</v>
      </c>
      <c r="J6281" t="s">
        <v>18893</v>
      </c>
      <c r="K6281">
        <v>10029</v>
      </c>
      <c r="L6281" t="s">
        <v>18958</v>
      </c>
      <c r="M6281" t="s">
        <v>18958</v>
      </c>
      <c r="N6281" t="s">
        <v>23571</v>
      </c>
      <c r="O6281" t="s">
        <v>26524</v>
      </c>
      <c r="P6281" t="s">
        <v>26564</v>
      </c>
      <c r="Q6281" t="s">
        <v>26570</v>
      </c>
      <c r="R6281" t="s">
        <v>26578</v>
      </c>
      <c r="S6281" t="s">
        <v>18959</v>
      </c>
      <c r="U6281" t="s">
        <v>26604</v>
      </c>
      <c r="V6281" t="s">
        <v>26610</v>
      </c>
      <c r="W6281" t="s">
        <v>754</v>
      </c>
      <c r="X6281">
        <v>4098</v>
      </c>
      <c r="Y6281" t="s">
        <v>26651</v>
      </c>
      <c r="Z6281" t="s">
        <v>26672</v>
      </c>
      <c r="AA6281" t="s">
        <v>26683</v>
      </c>
      <c r="AB6281" t="s">
        <v>31578</v>
      </c>
      <c r="AD6281" t="s">
        <v>41819</v>
      </c>
      <c r="AE6281">
        <v>50</v>
      </c>
      <c r="AF6281" t="s">
        <v>45541</v>
      </c>
      <c r="AH6281">
        <v>10</v>
      </c>
      <c r="AI6281">
        <v>1</v>
      </c>
      <c r="AJ6281">
        <v>0</v>
      </c>
      <c r="AK6281">
        <v>0</v>
      </c>
      <c r="AN6281" t="s">
        <v>7439</v>
      </c>
      <c r="AO6281">
        <v>0</v>
      </c>
      <c r="AU6281">
        <v>6.35</v>
      </c>
      <c r="AV6281" t="s">
        <v>759</v>
      </c>
      <c r="AW6281" t="s">
        <v>46857</v>
      </c>
    </row>
    <row r="6282" spans="1:50">
      <c r="A6282" s="1">
        <f>HYPERLINK("https://lsnyc.legalserver.org/matter/dynamic-profile/view/1892757","19-1892757")</f>
        <v>0</v>
      </c>
      <c r="B6282" t="s">
        <v>214</v>
      </c>
      <c r="C6282" t="s">
        <v>340</v>
      </c>
      <c r="D6282" t="s">
        <v>752</v>
      </c>
      <c r="F6282" t="s">
        <v>3628</v>
      </c>
      <c r="G6282" t="s">
        <v>5078</v>
      </c>
      <c r="H6282" t="s">
        <v>10494</v>
      </c>
      <c r="I6282" t="s">
        <v>18349</v>
      </c>
      <c r="J6282" t="s">
        <v>18900</v>
      </c>
      <c r="K6282">
        <v>11354</v>
      </c>
      <c r="L6282" t="s">
        <v>18958</v>
      </c>
      <c r="M6282" t="s">
        <v>18958</v>
      </c>
      <c r="N6282" t="s">
        <v>23572</v>
      </c>
      <c r="O6282" t="s">
        <v>26523</v>
      </c>
      <c r="P6282" t="s">
        <v>26560</v>
      </c>
      <c r="R6282" t="s">
        <v>26578</v>
      </c>
      <c r="S6282" t="s">
        <v>18959</v>
      </c>
      <c r="U6282" t="s">
        <v>26604</v>
      </c>
      <c r="V6282" t="s">
        <v>26611</v>
      </c>
      <c r="W6282" t="s">
        <v>754</v>
      </c>
      <c r="X6282">
        <v>1923.75</v>
      </c>
      <c r="Y6282" t="s">
        <v>26653</v>
      </c>
      <c r="Z6282" t="s">
        <v>26664</v>
      </c>
      <c r="AB6282" t="s">
        <v>27399</v>
      </c>
      <c r="AC6282" t="s">
        <v>35263</v>
      </c>
      <c r="AD6282" t="s">
        <v>41820</v>
      </c>
      <c r="AE6282">
        <v>175</v>
      </c>
      <c r="AF6282" t="s">
        <v>45541</v>
      </c>
      <c r="AG6282" t="s">
        <v>19330</v>
      </c>
      <c r="AH6282">
        <v>2</v>
      </c>
      <c r="AI6282">
        <v>1</v>
      </c>
      <c r="AJ6282">
        <v>2</v>
      </c>
      <c r="AK6282">
        <v>195.03</v>
      </c>
      <c r="AN6282" t="s">
        <v>7439</v>
      </c>
      <c r="AO6282">
        <v>41600</v>
      </c>
      <c r="AR6282" t="s">
        <v>46380</v>
      </c>
      <c r="AS6282" t="s">
        <v>46499</v>
      </c>
      <c r="AT6282" t="s">
        <v>46781</v>
      </c>
      <c r="AU6282">
        <v>6.9</v>
      </c>
      <c r="AV6282" t="s">
        <v>830</v>
      </c>
      <c r="AW6282" t="s">
        <v>214</v>
      </c>
      <c r="AX6282" t="s">
        <v>46897</v>
      </c>
    </row>
    <row r="6283" spans="1:50">
      <c r="A6283" s="1">
        <f>HYPERLINK("https://lsnyc.legalserver.org/matter/dynamic-profile/view/1893128","19-1893128")</f>
        <v>0</v>
      </c>
      <c r="B6283" t="s">
        <v>108</v>
      </c>
      <c r="C6283" t="s">
        <v>341</v>
      </c>
      <c r="D6283" t="s">
        <v>754</v>
      </c>
      <c r="E6283" t="s">
        <v>820</v>
      </c>
      <c r="F6283" t="s">
        <v>1572</v>
      </c>
      <c r="G6283" t="s">
        <v>7964</v>
      </c>
      <c r="H6283" t="s">
        <v>14168</v>
      </c>
      <c r="J6283" t="s">
        <v>18921</v>
      </c>
      <c r="K6283">
        <v>11426</v>
      </c>
      <c r="L6283" t="s">
        <v>18958</v>
      </c>
      <c r="M6283" t="s">
        <v>18958</v>
      </c>
      <c r="N6283" t="s">
        <v>23573</v>
      </c>
      <c r="O6283" t="s">
        <v>26523</v>
      </c>
      <c r="P6283" t="s">
        <v>26564</v>
      </c>
      <c r="Q6283" t="s">
        <v>26570</v>
      </c>
      <c r="R6283" t="s">
        <v>26584</v>
      </c>
      <c r="S6283" t="s">
        <v>18958</v>
      </c>
      <c r="U6283" t="s">
        <v>26604</v>
      </c>
      <c r="V6283" t="s">
        <v>26610</v>
      </c>
      <c r="W6283" t="s">
        <v>754</v>
      </c>
      <c r="X6283">
        <v>1189</v>
      </c>
      <c r="Y6283" t="s">
        <v>26653</v>
      </c>
      <c r="Z6283" t="s">
        <v>26664</v>
      </c>
      <c r="AA6283" t="s">
        <v>26683</v>
      </c>
      <c r="AB6283" t="s">
        <v>31579</v>
      </c>
      <c r="AE6283">
        <v>50</v>
      </c>
      <c r="AF6283" t="s">
        <v>45541</v>
      </c>
      <c r="AG6283" t="s">
        <v>19330</v>
      </c>
      <c r="AH6283">
        <v>60</v>
      </c>
      <c r="AI6283">
        <v>1</v>
      </c>
      <c r="AJ6283">
        <v>0</v>
      </c>
      <c r="AK6283">
        <v>0</v>
      </c>
      <c r="AN6283" t="s">
        <v>7439</v>
      </c>
      <c r="AO6283">
        <v>0</v>
      </c>
      <c r="AU6283">
        <v>0.6</v>
      </c>
      <c r="AV6283" t="s">
        <v>781</v>
      </c>
      <c r="AW6283" t="s">
        <v>46884</v>
      </c>
      <c r="AX6283" t="s">
        <v>46897</v>
      </c>
    </row>
    <row r="6284" spans="1:50">
      <c r="A6284" s="1">
        <f>HYPERLINK("https://lsnyc.legalserver.org/matter/dynamic-profile/view/1893105","19-1893105")</f>
        <v>0</v>
      </c>
      <c r="B6284" t="s">
        <v>141</v>
      </c>
      <c r="C6284" t="s">
        <v>341</v>
      </c>
      <c r="D6284" t="s">
        <v>754</v>
      </c>
      <c r="E6284" t="s">
        <v>819</v>
      </c>
      <c r="F6284" t="s">
        <v>887</v>
      </c>
      <c r="G6284" t="s">
        <v>5594</v>
      </c>
      <c r="H6284" t="s">
        <v>14169</v>
      </c>
      <c r="I6284" t="s">
        <v>18350</v>
      </c>
      <c r="J6284" t="s">
        <v>18901</v>
      </c>
      <c r="K6284">
        <v>11435</v>
      </c>
      <c r="L6284" t="s">
        <v>18958</v>
      </c>
      <c r="M6284" t="s">
        <v>18958</v>
      </c>
      <c r="N6284" t="s">
        <v>23574</v>
      </c>
      <c r="O6284" t="s">
        <v>26523</v>
      </c>
      <c r="P6284" t="s">
        <v>26560</v>
      </c>
      <c r="Q6284" t="s">
        <v>26568</v>
      </c>
      <c r="R6284" t="s">
        <v>26584</v>
      </c>
      <c r="S6284" t="s">
        <v>18959</v>
      </c>
      <c r="U6284" t="s">
        <v>26604</v>
      </c>
      <c r="V6284" t="s">
        <v>26614</v>
      </c>
      <c r="W6284" t="s">
        <v>754</v>
      </c>
      <c r="X6284">
        <v>1625</v>
      </c>
      <c r="Y6284" t="s">
        <v>26653</v>
      </c>
      <c r="Z6284" t="s">
        <v>26664</v>
      </c>
      <c r="AA6284" t="s">
        <v>26678</v>
      </c>
      <c r="AB6284" t="s">
        <v>31580</v>
      </c>
      <c r="AC6284" t="s">
        <v>34738</v>
      </c>
      <c r="AD6284" t="s">
        <v>41821</v>
      </c>
      <c r="AE6284">
        <v>48</v>
      </c>
      <c r="AF6284" t="s">
        <v>45541</v>
      </c>
      <c r="AG6284" t="s">
        <v>19330</v>
      </c>
      <c r="AH6284">
        <v>12</v>
      </c>
      <c r="AI6284">
        <v>2</v>
      </c>
      <c r="AJ6284">
        <v>3</v>
      </c>
      <c r="AK6284">
        <v>82.86</v>
      </c>
      <c r="AN6284" t="s">
        <v>45581</v>
      </c>
      <c r="AO6284">
        <v>25000</v>
      </c>
      <c r="AQ6284" t="s">
        <v>46361</v>
      </c>
      <c r="AR6284" t="s">
        <v>46379</v>
      </c>
      <c r="AS6284" t="s">
        <v>46499</v>
      </c>
      <c r="AT6284" t="s">
        <v>46556</v>
      </c>
      <c r="AU6284">
        <v>14.5</v>
      </c>
      <c r="AV6284" t="s">
        <v>800</v>
      </c>
      <c r="AW6284" t="s">
        <v>46884</v>
      </c>
      <c r="AX6284" t="s">
        <v>46897</v>
      </c>
    </row>
    <row r="6285" spans="1:50">
      <c r="A6285" s="1">
        <f>HYPERLINK("https://lsnyc.legalserver.org/matter/dynamic-profile/view/1893146","19-1893146")</f>
        <v>0</v>
      </c>
      <c r="B6285" t="s">
        <v>64</v>
      </c>
      <c r="C6285" t="s">
        <v>341</v>
      </c>
      <c r="D6285" t="s">
        <v>754</v>
      </c>
      <c r="E6285" t="s">
        <v>831</v>
      </c>
      <c r="F6285" t="s">
        <v>3629</v>
      </c>
      <c r="G6285" t="s">
        <v>7965</v>
      </c>
      <c r="H6285" t="s">
        <v>14170</v>
      </c>
      <c r="I6285" t="s">
        <v>18351</v>
      </c>
      <c r="J6285" t="s">
        <v>18892</v>
      </c>
      <c r="K6285">
        <v>10463</v>
      </c>
      <c r="L6285" t="s">
        <v>18958</v>
      </c>
      <c r="M6285" t="s">
        <v>18958</v>
      </c>
      <c r="N6285" t="s">
        <v>23575</v>
      </c>
      <c r="O6285" t="s">
        <v>26523</v>
      </c>
      <c r="P6285" t="s">
        <v>26560</v>
      </c>
      <c r="Q6285" t="s">
        <v>26568</v>
      </c>
      <c r="R6285" t="s">
        <v>26577</v>
      </c>
      <c r="U6285" t="s">
        <v>26604</v>
      </c>
      <c r="V6285" t="s">
        <v>26610</v>
      </c>
      <c r="W6285" t="s">
        <v>754</v>
      </c>
      <c r="X6285">
        <v>1271.56</v>
      </c>
      <c r="Y6285" t="s">
        <v>26650</v>
      </c>
      <c r="Z6285" t="s">
        <v>26666</v>
      </c>
      <c r="AA6285" t="s">
        <v>26678</v>
      </c>
      <c r="AB6285" t="s">
        <v>31581</v>
      </c>
      <c r="AD6285" t="s">
        <v>41822</v>
      </c>
      <c r="AE6285">
        <v>0</v>
      </c>
      <c r="AF6285" t="s">
        <v>45541</v>
      </c>
      <c r="AG6285" t="s">
        <v>19330</v>
      </c>
      <c r="AH6285">
        <v>7</v>
      </c>
      <c r="AI6285">
        <v>1</v>
      </c>
      <c r="AJ6285">
        <v>1</v>
      </c>
      <c r="AK6285">
        <v>243.8</v>
      </c>
      <c r="AL6285" t="s">
        <v>781</v>
      </c>
      <c r="AM6285" t="s">
        <v>45575</v>
      </c>
      <c r="AN6285" t="s">
        <v>7439</v>
      </c>
      <c r="AO6285">
        <v>41226</v>
      </c>
      <c r="AQ6285" t="s">
        <v>46362</v>
      </c>
      <c r="AR6285" t="s">
        <v>46383</v>
      </c>
      <c r="AS6285" t="s">
        <v>46499</v>
      </c>
      <c r="AT6285" t="s">
        <v>46799</v>
      </c>
      <c r="AU6285">
        <v>22</v>
      </c>
      <c r="AV6285" t="s">
        <v>826</v>
      </c>
      <c r="AW6285" t="s">
        <v>46885</v>
      </c>
    </row>
    <row r="6286" spans="1:50">
      <c r="A6286" s="1">
        <f>HYPERLINK("https://lsnyc.legalserver.org/matter/dynamic-profile/view/1893387","19-1893387")</f>
        <v>0</v>
      </c>
      <c r="B6286" t="s">
        <v>263</v>
      </c>
      <c r="C6286" t="s">
        <v>341</v>
      </c>
      <c r="D6286" t="s">
        <v>754</v>
      </c>
      <c r="E6286" t="s">
        <v>789</v>
      </c>
      <c r="F6286" t="s">
        <v>3630</v>
      </c>
      <c r="G6286" t="s">
        <v>5190</v>
      </c>
      <c r="H6286" t="s">
        <v>14171</v>
      </c>
      <c r="I6286">
        <v>12</v>
      </c>
      <c r="J6286" t="s">
        <v>18892</v>
      </c>
      <c r="K6286">
        <v>10454</v>
      </c>
      <c r="L6286" t="s">
        <v>18958</v>
      </c>
      <c r="M6286" t="s">
        <v>18958</v>
      </c>
      <c r="O6286" t="s">
        <v>26534</v>
      </c>
      <c r="P6286" t="s">
        <v>26564</v>
      </c>
      <c r="Q6286" t="s">
        <v>26570</v>
      </c>
      <c r="R6286" t="s">
        <v>26578</v>
      </c>
      <c r="S6286" t="s">
        <v>18959</v>
      </c>
      <c r="U6286" t="s">
        <v>26604</v>
      </c>
      <c r="W6286" t="s">
        <v>754</v>
      </c>
      <c r="X6286">
        <v>1700</v>
      </c>
      <c r="Y6286" t="s">
        <v>26650</v>
      </c>
      <c r="Z6286" t="s">
        <v>26663</v>
      </c>
      <c r="AA6286" t="s">
        <v>26683</v>
      </c>
      <c r="AB6286" t="s">
        <v>31582</v>
      </c>
      <c r="AE6286">
        <v>0</v>
      </c>
      <c r="AF6286" t="s">
        <v>45541</v>
      </c>
      <c r="AG6286" t="s">
        <v>19330</v>
      </c>
      <c r="AH6286">
        <v>1</v>
      </c>
      <c r="AI6286">
        <v>2</v>
      </c>
      <c r="AJ6286">
        <v>4</v>
      </c>
      <c r="AK6286">
        <v>86.73</v>
      </c>
      <c r="AN6286" t="s">
        <v>45581</v>
      </c>
      <c r="AO6286">
        <v>30000</v>
      </c>
      <c r="AU6286">
        <v>1.25</v>
      </c>
      <c r="AV6286" t="s">
        <v>657</v>
      </c>
      <c r="AW6286" t="s">
        <v>263</v>
      </c>
    </row>
    <row r="6287" spans="1:50">
      <c r="A6287" s="1">
        <f>HYPERLINK("https://lsnyc.legalserver.org/matter/dynamic-profile/view/1893440","19-1893440")</f>
        <v>0</v>
      </c>
      <c r="B6287" t="s">
        <v>263</v>
      </c>
      <c r="C6287" t="s">
        <v>341</v>
      </c>
      <c r="D6287" t="s">
        <v>754</v>
      </c>
      <c r="E6287" t="s">
        <v>789</v>
      </c>
      <c r="F6287" t="s">
        <v>2944</v>
      </c>
      <c r="G6287" t="s">
        <v>5978</v>
      </c>
      <c r="H6287" t="s">
        <v>14172</v>
      </c>
      <c r="I6287">
        <v>9</v>
      </c>
      <c r="J6287" t="s">
        <v>18892</v>
      </c>
      <c r="K6287">
        <v>10452</v>
      </c>
      <c r="L6287" t="s">
        <v>18958</v>
      </c>
      <c r="M6287" t="s">
        <v>18958</v>
      </c>
      <c r="O6287" t="s">
        <v>26529</v>
      </c>
      <c r="P6287" t="s">
        <v>26564</v>
      </c>
      <c r="Q6287" t="s">
        <v>26570</v>
      </c>
      <c r="R6287" t="s">
        <v>26578</v>
      </c>
      <c r="S6287" t="s">
        <v>18959</v>
      </c>
      <c r="U6287" t="s">
        <v>26604</v>
      </c>
      <c r="W6287" t="s">
        <v>754</v>
      </c>
      <c r="X6287">
        <v>666.2</v>
      </c>
      <c r="Y6287" t="s">
        <v>26650</v>
      </c>
      <c r="Z6287" t="s">
        <v>26663</v>
      </c>
      <c r="AA6287" t="s">
        <v>26683</v>
      </c>
      <c r="AB6287" t="s">
        <v>31583</v>
      </c>
      <c r="AE6287">
        <v>0</v>
      </c>
      <c r="AF6287" t="s">
        <v>45541</v>
      </c>
      <c r="AG6287" t="s">
        <v>19330</v>
      </c>
      <c r="AH6287">
        <v>31</v>
      </c>
      <c r="AI6287">
        <v>1</v>
      </c>
      <c r="AJ6287">
        <v>0</v>
      </c>
      <c r="AK6287">
        <v>112.09</v>
      </c>
      <c r="AN6287" t="s">
        <v>7439</v>
      </c>
      <c r="AO6287">
        <v>14000</v>
      </c>
      <c r="AU6287">
        <v>1</v>
      </c>
      <c r="AV6287" t="s">
        <v>754</v>
      </c>
      <c r="AW6287" t="s">
        <v>263</v>
      </c>
      <c r="AX6287" t="s">
        <v>46897</v>
      </c>
    </row>
    <row r="6288" spans="1:50">
      <c r="A6288" s="1">
        <f>HYPERLINK("https://lsnyc.legalserver.org/matter/dynamic-profile/view/1893423","19-1893423")</f>
        <v>0</v>
      </c>
      <c r="B6288" t="s">
        <v>263</v>
      </c>
      <c r="C6288" t="s">
        <v>341</v>
      </c>
      <c r="D6288" t="s">
        <v>754</v>
      </c>
      <c r="E6288" t="s">
        <v>789</v>
      </c>
      <c r="F6288" t="s">
        <v>1036</v>
      </c>
      <c r="G6288" t="s">
        <v>7966</v>
      </c>
      <c r="H6288" t="s">
        <v>14173</v>
      </c>
      <c r="I6288" t="s">
        <v>17397</v>
      </c>
      <c r="J6288" t="s">
        <v>18892</v>
      </c>
      <c r="K6288">
        <v>10452</v>
      </c>
      <c r="L6288" t="s">
        <v>18958</v>
      </c>
      <c r="M6288" t="s">
        <v>18958</v>
      </c>
      <c r="O6288" t="s">
        <v>18997</v>
      </c>
      <c r="P6288" t="s">
        <v>26565</v>
      </c>
      <c r="Q6288" t="s">
        <v>26571</v>
      </c>
      <c r="R6288" t="s">
        <v>26578</v>
      </c>
      <c r="S6288" t="s">
        <v>18959</v>
      </c>
      <c r="U6288" t="s">
        <v>26604</v>
      </c>
      <c r="W6288" t="s">
        <v>754</v>
      </c>
      <c r="X6288">
        <v>1354</v>
      </c>
      <c r="Y6288" t="s">
        <v>26650</v>
      </c>
      <c r="Z6288" t="s">
        <v>26663</v>
      </c>
      <c r="AA6288" t="s">
        <v>26683</v>
      </c>
      <c r="AB6288" t="s">
        <v>31584</v>
      </c>
      <c r="AE6288">
        <v>0</v>
      </c>
      <c r="AF6288" t="s">
        <v>45541</v>
      </c>
      <c r="AG6288" t="s">
        <v>19330</v>
      </c>
      <c r="AH6288">
        <v>5</v>
      </c>
      <c r="AI6288">
        <v>2</v>
      </c>
      <c r="AJ6288">
        <v>1</v>
      </c>
      <c r="AK6288">
        <v>118.48</v>
      </c>
      <c r="AN6288" t="s">
        <v>7439</v>
      </c>
      <c r="AO6288">
        <v>25272</v>
      </c>
      <c r="AU6288">
        <v>1</v>
      </c>
      <c r="AV6288" t="s">
        <v>754</v>
      </c>
      <c r="AW6288" t="s">
        <v>263</v>
      </c>
    </row>
    <row r="6289" spans="1:50">
      <c r="A6289" s="1">
        <f>HYPERLINK("https://lsnyc.legalserver.org/matter/dynamic-profile/view/1893101","19-1893101")</f>
        <v>0</v>
      </c>
      <c r="B6289" t="s">
        <v>126</v>
      </c>
      <c r="C6289" t="s">
        <v>341</v>
      </c>
      <c r="D6289" t="s">
        <v>754</v>
      </c>
      <c r="E6289" t="s">
        <v>775</v>
      </c>
      <c r="F6289" t="s">
        <v>3631</v>
      </c>
      <c r="G6289" t="s">
        <v>7967</v>
      </c>
      <c r="H6289" t="s">
        <v>14174</v>
      </c>
      <c r="I6289">
        <v>1</v>
      </c>
      <c r="J6289" t="s">
        <v>18894</v>
      </c>
      <c r="K6289">
        <v>11207</v>
      </c>
      <c r="L6289" t="s">
        <v>18958</v>
      </c>
      <c r="M6289" t="s">
        <v>18960</v>
      </c>
      <c r="N6289" t="s">
        <v>23576</v>
      </c>
      <c r="O6289" t="s">
        <v>26524</v>
      </c>
      <c r="P6289" t="s">
        <v>26565</v>
      </c>
      <c r="Q6289" t="s">
        <v>26571</v>
      </c>
      <c r="R6289" t="s">
        <v>26578</v>
      </c>
      <c r="U6289" t="s">
        <v>26604</v>
      </c>
      <c r="W6289" t="s">
        <v>754</v>
      </c>
      <c r="X6289">
        <v>1200</v>
      </c>
      <c r="Y6289" t="s">
        <v>26652</v>
      </c>
      <c r="AA6289" t="s">
        <v>26683</v>
      </c>
      <c r="AB6289" t="s">
        <v>28952</v>
      </c>
      <c r="AE6289">
        <v>2</v>
      </c>
      <c r="AF6289" t="s">
        <v>20460</v>
      </c>
      <c r="AH6289">
        <v>11</v>
      </c>
      <c r="AI6289">
        <v>3</v>
      </c>
      <c r="AJ6289">
        <v>0</v>
      </c>
      <c r="AK6289">
        <v>0</v>
      </c>
      <c r="AN6289" t="s">
        <v>45596</v>
      </c>
      <c r="AO6289">
        <v>0</v>
      </c>
      <c r="AU6289">
        <v>0.5</v>
      </c>
      <c r="AV6289" t="s">
        <v>754</v>
      </c>
      <c r="AW6289" t="s">
        <v>46856</v>
      </c>
    </row>
    <row r="6290" spans="1:50">
      <c r="A6290" s="1">
        <f>HYPERLINK("https://lsnyc.legalserver.org/matter/dynamic-profile/view/1893082","19-1893082")</f>
        <v>0</v>
      </c>
      <c r="B6290" t="s">
        <v>193</v>
      </c>
      <c r="C6290" t="s">
        <v>341</v>
      </c>
      <c r="D6290" t="s">
        <v>754</v>
      </c>
      <c r="E6290" t="s">
        <v>775</v>
      </c>
      <c r="F6290" t="s">
        <v>964</v>
      </c>
      <c r="G6290" t="s">
        <v>7968</v>
      </c>
      <c r="H6290" t="s">
        <v>14175</v>
      </c>
      <c r="I6290" t="s">
        <v>17456</v>
      </c>
      <c r="J6290" t="s">
        <v>18894</v>
      </c>
      <c r="K6290">
        <v>11203</v>
      </c>
      <c r="L6290" t="s">
        <v>18958</v>
      </c>
      <c r="M6290" t="s">
        <v>18960</v>
      </c>
      <c r="N6290" t="s">
        <v>23577</v>
      </c>
      <c r="O6290" t="s">
        <v>26523</v>
      </c>
      <c r="P6290" t="s">
        <v>26560</v>
      </c>
      <c r="Q6290" t="s">
        <v>26570</v>
      </c>
      <c r="R6290" t="s">
        <v>26586</v>
      </c>
      <c r="U6290" t="s">
        <v>26604</v>
      </c>
      <c r="W6290" t="s">
        <v>754</v>
      </c>
      <c r="X6290">
        <v>1250</v>
      </c>
      <c r="Y6290" t="s">
        <v>26652</v>
      </c>
      <c r="Z6290" t="s">
        <v>26664</v>
      </c>
      <c r="AA6290" t="s">
        <v>26683</v>
      </c>
      <c r="AB6290" t="s">
        <v>30294</v>
      </c>
      <c r="AD6290" t="s">
        <v>41823</v>
      </c>
      <c r="AE6290">
        <v>4</v>
      </c>
      <c r="AF6290" t="s">
        <v>20460</v>
      </c>
      <c r="AH6290">
        <v>4</v>
      </c>
      <c r="AI6290">
        <v>1</v>
      </c>
      <c r="AJ6290">
        <v>1</v>
      </c>
      <c r="AK6290">
        <v>159.67</v>
      </c>
      <c r="AN6290" t="s">
        <v>7439</v>
      </c>
      <c r="AO6290">
        <v>27000</v>
      </c>
      <c r="AU6290">
        <v>1</v>
      </c>
      <c r="AV6290" t="s">
        <v>754</v>
      </c>
      <c r="AW6290" t="s">
        <v>46856</v>
      </c>
    </row>
    <row r="6291" spans="1:50">
      <c r="A6291" s="1">
        <f>HYPERLINK("https://lsnyc.legalserver.org/matter/dynamic-profile/view/1892997","19-1892997")</f>
        <v>0</v>
      </c>
      <c r="B6291" t="s">
        <v>107</v>
      </c>
      <c r="C6291" t="s">
        <v>340</v>
      </c>
      <c r="D6291" t="s">
        <v>754</v>
      </c>
      <c r="F6291" t="s">
        <v>1975</v>
      </c>
      <c r="G6291" t="s">
        <v>7969</v>
      </c>
      <c r="H6291" t="s">
        <v>14176</v>
      </c>
      <c r="I6291" t="s">
        <v>17290</v>
      </c>
      <c r="J6291" t="s">
        <v>18900</v>
      </c>
      <c r="K6291">
        <v>11355</v>
      </c>
      <c r="L6291" t="s">
        <v>18958</v>
      </c>
      <c r="M6291" t="s">
        <v>18958</v>
      </c>
      <c r="N6291" t="s">
        <v>23578</v>
      </c>
      <c r="O6291" t="s">
        <v>26523</v>
      </c>
      <c r="P6291" t="s">
        <v>26560</v>
      </c>
      <c r="R6291" t="s">
        <v>26584</v>
      </c>
      <c r="S6291" t="s">
        <v>18959</v>
      </c>
      <c r="U6291" t="s">
        <v>26604</v>
      </c>
      <c r="V6291" t="s">
        <v>26610</v>
      </c>
      <c r="W6291" t="s">
        <v>754</v>
      </c>
      <c r="X6291">
        <v>848</v>
      </c>
      <c r="Y6291" t="s">
        <v>26653</v>
      </c>
      <c r="Z6291" t="s">
        <v>26664</v>
      </c>
      <c r="AB6291" t="s">
        <v>31585</v>
      </c>
      <c r="AC6291" t="s">
        <v>36132</v>
      </c>
      <c r="AD6291" t="s">
        <v>41824</v>
      </c>
      <c r="AE6291">
        <v>90</v>
      </c>
      <c r="AF6291" t="s">
        <v>45548</v>
      </c>
      <c r="AG6291" t="s">
        <v>19330</v>
      </c>
      <c r="AH6291">
        <v>30</v>
      </c>
      <c r="AI6291">
        <v>1</v>
      </c>
      <c r="AJ6291">
        <v>0</v>
      </c>
      <c r="AK6291">
        <v>6.63</v>
      </c>
      <c r="AN6291" t="s">
        <v>7439</v>
      </c>
      <c r="AO6291">
        <v>828</v>
      </c>
      <c r="AU6291">
        <v>29.35</v>
      </c>
      <c r="AV6291" t="s">
        <v>839</v>
      </c>
      <c r="AW6291" t="s">
        <v>208</v>
      </c>
    </row>
    <row r="6292" spans="1:50">
      <c r="A6292" s="1">
        <f>HYPERLINK("https://lsnyc.legalserver.org/matter/dynamic-profile/view/1893043","19-1893043")</f>
        <v>0</v>
      </c>
      <c r="B6292" t="s">
        <v>107</v>
      </c>
      <c r="C6292" t="s">
        <v>340</v>
      </c>
      <c r="D6292" t="s">
        <v>754</v>
      </c>
      <c r="F6292" t="s">
        <v>1228</v>
      </c>
      <c r="G6292" t="s">
        <v>5785</v>
      </c>
      <c r="H6292" t="s">
        <v>11179</v>
      </c>
      <c r="I6292" t="s">
        <v>17380</v>
      </c>
      <c r="J6292" t="s">
        <v>18906</v>
      </c>
      <c r="K6292">
        <v>11373</v>
      </c>
      <c r="L6292" t="s">
        <v>18958</v>
      </c>
      <c r="M6292" t="s">
        <v>18958</v>
      </c>
      <c r="N6292" t="s">
        <v>23579</v>
      </c>
      <c r="O6292" t="s">
        <v>26523</v>
      </c>
      <c r="P6292" t="s">
        <v>26560</v>
      </c>
      <c r="R6292" t="s">
        <v>26585</v>
      </c>
      <c r="S6292" t="s">
        <v>18959</v>
      </c>
      <c r="U6292" t="s">
        <v>26604</v>
      </c>
      <c r="V6292" t="s">
        <v>26610</v>
      </c>
      <c r="W6292" t="s">
        <v>754</v>
      </c>
      <c r="X6292">
        <v>1500</v>
      </c>
      <c r="Y6292" t="s">
        <v>26653</v>
      </c>
      <c r="Z6292" t="s">
        <v>26664</v>
      </c>
      <c r="AB6292" t="s">
        <v>29482</v>
      </c>
      <c r="AC6292" t="s">
        <v>36133</v>
      </c>
      <c r="AD6292" t="s">
        <v>41825</v>
      </c>
      <c r="AE6292">
        <v>60</v>
      </c>
      <c r="AF6292" t="s">
        <v>20460</v>
      </c>
      <c r="AG6292" t="s">
        <v>19330</v>
      </c>
      <c r="AH6292">
        <v>7</v>
      </c>
      <c r="AI6292">
        <v>2</v>
      </c>
      <c r="AJ6292">
        <v>0</v>
      </c>
      <c r="AK6292">
        <v>76.88</v>
      </c>
      <c r="AN6292" t="s">
        <v>7439</v>
      </c>
      <c r="AO6292">
        <v>13000</v>
      </c>
      <c r="AQ6292" t="s">
        <v>46362</v>
      </c>
      <c r="AR6292" t="s">
        <v>46420</v>
      </c>
      <c r="AS6292" t="s">
        <v>46499</v>
      </c>
      <c r="AT6292" t="s">
        <v>46699</v>
      </c>
      <c r="AU6292">
        <v>13.5</v>
      </c>
      <c r="AV6292" t="s">
        <v>826</v>
      </c>
      <c r="AW6292" t="s">
        <v>208</v>
      </c>
      <c r="AX6292" t="s">
        <v>46897</v>
      </c>
    </row>
    <row r="6293" spans="1:50">
      <c r="A6293" s="1">
        <f>HYPERLINK("https://lsnyc.legalserver.org/matter/dynamic-profile/view/1893016","19-1893016")</f>
        <v>0</v>
      </c>
      <c r="B6293" t="s">
        <v>60</v>
      </c>
      <c r="C6293" t="s">
        <v>340</v>
      </c>
      <c r="D6293" t="s">
        <v>754</v>
      </c>
      <c r="F6293" t="s">
        <v>3632</v>
      </c>
      <c r="G6293" t="s">
        <v>7970</v>
      </c>
      <c r="H6293" t="s">
        <v>14177</v>
      </c>
      <c r="I6293" t="s">
        <v>17362</v>
      </c>
      <c r="J6293" t="s">
        <v>18892</v>
      </c>
      <c r="K6293">
        <v>10453</v>
      </c>
      <c r="L6293" t="s">
        <v>18958</v>
      </c>
      <c r="M6293" t="s">
        <v>18958</v>
      </c>
      <c r="O6293" t="s">
        <v>26523</v>
      </c>
      <c r="P6293" t="s">
        <v>26564</v>
      </c>
      <c r="R6293" t="s">
        <v>26578</v>
      </c>
      <c r="S6293" t="s">
        <v>18959</v>
      </c>
      <c r="U6293" t="s">
        <v>26604</v>
      </c>
      <c r="W6293" t="s">
        <v>754</v>
      </c>
      <c r="X6293">
        <v>1527.83</v>
      </c>
      <c r="Y6293" t="s">
        <v>26650</v>
      </c>
      <c r="AB6293" t="s">
        <v>31586</v>
      </c>
      <c r="AD6293" t="s">
        <v>41826</v>
      </c>
      <c r="AE6293">
        <v>0</v>
      </c>
      <c r="AF6293" t="s">
        <v>45541</v>
      </c>
      <c r="AG6293" t="s">
        <v>45556</v>
      </c>
      <c r="AH6293">
        <v>3</v>
      </c>
      <c r="AI6293">
        <v>2</v>
      </c>
      <c r="AJ6293">
        <v>0</v>
      </c>
      <c r="AK6293">
        <v>0</v>
      </c>
      <c r="AN6293" t="s">
        <v>45600</v>
      </c>
      <c r="AO6293">
        <v>0</v>
      </c>
      <c r="AU6293">
        <v>0.1</v>
      </c>
      <c r="AV6293" t="s">
        <v>800</v>
      </c>
      <c r="AW6293" t="s">
        <v>60</v>
      </c>
    </row>
    <row r="6294" spans="1:50">
      <c r="A6294" s="1">
        <f>HYPERLINK("https://lsnyc.legalserver.org/matter/dynamic-profile/view/1893083","19-1893083")</f>
        <v>0</v>
      </c>
      <c r="B6294" t="s">
        <v>60</v>
      </c>
      <c r="C6294" t="s">
        <v>340</v>
      </c>
      <c r="D6294" t="s">
        <v>754</v>
      </c>
      <c r="F6294" t="s">
        <v>3633</v>
      </c>
      <c r="G6294" t="s">
        <v>7971</v>
      </c>
      <c r="H6294" t="s">
        <v>14178</v>
      </c>
      <c r="I6294" t="s">
        <v>17362</v>
      </c>
      <c r="J6294" t="s">
        <v>18892</v>
      </c>
      <c r="K6294">
        <v>10453</v>
      </c>
      <c r="L6294" t="s">
        <v>18958</v>
      </c>
      <c r="M6294" t="s">
        <v>18958</v>
      </c>
      <c r="O6294" t="s">
        <v>18997</v>
      </c>
      <c r="P6294" t="s">
        <v>26565</v>
      </c>
      <c r="R6294" t="s">
        <v>26578</v>
      </c>
      <c r="U6294" t="s">
        <v>26604</v>
      </c>
      <c r="W6294" t="s">
        <v>754</v>
      </c>
      <c r="X6294">
        <v>1260</v>
      </c>
      <c r="Y6294" t="s">
        <v>26650</v>
      </c>
      <c r="Z6294" t="s">
        <v>26661</v>
      </c>
      <c r="AB6294" t="s">
        <v>29283</v>
      </c>
      <c r="AD6294" t="s">
        <v>41827</v>
      </c>
      <c r="AE6294">
        <v>0</v>
      </c>
      <c r="AF6294" t="s">
        <v>45541</v>
      </c>
      <c r="AG6294" t="s">
        <v>45556</v>
      </c>
      <c r="AH6294">
        <v>6</v>
      </c>
      <c r="AI6294">
        <v>2</v>
      </c>
      <c r="AJ6294">
        <v>0</v>
      </c>
      <c r="AK6294">
        <v>87.84999999999999</v>
      </c>
      <c r="AN6294" t="s">
        <v>45581</v>
      </c>
      <c r="AO6294">
        <v>14856</v>
      </c>
      <c r="AU6294">
        <v>0.1</v>
      </c>
      <c r="AV6294" t="s">
        <v>795</v>
      </c>
      <c r="AW6294" t="s">
        <v>60</v>
      </c>
    </row>
    <row r="6295" spans="1:50">
      <c r="A6295" s="1">
        <f>HYPERLINK("https://lsnyc.legalserver.org/matter/dynamic-profile/view/1893058","19-1893058")</f>
        <v>0</v>
      </c>
      <c r="B6295" t="s">
        <v>85</v>
      </c>
      <c r="C6295" t="s">
        <v>340</v>
      </c>
      <c r="D6295" t="s">
        <v>754</v>
      </c>
      <c r="F6295" t="s">
        <v>3634</v>
      </c>
      <c r="G6295" t="s">
        <v>7972</v>
      </c>
      <c r="H6295" t="s">
        <v>14179</v>
      </c>
      <c r="I6295" t="s">
        <v>17509</v>
      </c>
      <c r="J6295" t="s">
        <v>18912</v>
      </c>
      <c r="K6295">
        <v>11374</v>
      </c>
      <c r="L6295" t="s">
        <v>18958</v>
      </c>
      <c r="M6295" t="s">
        <v>18958</v>
      </c>
      <c r="N6295" t="s">
        <v>23580</v>
      </c>
      <c r="O6295" t="s">
        <v>26523</v>
      </c>
      <c r="P6295" t="s">
        <v>26564</v>
      </c>
      <c r="R6295" t="s">
        <v>26584</v>
      </c>
      <c r="S6295" t="s">
        <v>18958</v>
      </c>
      <c r="U6295" t="s">
        <v>26604</v>
      </c>
      <c r="V6295" t="s">
        <v>26610</v>
      </c>
      <c r="W6295" t="s">
        <v>754</v>
      </c>
      <c r="X6295">
        <v>1535.56</v>
      </c>
      <c r="Y6295" t="s">
        <v>26653</v>
      </c>
      <c r="Z6295" t="s">
        <v>26664</v>
      </c>
      <c r="AB6295" t="s">
        <v>28642</v>
      </c>
      <c r="AD6295" t="s">
        <v>41828</v>
      </c>
      <c r="AE6295">
        <v>60</v>
      </c>
      <c r="AF6295" t="s">
        <v>20460</v>
      </c>
      <c r="AG6295" t="s">
        <v>19330</v>
      </c>
      <c r="AH6295">
        <v>6</v>
      </c>
      <c r="AI6295">
        <v>2</v>
      </c>
      <c r="AJ6295">
        <v>4</v>
      </c>
      <c r="AK6295">
        <v>33.07</v>
      </c>
      <c r="AN6295" t="s">
        <v>7439</v>
      </c>
      <c r="AO6295">
        <v>11440</v>
      </c>
      <c r="AU6295">
        <v>0.7</v>
      </c>
      <c r="AV6295" t="s">
        <v>804</v>
      </c>
      <c r="AW6295" t="s">
        <v>208</v>
      </c>
    </row>
    <row r="6296" spans="1:50">
      <c r="A6296" s="1">
        <f>HYPERLINK("https://lsnyc.legalserver.org/matter/dynamic-profile/view/1893032","19-1893032")</f>
        <v>0</v>
      </c>
      <c r="B6296" t="s">
        <v>56</v>
      </c>
      <c r="C6296" t="s">
        <v>340</v>
      </c>
      <c r="D6296" t="s">
        <v>754</v>
      </c>
      <c r="F6296" t="s">
        <v>3635</v>
      </c>
      <c r="G6296" t="s">
        <v>5731</v>
      </c>
      <c r="H6296" t="s">
        <v>10762</v>
      </c>
      <c r="I6296" t="s">
        <v>18352</v>
      </c>
      <c r="J6296" t="s">
        <v>18892</v>
      </c>
      <c r="K6296">
        <v>10467</v>
      </c>
      <c r="L6296" t="s">
        <v>18958</v>
      </c>
      <c r="M6296" t="s">
        <v>18958</v>
      </c>
      <c r="N6296" t="s">
        <v>23581</v>
      </c>
      <c r="O6296" t="s">
        <v>26523</v>
      </c>
      <c r="P6296" t="s">
        <v>26560</v>
      </c>
      <c r="R6296" t="s">
        <v>26579</v>
      </c>
      <c r="U6296" t="s">
        <v>26604</v>
      </c>
      <c r="V6296" t="s">
        <v>26610</v>
      </c>
      <c r="W6296" t="s">
        <v>754</v>
      </c>
      <c r="X6296">
        <v>0</v>
      </c>
      <c r="Y6296" t="s">
        <v>26650</v>
      </c>
      <c r="Z6296" t="s">
        <v>26664</v>
      </c>
      <c r="AB6296" t="s">
        <v>31587</v>
      </c>
      <c r="AD6296" t="s">
        <v>41829</v>
      </c>
      <c r="AE6296">
        <v>0</v>
      </c>
      <c r="AH6296">
        <v>0</v>
      </c>
      <c r="AI6296">
        <v>2</v>
      </c>
      <c r="AJ6296">
        <v>1</v>
      </c>
      <c r="AK6296">
        <v>164.09</v>
      </c>
      <c r="AO6296">
        <v>35000</v>
      </c>
      <c r="AU6296">
        <v>1.25</v>
      </c>
      <c r="AV6296" t="s">
        <v>754</v>
      </c>
      <c r="AW6296" t="s">
        <v>334</v>
      </c>
    </row>
    <row r="6297" spans="1:50">
      <c r="A6297" s="1">
        <f>HYPERLINK("https://lsnyc.legalserver.org/matter/dynamic-profile/view/1893021","19-1893021")</f>
        <v>0</v>
      </c>
      <c r="B6297" t="s">
        <v>64</v>
      </c>
      <c r="C6297" t="s">
        <v>340</v>
      </c>
      <c r="D6297" t="s">
        <v>754</v>
      </c>
      <c r="F6297" t="s">
        <v>3636</v>
      </c>
      <c r="G6297" t="s">
        <v>7973</v>
      </c>
      <c r="H6297" t="s">
        <v>14180</v>
      </c>
      <c r="I6297" t="s">
        <v>17361</v>
      </c>
      <c r="J6297" t="s">
        <v>18892</v>
      </c>
      <c r="K6297">
        <v>10457</v>
      </c>
      <c r="L6297" t="s">
        <v>18958</v>
      </c>
      <c r="M6297" t="s">
        <v>18958</v>
      </c>
      <c r="N6297" t="s">
        <v>23582</v>
      </c>
      <c r="O6297" t="s">
        <v>26523</v>
      </c>
      <c r="P6297" t="s">
        <v>26560</v>
      </c>
      <c r="R6297" t="s">
        <v>26579</v>
      </c>
      <c r="S6297" t="s">
        <v>18959</v>
      </c>
      <c r="U6297" t="s">
        <v>26604</v>
      </c>
      <c r="V6297" t="s">
        <v>26610</v>
      </c>
      <c r="W6297" t="s">
        <v>754</v>
      </c>
      <c r="X6297">
        <v>1845</v>
      </c>
      <c r="Y6297" t="s">
        <v>26650</v>
      </c>
      <c r="Z6297" t="s">
        <v>26664</v>
      </c>
      <c r="AB6297" t="s">
        <v>31588</v>
      </c>
      <c r="AC6297" t="s">
        <v>36134</v>
      </c>
      <c r="AD6297" t="s">
        <v>41830</v>
      </c>
      <c r="AE6297">
        <v>0</v>
      </c>
      <c r="AF6297" t="s">
        <v>45541</v>
      </c>
      <c r="AG6297" t="s">
        <v>45557</v>
      </c>
      <c r="AH6297">
        <v>1</v>
      </c>
      <c r="AI6297">
        <v>2</v>
      </c>
      <c r="AJ6297">
        <v>4</v>
      </c>
      <c r="AK6297">
        <v>39.09</v>
      </c>
      <c r="AN6297" t="s">
        <v>45581</v>
      </c>
      <c r="AO6297">
        <v>13520</v>
      </c>
      <c r="AU6297">
        <v>9.4</v>
      </c>
      <c r="AV6297" t="s">
        <v>772</v>
      </c>
      <c r="AW6297" t="s">
        <v>46870</v>
      </c>
    </row>
    <row r="6298" spans="1:50">
      <c r="A6298" s="1">
        <f>HYPERLINK("https://lsnyc.legalserver.org/matter/dynamic-profile/view/1893070","19-1893070")</f>
        <v>0</v>
      </c>
      <c r="B6298" t="s">
        <v>101</v>
      </c>
      <c r="C6298" t="s">
        <v>340</v>
      </c>
      <c r="D6298" t="s">
        <v>754</v>
      </c>
      <c r="F6298" t="s">
        <v>3586</v>
      </c>
      <c r="G6298" t="s">
        <v>6608</v>
      </c>
      <c r="H6298" t="s">
        <v>14181</v>
      </c>
      <c r="I6298" t="s">
        <v>17274</v>
      </c>
      <c r="J6298" t="s">
        <v>18894</v>
      </c>
      <c r="K6298">
        <v>11203</v>
      </c>
      <c r="L6298" t="s">
        <v>18958</v>
      </c>
      <c r="M6298" t="s">
        <v>18960</v>
      </c>
      <c r="N6298" t="s">
        <v>23583</v>
      </c>
      <c r="O6298" t="s">
        <v>26523</v>
      </c>
      <c r="P6298" t="s">
        <v>26560</v>
      </c>
      <c r="R6298" t="s">
        <v>26586</v>
      </c>
      <c r="U6298" t="s">
        <v>26604</v>
      </c>
      <c r="W6298" t="s">
        <v>754</v>
      </c>
      <c r="X6298">
        <v>1</v>
      </c>
      <c r="Y6298" t="s">
        <v>26652</v>
      </c>
      <c r="Z6298" t="s">
        <v>26664</v>
      </c>
      <c r="AB6298" t="s">
        <v>31589</v>
      </c>
      <c r="AC6298" t="s">
        <v>36135</v>
      </c>
      <c r="AD6298" t="s">
        <v>41831</v>
      </c>
      <c r="AE6298">
        <v>6</v>
      </c>
      <c r="AF6298" t="s">
        <v>45541</v>
      </c>
      <c r="AH6298">
        <v>4</v>
      </c>
      <c r="AI6298">
        <v>1</v>
      </c>
      <c r="AJ6298">
        <v>1</v>
      </c>
      <c r="AK6298">
        <v>20.3</v>
      </c>
      <c r="AN6298" t="s">
        <v>7439</v>
      </c>
      <c r="AO6298">
        <v>3432</v>
      </c>
      <c r="AU6298">
        <v>10</v>
      </c>
      <c r="AV6298" t="s">
        <v>771</v>
      </c>
      <c r="AW6298" t="s">
        <v>46856</v>
      </c>
    </row>
    <row r="6299" spans="1:50">
      <c r="A6299" s="1">
        <f>HYPERLINK("https://lsnyc.legalserver.org/matter/dynamic-profile/view/1893029","19-1893029")</f>
        <v>0</v>
      </c>
      <c r="B6299" t="s">
        <v>142</v>
      </c>
      <c r="C6299" t="s">
        <v>340</v>
      </c>
      <c r="D6299" t="s">
        <v>754</v>
      </c>
      <c r="F6299" t="s">
        <v>3637</v>
      </c>
      <c r="G6299" t="s">
        <v>5916</v>
      </c>
      <c r="H6299" t="s">
        <v>14182</v>
      </c>
      <c r="I6299">
        <v>2</v>
      </c>
      <c r="J6299" t="s">
        <v>18939</v>
      </c>
      <c r="K6299">
        <v>11423</v>
      </c>
      <c r="L6299" t="s">
        <v>18958</v>
      </c>
      <c r="M6299" t="s">
        <v>18958</v>
      </c>
      <c r="N6299" t="s">
        <v>23584</v>
      </c>
      <c r="O6299" t="s">
        <v>26523</v>
      </c>
      <c r="P6299" t="s">
        <v>26564</v>
      </c>
      <c r="R6299" t="s">
        <v>26584</v>
      </c>
      <c r="S6299" t="s">
        <v>18959</v>
      </c>
      <c r="U6299" t="s">
        <v>26604</v>
      </c>
      <c r="V6299" t="s">
        <v>26610</v>
      </c>
      <c r="W6299" t="s">
        <v>754</v>
      </c>
      <c r="X6299">
        <v>1956</v>
      </c>
      <c r="Y6299" t="s">
        <v>26653</v>
      </c>
      <c r="Z6299" t="s">
        <v>26664</v>
      </c>
      <c r="AB6299" t="s">
        <v>31590</v>
      </c>
      <c r="AC6299" t="s">
        <v>36136</v>
      </c>
      <c r="AD6299" t="s">
        <v>41832</v>
      </c>
      <c r="AE6299">
        <v>2</v>
      </c>
      <c r="AF6299" t="s">
        <v>20460</v>
      </c>
      <c r="AG6299" t="s">
        <v>45557</v>
      </c>
      <c r="AH6299">
        <v>1</v>
      </c>
      <c r="AI6299">
        <v>2</v>
      </c>
      <c r="AJ6299">
        <v>4</v>
      </c>
      <c r="AK6299">
        <v>16.1</v>
      </c>
      <c r="AN6299" t="s">
        <v>7439</v>
      </c>
      <c r="AO6299">
        <v>5568</v>
      </c>
      <c r="AU6299">
        <v>1.3</v>
      </c>
      <c r="AV6299" t="s">
        <v>754</v>
      </c>
      <c r="AW6299" t="s">
        <v>208</v>
      </c>
    </row>
    <row r="6300" spans="1:50">
      <c r="A6300" s="1">
        <f>HYPERLINK("https://lsnyc.legalserver.org/matter/dynamic-profile/view/1892985","19-1892985")</f>
        <v>0</v>
      </c>
      <c r="B6300" t="s">
        <v>142</v>
      </c>
      <c r="C6300" t="s">
        <v>340</v>
      </c>
      <c r="D6300" t="s">
        <v>754</v>
      </c>
      <c r="F6300" t="s">
        <v>999</v>
      </c>
      <c r="G6300" t="s">
        <v>5125</v>
      </c>
      <c r="H6300" t="s">
        <v>14183</v>
      </c>
      <c r="I6300" t="s">
        <v>17328</v>
      </c>
      <c r="J6300" t="s">
        <v>18918</v>
      </c>
      <c r="K6300">
        <v>11417</v>
      </c>
      <c r="L6300" t="s">
        <v>18958</v>
      </c>
      <c r="M6300" t="s">
        <v>18958</v>
      </c>
      <c r="N6300" t="s">
        <v>23585</v>
      </c>
      <c r="O6300" t="s">
        <v>26524</v>
      </c>
      <c r="P6300" t="s">
        <v>26564</v>
      </c>
      <c r="R6300" t="s">
        <v>26584</v>
      </c>
      <c r="S6300" t="s">
        <v>18959</v>
      </c>
      <c r="U6300" t="s">
        <v>26604</v>
      </c>
      <c r="V6300" t="s">
        <v>26610</v>
      </c>
      <c r="W6300" t="s">
        <v>754</v>
      </c>
      <c r="X6300">
        <v>1550</v>
      </c>
      <c r="Y6300" t="s">
        <v>26653</v>
      </c>
      <c r="Z6300" t="s">
        <v>26664</v>
      </c>
      <c r="AB6300" t="s">
        <v>31591</v>
      </c>
      <c r="AC6300" t="s">
        <v>36137</v>
      </c>
      <c r="AD6300" t="s">
        <v>41833</v>
      </c>
      <c r="AE6300">
        <v>2</v>
      </c>
      <c r="AF6300" t="s">
        <v>45547</v>
      </c>
      <c r="AG6300" t="s">
        <v>19330</v>
      </c>
      <c r="AH6300">
        <v>3</v>
      </c>
      <c r="AI6300">
        <v>1</v>
      </c>
      <c r="AJ6300">
        <v>3</v>
      </c>
      <c r="AK6300">
        <v>18.54</v>
      </c>
      <c r="AN6300" t="s">
        <v>7439</v>
      </c>
      <c r="AO6300">
        <v>4772.82</v>
      </c>
      <c r="AU6300">
        <v>1.3</v>
      </c>
      <c r="AV6300" t="s">
        <v>754</v>
      </c>
      <c r="AW6300" t="s">
        <v>208</v>
      </c>
    </row>
    <row r="6301" spans="1:50">
      <c r="A6301" s="1">
        <f>HYPERLINK("https://lsnyc.legalserver.org/matter/dynamic-profile/view/1893007","19-1893007")</f>
        <v>0</v>
      </c>
      <c r="B6301" t="s">
        <v>142</v>
      </c>
      <c r="C6301" t="s">
        <v>340</v>
      </c>
      <c r="D6301" t="s">
        <v>754</v>
      </c>
      <c r="F6301" t="s">
        <v>1113</v>
      </c>
      <c r="G6301" t="s">
        <v>5121</v>
      </c>
      <c r="H6301" t="s">
        <v>14184</v>
      </c>
      <c r="I6301" t="s">
        <v>17355</v>
      </c>
      <c r="J6301" t="s">
        <v>18923</v>
      </c>
      <c r="K6301">
        <v>11418</v>
      </c>
      <c r="L6301" t="s">
        <v>18958</v>
      </c>
      <c r="M6301" t="s">
        <v>18958</v>
      </c>
      <c r="N6301" t="s">
        <v>23586</v>
      </c>
      <c r="O6301" t="s">
        <v>26524</v>
      </c>
      <c r="P6301" t="s">
        <v>26565</v>
      </c>
      <c r="R6301" t="s">
        <v>26584</v>
      </c>
      <c r="S6301" t="s">
        <v>18959</v>
      </c>
      <c r="U6301" t="s">
        <v>26604</v>
      </c>
      <c r="V6301" t="s">
        <v>26610</v>
      </c>
      <c r="W6301" t="s">
        <v>754</v>
      </c>
      <c r="X6301">
        <v>1925</v>
      </c>
      <c r="Y6301" t="s">
        <v>26653</v>
      </c>
      <c r="Z6301" t="s">
        <v>26664</v>
      </c>
      <c r="AB6301" t="s">
        <v>31592</v>
      </c>
      <c r="AD6301" t="s">
        <v>41834</v>
      </c>
      <c r="AE6301">
        <v>24</v>
      </c>
      <c r="AF6301" t="s">
        <v>20460</v>
      </c>
      <c r="AG6301" t="s">
        <v>19330</v>
      </c>
      <c r="AH6301">
        <v>11</v>
      </c>
      <c r="AI6301">
        <v>2</v>
      </c>
      <c r="AJ6301">
        <v>3</v>
      </c>
      <c r="AK6301">
        <v>145.84</v>
      </c>
      <c r="AN6301" t="s">
        <v>7439</v>
      </c>
      <c r="AO6301">
        <v>44000</v>
      </c>
      <c r="AU6301">
        <v>3.4</v>
      </c>
      <c r="AV6301" t="s">
        <v>793</v>
      </c>
      <c r="AW6301" t="s">
        <v>208</v>
      </c>
    </row>
    <row r="6302" spans="1:50">
      <c r="A6302" s="1">
        <f>HYPERLINK("https://lsnyc.legalserver.org/matter/dynamic-profile/view/1893023","19-1893023")</f>
        <v>0</v>
      </c>
      <c r="B6302" t="s">
        <v>142</v>
      </c>
      <c r="C6302" t="s">
        <v>340</v>
      </c>
      <c r="D6302" t="s">
        <v>754</v>
      </c>
      <c r="F6302" t="s">
        <v>1475</v>
      </c>
      <c r="G6302" t="s">
        <v>7974</v>
      </c>
      <c r="H6302" t="s">
        <v>14185</v>
      </c>
      <c r="I6302" t="s">
        <v>17363</v>
      </c>
      <c r="J6302" t="s">
        <v>18906</v>
      </c>
      <c r="K6302">
        <v>11373</v>
      </c>
      <c r="L6302" t="s">
        <v>18958</v>
      </c>
      <c r="M6302" t="s">
        <v>18958</v>
      </c>
      <c r="N6302" t="s">
        <v>23587</v>
      </c>
      <c r="O6302" t="s">
        <v>26523</v>
      </c>
      <c r="P6302" t="s">
        <v>26560</v>
      </c>
      <c r="R6302" t="s">
        <v>26585</v>
      </c>
      <c r="S6302" t="s">
        <v>18959</v>
      </c>
      <c r="U6302" t="s">
        <v>26604</v>
      </c>
      <c r="V6302" t="s">
        <v>26610</v>
      </c>
      <c r="W6302" t="s">
        <v>754</v>
      </c>
      <c r="X6302">
        <v>907</v>
      </c>
      <c r="Y6302" t="s">
        <v>26653</v>
      </c>
      <c r="Z6302" t="s">
        <v>26664</v>
      </c>
      <c r="AB6302" t="s">
        <v>29568</v>
      </c>
      <c r="AC6302" t="s">
        <v>36138</v>
      </c>
      <c r="AD6302" t="s">
        <v>41835</v>
      </c>
      <c r="AE6302">
        <v>112</v>
      </c>
      <c r="AF6302" t="s">
        <v>45541</v>
      </c>
      <c r="AG6302" t="s">
        <v>45559</v>
      </c>
      <c r="AH6302">
        <v>45</v>
      </c>
      <c r="AI6302">
        <v>1</v>
      </c>
      <c r="AJ6302">
        <v>0</v>
      </c>
      <c r="AK6302">
        <v>69.84999999999999</v>
      </c>
      <c r="AN6302" t="s">
        <v>45581</v>
      </c>
      <c r="AO6302">
        <v>8724</v>
      </c>
      <c r="AU6302">
        <v>28.85</v>
      </c>
      <c r="AV6302" t="s">
        <v>820</v>
      </c>
      <c r="AW6302" t="s">
        <v>208</v>
      </c>
    </row>
    <row r="6303" spans="1:50">
      <c r="A6303" s="1">
        <f>HYPERLINK("https://lsnyc.legalserver.org/matter/dynamic-profile/view/1893047","19-1893047")</f>
        <v>0</v>
      </c>
      <c r="B6303" t="s">
        <v>142</v>
      </c>
      <c r="C6303" t="s">
        <v>340</v>
      </c>
      <c r="D6303" t="s">
        <v>754</v>
      </c>
      <c r="F6303" t="s">
        <v>1890</v>
      </c>
      <c r="G6303" t="s">
        <v>7975</v>
      </c>
      <c r="H6303" t="s">
        <v>14186</v>
      </c>
      <c r="I6303" t="s">
        <v>17288</v>
      </c>
      <c r="J6303" t="s">
        <v>18906</v>
      </c>
      <c r="K6303">
        <v>11373</v>
      </c>
      <c r="L6303" t="s">
        <v>18958</v>
      </c>
      <c r="M6303" t="s">
        <v>18958</v>
      </c>
      <c r="N6303" t="s">
        <v>23588</v>
      </c>
      <c r="O6303" t="s">
        <v>26523</v>
      </c>
      <c r="P6303" t="s">
        <v>26563</v>
      </c>
      <c r="R6303" t="s">
        <v>26585</v>
      </c>
      <c r="S6303" t="s">
        <v>18959</v>
      </c>
      <c r="U6303" t="s">
        <v>26604</v>
      </c>
      <c r="W6303" t="s">
        <v>754</v>
      </c>
      <c r="X6303">
        <v>1800</v>
      </c>
      <c r="Y6303" t="s">
        <v>26653</v>
      </c>
      <c r="Z6303" t="s">
        <v>26664</v>
      </c>
      <c r="AB6303" t="s">
        <v>31593</v>
      </c>
      <c r="AD6303" t="s">
        <v>41836</v>
      </c>
      <c r="AE6303">
        <v>36</v>
      </c>
      <c r="AF6303" t="s">
        <v>20460</v>
      </c>
      <c r="AG6303" t="s">
        <v>19330</v>
      </c>
      <c r="AH6303">
        <v>6</v>
      </c>
      <c r="AI6303">
        <v>3</v>
      </c>
      <c r="AJ6303">
        <v>1</v>
      </c>
      <c r="AK6303">
        <v>185.33</v>
      </c>
      <c r="AN6303" t="s">
        <v>45581</v>
      </c>
      <c r="AO6303">
        <v>47721.44</v>
      </c>
      <c r="AU6303">
        <v>3.8</v>
      </c>
      <c r="AV6303" t="s">
        <v>741</v>
      </c>
      <c r="AW6303" t="s">
        <v>208</v>
      </c>
    </row>
    <row r="6304" spans="1:50">
      <c r="A6304" s="1">
        <f>HYPERLINK("https://lsnyc.legalserver.org/matter/dynamic-profile/view/1892991","19-1892991")</f>
        <v>0</v>
      </c>
      <c r="B6304" t="s">
        <v>112</v>
      </c>
      <c r="C6304" t="s">
        <v>340</v>
      </c>
      <c r="D6304" t="s">
        <v>754</v>
      </c>
      <c r="F6304" t="s">
        <v>3638</v>
      </c>
      <c r="G6304" t="s">
        <v>5088</v>
      </c>
      <c r="H6304" t="s">
        <v>14187</v>
      </c>
      <c r="I6304" t="s">
        <v>17491</v>
      </c>
      <c r="J6304" t="s">
        <v>18920</v>
      </c>
      <c r="K6304">
        <v>11370</v>
      </c>
      <c r="L6304" t="s">
        <v>18958</v>
      </c>
      <c r="M6304" t="s">
        <v>18958</v>
      </c>
      <c r="N6304" t="s">
        <v>23589</v>
      </c>
      <c r="O6304" t="s">
        <v>26524</v>
      </c>
      <c r="P6304" t="s">
        <v>26564</v>
      </c>
      <c r="R6304" t="s">
        <v>26584</v>
      </c>
      <c r="S6304" t="s">
        <v>18959</v>
      </c>
      <c r="U6304" t="s">
        <v>26604</v>
      </c>
      <c r="W6304" t="s">
        <v>754</v>
      </c>
      <c r="X6304">
        <v>1800</v>
      </c>
      <c r="Y6304" t="s">
        <v>26653</v>
      </c>
      <c r="Z6304" t="s">
        <v>26664</v>
      </c>
      <c r="AB6304" t="s">
        <v>28750</v>
      </c>
      <c r="AC6304" t="s">
        <v>36139</v>
      </c>
      <c r="AD6304" t="s">
        <v>41837</v>
      </c>
      <c r="AE6304">
        <v>3</v>
      </c>
      <c r="AF6304" t="s">
        <v>20460</v>
      </c>
      <c r="AG6304" t="s">
        <v>19330</v>
      </c>
      <c r="AH6304">
        <v>8</v>
      </c>
      <c r="AI6304">
        <v>1</v>
      </c>
      <c r="AJ6304">
        <v>2</v>
      </c>
      <c r="AK6304">
        <v>27.85</v>
      </c>
      <c r="AN6304" t="s">
        <v>7439</v>
      </c>
      <c r="AO6304">
        <v>5940</v>
      </c>
      <c r="AU6304">
        <v>1.6</v>
      </c>
      <c r="AV6304" t="s">
        <v>816</v>
      </c>
      <c r="AW6304" t="s">
        <v>208</v>
      </c>
      <c r="AX6304" t="s">
        <v>46898</v>
      </c>
    </row>
    <row r="6305" spans="1:50">
      <c r="A6305" s="1">
        <f>HYPERLINK("https://lsnyc.legalserver.org/matter/dynamic-profile/view/1893013","19-1893013")</f>
        <v>0</v>
      </c>
      <c r="B6305" t="s">
        <v>112</v>
      </c>
      <c r="C6305" t="s">
        <v>340</v>
      </c>
      <c r="D6305" t="s">
        <v>754</v>
      </c>
      <c r="F6305" t="s">
        <v>1197</v>
      </c>
      <c r="G6305" t="s">
        <v>5026</v>
      </c>
      <c r="H6305" t="s">
        <v>14188</v>
      </c>
      <c r="I6305" t="s">
        <v>17375</v>
      </c>
      <c r="J6305" t="s">
        <v>18931</v>
      </c>
      <c r="K6305">
        <v>11412</v>
      </c>
      <c r="L6305" t="s">
        <v>18958</v>
      </c>
      <c r="M6305" t="s">
        <v>18958</v>
      </c>
      <c r="N6305" t="s">
        <v>23590</v>
      </c>
      <c r="O6305" t="s">
        <v>26524</v>
      </c>
      <c r="P6305" t="s">
        <v>26563</v>
      </c>
      <c r="R6305" t="s">
        <v>26584</v>
      </c>
      <c r="S6305" t="s">
        <v>18959</v>
      </c>
      <c r="U6305" t="s">
        <v>26604</v>
      </c>
      <c r="W6305" t="s">
        <v>754</v>
      </c>
      <c r="X6305">
        <v>1350</v>
      </c>
      <c r="Y6305" t="s">
        <v>26653</v>
      </c>
      <c r="Z6305" t="s">
        <v>26664</v>
      </c>
      <c r="AB6305" t="s">
        <v>31594</v>
      </c>
      <c r="AC6305" t="s">
        <v>36140</v>
      </c>
      <c r="AD6305" t="s">
        <v>41838</v>
      </c>
      <c r="AE6305">
        <v>0</v>
      </c>
      <c r="AF6305" t="s">
        <v>20460</v>
      </c>
      <c r="AG6305" t="s">
        <v>19330</v>
      </c>
      <c r="AH6305">
        <v>7</v>
      </c>
      <c r="AI6305">
        <v>3</v>
      </c>
      <c r="AJ6305">
        <v>2</v>
      </c>
      <c r="AK6305">
        <v>55.15</v>
      </c>
      <c r="AN6305" t="s">
        <v>7439</v>
      </c>
      <c r="AO6305">
        <v>16640</v>
      </c>
      <c r="AU6305">
        <v>1.3</v>
      </c>
      <c r="AV6305" t="s">
        <v>754</v>
      </c>
      <c r="AW6305" t="s">
        <v>208</v>
      </c>
    </row>
    <row r="6306" spans="1:50">
      <c r="A6306" s="1">
        <f>HYPERLINK("https://lsnyc.legalserver.org/matter/dynamic-profile/view/1893114","19-1893114")</f>
        <v>0</v>
      </c>
      <c r="B6306" t="s">
        <v>193</v>
      </c>
      <c r="C6306" t="s">
        <v>340</v>
      </c>
      <c r="D6306" t="s">
        <v>754</v>
      </c>
      <c r="F6306" t="s">
        <v>3639</v>
      </c>
      <c r="G6306" t="s">
        <v>7976</v>
      </c>
      <c r="H6306" t="s">
        <v>14189</v>
      </c>
      <c r="I6306" t="s">
        <v>17597</v>
      </c>
      <c r="J6306" t="s">
        <v>18894</v>
      </c>
      <c r="K6306">
        <v>11205</v>
      </c>
      <c r="L6306" t="s">
        <v>18958</v>
      </c>
      <c r="M6306" t="s">
        <v>18960</v>
      </c>
      <c r="N6306" t="s">
        <v>23591</v>
      </c>
      <c r="O6306" t="s">
        <v>26523</v>
      </c>
      <c r="P6306" t="s">
        <v>26560</v>
      </c>
      <c r="R6306" t="s">
        <v>26586</v>
      </c>
      <c r="U6306" t="s">
        <v>26604</v>
      </c>
      <c r="W6306" t="s">
        <v>754</v>
      </c>
      <c r="X6306">
        <v>1141.97</v>
      </c>
      <c r="Y6306" t="s">
        <v>26652</v>
      </c>
      <c r="Z6306" t="s">
        <v>26668</v>
      </c>
      <c r="AB6306" t="s">
        <v>31595</v>
      </c>
      <c r="AD6306" t="s">
        <v>41839</v>
      </c>
      <c r="AE6306">
        <v>30</v>
      </c>
      <c r="AF6306" t="s">
        <v>45541</v>
      </c>
      <c r="AH6306">
        <v>25</v>
      </c>
      <c r="AI6306">
        <v>1</v>
      </c>
      <c r="AJ6306">
        <v>0</v>
      </c>
      <c r="AK6306">
        <v>192.15</v>
      </c>
      <c r="AN6306" t="s">
        <v>7439</v>
      </c>
      <c r="AO6306">
        <v>24000</v>
      </c>
      <c r="AU6306">
        <v>41.6</v>
      </c>
      <c r="AV6306" t="s">
        <v>838</v>
      </c>
      <c r="AW6306" t="s">
        <v>46856</v>
      </c>
    </row>
    <row r="6307" spans="1:50">
      <c r="A6307" s="1">
        <f>HYPERLINK("https://lsnyc.legalserver.org/matter/dynamic-profile/view/1892982","19-1892982")</f>
        <v>0</v>
      </c>
      <c r="B6307" t="s">
        <v>275</v>
      </c>
      <c r="C6307" t="s">
        <v>340</v>
      </c>
      <c r="D6307" t="s">
        <v>754</v>
      </c>
      <c r="F6307" t="s">
        <v>974</v>
      </c>
      <c r="G6307" t="s">
        <v>7977</v>
      </c>
      <c r="H6307" t="s">
        <v>14190</v>
      </c>
      <c r="I6307" t="s">
        <v>17874</v>
      </c>
      <c r="J6307" t="s">
        <v>18892</v>
      </c>
      <c r="K6307">
        <v>10454</v>
      </c>
      <c r="L6307" t="s">
        <v>18958</v>
      </c>
      <c r="M6307" t="s">
        <v>18958</v>
      </c>
      <c r="N6307" t="s">
        <v>23592</v>
      </c>
      <c r="O6307" t="s">
        <v>26533</v>
      </c>
      <c r="P6307" t="s">
        <v>26564</v>
      </c>
      <c r="R6307" t="s">
        <v>26577</v>
      </c>
      <c r="U6307" t="s">
        <v>26605</v>
      </c>
      <c r="V6307" t="s">
        <v>26610</v>
      </c>
      <c r="W6307" t="s">
        <v>754</v>
      </c>
      <c r="X6307">
        <v>330</v>
      </c>
      <c r="Y6307" t="s">
        <v>26650</v>
      </c>
      <c r="Z6307" t="s">
        <v>26670</v>
      </c>
      <c r="AB6307" t="s">
        <v>31596</v>
      </c>
      <c r="AC6307" t="s">
        <v>36141</v>
      </c>
      <c r="AD6307" t="s">
        <v>41840</v>
      </c>
      <c r="AE6307">
        <v>0</v>
      </c>
      <c r="AF6307" t="s">
        <v>45549</v>
      </c>
      <c r="AH6307">
        <v>67</v>
      </c>
      <c r="AI6307">
        <v>2</v>
      </c>
      <c r="AJ6307">
        <v>0</v>
      </c>
      <c r="AK6307">
        <v>134.76</v>
      </c>
      <c r="AN6307" t="s">
        <v>7439</v>
      </c>
      <c r="AO6307">
        <v>22788</v>
      </c>
      <c r="AU6307">
        <v>9</v>
      </c>
      <c r="AV6307" t="s">
        <v>794</v>
      </c>
      <c r="AW6307" t="s">
        <v>46871</v>
      </c>
    </row>
    <row r="6308" spans="1:50">
      <c r="A6308" s="1">
        <f>HYPERLINK("https://lsnyc.legalserver.org/matter/dynamic-profile/view/1893231","19-1893231")</f>
        <v>0</v>
      </c>
      <c r="B6308" t="s">
        <v>122</v>
      </c>
      <c r="C6308" t="s">
        <v>341</v>
      </c>
      <c r="D6308" t="s">
        <v>759</v>
      </c>
      <c r="E6308" t="s">
        <v>759</v>
      </c>
      <c r="F6308" t="s">
        <v>1447</v>
      </c>
      <c r="G6308" t="s">
        <v>1938</v>
      </c>
      <c r="H6308" t="s">
        <v>14191</v>
      </c>
      <c r="I6308" t="s">
        <v>17366</v>
      </c>
      <c r="J6308" t="s">
        <v>18900</v>
      </c>
      <c r="K6308">
        <v>11367</v>
      </c>
      <c r="L6308" t="s">
        <v>18958</v>
      </c>
      <c r="M6308" t="s">
        <v>18960</v>
      </c>
      <c r="N6308" t="s">
        <v>23593</v>
      </c>
      <c r="O6308" t="s">
        <v>26526</v>
      </c>
      <c r="P6308" t="s">
        <v>26564</v>
      </c>
      <c r="Q6308" t="s">
        <v>26570</v>
      </c>
      <c r="R6308" t="s">
        <v>26584</v>
      </c>
      <c r="U6308" t="s">
        <v>26604</v>
      </c>
      <c r="W6308" t="s">
        <v>754</v>
      </c>
      <c r="X6308">
        <v>336</v>
      </c>
      <c r="Y6308" t="s">
        <v>26653</v>
      </c>
      <c r="Z6308" t="s">
        <v>26664</v>
      </c>
      <c r="AA6308" t="s">
        <v>26683</v>
      </c>
      <c r="AB6308" t="s">
        <v>31597</v>
      </c>
      <c r="AD6308" t="s">
        <v>41841</v>
      </c>
      <c r="AE6308">
        <v>28</v>
      </c>
      <c r="AF6308" t="s">
        <v>45549</v>
      </c>
      <c r="AG6308" t="s">
        <v>19330</v>
      </c>
      <c r="AH6308">
        <v>13</v>
      </c>
      <c r="AI6308">
        <v>1</v>
      </c>
      <c r="AJ6308">
        <v>0</v>
      </c>
      <c r="AK6308">
        <v>101.84</v>
      </c>
      <c r="AO6308">
        <v>12720</v>
      </c>
      <c r="AU6308">
        <v>2</v>
      </c>
      <c r="AV6308" t="s">
        <v>759</v>
      </c>
      <c r="AW6308" t="s">
        <v>122</v>
      </c>
    </row>
    <row r="6309" spans="1:50">
      <c r="A6309" s="1">
        <f>HYPERLINK("https://lsnyc.legalserver.org/matter/dynamic-profile/view/1893152","19-1893152")</f>
        <v>0</v>
      </c>
      <c r="B6309" t="s">
        <v>126</v>
      </c>
      <c r="C6309" t="s">
        <v>341</v>
      </c>
      <c r="D6309" t="s">
        <v>759</v>
      </c>
      <c r="E6309" t="s">
        <v>789</v>
      </c>
      <c r="F6309" t="s">
        <v>1022</v>
      </c>
      <c r="G6309" t="s">
        <v>5761</v>
      </c>
      <c r="H6309" t="s">
        <v>14192</v>
      </c>
      <c r="I6309">
        <v>2</v>
      </c>
      <c r="J6309" t="s">
        <v>18894</v>
      </c>
      <c r="K6309">
        <v>11233</v>
      </c>
      <c r="L6309" t="s">
        <v>18958</v>
      </c>
      <c r="M6309" t="s">
        <v>18958</v>
      </c>
      <c r="N6309" t="s">
        <v>23594</v>
      </c>
      <c r="O6309" t="s">
        <v>26523</v>
      </c>
      <c r="P6309" t="s">
        <v>26565</v>
      </c>
      <c r="Q6309" t="s">
        <v>26571</v>
      </c>
      <c r="R6309" t="s">
        <v>26578</v>
      </c>
      <c r="S6309" t="s">
        <v>18959</v>
      </c>
      <c r="U6309" t="s">
        <v>26604</v>
      </c>
      <c r="W6309" t="s">
        <v>754</v>
      </c>
      <c r="X6309">
        <v>2400</v>
      </c>
      <c r="Y6309" t="s">
        <v>26652</v>
      </c>
      <c r="Z6309" t="s">
        <v>26664</v>
      </c>
      <c r="AA6309" t="s">
        <v>26683</v>
      </c>
      <c r="AB6309" t="s">
        <v>27306</v>
      </c>
      <c r="AD6309" t="s">
        <v>41842</v>
      </c>
      <c r="AE6309">
        <v>3</v>
      </c>
      <c r="AF6309" t="s">
        <v>45547</v>
      </c>
      <c r="AG6309" t="s">
        <v>19330</v>
      </c>
      <c r="AH6309">
        <v>2</v>
      </c>
      <c r="AI6309">
        <v>3</v>
      </c>
      <c r="AJ6309">
        <v>1</v>
      </c>
      <c r="AK6309">
        <v>0</v>
      </c>
      <c r="AN6309" t="s">
        <v>7439</v>
      </c>
      <c r="AO6309">
        <v>0</v>
      </c>
      <c r="AU6309">
        <v>1.5</v>
      </c>
      <c r="AV6309" t="s">
        <v>787</v>
      </c>
      <c r="AW6309" t="s">
        <v>286</v>
      </c>
    </row>
    <row r="6310" spans="1:50">
      <c r="A6310" s="1">
        <f>HYPERLINK("https://lsnyc.legalserver.org/matter/dynamic-profile/view/1893248","19-1893248")</f>
        <v>0</v>
      </c>
      <c r="B6310" t="s">
        <v>147</v>
      </c>
      <c r="C6310" t="s">
        <v>340</v>
      </c>
      <c r="D6310" t="s">
        <v>759</v>
      </c>
      <c r="F6310" t="s">
        <v>1572</v>
      </c>
      <c r="G6310" t="s">
        <v>7429</v>
      </c>
      <c r="H6310" t="s">
        <v>13256</v>
      </c>
      <c r="I6310">
        <v>10</v>
      </c>
      <c r="J6310" t="s">
        <v>18894</v>
      </c>
      <c r="K6310">
        <v>11225</v>
      </c>
      <c r="L6310" t="s">
        <v>18958</v>
      </c>
      <c r="M6310" t="s">
        <v>18958</v>
      </c>
      <c r="P6310" t="s">
        <v>26562</v>
      </c>
      <c r="R6310" t="s">
        <v>26578</v>
      </c>
      <c r="S6310" t="s">
        <v>18959</v>
      </c>
      <c r="U6310" t="s">
        <v>26604</v>
      </c>
      <c r="W6310" t="s">
        <v>754</v>
      </c>
      <c r="X6310">
        <v>0</v>
      </c>
      <c r="Y6310" t="s">
        <v>26652</v>
      </c>
      <c r="AB6310" t="s">
        <v>30617</v>
      </c>
      <c r="AE6310">
        <v>0</v>
      </c>
      <c r="AH6310">
        <v>0</v>
      </c>
      <c r="AI6310">
        <v>2</v>
      </c>
      <c r="AJ6310">
        <v>0</v>
      </c>
      <c r="AK6310">
        <v>57.69</v>
      </c>
      <c r="AN6310" t="s">
        <v>45581</v>
      </c>
      <c r="AO6310">
        <v>9756</v>
      </c>
      <c r="AU6310">
        <v>1.1</v>
      </c>
      <c r="AV6310" t="s">
        <v>793</v>
      </c>
      <c r="AW6310" t="s">
        <v>219</v>
      </c>
    </row>
    <row r="6311" spans="1:50">
      <c r="A6311" s="1">
        <f>HYPERLINK("https://lsnyc.legalserver.org/matter/dynamic-profile/view/1893291","19-1893291")</f>
        <v>0</v>
      </c>
      <c r="B6311" t="s">
        <v>242</v>
      </c>
      <c r="C6311" t="s">
        <v>341</v>
      </c>
      <c r="D6311" t="s">
        <v>657</v>
      </c>
      <c r="E6311" t="s">
        <v>805</v>
      </c>
      <c r="F6311" t="s">
        <v>1597</v>
      </c>
      <c r="G6311" t="s">
        <v>7424</v>
      </c>
      <c r="H6311" t="s">
        <v>14193</v>
      </c>
      <c r="I6311" t="s">
        <v>17277</v>
      </c>
      <c r="J6311" t="s">
        <v>18894</v>
      </c>
      <c r="K6311">
        <v>11221</v>
      </c>
      <c r="L6311" t="s">
        <v>18958</v>
      </c>
      <c r="M6311" t="s">
        <v>18958</v>
      </c>
      <c r="N6311" t="s">
        <v>23595</v>
      </c>
      <c r="O6311" t="s">
        <v>26523</v>
      </c>
      <c r="P6311" t="s">
        <v>26560</v>
      </c>
      <c r="Q6311" t="s">
        <v>26568</v>
      </c>
      <c r="R6311" t="s">
        <v>26588</v>
      </c>
      <c r="S6311" t="s">
        <v>18959</v>
      </c>
      <c r="U6311" t="s">
        <v>26604</v>
      </c>
      <c r="V6311" t="s">
        <v>26610</v>
      </c>
      <c r="W6311" t="s">
        <v>754</v>
      </c>
      <c r="X6311">
        <v>1796</v>
      </c>
      <c r="Y6311" t="s">
        <v>26652</v>
      </c>
      <c r="Z6311" t="s">
        <v>26669</v>
      </c>
      <c r="AA6311" t="s">
        <v>26678</v>
      </c>
      <c r="AB6311" t="s">
        <v>31598</v>
      </c>
      <c r="AD6311" t="s">
        <v>41843</v>
      </c>
      <c r="AE6311">
        <v>6</v>
      </c>
      <c r="AF6311" t="s">
        <v>45541</v>
      </c>
      <c r="AG6311" t="s">
        <v>45556</v>
      </c>
      <c r="AH6311">
        <v>22</v>
      </c>
      <c r="AI6311">
        <v>2</v>
      </c>
      <c r="AJ6311">
        <v>0</v>
      </c>
      <c r="AK6311">
        <v>2.13</v>
      </c>
      <c r="AN6311" t="s">
        <v>7439</v>
      </c>
      <c r="AO6311">
        <v>360</v>
      </c>
      <c r="AS6311" t="s">
        <v>46499</v>
      </c>
      <c r="AT6311" t="s">
        <v>46780</v>
      </c>
      <c r="AU6311">
        <v>2.9</v>
      </c>
      <c r="AV6311" t="s">
        <v>816</v>
      </c>
      <c r="AW6311" t="s">
        <v>281</v>
      </c>
    </row>
    <row r="6312" spans="1:50">
      <c r="A6312" s="1">
        <f>HYPERLINK("https://lsnyc.legalserver.org/matter/dynamic-profile/view/1893268","19-1893268")</f>
        <v>0</v>
      </c>
      <c r="B6312" t="s">
        <v>276</v>
      </c>
      <c r="C6312" t="s">
        <v>340</v>
      </c>
      <c r="D6312" t="s">
        <v>657</v>
      </c>
      <c r="F6312" t="s">
        <v>3640</v>
      </c>
      <c r="G6312" t="s">
        <v>5173</v>
      </c>
      <c r="H6312" t="s">
        <v>14194</v>
      </c>
      <c r="I6312" t="s">
        <v>17331</v>
      </c>
      <c r="J6312" t="s">
        <v>18894</v>
      </c>
      <c r="K6312">
        <v>11217</v>
      </c>
      <c r="L6312" t="s">
        <v>18958</v>
      </c>
      <c r="M6312" t="s">
        <v>18958</v>
      </c>
      <c r="O6312" t="s">
        <v>26526</v>
      </c>
      <c r="P6312" t="s">
        <v>26560</v>
      </c>
      <c r="R6312" t="s">
        <v>26578</v>
      </c>
      <c r="S6312" t="s">
        <v>18958</v>
      </c>
      <c r="U6312" t="s">
        <v>26604</v>
      </c>
      <c r="W6312" t="s">
        <v>754</v>
      </c>
      <c r="X6312">
        <v>626.29</v>
      </c>
      <c r="Y6312" t="s">
        <v>26652</v>
      </c>
      <c r="AB6312" t="s">
        <v>31599</v>
      </c>
      <c r="AD6312" t="s">
        <v>41844</v>
      </c>
      <c r="AE6312">
        <v>0</v>
      </c>
      <c r="AH6312">
        <v>0</v>
      </c>
      <c r="AI6312">
        <v>1</v>
      </c>
      <c r="AJ6312">
        <v>0</v>
      </c>
      <c r="AK6312">
        <v>0</v>
      </c>
      <c r="AN6312" t="s">
        <v>7439</v>
      </c>
      <c r="AO6312">
        <v>0</v>
      </c>
      <c r="AU6312">
        <v>37.2</v>
      </c>
      <c r="AV6312" t="s">
        <v>805</v>
      </c>
      <c r="AW6312" t="s">
        <v>219</v>
      </c>
    </row>
    <row r="6313" spans="1:50">
      <c r="A6313" s="1">
        <f>HYPERLINK("https://lsnyc.legalserver.org/matter/dynamic-profile/view/1893373","19-1893373")</f>
        <v>0</v>
      </c>
      <c r="B6313" t="s">
        <v>242</v>
      </c>
      <c r="C6313" t="s">
        <v>340</v>
      </c>
      <c r="D6313" t="s">
        <v>657</v>
      </c>
      <c r="F6313" t="s">
        <v>1251</v>
      </c>
      <c r="G6313" t="s">
        <v>6179</v>
      </c>
      <c r="H6313" t="s">
        <v>14195</v>
      </c>
      <c r="I6313">
        <v>2</v>
      </c>
      <c r="J6313" t="s">
        <v>18894</v>
      </c>
      <c r="K6313">
        <v>11221</v>
      </c>
      <c r="L6313" t="s">
        <v>18958</v>
      </c>
      <c r="M6313" t="s">
        <v>18958</v>
      </c>
      <c r="N6313" t="s">
        <v>23596</v>
      </c>
      <c r="O6313" t="s">
        <v>26524</v>
      </c>
      <c r="P6313" t="s">
        <v>26560</v>
      </c>
      <c r="R6313" t="s">
        <v>26588</v>
      </c>
      <c r="S6313" t="s">
        <v>18959</v>
      </c>
      <c r="U6313" t="s">
        <v>26604</v>
      </c>
      <c r="V6313" t="s">
        <v>26610</v>
      </c>
      <c r="W6313" t="s">
        <v>754</v>
      </c>
      <c r="X6313">
        <v>1943</v>
      </c>
      <c r="Y6313" t="s">
        <v>26652</v>
      </c>
      <c r="Z6313" t="s">
        <v>26664</v>
      </c>
      <c r="AB6313" t="s">
        <v>31600</v>
      </c>
      <c r="AE6313">
        <v>2</v>
      </c>
      <c r="AF6313" t="s">
        <v>45547</v>
      </c>
      <c r="AG6313" t="s">
        <v>45556</v>
      </c>
      <c r="AH6313">
        <v>8</v>
      </c>
      <c r="AI6313">
        <v>2</v>
      </c>
      <c r="AJ6313">
        <v>1</v>
      </c>
      <c r="AK6313">
        <v>53.63</v>
      </c>
      <c r="AN6313" t="s">
        <v>7439</v>
      </c>
      <c r="AO6313">
        <v>11440</v>
      </c>
      <c r="AU6313">
        <v>3.3</v>
      </c>
      <c r="AV6313" t="s">
        <v>828</v>
      </c>
      <c r="AW6313" t="s">
        <v>281</v>
      </c>
    </row>
    <row r="6314" spans="1:50">
      <c r="A6314" s="1">
        <f>HYPERLINK("https://lsnyc.legalserver.org/matter/dynamic-profile/view/1893115","19-1893115")</f>
        <v>0</v>
      </c>
      <c r="B6314" t="s">
        <v>108</v>
      </c>
      <c r="C6314" t="s">
        <v>341</v>
      </c>
      <c r="D6314" t="s">
        <v>781</v>
      </c>
      <c r="E6314" t="s">
        <v>807</v>
      </c>
      <c r="F6314" t="s">
        <v>3641</v>
      </c>
      <c r="G6314" t="s">
        <v>7978</v>
      </c>
      <c r="H6314" t="s">
        <v>14196</v>
      </c>
      <c r="I6314" t="s">
        <v>17880</v>
      </c>
      <c r="J6314" t="s">
        <v>18914</v>
      </c>
      <c r="K6314">
        <v>11104</v>
      </c>
      <c r="L6314" t="s">
        <v>18958</v>
      </c>
      <c r="M6314" t="s">
        <v>18958</v>
      </c>
      <c r="N6314" t="s">
        <v>23597</v>
      </c>
      <c r="O6314" t="s">
        <v>26523</v>
      </c>
      <c r="P6314" t="s">
        <v>26564</v>
      </c>
      <c r="Q6314" t="s">
        <v>26570</v>
      </c>
      <c r="R6314" t="s">
        <v>26584</v>
      </c>
      <c r="S6314" t="s">
        <v>18959</v>
      </c>
      <c r="U6314" t="s">
        <v>26604</v>
      </c>
      <c r="V6314" t="s">
        <v>26611</v>
      </c>
      <c r="W6314" t="s">
        <v>754</v>
      </c>
      <c r="X6314">
        <v>1625</v>
      </c>
      <c r="Y6314" t="s">
        <v>26653</v>
      </c>
      <c r="Z6314" t="s">
        <v>26664</v>
      </c>
      <c r="AA6314" t="s">
        <v>26683</v>
      </c>
      <c r="AB6314" t="s">
        <v>31601</v>
      </c>
      <c r="AE6314">
        <v>55</v>
      </c>
      <c r="AF6314" t="s">
        <v>20460</v>
      </c>
      <c r="AG6314" t="s">
        <v>19330</v>
      </c>
      <c r="AH6314">
        <v>8</v>
      </c>
      <c r="AI6314">
        <v>1</v>
      </c>
      <c r="AJ6314">
        <v>0</v>
      </c>
      <c r="AK6314">
        <v>0</v>
      </c>
      <c r="AN6314" t="s">
        <v>7439</v>
      </c>
      <c r="AO6314">
        <v>0</v>
      </c>
      <c r="AU6314">
        <v>0.5</v>
      </c>
      <c r="AV6314" t="s">
        <v>754</v>
      </c>
      <c r="AW6314" t="s">
        <v>46884</v>
      </c>
      <c r="AX6314" t="s">
        <v>46897</v>
      </c>
    </row>
    <row r="6315" spans="1:50">
      <c r="A6315" s="1">
        <f>HYPERLINK("https://lsnyc.legalserver.org/matter/dynamic-profile/view/1887993","19-1887993")</f>
        <v>0</v>
      </c>
      <c r="B6315" t="s">
        <v>287</v>
      </c>
      <c r="C6315" t="s">
        <v>340</v>
      </c>
      <c r="D6315" t="s">
        <v>573</v>
      </c>
      <c r="F6315" t="s">
        <v>1021</v>
      </c>
      <c r="G6315" t="s">
        <v>5592</v>
      </c>
      <c r="H6315" t="s">
        <v>10303</v>
      </c>
      <c r="I6315">
        <v>5</v>
      </c>
      <c r="J6315" t="s">
        <v>18892</v>
      </c>
      <c r="K6315">
        <v>10457</v>
      </c>
      <c r="L6315" t="s">
        <v>18958</v>
      </c>
      <c r="M6315" t="s">
        <v>18958</v>
      </c>
      <c r="O6315" t="s">
        <v>26539</v>
      </c>
      <c r="P6315" t="s">
        <v>26565</v>
      </c>
      <c r="R6315" t="s">
        <v>26578</v>
      </c>
      <c r="S6315" t="s">
        <v>18959</v>
      </c>
      <c r="U6315" t="s">
        <v>26607</v>
      </c>
      <c r="W6315" t="s">
        <v>759</v>
      </c>
      <c r="X6315">
        <v>1321.11</v>
      </c>
      <c r="Y6315" t="s">
        <v>26650</v>
      </c>
      <c r="Z6315" t="s">
        <v>26655</v>
      </c>
      <c r="AB6315" t="s">
        <v>27408</v>
      </c>
      <c r="AD6315" t="s">
        <v>37473</v>
      </c>
      <c r="AE6315">
        <v>60</v>
      </c>
      <c r="AF6315" t="s">
        <v>45541</v>
      </c>
      <c r="AG6315" t="s">
        <v>19330</v>
      </c>
      <c r="AH6315">
        <v>2</v>
      </c>
      <c r="AI6315">
        <v>1</v>
      </c>
      <c r="AJ6315">
        <v>0</v>
      </c>
      <c r="AK6315">
        <v>76.20999999999999</v>
      </c>
      <c r="AN6315" t="s">
        <v>7439</v>
      </c>
      <c r="AO6315">
        <v>9252</v>
      </c>
      <c r="AP6315" t="s">
        <v>46014</v>
      </c>
      <c r="AU6315">
        <v>2.2</v>
      </c>
      <c r="AV6315" t="s">
        <v>836</v>
      </c>
      <c r="AW6315" t="s">
        <v>287</v>
      </c>
    </row>
    <row r="6316" spans="1:50">
      <c r="A6316" s="1">
        <f>HYPERLINK("https://lsnyc.legalserver.org/matter/dynamic-profile/view/1890571","19-1890571")</f>
        <v>0</v>
      </c>
      <c r="B6316" t="s">
        <v>65</v>
      </c>
      <c r="C6316" t="s">
        <v>341</v>
      </c>
      <c r="D6316" t="s">
        <v>745</v>
      </c>
      <c r="E6316" t="s">
        <v>857</v>
      </c>
      <c r="F6316" t="s">
        <v>874</v>
      </c>
      <c r="G6316" t="s">
        <v>7979</v>
      </c>
      <c r="H6316" t="s">
        <v>14197</v>
      </c>
      <c r="I6316" t="s">
        <v>18093</v>
      </c>
      <c r="J6316" t="s">
        <v>18892</v>
      </c>
      <c r="K6316">
        <v>10456</v>
      </c>
      <c r="L6316" t="s">
        <v>18958</v>
      </c>
      <c r="M6316" t="s">
        <v>18958</v>
      </c>
      <c r="N6316" t="s">
        <v>23598</v>
      </c>
      <c r="O6316" t="s">
        <v>26523</v>
      </c>
      <c r="P6316" t="s">
        <v>26564</v>
      </c>
      <c r="Q6316" t="s">
        <v>26570</v>
      </c>
      <c r="R6316" t="s">
        <v>26577</v>
      </c>
      <c r="S6316" t="s">
        <v>18959</v>
      </c>
      <c r="U6316" t="s">
        <v>26604</v>
      </c>
      <c r="W6316" t="s">
        <v>759</v>
      </c>
      <c r="X6316">
        <v>706</v>
      </c>
      <c r="Y6316" t="s">
        <v>26650</v>
      </c>
      <c r="Z6316" t="s">
        <v>26668</v>
      </c>
      <c r="AA6316" t="s">
        <v>26683</v>
      </c>
      <c r="AB6316" t="s">
        <v>29216</v>
      </c>
      <c r="AD6316" t="s">
        <v>41845</v>
      </c>
      <c r="AE6316">
        <v>0</v>
      </c>
      <c r="AG6316" t="s">
        <v>19330</v>
      </c>
      <c r="AH6316">
        <v>0</v>
      </c>
      <c r="AI6316">
        <v>1</v>
      </c>
      <c r="AJ6316">
        <v>0</v>
      </c>
      <c r="AK6316">
        <v>169.86</v>
      </c>
      <c r="AN6316" t="s">
        <v>7439</v>
      </c>
      <c r="AO6316">
        <v>21216</v>
      </c>
      <c r="AU6316">
        <v>1.4</v>
      </c>
      <c r="AV6316" t="s">
        <v>759</v>
      </c>
      <c r="AW6316" t="s">
        <v>46870</v>
      </c>
    </row>
    <row r="6317" spans="1:50">
      <c r="A6317" s="1">
        <f>HYPERLINK("https://lsnyc.legalserver.org/matter/dynamic-profile/view/1893172","19-1893172")</f>
        <v>0</v>
      </c>
      <c r="B6317" t="s">
        <v>280</v>
      </c>
      <c r="C6317" t="s">
        <v>341</v>
      </c>
      <c r="D6317" t="s">
        <v>759</v>
      </c>
      <c r="E6317" t="s">
        <v>805</v>
      </c>
      <c r="F6317" t="s">
        <v>3642</v>
      </c>
      <c r="G6317" t="s">
        <v>7980</v>
      </c>
      <c r="H6317" t="s">
        <v>9888</v>
      </c>
      <c r="I6317" t="s">
        <v>17448</v>
      </c>
      <c r="J6317" t="s">
        <v>18898</v>
      </c>
      <c r="K6317">
        <v>11691</v>
      </c>
      <c r="L6317" t="s">
        <v>18958</v>
      </c>
      <c r="M6317" t="s">
        <v>18958</v>
      </c>
      <c r="N6317" t="s">
        <v>23599</v>
      </c>
      <c r="O6317" t="s">
        <v>26523</v>
      </c>
      <c r="P6317" t="s">
        <v>26560</v>
      </c>
      <c r="Q6317" t="s">
        <v>26568</v>
      </c>
      <c r="R6317" t="s">
        <v>26578</v>
      </c>
      <c r="S6317" t="s">
        <v>18959</v>
      </c>
      <c r="U6317" t="s">
        <v>26604</v>
      </c>
      <c r="V6317" t="s">
        <v>26612</v>
      </c>
      <c r="W6317" t="s">
        <v>759</v>
      </c>
      <c r="X6317">
        <v>940</v>
      </c>
      <c r="Y6317" t="s">
        <v>26653</v>
      </c>
      <c r="Z6317" t="s">
        <v>26661</v>
      </c>
      <c r="AA6317" t="s">
        <v>26678</v>
      </c>
      <c r="AB6317" t="s">
        <v>31534</v>
      </c>
      <c r="AC6317" t="s">
        <v>36142</v>
      </c>
      <c r="AD6317" t="s">
        <v>41846</v>
      </c>
      <c r="AE6317">
        <v>240</v>
      </c>
      <c r="AF6317" t="s">
        <v>45550</v>
      </c>
      <c r="AG6317" t="s">
        <v>45556</v>
      </c>
      <c r="AH6317">
        <v>4</v>
      </c>
      <c r="AI6317">
        <v>1</v>
      </c>
      <c r="AJ6317">
        <v>0</v>
      </c>
      <c r="AK6317">
        <v>62.74</v>
      </c>
      <c r="AN6317" t="s">
        <v>7439</v>
      </c>
      <c r="AO6317">
        <v>7836</v>
      </c>
      <c r="AQ6317" t="s">
        <v>46359</v>
      </c>
      <c r="AR6317" t="s">
        <v>46379</v>
      </c>
      <c r="AS6317" t="s">
        <v>46499</v>
      </c>
      <c r="AT6317" t="s">
        <v>46700</v>
      </c>
      <c r="AU6317">
        <v>0.45</v>
      </c>
      <c r="AV6317" t="s">
        <v>805</v>
      </c>
      <c r="AW6317" t="s">
        <v>208</v>
      </c>
    </row>
    <row r="6318" spans="1:50">
      <c r="A6318" s="1">
        <f>HYPERLINK("https://lsnyc.legalserver.org/matter/dynamic-profile/view/1893138","19-1893138")</f>
        <v>0</v>
      </c>
      <c r="B6318" t="s">
        <v>94</v>
      </c>
      <c r="C6318" t="s">
        <v>341</v>
      </c>
      <c r="D6318" t="s">
        <v>759</v>
      </c>
      <c r="E6318" t="s">
        <v>759</v>
      </c>
      <c r="F6318" t="s">
        <v>3643</v>
      </c>
      <c r="G6318" t="s">
        <v>6966</v>
      </c>
      <c r="H6318" t="s">
        <v>14198</v>
      </c>
      <c r="I6318" t="s">
        <v>18353</v>
      </c>
      <c r="J6318" t="s">
        <v>18893</v>
      </c>
      <c r="K6318">
        <v>10028</v>
      </c>
      <c r="L6318" t="s">
        <v>18958</v>
      </c>
      <c r="M6318" t="s">
        <v>18958</v>
      </c>
      <c r="N6318" t="s">
        <v>23600</v>
      </c>
      <c r="O6318" t="s">
        <v>26523</v>
      </c>
      <c r="P6318" t="s">
        <v>26564</v>
      </c>
      <c r="Q6318" t="s">
        <v>26570</v>
      </c>
      <c r="R6318" t="s">
        <v>26582</v>
      </c>
      <c r="S6318" t="s">
        <v>18959</v>
      </c>
      <c r="U6318" t="s">
        <v>26604</v>
      </c>
      <c r="V6318" t="s">
        <v>26610</v>
      </c>
      <c r="W6318" t="s">
        <v>759</v>
      </c>
      <c r="X6318">
        <v>2778</v>
      </c>
      <c r="Y6318" t="s">
        <v>26651</v>
      </c>
      <c r="Z6318" t="s">
        <v>26664</v>
      </c>
      <c r="AA6318" t="s">
        <v>26683</v>
      </c>
      <c r="AB6318" t="s">
        <v>31602</v>
      </c>
      <c r="AC6318" t="s">
        <v>36143</v>
      </c>
      <c r="AD6318" t="s">
        <v>41847</v>
      </c>
      <c r="AE6318">
        <v>0</v>
      </c>
      <c r="AF6318" t="s">
        <v>45541</v>
      </c>
      <c r="AG6318" t="s">
        <v>19330</v>
      </c>
      <c r="AH6318">
        <v>27</v>
      </c>
      <c r="AI6318">
        <v>1</v>
      </c>
      <c r="AJ6318">
        <v>0</v>
      </c>
      <c r="AK6318">
        <v>17.58</v>
      </c>
      <c r="AN6318" t="s">
        <v>7439</v>
      </c>
      <c r="AO6318">
        <v>2196</v>
      </c>
      <c r="AU6318">
        <v>1</v>
      </c>
      <c r="AV6318" t="s">
        <v>759</v>
      </c>
      <c r="AW6318" t="s">
        <v>314</v>
      </c>
    </row>
    <row r="6319" spans="1:50">
      <c r="A6319" s="1">
        <f>HYPERLINK("https://lsnyc.legalserver.org/matter/dynamic-profile/view/1893197","19-1893197")</f>
        <v>0</v>
      </c>
      <c r="B6319" t="s">
        <v>94</v>
      </c>
      <c r="C6319" t="s">
        <v>341</v>
      </c>
      <c r="D6319" t="s">
        <v>759</v>
      </c>
      <c r="E6319" t="s">
        <v>759</v>
      </c>
      <c r="F6319" t="s">
        <v>3644</v>
      </c>
      <c r="G6319" t="s">
        <v>3599</v>
      </c>
      <c r="H6319" t="s">
        <v>14199</v>
      </c>
      <c r="I6319" t="s">
        <v>17586</v>
      </c>
      <c r="J6319" t="s">
        <v>18893</v>
      </c>
      <c r="K6319">
        <v>10001</v>
      </c>
      <c r="L6319" t="s">
        <v>18958</v>
      </c>
      <c r="M6319" t="s">
        <v>18958</v>
      </c>
      <c r="N6319" t="s">
        <v>23601</v>
      </c>
      <c r="O6319" t="s">
        <v>26523</v>
      </c>
      <c r="P6319" t="s">
        <v>26564</v>
      </c>
      <c r="Q6319" t="s">
        <v>26570</v>
      </c>
      <c r="R6319" t="s">
        <v>26582</v>
      </c>
      <c r="S6319" t="s">
        <v>18959</v>
      </c>
      <c r="U6319" t="s">
        <v>26604</v>
      </c>
      <c r="W6319" t="s">
        <v>759</v>
      </c>
      <c r="X6319">
        <v>1642.59</v>
      </c>
      <c r="Y6319" t="s">
        <v>26651</v>
      </c>
      <c r="Z6319" t="s">
        <v>26668</v>
      </c>
      <c r="AA6319" t="s">
        <v>26683</v>
      </c>
      <c r="AB6319" t="s">
        <v>31603</v>
      </c>
      <c r="AD6319" t="s">
        <v>41848</v>
      </c>
      <c r="AE6319">
        <v>0</v>
      </c>
      <c r="AF6319" t="s">
        <v>45541</v>
      </c>
      <c r="AG6319" t="s">
        <v>45556</v>
      </c>
      <c r="AH6319">
        <v>7</v>
      </c>
      <c r="AI6319">
        <v>2</v>
      </c>
      <c r="AJ6319">
        <v>1</v>
      </c>
      <c r="AK6319">
        <v>186.51</v>
      </c>
      <c r="AN6319" t="s">
        <v>7439</v>
      </c>
      <c r="AO6319">
        <v>39782</v>
      </c>
      <c r="AU6319">
        <v>1</v>
      </c>
      <c r="AV6319" t="s">
        <v>759</v>
      </c>
      <c r="AW6319" t="s">
        <v>314</v>
      </c>
    </row>
    <row r="6320" spans="1:50">
      <c r="A6320" s="1">
        <f>HYPERLINK("https://lsnyc.legalserver.org/matter/dynamic-profile/view/1893235","19-1893235")</f>
        <v>0</v>
      </c>
      <c r="B6320" t="s">
        <v>81</v>
      </c>
      <c r="C6320" t="s">
        <v>341</v>
      </c>
      <c r="D6320" t="s">
        <v>759</v>
      </c>
      <c r="E6320" t="s">
        <v>760</v>
      </c>
      <c r="F6320" t="s">
        <v>1992</v>
      </c>
      <c r="G6320" t="s">
        <v>7981</v>
      </c>
      <c r="H6320" t="s">
        <v>14200</v>
      </c>
      <c r="I6320">
        <v>1</v>
      </c>
      <c r="J6320" t="s">
        <v>18892</v>
      </c>
      <c r="K6320">
        <v>10458</v>
      </c>
      <c r="L6320" t="s">
        <v>18958</v>
      </c>
      <c r="M6320" t="s">
        <v>18958</v>
      </c>
      <c r="N6320" t="s">
        <v>23602</v>
      </c>
      <c r="O6320" t="s">
        <v>26523</v>
      </c>
      <c r="P6320" t="s">
        <v>26560</v>
      </c>
      <c r="Q6320" t="s">
        <v>26568</v>
      </c>
      <c r="R6320" t="s">
        <v>26577</v>
      </c>
      <c r="S6320" t="s">
        <v>18959</v>
      </c>
      <c r="U6320" t="s">
        <v>26604</v>
      </c>
      <c r="W6320" t="s">
        <v>759</v>
      </c>
      <c r="X6320">
        <v>1650</v>
      </c>
      <c r="Y6320" t="s">
        <v>26650</v>
      </c>
      <c r="AA6320" t="s">
        <v>26678</v>
      </c>
      <c r="AB6320" t="s">
        <v>31604</v>
      </c>
      <c r="AD6320" t="s">
        <v>41849</v>
      </c>
      <c r="AE6320">
        <v>18</v>
      </c>
      <c r="AF6320" t="s">
        <v>20460</v>
      </c>
      <c r="AG6320" t="s">
        <v>19330</v>
      </c>
      <c r="AH6320">
        <v>4</v>
      </c>
      <c r="AI6320">
        <v>2</v>
      </c>
      <c r="AJ6320">
        <v>0</v>
      </c>
      <c r="AK6320">
        <v>46.34</v>
      </c>
      <c r="AN6320" t="s">
        <v>7439</v>
      </c>
      <c r="AO6320">
        <v>7836</v>
      </c>
      <c r="AS6320" t="s">
        <v>46499</v>
      </c>
      <c r="AT6320" t="s">
        <v>46616</v>
      </c>
      <c r="AU6320">
        <v>2.2</v>
      </c>
      <c r="AV6320" t="s">
        <v>760</v>
      </c>
      <c r="AW6320" t="s">
        <v>329</v>
      </c>
      <c r="AX6320" t="s">
        <v>46897</v>
      </c>
    </row>
    <row r="6321" spans="1:50">
      <c r="A6321" s="1">
        <f>HYPERLINK("https://lsnyc.legalserver.org/matter/dynamic-profile/view/1893228","19-1893228")</f>
        <v>0</v>
      </c>
      <c r="B6321" t="s">
        <v>74</v>
      </c>
      <c r="C6321" t="s">
        <v>341</v>
      </c>
      <c r="D6321" t="s">
        <v>759</v>
      </c>
      <c r="E6321" t="s">
        <v>831</v>
      </c>
      <c r="F6321" t="s">
        <v>3645</v>
      </c>
      <c r="G6321" t="s">
        <v>5784</v>
      </c>
      <c r="H6321" t="s">
        <v>14201</v>
      </c>
      <c r="I6321" t="s">
        <v>17331</v>
      </c>
      <c r="J6321" t="s">
        <v>18893</v>
      </c>
      <c r="K6321">
        <v>10033</v>
      </c>
      <c r="L6321" t="s">
        <v>18958</v>
      </c>
      <c r="M6321" t="s">
        <v>18958</v>
      </c>
      <c r="O6321" t="s">
        <v>26529</v>
      </c>
      <c r="P6321" t="s">
        <v>26562</v>
      </c>
      <c r="Q6321" t="s">
        <v>26571</v>
      </c>
      <c r="R6321" t="s">
        <v>26578</v>
      </c>
      <c r="S6321" t="s">
        <v>18959</v>
      </c>
      <c r="U6321" t="s">
        <v>26604</v>
      </c>
      <c r="V6321" t="s">
        <v>26610</v>
      </c>
      <c r="W6321" t="s">
        <v>759</v>
      </c>
      <c r="X6321">
        <v>966.6900000000001</v>
      </c>
      <c r="Y6321" t="s">
        <v>26651</v>
      </c>
      <c r="Z6321" t="s">
        <v>26661</v>
      </c>
      <c r="AA6321" t="s">
        <v>26678</v>
      </c>
      <c r="AB6321" t="s">
        <v>29229</v>
      </c>
      <c r="AD6321" t="s">
        <v>41850</v>
      </c>
      <c r="AE6321">
        <v>10</v>
      </c>
      <c r="AF6321" t="s">
        <v>45541</v>
      </c>
      <c r="AG6321" t="s">
        <v>19330</v>
      </c>
      <c r="AH6321">
        <v>20</v>
      </c>
      <c r="AI6321">
        <v>3</v>
      </c>
      <c r="AJ6321">
        <v>2</v>
      </c>
      <c r="AK6321">
        <v>178.99</v>
      </c>
      <c r="AN6321" t="s">
        <v>7439</v>
      </c>
      <c r="AO6321">
        <v>54000</v>
      </c>
      <c r="AU6321">
        <v>2.8</v>
      </c>
      <c r="AV6321" t="s">
        <v>800</v>
      </c>
      <c r="AW6321" t="s">
        <v>46840</v>
      </c>
      <c r="AX6321" t="s">
        <v>46897</v>
      </c>
    </row>
    <row r="6322" spans="1:50">
      <c r="A6322" s="1">
        <f>HYPERLINK("https://lsnyc.legalserver.org/matter/dynamic-profile/view/1893233","19-1893233")</f>
        <v>0</v>
      </c>
      <c r="B6322" t="s">
        <v>64</v>
      </c>
      <c r="C6322" t="s">
        <v>341</v>
      </c>
      <c r="D6322" t="s">
        <v>759</v>
      </c>
      <c r="E6322" t="s">
        <v>759</v>
      </c>
      <c r="F6322" t="s">
        <v>1235</v>
      </c>
      <c r="G6322" t="s">
        <v>6174</v>
      </c>
      <c r="H6322" t="s">
        <v>14202</v>
      </c>
      <c r="I6322" t="s">
        <v>18142</v>
      </c>
      <c r="J6322" t="s">
        <v>18892</v>
      </c>
      <c r="K6322">
        <v>10472</v>
      </c>
      <c r="L6322" t="s">
        <v>18958</v>
      </c>
      <c r="M6322" t="s">
        <v>18958</v>
      </c>
      <c r="N6322" t="s">
        <v>23603</v>
      </c>
      <c r="O6322" t="s">
        <v>26524</v>
      </c>
      <c r="P6322" t="s">
        <v>26564</v>
      </c>
      <c r="Q6322" t="s">
        <v>26570</v>
      </c>
      <c r="R6322" t="s">
        <v>26577</v>
      </c>
      <c r="S6322" t="s">
        <v>18959</v>
      </c>
      <c r="U6322" t="s">
        <v>26605</v>
      </c>
      <c r="V6322" t="s">
        <v>26610</v>
      </c>
      <c r="W6322" t="s">
        <v>759</v>
      </c>
      <c r="X6322">
        <v>245</v>
      </c>
      <c r="Y6322" t="s">
        <v>26650</v>
      </c>
      <c r="Z6322" t="s">
        <v>26668</v>
      </c>
      <c r="AA6322" t="s">
        <v>26683</v>
      </c>
      <c r="AB6322" t="s">
        <v>31605</v>
      </c>
      <c r="AC6322" t="s">
        <v>36144</v>
      </c>
      <c r="AD6322" t="s">
        <v>41851</v>
      </c>
      <c r="AE6322">
        <v>0</v>
      </c>
      <c r="AF6322" t="s">
        <v>45549</v>
      </c>
      <c r="AH6322">
        <v>20</v>
      </c>
      <c r="AI6322">
        <v>1</v>
      </c>
      <c r="AJ6322">
        <v>0</v>
      </c>
      <c r="AK6322">
        <v>86.47</v>
      </c>
      <c r="AN6322" t="s">
        <v>7439</v>
      </c>
      <c r="AO6322">
        <v>10800</v>
      </c>
      <c r="AU6322">
        <v>2.5</v>
      </c>
      <c r="AV6322" t="s">
        <v>759</v>
      </c>
      <c r="AW6322" t="s">
        <v>46870</v>
      </c>
    </row>
    <row r="6323" spans="1:50">
      <c r="A6323" s="1">
        <f>HYPERLINK("https://lsnyc.legalserver.org/matter/dynamic-profile/view/1893204","19-1893204")</f>
        <v>0</v>
      </c>
      <c r="B6323" t="s">
        <v>270</v>
      </c>
      <c r="C6323" t="s">
        <v>341</v>
      </c>
      <c r="D6323" t="s">
        <v>759</v>
      </c>
      <c r="E6323" t="s">
        <v>768</v>
      </c>
      <c r="F6323" t="s">
        <v>1384</v>
      </c>
      <c r="G6323" t="s">
        <v>5785</v>
      </c>
      <c r="H6323" t="s">
        <v>14203</v>
      </c>
      <c r="I6323" t="s">
        <v>17972</v>
      </c>
      <c r="J6323" t="s">
        <v>18892</v>
      </c>
      <c r="K6323">
        <v>10454</v>
      </c>
      <c r="L6323" t="s">
        <v>18958</v>
      </c>
      <c r="M6323" t="s">
        <v>18958</v>
      </c>
      <c r="N6323" t="s">
        <v>23604</v>
      </c>
      <c r="O6323" t="s">
        <v>26524</v>
      </c>
      <c r="P6323" t="s">
        <v>26564</v>
      </c>
      <c r="Q6323" t="s">
        <v>26570</v>
      </c>
      <c r="R6323" t="s">
        <v>26577</v>
      </c>
      <c r="S6323" t="s">
        <v>18959</v>
      </c>
      <c r="U6323" t="s">
        <v>26604</v>
      </c>
      <c r="V6323" t="s">
        <v>26612</v>
      </c>
      <c r="W6323" t="s">
        <v>759</v>
      </c>
      <c r="X6323">
        <v>0</v>
      </c>
      <c r="Y6323" t="s">
        <v>26650</v>
      </c>
      <c r="Z6323" t="s">
        <v>26668</v>
      </c>
      <c r="AA6323" t="s">
        <v>26683</v>
      </c>
      <c r="AB6323" t="s">
        <v>31606</v>
      </c>
      <c r="AD6323" t="s">
        <v>41852</v>
      </c>
      <c r="AE6323">
        <v>0</v>
      </c>
      <c r="AF6323" t="s">
        <v>45542</v>
      </c>
      <c r="AH6323">
        <v>0</v>
      </c>
      <c r="AI6323">
        <v>1</v>
      </c>
      <c r="AJ6323">
        <v>1</v>
      </c>
      <c r="AK6323">
        <v>106.45</v>
      </c>
      <c r="AN6323" t="s">
        <v>7439</v>
      </c>
      <c r="AO6323">
        <v>18000</v>
      </c>
      <c r="AU6323">
        <v>3.4</v>
      </c>
      <c r="AV6323" t="s">
        <v>760</v>
      </c>
      <c r="AW6323" t="s">
        <v>46831</v>
      </c>
    </row>
    <row r="6324" spans="1:50">
      <c r="A6324" s="1">
        <f>HYPERLINK("https://lsnyc.legalserver.org/matter/dynamic-profile/view/1893147","19-1893147")</f>
        <v>0</v>
      </c>
      <c r="B6324" t="s">
        <v>278</v>
      </c>
      <c r="C6324" t="s">
        <v>340</v>
      </c>
      <c r="D6324" t="s">
        <v>759</v>
      </c>
      <c r="F6324" t="s">
        <v>2423</v>
      </c>
      <c r="G6324" t="s">
        <v>5762</v>
      </c>
      <c r="H6324" t="s">
        <v>14204</v>
      </c>
      <c r="I6324" t="s">
        <v>17431</v>
      </c>
      <c r="J6324" t="s">
        <v>18902</v>
      </c>
      <c r="K6324">
        <v>10304</v>
      </c>
      <c r="L6324" t="s">
        <v>18958</v>
      </c>
      <c r="M6324" t="s">
        <v>18958</v>
      </c>
      <c r="N6324" t="s">
        <v>23605</v>
      </c>
      <c r="O6324" t="s">
        <v>26523</v>
      </c>
      <c r="P6324" t="s">
        <v>26560</v>
      </c>
      <c r="R6324" t="s">
        <v>26578</v>
      </c>
      <c r="S6324" t="s">
        <v>18959</v>
      </c>
      <c r="U6324" t="s">
        <v>26604</v>
      </c>
      <c r="V6324" t="s">
        <v>26610</v>
      </c>
      <c r="W6324" t="s">
        <v>759</v>
      </c>
      <c r="X6324">
        <v>825</v>
      </c>
      <c r="Y6324" t="s">
        <v>26654</v>
      </c>
      <c r="Z6324" t="s">
        <v>26668</v>
      </c>
      <c r="AB6324" t="s">
        <v>31607</v>
      </c>
      <c r="AD6324" t="s">
        <v>41853</v>
      </c>
      <c r="AE6324">
        <v>2</v>
      </c>
      <c r="AF6324" t="s">
        <v>45547</v>
      </c>
      <c r="AG6324" t="s">
        <v>19330</v>
      </c>
      <c r="AH6324">
        <v>4</v>
      </c>
      <c r="AI6324">
        <v>3</v>
      </c>
      <c r="AJ6324">
        <v>1</v>
      </c>
      <c r="AK6324">
        <v>67.51000000000001</v>
      </c>
      <c r="AN6324" t="s">
        <v>7439</v>
      </c>
      <c r="AO6324">
        <v>17384</v>
      </c>
      <c r="AU6324">
        <v>18.75</v>
      </c>
      <c r="AV6324" t="s">
        <v>833</v>
      </c>
      <c r="AW6324" t="s">
        <v>46883</v>
      </c>
      <c r="AX6324" t="s">
        <v>46897</v>
      </c>
    </row>
    <row r="6325" spans="1:50">
      <c r="A6325" s="1">
        <f>HYPERLINK("https://lsnyc.legalserver.org/matter/dynamic-profile/view/1893266","19-1893266")</f>
        <v>0</v>
      </c>
      <c r="B6325" t="s">
        <v>243</v>
      </c>
      <c r="C6325" t="s">
        <v>340</v>
      </c>
      <c r="D6325" t="s">
        <v>759</v>
      </c>
      <c r="F6325" t="s">
        <v>1630</v>
      </c>
      <c r="G6325" t="s">
        <v>945</v>
      </c>
      <c r="H6325" t="s">
        <v>11135</v>
      </c>
      <c r="I6325" t="s">
        <v>17306</v>
      </c>
      <c r="J6325" t="s">
        <v>18894</v>
      </c>
      <c r="K6325">
        <v>11225</v>
      </c>
      <c r="L6325" t="s">
        <v>18958</v>
      </c>
      <c r="M6325" t="s">
        <v>18958</v>
      </c>
      <c r="O6325" t="s">
        <v>26537</v>
      </c>
      <c r="P6325" t="s">
        <v>26562</v>
      </c>
      <c r="R6325" t="s">
        <v>26578</v>
      </c>
      <c r="U6325" t="s">
        <v>26604</v>
      </c>
      <c r="W6325" t="s">
        <v>759</v>
      </c>
      <c r="X6325">
        <v>1480.9</v>
      </c>
      <c r="Y6325" t="s">
        <v>26652</v>
      </c>
      <c r="AB6325" t="s">
        <v>28317</v>
      </c>
      <c r="AD6325" t="s">
        <v>38365</v>
      </c>
      <c r="AE6325">
        <v>0</v>
      </c>
      <c r="AG6325" t="s">
        <v>45556</v>
      </c>
      <c r="AH6325">
        <v>11</v>
      </c>
      <c r="AI6325">
        <v>1</v>
      </c>
      <c r="AJ6325">
        <v>0</v>
      </c>
      <c r="AK6325">
        <v>96.08</v>
      </c>
      <c r="AN6325" t="s">
        <v>7439</v>
      </c>
      <c r="AO6325">
        <v>12000</v>
      </c>
      <c r="AU6325">
        <v>0.5</v>
      </c>
      <c r="AV6325" t="s">
        <v>804</v>
      </c>
      <c r="AW6325" t="s">
        <v>219</v>
      </c>
    </row>
    <row r="6326" spans="1:50">
      <c r="A6326" s="1">
        <f>HYPERLINK("https://lsnyc.legalserver.org/matter/dynamic-profile/view/1893140","19-1893140")</f>
        <v>0</v>
      </c>
      <c r="B6326" t="s">
        <v>81</v>
      </c>
      <c r="C6326" t="s">
        <v>340</v>
      </c>
      <c r="D6326" t="s">
        <v>759</v>
      </c>
      <c r="F6326" t="s">
        <v>3646</v>
      </c>
      <c r="G6326" t="s">
        <v>5254</v>
      </c>
      <c r="H6326" t="s">
        <v>14205</v>
      </c>
      <c r="I6326" t="s">
        <v>17272</v>
      </c>
      <c r="J6326" t="s">
        <v>18892</v>
      </c>
      <c r="K6326">
        <v>10468</v>
      </c>
      <c r="L6326" t="s">
        <v>18958</v>
      </c>
      <c r="M6326" t="s">
        <v>18958</v>
      </c>
      <c r="N6326" t="s">
        <v>23606</v>
      </c>
      <c r="O6326" t="s">
        <v>26524</v>
      </c>
      <c r="P6326" t="s">
        <v>26560</v>
      </c>
      <c r="R6326" t="s">
        <v>26579</v>
      </c>
      <c r="S6326" t="s">
        <v>18959</v>
      </c>
      <c r="U6326" t="s">
        <v>26604</v>
      </c>
      <c r="V6326" t="s">
        <v>26610</v>
      </c>
      <c r="W6326" t="s">
        <v>759</v>
      </c>
      <c r="X6326">
        <v>1769</v>
      </c>
      <c r="Y6326" t="s">
        <v>26650</v>
      </c>
      <c r="Z6326" t="s">
        <v>26530</v>
      </c>
      <c r="AB6326" t="s">
        <v>29277</v>
      </c>
      <c r="AC6326" t="s">
        <v>36145</v>
      </c>
      <c r="AD6326" t="s">
        <v>41854</v>
      </c>
      <c r="AE6326">
        <v>39</v>
      </c>
      <c r="AF6326" t="s">
        <v>45547</v>
      </c>
      <c r="AG6326" t="s">
        <v>45556</v>
      </c>
      <c r="AH6326">
        <v>10</v>
      </c>
      <c r="AI6326">
        <v>2</v>
      </c>
      <c r="AJ6326">
        <v>1</v>
      </c>
      <c r="AK6326">
        <v>73.14</v>
      </c>
      <c r="AN6326" t="s">
        <v>45581</v>
      </c>
      <c r="AO6326">
        <v>15600</v>
      </c>
      <c r="AU6326">
        <v>7.1</v>
      </c>
      <c r="AV6326" t="s">
        <v>826</v>
      </c>
      <c r="AW6326" t="s">
        <v>329</v>
      </c>
      <c r="AX6326" t="s">
        <v>46898</v>
      </c>
    </row>
    <row r="6327" spans="1:50">
      <c r="A6327" s="1">
        <f>HYPERLINK("https://lsnyc.legalserver.org/matter/dynamic-profile/view/1893218","19-1893218")</f>
        <v>0</v>
      </c>
      <c r="B6327" t="s">
        <v>81</v>
      </c>
      <c r="C6327" t="s">
        <v>340</v>
      </c>
      <c r="D6327" t="s">
        <v>759</v>
      </c>
      <c r="F6327" t="s">
        <v>1063</v>
      </c>
      <c r="G6327" t="s">
        <v>7982</v>
      </c>
      <c r="H6327" t="s">
        <v>14206</v>
      </c>
      <c r="I6327" t="s">
        <v>17728</v>
      </c>
      <c r="J6327" t="s">
        <v>18892</v>
      </c>
      <c r="K6327">
        <v>10457</v>
      </c>
      <c r="L6327" t="s">
        <v>18958</v>
      </c>
      <c r="M6327" t="s">
        <v>18958</v>
      </c>
      <c r="N6327" t="s">
        <v>23607</v>
      </c>
      <c r="O6327" t="s">
        <v>26523</v>
      </c>
      <c r="P6327" t="s">
        <v>26560</v>
      </c>
      <c r="R6327" t="s">
        <v>26579</v>
      </c>
      <c r="S6327" t="s">
        <v>18959</v>
      </c>
      <c r="U6327" t="s">
        <v>26604</v>
      </c>
      <c r="W6327" t="s">
        <v>759</v>
      </c>
      <c r="X6327">
        <v>313</v>
      </c>
      <c r="Y6327" t="s">
        <v>26650</v>
      </c>
      <c r="Z6327" t="s">
        <v>26660</v>
      </c>
      <c r="AB6327" t="s">
        <v>27028</v>
      </c>
      <c r="AD6327" t="s">
        <v>41855</v>
      </c>
      <c r="AE6327">
        <v>48</v>
      </c>
      <c r="AF6327" t="s">
        <v>45550</v>
      </c>
      <c r="AG6327" t="s">
        <v>45557</v>
      </c>
      <c r="AH6327">
        <v>6</v>
      </c>
      <c r="AI6327">
        <v>1</v>
      </c>
      <c r="AJ6327">
        <v>0</v>
      </c>
      <c r="AK6327">
        <v>105.68</v>
      </c>
      <c r="AN6327" t="s">
        <v>7439</v>
      </c>
      <c r="AO6327">
        <v>13200</v>
      </c>
      <c r="AU6327">
        <v>9.6</v>
      </c>
      <c r="AV6327" t="s">
        <v>807</v>
      </c>
      <c r="AW6327" t="s">
        <v>329</v>
      </c>
    </row>
    <row r="6328" spans="1:50">
      <c r="A6328" s="1">
        <f>HYPERLINK("https://lsnyc.legalserver.org/matter/dynamic-profile/view/1893139","19-1893139")</f>
        <v>0</v>
      </c>
      <c r="B6328" t="s">
        <v>84</v>
      </c>
      <c r="C6328" t="s">
        <v>340</v>
      </c>
      <c r="D6328" t="s">
        <v>759</v>
      </c>
      <c r="F6328" t="s">
        <v>3647</v>
      </c>
      <c r="G6328" t="s">
        <v>6828</v>
      </c>
      <c r="H6328" t="s">
        <v>14207</v>
      </c>
      <c r="I6328" t="s">
        <v>17528</v>
      </c>
      <c r="J6328" t="s">
        <v>18893</v>
      </c>
      <c r="K6328">
        <v>10040</v>
      </c>
      <c r="L6328" t="s">
        <v>18958</v>
      </c>
      <c r="M6328" t="s">
        <v>18958</v>
      </c>
      <c r="N6328" t="s">
        <v>23608</v>
      </c>
      <c r="O6328" t="s">
        <v>26524</v>
      </c>
      <c r="P6328" t="s">
        <v>26564</v>
      </c>
      <c r="R6328" t="s">
        <v>26582</v>
      </c>
      <c r="S6328" t="s">
        <v>18959</v>
      </c>
      <c r="U6328" t="s">
        <v>26604</v>
      </c>
      <c r="W6328" t="s">
        <v>759</v>
      </c>
      <c r="X6328">
        <v>1037</v>
      </c>
      <c r="Y6328" t="s">
        <v>26651</v>
      </c>
      <c r="Z6328" t="s">
        <v>26664</v>
      </c>
      <c r="AB6328" t="s">
        <v>28652</v>
      </c>
      <c r="AC6328" t="s">
        <v>36146</v>
      </c>
      <c r="AD6328" t="s">
        <v>41856</v>
      </c>
      <c r="AE6328">
        <v>103</v>
      </c>
      <c r="AF6328" t="s">
        <v>20460</v>
      </c>
      <c r="AG6328" t="s">
        <v>19330</v>
      </c>
      <c r="AH6328">
        <v>12</v>
      </c>
      <c r="AI6328">
        <v>2</v>
      </c>
      <c r="AJ6328">
        <v>0</v>
      </c>
      <c r="AK6328">
        <v>170.72</v>
      </c>
      <c r="AN6328" t="s">
        <v>45581</v>
      </c>
      <c r="AO6328">
        <v>28869</v>
      </c>
      <c r="AU6328">
        <v>1.5</v>
      </c>
      <c r="AV6328" t="s">
        <v>803</v>
      </c>
      <c r="AW6328" t="s">
        <v>46875</v>
      </c>
    </row>
    <row r="6329" spans="1:50">
      <c r="A6329" s="1">
        <f>HYPERLINK("https://lsnyc.legalserver.org/matter/dynamic-profile/view/1893180","19-1893180")</f>
        <v>0</v>
      </c>
      <c r="B6329" t="s">
        <v>212</v>
      </c>
      <c r="C6329" t="s">
        <v>340</v>
      </c>
      <c r="D6329" t="s">
        <v>759</v>
      </c>
      <c r="F6329" t="s">
        <v>3642</v>
      </c>
      <c r="G6329" t="s">
        <v>7980</v>
      </c>
      <c r="H6329" t="s">
        <v>9888</v>
      </c>
      <c r="I6329" t="s">
        <v>17448</v>
      </c>
      <c r="J6329" t="s">
        <v>18898</v>
      </c>
      <c r="K6329">
        <v>11691</v>
      </c>
      <c r="L6329" t="s">
        <v>18958</v>
      </c>
      <c r="M6329" t="s">
        <v>18958</v>
      </c>
      <c r="O6329" t="s">
        <v>26538</v>
      </c>
      <c r="P6329" t="s">
        <v>26565</v>
      </c>
      <c r="R6329" t="s">
        <v>26578</v>
      </c>
      <c r="S6329" t="s">
        <v>18959</v>
      </c>
      <c r="U6329" t="s">
        <v>26604</v>
      </c>
      <c r="W6329" t="s">
        <v>759</v>
      </c>
      <c r="X6329">
        <v>940</v>
      </c>
      <c r="Y6329" t="s">
        <v>26653</v>
      </c>
      <c r="Z6329" t="s">
        <v>26661</v>
      </c>
      <c r="AB6329" t="s">
        <v>31534</v>
      </c>
      <c r="AC6329" t="s">
        <v>36142</v>
      </c>
      <c r="AD6329" t="s">
        <v>41846</v>
      </c>
      <c r="AE6329">
        <v>240</v>
      </c>
      <c r="AF6329" t="s">
        <v>45550</v>
      </c>
      <c r="AG6329" t="s">
        <v>45556</v>
      </c>
      <c r="AH6329">
        <v>4</v>
      </c>
      <c r="AI6329">
        <v>1</v>
      </c>
      <c r="AJ6329">
        <v>0</v>
      </c>
      <c r="AK6329">
        <v>62.74</v>
      </c>
      <c r="AN6329" t="s">
        <v>7439</v>
      </c>
      <c r="AO6329">
        <v>7836</v>
      </c>
      <c r="AR6329" t="s">
        <v>26530</v>
      </c>
      <c r="AU6329">
        <v>1.3</v>
      </c>
      <c r="AV6329" t="s">
        <v>815</v>
      </c>
      <c r="AW6329" t="s">
        <v>208</v>
      </c>
    </row>
    <row r="6330" spans="1:50">
      <c r="A6330" s="1">
        <f>HYPERLINK("https://lsnyc.legalserver.org/matter/dynamic-profile/view/1893170","19-1893170")</f>
        <v>0</v>
      </c>
      <c r="B6330" t="s">
        <v>74</v>
      </c>
      <c r="C6330" t="s">
        <v>340</v>
      </c>
      <c r="D6330" t="s">
        <v>759</v>
      </c>
      <c r="F6330" t="s">
        <v>1031</v>
      </c>
      <c r="G6330" t="s">
        <v>7983</v>
      </c>
      <c r="H6330" t="s">
        <v>10391</v>
      </c>
      <c r="I6330" t="s">
        <v>17312</v>
      </c>
      <c r="J6330" t="s">
        <v>18893</v>
      </c>
      <c r="K6330">
        <v>10033</v>
      </c>
      <c r="L6330" t="s">
        <v>18958</v>
      </c>
      <c r="M6330" t="s">
        <v>18958</v>
      </c>
      <c r="O6330" t="s">
        <v>26523</v>
      </c>
      <c r="P6330" t="s">
        <v>26560</v>
      </c>
      <c r="R6330" t="s">
        <v>26578</v>
      </c>
      <c r="S6330" t="s">
        <v>18959</v>
      </c>
      <c r="U6330" t="s">
        <v>26604</v>
      </c>
      <c r="W6330" t="s">
        <v>759</v>
      </c>
      <c r="X6330">
        <v>798</v>
      </c>
      <c r="Y6330" t="s">
        <v>26651</v>
      </c>
      <c r="Z6330" t="s">
        <v>26661</v>
      </c>
      <c r="AB6330" t="s">
        <v>31608</v>
      </c>
      <c r="AD6330" t="s">
        <v>41857</v>
      </c>
      <c r="AE6330">
        <v>39</v>
      </c>
      <c r="AF6330" t="s">
        <v>45541</v>
      </c>
      <c r="AG6330" t="s">
        <v>19330</v>
      </c>
      <c r="AH6330">
        <v>43</v>
      </c>
      <c r="AI6330">
        <v>1</v>
      </c>
      <c r="AJ6330">
        <v>0</v>
      </c>
      <c r="AK6330">
        <v>81.76000000000001</v>
      </c>
      <c r="AN6330" t="s">
        <v>7439</v>
      </c>
      <c r="AO6330">
        <v>10212</v>
      </c>
      <c r="AU6330">
        <v>43.8</v>
      </c>
      <c r="AV6330" t="s">
        <v>832</v>
      </c>
      <c r="AW6330" t="s">
        <v>46840</v>
      </c>
      <c r="AX6330" t="s">
        <v>46897</v>
      </c>
    </row>
    <row r="6331" spans="1:50">
      <c r="A6331" s="1">
        <f>HYPERLINK("https://lsnyc.legalserver.org/matter/dynamic-profile/view/1893163","19-1893163")</f>
        <v>0</v>
      </c>
      <c r="B6331" t="s">
        <v>64</v>
      </c>
      <c r="C6331" t="s">
        <v>340</v>
      </c>
      <c r="D6331" t="s">
        <v>759</v>
      </c>
      <c r="F6331" t="s">
        <v>3648</v>
      </c>
      <c r="G6331" t="s">
        <v>7984</v>
      </c>
      <c r="H6331" t="s">
        <v>12227</v>
      </c>
      <c r="I6331" t="s">
        <v>17312</v>
      </c>
      <c r="J6331" t="s">
        <v>18892</v>
      </c>
      <c r="K6331">
        <v>10468</v>
      </c>
      <c r="L6331" t="s">
        <v>18958</v>
      </c>
      <c r="M6331" t="s">
        <v>18958</v>
      </c>
      <c r="N6331" t="s">
        <v>23609</v>
      </c>
      <c r="O6331" t="s">
        <v>26523</v>
      </c>
      <c r="P6331" t="s">
        <v>26560</v>
      </c>
      <c r="R6331" t="s">
        <v>26579</v>
      </c>
      <c r="S6331" t="s">
        <v>18959</v>
      </c>
      <c r="U6331" t="s">
        <v>26604</v>
      </c>
      <c r="V6331" t="s">
        <v>26610</v>
      </c>
      <c r="W6331" t="s">
        <v>759</v>
      </c>
      <c r="X6331">
        <v>1069</v>
      </c>
      <c r="Y6331" t="s">
        <v>26650</v>
      </c>
      <c r="Z6331" t="s">
        <v>26664</v>
      </c>
      <c r="AB6331" t="s">
        <v>31609</v>
      </c>
      <c r="AC6331" t="s">
        <v>36147</v>
      </c>
      <c r="AD6331" t="s">
        <v>41858</v>
      </c>
      <c r="AE6331">
        <v>0</v>
      </c>
      <c r="AF6331" t="s">
        <v>45541</v>
      </c>
      <c r="AG6331" t="s">
        <v>19330</v>
      </c>
      <c r="AH6331">
        <v>10</v>
      </c>
      <c r="AI6331">
        <v>1</v>
      </c>
      <c r="AJ6331">
        <v>4</v>
      </c>
      <c r="AK6331">
        <v>95.81</v>
      </c>
      <c r="AN6331" t="s">
        <v>45581</v>
      </c>
      <c r="AO6331">
        <v>28904.4</v>
      </c>
      <c r="AU6331">
        <v>7.5</v>
      </c>
      <c r="AV6331" t="s">
        <v>831</v>
      </c>
      <c r="AW6331" t="s">
        <v>46870</v>
      </c>
    </row>
    <row r="6332" spans="1:50">
      <c r="A6332" s="1">
        <f>HYPERLINK("https://lsnyc.legalserver.org/matter/dynamic-profile/view/1893217","19-1893217")</f>
        <v>0</v>
      </c>
      <c r="B6332" t="s">
        <v>273</v>
      </c>
      <c r="C6332" t="s">
        <v>340</v>
      </c>
      <c r="D6332" t="s">
        <v>759</v>
      </c>
      <c r="F6332" t="s">
        <v>2150</v>
      </c>
      <c r="G6332" t="s">
        <v>7792</v>
      </c>
      <c r="H6332" t="s">
        <v>14208</v>
      </c>
      <c r="I6332" t="s">
        <v>17274</v>
      </c>
      <c r="J6332" t="s">
        <v>18893</v>
      </c>
      <c r="K6332">
        <v>10033</v>
      </c>
      <c r="L6332" t="s">
        <v>18958</v>
      </c>
      <c r="M6332" t="s">
        <v>18958</v>
      </c>
      <c r="P6332" t="s">
        <v>26560</v>
      </c>
      <c r="R6332" t="s">
        <v>26578</v>
      </c>
      <c r="S6332" t="s">
        <v>18959</v>
      </c>
      <c r="U6332" t="s">
        <v>26604</v>
      </c>
      <c r="W6332" t="s">
        <v>759</v>
      </c>
      <c r="X6332">
        <v>990</v>
      </c>
      <c r="Y6332" t="s">
        <v>26651</v>
      </c>
      <c r="Z6332" t="s">
        <v>26661</v>
      </c>
      <c r="AB6332" t="s">
        <v>31610</v>
      </c>
      <c r="AD6332" t="s">
        <v>41859</v>
      </c>
      <c r="AE6332">
        <v>47</v>
      </c>
      <c r="AF6332" t="s">
        <v>45541</v>
      </c>
      <c r="AG6332" t="s">
        <v>19330</v>
      </c>
      <c r="AH6332">
        <v>40</v>
      </c>
      <c r="AI6332">
        <v>1</v>
      </c>
      <c r="AJ6332">
        <v>0</v>
      </c>
      <c r="AK6332">
        <v>44.76</v>
      </c>
      <c r="AN6332" t="s">
        <v>7439</v>
      </c>
      <c r="AO6332">
        <v>5590</v>
      </c>
      <c r="AU6332">
        <v>39.75</v>
      </c>
      <c r="AV6332" t="s">
        <v>830</v>
      </c>
      <c r="AW6332" t="s">
        <v>46840</v>
      </c>
    </row>
    <row r="6333" spans="1:50">
      <c r="A6333" s="1">
        <f>HYPERLINK("https://lsnyc.legalserver.org/matter/dynamic-profile/view/1892915","19-1892915")</f>
        <v>0</v>
      </c>
      <c r="B6333" t="s">
        <v>104</v>
      </c>
      <c r="C6333" t="s">
        <v>340</v>
      </c>
      <c r="D6333" t="s">
        <v>759</v>
      </c>
      <c r="F6333" t="s">
        <v>3008</v>
      </c>
      <c r="G6333" t="s">
        <v>7985</v>
      </c>
      <c r="H6333" t="s">
        <v>14209</v>
      </c>
      <c r="I6333" t="s">
        <v>17564</v>
      </c>
      <c r="J6333" t="s">
        <v>18902</v>
      </c>
      <c r="K6333">
        <v>10306</v>
      </c>
      <c r="L6333" t="s">
        <v>18958</v>
      </c>
      <c r="M6333" t="s">
        <v>18960</v>
      </c>
      <c r="N6333" t="s">
        <v>23610</v>
      </c>
      <c r="O6333" t="s">
        <v>26524</v>
      </c>
      <c r="P6333" t="s">
        <v>26560</v>
      </c>
      <c r="R6333" t="s">
        <v>26578</v>
      </c>
      <c r="S6333" t="s">
        <v>18959</v>
      </c>
      <c r="U6333" t="s">
        <v>26604</v>
      </c>
      <c r="V6333" t="s">
        <v>26610</v>
      </c>
      <c r="W6333" t="s">
        <v>759</v>
      </c>
      <c r="X6333">
        <v>1200</v>
      </c>
      <c r="Y6333" t="s">
        <v>26654</v>
      </c>
      <c r="AB6333" t="s">
        <v>31611</v>
      </c>
      <c r="AD6333" t="s">
        <v>41860</v>
      </c>
      <c r="AE6333">
        <v>2</v>
      </c>
      <c r="AF6333" t="s">
        <v>45547</v>
      </c>
      <c r="AG6333" t="s">
        <v>19330</v>
      </c>
      <c r="AH6333">
        <v>9</v>
      </c>
      <c r="AI6333">
        <v>2</v>
      </c>
      <c r="AJ6333">
        <v>0</v>
      </c>
      <c r="AK6333">
        <v>58.19</v>
      </c>
      <c r="AO6333">
        <v>9840</v>
      </c>
      <c r="AQ6333" t="s">
        <v>46362</v>
      </c>
      <c r="AS6333" t="s">
        <v>46500</v>
      </c>
      <c r="AT6333" t="s">
        <v>46800</v>
      </c>
      <c r="AU6333">
        <v>11.2</v>
      </c>
      <c r="AV6333" t="s">
        <v>831</v>
      </c>
      <c r="AW6333" t="s">
        <v>46855</v>
      </c>
      <c r="AX6333" t="s">
        <v>46897</v>
      </c>
    </row>
    <row r="6334" spans="1:50">
      <c r="A6334" s="1">
        <f>HYPERLINK("https://lsnyc.legalserver.org/matter/dynamic-profile/view/1892731","19-1892731")</f>
        <v>0</v>
      </c>
      <c r="B6334" t="s">
        <v>54</v>
      </c>
      <c r="C6334" t="s">
        <v>340</v>
      </c>
      <c r="D6334" t="s">
        <v>752</v>
      </c>
      <c r="F6334" t="s">
        <v>3649</v>
      </c>
      <c r="G6334" t="s">
        <v>4311</v>
      </c>
      <c r="H6334" t="s">
        <v>14210</v>
      </c>
      <c r="I6334" t="s">
        <v>17327</v>
      </c>
      <c r="J6334" t="s">
        <v>18892</v>
      </c>
      <c r="K6334">
        <v>10455</v>
      </c>
      <c r="L6334" t="s">
        <v>18958</v>
      </c>
      <c r="M6334" t="s">
        <v>18958</v>
      </c>
      <c r="N6334" t="s">
        <v>23611</v>
      </c>
      <c r="O6334" t="s">
        <v>26524</v>
      </c>
      <c r="P6334" t="s">
        <v>26564</v>
      </c>
      <c r="R6334" t="s">
        <v>26577</v>
      </c>
      <c r="U6334" t="s">
        <v>26605</v>
      </c>
      <c r="W6334" t="s">
        <v>657</v>
      </c>
      <c r="X6334">
        <v>238.3</v>
      </c>
      <c r="Y6334" t="s">
        <v>26650</v>
      </c>
      <c r="AB6334" t="s">
        <v>31612</v>
      </c>
      <c r="AE6334">
        <v>0</v>
      </c>
      <c r="AH6334">
        <v>10</v>
      </c>
      <c r="AI6334">
        <v>1</v>
      </c>
      <c r="AJ6334">
        <v>1</v>
      </c>
      <c r="AK6334">
        <v>32.64</v>
      </c>
      <c r="AN6334" t="s">
        <v>7439</v>
      </c>
      <c r="AO6334">
        <v>5520</v>
      </c>
      <c r="AU6334">
        <v>0.8</v>
      </c>
      <c r="AV6334" t="s">
        <v>657</v>
      </c>
      <c r="AW6334" t="s">
        <v>46836</v>
      </c>
      <c r="AX6334" t="s">
        <v>46897</v>
      </c>
    </row>
    <row r="6335" spans="1:50">
      <c r="A6335" s="1">
        <f>HYPERLINK("https://lsnyc.legalserver.org/matter/dynamic-profile/view/1893393","19-1893393")</f>
        <v>0</v>
      </c>
      <c r="B6335" t="s">
        <v>134</v>
      </c>
      <c r="C6335" t="s">
        <v>341</v>
      </c>
      <c r="D6335" t="s">
        <v>657</v>
      </c>
      <c r="E6335" t="s">
        <v>830</v>
      </c>
      <c r="F6335" t="s">
        <v>1033</v>
      </c>
      <c r="G6335" t="s">
        <v>1680</v>
      </c>
      <c r="H6335" t="s">
        <v>14106</v>
      </c>
      <c r="I6335" t="s">
        <v>17307</v>
      </c>
      <c r="J6335" t="s">
        <v>18894</v>
      </c>
      <c r="K6335">
        <v>11212</v>
      </c>
      <c r="L6335" t="s">
        <v>18958</v>
      </c>
      <c r="M6335" t="s">
        <v>18958</v>
      </c>
      <c r="N6335" t="s">
        <v>19037</v>
      </c>
      <c r="O6335" t="s">
        <v>26534</v>
      </c>
      <c r="P6335" t="s">
        <v>26564</v>
      </c>
      <c r="Q6335" t="s">
        <v>26570</v>
      </c>
      <c r="R6335" t="s">
        <v>26578</v>
      </c>
      <c r="S6335" t="s">
        <v>18958</v>
      </c>
      <c r="U6335" t="s">
        <v>26604</v>
      </c>
      <c r="V6335" t="s">
        <v>26610</v>
      </c>
      <c r="W6335" t="s">
        <v>657</v>
      </c>
      <c r="X6335">
        <v>1500</v>
      </c>
      <c r="Y6335" t="s">
        <v>26652</v>
      </c>
      <c r="Z6335" t="s">
        <v>26663</v>
      </c>
      <c r="AA6335" t="s">
        <v>26683</v>
      </c>
      <c r="AB6335" t="s">
        <v>31613</v>
      </c>
      <c r="AC6335" t="s">
        <v>36148</v>
      </c>
      <c r="AD6335" t="s">
        <v>41861</v>
      </c>
      <c r="AE6335">
        <v>38</v>
      </c>
      <c r="AF6335" t="s">
        <v>45541</v>
      </c>
      <c r="AG6335" t="s">
        <v>26530</v>
      </c>
      <c r="AH6335">
        <v>7</v>
      </c>
      <c r="AI6335">
        <v>1</v>
      </c>
      <c r="AJ6335">
        <v>0</v>
      </c>
      <c r="AK6335">
        <v>83.68000000000001</v>
      </c>
      <c r="AN6335" t="s">
        <v>7439</v>
      </c>
      <c r="AO6335">
        <v>10452</v>
      </c>
      <c r="AU6335">
        <v>0.1</v>
      </c>
      <c r="AV6335" t="s">
        <v>830</v>
      </c>
      <c r="AW6335" t="s">
        <v>279</v>
      </c>
      <c r="AX6335" t="s">
        <v>46897</v>
      </c>
    </row>
    <row r="6336" spans="1:50">
      <c r="A6336" s="1">
        <f>HYPERLINK("https://lsnyc.legalserver.org/matter/dynamic-profile/view/1893389","19-1893389")</f>
        <v>0</v>
      </c>
      <c r="B6336" t="s">
        <v>134</v>
      </c>
      <c r="C6336" t="s">
        <v>341</v>
      </c>
      <c r="D6336" t="s">
        <v>657</v>
      </c>
      <c r="E6336" t="s">
        <v>830</v>
      </c>
      <c r="F6336" t="s">
        <v>1033</v>
      </c>
      <c r="G6336" t="s">
        <v>1680</v>
      </c>
      <c r="H6336" t="s">
        <v>14106</v>
      </c>
      <c r="I6336" t="s">
        <v>17307</v>
      </c>
      <c r="J6336" t="s">
        <v>18894</v>
      </c>
      <c r="K6336">
        <v>11212</v>
      </c>
      <c r="L6336" t="s">
        <v>18958</v>
      </c>
      <c r="M6336" t="s">
        <v>18958</v>
      </c>
      <c r="N6336" t="s">
        <v>19037</v>
      </c>
      <c r="O6336" t="s">
        <v>26526</v>
      </c>
      <c r="P6336" t="s">
        <v>26564</v>
      </c>
      <c r="Q6336" t="s">
        <v>26570</v>
      </c>
      <c r="R6336" t="s">
        <v>26578</v>
      </c>
      <c r="S6336" t="s">
        <v>18958</v>
      </c>
      <c r="U6336" t="s">
        <v>26604</v>
      </c>
      <c r="V6336" t="s">
        <v>26610</v>
      </c>
      <c r="W6336" t="s">
        <v>657</v>
      </c>
      <c r="X6336">
        <v>1500</v>
      </c>
      <c r="Y6336" t="s">
        <v>26652</v>
      </c>
      <c r="Z6336" t="s">
        <v>26663</v>
      </c>
      <c r="AA6336" t="s">
        <v>26683</v>
      </c>
      <c r="AB6336" t="s">
        <v>31613</v>
      </c>
      <c r="AC6336" t="s">
        <v>36148</v>
      </c>
      <c r="AD6336" t="s">
        <v>41861</v>
      </c>
      <c r="AE6336">
        <v>38</v>
      </c>
      <c r="AF6336" t="s">
        <v>45541</v>
      </c>
      <c r="AG6336" t="s">
        <v>26530</v>
      </c>
      <c r="AH6336">
        <v>7</v>
      </c>
      <c r="AI6336">
        <v>1</v>
      </c>
      <c r="AJ6336">
        <v>0</v>
      </c>
      <c r="AK6336">
        <v>83.68000000000001</v>
      </c>
      <c r="AN6336" t="s">
        <v>7439</v>
      </c>
      <c r="AO6336">
        <v>10452</v>
      </c>
      <c r="AU6336">
        <v>0.1</v>
      </c>
      <c r="AV6336" t="s">
        <v>830</v>
      </c>
      <c r="AW6336" t="s">
        <v>279</v>
      </c>
    </row>
    <row r="6337" spans="1:50">
      <c r="A6337" s="1">
        <f>HYPERLINK("https://lsnyc.legalserver.org/matter/dynamic-profile/view/1893382","19-1893382")</f>
        <v>0</v>
      </c>
      <c r="B6337" t="s">
        <v>134</v>
      </c>
      <c r="C6337" t="s">
        <v>341</v>
      </c>
      <c r="D6337" t="s">
        <v>657</v>
      </c>
      <c r="E6337" t="s">
        <v>830</v>
      </c>
      <c r="F6337" t="s">
        <v>3650</v>
      </c>
      <c r="G6337" t="s">
        <v>1279</v>
      </c>
      <c r="H6337" t="s">
        <v>14106</v>
      </c>
      <c r="I6337" t="s">
        <v>17360</v>
      </c>
      <c r="J6337" t="s">
        <v>18894</v>
      </c>
      <c r="K6337">
        <v>11212</v>
      </c>
      <c r="L6337" t="s">
        <v>18958</v>
      </c>
      <c r="M6337" t="s">
        <v>18958</v>
      </c>
      <c r="N6337" t="s">
        <v>19037</v>
      </c>
      <c r="O6337" t="s">
        <v>26534</v>
      </c>
      <c r="P6337" t="s">
        <v>26564</v>
      </c>
      <c r="Q6337" t="s">
        <v>26570</v>
      </c>
      <c r="R6337" t="s">
        <v>26578</v>
      </c>
      <c r="S6337" t="s">
        <v>18958</v>
      </c>
      <c r="U6337" t="s">
        <v>26604</v>
      </c>
      <c r="V6337" t="s">
        <v>26610</v>
      </c>
      <c r="W6337" t="s">
        <v>657</v>
      </c>
      <c r="X6337">
        <v>1643.13</v>
      </c>
      <c r="Y6337" t="s">
        <v>26652</v>
      </c>
      <c r="Z6337" t="s">
        <v>26663</v>
      </c>
      <c r="AA6337" t="s">
        <v>26683</v>
      </c>
      <c r="AB6337" t="s">
        <v>31614</v>
      </c>
      <c r="AC6337" t="s">
        <v>19330</v>
      </c>
      <c r="AD6337" t="s">
        <v>41862</v>
      </c>
      <c r="AE6337">
        <v>38</v>
      </c>
      <c r="AF6337" t="s">
        <v>45541</v>
      </c>
      <c r="AG6337" t="s">
        <v>19330</v>
      </c>
      <c r="AH6337">
        <v>9</v>
      </c>
      <c r="AI6337">
        <v>4</v>
      </c>
      <c r="AJ6337">
        <v>0</v>
      </c>
      <c r="AK6337">
        <v>121.17</v>
      </c>
      <c r="AN6337" t="s">
        <v>7439</v>
      </c>
      <c r="AO6337">
        <v>31200</v>
      </c>
      <c r="AU6337">
        <v>0.1</v>
      </c>
      <c r="AV6337" t="s">
        <v>830</v>
      </c>
      <c r="AW6337" t="s">
        <v>279</v>
      </c>
      <c r="AX6337" t="s">
        <v>46897</v>
      </c>
    </row>
    <row r="6338" spans="1:50">
      <c r="A6338" s="1">
        <f>HYPERLINK("https://lsnyc.legalserver.org/matter/dynamic-profile/view/1893322","19-1893322")</f>
        <v>0</v>
      </c>
      <c r="B6338" t="s">
        <v>134</v>
      </c>
      <c r="C6338" t="s">
        <v>341</v>
      </c>
      <c r="D6338" t="s">
        <v>657</v>
      </c>
      <c r="E6338" t="s">
        <v>830</v>
      </c>
      <c r="F6338" t="s">
        <v>3651</v>
      </c>
      <c r="G6338" t="s">
        <v>7986</v>
      </c>
      <c r="H6338" t="s">
        <v>14106</v>
      </c>
      <c r="I6338" t="s">
        <v>17527</v>
      </c>
      <c r="J6338" t="s">
        <v>18894</v>
      </c>
      <c r="K6338">
        <v>11212</v>
      </c>
      <c r="L6338" t="s">
        <v>18958</v>
      </c>
      <c r="M6338" t="s">
        <v>18958</v>
      </c>
      <c r="N6338" t="s">
        <v>19037</v>
      </c>
      <c r="O6338" t="s">
        <v>26534</v>
      </c>
      <c r="P6338" t="s">
        <v>26564</v>
      </c>
      <c r="Q6338" t="s">
        <v>26570</v>
      </c>
      <c r="R6338" t="s">
        <v>26578</v>
      </c>
      <c r="S6338" t="s">
        <v>18958</v>
      </c>
      <c r="U6338" t="s">
        <v>26604</v>
      </c>
      <c r="V6338" t="s">
        <v>26610</v>
      </c>
      <c r="W6338" t="s">
        <v>657</v>
      </c>
      <c r="X6338">
        <v>980</v>
      </c>
      <c r="Y6338" t="s">
        <v>26652</v>
      </c>
      <c r="Z6338" t="s">
        <v>26663</v>
      </c>
      <c r="AA6338" t="s">
        <v>26683</v>
      </c>
      <c r="AB6338" t="s">
        <v>31615</v>
      </c>
      <c r="AC6338" t="s">
        <v>36149</v>
      </c>
      <c r="AE6338">
        <v>82</v>
      </c>
      <c r="AF6338" t="s">
        <v>45541</v>
      </c>
      <c r="AG6338" t="s">
        <v>45559</v>
      </c>
      <c r="AH6338">
        <v>28</v>
      </c>
      <c r="AI6338">
        <v>1</v>
      </c>
      <c r="AJ6338">
        <v>0</v>
      </c>
      <c r="AK6338">
        <v>183.51</v>
      </c>
      <c r="AN6338" t="s">
        <v>7439</v>
      </c>
      <c r="AO6338">
        <v>22920</v>
      </c>
      <c r="AP6338" t="s">
        <v>46015</v>
      </c>
      <c r="AU6338">
        <v>3.1</v>
      </c>
      <c r="AV6338" t="s">
        <v>830</v>
      </c>
      <c r="AW6338" t="s">
        <v>279</v>
      </c>
      <c r="AX6338" t="s">
        <v>46897</v>
      </c>
    </row>
    <row r="6339" spans="1:50">
      <c r="A6339" s="1">
        <f>HYPERLINK("https://lsnyc.legalserver.org/matter/dynamic-profile/view/1893312","19-1893312")</f>
        <v>0</v>
      </c>
      <c r="B6339" t="s">
        <v>134</v>
      </c>
      <c r="C6339" t="s">
        <v>341</v>
      </c>
      <c r="D6339" t="s">
        <v>657</v>
      </c>
      <c r="E6339" t="s">
        <v>830</v>
      </c>
      <c r="F6339" t="s">
        <v>3651</v>
      </c>
      <c r="G6339" t="s">
        <v>7986</v>
      </c>
      <c r="H6339" t="s">
        <v>14106</v>
      </c>
      <c r="I6339" t="s">
        <v>17527</v>
      </c>
      <c r="J6339" t="s">
        <v>18894</v>
      </c>
      <c r="K6339">
        <v>11212</v>
      </c>
      <c r="L6339" t="s">
        <v>18958</v>
      </c>
      <c r="M6339" t="s">
        <v>18958</v>
      </c>
      <c r="N6339" t="s">
        <v>19037</v>
      </c>
      <c r="O6339" t="s">
        <v>26526</v>
      </c>
      <c r="P6339" t="s">
        <v>26564</v>
      </c>
      <c r="Q6339" t="s">
        <v>26570</v>
      </c>
      <c r="R6339" t="s">
        <v>26578</v>
      </c>
      <c r="S6339" t="s">
        <v>18958</v>
      </c>
      <c r="U6339" t="s">
        <v>26604</v>
      </c>
      <c r="V6339" t="s">
        <v>26610</v>
      </c>
      <c r="W6339" t="s">
        <v>657</v>
      </c>
      <c r="X6339">
        <v>980</v>
      </c>
      <c r="Y6339" t="s">
        <v>26652</v>
      </c>
      <c r="AA6339" t="s">
        <v>26683</v>
      </c>
      <c r="AB6339" t="s">
        <v>31615</v>
      </c>
      <c r="AC6339" t="s">
        <v>36149</v>
      </c>
      <c r="AE6339">
        <v>38</v>
      </c>
      <c r="AF6339" t="s">
        <v>45541</v>
      </c>
      <c r="AG6339" t="s">
        <v>45559</v>
      </c>
      <c r="AH6339">
        <v>28</v>
      </c>
      <c r="AI6339">
        <v>1</v>
      </c>
      <c r="AJ6339">
        <v>0</v>
      </c>
      <c r="AK6339">
        <v>183.51</v>
      </c>
      <c r="AN6339" t="s">
        <v>7439</v>
      </c>
      <c r="AO6339">
        <v>22920</v>
      </c>
      <c r="AU6339">
        <v>1.9</v>
      </c>
      <c r="AV6339" t="s">
        <v>830</v>
      </c>
      <c r="AW6339" t="s">
        <v>279</v>
      </c>
      <c r="AX6339" t="s">
        <v>46897</v>
      </c>
    </row>
    <row r="6340" spans="1:50">
      <c r="A6340" s="1">
        <f>HYPERLINK("https://lsnyc.legalserver.org/matter/dynamic-profile/view/1893281","19-1893281")</f>
        <v>0</v>
      </c>
      <c r="B6340" t="s">
        <v>68</v>
      </c>
      <c r="C6340" t="s">
        <v>341</v>
      </c>
      <c r="D6340" t="s">
        <v>657</v>
      </c>
      <c r="E6340" t="s">
        <v>741</v>
      </c>
      <c r="F6340" t="s">
        <v>2046</v>
      </c>
      <c r="G6340" t="s">
        <v>7987</v>
      </c>
      <c r="H6340" t="s">
        <v>14211</v>
      </c>
      <c r="I6340" t="s">
        <v>17728</v>
      </c>
      <c r="J6340" t="s">
        <v>18892</v>
      </c>
      <c r="K6340">
        <v>10461</v>
      </c>
      <c r="L6340" t="s">
        <v>18958</v>
      </c>
      <c r="M6340" t="s">
        <v>18958</v>
      </c>
      <c r="N6340" t="s">
        <v>23612</v>
      </c>
      <c r="O6340" t="s">
        <v>26523</v>
      </c>
      <c r="P6340" t="s">
        <v>26564</v>
      </c>
      <c r="Q6340" t="s">
        <v>26570</v>
      </c>
      <c r="R6340" t="s">
        <v>26577</v>
      </c>
      <c r="S6340" t="s">
        <v>18959</v>
      </c>
      <c r="U6340" t="s">
        <v>26604</v>
      </c>
      <c r="V6340" t="s">
        <v>26612</v>
      </c>
      <c r="W6340" t="s">
        <v>657</v>
      </c>
      <c r="X6340">
        <v>1205.5</v>
      </c>
      <c r="Y6340" t="s">
        <v>26650</v>
      </c>
      <c r="Z6340" t="s">
        <v>26668</v>
      </c>
      <c r="AA6340" t="s">
        <v>26683</v>
      </c>
      <c r="AB6340" t="s">
        <v>31616</v>
      </c>
      <c r="AC6340" t="s">
        <v>36150</v>
      </c>
      <c r="AD6340" t="s">
        <v>41863</v>
      </c>
      <c r="AE6340">
        <v>44</v>
      </c>
      <c r="AF6340" t="s">
        <v>45541</v>
      </c>
      <c r="AG6340" t="s">
        <v>19330</v>
      </c>
      <c r="AH6340">
        <v>6</v>
      </c>
      <c r="AI6340">
        <v>1</v>
      </c>
      <c r="AJ6340">
        <v>0</v>
      </c>
      <c r="AK6340">
        <v>60.53</v>
      </c>
      <c r="AN6340" t="s">
        <v>7439</v>
      </c>
      <c r="AO6340">
        <v>7560</v>
      </c>
      <c r="AU6340">
        <v>3.2</v>
      </c>
      <c r="AV6340" t="s">
        <v>775</v>
      </c>
      <c r="AW6340" t="s">
        <v>334</v>
      </c>
    </row>
    <row r="6341" spans="1:50">
      <c r="A6341" s="1">
        <f>HYPERLINK("https://lsnyc.legalserver.org/matter/dynamic-profile/view/1893349","19-1893349")</f>
        <v>0</v>
      </c>
      <c r="B6341" t="s">
        <v>71</v>
      </c>
      <c r="C6341" t="s">
        <v>341</v>
      </c>
      <c r="D6341" t="s">
        <v>657</v>
      </c>
      <c r="E6341" t="s">
        <v>803</v>
      </c>
      <c r="F6341" t="s">
        <v>3652</v>
      </c>
      <c r="G6341" t="s">
        <v>5191</v>
      </c>
      <c r="H6341" t="s">
        <v>14212</v>
      </c>
      <c r="I6341" t="s">
        <v>18354</v>
      </c>
      <c r="J6341" t="s">
        <v>18892</v>
      </c>
      <c r="K6341">
        <v>10457</v>
      </c>
      <c r="L6341" t="s">
        <v>18958</v>
      </c>
      <c r="M6341" t="s">
        <v>18958</v>
      </c>
      <c r="N6341" t="s">
        <v>23613</v>
      </c>
      <c r="O6341" t="s">
        <v>26523</v>
      </c>
      <c r="P6341" t="s">
        <v>26560</v>
      </c>
      <c r="Q6341" t="s">
        <v>26568</v>
      </c>
      <c r="R6341" t="s">
        <v>26579</v>
      </c>
      <c r="S6341" t="s">
        <v>18959</v>
      </c>
      <c r="U6341" t="s">
        <v>26604</v>
      </c>
      <c r="V6341" t="s">
        <v>26610</v>
      </c>
      <c r="W6341" t="s">
        <v>657</v>
      </c>
      <c r="X6341">
        <v>1260.5</v>
      </c>
      <c r="Y6341" t="s">
        <v>26650</v>
      </c>
      <c r="Z6341" t="s">
        <v>26664</v>
      </c>
      <c r="AA6341" t="s">
        <v>26679</v>
      </c>
      <c r="AB6341" t="s">
        <v>28823</v>
      </c>
      <c r="AC6341" t="s">
        <v>36151</v>
      </c>
      <c r="AD6341" t="s">
        <v>41864</v>
      </c>
      <c r="AE6341">
        <v>92</v>
      </c>
      <c r="AF6341" t="s">
        <v>45541</v>
      </c>
      <c r="AG6341" t="s">
        <v>45557</v>
      </c>
      <c r="AH6341">
        <v>2</v>
      </c>
      <c r="AI6341">
        <v>1</v>
      </c>
      <c r="AJ6341">
        <v>2</v>
      </c>
      <c r="AK6341">
        <v>60.95</v>
      </c>
      <c r="AN6341" t="s">
        <v>7439</v>
      </c>
      <c r="AO6341">
        <v>13000</v>
      </c>
      <c r="AR6341" t="s">
        <v>46380</v>
      </c>
      <c r="AS6341" t="s">
        <v>46500</v>
      </c>
      <c r="AT6341" t="s">
        <v>46674</v>
      </c>
      <c r="AU6341">
        <v>6.25</v>
      </c>
      <c r="AV6341" t="s">
        <v>803</v>
      </c>
      <c r="AW6341" t="s">
        <v>46831</v>
      </c>
      <c r="AX6341" t="s">
        <v>46898</v>
      </c>
    </row>
    <row r="6342" spans="1:50">
      <c r="A6342" s="1">
        <f>HYPERLINK("https://lsnyc.legalserver.org/matter/dynamic-profile/view/1893426","19-1893426")</f>
        <v>0</v>
      </c>
      <c r="B6342" t="s">
        <v>187</v>
      </c>
      <c r="C6342" t="s">
        <v>341</v>
      </c>
      <c r="D6342" t="s">
        <v>657</v>
      </c>
      <c r="E6342" t="s">
        <v>822</v>
      </c>
      <c r="F6342" t="s">
        <v>3653</v>
      </c>
      <c r="G6342" t="s">
        <v>7988</v>
      </c>
      <c r="H6342" t="s">
        <v>14213</v>
      </c>
      <c r="I6342" t="s">
        <v>18355</v>
      </c>
      <c r="J6342" t="s">
        <v>18892</v>
      </c>
      <c r="K6342">
        <v>10475</v>
      </c>
      <c r="L6342" t="s">
        <v>18958</v>
      </c>
      <c r="M6342" t="s">
        <v>18958</v>
      </c>
      <c r="N6342" t="s">
        <v>23614</v>
      </c>
      <c r="O6342" t="s">
        <v>26523</v>
      </c>
      <c r="P6342" t="s">
        <v>26560</v>
      </c>
      <c r="Q6342" t="s">
        <v>26568</v>
      </c>
      <c r="R6342" t="s">
        <v>26577</v>
      </c>
      <c r="S6342" t="s">
        <v>18959</v>
      </c>
      <c r="U6342" t="s">
        <v>26604</v>
      </c>
      <c r="V6342" t="s">
        <v>26612</v>
      </c>
      <c r="W6342" t="s">
        <v>657</v>
      </c>
      <c r="X6342">
        <v>1510.12</v>
      </c>
      <c r="Y6342" t="s">
        <v>26650</v>
      </c>
      <c r="Z6342" t="s">
        <v>26661</v>
      </c>
      <c r="AA6342" t="s">
        <v>26681</v>
      </c>
      <c r="AB6342" t="s">
        <v>31617</v>
      </c>
      <c r="AD6342" t="s">
        <v>41865</v>
      </c>
      <c r="AE6342">
        <v>0</v>
      </c>
      <c r="AF6342" t="s">
        <v>45553</v>
      </c>
      <c r="AG6342" t="s">
        <v>19330</v>
      </c>
      <c r="AH6342">
        <v>25</v>
      </c>
      <c r="AI6342">
        <v>1</v>
      </c>
      <c r="AJ6342">
        <v>0</v>
      </c>
      <c r="AK6342">
        <v>210.41</v>
      </c>
      <c r="AL6342" t="s">
        <v>781</v>
      </c>
      <c r="AM6342" t="s">
        <v>45575</v>
      </c>
      <c r="AN6342" t="s">
        <v>7439</v>
      </c>
      <c r="AO6342">
        <v>26280</v>
      </c>
      <c r="AQ6342" t="s">
        <v>46366</v>
      </c>
      <c r="AR6342" t="s">
        <v>46422</v>
      </c>
      <c r="AT6342" t="s">
        <v>46731</v>
      </c>
      <c r="AU6342">
        <v>26.65</v>
      </c>
      <c r="AV6342" t="s">
        <v>822</v>
      </c>
      <c r="AW6342" t="s">
        <v>46831</v>
      </c>
      <c r="AX6342" t="s">
        <v>46897</v>
      </c>
    </row>
    <row r="6343" spans="1:50">
      <c r="A6343" s="1">
        <f>HYPERLINK("https://lsnyc.legalserver.org/matter/dynamic-profile/view/1893351","19-1893351")</f>
        <v>0</v>
      </c>
      <c r="B6343" t="s">
        <v>263</v>
      </c>
      <c r="C6343" t="s">
        <v>341</v>
      </c>
      <c r="D6343" t="s">
        <v>657</v>
      </c>
      <c r="E6343" t="s">
        <v>789</v>
      </c>
      <c r="F6343" t="s">
        <v>3654</v>
      </c>
      <c r="G6343" t="s">
        <v>7989</v>
      </c>
      <c r="H6343" t="s">
        <v>14214</v>
      </c>
      <c r="I6343" t="s">
        <v>17738</v>
      </c>
      <c r="J6343" t="s">
        <v>18892</v>
      </c>
      <c r="K6343">
        <v>10452</v>
      </c>
      <c r="L6343" t="s">
        <v>18958</v>
      </c>
      <c r="M6343" t="s">
        <v>18958</v>
      </c>
      <c r="O6343" t="s">
        <v>18997</v>
      </c>
      <c r="P6343" t="s">
        <v>26565</v>
      </c>
      <c r="Q6343" t="s">
        <v>26570</v>
      </c>
      <c r="R6343" t="s">
        <v>26578</v>
      </c>
      <c r="S6343" t="s">
        <v>18959</v>
      </c>
      <c r="U6343" t="s">
        <v>26604</v>
      </c>
      <c r="W6343" t="s">
        <v>657</v>
      </c>
      <c r="X6343">
        <v>966</v>
      </c>
      <c r="Y6343" t="s">
        <v>26650</v>
      </c>
      <c r="Z6343" t="s">
        <v>26663</v>
      </c>
      <c r="AA6343" t="s">
        <v>26683</v>
      </c>
      <c r="AB6343" t="s">
        <v>31618</v>
      </c>
      <c r="AD6343" t="s">
        <v>41866</v>
      </c>
      <c r="AE6343">
        <v>50</v>
      </c>
      <c r="AF6343" t="s">
        <v>45541</v>
      </c>
      <c r="AG6343" t="s">
        <v>19330</v>
      </c>
      <c r="AH6343">
        <v>4</v>
      </c>
      <c r="AI6343">
        <v>2</v>
      </c>
      <c r="AJ6343">
        <v>0</v>
      </c>
      <c r="AK6343">
        <v>107.63</v>
      </c>
      <c r="AN6343" t="s">
        <v>45581</v>
      </c>
      <c r="AO6343">
        <v>18200</v>
      </c>
      <c r="AU6343">
        <v>4.5</v>
      </c>
      <c r="AV6343" t="s">
        <v>793</v>
      </c>
      <c r="AW6343" t="s">
        <v>263</v>
      </c>
      <c r="AX6343" t="s">
        <v>46897</v>
      </c>
    </row>
    <row r="6344" spans="1:50">
      <c r="A6344" s="1">
        <f>HYPERLINK("https://lsnyc.legalserver.org/matter/dynamic-profile/view/1893434","19-1893434")</f>
        <v>0</v>
      </c>
      <c r="B6344" t="s">
        <v>263</v>
      </c>
      <c r="C6344" t="s">
        <v>341</v>
      </c>
      <c r="D6344" t="s">
        <v>657</v>
      </c>
      <c r="E6344" t="s">
        <v>789</v>
      </c>
      <c r="F6344" t="s">
        <v>3655</v>
      </c>
      <c r="G6344" t="s">
        <v>1725</v>
      </c>
      <c r="H6344" t="s">
        <v>12157</v>
      </c>
      <c r="I6344" t="s">
        <v>17891</v>
      </c>
      <c r="J6344" t="s">
        <v>18892</v>
      </c>
      <c r="K6344">
        <v>10452</v>
      </c>
      <c r="L6344" t="s">
        <v>18958</v>
      </c>
      <c r="M6344" t="s">
        <v>18958</v>
      </c>
      <c r="O6344" t="s">
        <v>18997</v>
      </c>
      <c r="P6344" t="s">
        <v>26564</v>
      </c>
      <c r="Q6344" t="s">
        <v>26570</v>
      </c>
      <c r="R6344" t="s">
        <v>26578</v>
      </c>
      <c r="S6344" t="s">
        <v>18959</v>
      </c>
      <c r="U6344" t="s">
        <v>26604</v>
      </c>
      <c r="W6344" t="s">
        <v>657</v>
      </c>
      <c r="X6344">
        <v>1350</v>
      </c>
      <c r="Y6344" t="s">
        <v>26650</v>
      </c>
      <c r="Z6344" t="s">
        <v>26663</v>
      </c>
      <c r="AA6344" t="s">
        <v>26683</v>
      </c>
      <c r="AB6344" t="s">
        <v>31619</v>
      </c>
      <c r="AD6344" t="s">
        <v>41867</v>
      </c>
      <c r="AE6344">
        <v>0</v>
      </c>
      <c r="AF6344" t="s">
        <v>45541</v>
      </c>
      <c r="AG6344" t="s">
        <v>45559</v>
      </c>
      <c r="AH6344">
        <v>10</v>
      </c>
      <c r="AI6344">
        <v>1</v>
      </c>
      <c r="AJ6344">
        <v>0</v>
      </c>
      <c r="AK6344">
        <v>169.1</v>
      </c>
      <c r="AN6344" t="s">
        <v>45581</v>
      </c>
      <c r="AO6344">
        <v>21120</v>
      </c>
      <c r="AU6344">
        <v>1</v>
      </c>
      <c r="AV6344" t="s">
        <v>754</v>
      </c>
      <c r="AW6344" t="s">
        <v>263</v>
      </c>
    </row>
    <row r="6345" spans="1:50">
      <c r="A6345" s="1">
        <f>HYPERLINK("https://lsnyc.legalserver.org/matter/dynamic-profile/view/1893365","19-1893365")</f>
        <v>0</v>
      </c>
      <c r="B6345" t="s">
        <v>122</v>
      </c>
      <c r="C6345" t="s">
        <v>341</v>
      </c>
      <c r="D6345" t="s">
        <v>657</v>
      </c>
      <c r="E6345" t="s">
        <v>660</v>
      </c>
      <c r="F6345" t="s">
        <v>3656</v>
      </c>
      <c r="G6345" t="s">
        <v>7990</v>
      </c>
      <c r="H6345" t="s">
        <v>14215</v>
      </c>
      <c r="I6345" t="s">
        <v>17491</v>
      </c>
      <c r="J6345" t="s">
        <v>18901</v>
      </c>
      <c r="K6345">
        <v>11434</v>
      </c>
      <c r="L6345" t="s">
        <v>18958</v>
      </c>
      <c r="M6345" t="s">
        <v>18958</v>
      </c>
      <c r="N6345" t="s">
        <v>23615</v>
      </c>
      <c r="O6345" t="s">
        <v>26526</v>
      </c>
      <c r="P6345" t="s">
        <v>26564</v>
      </c>
      <c r="Q6345" t="s">
        <v>26570</v>
      </c>
      <c r="R6345" t="s">
        <v>26591</v>
      </c>
      <c r="U6345" t="s">
        <v>26604</v>
      </c>
      <c r="V6345" t="s">
        <v>26610</v>
      </c>
      <c r="W6345" t="s">
        <v>657</v>
      </c>
      <c r="X6345">
        <v>1500</v>
      </c>
      <c r="Y6345" t="s">
        <v>26653</v>
      </c>
      <c r="Z6345" t="s">
        <v>26664</v>
      </c>
      <c r="AA6345" t="s">
        <v>26683</v>
      </c>
      <c r="AB6345" t="s">
        <v>31620</v>
      </c>
      <c r="AC6345" t="s">
        <v>36152</v>
      </c>
      <c r="AD6345" t="s">
        <v>41868</v>
      </c>
      <c r="AE6345">
        <v>1</v>
      </c>
      <c r="AF6345" t="s">
        <v>45547</v>
      </c>
      <c r="AG6345" t="s">
        <v>19330</v>
      </c>
      <c r="AH6345">
        <v>1</v>
      </c>
      <c r="AI6345">
        <v>3</v>
      </c>
      <c r="AJ6345">
        <v>0</v>
      </c>
      <c r="AK6345">
        <v>137.12</v>
      </c>
      <c r="AN6345" t="s">
        <v>45592</v>
      </c>
      <c r="AO6345">
        <v>29248</v>
      </c>
      <c r="AU6345">
        <v>1.5</v>
      </c>
      <c r="AV6345" t="s">
        <v>657</v>
      </c>
      <c r="AW6345" t="s">
        <v>122</v>
      </c>
    </row>
    <row r="6346" spans="1:50">
      <c r="A6346" s="1">
        <f>HYPERLINK("https://lsnyc.legalserver.org/matter/dynamic-profile/view/1893303","19-1893303")</f>
        <v>0</v>
      </c>
      <c r="B6346" t="s">
        <v>122</v>
      </c>
      <c r="C6346" t="s">
        <v>341</v>
      </c>
      <c r="D6346" t="s">
        <v>657</v>
      </c>
      <c r="E6346" t="s">
        <v>755</v>
      </c>
      <c r="F6346" t="s">
        <v>3507</v>
      </c>
      <c r="G6346" t="s">
        <v>5208</v>
      </c>
      <c r="H6346" t="s">
        <v>13849</v>
      </c>
      <c r="I6346" t="s">
        <v>17360</v>
      </c>
      <c r="J6346" t="s">
        <v>18915</v>
      </c>
      <c r="K6346">
        <v>11372</v>
      </c>
      <c r="L6346" t="s">
        <v>18958</v>
      </c>
      <c r="M6346" t="s">
        <v>18958</v>
      </c>
      <c r="N6346" t="s">
        <v>23616</v>
      </c>
      <c r="O6346" t="s">
        <v>26526</v>
      </c>
      <c r="P6346" t="s">
        <v>26564</v>
      </c>
      <c r="Q6346" t="s">
        <v>26570</v>
      </c>
      <c r="R6346" t="s">
        <v>26584</v>
      </c>
      <c r="U6346" t="s">
        <v>26604</v>
      </c>
      <c r="V6346" t="s">
        <v>26610</v>
      </c>
      <c r="W6346" t="s">
        <v>657</v>
      </c>
      <c r="X6346">
        <v>1609.4</v>
      </c>
      <c r="Y6346" t="s">
        <v>26653</v>
      </c>
      <c r="Z6346" t="s">
        <v>26664</v>
      </c>
      <c r="AA6346" t="s">
        <v>26683</v>
      </c>
      <c r="AB6346" t="s">
        <v>31292</v>
      </c>
      <c r="AC6346" t="s">
        <v>36059</v>
      </c>
      <c r="AD6346" t="s">
        <v>41483</v>
      </c>
      <c r="AE6346">
        <v>49</v>
      </c>
      <c r="AG6346" t="s">
        <v>19330</v>
      </c>
      <c r="AH6346">
        <v>11</v>
      </c>
      <c r="AI6346">
        <v>3</v>
      </c>
      <c r="AJ6346">
        <v>0</v>
      </c>
      <c r="AK6346">
        <v>15.98</v>
      </c>
      <c r="AN6346" t="s">
        <v>7439</v>
      </c>
      <c r="AO6346">
        <v>3408</v>
      </c>
      <c r="AU6346">
        <v>2.5</v>
      </c>
      <c r="AV6346" t="s">
        <v>657</v>
      </c>
      <c r="AW6346" t="s">
        <v>122</v>
      </c>
    </row>
    <row r="6347" spans="1:50">
      <c r="A6347" s="1">
        <f>HYPERLINK("https://lsnyc.legalserver.org/matter/dynamic-profile/view/1893324","19-1893324")</f>
        <v>0</v>
      </c>
      <c r="B6347" t="s">
        <v>136</v>
      </c>
      <c r="C6347" t="s">
        <v>340</v>
      </c>
      <c r="D6347" t="s">
        <v>657</v>
      </c>
      <c r="F6347" t="s">
        <v>936</v>
      </c>
      <c r="G6347" t="s">
        <v>1685</v>
      </c>
      <c r="H6347" t="s">
        <v>14216</v>
      </c>
      <c r="I6347" t="s">
        <v>17388</v>
      </c>
      <c r="J6347" t="s">
        <v>18892</v>
      </c>
      <c r="K6347">
        <v>10457</v>
      </c>
      <c r="L6347" t="s">
        <v>18958</v>
      </c>
      <c r="M6347" t="s">
        <v>18958</v>
      </c>
      <c r="N6347" t="s">
        <v>23617</v>
      </c>
      <c r="O6347" t="s">
        <v>26523</v>
      </c>
      <c r="P6347" t="s">
        <v>26560</v>
      </c>
      <c r="R6347" t="s">
        <v>26579</v>
      </c>
      <c r="S6347" t="s">
        <v>18959</v>
      </c>
      <c r="U6347" t="s">
        <v>26604</v>
      </c>
      <c r="V6347" t="s">
        <v>26610</v>
      </c>
      <c r="W6347" t="s">
        <v>657</v>
      </c>
      <c r="X6347">
        <v>914</v>
      </c>
      <c r="Y6347" t="s">
        <v>26650</v>
      </c>
      <c r="Z6347" t="s">
        <v>26664</v>
      </c>
      <c r="AB6347" t="s">
        <v>31621</v>
      </c>
      <c r="AC6347" t="s">
        <v>36153</v>
      </c>
      <c r="AD6347" t="s">
        <v>41869</v>
      </c>
      <c r="AE6347">
        <v>43</v>
      </c>
      <c r="AF6347" t="s">
        <v>45541</v>
      </c>
      <c r="AG6347" t="s">
        <v>45557</v>
      </c>
      <c r="AH6347">
        <v>23</v>
      </c>
      <c r="AI6347">
        <v>1</v>
      </c>
      <c r="AJ6347">
        <v>1</v>
      </c>
      <c r="AK6347">
        <v>0</v>
      </c>
      <c r="AN6347" t="s">
        <v>45581</v>
      </c>
      <c r="AO6347">
        <v>0</v>
      </c>
      <c r="AP6347" t="s">
        <v>46016</v>
      </c>
      <c r="AU6347">
        <v>7</v>
      </c>
      <c r="AV6347" t="s">
        <v>823</v>
      </c>
      <c r="AW6347" t="s">
        <v>334</v>
      </c>
    </row>
    <row r="6348" spans="1:50">
      <c r="A6348" s="1">
        <f>HYPERLINK("https://lsnyc.legalserver.org/matter/dynamic-profile/view/1893355","19-1893355")</f>
        <v>0</v>
      </c>
      <c r="B6348" t="s">
        <v>136</v>
      </c>
      <c r="C6348" t="s">
        <v>340</v>
      </c>
      <c r="D6348" t="s">
        <v>657</v>
      </c>
      <c r="F6348" t="s">
        <v>1785</v>
      </c>
      <c r="G6348" t="s">
        <v>7991</v>
      </c>
      <c r="H6348" t="s">
        <v>14217</v>
      </c>
      <c r="I6348" t="s">
        <v>17322</v>
      </c>
      <c r="J6348" t="s">
        <v>18892</v>
      </c>
      <c r="K6348">
        <v>10467</v>
      </c>
      <c r="L6348" t="s">
        <v>18958</v>
      </c>
      <c r="M6348" t="s">
        <v>18958</v>
      </c>
      <c r="N6348" t="s">
        <v>23618</v>
      </c>
      <c r="O6348" t="s">
        <v>26523</v>
      </c>
      <c r="P6348" t="s">
        <v>26560</v>
      </c>
      <c r="R6348" t="s">
        <v>26579</v>
      </c>
      <c r="S6348" t="s">
        <v>18959</v>
      </c>
      <c r="U6348" t="s">
        <v>26604</v>
      </c>
      <c r="V6348" t="s">
        <v>26610</v>
      </c>
      <c r="W6348" t="s">
        <v>657</v>
      </c>
      <c r="X6348">
        <v>1103.79</v>
      </c>
      <c r="Y6348" t="s">
        <v>26650</v>
      </c>
      <c r="Z6348" t="s">
        <v>26664</v>
      </c>
      <c r="AB6348" t="s">
        <v>31622</v>
      </c>
      <c r="AD6348" t="s">
        <v>41870</v>
      </c>
      <c r="AE6348">
        <v>21</v>
      </c>
      <c r="AF6348" t="s">
        <v>45541</v>
      </c>
      <c r="AH6348">
        <v>11</v>
      </c>
      <c r="AI6348">
        <v>1</v>
      </c>
      <c r="AJ6348">
        <v>3</v>
      </c>
      <c r="AK6348">
        <v>100.97</v>
      </c>
      <c r="AN6348" t="s">
        <v>7439</v>
      </c>
      <c r="AO6348">
        <v>26000</v>
      </c>
      <c r="AU6348">
        <v>11.25</v>
      </c>
      <c r="AV6348" t="s">
        <v>838</v>
      </c>
      <c r="AW6348" t="s">
        <v>334</v>
      </c>
    </row>
    <row r="6349" spans="1:50">
      <c r="A6349" s="1">
        <f>HYPERLINK("https://lsnyc.legalserver.org/matter/dynamic-profile/view/1893462","19-1893462")</f>
        <v>0</v>
      </c>
      <c r="B6349" t="s">
        <v>164</v>
      </c>
      <c r="C6349" t="s">
        <v>340</v>
      </c>
      <c r="D6349" t="s">
        <v>657</v>
      </c>
      <c r="F6349" t="s">
        <v>3436</v>
      </c>
      <c r="G6349" t="s">
        <v>5497</v>
      </c>
      <c r="H6349" t="s">
        <v>13690</v>
      </c>
      <c r="I6349" t="s">
        <v>17352</v>
      </c>
      <c r="J6349" t="s">
        <v>18909</v>
      </c>
      <c r="K6349">
        <v>11101</v>
      </c>
      <c r="L6349" t="s">
        <v>18958</v>
      </c>
      <c r="M6349" t="s">
        <v>18958</v>
      </c>
      <c r="N6349" t="s">
        <v>23036</v>
      </c>
      <c r="O6349" t="s">
        <v>26523</v>
      </c>
      <c r="P6349" t="s">
        <v>26560</v>
      </c>
      <c r="R6349" t="s">
        <v>26584</v>
      </c>
      <c r="S6349" t="s">
        <v>18959</v>
      </c>
      <c r="U6349" t="s">
        <v>26604</v>
      </c>
      <c r="V6349" t="s">
        <v>26614</v>
      </c>
      <c r="W6349" t="s">
        <v>657</v>
      </c>
      <c r="X6349">
        <v>431</v>
      </c>
      <c r="Y6349" t="s">
        <v>26653</v>
      </c>
      <c r="AB6349" t="s">
        <v>28406</v>
      </c>
      <c r="AC6349" t="s">
        <v>35995</v>
      </c>
      <c r="AD6349" t="s">
        <v>41297</v>
      </c>
      <c r="AE6349">
        <v>0</v>
      </c>
      <c r="AF6349" t="s">
        <v>45542</v>
      </c>
      <c r="AH6349">
        <v>0</v>
      </c>
      <c r="AI6349">
        <v>1</v>
      </c>
      <c r="AJ6349">
        <v>0</v>
      </c>
      <c r="AK6349">
        <v>30.74</v>
      </c>
      <c r="AN6349" t="s">
        <v>7439</v>
      </c>
      <c r="AO6349">
        <v>3840</v>
      </c>
      <c r="AU6349">
        <v>0</v>
      </c>
      <c r="AW6349" t="s">
        <v>107</v>
      </c>
    </row>
    <row r="6350" spans="1:50">
      <c r="A6350" s="1">
        <f>HYPERLINK("https://lsnyc.legalserver.org/matter/dynamic-profile/view/1893329","19-1893329")</f>
        <v>0</v>
      </c>
      <c r="B6350" t="s">
        <v>56</v>
      </c>
      <c r="C6350" t="s">
        <v>340</v>
      </c>
      <c r="D6350" t="s">
        <v>657</v>
      </c>
      <c r="F6350" t="s">
        <v>1206</v>
      </c>
      <c r="G6350" t="s">
        <v>7992</v>
      </c>
      <c r="H6350" t="s">
        <v>14218</v>
      </c>
      <c r="I6350">
        <v>6</v>
      </c>
      <c r="J6350" t="s">
        <v>18892</v>
      </c>
      <c r="K6350">
        <v>10457</v>
      </c>
      <c r="L6350" t="s">
        <v>18958</v>
      </c>
      <c r="M6350" t="s">
        <v>18958</v>
      </c>
      <c r="N6350" t="s">
        <v>23619</v>
      </c>
      <c r="O6350" t="s">
        <v>26523</v>
      </c>
      <c r="P6350" t="s">
        <v>26560</v>
      </c>
      <c r="R6350" t="s">
        <v>26579</v>
      </c>
      <c r="S6350" t="s">
        <v>18959</v>
      </c>
      <c r="U6350" t="s">
        <v>26604</v>
      </c>
      <c r="W6350" t="s">
        <v>657</v>
      </c>
      <c r="X6350">
        <v>0</v>
      </c>
      <c r="Y6350" t="s">
        <v>26650</v>
      </c>
      <c r="AB6350" t="s">
        <v>31623</v>
      </c>
      <c r="AC6350" t="s">
        <v>36154</v>
      </c>
      <c r="AE6350">
        <v>0</v>
      </c>
      <c r="AG6350" t="s">
        <v>45562</v>
      </c>
      <c r="AH6350">
        <v>0</v>
      </c>
      <c r="AI6350">
        <v>1</v>
      </c>
      <c r="AJ6350">
        <v>0</v>
      </c>
      <c r="AK6350">
        <v>50.34</v>
      </c>
      <c r="AN6350" t="s">
        <v>7439</v>
      </c>
      <c r="AO6350">
        <v>6288</v>
      </c>
      <c r="AU6350">
        <v>4.1</v>
      </c>
      <c r="AV6350" t="s">
        <v>828</v>
      </c>
      <c r="AW6350" t="s">
        <v>46871</v>
      </c>
    </row>
    <row r="6351" spans="1:50">
      <c r="A6351" s="1">
        <f>HYPERLINK("https://lsnyc.legalserver.org/matter/dynamic-profile/view/1893348","19-1893348")</f>
        <v>0</v>
      </c>
      <c r="B6351" t="s">
        <v>212</v>
      </c>
      <c r="C6351" t="s">
        <v>340</v>
      </c>
      <c r="D6351" t="s">
        <v>657</v>
      </c>
      <c r="F6351" t="s">
        <v>2633</v>
      </c>
      <c r="G6351" t="s">
        <v>7954</v>
      </c>
      <c r="H6351" t="s">
        <v>12756</v>
      </c>
      <c r="I6351" t="s">
        <v>18348</v>
      </c>
      <c r="J6351" t="s">
        <v>18898</v>
      </c>
      <c r="K6351">
        <v>11691</v>
      </c>
      <c r="L6351" t="s">
        <v>18958</v>
      </c>
      <c r="M6351" t="s">
        <v>18958</v>
      </c>
      <c r="N6351" t="s">
        <v>23549</v>
      </c>
      <c r="O6351" t="s">
        <v>26523</v>
      </c>
      <c r="P6351" t="s">
        <v>26560</v>
      </c>
      <c r="R6351" t="s">
        <v>26578</v>
      </c>
      <c r="S6351" t="s">
        <v>18959</v>
      </c>
      <c r="U6351" t="s">
        <v>26604</v>
      </c>
      <c r="V6351" t="s">
        <v>26612</v>
      </c>
      <c r="W6351" t="s">
        <v>657</v>
      </c>
      <c r="X6351">
        <v>222</v>
      </c>
      <c r="Y6351" t="s">
        <v>26653</v>
      </c>
      <c r="Z6351" t="s">
        <v>26659</v>
      </c>
      <c r="AB6351" t="s">
        <v>31562</v>
      </c>
      <c r="AC6351" t="s">
        <v>36119</v>
      </c>
      <c r="AD6351" t="s">
        <v>41797</v>
      </c>
      <c r="AE6351">
        <v>70</v>
      </c>
      <c r="AF6351" t="s">
        <v>45543</v>
      </c>
      <c r="AG6351" t="s">
        <v>19330</v>
      </c>
      <c r="AH6351">
        <v>25</v>
      </c>
      <c r="AI6351">
        <v>1</v>
      </c>
      <c r="AJ6351">
        <v>0</v>
      </c>
      <c r="AK6351">
        <v>72.06</v>
      </c>
      <c r="AN6351" t="s">
        <v>45581</v>
      </c>
      <c r="AO6351">
        <v>9000</v>
      </c>
      <c r="AQ6351" t="s">
        <v>46365</v>
      </c>
      <c r="AR6351" t="s">
        <v>46471</v>
      </c>
      <c r="AS6351" t="s">
        <v>46499</v>
      </c>
      <c r="AT6351" t="s">
        <v>46737</v>
      </c>
      <c r="AU6351">
        <v>2.1</v>
      </c>
      <c r="AV6351" t="s">
        <v>695</v>
      </c>
      <c r="AW6351" t="s">
        <v>208</v>
      </c>
    </row>
    <row r="6352" spans="1:50">
      <c r="A6352" s="1">
        <f>HYPERLINK("https://lsnyc.legalserver.org/matter/dynamic-profile/view/1893391","19-1893391")</f>
        <v>0</v>
      </c>
      <c r="B6352" t="s">
        <v>119</v>
      </c>
      <c r="C6352" t="s">
        <v>340</v>
      </c>
      <c r="D6352" t="s">
        <v>657</v>
      </c>
      <c r="F6352" t="s">
        <v>964</v>
      </c>
      <c r="G6352" t="s">
        <v>1748</v>
      </c>
      <c r="H6352" t="s">
        <v>9838</v>
      </c>
      <c r="I6352" t="s">
        <v>17322</v>
      </c>
      <c r="J6352" t="s">
        <v>18893</v>
      </c>
      <c r="K6352">
        <v>10035</v>
      </c>
      <c r="L6352" t="s">
        <v>18958</v>
      </c>
      <c r="M6352" t="s">
        <v>18960</v>
      </c>
      <c r="N6352" t="s">
        <v>23620</v>
      </c>
      <c r="O6352" t="s">
        <v>18997</v>
      </c>
      <c r="P6352" t="s">
        <v>26563</v>
      </c>
      <c r="R6352" t="s">
        <v>26578</v>
      </c>
      <c r="S6352" t="s">
        <v>18958</v>
      </c>
      <c r="U6352" t="s">
        <v>26604</v>
      </c>
      <c r="V6352" t="s">
        <v>26610</v>
      </c>
      <c r="W6352" t="s">
        <v>657</v>
      </c>
      <c r="X6352">
        <v>831</v>
      </c>
      <c r="Y6352" t="s">
        <v>26651</v>
      </c>
      <c r="Z6352" t="s">
        <v>26659</v>
      </c>
      <c r="AB6352" t="s">
        <v>31624</v>
      </c>
      <c r="AD6352" t="s">
        <v>41871</v>
      </c>
      <c r="AE6352">
        <v>35</v>
      </c>
      <c r="AF6352" t="s">
        <v>45541</v>
      </c>
      <c r="AG6352" t="s">
        <v>45559</v>
      </c>
      <c r="AH6352">
        <v>32</v>
      </c>
      <c r="AI6352">
        <v>1</v>
      </c>
      <c r="AJ6352">
        <v>0</v>
      </c>
      <c r="AK6352">
        <v>103.28</v>
      </c>
      <c r="AN6352" t="s">
        <v>7439</v>
      </c>
      <c r="AO6352">
        <v>12900</v>
      </c>
      <c r="AU6352">
        <v>5.5</v>
      </c>
      <c r="AV6352" t="s">
        <v>833</v>
      </c>
      <c r="AW6352" t="s">
        <v>46835</v>
      </c>
      <c r="AX6352" t="s">
        <v>46897</v>
      </c>
    </row>
    <row r="6353" spans="1:50">
      <c r="A6353" s="1">
        <f>HYPERLINK("https://lsnyc.legalserver.org/matter/dynamic-profile/view/1893275","19-1893275")</f>
        <v>0</v>
      </c>
      <c r="B6353" t="s">
        <v>182</v>
      </c>
      <c r="C6353" t="s">
        <v>340</v>
      </c>
      <c r="D6353" t="s">
        <v>657</v>
      </c>
      <c r="F6353" t="s">
        <v>1258</v>
      </c>
      <c r="G6353" t="s">
        <v>5008</v>
      </c>
      <c r="H6353" t="s">
        <v>12018</v>
      </c>
      <c r="I6353" t="s">
        <v>17397</v>
      </c>
      <c r="J6353" t="s">
        <v>18892</v>
      </c>
      <c r="K6353">
        <v>10457</v>
      </c>
      <c r="L6353" t="s">
        <v>18958</v>
      </c>
      <c r="M6353" t="s">
        <v>18958</v>
      </c>
      <c r="N6353" t="s">
        <v>23621</v>
      </c>
      <c r="O6353" t="s">
        <v>26523</v>
      </c>
      <c r="P6353" t="s">
        <v>26560</v>
      </c>
      <c r="R6353" t="s">
        <v>26579</v>
      </c>
      <c r="U6353" t="s">
        <v>26604</v>
      </c>
      <c r="V6353" t="s">
        <v>26610</v>
      </c>
      <c r="W6353" t="s">
        <v>657</v>
      </c>
      <c r="X6353">
        <v>966</v>
      </c>
      <c r="Y6353" t="s">
        <v>26650</v>
      </c>
      <c r="Z6353" t="s">
        <v>26664</v>
      </c>
      <c r="AB6353" t="s">
        <v>31625</v>
      </c>
      <c r="AC6353" t="s">
        <v>36155</v>
      </c>
      <c r="AD6353" t="s">
        <v>41872</v>
      </c>
      <c r="AE6353">
        <v>0</v>
      </c>
      <c r="AF6353" t="s">
        <v>45541</v>
      </c>
      <c r="AG6353" t="s">
        <v>45561</v>
      </c>
      <c r="AH6353">
        <v>6</v>
      </c>
      <c r="AI6353">
        <v>1</v>
      </c>
      <c r="AJ6353">
        <v>0</v>
      </c>
      <c r="AK6353">
        <v>74.27</v>
      </c>
      <c r="AN6353" t="s">
        <v>7439</v>
      </c>
      <c r="AO6353">
        <v>9276</v>
      </c>
      <c r="AU6353">
        <v>5.5</v>
      </c>
      <c r="AV6353" t="s">
        <v>781</v>
      </c>
      <c r="AW6353" t="s">
        <v>334</v>
      </c>
    </row>
    <row r="6354" spans="1:50">
      <c r="A6354" s="1">
        <f>HYPERLINK("https://lsnyc.legalserver.org/matter/dynamic-profile/view/1893395","19-1893395")</f>
        <v>0</v>
      </c>
      <c r="B6354" t="s">
        <v>142</v>
      </c>
      <c r="C6354" t="s">
        <v>340</v>
      </c>
      <c r="D6354" t="s">
        <v>657</v>
      </c>
      <c r="F6354" t="s">
        <v>3657</v>
      </c>
      <c r="G6354" t="s">
        <v>2749</v>
      </c>
      <c r="H6354" t="s">
        <v>14219</v>
      </c>
      <c r="I6354" t="s">
        <v>17397</v>
      </c>
      <c r="J6354" t="s">
        <v>18906</v>
      </c>
      <c r="K6354">
        <v>11373</v>
      </c>
      <c r="L6354" t="s">
        <v>18958</v>
      </c>
      <c r="M6354" t="s">
        <v>18958</v>
      </c>
      <c r="N6354" t="s">
        <v>23622</v>
      </c>
      <c r="O6354" t="s">
        <v>26523</v>
      </c>
      <c r="P6354" t="s">
        <v>26560</v>
      </c>
      <c r="R6354" t="s">
        <v>26585</v>
      </c>
      <c r="U6354" t="s">
        <v>26604</v>
      </c>
      <c r="W6354" t="s">
        <v>657</v>
      </c>
      <c r="X6354">
        <v>1257.2</v>
      </c>
      <c r="Y6354" t="s">
        <v>26653</v>
      </c>
      <c r="Z6354" t="s">
        <v>26655</v>
      </c>
      <c r="AB6354" t="s">
        <v>28756</v>
      </c>
      <c r="AD6354" t="s">
        <v>41873</v>
      </c>
      <c r="AE6354">
        <v>76</v>
      </c>
      <c r="AG6354" t="s">
        <v>45557</v>
      </c>
      <c r="AH6354">
        <v>22</v>
      </c>
      <c r="AI6354">
        <v>2</v>
      </c>
      <c r="AJ6354">
        <v>2</v>
      </c>
      <c r="AK6354">
        <v>66.55</v>
      </c>
      <c r="AN6354" t="s">
        <v>45581</v>
      </c>
      <c r="AO6354">
        <v>17136</v>
      </c>
      <c r="AU6354">
        <v>6.7</v>
      </c>
      <c r="AV6354" t="s">
        <v>828</v>
      </c>
      <c r="AW6354" t="s">
        <v>122</v>
      </c>
      <c r="AX6354" t="s">
        <v>46897</v>
      </c>
    </row>
    <row r="6355" spans="1:50">
      <c r="A6355" s="1">
        <f>HYPERLINK("https://lsnyc.legalserver.org/matter/dynamic-profile/view/1893427","19-1893427")</f>
        <v>0</v>
      </c>
      <c r="B6355" t="s">
        <v>51</v>
      </c>
      <c r="C6355" t="s">
        <v>340</v>
      </c>
      <c r="D6355" t="s">
        <v>657</v>
      </c>
      <c r="F6355" t="s">
        <v>1309</v>
      </c>
      <c r="G6355" t="s">
        <v>1058</v>
      </c>
      <c r="H6355" t="s">
        <v>14220</v>
      </c>
      <c r="I6355" t="s">
        <v>18356</v>
      </c>
      <c r="J6355" t="s">
        <v>18892</v>
      </c>
      <c r="K6355">
        <v>10454</v>
      </c>
      <c r="L6355" t="s">
        <v>18958</v>
      </c>
      <c r="M6355" t="s">
        <v>18958</v>
      </c>
      <c r="N6355" t="s">
        <v>23623</v>
      </c>
      <c r="O6355" t="s">
        <v>26524</v>
      </c>
      <c r="P6355" t="s">
        <v>26560</v>
      </c>
      <c r="R6355" t="s">
        <v>26577</v>
      </c>
      <c r="S6355" t="s">
        <v>18959</v>
      </c>
      <c r="U6355" t="s">
        <v>26604</v>
      </c>
      <c r="V6355" t="s">
        <v>26610</v>
      </c>
      <c r="W6355" t="s">
        <v>657</v>
      </c>
      <c r="X6355">
        <v>998</v>
      </c>
      <c r="Y6355" t="s">
        <v>26650</v>
      </c>
      <c r="Z6355" t="s">
        <v>26659</v>
      </c>
      <c r="AB6355" t="s">
        <v>30699</v>
      </c>
      <c r="AC6355" t="s">
        <v>36156</v>
      </c>
      <c r="AD6355" t="s">
        <v>41874</v>
      </c>
      <c r="AE6355">
        <v>88</v>
      </c>
      <c r="AF6355" t="s">
        <v>45551</v>
      </c>
      <c r="AH6355">
        <v>7</v>
      </c>
      <c r="AI6355">
        <v>1</v>
      </c>
      <c r="AJ6355">
        <v>0</v>
      </c>
      <c r="AK6355">
        <v>72.34999999999999</v>
      </c>
      <c r="AN6355" t="s">
        <v>7439</v>
      </c>
      <c r="AO6355">
        <v>9036</v>
      </c>
      <c r="AU6355">
        <v>13</v>
      </c>
      <c r="AV6355" t="s">
        <v>814</v>
      </c>
      <c r="AW6355" t="s">
        <v>46832</v>
      </c>
    </row>
    <row r="6356" spans="1:50">
      <c r="A6356" s="1">
        <f>HYPERLINK("https://lsnyc.legalserver.org/matter/dynamic-profile/view/1892587","19-1892587")</f>
        <v>0</v>
      </c>
      <c r="B6356" t="s">
        <v>153</v>
      </c>
      <c r="C6356" t="s">
        <v>341</v>
      </c>
      <c r="D6356" t="s">
        <v>660</v>
      </c>
      <c r="E6356" t="s">
        <v>819</v>
      </c>
      <c r="F6356" t="s">
        <v>2461</v>
      </c>
      <c r="G6356" t="s">
        <v>7993</v>
      </c>
      <c r="H6356" t="s">
        <v>9955</v>
      </c>
      <c r="I6356">
        <v>10304</v>
      </c>
      <c r="J6356" t="s">
        <v>18902</v>
      </c>
      <c r="K6356">
        <v>10304</v>
      </c>
      <c r="L6356" t="s">
        <v>18958</v>
      </c>
      <c r="M6356" t="s">
        <v>18958</v>
      </c>
      <c r="N6356" t="s">
        <v>23624</v>
      </c>
      <c r="O6356" t="s">
        <v>26523</v>
      </c>
      <c r="P6356" t="s">
        <v>26560</v>
      </c>
      <c r="Q6356" t="s">
        <v>26568</v>
      </c>
      <c r="R6356" t="s">
        <v>26578</v>
      </c>
      <c r="S6356" t="s">
        <v>18959</v>
      </c>
      <c r="U6356" t="s">
        <v>26604</v>
      </c>
      <c r="V6356" t="s">
        <v>26610</v>
      </c>
      <c r="W6356" t="s">
        <v>657</v>
      </c>
      <c r="X6356">
        <v>929.62</v>
      </c>
      <c r="Y6356" t="s">
        <v>26654</v>
      </c>
      <c r="AA6356" t="s">
        <v>26687</v>
      </c>
      <c r="AB6356" t="s">
        <v>29232</v>
      </c>
      <c r="AC6356" t="s">
        <v>36157</v>
      </c>
      <c r="AD6356" t="s">
        <v>41875</v>
      </c>
      <c r="AE6356">
        <v>104</v>
      </c>
      <c r="AH6356">
        <v>3</v>
      </c>
      <c r="AI6356">
        <v>1</v>
      </c>
      <c r="AJ6356">
        <v>0</v>
      </c>
      <c r="AK6356">
        <v>320.26</v>
      </c>
      <c r="AL6356" t="s">
        <v>45574</v>
      </c>
      <c r="AM6356" t="s">
        <v>45575</v>
      </c>
      <c r="AN6356" t="s">
        <v>7439</v>
      </c>
      <c r="AO6356">
        <v>40000</v>
      </c>
      <c r="AU6356">
        <v>7.1</v>
      </c>
      <c r="AV6356" t="s">
        <v>768</v>
      </c>
      <c r="AW6356" t="s">
        <v>46855</v>
      </c>
    </row>
    <row r="6357" spans="1:50">
      <c r="A6357" s="1">
        <f>HYPERLINK("https://lsnyc.legalserver.org/matter/dynamic-profile/view/1890317","19-1890317")</f>
        <v>0</v>
      </c>
      <c r="B6357" t="s">
        <v>182</v>
      </c>
      <c r="C6357" t="s">
        <v>340</v>
      </c>
      <c r="D6357" t="s">
        <v>702</v>
      </c>
      <c r="F6357" t="s">
        <v>1175</v>
      </c>
      <c r="G6357" t="s">
        <v>6657</v>
      </c>
      <c r="H6357" t="s">
        <v>11921</v>
      </c>
      <c r="I6357" t="s">
        <v>17540</v>
      </c>
      <c r="J6357" t="s">
        <v>18892</v>
      </c>
      <c r="K6357">
        <v>10455</v>
      </c>
      <c r="L6357" t="s">
        <v>18958</v>
      </c>
      <c r="M6357" t="s">
        <v>18958</v>
      </c>
      <c r="N6357" t="s">
        <v>23625</v>
      </c>
      <c r="O6357" t="s">
        <v>26523</v>
      </c>
      <c r="P6357" t="s">
        <v>26560</v>
      </c>
      <c r="R6357" t="s">
        <v>26577</v>
      </c>
      <c r="S6357" t="s">
        <v>18959</v>
      </c>
      <c r="U6357" t="s">
        <v>26604</v>
      </c>
      <c r="V6357" t="s">
        <v>26610</v>
      </c>
      <c r="W6357" t="s">
        <v>784</v>
      </c>
      <c r="X6357">
        <v>1039</v>
      </c>
      <c r="Y6357" t="s">
        <v>26650</v>
      </c>
      <c r="AB6357" t="s">
        <v>29191</v>
      </c>
      <c r="AD6357" t="s">
        <v>39246</v>
      </c>
      <c r="AE6357">
        <v>0</v>
      </c>
      <c r="AF6357" t="s">
        <v>45541</v>
      </c>
      <c r="AG6357" t="s">
        <v>19330</v>
      </c>
      <c r="AH6357">
        <v>7</v>
      </c>
      <c r="AI6357">
        <v>2</v>
      </c>
      <c r="AJ6357">
        <v>2</v>
      </c>
      <c r="AK6357">
        <v>131.26</v>
      </c>
      <c r="AN6357" t="s">
        <v>7439</v>
      </c>
      <c r="AO6357">
        <v>33800</v>
      </c>
      <c r="AU6357">
        <v>11.1</v>
      </c>
      <c r="AV6357" t="s">
        <v>830</v>
      </c>
      <c r="AW6357" t="s">
        <v>46870</v>
      </c>
    </row>
    <row r="6358" spans="1:50">
      <c r="A6358" s="1">
        <f>HYPERLINK("https://lsnyc.legalserver.org/matter/dynamic-profile/view/1890807","19-1890807")</f>
        <v>0</v>
      </c>
      <c r="B6358" t="s">
        <v>240</v>
      </c>
      <c r="C6358" t="s">
        <v>340</v>
      </c>
      <c r="D6358" t="s">
        <v>737</v>
      </c>
      <c r="F6358" t="s">
        <v>3235</v>
      </c>
      <c r="G6358" t="s">
        <v>6127</v>
      </c>
      <c r="H6358" t="s">
        <v>13365</v>
      </c>
      <c r="I6358" t="s">
        <v>17326</v>
      </c>
      <c r="J6358" t="s">
        <v>18894</v>
      </c>
      <c r="K6358">
        <v>11235</v>
      </c>
      <c r="L6358" t="s">
        <v>18958</v>
      </c>
      <c r="M6358" t="s">
        <v>18958</v>
      </c>
      <c r="O6358" t="s">
        <v>26534</v>
      </c>
      <c r="P6358" t="s">
        <v>26561</v>
      </c>
      <c r="R6358" t="s">
        <v>26578</v>
      </c>
      <c r="S6358" t="s">
        <v>18959</v>
      </c>
      <c r="U6358" t="s">
        <v>26604</v>
      </c>
      <c r="W6358" t="s">
        <v>784</v>
      </c>
      <c r="X6358">
        <v>930</v>
      </c>
      <c r="Y6358" t="s">
        <v>26652</v>
      </c>
      <c r="AB6358" t="s">
        <v>30734</v>
      </c>
      <c r="AD6358" t="s">
        <v>40939</v>
      </c>
      <c r="AE6358">
        <v>0</v>
      </c>
      <c r="AH6358">
        <v>0</v>
      </c>
      <c r="AI6358">
        <v>2</v>
      </c>
      <c r="AJ6358">
        <v>0</v>
      </c>
      <c r="AK6358">
        <v>113.54</v>
      </c>
      <c r="AN6358" t="s">
        <v>7439</v>
      </c>
      <c r="AO6358">
        <v>19200</v>
      </c>
      <c r="AU6358">
        <v>3.25</v>
      </c>
      <c r="AV6358" t="s">
        <v>826</v>
      </c>
      <c r="AW6358" t="s">
        <v>219</v>
      </c>
    </row>
    <row r="6359" spans="1:50">
      <c r="A6359" s="1">
        <f>HYPERLINK("https://lsnyc.legalserver.org/matter/dynamic-profile/view/1890810","19-1890810")</f>
        <v>0</v>
      </c>
      <c r="B6359" t="s">
        <v>240</v>
      </c>
      <c r="C6359" t="s">
        <v>340</v>
      </c>
      <c r="D6359" t="s">
        <v>737</v>
      </c>
      <c r="F6359" t="s">
        <v>3235</v>
      </c>
      <c r="G6359" t="s">
        <v>6127</v>
      </c>
      <c r="H6359" t="s">
        <v>13365</v>
      </c>
      <c r="I6359" t="s">
        <v>17326</v>
      </c>
      <c r="J6359" t="s">
        <v>18894</v>
      </c>
      <c r="K6359">
        <v>11235</v>
      </c>
      <c r="L6359" t="s">
        <v>18958</v>
      </c>
      <c r="M6359" t="s">
        <v>18958</v>
      </c>
      <c r="P6359" t="s">
        <v>26562</v>
      </c>
      <c r="R6359" t="s">
        <v>26578</v>
      </c>
      <c r="S6359" t="s">
        <v>18959</v>
      </c>
      <c r="U6359" t="s">
        <v>26604</v>
      </c>
      <c r="W6359" t="s">
        <v>784</v>
      </c>
      <c r="X6359">
        <v>930</v>
      </c>
      <c r="Y6359" t="s">
        <v>26652</v>
      </c>
      <c r="AB6359" t="s">
        <v>30734</v>
      </c>
      <c r="AD6359" t="s">
        <v>40939</v>
      </c>
      <c r="AE6359">
        <v>0</v>
      </c>
      <c r="AH6359">
        <v>0</v>
      </c>
      <c r="AI6359">
        <v>2</v>
      </c>
      <c r="AJ6359">
        <v>0</v>
      </c>
      <c r="AK6359">
        <v>113.54</v>
      </c>
      <c r="AN6359" t="s">
        <v>7439</v>
      </c>
      <c r="AO6359">
        <v>19200</v>
      </c>
      <c r="AU6359">
        <v>4.5</v>
      </c>
      <c r="AV6359" t="s">
        <v>833</v>
      </c>
      <c r="AW6359" t="s">
        <v>219</v>
      </c>
    </row>
    <row r="6360" spans="1:50">
      <c r="A6360" s="1">
        <f>HYPERLINK("https://lsnyc.legalserver.org/matter/dynamic-profile/view/1890808","19-1890808")</f>
        <v>0</v>
      </c>
      <c r="B6360" t="s">
        <v>240</v>
      </c>
      <c r="C6360" t="s">
        <v>340</v>
      </c>
      <c r="D6360" t="s">
        <v>737</v>
      </c>
      <c r="F6360" t="s">
        <v>3235</v>
      </c>
      <c r="G6360" t="s">
        <v>6127</v>
      </c>
      <c r="H6360" t="s">
        <v>13365</v>
      </c>
      <c r="I6360" t="s">
        <v>17326</v>
      </c>
      <c r="J6360" t="s">
        <v>18894</v>
      </c>
      <c r="K6360">
        <v>11235</v>
      </c>
      <c r="L6360" t="s">
        <v>18958</v>
      </c>
      <c r="M6360" t="s">
        <v>18958</v>
      </c>
      <c r="O6360" t="s">
        <v>26534</v>
      </c>
      <c r="P6360" t="s">
        <v>26562</v>
      </c>
      <c r="R6360" t="s">
        <v>26578</v>
      </c>
      <c r="S6360" t="s">
        <v>18959</v>
      </c>
      <c r="U6360" t="s">
        <v>26604</v>
      </c>
      <c r="W6360" t="s">
        <v>784</v>
      </c>
      <c r="X6360">
        <v>0</v>
      </c>
      <c r="Y6360" t="s">
        <v>26652</v>
      </c>
      <c r="AB6360" t="s">
        <v>30734</v>
      </c>
      <c r="AD6360" t="s">
        <v>40939</v>
      </c>
      <c r="AE6360">
        <v>0</v>
      </c>
      <c r="AH6360">
        <v>0</v>
      </c>
      <c r="AI6360">
        <v>2</v>
      </c>
      <c r="AJ6360">
        <v>0</v>
      </c>
      <c r="AK6360">
        <v>114.25</v>
      </c>
      <c r="AN6360" t="s">
        <v>7439</v>
      </c>
      <c r="AO6360">
        <v>19320</v>
      </c>
      <c r="AU6360">
        <v>0.5</v>
      </c>
      <c r="AV6360" t="s">
        <v>757</v>
      </c>
      <c r="AW6360" t="s">
        <v>219</v>
      </c>
    </row>
    <row r="6361" spans="1:50">
      <c r="A6361" s="1">
        <f>HYPERLINK("https://lsnyc.legalserver.org/matter/dynamic-profile/view/1891533","19-1891533")</f>
        <v>0</v>
      </c>
      <c r="B6361" t="s">
        <v>174</v>
      </c>
      <c r="C6361" t="s">
        <v>341</v>
      </c>
      <c r="D6361" t="s">
        <v>757</v>
      </c>
      <c r="E6361" t="s">
        <v>826</v>
      </c>
      <c r="F6361" t="s">
        <v>990</v>
      </c>
      <c r="G6361" t="s">
        <v>5964</v>
      </c>
      <c r="H6361" t="s">
        <v>14221</v>
      </c>
      <c r="I6361" t="s">
        <v>17291</v>
      </c>
      <c r="J6361" t="s">
        <v>18894</v>
      </c>
      <c r="K6361">
        <v>11233</v>
      </c>
      <c r="L6361" t="s">
        <v>18958</v>
      </c>
      <c r="M6361" t="s">
        <v>18959</v>
      </c>
      <c r="N6361" t="s">
        <v>23626</v>
      </c>
      <c r="O6361" t="s">
        <v>26523</v>
      </c>
      <c r="P6361" t="s">
        <v>26565</v>
      </c>
      <c r="Q6361" t="s">
        <v>26571</v>
      </c>
      <c r="R6361" t="s">
        <v>26578</v>
      </c>
      <c r="S6361" t="s">
        <v>18959</v>
      </c>
      <c r="U6361" t="s">
        <v>26604</v>
      </c>
      <c r="V6361" t="s">
        <v>26610</v>
      </c>
      <c r="W6361" t="s">
        <v>784</v>
      </c>
      <c r="X6361">
        <v>1200</v>
      </c>
      <c r="Y6361" t="s">
        <v>26652</v>
      </c>
      <c r="Z6361" t="s">
        <v>26530</v>
      </c>
      <c r="AA6361" t="s">
        <v>26683</v>
      </c>
      <c r="AB6361" t="s">
        <v>31626</v>
      </c>
      <c r="AC6361" t="s">
        <v>36158</v>
      </c>
      <c r="AD6361" t="s">
        <v>41876</v>
      </c>
      <c r="AE6361">
        <v>6</v>
      </c>
      <c r="AF6361" t="s">
        <v>45541</v>
      </c>
      <c r="AG6361" t="s">
        <v>45558</v>
      </c>
      <c r="AH6361">
        <v>10</v>
      </c>
      <c r="AI6361">
        <v>1</v>
      </c>
      <c r="AJ6361">
        <v>2</v>
      </c>
      <c r="AK6361">
        <v>69.42</v>
      </c>
      <c r="AN6361" t="s">
        <v>7439</v>
      </c>
      <c r="AO6361">
        <v>14808</v>
      </c>
      <c r="AU6361">
        <v>2.2</v>
      </c>
      <c r="AV6361" t="s">
        <v>815</v>
      </c>
      <c r="AW6361" t="s">
        <v>46841</v>
      </c>
      <c r="AX6361" t="s">
        <v>46897</v>
      </c>
    </row>
    <row r="6362" spans="1:50">
      <c r="A6362" s="1">
        <f>HYPERLINK("https://lsnyc.legalserver.org/matter/dynamic-profile/view/1891836","19-1891836")</f>
        <v>0</v>
      </c>
      <c r="B6362" t="s">
        <v>238</v>
      </c>
      <c r="C6362" t="s">
        <v>341</v>
      </c>
      <c r="D6362" t="s">
        <v>728</v>
      </c>
      <c r="E6362" t="s">
        <v>784</v>
      </c>
      <c r="F6362" t="s">
        <v>1204</v>
      </c>
      <c r="G6362" t="s">
        <v>7994</v>
      </c>
      <c r="H6362" t="s">
        <v>11766</v>
      </c>
      <c r="I6362" t="s">
        <v>17528</v>
      </c>
      <c r="J6362" t="s">
        <v>18894</v>
      </c>
      <c r="K6362">
        <v>11216</v>
      </c>
      <c r="L6362" t="s">
        <v>18958</v>
      </c>
      <c r="M6362" t="s">
        <v>18958</v>
      </c>
      <c r="N6362" t="s">
        <v>23627</v>
      </c>
      <c r="O6362" t="s">
        <v>26523</v>
      </c>
      <c r="P6362" t="s">
        <v>26564</v>
      </c>
      <c r="Q6362" t="s">
        <v>26570</v>
      </c>
      <c r="R6362" t="s">
        <v>26588</v>
      </c>
      <c r="U6362" t="s">
        <v>26604</v>
      </c>
      <c r="W6362" t="s">
        <v>784</v>
      </c>
      <c r="X6362">
        <v>1132</v>
      </c>
      <c r="Y6362" t="s">
        <v>26652</v>
      </c>
      <c r="Z6362" t="s">
        <v>26664</v>
      </c>
      <c r="AA6362" t="s">
        <v>26683</v>
      </c>
      <c r="AB6362" t="s">
        <v>27073</v>
      </c>
      <c r="AE6362">
        <v>0</v>
      </c>
      <c r="AH6362">
        <v>0</v>
      </c>
      <c r="AI6362">
        <v>1</v>
      </c>
      <c r="AJ6362">
        <v>4</v>
      </c>
      <c r="AK6362">
        <v>158.23</v>
      </c>
      <c r="AN6362" t="s">
        <v>7439</v>
      </c>
      <c r="AO6362">
        <v>47737</v>
      </c>
      <c r="AU6362">
        <v>1.8</v>
      </c>
      <c r="AV6362" t="s">
        <v>657</v>
      </c>
      <c r="AW6362" t="s">
        <v>46862</v>
      </c>
    </row>
    <row r="6363" spans="1:50">
      <c r="A6363" s="1">
        <f>HYPERLINK("https://lsnyc.legalserver.org/matter/dynamic-profile/view/1893003","19-1893003")</f>
        <v>0</v>
      </c>
      <c r="B6363" t="s">
        <v>218</v>
      </c>
      <c r="C6363" t="s">
        <v>340</v>
      </c>
      <c r="D6363" t="s">
        <v>754</v>
      </c>
      <c r="F6363" t="s">
        <v>2620</v>
      </c>
      <c r="G6363" t="s">
        <v>5244</v>
      </c>
      <c r="H6363" t="s">
        <v>14222</v>
      </c>
      <c r="I6363">
        <v>34</v>
      </c>
      <c r="J6363" t="s">
        <v>18893</v>
      </c>
      <c r="K6363">
        <v>10034</v>
      </c>
      <c r="L6363" t="s">
        <v>18958</v>
      </c>
      <c r="M6363" t="s">
        <v>18958</v>
      </c>
      <c r="N6363" t="s">
        <v>23628</v>
      </c>
      <c r="O6363" t="s">
        <v>26523</v>
      </c>
      <c r="P6363" t="s">
        <v>26560</v>
      </c>
      <c r="R6363" t="s">
        <v>26578</v>
      </c>
      <c r="S6363" t="s">
        <v>18959</v>
      </c>
      <c r="U6363" t="s">
        <v>26604</v>
      </c>
      <c r="W6363" t="s">
        <v>784</v>
      </c>
      <c r="X6363">
        <v>1450</v>
      </c>
      <c r="Y6363" t="s">
        <v>26651</v>
      </c>
      <c r="Z6363" t="s">
        <v>26673</v>
      </c>
      <c r="AB6363" t="s">
        <v>30015</v>
      </c>
      <c r="AD6363" t="s">
        <v>41877</v>
      </c>
      <c r="AE6363">
        <v>55</v>
      </c>
      <c r="AF6363" t="s">
        <v>45541</v>
      </c>
      <c r="AG6363" t="s">
        <v>19330</v>
      </c>
      <c r="AH6363">
        <v>3</v>
      </c>
      <c r="AI6363">
        <v>1</v>
      </c>
      <c r="AJ6363">
        <v>0</v>
      </c>
      <c r="AK6363">
        <v>333.07</v>
      </c>
      <c r="AN6363" t="s">
        <v>45581</v>
      </c>
      <c r="AO6363">
        <v>41600</v>
      </c>
      <c r="AU6363">
        <v>15.3</v>
      </c>
      <c r="AV6363" t="s">
        <v>815</v>
      </c>
      <c r="AW6363" t="s">
        <v>46861</v>
      </c>
    </row>
    <row r="6364" spans="1:50">
      <c r="A6364" s="1">
        <f>HYPERLINK("https://lsnyc.legalserver.org/matter/dynamic-profile/view/1889768","19-1889768")</f>
        <v>0</v>
      </c>
      <c r="B6364" t="s">
        <v>131</v>
      </c>
      <c r="C6364" t="s">
        <v>341</v>
      </c>
      <c r="D6364" t="s">
        <v>784</v>
      </c>
      <c r="E6364" t="s">
        <v>766</v>
      </c>
      <c r="F6364" t="s">
        <v>3246</v>
      </c>
      <c r="G6364" t="s">
        <v>7499</v>
      </c>
      <c r="H6364" t="s">
        <v>13385</v>
      </c>
      <c r="I6364" t="s">
        <v>17374</v>
      </c>
      <c r="J6364" t="s">
        <v>18902</v>
      </c>
      <c r="K6364">
        <v>10303</v>
      </c>
      <c r="L6364" t="s">
        <v>18958</v>
      </c>
      <c r="M6364" t="s">
        <v>18958</v>
      </c>
      <c r="N6364" t="s">
        <v>23629</v>
      </c>
      <c r="O6364" t="s">
        <v>26540</v>
      </c>
      <c r="P6364" t="s">
        <v>26560</v>
      </c>
      <c r="Q6364" t="s">
        <v>26574</v>
      </c>
      <c r="R6364" t="s">
        <v>26589</v>
      </c>
      <c r="S6364" t="s">
        <v>18959</v>
      </c>
      <c r="U6364" t="s">
        <v>26607</v>
      </c>
      <c r="V6364" t="s">
        <v>26610</v>
      </c>
      <c r="W6364" t="s">
        <v>784</v>
      </c>
      <c r="X6364">
        <v>0</v>
      </c>
      <c r="Y6364" t="s">
        <v>26654</v>
      </c>
      <c r="Z6364" t="s">
        <v>26671</v>
      </c>
      <c r="AA6364" t="s">
        <v>26681</v>
      </c>
      <c r="AB6364" t="s">
        <v>30754</v>
      </c>
      <c r="AD6364" t="s">
        <v>40962</v>
      </c>
      <c r="AE6364">
        <v>0</v>
      </c>
      <c r="AF6364" t="s">
        <v>45547</v>
      </c>
      <c r="AG6364" t="s">
        <v>19330</v>
      </c>
      <c r="AH6364">
        <v>0</v>
      </c>
      <c r="AI6364">
        <v>1</v>
      </c>
      <c r="AJ6364">
        <v>0</v>
      </c>
      <c r="AK6364">
        <v>0</v>
      </c>
      <c r="AL6364" t="s">
        <v>45567</v>
      </c>
      <c r="AM6364" t="s">
        <v>45577</v>
      </c>
      <c r="AN6364" t="s">
        <v>7439</v>
      </c>
      <c r="AO6364">
        <v>0</v>
      </c>
      <c r="AR6364" t="s">
        <v>46493</v>
      </c>
      <c r="AT6364" t="s">
        <v>46615</v>
      </c>
      <c r="AU6364">
        <v>5.1</v>
      </c>
      <c r="AV6364" t="s">
        <v>766</v>
      </c>
      <c r="AW6364" t="s">
        <v>185</v>
      </c>
    </row>
    <row r="6365" spans="1:50">
      <c r="A6365" s="1">
        <f>HYPERLINK("https://lsnyc.legalserver.org/matter/dynamic-profile/view/1893485","19-1893485")</f>
        <v>0</v>
      </c>
      <c r="B6365" t="s">
        <v>79</v>
      </c>
      <c r="C6365" t="s">
        <v>341</v>
      </c>
      <c r="D6365" t="s">
        <v>784</v>
      </c>
      <c r="E6365" t="s">
        <v>789</v>
      </c>
      <c r="F6365" t="s">
        <v>972</v>
      </c>
      <c r="G6365" t="s">
        <v>5285</v>
      </c>
      <c r="H6365" t="s">
        <v>14223</v>
      </c>
      <c r="I6365" t="s">
        <v>17445</v>
      </c>
      <c r="J6365" t="s">
        <v>18893</v>
      </c>
      <c r="K6365">
        <v>10034</v>
      </c>
      <c r="L6365" t="s">
        <v>18958</v>
      </c>
      <c r="M6365" t="s">
        <v>18958</v>
      </c>
      <c r="N6365" t="s">
        <v>23630</v>
      </c>
      <c r="O6365" t="s">
        <v>26523</v>
      </c>
      <c r="P6365" t="s">
        <v>26564</v>
      </c>
      <c r="Q6365" t="s">
        <v>26570</v>
      </c>
      <c r="R6365" t="s">
        <v>26578</v>
      </c>
      <c r="S6365" t="s">
        <v>18959</v>
      </c>
      <c r="U6365" t="s">
        <v>26604</v>
      </c>
      <c r="W6365" t="s">
        <v>784</v>
      </c>
      <c r="X6365">
        <v>209.48</v>
      </c>
      <c r="Y6365" t="s">
        <v>26651</v>
      </c>
      <c r="Z6365" t="s">
        <v>26659</v>
      </c>
      <c r="AA6365" t="s">
        <v>26683</v>
      </c>
      <c r="AB6365" t="s">
        <v>31627</v>
      </c>
      <c r="AD6365" t="s">
        <v>41878</v>
      </c>
      <c r="AE6365">
        <v>48</v>
      </c>
      <c r="AF6365" t="s">
        <v>45548</v>
      </c>
      <c r="AG6365" t="s">
        <v>19330</v>
      </c>
      <c r="AH6365">
        <v>49</v>
      </c>
      <c r="AI6365">
        <v>2</v>
      </c>
      <c r="AJ6365">
        <v>1</v>
      </c>
      <c r="AK6365">
        <v>249.41</v>
      </c>
      <c r="AN6365" t="s">
        <v>45581</v>
      </c>
      <c r="AO6365">
        <v>53200</v>
      </c>
      <c r="AU6365">
        <v>0.7</v>
      </c>
      <c r="AV6365" t="s">
        <v>785</v>
      </c>
      <c r="AW6365" t="s">
        <v>46840</v>
      </c>
    </row>
    <row r="6366" spans="1:50">
      <c r="A6366" s="1">
        <f>HYPERLINK("https://lsnyc.legalserver.org/matter/dynamic-profile/view/1893537","19-1893537")</f>
        <v>0</v>
      </c>
      <c r="B6366" t="s">
        <v>214</v>
      </c>
      <c r="C6366" t="s">
        <v>341</v>
      </c>
      <c r="D6366" t="s">
        <v>784</v>
      </c>
      <c r="E6366" t="s">
        <v>784</v>
      </c>
      <c r="F6366" t="s">
        <v>1502</v>
      </c>
      <c r="G6366" t="s">
        <v>2564</v>
      </c>
      <c r="H6366" t="s">
        <v>14224</v>
      </c>
      <c r="I6366" t="s">
        <v>17275</v>
      </c>
      <c r="J6366" t="s">
        <v>18907</v>
      </c>
      <c r="K6366">
        <v>11377</v>
      </c>
      <c r="L6366" t="s">
        <v>18958</v>
      </c>
      <c r="M6366" t="s">
        <v>18958</v>
      </c>
      <c r="N6366" t="s">
        <v>19840</v>
      </c>
      <c r="O6366" t="s">
        <v>18997</v>
      </c>
      <c r="P6366" t="s">
        <v>26564</v>
      </c>
      <c r="Q6366" t="s">
        <v>26570</v>
      </c>
      <c r="R6366" t="s">
        <v>26589</v>
      </c>
      <c r="S6366" t="s">
        <v>18959</v>
      </c>
      <c r="U6366" t="s">
        <v>26604</v>
      </c>
      <c r="V6366" t="s">
        <v>26610</v>
      </c>
      <c r="W6366" t="s">
        <v>784</v>
      </c>
      <c r="X6366">
        <v>807.63</v>
      </c>
      <c r="Y6366" t="s">
        <v>26653</v>
      </c>
      <c r="Z6366" t="s">
        <v>26671</v>
      </c>
      <c r="AA6366" t="s">
        <v>26683</v>
      </c>
      <c r="AB6366" t="s">
        <v>31628</v>
      </c>
      <c r="AC6366" t="s">
        <v>35263</v>
      </c>
      <c r="AD6366" t="s">
        <v>41879</v>
      </c>
      <c r="AE6366">
        <v>181</v>
      </c>
      <c r="AF6366" t="s">
        <v>45541</v>
      </c>
      <c r="AG6366" t="s">
        <v>19330</v>
      </c>
      <c r="AH6366">
        <v>20</v>
      </c>
      <c r="AI6366">
        <v>1</v>
      </c>
      <c r="AJ6366">
        <v>2</v>
      </c>
      <c r="AK6366">
        <v>37</v>
      </c>
      <c r="AL6366" t="s">
        <v>45567</v>
      </c>
      <c r="AM6366" t="s">
        <v>45577</v>
      </c>
      <c r="AN6366" t="s">
        <v>45581</v>
      </c>
      <c r="AO6366">
        <v>7892.04</v>
      </c>
      <c r="AU6366">
        <v>1.55</v>
      </c>
      <c r="AV6366" t="s">
        <v>784</v>
      </c>
      <c r="AW6366" t="s">
        <v>214</v>
      </c>
    </row>
    <row r="6367" spans="1:50">
      <c r="A6367" s="1">
        <f>HYPERLINK("https://lsnyc.legalserver.org/matter/dynamic-profile/view/1893565","19-1893565")</f>
        <v>0</v>
      </c>
      <c r="B6367" t="s">
        <v>214</v>
      </c>
      <c r="C6367" t="s">
        <v>341</v>
      </c>
      <c r="D6367" t="s">
        <v>784</v>
      </c>
      <c r="E6367" t="s">
        <v>784</v>
      </c>
      <c r="F6367" t="s">
        <v>2522</v>
      </c>
      <c r="G6367" t="s">
        <v>5199</v>
      </c>
      <c r="H6367" t="s">
        <v>14225</v>
      </c>
      <c r="I6367" t="s">
        <v>17427</v>
      </c>
      <c r="J6367" t="s">
        <v>18918</v>
      </c>
      <c r="K6367">
        <v>11417</v>
      </c>
      <c r="L6367" t="s">
        <v>18958</v>
      </c>
      <c r="M6367" t="s">
        <v>18958</v>
      </c>
      <c r="N6367" t="s">
        <v>19840</v>
      </c>
      <c r="O6367" t="s">
        <v>18997</v>
      </c>
      <c r="P6367" t="s">
        <v>26564</v>
      </c>
      <c r="Q6367" t="s">
        <v>26574</v>
      </c>
      <c r="R6367" t="s">
        <v>26589</v>
      </c>
      <c r="S6367" t="s">
        <v>18959</v>
      </c>
      <c r="U6367" t="s">
        <v>26604</v>
      </c>
      <c r="V6367" t="s">
        <v>26610</v>
      </c>
      <c r="W6367" t="s">
        <v>784</v>
      </c>
      <c r="X6367">
        <v>1900</v>
      </c>
      <c r="Y6367" t="s">
        <v>26653</v>
      </c>
      <c r="Z6367" t="s">
        <v>26671</v>
      </c>
      <c r="AA6367" t="s">
        <v>26683</v>
      </c>
      <c r="AB6367" t="s">
        <v>31629</v>
      </c>
      <c r="AC6367" t="s">
        <v>35263</v>
      </c>
      <c r="AD6367" t="s">
        <v>34738</v>
      </c>
      <c r="AE6367">
        <v>4</v>
      </c>
      <c r="AF6367" t="s">
        <v>45547</v>
      </c>
      <c r="AG6367" t="s">
        <v>19330</v>
      </c>
      <c r="AH6367">
        <v>4</v>
      </c>
      <c r="AI6367">
        <v>1</v>
      </c>
      <c r="AJ6367">
        <v>0</v>
      </c>
      <c r="AK6367">
        <v>124.9</v>
      </c>
      <c r="AL6367" t="s">
        <v>45567</v>
      </c>
      <c r="AM6367" t="s">
        <v>45577</v>
      </c>
      <c r="AN6367" t="s">
        <v>45581</v>
      </c>
      <c r="AO6367">
        <v>15600</v>
      </c>
      <c r="AU6367">
        <v>2.4</v>
      </c>
      <c r="AV6367" t="s">
        <v>823</v>
      </c>
      <c r="AW6367" t="s">
        <v>214</v>
      </c>
    </row>
    <row r="6368" spans="1:50">
      <c r="A6368" s="1">
        <f>HYPERLINK("https://lsnyc.legalserver.org/matter/dynamic-profile/view/1893470","19-1893470")</f>
        <v>0</v>
      </c>
      <c r="B6368" t="s">
        <v>214</v>
      </c>
      <c r="C6368" t="s">
        <v>341</v>
      </c>
      <c r="D6368" t="s">
        <v>784</v>
      </c>
      <c r="E6368" t="s">
        <v>784</v>
      </c>
      <c r="F6368" t="s">
        <v>1748</v>
      </c>
      <c r="G6368" t="s">
        <v>5138</v>
      </c>
      <c r="H6368" t="s">
        <v>14226</v>
      </c>
      <c r="I6368" t="s">
        <v>17355</v>
      </c>
      <c r="J6368" t="s">
        <v>18901</v>
      </c>
      <c r="K6368">
        <v>11435</v>
      </c>
      <c r="L6368" t="s">
        <v>18958</v>
      </c>
      <c r="M6368" t="s">
        <v>18958</v>
      </c>
      <c r="N6368" t="s">
        <v>19840</v>
      </c>
      <c r="O6368" t="s">
        <v>26524</v>
      </c>
      <c r="P6368" t="s">
        <v>26564</v>
      </c>
      <c r="Q6368" t="s">
        <v>26570</v>
      </c>
      <c r="R6368" t="s">
        <v>26589</v>
      </c>
      <c r="S6368" t="s">
        <v>18959</v>
      </c>
      <c r="U6368" t="s">
        <v>26604</v>
      </c>
      <c r="V6368" t="s">
        <v>26610</v>
      </c>
      <c r="W6368" t="s">
        <v>784</v>
      </c>
      <c r="X6368">
        <v>1600</v>
      </c>
      <c r="Y6368" t="s">
        <v>26653</v>
      </c>
      <c r="Z6368" t="s">
        <v>26671</v>
      </c>
      <c r="AA6368" t="s">
        <v>26683</v>
      </c>
      <c r="AB6368" t="s">
        <v>31630</v>
      </c>
      <c r="AC6368" t="s">
        <v>34738</v>
      </c>
      <c r="AD6368" t="s">
        <v>41880</v>
      </c>
      <c r="AE6368">
        <v>252</v>
      </c>
      <c r="AF6368" t="s">
        <v>45541</v>
      </c>
      <c r="AG6368" t="s">
        <v>19330</v>
      </c>
      <c r="AH6368">
        <v>1</v>
      </c>
      <c r="AI6368">
        <v>1</v>
      </c>
      <c r="AJ6368">
        <v>0</v>
      </c>
      <c r="AK6368">
        <v>270.62</v>
      </c>
      <c r="AL6368" t="s">
        <v>45567</v>
      </c>
      <c r="AM6368" t="s">
        <v>45577</v>
      </c>
      <c r="AN6368" t="s">
        <v>7439</v>
      </c>
      <c r="AO6368">
        <v>33800</v>
      </c>
      <c r="AU6368">
        <v>2.1</v>
      </c>
      <c r="AV6368" t="s">
        <v>823</v>
      </c>
      <c r="AW6368" t="s">
        <v>214</v>
      </c>
    </row>
    <row r="6369" spans="1:50">
      <c r="A6369" s="1">
        <f>HYPERLINK("https://lsnyc.legalserver.org/matter/dynamic-profile/view/1893493","19-1893493")</f>
        <v>0</v>
      </c>
      <c r="B6369" t="s">
        <v>218</v>
      </c>
      <c r="C6369" t="s">
        <v>341</v>
      </c>
      <c r="D6369" t="s">
        <v>784</v>
      </c>
      <c r="E6369" t="s">
        <v>806</v>
      </c>
      <c r="F6369" t="s">
        <v>3502</v>
      </c>
      <c r="G6369" t="s">
        <v>7995</v>
      </c>
      <c r="H6369" t="s">
        <v>14227</v>
      </c>
      <c r="I6369">
        <v>33</v>
      </c>
      <c r="J6369" t="s">
        <v>18893</v>
      </c>
      <c r="K6369">
        <v>10033</v>
      </c>
      <c r="L6369" t="s">
        <v>18958</v>
      </c>
      <c r="M6369" t="s">
        <v>18958</v>
      </c>
      <c r="N6369" t="s">
        <v>23631</v>
      </c>
      <c r="O6369" t="s">
        <v>26524</v>
      </c>
      <c r="P6369" t="s">
        <v>26564</v>
      </c>
      <c r="Q6369" t="s">
        <v>26570</v>
      </c>
      <c r="R6369" t="s">
        <v>26578</v>
      </c>
      <c r="S6369" t="s">
        <v>18959</v>
      </c>
      <c r="U6369" t="s">
        <v>26604</v>
      </c>
      <c r="V6369" t="s">
        <v>26610</v>
      </c>
      <c r="W6369" t="s">
        <v>784</v>
      </c>
      <c r="X6369">
        <v>1500</v>
      </c>
      <c r="Y6369" t="s">
        <v>26651</v>
      </c>
      <c r="Z6369" t="s">
        <v>26661</v>
      </c>
      <c r="AA6369" t="s">
        <v>26683</v>
      </c>
      <c r="AB6369" t="s">
        <v>31631</v>
      </c>
      <c r="AD6369" t="s">
        <v>41881</v>
      </c>
      <c r="AE6369">
        <v>20</v>
      </c>
      <c r="AF6369" t="s">
        <v>45541</v>
      </c>
      <c r="AG6369" t="s">
        <v>45556</v>
      </c>
      <c r="AH6369">
        <v>14</v>
      </c>
      <c r="AI6369">
        <v>1</v>
      </c>
      <c r="AJ6369">
        <v>0</v>
      </c>
      <c r="AK6369">
        <v>73.31</v>
      </c>
      <c r="AN6369" t="s">
        <v>45581</v>
      </c>
      <c r="AO6369">
        <v>9156</v>
      </c>
      <c r="AU6369">
        <v>5.6</v>
      </c>
      <c r="AV6369" t="s">
        <v>789</v>
      </c>
      <c r="AW6369" t="s">
        <v>46840</v>
      </c>
      <c r="AX6369" t="s">
        <v>46897</v>
      </c>
    </row>
    <row r="6370" spans="1:50">
      <c r="A6370" s="1">
        <f>HYPERLINK("https://lsnyc.legalserver.org/matter/dynamic-profile/view/1892710","19-1892710")</f>
        <v>0</v>
      </c>
      <c r="B6370" t="s">
        <v>103</v>
      </c>
      <c r="C6370" t="s">
        <v>341</v>
      </c>
      <c r="D6370" t="s">
        <v>784</v>
      </c>
      <c r="E6370" t="s">
        <v>814</v>
      </c>
      <c r="F6370" t="s">
        <v>870</v>
      </c>
      <c r="G6370" t="s">
        <v>5300</v>
      </c>
      <c r="H6370" t="s">
        <v>10296</v>
      </c>
      <c r="I6370" t="s">
        <v>17875</v>
      </c>
      <c r="J6370" t="s">
        <v>18902</v>
      </c>
      <c r="K6370">
        <v>10304</v>
      </c>
      <c r="L6370" t="s">
        <v>18958</v>
      </c>
      <c r="M6370" t="s">
        <v>18958</v>
      </c>
      <c r="N6370" t="s">
        <v>23632</v>
      </c>
      <c r="O6370" t="s">
        <v>26523</v>
      </c>
      <c r="P6370" t="s">
        <v>26560</v>
      </c>
      <c r="Q6370" t="s">
        <v>26568</v>
      </c>
      <c r="R6370" t="s">
        <v>26578</v>
      </c>
      <c r="S6370" t="s">
        <v>18959</v>
      </c>
      <c r="U6370" t="s">
        <v>26606</v>
      </c>
      <c r="V6370" t="s">
        <v>26610</v>
      </c>
      <c r="W6370" t="s">
        <v>784</v>
      </c>
      <c r="X6370">
        <v>135</v>
      </c>
      <c r="Y6370" t="s">
        <v>26654</v>
      </c>
      <c r="Z6370" t="s">
        <v>26659</v>
      </c>
      <c r="AA6370" t="s">
        <v>26677</v>
      </c>
      <c r="AB6370" t="s">
        <v>31632</v>
      </c>
      <c r="AD6370" t="s">
        <v>41882</v>
      </c>
      <c r="AE6370">
        <v>150</v>
      </c>
      <c r="AF6370" t="s">
        <v>45543</v>
      </c>
      <c r="AG6370" t="s">
        <v>45556</v>
      </c>
      <c r="AH6370">
        <v>4</v>
      </c>
      <c r="AI6370">
        <v>1</v>
      </c>
      <c r="AJ6370">
        <v>3</v>
      </c>
      <c r="AK6370">
        <v>65.43000000000001</v>
      </c>
      <c r="AN6370" t="s">
        <v>7439</v>
      </c>
      <c r="AO6370">
        <v>16848</v>
      </c>
      <c r="AQ6370" t="s">
        <v>46362</v>
      </c>
      <c r="AR6370" t="s">
        <v>46380</v>
      </c>
      <c r="AS6370" t="s">
        <v>46499</v>
      </c>
      <c r="AT6370" t="s">
        <v>46717</v>
      </c>
      <c r="AU6370">
        <v>6.2</v>
      </c>
      <c r="AV6370" t="s">
        <v>814</v>
      </c>
      <c r="AW6370" t="s">
        <v>210</v>
      </c>
      <c r="AX6370" t="s">
        <v>46897</v>
      </c>
    </row>
    <row r="6371" spans="1:50">
      <c r="A6371" s="1">
        <f>HYPERLINK("https://lsnyc.legalserver.org/matter/dynamic-profile/view/1891451","19-1891451")</f>
        <v>0</v>
      </c>
      <c r="B6371" t="s">
        <v>103</v>
      </c>
      <c r="C6371" t="s">
        <v>341</v>
      </c>
      <c r="D6371" t="s">
        <v>784</v>
      </c>
      <c r="E6371" t="s">
        <v>814</v>
      </c>
      <c r="F6371" t="s">
        <v>1049</v>
      </c>
      <c r="G6371" t="s">
        <v>7996</v>
      </c>
      <c r="H6371" t="s">
        <v>14228</v>
      </c>
      <c r="I6371" t="s">
        <v>17550</v>
      </c>
      <c r="J6371" t="s">
        <v>18902</v>
      </c>
      <c r="K6371">
        <v>10305</v>
      </c>
      <c r="L6371" t="s">
        <v>18958</v>
      </c>
      <c r="M6371" t="s">
        <v>18958</v>
      </c>
      <c r="N6371" t="s">
        <v>23633</v>
      </c>
      <c r="O6371" t="s">
        <v>26523</v>
      </c>
      <c r="P6371" t="s">
        <v>26560</v>
      </c>
      <c r="Q6371" t="s">
        <v>26568</v>
      </c>
      <c r="R6371" t="s">
        <v>26578</v>
      </c>
      <c r="S6371" t="s">
        <v>18959</v>
      </c>
      <c r="U6371" t="s">
        <v>26604</v>
      </c>
      <c r="V6371" t="s">
        <v>26610</v>
      </c>
      <c r="W6371" t="s">
        <v>784</v>
      </c>
      <c r="X6371">
        <v>1300</v>
      </c>
      <c r="Y6371" t="s">
        <v>26654</v>
      </c>
      <c r="Z6371" t="s">
        <v>26661</v>
      </c>
      <c r="AA6371" t="s">
        <v>26678</v>
      </c>
      <c r="AB6371" t="s">
        <v>31633</v>
      </c>
      <c r="AD6371" t="s">
        <v>41883</v>
      </c>
      <c r="AE6371">
        <v>3</v>
      </c>
      <c r="AF6371" t="s">
        <v>45547</v>
      </c>
      <c r="AG6371" t="s">
        <v>19330</v>
      </c>
      <c r="AH6371">
        <v>0</v>
      </c>
      <c r="AI6371">
        <v>2</v>
      </c>
      <c r="AJ6371">
        <v>1</v>
      </c>
      <c r="AK6371">
        <v>101.27</v>
      </c>
      <c r="AN6371" t="s">
        <v>7439</v>
      </c>
      <c r="AO6371">
        <v>21600</v>
      </c>
      <c r="AQ6371" t="s">
        <v>46362</v>
      </c>
      <c r="AR6371" t="s">
        <v>46379</v>
      </c>
      <c r="AS6371" t="s">
        <v>46499</v>
      </c>
      <c r="AT6371" t="s">
        <v>46717</v>
      </c>
      <c r="AU6371">
        <v>19.65</v>
      </c>
      <c r="AV6371" t="s">
        <v>814</v>
      </c>
      <c r="AW6371" t="s">
        <v>46852</v>
      </c>
      <c r="AX6371" t="s">
        <v>46897</v>
      </c>
    </row>
    <row r="6372" spans="1:50">
      <c r="A6372" s="1">
        <f>HYPERLINK("https://lsnyc.legalserver.org/matter/dynamic-profile/view/1893500","19-1893500")</f>
        <v>0</v>
      </c>
      <c r="B6372" t="s">
        <v>125</v>
      </c>
      <c r="C6372" t="s">
        <v>341</v>
      </c>
      <c r="D6372" t="s">
        <v>784</v>
      </c>
      <c r="E6372" t="s">
        <v>826</v>
      </c>
      <c r="F6372" t="s">
        <v>3104</v>
      </c>
      <c r="G6372" t="s">
        <v>7111</v>
      </c>
      <c r="H6372" t="s">
        <v>13132</v>
      </c>
      <c r="I6372" t="s">
        <v>17416</v>
      </c>
      <c r="J6372" t="s">
        <v>18894</v>
      </c>
      <c r="K6372">
        <v>11208</v>
      </c>
      <c r="L6372" t="s">
        <v>18958</v>
      </c>
      <c r="M6372" t="s">
        <v>18959</v>
      </c>
      <c r="N6372" t="s">
        <v>22409</v>
      </c>
      <c r="O6372" t="s">
        <v>26524</v>
      </c>
      <c r="P6372" t="s">
        <v>26564</v>
      </c>
      <c r="Q6372" t="s">
        <v>26570</v>
      </c>
      <c r="R6372" t="s">
        <v>26578</v>
      </c>
      <c r="S6372" t="s">
        <v>18959</v>
      </c>
      <c r="U6372" t="s">
        <v>26604</v>
      </c>
      <c r="V6372" t="s">
        <v>26610</v>
      </c>
      <c r="W6372" t="s">
        <v>784</v>
      </c>
      <c r="X6372">
        <v>350</v>
      </c>
      <c r="Y6372" t="s">
        <v>26652</v>
      </c>
      <c r="Z6372" t="s">
        <v>26530</v>
      </c>
      <c r="AA6372" t="s">
        <v>26683</v>
      </c>
      <c r="AB6372" t="s">
        <v>27657</v>
      </c>
      <c r="AE6372">
        <v>3</v>
      </c>
      <c r="AF6372" t="s">
        <v>45547</v>
      </c>
      <c r="AG6372" t="s">
        <v>19330</v>
      </c>
      <c r="AH6372">
        <v>2</v>
      </c>
      <c r="AI6372">
        <v>1</v>
      </c>
      <c r="AJ6372">
        <v>0</v>
      </c>
      <c r="AK6372">
        <v>124.9</v>
      </c>
      <c r="AN6372" t="s">
        <v>7439</v>
      </c>
      <c r="AO6372">
        <v>15600</v>
      </c>
      <c r="AU6372">
        <v>2.5</v>
      </c>
      <c r="AV6372" t="s">
        <v>793</v>
      </c>
      <c r="AW6372" t="s">
        <v>286</v>
      </c>
      <c r="AX6372" t="s">
        <v>46897</v>
      </c>
    </row>
    <row r="6373" spans="1:50">
      <c r="A6373" s="1">
        <f>HYPERLINK("https://lsnyc.legalserver.org/matter/dynamic-profile/view/1893471","19-1893471")</f>
        <v>0</v>
      </c>
      <c r="B6373" t="s">
        <v>136</v>
      </c>
      <c r="C6373" t="s">
        <v>340</v>
      </c>
      <c r="D6373" t="s">
        <v>784</v>
      </c>
      <c r="F6373" t="s">
        <v>1009</v>
      </c>
      <c r="G6373" t="s">
        <v>5265</v>
      </c>
      <c r="H6373" t="s">
        <v>14229</v>
      </c>
      <c r="I6373" t="s">
        <v>17389</v>
      </c>
      <c r="J6373" t="s">
        <v>18892</v>
      </c>
      <c r="K6373">
        <v>10468</v>
      </c>
      <c r="L6373" t="s">
        <v>18958</v>
      </c>
      <c r="M6373" t="s">
        <v>18958</v>
      </c>
      <c r="N6373" t="s">
        <v>23634</v>
      </c>
      <c r="O6373" t="s">
        <v>26523</v>
      </c>
      <c r="P6373" t="s">
        <v>26560</v>
      </c>
      <c r="R6373" t="s">
        <v>26579</v>
      </c>
      <c r="S6373" t="s">
        <v>18959</v>
      </c>
      <c r="U6373" t="s">
        <v>26604</v>
      </c>
      <c r="V6373" t="s">
        <v>26610</v>
      </c>
      <c r="W6373" t="s">
        <v>784</v>
      </c>
      <c r="X6373">
        <v>1235</v>
      </c>
      <c r="Y6373" t="s">
        <v>26650</v>
      </c>
      <c r="Z6373" t="s">
        <v>26668</v>
      </c>
      <c r="AB6373" t="s">
        <v>31634</v>
      </c>
      <c r="AC6373" t="s">
        <v>36159</v>
      </c>
      <c r="AD6373" t="s">
        <v>41884</v>
      </c>
      <c r="AE6373">
        <v>47</v>
      </c>
      <c r="AF6373" t="s">
        <v>45541</v>
      </c>
      <c r="AG6373" t="s">
        <v>45557</v>
      </c>
      <c r="AH6373">
        <v>10</v>
      </c>
      <c r="AI6373">
        <v>1</v>
      </c>
      <c r="AJ6373">
        <v>0</v>
      </c>
      <c r="AK6373">
        <v>22.29</v>
      </c>
      <c r="AN6373" t="s">
        <v>45581</v>
      </c>
      <c r="AO6373">
        <v>2784</v>
      </c>
      <c r="AU6373">
        <v>6</v>
      </c>
      <c r="AV6373" t="s">
        <v>808</v>
      </c>
      <c r="AW6373" t="s">
        <v>46871</v>
      </c>
    </row>
    <row r="6374" spans="1:50">
      <c r="A6374" s="1">
        <f>HYPERLINK("https://lsnyc.legalserver.org/matter/dynamic-profile/view/1893532","19-1893532")</f>
        <v>0</v>
      </c>
      <c r="B6374" t="s">
        <v>61</v>
      </c>
      <c r="C6374" t="s">
        <v>340</v>
      </c>
      <c r="D6374" t="s">
        <v>784</v>
      </c>
      <c r="F6374" t="s">
        <v>887</v>
      </c>
      <c r="G6374" t="s">
        <v>5873</v>
      </c>
      <c r="H6374" t="s">
        <v>14230</v>
      </c>
      <c r="I6374">
        <v>7</v>
      </c>
      <c r="J6374" t="s">
        <v>18893</v>
      </c>
      <c r="K6374">
        <v>10034</v>
      </c>
      <c r="L6374" t="s">
        <v>18958</v>
      </c>
      <c r="M6374" t="s">
        <v>18958</v>
      </c>
      <c r="O6374" t="s">
        <v>26526</v>
      </c>
      <c r="P6374" t="s">
        <v>26565</v>
      </c>
      <c r="R6374" t="s">
        <v>26578</v>
      </c>
      <c r="S6374" t="s">
        <v>18959</v>
      </c>
      <c r="U6374" t="s">
        <v>26604</v>
      </c>
      <c r="W6374" t="s">
        <v>784</v>
      </c>
      <c r="X6374">
        <v>2200</v>
      </c>
      <c r="Y6374" t="s">
        <v>26651</v>
      </c>
      <c r="Z6374" t="s">
        <v>26661</v>
      </c>
      <c r="AB6374" t="s">
        <v>31635</v>
      </c>
      <c r="AD6374" t="s">
        <v>41885</v>
      </c>
      <c r="AE6374">
        <v>25</v>
      </c>
      <c r="AF6374" t="s">
        <v>45541</v>
      </c>
      <c r="AG6374" t="s">
        <v>19330</v>
      </c>
      <c r="AH6374">
        <v>1</v>
      </c>
      <c r="AI6374">
        <v>1</v>
      </c>
      <c r="AJ6374">
        <v>0</v>
      </c>
      <c r="AK6374">
        <v>65.62</v>
      </c>
      <c r="AN6374" t="s">
        <v>45581</v>
      </c>
      <c r="AO6374">
        <v>8196</v>
      </c>
      <c r="AU6374">
        <v>1.2</v>
      </c>
      <c r="AV6374" t="s">
        <v>720</v>
      </c>
      <c r="AW6374" t="s">
        <v>46840</v>
      </c>
    </row>
    <row r="6375" spans="1:50">
      <c r="A6375" s="1">
        <f>HYPERLINK("https://lsnyc.legalserver.org/matter/dynamic-profile/view/1893534","19-1893534")</f>
        <v>0</v>
      </c>
      <c r="B6375" t="s">
        <v>61</v>
      </c>
      <c r="C6375" t="s">
        <v>340</v>
      </c>
      <c r="D6375" t="s">
        <v>784</v>
      </c>
      <c r="F6375" t="s">
        <v>1148</v>
      </c>
      <c r="G6375" t="s">
        <v>5229</v>
      </c>
      <c r="H6375" t="s">
        <v>14231</v>
      </c>
      <c r="I6375">
        <v>2</v>
      </c>
      <c r="J6375" t="s">
        <v>18893</v>
      </c>
      <c r="K6375">
        <v>10034</v>
      </c>
      <c r="L6375" t="s">
        <v>18958</v>
      </c>
      <c r="M6375" t="s">
        <v>18958</v>
      </c>
      <c r="O6375" t="s">
        <v>26523</v>
      </c>
      <c r="P6375" t="s">
        <v>26565</v>
      </c>
      <c r="R6375" t="s">
        <v>26578</v>
      </c>
      <c r="S6375" t="s">
        <v>18959</v>
      </c>
      <c r="U6375" t="s">
        <v>26604</v>
      </c>
      <c r="W6375" t="s">
        <v>784</v>
      </c>
      <c r="X6375">
        <v>553</v>
      </c>
      <c r="Y6375" t="s">
        <v>26651</v>
      </c>
      <c r="Z6375" t="s">
        <v>26661</v>
      </c>
      <c r="AB6375" t="s">
        <v>31636</v>
      </c>
      <c r="AD6375" t="s">
        <v>41886</v>
      </c>
      <c r="AE6375">
        <v>25</v>
      </c>
      <c r="AF6375" t="s">
        <v>45541</v>
      </c>
      <c r="AG6375" t="s">
        <v>45559</v>
      </c>
      <c r="AH6375">
        <v>42</v>
      </c>
      <c r="AI6375">
        <v>1</v>
      </c>
      <c r="AJ6375">
        <v>0</v>
      </c>
      <c r="AK6375">
        <v>72.06</v>
      </c>
      <c r="AN6375" t="s">
        <v>45581</v>
      </c>
      <c r="AO6375">
        <v>9000</v>
      </c>
      <c r="AU6375">
        <v>1.2</v>
      </c>
      <c r="AV6375" t="s">
        <v>771</v>
      </c>
      <c r="AW6375" t="s">
        <v>46840</v>
      </c>
      <c r="AX6375" t="s">
        <v>46897</v>
      </c>
    </row>
    <row r="6376" spans="1:50">
      <c r="A6376" s="1">
        <f>HYPERLINK("https://lsnyc.legalserver.org/matter/dynamic-profile/view/1894299","19-1894299")</f>
        <v>0</v>
      </c>
      <c r="B6376" t="s">
        <v>149</v>
      </c>
      <c r="C6376" t="s">
        <v>340</v>
      </c>
      <c r="D6376" t="s">
        <v>784</v>
      </c>
      <c r="F6376" t="s">
        <v>3658</v>
      </c>
      <c r="G6376" t="s">
        <v>5827</v>
      </c>
      <c r="H6376" t="s">
        <v>14232</v>
      </c>
      <c r="I6376" t="s">
        <v>17436</v>
      </c>
      <c r="J6376" t="s">
        <v>18892</v>
      </c>
      <c r="K6376">
        <v>10457</v>
      </c>
      <c r="L6376" t="s">
        <v>18958</v>
      </c>
      <c r="M6376" t="s">
        <v>18958</v>
      </c>
      <c r="N6376" t="s">
        <v>23635</v>
      </c>
      <c r="O6376" t="s">
        <v>26523</v>
      </c>
      <c r="P6376" t="s">
        <v>26560</v>
      </c>
      <c r="R6376" t="s">
        <v>26579</v>
      </c>
      <c r="S6376" t="s">
        <v>18959</v>
      </c>
      <c r="U6376" t="s">
        <v>26604</v>
      </c>
      <c r="W6376" t="s">
        <v>784</v>
      </c>
      <c r="X6376">
        <v>908</v>
      </c>
      <c r="Y6376" t="s">
        <v>26650</v>
      </c>
      <c r="Z6376" t="s">
        <v>26664</v>
      </c>
      <c r="AB6376" t="s">
        <v>31637</v>
      </c>
      <c r="AE6376">
        <v>239</v>
      </c>
      <c r="AF6376" t="s">
        <v>45549</v>
      </c>
      <c r="AG6376" t="s">
        <v>19330</v>
      </c>
      <c r="AH6376">
        <v>10</v>
      </c>
      <c r="AI6376">
        <v>2</v>
      </c>
      <c r="AJ6376">
        <v>0</v>
      </c>
      <c r="AK6376">
        <v>100.3</v>
      </c>
      <c r="AN6376" t="s">
        <v>45581</v>
      </c>
      <c r="AO6376">
        <v>16960</v>
      </c>
      <c r="AU6376">
        <v>5.2</v>
      </c>
      <c r="AV6376" t="s">
        <v>797</v>
      </c>
      <c r="AW6376" t="s">
        <v>336</v>
      </c>
    </row>
    <row r="6377" spans="1:50">
      <c r="A6377" s="1">
        <f>HYPERLINK("https://lsnyc.legalserver.org/matter/dynamic-profile/view/1893818","19-1893818")</f>
        <v>0</v>
      </c>
      <c r="B6377" t="s">
        <v>262</v>
      </c>
      <c r="C6377" t="s">
        <v>340</v>
      </c>
      <c r="D6377" t="s">
        <v>784</v>
      </c>
      <c r="F6377" t="s">
        <v>1191</v>
      </c>
      <c r="G6377" t="s">
        <v>4160</v>
      </c>
      <c r="H6377" t="s">
        <v>14232</v>
      </c>
      <c r="I6377" t="s">
        <v>17586</v>
      </c>
      <c r="J6377" t="s">
        <v>18892</v>
      </c>
      <c r="K6377">
        <v>10457</v>
      </c>
      <c r="L6377" t="s">
        <v>18958</v>
      </c>
      <c r="M6377" t="s">
        <v>18958</v>
      </c>
      <c r="N6377" t="s">
        <v>23636</v>
      </c>
      <c r="O6377" t="s">
        <v>26523</v>
      </c>
      <c r="P6377" t="s">
        <v>26560</v>
      </c>
      <c r="R6377" t="s">
        <v>26579</v>
      </c>
      <c r="S6377" t="s">
        <v>18959</v>
      </c>
      <c r="U6377" t="s">
        <v>26604</v>
      </c>
      <c r="W6377" t="s">
        <v>784</v>
      </c>
      <c r="X6377">
        <v>772</v>
      </c>
      <c r="Y6377" t="s">
        <v>26650</v>
      </c>
      <c r="Z6377" t="s">
        <v>26668</v>
      </c>
      <c r="AB6377" t="s">
        <v>31638</v>
      </c>
      <c r="AD6377" t="s">
        <v>41887</v>
      </c>
      <c r="AE6377">
        <v>0</v>
      </c>
      <c r="AF6377" t="s">
        <v>45549</v>
      </c>
      <c r="AG6377" t="s">
        <v>19330</v>
      </c>
      <c r="AH6377">
        <v>19</v>
      </c>
      <c r="AI6377">
        <v>2</v>
      </c>
      <c r="AJ6377">
        <v>0</v>
      </c>
      <c r="AK6377">
        <v>198.7</v>
      </c>
      <c r="AN6377" t="s">
        <v>7439</v>
      </c>
      <c r="AO6377">
        <v>33600</v>
      </c>
      <c r="AU6377">
        <v>21.5</v>
      </c>
      <c r="AV6377" t="s">
        <v>833</v>
      </c>
      <c r="AW6377" t="s">
        <v>336</v>
      </c>
    </row>
    <row r="6378" spans="1:50">
      <c r="A6378" s="1">
        <f>HYPERLINK("https://lsnyc.legalserver.org/matter/dynamic-profile/view/1893224","19-1893224")</f>
        <v>0</v>
      </c>
      <c r="B6378" t="s">
        <v>131</v>
      </c>
      <c r="C6378" t="s">
        <v>340</v>
      </c>
      <c r="D6378" t="s">
        <v>784</v>
      </c>
      <c r="F6378" t="s">
        <v>3659</v>
      </c>
      <c r="G6378" t="s">
        <v>7997</v>
      </c>
      <c r="H6378" t="s">
        <v>14233</v>
      </c>
      <c r="I6378">
        <v>2</v>
      </c>
      <c r="J6378" t="s">
        <v>18902</v>
      </c>
      <c r="K6378">
        <v>10301</v>
      </c>
      <c r="L6378" t="s">
        <v>18958</v>
      </c>
      <c r="M6378" t="s">
        <v>18958</v>
      </c>
      <c r="N6378" t="s">
        <v>23637</v>
      </c>
      <c r="O6378" t="s">
        <v>26523</v>
      </c>
      <c r="P6378" t="s">
        <v>26560</v>
      </c>
      <c r="R6378" t="s">
        <v>26578</v>
      </c>
      <c r="S6378" t="s">
        <v>18959</v>
      </c>
      <c r="U6378" t="s">
        <v>26604</v>
      </c>
      <c r="V6378" t="s">
        <v>26610</v>
      </c>
      <c r="W6378" t="s">
        <v>784</v>
      </c>
      <c r="X6378">
        <v>1515</v>
      </c>
      <c r="Y6378" t="s">
        <v>26654</v>
      </c>
      <c r="Z6378" t="s">
        <v>26663</v>
      </c>
      <c r="AB6378" t="s">
        <v>31639</v>
      </c>
      <c r="AD6378" t="s">
        <v>41888</v>
      </c>
      <c r="AE6378">
        <v>4</v>
      </c>
      <c r="AF6378" t="s">
        <v>45547</v>
      </c>
      <c r="AG6378" t="s">
        <v>45558</v>
      </c>
      <c r="AH6378">
        <v>1</v>
      </c>
      <c r="AI6378">
        <v>2</v>
      </c>
      <c r="AJ6378">
        <v>1</v>
      </c>
      <c r="AK6378">
        <v>48.76</v>
      </c>
      <c r="AN6378" t="s">
        <v>7439</v>
      </c>
      <c r="AO6378">
        <v>10400</v>
      </c>
      <c r="AU6378">
        <v>18.1</v>
      </c>
      <c r="AV6378" t="s">
        <v>833</v>
      </c>
      <c r="AW6378" t="s">
        <v>46852</v>
      </c>
    </row>
    <row r="6379" spans="1:50">
      <c r="A6379" s="1">
        <f>HYPERLINK("https://lsnyc.legalserver.org/matter/dynamic-profile/view/1893531","19-1893531")</f>
        <v>0</v>
      </c>
      <c r="B6379" t="s">
        <v>259</v>
      </c>
      <c r="C6379" t="s">
        <v>340</v>
      </c>
      <c r="D6379" t="s">
        <v>784</v>
      </c>
      <c r="F6379" t="s">
        <v>1992</v>
      </c>
      <c r="G6379" t="s">
        <v>7998</v>
      </c>
      <c r="H6379" t="s">
        <v>14234</v>
      </c>
      <c r="I6379" t="s">
        <v>17281</v>
      </c>
      <c r="J6379" t="s">
        <v>18894</v>
      </c>
      <c r="K6379">
        <v>11224</v>
      </c>
      <c r="L6379" t="s">
        <v>18959</v>
      </c>
      <c r="M6379" t="s">
        <v>18960</v>
      </c>
      <c r="P6379" t="s">
        <v>26565</v>
      </c>
      <c r="R6379" t="s">
        <v>26586</v>
      </c>
      <c r="U6379" t="s">
        <v>26604</v>
      </c>
      <c r="W6379" t="s">
        <v>784</v>
      </c>
      <c r="X6379">
        <v>1121</v>
      </c>
      <c r="Y6379" t="s">
        <v>26652</v>
      </c>
      <c r="Z6379" t="s">
        <v>26663</v>
      </c>
      <c r="AB6379" t="s">
        <v>31640</v>
      </c>
      <c r="AD6379" t="s">
        <v>41889</v>
      </c>
      <c r="AE6379">
        <v>20</v>
      </c>
      <c r="AF6379" t="s">
        <v>45550</v>
      </c>
      <c r="AG6379" t="s">
        <v>45556</v>
      </c>
      <c r="AH6379">
        <v>41</v>
      </c>
      <c r="AI6379">
        <v>1</v>
      </c>
      <c r="AJ6379">
        <v>0</v>
      </c>
      <c r="AK6379">
        <v>172.94</v>
      </c>
      <c r="AN6379" t="s">
        <v>7439</v>
      </c>
      <c r="AO6379">
        <v>21600</v>
      </c>
      <c r="AU6379">
        <v>2</v>
      </c>
      <c r="AV6379" t="s">
        <v>792</v>
      </c>
      <c r="AW6379" t="s">
        <v>46856</v>
      </c>
    </row>
    <row r="6380" spans="1:50">
      <c r="A6380" s="1">
        <f>HYPERLINK("https://lsnyc.legalserver.org/matter/dynamic-profile/view/1893552","19-1893552")</f>
        <v>0</v>
      </c>
      <c r="B6380" t="s">
        <v>82</v>
      </c>
      <c r="C6380" t="s">
        <v>340</v>
      </c>
      <c r="D6380" t="s">
        <v>784</v>
      </c>
      <c r="F6380" t="s">
        <v>1687</v>
      </c>
      <c r="G6380" t="s">
        <v>5978</v>
      </c>
      <c r="H6380" t="s">
        <v>11985</v>
      </c>
      <c r="I6380" t="s">
        <v>17471</v>
      </c>
      <c r="J6380" t="s">
        <v>18892</v>
      </c>
      <c r="K6380">
        <v>10468</v>
      </c>
      <c r="L6380" t="s">
        <v>18958</v>
      </c>
      <c r="M6380" t="s">
        <v>18958</v>
      </c>
      <c r="N6380" t="s">
        <v>23638</v>
      </c>
      <c r="O6380" t="s">
        <v>26523</v>
      </c>
      <c r="P6380" t="s">
        <v>26560</v>
      </c>
      <c r="R6380" t="s">
        <v>26579</v>
      </c>
      <c r="S6380" t="s">
        <v>18959</v>
      </c>
      <c r="U6380" t="s">
        <v>26604</v>
      </c>
      <c r="V6380" t="s">
        <v>26610</v>
      </c>
      <c r="W6380" t="s">
        <v>784</v>
      </c>
      <c r="X6380">
        <v>1360</v>
      </c>
      <c r="Y6380" t="s">
        <v>26650</v>
      </c>
      <c r="Z6380" t="s">
        <v>26664</v>
      </c>
      <c r="AB6380" t="s">
        <v>31641</v>
      </c>
      <c r="AE6380">
        <v>43</v>
      </c>
      <c r="AF6380" t="s">
        <v>45541</v>
      </c>
      <c r="AG6380" t="s">
        <v>19330</v>
      </c>
      <c r="AH6380">
        <v>7</v>
      </c>
      <c r="AI6380">
        <v>2</v>
      </c>
      <c r="AJ6380">
        <v>2</v>
      </c>
      <c r="AK6380">
        <v>58.25</v>
      </c>
      <c r="AN6380" t="s">
        <v>45581</v>
      </c>
      <c r="AO6380">
        <v>15000</v>
      </c>
      <c r="AU6380">
        <v>6</v>
      </c>
      <c r="AV6380" t="s">
        <v>770</v>
      </c>
      <c r="AW6380" t="s">
        <v>334</v>
      </c>
      <c r="AX6380" t="s">
        <v>46897</v>
      </c>
    </row>
    <row r="6381" spans="1:50">
      <c r="A6381" s="1">
        <f>HYPERLINK("https://lsnyc.legalserver.org/matter/dynamic-profile/view/1893538","19-1893538")</f>
        <v>0</v>
      </c>
      <c r="B6381" t="s">
        <v>273</v>
      </c>
      <c r="C6381" t="s">
        <v>340</v>
      </c>
      <c r="D6381" t="s">
        <v>784</v>
      </c>
      <c r="F6381" t="s">
        <v>1125</v>
      </c>
      <c r="G6381" t="s">
        <v>5687</v>
      </c>
      <c r="H6381" t="s">
        <v>10372</v>
      </c>
      <c r="I6381" t="s">
        <v>17278</v>
      </c>
      <c r="J6381" t="s">
        <v>18893</v>
      </c>
      <c r="K6381">
        <v>10040</v>
      </c>
      <c r="L6381" t="s">
        <v>18958</v>
      </c>
      <c r="M6381" t="s">
        <v>18958</v>
      </c>
      <c r="O6381" t="s">
        <v>26529</v>
      </c>
      <c r="P6381" t="s">
        <v>26565</v>
      </c>
      <c r="R6381" t="s">
        <v>26578</v>
      </c>
      <c r="U6381" t="s">
        <v>26604</v>
      </c>
      <c r="W6381" t="s">
        <v>784</v>
      </c>
      <c r="X6381">
        <v>1095.99</v>
      </c>
      <c r="Y6381" t="s">
        <v>26651</v>
      </c>
      <c r="Z6381" t="s">
        <v>26661</v>
      </c>
      <c r="AB6381" t="s">
        <v>31642</v>
      </c>
      <c r="AD6381" t="s">
        <v>41890</v>
      </c>
      <c r="AE6381">
        <v>25</v>
      </c>
      <c r="AF6381" t="s">
        <v>45541</v>
      </c>
      <c r="AG6381" t="s">
        <v>19330</v>
      </c>
      <c r="AH6381">
        <v>35</v>
      </c>
      <c r="AI6381">
        <v>1</v>
      </c>
      <c r="AJ6381">
        <v>0</v>
      </c>
      <c r="AK6381">
        <v>82.43000000000001</v>
      </c>
      <c r="AN6381" t="s">
        <v>45581</v>
      </c>
      <c r="AO6381">
        <v>10296</v>
      </c>
      <c r="AU6381">
        <v>15</v>
      </c>
      <c r="AV6381" t="s">
        <v>788</v>
      </c>
      <c r="AW6381" t="s">
        <v>46840</v>
      </c>
    </row>
    <row r="6382" spans="1:50">
      <c r="A6382" s="1">
        <f>HYPERLINK("https://lsnyc.legalserver.org/matter/dynamic-profile/view/1893642","19-1893642")</f>
        <v>0</v>
      </c>
      <c r="B6382" t="s">
        <v>119</v>
      </c>
      <c r="C6382" t="s">
        <v>341</v>
      </c>
      <c r="D6382" t="s">
        <v>785</v>
      </c>
      <c r="E6382" t="s">
        <v>795</v>
      </c>
      <c r="F6382" t="s">
        <v>1033</v>
      </c>
      <c r="G6382" t="s">
        <v>7999</v>
      </c>
      <c r="H6382" t="s">
        <v>14235</v>
      </c>
      <c r="I6382">
        <v>50</v>
      </c>
      <c r="J6382" t="s">
        <v>18893</v>
      </c>
      <c r="K6382">
        <v>10029</v>
      </c>
      <c r="L6382" t="s">
        <v>18958</v>
      </c>
      <c r="M6382" t="s">
        <v>18958</v>
      </c>
      <c r="O6382" t="s">
        <v>18997</v>
      </c>
      <c r="P6382" t="s">
        <v>26565</v>
      </c>
      <c r="Q6382" t="s">
        <v>26571</v>
      </c>
      <c r="R6382" t="s">
        <v>26589</v>
      </c>
      <c r="S6382" t="s">
        <v>18959</v>
      </c>
      <c r="U6382" t="s">
        <v>26604</v>
      </c>
      <c r="V6382" t="s">
        <v>26610</v>
      </c>
      <c r="W6382" t="s">
        <v>784</v>
      </c>
      <c r="X6382">
        <v>1867</v>
      </c>
      <c r="Y6382" t="s">
        <v>26651</v>
      </c>
      <c r="Z6382" t="s">
        <v>26671</v>
      </c>
      <c r="AA6382" t="s">
        <v>26683</v>
      </c>
      <c r="AB6382" t="s">
        <v>31643</v>
      </c>
      <c r="AD6382" t="s">
        <v>41891</v>
      </c>
      <c r="AE6382">
        <v>80</v>
      </c>
      <c r="AF6382" t="s">
        <v>45541</v>
      </c>
      <c r="AG6382" t="s">
        <v>19330</v>
      </c>
      <c r="AH6382">
        <v>5</v>
      </c>
      <c r="AI6382">
        <v>2</v>
      </c>
      <c r="AJ6382">
        <v>1</v>
      </c>
      <c r="AK6382">
        <v>34.37</v>
      </c>
      <c r="AL6382" t="s">
        <v>45567</v>
      </c>
      <c r="AM6382" t="s">
        <v>45577</v>
      </c>
      <c r="AN6382" t="s">
        <v>7439</v>
      </c>
      <c r="AO6382">
        <v>7332</v>
      </c>
      <c r="AU6382">
        <v>20.9</v>
      </c>
      <c r="AV6382" t="s">
        <v>794</v>
      </c>
      <c r="AW6382" t="s">
        <v>46835</v>
      </c>
    </row>
    <row r="6383" spans="1:50">
      <c r="A6383" s="1">
        <f>HYPERLINK("https://lsnyc.legalserver.org/matter/dynamic-profile/view/1893577","19-1893577")</f>
        <v>0</v>
      </c>
      <c r="B6383" t="s">
        <v>119</v>
      </c>
      <c r="C6383" t="s">
        <v>341</v>
      </c>
      <c r="D6383" t="s">
        <v>785</v>
      </c>
      <c r="E6383" t="s">
        <v>780</v>
      </c>
      <c r="F6383" t="s">
        <v>993</v>
      </c>
      <c r="G6383" t="s">
        <v>8000</v>
      </c>
      <c r="H6383" t="s">
        <v>14236</v>
      </c>
      <c r="I6383" t="s">
        <v>18346</v>
      </c>
      <c r="J6383" t="s">
        <v>18893</v>
      </c>
      <c r="K6383">
        <v>10035</v>
      </c>
      <c r="L6383" t="s">
        <v>18958</v>
      </c>
      <c r="M6383" t="s">
        <v>18958</v>
      </c>
      <c r="O6383" t="s">
        <v>18997</v>
      </c>
      <c r="P6383" t="s">
        <v>26565</v>
      </c>
      <c r="Q6383" t="s">
        <v>26571</v>
      </c>
      <c r="R6383" t="s">
        <v>26578</v>
      </c>
      <c r="S6383" t="s">
        <v>18959</v>
      </c>
      <c r="U6383" t="s">
        <v>26604</v>
      </c>
      <c r="V6383" t="s">
        <v>26610</v>
      </c>
      <c r="W6383" t="s">
        <v>784</v>
      </c>
      <c r="X6383">
        <v>2212.04</v>
      </c>
      <c r="Y6383" t="s">
        <v>26651</v>
      </c>
      <c r="Z6383" t="s">
        <v>26667</v>
      </c>
      <c r="AA6383" t="s">
        <v>26684</v>
      </c>
      <c r="AB6383" t="s">
        <v>31644</v>
      </c>
      <c r="AD6383" t="s">
        <v>41892</v>
      </c>
      <c r="AE6383">
        <v>13</v>
      </c>
      <c r="AF6383" t="s">
        <v>45548</v>
      </c>
      <c r="AG6383" t="s">
        <v>19330</v>
      </c>
      <c r="AH6383">
        <v>13</v>
      </c>
      <c r="AI6383">
        <v>1</v>
      </c>
      <c r="AJ6383">
        <v>0</v>
      </c>
      <c r="AK6383">
        <v>76.86</v>
      </c>
      <c r="AN6383" t="s">
        <v>7439</v>
      </c>
      <c r="AO6383">
        <v>9600</v>
      </c>
      <c r="AU6383">
        <v>4.25</v>
      </c>
      <c r="AV6383" t="s">
        <v>780</v>
      </c>
      <c r="AW6383" t="s">
        <v>46835</v>
      </c>
    </row>
    <row r="6384" spans="1:50">
      <c r="A6384" s="1">
        <f>HYPERLINK("https://lsnyc.legalserver.org/matter/dynamic-profile/view/1893711","19-1893711")</f>
        <v>0</v>
      </c>
      <c r="B6384" t="s">
        <v>199</v>
      </c>
      <c r="C6384" t="s">
        <v>340</v>
      </c>
      <c r="D6384" t="s">
        <v>660</v>
      </c>
      <c r="F6384" t="s">
        <v>3660</v>
      </c>
      <c r="G6384" t="s">
        <v>879</v>
      </c>
      <c r="H6384" t="s">
        <v>12614</v>
      </c>
      <c r="I6384" t="s">
        <v>18357</v>
      </c>
      <c r="J6384" t="s">
        <v>18894</v>
      </c>
      <c r="K6384">
        <v>11206</v>
      </c>
      <c r="L6384" t="s">
        <v>18958</v>
      </c>
      <c r="M6384" t="s">
        <v>18958</v>
      </c>
      <c r="N6384" t="s">
        <v>23639</v>
      </c>
      <c r="O6384" t="s">
        <v>26523</v>
      </c>
      <c r="P6384" t="s">
        <v>26560</v>
      </c>
      <c r="R6384" t="s">
        <v>26578</v>
      </c>
      <c r="S6384" t="s">
        <v>18959</v>
      </c>
      <c r="U6384" t="s">
        <v>26604</v>
      </c>
      <c r="V6384" t="s">
        <v>26610</v>
      </c>
      <c r="W6384" t="s">
        <v>784</v>
      </c>
      <c r="X6384">
        <v>225</v>
      </c>
      <c r="Y6384" t="s">
        <v>26652</v>
      </c>
      <c r="Z6384" t="s">
        <v>26659</v>
      </c>
      <c r="AB6384" t="s">
        <v>29753</v>
      </c>
      <c r="AD6384" t="s">
        <v>41893</v>
      </c>
      <c r="AE6384">
        <v>0</v>
      </c>
      <c r="AF6384" t="s">
        <v>45543</v>
      </c>
      <c r="AH6384">
        <v>15</v>
      </c>
      <c r="AI6384">
        <v>1</v>
      </c>
      <c r="AJ6384">
        <v>0</v>
      </c>
      <c r="AK6384">
        <v>14.78</v>
      </c>
      <c r="AN6384" t="s">
        <v>7439</v>
      </c>
      <c r="AO6384">
        <v>1846</v>
      </c>
      <c r="AU6384">
        <v>10.5</v>
      </c>
      <c r="AV6384" t="s">
        <v>772</v>
      </c>
      <c r="AW6384" t="s">
        <v>219</v>
      </c>
    </row>
    <row r="6385" spans="1:50">
      <c r="A6385" s="1">
        <f>HYPERLINK("https://lsnyc.legalserver.org/matter/dynamic-profile/view/1883662","18-1883662")</f>
        <v>0</v>
      </c>
      <c r="B6385" t="s">
        <v>63</v>
      </c>
      <c r="C6385" t="s">
        <v>340</v>
      </c>
      <c r="D6385" t="s">
        <v>790</v>
      </c>
      <c r="F6385" t="s">
        <v>1252</v>
      </c>
      <c r="G6385" t="s">
        <v>5481</v>
      </c>
      <c r="H6385" t="s">
        <v>14237</v>
      </c>
      <c r="I6385" t="s">
        <v>18358</v>
      </c>
      <c r="J6385" t="s">
        <v>18892</v>
      </c>
      <c r="K6385">
        <v>10452</v>
      </c>
      <c r="L6385" t="s">
        <v>18958</v>
      </c>
      <c r="M6385" t="s">
        <v>18958</v>
      </c>
      <c r="N6385" t="s">
        <v>23640</v>
      </c>
      <c r="O6385" t="s">
        <v>26524</v>
      </c>
      <c r="P6385" t="s">
        <v>26560</v>
      </c>
      <c r="R6385" t="s">
        <v>26578</v>
      </c>
      <c r="S6385" t="s">
        <v>18959</v>
      </c>
      <c r="U6385" t="s">
        <v>26604</v>
      </c>
      <c r="V6385" t="s">
        <v>26610</v>
      </c>
      <c r="W6385" t="s">
        <v>785</v>
      </c>
      <c r="X6385">
        <v>850</v>
      </c>
      <c r="Y6385" t="s">
        <v>26650</v>
      </c>
      <c r="AB6385" t="s">
        <v>31645</v>
      </c>
      <c r="AC6385">
        <v>13789714</v>
      </c>
      <c r="AD6385" t="s">
        <v>41894</v>
      </c>
      <c r="AE6385">
        <v>0</v>
      </c>
      <c r="AF6385" t="s">
        <v>45541</v>
      </c>
      <c r="AH6385">
        <v>4</v>
      </c>
      <c r="AI6385">
        <v>1</v>
      </c>
      <c r="AJ6385">
        <v>1</v>
      </c>
      <c r="AK6385">
        <v>170.11</v>
      </c>
      <c r="AN6385" t="s">
        <v>45581</v>
      </c>
      <c r="AO6385">
        <v>28000</v>
      </c>
      <c r="AP6385" t="s">
        <v>46017</v>
      </c>
      <c r="AU6385">
        <v>3.8</v>
      </c>
      <c r="AV6385" t="s">
        <v>603</v>
      </c>
      <c r="AW6385" t="s">
        <v>63</v>
      </c>
    </row>
    <row r="6386" spans="1:50">
      <c r="A6386" s="1">
        <f>HYPERLINK("https://lsnyc.legalserver.org/matter/dynamic-profile/view/1885507","18-1885507")</f>
        <v>0</v>
      </c>
      <c r="B6386" t="s">
        <v>188</v>
      </c>
      <c r="C6386" t="s">
        <v>340</v>
      </c>
      <c r="D6386" t="s">
        <v>689</v>
      </c>
      <c r="F6386" t="s">
        <v>1139</v>
      </c>
      <c r="G6386" t="s">
        <v>6776</v>
      </c>
      <c r="H6386" t="s">
        <v>14238</v>
      </c>
      <c r="I6386" t="s">
        <v>18030</v>
      </c>
      <c r="J6386" t="s">
        <v>18892</v>
      </c>
      <c r="K6386">
        <v>10452</v>
      </c>
      <c r="L6386" t="s">
        <v>18958</v>
      </c>
      <c r="M6386" t="s">
        <v>18958</v>
      </c>
      <c r="N6386" t="s">
        <v>23641</v>
      </c>
      <c r="O6386" t="s">
        <v>26526</v>
      </c>
      <c r="P6386" t="s">
        <v>26560</v>
      </c>
      <c r="R6386" t="s">
        <v>26578</v>
      </c>
      <c r="S6386" t="s">
        <v>18958</v>
      </c>
      <c r="U6386" t="s">
        <v>26604</v>
      </c>
      <c r="W6386" t="s">
        <v>785</v>
      </c>
      <c r="X6386">
        <v>1063</v>
      </c>
      <c r="Y6386" t="s">
        <v>26650</v>
      </c>
      <c r="Z6386" t="s">
        <v>26659</v>
      </c>
      <c r="AB6386" t="s">
        <v>31646</v>
      </c>
      <c r="AD6386" t="s">
        <v>41895</v>
      </c>
      <c r="AE6386">
        <v>63</v>
      </c>
      <c r="AF6386" t="s">
        <v>45541</v>
      </c>
      <c r="AG6386" t="s">
        <v>45560</v>
      </c>
      <c r="AH6386">
        <v>22</v>
      </c>
      <c r="AI6386">
        <v>1</v>
      </c>
      <c r="AJ6386">
        <v>0</v>
      </c>
      <c r="AK6386">
        <v>81.05</v>
      </c>
      <c r="AN6386" t="s">
        <v>45581</v>
      </c>
      <c r="AO6386">
        <v>9840</v>
      </c>
      <c r="AU6386">
        <v>29.1</v>
      </c>
      <c r="AV6386" t="s">
        <v>786</v>
      </c>
      <c r="AW6386" t="s">
        <v>336</v>
      </c>
    </row>
    <row r="6387" spans="1:50">
      <c r="A6387" s="1">
        <f>HYPERLINK("https://lsnyc.legalserver.org/matter/dynamic-profile/view/1888340","19-1888340")</f>
        <v>0</v>
      </c>
      <c r="B6387" t="s">
        <v>130</v>
      </c>
      <c r="C6387" t="s">
        <v>341</v>
      </c>
      <c r="D6387" t="s">
        <v>727</v>
      </c>
      <c r="E6387" t="s">
        <v>766</v>
      </c>
      <c r="F6387" t="s">
        <v>2349</v>
      </c>
      <c r="G6387" t="s">
        <v>5481</v>
      </c>
      <c r="H6387" t="s">
        <v>14239</v>
      </c>
      <c r="I6387" t="s">
        <v>17390</v>
      </c>
      <c r="J6387" t="s">
        <v>18907</v>
      </c>
      <c r="K6387">
        <v>11377</v>
      </c>
      <c r="L6387" t="s">
        <v>18958</v>
      </c>
      <c r="M6387" t="s">
        <v>18958</v>
      </c>
      <c r="N6387" t="s">
        <v>23642</v>
      </c>
      <c r="O6387" t="s">
        <v>26523</v>
      </c>
      <c r="P6387" t="s">
        <v>26564</v>
      </c>
      <c r="Q6387" t="s">
        <v>26570</v>
      </c>
      <c r="R6387" t="s">
        <v>26584</v>
      </c>
      <c r="S6387" t="s">
        <v>18959</v>
      </c>
      <c r="U6387" t="s">
        <v>26605</v>
      </c>
      <c r="V6387" t="s">
        <v>26612</v>
      </c>
      <c r="W6387" t="s">
        <v>785</v>
      </c>
      <c r="X6387">
        <v>415</v>
      </c>
      <c r="Y6387" t="s">
        <v>26653</v>
      </c>
      <c r="Z6387" t="s">
        <v>26664</v>
      </c>
      <c r="AA6387" t="s">
        <v>26683</v>
      </c>
      <c r="AB6387" t="s">
        <v>31647</v>
      </c>
      <c r="AC6387" t="s">
        <v>36160</v>
      </c>
      <c r="AD6387" t="s">
        <v>41896</v>
      </c>
      <c r="AE6387">
        <v>1018</v>
      </c>
      <c r="AF6387" t="s">
        <v>45549</v>
      </c>
      <c r="AG6387" t="s">
        <v>19330</v>
      </c>
      <c r="AH6387">
        <v>38</v>
      </c>
      <c r="AI6387">
        <v>2</v>
      </c>
      <c r="AJ6387">
        <v>2</v>
      </c>
      <c r="AK6387">
        <v>0</v>
      </c>
      <c r="AN6387" t="s">
        <v>7439</v>
      </c>
      <c r="AO6387">
        <v>0</v>
      </c>
      <c r="AU6387">
        <v>1.45</v>
      </c>
      <c r="AV6387" t="s">
        <v>785</v>
      </c>
      <c r="AW6387" t="s">
        <v>208</v>
      </c>
    </row>
    <row r="6388" spans="1:50">
      <c r="A6388" s="1">
        <f>HYPERLINK("https://lsnyc.legalserver.org/matter/dynamic-profile/view/1888434","19-1888434")</f>
        <v>0</v>
      </c>
      <c r="B6388" t="s">
        <v>130</v>
      </c>
      <c r="C6388" t="s">
        <v>341</v>
      </c>
      <c r="D6388" t="s">
        <v>719</v>
      </c>
      <c r="E6388" t="s">
        <v>769</v>
      </c>
      <c r="F6388" t="s">
        <v>939</v>
      </c>
      <c r="G6388" t="s">
        <v>5563</v>
      </c>
      <c r="H6388" t="s">
        <v>14240</v>
      </c>
      <c r="I6388" t="s">
        <v>17306</v>
      </c>
      <c r="J6388" t="s">
        <v>18901</v>
      </c>
      <c r="K6388">
        <v>11433</v>
      </c>
      <c r="L6388" t="s">
        <v>18958</v>
      </c>
      <c r="M6388" t="s">
        <v>18958</v>
      </c>
      <c r="N6388" t="s">
        <v>23643</v>
      </c>
      <c r="O6388" t="s">
        <v>26523</v>
      </c>
      <c r="P6388" t="s">
        <v>26560</v>
      </c>
      <c r="Q6388" t="s">
        <v>26573</v>
      </c>
      <c r="R6388" t="s">
        <v>26585</v>
      </c>
      <c r="S6388" t="s">
        <v>18959</v>
      </c>
      <c r="U6388" t="s">
        <v>26605</v>
      </c>
      <c r="V6388" t="s">
        <v>26612</v>
      </c>
      <c r="W6388" t="s">
        <v>785</v>
      </c>
      <c r="X6388">
        <v>866</v>
      </c>
      <c r="Y6388" t="s">
        <v>26653</v>
      </c>
      <c r="Z6388" t="s">
        <v>26668</v>
      </c>
      <c r="AA6388" t="s">
        <v>26680</v>
      </c>
      <c r="AB6388" t="s">
        <v>31648</v>
      </c>
      <c r="AD6388" t="s">
        <v>41897</v>
      </c>
      <c r="AE6388">
        <v>144</v>
      </c>
      <c r="AF6388" t="s">
        <v>45549</v>
      </c>
      <c r="AG6388" t="s">
        <v>19330</v>
      </c>
      <c r="AH6388">
        <v>5</v>
      </c>
      <c r="AI6388">
        <v>3</v>
      </c>
      <c r="AJ6388">
        <v>1</v>
      </c>
      <c r="AK6388">
        <v>59.76</v>
      </c>
      <c r="AN6388" t="s">
        <v>7439</v>
      </c>
      <c r="AO6388">
        <v>15000</v>
      </c>
      <c r="AR6388" t="s">
        <v>46379</v>
      </c>
      <c r="AS6388" t="s">
        <v>46499</v>
      </c>
      <c r="AT6388" t="s">
        <v>46660</v>
      </c>
      <c r="AU6388">
        <v>4.35</v>
      </c>
      <c r="AV6388" t="s">
        <v>785</v>
      </c>
      <c r="AW6388" t="s">
        <v>130</v>
      </c>
    </row>
    <row r="6389" spans="1:50">
      <c r="A6389" s="1">
        <f>HYPERLINK("https://lsnyc.legalserver.org/matter/dynamic-profile/view/1889460","19-1889460")</f>
        <v>0</v>
      </c>
      <c r="B6389" t="s">
        <v>120</v>
      </c>
      <c r="C6389" t="s">
        <v>340</v>
      </c>
      <c r="D6389" t="s">
        <v>677</v>
      </c>
      <c r="F6389" t="s">
        <v>2655</v>
      </c>
      <c r="G6389" t="s">
        <v>5706</v>
      </c>
      <c r="H6389" t="s">
        <v>14241</v>
      </c>
      <c r="I6389" t="s">
        <v>17389</v>
      </c>
      <c r="J6389" t="s">
        <v>18892</v>
      </c>
      <c r="K6389">
        <v>10467</v>
      </c>
      <c r="L6389" t="s">
        <v>18958</v>
      </c>
      <c r="M6389" t="s">
        <v>18958</v>
      </c>
      <c r="N6389" t="s">
        <v>23644</v>
      </c>
      <c r="O6389" t="s">
        <v>26524</v>
      </c>
      <c r="P6389" t="s">
        <v>26560</v>
      </c>
      <c r="R6389" t="s">
        <v>26579</v>
      </c>
      <c r="S6389" t="s">
        <v>18959</v>
      </c>
      <c r="U6389" t="s">
        <v>26604</v>
      </c>
      <c r="V6389" t="s">
        <v>26610</v>
      </c>
      <c r="W6389" t="s">
        <v>785</v>
      </c>
      <c r="X6389">
        <v>1087</v>
      </c>
      <c r="Y6389" t="s">
        <v>26650</v>
      </c>
      <c r="Z6389" t="s">
        <v>26657</v>
      </c>
      <c r="AB6389" t="s">
        <v>31649</v>
      </c>
      <c r="AD6389" t="s">
        <v>41898</v>
      </c>
      <c r="AE6389">
        <v>30</v>
      </c>
      <c r="AF6389" t="s">
        <v>45541</v>
      </c>
      <c r="AG6389" t="s">
        <v>19330</v>
      </c>
      <c r="AH6389">
        <v>8</v>
      </c>
      <c r="AI6389">
        <v>4</v>
      </c>
      <c r="AJ6389">
        <v>0</v>
      </c>
      <c r="AK6389">
        <v>73.95999999999999</v>
      </c>
      <c r="AN6389" t="s">
        <v>45581</v>
      </c>
      <c r="AO6389">
        <v>19044</v>
      </c>
      <c r="AU6389">
        <v>14.05</v>
      </c>
      <c r="AV6389" t="s">
        <v>843</v>
      </c>
      <c r="AW6389" t="s">
        <v>46860</v>
      </c>
    </row>
    <row r="6390" spans="1:50">
      <c r="A6390" s="1">
        <f>HYPERLINK("https://lsnyc.legalserver.org/matter/dynamic-profile/view/1890559","19-1890559")</f>
        <v>0</v>
      </c>
      <c r="B6390" t="s">
        <v>130</v>
      </c>
      <c r="C6390" t="s">
        <v>341</v>
      </c>
      <c r="D6390" t="s">
        <v>745</v>
      </c>
      <c r="E6390" t="s">
        <v>769</v>
      </c>
      <c r="F6390" t="s">
        <v>1211</v>
      </c>
      <c r="G6390" t="s">
        <v>6010</v>
      </c>
      <c r="H6390" t="s">
        <v>14242</v>
      </c>
      <c r="J6390" t="s">
        <v>18901</v>
      </c>
      <c r="K6390">
        <v>11433</v>
      </c>
      <c r="L6390" t="s">
        <v>18958</v>
      </c>
      <c r="M6390" t="s">
        <v>18958</v>
      </c>
      <c r="N6390" t="s">
        <v>23645</v>
      </c>
      <c r="O6390" t="s">
        <v>26524</v>
      </c>
      <c r="P6390" t="s">
        <v>26560</v>
      </c>
      <c r="Q6390" t="s">
        <v>26573</v>
      </c>
      <c r="R6390" t="s">
        <v>26585</v>
      </c>
      <c r="S6390" t="s">
        <v>18959</v>
      </c>
      <c r="U6390" t="s">
        <v>26604</v>
      </c>
      <c r="V6390" t="s">
        <v>26612</v>
      </c>
      <c r="W6390" t="s">
        <v>785</v>
      </c>
      <c r="X6390">
        <v>1700</v>
      </c>
      <c r="Y6390" t="s">
        <v>26653</v>
      </c>
      <c r="Z6390" t="s">
        <v>26668</v>
      </c>
      <c r="AA6390" t="s">
        <v>26679</v>
      </c>
      <c r="AB6390" t="s">
        <v>31650</v>
      </c>
      <c r="AC6390" t="s">
        <v>36161</v>
      </c>
      <c r="AD6390" t="s">
        <v>41899</v>
      </c>
      <c r="AE6390">
        <v>3</v>
      </c>
      <c r="AF6390" t="s">
        <v>45547</v>
      </c>
      <c r="AG6390" t="s">
        <v>19330</v>
      </c>
      <c r="AH6390">
        <v>1</v>
      </c>
      <c r="AI6390">
        <v>2</v>
      </c>
      <c r="AJ6390">
        <v>2</v>
      </c>
      <c r="AK6390">
        <v>124.27</v>
      </c>
      <c r="AN6390" t="s">
        <v>7439</v>
      </c>
      <c r="AO6390">
        <v>32000</v>
      </c>
      <c r="AQ6390" t="s">
        <v>46359</v>
      </c>
      <c r="AR6390" t="s">
        <v>26530</v>
      </c>
      <c r="AS6390" t="s">
        <v>46500</v>
      </c>
      <c r="AT6390" t="s">
        <v>46712</v>
      </c>
      <c r="AU6390">
        <v>2.35</v>
      </c>
      <c r="AV6390" t="s">
        <v>785</v>
      </c>
      <c r="AW6390" t="s">
        <v>130</v>
      </c>
    </row>
    <row r="6391" spans="1:50">
      <c r="A6391" s="1">
        <f>HYPERLINK("https://lsnyc.legalserver.org/matter/dynamic-profile/view/1892240","19-1892240")</f>
        <v>0</v>
      </c>
      <c r="B6391" t="s">
        <v>63</v>
      </c>
      <c r="C6391" t="s">
        <v>340</v>
      </c>
      <c r="D6391" t="s">
        <v>659</v>
      </c>
      <c r="F6391" t="s">
        <v>3661</v>
      </c>
      <c r="G6391" t="s">
        <v>2564</v>
      </c>
      <c r="H6391" t="s">
        <v>12911</v>
      </c>
      <c r="J6391" t="s">
        <v>18892</v>
      </c>
      <c r="K6391">
        <v>10452</v>
      </c>
      <c r="L6391" t="s">
        <v>18958</v>
      </c>
      <c r="M6391" t="s">
        <v>18958</v>
      </c>
      <c r="N6391" t="s">
        <v>23646</v>
      </c>
      <c r="O6391" t="s">
        <v>26523</v>
      </c>
      <c r="P6391" t="s">
        <v>26560</v>
      </c>
      <c r="R6391" t="s">
        <v>26578</v>
      </c>
      <c r="S6391" t="s">
        <v>18959</v>
      </c>
      <c r="U6391" t="s">
        <v>26604</v>
      </c>
      <c r="W6391" t="s">
        <v>785</v>
      </c>
      <c r="X6391">
        <v>0</v>
      </c>
      <c r="Y6391" t="s">
        <v>26650</v>
      </c>
      <c r="AB6391" t="s">
        <v>31651</v>
      </c>
      <c r="AD6391" t="s">
        <v>41900</v>
      </c>
      <c r="AE6391">
        <v>0</v>
      </c>
      <c r="AH6391">
        <v>0</v>
      </c>
      <c r="AI6391">
        <v>1</v>
      </c>
      <c r="AJ6391">
        <v>0</v>
      </c>
      <c r="AK6391">
        <v>0</v>
      </c>
      <c r="AO6391">
        <v>0</v>
      </c>
      <c r="AU6391">
        <v>21.7</v>
      </c>
      <c r="AV6391" t="s">
        <v>833</v>
      </c>
      <c r="AW6391" t="s">
        <v>46847</v>
      </c>
    </row>
    <row r="6392" spans="1:50">
      <c r="A6392" s="1">
        <f>HYPERLINK("https://lsnyc.legalserver.org/matter/dynamic-profile/view/1893514","19-1893514")</f>
        <v>0</v>
      </c>
      <c r="B6392" t="s">
        <v>130</v>
      </c>
      <c r="C6392" t="s">
        <v>341</v>
      </c>
      <c r="D6392" t="s">
        <v>784</v>
      </c>
      <c r="E6392" t="s">
        <v>769</v>
      </c>
      <c r="F6392" t="s">
        <v>3662</v>
      </c>
      <c r="G6392" t="s">
        <v>8001</v>
      </c>
      <c r="H6392" t="s">
        <v>14243</v>
      </c>
      <c r="I6392" t="s">
        <v>17430</v>
      </c>
      <c r="J6392" t="s">
        <v>18901</v>
      </c>
      <c r="K6392">
        <v>11434</v>
      </c>
      <c r="L6392" t="s">
        <v>18958</v>
      </c>
      <c r="M6392" t="s">
        <v>18958</v>
      </c>
      <c r="N6392" t="s">
        <v>23647</v>
      </c>
      <c r="O6392" t="s">
        <v>26524</v>
      </c>
      <c r="P6392" t="s">
        <v>26560</v>
      </c>
      <c r="Q6392" t="s">
        <v>26573</v>
      </c>
      <c r="R6392" t="s">
        <v>26585</v>
      </c>
      <c r="S6392" t="s">
        <v>18959</v>
      </c>
      <c r="U6392" t="s">
        <v>26604</v>
      </c>
      <c r="V6392" t="s">
        <v>26612</v>
      </c>
      <c r="W6392" t="s">
        <v>785</v>
      </c>
      <c r="X6392">
        <v>900</v>
      </c>
      <c r="Y6392" t="s">
        <v>26653</v>
      </c>
      <c r="Z6392" t="s">
        <v>26668</v>
      </c>
      <c r="AA6392" t="s">
        <v>26679</v>
      </c>
      <c r="AB6392" t="s">
        <v>31652</v>
      </c>
      <c r="AD6392" t="s">
        <v>41901</v>
      </c>
      <c r="AE6392">
        <v>3</v>
      </c>
      <c r="AF6392" t="s">
        <v>45547</v>
      </c>
      <c r="AG6392" t="s">
        <v>19330</v>
      </c>
      <c r="AH6392">
        <v>11</v>
      </c>
      <c r="AI6392">
        <v>1</v>
      </c>
      <c r="AJ6392">
        <v>0</v>
      </c>
      <c r="AK6392">
        <v>184.15</v>
      </c>
      <c r="AN6392" t="s">
        <v>7439</v>
      </c>
      <c r="AO6392">
        <v>23000</v>
      </c>
      <c r="AQ6392" t="s">
        <v>46359</v>
      </c>
      <c r="AR6392" t="s">
        <v>26530</v>
      </c>
      <c r="AS6392" t="s">
        <v>46500</v>
      </c>
      <c r="AT6392" t="s">
        <v>46712</v>
      </c>
      <c r="AU6392">
        <v>1.65</v>
      </c>
      <c r="AV6392" t="s">
        <v>785</v>
      </c>
      <c r="AW6392" t="s">
        <v>130</v>
      </c>
    </row>
    <row r="6393" spans="1:50">
      <c r="A6393" s="1">
        <f>HYPERLINK("https://lsnyc.legalserver.org/matter/dynamic-profile/view/1893680","19-1893680")</f>
        <v>0</v>
      </c>
      <c r="B6393" t="s">
        <v>109</v>
      </c>
      <c r="C6393" t="s">
        <v>341</v>
      </c>
      <c r="D6393" t="s">
        <v>784</v>
      </c>
      <c r="E6393" t="s">
        <v>815</v>
      </c>
      <c r="F6393" t="s">
        <v>3663</v>
      </c>
      <c r="G6393" t="s">
        <v>7256</v>
      </c>
      <c r="H6393" t="s">
        <v>14244</v>
      </c>
      <c r="J6393" t="s">
        <v>18902</v>
      </c>
      <c r="K6393">
        <v>10301</v>
      </c>
      <c r="L6393" t="s">
        <v>18958</v>
      </c>
      <c r="M6393" t="s">
        <v>18958</v>
      </c>
      <c r="N6393" t="s">
        <v>23648</v>
      </c>
      <c r="O6393" t="s">
        <v>26523</v>
      </c>
      <c r="P6393" t="s">
        <v>26560</v>
      </c>
      <c r="Q6393" t="s">
        <v>26568</v>
      </c>
      <c r="R6393" t="s">
        <v>26578</v>
      </c>
      <c r="U6393" t="s">
        <v>26604</v>
      </c>
      <c r="V6393" t="s">
        <v>26610</v>
      </c>
      <c r="W6393" t="s">
        <v>785</v>
      </c>
      <c r="X6393">
        <v>818</v>
      </c>
      <c r="Y6393" t="s">
        <v>26654</v>
      </c>
      <c r="Z6393" t="s">
        <v>26661</v>
      </c>
      <c r="AA6393" t="s">
        <v>26678</v>
      </c>
      <c r="AB6393" t="s">
        <v>26979</v>
      </c>
      <c r="AD6393" t="s">
        <v>41902</v>
      </c>
      <c r="AE6393">
        <v>2</v>
      </c>
      <c r="AF6393" t="s">
        <v>45543</v>
      </c>
      <c r="AG6393" t="s">
        <v>45556</v>
      </c>
      <c r="AH6393">
        <v>1</v>
      </c>
      <c r="AI6393">
        <v>1</v>
      </c>
      <c r="AJ6393">
        <v>2</v>
      </c>
      <c r="AK6393">
        <v>230.9</v>
      </c>
      <c r="AN6393" t="s">
        <v>7439</v>
      </c>
      <c r="AO6393">
        <v>49252</v>
      </c>
      <c r="AQ6393" t="s">
        <v>46362</v>
      </c>
      <c r="AR6393" t="s">
        <v>46379</v>
      </c>
      <c r="AS6393" t="s">
        <v>46499</v>
      </c>
      <c r="AT6393" t="s">
        <v>46639</v>
      </c>
      <c r="AU6393">
        <v>3.7</v>
      </c>
      <c r="AV6393" t="s">
        <v>815</v>
      </c>
      <c r="AW6393" t="s">
        <v>46883</v>
      </c>
      <c r="AX6393" t="s">
        <v>46897</v>
      </c>
    </row>
    <row r="6394" spans="1:50">
      <c r="A6394" s="1">
        <f>HYPERLINK("https://lsnyc.legalserver.org/matter/dynamic-profile/view/1893674","19-1893674")</f>
        <v>0</v>
      </c>
      <c r="B6394" t="s">
        <v>66</v>
      </c>
      <c r="C6394" t="s">
        <v>341</v>
      </c>
      <c r="D6394" t="s">
        <v>785</v>
      </c>
      <c r="E6394" t="s">
        <v>827</v>
      </c>
      <c r="F6394" t="s">
        <v>1656</v>
      </c>
      <c r="G6394" t="s">
        <v>8002</v>
      </c>
      <c r="H6394" t="s">
        <v>14245</v>
      </c>
      <c r="I6394" t="s">
        <v>17299</v>
      </c>
      <c r="J6394" t="s">
        <v>18893</v>
      </c>
      <c r="K6394">
        <v>10031</v>
      </c>
      <c r="L6394" t="s">
        <v>18958</v>
      </c>
      <c r="M6394" t="s">
        <v>18958</v>
      </c>
      <c r="N6394" t="s">
        <v>23649</v>
      </c>
      <c r="O6394" t="s">
        <v>26523</v>
      </c>
      <c r="P6394" t="s">
        <v>26560</v>
      </c>
      <c r="Q6394" t="s">
        <v>26568</v>
      </c>
      <c r="R6394" t="s">
        <v>26580</v>
      </c>
      <c r="S6394" t="s">
        <v>18959</v>
      </c>
      <c r="U6394" t="s">
        <v>26604</v>
      </c>
      <c r="V6394" t="s">
        <v>26610</v>
      </c>
      <c r="W6394" t="s">
        <v>785</v>
      </c>
      <c r="X6394">
        <v>1103</v>
      </c>
      <c r="Y6394" t="s">
        <v>26651</v>
      </c>
      <c r="Z6394" t="s">
        <v>26664</v>
      </c>
      <c r="AA6394" t="s">
        <v>26678</v>
      </c>
      <c r="AB6394" t="s">
        <v>31653</v>
      </c>
      <c r="AD6394" t="s">
        <v>41903</v>
      </c>
      <c r="AE6394">
        <v>0</v>
      </c>
      <c r="AF6394" t="s">
        <v>45541</v>
      </c>
      <c r="AG6394" t="s">
        <v>19330</v>
      </c>
      <c r="AH6394">
        <v>5</v>
      </c>
      <c r="AI6394">
        <v>2</v>
      </c>
      <c r="AJ6394">
        <v>3</v>
      </c>
      <c r="AK6394">
        <v>50.12</v>
      </c>
      <c r="AN6394" t="s">
        <v>7439</v>
      </c>
      <c r="AO6394">
        <v>15120</v>
      </c>
      <c r="AQ6394" t="s">
        <v>46362</v>
      </c>
      <c r="AR6394" t="s">
        <v>46379</v>
      </c>
      <c r="AS6394" t="s">
        <v>46499</v>
      </c>
      <c r="AT6394" t="s">
        <v>46780</v>
      </c>
      <c r="AU6394">
        <v>7.6</v>
      </c>
      <c r="AV6394" t="s">
        <v>823</v>
      </c>
      <c r="AW6394" t="s">
        <v>314</v>
      </c>
      <c r="AX6394" t="s">
        <v>46897</v>
      </c>
    </row>
    <row r="6395" spans="1:50">
      <c r="A6395" s="1">
        <f>HYPERLINK("https://lsnyc.legalserver.org/matter/dynamic-profile/view/1893606","19-1893606")</f>
        <v>0</v>
      </c>
      <c r="B6395" t="s">
        <v>151</v>
      </c>
      <c r="C6395" t="s">
        <v>341</v>
      </c>
      <c r="D6395" t="s">
        <v>785</v>
      </c>
      <c r="E6395" t="s">
        <v>764</v>
      </c>
      <c r="F6395" t="s">
        <v>1072</v>
      </c>
      <c r="G6395" t="s">
        <v>1189</v>
      </c>
      <c r="H6395" t="s">
        <v>14246</v>
      </c>
      <c r="I6395">
        <v>27</v>
      </c>
      <c r="J6395" t="s">
        <v>18893</v>
      </c>
      <c r="K6395">
        <v>10027</v>
      </c>
      <c r="L6395" t="s">
        <v>18958</v>
      </c>
      <c r="M6395" t="s">
        <v>18960</v>
      </c>
      <c r="N6395" t="s">
        <v>23650</v>
      </c>
      <c r="O6395" t="s">
        <v>26523</v>
      </c>
      <c r="P6395" t="s">
        <v>26560</v>
      </c>
      <c r="Q6395" t="s">
        <v>26568</v>
      </c>
      <c r="R6395" t="s">
        <v>26580</v>
      </c>
      <c r="S6395" t="s">
        <v>18959</v>
      </c>
      <c r="U6395" t="s">
        <v>26604</v>
      </c>
      <c r="V6395" t="s">
        <v>26611</v>
      </c>
      <c r="W6395" t="s">
        <v>785</v>
      </c>
      <c r="X6395">
        <v>756.98</v>
      </c>
      <c r="Y6395" t="s">
        <v>26651</v>
      </c>
      <c r="Z6395" t="s">
        <v>26664</v>
      </c>
      <c r="AA6395" t="s">
        <v>26678</v>
      </c>
      <c r="AB6395" t="s">
        <v>31654</v>
      </c>
      <c r="AD6395" t="s">
        <v>41904</v>
      </c>
      <c r="AE6395">
        <v>0</v>
      </c>
      <c r="AF6395" t="s">
        <v>45541</v>
      </c>
      <c r="AG6395" t="s">
        <v>19330</v>
      </c>
      <c r="AH6395">
        <v>22</v>
      </c>
      <c r="AI6395">
        <v>1</v>
      </c>
      <c r="AJ6395">
        <v>0</v>
      </c>
      <c r="AK6395">
        <v>139.06</v>
      </c>
      <c r="AN6395" t="s">
        <v>7439</v>
      </c>
      <c r="AO6395">
        <v>17368</v>
      </c>
      <c r="AS6395" t="s">
        <v>46499</v>
      </c>
      <c r="AT6395" t="s">
        <v>46712</v>
      </c>
      <c r="AU6395">
        <v>3.1</v>
      </c>
      <c r="AV6395" t="s">
        <v>741</v>
      </c>
      <c r="AW6395" t="s">
        <v>46838</v>
      </c>
      <c r="AX6395" t="s">
        <v>46897</v>
      </c>
    </row>
    <row r="6396" spans="1:50">
      <c r="A6396" s="1">
        <f>HYPERLINK("https://lsnyc.legalserver.org/matter/dynamic-profile/view/1893761","19-1893761")</f>
        <v>0</v>
      </c>
      <c r="B6396" t="s">
        <v>262</v>
      </c>
      <c r="C6396" t="s">
        <v>341</v>
      </c>
      <c r="D6396" t="s">
        <v>785</v>
      </c>
      <c r="E6396" t="s">
        <v>839</v>
      </c>
      <c r="F6396" t="s">
        <v>3664</v>
      </c>
      <c r="G6396" t="s">
        <v>5956</v>
      </c>
      <c r="H6396" t="s">
        <v>14247</v>
      </c>
      <c r="I6396" t="s">
        <v>17298</v>
      </c>
      <c r="J6396" t="s">
        <v>18892</v>
      </c>
      <c r="K6396">
        <v>10462</v>
      </c>
      <c r="L6396" t="s">
        <v>18958</v>
      </c>
      <c r="M6396" t="s">
        <v>18958</v>
      </c>
      <c r="N6396" t="s">
        <v>23651</v>
      </c>
      <c r="O6396" t="s">
        <v>26523</v>
      </c>
      <c r="P6396" t="s">
        <v>26560</v>
      </c>
      <c r="Q6396" t="s">
        <v>26568</v>
      </c>
      <c r="R6396" t="s">
        <v>26579</v>
      </c>
      <c r="S6396" t="s">
        <v>18959</v>
      </c>
      <c r="U6396" t="s">
        <v>26604</v>
      </c>
      <c r="V6396" t="s">
        <v>26610</v>
      </c>
      <c r="W6396" t="s">
        <v>785</v>
      </c>
      <c r="X6396">
        <v>1498</v>
      </c>
      <c r="Y6396" t="s">
        <v>26650</v>
      </c>
      <c r="Z6396" t="s">
        <v>26664</v>
      </c>
      <c r="AA6396" t="s">
        <v>26678</v>
      </c>
      <c r="AB6396" t="s">
        <v>31655</v>
      </c>
      <c r="AC6396" t="s">
        <v>36162</v>
      </c>
      <c r="AD6396" t="s">
        <v>41905</v>
      </c>
      <c r="AE6396">
        <v>139</v>
      </c>
      <c r="AF6396" t="s">
        <v>45541</v>
      </c>
      <c r="AG6396" t="s">
        <v>19330</v>
      </c>
      <c r="AH6396">
        <v>13</v>
      </c>
      <c r="AI6396">
        <v>1</v>
      </c>
      <c r="AJ6396">
        <v>0</v>
      </c>
      <c r="AK6396">
        <v>187.34</v>
      </c>
      <c r="AN6396" t="s">
        <v>7439</v>
      </c>
      <c r="AO6396">
        <v>23398.2</v>
      </c>
      <c r="AQ6396" t="s">
        <v>46362</v>
      </c>
      <c r="AR6396" t="s">
        <v>46381</v>
      </c>
      <c r="AS6396" t="s">
        <v>46499</v>
      </c>
      <c r="AT6396" t="s">
        <v>46710</v>
      </c>
      <c r="AU6396">
        <v>14.5</v>
      </c>
      <c r="AV6396" t="s">
        <v>839</v>
      </c>
      <c r="AW6396" t="s">
        <v>336</v>
      </c>
      <c r="AX6396" t="s">
        <v>46897</v>
      </c>
    </row>
    <row r="6397" spans="1:50">
      <c r="A6397" s="1">
        <f>HYPERLINK("https://lsnyc.legalserver.org/matter/dynamic-profile/view/1893613","19-1893613")</f>
        <v>0</v>
      </c>
      <c r="B6397" t="s">
        <v>122</v>
      </c>
      <c r="C6397" t="s">
        <v>341</v>
      </c>
      <c r="D6397" t="s">
        <v>785</v>
      </c>
      <c r="E6397" t="s">
        <v>660</v>
      </c>
      <c r="F6397" t="s">
        <v>1032</v>
      </c>
      <c r="G6397" t="s">
        <v>5435</v>
      </c>
      <c r="H6397" t="s">
        <v>14248</v>
      </c>
      <c r="J6397" t="s">
        <v>18899</v>
      </c>
      <c r="K6397">
        <v>11385</v>
      </c>
      <c r="L6397" t="s">
        <v>18958</v>
      </c>
      <c r="M6397" t="s">
        <v>18958</v>
      </c>
      <c r="N6397" t="s">
        <v>23652</v>
      </c>
      <c r="O6397" t="s">
        <v>26526</v>
      </c>
      <c r="P6397" t="s">
        <v>26564</v>
      </c>
      <c r="Q6397" t="s">
        <v>26570</v>
      </c>
      <c r="R6397" t="s">
        <v>26584</v>
      </c>
      <c r="S6397" t="s">
        <v>26598</v>
      </c>
      <c r="U6397" t="s">
        <v>26604</v>
      </c>
      <c r="V6397" t="s">
        <v>26610</v>
      </c>
      <c r="W6397" t="s">
        <v>785</v>
      </c>
      <c r="X6397">
        <v>1034.69</v>
      </c>
      <c r="Y6397" t="s">
        <v>26653</v>
      </c>
      <c r="Z6397" t="s">
        <v>26664</v>
      </c>
      <c r="AA6397" t="s">
        <v>26683</v>
      </c>
      <c r="AB6397" t="s">
        <v>31656</v>
      </c>
      <c r="AC6397" t="s">
        <v>36163</v>
      </c>
      <c r="AD6397" t="s">
        <v>41906</v>
      </c>
      <c r="AE6397">
        <v>6</v>
      </c>
      <c r="AF6397" t="s">
        <v>45541</v>
      </c>
      <c r="AG6397" t="s">
        <v>45556</v>
      </c>
      <c r="AH6397">
        <v>20</v>
      </c>
      <c r="AI6397">
        <v>1</v>
      </c>
      <c r="AJ6397">
        <v>1</v>
      </c>
      <c r="AK6397">
        <v>84.94</v>
      </c>
      <c r="AN6397" t="s">
        <v>7439</v>
      </c>
      <c r="AO6397">
        <v>14364</v>
      </c>
      <c r="AU6397">
        <v>1.5</v>
      </c>
      <c r="AV6397" t="s">
        <v>785</v>
      </c>
      <c r="AW6397" t="s">
        <v>122</v>
      </c>
    </row>
    <row r="6398" spans="1:50">
      <c r="A6398" s="1">
        <f>HYPERLINK("https://lsnyc.legalserver.org/matter/dynamic-profile/view/1893608","19-1893608")</f>
        <v>0</v>
      </c>
      <c r="B6398" t="s">
        <v>104</v>
      </c>
      <c r="C6398" t="s">
        <v>341</v>
      </c>
      <c r="D6398" t="s">
        <v>785</v>
      </c>
      <c r="E6398" t="s">
        <v>816</v>
      </c>
      <c r="F6398" t="s">
        <v>1021</v>
      </c>
      <c r="G6398" t="s">
        <v>8003</v>
      </c>
      <c r="H6398" t="s">
        <v>14249</v>
      </c>
      <c r="J6398" t="s">
        <v>18902</v>
      </c>
      <c r="K6398">
        <v>10310</v>
      </c>
      <c r="L6398" t="s">
        <v>18958</v>
      </c>
      <c r="M6398" t="s">
        <v>18958</v>
      </c>
      <c r="N6398" t="s">
        <v>23653</v>
      </c>
      <c r="O6398" t="s">
        <v>26524</v>
      </c>
      <c r="P6398" t="s">
        <v>26560</v>
      </c>
      <c r="Q6398" t="s">
        <v>26569</v>
      </c>
      <c r="R6398" t="s">
        <v>26590</v>
      </c>
      <c r="S6398" t="s">
        <v>18959</v>
      </c>
      <c r="U6398" t="s">
        <v>26604</v>
      </c>
      <c r="V6398" t="s">
        <v>26610</v>
      </c>
      <c r="W6398" t="s">
        <v>785</v>
      </c>
      <c r="X6398">
        <v>1100</v>
      </c>
      <c r="Y6398" t="s">
        <v>26654</v>
      </c>
      <c r="Z6398" t="s">
        <v>26668</v>
      </c>
      <c r="AA6398" t="s">
        <v>26687</v>
      </c>
      <c r="AB6398" t="s">
        <v>31657</v>
      </c>
      <c r="AD6398" t="s">
        <v>41907</v>
      </c>
      <c r="AE6398">
        <v>4</v>
      </c>
      <c r="AF6398" t="s">
        <v>45547</v>
      </c>
      <c r="AG6398" t="s">
        <v>19330</v>
      </c>
      <c r="AH6398">
        <v>-1</v>
      </c>
      <c r="AI6398">
        <v>1</v>
      </c>
      <c r="AJ6398">
        <v>0</v>
      </c>
      <c r="AK6398">
        <v>0</v>
      </c>
      <c r="AN6398" t="s">
        <v>7439</v>
      </c>
      <c r="AO6398">
        <v>0</v>
      </c>
      <c r="AS6398" t="s">
        <v>46501</v>
      </c>
      <c r="AT6398" t="s">
        <v>46674</v>
      </c>
      <c r="AU6398">
        <v>8.300000000000001</v>
      </c>
      <c r="AV6398" t="s">
        <v>671</v>
      </c>
      <c r="AW6398" t="s">
        <v>46883</v>
      </c>
    </row>
    <row r="6399" spans="1:50">
      <c r="A6399" s="1">
        <f>HYPERLINK("https://lsnyc.legalserver.org/matter/dynamic-profile/view/1893635","19-1893635")</f>
        <v>0</v>
      </c>
      <c r="B6399" t="s">
        <v>144</v>
      </c>
      <c r="C6399" t="s">
        <v>340</v>
      </c>
      <c r="D6399" t="s">
        <v>785</v>
      </c>
      <c r="F6399" t="s">
        <v>936</v>
      </c>
      <c r="G6399" t="s">
        <v>5269</v>
      </c>
      <c r="H6399" t="s">
        <v>12034</v>
      </c>
      <c r="I6399" t="s">
        <v>17293</v>
      </c>
      <c r="J6399" t="s">
        <v>18893</v>
      </c>
      <c r="K6399">
        <v>10031</v>
      </c>
      <c r="L6399" t="s">
        <v>18958</v>
      </c>
      <c r="M6399" t="s">
        <v>18960</v>
      </c>
      <c r="N6399" t="s">
        <v>23654</v>
      </c>
      <c r="O6399" t="s">
        <v>26523</v>
      </c>
      <c r="P6399" t="s">
        <v>26560</v>
      </c>
      <c r="R6399" t="s">
        <v>26580</v>
      </c>
      <c r="S6399" t="s">
        <v>18959</v>
      </c>
      <c r="U6399" t="s">
        <v>26604</v>
      </c>
      <c r="V6399" t="s">
        <v>26610</v>
      </c>
      <c r="W6399" t="s">
        <v>785</v>
      </c>
      <c r="X6399">
        <v>819</v>
      </c>
      <c r="Y6399" t="s">
        <v>26651</v>
      </c>
      <c r="AB6399" t="s">
        <v>31658</v>
      </c>
      <c r="AE6399">
        <v>41</v>
      </c>
      <c r="AF6399" t="s">
        <v>45541</v>
      </c>
      <c r="AH6399">
        <v>52</v>
      </c>
      <c r="AI6399">
        <v>2</v>
      </c>
      <c r="AJ6399">
        <v>0</v>
      </c>
      <c r="AK6399">
        <v>132.37</v>
      </c>
      <c r="AN6399" t="s">
        <v>7439</v>
      </c>
      <c r="AO6399">
        <v>22384</v>
      </c>
      <c r="AU6399">
        <v>17</v>
      </c>
      <c r="AV6399" t="s">
        <v>839</v>
      </c>
      <c r="AW6399" t="s">
        <v>46838</v>
      </c>
      <c r="AX6399" t="s">
        <v>46897</v>
      </c>
    </row>
    <row r="6400" spans="1:50">
      <c r="A6400" s="1">
        <f>HYPERLINK("https://lsnyc.legalserver.org/matter/dynamic-profile/view/1893594","19-1893594")</f>
        <v>0</v>
      </c>
      <c r="B6400" t="s">
        <v>144</v>
      </c>
      <c r="C6400" t="s">
        <v>340</v>
      </c>
      <c r="D6400" t="s">
        <v>785</v>
      </c>
      <c r="F6400" t="s">
        <v>3665</v>
      </c>
      <c r="G6400" t="s">
        <v>6860</v>
      </c>
      <c r="H6400" t="s">
        <v>14250</v>
      </c>
      <c r="I6400">
        <v>72</v>
      </c>
      <c r="J6400" t="s">
        <v>18893</v>
      </c>
      <c r="K6400">
        <v>10027</v>
      </c>
      <c r="L6400" t="s">
        <v>18958</v>
      </c>
      <c r="M6400" t="s">
        <v>18958</v>
      </c>
      <c r="N6400" t="s">
        <v>23655</v>
      </c>
      <c r="O6400" t="s">
        <v>26524</v>
      </c>
      <c r="P6400" t="s">
        <v>26560</v>
      </c>
      <c r="R6400" t="s">
        <v>26580</v>
      </c>
      <c r="S6400" t="s">
        <v>18959</v>
      </c>
      <c r="U6400" t="s">
        <v>26604</v>
      </c>
      <c r="V6400" t="s">
        <v>26610</v>
      </c>
      <c r="W6400" t="s">
        <v>785</v>
      </c>
      <c r="X6400">
        <v>761</v>
      </c>
      <c r="Y6400" t="s">
        <v>26651</v>
      </c>
      <c r="Z6400" t="s">
        <v>26530</v>
      </c>
      <c r="AB6400" t="s">
        <v>31659</v>
      </c>
      <c r="AD6400" t="s">
        <v>41908</v>
      </c>
      <c r="AE6400">
        <v>50</v>
      </c>
      <c r="AF6400" t="s">
        <v>45541</v>
      </c>
      <c r="AH6400">
        <v>3</v>
      </c>
      <c r="AI6400">
        <v>2</v>
      </c>
      <c r="AJ6400">
        <v>0</v>
      </c>
      <c r="AK6400">
        <v>201.06</v>
      </c>
      <c r="AN6400" t="s">
        <v>7439</v>
      </c>
      <c r="AO6400">
        <v>34000</v>
      </c>
      <c r="AU6400">
        <v>12.25</v>
      </c>
      <c r="AV6400" t="s">
        <v>839</v>
      </c>
      <c r="AW6400" t="s">
        <v>46886</v>
      </c>
    </row>
    <row r="6401" spans="1:50">
      <c r="A6401" s="1">
        <f>HYPERLINK("https://lsnyc.legalserver.org/matter/dynamic-profile/view/1893684","19-1893684")</f>
        <v>0</v>
      </c>
      <c r="B6401" t="s">
        <v>183</v>
      </c>
      <c r="C6401" t="s">
        <v>340</v>
      </c>
      <c r="D6401" t="s">
        <v>785</v>
      </c>
      <c r="F6401" t="s">
        <v>1250</v>
      </c>
      <c r="G6401" t="s">
        <v>6204</v>
      </c>
      <c r="H6401" t="s">
        <v>12024</v>
      </c>
      <c r="I6401" t="s">
        <v>17288</v>
      </c>
      <c r="J6401" t="s">
        <v>18893</v>
      </c>
      <c r="K6401">
        <v>10027</v>
      </c>
      <c r="L6401" t="s">
        <v>18958</v>
      </c>
      <c r="M6401" t="s">
        <v>18958</v>
      </c>
      <c r="N6401" t="s">
        <v>23656</v>
      </c>
      <c r="O6401" t="s">
        <v>26523</v>
      </c>
      <c r="P6401" t="s">
        <v>26560</v>
      </c>
      <c r="R6401" t="s">
        <v>26580</v>
      </c>
      <c r="S6401" t="s">
        <v>18959</v>
      </c>
      <c r="U6401" t="s">
        <v>26604</v>
      </c>
      <c r="V6401" t="s">
        <v>26611</v>
      </c>
      <c r="W6401" t="s">
        <v>785</v>
      </c>
      <c r="X6401">
        <v>1064</v>
      </c>
      <c r="Y6401" t="s">
        <v>26651</v>
      </c>
      <c r="Z6401" t="s">
        <v>26668</v>
      </c>
      <c r="AB6401" t="s">
        <v>31660</v>
      </c>
      <c r="AC6401" t="s">
        <v>36164</v>
      </c>
      <c r="AD6401" t="s">
        <v>41909</v>
      </c>
      <c r="AE6401">
        <v>0</v>
      </c>
      <c r="AF6401" t="s">
        <v>45541</v>
      </c>
      <c r="AG6401" t="s">
        <v>19330</v>
      </c>
      <c r="AH6401">
        <v>7</v>
      </c>
      <c r="AI6401">
        <v>1</v>
      </c>
      <c r="AJ6401">
        <v>3</v>
      </c>
      <c r="AK6401">
        <v>163.11</v>
      </c>
      <c r="AN6401" t="s">
        <v>7439</v>
      </c>
      <c r="AO6401">
        <v>42000</v>
      </c>
      <c r="AU6401">
        <v>19.65</v>
      </c>
      <c r="AV6401" t="s">
        <v>823</v>
      </c>
      <c r="AW6401" t="s">
        <v>46875</v>
      </c>
    </row>
    <row r="6402" spans="1:50">
      <c r="A6402" s="1">
        <f>HYPERLINK("https://lsnyc.legalserver.org/matter/dynamic-profile/view/1893580","19-1893580")</f>
        <v>0</v>
      </c>
      <c r="B6402" t="s">
        <v>278</v>
      </c>
      <c r="C6402" t="s">
        <v>340</v>
      </c>
      <c r="D6402" t="s">
        <v>785</v>
      </c>
      <c r="F6402" t="s">
        <v>1033</v>
      </c>
      <c r="G6402" t="s">
        <v>5592</v>
      </c>
      <c r="H6402" t="s">
        <v>10547</v>
      </c>
      <c r="I6402" t="s">
        <v>17332</v>
      </c>
      <c r="J6402" t="s">
        <v>18902</v>
      </c>
      <c r="K6402">
        <v>10303</v>
      </c>
      <c r="L6402" t="s">
        <v>18958</v>
      </c>
      <c r="M6402" t="s">
        <v>18958</v>
      </c>
      <c r="N6402" t="s">
        <v>23657</v>
      </c>
      <c r="O6402" t="s">
        <v>26523</v>
      </c>
      <c r="P6402" t="s">
        <v>26560</v>
      </c>
      <c r="R6402" t="s">
        <v>26590</v>
      </c>
      <c r="S6402" t="s">
        <v>18959</v>
      </c>
      <c r="U6402" t="s">
        <v>26606</v>
      </c>
      <c r="V6402" t="s">
        <v>26610</v>
      </c>
      <c r="W6402" t="s">
        <v>785</v>
      </c>
      <c r="X6402">
        <v>250</v>
      </c>
      <c r="Y6402" t="s">
        <v>26654</v>
      </c>
      <c r="Z6402" t="s">
        <v>26668</v>
      </c>
      <c r="AB6402" t="s">
        <v>31661</v>
      </c>
      <c r="AD6402" t="s">
        <v>41910</v>
      </c>
      <c r="AE6402">
        <v>130</v>
      </c>
      <c r="AF6402" t="s">
        <v>45543</v>
      </c>
      <c r="AG6402" t="s">
        <v>45556</v>
      </c>
      <c r="AH6402">
        <v>11</v>
      </c>
      <c r="AI6402">
        <v>2</v>
      </c>
      <c r="AJ6402">
        <v>0</v>
      </c>
      <c r="AK6402">
        <v>28.39</v>
      </c>
      <c r="AN6402" t="s">
        <v>7439</v>
      </c>
      <c r="AO6402">
        <v>4800</v>
      </c>
      <c r="AU6402">
        <v>12.1</v>
      </c>
      <c r="AV6402" t="s">
        <v>826</v>
      </c>
      <c r="AW6402" t="s">
        <v>46883</v>
      </c>
      <c r="AX6402" t="s">
        <v>46897</v>
      </c>
    </row>
    <row r="6403" spans="1:50">
      <c r="A6403" s="1">
        <f>HYPERLINK("https://lsnyc.legalserver.org/matter/dynamic-profile/view/1893602","19-1893602")</f>
        <v>0</v>
      </c>
      <c r="B6403" t="s">
        <v>149</v>
      </c>
      <c r="C6403" t="s">
        <v>340</v>
      </c>
      <c r="D6403" t="s">
        <v>785</v>
      </c>
      <c r="F6403" t="s">
        <v>3666</v>
      </c>
      <c r="G6403" t="s">
        <v>5481</v>
      </c>
      <c r="H6403" t="s">
        <v>14251</v>
      </c>
      <c r="I6403" t="s">
        <v>17277</v>
      </c>
      <c r="J6403" t="s">
        <v>18892</v>
      </c>
      <c r="K6403">
        <v>10457</v>
      </c>
      <c r="L6403" t="s">
        <v>18958</v>
      </c>
      <c r="M6403" t="s">
        <v>18958</v>
      </c>
      <c r="N6403" t="s">
        <v>23658</v>
      </c>
      <c r="O6403" t="s">
        <v>26523</v>
      </c>
      <c r="P6403" t="s">
        <v>26560</v>
      </c>
      <c r="R6403" t="s">
        <v>26579</v>
      </c>
      <c r="S6403" t="s">
        <v>18959</v>
      </c>
      <c r="U6403" t="s">
        <v>26604</v>
      </c>
      <c r="V6403" t="s">
        <v>26610</v>
      </c>
      <c r="W6403" t="s">
        <v>785</v>
      </c>
      <c r="X6403">
        <v>1322</v>
      </c>
      <c r="Y6403" t="s">
        <v>26650</v>
      </c>
      <c r="AB6403" t="s">
        <v>31662</v>
      </c>
      <c r="AC6403" t="s">
        <v>36165</v>
      </c>
      <c r="AD6403" t="s">
        <v>41911</v>
      </c>
      <c r="AE6403">
        <v>63</v>
      </c>
      <c r="AF6403" t="s">
        <v>45541</v>
      </c>
      <c r="AG6403" t="s">
        <v>45556</v>
      </c>
      <c r="AH6403">
        <v>20</v>
      </c>
      <c r="AI6403">
        <v>2</v>
      </c>
      <c r="AJ6403">
        <v>0</v>
      </c>
      <c r="AK6403">
        <v>56.35</v>
      </c>
      <c r="AN6403" t="s">
        <v>45581</v>
      </c>
      <c r="AO6403">
        <v>9528</v>
      </c>
      <c r="AU6403">
        <v>6.05</v>
      </c>
      <c r="AV6403" t="s">
        <v>800</v>
      </c>
      <c r="AW6403" t="s">
        <v>329</v>
      </c>
    </row>
    <row r="6404" spans="1:50">
      <c r="A6404" s="1">
        <f>HYPERLINK("https://lsnyc.legalserver.org/matter/dynamic-profile/view/1893666","19-1893666")</f>
        <v>0</v>
      </c>
      <c r="B6404" t="s">
        <v>94</v>
      </c>
      <c r="C6404" t="s">
        <v>340</v>
      </c>
      <c r="D6404" t="s">
        <v>785</v>
      </c>
      <c r="F6404" t="s">
        <v>1081</v>
      </c>
      <c r="G6404" t="s">
        <v>4612</v>
      </c>
      <c r="H6404" t="s">
        <v>14252</v>
      </c>
      <c r="I6404" t="s">
        <v>17380</v>
      </c>
      <c r="J6404" t="s">
        <v>18893</v>
      </c>
      <c r="K6404">
        <v>10027</v>
      </c>
      <c r="L6404" t="s">
        <v>18958</v>
      </c>
      <c r="M6404" t="s">
        <v>18958</v>
      </c>
      <c r="N6404" t="s">
        <v>23659</v>
      </c>
      <c r="O6404" t="s">
        <v>26524</v>
      </c>
      <c r="P6404" t="s">
        <v>26560</v>
      </c>
      <c r="R6404" t="s">
        <v>26580</v>
      </c>
      <c r="S6404" t="s">
        <v>18959</v>
      </c>
      <c r="U6404" t="s">
        <v>26605</v>
      </c>
      <c r="V6404" t="s">
        <v>26610</v>
      </c>
      <c r="W6404" t="s">
        <v>785</v>
      </c>
      <c r="X6404">
        <v>221</v>
      </c>
      <c r="Y6404" t="s">
        <v>26651</v>
      </c>
      <c r="Z6404" t="s">
        <v>26664</v>
      </c>
      <c r="AB6404" t="s">
        <v>31663</v>
      </c>
      <c r="AC6404" t="s">
        <v>36166</v>
      </c>
      <c r="AD6404" t="s">
        <v>41912</v>
      </c>
      <c r="AE6404">
        <v>0</v>
      </c>
      <c r="AF6404" t="s">
        <v>45549</v>
      </c>
      <c r="AG6404" t="s">
        <v>19330</v>
      </c>
      <c r="AH6404">
        <v>4</v>
      </c>
      <c r="AI6404">
        <v>1</v>
      </c>
      <c r="AJ6404">
        <v>0</v>
      </c>
      <c r="AK6404">
        <v>70.14</v>
      </c>
      <c r="AN6404" t="s">
        <v>7439</v>
      </c>
      <c r="AO6404">
        <v>8760</v>
      </c>
      <c r="AU6404">
        <v>10.9</v>
      </c>
      <c r="AV6404" t="s">
        <v>826</v>
      </c>
      <c r="AW6404" t="s">
        <v>46875</v>
      </c>
    </row>
    <row r="6405" spans="1:50">
      <c r="A6405" s="1">
        <f>HYPERLINK("https://lsnyc.legalserver.org/matter/dynamic-profile/view/1893634","19-1893634")</f>
        <v>0</v>
      </c>
      <c r="B6405" t="s">
        <v>151</v>
      </c>
      <c r="C6405" t="s">
        <v>340</v>
      </c>
      <c r="D6405" t="s">
        <v>785</v>
      </c>
      <c r="F6405" t="s">
        <v>3667</v>
      </c>
      <c r="G6405" t="s">
        <v>8004</v>
      </c>
      <c r="H6405" t="s">
        <v>14253</v>
      </c>
      <c r="I6405" t="s">
        <v>17293</v>
      </c>
      <c r="J6405" t="s">
        <v>18893</v>
      </c>
      <c r="K6405">
        <v>10026</v>
      </c>
      <c r="L6405" t="s">
        <v>18958</v>
      </c>
      <c r="M6405" t="s">
        <v>18958</v>
      </c>
      <c r="N6405" t="s">
        <v>23660</v>
      </c>
      <c r="O6405" t="s">
        <v>26523</v>
      </c>
      <c r="P6405" t="s">
        <v>26560</v>
      </c>
      <c r="R6405" t="s">
        <v>26580</v>
      </c>
      <c r="S6405" t="s">
        <v>18959</v>
      </c>
      <c r="U6405" t="s">
        <v>26604</v>
      </c>
      <c r="V6405" t="s">
        <v>26610</v>
      </c>
      <c r="W6405" t="s">
        <v>785</v>
      </c>
      <c r="X6405">
        <v>201</v>
      </c>
      <c r="Y6405" t="s">
        <v>26651</v>
      </c>
      <c r="Z6405" t="s">
        <v>26664</v>
      </c>
      <c r="AB6405" t="s">
        <v>31664</v>
      </c>
      <c r="AE6405">
        <v>0</v>
      </c>
      <c r="AH6405">
        <v>3</v>
      </c>
      <c r="AI6405">
        <v>1</v>
      </c>
      <c r="AJ6405">
        <v>0</v>
      </c>
      <c r="AK6405">
        <v>83.48999999999999</v>
      </c>
      <c r="AN6405" t="s">
        <v>7439</v>
      </c>
      <c r="AO6405">
        <v>10428</v>
      </c>
      <c r="AU6405">
        <v>9.699999999999999</v>
      </c>
      <c r="AV6405" t="s">
        <v>814</v>
      </c>
      <c r="AW6405" t="s">
        <v>46886</v>
      </c>
    </row>
    <row r="6406" spans="1:50">
      <c r="A6406" s="1">
        <f>HYPERLINK("https://lsnyc.legalserver.org/matter/dynamic-profile/view/1893591","19-1893591")</f>
        <v>0</v>
      </c>
      <c r="B6406" t="s">
        <v>218</v>
      </c>
      <c r="C6406" t="s">
        <v>340</v>
      </c>
      <c r="D6406" t="s">
        <v>785</v>
      </c>
      <c r="F6406" t="s">
        <v>1964</v>
      </c>
      <c r="G6406" t="s">
        <v>8005</v>
      </c>
      <c r="H6406" t="s">
        <v>14254</v>
      </c>
      <c r="I6406" t="s">
        <v>18359</v>
      </c>
      <c r="J6406" t="s">
        <v>18893</v>
      </c>
      <c r="K6406">
        <v>10033</v>
      </c>
      <c r="L6406" t="s">
        <v>18958</v>
      </c>
      <c r="M6406" t="s">
        <v>18958</v>
      </c>
      <c r="O6406" t="s">
        <v>18997</v>
      </c>
      <c r="P6406" t="s">
        <v>26563</v>
      </c>
      <c r="R6406" t="s">
        <v>26578</v>
      </c>
      <c r="S6406" t="s">
        <v>18959</v>
      </c>
      <c r="U6406" t="s">
        <v>26604</v>
      </c>
      <c r="W6406" t="s">
        <v>785</v>
      </c>
      <c r="X6406">
        <v>1895</v>
      </c>
      <c r="Y6406" t="s">
        <v>26651</v>
      </c>
      <c r="Z6406" t="s">
        <v>26661</v>
      </c>
      <c r="AA6406" t="s">
        <v>26683</v>
      </c>
      <c r="AB6406" t="s">
        <v>31665</v>
      </c>
      <c r="AE6406">
        <v>91</v>
      </c>
      <c r="AF6406" t="s">
        <v>45541</v>
      </c>
      <c r="AG6406" t="s">
        <v>19330</v>
      </c>
      <c r="AH6406">
        <v>17</v>
      </c>
      <c r="AI6406">
        <v>1</v>
      </c>
      <c r="AJ6406">
        <v>0</v>
      </c>
      <c r="AK6406">
        <v>240.19</v>
      </c>
      <c r="AN6406" t="s">
        <v>7439</v>
      </c>
      <c r="AO6406">
        <v>30000</v>
      </c>
      <c r="AU6406">
        <v>2</v>
      </c>
      <c r="AV6406" t="s">
        <v>818</v>
      </c>
      <c r="AW6406" t="s">
        <v>46840</v>
      </c>
    </row>
    <row r="6407" spans="1:50">
      <c r="A6407" s="1">
        <f>HYPERLINK("https://lsnyc.legalserver.org/matter/dynamic-profile/view/1893695","19-1893695")</f>
        <v>0</v>
      </c>
      <c r="B6407" t="s">
        <v>122</v>
      </c>
      <c r="C6407" t="s">
        <v>340</v>
      </c>
      <c r="D6407" t="s">
        <v>785</v>
      </c>
      <c r="F6407" t="s">
        <v>3668</v>
      </c>
      <c r="G6407" t="s">
        <v>8006</v>
      </c>
      <c r="H6407" t="s">
        <v>9806</v>
      </c>
      <c r="I6407" t="s">
        <v>18360</v>
      </c>
      <c r="J6407" t="s">
        <v>18901</v>
      </c>
      <c r="K6407">
        <v>11434</v>
      </c>
      <c r="L6407" t="s">
        <v>18958</v>
      </c>
      <c r="M6407" t="s">
        <v>18958</v>
      </c>
      <c r="N6407" t="s">
        <v>19045</v>
      </c>
      <c r="O6407" t="s">
        <v>26539</v>
      </c>
      <c r="P6407" t="s">
        <v>26565</v>
      </c>
      <c r="R6407" t="s">
        <v>26591</v>
      </c>
      <c r="U6407" t="s">
        <v>26604</v>
      </c>
      <c r="V6407" t="s">
        <v>26610</v>
      </c>
      <c r="W6407" t="s">
        <v>785</v>
      </c>
      <c r="X6407">
        <v>1100</v>
      </c>
      <c r="Y6407" t="s">
        <v>26653</v>
      </c>
      <c r="Z6407" t="s">
        <v>26655</v>
      </c>
      <c r="AB6407" t="s">
        <v>31666</v>
      </c>
      <c r="AD6407" t="s">
        <v>41913</v>
      </c>
      <c r="AE6407">
        <v>100</v>
      </c>
      <c r="AF6407" t="s">
        <v>45550</v>
      </c>
      <c r="AG6407" t="s">
        <v>19330</v>
      </c>
      <c r="AH6407">
        <v>49</v>
      </c>
      <c r="AI6407">
        <v>1</v>
      </c>
      <c r="AJ6407">
        <v>0</v>
      </c>
      <c r="AK6407">
        <v>144.12</v>
      </c>
      <c r="AN6407" t="s">
        <v>7439</v>
      </c>
      <c r="AO6407">
        <v>18000</v>
      </c>
      <c r="AU6407">
        <v>14.5</v>
      </c>
      <c r="AV6407" t="s">
        <v>821</v>
      </c>
      <c r="AW6407" t="s">
        <v>122</v>
      </c>
    </row>
    <row r="6408" spans="1:50">
      <c r="A6408" s="1">
        <f>HYPERLINK("https://lsnyc.legalserver.org/matter/dynamic-profile/view/1893579","19-1893579")</f>
        <v>0</v>
      </c>
      <c r="B6408" t="s">
        <v>103</v>
      </c>
      <c r="C6408" t="s">
        <v>340</v>
      </c>
      <c r="D6408" t="s">
        <v>785</v>
      </c>
      <c r="F6408" t="s">
        <v>1096</v>
      </c>
      <c r="G6408" t="s">
        <v>8007</v>
      </c>
      <c r="H6408" t="s">
        <v>10733</v>
      </c>
      <c r="I6408" t="s">
        <v>17461</v>
      </c>
      <c r="J6408" t="s">
        <v>18902</v>
      </c>
      <c r="K6408">
        <v>10303</v>
      </c>
      <c r="L6408" t="s">
        <v>18958</v>
      </c>
      <c r="M6408" t="s">
        <v>18958</v>
      </c>
      <c r="N6408" t="s">
        <v>23661</v>
      </c>
      <c r="O6408" t="s">
        <v>26523</v>
      </c>
      <c r="P6408" t="s">
        <v>26560</v>
      </c>
      <c r="R6408" t="s">
        <v>26590</v>
      </c>
      <c r="S6408" t="s">
        <v>18959</v>
      </c>
      <c r="U6408" t="s">
        <v>26606</v>
      </c>
      <c r="V6408" t="s">
        <v>26610</v>
      </c>
      <c r="W6408" t="s">
        <v>785</v>
      </c>
      <c r="X6408">
        <v>1400</v>
      </c>
      <c r="Y6408" t="s">
        <v>26654</v>
      </c>
      <c r="Z6408" t="s">
        <v>26668</v>
      </c>
      <c r="AB6408" t="s">
        <v>29100</v>
      </c>
      <c r="AD6408" t="s">
        <v>41914</v>
      </c>
      <c r="AE6408">
        <v>130</v>
      </c>
      <c r="AF6408" t="s">
        <v>45543</v>
      </c>
      <c r="AG6408" t="s">
        <v>45556</v>
      </c>
      <c r="AH6408">
        <v>5</v>
      </c>
      <c r="AI6408">
        <v>1</v>
      </c>
      <c r="AJ6408">
        <v>2</v>
      </c>
      <c r="AK6408">
        <v>19.69</v>
      </c>
      <c r="AN6408" t="s">
        <v>7439</v>
      </c>
      <c r="AO6408">
        <v>4200</v>
      </c>
      <c r="AU6408">
        <v>5.4</v>
      </c>
      <c r="AV6408" t="s">
        <v>836</v>
      </c>
      <c r="AW6408" t="s">
        <v>210</v>
      </c>
    </row>
    <row r="6409" spans="1:50">
      <c r="A6409" s="1">
        <f>HYPERLINK("https://lsnyc.legalserver.org/matter/dynamic-profile/view/1893595","19-1893595")</f>
        <v>0</v>
      </c>
      <c r="B6409" t="s">
        <v>103</v>
      </c>
      <c r="C6409" t="s">
        <v>340</v>
      </c>
      <c r="D6409" t="s">
        <v>785</v>
      </c>
      <c r="F6409" t="s">
        <v>3669</v>
      </c>
      <c r="G6409" t="s">
        <v>8008</v>
      </c>
      <c r="H6409" t="s">
        <v>10733</v>
      </c>
      <c r="I6409" t="s">
        <v>17353</v>
      </c>
      <c r="J6409" t="s">
        <v>18902</v>
      </c>
      <c r="K6409">
        <v>10303</v>
      </c>
      <c r="L6409" t="s">
        <v>18958</v>
      </c>
      <c r="M6409" t="s">
        <v>18958</v>
      </c>
      <c r="N6409" t="s">
        <v>23662</v>
      </c>
      <c r="O6409" t="s">
        <v>26523</v>
      </c>
      <c r="P6409" t="s">
        <v>26560</v>
      </c>
      <c r="R6409" t="s">
        <v>26590</v>
      </c>
      <c r="S6409" t="s">
        <v>18959</v>
      </c>
      <c r="U6409" t="s">
        <v>26606</v>
      </c>
      <c r="V6409" t="s">
        <v>26610</v>
      </c>
      <c r="W6409" t="s">
        <v>785</v>
      </c>
      <c r="X6409">
        <v>1309.03</v>
      </c>
      <c r="Y6409" t="s">
        <v>26654</v>
      </c>
      <c r="Z6409" t="s">
        <v>26668</v>
      </c>
      <c r="AB6409" t="s">
        <v>28279</v>
      </c>
      <c r="AD6409" t="s">
        <v>41915</v>
      </c>
      <c r="AE6409">
        <v>130</v>
      </c>
      <c r="AF6409" t="s">
        <v>45543</v>
      </c>
      <c r="AG6409" t="s">
        <v>45556</v>
      </c>
      <c r="AH6409">
        <v>7</v>
      </c>
      <c r="AI6409">
        <v>2</v>
      </c>
      <c r="AJ6409">
        <v>3</v>
      </c>
      <c r="AK6409">
        <v>129.34</v>
      </c>
      <c r="AN6409" t="s">
        <v>7439</v>
      </c>
      <c r="AO6409">
        <v>39020.76</v>
      </c>
      <c r="AU6409">
        <v>6.8</v>
      </c>
      <c r="AV6409" t="s">
        <v>839</v>
      </c>
      <c r="AW6409" t="s">
        <v>210</v>
      </c>
    </row>
    <row r="6410" spans="1:50">
      <c r="A6410" s="1">
        <f>HYPERLINK("https://lsnyc.legalserver.org/matter/dynamic-profile/view/1893665","19-1893665")</f>
        <v>0</v>
      </c>
      <c r="B6410" t="s">
        <v>194</v>
      </c>
      <c r="C6410" t="s">
        <v>340</v>
      </c>
      <c r="D6410" t="s">
        <v>785</v>
      </c>
      <c r="F6410" t="s">
        <v>3670</v>
      </c>
      <c r="G6410" t="s">
        <v>5788</v>
      </c>
      <c r="H6410" t="s">
        <v>14255</v>
      </c>
      <c r="I6410" t="s">
        <v>17277</v>
      </c>
      <c r="J6410" t="s">
        <v>18893</v>
      </c>
      <c r="K6410">
        <v>10031</v>
      </c>
      <c r="L6410" t="s">
        <v>18958</v>
      </c>
      <c r="M6410" t="s">
        <v>18958</v>
      </c>
      <c r="N6410" t="s">
        <v>23663</v>
      </c>
      <c r="O6410" t="s">
        <v>26523</v>
      </c>
      <c r="P6410" t="s">
        <v>26560</v>
      </c>
      <c r="R6410" t="s">
        <v>26580</v>
      </c>
      <c r="S6410" t="s">
        <v>18959</v>
      </c>
      <c r="U6410" t="s">
        <v>26604</v>
      </c>
      <c r="V6410" t="s">
        <v>26610</v>
      </c>
      <c r="W6410" t="s">
        <v>785</v>
      </c>
      <c r="X6410">
        <v>693.39</v>
      </c>
      <c r="Y6410" t="s">
        <v>26651</v>
      </c>
      <c r="Z6410" t="s">
        <v>26664</v>
      </c>
      <c r="AB6410" t="s">
        <v>31384</v>
      </c>
      <c r="AD6410" t="s">
        <v>41916</v>
      </c>
      <c r="AE6410">
        <v>0</v>
      </c>
      <c r="AF6410" t="s">
        <v>45541</v>
      </c>
      <c r="AG6410" t="s">
        <v>26530</v>
      </c>
      <c r="AH6410">
        <v>27</v>
      </c>
      <c r="AI6410">
        <v>2</v>
      </c>
      <c r="AJ6410">
        <v>0</v>
      </c>
      <c r="AK6410">
        <v>107.43</v>
      </c>
      <c r="AN6410" t="s">
        <v>7439</v>
      </c>
      <c r="AO6410">
        <v>18166.2</v>
      </c>
      <c r="AU6410">
        <v>10.6</v>
      </c>
      <c r="AV6410" t="s">
        <v>839</v>
      </c>
      <c r="AW6410" t="s">
        <v>314</v>
      </c>
    </row>
    <row r="6411" spans="1:50">
      <c r="A6411" s="1">
        <f>HYPERLINK("https://lsnyc.legalserver.org/matter/dynamic-profile/view/1894001","19-1894001")</f>
        <v>0</v>
      </c>
      <c r="B6411" t="s">
        <v>54</v>
      </c>
      <c r="C6411" t="s">
        <v>340</v>
      </c>
      <c r="D6411" t="s">
        <v>785</v>
      </c>
      <c r="F6411" t="s">
        <v>3671</v>
      </c>
      <c r="G6411" t="s">
        <v>5082</v>
      </c>
      <c r="H6411" t="s">
        <v>14256</v>
      </c>
      <c r="I6411">
        <v>22</v>
      </c>
      <c r="J6411" t="s">
        <v>18892</v>
      </c>
      <c r="K6411">
        <v>10468</v>
      </c>
      <c r="L6411" t="s">
        <v>18958</v>
      </c>
      <c r="M6411" t="s">
        <v>18958</v>
      </c>
      <c r="N6411" t="s">
        <v>23664</v>
      </c>
      <c r="O6411" t="s">
        <v>26523</v>
      </c>
      <c r="P6411" t="s">
        <v>26560</v>
      </c>
      <c r="R6411" t="s">
        <v>26579</v>
      </c>
      <c r="S6411" t="s">
        <v>18959</v>
      </c>
      <c r="U6411" t="s">
        <v>26604</v>
      </c>
      <c r="V6411" t="s">
        <v>26610</v>
      </c>
      <c r="W6411" t="s">
        <v>785</v>
      </c>
      <c r="X6411">
        <v>1380.43</v>
      </c>
      <c r="Y6411" t="s">
        <v>26650</v>
      </c>
      <c r="Z6411" t="s">
        <v>26668</v>
      </c>
      <c r="AB6411" t="s">
        <v>31667</v>
      </c>
      <c r="AD6411" t="s">
        <v>41917</v>
      </c>
      <c r="AE6411">
        <v>31</v>
      </c>
      <c r="AF6411" t="s">
        <v>45541</v>
      </c>
      <c r="AG6411" t="s">
        <v>19330</v>
      </c>
      <c r="AH6411">
        <v>4</v>
      </c>
      <c r="AI6411">
        <v>2</v>
      </c>
      <c r="AJ6411">
        <v>0</v>
      </c>
      <c r="AK6411">
        <v>150.54</v>
      </c>
      <c r="AN6411" t="s">
        <v>45581</v>
      </c>
      <c r="AO6411">
        <v>25456</v>
      </c>
      <c r="AQ6411" t="s">
        <v>46362</v>
      </c>
      <c r="AR6411" t="s">
        <v>46380</v>
      </c>
      <c r="AS6411" t="s">
        <v>46499</v>
      </c>
      <c r="AT6411" t="s">
        <v>46607</v>
      </c>
      <c r="AU6411">
        <v>3.3</v>
      </c>
      <c r="AV6411" t="s">
        <v>760</v>
      </c>
      <c r="AW6411" t="s">
        <v>46832</v>
      </c>
    </row>
    <row r="6412" spans="1:50">
      <c r="A6412" s="1">
        <f>HYPERLINK("https://lsnyc.legalserver.org/matter/dynamic-profile/view/1893675","19-1893675")</f>
        <v>0</v>
      </c>
      <c r="B6412" t="s">
        <v>275</v>
      </c>
      <c r="C6412" t="s">
        <v>340</v>
      </c>
      <c r="D6412" t="s">
        <v>785</v>
      </c>
      <c r="F6412" t="s">
        <v>3672</v>
      </c>
      <c r="G6412" t="s">
        <v>8009</v>
      </c>
      <c r="H6412" t="s">
        <v>10133</v>
      </c>
      <c r="I6412" t="s">
        <v>17273</v>
      </c>
      <c r="J6412" t="s">
        <v>18892</v>
      </c>
      <c r="K6412">
        <v>10467</v>
      </c>
      <c r="L6412" t="s">
        <v>18958</v>
      </c>
      <c r="M6412" t="s">
        <v>18958</v>
      </c>
      <c r="N6412" t="s">
        <v>23665</v>
      </c>
      <c r="O6412" t="s">
        <v>26523</v>
      </c>
      <c r="P6412" t="s">
        <v>26560</v>
      </c>
      <c r="R6412" t="s">
        <v>26579</v>
      </c>
      <c r="S6412" t="s">
        <v>18959</v>
      </c>
      <c r="U6412" t="s">
        <v>26604</v>
      </c>
      <c r="W6412" t="s">
        <v>785</v>
      </c>
      <c r="X6412">
        <v>1031.37</v>
      </c>
      <c r="Y6412" t="s">
        <v>26650</v>
      </c>
      <c r="Z6412" t="s">
        <v>26664</v>
      </c>
      <c r="AB6412" t="s">
        <v>27949</v>
      </c>
      <c r="AD6412" t="s">
        <v>41918</v>
      </c>
      <c r="AE6412">
        <v>42</v>
      </c>
      <c r="AF6412" t="s">
        <v>20460</v>
      </c>
      <c r="AG6412" t="s">
        <v>45556</v>
      </c>
      <c r="AH6412">
        <v>18</v>
      </c>
      <c r="AI6412">
        <v>2</v>
      </c>
      <c r="AJ6412">
        <v>0</v>
      </c>
      <c r="AK6412">
        <v>76.88</v>
      </c>
      <c r="AN6412" t="s">
        <v>7439</v>
      </c>
      <c r="AO6412">
        <v>13000</v>
      </c>
      <c r="AU6412">
        <v>13.5</v>
      </c>
      <c r="AV6412" t="s">
        <v>811</v>
      </c>
      <c r="AW6412" t="s">
        <v>336</v>
      </c>
    </row>
    <row r="6413" spans="1:50">
      <c r="A6413" s="1">
        <f>HYPERLINK("https://lsnyc.legalserver.org/matter/dynamic-profile/view/1893689","19-1893689")</f>
        <v>0</v>
      </c>
      <c r="B6413" t="s">
        <v>275</v>
      </c>
      <c r="C6413" t="s">
        <v>340</v>
      </c>
      <c r="D6413" t="s">
        <v>785</v>
      </c>
      <c r="F6413" t="s">
        <v>1720</v>
      </c>
      <c r="G6413" t="s">
        <v>5471</v>
      </c>
      <c r="H6413" t="s">
        <v>14257</v>
      </c>
      <c r="I6413" t="s">
        <v>17299</v>
      </c>
      <c r="J6413" t="s">
        <v>18892</v>
      </c>
      <c r="K6413">
        <v>10468</v>
      </c>
      <c r="L6413" t="s">
        <v>18958</v>
      </c>
      <c r="M6413" t="s">
        <v>18958</v>
      </c>
      <c r="N6413" t="s">
        <v>23666</v>
      </c>
      <c r="O6413" t="s">
        <v>26523</v>
      </c>
      <c r="P6413" t="s">
        <v>26560</v>
      </c>
      <c r="R6413" t="s">
        <v>26579</v>
      </c>
      <c r="S6413" t="s">
        <v>18959</v>
      </c>
      <c r="U6413" t="s">
        <v>26604</v>
      </c>
      <c r="V6413" t="s">
        <v>26610</v>
      </c>
      <c r="W6413" t="s">
        <v>785</v>
      </c>
      <c r="X6413">
        <v>1100</v>
      </c>
      <c r="Y6413" t="s">
        <v>26650</v>
      </c>
      <c r="Z6413" t="s">
        <v>26664</v>
      </c>
      <c r="AB6413" t="s">
        <v>31668</v>
      </c>
      <c r="AE6413">
        <v>25</v>
      </c>
      <c r="AF6413" t="s">
        <v>45541</v>
      </c>
      <c r="AG6413" t="s">
        <v>19330</v>
      </c>
      <c r="AH6413">
        <v>7</v>
      </c>
      <c r="AI6413">
        <v>2</v>
      </c>
      <c r="AJ6413">
        <v>0</v>
      </c>
      <c r="AK6413">
        <v>189.24</v>
      </c>
      <c r="AN6413" t="s">
        <v>7439</v>
      </c>
      <c r="AO6413">
        <v>32000</v>
      </c>
      <c r="AU6413">
        <v>18</v>
      </c>
      <c r="AV6413" t="s">
        <v>833</v>
      </c>
      <c r="AW6413" t="s">
        <v>336</v>
      </c>
    </row>
    <row r="6414" spans="1:50">
      <c r="A6414" s="1">
        <f>HYPERLINK("https://lsnyc.legalserver.org/matter/dynamic-profile/view/1893654","19-1893654")</f>
        <v>0</v>
      </c>
      <c r="B6414" t="s">
        <v>277</v>
      </c>
      <c r="C6414" t="s">
        <v>341</v>
      </c>
      <c r="D6414" t="s">
        <v>775</v>
      </c>
      <c r="E6414" t="s">
        <v>775</v>
      </c>
      <c r="F6414" t="s">
        <v>3673</v>
      </c>
      <c r="G6414" t="s">
        <v>5673</v>
      </c>
      <c r="H6414" t="s">
        <v>14258</v>
      </c>
      <c r="J6414" t="s">
        <v>18933</v>
      </c>
      <c r="K6414">
        <v>11422</v>
      </c>
      <c r="L6414" t="s">
        <v>18958</v>
      </c>
      <c r="M6414" t="s">
        <v>18958</v>
      </c>
      <c r="N6414" t="s">
        <v>23667</v>
      </c>
      <c r="O6414" t="s">
        <v>26524</v>
      </c>
      <c r="P6414" t="s">
        <v>26564</v>
      </c>
      <c r="Q6414" t="s">
        <v>26570</v>
      </c>
      <c r="R6414" t="s">
        <v>26584</v>
      </c>
      <c r="S6414" t="s">
        <v>18959</v>
      </c>
      <c r="U6414" t="s">
        <v>26604</v>
      </c>
      <c r="V6414" t="s">
        <v>26610</v>
      </c>
      <c r="W6414" t="s">
        <v>785</v>
      </c>
      <c r="X6414">
        <v>1956</v>
      </c>
      <c r="Y6414" t="s">
        <v>26653</v>
      </c>
      <c r="Z6414" t="s">
        <v>26664</v>
      </c>
      <c r="AA6414" t="s">
        <v>26683</v>
      </c>
      <c r="AB6414" t="s">
        <v>31339</v>
      </c>
      <c r="AC6414" t="s">
        <v>36167</v>
      </c>
      <c r="AD6414" t="s">
        <v>41919</v>
      </c>
      <c r="AE6414">
        <v>2</v>
      </c>
      <c r="AF6414" t="s">
        <v>45547</v>
      </c>
      <c r="AG6414" t="s">
        <v>45558</v>
      </c>
      <c r="AH6414">
        <v>2</v>
      </c>
      <c r="AI6414">
        <v>1</v>
      </c>
      <c r="AJ6414">
        <v>4</v>
      </c>
      <c r="AK6414">
        <v>44.54</v>
      </c>
      <c r="AN6414" t="s">
        <v>7439</v>
      </c>
      <c r="AO6414">
        <v>13436.4</v>
      </c>
      <c r="AU6414">
        <v>2.5</v>
      </c>
      <c r="AV6414" t="s">
        <v>771</v>
      </c>
      <c r="AW6414" t="s">
        <v>277</v>
      </c>
    </row>
    <row r="6415" spans="1:50">
      <c r="A6415" s="1">
        <f>HYPERLINK("https://lsnyc.legalserver.org/matter/dynamic-profile/view/1875935","18-1875935")</f>
        <v>0</v>
      </c>
      <c r="B6415" t="s">
        <v>79</v>
      </c>
      <c r="C6415" t="s">
        <v>341</v>
      </c>
      <c r="D6415" t="s">
        <v>511</v>
      </c>
      <c r="E6415" t="s">
        <v>600</v>
      </c>
      <c r="F6415" t="s">
        <v>868</v>
      </c>
      <c r="G6415" t="s">
        <v>8010</v>
      </c>
      <c r="H6415" t="s">
        <v>14259</v>
      </c>
      <c r="I6415" t="s">
        <v>17283</v>
      </c>
      <c r="J6415" t="s">
        <v>18893</v>
      </c>
      <c r="K6415">
        <v>10034</v>
      </c>
      <c r="L6415" t="s">
        <v>18958</v>
      </c>
      <c r="M6415" t="s">
        <v>18958</v>
      </c>
      <c r="N6415" t="s">
        <v>23668</v>
      </c>
      <c r="O6415" t="s">
        <v>26523</v>
      </c>
      <c r="P6415" t="s">
        <v>26564</v>
      </c>
      <c r="Q6415" t="s">
        <v>26570</v>
      </c>
      <c r="R6415" t="s">
        <v>26595</v>
      </c>
      <c r="S6415" t="s">
        <v>18959</v>
      </c>
      <c r="U6415" t="s">
        <v>26604</v>
      </c>
      <c r="W6415" t="s">
        <v>660</v>
      </c>
      <c r="X6415">
        <v>1533</v>
      </c>
      <c r="Y6415" t="s">
        <v>26651</v>
      </c>
      <c r="Z6415" t="s">
        <v>26661</v>
      </c>
      <c r="AA6415" t="s">
        <v>26683</v>
      </c>
      <c r="AB6415" t="s">
        <v>31669</v>
      </c>
      <c r="AD6415" t="s">
        <v>41920</v>
      </c>
      <c r="AE6415">
        <v>40</v>
      </c>
      <c r="AF6415" t="s">
        <v>45541</v>
      </c>
      <c r="AG6415" t="s">
        <v>19330</v>
      </c>
      <c r="AH6415">
        <v>2</v>
      </c>
      <c r="AI6415">
        <v>1</v>
      </c>
      <c r="AJ6415">
        <v>0</v>
      </c>
      <c r="AK6415">
        <v>197.03</v>
      </c>
      <c r="AN6415" t="s">
        <v>7439</v>
      </c>
      <c r="AO6415">
        <v>23920</v>
      </c>
      <c r="AU6415">
        <v>1.48</v>
      </c>
      <c r="AV6415" t="s">
        <v>582</v>
      </c>
      <c r="AW6415" t="s">
        <v>46857</v>
      </c>
    </row>
    <row r="6416" spans="1:50">
      <c r="A6416" s="1">
        <f>HYPERLINK("https://lsnyc.legalserver.org/matter/dynamic-profile/view/1883950","18-1883950")</f>
        <v>0</v>
      </c>
      <c r="B6416" t="s">
        <v>61</v>
      </c>
      <c r="C6416" t="s">
        <v>341</v>
      </c>
      <c r="D6416" t="s">
        <v>666</v>
      </c>
      <c r="E6416" t="s">
        <v>697</v>
      </c>
      <c r="F6416" t="s">
        <v>3674</v>
      </c>
      <c r="G6416" t="s">
        <v>8011</v>
      </c>
      <c r="H6416" t="s">
        <v>14260</v>
      </c>
      <c r="I6416">
        <v>68</v>
      </c>
      <c r="J6416" t="s">
        <v>18893</v>
      </c>
      <c r="K6416">
        <v>10033</v>
      </c>
      <c r="L6416" t="s">
        <v>18958</v>
      </c>
      <c r="M6416" t="s">
        <v>18959</v>
      </c>
      <c r="O6416" t="s">
        <v>18997</v>
      </c>
      <c r="P6416" t="s">
        <v>26564</v>
      </c>
      <c r="Q6416" t="s">
        <v>26570</v>
      </c>
      <c r="R6416" t="s">
        <v>26578</v>
      </c>
      <c r="S6416" t="s">
        <v>18959</v>
      </c>
      <c r="U6416" t="s">
        <v>26604</v>
      </c>
      <c r="W6416" t="s">
        <v>660</v>
      </c>
      <c r="X6416">
        <v>1190</v>
      </c>
      <c r="Y6416" t="s">
        <v>26651</v>
      </c>
      <c r="Z6416" t="s">
        <v>26661</v>
      </c>
      <c r="AA6416" t="s">
        <v>26683</v>
      </c>
      <c r="AB6416" t="s">
        <v>31670</v>
      </c>
      <c r="AD6416" t="s">
        <v>41921</v>
      </c>
      <c r="AE6416">
        <v>67</v>
      </c>
      <c r="AF6416" t="s">
        <v>45541</v>
      </c>
      <c r="AG6416" t="s">
        <v>19330</v>
      </c>
      <c r="AH6416">
        <v>30</v>
      </c>
      <c r="AI6416">
        <v>1</v>
      </c>
      <c r="AJ6416">
        <v>0</v>
      </c>
      <c r="AK6416">
        <v>823.72</v>
      </c>
      <c r="AN6416" t="s">
        <v>7439</v>
      </c>
      <c r="AO6416">
        <v>100000</v>
      </c>
      <c r="AU6416">
        <v>1.5</v>
      </c>
      <c r="AV6416" t="s">
        <v>651</v>
      </c>
      <c r="AW6416" t="s">
        <v>46840</v>
      </c>
    </row>
    <row r="6417" spans="1:50">
      <c r="A6417" s="1">
        <f>HYPERLINK("https://lsnyc.legalserver.org/matter/dynamic-profile/view/1887909","19-1887909")</f>
        <v>0</v>
      </c>
      <c r="B6417" t="s">
        <v>82</v>
      </c>
      <c r="C6417" t="s">
        <v>341</v>
      </c>
      <c r="D6417" t="s">
        <v>573</v>
      </c>
      <c r="E6417" t="s">
        <v>660</v>
      </c>
      <c r="F6417" t="s">
        <v>1146</v>
      </c>
      <c r="G6417" t="s">
        <v>8012</v>
      </c>
      <c r="H6417" t="s">
        <v>14261</v>
      </c>
      <c r="I6417" t="s">
        <v>17360</v>
      </c>
      <c r="J6417" t="s">
        <v>18892</v>
      </c>
      <c r="K6417">
        <v>10453</v>
      </c>
      <c r="L6417" t="s">
        <v>18958</v>
      </c>
      <c r="M6417" t="s">
        <v>18958</v>
      </c>
      <c r="N6417" t="s">
        <v>23669</v>
      </c>
      <c r="O6417" t="s">
        <v>26524</v>
      </c>
      <c r="P6417" t="s">
        <v>26564</v>
      </c>
      <c r="Q6417" t="s">
        <v>26570</v>
      </c>
      <c r="R6417" t="s">
        <v>26577</v>
      </c>
      <c r="S6417" t="s">
        <v>18959</v>
      </c>
      <c r="U6417" t="s">
        <v>26604</v>
      </c>
      <c r="V6417" t="s">
        <v>26610</v>
      </c>
      <c r="W6417" t="s">
        <v>660</v>
      </c>
      <c r="X6417">
        <v>1469.8</v>
      </c>
      <c r="Y6417" t="s">
        <v>26650</v>
      </c>
      <c r="Z6417" t="s">
        <v>26659</v>
      </c>
      <c r="AA6417" t="s">
        <v>26683</v>
      </c>
      <c r="AB6417" t="s">
        <v>31671</v>
      </c>
      <c r="AC6417" t="s">
        <v>36168</v>
      </c>
      <c r="AD6417" t="s">
        <v>41922</v>
      </c>
      <c r="AE6417">
        <v>63</v>
      </c>
      <c r="AF6417" t="s">
        <v>45541</v>
      </c>
      <c r="AG6417" t="s">
        <v>19330</v>
      </c>
      <c r="AH6417">
        <v>6</v>
      </c>
      <c r="AI6417">
        <v>2</v>
      </c>
      <c r="AJ6417">
        <v>2</v>
      </c>
      <c r="AK6417">
        <v>82.87</v>
      </c>
      <c r="AN6417" t="s">
        <v>45581</v>
      </c>
      <c r="AO6417">
        <v>20800</v>
      </c>
      <c r="AP6417" t="s">
        <v>46018</v>
      </c>
      <c r="AU6417">
        <v>2</v>
      </c>
      <c r="AV6417" t="s">
        <v>753</v>
      </c>
      <c r="AW6417" t="s">
        <v>46849</v>
      </c>
    </row>
    <row r="6418" spans="1:50">
      <c r="A6418" s="1">
        <f>HYPERLINK("https://lsnyc.legalserver.org/matter/dynamic-profile/view/1890229","19-1890229")</f>
        <v>0</v>
      </c>
      <c r="B6418" t="s">
        <v>130</v>
      </c>
      <c r="C6418" t="s">
        <v>341</v>
      </c>
      <c r="D6418" t="s">
        <v>702</v>
      </c>
      <c r="E6418" t="s">
        <v>766</v>
      </c>
      <c r="F6418" t="s">
        <v>3675</v>
      </c>
      <c r="G6418" t="s">
        <v>8013</v>
      </c>
      <c r="H6418" t="s">
        <v>14262</v>
      </c>
      <c r="I6418" t="s">
        <v>17735</v>
      </c>
      <c r="J6418" t="s">
        <v>18911</v>
      </c>
      <c r="K6418">
        <v>11375</v>
      </c>
      <c r="L6418" t="s">
        <v>18958</v>
      </c>
      <c r="M6418" t="s">
        <v>18958</v>
      </c>
      <c r="N6418" t="s">
        <v>23670</v>
      </c>
      <c r="O6418" t="s">
        <v>26523</v>
      </c>
      <c r="P6418" t="s">
        <v>26564</v>
      </c>
      <c r="Q6418" t="s">
        <v>26570</v>
      </c>
      <c r="R6418" t="s">
        <v>26584</v>
      </c>
      <c r="S6418" t="s">
        <v>18959</v>
      </c>
      <c r="U6418" t="s">
        <v>26604</v>
      </c>
      <c r="V6418" t="s">
        <v>26610</v>
      </c>
      <c r="W6418" t="s">
        <v>660</v>
      </c>
      <c r="X6418">
        <v>1875</v>
      </c>
      <c r="Y6418" t="s">
        <v>26653</v>
      </c>
      <c r="Z6418" t="s">
        <v>26664</v>
      </c>
      <c r="AA6418" t="s">
        <v>26683</v>
      </c>
      <c r="AB6418" t="s">
        <v>31672</v>
      </c>
      <c r="AC6418" t="s">
        <v>36169</v>
      </c>
      <c r="AD6418" t="s">
        <v>41923</v>
      </c>
      <c r="AE6418">
        <v>110</v>
      </c>
      <c r="AF6418" t="s">
        <v>45553</v>
      </c>
      <c r="AG6418" t="s">
        <v>19330</v>
      </c>
      <c r="AH6418">
        <v>2</v>
      </c>
      <c r="AI6418">
        <v>1</v>
      </c>
      <c r="AJ6418">
        <v>3</v>
      </c>
      <c r="AK6418">
        <v>0</v>
      </c>
      <c r="AN6418" t="s">
        <v>45590</v>
      </c>
      <c r="AO6418">
        <v>0</v>
      </c>
      <c r="AU6418">
        <v>1.9</v>
      </c>
      <c r="AV6418" t="s">
        <v>660</v>
      </c>
      <c r="AW6418" t="s">
        <v>122</v>
      </c>
    </row>
    <row r="6419" spans="1:50">
      <c r="A6419" s="1">
        <f>HYPERLINK("https://lsnyc.legalserver.org/matter/dynamic-profile/view/1893718","19-1893718")</f>
        <v>0</v>
      </c>
      <c r="B6419" t="s">
        <v>121</v>
      </c>
      <c r="C6419" t="s">
        <v>340</v>
      </c>
      <c r="D6419" t="s">
        <v>758</v>
      </c>
      <c r="F6419" t="s">
        <v>3676</v>
      </c>
      <c r="G6419" t="s">
        <v>8014</v>
      </c>
      <c r="H6419" t="s">
        <v>14263</v>
      </c>
      <c r="I6419" t="s">
        <v>17355</v>
      </c>
      <c r="J6419" t="s">
        <v>18892</v>
      </c>
      <c r="K6419">
        <v>10456</v>
      </c>
      <c r="L6419" t="s">
        <v>18958</v>
      </c>
      <c r="M6419" t="s">
        <v>18958</v>
      </c>
      <c r="N6419" t="s">
        <v>23671</v>
      </c>
      <c r="O6419" t="s">
        <v>26523</v>
      </c>
      <c r="P6419" t="s">
        <v>26560</v>
      </c>
      <c r="R6419" t="s">
        <v>26577</v>
      </c>
      <c r="U6419" t="s">
        <v>26604</v>
      </c>
      <c r="V6419" t="s">
        <v>26610</v>
      </c>
      <c r="W6419" t="s">
        <v>660</v>
      </c>
      <c r="X6419">
        <v>1632</v>
      </c>
      <c r="Y6419" t="s">
        <v>26650</v>
      </c>
      <c r="Z6419" t="s">
        <v>26668</v>
      </c>
      <c r="AB6419" t="s">
        <v>31673</v>
      </c>
      <c r="AD6419" t="s">
        <v>41924</v>
      </c>
      <c r="AE6419">
        <v>0</v>
      </c>
      <c r="AF6419" t="s">
        <v>45541</v>
      </c>
      <c r="AG6419" t="s">
        <v>45561</v>
      </c>
      <c r="AH6419">
        <v>6</v>
      </c>
      <c r="AI6419">
        <v>2</v>
      </c>
      <c r="AJ6419">
        <v>1</v>
      </c>
      <c r="AK6419">
        <v>143.63</v>
      </c>
      <c r="AN6419" t="s">
        <v>7439</v>
      </c>
      <c r="AO6419">
        <v>30636</v>
      </c>
      <c r="AU6419">
        <v>11</v>
      </c>
      <c r="AV6419" t="s">
        <v>838</v>
      </c>
      <c r="AW6419" t="s">
        <v>334</v>
      </c>
    </row>
    <row r="6420" spans="1:50">
      <c r="A6420" s="1">
        <f>HYPERLINK("https://lsnyc.legalserver.org/matter/dynamic-profile/view/1892464","19-1892464")</f>
        <v>0</v>
      </c>
      <c r="B6420" t="s">
        <v>187</v>
      </c>
      <c r="C6420" t="s">
        <v>341</v>
      </c>
      <c r="D6420" t="s">
        <v>416</v>
      </c>
      <c r="E6420" t="s">
        <v>806</v>
      </c>
      <c r="F6420" t="s">
        <v>1072</v>
      </c>
      <c r="G6420" t="s">
        <v>1000</v>
      </c>
      <c r="H6420" t="s">
        <v>14264</v>
      </c>
      <c r="I6420" t="s">
        <v>17278</v>
      </c>
      <c r="J6420" t="s">
        <v>18892</v>
      </c>
      <c r="K6420">
        <v>10457</v>
      </c>
      <c r="L6420" t="s">
        <v>18958</v>
      </c>
      <c r="M6420" t="s">
        <v>18958</v>
      </c>
      <c r="N6420" t="s">
        <v>23672</v>
      </c>
      <c r="O6420" t="s">
        <v>26523</v>
      </c>
      <c r="P6420" t="s">
        <v>26560</v>
      </c>
      <c r="Q6420" t="s">
        <v>26573</v>
      </c>
      <c r="R6420" t="s">
        <v>26579</v>
      </c>
      <c r="S6420" t="s">
        <v>18959</v>
      </c>
      <c r="U6420" t="s">
        <v>26604</v>
      </c>
      <c r="V6420" t="s">
        <v>26610</v>
      </c>
      <c r="W6420" t="s">
        <v>660</v>
      </c>
      <c r="X6420">
        <v>907</v>
      </c>
      <c r="Y6420" t="s">
        <v>26650</v>
      </c>
      <c r="Z6420" t="s">
        <v>26668</v>
      </c>
      <c r="AA6420" t="s">
        <v>26680</v>
      </c>
      <c r="AB6420" t="s">
        <v>30276</v>
      </c>
      <c r="AD6420" t="s">
        <v>41925</v>
      </c>
      <c r="AE6420">
        <v>0</v>
      </c>
      <c r="AF6420" t="s">
        <v>45541</v>
      </c>
      <c r="AG6420" t="s">
        <v>45562</v>
      </c>
      <c r="AH6420">
        <v>3</v>
      </c>
      <c r="AI6420">
        <v>1</v>
      </c>
      <c r="AJ6420">
        <v>0</v>
      </c>
      <c r="AK6420">
        <v>61.2</v>
      </c>
      <c r="AN6420" t="s">
        <v>7439</v>
      </c>
      <c r="AO6420">
        <v>7644</v>
      </c>
      <c r="AR6420" t="s">
        <v>46379</v>
      </c>
      <c r="AS6420" t="s">
        <v>46499</v>
      </c>
      <c r="AT6420" t="s">
        <v>46746</v>
      </c>
      <c r="AU6420">
        <v>4.9</v>
      </c>
      <c r="AV6420" t="s">
        <v>805</v>
      </c>
      <c r="AW6420" t="s">
        <v>46832</v>
      </c>
      <c r="AX6420" t="s">
        <v>46897</v>
      </c>
    </row>
    <row r="6421" spans="1:50">
      <c r="A6421" s="1">
        <f>HYPERLINK("https://lsnyc.legalserver.org/matter/dynamic-profile/view/1892699","19-1892699")</f>
        <v>0</v>
      </c>
      <c r="B6421" t="s">
        <v>273</v>
      </c>
      <c r="C6421" t="s">
        <v>340</v>
      </c>
      <c r="D6421" t="s">
        <v>752</v>
      </c>
      <c r="F6421" t="s">
        <v>3677</v>
      </c>
      <c r="G6421" t="s">
        <v>8015</v>
      </c>
      <c r="H6421" t="s">
        <v>14265</v>
      </c>
      <c r="I6421" t="s">
        <v>18145</v>
      </c>
      <c r="J6421" t="s">
        <v>18893</v>
      </c>
      <c r="K6421">
        <v>10034</v>
      </c>
      <c r="L6421" t="s">
        <v>18958</v>
      </c>
      <c r="M6421" t="s">
        <v>18958</v>
      </c>
      <c r="O6421" t="s">
        <v>26534</v>
      </c>
      <c r="P6421" t="s">
        <v>26564</v>
      </c>
      <c r="R6421" t="s">
        <v>26578</v>
      </c>
      <c r="S6421" t="s">
        <v>18959</v>
      </c>
      <c r="U6421" t="s">
        <v>26604</v>
      </c>
      <c r="W6421" t="s">
        <v>660</v>
      </c>
      <c r="X6421">
        <v>1912</v>
      </c>
      <c r="Y6421" t="s">
        <v>26651</v>
      </c>
      <c r="Z6421" t="s">
        <v>26661</v>
      </c>
      <c r="AB6421" t="s">
        <v>31674</v>
      </c>
      <c r="AC6421" t="s">
        <v>36170</v>
      </c>
      <c r="AE6421">
        <v>60</v>
      </c>
      <c r="AF6421" t="s">
        <v>45541</v>
      </c>
      <c r="AG6421" t="s">
        <v>19330</v>
      </c>
      <c r="AH6421">
        <v>18</v>
      </c>
      <c r="AI6421">
        <v>2</v>
      </c>
      <c r="AJ6421">
        <v>1</v>
      </c>
      <c r="AK6421">
        <v>86.58</v>
      </c>
      <c r="AN6421" t="s">
        <v>7439</v>
      </c>
      <c r="AO6421">
        <v>18468</v>
      </c>
      <c r="AU6421">
        <v>1.75</v>
      </c>
      <c r="AV6421" t="s">
        <v>784</v>
      </c>
      <c r="AW6421" t="s">
        <v>46857</v>
      </c>
    </row>
    <row r="6422" spans="1:50">
      <c r="A6422" s="1">
        <f>HYPERLINK("https://lsnyc.legalserver.org/matter/dynamic-profile/view/1893790","19-1893790")</f>
        <v>0</v>
      </c>
      <c r="B6422" t="s">
        <v>204</v>
      </c>
      <c r="C6422" t="s">
        <v>341</v>
      </c>
      <c r="D6422" t="s">
        <v>660</v>
      </c>
      <c r="E6422" t="s">
        <v>763</v>
      </c>
      <c r="F6422" t="s">
        <v>3678</v>
      </c>
      <c r="G6422" t="s">
        <v>8016</v>
      </c>
      <c r="H6422" t="s">
        <v>10247</v>
      </c>
      <c r="I6422" t="s">
        <v>17388</v>
      </c>
      <c r="J6422" t="s">
        <v>18894</v>
      </c>
      <c r="K6422">
        <v>11225</v>
      </c>
      <c r="L6422" t="s">
        <v>18958</v>
      </c>
      <c r="M6422" t="s">
        <v>18960</v>
      </c>
      <c r="N6422" t="s">
        <v>23673</v>
      </c>
      <c r="O6422" t="s">
        <v>26524</v>
      </c>
      <c r="P6422" t="s">
        <v>26564</v>
      </c>
      <c r="Q6422" t="s">
        <v>26568</v>
      </c>
      <c r="R6422" t="s">
        <v>26588</v>
      </c>
      <c r="U6422" t="s">
        <v>26604</v>
      </c>
      <c r="W6422" t="s">
        <v>660</v>
      </c>
      <c r="X6422">
        <v>834.3200000000001</v>
      </c>
      <c r="Y6422" t="s">
        <v>26652</v>
      </c>
      <c r="Z6422" t="s">
        <v>26663</v>
      </c>
      <c r="AA6422" t="s">
        <v>26678</v>
      </c>
      <c r="AB6422" t="s">
        <v>28083</v>
      </c>
      <c r="AD6422" t="s">
        <v>41926</v>
      </c>
      <c r="AE6422">
        <v>20</v>
      </c>
      <c r="AF6422" t="s">
        <v>45541</v>
      </c>
      <c r="AH6422">
        <v>25</v>
      </c>
      <c r="AI6422">
        <v>1</v>
      </c>
      <c r="AJ6422">
        <v>0</v>
      </c>
      <c r="AK6422">
        <v>270.09</v>
      </c>
      <c r="AN6422" t="s">
        <v>7439</v>
      </c>
      <c r="AO6422">
        <v>33734</v>
      </c>
      <c r="AQ6422" t="s">
        <v>46365</v>
      </c>
      <c r="AR6422" t="s">
        <v>46379</v>
      </c>
      <c r="AS6422" t="s">
        <v>46499</v>
      </c>
      <c r="AT6422" t="s">
        <v>46674</v>
      </c>
      <c r="AU6422">
        <v>10</v>
      </c>
      <c r="AV6422" t="s">
        <v>671</v>
      </c>
      <c r="AW6422" t="s">
        <v>46856</v>
      </c>
    </row>
    <row r="6423" spans="1:50">
      <c r="A6423" s="1">
        <f>HYPERLINK("https://lsnyc.legalserver.org/matter/dynamic-profile/view/1893716","19-1893716")</f>
        <v>0</v>
      </c>
      <c r="B6423" t="s">
        <v>64</v>
      </c>
      <c r="C6423" t="s">
        <v>341</v>
      </c>
      <c r="D6423" t="s">
        <v>660</v>
      </c>
      <c r="E6423" t="s">
        <v>803</v>
      </c>
      <c r="F6423" t="s">
        <v>3679</v>
      </c>
      <c r="G6423" t="s">
        <v>8017</v>
      </c>
      <c r="H6423" t="s">
        <v>14266</v>
      </c>
      <c r="I6423" t="s">
        <v>17344</v>
      </c>
      <c r="J6423" t="s">
        <v>18892</v>
      </c>
      <c r="K6423">
        <v>10468</v>
      </c>
      <c r="L6423" t="s">
        <v>18958</v>
      </c>
      <c r="M6423" t="s">
        <v>18958</v>
      </c>
      <c r="N6423" t="s">
        <v>23674</v>
      </c>
      <c r="O6423" t="s">
        <v>26524</v>
      </c>
      <c r="P6423" t="s">
        <v>26560</v>
      </c>
      <c r="Q6423" t="s">
        <v>26575</v>
      </c>
      <c r="R6423" t="s">
        <v>26579</v>
      </c>
      <c r="S6423" t="s">
        <v>18959</v>
      </c>
      <c r="U6423" t="s">
        <v>26604</v>
      </c>
      <c r="V6423" t="s">
        <v>26614</v>
      </c>
      <c r="W6423" t="s">
        <v>660</v>
      </c>
      <c r="X6423">
        <v>1350</v>
      </c>
      <c r="Y6423" t="s">
        <v>26650</v>
      </c>
      <c r="Z6423" t="s">
        <v>26664</v>
      </c>
      <c r="AA6423" t="s">
        <v>26691</v>
      </c>
      <c r="AB6423" t="s">
        <v>31675</v>
      </c>
      <c r="AC6423" t="s">
        <v>36171</v>
      </c>
      <c r="AD6423" t="s">
        <v>41927</v>
      </c>
      <c r="AE6423">
        <v>0</v>
      </c>
      <c r="AF6423" t="s">
        <v>45541</v>
      </c>
      <c r="AG6423" t="s">
        <v>45556</v>
      </c>
      <c r="AH6423">
        <v>8</v>
      </c>
      <c r="AI6423">
        <v>2</v>
      </c>
      <c r="AJ6423">
        <v>0</v>
      </c>
      <c r="AK6423">
        <v>0</v>
      </c>
      <c r="AN6423" t="s">
        <v>7439</v>
      </c>
      <c r="AO6423">
        <v>0</v>
      </c>
      <c r="AQ6423" t="s">
        <v>46366</v>
      </c>
      <c r="AR6423" t="s">
        <v>46437</v>
      </c>
      <c r="AS6423" t="s">
        <v>46500</v>
      </c>
      <c r="AT6423" t="s">
        <v>46615</v>
      </c>
      <c r="AU6423">
        <v>19.75</v>
      </c>
      <c r="AV6423" t="s">
        <v>671</v>
      </c>
      <c r="AW6423" t="s">
        <v>46870</v>
      </c>
    </row>
    <row r="6424" spans="1:50">
      <c r="A6424" s="1">
        <f>HYPERLINK("https://lsnyc.legalserver.org/matter/dynamic-profile/view/1893852","19-1893852")</f>
        <v>0</v>
      </c>
      <c r="B6424" t="s">
        <v>236</v>
      </c>
      <c r="C6424" t="s">
        <v>341</v>
      </c>
      <c r="D6424" t="s">
        <v>660</v>
      </c>
      <c r="E6424" t="s">
        <v>779</v>
      </c>
      <c r="F6424" t="s">
        <v>1204</v>
      </c>
      <c r="G6424" t="s">
        <v>8018</v>
      </c>
      <c r="H6424">
        <v>2059</v>
      </c>
      <c r="I6424" t="s">
        <v>17356</v>
      </c>
      <c r="J6424" t="s">
        <v>18892</v>
      </c>
      <c r="K6424">
        <v>10453</v>
      </c>
      <c r="L6424" t="s">
        <v>18958</v>
      </c>
      <c r="M6424" t="s">
        <v>18958</v>
      </c>
      <c r="O6424" t="s">
        <v>18997</v>
      </c>
      <c r="P6424" t="s">
        <v>26564</v>
      </c>
      <c r="Q6424" t="s">
        <v>26570</v>
      </c>
      <c r="R6424" t="s">
        <v>26578</v>
      </c>
      <c r="S6424" t="s">
        <v>18959</v>
      </c>
      <c r="U6424" t="s">
        <v>26604</v>
      </c>
      <c r="W6424" t="s">
        <v>660</v>
      </c>
      <c r="X6424">
        <v>810</v>
      </c>
      <c r="Y6424" t="s">
        <v>26650</v>
      </c>
      <c r="Z6424" t="s">
        <v>26663</v>
      </c>
      <c r="AA6424" t="s">
        <v>26683</v>
      </c>
      <c r="AB6424" t="s">
        <v>31676</v>
      </c>
      <c r="AD6424" t="s">
        <v>41928</v>
      </c>
      <c r="AE6424">
        <v>0</v>
      </c>
      <c r="AF6424" t="s">
        <v>45541</v>
      </c>
      <c r="AG6424" t="s">
        <v>19330</v>
      </c>
      <c r="AH6424">
        <v>3</v>
      </c>
      <c r="AI6424">
        <v>2</v>
      </c>
      <c r="AJ6424">
        <v>0</v>
      </c>
      <c r="AK6424">
        <v>56.77</v>
      </c>
      <c r="AN6424" t="s">
        <v>7439</v>
      </c>
      <c r="AO6424">
        <v>9600</v>
      </c>
      <c r="AP6424" t="s">
        <v>46019</v>
      </c>
      <c r="AU6424">
        <v>1</v>
      </c>
      <c r="AV6424" t="s">
        <v>660</v>
      </c>
      <c r="AW6424" t="s">
        <v>236</v>
      </c>
    </row>
    <row r="6425" spans="1:50">
      <c r="A6425" s="1">
        <f>HYPERLINK("https://lsnyc.legalserver.org/matter/dynamic-profile/view/1893833","19-1893833")</f>
        <v>0</v>
      </c>
      <c r="B6425" t="s">
        <v>236</v>
      </c>
      <c r="C6425" t="s">
        <v>341</v>
      </c>
      <c r="D6425" t="s">
        <v>660</v>
      </c>
      <c r="E6425" t="s">
        <v>779</v>
      </c>
      <c r="F6425" t="s">
        <v>3680</v>
      </c>
      <c r="G6425" t="s">
        <v>8019</v>
      </c>
      <c r="H6425" t="s">
        <v>14171</v>
      </c>
      <c r="I6425">
        <v>19</v>
      </c>
      <c r="J6425" t="s">
        <v>18892</v>
      </c>
      <c r="K6425">
        <v>10454</v>
      </c>
      <c r="L6425" t="s">
        <v>18958</v>
      </c>
      <c r="M6425" t="s">
        <v>18958</v>
      </c>
      <c r="P6425" t="s">
        <v>26564</v>
      </c>
      <c r="Q6425" t="s">
        <v>26570</v>
      </c>
      <c r="R6425" t="s">
        <v>26578</v>
      </c>
      <c r="S6425" t="s">
        <v>18959</v>
      </c>
      <c r="U6425" t="s">
        <v>26604</v>
      </c>
      <c r="W6425" t="s">
        <v>660</v>
      </c>
      <c r="X6425">
        <v>1700</v>
      </c>
      <c r="Y6425" t="s">
        <v>26650</v>
      </c>
      <c r="Z6425" t="s">
        <v>26663</v>
      </c>
      <c r="AA6425" t="s">
        <v>26683</v>
      </c>
      <c r="AB6425" t="s">
        <v>31677</v>
      </c>
      <c r="AD6425" t="s">
        <v>41929</v>
      </c>
      <c r="AE6425">
        <v>0</v>
      </c>
      <c r="AF6425" t="s">
        <v>45541</v>
      </c>
      <c r="AG6425" t="s">
        <v>19330</v>
      </c>
      <c r="AH6425">
        <v>1</v>
      </c>
      <c r="AI6425">
        <v>3</v>
      </c>
      <c r="AJ6425">
        <v>0</v>
      </c>
      <c r="AK6425">
        <v>234.41</v>
      </c>
      <c r="AN6425" t="s">
        <v>45581</v>
      </c>
      <c r="AO6425">
        <v>50000</v>
      </c>
      <c r="AU6425">
        <v>0.5</v>
      </c>
      <c r="AV6425" t="s">
        <v>660</v>
      </c>
      <c r="AW6425" t="s">
        <v>236</v>
      </c>
    </row>
    <row r="6426" spans="1:50">
      <c r="A6426" s="1">
        <f>HYPERLINK("https://lsnyc.legalserver.org/matter/dynamic-profile/view/1893859","19-1893859")</f>
        <v>0</v>
      </c>
      <c r="B6426" t="s">
        <v>236</v>
      </c>
      <c r="C6426" t="s">
        <v>341</v>
      </c>
      <c r="D6426" t="s">
        <v>660</v>
      </c>
      <c r="E6426" t="s">
        <v>779</v>
      </c>
      <c r="F6426" t="s">
        <v>916</v>
      </c>
      <c r="G6426" t="s">
        <v>8020</v>
      </c>
      <c r="H6426" t="s">
        <v>14267</v>
      </c>
      <c r="I6426" t="s">
        <v>18361</v>
      </c>
      <c r="J6426" t="s">
        <v>18892</v>
      </c>
      <c r="K6426">
        <v>10452</v>
      </c>
      <c r="L6426" t="s">
        <v>18958</v>
      </c>
      <c r="M6426" t="s">
        <v>18958</v>
      </c>
      <c r="O6426" t="s">
        <v>18997</v>
      </c>
      <c r="P6426" t="s">
        <v>26564</v>
      </c>
      <c r="Q6426" t="s">
        <v>26570</v>
      </c>
      <c r="R6426" t="s">
        <v>26578</v>
      </c>
      <c r="S6426" t="s">
        <v>18959</v>
      </c>
      <c r="U6426" t="s">
        <v>26604</v>
      </c>
      <c r="W6426" t="s">
        <v>660</v>
      </c>
      <c r="X6426">
        <v>1247</v>
      </c>
      <c r="Y6426" t="s">
        <v>26650</v>
      </c>
      <c r="Z6426" t="s">
        <v>26663</v>
      </c>
      <c r="AA6426" t="s">
        <v>26683</v>
      </c>
      <c r="AB6426" t="s">
        <v>31678</v>
      </c>
      <c r="AD6426" t="s">
        <v>41930</v>
      </c>
      <c r="AE6426">
        <v>0</v>
      </c>
      <c r="AF6426" t="s">
        <v>45541</v>
      </c>
      <c r="AG6426" t="s">
        <v>19330</v>
      </c>
      <c r="AH6426">
        <v>5</v>
      </c>
      <c r="AI6426">
        <v>1</v>
      </c>
      <c r="AJ6426">
        <v>0</v>
      </c>
      <c r="AK6426">
        <v>285.19</v>
      </c>
      <c r="AN6426" t="s">
        <v>45581</v>
      </c>
      <c r="AO6426">
        <v>35620</v>
      </c>
      <c r="AU6426">
        <v>0.5</v>
      </c>
      <c r="AV6426" t="s">
        <v>660</v>
      </c>
      <c r="AW6426" t="s">
        <v>236</v>
      </c>
    </row>
    <row r="6427" spans="1:50">
      <c r="A6427" s="1">
        <f>HYPERLINK("https://lsnyc.legalserver.org/matter/dynamic-profile/view/1893763","19-1893763")</f>
        <v>0</v>
      </c>
      <c r="B6427" t="s">
        <v>198</v>
      </c>
      <c r="C6427" t="s">
        <v>341</v>
      </c>
      <c r="D6427" t="s">
        <v>660</v>
      </c>
      <c r="E6427" t="s">
        <v>779</v>
      </c>
      <c r="F6427" t="s">
        <v>2306</v>
      </c>
      <c r="G6427" t="s">
        <v>2196</v>
      </c>
      <c r="H6427" t="s">
        <v>10868</v>
      </c>
      <c r="I6427" t="s">
        <v>17406</v>
      </c>
      <c r="J6427" t="s">
        <v>18894</v>
      </c>
      <c r="K6427">
        <v>11210</v>
      </c>
      <c r="L6427" t="s">
        <v>18960</v>
      </c>
      <c r="M6427" t="s">
        <v>18960</v>
      </c>
      <c r="P6427" t="s">
        <v>26564</v>
      </c>
      <c r="Q6427" t="s">
        <v>26570</v>
      </c>
      <c r="R6427" t="s">
        <v>26578</v>
      </c>
      <c r="U6427" t="s">
        <v>26604</v>
      </c>
      <c r="W6427" t="s">
        <v>660</v>
      </c>
      <c r="X6427">
        <v>0</v>
      </c>
      <c r="Y6427" t="s">
        <v>26652</v>
      </c>
      <c r="AA6427" t="s">
        <v>26683</v>
      </c>
      <c r="AB6427" t="s">
        <v>31679</v>
      </c>
      <c r="AE6427">
        <v>0</v>
      </c>
      <c r="AH6427">
        <v>0</v>
      </c>
      <c r="AI6427">
        <v>3</v>
      </c>
      <c r="AJ6427">
        <v>0</v>
      </c>
      <c r="AK6427">
        <v>112.52</v>
      </c>
      <c r="AN6427" t="s">
        <v>7439</v>
      </c>
      <c r="AO6427">
        <v>24000</v>
      </c>
      <c r="AU6427">
        <v>3.4</v>
      </c>
      <c r="AV6427" t="s">
        <v>779</v>
      </c>
      <c r="AW6427" t="s">
        <v>198</v>
      </c>
    </row>
    <row r="6428" spans="1:50">
      <c r="A6428" s="1">
        <f>HYPERLINK("https://lsnyc.legalserver.org/matter/dynamic-profile/view/1893780","19-1893780")</f>
        <v>0</v>
      </c>
      <c r="B6428" t="s">
        <v>164</v>
      </c>
      <c r="C6428" t="s">
        <v>340</v>
      </c>
      <c r="D6428" t="s">
        <v>660</v>
      </c>
      <c r="F6428" t="s">
        <v>1136</v>
      </c>
      <c r="G6428" t="s">
        <v>8021</v>
      </c>
      <c r="H6428" t="s">
        <v>12313</v>
      </c>
      <c r="I6428" t="s">
        <v>18137</v>
      </c>
      <c r="J6428" t="s">
        <v>18913</v>
      </c>
      <c r="K6428">
        <v>11102</v>
      </c>
      <c r="L6428" t="s">
        <v>18958</v>
      </c>
      <c r="M6428" t="s">
        <v>18958</v>
      </c>
      <c r="N6428" t="s">
        <v>23675</v>
      </c>
      <c r="O6428" t="s">
        <v>26523</v>
      </c>
      <c r="P6428" t="s">
        <v>26563</v>
      </c>
      <c r="R6428" t="s">
        <v>26584</v>
      </c>
      <c r="S6428" t="s">
        <v>18959</v>
      </c>
      <c r="U6428" t="s">
        <v>26605</v>
      </c>
      <c r="W6428" t="s">
        <v>660</v>
      </c>
      <c r="X6428">
        <v>413</v>
      </c>
      <c r="Y6428" t="s">
        <v>26653</v>
      </c>
      <c r="Z6428" t="s">
        <v>26664</v>
      </c>
      <c r="AB6428" t="s">
        <v>27190</v>
      </c>
      <c r="AD6428" t="s">
        <v>41931</v>
      </c>
      <c r="AE6428">
        <v>0</v>
      </c>
      <c r="AG6428" t="s">
        <v>19330</v>
      </c>
      <c r="AH6428">
        <v>3</v>
      </c>
      <c r="AI6428">
        <v>2</v>
      </c>
      <c r="AJ6428">
        <v>2</v>
      </c>
      <c r="AK6428">
        <v>136.5</v>
      </c>
      <c r="AN6428" t="s">
        <v>7439</v>
      </c>
      <c r="AO6428">
        <v>35148</v>
      </c>
      <c r="AU6428">
        <v>1.3</v>
      </c>
      <c r="AV6428" t="s">
        <v>660</v>
      </c>
      <c r="AW6428" t="s">
        <v>208</v>
      </c>
    </row>
    <row r="6429" spans="1:50">
      <c r="A6429" s="1">
        <f>HYPERLINK("https://lsnyc.legalserver.org/matter/dynamic-profile/view/1893755","19-1893755")</f>
        <v>0</v>
      </c>
      <c r="B6429" t="s">
        <v>164</v>
      </c>
      <c r="C6429" t="s">
        <v>340</v>
      </c>
      <c r="D6429" t="s">
        <v>660</v>
      </c>
      <c r="F6429" t="s">
        <v>3681</v>
      </c>
      <c r="G6429" t="s">
        <v>8022</v>
      </c>
      <c r="H6429" t="s">
        <v>14268</v>
      </c>
      <c r="I6429" t="s">
        <v>17322</v>
      </c>
      <c r="J6429" t="s">
        <v>18900</v>
      </c>
      <c r="K6429">
        <v>11355</v>
      </c>
      <c r="L6429" t="s">
        <v>18958</v>
      </c>
      <c r="M6429" t="s">
        <v>18958</v>
      </c>
      <c r="N6429" t="s">
        <v>23676</v>
      </c>
      <c r="O6429" t="s">
        <v>26524</v>
      </c>
      <c r="P6429" t="s">
        <v>26563</v>
      </c>
      <c r="R6429" t="s">
        <v>26584</v>
      </c>
      <c r="S6429" t="s">
        <v>18959</v>
      </c>
      <c r="U6429" t="s">
        <v>26604</v>
      </c>
      <c r="W6429" t="s">
        <v>660</v>
      </c>
      <c r="X6429">
        <v>1400</v>
      </c>
      <c r="Y6429" t="s">
        <v>26653</v>
      </c>
      <c r="Z6429" t="s">
        <v>26664</v>
      </c>
      <c r="AB6429" t="s">
        <v>31680</v>
      </c>
      <c r="AD6429" t="s">
        <v>41932</v>
      </c>
      <c r="AE6429">
        <v>7</v>
      </c>
      <c r="AF6429" t="s">
        <v>45548</v>
      </c>
      <c r="AG6429" t="s">
        <v>19330</v>
      </c>
      <c r="AH6429">
        <v>1</v>
      </c>
      <c r="AI6429">
        <v>1</v>
      </c>
      <c r="AJ6429">
        <v>0</v>
      </c>
      <c r="AK6429">
        <v>192.15</v>
      </c>
      <c r="AN6429" t="s">
        <v>2248</v>
      </c>
      <c r="AO6429">
        <v>24000</v>
      </c>
      <c r="AU6429">
        <v>5.3</v>
      </c>
      <c r="AV6429" t="s">
        <v>805</v>
      </c>
      <c r="AW6429" t="s">
        <v>208</v>
      </c>
    </row>
    <row r="6430" spans="1:50">
      <c r="A6430" s="1">
        <f>HYPERLINK("https://lsnyc.legalserver.org/matter/dynamic-profile/view/1893769","19-1893769")</f>
        <v>0</v>
      </c>
      <c r="B6430" t="s">
        <v>97</v>
      </c>
      <c r="C6430" t="s">
        <v>340</v>
      </c>
      <c r="D6430" t="s">
        <v>660</v>
      </c>
      <c r="F6430" t="s">
        <v>1233</v>
      </c>
      <c r="G6430" t="s">
        <v>5109</v>
      </c>
      <c r="H6430" t="s">
        <v>10778</v>
      </c>
      <c r="I6430" t="s">
        <v>17327</v>
      </c>
      <c r="J6430" t="s">
        <v>18892</v>
      </c>
      <c r="K6430">
        <v>10452</v>
      </c>
      <c r="L6430" t="s">
        <v>18958</v>
      </c>
      <c r="M6430" t="s">
        <v>18958</v>
      </c>
      <c r="N6430" t="s">
        <v>23677</v>
      </c>
      <c r="O6430" t="s">
        <v>26523</v>
      </c>
      <c r="P6430" t="s">
        <v>26560</v>
      </c>
      <c r="R6430" t="s">
        <v>26577</v>
      </c>
      <c r="S6430" t="s">
        <v>18959</v>
      </c>
      <c r="U6430" t="s">
        <v>26604</v>
      </c>
      <c r="V6430" t="s">
        <v>26612</v>
      </c>
      <c r="W6430" t="s">
        <v>660</v>
      </c>
      <c r="X6430">
        <v>1400</v>
      </c>
      <c r="Y6430" t="s">
        <v>26650</v>
      </c>
      <c r="Z6430" t="s">
        <v>26663</v>
      </c>
      <c r="AB6430" t="s">
        <v>31681</v>
      </c>
      <c r="AD6430" t="s">
        <v>41933</v>
      </c>
      <c r="AE6430">
        <v>0</v>
      </c>
      <c r="AF6430" t="s">
        <v>45541</v>
      </c>
      <c r="AG6430" t="s">
        <v>19330</v>
      </c>
      <c r="AH6430">
        <v>10</v>
      </c>
      <c r="AI6430">
        <v>1</v>
      </c>
      <c r="AJ6430">
        <v>2</v>
      </c>
      <c r="AK6430">
        <v>42.36</v>
      </c>
      <c r="AN6430" t="s">
        <v>45581</v>
      </c>
      <c r="AO6430">
        <v>9036</v>
      </c>
      <c r="AU6430">
        <v>25.4</v>
      </c>
      <c r="AV6430" t="s">
        <v>833</v>
      </c>
      <c r="AW6430" t="s">
        <v>236</v>
      </c>
    </row>
    <row r="6431" spans="1:50">
      <c r="A6431" s="1">
        <f>HYPERLINK("https://lsnyc.legalserver.org/matter/dynamic-profile/view/1893709","19-1893709")</f>
        <v>0</v>
      </c>
      <c r="B6431" t="s">
        <v>97</v>
      </c>
      <c r="C6431" t="s">
        <v>340</v>
      </c>
      <c r="D6431" t="s">
        <v>660</v>
      </c>
      <c r="F6431" t="s">
        <v>1578</v>
      </c>
      <c r="G6431" t="s">
        <v>5639</v>
      </c>
      <c r="H6431" t="s">
        <v>9686</v>
      </c>
      <c r="I6431" t="s">
        <v>17579</v>
      </c>
      <c r="J6431" t="s">
        <v>18892</v>
      </c>
      <c r="K6431">
        <v>10468</v>
      </c>
      <c r="L6431" t="s">
        <v>18958</v>
      </c>
      <c r="M6431" t="s">
        <v>18958</v>
      </c>
      <c r="N6431" t="s">
        <v>23678</v>
      </c>
      <c r="O6431" t="s">
        <v>26523</v>
      </c>
      <c r="P6431" t="s">
        <v>26560</v>
      </c>
      <c r="R6431" t="s">
        <v>26579</v>
      </c>
      <c r="S6431" t="s">
        <v>18959</v>
      </c>
      <c r="U6431" t="s">
        <v>26604</v>
      </c>
      <c r="W6431" t="s">
        <v>660</v>
      </c>
      <c r="X6431">
        <v>1300</v>
      </c>
      <c r="Y6431" t="s">
        <v>26650</v>
      </c>
      <c r="AB6431" t="s">
        <v>31682</v>
      </c>
      <c r="AD6431" t="s">
        <v>41934</v>
      </c>
      <c r="AE6431">
        <v>0</v>
      </c>
      <c r="AF6431" t="s">
        <v>45543</v>
      </c>
      <c r="AG6431" t="s">
        <v>45556</v>
      </c>
      <c r="AH6431">
        <v>1</v>
      </c>
      <c r="AI6431">
        <v>1</v>
      </c>
      <c r="AJ6431">
        <v>0</v>
      </c>
      <c r="AK6431">
        <v>124.9</v>
      </c>
      <c r="AN6431" t="s">
        <v>7439</v>
      </c>
      <c r="AO6431">
        <v>15600</v>
      </c>
      <c r="AU6431">
        <v>7.1</v>
      </c>
      <c r="AV6431" t="s">
        <v>789</v>
      </c>
      <c r="AW6431" t="s">
        <v>46871</v>
      </c>
    </row>
    <row r="6432" spans="1:50">
      <c r="A6432" s="1">
        <f>HYPERLINK("https://lsnyc.legalserver.org/matter/dynamic-profile/view/1893754","19-1893754")</f>
        <v>0</v>
      </c>
      <c r="B6432" t="s">
        <v>60</v>
      </c>
      <c r="C6432" t="s">
        <v>340</v>
      </c>
      <c r="D6432" t="s">
        <v>660</v>
      </c>
      <c r="F6432" t="s">
        <v>1401</v>
      </c>
      <c r="G6432" t="s">
        <v>5199</v>
      </c>
      <c r="H6432" t="s">
        <v>14269</v>
      </c>
      <c r="I6432" t="s">
        <v>17496</v>
      </c>
      <c r="J6432" t="s">
        <v>18892</v>
      </c>
      <c r="K6432">
        <v>10452</v>
      </c>
      <c r="L6432" t="s">
        <v>18958</v>
      </c>
      <c r="M6432" t="s">
        <v>18958</v>
      </c>
      <c r="N6432" t="s">
        <v>23679</v>
      </c>
      <c r="O6432" t="s">
        <v>26523</v>
      </c>
      <c r="P6432" t="s">
        <v>26564</v>
      </c>
      <c r="R6432" t="s">
        <v>26578</v>
      </c>
      <c r="S6432" t="s">
        <v>18959</v>
      </c>
      <c r="U6432" t="s">
        <v>26604</v>
      </c>
      <c r="V6432" t="s">
        <v>26610</v>
      </c>
      <c r="W6432" t="s">
        <v>660</v>
      </c>
      <c r="X6432">
        <v>1070</v>
      </c>
      <c r="Y6432" t="s">
        <v>26650</v>
      </c>
      <c r="Z6432" t="s">
        <v>26661</v>
      </c>
      <c r="AB6432" t="s">
        <v>31683</v>
      </c>
      <c r="AE6432">
        <v>0</v>
      </c>
      <c r="AF6432" t="s">
        <v>45541</v>
      </c>
      <c r="AH6432">
        <v>8</v>
      </c>
      <c r="AI6432">
        <v>1</v>
      </c>
      <c r="AJ6432">
        <v>4</v>
      </c>
      <c r="AK6432">
        <v>86.18000000000001</v>
      </c>
      <c r="AN6432" t="s">
        <v>45581</v>
      </c>
      <c r="AO6432">
        <v>26000</v>
      </c>
      <c r="AU6432">
        <v>0.1</v>
      </c>
      <c r="AV6432" t="s">
        <v>779</v>
      </c>
      <c r="AW6432" t="s">
        <v>60</v>
      </c>
    </row>
    <row r="6433" spans="1:50">
      <c r="A6433" s="1">
        <f>HYPERLINK("https://lsnyc.legalserver.org/matter/dynamic-profile/view/1893855","19-1893855")</f>
        <v>0</v>
      </c>
      <c r="B6433" t="s">
        <v>81</v>
      </c>
      <c r="C6433" t="s">
        <v>340</v>
      </c>
      <c r="D6433" t="s">
        <v>660</v>
      </c>
      <c r="F6433" t="s">
        <v>3682</v>
      </c>
      <c r="G6433" t="s">
        <v>5147</v>
      </c>
      <c r="H6433" t="s">
        <v>14270</v>
      </c>
      <c r="I6433">
        <v>4</v>
      </c>
      <c r="J6433" t="s">
        <v>18892</v>
      </c>
      <c r="K6433">
        <v>10467</v>
      </c>
      <c r="L6433" t="s">
        <v>18958</v>
      </c>
      <c r="M6433" t="s">
        <v>18958</v>
      </c>
      <c r="N6433" t="s">
        <v>23680</v>
      </c>
      <c r="O6433" t="s">
        <v>26524</v>
      </c>
      <c r="P6433" t="s">
        <v>26560</v>
      </c>
      <c r="R6433" t="s">
        <v>26579</v>
      </c>
      <c r="S6433" t="s">
        <v>18959</v>
      </c>
      <c r="U6433" t="s">
        <v>26604</v>
      </c>
      <c r="V6433" t="s">
        <v>26611</v>
      </c>
      <c r="W6433" t="s">
        <v>660</v>
      </c>
      <c r="X6433">
        <v>1825</v>
      </c>
      <c r="Y6433" t="s">
        <v>26650</v>
      </c>
      <c r="Z6433" t="s">
        <v>26664</v>
      </c>
      <c r="AB6433" t="s">
        <v>31684</v>
      </c>
      <c r="AE6433">
        <v>4</v>
      </c>
      <c r="AF6433" t="s">
        <v>45547</v>
      </c>
      <c r="AG6433" t="s">
        <v>45557</v>
      </c>
      <c r="AH6433">
        <v>6</v>
      </c>
      <c r="AI6433">
        <v>3</v>
      </c>
      <c r="AJ6433">
        <v>3</v>
      </c>
      <c r="AK6433">
        <v>12.84</v>
      </c>
      <c r="AN6433" t="s">
        <v>7439</v>
      </c>
      <c r="AO6433">
        <v>4440</v>
      </c>
      <c r="AP6433" t="s">
        <v>46020</v>
      </c>
      <c r="AU6433">
        <v>7.85</v>
      </c>
      <c r="AV6433" t="s">
        <v>834</v>
      </c>
      <c r="AW6433" t="s">
        <v>329</v>
      </c>
      <c r="AX6433" t="s">
        <v>46897</v>
      </c>
    </row>
    <row r="6434" spans="1:50">
      <c r="A6434" s="1">
        <f>HYPERLINK("https://lsnyc.legalserver.org/matter/dynamic-profile/view/1891847","19-1891847")</f>
        <v>0</v>
      </c>
      <c r="B6434" t="s">
        <v>153</v>
      </c>
      <c r="C6434" t="s">
        <v>340</v>
      </c>
      <c r="D6434" t="s">
        <v>660</v>
      </c>
      <c r="F6434" t="s">
        <v>3683</v>
      </c>
      <c r="G6434" t="s">
        <v>8023</v>
      </c>
      <c r="H6434" t="s">
        <v>14271</v>
      </c>
      <c r="J6434" t="s">
        <v>18902</v>
      </c>
      <c r="K6434">
        <v>10301</v>
      </c>
      <c r="L6434" t="s">
        <v>18958</v>
      </c>
      <c r="M6434" t="s">
        <v>18958</v>
      </c>
      <c r="N6434" t="s">
        <v>23681</v>
      </c>
      <c r="O6434" t="s">
        <v>26523</v>
      </c>
      <c r="P6434" t="s">
        <v>26560</v>
      </c>
      <c r="R6434" t="s">
        <v>26578</v>
      </c>
      <c r="S6434" t="s">
        <v>18959</v>
      </c>
      <c r="U6434" t="s">
        <v>26604</v>
      </c>
      <c r="V6434" t="s">
        <v>26610</v>
      </c>
      <c r="W6434" t="s">
        <v>660</v>
      </c>
      <c r="X6434">
        <v>911</v>
      </c>
      <c r="Y6434" t="s">
        <v>26654</v>
      </c>
      <c r="Z6434" t="s">
        <v>26530</v>
      </c>
      <c r="AB6434" t="s">
        <v>31685</v>
      </c>
      <c r="AD6434" t="s">
        <v>41935</v>
      </c>
      <c r="AE6434">
        <v>0</v>
      </c>
      <c r="AH6434">
        <v>3</v>
      </c>
      <c r="AI6434">
        <v>2</v>
      </c>
      <c r="AJ6434">
        <v>0</v>
      </c>
      <c r="AK6434">
        <v>36.33</v>
      </c>
      <c r="AN6434" t="s">
        <v>7439</v>
      </c>
      <c r="AO6434">
        <v>6144</v>
      </c>
      <c r="AU6434">
        <v>7.9</v>
      </c>
      <c r="AV6434" t="s">
        <v>836</v>
      </c>
      <c r="AW6434" t="s">
        <v>46855</v>
      </c>
    </row>
    <row r="6435" spans="1:50">
      <c r="A6435" s="1">
        <f>HYPERLINK("https://lsnyc.legalserver.org/matter/dynamic-profile/view/1893732","19-1893732")</f>
        <v>0</v>
      </c>
      <c r="B6435" t="s">
        <v>253</v>
      </c>
      <c r="C6435" t="s">
        <v>340</v>
      </c>
      <c r="D6435" t="s">
        <v>660</v>
      </c>
      <c r="F6435" t="s">
        <v>3684</v>
      </c>
      <c r="G6435" t="s">
        <v>8024</v>
      </c>
      <c r="H6435" t="s">
        <v>14272</v>
      </c>
      <c r="I6435">
        <v>12</v>
      </c>
      <c r="J6435" t="s">
        <v>18892</v>
      </c>
      <c r="K6435">
        <v>10457</v>
      </c>
      <c r="L6435" t="s">
        <v>18958</v>
      </c>
      <c r="M6435" t="s">
        <v>18958</v>
      </c>
      <c r="N6435" t="s">
        <v>23682</v>
      </c>
      <c r="O6435" t="s">
        <v>26523</v>
      </c>
      <c r="P6435" t="s">
        <v>26560</v>
      </c>
      <c r="R6435" t="s">
        <v>26579</v>
      </c>
      <c r="S6435" t="s">
        <v>18959</v>
      </c>
      <c r="U6435" t="s">
        <v>26604</v>
      </c>
      <c r="V6435" t="s">
        <v>26610</v>
      </c>
      <c r="W6435" t="s">
        <v>660</v>
      </c>
      <c r="X6435">
        <v>1144.44</v>
      </c>
      <c r="Y6435" t="s">
        <v>26650</v>
      </c>
      <c r="Z6435" t="s">
        <v>26668</v>
      </c>
      <c r="AB6435" t="s">
        <v>31686</v>
      </c>
      <c r="AC6435">
        <v>7263598</v>
      </c>
      <c r="AD6435" t="s">
        <v>41936</v>
      </c>
      <c r="AE6435">
        <v>20</v>
      </c>
      <c r="AF6435" t="s">
        <v>45541</v>
      </c>
      <c r="AG6435" t="s">
        <v>45557</v>
      </c>
      <c r="AH6435">
        <v>12</v>
      </c>
      <c r="AI6435">
        <v>1</v>
      </c>
      <c r="AJ6435">
        <v>2</v>
      </c>
      <c r="AK6435">
        <v>138.87</v>
      </c>
      <c r="AN6435" t="s">
        <v>7439</v>
      </c>
      <c r="AO6435">
        <v>29620</v>
      </c>
      <c r="AQ6435" t="s">
        <v>46362</v>
      </c>
      <c r="AR6435" t="s">
        <v>46494</v>
      </c>
      <c r="AS6435" t="s">
        <v>46499</v>
      </c>
      <c r="AT6435" t="s">
        <v>46592</v>
      </c>
      <c r="AU6435">
        <v>12.45</v>
      </c>
      <c r="AV6435" t="s">
        <v>773</v>
      </c>
      <c r="AW6435" t="s">
        <v>329</v>
      </c>
    </row>
    <row r="6436" spans="1:50">
      <c r="A6436" s="1">
        <f>HYPERLINK("https://lsnyc.legalserver.org/matter/dynamic-profile/view/1893820","19-1893820")</f>
        <v>0</v>
      </c>
      <c r="B6436" t="s">
        <v>50</v>
      </c>
      <c r="C6436" t="s">
        <v>340</v>
      </c>
      <c r="D6436" t="s">
        <v>660</v>
      </c>
      <c r="F6436" t="s">
        <v>1548</v>
      </c>
      <c r="G6436" t="s">
        <v>2564</v>
      </c>
      <c r="H6436" t="s">
        <v>13152</v>
      </c>
      <c r="I6436" t="s">
        <v>17325</v>
      </c>
      <c r="J6436" t="s">
        <v>18892</v>
      </c>
      <c r="K6436">
        <v>10456</v>
      </c>
      <c r="L6436" t="s">
        <v>18958</v>
      </c>
      <c r="M6436" t="s">
        <v>18958</v>
      </c>
      <c r="O6436" t="s">
        <v>26539</v>
      </c>
      <c r="P6436" t="s">
        <v>26562</v>
      </c>
      <c r="R6436" t="s">
        <v>26578</v>
      </c>
      <c r="U6436" t="s">
        <v>26607</v>
      </c>
      <c r="W6436" t="s">
        <v>660</v>
      </c>
      <c r="X6436">
        <v>1004.69</v>
      </c>
      <c r="Y6436" t="s">
        <v>26650</v>
      </c>
      <c r="Z6436" t="s">
        <v>26664</v>
      </c>
      <c r="AB6436" t="s">
        <v>30502</v>
      </c>
      <c r="AC6436" t="s">
        <v>35819</v>
      </c>
      <c r="AD6436" t="s">
        <v>40682</v>
      </c>
      <c r="AE6436">
        <v>48</v>
      </c>
      <c r="AF6436" t="s">
        <v>45541</v>
      </c>
      <c r="AG6436" t="s">
        <v>45560</v>
      </c>
      <c r="AH6436">
        <v>29</v>
      </c>
      <c r="AI6436">
        <v>2</v>
      </c>
      <c r="AJ6436">
        <v>0</v>
      </c>
      <c r="AK6436">
        <v>156.18</v>
      </c>
      <c r="AN6436" t="s">
        <v>7439</v>
      </c>
      <c r="AO6436">
        <v>26410</v>
      </c>
      <c r="AU6436">
        <v>2</v>
      </c>
      <c r="AV6436" t="s">
        <v>720</v>
      </c>
      <c r="AW6436" t="s">
        <v>46870</v>
      </c>
    </row>
    <row r="6437" spans="1:50">
      <c r="A6437" s="1">
        <f>HYPERLINK("https://lsnyc.legalserver.org/matter/dynamic-profile/view/1893745","19-1893745")</f>
        <v>0</v>
      </c>
      <c r="B6437" t="s">
        <v>65</v>
      </c>
      <c r="C6437" t="s">
        <v>340</v>
      </c>
      <c r="D6437" t="s">
        <v>660</v>
      </c>
      <c r="F6437" t="s">
        <v>1074</v>
      </c>
      <c r="G6437" t="s">
        <v>6311</v>
      </c>
      <c r="H6437" t="s">
        <v>14273</v>
      </c>
      <c r="I6437" t="s">
        <v>17282</v>
      </c>
      <c r="J6437" t="s">
        <v>18892</v>
      </c>
      <c r="K6437">
        <v>10467</v>
      </c>
      <c r="L6437" t="s">
        <v>18958</v>
      </c>
      <c r="M6437" t="s">
        <v>18958</v>
      </c>
      <c r="N6437" t="s">
        <v>23683</v>
      </c>
      <c r="O6437" t="s">
        <v>26523</v>
      </c>
      <c r="P6437" t="s">
        <v>26560</v>
      </c>
      <c r="R6437" t="s">
        <v>26579</v>
      </c>
      <c r="S6437" t="s">
        <v>18959</v>
      </c>
      <c r="U6437" t="s">
        <v>26604</v>
      </c>
      <c r="V6437" t="s">
        <v>26609</v>
      </c>
      <c r="W6437" t="s">
        <v>660</v>
      </c>
      <c r="X6437">
        <v>980.8200000000001</v>
      </c>
      <c r="Y6437" t="s">
        <v>26650</v>
      </c>
      <c r="Z6437" t="s">
        <v>26664</v>
      </c>
      <c r="AB6437" t="s">
        <v>31687</v>
      </c>
      <c r="AC6437" t="s">
        <v>36172</v>
      </c>
      <c r="AD6437" t="s">
        <v>41937</v>
      </c>
      <c r="AE6437">
        <v>0</v>
      </c>
      <c r="AF6437" t="s">
        <v>45541</v>
      </c>
      <c r="AG6437" t="s">
        <v>19330</v>
      </c>
      <c r="AH6437">
        <v>12</v>
      </c>
      <c r="AI6437">
        <v>2</v>
      </c>
      <c r="AJ6437">
        <v>1</v>
      </c>
      <c r="AK6437">
        <v>56.75</v>
      </c>
      <c r="AN6437" t="s">
        <v>7439</v>
      </c>
      <c r="AO6437">
        <v>12104</v>
      </c>
      <c r="AU6437">
        <v>5.6</v>
      </c>
      <c r="AV6437" t="s">
        <v>831</v>
      </c>
      <c r="AW6437" t="s">
        <v>46871</v>
      </c>
    </row>
    <row r="6438" spans="1:50">
      <c r="A6438" s="1">
        <f>HYPERLINK("https://lsnyc.legalserver.org/matter/dynamic-profile/view/1893753","19-1893753")</f>
        <v>0</v>
      </c>
      <c r="B6438" t="s">
        <v>121</v>
      </c>
      <c r="C6438" t="s">
        <v>340</v>
      </c>
      <c r="D6438" t="s">
        <v>660</v>
      </c>
      <c r="F6438" t="s">
        <v>3685</v>
      </c>
      <c r="G6438" t="s">
        <v>8025</v>
      </c>
      <c r="H6438" t="s">
        <v>14274</v>
      </c>
      <c r="I6438" t="s">
        <v>17354</v>
      </c>
      <c r="J6438" t="s">
        <v>18892</v>
      </c>
      <c r="K6438">
        <v>10467</v>
      </c>
      <c r="L6438" t="s">
        <v>18958</v>
      </c>
      <c r="M6438" t="s">
        <v>18958</v>
      </c>
      <c r="N6438" t="s">
        <v>23684</v>
      </c>
      <c r="O6438" t="s">
        <v>26524</v>
      </c>
      <c r="P6438" t="s">
        <v>26560</v>
      </c>
      <c r="R6438" t="s">
        <v>26579</v>
      </c>
      <c r="U6438" t="s">
        <v>26604</v>
      </c>
      <c r="V6438" t="s">
        <v>26610</v>
      </c>
      <c r="W6438" t="s">
        <v>660</v>
      </c>
      <c r="X6438">
        <v>1200</v>
      </c>
      <c r="Y6438" t="s">
        <v>26650</v>
      </c>
      <c r="Z6438" t="s">
        <v>26659</v>
      </c>
      <c r="AB6438" t="s">
        <v>31688</v>
      </c>
      <c r="AC6438" t="s">
        <v>36173</v>
      </c>
      <c r="AD6438" t="s">
        <v>41938</v>
      </c>
      <c r="AE6438">
        <v>3</v>
      </c>
      <c r="AF6438" t="s">
        <v>45547</v>
      </c>
      <c r="AG6438" t="s">
        <v>19330</v>
      </c>
      <c r="AH6438">
        <v>12</v>
      </c>
      <c r="AI6438">
        <v>2</v>
      </c>
      <c r="AJ6438">
        <v>4</v>
      </c>
      <c r="AK6438">
        <v>52.62</v>
      </c>
      <c r="AN6438" t="s">
        <v>45614</v>
      </c>
      <c r="AO6438">
        <v>18200</v>
      </c>
      <c r="AU6438">
        <v>6.6</v>
      </c>
      <c r="AV6438" t="s">
        <v>789</v>
      </c>
      <c r="AW6438" t="s">
        <v>334</v>
      </c>
      <c r="AX6438" t="s">
        <v>46898</v>
      </c>
    </row>
    <row r="6439" spans="1:50">
      <c r="A6439" s="1">
        <f>HYPERLINK("https://lsnyc.legalserver.org/matter/dynamic-profile/view/1893845","19-1893845")</f>
        <v>0</v>
      </c>
      <c r="B6439" t="s">
        <v>198</v>
      </c>
      <c r="C6439" t="s">
        <v>340</v>
      </c>
      <c r="D6439" t="s">
        <v>660</v>
      </c>
      <c r="F6439" t="s">
        <v>1397</v>
      </c>
      <c r="G6439" t="s">
        <v>7651</v>
      </c>
      <c r="H6439" t="s">
        <v>13664</v>
      </c>
      <c r="I6439" t="s">
        <v>18039</v>
      </c>
      <c r="J6439" t="s">
        <v>18894</v>
      </c>
      <c r="K6439">
        <v>11238</v>
      </c>
      <c r="L6439" t="s">
        <v>18958</v>
      </c>
      <c r="M6439" t="s">
        <v>18958</v>
      </c>
      <c r="O6439" t="s">
        <v>18997</v>
      </c>
      <c r="P6439" t="s">
        <v>26565</v>
      </c>
      <c r="R6439" t="s">
        <v>26578</v>
      </c>
      <c r="S6439" t="s">
        <v>18959</v>
      </c>
      <c r="U6439" t="s">
        <v>26604</v>
      </c>
      <c r="W6439" t="s">
        <v>660</v>
      </c>
      <c r="X6439">
        <v>0</v>
      </c>
      <c r="Y6439" t="s">
        <v>26652</v>
      </c>
      <c r="AB6439" t="s">
        <v>28952</v>
      </c>
      <c r="AE6439">
        <v>0</v>
      </c>
      <c r="AH6439">
        <v>0</v>
      </c>
      <c r="AI6439">
        <v>2</v>
      </c>
      <c r="AJ6439">
        <v>0</v>
      </c>
      <c r="AK6439">
        <v>0</v>
      </c>
      <c r="AN6439" t="s">
        <v>7439</v>
      </c>
      <c r="AO6439">
        <v>0</v>
      </c>
      <c r="AU6439">
        <v>0.7</v>
      </c>
      <c r="AV6439" t="s">
        <v>720</v>
      </c>
      <c r="AW6439" t="s">
        <v>198</v>
      </c>
    </row>
    <row r="6440" spans="1:50">
      <c r="A6440" s="1">
        <f>HYPERLINK("https://lsnyc.legalserver.org/matter/dynamic-profile/view/1893739","19-1893739")</f>
        <v>0</v>
      </c>
      <c r="B6440" t="s">
        <v>91</v>
      </c>
      <c r="C6440" t="s">
        <v>340</v>
      </c>
      <c r="D6440" t="s">
        <v>660</v>
      </c>
      <c r="F6440" t="s">
        <v>868</v>
      </c>
      <c r="G6440" t="s">
        <v>8026</v>
      </c>
      <c r="H6440" t="s">
        <v>14275</v>
      </c>
      <c r="I6440" t="s">
        <v>18362</v>
      </c>
      <c r="J6440" t="s">
        <v>18936</v>
      </c>
      <c r="K6440">
        <v>11360</v>
      </c>
      <c r="L6440" t="s">
        <v>18958</v>
      </c>
      <c r="M6440" t="s">
        <v>18958</v>
      </c>
      <c r="N6440" t="s">
        <v>23685</v>
      </c>
      <c r="O6440" t="s">
        <v>26523</v>
      </c>
      <c r="P6440" t="s">
        <v>26564</v>
      </c>
      <c r="R6440" t="s">
        <v>26584</v>
      </c>
      <c r="S6440" t="s">
        <v>18959</v>
      </c>
      <c r="U6440" t="s">
        <v>26604</v>
      </c>
      <c r="W6440" t="s">
        <v>660</v>
      </c>
      <c r="X6440">
        <v>2475</v>
      </c>
      <c r="Y6440" t="s">
        <v>26653</v>
      </c>
      <c r="Z6440" t="s">
        <v>26664</v>
      </c>
      <c r="AB6440" t="s">
        <v>31689</v>
      </c>
      <c r="AC6440" t="s">
        <v>36174</v>
      </c>
      <c r="AD6440" t="s">
        <v>41939</v>
      </c>
      <c r="AE6440">
        <v>300</v>
      </c>
      <c r="AF6440" t="s">
        <v>20460</v>
      </c>
      <c r="AG6440" t="s">
        <v>19330</v>
      </c>
      <c r="AH6440">
        <v>9</v>
      </c>
      <c r="AI6440">
        <v>1</v>
      </c>
      <c r="AJ6440">
        <v>0</v>
      </c>
      <c r="AK6440">
        <v>0</v>
      </c>
      <c r="AN6440" t="s">
        <v>7439</v>
      </c>
      <c r="AO6440">
        <v>0</v>
      </c>
      <c r="AU6440">
        <v>1.9</v>
      </c>
      <c r="AV6440" t="s">
        <v>803</v>
      </c>
      <c r="AW6440" t="s">
        <v>208</v>
      </c>
    </row>
    <row r="6441" spans="1:50">
      <c r="A6441" s="1">
        <f>HYPERLINK("https://lsnyc.legalserver.org/matter/dynamic-profile/view/1893772","19-1893772")</f>
        <v>0</v>
      </c>
      <c r="B6441" t="s">
        <v>114</v>
      </c>
      <c r="C6441" t="s">
        <v>340</v>
      </c>
      <c r="D6441" t="s">
        <v>660</v>
      </c>
      <c r="F6441" t="s">
        <v>3686</v>
      </c>
      <c r="G6441" t="s">
        <v>8027</v>
      </c>
      <c r="H6441" t="s">
        <v>14276</v>
      </c>
      <c r="J6441" t="s">
        <v>18901</v>
      </c>
      <c r="K6441">
        <v>11433</v>
      </c>
      <c r="L6441" t="s">
        <v>18958</v>
      </c>
      <c r="M6441" t="s">
        <v>18958</v>
      </c>
      <c r="N6441" t="s">
        <v>23686</v>
      </c>
      <c r="O6441" t="s">
        <v>26524</v>
      </c>
      <c r="P6441" t="s">
        <v>26560</v>
      </c>
      <c r="R6441" t="s">
        <v>26585</v>
      </c>
      <c r="S6441" t="s">
        <v>18959</v>
      </c>
      <c r="U6441" t="s">
        <v>26604</v>
      </c>
      <c r="W6441" t="s">
        <v>660</v>
      </c>
      <c r="X6441">
        <v>1900</v>
      </c>
      <c r="Y6441" t="s">
        <v>26653</v>
      </c>
      <c r="Z6441" t="s">
        <v>26664</v>
      </c>
      <c r="AB6441" t="s">
        <v>31690</v>
      </c>
      <c r="AC6441" t="s">
        <v>36175</v>
      </c>
      <c r="AD6441" t="s">
        <v>41940</v>
      </c>
      <c r="AE6441">
        <v>0</v>
      </c>
      <c r="AF6441" t="s">
        <v>20460</v>
      </c>
      <c r="AG6441" t="s">
        <v>19330</v>
      </c>
      <c r="AH6441">
        <v>-1</v>
      </c>
      <c r="AI6441">
        <v>3</v>
      </c>
      <c r="AJ6441">
        <v>1</v>
      </c>
      <c r="AK6441">
        <v>77.67</v>
      </c>
      <c r="AN6441" t="s">
        <v>7439</v>
      </c>
      <c r="AO6441">
        <v>20000</v>
      </c>
      <c r="AU6441">
        <v>7.9</v>
      </c>
      <c r="AV6441" t="s">
        <v>808</v>
      </c>
      <c r="AW6441" t="s">
        <v>208</v>
      </c>
    </row>
    <row r="6442" spans="1:50">
      <c r="A6442" s="1">
        <f>HYPERLINK("https://lsnyc.legalserver.org/matter/dynamic-profile/view/1893819","19-1893819")</f>
        <v>0</v>
      </c>
      <c r="B6442" t="s">
        <v>235</v>
      </c>
      <c r="C6442" t="s">
        <v>340</v>
      </c>
      <c r="D6442" t="s">
        <v>660</v>
      </c>
      <c r="F6442" t="s">
        <v>3687</v>
      </c>
      <c r="G6442" t="s">
        <v>5313</v>
      </c>
      <c r="H6442" t="s">
        <v>14277</v>
      </c>
      <c r="I6442" t="s">
        <v>17663</v>
      </c>
      <c r="J6442" t="s">
        <v>18913</v>
      </c>
      <c r="K6442">
        <v>11103</v>
      </c>
      <c r="L6442" t="s">
        <v>18958</v>
      </c>
      <c r="M6442" t="s">
        <v>18958</v>
      </c>
      <c r="N6442" t="s">
        <v>23687</v>
      </c>
      <c r="O6442" t="s">
        <v>26523</v>
      </c>
      <c r="P6442" t="s">
        <v>26563</v>
      </c>
      <c r="R6442" t="s">
        <v>26584</v>
      </c>
      <c r="U6442" t="s">
        <v>26604</v>
      </c>
      <c r="W6442" t="s">
        <v>660</v>
      </c>
      <c r="X6442">
        <v>500</v>
      </c>
      <c r="Y6442" t="s">
        <v>26653</v>
      </c>
      <c r="Z6442" t="s">
        <v>26664</v>
      </c>
      <c r="AB6442" t="s">
        <v>31691</v>
      </c>
      <c r="AD6442" t="s">
        <v>41941</v>
      </c>
      <c r="AE6442">
        <v>10</v>
      </c>
      <c r="AG6442" t="s">
        <v>26530</v>
      </c>
      <c r="AH6442">
        <v>1</v>
      </c>
      <c r="AI6442">
        <v>1</v>
      </c>
      <c r="AJ6442">
        <v>0</v>
      </c>
      <c r="AK6442">
        <v>8.65</v>
      </c>
      <c r="AN6442" t="s">
        <v>45581</v>
      </c>
      <c r="AO6442">
        <v>1080</v>
      </c>
      <c r="AU6442">
        <v>1.2</v>
      </c>
      <c r="AV6442" t="s">
        <v>789</v>
      </c>
      <c r="AW6442" t="s">
        <v>46884</v>
      </c>
    </row>
    <row r="6443" spans="1:50">
      <c r="A6443" s="1">
        <f>HYPERLINK("https://lsnyc.legalserver.org/matter/dynamic-profile/view/1893853","19-1893853")</f>
        <v>0</v>
      </c>
      <c r="B6443" t="s">
        <v>235</v>
      </c>
      <c r="C6443" t="s">
        <v>340</v>
      </c>
      <c r="D6443" t="s">
        <v>660</v>
      </c>
      <c r="F6443" t="s">
        <v>1096</v>
      </c>
      <c r="G6443" t="s">
        <v>5121</v>
      </c>
      <c r="H6443" t="s">
        <v>14278</v>
      </c>
      <c r="J6443" t="s">
        <v>18917</v>
      </c>
      <c r="K6443">
        <v>11356</v>
      </c>
      <c r="L6443" t="s">
        <v>18958</v>
      </c>
      <c r="M6443" t="s">
        <v>18958</v>
      </c>
      <c r="N6443" t="s">
        <v>23688</v>
      </c>
      <c r="O6443" t="s">
        <v>26523</v>
      </c>
      <c r="P6443" t="s">
        <v>26563</v>
      </c>
      <c r="R6443" t="s">
        <v>26584</v>
      </c>
      <c r="U6443" t="s">
        <v>26604</v>
      </c>
      <c r="W6443" t="s">
        <v>660</v>
      </c>
      <c r="X6443">
        <v>2309</v>
      </c>
      <c r="Y6443" t="s">
        <v>26653</v>
      </c>
      <c r="Z6443" t="s">
        <v>26664</v>
      </c>
      <c r="AB6443" t="s">
        <v>31692</v>
      </c>
      <c r="AD6443" t="s">
        <v>41942</v>
      </c>
      <c r="AE6443">
        <v>0</v>
      </c>
      <c r="AF6443" t="s">
        <v>45547</v>
      </c>
      <c r="AH6443">
        <v>0</v>
      </c>
      <c r="AI6443">
        <v>1</v>
      </c>
      <c r="AJ6443">
        <v>3</v>
      </c>
      <c r="AK6443">
        <v>58.25</v>
      </c>
      <c r="AN6443" t="s">
        <v>7439</v>
      </c>
      <c r="AO6443">
        <v>15000</v>
      </c>
      <c r="AU6443">
        <v>1.25</v>
      </c>
      <c r="AV6443" t="s">
        <v>788</v>
      </c>
      <c r="AW6443" t="s">
        <v>46884</v>
      </c>
    </row>
    <row r="6444" spans="1:50">
      <c r="A6444" s="1">
        <f>HYPERLINK("https://lsnyc.legalserver.org/matter/dynamic-profile/view/1893835","19-1893835")</f>
        <v>0</v>
      </c>
      <c r="B6444" t="s">
        <v>235</v>
      </c>
      <c r="C6444" t="s">
        <v>340</v>
      </c>
      <c r="D6444" t="s">
        <v>660</v>
      </c>
      <c r="F6444" t="s">
        <v>2004</v>
      </c>
      <c r="G6444" t="s">
        <v>5170</v>
      </c>
      <c r="H6444" t="s">
        <v>10057</v>
      </c>
      <c r="I6444" t="s">
        <v>17917</v>
      </c>
      <c r="J6444" t="s">
        <v>7026</v>
      </c>
      <c r="K6444">
        <v>11368</v>
      </c>
      <c r="L6444" t="s">
        <v>18958</v>
      </c>
      <c r="M6444" t="s">
        <v>18958</v>
      </c>
      <c r="N6444" t="s">
        <v>23689</v>
      </c>
      <c r="O6444" t="s">
        <v>26523</v>
      </c>
      <c r="P6444" t="s">
        <v>26563</v>
      </c>
      <c r="R6444" t="s">
        <v>26584</v>
      </c>
      <c r="S6444" t="s">
        <v>18958</v>
      </c>
      <c r="U6444" t="s">
        <v>26604</v>
      </c>
      <c r="W6444" t="s">
        <v>660</v>
      </c>
      <c r="X6444">
        <v>2430</v>
      </c>
      <c r="Y6444" t="s">
        <v>26653</v>
      </c>
      <c r="Z6444" t="s">
        <v>26664</v>
      </c>
      <c r="AB6444" t="s">
        <v>31693</v>
      </c>
      <c r="AD6444" t="s">
        <v>41943</v>
      </c>
      <c r="AE6444">
        <v>50</v>
      </c>
      <c r="AF6444" t="s">
        <v>20460</v>
      </c>
      <c r="AG6444" t="s">
        <v>26530</v>
      </c>
      <c r="AH6444">
        <v>3</v>
      </c>
      <c r="AI6444">
        <v>2</v>
      </c>
      <c r="AJ6444">
        <v>1</v>
      </c>
      <c r="AK6444">
        <v>67.51000000000001</v>
      </c>
      <c r="AN6444" t="s">
        <v>7439</v>
      </c>
      <c r="AO6444">
        <v>14400</v>
      </c>
      <c r="AU6444">
        <v>1.2</v>
      </c>
      <c r="AV6444" t="s">
        <v>789</v>
      </c>
      <c r="AW6444" t="s">
        <v>46884</v>
      </c>
    </row>
    <row r="6445" spans="1:50">
      <c r="A6445" s="1">
        <f>HYPERLINK("https://lsnyc.legalserver.org/matter/dynamic-profile/view/1893847","19-1893847")</f>
        <v>0</v>
      </c>
      <c r="B6445" t="s">
        <v>235</v>
      </c>
      <c r="C6445" t="s">
        <v>340</v>
      </c>
      <c r="D6445" t="s">
        <v>660</v>
      </c>
      <c r="F6445" t="s">
        <v>1417</v>
      </c>
      <c r="G6445" t="s">
        <v>3879</v>
      </c>
      <c r="H6445" t="s">
        <v>14279</v>
      </c>
      <c r="J6445" t="s">
        <v>18904</v>
      </c>
      <c r="K6445">
        <v>11421</v>
      </c>
      <c r="L6445" t="s">
        <v>18958</v>
      </c>
      <c r="M6445" t="s">
        <v>18958</v>
      </c>
      <c r="N6445" t="s">
        <v>23690</v>
      </c>
      <c r="O6445" t="s">
        <v>26524</v>
      </c>
      <c r="P6445" t="s">
        <v>26563</v>
      </c>
      <c r="R6445" t="s">
        <v>26584</v>
      </c>
      <c r="S6445" t="s">
        <v>18959</v>
      </c>
      <c r="U6445" t="s">
        <v>26604</v>
      </c>
      <c r="W6445" t="s">
        <v>660</v>
      </c>
      <c r="X6445">
        <v>550</v>
      </c>
      <c r="Y6445" t="s">
        <v>26653</v>
      </c>
      <c r="Z6445" t="s">
        <v>26664</v>
      </c>
      <c r="AB6445" t="s">
        <v>31694</v>
      </c>
      <c r="AD6445" t="s">
        <v>41944</v>
      </c>
      <c r="AE6445">
        <v>0</v>
      </c>
      <c r="AH6445">
        <v>5</v>
      </c>
      <c r="AI6445">
        <v>1</v>
      </c>
      <c r="AJ6445">
        <v>0</v>
      </c>
      <c r="AK6445">
        <v>103.25</v>
      </c>
      <c r="AN6445" t="s">
        <v>7439</v>
      </c>
      <c r="AO6445">
        <v>12896</v>
      </c>
      <c r="AU6445">
        <v>1.1</v>
      </c>
      <c r="AV6445" t="s">
        <v>788</v>
      </c>
      <c r="AW6445" t="s">
        <v>46884</v>
      </c>
    </row>
    <row r="6446" spans="1:50">
      <c r="A6446" s="1">
        <f>HYPERLINK("https://lsnyc.legalserver.org/matter/dynamic-profile/view/1894029","19-1894029")</f>
        <v>0</v>
      </c>
      <c r="B6446" t="s">
        <v>205</v>
      </c>
      <c r="C6446" t="s">
        <v>340</v>
      </c>
      <c r="D6446" t="s">
        <v>660</v>
      </c>
      <c r="F6446" t="s">
        <v>1200</v>
      </c>
      <c r="G6446" t="s">
        <v>7451</v>
      </c>
      <c r="H6446" t="s">
        <v>10777</v>
      </c>
      <c r="I6446" t="s">
        <v>17363</v>
      </c>
      <c r="J6446" t="s">
        <v>18894</v>
      </c>
      <c r="K6446">
        <v>11212</v>
      </c>
      <c r="L6446" t="s">
        <v>18958</v>
      </c>
      <c r="M6446" t="s">
        <v>18958</v>
      </c>
      <c r="P6446" t="s">
        <v>26564</v>
      </c>
      <c r="R6446" t="s">
        <v>26578</v>
      </c>
      <c r="S6446" t="s">
        <v>18958</v>
      </c>
      <c r="U6446" t="s">
        <v>26604</v>
      </c>
      <c r="W6446" t="s">
        <v>660</v>
      </c>
      <c r="X6446">
        <v>1151</v>
      </c>
      <c r="Y6446" t="s">
        <v>26652</v>
      </c>
      <c r="Z6446" t="s">
        <v>26663</v>
      </c>
      <c r="AB6446" t="s">
        <v>31695</v>
      </c>
      <c r="AD6446" t="s">
        <v>41945</v>
      </c>
      <c r="AE6446">
        <v>73</v>
      </c>
      <c r="AF6446" t="s">
        <v>45541</v>
      </c>
      <c r="AG6446" t="s">
        <v>19330</v>
      </c>
      <c r="AH6446">
        <v>20</v>
      </c>
      <c r="AI6446">
        <v>3</v>
      </c>
      <c r="AJ6446">
        <v>1</v>
      </c>
      <c r="AK6446">
        <v>271.84</v>
      </c>
      <c r="AN6446" t="s">
        <v>7439</v>
      </c>
      <c r="AO6446">
        <v>70000</v>
      </c>
      <c r="AU6446">
        <v>8</v>
      </c>
      <c r="AV6446" t="s">
        <v>775</v>
      </c>
      <c r="AW6446" t="s">
        <v>205</v>
      </c>
    </row>
    <row r="6447" spans="1:50">
      <c r="A6447" s="1">
        <f>HYPERLINK("https://lsnyc.legalserver.org/matter/dynamic-profile/view/1893909","19-1893909")</f>
        <v>0</v>
      </c>
      <c r="B6447" t="s">
        <v>126</v>
      </c>
      <c r="C6447" t="s">
        <v>341</v>
      </c>
      <c r="D6447" t="s">
        <v>755</v>
      </c>
      <c r="E6447" t="s">
        <v>762</v>
      </c>
      <c r="F6447" t="s">
        <v>1253</v>
      </c>
      <c r="G6447" t="s">
        <v>3036</v>
      </c>
      <c r="H6447" t="s">
        <v>14280</v>
      </c>
      <c r="I6447" t="s">
        <v>18363</v>
      </c>
      <c r="J6447" t="s">
        <v>18894</v>
      </c>
      <c r="K6447">
        <v>11212</v>
      </c>
      <c r="L6447" t="s">
        <v>18959</v>
      </c>
      <c r="M6447" t="s">
        <v>18958</v>
      </c>
      <c r="N6447" t="s">
        <v>23691</v>
      </c>
      <c r="O6447" t="s">
        <v>26524</v>
      </c>
      <c r="P6447" t="s">
        <v>26564</v>
      </c>
      <c r="Q6447" t="s">
        <v>26571</v>
      </c>
      <c r="R6447" t="s">
        <v>26578</v>
      </c>
      <c r="S6447" t="s">
        <v>18959</v>
      </c>
      <c r="U6447" t="s">
        <v>26604</v>
      </c>
      <c r="W6447" t="s">
        <v>660</v>
      </c>
      <c r="X6447">
        <v>725</v>
      </c>
      <c r="Y6447" t="s">
        <v>26652</v>
      </c>
      <c r="Z6447" t="s">
        <v>26664</v>
      </c>
      <c r="AA6447" t="s">
        <v>26683</v>
      </c>
      <c r="AB6447" t="s">
        <v>31696</v>
      </c>
      <c r="AD6447" t="s">
        <v>41946</v>
      </c>
      <c r="AE6447">
        <v>2</v>
      </c>
      <c r="AF6447" t="s">
        <v>45547</v>
      </c>
      <c r="AG6447" t="s">
        <v>19330</v>
      </c>
      <c r="AH6447">
        <v>1</v>
      </c>
      <c r="AI6447">
        <v>1</v>
      </c>
      <c r="AJ6447">
        <v>0</v>
      </c>
      <c r="AK6447">
        <v>149.88</v>
      </c>
      <c r="AN6447" t="s">
        <v>7439</v>
      </c>
      <c r="AO6447">
        <v>18720</v>
      </c>
      <c r="AU6447">
        <v>2.4</v>
      </c>
      <c r="AV6447" t="s">
        <v>780</v>
      </c>
      <c r="AW6447" t="s">
        <v>286</v>
      </c>
    </row>
    <row r="6448" spans="1:50">
      <c r="A6448" s="1">
        <f>HYPERLINK("https://lsnyc.legalserver.org/matter/dynamic-profile/view/1894398","19-1894398")</f>
        <v>0</v>
      </c>
      <c r="B6448" t="s">
        <v>128</v>
      </c>
      <c r="C6448" t="s">
        <v>341</v>
      </c>
      <c r="D6448" t="s">
        <v>741</v>
      </c>
      <c r="E6448" t="s">
        <v>777</v>
      </c>
      <c r="F6448" t="s">
        <v>3688</v>
      </c>
      <c r="G6448" t="s">
        <v>8028</v>
      </c>
      <c r="H6448" t="s">
        <v>14281</v>
      </c>
      <c r="I6448" t="s">
        <v>18364</v>
      </c>
      <c r="J6448" t="s">
        <v>18894</v>
      </c>
      <c r="K6448">
        <v>11209</v>
      </c>
      <c r="L6448" t="s">
        <v>18958</v>
      </c>
      <c r="M6448" t="s">
        <v>18958</v>
      </c>
      <c r="N6448" t="s">
        <v>23692</v>
      </c>
      <c r="O6448" t="s">
        <v>26524</v>
      </c>
      <c r="P6448" t="s">
        <v>26564</v>
      </c>
      <c r="Q6448" t="s">
        <v>26570</v>
      </c>
      <c r="R6448" t="s">
        <v>26586</v>
      </c>
      <c r="S6448" t="s">
        <v>18959</v>
      </c>
      <c r="U6448" t="s">
        <v>26604</v>
      </c>
      <c r="V6448" t="s">
        <v>26610</v>
      </c>
      <c r="W6448" t="s">
        <v>660</v>
      </c>
      <c r="X6448">
        <v>0</v>
      </c>
      <c r="Y6448" t="s">
        <v>26652</v>
      </c>
      <c r="Z6448" t="s">
        <v>26664</v>
      </c>
      <c r="AA6448" t="s">
        <v>26683</v>
      </c>
      <c r="AB6448" t="s">
        <v>31697</v>
      </c>
      <c r="AD6448" t="s">
        <v>41947</v>
      </c>
      <c r="AE6448">
        <v>60</v>
      </c>
      <c r="AF6448" t="s">
        <v>45548</v>
      </c>
      <c r="AG6448" t="s">
        <v>19330</v>
      </c>
      <c r="AH6448">
        <v>2</v>
      </c>
      <c r="AI6448">
        <v>1</v>
      </c>
      <c r="AJ6448">
        <v>0</v>
      </c>
      <c r="AK6448">
        <v>0</v>
      </c>
      <c r="AN6448" t="s">
        <v>7439</v>
      </c>
      <c r="AO6448">
        <v>0</v>
      </c>
      <c r="AU6448">
        <v>0.3</v>
      </c>
      <c r="AV6448" t="s">
        <v>777</v>
      </c>
      <c r="AW6448" t="s">
        <v>46853</v>
      </c>
    </row>
    <row r="6449" spans="1:50">
      <c r="A6449" s="1">
        <f>HYPERLINK("https://lsnyc.legalserver.org/matter/dynamic-profile/view/1894401","19-1894401")</f>
        <v>0</v>
      </c>
      <c r="B6449" t="s">
        <v>128</v>
      </c>
      <c r="C6449" t="s">
        <v>341</v>
      </c>
      <c r="D6449" t="s">
        <v>741</v>
      </c>
      <c r="E6449" t="s">
        <v>777</v>
      </c>
      <c r="F6449" t="s">
        <v>2211</v>
      </c>
      <c r="G6449" t="s">
        <v>8029</v>
      </c>
      <c r="H6449" t="s">
        <v>14282</v>
      </c>
      <c r="I6449" t="s">
        <v>18365</v>
      </c>
      <c r="J6449" t="s">
        <v>18894</v>
      </c>
      <c r="K6449">
        <v>11231</v>
      </c>
      <c r="L6449" t="s">
        <v>18958</v>
      </c>
      <c r="M6449" t="s">
        <v>18958</v>
      </c>
      <c r="N6449" t="s">
        <v>23693</v>
      </c>
      <c r="O6449" t="s">
        <v>26524</v>
      </c>
      <c r="P6449" t="s">
        <v>26564</v>
      </c>
      <c r="Q6449" t="s">
        <v>26570</v>
      </c>
      <c r="R6449" t="s">
        <v>26586</v>
      </c>
      <c r="S6449" t="s">
        <v>18959</v>
      </c>
      <c r="U6449" t="s">
        <v>26604</v>
      </c>
      <c r="V6449" t="s">
        <v>26610</v>
      </c>
      <c r="W6449" t="s">
        <v>660</v>
      </c>
      <c r="X6449">
        <v>667</v>
      </c>
      <c r="Y6449" t="s">
        <v>26652</v>
      </c>
      <c r="Z6449" t="s">
        <v>26664</v>
      </c>
      <c r="AA6449" t="s">
        <v>26683</v>
      </c>
      <c r="AB6449" t="s">
        <v>31698</v>
      </c>
      <c r="AD6449" t="s">
        <v>41948</v>
      </c>
      <c r="AE6449">
        <v>6</v>
      </c>
      <c r="AF6449" t="s">
        <v>45541</v>
      </c>
      <c r="AG6449" t="s">
        <v>19330</v>
      </c>
      <c r="AH6449">
        <v>40</v>
      </c>
      <c r="AI6449">
        <v>3</v>
      </c>
      <c r="AJ6449">
        <v>0</v>
      </c>
      <c r="AK6449">
        <v>45.01</v>
      </c>
      <c r="AN6449" t="s">
        <v>7439</v>
      </c>
      <c r="AO6449">
        <v>9600</v>
      </c>
      <c r="AU6449">
        <v>0.2</v>
      </c>
      <c r="AV6449" t="s">
        <v>777</v>
      </c>
      <c r="AW6449" t="s">
        <v>46853</v>
      </c>
    </row>
    <row r="6450" spans="1:50">
      <c r="A6450" s="1">
        <f>HYPERLINK("https://lsnyc.legalserver.org/matter/dynamic-profile/view/1894225","19-1894225")</f>
        <v>0</v>
      </c>
      <c r="B6450" t="s">
        <v>128</v>
      </c>
      <c r="C6450" t="s">
        <v>341</v>
      </c>
      <c r="D6450" t="s">
        <v>741</v>
      </c>
      <c r="E6450" t="s">
        <v>777</v>
      </c>
      <c r="F6450" t="s">
        <v>1108</v>
      </c>
      <c r="G6450" t="s">
        <v>5303</v>
      </c>
      <c r="H6450" t="s">
        <v>14283</v>
      </c>
      <c r="I6450" t="s">
        <v>17576</v>
      </c>
      <c r="J6450" t="s">
        <v>18894</v>
      </c>
      <c r="K6450">
        <v>11212</v>
      </c>
      <c r="L6450" t="s">
        <v>18958</v>
      </c>
      <c r="M6450" t="s">
        <v>18958</v>
      </c>
      <c r="N6450" t="s">
        <v>23694</v>
      </c>
      <c r="O6450" t="s">
        <v>26523</v>
      </c>
      <c r="P6450" t="s">
        <v>26564</v>
      </c>
      <c r="Q6450" t="s">
        <v>26570</v>
      </c>
      <c r="R6450" t="s">
        <v>26586</v>
      </c>
      <c r="S6450" t="s">
        <v>18959</v>
      </c>
      <c r="U6450" t="s">
        <v>26604</v>
      </c>
      <c r="V6450" t="s">
        <v>26610</v>
      </c>
      <c r="W6450" t="s">
        <v>660</v>
      </c>
      <c r="X6450">
        <v>1515</v>
      </c>
      <c r="Y6450" t="s">
        <v>26652</v>
      </c>
      <c r="Z6450" t="s">
        <v>26664</v>
      </c>
      <c r="AA6450" t="s">
        <v>26683</v>
      </c>
      <c r="AB6450" t="s">
        <v>31699</v>
      </c>
      <c r="AD6450" t="s">
        <v>41949</v>
      </c>
      <c r="AE6450">
        <v>3</v>
      </c>
      <c r="AF6450" t="s">
        <v>45547</v>
      </c>
      <c r="AG6450" t="s">
        <v>45562</v>
      </c>
      <c r="AH6450">
        <v>3</v>
      </c>
      <c r="AI6450">
        <v>1</v>
      </c>
      <c r="AJ6450">
        <v>3</v>
      </c>
      <c r="AK6450">
        <v>89.48</v>
      </c>
      <c r="AN6450" t="s">
        <v>7439</v>
      </c>
      <c r="AO6450">
        <v>23040</v>
      </c>
      <c r="AU6450">
        <v>0.2</v>
      </c>
      <c r="AV6450" t="s">
        <v>777</v>
      </c>
      <c r="AW6450" t="s">
        <v>46853</v>
      </c>
    </row>
    <row r="6451" spans="1:50">
      <c r="A6451" s="1">
        <f>HYPERLINK("https://lsnyc.legalserver.org/matter/dynamic-profile/view/1894404","19-1894404")</f>
        <v>0</v>
      </c>
      <c r="B6451" t="s">
        <v>128</v>
      </c>
      <c r="C6451" t="s">
        <v>341</v>
      </c>
      <c r="D6451" t="s">
        <v>741</v>
      </c>
      <c r="E6451" t="s">
        <v>777</v>
      </c>
      <c r="F6451" t="s">
        <v>1435</v>
      </c>
      <c r="G6451" t="s">
        <v>8030</v>
      </c>
      <c r="H6451" t="s">
        <v>14284</v>
      </c>
      <c r="I6451" t="s">
        <v>17416</v>
      </c>
      <c r="J6451" t="s">
        <v>18894</v>
      </c>
      <c r="K6451">
        <v>11236</v>
      </c>
      <c r="L6451" t="s">
        <v>18958</v>
      </c>
      <c r="M6451" t="s">
        <v>18958</v>
      </c>
      <c r="N6451" t="s">
        <v>23695</v>
      </c>
      <c r="O6451" t="s">
        <v>26524</v>
      </c>
      <c r="P6451" t="s">
        <v>26564</v>
      </c>
      <c r="Q6451" t="s">
        <v>26570</v>
      </c>
      <c r="R6451" t="s">
        <v>26586</v>
      </c>
      <c r="S6451" t="s">
        <v>18959</v>
      </c>
      <c r="U6451" t="s">
        <v>26604</v>
      </c>
      <c r="V6451" t="s">
        <v>26610</v>
      </c>
      <c r="W6451" t="s">
        <v>660</v>
      </c>
      <c r="X6451">
        <v>1975</v>
      </c>
      <c r="Y6451" t="s">
        <v>26652</v>
      </c>
      <c r="Z6451" t="s">
        <v>26664</v>
      </c>
      <c r="AA6451" t="s">
        <v>26683</v>
      </c>
      <c r="AB6451" t="s">
        <v>30375</v>
      </c>
      <c r="AC6451" t="s">
        <v>36176</v>
      </c>
      <c r="AD6451" t="s">
        <v>41950</v>
      </c>
      <c r="AE6451">
        <v>2</v>
      </c>
      <c r="AF6451" t="s">
        <v>45547</v>
      </c>
      <c r="AG6451" t="s">
        <v>19330</v>
      </c>
      <c r="AH6451">
        <v>5</v>
      </c>
      <c r="AI6451">
        <v>2</v>
      </c>
      <c r="AJ6451">
        <v>2</v>
      </c>
      <c r="AK6451">
        <v>180.98</v>
      </c>
      <c r="AN6451" t="s">
        <v>7439</v>
      </c>
      <c r="AO6451">
        <v>46603</v>
      </c>
      <c r="AU6451">
        <v>0.3</v>
      </c>
      <c r="AV6451" t="s">
        <v>777</v>
      </c>
      <c r="AW6451" t="s">
        <v>46853</v>
      </c>
    </row>
    <row r="6452" spans="1:50">
      <c r="A6452" s="1">
        <f>HYPERLINK("https://lsnyc.legalserver.org/matter/dynamic-profile/view/1894392","19-1894392")</f>
        <v>0</v>
      </c>
      <c r="B6452" t="s">
        <v>288</v>
      </c>
      <c r="C6452" t="s">
        <v>340</v>
      </c>
      <c r="D6452" t="s">
        <v>741</v>
      </c>
      <c r="F6452" t="s">
        <v>3689</v>
      </c>
      <c r="G6452" t="s">
        <v>3036</v>
      </c>
      <c r="H6452" t="s">
        <v>14285</v>
      </c>
      <c r="I6452" t="s">
        <v>18366</v>
      </c>
      <c r="J6452" t="s">
        <v>18894</v>
      </c>
      <c r="K6452">
        <v>11221</v>
      </c>
      <c r="L6452" t="s">
        <v>18958</v>
      </c>
      <c r="M6452" t="s">
        <v>18958</v>
      </c>
      <c r="N6452" t="s">
        <v>23696</v>
      </c>
      <c r="O6452" t="s">
        <v>26523</v>
      </c>
      <c r="P6452" t="s">
        <v>26560</v>
      </c>
      <c r="R6452" t="s">
        <v>26588</v>
      </c>
      <c r="S6452" t="s">
        <v>18959</v>
      </c>
      <c r="U6452" t="s">
        <v>26604</v>
      </c>
      <c r="V6452" t="s">
        <v>26610</v>
      </c>
      <c r="W6452" t="s">
        <v>660</v>
      </c>
      <c r="X6452">
        <v>161</v>
      </c>
      <c r="Y6452" t="s">
        <v>26652</v>
      </c>
      <c r="Z6452" t="s">
        <v>26664</v>
      </c>
      <c r="AA6452" t="s">
        <v>26683</v>
      </c>
      <c r="AB6452" t="s">
        <v>31700</v>
      </c>
      <c r="AD6452" t="s">
        <v>41951</v>
      </c>
      <c r="AE6452">
        <v>12</v>
      </c>
      <c r="AF6452" t="s">
        <v>45549</v>
      </c>
      <c r="AG6452" t="s">
        <v>19330</v>
      </c>
      <c r="AH6452">
        <v>17</v>
      </c>
      <c r="AI6452">
        <v>1</v>
      </c>
      <c r="AJ6452">
        <v>0</v>
      </c>
      <c r="AK6452">
        <v>129.9</v>
      </c>
      <c r="AN6452" t="s">
        <v>7439</v>
      </c>
      <c r="AO6452">
        <v>16224</v>
      </c>
      <c r="AU6452">
        <v>1.4</v>
      </c>
      <c r="AV6452" t="s">
        <v>819</v>
      </c>
      <c r="AW6452" t="s">
        <v>46853</v>
      </c>
    </row>
    <row r="6453" spans="1:50">
      <c r="A6453" s="1">
        <f>HYPERLINK("https://lsnyc.legalserver.org/matter/dynamic-profile/view/1876287","18-1876287")</f>
        <v>0</v>
      </c>
      <c r="B6453" t="s">
        <v>80</v>
      </c>
      <c r="C6453" t="s">
        <v>341</v>
      </c>
      <c r="D6453" t="s">
        <v>493</v>
      </c>
      <c r="E6453" t="s">
        <v>494</v>
      </c>
      <c r="F6453" t="s">
        <v>1812</v>
      </c>
      <c r="G6453" t="s">
        <v>5419</v>
      </c>
      <c r="H6453" t="s">
        <v>14286</v>
      </c>
      <c r="I6453" t="s">
        <v>17307</v>
      </c>
      <c r="J6453" t="s">
        <v>18893</v>
      </c>
      <c r="K6453">
        <v>10031</v>
      </c>
      <c r="L6453" t="s">
        <v>18958</v>
      </c>
      <c r="M6453" t="s">
        <v>18958</v>
      </c>
      <c r="N6453" t="s">
        <v>23697</v>
      </c>
      <c r="O6453" t="s">
        <v>26524</v>
      </c>
      <c r="P6453" t="s">
        <v>26564</v>
      </c>
      <c r="Q6453" t="s">
        <v>26570</v>
      </c>
      <c r="R6453" t="s">
        <v>26580</v>
      </c>
      <c r="S6453" t="s">
        <v>18959</v>
      </c>
      <c r="U6453" t="s">
        <v>26604</v>
      </c>
      <c r="W6453" t="s">
        <v>755</v>
      </c>
      <c r="X6453">
        <v>2000</v>
      </c>
      <c r="Y6453" t="s">
        <v>26651</v>
      </c>
      <c r="Z6453" t="s">
        <v>26664</v>
      </c>
      <c r="AA6453" t="s">
        <v>26683</v>
      </c>
      <c r="AB6453" t="s">
        <v>31701</v>
      </c>
      <c r="AD6453" t="s">
        <v>41952</v>
      </c>
      <c r="AE6453">
        <v>0</v>
      </c>
      <c r="AF6453" t="s">
        <v>45543</v>
      </c>
      <c r="AG6453" t="s">
        <v>45556</v>
      </c>
      <c r="AH6453">
        <v>13</v>
      </c>
      <c r="AI6453">
        <v>1</v>
      </c>
      <c r="AJ6453">
        <v>3</v>
      </c>
      <c r="AK6453">
        <v>123.51</v>
      </c>
      <c r="AO6453">
        <v>31000</v>
      </c>
      <c r="AU6453">
        <v>0.5</v>
      </c>
      <c r="AV6453" t="s">
        <v>618</v>
      </c>
      <c r="AW6453" t="s">
        <v>317</v>
      </c>
    </row>
    <row r="6454" spans="1:50">
      <c r="A6454" s="1">
        <f>HYPERLINK("https://lsnyc.legalserver.org/matter/dynamic-profile/view/1879518","18-1879518")</f>
        <v>0</v>
      </c>
      <c r="B6454" t="s">
        <v>171</v>
      </c>
      <c r="C6454" t="s">
        <v>341</v>
      </c>
      <c r="D6454" t="s">
        <v>529</v>
      </c>
      <c r="E6454" t="s">
        <v>416</v>
      </c>
      <c r="F6454" t="s">
        <v>868</v>
      </c>
      <c r="G6454" t="s">
        <v>5269</v>
      </c>
      <c r="H6454" t="s">
        <v>12918</v>
      </c>
      <c r="I6454" t="s">
        <v>17702</v>
      </c>
      <c r="J6454" t="s">
        <v>18893</v>
      </c>
      <c r="K6454">
        <v>10039</v>
      </c>
      <c r="L6454" t="s">
        <v>18958</v>
      </c>
      <c r="M6454" t="s">
        <v>18958</v>
      </c>
      <c r="N6454" t="s">
        <v>23698</v>
      </c>
      <c r="O6454" t="s">
        <v>26523</v>
      </c>
      <c r="P6454" t="s">
        <v>26564</v>
      </c>
      <c r="Q6454" t="s">
        <v>26570</v>
      </c>
      <c r="R6454" t="s">
        <v>26582</v>
      </c>
      <c r="S6454" t="s">
        <v>18959</v>
      </c>
      <c r="U6454" t="s">
        <v>26604</v>
      </c>
      <c r="V6454" t="s">
        <v>26610</v>
      </c>
      <c r="W6454" t="s">
        <v>755</v>
      </c>
      <c r="X6454">
        <v>807.4299999999999</v>
      </c>
      <c r="Y6454" t="s">
        <v>26651</v>
      </c>
      <c r="Z6454" t="s">
        <v>26664</v>
      </c>
      <c r="AA6454" t="s">
        <v>26683</v>
      </c>
      <c r="AB6454" t="s">
        <v>30735</v>
      </c>
      <c r="AD6454" t="s">
        <v>41953</v>
      </c>
      <c r="AE6454">
        <v>584</v>
      </c>
      <c r="AF6454" t="s">
        <v>45550</v>
      </c>
      <c r="AG6454" t="s">
        <v>19330</v>
      </c>
      <c r="AH6454">
        <v>8</v>
      </c>
      <c r="AI6454">
        <v>2</v>
      </c>
      <c r="AJ6454">
        <v>1</v>
      </c>
      <c r="AK6454">
        <v>43.54</v>
      </c>
      <c r="AN6454" t="s">
        <v>7439</v>
      </c>
      <c r="AO6454">
        <v>9048</v>
      </c>
      <c r="AU6454">
        <v>0.1</v>
      </c>
      <c r="AV6454" t="s">
        <v>416</v>
      </c>
      <c r="AW6454" t="s">
        <v>314</v>
      </c>
    </row>
    <row r="6455" spans="1:50">
      <c r="A6455" s="1">
        <f>HYPERLINK("https://lsnyc.legalserver.org/matter/dynamic-profile/view/1887771","19-1887771")</f>
        <v>0</v>
      </c>
      <c r="B6455" t="s">
        <v>202</v>
      </c>
      <c r="C6455" t="s">
        <v>340</v>
      </c>
      <c r="D6455" t="s">
        <v>458</v>
      </c>
      <c r="F6455" t="s">
        <v>1850</v>
      </c>
      <c r="G6455" t="s">
        <v>5208</v>
      </c>
      <c r="H6455" t="s">
        <v>14287</v>
      </c>
      <c r="I6455" t="s">
        <v>17306</v>
      </c>
      <c r="J6455" t="s">
        <v>18894</v>
      </c>
      <c r="K6455">
        <v>11232</v>
      </c>
      <c r="L6455" t="s">
        <v>18958</v>
      </c>
      <c r="M6455" t="s">
        <v>18958</v>
      </c>
      <c r="N6455" t="s">
        <v>23699</v>
      </c>
      <c r="O6455" t="s">
        <v>26523</v>
      </c>
      <c r="P6455" t="s">
        <v>26560</v>
      </c>
      <c r="R6455" t="s">
        <v>26586</v>
      </c>
      <c r="S6455" t="s">
        <v>18959</v>
      </c>
      <c r="U6455" t="s">
        <v>26604</v>
      </c>
      <c r="V6455" t="s">
        <v>26610</v>
      </c>
      <c r="W6455" t="s">
        <v>755</v>
      </c>
      <c r="X6455">
        <v>1165.1</v>
      </c>
      <c r="Y6455" t="s">
        <v>26652</v>
      </c>
      <c r="Z6455" t="s">
        <v>26659</v>
      </c>
      <c r="AB6455" t="s">
        <v>31702</v>
      </c>
      <c r="AD6455" t="s">
        <v>41954</v>
      </c>
      <c r="AE6455">
        <v>20</v>
      </c>
      <c r="AF6455" t="s">
        <v>45541</v>
      </c>
      <c r="AG6455" t="s">
        <v>19330</v>
      </c>
      <c r="AH6455">
        <v>8</v>
      </c>
      <c r="AI6455">
        <v>1</v>
      </c>
      <c r="AJ6455">
        <v>1</v>
      </c>
      <c r="AK6455">
        <v>90.33</v>
      </c>
      <c r="AN6455" t="s">
        <v>7439</v>
      </c>
      <c r="AO6455">
        <v>14868</v>
      </c>
      <c r="AQ6455" t="s">
        <v>46359</v>
      </c>
      <c r="AR6455" t="s">
        <v>46379</v>
      </c>
      <c r="AS6455" t="s">
        <v>46499</v>
      </c>
      <c r="AU6455">
        <v>15.2</v>
      </c>
      <c r="AV6455" t="s">
        <v>839</v>
      </c>
      <c r="AW6455" t="s">
        <v>46853</v>
      </c>
    </row>
    <row r="6456" spans="1:50">
      <c r="A6456" s="1">
        <f>HYPERLINK("https://lsnyc.legalserver.org/matter/dynamic-profile/view/1893883","19-1893883")</f>
        <v>0</v>
      </c>
      <c r="B6456" t="s">
        <v>105</v>
      </c>
      <c r="C6456" t="s">
        <v>341</v>
      </c>
      <c r="D6456" t="s">
        <v>755</v>
      </c>
      <c r="E6456" t="s">
        <v>762</v>
      </c>
      <c r="F6456" t="s">
        <v>1039</v>
      </c>
      <c r="G6456" t="s">
        <v>8031</v>
      </c>
      <c r="H6456" t="s">
        <v>14288</v>
      </c>
      <c r="I6456" t="s">
        <v>17327</v>
      </c>
      <c r="J6456" t="s">
        <v>18928</v>
      </c>
      <c r="K6456">
        <v>11366</v>
      </c>
      <c r="L6456" t="s">
        <v>18958</v>
      </c>
      <c r="M6456" t="s">
        <v>18958</v>
      </c>
      <c r="N6456" t="s">
        <v>23700</v>
      </c>
      <c r="O6456" t="s">
        <v>26523</v>
      </c>
      <c r="P6456" t="s">
        <v>26564</v>
      </c>
      <c r="Q6456" t="s">
        <v>26570</v>
      </c>
      <c r="R6456" t="s">
        <v>26584</v>
      </c>
      <c r="S6456" t="s">
        <v>18959</v>
      </c>
      <c r="U6456" t="s">
        <v>26604</v>
      </c>
      <c r="W6456" t="s">
        <v>755</v>
      </c>
      <c r="X6456">
        <v>1186.12</v>
      </c>
      <c r="Y6456" t="s">
        <v>26653</v>
      </c>
      <c r="Z6456" t="s">
        <v>26664</v>
      </c>
      <c r="AA6456" t="s">
        <v>26683</v>
      </c>
      <c r="AB6456" t="s">
        <v>31703</v>
      </c>
      <c r="AC6456" t="s">
        <v>36177</v>
      </c>
      <c r="AD6456" t="s">
        <v>41955</v>
      </c>
      <c r="AE6456">
        <v>0</v>
      </c>
      <c r="AG6456" t="s">
        <v>45556</v>
      </c>
      <c r="AH6456">
        <v>38</v>
      </c>
      <c r="AI6456">
        <v>1</v>
      </c>
      <c r="AJ6456">
        <v>2</v>
      </c>
      <c r="AK6456">
        <v>49.9</v>
      </c>
      <c r="AN6456" t="s">
        <v>7439</v>
      </c>
      <c r="AO6456">
        <v>10644</v>
      </c>
      <c r="AU6456">
        <v>1.9</v>
      </c>
      <c r="AV6456" t="s">
        <v>793</v>
      </c>
      <c r="AW6456" t="s">
        <v>208</v>
      </c>
    </row>
    <row r="6457" spans="1:50">
      <c r="A6457" s="1">
        <f>HYPERLINK("https://lsnyc.legalserver.org/matter/dynamic-profile/view/1893887","19-1893887")</f>
        <v>0</v>
      </c>
      <c r="B6457" t="s">
        <v>247</v>
      </c>
      <c r="C6457" t="s">
        <v>341</v>
      </c>
      <c r="D6457" t="s">
        <v>755</v>
      </c>
      <c r="E6457" t="s">
        <v>817</v>
      </c>
      <c r="F6457" t="s">
        <v>1009</v>
      </c>
      <c r="G6457" t="s">
        <v>8032</v>
      </c>
      <c r="H6457" t="s">
        <v>14289</v>
      </c>
      <c r="I6457" t="s">
        <v>17273</v>
      </c>
      <c r="J6457" t="s">
        <v>18900</v>
      </c>
      <c r="K6457">
        <v>11354</v>
      </c>
      <c r="L6457" t="s">
        <v>18958</v>
      </c>
      <c r="M6457" t="s">
        <v>18958</v>
      </c>
      <c r="N6457" t="s">
        <v>23701</v>
      </c>
      <c r="O6457" t="s">
        <v>26524</v>
      </c>
      <c r="P6457" t="s">
        <v>26564</v>
      </c>
      <c r="Q6457" t="s">
        <v>26570</v>
      </c>
      <c r="R6457" t="s">
        <v>26578</v>
      </c>
      <c r="S6457" t="s">
        <v>18959</v>
      </c>
      <c r="U6457" t="s">
        <v>26604</v>
      </c>
      <c r="V6457" t="s">
        <v>26612</v>
      </c>
      <c r="W6457" t="s">
        <v>755</v>
      </c>
      <c r="X6457">
        <v>1850</v>
      </c>
      <c r="Y6457" t="s">
        <v>26653</v>
      </c>
      <c r="Z6457" t="s">
        <v>26664</v>
      </c>
      <c r="AA6457" t="s">
        <v>26683</v>
      </c>
      <c r="AB6457" t="s">
        <v>31704</v>
      </c>
      <c r="AC6457" t="s">
        <v>36178</v>
      </c>
      <c r="AD6457" t="s">
        <v>41956</v>
      </c>
      <c r="AE6457">
        <v>40</v>
      </c>
      <c r="AF6457" t="s">
        <v>45545</v>
      </c>
      <c r="AG6457" t="s">
        <v>19330</v>
      </c>
      <c r="AH6457">
        <v>5</v>
      </c>
      <c r="AI6457">
        <v>1</v>
      </c>
      <c r="AJ6457">
        <v>1</v>
      </c>
      <c r="AK6457">
        <v>41.51</v>
      </c>
      <c r="AN6457" t="s">
        <v>45581</v>
      </c>
      <c r="AO6457">
        <v>7020</v>
      </c>
      <c r="AU6457">
        <v>5.99</v>
      </c>
      <c r="AV6457" t="s">
        <v>818</v>
      </c>
      <c r="AW6457" t="s">
        <v>208</v>
      </c>
      <c r="AX6457" t="s">
        <v>46897</v>
      </c>
    </row>
    <row r="6458" spans="1:50">
      <c r="A6458" s="1">
        <f>HYPERLINK("https://lsnyc.legalserver.org/matter/dynamic-profile/view/1893899","19-1893899")</f>
        <v>0</v>
      </c>
      <c r="B6458" t="s">
        <v>258</v>
      </c>
      <c r="C6458" t="s">
        <v>341</v>
      </c>
      <c r="D6458" t="s">
        <v>755</v>
      </c>
      <c r="E6458" t="s">
        <v>822</v>
      </c>
      <c r="F6458" t="s">
        <v>3690</v>
      </c>
      <c r="G6458" t="s">
        <v>8033</v>
      </c>
      <c r="H6458" t="s">
        <v>14290</v>
      </c>
      <c r="I6458" t="s">
        <v>17944</v>
      </c>
      <c r="J6458" t="s">
        <v>18939</v>
      </c>
      <c r="K6458">
        <v>11423</v>
      </c>
      <c r="L6458" t="s">
        <v>18958</v>
      </c>
      <c r="M6458" t="s">
        <v>18958</v>
      </c>
      <c r="N6458" t="s">
        <v>23702</v>
      </c>
      <c r="O6458" t="s">
        <v>26524</v>
      </c>
      <c r="P6458" t="s">
        <v>26564</v>
      </c>
      <c r="Q6458" t="s">
        <v>26570</v>
      </c>
      <c r="R6458" t="s">
        <v>26584</v>
      </c>
      <c r="S6458" t="s">
        <v>18959</v>
      </c>
      <c r="U6458" t="s">
        <v>26604</v>
      </c>
      <c r="V6458" t="s">
        <v>26610</v>
      </c>
      <c r="W6458" t="s">
        <v>755</v>
      </c>
      <c r="X6458">
        <v>1000</v>
      </c>
      <c r="Y6458" t="s">
        <v>26653</v>
      </c>
      <c r="Z6458" t="s">
        <v>26664</v>
      </c>
      <c r="AA6458" t="s">
        <v>26683</v>
      </c>
      <c r="AB6458" t="s">
        <v>29912</v>
      </c>
      <c r="AC6458" t="s">
        <v>34738</v>
      </c>
      <c r="AD6458" t="s">
        <v>41957</v>
      </c>
      <c r="AE6458">
        <v>65</v>
      </c>
      <c r="AF6458" t="s">
        <v>45541</v>
      </c>
      <c r="AG6458" t="s">
        <v>19330</v>
      </c>
      <c r="AH6458">
        <v>1</v>
      </c>
      <c r="AI6458">
        <v>1</v>
      </c>
      <c r="AJ6458">
        <v>0</v>
      </c>
      <c r="AK6458">
        <v>0</v>
      </c>
      <c r="AN6458" t="s">
        <v>7439</v>
      </c>
      <c r="AO6458">
        <v>0</v>
      </c>
      <c r="AU6458">
        <v>1.8</v>
      </c>
      <c r="AV6458" t="s">
        <v>787</v>
      </c>
      <c r="AW6458" t="s">
        <v>208</v>
      </c>
      <c r="AX6458" t="s">
        <v>46897</v>
      </c>
    </row>
    <row r="6459" spans="1:50">
      <c r="A6459" s="1">
        <f>HYPERLINK("https://lsnyc.legalserver.org/matter/dynamic-profile/view/1893910","19-1893910")</f>
        <v>0</v>
      </c>
      <c r="B6459" t="s">
        <v>258</v>
      </c>
      <c r="C6459" t="s">
        <v>341</v>
      </c>
      <c r="D6459" t="s">
        <v>755</v>
      </c>
      <c r="E6459" t="s">
        <v>762</v>
      </c>
      <c r="F6459" t="s">
        <v>979</v>
      </c>
      <c r="G6459" t="s">
        <v>8034</v>
      </c>
      <c r="H6459" t="s">
        <v>14291</v>
      </c>
      <c r="I6459" t="s">
        <v>17375</v>
      </c>
      <c r="J6459" t="s">
        <v>18939</v>
      </c>
      <c r="K6459">
        <v>11423</v>
      </c>
      <c r="L6459" t="s">
        <v>18958</v>
      </c>
      <c r="M6459" t="s">
        <v>18958</v>
      </c>
      <c r="N6459" t="s">
        <v>23703</v>
      </c>
      <c r="O6459" t="s">
        <v>26523</v>
      </c>
      <c r="P6459" t="s">
        <v>26564</v>
      </c>
      <c r="Q6459" t="s">
        <v>26570</v>
      </c>
      <c r="R6459" t="s">
        <v>26584</v>
      </c>
      <c r="S6459" t="s">
        <v>18959</v>
      </c>
      <c r="U6459" t="s">
        <v>26604</v>
      </c>
      <c r="V6459" t="s">
        <v>26611</v>
      </c>
      <c r="W6459" t="s">
        <v>755</v>
      </c>
      <c r="X6459">
        <v>1450</v>
      </c>
      <c r="Y6459" t="s">
        <v>26653</v>
      </c>
      <c r="Z6459" t="s">
        <v>26664</v>
      </c>
      <c r="AA6459" t="s">
        <v>26683</v>
      </c>
      <c r="AB6459" t="s">
        <v>31705</v>
      </c>
      <c r="AC6459" t="s">
        <v>36179</v>
      </c>
      <c r="AD6459" t="s">
        <v>41958</v>
      </c>
      <c r="AE6459">
        <v>4</v>
      </c>
      <c r="AF6459" t="s">
        <v>45547</v>
      </c>
      <c r="AG6459" t="s">
        <v>19330</v>
      </c>
      <c r="AH6459">
        <v>-1</v>
      </c>
      <c r="AI6459">
        <v>2</v>
      </c>
      <c r="AJ6459">
        <v>0</v>
      </c>
      <c r="AK6459">
        <v>36.69</v>
      </c>
      <c r="AN6459" t="s">
        <v>7439</v>
      </c>
      <c r="AO6459">
        <v>6204</v>
      </c>
      <c r="AU6459">
        <v>3.55</v>
      </c>
      <c r="AV6459" t="s">
        <v>775</v>
      </c>
      <c r="AW6459" t="s">
        <v>208</v>
      </c>
      <c r="AX6459" t="s">
        <v>46898</v>
      </c>
    </row>
    <row r="6460" spans="1:50">
      <c r="A6460" s="1">
        <f>HYPERLINK("https://lsnyc.legalserver.org/matter/dynamic-profile/view/1893927","19-1893927")</f>
        <v>0</v>
      </c>
      <c r="B6460" t="s">
        <v>258</v>
      </c>
      <c r="C6460" t="s">
        <v>341</v>
      </c>
      <c r="D6460" t="s">
        <v>755</v>
      </c>
      <c r="E6460" t="s">
        <v>822</v>
      </c>
      <c r="F6460" t="s">
        <v>1024</v>
      </c>
      <c r="G6460" t="s">
        <v>2368</v>
      </c>
      <c r="H6460" t="s">
        <v>14292</v>
      </c>
      <c r="I6460" t="s">
        <v>17375</v>
      </c>
      <c r="J6460" t="s">
        <v>18939</v>
      </c>
      <c r="K6460">
        <v>11423</v>
      </c>
      <c r="L6460" t="s">
        <v>18958</v>
      </c>
      <c r="M6460" t="s">
        <v>18958</v>
      </c>
      <c r="N6460" t="s">
        <v>23704</v>
      </c>
      <c r="O6460" t="s">
        <v>26524</v>
      </c>
      <c r="P6460" t="s">
        <v>26564</v>
      </c>
      <c r="Q6460" t="s">
        <v>26570</v>
      </c>
      <c r="R6460" t="s">
        <v>26584</v>
      </c>
      <c r="S6460" t="s">
        <v>18959</v>
      </c>
      <c r="U6460" t="s">
        <v>26604</v>
      </c>
      <c r="V6460" t="s">
        <v>26609</v>
      </c>
      <c r="W6460" t="s">
        <v>755</v>
      </c>
      <c r="X6460">
        <v>1200</v>
      </c>
      <c r="Y6460" t="s">
        <v>26653</v>
      </c>
      <c r="Z6460" t="s">
        <v>26664</v>
      </c>
      <c r="AA6460" t="s">
        <v>26683</v>
      </c>
      <c r="AB6460" t="s">
        <v>31706</v>
      </c>
      <c r="AD6460" t="s">
        <v>41959</v>
      </c>
      <c r="AE6460">
        <v>2</v>
      </c>
      <c r="AF6460" t="s">
        <v>20460</v>
      </c>
      <c r="AG6460" t="s">
        <v>45556</v>
      </c>
      <c r="AH6460">
        <v>-1</v>
      </c>
      <c r="AI6460">
        <v>1</v>
      </c>
      <c r="AJ6460">
        <v>0</v>
      </c>
      <c r="AK6460">
        <v>88.06999999999999</v>
      </c>
      <c r="AN6460" t="s">
        <v>7439</v>
      </c>
      <c r="AO6460">
        <v>11000</v>
      </c>
      <c r="AU6460">
        <v>1.7</v>
      </c>
      <c r="AV6460" t="s">
        <v>787</v>
      </c>
      <c r="AW6460" t="s">
        <v>208</v>
      </c>
    </row>
    <row r="6461" spans="1:50">
      <c r="A6461" s="1">
        <f>HYPERLINK("https://lsnyc.legalserver.org/matter/dynamic-profile/view/1893938","19-1893938")</f>
        <v>0</v>
      </c>
      <c r="B6461" t="s">
        <v>93</v>
      </c>
      <c r="C6461" t="s">
        <v>341</v>
      </c>
      <c r="D6461" t="s">
        <v>755</v>
      </c>
      <c r="E6461" t="s">
        <v>802</v>
      </c>
      <c r="F6461" t="s">
        <v>3691</v>
      </c>
      <c r="G6461" t="s">
        <v>8035</v>
      </c>
      <c r="H6461" t="s">
        <v>14293</v>
      </c>
      <c r="I6461" t="s">
        <v>17491</v>
      </c>
      <c r="J6461" t="s">
        <v>18919</v>
      </c>
      <c r="K6461">
        <v>11429</v>
      </c>
      <c r="L6461" t="s">
        <v>18958</v>
      </c>
      <c r="M6461" t="s">
        <v>18958</v>
      </c>
      <c r="N6461" t="s">
        <v>23705</v>
      </c>
      <c r="O6461" t="s">
        <v>26524</v>
      </c>
      <c r="P6461" t="s">
        <v>26564</v>
      </c>
      <c r="Q6461" t="s">
        <v>26570</v>
      </c>
      <c r="R6461" t="s">
        <v>26584</v>
      </c>
      <c r="S6461" t="s">
        <v>18959</v>
      </c>
      <c r="U6461" t="s">
        <v>26604</v>
      </c>
      <c r="W6461" t="s">
        <v>755</v>
      </c>
      <c r="X6461">
        <v>1500</v>
      </c>
      <c r="Y6461" t="s">
        <v>26653</v>
      </c>
      <c r="Z6461" t="s">
        <v>26664</v>
      </c>
      <c r="AA6461" t="s">
        <v>26683</v>
      </c>
      <c r="AB6461" t="s">
        <v>31707</v>
      </c>
      <c r="AD6461" t="s">
        <v>41960</v>
      </c>
      <c r="AE6461">
        <v>0</v>
      </c>
      <c r="AF6461" t="s">
        <v>20460</v>
      </c>
      <c r="AG6461" t="s">
        <v>19330</v>
      </c>
      <c r="AH6461">
        <v>5</v>
      </c>
      <c r="AI6461">
        <v>2</v>
      </c>
      <c r="AJ6461">
        <v>4</v>
      </c>
      <c r="AK6461">
        <v>0</v>
      </c>
      <c r="AN6461" t="s">
        <v>45585</v>
      </c>
      <c r="AO6461">
        <v>0</v>
      </c>
      <c r="AU6461">
        <v>2.05</v>
      </c>
      <c r="AV6461" t="s">
        <v>794</v>
      </c>
      <c r="AW6461" t="s">
        <v>208</v>
      </c>
    </row>
    <row r="6462" spans="1:50">
      <c r="A6462" s="1">
        <f>HYPERLINK("https://lsnyc.legalserver.org/matter/dynamic-profile/view/1893967","19-1893967")</f>
        <v>0</v>
      </c>
      <c r="B6462" t="s">
        <v>64</v>
      </c>
      <c r="C6462" t="s">
        <v>341</v>
      </c>
      <c r="D6462" t="s">
        <v>755</v>
      </c>
      <c r="E6462" t="s">
        <v>810</v>
      </c>
      <c r="F6462" t="s">
        <v>2641</v>
      </c>
      <c r="G6462" t="s">
        <v>8036</v>
      </c>
      <c r="H6462" t="s">
        <v>14294</v>
      </c>
      <c r="I6462" t="s">
        <v>17278</v>
      </c>
      <c r="J6462" t="s">
        <v>18892</v>
      </c>
      <c r="K6462">
        <v>10456</v>
      </c>
      <c r="L6462" t="s">
        <v>18958</v>
      </c>
      <c r="M6462" t="s">
        <v>18958</v>
      </c>
      <c r="N6462" t="s">
        <v>23706</v>
      </c>
      <c r="O6462" t="s">
        <v>26523</v>
      </c>
      <c r="P6462" t="s">
        <v>26560</v>
      </c>
      <c r="Q6462" t="s">
        <v>26568</v>
      </c>
      <c r="R6462" t="s">
        <v>26577</v>
      </c>
      <c r="U6462" t="s">
        <v>26604</v>
      </c>
      <c r="V6462" t="s">
        <v>26611</v>
      </c>
      <c r="W6462" t="s">
        <v>755</v>
      </c>
      <c r="X6462">
        <v>1271</v>
      </c>
      <c r="Y6462" t="s">
        <v>26650</v>
      </c>
      <c r="Z6462" t="s">
        <v>26659</v>
      </c>
      <c r="AA6462" t="s">
        <v>26678</v>
      </c>
      <c r="AB6462" t="s">
        <v>31708</v>
      </c>
      <c r="AC6462" t="s">
        <v>36180</v>
      </c>
      <c r="AD6462" t="s">
        <v>41961</v>
      </c>
      <c r="AE6462">
        <v>0</v>
      </c>
      <c r="AF6462" t="s">
        <v>45541</v>
      </c>
      <c r="AG6462" t="s">
        <v>45556</v>
      </c>
      <c r="AH6462">
        <v>9</v>
      </c>
      <c r="AI6462">
        <v>1</v>
      </c>
      <c r="AJ6462">
        <v>0</v>
      </c>
      <c r="AK6462">
        <v>76.86</v>
      </c>
      <c r="AN6462" t="s">
        <v>7439</v>
      </c>
      <c r="AO6462">
        <v>9600</v>
      </c>
      <c r="AQ6462" t="s">
        <v>46364</v>
      </c>
      <c r="AR6462" t="s">
        <v>46379</v>
      </c>
      <c r="AS6462" t="s">
        <v>46499</v>
      </c>
      <c r="AT6462" t="s">
        <v>46601</v>
      </c>
      <c r="AU6462">
        <v>10</v>
      </c>
      <c r="AV6462" t="s">
        <v>767</v>
      </c>
      <c r="AW6462" t="s">
        <v>334</v>
      </c>
    </row>
    <row r="6463" spans="1:50">
      <c r="A6463" s="1">
        <f>HYPERLINK("https://lsnyc.legalserver.org/matter/dynamic-profile/view/1893912","19-1893912")</f>
        <v>0</v>
      </c>
      <c r="B6463" t="s">
        <v>263</v>
      </c>
      <c r="C6463" t="s">
        <v>341</v>
      </c>
      <c r="D6463" t="s">
        <v>755</v>
      </c>
      <c r="E6463" t="s">
        <v>767</v>
      </c>
      <c r="F6463" t="s">
        <v>881</v>
      </c>
      <c r="G6463" t="s">
        <v>5547</v>
      </c>
      <c r="H6463" t="s">
        <v>14295</v>
      </c>
      <c r="I6463" t="s">
        <v>17306</v>
      </c>
      <c r="J6463" t="s">
        <v>18892</v>
      </c>
      <c r="K6463">
        <v>10452</v>
      </c>
      <c r="L6463" t="s">
        <v>18958</v>
      </c>
      <c r="M6463" t="s">
        <v>18958</v>
      </c>
      <c r="O6463" t="s">
        <v>18997</v>
      </c>
      <c r="P6463" t="s">
        <v>26564</v>
      </c>
      <c r="Q6463" t="s">
        <v>26570</v>
      </c>
      <c r="R6463" t="s">
        <v>26578</v>
      </c>
      <c r="S6463" t="s">
        <v>18959</v>
      </c>
      <c r="U6463" t="s">
        <v>26604</v>
      </c>
      <c r="W6463" t="s">
        <v>755</v>
      </c>
      <c r="X6463">
        <v>0</v>
      </c>
      <c r="Y6463" t="s">
        <v>26650</v>
      </c>
      <c r="Z6463" t="s">
        <v>26663</v>
      </c>
      <c r="AA6463" t="s">
        <v>26683</v>
      </c>
      <c r="AB6463" t="s">
        <v>31709</v>
      </c>
      <c r="AD6463" t="s">
        <v>41962</v>
      </c>
      <c r="AE6463">
        <v>0</v>
      </c>
      <c r="AF6463" t="s">
        <v>20460</v>
      </c>
      <c r="AH6463">
        <v>5</v>
      </c>
      <c r="AI6463">
        <v>1</v>
      </c>
      <c r="AJ6463">
        <v>0</v>
      </c>
      <c r="AK6463">
        <v>0</v>
      </c>
      <c r="AN6463" t="s">
        <v>45581</v>
      </c>
      <c r="AO6463">
        <v>0</v>
      </c>
      <c r="AU6463">
        <v>1.75</v>
      </c>
      <c r="AV6463" t="s">
        <v>781</v>
      </c>
      <c r="AW6463" t="s">
        <v>46829</v>
      </c>
    </row>
    <row r="6464" spans="1:50">
      <c r="A6464" s="1">
        <f>HYPERLINK("https://lsnyc.legalserver.org/matter/dynamic-profile/view/1900276","19-1900276")</f>
        <v>0</v>
      </c>
      <c r="B6464" t="s">
        <v>106</v>
      </c>
      <c r="C6464" t="s">
        <v>341</v>
      </c>
      <c r="D6464" t="s">
        <v>755</v>
      </c>
      <c r="E6464" t="s">
        <v>797</v>
      </c>
      <c r="F6464" t="s">
        <v>3692</v>
      </c>
      <c r="G6464" t="s">
        <v>5295</v>
      </c>
      <c r="H6464" t="s">
        <v>14296</v>
      </c>
      <c r="I6464" t="s">
        <v>17420</v>
      </c>
      <c r="J6464" t="s">
        <v>18894</v>
      </c>
      <c r="K6464">
        <v>11212</v>
      </c>
      <c r="L6464" t="s">
        <v>18958</v>
      </c>
      <c r="M6464" t="s">
        <v>18960</v>
      </c>
      <c r="N6464" t="s">
        <v>23707</v>
      </c>
      <c r="O6464" t="s">
        <v>26523</v>
      </c>
      <c r="P6464" t="s">
        <v>26560</v>
      </c>
      <c r="Q6464" t="s">
        <v>26573</v>
      </c>
      <c r="R6464" t="s">
        <v>26586</v>
      </c>
      <c r="S6464" t="s">
        <v>18959</v>
      </c>
      <c r="U6464" t="s">
        <v>26605</v>
      </c>
      <c r="V6464" t="s">
        <v>26610</v>
      </c>
      <c r="W6464" t="s">
        <v>755</v>
      </c>
      <c r="X6464">
        <v>473</v>
      </c>
      <c r="Y6464" t="s">
        <v>26652</v>
      </c>
      <c r="Z6464" t="s">
        <v>26659</v>
      </c>
      <c r="AA6464" t="s">
        <v>26680</v>
      </c>
      <c r="AB6464" t="s">
        <v>31710</v>
      </c>
      <c r="AD6464" t="s">
        <v>41963</v>
      </c>
      <c r="AE6464">
        <v>0</v>
      </c>
      <c r="AF6464" t="s">
        <v>45549</v>
      </c>
      <c r="AG6464" t="s">
        <v>19330</v>
      </c>
      <c r="AH6464">
        <v>0</v>
      </c>
      <c r="AI6464">
        <v>2</v>
      </c>
      <c r="AJ6464">
        <v>4</v>
      </c>
      <c r="AK6464">
        <v>13.88</v>
      </c>
      <c r="AN6464" t="s">
        <v>7439</v>
      </c>
      <c r="AO6464">
        <v>4800</v>
      </c>
      <c r="AS6464" t="s">
        <v>46499</v>
      </c>
      <c r="AT6464" t="s">
        <v>46793</v>
      </c>
      <c r="AU6464">
        <v>1.4</v>
      </c>
      <c r="AV6464" t="s">
        <v>797</v>
      </c>
      <c r="AW6464" t="s">
        <v>106</v>
      </c>
    </row>
    <row r="6465" spans="1:50">
      <c r="A6465" s="1">
        <f>HYPERLINK("https://lsnyc.legalserver.org/matter/dynamic-profile/view/1893965","19-1893965")</f>
        <v>0</v>
      </c>
      <c r="B6465" t="s">
        <v>98</v>
      </c>
      <c r="C6465" t="s">
        <v>340</v>
      </c>
      <c r="D6465" t="s">
        <v>755</v>
      </c>
      <c r="F6465" t="s">
        <v>1033</v>
      </c>
      <c r="G6465" t="s">
        <v>5849</v>
      </c>
      <c r="H6465" t="s">
        <v>14297</v>
      </c>
      <c r="I6465" t="s">
        <v>17306</v>
      </c>
      <c r="J6465" t="s">
        <v>18892</v>
      </c>
      <c r="K6465">
        <v>10457</v>
      </c>
      <c r="L6465" t="s">
        <v>18958</v>
      </c>
      <c r="M6465" t="s">
        <v>18958</v>
      </c>
      <c r="O6465" t="s">
        <v>18997</v>
      </c>
      <c r="P6465" t="s">
        <v>26564</v>
      </c>
      <c r="R6465" t="s">
        <v>26591</v>
      </c>
      <c r="S6465" t="s">
        <v>18959</v>
      </c>
      <c r="U6465" t="s">
        <v>26604</v>
      </c>
      <c r="W6465" t="s">
        <v>755</v>
      </c>
      <c r="X6465">
        <v>187</v>
      </c>
      <c r="Y6465" t="s">
        <v>26650</v>
      </c>
      <c r="Z6465" t="s">
        <v>26663</v>
      </c>
      <c r="AB6465" t="s">
        <v>27477</v>
      </c>
      <c r="AD6465" t="s">
        <v>41964</v>
      </c>
      <c r="AE6465">
        <v>74</v>
      </c>
      <c r="AF6465" t="s">
        <v>45549</v>
      </c>
      <c r="AG6465" t="s">
        <v>19330</v>
      </c>
      <c r="AH6465">
        <v>10</v>
      </c>
      <c r="AI6465">
        <v>1</v>
      </c>
      <c r="AJ6465">
        <v>0</v>
      </c>
      <c r="AK6465">
        <v>128.39</v>
      </c>
      <c r="AN6465" t="s">
        <v>7439</v>
      </c>
      <c r="AO6465">
        <v>16036.28</v>
      </c>
      <c r="AP6465" t="s">
        <v>46021</v>
      </c>
      <c r="AU6465">
        <v>1.2</v>
      </c>
      <c r="AV6465" t="s">
        <v>755</v>
      </c>
      <c r="AW6465" t="s">
        <v>98</v>
      </c>
    </row>
    <row r="6466" spans="1:50">
      <c r="A6466" s="1">
        <f>HYPERLINK("https://lsnyc.legalserver.org/matter/dynamic-profile/view/1894024","19-1894024")</f>
        <v>0</v>
      </c>
      <c r="B6466" t="s">
        <v>98</v>
      </c>
      <c r="C6466" t="s">
        <v>340</v>
      </c>
      <c r="D6466" t="s">
        <v>755</v>
      </c>
      <c r="F6466" t="s">
        <v>3693</v>
      </c>
      <c r="G6466" t="s">
        <v>5868</v>
      </c>
      <c r="H6466" t="s">
        <v>14298</v>
      </c>
      <c r="I6466" t="s">
        <v>17522</v>
      </c>
      <c r="J6466" t="s">
        <v>18892</v>
      </c>
      <c r="K6466">
        <v>10452</v>
      </c>
      <c r="L6466" t="s">
        <v>18958</v>
      </c>
      <c r="M6466" t="s">
        <v>18958</v>
      </c>
      <c r="O6466" t="s">
        <v>18997</v>
      </c>
      <c r="P6466" t="s">
        <v>26564</v>
      </c>
      <c r="R6466" t="s">
        <v>26578</v>
      </c>
      <c r="S6466" t="s">
        <v>18959</v>
      </c>
      <c r="U6466" t="s">
        <v>26604</v>
      </c>
      <c r="W6466" t="s">
        <v>755</v>
      </c>
      <c r="X6466">
        <v>100</v>
      </c>
      <c r="Y6466" t="s">
        <v>26650</v>
      </c>
      <c r="Z6466" t="s">
        <v>26663</v>
      </c>
      <c r="AB6466" t="s">
        <v>31711</v>
      </c>
      <c r="AE6466">
        <v>92</v>
      </c>
      <c r="AF6466" t="s">
        <v>45541</v>
      </c>
      <c r="AG6466" t="s">
        <v>45556</v>
      </c>
      <c r="AH6466">
        <v>9</v>
      </c>
      <c r="AI6466">
        <v>2</v>
      </c>
      <c r="AJ6466">
        <v>0</v>
      </c>
      <c r="AK6466">
        <v>0</v>
      </c>
      <c r="AN6466" t="s">
        <v>7439</v>
      </c>
      <c r="AO6466">
        <v>0</v>
      </c>
      <c r="AU6466">
        <v>2.5</v>
      </c>
      <c r="AV6466" t="s">
        <v>801</v>
      </c>
      <c r="AW6466" t="s">
        <v>98</v>
      </c>
    </row>
    <row r="6467" spans="1:50">
      <c r="A6467" s="1">
        <f>HYPERLINK("https://lsnyc.legalserver.org/matter/dynamic-profile/view/1893923","19-1893923")</f>
        <v>0</v>
      </c>
      <c r="B6467" t="s">
        <v>98</v>
      </c>
      <c r="C6467" t="s">
        <v>340</v>
      </c>
      <c r="D6467" t="s">
        <v>755</v>
      </c>
      <c r="F6467" t="s">
        <v>919</v>
      </c>
      <c r="G6467" t="s">
        <v>7850</v>
      </c>
      <c r="H6467" t="s">
        <v>13798</v>
      </c>
      <c r="I6467" t="s">
        <v>17845</v>
      </c>
      <c r="J6467" t="s">
        <v>18892</v>
      </c>
      <c r="K6467">
        <v>10453</v>
      </c>
      <c r="L6467" t="s">
        <v>18958</v>
      </c>
      <c r="M6467" t="s">
        <v>18958</v>
      </c>
      <c r="O6467" t="s">
        <v>26539</v>
      </c>
      <c r="P6467" t="s">
        <v>26562</v>
      </c>
      <c r="R6467" t="s">
        <v>26578</v>
      </c>
      <c r="S6467" t="s">
        <v>18959</v>
      </c>
      <c r="U6467" t="s">
        <v>26607</v>
      </c>
      <c r="W6467" t="s">
        <v>755</v>
      </c>
      <c r="X6467">
        <v>1020.49</v>
      </c>
      <c r="Y6467" t="s">
        <v>26650</v>
      </c>
      <c r="Z6467" t="s">
        <v>26667</v>
      </c>
      <c r="AB6467" t="s">
        <v>31712</v>
      </c>
      <c r="AD6467" t="s">
        <v>41965</v>
      </c>
      <c r="AE6467">
        <v>170</v>
      </c>
      <c r="AF6467" t="s">
        <v>45541</v>
      </c>
      <c r="AG6467" t="s">
        <v>19330</v>
      </c>
      <c r="AH6467">
        <v>10</v>
      </c>
      <c r="AI6467">
        <v>1</v>
      </c>
      <c r="AJ6467">
        <v>0</v>
      </c>
      <c r="AK6467">
        <v>144.12</v>
      </c>
      <c r="AN6467" t="s">
        <v>7439</v>
      </c>
      <c r="AO6467">
        <v>18000</v>
      </c>
      <c r="AU6467">
        <v>1.9</v>
      </c>
      <c r="AV6467" t="s">
        <v>789</v>
      </c>
      <c r="AW6467" t="s">
        <v>98</v>
      </c>
    </row>
    <row r="6468" spans="1:50">
      <c r="A6468" s="1">
        <f>HYPERLINK("https://lsnyc.legalserver.org/matter/dynamic-profile/view/1894028","19-1894028")</f>
        <v>0</v>
      </c>
      <c r="B6468" t="s">
        <v>98</v>
      </c>
      <c r="C6468" t="s">
        <v>340</v>
      </c>
      <c r="D6468" t="s">
        <v>755</v>
      </c>
      <c r="F6468" t="s">
        <v>2342</v>
      </c>
      <c r="G6468" t="s">
        <v>8037</v>
      </c>
      <c r="H6468" t="s">
        <v>12285</v>
      </c>
      <c r="I6468" t="s">
        <v>17347</v>
      </c>
      <c r="J6468" t="s">
        <v>18892</v>
      </c>
      <c r="K6468">
        <v>10455</v>
      </c>
      <c r="L6468" t="s">
        <v>18958</v>
      </c>
      <c r="M6468" t="s">
        <v>18958</v>
      </c>
      <c r="O6468" t="s">
        <v>18997</v>
      </c>
      <c r="P6468" t="s">
        <v>26564</v>
      </c>
      <c r="R6468" t="s">
        <v>26578</v>
      </c>
      <c r="S6468" t="s">
        <v>18959</v>
      </c>
      <c r="U6468" t="s">
        <v>26604</v>
      </c>
      <c r="W6468" t="s">
        <v>755</v>
      </c>
      <c r="X6468">
        <v>1007.33</v>
      </c>
      <c r="Y6468" t="s">
        <v>26650</v>
      </c>
      <c r="AB6468" t="s">
        <v>30074</v>
      </c>
      <c r="AE6468">
        <v>52</v>
      </c>
      <c r="AF6468" t="s">
        <v>45541</v>
      </c>
      <c r="AG6468" t="s">
        <v>45556</v>
      </c>
      <c r="AH6468">
        <v>13</v>
      </c>
      <c r="AI6468">
        <v>4</v>
      </c>
      <c r="AJ6468">
        <v>0</v>
      </c>
      <c r="AK6468">
        <v>153.79</v>
      </c>
      <c r="AN6468" t="s">
        <v>45581</v>
      </c>
      <c r="AO6468">
        <v>39600</v>
      </c>
      <c r="AU6468">
        <v>1.7</v>
      </c>
      <c r="AV6468" t="s">
        <v>755</v>
      </c>
      <c r="AW6468" t="s">
        <v>98</v>
      </c>
      <c r="AX6468" t="s">
        <v>46897</v>
      </c>
    </row>
    <row r="6469" spans="1:50">
      <c r="A6469" s="1">
        <f>HYPERLINK("https://lsnyc.legalserver.org/matter/dynamic-profile/view/1893957","19-1893957")</f>
        <v>0</v>
      </c>
      <c r="B6469" t="s">
        <v>98</v>
      </c>
      <c r="C6469" t="s">
        <v>340</v>
      </c>
      <c r="D6469" t="s">
        <v>755</v>
      </c>
      <c r="F6469" t="s">
        <v>1123</v>
      </c>
      <c r="G6469" t="s">
        <v>5330</v>
      </c>
      <c r="H6469" t="s">
        <v>10156</v>
      </c>
      <c r="I6469" t="s">
        <v>17274</v>
      </c>
      <c r="J6469" t="s">
        <v>18892</v>
      </c>
      <c r="K6469">
        <v>10456</v>
      </c>
      <c r="L6469" t="s">
        <v>18958</v>
      </c>
      <c r="M6469" t="s">
        <v>18958</v>
      </c>
      <c r="O6469" t="s">
        <v>18997</v>
      </c>
      <c r="P6469" t="s">
        <v>26564</v>
      </c>
      <c r="R6469" t="s">
        <v>26578</v>
      </c>
      <c r="S6469" t="s">
        <v>18959</v>
      </c>
      <c r="U6469" t="s">
        <v>26604</v>
      </c>
      <c r="W6469" t="s">
        <v>755</v>
      </c>
      <c r="X6469">
        <v>1404.38</v>
      </c>
      <c r="Y6469" t="s">
        <v>26650</v>
      </c>
      <c r="Z6469" t="s">
        <v>26663</v>
      </c>
      <c r="AB6469" t="s">
        <v>31713</v>
      </c>
      <c r="AD6469" t="s">
        <v>41966</v>
      </c>
      <c r="AE6469">
        <v>131</v>
      </c>
      <c r="AF6469" t="s">
        <v>45541</v>
      </c>
      <c r="AG6469" t="s">
        <v>19330</v>
      </c>
      <c r="AH6469">
        <v>4</v>
      </c>
      <c r="AI6469">
        <v>1</v>
      </c>
      <c r="AJ6469">
        <v>1</v>
      </c>
      <c r="AK6469">
        <v>183.28</v>
      </c>
      <c r="AN6469" t="s">
        <v>45581</v>
      </c>
      <c r="AO6469">
        <v>30992</v>
      </c>
      <c r="AU6469">
        <v>1.7</v>
      </c>
      <c r="AV6469" t="s">
        <v>788</v>
      </c>
      <c r="AW6469" t="s">
        <v>98</v>
      </c>
    </row>
    <row r="6470" spans="1:50">
      <c r="A6470" s="1">
        <f>HYPERLINK("https://lsnyc.legalserver.org/matter/dynamic-profile/view/1893980","19-1893980")</f>
        <v>0</v>
      </c>
      <c r="B6470" t="s">
        <v>98</v>
      </c>
      <c r="C6470" t="s">
        <v>340</v>
      </c>
      <c r="D6470" t="s">
        <v>755</v>
      </c>
      <c r="F6470" t="s">
        <v>1228</v>
      </c>
      <c r="G6470" t="s">
        <v>5739</v>
      </c>
      <c r="H6470" t="s">
        <v>11428</v>
      </c>
      <c r="I6470" t="s">
        <v>17272</v>
      </c>
      <c r="J6470" t="s">
        <v>18892</v>
      </c>
      <c r="K6470">
        <v>10453</v>
      </c>
      <c r="L6470" t="s">
        <v>18958</v>
      </c>
      <c r="M6470" t="s">
        <v>18958</v>
      </c>
      <c r="O6470" t="s">
        <v>18997</v>
      </c>
      <c r="P6470" t="s">
        <v>26565</v>
      </c>
      <c r="R6470" t="s">
        <v>26578</v>
      </c>
      <c r="S6470" t="s">
        <v>18959</v>
      </c>
      <c r="U6470" t="s">
        <v>26604</v>
      </c>
      <c r="W6470" t="s">
        <v>755</v>
      </c>
      <c r="X6470">
        <v>1250</v>
      </c>
      <c r="Y6470" t="s">
        <v>26650</v>
      </c>
      <c r="Z6470" t="s">
        <v>26659</v>
      </c>
      <c r="AB6470" t="s">
        <v>28630</v>
      </c>
      <c r="AD6470" t="s">
        <v>38682</v>
      </c>
      <c r="AE6470">
        <v>21</v>
      </c>
      <c r="AF6470" t="s">
        <v>45541</v>
      </c>
      <c r="AG6470" t="s">
        <v>19330</v>
      </c>
      <c r="AH6470">
        <v>4</v>
      </c>
      <c r="AI6470">
        <v>3</v>
      </c>
      <c r="AJ6470">
        <v>0</v>
      </c>
      <c r="AK6470">
        <v>365.68</v>
      </c>
      <c r="AN6470" t="s">
        <v>45581</v>
      </c>
      <c r="AO6470">
        <v>78000</v>
      </c>
      <c r="AU6470">
        <v>2.3</v>
      </c>
      <c r="AV6470" t="s">
        <v>791</v>
      </c>
      <c r="AW6470" t="s">
        <v>98</v>
      </c>
    </row>
    <row r="6471" spans="1:50">
      <c r="A6471" s="1">
        <f>HYPERLINK("https://lsnyc.legalserver.org/matter/dynamic-profile/view/1893945","19-1893945")</f>
        <v>0</v>
      </c>
      <c r="B6471" t="s">
        <v>258</v>
      </c>
      <c r="C6471" t="s">
        <v>340</v>
      </c>
      <c r="D6471" t="s">
        <v>755</v>
      </c>
      <c r="F6471" t="s">
        <v>1700</v>
      </c>
      <c r="G6471" t="s">
        <v>5147</v>
      </c>
      <c r="H6471" t="s">
        <v>14299</v>
      </c>
      <c r="J6471" t="s">
        <v>7026</v>
      </c>
      <c r="K6471">
        <v>11368</v>
      </c>
      <c r="L6471" t="s">
        <v>18958</v>
      </c>
      <c r="M6471" t="s">
        <v>18958</v>
      </c>
      <c r="N6471" t="s">
        <v>23708</v>
      </c>
      <c r="O6471" t="s">
        <v>26523</v>
      </c>
      <c r="P6471" t="s">
        <v>26560</v>
      </c>
      <c r="R6471" t="s">
        <v>26578</v>
      </c>
      <c r="S6471" t="s">
        <v>18959</v>
      </c>
      <c r="U6471" t="s">
        <v>26604</v>
      </c>
      <c r="V6471" t="s">
        <v>26611</v>
      </c>
      <c r="W6471" t="s">
        <v>755</v>
      </c>
      <c r="X6471">
        <v>2010</v>
      </c>
      <c r="Y6471" t="s">
        <v>26653</v>
      </c>
      <c r="Z6471" t="s">
        <v>26664</v>
      </c>
      <c r="AB6471" t="s">
        <v>27879</v>
      </c>
      <c r="AD6471" t="s">
        <v>37930</v>
      </c>
      <c r="AE6471">
        <v>232</v>
      </c>
      <c r="AF6471" t="s">
        <v>45541</v>
      </c>
      <c r="AG6471" t="s">
        <v>19330</v>
      </c>
      <c r="AH6471">
        <v>1</v>
      </c>
      <c r="AI6471">
        <v>1</v>
      </c>
      <c r="AJ6471">
        <v>2</v>
      </c>
      <c r="AK6471">
        <v>183.33</v>
      </c>
      <c r="AN6471" t="s">
        <v>7439</v>
      </c>
      <c r="AO6471">
        <v>39104</v>
      </c>
      <c r="AU6471">
        <v>28.6</v>
      </c>
      <c r="AV6471" t="s">
        <v>831</v>
      </c>
      <c r="AW6471" t="s">
        <v>208</v>
      </c>
    </row>
    <row r="6472" spans="1:50">
      <c r="A6472" s="1">
        <f>HYPERLINK("https://lsnyc.legalserver.org/matter/dynamic-profile/view/1894026","19-1894026")</f>
        <v>0</v>
      </c>
      <c r="B6472" t="s">
        <v>135</v>
      </c>
      <c r="C6472" t="s">
        <v>340</v>
      </c>
      <c r="D6472" t="s">
        <v>755</v>
      </c>
      <c r="F6472" t="s">
        <v>3694</v>
      </c>
      <c r="G6472" t="s">
        <v>6798</v>
      </c>
      <c r="H6472" t="s">
        <v>9741</v>
      </c>
      <c r="I6472" t="s">
        <v>17356</v>
      </c>
      <c r="J6472" t="s">
        <v>18892</v>
      </c>
      <c r="K6472">
        <v>10453</v>
      </c>
      <c r="L6472" t="s">
        <v>18958</v>
      </c>
      <c r="M6472" t="s">
        <v>18958</v>
      </c>
      <c r="N6472" t="s">
        <v>23709</v>
      </c>
      <c r="O6472" t="s">
        <v>26523</v>
      </c>
      <c r="P6472" t="s">
        <v>26560</v>
      </c>
      <c r="R6472" t="s">
        <v>26578</v>
      </c>
      <c r="S6472" t="s">
        <v>18959</v>
      </c>
      <c r="U6472" t="s">
        <v>26604</v>
      </c>
      <c r="W6472" t="s">
        <v>755</v>
      </c>
      <c r="X6472">
        <v>169</v>
      </c>
      <c r="Y6472" t="s">
        <v>26650</v>
      </c>
      <c r="Z6472" t="s">
        <v>26663</v>
      </c>
      <c r="AB6472" t="s">
        <v>31714</v>
      </c>
      <c r="AE6472">
        <v>99</v>
      </c>
      <c r="AF6472" t="s">
        <v>45541</v>
      </c>
      <c r="AG6472" t="s">
        <v>45556</v>
      </c>
      <c r="AH6472">
        <v>6</v>
      </c>
      <c r="AI6472">
        <v>1</v>
      </c>
      <c r="AJ6472">
        <v>0</v>
      </c>
      <c r="AK6472">
        <v>0</v>
      </c>
      <c r="AN6472" t="s">
        <v>7439</v>
      </c>
      <c r="AO6472">
        <v>0</v>
      </c>
      <c r="AU6472">
        <v>19.2</v>
      </c>
      <c r="AV6472" t="s">
        <v>832</v>
      </c>
      <c r="AW6472" t="s">
        <v>98</v>
      </c>
    </row>
    <row r="6473" spans="1:50">
      <c r="A6473" s="1">
        <f>HYPERLINK("https://lsnyc.legalserver.org/matter/dynamic-profile/view/1893920","19-1893920")</f>
        <v>0</v>
      </c>
      <c r="B6473" t="s">
        <v>110</v>
      </c>
      <c r="C6473" t="s">
        <v>340</v>
      </c>
      <c r="D6473" t="s">
        <v>755</v>
      </c>
      <c r="F6473" t="s">
        <v>880</v>
      </c>
      <c r="G6473" t="s">
        <v>8038</v>
      </c>
      <c r="H6473" t="s">
        <v>14300</v>
      </c>
      <c r="I6473" t="s">
        <v>17333</v>
      </c>
      <c r="J6473" t="s">
        <v>18913</v>
      </c>
      <c r="K6473">
        <v>11103</v>
      </c>
      <c r="L6473" t="s">
        <v>18958</v>
      </c>
      <c r="M6473" t="s">
        <v>18958</v>
      </c>
      <c r="N6473" t="s">
        <v>23710</v>
      </c>
      <c r="O6473" t="s">
        <v>26524</v>
      </c>
      <c r="P6473" t="s">
        <v>26560</v>
      </c>
      <c r="R6473" t="s">
        <v>26584</v>
      </c>
      <c r="S6473" t="s">
        <v>18959</v>
      </c>
      <c r="U6473" t="s">
        <v>26604</v>
      </c>
      <c r="V6473" t="s">
        <v>26610</v>
      </c>
      <c r="W6473" t="s">
        <v>755</v>
      </c>
      <c r="X6473">
        <v>1313</v>
      </c>
      <c r="Y6473" t="s">
        <v>26653</v>
      </c>
      <c r="Z6473" t="s">
        <v>26664</v>
      </c>
      <c r="AB6473" t="s">
        <v>31715</v>
      </c>
      <c r="AD6473" t="s">
        <v>41967</v>
      </c>
      <c r="AE6473">
        <v>6</v>
      </c>
      <c r="AF6473" t="s">
        <v>45541</v>
      </c>
      <c r="AG6473" t="s">
        <v>19330</v>
      </c>
      <c r="AH6473">
        <v>10</v>
      </c>
      <c r="AI6473">
        <v>2</v>
      </c>
      <c r="AJ6473">
        <v>2</v>
      </c>
      <c r="AK6473">
        <v>97.09</v>
      </c>
      <c r="AN6473" t="s">
        <v>7439</v>
      </c>
      <c r="AO6473">
        <v>25000</v>
      </c>
      <c r="AU6473">
        <v>49.15</v>
      </c>
      <c r="AV6473" t="s">
        <v>815</v>
      </c>
      <c r="AW6473" t="s">
        <v>208</v>
      </c>
    </row>
    <row r="6474" spans="1:50">
      <c r="A6474" s="1">
        <f>HYPERLINK("https://lsnyc.legalserver.org/matter/dynamic-profile/view/1893986","19-1893986")</f>
        <v>0</v>
      </c>
      <c r="B6474" t="s">
        <v>112</v>
      </c>
      <c r="C6474" t="s">
        <v>340</v>
      </c>
      <c r="D6474" t="s">
        <v>755</v>
      </c>
      <c r="F6474" t="s">
        <v>1326</v>
      </c>
      <c r="G6474" t="s">
        <v>2461</v>
      </c>
      <c r="H6474" t="s">
        <v>14301</v>
      </c>
      <c r="I6474" t="s">
        <v>17730</v>
      </c>
      <c r="J6474" t="s">
        <v>18913</v>
      </c>
      <c r="K6474">
        <v>11105</v>
      </c>
      <c r="L6474" t="s">
        <v>18958</v>
      </c>
      <c r="M6474" t="s">
        <v>18958</v>
      </c>
      <c r="N6474" t="s">
        <v>23711</v>
      </c>
      <c r="O6474" t="s">
        <v>26523</v>
      </c>
      <c r="P6474" t="s">
        <v>26563</v>
      </c>
      <c r="R6474" t="s">
        <v>26584</v>
      </c>
      <c r="S6474" t="s">
        <v>18958</v>
      </c>
      <c r="U6474" t="s">
        <v>26604</v>
      </c>
      <c r="W6474" t="s">
        <v>755</v>
      </c>
      <c r="X6474">
        <v>1320.58</v>
      </c>
      <c r="Y6474" t="s">
        <v>26653</v>
      </c>
      <c r="Z6474" t="s">
        <v>26664</v>
      </c>
      <c r="AB6474" t="s">
        <v>29901</v>
      </c>
      <c r="AD6474" t="s">
        <v>41968</v>
      </c>
      <c r="AE6474">
        <v>0</v>
      </c>
      <c r="AH6474">
        <v>0</v>
      </c>
      <c r="AI6474">
        <v>2</v>
      </c>
      <c r="AJ6474">
        <v>2</v>
      </c>
      <c r="AK6474">
        <v>100.97</v>
      </c>
      <c r="AN6474" t="s">
        <v>7439</v>
      </c>
      <c r="AO6474">
        <v>26000</v>
      </c>
      <c r="AU6474">
        <v>1</v>
      </c>
      <c r="AV6474" t="s">
        <v>755</v>
      </c>
      <c r="AW6474" t="s">
        <v>46884</v>
      </c>
    </row>
    <row r="6475" spans="1:50">
      <c r="A6475" s="1">
        <f>HYPERLINK("https://lsnyc.legalserver.org/matter/dynamic-profile/view/1893997","19-1893997")</f>
        <v>0</v>
      </c>
      <c r="B6475" t="s">
        <v>112</v>
      </c>
      <c r="C6475" t="s">
        <v>340</v>
      </c>
      <c r="D6475" t="s">
        <v>755</v>
      </c>
      <c r="F6475" t="s">
        <v>874</v>
      </c>
      <c r="G6475" t="s">
        <v>8039</v>
      </c>
      <c r="H6475" t="s">
        <v>14302</v>
      </c>
      <c r="J6475" t="s">
        <v>18901</v>
      </c>
      <c r="K6475">
        <v>11433</v>
      </c>
      <c r="L6475" t="s">
        <v>18958</v>
      </c>
      <c r="M6475" t="s">
        <v>18958</v>
      </c>
      <c r="N6475" t="s">
        <v>23712</v>
      </c>
      <c r="O6475" t="s">
        <v>26523</v>
      </c>
      <c r="P6475" t="s">
        <v>26563</v>
      </c>
      <c r="R6475" t="s">
        <v>26585</v>
      </c>
      <c r="U6475" t="s">
        <v>26604</v>
      </c>
      <c r="W6475" t="s">
        <v>755</v>
      </c>
      <c r="X6475">
        <v>800</v>
      </c>
      <c r="Y6475" t="s">
        <v>26653</v>
      </c>
      <c r="Z6475" t="s">
        <v>26664</v>
      </c>
      <c r="AB6475" t="s">
        <v>31716</v>
      </c>
      <c r="AD6475" t="s">
        <v>41969</v>
      </c>
      <c r="AE6475">
        <v>0</v>
      </c>
      <c r="AH6475">
        <v>0</v>
      </c>
      <c r="AI6475">
        <v>1</v>
      </c>
      <c r="AJ6475">
        <v>0</v>
      </c>
      <c r="AK6475">
        <v>160.13</v>
      </c>
      <c r="AN6475" t="s">
        <v>7439</v>
      </c>
      <c r="AO6475">
        <v>20000</v>
      </c>
      <c r="AU6475">
        <v>12.5</v>
      </c>
      <c r="AV6475" t="s">
        <v>760</v>
      </c>
      <c r="AW6475" t="s">
        <v>46884</v>
      </c>
    </row>
    <row r="6476" spans="1:50">
      <c r="A6476" s="1">
        <f>HYPERLINK("https://lsnyc.legalserver.org/matter/dynamic-profile/view/1894019","19-1894019")</f>
        <v>0</v>
      </c>
      <c r="B6476" t="s">
        <v>87</v>
      </c>
      <c r="C6476" t="s">
        <v>340</v>
      </c>
      <c r="D6476" t="s">
        <v>755</v>
      </c>
      <c r="F6476" t="s">
        <v>3695</v>
      </c>
      <c r="G6476" t="s">
        <v>8040</v>
      </c>
      <c r="H6476" t="s">
        <v>14303</v>
      </c>
      <c r="I6476" t="s">
        <v>17347</v>
      </c>
      <c r="J6476" t="s">
        <v>18892</v>
      </c>
      <c r="K6476">
        <v>10451</v>
      </c>
      <c r="L6476" t="s">
        <v>18958</v>
      </c>
      <c r="M6476" t="s">
        <v>18958</v>
      </c>
      <c r="N6476" t="s">
        <v>23713</v>
      </c>
      <c r="O6476" t="s">
        <v>26523</v>
      </c>
      <c r="P6476" t="s">
        <v>26560</v>
      </c>
      <c r="R6476" t="s">
        <v>26577</v>
      </c>
      <c r="S6476" t="s">
        <v>18959</v>
      </c>
      <c r="U6476" t="s">
        <v>26604</v>
      </c>
      <c r="V6476" t="s">
        <v>26612</v>
      </c>
      <c r="W6476" t="s">
        <v>755</v>
      </c>
      <c r="X6476">
        <v>283</v>
      </c>
      <c r="Y6476" t="s">
        <v>26650</v>
      </c>
      <c r="Z6476" t="s">
        <v>26668</v>
      </c>
      <c r="AB6476" t="s">
        <v>31717</v>
      </c>
      <c r="AC6476" t="s">
        <v>36181</v>
      </c>
      <c r="AD6476" t="s">
        <v>41970</v>
      </c>
      <c r="AE6476">
        <v>0</v>
      </c>
      <c r="AF6476" t="s">
        <v>45549</v>
      </c>
      <c r="AG6476" t="s">
        <v>19330</v>
      </c>
      <c r="AH6476">
        <v>2</v>
      </c>
      <c r="AI6476">
        <v>1</v>
      </c>
      <c r="AJ6476">
        <v>1</v>
      </c>
      <c r="AK6476">
        <v>184.97</v>
      </c>
      <c r="AN6476" t="s">
        <v>7439</v>
      </c>
      <c r="AO6476">
        <v>31278</v>
      </c>
      <c r="AU6476">
        <v>3.5</v>
      </c>
      <c r="AV6476" t="s">
        <v>780</v>
      </c>
      <c r="AW6476" t="s">
        <v>46870</v>
      </c>
      <c r="AX6476" t="s">
        <v>46897</v>
      </c>
    </row>
    <row r="6477" spans="1:50">
      <c r="A6477" s="1">
        <f>HYPERLINK("https://lsnyc.legalserver.org/matter/dynamic-profile/view/1893937","19-1893937")</f>
        <v>0</v>
      </c>
      <c r="B6477" t="s">
        <v>87</v>
      </c>
      <c r="C6477" t="s">
        <v>340</v>
      </c>
      <c r="D6477" t="s">
        <v>755</v>
      </c>
      <c r="F6477" t="s">
        <v>3696</v>
      </c>
      <c r="G6477" t="s">
        <v>8041</v>
      </c>
      <c r="H6477" t="s">
        <v>9670</v>
      </c>
      <c r="I6477">
        <v>4</v>
      </c>
      <c r="J6477" t="s">
        <v>18892</v>
      </c>
      <c r="K6477">
        <v>10457</v>
      </c>
      <c r="L6477" t="s">
        <v>18958</v>
      </c>
      <c r="M6477" t="s">
        <v>18958</v>
      </c>
      <c r="N6477" t="s">
        <v>23714</v>
      </c>
      <c r="O6477" t="s">
        <v>26523</v>
      </c>
      <c r="P6477" t="s">
        <v>26560</v>
      </c>
      <c r="R6477" t="s">
        <v>26579</v>
      </c>
      <c r="S6477" t="s">
        <v>18959</v>
      </c>
      <c r="U6477" t="s">
        <v>26604</v>
      </c>
      <c r="W6477" t="s">
        <v>755</v>
      </c>
      <c r="X6477">
        <v>1130</v>
      </c>
      <c r="Y6477" t="s">
        <v>26650</v>
      </c>
      <c r="Z6477" t="s">
        <v>26664</v>
      </c>
      <c r="AB6477" t="s">
        <v>30077</v>
      </c>
      <c r="AD6477" t="s">
        <v>41971</v>
      </c>
      <c r="AE6477">
        <v>0</v>
      </c>
      <c r="AF6477" t="s">
        <v>45541</v>
      </c>
      <c r="AH6477">
        <v>2</v>
      </c>
      <c r="AI6477">
        <v>2</v>
      </c>
      <c r="AJ6477">
        <v>1</v>
      </c>
      <c r="AK6477">
        <v>60.95</v>
      </c>
      <c r="AN6477" t="s">
        <v>7439</v>
      </c>
      <c r="AO6477">
        <v>13000</v>
      </c>
      <c r="AU6477">
        <v>7</v>
      </c>
      <c r="AV6477" t="s">
        <v>822</v>
      </c>
      <c r="AW6477" t="s">
        <v>46870</v>
      </c>
    </row>
    <row r="6478" spans="1:50">
      <c r="A6478" s="1">
        <f>HYPERLINK("https://lsnyc.legalserver.org/matter/dynamic-profile/view/1893913","19-1893913")</f>
        <v>0</v>
      </c>
      <c r="B6478" t="s">
        <v>275</v>
      </c>
      <c r="C6478" t="s">
        <v>340</v>
      </c>
      <c r="D6478" t="s">
        <v>755</v>
      </c>
      <c r="F6478" t="s">
        <v>893</v>
      </c>
      <c r="G6478" t="s">
        <v>6126</v>
      </c>
      <c r="H6478" t="s">
        <v>12166</v>
      </c>
      <c r="I6478" t="s">
        <v>17298</v>
      </c>
      <c r="J6478" t="s">
        <v>18892</v>
      </c>
      <c r="K6478">
        <v>10468</v>
      </c>
      <c r="L6478" t="s">
        <v>18958</v>
      </c>
      <c r="M6478" t="s">
        <v>18958</v>
      </c>
      <c r="N6478" t="s">
        <v>23715</v>
      </c>
      <c r="O6478" t="s">
        <v>26526</v>
      </c>
      <c r="P6478" t="s">
        <v>26560</v>
      </c>
      <c r="R6478" t="s">
        <v>26577</v>
      </c>
      <c r="S6478" t="s">
        <v>18959</v>
      </c>
      <c r="U6478" t="s">
        <v>26604</v>
      </c>
      <c r="W6478" t="s">
        <v>755</v>
      </c>
      <c r="X6478">
        <v>1091.65</v>
      </c>
      <c r="Y6478" t="s">
        <v>26650</v>
      </c>
      <c r="Z6478" t="s">
        <v>26668</v>
      </c>
      <c r="AB6478" t="s">
        <v>30791</v>
      </c>
      <c r="AC6478" t="s">
        <v>35906</v>
      </c>
      <c r="AD6478" t="s">
        <v>41012</v>
      </c>
      <c r="AE6478">
        <v>36</v>
      </c>
      <c r="AF6478" t="s">
        <v>45541</v>
      </c>
      <c r="AG6478" t="s">
        <v>19330</v>
      </c>
      <c r="AH6478">
        <v>17</v>
      </c>
      <c r="AI6478">
        <v>1</v>
      </c>
      <c r="AJ6478">
        <v>2</v>
      </c>
      <c r="AK6478">
        <v>8.65</v>
      </c>
      <c r="AN6478" t="s">
        <v>7439</v>
      </c>
      <c r="AO6478">
        <v>1846</v>
      </c>
      <c r="AU6478">
        <v>10.5</v>
      </c>
      <c r="AV6478" t="s">
        <v>773</v>
      </c>
      <c r="AW6478" t="s">
        <v>336</v>
      </c>
    </row>
    <row r="6479" spans="1:50">
      <c r="A6479" s="1">
        <f>HYPERLINK("https://lsnyc.legalserver.org/matter/dynamic-profile/view/1893892","19-1893892")</f>
        <v>0</v>
      </c>
      <c r="B6479" t="s">
        <v>275</v>
      </c>
      <c r="C6479" t="s">
        <v>340</v>
      </c>
      <c r="D6479" t="s">
        <v>755</v>
      </c>
      <c r="F6479" t="s">
        <v>1532</v>
      </c>
      <c r="G6479" t="s">
        <v>6172</v>
      </c>
      <c r="H6479" t="s">
        <v>13573</v>
      </c>
      <c r="I6479" t="s">
        <v>17366</v>
      </c>
      <c r="J6479" t="s">
        <v>18892</v>
      </c>
      <c r="K6479">
        <v>10467</v>
      </c>
      <c r="L6479" t="s">
        <v>18958</v>
      </c>
      <c r="M6479" t="s">
        <v>18958</v>
      </c>
      <c r="N6479" t="s">
        <v>23716</v>
      </c>
      <c r="O6479" t="s">
        <v>26525</v>
      </c>
      <c r="P6479" t="s">
        <v>26561</v>
      </c>
      <c r="R6479" t="s">
        <v>26579</v>
      </c>
      <c r="S6479" t="s">
        <v>18959</v>
      </c>
      <c r="U6479" t="s">
        <v>26604</v>
      </c>
      <c r="W6479" t="s">
        <v>755</v>
      </c>
      <c r="X6479">
        <v>484</v>
      </c>
      <c r="Y6479" t="s">
        <v>26650</v>
      </c>
      <c r="Z6479" t="s">
        <v>26664</v>
      </c>
      <c r="AB6479" t="s">
        <v>30949</v>
      </c>
      <c r="AC6479" t="s">
        <v>35954</v>
      </c>
      <c r="AD6479" t="s">
        <v>41180</v>
      </c>
      <c r="AE6479">
        <v>733</v>
      </c>
      <c r="AF6479" t="s">
        <v>45549</v>
      </c>
      <c r="AG6479" t="s">
        <v>19330</v>
      </c>
      <c r="AH6479">
        <v>18</v>
      </c>
      <c r="AI6479">
        <v>3</v>
      </c>
      <c r="AJ6479">
        <v>0</v>
      </c>
      <c r="AK6479">
        <v>97.52</v>
      </c>
      <c r="AN6479" t="s">
        <v>7439</v>
      </c>
      <c r="AO6479">
        <v>20800</v>
      </c>
      <c r="AU6479">
        <v>19.5</v>
      </c>
      <c r="AV6479" t="s">
        <v>822</v>
      </c>
      <c r="AW6479" t="s">
        <v>336</v>
      </c>
    </row>
    <row r="6480" spans="1:50">
      <c r="A6480" s="1">
        <f>HYPERLINK("https://lsnyc.legalserver.org/matter/dynamic-profile/view/1889309","19-1889309")</f>
        <v>0</v>
      </c>
      <c r="B6480" t="s">
        <v>280</v>
      </c>
      <c r="C6480" t="s">
        <v>341</v>
      </c>
      <c r="D6480" t="s">
        <v>694</v>
      </c>
      <c r="E6480" t="s">
        <v>805</v>
      </c>
      <c r="F6480" t="s">
        <v>1104</v>
      </c>
      <c r="G6480" t="s">
        <v>8042</v>
      </c>
      <c r="H6480" t="s">
        <v>14304</v>
      </c>
      <c r="I6480" t="s">
        <v>17306</v>
      </c>
      <c r="J6480" t="s">
        <v>18913</v>
      </c>
      <c r="K6480">
        <v>11105</v>
      </c>
      <c r="L6480" t="s">
        <v>18958</v>
      </c>
      <c r="M6480" t="s">
        <v>18958</v>
      </c>
      <c r="N6480" t="s">
        <v>23717</v>
      </c>
      <c r="O6480" t="s">
        <v>26523</v>
      </c>
      <c r="P6480" t="s">
        <v>26560</v>
      </c>
      <c r="Q6480" t="s">
        <v>26568</v>
      </c>
      <c r="R6480" t="s">
        <v>26578</v>
      </c>
      <c r="S6480" t="s">
        <v>18959</v>
      </c>
      <c r="U6480" t="s">
        <v>26604</v>
      </c>
      <c r="V6480" t="s">
        <v>26610</v>
      </c>
      <c r="W6480" t="s">
        <v>786</v>
      </c>
      <c r="X6480">
        <v>538</v>
      </c>
      <c r="Y6480" t="s">
        <v>26653</v>
      </c>
      <c r="Z6480" t="s">
        <v>26664</v>
      </c>
      <c r="AA6480" t="s">
        <v>26678</v>
      </c>
      <c r="AB6480" t="s">
        <v>31718</v>
      </c>
      <c r="AC6480" t="s">
        <v>36182</v>
      </c>
      <c r="AD6480" t="s">
        <v>41972</v>
      </c>
      <c r="AE6480">
        <v>9</v>
      </c>
      <c r="AF6480" t="s">
        <v>20460</v>
      </c>
      <c r="AG6480" t="s">
        <v>45556</v>
      </c>
      <c r="AH6480">
        <v>28</v>
      </c>
      <c r="AI6480">
        <v>2</v>
      </c>
      <c r="AJ6480">
        <v>0</v>
      </c>
      <c r="AK6480">
        <v>107.63</v>
      </c>
      <c r="AN6480" t="s">
        <v>7439</v>
      </c>
      <c r="AO6480">
        <v>18200</v>
      </c>
      <c r="AQ6480" t="s">
        <v>46361</v>
      </c>
      <c r="AR6480" t="s">
        <v>46379</v>
      </c>
      <c r="AS6480" t="s">
        <v>46499</v>
      </c>
      <c r="AT6480" t="s">
        <v>46743</v>
      </c>
      <c r="AU6480">
        <v>13.64</v>
      </c>
      <c r="AV6480" t="s">
        <v>815</v>
      </c>
      <c r="AW6480" t="s">
        <v>208</v>
      </c>
      <c r="AX6480" t="s">
        <v>46897</v>
      </c>
    </row>
    <row r="6481" spans="1:50">
      <c r="A6481" s="1">
        <f>HYPERLINK("https://lsnyc.legalserver.org/matter/dynamic-profile/view/1889400","19-1889400")</f>
        <v>0</v>
      </c>
      <c r="B6481" t="s">
        <v>280</v>
      </c>
      <c r="C6481" t="s">
        <v>340</v>
      </c>
      <c r="D6481" t="s">
        <v>694</v>
      </c>
      <c r="F6481" t="s">
        <v>3302</v>
      </c>
      <c r="G6481" t="s">
        <v>1146</v>
      </c>
      <c r="H6481" t="s">
        <v>14305</v>
      </c>
      <c r="I6481" t="s">
        <v>17424</v>
      </c>
      <c r="J6481" t="s">
        <v>18939</v>
      </c>
      <c r="K6481">
        <v>11423</v>
      </c>
      <c r="L6481" t="s">
        <v>18958</v>
      </c>
      <c r="M6481" t="s">
        <v>18958</v>
      </c>
      <c r="N6481" t="s">
        <v>23718</v>
      </c>
      <c r="O6481" t="s">
        <v>26523</v>
      </c>
      <c r="P6481" t="s">
        <v>26560</v>
      </c>
      <c r="R6481" t="s">
        <v>26578</v>
      </c>
      <c r="S6481" t="s">
        <v>18959</v>
      </c>
      <c r="U6481" t="s">
        <v>26604</v>
      </c>
      <c r="V6481" t="s">
        <v>26612</v>
      </c>
      <c r="W6481" t="s">
        <v>786</v>
      </c>
      <c r="X6481">
        <v>1050</v>
      </c>
      <c r="Y6481" t="s">
        <v>26653</v>
      </c>
      <c r="Z6481" t="s">
        <v>26664</v>
      </c>
      <c r="AB6481" t="s">
        <v>31719</v>
      </c>
      <c r="AD6481" t="s">
        <v>41973</v>
      </c>
      <c r="AE6481">
        <v>48</v>
      </c>
      <c r="AF6481" t="s">
        <v>45541</v>
      </c>
      <c r="AG6481" t="s">
        <v>19330</v>
      </c>
      <c r="AH6481">
        <v>3</v>
      </c>
      <c r="AI6481">
        <v>1</v>
      </c>
      <c r="AJ6481">
        <v>0</v>
      </c>
      <c r="AK6481">
        <v>145.72</v>
      </c>
      <c r="AN6481" t="s">
        <v>7439</v>
      </c>
      <c r="AO6481">
        <v>18200</v>
      </c>
      <c r="AU6481">
        <v>17.2</v>
      </c>
      <c r="AV6481" t="s">
        <v>839</v>
      </c>
      <c r="AW6481" t="s">
        <v>122</v>
      </c>
    </row>
    <row r="6482" spans="1:50">
      <c r="A6482" s="1">
        <f>HYPERLINK("https://lsnyc.legalserver.org/matter/dynamic-profile/view/1891939","19-1891939")</f>
        <v>0</v>
      </c>
      <c r="B6482" t="s">
        <v>280</v>
      </c>
      <c r="C6482" t="s">
        <v>340</v>
      </c>
      <c r="D6482" t="s">
        <v>574</v>
      </c>
      <c r="F6482" t="s">
        <v>2258</v>
      </c>
      <c r="G6482" t="s">
        <v>5681</v>
      </c>
      <c r="H6482" t="s">
        <v>14306</v>
      </c>
      <c r="I6482" t="s">
        <v>17348</v>
      </c>
      <c r="J6482" t="s">
        <v>18898</v>
      </c>
      <c r="K6482">
        <v>11691</v>
      </c>
      <c r="L6482" t="s">
        <v>18958</v>
      </c>
      <c r="M6482" t="s">
        <v>18958</v>
      </c>
      <c r="N6482" t="s">
        <v>23719</v>
      </c>
      <c r="O6482" t="s">
        <v>26524</v>
      </c>
      <c r="P6482" t="s">
        <v>26560</v>
      </c>
      <c r="R6482" t="s">
        <v>26578</v>
      </c>
      <c r="S6482" t="s">
        <v>18959</v>
      </c>
      <c r="U6482" t="s">
        <v>26604</v>
      </c>
      <c r="V6482" t="s">
        <v>26610</v>
      </c>
      <c r="W6482" t="s">
        <v>786</v>
      </c>
      <c r="X6482">
        <v>700</v>
      </c>
      <c r="Y6482" t="s">
        <v>26653</v>
      </c>
      <c r="Z6482" t="s">
        <v>26664</v>
      </c>
      <c r="AB6482" t="s">
        <v>31720</v>
      </c>
      <c r="AC6482" t="s">
        <v>36183</v>
      </c>
      <c r="AD6482" t="s">
        <v>41974</v>
      </c>
      <c r="AE6482">
        <v>54</v>
      </c>
      <c r="AF6482" t="s">
        <v>20460</v>
      </c>
      <c r="AG6482" t="s">
        <v>19330</v>
      </c>
      <c r="AH6482">
        <v>1</v>
      </c>
      <c r="AI6482">
        <v>1</v>
      </c>
      <c r="AJ6482">
        <v>0</v>
      </c>
      <c r="AK6482">
        <v>140.66</v>
      </c>
      <c r="AN6482" t="s">
        <v>7439</v>
      </c>
      <c r="AO6482">
        <v>17568</v>
      </c>
      <c r="AU6482">
        <v>13.1</v>
      </c>
      <c r="AV6482" t="s">
        <v>773</v>
      </c>
      <c r="AW6482" t="s">
        <v>208</v>
      </c>
    </row>
    <row r="6483" spans="1:50">
      <c r="A6483" s="1">
        <f>HYPERLINK("https://lsnyc.legalserver.org/matter/dynamic-profile/view/1892387","19-1892387")</f>
        <v>0</v>
      </c>
      <c r="B6483" t="s">
        <v>125</v>
      </c>
      <c r="C6483" t="s">
        <v>340</v>
      </c>
      <c r="D6483" t="s">
        <v>416</v>
      </c>
      <c r="F6483" t="s">
        <v>3697</v>
      </c>
      <c r="G6483" t="s">
        <v>8000</v>
      </c>
      <c r="H6483" t="s">
        <v>14307</v>
      </c>
      <c r="I6483" t="s">
        <v>17327</v>
      </c>
      <c r="J6483" t="s">
        <v>18894</v>
      </c>
      <c r="K6483">
        <v>11233</v>
      </c>
      <c r="L6483" t="s">
        <v>18958</v>
      </c>
      <c r="M6483" t="s">
        <v>18959</v>
      </c>
      <c r="N6483" t="s">
        <v>23720</v>
      </c>
      <c r="O6483" t="s">
        <v>26523</v>
      </c>
      <c r="P6483" t="s">
        <v>26560</v>
      </c>
      <c r="R6483" t="s">
        <v>26578</v>
      </c>
      <c r="S6483" t="s">
        <v>18959</v>
      </c>
      <c r="U6483" t="s">
        <v>26604</v>
      </c>
      <c r="W6483" t="s">
        <v>786</v>
      </c>
      <c r="X6483">
        <v>1250</v>
      </c>
      <c r="Y6483" t="s">
        <v>26652</v>
      </c>
      <c r="AB6483" t="s">
        <v>31721</v>
      </c>
      <c r="AD6483" t="s">
        <v>41975</v>
      </c>
      <c r="AE6483">
        <v>8</v>
      </c>
      <c r="AF6483" t="s">
        <v>45541</v>
      </c>
      <c r="AG6483" t="s">
        <v>45556</v>
      </c>
      <c r="AH6483">
        <v>15</v>
      </c>
      <c r="AI6483">
        <v>3</v>
      </c>
      <c r="AJ6483">
        <v>1</v>
      </c>
      <c r="AK6483">
        <v>120.16</v>
      </c>
      <c r="AN6483" t="s">
        <v>7439</v>
      </c>
      <c r="AO6483">
        <v>30940</v>
      </c>
      <c r="AU6483">
        <v>17.75</v>
      </c>
      <c r="AV6483" t="s">
        <v>836</v>
      </c>
      <c r="AW6483" t="s">
        <v>286</v>
      </c>
      <c r="AX6483" t="s">
        <v>46897</v>
      </c>
    </row>
    <row r="6484" spans="1:50">
      <c r="A6484" s="1">
        <f>HYPERLINK("https://lsnyc.legalserver.org/matter/dynamic-profile/view/1892626","19-1892626")</f>
        <v>0</v>
      </c>
      <c r="B6484" t="s">
        <v>140</v>
      </c>
      <c r="C6484" t="s">
        <v>341</v>
      </c>
      <c r="D6484" t="s">
        <v>752</v>
      </c>
      <c r="E6484" t="s">
        <v>786</v>
      </c>
      <c r="F6484" t="s">
        <v>2173</v>
      </c>
      <c r="G6484" t="s">
        <v>1494</v>
      </c>
      <c r="H6484" t="s">
        <v>14308</v>
      </c>
      <c r="I6484" t="s">
        <v>17272</v>
      </c>
      <c r="J6484" t="s">
        <v>18894</v>
      </c>
      <c r="K6484">
        <v>11225</v>
      </c>
      <c r="L6484" t="s">
        <v>18958</v>
      </c>
      <c r="M6484" t="s">
        <v>18958</v>
      </c>
      <c r="N6484" t="s">
        <v>23721</v>
      </c>
      <c r="O6484" t="s">
        <v>26523</v>
      </c>
      <c r="P6484" t="s">
        <v>26560</v>
      </c>
      <c r="Q6484" t="s">
        <v>26570</v>
      </c>
      <c r="R6484" t="s">
        <v>26588</v>
      </c>
      <c r="S6484" t="s">
        <v>18959</v>
      </c>
      <c r="U6484" t="s">
        <v>26604</v>
      </c>
      <c r="V6484" t="s">
        <v>26610</v>
      </c>
      <c r="W6484" t="s">
        <v>786</v>
      </c>
      <c r="X6484">
        <v>1975</v>
      </c>
      <c r="Y6484" t="s">
        <v>26652</v>
      </c>
      <c r="Z6484" t="s">
        <v>26669</v>
      </c>
      <c r="AA6484" t="s">
        <v>26683</v>
      </c>
      <c r="AB6484" t="s">
        <v>30984</v>
      </c>
      <c r="AD6484" t="s">
        <v>41976</v>
      </c>
      <c r="AE6484">
        <v>2</v>
      </c>
      <c r="AG6484" t="s">
        <v>19330</v>
      </c>
      <c r="AH6484">
        <v>-1</v>
      </c>
      <c r="AI6484">
        <v>2</v>
      </c>
      <c r="AJ6484">
        <v>0</v>
      </c>
      <c r="AK6484">
        <v>189.24</v>
      </c>
      <c r="AN6484" t="s">
        <v>7439</v>
      </c>
      <c r="AO6484">
        <v>32000</v>
      </c>
      <c r="AU6484">
        <v>1.4</v>
      </c>
      <c r="AV6484" t="s">
        <v>786</v>
      </c>
      <c r="AW6484" t="s">
        <v>281</v>
      </c>
    </row>
    <row r="6485" spans="1:50">
      <c r="A6485" s="1">
        <f>HYPERLINK("https://lsnyc.legalserver.org/matter/dynamic-profile/view/1893253","19-1893253")</f>
        <v>0</v>
      </c>
      <c r="B6485" t="s">
        <v>153</v>
      </c>
      <c r="C6485" t="s">
        <v>341</v>
      </c>
      <c r="D6485" t="s">
        <v>786</v>
      </c>
      <c r="E6485" t="s">
        <v>819</v>
      </c>
      <c r="F6485" t="s">
        <v>3698</v>
      </c>
      <c r="G6485" t="s">
        <v>8043</v>
      </c>
      <c r="H6485" t="s">
        <v>10691</v>
      </c>
      <c r="I6485" t="s">
        <v>17343</v>
      </c>
      <c r="J6485" t="s">
        <v>18902</v>
      </c>
      <c r="K6485">
        <v>10301</v>
      </c>
      <c r="L6485" t="s">
        <v>18958</v>
      </c>
      <c r="M6485" t="s">
        <v>18958</v>
      </c>
      <c r="N6485" t="s">
        <v>23722</v>
      </c>
      <c r="O6485" t="s">
        <v>26524</v>
      </c>
      <c r="P6485" t="s">
        <v>26560</v>
      </c>
      <c r="Q6485" t="s">
        <v>26568</v>
      </c>
      <c r="R6485" t="s">
        <v>26578</v>
      </c>
      <c r="S6485" t="s">
        <v>18959</v>
      </c>
      <c r="T6485" t="s">
        <v>26578</v>
      </c>
      <c r="U6485" t="s">
        <v>26604</v>
      </c>
      <c r="V6485" t="s">
        <v>26610</v>
      </c>
      <c r="W6485" t="s">
        <v>786</v>
      </c>
      <c r="X6485">
        <v>1100</v>
      </c>
      <c r="Y6485" t="s">
        <v>26654</v>
      </c>
      <c r="Z6485" t="s">
        <v>26657</v>
      </c>
      <c r="AA6485" t="s">
        <v>26686</v>
      </c>
      <c r="AB6485" t="s">
        <v>31722</v>
      </c>
      <c r="AD6485" t="s">
        <v>41977</v>
      </c>
      <c r="AE6485">
        <v>0</v>
      </c>
      <c r="AH6485">
        <v>1</v>
      </c>
      <c r="AI6485">
        <v>1</v>
      </c>
      <c r="AJ6485">
        <v>1</v>
      </c>
      <c r="AK6485">
        <v>153.76</v>
      </c>
      <c r="AN6485" t="s">
        <v>7439</v>
      </c>
      <c r="AO6485">
        <v>26000</v>
      </c>
      <c r="AU6485">
        <v>3.5</v>
      </c>
      <c r="AV6485" t="s">
        <v>817</v>
      </c>
      <c r="AW6485" t="s">
        <v>210</v>
      </c>
    </row>
    <row r="6486" spans="1:50">
      <c r="A6486" s="1">
        <f>HYPERLINK("https://lsnyc.legalserver.org/matter/dynamic-profile/view/1894038","19-1894038")</f>
        <v>0</v>
      </c>
      <c r="B6486" t="s">
        <v>122</v>
      </c>
      <c r="C6486" t="s">
        <v>341</v>
      </c>
      <c r="D6486" t="s">
        <v>786</v>
      </c>
      <c r="E6486" t="s">
        <v>779</v>
      </c>
      <c r="F6486" t="s">
        <v>3699</v>
      </c>
      <c r="G6486" t="s">
        <v>2749</v>
      </c>
      <c r="H6486" t="s">
        <v>14309</v>
      </c>
      <c r="I6486" t="s">
        <v>17435</v>
      </c>
      <c r="J6486" t="s">
        <v>18942</v>
      </c>
      <c r="K6486">
        <v>11101</v>
      </c>
      <c r="L6486" t="s">
        <v>18958</v>
      </c>
      <c r="M6486" t="s">
        <v>18958</v>
      </c>
      <c r="N6486" t="s">
        <v>23723</v>
      </c>
      <c r="O6486" t="s">
        <v>26526</v>
      </c>
      <c r="P6486" t="s">
        <v>26564</v>
      </c>
      <c r="Q6486" t="s">
        <v>26570</v>
      </c>
      <c r="R6486" t="s">
        <v>26584</v>
      </c>
      <c r="S6486" t="s">
        <v>18959</v>
      </c>
      <c r="U6486" t="s">
        <v>26607</v>
      </c>
      <c r="V6486" t="s">
        <v>26610</v>
      </c>
      <c r="W6486" t="s">
        <v>786</v>
      </c>
      <c r="X6486">
        <v>700</v>
      </c>
      <c r="Y6486" t="s">
        <v>26653</v>
      </c>
      <c r="Z6486" t="s">
        <v>26664</v>
      </c>
      <c r="AA6486" t="s">
        <v>26683</v>
      </c>
      <c r="AB6486" t="s">
        <v>29365</v>
      </c>
      <c r="AD6486" t="s">
        <v>41978</v>
      </c>
      <c r="AE6486">
        <v>3</v>
      </c>
      <c r="AF6486" t="s">
        <v>45547</v>
      </c>
      <c r="AG6486" t="s">
        <v>19330</v>
      </c>
      <c r="AH6486">
        <v>1</v>
      </c>
      <c r="AI6486">
        <v>1</v>
      </c>
      <c r="AJ6486">
        <v>0</v>
      </c>
      <c r="AK6486">
        <v>120.38</v>
      </c>
      <c r="AN6486" t="s">
        <v>7439</v>
      </c>
      <c r="AO6486">
        <v>15036</v>
      </c>
      <c r="AU6486">
        <v>2</v>
      </c>
      <c r="AV6486" t="s">
        <v>786</v>
      </c>
      <c r="AW6486" t="s">
        <v>122</v>
      </c>
    </row>
    <row r="6487" spans="1:50">
      <c r="A6487" s="1">
        <f>HYPERLINK("https://lsnyc.legalserver.org/matter/dynamic-profile/view/1894135","19-1894135")</f>
        <v>0</v>
      </c>
      <c r="B6487" t="s">
        <v>133</v>
      </c>
      <c r="C6487" t="s">
        <v>340</v>
      </c>
      <c r="D6487" t="s">
        <v>786</v>
      </c>
      <c r="F6487" t="s">
        <v>1461</v>
      </c>
      <c r="G6487" t="s">
        <v>1725</v>
      </c>
      <c r="H6487" t="s">
        <v>10019</v>
      </c>
      <c r="J6487" t="s">
        <v>18892</v>
      </c>
      <c r="K6487">
        <v>10467</v>
      </c>
      <c r="L6487" t="s">
        <v>18958</v>
      </c>
      <c r="M6487" t="s">
        <v>18958</v>
      </c>
      <c r="N6487" t="s">
        <v>23724</v>
      </c>
      <c r="O6487" t="s">
        <v>26523</v>
      </c>
      <c r="P6487" t="s">
        <v>26560</v>
      </c>
      <c r="R6487" t="s">
        <v>26579</v>
      </c>
      <c r="S6487" t="s">
        <v>18959</v>
      </c>
      <c r="U6487" t="s">
        <v>26604</v>
      </c>
      <c r="V6487" t="s">
        <v>26610</v>
      </c>
      <c r="W6487" t="s">
        <v>786</v>
      </c>
      <c r="X6487">
        <v>1349.37</v>
      </c>
      <c r="Y6487" t="s">
        <v>26650</v>
      </c>
      <c r="Z6487" t="s">
        <v>26664</v>
      </c>
      <c r="AB6487" t="s">
        <v>31723</v>
      </c>
      <c r="AD6487" t="s">
        <v>41979</v>
      </c>
      <c r="AE6487">
        <v>78</v>
      </c>
      <c r="AF6487" t="s">
        <v>45549</v>
      </c>
      <c r="AG6487" t="s">
        <v>45556</v>
      </c>
      <c r="AH6487">
        <v>5</v>
      </c>
      <c r="AI6487">
        <v>1</v>
      </c>
      <c r="AJ6487">
        <v>0</v>
      </c>
      <c r="AK6487">
        <v>72.06</v>
      </c>
      <c r="AN6487" t="s">
        <v>7439</v>
      </c>
      <c r="AO6487">
        <v>9000</v>
      </c>
      <c r="AU6487">
        <v>2.75</v>
      </c>
      <c r="AV6487" t="s">
        <v>834</v>
      </c>
      <c r="AW6487" t="s">
        <v>334</v>
      </c>
      <c r="AX6487" t="s">
        <v>46897</v>
      </c>
    </row>
    <row r="6488" spans="1:50">
      <c r="A6488" s="1">
        <f>HYPERLINK("https://lsnyc.legalserver.org/matter/dynamic-profile/view/1894119","19-1894119")</f>
        <v>0</v>
      </c>
      <c r="B6488" t="s">
        <v>251</v>
      </c>
      <c r="C6488" t="s">
        <v>340</v>
      </c>
      <c r="D6488" t="s">
        <v>786</v>
      </c>
      <c r="F6488" t="s">
        <v>1577</v>
      </c>
      <c r="G6488" t="s">
        <v>4588</v>
      </c>
      <c r="H6488" t="s">
        <v>13810</v>
      </c>
      <c r="I6488" t="s">
        <v>18049</v>
      </c>
      <c r="J6488" t="s">
        <v>18892</v>
      </c>
      <c r="K6488">
        <v>10457</v>
      </c>
      <c r="L6488" t="s">
        <v>18958</v>
      </c>
      <c r="M6488" t="s">
        <v>18958</v>
      </c>
      <c r="N6488" t="s">
        <v>23725</v>
      </c>
      <c r="O6488" t="s">
        <v>26523</v>
      </c>
      <c r="P6488" t="s">
        <v>26560</v>
      </c>
      <c r="R6488" t="s">
        <v>26579</v>
      </c>
      <c r="U6488" t="s">
        <v>26604</v>
      </c>
      <c r="V6488" t="s">
        <v>26610</v>
      </c>
      <c r="W6488" t="s">
        <v>786</v>
      </c>
      <c r="X6488">
        <v>748</v>
      </c>
      <c r="Y6488" t="s">
        <v>26650</v>
      </c>
      <c r="Z6488" t="s">
        <v>26664</v>
      </c>
      <c r="AB6488" t="s">
        <v>31664</v>
      </c>
      <c r="AD6488" t="s">
        <v>41980</v>
      </c>
      <c r="AE6488">
        <v>0</v>
      </c>
      <c r="AF6488" t="s">
        <v>45549</v>
      </c>
      <c r="AG6488" t="s">
        <v>19330</v>
      </c>
      <c r="AH6488">
        <v>30</v>
      </c>
      <c r="AI6488">
        <v>2</v>
      </c>
      <c r="AJ6488">
        <v>0</v>
      </c>
      <c r="AK6488">
        <v>145.05</v>
      </c>
      <c r="AN6488" t="s">
        <v>7439</v>
      </c>
      <c r="AO6488">
        <v>24528</v>
      </c>
      <c r="AU6488">
        <v>30.35</v>
      </c>
      <c r="AV6488" t="s">
        <v>833</v>
      </c>
      <c r="AW6488" t="s">
        <v>334</v>
      </c>
    </row>
    <row r="6489" spans="1:50">
      <c r="A6489" s="1">
        <f>HYPERLINK("https://lsnyc.legalserver.org/matter/dynamic-profile/view/1894056","19-1894056")</f>
        <v>0</v>
      </c>
      <c r="B6489" t="s">
        <v>131</v>
      </c>
      <c r="C6489" t="s">
        <v>340</v>
      </c>
      <c r="D6489" t="s">
        <v>786</v>
      </c>
      <c r="F6489" t="s">
        <v>1873</v>
      </c>
      <c r="G6489" t="s">
        <v>8044</v>
      </c>
      <c r="H6489" t="s">
        <v>14310</v>
      </c>
      <c r="I6489" t="s">
        <v>17339</v>
      </c>
      <c r="J6489" t="s">
        <v>18902</v>
      </c>
      <c r="K6489">
        <v>10314</v>
      </c>
      <c r="L6489" t="s">
        <v>18958</v>
      </c>
      <c r="M6489" t="s">
        <v>18958</v>
      </c>
      <c r="N6489" t="s">
        <v>23726</v>
      </c>
      <c r="O6489" t="s">
        <v>26523</v>
      </c>
      <c r="P6489" t="s">
        <v>26560</v>
      </c>
      <c r="R6489" t="s">
        <v>26590</v>
      </c>
      <c r="S6489" t="s">
        <v>18959</v>
      </c>
      <c r="U6489" t="s">
        <v>26604</v>
      </c>
      <c r="V6489" t="s">
        <v>26610</v>
      </c>
      <c r="W6489" t="s">
        <v>786</v>
      </c>
      <c r="X6489">
        <v>1500</v>
      </c>
      <c r="Y6489" t="s">
        <v>26654</v>
      </c>
      <c r="Z6489" t="s">
        <v>26668</v>
      </c>
      <c r="AB6489" t="s">
        <v>31724</v>
      </c>
      <c r="AD6489" t="s">
        <v>41981</v>
      </c>
      <c r="AE6489">
        <v>20</v>
      </c>
      <c r="AF6489" t="s">
        <v>20460</v>
      </c>
      <c r="AG6489" t="s">
        <v>19330</v>
      </c>
      <c r="AH6489">
        <v>3</v>
      </c>
      <c r="AI6489">
        <v>3</v>
      </c>
      <c r="AJ6489">
        <v>2</v>
      </c>
      <c r="AK6489">
        <v>116.34</v>
      </c>
      <c r="AN6489" t="s">
        <v>7439</v>
      </c>
      <c r="AO6489">
        <v>35100</v>
      </c>
      <c r="AU6489">
        <v>5.1</v>
      </c>
      <c r="AV6489" t="s">
        <v>795</v>
      </c>
      <c r="AW6489" t="s">
        <v>46883</v>
      </c>
    </row>
    <row r="6490" spans="1:50">
      <c r="A6490" s="1">
        <f>HYPERLINK("https://lsnyc.legalserver.org/matter/dynamic-profile/view/1893460","19-1893460")</f>
        <v>0</v>
      </c>
      <c r="B6490" t="s">
        <v>153</v>
      </c>
      <c r="C6490" t="s">
        <v>340</v>
      </c>
      <c r="D6490" t="s">
        <v>786</v>
      </c>
      <c r="F6490" t="s">
        <v>1256</v>
      </c>
      <c r="G6490" t="s">
        <v>8045</v>
      </c>
      <c r="H6490" t="s">
        <v>14311</v>
      </c>
      <c r="I6490" t="s">
        <v>17309</v>
      </c>
      <c r="J6490" t="s">
        <v>18902</v>
      </c>
      <c r="K6490">
        <v>10301</v>
      </c>
      <c r="L6490" t="s">
        <v>18958</v>
      </c>
      <c r="M6490" t="s">
        <v>18958</v>
      </c>
      <c r="N6490" t="s">
        <v>23727</v>
      </c>
      <c r="O6490" t="s">
        <v>26524</v>
      </c>
      <c r="P6490" t="s">
        <v>26560</v>
      </c>
      <c r="R6490" t="s">
        <v>26578</v>
      </c>
      <c r="S6490" t="s">
        <v>18959</v>
      </c>
      <c r="U6490" t="s">
        <v>26604</v>
      </c>
      <c r="V6490" t="s">
        <v>26610</v>
      </c>
      <c r="W6490" t="s">
        <v>786</v>
      </c>
      <c r="X6490">
        <v>1575</v>
      </c>
      <c r="Y6490" t="s">
        <v>26654</v>
      </c>
      <c r="AB6490" t="s">
        <v>27258</v>
      </c>
      <c r="AC6490" t="s">
        <v>36184</v>
      </c>
      <c r="AD6490" t="s">
        <v>41982</v>
      </c>
      <c r="AE6490">
        <v>2</v>
      </c>
      <c r="AH6490">
        <v>1</v>
      </c>
      <c r="AI6490">
        <v>2</v>
      </c>
      <c r="AJ6490">
        <v>1</v>
      </c>
      <c r="AK6490">
        <v>97.52</v>
      </c>
      <c r="AN6490" t="s">
        <v>7439</v>
      </c>
      <c r="AO6490">
        <v>20800</v>
      </c>
      <c r="AU6490">
        <v>16.45</v>
      </c>
      <c r="AV6490" t="s">
        <v>838</v>
      </c>
      <c r="AW6490" t="s">
        <v>46852</v>
      </c>
    </row>
    <row r="6491" spans="1:50">
      <c r="A6491" s="1">
        <f>HYPERLINK("https://lsnyc.legalserver.org/matter/dynamic-profile/view/1894049","19-1894049")</f>
        <v>0</v>
      </c>
      <c r="B6491" t="s">
        <v>69</v>
      </c>
      <c r="C6491" t="s">
        <v>340</v>
      </c>
      <c r="D6491" t="s">
        <v>786</v>
      </c>
      <c r="F6491" t="s">
        <v>3700</v>
      </c>
      <c r="G6491" t="s">
        <v>3572</v>
      </c>
      <c r="H6491" t="s">
        <v>13392</v>
      </c>
      <c r="I6491" t="s">
        <v>18340</v>
      </c>
      <c r="J6491" t="s">
        <v>18892</v>
      </c>
      <c r="K6491">
        <v>10462</v>
      </c>
      <c r="L6491" t="s">
        <v>18958</v>
      </c>
      <c r="M6491" t="s">
        <v>18958</v>
      </c>
      <c r="N6491" t="s">
        <v>23728</v>
      </c>
      <c r="O6491" t="s">
        <v>26524</v>
      </c>
      <c r="P6491" t="s">
        <v>26560</v>
      </c>
      <c r="R6491" t="s">
        <v>26579</v>
      </c>
      <c r="U6491" t="s">
        <v>26604</v>
      </c>
      <c r="V6491" t="s">
        <v>26610</v>
      </c>
      <c r="W6491" t="s">
        <v>786</v>
      </c>
      <c r="X6491">
        <v>0</v>
      </c>
      <c r="Y6491" t="s">
        <v>26650</v>
      </c>
      <c r="Z6491" t="s">
        <v>26664</v>
      </c>
      <c r="AB6491" t="s">
        <v>31725</v>
      </c>
      <c r="AC6491" t="s">
        <v>36185</v>
      </c>
      <c r="AD6491" t="s">
        <v>41983</v>
      </c>
      <c r="AE6491">
        <v>0</v>
      </c>
      <c r="AH6491">
        <v>0</v>
      </c>
      <c r="AI6491">
        <v>1</v>
      </c>
      <c r="AJ6491">
        <v>0</v>
      </c>
      <c r="AK6491">
        <v>66.77</v>
      </c>
      <c r="AN6491" t="s">
        <v>7439</v>
      </c>
      <c r="AO6491">
        <v>8340</v>
      </c>
      <c r="AU6491">
        <v>23.5</v>
      </c>
      <c r="AV6491" t="s">
        <v>831</v>
      </c>
      <c r="AW6491" t="s">
        <v>334</v>
      </c>
      <c r="AX6491" t="s">
        <v>46898</v>
      </c>
    </row>
    <row r="6492" spans="1:50">
      <c r="A6492" s="1">
        <f>HYPERLINK("https://lsnyc.legalserver.org/matter/dynamic-profile/view/1894378","19-1894378")</f>
        <v>0</v>
      </c>
      <c r="B6492" t="s">
        <v>205</v>
      </c>
      <c r="C6492" t="s">
        <v>340</v>
      </c>
      <c r="D6492" t="s">
        <v>741</v>
      </c>
      <c r="F6492" t="s">
        <v>1725</v>
      </c>
      <c r="G6492" t="s">
        <v>5672</v>
      </c>
      <c r="H6492" t="s">
        <v>10750</v>
      </c>
      <c r="I6492">
        <v>28</v>
      </c>
      <c r="J6492" t="s">
        <v>18894</v>
      </c>
      <c r="K6492">
        <v>11213</v>
      </c>
      <c r="L6492" t="s">
        <v>18958</v>
      </c>
      <c r="M6492" t="s">
        <v>18958</v>
      </c>
      <c r="N6492" t="s">
        <v>23729</v>
      </c>
      <c r="O6492" t="s">
        <v>26523</v>
      </c>
      <c r="P6492" t="s">
        <v>26560</v>
      </c>
      <c r="R6492" t="s">
        <v>26578</v>
      </c>
      <c r="U6492" t="s">
        <v>26604</v>
      </c>
      <c r="W6492" t="s">
        <v>786</v>
      </c>
      <c r="X6492">
        <v>1326</v>
      </c>
      <c r="Y6492" t="s">
        <v>26652</v>
      </c>
      <c r="Z6492" t="s">
        <v>26659</v>
      </c>
      <c r="AB6492" t="s">
        <v>27926</v>
      </c>
      <c r="AD6492" t="s">
        <v>37977</v>
      </c>
      <c r="AE6492">
        <v>0</v>
      </c>
      <c r="AF6492" t="s">
        <v>45541</v>
      </c>
      <c r="AG6492" t="s">
        <v>19330</v>
      </c>
      <c r="AH6492">
        <v>2</v>
      </c>
      <c r="AI6492">
        <v>1</v>
      </c>
      <c r="AJ6492">
        <v>0</v>
      </c>
      <c r="AK6492">
        <v>5181.52</v>
      </c>
      <c r="AN6492" t="s">
        <v>7439</v>
      </c>
      <c r="AO6492">
        <v>647172</v>
      </c>
      <c r="AU6492">
        <v>12.45</v>
      </c>
      <c r="AV6492" t="s">
        <v>773</v>
      </c>
      <c r="AW6492" t="s">
        <v>205</v>
      </c>
    </row>
    <row r="6493" spans="1:50">
      <c r="A6493" s="1">
        <f>HYPERLINK("https://lsnyc.legalserver.org/matter/dynamic-profile/view/1894506","19-1894506")</f>
        <v>0</v>
      </c>
      <c r="B6493" t="s">
        <v>128</v>
      </c>
      <c r="C6493" t="s">
        <v>341</v>
      </c>
      <c r="D6493" t="s">
        <v>777</v>
      </c>
      <c r="E6493" t="s">
        <v>809</v>
      </c>
      <c r="F6493" t="s">
        <v>1376</v>
      </c>
      <c r="G6493" t="s">
        <v>8046</v>
      </c>
      <c r="H6493" t="s">
        <v>11231</v>
      </c>
      <c r="I6493" t="s">
        <v>18367</v>
      </c>
      <c r="J6493" t="s">
        <v>18894</v>
      </c>
      <c r="K6493">
        <v>11221</v>
      </c>
      <c r="L6493" t="s">
        <v>18958</v>
      </c>
      <c r="M6493" t="s">
        <v>18958</v>
      </c>
      <c r="N6493" t="s">
        <v>23730</v>
      </c>
      <c r="O6493" t="s">
        <v>26523</v>
      </c>
      <c r="P6493" t="s">
        <v>26560</v>
      </c>
      <c r="Q6493" t="s">
        <v>26568</v>
      </c>
      <c r="R6493" t="s">
        <v>26588</v>
      </c>
      <c r="S6493" t="s">
        <v>18959</v>
      </c>
      <c r="U6493" t="s">
        <v>26604</v>
      </c>
      <c r="V6493" t="s">
        <v>26610</v>
      </c>
      <c r="W6493" t="s">
        <v>786</v>
      </c>
      <c r="X6493">
        <v>826</v>
      </c>
      <c r="Y6493" t="s">
        <v>26652</v>
      </c>
      <c r="Z6493" t="s">
        <v>26669</v>
      </c>
      <c r="AA6493" t="s">
        <v>26678</v>
      </c>
      <c r="AB6493" t="s">
        <v>29130</v>
      </c>
      <c r="AC6493" t="s">
        <v>36186</v>
      </c>
      <c r="AD6493" t="s">
        <v>41984</v>
      </c>
      <c r="AE6493">
        <v>42</v>
      </c>
      <c r="AF6493" t="s">
        <v>45541</v>
      </c>
      <c r="AG6493" t="s">
        <v>19330</v>
      </c>
      <c r="AH6493">
        <v>4</v>
      </c>
      <c r="AI6493">
        <v>1</v>
      </c>
      <c r="AJ6493">
        <v>0</v>
      </c>
      <c r="AK6493">
        <v>31.99</v>
      </c>
      <c r="AN6493" t="s">
        <v>7439</v>
      </c>
      <c r="AO6493">
        <v>3996</v>
      </c>
      <c r="AQ6493" t="s">
        <v>46359</v>
      </c>
      <c r="AR6493" t="s">
        <v>46381</v>
      </c>
      <c r="AS6493" t="s">
        <v>46499</v>
      </c>
      <c r="AT6493" t="s">
        <v>46729</v>
      </c>
      <c r="AU6493">
        <v>2.1</v>
      </c>
      <c r="AV6493" t="s">
        <v>809</v>
      </c>
      <c r="AW6493" t="s">
        <v>46853</v>
      </c>
      <c r="AX6493" t="s">
        <v>46898</v>
      </c>
    </row>
    <row r="6494" spans="1:50">
      <c r="A6494" s="1">
        <f>HYPERLINK("https://lsnyc.legalserver.org/matter/dynamic-profile/view/1894458","19-1894458")</f>
        <v>0</v>
      </c>
      <c r="B6494" t="s">
        <v>242</v>
      </c>
      <c r="C6494" t="s">
        <v>341</v>
      </c>
      <c r="D6494" t="s">
        <v>777</v>
      </c>
      <c r="E6494" t="s">
        <v>809</v>
      </c>
      <c r="F6494" t="s">
        <v>3701</v>
      </c>
      <c r="G6494" t="s">
        <v>5447</v>
      </c>
      <c r="H6494" t="s">
        <v>14312</v>
      </c>
      <c r="J6494" t="s">
        <v>18894</v>
      </c>
      <c r="K6494">
        <v>11216</v>
      </c>
      <c r="L6494" t="s">
        <v>18958</v>
      </c>
      <c r="M6494" t="s">
        <v>18958</v>
      </c>
      <c r="N6494" t="s">
        <v>23731</v>
      </c>
      <c r="O6494" t="s">
        <v>26524</v>
      </c>
      <c r="P6494" t="s">
        <v>26560</v>
      </c>
      <c r="Q6494" t="s">
        <v>26568</v>
      </c>
      <c r="R6494" t="s">
        <v>26588</v>
      </c>
      <c r="S6494" t="s">
        <v>18959</v>
      </c>
      <c r="U6494" t="s">
        <v>26604</v>
      </c>
      <c r="V6494" t="s">
        <v>26610</v>
      </c>
      <c r="W6494" t="s">
        <v>786</v>
      </c>
      <c r="X6494">
        <v>0</v>
      </c>
      <c r="Y6494" t="s">
        <v>26652</v>
      </c>
      <c r="Z6494" t="s">
        <v>26669</v>
      </c>
      <c r="AA6494" t="s">
        <v>26678</v>
      </c>
      <c r="AB6494" t="s">
        <v>31726</v>
      </c>
      <c r="AD6494" t="s">
        <v>41985</v>
      </c>
      <c r="AE6494">
        <v>3</v>
      </c>
      <c r="AF6494" t="s">
        <v>45547</v>
      </c>
      <c r="AH6494">
        <v>20</v>
      </c>
      <c r="AI6494">
        <v>1</v>
      </c>
      <c r="AJ6494">
        <v>3</v>
      </c>
      <c r="AK6494">
        <v>26.42</v>
      </c>
      <c r="AN6494" t="s">
        <v>7439</v>
      </c>
      <c r="AO6494">
        <v>6802.64</v>
      </c>
      <c r="AQ6494" t="s">
        <v>46359</v>
      </c>
      <c r="AR6494" t="s">
        <v>46379</v>
      </c>
      <c r="AS6494" t="s">
        <v>46499</v>
      </c>
      <c r="AT6494" t="s">
        <v>46786</v>
      </c>
      <c r="AU6494">
        <v>17.9</v>
      </c>
      <c r="AV6494" t="s">
        <v>809</v>
      </c>
      <c r="AW6494" t="s">
        <v>46853</v>
      </c>
      <c r="AX6494" t="s">
        <v>46897</v>
      </c>
    </row>
    <row r="6495" spans="1:50">
      <c r="A6495" s="1">
        <f>HYPERLINK("https://lsnyc.legalserver.org/matter/dynamic-profile/view/1894476","19-1894476")</f>
        <v>0</v>
      </c>
      <c r="B6495" t="s">
        <v>242</v>
      </c>
      <c r="C6495" t="s">
        <v>341</v>
      </c>
      <c r="D6495" t="s">
        <v>777</v>
      </c>
      <c r="E6495" t="s">
        <v>777</v>
      </c>
      <c r="F6495" t="s">
        <v>3702</v>
      </c>
      <c r="G6495" t="s">
        <v>5342</v>
      </c>
      <c r="H6495" t="s">
        <v>14313</v>
      </c>
      <c r="I6495" t="s">
        <v>18366</v>
      </c>
      <c r="J6495" t="s">
        <v>18894</v>
      </c>
      <c r="K6495">
        <v>11216</v>
      </c>
      <c r="L6495" t="s">
        <v>18958</v>
      </c>
      <c r="M6495" t="s">
        <v>18958</v>
      </c>
      <c r="N6495" t="s">
        <v>23732</v>
      </c>
      <c r="O6495" t="s">
        <v>26523</v>
      </c>
      <c r="P6495" t="s">
        <v>26564</v>
      </c>
      <c r="Q6495" t="s">
        <v>26568</v>
      </c>
      <c r="R6495" t="s">
        <v>26588</v>
      </c>
      <c r="S6495" t="s">
        <v>18959</v>
      </c>
      <c r="U6495" t="s">
        <v>26604</v>
      </c>
      <c r="V6495" t="s">
        <v>26610</v>
      </c>
      <c r="W6495" t="s">
        <v>786</v>
      </c>
      <c r="X6495">
        <v>225</v>
      </c>
      <c r="Y6495" t="s">
        <v>26652</v>
      </c>
      <c r="Z6495" t="s">
        <v>26669</v>
      </c>
      <c r="AA6495" t="s">
        <v>26680</v>
      </c>
      <c r="AB6495" t="s">
        <v>31727</v>
      </c>
      <c r="AD6495" t="s">
        <v>41986</v>
      </c>
      <c r="AE6495">
        <v>10</v>
      </c>
      <c r="AF6495" t="s">
        <v>45543</v>
      </c>
      <c r="AH6495">
        <v>24</v>
      </c>
      <c r="AI6495">
        <v>1</v>
      </c>
      <c r="AJ6495">
        <v>1</v>
      </c>
      <c r="AK6495">
        <v>144.88</v>
      </c>
      <c r="AN6495" t="s">
        <v>7439</v>
      </c>
      <c r="AO6495">
        <v>24500</v>
      </c>
      <c r="AR6495" t="s">
        <v>46380</v>
      </c>
      <c r="AS6495" t="s">
        <v>46499</v>
      </c>
      <c r="AT6495" t="s">
        <v>46545</v>
      </c>
      <c r="AU6495">
        <v>0.8</v>
      </c>
      <c r="AV6495" t="s">
        <v>777</v>
      </c>
      <c r="AW6495" t="s">
        <v>46853</v>
      </c>
    </row>
    <row r="6496" spans="1:50">
      <c r="A6496" s="1">
        <f>HYPERLINK("https://lsnyc.legalserver.org/matter/dynamic-profile/view/1894454","19-1894454")</f>
        <v>0</v>
      </c>
      <c r="B6496" t="s">
        <v>242</v>
      </c>
      <c r="C6496" t="s">
        <v>340</v>
      </c>
      <c r="D6496" t="s">
        <v>777</v>
      </c>
      <c r="F6496" t="s">
        <v>954</v>
      </c>
      <c r="G6496" t="s">
        <v>5164</v>
      </c>
      <c r="H6496" t="s">
        <v>14314</v>
      </c>
      <c r="I6496" t="s">
        <v>18368</v>
      </c>
      <c r="J6496" t="s">
        <v>18894</v>
      </c>
      <c r="K6496">
        <v>11216</v>
      </c>
      <c r="L6496" t="s">
        <v>18958</v>
      </c>
      <c r="M6496" t="s">
        <v>18958</v>
      </c>
      <c r="N6496" t="s">
        <v>23733</v>
      </c>
      <c r="O6496" t="s">
        <v>26523</v>
      </c>
      <c r="P6496" t="s">
        <v>26560</v>
      </c>
      <c r="R6496" t="s">
        <v>26588</v>
      </c>
      <c r="S6496" t="s">
        <v>18959</v>
      </c>
      <c r="U6496" t="s">
        <v>26604</v>
      </c>
      <c r="V6496" t="s">
        <v>26610</v>
      </c>
      <c r="W6496" t="s">
        <v>786</v>
      </c>
      <c r="X6496">
        <v>935</v>
      </c>
      <c r="Y6496" t="s">
        <v>26652</v>
      </c>
      <c r="Z6496" t="s">
        <v>26669</v>
      </c>
      <c r="AB6496" t="s">
        <v>27724</v>
      </c>
      <c r="AD6496" t="s">
        <v>41987</v>
      </c>
      <c r="AE6496">
        <v>9</v>
      </c>
      <c r="AF6496" t="s">
        <v>45541</v>
      </c>
      <c r="AH6496">
        <v>6</v>
      </c>
      <c r="AI6496">
        <v>1</v>
      </c>
      <c r="AJ6496">
        <v>1</v>
      </c>
      <c r="AK6496">
        <v>29.57</v>
      </c>
      <c r="AN6496" t="s">
        <v>7439</v>
      </c>
      <c r="AO6496">
        <v>5000</v>
      </c>
      <c r="AU6496">
        <v>12.4</v>
      </c>
      <c r="AV6496" t="s">
        <v>807</v>
      </c>
      <c r="AW6496" t="s">
        <v>46853</v>
      </c>
    </row>
    <row r="6497" spans="1:50">
      <c r="A6497" s="1">
        <f>HYPERLINK("https://lsnyc.legalserver.org/matter/dynamic-profile/view/1894464","19-1894464")</f>
        <v>0</v>
      </c>
      <c r="B6497" t="s">
        <v>242</v>
      </c>
      <c r="C6497" t="s">
        <v>340</v>
      </c>
      <c r="D6497" t="s">
        <v>777</v>
      </c>
      <c r="F6497" t="s">
        <v>3703</v>
      </c>
      <c r="G6497" t="s">
        <v>7033</v>
      </c>
      <c r="H6497" t="s">
        <v>13464</v>
      </c>
      <c r="I6497" t="s">
        <v>18369</v>
      </c>
      <c r="J6497" t="s">
        <v>18894</v>
      </c>
      <c r="K6497">
        <v>11221</v>
      </c>
      <c r="L6497" t="s">
        <v>18958</v>
      </c>
      <c r="M6497" t="s">
        <v>18958</v>
      </c>
      <c r="N6497" t="s">
        <v>23734</v>
      </c>
      <c r="O6497" t="s">
        <v>26523</v>
      </c>
      <c r="P6497" t="s">
        <v>26560</v>
      </c>
      <c r="R6497" t="s">
        <v>26588</v>
      </c>
      <c r="S6497" t="s">
        <v>18959</v>
      </c>
      <c r="U6497" t="s">
        <v>26604</v>
      </c>
      <c r="V6497" t="s">
        <v>26609</v>
      </c>
      <c r="W6497" t="s">
        <v>786</v>
      </c>
      <c r="X6497">
        <v>504</v>
      </c>
      <c r="Y6497" t="s">
        <v>26652</v>
      </c>
      <c r="Z6497" t="s">
        <v>26669</v>
      </c>
      <c r="AB6497" t="s">
        <v>31728</v>
      </c>
      <c r="AD6497" t="s">
        <v>41988</v>
      </c>
      <c r="AE6497">
        <v>16</v>
      </c>
      <c r="AF6497" t="s">
        <v>45541</v>
      </c>
      <c r="AG6497" t="s">
        <v>45556</v>
      </c>
      <c r="AH6497">
        <v>3</v>
      </c>
      <c r="AI6497">
        <v>1</v>
      </c>
      <c r="AJ6497">
        <v>2</v>
      </c>
      <c r="AK6497">
        <v>151.15</v>
      </c>
      <c r="AN6497" t="s">
        <v>7439</v>
      </c>
      <c r="AO6497">
        <v>32240</v>
      </c>
      <c r="AQ6497" t="s">
        <v>46359</v>
      </c>
      <c r="AU6497">
        <v>2.3</v>
      </c>
      <c r="AV6497" t="s">
        <v>773</v>
      </c>
      <c r="AW6497" t="s">
        <v>46853</v>
      </c>
    </row>
    <row r="6498" spans="1:50">
      <c r="A6498" s="1">
        <f>HYPERLINK("https://lsnyc.legalserver.org/matter/dynamic-profile/view/1894618","19-1894618")</f>
        <v>0</v>
      </c>
      <c r="B6498" t="s">
        <v>242</v>
      </c>
      <c r="C6498" t="s">
        <v>340</v>
      </c>
      <c r="D6498" t="s">
        <v>787</v>
      </c>
      <c r="F6498" t="s">
        <v>870</v>
      </c>
      <c r="G6498" t="s">
        <v>7208</v>
      </c>
      <c r="H6498" t="s">
        <v>13464</v>
      </c>
      <c r="I6498" t="s">
        <v>18370</v>
      </c>
      <c r="J6498" t="s">
        <v>18894</v>
      </c>
      <c r="K6498">
        <v>11221</v>
      </c>
      <c r="L6498" t="s">
        <v>18958</v>
      </c>
      <c r="M6498" t="s">
        <v>18958</v>
      </c>
      <c r="N6498" t="s">
        <v>23735</v>
      </c>
      <c r="O6498" t="s">
        <v>26524</v>
      </c>
      <c r="P6498" t="s">
        <v>26560</v>
      </c>
      <c r="R6498" t="s">
        <v>26588</v>
      </c>
      <c r="S6498" t="s">
        <v>18959</v>
      </c>
      <c r="U6498" t="s">
        <v>26604</v>
      </c>
      <c r="V6498" t="s">
        <v>26610</v>
      </c>
      <c r="W6498" t="s">
        <v>786</v>
      </c>
      <c r="X6498">
        <v>542.58</v>
      </c>
      <c r="Y6498" t="s">
        <v>26652</v>
      </c>
      <c r="Z6498" t="s">
        <v>26669</v>
      </c>
      <c r="AB6498" t="s">
        <v>31729</v>
      </c>
      <c r="AE6498">
        <v>16</v>
      </c>
      <c r="AF6498" t="s">
        <v>45541</v>
      </c>
      <c r="AH6498">
        <v>10</v>
      </c>
      <c r="AI6498">
        <v>5</v>
      </c>
      <c r="AJ6498">
        <v>1</v>
      </c>
      <c r="AK6498">
        <v>67.78</v>
      </c>
      <c r="AN6498" t="s">
        <v>7439</v>
      </c>
      <c r="AO6498">
        <v>23444</v>
      </c>
      <c r="AU6498">
        <v>9.800000000000001</v>
      </c>
      <c r="AV6498" t="s">
        <v>773</v>
      </c>
      <c r="AW6498" t="s">
        <v>46853</v>
      </c>
    </row>
    <row r="6499" spans="1:50">
      <c r="A6499" s="1">
        <f>HYPERLINK("https://lsnyc.legalserver.org/matter/dynamic-profile/view/1894037","19-1894037")</f>
        <v>0</v>
      </c>
      <c r="B6499" t="s">
        <v>153</v>
      </c>
      <c r="C6499" t="s">
        <v>341</v>
      </c>
      <c r="D6499" t="s">
        <v>764</v>
      </c>
      <c r="E6499" t="s">
        <v>813</v>
      </c>
      <c r="F6499" t="s">
        <v>939</v>
      </c>
      <c r="G6499" t="s">
        <v>8047</v>
      </c>
      <c r="H6499" t="s">
        <v>14315</v>
      </c>
      <c r="I6499" t="s">
        <v>17374</v>
      </c>
      <c r="J6499" t="s">
        <v>18902</v>
      </c>
      <c r="K6499">
        <v>10310</v>
      </c>
      <c r="L6499" t="s">
        <v>18958</v>
      </c>
      <c r="M6499" t="s">
        <v>18958</v>
      </c>
      <c r="N6499" t="s">
        <v>23736</v>
      </c>
      <c r="O6499" t="s">
        <v>26524</v>
      </c>
      <c r="P6499" t="s">
        <v>26564</v>
      </c>
      <c r="Q6499" t="s">
        <v>26570</v>
      </c>
      <c r="R6499" t="s">
        <v>26590</v>
      </c>
      <c r="S6499" t="s">
        <v>18959</v>
      </c>
      <c r="U6499" t="s">
        <v>26604</v>
      </c>
      <c r="V6499" t="s">
        <v>26610</v>
      </c>
      <c r="W6499" t="s">
        <v>786</v>
      </c>
      <c r="X6499">
        <v>800</v>
      </c>
      <c r="Y6499" t="s">
        <v>26654</v>
      </c>
      <c r="Z6499" t="s">
        <v>26668</v>
      </c>
      <c r="AA6499" t="s">
        <v>26683</v>
      </c>
      <c r="AB6499" t="s">
        <v>31730</v>
      </c>
      <c r="AD6499" t="s">
        <v>41989</v>
      </c>
      <c r="AE6499">
        <v>2</v>
      </c>
      <c r="AF6499" t="s">
        <v>45547</v>
      </c>
      <c r="AG6499" t="s">
        <v>19330</v>
      </c>
      <c r="AH6499">
        <v>19</v>
      </c>
      <c r="AI6499">
        <v>2</v>
      </c>
      <c r="AJ6499">
        <v>0</v>
      </c>
      <c r="AK6499">
        <v>348.1</v>
      </c>
      <c r="AN6499" t="s">
        <v>7439</v>
      </c>
      <c r="AO6499">
        <v>58863.96</v>
      </c>
      <c r="AU6499">
        <v>4</v>
      </c>
      <c r="AV6499" t="s">
        <v>764</v>
      </c>
      <c r="AW6499" t="s">
        <v>46883</v>
      </c>
    </row>
    <row r="6500" spans="1:50">
      <c r="A6500" s="1">
        <f>HYPERLINK("https://lsnyc.legalserver.org/matter/dynamic-profile/view/1889851","19-1889851")</f>
        <v>0</v>
      </c>
      <c r="B6500" t="s">
        <v>100</v>
      </c>
      <c r="C6500" t="s">
        <v>341</v>
      </c>
      <c r="D6500" t="s">
        <v>714</v>
      </c>
      <c r="E6500" t="s">
        <v>775</v>
      </c>
      <c r="F6500" t="s">
        <v>3253</v>
      </c>
      <c r="G6500" t="s">
        <v>5973</v>
      </c>
      <c r="H6500" t="s">
        <v>13236</v>
      </c>
      <c r="I6500" t="s">
        <v>17273</v>
      </c>
      <c r="J6500" t="s">
        <v>18892</v>
      </c>
      <c r="K6500">
        <v>10455</v>
      </c>
      <c r="L6500" t="s">
        <v>18958</v>
      </c>
      <c r="M6500" t="s">
        <v>18958</v>
      </c>
      <c r="O6500" t="s">
        <v>26529</v>
      </c>
      <c r="P6500" t="s">
        <v>26564</v>
      </c>
      <c r="Q6500" t="s">
        <v>26570</v>
      </c>
      <c r="R6500" t="s">
        <v>26578</v>
      </c>
      <c r="S6500" t="s">
        <v>18959</v>
      </c>
      <c r="U6500" t="s">
        <v>26604</v>
      </c>
      <c r="W6500" t="s">
        <v>775</v>
      </c>
      <c r="X6500">
        <v>568.88</v>
      </c>
      <c r="Y6500" t="s">
        <v>26650</v>
      </c>
      <c r="Z6500" t="s">
        <v>26663</v>
      </c>
      <c r="AA6500" t="s">
        <v>26683</v>
      </c>
      <c r="AB6500" t="s">
        <v>30766</v>
      </c>
      <c r="AD6500" t="s">
        <v>40977</v>
      </c>
      <c r="AE6500">
        <v>54</v>
      </c>
      <c r="AF6500" t="s">
        <v>45541</v>
      </c>
      <c r="AG6500" t="s">
        <v>19330</v>
      </c>
      <c r="AH6500">
        <v>3</v>
      </c>
      <c r="AI6500">
        <v>3</v>
      </c>
      <c r="AJ6500">
        <v>1</v>
      </c>
      <c r="AK6500">
        <v>124.27</v>
      </c>
      <c r="AN6500" t="s">
        <v>7439</v>
      </c>
      <c r="AO6500">
        <v>32000</v>
      </c>
      <c r="AU6500">
        <v>0.1</v>
      </c>
      <c r="AV6500" t="s">
        <v>775</v>
      </c>
      <c r="AW6500" t="s">
        <v>46847</v>
      </c>
    </row>
    <row r="6501" spans="1:50">
      <c r="A6501" s="1">
        <f>HYPERLINK("https://lsnyc.legalserver.org/matter/dynamic-profile/view/1890716","19-1890716")</f>
        <v>0</v>
      </c>
      <c r="B6501" t="s">
        <v>245</v>
      </c>
      <c r="C6501" t="s">
        <v>340</v>
      </c>
      <c r="D6501" t="s">
        <v>737</v>
      </c>
      <c r="F6501" t="s">
        <v>3704</v>
      </c>
      <c r="G6501" t="s">
        <v>7007</v>
      </c>
      <c r="H6501" t="s">
        <v>14316</v>
      </c>
      <c r="I6501">
        <v>1</v>
      </c>
      <c r="J6501" t="s">
        <v>18892</v>
      </c>
      <c r="K6501">
        <v>10467</v>
      </c>
      <c r="L6501" t="s">
        <v>18958</v>
      </c>
      <c r="M6501" t="s">
        <v>18958</v>
      </c>
      <c r="N6501" t="s">
        <v>23737</v>
      </c>
      <c r="O6501" t="s">
        <v>26526</v>
      </c>
      <c r="P6501" t="s">
        <v>26560</v>
      </c>
      <c r="R6501" t="s">
        <v>26577</v>
      </c>
      <c r="S6501" t="s">
        <v>18959</v>
      </c>
      <c r="U6501" t="s">
        <v>26604</v>
      </c>
      <c r="W6501" t="s">
        <v>775</v>
      </c>
      <c r="X6501">
        <v>1747</v>
      </c>
      <c r="Y6501" t="s">
        <v>26650</v>
      </c>
      <c r="Z6501" t="s">
        <v>26670</v>
      </c>
      <c r="AB6501" t="s">
        <v>28102</v>
      </c>
      <c r="AD6501" t="s">
        <v>41990</v>
      </c>
      <c r="AE6501">
        <v>2</v>
      </c>
      <c r="AF6501" t="s">
        <v>45545</v>
      </c>
      <c r="AG6501" t="s">
        <v>45558</v>
      </c>
      <c r="AH6501">
        <v>1</v>
      </c>
      <c r="AI6501">
        <v>3</v>
      </c>
      <c r="AJ6501">
        <v>2</v>
      </c>
      <c r="AK6501">
        <v>47.33</v>
      </c>
      <c r="AN6501" t="s">
        <v>7439</v>
      </c>
      <c r="AO6501">
        <v>14280</v>
      </c>
      <c r="AU6501">
        <v>20.55</v>
      </c>
      <c r="AV6501" t="s">
        <v>804</v>
      </c>
      <c r="AW6501" t="s">
        <v>336</v>
      </c>
      <c r="AX6501" t="s">
        <v>46897</v>
      </c>
    </row>
    <row r="6502" spans="1:50">
      <c r="A6502" s="1">
        <f>HYPERLINK("https://lsnyc.legalserver.org/matter/dynamic-profile/view/1892192","19-1892192")</f>
        <v>0</v>
      </c>
      <c r="B6502" t="s">
        <v>169</v>
      </c>
      <c r="C6502" t="s">
        <v>341</v>
      </c>
      <c r="D6502" t="s">
        <v>659</v>
      </c>
      <c r="E6502" t="s">
        <v>803</v>
      </c>
      <c r="F6502" t="s">
        <v>936</v>
      </c>
      <c r="G6502" t="s">
        <v>5360</v>
      </c>
      <c r="H6502" t="s">
        <v>10160</v>
      </c>
      <c r="I6502" t="s">
        <v>17306</v>
      </c>
      <c r="J6502" t="s">
        <v>18892</v>
      </c>
      <c r="K6502">
        <v>10453</v>
      </c>
      <c r="L6502" t="s">
        <v>18958</v>
      </c>
      <c r="M6502" t="s">
        <v>18958</v>
      </c>
      <c r="N6502" t="s">
        <v>23738</v>
      </c>
      <c r="O6502" t="s">
        <v>26524</v>
      </c>
      <c r="P6502" t="s">
        <v>26564</v>
      </c>
      <c r="Q6502" t="s">
        <v>26570</v>
      </c>
      <c r="R6502" t="s">
        <v>26578</v>
      </c>
      <c r="S6502" t="s">
        <v>18959</v>
      </c>
      <c r="U6502" t="s">
        <v>26604</v>
      </c>
      <c r="V6502" t="s">
        <v>26609</v>
      </c>
      <c r="W6502" t="s">
        <v>775</v>
      </c>
      <c r="X6502">
        <v>1063</v>
      </c>
      <c r="Y6502" t="s">
        <v>26650</v>
      </c>
      <c r="Z6502" t="s">
        <v>26668</v>
      </c>
      <c r="AA6502" t="s">
        <v>26683</v>
      </c>
      <c r="AB6502" t="s">
        <v>27253</v>
      </c>
      <c r="AD6502" t="s">
        <v>37324</v>
      </c>
      <c r="AE6502">
        <v>58</v>
      </c>
      <c r="AF6502" t="s">
        <v>45541</v>
      </c>
      <c r="AH6502">
        <v>30</v>
      </c>
      <c r="AI6502">
        <v>1</v>
      </c>
      <c r="AJ6502">
        <v>0</v>
      </c>
      <c r="AK6502">
        <v>76.86</v>
      </c>
      <c r="AN6502" t="s">
        <v>7439</v>
      </c>
      <c r="AO6502">
        <v>9600</v>
      </c>
      <c r="AU6502">
        <v>2.35</v>
      </c>
      <c r="AV6502" t="s">
        <v>803</v>
      </c>
      <c r="AW6502" t="s">
        <v>334</v>
      </c>
    </row>
    <row r="6503" spans="1:50">
      <c r="A6503" s="1">
        <f>HYPERLINK("https://lsnyc.legalserver.org/matter/dynamic-profile/view/1890692","19-1890692")</f>
        <v>0</v>
      </c>
      <c r="B6503" t="s">
        <v>75</v>
      </c>
      <c r="C6503" t="s">
        <v>341</v>
      </c>
      <c r="D6503" t="s">
        <v>753</v>
      </c>
      <c r="E6503" t="s">
        <v>775</v>
      </c>
      <c r="F6503" t="s">
        <v>3705</v>
      </c>
      <c r="G6503" t="s">
        <v>8048</v>
      </c>
      <c r="H6503" t="s">
        <v>14317</v>
      </c>
      <c r="I6503" t="s">
        <v>17275</v>
      </c>
      <c r="J6503" t="s">
        <v>18892</v>
      </c>
      <c r="K6503">
        <v>10452</v>
      </c>
      <c r="L6503" t="s">
        <v>18958</v>
      </c>
      <c r="M6503" t="s">
        <v>18958</v>
      </c>
      <c r="N6503" t="s">
        <v>23739</v>
      </c>
      <c r="O6503" t="s">
        <v>26524</v>
      </c>
      <c r="P6503" t="s">
        <v>26564</v>
      </c>
      <c r="Q6503" t="s">
        <v>26570</v>
      </c>
      <c r="R6503" t="s">
        <v>26578</v>
      </c>
      <c r="U6503" t="s">
        <v>26604</v>
      </c>
      <c r="W6503" t="s">
        <v>775</v>
      </c>
      <c r="X6503">
        <v>1500</v>
      </c>
      <c r="Y6503" t="s">
        <v>26650</v>
      </c>
      <c r="Z6503" t="s">
        <v>26668</v>
      </c>
      <c r="AA6503" t="s">
        <v>26683</v>
      </c>
      <c r="AB6503" t="s">
        <v>31731</v>
      </c>
      <c r="AD6503" t="s">
        <v>41991</v>
      </c>
      <c r="AE6503">
        <v>0</v>
      </c>
      <c r="AF6503" t="s">
        <v>45553</v>
      </c>
      <c r="AH6503">
        <v>7</v>
      </c>
      <c r="AI6503">
        <v>1</v>
      </c>
      <c r="AJ6503">
        <v>0</v>
      </c>
      <c r="AK6503">
        <v>0</v>
      </c>
      <c r="AN6503" t="s">
        <v>7439</v>
      </c>
      <c r="AO6503">
        <v>0</v>
      </c>
      <c r="AU6503">
        <v>5.5</v>
      </c>
      <c r="AV6503" t="s">
        <v>775</v>
      </c>
      <c r="AW6503" t="s">
        <v>46858</v>
      </c>
    </row>
    <row r="6504" spans="1:50">
      <c r="A6504" s="1">
        <f>HYPERLINK("https://lsnyc.legalserver.org/matter/dynamic-profile/view/1893805","19-1893805")</f>
        <v>0</v>
      </c>
      <c r="B6504" t="s">
        <v>289</v>
      </c>
      <c r="C6504" t="s">
        <v>341</v>
      </c>
      <c r="D6504" t="s">
        <v>660</v>
      </c>
      <c r="E6504" t="s">
        <v>775</v>
      </c>
      <c r="F6504" t="s">
        <v>3706</v>
      </c>
      <c r="G6504" t="s">
        <v>8049</v>
      </c>
      <c r="H6504" t="s">
        <v>14318</v>
      </c>
      <c r="I6504" t="s">
        <v>17274</v>
      </c>
      <c r="J6504" t="s">
        <v>18894</v>
      </c>
      <c r="K6504">
        <v>11211</v>
      </c>
      <c r="L6504" t="s">
        <v>18958</v>
      </c>
      <c r="M6504" t="s">
        <v>18958</v>
      </c>
      <c r="P6504" t="s">
        <v>26565</v>
      </c>
      <c r="Q6504" t="s">
        <v>26571</v>
      </c>
      <c r="R6504" t="s">
        <v>26578</v>
      </c>
      <c r="U6504" t="s">
        <v>26604</v>
      </c>
      <c r="W6504" t="s">
        <v>775</v>
      </c>
      <c r="X6504">
        <v>0</v>
      </c>
      <c r="Y6504" t="s">
        <v>26652</v>
      </c>
      <c r="AA6504" t="s">
        <v>26683</v>
      </c>
      <c r="AB6504" t="s">
        <v>27657</v>
      </c>
      <c r="AE6504">
        <v>0</v>
      </c>
      <c r="AH6504">
        <v>0</v>
      </c>
      <c r="AI6504">
        <v>1</v>
      </c>
      <c r="AJ6504">
        <v>0</v>
      </c>
      <c r="AK6504">
        <v>0</v>
      </c>
      <c r="AN6504" t="s">
        <v>7439</v>
      </c>
      <c r="AO6504">
        <v>0</v>
      </c>
      <c r="AU6504">
        <v>1</v>
      </c>
      <c r="AV6504" t="s">
        <v>784</v>
      </c>
      <c r="AW6504" t="s">
        <v>279</v>
      </c>
      <c r="AX6504" t="s">
        <v>46897</v>
      </c>
    </row>
    <row r="6505" spans="1:50">
      <c r="A6505" s="1">
        <f>HYPERLINK("https://lsnyc.legalserver.org/matter/dynamic-profile/view/1893846","19-1893846")</f>
        <v>0</v>
      </c>
      <c r="B6505" t="s">
        <v>174</v>
      </c>
      <c r="C6505" t="s">
        <v>341</v>
      </c>
      <c r="D6505" t="s">
        <v>660</v>
      </c>
      <c r="E6505" t="s">
        <v>826</v>
      </c>
      <c r="F6505" t="s">
        <v>974</v>
      </c>
      <c r="G6505" t="s">
        <v>8050</v>
      </c>
      <c r="H6505" t="s">
        <v>14319</v>
      </c>
      <c r="I6505" t="s">
        <v>17327</v>
      </c>
      <c r="J6505" t="s">
        <v>18894</v>
      </c>
      <c r="K6505">
        <v>11212</v>
      </c>
      <c r="L6505" t="s">
        <v>18958</v>
      </c>
      <c r="M6505" t="s">
        <v>18959</v>
      </c>
      <c r="N6505" t="s">
        <v>23740</v>
      </c>
      <c r="O6505" t="s">
        <v>26523</v>
      </c>
      <c r="P6505" t="s">
        <v>26560</v>
      </c>
      <c r="Q6505" t="s">
        <v>26568</v>
      </c>
      <c r="R6505" t="s">
        <v>26578</v>
      </c>
      <c r="S6505" t="s">
        <v>18959</v>
      </c>
      <c r="U6505" t="s">
        <v>26604</v>
      </c>
      <c r="V6505" t="s">
        <v>26610</v>
      </c>
      <c r="W6505" t="s">
        <v>775</v>
      </c>
      <c r="X6505">
        <v>181</v>
      </c>
      <c r="Y6505" t="s">
        <v>26652</v>
      </c>
      <c r="Z6505" t="s">
        <v>26659</v>
      </c>
      <c r="AA6505" t="s">
        <v>26678</v>
      </c>
      <c r="AB6505" t="s">
        <v>31732</v>
      </c>
      <c r="AC6505">
        <v>35075127</v>
      </c>
      <c r="AD6505" t="s">
        <v>41992</v>
      </c>
      <c r="AE6505">
        <v>260</v>
      </c>
      <c r="AF6505" t="s">
        <v>45541</v>
      </c>
      <c r="AG6505" t="s">
        <v>45556</v>
      </c>
      <c r="AH6505">
        <v>39</v>
      </c>
      <c r="AI6505">
        <v>1</v>
      </c>
      <c r="AJ6505">
        <v>0</v>
      </c>
      <c r="AK6505">
        <v>74.36</v>
      </c>
      <c r="AN6505" t="s">
        <v>7439</v>
      </c>
      <c r="AO6505">
        <v>9288</v>
      </c>
      <c r="AU6505">
        <v>6.8</v>
      </c>
      <c r="AV6505" t="s">
        <v>801</v>
      </c>
      <c r="AW6505" t="s">
        <v>286</v>
      </c>
      <c r="AX6505" t="s">
        <v>46897</v>
      </c>
    </row>
    <row r="6506" spans="1:50">
      <c r="A6506" s="1">
        <f>HYPERLINK("https://lsnyc.legalserver.org/matter/dynamic-profile/view/1894207","19-1894207")</f>
        <v>0</v>
      </c>
      <c r="B6506" t="s">
        <v>66</v>
      </c>
      <c r="C6506" t="s">
        <v>341</v>
      </c>
      <c r="D6506" t="s">
        <v>775</v>
      </c>
      <c r="E6506" t="s">
        <v>797</v>
      </c>
      <c r="F6506" t="s">
        <v>969</v>
      </c>
      <c r="G6506" t="s">
        <v>2975</v>
      </c>
      <c r="H6506" t="s">
        <v>14320</v>
      </c>
      <c r="I6506" t="s">
        <v>17380</v>
      </c>
      <c r="J6506" t="s">
        <v>18893</v>
      </c>
      <c r="K6506">
        <v>10026</v>
      </c>
      <c r="L6506" t="s">
        <v>18958</v>
      </c>
      <c r="M6506" t="s">
        <v>18958</v>
      </c>
      <c r="N6506" t="s">
        <v>23741</v>
      </c>
      <c r="O6506" t="s">
        <v>26523</v>
      </c>
      <c r="P6506" t="s">
        <v>26560</v>
      </c>
      <c r="Q6506" t="s">
        <v>26568</v>
      </c>
      <c r="R6506" t="s">
        <v>26580</v>
      </c>
      <c r="S6506" t="s">
        <v>18959</v>
      </c>
      <c r="U6506" t="s">
        <v>26605</v>
      </c>
      <c r="V6506" t="s">
        <v>26610</v>
      </c>
      <c r="W6506" t="s">
        <v>775</v>
      </c>
      <c r="X6506">
        <v>217</v>
      </c>
      <c r="Y6506" t="s">
        <v>26651</v>
      </c>
      <c r="Z6506" t="s">
        <v>26664</v>
      </c>
      <c r="AA6506" t="s">
        <v>26680</v>
      </c>
      <c r="AB6506" t="s">
        <v>31733</v>
      </c>
      <c r="AD6506" t="s">
        <v>41993</v>
      </c>
      <c r="AE6506">
        <v>0</v>
      </c>
      <c r="AF6506" t="s">
        <v>45542</v>
      </c>
      <c r="AG6506" t="s">
        <v>19330</v>
      </c>
      <c r="AH6506">
        <v>20</v>
      </c>
      <c r="AI6506">
        <v>1</v>
      </c>
      <c r="AJ6506">
        <v>0</v>
      </c>
      <c r="AK6506">
        <v>74.08</v>
      </c>
      <c r="AN6506" t="s">
        <v>7439</v>
      </c>
      <c r="AO6506">
        <v>9252</v>
      </c>
      <c r="AQ6506" t="s">
        <v>46362</v>
      </c>
      <c r="AR6506" t="s">
        <v>46388</v>
      </c>
      <c r="AS6506" t="s">
        <v>46499</v>
      </c>
      <c r="AT6506" t="s">
        <v>46793</v>
      </c>
      <c r="AU6506">
        <v>1.75</v>
      </c>
      <c r="AV6506" t="s">
        <v>808</v>
      </c>
      <c r="AW6506" t="s">
        <v>46835</v>
      </c>
      <c r="AX6506" t="s">
        <v>46897</v>
      </c>
    </row>
    <row r="6507" spans="1:50">
      <c r="A6507" s="1">
        <f>HYPERLINK("https://lsnyc.legalserver.org/matter/dynamic-profile/view/1894249","19-1894249")</f>
        <v>0</v>
      </c>
      <c r="B6507" t="s">
        <v>72</v>
      </c>
      <c r="C6507" t="s">
        <v>341</v>
      </c>
      <c r="D6507" t="s">
        <v>775</v>
      </c>
      <c r="E6507" t="s">
        <v>834</v>
      </c>
      <c r="F6507" t="s">
        <v>3149</v>
      </c>
      <c r="G6507" t="s">
        <v>6231</v>
      </c>
      <c r="H6507" t="s">
        <v>14321</v>
      </c>
      <c r="I6507" t="s">
        <v>17348</v>
      </c>
      <c r="J6507" t="s">
        <v>18893</v>
      </c>
      <c r="K6507">
        <v>10033</v>
      </c>
      <c r="L6507" t="s">
        <v>18958</v>
      </c>
      <c r="M6507" t="s">
        <v>18959</v>
      </c>
      <c r="O6507" t="s">
        <v>26529</v>
      </c>
      <c r="P6507" t="s">
        <v>26564</v>
      </c>
      <c r="Q6507" t="s">
        <v>26570</v>
      </c>
      <c r="R6507" t="s">
        <v>26578</v>
      </c>
      <c r="S6507" t="s">
        <v>18959</v>
      </c>
      <c r="U6507" t="s">
        <v>26604</v>
      </c>
      <c r="W6507" t="s">
        <v>775</v>
      </c>
      <c r="X6507">
        <v>0</v>
      </c>
      <c r="Y6507" t="s">
        <v>26651</v>
      </c>
      <c r="Z6507" t="s">
        <v>26661</v>
      </c>
      <c r="AA6507" t="s">
        <v>26683</v>
      </c>
      <c r="AB6507" t="s">
        <v>30044</v>
      </c>
      <c r="AD6507" t="s">
        <v>41994</v>
      </c>
      <c r="AE6507">
        <v>42</v>
      </c>
      <c r="AF6507" t="s">
        <v>45541</v>
      </c>
      <c r="AG6507" t="s">
        <v>19330</v>
      </c>
      <c r="AH6507">
        <v>10</v>
      </c>
      <c r="AI6507">
        <v>2</v>
      </c>
      <c r="AJ6507">
        <v>0</v>
      </c>
      <c r="AK6507">
        <v>0</v>
      </c>
      <c r="AN6507" t="s">
        <v>7439</v>
      </c>
      <c r="AO6507">
        <v>0</v>
      </c>
      <c r="AU6507">
        <v>0.1</v>
      </c>
      <c r="AV6507" t="s">
        <v>775</v>
      </c>
      <c r="AW6507" t="s">
        <v>264</v>
      </c>
      <c r="AX6507" t="s">
        <v>46897</v>
      </c>
    </row>
    <row r="6508" spans="1:50">
      <c r="A6508" s="1">
        <f>HYPERLINK("https://lsnyc.legalserver.org/matter/dynamic-profile/view/1894173","19-1894173")</f>
        <v>0</v>
      </c>
      <c r="B6508" t="s">
        <v>72</v>
      </c>
      <c r="C6508" t="s">
        <v>341</v>
      </c>
      <c r="D6508" t="s">
        <v>775</v>
      </c>
      <c r="E6508" t="s">
        <v>775</v>
      </c>
      <c r="F6508" t="s">
        <v>940</v>
      </c>
      <c r="G6508" t="s">
        <v>8037</v>
      </c>
      <c r="H6508" t="s">
        <v>14322</v>
      </c>
      <c r="J6508" t="s">
        <v>18893</v>
      </c>
      <c r="K6508">
        <v>10034</v>
      </c>
      <c r="L6508" t="s">
        <v>18958</v>
      </c>
      <c r="M6508" t="s">
        <v>18960</v>
      </c>
      <c r="O6508" t="s">
        <v>26529</v>
      </c>
      <c r="P6508" t="s">
        <v>26564</v>
      </c>
      <c r="Q6508" t="s">
        <v>26570</v>
      </c>
      <c r="R6508" t="s">
        <v>26578</v>
      </c>
      <c r="S6508" t="s">
        <v>18959</v>
      </c>
      <c r="U6508" t="s">
        <v>26604</v>
      </c>
      <c r="W6508" t="s">
        <v>775</v>
      </c>
      <c r="X6508">
        <v>0</v>
      </c>
      <c r="Y6508" t="s">
        <v>26651</v>
      </c>
      <c r="Z6508" t="s">
        <v>26661</v>
      </c>
      <c r="AA6508" t="s">
        <v>26683</v>
      </c>
      <c r="AB6508" t="s">
        <v>31734</v>
      </c>
      <c r="AD6508" t="s">
        <v>41995</v>
      </c>
      <c r="AE6508">
        <v>22</v>
      </c>
      <c r="AF6508" t="s">
        <v>45541</v>
      </c>
      <c r="AG6508" t="s">
        <v>45556</v>
      </c>
      <c r="AH6508">
        <v>42</v>
      </c>
      <c r="AI6508">
        <v>1</v>
      </c>
      <c r="AJ6508">
        <v>0</v>
      </c>
      <c r="AK6508">
        <v>72.06</v>
      </c>
      <c r="AN6508" t="s">
        <v>45581</v>
      </c>
      <c r="AO6508">
        <v>9000</v>
      </c>
      <c r="AU6508">
        <v>1.5</v>
      </c>
      <c r="AV6508" t="s">
        <v>775</v>
      </c>
      <c r="AW6508" t="s">
        <v>264</v>
      </c>
      <c r="AX6508" t="s">
        <v>46897</v>
      </c>
    </row>
    <row r="6509" spans="1:50">
      <c r="A6509" s="1">
        <f>HYPERLINK("https://lsnyc.legalserver.org/matter/dynamic-profile/view/1894261","19-1894261")</f>
        <v>0</v>
      </c>
      <c r="B6509" t="s">
        <v>72</v>
      </c>
      <c r="C6509" t="s">
        <v>341</v>
      </c>
      <c r="D6509" t="s">
        <v>775</v>
      </c>
      <c r="E6509" t="s">
        <v>775</v>
      </c>
      <c r="F6509" t="s">
        <v>1082</v>
      </c>
      <c r="G6509" t="s">
        <v>5147</v>
      </c>
      <c r="H6509" t="s">
        <v>14323</v>
      </c>
      <c r="J6509" t="s">
        <v>18893</v>
      </c>
      <c r="K6509">
        <v>10034</v>
      </c>
      <c r="L6509" t="s">
        <v>18958</v>
      </c>
      <c r="M6509" t="s">
        <v>18960</v>
      </c>
      <c r="N6509" t="s">
        <v>23742</v>
      </c>
      <c r="O6509" t="s">
        <v>26523</v>
      </c>
      <c r="P6509" t="s">
        <v>26564</v>
      </c>
      <c r="Q6509" t="s">
        <v>26570</v>
      </c>
      <c r="R6509" t="s">
        <v>26578</v>
      </c>
      <c r="U6509" t="s">
        <v>26604</v>
      </c>
      <c r="W6509" t="s">
        <v>775</v>
      </c>
      <c r="X6509">
        <v>0</v>
      </c>
      <c r="Y6509" t="s">
        <v>26651</v>
      </c>
      <c r="Z6509" t="s">
        <v>26661</v>
      </c>
      <c r="AA6509" t="s">
        <v>26683</v>
      </c>
      <c r="AB6509" t="s">
        <v>27494</v>
      </c>
      <c r="AD6509" t="s">
        <v>41996</v>
      </c>
      <c r="AE6509">
        <v>60</v>
      </c>
      <c r="AF6509" t="s">
        <v>45541</v>
      </c>
      <c r="AG6509" t="s">
        <v>19330</v>
      </c>
      <c r="AH6509">
        <v>0</v>
      </c>
      <c r="AI6509">
        <v>2</v>
      </c>
      <c r="AJ6509">
        <v>0</v>
      </c>
      <c r="AK6509">
        <v>147.84</v>
      </c>
      <c r="AN6509" t="s">
        <v>45606</v>
      </c>
      <c r="AO6509">
        <v>25000</v>
      </c>
      <c r="AU6509">
        <v>0.1</v>
      </c>
      <c r="AV6509" t="s">
        <v>775</v>
      </c>
      <c r="AW6509" t="s">
        <v>264</v>
      </c>
      <c r="AX6509" t="s">
        <v>46897</v>
      </c>
    </row>
    <row r="6510" spans="1:50">
      <c r="A6510" s="1">
        <f>HYPERLINK("https://lsnyc.legalserver.org/matter/dynamic-profile/view/1894184","19-1894184")</f>
        <v>0</v>
      </c>
      <c r="B6510" t="s">
        <v>214</v>
      </c>
      <c r="C6510" t="s">
        <v>341</v>
      </c>
      <c r="D6510" t="s">
        <v>775</v>
      </c>
      <c r="E6510" t="s">
        <v>789</v>
      </c>
      <c r="F6510" t="s">
        <v>1767</v>
      </c>
      <c r="G6510" t="s">
        <v>8051</v>
      </c>
      <c r="H6510" t="s">
        <v>14324</v>
      </c>
      <c r="I6510" t="s">
        <v>17429</v>
      </c>
      <c r="J6510" t="s">
        <v>18910</v>
      </c>
      <c r="K6510">
        <v>11420</v>
      </c>
      <c r="L6510" t="s">
        <v>18958</v>
      </c>
      <c r="M6510" t="s">
        <v>18958</v>
      </c>
      <c r="N6510" t="s">
        <v>19840</v>
      </c>
      <c r="O6510" t="s">
        <v>18997</v>
      </c>
      <c r="P6510" t="s">
        <v>26564</v>
      </c>
      <c r="Q6510" t="s">
        <v>26570</v>
      </c>
      <c r="R6510" t="s">
        <v>26589</v>
      </c>
      <c r="S6510" t="s">
        <v>18959</v>
      </c>
      <c r="U6510" t="s">
        <v>26604</v>
      </c>
      <c r="V6510" t="s">
        <v>26610</v>
      </c>
      <c r="W6510" t="s">
        <v>775</v>
      </c>
      <c r="X6510">
        <v>0</v>
      </c>
      <c r="Y6510" t="s">
        <v>26653</v>
      </c>
      <c r="Z6510" t="s">
        <v>26671</v>
      </c>
      <c r="AA6510" t="s">
        <v>26683</v>
      </c>
      <c r="AB6510" t="s">
        <v>31735</v>
      </c>
      <c r="AC6510" t="s">
        <v>35263</v>
      </c>
      <c r="AD6510" t="s">
        <v>41997</v>
      </c>
      <c r="AE6510">
        <v>2</v>
      </c>
      <c r="AF6510" t="s">
        <v>45547</v>
      </c>
      <c r="AG6510" t="s">
        <v>19330</v>
      </c>
      <c r="AH6510">
        <v>1</v>
      </c>
      <c r="AI6510">
        <v>2</v>
      </c>
      <c r="AJ6510">
        <v>0</v>
      </c>
      <c r="AK6510">
        <v>35.48</v>
      </c>
      <c r="AL6510" t="s">
        <v>45567</v>
      </c>
      <c r="AM6510" t="s">
        <v>45577</v>
      </c>
      <c r="AN6510" t="s">
        <v>45581</v>
      </c>
      <c r="AO6510">
        <v>6000</v>
      </c>
      <c r="AU6510">
        <v>1.6</v>
      </c>
      <c r="AV6510" t="s">
        <v>775</v>
      </c>
      <c r="AW6510" t="s">
        <v>214</v>
      </c>
    </row>
    <row r="6511" spans="1:50">
      <c r="A6511" s="1">
        <f>HYPERLINK("https://lsnyc.legalserver.org/matter/dynamic-profile/view/1894214","19-1894214")</f>
        <v>0</v>
      </c>
      <c r="B6511" t="s">
        <v>198</v>
      </c>
      <c r="C6511" t="s">
        <v>341</v>
      </c>
      <c r="D6511" t="s">
        <v>775</v>
      </c>
      <c r="E6511" t="s">
        <v>811</v>
      </c>
      <c r="F6511" t="s">
        <v>881</v>
      </c>
      <c r="G6511" t="s">
        <v>5416</v>
      </c>
      <c r="H6511" t="s">
        <v>14093</v>
      </c>
      <c r="I6511" t="s">
        <v>17885</v>
      </c>
      <c r="J6511" t="s">
        <v>18894</v>
      </c>
      <c r="K6511">
        <v>11206</v>
      </c>
      <c r="L6511" t="s">
        <v>18958</v>
      </c>
      <c r="M6511" t="s">
        <v>18958</v>
      </c>
      <c r="N6511" t="s">
        <v>23743</v>
      </c>
      <c r="O6511" t="s">
        <v>26523</v>
      </c>
      <c r="P6511" t="s">
        <v>26564</v>
      </c>
      <c r="Q6511" t="s">
        <v>26570</v>
      </c>
      <c r="R6511" t="s">
        <v>26578</v>
      </c>
      <c r="U6511" t="s">
        <v>26604</v>
      </c>
      <c r="W6511" t="s">
        <v>775</v>
      </c>
      <c r="X6511">
        <v>260</v>
      </c>
      <c r="Y6511" t="s">
        <v>26652</v>
      </c>
      <c r="AA6511" t="s">
        <v>26683</v>
      </c>
      <c r="AB6511" t="s">
        <v>27657</v>
      </c>
      <c r="AE6511">
        <v>0</v>
      </c>
      <c r="AH6511">
        <v>13</v>
      </c>
      <c r="AI6511">
        <v>1</v>
      </c>
      <c r="AJ6511">
        <v>0</v>
      </c>
      <c r="AK6511">
        <v>0</v>
      </c>
      <c r="AN6511" t="s">
        <v>45581</v>
      </c>
      <c r="AO6511">
        <v>0</v>
      </c>
      <c r="AU6511">
        <v>2</v>
      </c>
      <c r="AV6511" t="s">
        <v>720</v>
      </c>
      <c r="AW6511" t="s">
        <v>198</v>
      </c>
    </row>
    <row r="6512" spans="1:50">
      <c r="A6512" s="1">
        <f>HYPERLINK("https://lsnyc.legalserver.org/matter/dynamic-profile/view/1894185","19-1894185")</f>
        <v>0</v>
      </c>
      <c r="B6512" t="s">
        <v>198</v>
      </c>
      <c r="C6512" t="s">
        <v>341</v>
      </c>
      <c r="D6512" t="s">
        <v>775</v>
      </c>
      <c r="E6512" t="s">
        <v>767</v>
      </c>
      <c r="F6512" t="s">
        <v>887</v>
      </c>
      <c r="G6512" t="s">
        <v>6241</v>
      </c>
      <c r="H6512" t="s">
        <v>14325</v>
      </c>
      <c r="I6512" t="s">
        <v>18371</v>
      </c>
      <c r="J6512" t="s">
        <v>18894</v>
      </c>
      <c r="K6512">
        <v>11206</v>
      </c>
      <c r="L6512" t="s">
        <v>18958</v>
      </c>
      <c r="M6512" t="s">
        <v>18958</v>
      </c>
      <c r="P6512" t="s">
        <v>26564</v>
      </c>
      <c r="Q6512" t="s">
        <v>26570</v>
      </c>
      <c r="R6512" t="s">
        <v>26578</v>
      </c>
      <c r="U6512" t="s">
        <v>26604</v>
      </c>
      <c r="W6512" t="s">
        <v>775</v>
      </c>
      <c r="X6512">
        <v>1523</v>
      </c>
      <c r="Y6512" t="s">
        <v>26652</v>
      </c>
      <c r="AA6512" t="s">
        <v>26683</v>
      </c>
      <c r="AB6512" t="s">
        <v>31736</v>
      </c>
      <c r="AD6512" t="s">
        <v>41998</v>
      </c>
      <c r="AE6512">
        <v>0</v>
      </c>
      <c r="AH6512">
        <v>36</v>
      </c>
      <c r="AI6512">
        <v>4</v>
      </c>
      <c r="AJ6512">
        <v>0</v>
      </c>
      <c r="AK6512">
        <v>108.74</v>
      </c>
      <c r="AN6512" t="s">
        <v>7439</v>
      </c>
      <c r="AO6512">
        <v>28000</v>
      </c>
      <c r="AU6512">
        <v>1.9</v>
      </c>
      <c r="AV6512" t="s">
        <v>720</v>
      </c>
      <c r="AW6512" t="s">
        <v>198</v>
      </c>
    </row>
    <row r="6513" spans="1:50">
      <c r="A6513" s="1">
        <f>HYPERLINK("https://lsnyc.legalserver.org/matter/dynamic-profile/view/1894291","19-1894291")</f>
        <v>0</v>
      </c>
      <c r="B6513" t="s">
        <v>169</v>
      </c>
      <c r="C6513" t="s">
        <v>340</v>
      </c>
      <c r="D6513" t="s">
        <v>775</v>
      </c>
      <c r="F6513" t="s">
        <v>887</v>
      </c>
      <c r="G6513" t="s">
        <v>5973</v>
      </c>
      <c r="H6513" t="s">
        <v>14326</v>
      </c>
      <c r="I6513" t="s">
        <v>17298</v>
      </c>
      <c r="J6513" t="s">
        <v>18892</v>
      </c>
      <c r="K6513">
        <v>10458</v>
      </c>
      <c r="L6513" t="s">
        <v>18958</v>
      </c>
      <c r="M6513" t="s">
        <v>18958</v>
      </c>
      <c r="O6513" t="s">
        <v>26542</v>
      </c>
      <c r="P6513" t="s">
        <v>26562</v>
      </c>
      <c r="R6513" t="s">
        <v>26578</v>
      </c>
      <c r="S6513" t="s">
        <v>18959</v>
      </c>
      <c r="U6513" t="s">
        <v>26604</v>
      </c>
      <c r="V6513" t="s">
        <v>26610</v>
      </c>
      <c r="W6513" t="s">
        <v>775</v>
      </c>
      <c r="X6513">
        <v>1580</v>
      </c>
      <c r="Y6513" t="s">
        <v>26650</v>
      </c>
      <c r="Z6513" t="s">
        <v>26673</v>
      </c>
      <c r="AB6513" t="s">
        <v>31737</v>
      </c>
      <c r="AC6513" t="s">
        <v>36187</v>
      </c>
      <c r="AD6513" t="s">
        <v>41999</v>
      </c>
      <c r="AE6513">
        <v>0</v>
      </c>
      <c r="AF6513" t="s">
        <v>20460</v>
      </c>
      <c r="AG6513" t="s">
        <v>45556</v>
      </c>
      <c r="AH6513">
        <v>23</v>
      </c>
      <c r="AI6513">
        <v>3</v>
      </c>
      <c r="AJ6513">
        <v>0</v>
      </c>
      <c r="AK6513">
        <v>108.02</v>
      </c>
      <c r="AN6513" t="s">
        <v>7439</v>
      </c>
      <c r="AO6513">
        <v>23040</v>
      </c>
      <c r="AU6513">
        <v>3.7</v>
      </c>
      <c r="AV6513" t="s">
        <v>828</v>
      </c>
      <c r="AW6513" t="s">
        <v>329</v>
      </c>
    </row>
    <row r="6514" spans="1:50">
      <c r="A6514" s="1">
        <f>HYPERLINK("https://lsnyc.legalserver.org/matter/dynamic-profile/view/1894231","19-1894231")</f>
        <v>0</v>
      </c>
      <c r="B6514" t="s">
        <v>97</v>
      </c>
      <c r="C6514" t="s">
        <v>340</v>
      </c>
      <c r="D6514" t="s">
        <v>775</v>
      </c>
      <c r="F6514" t="s">
        <v>1339</v>
      </c>
      <c r="G6514" t="s">
        <v>5416</v>
      </c>
      <c r="H6514" t="s">
        <v>14327</v>
      </c>
      <c r="I6514" t="s">
        <v>18372</v>
      </c>
      <c r="J6514" t="s">
        <v>18892</v>
      </c>
      <c r="K6514">
        <v>10468</v>
      </c>
      <c r="L6514" t="s">
        <v>18958</v>
      </c>
      <c r="M6514" t="s">
        <v>18958</v>
      </c>
      <c r="N6514" t="s">
        <v>23744</v>
      </c>
      <c r="O6514" t="s">
        <v>26523</v>
      </c>
      <c r="P6514" t="s">
        <v>26560</v>
      </c>
      <c r="R6514" t="s">
        <v>26579</v>
      </c>
      <c r="U6514" t="s">
        <v>26604</v>
      </c>
      <c r="V6514" t="s">
        <v>26610</v>
      </c>
      <c r="W6514" t="s">
        <v>775</v>
      </c>
      <c r="X6514">
        <v>1385</v>
      </c>
      <c r="Y6514" t="s">
        <v>26650</v>
      </c>
      <c r="Z6514" t="s">
        <v>26664</v>
      </c>
      <c r="AB6514" t="s">
        <v>27650</v>
      </c>
      <c r="AD6514" t="s">
        <v>42000</v>
      </c>
      <c r="AE6514">
        <v>0</v>
      </c>
      <c r="AF6514" t="s">
        <v>45541</v>
      </c>
      <c r="AH6514">
        <v>3</v>
      </c>
      <c r="AI6514">
        <v>2</v>
      </c>
      <c r="AJ6514">
        <v>0</v>
      </c>
      <c r="AK6514">
        <v>159.67</v>
      </c>
      <c r="AO6514">
        <v>27000</v>
      </c>
      <c r="AU6514">
        <v>10.1</v>
      </c>
      <c r="AV6514" t="s">
        <v>826</v>
      </c>
      <c r="AW6514" t="s">
        <v>334</v>
      </c>
      <c r="AX6514" t="s">
        <v>46897</v>
      </c>
    </row>
    <row r="6515" spans="1:50">
      <c r="A6515" s="1">
        <f>HYPERLINK("https://lsnyc.legalserver.org/matter/dynamic-profile/view/1894222","19-1894222")</f>
        <v>0</v>
      </c>
      <c r="B6515" t="s">
        <v>85</v>
      </c>
      <c r="C6515" t="s">
        <v>340</v>
      </c>
      <c r="D6515" t="s">
        <v>775</v>
      </c>
      <c r="F6515" t="s">
        <v>3707</v>
      </c>
      <c r="G6515" t="s">
        <v>5295</v>
      </c>
      <c r="H6515" t="s">
        <v>14328</v>
      </c>
      <c r="I6515" t="s">
        <v>17349</v>
      </c>
      <c r="J6515" t="s">
        <v>18939</v>
      </c>
      <c r="K6515">
        <v>11423</v>
      </c>
      <c r="L6515" t="s">
        <v>18958</v>
      </c>
      <c r="M6515" t="s">
        <v>18958</v>
      </c>
      <c r="N6515" t="s">
        <v>23745</v>
      </c>
      <c r="O6515" t="s">
        <v>26523</v>
      </c>
      <c r="P6515" t="s">
        <v>26564</v>
      </c>
      <c r="R6515" t="s">
        <v>26584</v>
      </c>
      <c r="S6515" t="s">
        <v>18959</v>
      </c>
      <c r="U6515" t="s">
        <v>26604</v>
      </c>
      <c r="W6515" t="s">
        <v>775</v>
      </c>
      <c r="X6515">
        <v>987.1900000000001</v>
      </c>
      <c r="Y6515" t="s">
        <v>26653</v>
      </c>
      <c r="Z6515" t="s">
        <v>26664</v>
      </c>
      <c r="AB6515" t="s">
        <v>31738</v>
      </c>
      <c r="AD6515" t="s">
        <v>42001</v>
      </c>
      <c r="AE6515">
        <v>0</v>
      </c>
      <c r="AF6515" t="s">
        <v>20460</v>
      </c>
      <c r="AG6515" t="s">
        <v>19330</v>
      </c>
      <c r="AH6515">
        <v>4</v>
      </c>
      <c r="AI6515">
        <v>1</v>
      </c>
      <c r="AJ6515">
        <v>0</v>
      </c>
      <c r="AK6515">
        <v>0</v>
      </c>
      <c r="AN6515" t="s">
        <v>7439</v>
      </c>
      <c r="AO6515">
        <v>0</v>
      </c>
      <c r="AU6515">
        <v>0.4</v>
      </c>
      <c r="AV6515" t="s">
        <v>804</v>
      </c>
      <c r="AW6515" t="s">
        <v>208</v>
      </c>
    </row>
    <row r="6516" spans="1:50">
      <c r="A6516" s="1">
        <f>HYPERLINK("https://lsnyc.legalserver.org/matter/dynamic-profile/view/1894233","19-1894233")</f>
        <v>0</v>
      </c>
      <c r="B6516" t="s">
        <v>85</v>
      </c>
      <c r="C6516" t="s">
        <v>340</v>
      </c>
      <c r="D6516" t="s">
        <v>775</v>
      </c>
      <c r="F6516" t="s">
        <v>1234</v>
      </c>
      <c r="G6516" t="s">
        <v>8052</v>
      </c>
      <c r="H6516" t="s">
        <v>14329</v>
      </c>
      <c r="I6516" t="s">
        <v>17375</v>
      </c>
      <c r="J6516" t="s">
        <v>18929</v>
      </c>
      <c r="K6516">
        <v>11379</v>
      </c>
      <c r="L6516" t="s">
        <v>18958</v>
      </c>
      <c r="M6516" t="s">
        <v>18958</v>
      </c>
      <c r="N6516" t="s">
        <v>23746</v>
      </c>
      <c r="O6516" t="s">
        <v>26524</v>
      </c>
      <c r="P6516" t="s">
        <v>26564</v>
      </c>
      <c r="R6516" t="s">
        <v>26584</v>
      </c>
      <c r="S6516" t="s">
        <v>18959</v>
      </c>
      <c r="U6516" t="s">
        <v>26604</v>
      </c>
      <c r="W6516" t="s">
        <v>775</v>
      </c>
      <c r="X6516">
        <v>1800</v>
      </c>
      <c r="Y6516" t="s">
        <v>26653</v>
      </c>
      <c r="Z6516" t="s">
        <v>26664</v>
      </c>
      <c r="AB6516" t="s">
        <v>31739</v>
      </c>
      <c r="AC6516" t="s">
        <v>36188</v>
      </c>
      <c r="AD6516" t="s">
        <v>42002</v>
      </c>
      <c r="AE6516">
        <v>0</v>
      </c>
      <c r="AF6516" t="s">
        <v>20460</v>
      </c>
      <c r="AG6516" t="s">
        <v>19330</v>
      </c>
      <c r="AH6516">
        <v>4</v>
      </c>
      <c r="AI6516">
        <v>1</v>
      </c>
      <c r="AJ6516">
        <v>3</v>
      </c>
      <c r="AK6516">
        <v>69.90000000000001</v>
      </c>
      <c r="AN6516" t="s">
        <v>7439</v>
      </c>
      <c r="AO6516">
        <v>18000</v>
      </c>
      <c r="AU6516">
        <v>0.8</v>
      </c>
      <c r="AV6516" t="s">
        <v>804</v>
      </c>
      <c r="AW6516" t="s">
        <v>208</v>
      </c>
    </row>
    <row r="6517" spans="1:50">
      <c r="A6517" s="1">
        <f>HYPERLINK("https://lsnyc.legalserver.org/matter/dynamic-profile/view/1894202","19-1894202")</f>
        <v>0</v>
      </c>
      <c r="B6517" t="s">
        <v>85</v>
      </c>
      <c r="C6517" t="s">
        <v>340</v>
      </c>
      <c r="D6517" t="s">
        <v>775</v>
      </c>
      <c r="F6517" t="s">
        <v>3708</v>
      </c>
      <c r="G6517" t="s">
        <v>5547</v>
      </c>
      <c r="H6517" t="s">
        <v>14330</v>
      </c>
      <c r="I6517">
        <v>2</v>
      </c>
      <c r="J6517" t="s">
        <v>18910</v>
      </c>
      <c r="K6517">
        <v>11420</v>
      </c>
      <c r="L6517" t="s">
        <v>18958</v>
      </c>
      <c r="M6517" t="s">
        <v>18958</v>
      </c>
      <c r="N6517" t="s">
        <v>23747</v>
      </c>
      <c r="O6517" t="s">
        <v>26524</v>
      </c>
      <c r="P6517" t="s">
        <v>26564</v>
      </c>
      <c r="R6517" t="s">
        <v>26584</v>
      </c>
      <c r="S6517" t="s">
        <v>18959</v>
      </c>
      <c r="U6517" t="s">
        <v>26604</v>
      </c>
      <c r="W6517" t="s">
        <v>775</v>
      </c>
      <c r="X6517">
        <v>1950</v>
      </c>
      <c r="Y6517" t="s">
        <v>26653</v>
      </c>
      <c r="Z6517" t="s">
        <v>26664</v>
      </c>
      <c r="AB6517" t="s">
        <v>31740</v>
      </c>
      <c r="AD6517" t="s">
        <v>42003</v>
      </c>
      <c r="AE6517">
        <v>0</v>
      </c>
      <c r="AF6517" t="s">
        <v>20460</v>
      </c>
      <c r="AG6517" t="s">
        <v>45556</v>
      </c>
      <c r="AH6517">
        <v>10</v>
      </c>
      <c r="AI6517">
        <v>1</v>
      </c>
      <c r="AJ6517">
        <v>0</v>
      </c>
      <c r="AK6517">
        <v>128.1</v>
      </c>
      <c r="AN6517" t="s">
        <v>7439</v>
      </c>
      <c r="AO6517">
        <v>16000</v>
      </c>
      <c r="AU6517">
        <v>0.65</v>
      </c>
      <c r="AV6517" t="s">
        <v>804</v>
      </c>
      <c r="AW6517" t="s">
        <v>208</v>
      </c>
    </row>
    <row r="6518" spans="1:50">
      <c r="A6518" s="1">
        <f>HYPERLINK("https://lsnyc.legalserver.org/matter/dynamic-profile/view/1894321","19-1894321")</f>
        <v>0</v>
      </c>
      <c r="B6518" t="s">
        <v>251</v>
      </c>
      <c r="C6518" t="s">
        <v>340</v>
      </c>
      <c r="D6518" t="s">
        <v>775</v>
      </c>
      <c r="F6518" t="s">
        <v>1191</v>
      </c>
      <c r="G6518" t="s">
        <v>5982</v>
      </c>
      <c r="H6518" t="s">
        <v>11870</v>
      </c>
      <c r="I6518">
        <v>16</v>
      </c>
      <c r="J6518" t="s">
        <v>18892</v>
      </c>
      <c r="K6518">
        <v>10457</v>
      </c>
      <c r="L6518" t="s">
        <v>18958</v>
      </c>
      <c r="M6518" t="s">
        <v>18958</v>
      </c>
      <c r="N6518" t="s">
        <v>23748</v>
      </c>
      <c r="O6518" t="s">
        <v>26523</v>
      </c>
      <c r="P6518" t="s">
        <v>26560</v>
      </c>
      <c r="R6518" t="s">
        <v>26579</v>
      </c>
      <c r="S6518" t="s">
        <v>18959</v>
      </c>
      <c r="U6518" t="s">
        <v>26604</v>
      </c>
      <c r="V6518" t="s">
        <v>26610</v>
      </c>
      <c r="W6518" t="s">
        <v>775</v>
      </c>
      <c r="X6518">
        <v>1496</v>
      </c>
      <c r="Y6518" t="s">
        <v>26650</v>
      </c>
      <c r="Z6518" t="s">
        <v>26668</v>
      </c>
      <c r="AB6518" t="s">
        <v>31741</v>
      </c>
      <c r="AC6518" t="s">
        <v>36189</v>
      </c>
      <c r="AD6518" t="s">
        <v>42004</v>
      </c>
      <c r="AE6518">
        <v>0</v>
      </c>
      <c r="AF6518" t="s">
        <v>45541</v>
      </c>
      <c r="AG6518" t="s">
        <v>45557</v>
      </c>
      <c r="AH6518">
        <v>8</v>
      </c>
      <c r="AI6518">
        <v>1</v>
      </c>
      <c r="AJ6518">
        <v>4</v>
      </c>
      <c r="AK6518">
        <v>80.27</v>
      </c>
      <c r="AN6518" t="s">
        <v>7439</v>
      </c>
      <c r="AO6518">
        <v>24216</v>
      </c>
      <c r="AU6518">
        <v>13.75</v>
      </c>
      <c r="AV6518" t="s">
        <v>829</v>
      </c>
      <c r="AW6518" t="s">
        <v>46871</v>
      </c>
    </row>
    <row r="6519" spans="1:50">
      <c r="A6519" s="1">
        <f>HYPERLINK("https://lsnyc.legalserver.org/matter/dynamic-profile/view/1894312","19-1894312")</f>
        <v>0</v>
      </c>
      <c r="B6519" t="s">
        <v>68</v>
      </c>
      <c r="C6519" t="s">
        <v>340</v>
      </c>
      <c r="D6519" t="s">
        <v>775</v>
      </c>
      <c r="F6519" t="s">
        <v>2918</v>
      </c>
      <c r="G6519" t="s">
        <v>5939</v>
      </c>
      <c r="H6519" t="s">
        <v>12844</v>
      </c>
      <c r="I6519" t="s">
        <v>18052</v>
      </c>
      <c r="J6519" t="s">
        <v>18892</v>
      </c>
      <c r="K6519">
        <v>10457</v>
      </c>
      <c r="L6519" t="s">
        <v>18958</v>
      </c>
      <c r="M6519" t="s">
        <v>18958</v>
      </c>
      <c r="N6519" t="s">
        <v>23749</v>
      </c>
      <c r="O6519" t="s">
        <v>26523</v>
      </c>
      <c r="P6519" t="s">
        <v>26560</v>
      </c>
      <c r="R6519" t="s">
        <v>26579</v>
      </c>
      <c r="S6519" t="s">
        <v>18959</v>
      </c>
      <c r="U6519" t="s">
        <v>26605</v>
      </c>
      <c r="V6519" t="s">
        <v>26610</v>
      </c>
      <c r="W6519" t="s">
        <v>775</v>
      </c>
      <c r="X6519">
        <v>209</v>
      </c>
      <c r="Y6519" t="s">
        <v>26650</v>
      </c>
      <c r="Z6519" t="s">
        <v>26668</v>
      </c>
      <c r="AB6519" t="s">
        <v>30122</v>
      </c>
      <c r="AD6519" t="s">
        <v>40260</v>
      </c>
      <c r="AE6519">
        <v>221</v>
      </c>
      <c r="AF6519" t="s">
        <v>45549</v>
      </c>
      <c r="AG6519" t="s">
        <v>19330</v>
      </c>
      <c r="AH6519">
        <v>5</v>
      </c>
      <c r="AI6519">
        <v>1</v>
      </c>
      <c r="AJ6519">
        <v>0</v>
      </c>
      <c r="AK6519">
        <v>89.83</v>
      </c>
      <c r="AN6519" t="s">
        <v>45581</v>
      </c>
      <c r="AO6519">
        <v>11220</v>
      </c>
      <c r="AU6519">
        <v>1.1</v>
      </c>
      <c r="AV6519" t="s">
        <v>779</v>
      </c>
      <c r="AW6519" t="s">
        <v>46871</v>
      </c>
    </row>
    <row r="6520" spans="1:50">
      <c r="A6520" s="1">
        <f>HYPERLINK("https://lsnyc.legalserver.org/matter/dynamic-profile/view/1894203","19-1894203")</f>
        <v>0</v>
      </c>
      <c r="B6520" t="s">
        <v>119</v>
      </c>
      <c r="C6520" t="s">
        <v>340</v>
      </c>
      <c r="D6520" t="s">
        <v>775</v>
      </c>
      <c r="F6520" t="s">
        <v>3709</v>
      </c>
      <c r="G6520" t="s">
        <v>4383</v>
      </c>
      <c r="H6520" t="s">
        <v>10653</v>
      </c>
      <c r="I6520">
        <v>16</v>
      </c>
      <c r="J6520" t="s">
        <v>18893</v>
      </c>
      <c r="K6520">
        <v>10029</v>
      </c>
      <c r="L6520" t="s">
        <v>18958</v>
      </c>
      <c r="M6520" t="s">
        <v>18958</v>
      </c>
      <c r="O6520" t="s">
        <v>26529</v>
      </c>
      <c r="P6520" t="s">
        <v>26565</v>
      </c>
      <c r="R6520" t="s">
        <v>26578</v>
      </c>
      <c r="S6520" t="s">
        <v>18959</v>
      </c>
      <c r="U6520" t="s">
        <v>26604</v>
      </c>
      <c r="V6520" t="s">
        <v>26610</v>
      </c>
      <c r="W6520" t="s">
        <v>775</v>
      </c>
      <c r="X6520">
        <v>2100</v>
      </c>
      <c r="Y6520" t="s">
        <v>26651</v>
      </c>
      <c r="Z6520" t="s">
        <v>26670</v>
      </c>
      <c r="AB6520" t="s">
        <v>31742</v>
      </c>
      <c r="AD6520" t="s">
        <v>42005</v>
      </c>
      <c r="AE6520">
        <v>40</v>
      </c>
      <c r="AF6520" t="s">
        <v>45541</v>
      </c>
      <c r="AG6520" t="s">
        <v>19330</v>
      </c>
      <c r="AH6520">
        <v>1</v>
      </c>
      <c r="AI6520">
        <v>1</v>
      </c>
      <c r="AJ6520">
        <v>0</v>
      </c>
      <c r="AK6520">
        <v>0</v>
      </c>
      <c r="AN6520" t="s">
        <v>7439</v>
      </c>
      <c r="AO6520">
        <v>0</v>
      </c>
      <c r="AU6520">
        <v>3.25</v>
      </c>
      <c r="AV6520" t="s">
        <v>781</v>
      </c>
      <c r="AW6520" t="s">
        <v>119</v>
      </c>
    </row>
    <row r="6521" spans="1:50">
      <c r="A6521" s="1">
        <f>HYPERLINK("https://lsnyc.legalserver.org/matter/dynamic-profile/view/1894220","19-1894220")</f>
        <v>0</v>
      </c>
      <c r="B6521" t="s">
        <v>135</v>
      </c>
      <c r="C6521" t="s">
        <v>340</v>
      </c>
      <c r="D6521" t="s">
        <v>775</v>
      </c>
      <c r="F6521" t="s">
        <v>3710</v>
      </c>
      <c r="G6521" t="s">
        <v>6270</v>
      </c>
      <c r="H6521" t="s">
        <v>13798</v>
      </c>
      <c r="I6521" t="s">
        <v>17496</v>
      </c>
      <c r="J6521" t="s">
        <v>18892</v>
      </c>
      <c r="K6521">
        <v>10453</v>
      </c>
      <c r="L6521" t="s">
        <v>18958</v>
      </c>
      <c r="M6521" t="s">
        <v>18958</v>
      </c>
      <c r="N6521" t="s">
        <v>23750</v>
      </c>
      <c r="O6521" t="s">
        <v>26523</v>
      </c>
      <c r="P6521" t="s">
        <v>26560</v>
      </c>
      <c r="R6521" t="s">
        <v>26578</v>
      </c>
      <c r="S6521" t="s">
        <v>18959</v>
      </c>
      <c r="U6521" t="s">
        <v>26604</v>
      </c>
      <c r="W6521" t="s">
        <v>775</v>
      </c>
      <c r="X6521">
        <v>506</v>
      </c>
      <c r="Y6521" t="s">
        <v>26650</v>
      </c>
      <c r="Z6521" t="s">
        <v>26659</v>
      </c>
      <c r="AB6521" t="s">
        <v>31743</v>
      </c>
      <c r="AD6521" t="s">
        <v>42006</v>
      </c>
      <c r="AE6521">
        <v>170</v>
      </c>
      <c r="AF6521" t="s">
        <v>45543</v>
      </c>
      <c r="AG6521" t="s">
        <v>45556</v>
      </c>
      <c r="AH6521">
        <v>10</v>
      </c>
      <c r="AI6521">
        <v>2</v>
      </c>
      <c r="AJ6521">
        <v>4</v>
      </c>
      <c r="AK6521">
        <v>58.98</v>
      </c>
      <c r="AN6521" t="s">
        <v>45581</v>
      </c>
      <c r="AO6521">
        <v>20400</v>
      </c>
      <c r="AU6521">
        <v>2</v>
      </c>
      <c r="AV6521" t="s">
        <v>791</v>
      </c>
      <c r="AW6521" t="s">
        <v>46847</v>
      </c>
    </row>
    <row r="6522" spans="1:50">
      <c r="A6522" s="1">
        <f>HYPERLINK("https://lsnyc.legalserver.org/matter/dynamic-profile/view/1894168","19-1894168")</f>
        <v>0</v>
      </c>
      <c r="B6522" t="s">
        <v>200</v>
      </c>
      <c r="C6522" t="s">
        <v>340</v>
      </c>
      <c r="D6522" t="s">
        <v>775</v>
      </c>
      <c r="F6522" t="s">
        <v>3711</v>
      </c>
      <c r="G6522" t="s">
        <v>5269</v>
      </c>
      <c r="H6522" t="s">
        <v>14331</v>
      </c>
      <c r="I6522" t="s">
        <v>17374</v>
      </c>
      <c r="J6522" t="s">
        <v>18894</v>
      </c>
      <c r="K6522">
        <v>11236</v>
      </c>
      <c r="L6522" t="s">
        <v>18958</v>
      </c>
      <c r="M6522" t="s">
        <v>18960</v>
      </c>
      <c r="P6522" t="s">
        <v>26565</v>
      </c>
      <c r="R6522" t="s">
        <v>26583</v>
      </c>
      <c r="U6522" t="s">
        <v>26607</v>
      </c>
      <c r="W6522" t="s">
        <v>775</v>
      </c>
      <c r="X6522">
        <v>1050</v>
      </c>
      <c r="Y6522" t="s">
        <v>26652</v>
      </c>
      <c r="Z6522" t="s">
        <v>26659</v>
      </c>
      <c r="AB6522" t="s">
        <v>31744</v>
      </c>
      <c r="AD6522" t="s">
        <v>42007</v>
      </c>
      <c r="AE6522">
        <v>2</v>
      </c>
      <c r="AF6522" t="s">
        <v>45547</v>
      </c>
      <c r="AH6522">
        <v>13</v>
      </c>
      <c r="AI6522">
        <v>1</v>
      </c>
      <c r="AJ6522">
        <v>0</v>
      </c>
      <c r="AK6522">
        <v>400.32</v>
      </c>
      <c r="AN6522" t="s">
        <v>7439</v>
      </c>
      <c r="AO6522">
        <v>50000</v>
      </c>
      <c r="AU6522">
        <v>0</v>
      </c>
      <c r="AW6522" t="s">
        <v>46856</v>
      </c>
    </row>
    <row r="6523" spans="1:50">
      <c r="A6523" s="1">
        <f>HYPERLINK("https://lsnyc.legalserver.org/matter/dynamic-profile/view/1894236","19-1894236")</f>
        <v>0</v>
      </c>
      <c r="B6523" t="s">
        <v>50</v>
      </c>
      <c r="C6523" t="s">
        <v>340</v>
      </c>
      <c r="D6523" t="s">
        <v>775</v>
      </c>
      <c r="F6523" t="s">
        <v>1025</v>
      </c>
      <c r="G6523" t="s">
        <v>6149</v>
      </c>
      <c r="H6523" t="s">
        <v>11155</v>
      </c>
      <c r="I6523" t="s">
        <v>17731</v>
      </c>
      <c r="J6523" t="s">
        <v>18892</v>
      </c>
      <c r="K6523">
        <v>10451</v>
      </c>
      <c r="L6523" t="s">
        <v>18958</v>
      </c>
      <c r="M6523" t="s">
        <v>18958</v>
      </c>
      <c r="N6523" t="s">
        <v>23751</v>
      </c>
      <c r="O6523" t="s">
        <v>26523</v>
      </c>
      <c r="P6523" t="s">
        <v>26560</v>
      </c>
      <c r="R6523" t="s">
        <v>26577</v>
      </c>
      <c r="S6523" t="s">
        <v>18959</v>
      </c>
      <c r="U6523" t="s">
        <v>26604</v>
      </c>
      <c r="V6523" t="s">
        <v>26610</v>
      </c>
      <c r="W6523" t="s">
        <v>775</v>
      </c>
      <c r="X6523">
        <v>694</v>
      </c>
      <c r="Y6523" t="s">
        <v>26650</v>
      </c>
      <c r="Z6523" t="s">
        <v>26663</v>
      </c>
      <c r="AB6523" t="s">
        <v>28339</v>
      </c>
      <c r="AC6523" t="s">
        <v>35054</v>
      </c>
      <c r="AD6523" t="s">
        <v>38387</v>
      </c>
      <c r="AE6523">
        <v>85</v>
      </c>
      <c r="AF6523" t="s">
        <v>45543</v>
      </c>
      <c r="AG6523" t="s">
        <v>19330</v>
      </c>
      <c r="AH6523">
        <v>8</v>
      </c>
      <c r="AI6523">
        <v>1</v>
      </c>
      <c r="AJ6523">
        <v>0</v>
      </c>
      <c r="AK6523">
        <v>85.8</v>
      </c>
      <c r="AN6523" t="s">
        <v>7439</v>
      </c>
      <c r="AO6523">
        <v>10716</v>
      </c>
      <c r="AU6523">
        <v>37.5</v>
      </c>
      <c r="AV6523" t="s">
        <v>720</v>
      </c>
      <c r="AW6523" t="s">
        <v>46870</v>
      </c>
    </row>
    <row r="6524" spans="1:50">
      <c r="A6524" s="1">
        <f>HYPERLINK("https://lsnyc.legalserver.org/matter/dynamic-profile/view/1894181","19-1894181")</f>
        <v>0</v>
      </c>
      <c r="B6524" t="s">
        <v>50</v>
      </c>
      <c r="C6524" t="s">
        <v>340</v>
      </c>
      <c r="D6524" t="s">
        <v>775</v>
      </c>
      <c r="F6524" t="s">
        <v>3712</v>
      </c>
      <c r="G6524" t="s">
        <v>8053</v>
      </c>
      <c r="H6524" t="s">
        <v>14332</v>
      </c>
      <c r="J6524" t="s">
        <v>18892</v>
      </c>
      <c r="K6524">
        <v>10457</v>
      </c>
      <c r="L6524" t="s">
        <v>18958</v>
      </c>
      <c r="M6524" t="s">
        <v>18958</v>
      </c>
      <c r="N6524" t="s">
        <v>23752</v>
      </c>
      <c r="O6524" t="s">
        <v>26523</v>
      </c>
      <c r="P6524" t="s">
        <v>26560</v>
      </c>
      <c r="R6524" t="s">
        <v>26579</v>
      </c>
      <c r="U6524" t="s">
        <v>26604</v>
      </c>
      <c r="V6524" t="s">
        <v>26610</v>
      </c>
      <c r="W6524" t="s">
        <v>775</v>
      </c>
      <c r="X6524">
        <v>1400</v>
      </c>
      <c r="Y6524" t="s">
        <v>26650</v>
      </c>
      <c r="Z6524" t="s">
        <v>26664</v>
      </c>
      <c r="AB6524" t="s">
        <v>31745</v>
      </c>
      <c r="AC6524" t="s">
        <v>36190</v>
      </c>
      <c r="AD6524" t="s">
        <v>42008</v>
      </c>
      <c r="AE6524">
        <v>2</v>
      </c>
      <c r="AF6524" t="s">
        <v>45547</v>
      </c>
      <c r="AG6524" t="s">
        <v>19330</v>
      </c>
      <c r="AH6524">
        <v>6</v>
      </c>
      <c r="AI6524">
        <v>1</v>
      </c>
      <c r="AJ6524">
        <v>3</v>
      </c>
      <c r="AK6524">
        <v>0</v>
      </c>
      <c r="AN6524" t="s">
        <v>7439</v>
      </c>
      <c r="AO6524">
        <v>0</v>
      </c>
      <c r="AU6524">
        <v>15.25</v>
      </c>
      <c r="AV6524" t="s">
        <v>838</v>
      </c>
      <c r="AW6524" t="s">
        <v>334</v>
      </c>
    </row>
    <row r="6525" spans="1:50">
      <c r="A6525" s="1">
        <f>HYPERLINK("https://lsnyc.legalserver.org/matter/dynamic-profile/view/1894244","19-1894244")</f>
        <v>0</v>
      </c>
      <c r="B6525" t="s">
        <v>142</v>
      </c>
      <c r="C6525" t="s">
        <v>340</v>
      </c>
      <c r="D6525" t="s">
        <v>775</v>
      </c>
      <c r="F6525" t="s">
        <v>990</v>
      </c>
      <c r="G6525" t="s">
        <v>5557</v>
      </c>
      <c r="H6525" t="s">
        <v>9806</v>
      </c>
      <c r="I6525" t="s">
        <v>17348</v>
      </c>
      <c r="J6525" t="s">
        <v>18901</v>
      </c>
      <c r="K6525">
        <v>11434</v>
      </c>
      <c r="L6525" t="s">
        <v>18958</v>
      </c>
      <c r="M6525" t="s">
        <v>18958</v>
      </c>
      <c r="N6525" t="s">
        <v>23753</v>
      </c>
      <c r="O6525" t="s">
        <v>26524</v>
      </c>
      <c r="P6525" t="s">
        <v>26560</v>
      </c>
      <c r="R6525" t="s">
        <v>26585</v>
      </c>
      <c r="S6525" t="s">
        <v>18959</v>
      </c>
      <c r="U6525" t="s">
        <v>26604</v>
      </c>
      <c r="V6525" t="s">
        <v>26610</v>
      </c>
      <c r="W6525" t="s">
        <v>775</v>
      </c>
      <c r="X6525">
        <v>954</v>
      </c>
      <c r="Y6525" t="s">
        <v>26653</v>
      </c>
      <c r="Z6525" t="s">
        <v>26664</v>
      </c>
      <c r="AB6525" t="s">
        <v>29592</v>
      </c>
      <c r="AD6525" t="s">
        <v>42009</v>
      </c>
      <c r="AE6525">
        <v>0</v>
      </c>
      <c r="AF6525" t="s">
        <v>45550</v>
      </c>
      <c r="AG6525" t="s">
        <v>19330</v>
      </c>
      <c r="AH6525">
        <v>7</v>
      </c>
      <c r="AI6525">
        <v>2</v>
      </c>
      <c r="AJ6525">
        <v>1</v>
      </c>
      <c r="AK6525">
        <v>171.08</v>
      </c>
      <c r="AN6525" t="s">
        <v>7439</v>
      </c>
      <c r="AO6525">
        <v>36492</v>
      </c>
      <c r="AU6525">
        <v>7.85</v>
      </c>
      <c r="AV6525" t="s">
        <v>772</v>
      </c>
      <c r="AW6525" t="s">
        <v>208</v>
      </c>
    </row>
    <row r="6526" spans="1:50">
      <c r="A6526" s="1">
        <f>HYPERLINK("https://lsnyc.legalserver.org/matter/dynamic-profile/view/1893584","19-1893584")</f>
        <v>0</v>
      </c>
      <c r="B6526" t="s">
        <v>103</v>
      </c>
      <c r="C6526" t="s">
        <v>340</v>
      </c>
      <c r="D6526" t="s">
        <v>775</v>
      </c>
      <c r="F6526" t="s">
        <v>1822</v>
      </c>
      <c r="G6526" t="s">
        <v>5103</v>
      </c>
      <c r="H6526" t="s">
        <v>14333</v>
      </c>
      <c r="I6526" t="s">
        <v>17274</v>
      </c>
      <c r="J6526" t="s">
        <v>18902</v>
      </c>
      <c r="K6526">
        <v>10305</v>
      </c>
      <c r="L6526" t="s">
        <v>18958</v>
      </c>
      <c r="M6526" t="s">
        <v>18958</v>
      </c>
      <c r="N6526" t="s">
        <v>23754</v>
      </c>
      <c r="O6526" t="s">
        <v>26523</v>
      </c>
      <c r="P6526" t="s">
        <v>26560</v>
      </c>
      <c r="R6526" t="s">
        <v>26578</v>
      </c>
      <c r="S6526" t="s">
        <v>18959</v>
      </c>
      <c r="U6526" t="s">
        <v>26604</v>
      </c>
      <c r="V6526" t="s">
        <v>26610</v>
      </c>
      <c r="W6526" t="s">
        <v>775</v>
      </c>
      <c r="X6526">
        <v>1200</v>
      </c>
      <c r="Y6526" t="s">
        <v>26654</v>
      </c>
      <c r="Z6526" t="s">
        <v>26668</v>
      </c>
      <c r="AB6526" t="s">
        <v>31746</v>
      </c>
      <c r="AD6526" t="s">
        <v>42010</v>
      </c>
      <c r="AE6526">
        <v>5</v>
      </c>
      <c r="AF6526" t="s">
        <v>45547</v>
      </c>
      <c r="AG6526" t="s">
        <v>19330</v>
      </c>
      <c r="AH6526">
        <v>1</v>
      </c>
      <c r="AI6526">
        <v>1</v>
      </c>
      <c r="AJ6526">
        <v>2</v>
      </c>
      <c r="AK6526">
        <v>19.69</v>
      </c>
      <c r="AN6526" t="s">
        <v>7439</v>
      </c>
      <c r="AO6526">
        <v>4200</v>
      </c>
      <c r="AU6526">
        <v>11.9</v>
      </c>
      <c r="AV6526" t="s">
        <v>830</v>
      </c>
      <c r="AW6526" t="s">
        <v>46852</v>
      </c>
      <c r="AX6526" t="s">
        <v>46897</v>
      </c>
    </row>
    <row r="6527" spans="1:50">
      <c r="A6527" s="1">
        <f>HYPERLINK("https://lsnyc.legalserver.org/matter/dynamic-profile/view/1894318","19-1894318")</f>
        <v>0</v>
      </c>
      <c r="B6527" t="s">
        <v>91</v>
      </c>
      <c r="C6527" t="s">
        <v>340</v>
      </c>
      <c r="D6527" t="s">
        <v>775</v>
      </c>
      <c r="F6527" t="s">
        <v>1140</v>
      </c>
      <c r="G6527" t="s">
        <v>5147</v>
      </c>
      <c r="H6527" t="s">
        <v>14334</v>
      </c>
      <c r="I6527" t="s">
        <v>17334</v>
      </c>
      <c r="J6527" t="s">
        <v>18919</v>
      </c>
      <c r="K6527">
        <v>11428</v>
      </c>
      <c r="L6527" t="s">
        <v>18958</v>
      </c>
      <c r="M6527" t="s">
        <v>18958</v>
      </c>
      <c r="N6527" t="s">
        <v>23755</v>
      </c>
      <c r="P6527" t="s">
        <v>26564</v>
      </c>
      <c r="R6527" t="s">
        <v>26584</v>
      </c>
      <c r="U6527" t="s">
        <v>26604</v>
      </c>
      <c r="W6527" t="s">
        <v>775</v>
      </c>
      <c r="X6527">
        <v>1200</v>
      </c>
      <c r="Y6527" t="s">
        <v>26653</v>
      </c>
      <c r="Z6527" t="s">
        <v>26664</v>
      </c>
      <c r="AB6527" t="s">
        <v>31747</v>
      </c>
      <c r="AD6527" t="s">
        <v>42011</v>
      </c>
      <c r="AE6527">
        <v>2</v>
      </c>
      <c r="AF6527" t="s">
        <v>45543</v>
      </c>
      <c r="AG6527" t="s">
        <v>45556</v>
      </c>
      <c r="AH6527">
        <v>2</v>
      </c>
      <c r="AI6527">
        <v>1</v>
      </c>
      <c r="AJ6527">
        <v>0</v>
      </c>
      <c r="AK6527">
        <v>247.08</v>
      </c>
      <c r="AO6527">
        <v>30859.92</v>
      </c>
      <c r="AU6527">
        <v>1.3</v>
      </c>
      <c r="AV6527" t="s">
        <v>794</v>
      </c>
      <c r="AW6527" t="s">
        <v>122</v>
      </c>
    </row>
    <row r="6528" spans="1:50">
      <c r="A6528" s="1">
        <f>HYPERLINK("https://lsnyc.legalserver.org/matter/dynamic-profile/view/1894241","19-1894241")</f>
        <v>0</v>
      </c>
      <c r="B6528" t="s">
        <v>91</v>
      </c>
      <c r="C6528" t="s">
        <v>340</v>
      </c>
      <c r="D6528" t="s">
        <v>775</v>
      </c>
      <c r="F6528" t="s">
        <v>947</v>
      </c>
      <c r="G6528" t="s">
        <v>1938</v>
      </c>
      <c r="H6528" t="s">
        <v>14335</v>
      </c>
      <c r="I6528" t="s">
        <v>17491</v>
      </c>
      <c r="J6528" t="s">
        <v>18899</v>
      </c>
      <c r="K6528">
        <v>11385</v>
      </c>
      <c r="L6528" t="s">
        <v>18958</v>
      </c>
      <c r="M6528" t="s">
        <v>18958</v>
      </c>
      <c r="N6528" t="s">
        <v>23756</v>
      </c>
      <c r="O6528" t="s">
        <v>26523</v>
      </c>
      <c r="P6528" t="s">
        <v>26560</v>
      </c>
      <c r="R6528" t="s">
        <v>26585</v>
      </c>
      <c r="S6528" t="s">
        <v>18959</v>
      </c>
      <c r="U6528" t="s">
        <v>26604</v>
      </c>
      <c r="W6528" t="s">
        <v>775</v>
      </c>
      <c r="X6528">
        <v>1110</v>
      </c>
      <c r="Y6528" t="s">
        <v>26653</v>
      </c>
      <c r="Z6528" t="s">
        <v>26664</v>
      </c>
      <c r="AB6528" t="s">
        <v>31748</v>
      </c>
      <c r="AD6528" t="s">
        <v>42012</v>
      </c>
      <c r="AE6528">
        <v>0</v>
      </c>
      <c r="AF6528" t="s">
        <v>20460</v>
      </c>
      <c r="AG6528" t="s">
        <v>19330</v>
      </c>
      <c r="AH6528">
        <v>11</v>
      </c>
      <c r="AI6528">
        <v>1</v>
      </c>
      <c r="AJ6528">
        <v>0</v>
      </c>
      <c r="AK6528">
        <v>176.14</v>
      </c>
      <c r="AN6528" t="s">
        <v>7439</v>
      </c>
      <c r="AO6528">
        <v>22000</v>
      </c>
      <c r="AU6528">
        <v>6.15</v>
      </c>
      <c r="AV6528" t="s">
        <v>836</v>
      </c>
      <c r="AW6528" t="s">
        <v>208</v>
      </c>
    </row>
    <row r="6529" spans="1:50">
      <c r="A6529" s="1">
        <f>HYPERLINK("https://lsnyc.legalserver.org/matter/dynamic-profile/view/1894235","19-1894235")</f>
        <v>0</v>
      </c>
      <c r="B6529" t="s">
        <v>188</v>
      </c>
      <c r="C6529" t="s">
        <v>340</v>
      </c>
      <c r="D6529" t="s">
        <v>775</v>
      </c>
      <c r="F6529" t="s">
        <v>1228</v>
      </c>
      <c r="G6529" t="s">
        <v>5691</v>
      </c>
      <c r="H6529" t="s">
        <v>14336</v>
      </c>
      <c r="I6529">
        <v>59</v>
      </c>
      <c r="J6529" t="s">
        <v>18892</v>
      </c>
      <c r="K6529">
        <v>10458</v>
      </c>
      <c r="L6529" t="s">
        <v>18958</v>
      </c>
      <c r="M6529" t="s">
        <v>18958</v>
      </c>
      <c r="O6529" t="s">
        <v>26523</v>
      </c>
      <c r="P6529" t="s">
        <v>26560</v>
      </c>
      <c r="R6529" t="s">
        <v>26578</v>
      </c>
      <c r="S6529" t="s">
        <v>18959</v>
      </c>
      <c r="U6529" t="s">
        <v>26604</v>
      </c>
      <c r="W6529" t="s">
        <v>775</v>
      </c>
      <c r="X6529">
        <v>0</v>
      </c>
      <c r="Y6529" t="s">
        <v>26650</v>
      </c>
      <c r="Z6529" t="s">
        <v>26659</v>
      </c>
      <c r="AB6529" t="s">
        <v>29704</v>
      </c>
      <c r="AC6529" t="s">
        <v>36191</v>
      </c>
      <c r="AD6529" t="s">
        <v>42013</v>
      </c>
      <c r="AE6529">
        <v>48</v>
      </c>
      <c r="AF6529" t="s">
        <v>45541</v>
      </c>
      <c r="AG6529" t="s">
        <v>45557</v>
      </c>
      <c r="AH6529">
        <v>6</v>
      </c>
      <c r="AI6529">
        <v>2</v>
      </c>
      <c r="AJ6529">
        <v>3</v>
      </c>
      <c r="AK6529">
        <v>41.52</v>
      </c>
      <c r="AN6529" t="s">
        <v>7439</v>
      </c>
      <c r="AO6529">
        <v>12528</v>
      </c>
      <c r="AU6529">
        <v>31.8</v>
      </c>
      <c r="AV6529" t="s">
        <v>836</v>
      </c>
      <c r="AW6529" t="s">
        <v>336</v>
      </c>
    </row>
    <row r="6530" spans="1:50">
      <c r="A6530" s="1">
        <f>HYPERLINK("https://lsnyc.legalserver.org/matter/dynamic-profile/view/1894311","19-1894311")</f>
        <v>0</v>
      </c>
      <c r="B6530" t="s">
        <v>194</v>
      </c>
      <c r="C6530" t="s">
        <v>340</v>
      </c>
      <c r="D6530" t="s">
        <v>775</v>
      </c>
      <c r="F6530" t="s">
        <v>3713</v>
      </c>
      <c r="G6530" t="s">
        <v>8054</v>
      </c>
      <c r="H6530" t="s">
        <v>14337</v>
      </c>
      <c r="I6530" t="s">
        <v>17299</v>
      </c>
      <c r="J6530" t="s">
        <v>18893</v>
      </c>
      <c r="K6530">
        <v>10027</v>
      </c>
      <c r="L6530" t="s">
        <v>18958</v>
      </c>
      <c r="M6530" t="s">
        <v>18958</v>
      </c>
      <c r="N6530" t="s">
        <v>23757</v>
      </c>
      <c r="O6530" t="s">
        <v>26524</v>
      </c>
      <c r="P6530" t="s">
        <v>26560</v>
      </c>
      <c r="R6530" t="s">
        <v>26580</v>
      </c>
      <c r="S6530" t="s">
        <v>18959</v>
      </c>
      <c r="U6530" t="s">
        <v>26605</v>
      </c>
      <c r="V6530" t="s">
        <v>26609</v>
      </c>
      <c r="W6530" t="s">
        <v>775</v>
      </c>
      <c r="X6530">
        <v>648</v>
      </c>
      <c r="Y6530" t="s">
        <v>26651</v>
      </c>
      <c r="Z6530" t="s">
        <v>26664</v>
      </c>
      <c r="AB6530" t="s">
        <v>31749</v>
      </c>
      <c r="AD6530" t="s">
        <v>42014</v>
      </c>
      <c r="AE6530">
        <v>0</v>
      </c>
      <c r="AF6530" t="s">
        <v>45542</v>
      </c>
      <c r="AG6530" t="s">
        <v>19330</v>
      </c>
      <c r="AH6530">
        <v>9</v>
      </c>
      <c r="AI6530">
        <v>1</v>
      </c>
      <c r="AJ6530">
        <v>0</v>
      </c>
      <c r="AK6530">
        <v>304.24</v>
      </c>
      <c r="AN6530" t="s">
        <v>7439</v>
      </c>
      <c r="AO6530">
        <v>38000</v>
      </c>
      <c r="AU6530">
        <v>11.1</v>
      </c>
      <c r="AV6530" t="s">
        <v>828</v>
      </c>
      <c r="AW6530" t="s">
        <v>46835</v>
      </c>
    </row>
    <row r="6531" spans="1:50">
      <c r="A6531" s="1">
        <f>HYPERLINK("https://lsnyc.legalserver.org/matter/dynamic-profile/view/1894188","19-1894188")</f>
        <v>0</v>
      </c>
      <c r="B6531" t="s">
        <v>221</v>
      </c>
      <c r="C6531" t="s">
        <v>340</v>
      </c>
      <c r="D6531" t="s">
        <v>775</v>
      </c>
      <c r="F6531" t="s">
        <v>3714</v>
      </c>
      <c r="G6531" t="s">
        <v>5336</v>
      </c>
      <c r="H6531" t="s">
        <v>14338</v>
      </c>
      <c r="I6531" t="s">
        <v>17375</v>
      </c>
      <c r="J6531" t="s">
        <v>18910</v>
      </c>
      <c r="K6531">
        <v>11420</v>
      </c>
      <c r="L6531" t="s">
        <v>18958</v>
      </c>
      <c r="M6531" t="s">
        <v>18958</v>
      </c>
      <c r="N6531" t="s">
        <v>23758</v>
      </c>
      <c r="O6531" t="s">
        <v>26524</v>
      </c>
      <c r="P6531" t="s">
        <v>26563</v>
      </c>
      <c r="R6531" t="s">
        <v>26584</v>
      </c>
      <c r="S6531" t="s">
        <v>18959</v>
      </c>
      <c r="U6531" t="s">
        <v>26604</v>
      </c>
      <c r="W6531" t="s">
        <v>775</v>
      </c>
      <c r="X6531">
        <v>1600</v>
      </c>
      <c r="Y6531" t="s">
        <v>26653</v>
      </c>
      <c r="Z6531" t="s">
        <v>26664</v>
      </c>
      <c r="AB6531" t="s">
        <v>28398</v>
      </c>
      <c r="AD6531" t="s">
        <v>42015</v>
      </c>
      <c r="AE6531">
        <v>0</v>
      </c>
      <c r="AF6531" t="s">
        <v>20460</v>
      </c>
      <c r="AG6531" t="s">
        <v>19330</v>
      </c>
      <c r="AH6531">
        <v>10</v>
      </c>
      <c r="AI6531">
        <v>3</v>
      </c>
      <c r="AJ6531">
        <v>1</v>
      </c>
      <c r="AK6531">
        <v>108.74</v>
      </c>
      <c r="AN6531" t="s">
        <v>7439</v>
      </c>
      <c r="AO6531">
        <v>28000</v>
      </c>
      <c r="AU6531">
        <v>1.4</v>
      </c>
      <c r="AV6531" t="s">
        <v>775</v>
      </c>
      <c r="AW6531" t="s">
        <v>208</v>
      </c>
    </row>
    <row r="6532" spans="1:50">
      <c r="A6532" s="1">
        <f>HYPERLINK("https://lsnyc.legalserver.org/matter/dynamic-profile/view/1894230","19-1894230")</f>
        <v>0</v>
      </c>
      <c r="B6532" t="s">
        <v>221</v>
      </c>
      <c r="C6532" t="s">
        <v>340</v>
      </c>
      <c r="D6532" t="s">
        <v>775</v>
      </c>
      <c r="F6532" t="s">
        <v>3715</v>
      </c>
      <c r="G6532" t="s">
        <v>8055</v>
      </c>
      <c r="H6532" t="s">
        <v>14339</v>
      </c>
      <c r="I6532" t="s">
        <v>17491</v>
      </c>
      <c r="J6532" t="s">
        <v>18901</v>
      </c>
      <c r="K6532">
        <v>11436</v>
      </c>
      <c r="L6532" t="s">
        <v>18958</v>
      </c>
      <c r="M6532" t="s">
        <v>18958</v>
      </c>
      <c r="N6532" t="s">
        <v>23759</v>
      </c>
      <c r="O6532" t="s">
        <v>26524</v>
      </c>
      <c r="P6532" t="s">
        <v>26563</v>
      </c>
      <c r="R6532" t="s">
        <v>26584</v>
      </c>
      <c r="S6532" t="s">
        <v>18959</v>
      </c>
      <c r="U6532" t="s">
        <v>26604</v>
      </c>
      <c r="W6532" t="s">
        <v>775</v>
      </c>
      <c r="X6532">
        <v>1540</v>
      </c>
      <c r="Y6532" t="s">
        <v>26653</v>
      </c>
      <c r="Z6532" t="s">
        <v>26664</v>
      </c>
      <c r="AB6532" t="s">
        <v>31750</v>
      </c>
      <c r="AD6532" t="s">
        <v>42016</v>
      </c>
      <c r="AE6532">
        <v>0</v>
      </c>
      <c r="AF6532" t="s">
        <v>20460</v>
      </c>
      <c r="AG6532" t="s">
        <v>19330</v>
      </c>
      <c r="AH6532">
        <v>14</v>
      </c>
      <c r="AI6532">
        <v>4</v>
      </c>
      <c r="AJ6532">
        <v>1</v>
      </c>
      <c r="AK6532">
        <v>132.58</v>
      </c>
      <c r="AN6532" t="s">
        <v>7439</v>
      </c>
      <c r="AO6532">
        <v>40000</v>
      </c>
      <c r="AU6532">
        <v>1.3</v>
      </c>
      <c r="AV6532" t="s">
        <v>775</v>
      </c>
      <c r="AW6532" t="s">
        <v>208</v>
      </c>
    </row>
    <row r="6533" spans="1:50">
      <c r="A6533" s="1">
        <f>HYPERLINK("https://lsnyc.legalserver.org/matter/dynamic-profile/view/1895025","19-1895025")</f>
        <v>0</v>
      </c>
      <c r="B6533" t="s">
        <v>205</v>
      </c>
      <c r="C6533" t="s">
        <v>341</v>
      </c>
      <c r="D6533" t="s">
        <v>695</v>
      </c>
      <c r="E6533" t="s">
        <v>830</v>
      </c>
      <c r="F6533" t="s">
        <v>893</v>
      </c>
      <c r="G6533" t="s">
        <v>8056</v>
      </c>
      <c r="H6533" t="s">
        <v>14340</v>
      </c>
      <c r="I6533" t="s">
        <v>17430</v>
      </c>
      <c r="J6533" t="s">
        <v>18894</v>
      </c>
      <c r="K6533">
        <v>11207</v>
      </c>
      <c r="L6533" t="s">
        <v>18958</v>
      </c>
      <c r="M6533" t="s">
        <v>18958</v>
      </c>
      <c r="N6533" t="s">
        <v>23760</v>
      </c>
      <c r="O6533" t="s">
        <v>26524</v>
      </c>
      <c r="P6533" t="s">
        <v>26560</v>
      </c>
      <c r="Q6533" t="s">
        <v>26569</v>
      </c>
      <c r="R6533" t="s">
        <v>26578</v>
      </c>
      <c r="S6533" t="s">
        <v>18959</v>
      </c>
      <c r="U6533" t="s">
        <v>26604</v>
      </c>
      <c r="V6533" t="s">
        <v>26610</v>
      </c>
      <c r="W6533" t="s">
        <v>775</v>
      </c>
      <c r="X6533">
        <v>1200</v>
      </c>
      <c r="Y6533" t="s">
        <v>26652</v>
      </c>
      <c r="Z6533" t="s">
        <v>26530</v>
      </c>
      <c r="AA6533" t="s">
        <v>26679</v>
      </c>
      <c r="AB6533" t="s">
        <v>31751</v>
      </c>
      <c r="AC6533" t="s">
        <v>19330</v>
      </c>
      <c r="AE6533">
        <v>2</v>
      </c>
      <c r="AF6533" t="s">
        <v>45547</v>
      </c>
      <c r="AG6533" t="s">
        <v>19330</v>
      </c>
      <c r="AH6533">
        <v>7</v>
      </c>
      <c r="AI6533">
        <v>2</v>
      </c>
      <c r="AJ6533">
        <v>2</v>
      </c>
      <c r="AK6533">
        <v>50.49</v>
      </c>
      <c r="AN6533" t="s">
        <v>7439</v>
      </c>
      <c r="AO6533">
        <v>13000</v>
      </c>
      <c r="AP6533" t="s">
        <v>45780</v>
      </c>
      <c r="AQ6533" t="s">
        <v>46359</v>
      </c>
      <c r="AR6533" t="s">
        <v>26530</v>
      </c>
      <c r="AS6533" t="s">
        <v>46501</v>
      </c>
      <c r="AT6533" t="s">
        <v>46784</v>
      </c>
      <c r="AU6533">
        <v>10.65</v>
      </c>
      <c r="AV6533" t="s">
        <v>769</v>
      </c>
      <c r="AW6533" t="s">
        <v>286</v>
      </c>
    </row>
    <row r="6534" spans="1:50">
      <c r="A6534" s="1">
        <f>HYPERLINK("https://lsnyc.legalserver.org/matter/dynamic-profile/view/1875736","18-1875736")</f>
        <v>0</v>
      </c>
      <c r="B6534" t="s">
        <v>142</v>
      </c>
      <c r="C6534" t="s">
        <v>340</v>
      </c>
      <c r="D6534" t="s">
        <v>533</v>
      </c>
      <c r="F6534" t="s">
        <v>1191</v>
      </c>
      <c r="G6534" t="s">
        <v>8057</v>
      </c>
      <c r="H6534" t="s">
        <v>14341</v>
      </c>
      <c r="I6534" t="s">
        <v>17564</v>
      </c>
      <c r="J6534" t="s">
        <v>18898</v>
      </c>
      <c r="K6534">
        <v>11691</v>
      </c>
      <c r="L6534" t="s">
        <v>18958</v>
      </c>
      <c r="M6534" t="s">
        <v>18958</v>
      </c>
      <c r="N6534" t="s">
        <v>23761</v>
      </c>
      <c r="O6534" t="s">
        <v>26524</v>
      </c>
      <c r="P6534" t="s">
        <v>26564</v>
      </c>
      <c r="R6534" t="s">
        <v>26578</v>
      </c>
      <c r="S6534" t="s">
        <v>18959</v>
      </c>
      <c r="U6534" t="s">
        <v>26604</v>
      </c>
      <c r="V6534" t="s">
        <v>26610</v>
      </c>
      <c r="W6534" t="s">
        <v>741</v>
      </c>
      <c r="X6534">
        <v>1500</v>
      </c>
      <c r="Y6534" t="s">
        <v>26653</v>
      </c>
      <c r="Z6534" t="s">
        <v>26664</v>
      </c>
      <c r="AB6534" t="s">
        <v>31752</v>
      </c>
      <c r="AC6534" t="s">
        <v>36192</v>
      </c>
      <c r="AD6534" t="s">
        <v>42017</v>
      </c>
      <c r="AE6534">
        <v>2</v>
      </c>
      <c r="AF6534" t="s">
        <v>45547</v>
      </c>
      <c r="AG6534" t="s">
        <v>19330</v>
      </c>
      <c r="AH6534">
        <v>3</v>
      </c>
      <c r="AI6534">
        <v>1</v>
      </c>
      <c r="AJ6534">
        <v>2</v>
      </c>
      <c r="AK6534">
        <v>216.55</v>
      </c>
      <c r="AL6534" t="s">
        <v>614</v>
      </c>
      <c r="AM6534" t="s">
        <v>45575</v>
      </c>
      <c r="AN6534" t="s">
        <v>7439</v>
      </c>
      <c r="AO6534">
        <v>45000</v>
      </c>
      <c r="AU6534">
        <v>1.15</v>
      </c>
      <c r="AV6534" t="s">
        <v>786</v>
      </c>
      <c r="AW6534" t="s">
        <v>122</v>
      </c>
    </row>
    <row r="6535" spans="1:50">
      <c r="A6535" s="1">
        <f>HYPERLINK("https://lsnyc.legalserver.org/matter/dynamic-profile/view/1888003","19-1888003")</f>
        <v>0</v>
      </c>
      <c r="B6535" t="s">
        <v>174</v>
      </c>
      <c r="C6535" t="s">
        <v>341</v>
      </c>
      <c r="D6535" t="s">
        <v>573</v>
      </c>
      <c r="E6535" t="s">
        <v>832</v>
      </c>
      <c r="F6535" t="s">
        <v>3716</v>
      </c>
      <c r="G6535" t="s">
        <v>1901</v>
      </c>
      <c r="H6535" t="s">
        <v>14342</v>
      </c>
      <c r="I6535" t="s">
        <v>17469</v>
      </c>
      <c r="J6535" t="s">
        <v>18894</v>
      </c>
      <c r="K6535">
        <v>11231</v>
      </c>
      <c r="L6535" t="s">
        <v>18958</v>
      </c>
      <c r="M6535" t="s">
        <v>18959</v>
      </c>
      <c r="N6535" t="s">
        <v>23762</v>
      </c>
      <c r="O6535" t="s">
        <v>26524</v>
      </c>
      <c r="P6535" t="s">
        <v>26560</v>
      </c>
      <c r="Q6535" t="s">
        <v>26568</v>
      </c>
      <c r="R6535" t="s">
        <v>26589</v>
      </c>
      <c r="S6535" t="s">
        <v>18959</v>
      </c>
      <c r="U6535" t="s">
        <v>26604</v>
      </c>
      <c r="V6535" t="s">
        <v>26610</v>
      </c>
      <c r="W6535" t="s">
        <v>741</v>
      </c>
      <c r="X6535">
        <v>0</v>
      </c>
      <c r="Y6535" t="s">
        <v>26652</v>
      </c>
      <c r="Z6535" t="s">
        <v>26671</v>
      </c>
      <c r="AA6535" t="s">
        <v>26678</v>
      </c>
      <c r="AB6535" t="s">
        <v>31753</v>
      </c>
      <c r="AC6535" t="s">
        <v>19045</v>
      </c>
      <c r="AE6535">
        <v>3</v>
      </c>
      <c r="AF6535" t="s">
        <v>45547</v>
      </c>
      <c r="AG6535" t="s">
        <v>19330</v>
      </c>
      <c r="AH6535">
        <v>2</v>
      </c>
      <c r="AI6535">
        <v>1</v>
      </c>
      <c r="AJ6535">
        <v>1</v>
      </c>
      <c r="AK6535">
        <v>7.29</v>
      </c>
      <c r="AL6535" t="s">
        <v>45567</v>
      </c>
      <c r="AM6535" t="s">
        <v>45577</v>
      </c>
      <c r="AN6535" t="s">
        <v>45583</v>
      </c>
      <c r="AO6535">
        <v>1200</v>
      </c>
      <c r="AQ6535" t="s">
        <v>46361</v>
      </c>
      <c r="AR6535" t="s">
        <v>46379</v>
      </c>
      <c r="AS6535" t="s">
        <v>46499</v>
      </c>
      <c r="AT6535" t="s">
        <v>46754</v>
      </c>
      <c r="AU6535">
        <v>26.2</v>
      </c>
      <c r="AV6535" t="s">
        <v>786</v>
      </c>
      <c r="AW6535" t="s">
        <v>286</v>
      </c>
      <c r="AX6535" t="s">
        <v>46897</v>
      </c>
    </row>
    <row r="6536" spans="1:50">
      <c r="A6536" s="1">
        <f>HYPERLINK("https://lsnyc.legalserver.org/matter/dynamic-profile/view/1888968","19-1888968")</f>
        <v>0</v>
      </c>
      <c r="B6536" t="s">
        <v>121</v>
      </c>
      <c r="C6536" t="s">
        <v>340</v>
      </c>
      <c r="D6536" t="s">
        <v>732</v>
      </c>
      <c r="F6536" t="s">
        <v>964</v>
      </c>
      <c r="G6536" t="s">
        <v>2749</v>
      </c>
      <c r="H6536" t="s">
        <v>14343</v>
      </c>
      <c r="I6536" t="s">
        <v>17440</v>
      </c>
      <c r="J6536" t="s">
        <v>18892</v>
      </c>
      <c r="K6536">
        <v>10462</v>
      </c>
      <c r="L6536" t="s">
        <v>18958</v>
      </c>
      <c r="M6536" t="s">
        <v>18958</v>
      </c>
      <c r="N6536" t="s">
        <v>23763</v>
      </c>
      <c r="O6536" t="s">
        <v>26548</v>
      </c>
      <c r="P6536" t="s">
        <v>26566</v>
      </c>
      <c r="R6536" t="s">
        <v>26577</v>
      </c>
      <c r="U6536" t="s">
        <v>26604</v>
      </c>
      <c r="V6536" t="s">
        <v>26610</v>
      </c>
      <c r="W6536" t="s">
        <v>741</v>
      </c>
      <c r="X6536">
        <v>1350</v>
      </c>
      <c r="Y6536" t="s">
        <v>26650</v>
      </c>
      <c r="Z6536" t="s">
        <v>26661</v>
      </c>
      <c r="AB6536" t="s">
        <v>31754</v>
      </c>
      <c r="AD6536" t="s">
        <v>42018</v>
      </c>
      <c r="AE6536">
        <v>0</v>
      </c>
      <c r="AF6536" t="s">
        <v>45553</v>
      </c>
      <c r="AG6536" t="s">
        <v>19330</v>
      </c>
      <c r="AH6536">
        <v>17</v>
      </c>
      <c r="AI6536">
        <v>3</v>
      </c>
      <c r="AJ6536">
        <v>0</v>
      </c>
      <c r="AK6536">
        <v>183.78</v>
      </c>
      <c r="AN6536" t="s">
        <v>7439</v>
      </c>
      <c r="AO6536">
        <v>39200</v>
      </c>
      <c r="AU6536">
        <v>44.6</v>
      </c>
      <c r="AV6536" t="s">
        <v>807</v>
      </c>
      <c r="AW6536" t="s">
        <v>46859</v>
      </c>
      <c r="AX6536" t="s">
        <v>46897</v>
      </c>
    </row>
    <row r="6537" spans="1:50">
      <c r="A6537" s="1">
        <f>HYPERLINK("https://lsnyc.legalserver.org/matter/dynamic-profile/view/1891244","19-1891244")</f>
        <v>0</v>
      </c>
      <c r="B6537" t="s">
        <v>261</v>
      </c>
      <c r="C6537" t="s">
        <v>340</v>
      </c>
      <c r="D6537" t="s">
        <v>756</v>
      </c>
      <c r="F6537" t="s">
        <v>1208</v>
      </c>
      <c r="G6537" t="s">
        <v>8058</v>
      </c>
      <c r="H6537" t="s">
        <v>14344</v>
      </c>
      <c r="I6537" t="s">
        <v>17360</v>
      </c>
      <c r="J6537" t="s">
        <v>18892</v>
      </c>
      <c r="K6537">
        <v>10467</v>
      </c>
      <c r="L6537" t="s">
        <v>18958</v>
      </c>
      <c r="M6537" t="s">
        <v>18958</v>
      </c>
      <c r="O6537" t="s">
        <v>26534</v>
      </c>
      <c r="P6537" t="s">
        <v>26564</v>
      </c>
      <c r="R6537" t="s">
        <v>26578</v>
      </c>
      <c r="S6537" t="s">
        <v>18959</v>
      </c>
      <c r="U6537" t="s">
        <v>26604</v>
      </c>
      <c r="W6537" t="s">
        <v>741</v>
      </c>
      <c r="X6537">
        <v>573.76</v>
      </c>
      <c r="Y6537" t="s">
        <v>26650</v>
      </c>
      <c r="Z6537" t="s">
        <v>26670</v>
      </c>
      <c r="AB6537" t="s">
        <v>31755</v>
      </c>
      <c r="AD6537" t="s">
        <v>42019</v>
      </c>
      <c r="AE6537">
        <v>71</v>
      </c>
      <c r="AF6537" t="s">
        <v>45548</v>
      </c>
      <c r="AG6537" t="s">
        <v>19330</v>
      </c>
      <c r="AH6537">
        <v>50</v>
      </c>
      <c r="AI6537">
        <v>2</v>
      </c>
      <c r="AJ6537">
        <v>0</v>
      </c>
      <c r="AK6537">
        <v>266.11</v>
      </c>
      <c r="AO6537">
        <v>45000</v>
      </c>
      <c r="AU6537">
        <v>1.4</v>
      </c>
      <c r="AV6537" t="s">
        <v>741</v>
      </c>
      <c r="AW6537" t="s">
        <v>46847</v>
      </c>
    </row>
    <row r="6538" spans="1:50">
      <c r="A6538" s="1">
        <f>HYPERLINK("https://lsnyc.legalserver.org/matter/dynamic-profile/view/1892159","19-1892159")</f>
        <v>0</v>
      </c>
      <c r="B6538" t="s">
        <v>270</v>
      </c>
      <c r="C6538" t="s">
        <v>341</v>
      </c>
      <c r="D6538" t="s">
        <v>747</v>
      </c>
      <c r="E6538" t="s">
        <v>767</v>
      </c>
      <c r="F6538" t="s">
        <v>3717</v>
      </c>
      <c r="G6538" t="s">
        <v>5854</v>
      </c>
      <c r="H6538" t="s">
        <v>14345</v>
      </c>
      <c r="I6538">
        <v>2</v>
      </c>
      <c r="J6538" t="s">
        <v>18892</v>
      </c>
      <c r="K6538">
        <v>10460</v>
      </c>
      <c r="L6538" t="s">
        <v>18958</v>
      </c>
      <c r="M6538" t="s">
        <v>18958</v>
      </c>
      <c r="N6538" t="s">
        <v>23764</v>
      </c>
      <c r="O6538" t="s">
        <v>26524</v>
      </c>
      <c r="P6538" t="s">
        <v>26564</v>
      </c>
      <c r="Q6538" t="s">
        <v>26570</v>
      </c>
      <c r="R6538" t="s">
        <v>26577</v>
      </c>
      <c r="S6538" t="s">
        <v>18959</v>
      </c>
      <c r="U6538" t="s">
        <v>26604</v>
      </c>
      <c r="V6538" t="s">
        <v>26610</v>
      </c>
      <c r="W6538" t="s">
        <v>741</v>
      </c>
      <c r="X6538">
        <v>1956</v>
      </c>
      <c r="Y6538" t="s">
        <v>26650</v>
      </c>
      <c r="Z6538" t="s">
        <v>26664</v>
      </c>
      <c r="AA6538" t="s">
        <v>26683</v>
      </c>
      <c r="AB6538" t="s">
        <v>31047</v>
      </c>
      <c r="AD6538" t="s">
        <v>42020</v>
      </c>
      <c r="AE6538">
        <v>0</v>
      </c>
      <c r="AF6538" t="s">
        <v>45545</v>
      </c>
      <c r="AG6538" t="s">
        <v>19330</v>
      </c>
      <c r="AH6538">
        <v>4</v>
      </c>
      <c r="AI6538">
        <v>2</v>
      </c>
      <c r="AJ6538">
        <v>1</v>
      </c>
      <c r="AK6538">
        <v>117.21</v>
      </c>
      <c r="AN6538" t="s">
        <v>7439</v>
      </c>
      <c r="AO6538">
        <v>25000</v>
      </c>
      <c r="AU6538">
        <v>5.5</v>
      </c>
      <c r="AV6538" t="s">
        <v>764</v>
      </c>
      <c r="AW6538" t="s">
        <v>336</v>
      </c>
    </row>
    <row r="6539" spans="1:50">
      <c r="A6539" s="1">
        <f>HYPERLINK("https://lsnyc.legalserver.org/matter/dynamic-profile/view/1891295","19-1891295")</f>
        <v>0</v>
      </c>
      <c r="B6539" t="s">
        <v>200</v>
      </c>
      <c r="C6539" t="s">
        <v>340</v>
      </c>
      <c r="D6539" t="s">
        <v>747</v>
      </c>
      <c r="F6539" t="s">
        <v>1251</v>
      </c>
      <c r="G6539" t="s">
        <v>7819</v>
      </c>
      <c r="H6539" t="s">
        <v>14346</v>
      </c>
      <c r="I6539" t="s">
        <v>18210</v>
      </c>
      <c r="J6539" t="s">
        <v>18894</v>
      </c>
      <c r="K6539">
        <v>11212</v>
      </c>
      <c r="L6539" t="s">
        <v>18958</v>
      </c>
      <c r="M6539" t="s">
        <v>18959</v>
      </c>
      <c r="N6539" t="s">
        <v>23765</v>
      </c>
      <c r="O6539" t="s">
        <v>26523</v>
      </c>
      <c r="P6539" t="s">
        <v>26560</v>
      </c>
      <c r="R6539" t="s">
        <v>26578</v>
      </c>
      <c r="S6539" t="s">
        <v>18959</v>
      </c>
      <c r="U6539" t="s">
        <v>26604</v>
      </c>
      <c r="V6539" t="s">
        <v>26610</v>
      </c>
      <c r="W6539" t="s">
        <v>741</v>
      </c>
      <c r="X6539">
        <v>246</v>
      </c>
      <c r="Y6539" t="s">
        <v>26652</v>
      </c>
      <c r="Z6539" t="s">
        <v>26666</v>
      </c>
      <c r="AB6539" t="s">
        <v>31756</v>
      </c>
      <c r="AC6539" t="s">
        <v>36193</v>
      </c>
      <c r="AD6539" t="s">
        <v>42021</v>
      </c>
      <c r="AE6539">
        <v>172</v>
      </c>
      <c r="AF6539" t="s">
        <v>45543</v>
      </c>
      <c r="AG6539" t="s">
        <v>45556</v>
      </c>
      <c r="AH6539">
        <v>2</v>
      </c>
      <c r="AI6539">
        <v>1</v>
      </c>
      <c r="AJ6539">
        <v>0</v>
      </c>
      <c r="AK6539">
        <v>70.62</v>
      </c>
      <c r="AN6539" t="s">
        <v>7439</v>
      </c>
      <c r="AO6539">
        <v>8820</v>
      </c>
      <c r="AU6539">
        <v>10</v>
      </c>
      <c r="AV6539" t="s">
        <v>835</v>
      </c>
      <c r="AW6539" t="s">
        <v>279</v>
      </c>
      <c r="AX6539" t="s">
        <v>46897</v>
      </c>
    </row>
    <row r="6540" spans="1:50">
      <c r="A6540" s="1">
        <f>HYPERLINK("https://lsnyc.legalserver.org/matter/dynamic-profile/view/1892478","19-1892478")</f>
        <v>0</v>
      </c>
      <c r="B6540" t="s">
        <v>99</v>
      </c>
      <c r="C6540" t="s">
        <v>341</v>
      </c>
      <c r="D6540" t="s">
        <v>783</v>
      </c>
      <c r="E6540" t="s">
        <v>838</v>
      </c>
      <c r="F6540" t="s">
        <v>2854</v>
      </c>
      <c r="G6540" t="s">
        <v>8059</v>
      </c>
      <c r="H6540" t="s">
        <v>14347</v>
      </c>
      <c r="I6540" t="s">
        <v>17438</v>
      </c>
      <c r="J6540" t="s">
        <v>18894</v>
      </c>
      <c r="K6540">
        <v>11226</v>
      </c>
      <c r="L6540" t="s">
        <v>18958</v>
      </c>
      <c r="M6540" t="s">
        <v>18958</v>
      </c>
      <c r="N6540" t="s">
        <v>23766</v>
      </c>
      <c r="O6540" t="s">
        <v>26523</v>
      </c>
      <c r="P6540" t="s">
        <v>26560</v>
      </c>
      <c r="Q6540" t="s">
        <v>26568</v>
      </c>
      <c r="R6540" t="s">
        <v>26588</v>
      </c>
      <c r="S6540" t="s">
        <v>18959</v>
      </c>
      <c r="U6540" t="s">
        <v>26604</v>
      </c>
      <c r="V6540" t="s">
        <v>26610</v>
      </c>
      <c r="W6540" t="s">
        <v>741</v>
      </c>
      <c r="X6540">
        <v>2000</v>
      </c>
      <c r="Y6540" t="s">
        <v>26652</v>
      </c>
      <c r="Z6540" t="s">
        <v>26669</v>
      </c>
      <c r="AA6540" t="s">
        <v>26679</v>
      </c>
      <c r="AB6540" t="s">
        <v>31757</v>
      </c>
      <c r="AD6540" t="s">
        <v>42022</v>
      </c>
      <c r="AE6540">
        <v>1</v>
      </c>
      <c r="AF6540" t="s">
        <v>45547</v>
      </c>
      <c r="AG6540" t="s">
        <v>19330</v>
      </c>
      <c r="AH6540">
        <v>8</v>
      </c>
      <c r="AI6540">
        <v>4</v>
      </c>
      <c r="AJ6540">
        <v>0</v>
      </c>
      <c r="AK6540">
        <v>89.2</v>
      </c>
      <c r="AN6540" t="s">
        <v>7439</v>
      </c>
      <c r="AO6540">
        <v>22968</v>
      </c>
      <c r="AQ6540" t="s">
        <v>46362</v>
      </c>
      <c r="AR6540" t="s">
        <v>26530</v>
      </c>
      <c r="AS6540" t="s">
        <v>46500</v>
      </c>
      <c r="AT6540" t="s">
        <v>46665</v>
      </c>
      <c r="AU6540">
        <v>5.7</v>
      </c>
      <c r="AV6540" t="s">
        <v>838</v>
      </c>
      <c r="AW6540" t="s">
        <v>46853</v>
      </c>
      <c r="AX6540" t="s">
        <v>46897</v>
      </c>
    </row>
    <row r="6541" spans="1:50">
      <c r="A6541" s="1">
        <f>HYPERLINK("https://lsnyc.legalserver.org/matter/dynamic-profile/view/1892473","19-1892473")</f>
        <v>0</v>
      </c>
      <c r="B6541" t="s">
        <v>99</v>
      </c>
      <c r="C6541" t="s">
        <v>340</v>
      </c>
      <c r="D6541" t="s">
        <v>783</v>
      </c>
      <c r="F6541" t="s">
        <v>3718</v>
      </c>
      <c r="G6541" t="s">
        <v>1428</v>
      </c>
      <c r="H6541" t="s">
        <v>14348</v>
      </c>
      <c r="I6541" t="s">
        <v>18308</v>
      </c>
      <c r="J6541" t="s">
        <v>18894</v>
      </c>
      <c r="K6541">
        <v>11221</v>
      </c>
      <c r="L6541" t="s">
        <v>18958</v>
      </c>
      <c r="M6541" t="s">
        <v>18958</v>
      </c>
      <c r="N6541" t="s">
        <v>23767</v>
      </c>
      <c r="O6541" t="s">
        <v>26523</v>
      </c>
      <c r="P6541" t="s">
        <v>26560</v>
      </c>
      <c r="R6541" t="s">
        <v>26588</v>
      </c>
      <c r="S6541" t="s">
        <v>18959</v>
      </c>
      <c r="U6541" t="s">
        <v>26604</v>
      </c>
      <c r="V6541" t="s">
        <v>26611</v>
      </c>
      <c r="W6541" t="s">
        <v>741</v>
      </c>
      <c r="X6541">
        <v>714</v>
      </c>
      <c r="Y6541" t="s">
        <v>26652</v>
      </c>
      <c r="Z6541" t="s">
        <v>26669</v>
      </c>
      <c r="AB6541" t="s">
        <v>31758</v>
      </c>
      <c r="AD6541" t="s">
        <v>42023</v>
      </c>
      <c r="AE6541">
        <v>16</v>
      </c>
      <c r="AF6541" t="s">
        <v>45541</v>
      </c>
      <c r="AG6541" t="s">
        <v>19330</v>
      </c>
      <c r="AH6541">
        <v>10</v>
      </c>
      <c r="AI6541">
        <v>1</v>
      </c>
      <c r="AJ6541">
        <v>0</v>
      </c>
      <c r="AK6541">
        <v>144.12</v>
      </c>
      <c r="AN6541" t="s">
        <v>7439</v>
      </c>
      <c r="AO6541">
        <v>18000</v>
      </c>
      <c r="AU6541">
        <v>12.8</v>
      </c>
      <c r="AV6541" t="s">
        <v>838</v>
      </c>
      <c r="AW6541" t="s">
        <v>46853</v>
      </c>
    </row>
    <row r="6542" spans="1:50">
      <c r="A6542" s="1">
        <f>HYPERLINK("https://lsnyc.legalserver.org/matter/dynamic-profile/view/1892472","19-1892472")</f>
        <v>0</v>
      </c>
      <c r="B6542" t="s">
        <v>99</v>
      </c>
      <c r="C6542" t="s">
        <v>340</v>
      </c>
      <c r="D6542" t="s">
        <v>783</v>
      </c>
      <c r="F6542" t="s">
        <v>2825</v>
      </c>
      <c r="G6542" t="s">
        <v>5147</v>
      </c>
      <c r="H6542" t="s">
        <v>14349</v>
      </c>
      <c r="I6542" t="s">
        <v>17438</v>
      </c>
      <c r="J6542" t="s">
        <v>18894</v>
      </c>
      <c r="K6542">
        <v>11216</v>
      </c>
      <c r="L6542" t="s">
        <v>18958</v>
      </c>
      <c r="M6542" t="s">
        <v>18958</v>
      </c>
      <c r="N6542" t="s">
        <v>23768</v>
      </c>
      <c r="O6542" t="s">
        <v>26524</v>
      </c>
      <c r="P6542" t="s">
        <v>26560</v>
      </c>
      <c r="R6542" t="s">
        <v>26588</v>
      </c>
      <c r="S6542" t="s">
        <v>18959</v>
      </c>
      <c r="U6542" t="s">
        <v>26604</v>
      </c>
      <c r="V6542" t="s">
        <v>26610</v>
      </c>
      <c r="W6542" t="s">
        <v>741</v>
      </c>
      <c r="X6542">
        <v>0.01</v>
      </c>
      <c r="Y6542" t="s">
        <v>26652</v>
      </c>
      <c r="Z6542" t="s">
        <v>26669</v>
      </c>
      <c r="AB6542" t="s">
        <v>31759</v>
      </c>
      <c r="AD6542" t="s">
        <v>42024</v>
      </c>
      <c r="AE6542">
        <v>2</v>
      </c>
      <c r="AF6542" t="s">
        <v>45547</v>
      </c>
      <c r="AG6542" t="s">
        <v>19330</v>
      </c>
      <c r="AH6542">
        <v>34</v>
      </c>
      <c r="AI6542">
        <v>1</v>
      </c>
      <c r="AJ6542">
        <v>0</v>
      </c>
      <c r="AK6542">
        <v>144.12</v>
      </c>
      <c r="AN6542" t="s">
        <v>45581</v>
      </c>
      <c r="AO6542">
        <v>18000</v>
      </c>
      <c r="AU6542">
        <v>24.2</v>
      </c>
      <c r="AV6542" t="s">
        <v>834</v>
      </c>
      <c r="AW6542" t="s">
        <v>46853</v>
      </c>
    </row>
    <row r="6543" spans="1:50">
      <c r="A6543" s="1">
        <f>HYPERLINK("https://lsnyc.legalserver.org/matter/dynamic-profile/view/1892720","19-1892720")</f>
        <v>0</v>
      </c>
      <c r="B6543" t="s">
        <v>119</v>
      </c>
      <c r="C6543" t="s">
        <v>340</v>
      </c>
      <c r="D6543" t="s">
        <v>752</v>
      </c>
      <c r="F6543" t="s">
        <v>3520</v>
      </c>
      <c r="G6543" t="s">
        <v>5330</v>
      </c>
      <c r="H6543" t="s">
        <v>9986</v>
      </c>
      <c r="I6543" t="s">
        <v>17307</v>
      </c>
      <c r="J6543" t="s">
        <v>18893</v>
      </c>
      <c r="K6543">
        <v>10029</v>
      </c>
      <c r="L6543" t="s">
        <v>18958</v>
      </c>
      <c r="M6543" t="s">
        <v>18958</v>
      </c>
      <c r="N6543" t="s">
        <v>23769</v>
      </c>
      <c r="O6543" t="s">
        <v>26523</v>
      </c>
      <c r="P6543" t="s">
        <v>26565</v>
      </c>
      <c r="R6543" t="s">
        <v>26578</v>
      </c>
      <c r="S6543" t="s">
        <v>18959</v>
      </c>
      <c r="U6543" t="s">
        <v>26606</v>
      </c>
      <c r="V6543" t="s">
        <v>26610</v>
      </c>
      <c r="W6543" t="s">
        <v>741</v>
      </c>
      <c r="X6543">
        <v>676</v>
      </c>
      <c r="Y6543" t="s">
        <v>26651</v>
      </c>
      <c r="Z6543" t="s">
        <v>26670</v>
      </c>
      <c r="AB6543" t="s">
        <v>31760</v>
      </c>
      <c r="AD6543" t="s">
        <v>42025</v>
      </c>
      <c r="AE6543">
        <v>40</v>
      </c>
      <c r="AF6543" t="s">
        <v>45543</v>
      </c>
      <c r="AG6543" t="s">
        <v>45556</v>
      </c>
      <c r="AH6543">
        <v>5</v>
      </c>
      <c r="AI6543">
        <v>1</v>
      </c>
      <c r="AJ6543">
        <v>0</v>
      </c>
      <c r="AK6543">
        <v>232.19</v>
      </c>
      <c r="AN6543" t="s">
        <v>7439</v>
      </c>
      <c r="AO6543">
        <v>29000</v>
      </c>
      <c r="AU6543">
        <v>34.5</v>
      </c>
      <c r="AV6543" t="s">
        <v>834</v>
      </c>
      <c r="AW6543" t="s">
        <v>119</v>
      </c>
      <c r="AX6543" t="s">
        <v>46897</v>
      </c>
    </row>
    <row r="6544" spans="1:50">
      <c r="A6544" s="1">
        <f>HYPERLINK("https://lsnyc.legalserver.org/matter/dynamic-profile/view/1893229","19-1893229")</f>
        <v>0</v>
      </c>
      <c r="B6544" t="s">
        <v>56</v>
      </c>
      <c r="C6544" t="s">
        <v>340</v>
      </c>
      <c r="D6544" t="s">
        <v>759</v>
      </c>
      <c r="F6544" t="s">
        <v>995</v>
      </c>
      <c r="G6544" t="s">
        <v>5086</v>
      </c>
      <c r="H6544" t="s">
        <v>11719</v>
      </c>
      <c r="I6544" t="s">
        <v>17743</v>
      </c>
      <c r="J6544" t="s">
        <v>18892</v>
      </c>
      <c r="K6544">
        <v>10453</v>
      </c>
      <c r="L6544" t="s">
        <v>18958</v>
      </c>
      <c r="M6544" t="s">
        <v>18958</v>
      </c>
      <c r="N6544" t="s">
        <v>23770</v>
      </c>
      <c r="O6544" t="s">
        <v>26523</v>
      </c>
      <c r="P6544" t="s">
        <v>26560</v>
      </c>
      <c r="R6544" t="s">
        <v>26577</v>
      </c>
      <c r="S6544" t="s">
        <v>18959</v>
      </c>
      <c r="U6544" t="s">
        <v>26604</v>
      </c>
      <c r="V6544" t="s">
        <v>26611</v>
      </c>
      <c r="W6544" t="s">
        <v>741</v>
      </c>
      <c r="X6544">
        <v>1328</v>
      </c>
      <c r="Y6544" t="s">
        <v>26650</v>
      </c>
      <c r="AB6544" t="s">
        <v>31761</v>
      </c>
      <c r="AC6544" t="s">
        <v>36194</v>
      </c>
      <c r="AD6544" t="s">
        <v>42026</v>
      </c>
      <c r="AE6544">
        <v>0</v>
      </c>
      <c r="AF6544" t="s">
        <v>45541</v>
      </c>
      <c r="AG6544" t="s">
        <v>45556</v>
      </c>
      <c r="AH6544">
        <v>4</v>
      </c>
      <c r="AI6544">
        <v>2</v>
      </c>
      <c r="AJ6544">
        <v>0</v>
      </c>
      <c r="AK6544">
        <v>70.33</v>
      </c>
      <c r="AN6544" t="s">
        <v>7439</v>
      </c>
      <c r="AO6544">
        <v>11892</v>
      </c>
      <c r="AU6544">
        <v>22</v>
      </c>
      <c r="AV6544" t="s">
        <v>804</v>
      </c>
      <c r="AW6544" t="s">
        <v>46849</v>
      </c>
    </row>
    <row r="6545" spans="1:50">
      <c r="A6545" s="1">
        <f>HYPERLINK("https://lsnyc.legalserver.org/matter/dynamic-profile/view/1894867","19-1894867")</f>
        <v>0</v>
      </c>
      <c r="B6545" t="s">
        <v>165</v>
      </c>
      <c r="C6545" t="s">
        <v>341</v>
      </c>
      <c r="D6545" t="s">
        <v>741</v>
      </c>
      <c r="E6545" t="s">
        <v>832</v>
      </c>
      <c r="F6545" t="s">
        <v>928</v>
      </c>
      <c r="G6545" t="s">
        <v>5265</v>
      </c>
      <c r="H6545" t="s">
        <v>14350</v>
      </c>
      <c r="I6545" t="s">
        <v>17283</v>
      </c>
      <c r="J6545" t="s">
        <v>18893</v>
      </c>
      <c r="K6545">
        <v>10009</v>
      </c>
      <c r="L6545" t="s">
        <v>18958</v>
      </c>
      <c r="M6545" t="s">
        <v>18960</v>
      </c>
      <c r="O6545" t="s">
        <v>18997</v>
      </c>
      <c r="P6545" t="s">
        <v>26564</v>
      </c>
      <c r="Q6545" t="s">
        <v>26570</v>
      </c>
      <c r="R6545" t="s">
        <v>26582</v>
      </c>
      <c r="S6545" t="s">
        <v>18959</v>
      </c>
      <c r="U6545" t="s">
        <v>26604</v>
      </c>
      <c r="W6545" t="s">
        <v>741</v>
      </c>
      <c r="X6545">
        <v>986</v>
      </c>
      <c r="Y6545" t="s">
        <v>26651</v>
      </c>
      <c r="AA6545" t="s">
        <v>26683</v>
      </c>
      <c r="AB6545" t="s">
        <v>31762</v>
      </c>
      <c r="AE6545">
        <v>30</v>
      </c>
      <c r="AF6545" t="s">
        <v>45541</v>
      </c>
      <c r="AH6545">
        <v>27</v>
      </c>
      <c r="AI6545">
        <v>2</v>
      </c>
      <c r="AJ6545">
        <v>0</v>
      </c>
      <c r="AK6545">
        <v>95.94</v>
      </c>
      <c r="AN6545" t="s">
        <v>7439</v>
      </c>
      <c r="AO6545">
        <v>16224</v>
      </c>
      <c r="AU6545">
        <v>0.5</v>
      </c>
      <c r="AV6545" t="s">
        <v>831</v>
      </c>
      <c r="AW6545" t="s">
        <v>46838</v>
      </c>
      <c r="AX6545" t="s">
        <v>46897</v>
      </c>
    </row>
    <row r="6546" spans="1:50">
      <c r="A6546" s="1">
        <f>HYPERLINK("https://lsnyc.legalserver.org/matter/dynamic-profile/view/1894411","19-1894411")</f>
        <v>0</v>
      </c>
      <c r="B6546" t="s">
        <v>108</v>
      </c>
      <c r="C6546" t="s">
        <v>341</v>
      </c>
      <c r="D6546" t="s">
        <v>741</v>
      </c>
      <c r="E6546" t="s">
        <v>825</v>
      </c>
      <c r="F6546" t="s">
        <v>1134</v>
      </c>
      <c r="G6546" t="s">
        <v>5383</v>
      </c>
      <c r="H6546" t="s">
        <v>14351</v>
      </c>
      <c r="J6546" t="s">
        <v>18901</v>
      </c>
      <c r="K6546">
        <v>11434</v>
      </c>
      <c r="L6546" t="s">
        <v>18958</v>
      </c>
      <c r="M6546" t="s">
        <v>18958</v>
      </c>
      <c r="N6546" t="s">
        <v>23771</v>
      </c>
      <c r="O6546" t="s">
        <v>26524</v>
      </c>
      <c r="P6546" t="s">
        <v>26560</v>
      </c>
      <c r="Q6546" t="s">
        <v>26568</v>
      </c>
      <c r="R6546" t="s">
        <v>26585</v>
      </c>
      <c r="S6546" t="s">
        <v>18959</v>
      </c>
      <c r="U6546" t="s">
        <v>26604</v>
      </c>
      <c r="V6546" t="s">
        <v>26610</v>
      </c>
      <c r="W6546" t="s">
        <v>741</v>
      </c>
      <c r="X6546">
        <v>0</v>
      </c>
      <c r="Y6546" t="s">
        <v>26653</v>
      </c>
      <c r="Z6546" t="s">
        <v>26668</v>
      </c>
      <c r="AA6546" t="s">
        <v>26679</v>
      </c>
      <c r="AB6546" t="s">
        <v>31763</v>
      </c>
      <c r="AD6546" t="s">
        <v>42027</v>
      </c>
      <c r="AE6546">
        <v>5</v>
      </c>
      <c r="AF6546" t="s">
        <v>45547</v>
      </c>
      <c r="AG6546" t="s">
        <v>19330</v>
      </c>
      <c r="AH6546">
        <v>3</v>
      </c>
      <c r="AI6546">
        <v>1</v>
      </c>
      <c r="AJ6546">
        <v>1</v>
      </c>
      <c r="AK6546">
        <v>218.81</v>
      </c>
      <c r="AN6546" t="s">
        <v>7439</v>
      </c>
      <c r="AO6546">
        <v>37000</v>
      </c>
      <c r="AQ6546" t="s">
        <v>46361</v>
      </c>
      <c r="AR6546" t="s">
        <v>46379</v>
      </c>
      <c r="AS6546" t="s">
        <v>46499</v>
      </c>
      <c r="AT6546" t="s">
        <v>46785</v>
      </c>
      <c r="AU6546">
        <v>7.8</v>
      </c>
      <c r="AV6546" t="s">
        <v>825</v>
      </c>
      <c r="AW6546" t="s">
        <v>208</v>
      </c>
      <c r="AX6546" t="s">
        <v>46897</v>
      </c>
    </row>
    <row r="6547" spans="1:50">
      <c r="A6547" s="1">
        <f>HYPERLINK("https://lsnyc.legalserver.org/matter/dynamic-profile/view/1894368","19-1894368")</f>
        <v>0</v>
      </c>
      <c r="B6547" t="s">
        <v>108</v>
      </c>
      <c r="C6547" t="s">
        <v>341</v>
      </c>
      <c r="D6547" t="s">
        <v>741</v>
      </c>
      <c r="E6547" t="s">
        <v>807</v>
      </c>
      <c r="F6547" t="s">
        <v>1641</v>
      </c>
      <c r="G6547" t="s">
        <v>8060</v>
      </c>
      <c r="H6547" t="s">
        <v>14352</v>
      </c>
      <c r="I6547" t="s">
        <v>17497</v>
      </c>
      <c r="J6547" t="s">
        <v>18901</v>
      </c>
      <c r="K6547">
        <v>11434</v>
      </c>
      <c r="L6547" t="s">
        <v>18958</v>
      </c>
      <c r="M6547" t="s">
        <v>18958</v>
      </c>
      <c r="N6547" t="s">
        <v>23772</v>
      </c>
      <c r="O6547" t="s">
        <v>26523</v>
      </c>
      <c r="P6547" t="s">
        <v>26564</v>
      </c>
      <c r="Q6547" t="s">
        <v>26570</v>
      </c>
      <c r="R6547" t="s">
        <v>26585</v>
      </c>
      <c r="S6547" t="s">
        <v>18959</v>
      </c>
      <c r="U6547" t="s">
        <v>26604</v>
      </c>
      <c r="V6547" t="s">
        <v>26610</v>
      </c>
      <c r="W6547" t="s">
        <v>741</v>
      </c>
      <c r="X6547">
        <v>1238.61</v>
      </c>
      <c r="Y6547" t="s">
        <v>26653</v>
      </c>
      <c r="Z6547" t="s">
        <v>26668</v>
      </c>
      <c r="AA6547" t="s">
        <v>26683</v>
      </c>
      <c r="AB6547" t="s">
        <v>31764</v>
      </c>
      <c r="AD6547" t="s">
        <v>42028</v>
      </c>
      <c r="AE6547">
        <v>40</v>
      </c>
      <c r="AF6547" t="s">
        <v>20460</v>
      </c>
      <c r="AG6547" t="s">
        <v>19330</v>
      </c>
      <c r="AH6547">
        <v>36</v>
      </c>
      <c r="AI6547">
        <v>1</v>
      </c>
      <c r="AJ6547">
        <v>0</v>
      </c>
      <c r="AK6547">
        <v>296.24</v>
      </c>
      <c r="AN6547" t="s">
        <v>7439</v>
      </c>
      <c r="AO6547">
        <v>37000</v>
      </c>
      <c r="AU6547">
        <v>1.1</v>
      </c>
      <c r="AV6547" t="s">
        <v>794</v>
      </c>
      <c r="AW6547" t="s">
        <v>208</v>
      </c>
    </row>
    <row r="6548" spans="1:50">
      <c r="A6548" s="1">
        <f>HYPERLINK("https://lsnyc.legalserver.org/matter/dynamic-profile/view/1894413","19-1894413")</f>
        <v>0</v>
      </c>
      <c r="B6548" t="s">
        <v>108</v>
      </c>
      <c r="C6548" t="s">
        <v>341</v>
      </c>
      <c r="D6548" t="s">
        <v>741</v>
      </c>
      <c r="E6548" t="s">
        <v>819</v>
      </c>
      <c r="F6548" t="s">
        <v>3719</v>
      </c>
      <c r="G6548" t="s">
        <v>5138</v>
      </c>
      <c r="H6548" t="s">
        <v>14353</v>
      </c>
      <c r="I6548">
        <v>303</v>
      </c>
      <c r="J6548" t="s">
        <v>18906</v>
      </c>
      <c r="K6548">
        <v>11373</v>
      </c>
      <c r="L6548" t="s">
        <v>18958</v>
      </c>
      <c r="M6548" t="s">
        <v>18958</v>
      </c>
      <c r="N6548" t="s">
        <v>23773</v>
      </c>
      <c r="O6548" t="s">
        <v>26523</v>
      </c>
      <c r="P6548" t="s">
        <v>26564</v>
      </c>
      <c r="Q6548" t="s">
        <v>26570</v>
      </c>
      <c r="R6548" t="s">
        <v>26585</v>
      </c>
      <c r="S6548" t="s">
        <v>18959</v>
      </c>
      <c r="U6548" t="s">
        <v>26604</v>
      </c>
      <c r="V6548" t="s">
        <v>26610</v>
      </c>
      <c r="W6548" t="s">
        <v>741</v>
      </c>
      <c r="X6548">
        <v>1487</v>
      </c>
      <c r="Y6548" t="s">
        <v>26653</v>
      </c>
      <c r="Z6548" t="s">
        <v>26668</v>
      </c>
      <c r="AA6548" t="s">
        <v>26683</v>
      </c>
      <c r="AB6548" t="s">
        <v>31765</v>
      </c>
      <c r="AD6548" t="s">
        <v>42029</v>
      </c>
      <c r="AE6548">
        <v>194</v>
      </c>
      <c r="AF6548" t="s">
        <v>20460</v>
      </c>
      <c r="AG6548" t="s">
        <v>19330</v>
      </c>
      <c r="AH6548">
        <v>25</v>
      </c>
      <c r="AI6548">
        <v>3</v>
      </c>
      <c r="AJ6548">
        <v>0</v>
      </c>
      <c r="AK6548">
        <v>346.93</v>
      </c>
      <c r="AN6548" t="s">
        <v>7439</v>
      </c>
      <c r="AO6548">
        <v>74000</v>
      </c>
      <c r="AU6548">
        <v>0.7</v>
      </c>
      <c r="AV6548" t="s">
        <v>781</v>
      </c>
      <c r="AW6548" t="s">
        <v>208</v>
      </c>
      <c r="AX6548" t="s">
        <v>46897</v>
      </c>
    </row>
    <row r="6549" spans="1:50">
      <c r="A6549" s="1">
        <f>HYPERLINK("https://lsnyc.legalserver.org/matter/dynamic-profile/view/1894345","19-1894345")</f>
        <v>0</v>
      </c>
      <c r="B6549" t="s">
        <v>234</v>
      </c>
      <c r="C6549" t="s">
        <v>341</v>
      </c>
      <c r="D6549" t="s">
        <v>741</v>
      </c>
      <c r="E6549" t="s">
        <v>826</v>
      </c>
      <c r="F6549" t="s">
        <v>3720</v>
      </c>
      <c r="G6549" t="s">
        <v>5177</v>
      </c>
      <c r="H6549" t="s">
        <v>14354</v>
      </c>
      <c r="I6549" t="s">
        <v>18373</v>
      </c>
      <c r="J6549" t="s">
        <v>18893</v>
      </c>
      <c r="K6549">
        <v>10027</v>
      </c>
      <c r="L6549" t="s">
        <v>18958</v>
      </c>
      <c r="M6549" t="s">
        <v>18958</v>
      </c>
      <c r="N6549" t="s">
        <v>23774</v>
      </c>
      <c r="O6549" t="s">
        <v>26523</v>
      </c>
      <c r="P6549" t="s">
        <v>26560</v>
      </c>
      <c r="Q6549" t="s">
        <v>26568</v>
      </c>
      <c r="R6549" t="s">
        <v>26580</v>
      </c>
      <c r="S6549" t="s">
        <v>18959</v>
      </c>
      <c r="U6549" t="s">
        <v>26604</v>
      </c>
      <c r="W6549" t="s">
        <v>741</v>
      </c>
      <c r="X6549">
        <v>1588</v>
      </c>
      <c r="Y6549" t="s">
        <v>26651</v>
      </c>
      <c r="Z6549" t="s">
        <v>26668</v>
      </c>
      <c r="AA6549" t="s">
        <v>26678</v>
      </c>
      <c r="AB6549" t="s">
        <v>31766</v>
      </c>
      <c r="AD6549" t="s">
        <v>42030</v>
      </c>
      <c r="AE6549">
        <v>0</v>
      </c>
      <c r="AF6549" t="s">
        <v>45541</v>
      </c>
      <c r="AG6549" t="s">
        <v>45556</v>
      </c>
      <c r="AH6549">
        <v>7</v>
      </c>
      <c r="AI6549">
        <v>1</v>
      </c>
      <c r="AJ6549">
        <v>2</v>
      </c>
      <c r="AK6549">
        <v>199.59</v>
      </c>
      <c r="AN6549" t="s">
        <v>7439</v>
      </c>
      <c r="AO6549">
        <v>42573</v>
      </c>
      <c r="AS6549" t="s">
        <v>46499</v>
      </c>
      <c r="AU6549">
        <v>14.7</v>
      </c>
      <c r="AV6549" t="s">
        <v>720</v>
      </c>
      <c r="AW6549" t="s">
        <v>46875</v>
      </c>
      <c r="AX6549" t="s">
        <v>46897</v>
      </c>
    </row>
    <row r="6550" spans="1:50">
      <c r="A6550" s="1">
        <f>HYPERLINK("https://lsnyc.legalserver.org/matter/dynamic-profile/view/1894421","19-1894421")</f>
        <v>0</v>
      </c>
      <c r="B6550" t="s">
        <v>153</v>
      </c>
      <c r="C6550" t="s">
        <v>341</v>
      </c>
      <c r="D6550" t="s">
        <v>741</v>
      </c>
      <c r="E6550" t="s">
        <v>762</v>
      </c>
      <c r="F6550" t="s">
        <v>1049</v>
      </c>
      <c r="G6550" t="s">
        <v>5447</v>
      </c>
      <c r="H6550" t="s">
        <v>14355</v>
      </c>
      <c r="I6550" t="s">
        <v>18374</v>
      </c>
      <c r="J6550" t="s">
        <v>18902</v>
      </c>
      <c r="K6550">
        <v>10309</v>
      </c>
      <c r="L6550" t="s">
        <v>18958</v>
      </c>
      <c r="M6550" t="s">
        <v>18958</v>
      </c>
      <c r="N6550" t="s">
        <v>23775</v>
      </c>
      <c r="O6550" t="s">
        <v>26523</v>
      </c>
      <c r="P6550" t="s">
        <v>26560</v>
      </c>
      <c r="Q6550" t="s">
        <v>26570</v>
      </c>
      <c r="R6550" t="s">
        <v>26589</v>
      </c>
      <c r="S6550" t="s">
        <v>18959</v>
      </c>
      <c r="U6550" t="s">
        <v>26604</v>
      </c>
      <c r="V6550" t="s">
        <v>26609</v>
      </c>
      <c r="W6550" t="s">
        <v>741</v>
      </c>
      <c r="X6550">
        <v>0</v>
      </c>
      <c r="Y6550" t="s">
        <v>26654</v>
      </c>
      <c r="Z6550" t="s">
        <v>26671</v>
      </c>
      <c r="AA6550" t="s">
        <v>26683</v>
      </c>
      <c r="AB6550" t="s">
        <v>31767</v>
      </c>
      <c r="AE6550">
        <v>0</v>
      </c>
      <c r="AH6550">
        <v>3</v>
      </c>
      <c r="AI6550">
        <v>1</v>
      </c>
      <c r="AJ6550">
        <v>2</v>
      </c>
      <c r="AK6550">
        <v>14.63</v>
      </c>
      <c r="AL6550" t="s">
        <v>45567</v>
      </c>
      <c r="AM6550" t="s">
        <v>45577</v>
      </c>
      <c r="AN6550" t="s">
        <v>7439</v>
      </c>
      <c r="AO6550">
        <v>3120</v>
      </c>
      <c r="AU6550">
        <v>1.1</v>
      </c>
      <c r="AV6550" t="s">
        <v>761</v>
      </c>
      <c r="AW6550" t="s">
        <v>153</v>
      </c>
    </row>
    <row r="6551" spans="1:50">
      <c r="A6551" s="1">
        <f>HYPERLINK("https://lsnyc.legalserver.org/matter/dynamic-profile/view/1894374","19-1894374")</f>
        <v>0</v>
      </c>
      <c r="B6551" t="s">
        <v>153</v>
      </c>
      <c r="C6551" t="s">
        <v>341</v>
      </c>
      <c r="D6551" t="s">
        <v>741</v>
      </c>
      <c r="E6551" t="s">
        <v>762</v>
      </c>
      <c r="F6551" t="s">
        <v>3721</v>
      </c>
      <c r="G6551" t="s">
        <v>5086</v>
      </c>
      <c r="H6551" t="s">
        <v>14356</v>
      </c>
      <c r="I6551" t="s">
        <v>17416</v>
      </c>
      <c r="J6551" t="s">
        <v>18902</v>
      </c>
      <c r="K6551">
        <v>10301</v>
      </c>
      <c r="L6551" t="s">
        <v>18958</v>
      </c>
      <c r="M6551" t="s">
        <v>18958</v>
      </c>
      <c r="N6551" t="s">
        <v>23776</v>
      </c>
      <c r="P6551" t="s">
        <v>26560</v>
      </c>
      <c r="Q6551" t="s">
        <v>26575</v>
      </c>
      <c r="R6551" t="s">
        <v>26589</v>
      </c>
      <c r="S6551" t="s">
        <v>18959</v>
      </c>
      <c r="U6551" t="s">
        <v>26604</v>
      </c>
      <c r="V6551" t="s">
        <v>26610</v>
      </c>
      <c r="W6551" t="s">
        <v>741</v>
      </c>
      <c r="X6551">
        <v>433</v>
      </c>
      <c r="Y6551" t="s">
        <v>26654</v>
      </c>
      <c r="Z6551" t="s">
        <v>26671</v>
      </c>
      <c r="AA6551" t="s">
        <v>26678</v>
      </c>
      <c r="AB6551" t="s">
        <v>31549</v>
      </c>
      <c r="AD6551" t="s">
        <v>40658</v>
      </c>
      <c r="AE6551">
        <v>0</v>
      </c>
      <c r="AH6551">
        <v>1</v>
      </c>
      <c r="AI6551">
        <v>1</v>
      </c>
      <c r="AJ6551">
        <v>2</v>
      </c>
      <c r="AK6551">
        <v>43.38</v>
      </c>
      <c r="AL6551" t="s">
        <v>45567</v>
      </c>
      <c r="AM6551" t="s">
        <v>45577</v>
      </c>
      <c r="AN6551" t="s">
        <v>7439</v>
      </c>
      <c r="AO6551">
        <v>9252</v>
      </c>
      <c r="AQ6551" t="s">
        <v>46377</v>
      </c>
      <c r="AS6551" t="s">
        <v>46499</v>
      </c>
      <c r="AT6551" t="s">
        <v>46740</v>
      </c>
      <c r="AU6551">
        <v>14.7</v>
      </c>
      <c r="AV6551" t="s">
        <v>803</v>
      </c>
      <c r="AW6551" t="s">
        <v>153</v>
      </c>
    </row>
    <row r="6552" spans="1:50">
      <c r="A6552" s="1">
        <f>HYPERLINK("https://lsnyc.legalserver.org/matter/dynamic-profile/view/1894347","19-1894347")</f>
        <v>0</v>
      </c>
      <c r="B6552" t="s">
        <v>159</v>
      </c>
      <c r="C6552" t="s">
        <v>341</v>
      </c>
      <c r="D6552" t="s">
        <v>741</v>
      </c>
      <c r="E6552" t="s">
        <v>720</v>
      </c>
      <c r="F6552" t="s">
        <v>1339</v>
      </c>
      <c r="G6552" t="s">
        <v>8061</v>
      </c>
      <c r="H6552" t="s">
        <v>14357</v>
      </c>
      <c r="I6552" t="s">
        <v>17425</v>
      </c>
      <c r="J6552" t="s">
        <v>18906</v>
      </c>
      <c r="K6552">
        <v>11373</v>
      </c>
      <c r="L6552" t="s">
        <v>18958</v>
      </c>
      <c r="M6552" t="s">
        <v>18958</v>
      </c>
      <c r="N6552" t="s">
        <v>23777</v>
      </c>
      <c r="O6552" t="s">
        <v>26524</v>
      </c>
      <c r="P6552" t="s">
        <v>26560</v>
      </c>
      <c r="Q6552" t="s">
        <v>26568</v>
      </c>
      <c r="R6552" t="s">
        <v>26585</v>
      </c>
      <c r="S6552" t="s">
        <v>18959</v>
      </c>
      <c r="U6552" t="s">
        <v>26604</v>
      </c>
      <c r="V6552" t="s">
        <v>26610</v>
      </c>
      <c r="W6552" t="s">
        <v>741</v>
      </c>
      <c r="X6552">
        <v>790.8099999999999</v>
      </c>
      <c r="Y6552" t="s">
        <v>26653</v>
      </c>
      <c r="Z6552" t="s">
        <v>26668</v>
      </c>
      <c r="AA6552" t="s">
        <v>26678</v>
      </c>
      <c r="AB6552" t="s">
        <v>31768</v>
      </c>
      <c r="AD6552" t="s">
        <v>42031</v>
      </c>
      <c r="AE6552">
        <v>66</v>
      </c>
      <c r="AF6552" t="s">
        <v>45541</v>
      </c>
      <c r="AG6552" t="s">
        <v>19330</v>
      </c>
      <c r="AH6552">
        <v>40</v>
      </c>
      <c r="AI6552">
        <v>1</v>
      </c>
      <c r="AJ6552">
        <v>0</v>
      </c>
      <c r="AK6552">
        <v>129.7</v>
      </c>
      <c r="AN6552" t="s">
        <v>45581</v>
      </c>
      <c r="AO6552">
        <v>16200</v>
      </c>
      <c r="AQ6552" t="s">
        <v>46359</v>
      </c>
      <c r="AR6552" t="s">
        <v>46380</v>
      </c>
      <c r="AS6552" t="s">
        <v>46499</v>
      </c>
      <c r="AT6552" t="s">
        <v>46639</v>
      </c>
      <c r="AU6552">
        <v>24.3</v>
      </c>
      <c r="AV6552" t="s">
        <v>805</v>
      </c>
      <c r="AW6552" t="s">
        <v>208</v>
      </c>
      <c r="AX6552" t="s">
        <v>46897</v>
      </c>
    </row>
    <row r="6553" spans="1:50">
      <c r="A6553" s="1">
        <f>HYPERLINK("https://lsnyc.legalserver.org/matter/dynamic-profile/view/1894777","19-1894777")</f>
        <v>0</v>
      </c>
      <c r="B6553" t="s">
        <v>64</v>
      </c>
      <c r="C6553" t="s">
        <v>341</v>
      </c>
      <c r="D6553" t="s">
        <v>741</v>
      </c>
      <c r="E6553" t="s">
        <v>831</v>
      </c>
      <c r="F6553" t="s">
        <v>3381</v>
      </c>
      <c r="G6553" t="s">
        <v>8062</v>
      </c>
      <c r="H6553" t="s">
        <v>14358</v>
      </c>
      <c r="I6553" t="s">
        <v>17276</v>
      </c>
      <c r="J6553" t="s">
        <v>18892</v>
      </c>
      <c r="K6553">
        <v>10462</v>
      </c>
      <c r="L6553" t="s">
        <v>18958</v>
      </c>
      <c r="M6553" t="s">
        <v>18958</v>
      </c>
      <c r="N6553" t="s">
        <v>23778</v>
      </c>
      <c r="O6553" t="s">
        <v>26524</v>
      </c>
      <c r="P6553" t="s">
        <v>26560</v>
      </c>
      <c r="Q6553" t="s">
        <v>26568</v>
      </c>
      <c r="R6553" t="s">
        <v>26579</v>
      </c>
      <c r="S6553" t="s">
        <v>18959</v>
      </c>
      <c r="U6553" t="s">
        <v>26604</v>
      </c>
      <c r="V6553" t="s">
        <v>26610</v>
      </c>
      <c r="W6553" t="s">
        <v>741</v>
      </c>
      <c r="X6553">
        <v>1450</v>
      </c>
      <c r="Y6553" t="s">
        <v>26650</v>
      </c>
      <c r="Z6553" t="s">
        <v>26668</v>
      </c>
      <c r="AA6553" t="s">
        <v>26678</v>
      </c>
      <c r="AB6553" t="s">
        <v>31769</v>
      </c>
      <c r="AD6553" t="s">
        <v>42032</v>
      </c>
      <c r="AE6553">
        <v>87</v>
      </c>
      <c r="AF6553" t="s">
        <v>45541</v>
      </c>
      <c r="AG6553" t="s">
        <v>19330</v>
      </c>
      <c r="AH6553">
        <v>17</v>
      </c>
      <c r="AI6553">
        <v>1</v>
      </c>
      <c r="AJ6553">
        <v>0</v>
      </c>
      <c r="AK6553">
        <v>75.90000000000001</v>
      </c>
      <c r="AN6553" t="s">
        <v>7439</v>
      </c>
      <c r="AO6553">
        <v>9480</v>
      </c>
      <c r="AQ6553" t="s">
        <v>46362</v>
      </c>
      <c r="AR6553" t="s">
        <v>46425</v>
      </c>
      <c r="AS6553" t="s">
        <v>46499</v>
      </c>
      <c r="AT6553" t="s">
        <v>46735</v>
      </c>
      <c r="AU6553">
        <v>2.35</v>
      </c>
      <c r="AV6553" t="s">
        <v>816</v>
      </c>
      <c r="AW6553" t="s">
        <v>46847</v>
      </c>
    </row>
    <row r="6554" spans="1:50">
      <c r="A6554" s="1">
        <f>HYPERLINK("https://lsnyc.legalserver.org/matter/dynamic-profile/view/1894394","19-1894394")</f>
        <v>0</v>
      </c>
      <c r="B6554" t="s">
        <v>270</v>
      </c>
      <c r="C6554" t="s">
        <v>341</v>
      </c>
      <c r="D6554" t="s">
        <v>741</v>
      </c>
      <c r="E6554" t="s">
        <v>807</v>
      </c>
      <c r="F6554" t="s">
        <v>1352</v>
      </c>
      <c r="G6554" t="s">
        <v>5269</v>
      </c>
      <c r="H6554" t="s">
        <v>14359</v>
      </c>
      <c r="I6554" t="s">
        <v>17378</v>
      </c>
      <c r="J6554" t="s">
        <v>18892</v>
      </c>
      <c r="K6554">
        <v>10460</v>
      </c>
      <c r="L6554" t="s">
        <v>18958</v>
      </c>
      <c r="M6554" t="s">
        <v>18958</v>
      </c>
      <c r="N6554" t="s">
        <v>23779</v>
      </c>
      <c r="O6554" t="s">
        <v>26523</v>
      </c>
      <c r="P6554" t="s">
        <v>26564</v>
      </c>
      <c r="Q6554" t="s">
        <v>26570</v>
      </c>
      <c r="R6554" t="s">
        <v>26577</v>
      </c>
      <c r="S6554" t="s">
        <v>18959</v>
      </c>
      <c r="U6554" t="s">
        <v>26604</v>
      </c>
      <c r="V6554" t="s">
        <v>26612</v>
      </c>
      <c r="W6554" t="s">
        <v>741</v>
      </c>
      <c r="X6554">
        <v>1595</v>
      </c>
      <c r="Y6554" t="s">
        <v>26650</v>
      </c>
      <c r="Z6554" t="s">
        <v>26663</v>
      </c>
      <c r="AA6554" t="s">
        <v>26683</v>
      </c>
      <c r="AB6554" t="s">
        <v>31770</v>
      </c>
      <c r="AE6554">
        <v>0</v>
      </c>
      <c r="AF6554" t="s">
        <v>45541</v>
      </c>
      <c r="AG6554" t="s">
        <v>45556</v>
      </c>
      <c r="AH6554">
        <v>1</v>
      </c>
      <c r="AI6554">
        <v>1</v>
      </c>
      <c r="AJ6554">
        <v>0</v>
      </c>
      <c r="AK6554">
        <v>125</v>
      </c>
      <c r="AN6554" t="s">
        <v>7439</v>
      </c>
      <c r="AO6554">
        <v>15612</v>
      </c>
      <c r="AU6554">
        <v>4.95</v>
      </c>
      <c r="AV6554" t="s">
        <v>797</v>
      </c>
      <c r="AW6554" t="s">
        <v>267</v>
      </c>
      <c r="AX6554" t="s">
        <v>46897</v>
      </c>
    </row>
    <row r="6555" spans="1:50">
      <c r="A6555" s="1">
        <f>HYPERLINK("https://lsnyc.legalserver.org/matter/dynamic-profile/view/1894412","19-1894412")</f>
        <v>0</v>
      </c>
      <c r="B6555" t="s">
        <v>254</v>
      </c>
      <c r="C6555" t="s">
        <v>341</v>
      </c>
      <c r="D6555" t="s">
        <v>741</v>
      </c>
      <c r="E6555" t="s">
        <v>788</v>
      </c>
      <c r="F6555" t="s">
        <v>1013</v>
      </c>
      <c r="G6555" t="s">
        <v>1263</v>
      </c>
      <c r="H6555" t="s">
        <v>14360</v>
      </c>
      <c r="I6555" t="s">
        <v>18375</v>
      </c>
      <c r="J6555" t="s">
        <v>18892</v>
      </c>
      <c r="K6555">
        <v>10473</v>
      </c>
      <c r="L6555" t="s">
        <v>18958</v>
      </c>
      <c r="M6555" t="s">
        <v>18958</v>
      </c>
      <c r="N6555" t="s">
        <v>23780</v>
      </c>
      <c r="O6555" t="s">
        <v>26523</v>
      </c>
      <c r="P6555" t="s">
        <v>26564</v>
      </c>
      <c r="Q6555" t="s">
        <v>26570</v>
      </c>
      <c r="R6555" t="s">
        <v>26577</v>
      </c>
      <c r="S6555" t="s">
        <v>18959</v>
      </c>
      <c r="U6555" t="s">
        <v>26604</v>
      </c>
      <c r="V6555" t="s">
        <v>26612</v>
      </c>
      <c r="W6555" t="s">
        <v>741</v>
      </c>
      <c r="X6555">
        <v>1167</v>
      </c>
      <c r="Y6555" t="s">
        <v>26650</v>
      </c>
      <c r="Z6555" t="s">
        <v>26668</v>
      </c>
      <c r="AA6555" t="s">
        <v>26683</v>
      </c>
      <c r="AB6555" t="s">
        <v>31771</v>
      </c>
      <c r="AD6555" t="s">
        <v>42033</v>
      </c>
      <c r="AE6555">
        <v>0</v>
      </c>
      <c r="AF6555" t="s">
        <v>45549</v>
      </c>
      <c r="AH6555">
        <v>1</v>
      </c>
      <c r="AI6555">
        <v>1</v>
      </c>
      <c r="AJ6555">
        <v>1</v>
      </c>
      <c r="AK6555">
        <v>195.15</v>
      </c>
      <c r="AN6555" t="s">
        <v>7439</v>
      </c>
      <c r="AO6555">
        <v>33000</v>
      </c>
      <c r="AU6555">
        <v>0.75</v>
      </c>
      <c r="AV6555" t="s">
        <v>777</v>
      </c>
      <c r="AW6555" t="s">
        <v>46831</v>
      </c>
    </row>
    <row r="6556" spans="1:50">
      <c r="A6556" s="1">
        <f>HYPERLINK("https://lsnyc.legalserver.org/matter/dynamic-profile/view/1894344","19-1894344")</f>
        <v>0</v>
      </c>
      <c r="B6556" t="s">
        <v>86</v>
      </c>
      <c r="C6556" t="s">
        <v>341</v>
      </c>
      <c r="D6556" t="s">
        <v>741</v>
      </c>
      <c r="E6556" t="s">
        <v>809</v>
      </c>
      <c r="F6556" t="s">
        <v>3492</v>
      </c>
      <c r="G6556" t="s">
        <v>902</v>
      </c>
      <c r="H6556" t="s">
        <v>14361</v>
      </c>
      <c r="I6556" t="s">
        <v>18250</v>
      </c>
      <c r="J6556" t="s">
        <v>18893</v>
      </c>
      <c r="K6556">
        <v>10009</v>
      </c>
      <c r="L6556" t="s">
        <v>18958</v>
      </c>
      <c r="M6556" t="s">
        <v>18958</v>
      </c>
      <c r="N6556" t="s">
        <v>23781</v>
      </c>
      <c r="O6556" t="s">
        <v>26523</v>
      </c>
      <c r="P6556" t="s">
        <v>26560</v>
      </c>
      <c r="Q6556" t="s">
        <v>26568</v>
      </c>
      <c r="R6556" t="s">
        <v>26582</v>
      </c>
      <c r="S6556" t="s">
        <v>18959</v>
      </c>
      <c r="U6556" t="s">
        <v>26604</v>
      </c>
      <c r="W6556" t="s">
        <v>741</v>
      </c>
      <c r="X6556">
        <v>122</v>
      </c>
      <c r="Y6556" t="s">
        <v>26651</v>
      </c>
      <c r="Z6556" t="s">
        <v>26664</v>
      </c>
      <c r="AA6556" t="s">
        <v>26678</v>
      </c>
      <c r="AB6556" t="s">
        <v>31772</v>
      </c>
      <c r="AD6556" t="s">
        <v>42034</v>
      </c>
      <c r="AE6556">
        <v>0</v>
      </c>
      <c r="AF6556" t="s">
        <v>45543</v>
      </c>
      <c r="AG6556" t="s">
        <v>45556</v>
      </c>
      <c r="AH6556">
        <v>11</v>
      </c>
      <c r="AI6556">
        <v>1</v>
      </c>
      <c r="AJ6556">
        <v>0</v>
      </c>
      <c r="AK6556">
        <v>83.59</v>
      </c>
      <c r="AN6556" t="s">
        <v>7439</v>
      </c>
      <c r="AO6556">
        <v>10440</v>
      </c>
      <c r="AS6556" t="s">
        <v>46499</v>
      </c>
      <c r="AT6556" t="s">
        <v>46729</v>
      </c>
      <c r="AU6556">
        <v>11.8</v>
      </c>
      <c r="AV6556" t="s">
        <v>768</v>
      </c>
      <c r="AW6556" t="s">
        <v>314</v>
      </c>
    </row>
    <row r="6557" spans="1:50">
      <c r="A6557" s="1">
        <f>HYPERLINK("https://lsnyc.legalserver.org/matter/dynamic-profile/view/1894410","19-1894410")</f>
        <v>0</v>
      </c>
      <c r="B6557" t="s">
        <v>86</v>
      </c>
      <c r="C6557" t="s">
        <v>341</v>
      </c>
      <c r="D6557" t="s">
        <v>741</v>
      </c>
      <c r="E6557" t="s">
        <v>833</v>
      </c>
      <c r="F6557" t="s">
        <v>1228</v>
      </c>
      <c r="G6557" t="s">
        <v>7176</v>
      </c>
      <c r="H6557" t="s">
        <v>9713</v>
      </c>
      <c r="I6557">
        <v>34</v>
      </c>
      <c r="J6557" t="s">
        <v>18893</v>
      </c>
      <c r="K6557">
        <v>10031</v>
      </c>
      <c r="L6557" t="s">
        <v>18958</v>
      </c>
      <c r="M6557" t="s">
        <v>18958</v>
      </c>
      <c r="N6557" t="s">
        <v>23782</v>
      </c>
      <c r="O6557" t="s">
        <v>26524</v>
      </c>
      <c r="P6557" t="s">
        <v>26560</v>
      </c>
      <c r="Q6557" t="s">
        <v>26568</v>
      </c>
      <c r="R6557" t="s">
        <v>26580</v>
      </c>
      <c r="S6557" t="s">
        <v>18959</v>
      </c>
      <c r="U6557" t="s">
        <v>26604</v>
      </c>
      <c r="W6557" t="s">
        <v>741</v>
      </c>
      <c r="X6557">
        <v>899</v>
      </c>
      <c r="Y6557" t="s">
        <v>26651</v>
      </c>
      <c r="Z6557" t="s">
        <v>26668</v>
      </c>
      <c r="AA6557" t="s">
        <v>26678</v>
      </c>
      <c r="AB6557" t="s">
        <v>27550</v>
      </c>
      <c r="AD6557" t="s">
        <v>42035</v>
      </c>
      <c r="AE6557">
        <v>49</v>
      </c>
      <c r="AF6557" t="s">
        <v>45548</v>
      </c>
      <c r="AG6557" t="s">
        <v>19330</v>
      </c>
      <c r="AH6557">
        <v>35</v>
      </c>
      <c r="AI6557">
        <v>4</v>
      </c>
      <c r="AJ6557">
        <v>1</v>
      </c>
      <c r="AK6557">
        <v>180.25</v>
      </c>
      <c r="AN6557" t="s">
        <v>45581</v>
      </c>
      <c r="AO6557">
        <v>54382</v>
      </c>
      <c r="AS6557" t="s">
        <v>46499</v>
      </c>
      <c r="AU6557">
        <v>0.9</v>
      </c>
      <c r="AV6557" t="s">
        <v>763</v>
      </c>
      <c r="AW6557" t="s">
        <v>46875</v>
      </c>
    </row>
    <row r="6558" spans="1:50">
      <c r="A6558" s="1">
        <f>HYPERLINK("https://lsnyc.legalserver.org/matter/dynamic-profile/view/1894436","19-1894436")</f>
        <v>0</v>
      </c>
      <c r="B6558" t="s">
        <v>86</v>
      </c>
      <c r="C6558" t="s">
        <v>341</v>
      </c>
      <c r="D6558" t="s">
        <v>741</v>
      </c>
      <c r="E6558" t="s">
        <v>768</v>
      </c>
      <c r="F6558" t="s">
        <v>3722</v>
      </c>
      <c r="G6558" t="s">
        <v>8063</v>
      </c>
      <c r="H6558" t="s">
        <v>14362</v>
      </c>
      <c r="I6558" t="s">
        <v>17422</v>
      </c>
      <c r="J6558" t="s">
        <v>18893</v>
      </c>
      <c r="K6558">
        <v>10027</v>
      </c>
      <c r="L6558" t="s">
        <v>18958</v>
      </c>
      <c r="M6558" t="s">
        <v>18958</v>
      </c>
      <c r="N6558" t="s">
        <v>23783</v>
      </c>
      <c r="O6558" t="s">
        <v>26523</v>
      </c>
      <c r="P6558" t="s">
        <v>26564</v>
      </c>
      <c r="Q6558" t="s">
        <v>26570</v>
      </c>
      <c r="R6558" t="s">
        <v>26580</v>
      </c>
      <c r="S6558" t="s">
        <v>18959</v>
      </c>
      <c r="U6558" t="s">
        <v>26604</v>
      </c>
      <c r="W6558" t="s">
        <v>741</v>
      </c>
      <c r="X6558">
        <v>1374.88</v>
      </c>
      <c r="Y6558" t="s">
        <v>26651</v>
      </c>
      <c r="Z6558" t="s">
        <v>26664</v>
      </c>
      <c r="AA6558" t="s">
        <v>26683</v>
      </c>
      <c r="AB6558" t="s">
        <v>26898</v>
      </c>
      <c r="AD6558" t="s">
        <v>42036</v>
      </c>
      <c r="AE6558">
        <v>0</v>
      </c>
      <c r="AF6558" t="s">
        <v>45548</v>
      </c>
      <c r="AG6558" t="s">
        <v>19330</v>
      </c>
      <c r="AH6558">
        <v>50</v>
      </c>
      <c r="AI6558">
        <v>1</v>
      </c>
      <c r="AJ6558">
        <v>0</v>
      </c>
      <c r="AK6558">
        <v>209.19</v>
      </c>
      <c r="AN6558" t="s">
        <v>7439</v>
      </c>
      <c r="AO6558">
        <v>26128</v>
      </c>
      <c r="AU6558">
        <v>0.8</v>
      </c>
      <c r="AV6558" t="s">
        <v>741</v>
      </c>
      <c r="AW6558" t="s">
        <v>314</v>
      </c>
    </row>
    <row r="6559" spans="1:50">
      <c r="A6559" s="1">
        <f>HYPERLINK("https://lsnyc.legalserver.org/matter/dynamic-profile/view/1894443","19-1894443")</f>
        <v>0</v>
      </c>
      <c r="B6559" t="s">
        <v>250</v>
      </c>
      <c r="C6559" t="s">
        <v>341</v>
      </c>
      <c r="D6559" t="s">
        <v>741</v>
      </c>
      <c r="E6559" t="s">
        <v>814</v>
      </c>
      <c r="F6559" t="s">
        <v>1192</v>
      </c>
      <c r="G6559" t="s">
        <v>7482</v>
      </c>
      <c r="H6559" t="s">
        <v>12361</v>
      </c>
      <c r="I6559" t="s">
        <v>18376</v>
      </c>
      <c r="J6559" t="s">
        <v>18893</v>
      </c>
      <c r="K6559">
        <v>10027</v>
      </c>
      <c r="L6559" t="s">
        <v>18958</v>
      </c>
      <c r="M6559" t="s">
        <v>18958</v>
      </c>
      <c r="N6559" t="s">
        <v>23784</v>
      </c>
      <c r="O6559" t="s">
        <v>26524</v>
      </c>
      <c r="P6559" t="s">
        <v>26565</v>
      </c>
      <c r="Q6559" t="s">
        <v>26570</v>
      </c>
      <c r="R6559" t="s">
        <v>26580</v>
      </c>
      <c r="S6559" t="s">
        <v>18959</v>
      </c>
      <c r="U6559" t="s">
        <v>26604</v>
      </c>
      <c r="W6559" t="s">
        <v>741</v>
      </c>
      <c r="X6559">
        <v>245</v>
      </c>
      <c r="Y6559" t="s">
        <v>26651</v>
      </c>
      <c r="Z6559" t="s">
        <v>26664</v>
      </c>
      <c r="AA6559" t="s">
        <v>26683</v>
      </c>
      <c r="AB6559" t="s">
        <v>31773</v>
      </c>
      <c r="AC6559" t="s">
        <v>36195</v>
      </c>
      <c r="AD6559" t="s">
        <v>42037</v>
      </c>
      <c r="AE6559">
        <v>0</v>
      </c>
      <c r="AF6559" t="s">
        <v>45549</v>
      </c>
      <c r="AG6559" t="s">
        <v>19330</v>
      </c>
      <c r="AH6559">
        <v>7</v>
      </c>
      <c r="AI6559">
        <v>1</v>
      </c>
      <c r="AJ6559">
        <v>0</v>
      </c>
      <c r="AK6559">
        <v>67.25</v>
      </c>
      <c r="AN6559" t="s">
        <v>7439</v>
      </c>
      <c r="AO6559">
        <v>8400</v>
      </c>
      <c r="AU6559">
        <v>6.4</v>
      </c>
      <c r="AV6559" t="s">
        <v>814</v>
      </c>
      <c r="AW6559" t="s">
        <v>46875</v>
      </c>
    </row>
    <row r="6560" spans="1:50">
      <c r="A6560" s="1">
        <f>HYPERLINK("https://lsnyc.legalserver.org/matter/dynamic-profile/view/1894386","19-1894386")</f>
        <v>0</v>
      </c>
      <c r="B6560" t="s">
        <v>183</v>
      </c>
      <c r="C6560" t="s">
        <v>340</v>
      </c>
      <c r="D6560" t="s">
        <v>741</v>
      </c>
      <c r="F6560" t="s">
        <v>3723</v>
      </c>
      <c r="G6560" t="s">
        <v>8064</v>
      </c>
      <c r="H6560" t="s">
        <v>14363</v>
      </c>
      <c r="I6560" t="s">
        <v>17315</v>
      </c>
      <c r="J6560" t="s">
        <v>18893</v>
      </c>
      <c r="K6560">
        <v>10027</v>
      </c>
      <c r="L6560" t="s">
        <v>18958</v>
      </c>
      <c r="M6560" t="s">
        <v>18958</v>
      </c>
      <c r="N6560" t="s">
        <v>23785</v>
      </c>
      <c r="O6560" t="s">
        <v>26523</v>
      </c>
      <c r="P6560" t="s">
        <v>26560</v>
      </c>
      <c r="R6560" t="s">
        <v>26580</v>
      </c>
      <c r="S6560" t="s">
        <v>18959</v>
      </c>
      <c r="U6560" t="s">
        <v>26604</v>
      </c>
      <c r="W6560" t="s">
        <v>741</v>
      </c>
      <c r="X6560">
        <v>1132</v>
      </c>
      <c r="Y6560" t="s">
        <v>26651</v>
      </c>
      <c r="Z6560" t="s">
        <v>26664</v>
      </c>
      <c r="AB6560" t="s">
        <v>30677</v>
      </c>
      <c r="AD6560" t="s">
        <v>42038</v>
      </c>
      <c r="AE6560">
        <v>0</v>
      </c>
      <c r="AF6560" t="s">
        <v>45541</v>
      </c>
      <c r="AG6560" t="s">
        <v>45556</v>
      </c>
      <c r="AH6560">
        <v>13</v>
      </c>
      <c r="AI6560">
        <v>1</v>
      </c>
      <c r="AJ6560">
        <v>0</v>
      </c>
      <c r="AK6560">
        <v>141.79</v>
      </c>
      <c r="AN6560" t="s">
        <v>7439</v>
      </c>
      <c r="AO6560">
        <v>17709</v>
      </c>
      <c r="AU6560">
        <v>3.3</v>
      </c>
      <c r="AV6560" t="s">
        <v>671</v>
      </c>
      <c r="AW6560" t="s">
        <v>46875</v>
      </c>
    </row>
    <row r="6561" spans="1:50">
      <c r="A6561" s="1">
        <f>HYPERLINK("https://lsnyc.legalserver.org/matter/dynamic-profile/view/1894402","19-1894402")</f>
        <v>0</v>
      </c>
      <c r="B6561" t="s">
        <v>107</v>
      </c>
      <c r="C6561" t="s">
        <v>340</v>
      </c>
      <c r="D6561" t="s">
        <v>741</v>
      </c>
      <c r="F6561" t="s">
        <v>3724</v>
      </c>
      <c r="G6561" t="s">
        <v>8065</v>
      </c>
      <c r="H6561" t="s">
        <v>14364</v>
      </c>
      <c r="I6561">
        <v>2</v>
      </c>
      <c r="J6561" t="s">
        <v>18901</v>
      </c>
      <c r="K6561">
        <v>11433</v>
      </c>
      <c r="L6561" t="s">
        <v>18958</v>
      </c>
      <c r="M6561" t="s">
        <v>18958</v>
      </c>
      <c r="N6561" t="s">
        <v>23786</v>
      </c>
      <c r="O6561" t="s">
        <v>26523</v>
      </c>
      <c r="P6561" t="s">
        <v>26560</v>
      </c>
      <c r="R6561" t="s">
        <v>26585</v>
      </c>
      <c r="S6561" t="s">
        <v>18959</v>
      </c>
      <c r="U6561" t="s">
        <v>26604</v>
      </c>
      <c r="V6561" t="s">
        <v>26610</v>
      </c>
      <c r="W6561" t="s">
        <v>741</v>
      </c>
      <c r="X6561">
        <v>2000</v>
      </c>
      <c r="Y6561" t="s">
        <v>26653</v>
      </c>
      <c r="Z6561" t="s">
        <v>26668</v>
      </c>
      <c r="AB6561" t="s">
        <v>31774</v>
      </c>
      <c r="AD6561" t="s">
        <v>42039</v>
      </c>
      <c r="AE6561">
        <v>0</v>
      </c>
      <c r="AF6561" t="s">
        <v>45547</v>
      </c>
      <c r="AG6561" t="s">
        <v>19330</v>
      </c>
      <c r="AH6561">
        <v>6</v>
      </c>
      <c r="AI6561">
        <v>1</v>
      </c>
      <c r="AJ6561">
        <v>3</v>
      </c>
      <c r="AK6561">
        <v>37.28</v>
      </c>
      <c r="AN6561" t="s">
        <v>7439</v>
      </c>
      <c r="AO6561">
        <v>9600</v>
      </c>
      <c r="AU6561">
        <v>21.7</v>
      </c>
      <c r="AV6561" t="s">
        <v>814</v>
      </c>
      <c r="AW6561" t="s">
        <v>208</v>
      </c>
    </row>
    <row r="6562" spans="1:50">
      <c r="A6562" s="1">
        <f>HYPERLINK("https://lsnyc.legalserver.org/matter/dynamic-profile/view/1894420","19-1894420")</f>
        <v>0</v>
      </c>
      <c r="B6562" t="s">
        <v>133</v>
      </c>
      <c r="C6562" t="s">
        <v>340</v>
      </c>
      <c r="D6562" t="s">
        <v>741</v>
      </c>
      <c r="F6562" t="s">
        <v>3725</v>
      </c>
      <c r="G6562" t="s">
        <v>8066</v>
      </c>
      <c r="H6562" t="s">
        <v>14365</v>
      </c>
      <c r="I6562" t="s">
        <v>18377</v>
      </c>
      <c r="J6562" t="s">
        <v>18892</v>
      </c>
      <c r="K6562">
        <v>10467</v>
      </c>
      <c r="L6562" t="s">
        <v>18958</v>
      </c>
      <c r="M6562" t="s">
        <v>18958</v>
      </c>
      <c r="N6562" t="s">
        <v>23787</v>
      </c>
      <c r="O6562" t="s">
        <v>26523</v>
      </c>
      <c r="P6562" t="s">
        <v>26560</v>
      </c>
      <c r="R6562" t="s">
        <v>26579</v>
      </c>
      <c r="S6562" t="s">
        <v>18959</v>
      </c>
      <c r="U6562" t="s">
        <v>26605</v>
      </c>
      <c r="V6562" t="s">
        <v>26612</v>
      </c>
      <c r="W6562" t="s">
        <v>741</v>
      </c>
      <c r="X6562">
        <v>287</v>
      </c>
      <c r="Y6562" t="s">
        <v>26650</v>
      </c>
      <c r="Z6562" t="s">
        <v>26664</v>
      </c>
      <c r="AB6562" t="s">
        <v>31775</v>
      </c>
      <c r="AE6562">
        <v>0</v>
      </c>
      <c r="AF6562" t="s">
        <v>45549</v>
      </c>
      <c r="AH6562">
        <v>1</v>
      </c>
      <c r="AI6562">
        <v>1</v>
      </c>
      <c r="AJ6562">
        <v>1</v>
      </c>
      <c r="AK6562">
        <v>20.58</v>
      </c>
      <c r="AN6562" t="s">
        <v>7439</v>
      </c>
      <c r="AO6562">
        <v>3480</v>
      </c>
      <c r="AU6562">
        <v>4.2</v>
      </c>
      <c r="AV6562" t="s">
        <v>770</v>
      </c>
      <c r="AW6562" t="s">
        <v>46867</v>
      </c>
      <c r="AX6562" t="s">
        <v>46897</v>
      </c>
    </row>
    <row r="6563" spans="1:50">
      <c r="A6563" s="1">
        <f>HYPERLINK("https://lsnyc.legalserver.org/matter/dynamic-profile/view/1895688","19-1895688")</f>
        <v>0</v>
      </c>
      <c r="B6563" t="s">
        <v>149</v>
      </c>
      <c r="C6563" t="s">
        <v>340</v>
      </c>
      <c r="D6563" t="s">
        <v>741</v>
      </c>
      <c r="F6563" t="s">
        <v>1834</v>
      </c>
      <c r="G6563" t="s">
        <v>2749</v>
      </c>
      <c r="H6563" t="s">
        <v>10507</v>
      </c>
      <c r="I6563" t="s">
        <v>17807</v>
      </c>
      <c r="J6563" t="s">
        <v>18892</v>
      </c>
      <c r="K6563">
        <v>10468</v>
      </c>
      <c r="L6563" t="s">
        <v>18958</v>
      </c>
      <c r="M6563" t="s">
        <v>18958</v>
      </c>
      <c r="N6563" t="s">
        <v>23788</v>
      </c>
      <c r="O6563" t="s">
        <v>26523</v>
      </c>
      <c r="P6563" t="s">
        <v>26560</v>
      </c>
      <c r="R6563" t="s">
        <v>26579</v>
      </c>
      <c r="S6563" t="s">
        <v>18959</v>
      </c>
      <c r="U6563" t="s">
        <v>26604</v>
      </c>
      <c r="W6563" t="s">
        <v>741</v>
      </c>
      <c r="X6563">
        <v>1696.44</v>
      </c>
      <c r="Y6563" t="s">
        <v>26650</v>
      </c>
      <c r="AB6563" t="s">
        <v>31776</v>
      </c>
      <c r="AD6563" t="s">
        <v>42040</v>
      </c>
      <c r="AE6563">
        <v>55</v>
      </c>
      <c r="AF6563" t="s">
        <v>45545</v>
      </c>
      <c r="AG6563" t="s">
        <v>45556</v>
      </c>
      <c r="AH6563">
        <v>14</v>
      </c>
      <c r="AI6563">
        <v>2</v>
      </c>
      <c r="AJ6563">
        <v>0</v>
      </c>
      <c r="AK6563">
        <v>70.95999999999999</v>
      </c>
      <c r="AN6563" t="s">
        <v>45581</v>
      </c>
      <c r="AO6563">
        <v>12000</v>
      </c>
      <c r="AU6563">
        <v>3.95</v>
      </c>
      <c r="AV6563" t="s">
        <v>809</v>
      </c>
      <c r="AW6563" t="s">
        <v>336</v>
      </c>
    </row>
    <row r="6564" spans="1:50">
      <c r="A6564" s="1">
        <f>HYPERLINK("https://lsnyc.legalserver.org/matter/dynamic-profile/view/1895585","19-1895585")</f>
        <v>0</v>
      </c>
      <c r="B6564" t="s">
        <v>149</v>
      </c>
      <c r="C6564" t="s">
        <v>340</v>
      </c>
      <c r="D6564" t="s">
        <v>741</v>
      </c>
      <c r="F6564" t="s">
        <v>916</v>
      </c>
      <c r="G6564" t="s">
        <v>5330</v>
      </c>
      <c r="H6564" t="s">
        <v>14366</v>
      </c>
      <c r="I6564" t="s">
        <v>17298</v>
      </c>
      <c r="J6564" t="s">
        <v>18892</v>
      </c>
      <c r="K6564">
        <v>10457</v>
      </c>
      <c r="L6564" t="s">
        <v>18958</v>
      </c>
      <c r="M6564" t="s">
        <v>18958</v>
      </c>
      <c r="N6564" t="s">
        <v>23789</v>
      </c>
      <c r="O6564" t="s">
        <v>26523</v>
      </c>
      <c r="P6564" t="s">
        <v>26560</v>
      </c>
      <c r="R6564" t="s">
        <v>26579</v>
      </c>
      <c r="S6564" t="s">
        <v>18959</v>
      </c>
      <c r="U6564" t="s">
        <v>26604</v>
      </c>
      <c r="W6564" t="s">
        <v>741</v>
      </c>
      <c r="X6564">
        <v>1316.25</v>
      </c>
      <c r="Y6564" t="s">
        <v>26650</v>
      </c>
      <c r="Z6564" t="s">
        <v>26664</v>
      </c>
      <c r="AB6564" t="s">
        <v>31777</v>
      </c>
      <c r="AD6564" t="s">
        <v>42041</v>
      </c>
      <c r="AE6564">
        <v>66</v>
      </c>
      <c r="AF6564" t="s">
        <v>45545</v>
      </c>
      <c r="AG6564" t="s">
        <v>19330</v>
      </c>
      <c r="AH6564">
        <v>2</v>
      </c>
      <c r="AI6564">
        <v>1</v>
      </c>
      <c r="AJ6564">
        <v>2</v>
      </c>
      <c r="AK6564">
        <v>92.64</v>
      </c>
      <c r="AN6564" t="s">
        <v>45581</v>
      </c>
      <c r="AO6564">
        <v>19760</v>
      </c>
      <c r="AU6564">
        <v>7.55</v>
      </c>
      <c r="AV6564" t="s">
        <v>836</v>
      </c>
      <c r="AW6564" t="s">
        <v>336</v>
      </c>
    </row>
    <row r="6565" spans="1:50">
      <c r="A6565" s="1">
        <f>HYPERLINK("https://lsnyc.legalserver.org/matter/dynamic-profile/view/1894422","19-1894422")</f>
        <v>0</v>
      </c>
      <c r="B6565" t="s">
        <v>57</v>
      </c>
      <c r="C6565" t="s">
        <v>340</v>
      </c>
      <c r="D6565" t="s">
        <v>741</v>
      </c>
      <c r="F6565" t="s">
        <v>871</v>
      </c>
      <c r="G6565" t="s">
        <v>2804</v>
      </c>
      <c r="H6565" t="s">
        <v>14367</v>
      </c>
      <c r="I6565" t="s">
        <v>17972</v>
      </c>
      <c r="J6565" t="s">
        <v>18892</v>
      </c>
      <c r="K6565">
        <v>10455</v>
      </c>
      <c r="L6565" t="s">
        <v>18958</v>
      </c>
      <c r="M6565" t="s">
        <v>18958</v>
      </c>
      <c r="N6565" t="s">
        <v>23790</v>
      </c>
      <c r="O6565" t="s">
        <v>26523</v>
      </c>
      <c r="P6565" t="s">
        <v>26560</v>
      </c>
      <c r="R6565" t="s">
        <v>26577</v>
      </c>
      <c r="S6565" t="s">
        <v>18959</v>
      </c>
      <c r="U6565" t="s">
        <v>26605</v>
      </c>
      <c r="W6565" t="s">
        <v>741</v>
      </c>
      <c r="X6565">
        <v>1167</v>
      </c>
      <c r="Y6565" t="s">
        <v>26650</v>
      </c>
      <c r="Z6565" t="s">
        <v>26659</v>
      </c>
      <c r="AB6565" t="s">
        <v>31778</v>
      </c>
      <c r="AC6565" t="s">
        <v>36196</v>
      </c>
      <c r="AD6565" t="s">
        <v>42042</v>
      </c>
      <c r="AE6565">
        <v>0</v>
      </c>
      <c r="AF6565" t="s">
        <v>45549</v>
      </c>
      <c r="AG6565" t="s">
        <v>19330</v>
      </c>
      <c r="AH6565">
        <v>33</v>
      </c>
      <c r="AI6565">
        <v>1</v>
      </c>
      <c r="AJ6565">
        <v>0</v>
      </c>
      <c r="AK6565">
        <v>8.789999999999999</v>
      </c>
      <c r="AN6565" t="s">
        <v>45581</v>
      </c>
      <c r="AO6565">
        <v>1098</v>
      </c>
      <c r="AU6565">
        <v>11.5</v>
      </c>
      <c r="AV6565" t="s">
        <v>834</v>
      </c>
      <c r="AW6565" t="s">
        <v>46870</v>
      </c>
    </row>
    <row r="6566" spans="1:50">
      <c r="A6566" s="1">
        <f>HYPERLINK("https://lsnyc.legalserver.org/matter/dynamic-profile/view/1894017","19-1894017")</f>
        <v>0</v>
      </c>
      <c r="B6566" t="s">
        <v>57</v>
      </c>
      <c r="C6566" t="s">
        <v>340</v>
      </c>
      <c r="D6566" t="s">
        <v>741</v>
      </c>
      <c r="F6566" t="s">
        <v>3726</v>
      </c>
      <c r="G6566" t="s">
        <v>8067</v>
      </c>
      <c r="H6566" t="s">
        <v>14251</v>
      </c>
      <c r="I6566" t="s">
        <v>17827</v>
      </c>
      <c r="J6566" t="s">
        <v>18892</v>
      </c>
      <c r="K6566">
        <v>10457</v>
      </c>
      <c r="L6566" t="s">
        <v>18958</v>
      </c>
      <c r="M6566" t="s">
        <v>18958</v>
      </c>
      <c r="N6566" t="s">
        <v>23791</v>
      </c>
      <c r="O6566" t="s">
        <v>26523</v>
      </c>
      <c r="P6566" t="s">
        <v>26560</v>
      </c>
      <c r="R6566" t="s">
        <v>26579</v>
      </c>
      <c r="S6566" t="s">
        <v>18959</v>
      </c>
      <c r="U6566" t="s">
        <v>26604</v>
      </c>
      <c r="W6566" t="s">
        <v>741</v>
      </c>
      <c r="X6566">
        <v>1329</v>
      </c>
      <c r="Y6566" t="s">
        <v>26650</v>
      </c>
      <c r="Z6566" t="s">
        <v>26668</v>
      </c>
      <c r="AB6566" t="s">
        <v>30227</v>
      </c>
      <c r="AD6566" t="s">
        <v>42043</v>
      </c>
      <c r="AE6566">
        <v>0</v>
      </c>
      <c r="AF6566" t="s">
        <v>45541</v>
      </c>
      <c r="AH6566">
        <v>6</v>
      </c>
      <c r="AI6566">
        <v>5</v>
      </c>
      <c r="AJ6566">
        <v>0</v>
      </c>
      <c r="AK6566">
        <v>93.75</v>
      </c>
      <c r="AN6566" t="s">
        <v>45581</v>
      </c>
      <c r="AO6566">
        <v>28284</v>
      </c>
      <c r="AU6566">
        <v>14.1</v>
      </c>
      <c r="AV6566" t="s">
        <v>814</v>
      </c>
      <c r="AW6566" t="s">
        <v>46871</v>
      </c>
    </row>
    <row r="6567" spans="1:50">
      <c r="A6567" s="1">
        <f>HYPERLINK("https://lsnyc.legalserver.org/matter/dynamic-profile/view/1894369","19-1894369")</f>
        <v>0</v>
      </c>
      <c r="B6567" t="s">
        <v>174</v>
      </c>
      <c r="C6567" t="s">
        <v>340</v>
      </c>
      <c r="D6567" t="s">
        <v>741</v>
      </c>
      <c r="F6567" t="s">
        <v>3716</v>
      </c>
      <c r="G6567" t="s">
        <v>1901</v>
      </c>
      <c r="H6567" t="s">
        <v>14342</v>
      </c>
      <c r="I6567" t="s">
        <v>17469</v>
      </c>
      <c r="J6567" t="s">
        <v>18894</v>
      </c>
      <c r="K6567">
        <v>11231</v>
      </c>
      <c r="L6567" t="s">
        <v>18958</v>
      </c>
      <c r="M6567" t="s">
        <v>18958</v>
      </c>
      <c r="N6567" t="s">
        <v>23792</v>
      </c>
      <c r="O6567" t="s">
        <v>26524</v>
      </c>
      <c r="P6567" t="s">
        <v>26560</v>
      </c>
      <c r="R6567" t="s">
        <v>26578</v>
      </c>
      <c r="S6567" t="s">
        <v>18959</v>
      </c>
      <c r="U6567" t="s">
        <v>26604</v>
      </c>
      <c r="V6567" t="s">
        <v>26610</v>
      </c>
      <c r="W6567" t="s">
        <v>741</v>
      </c>
      <c r="X6567">
        <v>0</v>
      </c>
      <c r="Y6567" t="s">
        <v>26652</v>
      </c>
      <c r="Z6567" t="s">
        <v>26671</v>
      </c>
      <c r="AB6567" t="s">
        <v>31753</v>
      </c>
      <c r="AC6567" t="s">
        <v>19045</v>
      </c>
      <c r="AE6567">
        <v>3</v>
      </c>
      <c r="AF6567" t="s">
        <v>45547</v>
      </c>
      <c r="AG6567" t="s">
        <v>19330</v>
      </c>
      <c r="AH6567">
        <v>0</v>
      </c>
      <c r="AI6567">
        <v>1</v>
      </c>
      <c r="AJ6567">
        <v>1</v>
      </c>
      <c r="AK6567">
        <v>7.1</v>
      </c>
      <c r="AN6567" t="s">
        <v>45583</v>
      </c>
      <c r="AO6567">
        <v>1200</v>
      </c>
      <c r="AQ6567" t="s">
        <v>46362</v>
      </c>
      <c r="AR6567" t="s">
        <v>46379</v>
      </c>
      <c r="AS6567" t="s">
        <v>46499</v>
      </c>
      <c r="AT6567" t="s">
        <v>46754</v>
      </c>
      <c r="AU6567">
        <v>6.5</v>
      </c>
      <c r="AV6567" t="s">
        <v>741</v>
      </c>
      <c r="AW6567" t="s">
        <v>286</v>
      </c>
    </row>
    <row r="6568" spans="1:50">
      <c r="A6568" s="1">
        <f>HYPERLINK("https://lsnyc.legalserver.org/matter/dynamic-profile/view/1894373","19-1894373")</f>
        <v>0</v>
      </c>
      <c r="B6568" t="s">
        <v>174</v>
      </c>
      <c r="C6568" t="s">
        <v>340</v>
      </c>
      <c r="D6568" t="s">
        <v>741</v>
      </c>
      <c r="F6568" t="s">
        <v>3716</v>
      </c>
      <c r="G6568" t="s">
        <v>1901</v>
      </c>
      <c r="H6568" t="s">
        <v>14342</v>
      </c>
      <c r="I6568" t="s">
        <v>17469</v>
      </c>
      <c r="J6568" t="s">
        <v>18894</v>
      </c>
      <c r="K6568">
        <v>11231</v>
      </c>
      <c r="L6568" t="s">
        <v>18958</v>
      </c>
      <c r="M6568" t="s">
        <v>18958</v>
      </c>
      <c r="N6568" t="s">
        <v>23793</v>
      </c>
      <c r="O6568" t="s">
        <v>26524</v>
      </c>
      <c r="P6568" t="s">
        <v>26560</v>
      </c>
      <c r="R6568" t="s">
        <v>26578</v>
      </c>
      <c r="S6568" t="s">
        <v>18959</v>
      </c>
      <c r="U6568" t="s">
        <v>26604</v>
      </c>
      <c r="V6568" t="s">
        <v>26610</v>
      </c>
      <c r="W6568" t="s">
        <v>741</v>
      </c>
      <c r="X6568">
        <v>0</v>
      </c>
      <c r="Y6568" t="s">
        <v>26652</v>
      </c>
      <c r="Z6568" t="s">
        <v>26671</v>
      </c>
      <c r="AB6568" t="s">
        <v>31753</v>
      </c>
      <c r="AE6568">
        <v>3</v>
      </c>
      <c r="AF6568" t="s">
        <v>45547</v>
      </c>
      <c r="AG6568" t="s">
        <v>19330</v>
      </c>
      <c r="AH6568">
        <v>0</v>
      </c>
      <c r="AI6568">
        <v>1</v>
      </c>
      <c r="AJ6568">
        <v>1</v>
      </c>
      <c r="AK6568">
        <v>7.1</v>
      </c>
      <c r="AN6568" t="s">
        <v>45583</v>
      </c>
      <c r="AO6568">
        <v>1200</v>
      </c>
      <c r="AU6568">
        <v>34.3</v>
      </c>
      <c r="AV6568" t="s">
        <v>823</v>
      </c>
      <c r="AW6568" t="s">
        <v>286</v>
      </c>
    </row>
    <row r="6569" spans="1:50">
      <c r="A6569" s="1">
        <f>HYPERLINK("https://lsnyc.legalserver.org/matter/dynamic-profile/view/1894356","19-1894356")</f>
        <v>0</v>
      </c>
      <c r="B6569" t="s">
        <v>108</v>
      </c>
      <c r="C6569" t="s">
        <v>340</v>
      </c>
      <c r="D6569" t="s">
        <v>741</v>
      </c>
      <c r="F6569" t="s">
        <v>1189</v>
      </c>
      <c r="G6569" t="s">
        <v>5008</v>
      </c>
      <c r="H6569" t="s">
        <v>14368</v>
      </c>
      <c r="J6569" t="s">
        <v>18901</v>
      </c>
      <c r="K6569">
        <v>11434</v>
      </c>
      <c r="L6569" t="s">
        <v>18958</v>
      </c>
      <c r="M6569" t="s">
        <v>18958</v>
      </c>
      <c r="N6569" t="s">
        <v>23794</v>
      </c>
      <c r="O6569" t="s">
        <v>26524</v>
      </c>
      <c r="P6569" t="s">
        <v>26560</v>
      </c>
      <c r="R6569" t="s">
        <v>26585</v>
      </c>
      <c r="S6569" t="s">
        <v>18959</v>
      </c>
      <c r="U6569" t="s">
        <v>26604</v>
      </c>
      <c r="W6569" t="s">
        <v>741</v>
      </c>
      <c r="X6569">
        <v>1555</v>
      </c>
      <c r="Y6569" t="s">
        <v>26653</v>
      </c>
      <c r="Z6569" t="s">
        <v>26668</v>
      </c>
      <c r="AB6569" t="s">
        <v>28241</v>
      </c>
      <c r="AD6569" t="s">
        <v>42044</v>
      </c>
      <c r="AE6569">
        <v>0</v>
      </c>
      <c r="AF6569" t="s">
        <v>20460</v>
      </c>
      <c r="AG6569" t="s">
        <v>45556</v>
      </c>
      <c r="AH6569">
        <v>3</v>
      </c>
      <c r="AI6569">
        <v>1</v>
      </c>
      <c r="AJ6569">
        <v>0</v>
      </c>
      <c r="AK6569">
        <v>70.04000000000001</v>
      </c>
      <c r="AN6569" t="s">
        <v>7439</v>
      </c>
      <c r="AO6569">
        <v>8748</v>
      </c>
      <c r="AU6569">
        <v>13.25</v>
      </c>
      <c r="AV6569" t="s">
        <v>843</v>
      </c>
      <c r="AW6569" t="s">
        <v>208</v>
      </c>
    </row>
    <row r="6570" spans="1:50">
      <c r="A6570" s="1">
        <f>HYPERLINK("https://lsnyc.legalserver.org/matter/dynamic-profile/view/1894435","19-1894435")</f>
        <v>0</v>
      </c>
      <c r="B6570" t="s">
        <v>66</v>
      </c>
      <c r="C6570" t="s">
        <v>340</v>
      </c>
      <c r="D6570" t="s">
        <v>741</v>
      </c>
      <c r="F6570" t="s">
        <v>1795</v>
      </c>
      <c r="G6570" t="s">
        <v>8068</v>
      </c>
      <c r="H6570" t="s">
        <v>10274</v>
      </c>
      <c r="I6570" t="s">
        <v>17420</v>
      </c>
      <c r="J6570" t="s">
        <v>18893</v>
      </c>
      <c r="K6570">
        <v>10031</v>
      </c>
      <c r="L6570" t="s">
        <v>18958</v>
      </c>
      <c r="M6570" t="s">
        <v>18958</v>
      </c>
      <c r="N6570" t="s">
        <v>23795</v>
      </c>
      <c r="O6570" t="s">
        <v>26523</v>
      </c>
      <c r="P6570" t="s">
        <v>26560</v>
      </c>
      <c r="R6570" t="s">
        <v>26580</v>
      </c>
      <c r="S6570" t="s">
        <v>18959</v>
      </c>
      <c r="U6570" t="s">
        <v>26604</v>
      </c>
      <c r="W6570" t="s">
        <v>741</v>
      </c>
      <c r="X6570">
        <v>1763</v>
      </c>
      <c r="Y6570" t="s">
        <v>26651</v>
      </c>
      <c r="Z6570" t="s">
        <v>26664</v>
      </c>
      <c r="AB6570" t="s">
        <v>31779</v>
      </c>
      <c r="AC6570" t="s">
        <v>36197</v>
      </c>
      <c r="AD6570" t="s">
        <v>42045</v>
      </c>
      <c r="AE6570">
        <v>74</v>
      </c>
      <c r="AF6570" t="s">
        <v>45548</v>
      </c>
      <c r="AG6570" t="s">
        <v>19330</v>
      </c>
      <c r="AH6570">
        <v>53</v>
      </c>
      <c r="AI6570">
        <v>2</v>
      </c>
      <c r="AJ6570">
        <v>0</v>
      </c>
      <c r="AK6570">
        <v>175.99</v>
      </c>
      <c r="AN6570" t="s">
        <v>7439</v>
      </c>
      <c r="AO6570">
        <v>29760</v>
      </c>
      <c r="AU6570">
        <v>11</v>
      </c>
      <c r="AV6570" t="s">
        <v>833</v>
      </c>
      <c r="AW6570" t="s">
        <v>46875</v>
      </c>
    </row>
    <row r="6571" spans="1:50">
      <c r="A6571" s="1">
        <f>HYPERLINK("https://lsnyc.legalserver.org/matter/dynamic-profile/view/1894366","19-1894366")</f>
        <v>0</v>
      </c>
      <c r="B6571" t="s">
        <v>66</v>
      </c>
      <c r="C6571" t="s">
        <v>340</v>
      </c>
      <c r="D6571" t="s">
        <v>741</v>
      </c>
      <c r="F6571" t="s">
        <v>3727</v>
      </c>
      <c r="G6571" t="s">
        <v>5273</v>
      </c>
      <c r="H6571" t="s">
        <v>14369</v>
      </c>
      <c r="I6571" t="s">
        <v>17274</v>
      </c>
      <c r="J6571" t="s">
        <v>18893</v>
      </c>
      <c r="K6571">
        <v>10031</v>
      </c>
      <c r="L6571" t="s">
        <v>18958</v>
      </c>
      <c r="M6571" t="s">
        <v>18958</v>
      </c>
      <c r="N6571" t="s">
        <v>23796</v>
      </c>
      <c r="O6571" t="s">
        <v>26523</v>
      </c>
      <c r="P6571" t="s">
        <v>26560</v>
      </c>
      <c r="R6571" t="s">
        <v>26580</v>
      </c>
      <c r="S6571" t="s">
        <v>18959</v>
      </c>
      <c r="U6571" t="s">
        <v>26604</v>
      </c>
      <c r="W6571" t="s">
        <v>741</v>
      </c>
      <c r="X6571">
        <v>1009.13</v>
      </c>
      <c r="Y6571" t="s">
        <v>26651</v>
      </c>
      <c r="Z6571" t="s">
        <v>26668</v>
      </c>
      <c r="AB6571" t="s">
        <v>28913</v>
      </c>
      <c r="AD6571" t="s">
        <v>42046</v>
      </c>
      <c r="AE6571">
        <v>0</v>
      </c>
      <c r="AF6571" t="s">
        <v>20460</v>
      </c>
      <c r="AG6571" t="s">
        <v>45556</v>
      </c>
      <c r="AH6571">
        <v>20</v>
      </c>
      <c r="AI6571">
        <v>1</v>
      </c>
      <c r="AJ6571">
        <v>0</v>
      </c>
      <c r="AK6571">
        <v>176.14</v>
      </c>
      <c r="AN6571" t="s">
        <v>7439</v>
      </c>
      <c r="AO6571">
        <v>22000</v>
      </c>
      <c r="AU6571">
        <v>11.5</v>
      </c>
      <c r="AV6571" t="s">
        <v>831</v>
      </c>
      <c r="AW6571" t="s">
        <v>314</v>
      </c>
    </row>
    <row r="6572" spans="1:50">
      <c r="A6572" s="1">
        <f>HYPERLINK("https://lsnyc.legalserver.org/matter/dynamic-profile/view/1894442","19-1894442")</f>
        <v>0</v>
      </c>
      <c r="B6572" t="s">
        <v>94</v>
      </c>
      <c r="C6572" t="s">
        <v>340</v>
      </c>
      <c r="D6572" t="s">
        <v>741</v>
      </c>
      <c r="F6572" t="s">
        <v>1079</v>
      </c>
      <c r="G6572" t="s">
        <v>8069</v>
      </c>
      <c r="H6572" t="s">
        <v>14370</v>
      </c>
      <c r="I6572">
        <v>4</v>
      </c>
      <c r="J6572" t="s">
        <v>18893</v>
      </c>
      <c r="K6572">
        <v>10025</v>
      </c>
      <c r="L6572" t="s">
        <v>18958</v>
      </c>
      <c r="M6572" t="s">
        <v>18958</v>
      </c>
      <c r="N6572" t="s">
        <v>23797</v>
      </c>
      <c r="O6572" t="s">
        <v>26524</v>
      </c>
      <c r="P6572" t="s">
        <v>26560</v>
      </c>
      <c r="R6572" t="s">
        <v>26580</v>
      </c>
      <c r="S6572" t="s">
        <v>18959</v>
      </c>
      <c r="U6572" t="s">
        <v>26604</v>
      </c>
      <c r="W6572" t="s">
        <v>741</v>
      </c>
      <c r="X6572">
        <v>1260</v>
      </c>
      <c r="Y6572" t="s">
        <v>26651</v>
      </c>
      <c r="Z6572" t="s">
        <v>26664</v>
      </c>
      <c r="AB6572" t="s">
        <v>31453</v>
      </c>
      <c r="AC6572" t="s">
        <v>36198</v>
      </c>
      <c r="AD6572" t="s">
        <v>42047</v>
      </c>
      <c r="AE6572">
        <v>0</v>
      </c>
      <c r="AF6572" t="s">
        <v>45547</v>
      </c>
      <c r="AG6572" t="s">
        <v>19330</v>
      </c>
      <c r="AH6572">
        <v>28</v>
      </c>
      <c r="AI6572">
        <v>1</v>
      </c>
      <c r="AJ6572">
        <v>0</v>
      </c>
      <c r="AK6572">
        <v>25.71</v>
      </c>
      <c r="AN6572" t="s">
        <v>7439</v>
      </c>
      <c r="AO6572">
        <v>3211</v>
      </c>
      <c r="AU6572">
        <v>32.15</v>
      </c>
      <c r="AV6572" t="s">
        <v>827</v>
      </c>
      <c r="AW6572" t="s">
        <v>314</v>
      </c>
    </row>
    <row r="6573" spans="1:50">
      <c r="A6573" s="1">
        <f>HYPERLINK("https://lsnyc.legalserver.org/matter/dynamic-profile/view/1894352","19-1894352")</f>
        <v>0</v>
      </c>
      <c r="B6573" t="s">
        <v>94</v>
      </c>
      <c r="C6573" t="s">
        <v>340</v>
      </c>
      <c r="D6573" t="s">
        <v>741</v>
      </c>
      <c r="F6573" t="s">
        <v>3728</v>
      </c>
      <c r="G6573" t="s">
        <v>5089</v>
      </c>
      <c r="H6573" t="s">
        <v>14371</v>
      </c>
      <c r="I6573" t="s">
        <v>17322</v>
      </c>
      <c r="J6573" t="s">
        <v>18893</v>
      </c>
      <c r="K6573">
        <v>10031</v>
      </c>
      <c r="L6573" t="s">
        <v>18958</v>
      </c>
      <c r="M6573" t="s">
        <v>18958</v>
      </c>
      <c r="N6573" t="s">
        <v>23798</v>
      </c>
      <c r="O6573" t="s">
        <v>26524</v>
      </c>
      <c r="P6573" t="s">
        <v>26560</v>
      </c>
      <c r="R6573" t="s">
        <v>26580</v>
      </c>
      <c r="S6573" t="s">
        <v>18959</v>
      </c>
      <c r="U6573" t="s">
        <v>26604</v>
      </c>
      <c r="W6573" t="s">
        <v>741</v>
      </c>
      <c r="X6573">
        <v>768</v>
      </c>
      <c r="Y6573" t="s">
        <v>26651</v>
      </c>
      <c r="Z6573" t="s">
        <v>26668</v>
      </c>
      <c r="AB6573" t="s">
        <v>31780</v>
      </c>
      <c r="AD6573" t="s">
        <v>42048</v>
      </c>
      <c r="AE6573">
        <v>0</v>
      </c>
      <c r="AF6573" t="s">
        <v>45541</v>
      </c>
      <c r="AG6573" t="s">
        <v>45556</v>
      </c>
      <c r="AH6573">
        <v>9</v>
      </c>
      <c r="AI6573">
        <v>1</v>
      </c>
      <c r="AJ6573">
        <v>1</v>
      </c>
      <c r="AK6573">
        <v>129.46</v>
      </c>
      <c r="AN6573" t="s">
        <v>7439</v>
      </c>
      <c r="AO6573">
        <v>21892</v>
      </c>
      <c r="AU6573">
        <v>4.5</v>
      </c>
      <c r="AV6573" t="s">
        <v>810</v>
      </c>
      <c r="AW6573" t="s">
        <v>314</v>
      </c>
    </row>
    <row r="6574" spans="1:50">
      <c r="A6574" s="1">
        <f>HYPERLINK("https://lsnyc.legalserver.org/matter/dynamic-profile/view/1894385","19-1894385")</f>
        <v>0</v>
      </c>
      <c r="B6574" t="s">
        <v>94</v>
      </c>
      <c r="C6574" t="s">
        <v>340</v>
      </c>
      <c r="D6574" t="s">
        <v>741</v>
      </c>
      <c r="F6574" t="s">
        <v>3729</v>
      </c>
      <c r="G6574" t="s">
        <v>994</v>
      </c>
      <c r="H6574" t="s">
        <v>14372</v>
      </c>
      <c r="I6574" t="s">
        <v>17356</v>
      </c>
      <c r="J6574" t="s">
        <v>18893</v>
      </c>
      <c r="K6574">
        <v>10027</v>
      </c>
      <c r="L6574" t="s">
        <v>18958</v>
      </c>
      <c r="M6574" t="s">
        <v>18958</v>
      </c>
      <c r="N6574" t="s">
        <v>23799</v>
      </c>
      <c r="O6574" t="s">
        <v>26524</v>
      </c>
      <c r="P6574" t="s">
        <v>26560</v>
      </c>
      <c r="R6574" t="s">
        <v>26580</v>
      </c>
      <c r="S6574" t="s">
        <v>18959</v>
      </c>
      <c r="U6574" t="s">
        <v>26604</v>
      </c>
      <c r="V6574" t="s">
        <v>26610</v>
      </c>
      <c r="W6574" t="s">
        <v>741</v>
      </c>
      <c r="X6574">
        <v>638.8</v>
      </c>
      <c r="Y6574" t="s">
        <v>26651</v>
      </c>
      <c r="Z6574" t="s">
        <v>26664</v>
      </c>
      <c r="AB6574" t="s">
        <v>31781</v>
      </c>
      <c r="AD6574" t="s">
        <v>42049</v>
      </c>
      <c r="AE6574">
        <v>0</v>
      </c>
      <c r="AF6574" t="s">
        <v>20460</v>
      </c>
      <c r="AG6574" t="s">
        <v>19330</v>
      </c>
      <c r="AH6574">
        <v>13</v>
      </c>
      <c r="AI6574">
        <v>1</v>
      </c>
      <c r="AJ6574">
        <v>1</v>
      </c>
      <c r="AK6574">
        <v>150.68</v>
      </c>
      <c r="AN6574" t="s">
        <v>7439</v>
      </c>
      <c r="AO6574">
        <v>25480</v>
      </c>
      <c r="AU6574">
        <v>3</v>
      </c>
      <c r="AV6574" t="s">
        <v>770</v>
      </c>
      <c r="AW6574" t="s">
        <v>314</v>
      </c>
    </row>
    <row r="6575" spans="1:50">
      <c r="A6575" s="1">
        <f>HYPERLINK("https://lsnyc.legalserver.org/matter/dynamic-profile/view/1894424","19-1894424")</f>
        <v>0</v>
      </c>
      <c r="B6575" t="s">
        <v>94</v>
      </c>
      <c r="C6575" t="s">
        <v>340</v>
      </c>
      <c r="D6575" t="s">
        <v>741</v>
      </c>
      <c r="F6575" t="s">
        <v>1390</v>
      </c>
      <c r="G6575" t="s">
        <v>8070</v>
      </c>
      <c r="H6575" t="s">
        <v>14246</v>
      </c>
      <c r="I6575" t="s">
        <v>17757</v>
      </c>
      <c r="J6575" t="s">
        <v>18893</v>
      </c>
      <c r="K6575">
        <v>10027</v>
      </c>
      <c r="L6575" t="s">
        <v>18958</v>
      </c>
      <c r="M6575" t="s">
        <v>18958</v>
      </c>
      <c r="N6575" t="s">
        <v>23800</v>
      </c>
      <c r="O6575" t="s">
        <v>26523</v>
      </c>
      <c r="P6575" t="s">
        <v>26560</v>
      </c>
      <c r="R6575" t="s">
        <v>26580</v>
      </c>
      <c r="S6575" t="s">
        <v>18959</v>
      </c>
      <c r="U6575" t="s">
        <v>26604</v>
      </c>
      <c r="V6575" t="s">
        <v>26610</v>
      </c>
      <c r="W6575" t="s">
        <v>741</v>
      </c>
      <c r="X6575">
        <v>512</v>
      </c>
      <c r="Y6575" t="s">
        <v>26651</v>
      </c>
      <c r="Z6575" t="s">
        <v>26664</v>
      </c>
      <c r="AB6575" t="s">
        <v>31782</v>
      </c>
      <c r="AC6575" t="s">
        <v>36199</v>
      </c>
      <c r="AD6575" t="s">
        <v>42050</v>
      </c>
      <c r="AE6575">
        <v>0</v>
      </c>
      <c r="AF6575" t="s">
        <v>45541</v>
      </c>
      <c r="AG6575" t="s">
        <v>19330</v>
      </c>
      <c r="AH6575">
        <v>6</v>
      </c>
      <c r="AI6575">
        <v>1</v>
      </c>
      <c r="AJ6575">
        <v>0</v>
      </c>
      <c r="AK6575">
        <v>172.94</v>
      </c>
      <c r="AN6575" t="s">
        <v>7439</v>
      </c>
      <c r="AO6575">
        <v>21600</v>
      </c>
      <c r="AU6575">
        <v>5.2</v>
      </c>
      <c r="AV6575" t="s">
        <v>811</v>
      </c>
      <c r="AW6575" t="s">
        <v>314</v>
      </c>
    </row>
    <row r="6576" spans="1:50">
      <c r="A6576" s="1">
        <f>HYPERLINK("https://lsnyc.legalserver.org/matter/dynamic-profile/view/1895401","19-1895401")</f>
        <v>0</v>
      </c>
      <c r="B6576" t="s">
        <v>262</v>
      </c>
      <c r="C6576" t="s">
        <v>340</v>
      </c>
      <c r="D6576" t="s">
        <v>741</v>
      </c>
      <c r="F6576" t="s">
        <v>1680</v>
      </c>
      <c r="G6576" t="s">
        <v>8071</v>
      </c>
      <c r="H6576" t="s">
        <v>14373</v>
      </c>
      <c r="I6576" t="s">
        <v>17273</v>
      </c>
      <c r="J6576" t="s">
        <v>18892</v>
      </c>
      <c r="K6576">
        <v>10457</v>
      </c>
      <c r="L6576" t="s">
        <v>18958</v>
      </c>
      <c r="M6576" t="s">
        <v>18958</v>
      </c>
      <c r="N6576" t="s">
        <v>23801</v>
      </c>
      <c r="O6576" t="s">
        <v>26523</v>
      </c>
      <c r="P6576" t="s">
        <v>26560</v>
      </c>
      <c r="R6576" t="s">
        <v>26579</v>
      </c>
      <c r="S6576" t="s">
        <v>18959</v>
      </c>
      <c r="U6576" t="s">
        <v>26604</v>
      </c>
      <c r="W6576" t="s">
        <v>741</v>
      </c>
      <c r="X6576">
        <v>1450</v>
      </c>
      <c r="Y6576" t="s">
        <v>26650</v>
      </c>
      <c r="Z6576" t="s">
        <v>26664</v>
      </c>
      <c r="AB6576" t="s">
        <v>31783</v>
      </c>
      <c r="AE6576">
        <v>37</v>
      </c>
      <c r="AF6576" t="s">
        <v>45541</v>
      </c>
      <c r="AH6576">
        <v>4</v>
      </c>
      <c r="AI6576">
        <v>1</v>
      </c>
      <c r="AJ6576">
        <v>2</v>
      </c>
      <c r="AK6576">
        <v>0</v>
      </c>
      <c r="AN6576" t="s">
        <v>7439</v>
      </c>
      <c r="AO6576">
        <v>0</v>
      </c>
      <c r="AU6576">
        <v>43.8</v>
      </c>
      <c r="AV6576" t="s">
        <v>827</v>
      </c>
      <c r="AW6576" t="s">
        <v>336</v>
      </c>
    </row>
    <row r="6577" spans="1:50">
      <c r="A6577" s="1">
        <f>HYPERLINK("https://lsnyc.legalserver.org/matter/dynamic-profile/view/1894377","19-1894377")</f>
        <v>0</v>
      </c>
      <c r="B6577" t="s">
        <v>191</v>
      </c>
      <c r="C6577" t="s">
        <v>340</v>
      </c>
      <c r="D6577" t="s">
        <v>741</v>
      </c>
      <c r="F6577" t="s">
        <v>974</v>
      </c>
      <c r="G6577" t="s">
        <v>8072</v>
      </c>
      <c r="H6577" t="s">
        <v>14374</v>
      </c>
      <c r="I6577">
        <v>804</v>
      </c>
      <c r="J6577" t="s">
        <v>18893</v>
      </c>
      <c r="K6577">
        <v>10025</v>
      </c>
      <c r="L6577" t="s">
        <v>18958</v>
      </c>
      <c r="M6577" t="s">
        <v>18958</v>
      </c>
      <c r="N6577" t="s">
        <v>23802</v>
      </c>
      <c r="O6577" t="s">
        <v>26523</v>
      </c>
      <c r="P6577" t="s">
        <v>26560</v>
      </c>
      <c r="R6577" t="s">
        <v>26580</v>
      </c>
      <c r="S6577" t="s">
        <v>18959</v>
      </c>
      <c r="U6577" t="s">
        <v>26604</v>
      </c>
      <c r="W6577" t="s">
        <v>741</v>
      </c>
      <c r="X6577">
        <v>468</v>
      </c>
      <c r="Y6577" t="s">
        <v>26651</v>
      </c>
      <c r="Z6577" t="s">
        <v>26664</v>
      </c>
      <c r="AB6577" t="s">
        <v>27001</v>
      </c>
      <c r="AD6577" t="s">
        <v>42051</v>
      </c>
      <c r="AE6577">
        <v>0</v>
      </c>
      <c r="AF6577" t="s">
        <v>45541</v>
      </c>
      <c r="AG6577" t="s">
        <v>45562</v>
      </c>
      <c r="AH6577">
        <v>2</v>
      </c>
      <c r="AI6577">
        <v>1</v>
      </c>
      <c r="AJ6577">
        <v>0</v>
      </c>
      <c r="AK6577">
        <v>149.88</v>
      </c>
      <c r="AN6577" t="s">
        <v>7439</v>
      </c>
      <c r="AO6577">
        <v>18720</v>
      </c>
      <c r="AU6577">
        <v>1.9</v>
      </c>
      <c r="AV6577" t="s">
        <v>772</v>
      </c>
      <c r="AW6577" t="s">
        <v>314</v>
      </c>
    </row>
    <row r="6578" spans="1:50">
      <c r="A6578" s="1">
        <f>HYPERLINK("https://lsnyc.legalserver.org/matter/dynamic-profile/view/1894364","19-1894364")</f>
        <v>0</v>
      </c>
      <c r="B6578" t="s">
        <v>234</v>
      </c>
      <c r="C6578" t="s">
        <v>340</v>
      </c>
      <c r="D6578" t="s">
        <v>741</v>
      </c>
      <c r="F6578" t="s">
        <v>3730</v>
      </c>
      <c r="G6578" t="s">
        <v>2789</v>
      </c>
      <c r="H6578" t="s">
        <v>14375</v>
      </c>
      <c r="I6578" t="s">
        <v>17352</v>
      </c>
      <c r="J6578" t="s">
        <v>18893</v>
      </c>
      <c r="K6578">
        <v>10026</v>
      </c>
      <c r="L6578" t="s">
        <v>18958</v>
      </c>
      <c r="M6578" t="s">
        <v>18958</v>
      </c>
      <c r="N6578" t="s">
        <v>23803</v>
      </c>
      <c r="O6578" t="s">
        <v>26523</v>
      </c>
      <c r="P6578" t="s">
        <v>26560</v>
      </c>
      <c r="R6578" t="s">
        <v>26580</v>
      </c>
      <c r="S6578" t="s">
        <v>18959</v>
      </c>
      <c r="U6578" t="s">
        <v>26604</v>
      </c>
      <c r="W6578" t="s">
        <v>741</v>
      </c>
      <c r="X6578">
        <v>1008</v>
      </c>
      <c r="Y6578" t="s">
        <v>26651</v>
      </c>
      <c r="Z6578" t="s">
        <v>26668</v>
      </c>
      <c r="AB6578" t="s">
        <v>31784</v>
      </c>
      <c r="AD6578" t="s">
        <v>42052</v>
      </c>
      <c r="AE6578">
        <v>0</v>
      </c>
      <c r="AF6578" t="s">
        <v>45541</v>
      </c>
      <c r="AG6578" t="s">
        <v>45563</v>
      </c>
      <c r="AH6578">
        <v>1</v>
      </c>
      <c r="AI6578">
        <v>1</v>
      </c>
      <c r="AJ6578">
        <v>1</v>
      </c>
      <c r="AK6578">
        <v>124.54</v>
      </c>
      <c r="AN6578" t="s">
        <v>7439</v>
      </c>
      <c r="AO6578">
        <v>21060</v>
      </c>
      <c r="AU6578">
        <v>10.05</v>
      </c>
      <c r="AV6578" t="s">
        <v>834</v>
      </c>
      <c r="AW6578" t="s">
        <v>46875</v>
      </c>
    </row>
    <row r="6579" spans="1:50">
      <c r="A6579" s="1">
        <f>HYPERLINK("https://lsnyc.legalserver.org/matter/dynamic-profile/view/1894337","19-1894337")</f>
        <v>0</v>
      </c>
      <c r="B6579" t="s">
        <v>214</v>
      </c>
      <c r="C6579" t="s">
        <v>340</v>
      </c>
      <c r="D6579" t="s">
        <v>741</v>
      </c>
      <c r="F6579" t="s">
        <v>2542</v>
      </c>
      <c r="G6579" t="s">
        <v>8073</v>
      </c>
      <c r="H6579" t="s">
        <v>14376</v>
      </c>
      <c r="I6579" t="s">
        <v>17330</v>
      </c>
      <c r="J6579" t="s">
        <v>18899</v>
      </c>
      <c r="K6579">
        <v>11385</v>
      </c>
      <c r="L6579" t="s">
        <v>18958</v>
      </c>
      <c r="M6579" t="s">
        <v>18958</v>
      </c>
      <c r="N6579" t="s">
        <v>23804</v>
      </c>
      <c r="O6579" t="s">
        <v>26524</v>
      </c>
      <c r="P6579" t="s">
        <v>26560</v>
      </c>
      <c r="R6579" t="s">
        <v>26585</v>
      </c>
      <c r="S6579" t="s">
        <v>18959</v>
      </c>
      <c r="U6579" t="s">
        <v>26604</v>
      </c>
      <c r="V6579" t="s">
        <v>26610</v>
      </c>
      <c r="W6579" t="s">
        <v>741</v>
      </c>
      <c r="X6579">
        <v>1300</v>
      </c>
      <c r="Y6579" t="s">
        <v>26653</v>
      </c>
      <c r="Z6579" t="s">
        <v>26668</v>
      </c>
      <c r="AB6579" t="s">
        <v>31785</v>
      </c>
      <c r="AC6579" t="s">
        <v>35263</v>
      </c>
      <c r="AD6579" t="s">
        <v>42053</v>
      </c>
      <c r="AE6579">
        <v>4</v>
      </c>
      <c r="AF6579" t="s">
        <v>45547</v>
      </c>
      <c r="AG6579" t="s">
        <v>19330</v>
      </c>
      <c r="AH6579">
        <v>4</v>
      </c>
      <c r="AI6579">
        <v>1</v>
      </c>
      <c r="AJ6579">
        <v>0</v>
      </c>
      <c r="AK6579">
        <v>120.1</v>
      </c>
      <c r="AN6579" t="s">
        <v>7439</v>
      </c>
      <c r="AO6579">
        <v>15000</v>
      </c>
      <c r="AQ6579" t="s">
        <v>46362</v>
      </c>
      <c r="AR6579" t="s">
        <v>26530</v>
      </c>
      <c r="AS6579" t="s">
        <v>46500</v>
      </c>
      <c r="AT6579" t="s">
        <v>46705</v>
      </c>
      <c r="AU6579">
        <v>7.1</v>
      </c>
      <c r="AV6579" t="s">
        <v>830</v>
      </c>
      <c r="AW6579" t="s">
        <v>208</v>
      </c>
      <c r="AX6579" t="s">
        <v>46897</v>
      </c>
    </row>
    <row r="6580" spans="1:50">
      <c r="A6580" s="1">
        <f>HYPERLINK("https://lsnyc.legalserver.org/matter/dynamic-profile/view/1894319","19-1894319")</f>
        <v>0</v>
      </c>
      <c r="B6580" t="s">
        <v>253</v>
      </c>
      <c r="C6580" t="s">
        <v>340</v>
      </c>
      <c r="D6580" t="s">
        <v>741</v>
      </c>
      <c r="F6580" t="s">
        <v>3731</v>
      </c>
      <c r="G6580" t="s">
        <v>5664</v>
      </c>
      <c r="H6580" t="s">
        <v>14377</v>
      </c>
      <c r="I6580" t="s">
        <v>18378</v>
      </c>
      <c r="J6580" t="s">
        <v>18892</v>
      </c>
      <c r="K6580">
        <v>10467</v>
      </c>
      <c r="L6580" t="s">
        <v>18958</v>
      </c>
      <c r="M6580" t="s">
        <v>18958</v>
      </c>
      <c r="N6580" t="s">
        <v>23805</v>
      </c>
      <c r="O6580" t="s">
        <v>26523</v>
      </c>
      <c r="P6580" t="s">
        <v>26564</v>
      </c>
      <c r="R6580" t="s">
        <v>26579</v>
      </c>
      <c r="S6580" t="s">
        <v>18959</v>
      </c>
      <c r="U6580" t="s">
        <v>26604</v>
      </c>
      <c r="W6580" t="s">
        <v>741</v>
      </c>
      <c r="X6580">
        <v>1700</v>
      </c>
      <c r="Y6580" t="s">
        <v>26650</v>
      </c>
      <c r="Z6580" t="s">
        <v>26673</v>
      </c>
      <c r="AB6580" t="s">
        <v>31786</v>
      </c>
      <c r="AC6580" t="s">
        <v>36200</v>
      </c>
      <c r="AD6580" t="s">
        <v>42054</v>
      </c>
      <c r="AE6580">
        <v>12</v>
      </c>
      <c r="AF6580" t="s">
        <v>45541</v>
      </c>
      <c r="AG6580" t="s">
        <v>19330</v>
      </c>
      <c r="AH6580">
        <v>26</v>
      </c>
      <c r="AI6580">
        <v>1</v>
      </c>
      <c r="AJ6580">
        <v>0</v>
      </c>
      <c r="AK6580">
        <v>0</v>
      </c>
      <c r="AN6580" t="s">
        <v>7439</v>
      </c>
      <c r="AO6580">
        <v>0</v>
      </c>
      <c r="AU6580">
        <v>2.75</v>
      </c>
      <c r="AV6580" t="s">
        <v>807</v>
      </c>
      <c r="AW6580" t="s">
        <v>329</v>
      </c>
    </row>
    <row r="6581" spans="1:50">
      <c r="A6581" s="1">
        <f>HYPERLINK("https://lsnyc.legalserver.org/matter/dynamic-profile/view/1894405","19-1894405")</f>
        <v>0</v>
      </c>
      <c r="B6581" t="s">
        <v>159</v>
      </c>
      <c r="C6581" t="s">
        <v>340</v>
      </c>
      <c r="D6581" t="s">
        <v>741</v>
      </c>
      <c r="F6581" t="s">
        <v>1068</v>
      </c>
      <c r="G6581" t="s">
        <v>5376</v>
      </c>
      <c r="H6581" t="s">
        <v>13275</v>
      </c>
      <c r="I6581" t="s">
        <v>17516</v>
      </c>
      <c r="J6581" t="s">
        <v>18901</v>
      </c>
      <c r="K6581">
        <v>11434</v>
      </c>
      <c r="L6581" t="s">
        <v>18958</v>
      </c>
      <c r="M6581" t="s">
        <v>18958</v>
      </c>
      <c r="N6581" t="s">
        <v>23806</v>
      </c>
      <c r="O6581" t="s">
        <v>26523</v>
      </c>
      <c r="P6581" t="s">
        <v>26560</v>
      </c>
      <c r="R6581" t="s">
        <v>26585</v>
      </c>
      <c r="S6581" t="s">
        <v>18959</v>
      </c>
      <c r="U6581" t="s">
        <v>26604</v>
      </c>
      <c r="W6581" t="s">
        <v>741</v>
      </c>
      <c r="X6581">
        <v>691.3099999999999</v>
      </c>
      <c r="Y6581" t="s">
        <v>26653</v>
      </c>
      <c r="Z6581" t="s">
        <v>26668</v>
      </c>
      <c r="AB6581" t="s">
        <v>31787</v>
      </c>
      <c r="AD6581" t="s">
        <v>42055</v>
      </c>
      <c r="AE6581">
        <v>5860</v>
      </c>
      <c r="AF6581" t="s">
        <v>45550</v>
      </c>
      <c r="AG6581" t="s">
        <v>19330</v>
      </c>
      <c r="AH6581">
        <v>19</v>
      </c>
      <c r="AI6581">
        <v>1</v>
      </c>
      <c r="AJ6581">
        <v>0</v>
      </c>
      <c r="AK6581">
        <v>192.15</v>
      </c>
      <c r="AN6581" t="s">
        <v>7439</v>
      </c>
      <c r="AO6581">
        <v>24000</v>
      </c>
      <c r="AU6581">
        <v>11.34</v>
      </c>
      <c r="AV6581" t="s">
        <v>836</v>
      </c>
      <c r="AW6581" t="s">
        <v>208</v>
      </c>
    </row>
    <row r="6582" spans="1:50">
      <c r="A6582" s="1">
        <f>HYPERLINK("https://lsnyc.legalserver.org/matter/dynamic-profile/view/1894756","19-1894756")</f>
        <v>0</v>
      </c>
      <c r="B6582" t="s">
        <v>213</v>
      </c>
      <c r="C6582" t="s">
        <v>340</v>
      </c>
      <c r="D6582" t="s">
        <v>741</v>
      </c>
      <c r="F6582" t="s">
        <v>3732</v>
      </c>
      <c r="G6582" t="s">
        <v>8074</v>
      </c>
      <c r="H6582" t="s">
        <v>14378</v>
      </c>
      <c r="I6582" t="s">
        <v>18379</v>
      </c>
      <c r="J6582" t="s">
        <v>18892</v>
      </c>
      <c r="K6582">
        <v>10462</v>
      </c>
      <c r="L6582" t="s">
        <v>18958</v>
      </c>
      <c r="M6582" t="s">
        <v>18958</v>
      </c>
      <c r="N6582" t="s">
        <v>23807</v>
      </c>
      <c r="O6582" t="s">
        <v>26524</v>
      </c>
      <c r="P6582" t="s">
        <v>26560</v>
      </c>
      <c r="R6582" t="s">
        <v>26579</v>
      </c>
      <c r="S6582" t="s">
        <v>18959</v>
      </c>
      <c r="U6582" t="s">
        <v>26604</v>
      </c>
      <c r="V6582" t="s">
        <v>26610</v>
      </c>
      <c r="W6582" t="s">
        <v>741</v>
      </c>
      <c r="X6582">
        <v>1465</v>
      </c>
      <c r="Y6582" t="s">
        <v>26650</v>
      </c>
      <c r="Z6582" t="s">
        <v>26668</v>
      </c>
      <c r="AB6582" t="s">
        <v>31788</v>
      </c>
      <c r="AD6582" t="s">
        <v>42056</v>
      </c>
      <c r="AE6582">
        <v>67</v>
      </c>
      <c r="AF6582" t="s">
        <v>45553</v>
      </c>
      <c r="AG6582" t="s">
        <v>45556</v>
      </c>
      <c r="AH6582">
        <v>21</v>
      </c>
      <c r="AI6582">
        <v>1</v>
      </c>
      <c r="AJ6582">
        <v>0</v>
      </c>
      <c r="AK6582">
        <v>12.11</v>
      </c>
      <c r="AN6582" t="s">
        <v>7439</v>
      </c>
      <c r="AO6582">
        <v>1512</v>
      </c>
      <c r="AU6582">
        <v>19.5</v>
      </c>
      <c r="AV6582" t="s">
        <v>835</v>
      </c>
      <c r="AW6582" t="s">
        <v>46847</v>
      </c>
    </row>
    <row r="6583" spans="1:50">
      <c r="A6583" s="1">
        <f>HYPERLINK("https://lsnyc.legalserver.org/matter/dynamic-profile/view/1894406","19-1894406")</f>
        <v>0</v>
      </c>
      <c r="B6583" t="s">
        <v>142</v>
      </c>
      <c r="C6583" t="s">
        <v>340</v>
      </c>
      <c r="D6583" t="s">
        <v>741</v>
      </c>
      <c r="F6583" t="s">
        <v>3733</v>
      </c>
      <c r="G6583" t="s">
        <v>6987</v>
      </c>
      <c r="H6583" t="s">
        <v>14379</v>
      </c>
      <c r="J6583" t="s">
        <v>18901</v>
      </c>
      <c r="K6583">
        <v>11434</v>
      </c>
      <c r="L6583" t="s">
        <v>18958</v>
      </c>
      <c r="M6583" t="s">
        <v>18958</v>
      </c>
      <c r="N6583" t="s">
        <v>23808</v>
      </c>
      <c r="O6583" t="s">
        <v>26523</v>
      </c>
      <c r="P6583" t="s">
        <v>26560</v>
      </c>
      <c r="R6583" t="s">
        <v>26585</v>
      </c>
      <c r="S6583" t="s">
        <v>18959</v>
      </c>
      <c r="U6583" t="s">
        <v>26604</v>
      </c>
      <c r="V6583" t="s">
        <v>26610</v>
      </c>
      <c r="W6583" t="s">
        <v>741</v>
      </c>
      <c r="X6583">
        <v>1350</v>
      </c>
      <c r="Y6583" t="s">
        <v>26653</v>
      </c>
      <c r="Z6583" t="s">
        <v>26668</v>
      </c>
      <c r="AB6583" t="s">
        <v>31789</v>
      </c>
      <c r="AD6583" t="s">
        <v>42057</v>
      </c>
      <c r="AE6583">
        <v>12</v>
      </c>
      <c r="AF6583" t="s">
        <v>20460</v>
      </c>
      <c r="AG6583" t="s">
        <v>26530</v>
      </c>
      <c r="AH6583">
        <v>7</v>
      </c>
      <c r="AI6583">
        <v>1</v>
      </c>
      <c r="AJ6583">
        <v>0</v>
      </c>
      <c r="AK6583">
        <v>112.09</v>
      </c>
      <c r="AN6583" t="s">
        <v>7439</v>
      </c>
      <c r="AO6583">
        <v>14000</v>
      </c>
      <c r="AU6583">
        <v>2.9</v>
      </c>
      <c r="AV6583" t="s">
        <v>815</v>
      </c>
      <c r="AW6583" t="s">
        <v>208</v>
      </c>
    </row>
    <row r="6584" spans="1:50">
      <c r="A6584" s="1">
        <f>HYPERLINK("https://lsnyc.legalserver.org/matter/dynamic-profile/view/1894662","19-1894662")</f>
        <v>0</v>
      </c>
      <c r="B6584" t="s">
        <v>120</v>
      </c>
      <c r="C6584" t="s">
        <v>340</v>
      </c>
      <c r="D6584" t="s">
        <v>741</v>
      </c>
      <c r="F6584" t="s">
        <v>2812</v>
      </c>
      <c r="G6584" t="s">
        <v>8075</v>
      </c>
      <c r="H6584" t="s">
        <v>14380</v>
      </c>
      <c r="I6584" t="s">
        <v>17327</v>
      </c>
      <c r="J6584" t="s">
        <v>18892</v>
      </c>
      <c r="K6584">
        <v>10468</v>
      </c>
      <c r="L6584" t="s">
        <v>18958</v>
      </c>
      <c r="M6584" t="s">
        <v>18958</v>
      </c>
      <c r="N6584" t="s">
        <v>23809</v>
      </c>
      <c r="O6584" t="s">
        <v>26523</v>
      </c>
      <c r="P6584" t="s">
        <v>26560</v>
      </c>
      <c r="R6584" t="s">
        <v>26579</v>
      </c>
      <c r="S6584" t="s">
        <v>18959</v>
      </c>
      <c r="U6584" t="s">
        <v>26604</v>
      </c>
      <c r="V6584" t="s">
        <v>26610</v>
      </c>
      <c r="W6584" t="s">
        <v>741</v>
      </c>
      <c r="X6584">
        <v>1889.92</v>
      </c>
      <c r="Y6584" t="s">
        <v>26650</v>
      </c>
      <c r="Z6584" t="s">
        <v>26668</v>
      </c>
      <c r="AB6584" t="s">
        <v>27193</v>
      </c>
      <c r="AE6584">
        <v>33</v>
      </c>
      <c r="AF6584" t="s">
        <v>45543</v>
      </c>
      <c r="AG6584" t="s">
        <v>45556</v>
      </c>
      <c r="AH6584">
        <v>10</v>
      </c>
      <c r="AI6584">
        <v>1</v>
      </c>
      <c r="AJ6584">
        <v>2</v>
      </c>
      <c r="AK6584">
        <v>64.84999999999999</v>
      </c>
      <c r="AN6584" t="s">
        <v>7439</v>
      </c>
      <c r="AO6584">
        <v>13832</v>
      </c>
      <c r="AU6584">
        <v>9.300000000000001</v>
      </c>
      <c r="AV6584" t="s">
        <v>838</v>
      </c>
      <c r="AW6584" t="s">
        <v>46847</v>
      </c>
    </row>
    <row r="6585" spans="1:50">
      <c r="A6585" s="1">
        <f>HYPERLINK("https://lsnyc.legalserver.org/matter/dynamic-profile/view/1894718","19-1894718")</f>
        <v>0</v>
      </c>
      <c r="B6585" t="s">
        <v>120</v>
      </c>
      <c r="C6585" t="s">
        <v>340</v>
      </c>
      <c r="D6585" t="s">
        <v>741</v>
      </c>
      <c r="F6585" t="s">
        <v>3734</v>
      </c>
      <c r="G6585" t="s">
        <v>5394</v>
      </c>
      <c r="H6585" t="s">
        <v>14381</v>
      </c>
      <c r="I6585" t="s">
        <v>17464</v>
      </c>
      <c r="J6585" t="s">
        <v>18892</v>
      </c>
      <c r="K6585">
        <v>10468</v>
      </c>
      <c r="L6585" t="s">
        <v>18958</v>
      </c>
      <c r="M6585" t="s">
        <v>18958</v>
      </c>
      <c r="N6585" t="s">
        <v>23810</v>
      </c>
      <c r="O6585" t="s">
        <v>26523</v>
      </c>
      <c r="P6585" t="s">
        <v>26560</v>
      </c>
      <c r="R6585" t="s">
        <v>26579</v>
      </c>
      <c r="S6585" t="s">
        <v>18959</v>
      </c>
      <c r="U6585" t="s">
        <v>26604</v>
      </c>
      <c r="V6585" t="s">
        <v>26610</v>
      </c>
      <c r="W6585" t="s">
        <v>741</v>
      </c>
      <c r="X6585">
        <v>1500</v>
      </c>
      <c r="Y6585" t="s">
        <v>26650</v>
      </c>
      <c r="Z6585" t="s">
        <v>26668</v>
      </c>
      <c r="AB6585" t="s">
        <v>31447</v>
      </c>
      <c r="AC6585" t="s">
        <v>36201</v>
      </c>
      <c r="AD6585" t="s">
        <v>42058</v>
      </c>
      <c r="AE6585">
        <v>52</v>
      </c>
      <c r="AF6585" t="s">
        <v>45541</v>
      </c>
      <c r="AG6585" t="s">
        <v>19330</v>
      </c>
      <c r="AH6585">
        <v>12</v>
      </c>
      <c r="AI6585">
        <v>2</v>
      </c>
      <c r="AJ6585">
        <v>3</v>
      </c>
      <c r="AK6585">
        <v>77.56</v>
      </c>
      <c r="AN6585" t="s">
        <v>45581</v>
      </c>
      <c r="AO6585">
        <v>23400</v>
      </c>
      <c r="AU6585">
        <v>6.9</v>
      </c>
      <c r="AV6585" t="s">
        <v>832</v>
      </c>
      <c r="AW6585" t="s">
        <v>46847</v>
      </c>
    </row>
    <row r="6586" spans="1:50">
      <c r="A6586" s="1">
        <f>HYPERLINK("https://lsnyc.legalserver.org/matter/dynamic-profile/view/1894529","19-1894529")</f>
        <v>0</v>
      </c>
      <c r="B6586" t="s">
        <v>187</v>
      </c>
      <c r="C6586" t="s">
        <v>340</v>
      </c>
      <c r="D6586" t="s">
        <v>741</v>
      </c>
      <c r="F6586" t="s">
        <v>1467</v>
      </c>
      <c r="G6586" t="s">
        <v>5419</v>
      </c>
      <c r="H6586" t="s">
        <v>14382</v>
      </c>
      <c r="I6586" t="s">
        <v>18380</v>
      </c>
      <c r="J6586" t="s">
        <v>18892</v>
      </c>
      <c r="K6586">
        <v>10457</v>
      </c>
      <c r="L6586" t="s">
        <v>18958</v>
      </c>
      <c r="M6586" t="s">
        <v>18958</v>
      </c>
      <c r="N6586" t="s">
        <v>23811</v>
      </c>
      <c r="O6586" t="s">
        <v>26523</v>
      </c>
      <c r="P6586" t="s">
        <v>26560</v>
      </c>
      <c r="R6586" t="s">
        <v>26579</v>
      </c>
      <c r="S6586" t="s">
        <v>18959</v>
      </c>
      <c r="U6586" t="s">
        <v>26604</v>
      </c>
      <c r="V6586" t="s">
        <v>26610</v>
      </c>
      <c r="W6586" t="s">
        <v>741</v>
      </c>
      <c r="X6586">
        <v>750</v>
      </c>
      <c r="Y6586" t="s">
        <v>26650</v>
      </c>
      <c r="Z6586" t="s">
        <v>26668</v>
      </c>
      <c r="AB6586" t="s">
        <v>27723</v>
      </c>
      <c r="AC6586" t="s">
        <v>36202</v>
      </c>
      <c r="AD6586" t="s">
        <v>42059</v>
      </c>
      <c r="AE6586">
        <v>0</v>
      </c>
      <c r="AF6586" t="s">
        <v>45543</v>
      </c>
      <c r="AG6586" t="s">
        <v>45556</v>
      </c>
      <c r="AH6586">
        <v>4</v>
      </c>
      <c r="AI6586">
        <v>4</v>
      </c>
      <c r="AJ6586">
        <v>2</v>
      </c>
      <c r="AK6586">
        <v>86.19</v>
      </c>
      <c r="AN6586" t="s">
        <v>7439</v>
      </c>
      <c r="AO6586">
        <v>29813</v>
      </c>
      <c r="AU6586">
        <v>4.3</v>
      </c>
      <c r="AV6586" t="s">
        <v>720</v>
      </c>
      <c r="AW6586" t="s">
        <v>46832</v>
      </c>
    </row>
    <row r="6587" spans="1:50">
      <c r="A6587" s="1">
        <f>HYPERLINK("https://lsnyc.legalserver.org/matter/dynamic-profile/view/1894387","19-1894387")</f>
        <v>0</v>
      </c>
      <c r="B6587" t="s">
        <v>112</v>
      </c>
      <c r="C6587" t="s">
        <v>340</v>
      </c>
      <c r="D6587" t="s">
        <v>741</v>
      </c>
      <c r="F6587" t="s">
        <v>1442</v>
      </c>
      <c r="G6587" t="s">
        <v>1725</v>
      </c>
      <c r="H6587" t="s">
        <v>14383</v>
      </c>
      <c r="I6587">
        <v>502</v>
      </c>
      <c r="J6587" t="s">
        <v>18906</v>
      </c>
      <c r="K6587">
        <v>11373</v>
      </c>
      <c r="L6587" t="s">
        <v>18958</v>
      </c>
      <c r="M6587" t="s">
        <v>18958</v>
      </c>
      <c r="N6587" t="s">
        <v>23812</v>
      </c>
      <c r="O6587" t="s">
        <v>26523</v>
      </c>
      <c r="P6587" t="s">
        <v>26560</v>
      </c>
      <c r="R6587" t="s">
        <v>26585</v>
      </c>
      <c r="S6587" t="s">
        <v>18959</v>
      </c>
      <c r="U6587" t="s">
        <v>26604</v>
      </c>
      <c r="W6587" t="s">
        <v>741</v>
      </c>
      <c r="X6587">
        <v>1051.95</v>
      </c>
      <c r="Y6587" t="s">
        <v>26653</v>
      </c>
      <c r="Z6587" t="s">
        <v>26668</v>
      </c>
      <c r="AB6587" t="s">
        <v>31790</v>
      </c>
      <c r="AD6587" t="s">
        <v>42060</v>
      </c>
      <c r="AE6587">
        <v>0</v>
      </c>
      <c r="AF6587" t="s">
        <v>20460</v>
      </c>
      <c r="AG6587" t="s">
        <v>19330</v>
      </c>
      <c r="AH6587">
        <v>27</v>
      </c>
      <c r="AI6587">
        <v>1</v>
      </c>
      <c r="AJ6587">
        <v>0</v>
      </c>
      <c r="AK6587">
        <v>70.62</v>
      </c>
      <c r="AN6587" t="s">
        <v>45581</v>
      </c>
      <c r="AO6587">
        <v>8820</v>
      </c>
      <c r="AU6587">
        <v>5.2</v>
      </c>
      <c r="AV6587" t="s">
        <v>832</v>
      </c>
      <c r="AW6587" t="s">
        <v>208</v>
      </c>
    </row>
    <row r="6588" spans="1:50">
      <c r="A6588" s="1">
        <f>HYPERLINK("https://lsnyc.legalserver.org/matter/dynamic-profile/view/1894361","19-1894361")</f>
        <v>0</v>
      </c>
      <c r="B6588" t="s">
        <v>112</v>
      </c>
      <c r="C6588" t="s">
        <v>340</v>
      </c>
      <c r="D6588" t="s">
        <v>741</v>
      </c>
      <c r="F6588" t="s">
        <v>2797</v>
      </c>
      <c r="G6588" t="s">
        <v>8076</v>
      </c>
      <c r="H6588" t="s">
        <v>14384</v>
      </c>
      <c r="I6588" t="s">
        <v>17306</v>
      </c>
      <c r="J6588" t="s">
        <v>18906</v>
      </c>
      <c r="K6588">
        <v>11373</v>
      </c>
      <c r="L6588" t="s">
        <v>18958</v>
      </c>
      <c r="M6588" t="s">
        <v>18958</v>
      </c>
      <c r="N6588" t="s">
        <v>23813</v>
      </c>
      <c r="O6588" t="s">
        <v>26523</v>
      </c>
      <c r="P6588" t="s">
        <v>26560</v>
      </c>
      <c r="R6588" t="s">
        <v>26585</v>
      </c>
      <c r="S6588" t="s">
        <v>18959</v>
      </c>
      <c r="U6588" t="s">
        <v>26604</v>
      </c>
      <c r="W6588" t="s">
        <v>741</v>
      </c>
      <c r="X6588">
        <v>1079</v>
      </c>
      <c r="Y6588" t="s">
        <v>26653</v>
      </c>
      <c r="Z6588" t="s">
        <v>26668</v>
      </c>
      <c r="AB6588" t="s">
        <v>31791</v>
      </c>
      <c r="AD6588" t="s">
        <v>42061</v>
      </c>
      <c r="AE6588">
        <v>0</v>
      </c>
      <c r="AF6588" t="s">
        <v>20460</v>
      </c>
      <c r="AG6588" t="s">
        <v>19330</v>
      </c>
      <c r="AH6588">
        <v>33</v>
      </c>
      <c r="AI6588">
        <v>2</v>
      </c>
      <c r="AJ6588">
        <v>0</v>
      </c>
      <c r="AK6588">
        <v>148.1</v>
      </c>
      <c r="AN6588" t="s">
        <v>45581</v>
      </c>
      <c r="AO6588">
        <v>25044</v>
      </c>
      <c r="AU6588">
        <v>28.6</v>
      </c>
      <c r="AV6588" t="s">
        <v>772</v>
      </c>
      <c r="AW6588" t="s">
        <v>208</v>
      </c>
    </row>
    <row r="6589" spans="1:50">
      <c r="A6589" s="1">
        <f>HYPERLINK("https://lsnyc.legalserver.org/matter/dynamic-profile/view/1894379","19-1894379")</f>
        <v>0</v>
      </c>
      <c r="B6589" t="s">
        <v>194</v>
      </c>
      <c r="C6589" t="s">
        <v>340</v>
      </c>
      <c r="D6589" t="s">
        <v>741</v>
      </c>
      <c r="F6589" t="s">
        <v>3735</v>
      </c>
      <c r="G6589" t="s">
        <v>8077</v>
      </c>
      <c r="H6589" t="s">
        <v>14385</v>
      </c>
      <c r="I6589" t="s">
        <v>17292</v>
      </c>
      <c r="J6589" t="s">
        <v>18893</v>
      </c>
      <c r="K6589">
        <v>10031</v>
      </c>
      <c r="L6589" t="s">
        <v>18958</v>
      </c>
      <c r="M6589" t="s">
        <v>18958</v>
      </c>
      <c r="N6589" t="s">
        <v>23814</v>
      </c>
      <c r="O6589" t="s">
        <v>26523</v>
      </c>
      <c r="P6589" t="s">
        <v>26560</v>
      </c>
      <c r="R6589" t="s">
        <v>26580</v>
      </c>
      <c r="S6589" t="s">
        <v>18959</v>
      </c>
      <c r="U6589" t="s">
        <v>26604</v>
      </c>
      <c r="W6589" t="s">
        <v>741</v>
      </c>
      <c r="X6589">
        <v>897</v>
      </c>
      <c r="Y6589" t="s">
        <v>26651</v>
      </c>
      <c r="Z6589" t="s">
        <v>26668</v>
      </c>
      <c r="AB6589" t="s">
        <v>30516</v>
      </c>
      <c r="AD6589" t="s">
        <v>42062</v>
      </c>
      <c r="AE6589">
        <v>0</v>
      </c>
      <c r="AF6589" t="s">
        <v>45541</v>
      </c>
      <c r="AG6589" t="s">
        <v>19330</v>
      </c>
      <c r="AH6589">
        <v>22</v>
      </c>
      <c r="AI6589">
        <v>1</v>
      </c>
      <c r="AJ6589">
        <v>0</v>
      </c>
      <c r="AK6589">
        <v>192.15</v>
      </c>
      <c r="AN6589" t="s">
        <v>7439</v>
      </c>
      <c r="AO6589">
        <v>24000</v>
      </c>
      <c r="AU6589">
        <v>15.6</v>
      </c>
      <c r="AV6589" t="s">
        <v>843</v>
      </c>
      <c r="AW6589" t="s">
        <v>46875</v>
      </c>
    </row>
    <row r="6590" spans="1:50">
      <c r="A6590" s="1">
        <f>HYPERLINK("https://lsnyc.legalserver.org/matter/dynamic-profile/view/1894417","19-1894417")</f>
        <v>0</v>
      </c>
      <c r="B6590" t="s">
        <v>59</v>
      </c>
      <c r="C6590" t="s">
        <v>340</v>
      </c>
      <c r="D6590" t="s">
        <v>741</v>
      </c>
      <c r="F6590" t="s">
        <v>1595</v>
      </c>
      <c r="G6590" t="s">
        <v>5419</v>
      </c>
      <c r="H6590" t="s">
        <v>14386</v>
      </c>
      <c r="I6590" t="s">
        <v>17540</v>
      </c>
      <c r="J6590" t="s">
        <v>18893</v>
      </c>
      <c r="K6590">
        <v>10027</v>
      </c>
      <c r="L6590" t="s">
        <v>18958</v>
      </c>
      <c r="M6590" t="s">
        <v>18958</v>
      </c>
      <c r="N6590" t="s">
        <v>23815</v>
      </c>
      <c r="O6590" t="s">
        <v>26523</v>
      </c>
      <c r="P6590" t="s">
        <v>26560</v>
      </c>
      <c r="R6590" t="s">
        <v>26580</v>
      </c>
      <c r="S6590" t="s">
        <v>18959</v>
      </c>
      <c r="U6590" t="s">
        <v>26604</v>
      </c>
      <c r="V6590" t="s">
        <v>26610</v>
      </c>
      <c r="W6590" t="s">
        <v>741</v>
      </c>
      <c r="X6590">
        <v>329</v>
      </c>
      <c r="Y6590" t="s">
        <v>26651</v>
      </c>
      <c r="Z6590" t="s">
        <v>26664</v>
      </c>
      <c r="AB6590" t="s">
        <v>31792</v>
      </c>
      <c r="AC6590" t="s">
        <v>36203</v>
      </c>
      <c r="AD6590" t="s">
        <v>42063</v>
      </c>
      <c r="AE6590">
        <v>0</v>
      </c>
      <c r="AF6590" t="s">
        <v>45552</v>
      </c>
      <c r="AG6590" t="s">
        <v>45556</v>
      </c>
      <c r="AH6590">
        <v>10</v>
      </c>
      <c r="AI6590">
        <v>1</v>
      </c>
      <c r="AJ6590">
        <v>0</v>
      </c>
      <c r="AK6590">
        <v>108.09</v>
      </c>
      <c r="AN6590" t="s">
        <v>7439</v>
      </c>
      <c r="AO6590">
        <v>13500</v>
      </c>
      <c r="AU6590">
        <v>9.4</v>
      </c>
      <c r="AV6590" t="s">
        <v>831</v>
      </c>
      <c r="AW6590" t="s">
        <v>314</v>
      </c>
    </row>
    <row r="6591" spans="1:50">
      <c r="A6591" s="1">
        <f>HYPERLINK("https://lsnyc.legalserver.org/matter/dynamic-profile/view/1894425","19-1894425")</f>
        <v>0</v>
      </c>
      <c r="B6591" t="s">
        <v>221</v>
      </c>
      <c r="C6591" t="s">
        <v>340</v>
      </c>
      <c r="D6591" t="s">
        <v>741</v>
      </c>
      <c r="F6591" t="s">
        <v>3736</v>
      </c>
      <c r="G6591" t="s">
        <v>5186</v>
      </c>
      <c r="H6591" t="s">
        <v>13275</v>
      </c>
      <c r="I6591" t="s">
        <v>17379</v>
      </c>
      <c r="J6591" t="s">
        <v>18901</v>
      </c>
      <c r="K6591">
        <v>11434</v>
      </c>
      <c r="L6591" t="s">
        <v>18958</v>
      </c>
      <c r="M6591" t="s">
        <v>18958</v>
      </c>
      <c r="N6591" t="s">
        <v>23816</v>
      </c>
      <c r="O6591" t="s">
        <v>26523</v>
      </c>
      <c r="P6591" t="s">
        <v>26560</v>
      </c>
      <c r="R6591" t="s">
        <v>26585</v>
      </c>
      <c r="S6591" t="s">
        <v>18959</v>
      </c>
      <c r="U6591" t="s">
        <v>26604</v>
      </c>
      <c r="W6591" t="s">
        <v>741</v>
      </c>
      <c r="X6591">
        <v>963.61</v>
      </c>
      <c r="Y6591" t="s">
        <v>26653</v>
      </c>
      <c r="Z6591" t="s">
        <v>26668</v>
      </c>
      <c r="AB6591" t="s">
        <v>31793</v>
      </c>
      <c r="AD6591" t="s">
        <v>42064</v>
      </c>
      <c r="AE6591">
        <v>0</v>
      </c>
      <c r="AF6591" t="s">
        <v>45550</v>
      </c>
      <c r="AG6591" t="s">
        <v>19330</v>
      </c>
      <c r="AH6591">
        <v>42</v>
      </c>
      <c r="AI6591">
        <v>2</v>
      </c>
      <c r="AJ6591">
        <v>0</v>
      </c>
      <c r="AK6591">
        <v>149.02</v>
      </c>
      <c r="AN6591" t="s">
        <v>7439</v>
      </c>
      <c r="AO6591">
        <v>25200</v>
      </c>
      <c r="AU6591">
        <v>9.199999999999999</v>
      </c>
      <c r="AV6591" t="s">
        <v>830</v>
      </c>
      <c r="AW6591" t="s">
        <v>208</v>
      </c>
    </row>
    <row r="6592" spans="1:50">
      <c r="A6592" s="1">
        <f>HYPERLINK("https://lsnyc.legalserver.org/matter/dynamic-profile/view/1894414","19-1894414")</f>
        <v>0</v>
      </c>
      <c r="B6592" t="s">
        <v>261</v>
      </c>
      <c r="C6592" t="s">
        <v>340</v>
      </c>
      <c r="D6592" t="s">
        <v>741</v>
      </c>
      <c r="F6592" t="s">
        <v>1705</v>
      </c>
      <c r="G6592" t="s">
        <v>5266</v>
      </c>
      <c r="H6592" t="s">
        <v>14387</v>
      </c>
      <c r="I6592" t="s">
        <v>17389</v>
      </c>
      <c r="J6592" t="s">
        <v>18892</v>
      </c>
      <c r="K6592">
        <v>10451</v>
      </c>
      <c r="L6592" t="s">
        <v>18958</v>
      </c>
      <c r="M6592" t="s">
        <v>18958</v>
      </c>
      <c r="O6592" t="s">
        <v>26539</v>
      </c>
      <c r="P6592" t="s">
        <v>26565</v>
      </c>
      <c r="R6592" t="s">
        <v>26578</v>
      </c>
      <c r="U6592" t="s">
        <v>26607</v>
      </c>
      <c r="V6592" t="s">
        <v>26610</v>
      </c>
      <c r="W6592" t="s">
        <v>741</v>
      </c>
      <c r="X6592">
        <v>0</v>
      </c>
      <c r="Y6592" t="s">
        <v>26650</v>
      </c>
      <c r="AB6592" t="s">
        <v>27967</v>
      </c>
      <c r="AD6592" t="s">
        <v>42065</v>
      </c>
      <c r="AE6592">
        <v>0</v>
      </c>
      <c r="AG6592" t="s">
        <v>45559</v>
      </c>
      <c r="AH6592">
        <v>0</v>
      </c>
      <c r="AI6592">
        <v>1</v>
      </c>
      <c r="AJ6592">
        <v>0</v>
      </c>
      <c r="AK6592">
        <v>195.61</v>
      </c>
      <c r="AN6592" t="s">
        <v>7439</v>
      </c>
      <c r="AO6592">
        <v>24432</v>
      </c>
      <c r="AU6592">
        <v>0</v>
      </c>
      <c r="AW6592" t="s">
        <v>261</v>
      </c>
    </row>
    <row r="6593" spans="1:50">
      <c r="A6593" s="1">
        <f>HYPERLINK("https://lsnyc.legalserver.org/matter/dynamic-profile/view/1894354","19-1894354")</f>
        <v>0</v>
      </c>
      <c r="B6593" t="s">
        <v>173</v>
      </c>
      <c r="C6593" t="s">
        <v>340</v>
      </c>
      <c r="D6593" t="s">
        <v>741</v>
      </c>
      <c r="F6593" t="s">
        <v>964</v>
      </c>
      <c r="G6593" t="s">
        <v>5376</v>
      </c>
      <c r="H6593" t="s">
        <v>14388</v>
      </c>
      <c r="I6593" t="s">
        <v>17527</v>
      </c>
      <c r="J6593" t="s">
        <v>18893</v>
      </c>
      <c r="K6593">
        <v>10031</v>
      </c>
      <c r="L6593" t="s">
        <v>18958</v>
      </c>
      <c r="M6593" t="s">
        <v>18958</v>
      </c>
      <c r="N6593" t="s">
        <v>23817</v>
      </c>
      <c r="O6593" t="s">
        <v>26523</v>
      </c>
      <c r="P6593" t="s">
        <v>26560</v>
      </c>
      <c r="R6593" t="s">
        <v>26580</v>
      </c>
      <c r="S6593" t="s">
        <v>18959</v>
      </c>
      <c r="U6593" t="s">
        <v>26604</v>
      </c>
      <c r="W6593" t="s">
        <v>741</v>
      </c>
      <c r="X6593">
        <v>918</v>
      </c>
      <c r="Y6593" t="s">
        <v>26651</v>
      </c>
      <c r="Z6593" t="s">
        <v>26668</v>
      </c>
      <c r="AB6593" t="s">
        <v>31794</v>
      </c>
      <c r="AD6593" t="s">
        <v>42066</v>
      </c>
      <c r="AE6593">
        <v>35</v>
      </c>
      <c r="AF6593" t="s">
        <v>45541</v>
      </c>
      <c r="AG6593" t="s">
        <v>26530</v>
      </c>
      <c r="AH6593">
        <v>38</v>
      </c>
      <c r="AI6593">
        <v>4</v>
      </c>
      <c r="AJ6593">
        <v>1</v>
      </c>
      <c r="AK6593">
        <v>119.24</v>
      </c>
      <c r="AN6593" t="s">
        <v>7439</v>
      </c>
      <c r="AO6593">
        <v>35976</v>
      </c>
      <c r="AU6593">
        <v>5</v>
      </c>
      <c r="AV6593" t="s">
        <v>771</v>
      </c>
      <c r="AW6593" t="s">
        <v>46875</v>
      </c>
    </row>
    <row r="6594" spans="1:50">
      <c r="A6594" s="1">
        <f>HYPERLINK("https://lsnyc.legalserver.org/matter/dynamic-profile/view/1894437","19-1894437")</f>
        <v>0</v>
      </c>
      <c r="B6594" t="s">
        <v>153</v>
      </c>
      <c r="C6594" t="s">
        <v>341</v>
      </c>
      <c r="D6594" t="s">
        <v>787</v>
      </c>
      <c r="E6594" t="s">
        <v>763</v>
      </c>
      <c r="F6594" t="s">
        <v>1562</v>
      </c>
      <c r="G6594" t="s">
        <v>5078</v>
      </c>
      <c r="H6594" t="s">
        <v>14389</v>
      </c>
      <c r="J6594" t="s">
        <v>18902</v>
      </c>
      <c r="K6594">
        <v>10310</v>
      </c>
      <c r="L6594" t="s">
        <v>18958</v>
      </c>
      <c r="M6594" t="s">
        <v>18958</v>
      </c>
      <c r="N6594" t="s">
        <v>18993</v>
      </c>
      <c r="O6594" t="s">
        <v>18997</v>
      </c>
      <c r="P6594" t="s">
        <v>26564</v>
      </c>
      <c r="Q6594" t="s">
        <v>26570</v>
      </c>
      <c r="R6594" t="s">
        <v>26589</v>
      </c>
      <c r="S6594" t="s">
        <v>18959</v>
      </c>
      <c r="U6594" t="s">
        <v>26604</v>
      </c>
      <c r="V6594" t="s">
        <v>26610</v>
      </c>
      <c r="W6594" t="s">
        <v>741</v>
      </c>
      <c r="X6594">
        <v>0</v>
      </c>
      <c r="Y6594" t="s">
        <v>26654</v>
      </c>
      <c r="Z6594" t="s">
        <v>26671</v>
      </c>
      <c r="AA6594" t="s">
        <v>26683</v>
      </c>
      <c r="AB6594" t="s">
        <v>31795</v>
      </c>
      <c r="AE6594">
        <v>1</v>
      </c>
      <c r="AF6594" t="s">
        <v>45547</v>
      </c>
      <c r="AG6594" t="s">
        <v>19330</v>
      </c>
      <c r="AH6594">
        <v>2</v>
      </c>
      <c r="AI6594">
        <v>1</v>
      </c>
      <c r="AJ6594">
        <v>1</v>
      </c>
      <c r="AK6594">
        <v>591.37</v>
      </c>
      <c r="AL6594" t="s">
        <v>45567</v>
      </c>
      <c r="AM6594" t="s">
        <v>45577</v>
      </c>
      <c r="AO6594">
        <v>100000</v>
      </c>
      <c r="AU6594">
        <v>3</v>
      </c>
      <c r="AV6594" t="s">
        <v>761</v>
      </c>
      <c r="AW6594" t="s">
        <v>153</v>
      </c>
    </row>
    <row r="6595" spans="1:50">
      <c r="A6595" s="1">
        <f>HYPERLINK("https://lsnyc.legalserver.org/matter/dynamic-profile/view/1891882","19-1891882")</f>
        <v>0</v>
      </c>
      <c r="B6595" t="s">
        <v>99</v>
      </c>
      <c r="C6595" t="s">
        <v>341</v>
      </c>
      <c r="D6595" t="s">
        <v>574</v>
      </c>
      <c r="E6595" t="s">
        <v>836</v>
      </c>
      <c r="F6595" t="s">
        <v>3737</v>
      </c>
      <c r="G6595" t="s">
        <v>5086</v>
      </c>
      <c r="H6595" t="s">
        <v>14390</v>
      </c>
      <c r="I6595">
        <v>1</v>
      </c>
      <c r="J6595" t="s">
        <v>18894</v>
      </c>
      <c r="K6595">
        <v>11236</v>
      </c>
      <c r="L6595" t="s">
        <v>18958</v>
      </c>
      <c r="M6595" t="s">
        <v>18958</v>
      </c>
      <c r="N6595" t="s">
        <v>23818</v>
      </c>
      <c r="O6595" t="s">
        <v>26524</v>
      </c>
      <c r="P6595" t="s">
        <v>26560</v>
      </c>
      <c r="Q6595" t="s">
        <v>26568</v>
      </c>
      <c r="R6595" t="s">
        <v>26586</v>
      </c>
      <c r="S6595" t="s">
        <v>18959</v>
      </c>
      <c r="U6595" t="s">
        <v>26604</v>
      </c>
      <c r="V6595" t="s">
        <v>26611</v>
      </c>
      <c r="W6595" t="s">
        <v>777</v>
      </c>
      <c r="X6595">
        <v>2018</v>
      </c>
      <c r="Y6595" t="s">
        <v>26652</v>
      </c>
      <c r="Z6595" t="s">
        <v>26664</v>
      </c>
      <c r="AA6595" t="s">
        <v>26678</v>
      </c>
      <c r="AB6595" t="s">
        <v>31796</v>
      </c>
      <c r="AC6595" t="s">
        <v>36204</v>
      </c>
      <c r="AD6595" t="s">
        <v>42067</v>
      </c>
      <c r="AE6595">
        <v>3</v>
      </c>
      <c r="AF6595" t="s">
        <v>45547</v>
      </c>
      <c r="AG6595" t="s">
        <v>45556</v>
      </c>
      <c r="AH6595">
        <v>4</v>
      </c>
      <c r="AI6595">
        <v>3</v>
      </c>
      <c r="AJ6595">
        <v>1</v>
      </c>
      <c r="AK6595">
        <v>58.25</v>
      </c>
      <c r="AN6595" t="s">
        <v>7439</v>
      </c>
      <c r="AO6595">
        <v>15000</v>
      </c>
      <c r="AQ6595" t="s">
        <v>46359</v>
      </c>
      <c r="AR6595" t="s">
        <v>46379</v>
      </c>
      <c r="AS6595" t="s">
        <v>46499</v>
      </c>
      <c r="AT6595" t="s">
        <v>46723</v>
      </c>
      <c r="AU6595">
        <v>17.7</v>
      </c>
      <c r="AV6595" t="s">
        <v>836</v>
      </c>
      <c r="AW6595" t="s">
        <v>46862</v>
      </c>
      <c r="AX6595" t="s">
        <v>46897</v>
      </c>
    </row>
    <row r="6596" spans="1:50">
      <c r="A6596" s="1">
        <f>HYPERLINK("https://lsnyc.legalserver.org/matter/dynamic-profile/view/1892288","19-1892288")</f>
        <v>0</v>
      </c>
      <c r="B6596" t="s">
        <v>232</v>
      </c>
      <c r="C6596" t="s">
        <v>341</v>
      </c>
      <c r="D6596" t="s">
        <v>659</v>
      </c>
      <c r="E6596" t="s">
        <v>777</v>
      </c>
      <c r="F6596" t="s">
        <v>3738</v>
      </c>
      <c r="G6596" t="s">
        <v>8078</v>
      </c>
      <c r="H6596" t="s">
        <v>14391</v>
      </c>
      <c r="I6596" t="s">
        <v>18381</v>
      </c>
      <c r="J6596" t="s">
        <v>18894</v>
      </c>
      <c r="K6596">
        <v>11209</v>
      </c>
      <c r="L6596" t="s">
        <v>18958</v>
      </c>
      <c r="M6596" t="s">
        <v>18958</v>
      </c>
      <c r="N6596" t="s">
        <v>23819</v>
      </c>
      <c r="O6596" t="s">
        <v>26523</v>
      </c>
      <c r="P6596" t="s">
        <v>26563</v>
      </c>
      <c r="Q6596" t="s">
        <v>26570</v>
      </c>
      <c r="R6596" t="s">
        <v>26586</v>
      </c>
      <c r="U6596" t="s">
        <v>26604</v>
      </c>
      <c r="W6596" t="s">
        <v>777</v>
      </c>
      <c r="X6596">
        <v>1127</v>
      </c>
      <c r="Y6596" t="s">
        <v>26652</v>
      </c>
      <c r="Z6596" t="s">
        <v>26664</v>
      </c>
      <c r="AA6596" t="s">
        <v>26683</v>
      </c>
      <c r="AB6596" t="s">
        <v>31797</v>
      </c>
      <c r="AD6596" t="s">
        <v>42068</v>
      </c>
      <c r="AE6596">
        <v>0</v>
      </c>
      <c r="AG6596" t="s">
        <v>19330</v>
      </c>
      <c r="AH6596">
        <v>12</v>
      </c>
      <c r="AI6596">
        <v>2</v>
      </c>
      <c r="AJ6596">
        <v>0</v>
      </c>
      <c r="AK6596">
        <v>118.27</v>
      </c>
      <c r="AN6596" t="s">
        <v>45581</v>
      </c>
      <c r="AO6596">
        <v>20000</v>
      </c>
      <c r="AU6596">
        <v>0.85</v>
      </c>
      <c r="AV6596" t="s">
        <v>741</v>
      </c>
      <c r="AW6596" t="s">
        <v>46853</v>
      </c>
    </row>
    <row r="6597" spans="1:50">
      <c r="A6597" s="1">
        <f>HYPERLINK("https://lsnyc.legalserver.org/matter/dynamic-profile/view/1892732","19-1892732")</f>
        <v>0</v>
      </c>
      <c r="B6597" t="s">
        <v>225</v>
      </c>
      <c r="C6597" t="s">
        <v>341</v>
      </c>
      <c r="D6597" t="s">
        <v>752</v>
      </c>
      <c r="E6597" t="s">
        <v>803</v>
      </c>
      <c r="F6597" t="s">
        <v>2309</v>
      </c>
      <c r="G6597" t="s">
        <v>7208</v>
      </c>
      <c r="H6597" t="s">
        <v>11345</v>
      </c>
      <c r="I6597" t="s">
        <v>17289</v>
      </c>
      <c r="J6597" t="s">
        <v>18893</v>
      </c>
      <c r="K6597">
        <v>10029</v>
      </c>
      <c r="L6597" t="s">
        <v>18958</v>
      </c>
      <c r="M6597" t="s">
        <v>18958</v>
      </c>
      <c r="O6597" t="s">
        <v>26556</v>
      </c>
      <c r="P6597" t="s">
        <v>26564</v>
      </c>
      <c r="Q6597" t="s">
        <v>26570</v>
      </c>
      <c r="R6597" t="s">
        <v>26578</v>
      </c>
      <c r="S6597" t="s">
        <v>18959</v>
      </c>
      <c r="U6597" t="s">
        <v>26604</v>
      </c>
      <c r="V6597" t="s">
        <v>26610</v>
      </c>
      <c r="W6597" t="s">
        <v>777</v>
      </c>
      <c r="X6597">
        <v>1400</v>
      </c>
      <c r="Y6597" t="s">
        <v>26651</v>
      </c>
      <c r="Z6597" t="s">
        <v>26657</v>
      </c>
      <c r="AA6597" t="s">
        <v>26683</v>
      </c>
      <c r="AB6597" t="s">
        <v>31798</v>
      </c>
      <c r="AD6597" t="s">
        <v>42069</v>
      </c>
      <c r="AE6597">
        <v>120</v>
      </c>
      <c r="AF6597" t="s">
        <v>20460</v>
      </c>
      <c r="AG6597" t="s">
        <v>19330</v>
      </c>
      <c r="AH6597">
        <v>3</v>
      </c>
      <c r="AI6597">
        <v>1</v>
      </c>
      <c r="AJ6597">
        <v>0</v>
      </c>
      <c r="AK6597">
        <v>9.609999999999999</v>
      </c>
      <c r="AN6597" t="s">
        <v>7439</v>
      </c>
      <c r="AO6597">
        <v>1200</v>
      </c>
      <c r="AU6597">
        <v>2.5</v>
      </c>
      <c r="AV6597" t="s">
        <v>791</v>
      </c>
      <c r="AW6597" t="s">
        <v>46858</v>
      </c>
    </row>
    <row r="6598" spans="1:50">
      <c r="A6598" s="1">
        <f>HYPERLINK("https://lsnyc.legalserver.org/matter/dynamic-profile/view/1893305","19-1893305")</f>
        <v>0</v>
      </c>
      <c r="B6598" t="s">
        <v>98</v>
      </c>
      <c r="C6598" t="s">
        <v>340</v>
      </c>
      <c r="D6598" t="s">
        <v>657</v>
      </c>
      <c r="F6598" t="s">
        <v>1091</v>
      </c>
      <c r="G6598" t="s">
        <v>940</v>
      </c>
      <c r="H6598" t="s">
        <v>14392</v>
      </c>
      <c r="I6598" t="s">
        <v>18382</v>
      </c>
      <c r="J6598" t="s">
        <v>18892</v>
      </c>
      <c r="K6598">
        <v>10457</v>
      </c>
      <c r="L6598" t="s">
        <v>18958</v>
      </c>
      <c r="M6598" t="s">
        <v>18958</v>
      </c>
      <c r="O6598" t="s">
        <v>18997</v>
      </c>
      <c r="P6598" t="s">
        <v>26564</v>
      </c>
      <c r="R6598" t="s">
        <v>26578</v>
      </c>
      <c r="S6598" t="s">
        <v>18959</v>
      </c>
      <c r="U6598" t="s">
        <v>26604</v>
      </c>
      <c r="W6598" t="s">
        <v>777</v>
      </c>
      <c r="X6598">
        <v>237</v>
      </c>
      <c r="Y6598" t="s">
        <v>26650</v>
      </c>
      <c r="Z6598" t="s">
        <v>26663</v>
      </c>
      <c r="AB6598" t="s">
        <v>29903</v>
      </c>
      <c r="AD6598" t="s">
        <v>42070</v>
      </c>
      <c r="AE6598">
        <v>25</v>
      </c>
      <c r="AF6598" t="s">
        <v>45541</v>
      </c>
      <c r="AG6598" t="s">
        <v>45562</v>
      </c>
      <c r="AH6598">
        <v>2</v>
      </c>
      <c r="AI6598">
        <v>1</v>
      </c>
      <c r="AJ6598">
        <v>0</v>
      </c>
      <c r="AK6598">
        <v>74.27</v>
      </c>
      <c r="AN6598" t="s">
        <v>45581</v>
      </c>
      <c r="AO6598">
        <v>9276</v>
      </c>
      <c r="AU6598">
        <v>1.7</v>
      </c>
      <c r="AV6598" t="s">
        <v>787</v>
      </c>
      <c r="AW6598" t="s">
        <v>46829</v>
      </c>
    </row>
    <row r="6599" spans="1:50">
      <c r="A6599" s="1">
        <f>HYPERLINK("https://lsnyc.legalserver.org/matter/dynamic-profile/view/1893817","19-1893817")</f>
        <v>0</v>
      </c>
      <c r="B6599" t="s">
        <v>253</v>
      </c>
      <c r="C6599" t="s">
        <v>340</v>
      </c>
      <c r="D6599" t="s">
        <v>660</v>
      </c>
      <c r="F6599" t="s">
        <v>3739</v>
      </c>
      <c r="G6599" t="s">
        <v>6362</v>
      </c>
      <c r="H6599" t="s">
        <v>13059</v>
      </c>
      <c r="I6599" t="s">
        <v>17390</v>
      </c>
      <c r="J6599" t="s">
        <v>18892</v>
      </c>
      <c r="K6599">
        <v>10457</v>
      </c>
      <c r="L6599" t="s">
        <v>18958</v>
      </c>
      <c r="M6599" t="s">
        <v>18958</v>
      </c>
      <c r="N6599" t="s">
        <v>23820</v>
      </c>
      <c r="O6599" t="s">
        <v>26523</v>
      </c>
      <c r="P6599" t="s">
        <v>26560</v>
      </c>
      <c r="R6599" t="s">
        <v>26579</v>
      </c>
      <c r="S6599" t="s">
        <v>18959</v>
      </c>
      <c r="U6599" t="s">
        <v>26604</v>
      </c>
      <c r="V6599" t="s">
        <v>26610</v>
      </c>
      <c r="W6599" t="s">
        <v>777</v>
      </c>
      <c r="X6599">
        <v>1650</v>
      </c>
      <c r="Y6599" t="s">
        <v>26650</v>
      </c>
      <c r="Z6599" t="s">
        <v>26668</v>
      </c>
      <c r="AB6599" t="s">
        <v>28234</v>
      </c>
      <c r="AC6599" t="s">
        <v>36205</v>
      </c>
      <c r="AD6599" t="s">
        <v>42071</v>
      </c>
      <c r="AE6599">
        <v>59</v>
      </c>
      <c r="AF6599" t="s">
        <v>45541</v>
      </c>
      <c r="AH6599">
        <v>1</v>
      </c>
      <c r="AI6599">
        <v>1</v>
      </c>
      <c r="AJ6599">
        <v>0</v>
      </c>
      <c r="AK6599">
        <v>0</v>
      </c>
      <c r="AN6599" t="s">
        <v>7439</v>
      </c>
      <c r="AO6599">
        <v>0</v>
      </c>
      <c r="AU6599">
        <v>11.9</v>
      </c>
      <c r="AV6599" t="s">
        <v>832</v>
      </c>
      <c r="AW6599" t="s">
        <v>329</v>
      </c>
    </row>
    <row r="6600" spans="1:50">
      <c r="A6600" s="1">
        <f>HYPERLINK("https://lsnyc.legalserver.org/matter/dynamic-profile/view/1894593","19-1894593")</f>
        <v>0</v>
      </c>
      <c r="B6600" t="s">
        <v>108</v>
      </c>
      <c r="C6600" t="s">
        <v>341</v>
      </c>
      <c r="D6600" t="s">
        <v>777</v>
      </c>
      <c r="E6600" t="s">
        <v>828</v>
      </c>
      <c r="F6600" t="s">
        <v>3740</v>
      </c>
      <c r="G6600" t="s">
        <v>6421</v>
      </c>
      <c r="H6600" t="s">
        <v>14393</v>
      </c>
      <c r="J6600" t="s">
        <v>18915</v>
      </c>
      <c r="K6600">
        <v>11372</v>
      </c>
      <c r="L6600" t="s">
        <v>18959</v>
      </c>
      <c r="M6600" t="s">
        <v>18958</v>
      </c>
      <c r="N6600" t="s">
        <v>23821</v>
      </c>
      <c r="O6600" t="s">
        <v>26523</v>
      </c>
      <c r="P6600" t="s">
        <v>26564</v>
      </c>
      <c r="Q6600" t="s">
        <v>26570</v>
      </c>
      <c r="R6600" t="s">
        <v>26584</v>
      </c>
      <c r="S6600" t="s">
        <v>18959</v>
      </c>
      <c r="U6600" t="s">
        <v>26604</v>
      </c>
      <c r="V6600" t="s">
        <v>26610</v>
      </c>
      <c r="W6600" t="s">
        <v>777</v>
      </c>
      <c r="X6600">
        <v>1825</v>
      </c>
      <c r="Y6600" t="s">
        <v>26653</v>
      </c>
      <c r="Z6600" t="s">
        <v>26664</v>
      </c>
      <c r="AA6600" t="s">
        <v>26683</v>
      </c>
      <c r="AB6600" t="s">
        <v>31799</v>
      </c>
      <c r="AD6600" t="s">
        <v>42072</v>
      </c>
      <c r="AE6600">
        <v>6</v>
      </c>
      <c r="AG6600" t="s">
        <v>19330</v>
      </c>
      <c r="AH6600">
        <v>14</v>
      </c>
      <c r="AI6600">
        <v>3</v>
      </c>
      <c r="AJ6600">
        <v>3</v>
      </c>
      <c r="AK6600">
        <v>97.14</v>
      </c>
      <c r="AN6600" t="s">
        <v>7439</v>
      </c>
      <c r="AO6600">
        <v>33600</v>
      </c>
      <c r="AU6600">
        <v>0.5</v>
      </c>
      <c r="AV6600" t="s">
        <v>781</v>
      </c>
      <c r="AW6600" t="s">
        <v>46884</v>
      </c>
      <c r="AX6600" t="s">
        <v>46897</v>
      </c>
    </row>
    <row r="6601" spans="1:50">
      <c r="A6601" s="1">
        <f>HYPERLINK("https://lsnyc.legalserver.org/matter/dynamic-profile/view/1894466","19-1894466")</f>
        <v>0</v>
      </c>
      <c r="B6601" t="s">
        <v>153</v>
      </c>
      <c r="C6601" t="s">
        <v>341</v>
      </c>
      <c r="D6601" t="s">
        <v>777</v>
      </c>
      <c r="E6601" t="s">
        <v>819</v>
      </c>
      <c r="F6601" t="s">
        <v>3572</v>
      </c>
      <c r="G6601" t="s">
        <v>8079</v>
      </c>
      <c r="H6601" t="s">
        <v>14394</v>
      </c>
      <c r="I6601" t="s">
        <v>18383</v>
      </c>
      <c r="J6601" t="s">
        <v>18902</v>
      </c>
      <c r="K6601">
        <v>10314</v>
      </c>
      <c r="L6601" t="s">
        <v>18958</v>
      </c>
      <c r="M6601" t="s">
        <v>18958</v>
      </c>
      <c r="N6601" t="s">
        <v>23822</v>
      </c>
      <c r="O6601" t="s">
        <v>26524</v>
      </c>
      <c r="P6601" t="s">
        <v>26560</v>
      </c>
      <c r="Q6601" t="s">
        <v>26568</v>
      </c>
      <c r="R6601" t="s">
        <v>26590</v>
      </c>
      <c r="S6601" t="s">
        <v>18959</v>
      </c>
      <c r="U6601" t="s">
        <v>26604</v>
      </c>
      <c r="V6601" t="s">
        <v>26610</v>
      </c>
      <c r="W6601" t="s">
        <v>777</v>
      </c>
      <c r="X6601">
        <v>1150</v>
      </c>
      <c r="Y6601" t="s">
        <v>26654</v>
      </c>
      <c r="Z6601" t="s">
        <v>26661</v>
      </c>
      <c r="AA6601" t="s">
        <v>26679</v>
      </c>
      <c r="AB6601" t="s">
        <v>31800</v>
      </c>
      <c r="AD6601" t="s">
        <v>42073</v>
      </c>
      <c r="AE6601">
        <v>2</v>
      </c>
      <c r="AF6601" t="s">
        <v>45547</v>
      </c>
      <c r="AG6601" t="s">
        <v>19330</v>
      </c>
      <c r="AH6601">
        <v>5</v>
      </c>
      <c r="AI6601">
        <v>2</v>
      </c>
      <c r="AJ6601">
        <v>1</v>
      </c>
      <c r="AK6601">
        <v>42.19</v>
      </c>
      <c r="AN6601" t="s">
        <v>7439</v>
      </c>
      <c r="AO6601">
        <v>9000</v>
      </c>
      <c r="AU6601">
        <v>5</v>
      </c>
      <c r="AV6601" t="s">
        <v>765</v>
      </c>
      <c r="AW6601" t="s">
        <v>46883</v>
      </c>
    </row>
    <row r="6602" spans="1:50">
      <c r="A6602" s="1">
        <f>HYPERLINK("https://lsnyc.legalserver.org/matter/dynamic-profile/view/1894489","19-1894489")</f>
        <v>0</v>
      </c>
      <c r="B6602" t="s">
        <v>258</v>
      </c>
      <c r="C6602" t="s">
        <v>341</v>
      </c>
      <c r="D6602" t="s">
        <v>777</v>
      </c>
      <c r="E6602" t="s">
        <v>805</v>
      </c>
      <c r="F6602" t="s">
        <v>928</v>
      </c>
      <c r="G6602" t="s">
        <v>8080</v>
      </c>
      <c r="H6602" t="s">
        <v>14395</v>
      </c>
      <c r="I6602" t="s">
        <v>17562</v>
      </c>
      <c r="J6602" t="s">
        <v>18911</v>
      </c>
      <c r="K6602">
        <v>11375</v>
      </c>
      <c r="L6602" t="s">
        <v>18958</v>
      </c>
      <c r="M6602" t="s">
        <v>18958</v>
      </c>
      <c r="N6602" t="s">
        <v>23823</v>
      </c>
      <c r="O6602" t="s">
        <v>26523</v>
      </c>
      <c r="P6602" t="s">
        <v>26564</v>
      </c>
      <c r="Q6602" t="s">
        <v>26570</v>
      </c>
      <c r="R6602" t="s">
        <v>26584</v>
      </c>
      <c r="S6602" t="s">
        <v>18959</v>
      </c>
      <c r="U6602" t="s">
        <v>26604</v>
      </c>
      <c r="V6602" t="s">
        <v>26610</v>
      </c>
      <c r="W6602" t="s">
        <v>777</v>
      </c>
      <c r="X6602">
        <v>904.42</v>
      </c>
      <c r="Y6602" t="s">
        <v>26653</v>
      </c>
      <c r="Z6602" t="s">
        <v>26664</v>
      </c>
      <c r="AA6602" t="s">
        <v>26683</v>
      </c>
      <c r="AB6602" t="s">
        <v>31801</v>
      </c>
      <c r="AC6602" t="s">
        <v>34738</v>
      </c>
      <c r="AD6602" t="s">
        <v>42074</v>
      </c>
      <c r="AE6602">
        <v>55</v>
      </c>
      <c r="AF6602" t="s">
        <v>45541</v>
      </c>
      <c r="AG6602" t="s">
        <v>19330</v>
      </c>
      <c r="AH6602">
        <v>36</v>
      </c>
      <c r="AI6602">
        <v>1</v>
      </c>
      <c r="AJ6602">
        <v>0</v>
      </c>
      <c r="AK6602">
        <v>0</v>
      </c>
      <c r="AN6602" t="s">
        <v>7439</v>
      </c>
      <c r="AO6602">
        <v>0</v>
      </c>
      <c r="AU6602">
        <v>1.8</v>
      </c>
      <c r="AV6602" t="s">
        <v>803</v>
      </c>
      <c r="AW6602" t="s">
        <v>208</v>
      </c>
      <c r="AX6602" t="s">
        <v>46897</v>
      </c>
    </row>
    <row r="6603" spans="1:50">
      <c r="A6603" s="1">
        <f>HYPERLINK("https://lsnyc.legalserver.org/matter/dynamic-profile/view/1894469","19-1894469")</f>
        <v>0</v>
      </c>
      <c r="B6603" t="s">
        <v>258</v>
      </c>
      <c r="C6603" t="s">
        <v>341</v>
      </c>
      <c r="D6603" t="s">
        <v>777</v>
      </c>
      <c r="E6603" t="s">
        <v>805</v>
      </c>
      <c r="F6603" t="s">
        <v>1457</v>
      </c>
      <c r="G6603" t="s">
        <v>5199</v>
      </c>
      <c r="H6603" t="s">
        <v>14396</v>
      </c>
      <c r="I6603" t="s">
        <v>18029</v>
      </c>
      <c r="J6603" t="s">
        <v>18910</v>
      </c>
      <c r="K6603">
        <v>11420</v>
      </c>
      <c r="L6603" t="s">
        <v>18958</v>
      </c>
      <c r="M6603" t="s">
        <v>18958</v>
      </c>
      <c r="N6603" t="s">
        <v>23824</v>
      </c>
      <c r="O6603" t="s">
        <v>26524</v>
      </c>
      <c r="P6603" t="s">
        <v>26564</v>
      </c>
      <c r="Q6603" t="s">
        <v>26570</v>
      </c>
      <c r="R6603" t="s">
        <v>26584</v>
      </c>
      <c r="S6603" t="s">
        <v>18959</v>
      </c>
      <c r="U6603" t="s">
        <v>26604</v>
      </c>
      <c r="V6603" t="s">
        <v>26610</v>
      </c>
      <c r="W6603" t="s">
        <v>777</v>
      </c>
      <c r="X6603">
        <v>1956</v>
      </c>
      <c r="Y6603" t="s">
        <v>26653</v>
      </c>
      <c r="Z6603" t="s">
        <v>26664</v>
      </c>
      <c r="AA6603" t="s">
        <v>26683</v>
      </c>
      <c r="AB6603" t="s">
        <v>31802</v>
      </c>
      <c r="AC6603" t="s">
        <v>36206</v>
      </c>
      <c r="AD6603" t="s">
        <v>42075</v>
      </c>
      <c r="AE6603">
        <v>2</v>
      </c>
      <c r="AF6603" t="s">
        <v>45547</v>
      </c>
      <c r="AG6603" t="s">
        <v>45556</v>
      </c>
      <c r="AH6603">
        <v>10</v>
      </c>
      <c r="AI6603">
        <v>1</v>
      </c>
      <c r="AJ6603">
        <v>1</v>
      </c>
      <c r="AK6603">
        <v>29.52</v>
      </c>
      <c r="AN6603" t="s">
        <v>7439</v>
      </c>
      <c r="AO6603">
        <v>4992</v>
      </c>
      <c r="AU6603">
        <v>1</v>
      </c>
      <c r="AV6603" t="s">
        <v>803</v>
      </c>
      <c r="AW6603" t="s">
        <v>258</v>
      </c>
      <c r="AX6603" t="s">
        <v>46897</v>
      </c>
    </row>
    <row r="6604" spans="1:50">
      <c r="A6604" s="1">
        <f>HYPERLINK("https://lsnyc.legalserver.org/matter/dynamic-profile/view/1894508","19-1894508")</f>
        <v>0</v>
      </c>
      <c r="B6604" t="s">
        <v>258</v>
      </c>
      <c r="C6604" t="s">
        <v>341</v>
      </c>
      <c r="D6604" t="s">
        <v>777</v>
      </c>
      <c r="E6604" t="s">
        <v>822</v>
      </c>
      <c r="F6604" t="s">
        <v>1076</v>
      </c>
      <c r="G6604" t="s">
        <v>5105</v>
      </c>
      <c r="H6604" t="s">
        <v>14397</v>
      </c>
      <c r="I6604" t="s">
        <v>17375</v>
      </c>
      <c r="J6604" t="s">
        <v>18948</v>
      </c>
      <c r="K6604">
        <v>11362</v>
      </c>
      <c r="L6604" t="s">
        <v>18958</v>
      </c>
      <c r="M6604" t="s">
        <v>18958</v>
      </c>
      <c r="N6604" t="s">
        <v>23825</v>
      </c>
      <c r="O6604" t="s">
        <v>26524</v>
      </c>
      <c r="P6604" t="s">
        <v>26564</v>
      </c>
      <c r="Q6604" t="s">
        <v>26570</v>
      </c>
      <c r="R6604" t="s">
        <v>26584</v>
      </c>
      <c r="S6604" t="s">
        <v>18959</v>
      </c>
      <c r="U6604" t="s">
        <v>26604</v>
      </c>
      <c r="V6604" t="s">
        <v>26610</v>
      </c>
      <c r="W6604" t="s">
        <v>777</v>
      </c>
      <c r="X6604">
        <v>1225</v>
      </c>
      <c r="Y6604" t="s">
        <v>26653</v>
      </c>
      <c r="Z6604" t="s">
        <v>26664</v>
      </c>
      <c r="AA6604" t="s">
        <v>26683</v>
      </c>
      <c r="AB6604" t="s">
        <v>31803</v>
      </c>
      <c r="AC6604" t="s">
        <v>34738</v>
      </c>
      <c r="AD6604" t="s">
        <v>42076</v>
      </c>
      <c r="AE6604">
        <v>2</v>
      </c>
      <c r="AF6604" t="s">
        <v>45547</v>
      </c>
      <c r="AG6604" t="s">
        <v>19330</v>
      </c>
      <c r="AH6604">
        <v>25</v>
      </c>
      <c r="AI6604">
        <v>1</v>
      </c>
      <c r="AJ6604">
        <v>0</v>
      </c>
      <c r="AK6604">
        <v>74.08</v>
      </c>
      <c r="AN6604" t="s">
        <v>7439</v>
      </c>
      <c r="AO6604">
        <v>9252</v>
      </c>
      <c r="AU6604">
        <v>2</v>
      </c>
      <c r="AV6604" t="s">
        <v>823</v>
      </c>
      <c r="AW6604" t="s">
        <v>208</v>
      </c>
      <c r="AX6604" t="s">
        <v>46897</v>
      </c>
    </row>
    <row r="6605" spans="1:50">
      <c r="A6605" s="1">
        <f>HYPERLINK("https://lsnyc.legalserver.org/matter/dynamic-profile/view/1894538","19-1894538")</f>
        <v>0</v>
      </c>
      <c r="B6605" t="s">
        <v>225</v>
      </c>
      <c r="C6605" t="s">
        <v>341</v>
      </c>
      <c r="D6605" t="s">
        <v>777</v>
      </c>
      <c r="E6605" t="s">
        <v>803</v>
      </c>
      <c r="F6605" t="s">
        <v>1008</v>
      </c>
      <c r="G6605" t="s">
        <v>5078</v>
      </c>
      <c r="H6605" t="s">
        <v>10442</v>
      </c>
      <c r="I6605">
        <v>65</v>
      </c>
      <c r="J6605" t="s">
        <v>18893</v>
      </c>
      <c r="K6605">
        <v>10029</v>
      </c>
      <c r="L6605" t="s">
        <v>18958</v>
      </c>
      <c r="M6605" t="s">
        <v>18958</v>
      </c>
      <c r="N6605" t="s">
        <v>23826</v>
      </c>
      <c r="O6605" t="s">
        <v>26524</v>
      </c>
      <c r="P6605" t="s">
        <v>26565</v>
      </c>
      <c r="Q6605" t="s">
        <v>26570</v>
      </c>
      <c r="R6605" t="s">
        <v>26578</v>
      </c>
      <c r="S6605" t="s">
        <v>18959</v>
      </c>
      <c r="U6605" t="s">
        <v>26604</v>
      </c>
      <c r="V6605" t="s">
        <v>26610</v>
      </c>
      <c r="W6605" t="s">
        <v>777</v>
      </c>
      <c r="X6605">
        <v>1029.77</v>
      </c>
      <c r="Y6605" t="s">
        <v>26651</v>
      </c>
      <c r="Z6605" t="s">
        <v>26659</v>
      </c>
      <c r="AA6605" t="s">
        <v>26683</v>
      </c>
      <c r="AB6605" t="s">
        <v>27555</v>
      </c>
      <c r="AD6605" t="s">
        <v>42077</v>
      </c>
      <c r="AE6605">
        <v>30</v>
      </c>
      <c r="AF6605" t="s">
        <v>45541</v>
      </c>
      <c r="AG6605" t="s">
        <v>19330</v>
      </c>
      <c r="AH6605">
        <v>22</v>
      </c>
      <c r="AI6605">
        <v>2</v>
      </c>
      <c r="AJ6605">
        <v>0</v>
      </c>
      <c r="AK6605">
        <v>56.35</v>
      </c>
      <c r="AN6605" t="s">
        <v>7439</v>
      </c>
      <c r="AO6605">
        <v>9528</v>
      </c>
      <c r="AR6605" t="s">
        <v>26530</v>
      </c>
      <c r="AU6605">
        <v>4.35</v>
      </c>
      <c r="AV6605" t="s">
        <v>763</v>
      </c>
      <c r="AW6605" t="s">
        <v>46835</v>
      </c>
    </row>
    <row r="6606" spans="1:50">
      <c r="A6606" s="1">
        <f>HYPERLINK("https://lsnyc.legalserver.org/matter/dynamic-profile/view/1894479","19-1894479")</f>
        <v>0</v>
      </c>
      <c r="B6606" t="s">
        <v>110</v>
      </c>
      <c r="C6606" t="s">
        <v>341</v>
      </c>
      <c r="D6606" t="s">
        <v>777</v>
      </c>
      <c r="E6606" t="s">
        <v>828</v>
      </c>
      <c r="F6606" t="s">
        <v>3741</v>
      </c>
      <c r="G6606" t="s">
        <v>8081</v>
      </c>
      <c r="H6606" t="s">
        <v>14398</v>
      </c>
      <c r="I6606">
        <v>108</v>
      </c>
      <c r="J6606" t="s">
        <v>18900</v>
      </c>
      <c r="K6606">
        <v>11355</v>
      </c>
      <c r="L6606" t="s">
        <v>18958</v>
      </c>
      <c r="M6606" t="s">
        <v>18958</v>
      </c>
      <c r="N6606" t="s">
        <v>23827</v>
      </c>
      <c r="O6606" t="s">
        <v>26523</v>
      </c>
      <c r="P6606" t="s">
        <v>26564</v>
      </c>
      <c r="Q6606" t="s">
        <v>26570</v>
      </c>
      <c r="R6606" t="s">
        <v>26584</v>
      </c>
      <c r="S6606" t="s">
        <v>18959</v>
      </c>
      <c r="U6606" t="s">
        <v>26604</v>
      </c>
      <c r="V6606" t="s">
        <v>26612</v>
      </c>
      <c r="W6606" t="s">
        <v>777</v>
      </c>
      <c r="X6606">
        <v>700</v>
      </c>
      <c r="Y6606" t="s">
        <v>26653</v>
      </c>
      <c r="Z6606" t="s">
        <v>26664</v>
      </c>
      <c r="AA6606" t="s">
        <v>26683</v>
      </c>
      <c r="AB6606" t="s">
        <v>31618</v>
      </c>
      <c r="AD6606" t="s">
        <v>42078</v>
      </c>
      <c r="AE6606">
        <v>25</v>
      </c>
      <c r="AF6606" t="s">
        <v>20460</v>
      </c>
      <c r="AG6606" t="s">
        <v>19330</v>
      </c>
      <c r="AH6606">
        <v>7</v>
      </c>
      <c r="AI6606">
        <v>2</v>
      </c>
      <c r="AJ6606">
        <v>0</v>
      </c>
      <c r="AK6606">
        <v>47.31</v>
      </c>
      <c r="AN6606" t="s">
        <v>45593</v>
      </c>
      <c r="AO6606">
        <v>8000</v>
      </c>
      <c r="AU6606">
        <v>1.8</v>
      </c>
      <c r="AV6606" t="s">
        <v>787</v>
      </c>
      <c r="AW6606" t="s">
        <v>208</v>
      </c>
      <c r="AX6606" t="s">
        <v>46897</v>
      </c>
    </row>
    <row r="6607" spans="1:50">
      <c r="A6607" s="1">
        <f>HYPERLINK("https://lsnyc.legalserver.org/matter/dynamic-profile/view/1894495","19-1894495")</f>
        <v>0</v>
      </c>
      <c r="B6607" t="s">
        <v>110</v>
      </c>
      <c r="C6607" t="s">
        <v>341</v>
      </c>
      <c r="D6607" t="s">
        <v>777</v>
      </c>
      <c r="E6607" t="s">
        <v>828</v>
      </c>
      <c r="F6607" t="s">
        <v>1457</v>
      </c>
      <c r="G6607" t="s">
        <v>5100</v>
      </c>
      <c r="H6607" t="s">
        <v>14399</v>
      </c>
      <c r="I6607" t="s">
        <v>17474</v>
      </c>
      <c r="J6607" t="s">
        <v>18928</v>
      </c>
      <c r="K6607">
        <v>11365</v>
      </c>
      <c r="L6607" t="s">
        <v>18958</v>
      </c>
      <c r="M6607" t="s">
        <v>18958</v>
      </c>
      <c r="N6607" t="s">
        <v>23828</v>
      </c>
      <c r="O6607" t="s">
        <v>26523</v>
      </c>
      <c r="P6607" t="s">
        <v>26564</v>
      </c>
      <c r="Q6607" t="s">
        <v>26570</v>
      </c>
      <c r="R6607" t="s">
        <v>26584</v>
      </c>
      <c r="S6607" t="s">
        <v>18959</v>
      </c>
      <c r="U6607" t="s">
        <v>26604</v>
      </c>
      <c r="V6607" t="s">
        <v>26612</v>
      </c>
      <c r="W6607" t="s">
        <v>777</v>
      </c>
      <c r="X6607">
        <v>1080</v>
      </c>
      <c r="Y6607" t="s">
        <v>26653</v>
      </c>
      <c r="Z6607" t="s">
        <v>26664</v>
      </c>
      <c r="AA6607" t="s">
        <v>26683</v>
      </c>
      <c r="AB6607" t="s">
        <v>30590</v>
      </c>
      <c r="AD6607" t="s">
        <v>42079</v>
      </c>
      <c r="AE6607">
        <v>0</v>
      </c>
      <c r="AF6607" t="s">
        <v>20460</v>
      </c>
      <c r="AG6607" t="s">
        <v>19330</v>
      </c>
      <c r="AH6607">
        <v>20</v>
      </c>
      <c r="AI6607">
        <v>2</v>
      </c>
      <c r="AJ6607">
        <v>2</v>
      </c>
      <c r="AK6607">
        <v>162.33</v>
      </c>
      <c r="AN6607" t="s">
        <v>7439</v>
      </c>
      <c r="AO6607">
        <v>41800</v>
      </c>
      <c r="AU6607">
        <v>1.3</v>
      </c>
      <c r="AV6607" t="s">
        <v>777</v>
      </c>
      <c r="AW6607" t="s">
        <v>208</v>
      </c>
      <c r="AX6607" t="s">
        <v>46897</v>
      </c>
    </row>
    <row r="6608" spans="1:50">
      <c r="A6608" s="1">
        <f>HYPERLINK("https://lsnyc.legalserver.org/matter/dynamic-profile/view/1894537","19-1894537")</f>
        <v>0</v>
      </c>
      <c r="B6608" t="s">
        <v>254</v>
      </c>
      <c r="C6608" t="s">
        <v>341</v>
      </c>
      <c r="D6608" t="s">
        <v>777</v>
      </c>
      <c r="E6608" t="s">
        <v>802</v>
      </c>
      <c r="F6608" t="s">
        <v>3742</v>
      </c>
      <c r="G6608" t="s">
        <v>5208</v>
      </c>
      <c r="H6608" t="s">
        <v>14400</v>
      </c>
      <c r="I6608" t="s">
        <v>17306</v>
      </c>
      <c r="J6608" t="s">
        <v>18892</v>
      </c>
      <c r="K6608">
        <v>10463</v>
      </c>
      <c r="L6608" t="s">
        <v>18958</v>
      </c>
      <c r="M6608" t="s">
        <v>18958</v>
      </c>
      <c r="N6608" t="s">
        <v>23829</v>
      </c>
      <c r="O6608" t="s">
        <v>26523</v>
      </c>
      <c r="P6608" t="s">
        <v>26564</v>
      </c>
      <c r="Q6608" t="s">
        <v>26570</v>
      </c>
      <c r="R6608" t="s">
        <v>26577</v>
      </c>
      <c r="S6608" t="s">
        <v>18959</v>
      </c>
      <c r="U6608" t="s">
        <v>26604</v>
      </c>
      <c r="V6608" t="s">
        <v>26612</v>
      </c>
      <c r="W6608" t="s">
        <v>777</v>
      </c>
      <c r="X6608">
        <v>589.99</v>
      </c>
      <c r="Y6608" t="s">
        <v>26650</v>
      </c>
      <c r="Z6608" t="s">
        <v>26668</v>
      </c>
      <c r="AA6608" t="s">
        <v>26683</v>
      </c>
      <c r="AB6608" t="s">
        <v>28649</v>
      </c>
      <c r="AD6608" t="s">
        <v>42080</v>
      </c>
      <c r="AE6608">
        <v>224</v>
      </c>
      <c r="AF6608" t="s">
        <v>45553</v>
      </c>
      <c r="AH6608">
        <v>28</v>
      </c>
      <c r="AI6608">
        <v>1</v>
      </c>
      <c r="AJ6608">
        <v>0</v>
      </c>
      <c r="AK6608">
        <v>76.86</v>
      </c>
      <c r="AN6608" t="s">
        <v>7439</v>
      </c>
      <c r="AO6608">
        <v>9600</v>
      </c>
      <c r="AU6608">
        <v>1</v>
      </c>
      <c r="AV6608" t="s">
        <v>777</v>
      </c>
      <c r="AW6608" t="s">
        <v>46831</v>
      </c>
    </row>
    <row r="6609" spans="1:50">
      <c r="A6609" s="1">
        <f>HYPERLINK("https://lsnyc.legalserver.org/matter/dynamic-profile/view/1894556","19-1894556")</f>
        <v>0</v>
      </c>
      <c r="B6609" t="s">
        <v>188</v>
      </c>
      <c r="C6609" t="s">
        <v>341</v>
      </c>
      <c r="D6609" t="s">
        <v>777</v>
      </c>
      <c r="E6609" t="s">
        <v>795</v>
      </c>
      <c r="F6609" t="s">
        <v>3743</v>
      </c>
      <c r="G6609" t="s">
        <v>5082</v>
      </c>
      <c r="H6609" t="s">
        <v>11750</v>
      </c>
      <c r="I6609" t="s">
        <v>17358</v>
      </c>
      <c r="J6609" t="s">
        <v>18892</v>
      </c>
      <c r="K6609">
        <v>10453</v>
      </c>
      <c r="L6609" t="s">
        <v>18958</v>
      </c>
      <c r="M6609" t="s">
        <v>18958</v>
      </c>
      <c r="N6609" t="s">
        <v>23830</v>
      </c>
      <c r="O6609" t="s">
        <v>26523</v>
      </c>
      <c r="P6609" t="s">
        <v>26564</v>
      </c>
      <c r="Q6609" t="s">
        <v>26570</v>
      </c>
      <c r="R6609" t="s">
        <v>26578</v>
      </c>
      <c r="S6609" t="s">
        <v>18959</v>
      </c>
      <c r="U6609" t="s">
        <v>26604</v>
      </c>
      <c r="V6609" t="s">
        <v>26610</v>
      </c>
      <c r="W6609" t="s">
        <v>777</v>
      </c>
      <c r="X6609">
        <v>1583</v>
      </c>
      <c r="Y6609" t="s">
        <v>26650</v>
      </c>
      <c r="AA6609" t="s">
        <v>26683</v>
      </c>
      <c r="AB6609" t="s">
        <v>31804</v>
      </c>
      <c r="AD6609" t="s">
        <v>42081</v>
      </c>
      <c r="AE6609">
        <v>0</v>
      </c>
      <c r="AF6609" t="s">
        <v>20460</v>
      </c>
      <c r="AG6609" t="s">
        <v>45557</v>
      </c>
      <c r="AH6609">
        <v>5</v>
      </c>
      <c r="AI6609">
        <v>1</v>
      </c>
      <c r="AJ6609">
        <v>2</v>
      </c>
      <c r="AK6609">
        <v>78.73999999999999</v>
      </c>
      <c r="AN6609" t="s">
        <v>45581</v>
      </c>
      <c r="AO6609">
        <v>16796</v>
      </c>
      <c r="AU6609">
        <v>0.1</v>
      </c>
      <c r="AV6609" t="s">
        <v>795</v>
      </c>
      <c r="AW6609" t="s">
        <v>188</v>
      </c>
    </row>
    <row r="6610" spans="1:50">
      <c r="A6610" s="1">
        <f>HYPERLINK("https://lsnyc.legalserver.org/matter/dynamic-profile/view/1894594","19-1894594")</f>
        <v>0</v>
      </c>
      <c r="B6610" t="s">
        <v>144</v>
      </c>
      <c r="C6610" t="s">
        <v>340</v>
      </c>
      <c r="D6610" t="s">
        <v>777</v>
      </c>
      <c r="F6610" t="s">
        <v>3744</v>
      </c>
      <c r="G6610" t="s">
        <v>7303</v>
      </c>
      <c r="H6610" t="s">
        <v>14401</v>
      </c>
      <c r="I6610" t="s">
        <v>17446</v>
      </c>
      <c r="J6610" t="s">
        <v>18893</v>
      </c>
      <c r="K6610">
        <v>10002</v>
      </c>
      <c r="L6610" t="s">
        <v>18958</v>
      </c>
      <c r="M6610" t="s">
        <v>18958</v>
      </c>
      <c r="N6610" t="s">
        <v>23831</v>
      </c>
      <c r="O6610" t="s">
        <v>26549</v>
      </c>
      <c r="P6610" t="s">
        <v>26566</v>
      </c>
      <c r="R6610" t="s">
        <v>26582</v>
      </c>
      <c r="S6610" t="s">
        <v>18959</v>
      </c>
      <c r="U6610" t="s">
        <v>26604</v>
      </c>
      <c r="W6610" t="s">
        <v>777</v>
      </c>
      <c r="X6610">
        <v>1140</v>
      </c>
      <c r="Y6610" t="s">
        <v>26651</v>
      </c>
      <c r="Z6610" t="s">
        <v>26659</v>
      </c>
      <c r="AB6610" t="s">
        <v>28453</v>
      </c>
      <c r="AD6610" t="s">
        <v>42082</v>
      </c>
      <c r="AE6610">
        <v>4</v>
      </c>
      <c r="AF6610" t="s">
        <v>45541</v>
      </c>
      <c r="AG6610" t="s">
        <v>19330</v>
      </c>
      <c r="AH6610">
        <v>9</v>
      </c>
      <c r="AI6610">
        <v>2</v>
      </c>
      <c r="AJ6610">
        <v>0</v>
      </c>
      <c r="AK6610">
        <v>100.53</v>
      </c>
      <c r="AN6610" t="s">
        <v>45593</v>
      </c>
      <c r="AO6610">
        <v>17000</v>
      </c>
      <c r="AU6610">
        <v>4.3</v>
      </c>
      <c r="AV6610" t="s">
        <v>831</v>
      </c>
      <c r="AW6610" t="s">
        <v>46875</v>
      </c>
    </row>
    <row r="6611" spans="1:50">
      <c r="A6611" s="1">
        <f>HYPERLINK("https://lsnyc.legalserver.org/matter/dynamic-profile/view/1894528","19-1894528")</f>
        <v>0</v>
      </c>
      <c r="B6611" t="s">
        <v>164</v>
      </c>
      <c r="C6611" t="s">
        <v>340</v>
      </c>
      <c r="D6611" t="s">
        <v>777</v>
      </c>
      <c r="F6611" t="s">
        <v>3500</v>
      </c>
      <c r="G6611" t="s">
        <v>8082</v>
      </c>
      <c r="H6611" t="s">
        <v>13829</v>
      </c>
      <c r="I6611" t="s">
        <v>18284</v>
      </c>
      <c r="J6611" t="s">
        <v>18906</v>
      </c>
      <c r="K6611">
        <v>11373</v>
      </c>
      <c r="L6611" t="s">
        <v>18958</v>
      </c>
      <c r="M6611" t="s">
        <v>18958</v>
      </c>
      <c r="N6611" t="s">
        <v>23832</v>
      </c>
      <c r="O6611" t="s">
        <v>26523</v>
      </c>
      <c r="P6611" t="s">
        <v>26560</v>
      </c>
      <c r="R6611" t="s">
        <v>26585</v>
      </c>
      <c r="S6611" t="s">
        <v>18959</v>
      </c>
      <c r="U6611" t="s">
        <v>26604</v>
      </c>
      <c r="V6611" t="s">
        <v>26611</v>
      </c>
      <c r="W6611" t="s">
        <v>777</v>
      </c>
      <c r="X6611">
        <v>1034.72</v>
      </c>
      <c r="Y6611" t="s">
        <v>26653</v>
      </c>
      <c r="Z6611" t="s">
        <v>26664</v>
      </c>
      <c r="AB6611" t="s">
        <v>29547</v>
      </c>
      <c r="AC6611" t="s">
        <v>36049</v>
      </c>
      <c r="AD6611" t="s">
        <v>41462</v>
      </c>
      <c r="AE6611">
        <v>78</v>
      </c>
      <c r="AF6611" t="s">
        <v>45541</v>
      </c>
      <c r="AG6611" t="s">
        <v>19330</v>
      </c>
      <c r="AH6611">
        <v>46</v>
      </c>
      <c r="AI6611">
        <v>1</v>
      </c>
      <c r="AJ6611">
        <v>0</v>
      </c>
      <c r="AK6611">
        <v>0</v>
      </c>
      <c r="AN6611" t="s">
        <v>7439</v>
      </c>
      <c r="AO6611">
        <v>0</v>
      </c>
      <c r="AU6611">
        <v>1.5</v>
      </c>
      <c r="AV6611" t="s">
        <v>771</v>
      </c>
      <c r="AW6611" t="s">
        <v>258</v>
      </c>
    </row>
    <row r="6612" spans="1:50">
      <c r="A6612" s="1">
        <f>HYPERLINK("https://lsnyc.legalserver.org/matter/dynamic-profile/view/1894599","19-1894599")</f>
        <v>0</v>
      </c>
      <c r="B6612" t="s">
        <v>98</v>
      </c>
      <c r="C6612" t="s">
        <v>340</v>
      </c>
      <c r="D6612" t="s">
        <v>777</v>
      </c>
      <c r="F6612" t="s">
        <v>1206</v>
      </c>
      <c r="G6612" t="s">
        <v>5515</v>
      </c>
      <c r="H6612" t="s">
        <v>14402</v>
      </c>
      <c r="I6612" t="s">
        <v>17552</v>
      </c>
      <c r="J6612" t="s">
        <v>18892</v>
      </c>
      <c r="K6612">
        <v>10467</v>
      </c>
      <c r="L6612" t="s">
        <v>18958</v>
      </c>
      <c r="M6612" t="s">
        <v>18958</v>
      </c>
      <c r="O6612" t="s">
        <v>18997</v>
      </c>
      <c r="P6612" t="s">
        <v>26564</v>
      </c>
      <c r="R6612" t="s">
        <v>26578</v>
      </c>
      <c r="S6612" t="s">
        <v>18959</v>
      </c>
      <c r="U6612" t="s">
        <v>26604</v>
      </c>
      <c r="W6612" t="s">
        <v>777</v>
      </c>
      <c r="X6612">
        <v>0</v>
      </c>
      <c r="Y6612" t="s">
        <v>26650</v>
      </c>
      <c r="Z6612" t="s">
        <v>26663</v>
      </c>
      <c r="AB6612" t="s">
        <v>27699</v>
      </c>
      <c r="AD6612" t="s">
        <v>42083</v>
      </c>
      <c r="AE6612">
        <v>49</v>
      </c>
      <c r="AF6612" t="s">
        <v>45541</v>
      </c>
      <c r="AG6612" t="s">
        <v>19330</v>
      </c>
      <c r="AH6612">
        <v>0</v>
      </c>
      <c r="AI6612">
        <v>1</v>
      </c>
      <c r="AJ6612">
        <v>0</v>
      </c>
      <c r="AK6612">
        <v>0</v>
      </c>
      <c r="AN6612" t="s">
        <v>45581</v>
      </c>
      <c r="AO6612">
        <v>0</v>
      </c>
      <c r="AU6612">
        <v>1.5</v>
      </c>
      <c r="AV6612" t="s">
        <v>787</v>
      </c>
      <c r="AW6612" t="s">
        <v>98</v>
      </c>
    </row>
    <row r="6613" spans="1:50">
      <c r="A6613" s="1">
        <f>HYPERLINK("https://lsnyc.legalserver.org/matter/dynamic-profile/view/1894505","19-1894505")</f>
        <v>0</v>
      </c>
      <c r="B6613" t="s">
        <v>98</v>
      </c>
      <c r="C6613" t="s">
        <v>340</v>
      </c>
      <c r="D6613" t="s">
        <v>777</v>
      </c>
      <c r="F6613" t="s">
        <v>3287</v>
      </c>
      <c r="G6613" t="s">
        <v>5199</v>
      </c>
      <c r="H6613" t="s">
        <v>11426</v>
      </c>
      <c r="I6613" t="s">
        <v>17436</v>
      </c>
      <c r="J6613" t="s">
        <v>18892</v>
      </c>
      <c r="K6613">
        <v>10452</v>
      </c>
      <c r="L6613" t="s">
        <v>18958</v>
      </c>
      <c r="M6613" t="s">
        <v>18958</v>
      </c>
      <c r="O6613" t="s">
        <v>18997</v>
      </c>
      <c r="P6613" t="s">
        <v>26564</v>
      </c>
      <c r="R6613" t="s">
        <v>26578</v>
      </c>
      <c r="S6613" t="s">
        <v>18959</v>
      </c>
      <c r="U6613" t="s">
        <v>26604</v>
      </c>
      <c r="W6613" t="s">
        <v>777</v>
      </c>
      <c r="X6613">
        <v>1384.46</v>
      </c>
      <c r="Y6613" t="s">
        <v>26650</v>
      </c>
      <c r="Z6613" t="s">
        <v>26663</v>
      </c>
      <c r="AB6613" t="s">
        <v>31805</v>
      </c>
      <c r="AE6613">
        <v>58</v>
      </c>
      <c r="AF6613" t="s">
        <v>45541</v>
      </c>
      <c r="AG6613" t="s">
        <v>19330</v>
      </c>
      <c r="AH6613">
        <v>12</v>
      </c>
      <c r="AI6613">
        <v>3</v>
      </c>
      <c r="AJ6613">
        <v>1</v>
      </c>
      <c r="AK6613">
        <v>60.58</v>
      </c>
      <c r="AN6613" t="s">
        <v>45581</v>
      </c>
      <c r="AO6613">
        <v>15600</v>
      </c>
      <c r="AU6613">
        <v>1.5</v>
      </c>
      <c r="AV6613" t="s">
        <v>787</v>
      </c>
      <c r="AW6613" t="s">
        <v>98</v>
      </c>
    </row>
    <row r="6614" spans="1:50">
      <c r="A6614" s="1">
        <f>HYPERLINK("https://lsnyc.legalserver.org/matter/dynamic-profile/view/1894609","19-1894609")</f>
        <v>0</v>
      </c>
      <c r="B6614" t="s">
        <v>98</v>
      </c>
      <c r="C6614" t="s">
        <v>340</v>
      </c>
      <c r="D6614" t="s">
        <v>777</v>
      </c>
      <c r="F6614" t="s">
        <v>2124</v>
      </c>
      <c r="G6614" t="s">
        <v>8083</v>
      </c>
      <c r="H6614" t="s">
        <v>13887</v>
      </c>
      <c r="I6614" t="s">
        <v>17325</v>
      </c>
      <c r="J6614" t="s">
        <v>18892</v>
      </c>
      <c r="K6614">
        <v>10457</v>
      </c>
      <c r="L6614" t="s">
        <v>18958</v>
      </c>
      <c r="M6614" t="s">
        <v>18958</v>
      </c>
      <c r="O6614" t="s">
        <v>18997</v>
      </c>
      <c r="P6614" t="s">
        <v>26564</v>
      </c>
      <c r="R6614" t="s">
        <v>26578</v>
      </c>
      <c r="S6614" t="s">
        <v>18959</v>
      </c>
      <c r="U6614" t="s">
        <v>26604</v>
      </c>
      <c r="W6614" t="s">
        <v>777</v>
      </c>
      <c r="X6614">
        <v>796.51</v>
      </c>
      <c r="Y6614" t="s">
        <v>26650</v>
      </c>
      <c r="Z6614" t="s">
        <v>26663</v>
      </c>
      <c r="AB6614" t="s">
        <v>31806</v>
      </c>
      <c r="AE6614">
        <v>55</v>
      </c>
      <c r="AF6614" t="s">
        <v>45541</v>
      </c>
      <c r="AG6614" t="s">
        <v>19330</v>
      </c>
      <c r="AH6614">
        <v>30</v>
      </c>
      <c r="AI6614">
        <v>2</v>
      </c>
      <c r="AJ6614">
        <v>0</v>
      </c>
      <c r="AK6614">
        <v>113.78</v>
      </c>
      <c r="AN6614" t="s">
        <v>7439</v>
      </c>
      <c r="AO6614">
        <v>19240</v>
      </c>
      <c r="AU6614">
        <v>1.2</v>
      </c>
      <c r="AV6614" t="s">
        <v>787</v>
      </c>
      <c r="AW6614" t="s">
        <v>98</v>
      </c>
    </row>
    <row r="6615" spans="1:50">
      <c r="A6615" s="1">
        <f>HYPERLINK("https://lsnyc.legalserver.org/matter/dynamic-profile/view/1894550","19-1894550")</f>
        <v>0</v>
      </c>
      <c r="B6615" t="s">
        <v>98</v>
      </c>
      <c r="C6615" t="s">
        <v>340</v>
      </c>
      <c r="D6615" t="s">
        <v>777</v>
      </c>
      <c r="F6615" t="s">
        <v>2251</v>
      </c>
      <c r="G6615" t="s">
        <v>5403</v>
      </c>
      <c r="H6615" t="s">
        <v>11742</v>
      </c>
      <c r="J6615" t="s">
        <v>18892</v>
      </c>
      <c r="K6615">
        <v>10453</v>
      </c>
      <c r="L6615" t="s">
        <v>18958</v>
      </c>
      <c r="M6615" t="s">
        <v>18958</v>
      </c>
      <c r="O6615" t="s">
        <v>18997</v>
      </c>
      <c r="P6615" t="s">
        <v>26564</v>
      </c>
      <c r="R6615" t="s">
        <v>26578</v>
      </c>
      <c r="S6615" t="s">
        <v>18959</v>
      </c>
      <c r="U6615" t="s">
        <v>26604</v>
      </c>
      <c r="W6615" t="s">
        <v>777</v>
      </c>
      <c r="X6615">
        <v>1250</v>
      </c>
      <c r="Y6615" t="s">
        <v>26650</v>
      </c>
      <c r="Z6615" t="s">
        <v>26663</v>
      </c>
      <c r="AB6615" t="s">
        <v>29120</v>
      </c>
      <c r="AD6615" t="s">
        <v>42084</v>
      </c>
      <c r="AE6615">
        <v>53</v>
      </c>
      <c r="AF6615" t="s">
        <v>45541</v>
      </c>
      <c r="AG6615" t="s">
        <v>19330</v>
      </c>
      <c r="AH6615">
        <v>13</v>
      </c>
      <c r="AI6615">
        <v>3</v>
      </c>
      <c r="AJ6615">
        <v>2</v>
      </c>
      <c r="AK6615">
        <v>125.95</v>
      </c>
      <c r="AN6615" t="s">
        <v>45581</v>
      </c>
      <c r="AO6615">
        <v>38000</v>
      </c>
      <c r="AU6615">
        <v>1.88</v>
      </c>
      <c r="AV6615" t="s">
        <v>791</v>
      </c>
      <c r="AW6615" t="s">
        <v>98</v>
      </c>
    </row>
    <row r="6616" spans="1:50">
      <c r="A6616" s="1">
        <f>HYPERLINK("https://lsnyc.legalserver.org/matter/dynamic-profile/view/1894472","19-1894472")</f>
        <v>0</v>
      </c>
      <c r="B6616" t="s">
        <v>133</v>
      </c>
      <c r="C6616" t="s">
        <v>340</v>
      </c>
      <c r="D6616" t="s">
        <v>777</v>
      </c>
      <c r="F6616" t="s">
        <v>2076</v>
      </c>
      <c r="G6616" t="s">
        <v>8084</v>
      </c>
      <c r="H6616" t="s">
        <v>13117</v>
      </c>
      <c r="I6616" t="s">
        <v>18074</v>
      </c>
      <c r="J6616" t="s">
        <v>18892</v>
      </c>
      <c r="K6616">
        <v>10468</v>
      </c>
      <c r="L6616" t="s">
        <v>18958</v>
      </c>
      <c r="M6616" t="s">
        <v>18958</v>
      </c>
      <c r="N6616" t="s">
        <v>23833</v>
      </c>
      <c r="O6616" t="s">
        <v>26523</v>
      </c>
      <c r="P6616" t="s">
        <v>26560</v>
      </c>
      <c r="R6616" t="s">
        <v>26579</v>
      </c>
      <c r="S6616" t="s">
        <v>18959</v>
      </c>
      <c r="U6616" t="s">
        <v>26604</v>
      </c>
      <c r="V6616" t="s">
        <v>26610</v>
      </c>
      <c r="W6616" t="s">
        <v>777</v>
      </c>
      <c r="X6616">
        <v>1400</v>
      </c>
      <c r="Y6616" t="s">
        <v>26650</v>
      </c>
      <c r="Z6616" t="s">
        <v>26664</v>
      </c>
      <c r="AB6616" t="s">
        <v>31807</v>
      </c>
      <c r="AD6616" t="s">
        <v>42085</v>
      </c>
      <c r="AE6616">
        <v>47</v>
      </c>
      <c r="AF6616" t="s">
        <v>45545</v>
      </c>
      <c r="AG6616" t="s">
        <v>19330</v>
      </c>
      <c r="AH6616">
        <v>1</v>
      </c>
      <c r="AI6616">
        <v>3</v>
      </c>
      <c r="AJ6616">
        <v>0</v>
      </c>
      <c r="AK6616">
        <v>168.78</v>
      </c>
      <c r="AN6616" t="s">
        <v>7439</v>
      </c>
      <c r="AO6616">
        <v>36000</v>
      </c>
      <c r="AU6616">
        <v>0.7</v>
      </c>
      <c r="AV6616" t="s">
        <v>793</v>
      </c>
      <c r="AW6616" t="s">
        <v>46870</v>
      </c>
    </row>
    <row r="6617" spans="1:50">
      <c r="A6617" s="1">
        <f>HYPERLINK("https://lsnyc.legalserver.org/matter/dynamic-profile/view/1894456","19-1894456")</f>
        <v>0</v>
      </c>
      <c r="B6617" t="s">
        <v>97</v>
      </c>
      <c r="C6617" t="s">
        <v>340</v>
      </c>
      <c r="D6617" t="s">
        <v>777</v>
      </c>
      <c r="F6617" t="s">
        <v>3745</v>
      </c>
      <c r="G6617" t="s">
        <v>8085</v>
      </c>
      <c r="H6617" t="s">
        <v>14403</v>
      </c>
      <c r="I6617">
        <v>3</v>
      </c>
      <c r="J6617" t="s">
        <v>18892</v>
      </c>
      <c r="K6617">
        <v>10469</v>
      </c>
      <c r="L6617" t="s">
        <v>18960</v>
      </c>
      <c r="M6617" t="s">
        <v>18960</v>
      </c>
      <c r="N6617" t="s">
        <v>23834</v>
      </c>
      <c r="O6617" t="s">
        <v>26524</v>
      </c>
      <c r="P6617" t="s">
        <v>26560</v>
      </c>
      <c r="R6617" t="s">
        <v>26577</v>
      </c>
      <c r="U6617" t="s">
        <v>26604</v>
      </c>
      <c r="V6617" t="s">
        <v>26610</v>
      </c>
      <c r="W6617" t="s">
        <v>777</v>
      </c>
      <c r="X6617">
        <v>0</v>
      </c>
      <c r="Y6617" t="s">
        <v>26650</v>
      </c>
      <c r="AB6617" t="s">
        <v>31808</v>
      </c>
      <c r="AC6617" t="s">
        <v>36207</v>
      </c>
      <c r="AD6617" t="s">
        <v>42086</v>
      </c>
      <c r="AE6617">
        <v>3</v>
      </c>
      <c r="AF6617" t="s">
        <v>45547</v>
      </c>
      <c r="AG6617" t="s">
        <v>45557</v>
      </c>
      <c r="AH6617">
        <v>10</v>
      </c>
      <c r="AI6617">
        <v>2</v>
      </c>
      <c r="AJ6617">
        <v>1</v>
      </c>
      <c r="AK6617">
        <v>81.91</v>
      </c>
      <c r="AN6617" t="s">
        <v>7439</v>
      </c>
      <c r="AO6617">
        <v>17472</v>
      </c>
      <c r="AP6617" t="s">
        <v>46022</v>
      </c>
      <c r="AU6617">
        <v>10.05</v>
      </c>
      <c r="AV6617" t="s">
        <v>814</v>
      </c>
      <c r="AW6617" t="s">
        <v>46836</v>
      </c>
      <c r="AX6617" t="s">
        <v>46898</v>
      </c>
    </row>
    <row r="6618" spans="1:50">
      <c r="A6618" s="1">
        <f>HYPERLINK("https://lsnyc.legalserver.org/matter/dynamic-profile/view/1894310","19-1894310")</f>
        <v>0</v>
      </c>
      <c r="B6618" t="s">
        <v>243</v>
      </c>
      <c r="C6618" t="s">
        <v>340</v>
      </c>
      <c r="D6618" t="s">
        <v>777</v>
      </c>
      <c r="F6618" t="s">
        <v>2068</v>
      </c>
      <c r="G6618" t="s">
        <v>6717</v>
      </c>
      <c r="H6618" t="s">
        <v>11532</v>
      </c>
      <c r="I6618" t="s">
        <v>17316</v>
      </c>
      <c r="J6618" t="s">
        <v>18894</v>
      </c>
      <c r="K6618">
        <v>11225</v>
      </c>
      <c r="L6618" t="s">
        <v>18958</v>
      </c>
      <c r="M6618" t="s">
        <v>18958</v>
      </c>
      <c r="P6618" t="s">
        <v>26560</v>
      </c>
      <c r="R6618" t="s">
        <v>26578</v>
      </c>
      <c r="S6618" t="s">
        <v>18958</v>
      </c>
      <c r="U6618" t="s">
        <v>26604</v>
      </c>
      <c r="W6618" t="s">
        <v>777</v>
      </c>
      <c r="X6618">
        <v>0</v>
      </c>
      <c r="Y6618" t="s">
        <v>26652</v>
      </c>
      <c r="AB6618" t="s">
        <v>29314</v>
      </c>
      <c r="AD6618" t="s">
        <v>34738</v>
      </c>
      <c r="AE6618">
        <v>0</v>
      </c>
      <c r="AH6618">
        <v>0</v>
      </c>
      <c r="AI6618">
        <v>2</v>
      </c>
      <c r="AJ6618">
        <v>0</v>
      </c>
      <c r="AK6618">
        <v>480.19</v>
      </c>
      <c r="AN6618" t="s">
        <v>7439</v>
      </c>
      <c r="AO6618">
        <v>81200</v>
      </c>
      <c r="AU6618">
        <v>0</v>
      </c>
      <c r="AW6618" t="s">
        <v>219</v>
      </c>
    </row>
    <row r="6619" spans="1:50">
      <c r="A6619" s="1">
        <f>HYPERLINK("https://lsnyc.legalserver.org/matter/dynamic-profile/view/1894478","19-1894478")</f>
        <v>0</v>
      </c>
      <c r="B6619" t="s">
        <v>153</v>
      </c>
      <c r="C6619" t="s">
        <v>340</v>
      </c>
      <c r="D6619" t="s">
        <v>777</v>
      </c>
      <c r="F6619" t="s">
        <v>3746</v>
      </c>
      <c r="G6619" t="s">
        <v>3369</v>
      </c>
      <c r="H6619" t="s">
        <v>14404</v>
      </c>
      <c r="I6619" t="s">
        <v>18384</v>
      </c>
      <c r="J6619" t="s">
        <v>18902</v>
      </c>
      <c r="K6619">
        <v>10303</v>
      </c>
      <c r="L6619" t="s">
        <v>18958</v>
      </c>
      <c r="M6619" t="s">
        <v>18958</v>
      </c>
      <c r="N6619" t="s">
        <v>23835</v>
      </c>
      <c r="O6619" t="s">
        <v>26523</v>
      </c>
      <c r="R6619" t="s">
        <v>26590</v>
      </c>
      <c r="S6619" t="s">
        <v>18959</v>
      </c>
      <c r="U6619" t="s">
        <v>26604</v>
      </c>
      <c r="V6619" t="s">
        <v>26610</v>
      </c>
      <c r="W6619" t="s">
        <v>777</v>
      </c>
      <c r="X6619">
        <v>1515</v>
      </c>
      <c r="Y6619" t="s">
        <v>26654</v>
      </c>
      <c r="Z6619" t="s">
        <v>26660</v>
      </c>
      <c r="AB6619" t="s">
        <v>31809</v>
      </c>
      <c r="AC6619" t="s">
        <v>36208</v>
      </c>
      <c r="AD6619" t="s">
        <v>42087</v>
      </c>
      <c r="AE6619">
        <v>2</v>
      </c>
      <c r="AF6619" t="s">
        <v>45547</v>
      </c>
      <c r="AG6619" t="s">
        <v>45558</v>
      </c>
      <c r="AH6619">
        <v>1</v>
      </c>
      <c r="AI6619">
        <v>1</v>
      </c>
      <c r="AJ6619">
        <v>2</v>
      </c>
      <c r="AK6619">
        <v>15.24</v>
      </c>
      <c r="AN6619" t="s">
        <v>7439</v>
      </c>
      <c r="AO6619">
        <v>3250</v>
      </c>
      <c r="AU6619">
        <v>9.1</v>
      </c>
      <c r="AV6619" t="s">
        <v>821</v>
      </c>
      <c r="AW6619" t="s">
        <v>46883</v>
      </c>
    </row>
    <row r="6620" spans="1:50">
      <c r="A6620" s="1">
        <f>HYPERLINK("https://lsnyc.legalserver.org/matter/dynamic-profile/view/1894590","19-1894590")</f>
        <v>0</v>
      </c>
      <c r="B6620" t="s">
        <v>232</v>
      </c>
      <c r="C6620" t="s">
        <v>340</v>
      </c>
      <c r="D6620" t="s">
        <v>777</v>
      </c>
      <c r="F6620" t="s">
        <v>3747</v>
      </c>
      <c r="G6620" t="s">
        <v>8086</v>
      </c>
      <c r="H6620" t="s">
        <v>14405</v>
      </c>
      <c r="I6620" t="s">
        <v>17334</v>
      </c>
      <c r="J6620" t="s">
        <v>18894</v>
      </c>
      <c r="K6620">
        <v>11230</v>
      </c>
      <c r="L6620" t="s">
        <v>18958</v>
      </c>
      <c r="M6620" t="s">
        <v>18960</v>
      </c>
      <c r="N6620" t="s">
        <v>23836</v>
      </c>
      <c r="O6620" t="s">
        <v>26523</v>
      </c>
      <c r="P6620" t="s">
        <v>26560</v>
      </c>
      <c r="R6620" t="s">
        <v>26586</v>
      </c>
      <c r="U6620" t="s">
        <v>26604</v>
      </c>
      <c r="W6620" t="s">
        <v>777</v>
      </c>
      <c r="X6620">
        <v>1350</v>
      </c>
      <c r="Y6620" t="s">
        <v>26652</v>
      </c>
      <c r="Z6620" t="s">
        <v>26664</v>
      </c>
      <c r="AB6620" t="s">
        <v>31810</v>
      </c>
      <c r="AC6620" t="s">
        <v>36209</v>
      </c>
      <c r="AD6620" t="s">
        <v>42088</v>
      </c>
      <c r="AE6620">
        <v>2</v>
      </c>
      <c r="AF6620" t="s">
        <v>20460</v>
      </c>
      <c r="AH6620">
        <v>1</v>
      </c>
      <c r="AI6620">
        <v>1</v>
      </c>
      <c r="AJ6620">
        <v>6</v>
      </c>
      <c r="AK6620">
        <v>13.53</v>
      </c>
      <c r="AN6620" t="s">
        <v>7439</v>
      </c>
      <c r="AO6620">
        <v>5280</v>
      </c>
      <c r="AU6620">
        <v>22.75</v>
      </c>
      <c r="AV6620" t="s">
        <v>838</v>
      </c>
      <c r="AW6620" t="s">
        <v>46856</v>
      </c>
    </row>
    <row r="6621" spans="1:50">
      <c r="A6621" s="1">
        <f>HYPERLINK("https://lsnyc.legalserver.org/matter/dynamic-profile/view/1894504","19-1894504")</f>
        <v>0</v>
      </c>
      <c r="B6621" t="s">
        <v>64</v>
      </c>
      <c r="C6621" t="s">
        <v>340</v>
      </c>
      <c r="D6621" t="s">
        <v>777</v>
      </c>
      <c r="F6621" t="s">
        <v>3748</v>
      </c>
      <c r="G6621" t="s">
        <v>6189</v>
      </c>
      <c r="H6621" t="s">
        <v>14406</v>
      </c>
      <c r="I6621">
        <v>1</v>
      </c>
      <c r="J6621" t="s">
        <v>18892</v>
      </c>
      <c r="K6621">
        <v>10468</v>
      </c>
      <c r="L6621" t="s">
        <v>18958</v>
      </c>
      <c r="M6621" t="s">
        <v>18958</v>
      </c>
      <c r="N6621" t="s">
        <v>23837</v>
      </c>
      <c r="O6621" t="s">
        <v>26524</v>
      </c>
      <c r="P6621" t="s">
        <v>26560</v>
      </c>
      <c r="R6621" t="s">
        <v>26579</v>
      </c>
      <c r="S6621" t="s">
        <v>18959</v>
      </c>
      <c r="U6621" t="s">
        <v>26604</v>
      </c>
      <c r="V6621" t="s">
        <v>26610</v>
      </c>
      <c r="W6621" t="s">
        <v>777</v>
      </c>
      <c r="X6621">
        <v>1755</v>
      </c>
      <c r="Y6621" t="s">
        <v>26650</v>
      </c>
      <c r="Z6621" t="s">
        <v>26664</v>
      </c>
      <c r="AB6621" t="s">
        <v>31811</v>
      </c>
      <c r="AC6621" t="s">
        <v>36210</v>
      </c>
      <c r="AD6621" t="s">
        <v>42089</v>
      </c>
      <c r="AE6621">
        <v>0</v>
      </c>
      <c r="AF6621" t="s">
        <v>45547</v>
      </c>
      <c r="AG6621" t="s">
        <v>45556</v>
      </c>
      <c r="AH6621">
        <v>9</v>
      </c>
      <c r="AI6621">
        <v>4</v>
      </c>
      <c r="AJ6621">
        <v>2</v>
      </c>
      <c r="AK6621">
        <v>53.5</v>
      </c>
      <c r="AN6621" t="s">
        <v>7439</v>
      </c>
      <c r="AO6621">
        <v>18504</v>
      </c>
      <c r="AU6621">
        <v>5.05</v>
      </c>
      <c r="AV6621" t="s">
        <v>808</v>
      </c>
      <c r="AW6621" t="s">
        <v>46870</v>
      </c>
    </row>
    <row r="6622" spans="1:50">
      <c r="A6622" s="1">
        <f>HYPERLINK("https://lsnyc.legalserver.org/matter/dynamic-profile/view/1894460","19-1894460")</f>
        <v>0</v>
      </c>
      <c r="B6622" t="s">
        <v>50</v>
      </c>
      <c r="C6622" t="s">
        <v>340</v>
      </c>
      <c r="D6622" t="s">
        <v>777</v>
      </c>
      <c r="F6622" t="s">
        <v>2840</v>
      </c>
      <c r="G6622" t="s">
        <v>6896</v>
      </c>
      <c r="H6622" t="s">
        <v>10636</v>
      </c>
      <c r="I6622" t="s">
        <v>17436</v>
      </c>
      <c r="J6622" t="s">
        <v>18892</v>
      </c>
      <c r="K6622">
        <v>10467</v>
      </c>
      <c r="L6622" t="s">
        <v>18958</v>
      </c>
      <c r="M6622" t="s">
        <v>18958</v>
      </c>
      <c r="N6622" t="s">
        <v>23838</v>
      </c>
      <c r="O6622" t="s">
        <v>26523</v>
      </c>
      <c r="P6622" t="s">
        <v>26560</v>
      </c>
      <c r="R6622" t="s">
        <v>26579</v>
      </c>
      <c r="S6622" t="s">
        <v>18959</v>
      </c>
      <c r="U6622" t="s">
        <v>26604</v>
      </c>
      <c r="W6622" t="s">
        <v>777</v>
      </c>
      <c r="X6622">
        <v>1475</v>
      </c>
      <c r="Y6622" t="s">
        <v>26650</v>
      </c>
      <c r="Z6622" t="s">
        <v>26664</v>
      </c>
      <c r="AB6622" t="s">
        <v>31812</v>
      </c>
      <c r="AD6622" t="s">
        <v>42090</v>
      </c>
      <c r="AE6622">
        <v>60</v>
      </c>
      <c r="AF6622" t="s">
        <v>45541</v>
      </c>
      <c r="AG6622" t="s">
        <v>19330</v>
      </c>
      <c r="AH6622">
        <v>3</v>
      </c>
      <c r="AI6622">
        <v>2</v>
      </c>
      <c r="AJ6622">
        <v>2</v>
      </c>
      <c r="AK6622">
        <v>45.44</v>
      </c>
      <c r="AN6622" t="s">
        <v>7439</v>
      </c>
      <c r="AO6622">
        <v>11700</v>
      </c>
      <c r="AU6622">
        <v>10.75</v>
      </c>
      <c r="AV6622" t="s">
        <v>838</v>
      </c>
      <c r="AW6622" t="s">
        <v>46870</v>
      </c>
    </row>
    <row r="6623" spans="1:50">
      <c r="A6623" s="1">
        <f>HYPERLINK("https://lsnyc.legalserver.org/matter/dynamic-profile/view/1894605","19-1894605")</f>
        <v>0</v>
      </c>
      <c r="B6623" t="s">
        <v>101</v>
      </c>
      <c r="C6623" t="s">
        <v>340</v>
      </c>
      <c r="D6623" t="s">
        <v>777</v>
      </c>
      <c r="F6623" t="s">
        <v>3749</v>
      </c>
      <c r="G6623" t="s">
        <v>5242</v>
      </c>
      <c r="H6623" t="s">
        <v>14407</v>
      </c>
      <c r="I6623" t="s">
        <v>17275</v>
      </c>
      <c r="J6623" t="s">
        <v>18894</v>
      </c>
      <c r="K6623">
        <v>11214</v>
      </c>
      <c r="L6623" t="s">
        <v>18958</v>
      </c>
      <c r="M6623" t="s">
        <v>18960</v>
      </c>
      <c r="N6623" t="s">
        <v>23839</v>
      </c>
      <c r="O6623" t="s">
        <v>26523</v>
      </c>
      <c r="P6623" t="s">
        <v>26565</v>
      </c>
      <c r="R6623" t="s">
        <v>26586</v>
      </c>
      <c r="U6623" t="s">
        <v>26604</v>
      </c>
      <c r="W6623" t="s">
        <v>777</v>
      </c>
      <c r="X6623">
        <v>1500</v>
      </c>
      <c r="Y6623" t="s">
        <v>26652</v>
      </c>
      <c r="Z6623" t="s">
        <v>26655</v>
      </c>
      <c r="AB6623" t="s">
        <v>31813</v>
      </c>
      <c r="AD6623" t="s">
        <v>42091</v>
      </c>
      <c r="AE6623">
        <v>40</v>
      </c>
      <c r="AF6623" t="s">
        <v>20460</v>
      </c>
      <c r="AH6623">
        <v>4</v>
      </c>
      <c r="AI6623">
        <v>2</v>
      </c>
      <c r="AJ6623">
        <v>2</v>
      </c>
      <c r="AK6623">
        <v>89.31999999999999</v>
      </c>
      <c r="AO6623">
        <v>23000</v>
      </c>
      <c r="AU6623">
        <v>3</v>
      </c>
      <c r="AV6623" t="s">
        <v>779</v>
      </c>
      <c r="AW6623" t="s">
        <v>46856</v>
      </c>
    </row>
    <row r="6624" spans="1:50">
      <c r="A6624" s="1">
        <f>HYPERLINK("https://lsnyc.legalserver.org/matter/dynamic-profile/view/1894531","19-1894531")</f>
        <v>0</v>
      </c>
      <c r="B6624" t="s">
        <v>121</v>
      </c>
      <c r="C6624" t="s">
        <v>340</v>
      </c>
      <c r="D6624" t="s">
        <v>777</v>
      </c>
      <c r="F6624" t="s">
        <v>1826</v>
      </c>
      <c r="G6624" t="s">
        <v>2975</v>
      </c>
      <c r="H6624" t="s">
        <v>14408</v>
      </c>
      <c r="I6624" t="s">
        <v>17848</v>
      </c>
      <c r="J6624" t="s">
        <v>18903</v>
      </c>
      <c r="K6624">
        <v>10467</v>
      </c>
      <c r="L6624" t="s">
        <v>18958</v>
      </c>
      <c r="M6624" t="s">
        <v>18958</v>
      </c>
      <c r="N6624" t="s">
        <v>23840</v>
      </c>
      <c r="O6624" t="s">
        <v>26523</v>
      </c>
      <c r="P6624" t="s">
        <v>26560</v>
      </c>
      <c r="R6624" t="s">
        <v>26579</v>
      </c>
      <c r="U6624" t="s">
        <v>26605</v>
      </c>
      <c r="V6624" t="s">
        <v>26610</v>
      </c>
      <c r="W6624" t="s">
        <v>777</v>
      </c>
      <c r="X6624">
        <v>1366.5</v>
      </c>
      <c r="Y6624" t="s">
        <v>26650</v>
      </c>
      <c r="Z6624" t="s">
        <v>26659</v>
      </c>
      <c r="AB6624" t="s">
        <v>31814</v>
      </c>
      <c r="AD6624" t="s">
        <v>42092</v>
      </c>
      <c r="AE6624">
        <v>0</v>
      </c>
      <c r="AF6624" t="s">
        <v>45549</v>
      </c>
      <c r="AG6624" t="s">
        <v>26530</v>
      </c>
      <c r="AH6624">
        <v>10</v>
      </c>
      <c r="AI6624">
        <v>2</v>
      </c>
      <c r="AJ6624">
        <v>3</v>
      </c>
      <c r="AK6624">
        <v>129.44</v>
      </c>
      <c r="AN6624" t="s">
        <v>45581</v>
      </c>
      <c r="AO6624">
        <v>39052</v>
      </c>
      <c r="AU6624">
        <v>2.9</v>
      </c>
      <c r="AV6624" t="s">
        <v>810</v>
      </c>
      <c r="AW6624" t="s">
        <v>46836</v>
      </c>
    </row>
    <row r="6625" spans="1:50">
      <c r="A6625" s="1">
        <f>HYPERLINK("https://lsnyc.legalserver.org/matter/dynamic-profile/view/1894483","19-1894483")</f>
        <v>0</v>
      </c>
      <c r="B6625" t="s">
        <v>112</v>
      </c>
      <c r="C6625" t="s">
        <v>340</v>
      </c>
      <c r="D6625" t="s">
        <v>777</v>
      </c>
      <c r="F6625" t="s">
        <v>3750</v>
      </c>
      <c r="G6625" t="s">
        <v>5973</v>
      </c>
      <c r="H6625" t="s">
        <v>14409</v>
      </c>
      <c r="I6625" t="s">
        <v>17491</v>
      </c>
      <c r="J6625" t="s">
        <v>7026</v>
      </c>
      <c r="K6625">
        <v>11368</v>
      </c>
      <c r="L6625" t="s">
        <v>18958</v>
      </c>
      <c r="M6625" t="s">
        <v>18958</v>
      </c>
      <c r="N6625" t="s">
        <v>23841</v>
      </c>
      <c r="O6625" t="s">
        <v>26524</v>
      </c>
      <c r="P6625" t="s">
        <v>26564</v>
      </c>
      <c r="R6625" t="s">
        <v>26584</v>
      </c>
      <c r="S6625" t="s">
        <v>18959</v>
      </c>
      <c r="U6625" t="s">
        <v>26604</v>
      </c>
      <c r="V6625" t="s">
        <v>26612</v>
      </c>
      <c r="W6625" t="s">
        <v>777</v>
      </c>
      <c r="X6625">
        <v>1200</v>
      </c>
      <c r="Y6625" t="s">
        <v>26653</v>
      </c>
      <c r="Z6625" t="s">
        <v>26664</v>
      </c>
      <c r="AB6625" t="s">
        <v>31240</v>
      </c>
      <c r="AD6625" t="s">
        <v>42093</v>
      </c>
      <c r="AE6625">
        <v>5</v>
      </c>
      <c r="AF6625" t="s">
        <v>20460</v>
      </c>
      <c r="AG6625" t="s">
        <v>19330</v>
      </c>
      <c r="AH6625">
        <v>2</v>
      </c>
      <c r="AI6625">
        <v>1</v>
      </c>
      <c r="AJ6625">
        <v>2</v>
      </c>
      <c r="AK6625">
        <v>34.86</v>
      </c>
      <c r="AN6625" t="s">
        <v>45581</v>
      </c>
      <c r="AO6625">
        <v>7436</v>
      </c>
      <c r="AU6625">
        <v>1.2</v>
      </c>
      <c r="AV6625" t="s">
        <v>816</v>
      </c>
      <c r="AW6625" t="s">
        <v>208</v>
      </c>
    </row>
    <row r="6626" spans="1:50">
      <c r="A6626" s="1">
        <f>HYPERLINK("https://lsnyc.legalserver.org/matter/dynamic-profile/view/1894503","19-1894503")</f>
        <v>0</v>
      </c>
      <c r="B6626" t="s">
        <v>112</v>
      </c>
      <c r="C6626" t="s">
        <v>340</v>
      </c>
      <c r="D6626" t="s">
        <v>777</v>
      </c>
      <c r="F6626" t="s">
        <v>1985</v>
      </c>
      <c r="G6626" t="s">
        <v>8087</v>
      </c>
      <c r="H6626" t="s">
        <v>14410</v>
      </c>
      <c r="J6626" t="s">
        <v>18919</v>
      </c>
      <c r="K6626">
        <v>11428</v>
      </c>
      <c r="L6626" t="s">
        <v>18958</v>
      </c>
      <c r="M6626" t="s">
        <v>18958</v>
      </c>
      <c r="N6626" t="s">
        <v>23842</v>
      </c>
      <c r="O6626" t="s">
        <v>26524</v>
      </c>
      <c r="P6626" t="s">
        <v>26563</v>
      </c>
      <c r="R6626" t="s">
        <v>26584</v>
      </c>
      <c r="S6626" t="s">
        <v>18959</v>
      </c>
      <c r="U6626" t="s">
        <v>26604</v>
      </c>
      <c r="W6626" t="s">
        <v>777</v>
      </c>
      <c r="X6626">
        <v>0</v>
      </c>
      <c r="Y6626" t="s">
        <v>26653</v>
      </c>
      <c r="Z6626" t="s">
        <v>26664</v>
      </c>
      <c r="AB6626" t="s">
        <v>31815</v>
      </c>
      <c r="AD6626" t="s">
        <v>42094</v>
      </c>
      <c r="AE6626">
        <v>0</v>
      </c>
      <c r="AF6626" t="s">
        <v>20460</v>
      </c>
      <c r="AG6626" t="s">
        <v>19330</v>
      </c>
      <c r="AH6626">
        <v>13</v>
      </c>
      <c r="AI6626">
        <v>2</v>
      </c>
      <c r="AJ6626">
        <v>0</v>
      </c>
      <c r="AK6626">
        <v>101.83</v>
      </c>
      <c r="AN6626" t="s">
        <v>7439</v>
      </c>
      <c r="AO6626">
        <v>17220</v>
      </c>
      <c r="AU6626">
        <v>1.4</v>
      </c>
      <c r="AV6626" t="s">
        <v>777</v>
      </c>
      <c r="AW6626" t="s">
        <v>208</v>
      </c>
    </row>
    <row r="6627" spans="1:50">
      <c r="A6627" s="1">
        <f>HYPERLINK("https://lsnyc.legalserver.org/matter/dynamic-profile/view/1894521","19-1894521")</f>
        <v>0</v>
      </c>
      <c r="B6627" t="s">
        <v>221</v>
      </c>
      <c r="C6627" t="s">
        <v>340</v>
      </c>
      <c r="D6627" t="s">
        <v>777</v>
      </c>
      <c r="F6627" t="s">
        <v>1826</v>
      </c>
      <c r="G6627" t="s">
        <v>8088</v>
      </c>
      <c r="H6627" t="s">
        <v>10944</v>
      </c>
      <c r="I6627" t="s">
        <v>17284</v>
      </c>
      <c r="J6627" t="s">
        <v>18901</v>
      </c>
      <c r="K6627">
        <v>11435</v>
      </c>
      <c r="L6627" t="s">
        <v>18958</v>
      </c>
      <c r="M6627" t="s">
        <v>18958</v>
      </c>
      <c r="N6627" t="s">
        <v>23843</v>
      </c>
      <c r="O6627" t="s">
        <v>26523</v>
      </c>
      <c r="P6627" t="s">
        <v>26560</v>
      </c>
      <c r="R6627" t="s">
        <v>26584</v>
      </c>
      <c r="S6627" t="s">
        <v>18959</v>
      </c>
      <c r="U6627" t="s">
        <v>26604</v>
      </c>
      <c r="W6627" t="s">
        <v>777</v>
      </c>
      <c r="X6627">
        <v>1080</v>
      </c>
      <c r="Y6627" t="s">
        <v>26653</v>
      </c>
      <c r="Z6627" t="s">
        <v>26664</v>
      </c>
      <c r="AB6627" t="s">
        <v>31816</v>
      </c>
      <c r="AD6627" t="s">
        <v>42095</v>
      </c>
      <c r="AE6627">
        <v>0</v>
      </c>
      <c r="AF6627" t="s">
        <v>20460</v>
      </c>
      <c r="AG6627" t="s">
        <v>19330</v>
      </c>
      <c r="AH6627">
        <v>25</v>
      </c>
      <c r="AI6627">
        <v>1</v>
      </c>
      <c r="AJ6627">
        <v>0</v>
      </c>
      <c r="AK6627">
        <v>32.03</v>
      </c>
      <c r="AN6627" t="s">
        <v>45581</v>
      </c>
      <c r="AO6627">
        <v>4000</v>
      </c>
      <c r="AU6627">
        <v>70.2</v>
      </c>
      <c r="AV6627" t="s">
        <v>838</v>
      </c>
      <c r="AW6627" t="s">
        <v>208</v>
      </c>
    </row>
    <row r="6628" spans="1:50">
      <c r="A6628" s="1">
        <f>HYPERLINK("https://lsnyc.legalserver.org/matter/dynamic-profile/view/1894548","19-1894548")</f>
        <v>0</v>
      </c>
      <c r="B6628" t="s">
        <v>125</v>
      </c>
      <c r="C6628" t="s">
        <v>340</v>
      </c>
      <c r="D6628" t="s">
        <v>777</v>
      </c>
      <c r="F6628" t="s">
        <v>3751</v>
      </c>
      <c r="G6628" t="s">
        <v>7335</v>
      </c>
      <c r="H6628" t="s">
        <v>14411</v>
      </c>
      <c r="I6628" t="s">
        <v>17627</v>
      </c>
      <c r="J6628" t="s">
        <v>18894</v>
      </c>
      <c r="K6628">
        <v>11208</v>
      </c>
      <c r="L6628" t="s">
        <v>18958</v>
      </c>
      <c r="M6628" t="s">
        <v>18958</v>
      </c>
      <c r="N6628" t="s">
        <v>23844</v>
      </c>
      <c r="O6628" t="s">
        <v>26523</v>
      </c>
      <c r="P6628" t="s">
        <v>26560</v>
      </c>
      <c r="R6628" t="s">
        <v>26578</v>
      </c>
      <c r="U6628" t="s">
        <v>26604</v>
      </c>
      <c r="W6628" t="s">
        <v>777</v>
      </c>
      <c r="X6628">
        <v>1488</v>
      </c>
      <c r="Y6628" t="s">
        <v>26652</v>
      </c>
      <c r="Z6628" t="s">
        <v>26664</v>
      </c>
      <c r="AB6628" t="s">
        <v>31817</v>
      </c>
      <c r="AC6628" t="s">
        <v>36211</v>
      </c>
      <c r="AD6628" t="s">
        <v>42096</v>
      </c>
      <c r="AE6628">
        <v>18</v>
      </c>
      <c r="AF6628" t="s">
        <v>20460</v>
      </c>
      <c r="AH6628">
        <v>2</v>
      </c>
      <c r="AI6628">
        <v>2</v>
      </c>
      <c r="AJ6628">
        <v>2</v>
      </c>
      <c r="AK6628">
        <v>8.890000000000001</v>
      </c>
      <c r="AN6628" t="s">
        <v>7439</v>
      </c>
      <c r="AO6628">
        <v>2288</v>
      </c>
      <c r="AU6628">
        <v>29.75</v>
      </c>
      <c r="AV6628" t="s">
        <v>836</v>
      </c>
      <c r="AW6628" t="s">
        <v>46856</v>
      </c>
    </row>
    <row r="6629" spans="1:50">
      <c r="A6629" s="1">
        <f>HYPERLINK("https://lsnyc.legalserver.org/matter/dynamic-profile/view/1894728","19-1894728")</f>
        <v>0</v>
      </c>
      <c r="B6629" t="s">
        <v>147</v>
      </c>
      <c r="C6629" t="s">
        <v>340</v>
      </c>
      <c r="D6629" t="s">
        <v>787</v>
      </c>
      <c r="F6629" t="s">
        <v>1283</v>
      </c>
      <c r="G6629" t="s">
        <v>6775</v>
      </c>
      <c r="H6629" t="s">
        <v>12592</v>
      </c>
      <c r="J6629" t="s">
        <v>18894</v>
      </c>
      <c r="K6629">
        <v>11217</v>
      </c>
      <c r="L6629" t="s">
        <v>18958</v>
      </c>
      <c r="M6629" t="s">
        <v>18958</v>
      </c>
      <c r="P6629" t="s">
        <v>26562</v>
      </c>
      <c r="R6629" t="s">
        <v>26578</v>
      </c>
      <c r="U6629" t="s">
        <v>26604</v>
      </c>
      <c r="W6629" t="s">
        <v>777</v>
      </c>
      <c r="X6629">
        <v>1104</v>
      </c>
      <c r="Y6629" t="s">
        <v>26652</v>
      </c>
      <c r="AB6629" t="s">
        <v>29859</v>
      </c>
      <c r="AC6629">
        <v>9122791</v>
      </c>
      <c r="AD6629" t="s">
        <v>39980</v>
      </c>
      <c r="AE6629">
        <v>0</v>
      </c>
      <c r="AH6629">
        <v>-1</v>
      </c>
      <c r="AI6629">
        <v>2</v>
      </c>
      <c r="AJ6629">
        <v>1</v>
      </c>
      <c r="AK6629">
        <v>46.98</v>
      </c>
      <c r="AN6629" t="s">
        <v>7439</v>
      </c>
      <c r="AO6629">
        <v>10020</v>
      </c>
      <c r="AU6629">
        <v>1.5</v>
      </c>
      <c r="AV6629" t="s">
        <v>765</v>
      </c>
      <c r="AW6629" t="s">
        <v>219</v>
      </c>
    </row>
    <row r="6630" spans="1:50">
      <c r="A6630" s="1">
        <f>HYPERLINK("https://lsnyc.legalserver.org/matter/dynamic-profile/view/1894682","19-1894682")</f>
        <v>0</v>
      </c>
      <c r="B6630" t="s">
        <v>117</v>
      </c>
      <c r="C6630" t="s">
        <v>340</v>
      </c>
      <c r="D6630" t="s">
        <v>787</v>
      </c>
      <c r="F6630" t="s">
        <v>1096</v>
      </c>
      <c r="G6630" t="s">
        <v>2749</v>
      </c>
      <c r="H6630" t="s">
        <v>14412</v>
      </c>
      <c r="I6630">
        <v>1</v>
      </c>
      <c r="J6630" t="s">
        <v>18894</v>
      </c>
      <c r="K6630">
        <v>11208</v>
      </c>
      <c r="L6630" t="s">
        <v>18958</v>
      </c>
      <c r="M6630" t="s">
        <v>18958</v>
      </c>
      <c r="N6630" t="s">
        <v>23845</v>
      </c>
      <c r="O6630" t="s">
        <v>26524</v>
      </c>
      <c r="P6630" t="s">
        <v>26560</v>
      </c>
      <c r="R6630" t="s">
        <v>26578</v>
      </c>
      <c r="S6630" t="s">
        <v>18959</v>
      </c>
      <c r="U6630" t="s">
        <v>26604</v>
      </c>
      <c r="V6630" t="s">
        <v>26610</v>
      </c>
      <c r="W6630" t="s">
        <v>777</v>
      </c>
      <c r="X6630">
        <v>1100</v>
      </c>
      <c r="Y6630" t="s">
        <v>26652</v>
      </c>
      <c r="Z6630" t="s">
        <v>26664</v>
      </c>
      <c r="AB6630" t="s">
        <v>29274</v>
      </c>
      <c r="AC6630" t="s">
        <v>36212</v>
      </c>
      <c r="AD6630" t="s">
        <v>42097</v>
      </c>
      <c r="AE6630">
        <v>3</v>
      </c>
      <c r="AF6630" t="s">
        <v>45547</v>
      </c>
      <c r="AG6630" t="s">
        <v>26530</v>
      </c>
      <c r="AH6630">
        <v>21</v>
      </c>
      <c r="AI6630">
        <v>4</v>
      </c>
      <c r="AJ6630">
        <v>6</v>
      </c>
      <c r="AK6630">
        <v>76.67</v>
      </c>
      <c r="AN6630" t="s">
        <v>7439</v>
      </c>
      <c r="AO6630">
        <v>40075</v>
      </c>
      <c r="AU6630">
        <v>0.5</v>
      </c>
      <c r="AV6630" t="s">
        <v>671</v>
      </c>
      <c r="AW6630" t="s">
        <v>286</v>
      </c>
      <c r="AX6630" t="s">
        <v>46897</v>
      </c>
    </row>
    <row r="6631" spans="1:50">
      <c r="A6631" s="1">
        <f>HYPERLINK("https://lsnyc.legalserver.org/matter/dynamic-profile/view/1894638","19-1894638")</f>
        <v>0</v>
      </c>
      <c r="B6631" t="s">
        <v>243</v>
      </c>
      <c r="C6631" t="s">
        <v>340</v>
      </c>
      <c r="D6631" t="s">
        <v>787</v>
      </c>
      <c r="F6631" t="s">
        <v>3305</v>
      </c>
      <c r="G6631" t="s">
        <v>5693</v>
      </c>
      <c r="H6631" t="s">
        <v>13612</v>
      </c>
      <c r="I6631" t="s">
        <v>17277</v>
      </c>
      <c r="J6631" t="s">
        <v>18894</v>
      </c>
      <c r="K6631">
        <v>11225</v>
      </c>
      <c r="L6631" t="s">
        <v>18958</v>
      </c>
      <c r="M6631" t="s">
        <v>18958</v>
      </c>
      <c r="O6631" t="s">
        <v>26528</v>
      </c>
      <c r="P6631" t="s">
        <v>26560</v>
      </c>
      <c r="R6631" t="s">
        <v>26578</v>
      </c>
      <c r="S6631" t="s">
        <v>18958</v>
      </c>
      <c r="U6631" t="s">
        <v>26604</v>
      </c>
      <c r="W6631" t="s">
        <v>777</v>
      </c>
      <c r="X6631">
        <v>1928.63</v>
      </c>
      <c r="Y6631" t="s">
        <v>26652</v>
      </c>
      <c r="AB6631" t="s">
        <v>31818</v>
      </c>
      <c r="AE6631">
        <v>0</v>
      </c>
      <c r="AH6631">
        <v>8</v>
      </c>
      <c r="AI6631">
        <v>1</v>
      </c>
      <c r="AJ6631">
        <v>0</v>
      </c>
      <c r="AK6631">
        <v>200.16</v>
      </c>
      <c r="AN6631" t="s">
        <v>7439</v>
      </c>
      <c r="AO6631">
        <v>25000</v>
      </c>
      <c r="AU6631">
        <v>0</v>
      </c>
      <c r="AW6631" t="s">
        <v>219</v>
      </c>
      <c r="AX6631" t="s">
        <v>46897</v>
      </c>
    </row>
    <row r="6632" spans="1:50">
      <c r="A6632" s="1">
        <f>HYPERLINK("https://lsnyc.legalserver.org/matter/dynamic-profile/view/1894656","19-1894656")</f>
        <v>0</v>
      </c>
      <c r="B6632" t="s">
        <v>243</v>
      </c>
      <c r="C6632" t="s">
        <v>340</v>
      </c>
      <c r="D6632" t="s">
        <v>787</v>
      </c>
      <c r="F6632" t="s">
        <v>3305</v>
      </c>
      <c r="G6632" t="s">
        <v>5693</v>
      </c>
      <c r="H6632" t="s">
        <v>13612</v>
      </c>
      <c r="I6632" t="s">
        <v>17277</v>
      </c>
      <c r="J6632" t="s">
        <v>18894</v>
      </c>
      <c r="K6632">
        <v>11225</v>
      </c>
      <c r="L6632" t="s">
        <v>18958</v>
      </c>
      <c r="M6632" t="s">
        <v>18958</v>
      </c>
      <c r="O6632" t="s">
        <v>26528</v>
      </c>
      <c r="P6632" t="s">
        <v>26560</v>
      </c>
      <c r="R6632" t="s">
        <v>26578</v>
      </c>
      <c r="S6632" t="s">
        <v>18958</v>
      </c>
      <c r="U6632" t="s">
        <v>26604</v>
      </c>
      <c r="W6632" t="s">
        <v>777</v>
      </c>
      <c r="X6632">
        <v>1928.63</v>
      </c>
      <c r="Y6632" t="s">
        <v>26652</v>
      </c>
      <c r="AB6632" t="s">
        <v>31818</v>
      </c>
      <c r="AE6632">
        <v>0</v>
      </c>
      <c r="AH6632">
        <v>8</v>
      </c>
      <c r="AI6632">
        <v>1</v>
      </c>
      <c r="AJ6632">
        <v>0</v>
      </c>
      <c r="AK6632">
        <v>200.16</v>
      </c>
      <c r="AN6632" t="s">
        <v>7439</v>
      </c>
      <c r="AO6632">
        <v>25000</v>
      </c>
      <c r="AU6632">
        <v>0</v>
      </c>
      <c r="AW6632" t="s">
        <v>219</v>
      </c>
      <c r="AX6632" t="s">
        <v>46897</v>
      </c>
    </row>
    <row r="6633" spans="1:50">
      <c r="A6633" s="1">
        <f>HYPERLINK("https://lsnyc.legalserver.org/matter/dynamic-profile/view/1895969","19-1895969")</f>
        <v>0</v>
      </c>
      <c r="B6633" t="s">
        <v>109</v>
      </c>
      <c r="C6633" t="s">
        <v>340</v>
      </c>
      <c r="D6633" t="s">
        <v>791</v>
      </c>
      <c r="F6633" t="s">
        <v>2754</v>
      </c>
      <c r="G6633" t="s">
        <v>8089</v>
      </c>
      <c r="H6633" t="s">
        <v>14413</v>
      </c>
      <c r="I6633" t="s">
        <v>17389</v>
      </c>
      <c r="J6633" t="s">
        <v>18902</v>
      </c>
      <c r="K6633">
        <v>10301</v>
      </c>
      <c r="L6633" t="s">
        <v>18958</v>
      </c>
      <c r="M6633" t="s">
        <v>18958</v>
      </c>
      <c r="P6633" t="s">
        <v>26564</v>
      </c>
      <c r="R6633" t="s">
        <v>26578</v>
      </c>
      <c r="U6633" t="s">
        <v>26604</v>
      </c>
      <c r="W6633" t="s">
        <v>777</v>
      </c>
      <c r="X6633">
        <v>0</v>
      </c>
      <c r="Y6633" t="s">
        <v>26654</v>
      </c>
      <c r="AB6633" t="s">
        <v>31819</v>
      </c>
      <c r="AD6633" t="s">
        <v>42098</v>
      </c>
      <c r="AE6633">
        <v>0</v>
      </c>
      <c r="AH6633">
        <v>0</v>
      </c>
      <c r="AI6633">
        <v>1</v>
      </c>
      <c r="AJ6633">
        <v>0</v>
      </c>
      <c r="AK6633">
        <v>280.22</v>
      </c>
      <c r="AN6633" t="s">
        <v>7439</v>
      </c>
      <c r="AO6633">
        <v>35000</v>
      </c>
      <c r="AU6633">
        <v>0</v>
      </c>
      <c r="AW6633" t="s">
        <v>219</v>
      </c>
    </row>
    <row r="6634" spans="1:50">
      <c r="A6634" s="1">
        <f>HYPERLINK("https://lsnyc.legalserver.org/matter/dynamic-profile/view/1896200","19-1896200")</f>
        <v>0</v>
      </c>
      <c r="B6634" t="s">
        <v>256</v>
      </c>
      <c r="C6634" t="s">
        <v>340</v>
      </c>
      <c r="D6634" t="s">
        <v>792</v>
      </c>
      <c r="F6634" t="s">
        <v>962</v>
      </c>
      <c r="G6634" t="s">
        <v>5330</v>
      </c>
      <c r="H6634" t="s">
        <v>14414</v>
      </c>
      <c r="J6634" t="s">
        <v>18894</v>
      </c>
      <c r="K6634">
        <v>11208</v>
      </c>
      <c r="L6634" t="s">
        <v>18958</v>
      </c>
      <c r="M6634" t="s">
        <v>18958</v>
      </c>
      <c r="N6634" t="s">
        <v>23846</v>
      </c>
      <c r="O6634" t="s">
        <v>26524</v>
      </c>
      <c r="P6634" t="s">
        <v>26560</v>
      </c>
      <c r="R6634" t="s">
        <v>26578</v>
      </c>
      <c r="S6634" t="s">
        <v>18959</v>
      </c>
      <c r="U6634" t="s">
        <v>26604</v>
      </c>
      <c r="W6634" t="s">
        <v>777</v>
      </c>
      <c r="X6634">
        <v>810</v>
      </c>
      <c r="Y6634" t="s">
        <v>26652</v>
      </c>
      <c r="AB6634" t="s">
        <v>31820</v>
      </c>
      <c r="AD6634" t="s">
        <v>42099</v>
      </c>
      <c r="AE6634">
        <v>0</v>
      </c>
      <c r="AH6634">
        <v>20</v>
      </c>
      <c r="AI6634">
        <v>1</v>
      </c>
      <c r="AJ6634">
        <v>0</v>
      </c>
      <c r="AK6634">
        <v>116.54</v>
      </c>
      <c r="AN6634" t="s">
        <v>45581</v>
      </c>
      <c r="AO6634">
        <v>14556</v>
      </c>
      <c r="AU6634">
        <v>3</v>
      </c>
      <c r="AV6634" t="s">
        <v>768</v>
      </c>
      <c r="AW6634" t="s">
        <v>219</v>
      </c>
    </row>
    <row r="6635" spans="1:50">
      <c r="A6635" s="1">
        <f>HYPERLINK("https://lsnyc.legalserver.org/matter/dynamic-profile/view/1896710","19-1896710")</f>
        <v>0</v>
      </c>
      <c r="B6635" t="s">
        <v>276</v>
      </c>
      <c r="C6635" t="s">
        <v>340</v>
      </c>
      <c r="D6635" t="s">
        <v>671</v>
      </c>
      <c r="F6635" t="s">
        <v>1051</v>
      </c>
      <c r="G6635" t="s">
        <v>3283</v>
      </c>
      <c r="H6635" t="s">
        <v>12547</v>
      </c>
      <c r="I6635">
        <v>15</v>
      </c>
      <c r="J6635" t="s">
        <v>18894</v>
      </c>
      <c r="K6635">
        <v>11226</v>
      </c>
      <c r="L6635" t="s">
        <v>18958</v>
      </c>
      <c r="M6635" t="s">
        <v>18958</v>
      </c>
      <c r="O6635" t="s">
        <v>26526</v>
      </c>
      <c r="P6635" t="s">
        <v>26560</v>
      </c>
      <c r="R6635" t="s">
        <v>26578</v>
      </c>
      <c r="S6635" t="s">
        <v>18958</v>
      </c>
      <c r="U6635" t="s">
        <v>26604</v>
      </c>
      <c r="W6635" t="s">
        <v>777</v>
      </c>
      <c r="X6635">
        <v>717</v>
      </c>
      <c r="Y6635" t="s">
        <v>26652</v>
      </c>
      <c r="AB6635" t="s">
        <v>31821</v>
      </c>
      <c r="AD6635" t="s">
        <v>42100</v>
      </c>
      <c r="AE6635">
        <v>0</v>
      </c>
      <c r="AH6635">
        <v>14</v>
      </c>
      <c r="AI6635">
        <v>3</v>
      </c>
      <c r="AJ6635">
        <v>0</v>
      </c>
      <c r="AK6635">
        <v>328.18</v>
      </c>
      <c r="AN6635" t="s">
        <v>7439</v>
      </c>
      <c r="AO6635">
        <v>70000</v>
      </c>
      <c r="AU6635">
        <v>0.1</v>
      </c>
      <c r="AV6635" t="s">
        <v>826</v>
      </c>
      <c r="AW6635" t="s">
        <v>219</v>
      </c>
    </row>
    <row r="6636" spans="1:50">
      <c r="A6636" s="1">
        <f>HYPERLINK("https://lsnyc.legalserver.org/matter/dynamic-profile/view/1881179","18-1881179")</f>
        <v>0</v>
      </c>
      <c r="B6636" t="s">
        <v>125</v>
      </c>
      <c r="C6636" t="s">
        <v>340</v>
      </c>
      <c r="D6636" t="s">
        <v>631</v>
      </c>
      <c r="F6636" t="s">
        <v>868</v>
      </c>
      <c r="G6636" t="s">
        <v>8090</v>
      </c>
      <c r="H6636" t="s">
        <v>14415</v>
      </c>
      <c r="I6636" t="s">
        <v>17415</v>
      </c>
      <c r="J6636" t="s">
        <v>18894</v>
      </c>
      <c r="K6636">
        <v>11208</v>
      </c>
      <c r="L6636" t="s">
        <v>18958</v>
      </c>
      <c r="M6636" t="s">
        <v>18959</v>
      </c>
      <c r="N6636" t="s">
        <v>23847</v>
      </c>
      <c r="O6636" t="s">
        <v>26524</v>
      </c>
      <c r="P6636" t="s">
        <v>26560</v>
      </c>
      <c r="R6636" t="s">
        <v>26578</v>
      </c>
      <c r="S6636" t="s">
        <v>18959</v>
      </c>
      <c r="U6636" t="s">
        <v>26604</v>
      </c>
      <c r="V6636" t="s">
        <v>26610</v>
      </c>
      <c r="W6636" t="s">
        <v>787</v>
      </c>
      <c r="X6636">
        <v>1700</v>
      </c>
      <c r="Y6636" t="s">
        <v>26652</v>
      </c>
      <c r="Z6636" t="s">
        <v>26673</v>
      </c>
      <c r="AA6636" t="s">
        <v>26683</v>
      </c>
      <c r="AB6636" t="s">
        <v>31822</v>
      </c>
      <c r="AC6636" t="s">
        <v>36213</v>
      </c>
      <c r="AE6636">
        <v>3</v>
      </c>
      <c r="AF6636" t="s">
        <v>45547</v>
      </c>
      <c r="AG6636" t="s">
        <v>19330</v>
      </c>
      <c r="AH6636">
        <v>6</v>
      </c>
      <c r="AI6636">
        <v>2</v>
      </c>
      <c r="AJ6636">
        <v>0</v>
      </c>
      <c r="AK6636">
        <v>82.27</v>
      </c>
      <c r="AN6636" t="s">
        <v>7439</v>
      </c>
      <c r="AO6636">
        <v>13542</v>
      </c>
      <c r="AU6636">
        <v>15.35</v>
      </c>
      <c r="AV6636" t="s">
        <v>821</v>
      </c>
      <c r="AW6636" t="s">
        <v>46842</v>
      </c>
      <c r="AX6636" t="s">
        <v>46897</v>
      </c>
    </row>
    <row r="6637" spans="1:50">
      <c r="A6637" s="1">
        <f>HYPERLINK("https://lsnyc.legalserver.org/matter/dynamic-profile/view/1893494","19-1893494")</f>
        <v>0</v>
      </c>
      <c r="B6637" t="s">
        <v>234</v>
      </c>
      <c r="C6637" t="s">
        <v>340</v>
      </c>
      <c r="D6637" t="s">
        <v>784</v>
      </c>
      <c r="F6637" t="s">
        <v>2120</v>
      </c>
      <c r="G6637" t="s">
        <v>5982</v>
      </c>
      <c r="H6637" t="s">
        <v>11839</v>
      </c>
      <c r="I6637">
        <v>208</v>
      </c>
      <c r="J6637" t="s">
        <v>18893</v>
      </c>
      <c r="K6637">
        <v>10029</v>
      </c>
      <c r="L6637" t="s">
        <v>18958</v>
      </c>
      <c r="M6637" t="s">
        <v>18958</v>
      </c>
      <c r="N6637" t="s">
        <v>23848</v>
      </c>
      <c r="O6637" t="s">
        <v>26523</v>
      </c>
      <c r="P6637" t="s">
        <v>26564</v>
      </c>
      <c r="R6637" t="s">
        <v>26578</v>
      </c>
      <c r="U6637" t="s">
        <v>26604</v>
      </c>
      <c r="W6637" t="s">
        <v>787</v>
      </c>
      <c r="X6637">
        <v>680</v>
      </c>
      <c r="Y6637" t="s">
        <v>26651</v>
      </c>
      <c r="Z6637" t="s">
        <v>26530</v>
      </c>
      <c r="AB6637" t="s">
        <v>29501</v>
      </c>
      <c r="AD6637" t="s">
        <v>42101</v>
      </c>
      <c r="AE6637">
        <v>30</v>
      </c>
      <c r="AF6637" t="s">
        <v>45550</v>
      </c>
      <c r="AG6637" t="s">
        <v>19330</v>
      </c>
      <c r="AH6637">
        <v>16</v>
      </c>
      <c r="AI6637">
        <v>1</v>
      </c>
      <c r="AJ6637">
        <v>0</v>
      </c>
      <c r="AK6637">
        <v>144.55</v>
      </c>
      <c r="AN6637" t="s">
        <v>7439</v>
      </c>
      <c r="AO6637">
        <v>18054</v>
      </c>
      <c r="AU6637">
        <v>1.7</v>
      </c>
      <c r="AV6637" t="s">
        <v>787</v>
      </c>
      <c r="AW6637" t="s">
        <v>46841</v>
      </c>
    </row>
    <row r="6638" spans="1:50">
      <c r="A6638" s="1">
        <f>HYPERLINK("https://lsnyc.legalserver.org/matter/dynamic-profile/view/1894146","19-1894146")</f>
        <v>0</v>
      </c>
      <c r="B6638" t="s">
        <v>200</v>
      </c>
      <c r="C6638" t="s">
        <v>341</v>
      </c>
      <c r="D6638" t="s">
        <v>786</v>
      </c>
      <c r="E6638" t="s">
        <v>788</v>
      </c>
      <c r="F6638" t="s">
        <v>3752</v>
      </c>
      <c r="G6638" t="s">
        <v>5375</v>
      </c>
      <c r="H6638" t="s">
        <v>14416</v>
      </c>
      <c r="I6638" t="s">
        <v>17309</v>
      </c>
      <c r="J6638" t="s">
        <v>18894</v>
      </c>
      <c r="K6638">
        <v>11233</v>
      </c>
      <c r="L6638" t="s">
        <v>18958</v>
      </c>
      <c r="M6638" t="s">
        <v>18958</v>
      </c>
      <c r="N6638" t="s">
        <v>23849</v>
      </c>
      <c r="O6638" t="s">
        <v>26524</v>
      </c>
      <c r="P6638" t="s">
        <v>26564</v>
      </c>
      <c r="Q6638" t="s">
        <v>26570</v>
      </c>
      <c r="R6638" t="s">
        <v>26578</v>
      </c>
      <c r="S6638" t="s">
        <v>26598</v>
      </c>
      <c r="U6638" t="s">
        <v>26604</v>
      </c>
      <c r="W6638" t="s">
        <v>787</v>
      </c>
      <c r="X6638">
        <v>650</v>
      </c>
      <c r="Y6638" t="s">
        <v>26652</v>
      </c>
      <c r="Z6638" t="s">
        <v>26674</v>
      </c>
      <c r="AA6638" t="s">
        <v>26683</v>
      </c>
      <c r="AB6638" t="s">
        <v>29226</v>
      </c>
      <c r="AC6638" t="s">
        <v>19330</v>
      </c>
      <c r="AD6638" t="s">
        <v>42102</v>
      </c>
      <c r="AE6638">
        <v>10</v>
      </c>
      <c r="AH6638">
        <v>3</v>
      </c>
      <c r="AI6638">
        <v>1</v>
      </c>
      <c r="AJ6638">
        <v>0</v>
      </c>
      <c r="AK6638">
        <v>73.98</v>
      </c>
      <c r="AN6638" t="s">
        <v>7439</v>
      </c>
      <c r="AO6638">
        <v>9240</v>
      </c>
      <c r="AU6638">
        <v>2.2</v>
      </c>
      <c r="AV6638" t="s">
        <v>787</v>
      </c>
      <c r="AW6638" t="s">
        <v>46861</v>
      </c>
      <c r="AX6638" t="s">
        <v>46897</v>
      </c>
    </row>
    <row r="6639" spans="1:50">
      <c r="A6639" s="1">
        <f>HYPERLINK("https://lsnyc.legalserver.org/matter/dynamic-profile/view/1894678","19-1894678")</f>
        <v>0</v>
      </c>
      <c r="B6639" t="s">
        <v>165</v>
      </c>
      <c r="C6639" t="s">
        <v>341</v>
      </c>
      <c r="D6639" t="s">
        <v>787</v>
      </c>
      <c r="E6639" t="s">
        <v>832</v>
      </c>
      <c r="F6639" t="s">
        <v>1228</v>
      </c>
      <c r="G6639" t="s">
        <v>8091</v>
      </c>
      <c r="H6639" t="s">
        <v>14417</v>
      </c>
      <c r="I6639">
        <v>45</v>
      </c>
      <c r="J6639" t="s">
        <v>18893</v>
      </c>
      <c r="K6639">
        <v>10032</v>
      </c>
      <c r="L6639" t="s">
        <v>18958</v>
      </c>
      <c r="M6639" t="s">
        <v>18958</v>
      </c>
      <c r="N6639" t="s">
        <v>23850</v>
      </c>
      <c r="O6639" t="s">
        <v>26523</v>
      </c>
      <c r="P6639" t="s">
        <v>26565</v>
      </c>
      <c r="Q6639" t="s">
        <v>26571</v>
      </c>
      <c r="R6639" t="s">
        <v>26578</v>
      </c>
      <c r="S6639" t="s">
        <v>18959</v>
      </c>
      <c r="U6639" t="s">
        <v>26604</v>
      </c>
      <c r="W6639" t="s">
        <v>787</v>
      </c>
      <c r="X6639">
        <v>1088.62</v>
      </c>
      <c r="Y6639" t="s">
        <v>26651</v>
      </c>
      <c r="Z6639" t="s">
        <v>26664</v>
      </c>
      <c r="AA6639" t="s">
        <v>26683</v>
      </c>
      <c r="AB6639" t="s">
        <v>31823</v>
      </c>
      <c r="AD6639" t="s">
        <v>42103</v>
      </c>
      <c r="AE6639">
        <v>0</v>
      </c>
      <c r="AF6639" t="s">
        <v>45541</v>
      </c>
      <c r="AG6639" t="s">
        <v>19330</v>
      </c>
      <c r="AH6639">
        <v>16</v>
      </c>
      <c r="AI6639">
        <v>5</v>
      </c>
      <c r="AJ6639">
        <v>1</v>
      </c>
      <c r="AK6639">
        <v>185.02</v>
      </c>
      <c r="AN6639" t="s">
        <v>45581</v>
      </c>
      <c r="AO6639">
        <v>64000</v>
      </c>
      <c r="AU6639">
        <v>0.6</v>
      </c>
      <c r="AV6639" t="s">
        <v>831</v>
      </c>
      <c r="AW6639" t="s">
        <v>46875</v>
      </c>
      <c r="AX6639" t="s">
        <v>46897</v>
      </c>
    </row>
    <row r="6640" spans="1:50">
      <c r="A6640" s="1">
        <f>HYPERLINK("https://lsnyc.legalserver.org/matter/dynamic-profile/view/1894642","19-1894642")</f>
        <v>0</v>
      </c>
      <c r="B6640" t="s">
        <v>165</v>
      </c>
      <c r="C6640" t="s">
        <v>341</v>
      </c>
      <c r="D6640" t="s">
        <v>787</v>
      </c>
      <c r="E6640" t="s">
        <v>832</v>
      </c>
      <c r="F6640" t="s">
        <v>1133</v>
      </c>
      <c r="G6640" t="s">
        <v>5685</v>
      </c>
      <c r="H6640" t="s">
        <v>13183</v>
      </c>
      <c r="I6640">
        <v>22</v>
      </c>
      <c r="J6640" t="s">
        <v>18893</v>
      </c>
      <c r="K6640">
        <v>10033</v>
      </c>
      <c r="L6640" t="s">
        <v>18958</v>
      </c>
      <c r="M6640" t="s">
        <v>18958</v>
      </c>
      <c r="N6640" t="s">
        <v>23851</v>
      </c>
      <c r="O6640" t="s">
        <v>26524</v>
      </c>
      <c r="P6640" t="s">
        <v>26564</v>
      </c>
      <c r="Q6640" t="s">
        <v>26570</v>
      </c>
      <c r="R6640" t="s">
        <v>26582</v>
      </c>
      <c r="S6640" t="s">
        <v>18959</v>
      </c>
      <c r="U6640" t="s">
        <v>26604</v>
      </c>
      <c r="V6640" t="s">
        <v>26610</v>
      </c>
      <c r="W6640" t="s">
        <v>787</v>
      </c>
      <c r="X6640">
        <v>114837</v>
      </c>
      <c r="Y6640" t="s">
        <v>26651</v>
      </c>
      <c r="Z6640" t="s">
        <v>26664</v>
      </c>
      <c r="AA6640" t="s">
        <v>26683</v>
      </c>
      <c r="AB6640" t="s">
        <v>31824</v>
      </c>
      <c r="AC6640" t="s">
        <v>36214</v>
      </c>
      <c r="AD6640" t="s">
        <v>42104</v>
      </c>
      <c r="AE6640">
        <v>10</v>
      </c>
      <c r="AF6640" t="s">
        <v>20460</v>
      </c>
      <c r="AG6640" t="s">
        <v>45559</v>
      </c>
      <c r="AH6640">
        <v>18</v>
      </c>
      <c r="AI6640">
        <v>2</v>
      </c>
      <c r="AJ6640">
        <v>0</v>
      </c>
      <c r="AK6640">
        <v>53.22</v>
      </c>
      <c r="AN6640" t="s">
        <v>45581</v>
      </c>
      <c r="AO6640">
        <v>9000</v>
      </c>
      <c r="AU6640">
        <v>2.1</v>
      </c>
      <c r="AV6640" t="s">
        <v>763</v>
      </c>
      <c r="AW6640" t="s">
        <v>46835</v>
      </c>
    </row>
    <row r="6641" spans="1:50">
      <c r="A6641" s="1">
        <f>HYPERLINK("https://lsnyc.legalserver.org/matter/dynamic-profile/view/1894715","19-1894715")</f>
        <v>0</v>
      </c>
      <c r="B6641" t="s">
        <v>130</v>
      </c>
      <c r="C6641" t="s">
        <v>341</v>
      </c>
      <c r="D6641" t="s">
        <v>787</v>
      </c>
      <c r="E6641" t="s">
        <v>769</v>
      </c>
      <c r="F6641" t="s">
        <v>1972</v>
      </c>
      <c r="G6641" t="s">
        <v>5266</v>
      </c>
      <c r="H6641" t="s">
        <v>13284</v>
      </c>
      <c r="I6641" t="s">
        <v>18385</v>
      </c>
      <c r="J6641" t="s">
        <v>18901</v>
      </c>
      <c r="K6641">
        <v>11434</v>
      </c>
      <c r="L6641" t="s">
        <v>18958</v>
      </c>
      <c r="M6641" t="s">
        <v>18958</v>
      </c>
      <c r="N6641" t="s">
        <v>23852</v>
      </c>
      <c r="O6641" t="s">
        <v>26523</v>
      </c>
      <c r="P6641" t="s">
        <v>26560</v>
      </c>
      <c r="Q6641" t="s">
        <v>26573</v>
      </c>
      <c r="R6641" t="s">
        <v>26585</v>
      </c>
      <c r="S6641" t="s">
        <v>18959</v>
      </c>
      <c r="U6641" t="s">
        <v>26604</v>
      </c>
      <c r="V6641" t="s">
        <v>26610</v>
      </c>
      <c r="W6641" t="s">
        <v>787</v>
      </c>
      <c r="X6641">
        <v>1200</v>
      </c>
      <c r="Y6641" t="s">
        <v>26653</v>
      </c>
      <c r="Z6641" t="s">
        <v>26668</v>
      </c>
      <c r="AA6641" t="s">
        <v>26678</v>
      </c>
      <c r="AB6641" t="s">
        <v>31825</v>
      </c>
      <c r="AD6641" t="s">
        <v>42105</v>
      </c>
      <c r="AE6641">
        <v>64</v>
      </c>
      <c r="AF6641" t="s">
        <v>45542</v>
      </c>
      <c r="AG6641" t="s">
        <v>19330</v>
      </c>
      <c r="AH6641">
        <v>37</v>
      </c>
      <c r="AI6641">
        <v>1</v>
      </c>
      <c r="AJ6641">
        <v>0</v>
      </c>
      <c r="AK6641">
        <v>72.06</v>
      </c>
      <c r="AN6641" t="s">
        <v>7439</v>
      </c>
      <c r="AO6641">
        <v>9000</v>
      </c>
      <c r="AR6641" t="s">
        <v>46379</v>
      </c>
      <c r="AS6641" t="s">
        <v>46499</v>
      </c>
      <c r="AT6641" t="s">
        <v>46606</v>
      </c>
      <c r="AU6641">
        <v>1.5</v>
      </c>
      <c r="AV6641" t="s">
        <v>787</v>
      </c>
      <c r="AW6641" t="s">
        <v>130</v>
      </c>
    </row>
    <row r="6642" spans="1:50">
      <c r="A6642" s="1">
        <f>HYPERLINK("https://lsnyc.legalserver.org/matter/dynamic-profile/view/1894681","19-1894681")</f>
        <v>0</v>
      </c>
      <c r="B6642" t="s">
        <v>66</v>
      </c>
      <c r="C6642" t="s">
        <v>341</v>
      </c>
      <c r="D6642" t="s">
        <v>787</v>
      </c>
      <c r="E6642" t="s">
        <v>797</v>
      </c>
      <c r="F6642" t="s">
        <v>1527</v>
      </c>
      <c r="G6642" t="s">
        <v>8092</v>
      </c>
      <c r="H6642" t="s">
        <v>14418</v>
      </c>
      <c r="I6642" t="s">
        <v>17705</v>
      </c>
      <c r="J6642" t="s">
        <v>18893</v>
      </c>
      <c r="K6642">
        <v>10033</v>
      </c>
      <c r="L6642" t="s">
        <v>18958</v>
      </c>
      <c r="M6642" t="s">
        <v>18958</v>
      </c>
      <c r="N6642" t="s">
        <v>23853</v>
      </c>
      <c r="O6642" t="s">
        <v>26523</v>
      </c>
      <c r="P6642" t="s">
        <v>26564</v>
      </c>
      <c r="Q6642" t="s">
        <v>26570</v>
      </c>
      <c r="R6642" t="s">
        <v>26582</v>
      </c>
      <c r="S6642" t="s">
        <v>18959</v>
      </c>
      <c r="U6642" t="s">
        <v>26604</v>
      </c>
      <c r="V6642" t="s">
        <v>26610</v>
      </c>
      <c r="W6642" t="s">
        <v>787</v>
      </c>
      <c r="X6642">
        <v>1327</v>
      </c>
      <c r="Y6642" t="s">
        <v>26651</v>
      </c>
      <c r="Z6642" t="s">
        <v>26664</v>
      </c>
      <c r="AA6642" t="s">
        <v>26683</v>
      </c>
      <c r="AB6642" t="s">
        <v>31826</v>
      </c>
      <c r="AD6642" t="s">
        <v>42106</v>
      </c>
      <c r="AE6642">
        <v>0</v>
      </c>
      <c r="AF6642" t="s">
        <v>45541</v>
      </c>
      <c r="AG6642" t="s">
        <v>19330</v>
      </c>
      <c r="AH6642">
        <v>30</v>
      </c>
      <c r="AI6642">
        <v>1</v>
      </c>
      <c r="AJ6642">
        <v>0</v>
      </c>
      <c r="AK6642">
        <v>0</v>
      </c>
      <c r="AN6642" t="s">
        <v>7439</v>
      </c>
      <c r="AO6642">
        <v>0</v>
      </c>
      <c r="AU6642">
        <v>1.5</v>
      </c>
      <c r="AV6642" t="s">
        <v>823</v>
      </c>
      <c r="AW6642" t="s">
        <v>46835</v>
      </c>
      <c r="AX6642" t="s">
        <v>46897</v>
      </c>
    </row>
    <row r="6643" spans="1:50">
      <c r="A6643" s="1">
        <f>HYPERLINK("https://lsnyc.legalserver.org/matter/dynamic-profile/view/1894640","19-1894640")</f>
        <v>0</v>
      </c>
      <c r="B6643" t="s">
        <v>66</v>
      </c>
      <c r="C6643" t="s">
        <v>341</v>
      </c>
      <c r="D6643" t="s">
        <v>787</v>
      </c>
      <c r="E6643" t="s">
        <v>827</v>
      </c>
      <c r="F6643" t="s">
        <v>1314</v>
      </c>
      <c r="G6643" t="s">
        <v>2749</v>
      </c>
      <c r="H6643" t="s">
        <v>14419</v>
      </c>
      <c r="I6643" t="s">
        <v>17281</v>
      </c>
      <c r="J6643" t="s">
        <v>18893</v>
      </c>
      <c r="K6643">
        <v>10029</v>
      </c>
      <c r="L6643" t="s">
        <v>18958</v>
      </c>
      <c r="M6643" t="s">
        <v>18958</v>
      </c>
      <c r="N6643" t="s">
        <v>23854</v>
      </c>
      <c r="O6643" t="s">
        <v>26523</v>
      </c>
      <c r="P6643" t="s">
        <v>26564</v>
      </c>
      <c r="Q6643" t="s">
        <v>26570</v>
      </c>
      <c r="R6643" t="s">
        <v>26582</v>
      </c>
      <c r="S6643" t="s">
        <v>18959</v>
      </c>
      <c r="U6643" t="s">
        <v>26605</v>
      </c>
      <c r="V6643" t="s">
        <v>26610</v>
      </c>
      <c r="W6643" t="s">
        <v>787</v>
      </c>
      <c r="X6643">
        <v>274</v>
      </c>
      <c r="Y6643" t="s">
        <v>26651</v>
      </c>
      <c r="Z6643" t="s">
        <v>26664</v>
      </c>
      <c r="AA6643" t="s">
        <v>26683</v>
      </c>
      <c r="AB6643" t="s">
        <v>31827</v>
      </c>
      <c r="AD6643" t="s">
        <v>42107</v>
      </c>
      <c r="AE6643">
        <v>0</v>
      </c>
      <c r="AF6643" t="s">
        <v>45542</v>
      </c>
      <c r="AG6643" t="s">
        <v>19330</v>
      </c>
      <c r="AH6643">
        <v>25</v>
      </c>
      <c r="AI6643">
        <v>1</v>
      </c>
      <c r="AJ6643">
        <v>0</v>
      </c>
      <c r="AK6643">
        <v>94.16</v>
      </c>
      <c r="AN6643" t="s">
        <v>45581</v>
      </c>
      <c r="AO6643">
        <v>11760</v>
      </c>
      <c r="AU6643">
        <v>1.5</v>
      </c>
      <c r="AV6643" t="s">
        <v>823</v>
      </c>
      <c r="AW6643" t="s">
        <v>46835</v>
      </c>
      <c r="AX6643" t="s">
        <v>46897</v>
      </c>
    </row>
    <row r="6644" spans="1:50">
      <c r="A6644" s="1">
        <f>HYPERLINK("https://lsnyc.legalserver.org/matter/dynamic-profile/view/1894695","19-1894695")</f>
        <v>0</v>
      </c>
      <c r="B6644" t="s">
        <v>258</v>
      </c>
      <c r="C6644" t="s">
        <v>341</v>
      </c>
      <c r="D6644" t="s">
        <v>787</v>
      </c>
      <c r="E6644" t="s">
        <v>822</v>
      </c>
      <c r="F6644" t="s">
        <v>3753</v>
      </c>
      <c r="G6644" t="s">
        <v>5419</v>
      </c>
      <c r="H6644" t="s">
        <v>14420</v>
      </c>
      <c r="I6644" t="s">
        <v>17423</v>
      </c>
      <c r="J6644" t="s">
        <v>18901</v>
      </c>
      <c r="K6644">
        <v>11435</v>
      </c>
      <c r="L6644" t="s">
        <v>18958</v>
      </c>
      <c r="M6644" t="s">
        <v>18959</v>
      </c>
      <c r="N6644" t="s">
        <v>23855</v>
      </c>
      <c r="O6644" t="s">
        <v>26524</v>
      </c>
      <c r="P6644" t="s">
        <v>26564</v>
      </c>
      <c r="Q6644" t="s">
        <v>26570</v>
      </c>
      <c r="R6644" t="s">
        <v>26584</v>
      </c>
      <c r="S6644" t="s">
        <v>18959</v>
      </c>
      <c r="U6644" t="s">
        <v>26604</v>
      </c>
      <c r="V6644" t="s">
        <v>26612</v>
      </c>
      <c r="W6644" t="s">
        <v>787</v>
      </c>
      <c r="X6644">
        <v>0</v>
      </c>
      <c r="Y6644" t="s">
        <v>26653</v>
      </c>
      <c r="Z6644" t="s">
        <v>26655</v>
      </c>
      <c r="AA6644" t="s">
        <v>26683</v>
      </c>
      <c r="AB6644" t="s">
        <v>31828</v>
      </c>
      <c r="AC6644" t="s">
        <v>34738</v>
      </c>
      <c r="AD6644" t="s">
        <v>42108</v>
      </c>
      <c r="AE6644">
        <v>2</v>
      </c>
      <c r="AF6644" t="s">
        <v>45547</v>
      </c>
      <c r="AG6644" t="s">
        <v>19330</v>
      </c>
      <c r="AH6644">
        <v>2</v>
      </c>
      <c r="AI6644">
        <v>1</v>
      </c>
      <c r="AJ6644">
        <v>1</v>
      </c>
      <c r="AK6644">
        <v>126.16</v>
      </c>
      <c r="AN6644" t="s">
        <v>7439</v>
      </c>
      <c r="AO6644">
        <v>21334.08</v>
      </c>
      <c r="AU6644">
        <v>1</v>
      </c>
      <c r="AV6644" t="s">
        <v>803</v>
      </c>
      <c r="AW6644" t="s">
        <v>258</v>
      </c>
      <c r="AX6644" t="s">
        <v>46897</v>
      </c>
    </row>
    <row r="6645" spans="1:50">
      <c r="A6645" s="1">
        <f>HYPERLINK("https://lsnyc.legalserver.org/matter/dynamic-profile/view/1894699","19-1894699")</f>
        <v>0</v>
      </c>
      <c r="B6645" t="s">
        <v>141</v>
      </c>
      <c r="C6645" t="s">
        <v>341</v>
      </c>
      <c r="D6645" t="s">
        <v>787</v>
      </c>
      <c r="E6645" t="s">
        <v>819</v>
      </c>
      <c r="F6645" t="s">
        <v>1495</v>
      </c>
      <c r="G6645" t="s">
        <v>5663</v>
      </c>
      <c r="H6645" t="s">
        <v>9891</v>
      </c>
      <c r="I6645" t="s">
        <v>17325</v>
      </c>
      <c r="J6645" t="s">
        <v>18905</v>
      </c>
      <c r="K6645">
        <v>11692</v>
      </c>
      <c r="L6645" t="s">
        <v>18958</v>
      </c>
      <c r="M6645" t="s">
        <v>18958</v>
      </c>
      <c r="N6645" t="s">
        <v>18993</v>
      </c>
      <c r="O6645" t="s">
        <v>26531</v>
      </c>
      <c r="P6645" t="s">
        <v>26565</v>
      </c>
      <c r="Q6645" t="s">
        <v>26571</v>
      </c>
      <c r="R6645" t="s">
        <v>26578</v>
      </c>
      <c r="S6645" t="s">
        <v>18959</v>
      </c>
      <c r="U6645" t="s">
        <v>26604</v>
      </c>
      <c r="V6645" t="s">
        <v>26610</v>
      </c>
      <c r="W6645" t="s">
        <v>787</v>
      </c>
      <c r="X6645">
        <v>1468</v>
      </c>
      <c r="Y6645" t="s">
        <v>26653</v>
      </c>
      <c r="Z6645" t="s">
        <v>26664</v>
      </c>
      <c r="AA6645" t="s">
        <v>26682</v>
      </c>
      <c r="AB6645" t="s">
        <v>27532</v>
      </c>
      <c r="AC6645" t="s">
        <v>34770</v>
      </c>
      <c r="AD6645" t="s">
        <v>37591</v>
      </c>
      <c r="AE6645">
        <v>53</v>
      </c>
      <c r="AF6645" t="s">
        <v>45543</v>
      </c>
      <c r="AG6645" t="s">
        <v>19330</v>
      </c>
      <c r="AH6645">
        <v>32</v>
      </c>
      <c r="AI6645">
        <v>1</v>
      </c>
      <c r="AJ6645">
        <v>0</v>
      </c>
      <c r="AK6645">
        <v>0</v>
      </c>
      <c r="AN6645" t="s">
        <v>7439</v>
      </c>
      <c r="AO6645">
        <v>0</v>
      </c>
      <c r="AU6645">
        <v>6.5</v>
      </c>
      <c r="AV6645" t="s">
        <v>804</v>
      </c>
      <c r="AW6645" t="s">
        <v>141</v>
      </c>
    </row>
    <row r="6646" spans="1:50">
      <c r="A6646" s="1">
        <f>HYPERLINK("https://lsnyc.legalserver.org/matter/dynamic-profile/view/1894573","19-1894573")</f>
        <v>0</v>
      </c>
      <c r="B6646" t="s">
        <v>64</v>
      </c>
      <c r="C6646" t="s">
        <v>341</v>
      </c>
      <c r="D6646" t="s">
        <v>787</v>
      </c>
      <c r="E6646" t="s">
        <v>830</v>
      </c>
      <c r="F6646" t="s">
        <v>3754</v>
      </c>
      <c r="G6646" t="s">
        <v>8093</v>
      </c>
      <c r="H6646" t="s">
        <v>14421</v>
      </c>
      <c r="I6646">
        <v>1</v>
      </c>
      <c r="J6646" t="s">
        <v>18892</v>
      </c>
      <c r="K6646">
        <v>10467</v>
      </c>
      <c r="L6646" t="s">
        <v>18958</v>
      </c>
      <c r="M6646" t="s">
        <v>18958</v>
      </c>
      <c r="N6646" t="s">
        <v>23856</v>
      </c>
      <c r="O6646" t="s">
        <v>26524</v>
      </c>
      <c r="P6646" t="s">
        <v>26560</v>
      </c>
      <c r="Q6646" t="s">
        <v>26571</v>
      </c>
      <c r="R6646" t="s">
        <v>26591</v>
      </c>
      <c r="S6646" t="s">
        <v>18959</v>
      </c>
      <c r="U6646" t="s">
        <v>26604</v>
      </c>
      <c r="V6646" t="s">
        <v>26610</v>
      </c>
      <c r="W6646" t="s">
        <v>787</v>
      </c>
      <c r="X6646">
        <v>500</v>
      </c>
      <c r="Y6646" t="s">
        <v>26650</v>
      </c>
      <c r="Z6646" t="s">
        <v>26664</v>
      </c>
      <c r="AA6646" t="s">
        <v>26683</v>
      </c>
      <c r="AB6646" t="s">
        <v>31829</v>
      </c>
      <c r="AD6646" t="s">
        <v>42109</v>
      </c>
      <c r="AE6646">
        <v>0</v>
      </c>
      <c r="AF6646" t="s">
        <v>45547</v>
      </c>
      <c r="AH6646">
        <v>1</v>
      </c>
      <c r="AI6646">
        <v>1</v>
      </c>
      <c r="AJ6646">
        <v>0</v>
      </c>
      <c r="AK6646">
        <v>166.53</v>
      </c>
      <c r="AN6646" t="s">
        <v>7439</v>
      </c>
      <c r="AO6646">
        <v>20800</v>
      </c>
      <c r="AU6646">
        <v>2.85</v>
      </c>
      <c r="AV6646" t="s">
        <v>823</v>
      </c>
      <c r="AW6646" t="s">
        <v>46870</v>
      </c>
    </row>
    <row r="6647" spans="1:50">
      <c r="A6647" s="1">
        <f>HYPERLINK("https://lsnyc.legalserver.org/matter/dynamic-profile/view/1894707","19-1894707")</f>
        <v>0</v>
      </c>
      <c r="B6647" t="s">
        <v>65</v>
      </c>
      <c r="C6647" t="s">
        <v>341</v>
      </c>
      <c r="D6647" t="s">
        <v>787</v>
      </c>
      <c r="E6647" t="s">
        <v>803</v>
      </c>
      <c r="F6647" t="s">
        <v>3755</v>
      </c>
      <c r="G6647" t="s">
        <v>5738</v>
      </c>
      <c r="H6647" t="s">
        <v>9936</v>
      </c>
      <c r="I6647">
        <v>435</v>
      </c>
      <c r="J6647" t="s">
        <v>18892</v>
      </c>
      <c r="K6647">
        <v>10472</v>
      </c>
      <c r="L6647" t="s">
        <v>18958</v>
      </c>
      <c r="M6647" t="s">
        <v>18960</v>
      </c>
      <c r="N6647" t="s">
        <v>23857</v>
      </c>
      <c r="O6647" t="s">
        <v>26524</v>
      </c>
      <c r="P6647" t="s">
        <v>26564</v>
      </c>
      <c r="Q6647" t="s">
        <v>26570</v>
      </c>
      <c r="R6647" t="s">
        <v>26577</v>
      </c>
      <c r="S6647" t="s">
        <v>18959</v>
      </c>
      <c r="U6647" t="s">
        <v>26604</v>
      </c>
      <c r="W6647" t="s">
        <v>787</v>
      </c>
      <c r="X6647">
        <v>215</v>
      </c>
      <c r="Y6647" t="s">
        <v>26650</v>
      </c>
      <c r="Z6647" t="s">
        <v>26530</v>
      </c>
      <c r="AA6647" t="s">
        <v>26683</v>
      </c>
      <c r="AB6647" t="s">
        <v>31830</v>
      </c>
      <c r="AC6647" t="s">
        <v>36215</v>
      </c>
      <c r="AD6647" t="s">
        <v>42110</v>
      </c>
      <c r="AE6647">
        <v>150</v>
      </c>
      <c r="AF6647" t="s">
        <v>45541</v>
      </c>
      <c r="AG6647" t="s">
        <v>26530</v>
      </c>
      <c r="AH6647">
        <v>10</v>
      </c>
      <c r="AI6647">
        <v>1</v>
      </c>
      <c r="AJ6647">
        <v>0</v>
      </c>
      <c r="AK6647">
        <v>38.24</v>
      </c>
      <c r="AN6647" t="s">
        <v>7439</v>
      </c>
      <c r="AO6647">
        <v>4776</v>
      </c>
      <c r="AU6647">
        <v>8.6</v>
      </c>
      <c r="AV6647" t="s">
        <v>672</v>
      </c>
      <c r="AW6647" t="s">
        <v>46860</v>
      </c>
      <c r="AX6647" t="s">
        <v>46897</v>
      </c>
    </row>
    <row r="6648" spans="1:50">
      <c r="A6648" s="1">
        <f>HYPERLINK("https://lsnyc.legalserver.org/matter/dynamic-profile/view/1893586","19-1893586")</f>
        <v>0</v>
      </c>
      <c r="B6648" t="s">
        <v>104</v>
      </c>
      <c r="C6648" t="s">
        <v>341</v>
      </c>
      <c r="D6648" t="s">
        <v>787</v>
      </c>
      <c r="E6648" t="s">
        <v>816</v>
      </c>
      <c r="F6648" t="s">
        <v>3756</v>
      </c>
      <c r="G6648" t="s">
        <v>887</v>
      </c>
      <c r="H6648" t="s">
        <v>14422</v>
      </c>
      <c r="J6648" t="s">
        <v>18902</v>
      </c>
      <c r="K6648">
        <v>10312</v>
      </c>
      <c r="L6648" t="s">
        <v>18958</v>
      </c>
      <c r="M6648" t="s">
        <v>18960</v>
      </c>
      <c r="N6648" t="s">
        <v>23858</v>
      </c>
      <c r="O6648" t="s">
        <v>26523</v>
      </c>
      <c r="P6648" t="s">
        <v>26560</v>
      </c>
      <c r="Q6648" t="s">
        <v>26568</v>
      </c>
      <c r="R6648" t="s">
        <v>26578</v>
      </c>
      <c r="S6648" t="s">
        <v>18959</v>
      </c>
      <c r="U6648" t="s">
        <v>26604</v>
      </c>
      <c r="V6648" t="s">
        <v>26610</v>
      </c>
      <c r="W6648" t="s">
        <v>787</v>
      </c>
      <c r="X6648">
        <v>2200</v>
      </c>
      <c r="Y6648" t="s">
        <v>26654</v>
      </c>
      <c r="AA6648" t="s">
        <v>26678</v>
      </c>
      <c r="AB6648" t="s">
        <v>31831</v>
      </c>
      <c r="AD6648" t="s">
        <v>42111</v>
      </c>
      <c r="AE6648">
        <v>1</v>
      </c>
      <c r="AF6648" t="s">
        <v>45547</v>
      </c>
      <c r="AG6648" t="s">
        <v>19330</v>
      </c>
      <c r="AH6648">
        <v>2</v>
      </c>
      <c r="AI6648">
        <v>3</v>
      </c>
      <c r="AJ6648">
        <v>2</v>
      </c>
      <c r="AK6648">
        <v>131.64</v>
      </c>
      <c r="AN6648" t="s">
        <v>45582</v>
      </c>
      <c r="AO6648">
        <v>39716</v>
      </c>
      <c r="AR6648" t="s">
        <v>46379</v>
      </c>
      <c r="AS6648" t="s">
        <v>46499</v>
      </c>
      <c r="AT6648" t="s">
        <v>46616</v>
      </c>
      <c r="AU6648">
        <v>4.9</v>
      </c>
      <c r="AV6648" t="s">
        <v>760</v>
      </c>
      <c r="AW6648" t="s">
        <v>46852</v>
      </c>
      <c r="AX6648" t="s">
        <v>46897</v>
      </c>
    </row>
    <row r="6649" spans="1:50">
      <c r="A6649" s="1">
        <f>HYPERLINK("https://lsnyc.legalserver.org/matter/dynamic-profile/view/1894651","19-1894651")</f>
        <v>0</v>
      </c>
      <c r="B6649" t="s">
        <v>59</v>
      </c>
      <c r="C6649" t="s">
        <v>341</v>
      </c>
      <c r="D6649" t="s">
        <v>787</v>
      </c>
      <c r="E6649" t="s">
        <v>797</v>
      </c>
      <c r="F6649" t="s">
        <v>928</v>
      </c>
      <c r="G6649" t="s">
        <v>8094</v>
      </c>
      <c r="H6649" t="s">
        <v>14423</v>
      </c>
      <c r="I6649" t="s">
        <v>17278</v>
      </c>
      <c r="J6649" t="s">
        <v>18893</v>
      </c>
      <c r="K6649">
        <v>10029</v>
      </c>
      <c r="L6649" t="s">
        <v>18958</v>
      </c>
      <c r="M6649" t="s">
        <v>18958</v>
      </c>
      <c r="N6649" t="s">
        <v>23859</v>
      </c>
      <c r="O6649" t="s">
        <v>26523</v>
      </c>
      <c r="P6649" t="s">
        <v>26564</v>
      </c>
      <c r="Q6649" t="s">
        <v>26570</v>
      </c>
      <c r="R6649" t="s">
        <v>26582</v>
      </c>
      <c r="S6649" t="s">
        <v>18959</v>
      </c>
      <c r="U6649" t="s">
        <v>26605</v>
      </c>
      <c r="W6649" t="s">
        <v>787</v>
      </c>
      <c r="X6649">
        <v>1732</v>
      </c>
      <c r="Y6649" t="s">
        <v>26651</v>
      </c>
      <c r="Z6649" t="s">
        <v>26664</v>
      </c>
      <c r="AA6649" t="s">
        <v>26683</v>
      </c>
      <c r="AB6649" t="s">
        <v>31832</v>
      </c>
      <c r="AD6649" t="s">
        <v>42112</v>
      </c>
      <c r="AE6649">
        <v>0</v>
      </c>
      <c r="AF6649" t="s">
        <v>45549</v>
      </c>
      <c r="AG6649" t="s">
        <v>19330</v>
      </c>
      <c r="AH6649">
        <v>5</v>
      </c>
      <c r="AI6649">
        <v>2</v>
      </c>
      <c r="AJ6649">
        <v>0</v>
      </c>
      <c r="AK6649">
        <v>153.76</v>
      </c>
      <c r="AN6649" t="s">
        <v>7439</v>
      </c>
      <c r="AO6649">
        <v>26000</v>
      </c>
      <c r="AU6649">
        <v>1.75</v>
      </c>
      <c r="AV6649" t="s">
        <v>823</v>
      </c>
      <c r="AW6649" t="s">
        <v>46875</v>
      </c>
      <c r="AX6649" t="s">
        <v>46897</v>
      </c>
    </row>
    <row r="6650" spans="1:50">
      <c r="A6650" s="1">
        <f>HYPERLINK("https://lsnyc.legalserver.org/matter/dynamic-profile/view/1894685","19-1894685")</f>
        <v>0</v>
      </c>
      <c r="B6650" t="s">
        <v>160</v>
      </c>
      <c r="C6650" t="s">
        <v>341</v>
      </c>
      <c r="D6650" t="s">
        <v>787</v>
      </c>
      <c r="E6650" t="s">
        <v>820</v>
      </c>
      <c r="F6650" t="s">
        <v>3736</v>
      </c>
      <c r="G6650" t="s">
        <v>8095</v>
      </c>
      <c r="H6650" t="s">
        <v>12959</v>
      </c>
      <c r="I6650" t="s">
        <v>18386</v>
      </c>
      <c r="J6650" t="s">
        <v>18894</v>
      </c>
      <c r="K6650">
        <v>11233</v>
      </c>
      <c r="L6650" t="s">
        <v>18958</v>
      </c>
      <c r="M6650" t="s">
        <v>18960</v>
      </c>
      <c r="P6650" t="s">
        <v>26564</v>
      </c>
      <c r="Q6650" t="s">
        <v>26570</v>
      </c>
      <c r="R6650" t="s">
        <v>26591</v>
      </c>
      <c r="U6650" t="s">
        <v>26608</v>
      </c>
      <c r="W6650" t="s">
        <v>787</v>
      </c>
      <c r="X6650">
        <v>0</v>
      </c>
      <c r="Y6650" t="s">
        <v>26652</v>
      </c>
      <c r="AA6650" t="s">
        <v>26683</v>
      </c>
      <c r="AB6650" t="s">
        <v>31833</v>
      </c>
      <c r="AD6650" t="s">
        <v>42113</v>
      </c>
      <c r="AE6650">
        <v>0</v>
      </c>
      <c r="AH6650">
        <v>0</v>
      </c>
      <c r="AI6650">
        <v>1</v>
      </c>
      <c r="AJ6650">
        <v>2</v>
      </c>
      <c r="AK6650">
        <v>12.49</v>
      </c>
      <c r="AN6650" t="s">
        <v>7439</v>
      </c>
      <c r="AO6650">
        <v>2664</v>
      </c>
      <c r="AU6650">
        <v>5.7</v>
      </c>
      <c r="AV6650" t="s">
        <v>819</v>
      </c>
      <c r="AW6650" t="s">
        <v>46887</v>
      </c>
      <c r="AX6650" t="s">
        <v>46897</v>
      </c>
    </row>
    <row r="6651" spans="1:50">
      <c r="A6651" s="1">
        <f>HYPERLINK("https://lsnyc.legalserver.org/matter/dynamic-profile/view/1894694","19-1894694")</f>
        <v>0</v>
      </c>
      <c r="B6651" t="s">
        <v>165</v>
      </c>
      <c r="C6651" t="s">
        <v>340</v>
      </c>
      <c r="D6651" t="s">
        <v>787</v>
      </c>
      <c r="F6651" t="s">
        <v>1826</v>
      </c>
      <c r="G6651" t="s">
        <v>8096</v>
      </c>
      <c r="H6651" t="s">
        <v>12334</v>
      </c>
      <c r="I6651">
        <v>45</v>
      </c>
      <c r="J6651" t="s">
        <v>18893</v>
      </c>
      <c r="K6651">
        <v>10034</v>
      </c>
      <c r="L6651" t="s">
        <v>18958</v>
      </c>
      <c r="M6651" t="s">
        <v>18958</v>
      </c>
      <c r="N6651" t="s">
        <v>23860</v>
      </c>
      <c r="O6651" t="s">
        <v>26524</v>
      </c>
      <c r="P6651" t="s">
        <v>26564</v>
      </c>
      <c r="R6651" t="s">
        <v>26582</v>
      </c>
      <c r="S6651" t="s">
        <v>18959</v>
      </c>
      <c r="U6651" t="s">
        <v>26604</v>
      </c>
      <c r="V6651" t="s">
        <v>26610</v>
      </c>
      <c r="W6651" t="s">
        <v>787</v>
      </c>
      <c r="X6651">
        <v>846</v>
      </c>
      <c r="Y6651" t="s">
        <v>26651</v>
      </c>
      <c r="Z6651" t="s">
        <v>26664</v>
      </c>
      <c r="AB6651" t="s">
        <v>31834</v>
      </c>
      <c r="AD6651" t="s">
        <v>42114</v>
      </c>
      <c r="AE6651">
        <v>0</v>
      </c>
      <c r="AF6651" t="s">
        <v>20460</v>
      </c>
      <c r="AG6651" t="s">
        <v>19330</v>
      </c>
      <c r="AH6651">
        <v>9</v>
      </c>
      <c r="AI6651">
        <v>2</v>
      </c>
      <c r="AJ6651">
        <v>0</v>
      </c>
      <c r="AK6651">
        <v>21.29</v>
      </c>
      <c r="AN6651" t="s">
        <v>45581</v>
      </c>
      <c r="AO6651">
        <v>3600</v>
      </c>
      <c r="AU6651">
        <v>4.7</v>
      </c>
      <c r="AV6651" t="s">
        <v>838</v>
      </c>
      <c r="AW6651" t="s">
        <v>46835</v>
      </c>
    </row>
    <row r="6652" spans="1:50">
      <c r="A6652" s="1">
        <f>HYPERLINK("https://lsnyc.legalserver.org/matter/dynamic-profile/view/1894623","19-1894623")</f>
        <v>0</v>
      </c>
      <c r="B6652" t="s">
        <v>165</v>
      </c>
      <c r="C6652" t="s">
        <v>340</v>
      </c>
      <c r="D6652" t="s">
        <v>787</v>
      </c>
      <c r="F6652" t="s">
        <v>3757</v>
      </c>
      <c r="G6652" t="s">
        <v>5311</v>
      </c>
      <c r="H6652" t="s">
        <v>14424</v>
      </c>
      <c r="I6652">
        <v>6</v>
      </c>
      <c r="J6652" t="s">
        <v>18893</v>
      </c>
      <c r="K6652">
        <v>10032</v>
      </c>
      <c r="L6652" t="s">
        <v>18958</v>
      </c>
      <c r="M6652" t="s">
        <v>18958</v>
      </c>
      <c r="N6652" t="s">
        <v>23861</v>
      </c>
      <c r="O6652" t="s">
        <v>26524</v>
      </c>
      <c r="P6652" t="s">
        <v>26560</v>
      </c>
      <c r="R6652" t="s">
        <v>26582</v>
      </c>
      <c r="S6652" t="s">
        <v>18959</v>
      </c>
      <c r="U6652" t="s">
        <v>26604</v>
      </c>
      <c r="V6652" t="s">
        <v>26610</v>
      </c>
      <c r="W6652" t="s">
        <v>787</v>
      </c>
      <c r="X6652">
        <v>842.9</v>
      </c>
      <c r="Y6652" t="s">
        <v>26651</v>
      </c>
      <c r="Z6652" t="s">
        <v>26664</v>
      </c>
      <c r="AB6652" t="s">
        <v>31366</v>
      </c>
      <c r="AD6652" t="s">
        <v>42115</v>
      </c>
      <c r="AE6652">
        <v>67</v>
      </c>
      <c r="AF6652" t="s">
        <v>20460</v>
      </c>
      <c r="AG6652" t="s">
        <v>19330</v>
      </c>
      <c r="AH6652">
        <v>42</v>
      </c>
      <c r="AI6652">
        <v>2</v>
      </c>
      <c r="AJ6652">
        <v>0</v>
      </c>
      <c r="AK6652">
        <v>143.24</v>
      </c>
      <c r="AN6652" t="s">
        <v>45581</v>
      </c>
      <c r="AO6652">
        <v>24221.64</v>
      </c>
      <c r="AU6652">
        <v>10.1</v>
      </c>
      <c r="AV6652" t="s">
        <v>828</v>
      </c>
      <c r="AW6652" t="s">
        <v>46835</v>
      </c>
    </row>
    <row r="6653" spans="1:50">
      <c r="A6653" s="1">
        <f>HYPERLINK("https://lsnyc.legalserver.org/matter/dynamic-profile/view/1894635","19-1894635")</f>
        <v>0</v>
      </c>
      <c r="B6653" t="s">
        <v>66</v>
      </c>
      <c r="C6653" t="s">
        <v>340</v>
      </c>
      <c r="D6653" t="s">
        <v>787</v>
      </c>
      <c r="F6653" t="s">
        <v>3672</v>
      </c>
      <c r="G6653" t="s">
        <v>7568</v>
      </c>
      <c r="H6653" t="s">
        <v>14425</v>
      </c>
      <c r="I6653">
        <v>8</v>
      </c>
      <c r="J6653" t="s">
        <v>18893</v>
      </c>
      <c r="K6653">
        <v>10032</v>
      </c>
      <c r="L6653" t="s">
        <v>18958</v>
      </c>
      <c r="M6653" t="s">
        <v>18958</v>
      </c>
      <c r="N6653" t="s">
        <v>23862</v>
      </c>
      <c r="O6653" t="s">
        <v>26523</v>
      </c>
      <c r="P6653" t="s">
        <v>26564</v>
      </c>
      <c r="R6653" t="s">
        <v>26582</v>
      </c>
      <c r="S6653" t="s">
        <v>18959</v>
      </c>
      <c r="U6653" t="s">
        <v>26604</v>
      </c>
      <c r="W6653" t="s">
        <v>787</v>
      </c>
      <c r="X6653">
        <v>1111</v>
      </c>
      <c r="Y6653" t="s">
        <v>26651</v>
      </c>
      <c r="Z6653" t="s">
        <v>26664</v>
      </c>
      <c r="AB6653" t="s">
        <v>28087</v>
      </c>
      <c r="AC6653" t="s">
        <v>36216</v>
      </c>
      <c r="AD6653" t="s">
        <v>42116</v>
      </c>
      <c r="AE6653">
        <v>0</v>
      </c>
      <c r="AF6653" t="s">
        <v>45553</v>
      </c>
      <c r="AG6653" t="s">
        <v>45556</v>
      </c>
      <c r="AH6653">
        <v>49</v>
      </c>
      <c r="AI6653">
        <v>1</v>
      </c>
      <c r="AJ6653">
        <v>0</v>
      </c>
      <c r="AK6653">
        <v>81.86</v>
      </c>
      <c r="AN6653" t="s">
        <v>7439</v>
      </c>
      <c r="AO6653">
        <v>10224</v>
      </c>
      <c r="AU6653">
        <v>1.3</v>
      </c>
      <c r="AV6653" t="s">
        <v>787</v>
      </c>
      <c r="AW6653" t="s">
        <v>46875</v>
      </c>
    </row>
    <row r="6654" spans="1:50">
      <c r="A6654" s="1">
        <f>HYPERLINK("https://lsnyc.legalserver.org/matter/dynamic-profile/view/1894706","19-1894706")</f>
        <v>0</v>
      </c>
      <c r="B6654" t="s">
        <v>242</v>
      </c>
      <c r="C6654" t="s">
        <v>340</v>
      </c>
      <c r="D6654" t="s">
        <v>787</v>
      </c>
      <c r="F6654" t="s">
        <v>3758</v>
      </c>
      <c r="G6654" t="s">
        <v>8097</v>
      </c>
      <c r="H6654" t="s">
        <v>14426</v>
      </c>
      <c r="I6654">
        <v>9</v>
      </c>
      <c r="J6654" t="s">
        <v>18894</v>
      </c>
      <c r="K6654">
        <v>11203</v>
      </c>
      <c r="L6654" t="s">
        <v>18959</v>
      </c>
      <c r="M6654" t="s">
        <v>18959</v>
      </c>
      <c r="P6654" t="s">
        <v>26562</v>
      </c>
      <c r="R6654" t="s">
        <v>26578</v>
      </c>
      <c r="U6654" t="s">
        <v>26604</v>
      </c>
      <c r="W6654" t="s">
        <v>787</v>
      </c>
      <c r="X6654">
        <v>0</v>
      </c>
      <c r="Y6654" t="s">
        <v>26652</v>
      </c>
      <c r="AB6654" t="s">
        <v>26712</v>
      </c>
      <c r="AD6654" t="s">
        <v>42117</v>
      </c>
      <c r="AE6654">
        <v>0</v>
      </c>
      <c r="AH6654">
        <v>0</v>
      </c>
      <c r="AI6654">
        <v>2</v>
      </c>
      <c r="AJ6654">
        <v>2</v>
      </c>
      <c r="AK6654">
        <v>34.43</v>
      </c>
      <c r="AN6654" t="s">
        <v>7439</v>
      </c>
      <c r="AO6654">
        <v>8866</v>
      </c>
      <c r="AU6654">
        <v>8.199999999999999</v>
      </c>
      <c r="AV6654" t="s">
        <v>828</v>
      </c>
      <c r="AW6654" t="s">
        <v>198</v>
      </c>
    </row>
    <row r="6655" spans="1:50">
      <c r="A6655" s="1">
        <f>HYPERLINK("https://lsnyc.legalserver.org/matter/dynamic-profile/view/1893706","19-1893706")</f>
        <v>0</v>
      </c>
      <c r="B6655" t="s">
        <v>131</v>
      </c>
      <c r="C6655" t="s">
        <v>340</v>
      </c>
      <c r="D6655" t="s">
        <v>787</v>
      </c>
      <c r="F6655" t="s">
        <v>1178</v>
      </c>
      <c r="G6655" t="s">
        <v>5269</v>
      </c>
      <c r="H6655" t="s">
        <v>10965</v>
      </c>
      <c r="I6655" t="s">
        <v>17331</v>
      </c>
      <c r="J6655" t="s">
        <v>18902</v>
      </c>
      <c r="K6655">
        <v>10301</v>
      </c>
      <c r="L6655" t="s">
        <v>18958</v>
      </c>
      <c r="M6655" t="s">
        <v>18958</v>
      </c>
      <c r="N6655" t="s">
        <v>23863</v>
      </c>
      <c r="O6655" t="s">
        <v>26526</v>
      </c>
      <c r="P6655" t="s">
        <v>26560</v>
      </c>
      <c r="R6655" t="s">
        <v>26578</v>
      </c>
      <c r="S6655" t="s">
        <v>18959</v>
      </c>
      <c r="U6655" t="s">
        <v>26604</v>
      </c>
      <c r="V6655" t="s">
        <v>26610</v>
      </c>
      <c r="W6655" t="s">
        <v>787</v>
      </c>
      <c r="X6655">
        <v>1172</v>
      </c>
      <c r="Y6655" t="s">
        <v>26654</v>
      </c>
      <c r="Z6655" t="s">
        <v>26659</v>
      </c>
      <c r="AB6655" t="s">
        <v>31835</v>
      </c>
      <c r="AD6655" t="s">
        <v>34738</v>
      </c>
      <c r="AE6655">
        <v>8</v>
      </c>
      <c r="AF6655" t="s">
        <v>45541</v>
      </c>
      <c r="AG6655" t="s">
        <v>45561</v>
      </c>
      <c r="AH6655">
        <v>9</v>
      </c>
      <c r="AI6655">
        <v>1</v>
      </c>
      <c r="AJ6655">
        <v>0</v>
      </c>
      <c r="AK6655">
        <v>37.47</v>
      </c>
      <c r="AN6655" t="s">
        <v>7439</v>
      </c>
      <c r="AO6655">
        <v>4680</v>
      </c>
      <c r="AU6655">
        <v>22.55</v>
      </c>
      <c r="AV6655" t="s">
        <v>773</v>
      </c>
      <c r="AW6655" t="s">
        <v>46883</v>
      </c>
    </row>
    <row r="6656" spans="1:50">
      <c r="A6656" s="1">
        <f>HYPERLINK("https://lsnyc.legalserver.org/matter/dynamic-profile/view/1894615","19-1894615")</f>
        <v>0</v>
      </c>
      <c r="B6656" t="s">
        <v>79</v>
      </c>
      <c r="C6656" t="s">
        <v>340</v>
      </c>
      <c r="D6656" t="s">
        <v>787</v>
      </c>
      <c r="F6656" t="s">
        <v>2123</v>
      </c>
      <c r="G6656" t="s">
        <v>5394</v>
      </c>
      <c r="H6656" t="s">
        <v>14427</v>
      </c>
      <c r="I6656" t="s">
        <v>17274</v>
      </c>
      <c r="J6656" t="s">
        <v>18893</v>
      </c>
      <c r="K6656">
        <v>10033</v>
      </c>
      <c r="L6656" t="s">
        <v>18958</v>
      </c>
      <c r="M6656" t="s">
        <v>18958</v>
      </c>
      <c r="N6656" t="s">
        <v>23864</v>
      </c>
      <c r="O6656" t="s">
        <v>26523</v>
      </c>
      <c r="P6656" t="s">
        <v>26560</v>
      </c>
      <c r="R6656" t="s">
        <v>26578</v>
      </c>
      <c r="S6656" t="s">
        <v>18959</v>
      </c>
      <c r="U6656" t="s">
        <v>26604</v>
      </c>
      <c r="W6656" t="s">
        <v>787</v>
      </c>
      <c r="X6656">
        <v>1254.42</v>
      </c>
      <c r="Y6656" t="s">
        <v>26651</v>
      </c>
      <c r="Z6656" t="s">
        <v>26664</v>
      </c>
      <c r="AB6656" t="s">
        <v>31836</v>
      </c>
      <c r="AC6656" t="s">
        <v>36217</v>
      </c>
      <c r="AD6656" t="s">
        <v>42118</v>
      </c>
      <c r="AE6656">
        <v>26</v>
      </c>
      <c r="AF6656" t="s">
        <v>45541</v>
      </c>
      <c r="AG6656" t="s">
        <v>19330</v>
      </c>
      <c r="AH6656">
        <v>4</v>
      </c>
      <c r="AI6656">
        <v>1</v>
      </c>
      <c r="AJ6656">
        <v>3</v>
      </c>
      <c r="AK6656">
        <v>0</v>
      </c>
      <c r="AN6656" t="s">
        <v>45581</v>
      </c>
      <c r="AO6656">
        <v>0</v>
      </c>
      <c r="AU6656">
        <v>13.45</v>
      </c>
      <c r="AV6656" t="s">
        <v>836</v>
      </c>
      <c r="AW6656" t="s">
        <v>46875</v>
      </c>
      <c r="AX6656" t="s">
        <v>46897</v>
      </c>
    </row>
    <row r="6657" spans="1:50">
      <c r="A6657" s="1">
        <f>HYPERLINK("https://lsnyc.legalserver.org/matter/dynamic-profile/view/1894701","19-1894701")</f>
        <v>0</v>
      </c>
      <c r="B6657" t="s">
        <v>141</v>
      </c>
      <c r="C6657" t="s">
        <v>340</v>
      </c>
      <c r="D6657" t="s">
        <v>787</v>
      </c>
      <c r="F6657" t="s">
        <v>2111</v>
      </c>
      <c r="G6657" t="s">
        <v>8098</v>
      </c>
      <c r="H6657" t="s">
        <v>9877</v>
      </c>
      <c r="I6657">
        <v>404</v>
      </c>
      <c r="J6657" t="s">
        <v>18900</v>
      </c>
      <c r="K6657">
        <v>11354</v>
      </c>
      <c r="L6657" t="s">
        <v>18958</v>
      </c>
      <c r="M6657" t="s">
        <v>18958</v>
      </c>
      <c r="N6657" t="s">
        <v>23865</v>
      </c>
      <c r="O6657" t="s">
        <v>26523</v>
      </c>
      <c r="P6657" t="s">
        <v>26560</v>
      </c>
      <c r="R6657" t="s">
        <v>26578</v>
      </c>
      <c r="S6657" t="s">
        <v>18959</v>
      </c>
      <c r="U6657" t="s">
        <v>26604</v>
      </c>
      <c r="V6657" t="s">
        <v>26610</v>
      </c>
      <c r="W6657" t="s">
        <v>787</v>
      </c>
      <c r="X6657">
        <v>1355.8</v>
      </c>
      <c r="Y6657" t="s">
        <v>26653</v>
      </c>
      <c r="Z6657" t="s">
        <v>26530</v>
      </c>
      <c r="AB6657" t="s">
        <v>31837</v>
      </c>
      <c r="AD6657" t="s">
        <v>42119</v>
      </c>
      <c r="AE6657">
        <v>130</v>
      </c>
      <c r="AF6657" t="s">
        <v>45541</v>
      </c>
      <c r="AG6657" t="s">
        <v>45559</v>
      </c>
      <c r="AH6657">
        <v>20</v>
      </c>
      <c r="AI6657">
        <v>1</v>
      </c>
      <c r="AJ6657">
        <v>0</v>
      </c>
      <c r="AK6657">
        <v>94.44</v>
      </c>
      <c r="AN6657" t="s">
        <v>7439</v>
      </c>
      <c r="AO6657">
        <v>11796</v>
      </c>
      <c r="AQ6657" t="s">
        <v>46362</v>
      </c>
      <c r="AR6657" t="s">
        <v>46379</v>
      </c>
      <c r="AS6657" t="s">
        <v>46499</v>
      </c>
      <c r="AT6657" t="s">
        <v>46674</v>
      </c>
      <c r="AU6657">
        <v>10.25</v>
      </c>
      <c r="AV6657" t="s">
        <v>806</v>
      </c>
      <c r="AW6657" t="s">
        <v>46841</v>
      </c>
      <c r="AX6657" t="s">
        <v>46897</v>
      </c>
    </row>
    <row r="6658" spans="1:50">
      <c r="A6658" s="1">
        <f>HYPERLINK("https://lsnyc.legalserver.org/matter/dynamic-profile/view/1894625","19-1894625")</f>
        <v>0</v>
      </c>
      <c r="B6658" t="s">
        <v>64</v>
      </c>
      <c r="C6658" t="s">
        <v>340</v>
      </c>
      <c r="D6658" t="s">
        <v>787</v>
      </c>
      <c r="F6658" t="s">
        <v>3759</v>
      </c>
      <c r="G6658" t="s">
        <v>5909</v>
      </c>
      <c r="H6658" t="s">
        <v>14428</v>
      </c>
      <c r="I6658" t="s">
        <v>17316</v>
      </c>
      <c r="J6658" t="s">
        <v>18892</v>
      </c>
      <c r="K6658">
        <v>10462</v>
      </c>
      <c r="L6658" t="s">
        <v>18958</v>
      </c>
      <c r="M6658" t="s">
        <v>18958</v>
      </c>
      <c r="N6658" t="s">
        <v>23866</v>
      </c>
      <c r="O6658" t="s">
        <v>26523</v>
      </c>
      <c r="P6658" t="s">
        <v>26560</v>
      </c>
      <c r="R6658" t="s">
        <v>26579</v>
      </c>
      <c r="U6658" t="s">
        <v>26604</v>
      </c>
      <c r="V6658" t="s">
        <v>26610</v>
      </c>
      <c r="W6658" t="s">
        <v>787</v>
      </c>
      <c r="X6658">
        <v>1020</v>
      </c>
      <c r="Y6658" t="s">
        <v>26650</v>
      </c>
      <c r="Z6658" t="s">
        <v>26664</v>
      </c>
      <c r="AB6658" t="s">
        <v>31838</v>
      </c>
      <c r="AD6658" t="s">
        <v>42120</v>
      </c>
      <c r="AE6658">
        <v>0</v>
      </c>
      <c r="AH6658">
        <v>8</v>
      </c>
      <c r="AI6658">
        <v>1</v>
      </c>
      <c r="AJ6658">
        <v>0</v>
      </c>
      <c r="AK6658">
        <v>0</v>
      </c>
      <c r="AN6658" t="s">
        <v>7439</v>
      </c>
      <c r="AO6658">
        <v>0</v>
      </c>
      <c r="AU6658">
        <v>6.5</v>
      </c>
      <c r="AV6658" t="s">
        <v>770</v>
      </c>
      <c r="AW6658" t="s">
        <v>334</v>
      </c>
    </row>
    <row r="6659" spans="1:50">
      <c r="A6659" s="1">
        <f>HYPERLINK("https://lsnyc.legalserver.org/matter/dynamic-profile/view/1894726","19-1894726")</f>
        <v>0</v>
      </c>
      <c r="B6659" t="s">
        <v>64</v>
      </c>
      <c r="C6659" t="s">
        <v>340</v>
      </c>
      <c r="D6659" t="s">
        <v>787</v>
      </c>
      <c r="F6659" t="s">
        <v>1332</v>
      </c>
      <c r="G6659" t="s">
        <v>8099</v>
      </c>
      <c r="H6659" t="s">
        <v>14429</v>
      </c>
      <c r="I6659" t="s">
        <v>17299</v>
      </c>
      <c r="J6659" t="s">
        <v>18892</v>
      </c>
      <c r="K6659">
        <v>10468</v>
      </c>
      <c r="L6659" t="s">
        <v>18958</v>
      </c>
      <c r="M6659" t="s">
        <v>18958</v>
      </c>
      <c r="N6659" t="s">
        <v>23867</v>
      </c>
      <c r="O6659" t="s">
        <v>26523</v>
      </c>
      <c r="P6659" t="s">
        <v>26560</v>
      </c>
      <c r="R6659" t="s">
        <v>26579</v>
      </c>
      <c r="U6659" t="s">
        <v>26604</v>
      </c>
      <c r="V6659" t="s">
        <v>26610</v>
      </c>
      <c r="W6659" t="s">
        <v>787</v>
      </c>
      <c r="X6659">
        <v>832</v>
      </c>
      <c r="Y6659" t="s">
        <v>26650</v>
      </c>
      <c r="Z6659" t="s">
        <v>26664</v>
      </c>
      <c r="AB6659" t="s">
        <v>31839</v>
      </c>
      <c r="AD6659" t="s">
        <v>42121</v>
      </c>
      <c r="AE6659">
        <v>0</v>
      </c>
      <c r="AF6659" t="s">
        <v>45541</v>
      </c>
      <c r="AG6659" t="s">
        <v>45559</v>
      </c>
      <c r="AH6659">
        <v>27</v>
      </c>
      <c r="AI6659">
        <v>1</v>
      </c>
      <c r="AJ6659">
        <v>0</v>
      </c>
      <c r="AK6659">
        <v>74.08</v>
      </c>
      <c r="AN6659" t="s">
        <v>45581</v>
      </c>
      <c r="AO6659">
        <v>9252</v>
      </c>
      <c r="AU6659">
        <v>10.15</v>
      </c>
      <c r="AV6659" t="s">
        <v>729</v>
      </c>
      <c r="AW6659" t="s">
        <v>334</v>
      </c>
    </row>
    <row r="6660" spans="1:50">
      <c r="A6660" s="1">
        <f>HYPERLINK("https://lsnyc.legalserver.org/matter/dynamic-profile/view/1894632","19-1894632")</f>
        <v>0</v>
      </c>
      <c r="B6660" t="s">
        <v>121</v>
      </c>
      <c r="C6660" t="s">
        <v>340</v>
      </c>
      <c r="D6660" t="s">
        <v>787</v>
      </c>
      <c r="F6660" t="s">
        <v>1379</v>
      </c>
      <c r="G6660" t="s">
        <v>5146</v>
      </c>
      <c r="H6660" t="s">
        <v>13512</v>
      </c>
      <c r="I6660" t="s">
        <v>17283</v>
      </c>
      <c r="J6660" t="s">
        <v>18892</v>
      </c>
      <c r="K6660">
        <v>10467</v>
      </c>
      <c r="L6660" t="s">
        <v>18958</v>
      </c>
      <c r="M6660" t="s">
        <v>18958</v>
      </c>
      <c r="N6660" t="s">
        <v>23868</v>
      </c>
      <c r="O6660" t="s">
        <v>26523</v>
      </c>
      <c r="P6660" t="s">
        <v>26560</v>
      </c>
      <c r="R6660" t="s">
        <v>26579</v>
      </c>
      <c r="U6660" t="s">
        <v>26604</v>
      </c>
      <c r="V6660" t="s">
        <v>26609</v>
      </c>
      <c r="W6660" t="s">
        <v>787</v>
      </c>
      <c r="X6660">
        <v>1000</v>
      </c>
      <c r="Y6660" t="s">
        <v>26650</v>
      </c>
      <c r="Z6660" t="s">
        <v>26664</v>
      </c>
      <c r="AB6660" t="s">
        <v>27855</v>
      </c>
      <c r="AE6660">
        <v>0</v>
      </c>
      <c r="AF6660" t="s">
        <v>45541</v>
      </c>
      <c r="AG6660" t="s">
        <v>19330</v>
      </c>
      <c r="AH6660">
        <v>2</v>
      </c>
      <c r="AI6660">
        <v>1</v>
      </c>
      <c r="AJ6660">
        <v>0</v>
      </c>
      <c r="AK6660">
        <v>291.43</v>
      </c>
      <c r="AL6660" t="s">
        <v>781</v>
      </c>
      <c r="AM6660" t="s">
        <v>45575</v>
      </c>
      <c r="AN6660" t="s">
        <v>7439</v>
      </c>
      <c r="AO6660">
        <v>36400</v>
      </c>
      <c r="AU6660">
        <v>9.4</v>
      </c>
      <c r="AV6660" t="s">
        <v>831</v>
      </c>
      <c r="AW6660" t="s">
        <v>334</v>
      </c>
    </row>
    <row r="6661" spans="1:50">
      <c r="A6661" s="1">
        <f>HYPERLINK("https://lsnyc.legalserver.org/matter/dynamic-profile/view/1894727","19-1894727")</f>
        <v>0</v>
      </c>
      <c r="B6661" t="s">
        <v>199</v>
      </c>
      <c r="C6661" t="s">
        <v>340</v>
      </c>
      <c r="D6661" t="s">
        <v>787</v>
      </c>
      <c r="F6661" t="s">
        <v>3760</v>
      </c>
      <c r="G6661" t="s">
        <v>8100</v>
      </c>
      <c r="H6661" t="s">
        <v>14430</v>
      </c>
      <c r="I6661" t="s">
        <v>18387</v>
      </c>
      <c r="J6661" t="s">
        <v>18894</v>
      </c>
      <c r="K6661">
        <v>11213</v>
      </c>
      <c r="L6661" t="s">
        <v>18958</v>
      </c>
      <c r="M6661" t="s">
        <v>18958</v>
      </c>
      <c r="N6661" t="s">
        <v>23869</v>
      </c>
      <c r="O6661" t="s">
        <v>26524</v>
      </c>
      <c r="P6661" t="s">
        <v>26560</v>
      </c>
      <c r="R6661" t="s">
        <v>26578</v>
      </c>
      <c r="S6661" t="s">
        <v>18959</v>
      </c>
      <c r="U6661" t="s">
        <v>26604</v>
      </c>
      <c r="V6661" t="s">
        <v>26610</v>
      </c>
      <c r="W6661" t="s">
        <v>787</v>
      </c>
      <c r="X6661">
        <v>777.39</v>
      </c>
      <c r="Y6661" t="s">
        <v>26652</v>
      </c>
      <c r="Z6661" t="s">
        <v>26659</v>
      </c>
      <c r="AB6661" t="s">
        <v>31840</v>
      </c>
      <c r="AD6661" t="s">
        <v>42122</v>
      </c>
      <c r="AE6661">
        <v>53</v>
      </c>
      <c r="AF6661" t="s">
        <v>45541</v>
      </c>
      <c r="AH6661">
        <v>37</v>
      </c>
      <c r="AI6661">
        <v>1</v>
      </c>
      <c r="AJ6661">
        <v>0</v>
      </c>
      <c r="AK6661">
        <v>103.96</v>
      </c>
      <c r="AN6661" t="s">
        <v>7439</v>
      </c>
      <c r="AO6661">
        <v>12984</v>
      </c>
      <c r="AQ6661" t="s">
        <v>46362</v>
      </c>
      <c r="AU6661">
        <v>17.2</v>
      </c>
      <c r="AV6661" t="s">
        <v>831</v>
      </c>
      <c r="AW6661" t="s">
        <v>199</v>
      </c>
      <c r="AX6661" t="s">
        <v>46897</v>
      </c>
    </row>
    <row r="6662" spans="1:50">
      <c r="A6662" s="1">
        <f>HYPERLINK("https://lsnyc.legalserver.org/matter/dynamic-profile/view/1894616","19-1894616")</f>
        <v>0</v>
      </c>
      <c r="B6662" t="s">
        <v>59</v>
      </c>
      <c r="C6662" t="s">
        <v>340</v>
      </c>
      <c r="D6662" t="s">
        <v>787</v>
      </c>
      <c r="F6662" t="s">
        <v>3104</v>
      </c>
      <c r="G6662" t="s">
        <v>5266</v>
      </c>
      <c r="H6662" t="s">
        <v>14431</v>
      </c>
      <c r="I6662" t="s">
        <v>17316</v>
      </c>
      <c r="J6662" t="s">
        <v>18893</v>
      </c>
      <c r="K6662">
        <v>10029</v>
      </c>
      <c r="L6662" t="s">
        <v>18958</v>
      </c>
      <c r="M6662" t="s">
        <v>18958</v>
      </c>
      <c r="N6662" t="s">
        <v>23870</v>
      </c>
      <c r="O6662" t="s">
        <v>26524</v>
      </c>
      <c r="P6662" t="s">
        <v>26564</v>
      </c>
      <c r="R6662" t="s">
        <v>26582</v>
      </c>
      <c r="S6662" t="s">
        <v>18959</v>
      </c>
      <c r="U6662" t="s">
        <v>26604</v>
      </c>
      <c r="W6662" t="s">
        <v>787</v>
      </c>
      <c r="X6662">
        <v>1111</v>
      </c>
      <c r="Y6662" t="s">
        <v>26651</v>
      </c>
      <c r="Z6662" t="s">
        <v>26664</v>
      </c>
      <c r="AB6662" t="s">
        <v>31841</v>
      </c>
      <c r="AC6662" t="s">
        <v>36218</v>
      </c>
      <c r="AD6662" t="s">
        <v>42123</v>
      </c>
      <c r="AE6662">
        <v>118</v>
      </c>
      <c r="AF6662" t="s">
        <v>45550</v>
      </c>
      <c r="AG6662" t="s">
        <v>19330</v>
      </c>
      <c r="AH6662">
        <v>35</v>
      </c>
      <c r="AI6662">
        <v>1</v>
      </c>
      <c r="AJ6662">
        <v>0</v>
      </c>
      <c r="AK6662">
        <v>0</v>
      </c>
      <c r="AN6662" t="s">
        <v>7439</v>
      </c>
      <c r="AO6662">
        <v>0</v>
      </c>
      <c r="AU6662">
        <v>0.9</v>
      </c>
      <c r="AV6662" t="s">
        <v>815</v>
      </c>
      <c r="AW6662" t="s">
        <v>46835</v>
      </c>
    </row>
    <row r="6663" spans="1:50">
      <c r="A6663" s="1">
        <f>HYPERLINK("https://lsnyc.legalserver.org/matter/dynamic-profile/view/1894697","19-1894697")</f>
        <v>0</v>
      </c>
      <c r="B6663" t="s">
        <v>221</v>
      </c>
      <c r="C6663" t="s">
        <v>340</v>
      </c>
      <c r="D6663" t="s">
        <v>787</v>
      </c>
      <c r="F6663" t="s">
        <v>1836</v>
      </c>
      <c r="G6663" t="s">
        <v>7009</v>
      </c>
      <c r="H6663" t="s">
        <v>14432</v>
      </c>
      <c r="J6663" t="s">
        <v>18901</v>
      </c>
      <c r="K6663">
        <v>11434</v>
      </c>
      <c r="L6663" t="s">
        <v>18958</v>
      </c>
      <c r="M6663" t="s">
        <v>18958</v>
      </c>
      <c r="N6663" t="s">
        <v>23871</v>
      </c>
      <c r="O6663" t="s">
        <v>26524</v>
      </c>
      <c r="P6663" t="s">
        <v>26560</v>
      </c>
      <c r="R6663" t="s">
        <v>26585</v>
      </c>
      <c r="S6663" t="s">
        <v>18959</v>
      </c>
      <c r="U6663" t="s">
        <v>26604</v>
      </c>
      <c r="V6663" t="s">
        <v>26611</v>
      </c>
      <c r="W6663" t="s">
        <v>787</v>
      </c>
      <c r="X6663">
        <v>150</v>
      </c>
      <c r="Y6663" t="s">
        <v>26653</v>
      </c>
      <c r="Z6663" t="s">
        <v>26668</v>
      </c>
      <c r="AB6663" t="s">
        <v>31132</v>
      </c>
      <c r="AD6663" t="s">
        <v>42124</v>
      </c>
      <c r="AE6663">
        <v>3</v>
      </c>
      <c r="AF6663" t="s">
        <v>45547</v>
      </c>
      <c r="AG6663" t="s">
        <v>19330</v>
      </c>
      <c r="AH6663">
        <v>-1</v>
      </c>
      <c r="AI6663">
        <v>1</v>
      </c>
      <c r="AJ6663">
        <v>0</v>
      </c>
      <c r="AK6663">
        <v>49.96</v>
      </c>
      <c r="AN6663" t="s">
        <v>7439</v>
      </c>
      <c r="AO6663">
        <v>6240</v>
      </c>
      <c r="AU6663">
        <v>20.1</v>
      </c>
      <c r="AV6663" t="s">
        <v>772</v>
      </c>
      <c r="AW6663" t="s">
        <v>130</v>
      </c>
    </row>
    <row r="6664" spans="1:50">
      <c r="A6664" s="1">
        <f>HYPERLINK("https://lsnyc.legalserver.org/matter/dynamic-profile/view/1894708","19-1894708")</f>
        <v>0</v>
      </c>
      <c r="B6664" t="s">
        <v>173</v>
      </c>
      <c r="C6664" t="s">
        <v>340</v>
      </c>
      <c r="D6664" t="s">
        <v>787</v>
      </c>
      <c r="F6664" t="s">
        <v>3761</v>
      </c>
      <c r="G6664" t="s">
        <v>8101</v>
      </c>
      <c r="H6664" t="s">
        <v>14433</v>
      </c>
      <c r="I6664" t="s">
        <v>17299</v>
      </c>
      <c r="J6664" t="s">
        <v>18893</v>
      </c>
      <c r="K6664">
        <v>10030</v>
      </c>
      <c r="L6664" t="s">
        <v>18958</v>
      </c>
      <c r="M6664" t="s">
        <v>18958</v>
      </c>
      <c r="N6664" t="s">
        <v>23872</v>
      </c>
      <c r="O6664" t="s">
        <v>26524</v>
      </c>
      <c r="P6664" t="s">
        <v>26564</v>
      </c>
      <c r="R6664" t="s">
        <v>26582</v>
      </c>
      <c r="S6664" t="s">
        <v>18959</v>
      </c>
      <c r="U6664" t="s">
        <v>26604</v>
      </c>
      <c r="W6664" t="s">
        <v>787</v>
      </c>
      <c r="X6664">
        <v>1080</v>
      </c>
      <c r="Y6664" t="s">
        <v>26651</v>
      </c>
      <c r="Z6664" t="s">
        <v>26663</v>
      </c>
      <c r="AB6664" t="s">
        <v>31842</v>
      </c>
      <c r="AD6664" t="s">
        <v>42125</v>
      </c>
      <c r="AE6664">
        <v>10</v>
      </c>
      <c r="AF6664" t="s">
        <v>45542</v>
      </c>
      <c r="AG6664" t="s">
        <v>19330</v>
      </c>
      <c r="AH6664">
        <v>7</v>
      </c>
      <c r="AI6664">
        <v>2</v>
      </c>
      <c r="AJ6664">
        <v>0</v>
      </c>
      <c r="AK6664">
        <v>12.76</v>
      </c>
      <c r="AN6664" t="s">
        <v>7439</v>
      </c>
      <c r="AO6664">
        <v>2158</v>
      </c>
      <c r="AU6664">
        <v>0</v>
      </c>
      <c r="AW6664" t="s">
        <v>46835</v>
      </c>
    </row>
    <row r="6665" spans="1:50">
      <c r="A6665" s="1">
        <f>HYPERLINK("https://lsnyc.legalserver.org/matter/dynamic-profile/view/1894688","19-1894688")</f>
        <v>0</v>
      </c>
      <c r="B6665" t="s">
        <v>173</v>
      </c>
      <c r="C6665" t="s">
        <v>340</v>
      </c>
      <c r="D6665" t="s">
        <v>787</v>
      </c>
      <c r="F6665" t="s">
        <v>2247</v>
      </c>
      <c r="G6665" t="s">
        <v>8102</v>
      </c>
      <c r="H6665" t="s">
        <v>14434</v>
      </c>
      <c r="I6665" t="s">
        <v>17298</v>
      </c>
      <c r="J6665" t="s">
        <v>18893</v>
      </c>
      <c r="K6665">
        <v>10034</v>
      </c>
      <c r="L6665" t="s">
        <v>18958</v>
      </c>
      <c r="M6665" t="s">
        <v>18958</v>
      </c>
      <c r="N6665" t="s">
        <v>23873</v>
      </c>
      <c r="O6665" t="s">
        <v>26523</v>
      </c>
      <c r="P6665" t="s">
        <v>26564</v>
      </c>
      <c r="R6665" t="s">
        <v>26582</v>
      </c>
      <c r="S6665" t="s">
        <v>18959</v>
      </c>
      <c r="U6665" t="s">
        <v>26604</v>
      </c>
      <c r="W6665" t="s">
        <v>787</v>
      </c>
      <c r="X6665">
        <v>1054.69</v>
      </c>
      <c r="Y6665" t="s">
        <v>26651</v>
      </c>
      <c r="Z6665" t="s">
        <v>26664</v>
      </c>
      <c r="AB6665" t="s">
        <v>31843</v>
      </c>
      <c r="AC6665" t="s">
        <v>36219</v>
      </c>
      <c r="AD6665" t="s">
        <v>42126</v>
      </c>
      <c r="AE6665">
        <v>0</v>
      </c>
      <c r="AF6665" t="s">
        <v>20460</v>
      </c>
      <c r="AG6665" t="s">
        <v>26530</v>
      </c>
      <c r="AH6665">
        <v>22</v>
      </c>
      <c r="AI6665">
        <v>1</v>
      </c>
      <c r="AJ6665">
        <v>0</v>
      </c>
      <c r="AK6665">
        <v>91.59</v>
      </c>
      <c r="AN6665" t="s">
        <v>45581</v>
      </c>
      <c r="AO6665">
        <v>11440</v>
      </c>
      <c r="AU6665">
        <v>1.2</v>
      </c>
      <c r="AV6665" t="s">
        <v>787</v>
      </c>
      <c r="AW6665" t="s">
        <v>46875</v>
      </c>
    </row>
    <row r="6666" spans="1:50">
      <c r="A6666" s="1">
        <f>HYPERLINK("https://lsnyc.legalserver.org/matter/dynamic-profile/view/1894652","19-1894652")</f>
        <v>0</v>
      </c>
      <c r="B6666" t="s">
        <v>173</v>
      </c>
      <c r="C6666" t="s">
        <v>340</v>
      </c>
      <c r="D6666" t="s">
        <v>787</v>
      </c>
      <c r="F6666" t="s">
        <v>928</v>
      </c>
      <c r="G6666" t="s">
        <v>5269</v>
      </c>
      <c r="H6666" t="s">
        <v>14435</v>
      </c>
      <c r="I6666" t="s">
        <v>17307</v>
      </c>
      <c r="J6666" t="s">
        <v>18893</v>
      </c>
      <c r="K6666">
        <v>10030</v>
      </c>
      <c r="L6666" t="s">
        <v>18958</v>
      </c>
      <c r="M6666" t="s">
        <v>18958</v>
      </c>
      <c r="N6666" t="s">
        <v>23874</v>
      </c>
      <c r="O6666" t="s">
        <v>26523</v>
      </c>
      <c r="P6666" t="s">
        <v>26560</v>
      </c>
      <c r="R6666" t="s">
        <v>26582</v>
      </c>
      <c r="S6666" t="s">
        <v>18959</v>
      </c>
      <c r="U6666" t="s">
        <v>26604</v>
      </c>
      <c r="W6666" t="s">
        <v>787</v>
      </c>
      <c r="X6666">
        <v>238</v>
      </c>
      <c r="Y6666" t="s">
        <v>26651</v>
      </c>
      <c r="Z6666" t="s">
        <v>26663</v>
      </c>
      <c r="AB6666" t="s">
        <v>31844</v>
      </c>
      <c r="AD6666" t="s">
        <v>42127</v>
      </c>
      <c r="AE6666">
        <v>24</v>
      </c>
      <c r="AF6666" t="s">
        <v>45541</v>
      </c>
      <c r="AG6666" t="s">
        <v>19330</v>
      </c>
      <c r="AH6666">
        <v>5</v>
      </c>
      <c r="AI6666">
        <v>1</v>
      </c>
      <c r="AJ6666">
        <v>0</v>
      </c>
      <c r="AK6666">
        <v>119.86</v>
      </c>
      <c r="AN6666" t="s">
        <v>7439</v>
      </c>
      <c r="AO6666">
        <v>14970.36</v>
      </c>
      <c r="AU6666">
        <v>8.85</v>
      </c>
      <c r="AV6666" t="s">
        <v>826</v>
      </c>
      <c r="AW6666" t="s">
        <v>46835</v>
      </c>
    </row>
    <row r="6667" spans="1:50">
      <c r="A6667" s="1">
        <f>HYPERLINK("https://lsnyc.legalserver.org/matter/dynamic-profile/view/1894660","19-1894660")</f>
        <v>0</v>
      </c>
      <c r="B6667" t="s">
        <v>173</v>
      </c>
      <c r="C6667" t="s">
        <v>340</v>
      </c>
      <c r="D6667" t="s">
        <v>787</v>
      </c>
      <c r="F6667" t="s">
        <v>3762</v>
      </c>
      <c r="G6667" t="s">
        <v>8103</v>
      </c>
      <c r="H6667" t="s">
        <v>14436</v>
      </c>
      <c r="I6667" t="s">
        <v>17292</v>
      </c>
      <c r="J6667" t="s">
        <v>18893</v>
      </c>
      <c r="K6667">
        <v>10039</v>
      </c>
      <c r="L6667" t="s">
        <v>18958</v>
      </c>
      <c r="M6667" t="s">
        <v>18958</v>
      </c>
      <c r="N6667" t="s">
        <v>23875</v>
      </c>
      <c r="O6667" t="s">
        <v>26523</v>
      </c>
      <c r="P6667" t="s">
        <v>26564</v>
      </c>
      <c r="R6667" t="s">
        <v>26582</v>
      </c>
      <c r="S6667" t="s">
        <v>18959</v>
      </c>
      <c r="U6667" t="s">
        <v>26604</v>
      </c>
      <c r="V6667" t="s">
        <v>26610</v>
      </c>
      <c r="W6667" t="s">
        <v>787</v>
      </c>
      <c r="X6667">
        <v>1470.59</v>
      </c>
      <c r="Y6667" t="s">
        <v>26651</v>
      </c>
      <c r="Z6667" t="s">
        <v>26664</v>
      </c>
      <c r="AB6667" t="s">
        <v>29029</v>
      </c>
      <c r="AD6667" t="s">
        <v>42128</v>
      </c>
      <c r="AE6667">
        <v>0</v>
      </c>
      <c r="AF6667" t="s">
        <v>45541</v>
      </c>
      <c r="AG6667" t="s">
        <v>19330</v>
      </c>
      <c r="AH6667">
        <v>11</v>
      </c>
      <c r="AI6667">
        <v>2</v>
      </c>
      <c r="AJ6667">
        <v>0</v>
      </c>
      <c r="AK6667">
        <v>153.76</v>
      </c>
      <c r="AN6667" t="s">
        <v>7439</v>
      </c>
      <c r="AO6667">
        <v>26000</v>
      </c>
      <c r="AU6667">
        <v>1</v>
      </c>
      <c r="AV6667" t="s">
        <v>787</v>
      </c>
      <c r="AW6667" t="s">
        <v>46835</v>
      </c>
    </row>
    <row r="6668" spans="1:50">
      <c r="A6668" s="1">
        <f>HYPERLINK("https://lsnyc.legalserver.org/matter/dynamic-profile/view/1894805","19-1894805")</f>
        <v>0</v>
      </c>
      <c r="B6668" t="s">
        <v>240</v>
      </c>
      <c r="C6668" t="s">
        <v>340</v>
      </c>
      <c r="D6668" t="s">
        <v>788</v>
      </c>
      <c r="F6668" t="s">
        <v>1475</v>
      </c>
      <c r="G6668" t="s">
        <v>5644</v>
      </c>
      <c r="H6668" t="s">
        <v>10275</v>
      </c>
      <c r="I6668" t="s">
        <v>17537</v>
      </c>
      <c r="J6668" t="s">
        <v>18894</v>
      </c>
      <c r="K6668">
        <v>11221</v>
      </c>
      <c r="L6668" t="s">
        <v>18958</v>
      </c>
      <c r="M6668" t="s">
        <v>18958</v>
      </c>
      <c r="P6668" t="s">
        <v>26562</v>
      </c>
      <c r="R6668" t="s">
        <v>26578</v>
      </c>
      <c r="S6668" t="s">
        <v>18959</v>
      </c>
      <c r="U6668" t="s">
        <v>26604</v>
      </c>
      <c r="W6668" t="s">
        <v>787</v>
      </c>
      <c r="X6668">
        <v>0</v>
      </c>
      <c r="Y6668" t="s">
        <v>26652</v>
      </c>
      <c r="AB6668" t="s">
        <v>26773</v>
      </c>
      <c r="AD6668" t="s">
        <v>37561</v>
      </c>
      <c r="AE6668">
        <v>0</v>
      </c>
      <c r="AH6668">
        <v>0</v>
      </c>
      <c r="AI6668">
        <v>1</v>
      </c>
      <c r="AJ6668">
        <v>1</v>
      </c>
      <c r="AK6668">
        <v>39.74</v>
      </c>
      <c r="AN6668" t="s">
        <v>7439</v>
      </c>
      <c r="AO6668">
        <v>6720</v>
      </c>
      <c r="AU6668">
        <v>14.7</v>
      </c>
      <c r="AV6668" t="s">
        <v>821</v>
      </c>
      <c r="AW6668" t="s">
        <v>219</v>
      </c>
    </row>
    <row r="6669" spans="1:50">
      <c r="A6669" s="1">
        <f>HYPERLINK("https://lsnyc.legalserver.org/matter/dynamic-profile/view/1894821","19-1894821")</f>
        <v>0</v>
      </c>
      <c r="B6669" t="s">
        <v>240</v>
      </c>
      <c r="C6669" t="s">
        <v>340</v>
      </c>
      <c r="D6669" t="s">
        <v>789</v>
      </c>
      <c r="F6669" t="s">
        <v>1494</v>
      </c>
      <c r="G6669" t="s">
        <v>994</v>
      </c>
      <c r="H6669" t="s">
        <v>10275</v>
      </c>
      <c r="I6669" t="s">
        <v>17415</v>
      </c>
      <c r="J6669" t="s">
        <v>18894</v>
      </c>
      <c r="K6669">
        <v>11221</v>
      </c>
      <c r="L6669" t="s">
        <v>18958</v>
      </c>
      <c r="M6669" t="s">
        <v>18958</v>
      </c>
      <c r="P6669" t="s">
        <v>26562</v>
      </c>
      <c r="R6669" t="s">
        <v>26578</v>
      </c>
      <c r="U6669" t="s">
        <v>26604</v>
      </c>
      <c r="W6669" t="s">
        <v>787</v>
      </c>
      <c r="X6669">
        <v>0</v>
      </c>
      <c r="Y6669" t="s">
        <v>26652</v>
      </c>
      <c r="AB6669" t="s">
        <v>27016</v>
      </c>
      <c r="AD6669" t="s">
        <v>37590</v>
      </c>
      <c r="AE6669">
        <v>0</v>
      </c>
      <c r="AH6669">
        <v>0</v>
      </c>
      <c r="AI6669">
        <v>1</v>
      </c>
      <c r="AJ6669">
        <v>0</v>
      </c>
      <c r="AK6669">
        <v>191.51</v>
      </c>
      <c r="AN6669" t="s">
        <v>7439</v>
      </c>
      <c r="AO6669">
        <v>23920</v>
      </c>
      <c r="AU6669">
        <v>0.2</v>
      </c>
      <c r="AV6669" t="s">
        <v>787</v>
      </c>
      <c r="AW6669" t="s">
        <v>219</v>
      </c>
    </row>
    <row r="6670" spans="1:50">
      <c r="A6670" s="1">
        <f>HYPERLINK("https://lsnyc.legalserver.org/matter/dynamic-profile/view/1890266","19-1890266")</f>
        <v>0</v>
      </c>
      <c r="B6670" t="s">
        <v>135</v>
      </c>
      <c r="C6670" t="s">
        <v>340</v>
      </c>
      <c r="D6670" t="s">
        <v>702</v>
      </c>
      <c r="F6670" t="s">
        <v>916</v>
      </c>
      <c r="G6670" t="s">
        <v>5447</v>
      </c>
      <c r="H6670" t="s">
        <v>12874</v>
      </c>
      <c r="I6670" t="s">
        <v>17348</v>
      </c>
      <c r="J6670" t="s">
        <v>18892</v>
      </c>
      <c r="K6670">
        <v>10452</v>
      </c>
      <c r="L6670" t="s">
        <v>18958</v>
      </c>
      <c r="M6670" t="s">
        <v>18958</v>
      </c>
      <c r="N6670" t="s">
        <v>22094</v>
      </c>
      <c r="O6670" t="s">
        <v>26523</v>
      </c>
      <c r="P6670" t="s">
        <v>26560</v>
      </c>
      <c r="R6670" t="s">
        <v>26578</v>
      </c>
      <c r="S6670" t="s">
        <v>18959</v>
      </c>
      <c r="U6670" t="s">
        <v>26604</v>
      </c>
      <c r="W6670" t="s">
        <v>788</v>
      </c>
      <c r="X6670">
        <v>811.24</v>
      </c>
      <c r="Y6670" t="s">
        <v>26650</v>
      </c>
      <c r="Z6670" t="s">
        <v>26663</v>
      </c>
      <c r="AB6670" t="s">
        <v>30155</v>
      </c>
      <c r="AC6670" t="s">
        <v>35773</v>
      </c>
      <c r="AD6670" t="s">
        <v>40554</v>
      </c>
      <c r="AE6670">
        <v>53</v>
      </c>
      <c r="AF6670" t="s">
        <v>45541</v>
      </c>
      <c r="AG6670" t="s">
        <v>45557</v>
      </c>
      <c r="AH6670">
        <v>34</v>
      </c>
      <c r="AI6670">
        <v>1</v>
      </c>
      <c r="AJ6670">
        <v>2</v>
      </c>
      <c r="AK6670">
        <v>43.65</v>
      </c>
      <c r="AN6670" t="s">
        <v>45581</v>
      </c>
      <c r="AO6670">
        <v>9310.799999999999</v>
      </c>
      <c r="AU6670">
        <v>9.6</v>
      </c>
      <c r="AV6670" t="s">
        <v>780</v>
      </c>
      <c r="AW6670" t="s">
        <v>46847</v>
      </c>
    </row>
    <row r="6671" spans="1:50">
      <c r="A6671" s="1">
        <f>HYPERLINK("https://lsnyc.legalserver.org/matter/dynamic-profile/view/1893214","19-1893214")</f>
        <v>0</v>
      </c>
      <c r="B6671" t="s">
        <v>251</v>
      </c>
      <c r="C6671" t="s">
        <v>341</v>
      </c>
      <c r="D6671" t="s">
        <v>759</v>
      </c>
      <c r="E6671" t="s">
        <v>789</v>
      </c>
      <c r="F6671" t="s">
        <v>1136</v>
      </c>
      <c r="G6671" t="s">
        <v>8104</v>
      </c>
      <c r="H6671" t="s">
        <v>14437</v>
      </c>
      <c r="I6671" t="s">
        <v>18029</v>
      </c>
      <c r="J6671" t="s">
        <v>18892</v>
      </c>
      <c r="K6671">
        <v>10465</v>
      </c>
      <c r="L6671" t="s">
        <v>18958</v>
      </c>
      <c r="M6671" t="s">
        <v>18958</v>
      </c>
      <c r="N6671" t="s">
        <v>23876</v>
      </c>
      <c r="O6671" t="s">
        <v>26523</v>
      </c>
      <c r="P6671" t="s">
        <v>26564</v>
      </c>
      <c r="Q6671" t="s">
        <v>26570</v>
      </c>
      <c r="R6671" t="s">
        <v>26577</v>
      </c>
      <c r="S6671" t="s">
        <v>18959</v>
      </c>
      <c r="U6671" t="s">
        <v>26604</v>
      </c>
      <c r="V6671" t="s">
        <v>26612</v>
      </c>
      <c r="W6671" t="s">
        <v>788</v>
      </c>
      <c r="X6671">
        <v>900</v>
      </c>
      <c r="Y6671" t="s">
        <v>26650</v>
      </c>
      <c r="Z6671" t="s">
        <v>26668</v>
      </c>
      <c r="AA6671" t="s">
        <v>26688</v>
      </c>
      <c r="AB6671" t="s">
        <v>31845</v>
      </c>
      <c r="AE6671">
        <v>2</v>
      </c>
      <c r="AF6671" t="s">
        <v>20460</v>
      </c>
      <c r="AH6671">
        <v>4</v>
      </c>
      <c r="AI6671">
        <v>2</v>
      </c>
      <c r="AJ6671">
        <v>1</v>
      </c>
      <c r="AK6671">
        <v>164.09</v>
      </c>
      <c r="AN6671" t="s">
        <v>7439</v>
      </c>
      <c r="AO6671">
        <v>35000</v>
      </c>
      <c r="AU6671">
        <v>2</v>
      </c>
      <c r="AV6671" t="s">
        <v>788</v>
      </c>
      <c r="AW6671" t="s">
        <v>46831</v>
      </c>
    </row>
    <row r="6672" spans="1:50">
      <c r="A6672" s="1">
        <f>HYPERLINK("https://lsnyc.legalserver.org/matter/dynamic-profile/view/1894818","19-1894818")</f>
        <v>0</v>
      </c>
      <c r="B6672" t="s">
        <v>96</v>
      </c>
      <c r="C6672" t="s">
        <v>341</v>
      </c>
      <c r="D6672" t="s">
        <v>788</v>
      </c>
      <c r="E6672" t="s">
        <v>795</v>
      </c>
      <c r="F6672" t="s">
        <v>928</v>
      </c>
      <c r="G6672" t="s">
        <v>6244</v>
      </c>
      <c r="H6672" t="s">
        <v>9670</v>
      </c>
      <c r="I6672">
        <v>17</v>
      </c>
      <c r="J6672" t="s">
        <v>18892</v>
      </c>
      <c r="K6672">
        <v>10457</v>
      </c>
      <c r="L6672" t="s">
        <v>18958</v>
      </c>
      <c r="M6672" t="s">
        <v>18959</v>
      </c>
      <c r="N6672" t="s">
        <v>23877</v>
      </c>
      <c r="O6672" t="s">
        <v>26523</v>
      </c>
      <c r="P6672" t="s">
        <v>26560</v>
      </c>
      <c r="Q6672" t="s">
        <v>26568</v>
      </c>
      <c r="R6672" t="s">
        <v>26579</v>
      </c>
      <c r="S6672" t="s">
        <v>18959</v>
      </c>
      <c r="T6672" t="s">
        <v>26579</v>
      </c>
      <c r="U6672" t="s">
        <v>26604</v>
      </c>
      <c r="V6672" t="s">
        <v>26610</v>
      </c>
      <c r="W6672" t="s">
        <v>788</v>
      </c>
      <c r="X6672">
        <v>1250.26</v>
      </c>
      <c r="Y6672" t="s">
        <v>26650</v>
      </c>
      <c r="Z6672" t="s">
        <v>26659</v>
      </c>
      <c r="AA6672" t="s">
        <v>26678</v>
      </c>
      <c r="AB6672" t="s">
        <v>27586</v>
      </c>
      <c r="AC6672" t="s">
        <v>36220</v>
      </c>
      <c r="AD6672" t="s">
        <v>42129</v>
      </c>
      <c r="AE6672">
        <v>34</v>
      </c>
      <c r="AF6672" t="s">
        <v>45541</v>
      </c>
      <c r="AG6672" t="s">
        <v>45561</v>
      </c>
      <c r="AH6672">
        <v>7</v>
      </c>
      <c r="AI6672">
        <v>1</v>
      </c>
      <c r="AJ6672">
        <v>0</v>
      </c>
      <c r="AK6672">
        <v>34.2</v>
      </c>
      <c r="AN6672" t="s">
        <v>7439</v>
      </c>
      <c r="AO6672">
        <v>4272</v>
      </c>
      <c r="AQ6672" t="s">
        <v>46362</v>
      </c>
      <c r="AR6672" t="s">
        <v>46429</v>
      </c>
      <c r="AS6672" t="s">
        <v>46499</v>
      </c>
      <c r="AT6672" t="s">
        <v>46737</v>
      </c>
      <c r="AU6672">
        <v>1.8</v>
      </c>
      <c r="AV6672" t="s">
        <v>789</v>
      </c>
      <c r="AW6672" t="s">
        <v>46867</v>
      </c>
    </row>
    <row r="6673" spans="1:50">
      <c r="A6673" s="1">
        <f>HYPERLINK("https://lsnyc.legalserver.org/matter/dynamic-profile/view/1894828","19-1894828")</f>
        <v>0</v>
      </c>
      <c r="B6673" t="s">
        <v>70</v>
      </c>
      <c r="C6673" t="s">
        <v>341</v>
      </c>
      <c r="D6673" t="s">
        <v>788</v>
      </c>
      <c r="E6673" t="s">
        <v>789</v>
      </c>
      <c r="F6673" t="s">
        <v>887</v>
      </c>
      <c r="G6673" t="s">
        <v>5478</v>
      </c>
      <c r="H6673" t="s">
        <v>14438</v>
      </c>
      <c r="I6673" t="s">
        <v>17344</v>
      </c>
      <c r="J6673" t="s">
        <v>18892</v>
      </c>
      <c r="K6673">
        <v>10452</v>
      </c>
      <c r="L6673" t="s">
        <v>18958</v>
      </c>
      <c r="M6673" t="s">
        <v>18958</v>
      </c>
      <c r="N6673" t="s">
        <v>23878</v>
      </c>
      <c r="O6673" t="s">
        <v>26523</v>
      </c>
      <c r="P6673" t="s">
        <v>26564</v>
      </c>
      <c r="Q6673" t="s">
        <v>26570</v>
      </c>
      <c r="R6673" t="s">
        <v>26577</v>
      </c>
      <c r="S6673" t="s">
        <v>18959</v>
      </c>
      <c r="U6673" t="s">
        <v>26604</v>
      </c>
      <c r="V6673" t="s">
        <v>26614</v>
      </c>
      <c r="W6673" t="s">
        <v>788</v>
      </c>
      <c r="X6673">
        <v>913.83</v>
      </c>
      <c r="Y6673" t="s">
        <v>26650</v>
      </c>
      <c r="Z6673" t="s">
        <v>26668</v>
      </c>
      <c r="AA6673" t="s">
        <v>26683</v>
      </c>
      <c r="AB6673" t="s">
        <v>28938</v>
      </c>
      <c r="AC6673" t="s">
        <v>36221</v>
      </c>
      <c r="AD6673" t="s">
        <v>42130</v>
      </c>
      <c r="AE6673">
        <v>35</v>
      </c>
      <c r="AF6673" t="s">
        <v>45541</v>
      </c>
      <c r="AG6673" t="s">
        <v>19330</v>
      </c>
      <c r="AH6673">
        <v>37</v>
      </c>
      <c r="AI6673">
        <v>2</v>
      </c>
      <c r="AJ6673">
        <v>0</v>
      </c>
      <c r="AK6673">
        <v>9.789999999999999</v>
      </c>
      <c r="AN6673" t="s">
        <v>7439</v>
      </c>
      <c r="AO6673">
        <v>1656</v>
      </c>
      <c r="AU6673">
        <v>2.8</v>
      </c>
      <c r="AV6673" t="s">
        <v>789</v>
      </c>
      <c r="AW6673" t="s">
        <v>334</v>
      </c>
    </row>
    <row r="6674" spans="1:50">
      <c r="A6674" s="1">
        <f>HYPERLINK("https://lsnyc.legalserver.org/matter/dynamic-profile/view/1893851","19-1893851")</f>
        <v>0</v>
      </c>
      <c r="B6674" t="s">
        <v>153</v>
      </c>
      <c r="C6674" t="s">
        <v>341</v>
      </c>
      <c r="D6674" t="s">
        <v>788</v>
      </c>
      <c r="E6674" t="s">
        <v>806</v>
      </c>
      <c r="F6674" t="s">
        <v>1106</v>
      </c>
      <c r="G6674" t="s">
        <v>8105</v>
      </c>
      <c r="H6674" t="s">
        <v>14439</v>
      </c>
      <c r="I6674" t="s">
        <v>17928</v>
      </c>
      <c r="J6674" t="s">
        <v>18902</v>
      </c>
      <c r="K6674">
        <v>10306</v>
      </c>
      <c r="L6674" t="s">
        <v>18958</v>
      </c>
      <c r="M6674" t="s">
        <v>18958</v>
      </c>
      <c r="N6674">
        <v>50673</v>
      </c>
      <c r="O6674" t="s">
        <v>26523</v>
      </c>
      <c r="P6674" t="s">
        <v>26560</v>
      </c>
      <c r="Q6674" t="s">
        <v>26568</v>
      </c>
      <c r="R6674" t="s">
        <v>26587</v>
      </c>
      <c r="S6674" t="s">
        <v>18959</v>
      </c>
      <c r="U6674" t="s">
        <v>26605</v>
      </c>
      <c r="V6674" t="s">
        <v>26610</v>
      </c>
      <c r="W6674" t="s">
        <v>788</v>
      </c>
      <c r="X6674">
        <v>1377.1</v>
      </c>
      <c r="Y6674" t="s">
        <v>26654</v>
      </c>
      <c r="Z6674" t="s">
        <v>26661</v>
      </c>
      <c r="AA6674" t="s">
        <v>26680</v>
      </c>
      <c r="AB6674" t="s">
        <v>31846</v>
      </c>
      <c r="AD6674" t="s">
        <v>42131</v>
      </c>
      <c r="AE6674">
        <v>16</v>
      </c>
      <c r="AF6674" t="s">
        <v>45541</v>
      </c>
      <c r="AH6674">
        <v>20</v>
      </c>
      <c r="AI6674">
        <v>3</v>
      </c>
      <c r="AJ6674">
        <v>0</v>
      </c>
      <c r="AK6674">
        <v>207.59</v>
      </c>
      <c r="AN6674" t="s">
        <v>7439</v>
      </c>
      <c r="AO6674">
        <v>44280</v>
      </c>
      <c r="AS6674" t="s">
        <v>46499</v>
      </c>
      <c r="AU6674">
        <v>8.699999999999999</v>
      </c>
      <c r="AV6674" t="s">
        <v>804</v>
      </c>
      <c r="AW6674" t="s">
        <v>46855</v>
      </c>
    </row>
    <row r="6675" spans="1:50">
      <c r="A6675" s="1">
        <f>HYPERLINK("https://lsnyc.legalserver.org/matter/dynamic-profile/view/1894975","19-1894975")</f>
        <v>0</v>
      </c>
      <c r="B6675" t="s">
        <v>122</v>
      </c>
      <c r="C6675" t="s">
        <v>341</v>
      </c>
      <c r="D6675" t="s">
        <v>788</v>
      </c>
      <c r="E6675" t="s">
        <v>789</v>
      </c>
      <c r="F6675" t="s">
        <v>2567</v>
      </c>
      <c r="G6675" t="s">
        <v>7277</v>
      </c>
      <c r="H6675" t="s">
        <v>14440</v>
      </c>
      <c r="I6675" t="s">
        <v>17491</v>
      </c>
      <c r="J6675" t="s">
        <v>18897</v>
      </c>
      <c r="K6675">
        <v>11415</v>
      </c>
      <c r="L6675" t="s">
        <v>18958</v>
      </c>
      <c r="M6675" t="s">
        <v>18958</v>
      </c>
      <c r="N6675" t="s">
        <v>23879</v>
      </c>
      <c r="O6675" t="s">
        <v>26526</v>
      </c>
      <c r="P6675" t="s">
        <v>26564</v>
      </c>
      <c r="Q6675" t="s">
        <v>26570</v>
      </c>
      <c r="R6675" t="s">
        <v>26584</v>
      </c>
      <c r="U6675" t="s">
        <v>26604</v>
      </c>
      <c r="V6675" t="s">
        <v>26610</v>
      </c>
      <c r="W6675" t="s">
        <v>788</v>
      </c>
      <c r="X6675">
        <v>1200</v>
      </c>
      <c r="Y6675" t="s">
        <v>26653</v>
      </c>
      <c r="Z6675" t="s">
        <v>26664</v>
      </c>
      <c r="AA6675" t="s">
        <v>26683</v>
      </c>
      <c r="AB6675" t="s">
        <v>31847</v>
      </c>
      <c r="AD6675" t="s">
        <v>42132</v>
      </c>
      <c r="AE6675">
        <v>2</v>
      </c>
      <c r="AF6675" t="s">
        <v>45547</v>
      </c>
      <c r="AG6675" t="s">
        <v>19330</v>
      </c>
      <c r="AH6675">
        <v>2</v>
      </c>
      <c r="AI6675">
        <v>4</v>
      </c>
      <c r="AJ6675">
        <v>0</v>
      </c>
      <c r="AK6675">
        <v>30.29</v>
      </c>
      <c r="AN6675" t="s">
        <v>7439</v>
      </c>
      <c r="AO6675">
        <v>7800</v>
      </c>
      <c r="AU6675">
        <v>1.5</v>
      </c>
      <c r="AV6675" t="s">
        <v>789</v>
      </c>
      <c r="AW6675" t="s">
        <v>122</v>
      </c>
    </row>
    <row r="6676" spans="1:50">
      <c r="A6676" s="1">
        <f>HYPERLINK("https://lsnyc.legalserver.org/matter/dynamic-profile/view/1894841","19-1894841")</f>
        <v>0</v>
      </c>
      <c r="B6676" t="s">
        <v>70</v>
      </c>
      <c r="C6676" t="s">
        <v>340</v>
      </c>
      <c r="D6676" t="s">
        <v>788</v>
      </c>
      <c r="F6676" t="s">
        <v>1266</v>
      </c>
      <c r="G6676" t="s">
        <v>6469</v>
      </c>
      <c r="H6676" t="s">
        <v>14441</v>
      </c>
      <c r="I6676" t="s">
        <v>17277</v>
      </c>
      <c r="J6676" t="s">
        <v>18892</v>
      </c>
      <c r="K6676">
        <v>10457</v>
      </c>
      <c r="L6676" t="s">
        <v>18958</v>
      </c>
      <c r="M6676" t="s">
        <v>18958</v>
      </c>
      <c r="N6676" t="s">
        <v>23880</v>
      </c>
      <c r="O6676" t="s">
        <v>26523</v>
      </c>
      <c r="P6676" t="s">
        <v>26560</v>
      </c>
      <c r="R6676" t="s">
        <v>26579</v>
      </c>
      <c r="S6676" t="s">
        <v>18959</v>
      </c>
      <c r="U6676" t="s">
        <v>26604</v>
      </c>
      <c r="V6676" t="s">
        <v>26610</v>
      </c>
      <c r="W6676" t="s">
        <v>788</v>
      </c>
      <c r="X6676">
        <v>1414</v>
      </c>
      <c r="Y6676" t="s">
        <v>26650</v>
      </c>
      <c r="Z6676" t="s">
        <v>26664</v>
      </c>
      <c r="AB6676" t="s">
        <v>31848</v>
      </c>
      <c r="AC6676" t="s">
        <v>19045</v>
      </c>
      <c r="AD6676" t="s">
        <v>42133</v>
      </c>
      <c r="AE6676">
        <v>23</v>
      </c>
      <c r="AF6676" t="s">
        <v>45544</v>
      </c>
      <c r="AG6676" t="s">
        <v>45556</v>
      </c>
      <c r="AH6676">
        <v>15</v>
      </c>
      <c r="AI6676">
        <v>1</v>
      </c>
      <c r="AJ6676">
        <v>0</v>
      </c>
      <c r="AK6676">
        <v>70.62</v>
      </c>
      <c r="AN6676" t="s">
        <v>7439</v>
      </c>
      <c r="AO6676">
        <v>8820</v>
      </c>
      <c r="AU6676">
        <v>3</v>
      </c>
      <c r="AV6676" t="s">
        <v>806</v>
      </c>
      <c r="AW6676" t="s">
        <v>334</v>
      </c>
    </row>
    <row r="6677" spans="1:50">
      <c r="A6677" s="1">
        <f>HYPERLINK("https://lsnyc.legalserver.org/matter/dynamic-profile/view/1894773","19-1894773")</f>
        <v>0</v>
      </c>
      <c r="B6677" t="s">
        <v>97</v>
      </c>
      <c r="C6677" t="s">
        <v>340</v>
      </c>
      <c r="D6677" t="s">
        <v>788</v>
      </c>
      <c r="F6677" t="s">
        <v>1543</v>
      </c>
      <c r="G6677" t="s">
        <v>5476</v>
      </c>
      <c r="H6677" t="s">
        <v>14442</v>
      </c>
      <c r="I6677">
        <v>4</v>
      </c>
      <c r="J6677" t="s">
        <v>18892</v>
      </c>
      <c r="K6677">
        <v>10471</v>
      </c>
      <c r="L6677" t="s">
        <v>18958</v>
      </c>
      <c r="M6677" t="s">
        <v>18960</v>
      </c>
      <c r="N6677" t="s">
        <v>23881</v>
      </c>
      <c r="O6677" t="s">
        <v>26523</v>
      </c>
      <c r="P6677" t="s">
        <v>26560</v>
      </c>
      <c r="R6677" t="s">
        <v>26577</v>
      </c>
      <c r="S6677" t="s">
        <v>18959</v>
      </c>
      <c r="U6677" t="s">
        <v>26604</v>
      </c>
      <c r="W6677" t="s">
        <v>788</v>
      </c>
      <c r="X6677">
        <v>1350</v>
      </c>
      <c r="Y6677" t="s">
        <v>26650</v>
      </c>
      <c r="Z6677" t="s">
        <v>26664</v>
      </c>
      <c r="AB6677" t="s">
        <v>31849</v>
      </c>
      <c r="AC6677" t="s">
        <v>36222</v>
      </c>
      <c r="AD6677" t="s">
        <v>42134</v>
      </c>
      <c r="AE6677">
        <v>36</v>
      </c>
      <c r="AF6677" t="s">
        <v>45541</v>
      </c>
      <c r="AG6677" t="s">
        <v>45556</v>
      </c>
      <c r="AH6677">
        <v>3</v>
      </c>
      <c r="AI6677">
        <v>1</v>
      </c>
      <c r="AJ6677">
        <v>0</v>
      </c>
      <c r="AK6677">
        <v>71.09999999999999</v>
      </c>
      <c r="AN6677" t="s">
        <v>7439</v>
      </c>
      <c r="AO6677">
        <v>8880</v>
      </c>
      <c r="AU6677">
        <v>10.45</v>
      </c>
      <c r="AV6677" t="s">
        <v>830</v>
      </c>
      <c r="AW6677" t="s">
        <v>46867</v>
      </c>
    </row>
    <row r="6678" spans="1:50">
      <c r="A6678" s="1">
        <f>HYPERLINK("https://lsnyc.legalserver.org/matter/dynamic-profile/view/1894849","19-1894849")</f>
        <v>0</v>
      </c>
      <c r="B6678" t="s">
        <v>82</v>
      </c>
      <c r="C6678" t="s">
        <v>340</v>
      </c>
      <c r="D6678" t="s">
        <v>788</v>
      </c>
      <c r="F6678" t="s">
        <v>2959</v>
      </c>
      <c r="G6678" t="s">
        <v>8106</v>
      </c>
      <c r="H6678" t="s">
        <v>14443</v>
      </c>
      <c r="I6678" t="s">
        <v>18210</v>
      </c>
      <c r="J6678" t="s">
        <v>18892</v>
      </c>
      <c r="K6678">
        <v>10467</v>
      </c>
      <c r="L6678" t="s">
        <v>18958</v>
      </c>
      <c r="M6678" t="s">
        <v>18958</v>
      </c>
      <c r="N6678" t="s">
        <v>23882</v>
      </c>
      <c r="O6678" t="s">
        <v>26523</v>
      </c>
      <c r="P6678" t="s">
        <v>26560</v>
      </c>
      <c r="R6678" t="s">
        <v>26579</v>
      </c>
      <c r="S6678" t="s">
        <v>18959</v>
      </c>
      <c r="U6678" t="s">
        <v>26604</v>
      </c>
      <c r="V6678" t="s">
        <v>26610</v>
      </c>
      <c r="W6678" t="s">
        <v>788</v>
      </c>
      <c r="X6678">
        <v>1442.04</v>
      </c>
      <c r="Y6678" t="s">
        <v>26650</v>
      </c>
      <c r="Z6678" t="s">
        <v>26664</v>
      </c>
      <c r="AB6678" t="s">
        <v>31850</v>
      </c>
      <c r="AC6678" t="s">
        <v>36223</v>
      </c>
      <c r="AD6678" t="s">
        <v>42135</v>
      </c>
      <c r="AE6678">
        <v>123</v>
      </c>
      <c r="AF6678" t="s">
        <v>45541</v>
      </c>
      <c r="AG6678" t="s">
        <v>45557</v>
      </c>
      <c r="AH6678">
        <v>7</v>
      </c>
      <c r="AI6678">
        <v>1</v>
      </c>
      <c r="AJ6678">
        <v>1</v>
      </c>
      <c r="AK6678">
        <v>0</v>
      </c>
      <c r="AN6678" t="s">
        <v>45581</v>
      </c>
      <c r="AO6678">
        <v>0</v>
      </c>
      <c r="AU6678">
        <v>2</v>
      </c>
      <c r="AV6678" t="s">
        <v>768</v>
      </c>
      <c r="AW6678" t="s">
        <v>46836</v>
      </c>
    </row>
    <row r="6679" spans="1:50">
      <c r="A6679" s="1">
        <f>HYPERLINK("https://lsnyc.legalserver.org/matter/dynamic-profile/view/1894918","19-1894918")</f>
        <v>0</v>
      </c>
      <c r="B6679" t="s">
        <v>243</v>
      </c>
      <c r="C6679" t="s">
        <v>340</v>
      </c>
      <c r="D6679" t="s">
        <v>789</v>
      </c>
      <c r="F6679" t="s">
        <v>969</v>
      </c>
      <c r="G6679" t="s">
        <v>8107</v>
      </c>
      <c r="H6679" t="s">
        <v>11532</v>
      </c>
      <c r="I6679" t="s">
        <v>17436</v>
      </c>
      <c r="J6679" t="s">
        <v>18894</v>
      </c>
      <c r="K6679">
        <v>11225</v>
      </c>
      <c r="L6679" t="s">
        <v>18958</v>
      </c>
      <c r="M6679" t="s">
        <v>18958</v>
      </c>
      <c r="O6679" t="s">
        <v>26528</v>
      </c>
      <c r="P6679" t="s">
        <v>26560</v>
      </c>
      <c r="R6679" t="s">
        <v>26578</v>
      </c>
      <c r="S6679" t="s">
        <v>18958</v>
      </c>
      <c r="U6679" t="s">
        <v>26604</v>
      </c>
      <c r="W6679" t="s">
        <v>788</v>
      </c>
      <c r="X6679">
        <v>1093.84</v>
      </c>
      <c r="Y6679" t="s">
        <v>26652</v>
      </c>
      <c r="AB6679" t="s">
        <v>27252</v>
      </c>
      <c r="AE6679">
        <v>0</v>
      </c>
      <c r="AH6679">
        <v>13</v>
      </c>
      <c r="AI6679">
        <v>2</v>
      </c>
      <c r="AJ6679">
        <v>0</v>
      </c>
      <c r="AK6679">
        <v>261.38</v>
      </c>
      <c r="AN6679" t="s">
        <v>7439</v>
      </c>
      <c r="AO6679">
        <v>44200</v>
      </c>
      <c r="AU6679">
        <v>0</v>
      </c>
      <c r="AW6679" t="s">
        <v>219</v>
      </c>
    </row>
    <row r="6680" spans="1:50">
      <c r="A6680" s="1">
        <f>HYPERLINK("https://lsnyc.legalserver.org/matter/dynamic-profile/view/1894967","19-1894967")</f>
        <v>0</v>
      </c>
      <c r="B6680" t="s">
        <v>290</v>
      </c>
      <c r="C6680" t="s">
        <v>340</v>
      </c>
      <c r="D6680" t="s">
        <v>789</v>
      </c>
      <c r="F6680" t="s">
        <v>3763</v>
      </c>
      <c r="G6680" t="s">
        <v>6106</v>
      </c>
      <c r="H6680" t="s">
        <v>14340</v>
      </c>
      <c r="I6680" t="s">
        <v>17733</v>
      </c>
      <c r="J6680" t="s">
        <v>18894</v>
      </c>
      <c r="K6680">
        <v>11207</v>
      </c>
      <c r="L6680" t="s">
        <v>18958</v>
      </c>
      <c r="M6680" t="s">
        <v>18958</v>
      </c>
      <c r="N6680" t="s">
        <v>23883</v>
      </c>
      <c r="O6680" t="s">
        <v>26524</v>
      </c>
      <c r="R6680" t="s">
        <v>26583</v>
      </c>
      <c r="S6680" t="s">
        <v>18958</v>
      </c>
      <c r="U6680" t="s">
        <v>26604</v>
      </c>
      <c r="V6680" t="s">
        <v>26610</v>
      </c>
      <c r="W6680" t="s">
        <v>788</v>
      </c>
      <c r="X6680">
        <v>600</v>
      </c>
      <c r="Y6680" t="s">
        <v>26652</v>
      </c>
      <c r="AB6680" t="s">
        <v>31851</v>
      </c>
      <c r="AC6680" t="s">
        <v>19045</v>
      </c>
      <c r="AE6680">
        <v>2</v>
      </c>
      <c r="AF6680" t="s">
        <v>45547</v>
      </c>
      <c r="AG6680" t="s">
        <v>19330</v>
      </c>
      <c r="AH6680">
        <v>2</v>
      </c>
      <c r="AI6680">
        <v>1</v>
      </c>
      <c r="AJ6680">
        <v>0</v>
      </c>
      <c r="AK6680">
        <v>291.43</v>
      </c>
      <c r="AN6680" t="s">
        <v>7439</v>
      </c>
      <c r="AO6680">
        <v>36400</v>
      </c>
      <c r="AU6680">
        <v>0</v>
      </c>
      <c r="AW6680" t="s">
        <v>279</v>
      </c>
    </row>
    <row r="6681" spans="1:50">
      <c r="A6681" s="1">
        <f>HYPERLINK("https://lsnyc.legalserver.org/matter/dynamic-profile/view/1885812","18-1885812")</f>
        <v>0</v>
      </c>
      <c r="B6681" t="s">
        <v>51</v>
      </c>
      <c r="C6681" t="s">
        <v>340</v>
      </c>
      <c r="D6681" t="s">
        <v>688</v>
      </c>
      <c r="F6681" t="s">
        <v>1096</v>
      </c>
      <c r="G6681" t="s">
        <v>1725</v>
      </c>
      <c r="H6681" t="s">
        <v>14444</v>
      </c>
      <c r="I6681" t="s">
        <v>17401</v>
      </c>
      <c r="J6681" t="s">
        <v>18892</v>
      </c>
      <c r="K6681">
        <v>10462</v>
      </c>
      <c r="L6681" t="s">
        <v>18958</v>
      </c>
      <c r="M6681" t="s">
        <v>18958</v>
      </c>
      <c r="N6681" t="s">
        <v>23884</v>
      </c>
      <c r="O6681" t="s">
        <v>26524</v>
      </c>
      <c r="P6681" t="s">
        <v>26560</v>
      </c>
      <c r="R6681" t="s">
        <v>26579</v>
      </c>
      <c r="S6681" t="s">
        <v>18959</v>
      </c>
      <c r="U6681" t="s">
        <v>26604</v>
      </c>
      <c r="V6681" t="s">
        <v>26610</v>
      </c>
      <c r="W6681" t="s">
        <v>789</v>
      </c>
      <c r="X6681">
        <v>1500</v>
      </c>
      <c r="Y6681" t="s">
        <v>26650</v>
      </c>
      <c r="Z6681" t="s">
        <v>26663</v>
      </c>
      <c r="AB6681" t="s">
        <v>31852</v>
      </c>
      <c r="AD6681" t="s">
        <v>42136</v>
      </c>
      <c r="AE6681">
        <v>3</v>
      </c>
      <c r="AF6681" t="s">
        <v>45547</v>
      </c>
      <c r="AG6681" t="s">
        <v>19330</v>
      </c>
      <c r="AH6681">
        <v>14</v>
      </c>
      <c r="AI6681">
        <v>2</v>
      </c>
      <c r="AJ6681">
        <v>3</v>
      </c>
      <c r="AK6681">
        <v>174.63</v>
      </c>
      <c r="AN6681" t="s">
        <v>7439</v>
      </c>
      <c r="AO6681">
        <v>51376</v>
      </c>
      <c r="AU6681">
        <v>14.2</v>
      </c>
      <c r="AV6681" t="s">
        <v>806</v>
      </c>
      <c r="AW6681" t="s">
        <v>46859</v>
      </c>
    </row>
    <row r="6682" spans="1:50">
      <c r="A6682" s="1">
        <f>HYPERLINK("https://lsnyc.legalserver.org/matter/dynamic-profile/view/1890616","19-1890616")</f>
        <v>0</v>
      </c>
      <c r="B6682" t="s">
        <v>235</v>
      </c>
      <c r="C6682" t="s">
        <v>340</v>
      </c>
      <c r="D6682" t="s">
        <v>745</v>
      </c>
      <c r="F6682" t="s">
        <v>3764</v>
      </c>
      <c r="G6682" t="s">
        <v>8108</v>
      </c>
      <c r="H6682" t="s">
        <v>13426</v>
      </c>
      <c r="J6682" t="s">
        <v>18901</v>
      </c>
      <c r="K6682">
        <v>11434</v>
      </c>
      <c r="L6682" t="s">
        <v>18958</v>
      </c>
      <c r="M6682" t="s">
        <v>18958</v>
      </c>
      <c r="N6682" t="s">
        <v>23885</v>
      </c>
      <c r="O6682" t="s">
        <v>26524</v>
      </c>
      <c r="P6682" t="s">
        <v>26560</v>
      </c>
      <c r="R6682" t="s">
        <v>26585</v>
      </c>
      <c r="S6682" t="s">
        <v>18959</v>
      </c>
      <c r="U6682" t="s">
        <v>26604</v>
      </c>
      <c r="W6682" t="s">
        <v>789</v>
      </c>
      <c r="X6682">
        <v>460</v>
      </c>
      <c r="Y6682" t="s">
        <v>26653</v>
      </c>
      <c r="Z6682" t="s">
        <v>26668</v>
      </c>
      <c r="AB6682" t="s">
        <v>31853</v>
      </c>
      <c r="AD6682" t="s">
        <v>42137</v>
      </c>
      <c r="AE6682">
        <v>3</v>
      </c>
      <c r="AF6682" t="s">
        <v>20460</v>
      </c>
      <c r="AG6682" t="s">
        <v>19330</v>
      </c>
      <c r="AH6682">
        <v>2</v>
      </c>
      <c r="AI6682">
        <v>2</v>
      </c>
      <c r="AJ6682">
        <v>1</v>
      </c>
      <c r="AK6682">
        <v>201.59</v>
      </c>
      <c r="AL6682" t="s">
        <v>747</v>
      </c>
      <c r="AM6682" t="s">
        <v>45575</v>
      </c>
      <c r="AN6682" t="s">
        <v>7439</v>
      </c>
      <c r="AO6682">
        <v>43000</v>
      </c>
      <c r="AU6682">
        <v>3.85</v>
      </c>
      <c r="AV6682" t="s">
        <v>772</v>
      </c>
      <c r="AW6682" t="s">
        <v>208</v>
      </c>
    </row>
    <row r="6683" spans="1:50">
      <c r="A6683" s="1">
        <f>HYPERLINK("https://lsnyc.legalserver.org/matter/dynamic-profile/view/1891966","19-1891966")</f>
        <v>0</v>
      </c>
      <c r="B6683" t="s">
        <v>212</v>
      </c>
      <c r="C6683" t="s">
        <v>340</v>
      </c>
      <c r="D6683" t="s">
        <v>574</v>
      </c>
      <c r="F6683" t="s">
        <v>1185</v>
      </c>
      <c r="G6683" t="s">
        <v>5948</v>
      </c>
      <c r="H6683" t="s">
        <v>14445</v>
      </c>
      <c r="I6683" t="s">
        <v>18388</v>
      </c>
      <c r="J6683" t="s">
        <v>18898</v>
      </c>
      <c r="K6683">
        <v>11691</v>
      </c>
      <c r="L6683" t="s">
        <v>18958</v>
      </c>
      <c r="M6683" t="s">
        <v>18958</v>
      </c>
      <c r="N6683" t="s">
        <v>23886</v>
      </c>
      <c r="O6683" t="s">
        <v>26524</v>
      </c>
      <c r="P6683" t="s">
        <v>26560</v>
      </c>
      <c r="R6683" t="s">
        <v>26578</v>
      </c>
      <c r="S6683" t="s">
        <v>18959</v>
      </c>
      <c r="U6683" t="s">
        <v>26604</v>
      </c>
      <c r="V6683" t="s">
        <v>26610</v>
      </c>
      <c r="W6683" t="s">
        <v>789</v>
      </c>
      <c r="X6683">
        <v>1900</v>
      </c>
      <c r="Y6683" t="s">
        <v>26653</v>
      </c>
      <c r="Z6683" t="s">
        <v>26664</v>
      </c>
      <c r="AB6683" t="s">
        <v>31854</v>
      </c>
      <c r="AD6683" t="s">
        <v>42138</v>
      </c>
      <c r="AE6683">
        <v>200</v>
      </c>
      <c r="AF6683" t="s">
        <v>20460</v>
      </c>
      <c r="AG6683" t="s">
        <v>19330</v>
      </c>
      <c r="AH6683">
        <v>2</v>
      </c>
      <c r="AI6683">
        <v>1</v>
      </c>
      <c r="AJ6683">
        <v>1</v>
      </c>
      <c r="AK6683">
        <v>147.84</v>
      </c>
      <c r="AN6683" t="s">
        <v>7439</v>
      </c>
      <c r="AO6683">
        <v>25000</v>
      </c>
      <c r="AQ6683" t="s">
        <v>46361</v>
      </c>
      <c r="AU6683">
        <v>45.6</v>
      </c>
      <c r="AV6683" t="s">
        <v>814</v>
      </c>
      <c r="AW6683" t="s">
        <v>208</v>
      </c>
    </row>
    <row r="6684" spans="1:50">
      <c r="A6684" s="1">
        <f>HYPERLINK("https://lsnyc.legalserver.org/matter/dynamic-profile/view/1894036","19-1894036")</f>
        <v>0</v>
      </c>
      <c r="B6684" t="s">
        <v>69</v>
      </c>
      <c r="C6684" t="s">
        <v>340</v>
      </c>
      <c r="D6684" t="s">
        <v>786</v>
      </c>
      <c r="F6684" t="s">
        <v>2002</v>
      </c>
      <c r="G6684" t="s">
        <v>6165</v>
      </c>
      <c r="H6684" t="s">
        <v>14446</v>
      </c>
      <c r="I6684" t="s">
        <v>17298</v>
      </c>
      <c r="J6684" t="s">
        <v>18892</v>
      </c>
      <c r="K6684">
        <v>10467</v>
      </c>
      <c r="L6684" t="s">
        <v>18958</v>
      </c>
      <c r="M6684" t="s">
        <v>18958</v>
      </c>
      <c r="N6684" t="s">
        <v>23887</v>
      </c>
      <c r="O6684" t="s">
        <v>26523</v>
      </c>
      <c r="P6684" t="s">
        <v>26560</v>
      </c>
      <c r="R6684" t="s">
        <v>26579</v>
      </c>
      <c r="U6684" t="s">
        <v>26604</v>
      </c>
      <c r="V6684" t="s">
        <v>26611</v>
      </c>
      <c r="W6684" t="s">
        <v>789</v>
      </c>
      <c r="X6684">
        <v>1077</v>
      </c>
      <c r="Y6684" t="s">
        <v>26650</v>
      </c>
      <c r="Z6684" t="s">
        <v>26664</v>
      </c>
      <c r="AB6684" t="s">
        <v>31855</v>
      </c>
      <c r="AC6684" t="s">
        <v>36224</v>
      </c>
      <c r="AD6684" t="s">
        <v>42139</v>
      </c>
      <c r="AE6684">
        <v>0</v>
      </c>
      <c r="AF6684" t="s">
        <v>45541</v>
      </c>
      <c r="AH6684">
        <v>12</v>
      </c>
      <c r="AI6684">
        <v>1</v>
      </c>
      <c r="AJ6684">
        <v>1</v>
      </c>
      <c r="AK6684">
        <v>76.88</v>
      </c>
      <c r="AN6684" t="s">
        <v>7439</v>
      </c>
      <c r="AO6684">
        <v>13000</v>
      </c>
      <c r="AU6684">
        <v>15.35</v>
      </c>
      <c r="AV6684" t="s">
        <v>804</v>
      </c>
      <c r="AW6684" t="s">
        <v>334</v>
      </c>
    </row>
    <row r="6685" spans="1:50">
      <c r="A6685" s="1">
        <f>HYPERLINK("https://lsnyc.legalserver.org/matter/dynamic-profile/view/1894711","19-1894711")</f>
        <v>0</v>
      </c>
      <c r="B6685" t="s">
        <v>249</v>
      </c>
      <c r="C6685" t="s">
        <v>340</v>
      </c>
      <c r="D6685" t="s">
        <v>787</v>
      </c>
      <c r="F6685" t="s">
        <v>3765</v>
      </c>
      <c r="G6685" t="s">
        <v>8109</v>
      </c>
      <c r="H6685" t="s">
        <v>14447</v>
      </c>
      <c r="I6685" t="s">
        <v>17477</v>
      </c>
      <c r="J6685" t="s">
        <v>18894</v>
      </c>
      <c r="K6685">
        <v>11208</v>
      </c>
      <c r="L6685" t="s">
        <v>18958</v>
      </c>
      <c r="M6685" t="s">
        <v>18959</v>
      </c>
      <c r="O6685" t="s">
        <v>26554</v>
      </c>
      <c r="P6685" t="s">
        <v>26562</v>
      </c>
      <c r="R6685" t="s">
        <v>26578</v>
      </c>
      <c r="S6685" t="s">
        <v>18959</v>
      </c>
      <c r="U6685" t="s">
        <v>26604</v>
      </c>
      <c r="V6685" t="s">
        <v>26610</v>
      </c>
      <c r="W6685" t="s">
        <v>789</v>
      </c>
      <c r="X6685">
        <v>859</v>
      </c>
      <c r="Y6685" t="s">
        <v>26652</v>
      </c>
      <c r="Z6685" t="s">
        <v>26657</v>
      </c>
      <c r="AB6685" t="s">
        <v>29167</v>
      </c>
      <c r="AC6685" t="s">
        <v>19045</v>
      </c>
      <c r="AD6685" t="s">
        <v>42140</v>
      </c>
      <c r="AE6685">
        <v>1276</v>
      </c>
      <c r="AF6685" t="s">
        <v>45541</v>
      </c>
      <c r="AG6685" t="s">
        <v>45556</v>
      </c>
      <c r="AH6685">
        <v>2</v>
      </c>
      <c r="AI6685">
        <v>1</v>
      </c>
      <c r="AJ6685">
        <v>0</v>
      </c>
      <c r="AK6685">
        <v>176.11</v>
      </c>
      <c r="AN6685" t="s">
        <v>7439</v>
      </c>
      <c r="AO6685">
        <v>21996</v>
      </c>
      <c r="AU6685">
        <v>2.25</v>
      </c>
      <c r="AV6685" t="s">
        <v>720</v>
      </c>
      <c r="AW6685" t="s">
        <v>279</v>
      </c>
      <c r="AX6685" t="s">
        <v>46897</v>
      </c>
    </row>
    <row r="6686" spans="1:50">
      <c r="A6686" s="1">
        <f>HYPERLINK("https://lsnyc.legalserver.org/matter/dynamic-profile/view/1894836","19-1894836")</f>
        <v>0</v>
      </c>
      <c r="B6686" t="s">
        <v>200</v>
      </c>
      <c r="C6686" t="s">
        <v>341</v>
      </c>
      <c r="D6686" t="s">
        <v>788</v>
      </c>
      <c r="E6686" t="s">
        <v>793</v>
      </c>
      <c r="F6686" t="s">
        <v>1074</v>
      </c>
      <c r="G6686" t="s">
        <v>5243</v>
      </c>
      <c r="H6686" t="s">
        <v>14448</v>
      </c>
      <c r="I6686">
        <v>1</v>
      </c>
      <c r="J6686" t="s">
        <v>18894</v>
      </c>
      <c r="K6686">
        <v>11208</v>
      </c>
      <c r="L6686" t="s">
        <v>18958</v>
      </c>
      <c r="M6686" t="s">
        <v>18958</v>
      </c>
      <c r="N6686" t="s">
        <v>23888</v>
      </c>
      <c r="O6686" t="s">
        <v>26524</v>
      </c>
      <c r="P6686" t="s">
        <v>26564</v>
      </c>
      <c r="Q6686" t="s">
        <v>26570</v>
      </c>
      <c r="R6686" t="s">
        <v>26578</v>
      </c>
      <c r="S6686" t="s">
        <v>18959</v>
      </c>
      <c r="U6686" t="s">
        <v>26604</v>
      </c>
      <c r="W6686" t="s">
        <v>789</v>
      </c>
      <c r="X6686">
        <v>1215</v>
      </c>
      <c r="Y6686" t="s">
        <v>26652</v>
      </c>
      <c r="AA6686" t="s">
        <v>26683</v>
      </c>
      <c r="AB6686" t="s">
        <v>31856</v>
      </c>
      <c r="AC6686" t="s">
        <v>34508</v>
      </c>
      <c r="AD6686" t="s">
        <v>42141</v>
      </c>
      <c r="AE6686">
        <v>5</v>
      </c>
      <c r="AF6686" t="s">
        <v>45547</v>
      </c>
      <c r="AG6686" t="s">
        <v>45560</v>
      </c>
      <c r="AH6686">
        <v>1</v>
      </c>
      <c r="AI6686">
        <v>1</v>
      </c>
      <c r="AJ6686">
        <v>0</v>
      </c>
      <c r="AK6686">
        <v>187.35</v>
      </c>
      <c r="AN6686" t="s">
        <v>45596</v>
      </c>
      <c r="AO6686">
        <v>23400</v>
      </c>
      <c r="AU6686">
        <v>0.6</v>
      </c>
      <c r="AV6686" t="s">
        <v>788</v>
      </c>
      <c r="AW6686" t="s">
        <v>46842</v>
      </c>
      <c r="AX6686" t="s">
        <v>46897</v>
      </c>
    </row>
    <row r="6687" spans="1:50">
      <c r="A6687" s="1">
        <f>HYPERLINK("https://lsnyc.legalserver.org/matter/dynamic-profile/view/1894985","19-1894985")</f>
        <v>0</v>
      </c>
      <c r="B6687" t="s">
        <v>105</v>
      </c>
      <c r="C6687" t="s">
        <v>341</v>
      </c>
      <c r="D6687" t="s">
        <v>789</v>
      </c>
      <c r="E6687" t="s">
        <v>820</v>
      </c>
      <c r="F6687" t="s">
        <v>916</v>
      </c>
      <c r="G6687" t="s">
        <v>6132</v>
      </c>
      <c r="H6687" t="s">
        <v>14449</v>
      </c>
      <c r="J6687" t="s">
        <v>18899</v>
      </c>
      <c r="K6687">
        <v>11385</v>
      </c>
      <c r="L6687" t="s">
        <v>18958</v>
      </c>
      <c r="M6687" t="s">
        <v>18958</v>
      </c>
      <c r="N6687" t="s">
        <v>23889</v>
      </c>
      <c r="O6687" t="s">
        <v>26523</v>
      </c>
      <c r="P6687" t="s">
        <v>26560</v>
      </c>
      <c r="Q6687" t="s">
        <v>26568</v>
      </c>
      <c r="R6687" t="s">
        <v>26585</v>
      </c>
      <c r="S6687" t="s">
        <v>18959</v>
      </c>
      <c r="U6687" t="s">
        <v>26604</v>
      </c>
      <c r="V6687" t="s">
        <v>26611</v>
      </c>
      <c r="W6687" t="s">
        <v>789</v>
      </c>
      <c r="X6687">
        <v>1676.88</v>
      </c>
      <c r="Y6687" t="s">
        <v>26653</v>
      </c>
      <c r="Z6687" t="s">
        <v>26668</v>
      </c>
      <c r="AA6687" t="s">
        <v>26678</v>
      </c>
      <c r="AB6687" t="s">
        <v>31857</v>
      </c>
      <c r="AC6687" t="s">
        <v>36225</v>
      </c>
      <c r="AD6687" t="s">
        <v>42142</v>
      </c>
      <c r="AE6687">
        <v>6</v>
      </c>
      <c r="AF6687" t="s">
        <v>45541</v>
      </c>
      <c r="AH6687">
        <v>6</v>
      </c>
      <c r="AI6687">
        <v>2</v>
      </c>
      <c r="AJ6687">
        <v>3</v>
      </c>
      <c r="AK6687">
        <v>99.44</v>
      </c>
      <c r="AN6687" t="s">
        <v>45581</v>
      </c>
      <c r="AO6687">
        <v>30000</v>
      </c>
      <c r="AR6687" t="s">
        <v>46379</v>
      </c>
      <c r="AS6687" t="s">
        <v>46499</v>
      </c>
      <c r="AT6687" t="s">
        <v>46726</v>
      </c>
      <c r="AU6687">
        <v>2.3</v>
      </c>
      <c r="AV6687" t="s">
        <v>820</v>
      </c>
      <c r="AW6687" t="s">
        <v>208</v>
      </c>
      <c r="AX6687" t="s">
        <v>46897</v>
      </c>
    </row>
    <row r="6688" spans="1:50">
      <c r="A6688" s="1">
        <f>HYPERLINK("https://lsnyc.legalserver.org/matter/dynamic-profile/view/1894996","19-1894996")</f>
        <v>0</v>
      </c>
      <c r="B6688" t="s">
        <v>169</v>
      </c>
      <c r="C6688" t="s">
        <v>341</v>
      </c>
      <c r="D6688" t="s">
        <v>789</v>
      </c>
      <c r="E6688" t="s">
        <v>803</v>
      </c>
      <c r="F6688" t="s">
        <v>936</v>
      </c>
      <c r="G6688" t="s">
        <v>5360</v>
      </c>
      <c r="H6688" t="s">
        <v>10160</v>
      </c>
      <c r="I6688" t="s">
        <v>17306</v>
      </c>
      <c r="J6688" t="s">
        <v>18892</v>
      </c>
      <c r="K6688">
        <v>10453</v>
      </c>
      <c r="L6688" t="s">
        <v>18958</v>
      </c>
      <c r="M6688" t="s">
        <v>18958</v>
      </c>
      <c r="N6688" t="s">
        <v>23890</v>
      </c>
      <c r="O6688" t="s">
        <v>26534</v>
      </c>
      <c r="P6688" t="s">
        <v>26565</v>
      </c>
      <c r="Q6688" t="s">
        <v>26571</v>
      </c>
      <c r="R6688" t="s">
        <v>26578</v>
      </c>
      <c r="S6688" t="s">
        <v>18959</v>
      </c>
      <c r="U6688" t="s">
        <v>26604</v>
      </c>
      <c r="W6688" t="s">
        <v>789</v>
      </c>
      <c r="X6688">
        <v>1063</v>
      </c>
      <c r="Y6688" t="s">
        <v>26650</v>
      </c>
      <c r="Z6688" t="s">
        <v>26659</v>
      </c>
      <c r="AA6688" t="s">
        <v>26683</v>
      </c>
      <c r="AB6688" t="s">
        <v>27253</v>
      </c>
      <c r="AD6688" t="s">
        <v>37324</v>
      </c>
      <c r="AE6688">
        <v>58</v>
      </c>
      <c r="AF6688" t="s">
        <v>45541</v>
      </c>
      <c r="AG6688" t="s">
        <v>45559</v>
      </c>
      <c r="AH6688">
        <v>30</v>
      </c>
      <c r="AI6688">
        <v>1</v>
      </c>
      <c r="AJ6688">
        <v>0</v>
      </c>
      <c r="AK6688">
        <v>76.86</v>
      </c>
      <c r="AN6688" t="s">
        <v>7439</v>
      </c>
      <c r="AO6688">
        <v>9600</v>
      </c>
      <c r="AU6688">
        <v>2.3</v>
      </c>
      <c r="AV6688" t="s">
        <v>803</v>
      </c>
      <c r="AW6688" t="s">
        <v>169</v>
      </c>
    </row>
    <row r="6689" spans="1:50">
      <c r="A6689" s="1">
        <f>HYPERLINK("https://lsnyc.legalserver.org/matter/dynamic-profile/view/1893966","19-1893966")</f>
        <v>0</v>
      </c>
      <c r="B6689" t="s">
        <v>131</v>
      </c>
      <c r="C6689" t="s">
        <v>341</v>
      </c>
      <c r="D6689" t="s">
        <v>789</v>
      </c>
      <c r="E6689" t="s">
        <v>789</v>
      </c>
      <c r="F6689" t="s">
        <v>3766</v>
      </c>
      <c r="G6689" t="s">
        <v>8110</v>
      </c>
      <c r="H6689" t="s">
        <v>14450</v>
      </c>
      <c r="J6689" t="s">
        <v>18902</v>
      </c>
      <c r="K6689">
        <v>10304</v>
      </c>
      <c r="L6689" t="s">
        <v>18958</v>
      </c>
      <c r="M6689" t="s">
        <v>18958</v>
      </c>
      <c r="N6689" t="s">
        <v>23891</v>
      </c>
      <c r="O6689" t="s">
        <v>26524</v>
      </c>
      <c r="P6689" t="s">
        <v>26564</v>
      </c>
      <c r="Q6689" t="s">
        <v>26570</v>
      </c>
      <c r="R6689" t="s">
        <v>26578</v>
      </c>
      <c r="S6689" t="s">
        <v>18959</v>
      </c>
      <c r="U6689" t="s">
        <v>26604</v>
      </c>
      <c r="V6689" t="s">
        <v>26610</v>
      </c>
      <c r="W6689" t="s">
        <v>789</v>
      </c>
      <c r="X6689">
        <v>2000</v>
      </c>
      <c r="Y6689" t="s">
        <v>26654</v>
      </c>
      <c r="Z6689" t="s">
        <v>26668</v>
      </c>
      <c r="AA6689" t="s">
        <v>26683</v>
      </c>
      <c r="AB6689" t="s">
        <v>31858</v>
      </c>
      <c r="AD6689" t="s">
        <v>42143</v>
      </c>
      <c r="AE6689">
        <v>1</v>
      </c>
      <c r="AF6689" t="s">
        <v>45547</v>
      </c>
      <c r="AG6689" t="s">
        <v>19330</v>
      </c>
      <c r="AH6689">
        <v>23</v>
      </c>
      <c r="AI6689">
        <v>4</v>
      </c>
      <c r="AJ6689">
        <v>1</v>
      </c>
      <c r="AK6689">
        <v>0</v>
      </c>
      <c r="AN6689" t="s">
        <v>7439</v>
      </c>
      <c r="AO6689">
        <v>0</v>
      </c>
      <c r="AU6689">
        <v>2.5</v>
      </c>
      <c r="AV6689" t="s">
        <v>789</v>
      </c>
      <c r="AW6689" t="s">
        <v>46883</v>
      </c>
      <c r="AX6689" t="s">
        <v>46897</v>
      </c>
    </row>
    <row r="6690" spans="1:50">
      <c r="A6690" s="1">
        <f>HYPERLINK("https://lsnyc.legalserver.org/matter/dynamic-profile/view/1894924","19-1894924")</f>
        <v>0</v>
      </c>
      <c r="B6690" t="s">
        <v>79</v>
      </c>
      <c r="C6690" t="s">
        <v>341</v>
      </c>
      <c r="D6690" t="s">
        <v>789</v>
      </c>
      <c r="E6690" t="s">
        <v>767</v>
      </c>
      <c r="F6690" t="s">
        <v>1944</v>
      </c>
      <c r="G6690" t="s">
        <v>5691</v>
      </c>
      <c r="H6690" t="s">
        <v>14451</v>
      </c>
      <c r="I6690" t="s">
        <v>17283</v>
      </c>
      <c r="J6690" t="s">
        <v>18893</v>
      </c>
      <c r="K6690">
        <v>10040</v>
      </c>
      <c r="L6690" t="s">
        <v>18958</v>
      </c>
      <c r="M6690" t="s">
        <v>18958</v>
      </c>
      <c r="O6690" t="s">
        <v>26524</v>
      </c>
      <c r="P6690" t="s">
        <v>26564</v>
      </c>
      <c r="Q6690" t="s">
        <v>26570</v>
      </c>
      <c r="R6690" t="s">
        <v>26578</v>
      </c>
      <c r="S6690" t="s">
        <v>18959</v>
      </c>
      <c r="U6690" t="s">
        <v>26604</v>
      </c>
      <c r="W6690" t="s">
        <v>789</v>
      </c>
      <c r="X6690">
        <v>1016</v>
      </c>
      <c r="Y6690" t="s">
        <v>26651</v>
      </c>
      <c r="Z6690" t="s">
        <v>26661</v>
      </c>
      <c r="AA6690" t="s">
        <v>26683</v>
      </c>
      <c r="AB6690" t="s">
        <v>29965</v>
      </c>
      <c r="AD6690" t="s">
        <v>42144</v>
      </c>
      <c r="AE6690">
        <v>75</v>
      </c>
      <c r="AF6690" t="s">
        <v>45548</v>
      </c>
      <c r="AG6690" t="s">
        <v>19330</v>
      </c>
      <c r="AH6690">
        <v>37</v>
      </c>
      <c r="AI6690">
        <v>2</v>
      </c>
      <c r="AJ6690">
        <v>1</v>
      </c>
      <c r="AK6690">
        <v>122.76</v>
      </c>
      <c r="AN6690" t="s">
        <v>45581</v>
      </c>
      <c r="AO6690">
        <v>26184</v>
      </c>
      <c r="AU6690">
        <v>2.05</v>
      </c>
      <c r="AV6690" t="s">
        <v>760</v>
      </c>
      <c r="AW6690" t="s">
        <v>317</v>
      </c>
    </row>
    <row r="6691" spans="1:50">
      <c r="A6691" s="1">
        <f>HYPERLINK("https://lsnyc.legalserver.org/matter/dynamic-profile/view/1894943","19-1894943")</f>
        <v>0</v>
      </c>
      <c r="B6691" t="s">
        <v>79</v>
      </c>
      <c r="C6691" t="s">
        <v>341</v>
      </c>
      <c r="D6691" t="s">
        <v>789</v>
      </c>
      <c r="E6691" t="s">
        <v>767</v>
      </c>
      <c r="F6691" t="s">
        <v>2247</v>
      </c>
      <c r="G6691" t="s">
        <v>5863</v>
      </c>
      <c r="H6691" t="s">
        <v>14452</v>
      </c>
      <c r="I6691" t="s">
        <v>17288</v>
      </c>
      <c r="J6691" t="s">
        <v>18893</v>
      </c>
      <c r="K6691">
        <v>10034</v>
      </c>
      <c r="L6691" t="s">
        <v>18958</v>
      </c>
      <c r="M6691" t="s">
        <v>18958</v>
      </c>
      <c r="O6691" t="s">
        <v>26529</v>
      </c>
      <c r="P6691" t="s">
        <v>26565</v>
      </c>
      <c r="Q6691" t="s">
        <v>26571</v>
      </c>
      <c r="R6691" t="s">
        <v>26578</v>
      </c>
      <c r="S6691" t="s">
        <v>18959</v>
      </c>
      <c r="U6691" t="s">
        <v>26604</v>
      </c>
      <c r="W6691" t="s">
        <v>789</v>
      </c>
      <c r="X6691">
        <v>149</v>
      </c>
      <c r="Y6691" t="s">
        <v>26651</v>
      </c>
      <c r="Z6691" t="s">
        <v>26663</v>
      </c>
      <c r="AA6691" t="s">
        <v>26683</v>
      </c>
      <c r="AB6691" t="s">
        <v>31859</v>
      </c>
      <c r="AD6691" t="s">
        <v>42145</v>
      </c>
      <c r="AE6691">
        <v>95</v>
      </c>
      <c r="AF6691" t="s">
        <v>45541</v>
      </c>
      <c r="AG6691" t="s">
        <v>45563</v>
      </c>
      <c r="AH6691">
        <v>22</v>
      </c>
      <c r="AI6691">
        <v>2</v>
      </c>
      <c r="AJ6691">
        <v>0</v>
      </c>
      <c r="AK6691">
        <v>125.37</v>
      </c>
      <c r="AN6691" t="s">
        <v>45581</v>
      </c>
      <c r="AO6691">
        <v>21200</v>
      </c>
      <c r="AU6691">
        <v>1.7</v>
      </c>
      <c r="AV6691" t="s">
        <v>769</v>
      </c>
      <c r="AW6691" t="s">
        <v>317</v>
      </c>
    </row>
    <row r="6692" spans="1:50">
      <c r="A6692" s="1">
        <f>HYPERLINK("https://lsnyc.legalserver.org/matter/dynamic-profile/view/1894929","19-1894929")</f>
        <v>0</v>
      </c>
      <c r="B6692" t="s">
        <v>79</v>
      </c>
      <c r="C6692" t="s">
        <v>341</v>
      </c>
      <c r="D6692" t="s">
        <v>789</v>
      </c>
      <c r="E6692" t="s">
        <v>819</v>
      </c>
      <c r="F6692" t="s">
        <v>1206</v>
      </c>
      <c r="G6692" t="s">
        <v>5802</v>
      </c>
      <c r="H6692" t="s">
        <v>14453</v>
      </c>
      <c r="I6692" t="s">
        <v>17390</v>
      </c>
      <c r="J6692" t="s">
        <v>18893</v>
      </c>
      <c r="K6692">
        <v>10034</v>
      </c>
      <c r="L6692" t="s">
        <v>18958</v>
      </c>
      <c r="M6692" t="s">
        <v>18958</v>
      </c>
      <c r="N6692" t="s">
        <v>23892</v>
      </c>
      <c r="O6692" t="s">
        <v>26529</v>
      </c>
      <c r="P6692" t="s">
        <v>26564</v>
      </c>
      <c r="Q6692" t="s">
        <v>26570</v>
      </c>
      <c r="R6692" t="s">
        <v>26578</v>
      </c>
      <c r="S6692" t="s">
        <v>18959</v>
      </c>
      <c r="U6692" t="s">
        <v>26604</v>
      </c>
      <c r="W6692" t="s">
        <v>789</v>
      </c>
      <c r="X6692">
        <v>1475</v>
      </c>
      <c r="Y6692" t="s">
        <v>26651</v>
      </c>
      <c r="Z6692" t="s">
        <v>26661</v>
      </c>
      <c r="AA6692" t="s">
        <v>26683</v>
      </c>
      <c r="AB6692" t="s">
        <v>31860</v>
      </c>
      <c r="AE6692">
        <v>57</v>
      </c>
      <c r="AF6692" t="s">
        <v>45541</v>
      </c>
      <c r="AG6692" t="s">
        <v>19330</v>
      </c>
      <c r="AH6692">
        <v>14</v>
      </c>
      <c r="AI6692">
        <v>2</v>
      </c>
      <c r="AJ6692">
        <v>1</v>
      </c>
      <c r="AK6692">
        <v>131.65</v>
      </c>
      <c r="AO6692">
        <v>28080</v>
      </c>
      <c r="AU6692">
        <v>6.8</v>
      </c>
      <c r="AV6692" t="s">
        <v>818</v>
      </c>
      <c r="AW6692" t="s">
        <v>317</v>
      </c>
      <c r="AX6692" t="s">
        <v>46897</v>
      </c>
    </row>
    <row r="6693" spans="1:50">
      <c r="A6693" s="1">
        <f>HYPERLINK("https://lsnyc.legalserver.org/matter/dynamic-profile/view/1894896","19-1894896")</f>
        <v>0</v>
      </c>
      <c r="B6693" t="s">
        <v>79</v>
      </c>
      <c r="C6693" t="s">
        <v>341</v>
      </c>
      <c r="D6693" t="s">
        <v>789</v>
      </c>
      <c r="E6693" t="s">
        <v>767</v>
      </c>
      <c r="F6693" t="s">
        <v>972</v>
      </c>
      <c r="G6693" t="s">
        <v>5100</v>
      </c>
      <c r="H6693" t="s">
        <v>14454</v>
      </c>
      <c r="I6693">
        <v>42</v>
      </c>
      <c r="J6693" t="s">
        <v>18893</v>
      </c>
      <c r="K6693">
        <v>10034</v>
      </c>
      <c r="L6693" t="s">
        <v>18958</v>
      </c>
      <c r="M6693" t="s">
        <v>18958</v>
      </c>
      <c r="O6693" t="s">
        <v>26529</v>
      </c>
      <c r="P6693" t="s">
        <v>26564</v>
      </c>
      <c r="Q6693" t="s">
        <v>26570</v>
      </c>
      <c r="R6693" t="s">
        <v>26578</v>
      </c>
      <c r="S6693" t="s">
        <v>18959</v>
      </c>
      <c r="U6693" t="s">
        <v>26604</v>
      </c>
      <c r="W6693" t="s">
        <v>789</v>
      </c>
      <c r="X6693">
        <v>1950</v>
      </c>
      <c r="Y6693" t="s">
        <v>26651</v>
      </c>
      <c r="Z6693" t="s">
        <v>26530</v>
      </c>
      <c r="AA6693" t="s">
        <v>26683</v>
      </c>
      <c r="AB6693" t="s">
        <v>30028</v>
      </c>
      <c r="AE6693">
        <v>21</v>
      </c>
      <c r="AF6693" t="s">
        <v>45547</v>
      </c>
      <c r="AG6693" t="s">
        <v>19330</v>
      </c>
      <c r="AH6693">
        <v>9</v>
      </c>
      <c r="AI6693">
        <v>2</v>
      </c>
      <c r="AJ6693">
        <v>2</v>
      </c>
      <c r="AK6693">
        <v>141.36</v>
      </c>
      <c r="AO6693">
        <v>36400</v>
      </c>
      <c r="AU6693">
        <v>1.4</v>
      </c>
      <c r="AV6693" t="s">
        <v>760</v>
      </c>
      <c r="AW6693" t="s">
        <v>317</v>
      </c>
    </row>
    <row r="6694" spans="1:50">
      <c r="A6694" s="1">
        <f>HYPERLINK("https://lsnyc.legalserver.org/matter/dynamic-profile/view/1894876","19-1894876")</f>
        <v>0</v>
      </c>
      <c r="B6694" t="s">
        <v>122</v>
      </c>
      <c r="C6694" t="s">
        <v>341</v>
      </c>
      <c r="D6694" t="s">
        <v>789</v>
      </c>
      <c r="E6694" t="s">
        <v>789</v>
      </c>
      <c r="F6694" t="s">
        <v>1083</v>
      </c>
      <c r="G6694" t="s">
        <v>8111</v>
      </c>
      <c r="H6694" t="s">
        <v>13134</v>
      </c>
      <c r="I6694" t="s">
        <v>17299</v>
      </c>
      <c r="J6694" t="s">
        <v>18901</v>
      </c>
      <c r="K6694">
        <v>11433</v>
      </c>
      <c r="L6694" t="s">
        <v>18958</v>
      </c>
      <c r="M6694" t="s">
        <v>18959</v>
      </c>
      <c r="N6694" t="s">
        <v>23893</v>
      </c>
      <c r="O6694" t="s">
        <v>26526</v>
      </c>
      <c r="P6694" t="s">
        <v>26564</v>
      </c>
      <c r="Q6694" t="s">
        <v>26570</v>
      </c>
      <c r="R6694" t="s">
        <v>26584</v>
      </c>
      <c r="S6694" t="s">
        <v>18958</v>
      </c>
      <c r="U6694" t="s">
        <v>26604</v>
      </c>
      <c r="W6694" t="s">
        <v>789</v>
      </c>
      <c r="X6694">
        <v>266</v>
      </c>
      <c r="Y6694" t="s">
        <v>26653</v>
      </c>
      <c r="Z6694" t="s">
        <v>26664</v>
      </c>
      <c r="AA6694" t="s">
        <v>26683</v>
      </c>
      <c r="AB6694" t="s">
        <v>31861</v>
      </c>
      <c r="AD6694" t="s">
        <v>42146</v>
      </c>
      <c r="AE6694">
        <v>100</v>
      </c>
      <c r="AF6694" t="s">
        <v>45549</v>
      </c>
      <c r="AH6694">
        <v>20</v>
      </c>
      <c r="AI6694">
        <v>1</v>
      </c>
      <c r="AJ6694">
        <v>0</v>
      </c>
      <c r="AK6694">
        <v>86.47</v>
      </c>
      <c r="AN6694" t="s">
        <v>45581</v>
      </c>
      <c r="AO6694">
        <v>10800</v>
      </c>
      <c r="AU6694">
        <v>2</v>
      </c>
      <c r="AV6694" t="s">
        <v>789</v>
      </c>
      <c r="AW6694" t="s">
        <v>122</v>
      </c>
    </row>
    <row r="6695" spans="1:50">
      <c r="A6695" s="1">
        <f>HYPERLINK("https://lsnyc.legalserver.org/matter/dynamic-profile/view/1894863","19-1894863")</f>
        <v>0</v>
      </c>
      <c r="B6695" t="s">
        <v>103</v>
      </c>
      <c r="C6695" t="s">
        <v>341</v>
      </c>
      <c r="D6695" t="s">
        <v>789</v>
      </c>
      <c r="E6695" t="s">
        <v>807</v>
      </c>
      <c r="F6695" t="s">
        <v>1450</v>
      </c>
      <c r="G6695" t="s">
        <v>8112</v>
      </c>
      <c r="H6695" t="s">
        <v>12636</v>
      </c>
      <c r="I6695" t="s">
        <v>17309</v>
      </c>
      <c r="J6695" t="s">
        <v>18902</v>
      </c>
      <c r="K6695">
        <v>10310</v>
      </c>
      <c r="L6695" t="s">
        <v>18958</v>
      </c>
      <c r="M6695" t="s">
        <v>18958</v>
      </c>
      <c r="N6695" t="s">
        <v>23894</v>
      </c>
      <c r="O6695" t="s">
        <v>26523</v>
      </c>
      <c r="P6695" t="s">
        <v>26560</v>
      </c>
      <c r="Q6695" t="s">
        <v>26568</v>
      </c>
      <c r="R6695" t="s">
        <v>26590</v>
      </c>
      <c r="S6695" t="s">
        <v>18959</v>
      </c>
      <c r="U6695" t="s">
        <v>26605</v>
      </c>
      <c r="V6695" t="s">
        <v>26610</v>
      </c>
      <c r="W6695" t="s">
        <v>789</v>
      </c>
      <c r="X6695">
        <v>728</v>
      </c>
      <c r="Y6695" t="s">
        <v>26654</v>
      </c>
      <c r="Z6695" t="s">
        <v>26668</v>
      </c>
      <c r="AA6695" t="s">
        <v>26680</v>
      </c>
      <c r="AB6695" t="s">
        <v>31862</v>
      </c>
      <c r="AD6695" t="s">
        <v>42147</v>
      </c>
      <c r="AE6695">
        <v>62</v>
      </c>
      <c r="AF6695" t="s">
        <v>45549</v>
      </c>
      <c r="AG6695" t="s">
        <v>19330</v>
      </c>
      <c r="AH6695">
        <v>-1</v>
      </c>
      <c r="AI6695">
        <v>2</v>
      </c>
      <c r="AJ6695">
        <v>5</v>
      </c>
      <c r="AK6695">
        <v>20.86</v>
      </c>
      <c r="AN6695" t="s">
        <v>7439</v>
      </c>
      <c r="AO6695">
        <v>8136</v>
      </c>
      <c r="AQ6695" t="s">
        <v>46362</v>
      </c>
      <c r="AR6695" t="s">
        <v>46380</v>
      </c>
      <c r="AS6695" t="s">
        <v>46499</v>
      </c>
      <c r="AT6695" t="s">
        <v>46784</v>
      </c>
      <c r="AU6695">
        <v>6.45</v>
      </c>
      <c r="AV6695" t="s">
        <v>807</v>
      </c>
      <c r="AW6695" t="s">
        <v>46883</v>
      </c>
      <c r="AX6695" t="s">
        <v>46897</v>
      </c>
    </row>
    <row r="6696" spans="1:50">
      <c r="A6696" s="1">
        <f>HYPERLINK("https://lsnyc.legalserver.org/matter/dynamic-profile/view/1894885","19-1894885")</f>
        <v>0</v>
      </c>
      <c r="B6696" t="s">
        <v>104</v>
      </c>
      <c r="C6696" t="s">
        <v>341</v>
      </c>
      <c r="D6696" t="s">
        <v>789</v>
      </c>
      <c r="E6696" t="s">
        <v>762</v>
      </c>
      <c r="F6696" t="s">
        <v>1062</v>
      </c>
      <c r="G6696" t="s">
        <v>5269</v>
      </c>
      <c r="H6696" t="s">
        <v>14455</v>
      </c>
      <c r="I6696" t="s">
        <v>17284</v>
      </c>
      <c r="J6696" t="s">
        <v>18902</v>
      </c>
      <c r="K6696">
        <v>10303</v>
      </c>
      <c r="L6696" t="s">
        <v>18958</v>
      </c>
      <c r="M6696" t="s">
        <v>18958</v>
      </c>
      <c r="N6696" t="s">
        <v>23895</v>
      </c>
      <c r="O6696" t="s">
        <v>26523</v>
      </c>
      <c r="P6696" t="s">
        <v>26560</v>
      </c>
      <c r="Q6696" t="s">
        <v>26568</v>
      </c>
      <c r="R6696" t="s">
        <v>26590</v>
      </c>
      <c r="S6696" t="s">
        <v>18959</v>
      </c>
      <c r="U6696" t="s">
        <v>26605</v>
      </c>
      <c r="V6696" t="s">
        <v>26610</v>
      </c>
      <c r="W6696" t="s">
        <v>789</v>
      </c>
      <c r="X6696">
        <v>747</v>
      </c>
      <c r="Y6696" t="s">
        <v>26654</v>
      </c>
      <c r="Z6696" t="s">
        <v>26668</v>
      </c>
      <c r="AA6696" t="s">
        <v>26680</v>
      </c>
      <c r="AB6696" t="s">
        <v>31863</v>
      </c>
      <c r="AD6696" t="s">
        <v>42148</v>
      </c>
      <c r="AE6696">
        <v>0</v>
      </c>
      <c r="AF6696" t="s">
        <v>45542</v>
      </c>
      <c r="AG6696" t="s">
        <v>19330</v>
      </c>
      <c r="AH6696">
        <v>6</v>
      </c>
      <c r="AI6696">
        <v>2</v>
      </c>
      <c r="AJ6696">
        <v>0</v>
      </c>
      <c r="AK6696">
        <v>133.23</v>
      </c>
      <c r="AN6696" t="s">
        <v>7439</v>
      </c>
      <c r="AO6696">
        <v>22529.04</v>
      </c>
      <c r="AR6696" t="s">
        <v>46379</v>
      </c>
      <c r="AS6696" t="s">
        <v>46499</v>
      </c>
      <c r="AT6696" t="s">
        <v>46607</v>
      </c>
      <c r="AU6696">
        <v>1.1</v>
      </c>
      <c r="AV6696" t="s">
        <v>780</v>
      </c>
      <c r="AW6696" t="s">
        <v>46883</v>
      </c>
    </row>
    <row r="6697" spans="1:50">
      <c r="A6697" s="1">
        <f>HYPERLINK("https://lsnyc.legalserver.org/matter/dynamic-profile/view/1894602","19-1894602")</f>
        <v>0</v>
      </c>
      <c r="B6697" t="s">
        <v>188</v>
      </c>
      <c r="C6697" t="s">
        <v>341</v>
      </c>
      <c r="D6697" t="s">
        <v>789</v>
      </c>
      <c r="E6697" t="s">
        <v>795</v>
      </c>
      <c r="F6697" t="s">
        <v>3767</v>
      </c>
      <c r="G6697" t="s">
        <v>8113</v>
      </c>
      <c r="H6697" t="s">
        <v>14456</v>
      </c>
      <c r="I6697" t="s">
        <v>17582</v>
      </c>
      <c r="J6697" t="s">
        <v>18892</v>
      </c>
      <c r="K6697">
        <v>10456</v>
      </c>
      <c r="L6697" t="s">
        <v>18958</v>
      </c>
      <c r="M6697" t="s">
        <v>18958</v>
      </c>
      <c r="N6697" t="s">
        <v>23896</v>
      </c>
      <c r="O6697" t="s">
        <v>26524</v>
      </c>
      <c r="P6697" t="s">
        <v>26564</v>
      </c>
      <c r="Q6697" t="s">
        <v>26570</v>
      </c>
      <c r="R6697" t="s">
        <v>26578</v>
      </c>
      <c r="S6697" t="s">
        <v>18959</v>
      </c>
      <c r="U6697" t="s">
        <v>26604</v>
      </c>
      <c r="V6697" t="s">
        <v>26610</v>
      </c>
      <c r="W6697" t="s">
        <v>789</v>
      </c>
      <c r="X6697">
        <v>0</v>
      </c>
      <c r="Y6697" t="s">
        <v>26650</v>
      </c>
      <c r="AA6697" t="s">
        <v>26683</v>
      </c>
      <c r="AB6697" t="s">
        <v>27369</v>
      </c>
      <c r="AD6697" t="s">
        <v>42149</v>
      </c>
      <c r="AE6697">
        <v>0</v>
      </c>
      <c r="AF6697" t="s">
        <v>20460</v>
      </c>
      <c r="AG6697" t="s">
        <v>19330</v>
      </c>
      <c r="AH6697">
        <v>3</v>
      </c>
      <c r="AI6697">
        <v>1</v>
      </c>
      <c r="AJ6697">
        <v>0</v>
      </c>
      <c r="AK6697">
        <v>17.68</v>
      </c>
      <c r="AN6697" t="s">
        <v>45581</v>
      </c>
      <c r="AO6697">
        <v>2208</v>
      </c>
      <c r="AU6697">
        <v>0.1</v>
      </c>
      <c r="AV6697" t="s">
        <v>789</v>
      </c>
      <c r="AW6697" t="s">
        <v>188</v>
      </c>
    </row>
    <row r="6698" spans="1:50">
      <c r="A6698" s="1">
        <f>HYPERLINK("https://lsnyc.legalserver.org/matter/dynamic-profile/view/1894976","19-1894976")</f>
        <v>0</v>
      </c>
      <c r="B6698" t="s">
        <v>278</v>
      </c>
      <c r="C6698" t="s">
        <v>340</v>
      </c>
      <c r="D6698" t="s">
        <v>789</v>
      </c>
      <c r="F6698" t="s">
        <v>1074</v>
      </c>
      <c r="G6698" t="s">
        <v>5189</v>
      </c>
      <c r="H6698" t="s">
        <v>12637</v>
      </c>
      <c r="I6698" t="s">
        <v>17798</v>
      </c>
      <c r="J6698" t="s">
        <v>18902</v>
      </c>
      <c r="K6698">
        <v>10310</v>
      </c>
      <c r="L6698" t="s">
        <v>18958</v>
      </c>
      <c r="M6698" t="s">
        <v>18958</v>
      </c>
      <c r="N6698" t="s">
        <v>23897</v>
      </c>
      <c r="O6698" t="s">
        <v>26523</v>
      </c>
      <c r="P6698" t="s">
        <v>26560</v>
      </c>
      <c r="R6698" t="s">
        <v>26590</v>
      </c>
      <c r="S6698" t="s">
        <v>18959</v>
      </c>
      <c r="U6698" t="s">
        <v>26605</v>
      </c>
      <c r="V6698" t="s">
        <v>26610</v>
      </c>
      <c r="W6698" t="s">
        <v>789</v>
      </c>
      <c r="X6698">
        <v>1485</v>
      </c>
      <c r="Y6698" t="s">
        <v>26654</v>
      </c>
      <c r="Z6698" t="s">
        <v>26668</v>
      </c>
      <c r="AB6698" t="s">
        <v>31864</v>
      </c>
      <c r="AD6698" t="s">
        <v>42150</v>
      </c>
      <c r="AE6698">
        <v>0</v>
      </c>
      <c r="AF6698" t="s">
        <v>45549</v>
      </c>
      <c r="AG6698" t="s">
        <v>19330</v>
      </c>
      <c r="AH6698">
        <v>12</v>
      </c>
      <c r="AI6698">
        <v>4</v>
      </c>
      <c r="AJ6698">
        <v>1</v>
      </c>
      <c r="AK6698">
        <v>121.31</v>
      </c>
      <c r="AN6698" t="s">
        <v>7439</v>
      </c>
      <c r="AO6698">
        <v>36600</v>
      </c>
      <c r="AU6698">
        <v>4.5</v>
      </c>
      <c r="AV6698" t="s">
        <v>720</v>
      </c>
      <c r="AW6698" t="s">
        <v>185</v>
      </c>
    </row>
    <row r="6699" spans="1:50">
      <c r="A6699" s="1">
        <f>HYPERLINK("https://lsnyc.legalserver.org/matter/dynamic-profile/view/1894972","19-1894972")</f>
        <v>0</v>
      </c>
      <c r="B6699" t="s">
        <v>142</v>
      </c>
      <c r="C6699" t="s">
        <v>340</v>
      </c>
      <c r="D6699" t="s">
        <v>789</v>
      </c>
      <c r="F6699" t="s">
        <v>3768</v>
      </c>
      <c r="G6699" t="s">
        <v>8114</v>
      </c>
      <c r="H6699" t="s">
        <v>14457</v>
      </c>
      <c r="J6699" t="s">
        <v>18901</v>
      </c>
      <c r="K6699">
        <v>11432</v>
      </c>
      <c r="L6699" t="s">
        <v>18959</v>
      </c>
      <c r="M6699" t="s">
        <v>18959</v>
      </c>
      <c r="N6699" t="s">
        <v>23898</v>
      </c>
      <c r="O6699" t="s">
        <v>26557</v>
      </c>
      <c r="P6699" t="s">
        <v>26560</v>
      </c>
      <c r="R6699" t="s">
        <v>26584</v>
      </c>
      <c r="S6699" t="s">
        <v>18958</v>
      </c>
      <c r="U6699" t="s">
        <v>26604</v>
      </c>
      <c r="V6699" t="s">
        <v>26610</v>
      </c>
      <c r="W6699" t="s">
        <v>789</v>
      </c>
      <c r="X6699">
        <v>1405</v>
      </c>
      <c r="Y6699" t="s">
        <v>26653</v>
      </c>
      <c r="Z6699" t="s">
        <v>26659</v>
      </c>
      <c r="AB6699" t="s">
        <v>28466</v>
      </c>
      <c r="AD6699" t="s">
        <v>42151</v>
      </c>
      <c r="AE6699">
        <v>190</v>
      </c>
      <c r="AF6699" t="s">
        <v>45541</v>
      </c>
      <c r="AG6699" t="s">
        <v>19330</v>
      </c>
      <c r="AH6699">
        <v>4</v>
      </c>
      <c r="AI6699">
        <v>2</v>
      </c>
      <c r="AJ6699">
        <v>3</v>
      </c>
      <c r="AK6699">
        <v>139.21</v>
      </c>
      <c r="AN6699" t="s">
        <v>45592</v>
      </c>
      <c r="AO6699">
        <v>42000</v>
      </c>
      <c r="AR6699" t="s">
        <v>26530</v>
      </c>
      <c r="AU6699">
        <v>60.8</v>
      </c>
      <c r="AV6699" t="s">
        <v>827</v>
      </c>
      <c r="AW6699" t="s">
        <v>105</v>
      </c>
    </row>
    <row r="6700" spans="1:50">
      <c r="A6700" s="1">
        <f>HYPERLINK("https://lsnyc.legalserver.org/matter/dynamic-profile/view/1894981","19-1894981")</f>
        <v>0</v>
      </c>
      <c r="B6700" t="s">
        <v>103</v>
      </c>
      <c r="C6700" t="s">
        <v>340</v>
      </c>
      <c r="D6700" t="s">
        <v>789</v>
      </c>
      <c r="F6700" t="s">
        <v>3203</v>
      </c>
      <c r="G6700" t="s">
        <v>8115</v>
      </c>
      <c r="H6700" t="s">
        <v>12209</v>
      </c>
      <c r="I6700" t="s">
        <v>17299</v>
      </c>
      <c r="J6700" t="s">
        <v>18902</v>
      </c>
      <c r="K6700">
        <v>10303</v>
      </c>
      <c r="L6700" t="s">
        <v>18958</v>
      </c>
      <c r="M6700" t="s">
        <v>18958</v>
      </c>
      <c r="N6700" t="s">
        <v>23899</v>
      </c>
      <c r="O6700" t="s">
        <v>26523</v>
      </c>
      <c r="P6700" t="s">
        <v>26560</v>
      </c>
      <c r="R6700" t="s">
        <v>26590</v>
      </c>
      <c r="S6700" t="s">
        <v>18959</v>
      </c>
      <c r="U6700" t="s">
        <v>26605</v>
      </c>
      <c r="V6700" t="s">
        <v>26610</v>
      </c>
      <c r="W6700" t="s">
        <v>789</v>
      </c>
      <c r="X6700">
        <v>215</v>
      </c>
      <c r="Y6700" t="s">
        <v>26654</v>
      </c>
      <c r="Z6700" t="s">
        <v>26668</v>
      </c>
      <c r="AB6700" t="s">
        <v>31865</v>
      </c>
      <c r="AD6700" t="s">
        <v>42152</v>
      </c>
      <c r="AE6700">
        <v>36</v>
      </c>
      <c r="AF6700" t="s">
        <v>45549</v>
      </c>
      <c r="AG6700" t="s">
        <v>45556</v>
      </c>
      <c r="AH6700">
        <v>8</v>
      </c>
      <c r="AI6700">
        <v>2</v>
      </c>
      <c r="AJ6700">
        <v>1</v>
      </c>
      <c r="AK6700">
        <v>15.75</v>
      </c>
      <c r="AN6700" t="s">
        <v>7439</v>
      </c>
      <c r="AO6700">
        <v>3360</v>
      </c>
      <c r="AU6700">
        <v>1.8</v>
      </c>
      <c r="AV6700" t="s">
        <v>768</v>
      </c>
      <c r="AW6700" t="s">
        <v>185</v>
      </c>
    </row>
    <row r="6701" spans="1:50">
      <c r="A6701" s="1">
        <f>HYPERLINK("https://lsnyc.legalserver.org/matter/dynamic-profile/view/1894980","19-1894980")</f>
        <v>0</v>
      </c>
      <c r="B6701" t="s">
        <v>112</v>
      </c>
      <c r="C6701" t="s">
        <v>340</v>
      </c>
      <c r="D6701" t="s">
        <v>789</v>
      </c>
      <c r="F6701" t="s">
        <v>3769</v>
      </c>
      <c r="G6701" t="s">
        <v>8116</v>
      </c>
      <c r="H6701" t="s">
        <v>14458</v>
      </c>
      <c r="I6701" t="s">
        <v>17334</v>
      </c>
      <c r="J6701" t="s">
        <v>18932</v>
      </c>
      <c r="K6701">
        <v>11385</v>
      </c>
      <c r="L6701" t="s">
        <v>18958</v>
      </c>
      <c r="M6701" t="s">
        <v>18958</v>
      </c>
      <c r="N6701" t="s">
        <v>23900</v>
      </c>
      <c r="O6701" t="s">
        <v>26523</v>
      </c>
      <c r="P6701" t="s">
        <v>26560</v>
      </c>
      <c r="R6701" t="s">
        <v>26585</v>
      </c>
      <c r="S6701" t="s">
        <v>18959</v>
      </c>
      <c r="U6701" t="s">
        <v>26604</v>
      </c>
      <c r="W6701" t="s">
        <v>789</v>
      </c>
      <c r="X6701">
        <v>1750</v>
      </c>
      <c r="Y6701" t="s">
        <v>26653</v>
      </c>
      <c r="Z6701" t="s">
        <v>26668</v>
      </c>
      <c r="AB6701" t="s">
        <v>31866</v>
      </c>
      <c r="AD6701" t="s">
        <v>42153</v>
      </c>
      <c r="AE6701">
        <v>2</v>
      </c>
      <c r="AF6701" t="s">
        <v>20460</v>
      </c>
      <c r="AG6701" t="s">
        <v>19330</v>
      </c>
      <c r="AH6701">
        <v>1</v>
      </c>
      <c r="AI6701">
        <v>2</v>
      </c>
      <c r="AJ6701">
        <v>3</v>
      </c>
      <c r="AK6701">
        <v>84.84999999999999</v>
      </c>
      <c r="AN6701" t="s">
        <v>45581</v>
      </c>
      <c r="AO6701">
        <v>25600</v>
      </c>
      <c r="AU6701">
        <v>0.2</v>
      </c>
      <c r="AV6701" t="s">
        <v>808</v>
      </c>
      <c r="AW6701" t="s">
        <v>208</v>
      </c>
    </row>
    <row r="6702" spans="1:50">
      <c r="A6702" s="1">
        <f>HYPERLINK("https://lsnyc.legalserver.org/matter/dynamic-profile/view/1894973","19-1894973")</f>
        <v>0</v>
      </c>
      <c r="B6702" t="s">
        <v>112</v>
      </c>
      <c r="C6702" t="s">
        <v>340</v>
      </c>
      <c r="D6702" t="s">
        <v>789</v>
      </c>
      <c r="F6702" t="s">
        <v>3770</v>
      </c>
      <c r="G6702" t="s">
        <v>5447</v>
      </c>
      <c r="H6702" t="s">
        <v>14459</v>
      </c>
      <c r="I6702" t="s">
        <v>17451</v>
      </c>
      <c r="J6702" t="s">
        <v>18906</v>
      </c>
      <c r="K6702">
        <v>11373</v>
      </c>
      <c r="L6702" t="s">
        <v>18958</v>
      </c>
      <c r="M6702" t="s">
        <v>18958</v>
      </c>
      <c r="O6702" t="s">
        <v>26523</v>
      </c>
      <c r="P6702" t="s">
        <v>26564</v>
      </c>
      <c r="R6702" t="s">
        <v>26585</v>
      </c>
      <c r="S6702" t="s">
        <v>18959</v>
      </c>
      <c r="U6702" t="s">
        <v>26604</v>
      </c>
      <c r="W6702" t="s">
        <v>789</v>
      </c>
      <c r="X6702">
        <v>2273.12</v>
      </c>
      <c r="Y6702" t="s">
        <v>26653</v>
      </c>
      <c r="Z6702" t="s">
        <v>26668</v>
      </c>
      <c r="AB6702" t="s">
        <v>31867</v>
      </c>
      <c r="AD6702" t="s">
        <v>42154</v>
      </c>
      <c r="AE6702">
        <v>54</v>
      </c>
      <c r="AF6702" t="s">
        <v>45541</v>
      </c>
      <c r="AG6702" t="s">
        <v>19330</v>
      </c>
      <c r="AH6702">
        <v>9</v>
      </c>
      <c r="AI6702">
        <v>2</v>
      </c>
      <c r="AJ6702">
        <v>2</v>
      </c>
      <c r="AK6702">
        <v>223.69</v>
      </c>
      <c r="AN6702" t="s">
        <v>7439</v>
      </c>
      <c r="AO6702">
        <v>57600</v>
      </c>
      <c r="AU6702">
        <v>1</v>
      </c>
      <c r="AV6702" t="s">
        <v>816</v>
      </c>
      <c r="AW6702" t="s">
        <v>208</v>
      </c>
    </row>
    <row r="6703" spans="1:50">
      <c r="A6703" s="1">
        <f>HYPERLINK("https://lsnyc.legalserver.org/matter/dynamic-profile/view/1875383","18-1875383")</f>
        <v>0</v>
      </c>
      <c r="B6703" t="s">
        <v>211</v>
      </c>
      <c r="C6703" t="s">
        <v>340</v>
      </c>
      <c r="D6703" t="s">
        <v>528</v>
      </c>
      <c r="F6703" t="s">
        <v>3771</v>
      </c>
      <c r="G6703" t="s">
        <v>6278</v>
      </c>
      <c r="H6703" t="s">
        <v>10362</v>
      </c>
      <c r="I6703" t="s">
        <v>17291</v>
      </c>
      <c r="J6703" t="s">
        <v>18894</v>
      </c>
      <c r="K6703">
        <v>11233</v>
      </c>
      <c r="L6703" t="s">
        <v>18958</v>
      </c>
      <c r="M6703" t="s">
        <v>18958</v>
      </c>
      <c r="N6703" t="s">
        <v>23901</v>
      </c>
      <c r="O6703" t="s">
        <v>26524</v>
      </c>
      <c r="P6703" t="s">
        <v>26560</v>
      </c>
      <c r="R6703" t="s">
        <v>26578</v>
      </c>
      <c r="S6703" t="s">
        <v>18958</v>
      </c>
      <c r="U6703" t="s">
        <v>26604</v>
      </c>
      <c r="V6703" t="s">
        <v>26610</v>
      </c>
      <c r="W6703" t="s">
        <v>695</v>
      </c>
      <c r="X6703">
        <v>1328</v>
      </c>
      <c r="Y6703" t="s">
        <v>26652</v>
      </c>
      <c r="Z6703" t="s">
        <v>26668</v>
      </c>
      <c r="AA6703" t="s">
        <v>26678</v>
      </c>
      <c r="AB6703" t="s">
        <v>31868</v>
      </c>
      <c r="AD6703" t="s">
        <v>42155</v>
      </c>
      <c r="AE6703">
        <v>6</v>
      </c>
      <c r="AF6703" t="s">
        <v>45541</v>
      </c>
      <c r="AG6703" t="s">
        <v>19330</v>
      </c>
      <c r="AH6703">
        <v>5</v>
      </c>
      <c r="AI6703">
        <v>1</v>
      </c>
      <c r="AJ6703">
        <v>0</v>
      </c>
      <c r="AK6703">
        <v>234.3</v>
      </c>
      <c r="AN6703" t="s">
        <v>7439</v>
      </c>
      <c r="AO6703">
        <v>28444</v>
      </c>
      <c r="AU6703">
        <v>7.3</v>
      </c>
      <c r="AV6703" t="s">
        <v>699</v>
      </c>
      <c r="AW6703" t="s">
        <v>279</v>
      </c>
    </row>
    <row r="6704" spans="1:50">
      <c r="A6704" s="1">
        <f>HYPERLINK("https://lsnyc.legalserver.org/matter/dynamic-profile/view/1889349","19-1889349")</f>
        <v>0</v>
      </c>
      <c r="B6704" t="s">
        <v>117</v>
      </c>
      <c r="C6704" t="s">
        <v>340</v>
      </c>
      <c r="D6704" t="s">
        <v>694</v>
      </c>
      <c r="F6704" t="s">
        <v>3772</v>
      </c>
      <c r="G6704" t="s">
        <v>992</v>
      </c>
      <c r="H6704" t="s">
        <v>14460</v>
      </c>
      <c r="I6704" t="s">
        <v>17423</v>
      </c>
      <c r="J6704" t="s">
        <v>18894</v>
      </c>
      <c r="K6704">
        <v>11203</v>
      </c>
      <c r="L6704" t="s">
        <v>18958</v>
      </c>
      <c r="M6704" t="s">
        <v>18958</v>
      </c>
      <c r="N6704" t="s">
        <v>23902</v>
      </c>
      <c r="O6704" t="s">
        <v>26524</v>
      </c>
      <c r="P6704" t="s">
        <v>26564</v>
      </c>
      <c r="R6704" t="s">
        <v>26578</v>
      </c>
      <c r="S6704" t="s">
        <v>18959</v>
      </c>
      <c r="U6704" t="s">
        <v>26604</v>
      </c>
      <c r="V6704" t="s">
        <v>26610</v>
      </c>
      <c r="W6704" t="s">
        <v>695</v>
      </c>
      <c r="X6704">
        <v>2500</v>
      </c>
      <c r="Y6704" t="s">
        <v>26652</v>
      </c>
      <c r="Z6704" t="s">
        <v>26670</v>
      </c>
      <c r="AB6704" t="s">
        <v>31869</v>
      </c>
      <c r="AC6704" t="s">
        <v>19330</v>
      </c>
      <c r="AD6704" t="s">
        <v>42156</v>
      </c>
      <c r="AE6704">
        <v>2</v>
      </c>
      <c r="AF6704" t="s">
        <v>45547</v>
      </c>
      <c r="AG6704" t="s">
        <v>19330</v>
      </c>
      <c r="AH6704">
        <v>1</v>
      </c>
      <c r="AI6704">
        <v>3</v>
      </c>
      <c r="AJ6704">
        <v>0</v>
      </c>
      <c r="AK6704">
        <v>0</v>
      </c>
      <c r="AN6704" t="s">
        <v>7439</v>
      </c>
      <c r="AO6704">
        <v>0</v>
      </c>
      <c r="AP6704" t="s">
        <v>46023</v>
      </c>
      <c r="AU6704">
        <v>0</v>
      </c>
      <c r="AW6704" t="s">
        <v>279</v>
      </c>
    </row>
    <row r="6705" spans="1:50">
      <c r="A6705" s="1">
        <f>HYPERLINK("https://lsnyc.legalserver.org/matter/dynamic-profile/view/1895062","19-1895062")</f>
        <v>0</v>
      </c>
      <c r="B6705" t="s">
        <v>149</v>
      </c>
      <c r="C6705" t="s">
        <v>341</v>
      </c>
      <c r="D6705" t="s">
        <v>695</v>
      </c>
      <c r="E6705" t="s">
        <v>833</v>
      </c>
      <c r="F6705" t="s">
        <v>1730</v>
      </c>
      <c r="G6705" t="s">
        <v>5333</v>
      </c>
      <c r="H6705" t="s">
        <v>11754</v>
      </c>
      <c r="I6705" t="s">
        <v>17378</v>
      </c>
      <c r="J6705" t="s">
        <v>18892</v>
      </c>
      <c r="K6705">
        <v>10454</v>
      </c>
      <c r="L6705" t="s">
        <v>18958</v>
      </c>
      <c r="M6705" t="s">
        <v>18958</v>
      </c>
      <c r="N6705" t="s">
        <v>23903</v>
      </c>
      <c r="O6705" t="s">
        <v>26523</v>
      </c>
      <c r="P6705" t="s">
        <v>26560</v>
      </c>
      <c r="Q6705" t="s">
        <v>26568</v>
      </c>
      <c r="R6705" t="s">
        <v>26577</v>
      </c>
      <c r="S6705" t="s">
        <v>18959</v>
      </c>
      <c r="U6705" t="s">
        <v>26604</v>
      </c>
      <c r="V6705" t="s">
        <v>26612</v>
      </c>
      <c r="W6705" t="s">
        <v>695</v>
      </c>
      <c r="X6705">
        <v>1917</v>
      </c>
      <c r="Y6705" t="s">
        <v>26650</v>
      </c>
      <c r="Z6705" t="s">
        <v>26664</v>
      </c>
      <c r="AA6705" t="s">
        <v>26678</v>
      </c>
      <c r="AB6705" t="s">
        <v>28750</v>
      </c>
      <c r="AC6705" t="s">
        <v>36226</v>
      </c>
      <c r="AD6705" t="s">
        <v>42157</v>
      </c>
      <c r="AE6705">
        <v>188</v>
      </c>
      <c r="AF6705" t="s">
        <v>45541</v>
      </c>
      <c r="AG6705" t="s">
        <v>45556</v>
      </c>
      <c r="AH6705">
        <v>5</v>
      </c>
      <c r="AI6705">
        <v>3</v>
      </c>
      <c r="AJ6705">
        <v>8</v>
      </c>
      <c r="AK6705">
        <v>32.13</v>
      </c>
      <c r="AN6705" t="s">
        <v>7439</v>
      </c>
      <c r="AO6705">
        <v>18216</v>
      </c>
      <c r="AQ6705" t="s">
        <v>46365</v>
      </c>
      <c r="AR6705" t="s">
        <v>46385</v>
      </c>
      <c r="AS6705" t="s">
        <v>46499</v>
      </c>
      <c r="AT6705" t="s">
        <v>46708</v>
      </c>
      <c r="AU6705">
        <v>10.85</v>
      </c>
      <c r="AV6705" t="s">
        <v>833</v>
      </c>
      <c r="AW6705" t="s">
        <v>336</v>
      </c>
      <c r="AX6705" t="s">
        <v>46897</v>
      </c>
    </row>
    <row r="6706" spans="1:50">
      <c r="A6706" s="1">
        <f>HYPERLINK("https://lsnyc.legalserver.org/matter/dynamic-profile/view/1895040","19-1895040")</f>
        <v>0</v>
      </c>
      <c r="B6706" t="s">
        <v>183</v>
      </c>
      <c r="C6706" t="s">
        <v>340</v>
      </c>
      <c r="D6706" t="s">
        <v>695</v>
      </c>
      <c r="F6706" t="s">
        <v>968</v>
      </c>
      <c r="G6706" t="s">
        <v>5241</v>
      </c>
      <c r="H6706" t="s">
        <v>14461</v>
      </c>
      <c r="I6706" t="s">
        <v>18389</v>
      </c>
      <c r="J6706" t="s">
        <v>18893</v>
      </c>
      <c r="K6706">
        <v>10025</v>
      </c>
      <c r="L6706" t="s">
        <v>18958</v>
      </c>
      <c r="M6706" t="s">
        <v>18958</v>
      </c>
      <c r="N6706" t="s">
        <v>23904</v>
      </c>
      <c r="O6706" t="s">
        <v>26523</v>
      </c>
      <c r="P6706" t="s">
        <v>26560</v>
      </c>
      <c r="R6706" t="s">
        <v>26580</v>
      </c>
      <c r="S6706" t="s">
        <v>18959</v>
      </c>
      <c r="U6706" t="s">
        <v>26604</v>
      </c>
      <c r="V6706" t="s">
        <v>26609</v>
      </c>
      <c r="W6706" t="s">
        <v>695</v>
      </c>
      <c r="X6706">
        <v>1047</v>
      </c>
      <c r="Y6706" t="s">
        <v>26651</v>
      </c>
      <c r="Z6706" t="s">
        <v>26668</v>
      </c>
      <c r="AB6706" t="s">
        <v>31870</v>
      </c>
      <c r="AD6706" t="s">
        <v>42158</v>
      </c>
      <c r="AE6706">
        <v>0</v>
      </c>
      <c r="AF6706" t="s">
        <v>45541</v>
      </c>
      <c r="AG6706" t="s">
        <v>45556</v>
      </c>
      <c r="AH6706">
        <v>11</v>
      </c>
      <c r="AI6706">
        <v>1</v>
      </c>
      <c r="AJ6706">
        <v>0</v>
      </c>
      <c r="AK6706">
        <v>123.23</v>
      </c>
      <c r="AN6706" t="s">
        <v>7439</v>
      </c>
      <c r="AO6706">
        <v>15392</v>
      </c>
      <c r="AU6706">
        <v>10.8</v>
      </c>
      <c r="AV6706" t="s">
        <v>834</v>
      </c>
      <c r="AW6706" t="s">
        <v>46875</v>
      </c>
    </row>
    <row r="6707" spans="1:50">
      <c r="A6707" s="1">
        <f>HYPERLINK("https://lsnyc.legalserver.org/matter/dynamic-profile/view/1895065","19-1895065")</f>
        <v>0</v>
      </c>
      <c r="B6707" t="s">
        <v>183</v>
      </c>
      <c r="C6707" t="s">
        <v>340</v>
      </c>
      <c r="D6707" t="s">
        <v>695</v>
      </c>
      <c r="F6707" t="s">
        <v>945</v>
      </c>
      <c r="G6707" t="s">
        <v>5550</v>
      </c>
      <c r="H6707" t="s">
        <v>13353</v>
      </c>
      <c r="I6707" t="s">
        <v>17309</v>
      </c>
      <c r="J6707" t="s">
        <v>18893</v>
      </c>
      <c r="K6707">
        <v>10031</v>
      </c>
      <c r="L6707" t="s">
        <v>18958</v>
      </c>
      <c r="M6707" t="s">
        <v>18958</v>
      </c>
      <c r="N6707" t="s">
        <v>23905</v>
      </c>
      <c r="O6707" t="s">
        <v>26523</v>
      </c>
      <c r="P6707" t="s">
        <v>26564</v>
      </c>
      <c r="R6707" t="s">
        <v>26580</v>
      </c>
      <c r="S6707" t="s">
        <v>18959</v>
      </c>
      <c r="U6707" t="s">
        <v>26604</v>
      </c>
      <c r="V6707" t="s">
        <v>26610</v>
      </c>
      <c r="W6707" t="s">
        <v>695</v>
      </c>
      <c r="X6707">
        <v>651.37</v>
      </c>
      <c r="Y6707" t="s">
        <v>26651</v>
      </c>
      <c r="Z6707" t="s">
        <v>26664</v>
      </c>
      <c r="AB6707" t="s">
        <v>31871</v>
      </c>
      <c r="AC6707" t="s">
        <v>36227</v>
      </c>
      <c r="AD6707" t="s">
        <v>42159</v>
      </c>
      <c r="AE6707">
        <v>0</v>
      </c>
      <c r="AF6707" t="s">
        <v>45541</v>
      </c>
      <c r="AG6707" t="s">
        <v>45556</v>
      </c>
      <c r="AH6707">
        <v>4</v>
      </c>
      <c r="AI6707">
        <v>1</v>
      </c>
      <c r="AJ6707">
        <v>0</v>
      </c>
      <c r="AK6707">
        <v>249.8</v>
      </c>
      <c r="AN6707" t="s">
        <v>7439</v>
      </c>
      <c r="AO6707">
        <v>31200</v>
      </c>
      <c r="AU6707">
        <v>1</v>
      </c>
      <c r="AV6707" t="s">
        <v>695</v>
      </c>
      <c r="AW6707" t="s">
        <v>46875</v>
      </c>
    </row>
    <row r="6708" spans="1:50">
      <c r="A6708" s="1">
        <f>HYPERLINK("https://lsnyc.legalserver.org/matter/dynamic-profile/view/1895089","19-1895089")</f>
        <v>0</v>
      </c>
      <c r="B6708" t="s">
        <v>70</v>
      </c>
      <c r="C6708" t="s">
        <v>340</v>
      </c>
      <c r="D6708" t="s">
        <v>695</v>
      </c>
      <c r="F6708" t="s">
        <v>1148</v>
      </c>
      <c r="G6708" t="s">
        <v>5335</v>
      </c>
      <c r="H6708" t="s">
        <v>9947</v>
      </c>
      <c r="I6708">
        <v>228</v>
      </c>
      <c r="J6708" t="s">
        <v>18892</v>
      </c>
      <c r="K6708">
        <v>10458</v>
      </c>
      <c r="L6708" t="s">
        <v>18958</v>
      </c>
      <c r="M6708" t="s">
        <v>18958</v>
      </c>
      <c r="N6708" t="s">
        <v>23906</v>
      </c>
      <c r="O6708" t="s">
        <v>26523</v>
      </c>
      <c r="P6708" t="s">
        <v>26560</v>
      </c>
      <c r="R6708" t="s">
        <v>26577</v>
      </c>
      <c r="S6708" t="s">
        <v>18959</v>
      </c>
      <c r="U6708" t="s">
        <v>26604</v>
      </c>
      <c r="V6708" t="s">
        <v>26610</v>
      </c>
      <c r="W6708" t="s">
        <v>695</v>
      </c>
      <c r="X6708">
        <v>898.04</v>
      </c>
      <c r="Y6708" t="s">
        <v>26650</v>
      </c>
      <c r="Z6708" t="s">
        <v>26664</v>
      </c>
      <c r="AB6708" t="s">
        <v>27034</v>
      </c>
      <c r="AC6708" t="s">
        <v>34588</v>
      </c>
      <c r="AD6708" t="s">
        <v>37119</v>
      </c>
      <c r="AE6708">
        <v>166</v>
      </c>
      <c r="AF6708" t="s">
        <v>45541</v>
      </c>
      <c r="AG6708" t="s">
        <v>19330</v>
      </c>
      <c r="AH6708">
        <v>22</v>
      </c>
      <c r="AI6708">
        <v>1</v>
      </c>
      <c r="AJ6708">
        <v>0</v>
      </c>
      <c r="AK6708">
        <v>0</v>
      </c>
      <c r="AN6708" t="s">
        <v>45581</v>
      </c>
      <c r="AO6708">
        <v>0</v>
      </c>
      <c r="AP6708" t="s">
        <v>45838</v>
      </c>
      <c r="AU6708">
        <v>1</v>
      </c>
      <c r="AV6708" t="s">
        <v>800</v>
      </c>
      <c r="AW6708" t="s">
        <v>46870</v>
      </c>
      <c r="AX6708" t="s">
        <v>46898</v>
      </c>
    </row>
    <row r="6709" spans="1:50">
      <c r="A6709" s="1">
        <f>HYPERLINK("https://lsnyc.legalserver.org/matter/dynamic-profile/view/1895542","19-1895542")</f>
        <v>0</v>
      </c>
      <c r="B6709" t="s">
        <v>149</v>
      </c>
      <c r="C6709" t="s">
        <v>340</v>
      </c>
      <c r="D6709" t="s">
        <v>695</v>
      </c>
      <c r="F6709" t="s">
        <v>3773</v>
      </c>
      <c r="G6709" t="s">
        <v>8117</v>
      </c>
      <c r="H6709" t="s">
        <v>14462</v>
      </c>
      <c r="I6709" t="s">
        <v>17300</v>
      </c>
      <c r="J6709" t="s">
        <v>18892</v>
      </c>
      <c r="K6709">
        <v>10462</v>
      </c>
      <c r="L6709" t="s">
        <v>18958</v>
      </c>
      <c r="M6709" t="s">
        <v>18958</v>
      </c>
      <c r="N6709" t="s">
        <v>23907</v>
      </c>
      <c r="O6709" t="s">
        <v>26524</v>
      </c>
      <c r="P6709" t="s">
        <v>26560</v>
      </c>
      <c r="R6709" t="s">
        <v>26579</v>
      </c>
      <c r="S6709" t="s">
        <v>18959</v>
      </c>
      <c r="U6709" t="s">
        <v>26604</v>
      </c>
      <c r="W6709" t="s">
        <v>695</v>
      </c>
      <c r="X6709">
        <v>405.82</v>
      </c>
      <c r="Y6709" t="s">
        <v>26650</v>
      </c>
      <c r="Z6709" t="s">
        <v>26668</v>
      </c>
      <c r="AB6709" t="s">
        <v>31872</v>
      </c>
      <c r="AE6709">
        <v>2</v>
      </c>
      <c r="AF6709" t="s">
        <v>45545</v>
      </c>
      <c r="AG6709" t="s">
        <v>45562</v>
      </c>
      <c r="AH6709">
        <v>2</v>
      </c>
      <c r="AI6709">
        <v>1</v>
      </c>
      <c r="AJ6709">
        <v>0</v>
      </c>
      <c r="AK6709">
        <v>187.35</v>
      </c>
      <c r="AN6709" t="s">
        <v>7439</v>
      </c>
      <c r="AO6709">
        <v>23400</v>
      </c>
      <c r="AU6709">
        <v>1.7</v>
      </c>
      <c r="AV6709" t="s">
        <v>822</v>
      </c>
      <c r="AW6709" t="s">
        <v>336</v>
      </c>
    </row>
    <row r="6710" spans="1:50">
      <c r="A6710" s="1">
        <f>HYPERLINK("https://lsnyc.legalserver.org/matter/dynamic-profile/view/1895027","19-1895027")</f>
        <v>0</v>
      </c>
      <c r="B6710" t="s">
        <v>84</v>
      </c>
      <c r="C6710" t="s">
        <v>340</v>
      </c>
      <c r="D6710" t="s">
        <v>695</v>
      </c>
      <c r="F6710" t="s">
        <v>968</v>
      </c>
      <c r="G6710" t="s">
        <v>8118</v>
      </c>
      <c r="H6710" t="s">
        <v>11360</v>
      </c>
      <c r="I6710">
        <v>104</v>
      </c>
      <c r="J6710" t="s">
        <v>18893</v>
      </c>
      <c r="K6710">
        <v>10031</v>
      </c>
      <c r="L6710" t="s">
        <v>18958</v>
      </c>
      <c r="M6710" t="s">
        <v>18958</v>
      </c>
      <c r="N6710" t="s">
        <v>23908</v>
      </c>
      <c r="O6710" t="s">
        <v>26523</v>
      </c>
      <c r="P6710" t="s">
        <v>26560</v>
      </c>
      <c r="R6710" t="s">
        <v>26580</v>
      </c>
      <c r="S6710" t="s">
        <v>18959</v>
      </c>
      <c r="U6710" t="s">
        <v>26604</v>
      </c>
      <c r="V6710" t="s">
        <v>26610</v>
      </c>
      <c r="W6710" t="s">
        <v>695</v>
      </c>
      <c r="X6710">
        <v>1147</v>
      </c>
      <c r="Y6710" t="s">
        <v>26651</v>
      </c>
      <c r="Z6710" t="s">
        <v>26668</v>
      </c>
      <c r="AB6710" t="s">
        <v>31873</v>
      </c>
      <c r="AD6710" t="s">
        <v>42160</v>
      </c>
      <c r="AE6710">
        <v>0</v>
      </c>
      <c r="AF6710" t="s">
        <v>45541</v>
      </c>
      <c r="AG6710" t="s">
        <v>45556</v>
      </c>
      <c r="AH6710">
        <v>0</v>
      </c>
      <c r="AI6710">
        <v>1</v>
      </c>
      <c r="AJ6710">
        <v>0</v>
      </c>
      <c r="AK6710">
        <v>15.61</v>
      </c>
      <c r="AN6710" t="s">
        <v>7439</v>
      </c>
      <c r="AO6710">
        <v>1950</v>
      </c>
      <c r="AU6710">
        <v>5.2</v>
      </c>
      <c r="AV6710" t="s">
        <v>839</v>
      </c>
      <c r="AW6710" t="s">
        <v>46875</v>
      </c>
    </row>
    <row r="6711" spans="1:50">
      <c r="A6711" s="1">
        <f>HYPERLINK("https://lsnyc.legalserver.org/matter/dynamic-profile/view/1895061","19-1895061")</f>
        <v>0</v>
      </c>
      <c r="B6711" t="s">
        <v>84</v>
      </c>
      <c r="C6711" t="s">
        <v>340</v>
      </c>
      <c r="D6711" t="s">
        <v>695</v>
      </c>
      <c r="F6711" t="s">
        <v>2358</v>
      </c>
      <c r="G6711" t="s">
        <v>5225</v>
      </c>
      <c r="H6711" t="s">
        <v>14463</v>
      </c>
      <c r="I6711">
        <v>11</v>
      </c>
      <c r="J6711" t="s">
        <v>18893</v>
      </c>
      <c r="K6711">
        <v>10027</v>
      </c>
      <c r="L6711" t="s">
        <v>18958</v>
      </c>
      <c r="M6711" t="s">
        <v>18958</v>
      </c>
      <c r="N6711" t="s">
        <v>23909</v>
      </c>
      <c r="O6711" t="s">
        <v>26523</v>
      </c>
      <c r="P6711" t="s">
        <v>26560</v>
      </c>
      <c r="R6711" t="s">
        <v>26580</v>
      </c>
      <c r="S6711" t="s">
        <v>18959</v>
      </c>
      <c r="U6711" t="s">
        <v>26604</v>
      </c>
      <c r="V6711" t="s">
        <v>26610</v>
      </c>
      <c r="W6711" t="s">
        <v>695</v>
      </c>
      <c r="X6711">
        <v>655.17</v>
      </c>
      <c r="Y6711" t="s">
        <v>26651</v>
      </c>
      <c r="Z6711" t="s">
        <v>26664</v>
      </c>
      <c r="AB6711" t="s">
        <v>31874</v>
      </c>
      <c r="AE6711">
        <v>0</v>
      </c>
      <c r="AF6711" t="s">
        <v>20460</v>
      </c>
      <c r="AG6711" t="s">
        <v>19330</v>
      </c>
      <c r="AH6711">
        <v>30</v>
      </c>
      <c r="AI6711">
        <v>1</v>
      </c>
      <c r="AJ6711">
        <v>0</v>
      </c>
      <c r="AK6711">
        <v>175.66</v>
      </c>
      <c r="AN6711" t="s">
        <v>7439</v>
      </c>
      <c r="AO6711">
        <v>21939.42</v>
      </c>
      <c r="AU6711">
        <v>13.2</v>
      </c>
      <c r="AV6711" t="s">
        <v>832</v>
      </c>
      <c r="AW6711" t="s">
        <v>314</v>
      </c>
    </row>
    <row r="6712" spans="1:50">
      <c r="A6712" s="1">
        <f>HYPERLINK("https://lsnyc.legalserver.org/matter/dynamic-profile/view/1895103","19-1895103")</f>
        <v>0</v>
      </c>
      <c r="B6712" t="s">
        <v>191</v>
      </c>
      <c r="C6712" t="s">
        <v>340</v>
      </c>
      <c r="D6712" t="s">
        <v>695</v>
      </c>
      <c r="F6712" t="s">
        <v>3774</v>
      </c>
      <c r="G6712" t="s">
        <v>8119</v>
      </c>
      <c r="H6712" t="s">
        <v>14464</v>
      </c>
      <c r="I6712" t="s">
        <v>17954</v>
      </c>
      <c r="J6712" t="s">
        <v>18893</v>
      </c>
      <c r="K6712">
        <v>10027</v>
      </c>
      <c r="L6712" t="s">
        <v>18958</v>
      </c>
      <c r="M6712" t="s">
        <v>18960</v>
      </c>
      <c r="N6712" t="s">
        <v>23910</v>
      </c>
      <c r="O6712" t="s">
        <v>26524</v>
      </c>
      <c r="P6712" t="s">
        <v>26560</v>
      </c>
      <c r="R6712" t="s">
        <v>26580</v>
      </c>
      <c r="S6712" t="s">
        <v>18959</v>
      </c>
      <c r="U6712" t="s">
        <v>26605</v>
      </c>
      <c r="V6712" t="s">
        <v>26610</v>
      </c>
      <c r="W6712" t="s">
        <v>695</v>
      </c>
      <c r="X6712">
        <v>358</v>
      </c>
      <c r="Y6712" t="s">
        <v>26651</v>
      </c>
      <c r="Z6712" t="s">
        <v>26664</v>
      </c>
      <c r="AB6712" t="s">
        <v>31875</v>
      </c>
      <c r="AC6712" t="s">
        <v>36228</v>
      </c>
      <c r="AD6712" t="s">
        <v>42161</v>
      </c>
      <c r="AE6712">
        <v>0</v>
      </c>
      <c r="AF6712" t="s">
        <v>45549</v>
      </c>
      <c r="AG6712" t="s">
        <v>19330</v>
      </c>
      <c r="AH6712">
        <v>28</v>
      </c>
      <c r="AI6712">
        <v>4</v>
      </c>
      <c r="AJ6712">
        <v>0</v>
      </c>
      <c r="AK6712">
        <v>9.24</v>
      </c>
      <c r="AN6712" t="s">
        <v>45581</v>
      </c>
      <c r="AO6712">
        <v>2379</v>
      </c>
      <c r="AU6712">
        <v>6.1</v>
      </c>
      <c r="AV6712" t="s">
        <v>780</v>
      </c>
      <c r="AW6712" t="s">
        <v>46875</v>
      </c>
    </row>
    <row r="6713" spans="1:50">
      <c r="A6713" s="1">
        <f>HYPERLINK("https://lsnyc.legalserver.org/matter/dynamic-profile/view/1895058","19-1895058")</f>
        <v>0</v>
      </c>
      <c r="B6713" t="s">
        <v>191</v>
      </c>
      <c r="C6713" t="s">
        <v>340</v>
      </c>
      <c r="D6713" t="s">
        <v>695</v>
      </c>
      <c r="F6713" t="s">
        <v>1756</v>
      </c>
      <c r="G6713" t="s">
        <v>8120</v>
      </c>
      <c r="H6713" t="s">
        <v>13361</v>
      </c>
      <c r="I6713" t="s">
        <v>17390</v>
      </c>
      <c r="J6713" t="s">
        <v>18893</v>
      </c>
      <c r="K6713">
        <v>10027</v>
      </c>
      <c r="L6713" t="s">
        <v>18958</v>
      </c>
      <c r="M6713" t="s">
        <v>18958</v>
      </c>
      <c r="N6713" t="s">
        <v>23911</v>
      </c>
      <c r="O6713" t="s">
        <v>26523</v>
      </c>
      <c r="P6713" t="s">
        <v>26560</v>
      </c>
      <c r="R6713" t="s">
        <v>26580</v>
      </c>
      <c r="S6713" t="s">
        <v>18959</v>
      </c>
      <c r="U6713" t="s">
        <v>26606</v>
      </c>
      <c r="W6713" t="s">
        <v>695</v>
      </c>
      <c r="X6713">
        <v>1150</v>
      </c>
      <c r="Y6713" t="s">
        <v>26651</v>
      </c>
      <c r="Z6713" t="s">
        <v>26668</v>
      </c>
      <c r="AB6713" t="s">
        <v>31876</v>
      </c>
      <c r="AD6713" t="s">
        <v>42162</v>
      </c>
      <c r="AE6713">
        <v>0</v>
      </c>
      <c r="AF6713" t="s">
        <v>45544</v>
      </c>
      <c r="AG6713" t="s">
        <v>45556</v>
      </c>
      <c r="AH6713">
        <v>21</v>
      </c>
      <c r="AI6713">
        <v>2</v>
      </c>
      <c r="AJ6713">
        <v>0</v>
      </c>
      <c r="AK6713">
        <v>168.14</v>
      </c>
      <c r="AN6713" t="s">
        <v>7439</v>
      </c>
      <c r="AO6713">
        <v>28432</v>
      </c>
      <c r="AU6713">
        <v>22.5</v>
      </c>
      <c r="AV6713" t="s">
        <v>838</v>
      </c>
      <c r="AW6713" t="s">
        <v>46875</v>
      </c>
    </row>
    <row r="6714" spans="1:50">
      <c r="A6714" s="1">
        <f>HYPERLINK("https://lsnyc.legalserver.org/matter/dynamic-profile/view/1895248","19-1895248")</f>
        <v>0</v>
      </c>
      <c r="B6714" t="s">
        <v>87</v>
      </c>
      <c r="C6714" t="s">
        <v>340</v>
      </c>
      <c r="D6714" t="s">
        <v>695</v>
      </c>
      <c r="F6714" t="s">
        <v>1113</v>
      </c>
      <c r="G6714" t="s">
        <v>1820</v>
      </c>
      <c r="H6714" t="s">
        <v>14465</v>
      </c>
      <c r="I6714">
        <v>2</v>
      </c>
      <c r="J6714" t="s">
        <v>18892</v>
      </c>
      <c r="K6714">
        <v>10467</v>
      </c>
      <c r="L6714" t="s">
        <v>18958</v>
      </c>
      <c r="M6714" t="s">
        <v>18958</v>
      </c>
      <c r="N6714" t="s">
        <v>23912</v>
      </c>
      <c r="O6714" t="s">
        <v>26524</v>
      </c>
      <c r="P6714" t="s">
        <v>26560</v>
      </c>
      <c r="R6714" t="s">
        <v>26579</v>
      </c>
      <c r="S6714" t="s">
        <v>18959</v>
      </c>
      <c r="U6714" t="s">
        <v>26604</v>
      </c>
      <c r="W6714" t="s">
        <v>695</v>
      </c>
      <c r="X6714">
        <v>1500</v>
      </c>
      <c r="Y6714" t="s">
        <v>26650</v>
      </c>
      <c r="Z6714" t="s">
        <v>26668</v>
      </c>
      <c r="AB6714" t="s">
        <v>31877</v>
      </c>
      <c r="AD6714" t="s">
        <v>42163</v>
      </c>
      <c r="AE6714">
        <v>2</v>
      </c>
      <c r="AF6714" t="s">
        <v>45547</v>
      </c>
      <c r="AG6714" t="s">
        <v>26530</v>
      </c>
      <c r="AH6714">
        <v>2</v>
      </c>
      <c r="AI6714">
        <v>3</v>
      </c>
      <c r="AJ6714">
        <v>2</v>
      </c>
      <c r="AK6714">
        <v>72.92</v>
      </c>
      <c r="AN6714" t="s">
        <v>7439</v>
      </c>
      <c r="AO6714">
        <v>22000</v>
      </c>
      <c r="AU6714">
        <v>3.7</v>
      </c>
      <c r="AV6714" t="s">
        <v>839</v>
      </c>
      <c r="AW6714" t="s">
        <v>46847</v>
      </c>
      <c r="AX6714" t="s">
        <v>46897</v>
      </c>
    </row>
    <row r="6715" spans="1:50">
      <c r="A6715" s="1">
        <f>HYPERLINK("https://lsnyc.legalserver.org/matter/dynamic-profile/view/1895259","19-1895259")</f>
        <v>0</v>
      </c>
      <c r="B6715" t="s">
        <v>54</v>
      </c>
      <c r="C6715" t="s">
        <v>340</v>
      </c>
      <c r="D6715" t="s">
        <v>695</v>
      </c>
      <c r="F6715" t="s">
        <v>3775</v>
      </c>
      <c r="G6715" t="s">
        <v>5100</v>
      </c>
      <c r="H6715" t="s">
        <v>12032</v>
      </c>
      <c r="I6715" t="s">
        <v>17425</v>
      </c>
      <c r="J6715" t="s">
        <v>18892</v>
      </c>
      <c r="K6715">
        <v>10457</v>
      </c>
      <c r="L6715" t="s">
        <v>18958</v>
      </c>
      <c r="M6715" t="s">
        <v>18958</v>
      </c>
      <c r="N6715" t="s">
        <v>23913</v>
      </c>
      <c r="O6715" t="s">
        <v>26523</v>
      </c>
      <c r="P6715" t="s">
        <v>26560</v>
      </c>
      <c r="R6715" t="s">
        <v>26579</v>
      </c>
      <c r="S6715" t="s">
        <v>18959</v>
      </c>
      <c r="U6715" t="s">
        <v>26604</v>
      </c>
      <c r="V6715" t="s">
        <v>26610</v>
      </c>
      <c r="W6715" t="s">
        <v>695</v>
      </c>
      <c r="X6715">
        <v>1016.26</v>
      </c>
      <c r="Y6715" t="s">
        <v>26650</v>
      </c>
      <c r="Z6715" t="s">
        <v>26668</v>
      </c>
      <c r="AB6715" t="s">
        <v>28216</v>
      </c>
      <c r="AC6715" t="s">
        <v>36229</v>
      </c>
      <c r="AD6715" t="s">
        <v>42164</v>
      </c>
      <c r="AE6715">
        <v>56</v>
      </c>
      <c r="AF6715" t="s">
        <v>45541</v>
      </c>
      <c r="AG6715" t="s">
        <v>19330</v>
      </c>
      <c r="AH6715">
        <v>5</v>
      </c>
      <c r="AI6715">
        <v>1</v>
      </c>
      <c r="AJ6715">
        <v>3</v>
      </c>
      <c r="AK6715">
        <v>151.46</v>
      </c>
      <c r="AN6715" t="s">
        <v>7439</v>
      </c>
      <c r="AO6715">
        <v>39000</v>
      </c>
      <c r="AQ6715" t="s">
        <v>46362</v>
      </c>
      <c r="AR6715" t="s">
        <v>46380</v>
      </c>
      <c r="AS6715" t="s">
        <v>46499</v>
      </c>
      <c r="AT6715" t="s">
        <v>46755</v>
      </c>
      <c r="AU6715">
        <v>7.9</v>
      </c>
      <c r="AV6715" t="s">
        <v>830</v>
      </c>
      <c r="AW6715" t="s">
        <v>46832</v>
      </c>
      <c r="AX6715" t="s">
        <v>46897</v>
      </c>
    </row>
    <row r="6716" spans="1:50">
      <c r="A6716" s="1">
        <f>HYPERLINK("https://lsnyc.legalserver.org/matter/dynamic-profile/view/1895038","19-1895038")</f>
        <v>0</v>
      </c>
      <c r="B6716" t="s">
        <v>59</v>
      </c>
      <c r="C6716" t="s">
        <v>340</v>
      </c>
      <c r="D6716" t="s">
        <v>695</v>
      </c>
      <c r="F6716" t="s">
        <v>1488</v>
      </c>
      <c r="G6716" t="s">
        <v>945</v>
      </c>
      <c r="H6716" t="s">
        <v>13353</v>
      </c>
      <c r="I6716" t="s">
        <v>17343</v>
      </c>
      <c r="J6716" t="s">
        <v>18893</v>
      </c>
      <c r="K6716">
        <v>10031</v>
      </c>
      <c r="L6716" t="s">
        <v>18958</v>
      </c>
      <c r="M6716" t="s">
        <v>18958</v>
      </c>
      <c r="N6716" t="s">
        <v>23914</v>
      </c>
      <c r="O6716" t="s">
        <v>26523</v>
      </c>
      <c r="P6716" t="s">
        <v>26560</v>
      </c>
      <c r="R6716" t="s">
        <v>26580</v>
      </c>
      <c r="U6716" t="s">
        <v>26604</v>
      </c>
      <c r="V6716" t="s">
        <v>26611</v>
      </c>
      <c r="W6716" t="s">
        <v>695</v>
      </c>
      <c r="X6716">
        <v>273</v>
      </c>
      <c r="Y6716" t="s">
        <v>26651</v>
      </c>
      <c r="Z6716" t="s">
        <v>26668</v>
      </c>
      <c r="AB6716" t="s">
        <v>31878</v>
      </c>
      <c r="AD6716" t="s">
        <v>42165</v>
      </c>
      <c r="AE6716">
        <v>0</v>
      </c>
      <c r="AF6716" t="s">
        <v>20460</v>
      </c>
      <c r="AG6716" t="s">
        <v>45556</v>
      </c>
      <c r="AH6716">
        <v>4</v>
      </c>
      <c r="AI6716">
        <v>1</v>
      </c>
      <c r="AJ6716">
        <v>0</v>
      </c>
      <c r="AK6716">
        <v>86.47</v>
      </c>
      <c r="AN6716" t="s">
        <v>7439</v>
      </c>
      <c r="AO6716">
        <v>10800</v>
      </c>
      <c r="AU6716">
        <v>2.7</v>
      </c>
      <c r="AV6716" t="s">
        <v>838</v>
      </c>
      <c r="AW6716" t="s">
        <v>314</v>
      </c>
    </row>
    <row r="6717" spans="1:50">
      <c r="A6717" s="1">
        <f>HYPERLINK("https://lsnyc.legalserver.org/matter/dynamic-profile/view/1895097","19-1895097")</f>
        <v>0</v>
      </c>
      <c r="B6717" t="s">
        <v>59</v>
      </c>
      <c r="C6717" t="s">
        <v>340</v>
      </c>
      <c r="D6717" t="s">
        <v>695</v>
      </c>
      <c r="F6717" t="s">
        <v>1790</v>
      </c>
      <c r="G6717" t="s">
        <v>5357</v>
      </c>
      <c r="H6717" t="s">
        <v>9946</v>
      </c>
      <c r="I6717">
        <v>1004</v>
      </c>
      <c r="J6717" t="s">
        <v>18893</v>
      </c>
      <c r="K6717">
        <v>10027</v>
      </c>
      <c r="L6717" t="s">
        <v>18958</v>
      </c>
      <c r="M6717" t="s">
        <v>18958</v>
      </c>
      <c r="N6717" t="s">
        <v>23915</v>
      </c>
      <c r="O6717" t="s">
        <v>26523</v>
      </c>
      <c r="P6717" t="s">
        <v>26560</v>
      </c>
      <c r="R6717" t="s">
        <v>26580</v>
      </c>
      <c r="S6717" t="s">
        <v>18959</v>
      </c>
      <c r="U6717" t="s">
        <v>26604</v>
      </c>
      <c r="V6717" t="s">
        <v>26611</v>
      </c>
      <c r="W6717" t="s">
        <v>695</v>
      </c>
      <c r="X6717">
        <v>400</v>
      </c>
      <c r="Y6717" t="s">
        <v>26651</v>
      </c>
      <c r="Z6717" t="s">
        <v>26664</v>
      </c>
      <c r="AB6717" t="s">
        <v>31879</v>
      </c>
      <c r="AD6717" t="s">
        <v>42166</v>
      </c>
      <c r="AE6717">
        <v>0</v>
      </c>
      <c r="AF6717" t="s">
        <v>45541</v>
      </c>
      <c r="AG6717" t="s">
        <v>26530</v>
      </c>
      <c r="AH6717">
        <v>2</v>
      </c>
      <c r="AI6717">
        <v>1</v>
      </c>
      <c r="AJ6717">
        <v>0</v>
      </c>
      <c r="AK6717">
        <v>185.62</v>
      </c>
      <c r="AN6717" t="s">
        <v>7439</v>
      </c>
      <c r="AO6717">
        <v>23184</v>
      </c>
      <c r="AU6717">
        <v>4.4</v>
      </c>
      <c r="AV6717" t="s">
        <v>839</v>
      </c>
      <c r="AW6717" t="s">
        <v>46875</v>
      </c>
    </row>
    <row r="6718" spans="1:50">
      <c r="A6718" s="1">
        <f>HYPERLINK("https://lsnyc.legalserver.org/matter/dynamic-profile/view/1895045","19-1895045")</f>
        <v>0</v>
      </c>
      <c r="B6718" t="s">
        <v>59</v>
      </c>
      <c r="C6718" t="s">
        <v>340</v>
      </c>
      <c r="D6718" t="s">
        <v>695</v>
      </c>
      <c r="F6718" t="s">
        <v>3776</v>
      </c>
      <c r="G6718" t="s">
        <v>8121</v>
      </c>
      <c r="H6718" t="s">
        <v>14466</v>
      </c>
      <c r="I6718" t="s">
        <v>17274</v>
      </c>
      <c r="J6718" t="s">
        <v>18893</v>
      </c>
      <c r="K6718">
        <v>10027</v>
      </c>
      <c r="L6718" t="s">
        <v>18958</v>
      </c>
      <c r="M6718" t="s">
        <v>18958</v>
      </c>
      <c r="N6718" t="s">
        <v>23916</v>
      </c>
      <c r="O6718" t="s">
        <v>26523</v>
      </c>
      <c r="P6718" t="s">
        <v>26564</v>
      </c>
      <c r="R6718" t="s">
        <v>26580</v>
      </c>
      <c r="S6718" t="s">
        <v>18959</v>
      </c>
      <c r="U6718" t="s">
        <v>26605</v>
      </c>
      <c r="W6718" t="s">
        <v>695</v>
      </c>
      <c r="X6718">
        <v>855.6</v>
      </c>
      <c r="Y6718" t="s">
        <v>26651</v>
      </c>
      <c r="Z6718" t="s">
        <v>26664</v>
      </c>
      <c r="AB6718" t="s">
        <v>31880</v>
      </c>
      <c r="AD6718" t="s">
        <v>42167</v>
      </c>
      <c r="AE6718">
        <v>0</v>
      </c>
      <c r="AF6718" t="s">
        <v>45549</v>
      </c>
      <c r="AG6718" t="s">
        <v>19330</v>
      </c>
      <c r="AH6718">
        <v>31</v>
      </c>
      <c r="AI6718">
        <v>1</v>
      </c>
      <c r="AJ6718">
        <v>1</v>
      </c>
      <c r="AK6718">
        <v>221.93</v>
      </c>
      <c r="AN6718" t="s">
        <v>7439</v>
      </c>
      <c r="AO6718">
        <v>37528</v>
      </c>
      <c r="AU6718">
        <v>0</v>
      </c>
      <c r="AW6718" t="s">
        <v>314</v>
      </c>
    </row>
    <row r="6719" spans="1:50">
      <c r="A6719" s="1">
        <f>HYPERLINK("https://lsnyc.legalserver.org/matter/dynamic-profile/view/1862854","18-1862854")</f>
        <v>0</v>
      </c>
      <c r="B6719" t="s">
        <v>114</v>
      </c>
      <c r="C6719" t="s">
        <v>340</v>
      </c>
      <c r="D6719" t="s">
        <v>430</v>
      </c>
      <c r="F6719" t="s">
        <v>3777</v>
      </c>
      <c r="G6719" t="s">
        <v>5079</v>
      </c>
      <c r="H6719" t="s">
        <v>14467</v>
      </c>
      <c r="I6719" t="s">
        <v>18390</v>
      </c>
      <c r="J6719" t="s">
        <v>18901</v>
      </c>
      <c r="K6719">
        <v>11434</v>
      </c>
      <c r="L6719" t="s">
        <v>18958</v>
      </c>
      <c r="M6719" t="s">
        <v>18960</v>
      </c>
      <c r="N6719" t="s">
        <v>23917</v>
      </c>
      <c r="O6719" t="s">
        <v>26524</v>
      </c>
      <c r="P6719" t="s">
        <v>26560</v>
      </c>
      <c r="R6719" t="s">
        <v>26585</v>
      </c>
      <c r="S6719" t="s">
        <v>18959</v>
      </c>
      <c r="U6719" t="s">
        <v>26604</v>
      </c>
      <c r="W6719" t="s">
        <v>793</v>
      </c>
      <c r="X6719">
        <v>0</v>
      </c>
      <c r="Y6719" t="s">
        <v>26653</v>
      </c>
      <c r="Z6719" t="s">
        <v>26656</v>
      </c>
      <c r="AB6719" t="s">
        <v>28325</v>
      </c>
      <c r="AD6719" t="s">
        <v>42168</v>
      </c>
      <c r="AE6719">
        <v>0</v>
      </c>
      <c r="AH6719">
        <v>7</v>
      </c>
      <c r="AI6719">
        <v>1</v>
      </c>
      <c r="AJ6719">
        <v>0</v>
      </c>
      <c r="AK6719">
        <v>73.64</v>
      </c>
      <c r="AN6719" t="s">
        <v>7439</v>
      </c>
      <c r="AO6719">
        <v>8940</v>
      </c>
      <c r="AQ6719" t="s">
        <v>46359</v>
      </c>
      <c r="AR6719" t="s">
        <v>46384</v>
      </c>
      <c r="AS6719" t="s">
        <v>46500</v>
      </c>
      <c r="AT6719" t="s">
        <v>46762</v>
      </c>
      <c r="AU6719">
        <v>10.15</v>
      </c>
      <c r="AV6719" t="s">
        <v>682</v>
      </c>
      <c r="AW6719" t="s">
        <v>85</v>
      </c>
      <c r="AX6719" t="s">
        <v>46897</v>
      </c>
    </row>
    <row r="6720" spans="1:50">
      <c r="A6720" s="1">
        <f>HYPERLINK("https://lsnyc.legalserver.org/matter/dynamic-profile/view/1886445","18-1886445")</f>
        <v>0</v>
      </c>
      <c r="B6720" t="s">
        <v>87</v>
      </c>
      <c r="C6720" t="s">
        <v>340</v>
      </c>
      <c r="D6720" t="s">
        <v>706</v>
      </c>
      <c r="F6720" t="s">
        <v>939</v>
      </c>
      <c r="G6720" t="s">
        <v>8122</v>
      </c>
      <c r="H6720" t="s">
        <v>14468</v>
      </c>
      <c r="I6720" t="s">
        <v>17287</v>
      </c>
      <c r="J6720" t="s">
        <v>18892</v>
      </c>
      <c r="K6720">
        <v>10465</v>
      </c>
      <c r="L6720" t="s">
        <v>18958</v>
      </c>
      <c r="M6720" t="s">
        <v>18958</v>
      </c>
      <c r="N6720" t="s">
        <v>23918</v>
      </c>
      <c r="O6720" t="s">
        <v>26524</v>
      </c>
      <c r="P6720" t="s">
        <v>26560</v>
      </c>
      <c r="R6720" t="s">
        <v>26577</v>
      </c>
      <c r="U6720" t="s">
        <v>26604</v>
      </c>
      <c r="V6720" t="s">
        <v>26610</v>
      </c>
      <c r="W6720" t="s">
        <v>793</v>
      </c>
      <c r="X6720">
        <v>0</v>
      </c>
      <c r="Y6720" t="s">
        <v>26650</v>
      </c>
      <c r="Z6720" t="s">
        <v>26664</v>
      </c>
      <c r="AB6720" t="s">
        <v>31881</v>
      </c>
      <c r="AE6720">
        <v>0</v>
      </c>
      <c r="AF6720" t="s">
        <v>45549</v>
      </c>
      <c r="AH6720">
        <v>0</v>
      </c>
      <c r="AI6720">
        <v>1</v>
      </c>
      <c r="AJ6720">
        <v>0</v>
      </c>
      <c r="AK6720">
        <v>107.94</v>
      </c>
      <c r="AN6720" t="s">
        <v>7439</v>
      </c>
      <c r="AO6720">
        <v>13104</v>
      </c>
      <c r="AU6720">
        <v>9</v>
      </c>
      <c r="AV6720" t="s">
        <v>805</v>
      </c>
      <c r="AW6720" t="s">
        <v>334</v>
      </c>
    </row>
    <row r="6721" spans="1:50">
      <c r="A6721" s="1">
        <f>HYPERLINK("https://lsnyc.legalserver.org/matter/dynamic-profile/view/1893340","19-1893340")</f>
        <v>0</v>
      </c>
      <c r="B6721" t="s">
        <v>138</v>
      </c>
      <c r="C6721" t="s">
        <v>341</v>
      </c>
      <c r="D6721" t="s">
        <v>657</v>
      </c>
      <c r="E6721" t="s">
        <v>801</v>
      </c>
      <c r="F6721" t="s">
        <v>3248</v>
      </c>
      <c r="G6721" t="s">
        <v>8123</v>
      </c>
      <c r="H6721" t="s">
        <v>14469</v>
      </c>
      <c r="I6721" t="s">
        <v>18053</v>
      </c>
      <c r="J6721" t="s">
        <v>18893</v>
      </c>
      <c r="K6721">
        <v>10029</v>
      </c>
      <c r="L6721" t="s">
        <v>18958</v>
      </c>
      <c r="M6721" t="s">
        <v>18958</v>
      </c>
      <c r="N6721" t="s">
        <v>23919</v>
      </c>
      <c r="O6721" t="s">
        <v>26524</v>
      </c>
      <c r="P6721" t="s">
        <v>26564</v>
      </c>
      <c r="Q6721" t="s">
        <v>26570</v>
      </c>
      <c r="R6721" t="s">
        <v>26578</v>
      </c>
      <c r="S6721" t="s">
        <v>18959</v>
      </c>
      <c r="U6721" t="s">
        <v>26604</v>
      </c>
      <c r="V6721" t="s">
        <v>26610</v>
      </c>
      <c r="W6721" t="s">
        <v>793</v>
      </c>
      <c r="X6721">
        <v>3287</v>
      </c>
      <c r="Y6721" t="s">
        <v>26651</v>
      </c>
      <c r="Z6721" t="s">
        <v>26659</v>
      </c>
      <c r="AA6721" t="s">
        <v>26683</v>
      </c>
      <c r="AB6721" t="s">
        <v>28868</v>
      </c>
      <c r="AD6721" t="s">
        <v>42169</v>
      </c>
      <c r="AE6721">
        <v>36</v>
      </c>
      <c r="AF6721" t="s">
        <v>45552</v>
      </c>
      <c r="AG6721" t="s">
        <v>45556</v>
      </c>
      <c r="AH6721">
        <v>14</v>
      </c>
      <c r="AI6721">
        <v>1</v>
      </c>
      <c r="AJ6721">
        <v>0</v>
      </c>
      <c r="AK6721">
        <v>152.47</v>
      </c>
      <c r="AN6721" t="s">
        <v>7439</v>
      </c>
      <c r="AO6721">
        <v>19044</v>
      </c>
      <c r="AU6721">
        <v>0.9</v>
      </c>
      <c r="AV6721" t="s">
        <v>815</v>
      </c>
      <c r="AW6721" t="s">
        <v>46858</v>
      </c>
    </row>
    <row r="6722" spans="1:50">
      <c r="A6722" s="1">
        <f>HYPERLINK("https://lsnyc.legalserver.org/matter/dynamic-profile/view/1893509","19-1893509")</f>
        <v>0</v>
      </c>
      <c r="B6722" t="s">
        <v>138</v>
      </c>
      <c r="C6722" t="s">
        <v>341</v>
      </c>
      <c r="D6722" t="s">
        <v>784</v>
      </c>
      <c r="E6722" t="s">
        <v>671</v>
      </c>
      <c r="F6722" t="s">
        <v>1366</v>
      </c>
      <c r="G6722" t="s">
        <v>5100</v>
      </c>
      <c r="H6722" t="s">
        <v>14470</v>
      </c>
      <c r="I6722" t="s">
        <v>17299</v>
      </c>
      <c r="J6722" t="s">
        <v>18893</v>
      </c>
      <c r="K6722">
        <v>10029</v>
      </c>
      <c r="L6722" t="s">
        <v>18958</v>
      </c>
      <c r="M6722" t="s">
        <v>18958</v>
      </c>
      <c r="N6722" t="s">
        <v>23920</v>
      </c>
      <c r="O6722" t="s">
        <v>26523</v>
      </c>
      <c r="P6722" t="s">
        <v>26564</v>
      </c>
      <c r="Q6722" t="s">
        <v>26570</v>
      </c>
      <c r="R6722" t="s">
        <v>26578</v>
      </c>
      <c r="S6722" t="s">
        <v>18959</v>
      </c>
      <c r="U6722" t="s">
        <v>26604</v>
      </c>
      <c r="V6722" t="s">
        <v>26611</v>
      </c>
      <c r="W6722" t="s">
        <v>793</v>
      </c>
      <c r="X6722">
        <v>1200</v>
      </c>
      <c r="Y6722" t="s">
        <v>26651</v>
      </c>
      <c r="Z6722" t="s">
        <v>26673</v>
      </c>
      <c r="AA6722" t="s">
        <v>26683</v>
      </c>
      <c r="AB6722" t="s">
        <v>31882</v>
      </c>
      <c r="AC6722" t="s">
        <v>19330</v>
      </c>
      <c r="AD6722" t="s">
        <v>42170</v>
      </c>
      <c r="AE6722">
        <v>30</v>
      </c>
      <c r="AF6722" t="s">
        <v>45541</v>
      </c>
      <c r="AG6722" t="s">
        <v>19330</v>
      </c>
      <c r="AH6722">
        <v>25</v>
      </c>
      <c r="AI6722">
        <v>1</v>
      </c>
      <c r="AJ6722">
        <v>0</v>
      </c>
      <c r="AK6722">
        <v>83.27</v>
      </c>
      <c r="AN6722" t="s">
        <v>7439</v>
      </c>
      <c r="AO6722">
        <v>10400</v>
      </c>
      <c r="AP6722" t="s">
        <v>45663</v>
      </c>
      <c r="AU6722">
        <v>3.8</v>
      </c>
      <c r="AV6722" t="s">
        <v>802</v>
      </c>
      <c r="AW6722" t="s">
        <v>46861</v>
      </c>
      <c r="AX6722" t="s">
        <v>46897</v>
      </c>
    </row>
    <row r="6723" spans="1:50">
      <c r="A6723" s="1">
        <f>HYPERLINK("https://lsnyc.legalserver.org/matter/dynamic-profile/view/1894959","19-1894959")</f>
        <v>0</v>
      </c>
      <c r="B6723" t="s">
        <v>187</v>
      </c>
      <c r="C6723" t="s">
        <v>340</v>
      </c>
      <c r="D6723" t="s">
        <v>741</v>
      </c>
      <c r="F6723" t="s">
        <v>1811</v>
      </c>
      <c r="G6723" t="s">
        <v>5191</v>
      </c>
      <c r="H6723" t="s">
        <v>11466</v>
      </c>
      <c r="I6723" t="s">
        <v>17355</v>
      </c>
      <c r="J6723" t="s">
        <v>18892</v>
      </c>
      <c r="K6723">
        <v>10467</v>
      </c>
      <c r="L6723" t="s">
        <v>18958</v>
      </c>
      <c r="M6723" t="s">
        <v>18958</v>
      </c>
      <c r="N6723" t="s">
        <v>23921</v>
      </c>
      <c r="O6723" t="s">
        <v>26523</v>
      </c>
      <c r="P6723" t="s">
        <v>26560</v>
      </c>
      <c r="R6723" t="s">
        <v>26579</v>
      </c>
      <c r="S6723" t="s">
        <v>18959</v>
      </c>
      <c r="U6723" t="s">
        <v>26604</v>
      </c>
      <c r="V6723" t="s">
        <v>26610</v>
      </c>
      <c r="W6723" t="s">
        <v>793</v>
      </c>
      <c r="X6723">
        <v>2197</v>
      </c>
      <c r="Y6723" t="s">
        <v>26650</v>
      </c>
      <c r="Z6723" t="s">
        <v>26668</v>
      </c>
      <c r="AB6723" t="s">
        <v>31883</v>
      </c>
      <c r="AC6723" t="s">
        <v>36230</v>
      </c>
      <c r="AD6723" t="s">
        <v>42171</v>
      </c>
      <c r="AE6723">
        <v>21</v>
      </c>
      <c r="AF6723" t="s">
        <v>45541</v>
      </c>
      <c r="AG6723" t="s">
        <v>45562</v>
      </c>
      <c r="AH6723">
        <v>3</v>
      </c>
      <c r="AI6723">
        <v>1</v>
      </c>
      <c r="AJ6723">
        <v>5</v>
      </c>
      <c r="AK6723">
        <v>20.47</v>
      </c>
      <c r="AN6723" t="s">
        <v>7439</v>
      </c>
      <c r="AO6723">
        <v>7080</v>
      </c>
      <c r="AU6723">
        <v>3.8</v>
      </c>
      <c r="AV6723" t="s">
        <v>838</v>
      </c>
      <c r="AW6723" t="s">
        <v>46832</v>
      </c>
    </row>
    <row r="6724" spans="1:50">
      <c r="A6724" s="1">
        <f>HYPERLINK("https://lsnyc.legalserver.org/matter/dynamic-profile/view/1895342","19-1895342")</f>
        <v>0</v>
      </c>
      <c r="B6724" t="s">
        <v>169</v>
      </c>
      <c r="C6724" t="s">
        <v>341</v>
      </c>
      <c r="D6724" t="s">
        <v>793</v>
      </c>
      <c r="E6724" t="s">
        <v>779</v>
      </c>
      <c r="F6724" t="s">
        <v>3778</v>
      </c>
      <c r="G6724" t="s">
        <v>8124</v>
      </c>
      <c r="H6724" t="s">
        <v>14471</v>
      </c>
      <c r="I6724" t="s">
        <v>17301</v>
      </c>
      <c r="J6724" t="s">
        <v>18892</v>
      </c>
      <c r="K6724">
        <v>10452</v>
      </c>
      <c r="L6724" t="s">
        <v>18958</v>
      </c>
      <c r="M6724" t="s">
        <v>18958</v>
      </c>
      <c r="O6724" t="s">
        <v>26524</v>
      </c>
      <c r="P6724" t="s">
        <v>26564</v>
      </c>
      <c r="Q6724" t="s">
        <v>26570</v>
      </c>
      <c r="R6724" t="s">
        <v>26578</v>
      </c>
      <c r="S6724" t="s">
        <v>18959</v>
      </c>
      <c r="U6724" t="s">
        <v>26604</v>
      </c>
      <c r="V6724" t="s">
        <v>26610</v>
      </c>
      <c r="W6724" t="s">
        <v>793</v>
      </c>
      <c r="X6724">
        <v>1375</v>
      </c>
      <c r="Y6724" t="s">
        <v>26650</v>
      </c>
      <c r="Z6724" t="s">
        <v>26663</v>
      </c>
      <c r="AA6724" t="s">
        <v>26683</v>
      </c>
      <c r="AB6724" t="s">
        <v>31884</v>
      </c>
      <c r="AD6724" t="s">
        <v>42172</v>
      </c>
      <c r="AE6724">
        <v>0</v>
      </c>
      <c r="AF6724" t="s">
        <v>45541</v>
      </c>
      <c r="AH6724">
        <v>4</v>
      </c>
      <c r="AI6724">
        <v>1</v>
      </c>
      <c r="AJ6724">
        <v>0</v>
      </c>
      <c r="AK6724">
        <v>145.72</v>
      </c>
      <c r="AN6724" t="s">
        <v>45581</v>
      </c>
      <c r="AO6724">
        <v>18200</v>
      </c>
      <c r="AP6724" t="s">
        <v>46024</v>
      </c>
      <c r="AU6724">
        <v>1.5</v>
      </c>
      <c r="AV6724" t="s">
        <v>779</v>
      </c>
      <c r="AW6724" t="s">
        <v>169</v>
      </c>
    </row>
    <row r="6725" spans="1:50">
      <c r="A6725" s="1">
        <f>HYPERLINK("https://lsnyc.legalserver.org/matter/dynamic-profile/view/1895172","19-1895172")</f>
        <v>0</v>
      </c>
      <c r="B6725" t="s">
        <v>99</v>
      </c>
      <c r="C6725" t="s">
        <v>341</v>
      </c>
      <c r="D6725" t="s">
        <v>793</v>
      </c>
      <c r="E6725" t="s">
        <v>771</v>
      </c>
      <c r="F6725" t="s">
        <v>2894</v>
      </c>
      <c r="G6725" t="s">
        <v>8125</v>
      </c>
      <c r="H6725" t="s">
        <v>14472</v>
      </c>
      <c r="I6725" t="s">
        <v>18029</v>
      </c>
      <c r="J6725" t="s">
        <v>18894</v>
      </c>
      <c r="K6725">
        <v>11207</v>
      </c>
      <c r="L6725" t="s">
        <v>18958</v>
      </c>
      <c r="M6725" t="s">
        <v>18958</v>
      </c>
      <c r="N6725" t="s">
        <v>23922</v>
      </c>
      <c r="O6725" t="s">
        <v>26524</v>
      </c>
      <c r="P6725" t="s">
        <v>26560</v>
      </c>
      <c r="Q6725" t="s">
        <v>26568</v>
      </c>
      <c r="R6725" t="s">
        <v>26586</v>
      </c>
      <c r="S6725" t="s">
        <v>18959</v>
      </c>
      <c r="U6725" t="s">
        <v>26604</v>
      </c>
      <c r="V6725" t="s">
        <v>26610</v>
      </c>
      <c r="W6725" t="s">
        <v>793</v>
      </c>
      <c r="X6725">
        <v>1700</v>
      </c>
      <c r="Y6725" t="s">
        <v>26652</v>
      </c>
      <c r="Z6725" t="s">
        <v>26661</v>
      </c>
      <c r="AA6725" t="s">
        <v>26679</v>
      </c>
      <c r="AB6725" t="s">
        <v>30877</v>
      </c>
      <c r="AC6725" t="s">
        <v>19330</v>
      </c>
      <c r="AD6725" t="s">
        <v>42173</v>
      </c>
      <c r="AE6725">
        <v>3</v>
      </c>
      <c r="AF6725" t="s">
        <v>45547</v>
      </c>
      <c r="AG6725" t="s">
        <v>19330</v>
      </c>
      <c r="AH6725">
        <v>4</v>
      </c>
      <c r="AI6725">
        <v>2</v>
      </c>
      <c r="AJ6725">
        <v>0</v>
      </c>
      <c r="AK6725">
        <v>70.95999999999999</v>
      </c>
      <c r="AN6725" t="s">
        <v>45581</v>
      </c>
      <c r="AO6725">
        <v>12000</v>
      </c>
      <c r="AQ6725" t="s">
        <v>46359</v>
      </c>
      <c r="AR6725" t="s">
        <v>26530</v>
      </c>
      <c r="AS6725" t="s">
        <v>46500</v>
      </c>
      <c r="AT6725" t="s">
        <v>46740</v>
      </c>
      <c r="AU6725">
        <v>4.3</v>
      </c>
      <c r="AV6725" t="s">
        <v>771</v>
      </c>
      <c r="AW6725" t="s">
        <v>99</v>
      </c>
    </row>
    <row r="6726" spans="1:50">
      <c r="A6726" s="1">
        <f>HYPERLINK("https://lsnyc.legalserver.org/matter/dynamic-profile/view/1895215","19-1895215")</f>
        <v>0</v>
      </c>
      <c r="B6726" t="s">
        <v>174</v>
      </c>
      <c r="C6726" t="s">
        <v>341</v>
      </c>
      <c r="D6726" t="s">
        <v>793</v>
      </c>
      <c r="E6726" t="s">
        <v>827</v>
      </c>
      <c r="F6726" t="s">
        <v>3779</v>
      </c>
      <c r="G6726" t="s">
        <v>1759</v>
      </c>
      <c r="H6726" t="s">
        <v>14473</v>
      </c>
      <c r="I6726" t="s">
        <v>17416</v>
      </c>
      <c r="J6726" t="s">
        <v>18894</v>
      </c>
      <c r="K6726">
        <v>11208</v>
      </c>
      <c r="L6726" t="s">
        <v>18958</v>
      </c>
      <c r="M6726" t="s">
        <v>18960</v>
      </c>
      <c r="N6726" t="s">
        <v>23923</v>
      </c>
      <c r="O6726" t="s">
        <v>26524</v>
      </c>
      <c r="P6726" t="s">
        <v>26565</v>
      </c>
      <c r="Q6726" t="s">
        <v>26571</v>
      </c>
      <c r="R6726" t="s">
        <v>26578</v>
      </c>
      <c r="S6726" t="s">
        <v>18959</v>
      </c>
      <c r="U6726" t="s">
        <v>26604</v>
      </c>
      <c r="W6726" t="s">
        <v>793</v>
      </c>
      <c r="X6726">
        <v>2100</v>
      </c>
      <c r="Y6726" t="s">
        <v>26652</v>
      </c>
      <c r="Z6726" t="s">
        <v>26668</v>
      </c>
      <c r="AA6726" t="s">
        <v>26682</v>
      </c>
      <c r="AB6726" t="s">
        <v>31885</v>
      </c>
      <c r="AC6726">
        <v>375657841</v>
      </c>
      <c r="AD6726" t="s">
        <v>42174</v>
      </c>
      <c r="AE6726">
        <v>4</v>
      </c>
      <c r="AF6726" t="s">
        <v>20460</v>
      </c>
      <c r="AH6726">
        <v>8</v>
      </c>
      <c r="AI6726">
        <v>1</v>
      </c>
      <c r="AJ6726">
        <v>1</v>
      </c>
      <c r="AK6726">
        <v>112.36</v>
      </c>
      <c r="AN6726" t="s">
        <v>7439</v>
      </c>
      <c r="AO6726">
        <v>19000</v>
      </c>
      <c r="AU6726">
        <v>0.7</v>
      </c>
      <c r="AV6726" t="s">
        <v>793</v>
      </c>
      <c r="AW6726" t="s">
        <v>46856</v>
      </c>
      <c r="AX6726" t="s">
        <v>46897</v>
      </c>
    </row>
    <row r="6727" spans="1:50">
      <c r="A6727" s="1">
        <f>HYPERLINK("https://lsnyc.legalserver.org/matter/dynamic-profile/view/1895194","19-1895194")</f>
        <v>0</v>
      </c>
      <c r="B6727" t="s">
        <v>258</v>
      </c>
      <c r="C6727" t="s">
        <v>341</v>
      </c>
      <c r="D6727" t="s">
        <v>793</v>
      </c>
      <c r="E6727" t="s">
        <v>824</v>
      </c>
      <c r="F6727" t="s">
        <v>1113</v>
      </c>
      <c r="G6727" t="s">
        <v>3310</v>
      </c>
      <c r="H6727" t="s">
        <v>14474</v>
      </c>
      <c r="J6727" t="s">
        <v>18907</v>
      </c>
      <c r="K6727">
        <v>11377</v>
      </c>
      <c r="L6727" t="s">
        <v>18958</v>
      </c>
      <c r="M6727" t="s">
        <v>18958</v>
      </c>
      <c r="N6727" t="s">
        <v>23924</v>
      </c>
      <c r="O6727" t="s">
        <v>26524</v>
      </c>
      <c r="P6727" t="s">
        <v>26564</v>
      </c>
      <c r="Q6727" t="s">
        <v>26570</v>
      </c>
      <c r="R6727" t="s">
        <v>26578</v>
      </c>
      <c r="S6727" t="s">
        <v>18959</v>
      </c>
      <c r="U6727" t="s">
        <v>26604</v>
      </c>
      <c r="V6727" t="s">
        <v>26610</v>
      </c>
      <c r="W6727" t="s">
        <v>793</v>
      </c>
      <c r="X6727">
        <v>800</v>
      </c>
      <c r="Y6727" t="s">
        <v>26653</v>
      </c>
      <c r="Z6727" t="s">
        <v>26664</v>
      </c>
      <c r="AA6727" t="s">
        <v>26683</v>
      </c>
      <c r="AB6727" t="s">
        <v>31886</v>
      </c>
      <c r="AC6727" t="s">
        <v>34738</v>
      </c>
      <c r="AD6727" t="s">
        <v>42175</v>
      </c>
      <c r="AE6727">
        <v>9</v>
      </c>
      <c r="AF6727" t="s">
        <v>45545</v>
      </c>
      <c r="AG6727" t="s">
        <v>19330</v>
      </c>
      <c r="AH6727">
        <v>2</v>
      </c>
      <c r="AI6727">
        <v>1</v>
      </c>
      <c r="AJ6727">
        <v>0</v>
      </c>
      <c r="AK6727">
        <v>104.08</v>
      </c>
      <c r="AN6727" t="s">
        <v>7439</v>
      </c>
      <c r="AO6727">
        <v>13000</v>
      </c>
      <c r="AU6727">
        <v>1.25</v>
      </c>
      <c r="AV6727" t="s">
        <v>824</v>
      </c>
      <c r="AW6727" t="s">
        <v>46884</v>
      </c>
      <c r="AX6727" t="s">
        <v>46897</v>
      </c>
    </row>
    <row r="6728" spans="1:50">
      <c r="A6728" s="1">
        <f>HYPERLINK("https://lsnyc.legalserver.org/matter/dynamic-profile/view/1895143","19-1895143")</f>
        <v>0</v>
      </c>
      <c r="B6728" t="s">
        <v>141</v>
      </c>
      <c r="C6728" t="s">
        <v>341</v>
      </c>
      <c r="D6728" t="s">
        <v>793</v>
      </c>
      <c r="E6728" t="s">
        <v>805</v>
      </c>
      <c r="F6728" t="s">
        <v>3295</v>
      </c>
      <c r="G6728" t="s">
        <v>8126</v>
      </c>
      <c r="H6728" t="s">
        <v>14475</v>
      </c>
      <c r="I6728" t="s">
        <v>17301</v>
      </c>
      <c r="J6728" t="s">
        <v>18913</v>
      </c>
      <c r="K6728">
        <v>11102</v>
      </c>
      <c r="L6728" t="s">
        <v>18958</v>
      </c>
      <c r="M6728" t="s">
        <v>18958</v>
      </c>
      <c r="N6728" t="s">
        <v>23925</v>
      </c>
      <c r="O6728" t="s">
        <v>26523</v>
      </c>
      <c r="P6728" t="s">
        <v>26564</v>
      </c>
      <c r="Q6728" t="s">
        <v>26570</v>
      </c>
      <c r="R6728" t="s">
        <v>26584</v>
      </c>
      <c r="S6728" t="s">
        <v>18959</v>
      </c>
      <c r="U6728" t="s">
        <v>26604</v>
      </c>
      <c r="V6728" t="s">
        <v>26612</v>
      </c>
      <c r="W6728" t="s">
        <v>793</v>
      </c>
      <c r="X6728">
        <v>748</v>
      </c>
      <c r="Y6728" t="s">
        <v>26653</v>
      </c>
      <c r="Z6728" t="s">
        <v>26664</v>
      </c>
      <c r="AA6728" t="s">
        <v>26683</v>
      </c>
      <c r="AB6728" t="s">
        <v>31887</v>
      </c>
      <c r="AC6728" t="s">
        <v>19330</v>
      </c>
      <c r="AD6728" t="s">
        <v>42176</v>
      </c>
      <c r="AE6728">
        <v>1104</v>
      </c>
      <c r="AF6728" t="s">
        <v>45549</v>
      </c>
      <c r="AG6728" t="s">
        <v>19330</v>
      </c>
      <c r="AH6728">
        <v>2</v>
      </c>
      <c r="AI6728">
        <v>2</v>
      </c>
      <c r="AJ6728">
        <v>2</v>
      </c>
      <c r="AK6728">
        <v>135.92</v>
      </c>
      <c r="AN6728" t="s">
        <v>7439</v>
      </c>
      <c r="AO6728">
        <v>35000</v>
      </c>
      <c r="AU6728">
        <v>1.7</v>
      </c>
      <c r="AV6728" t="s">
        <v>795</v>
      </c>
      <c r="AW6728" t="s">
        <v>141</v>
      </c>
    </row>
    <row r="6729" spans="1:50">
      <c r="A6729" s="1">
        <f>HYPERLINK("https://lsnyc.legalserver.org/matter/dynamic-profile/view/1895157","19-1895157")</f>
        <v>0</v>
      </c>
      <c r="B6729" t="s">
        <v>187</v>
      </c>
      <c r="C6729" t="s">
        <v>341</v>
      </c>
      <c r="D6729" t="s">
        <v>793</v>
      </c>
      <c r="E6729" t="s">
        <v>800</v>
      </c>
      <c r="F6729" t="s">
        <v>1336</v>
      </c>
      <c r="G6729" t="s">
        <v>7089</v>
      </c>
      <c r="H6729" t="s">
        <v>14476</v>
      </c>
      <c r="I6729" t="s">
        <v>17490</v>
      </c>
      <c r="J6729" t="s">
        <v>18892</v>
      </c>
      <c r="K6729">
        <v>10472</v>
      </c>
      <c r="L6729" t="s">
        <v>18958</v>
      </c>
      <c r="M6729" t="s">
        <v>18958</v>
      </c>
      <c r="N6729" t="s">
        <v>23926</v>
      </c>
      <c r="O6729" t="s">
        <v>26523</v>
      </c>
      <c r="P6729" t="s">
        <v>26564</v>
      </c>
      <c r="Q6729" t="s">
        <v>26570</v>
      </c>
      <c r="R6729" t="s">
        <v>26577</v>
      </c>
      <c r="S6729" t="s">
        <v>18959</v>
      </c>
      <c r="U6729" t="s">
        <v>26604</v>
      </c>
      <c r="V6729" t="s">
        <v>26609</v>
      </c>
      <c r="W6729" t="s">
        <v>793</v>
      </c>
      <c r="X6729">
        <v>911.25</v>
      </c>
      <c r="Y6729" t="s">
        <v>26650</v>
      </c>
      <c r="Z6729" t="s">
        <v>26660</v>
      </c>
      <c r="AA6729" t="s">
        <v>26683</v>
      </c>
      <c r="AB6729" t="s">
        <v>31888</v>
      </c>
      <c r="AC6729" t="s">
        <v>36231</v>
      </c>
      <c r="AD6729" t="s">
        <v>42177</v>
      </c>
      <c r="AE6729">
        <v>0</v>
      </c>
      <c r="AF6729" t="s">
        <v>45541</v>
      </c>
      <c r="AG6729" t="s">
        <v>19330</v>
      </c>
      <c r="AH6729">
        <v>5</v>
      </c>
      <c r="AI6729">
        <v>1</v>
      </c>
      <c r="AJ6729">
        <v>2</v>
      </c>
      <c r="AK6729">
        <v>79.23</v>
      </c>
      <c r="AN6729" t="s">
        <v>45581</v>
      </c>
      <c r="AO6729">
        <v>16900</v>
      </c>
      <c r="AS6729" t="s">
        <v>46502</v>
      </c>
      <c r="AT6729" t="s">
        <v>46556</v>
      </c>
      <c r="AU6729">
        <v>4.1</v>
      </c>
      <c r="AV6729" t="s">
        <v>800</v>
      </c>
      <c r="AW6729" t="s">
        <v>46832</v>
      </c>
      <c r="AX6729" t="s">
        <v>46897</v>
      </c>
    </row>
    <row r="6730" spans="1:50">
      <c r="A6730" s="1">
        <f>HYPERLINK("https://lsnyc.legalserver.org/matter/dynamic-profile/view/1895122","19-1895122")</f>
        <v>0</v>
      </c>
      <c r="B6730" t="s">
        <v>187</v>
      </c>
      <c r="C6730" t="s">
        <v>341</v>
      </c>
      <c r="D6730" t="s">
        <v>793</v>
      </c>
      <c r="E6730" t="s">
        <v>729</v>
      </c>
      <c r="F6730" t="s">
        <v>1587</v>
      </c>
      <c r="G6730" t="s">
        <v>5008</v>
      </c>
      <c r="H6730" t="s">
        <v>14477</v>
      </c>
      <c r="I6730" t="s">
        <v>17313</v>
      </c>
      <c r="J6730" t="s">
        <v>18892</v>
      </c>
      <c r="K6730">
        <v>10451</v>
      </c>
      <c r="L6730" t="s">
        <v>18958</v>
      </c>
      <c r="M6730" t="s">
        <v>18958</v>
      </c>
      <c r="N6730" t="s">
        <v>23927</v>
      </c>
      <c r="O6730" t="s">
        <v>26523</v>
      </c>
      <c r="P6730" t="s">
        <v>26560</v>
      </c>
      <c r="Q6730" t="s">
        <v>26573</v>
      </c>
      <c r="R6730" t="s">
        <v>26577</v>
      </c>
      <c r="S6730" t="s">
        <v>18959</v>
      </c>
      <c r="U6730" t="s">
        <v>26604</v>
      </c>
      <c r="V6730" t="s">
        <v>26610</v>
      </c>
      <c r="W6730" t="s">
        <v>793</v>
      </c>
      <c r="X6730">
        <v>1571</v>
      </c>
      <c r="Y6730" t="s">
        <v>26650</v>
      </c>
      <c r="Z6730" t="s">
        <v>26664</v>
      </c>
      <c r="AA6730" t="s">
        <v>26679</v>
      </c>
      <c r="AB6730" t="s">
        <v>31889</v>
      </c>
      <c r="AC6730">
        <v>8974726</v>
      </c>
      <c r="AD6730" t="s">
        <v>42178</v>
      </c>
      <c r="AE6730">
        <v>0</v>
      </c>
      <c r="AF6730" t="s">
        <v>45541</v>
      </c>
      <c r="AG6730" t="s">
        <v>45557</v>
      </c>
      <c r="AH6730">
        <v>1</v>
      </c>
      <c r="AI6730">
        <v>1</v>
      </c>
      <c r="AJ6730">
        <v>2</v>
      </c>
      <c r="AK6730">
        <v>124.73</v>
      </c>
      <c r="AN6730" t="s">
        <v>7439</v>
      </c>
      <c r="AO6730">
        <v>26604</v>
      </c>
      <c r="AR6730" t="s">
        <v>46379</v>
      </c>
      <c r="AT6730" t="s">
        <v>46727</v>
      </c>
      <c r="AU6730">
        <v>7.4</v>
      </c>
      <c r="AV6730" t="s">
        <v>729</v>
      </c>
      <c r="AW6730" t="s">
        <v>329</v>
      </c>
      <c r="AX6730" t="s">
        <v>46898</v>
      </c>
    </row>
    <row r="6731" spans="1:50">
      <c r="A6731" s="1">
        <f>HYPERLINK("https://lsnyc.legalserver.org/matter/dynamic-profile/view/1895412","19-1895412")</f>
        <v>0</v>
      </c>
      <c r="B6731" t="s">
        <v>263</v>
      </c>
      <c r="C6731" t="s">
        <v>341</v>
      </c>
      <c r="D6731" t="s">
        <v>793</v>
      </c>
      <c r="E6731" t="s">
        <v>767</v>
      </c>
      <c r="F6731" t="s">
        <v>1025</v>
      </c>
      <c r="G6731" t="s">
        <v>4524</v>
      </c>
      <c r="H6731" t="s">
        <v>14478</v>
      </c>
      <c r="I6731" t="s">
        <v>17480</v>
      </c>
      <c r="J6731" t="s">
        <v>18892</v>
      </c>
      <c r="K6731">
        <v>10456</v>
      </c>
      <c r="L6731" t="s">
        <v>18958</v>
      </c>
      <c r="M6731" t="s">
        <v>18958</v>
      </c>
      <c r="O6731" t="s">
        <v>18997</v>
      </c>
      <c r="P6731" t="s">
        <v>26565</v>
      </c>
      <c r="Q6731" t="s">
        <v>26570</v>
      </c>
      <c r="R6731" t="s">
        <v>26591</v>
      </c>
      <c r="U6731" t="s">
        <v>26604</v>
      </c>
      <c r="W6731" t="s">
        <v>793</v>
      </c>
      <c r="X6731">
        <v>1500</v>
      </c>
      <c r="Y6731" t="s">
        <v>26650</v>
      </c>
      <c r="Z6731" t="s">
        <v>26663</v>
      </c>
      <c r="AA6731" t="s">
        <v>26683</v>
      </c>
      <c r="AB6731" t="s">
        <v>31890</v>
      </c>
      <c r="AE6731">
        <v>0</v>
      </c>
      <c r="AF6731" t="s">
        <v>45549</v>
      </c>
      <c r="AG6731" t="s">
        <v>19330</v>
      </c>
      <c r="AH6731">
        <v>7</v>
      </c>
      <c r="AI6731">
        <v>3</v>
      </c>
      <c r="AJ6731">
        <v>1</v>
      </c>
      <c r="AK6731">
        <v>149.69</v>
      </c>
      <c r="AN6731" t="s">
        <v>7439</v>
      </c>
      <c r="AO6731">
        <v>38544</v>
      </c>
      <c r="AU6731">
        <v>1.5</v>
      </c>
      <c r="AV6731" t="s">
        <v>781</v>
      </c>
      <c r="AW6731" t="s">
        <v>263</v>
      </c>
    </row>
    <row r="6732" spans="1:50">
      <c r="A6732" s="1">
        <f>HYPERLINK("https://lsnyc.legalserver.org/matter/dynamic-profile/view/1895460","19-1895460")</f>
        <v>0</v>
      </c>
      <c r="B6732" t="s">
        <v>263</v>
      </c>
      <c r="C6732" t="s">
        <v>341</v>
      </c>
      <c r="D6732" t="s">
        <v>793</v>
      </c>
      <c r="E6732" t="s">
        <v>767</v>
      </c>
      <c r="F6732" t="s">
        <v>1809</v>
      </c>
      <c r="G6732" t="s">
        <v>8127</v>
      </c>
      <c r="H6732" t="s">
        <v>14479</v>
      </c>
      <c r="I6732" t="s">
        <v>17272</v>
      </c>
      <c r="J6732" t="s">
        <v>18892</v>
      </c>
      <c r="K6732">
        <v>10456</v>
      </c>
      <c r="L6732" t="s">
        <v>18958</v>
      </c>
      <c r="M6732" t="s">
        <v>18958</v>
      </c>
      <c r="O6732" t="s">
        <v>18997</v>
      </c>
      <c r="P6732" t="s">
        <v>26564</v>
      </c>
      <c r="Q6732" t="s">
        <v>26570</v>
      </c>
      <c r="R6732" t="s">
        <v>26578</v>
      </c>
      <c r="S6732" t="s">
        <v>18959</v>
      </c>
      <c r="U6732" t="s">
        <v>26604</v>
      </c>
      <c r="W6732" t="s">
        <v>793</v>
      </c>
      <c r="X6732">
        <v>593</v>
      </c>
      <c r="Y6732" t="s">
        <v>26650</v>
      </c>
      <c r="Z6732" t="s">
        <v>26663</v>
      </c>
      <c r="AA6732" t="s">
        <v>26683</v>
      </c>
      <c r="AB6732" t="s">
        <v>31891</v>
      </c>
      <c r="AD6732" t="s">
        <v>42179</v>
      </c>
      <c r="AE6732">
        <v>0</v>
      </c>
      <c r="AF6732" t="s">
        <v>45541</v>
      </c>
      <c r="AG6732" t="s">
        <v>45559</v>
      </c>
      <c r="AH6732">
        <v>31</v>
      </c>
      <c r="AI6732">
        <v>1</v>
      </c>
      <c r="AJ6732">
        <v>0</v>
      </c>
      <c r="AK6732">
        <v>74.75</v>
      </c>
      <c r="AN6732" t="s">
        <v>7439</v>
      </c>
      <c r="AO6732">
        <v>9336</v>
      </c>
      <c r="AU6732">
        <v>0.5</v>
      </c>
      <c r="AV6732" t="s">
        <v>781</v>
      </c>
      <c r="AW6732" t="s">
        <v>263</v>
      </c>
    </row>
    <row r="6733" spans="1:50">
      <c r="A6733" s="1">
        <f>HYPERLINK("https://lsnyc.legalserver.org/matter/dynamic-profile/view/1895413","19-1895413")</f>
        <v>0</v>
      </c>
      <c r="B6733" t="s">
        <v>263</v>
      </c>
      <c r="C6733" t="s">
        <v>341</v>
      </c>
      <c r="D6733" t="s">
        <v>793</v>
      </c>
      <c r="E6733" t="s">
        <v>767</v>
      </c>
      <c r="F6733" t="s">
        <v>2238</v>
      </c>
      <c r="G6733" t="s">
        <v>2564</v>
      </c>
      <c r="H6733" t="s">
        <v>14480</v>
      </c>
      <c r="J6733" t="s">
        <v>18892</v>
      </c>
      <c r="K6733">
        <v>10473</v>
      </c>
      <c r="L6733" t="s">
        <v>18958</v>
      </c>
      <c r="M6733" t="s">
        <v>18958</v>
      </c>
      <c r="O6733" t="s">
        <v>18997</v>
      </c>
      <c r="P6733" t="s">
        <v>26564</v>
      </c>
      <c r="Q6733" t="s">
        <v>26570</v>
      </c>
      <c r="R6733" t="s">
        <v>26578</v>
      </c>
      <c r="S6733" t="s">
        <v>18959</v>
      </c>
      <c r="U6733" t="s">
        <v>26604</v>
      </c>
      <c r="W6733" t="s">
        <v>793</v>
      </c>
      <c r="X6733">
        <v>650</v>
      </c>
      <c r="Y6733" t="s">
        <v>26650</v>
      </c>
      <c r="Z6733" t="s">
        <v>26663</v>
      </c>
      <c r="AA6733" t="s">
        <v>26683</v>
      </c>
      <c r="AB6733" t="s">
        <v>31892</v>
      </c>
      <c r="AD6733" t="s">
        <v>42180</v>
      </c>
      <c r="AE6733">
        <v>0</v>
      </c>
      <c r="AF6733" t="s">
        <v>45541</v>
      </c>
      <c r="AG6733" t="s">
        <v>45556</v>
      </c>
      <c r="AH6733">
        <v>7</v>
      </c>
      <c r="AI6733">
        <v>1</v>
      </c>
      <c r="AJ6733">
        <v>0</v>
      </c>
      <c r="AK6733">
        <v>187.35</v>
      </c>
      <c r="AN6733" t="s">
        <v>7439</v>
      </c>
      <c r="AO6733">
        <v>23400</v>
      </c>
      <c r="AU6733">
        <v>1.5</v>
      </c>
      <c r="AV6733" t="s">
        <v>781</v>
      </c>
      <c r="AW6733" t="s">
        <v>263</v>
      </c>
    </row>
    <row r="6734" spans="1:50">
      <c r="A6734" s="1">
        <f>HYPERLINK("https://lsnyc.legalserver.org/matter/dynamic-profile/view/1895182","19-1895182")</f>
        <v>0</v>
      </c>
      <c r="B6734" t="s">
        <v>198</v>
      </c>
      <c r="C6734" t="s">
        <v>341</v>
      </c>
      <c r="D6734" t="s">
        <v>793</v>
      </c>
      <c r="E6734" t="s">
        <v>795</v>
      </c>
      <c r="F6734" t="s">
        <v>3521</v>
      </c>
      <c r="G6734" t="s">
        <v>8128</v>
      </c>
      <c r="H6734" t="s">
        <v>14481</v>
      </c>
      <c r="I6734" t="s">
        <v>17577</v>
      </c>
      <c r="J6734" t="s">
        <v>18894</v>
      </c>
      <c r="K6734">
        <v>11225</v>
      </c>
      <c r="L6734" t="s">
        <v>18960</v>
      </c>
      <c r="M6734" t="s">
        <v>18960</v>
      </c>
      <c r="P6734" t="s">
        <v>26564</v>
      </c>
      <c r="Q6734" t="s">
        <v>26570</v>
      </c>
      <c r="R6734" t="s">
        <v>26578</v>
      </c>
      <c r="U6734" t="s">
        <v>26604</v>
      </c>
      <c r="W6734" t="s">
        <v>793</v>
      </c>
      <c r="X6734">
        <v>0</v>
      </c>
      <c r="Y6734" t="s">
        <v>26652</v>
      </c>
      <c r="AA6734" t="s">
        <v>26683</v>
      </c>
      <c r="AB6734" t="s">
        <v>27506</v>
      </c>
      <c r="AD6734" t="s">
        <v>42181</v>
      </c>
      <c r="AE6734">
        <v>0</v>
      </c>
      <c r="AH6734">
        <v>0</v>
      </c>
      <c r="AI6734">
        <v>2</v>
      </c>
      <c r="AJ6734">
        <v>0</v>
      </c>
      <c r="AK6734">
        <v>218.81</v>
      </c>
      <c r="AN6734" t="s">
        <v>7439</v>
      </c>
      <c r="AO6734">
        <v>37000</v>
      </c>
      <c r="AU6734">
        <v>1.4</v>
      </c>
      <c r="AV6734" t="s">
        <v>795</v>
      </c>
      <c r="AW6734" t="s">
        <v>198</v>
      </c>
    </row>
    <row r="6735" spans="1:50">
      <c r="A6735" s="1">
        <f>HYPERLINK("https://lsnyc.legalserver.org/matter/dynamic-profile/view/1895901","19-1895901")</f>
        <v>0</v>
      </c>
      <c r="B6735" t="s">
        <v>183</v>
      </c>
      <c r="C6735" t="s">
        <v>340</v>
      </c>
      <c r="D6735" t="s">
        <v>793</v>
      </c>
      <c r="F6735" t="s">
        <v>974</v>
      </c>
      <c r="G6735" t="s">
        <v>1495</v>
      </c>
      <c r="H6735" t="s">
        <v>14482</v>
      </c>
      <c r="I6735" t="s">
        <v>17520</v>
      </c>
      <c r="J6735" t="s">
        <v>18893</v>
      </c>
      <c r="K6735">
        <v>10026</v>
      </c>
      <c r="L6735" t="s">
        <v>18958</v>
      </c>
      <c r="M6735" t="s">
        <v>18958</v>
      </c>
      <c r="N6735" t="s">
        <v>23928</v>
      </c>
      <c r="O6735" t="s">
        <v>26523</v>
      </c>
      <c r="P6735" t="s">
        <v>26560</v>
      </c>
      <c r="R6735" t="s">
        <v>26580</v>
      </c>
      <c r="S6735" t="s">
        <v>18959</v>
      </c>
      <c r="U6735" t="s">
        <v>26604</v>
      </c>
      <c r="W6735" t="s">
        <v>793</v>
      </c>
      <c r="X6735">
        <v>889</v>
      </c>
      <c r="Y6735" t="s">
        <v>26651</v>
      </c>
      <c r="Z6735" t="s">
        <v>26668</v>
      </c>
      <c r="AB6735" t="s">
        <v>31893</v>
      </c>
      <c r="AD6735" t="s">
        <v>42182</v>
      </c>
      <c r="AE6735">
        <v>0</v>
      </c>
      <c r="AF6735" t="s">
        <v>45548</v>
      </c>
      <c r="AG6735" t="s">
        <v>45559</v>
      </c>
      <c r="AH6735">
        <v>65</v>
      </c>
      <c r="AI6735">
        <v>1</v>
      </c>
      <c r="AJ6735">
        <v>0</v>
      </c>
      <c r="AK6735">
        <v>68.5</v>
      </c>
      <c r="AN6735" t="s">
        <v>7439</v>
      </c>
      <c r="AO6735">
        <v>8556</v>
      </c>
      <c r="AU6735">
        <v>21.2</v>
      </c>
      <c r="AV6735" t="s">
        <v>836</v>
      </c>
      <c r="AW6735" t="s">
        <v>314</v>
      </c>
    </row>
    <row r="6736" spans="1:50">
      <c r="A6736" s="1">
        <f>HYPERLINK("https://lsnyc.legalserver.org/matter/dynamic-profile/view/1893767","19-1893767")</f>
        <v>0</v>
      </c>
      <c r="B6736" t="s">
        <v>278</v>
      </c>
      <c r="C6736" t="s">
        <v>340</v>
      </c>
      <c r="D6736" t="s">
        <v>793</v>
      </c>
      <c r="F6736" t="s">
        <v>3780</v>
      </c>
      <c r="G6736" t="s">
        <v>4964</v>
      </c>
      <c r="H6736" t="s">
        <v>11579</v>
      </c>
      <c r="I6736" t="s">
        <v>17348</v>
      </c>
      <c r="J6736" t="s">
        <v>18902</v>
      </c>
      <c r="K6736">
        <v>10304</v>
      </c>
      <c r="L6736" t="s">
        <v>18958</v>
      </c>
      <c r="M6736" t="s">
        <v>18958</v>
      </c>
      <c r="N6736" t="s">
        <v>23929</v>
      </c>
      <c r="O6736" t="s">
        <v>26523</v>
      </c>
      <c r="P6736" t="s">
        <v>26560</v>
      </c>
      <c r="R6736" t="s">
        <v>26578</v>
      </c>
      <c r="S6736" t="s">
        <v>18959</v>
      </c>
      <c r="U6736" t="s">
        <v>26606</v>
      </c>
      <c r="V6736" t="s">
        <v>26610</v>
      </c>
      <c r="W6736" t="s">
        <v>793</v>
      </c>
      <c r="X6736">
        <v>1448</v>
      </c>
      <c r="Y6736" t="s">
        <v>26654</v>
      </c>
      <c r="Z6736" t="s">
        <v>26666</v>
      </c>
      <c r="AB6736" t="s">
        <v>31894</v>
      </c>
      <c r="AD6736" t="s">
        <v>42183</v>
      </c>
      <c r="AE6736">
        <v>99</v>
      </c>
      <c r="AF6736" t="s">
        <v>45543</v>
      </c>
      <c r="AG6736" t="s">
        <v>19330</v>
      </c>
      <c r="AH6736">
        <v>11</v>
      </c>
      <c r="AI6736">
        <v>2</v>
      </c>
      <c r="AJ6736">
        <v>1</v>
      </c>
      <c r="AK6736">
        <v>0</v>
      </c>
      <c r="AN6736" t="s">
        <v>7439</v>
      </c>
      <c r="AO6736">
        <v>0</v>
      </c>
      <c r="AU6736">
        <v>28.6</v>
      </c>
      <c r="AV6736" t="s">
        <v>832</v>
      </c>
      <c r="AW6736" t="s">
        <v>46883</v>
      </c>
      <c r="AX6736" t="s">
        <v>46897</v>
      </c>
    </row>
    <row r="6737" spans="1:50">
      <c r="A6737" s="1">
        <f>HYPERLINK("https://lsnyc.legalserver.org/matter/dynamic-profile/view/1895526","19-1895526")</f>
        <v>0</v>
      </c>
      <c r="B6737" t="s">
        <v>169</v>
      </c>
      <c r="C6737" t="s">
        <v>340</v>
      </c>
      <c r="D6737" t="s">
        <v>793</v>
      </c>
      <c r="F6737" t="s">
        <v>3015</v>
      </c>
      <c r="G6737" t="s">
        <v>8129</v>
      </c>
      <c r="H6737" t="s">
        <v>9636</v>
      </c>
      <c r="I6737" t="s">
        <v>17436</v>
      </c>
      <c r="J6737" t="s">
        <v>18892</v>
      </c>
      <c r="K6737">
        <v>10452</v>
      </c>
      <c r="L6737" t="s">
        <v>18958</v>
      </c>
      <c r="M6737" t="s">
        <v>18958</v>
      </c>
      <c r="N6737" t="s">
        <v>23930</v>
      </c>
      <c r="O6737" t="s">
        <v>26524</v>
      </c>
      <c r="P6737" t="s">
        <v>26562</v>
      </c>
      <c r="R6737" t="s">
        <v>26578</v>
      </c>
      <c r="S6737" t="s">
        <v>18959</v>
      </c>
      <c r="U6737" t="s">
        <v>26604</v>
      </c>
      <c r="V6737" t="s">
        <v>26611</v>
      </c>
      <c r="W6737" t="s">
        <v>793</v>
      </c>
      <c r="X6737">
        <v>1477</v>
      </c>
      <c r="Y6737" t="s">
        <v>26650</v>
      </c>
      <c r="Z6737" t="s">
        <v>26663</v>
      </c>
      <c r="AB6737" t="s">
        <v>31895</v>
      </c>
      <c r="AC6737" t="s">
        <v>36232</v>
      </c>
      <c r="AD6737" t="s">
        <v>42184</v>
      </c>
      <c r="AE6737">
        <v>82</v>
      </c>
      <c r="AF6737" t="s">
        <v>45541</v>
      </c>
      <c r="AG6737" t="s">
        <v>45556</v>
      </c>
      <c r="AH6737">
        <v>10</v>
      </c>
      <c r="AI6737">
        <v>1</v>
      </c>
      <c r="AJ6737">
        <v>0</v>
      </c>
      <c r="AK6737">
        <v>66.2</v>
      </c>
      <c r="AN6737" t="s">
        <v>7439</v>
      </c>
      <c r="AO6737">
        <v>8268</v>
      </c>
      <c r="AP6737" t="s">
        <v>46025</v>
      </c>
      <c r="AU6737">
        <v>21.85</v>
      </c>
      <c r="AV6737" t="s">
        <v>835</v>
      </c>
      <c r="AW6737" t="s">
        <v>169</v>
      </c>
      <c r="AX6737" t="s">
        <v>46898</v>
      </c>
    </row>
    <row r="6738" spans="1:50">
      <c r="A6738" s="1">
        <f>HYPERLINK("https://lsnyc.legalserver.org/matter/dynamic-profile/view/1895216","19-1895216")</f>
        <v>0</v>
      </c>
      <c r="B6738" t="s">
        <v>99</v>
      </c>
      <c r="C6738" t="s">
        <v>340</v>
      </c>
      <c r="D6738" t="s">
        <v>793</v>
      </c>
      <c r="F6738" t="s">
        <v>975</v>
      </c>
      <c r="G6738" t="s">
        <v>5162</v>
      </c>
      <c r="H6738" t="s">
        <v>9739</v>
      </c>
      <c r="I6738" t="s">
        <v>17338</v>
      </c>
      <c r="J6738" t="s">
        <v>18894</v>
      </c>
      <c r="K6738">
        <v>11225</v>
      </c>
      <c r="L6738" t="s">
        <v>18958</v>
      </c>
      <c r="M6738" t="s">
        <v>18958</v>
      </c>
      <c r="N6738" t="s">
        <v>23931</v>
      </c>
      <c r="O6738" t="s">
        <v>26523</v>
      </c>
      <c r="P6738" t="s">
        <v>26560</v>
      </c>
      <c r="R6738" t="s">
        <v>26588</v>
      </c>
      <c r="S6738" t="s">
        <v>18959</v>
      </c>
      <c r="U6738" t="s">
        <v>26604</v>
      </c>
      <c r="V6738" t="s">
        <v>26610</v>
      </c>
      <c r="W6738" t="s">
        <v>793</v>
      </c>
      <c r="X6738">
        <v>1863.91</v>
      </c>
      <c r="Y6738" t="s">
        <v>26652</v>
      </c>
      <c r="Z6738" t="s">
        <v>26659</v>
      </c>
      <c r="AB6738" t="s">
        <v>26815</v>
      </c>
      <c r="AC6738" t="s">
        <v>19330</v>
      </c>
      <c r="AD6738" t="s">
        <v>36919</v>
      </c>
      <c r="AE6738">
        <v>57</v>
      </c>
      <c r="AF6738" t="s">
        <v>45541</v>
      </c>
      <c r="AG6738" t="s">
        <v>19330</v>
      </c>
      <c r="AH6738">
        <v>9</v>
      </c>
      <c r="AI6738">
        <v>1</v>
      </c>
      <c r="AJ6738">
        <v>0</v>
      </c>
      <c r="AK6738">
        <v>160.13</v>
      </c>
      <c r="AN6738" t="s">
        <v>7439</v>
      </c>
      <c r="AO6738">
        <v>20000</v>
      </c>
      <c r="AU6738">
        <v>14.3</v>
      </c>
      <c r="AV6738" t="s">
        <v>836</v>
      </c>
      <c r="AW6738" t="s">
        <v>99</v>
      </c>
    </row>
    <row r="6739" spans="1:50">
      <c r="A6739" s="1">
        <f>HYPERLINK("https://lsnyc.legalserver.org/matter/dynamic-profile/view/1895191","19-1895191")</f>
        <v>0</v>
      </c>
      <c r="B6739" t="s">
        <v>211</v>
      </c>
      <c r="C6739" t="s">
        <v>340</v>
      </c>
      <c r="D6739" t="s">
        <v>793</v>
      </c>
      <c r="F6739" t="s">
        <v>2772</v>
      </c>
      <c r="G6739" t="s">
        <v>1263</v>
      </c>
      <c r="H6739" t="s">
        <v>12593</v>
      </c>
      <c r="I6739" t="s">
        <v>17362</v>
      </c>
      <c r="J6739" t="s">
        <v>18894</v>
      </c>
      <c r="K6739">
        <v>11212</v>
      </c>
      <c r="L6739" t="s">
        <v>18958</v>
      </c>
      <c r="M6739" t="s">
        <v>18958</v>
      </c>
      <c r="O6739" t="s">
        <v>26531</v>
      </c>
      <c r="P6739" t="s">
        <v>26565</v>
      </c>
      <c r="R6739" t="s">
        <v>26578</v>
      </c>
      <c r="S6739" t="s">
        <v>18958</v>
      </c>
      <c r="U6739" t="s">
        <v>26604</v>
      </c>
      <c r="W6739" t="s">
        <v>793</v>
      </c>
      <c r="X6739">
        <v>0</v>
      </c>
      <c r="Y6739" t="s">
        <v>26652</v>
      </c>
      <c r="AB6739" t="s">
        <v>29860</v>
      </c>
      <c r="AD6739" t="s">
        <v>39981</v>
      </c>
      <c r="AE6739">
        <v>0</v>
      </c>
      <c r="AH6739">
        <v>0</v>
      </c>
      <c r="AI6739">
        <v>1</v>
      </c>
      <c r="AJ6739">
        <v>0</v>
      </c>
      <c r="AK6739">
        <v>78.11</v>
      </c>
      <c r="AN6739" t="s">
        <v>7439</v>
      </c>
      <c r="AO6739">
        <v>9756</v>
      </c>
      <c r="AU6739">
        <v>14.2</v>
      </c>
      <c r="AV6739" t="s">
        <v>805</v>
      </c>
      <c r="AW6739" t="s">
        <v>211</v>
      </c>
    </row>
    <row r="6740" spans="1:50">
      <c r="A6740" s="1">
        <f>HYPERLINK("https://lsnyc.legalserver.org/matter/dynamic-profile/view/1895189","19-1895189")</f>
        <v>0</v>
      </c>
      <c r="B6740" t="s">
        <v>138</v>
      </c>
      <c r="C6740" t="s">
        <v>340</v>
      </c>
      <c r="D6740" t="s">
        <v>793</v>
      </c>
      <c r="F6740" t="s">
        <v>873</v>
      </c>
      <c r="G6740" t="s">
        <v>8130</v>
      </c>
      <c r="H6740" t="s">
        <v>14483</v>
      </c>
      <c r="I6740" t="s">
        <v>17378</v>
      </c>
      <c r="J6740" t="s">
        <v>18893</v>
      </c>
      <c r="K6740">
        <v>10028</v>
      </c>
      <c r="L6740" t="s">
        <v>18958</v>
      </c>
      <c r="M6740" t="s">
        <v>18958</v>
      </c>
      <c r="N6740" t="s">
        <v>23932</v>
      </c>
      <c r="O6740" t="s">
        <v>26523</v>
      </c>
      <c r="P6740" t="s">
        <v>26563</v>
      </c>
      <c r="R6740" t="s">
        <v>26578</v>
      </c>
      <c r="S6740" t="s">
        <v>18959</v>
      </c>
      <c r="U6740" t="s">
        <v>26604</v>
      </c>
      <c r="V6740" t="s">
        <v>26610</v>
      </c>
      <c r="W6740" t="s">
        <v>793</v>
      </c>
      <c r="X6740">
        <v>1849.37</v>
      </c>
      <c r="Y6740" t="s">
        <v>26651</v>
      </c>
      <c r="Z6740" t="s">
        <v>26664</v>
      </c>
      <c r="AB6740" t="s">
        <v>31896</v>
      </c>
      <c r="AD6740" t="s">
        <v>42185</v>
      </c>
      <c r="AE6740">
        <v>60</v>
      </c>
      <c r="AF6740" t="s">
        <v>45548</v>
      </c>
      <c r="AG6740" t="s">
        <v>45559</v>
      </c>
      <c r="AH6740">
        <v>50</v>
      </c>
      <c r="AI6740">
        <v>2</v>
      </c>
      <c r="AJ6740">
        <v>0</v>
      </c>
      <c r="AK6740">
        <v>100.13</v>
      </c>
      <c r="AN6740" t="s">
        <v>7439</v>
      </c>
      <c r="AO6740">
        <v>16932</v>
      </c>
      <c r="AU6740">
        <v>16.1</v>
      </c>
      <c r="AV6740" t="s">
        <v>828</v>
      </c>
      <c r="AW6740" t="s">
        <v>46835</v>
      </c>
    </row>
    <row r="6741" spans="1:50">
      <c r="A6741" s="1">
        <f>HYPERLINK("https://lsnyc.legalserver.org/matter/dynamic-profile/view/1895187","19-1895187")</f>
        <v>0</v>
      </c>
      <c r="B6741" t="s">
        <v>108</v>
      </c>
      <c r="C6741" t="s">
        <v>340</v>
      </c>
      <c r="D6741" t="s">
        <v>793</v>
      </c>
      <c r="F6741" t="s">
        <v>2891</v>
      </c>
      <c r="G6741" t="s">
        <v>7147</v>
      </c>
      <c r="H6741" t="s">
        <v>14484</v>
      </c>
      <c r="I6741" t="s">
        <v>17370</v>
      </c>
      <c r="J6741" t="s">
        <v>18901</v>
      </c>
      <c r="K6741">
        <v>11434</v>
      </c>
      <c r="L6741" t="s">
        <v>18959</v>
      </c>
      <c r="M6741" t="s">
        <v>18958</v>
      </c>
      <c r="N6741" t="s">
        <v>23933</v>
      </c>
      <c r="O6741" t="s">
        <v>26523</v>
      </c>
      <c r="P6741" t="s">
        <v>26560</v>
      </c>
      <c r="R6741" t="s">
        <v>26585</v>
      </c>
      <c r="S6741" t="s">
        <v>18959</v>
      </c>
      <c r="U6741" t="s">
        <v>26604</v>
      </c>
      <c r="V6741" t="s">
        <v>26610</v>
      </c>
      <c r="W6741" t="s">
        <v>793</v>
      </c>
      <c r="X6741">
        <v>1057.1</v>
      </c>
      <c r="Y6741" t="s">
        <v>26653</v>
      </c>
      <c r="Z6741" t="s">
        <v>26530</v>
      </c>
      <c r="AB6741" t="s">
        <v>30066</v>
      </c>
      <c r="AD6741" t="s">
        <v>40196</v>
      </c>
      <c r="AE6741">
        <v>104</v>
      </c>
      <c r="AF6741" t="s">
        <v>45550</v>
      </c>
      <c r="AG6741" t="s">
        <v>19330</v>
      </c>
      <c r="AH6741">
        <v>16</v>
      </c>
      <c r="AI6741">
        <v>1</v>
      </c>
      <c r="AJ6741">
        <v>2</v>
      </c>
      <c r="AK6741">
        <v>85.33</v>
      </c>
      <c r="AN6741" t="s">
        <v>7439</v>
      </c>
      <c r="AO6741">
        <v>18200</v>
      </c>
      <c r="AU6741">
        <v>13.1</v>
      </c>
      <c r="AV6741" t="s">
        <v>773</v>
      </c>
      <c r="AW6741" t="s">
        <v>258</v>
      </c>
    </row>
    <row r="6742" spans="1:50">
      <c r="A6742" s="1">
        <f>HYPERLINK("https://lsnyc.legalserver.org/matter/dynamic-profile/view/1895229","19-1895229")</f>
        <v>0</v>
      </c>
      <c r="B6742" t="s">
        <v>258</v>
      </c>
      <c r="C6742" t="s">
        <v>340</v>
      </c>
      <c r="D6742" t="s">
        <v>793</v>
      </c>
      <c r="F6742" t="s">
        <v>899</v>
      </c>
      <c r="G6742" t="s">
        <v>5308</v>
      </c>
      <c r="H6742" t="s">
        <v>14101</v>
      </c>
      <c r="J6742" t="s">
        <v>18904</v>
      </c>
      <c r="K6742">
        <v>11421</v>
      </c>
      <c r="L6742" t="s">
        <v>18958</v>
      </c>
      <c r="M6742" t="s">
        <v>18958</v>
      </c>
      <c r="N6742" t="s">
        <v>23934</v>
      </c>
      <c r="O6742" t="s">
        <v>26523</v>
      </c>
      <c r="P6742" t="s">
        <v>26560</v>
      </c>
      <c r="R6742" t="s">
        <v>26578</v>
      </c>
      <c r="S6742" t="s">
        <v>18959</v>
      </c>
      <c r="U6742" t="s">
        <v>26604</v>
      </c>
      <c r="V6742" t="s">
        <v>26610</v>
      </c>
      <c r="W6742" t="s">
        <v>793</v>
      </c>
      <c r="X6742">
        <v>1600</v>
      </c>
      <c r="Y6742" t="s">
        <v>26653</v>
      </c>
      <c r="Z6742" t="s">
        <v>26664</v>
      </c>
      <c r="AB6742" t="s">
        <v>28524</v>
      </c>
      <c r="AC6742" t="s">
        <v>36233</v>
      </c>
      <c r="AD6742" t="s">
        <v>42186</v>
      </c>
      <c r="AE6742">
        <v>2</v>
      </c>
      <c r="AF6742" t="s">
        <v>45547</v>
      </c>
      <c r="AG6742" t="s">
        <v>19330</v>
      </c>
      <c r="AH6742">
        <v>1</v>
      </c>
      <c r="AI6742">
        <v>2</v>
      </c>
      <c r="AJ6742">
        <v>1</v>
      </c>
      <c r="AK6742">
        <v>46.88</v>
      </c>
      <c r="AN6742" t="s">
        <v>7439</v>
      </c>
      <c r="AO6742">
        <v>10000</v>
      </c>
      <c r="AQ6742" t="s">
        <v>46359</v>
      </c>
      <c r="AR6742" t="s">
        <v>46420</v>
      </c>
      <c r="AS6742" t="s">
        <v>46500</v>
      </c>
      <c r="AT6742" t="s">
        <v>46745</v>
      </c>
      <c r="AU6742">
        <v>23.6</v>
      </c>
      <c r="AV6742" t="s">
        <v>813</v>
      </c>
      <c r="AW6742" t="s">
        <v>46884</v>
      </c>
      <c r="AX6742" t="s">
        <v>46898</v>
      </c>
    </row>
    <row r="6743" spans="1:50">
      <c r="A6743" s="1">
        <f>HYPERLINK("https://lsnyc.legalserver.org/matter/dynamic-profile/view/1895147","19-1895147")</f>
        <v>0</v>
      </c>
      <c r="B6743" t="s">
        <v>121</v>
      </c>
      <c r="C6743" t="s">
        <v>340</v>
      </c>
      <c r="D6743" t="s">
        <v>793</v>
      </c>
      <c r="F6743" t="s">
        <v>3781</v>
      </c>
      <c r="G6743" t="s">
        <v>8131</v>
      </c>
      <c r="H6743" t="s">
        <v>14485</v>
      </c>
      <c r="I6743" t="s">
        <v>17538</v>
      </c>
      <c r="J6743" t="s">
        <v>18892</v>
      </c>
      <c r="K6743">
        <v>10459</v>
      </c>
      <c r="L6743" t="s">
        <v>18958</v>
      </c>
      <c r="M6743" t="s">
        <v>18958</v>
      </c>
      <c r="N6743" t="s">
        <v>23935</v>
      </c>
      <c r="O6743" t="s">
        <v>26523</v>
      </c>
      <c r="P6743" t="s">
        <v>26560</v>
      </c>
      <c r="R6743" t="s">
        <v>26577</v>
      </c>
      <c r="U6743" t="s">
        <v>26604</v>
      </c>
      <c r="V6743" t="s">
        <v>26610</v>
      </c>
      <c r="W6743" t="s">
        <v>793</v>
      </c>
      <c r="X6743">
        <v>1300</v>
      </c>
      <c r="Y6743" t="s">
        <v>26650</v>
      </c>
      <c r="Z6743" t="s">
        <v>26668</v>
      </c>
      <c r="AB6743" t="s">
        <v>31897</v>
      </c>
      <c r="AE6743">
        <v>0</v>
      </c>
      <c r="AF6743" t="s">
        <v>45541</v>
      </c>
      <c r="AG6743" t="s">
        <v>19330</v>
      </c>
      <c r="AH6743">
        <v>5</v>
      </c>
      <c r="AI6743">
        <v>4</v>
      </c>
      <c r="AJ6743">
        <v>2</v>
      </c>
      <c r="AK6743">
        <v>52.62</v>
      </c>
      <c r="AO6743">
        <v>18200</v>
      </c>
      <c r="AU6743">
        <v>16.7</v>
      </c>
      <c r="AV6743" t="s">
        <v>819</v>
      </c>
      <c r="AW6743" t="s">
        <v>334</v>
      </c>
      <c r="AX6743" t="s">
        <v>46897</v>
      </c>
    </row>
    <row r="6744" spans="1:50">
      <c r="A6744" s="1">
        <f>HYPERLINK("https://lsnyc.legalserver.org/matter/dynamic-profile/view/1894846","19-1894846")</f>
        <v>0</v>
      </c>
      <c r="B6744" t="s">
        <v>103</v>
      </c>
      <c r="C6744" t="s">
        <v>340</v>
      </c>
      <c r="D6744" t="s">
        <v>793</v>
      </c>
      <c r="F6744" t="s">
        <v>1646</v>
      </c>
      <c r="G6744" t="s">
        <v>8132</v>
      </c>
      <c r="H6744" t="s">
        <v>14486</v>
      </c>
      <c r="I6744" t="s">
        <v>17416</v>
      </c>
      <c r="J6744" t="s">
        <v>18902</v>
      </c>
      <c r="K6744">
        <v>10312</v>
      </c>
      <c r="L6744" t="s">
        <v>18958</v>
      </c>
      <c r="M6744" t="s">
        <v>18958</v>
      </c>
      <c r="N6744" t="s">
        <v>23936</v>
      </c>
      <c r="O6744" t="s">
        <v>26524</v>
      </c>
      <c r="P6744" t="s">
        <v>26560</v>
      </c>
      <c r="R6744" t="s">
        <v>26578</v>
      </c>
      <c r="S6744" t="s">
        <v>18959</v>
      </c>
      <c r="U6744" t="s">
        <v>26604</v>
      </c>
      <c r="V6744" t="s">
        <v>26610</v>
      </c>
      <c r="W6744" t="s">
        <v>793</v>
      </c>
      <c r="X6744">
        <v>1975</v>
      </c>
      <c r="Y6744" t="s">
        <v>26654</v>
      </c>
      <c r="Z6744" t="s">
        <v>26661</v>
      </c>
      <c r="AB6744" t="s">
        <v>31898</v>
      </c>
      <c r="AD6744" t="s">
        <v>42187</v>
      </c>
      <c r="AE6744">
        <v>2</v>
      </c>
      <c r="AF6744" t="s">
        <v>45547</v>
      </c>
      <c r="AG6744" t="s">
        <v>45557</v>
      </c>
      <c r="AH6744">
        <v>1</v>
      </c>
      <c r="AI6744">
        <v>2</v>
      </c>
      <c r="AJ6744">
        <v>3</v>
      </c>
      <c r="AK6744">
        <v>0</v>
      </c>
      <c r="AN6744" t="s">
        <v>7439</v>
      </c>
      <c r="AO6744">
        <v>0</v>
      </c>
      <c r="AQ6744" t="s">
        <v>46362</v>
      </c>
      <c r="AR6744" t="s">
        <v>46415</v>
      </c>
      <c r="AS6744" t="s">
        <v>46499</v>
      </c>
      <c r="AT6744" t="s">
        <v>46755</v>
      </c>
      <c r="AU6744">
        <v>11.65</v>
      </c>
      <c r="AV6744" t="s">
        <v>821</v>
      </c>
      <c r="AW6744" t="s">
        <v>46883</v>
      </c>
      <c r="AX6744" t="s">
        <v>46897</v>
      </c>
    </row>
    <row r="6745" spans="1:50">
      <c r="A6745" s="1">
        <f>HYPERLINK("https://lsnyc.legalserver.org/matter/dynamic-profile/view/1893916","19-1893916")</f>
        <v>0</v>
      </c>
      <c r="B6745" t="s">
        <v>103</v>
      </c>
      <c r="C6745" t="s">
        <v>340</v>
      </c>
      <c r="D6745" t="s">
        <v>793</v>
      </c>
      <c r="F6745" t="s">
        <v>3782</v>
      </c>
      <c r="G6745" t="s">
        <v>3283</v>
      </c>
      <c r="H6745" t="s">
        <v>9911</v>
      </c>
      <c r="I6745" t="s">
        <v>17436</v>
      </c>
      <c r="J6745" t="s">
        <v>18902</v>
      </c>
      <c r="K6745">
        <v>10304</v>
      </c>
      <c r="L6745" t="s">
        <v>18958</v>
      </c>
      <c r="M6745" t="s">
        <v>18958</v>
      </c>
      <c r="N6745" t="s">
        <v>23937</v>
      </c>
      <c r="O6745" t="s">
        <v>26523</v>
      </c>
      <c r="P6745" t="s">
        <v>26560</v>
      </c>
      <c r="R6745" t="s">
        <v>26578</v>
      </c>
      <c r="S6745" t="s">
        <v>18959</v>
      </c>
      <c r="U6745" t="s">
        <v>26606</v>
      </c>
      <c r="V6745" t="s">
        <v>26610</v>
      </c>
      <c r="W6745" t="s">
        <v>793</v>
      </c>
      <c r="X6745">
        <v>362</v>
      </c>
      <c r="Y6745" t="s">
        <v>26654</v>
      </c>
      <c r="Z6745" t="s">
        <v>26657</v>
      </c>
      <c r="AB6745" t="s">
        <v>31899</v>
      </c>
      <c r="AD6745" t="s">
        <v>42188</v>
      </c>
      <c r="AE6745">
        <v>150</v>
      </c>
      <c r="AF6745" t="s">
        <v>45543</v>
      </c>
      <c r="AG6745" t="s">
        <v>45556</v>
      </c>
      <c r="AH6745">
        <v>20</v>
      </c>
      <c r="AI6745">
        <v>1</v>
      </c>
      <c r="AJ6745">
        <v>2</v>
      </c>
      <c r="AK6745">
        <v>73.14</v>
      </c>
      <c r="AN6745" t="s">
        <v>7439</v>
      </c>
      <c r="AO6745">
        <v>15600</v>
      </c>
      <c r="AU6745">
        <v>12.25</v>
      </c>
      <c r="AV6745" t="s">
        <v>836</v>
      </c>
      <c r="AW6745" t="s">
        <v>210</v>
      </c>
    </row>
    <row r="6746" spans="1:50">
      <c r="A6746" s="1">
        <f>HYPERLINK("https://lsnyc.legalserver.org/matter/dynamic-profile/view/1895196","19-1895196")</f>
        <v>0</v>
      </c>
      <c r="B6746" t="s">
        <v>198</v>
      </c>
      <c r="C6746" t="s">
        <v>340</v>
      </c>
      <c r="D6746" t="s">
        <v>793</v>
      </c>
      <c r="F6746" t="s">
        <v>979</v>
      </c>
      <c r="G6746" t="s">
        <v>6775</v>
      </c>
      <c r="H6746" t="s">
        <v>14487</v>
      </c>
      <c r="I6746" t="s">
        <v>17623</v>
      </c>
      <c r="J6746" t="s">
        <v>18894</v>
      </c>
      <c r="K6746">
        <v>11231</v>
      </c>
      <c r="L6746" t="s">
        <v>18958</v>
      </c>
      <c r="M6746" t="s">
        <v>18958</v>
      </c>
      <c r="O6746" t="s">
        <v>26524</v>
      </c>
      <c r="P6746" t="s">
        <v>26564</v>
      </c>
      <c r="R6746" t="s">
        <v>26578</v>
      </c>
      <c r="U6746" t="s">
        <v>26604</v>
      </c>
      <c r="W6746" t="s">
        <v>793</v>
      </c>
      <c r="X6746">
        <v>1150</v>
      </c>
      <c r="Y6746" t="s">
        <v>26652</v>
      </c>
      <c r="AB6746" t="s">
        <v>31900</v>
      </c>
      <c r="AD6746" t="s">
        <v>42189</v>
      </c>
      <c r="AE6746">
        <v>0</v>
      </c>
      <c r="AF6746" t="s">
        <v>45547</v>
      </c>
      <c r="AG6746" t="s">
        <v>45556</v>
      </c>
      <c r="AH6746">
        <v>3</v>
      </c>
      <c r="AI6746">
        <v>3</v>
      </c>
      <c r="AJ6746">
        <v>0</v>
      </c>
      <c r="AK6746">
        <v>131.27</v>
      </c>
      <c r="AN6746" t="s">
        <v>7439</v>
      </c>
      <c r="AO6746">
        <v>28000</v>
      </c>
      <c r="AU6746">
        <v>1.2</v>
      </c>
      <c r="AV6746" t="s">
        <v>720</v>
      </c>
      <c r="AW6746" t="s">
        <v>198</v>
      </c>
    </row>
    <row r="6747" spans="1:50">
      <c r="A6747" s="1">
        <f>HYPERLINK("https://lsnyc.legalserver.org/matter/dynamic-profile/view/1895238","19-1895238")</f>
        <v>0</v>
      </c>
      <c r="B6747" t="s">
        <v>235</v>
      </c>
      <c r="C6747" t="s">
        <v>340</v>
      </c>
      <c r="D6747" t="s">
        <v>793</v>
      </c>
      <c r="F6747" t="s">
        <v>3783</v>
      </c>
      <c r="G6747" t="s">
        <v>8133</v>
      </c>
      <c r="H6747" t="s">
        <v>14488</v>
      </c>
      <c r="I6747" t="s">
        <v>18391</v>
      </c>
      <c r="J6747" t="s">
        <v>18904</v>
      </c>
      <c r="K6747">
        <v>11421</v>
      </c>
      <c r="L6747" t="s">
        <v>18958</v>
      </c>
      <c r="M6747" t="s">
        <v>18958</v>
      </c>
      <c r="N6747" t="s">
        <v>23938</v>
      </c>
      <c r="O6747" t="s">
        <v>26524</v>
      </c>
      <c r="P6747" t="s">
        <v>26565</v>
      </c>
      <c r="R6747" t="s">
        <v>26584</v>
      </c>
      <c r="S6747" t="s">
        <v>18959</v>
      </c>
      <c r="U6747" t="s">
        <v>26604</v>
      </c>
      <c r="W6747" t="s">
        <v>793</v>
      </c>
      <c r="X6747">
        <v>800</v>
      </c>
      <c r="Y6747" t="s">
        <v>26653</v>
      </c>
      <c r="Z6747" t="s">
        <v>26664</v>
      </c>
      <c r="AB6747" t="s">
        <v>27638</v>
      </c>
      <c r="AD6747" t="s">
        <v>42190</v>
      </c>
      <c r="AE6747">
        <v>0</v>
      </c>
      <c r="AH6747">
        <v>1</v>
      </c>
      <c r="AI6747">
        <v>1</v>
      </c>
      <c r="AJ6747">
        <v>2</v>
      </c>
      <c r="AK6747">
        <v>84.39</v>
      </c>
      <c r="AN6747" t="s">
        <v>45581</v>
      </c>
      <c r="AO6747">
        <v>18000</v>
      </c>
      <c r="AU6747">
        <v>1</v>
      </c>
      <c r="AV6747" t="s">
        <v>779</v>
      </c>
      <c r="AW6747" t="s">
        <v>46884</v>
      </c>
    </row>
    <row r="6748" spans="1:50">
      <c r="A6748" s="1">
        <f>HYPERLINK("https://lsnyc.legalserver.org/matter/dynamic-profile/view/1895165","19-1895165")</f>
        <v>0</v>
      </c>
      <c r="B6748" t="s">
        <v>221</v>
      </c>
      <c r="C6748" t="s">
        <v>340</v>
      </c>
      <c r="D6748" t="s">
        <v>793</v>
      </c>
      <c r="F6748" t="s">
        <v>3784</v>
      </c>
      <c r="G6748" t="s">
        <v>8134</v>
      </c>
      <c r="H6748" t="s">
        <v>14489</v>
      </c>
      <c r="I6748" t="s">
        <v>18392</v>
      </c>
      <c r="J6748" t="s">
        <v>18912</v>
      </c>
      <c r="K6748">
        <v>11374</v>
      </c>
      <c r="L6748" t="s">
        <v>18958</v>
      </c>
      <c r="M6748" t="s">
        <v>18958</v>
      </c>
      <c r="N6748" t="s">
        <v>23939</v>
      </c>
      <c r="O6748" t="s">
        <v>26523</v>
      </c>
      <c r="P6748" t="s">
        <v>26564</v>
      </c>
      <c r="R6748" t="s">
        <v>26584</v>
      </c>
      <c r="S6748" t="s">
        <v>18959</v>
      </c>
      <c r="U6748" t="s">
        <v>26604</v>
      </c>
      <c r="V6748" t="s">
        <v>26610</v>
      </c>
      <c r="W6748" t="s">
        <v>793</v>
      </c>
      <c r="X6748">
        <v>1200</v>
      </c>
      <c r="Y6748" t="s">
        <v>26653</v>
      </c>
      <c r="Z6748" t="s">
        <v>26664</v>
      </c>
      <c r="AB6748" t="s">
        <v>31901</v>
      </c>
      <c r="AE6748">
        <v>17</v>
      </c>
      <c r="AF6748" t="s">
        <v>45541</v>
      </c>
      <c r="AH6748">
        <v>28</v>
      </c>
      <c r="AI6748">
        <v>1</v>
      </c>
      <c r="AJ6748">
        <v>0</v>
      </c>
      <c r="AK6748">
        <v>0</v>
      </c>
      <c r="AM6748" t="s">
        <v>45575</v>
      </c>
      <c r="AN6748" t="s">
        <v>7439</v>
      </c>
      <c r="AO6748">
        <v>0</v>
      </c>
      <c r="AU6748">
        <v>3.75</v>
      </c>
      <c r="AV6748" t="s">
        <v>831</v>
      </c>
      <c r="AW6748" t="s">
        <v>221</v>
      </c>
    </row>
    <row r="6749" spans="1:50">
      <c r="A6749" s="1">
        <f>HYPERLINK("https://lsnyc.legalserver.org/matter/dynamic-profile/view/1895286","19-1895286")</f>
        <v>0</v>
      </c>
      <c r="B6749" t="s">
        <v>212</v>
      </c>
      <c r="C6749" t="s">
        <v>340</v>
      </c>
      <c r="D6749" t="s">
        <v>779</v>
      </c>
      <c r="F6749" t="s">
        <v>1021</v>
      </c>
      <c r="G6749" t="s">
        <v>8135</v>
      </c>
      <c r="H6749" t="s">
        <v>14490</v>
      </c>
      <c r="I6749" t="s">
        <v>17626</v>
      </c>
      <c r="J6749" t="s">
        <v>18898</v>
      </c>
      <c r="K6749">
        <v>11691</v>
      </c>
      <c r="L6749" t="s">
        <v>18958</v>
      </c>
      <c r="M6749" t="s">
        <v>18958</v>
      </c>
      <c r="O6749" t="s">
        <v>18997</v>
      </c>
      <c r="P6749" t="s">
        <v>26565</v>
      </c>
      <c r="R6749" t="s">
        <v>26578</v>
      </c>
      <c r="S6749" t="s">
        <v>18959</v>
      </c>
      <c r="U6749" t="s">
        <v>26604</v>
      </c>
      <c r="W6749" t="s">
        <v>793</v>
      </c>
      <c r="X6749">
        <v>1233</v>
      </c>
      <c r="Y6749" t="s">
        <v>26653</v>
      </c>
      <c r="AB6749" t="s">
        <v>31902</v>
      </c>
      <c r="AD6749" t="s">
        <v>42191</v>
      </c>
      <c r="AE6749">
        <v>917</v>
      </c>
      <c r="AF6749" t="s">
        <v>45541</v>
      </c>
      <c r="AG6749" t="s">
        <v>45556</v>
      </c>
      <c r="AH6749">
        <v>10</v>
      </c>
      <c r="AI6749">
        <v>1</v>
      </c>
      <c r="AJ6749">
        <v>0</v>
      </c>
      <c r="AK6749">
        <v>0</v>
      </c>
      <c r="AN6749" t="s">
        <v>7439</v>
      </c>
      <c r="AO6749">
        <v>0</v>
      </c>
      <c r="AU6749">
        <v>1.2</v>
      </c>
      <c r="AV6749" t="s">
        <v>762</v>
      </c>
      <c r="AW6749" t="s">
        <v>212</v>
      </c>
    </row>
    <row r="6750" spans="1:50">
      <c r="A6750" s="1">
        <f>HYPERLINK("https://lsnyc.legalserver.org/matter/dynamic-profile/view/1895282","19-1895282")</f>
        <v>0</v>
      </c>
      <c r="B6750" t="s">
        <v>212</v>
      </c>
      <c r="C6750" t="s">
        <v>340</v>
      </c>
      <c r="D6750" t="s">
        <v>779</v>
      </c>
      <c r="F6750" t="s">
        <v>3785</v>
      </c>
      <c r="G6750" t="s">
        <v>5419</v>
      </c>
      <c r="H6750" t="s">
        <v>14490</v>
      </c>
      <c r="I6750" t="s">
        <v>17342</v>
      </c>
      <c r="J6750" t="s">
        <v>18898</v>
      </c>
      <c r="K6750">
        <v>11691</v>
      </c>
      <c r="L6750" t="s">
        <v>18958</v>
      </c>
      <c r="M6750" t="s">
        <v>18958</v>
      </c>
      <c r="O6750" t="s">
        <v>18997</v>
      </c>
      <c r="P6750" t="s">
        <v>26565</v>
      </c>
      <c r="R6750" t="s">
        <v>26578</v>
      </c>
      <c r="U6750" t="s">
        <v>26604</v>
      </c>
      <c r="W6750" t="s">
        <v>793</v>
      </c>
      <c r="X6750">
        <v>1500</v>
      </c>
      <c r="Y6750" t="s">
        <v>26653</v>
      </c>
      <c r="AB6750" t="s">
        <v>31903</v>
      </c>
      <c r="AE6750">
        <v>917</v>
      </c>
      <c r="AF6750" t="s">
        <v>45541</v>
      </c>
      <c r="AG6750" t="s">
        <v>45556</v>
      </c>
      <c r="AH6750">
        <v>5</v>
      </c>
      <c r="AI6750">
        <v>1</v>
      </c>
      <c r="AJ6750">
        <v>0</v>
      </c>
      <c r="AK6750">
        <v>6.1</v>
      </c>
      <c r="AN6750" t="s">
        <v>7439</v>
      </c>
      <c r="AO6750">
        <v>762</v>
      </c>
      <c r="AU6750">
        <v>0.5</v>
      </c>
      <c r="AV6750" t="s">
        <v>762</v>
      </c>
      <c r="AW6750" t="s">
        <v>212</v>
      </c>
    </row>
    <row r="6751" spans="1:50">
      <c r="A6751" s="1">
        <f>HYPERLINK("https://lsnyc.legalserver.org/matter/dynamic-profile/view/1895261","19-1895261")</f>
        <v>0</v>
      </c>
      <c r="B6751" t="s">
        <v>212</v>
      </c>
      <c r="C6751" t="s">
        <v>340</v>
      </c>
      <c r="D6751" t="s">
        <v>779</v>
      </c>
      <c r="F6751" t="s">
        <v>1107</v>
      </c>
      <c r="G6751" t="s">
        <v>5269</v>
      </c>
      <c r="H6751" t="s">
        <v>14491</v>
      </c>
      <c r="I6751" t="s">
        <v>17288</v>
      </c>
      <c r="J6751" t="s">
        <v>18898</v>
      </c>
      <c r="K6751">
        <v>11691</v>
      </c>
      <c r="L6751" t="s">
        <v>18958</v>
      </c>
      <c r="M6751" t="s">
        <v>18958</v>
      </c>
      <c r="O6751" t="s">
        <v>18997</v>
      </c>
      <c r="P6751" t="s">
        <v>26565</v>
      </c>
      <c r="R6751" t="s">
        <v>26578</v>
      </c>
      <c r="S6751" t="s">
        <v>18959</v>
      </c>
      <c r="U6751" t="s">
        <v>26604</v>
      </c>
      <c r="W6751" t="s">
        <v>793</v>
      </c>
      <c r="X6751">
        <v>1068</v>
      </c>
      <c r="Y6751" t="s">
        <v>26653</v>
      </c>
      <c r="AB6751" t="s">
        <v>31904</v>
      </c>
      <c r="AC6751" t="s">
        <v>36234</v>
      </c>
      <c r="AD6751" t="s">
        <v>42192</v>
      </c>
      <c r="AE6751">
        <v>917</v>
      </c>
      <c r="AF6751" t="s">
        <v>45541</v>
      </c>
      <c r="AG6751" t="s">
        <v>26530</v>
      </c>
      <c r="AH6751">
        <v>5</v>
      </c>
      <c r="AI6751">
        <v>1</v>
      </c>
      <c r="AJ6751">
        <v>0</v>
      </c>
      <c r="AK6751">
        <v>72.15000000000001</v>
      </c>
      <c r="AN6751" t="s">
        <v>7439</v>
      </c>
      <c r="AO6751">
        <v>9012</v>
      </c>
      <c r="AU6751">
        <v>0.75</v>
      </c>
      <c r="AV6751" t="s">
        <v>763</v>
      </c>
      <c r="AW6751" t="s">
        <v>212</v>
      </c>
    </row>
    <row r="6752" spans="1:50">
      <c r="A6752" s="1">
        <f>HYPERLINK("https://lsnyc.legalserver.org/matter/dynamic-profile/view/1895258","19-1895258")</f>
        <v>0</v>
      </c>
      <c r="B6752" t="s">
        <v>212</v>
      </c>
      <c r="C6752" t="s">
        <v>340</v>
      </c>
      <c r="D6752" t="s">
        <v>779</v>
      </c>
      <c r="F6752" t="s">
        <v>2795</v>
      </c>
      <c r="G6752" t="s">
        <v>8136</v>
      </c>
      <c r="H6752" t="s">
        <v>14492</v>
      </c>
      <c r="I6752" t="s">
        <v>17281</v>
      </c>
      <c r="J6752" t="s">
        <v>18898</v>
      </c>
      <c r="K6752">
        <v>11691</v>
      </c>
      <c r="L6752" t="s">
        <v>18958</v>
      </c>
      <c r="M6752" t="s">
        <v>18958</v>
      </c>
      <c r="O6752" t="s">
        <v>18997</v>
      </c>
      <c r="P6752" t="s">
        <v>26565</v>
      </c>
      <c r="R6752" t="s">
        <v>26578</v>
      </c>
      <c r="S6752" t="s">
        <v>18959</v>
      </c>
      <c r="U6752" t="s">
        <v>26604</v>
      </c>
      <c r="W6752" t="s">
        <v>793</v>
      </c>
      <c r="X6752">
        <v>1350</v>
      </c>
      <c r="Y6752" t="s">
        <v>26653</v>
      </c>
      <c r="AB6752" t="s">
        <v>27496</v>
      </c>
      <c r="AD6752" t="s">
        <v>42193</v>
      </c>
      <c r="AE6752">
        <v>917</v>
      </c>
      <c r="AF6752" t="s">
        <v>45541</v>
      </c>
      <c r="AH6752">
        <v>3</v>
      </c>
      <c r="AI6752">
        <v>1</v>
      </c>
      <c r="AJ6752">
        <v>0</v>
      </c>
      <c r="AK6752">
        <v>172.94</v>
      </c>
      <c r="AN6752" t="s">
        <v>7439</v>
      </c>
      <c r="AO6752">
        <v>21600</v>
      </c>
      <c r="AU6752">
        <v>0.5</v>
      </c>
      <c r="AV6752" t="s">
        <v>762</v>
      </c>
      <c r="AW6752" t="s">
        <v>212</v>
      </c>
    </row>
    <row r="6753" spans="1:50">
      <c r="A6753" s="1">
        <f>HYPERLINK("https://lsnyc.legalserver.org/matter/dynamic-profile/view/1895026","19-1895026")</f>
        <v>0</v>
      </c>
      <c r="B6753" t="s">
        <v>198</v>
      </c>
      <c r="C6753" t="s">
        <v>340</v>
      </c>
      <c r="D6753" t="s">
        <v>794</v>
      </c>
      <c r="F6753" t="s">
        <v>2480</v>
      </c>
      <c r="G6753" t="s">
        <v>8137</v>
      </c>
      <c r="H6753" t="s">
        <v>14493</v>
      </c>
      <c r="I6753" t="s">
        <v>17471</v>
      </c>
      <c r="J6753" t="s">
        <v>18894</v>
      </c>
      <c r="K6753">
        <v>11226</v>
      </c>
      <c r="L6753" t="s">
        <v>18958</v>
      </c>
      <c r="M6753" t="s">
        <v>18958</v>
      </c>
      <c r="P6753" t="s">
        <v>26562</v>
      </c>
      <c r="R6753" t="s">
        <v>26578</v>
      </c>
      <c r="S6753" t="s">
        <v>18959</v>
      </c>
      <c r="U6753" t="s">
        <v>26604</v>
      </c>
      <c r="W6753" t="s">
        <v>793</v>
      </c>
      <c r="X6753">
        <v>1290.86</v>
      </c>
      <c r="Y6753" t="s">
        <v>26652</v>
      </c>
      <c r="AB6753" t="s">
        <v>26718</v>
      </c>
      <c r="AE6753">
        <v>0</v>
      </c>
      <c r="AH6753">
        <v>36</v>
      </c>
      <c r="AI6753">
        <v>1</v>
      </c>
      <c r="AJ6753">
        <v>0</v>
      </c>
      <c r="AK6753">
        <v>0</v>
      </c>
      <c r="AN6753" t="s">
        <v>7439</v>
      </c>
      <c r="AO6753">
        <v>0</v>
      </c>
      <c r="AU6753">
        <v>4.9</v>
      </c>
      <c r="AV6753" t="s">
        <v>720</v>
      </c>
      <c r="AW6753" t="s">
        <v>219</v>
      </c>
    </row>
    <row r="6754" spans="1:50">
      <c r="A6754" s="1">
        <f>HYPERLINK("https://lsnyc.legalserver.org/matter/dynamic-profile/view/1895704","19-1895704")</f>
        <v>0</v>
      </c>
      <c r="B6754" t="s">
        <v>256</v>
      </c>
      <c r="C6754" t="s">
        <v>340</v>
      </c>
      <c r="D6754" t="s">
        <v>794</v>
      </c>
      <c r="F6754" t="s">
        <v>3786</v>
      </c>
      <c r="G6754" t="s">
        <v>8138</v>
      </c>
      <c r="H6754" t="s">
        <v>14494</v>
      </c>
      <c r="I6754" t="s">
        <v>17792</v>
      </c>
      <c r="J6754" t="s">
        <v>18894</v>
      </c>
      <c r="K6754">
        <v>11230</v>
      </c>
      <c r="L6754" t="s">
        <v>18958</v>
      </c>
      <c r="M6754" t="s">
        <v>18958</v>
      </c>
      <c r="N6754" t="s">
        <v>23940</v>
      </c>
      <c r="O6754" t="s">
        <v>26523</v>
      </c>
      <c r="P6754" t="s">
        <v>26560</v>
      </c>
      <c r="R6754" t="s">
        <v>26578</v>
      </c>
      <c r="S6754" t="s">
        <v>18959</v>
      </c>
      <c r="U6754" t="s">
        <v>26604</v>
      </c>
      <c r="W6754" t="s">
        <v>793</v>
      </c>
      <c r="X6754">
        <v>558.89</v>
      </c>
      <c r="Y6754" t="s">
        <v>26652</v>
      </c>
      <c r="Z6754" t="s">
        <v>26664</v>
      </c>
      <c r="AB6754" t="s">
        <v>31905</v>
      </c>
      <c r="AD6754" t="s">
        <v>42194</v>
      </c>
      <c r="AE6754">
        <v>0</v>
      </c>
      <c r="AF6754" t="s">
        <v>45541</v>
      </c>
      <c r="AH6754">
        <v>39</v>
      </c>
      <c r="AI6754">
        <v>1</v>
      </c>
      <c r="AJ6754">
        <v>0</v>
      </c>
      <c r="AK6754">
        <v>520.42</v>
      </c>
      <c r="AL6754" t="s">
        <v>793</v>
      </c>
      <c r="AM6754" t="s">
        <v>45575</v>
      </c>
      <c r="AN6754" t="s">
        <v>45581</v>
      </c>
      <c r="AO6754">
        <v>65000</v>
      </c>
      <c r="AR6754" t="s">
        <v>46381</v>
      </c>
      <c r="AS6754" t="s">
        <v>46499</v>
      </c>
      <c r="AT6754" t="s">
        <v>46777</v>
      </c>
      <c r="AU6754">
        <v>0.5</v>
      </c>
      <c r="AV6754" t="s">
        <v>765</v>
      </c>
      <c r="AW6754" t="s">
        <v>219</v>
      </c>
    </row>
    <row r="6755" spans="1:50">
      <c r="A6755" s="1">
        <f>HYPERLINK("https://lsnyc.legalserver.org/matter/dynamic-profile/view/1895618","19-1895618")</f>
        <v>0</v>
      </c>
      <c r="B6755" t="s">
        <v>205</v>
      </c>
      <c r="C6755" t="s">
        <v>340</v>
      </c>
      <c r="D6755" t="s">
        <v>794</v>
      </c>
      <c r="F6755" t="s">
        <v>1096</v>
      </c>
      <c r="G6755" t="s">
        <v>7096</v>
      </c>
      <c r="H6755" t="s">
        <v>10750</v>
      </c>
      <c r="J6755" t="s">
        <v>18894</v>
      </c>
      <c r="K6755">
        <v>11213</v>
      </c>
      <c r="L6755" t="s">
        <v>18958</v>
      </c>
      <c r="M6755" t="s">
        <v>18958</v>
      </c>
      <c r="N6755" t="s">
        <v>23941</v>
      </c>
      <c r="O6755" t="s">
        <v>26523</v>
      </c>
      <c r="P6755" t="s">
        <v>26560</v>
      </c>
      <c r="R6755" t="s">
        <v>26578</v>
      </c>
      <c r="S6755" t="s">
        <v>18959</v>
      </c>
      <c r="U6755" t="s">
        <v>26604</v>
      </c>
      <c r="W6755" t="s">
        <v>793</v>
      </c>
      <c r="X6755">
        <v>1513.39</v>
      </c>
      <c r="Y6755" t="s">
        <v>26652</v>
      </c>
      <c r="Z6755" t="s">
        <v>26667</v>
      </c>
      <c r="AB6755" t="s">
        <v>29084</v>
      </c>
      <c r="AE6755">
        <v>31</v>
      </c>
      <c r="AF6755" t="s">
        <v>45541</v>
      </c>
      <c r="AG6755" t="s">
        <v>19330</v>
      </c>
      <c r="AH6755">
        <v>0</v>
      </c>
      <c r="AI6755">
        <v>2</v>
      </c>
      <c r="AJ6755">
        <v>0</v>
      </c>
      <c r="AK6755">
        <v>238.79</v>
      </c>
      <c r="AL6755" t="s">
        <v>820</v>
      </c>
      <c r="AM6755" t="s">
        <v>45575</v>
      </c>
      <c r="AN6755" t="s">
        <v>7439</v>
      </c>
      <c r="AO6755">
        <v>40380</v>
      </c>
      <c r="AU6755">
        <v>19.7</v>
      </c>
      <c r="AV6755" t="s">
        <v>773</v>
      </c>
      <c r="AW6755" t="s">
        <v>286</v>
      </c>
    </row>
    <row r="6756" spans="1:50">
      <c r="A6756" s="1">
        <f>HYPERLINK("https://lsnyc.legalserver.org/matter/dynamic-profile/view/1895760","19-1895760")</f>
        <v>0</v>
      </c>
      <c r="B6756" t="s">
        <v>147</v>
      </c>
      <c r="C6756" t="s">
        <v>340</v>
      </c>
      <c r="D6756" t="s">
        <v>795</v>
      </c>
      <c r="F6756" t="s">
        <v>3787</v>
      </c>
      <c r="G6756" t="s">
        <v>7409</v>
      </c>
      <c r="H6756" t="s">
        <v>14495</v>
      </c>
      <c r="I6756" t="s">
        <v>17451</v>
      </c>
      <c r="J6756" t="s">
        <v>18894</v>
      </c>
      <c r="K6756">
        <v>11226</v>
      </c>
      <c r="L6756" t="s">
        <v>18958</v>
      </c>
      <c r="M6756" t="s">
        <v>18958</v>
      </c>
      <c r="P6756" t="s">
        <v>26562</v>
      </c>
      <c r="R6756" t="s">
        <v>26578</v>
      </c>
      <c r="U6756" t="s">
        <v>26604</v>
      </c>
      <c r="W6756" t="s">
        <v>793</v>
      </c>
      <c r="X6756">
        <v>950</v>
      </c>
      <c r="Y6756" t="s">
        <v>26652</v>
      </c>
      <c r="Z6756" t="s">
        <v>26667</v>
      </c>
      <c r="AB6756" t="s">
        <v>31906</v>
      </c>
      <c r="AD6756" t="s">
        <v>42195</v>
      </c>
      <c r="AE6756">
        <v>54</v>
      </c>
      <c r="AF6756" t="s">
        <v>45541</v>
      </c>
      <c r="AG6756" t="s">
        <v>45556</v>
      </c>
      <c r="AH6756">
        <v>19</v>
      </c>
      <c r="AI6756">
        <v>2</v>
      </c>
      <c r="AJ6756">
        <v>3</v>
      </c>
      <c r="AK6756">
        <v>124.1</v>
      </c>
      <c r="AN6756" t="s">
        <v>7439</v>
      </c>
      <c r="AO6756">
        <v>37440</v>
      </c>
      <c r="AU6756">
        <v>2.9</v>
      </c>
      <c r="AV6756" t="s">
        <v>823</v>
      </c>
      <c r="AW6756" t="s">
        <v>219</v>
      </c>
      <c r="AX6756" t="s">
        <v>46897</v>
      </c>
    </row>
    <row r="6757" spans="1:50">
      <c r="A6757" s="1">
        <f>HYPERLINK("https://lsnyc.legalserver.org/matter/dynamic-profile/view/1896648","19-1896648")</f>
        <v>0</v>
      </c>
      <c r="B6757" t="s">
        <v>88</v>
      </c>
      <c r="C6757" t="s">
        <v>340</v>
      </c>
      <c r="D6757" t="s">
        <v>671</v>
      </c>
      <c r="F6757" t="s">
        <v>1027</v>
      </c>
      <c r="G6757" t="s">
        <v>6836</v>
      </c>
      <c r="H6757" t="s">
        <v>12249</v>
      </c>
      <c r="I6757" t="s">
        <v>17947</v>
      </c>
      <c r="J6757" t="s">
        <v>18894</v>
      </c>
      <c r="K6757">
        <v>11213</v>
      </c>
      <c r="L6757" t="s">
        <v>18958</v>
      </c>
      <c r="M6757" t="s">
        <v>18958</v>
      </c>
      <c r="N6757" t="s">
        <v>18997</v>
      </c>
      <c r="O6757" t="s">
        <v>26531</v>
      </c>
      <c r="P6757" t="s">
        <v>26565</v>
      </c>
      <c r="R6757" t="s">
        <v>26578</v>
      </c>
      <c r="S6757" t="s">
        <v>18958</v>
      </c>
      <c r="U6757" t="s">
        <v>26604</v>
      </c>
      <c r="W6757" t="s">
        <v>793</v>
      </c>
      <c r="X6757">
        <v>540</v>
      </c>
      <c r="Y6757" t="s">
        <v>26652</v>
      </c>
      <c r="Z6757" t="s">
        <v>26663</v>
      </c>
      <c r="AB6757" t="s">
        <v>29531</v>
      </c>
      <c r="AD6757" t="s">
        <v>39600</v>
      </c>
      <c r="AE6757">
        <v>6</v>
      </c>
      <c r="AF6757" t="s">
        <v>45541</v>
      </c>
      <c r="AG6757" t="s">
        <v>19330</v>
      </c>
      <c r="AH6757">
        <v>18</v>
      </c>
      <c r="AI6757">
        <v>1</v>
      </c>
      <c r="AJ6757">
        <v>0</v>
      </c>
      <c r="AK6757">
        <v>512.41</v>
      </c>
      <c r="AN6757" t="s">
        <v>7439</v>
      </c>
      <c r="AO6757">
        <v>64000</v>
      </c>
      <c r="AP6757" t="s">
        <v>46026</v>
      </c>
      <c r="AU6757">
        <v>0</v>
      </c>
      <c r="AW6757" t="s">
        <v>286</v>
      </c>
      <c r="AX6757" t="s">
        <v>46897</v>
      </c>
    </row>
    <row r="6758" spans="1:50">
      <c r="A6758" s="1">
        <f>HYPERLINK("https://lsnyc.legalserver.org/matter/dynamic-profile/view/1896742","19-1896742")</f>
        <v>0</v>
      </c>
      <c r="B6758" t="s">
        <v>88</v>
      </c>
      <c r="C6758" t="s">
        <v>340</v>
      </c>
      <c r="D6758" t="s">
        <v>672</v>
      </c>
      <c r="F6758" t="s">
        <v>2600</v>
      </c>
      <c r="G6758" t="s">
        <v>6835</v>
      </c>
      <c r="H6758" t="s">
        <v>12249</v>
      </c>
      <c r="I6758" t="s">
        <v>17291</v>
      </c>
      <c r="J6758" t="s">
        <v>18894</v>
      </c>
      <c r="K6758">
        <v>11213</v>
      </c>
      <c r="L6758" t="s">
        <v>18958</v>
      </c>
      <c r="M6758" t="s">
        <v>18958</v>
      </c>
      <c r="N6758" t="s">
        <v>18993</v>
      </c>
      <c r="O6758" t="s">
        <v>26531</v>
      </c>
      <c r="P6758" t="s">
        <v>26565</v>
      </c>
      <c r="R6758" t="s">
        <v>26578</v>
      </c>
      <c r="S6758" t="s">
        <v>18958</v>
      </c>
      <c r="U6758" t="s">
        <v>26604</v>
      </c>
      <c r="W6758" t="s">
        <v>793</v>
      </c>
      <c r="X6758">
        <v>551</v>
      </c>
      <c r="Y6758" t="s">
        <v>26652</v>
      </c>
      <c r="Z6758" t="s">
        <v>26663</v>
      </c>
      <c r="AB6758" t="s">
        <v>29530</v>
      </c>
      <c r="AD6758" t="s">
        <v>39599</v>
      </c>
      <c r="AE6758">
        <v>6</v>
      </c>
      <c r="AF6758" t="s">
        <v>45541</v>
      </c>
      <c r="AG6758" t="s">
        <v>19330</v>
      </c>
      <c r="AH6758">
        <v>15</v>
      </c>
      <c r="AI6758">
        <v>2</v>
      </c>
      <c r="AJ6758">
        <v>0</v>
      </c>
      <c r="AK6758">
        <v>49.67</v>
      </c>
      <c r="AN6758" t="s">
        <v>7439</v>
      </c>
      <c r="AO6758">
        <v>8400</v>
      </c>
      <c r="AP6758" t="s">
        <v>46004</v>
      </c>
      <c r="AU6758">
        <v>1.5</v>
      </c>
      <c r="AV6758" t="s">
        <v>857</v>
      </c>
      <c r="AW6758" t="s">
        <v>286</v>
      </c>
      <c r="AX6758" t="s">
        <v>46897</v>
      </c>
    </row>
    <row r="6759" spans="1:50">
      <c r="A6759" s="1">
        <f>HYPERLINK("https://lsnyc.legalserver.org/matter/dynamic-profile/view/1896791","19-1896791")</f>
        <v>0</v>
      </c>
      <c r="B6759" t="s">
        <v>88</v>
      </c>
      <c r="C6759" t="s">
        <v>340</v>
      </c>
      <c r="D6759" t="s">
        <v>672</v>
      </c>
      <c r="F6759" t="s">
        <v>2601</v>
      </c>
      <c r="G6759" t="s">
        <v>1384</v>
      </c>
      <c r="H6759" t="s">
        <v>12249</v>
      </c>
      <c r="I6759" t="s">
        <v>17330</v>
      </c>
      <c r="J6759" t="s">
        <v>18894</v>
      </c>
      <c r="K6759">
        <v>11213</v>
      </c>
      <c r="L6759" t="s">
        <v>18958</v>
      </c>
      <c r="M6759" t="s">
        <v>18958</v>
      </c>
      <c r="N6759" t="s">
        <v>18997</v>
      </c>
      <c r="O6759" t="s">
        <v>26531</v>
      </c>
      <c r="P6759" t="s">
        <v>26565</v>
      </c>
      <c r="R6759" t="s">
        <v>26578</v>
      </c>
      <c r="S6759" t="s">
        <v>18958</v>
      </c>
      <c r="U6759" t="s">
        <v>26604</v>
      </c>
      <c r="W6759" t="s">
        <v>793</v>
      </c>
      <c r="X6759">
        <v>855.86</v>
      </c>
      <c r="Y6759" t="s">
        <v>26652</v>
      </c>
      <c r="Z6759" t="s">
        <v>26663</v>
      </c>
      <c r="AB6759" t="s">
        <v>29532</v>
      </c>
      <c r="AE6759">
        <v>6</v>
      </c>
      <c r="AF6759" t="s">
        <v>45541</v>
      </c>
      <c r="AG6759" t="s">
        <v>19330</v>
      </c>
      <c r="AH6759">
        <v>26</v>
      </c>
      <c r="AI6759">
        <v>1</v>
      </c>
      <c r="AJ6759">
        <v>1</v>
      </c>
      <c r="AK6759">
        <v>52.58</v>
      </c>
      <c r="AN6759" t="s">
        <v>7439</v>
      </c>
      <c r="AO6759">
        <v>8892</v>
      </c>
      <c r="AP6759" t="s">
        <v>46027</v>
      </c>
      <c r="AU6759">
        <v>0</v>
      </c>
      <c r="AW6759" t="s">
        <v>286</v>
      </c>
      <c r="AX6759" t="s">
        <v>46897</v>
      </c>
    </row>
    <row r="6760" spans="1:50">
      <c r="A6760" s="1">
        <f>HYPERLINK("https://lsnyc.legalserver.org/matter/dynamic-profile/view/1896757","19-1896757")</f>
        <v>0</v>
      </c>
      <c r="B6760" t="s">
        <v>88</v>
      </c>
      <c r="C6760" t="s">
        <v>340</v>
      </c>
      <c r="D6760" t="s">
        <v>672</v>
      </c>
      <c r="F6760" t="s">
        <v>1024</v>
      </c>
      <c r="G6760" t="s">
        <v>5575</v>
      </c>
      <c r="H6760" t="s">
        <v>12249</v>
      </c>
      <c r="I6760" t="s">
        <v>17331</v>
      </c>
      <c r="J6760" t="s">
        <v>18894</v>
      </c>
      <c r="K6760">
        <v>11213</v>
      </c>
      <c r="L6760" t="s">
        <v>18958</v>
      </c>
      <c r="M6760" t="s">
        <v>18959</v>
      </c>
      <c r="N6760" t="s">
        <v>18997</v>
      </c>
      <c r="O6760" t="s">
        <v>26531</v>
      </c>
      <c r="P6760" t="s">
        <v>26565</v>
      </c>
      <c r="R6760" t="s">
        <v>26578</v>
      </c>
      <c r="S6760" t="s">
        <v>18958</v>
      </c>
      <c r="U6760" t="s">
        <v>26604</v>
      </c>
      <c r="W6760" t="s">
        <v>793</v>
      </c>
      <c r="X6760">
        <v>719</v>
      </c>
      <c r="Y6760" t="s">
        <v>26652</v>
      </c>
      <c r="Z6760" t="s">
        <v>26663</v>
      </c>
      <c r="AB6760" t="s">
        <v>29533</v>
      </c>
      <c r="AD6760" t="s">
        <v>39601</v>
      </c>
      <c r="AE6760">
        <v>6</v>
      </c>
      <c r="AF6760" t="s">
        <v>45541</v>
      </c>
      <c r="AG6760" t="s">
        <v>19330</v>
      </c>
      <c r="AH6760">
        <v>22</v>
      </c>
      <c r="AI6760">
        <v>5</v>
      </c>
      <c r="AJ6760">
        <v>1</v>
      </c>
      <c r="AK6760">
        <v>109.86</v>
      </c>
      <c r="AN6760" t="s">
        <v>7439</v>
      </c>
      <c r="AO6760">
        <v>38000</v>
      </c>
      <c r="AP6760" t="s">
        <v>46006</v>
      </c>
      <c r="AU6760">
        <v>0</v>
      </c>
      <c r="AW6760" t="s">
        <v>286</v>
      </c>
      <c r="AX6760" t="s">
        <v>19330</v>
      </c>
    </row>
    <row r="6761" spans="1:50">
      <c r="A6761" s="1">
        <f>HYPERLINK("https://lsnyc.legalserver.org/matter/dynamic-profile/view/1897904","19-1897904")</f>
        <v>0</v>
      </c>
      <c r="B6761" t="s">
        <v>125</v>
      </c>
      <c r="C6761" t="s">
        <v>340</v>
      </c>
      <c r="D6761" t="s">
        <v>765</v>
      </c>
      <c r="F6761" t="s">
        <v>1028</v>
      </c>
      <c r="G6761" t="s">
        <v>5385</v>
      </c>
      <c r="H6761" t="s">
        <v>14496</v>
      </c>
      <c r="I6761">
        <v>254</v>
      </c>
      <c r="J6761" t="s">
        <v>18894</v>
      </c>
      <c r="K6761">
        <v>11208</v>
      </c>
      <c r="L6761" t="s">
        <v>18958</v>
      </c>
      <c r="M6761" t="s">
        <v>18958</v>
      </c>
      <c r="N6761" t="s">
        <v>23942</v>
      </c>
      <c r="O6761" t="s">
        <v>26523</v>
      </c>
      <c r="P6761" t="s">
        <v>26560</v>
      </c>
      <c r="R6761" t="s">
        <v>26578</v>
      </c>
      <c r="S6761" t="s">
        <v>18959</v>
      </c>
      <c r="U6761" t="s">
        <v>26604</v>
      </c>
      <c r="V6761" t="s">
        <v>26610</v>
      </c>
      <c r="W6761" t="s">
        <v>793</v>
      </c>
      <c r="X6761">
        <v>1561</v>
      </c>
      <c r="Y6761" t="s">
        <v>26652</v>
      </c>
      <c r="Z6761" t="s">
        <v>26530</v>
      </c>
      <c r="AB6761" t="s">
        <v>31907</v>
      </c>
      <c r="AC6761">
        <v>5428120</v>
      </c>
      <c r="AD6761" t="s">
        <v>42196</v>
      </c>
      <c r="AE6761">
        <v>266</v>
      </c>
      <c r="AF6761" t="s">
        <v>45541</v>
      </c>
      <c r="AH6761">
        <v>5</v>
      </c>
      <c r="AI6761">
        <v>2</v>
      </c>
      <c r="AJ6761">
        <v>0</v>
      </c>
      <c r="AK6761">
        <v>35.77</v>
      </c>
      <c r="AN6761" t="s">
        <v>7439</v>
      </c>
      <c r="AO6761">
        <v>6048</v>
      </c>
      <c r="AU6761">
        <v>10.75</v>
      </c>
      <c r="AV6761" t="s">
        <v>839</v>
      </c>
      <c r="AW6761" t="s">
        <v>286</v>
      </c>
      <c r="AX6761" t="s">
        <v>46897</v>
      </c>
    </row>
    <row r="6762" spans="1:50">
      <c r="A6762" s="1">
        <f>HYPERLINK("https://lsnyc.legalserver.org/matter/dynamic-profile/view/1876002","18-1876002")</f>
        <v>0</v>
      </c>
      <c r="B6762" t="s">
        <v>126</v>
      </c>
      <c r="C6762" t="s">
        <v>341</v>
      </c>
      <c r="D6762" t="s">
        <v>512</v>
      </c>
      <c r="E6762" t="s">
        <v>784</v>
      </c>
      <c r="F6762" t="s">
        <v>939</v>
      </c>
      <c r="G6762" t="s">
        <v>7866</v>
      </c>
      <c r="H6762" t="s">
        <v>14497</v>
      </c>
      <c r="I6762">
        <v>1</v>
      </c>
      <c r="J6762" t="s">
        <v>18894</v>
      </c>
      <c r="K6762">
        <v>11208</v>
      </c>
      <c r="L6762" t="s">
        <v>18958</v>
      </c>
      <c r="M6762" t="s">
        <v>18958</v>
      </c>
      <c r="N6762" t="s">
        <v>23943</v>
      </c>
      <c r="O6762" t="s">
        <v>26524</v>
      </c>
      <c r="P6762" t="s">
        <v>26560</v>
      </c>
      <c r="Q6762" t="s">
        <v>26573</v>
      </c>
      <c r="R6762" t="s">
        <v>26578</v>
      </c>
      <c r="U6762" t="s">
        <v>26604</v>
      </c>
      <c r="W6762" t="s">
        <v>779</v>
      </c>
      <c r="X6762">
        <v>0</v>
      </c>
      <c r="Y6762" t="s">
        <v>26652</v>
      </c>
      <c r="Z6762" t="s">
        <v>26664</v>
      </c>
      <c r="AA6762" t="s">
        <v>26679</v>
      </c>
      <c r="AB6762" t="s">
        <v>31908</v>
      </c>
      <c r="AD6762" t="s">
        <v>42197</v>
      </c>
      <c r="AE6762">
        <v>2</v>
      </c>
      <c r="AF6762" t="s">
        <v>45547</v>
      </c>
      <c r="AG6762" t="s">
        <v>19330</v>
      </c>
      <c r="AH6762">
        <v>11</v>
      </c>
      <c r="AI6762">
        <v>2</v>
      </c>
      <c r="AJ6762">
        <v>0</v>
      </c>
      <c r="AK6762">
        <v>78.98</v>
      </c>
      <c r="AN6762" t="s">
        <v>7439</v>
      </c>
      <c r="AO6762">
        <v>13000</v>
      </c>
      <c r="AU6762">
        <v>1.6</v>
      </c>
      <c r="AV6762" t="s">
        <v>784</v>
      </c>
      <c r="AW6762" t="s">
        <v>281</v>
      </c>
    </row>
    <row r="6763" spans="1:50">
      <c r="A6763" s="1">
        <f>HYPERLINK("https://lsnyc.legalserver.org/matter/dynamic-profile/view/1876798","18-1876798")</f>
        <v>0</v>
      </c>
      <c r="B6763" t="s">
        <v>108</v>
      </c>
      <c r="C6763" t="s">
        <v>341</v>
      </c>
      <c r="D6763" t="s">
        <v>422</v>
      </c>
      <c r="E6763" t="s">
        <v>805</v>
      </c>
      <c r="F6763" t="s">
        <v>2365</v>
      </c>
      <c r="G6763" t="s">
        <v>5547</v>
      </c>
      <c r="H6763" t="s">
        <v>14498</v>
      </c>
      <c r="I6763" t="s">
        <v>17387</v>
      </c>
      <c r="J6763" t="s">
        <v>18920</v>
      </c>
      <c r="K6763">
        <v>11370</v>
      </c>
      <c r="L6763" t="s">
        <v>18958</v>
      </c>
      <c r="M6763" t="s">
        <v>18958</v>
      </c>
      <c r="N6763" t="s">
        <v>23944</v>
      </c>
      <c r="O6763" t="s">
        <v>26524</v>
      </c>
      <c r="P6763" t="s">
        <v>26560</v>
      </c>
      <c r="Q6763" t="s">
        <v>26568</v>
      </c>
      <c r="R6763" t="s">
        <v>26584</v>
      </c>
      <c r="S6763" t="s">
        <v>18959</v>
      </c>
      <c r="U6763" t="s">
        <v>26604</v>
      </c>
      <c r="V6763" t="s">
        <v>26610</v>
      </c>
      <c r="W6763" t="s">
        <v>779</v>
      </c>
      <c r="X6763">
        <v>1500</v>
      </c>
      <c r="Y6763" t="s">
        <v>26653</v>
      </c>
      <c r="Z6763" t="s">
        <v>26664</v>
      </c>
      <c r="AA6763" t="s">
        <v>26679</v>
      </c>
      <c r="AB6763" t="s">
        <v>31909</v>
      </c>
      <c r="AD6763" t="s">
        <v>42198</v>
      </c>
      <c r="AE6763">
        <v>2</v>
      </c>
      <c r="AF6763" t="s">
        <v>45547</v>
      </c>
      <c r="AG6763" t="s">
        <v>19330</v>
      </c>
      <c r="AH6763">
        <v>9</v>
      </c>
      <c r="AI6763">
        <v>4</v>
      </c>
      <c r="AJ6763">
        <v>1</v>
      </c>
      <c r="AK6763">
        <v>35.35</v>
      </c>
      <c r="AN6763" t="s">
        <v>7439</v>
      </c>
      <c r="AO6763">
        <v>10400</v>
      </c>
      <c r="AQ6763" t="s">
        <v>46368</v>
      </c>
      <c r="AR6763" t="s">
        <v>46417</v>
      </c>
      <c r="AS6763" t="s">
        <v>46500</v>
      </c>
      <c r="AT6763" t="s">
        <v>46537</v>
      </c>
      <c r="AU6763">
        <v>18.9</v>
      </c>
      <c r="AV6763" t="s">
        <v>728</v>
      </c>
      <c r="AW6763" t="s">
        <v>208</v>
      </c>
      <c r="AX6763" t="s">
        <v>46897</v>
      </c>
    </row>
    <row r="6764" spans="1:50">
      <c r="A6764" s="1">
        <f>HYPERLINK("https://lsnyc.legalserver.org/matter/dynamic-profile/view/1888683","19-1888683")</f>
        <v>0</v>
      </c>
      <c r="B6764" t="s">
        <v>108</v>
      </c>
      <c r="C6764" t="s">
        <v>341</v>
      </c>
      <c r="D6764" t="s">
        <v>707</v>
      </c>
      <c r="E6764" t="s">
        <v>819</v>
      </c>
      <c r="F6764" t="s">
        <v>1128</v>
      </c>
      <c r="G6764" t="s">
        <v>2514</v>
      </c>
      <c r="H6764" t="s">
        <v>11170</v>
      </c>
      <c r="I6764" t="s">
        <v>17283</v>
      </c>
      <c r="J6764" t="s">
        <v>18901</v>
      </c>
      <c r="K6764">
        <v>11434</v>
      </c>
      <c r="L6764" t="s">
        <v>18958</v>
      </c>
      <c r="M6764" t="s">
        <v>18958</v>
      </c>
      <c r="N6764" t="s">
        <v>23945</v>
      </c>
      <c r="O6764" t="s">
        <v>26523</v>
      </c>
      <c r="P6764" t="s">
        <v>26560</v>
      </c>
      <c r="Q6764" t="s">
        <v>26568</v>
      </c>
      <c r="R6764" t="s">
        <v>26585</v>
      </c>
      <c r="S6764" t="s">
        <v>18959</v>
      </c>
      <c r="U6764" t="s">
        <v>26604</v>
      </c>
      <c r="V6764" t="s">
        <v>26610</v>
      </c>
      <c r="W6764" t="s">
        <v>779</v>
      </c>
      <c r="X6764">
        <v>698.79</v>
      </c>
      <c r="Y6764" t="s">
        <v>26653</v>
      </c>
      <c r="Z6764" t="s">
        <v>26664</v>
      </c>
      <c r="AA6764" t="s">
        <v>26678</v>
      </c>
      <c r="AB6764" t="s">
        <v>31910</v>
      </c>
      <c r="AD6764" t="s">
        <v>42199</v>
      </c>
      <c r="AE6764">
        <v>100</v>
      </c>
      <c r="AF6764" t="s">
        <v>45541</v>
      </c>
      <c r="AG6764" t="s">
        <v>19330</v>
      </c>
      <c r="AH6764">
        <v>3</v>
      </c>
      <c r="AI6764">
        <v>1</v>
      </c>
      <c r="AJ6764">
        <v>0</v>
      </c>
      <c r="AK6764">
        <v>185.27</v>
      </c>
      <c r="AN6764" t="s">
        <v>7439</v>
      </c>
      <c r="AO6764">
        <v>23140</v>
      </c>
      <c r="AQ6764" t="s">
        <v>46362</v>
      </c>
      <c r="AR6764" t="s">
        <v>46383</v>
      </c>
      <c r="AS6764" t="s">
        <v>46499</v>
      </c>
      <c r="AT6764" t="s">
        <v>46531</v>
      </c>
      <c r="AU6764">
        <v>3.4</v>
      </c>
      <c r="AV6764" t="s">
        <v>657</v>
      </c>
      <c r="AW6764" t="s">
        <v>122</v>
      </c>
      <c r="AX6764" t="s">
        <v>46897</v>
      </c>
    </row>
    <row r="6765" spans="1:50">
      <c r="A6765" s="1">
        <f>HYPERLINK("https://lsnyc.legalserver.org/matter/dynamic-profile/view/1892365","19-1892365")</f>
        <v>0</v>
      </c>
      <c r="B6765" t="s">
        <v>193</v>
      </c>
      <c r="C6765" t="s">
        <v>341</v>
      </c>
      <c r="D6765" t="s">
        <v>416</v>
      </c>
      <c r="E6765" t="s">
        <v>779</v>
      </c>
      <c r="F6765" t="s">
        <v>878</v>
      </c>
      <c r="G6765" t="s">
        <v>5147</v>
      </c>
      <c r="H6765" t="s">
        <v>14499</v>
      </c>
      <c r="I6765" t="s">
        <v>17708</v>
      </c>
      <c r="J6765" t="s">
        <v>18894</v>
      </c>
      <c r="K6765">
        <v>11225</v>
      </c>
      <c r="L6765" t="s">
        <v>18958</v>
      </c>
      <c r="M6765" t="s">
        <v>18958</v>
      </c>
      <c r="N6765" t="s">
        <v>23946</v>
      </c>
      <c r="O6765" t="s">
        <v>26523</v>
      </c>
      <c r="P6765" t="s">
        <v>26560</v>
      </c>
      <c r="Q6765" t="s">
        <v>26569</v>
      </c>
      <c r="R6765" t="s">
        <v>26588</v>
      </c>
      <c r="U6765" t="s">
        <v>26604</v>
      </c>
      <c r="W6765" t="s">
        <v>779</v>
      </c>
      <c r="X6765">
        <v>1765</v>
      </c>
      <c r="Y6765" t="s">
        <v>26652</v>
      </c>
      <c r="Z6765" t="s">
        <v>26669</v>
      </c>
      <c r="AA6765" t="s">
        <v>26683</v>
      </c>
      <c r="AB6765" t="s">
        <v>31911</v>
      </c>
      <c r="AE6765">
        <v>12</v>
      </c>
      <c r="AG6765" t="s">
        <v>19330</v>
      </c>
      <c r="AH6765">
        <v>11</v>
      </c>
      <c r="AI6765">
        <v>2</v>
      </c>
      <c r="AJ6765">
        <v>3</v>
      </c>
      <c r="AK6765">
        <v>215.45</v>
      </c>
      <c r="AN6765" t="s">
        <v>7439</v>
      </c>
      <c r="AO6765">
        <v>65000</v>
      </c>
      <c r="AQ6765" t="s">
        <v>46362</v>
      </c>
      <c r="AR6765" t="s">
        <v>26530</v>
      </c>
      <c r="AS6765" t="s">
        <v>46502</v>
      </c>
      <c r="AU6765">
        <v>8</v>
      </c>
      <c r="AV6765" t="s">
        <v>779</v>
      </c>
      <c r="AW6765" t="s">
        <v>281</v>
      </c>
      <c r="AX6765" t="s">
        <v>46897</v>
      </c>
    </row>
    <row r="6766" spans="1:50">
      <c r="A6766" s="1">
        <f>HYPERLINK("https://lsnyc.legalserver.org/matter/dynamic-profile/view/1893733","19-1893733")</f>
        <v>0</v>
      </c>
      <c r="B6766" t="s">
        <v>236</v>
      </c>
      <c r="C6766" t="s">
        <v>341</v>
      </c>
      <c r="D6766" t="s">
        <v>660</v>
      </c>
      <c r="E6766" t="s">
        <v>779</v>
      </c>
      <c r="F6766" t="s">
        <v>2694</v>
      </c>
      <c r="G6766" t="s">
        <v>7420</v>
      </c>
      <c r="H6766" t="s">
        <v>14500</v>
      </c>
      <c r="I6766" t="s">
        <v>17298</v>
      </c>
      <c r="J6766" t="s">
        <v>18892</v>
      </c>
      <c r="K6766">
        <v>10459</v>
      </c>
      <c r="L6766" t="s">
        <v>18958</v>
      </c>
      <c r="M6766" t="s">
        <v>18958</v>
      </c>
      <c r="N6766" t="s">
        <v>23947</v>
      </c>
      <c r="O6766" t="s">
        <v>26524</v>
      </c>
      <c r="P6766" t="s">
        <v>26565</v>
      </c>
      <c r="Q6766" t="s">
        <v>26570</v>
      </c>
      <c r="R6766" t="s">
        <v>26578</v>
      </c>
      <c r="S6766" t="s">
        <v>18959</v>
      </c>
      <c r="U6766" t="s">
        <v>26604</v>
      </c>
      <c r="V6766" t="s">
        <v>26613</v>
      </c>
      <c r="W6766" t="s">
        <v>779</v>
      </c>
      <c r="X6766">
        <v>1160</v>
      </c>
      <c r="Y6766" t="s">
        <v>26650</v>
      </c>
      <c r="Z6766" t="s">
        <v>26663</v>
      </c>
      <c r="AA6766" t="s">
        <v>26683</v>
      </c>
      <c r="AB6766" t="s">
        <v>31912</v>
      </c>
      <c r="AD6766" t="s">
        <v>42200</v>
      </c>
      <c r="AE6766">
        <v>0</v>
      </c>
      <c r="AF6766" t="s">
        <v>45541</v>
      </c>
      <c r="AG6766" t="s">
        <v>45557</v>
      </c>
      <c r="AH6766">
        <v>12</v>
      </c>
      <c r="AI6766">
        <v>2</v>
      </c>
      <c r="AJ6766">
        <v>1</v>
      </c>
      <c r="AK6766">
        <v>0</v>
      </c>
      <c r="AN6766" t="s">
        <v>7439</v>
      </c>
      <c r="AO6766">
        <v>0</v>
      </c>
      <c r="AU6766">
        <v>1</v>
      </c>
      <c r="AV6766" t="s">
        <v>660</v>
      </c>
      <c r="AW6766" t="s">
        <v>236</v>
      </c>
    </row>
    <row r="6767" spans="1:50">
      <c r="A6767" s="1">
        <f>HYPERLINK("https://lsnyc.legalserver.org/matter/dynamic-profile/view/1893788","19-1893788")</f>
        <v>0</v>
      </c>
      <c r="B6767" t="s">
        <v>236</v>
      </c>
      <c r="C6767" t="s">
        <v>341</v>
      </c>
      <c r="D6767" t="s">
        <v>660</v>
      </c>
      <c r="E6767" t="s">
        <v>779</v>
      </c>
      <c r="F6767" t="s">
        <v>1540</v>
      </c>
      <c r="G6767" t="s">
        <v>5828</v>
      </c>
      <c r="H6767" t="s">
        <v>14501</v>
      </c>
      <c r="I6767" t="s">
        <v>17325</v>
      </c>
      <c r="J6767" t="s">
        <v>18892</v>
      </c>
      <c r="K6767">
        <v>10456</v>
      </c>
      <c r="L6767" t="s">
        <v>18958</v>
      </c>
      <c r="M6767" t="s">
        <v>18958</v>
      </c>
      <c r="O6767" t="s">
        <v>18997</v>
      </c>
      <c r="P6767" t="s">
        <v>26564</v>
      </c>
      <c r="Q6767" t="s">
        <v>26570</v>
      </c>
      <c r="R6767" t="s">
        <v>26578</v>
      </c>
      <c r="S6767" t="s">
        <v>18959</v>
      </c>
      <c r="U6767" t="s">
        <v>26604</v>
      </c>
      <c r="W6767" t="s">
        <v>779</v>
      </c>
      <c r="X6767">
        <v>1027.6</v>
      </c>
      <c r="Y6767" t="s">
        <v>26650</v>
      </c>
      <c r="Z6767" t="s">
        <v>26663</v>
      </c>
      <c r="AA6767" t="s">
        <v>26683</v>
      </c>
      <c r="AB6767" t="s">
        <v>31913</v>
      </c>
      <c r="AD6767" t="s">
        <v>42201</v>
      </c>
      <c r="AE6767">
        <v>0</v>
      </c>
      <c r="AF6767" t="s">
        <v>45541</v>
      </c>
      <c r="AG6767" t="s">
        <v>19330</v>
      </c>
      <c r="AH6767">
        <v>10</v>
      </c>
      <c r="AI6767">
        <v>4</v>
      </c>
      <c r="AJ6767">
        <v>1</v>
      </c>
      <c r="AK6767">
        <v>23.86</v>
      </c>
      <c r="AN6767" t="s">
        <v>45581</v>
      </c>
      <c r="AO6767">
        <v>7200</v>
      </c>
      <c r="AU6767">
        <v>0.8</v>
      </c>
      <c r="AV6767" t="s">
        <v>660</v>
      </c>
      <c r="AW6767" t="s">
        <v>236</v>
      </c>
    </row>
    <row r="6768" spans="1:50">
      <c r="A6768" s="1">
        <f>HYPERLINK("https://lsnyc.legalserver.org/matter/dynamic-profile/view/1893779","19-1893779")</f>
        <v>0</v>
      </c>
      <c r="B6768" t="s">
        <v>236</v>
      </c>
      <c r="C6768" t="s">
        <v>341</v>
      </c>
      <c r="D6768" t="s">
        <v>660</v>
      </c>
      <c r="E6768" t="s">
        <v>779</v>
      </c>
      <c r="F6768" t="s">
        <v>3542</v>
      </c>
      <c r="G6768" t="s">
        <v>8139</v>
      </c>
      <c r="H6768" t="s">
        <v>14502</v>
      </c>
      <c r="I6768" t="s">
        <v>17275</v>
      </c>
      <c r="J6768" t="s">
        <v>18892</v>
      </c>
      <c r="K6768">
        <v>10451</v>
      </c>
      <c r="L6768" t="s">
        <v>18958</v>
      </c>
      <c r="M6768" t="s">
        <v>18958</v>
      </c>
      <c r="O6768" t="s">
        <v>18997</v>
      </c>
      <c r="P6768" t="s">
        <v>26564</v>
      </c>
      <c r="Q6768" t="s">
        <v>26570</v>
      </c>
      <c r="R6768" t="s">
        <v>26578</v>
      </c>
      <c r="S6768" t="s">
        <v>18959</v>
      </c>
      <c r="U6768" t="s">
        <v>26604</v>
      </c>
      <c r="W6768" t="s">
        <v>779</v>
      </c>
      <c r="X6768">
        <v>2450</v>
      </c>
      <c r="Y6768" t="s">
        <v>26650</v>
      </c>
      <c r="Z6768" t="s">
        <v>26663</v>
      </c>
      <c r="AA6768" t="s">
        <v>26683</v>
      </c>
      <c r="AB6768" t="s">
        <v>31914</v>
      </c>
      <c r="AD6768" t="s">
        <v>42202</v>
      </c>
      <c r="AE6768">
        <v>0</v>
      </c>
      <c r="AF6768" t="s">
        <v>45541</v>
      </c>
      <c r="AG6768" t="s">
        <v>19330</v>
      </c>
      <c r="AH6768">
        <v>3</v>
      </c>
      <c r="AI6768">
        <v>1</v>
      </c>
      <c r="AJ6768">
        <v>0</v>
      </c>
      <c r="AK6768">
        <v>360.29</v>
      </c>
      <c r="AN6768" t="s">
        <v>7439</v>
      </c>
      <c r="AO6768">
        <v>45000</v>
      </c>
      <c r="AU6768">
        <v>1.2</v>
      </c>
      <c r="AV6768" t="s">
        <v>791</v>
      </c>
      <c r="AW6768" t="s">
        <v>236</v>
      </c>
    </row>
    <row r="6769" spans="1:50">
      <c r="A6769" s="1">
        <f>HYPERLINK("https://lsnyc.legalserver.org/matter/dynamic-profile/view/1894170","19-1894170")</f>
        <v>0</v>
      </c>
      <c r="B6769" t="s">
        <v>262</v>
      </c>
      <c r="C6769" t="s">
        <v>340</v>
      </c>
      <c r="D6769" t="s">
        <v>775</v>
      </c>
      <c r="F6769" t="s">
        <v>1197</v>
      </c>
      <c r="G6769" t="s">
        <v>1901</v>
      </c>
      <c r="H6769" t="s">
        <v>14503</v>
      </c>
      <c r="I6769" t="s">
        <v>17299</v>
      </c>
      <c r="J6769" t="s">
        <v>18892</v>
      </c>
      <c r="K6769">
        <v>10453</v>
      </c>
      <c r="L6769" t="s">
        <v>18958</v>
      </c>
      <c r="M6769" t="s">
        <v>18958</v>
      </c>
      <c r="N6769" t="s">
        <v>23948</v>
      </c>
      <c r="O6769" t="s">
        <v>26523</v>
      </c>
      <c r="P6769" t="s">
        <v>26560</v>
      </c>
      <c r="R6769" t="s">
        <v>26577</v>
      </c>
      <c r="S6769" t="s">
        <v>18959</v>
      </c>
      <c r="U6769" t="s">
        <v>26604</v>
      </c>
      <c r="W6769" t="s">
        <v>779</v>
      </c>
      <c r="X6769">
        <v>862</v>
      </c>
      <c r="Y6769" t="s">
        <v>26650</v>
      </c>
      <c r="Z6769" t="s">
        <v>26663</v>
      </c>
      <c r="AB6769" t="s">
        <v>29877</v>
      </c>
      <c r="AC6769" t="s">
        <v>36235</v>
      </c>
      <c r="AD6769" t="s">
        <v>42203</v>
      </c>
      <c r="AE6769">
        <v>0</v>
      </c>
      <c r="AF6769" t="s">
        <v>45541</v>
      </c>
      <c r="AG6769" t="s">
        <v>26530</v>
      </c>
      <c r="AH6769">
        <v>30</v>
      </c>
      <c r="AI6769">
        <v>1</v>
      </c>
      <c r="AJ6769">
        <v>1</v>
      </c>
      <c r="AK6769">
        <v>0</v>
      </c>
      <c r="AN6769" t="s">
        <v>7439</v>
      </c>
      <c r="AO6769">
        <v>0</v>
      </c>
      <c r="AU6769">
        <v>8.1</v>
      </c>
      <c r="AV6769" t="s">
        <v>801</v>
      </c>
      <c r="AW6769" t="s">
        <v>336</v>
      </c>
    </row>
    <row r="6770" spans="1:50">
      <c r="A6770" s="1">
        <f>HYPERLINK("https://lsnyc.legalserver.org/matter/dynamic-profile/view/1895339","19-1895339")</f>
        <v>0</v>
      </c>
      <c r="B6770" t="s">
        <v>275</v>
      </c>
      <c r="C6770" t="s">
        <v>340</v>
      </c>
      <c r="D6770" t="s">
        <v>695</v>
      </c>
      <c r="F6770" t="s">
        <v>1789</v>
      </c>
      <c r="G6770" t="s">
        <v>5121</v>
      </c>
      <c r="H6770" t="s">
        <v>14504</v>
      </c>
      <c r="I6770" t="s">
        <v>17467</v>
      </c>
      <c r="J6770" t="s">
        <v>18892</v>
      </c>
      <c r="K6770">
        <v>10451</v>
      </c>
      <c r="L6770" t="s">
        <v>18958</v>
      </c>
      <c r="M6770" t="s">
        <v>18958</v>
      </c>
      <c r="N6770" t="s">
        <v>23949</v>
      </c>
      <c r="O6770" t="s">
        <v>26524</v>
      </c>
      <c r="P6770" t="s">
        <v>26560</v>
      </c>
      <c r="R6770" t="s">
        <v>26577</v>
      </c>
      <c r="S6770" t="s">
        <v>18959</v>
      </c>
      <c r="U6770" t="s">
        <v>26604</v>
      </c>
      <c r="V6770" t="s">
        <v>26610</v>
      </c>
      <c r="W6770" t="s">
        <v>779</v>
      </c>
      <c r="X6770">
        <v>264</v>
      </c>
      <c r="Y6770" t="s">
        <v>26650</v>
      </c>
      <c r="Z6770" t="s">
        <v>26668</v>
      </c>
      <c r="AB6770" t="s">
        <v>31915</v>
      </c>
      <c r="AD6770" t="s">
        <v>42204</v>
      </c>
      <c r="AE6770">
        <v>929</v>
      </c>
      <c r="AF6770" t="s">
        <v>45549</v>
      </c>
      <c r="AH6770">
        <v>1</v>
      </c>
      <c r="AI6770">
        <v>1</v>
      </c>
      <c r="AJ6770">
        <v>0</v>
      </c>
      <c r="AK6770">
        <v>138.22</v>
      </c>
      <c r="AN6770" t="s">
        <v>7439</v>
      </c>
      <c r="AO6770">
        <v>17264</v>
      </c>
      <c r="AU6770">
        <v>11</v>
      </c>
      <c r="AV6770" t="s">
        <v>769</v>
      </c>
      <c r="AW6770" t="s">
        <v>336</v>
      </c>
    </row>
    <row r="6771" spans="1:50">
      <c r="A6771" s="1">
        <f>HYPERLINK("https://lsnyc.legalserver.org/matter/dynamic-profile/view/1895331","19-1895331")</f>
        <v>0</v>
      </c>
      <c r="B6771" t="s">
        <v>169</v>
      </c>
      <c r="C6771" t="s">
        <v>341</v>
      </c>
      <c r="D6771" t="s">
        <v>793</v>
      </c>
      <c r="E6771" t="s">
        <v>779</v>
      </c>
      <c r="F6771" t="s">
        <v>3788</v>
      </c>
      <c r="G6771" t="s">
        <v>4309</v>
      </c>
      <c r="H6771" t="s">
        <v>11980</v>
      </c>
      <c r="I6771" t="s">
        <v>17348</v>
      </c>
      <c r="J6771" t="s">
        <v>18892</v>
      </c>
      <c r="K6771">
        <v>10459</v>
      </c>
      <c r="L6771" t="s">
        <v>18958</v>
      </c>
      <c r="M6771" t="s">
        <v>18958</v>
      </c>
      <c r="N6771" t="s">
        <v>23950</v>
      </c>
      <c r="O6771" t="s">
        <v>26523</v>
      </c>
      <c r="P6771" t="s">
        <v>26564</v>
      </c>
      <c r="Q6771" t="s">
        <v>26570</v>
      </c>
      <c r="R6771" t="s">
        <v>26578</v>
      </c>
      <c r="S6771" t="s">
        <v>18959</v>
      </c>
      <c r="U6771" t="s">
        <v>26604</v>
      </c>
      <c r="V6771" t="s">
        <v>26610</v>
      </c>
      <c r="W6771" t="s">
        <v>779</v>
      </c>
      <c r="X6771">
        <v>1442</v>
      </c>
      <c r="Y6771" t="s">
        <v>26650</v>
      </c>
      <c r="Z6771" t="s">
        <v>26663</v>
      </c>
      <c r="AA6771" t="s">
        <v>26683</v>
      </c>
      <c r="AB6771" t="s">
        <v>31916</v>
      </c>
      <c r="AD6771" t="s">
        <v>42205</v>
      </c>
      <c r="AE6771">
        <v>0</v>
      </c>
      <c r="AF6771" t="s">
        <v>45543</v>
      </c>
      <c r="AH6771">
        <v>17</v>
      </c>
      <c r="AI6771">
        <v>1</v>
      </c>
      <c r="AJ6771">
        <v>0</v>
      </c>
      <c r="AK6771">
        <v>51.59</v>
      </c>
      <c r="AN6771" t="s">
        <v>7439</v>
      </c>
      <c r="AO6771">
        <v>6444</v>
      </c>
      <c r="AU6771">
        <v>2</v>
      </c>
      <c r="AV6771" t="s">
        <v>779</v>
      </c>
      <c r="AW6771" t="s">
        <v>169</v>
      </c>
    </row>
    <row r="6772" spans="1:50">
      <c r="A6772" s="1">
        <f>HYPERLINK("https://lsnyc.legalserver.org/matter/dynamic-profile/view/1895332","19-1895332")</f>
        <v>0</v>
      </c>
      <c r="B6772" t="s">
        <v>263</v>
      </c>
      <c r="C6772" t="s">
        <v>341</v>
      </c>
      <c r="D6772" t="s">
        <v>793</v>
      </c>
      <c r="E6772" t="s">
        <v>767</v>
      </c>
      <c r="F6772" t="s">
        <v>1300</v>
      </c>
      <c r="G6772" t="s">
        <v>6469</v>
      </c>
      <c r="H6772" t="s">
        <v>14505</v>
      </c>
      <c r="I6772" t="s">
        <v>17276</v>
      </c>
      <c r="J6772" t="s">
        <v>18892</v>
      </c>
      <c r="K6772">
        <v>10456</v>
      </c>
      <c r="L6772" t="s">
        <v>18958</v>
      </c>
      <c r="M6772" t="s">
        <v>18958</v>
      </c>
      <c r="O6772" t="s">
        <v>18997</v>
      </c>
      <c r="P6772" t="s">
        <v>26565</v>
      </c>
      <c r="Q6772" t="s">
        <v>26571</v>
      </c>
      <c r="R6772" t="s">
        <v>26578</v>
      </c>
      <c r="S6772" t="s">
        <v>18959</v>
      </c>
      <c r="U6772" t="s">
        <v>26604</v>
      </c>
      <c r="W6772" t="s">
        <v>779</v>
      </c>
      <c r="X6772">
        <v>266</v>
      </c>
      <c r="Y6772" t="s">
        <v>26650</v>
      </c>
      <c r="Z6772" t="s">
        <v>26663</v>
      </c>
      <c r="AA6772" t="s">
        <v>26683</v>
      </c>
      <c r="AB6772" t="s">
        <v>31917</v>
      </c>
      <c r="AD6772" t="s">
        <v>42206</v>
      </c>
      <c r="AE6772">
        <v>60</v>
      </c>
      <c r="AF6772" t="s">
        <v>45541</v>
      </c>
      <c r="AG6772" t="s">
        <v>45556</v>
      </c>
      <c r="AH6772">
        <v>29</v>
      </c>
      <c r="AI6772">
        <v>1</v>
      </c>
      <c r="AJ6772">
        <v>0</v>
      </c>
      <c r="AK6772">
        <v>60.82</v>
      </c>
      <c r="AN6772" t="s">
        <v>45581</v>
      </c>
      <c r="AO6772">
        <v>7596</v>
      </c>
      <c r="AU6772">
        <v>1.75</v>
      </c>
      <c r="AV6772" t="s">
        <v>781</v>
      </c>
      <c r="AW6772" t="s">
        <v>263</v>
      </c>
    </row>
    <row r="6773" spans="1:50">
      <c r="A6773" s="1">
        <f>HYPERLINK("https://lsnyc.legalserver.org/matter/dynamic-profile/view/1895359","19-1895359")</f>
        <v>0</v>
      </c>
      <c r="B6773" t="s">
        <v>141</v>
      </c>
      <c r="C6773" t="s">
        <v>341</v>
      </c>
      <c r="D6773" t="s">
        <v>779</v>
      </c>
      <c r="E6773" t="s">
        <v>805</v>
      </c>
      <c r="F6773" t="s">
        <v>2316</v>
      </c>
      <c r="G6773" t="s">
        <v>5788</v>
      </c>
      <c r="H6773" t="s">
        <v>14506</v>
      </c>
      <c r="J6773" t="s">
        <v>18939</v>
      </c>
      <c r="K6773">
        <v>11423</v>
      </c>
      <c r="L6773" t="s">
        <v>18958</v>
      </c>
      <c r="M6773" t="s">
        <v>18958</v>
      </c>
      <c r="O6773" t="s">
        <v>26546</v>
      </c>
      <c r="P6773" t="s">
        <v>26564</v>
      </c>
      <c r="Q6773" t="s">
        <v>26570</v>
      </c>
      <c r="R6773" t="s">
        <v>26584</v>
      </c>
      <c r="S6773" t="s">
        <v>18959</v>
      </c>
      <c r="U6773" t="s">
        <v>26604</v>
      </c>
      <c r="V6773" t="s">
        <v>26610</v>
      </c>
      <c r="W6773" t="s">
        <v>779</v>
      </c>
      <c r="X6773">
        <v>1600</v>
      </c>
      <c r="Y6773" t="s">
        <v>26653</v>
      </c>
      <c r="Z6773" t="s">
        <v>26664</v>
      </c>
      <c r="AA6773" t="s">
        <v>26683</v>
      </c>
      <c r="AB6773" t="s">
        <v>30828</v>
      </c>
      <c r="AC6773" t="s">
        <v>36236</v>
      </c>
      <c r="AD6773" t="s">
        <v>42207</v>
      </c>
      <c r="AE6773">
        <v>2</v>
      </c>
      <c r="AF6773" t="s">
        <v>45547</v>
      </c>
      <c r="AG6773" t="s">
        <v>19330</v>
      </c>
      <c r="AH6773">
        <v>10</v>
      </c>
      <c r="AI6773">
        <v>1</v>
      </c>
      <c r="AJ6773">
        <v>0</v>
      </c>
      <c r="AK6773">
        <v>0</v>
      </c>
      <c r="AN6773" t="s">
        <v>7439</v>
      </c>
      <c r="AO6773">
        <v>0</v>
      </c>
      <c r="AU6773">
        <v>1.7</v>
      </c>
      <c r="AV6773" t="s">
        <v>795</v>
      </c>
      <c r="AW6773" t="s">
        <v>141</v>
      </c>
    </row>
    <row r="6774" spans="1:50">
      <c r="A6774" s="1">
        <f>HYPERLINK("https://lsnyc.legalserver.org/matter/dynamic-profile/view/1895348","19-1895348")</f>
        <v>0</v>
      </c>
      <c r="B6774" t="s">
        <v>197</v>
      </c>
      <c r="C6774" t="s">
        <v>340</v>
      </c>
      <c r="D6774" t="s">
        <v>779</v>
      </c>
      <c r="F6774" t="s">
        <v>1062</v>
      </c>
      <c r="G6774" t="s">
        <v>7253</v>
      </c>
      <c r="H6774" t="s">
        <v>10024</v>
      </c>
      <c r="I6774" t="s">
        <v>17316</v>
      </c>
      <c r="J6774" t="s">
        <v>18894</v>
      </c>
      <c r="K6774">
        <v>11221</v>
      </c>
      <c r="L6774" t="s">
        <v>18959</v>
      </c>
      <c r="M6774" t="s">
        <v>18959</v>
      </c>
      <c r="O6774" t="s">
        <v>26540</v>
      </c>
      <c r="P6774" t="s">
        <v>26560</v>
      </c>
      <c r="R6774" t="s">
        <v>26578</v>
      </c>
      <c r="S6774" t="s">
        <v>18958</v>
      </c>
      <c r="U6774" t="s">
        <v>26604</v>
      </c>
      <c r="W6774" t="s">
        <v>779</v>
      </c>
      <c r="X6774">
        <v>336.58</v>
      </c>
      <c r="Y6774" t="s">
        <v>26652</v>
      </c>
      <c r="Z6774" t="s">
        <v>26663</v>
      </c>
      <c r="AB6774" t="s">
        <v>30282</v>
      </c>
      <c r="AC6774" t="s">
        <v>35753</v>
      </c>
      <c r="AD6774" t="s">
        <v>40420</v>
      </c>
      <c r="AE6774">
        <v>12</v>
      </c>
      <c r="AF6774" t="s">
        <v>45541</v>
      </c>
      <c r="AG6774" t="s">
        <v>19330</v>
      </c>
      <c r="AH6774">
        <v>8</v>
      </c>
      <c r="AI6774">
        <v>1</v>
      </c>
      <c r="AJ6774">
        <v>1</v>
      </c>
      <c r="AK6774">
        <v>82.79000000000001</v>
      </c>
      <c r="AN6774" t="s">
        <v>7439</v>
      </c>
      <c r="AO6774">
        <v>14000</v>
      </c>
      <c r="AU6774">
        <v>0</v>
      </c>
      <c r="AW6774" t="s">
        <v>279</v>
      </c>
    </row>
    <row r="6775" spans="1:50">
      <c r="A6775" s="1">
        <f>HYPERLINK("https://lsnyc.legalserver.org/matter/dynamic-profile/view/1895340","19-1895340")</f>
        <v>0</v>
      </c>
      <c r="B6775" t="s">
        <v>197</v>
      </c>
      <c r="C6775" t="s">
        <v>340</v>
      </c>
      <c r="D6775" t="s">
        <v>779</v>
      </c>
      <c r="F6775" t="s">
        <v>1927</v>
      </c>
      <c r="G6775" t="s">
        <v>6097</v>
      </c>
      <c r="H6775" t="s">
        <v>10024</v>
      </c>
      <c r="I6775" t="s">
        <v>17299</v>
      </c>
      <c r="J6775" t="s">
        <v>18894</v>
      </c>
      <c r="K6775">
        <v>11221</v>
      </c>
      <c r="L6775" t="s">
        <v>18958</v>
      </c>
      <c r="M6775" t="s">
        <v>18959</v>
      </c>
      <c r="O6775" t="s">
        <v>26540</v>
      </c>
      <c r="P6775" t="s">
        <v>26560</v>
      </c>
      <c r="R6775" t="s">
        <v>26578</v>
      </c>
      <c r="S6775" t="s">
        <v>18958</v>
      </c>
      <c r="U6775" t="s">
        <v>26604</v>
      </c>
      <c r="W6775" t="s">
        <v>779</v>
      </c>
      <c r="X6775">
        <v>834</v>
      </c>
      <c r="Y6775" t="s">
        <v>26652</v>
      </c>
      <c r="Z6775" t="s">
        <v>26663</v>
      </c>
      <c r="AB6775" t="s">
        <v>28240</v>
      </c>
      <c r="AD6775" t="s">
        <v>38288</v>
      </c>
      <c r="AE6775">
        <v>12</v>
      </c>
      <c r="AF6775" t="s">
        <v>45541</v>
      </c>
      <c r="AG6775" t="s">
        <v>19330</v>
      </c>
      <c r="AH6775">
        <v>26</v>
      </c>
      <c r="AI6775">
        <v>5</v>
      </c>
      <c r="AJ6775">
        <v>2</v>
      </c>
      <c r="AK6775">
        <v>133.3</v>
      </c>
      <c r="AN6775" t="s">
        <v>7439</v>
      </c>
      <c r="AO6775">
        <v>52000</v>
      </c>
      <c r="AU6775">
        <v>3</v>
      </c>
      <c r="AV6775" t="s">
        <v>820</v>
      </c>
      <c r="AW6775" t="s">
        <v>279</v>
      </c>
      <c r="AX6775" t="s">
        <v>46897</v>
      </c>
    </row>
    <row r="6776" spans="1:50">
      <c r="A6776" s="1">
        <f>HYPERLINK("https://lsnyc.legalserver.org/matter/dynamic-profile/view/1895320","19-1895320")</f>
        <v>0</v>
      </c>
      <c r="B6776" t="s">
        <v>197</v>
      </c>
      <c r="C6776" t="s">
        <v>340</v>
      </c>
      <c r="D6776" t="s">
        <v>779</v>
      </c>
      <c r="F6776" t="s">
        <v>999</v>
      </c>
      <c r="G6776" t="s">
        <v>6098</v>
      </c>
      <c r="H6776" t="s">
        <v>10676</v>
      </c>
      <c r="I6776" t="s">
        <v>17299</v>
      </c>
      <c r="J6776" t="s">
        <v>18894</v>
      </c>
      <c r="K6776">
        <v>11221</v>
      </c>
      <c r="L6776" t="s">
        <v>18959</v>
      </c>
      <c r="M6776" t="s">
        <v>18959</v>
      </c>
      <c r="O6776" t="s">
        <v>26540</v>
      </c>
      <c r="P6776" t="s">
        <v>26560</v>
      </c>
      <c r="R6776" t="s">
        <v>26578</v>
      </c>
      <c r="S6776" t="s">
        <v>18958</v>
      </c>
      <c r="U6776" t="s">
        <v>26604</v>
      </c>
      <c r="W6776" t="s">
        <v>779</v>
      </c>
      <c r="X6776">
        <v>790</v>
      </c>
      <c r="Y6776" t="s">
        <v>26652</v>
      </c>
      <c r="Z6776" t="s">
        <v>26663</v>
      </c>
      <c r="AB6776" t="s">
        <v>28241</v>
      </c>
      <c r="AD6776" t="s">
        <v>38289</v>
      </c>
      <c r="AE6776">
        <v>13</v>
      </c>
      <c r="AF6776" t="s">
        <v>45541</v>
      </c>
      <c r="AG6776" t="s">
        <v>19330</v>
      </c>
      <c r="AH6776">
        <v>20</v>
      </c>
      <c r="AI6776">
        <v>1</v>
      </c>
      <c r="AJ6776">
        <v>0</v>
      </c>
      <c r="AK6776">
        <v>150.68</v>
      </c>
      <c r="AN6776" t="s">
        <v>7439</v>
      </c>
      <c r="AO6776">
        <v>18820</v>
      </c>
      <c r="AU6776">
        <v>0</v>
      </c>
      <c r="AW6776" t="s">
        <v>279</v>
      </c>
    </row>
    <row r="6777" spans="1:50">
      <c r="A6777" s="1">
        <f>HYPERLINK("https://lsnyc.legalserver.org/matter/dynamic-profile/view/1895385","19-1895385")</f>
        <v>0</v>
      </c>
      <c r="B6777" t="s">
        <v>197</v>
      </c>
      <c r="C6777" t="s">
        <v>340</v>
      </c>
      <c r="D6777" t="s">
        <v>779</v>
      </c>
      <c r="F6777" t="s">
        <v>1558</v>
      </c>
      <c r="G6777" t="s">
        <v>6667</v>
      </c>
      <c r="H6777" t="s">
        <v>10024</v>
      </c>
      <c r="I6777" t="s">
        <v>17272</v>
      </c>
      <c r="J6777" t="s">
        <v>18894</v>
      </c>
      <c r="K6777">
        <v>11221</v>
      </c>
      <c r="L6777" t="s">
        <v>18959</v>
      </c>
      <c r="M6777" t="s">
        <v>18959</v>
      </c>
      <c r="O6777" t="s">
        <v>26534</v>
      </c>
      <c r="P6777" t="s">
        <v>26560</v>
      </c>
      <c r="R6777" t="s">
        <v>26578</v>
      </c>
      <c r="S6777" t="s">
        <v>18958</v>
      </c>
      <c r="U6777" t="s">
        <v>26604</v>
      </c>
      <c r="W6777" t="s">
        <v>779</v>
      </c>
      <c r="X6777">
        <v>763</v>
      </c>
      <c r="Y6777" t="s">
        <v>26652</v>
      </c>
      <c r="Z6777" t="s">
        <v>26667</v>
      </c>
      <c r="AB6777" t="s">
        <v>29209</v>
      </c>
      <c r="AD6777" t="s">
        <v>39266</v>
      </c>
      <c r="AE6777">
        <v>12</v>
      </c>
      <c r="AF6777" t="s">
        <v>45541</v>
      </c>
      <c r="AG6777" t="s">
        <v>19330</v>
      </c>
      <c r="AH6777">
        <v>10</v>
      </c>
      <c r="AI6777">
        <v>1</v>
      </c>
      <c r="AJ6777">
        <v>0</v>
      </c>
      <c r="AK6777">
        <v>166.53</v>
      </c>
      <c r="AN6777" t="s">
        <v>7439</v>
      </c>
      <c r="AO6777">
        <v>20800</v>
      </c>
      <c r="AU6777">
        <v>5</v>
      </c>
      <c r="AV6777" t="s">
        <v>797</v>
      </c>
      <c r="AW6777" t="s">
        <v>279</v>
      </c>
    </row>
    <row r="6778" spans="1:50">
      <c r="A6778" s="1">
        <f>HYPERLINK("https://lsnyc.legalserver.org/matter/dynamic-profile/view/1895315","19-1895315")</f>
        <v>0</v>
      </c>
      <c r="B6778" t="s">
        <v>197</v>
      </c>
      <c r="C6778" t="s">
        <v>340</v>
      </c>
      <c r="D6778" t="s">
        <v>779</v>
      </c>
      <c r="F6778" t="s">
        <v>919</v>
      </c>
      <c r="G6778" t="s">
        <v>8140</v>
      </c>
      <c r="H6778" t="s">
        <v>13834</v>
      </c>
      <c r="I6778" t="s">
        <v>17307</v>
      </c>
      <c r="J6778" t="s">
        <v>18894</v>
      </c>
      <c r="K6778">
        <v>11221</v>
      </c>
      <c r="L6778" t="s">
        <v>18959</v>
      </c>
      <c r="M6778" t="s">
        <v>18959</v>
      </c>
      <c r="O6778" t="s">
        <v>26540</v>
      </c>
      <c r="P6778" t="s">
        <v>26560</v>
      </c>
      <c r="R6778" t="s">
        <v>26578</v>
      </c>
      <c r="S6778" t="s">
        <v>18958</v>
      </c>
      <c r="U6778" t="s">
        <v>26604</v>
      </c>
      <c r="W6778" t="s">
        <v>779</v>
      </c>
      <c r="X6778">
        <v>1292.5</v>
      </c>
      <c r="Y6778" t="s">
        <v>26652</v>
      </c>
      <c r="AB6778" t="s">
        <v>31279</v>
      </c>
      <c r="AD6778" t="s">
        <v>42208</v>
      </c>
      <c r="AE6778">
        <v>16</v>
      </c>
      <c r="AF6778" t="s">
        <v>45541</v>
      </c>
      <c r="AG6778" t="s">
        <v>19330</v>
      </c>
      <c r="AH6778">
        <v>10</v>
      </c>
      <c r="AI6778">
        <v>2</v>
      </c>
      <c r="AJ6778">
        <v>0</v>
      </c>
      <c r="AK6778">
        <v>184.51</v>
      </c>
      <c r="AN6778" t="s">
        <v>7439</v>
      </c>
      <c r="AO6778">
        <v>31200</v>
      </c>
      <c r="AU6778">
        <v>10</v>
      </c>
      <c r="AV6778" t="s">
        <v>807</v>
      </c>
      <c r="AW6778" t="s">
        <v>279</v>
      </c>
    </row>
    <row r="6779" spans="1:50">
      <c r="A6779" s="1">
        <f>HYPERLINK("https://lsnyc.legalserver.org/matter/dynamic-profile/view/1895371","19-1895371")</f>
        <v>0</v>
      </c>
      <c r="B6779" t="s">
        <v>197</v>
      </c>
      <c r="C6779" t="s">
        <v>340</v>
      </c>
      <c r="D6779" t="s">
        <v>779</v>
      </c>
      <c r="F6779" t="s">
        <v>1178</v>
      </c>
      <c r="G6779" t="s">
        <v>3798</v>
      </c>
      <c r="H6779" t="s">
        <v>10024</v>
      </c>
      <c r="I6779" t="s">
        <v>17322</v>
      </c>
      <c r="J6779" t="s">
        <v>18894</v>
      </c>
      <c r="K6779">
        <v>11221</v>
      </c>
      <c r="L6779" t="s">
        <v>18959</v>
      </c>
      <c r="M6779" t="s">
        <v>18959</v>
      </c>
      <c r="O6779" t="s">
        <v>26540</v>
      </c>
      <c r="P6779" t="s">
        <v>26560</v>
      </c>
      <c r="R6779" t="s">
        <v>26578</v>
      </c>
      <c r="S6779" t="s">
        <v>18958</v>
      </c>
      <c r="U6779" t="s">
        <v>26604</v>
      </c>
      <c r="W6779" t="s">
        <v>779</v>
      </c>
      <c r="X6779">
        <v>880.65</v>
      </c>
      <c r="Y6779" t="s">
        <v>26652</v>
      </c>
      <c r="Z6779" t="s">
        <v>26663</v>
      </c>
      <c r="AB6779" t="s">
        <v>27709</v>
      </c>
      <c r="AD6779" t="s">
        <v>37761</v>
      </c>
      <c r="AE6779">
        <v>12</v>
      </c>
      <c r="AF6779" t="s">
        <v>45541</v>
      </c>
      <c r="AG6779" t="s">
        <v>19330</v>
      </c>
      <c r="AH6779">
        <v>17</v>
      </c>
      <c r="AI6779">
        <v>1</v>
      </c>
      <c r="AJ6779">
        <v>1</v>
      </c>
      <c r="AK6779">
        <v>236.55</v>
      </c>
      <c r="AN6779" t="s">
        <v>7439</v>
      </c>
      <c r="AO6779">
        <v>40000</v>
      </c>
      <c r="AU6779">
        <v>0</v>
      </c>
      <c r="AW6779" t="s">
        <v>279</v>
      </c>
    </row>
    <row r="6780" spans="1:50">
      <c r="A6780" s="1">
        <f>HYPERLINK("https://lsnyc.legalserver.org/matter/dynamic-profile/view/1895326","19-1895326")</f>
        <v>0</v>
      </c>
      <c r="B6780" t="s">
        <v>197</v>
      </c>
      <c r="C6780" t="s">
        <v>340</v>
      </c>
      <c r="D6780" t="s">
        <v>779</v>
      </c>
      <c r="F6780" t="s">
        <v>1266</v>
      </c>
      <c r="G6780" t="s">
        <v>5856</v>
      </c>
      <c r="H6780" t="s">
        <v>10676</v>
      </c>
      <c r="I6780" t="s">
        <v>17283</v>
      </c>
      <c r="J6780" t="s">
        <v>18894</v>
      </c>
      <c r="K6780">
        <v>11221</v>
      </c>
      <c r="L6780" t="s">
        <v>18959</v>
      </c>
      <c r="M6780" t="s">
        <v>18959</v>
      </c>
      <c r="O6780" t="s">
        <v>26540</v>
      </c>
      <c r="P6780" t="s">
        <v>26560</v>
      </c>
      <c r="R6780" t="s">
        <v>26578</v>
      </c>
      <c r="S6780" t="s">
        <v>18958</v>
      </c>
      <c r="U6780" t="s">
        <v>26604</v>
      </c>
      <c r="W6780" t="s">
        <v>779</v>
      </c>
      <c r="X6780">
        <v>732</v>
      </c>
      <c r="Y6780" t="s">
        <v>26652</v>
      </c>
      <c r="Z6780" t="s">
        <v>26663</v>
      </c>
      <c r="AB6780" t="s">
        <v>27815</v>
      </c>
      <c r="AD6780" t="s">
        <v>37867</v>
      </c>
      <c r="AE6780">
        <v>13</v>
      </c>
      <c r="AF6780" t="s">
        <v>45541</v>
      </c>
      <c r="AG6780" t="s">
        <v>19330</v>
      </c>
      <c r="AH6780">
        <v>25</v>
      </c>
      <c r="AI6780">
        <v>3</v>
      </c>
      <c r="AJ6780">
        <v>2</v>
      </c>
      <c r="AK6780">
        <v>265.16</v>
      </c>
      <c r="AN6780" t="s">
        <v>7439</v>
      </c>
      <c r="AO6780">
        <v>80000</v>
      </c>
      <c r="AU6780">
        <v>0</v>
      </c>
      <c r="AW6780" t="s">
        <v>279</v>
      </c>
    </row>
    <row r="6781" spans="1:50">
      <c r="A6781" s="1">
        <f>HYPERLINK("https://lsnyc.legalserver.org/matter/dynamic-profile/view/1895330","19-1895330")</f>
        <v>0</v>
      </c>
      <c r="B6781" t="s">
        <v>197</v>
      </c>
      <c r="C6781" t="s">
        <v>340</v>
      </c>
      <c r="D6781" t="s">
        <v>779</v>
      </c>
      <c r="F6781" t="s">
        <v>1081</v>
      </c>
      <c r="G6781" t="s">
        <v>5815</v>
      </c>
      <c r="H6781" t="s">
        <v>10024</v>
      </c>
      <c r="I6781" t="s">
        <v>17274</v>
      </c>
      <c r="J6781" t="s">
        <v>18894</v>
      </c>
      <c r="K6781">
        <v>11221</v>
      </c>
      <c r="L6781" t="s">
        <v>18958</v>
      </c>
      <c r="M6781" t="s">
        <v>18958</v>
      </c>
      <c r="O6781" t="s">
        <v>26540</v>
      </c>
      <c r="P6781" t="s">
        <v>26560</v>
      </c>
      <c r="R6781" t="s">
        <v>26578</v>
      </c>
      <c r="S6781" t="s">
        <v>18958</v>
      </c>
      <c r="U6781" t="s">
        <v>26604</v>
      </c>
      <c r="W6781" t="s">
        <v>779</v>
      </c>
      <c r="X6781">
        <v>780</v>
      </c>
      <c r="Y6781" t="s">
        <v>26652</v>
      </c>
      <c r="Z6781" t="s">
        <v>26663</v>
      </c>
      <c r="AB6781" t="s">
        <v>27752</v>
      </c>
      <c r="AD6781" t="s">
        <v>37802</v>
      </c>
      <c r="AE6781">
        <v>12</v>
      </c>
      <c r="AF6781" t="s">
        <v>45541</v>
      </c>
      <c r="AG6781" t="s">
        <v>19330</v>
      </c>
      <c r="AH6781">
        <v>15</v>
      </c>
      <c r="AI6781">
        <v>1</v>
      </c>
      <c r="AJ6781">
        <v>0</v>
      </c>
      <c r="AK6781">
        <v>384.31</v>
      </c>
      <c r="AN6781" t="s">
        <v>7439</v>
      </c>
      <c r="AO6781">
        <v>48000</v>
      </c>
      <c r="AP6781" t="s">
        <v>46028</v>
      </c>
      <c r="AU6781">
        <v>0</v>
      </c>
      <c r="AW6781" t="s">
        <v>279</v>
      </c>
    </row>
    <row r="6782" spans="1:50">
      <c r="A6782" s="1">
        <f>HYPERLINK("https://lsnyc.legalserver.org/matter/dynamic-profile/view/1895344","19-1895344")</f>
        <v>0</v>
      </c>
      <c r="B6782" t="s">
        <v>197</v>
      </c>
      <c r="C6782" t="s">
        <v>340</v>
      </c>
      <c r="D6782" t="s">
        <v>779</v>
      </c>
      <c r="F6782" t="s">
        <v>1212</v>
      </c>
      <c r="G6782" t="s">
        <v>5390</v>
      </c>
      <c r="H6782" t="s">
        <v>10024</v>
      </c>
      <c r="I6782" t="s">
        <v>17306</v>
      </c>
      <c r="J6782" t="s">
        <v>18894</v>
      </c>
      <c r="K6782">
        <v>11221</v>
      </c>
      <c r="L6782" t="s">
        <v>18959</v>
      </c>
      <c r="M6782" t="s">
        <v>18959</v>
      </c>
      <c r="O6782" t="s">
        <v>26540</v>
      </c>
      <c r="P6782" t="s">
        <v>26560</v>
      </c>
      <c r="R6782" t="s">
        <v>26578</v>
      </c>
      <c r="S6782" t="s">
        <v>18958</v>
      </c>
      <c r="U6782" t="s">
        <v>26604</v>
      </c>
      <c r="W6782" t="s">
        <v>779</v>
      </c>
      <c r="X6782">
        <v>632.48</v>
      </c>
      <c r="Y6782" t="s">
        <v>26652</v>
      </c>
      <c r="Z6782" t="s">
        <v>26663</v>
      </c>
      <c r="AB6782" t="s">
        <v>27111</v>
      </c>
      <c r="AD6782" t="s">
        <v>37192</v>
      </c>
      <c r="AE6782">
        <v>12</v>
      </c>
      <c r="AF6782" t="s">
        <v>45541</v>
      </c>
      <c r="AG6782" t="s">
        <v>19330</v>
      </c>
      <c r="AH6782">
        <v>18</v>
      </c>
      <c r="AI6782">
        <v>3</v>
      </c>
      <c r="AJ6782">
        <v>0</v>
      </c>
      <c r="AK6782">
        <v>398.5</v>
      </c>
      <c r="AN6782" t="s">
        <v>7439</v>
      </c>
      <c r="AO6782">
        <v>85000</v>
      </c>
      <c r="AU6782">
        <v>0</v>
      </c>
      <c r="AW6782" t="s">
        <v>279</v>
      </c>
    </row>
    <row r="6783" spans="1:50">
      <c r="A6783" s="1">
        <f>HYPERLINK("https://lsnyc.legalserver.org/matter/dynamic-profile/view/1895335","19-1895335")</f>
        <v>0</v>
      </c>
      <c r="B6783" t="s">
        <v>137</v>
      </c>
      <c r="C6783" t="s">
        <v>340</v>
      </c>
      <c r="D6783" t="s">
        <v>779</v>
      </c>
      <c r="F6783" t="s">
        <v>1390</v>
      </c>
      <c r="G6783" t="s">
        <v>3372</v>
      </c>
      <c r="H6783" t="s">
        <v>10024</v>
      </c>
      <c r="I6783" t="s">
        <v>17355</v>
      </c>
      <c r="J6783" t="s">
        <v>18894</v>
      </c>
      <c r="K6783">
        <v>11221</v>
      </c>
      <c r="L6783" t="s">
        <v>18959</v>
      </c>
      <c r="M6783" t="s">
        <v>18959</v>
      </c>
      <c r="O6783" t="s">
        <v>26540</v>
      </c>
      <c r="P6783" t="s">
        <v>26560</v>
      </c>
      <c r="R6783" t="s">
        <v>26578</v>
      </c>
      <c r="S6783" t="s">
        <v>18958</v>
      </c>
      <c r="U6783" t="s">
        <v>26604</v>
      </c>
      <c r="V6783" t="s">
        <v>26611</v>
      </c>
      <c r="W6783" t="s">
        <v>779</v>
      </c>
      <c r="X6783">
        <v>793</v>
      </c>
      <c r="Y6783" t="s">
        <v>26652</v>
      </c>
      <c r="Z6783" t="s">
        <v>26663</v>
      </c>
      <c r="AB6783" t="s">
        <v>27814</v>
      </c>
      <c r="AD6783" t="s">
        <v>37866</v>
      </c>
      <c r="AE6783">
        <v>12</v>
      </c>
      <c r="AF6783" t="s">
        <v>45541</v>
      </c>
      <c r="AG6783" t="s">
        <v>19330</v>
      </c>
      <c r="AH6783">
        <v>15</v>
      </c>
      <c r="AI6783">
        <v>1</v>
      </c>
      <c r="AJ6783">
        <v>0</v>
      </c>
      <c r="AK6783">
        <v>72.86</v>
      </c>
      <c r="AN6783" t="s">
        <v>7439</v>
      </c>
      <c r="AO6783">
        <v>9100</v>
      </c>
      <c r="AU6783">
        <v>0</v>
      </c>
      <c r="AW6783" t="s">
        <v>279</v>
      </c>
    </row>
    <row r="6784" spans="1:50">
      <c r="A6784" s="1">
        <f>HYPERLINK("https://lsnyc.legalserver.org/matter/dynamic-profile/view/1895346","19-1895346")</f>
        <v>0</v>
      </c>
      <c r="B6784" t="s">
        <v>211</v>
      </c>
      <c r="C6784" t="s">
        <v>340</v>
      </c>
      <c r="D6784" t="s">
        <v>779</v>
      </c>
      <c r="F6784" t="s">
        <v>1197</v>
      </c>
      <c r="G6784" t="s">
        <v>6199</v>
      </c>
      <c r="H6784" t="s">
        <v>10465</v>
      </c>
      <c r="I6784" t="s">
        <v>17360</v>
      </c>
      <c r="J6784" t="s">
        <v>18894</v>
      </c>
      <c r="K6784">
        <v>11212</v>
      </c>
      <c r="L6784" t="s">
        <v>18958</v>
      </c>
      <c r="M6784" t="s">
        <v>18958</v>
      </c>
      <c r="O6784" t="s">
        <v>26540</v>
      </c>
      <c r="P6784" t="s">
        <v>26566</v>
      </c>
      <c r="R6784" t="s">
        <v>26578</v>
      </c>
      <c r="S6784" t="s">
        <v>18958</v>
      </c>
      <c r="U6784" t="s">
        <v>26604</v>
      </c>
      <c r="W6784" t="s">
        <v>779</v>
      </c>
      <c r="X6784">
        <v>1300</v>
      </c>
      <c r="Y6784" t="s">
        <v>26652</v>
      </c>
      <c r="Z6784" t="s">
        <v>26667</v>
      </c>
      <c r="AB6784" t="s">
        <v>28423</v>
      </c>
      <c r="AD6784" t="s">
        <v>38478</v>
      </c>
      <c r="AE6784">
        <v>19</v>
      </c>
      <c r="AF6784" t="s">
        <v>45541</v>
      </c>
      <c r="AG6784" t="s">
        <v>45556</v>
      </c>
      <c r="AH6784">
        <v>15</v>
      </c>
      <c r="AI6784">
        <v>2</v>
      </c>
      <c r="AJ6784">
        <v>0</v>
      </c>
      <c r="AK6784">
        <v>53.65</v>
      </c>
      <c r="AN6784" t="s">
        <v>7439</v>
      </c>
      <c r="AO6784">
        <v>9072</v>
      </c>
      <c r="AU6784">
        <v>0</v>
      </c>
      <c r="AW6784" t="s">
        <v>286</v>
      </c>
    </row>
    <row r="6785" spans="1:50">
      <c r="A6785" s="1">
        <f>HYPERLINK("https://lsnyc.legalserver.org/matter/dynamic-profile/view/1895338","19-1895338")</f>
        <v>0</v>
      </c>
      <c r="B6785" t="s">
        <v>134</v>
      </c>
      <c r="C6785" t="s">
        <v>340</v>
      </c>
      <c r="D6785" t="s">
        <v>779</v>
      </c>
      <c r="F6785" t="s">
        <v>1510</v>
      </c>
      <c r="G6785" t="s">
        <v>5717</v>
      </c>
      <c r="H6785" t="s">
        <v>10024</v>
      </c>
      <c r="I6785" t="s">
        <v>17283</v>
      </c>
      <c r="J6785" t="s">
        <v>18894</v>
      </c>
      <c r="K6785">
        <v>11221</v>
      </c>
      <c r="L6785" t="s">
        <v>18958</v>
      </c>
      <c r="M6785" t="s">
        <v>18959</v>
      </c>
      <c r="O6785" t="s">
        <v>26540</v>
      </c>
      <c r="P6785" t="s">
        <v>26560</v>
      </c>
      <c r="R6785" t="s">
        <v>26578</v>
      </c>
      <c r="S6785" t="s">
        <v>18958</v>
      </c>
      <c r="U6785" t="s">
        <v>26604</v>
      </c>
      <c r="V6785" t="s">
        <v>26610</v>
      </c>
      <c r="W6785" t="s">
        <v>779</v>
      </c>
      <c r="X6785">
        <v>1091.82</v>
      </c>
      <c r="Y6785" t="s">
        <v>26652</v>
      </c>
      <c r="Z6785" t="s">
        <v>26663</v>
      </c>
      <c r="AB6785" t="s">
        <v>27607</v>
      </c>
      <c r="AC6785" t="s">
        <v>34508</v>
      </c>
      <c r="AD6785" t="s">
        <v>37663</v>
      </c>
      <c r="AE6785">
        <v>12</v>
      </c>
      <c r="AF6785" t="s">
        <v>45541</v>
      </c>
      <c r="AG6785" t="s">
        <v>45556</v>
      </c>
      <c r="AH6785">
        <v>12</v>
      </c>
      <c r="AI6785">
        <v>1</v>
      </c>
      <c r="AJ6785">
        <v>0</v>
      </c>
      <c r="AK6785">
        <v>147.93</v>
      </c>
      <c r="AN6785" t="s">
        <v>7439</v>
      </c>
      <c r="AO6785">
        <v>18476.9</v>
      </c>
      <c r="AU6785">
        <v>9.4</v>
      </c>
      <c r="AV6785" t="s">
        <v>833</v>
      </c>
      <c r="AW6785" t="s">
        <v>279</v>
      </c>
      <c r="AX6785" t="s">
        <v>46897</v>
      </c>
    </row>
    <row r="6786" spans="1:50">
      <c r="A6786" s="1">
        <f>HYPERLINK("https://lsnyc.legalserver.org/matter/dynamic-profile/view/1895370","19-1895370")</f>
        <v>0</v>
      </c>
      <c r="B6786" t="s">
        <v>116</v>
      </c>
      <c r="C6786" t="s">
        <v>340</v>
      </c>
      <c r="D6786" t="s">
        <v>779</v>
      </c>
      <c r="F6786" t="s">
        <v>1416</v>
      </c>
      <c r="G6786" t="s">
        <v>1725</v>
      </c>
      <c r="H6786" t="s">
        <v>10465</v>
      </c>
      <c r="I6786" t="s">
        <v>17275</v>
      </c>
      <c r="J6786" t="s">
        <v>18894</v>
      </c>
      <c r="K6786">
        <v>11212</v>
      </c>
      <c r="L6786" t="s">
        <v>18958</v>
      </c>
      <c r="M6786" t="s">
        <v>18958</v>
      </c>
      <c r="O6786" t="s">
        <v>26540</v>
      </c>
      <c r="P6786" t="s">
        <v>26566</v>
      </c>
      <c r="R6786" t="s">
        <v>26578</v>
      </c>
      <c r="S6786" t="s">
        <v>18958</v>
      </c>
      <c r="U6786" t="s">
        <v>26604</v>
      </c>
      <c r="W6786" t="s">
        <v>779</v>
      </c>
      <c r="X6786">
        <v>8730</v>
      </c>
      <c r="Y6786" t="s">
        <v>26652</v>
      </c>
      <c r="Z6786" t="s">
        <v>26657</v>
      </c>
      <c r="AB6786" t="s">
        <v>27579</v>
      </c>
      <c r="AC6786" t="s">
        <v>36237</v>
      </c>
      <c r="AD6786" t="s">
        <v>37637</v>
      </c>
      <c r="AE6786">
        <v>10</v>
      </c>
      <c r="AF6786" t="s">
        <v>45541</v>
      </c>
      <c r="AG6786" t="s">
        <v>45560</v>
      </c>
      <c r="AH6786">
        <v>1</v>
      </c>
      <c r="AI6786">
        <v>1</v>
      </c>
      <c r="AJ6786">
        <v>0</v>
      </c>
      <c r="AK6786">
        <v>16.24</v>
      </c>
      <c r="AN6786" t="s">
        <v>7439</v>
      </c>
      <c r="AO6786">
        <v>2028</v>
      </c>
      <c r="AU6786">
        <v>0</v>
      </c>
      <c r="AW6786" t="s">
        <v>286</v>
      </c>
    </row>
    <row r="6787" spans="1:50">
      <c r="A6787" s="1">
        <f>HYPERLINK("https://lsnyc.legalserver.org/matter/dynamic-profile/view/1895376","19-1895376")</f>
        <v>0</v>
      </c>
      <c r="B6787" t="s">
        <v>116</v>
      </c>
      <c r="C6787" t="s">
        <v>340</v>
      </c>
      <c r="D6787" t="s">
        <v>779</v>
      </c>
      <c r="F6787" t="s">
        <v>1863</v>
      </c>
      <c r="G6787" t="s">
        <v>6043</v>
      </c>
      <c r="H6787" t="s">
        <v>10465</v>
      </c>
      <c r="I6787" t="s">
        <v>17388</v>
      </c>
      <c r="J6787" t="s">
        <v>18894</v>
      </c>
      <c r="K6787">
        <v>11212</v>
      </c>
      <c r="L6787" t="s">
        <v>18958</v>
      </c>
      <c r="M6787" t="s">
        <v>18958</v>
      </c>
      <c r="O6787" t="s">
        <v>26540</v>
      </c>
      <c r="P6787" t="s">
        <v>26566</v>
      </c>
      <c r="R6787" t="s">
        <v>26578</v>
      </c>
      <c r="S6787" t="s">
        <v>18958</v>
      </c>
      <c r="U6787" t="s">
        <v>26604</v>
      </c>
      <c r="W6787" t="s">
        <v>779</v>
      </c>
      <c r="X6787">
        <v>389.17</v>
      </c>
      <c r="Y6787" t="s">
        <v>26652</v>
      </c>
      <c r="Z6787" t="s">
        <v>26667</v>
      </c>
      <c r="AB6787" t="s">
        <v>28139</v>
      </c>
      <c r="AD6787" t="s">
        <v>38188</v>
      </c>
      <c r="AE6787">
        <v>10</v>
      </c>
      <c r="AF6787" t="s">
        <v>45541</v>
      </c>
      <c r="AG6787" t="s">
        <v>19330</v>
      </c>
      <c r="AH6787">
        <v>6</v>
      </c>
      <c r="AI6787">
        <v>1</v>
      </c>
      <c r="AJ6787">
        <v>0</v>
      </c>
      <c r="AK6787">
        <v>72.86</v>
      </c>
      <c r="AN6787" t="s">
        <v>7439</v>
      </c>
      <c r="AO6787">
        <v>9100</v>
      </c>
      <c r="AU6787">
        <v>0</v>
      </c>
      <c r="AW6787" t="s">
        <v>286</v>
      </c>
    </row>
    <row r="6788" spans="1:50">
      <c r="A6788" s="1">
        <f>HYPERLINK("https://lsnyc.legalserver.org/matter/dynamic-profile/view/1895312","19-1895312")</f>
        <v>0</v>
      </c>
      <c r="B6788" t="s">
        <v>116</v>
      </c>
      <c r="C6788" t="s">
        <v>340</v>
      </c>
      <c r="D6788" t="s">
        <v>779</v>
      </c>
      <c r="F6788" t="s">
        <v>1283</v>
      </c>
      <c r="G6788" t="s">
        <v>6186</v>
      </c>
      <c r="H6788" t="s">
        <v>10611</v>
      </c>
      <c r="I6788" t="s">
        <v>17306</v>
      </c>
      <c r="J6788" t="s">
        <v>18894</v>
      </c>
      <c r="K6788">
        <v>11212</v>
      </c>
      <c r="L6788" t="s">
        <v>18958</v>
      </c>
      <c r="M6788" t="s">
        <v>18958</v>
      </c>
      <c r="O6788" t="s">
        <v>26540</v>
      </c>
      <c r="P6788" t="s">
        <v>26560</v>
      </c>
      <c r="R6788" t="s">
        <v>26578</v>
      </c>
      <c r="S6788" t="s">
        <v>18958</v>
      </c>
      <c r="U6788" t="s">
        <v>26604</v>
      </c>
      <c r="W6788" t="s">
        <v>779</v>
      </c>
      <c r="X6788">
        <v>625.95</v>
      </c>
      <c r="Y6788" t="s">
        <v>26652</v>
      </c>
      <c r="Z6788" t="s">
        <v>26667</v>
      </c>
      <c r="AB6788" t="s">
        <v>28409</v>
      </c>
      <c r="AD6788" t="s">
        <v>38458</v>
      </c>
      <c r="AE6788">
        <v>8</v>
      </c>
      <c r="AF6788" t="s">
        <v>45541</v>
      </c>
      <c r="AG6788" t="s">
        <v>19330</v>
      </c>
      <c r="AH6788">
        <v>22</v>
      </c>
      <c r="AI6788">
        <v>2</v>
      </c>
      <c r="AJ6788">
        <v>0</v>
      </c>
      <c r="AK6788">
        <v>165.58</v>
      </c>
      <c r="AN6788" t="s">
        <v>7439</v>
      </c>
      <c r="AO6788">
        <v>28000</v>
      </c>
      <c r="AP6788" t="s">
        <v>46029</v>
      </c>
      <c r="AU6788">
        <v>0</v>
      </c>
      <c r="AW6788" t="s">
        <v>279</v>
      </c>
    </row>
    <row r="6789" spans="1:50">
      <c r="A6789" s="1">
        <f>HYPERLINK("https://lsnyc.legalserver.org/matter/dynamic-profile/view/1895306","19-1895306")</f>
        <v>0</v>
      </c>
      <c r="B6789" t="s">
        <v>116</v>
      </c>
      <c r="C6789" t="s">
        <v>340</v>
      </c>
      <c r="D6789" t="s">
        <v>779</v>
      </c>
      <c r="F6789" t="s">
        <v>1614</v>
      </c>
      <c r="G6789" t="s">
        <v>5761</v>
      </c>
      <c r="H6789" t="s">
        <v>10611</v>
      </c>
      <c r="I6789" t="s">
        <v>17277</v>
      </c>
      <c r="J6789" t="s">
        <v>18894</v>
      </c>
      <c r="K6789">
        <v>11212</v>
      </c>
      <c r="L6789" t="s">
        <v>18958</v>
      </c>
      <c r="M6789" t="s">
        <v>18958</v>
      </c>
      <c r="O6789" t="s">
        <v>26540</v>
      </c>
      <c r="P6789" t="s">
        <v>26566</v>
      </c>
      <c r="R6789" t="s">
        <v>26578</v>
      </c>
      <c r="S6789" t="s">
        <v>18958</v>
      </c>
      <c r="U6789" t="s">
        <v>26604</v>
      </c>
      <c r="W6789" t="s">
        <v>779</v>
      </c>
      <c r="X6789">
        <v>839.77</v>
      </c>
      <c r="Y6789" t="s">
        <v>26652</v>
      </c>
      <c r="Z6789" t="s">
        <v>26667</v>
      </c>
      <c r="AB6789" t="s">
        <v>27737</v>
      </c>
      <c r="AD6789" t="s">
        <v>37789</v>
      </c>
      <c r="AE6789">
        <v>8</v>
      </c>
      <c r="AF6789" t="s">
        <v>45541</v>
      </c>
      <c r="AG6789" t="s">
        <v>19330</v>
      </c>
      <c r="AH6789">
        <v>24</v>
      </c>
      <c r="AI6789">
        <v>1</v>
      </c>
      <c r="AJ6789">
        <v>0</v>
      </c>
      <c r="AK6789">
        <v>248.47</v>
      </c>
      <c r="AN6789" t="s">
        <v>7439</v>
      </c>
      <c r="AO6789">
        <v>31033.6</v>
      </c>
      <c r="AU6789">
        <v>0</v>
      </c>
      <c r="AW6789" t="s">
        <v>279</v>
      </c>
    </row>
    <row r="6790" spans="1:50">
      <c r="A6790" s="1">
        <f>HYPERLINK("https://lsnyc.legalserver.org/matter/dynamic-profile/view/1895374","19-1895374")</f>
        <v>0</v>
      </c>
      <c r="B6790" t="s">
        <v>116</v>
      </c>
      <c r="C6790" t="s">
        <v>340</v>
      </c>
      <c r="D6790" t="s">
        <v>779</v>
      </c>
      <c r="F6790" t="s">
        <v>1579</v>
      </c>
      <c r="G6790" t="s">
        <v>5079</v>
      </c>
      <c r="H6790" t="s">
        <v>10465</v>
      </c>
      <c r="I6790" t="s">
        <v>17277</v>
      </c>
      <c r="J6790" t="s">
        <v>18894</v>
      </c>
      <c r="K6790">
        <v>11212</v>
      </c>
      <c r="L6790" t="s">
        <v>18958</v>
      </c>
      <c r="M6790" t="s">
        <v>18958</v>
      </c>
      <c r="O6790" t="s">
        <v>26540</v>
      </c>
      <c r="P6790" t="s">
        <v>26566</v>
      </c>
      <c r="R6790" t="s">
        <v>26578</v>
      </c>
      <c r="S6790" t="s">
        <v>18958</v>
      </c>
      <c r="U6790" t="s">
        <v>26604</v>
      </c>
      <c r="W6790" t="s">
        <v>779</v>
      </c>
      <c r="X6790">
        <v>1122</v>
      </c>
      <c r="Y6790" t="s">
        <v>26652</v>
      </c>
      <c r="Z6790" t="s">
        <v>26667</v>
      </c>
      <c r="AB6790" t="s">
        <v>30427</v>
      </c>
      <c r="AE6790">
        <v>0</v>
      </c>
      <c r="AF6790" t="s">
        <v>45541</v>
      </c>
      <c r="AH6790">
        <v>3</v>
      </c>
      <c r="AI6790">
        <v>2</v>
      </c>
      <c r="AJ6790">
        <v>0</v>
      </c>
      <c r="AK6790">
        <v>336.72</v>
      </c>
      <c r="AN6790" t="s">
        <v>7439</v>
      </c>
      <c r="AO6790">
        <v>56940</v>
      </c>
      <c r="AU6790">
        <v>0</v>
      </c>
      <c r="AW6790" t="s">
        <v>286</v>
      </c>
    </row>
    <row r="6791" spans="1:50">
      <c r="A6791" s="1">
        <f>HYPERLINK("https://lsnyc.legalserver.org/matter/dynamic-profile/view/1895343","19-1895343")</f>
        <v>0</v>
      </c>
      <c r="B6791" t="s">
        <v>116</v>
      </c>
      <c r="C6791" t="s">
        <v>340</v>
      </c>
      <c r="D6791" t="s">
        <v>779</v>
      </c>
      <c r="F6791" t="s">
        <v>1587</v>
      </c>
      <c r="G6791" t="s">
        <v>923</v>
      </c>
      <c r="H6791" t="s">
        <v>10465</v>
      </c>
      <c r="J6791" t="s">
        <v>18894</v>
      </c>
      <c r="K6791">
        <v>11212</v>
      </c>
      <c r="L6791" t="s">
        <v>18958</v>
      </c>
      <c r="M6791" t="s">
        <v>18958</v>
      </c>
      <c r="O6791" t="s">
        <v>26540</v>
      </c>
      <c r="P6791" t="s">
        <v>26566</v>
      </c>
      <c r="R6791" t="s">
        <v>26578</v>
      </c>
      <c r="S6791" t="s">
        <v>18958</v>
      </c>
      <c r="U6791" t="s">
        <v>26604</v>
      </c>
      <c r="W6791" t="s">
        <v>779</v>
      </c>
      <c r="X6791">
        <v>770.47</v>
      </c>
      <c r="Y6791" t="s">
        <v>26652</v>
      </c>
      <c r="Z6791" t="s">
        <v>26667</v>
      </c>
      <c r="AB6791" t="s">
        <v>27770</v>
      </c>
      <c r="AD6791" t="s">
        <v>37823</v>
      </c>
      <c r="AE6791">
        <v>19</v>
      </c>
      <c r="AF6791" t="s">
        <v>45541</v>
      </c>
      <c r="AG6791" t="s">
        <v>19330</v>
      </c>
      <c r="AH6791">
        <v>21</v>
      </c>
      <c r="AI6791">
        <v>2</v>
      </c>
      <c r="AJ6791">
        <v>0</v>
      </c>
      <c r="AK6791">
        <v>354.82</v>
      </c>
      <c r="AN6791" t="s">
        <v>7439</v>
      </c>
      <c r="AO6791">
        <v>60000</v>
      </c>
      <c r="AU6791">
        <v>0</v>
      </c>
      <c r="AW6791" t="s">
        <v>286</v>
      </c>
    </row>
    <row r="6792" spans="1:50">
      <c r="A6792" s="1">
        <f>HYPERLINK("https://lsnyc.legalserver.org/matter/dynamic-profile/view/1895278","19-1895278")</f>
        <v>0</v>
      </c>
      <c r="B6792" t="s">
        <v>258</v>
      </c>
      <c r="C6792" t="s">
        <v>340</v>
      </c>
      <c r="D6792" t="s">
        <v>779</v>
      </c>
      <c r="F6792" t="s">
        <v>2121</v>
      </c>
      <c r="G6792" t="s">
        <v>5138</v>
      </c>
      <c r="H6792" t="s">
        <v>14507</v>
      </c>
      <c r="I6792">
        <v>552</v>
      </c>
      <c r="J6792" t="s">
        <v>18900</v>
      </c>
      <c r="K6792">
        <v>11367</v>
      </c>
      <c r="L6792" t="s">
        <v>18958</v>
      </c>
      <c r="M6792" t="s">
        <v>18958</v>
      </c>
      <c r="N6792" t="s">
        <v>23951</v>
      </c>
      <c r="O6792" t="s">
        <v>26523</v>
      </c>
      <c r="P6792" t="s">
        <v>26560</v>
      </c>
      <c r="R6792" t="s">
        <v>26578</v>
      </c>
      <c r="S6792" t="s">
        <v>18959</v>
      </c>
      <c r="U6792" t="s">
        <v>26604</v>
      </c>
      <c r="V6792" t="s">
        <v>26612</v>
      </c>
      <c r="W6792" t="s">
        <v>779</v>
      </c>
      <c r="X6792">
        <v>2900</v>
      </c>
      <c r="Y6792" t="s">
        <v>26653</v>
      </c>
      <c r="Z6792" t="s">
        <v>26664</v>
      </c>
      <c r="AB6792" t="s">
        <v>28939</v>
      </c>
      <c r="AC6792" t="s">
        <v>36238</v>
      </c>
      <c r="AD6792" t="s">
        <v>42209</v>
      </c>
      <c r="AE6792">
        <v>393</v>
      </c>
      <c r="AF6792" t="s">
        <v>45541</v>
      </c>
      <c r="AG6792" t="s">
        <v>19330</v>
      </c>
      <c r="AH6792">
        <v>3</v>
      </c>
      <c r="AI6792">
        <v>1</v>
      </c>
      <c r="AJ6792">
        <v>0</v>
      </c>
      <c r="AK6792">
        <v>192.15</v>
      </c>
      <c r="AN6792" t="s">
        <v>7439</v>
      </c>
      <c r="AO6792">
        <v>24000</v>
      </c>
      <c r="AU6792">
        <v>37.2</v>
      </c>
      <c r="AV6792" t="s">
        <v>836</v>
      </c>
      <c r="AW6792" t="s">
        <v>258</v>
      </c>
      <c r="AX6792" t="s">
        <v>46897</v>
      </c>
    </row>
    <row r="6793" spans="1:50">
      <c r="A6793" s="1">
        <f>HYPERLINK("https://lsnyc.legalserver.org/matter/dynamic-profile/view/1895140","19-1895140")</f>
        <v>0</v>
      </c>
      <c r="B6793" t="s">
        <v>110</v>
      </c>
      <c r="C6793" t="s">
        <v>340</v>
      </c>
      <c r="D6793" t="s">
        <v>779</v>
      </c>
      <c r="F6793" t="s">
        <v>3789</v>
      </c>
      <c r="G6793" t="s">
        <v>1128</v>
      </c>
      <c r="J6793" t="s">
        <v>18899</v>
      </c>
      <c r="K6793">
        <v>11385</v>
      </c>
      <c r="L6793" t="s">
        <v>18960</v>
      </c>
      <c r="M6793" t="s">
        <v>18958</v>
      </c>
      <c r="N6793" t="s">
        <v>23952</v>
      </c>
      <c r="O6793" t="s">
        <v>26524</v>
      </c>
      <c r="P6793" t="s">
        <v>26560</v>
      </c>
      <c r="R6793" t="s">
        <v>26585</v>
      </c>
      <c r="S6793" t="s">
        <v>18959</v>
      </c>
      <c r="U6793" t="s">
        <v>26604</v>
      </c>
      <c r="W6793" t="s">
        <v>779</v>
      </c>
      <c r="X6793">
        <v>1650</v>
      </c>
      <c r="Y6793" t="s">
        <v>26653</v>
      </c>
      <c r="Z6793" t="s">
        <v>26664</v>
      </c>
      <c r="AB6793" t="s">
        <v>31918</v>
      </c>
      <c r="AC6793" t="s">
        <v>19045</v>
      </c>
      <c r="AD6793" t="s">
        <v>42210</v>
      </c>
      <c r="AE6793">
        <v>2</v>
      </c>
      <c r="AF6793" t="s">
        <v>45547</v>
      </c>
      <c r="AH6793">
        <v>3</v>
      </c>
      <c r="AI6793">
        <v>1</v>
      </c>
      <c r="AJ6793">
        <v>3</v>
      </c>
      <c r="AK6793">
        <v>194.17</v>
      </c>
      <c r="AN6793" t="s">
        <v>7439</v>
      </c>
      <c r="AO6793">
        <v>50000</v>
      </c>
      <c r="AU6793">
        <v>7.15</v>
      </c>
      <c r="AV6793" t="s">
        <v>800</v>
      </c>
      <c r="AW6793" t="s">
        <v>247</v>
      </c>
    </row>
    <row r="6794" spans="1:50">
      <c r="A6794" s="1">
        <f>HYPERLINK("https://lsnyc.legalserver.org/matter/dynamic-profile/view/1895361","19-1895361")</f>
        <v>0</v>
      </c>
      <c r="B6794" t="s">
        <v>64</v>
      </c>
      <c r="C6794" t="s">
        <v>340</v>
      </c>
      <c r="D6794" t="s">
        <v>779</v>
      </c>
      <c r="F6794" t="s">
        <v>2923</v>
      </c>
      <c r="G6794" t="s">
        <v>7178</v>
      </c>
      <c r="H6794" t="s">
        <v>12847</v>
      </c>
      <c r="I6794" t="s">
        <v>17389</v>
      </c>
      <c r="J6794" t="s">
        <v>18892</v>
      </c>
      <c r="K6794">
        <v>10456</v>
      </c>
      <c r="L6794" t="s">
        <v>18958</v>
      </c>
      <c r="M6794" t="s">
        <v>18958</v>
      </c>
      <c r="N6794" t="s">
        <v>23953</v>
      </c>
      <c r="O6794" t="s">
        <v>26525</v>
      </c>
      <c r="P6794" t="s">
        <v>26561</v>
      </c>
      <c r="R6794" t="s">
        <v>26577</v>
      </c>
      <c r="U6794" t="s">
        <v>26605</v>
      </c>
      <c r="V6794" t="s">
        <v>26610</v>
      </c>
      <c r="W6794" t="s">
        <v>779</v>
      </c>
      <c r="X6794">
        <v>480</v>
      </c>
      <c r="Y6794" t="s">
        <v>26650</v>
      </c>
      <c r="Z6794" t="s">
        <v>26668</v>
      </c>
      <c r="AB6794" t="s">
        <v>30130</v>
      </c>
      <c r="AC6794" t="s">
        <v>35709</v>
      </c>
      <c r="AD6794" t="s">
        <v>40266</v>
      </c>
      <c r="AE6794">
        <v>0</v>
      </c>
      <c r="AF6794" t="s">
        <v>45542</v>
      </c>
      <c r="AG6794" t="s">
        <v>26530</v>
      </c>
      <c r="AH6794">
        <v>4</v>
      </c>
      <c r="AI6794">
        <v>1</v>
      </c>
      <c r="AJ6794">
        <v>1</v>
      </c>
      <c r="AK6794">
        <v>119.93</v>
      </c>
      <c r="AN6794" t="s">
        <v>7439</v>
      </c>
      <c r="AO6794">
        <v>20280</v>
      </c>
      <c r="AP6794" t="s">
        <v>46030</v>
      </c>
      <c r="AU6794">
        <v>6.5</v>
      </c>
      <c r="AV6794" t="s">
        <v>836</v>
      </c>
      <c r="AW6794" t="s">
        <v>64</v>
      </c>
    </row>
    <row r="6795" spans="1:50">
      <c r="A6795" s="1">
        <f>HYPERLINK("https://lsnyc.legalserver.org/matter/dynamic-profile/view/1895252","19-1895252")</f>
        <v>0</v>
      </c>
      <c r="B6795" t="s">
        <v>235</v>
      </c>
      <c r="C6795" t="s">
        <v>340</v>
      </c>
      <c r="D6795" t="s">
        <v>779</v>
      </c>
      <c r="F6795" t="s">
        <v>3790</v>
      </c>
      <c r="G6795" t="s">
        <v>5689</v>
      </c>
      <c r="H6795" t="s">
        <v>14508</v>
      </c>
      <c r="J6795" t="s">
        <v>18918</v>
      </c>
      <c r="K6795">
        <v>11417</v>
      </c>
      <c r="L6795" t="s">
        <v>18958</v>
      </c>
      <c r="M6795" t="s">
        <v>18958</v>
      </c>
      <c r="N6795" t="s">
        <v>23954</v>
      </c>
      <c r="O6795" t="s">
        <v>26524</v>
      </c>
      <c r="P6795" t="s">
        <v>26563</v>
      </c>
      <c r="R6795" t="s">
        <v>26584</v>
      </c>
      <c r="U6795" t="s">
        <v>26604</v>
      </c>
      <c r="V6795" t="s">
        <v>26609</v>
      </c>
      <c r="W6795" t="s">
        <v>779</v>
      </c>
      <c r="X6795">
        <v>1200</v>
      </c>
      <c r="Y6795" t="s">
        <v>26653</v>
      </c>
      <c r="Z6795" t="s">
        <v>26664</v>
      </c>
      <c r="AB6795" t="s">
        <v>27650</v>
      </c>
      <c r="AE6795">
        <v>0</v>
      </c>
      <c r="AH6795">
        <v>0</v>
      </c>
      <c r="AI6795">
        <v>3</v>
      </c>
      <c r="AJ6795">
        <v>2</v>
      </c>
      <c r="AK6795">
        <v>116.01</v>
      </c>
      <c r="AN6795" t="s">
        <v>7439</v>
      </c>
      <c r="AO6795">
        <v>35000</v>
      </c>
      <c r="AU6795">
        <v>2</v>
      </c>
      <c r="AV6795" t="s">
        <v>822</v>
      </c>
      <c r="AW6795" t="s">
        <v>46884</v>
      </c>
    </row>
    <row r="6796" spans="1:50">
      <c r="A6796" s="1">
        <f>HYPERLINK("https://lsnyc.legalserver.org/matter/dynamic-profile/view/1895304","19-1895304")</f>
        <v>0</v>
      </c>
      <c r="B6796" t="s">
        <v>157</v>
      </c>
      <c r="C6796" t="s">
        <v>340</v>
      </c>
      <c r="D6796" t="s">
        <v>779</v>
      </c>
      <c r="F6796" t="s">
        <v>2897</v>
      </c>
      <c r="G6796" t="s">
        <v>5706</v>
      </c>
      <c r="H6796" t="s">
        <v>14509</v>
      </c>
      <c r="I6796" t="s">
        <v>17445</v>
      </c>
      <c r="J6796" t="s">
        <v>18893</v>
      </c>
      <c r="K6796">
        <v>10034</v>
      </c>
      <c r="L6796" t="s">
        <v>18958</v>
      </c>
      <c r="M6796" t="s">
        <v>18960</v>
      </c>
      <c r="N6796" t="s">
        <v>23955</v>
      </c>
      <c r="O6796" t="s">
        <v>26558</v>
      </c>
      <c r="P6796" t="s">
        <v>26565</v>
      </c>
      <c r="R6796" t="s">
        <v>26578</v>
      </c>
      <c r="S6796" t="s">
        <v>18959</v>
      </c>
      <c r="U6796" t="s">
        <v>26604</v>
      </c>
      <c r="V6796" t="s">
        <v>26610</v>
      </c>
      <c r="W6796" t="s">
        <v>779</v>
      </c>
      <c r="X6796">
        <v>789.63</v>
      </c>
      <c r="Y6796" t="s">
        <v>26651</v>
      </c>
      <c r="Z6796" t="s">
        <v>26667</v>
      </c>
      <c r="AB6796" t="s">
        <v>31919</v>
      </c>
      <c r="AD6796" t="s">
        <v>42211</v>
      </c>
      <c r="AE6796">
        <v>49</v>
      </c>
      <c r="AF6796" t="s">
        <v>45541</v>
      </c>
      <c r="AH6796">
        <v>41</v>
      </c>
      <c r="AI6796">
        <v>1</v>
      </c>
      <c r="AJ6796">
        <v>0</v>
      </c>
      <c r="AK6796">
        <v>121.06</v>
      </c>
      <c r="AN6796" t="s">
        <v>45581</v>
      </c>
      <c r="AO6796">
        <v>15120</v>
      </c>
      <c r="AU6796">
        <v>1.5</v>
      </c>
      <c r="AV6796" t="s">
        <v>779</v>
      </c>
      <c r="AW6796" t="s">
        <v>157</v>
      </c>
    </row>
    <row r="6797" spans="1:50">
      <c r="A6797" s="1">
        <f>HYPERLINK("https://lsnyc.legalserver.org/matter/dynamic-profile/view/1895372","19-1895372")</f>
        <v>0</v>
      </c>
      <c r="B6797" t="s">
        <v>173</v>
      </c>
      <c r="C6797" t="s">
        <v>340</v>
      </c>
      <c r="D6797" t="s">
        <v>779</v>
      </c>
      <c r="F6797" t="s">
        <v>1602</v>
      </c>
      <c r="G6797" t="s">
        <v>6065</v>
      </c>
      <c r="H6797" t="s">
        <v>14510</v>
      </c>
      <c r="I6797" t="s">
        <v>17356</v>
      </c>
      <c r="J6797" t="s">
        <v>18893</v>
      </c>
      <c r="K6797">
        <v>10026</v>
      </c>
      <c r="L6797" t="s">
        <v>18958</v>
      </c>
      <c r="M6797" t="s">
        <v>18960</v>
      </c>
      <c r="N6797" t="s">
        <v>23956</v>
      </c>
      <c r="O6797" t="s">
        <v>26523</v>
      </c>
      <c r="P6797" t="s">
        <v>26560</v>
      </c>
      <c r="R6797" t="s">
        <v>26580</v>
      </c>
      <c r="S6797" t="s">
        <v>18959</v>
      </c>
      <c r="U6797" t="s">
        <v>26604</v>
      </c>
      <c r="W6797" t="s">
        <v>779</v>
      </c>
      <c r="X6797">
        <v>1108.87</v>
      </c>
      <c r="Y6797" t="s">
        <v>26651</v>
      </c>
      <c r="Z6797" t="s">
        <v>26659</v>
      </c>
      <c r="AB6797" t="s">
        <v>31267</v>
      </c>
      <c r="AC6797" t="s">
        <v>36239</v>
      </c>
      <c r="AD6797" t="s">
        <v>42212</v>
      </c>
      <c r="AE6797">
        <v>10</v>
      </c>
      <c r="AF6797" t="s">
        <v>45541</v>
      </c>
      <c r="AG6797" t="s">
        <v>45557</v>
      </c>
      <c r="AH6797">
        <v>17</v>
      </c>
      <c r="AI6797">
        <v>1</v>
      </c>
      <c r="AJ6797">
        <v>2</v>
      </c>
      <c r="AK6797">
        <v>75.01000000000001</v>
      </c>
      <c r="AN6797" t="s">
        <v>7439</v>
      </c>
      <c r="AO6797">
        <v>16000</v>
      </c>
      <c r="AU6797">
        <v>5</v>
      </c>
      <c r="AV6797" t="s">
        <v>834</v>
      </c>
      <c r="AW6797" t="s">
        <v>314</v>
      </c>
    </row>
    <row r="6798" spans="1:50">
      <c r="A6798" s="1">
        <f>HYPERLINK("https://lsnyc.legalserver.org/matter/dynamic-profile/view/1895369","19-1895369")</f>
        <v>0</v>
      </c>
      <c r="B6798" t="s">
        <v>173</v>
      </c>
      <c r="C6798" t="s">
        <v>340</v>
      </c>
      <c r="D6798" t="s">
        <v>779</v>
      </c>
      <c r="F6798" t="s">
        <v>3791</v>
      </c>
      <c r="G6798" t="s">
        <v>8141</v>
      </c>
      <c r="H6798" t="s">
        <v>13355</v>
      </c>
      <c r="I6798">
        <v>20</v>
      </c>
      <c r="J6798" t="s">
        <v>18893</v>
      </c>
      <c r="K6798">
        <v>10027</v>
      </c>
      <c r="L6798" t="s">
        <v>18958</v>
      </c>
      <c r="M6798" t="s">
        <v>18958</v>
      </c>
      <c r="N6798" t="s">
        <v>23957</v>
      </c>
      <c r="O6798" t="s">
        <v>26523</v>
      </c>
      <c r="P6798" t="s">
        <v>26560</v>
      </c>
      <c r="R6798" t="s">
        <v>26580</v>
      </c>
      <c r="S6798" t="s">
        <v>18959</v>
      </c>
      <c r="U6798" t="s">
        <v>26604</v>
      </c>
      <c r="W6798" t="s">
        <v>779</v>
      </c>
      <c r="X6798">
        <v>1246</v>
      </c>
      <c r="Y6798" t="s">
        <v>26651</v>
      </c>
      <c r="Z6798" t="s">
        <v>26659</v>
      </c>
      <c r="AB6798" t="s">
        <v>31788</v>
      </c>
      <c r="AD6798" t="s">
        <v>42213</v>
      </c>
      <c r="AE6798">
        <v>24</v>
      </c>
      <c r="AG6798" t="s">
        <v>19330</v>
      </c>
      <c r="AH6798">
        <v>25</v>
      </c>
      <c r="AI6798">
        <v>3</v>
      </c>
      <c r="AJ6798">
        <v>3</v>
      </c>
      <c r="AK6798">
        <v>112.75</v>
      </c>
      <c r="AN6798" t="s">
        <v>7439</v>
      </c>
      <c r="AO6798">
        <v>39000</v>
      </c>
      <c r="AU6798">
        <v>1.5</v>
      </c>
      <c r="AV6798" t="s">
        <v>795</v>
      </c>
      <c r="AW6798" t="s">
        <v>46875</v>
      </c>
    </row>
    <row r="6799" spans="1:50">
      <c r="A6799" s="1">
        <f>HYPERLINK("https://lsnyc.legalserver.org/matter/dynamic-profile/view/1895470","19-1895470")</f>
        <v>0</v>
      </c>
      <c r="B6799" t="s">
        <v>73</v>
      </c>
      <c r="C6799" t="s">
        <v>341</v>
      </c>
      <c r="D6799" t="s">
        <v>781</v>
      </c>
      <c r="E6799" t="s">
        <v>797</v>
      </c>
      <c r="F6799" t="s">
        <v>1001</v>
      </c>
      <c r="G6799" t="s">
        <v>5147</v>
      </c>
      <c r="H6799" t="s">
        <v>9761</v>
      </c>
      <c r="I6799" t="s">
        <v>17322</v>
      </c>
      <c r="J6799" t="s">
        <v>18894</v>
      </c>
      <c r="K6799">
        <v>11206</v>
      </c>
      <c r="L6799" t="s">
        <v>18958</v>
      </c>
      <c r="M6799" t="s">
        <v>18958</v>
      </c>
      <c r="N6799" t="s">
        <v>18993</v>
      </c>
      <c r="O6799" t="s">
        <v>18997</v>
      </c>
      <c r="P6799" t="s">
        <v>26565</v>
      </c>
      <c r="Q6799" t="s">
        <v>26571</v>
      </c>
      <c r="R6799" t="s">
        <v>26578</v>
      </c>
      <c r="S6799" t="s">
        <v>18958</v>
      </c>
      <c r="U6799" t="s">
        <v>26604</v>
      </c>
      <c r="W6799" t="s">
        <v>779</v>
      </c>
      <c r="X6799">
        <v>1245</v>
      </c>
      <c r="Y6799" t="s">
        <v>26652</v>
      </c>
      <c r="Z6799" t="s">
        <v>26667</v>
      </c>
      <c r="AA6799" t="s">
        <v>26682</v>
      </c>
      <c r="AB6799" t="s">
        <v>26844</v>
      </c>
      <c r="AC6799" t="s">
        <v>34525</v>
      </c>
      <c r="AE6799">
        <v>8</v>
      </c>
      <c r="AF6799" t="s">
        <v>45541</v>
      </c>
      <c r="AG6799" t="s">
        <v>45560</v>
      </c>
      <c r="AH6799">
        <v>1</v>
      </c>
      <c r="AI6799">
        <v>2</v>
      </c>
      <c r="AJ6799">
        <v>0</v>
      </c>
      <c r="AK6799">
        <v>106.45</v>
      </c>
      <c r="AN6799" t="s">
        <v>7439</v>
      </c>
      <c r="AO6799">
        <v>18000</v>
      </c>
      <c r="AP6799" t="s">
        <v>45997</v>
      </c>
      <c r="AU6799">
        <v>0.1</v>
      </c>
      <c r="AV6799" t="s">
        <v>825</v>
      </c>
      <c r="AW6799" t="s">
        <v>286</v>
      </c>
      <c r="AX6799" t="s">
        <v>46897</v>
      </c>
    </row>
    <row r="6800" spans="1:50">
      <c r="A6800" s="1">
        <f>HYPERLINK("https://lsnyc.legalserver.org/matter/dynamic-profile/view/1895474","19-1895474")</f>
        <v>0</v>
      </c>
      <c r="B6800" t="s">
        <v>73</v>
      </c>
      <c r="C6800" t="s">
        <v>341</v>
      </c>
      <c r="D6800" t="s">
        <v>781</v>
      </c>
      <c r="E6800" t="s">
        <v>797</v>
      </c>
      <c r="F6800" t="s">
        <v>1352</v>
      </c>
      <c r="G6800" t="s">
        <v>2065</v>
      </c>
      <c r="H6800" t="s">
        <v>9761</v>
      </c>
      <c r="J6800" t="s">
        <v>18894</v>
      </c>
      <c r="K6800">
        <v>11206</v>
      </c>
      <c r="L6800" t="s">
        <v>18958</v>
      </c>
      <c r="M6800" t="s">
        <v>18958</v>
      </c>
      <c r="N6800" t="s">
        <v>18993</v>
      </c>
      <c r="O6800" t="s">
        <v>18997</v>
      </c>
      <c r="P6800" t="s">
        <v>26565</v>
      </c>
      <c r="Q6800" t="s">
        <v>26571</v>
      </c>
      <c r="R6800" t="s">
        <v>26578</v>
      </c>
      <c r="S6800" t="s">
        <v>18958</v>
      </c>
      <c r="U6800" t="s">
        <v>26604</v>
      </c>
      <c r="W6800" t="s">
        <v>779</v>
      </c>
      <c r="X6800">
        <v>588</v>
      </c>
      <c r="Y6800" t="s">
        <v>26652</v>
      </c>
      <c r="Z6800" t="s">
        <v>26659</v>
      </c>
      <c r="AA6800" t="s">
        <v>26682</v>
      </c>
      <c r="AB6800" t="s">
        <v>31328</v>
      </c>
      <c r="AD6800" t="s">
        <v>41527</v>
      </c>
      <c r="AE6800">
        <v>8</v>
      </c>
      <c r="AF6800" t="s">
        <v>45541</v>
      </c>
      <c r="AH6800">
        <v>4</v>
      </c>
      <c r="AI6800">
        <v>1</v>
      </c>
      <c r="AJ6800">
        <v>1</v>
      </c>
      <c r="AK6800">
        <v>182.14</v>
      </c>
      <c r="AN6800" t="s">
        <v>7439</v>
      </c>
      <c r="AO6800">
        <v>30800</v>
      </c>
      <c r="AP6800" t="s">
        <v>45998</v>
      </c>
      <c r="AU6800">
        <v>0.1</v>
      </c>
      <c r="AV6800" t="s">
        <v>797</v>
      </c>
      <c r="AW6800" t="s">
        <v>286</v>
      </c>
      <c r="AX6800" t="s">
        <v>46897</v>
      </c>
    </row>
    <row r="6801" spans="1:50">
      <c r="A6801" s="1">
        <f>HYPERLINK("https://lsnyc.legalserver.org/matter/dynamic-profile/view/1895477","19-1895477")</f>
        <v>0</v>
      </c>
      <c r="B6801" t="s">
        <v>116</v>
      </c>
      <c r="C6801" t="s">
        <v>340</v>
      </c>
      <c r="D6801" t="s">
        <v>781</v>
      </c>
      <c r="F6801" t="s">
        <v>939</v>
      </c>
      <c r="G6801" t="s">
        <v>5197</v>
      </c>
      <c r="H6801" t="s">
        <v>9761</v>
      </c>
      <c r="I6801" t="s">
        <v>17306</v>
      </c>
      <c r="J6801" t="s">
        <v>18894</v>
      </c>
      <c r="K6801">
        <v>11206</v>
      </c>
      <c r="L6801" t="s">
        <v>18958</v>
      </c>
      <c r="M6801" t="s">
        <v>18958</v>
      </c>
      <c r="N6801" t="s">
        <v>18993</v>
      </c>
      <c r="O6801" t="s">
        <v>18997</v>
      </c>
      <c r="P6801" t="s">
        <v>26565</v>
      </c>
      <c r="R6801" t="s">
        <v>26578</v>
      </c>
      <c r="S6801" t="s">
        <v>18958</v>
      </c>
      <c r="U6801" t="s">
        <v>26604</v>
      </c>
      <c r="W6801" t="s">
        <v>779</v>
      </c>
      <c r="X6801">
        <v>872.36</v>
      </c>
      <c r="Y6801" t="s">
        <v>26652</v>
      </c>
      <c r="Z6801" t="s">
        <v>26667</v>
      </c>
      <c r="AB6801" t="s">
        <v>31327</v>
      </c>
      <c r="AD6801" t="s">
        <v>41526</v>
      </c>
      <c r="AE6801">
        <v>8</v>
      </c>
      <c r="AF6801" t="s">
        <v>45541</v>
      </c>
      <c r="AG6801" t="s">
        <v>19330</v>
      </c>
      <c r="AH6801">
        <v>0</v>
      </c>
      <c r="AI6801">
        <v>1</v>
      </c>
      <c r="AJ6801">
        <v>0</v>
      </c>
      <c r="AK6801">
        <v>167.17</v>
      </c>
      <c r="AN6801" t="s">
        <v>7439</v>
      </c>
      <c r="AO6801">
        <v>20880</v>
      </c>
      <c r="AP6801" t="s">
        <v>45996</v>
      </c>
      <c r="AU6801">
        <v>0.1</v>
      </c>
      <c r="AV6801" t="s">
        <v>808</v>
      </c>
      <c r="AW6801" t="s">
        <v>286</v>
      </c>
    </row>
    <row r="6802" spans="1:50">
      <c r="A6802" s="1">
        <f>HYPERLINK("https://lsnyc.legalserver.org/matter/dynamic-profile/view/1895821","19-1895821")</f>
        <v>0</v>
      </c>
      <c r="B6802" t="s">
        <v>199</v>
      </c>
      <c r="C6802" t="s">
        <v>340</v>
      </c>
      <c r="D6802" t="s">
        <v>795</v>
      </c>
      <c r="F6802" t="s">
        <v>3434</v>
      </c>
      <c r="G6802" t="s">
        <v>8142</v>
      </c>
      <c r="H6802" t="s">
        <v>10230</v>
      </c>
      <c r="I6802" t="s">
        <v>17891</v>
      </c>
      <c r="J6802" t="s">
        <v>18894</v>
      </c>
      <c r="K6802">
        <v>11226</v>
      </c>
      <c r="L6802" t="s">
        <v>18958</v>
      </c>
      <c r="M6802" t="s">
        <v>18958</v>
      </c>
      <c r="N6802" t="s">
        <v>23958</v>
      </c>
      <c r="O6802" t="s">
        <v>26523</v>
      </c>
      <c r="P6802" t="s">
        <v>26560</v>
      </c>
      <c r="R6802" t="s">
        <v>26578</v>
      </c>
      <c r="S6802" t="s">
        <v>18959</v>
      </c>
      <c r="U6802" t="s">
        <v>26604</v>
      </c>
      <c r="V6802" t="s">
        <v>26611</v>
      </c>
      <c r="W6802" t="s">
        <v>779</v>
      </c>
      <c r="X6802">
        <v>0</v>
      </c>
      <c r="Y6802" t="s">
        <v>26652</v>
      </c>
      <c r="Z6802" t="s">
        <v>26659</v>
      </c>
      <c r="AB6802" t="s">
        <v>29557</v>
      </c>
      <c r="AD6802" t="s">
        <v>42214</v>
      </c>
      <c r="AE6802">
        <v>32</v>
      </c>
      <c r="AF6802" t="s">
        <v>45541</v>
      </c>
      <c r="AH6802">
        <v>0</v>
      </c>
      <c r="AI6802">
        <v>2</v>
      </c>
      <c r="AJ6802">
        <v>0</v>
      </c>
      <c r="AK6802">
        <v>390.3</v>
      </c>
      <c r="AN6802" t="s">
        <v>7439</v>
      </c>
      <c r="AO6802">
        <v>66000</v>
      </c>
      <c r="AQ6802" t="s">
        <v>46365</v>
      </c>
      <c r="AR6802" t="s">
        <v>46381</v>
      </c>
      <c r="AS6802" t="s">
        <v>46499</v>
      </c>
      <c r="AT6802" t="s">
        <v>46639</v>
      </c>
      <c r="AU6802">
        <v>7.95</v>
      </c>
      <c r="AV6802" t="s">
        <v>766</v>
      </c>
      <c r="AW6802" t="s">
        <v>219</v>
      </c>
      <c r="AX6802" t="s">
        <v>46897</v>
      </c>
    </row>
    <row r="6803" spans="1:50">
      <c r="A6803" s="1">
        <f>HYPERLINK("https://lsnyc.legalserver.org/matter/dynamic-profile/view/1895308","19-1895308")</f>
        <v>0</v>
      </c>
      <c r="B6803" t="s">
        <v>235</v>
      </c>
      <c r="C6803" t="s">
        <v>340</v>
      </c>
      <c r="D6803" t="s">
        <v>796</v>
      </c>
      <c r="F6803" t="s">
        <v>3534</v>
      </c>
      <c r="G6803" t="s">
        <v>8143</v>
      </c>
      <c r="H6803" t="s">
        <v>14511</v>
      </c>
      <c r="J6803" t="s">
        <v>18940</v>
      </c>
      <c r="K6803">
        <v>11413</v>
      </c>
      <c r="L6803" t="s">
        <v>18958</v>
      </c>
      <c r="M6803" t="s">
        <v>18958</v>
      </c>
      <c r="N6803" t="s">
        <v>23959</v>
      </c>
      <c r="O6803" t="s">
        <v>26524</v>
      </c>
      <c r="P6803" t="s">
        <v>26560</v>
      </c>
      <c r="R6803" t="s">
        <v>26584</v>
      </c>
      <c r="U6803" t="s">
        <v>26604</v>
      </c>
      <c r="W6803" t="s">
        <v>779</v>
      </c>
      <c r="X6803">
        <v>1100</v>
      </c>
      <c r="Y6803" t="s">
        <v>26653</v>
      </c>
      <c r="Z6803" t="s">
        <v>26664</v>
      </c>
      <c r="AB6803" t="s">
        <v>31920</v>
      </c>
      <c r="AD6803" t="s">
        <v>42215</v>
      </c>
      <c r="AE6803">
        <v>14</v>
      </c>
      <c r="AF6803" t="s">
        <v>45541</v>
      </c>
      <c r="AH6803">
        <v>10</v>
      </c>
      <c r="AI6803">
        <v>1</v>
      </c>
      <c r="AJ6803">
        <v>1</v>
      </c>
      <c r="AK6803">
        <v>14.9</v>
      </c>
      <c r="AN6803" t="s">
        <v>7439</v>
      </c>
      <c r="AO6803">
        <v>2520</v>
      </c>
      <c r="AU6803">
        <v>29.9</v>
      </c>
      <c r="AV6803" t="s">
        <v>826</v>
      </c>
      <c r="AW6803" t="s">
        <v>235</v>
      </c>
    </row>
    <row r="6804" spans="1:50">
      <c r="A6804" s="1">
        <f>HYPERLINK("https://lsnyc.legalserver.org/matter/dynamic-profile/view/1901077","19-1901077")</f>
        <v>0</v>
      </c>
      <c r="B6804" t="s">
        <v>78</v>
      </c>
      <c r="C6804" t="s">
        <v>340</v>
      </c>
      <c r="D6804" t="s">
        <v>797</v>
      </c>
      <c r="F6804" t="s">
        <v>3792</v>
      </c>
      <c r="G6804" t="s">
        <v>5241</v>
      </c>
      <c r="H6804" t="s">
        <v>14512</v>
      </c>
      <c r="I6804" t="s">
        <v>17299</v>
      </c>
      <c r="J6804" t="s">
        <v>18894</v>
      </c>
      <c r="K6804">
        <v>11212</v>
      </c>
      <c r="L6804" t="s">
        <v>18958</v>
      </c>
      <c r="M6804" t="s">
        <v>18960</v>
      </c>
      <c r="N6804" t="s">
        <v>23960</v>
      </c>
      <c r="P6804" t="s">
        <v>26566</v>
      </c>
      <c r="R6804" t="s">
        <v>26578</v>
      </c>
      <c r="S6804" t="s">
        <v>18958</v>
      </c>
      <c r="U6804" t="s">
        <v>26604</v>
      </c>
      <c r="V6804" t="s">
        <v>26610</v>
      </c>
      <c r="W6804" t="s">
        <v>779</v>
      </c>
      <c r="X6804">
        <v>1326</v>
      </c>
      <c r="Y6804" t="s">
        <v>26652</v>
      </c>
      <c r="Z6804" t="s">
        <v>26530</v>
      </c>
      <c r="AB6804" t="s">
        <v>31921</v>
      </c>
      <c r="AE6804">
        <v>16</v>
      </c>
      <c r="AF6804" t="s">
        <v>45541</v>
      </c>
      <c r="AG6804" t="s">
        <v>45558</v>
      </c>
      <c r="AH6804">
        <v>3</v>
      </c>
      <c r="AI6804">
        <v>1</v>
      </c>
      <c r="AJ6804">
        <v>1</v>
      </c>
      <c r="AK6804">
        <v>116.88</v>
      </c>
      <c r="AN6804" t="s">
        <v>7439</v>
      </c>
      <c r="AO6804">
        <v>19764</v>
      </c>
      <c r="AP6804" t="s">
        <v>46031</v>
      </c>
      <c r="AU6804">
        <v>0</v>
      </c>
      <c r="AW6804" t="s">
        <v>279</v>
      </c>
      <c r="AX6804" t="s">
        <v>46897</v>
      </c>
    </row>
    <row r="6805" spans="1:50">
      <c r="A6805" s="1">
        <f>HYPERLINK("https://lsnyc.legalserver.org/matter/dynamic-profile/view/1891926","19-1891926")</f>
        <v>0</v>
      </c>
      <c r="B6805" t="s">
        <v>100</v>
      </c>
      <c r="C6805" t="s">
        <v>341</v>
      </c>
      <c r="D6805" t="s">
        <v>574</v>
      </c>
      <c r="E6805" t="s">
        <v>792</v>
      </c>
      <c r="F6805" t="s">
        <v>3793</v>
      </c>
      <c r="G6805" t="s">
        <v>5191</v>
      </c>
      <c r="H6805" t="s">
        <v>14513</v>
      </c>
      <c r="I6805" t="s">
        <v>17378</v>
      </c>
      <c r="J6805" t="s">
        <v>18892</v>
      </c>
      <c r="K6805">
        <v>10453</v>
      </c>
      <c r="L6805" t="s">
        <v>18958</v>
      </c>
      <c r="M6805" t="s">
        <v>18958</v>
      </c>
      <c r="O6805" t="s">
        <v>18997</v>
      </c>
      <c r="P6805" t="s">
        <v>26564</v>
      </c>
      <c r="Q6805" t="s">
        <v>26570</v>
      </c>
      <c r="R6805" t="s">
        <v>26578</v>
      </c>
      <c r="S6805" t="s">
        <v>18958</v>
      </c>
      <c r="U6805" t="s">
        <v>26604</v>
      </c>
      <c r="W6805" t="s">
        <v>26640</v>
      </c>
      <c r="X6805">
        <v>1026.68</v>
      </c>
      <c r="Y6805" t="s">
        <v>26650</v>
      </c>
      <c r="Z6805" t="s">
        <v>26667</v>
      </c>
      <c r="AA6805" t="s">
        <v>26683</v>
      </c>
      <c r="AB6805" t="s">
        <v>31922</v>
      </c>
      <c r="AE6805">
        <v>170</v>
      </c>
      <c r="AF6805" t="s">
        <v>45541</v>
      </c>
      <c r="AG6805" t="s">
        <v>19330</v>
      </c>
      <c r="AH6805">
        <v>9</v>
      </c>
      <c r="AI6805">
        <v>2</v>
      </c>
      <c r="AJ6805">
        <v>2</v>
      </c>
      <c r="AK6805">
        <v>100.97</v>
      </c>
      <c r="AN6805" t="s">
        <v>45581</v>
      </c>
      <c r="AO6805">
        <v>26000</v>
      </c>
      <c r="AU6805">
        <v>0.5</v>
      </c>
      <c r="AV6805" t="s">
        <v>792</v>
      </c>
      <c r="AW6805" t="s">
        <v>329</v>
      </c>
    </row>
    <row r="6806" spans="1:50">
      <c r="A6806" s="1">
        <f>HYPERLINK("https://lsnyc.legalserver.org/matter/dynamic-profile/view/1892185","19-1892185")</f>
        <v>0</v>
      </c>
      <c r="B6806" t="s">
        <v>100</v>
      </c>
      <c r="C6806" t="s">
        <v>341</v>
      </c>
      <c r="D6806" t="s">
        <v>758</v>
      </c>
      <c r="E6806" t="s">
        <v>792</v>
      </c>
      <c r="F6806" t="s">
        <v>1087</v>
      </c>
      <c r="G6806" t="s">
        <v>4594</v>
      </c>
      <c r="H6806" t="s">
        <v>13798</v>
      </c>
      <c r="I6806" t="s">
        <v>17867</v>
      </c>
      <c r="J6806" t="s">
        <v>18892</v>
      </c>
      <c r="K6806">
        <v>10453</v>
      </c>
      <c r="L6806" t="s">
        <v>18958</v>
      </c>
      <c r="M6806" t="s">
        <v>18958</v>
      </c>
      <c r="O6806" t="s">
        <v>18997</v>
      </c>
      <c r="P6806" t="s">
        <v>26564</v>
      </c>
      <c r="Q6806" t="s">
        <v>26570</v>
      </c>
      <c r="R6806" t="s">
        <v>26578</v>
      </c>
      <c r="S6806" t="s">
        <v>18958</v>
      </c>
      <c r="U6806" t="s">
        <v>26604</v>
      </c>
      <c r="W6806" t="s">
        <v>26640</v>
      </c>
      <c r="X6806">
        <v>985</v>
      </c>
      <c r="Y6806" t="s">
        <v>26650</v>
      </c>
      <c r="Z6806" t="s">
        <v>26667</v>
      </c>
      <c r="AA6806" t="s">
        <v>26683</v>
      </c>
      <c r="AB6806" t="s">
        <v>31302</v>
      </c>
      <c r="AE6806">
        <v>170</v>
      </c>
      <c r="AF6806" t="s">
        <v>45541</v>
      </c>
      <c r="AG6806" t="s">
        <v>19330</v>
      </c>
      <c r="AH6806">
        <v>17</v>
      </c>
      <c r="AI6806">
        <v>3</v>
      </c>
      <c r="AJ6806">
        <v>2</v>
      </c>
      <c r="AK6806">
        <v>152.96</v>
      </c>
      <c r="AN6806" t="s">
        <v>7439</v>
      </c>
      <c r="AO6806">
        <v>45000</v>
      </c>
      <c r="AU6806">
        <v>0.5</v>
      </c>
      <c r="AV6806" t="s">
        <v>792</v>
      </c>
      <c r="AW6806" t="s">
        <v>329</v>
      </c>
    </row>
    <row r="6807" spans="1:50">
      <c r="A6807" s="1">
        <f>HYPERLINK("https://lsnyc.legalserver.org/matter/dynamic-profile/view/1877140","18-1877140")</f>
        <v>0</v>
      </c>
      <c r="B6807" t="s">
        <v>100</v>
      </c>
      <c r="C6807" t="s">
        <v>340</v>
      </c>
      <c r="D6807" t="s">
        <v>579</v>
      </c>
      <c r="F6807" t="s">
        <v>1964</v>
      </c>
      <c r="G6807" t="s">
        <v>5089</v>
      </c>
      <c r="H6807" t="s">
        <v>14514</v>
      </c>
      <c r="I6807">
        <v>45</v>
      </c>
      <c r="J6807" t="s">
        <v>18892</v>
      </c>
      <c r="K6807">
        <v>10453</v>
      </c>
      <c r="L6807" t="s">
        <v>18958</v>
      </c>
      <c r="M6807" t="s">
        <v>18958</v>
      </c>
      <c r="N6807" t="s">
        <v>23961</v>
      </c>
      <c r="O6807" t="s">
        <v>26534</v>
      </c>
      <c r="P6807" t="s">
        <v>26561</v>
      </c>
      <c r="R6807" t="s">
        <v>26578</v>
      </c>
      <c r="S6807" t="s">
        <v>18958</v>
      </c>
      <c r="U6807" t="s">
        <v>26604</v>
      </c>
      <c r="W6807" t="s">
        <v>781</v>
      </c>
      <c r="X6807">
        <v>841</v>
      </c>
      <c r="Y6807" t="s">
        <v>26650</v>
      </c>
      <c r="Z6807" t="s">
        <v>26667</v>
      </c>
      <c r="AB6807" t="s">
        <v>31923</v>
      </c>
      <c r="AD6807" t="s">
        <v>42216</v>
      </c>
      <c r="AE6807">
        <v>46</v>
      </c>
      <c r="AF6807" t="s">
        <v>45541</v>
      </c>
      <c r="AH6807">
        <v>37</v>
      </c>
      <c r="AI6807">
        <v>1</v>
      </c>
      <c r="AJ6807">
        <v>0</v>
      </c>
      <c r="AK6807">
        <v>83.03</v>
      </c>
      <c r="AN6807" t="s">
        <v>7439</v>
      </c>
      <c r="AO6807">
        <v>10080</v>
      </c>
      <c r="AU6807">
        <v>10.8</v>
      </c>
      <c r="AV6807" t="s">
        <v>757</v>
      </c>
      <c r="AW6807" t="s">
        <v>100</v>
      </c>
    </row>
    <row r="6808" spans="1:50">
      <c r="A6808" s="1">
        <f>HYPERLINK("https://lsnyc.legalserver.org/matter/dynamic-profile/view/1880614","18-1880614")</f>
        <v>0</v>
      </c>
      <c r="B6808" t="s">
        <v>100</v>
      </c>
      <c r="C6808" t="s">
        <v>340</v>
      </c>
      <c r="D6808" t="s">
        <v>623</v>
      </c>
      <c r="F6808" t="s">
        <v>1772</v>
      </c>
      <c r="G6808" t="s">
        <v>5760</v>
      </c>
      <c r="H6808" t="s">
        <v>10916</v>
      </c>
      <c r="I6808" t="s">
        <v>17390</v>
      </c>
      <c r="J6808" t="s">
        <v>18892</v>
      </c>
      <c r="K6808">
        <v>10456</v>
      </c>
      <c r="L6808" t="s">
        <v>18958</v>
      </c>
      <c r="M6808" t="s">
        <v>18958</v>
      </c>
      <c r="N6808" t="s">
        <v>22131</v>
      </c>
      <c r="O6808" t="s">
        <v>26534</v>
      </c>
      <c r="P6808" t="s">
        <v>26561</v>
      </c>
      <c r="R6808" t="s">
        <v>26578</v>
      </c>
      <c r="S6808" t="s">
        <v>18958</v>
      </c>
      <c r="U6808" t="s">
        <v>26604</v>
      </c>
      <c r="W6808" t="s">
        <v>781</v>
      </c>
      <c r="X6808">
        <v>1466.39</v>
      </c>
      <c r="Y6808" t="s">
        <v>26650</v>
      </c>
      <c r="Z6808" t="s">
        <v>26663</v>
      </c>
      <c r="AB6808" t="s">
        <v>28077</v>
      </c>
      <c r="AD6808" t="s">
        <v>38127</v>
      </c>
      <c r="AE6808">
        <v>61</v>
      </c>
      <c r="AF6808" t="s">
        <v>45541</v>
      </c>
      <c r="AG6808" t="s">
        <v>45556</v>
      </c>
      <c r="AH6808">
        <v>18</v>
      </c>
      <c r="AI6808">
        <v>2</v>
      </c>
      <c r="AJ6808">
        <v>0</v>
      </c>
      <c r="AK6808">
        <v>94.84999999999999</v>
      </c>
      <c r="AN6808" t="s">
        <v>45581</v>
      </c>
      <c r="AO6808">
        <v>15612</v>
      </c>
      <c r="AU6808">
        <v>0</v>
      </c>
      <c r="AW6808" t="s">
        <v>46847</v>
      </c>
    </row>
    <row r="6809" spans="1:50">
      <c r="A6809" s="1">
        <f>HYPERLINK("https://lsnyc.legalserver.org/matter/dynamic-profile/view/1885569","18-1885569")</f>
        <v>0</v>
      </c>
      <c r="B6809" t="s">
        <v>55</v>
      </c>
      <c r="C6809" t="s">
        <v>340</v>
      </c>
      <c r="D6809" t="s">
        <v>798</v>
      </c>
      <c r="F6809" t="s">
        <v>913</v>
      </c>
      <c r="G6809" t="s">
        <v>6233</v>
      </c>
      <c r="H6809" t="s">
        <v>12199</v>
      </c>
      <c r="I6809" t="s">
        <v>18196</v>
      </c>
      <c r="J6809" t="s">
        <v>18892</v>
      </c>
      <c r="K6809">
        <v>10460</v>
      </c>
      <c r="L6809" t="s">
        <v>18958</v>
      </c>
      <c r="M6809" t="s">
        <v>18958</v>
      </c>
      <c r="N6809" t="s">
        <v>23962</v>
      </c>
      <c r="O6809" t="s">
        <v>26526</v>
      </c>
      <c r="P6809" t="s">
        <v>26560</v>
      </c>
      <c r="R6809" t="s">
        <v>26578</v>
      </c>
      <c r="S6809" t="s">
        <v>18958</v>
      </c>
      <c r="U6809" t="s">
        <v>26604</v>
      </c>
      <c r="W6809" t="s">
        <v>781</v>
      </c>
      <c r="X6809">
        <v>500</v>
      </c>
      <c r="Y6809" t="s">
        <v>26650</v>
      </c>
      <c r="Z6809" t="s">
        <v>26663</v>
      </c>
      <c r="AB6809" t="s">
        <v>27408</v>
      </c>
      <c r="AD6809" t="s">
        <v>42217</v>
      </c>
      <c r="AE6809">
        <v>168</v>
      </c>
      <c r="AF6809" t="s">
        <v>20460</v>
      </c>
      <c r="AG6809" t="s">
        <v>45556</v>
      </c>
      <c r="AH6809">
        <v>5</v>
      </c>
      <c r="AI6809">
        <v>1</v>
      </c>
      <c r="AJ6809">
        <v>0</v>
      </c>
      <c r="AK6809">
        <v>148.27</v>
      </c>
      <c r="AN6809" t="s">
        <v>7439</v>
      </c>
      <c r="AO6809">
        <v>18000</v>
      </c>
      <c r="AU6809">
        <v>0</v>
      </c>
      <c r="AW6809" t="s">
        <v>336</v>
      </c>
      <c r="AX6809" t="s">
        <v>46897</v>
      </c>
    </row>
    <row r="6810" spans="1:50">
      <c r="A6810" s="1">
        <f>HYPERLINK("https://lsnyc.legalserver.org/matter/dynamic-profile/view/1885956","18-1885956")</f>
        <v>0</v>
      </c>
      <c r="B6810" t="s">
        <v>55</v>
      </c>
      <c r="C6810" t="s">
        <v>340</v>
      </c>
      <c r="D6810" t="s">
        <v>798</v>
      </c>
      <c r="F6810" t="s">
        <v>887</v>
      </c>
      <c r="G6810" t="s">
        <v>6338</v>
      </c>
      <c r="H6810" t="s">
        <v>12199</v>
      </c>
      <c r="I6810" t="s">
        <v>18393</v>
      </c>
      <c r="J6810" t="s">
        <v>18892</v>
      </c>
      <c r="K6810">
        <v>10460</v>
      </c>
      <c r="L6810" t="s">
        <v>18958</v>
      </c>
      <c r="M6810" t="s">
        <v>18958</v>
      </c>
      <c r="N6810" t="s">
        <v>23962</v>
      </c>
      <c r="O6810" t="s">
        <v>26526</v>
      </c>
      <c r="P6810" t="s">
        <v>26560</v>
      </c>
      <c r="R6810" t="s">
        <v>26578</v>
      </c>
      <c r="S6810" t="s">
        <v>18958</v>
      </c>
      <c r="U6810" t="s">
        <v>26604</v>
      </c>
      <c r="W6810" t="s">
        <v>781</v>
      </c>
      <c r="X6810">
        <v>960</v>
      </c>
      <c r="Y6810" t="s">
        <v>26650</v>
      </c>
      <c r="Z6810" t="s">
        <v>26663</v>
      </c>
      <c r="AB6810" t="s">
        <v>31924</v>
      </c>
      <c r="AD6810" t="s">
        <v>42218</v>
      </c>
      <c r="AE6810">
        <v>169</v>
      </c>
      <c r="AF6810" t="s">
        <v>45541</v>
      </c>
      <c r="AG6810" t="s">
        <v>19330</v>
      </c>
      <c r="AH6810">
        <v>25</v>
      </c>
      <c r="AI6810">
        <v>2</v>
      </c>
      <c r="AJ6810">
        <v>0</v>
      </c>
      <c r="AK6810">
        <v>153.97</v>
      </c>
      <c r="AN6810" t="s">
        <v>45581</v>
      </c>
      <c r="AO6810">
        <v>25344</v>
      </c>
      <c r="AU6810">
        <v>0</v>
      </c>
      <c r="AW6810" t="s">
        <v>292</v>
      </c>
    </row>
    <row r="6811" spans="1:50">
      <c r="A6811" s="1">
        <f>HYPERLINK("https://lsnyc.legalserver.org/matter/dynamic-profile/view/1882922","18-1882922")</f>
        <v>0</v>
      </c>
      <c r="B6811" t="s">
        <v>61</v>
      </c>
      <c r="C6811" t="s">
        <v>340</v>
      </c>
      <c r="D6811" t="s">
        <v>651</v>
      </c>
      <c r="F6811" t="s">
        <v>2527</v>
      </c>
      <c r="G6811" t="s">
        <v>5673</v>
      </c>
      <c r="H6811" t="s">
        <v>11770</v>
      </c>
      <c r="I6811">
        <v>34</v>
      </c>
      <c r="J6811" t="s">
        <v>18893</v>
      </c>
      <c r="K6811">
        <v>10034</v>
      </c>
      <c r="L6811" t="s">
        <v>18958</v>
      </c>
      <c r="M6811" t="s">
        <v>18958</v>
      </c>
      <c r="O6811" t="s">
        <v>26531</v>
      </c>
      <c r="P6811" t="s">
        <v>26562</v>
      </c>
      <c r="R6811" t="s">
        <v>26578</v>
      </c>
      <c r="S6811" t="s">
        <v>18959</v>
      </c>
      <c r="U6811" t="s">
        <v>26604</v>
      </c>
      <c r="W6811" t="s">
        <v>781</v>
      </c>
      <c r="X6811">
        <v>810.26</v>
      </c>
      <c r="Y6811" t="s">
        <v>26651</v>
      </c>
      <c r="Z6811" t="s">
        <v>26661</v>
      </c>
      <c r="AB6811" t="s">
        <v>29381</v>
      </c>
      <c r="AD6811" t="s">
        <v>39438</v>
      </c>
      <c r="AE6811">
        <v>25</v>
      </c>
      <c r="AF6811" t="s">
        <v>45541</v>
      </c>
      <c r="AG6811" t="s">
        <v>19330</v>
      </c>
      <c r="AH6811">
        <v>52</v>
      </c>
      <c r="AI6811">
        <v>1</v>
      </c>
      <c r="AJ6811">
        <v>0</v>
      </c>
      <c r="AK6811">
        <v>249.59</v>
      </c>
      <c r="AL6811" t="s">
        <v>574</v>
      </c>
      <c r="AM6811" t="s">
        <v>45575</v>
      </c>
      <c r="AN6811" t="s">
        <v>45581</v>
      </c>
      <c r="AO6811">
        <v>30300</v>
      </c>
      <c r="AU6811">
        <v>10.2</v>
      </c>
      <c r="AV6811" t="s">
        <v>767</v>
      </c>
      <c r="AW6811" t="s">
        <v>46840</v>
      </c>
    </row>
    <row r="6812" spans="1:50">
      <c r="A6812" s="1">
        <f>HYPERLINK("https://lsnyc.legalserver.org/matter/dynamic-profile/view/1886672","18-1886672")</f>
        <v>0</v>
      </c>
      <c r="B6812" t="s">
        <v>55</v>
      </c>
      <c r="C6812" t="s">
        <v>340</v>
      </c>
      <c r="D6812" t="s">
        <v>799</v>
      </c>
      <c r="F6812" t="s">
        <v>3794</v>
      </c>
      <c r="G6812" t="s">
        <v>7214</v>
      </c>
      <c r="H6812" t="s">
        <v>12199</v>
      </c>
      <c r="I6812" t="s">
        <v>17440</v>
      </c>
      <c r="J6812" t="s">
        <v>18892</v>
      </c>
      <c r="K6812">
        <v>10460</v>
      </c>
      <c r="L6812" t="s">
        <v>18958</v>
      </c>
      <c r="M6812" t="s">
        <v>18958</v>
      </c>
      <c r="N6812" t="s">
        <v>23962</v>
      </c>
      <c r="O6812" t="s">
        <v>26526</v>
      </c>
      <c r="P6812" t="s">
        <v>26560</v>
      </c>
      <c r="R6812" t="s">
        <v>26578</v>
      </c>
      <c r="S6812" t="s">
        <v>18958</v>
      </c>
      <c r="U6812" t="s">
        <v>26604</v>
      </c>
      <c r="W6812" t="s">
        <v>781</v>
      </c>
      <c r="X6812">
        <v>266.5</v>
      </c>
      <c r="Y6812" t="s">
        <v>26650</v>
      </c>
      <c r="Z6812" t="s">
        <v>26663</v>
      </c>
      <c r="AB6812" t="s">
        <v>31925</v>
      </c>
      <c r="AD6812" t="s">
        <v>42219</v>
      </c>
      <c r="AE6812">
        <v>168</v>
      </c>
      <c r="AF6812" t="s">
        <v>45541</v>
      </c>
      <c r="AG6812" t="s">
        <v>45556</v>
      </c>
      <c r="AH6812">
        <v>8</v>
      </c>
      <c r="AI6812">
        <v>1</v>
      </c>
      <c r="AJ6812">
        <v>0</v>
      </c>
      <c r="AK6812">
        <v>70.18000000000001</v>
      </c>
      <c r="AN6812" t="s">
        <v>45581</v>
      </c>
      <c r="AO6812">
        <v>8520</v>
      </c>
      <c r="AU6812">
        <v>0</v>
      </c>
      <c r="AW6812" t="s">
        <v>292</v>
      </c>
    </row>
    <row r="6813" spans="1:50">
      <c r="A6813" s="1">
        <f>HYPERLINK("https://lsnyc.legalserver.org/matter/dynamic-profile/view/1885587","18-1885587")</f>
        <v>0</v>
      </c>
      <c r="B6813" t="s">
        <v>55</v>
      </c>
      <c r="C6813" t="s">
        <v>340</v>
      </c>
      <c r="D6813" t="s">
        <v>664</v>
      </c>
      <c r="F6813" t="s">
        <v>3795</v>
      </c>
      <c r="G6813" t="s">
        <v>8144</v>
      </c>
      <c r="H6813" t="s">
        <v>12199</v>
      </c>
      <c r="I6813" t="s">
        <v>18394</v>
      </c>
      <c r="J6813" t="s">
        <v>18892</v>
      </c>
      <c r="K6813">
        <v>10460</v>
      </c>
      <c r="L6813" t="s">
        <v>18958</v>
      </c>
      <c r="M6813" t="s">
        <v>18958</v>
      </c>
      <c r="N6813" t="s">
        <v>23962</v>
      </c>
      <c r="O6813" t="s">
        <v>26526</v>
      </c>
      <c r="P6813" t="s">
        <v>26560</v>
      </c>
      <c r="R6813" t="s">
        <v>26578</v>
      </c>
      <c r="S6813" t="s">
        <v>18958</v>
      </c>
      <c r="U6813" t="s">
        <v>26604</v>
      </c>
      <c r="W6813" t="s">
        <v>781</v>
      </c>
      <c r="X6813">
        <v>1789</v>
      </c>
      <c r="Y6813" t="s">
        <v>26650</v>
      </c>
      <c r="Z6813" t="s">
        <v>26663</v>
      </c>
      <c r="AB6813" t="s">
        <v>29464</v>
      </c>
      <c r="AD6813" t="s">
        <v>42220</v>
      </c>
      <c r="AE6813">
        <v>168</v>
      </c>
      <c r="AF6813" t="s">
        <v>45541</v>
      </c>
      <c r="AG6813" t="s">
        <v>45556</v>
      </c>
      <c r="AH6813">
        <v>12</v>
      </c>
      <c r="AI6813">
        <v>2</v>
      </c>
      <c r="AJ6813">
        <v>0</v>
      </c>
      <c r="AK6813">
        <v>54.68</v>
      </c>
      <c r="AN6813" t="s">
        <v>7439</v>
      </c>
      <c r="AO6813">
        <v>9000</v>
      </c>
      <c r="AU6813">
        <v>0</v>
      </c>
      <c r="AW6813" t="s">
        <v>336</v>
      </c>
      <c r="AX6813" t="s">
        <v>46897</v>
      </c>
    </row>
    <row r="6814" spans="1:50">
      <c r="A6814" s="1">
        <f>HYPERLINK("https://lsnyc.legalserver.org/matter/dynamic-profile/view/1885969","18-1885969")</f>
        <v>0</v>
      </c>
      <c r="B6814" t="s">
        <v>55</v>
      </c>
      <c r="C6814" t="s">
        <v>340</v>
      </c>
      <c r="D6814" t="s">
        <v>664</v>
      </c>
      <c r="F6814" t="s">
        <v>1923</v>
      </c>
      <c r="G6814" t="s">
        <v>8145</v>
      </c>
      <c r="H6814" t="s">
        <v>12199</v>
      </c>
      <c r="I6814" t="s">
        <v>18395</v>
      </c>
      <c r="J6814" t="s">
        <v>18892</v>
      </c>
      <c r="K6814">
        <v>10460</v>
      </c>
      <c r="L6814" t="s">
        <v>18958</v>
      </c>
      <c r="M6814" t="s">
        <v>18958</v>
      </c>
      <c r="N6814" t="s">
        <v>23962</v>
      </c>
      <c r="O6814" t="s">
        <v>26526</v>
      </c>
      <c r="P6814" t="s">
        <v>26560</v>
      </c>
      <c r="R6814" t="s">
        <v>26578</v>
      </c>
      <c r="S6814" t="s">
        <v>18958</v>
      </c>
      <c r="U6814" t="s">
        <v>26604</v>
      </c>
      <c r="W6814" t="s">
        <v>781</v>
      </c>
      <c r="X6814">
        <v>967</v>
      </c>
      <c r="Y6814" t="s">
        <v>26650</v>
      </c>
      <c r="Z6814" t="s">
        <v>26663</v>
      </c>
      <c r="AB6814" t="s">
        <v>31926</v>
      </c>
      <c r="AD6814" t="s">
        <v>42221</v>
      </c>
      <c r="AE6814">
        <v>169</v>
      </c>
      <c r="AG6814" t="s">
        <v>45556</v>
      </c>
      <c r="AH6814">
        <v>5</v>
      </c>
      <c r="AI6814">
        <v>1</v>
      </c>
      <c r="AJ6814">
        <v>0</v>
      </c>
      <c r="AK6814">
        <v>61.29</v>
      </c>
      <c r="AN6814" t="s">
        <v>7439</v>
      </c>
      <c r="AO6814">
        <v>7440</v>
      </c>
      <c r="AU6814">
        <v>0</v>
      </c>
      <c r="AW6814" t="s">
        <v>292</v>
      </c>
    </row>
    <row r="6815" spans="1:50">
      <c r="A6815" s="1">
        <f>HYPERLINK("https://lsnyc.legalserver.org/matter/dynamic-profile/view/1886022","18-1886022")</f>
        <v>0</v>
      </c>
      <c r="B6815" t="s">
        <v>55</v>
      </c>
      <c r="C6815" t="s">
        <v>340</v>
      </c>
      <c r="D6815" t="s">
        <v>664</v>
      </c>
      <c r="F6815" t="s">
        <v>3796</v>
      </c>
      <c r="G6815" t="s">
        <v>5752</v>
      </c>
      <c r="H6815" t="s">
        <v>12199</v>
      </c>
      <c r="I6815" t="s">
        <v>18396</v>
      </c>
      <c r="J6815" t="s">
        <v>18892</v>
      </c>
      <c r="K6815">
        <v>10460</v>
      </c>
      <c r="L6815" t="s">
        <v>18958</v>
      </c>
      <c r="M6815" t="s">
        <v>18958</v>
      </c>
      <c r="N6815" t="s">
        <v>23962</v>
      </c>
      <c r="O6815" t="s">
        <v>26526</v>
      </c>
      <c r="P6815" t="s">
        <v>26560</v>
      </c>
      <c r="R6815" t="s">
        <v>26578</v>
      </c>
      <c r="S6815" t="s">
        <v>18958</v>
      </c>
      <c r="U6815" t="s">
        <v>26604</v>
      </c>
      <c r="W6815" t="s">
        <v>781</v>
      </c>
      <c r="X6815">
        <v>990</v>
      </c>
      <c r="Y6815" t="s">
        <v>26650</v>
      </c>
      <c r="Z6815" t="s">
        <v>26663</v>
      </c>
      <c r="AB6815" t="s">
        <v>31927</v>
      </c>
      <c r="AD6815" t="s">
        <v>42222</v>
      </c>
      <c r="AE6815">
        <v>169</v>
      </c>
      <c r="AF6815" t="s">
        <v>45541</v>
      </c>
      <c r="AG6815" t="s">
        <v>45556</v>
      </c>
      <c r="AH6815">
        <v>11</v>
      </c>
      <c r="AI6815">
        <v>1</v>
      </c>
      <c r="AJ6815">
        <v>0</v>
      </c>
      <c r="AK6815">
        <v>74.14</v>
      </c>
      <c r="AN6815" t="s">
        <v>7439</v>
      </c>
      <c r="AO6815">
        <v>9000</v>
      </c>
      <c r="AU6815">
        <v>0</v>
      </c>
      <c r="AW6815" t="s">
        <v>292</v>
      </c>
    </row>
    <row r="6816" spans="1:50">
      <c r="A6816" s="1">
        <f>HYPERLINK("https://lsnyc.legalserver.org/matter/dynamic-profile/view/1885983","18-1885983")</f>
        <v>0</v>
      </c>
      <c r="B6816" t="s">
        <v>55</v>
      </c>
      <c r="C6816" t="s">
        <v>340</v>
      </c>
      <c r="D6816" t="s">
        <v>664</v>
      </c>
      <c r="F6816" t="s">
        <v>3797</v>
      </c>
      <c r="G6816" t="s">
        <v>6782</v>
      </c>
      <c r="H6816" t="s">
        <v>12199</v>
      </c>
      <c r="I6816" t="s">
        <v>18397</v>
      </c>
      <c r="J6816" t="s">
        <v>18892</v>
      </c>
      <c r="K6816">
        <v>10460</v>
      </c>
      <c r="L6816" t="s">
        <v>18958</v>
      </c>
      <c r="M6816" t="s">
        <v>18958</v>
      </c>
      <c r="N6816" t="s">
        <v>23962</v>
      </c>
      <c r="O6816" t="s">
        <v>26526</v>
      </c>
      <c r="P6816" t="s">
        <v>26560</v>
      </c>
      <c r="R6816" t="s">
        <v>26578</v>
      </c>
      <c r="S6816" t="s">
        <v>18958</v>
      </c>
      <c r="U6816" t="s">
        <v>26604</v>
      </c>
      <c r="W6816" t="s">
        <v>781</v>
      </c>
      <c r="X6816">
        <v>241</v>
      </c>
      <c r="Y6816" t="s">
        <v>26650</v>
      </c>
      <c r="Z6816" t="s">
        <v>26663</v>
      </c>
      <c r="AB6816" t="s">
        <v>29276</v>
      </c>
      <c r="AD6816" t="s">
        <v>42223</v>
      </c>
      <c r="AE6816">
        <v>169</v>
      </c>
      <c r="AF6816" t="s">
        <v>45551</v>
      </c>
      <c r="AG6816" t="s">
        <v>45556</v>
      </c>
      <c r="AH6816">
        <v>12</v>
      </c>
      <c r="AI6816">
        <v>1</v>
      </c>
      <c r="AJ6816">
        <v>0</v>
      </c>
      <c r="AK6816">
        <v>76.61</v>
      </c>
      <c r="AN6816" t="s">
        <v>7439</v>
      </c>
      <c r="AO6816">
        <v>9300</v>
      </c>
      <c r="AU6816">
        <v>0</v>
      </c>
      <c r="AW6816" t="s">
        <v>292</v>
      </c>
    </row>
    <row r="6817" spans="1:50">
      <c r="A6817" s="1">
        <f>HYPERLINK("https://lsnyc.legalserver.org/matter/dynamic-profile/view/1885579","18-1885579")</f>
        <v>0</v>
      </c>
      <c r="B6817" t="s">
        <v>55</v>
      </c>
      <c r="C6817" t="s">
        <v>340</v>
      </c>
      <c r="D6817" t="s">
        <v>664</v>
      </c>
      <c r="F6817" t="s">
        <v>952</v>
      </c>
      <c r="G6817" t="s">
        <v>5794</v>
      </c>
      <c r="H6817" t="s">
        <v>12199</v>
      </c>
      <c r="I6817" t="s">
        <v>17981</v>
      </c>
      <c r="J6817" t="s">
        <v>18892</v>
      </c>
      <c r="K6817">
        <v>10460</v>
      </c>
      <c r="L6817" t="s">
        <v>18958</v>
      </c>
      <c r="M6817" t="s">
        <v>18958</v>
      </c>
      <c r="N6817" t="s">
        <v>23962</v>
      </c>
      <c r="O6817" t="s">
        <v>26526</v>
      </c>
      <c r="P6817" t="s">
        <v>26560</v>
      </c>
      <c r="R6817" t="s">
        <v>26578</v>
      </c>
      <c r="S6817" t="s">
        <v>18958</v>
      </c>
      <c r="U6817" t="s">
        <v>26604</v>
      </c>
      <c r="W6817" t="s">
        <v>781</v>
      </c>
      <c r="X6817">
        <v>1100</v>
      </c>
      <c r="Y6817" t="s">
        <v>26650</v>
      </c>
      <c r="Z6817" t="s">
        <v>26663</v>
      </c>
      <c r="AB6817" t="s">
        <v>31928</v>
      </c>
      <c r="AD6817" t="s">
        <v>42224</v>
      </c>
      <c r="AE6817">
        <v>169</v>
      </c>
      <c r="AF6817" t="s">
        <v>45541</v>
      </c>
      <c r="AG6817" t="s">
        <v>45561</v>
      </c>
      <c r="AH6817">
        <v>4</v>
      </c>
      <c r="AI6817">
        <v>1</v>
      </c>
      <c r="AJ6817">
        <v>0</v>
      </c>
      <c r="AK6817">
        <v>79.47</v>
      </c>
      <c r="AN6817" t="s">
        <v>7439</v>
      </c>
      <c r="AO6817">
        <v>9648</v>
      </c>
      <c r="AU6817">
        <v>0</v>
      </c>
      <c r="AW6817" t="s">
        <v>336</v>
      </c>
    </row>
    <row r="6818" spans="1:50">
      <c r="A6818" s="1">
        <f>HYPERLINK("https://lsnyc.legalserver.org/matter/dynamic-profile/view/1885575","18-1885575")</f>
        <v>0</v>
      </c>
      <c r="B6818" t="s">
        <v>55</v>
      </c>
      <c r="C6818" t="s">
        <v>340</v>
      </c>
      <c r="D6818" t="s">
        <v>664</v>
      </c>
      <c r="F6818" t="s">
        <v>887</v>
      </c>
      <c r="G6818" t="s">
        <v>5147</v>
      </c>
      <c r="H6818" t="s">
        <v>12199</v>
      </c>
      <c r="I6818" t="s">
        <v>18398</v>
      </c>
      <c r="J6818" t="s">
        <v>18892</v>
      </c>
      <c r="K6818">
        <v>10460</v>
      </c>
      <c r="L6818" t="s">
        <v>18958</v>
      </c>
      <c r="M6818" t="s">
        <v>18958</v>
      </c>
      <c r="N6818" t="s">
        <v>23962</v>
      </c>
      <c r="O6818" t="s">
        <v>26526</v>
      </c>
      <c r="P6818" t="s">
        <v>26560</v>
      </c>
      <c r="R6818" t="s">
        <v>26578</v>
      </c>
      <c r="S6818" t="s">
        <v>18958</v>
      </c>
      <c r="U6818" t="s">
        <v>26604</v>
      </c>
      <c r="W6818" t="s">
        <v>781</v>
      </c>
      <c r="X6818">
        <v>1500</v>
      </c>
      <c r="Y6818" t="s">
        <v>26650</v>
      </c>
      <c r="Z6818" t="s">
        <v>26663</v>
      </c>
      <c r="AB6818" t="s">
        <v>29251</v>
      </c>
      <c r="AD6818" t="s">
        <v>42225</v>
      </c>
      <c r="AE6818">
        <v>168</v>
      </c>
      <c r="AF6818" t="s">
        <v>45541</v>
      </c>
      <c r="AG6818" t="s">
        <v>45559</v>
      </c>
      <c r="AH6818">
        <v>1</v>
      </c>
      <c r="AI6818">
        <v>1</v>
      </c>
      <c r="AJ6818">
        <v>0</v>
      </c>
      <c r="AK6818">
        <v>81.84999999999999</v>
      </c>
      <c r="AN6818" t="s">
        <v>45581</v>
      </c>
      <c r="AO6818">
        <v>9936</v>
      </c>
      <c r="AU6818">
        <v>0</v>
      </c>
      <c r="AW6818" t="s">
        <v>336</v>
      </c>
    </row>
    <row r="6819" spans="1:50">
      <c r="A6819" s="1">
        <f>HYPERLINK("https://lsnyc.legalserver.org/matter/dynamic-profile/view/1885539","18-1885539")</f>
        <v>0</v>
      </c>
      <c r="B6819" t="s">
        <v>55</v>
      </c>
      <c r="C6819" t="s">
        <v>340</v>
      </c>
      <c r="D6819" t="s">
        <v>664</v>
      </c>
      <c r="F6819" t="s">
        <v>3798</v>
      </c>
      <c r="G6819" t="s">
        <v>3846</v>
      </c>
      <c r="H6819" t="s">
        <v>12199</v>
      </c>
      <c r="I6819" t="s">
        <v>18399</v>
      </c>
      <c r="J6819" t="s">
        <v>18892</v>
      </c>
      <c r="K6819">
        <v>10460</v>
      </c>
      <c r="L6819" t="s">
        <v>18958</v>
      </c>
      <c r="M6819" t="s">
        <v>18958</v>
      </c>
      <c r="N6819" t="s">
        <v>23962</v>
      </c>
      <c r="O6819" t="s">
        <v>26526</v>
      </c>
      <c r="P6819" t="s">
        <v>26560</v>
      </c>
      <c r="R6819" t="s">
        <v>26578</v>
      </c>
      <c r="S6819" t="s">
        <v>18958</v>
      </c>
      <c r="U6819" t="s">
        <v>26604</v>
      </c>
      <c r="W6819" t="s">
        <v>781</v>
      </c>
      <c r="X6819">
        <v>262</v>
      </c>
      <c r="Y6819" t="s">
        <v>26650</v>
      </c>
      <c r="Z6819" t="s">
        <v>26663</v>
      </c>
      <c r="AB6819" t="s">
        <v>31929</v>
      </c>
      <c r="AD6819" t="s">
        <v>42226</v>
      </c>
      <c r="AE6819">
        <v>169</v>
      </c>
      <c r="AF6819" t="s">
        <v>45552</v>
      </c>
      <c r="AG6819" t="s">
        <v>45556</v>
      </c>
      <c r="AH6819">
        <v>27</v>
      </c>
      <c r="AI6819">
        <v>1</v>
      </c>
      <c r="AJ6819">
        <v>0</v>
      </c>
      <c r="AK6819">
        <v>92.26000000000001</v>
      </c>
      <c r="AN6819" t="s">
        <v>7439</v>
      </c>
      <c r="AO6819">
        <v>11200</v>
      </c>
      <c r="AU6819">
        <v>0</v>
      </c>
      <c r="AW6819" t="s">
        <v>292</v>
      </c>
    </row>
    <row r="6820" spans="1:50">
      <c r="A6820" s="1">
        <f>HYPERLINK("https://lsnyc.legalserver.org/matter/dynamic-profile/view/1886107","18-1886107")</f>
        <v>0</v>
      </c>
      <c r="B6820" t="s">
        <v>55</v>
      </c>
      <c r="C6820" t="s">
        <v>340</v>
      </c>
      <c r="D6820" t="s">
        <v>664</v>
      </c>
      <c r="F6820" t="s">
        <v>916</v>
      </c>
      <c r="G6820" t="s">
        <v>5673</v>
      </c>
      <c r="H6820" t="s">
        <v>12199</v>
      </c>
      <c r="I6820" t="s">
        <v>18400</v>
      </c>
      <c r="J6820" t="s">
        <v>18892</v>
      </c>
      <c r="K6820">
        <v>10460</v>
      </c>
      <c r="L6820" t="s">
        <v>18958</v>
      </c>
      <c r="M6820" t="s">
        <v>18958</v>
      </c>
      <c r="N6820" t="s">
        <v>23962</v>
      </c>
      <c r="O6820" t="s">
        <v>26526</v>
      </c>
      <c r="P6820" t="s">
        <v>26560</v>
      </c>
      <c r="R6820" t="s">
        <v>26578</v>
      </c>
      <c r="S6820" t="s">
        <v>18958</v>
      </c>
      <c r="U6820" t="s">
        <v>26604</v>
      </c>
      <c r="W6820" t="s">
        <v>781</v>
      </c>
      <c r="X6820">
        <v>343</v>
      </c>
      <c r="Y6820" t="s">
        <v>26650</v>
      </c>
      <c r="Z6820" t="s">
        <v>26663</v>
      </c>
      <c r="AB6820" t="s">
        <v>31930</v>
      </c>
      <c r="AD6820" t="s">
        <v>42227</v>
      </c>
      <c r="AE6820">
        <v>169</v>
      </c>
      <c r="AF6820" t="s">
        <v>20460</v>
      </c>
      <c r="AG6820" t="s">
        <v>45556</v>
      </c>
      <c r="AH6820">
        <v>1</v>
      </c>
      <c r="AI6820">
        <v>1</v>
      </c>
      <c r="AJ6820">
        <v>0</v>
      </c>
      <c r="AK6820">
        <v>116.14</v>
      </c>
      <c r="AN6820" t="s">
        <v>45581</v>
      </c>
      <c r="AO6820">
        <v>14100</v>
      </c>
      <c r="AU6820">
        <v>0.5</v>
      </c>
      <c r="AV6820" t="s">
        <v>768</v>
      </c>
      <c r="AW6820" t="s">
        <v>292</v>
      </c>
    </row>
    <row r="6821" spans="1:50">
      <c r="A6821" s="1">
        <f>HYPERLINK("https://lsnyc.legalserver.org/matter/dynamic-profile/view/1886012","18-1886012")</f>
        <v>0</v>
      </c>
      <c r="B6821" t="s">
        <v>55</v>
      </c>
      <c r="C6821" t="s">
        <v>340</v>
      </c>
      <c r="D6821" t="s">
        <v>664</v>
      </c>
      <c r="F6821" t="s">
        <v>3203</v>
      </c>
      <c r="G6821" t="s">
        <v>8146</v>
      </c>
      <c r="H6821" t="s">
        <v>12199</v>
      </c>
      <c r="I6821" t="s">
        <v>18401</v>
      </c>
      <c r="J6821" t="s">
        <v>18892</v>
      </c>
      <c r="K6821">
        <v>10460</v>
      </c>
      <c r="L6821" t="s">
        <v>18958</v>
      </c>
      <c r="M6821" t="s">
        <v>18958</v>
      </c>
      <c r="N6821" t="s">
        <v>23962</v>
      </c>
      <c r="O6821" t="s">
        <v>26526</v>
      </c>
      <c r="P6821" t="s">
        <v>26560</v>
      </c>
      <c r="R6821" t="s">
        <v>26578</v>
      </c>
      <c r="S6821" t="s">
        <v>18958</v>
      </c>
      <c r="U6821" t="s">
        <v>26604</v>
      </c>
      <c r="W6821" t="s">
        <v>781</v>
      </c>
      <c r="X6821">
        <v>1169</v>
      </c>
      <c r="Y6821" t="s">
        <v>26650</v>
      </c>
      <c r="Z6821" t="s">
        <v>26663</v>
      </c>
      <c r="AB6821" t="s">
        <v>29369</v>
      </c>
      <c r="AE6821">
        <v>169</v>
      </c>
      <c r="AF6821" t="s">
        <v>45541</v>
      </c>
      <c r="AG6821" t="s">
        <v>45556</v>
      </c>
      <c r="AH6821">
        <v>0</v>
      </c>
      <c r="AI6821">
        <v>2</v>
      </c>
      <c r="AJ6821">
        <v>0</v>
      </c>
      <c r="AK6821">
        <v>212.64</v>
      </c>
      <c r="AN6821" t="s">
        <v>7439</v>
      </c>
      <c r="AO6821">
        <v>35000</v>
      </c>
      <c r="AU6821">
        <v>0</v>
      </c>
      <c r="AW6821" t="s">
        <v>292</v>
      </c>
    </row>
    <row r="6822" spans="1:50">
      <c r="A6822" s="1">
        <f>HYPERLINK("https://lsnyc.legalserver.org/matter/dynamic-profile/view/1885631","18-1885631")</f>
        <v>0</v>
      </c>
      <c r="B6822" t="s">
        <v>55</v>
      </c>
      <c r="C6822" t="s">
        <v>340</v>
      </c>
      <c r="D6822" t="s">
        <v>664</v>
      </c>
      <c r="F6822" t="s">
        <v>1929</v>
      </c>
      <c r="G6822" t="s">
        <v>8147</v>
      </c>
      <c r="H6822" t="s">
        <v>12199</v>
      </c>
      <c r="I6822" t="s">
        <v>18402</v>
      </c>
      <c r="J6822" t="s">
        <v>18892</v>
      </c>
      <c r="K6822">
        <v>10460</v>
      </c>
      <c r="L6822" t="s">
        <v>18958</v>
      </c>
      <c r="M6822" t="s">
        <v>18958</v>
      </c>
      <c r="N6822" t="s">
        <v>23962</v>
      </c>
      <c r="O6822" t="s">
        <v>26526</v>
      </c>
      <c r="P6822" t="s">
        <v>26560</v>
      </c>
      <c r="R6822" t="s">
        <v>26578</v>
      </c>
      <c r="S6822" t="s">
        <v>18958</v>
      </c>
      <c r="U6822" t="s">
        <v>26604</v>
      </c>
      <c r="W6822" t="s">
        <v>781</v>
      </c>
      <c r="X6822">
        <v>895</v>
      </c>
      <c r="Y6822" t="s">
        <v>26650</v>
      </c>
      <c r="Z6822" t="s">
        <v>26663</v>
      </c>
      <c r="AB6822" t="s">
        <v>31931</v>
      </c>
      <c r="AE6822">
        <v>168</v>
      </c>
      <c r="AF6822" t="s">
        <v>45543</v>
      </c>
      <c r="AG6822" t="s">
        <v>45556</v>
      </c>
      <c r="AH6822">
        <v>5</v>
      </c>
      <c r="AI6822">
        <v>1</v>
      </c>
      <c r="AJ6822">
        <v>0</v>
      </c>
      <c r="AK6822">
        <v>259.47</v>
      </c>
      <c r="AN6822" t="s">
        <v>7439</v>
      </c>
      <c r="AO6822">
        <v>31500</v>
      </c>
      <c r="AU6822">
        <v>0</v>
      </c>
      <c r="AW6822" t="s">
        <v>292</v>
      </c>
    </row>
    <row r="6823" spans="1:50">
      <c r="A6823" s="1">
        <f>HYPERLINK("https://lsnyc.legalserver.org/matter/dynamic-profile/view/1885572","18-1885572")</f>
        <v>0</v>
      </c>
      <c r="B6823" t="s">
        <v>55</v>
      </c>
      <c r="C6823" t="s">
        <v>340</v>
      </c>
      <c r="D6823" t="s">
        <v>664</v>
      </c>
      <c r="F6823" t="s">
        <v>1493</v>
      </c>
      <c r="G6823" t="s">
        <v>7043</v>
      </c>
      <c r="H6823" t="s">
        <v>12199</v>
      </c>
      <c r="I6823" t="s">
        <v>18403</v>
      </c>
      <c r="J6823" t="s">
        <v>18892</v>
      </c>
      <c r="K6823">
        <v>10460</v>
      </c>
      <c r="L6823" t="s">
        <v>18958</v>
      </c>
      <c r="M6823" t="s">
        <v>18958</v>
      </c>
      <c r="N6823" t="s">
        <v>23962</v>
      </c>
      <c r="O6823" t="s">
        <v>26526</v>
      </c>
      <c r="P6823" t="s">
        <v>26560</v>
      </c>
      <c r="R6823" t="s">
        <v>26578</v>
      </c>
      <c r="S6823" t="s">
        <v>18958</v>
      </c>
      <c r="U6823" t="s">
        <v>26604</v>
      </c>
      <c r="W6823" t="s">
        <v>781</v>
      </c>
      <c r="X6823">
        <v>378</v>
      </c>
      <c r="Y6823" t="s">
        <v>26650</v>
      </c>
      <c r="Z6823" t="s">
        <v>26663</v>
      </c>
      <c r="AB6823" t="s">
        <v>31932</v>
      </c>
      <c r="AE6823">
        <v>168</v>
      </c>
      <c r="AF6823" t="s">
        <v>45543</v>
      </c>
      <c r="AG6823" t="s">
        <v>45556</v>
      </c>
      <c r="AH6823">
        <v>14</v>
      </c>
      <c r="AI6823">
        <v>2</v>
      </c>
      <c r="AJ6823">
        <v>0</v>
      </c>
      <c r="AK6823">
        <v>396.72</v>
      </c>
      <c r="AN6823" t="s">
        <v>7439</v>
      </c>
      <c r="AO6823">
        <v>65300</v>
      </c>
      <c r="AU6823">
        <v>0</v>
      </c>
      <c r="AW6823" t="s">
        <v>292</v>
      </c>
      <c r="AX6823" t="s">
        <v>46897</v>
      </c>
    </row>
    <row r="6824" spans="1:50">
      <c r="A6824" s="1">
        <f>HYPERLINK("https://lsnyc.legalserver.org/matter/dynamic-profile/view/1885922","18-1885922")</f>
        <v>0</v>
      </c>
      <c r="B6824" t="s">
        <v>55</v>
      </c>
      <c r="C6824" t="s">
        <v>340</v>
      </c>
      <c r="D6824" t="s">
        <v>666</v>
      </c>
      <c r="F6824" t="s">
        <v>1016</v>
      </c>
      <c r="G6824" t="s">
        <v>6422</v>
      </c>
      <c r="H6824" t="s">
        <v>12199</v>
      </c>
      <c r="I6824" t="s">
        <v>18404</v>
      </c>
      <c r="J6824" t="s">
        <v>18892</v>
      </c>
      <c r="K6824">
        <v>10460</v>
      </c>
      <c r="L6824" t="s">
        <v>18958</v>
      </c>
      <c r="M6824" t="s">
        <v>18958</v>
      </c>
      <c r="N6824" t="s">
        <v>23962</v>
      </c>
      <c r="O6824" t="s">
        <v>26526</v>
      </c>
      <c r="P6824" t="s">
        <v>26560</v>
      </c>
      <c r="R6824" t="s">
        <v>26578</v>
      </c>
      <c r="S6824" t="s">
        <v>18958</v>
      </c>
      <c r="U6824" t="s">
        <v>26604</v>
      </c>
      <c r="W6824" t="s">
        <v>781</v>
      </c>
      <c r="X6824">
        <v>238</v>
      </c>
      <c r="Y6824" t="s">
        <v>26650</v>
      </c>
      <c r="Z6824" t="s">
        <v>26663</v>
      </c>
      <c r="AB6824" t="s">
        <v>31933</v>
      </c>
      <c r="AC6824" t="s">
        <v>36240</v>
      </c>
      <c r="AD6824" t="s">
        <v>42228</v>
      </c>
      <c r="AE6824">
        <v>169</v>
      </c>
      <c r="AF6824" t="s">
        <v>45551</v>
      </c>
      <c r="AG6824" t="s">
        <v>45556</v>
      </c>
      <c r="AH6824">
        <v>24</v>
      </c>
      <c r="AI6824">
        <v>1</v>
      </c>
      <c r="AJ6824">
        <v>0</v>
      </c>
      <c r="AK6824">
        <v>81.65000000000001</v>
      </c>
      <c r="AN6824" t="s">
        <v>7439</v>
      </c>
      <c r="AO6824">
        <v>9912</v>
      </c>
      <c r="AU6824">
        <v>0.5</v>
      </c>
      <c r="AV6824" t="s">
        <v>702</v>
      </c>
      <c r="AW6824" t="s">
        <v>292</v>
      </c>
    </row>
    <row r="6825" spans="1:50">
      <c r="A6825" s="1">
        <f>HYPERLINK("https://lsnyc.legalserver.org/matter/dynamic-profile/view/1885558","18-1885558")</f>
        <v>0</v>
      </c>
      <c r="B6825" t="s">
        <v>55</v>
      </c>
      <c r="C6825" t="s">
        <v>340</v>
      </c>
      <c r="D6825" t="s">
        <v>678</v>
      </c>
      <c r="F6825" t="s">
        <v>3799</v>
      </c>
      <c r="G6825" t="s">
        <v>6864</v>
      </c>
      <c r="H6825" t="s">
        <v>12199</v>
      </c>
      <c r="I6825" t="s">
        <v>18405</v>
      </c>
      <c r="J6825" t="s">
        <v>18892</v>
      </c>
      <c r="K6825">
        <v>10460</v>
      </c>
      <c r="L6825" t="s">
        <v>18958</v>
      </c>
      <c r="M6825" t="s">
        <v>18958</v>
      </c>
      <c r="N6825" t="s">
        <v>23962</v>
      </c>
      <c r="O6825" t="s">
        <v>26526</v>
      </c>
      <c r="P6825" t="s">
        <v>26560</v>
      </c>
      <c r="R6825" t="s">
        <v>26578</v>
      </c>
      <c r="S6825" t="s">
        <v>18958</v>
      </c>
      <c r="U6825" t="s">
        <v>26604</v>
      </c>
      <c r="W6825" t="s">
        <v>781</v>
      </c>
      <c r="X6825">
        <v>1367</v>
      </c>
      <c r="Y6825" t="s">
        <v>26650</v>
      </c>
      <c r="Z6825" t="s">
        <v>26663</v>
      </c>
      <c r="AB6825" t="s">
        <v>29113</v>
      </c>
      <c r="AD6825" t="s">
        <v>42229</v>
      </c>
      <c r="AE6825">
        <v>168</v>
      </c>
      <c r="AF6825" t="s">
        <v>45551</v>
      </c>
      <c r="AG6825" t="s">
        <v>19330</v>
      </c>
      <c r="AH6825">
        <v>24</v>
      </c>
      <c r="AI6825">
        <v>1</v>
      </c>
      <c r="AJ6825">
        <v>0</v>
      </c>
      <c r="AK6825">
        <v>365</v>
      </c>
      <c r="AN6825" t="s">
        <v>7439</v>
      </c>
      <c r="AO6825">
        <v>44311</v>
      </c>
      <c r="AU6825">
        <v>0</v>
      </c>
      <c r="AW6825" t="s">
        <v>336</v>
      </c>
    </row>
    <row r="6826" spans="1:50">
      <c r="A6826" s="1">
        <f>HYPERLINK("https://lsnyc.legalserver.org/matter/dynamic-profile/view/1885652","18-1885652")</f>
        <v>0</v>
      </c>
      <c r="B6826" t="s">
        <v>55</v>
      </c>
      <c r="C6826" t="s">
        <v>340</v>
      </c>
      <c r="D6826" t="s">
        <v>687</v>
      </c>
      <c r="F6826" t="s">
        <v>1548</v>
      </c>
      <c r="G6826" t="s">
        <v>8148</v>
      </c>
      <c r="H6826" t="s">
        <v>12199</v>
      </c>
      <c r="I6826" t="s">
        <v>18406</v>
      </c>
      <c r="J6826" t="s">
        <v>18892</v>
      </c>
      <c r="K6826">
        <v>10460</v>
      </c>
      <c r="L6826" t="s">
        <v>18958</v>
      </c>
      <c r="M6826" t="s">
        <v>18958</v>
      </c>
      <c r="N6826" t="s">
        <v>23962</v>
      </c>
      <c r="O6826" t="s">
        <v>26526</v>
      </c>
      <c r="P6826" t="s">
        <v>26560</v>
      </c>
      <c r="R6826" t="s">
        <v>26578</v>
      </c>
      <c r="S6826" t="s">
        <v>18958</v>
      </c>
      <c r="U6826" t="s">
        <v>26604</v>
      </c>
      <c r="W6826" t="s">
        <v>781</v>
      </c>
      <c r="X6826">
        <v>400</v>
      </c>
      <c r="Y6826" t="s">
        <v>26650</v>
      </c>
      <c r="Z6826" t="s">
        <v>26663</v>
      </c>
      <c r="AB6826" t="s">
        <v>30044</v>
      </c>
      <c r="AD6826" t="s">
        <v>42230</v>
      </c>
      <c r="AE6826">
        <v>168</v>
      </c>
      <c r="AF6826" t="s">
        <v>45541</v>
      </c>
      <c r="AG6826" t="s">
        <v>45556</v>
      </c>
      <c r="AH6826">
        <v>8</v>
      </c>
      <c r="AI6826">
        <v>1</v>
      </c>
      <c r="AJ6826">
        <v>2</v>
      </c>
      <c r="AK6826">
        <v>24.27</v>
      </c>
      <c r="AN6826" t="s">
        <v>7439</v>
      </c>
      <c r="AO6826">
        <v>5044</v>
      </c>
      <c r="AU6826">
        <v>0</v>
      </c>
      <c r="AW6826" t="s">
        <v>292</v>
      </c>
    </row>
    <row r="6827" spans="1:50">
      <c r="A6827" s="1">
        <f>HYPERLINK("https://lsnyc.legalserver.org/matter/dynamic-profile/view/1885581","18-1885581")</f>
        <v>0</v>
      </c>
      <c r="B6827" t="s">
        <v>55</v>
      </c>
      <c r="C6827" t="s">
        <v>340</v>
      </c>
      <c r="D6827" t="s">
        <v>687</v>
      </c>
      <c r="F6827" t="s">
        <v>2117</v>
      </c>
      <c r="G6827" t="s">
        <v>5475</v>
      </c>
      <c r="H6827" t="s">
        <v>12199</v>
      </c>
      <c r="I6827" t="s">
        <v>18407</v>
      </c>
      <c r="J6827" t="s">
        <v>18892</v>
      </c>
      <c r="K6827">
        <v>10460</v>
      </c>
      <c r="L6827" t="s">
        <v>18958</v>
      </c>
      <c r="M6827" t="s">
        <v>18958</v>
      </c>
      <c r="N6827" t="s">
        <v>23962</v>
      </c>
      <c r="O6827" t="s">
        <v>26526</v>
      </c>
      <c r="P6827" t="s">
        <v>26560</v>
      </c>
      <c r="R6827" t="s">
        <v>26578</v>
      </c>
      <c r="S6827" t="s">
        <v>18958</v>
      </c>
      <c r="U6827" t="s">
        <v>26604</v>
      </c>
      <c r="W6827" t="s">
        <v>781</v>
      </c>
      <c r="X6827">
        <v>1543</v>
      </c>
      <c r="Y6827" t="s">
        <v>26650</v>
      </c>
      <c r="Z6827" t="s">
        <v>26663</v>
      </c>
      <c r="AB6827" t="s">
        <v>31934</v>
      </c>
      <c r="AD6827" t="s">
        <v>42231</v>
      </c>
      <c r="AE6827">
        <v>168</v>
      </c>
      <c r="AF6827" t="s">
        <v>45541</v>
      </c>
      <c r="AG6827" t="s">
        <v>45556</v>
      </c>
      <c r="AH6827">
        <v>24</v>
      </c>
      <c r="AI6827">
        <v>2</v>
      </c>
      <c r="AJ6827">
        <v>0</v>
      </c>
      <c r="AK6827">
        <v>94.78</v>
      </c>
      <c r="AN6827" t="s">
        <v>7439</v>
      </c>
      <c r="AO6827">
        <v>15600</v>
      </c>
      <c r="AU6827">
        <v>0</v>
      </c>
      <c r="AW6827" t="s">
        <v>336</v>
      </c>
      <c r="AX6827" t="s">
        <v>46897</v>
      </c>
    </row>
    <row r="6828" spans="1:50">
      <c r="A6828" s="1">
        <f>HYPERLINK("https://lsnyc.legalserver.org/matter/dynamic-profile/view/1885992","18-1885992")</f>
        <v>0</v>
      </c>
      <c r="B6828" t="s">
        <v>55</v>
      </c>
      <c r="C6828" t="s">
        <v>340</v>
      </c>
      <c r="D6828" t="s">
        <v>687</v>
      </c>
      <c r="F6828" t="s">
        <v>1983</v>
      </c>
      <c r="G6828" t="s">
        <v>8149</v>
      </c>
      <c r="H6828" t="s">
        <v>12199</v>
      </c>
      <c r="I6828" t="s">
        <v>18408</v>
      </c>
      <c r="J6828" t="s">
        <v>18892</v>
      </c>
      <c r="K6828">
        <v>10460</v>
      </c>
      <c r="L6828" t="s">
        <v>18958</v>
      </c>
      <c r="M6828" t="s">
        <v>18958</v>
      </c>
      <c r="N6828" t="s">
        <v>23962</v>
      </c>
      <c r="O6828" t="s">
        <v>26526</v>
      </c>
      <c r="P6828" t="s">
        <v>26560</v>
      </c>
      <c r="R6828" t="s">
        <v>26578</v>
      </c>
      <c r="S6828" t="s">
        <v>18958</v>
      </c>
      <c r="U6828" t="s">
        <v>26604</v>
      </c>
      <c r="W6828" t="s">
        <v>781</v>
      </c>
      <c r="X6828">
        <v>1960</v>
      </c>
      <c r="Y6828" t="s">
        <v>26650</v>
      </c>
      <c r="Z6828" t="s">
        <v>26663</v>
      </c>
      <c r="AB6828" t="s">
        <v>31935</v>
      </c>
      <c r="AD6828" t="s">
        <v>42232</v>
      </c>
      <c r="AE6828">
        <v>169</v>
      </c>
      <c r="AF6828" t="s">
        <v>45543</v>
      </c>
      <c r="AG6828" t="s">
        <v>45556</v>
      </c>
      <c r="AH6828">
        <v>11</v>
      </c>
      <c r="AI6828">
        <v>1</v>
      </c>
      <c r="AJ6828">
        <v>1</v>
      </c>
      <c r="AK6828">
        <v>212.64</v>
      </c>
      <c r="AN6828" t="s">
        <v>7439</v>
      </c>
      <c r="AO6828">
        <v>35000</v>
      </c>
      <c r="AU6828">
        <v>0</v>
      </c>
      <c r="AW6828" t="s">
        <v>292</v>
      </c>
    </row>
    <row r="6829" spans="1:50">
      <c r="A6829" s="1">
        <f>HYPERLINK("https://lsnyc.legalserver.org/matter/dynamic-profile/view/1884809","18-1884809")</f>
        <v>0</v>
      </c>
      <c r="B6829" t="s">
        <v>55</v>
      </c>
      <c r="C6829" t="s">
        <v>340</v>
      </c>
      <c r="D6829" t="s">
        <v>682</v>
      </c>
      <c r="F6829" t="s">
        <v>3175</v>
      </c>
      <c r="G6829" t="s">
        <v>7423</v>
      </c>
      <c r="H6829" t="s">
        <v>12199</v>
      </c>
      <c r="I6829" t="s">
        <v>18151</v>
      </c>
      <c r="J6829" t="s">
        <v>18892</v>
      </c>
      <c r="K6829">
        <v>10460</v>
      </c>
      <c r="L6829" t="s">
        <v>18958</v>
      </c>
      <c r="M6829" t="s">
        <v>18958</v>
      </c>
      <c r="N6829" t="s">
        <v>23962</v>
      </c>
      <c r="O6829" t="s">
        <v>26526</v>
      </c>
      <c r="P6829" t="s">
        <v>26560</v>
      </c>
      <c r="R6829" t="s">
        <v>26578</v>
      </c>
      <c r="S6829" t="s">
        <v>18958</v>
      </c>
      <c r="U6829" t="s">
        <v>26604</v>
      </c>
      <c r="W6829" t="s">
        <v>781</v>
      </c>
      <c r="X6829">
        <v>150</v>
      </c>
      <c r="Y6829" t="s">
        <v>26650</v>
      </c>
      <c r="Z6829" t="s">
        <v>26663</v>
      </c>
      <c r="AB6829" t="s">
        <v>26886</v>
      </c>
      <c r="AD6829" t="s">
        <v>40798</v>
      </c>
      <c r="AE6829">
        <v>168</v>
      </c>
      <c r="AF6829" t="s">
        <v>45551</v>
      </c>
      <c r="AG6829" t="s">
        <v>45561</v>
      </c>
      <c r="AH6829">
        <v>25</v>
      </c>
      <c r="AI6829">
        <v>2</v>
      </c>
      <c r="AJ6829">
        <v>0</v>
      </c>
      <c r="AK6829">
        <v>72.90000000000001</v>
      </c>
      <c r="AN6829" t="s">
        <v>7439</v>
      </c>
      <c r="AO6829">
        <v>12000</v>
      </c>
      <c r="AU6829">
        <v>429.69</v>
      </c>
      <c r="AV6829" t="s">
        <v>839</v>
      </c>
      <c r="AW6829" t="s">
        <v>263</v>
      </c>
    </row>
    <row r="6830" spans="1:50">
      <c r="A6830" s="1">
        <f>HYPERLINK("https://lsnyc.legalserver.org/matter/dynamic-profile/view/1884964","18-1884964")</f>
        <v>0</v>
      </c>
      <c r="B6830" t="s">
        <v>291</v>
      </c>
      <c r="C6830" t="s">
        <v>340</v>
      </c>
      <c r="D6830" t="s">
        <v>518</v>
      </c>
      <c r="F6830" t="s">
        <v>1489</v>
      </c>
      <c r="G6830" t="s">
        <v>7018</v>
      </c>
      <c r="H6830" t="s">
        <v>12573</v>
      </c>
      <c r="I6830" t="s">
        <v>17424</v>
      </c>
      <c r="J6830" t="s">
        <v>18892</v>
      </c>
      <c r="K6830">
        <v>10456</v>
      </c>
      <c r="L6830" t="s">
        <v>18958</v>
      </c>
      <c r="M6830" t="s">
        <v>18958</v>
      </c>
      <c r="N6830" t="s">
        <v>19079</v>
      </c>
      <c r="O6830" t="s">
        <v>26539</v>
      </c>
      <c r="P6830" t="s">
        <v>26562</v>
      </c>
      <c r="R6830" t="s">
        <v>26578</v>
      </c>
      <c r="S6830" t="s">
        <v>18959</v>
      </c>
      <c r="U6830" t="s">
        <v>26607</v>
      </c>
      <c r="W6830" t="s">
        <v>781</v>
      </c>
      <c r="X6830">
        <v>949.37</v>
      </c>
      <c r="Y6830" t="s">
        <v>26650</v>
      </c>
      <c r="Z6830" t="s">
        <v>26659</v>
      </c>
      <c r="AB6830" t="s">
        <v>31936</v>
      </c>
      <c r="AD6830" t="s">
        <v>39961</v>
      </c>
      <c r="AE6830">
        <v>56</v>
      </c>
      <c r="AF6830" t="s">
        <v>45541</v>
      </c>
      <c r="AG6830" t="s">
        <v>19330</v>
      </c>
      <c r="AH6830">
        <v>24</v>
      </c>
      <c r="AI6830">
        <v>2</v>
      </c>
      <c r="AJ6830">
        <v>0</v>
      </c>
      <c r="AK6830">
        <v>56.35</v>
      </c>
      <c r="AN6830" t="s">
        <v>7439</v>
      </c>
      <c r="AO6830">
        <v>9276</v>
      </c>
      <c r="AU6830">
        <v>11.25</v>
      </c>
      <c r="AV6830" t="s">
        <v>766</v>
      </c>
      <c r="AW6830" t="s">
        <v>46881</v>
      </c>
    </row>
    <row r="6831" spans="1:50">
      <c r="A6831" s="1">
        <f>HYPERLINK("https://lsnyc.legalserver.org/matter/dynamic-profile/view/1885944","18-1885944")</f>
        <v>0</v>
      </c>
      <c r="B6831" t="s">
        <v>55</v>
      </c>
      <c r="C6831" t="s">
        <v>340</v>
      </c>
      <c r="D6831" t="s">
        <v>683</v>
      </c>
      <c r="F6831" t="s">
        <v>939</v>
      </c>
      <c r="G6831" t="s">
        <v>8150</v>
      </c>
      <c r="H6831" t="s">
        <v>12199</v>
      </c>
      <c r="I6831" t="s">
        <v>18409</v>
      </c>
      <c r="J6831" t="s">
        <v>18892</v>
      </c>
      <c r="K6831">
        <v>10460</v>
      </c>
      <c r="L6831" t="s">
        <v>18958</v>
      </c>
      <c r="M6831" t="s">
        <v>18958</v>
      </c>
      <c r="N6831" t="s">
        <v>23962</v>
      </c>
      <c r="O6831" t="s">
        <v>26526</v>
      </c>
      <c r="P6831" t="s">
        <v>26560</v>
      </c>
      <c r="R6831" t="s">
        <v>26578</v>
      </c>
      <c r="S6831" t="s">
        <v>18958</v>
      </c>
      <c r="U6831" t="s">
        <v>26604</v>
      </c>
      <c r="W6831" t="s">
        <v>781</v>
      </c>
      <c r="X6831">
        <v>263</v>
      </c>
      <c r="Y6831" t="s">
        <v>26650</v>
      </c>
      <c r="Z6831" t="s">
        <v>26663</v>
      </c>
      <c r="AB6831" t="s">
        <v>31937</v>
      </c>
      <c r="AD6831" t="s">
        <v>42233</v>
      </c>
      <c r="AE6831">
        <v>169</v>
      </c>
      <c r="AF6831" t="s">
        <v>45543</v>
      </c>
      <c r="AG6831" t="s">
        <v>45556</v>
      </c>
      <c r="AH6831">
        <v>44</v>
      </c>
      <c r="AI6831">
        <v>1</v>
      </c>
      <c r="AJ6831">
        <v>0</v>
      </c>
      <c r="AK6831">
        <v>79.56999999999999</v>
      </c>
      <c r="AN6831" t="s">
        <v>7439</v>
      </c>
      <c r="AO6831">
        <v>9660</v>
      </c>
      <c r="AU6831">
        <v>0</v>
      </c>
      <c r="AW6831" t="s">
        <v>292</v>
      </c>
    </row>
    <row r="6832" spans="1:50">
      <c r="A6832" s="1">
        <f>HYPERLINK("https://lsnyc.legalserver.org/matter/dynamic-profile/view/1886706","18-1886706")</f>
        <v>0</v>
      </c>
      <c r="B6832" t="s">
        <v>55</v>
      </c>
      <c r="C6832" t="s">
        <v>340</v>
      </c>
      <c r="D6832" t="s">
        <v>683</v>
      </c>
      <c r="F6832" t="s">
        <v>1402</v>
      </c>
      <c r="G6832" t="s">
        <v>5849</v>
      </c>
      <c r="H6832" t="s">
        <v>12199</v>
      </c>
      <c r="I6832" t="s">
        <v>18410</v>
      </c>
      <c r="J6832" t="s">
        <v>18892</v>
      </c>
      <c r="K6832">
        <v>10460</v>
      </c>
      <c r="L6832" t="s">
        <v>18958</v>
      </c>
      <c r="M6832" t="s">
        <v>18958</v>
      </c>
      <c r="N6832" t="s">
        <v>23963</v>
      </c>
      <c r="O6832" t="s">
        <v>26526</v>
      </c>
      <c r="P6832" t="s">
        <v>26560</v>
      </c>
      <c r="R6832" t="s">
        <v>26578</v>
      </c>
      <c r="S6832" t="s">
        <v>18958</v>
      </c>
      <c r="U6832" t="s">
        <v>26604</v>
      </c>
      <c r="W6832" t="s">
        <v>781</v>
      </c>
      <c r="X6832">
        <v>751</v>
      </c>
      <c r="Y6832" t="s">
        <v>26650</v>
      </c>
      <c r="Z6832" t="s">
        <v>26663</v>
      </c>
      <c r="AB6832" t="s">
        <v>29491</v>
      </c>
      <c r="AD6832" t="s">
        <v>42234</v>
      </c>
      <c r="AE6832">
        <v>168</v>
      </c>
      <c r="AF6832" t="s">
        <v>20460</v>
      </c>
      <c r="AG6832" t="s">
        <v>45556</v>
      </c>
      <c r="AH6832">
        <v>15</v>
      </c>
      <c r="AI6832">
        <v>2</v>
      </c>
      <c r="AJ6832">
        <v>1</v>
      </c>
      <c r="AK6832">
        <v>174.45</v>
      </c>
      <c r="AN6832" t="s">
        <v>7439</v>
      </c>
      <c r="AO6832">
        <v>36250</v>
      </c>
      <c r="AU6832">
        <v>0</v>
      </c>
      <c r="AW6832" t="s">
        <v>292</v>
      </c>
    </row>
    <row r="6833" spans="1:50">
      <c r="A6833" s="1">
        <f>HYPERLINK("https://lsnyc.legalserver.org/matter/dynamic-profile/view/1890574","19-1890574")</f>
        <v>0</v>
      </c>
      <c r="B6833" t="s">
        <v>75</v>
      </c>
      <c r="C6833" t="s">
        <v>340</v>
      </c>
      <c r="D6833" t="s">
        <v>683</v>
      </c>
      <c r="F6833" t="s">
        <v>3800</v>
      </c>
      <c r="G6833" t="s">
        <v>5269</v>
      </c>
      <c r="H6833" t="s">
        <v>12169</v>
      </c>
      <c r="I6833" t="s">
        <v>17275</v>
      </c>
      <c r="J6833" t="s">
        <v>18892</v>
      </c>
      <c r="K6833">
        <v>10453</v>
      </c>
      <c r="L6833" t="s">
        <v>18958</v>
      </c>
      <c r="M6833" t="s">
        <v>18958</v>
      </c>
      <c r="O6833" t="s">
        <v>26534</v>
      </c>
      <c r="P6833" t="s">
        <v>26561</v>
      </c>
      <c r="R6833" t="s">
        <v>26578</v>
      </c>
      <c r="S6833" t="s">
        <v>18958</v>
      </c>
      <c r="U6833" t="s">
        <v>26604</v>
      </c>
      <c r="W6833" t="s">
        <v>781</v>
      </c>
      <c r="X6833">
        <v>800</v>
      </c>
      <c r="Y6833" t="s">
        <v>26650</v>
      </c>
      <c r="Z6833" t="s">
        <v>26663</v>
      </c>
      <c r="AB6833" t="s">
        <v>31938</v>
      </c>
      <c r="AD6833" t="s">
        <v>42235</v>
      </c>
      <c r="AE6833">
        <v>44</v>
      </c>
      <c r="AF6833" t="s">
        <v>45541</v>
      </c>
      <c r="AG6833" t="s">
        <v>19330</v>
      </c>
      <c r="AH6833">
        <v>1</v>
      </c>
      <c r="AI6833">
        <v>2</v>
      </c>
      <c r="AJ6833">
        <v>0</v>
      </c>
      <c r="AK6833">
        <v>0</v>
      </c>
      <c r="AN6833" t="s">
        <v>7439</v>
      </c>
      <c r="AO6833">
        <v>0</v>
      </c>
      <c r="AU6833">
        <v>0</v>
      </c>
      <c r="AW6833" t="s">
        <v>336</v>
      </c>
    </row>
    <row r="6834" spans="1:50">
      <c r="A6834" s="1">
        <f>HYPERLINK("https://lsnyc.legalserver.org/matter/dynamic-profile/view/1890570","19-1890570")</f>
        <v>0</v>
      </c>
      <c r="B6834" t="s">
        <v>75</v>
      </c>
      <c r="C6834" t="s">
        <v>340</v>
      </c>
      <c r="D6834" t="s">
        <v>683</v>
      </c>
      <c r="F6834" t="s">
        <v>3800</v>
      </c>
      <c r="G6834" t="s">
        <v>5269</v>
      </c>
      <c r="H6834" t="s">
        <v>12169</v>
      </c>
      <c r="I6834" t="s">
        <v>17275</v>
      </c>
      <c r="J6834" t="s">
        <v>18892</v>
      </c>
      <c r="K6834">
        <v>10453</v>
      </c>
      <c r="L6834" t="s">
        <v>18958</v>
      </c>
      <c r="M6834" t="s">
        <v>18958</v>
      </c>
      <c r="N6834" t="s">
        <v>23964</v>
      </c>
      <c r="O6834" t="s">
        <v>26526</v>
      </c>
      <c r="P6834" t="s">
        <v>26560</v>
      </c>
      <c r="R6834" t="s">
        <v>26578</v>
      </c>
      <c r="S6834" t="s">
        <v>18958</v>
      </c>
      <c r="U6834" t="s">
        <v>26604</v>
      </c>
      <c r="W6834" t="s">
        <v>781</v>
      </c>
      <c r="X6834">
        <v>800</v>
      </c>
      <c r="Y6834" t="s">
        <v>26650</v>
      </c>
      <c r="Z6834" t="s">
        <v>26663</v>
      </c>
      <c r="AB6834" t="s">
        <v>31938</v>
      </c>
      <c r="AD6834" t="s">
        <v>42235</v>
      </c>
      <c r="AE6834">
        <v>44</v>
      </c>
      <c r="AF6834" t="s">
        <v>45541</v>
      </c>
      <c r="AG6834" t="s">
        <v>19330</v>
      </c>
      <c r="AH6834">
        <v>1</v>
      </c>
      <c r="AI6834">
        <v>2</v>
      </c>
      <c r="AJ6834">
        <v>0</v>
      </c>
      <c r="AK6834">
        <v>0</v>
      </c>
      <c r="AN6834" t="s">
        <v>7439</v>
      </c>
      <c r="AO6834">
        <v>0</v>
      </c>
      <c r="AU6834">
        <v>0</v>
      </c>
      <c r="AW6834" t="s">
        <v>336</v>
      </c>
    </row>
    <row r="6835" spans="1:50">
      <c r="A6835" s="1">
        <f>HYPERLINK("https://lsnyc.legalserver.org/matter/dynamic-profile/view/1890563","19-1890563")</f>
        <v>0</v>
      </c>
      <c r="B6835" t="s">
        <v>75</v>
      </c>
      <c r="C6835" t="s">
        <v>340</v>
      </c>
      <c r="D6835" t="s">
        <v>683</v>
      </c>
      <c r="F6835" t="s">
        <v>3800</v>
      </c>
      <c r="G6835" t="s">
        <v>5269</v>
      </c>
      <c r="H6835" t="s">
        <v>12169</v>
      </c>
      <c r="I6835" t="s">
        <v>17275</v>
      </c>
      <c r="J6835" t="s">
        <v>18892</v>
      </c>
      <c r="K6835">
        <v>10453</v>
      </c>
      <c r="L6835" t="s">
        <v>18958</v>
      </c>
      <c r="M6835" t="s">
        <v>18958</v>
      </c>
      <c r="O6835" t="s">
        <v>18997</v>
      </c>
      <c r="P6835" t="s">
        <v>26562</v>
      </c>
      <c r="R6835" t="s">
        <v>26578</v>
      </c>
      <c r="S6835" t="s">
        <v>18959</v>
      </c>
      <c r="U6835" t="s">
        <v>26604</v>
      </c>
      <c r="W6835" t="s">
        <v>781</v>
      </c>
      <c r="X6835">
        <v>800</v>
      </c>
      <c r="Y6835" t="s">
        <v>26650</v>
      </c>
      <c r="Z6835" t="s">
        <v>26663</v>
      </c>
      <c r="AB6835" t="s">
        <v>31938</v>
      </c>
      <c r="AD6835" t="s">
        <v>42235</v>
      </c>
      <c r="AE6835">
        <v>44</v>
      </c>
      <c r="AF6835" t="s">
        <v>45541</v>
      </c>
      <c r="AG6835" t="s">
        <v>19330</v>
      </c>
      <c r="AH6835">
        <v>1</v>
      </c>
      <c r="AI6835">
        <v>2</v>
      </c>
      <c r="AJ6835">
        <v>0</v>
      </c>
      <c r="AK6835">
        <v>0</v>
      </c>
      <c r="AN6835" t="s">
        <v>7439</v>
      </c>
      <c r="AO6835">
        <v>0</v>
      </c>
      <c r="AP6835" t="s">
        <v>46032</v>
      </c>
      <c r="AU6835">
        <v>0</v>
      </c>
      <c r="AW6835" t="s">
        <v>336</v>
      </c>
    </row>
    <row r="6836" spans="1:50">
      <c r="A6836" s="1">
        <f>HYPERLINK("https://lsnyc.legalserver.org/matter/dynamic-profile/view/1885588","18-1885588")</f>
        <v>0</v>
      </c>
      <c r="B6836" t="s">
        <v>55</v>
      </c>
      <c r="C6836" t="s">
        <v>340</v>
      </c>
      <c r="D6836" t="s">
        <v>452</v>
      </c>
      <c r="F6836" t="s">
        <v>3184</v>
      </c>
      <c r="G6836" t="s">
        <v>994</v>
      </c>
      <c r="H6836" t="s">
        <v>12199</v>
      </c>
      <c r="I6836" t="s">
        <v>17611</v>
      </c>
      <c r="J6836" t="s">
        <v>18892</v>
      </c>
      <c r="K6836">
        <v>10460</v>
      </c>
      <c r="L6836" t="s">
        <v>18958</v>
      </c>
      <c r="M6836" t="s">
        <v>18958</v>
      </c>
      <c r="N6836" t="s">
        <v>23962</v>
      </c>
      <c r="O6836" t="s">
        <v>26526</v>
      </c>
      <c r="P6836" t="s">
        <v>26560</v>
      </c>
      <c r="R6836" t="s">
        <v>26578</v>
      </c>
      <c r="S6836" t="s">
        <v>18958</v>
      </c>
      <c r="U6836" t="s">
        <v>26604</v>
      </c>
      <c r="W6836" t="s">
        <v>781</v>
      </c>
      <c r="X6836">
        <v>485</v>
      </c>
      <c r="Y6836" t="s">
        <v>26650</v>
      </c>
      <c r="Z6836" t="s">
        <v>26663</v>
      </c>
      <c r="AB6836" t="s">
        <v>30619</v>
      </c>
      <c r="AD6836" t="s">
        <v>40815</v>
      </c>
      <c r="AE6836">
        <v>169</v>
      </c>
      <c r="AG6836" t="s">
        <v>45556</v>
      </c>
      <c r="AH6836">
        <v>12</v>
      </c>
      <c r="AI6836">
        <v>1</v>
      </c>
      <c r="AJ6836">
        <v>1</v>
      </c>
      <c r="AK6836">
        <v>164.28</v>
      </c>
      <c r="AN6836" t="s">
        <v>7439</v>
      </c>
      <c r="AO6836">
        <v>27040</v>
      </c>
      <c r="AU6836">
        <v>2.1</v>
      </c>
      <c r="AV6836" t="s">
        <v>772</v>
      </c>
      <c r="AW6836" t="s">
        <v>336</v>
      </c>
    </row>
    <row r="6837" spans="1:50">
      <c r="A6837" s="1">
        <f>HYPERLINK("https://lsnyc.legalserver.org/matter/dynamic-profile/view/1890504","19-1890504")</f>
        <v>0</v>
      </c>
      <c r="B6837" t="s">
        <v>75</v>
      </c>
      <c r="C6837" t="s">
        <v>340</v>
      </c>
      <c r="D6837" t="s">
        <v>452</v>
      </c>
      <c r="F6837" t="s">
        <v>3801</v>
      </c>
      <c r="G6837" t="s">
        <v>5473</v>
      </c>
      <c r="H6837" t="s">
        <v>12169</v>
      </c>
      <c r="I6837" t="s">
        <v>17348</v>
      </c>
      <c r="J6837" t="s">
        <v>18892</v>
      </c>
      <c r="K6837">
        <v>10453</v>
      </c>
      <c r="L6837" t="s">
        <v>18958</v>
      </c>
      <c r="M6837" t="s">
        <v>18958</v>
      </c>
      <c r="O6837" t="s">
        <v>26534</v>
      </c>
      <c r="P6837" t="s">
        <v>26561</v>
      </c>
      <c r="R6837" t="s">
        <v>26578</v>
      </c>
      <c r="S6837" t="s">
        <v>18958</v>
      </c>
      <c r="U6837" t="s">
        <v>26604</v>
      </c>
      <c r="W6837" t="s">
        <v>781</v>
      </c>
      <c r="X6837">
        <v>1100</v>
      </c>
      <c r="Y6837" t="s">
        <v>26650</v>
      </c>
      <c r="Z6837" t="s">
        <v>26663</v>
      </c>
      <c r="AB6837" t="s">
        <v>31939</v>
      </c>
      <c r="AD6837" t="s">
        <v>42236</v>
      </c>
      <c r="AE6837">
        <v>44</v>
      </c>
      <c r="AF6837" t="s">
        <v>45541</v>
      </c>
      <c r="AG6837" t="s">
        <v>19330</v>
      </c>
      <c r="AH6837">
        <v>1</v>
      </c>
      <c r="AI6837">
        <v>1</v>
      </c>
      <c r="AJ6837">
        <v>0</v>
      </c>
      <c r="AK6837">
        <v>128.5</v>
      </c>
      <c r="AN6837" t="s">
        <v>7439</v>
      </c>
      <c r="AO6837">
        <v>15600</v>
      </c>
      <c r="AU6837">
        <v>0</v>
      </c>
      <c r="AW6837" t="s">
        <v>336</v>
      </c>
    </row>
    <row r="6838" spans="1:50">
      <c r="A6838" s="1">
        <f>HYPERLINK("https://lsnyc.legalserver.org/matter/dynamic-profile/view/1890503","19-1890503")</f>
        <v>0</v>
      </c>
      <c r="B6838" t="s">
        <v>75</v>
      </c>
      <c r="C6838" t="s">
        <v>340</v>
      </c>
      <c r="D6838" t="s">
        <v>452</v>
      </c>
      <c r="F6838" t="s">
        <v>3801</v>
      </c>
      <c r="G6838" t="s">
        <v>5473</v>
      </c>
      <c r="H6838" t="s">
        <v>12169</v>
      </c>
      <c r="I6838" t="s">
        <v>17348</v>
      </c>
      <c r="J6838" t="s">
        <v>18892</v>
      </c>
      <c r="K6838">
        <v>10453</v>
      </c>
      <c r="L6838" t="s">
        <v>18958</v>
      </c>
      <c r="M6838" t="s">
        <v>18958</v>
      </c>
      <c r="N6838" t="s">
        <v>23964</v>
      </c>
      <c r="O6838" t="s">
        <v>26526</v>
      </c>
      <c r="P6838" t="s">
        <v>26560</v>
      </c>
      <c r="R6838" t="s">
        <v>26578</v>
      </c>
      <c r="S6838" t="s">
        <v>18958</v>
      </c>
      <c r="U6838" t="s">
        <v>26604</v>
      </c>
      <c r="W6838" t="s">
        <v>781</v>
      </c>
      <c r="X6838">
        <v>1100</v>
      </c>
      <c r="Y6838" t="s">
        <v>26650</v>
      </c>
      <c r="Z6838" t="s">
        <v>26663</v>
      </c>
      <c r="AB6838" t="s">
        <v>31939</v>
      </c>
      <c r="AD6838" t="s">
        <v>42236</v>
      </c>
      <c r="AE6838">
        <v>44</v>
      </c>
      <c r="AF6838" t="s">
        <v>45541</v>
      </c>
      <c r="AG6838" t="s">
        <v>19330</v>
      </c>
      <c r="AH6838">
        <v>1</v>
      </c>
      <c r="AI6838">
        <v>1</v>
      </c>
      <c r="AJ6838">
        <v>0</v>
      </c>
      <c r="AK6838">
        <v>128.5</v>
      </c>
      <c r="AN6838" t="s">
        <v>7439</v>
      </c>
      <c r="AO6838">
        <v>15600</v>
      </c>
      <c r="AU6838">
        <v>0</v>
      </c>
      <c r="AW6838" t="s">
        <v>336</v>
      </c>
    </row>
    <row r="6839" spans="1:50">
      <c r="A6839" s="1">
        <f>HYPERLINK("https://lsnyc.legalserver.org/matter/dynamic-profile/view/1885589","18-1885589")</f>
        <v>0</v>
      </c>
      <c r="B6839" t="s">
        <v>55</v>
      </c>
      <c r="C6839" t="s">
        <v>340</v>
      </c>
      <c r="D6839" t="s">
        <v>691</v>
      </c>
      <c r="F6839" t="s">
        <v>1244</v>
      </c>
      <c r="G6839" t="s">
        <v>8151</v>
      </c>
      <c r="H6839" t="s">
        <v>12199</v>
      </c>
      <c r="I6839" t="s">
        <v>17299</v>
      </c>
      <c r="J6839" t="s">
        <v>18892</v>
      </c>
      <c r="K6839">
        <v>10460</v>
      </c>
      <c r="L6839" t="s">
        <v>18958</v>
      </c>
      <c r="M6839" t="s">
        <v>18958</v>
      </c>
      <c r="N6839" t="s">
        <v>23962</v>
      </c>
      <c r="O6839" t="s">
        <v>26526</v>
      </c>
      <c r="P6839" t="s">
        <v>26560</v>
      </c>
      <c r="R6839" t="s">
        <v>26578</v>
      </c>
      <c r="S6839" t="s">
        <v>18958</v>
      </c>
      <c r="U6839" t="s">
        <v>26604</v>
      </c>
      <c r="W6839" t="s">
        <v>781</v>
      </c>
      <c r="X6839">
        <v>1100</v>
      </c>
      <c r="Y6839" t="s">
        <v>26650</v>
      </c>
      <c r="Z6839" t="s">
        <v>26663</v>
      </c>
      <c r="AB6839" t="s">
        <v>31940</v>
      </c>
      <c r="AD6839" t="s">
        <v>42237</v>
      </c>
      <c r="AE6839">
        <v>168</v>
      </c>
      <c r="AF6839" t="s">
        <v>45541</v>
      </c>
      <c r="AG6839" t="s">
        <v>45556</v>
      </c>
      <c r="AH6839">
        <v>3</v>
      </c>
      <c r="AI6839">
        <v>2</v>
      </c>
      <c r="AJ6839">
        <v>0</v>
      </c>
      <c r="AK6839">
        <v>180.15</v>
      </c>
      <c r="AN6839" t="s">
        <v>7439</v>
      </c>
      <c r="AO6839">
        <v>29652</v>
      </c>
      <c r="AU6839">
        <v>0</v>
      </c>
      <c r="AW6839" t="s">
        <v>336</v>
      </c>
      <c r="AX6839" t="s">
        <v>46897</v>
      </c>
    </row>
    <row r="6840" spans="1:50">
      <c r="A6840" s="1">
        <f>HYPERLINK("https://lsnyc.legalserver.org/matter/dynamic-profile/view/1885679","18-1885679")</f>
        <v>0</v>
      </c>
      <c r="B6840" t="s">
        <v>55</v>
      </c>
      <c r="C6840" t="s">
        <v>340</v>
      </c>
      <c r="D6840" t="s">
        <v>697</v>
      </c>
      <c r="F6840" t="s">
        <v>887</v>
      </c>
      <c r="G6840" t="s">
        <v>8152</v>
      </c>
      <c r="H6840" t="s">
        <v>12199</v>
      </c>
      <c r="I6840" t="s">
        <v>17312</v>
      </c>
      <c r="J6840" t="s">
        <v>18892</v>
      </c>
      <c r="K6840">
        <v>10460</v>
      </c>
      <c r="L6840" t="s">
        <v>18958</v>
      </c>
      <c r="M6840" t="s">
        <v>18958</v>
      </c>
      <c r="N6840" t="s">
        <v>23963</v>
      </c>
      <c r="O6840" t="s">
        <v>26526</v>
      </c>
      <c r="P6840" t="s">
        <v>26560</v>
      </c>
      <c r="R6840" t="s">
        <v>26578</v>
      </c>
      <c r="S6840" t="s">
        <v>18958</v>
      </c>
      <c r="U6840" t="s">
        <v>26604</v>
      </c>
      <c r="W6840" t="s">
        <v>781</v>
      </c>
      <c r="X6840">
        <v>0</v>
      </c>
      <c r="Y6840" t="s">
        <v>26650</v>
      </c>
      <c r="Z6840" t="s">
        <v>26663</v>
      </c>
      <c r="AB6840" t="s">
        <v>26912</v>
      </c>
      <c r="AD6840" t="s">
        <v>42238</v>
      </c>
      <c r="AE6840">
        <v>168</v>
      </c>
      <c r="AF6840" t="s">
        <v>45548</v>
      </c>
      <c r="AG6840" t="s">
        <v>45556</v>
      </c>
      <c r="AH6840">
        <v>3</v>
      </c>
      <c r="AI6840">
        <v>2</v>
      </c>
      <c r="AJ6840">
        <v>1</v>
      </c>
      <c r="AK6840">
        <v>0</v>
      </c>
      <c r="AN6840" t="s">
        <v>7439</v>
      </c>
      <c r="AO6840">
        <v>0</v>
      </c>
      <c r="AU6840">
        <v>0</v>
      </c>
      <c r="AW6840" t="s">
        <v>46847</v>
      </c>
    </row>
    <row r="6841" spans="1:50">
      <c r="A6841" s="1">
        <f>HYPERLINK("https://lsnyc.legalserver.org/matter/dynamic-profile/view/1885683","18-1885683")</f>
        <v>0</v>
      </c>
      <c r="B6841" t="s">
        <v>55</v>
      </c>
      <c r="C6841" t="s">
        <v>340</v>
      </c>
      <c r="D6841" t="s">
        <v>697</v>
      </c>
      <c r="F6841" t="s">
        <v>2276</v>
      </c>
      <c r="G6841" t="s">
        <v>8153</v>
      </c>
      <c r="H6841" t="s">
        <v>12199</v>
      </c>
      <c r="I6841" t="s">
        <v>17355</v>
      </c>
      <c r="J6841" t="s">
        <v>18892</v>
      </c>
      <c r="K6841">
        <v>10460</v>
      </c>
      <c r="L6841" t="s">
        <v>18958</v>
      </c>
      <c r="M6841" t="s">
        <v>18958</v>
      </c>
      <c r="N6841" t="s">
        <v>23962</v>
      </c>
      <c r="O6841" t="s">
        <v>26526</v>
      </c>
      <c r="P6841" t="s">
        <v>26560</v>
      </c>
      <c r="R6841" t="s">
        <v>26578</v>
      </c>
      <c r="S6841" t="s">
        <v>18958</v>
      </c>
      <c r="U6841" t="s">
        <v>26604</v>
      </c>
      <c r="W6841" t="s">
        <v>781</v>
      </c>
      <c r="X6841">
        <v>1100</v>
      </c>
      <c r="Y6841" t="s">
        <v>26650</v>
      </c>
      <c r="Z6841" t="s">
        <v>26663</v>
      </c>
      <c r="AB6841" t="s">
        <v>31941</v>
      </c>
      <c r="AD6841" t="s">
        <v>42239</v>
      </c>
      <c r="AE6841">
        <v>168</v>
      </c>
      <c r="AF6841" t="s">
        <v>45541</v>
      </c>
      <c r="AG6841" t="s">
        <v>26530</v>
      </c>
      <c r="AH6841">
        <v>4</v>
      </c>
      <c r="AI6841">
        <v>2</v>
      </c>
      <c r="AJ6841">
        <v>0</v>
      </c>
      <c r="AK6841">
        <v>0</v>
      </c>
      <c r="AN6841" t="s">
        <v>7439</v>
      </c>
      <c r="AO6841">
        <v>0</v>
      </c>
      <c r="AU6841">
        <v>0</v>
      </c>
      <c r="AW6841" t="s">
        <v>46847</v>
      </c>
    </row>
    <row r="6842" spans="1:50">
      <c r="A6842" s="1">
        <f>HYPERLINK("https://lsnyc.legalserver.org/matter/dynamic-profile/view/1885681","18-1885681")</f>
        <v>0</v>
      </c>
      <c r="B6842" t="s">
        <v>55</v>
      </c>
      <c r="C6842" t="s">
        <v>340</v>
      </c>
      <c r="D6842" t="s">
        <v>697</v>
      </c>
      <c r="F6842" t="s">
        <v>2112</v>
      </c>
      <c r="G6842" t="s">
        <v>8154</v>
      </c>
      <c r="H6842" t="s">
        <v>12199</v>
      </c>
      <c r="I6842" t="s">
        <v>17283</v>
      </c>
      <c r="J6842" t="s">
        <v>18892</v>
      </c>
      <c r="K6842">
        <v>10460</v>
      </c>
      <c r="L6842" t="s">
        <v>18958</v>
      </c>
      <c r="M6842" t="s">
        <v>18958</v>
      </c>
      <c r="N6842" t="s">
        <v>23962</v>
      </c>
      <c r="O6842" t="s">
        <v>26526</v>
      </c>
      <c r="P6842" t="s">
        <v>26560</v>
      </c>
      <c r="R6842" t="s">
        <v>26578</v>
      </c>
      <c r="S6842" t="s">
        <v>18958</v>
      </c>
      <c r="U6842" t="s">
        <v>26604</v>
      </c>
      <c r="W6842" t="s">
        <v>781</v>
      </c>
      <c r="X6842">
        <v>1000</v>
      </c>
      <c r="Y6842" t="s">
        <v>26650</v>
      </c>
      <c r="Z6842" t="s">
        <v>26663</v>
      </c>
      <c r="AB6842" t="s">
        <v>30805</v>
      </c>
      <c r="AD6842" t="s">
        <v>42240</v>
      </c>
      <c r="AE6842">
        <v>168</v>
      </c>
      <c r="AF6842" t="s">
        <v>20460</v>
      </c>
      <c r="AG6842" t="s">
        <v>19330</v>
      </c>
      <c r="AH6842">
        <v>4</v>
      </c>
      <c r="AI6842">
        <v>1</v>
      </c>
      <c r="AJ6842">
        <v>0</v>
      </c>
      <c r="AK6842">
        <v>40.26</v>
      </c>
      <c r="AN6842" t="s">
        <v>45581</v>
      </c>
      <c r="AO6842">
        <v>4888</v>
      </c>
      <c r="AU6842">
        <v>0</v>
      </c>
      <c r="AW6842" t="s">
        <v>46847</v>
      </c>
    </row>
    <row r="6843" spans="1:50">
      <c r="A6843" s="1">
        <f>HYPERLINK("https://lsnyc.legalserver.org/matter/dynamic-profile/view/1885754","18-1885754")</f>
        <v>0</v>
      </c>
      <c r="B6843" t="s">
        <v>55</v>
      </c>
      <c r="C6843" t="s">
        <v>340</v>
      </c>
      <c r="D6843" t="s">
        <v>697</v>
      </c>
      <c r="F6843" t="s">
        <v>1417</v>
      </c>
      <c r="G6843" t="s">
        <v>2975</v>
      </c>
      <c r="H6843" t="s">
        <v>12199</v>
      </c>
      <c r="I6843" t="s">
        <v>17628</v>
      </c>
      <c r="J6843" t="s">
        <v>18892</v>
      </c>
      <c r="K6843">
        <v>10460</v>
      </c>
      <c r="L6843" t="s">
        <v>18958</v>
      </c>
      <c r="M6843" t="s">
        <v>18958</v>
      </c>
      <c r="N6843" t="s">
        <v>23962</v>
      </c>
      <c r="O6843" t="s">
        <v>26526</v>
      </c>
      <c r="P6843" t="s">
        <v>26560</v>
      </c>
      <c r="R6843" t="s">
        <v>26578</v>
      </c>
      <c r="S6843" t="s">
        <v>18958</v>
      </c>
      <c r="U6843" t="s">
        <v>26604</v>
      </c>
      <c r="W6843" t="s">
        <v>781</v>
      </c>
      <c r="X6843">
        <v>242</v>
      </c>
      <c r="Y6843" t="s">
        <v>26650</v>
      </c>
      <c r="Z6843" t="s">
        <v>26663</v>
      </c>
      <c r="AB6843" t="s">
        <v>31229</v>
      </c>
      <c r="AD6843" t="s">
        <v>42241</v>
      </c>
      <c r="AE6843">
        <v>168</v>
      </c>
      <c r="AF6843" t="s">
        <v>20460</v>
      </c>
      <c r="AG6843" t="s">
        <v>26530</v>
      </c>
      <c r="AH6843">
        <v>1</v>
      </c>
      <c r="AI6843">
        <v>2</v>
      </c>
      <c r="AJ6843">
        <v>0</v>
      </c>
      <c r="AK6843">
        <v>56.14</v>
      </c>
      <c r="AN6843" t="s">
        <v>7439</v>
      </c>
      <c r="AO6843">
        <v>9240</v>
      </c>
      <c r="AU6843">
        <v>0</v>
      </c>
      <c r="AW6843" t="s">
        <v>46847</v>
      </c>
    </row>
    <row r="6844" spans="1:50">
      <c r="A6844" s="1">
        <f>HYPERLINK("https://lsnyc.legalserver.org/matter/dynamic-profile/view/1885676","18-1885676")</f>
        <v>0</v>
      </c>
      <c r="B6844" t="s">
        <v>55</v>
      </c>
      <c r="C6844" t="s">
        <v>340</v>
      </c>
      <c r="D6844" t="s">
        <v>697</v>
      </c>
      <c r="F6844" t="s">
        <v>2112</v>
      </c>
      <c r="G6844" t="s">
        <v>5466</v>
      </c>
      <c r="H6844" t="s">
        <v>12199</v>
      </c>
      <c r="I6844" t="s">
        <v>17471</v>
      </c>
      <c r="J6844" t="s">
        <v>18892</v>
      </c>
      <c r="K6844">
        <v>10460</v>
      </c>
      <c r="L6844" t="s">
        <v>18958</v>
      </c>
      <c r="M6844" t="s">
        <v>18958</v>
      </c>
      <c r="N6844" t="s">
        <v>23962</v>
      </c>
      <c r="O6844" t="s">
        <v>26526</v>
      </c>
      <c r="P6844" t="s">
        <v>26560</v>
      </c>
      <c r="R6844" t="s">
        <v>26578</v>
      </c>
      <c r="S6844" t="s">
        <v>18958</v>
      </c>
      <c r="U6844" t="s">
        <v>26604</v>
      </c>
      <c r="W6844" t="s">
        <v>781</v>
      </c>
      <c r="X6844">
        <v>391</v>
      </c>
      <c r="Y6844" t="s">
        <v>26650</v>
      </c>
      <c r="Z6844" t="s">
        <v>26663</v>
      </c>
      <c r="AB6844" t="s">
        <v>31942</v>
      </c>
      <c r="AC6844" t="s">
        <v>36241</v>
      </c>
      <c r="AD6844" t="s">
        <v>42242</v>
      </c>
      <c r="AE6844">
        <v>168</v>
      </c>
      <c r="AF6844" t="s">
        <v>45547</v>
      </c>
      <c r="AG6844" t="s">
        <v>45556</v>
      </c>
      <c r="AH6844">
        <v>10</v>
      </c>
      <c r="AI6844">
        <v>2</v>
      </c>
      <c r="AJ6844">
        <v>0</v>
      </c>
      <c r="AK6844">
        <v>83.98999999999999</v>
      </c>
      <c r="AN6844" t="s">
        <v>45581</v>
      </c>
      <c r="AO6844">
        <v>13824</v>
      </c>
      <c r="AU6844">
        <v>0</v>
      </c>
      <c r="AW6844" t="s">
        <v>46847</v>
      </c>
    </row>
    <row r="6845" spans="1:50">
      <c r="A6845" s="1">
        <f>HYPERLINK("https://lsnyc.legalserver.org/matter/dynamic-profile/view/1885736","18-1885736")</f>
        <v>0</v>
      </c>
      <c r="B6845" t="s">
        <v>55</v>
      </c>
      <c r="C6845" t="s">
        <v>340</v>
      </c>
      <c r="D6845" t="s">
        <v>697</v>
      </c>
      <c r="F6845" t="s">
        <v>982</v>
      </c>
      <c r="G6845" t="s">
        <v>5982</v>
      </c>
      <c r="H6845" t="s">
        <v>12199</v>
      </c>
      <c r="I6845" t="s">
        <v>17406</v>
      </c>
      <c r="J6845" t="s">
        <v>18892</v>
      </c>
      <c r="K6845">
        <v>10460</v>
      </c>
      <c r="L6845" t="s">
        <v>18958</v>
      </c>
      <c r="M6845" t="s">
        <v>18958</v>
      </c>
      <c r="O6845" t="s">
        <v>26526</v>
      </c>
      <c r="P6845" t="s">
        <v>26560</v>
      </c>
      <c r="R6845" t="s">
        <v>26578</v>
      </c>
      <c r="S6845" t="s">
        <v>18958</v>
      </c>
      <c r="U6845" t="s">
        <v>26604</v>
      </c>
      <c r="W6845" t="s">
        <v>781</v>
      </c>
      <c r="X6845">
        <v>466</v>
      </c>
      <c r="Y6845" t="s">
        <v>26650</v>
      </c>
      <c r="Z6845" t="s">
        <v>26663</v>
      </c>
      <c r="AB6845" t="s">
        <v>30009</v>
      </c>
      <c r="AE6845">
        <v>168</v>
      </c>
      <c r="AF6845" t="s">
        <v>45545</v>
      </c>
      <c r="AG6845" t="s">
        <v>45556</v>
      </c>
      <c r="AH6845">
        <v>4</v>
      </c>
      <c r="AI6845">
        <v>1</v>
      </c>
      <c r="AJ6845">
        <v>0</v>
      </c>
      <c r="AK6845">
        <v>85.59999999999999</v>
      </c>
      <c r="AN6845" t="s">
        <v>7439</v>
      </c>
      <c r="AO6845">
        <v>10392</v>
      </c>
      <c r="AU6845">
        <v>0</v>
      </c>
      <c r="AW6845" t="s">
        <v>46847</v>
      </c>
    </row>
    <row r="6846" spans="1:50">
      <c r="A6846" s="1">
        <f>HYPERLINK("https://lsnyc.legalserver.org/matter/dynamic-profile/view/1885749","18-1885749")</f>
        <v>0</v>
      </c>
      <c r="B6846" t="s">
        <v>55</v>
      </c>
      <c r="C6846" t="s">
        <v>340</v>
      </c>
      <c r="D6846" t="s">
        <v>697</v>
      </c>
      <c r="F6846" t="s">
        <v>2435</v>
      </c>
      <c r="G6846" t="s">
        <v>5341</v>
      </c>
      <c r="H6846" t="s">
        <v>12199</v>
      </c>
      <c r="I6846" t="s">
        <v>17527</v>
      </c>
      <c r="J6846" t="s">
        <v>18892</v>
      </c>
      <c r="K6846">
        <v>10460</v>
      </c>
      <c r="L6846" t="s">
        <v>18958</v>
      </c>
      <c r="M6846" t="s">
        <v>18958</v>
      </c>
      <c r="N6846" t="s">
        <v>23962</v>
      </c>
      <c r="O6846" t="s">
        <v>26526</v>
      </c>
      <c r="P6846" t="s">
        <v>26560</v>
      </c>
      <c r="R6846" t="s">
        <v>26578</v>
      </c>
      <c r="S6846" t="s">
        <v>18958</v>
      </c>
      <c r="U6846" t="s">
        <v>26604</v>
      </c>
      <c r="W6846" t="s">
        <v>781</v>
      </c>
      <c r="X6846">
        <v>287</v>
      </c>
      <c r="Y6846" t="s">
        <v>26650</v>
      </c>
      <c r="Z6846" t="s">
        <v>26663</v>
      </c>
      <c r="AB6846" t="s">
        <v>31943</v>
      </c>
      <c r="AD6846" t="s">
        <v>42243</v>
      </c>
      <c r="AE6846">
        <v>168</v>
      </c>
      <c r="AF6846" t="s">
        <v>45548</v>
      </c>
      <c r="AG6846" t="s">
        <v>45556</v>
      </c>
      <c r="AH6846">
        <v>19</v>
      </c>
      <c r="AI6846">
        <v>1</v>
      </c>
      <c r="AJ6846">
        <v>0</v>
      </c>
      <c r="AK6846">
        <v>94.5</v>
      </c>
      <c r="AN6846" t="s">
        <v>7439</v>
      </c>
      <c r="AO6846">
        <v>11472</v>
      </c>
      <c r="AU6846">
        <v>0</v>
      </c>
      <c r="AW6846" t="s">
        <v>46847</v>
      </c>
    </row>
    <row r="6847" spans="1:50">
      <c r="A6847" s="1">
        <f>HYPERLINK("https://lsnyc.legalserver.org/matter/dynamic-profile/view/1885751","18-1885751")</f>
        <v>0</v>
      </c>
      <c r="B6847" t="s">
        <v>55</v>
      </c>
      <c r="C6847" t="s">
        <v>340</v>
      </c>
      <c r="D6847" t="s">
        <v>697</v>
      </c>
      <c r="F6847" t="s">
        <v>2094</v>
      </c>
      <c r="G6847" t="s">
        <v>8155</v>
      </c>
      <c r="H6847" t="s">
        <v>12199</v>
      </c>
      <c r="I6847" t="s">
        <v>17320</v>
      </c>
      <c r="J6847" t="s">
        <v>18892</v>
      </c>
      <c r="K6847">
        <v>10460</v>
      </c>
      <c r="L6847" t="s">
        <v>18958</v>
      </c>
      <c r="M6847" t="s">
        <v>18958</v>
      </c>
      <c r="N6847" t="s">
        <v>23962</v>
      </c>
      <c r="O6847" t="s">
        <v>26526</v>
      </c>
      <c r="P6847" t="s">
        <v>26560</v>
      </c>
      <c r="R6847" t="s">
        <v>26578</v>
      </c>
      <c r="S6847" t="s">
        <v>18958</v>
      </c>
      <c r="U6847" t="s">
        <v>26604</v>
      </c>
      <c r="W6847" t="s">
        <v>781</v>
      </c>
      <c r="X6847">
        <v>517</v>
      </c>
      <c r="Y6847" t="s">
        <v>26650</v>
      </c>
      <c r="Z6847" t="s">
        <v>26663</v>
      </c>
      <c r="AB6847" t="s">
        <v>31944</v>
      </c>
      <c r="AE6847">
        <v>168</v>
      </c>
      <c r="AF6847" t="s">
        <v>20460</v>
      </c>
      <c r="AG6847" t="s">
        <v>45556</v>
      </c>
      <c r="AH6847">
        <v>24</v>
      </c>
      <c r="AI6847">
        <v>2</v>
      </c>
      <c r="AJ6847">
        <v>0</v>
      </c>
      <c r="AK6847">
        <v>103.28</v>
      </c>
      <c r="AN6847" t="s">
        <v>7439</v>
      </c>
      <c r="AO6847">
        <v>17000</v>
      </c>
      <c r="AU6847">
        <v>0</v>
      </c>
      <c r="AW6847" t="s">
        <v>46847</v>
      </c>
    </row>
    <row r="6848" spans="1:50">
      <c r="A6848" s="1">
        <f>HYPERLINK("https://lsnyc.legalserver.org/matter/dynamic-profile/view/1885677","18-1885677")</f>
        <v>0</v>
      </c>
      <c r="B6848" t="s">
        <v>55</v>
      </c>
      <c r="C6848" t="s">
        <v>340</v>
      </c>
      <c r="D6848" t="s">
        <v>697</v>
      </c>
      <c r="F6848" t="s">
        <v>1221</v>
      </c>
      <c r="G6848" t="s">
        <v>8156</v>
      </c>
      <c r="H6848" t="s">
        <v>12199</v>
      </c>
      <c r="I6848" t="s">
        <v>17274</v>
      </c>
      <c r="J6848" t="s">
        <v>18892</v>
      </c>
      <c r="K6848">
        <v>10460</v>
      </c>
      <c r="L6848" t="s">
        <v>18958</v>
      </c>
      <c r="M6848" t="s">
        <v>18958</v>
      </c>
      <c r="N6848" t="s">
        <v>23962</v>
      </c>
      <c r="O6848" t="s">
        <v>26526</v>
      </c>
      <c r="P6848" t="s">
        <v>26560</v>
      </c>
      <c r="R6848" t="s">
        <v>26578</v>
      </c>
      <c r="S6848" t="s">
        <v>18958</v>
      </c>
      <c r="U6848" t="s">
        <v>26604</v>
      </c>
      <c r="W6848" t="s">
        <v>781</v>
      </c>
      <c r="X6848">
        <v>377</v>
      </c>
      <c r="Y6848" t="s">
        <v>26650</v>
      </c>
      <c r="Z6848" t="s">
        <v>26663</v>
      </c>
      <c r="AB6848" t="s">
        <v>28326</v>
      </c>
      <c r="AD6848" t="s">
        <v>42244</v>
      </c>
      <c r="AE6848">
        <v>168</v>
      </c>
      <c r="AF6848" t="s">
        <v>20460</v>
      </c>
      <c r="AG6848" t="s">
        <v>26530</v>
      </c>
      <c r="AH6848">
        <v>10</v>
      </c>
      <c r="AI6848">
        <v>1</v>
      </c>
      <c r="AJ6848">
        <v>0</v>
      </c>
      <c r="AK6848">
        <v>127.31</v>
      </c>
      <c r="AN6848" t="s">
        <v>7439</v>
      </c>
      <c r="AO6848">
        <v>15456</v>
      </c>
      <c r="AU6848">
        <v>0</v>
      </c>
      <c r="AW6848" t="s">
        <v>46847</v>
      </c>
    </row>
    <row r="6849" spans="1:49">
      <c r="A6849" s="1">
        <f>HYPERLINK("https://lsnyc.legalserver.org/matter/dynamic-profile/view/1885716","18-1885716")</f>
        <v>0</v>
      </c>
      <c r="B6849" t="s">
        <v>55</v>
      </c>
      <c r="C6849" t="s">
        <v>340</v>
      </c>
      <c r="D6849" t="s">
        <v>697</v>
      </c>
      <c r="F6849" t="s">
        <v>3802</v>
      </c>
      <c r="G6849" t="s">
        <v>8157</v>
      </c>
      <c r="H6849" t="s">
        <v>12199</v>
      </c>
      <c r="I6849" t="s">
        <v>17275</v>
      </c>
      <c r="J6849" t="s">
        <v>18892</v>
      </c>
      <c r="K6849">
        <v>10460</v>
      </c>
      <c r="L6849" t="s">
        <v>18958</v>
      </c>
      <c r="M6849" t="s">
        <v>18958</v>
      </c>
      <c r="N6849" t="s">
        <v>23962</v>
      </c>
      <c r="O6849" t="s">
        <v>26526</v>
      </c>
      <c r="P6849" t="s">
        <v>26560</v>
      </c>
      <c r="R6849" t="s">
        <v>26578</v>
      </c>
      <c r="S6849" t="s">
        <v>18958</v>
      </c>
      <c r="U6849" t="s">
        <v>26604</v>
      </c>
      <c r="W6849" t="s">
        <v>781</v>
      </c>
      <c r="X6849">
        <v>1796</v>
      </c>
      <c r="Y6849" t="s">
        <v>26650</v>
      </c>
      <c r="Z6849" t="s">
        <v>26663</v>
      </c>
      <c r="AB6849" t="s">
        <v>31945</v>
      </c>
      <c r="AE6849">
        <v>168</v>
      </c>
      <c r="AF6849" t="s">
        <v>45541</v>
      </c>
      <c r="AG6849" t="s">
        <v>45556</v>
      </c>
      <c r="AH6849">
        <v>23</v>
      </c>
      <c r="AI6849">
        <v>2</v>
      </c>
      <c r="AJ6849">
        <v>0</v>
      </c>
      <c r="AK6849">
        <v>130.86</v>
      </c>
      <c r="AN6849" t="s">
        <v>7439</v>
      </c>
      <c r="AO6849">
        <v>21540</v>
      </c>
      <c r="AU6849">
        <v>0</v>
      </c>
      <c r="AW6849" t="s">
        <v>46847</v>
      </c>
    </row>
    <row r="6850" spans="1:49">
      <c r="A6850" s="1">
        <f>HYPERLINK("https://lsnyc.legalserver.org/matter/dynamic-profile/view/1885744","18-1885744")</f>
        <v>0</v>
      </c>
      <c r="B6850" t="s">
        <v>55</v>
      </c>
      <c r="C6850" t="s">
        <v>340</v>
      </c>
      <c r="D6850" t="s">
        <v>697</v>
      </c>
      <c r="F6850" t="s">
        <v>1489</v>
      </c>
      <c r="G6850" t="s">
        <v>7971</v>
      </c>
      <c r="H6850" t="s">
        <v>12199</v>
      </c>
      <c r="I6850" t="s">
        <v>17325</v>
      </c>
      <c r="J6850" t="s">
        <v>18892</v>
      </c>
      <c r="K6850">
        <v>10460</v>
      </c>
      <c r="L6850" t="s">
        <v>18958</v>
      </c>
      <c r="M6850" t="s">
        <v>18958</v>
      </c>
      <c r="N6850" t="s">
        <v>23962</v>
      </c>
      <c r="O6850" t="s">
        <v>26526</v>
      </c>
      <c r="P6850" t="s">
        <v>26560</v>
      </c>
      <c r="R6850" t="s">
        <v>26578</v>
      </c>
      <c r="S6850" t="s">
        <v>18958</v>
      </c>
      <c r="U6850" t="s">
        <v>26604</v>
      </c>
      <c r="W6850" t="s">
        <v>781</v>
      </c>
      <c r="X6850">
        <v>792</v>
      </c>
      <c r="Y6850" t="s">
        <v>26650</v>
      </c>
      <c r="Z6850" t="s">
        <v>26663</v>
      </c>
      <c r="AB6850" t="s">
        <v>31946</v>
      </c>
      <c r="AE6850">
        <v>168</v>
      </c>
      <c r="AF6850" t="s">
        <v>45552</v>
      </c>
      <c r="AG6850" t="s">
        <v>26530</v>
      </c>
      <c r="AH6850">
        <v>3</v>
      </c>
      <c r="AI6850">
        <v>1</v>
      </c>
      <c r="AJ6850">
        <v>1</v>
      </c>
      <c r="AK6850">
        <v>150.04</v>
      </c>
      <c r="AN6850" t="s">
        <v>7439</v>
      </c>
      <c r="AO6850">
        <v>24696</v>
      </c>
      <c r="AU6850">
        <v>0</v>
      </c>
      <c r="AW6850" t="s">
        <v>46847</v>
      </c>
    </row>
    <row r="6851" spans="1:49">
      <c r="A6851" s="1">
        <f>HYPERLINK("https://lsnyc.legalserver.org/matter/dynamic-profile/view/1885747","18-1885747")</f>
        <v>0</v>
      </c>
      <c r="B6851" t="s">
        <v>55</v>
      </c>
      <c r="C6851" t="s">
        <v>340</v>
      </c>
      <c r="D6851" t="s">
        <v>697</v>
      </c>
      <c r="F6851" t="s">
        <v>1096</v>
      </c>
      <c r="G6851" t="s">
        <v>8158</v>
      </c>
      <c r="H6851" t="s">
        <v>12199</v>
      </c>
      <c r="I6851" t="s">
        <v>17292</v>
      </c>
      <c r="J6851" t="s">
        <v>18892</v>
      </c>
      <c r="K6851">
        <v>10460</v>
      </c>
      <c r="L6851" t="s">
        <v>18958</v>
      </c>
      <c r="M6851" t="s">
        <v>18958</v>
      </c>
      <c r="N6851" t="s">
        <v>23962</v>
      </c>
      <c r="O6851" t="s">
        <v>26526</v>
      </c>
      <c r="P6851" t="s">
        <v>26560</v>
      </c>
      <c r="R6851" t="s">
        <v>26578</v>
      </c>
      <c r="S6851" t="s">
        <v>18958</v>
      </c>
      <c r="U6851" t="s">
        <v>26604</v>
      </c>
      <c r="W6851" t="s">
        <v>781</v>
      </c>
      <c r="X6851">
        <v>970</v>
      </c>
      <c r="Y6851" t="s">
        <v>26650</v>
      </c>
      <c r="Z6851" t="s">
        <v>26663</v>
      </c>
      <c r="AB6851" t="s">
        <v>27870</v>
      </c>
      <c r="AD6851" t="s">
        <v>42245</v>
      </c>
      <c r="AE6851">
        <v>168</v>
      </c>
      <c r="AF6851" t="s">
        <v>45541</v>
      </c>
      <c r="AG6851" t="s">
        <v>19330</v>
      </c>
      <c r="AH6851">
        <v>11</v>
      </c>
      <c r="AI6851">
        <v>1</v>
      </c>
      <c r="AJ6851">
        <v>1</v>
      </c>
      <c r="AK6851">
        <v>157.64</v>
      </c>
      <c r="AN6851" t="s">
        <v>7439</v>
      </c>
      <c r="AO6851">
        <v>25948</v>
      </c>
      <c r="AU6851">
        <v>0</v>
      </c>
      <c r="AW6851" t="s">
        <v>46847</v>
      </c>
    </row>
    <row r="6852" spans="1:49">
      <c r="A6852" s="1">
        <f>HYPERLINK("https://lsnyc.legalserver.org/matter/dynamic-profile/view/1885755","18-1885755")</f>
        <v>0</v>
      </c>
      <c r="B6852" t="s">
        <v>55</v>
      </c>
      <c r="C6852" t="s">
        <v>340</v>
      </c>
      <c r="D6852" t="s">
        <v>697</v>
      </c>
      <c r="F6852" t="s">
        <v>3803</v>
      </c>
      <c r="G6852" t="s">
        <v>3036</v>
      </c>
      <c r="H6852" t="s">
        <v>12199</v>
      </c>
      <c r="I6852" t="s">
        <v>17422</v>
      </c>
      <c r="J6852" t="s">
        <v>18892</v>
      </c>
      <c r="K6852">
        <v>10460</v>
      </c>
      <c r="L6852" t="s">
        <v>18958</v>
      </c>
      <c r="M6852" t="s">
        <v>18958</v>
      </c>
      <c r="N6852" t="s">
        <v>23962</v>
      </c>
      <c r="O6852" t="s">
        <v>26526</v>
      </c>
      <c r="P6852" t="s">
        <v>26560</v>
      </c>
      <c r="R6852" t="s">
        <v>26578</v>
      </c>
      <c r="S6852" t="s">
        <v>18958</v>
      </c>
      <c r="U6852" t="s">
        <v>26604</v>
      </c>
      <c r="W6852" t="s">
        <v>781</v>
      </c>
      <c r="X6852">
        <v>1071</v>
      </c>
      <c r="Y6852" t="s">
        <v>26650</v>
      </c>
      <c r="Z6852" t="s">
        <v>26663</v>
      </c>
      <c r="AB6852" t="s">
        <v>31947</v>
      </c>
      <c r="AD6852" t="s">
        <v>42246</v>
      </c>
      <c r="AE6852">
        <v>168</v>
      </c>
      <c r="AF6852" t="s">
        <v>20460</v>
      </c>
      <c r="AG6852" t="s">
        <v>45556</v>
      </c>
      <c r="AH6852">
        <v>10</v>
      </c>
      <c r="AI6852">
        <v>1</v>
      </c>
      <c r="AJ6852">
        <v>1</v>
      </c>
      <c r="AK6852">
        <v>288.58</v>
      </c>
      <c r="AN6852" t="s">
        <v>7439</v>
      </c>
      <c r="AO6852">
        <v>47500</v>
      </c>
      <c r="AU6852">
        <v>0</v>
      </c>
      <c r="AW6852" t="s">
        <v>46847</v>
      </c>
    </row>
    <row r="6853" spans="1:49">
      <c r="A6853" s="1">
        <f>HYPERLINK("https://lsnyc.legalserver.org/matter/dynamic-profile/view/1885720","18-1885720")</f>
        <v>0</v>
      </c>
      <c r="B6853" t="s">
        <v>55</v>
      </c>
      <c r="C6853" t="s">
        <v>340</v>
      </c>
      <c r="D6853" t="s">
        <v>697</v>
      </c>
      <c r="F6853" t="s">
        <v>3804</v>
      </c>
      <c r="G6853" t="s">
        <v>3036</v>
      </c>
      <c r="H6853" t="s">
        <v>12199</v>
      </c>
      <c r="I6853" t="s">
        <v>17298</v>
      </c>
      <c r="J6853" t="s">
        <v>18892</v>
      </c>
      <c r="K6853">
        <v>10460</v>
      </c>
      <c r="L6853" t="s">
        <v>18958</v>
      </c>
      <c r="M6853" t="s">
        <v>18958</v>
      </c>
      <c r="N6853" t="s">
        <v>23962</v>
      </c>
      <c r="O6853" t="s">
        <v>26526</v>
      </c>
      <c r="P6853" t="s">
        <v>26560</v>
      </c>
      <c r="R6853" t="s">
        <v>26578</v>
      </c>
      <c r="S6853" t="s">
        <v>18958</v>
      </c>
      <c r="U6853" t="s">
        <v>26604</v>
      </c>
      <c r="W6853" t="s">
        <v>781</v>
      </c>
      <c r="X6853">
        <v>1169</v>
      </c>
      <c r="Y6853" t="s">
        <v>26650</v>
      </c>
      <c r="Z6853" t="s">
        <v>26663</v>
      </c>
      <c r="AB6853" t="s">
        <v>29372</v>
      </c>
      <c r="AE6853">
        <v>168</v>
      </c>
      <c r="AF6853" t="s">
        <v>45548</v>
      </c>
      <c r="AG6853" t="s">
        <v>26530</v>
      </c>
      <c r="AH6853">
        <v>11</v>
      </c>
      <c r="AI6853">
        <v>1</v>
      </c>
      <c r="AJ6853">
        <v>0</v>
      </c>
      <c r="AK6853">
        <v>411.86</v>
      </c>
      <c r="AN6853" t="s">
        <v>7439</v>
      </c>
      <c r="AO6853">
        <v>50000</v>
      </c>
      <c r="AU6853">
        <v>0</v>
      </c>
      <c r="AW6853" t="s">
        <v>46847</v>
      </c>
    </row>
    <row r="6854" spans="1:49">
      <c r="A6854" s="1">
        <f>HYPERLINK("https://lsnyc.legalserver.org/matter/dynamic-profile/view/1886719","18-1886719")</f>
        <v>0</v>
      </c>
      <c r="B6854" t="s">
        <v>55</v>
      </c>
      <c r="C6854" t="s">
        <v>340</v>
      </c>
      <c r="D6854" t="s">
        <v>688</v>
      </c>
      <c r="F6854" t="s">
        <v>3805</v>
      </c>
      <c r="G6854" t="s">
        <v>5285</v>
      </c>
      <c r="H6854" t="s">
        <v>12199</v>
      </c>
      <c r="I6854" t="s">
        <v>18377</v>
      </c>
      <c r="J6854" t="s">
        <v>18892</v>
      </c>
      <c r="K6854">
        <v>10460</v>
      </c>
      <c r="L6854" t="s">
        <v>18958</v>
      </c>
      <c r="M6854" t="s">
        <v>18958</v>
      </c>
      <c r="N6854" t="s">
        <v>23962</v>
      </c>
      <c r="O6854" t="s">
        <v>26526</v>
      </c>
      <c r="P6854" t="s">
        <v>26560</v>
      </c>
      <c r="R6854" t="s">
        <v>26578</v>
      </c>
      <c r="S6854" t="s">
        <v>18958</v>
      </c>
      <c r="U6854" t="s">
        <v>26604</v>
      </c>
      <c r="W6854" t="s">
        <v>781</v>
      </c>
      <c r="X6854">
        <v>129</v>
      </c>
      <c r="Y6854" t="s">
        <v>26650</v>
      </c>
      <c r="Z6854" t="s">
        <v>26663</v>
      </c>
      <c r="AB6854" t="s">
        <v>28480</v>
      </c>
      <c r="AE6854">
        <v>168</v>
      </c>
      <c r="AG6854" t="s">
        <v>45556</v>
      </c>
      <c r="AH6854">
        <v>3</v>
      </c>
      <c r="AI6854">
        <v>1</v>
      </c>
      <c r="AJ6854">
        <v>3</v>
      </c>
      <c r="AK6854">
        <v>26.29</v>
      </c>
      <c r="AN6854" t="s">
        <v>45581</v>
      </c>
      <c r="AO6854">
        <v>6600</v>
      </c>
      <c r="AU6854">
        <v>0</v>
      </c>
      <c r="AW6854" t="s">
        <v>292</v>
      </c>
    </row>
    <row r="6855" spans="1:49">
      <c r="A6855" s="1">
        <f>HYPERLINK("https://lsnyc.legalserver.org/matter/dynamic-profile/view/1887686","18-1887686")</f>
        <v>0</v>
      </c>
      <c r="B6855" t="s">
        <v>55</v>
      </c>
      <c r="C6855" t="s">
        <v>340</v>
      </c>
      <c r="D6855" t="s">
        <v>688</v>
      </c>
      <c r="F6855" t="s">
        <v>2094</v>
      </c>
      <c r="G6855" t="s">
        <v>5008</v>
      </c>
      <c r="H6855" t="s">
        <v>12199</v>
      </c>
      <c r="I6855" t="s">
        <v>17465</v>
      </c>
      <c r="J6855" t="s">
        <v>18892</v>
      </c>
      <c r="K6855">
        <v>10460</v>
      </c>
      <c r="L6855" t="s">
        <v>18958</v>
      </c>
      <c r="M6855" t="s">
        <v>18958</v>
      </c>
      <c r="N6855" t="s">
        <v>23962</v>
      </c>
      <c r="O6855" t="s">
        <v>26526</v>
      </c>
      <c r="P6855" t="s">
        <v>26560</v>
      </c>
      <c r="R6855" t="s">
        <v>26578</v>
      </c>
      <c r="S6855" t="s">
        <v>18958</v>
      </c>
      <c r="U6855" t="s">
        <v>26604</v>
      </c>
      <c r="W6855" t="s">
        <v>781</v>
      </c>
      <c r="X6855">
        <v>260.5</v>
      </c>
      <c r="Y6855" t="s">
        <v>26650</v>
      </c>
      <c r="Z6855" t="s">
        <v>26663</v>
      </c>
      <c r="AB6855" t="s">
        <v>31948</v>
      </c>
      <c r="AD6855" t="s">
        <v>42247</v>
      </c>
      <c r="AE6855">
        <v>168</v>
      </c>
      <c r="AF6855" t="s">
        <v>45541</v>
      </c>
      <c r="AG6855" t="s">
        <v>45556</v>
      </c>
      <c r="AH6855">
        <v>10</v>
      </c>
      <c r="AI6855">
        <v>1</v>
      </c>
      <c r="AJ6855">
        <v>0</v>
      </c>
      <c r="AK6855">
        <v>74.14</v>
      </c>
      <c r="AN6855" t="s">
        <v>7439</v>
      </c>
      <c r="AO6855">
        <v>9000</v>
      </c>
      <c r="AU6855">
        <v>0</v>
      </c>
      <c r="AW6855" t="s">
        <v>336</v>
      </c>
    </row>
    <row r="6856" spans="1:49">
      <c r="A6856" s="1">
        <f>HYPERLINK("https://lsnyc.legalserver.org/matter/dynamic-profile/view/1886679","18-1886679")</f>
        <v>0</v>
      </c>
      <c r="B6856" t="s">
        <v>55</v>
      </c>
      <c r="C6856" t="s">
        <v>340</v>
      </c>
      <c r="D6856" t="s">
        <v>688</v>
      </c>
      <c r="F6856" t="s">
        <v>3067</v>
      </c>
      <c r="G6856" t="s">
        <v>5966</v>
      </c>
      <c r="H6856" t="s">
        <v>12199</v>
      </c>
      <c r="I6856" t="s">
        <v>18411</v>
      </c>
      <c r="J6856" t="s">
        <v>18892</v>
      </c>
      <c r="K6856">
        <v>10460</v>
      </c>
      <c r="L6856" t="s">
        <v>18958</v>
      </c>
      <c r="M6856" t="s">
        <v>18958</v>
      </c>
      <c r="N6856" t="s">
        <v>23962</v>
      </c>
      <c r="O6856" t="s">
        <v>26526</v>
      </c>
      <c r="P6856" t="s">
        <v>26560</v>
      </c>
      <c r="R6856" t="s">
        <v>26578</v>
      </c>
      <c r="S6856" t="s">
        <v>18958</v>
      </c>
      <c r="U6856" t="s">
        <v>26604</v>
      </c>
      <c r="W6856" t="s">
        <v>781</v>
      </c>
      <c r="X6856">
        <v>397</v>
      </c>
      <c r="Y6856" t="s">
        <v>26650</v>
      </c>
      <c r="Z6856" t="s">
        <v>26663</v>
      </c>
      <c r="AB6856" t="s">
        <v>31949</v>
      </c>
      <c r="AD6856" t="s">
        <v>42248</v>
      </c>
      <c r="AE6856">
        <v>168</v>
      </c>
      <c r="AF6856" t="s">
        <v>45541</v>
      </c>
      <c r="AG6856" t="s">
        <v>45556</v>
      </c>
      <c r="AH6856">
        <v>5</v>
      </c>
      <c r="AI6856">
        <v>1</v>
      </c>
      <c r="AJ6856">
        <v>0</v>
      </c>
      <c r="AK6856">
        <v>101.02</v>
      </c>
      <c r="AN6856" t="s">
        <v>45581</v>
      </c>
      <c r="AO6856">
        <v>12264</v>
      </c>
      <c r="AU6856">
        <v>0</v>
      </c>
      <c r="AW6856" t="s">
        <v>292</v>
      </c>
    </row>
    <row r="6857" spans="1:49">
      <c r="A6857" s="1">
        <f>HYPERLINK("https://lsnyc.legalserver.org/matter/dynamic-profile/view/1887677","18-1887677")</f>
        <v>0</v>
      </c>
      <c r="B6857" t="s">
        <v>55</v>
      </c>
      <c r="C6857" t="s">
        <v>340</v>
      </c>
      <c r="D6857" t="s">
        <v>688</v>
      </c>
      <c r="F6857" t="s">
        <v>1822</v>
      </c>
      <c r="G6857" t="s">
        <v>4311</v>
      </c>
      <c r="H6857" t="s">
        <v>12199</v>
      </c>
      <c r="I6857" t="s">
        <v>17376</v>
      </c>
      <c r="J6857" t="s">
        <v>18892</v>
      </c>
      <c r="K6857">
        <v>10460</v>
      </c>
      <c r="L6857" t="s">
        <v>18958</v>
      </c>
      <c r="M6857" t="s">
        <v>18958</v>
      </c>
      <c r="N6857" t="s">
        <v>23962</v>
      </c>
      <c r="O6857" t="s">
        <v>26526</v>
      </c>
      <c r="P6857" t="s">
        <v>26560</v>
      </c>
      <c r="R6857" t="s">
        <v>26578</v>
      </c>
      <c r="S6857" t="s">
        <v>18958</v>
      </c>
      <c r="U6857" t="s">
        <v>26604</v>
      </c>
      <c r="W6857" t="s">
        <v>781</v>
      </c>
      <c r="X6857">
        <v>1018</v>
      </c>
      <c r="Y6857" t="s">
        <v>26650</v>
      </c>
      <c r="Z6857" t="s">
        <v>26663</v>
      </c>
      <c r="AB6857" t="s">
        <v>31950</v>
      </c>
      <c r="AD6857" t="s">
        <v>42249</v>
      </c>
      <c r="AE6857">
        <v>168</v>
      </c>
      <c r="AF6857" t="s">
        <v>45541</v>
      </c>
      <c r="AG6857" t="s">
        <v>45556</v>
      </c>
      <c r="AH6857">
        <v>14</v>
      </c>
      <c r="AI6857">
        <v>1</v>
      </c>
      <c r="AJ6857">
        <v>1</v>
      </c>
      <c r="AK6857">
        <v>201.24</v>
      </c>
      <c r="AN6857" t="s">
        <v>7439</v>
      </c>
      <c r="AO6857">
        <v>33124</v>
      </c>
      <c r="AU6857">
        <v>2</v>
      </c>
      <c r="AV6857" t="s">
        <v>814</v>
      </c>
      <c r="AW6857" t="s">
        <v>336</v>
      </c>
    </row>
    <row r="6858" spans="1:49">
      <c r="A6858" s="1">
        <f>HYPERLINK("https://lsnyc.legalserver.org/matter/dynamic-profile/view/1887669","19-1887669")</f>
        <v>0</v>
      </c>
      <c r="B6858" t="s">
        <v>55</v>
      </c>
      <c r="C6858" t="s">
        <v>340</v>
      </c>
      <c r="D6858" t="s">
        <v>688</v>
      </c>
      <c r="F6858" t="s">
        <v>3806</v>
      </c>
      <c r="G6858" t="s">
        <v>5986</v>
      </c>
      <c r="H6858" t="s">
        <v>12199</v>
      </c>
      <c r="I6858" t="s">
        <v>17316</v>
      </c>
      <c r="J6858" t="s">
        <v>18892</v>
      </c>
      <c r="K6858">
        <v>10460</v>
      </c>
      <c r="L6858" t="s">
        <v>18958</v>
      </c>
      <c r="M6858" t="s">
        <v>18960</v>
      </c>
      <c r="N6858" t="s">
        <v>23962</v>
      </c>
      <c r="O6858" t="s">
        <v>26526</v>
      </c>
      <c r="P6858" t="s">
        <v>26560</v>
      </c>
      <c r="R6858" t="s">
        <v>26578</v>
      </c>
      <c r="S6858" t="s">
        <v>18958</v>
      </c>
      <c r="U6858" t="s">
        <v>26604</v>
      </c>
      <c r="W6858" t="s">
        <v>781</v>
      </c>
      <c r="X6858">
        <v>582</v>
      </c>
      <c r="Y6858" t="s">
        <v>26650</v>
      </c>
      <c r="Z6858" t="s">
        <v>26663</v>
      </c>
      <c r="AB6858" t="s">
        <v>26879</v>
      </c>
      <c r="AE6858">
        <v>168</v>
      </c>
      <c r="AG6858" t="s">
        <v>45556</v>
      </c>
      <c r="AH6858">
        <v>3</v>
      </c>
      <c r="AI6858">
        <v>1</v>
      </c>
      <c r="AJ6858">
        <v>0</v>
      </c>
      <c r="AK6858">
        <v>202.44</v>
      </c>
      <c r="AN6858" t="s">
        <v>7439</v>
      </c>
      <c r="AO6858">
        <v>24576</v>
      </c>
      <c r="AU6858">
        <v>0</v>
      </c>
      <c r="AW6858" t="s">
        <v>336</v>
      </c>
    </row>
    <row r="6859" spans="1:49">
      <c r="A6859" s="1">
        <f>HYPERLINK("https://lsnyc.legalserver.org/matter/dynamic-profile/view/1886683","18-1886683")</f>
        <v>0</v>
      </c>
      <c r="B6859" t="s">
        <v>55</v>
      </c>
      <c r="C6859" t="s">
        <v>340</v>
      </c>
      <c r="D6859" t="s">
        <v>688</v>
      </c>
      <c r="F6859" t="s">
        <v>2150</v>
      </c>
      <c r="G6859" t="s">
        <v>8159</v>
      </c>
      <c r="H6859" t="s">
        <v>12199</v>
      </c>
      <c r="I6859" t="s">
        <v>18412</v>
      </c>
      <c r="J6859" t="s">
        <v>18892</v>
      </c>
      <c r="K6859">
        <v>10460</v>
      </c>
      <c r="L6859" t="s">
        <v>18958</v>
      </c>
      <c r="M6859" t="s">
        <v>18958</v>
      </c>
      <c r="N6859" t="s">
        <v>23962</v>
      </c>
      <c r="O6859" t="s">
        <v>26526</v>
      </c>
      <c r="P6859" t="s">
        <v>26560</v>
      </c>
      <c r="R6859" t="s">
        <v>26578</v>
      </c>
      <c r="S6859" t="s">
        <v>18958</v>
      </c>
      <c r="U6859" t="s">
        <v>26604</v>
      </c>
      <c r="W6859" t="s">
        <v>781</v>
      </c>
      <c r="X6859">
        <v>1967</v>
      </c>
      <c r="Y6859" t="s">
        <v>26650</v>
      </c>
      <c r="Z6859" t="s">
        <v>26663</v>
      </c>
      <c r="AB6859" t="s">
        <v>31951</v>
      </c>
      <c r="AD6859" t="s">
        <v>42250</v>
      </c>
      <c r="AE6859">
        <v>168</v>
      </c>
      <c r="AF6859" t="s">
        <v>45551</v>
      </c>
      <c r="AG6859" t="s">
        <v>45556</v>
      </c>
      <c r="AH6859">
        <v>3</v>
      </c>
      <c r="AI6859">
        <v>2</v>
      </c>
      <c r="AJ6859">
        <v>0</v>
      </c>
      <c r="AK6859">
        <v>363.3</v>
      </c>
      <c r="AN6859" t="s">
        <v>7439</v>
      </c>
      <c r="AO6859">
        <v>59800</v>
      </c>
      <c r="AU6859">
        <v>9</v>
      </c>
      <c r="AV6859" t="s">
        <v>830</v>
      </c>
      <c r="AW6859" t="s">
        <v>292</v>
      </c>
    </row>
    <row r="6860" spans="1:49">
      <c r="A6860" s="1">
        <f>HYPERLINK("https://lsnyc.legalserver.org/matter/dynamic-profile/view/1894051","19-1894051")</f>
        <v>0</v>
      </c>
      <c r="B6860" t="s">
        <v>75</v>
      </c>
      <c r="C6860" t="s">
        <v>340</v>
      </c>
      <c r="D6860" t="s">
        <v>670</v>
      </c>
      <c r="F6860" t="s">
        <v>1219</v>
      </c>
      <c r="G6860" t="s">
        <v>8160</v>
      </c>
      <c r="H6860" t="s">
        <v>12169</v>
      </c>
      <c r="I6860" t="s">
        <v>17352</v>
      </c>
      <c r="J6860" t="s">
        <v>18892</v>
      </c>
      <c r="K6860">
        <v>10453</v>
      </c>
      <c r="L6860" t="s">
        <v>18958</v>
      </c>
      <c r="M6860" t="s">
        <v>18958</v>
      </c>
      <c r="O6860" t="s">
        <v>26534</v>
      </c>
      <c r="P6860" t="s">
        <v>26561</v>
      </c>
      <c r="R6860" t="s">
        <v>26578</v>
      </c>
      <c r="S6860" t="s">
        <v>18958</v>
      </c>
      <c r="U6860" t="s">
        <v>26604</v>
      </c>
      <c r="W6860" t="s">
        <v>781</v>
      </c>
      <c r="X6860">
        <v>1102.63</v>
      </c>
      <c r="Y6860" t="s">
        <v>26650</v>
      </c>
      <c r="Z6860" t="s">
        <v>26663</v>
      </c>
      <c r="AB6860" t="s">
        <v>31952</v>
      </c>
      <c r="AD6860" t="s">
        <v>42251</v>
      </c>
      <c r="AE6860">
        <v>0</v>
      </c>
      <c r="AF6860" t="s">
        <v>45541</v>
      </c>
      <c r="AG6860" t="s">
        <v>19330</v>
      </c>
      <c r="AH6860">
        <v>28</v>
      </c>
      <c r="AI6860">
        <v>1</v>
      </c>
      <c r="AJ6860">
        <v>0</v>
      </c>
      <c r="AK6860">
        <v>510.77</v>
      </c>
      <c r="AN6860" t="s">
        <v>45581</v>
      </c>
      <c r="AO6860">
        <v>62007.92</v>
      </c>
      <c r="AU6860">
        <v>0</v>
      </c>
      <c r="AW6860" t="s">
        <v>336</v>
      </c>
    </row>
    <row r="6861" spans="1:49">
      <c r="A6861" s="1">
        <f>HYPERLINK("https://lsnyc.legalserver.org/matter/dynamic-profile/view/1894050","19-1894050")</f>
        <v>0</v>
      </c>
      <c r="B6861" t="s">
        <v>75</v>
      </c>
      <c r="C6861" t="s">
        <v>340</v>
      </c>
      <c r="D6861" t="s">
        <v>670</v>
      </c>
      <c r="F6861" t="s">
        <v>1219</v>
      </c>
      <c r="G6861" t="s">
        <v>8160</v>
      </c>
      <c r="H6861" t="s">
        <v>12169</v>
      </c>
      <c r="I6861" t="s">
        <v>17352</v>
      </c>
      <c r="J6861" t="s">
        <v>18892</v>
      </c>
      <c r="K6861">
        <v>10453</v>
      </c>
      <c r="L6861" t="s">
        <v>18958</v>
      </c>
      <c r="M6861" t="s">
        <v>18958</v>
      </c>
      <c r="N6861" t="s">
        <v>23964</v>
      </c>
      <c r="O6861" t="s">
        <v>26526</v>
      </c>
      <c r="P6861" t="s">
        <v>26560</v>
      </c>
      <c r="R6861" t="s">
        <v>26578</v>
      </c>
      <c r="S6861" t="s">
        <v>18958</v>
      </c>
      <c r="U6861" t="s">
        <v>26604</v>
      </c>
      <c r="W6861" t="s">
        <v>781</v>
      </c>
      <c r="X6861">
        <v>1102.63</v>
      </c>
      <c r="Y6861" t="s">
        <v>26650</v>
      </c>
      <c r="Z6861" t="s">
        <v>26663</v>
      </c>
      <c r="AB6861" t="s">
        <v>31952</v>
      </c>
      <c r="AD6861" t="s">
        <v>42251</v>
      </c>
      <c r="AE6861">
        <v>44</v>
      </c>
      <c r="AF6861" t="s">
        <v>45541</v>
      </c>
      <c r="AG6861" t="s">
        <v>19330</v>
      </c>
      <c r="AH6861">
        <v>28</v>
      </c>
      <c r="AI6861">
        <v>1</v>
      </c>
      <c r="AJ6861">
        <v>0</v>
      </c>
      <c r="AK6861">
        <v>510.77</v>
      </c>
      <c r="AN6861" t="s">
        <v>45581</v>
      </c>
      <c r="AO6861">
        <v>62007.92</v>
      </c>
      <c r="AU6861">
        <v>0</v>
      </c>
      <c r="AW6861" t="s">
        <v>336</v>
      </c>
    </row>
    <row r="6862" spans="1:49">
      <c r="A6862" s="1">
        <f>HYPERLINK("https://lsnyc.legalserver.org/matter/dynamic-profile/view/1890420","19-1890420")</f>
        <v>0</v>
      </c>
      <c r="B6862" t="s">
        <v>75</v>
      </c>
      <c r="C6862" t="s">
        <v>340</v>
      </c>
      <c r="D6862" t="s">
        <v>692</v>
      </c>
      <c r="F6862" t="s">
        <v>3807</v>
      </c>
      <c r="G6862" t="s">
        <v>8161</v>
      </c>
      <c r="H6862" t="s">
        <v>12169</v>
      </c>
      <c r="I6862" t="s">
        <v>17848</v>
      </c>
      <c r="J6862" t="s">
        <v>18892</v>
      </c>
      <c r="K6862">
        <v>10453</v>
      </c>
      <c r="L6862" t="s">
        <v>18958</v>
      </c>
      <c r="M6862" t="s">
        <v>18958</v>
      </c>
      <c r="N6862" t="s">
        <v>23964</v>
      </c>
      <c r="O6862" t="s">
        <v>26526</v>
      </c>
      <c r="P6862" t="s">
        <v>26560</v>
      </c>
      <c r="R6862" t="s">
        <v>26578</v>
      </c>
      <c r="S6862" t="s">
        <v>18958</v>
      </c>
      <c r="U6862" t="s">
        <v>26604</v>
      </c>
      <c r="W6862" t="s">
        <v>781</v>
      </c>
      <c r="X6862">
        <v>713.8</v>
      </c>
      <c r="Y6862" t="s">
        <v>26650</v>
      </c>
      <c r="Z6862" t="s">
        <v>26663</v>
      </c>
      <c r="AB6862" t="s">
        <v>31953</v>
      </c>
      <c r="AD6862" t="s">
        <v>42252</v>
      </c>
      <c r="AE6862">
        <v>44</v>
      </c>
      <c r="AF6862" t="s">
        <v>45541</v>
      </c>
      <c r="AG6862" t="s">
        <v>19330</v>
      </c>
      <c r="AH6862">
        <v>28</v>
      </c>
      <c r="AI6862">
        <v>2</v>
      </c>
      <c r="AJ6862">
        <v>0</v>
      </c>
      <c r="AK6862">
        <v>46.13</v>
      </c>
      <c r="AN6862" t="s">
        <v>45581</v>
      </c>
      <c r="AO6862">
        <v>7800</v>
      </c>
      <c r="AU6862">
        <v>0</v>
      </c>
      <c r="AW6862" t="s">
        <v>336</v>
      </c>
    </row>
    <row r="6863" spans="1:49">
      <c r="A6863" s="1">
        <f>HYPERLINK("https://lsnyc.legalserver.org/matter/dynamic-profile/view/1890415","19-1890415")</f>
        <v>0</v>
      </c>
      <c r="B6863" t="s">
        <v>75</v>
      </c>
      <c r="C6863" t="s">
        <v>340</v>
      </c>
      <c r="D6863" t="s">
        <v>692</v>
      </c>
      <c r="F6863" t="s">
        <v>3807</v>
      </c>
      <c r="G6863" t="s">
        <v>8161</v>
      </c>
      <c r="H6863" t="s">
        <v>12169</v>
      </c>
      <c r="I6863" t="s">
        <v>17848</v>
      </c>
      <c r="J6863" t="s">
        <v>18892</v>
      </c>
      <c r="K6863">
        <v>10453</v>
      </c>
      <c r="L6863" t="s">
        <v>18958</v>
      </c>
      <c r="M6863" t="s">
        <v>18958</v>
      </c>
      <c r="O6863" t="s">
        <v>18997</v>
      </c>
      <c r="P6863" t="s">
        <v>26562</v>
      </c>
      <c r="R6863" t="s">
        <v>26578</v>
      </c>
      <c r="S6863" t="s">
        <v>18958</v>
      </c>
      <c r="U6863" t="s">
        <v>26604</v>
      </c>
      <c r="W6863" t="s">
        <v>781</v>
      </c>
      <c r="X6863">
        <v>713.8</v>
      </c>
      <c r="Y6863" t="s">
        <v>26650</v>
      </c>
      <c r="Z6863" t="s">
        <v>26663</v>
      </c>
      <c r="AB6863" t="s">
        <v>31953</v>
      </c>
      <c r="AD6863" t="s">
        <v>42252</v>
      </c>
      <c r="AE6863">
        <v>44</v>
      </c>
      <c r="AF6863" t="s">
        <v>45541</v>
      </c>
      <c r="AG6863" t="s">
        <v>19330</v>
      </c>
      <c r="AH6863">
        <v>28</v>
      </c>
      <c r="AI6863">
        <v>2</v>
      </c>
      <c r="AJ6863">
        <v>0</v>
      </c>
      <c r="AK6863">
        <v>46.13</v>
      </c>
      <c r="AN6863" t="s">
        <v>45581</v>
      </c>
      <c r="AO6863">
        <v>7800</v>
      </c>
      <c r="AU6863">
        <v>0</v>
      </c>
      <c r="AW6863" t="s">
        <v>336</v>
      </c>
    </row>
    <row r="6864" spans="1:49">
      <c r="A6864" s="1">
        <f>HYPERLINK("https://lsnyc.legalserver.org/matter/dynamic-profile/view/1890408","18-1890408")</f>
        <v>0</v>
      </c>
      <c r="B6864" t="s">
        <v>75</v>
      </c>
      <c r="C6864" t="s">
        <v>340</v>
      </c>
      <c r="D6864" t="s">
        <v>692</v>
      </c>
      <c r="F6864" t="s">
        <v>3807</v>
      </c>
      <c r="G6864" t="s">
        <v>8161</v>
      </c>
      <c r="H6864" t="s">
        <v>12169</v>
      </c>
      <c r="I6864" t="s">
        <v>17848</v>
      </c>
      <c r="J6864" t="s">
        <v>18892</v>
      </c>
      <c r="K6864">
        <v>10453</v>
      </c>
      <c r="L6864" t="s">
        <v>18958</v>
      </c>
      <c r="M6864" t="s">
        <v>18958</v>
      </c>
      <c r="O6864" t="s">
        <v>26534</v>
      </c>
      <c r="P6864" t="s">
        <v>26561</v>
      </c>
      <c r="R6864" t="s">
        <v>26578</v>
      </c>
      <c r="S6864" t="s">
        <v>18958</v>
      </c>
      <c r="U6864" t="s">
        <v>26604</v>
      </c>
      <c r="W6864" t="s">
        <v>781</v>
      </c>
      <c r="X6864">
        <v>713.8</v>
      </c>
      <c r="Y6864" t="s">
        <v>26650</v>
      </c>
      <c r="Z6864" t="s">
        <v>26663</v>
      </c>
      <c r="AB6864" t="s">
        <v>31953</v>
      </c>
      <c r="AD6864" t="s">
        <v>42252</v>
      </c>
      <c r="AE6864">
        <v>44</v>
      </c>
      <c r="AF6864" t="s">
        <v>45541</v>
      </c>
      <c r="AG6864" t="s">
        <v>19330</v>
      </c>
      <c r="AH6864">
        <v>28</v>
      </c>
      <c r="AI6864">
        <v>2</v>
      </c>
      <c r="AJ6864">
        <v>0</v>
      </c>
      <c r="AK6864">
        <v>47.39</v>
      </c>
      <c r="AN6864" t="s">
        <v>45581</v>
      </c>
      <c r="AO6864">
        <v>7800</v>
      </c>
      <c r="AU6864">
        <v>0</v>
      </c>
      <c r="AW6864" t="s">
        <v>336</v>
      </c>
    </row>
    <row r="6865" spans="1:49">
      <c r="A6865" s="1">
        <f>HYPERLINK("https://lsnyc.legalserver.org/matter/dynamic-profile/view/1894066","19-1894066")</f>
        <v>0</v>
      </c>
      <c r="B6865" t="s">
        <v>75</v>
      </c>
      <c r="C6865" t="s">
        <v>340</v>
      </c>
      <c r="D6865" t="s">
        <v>692</v>
      </c>
      <c r="F6865" t="s">
        <v>2646</v>
      </c>
      <c r="G6865" t="s">
        <v>3138</v>
      </c>
      <c r="H6865" t="s">
        <v>12169</v>
      </c>
      <c r="I6865" t="s">
        <v>17343</v>
      </c>
      <c r="J6865" t="s">
        <v>18892</v>
      </c>
      <c r="K6865">
        <v>10453</v>
      </c>
      <c r="L6865" t="s">
        <v>18958</v>
      </c>
      <c r="M6865" t="s">
        <v>18958</v>
      </c>
      <c r="O6865" t="s">
        <v>26534</v>
      </c>
      <c r="P6865" t="s">
        <v>26561</v>
      </c>
      <c r="R6865" t="s">
        <v>26578</v>
      </c>
      <c r="S6865" t="s">
        <v>18958</v>
      </c>
      <c r="U6865" t="s">
        <v>26604</v>
      </c>
      <c r="W6865" t="s">
        <v>781</v>
      </c>
      <c r="X6865">
        <v>957</v>
      </c>
      <c r="Y6865" t="s">
        <v>26650</v>
      </c>
      <c r="Z6865" t="s">
        <v>26663</v>
      </c>
      <c r="AB6865" t="s">
        <v>31954</v>
      </c>
      <c r="AD6865" t="s">
        <v>42253</v>
      </c>
      <c r="AE6865">
        <v>44</v>
      </c>
      <c r="AF6865" t="s">
        <v>45541</v>
      </c>
      <c r="AG6865" t="s">
        <v>45556</v>
      </c>
      <c r="AH6865">
        <v>28</v>
      </c>
      <c r="AI6865">
        <v>2</v>
      </c>
      <c r="AJ6865">
        <v>0</v>
      </c>
      <c r="AK6865">
        <v>56.14</v>
      </c>
      <c r="AN6865" t="s">
        <v>45581</v>
      </c>
      <c r="AO6865">
        <v>9240</v>
      </c>
      <c r="AU6865">
        <v>0</v>
      </c>
      <c r="AW6865" t="s">
        <v>336</v>
      </c>
    </row>
    <row r="6866" spans="1:49">
      <c r="A6866" s="1">
        <f>HYPERLINK("https://lsnyc.legalserver.org/matter/dynamic-profile/view/1894064","19-1894064")</f>
        <v>0</v>
      </c>
      <c r="B6866" t="s">
        <v>75</v>
      </c>
      <c r="C6866" t="s">
        <v>340</v>
      </c>
      <c r="D6866" t="s">
        <v>692</v>
      </c>
      <c r="F6866" t="s">
        <v>2646</v>
      </c>
      <c r="G6866" t="s">
        <v>3138</v>
      </c>
      <c r="H6866" t="s">
        <v>12169</v>
      </c>
      <c r="I6866" t="s">
        <v>17343</v>
      </c>
      <c r="J6866" t="s">
        <v>18892</v>
      </c>
      <c r="K6866">
        <v>10453</v>
      </c>
      <c r="L6866" t="s">
        <v>18958</v>
      </c>
      <c r="M6866" t="s">
        <v>18958</v>
      </c>
      <c r="N6866" t="s">
        <v>23964</v>
      </c>
      <c r="O6866" t="s">
        <v>26526</v>
      </c>
      <c r="P6866" t="s">
        <v>26560</v>
      </c>
      <c r="R6866" t="s">
        <v>26578</v>
      </c>
      <c r="S6866" t="s">
        <v>18958</v>
      </c>
      <c r="U6866" t="s">
        <v>26604</v>
      </c>
      <c r="W6866" t="s">
        <v>781</v>
      </c>
      <c r="X6866">
        <v>957</v>
      </c>
      <c r="Y6866" t="s">
        <v>26650</v>
      </c>
      <c r="Z6866" t="s">
        <v>26663</v>
      </c>
      <c r="AB6866" t="s">
        <v>31954</v>
      </c>
      <c r="AD6866" t="s">
        <v>42253</v>
      </c>
      <c r="AE6866">
        <v>44</v>
      </c>
      <c r="AF6866" t="s">
        <v>45541</v>
      </c>
      <c r="AG6866" t="s">
        <v>45556</v>
      </c>
      <c r="AH6866">
        <v>28</v>
      </c>
      <c r="AI6866">
        <v>2</v>
      </c>
      <c r="AJ6866">
        <v>0</v>
      </c>
      <c r="AK6866">
        <v>56.14</v>
      </c>
      <c r="AN6866" t="s">
        <v>45581</v>
      </c>
      <c r="AO6866">
        <v>9240</v>
      </c>
      <c r="AU6866">
        <v>0</v>
      </c>
      <c r="AW6866" t="s">
        <v>336</v>
      </c>
    </row>
    <row r="6867" spans="1:49">
      <c r="A6867" s="1">
        <f>HYPERLINK("https://lsnyc.legalserver.org/matter/dynamic-profile/view/1894063","18-1894063")</f>
        <v>0</v>
      </c>
      <c r="B6867" t="s">
        <v>75</v>
      </c>
      <c r="C6867" t="s">
        <v>340</v>
      </c>
      <c r="D6867" t="s">
        <v>692</v>
      </c>
      <c r="F6867" t="s">
        <v>2646</v>
      </c>
      <c r="G6867" t="s">
        <v>3138</v>
      </c>
      <c r="H6867" t="s">
        <v>12169</v>
      </c>
      <c r="I6867" t="s">
        <v>17343</v>
      </c>
      <c r="J6867" t="s">
        <v>18892</v>
      </c>
      <c r="K6867">
        <v>10453</v>
      </c>
      <c r="L6867" t="s">
        <v>18958</v>
      </c>
      <c r="M6867" t="s">
        <v>18958</v>
      </c>
      <c r="O6867" t="s">
        <v>18997</v>
      </c>
      <c r="P6867" t="s">
        <v>26562</v>
      </c>
      <c r="R6867" t="s">
        <v>26578</v>
      </c>
      <c r="S6867" t="s">
        <v>18958</v>
      </c>
      <c r="U6867" t="s">
        <v>26604</v>
      </c>
      <c r="W6867" t="s">
        <v>781</v>
      </c>
      <c r="X6867">
        <v>957</v>
      </c>
      <c r="Y6867" t="s">
        <v>26650</v>
      </c>
      <c r="Z6867" t="s">
        <v>26663</v>
      </c>
      <c r="AB6867" t="s">
        <v>31954</v>
      </c>
      <c r="AD6867" t="s">
        <v>42253</v>
      </c>
      <c r="AE6867">
        <v>44</v>
      </c>
      <c r="AF6867" t="s">
        <v>45541</v>
      </c>
      <c r="AG6867" t="s">
        <v>45556</v>
      </c>
      <c r="AH6867">
        <v>28</v>
      </c>
      <c r="AI6867">
        <v>2</v>
      </c>
      <c r="AJ6867">
        <v>0</v>
      </c>
      <c r="AK6867">
        <v>56.14</v>
      </c>
      <c r="AN6867" t="s">
        <v>45581</v>
      </c>
      <c r="AO6867">
        <v>9240</v>
      </c>
      <c r="AU6867">
        <v>0</v>
      </c>
      <c r="AW6867" t="s">
        <v>336</v>
      </c>
    </row>
    <row r="6868" spans="1:49">
      <c r="A6868" s="1">
        <f>HYPERLINK("https://lsnyc.legalserver.org/matter/dynamic-profile/view/1890404","19-1890404")</f>
        <v>0</v>
      </c>
      <c r="B6868" t="s">
        <v>75</v>
      </c>
      <c r="C6868" t="s">
        <v>340</v>
      </c>
      <c r="D6868" t="s">
        <v>692</v>
      </c>
      <c r="F6868" t="s">
        <v>2185</v>
      </c>
      <c r="G6868" t="s">
        <v>8162</v>
      </c>
      <c r="H6868" t="s">
        <v>12169</v>
      </c>
      <c r="I6868" t="s">
        <v>17273</v>
      </c>
      <c r="J6868" t="s">
        <v>18892</v>
      </c>
      <c r="K6868">
        <v>10453</v>
      </c>
      <c r="L6868" t="s">
        <v>18958</v>
      </c>
      <c r="M6868" t="s">
        <v>18958</v>
      </c>
      <c r="O6868" t="s">
        <v>26534</v>
      </c>
      <c r="P6868" t="s">
        <v>26561</v>
      </c>
      <c r="R6868" t="s">
        <v>26578</v>
      </c>
      <c r="S6868" t="s">
        <v>18958</v>
      </c>
      <c r="U6868" t="s">
        <v>26604</v>
      </c>
      <c r="W6868" t="s">
        <v>781</v>
      </c>
      <c r="X6868">
        <v>187</v>
      </c>
      <c r="Y6868" t="s">
        <v>26650</v>
      </c>
      <c r="Z6868" t="s">
        <v>26663</v>
      </c>
      <c r="AB6868" t="s">
        <v>31955</v>
      </c>
      <c r="AD6868" t="s">
        <v>42254</v>
      </c>
      <c r="AE6868">
        <v>44</v>
      </c>
      <c r="AF6868" t="s">
        <v>45541</v>
      </c>
      <c r="AG6868" t="s">
        <v>45556</v>
      </c>
      <c r="AH6868">
        <v>25</v>
      </c>
      <c r="AI6868">
        <v>1</v>
      </c>
      <c r="AJ6868">
        <v>0</v>
      </c>
      <c r="AK6868">
        <v>62.16</v>
      </c>
      <c r="AN6868" t="s">
        <v>45581</v>
      </c>
      <c r="AO6868">
        <v>7764</v>
      </c>
      <c r="AU6868">
        <v>0</v>
      </c>
      <c r="AW6868" t="s">
        <v>336</v>
      </c>
    </row>
    <row r="6869" spans="1:49">
      <c r="A6869" s="1">
        <f>HYPERLINK("https://lsnyc.legalserver.org/matter/dynamic-profile/view/1890395","19-1890395")</f>
        <v>0</v>
      </c>
      <c r="B6869" t="s">
        <v>75</v>
      </c>
      <c r="C6869" t="s">
        <v>340</v>
      </c>
      <c r="D6869" t="s">
        <v>692</v>
      </c>
      <c r="F6869" t="s">
        <v>2185</v>
      </c>
      <c r="G6869" t="s">
        <v>8162</v>
      </c>
      <c r="H6869" t="s">
        <v>12169</v>
      </c>
      <c r="I6869" t="s">
        <v>17273</v>
      </c>
      <c r="J6869" t="s">
        <v>18892</v>
      </c>
      <c r="K6869">
        <v>10453</v>
      </c>
      <c r="L6869" t="s">
        <v>18958</v>
      </c>
      <c r="M6869" t="s">
        <v>18958</v>
      </c>
      <c r="N6869" t="s">
        <v>23964</v>
      </c>
      <c r="O6869" t="s">
        <v>26526</v>
      </c>
      <c r="P6869" t="s">
        <v>26560</v>
      </c>
      <c r="R6869" t="s">
        <v>26578</v>
      </c>
      <c r="S6869" t="s">
        <v>18958</v>
      </c>
      <c r="U6869" t="s">
        <v>26604</v>
      </c>
      <c r="W6869" t="s">
        <v>781</v>
      </c>
      <c r="X6869">
        <v>187</v>
      </c>
      <c r="Y6869" t="s">
        <v>26650</v>
      </c>
      <c r="Z6869" t="s">
        <v>26663</v>
      </c>
      <c r="AB6869" t="s">
        <v>31955</v>
      </c>
      <c r="AD6869" t="s">
        <v>42254</v>
      </c>
      <c r="AE6869">
        <v>44</v>
      </c>
      <c r="AF6869" t="s">
        <v>45541</v>
      </c>
      <c r="AG6869" t="s">
        <v>45556</v>
      </c>
      <c r="AH6869">
        <v>25</v>
      </c>
      <c r="AI6869">
        <v>1</v>
      </c>
      <c r="AJ6869">
        <v>0</v>
      </c>
      <c r="AK6869">
        <v>63.95</v>
      </c>
      <c r="AN6869" t="s">
        <v>45581</v>
      </c>
      <c r="AO6869">
        <v>7764</v>
      </c>
      <c r="AU6869">
        <v>0</v>
      </c>
      <c r="AW6869" t="s">
        <v>336</v>
      </c>
    </row>
    <row r="6870" spans="1:49">
      <c r="A6870" s="1">
        <f>HYPERLINK("https://lsnyc.legalserver.org/matter/dynamic-profile/view/1890394","18-1890394")</f>
        <v>0</v>
      </c>
      <c r="B6870" t="s">
        <v>75</v>
      </c>
      <c r="C6870" t="s">
        <v>340</v>
      </c>
      <c r="D6870" t="s">
        <v>692</v>
      </c>
      <c r="F6870" t="s">
        <v>2185</v>
      </c>
      <c r="G6870" t="s">
        <v>8162</v>
      </c>
      <c r="H6870" t="s">
        <v>12169</v>
      </c>
      <c r="I6870" t="s">
        <v>17273</v>
      </c>
      <c r="J6870" t="s">
        <v>18892</v>
      </c>
      <c r="K6870">
        <v>10453</v>
      </c>
      <c r="L6870" t="s">
        <v>18958</v>
      </c>
      <c r="M6870" t="s">
        <v>18958</v>
      </c>
      <c r="O6870" t="s">
        <v>18997</v>
      </c>
      <c r="P6870" t="s">
        <v>26562</v>
      </c>
      <c r="R6870" t="s">
        <v>26578</v>
      </c>
      <c r="S6870" t="s">
        <v>18958</v>
      </c>
      <c r="U6870" t="s">
        <v>26604</v>
      </c>
      <c r="W6870" t="s">
        <v>781</v>
      </c>
      <c r="X6870">
        <v>187</v>
      </c>
      <c r="Y6870" t="s">
        <v>26650</v>
      </c>
      <c r="Z6870" t="s">
        <v>26663</v>
      </c>
      <c r="AB6870" t="s">
        <v>31955</v>
      </c>
      <c r="AD6870" t="s">
        <v>42254</v>
      </c>
      <c r="AE6870">
        <v>44</v>
      </c>
      <c r="AF6870" t="s">
        <v>45541</v>
      </c>
      <c r="AG6870" t="s">
        <v>45556</v>
      </c>
      <c r="AH6870">
        <v>25</v>
      </c>
      <c r="AI6870">
        <v>1</v>
      </c>
      <c r="AJ6870">
        <v>0</v>
      </c>
      <c r="AK6870">
        <v>63.95</v>
      </c>
      <c r="AN6870" t="s">
        <v>45581</v>
      </c>
      <c r="AO6870">
        <v>7764</v>
      </c>
      <c r="AU6870">
        <v>0</v>
      </c>
      <c r="AW6870" t="s">
        <v>336</v>
      </c>
    </row>
    <row r="6871" spans="1:49">
      <c r="A6871" s="1">
        <f>HYPERLINK("https://lsnyc.legalserver.org/matter/dynamic-profile/view/1894068","18-1894068")</f>
        <v>0</v>
      </c>
      <c r="B6871" t="s">
        <v>75</v>
      </c>
      <c r="C6871" t="s">
        <v>340</v>
      </c>
      <c r="D6871" t="s">
        <v>692</v>
      </c>
      <c r="F6871" t="s">
        <v>1113</v>
      </c>
      <c r="G6871" t="s">
        <v>5121</v>
      </c>
      <c r="H6871" t="s">
        <v>12169</v>
      </c>
      <c r="I6871" t="s">
        <v>17299</v>
      </c>
      <c r="J6871" t="s">
        <v>18892</v>
      </c>
      <c r="K6871">
        <v>10453</v>
      </c>
      <c r="L6871" t="s">
        <v>18958</v>
      </c>
      <c r="M6871" t="s">
        <v>18958</v>
      </c>
      <c r="O6871" t="s">
        <v>18997</v>
      </c>
      <c r="P6871" t="s">
        <v>26562</v>
      </c>
      <c r="R6871" t="s">
        <v>26578</v>
      </c>
      <c r="S6871" t="s">
        <v>18958</v>
      </c>
      <c r="U6871" t="s">
        <v>26604</v>
      </c>
      <c r="W6871" t="s">
        <v>781</v>
      </c>
      <c r="X6871">
        <v>0</v>
      </c>
      <c r="Y6871" t="s">
        <v>26650</v>
      </c>
      <c r="Z6871" t="s">
        <v>26663</v>
      </c>
      <c r="AB6871" t="s">
        <v>29801</v>
      </c>
      <c r="AD6871" t="s">
        <v>42255</v>
      </c>
      <c r="AE6871">
        <v>44</v>
      </c>
      <c r="AF6871" t="s">
        <v>45541</v>
      </c>
      <c r="AG6871" t="s">
        <v>26530</v>
      </c>
      <c r="AH6871">
        <v>13</v>
      </c>
      <c r="AI6871">
        <v>1</v>
      </c>
      <c r="AJ6871">
        <v>0</v>
      </c>
      <c r="AK6871">
        <v>95.19</v>
      </c>
      <c r="AN6871" t="s">
        <v>7439</v>
      </c>
      <c r="AO6871">
        <v>11556</v>
      </c>
      <c r="AU6871">
        <v>0</v>
      </c>
      <c r="AW6871" t="s">
        <v>336</v>
      </c>
    </row>
    <row r="6872" spans="1:49">
      <c r="A6872" s="1">
        <f>HYPERLINK("https://lsnyc.legalserver.org/matter/dynamic-profile/view/1890441","19-1890441")</f>
        <v>0</v>
      </c>
      <c r="B6872" t="s">
        <v>75</v>
      </c>
      <c r="C6872" t="s">
        <v>340</v>
      </c>
      <c r="D6872" t="s">
        <v>692</v>
      </c>
      <c r="F6872" t="s">
        <v>887</v>
      </c>
      <c r="G6872" t="s">
        <v>5330</v>
      </c>
      <c r="H6872" t="s">
        <v>12169</v>
      </c>
      <c r="I6872" t="s">
        <v>17360</v>
      </c>
      <c r="J6872" t="s">
        <v>18892</v>
      </c>
      <c r="K6872">
        <v>10453</v>
      </c>
      <c r="L6872" t="s">
        <v>18958</v>
      </c>
      <c r="M6872" t="s">
        <v>18958</v>
      </c>
      <c r="O6872" t="s">
        <v>26534</v>
      </c>
      <c r="P6872" t="s">
        <v>26561</v>
      </c>
      <c r="R6872" t="s">
        <v>26578</v>
      </c>
      <c r="S6872" t="s">
        <v>18958</v>
      </c>
      <c r="U6872" t="s">
        <v>26604</v>
      </c>
      <c r="W6872" t="s">
        <v>781</v>
      </c>
      <c r="X6872">
        <v>692.88</v>
      </c>
      <c r="Y6872" t="s">
        <v>26650</v>
      </c>
      <c r="Z6872" t="s">
        <v>26663</v>
      </c>
      <c r="AB6872" t="s">
        <v>31011</v>
      </c>
      <c r="AD6872" t="s">
        <v>41247</v>
      </c>
      <c r="AE6872">
        <v>0</v>
      </c>
      <c r="AF6872" t="s">
        <v>45541</v>
      </c>
      <c r="AG6872" t="s">
        <v>19330</v>
      </c>
      <c r="AH6872">
        <v>27</v>
      </c>
      <c r="AI6872">
        <v>2</v>
      </c>
      <c r="AJ6872">
        <v>0</v>
      </c>
      <c r="AK6872">
        <v>182.26</v>
      </c>
      <c r="AN6872" t="s">
        <v>7439</v>
      </c>
      <c r="AO6872">
        <v>30000</v>
      </c>
      <c r="AU6872">
        <v>0</v>
      </c>
      <c r="AW6872" t="s">
        <v>336</v>
      </c>
    </row>
    <row r="6873" spans="1:49">
      <c r="A6873" s="1">
        <f>HYPERLINK("https://lsnyc.legalserver.org/matter/dynamic-profile/view/1894073","19-1894073")</f>
        <v>0</v>
      </c>
      <c r="B6873" t="s">
        <v>177</v>
      </c>
      <c r="C6873" t="s">
        <v>340</v>
      </c>
      <c r="D6873" t="s">
        <v>692</v>
      </c>
      <c r="F6873" t="s">
        <v>1113</v>
      </c>
      <c r="G6873" t="s">
        <v>5121</v>
      </c>
      <c r="H6873" t="s">
        <v>12169</v>
      </c>
      <c r="I6873" t="s">
        <v>17299</v>
      </c>
      <c r="J6873" t="s">
        <v>18892</v>
      </c>
      <c r="K6873">
        <v>10453</v>
      </c>
      <c r="L6873" t="s">
        <v>18958</v>
      </c>
      <c r="M6873" t="s">
        <v>18958</v>
      </c>
      <c r="O6873" t="s">
        <v>26534</v>
      </c>
      <c r="P6873" t="s">
        <v>26561</v>
      </c>
      <c r="R6873" t="s">
        <v>26578</v>
      </c>
      <c r="S6873" t="s">
        <v>18958</v>
      </c>
      <c r="U6873" t="s">
        <v>26604</v>
      </c>
      <c r="W6873" t="s">
        <v>781</v>
      </c>
      <c r="X6873">
        <v>0</v>
      </c>
      <c r="Y6873" t="s">
        <v>26650</v>
      </c>
      <c r="Z6873" t="s">
        <v>26663</v>
      </c>
      <c r="AB6873" t="s">
        <v>29801</v>
      </c>
      <c r="AD6873" t="s">
        <v>42255</v>
      </c>
      <c r="AE6873">
        <v>44</v>
      </c>
      <c r="AF6873" t="s">
        <v>45541</v>
      </c>
      <c r="AG6873" t="s">
        <v>26530</v>
      </c>
      <c r="AH6873">
        <v>13</v>
      </c>
      <c r="AI6873">
        <v>1</v>
      </c>
      <c r="AJ6873">
        <v>0</v>
      </c>
      <c r="AK6873">
        <v>95.19</v>
      </c>
      <c r="AN6873" t="s">
        <v>7439</v>
      </c>
      <c r="AO6873">
        <v>11556</v>
      </c>
      <c r="AU6873">
        <v>0</v>
      </c>
      <c r="AW6873" t="s">
        <v>336</v>
      </c>
    </row>
    <row r="6874" spans="1:49">
      <c r="A6874" s="1">
        <f>HYPERLINK("https://lsnyc.legalserver.org/matter/dynamic-profile/view/1894071","19-1894071")</f>
        <v>0</v>
      </c>
      <c r="B6874" t="s">
        <v>177</v>
      </c>
      <c r="C6874" t="s">
        <v>340</v>
      </c>
      <c r="D6874" t="s">
        <v>692</v>
      </c>
      <c r="F6874" t="s">
        <v>1113</v>
      </c>
      <c r="G6874" t="s">
        <v>5121</v>
      </c>
      <c r="H6874" t="s">
        <v>12169</v>
      </c>
      <c r="I6874" t="s">
        <v>17299</v>
      </c>
      <c r="J6874" t="s">
        <v>18892</v>
      </c>
      <c r="K6874">
        <v>10453</v>
      </c>
      <c r="L6874" t="s">
        <v>18958</v>
      </c>
      <c r="M6874" t="s">
        <v>18958</v>
      </c>
      <c r="N6874" t="s">
        <v>23964</v>
      </c>
      <c r="O6874" t="s">
        <v>26526</v>
      </c>
      <c r="P6874" t="s">
        <v>26560</v>
      </c>
      <c r="R6874" t="s">
        <v>26578</v>
      </c>
      <c r="S6874" t="s">
        <v>18958</v>
      </c>
      <c r="U6874" t="s">
        <v>26604</v>
      </c>
      <c r="W6874" t="s">
        <v>781</v>
      </c>
      <c r="X6874">
        <v>0</v>
      </c>
      <c r="Y6874" t="s">
        <v>26650</v>
      </c>
      <c r="Z6874" t="s">
        <v>26663</v>
      </c>
      <c r="AB6874" t="s">
        <v>29801</v>
      </c>
      <c r="AD6874" t="s">
        <v>42255</v>
      </c>
      <c r="AE6874">
        <v>44</v>
      </c>
      <c r="AF6874" t="s">
        <v>45541</v>
      </c>
      <c r="AG6874" t="s">
        <v>26530</v>
      </c>
      <c r="AH6874">
        <v>13</v>
      </c>
      <c r="AI6874">
        <v>1</v>
      </c>
      <c r="AJ6874">
        <v>0</v>
      </c>
      <c r="AK6874">
        <v>95.19</v>
      </c>
      <c r="AN6874" t="s">
        <v>7439</v>
      </c>
      <c r="AO6874">
        <v>11556</v>
      </c>
      <c r="AU6874">
        <v>0</v>
      </c>
      <c r="AW6874" t="s">
        <v>336</v>
      </c>
    </row>
    <row r="6875" spans="1:49">
      <c r="A6875" s="1">
        <f>HYPERLINK("https://lsnyc.legalserver.org/matter/dynamic-profile/view/1886340","18-1886340")</f>
        <v>0</v>
      </c>
      <c r="B6875" t="s">
        <v>67</v>
      </c>
      <c r="C6875" t="s">
        <v>340</v>
      </c>
      <c r="D6875" t="s">
        <v>703</v>
      </c>
      <c r="F6875" t="s">
        <v>1861</v>
      </c>
      <c r="G6875" t="s">
        <v>5447</v>
      </c>
      <c r="H6875" t="s">
        <v>10156</v>
      </c>
      <c r="I6875" t="s">
        <v>17348</v>
      </c>
      <c r="J6875" t="s">
        <v>18892</v>
      </c>
      <c r="K6875">
        <v>10456</v>
      </c>
      <c r="L6875" t="s">
        <v>18958</v>
      </c>
      <c r="M6875" t="s">
        <v>18958</v>
      </c>
      <c r="O6875" t="s">
        <v>26534</v>
      </c>
      <c r="P6875" t="s">
        <v>26561</v>
      </c>
      <c r="R6875" t="s">
        <v>26578</v>
      </c>
      <c r="S6875" t="s">
        <v>18958</v>
      </c>
      <c r="U6875" t="s">
        <v>26604</v>
      </c>
      <c r="W6875" t="s">
        <v>781</v>
      </c>
      <c r="X6875">
        <v>1047</v>
      </c>
      <c r="Y6875" t="s">
        <v>26650</v>
      </c>
      <c r="Z6875" t="s">
        <v>26663</v>
      </c>
      <c r="AB6875" t="s">
        <v>28136</v>
      </c>
      <c r="AD6875" t="s">
        <v>38185</v>
      </c>
      <c r="AE6875">
        <v>131</v>
      </c>
      <c r="AF6875" t="s">
        <v>45541</v>
      </c>
      <c r="AG6875" t="s">
        <v>19330</v>
      </c>
      <c r="AH6875">
        <v>13</v>
      </c>
      <c r="AI6875">
        <v>2</v>
      </c>
      <c r="AJ6875">
        <v>0</v>
      </c>
      <c r="AK6875">
        <v>61.02</v>
      </c>
      <c r="AN6875" t="s">
        <v>45581</v>
      </c>
      <c r="AO6875">
        <v>10044</v>
      </c>
      <c r="AU6875">
        <v>0</v>
      </c>
      <c r="AW6875" t="s">
        <v>336</v>
      </c>
    </row>
    <row r="6876" spans="1:49">
      <c r="A6876" s="1">
        <f>HYPERLINK("https://lsnyc.legalserver.org/matter/dynamic-profile/view/1886350","18-1886350")</f>
        <v>0</v>
      </c>
      <c r="B6876" t="s">
        <v>67</v>
      </c>
      <c r="C6876" t="s">
        <v>340</v>
      </c>
      <c r="D6876" t="s">
        <v>703</v>
      </c>
      <c r="F6876" t="s">
        <v>1577</v>
      </c>
      <c r="G6876" t="s">
        <v>6042</v>
      </c>
      <c r="H6876" t="s">
        <v>10156</v>
      </c>
      <c r="I6876" t="s">
        <v>17352</v>
      </c>
      <c r="J6876" t="s">
        <v>18892</v>
      </c>
      <c r="K6876">
        <v>10456</v>
      </c>
      <c r="L6876" t="s">
        <v>18958</v>
      </c>
      <c r="M6876" t="s">
        <v>18958</v>
      </c>
      <c r="N6876" t="s">
        <v>20062</v>
      </c>
      <c r="O6876" t="s">
        <v>26534</v>
      </c>
      <c r="P6876" t="s">
        <v>26561</v>
      </c>
      <c r="R6876" t="s">
        <v>26578</v>
      </c>
      <c r="S6876" t="s">
        <v>18958</v>
      </c>
      <c r="U6876" t="s">
        <v>26604</v>
      </c>
      <c r="W6876" t="s">
        <v>781</v>
      </c>
      <c r="X6876">
        <v>942</v>
      </c>
      <c r="Y6876" t="s">
        <v>26650</v>
      </c>
      <c r="Z6876" t="s">
        <v>26663</v>
      </c>
      <c r="AB6876" t="s">
        <v>28135</v>
      </c>
      <c r="AD6876" t="s">
        <v>38184</v>
      </c>
      <c r="AE6876">
        <v>131</v>
      </c>
      <c r="AF6876" t="s">
        <v>45541</v>
      </c>
      <c r="AG6876" t="s">
        <v>19330</v>
      </c>
      <c r="AH6876">
        <v>27</v>
      </c>
      <c r="AI6876">
        <v>1</v>
      </c>
      <c r="AJ6876">
        <v>0</v>
      </c>
      <c r="AK6876">
        <v>82.73</v>
      </c>
      <c r="AN6876" t="s">
        <v>45581</v>
      </c>
      <c r="AO6876">
        <v>10044</v>
      </c>
      <c r="AU6876">
        <v>0</v>
      </c>
      <c r="AW6876" t="s">
        <v>336</v>
      </c>
    </row>
    <row r="6877" spans="1:49">
      <c r="A6877" s="1">
        <f>HYPERLINK("https://lsnyc.legalserver.org/matter/dynamic-profile/view/1886507","18-1886507")</f>
        <v>0</v>
      </c>
      <c r="B6877" t="s">
        <v>55</v>
      </c>
      <c r="C6877" t="s">
        <v>340</v>
      </c>
      <c r="D6877" t="s">
        <v>706</v>
      </c>
      <c r="F6877" t="s">
        <v>918</v>
      </c>
      <c r="G6877" t="s">
        <v>5265</v>
      </c>
      <c r="H6877" t="s">
        <v>12199</v>
      </c>
      <c r="I6877" t="s">
        <v>17349</v>
      </c>
      <c r="J6877" t="s">
        <v>18892</v>
      </c>
      <c r="K6877">
        <v>10460</v>
      </c>
      <c r="L6877" t="s">
        <v>18958</v>
      </c>
      <c r="M6877" t="s">
        <v>18958</v>
      </c>
      <c r="N6877" t="s">
        <v>23962</v>
      </c>
      <c r="O6877" t="s">
        <v>26526</v>
      </c>
      <c r="P6877" t="s">
        <v>26560</v>
      </c>
      <c r="R6877" t="s">
        <v>26578</v>
      </c>
      <c r="S6877" t="s">
        <v>18958</v>
      </c>
      <c r="U6877" t="s">
        <v>26604</v>
      </c>
      <c r="W6877" t="s">
        <v>781</v>
      </c>
      <c r="X6877">
        <v>241</v>
      </c>
      <c r="Y6877" t="s">
        <v>26650</v>
      </c>
      <c r="Z6877" t="s">
        <v>26663</v>
      </c>
      <c r="AB6877" t="s">
        <v>31956</v>
      </c>
      <c r="AD6877" t="s">
        <v>42256</v>
      </c>
      <c r="AE6877">
        <v>168</v>
      </c>
      <c r="AF6877" t="s">
        <v>45541</v>
      </c>
      <c r="AG6877" t="s">
        <v>26530</v>
      </c>
      <c r="AH6877">
        <v>2</v>
      </c>
      <c r="AI6877">
        <v>1</v>
      </c>
      <c r="AJ6877">
        <v>0</v>
      </c>
      <c r="AK6877">
        <v>74.14</v>
      </c>
      <c r="AN6877" t="s">
        <v>7439</v>
      </c>
      <c r="AO6877">
        <v>9000</v>
      </c>
      <c r="AU6877">
        <v>0</v>
      </c>
      <c r="AW6877" t="s">
        <v>46847</v>
      </c>
    </row>
    <row r="6878" spans="1:49">
      <c r="A6878" s="1">
        <f>HYPERLINK("https://lsnyc.legalserver.org/matter/dynamic-profile/view/1886510","18-1886510")</f>
        <v>0</v>
      </c>
      <c r="B6878" t="s">
        <v>55</v>
      </c>
      <c r="C6878" t="s">
        <v>340</v>
      </c>
      <c r="D6878" t="s">
        <v>706</v>
      </c>
      <c r="F6878" t="s">
        <v>999</v>
      </c>
      <c r="G6878" t="s">
        <v>8163</v>
      </c>
      <c r="H6878" t="s">
        <v>12199</v>
      </c>
      <c r="I6878" t="s">
        <v>17277</v>
      </c>
      <c r="J6878" t="s">
        <v>18892</v>
      </c>
      <c r="K6878">
        <v>10460</v>
      </c>
      <c r="L6878" t="s">
        <v>18958</v>
      </c>
      <c r="M6878" t="s">
        <v>18958</v>
      </c>
      <c r="N6878" t="s">
        <v>23962</v>
      </c>
      <c r="O6878" t="s">
        <v>26526</v>
      </c>
      <c r="P6878" t="s">
        <v>26560</v>
      </c>
      <c r="R6878" t="s">
        <v>26578</v>
      </c>
      <c r="S6878" t="s">
        <v>18958</v>
      </c>
      <c r="U6878" t="s">
        <v>26604</v>
      </c>
      <c r="W6878" t="s">
        <v>781</v>
      </c>
      <c r="X6878">
        <v>326</v>
      </c>
      <c r="Y6878" t="s">
        <v>26650</v>
      </c>
      <c r="Z6878" t="s">
        <v>26663</v>
      </c>
      <c r="AB6878" t="s">
        <v>31957</v>
      </c>
      <c r="AD6878" t="s">
        <v>42257</v>
      </c>
      <c r="AE6878">
        <v>168</v>
      </c>
      <c r="AF6878" t="s">
        <v>45547</v>
      </c>
      <c r="AG6878" t="s">
        <v>45561</v>
      </c>
      <c r="AH6878">
        <v>5</v>
      </c>
      <c r="AI6878">
        <v>1</v>
      </c>
      <c r="AJ6878">
        <v>0</v>
      </c>
      <c r="AK6878">
        <v>74.14</v>
      </c>
      <c r="AN6878" t="s">
        <v>45581</v>
      </c>
      <c r="AO6878">
        <v>9000</v>
      </c>
      <c r="AU6878">
        <v>0</v>
      </c>
      <c r="AW6878" t="s">
        <v>46847</v>
      </c>
    </row>
    <row r="6879" spans="1:49">
      <c r="A6879" s="1">
        <f>HYPERLINK("https://lsnyc.legalserver.org/matter/dynamic-profile/view/1886508","18-1886508")</f>
        <v>0</v>
      </c>
      <c r="B6879" t="s">
        <v>55</v>
      </c>
      <c r="C6879" t="s">
        <v>340</v>
      </c>
      <c r="D6879" t="s">
        <v>706</v>
      </c>
      <c r="F6879" t="s">
        <v>1328</v>
      </c>
      <c r="G6879" t="s">
        <v>8164</v>
      </c>
      <c r="H6879" t="s">
        <v>12199</v>
      </c>
      <c r="I6879" t="s">
        <v>17347</v>
      </c>
      <c r="J6879" t="s">
        <v>18892</v>
      </c>
      <c r="K6879">
        <v>10460</v>
      </c>
      <c r="L6879" t="s">
        <v>18958</v>
      </c>
      <c r="M6879" t="s">
        <v>18958</v>
      </c>
      <c r="N6879" t="s">
        <v>23962</v>
      </c>
      <c r="O6879" t="s">
        <v>26526</v>
      </c>
      <c r="P6879" t="s">
        <v>26560</v>
      </c>
      <c r="R6879" t="s">
        <v>26578</v>
      </c>
      <c r="S6879" t="s">
        <v>18958</v>
      </c>
      <c r="U6879" t="s">
        <v>26604</v>
      </c>
      <c r="W6879" t="s">
        <v>781</v>
      </c>
      <c r="X6879">
        <v>304</v>
      </c>
      <c r="Y6879" t="s">
        <v>26650</v>
      </c>
      <c r="Z6879" t="s">
        <v>26663</v>
      </c>
      <c r="AB6879" t="s">
        <v>31958</v>
      </c>
      <c r="AD6879" t="s">
        <v>42258</v>
      </c>
      <c r="AE6879">
        <v>168</v>
      </c>
      <c r="AF6879" t="s">
        <v>45541</v>
      </c>
      <c r="AG6879" t="s">
        <v>45556</v>
      </c>
      <c r="AH6879">
        <v>1</v>
      </c>
      <c r="AI6879">
        <v>1</v>
      </c>
      <c r="AJ6879">
        <v>0</v>
      </c>
      <c r="AK6879">
        <v>103.79</v>
      </c>
      <c r="AN6879" t="s">
        <v>7439</v>
      </c>
      <c r="AO6879">
        <v>12600</v>
      </c>
      <c r="AU6879">
        <v>0</v>
      </c>
      <c r="AW6879" t="s">
        <v>46847</v>
      </c>
    </row>
    <row r="6880" spans="1:49">
      <c r="A6880" s="1">
        <f>HYPERLINK("https://lsnyc.legalserver.org/matter/dynamic-profile/view/1886503","18-1886503")</f>
        <v>0</v>
      </c>
      <c r="B6880" t="s">
        <v>55</v>
      </c>
      <c r="C6880" t="s">
        <v>340</v>
      </c>
      <c r="D6880" t="s">
        <v>706</v>
      </c>
      <c r="F6880" t="s">
        <v>1091</v>
      </c>
      <c r="G6880" t="s">
        <v>6824</v>
      </c>
      <c r="H6880" t="s">
        <v>12199</v>
      </c>
      <c r="I6880" t="s">
        <v>17695</v>
      </c>
      <c r="J6880" t="s">
        <v>18892</v>
      </c>
      <c r="K6880">
        <v>10460</v>
      </c>
      <c r="L6880" t="s">
        <v>18958</v>
      </c>
      <c r="M6880" t="s">
        <v>18958</v>
      </c>
      <c r="N6880" t="s">
        <v>23962</v>
      </c>
      <c r="O6880" t="s">
        <v>26526</v>
      </c>
      <c r="P6880" t="s">
        <v>26560</v>
      </c>
      <c r="R6880" t="s">
        <v>26578</v>
      </c>
      <c r="S6880" t="s">
        <v>18958</v>
      </c>
      <c r="U6880" t="s">
        <v>26604</v>
      </c>
      <c r="W6880" t="s">
        <v>781</v>
      </c>
      <c r="X6880">
        <v>1600</v>
      </c>
      <c r="Y6880" t="s">
        <v>26650</v>
      </c>
      <c r="Z6880" t="s">
        <v>26663</v>
      </c>
      <c r="AB6880" t="s">
        <v>31959</v>
      </c>
      <c r="AD6880" t="s">
        <v>42259</v>
      </c>
      <c r="AE6880">
        <v>168</v>
      </c>
      <c r="AF6880" t="s">
        <v>45541</v>
      </c>
      <c r="AG6880" t="s">
        <v>19330</v>
      </c>
      <c r="AH6880">
        <v>18</v>
      </c>
      <c r="AI6880">
        <v>1</v>
      </c>
      <c r="AJ6880">
        <v>0</v>
      </c>
      <c r="AK6880">
        <v>128.5</v>
      </c>
      <c r="AN6880" t="s">
        <v>7439</v>
      </c>
      <c r="AO6880">
        <v>15600</v>
      </c>
      <c r="AU6880">
        <v>0.5</v>
      </c>
      <c r="AV6880" t="s">
        <v>801</v>
      </c>
      <c r="AW6880" t="s">
        <v>46847</v>
      </c>
    </row>
    <row r="6881" spans="1:49">
      <c r="A6881" s="1">
        <f>HYPERLINK("https://lsnyc.legalserver.org/matter/dynamic-profile/view/1886506","18-1886506")</f>
        <v>0</v>
      </c>
      <c r="B6881" t="s">
        <v>55</v>
      </c>
      <c r="C6881" t="s">
        <v>340</v>
      </c>
      <c r="D6881" t="s">
        <v>706</v>
      </c>
      <c r="F6881" t="s">
        <v>873</v>
      </c>
      <c r="G6881" t="s">
        <v>8165</v>
      </c>
      <c r="H6881" t="s">
        <v>12199</v>
      </c>
      <c r="J6881" t="s">
        <v>18892</v>
      </c>
      <c r="K6881">
        <v>10460</v>
      </c>
      <c r="L6881" t="s">
        <v>18958</v>
      </c>
      <c r="M6881" t="s">
        <v>18958</v>
      </c>
      <c r="N6881" t="s">
        <v>23962</v>
      </c>
      <c r="O6881" t="s">
        <v>26526</v>
      </c>
      <c r="P6881" t="s">
        <v>26560</v>
      </c>
      <c r="R6881" t="s">
        <v>26578</v>
      </c>
      <c r="S6881" t="s">
        <v>18958</v>
      </c>
      <c r="U6881" t="s">
        <v>26604</v>
      </c>
      <c r="W6881" t="s">
        <v>781</v>
      </c>
      <c r="X6881">
        <v>1367</v>
      </c>
      <c r="Y6881" t="s">
        <v>26650</v>
      </c>
      <c r="Z6881" t="s">
        <v>26663</v>
      </c>
      <c r="AB6881" t="s">
        <v>31960</v>
      </c>
      <c r="AD6881" t="s">
        <v>42260</v>
      </c>
      <c r="AE6881">
        <v>0</v>
      </c>
      <c r="AF6881" t="s">
        <v>20460</v>
      </c>
      <c r="AG6881" t="s">
        <v>19330</v>
      </c>
      <c r="AH6881">
        <v>34</v>
      </c>
      <c r="AI6881">
        <v>1</v>
      </c>
      <c r="AJ6881">
        <v>0</v>
      </c>
      <c r="AK6881">
        <v>494.11</v>
      </c>
      <c r="AN6881" t="s">
        <v>7439</v>
      </c>
      <c r="AO6881">
        <v>59985</v>
      </c>
      <c r="AU6881">
        <v>0</v>
      </c>
      <c r="AW6881" t="s">
        <v>46847</v>
      </c>
    </row>
    <row r="6882" spans="1:49">
      <c r="A6882" s="1">
        <f>HYPERLINK("https://lsnyc.legalserver.org/matter/dynamic-profile/view/1886871","19-1886871")</f>
        <v>0</v>
      </c>
      <c r="B6882" t="s">
        <v>67</v>
      </c>
      <c r="C6882" t="s">
        <v>340</v>
      </c>
      <c r="D6882" t="s">
        <v>713</v>
      </c>
      <c r="F6882" t="s">
        <v>1026</v>
      </c>
      <c r="G6882" t="s">
        <v>6202</v>
      </c>
      <c r="H6882" t="s">
        <v>10156</v>
      </c>
      <c r="I6882" t="s">
        <v>17302</v>
      </c>
      <c r="J6882" t="s">
        <v>18892</v>
      </c>
      <c r="K6882">
        <v>10456</v>
      </c>
      <c r="L6882" t="s">
        <v>18958</v>
      </c>
      <c r="M6882" t="s">
        <v>18958</v>
      </c>
      <c r="N6882" t="s">
        <v>23965</v>
      </c>
      <c r="O6882" t="s">
        <v>26534</v>
      </c>
      <c r="P6882" t="s">
        <v>26561</v>
      </c>
      <c r="R6882" t="s">
        <v>26578</v>
      </c>
      <c r="S6882" t="s">
        <v>18958</v>
      </c>
      <c r="U6882" t="s">
        <v>26604</v>
      </c>
      <c r="W6882" t="s">
        <v>781</v>
      </c>
      <c r="X6882">
        <v>1200.58</v>
      </c>
      <c r="Y6882" t="s">
        <v>26650</v>
      </c>
      <c r="Z6882" t="s">
        <v>26663</v>
      </c>
      <c r="AB6882" t="s">
        <v>28428</v>
      </c>
      <c r="AD6882" t="s">
        <v>38483</v>
      </c>
      <c r="AE6882">
        <v>131</v>
      </c>
      <c r="AF6882" t="s">
        <v>45541</v>
      </c>
      <c r="AG6882" t="s">
        <v>19330</v>
      </c>
      <c r="AH6882">
        <v>7</v>
      </c>
      <c r="AI6882">
        <v>3</v>
      </c>
      <c r="AJ6882">
        <v>1</v>
      </c>
      <c r="AK6882">
        <v>102.96</v>
      </c>
      <c r="AN6882" t="s">
        <v>45581</v>
      </c>
      <c r="AO6882">
        <v>25844</v>
      </c>
      <c r="AU6882">
        <v>0</v>
      </c>
      <c r="AW6882" t="s">
        <v>336</v>
      </c>
    </row>
    <row r="6883" spans="1:49">
      <c r="A6883" s="1">
        <f>HYPERLINK("https://lsnyc.legalserver.org/matter/dynamic-profile/view/1886865","19-1886865")</f>
        <v>0</v>
      </c>
      <c r="B6883" t="s">
        <v>67</v>
      </c>
      <c r="C6883" t="s">
        <v>340</v>
      </c>
      <c r="D6883" t="s">
        <v>713</v>
      </c>
      <c r="F6883" t="s">
        <v>1785</v>
      </c>
      <c r="G6883" t="s">
        <v>5978</v>
      </c>
      <c r="H6883" t="s">
        <v>10156</v>
      </c>
      <c r="I6883" t="s">
        <v>17301</v>
      </c>
      <c r="J6883" t="s">
        <v>18892</v>
      </c>
      <c r="K6883">
        <v>10456</v>
      </c>
      <c r="L6883" t="s">
        <v>18958</v>
      </c>
      <c r="M6883" t="s">
        <v>18958</v>
      </c>
      <c r="N6883" t="s">
        <v>20062</v>
      </c>
      <c r="O6883" t="s">
        <v>26534</v>
      </c>
      <c r="P6883" t="s">
        <v>26561</v>
      </c>
      <c r="R6883" t="s">
        <v>26578</v>
      </c>
      <c r="S6883" t="s">
        <v>18958</v>
      </c>
      <c r="U6883" t="s">
        <v>26604</v>
      </c>
      <c r="W6883" t="s">
        <v>781</v>
      </c>
      <c r="X6883">
        <v>1330.07</v>
      </c>
      <c r="Y6883" t="s">
        <v>26650</v>
      </c>
      <c r="Z6883" t="s">
        <v>26663</v>
      </c>
      <c r="AB6883" t="s">
        <v>28022</v>
      </c>
      <c r="AD6883" t="s">
        <v>38071</v>
      </c>
      <c r="AE6883">
        <v>131</v>
      </c>
      <c r="AF6883" t="s">
        <v>45541</v>
      </c>
      <c r="AG6883" t="s">
        <v>19330</v>
      </c>
      <c r="AH6883">
        <v>3</v>
      </c>
      <c r="AI6883">
        <v>1</v>
      </c>
      <c r="AJ6883">
        <v>2</v>
      </c>
      <c r="AK6883">
        <v>125.12</v>
      </c>
      <c r="AN6883" t="s">
        <v>45581</v>
      </c>
      <c r="AO6883">
        <v>26000</v>
      </c>
      <c r="AU6883">
        <v>0</v>
      </c>
      <c r="AW6883" t="s">
        <v>336</v>
      </c>
    </row>
    <row r="6884" spans="1:49">
      <c r="A6884" s="1">
        <f>HYPERLINK("https://lsnyc.legalserver.org/matter/dynamic-profile/view/1886867","19-1886867")</f>
        <v>0</v>
      </c>
      <c r="B6884" t="s">
        <v>67</v>
      </c>
      <c r="C6884" t="s">
        <v>340</v>
      </c>
      <c r="D6884" t="s">
        <v>713</v>
      </c>
      <c r="F6884" t="s">
        <v>886</v>
      </c>
      <c r="G6884" t="s">
        <v>5959</v>
      </c>
      <c r="H6884" t="s">
        <v>10156</v>
      </c>
      <c r="I6884" t="s">
        <v>17288</v>
      </c>
      <c r="J6884" t="s">
        <v>18892</v>
      </c>
      <c r="K6884">
        <v>10456</v>
      </c>
      <c r="L6884" t="s">
        <v>18958</v>
      </c>
      <c r="M6884" t="s">
        <v>18958</v>
      </c>
      <c r="N6884" t="s">
        <v>20062</v>
      </c>
      <c r="O6884" t="s">
        <v>26534</v>
      </c>
      <c r="P6884" t="s">
        <v>26561</v>
      </c>
      <c r="R6884" t="s">
        <v>26578</v>
      </c>
      <c r="S6884" t="s">
        <v>18958</v>
      </c>
      <c r="U6884" t="s">
        <v>26604</v>
      </c>
      <c r="W6884" t="s">
        <v>781</v>
      </c>
      <c r="X6884">
        <v>1035</v>
      </c>
      <c r="Y6884" t="s">
        <v>26650</v>
      </c>
      <c r="Z6884" t="s">
        <v>26663</v>
      </c>
      <c r="AB6884" t="s">
        <v>31961</v>
      </c>
      <c r="AD6884" t="s">
        <v>42261</v>
      </c>
      <c r="AE6884">
        <v>131</v>
      </c>
      <c r="AF6884" t="s">
        <v>45541</v>
      </c>
      <c r="AG6884" t="s">
        <v>19330</v>
      </c>
      <c r="AH6884">
        <v>20</v>
      </c>
      <c r="AI6884">
        <v>3</v>
      </c>
      <c r="AJ6884">
        <v>0</v>
      </c>
      <c r="AK6884">
        <v>346.49</v>
      </c>
      <c r="AN6884" t="s">
        <v>7439</v>
      </c>
      <c r="AO6884">
        <v>72000</v>
      </c>
      <c r="AU6884">
        <v>0</v>
      </c>
      <c r="AW6884" t="s">
        <v>336</v>
      </c>
    </row>
    <row r="6885" spans="1:49">
      <c r="A6885" s="1">
        <f>HYPERLINK("https://lsnyc.legalserver.org/matter/dynamic-profile/view/1887040","19-1887040")</f>
        <v>0</v>
      </c>
      <c r="B6885" t="s">
        <v>75</v>
      </c>
      <c r="C6885" t="s">
        <v>340</v>
      </c>
      <c r="D6885" t="s">
        <v>668</v>
      </c>
      <c r="F6885" t="s">
        <v>1288</v>
      </c>
      <c r="G6885" t="s">
        <v>6106</v>
      </c>
      <c r="H6885" t="s">
        <v>12169</v>
      </c>
      <c r="I6885" t="s">
        <v>17349</v>
      </c>
      <c r="J6885" t="s">
        <v>18892</v>
      </c>
      <c r="K6885">
        <v>10453</v>
      </c>
      <c r="L6885" t="s">
        <v>18959</v>
      </c>
      <c r="M6885" t="s">
        <v>18959</v>
      </c>
      <c r="O6885" t="s">
        <v>26534</v>
      </c>
      <c r="P6885" t="s">
        <v>26561</v>
      </c>
      <c r="R6885" t="s">
        <v>26578</v>
      </c>
      <c r="S6885" t="s">
        <v>18958</v>
      </c>
      <c r="U6885" t="s">
        <v>26604</v>
      </c>
      <c r="W6885" t="s">
        <v>781</v>
      </c>
      <c r="X6885">
        <v>0</v>
      </c>
      <c r="Y6885" t="s">
        <v>26650</v>
      </c>
      <c r="Z6885" t="s">
        <v>26663</v>
      </c>
      <c r="AB6885" t="s">
        <v>29450</v>
      </c>
      <c r="AC6885" t="s">
        <v>35448</v>
      </c>
      <c r="AD6885" t="s">
        <v>39511</v>
      </c>
      <c r="AE6885">
        <v>49</v>
      </c>
      <c r="AF6885" t="s">
        <v>45541</v>
      </c>
      <c r="AG6885" t="s">
        <v>19330</v>
      </c>
      <c r="AH6885">
        <v>0</v>
      </c>
      <c r="AI6885">
        <v>2</v>
      </c>
      <c r="AJ6885">
        <v>2</v>
      </c>
      <c r="AK6885">
        <v>61.39</v>
      </c>
      <c r="AN6885" t="s">
        <v>7439</v>
      </c>
      <c r="AO6885">
        <v>15408</v>
      </c>
      <c r="AU6885">
        <v>12.5</v>
      </c>
      <c r="AV6885" t="s">
        <v>724</v>
      </c>
      <c r="AW6885" t="s">
        <v>46847</v>
      </c>
    </row>
    <row r="6886" spans="1:49">
      <c r="A6886" s="1">
        <f>HYPERLINK("https://lsnyc.legalserver.org/matter/dynamic-profile/view/1887093","19-1887093")</f>
        <v>0</v>
      </c>
      <c r="B6886" t="s">
        <v>75</v>
      </c>
      <c r="C6886" t="s">
        <v>340</v>
      </c>
      <c r="D6886" t="s">
        <v>668</v>
      </c>
      <c r="F6886" t="s">
        <v>1288</v>
      </c>
      <c r="G6886" t="s">
        <v>6106</v>
      </c>
      <c r="H6886" t="s">
        <v>12169</v>
      </c>
      <c r="I6886" t="s">
        <v>17349</v>
      </c>
      <c r="J6886" t="s">
        <v>18892</v>
      </c>
      <c r="K6886">
        <v>10453</v>
      </c>
      <c r="L6886" t="s">
        <v>18958</v>
      </c>
      <c r="M6886" t="s">
        <v>18958</v>
      </c>
      <c r="O6886" t="s">
        <v>18997</v>
      </c>
      <c r="P6886" t="s">
        <v>26562</v>
      </c>
      <c r="R6886" t="s">
        <v>26578</v>
      </c>
      <c r="S6886" t="s">
        <v>18958</v>
      </c>
      <c r="U6886" t="s">
        <v>26604</v>
      </c>
      <c r="W6886" t="s">
        <v>781</v>
      </c>
      <c r="X6886">
        <v>1497.33</v>
      </c>
      <c r="Y6886" t="s">
        <v>26650</v>
      </c>
      <c r="Z6886" t="s">
        <v>26663</v>
      </c>
      <c r="AB6886" t="s">
        <v>29450</v>
      </c>
      <c r="AC6886" t="s">
        <v>35448</v>
      </c>
      <c r="AD6886" t="s">
        <v>39511</v>
      </c>
      <c r="AE6886">
        <v>49</v>
      </c>
      <c r="AF6886" t="s">
        <v>45541</v>
      </c>
      <c r="AG6886" t="s">
        <v>45558</v>
      </c>
      <c r="AH6886">
        <v>8</v>
      </c>
      <c r="AI6886">
        <v>2</v>
      </c>
      <c r="AJ6886">
        <v>2</v>
      </c>
      <c r="AK6886">
        <v>61.39</v>
      </c>
      <c r="AN6886" t="s">
        <v>7439</v>
      </c>
      <c r="AO6886">
        <v>15408</v>
      </c>
      <c r="AU6886">
        <v>18.7</v>
      </c>
      <c r="AV6886" t="s">
        <v>825</v>
      </c>
      <c r="AW6886" t="s">
        <v>46847</v>
      </c>
    </row>
    <row r="6887" spans="1:49">
      <c r="A6887" s="1">
        <f>HYPERLINK("https://lsnyc.legalserver.org/matter/dynamic-profile/view/1887046","19-1887046")</f>
        <v>0</v>
      </c>
      <c r="B6887" t="s">
        <v>75</v>
      </c>
      <c r="C6887" t="s">
        <v>340</v>
      </c>
      <c r="D6887" t="s">
        <v>668</v>
      </c>
      <c r="F6887" t="s">
        <v>3808</v>
      </c>
      <c r="G6887" t="s">
        <v>5147</v>
      </c>
      <c r="H6887" t="s">
        <v>12169</v>
      </c>
      <c r="I6887" t="s">
        <v>17366</v>
      </c>
      <c r="J6887" t="s">
        <v>18892</v>
      </c>
      <c r="K6887">
        <v>10453</v>
      </c>
      <c r="L6887" t="s">
        <v>18958</v>
      </c>
      <c r="M6887" t="s">
        <v>18958</v>
      </c>
      <c r="N6887" t="s">
        <v>23964</v>
      </c>
      <c r="O6887" t="s">
        <v>26526</v>
      </c>
      <c r="P6887" t="s">
        <v>26560</v>
      </c>
      <c r="R6887" t="s">
        <v>26578</v>
      </c>
      <c r="S6887" t="s">
        <v>18958</v>
      </c>
      <c r="U6887" t="s">
        <v>26604</v>
      </c>
      <c r="W6887" t="s">
        <v>781</v>
      </c>
      <c r="X6887">
        <v>0</v>
      </c>
      <c r="Y6887" t="s">
        <v>26650</v>
      </c>
      <c r="Z6887" t="s">
        <v>26663</v>
      </c>
      <c r="AB6887" t="s">
        <v>31962</v>
      </c>
      <c r="AD6887" t="s">
        <v>42262</v>
      </c>
      <c r="AE6887">
        <v>49</v>
      </c>
      <c r="AF6887" t="s">
        <v>45541</v>
      </c>
      <c r="AG6887" t="s">
        <v>19330</v>
      </c>
      <c r="AH6887">
        <v>0</v>
      </c>
      <c r="AI6887">
        <v>1</v>
      </c>
      <c r="AJ6887">
        <v>2</v>
      </c>
      <c r="AK6887">
        <v>75.06999999999999</v>
      </c>
      <c r="AN6887" t="s">
        <v>7439</v>
      </c>
      <c r="AO6887">
        <v>15600</v>
      </c>
      <c r="AU6887">
        <v>0</v>
      </c>
      <c r="AW6887" t="s">
        <v>46847</v>
      </c>
    </row>
    <row r="6888" spans="1:49">
      <c r="A6888" s="1">
        <f>HYPERLINK("https://lsnyc.legalserver.org/matter/dynamic-profile/view/1887089","19-1887089")</f>
        <v>0</v>
      </c>
      <c r="B6888" t="s">
        <v>75</v>
      </c>
      <c r="C6888" t="s">
        <v>340</v>
      </c>
      <c r="D6888" t="s">
        <v>668</v>
      </c>
      <c r="F6888" t="s">
        <v>3808</v>
      </c>
      <c r="G6888" t="s">
        <v>5147</v>
      </c>
      <c r="H6888" t="s">
        <v>12169</v>
      </c>
      <c r="I6888" t="s">
        <v>17366</v>
      </c>
      <c r="J6888" t="s">
        <v>18892</v>
      </c>
      <c r="K6888">
        <v>10453</v>
      </c>
      <c r="L6888" t="s">
        <v>18958</v>
      </c>
      <c r="M6888" t="s">
        <v>18958</v>
      </c>
      <c r="O6888" t="s">
        <v>18997</v>
      </c>
      <c r="P6888" t="s">
        <v>26562</v>
      </c>
      <c r="R6888" t="s">
        <v>26578</v>
      </c>
      <c r="S6888" t="s">
        <v>18958</v>
      </c>
      <c r="U6888" t="s">
        <v>26604</v>
      </c>
      <c r="W6888" t="s">
        <v>781</v>
      </c>
      <c r="X6888">
        <v>948</v>
      </c>
      <c r="Y6888" t="s">
        <v>26650</v>
      </c>
      <c r="Z6888" t="s">
        <v>26663</v>
      </c>
      <c r="AB6888" t="s">
        <v>31962</v>
      </c>
      <c r="AD6888" t="s">
        <v>42262</v>
      </c>
      <c r="AE6888">
        <v>49</v>
      </c>
      <c r="AF6888" t="s">
        <v>45541</v>
      </c>
      <c r="AG6888" t="s">
        <v>19330</v>
      </c>
      <c r="AH6888">
        <v>3</v>
      </c>
      <c r="AI6888">
        <v>1</v>
      </c>
      <c r="AJ6888">
        <v>2</v>
      </c>
      <c r="AK6888">
        <v>75.06999999999999</v>
      </c>
      <c r="AN6888" t="s">
        <v>7439</v>
      </c>
      <c r="AO6888">
        <v>15600</v>
      </c>
      <c r="AU6888">
        <v>0</v>
      </c>
      <c r="AW6888" t="s">
        <v>46847</v>
      </c>
    </row>
    <row r="6889" spans="1:49">
      <c r="A6889" s="1">
        <f>HYPERLINK("https://lsnyc.legalserver.org/matter/dynamic-profile/view/1887065","19-1887065")</f>
        <v>0</v>
      </c>
      <c r="B6889" t="s">
        <v>75</v>
      </c>
      <c r="C6889" t="s">
        <v>340</v>
      </c>
      <c r="D6889" t="s">
        <v>668</v>
      </c>
      <c r="F6889" t="s">
        <v>999</v>
      </c>
      <c r="G6889" t="s">
        <v>4588</v>
      </c>
      <c r="H6889" t="s">
        <v>12169</v>
      </c>
      <c r="I6889" t="s">
        <v>17362</v>
      </c>
      <c r="J6889" t="s">
        <v>18892</v>
      </c>
      <c r="K6889">
        <v>10453</v>
      </c>
      <c r="L6889" t="s">
        <v>18958</v>
      </c>
      <c r="M6889" t="s">
        <v>18958</v>
      </c>
      <c r="O6889" t="s">
        <v>26534</v>
      </c>
      <c r="P6889" t="s">
        <v>26562</v>
      </c>
      <c r="R6889" t="s">
        <v>26578</v>
      </c>
      <c r="S6889" t="s">
        <v>18958</v>
      </c>
      <c r="U6889" t="s">
        <v>26604</v>
      </c>
      <c r="W6889" t="s">
        <v>781</v>
      </c>
      <c r="X6889">
        <v>1585</v>
      </c>
      <c r="Y6889" t="s">
        <v>26650</v>
      </c>
      <c r="Z6889" t="s">
        <v>26663</v>
      </c>
      <c r="AB6889" t="s">
        <v>31963</v>
      </c>
      <c r="AD6889" t="s">
        <v>42263</v>
      </c>
      <c r="AE6889">
        <v>49</v>
      </c>
      <c r="AF6889" t="s">
        <v>45541</v>
      </c>
      <c r="AG6889" t="s">
        <v>45556</v>
      </c>
      <c r="AH6889">
        <v>9</v>
      </c>
      <c r="AI6889">
        <v>2</v>
      </c>
      <c r="AJ6889">
        <v>0</v>
      </c>
      <c r="AK6889">
        <v>113.73</v>
      </c>
      <c r="AN6889" t="s">
        <v>7439</v>
      </c>
      <c r="AO6889">
        <v>18720</v>
      </c>
      <c r="AU6889">
        <v>0</v>
      </c>
      <c r="AW6889" t="s">
        <v>46847</v>
      </c>
    </row>
    <row r="6890" spans="1:49">
      <c r="A6890" s="1">
        <f>HYPERLINK("https://lsnyc.legalserver.org/matter/dynamic-profile/view/1887063","19-1887063")</f>
        <v>0</v>
      </c>
      <c r="B6890" t="s">
        <v>75</v>
      </c>
      <c r="C6890" t="s">
        <v>340</v>
      </c>
      <c r="D6890" t="s">
        <v>668</v>
      </c>
      <c r="F6890" t="s">
        <v>999</v>
      </c>
      <c r="G6890" t="s">
        <v>4588</v>
      </c>
      <c r="H6890" t="s">
        <v>12169</v>
      </c>
      <c r="I6890" t="s">
        <v>17362</v>
      </c>
      <c r="J6890" t="s">
        <v>18892</v>
      </c>
      <c r="K6890">
        <v>10453</v>
      </c>
      <c r="L6890" t="s">
        <v>18958</v>
      </c>
      <c r="M6890" t="s">
        <v>18958</v>
      </c>
      <c r="N6890" t="s">
        <v>23964</v>
      </c>
      <c r="O6890" t="s">
        <v>26526</v>
      </c>
      <c r="P6890" t="s">
        <v>26560</v>
      </c>
      <c r="R6890" t="s">
        <v>26578</v>
      </c>
      <c r="S6890" t="s">
        <v>18958</v>
      </c>
      <c r="U6890" t="s">
        <v>26604</v>
      </c>
      <c r="W6890" t="s">
        <v>781</v>
      </c>
      <c r="X6890">
        <v>1585</v>
      </c>
      <c r="Y6890" t="s">
        <v>26650</v>
      </c>
      <c r="Z6890" t="s">
        <v>26663</v>
      </c>
      <c r="AB6890" t="s">
        <v>31963</v>
      </c>
      <c r="AD6890" t="s">
        <v>42263</v>
      </c>
      <c r="AE6890">
        <v>49</v>
      </c>
      <c r="AF6890" t="s">
        <v>45541</v>
      </c>
      <c r="AG6890" t="s">
        <v>45556</v>
      </c>
      <c r="AH6890">
        <v>9</v>
      </c>
      <c r="AI6890">
        <v>2</v>
      </c>
      <c r="AJ6890">
        <v>0</v>
      </c>
      <c r="AK6890">
        <v>113.73</v>
      </c>
      <c r="AN6890" t="s">
        <v>7439</v>
      </c>
      <c r="AO6890">
        <v>18720</v>
      </c>
      <c r="AU6890">
        <v>0</v>
      </c>
      <c r="AW6890" t="s">
        <v>46847</v>
      </c>
    </row>
    <row r="6891" spans="1:49">
      <c r="A6891" s="1">
        <f>HYPERLINK("https://lsnyc.legalserver.org/matter/dynamic-profile/view/1887069","19-1887069")</f>
        <v>0</v>
      </c>
      <c r="B6891" t="s">
        <v>75</v>
      </c>
      <c r="C6891" t="s">
        <v>340</v>
      </c>
      <c r="D6891" t="s">
        <v>668</v>
      </c>
      <c r="F6891" t="s">
        <v>999</v>
      </c>
      <c r="G6891" t="s">
        <v>4588</v>
      </c>
      <c r="H6891" t="s">
        <v>12169</v>
      </c>
      <c r="I6891" t="s">
        <v>17362</v>
      </c>
      <c r="J6891" t="s">
        <v>18892</v>
      </c>
      <c r="K6891">
        <v>10453</v>
      </c>
      <c r="L6891" t="s">
        <v>18958</v>
      </c>
      <c r="M6891" t="s">
        <v>18958</v>
      </c>
      <c r="O6891" t="s">
        <v>18997</v>
      </c>
      <c r="P6891" t="s">
        <v>26562</v>
      </c>
      <c r="R6891" t="s">
        <v>26578</v>
      </c>
      <c r="S6891" t="s">
        <v>18958</v>
      </c>
      <c r="U6891" t="s">
        <v>26604</v>
      </c>
      <c r="W6891" t="s">
        <v>781</v>
      </c>
      <c r="X6891">
        <v>1585</v>
      </c>
      <c r="Y6891" t="s">
        <v>26650</v>
      </c>
      <c r="Z6891" t="s">
        <v>26663</v>
      </c>
      <c r="AB6891" t="s">
        <v>31963</v>
      </c>
      <c r="AD6891" t="s">
        <v>42263</v>
      </c>
      <c r="AE6891">
        <v>49</v>
      </c>
      <c r="AF6891" t="s">
        <v>45541</v>
      </c>
      <c r="AG6891" t="s">
        <v>45556</v>
      </c>
      <c r="AH6891">
        <v>9</v>
      </c>
      <c r="AI6891">
        <v>2</v>
      </c>
      <c r="AJ6891">
        <v>0</v>
      </c>
      <c r="AK6891">
        <v>113.73</v>
      </c>
      <c r="AN6891" t="s">
        <v>7439</v>
      </c>
      <c r="AO6891">
        <v>18720</v>
      </c>
      <c r="AU6891">
        <v>0</v>
      </c>
      <c r="AW6891" t="s">
        <v>46847</v>
      </c>
    </row>
    <row r="6892" spans="1:49">
      <c r="A6892" s="1">
        <f>HYPERLINK("https://lsnyc.legalserver.org/matter/dynamic-profile/view/1887051","19-1887051")</f>
        <v>0</v>
      </c>
      <c r="B6892" t="s">
        <v>75</v>
      </c>
      <c r="C6892" t="s">
        <v>340</v>
      </c>
      <c r="D6892" t="s">
        <v>668</v>
      </c>
      <c r="F6892" t="s">
        <v>1189</v>
      </c>
      <c r="G6892" t="s">
        <v>8166</v>
      </c>
      <c r="H6892" t="s">
        <v>12169</v>
      </c>
      <c r="I6892" t="s">
        <v>17344</v>
      </c>
      <c r="J6892" t="s">
        <v>18892</v>
      </c>
      <c r="K6892">
        <v>10453</v>
      </c>
      <c r="L6892" t="s">
        <v>18958</v>
      </c>
      <c r="M6892" t="s">
        <v>18958</v>
      </c>
      <c r="N6892" t="s">
        <v>23964</v>
      </c>
      <c r="O6892" t="s">
        <v>26526</v>
      </c>
      <c r="P6892" t="s">
        <v>26560</v>
      </c>
      <c r="R6892" t="s">
        <v>26578</v>
      </c>
      <c r="S6892" t="s">
        <v>18958</v>
      </c>
      <c r="U6892" t="s">
        <v>26604</v>
      </c>
      <c r="W6892" t="s">
        <v>781</v>
      </c>
      <c r="X6892">
        <v>968.91</v>
      </c>
      <c r="Y6892" t="s">
        <v>26650</v>
      </c>
      <c r="Z6892" t="s">
        <v>26663</v>
      </c>
      <c r="AB6892" t="s">
        <v>31964</v>
      </c>
      <c r="AD6892" t="s">
        <v>42264</v>
      </c>
      <c r="AE6892">
        <v>49</v>
      </c>
      <c r="AF6892" t="s">
        <v>45541</v>
      </c>
      <c r="AG6892" t="s">
        <v>19330</v>
      </c>
      <c r="AH6892">
        <v>14</v>
      </c>
      <c r="AI6892">
        <v>1</v>
      </c>
      <c r="AJ6892">
        <v>4</v>
      </c>
      <c r="AK6892">
        <v>139.68</v>
      </c>
      <c r="AN6892" t="s">
        <v>7439</v>
      </c>
      <c r="AO6892">
        <v>41095</v>
      </c>
      <c r="AU6892">
        <v>0</v>
      </c>
      <c r="AW6892" t="s">
        <v>46847</v>
      </c>
    </row>
    <row r="6893" spans="1:49">
      <c r="A6893" s="1">
        <f>HYPERLINK("https://lsnyc.legalserver.org/matter/dynamic-profile/view/1887071","19-1887071")</f>
        <v>0</v>
      </c>
      <c r="B6893" t="s">
        <v>75</v>
      </c>
      <c r="C6893" t="s">
        <v>340</v>
      </c>
      <c r="D6893" t="s">
        <v>668</v>
      </c>
      <c r="F6893" t="s">
        <v>1189</v>
      </c>
      <c r="G6893" t="s">
        <v>8166</v>
      </c>
      <c r="H6893" t="s">
        <v>12169</v>
      </c>
      <c r="I6893" t="s">
        <v>17344</v>
      </c>
      <c r="J6893" t="s">
        <v>18892</v>
      </c>
      <c r="K6893">
        <v>10453</v>
      </c>
      <c r="L6893" t="s">
        <v>18958</v>
      </c>
      <c r="M6893" t="s">
        <v>18958</v>
      </c>
      <c r="O6893" t="s">
        <v>18997</v>
      </c>
      <c r="P6893" t="s">
        <v>26562</v>
      </c>
      <c r="R6893" t="s">
        <v>26578</v>
      </c>
      <c r="S6893" t="s">
        <v>18958</v>
      </c>
      <c r="U6893" t="s">
        <v>26604</v>
      </c>
      <c r="W6893" t="s">
        <v>781</v>
      </c>
      <c r="X6893">
        <v>968.91</v>
      </c>
      <c r="Y6893" t="s">
        <v>26650</v>
      </c>
      <c r="Z6893" t="s">
        <v>26663</v>
      </c>
      <c r="AB6893" t="s">
        <v>31964</v>
      </c>
      <c r="AD6893" t="s">
        <v>42264</v>
      </c>
      <c r="AE6893">
        <v>49</v>
      </c>
      <c r="AF6893" t="s">
        <v>45541</v>
      </c>
      <c r="AG6893" t="s">
        <v>19330</v>
      </c>
      <c r="AH6893">
        <v>14</v>
      </c>
      <c r="AI6893">
        <v>1</v>
      </c>
      <c r="AJ6893">
        <v>4</v>
      </c>
      <c r="AK6893">
        <v>139.68</v>
      </c>
      <c r="AN6893" t="s">
        <v>7439</v>
      </c>
      <c r="AO6893">
        <v>41095</v>
      </c>
      <c r="AU6893">
        <v>0</v>
      </c>
      <c r="AW6893" t="s">
        <v>46847</v>
      </c>
    </row>
    <row r="6894" spans="1:49">
      <c r="A6894" s="1">
        <f>HYPERLINK("https://lsnyc.legalserver.org/matter/dynamic-profile/view/1891682","19-1891682")</f>
        <v>0</v>
      </c>
      <c r="B6894" t="s">
        <v>100</v>
      </c>
      <c r="C6894" t="s">
        <v>340</v>
      </c>
      <c r="D6894" t="s">
        <v>716</v>
      </c>
      <c r="F6894" t="s">
        <v>3019</v>
      </c>
      <c r="G6894" t="s">
        <v>994</v>
      </c>
      <c r="H6894" t="s">
        <v>13798</v>
      </c>
      <c r="I6894" t="s">
        <v>17545</v>
      </c>
      <c r="J6894" t="s">
        <v>18892</v>
      </c>
      <c r="K6894">
        <v>10453</v>
      </c>
      <c r="L6894" t="s">
        <v>18958</v>
      </c>
      <c r="M6894" t="s">
        <v>18958</v>
      </c>
      <c r="N6894" t="s">
        <v>23966</v>
      </c>
      <c r="O6894" t="s">
        <v>26526</v>
      </c>
      <c r="P6894" t="s">
        <v>26560</v>
      </c>
      <c r="R6894" t="s">
        <v>26578</v>
      </c>
      <c r="S6894" t="s">
        <v>18958</v>
      </c>
      <c r="U6894" t="s">
        <v>26604</v>
      </c>
      <c r="W6894" t="s">
        <v>781</v>
      </c>
      <c r="X6894">
        <v>1175</v>
      </c>
      <c r="Y6894" t="s">
        <v>26650</v>
      </c>
      <c r="Z6894" t="s">
        <v>26663</v>
      </c>
      <c r="AB6894" t="s">
        <v>30090</v>
      </c>
      <c r="AD6894" t="s">
        <v>42265</v>
      </c>
      <c r="AE6894">
        <v>170</v>
      </c>
      <c r="AF6894" t="s">
        <v>45541</v>
      </c>
      <c r="AH6894">
        <v>30</v>
      </c>
      <c r="AI6894">
        <v>1</v>
      </c>
      <c r="AJ6894">
        <v>0</v>
      </c>
      <c r="AK6894">
        <v>168.04</v>
      </c>
      <c r="AN6894" t="s">
        <v>7439</v>
      </c>
      <c r="AO6894">
        <v>20400</v>
      </c>
      <c r="AU6894">
        <v>0</v>
      </c>
      <c r="AW6894" t="s">
        <v>292</v>
      </c>
    </row>
    <row r="6895" spans="1:49">
      <c r="A6895" s="1">
        <f>HYPERLINK("https://lsnyc.legalserver.org/matter/dynamic-profile/view/1891688","19-1891688")</f>
        <v>0</v>
      </c>
      <c r="B6895" t="s">
        <v>100</v>
      </c>
      <c r="C6895" t="s">
        <v>340</v>
      </c>
      <c r="D6895" t="s">
        <v>716</v>
      </c>
      <c r="F6895" t="s">
        <v>3019</v>
      </c>
      <c r="G6895" t="s">
        <v>994</v>
      </c>
      <c r="H6895" t="s">
        <v>13798</v>
      </c>
      <c r="I6895" t="s">
        <v>17545</v>
      </c>
      <c r="J6895" t="s">
        <v>18892</v>
      </c>
      <c r="K6895">
        <v>10453</v>
      </c>
      <c r="L6895" t="s">
        <v>18958</v>
      </c>
      <c r="M6895" t="s">
        <v>18958</v>
      </c>
      <c r="O6895" t="s">
        <v>26534</v>
      </c>
      <c r="P6895" t="s">
        <v>26561</v>
      </c>
      <c r="R6895" t="s">
        <v>26578</v>
      </c>
      <c r="S6895" t="s">
        <v>18958</v>
      </c>
      <c r="U6895" t="s">
        <v>26604</v>
      </c>
      <c r="W6895" t="s">
        <v>781</v>
      </c>
      <c r="X6895">
        <v>1175</v>
      </c>
      <c r="Y6895" t="s">
        <v>26650</v>
      </c>
      <c r="Z6895" t="s">
        <v>26663</v>
      </c>
      <c r="AB6895" t="s">
        <v>30090</v>
      </c>
      <c r="AD6895" t="s">
        <v>42265</v>
      </c>
      <c r="AE6895">
        <v>170</v>
      </c>
      <c r="AF6895" t="s">
        <v>45541</v>
      </c>
      <c r="AH6895">
        <v>30</v>
      </c>
      <c r="AI6895">
        <v>1</v>
      </c>
      <c r="AJ6895">
        <v>0</v>
      </c>
      <c r="AK6895">
        <v>168.86</v>
      </c>
      <c r="AN6895" t="s">
        <v>7439</v>
      </c>
      <c r="AO6895">
        <v>20500</v>
      </c>
      <c r="AU6895">
        <v>0</v>
      </c>
      <c r="AW6895" t="s">
        <v>292</v>
      </c>
    </row>
    <row r="6896" spans="1:49">
      <c r="A6896" s="1">
        <f>HYPERLINK("https://lsnyc.legalserver.org/matter/dynamic-profile/view/1887394","19-1887394")</f>
        <v>0</v>
      </c>
      <c r="B6896" t="s">
        <v>100</v>
      </c>
      <c r="C6896" t="s">
        <v>340</v>
      </c>
      <c r="D6896" t="s">
        <v>704</v>
      </c>
      <c r="F6896" t="s">
        <v>995</v>
      </c>
      <c r="G6896" t="s">
        <v>5208</v>
      </c>
      <c r="H6896" t="s">
        <v>14515</v>
      </c>
      <c r="I6896">
        <v>41</v>
      </c>
      <c r="J6896" t="s">
        <v>18892</v>
      </c>
      <c r="K6896">
        <v>10453</v>
      </c>
      <c r="L6896" t="s">
        <v>18958</v>
      </c>
      <c r="M6896" t="s">
        <v>18958</v>
      </c>
      <c r="N6896" t="s">
        <v>23961</v>
      </c>
      <c r="O6896" t="s">
        <v>26534</v>
      </c>
      <c r="P6896" t="s">
        <v>26561</v>
      </c>
      <c r="R6896" t="s">
        <v>26578</v>
      </c>
      <c r="S6896" t="s">
        <v>18958</v>
      </c>
      <c r="U6896" t="s">
        <v>26604</v>
      </c>
      <c r="W6896" t="s">
        <v>781</v>
      </c>
      <c r="X6896">
        <v>1175.29</v>
      </c>
      <c r="Y6896" t="s">
        <v>26650</v>
      </c>
      <c r="Z6896" t="s">
        <v>26667</v>
      </c>
      <c r="AB6896" t="s">
        <v>31965</v>
      </c>
      <c r="AD6896" t="s">
        <v>42266</v>
      </c>
      <c r="AE6896">
        <v>46</v>
      </c>
      <c r="AF6896" t="s">
        <v>45541</v>
      </c>
      <c r="AG6896" t="s">
        <v>45560</v>
      </c>
      <c r="AH6896">
        <v>8</v>
      </c>
      <c r="AI6896">
        <v>1</v>
      </c>
      <c r="AJ6896">
        <v>0</v>
      </c>
      <c r="AK6896">
        <v>0</v>
      </c>
      <c r="AN6896" t="s">
        <v>7439</v>
      </c>
      <c r="AO6896">
        <v>0</v>
      </c>
      <c r="AU6896">
        <v>0</v>
      </c>
      <c r="AW6896" t="s">
        <v>46832</v>
      </c>
    </row>
    <row r="6897" spans="1:50">
      <c r="A6897" s="1">
        <f>HYPERLINK("https://lsnyc.legalserver.org/matter/dynamic-profile/view/1887380","19-1887380")</f>
        <v>0</v>
      </c>
      <c r="B6897" t="s">
        <v>100</v>
      </c>
      <c r="C6897" t="s">
        <v>340</v>
      </c>
      <c r="D6897" t="s">
        <v>704</v>
      </c>
      <c r="F6897" t="s">
        <v>2814</v>
      </c>
      <c r="G6897" t="s">
        <v>5706</v>
      </c>
      <c r="H6897" t="s">
        <v>14515</v>
      </c>
      <c r="I6897">
        <v>47</v>
      </c>
      <c r="J6897" t="s">
        <v>18892</v>
      </c>
      <c r="K6897">
        <v>10453</v>
      </c>
      <c r="L6897" t="s">
        <v>18958</v>
      </c>
      <c r="M6897" t="s">
        <v>18958</v>
      </c>
      <c r="N6897" t="s">
        <v>23961</v>
      </c>
      <c r="O6897" t="s">
        <v>26534</v>
      </c>
      <c r="P6897" t="s">
        <v>26561</v>
      </c>
      <c r="R6897" t="s">
        <v>26578</v>
      </c>
      <c r="S6897" t="s">
        <v>18958</v>
      </c>
      <c r="U6897" t="s">
        <v>26604</v>
      </c>
      <c r="W6897" t="s">
        <v>781</v>
      </c>
      <c r="X6897">
        <v>1345</v>
      </c>
      <c r="Y6897" t="s">
        <v>26650</v>
      </c>
      <c r="Z6897" t="s">
        <v>26667</v>
      </c>
      <c r="AB6897" t="s">
        <v>31966</v>
      </c>
      <c r="AD6897" t="s">
        <v>42267</v>
      </c>
      <c r="AE6897">
        <v>43</v>
      </c>
      <c r="AF6897" t="s">
        <v>45541</v>
      </c>
      <c r="AG6897" t="s">
        <v>45556</v>
      </c>
      <c r="AH6897">
        <v>18</v>
      </c>
      <c r="AI6897">
        <v>2</v>
      </c>
      <c r="AJ6897">
        <v>1</v>
      </c>
      <c r="AK6897">
        <v>52.94</v>
      </c>
      <c r="AN6897" t="s">
        <v>45581</v>
      </c>
      <c r="AO6897">
        <v>11000.04</v>
      </c>
      <c r="AU6897">
        <v>0</v>
      </c>
      <c r="AW6897" t="s">
        <v>46832</v>
      </c>
    </row>
    <row r="6898" spans="1:50">
      <c r="A6898" s="1">
        <f>HYPERLINK("https://lsnyc.legalserver.org/matter/dynamic-profile/view/1887387","19-1887387")</f>
        <v>0</v>
      </c>
      <c r="B6898" t="s">
        <v>100</v>
      </c>
      <c r="C6898" t="s">
        <v>340</v>
      </c>
      <c r="D6898" t="s">
        <v>704</v>
      </c>
      <c r="F6898" t="s">
        <v>1223</v>
      </c>
      <c r="G6898" t="s">
        <v>5594</v>
      </c>
      <c r="H6898" t="s">
        <v>14515</v>
      </c>
      <c r="I6898">
        <v>16</v>
      </c>
      <c r="J6898" t="s">
        <v>18892</v>
      </c>
      <c r="K6898">
        <v>10453</v>
      </c>
      <c r="L6898" t="s">
        <v>18958</v>
      </c>
      <c r="M6898" t="s">
        <v>18958</v>
      </c>
      <c r="N6898" t="s">
        <v>23961</v>
      </c>
      <c r="O6898" t="s">
        <v>26534</v>
      </c>
      <c r="P6898" t="s">
        <v>26561</v>
      </c>
      <c r="R6898" t="s">
        <v>26578</v>
      </c>
      <c r="S6898" t="s">
        <v>18958</v>
      </c>
      <c r="U6898" t="s">
        <v>26604</v>
      </c>
      <c r="W6898" t="s">
        <v>781</v>
      </c>
      <c r="X6898">
        <v>856.08</v>
      </c>
      <c r="Y6898" t="s">
        <v>26650</v>
      </c>
      <c r="Z6898" t="s">
        <v>26667</v>
      </c>
      <c r="AB6898" t="s">
        <v>31967</v>
      </c>
      <c r="AD6898" t="s">
        <v>42268</v>
      </c>
      <c r="AE6898">
        <v>43</v>
      </c>
      <c r="AF6898" t="s">
        <v>45541</v>
      </c>
      <c r="AG6898" t="s">
        <v>45560</v>
      </c>
      <c r="AH6898">
        <v>38</v>
      </c>
      <c r="AI6898">
        <v>1</v>
      </c>
      <c r="AJ6898">
        <v>0</v>
      </c>
      <c r="AK6898">
        <v>83.23</v>
      </c>
      <c r="AN6898" t="s">
        <v>7439</v>
      </c>
      <c r="AO6898">
        <v>10104</v>
      </c>
      <c r="AU6898">
        <v>0</v>
      </c>
      <c r="AW6898" t="s">
        <v>46832</v>
      </c>
    </row>
    <row r="6899" spans="1:50">
      <c r="A6899" s="1">
        <f>HYPERLINK("https://lsnyc.legalserver.org/matter/dynamic-profile/view/1887528","19-1887528")</f>
        <v>0</v>
      </c>
      <c r="B6899" t="s">
        <v>100</v>
      </c>
      <c r="C6899" t="s">
        <v>340</v>
      </c>
      <c r="D6899" t="s">
        <v>414</v>
      </c>
      <c r="F6899" t="s">
        <v>936</v>
      </c>
      <c r="G6899" t="s">
        <v>1725</v>
      </c>
      <c r="H6899" t="s">
        <v>14515</v>
      </c>
      <c r="I6899">
        <v>53</v>
      </c>
      <c r="J6899" t="s">
        <v>18892</v>
      </c>
      <c r="K6899">
        <v>10453</v>
      </c>
      <c r="L6899" t="s">
        <v>18958</v>
      </c>
      <c r="M6899" t="s">
        <v>18958</v>
      </c>
      <c r="N6899" t="s">
        <v>23961</v>
      </c>
      <c r="O6899" t="s">
        <v>26534</v>
      </c>
      <c r="P6899" t="s">
        <v>26561</v>
      </c>
      <c r="R6899" t="s">
        <v>26578</v>
      </c>
      <c r="S6899" t="s">
        <v>18958</v>
      </c>
      <c r="U6899" t="s">
        <v>26604</v>
      </c>
      <c r="W6899" t="s">
        <v>781</v>
      </c>
      <c r="X6899">
        <v>761.16</v>
      </c>
      <c r="Y6899" t="s">
        <v>26650</v>
      </c>
      <c r="Z6899" t="s">
        <v>26667</v>
      </c>
      <c r="AB6899" t="s">
        <v>28984</v>
      </c>
      <c r="AD6899" t="s">
        <v>42269</v>
      </c>
      <c r="AE6899">
        <v>46</v>
      </c>
      <c r="AF6899" t="s">
        <v>45548</v>
      </c>
      <c r="AG6899" t="s">
        <v>45559</v>
      </c>
      <c r="AH6899">
        <v>38</v>
      </c>
      <c r="AI6899">
        <v>1</v>
      </c>
      <c r="AJ6899">
        <v>0</v>
      </c>
      <c r="AK6899">
        <v>81.55</v>
      </c>
      <c r="AO6899">
        <v>9900</v>
      </c>
      <c r="AU6899">
        <v>0</v>
      </c>
      <c r="AW6899" t="s">
        <v>46832</v>
      </c>
    </row>
    <row r="6900" spans="1:50">
      <c r="A6900" s="1">
        <f>HYPERLINK("https://lsnyc.legalserver.org/matter/dynamic-profile/view/1887522","19-1887522")</f>
        <v>0</v>
      </c>
      <c r="B6900" t="s">
        <v>100</v>
      </c>
      <c r="C6900" t="s">
        <v>340</v>
      </c>
      <c r="D6900" t="s">
        <v>414</v>
      </c>
      <c r="F6900" t="s">
        <v>1442</v>
      </c>
      <c r="G6900" t="s">
        <v>5478</v>
      </c>
      <c r="H6900" t="s">
        <v>14515</v>
      </c>
      <c r="I6900">
        <v>55</v>
      </c>
      <c r="J6900" t="s">
        <v>18892</v>
      </c>
      <c r="K6900">
        <v>10453</v>
      </c>
      <c r="L6900" t="s">
        <v>18958</v>
      </c>
      <c r="M6900" t="s">
        <v>18958</v>
      </c>
      <c r="N6900" t="s">
        <v>23961</v>
      </c>
      <c r="O6900" t="s">
        <v>26534</v>
      </c>
      <c r="P6900" t="s">
        <v>26561</v>
      </c>
      <c r="R6900" t="s">
        <v>26578</v>
      </c>
      <c r="S6900" t="s">
        <v>18958</v>
      </c>
      <c r="U6900" t="s">
        <v>26604</v>
      </c>
      <c r="W6900" t="s">
        <v>781</v>
      </c>
      <c r="X6900">
        <v>1136.42</v>
      </c>
      <c r="Y6900" t="s">
        <v>26650</v>
      </c>
      <c r="Z6900" t="s">
        <v>26667</v>
      </c>
      <c r="AB6900" t="s">
        <v>31968</v>
      </c>
      <c r="AD6900" t="s">
        <v>42270</v>
      </c>
      <c r="AE6900">
        <v>46</v>
      </c>
      <c r="AF6900" t="s">
        <v>45541</v>
      </c>
      <c r="AG6900" t="s">
        <v>45559</v>
      </c>
      <c r="AH6900">
        <v>21</v>
      </c>
      <c r="AI6900">
        <v>1</v>
      </c>
      <c r="AJ6900">
        <v>0</v>
      </c>
      <c r="AK6900">
        <v>195.58</v>
      </c>
      <c r="AN6900" t="s">
        <v>45581</v>
      </c>
      <c r="AO6900">
        <v>23744</v>
      </c>
      <c r="AU6900">
        <v>0</v>
      </c>
      <c r="AW6900" t="s">
        <v>46832</v>
      </c>
    </row>
    <row r="6901" spans="1:50">
      <c r="A6901" s="1">
        <f>HYPERLINK("https://lsnyc.legalserver.org/matter/dynamic-profile/view/1887499","19-1887499")</f>
        <v>0</v>
      </c>
      <c r="B6901" t="s">
        <v>100</v>
      </c>
      <c r="C6901" t="s">
        <v>340</v>
      </c>
      <c r="D6901" t="s">
        <v>414</v>
      </c>
      <c r="F6901" t="s">
        <v>3809</v>
      </c>
      <c r="G6901" t="s">
        <v>5502</v>
      </c>
      <c r="H6901" t="s">
        <v>14515</v>
      </c>
      <c r="I6901">
        <v>54</v>
      </c>
      <c r="J6901" t="s">
        <v>18892</v>
      </c>
      <c r="K6901">
        <v>10453</v>
      </c>
      <c r="L6901" t="s">
        <v>18958</v>
      </c>
      <c r="M6901" t="s">
        <v>18958</v>
      </c>
      <c r="N6901" t="s">
        <v>23961</v>
      </c>
      <c r="O6901" t="s">
        <v>26534</v>
      </c>
      <c r="P6901" t="s">
        <v>26561</v>
      </c>
      <c r="R6901" t="s">
        <v>26578</v>
      </c>
      <c r="S6901" t="s">
        <v>18958</v>
      </c>
      <c r="U6901" t="s">
        <v>26604</v>
      </c>
      <c r="W6901" t="s">
        <v>781</v>
      </c>
      <c r="X6901">
        <v>1339</v>
      </c>
      <c r="Y6901" t="s">
        <v>26650</v>
      </c>
      <c r="Z6901" t="s">
        <v>26667</v>
      </c>
      <c r="AB6901" t="s">
        <v>28326</v>
      </c>
      <c r="AD6901" t="s">
        <v>42271</v>
      </c>
      <c r="AE6901">
        <v>46</v>
      </c>
      <c r="AF6901" t="s">
        <v>45541</v>
      </c>
      <c r="AG6901" t="s">
        <v>19330</v>
      </c>
      <c r="AH6901">
        <v>5</v>
      </c>
      <c r="AI6901">
        <v>2</v>
      </c>
      <c r="AJ6901">
        <v>0</v>
      </c>
      <c r="AK6901">
        <v>328.07</v>
      </c>
      <c r="AN6901" t="s">
        <v>45581</v>
      </c>
      <c r="AO6901">
        <v>54000</v>
      </c>
      <c r="AU6901">
        <v>0</v>
      </c>
      <c r="AW6901" t="s">
        <v>46832</v>
      </c>
    </row>
    <row r="6902" spans="1:50">
      <c r="A6902" s="1">
        <f>HYPERLINK("https://lsnyc.legalserver.org/matter/dynamic-profile/view/1890972","19-1890972")</f>
        <v>0</v>
      </c>
      <c r="B6902" t="s">
        <v>75</v>
      </c>
      <c r="C6902" t="s">
        <v>340</v>
      </c>
      <c r="D6902" t="s">
        <v>415</v>
      </c>
      <c r="F6902" t="s">
        <v>3810</v>
      </c>
      <c r="G6902" t="s">
        <v>1052</v>
      </c>
      <c r="H6902" t="s">
        <v>12169</v>
      </c>
      <c r="I6902" t="s">
        <v>17293</v>
      </c>
      <c r="J6902" t="s">
        <v>18892</v>
      </c>
      <c r="K6902">
        <v>10453</v>
      </c>
      <c r="L6902" t="s">
        <v>18958</v>
      </c>
      <c r="M6902" t="s">
        <v>18958</v>
      </c>
      <c r="O6902" t="s">
        <v>26534</v>
      </c>
      <c r="P6902" t="s">
        <v>26561</v>
      </c>
      <c r="R6902" t="s">
        <v>26578</v>
      </c>
      <c r="S6902" t="s">
        <v>18958</v>
      </c>
      <c r="U6902" t="s">
        <v>26604</v>
      </c>
      <c r="W6902" t="s">
        <v>781</v>
      </c>
      <c r="X6902">
        <v>1270</v>
      </c>
      <c r="Y6902" t="s">
        <v>26650</v>
      </c>
      <c r="Z6902" t="s">
        <v>26663</v>
      </c>
      <c r="AE6902">
        <v>44</v>
      </c>
      <c r="AF6902" t="s">
        <v>45541</v>
      </c>
      <c r="AG6902" t="s">
        <v>19330</v>
      </c>
      <c r="AH6902">
        <v>3</v>
      </c>
      <c r="AI6902">
        <v>2</v>
      </c>
      <c r="AJ6902">
        <v>0</v>
      </c>
      <c r="AK6902">
        <v>379.1</v>
      </c>
      <c r="AN6902" t="s">
        <v>7439</v>
      </c>
      <c r="AO6902">
        <v>62400</v>
      </c>
      <c r="AU6902">
        <v>0</v>
      </c>
      <c r="AW6902" t="s">
        <v>336</v>
      </c>
    </row>
    <row r="6903" spans="1:50">
      <c r="A6903" s="1">
        <f>HYPERLINK("https://lsnyc.legalserver.org/matter/dynamic-profile/view/1890970","19-1890970")</f>
        <v>0</v>
      </c>
      <c r="B6903" t="s">
        <v>75</v>
      </c>
      <c r="C6903" t="s">
        <v>340</v>
      </c>
      <c r="D6903" t="s">
        <v>415</v>
      </c>
      <c r="F6903" t="s">
        <v>3810</v>
      </c>
      <c r="G6903" t="s">
        <v>1052</v>
      </c>
      <c r="H6903" t="s">
        <v>12169</v>
      </c>
      <c r="I6903" t="s">
        <v>17293</v>
      </c>
      <c r="J6903" t="s">
        <v>18892</v>
      </c>
      <c r="K6903">
        <v>10453</v>
      </c>
      <c r="L6903" t="s">
        <v>18958</v>
      </c>
      <c r="M6903" t="s">
        <v>18958</v>
      </c>
      <c r="N6903" t="s">
        <v>23964</v>
      </c>
      <c r="O6903" t="s">
        <v>26526</v>
      </c>
      <c r="P6903" t="s">
        <v>26560</v>
      </c>
      <c r="R6903" t="s">
        <v>26578</v>
      </c>
      <c r="S6903" t="s">
        <v>18958</v>
      </c>
      <c r="U6903" t="s">
        <v>26604</v>
      </c>
      <c r="W6903" t="s">
        <v>781</v>
      </c>
      <c r="X6903">
        <v>1270</v>
      </c>
      <c r="Y6903" t="s">
        <v>26650</v>
      </c>
      <c r="Z6903" t="s">
        <v>26663</v>
      </c>
      <c r="AE6903">
        <v>44</v>
      </c>
      <c r="AF6903" t="s">
        <v>45541</v>
      </c>
      <c r="AG6903" t="s">
        <v>19330</v>
      </c>
      <c r="AH6903">
        <v>3</v>
      </c>
      <c r="AI6903">
        <v>2</v>
      </c>
      <c r="AJ6903">
        <v>0</v>
      </c>
      <c r="AK6903">
        <v>379.1</v>
      </c>
      <c r="AN6903" t="s">
        <v>7439</v>
      </c>
      <c r="AO6903">
        <v>62400</v>
      </c>
      <c r="AU6903">
        <v>0</v>
      </c>
      <c r="AW6903" t="s">
        <v>336</v>
      </c>
    </row>
    <row r="6904" spans="1:50">
      <c r="A6904" s="1">
        <f>HYPERLINK("https://lsnyc.legalserver.org/matter/dynamic-profile/view/1890966","19-1890966")</f>
        <v>0</v>
      </c>
      <c r="B6904" t="s">
        <v>75</v>
      </c>
      <c r="C6904" t="s">
        <v>340</v>
      </c>
      <c r="D6904" t="s">
        <v>415</v>
      </c>
      <c r="F6904" t="s">
        <v>3810</v>
      </c>
      <c r="G6904" t="s">
        <v>1052</v>
      </c>
      <c r="H6904" t="s">
        <v>12169</v>
      </c>
      <c r="I6904" t="s">
        <v>17293</v>
      </c>
      <c r="J6904" t="s">
        <v>18892</v>
      </c>
      <c r="K6904">
        <v>10453</v>
      </c>
      <c r="L6904" t="s">
        <v>18958</v>
      </c>
      <c r="M6904" t="s">
        <v>18958</v>
      </c>
      <c r="O6904" t="s">
        <v>18997</v>
      </c>
      <c r="P6904" t="s">
        <v>26562</v>
      </c>
      <c r="R6904" t="s">
        <v>26578</v>
      </c>
      <c r="S6904" t="s">
        <v>18958</v>
      </c>
      <c r="U6904" t="s">
        <v>26604</v>
      </c>
      <c r="W6904" t="s">
        <v>781</v>
      </c>
      <c r="X6904">
        <v>1270</v>
      </c>
      <c r="Y6904" t="s">
        <v>26650</v>
      </c>
      <c r="Z6904" t="s">
        <v>26663</v>
      </c>
      <c r="AE6904">
        <v>44</v>
      </c>
      <c r="AF6904" t="s">
        <v>45541</v>
      </c>
      <c r="AG6904" t="s">
        <v>19330</v>
      </c>
      <c r="AH6904">
        <v>3</v>
      </c>
      <c r="AI6904">
        <v>2</v>
      </c>
      <c r="AJ6904">
        <v>0</v>
      </c>
      <c r="AK6904">
        <v>379.1</v>
      </c>
      <c r="AN6904" t="s">
        <v>7439</v>
      </c>
      <c r="AO6904">
        <v>62400</v>
      </c>
      <c r="AU6904">
        <v>0</v>
      </c>
      <c r="AW6904" t="s">
        <v>336</v>
      </c>
    </row>
    <row r="6905" spans="1:50">
      <c r="A6905" s="1">
        <f>HYPERLINK("https://lsnyc.legalserver.org/matter/dynamic-profile/view/1888246","19-1888246")</f>
        <v>0</v>
      </c>
      <c r="B6905" t="s">
        <v>55</v>
      </c>
      <c r="C6905" t="s">
        <v>340</v>
      </c>
      <c r="D6905" t="s">
        <v>685</v>
      </c>
      <c r="F6905" t="s">
        <v>1292</v>
      </c>
      <c r="G6905" t="s">
        <v>8167</v>
      </c>
      <c r="H6905" t="s">
        <v>12199</v>
      </c>
      <c r="I6905" t="s">
        <v>17457</v>
      </c>
      <c r="J6905" t="s">
        <v>18892</v>
      </c>
      <c r="K6905">
        <v>10460</v>
      </c>
      <c r="L6905" t="s">
        <v>18958</v>
      </c>
      <c r="M6905" t="s">
        <v>18958</v>
      </c>
      <c r="N6905" t="s">
        <v>23962</v>
      </c>
      <c r="O6905" t="s">
        <v>26526</v>
      </c>
      <c r="P6905" t="s">
        <v>26560</v>
      </c>
      <c r="R6905" t="s">
        <v>26578</v>
      </c>
      <c r="S6905" t="s">
        <v>18958</v>
      </c>
      <c r="U6905" t="s">
        <v>26604</v>
      </c>
      <c r="W6905" t="s">
        <v>781</v>
      </c>
      <c r="X6905">
        <v>1694</v>
      </c>
      <c r="Y6905" t="s">
        <v>26650</v>
      </c>
      <c r="Z6905" t="s">
        <v>26663</v>
      </c>
      <c r="AB6905" t="s">
        <v>28766</v>
      </c>
      <c r="AD6905" t="s">
        <v>42272</v>
      </c>
      <c r="AE6905">
        <v>168</v>
      </c>
      <c r="AF6905" t="s">
        <v>45554</v>
      </c>
      <c r="AG6905" t="s">
        <v>45556</v>
      </c>
      <c r="AH6905">
        <v>35</v>
      </c>
      <c r="AI6905">
        <v>1</v>
      </c>
      <c r="AJ6905">
        <v>0</v>
      </c>
      <c r="AK6905">
        <v>75.42</v>
      </c>
      <c r="AN6905" t="s">
        <v>7439</v>
      </c>
      <c r="AO6905">
        <v>9156</v>
      </c>
      <c r="AU6905">
        <v>0</v>
      </c>
      <c r="AW6905" t="s">
        <v>46832</v>
      </c>
    </row>
    <row r="6906" spans="1:50">
      <c r="A6906" s="1">
        <f>HYPERLINK("https://lsnyc.legalserver.org/matter/dynamic-profile/view/1888208","19-1888208")</f>
        <v>0</v>
      </c>
      <c r="B6906" t="s">
        <v>55</v>
      </c>
      <c r="C6906" t="s">
        <v>340</v>
      </c>
      <c r="D6906" t="s">
        <v>685</v>
      </c>
      <c r="F6906" t="s">
        <v>928</v>
      </c>
      <c r="G6906" t="s">
        <v>6634</v>
      </c>
      <c r="H6906" t="s">
        <v>12199</v>
      </c>
      <c r="I6906" t="s">
        <v>17366</v>
      </c>
      <c r="J6906" t="s">
        <v>18892</v>
      </c>
      <c r="K6906">
        <v>10460</v>
      </c>
      <c r="L6906" t="s">
        <v>18958</v>
      </c>
      <c r="M6906" t="s">
        <v>18958</v>
      </c>
      <c r="N6906" t="s">
        <v>23962</v>
      </c>
      <c r="O6906" t="s">
        <v>26526</v>
      </c>
      <c r="P6906" t="s">
        <v>26560</v>
      </c>
      <c r="R6906" t="s">
        <v>26578</v>
      </c>
      <c r="S6906" t="s">
        <v>18958</v>
      </c>
      <c r="U6906" t="s">
        <v>26604</v>
      </c>
      <c r="W6906" t="s">
        <v>781</v>
      </c>
      <c r="X6906">
        <v>1200</v>
      </c>
      <c r="Y6906" t="s">
        <v>26650</v>
      </c>
      <c r="Z6906" t="s">
        <v>26663</v>
      </c>
      <c r="AB6906" t="s">
        <v>31969</v>
      </c>
      <c r="AD6906" t="s">
        <v>42273</v>
      </c>
      <c r="AE6906">
        <v>168</v>
      </c>
      <c r="AF6906" t="s">
        <v>45541</v>
      </c>
      <c r="AG6906" t="s">
        <v>45556</v>
      </c>
      <c r="AH6906">
        <v>4</v>
      </c>
      <c r="AI6906">
        <v>1</v>
      </c>
      <c r="AJ6906">
        <v>0</v>
      </c>
      <c r="AK6906">
        <v>84.02</v>
      </c>
      <c r="AN6906" t="s">
        <v>7439</v>
      </c>
      <c r="AO6906">
        <v>10200</v>
      </c>
      <c r="AU6906">
        <v>0</v>
      </c>
      <c r="AW6906" t="s">
        <v>46832</v>
      </c>
    </row>
    <row r="6907" spans="1:50">
      <c r="A6907" s="1">
        <f>HYPERLINK("https://lsnyc.legalserver.org/matter/dynamic-profile/view/1888382","19-1888382")</f>
        <v>0</v>
      </c>
      <c r="B6907" t="s">
        <v>100</v>
      </c>
      <c r="C6907" t="s">
        <v>340</v>
      </c>
      <c r="D6907" t="s">
        <v>727</v>
      </c>
      <c r="F6907" t="s">
        <v>3520</v>
      </c>
      <c r="G6907" t="s">
        <v>5654</v>
      </c>
      <c r="H6907" t="s">
        <v>13798</v>
      </c>
      <c r="I6907" t="s">
        <v>18413</v>
      </c>
      <c r="J6907" t="s">
        <v>18892</v>
      </c>
      <c r="K6907">
        <v>10453</v>
      </c>
      <c r="L6907" t="s">
        <v>18958</v>
      </c>
      <c r="M6907" t="s">
        <v>18959</v>
      </c>
      <c r="N6907" t="s">
        <v>23966</v>
      </c>
      <c r="O6907" t="s">
        <v>26526</v>
      </c>
      <c r="P6907" t="s">
        <v>26560</v>
      </c>
      <c r="R6907" t="s">
        <v>26578</v>
      </c>
      <c r="S6907" t="s">
        <v>18958</v>
      </c>
      <c r="U6907" t="s">
        <v>26604</v>
      </c>
      <c r="W6907" t="s">
        <v>781</v>
      </c>
      <c r="X6907">
        <v>0</v>
      </c>
      <c r="Y6907" t="s">
        <v>26650</v>
      </c>
      <c r="Z6907" t="s">
        <v>26659</v>
      </c>
      <c r="AB6907" t="s">
        <v>28946</v>
      </c>
      <c r="AD6907" t="s">
        <v>42274</v>
      </c>
      <c r="AE6907">
        <v>170</v>
      </c>
      <c r="AF6907" t="s">
        <v>45541</v>
      </c>
      <c r="AG6907" t="s">
        <v>45556</v>
      </c>
      <c r="AH6907">
        <v>28</v>
      </c>
      <c r="AI6907">
        <v>1</v>
      </c>
      <c r="AJ6907">
        <v>0</v>
      </c>
      <c r="AK6907">
        <v>76.41</v>
      </c>
      <c r="AN6907" t="s">
        <v>45581</v>
      </c>
      <c r="AO6907">
        <v>9276</v>
      </c>
      <c r="AU6907">
        <v>398.2</v>
      </c>
      <c r="AV6907" t="s">
        <v>836</v>
      </c>
      <c r="AW6907" t="s">
        <v>98</v>
      </c>
      <c r="AX6907" t="s">
        <v>46897</v>
      </c>
    </row>
    <row r="6908" spans="1:50">
      <c r="A6908" s="1">
        <f>HYPERLINK("https://lsnyc.legalserver.org/matter/dynamic-profile/view/1888376","19-1888376")</f>
        <v>0</v>
      </c>
      <c r="B6908" t="s">
        <v>100</v>
      </c>
      <c r="C6908" t="s">
        <v>340</v>
      </c>
      <c r="D6908" t="s">
        <v>727</v>
      </c>
      <c r="F6908" t="s">
        <v>3811</v>
      </c>
      <c r="G6908" t="s">
        <v>5079</v>
      </c>
      <c r="H6908" t="s">
        <v>13798</v>
      </c>
      <c r="I6908" t="s">
        <v>17725</v>
      </c>
      <c r="J6908" t="s">
        <v>18892</v>
      </c>
      <c r="K6908">
        <v>10453</v>
      </c>
      <c r="L6908" t="s">
        <v>18958</v>
      </c>
      <c r="M6908" t="s">
        <v>18958</v>
      </c>
      <c r="O6908" t="s">
        <v>26534</v>
      </c>
      <c r="P6908" t="s">
        <v>26561</v>
      </c>
      <c r="R6908" t="s">
        <v>26578</v>
      </c>
      <c r="S6908" t="s">
        <v>18958</v>
      </c>
      <c r="U6908" t="s">
        <v>26604</v>
      </c>
      <c r="W6908" t="s">
        <v>781</v>
      </c>
      <c r="X6908">
        <v>1152.67</v>
      </c>
      <c r="Y6908" t="s">
        <v>26650</v>
      </c>
      <c r="Z6908" t="s">
        <v>26659</v>
      </c>
      <c r="AB6908" t="s">
        <v>31970</v>
      </c>
      <c r="AD6908" t="s">
        <v>42275</v>
      </c>
      <c r="AE6908">
        <v>170</v>
      </c>
      <c r="AF6908" t="s">
        <v>45541</v>
      </c>
      <c r="AG6908" t="s">
        <v>45559</v>
      </c>
      <c r="AH6908">
        <v>14</v>
      </c>
      <c r="AI6908">
        <v>1</v>
      </c>
      <c r="AJ6908">
        <v>0</v>
      </c>
      <c r="AK6908">
        <v>113.18</v>
      </c>
      <c r="AN6908" t="s">
        <v>7439</v>
      </c>
      <c r="AO6908">
        <v>13740</v>
      </c>
      <c r="AU6908">
        <v>9.199999999999999</v>
      </c>
      <c r="AV6908" t="s">
        <v>825</v>
      </c>
      <c r="AW6908" t="s">
        <v>98</v>
      </c>
    </row>
    <row r="6909" spans="1:50">
      <c r="A6909" s="1">
        <f>HYPERLINK("https://lsnyc.legalserver.org/matter/dynamic-profile/view/1889904","19-1889904")</f>
        <v>0</v>
      </c>
      <c r="B6909" t="s">
        <v>100</v>
      </c>
      <c r="C6909" t="s">
        <v>340</v>
      </c>
      <c r="D6909" t="s">
        <v>727</v>
      </c>
      <c r="F6909" t="s">
        <v>3812</v>
      </c>
      <c r="G6909" t="s">
        <v>5197</v>
      </c>
      <c r="H6909" t="s">
        <v>13798</v>
      </c>
      <c r="I6909" t="s">
        <v>17353</v>
      </c>
      <c r="J6909" t="s">
        <v>18892</v>
      </c>
      <c r="K6909">
        <v>10453</v>
      </c>
      <c r="L6909" t="s">
        <v>18958</v>
      </c>
      <c r="M6909" t="s">
        <v>18960</v>
      </c>
      <c r="O6909" t="s">
        <v>26534</v>
      </c>
      <c r="P6909" t="s">
        <v>26562</v>
      </c>
      <c r="R6909" t="s">
        <v>26578</v>
      </c>
      <c r="S6909" t="s">
        <v>18958</v>
      </c>
      <c r="U6909" t="s">
        <v>26604</v>
      </c>
      <c r="W6909" t="s">
        <v>781</v>
      </c>
      <c r="X6909">
        <v>949</v>
      </c>
      <c r="Y6909" t="s">
        <v>26650</v>
      </c>
      <c r="Z6909" t="s">
        <v>26663</v>
      </c>
      <c r="AB6909" t="s">
        <v>26813</v>
      </c>
      <c r="AD6909" t="s">
        <v>42276</v>
      </c>
      <c r="AE6909">
        <v>0</v>
      </c>
      <c r="AF6909" t="s">
        <v>45541</v>
      </c>
      <c r="AG6909" t="s">
        <v>45559</v>
      </c>
      <c r="AH6909">
        <v>39</v>
      </c>
      <c r="AI6909">
        <v>1</v>
      </c>
      <c r="AJ6909">
        <v>0</v>
      </c>
      <c r="AK6909">
        <v>328.52</v>
      </c>
      <c r="AN6909" t="s">
        <v>7439</v>
      </c>
      <c r="AO6909">
        <v>41032</v>
      </c>
      <c r="AP6909" t="s">
        <v>46033</v>
      </c>
      <c r="AU6909">
        <v>0</v>
      </c>
      <c r="AW6909" t="s">
        <v>302</v>
      </c>
      <c r="AX6909" t="s">
        <v>46897</v>
      </c>
    </row>
    <row r="6910" spans="1:50">
      <c r="A6910" s="1">
        <f>HYPERLINK("https://lsnyc.legalserver.org/matter/dynamic-profile/view/1889883","19-1889883")</f>
        <v>0</v>
      </c>
      <c r="B6910" t="s">
        <v>100</v>
      </c>
      <c r="C6910" t="s">
        <v>340</v>
      </c>
      <c r="D6910" t="s">
        <v>727</v>
      </c>
      <c r="F6910" t="s">
        <v>3812</v>
      </c>
      <c r="G6910" t="s">
        <v>5197</v>
      </c>
      <c r="H6910" t="s">
        <v>13798</v>
      </c>
      <c r="I6910" t="s">
        <v>17353</v>
      </c>
      <c r="J6910" t="s">
        <v>18892</v>
      </c>
      <c r="K6910">
        <v>10453</v>
      </c>
      <c r="L6910" t="s">
        <v>18958</v>
      </c>
      <c r="M6910" t="s">
        <v>18959</v>
      </c>
      <c r="N6910" t="s">
        <v>23966</v>
      </c>
      <c r="O6910" t="s">
        <v>26526</v>
      </c>
      <c r="P6910" t="s">
        <v>26560</v>
      </c>
      <c r="R6910" t="s">
        <v>26578</v>
      </c>
      <c r="S6910" t="s">
        <v>18958</v>
      </c>
      <c r="U6910" t="s">
        <v>26604</v>
      </c>
      <c r="W6910" t="s">
        <v>781</v>
      </c>
      <c r="X6910">
        <v>949</v>
      </c>
      <c r="Y6910" t="s">
        <v>26650</v>
      </c>
      <c r="Z6910" t="s">
        <v>26663</v>
      </c>
      <c r="AB6910" t="s">
        <v>26813</v>
      </c>
      <c r="AD6910" t="s">
        <v>42276</v>
      </c>
      <c r="AE6910">
        <v>0</v>
      </c>
      <c r="AF6910" t="s">
        <v>45541</v>
      </c>
      <c r="AG6910" t="s">
        <v>45559</v>
      </c>
      <c r="AH6910">
        <v>39</v>
      </c>
      <c r="AI6910">
        <v>1</v>
      </c>
      <c r="AJ6910">
        <v>0</v>
      </c>
      <c r="AK6910">
        <v>328.52</v>
      </c>
      <c r="AN6910" t="s">
        <v>7439</v>
      </c>
      <c r="AO6910">
        <v>41032</v>
      </c>
      <c r="AU6910">
        <v>0</v>
      </c>
      <c r="AW6910" t="s">
        <v>302</v>
      </c>
    </row>
    <row r="6911" spans="1:50">
      <c r="A6911" s="1">
        <f>HYPERLINK("https://lsnyc.legalserver.org/matter/dynamic-profile/view/1889811","19-1889811")</f>
        <v>0</v>
      </c>
      <c r="B6911" t="s">
        <v>100</v>
      </c>
      <c r="C6911" t="s">
        <v>340</v>
      </c>
      <c r="D6911" t="s">
        <v>743</v>
      </c>
      <c r="F6911" t="s">
        <v>1426</v>
      </c>
      <c r="G6911" t="s">
        <v>5208</v>
      </c>
      <c r="H6911" t="s">
        <v>13798</v>
      </c>
      <c r="I6911" t="s">
        <v>17422</v>
      </c>
      <c r="J6911" t="s">
        <v>18892</v>
      </c>
      <c r="K6911">
        <v>10453</v>
      </c>
      <c r="L6911" t="s">
        <v>18958</v>
      </c>
      <c r="M6911" t="s">
        <v>18958</v>
      </c>
      <c r="N6911" t="s">
        <v>23966</v>
      </c>
      <c r="O6911" t="s">
        <v>26526</v>
      </c>
      <c r="P6911" t="s">
        <v>26560</v>
      </c>
      <c r="R6911" t="s">
        <v>26578</v>
      </c>
      <c r="S6911" t="s">
        <v>18958</v>
      </c>
      <c r="U6911" t="s">
        <v>26604</v>
      </c>
      <c r="W6911" t="s">
        <v>781</v>
      </c>
      <c r="X6911">
        <v>1193.81</v>
      </c>
      <c r="Y6911" t="s">
        <v>26650</v>
      </c>
      <c r="Z6911" t="s">
        <v>26663</v>
      </c>
      <c r="AB6911" t="s">
        <v>27983</v>
      </c>
      <c r="AD6911" t="s">
        <v>42277</v>
      </c>
      <c r="AE6911">
        <v>170</v>
      </c>
      <c r="AF6911" t="s">
        <v>45541</v>
      </c>
      <c r="AH6911">
        <v>12</v>
      </c>
      <c r="AI6911">
        <v>2</v>
      </c>
      <c r="AJ6911">
        <v>0</v>
      </c>
      <c r="AK6911">
        <v>37.11</v>
      </c>
      <c r="AN6911" t="s">
        <v>45581</v>
      </c>
      <c r="AO6911">
        <v>6276</v>
      </c>
      <c r="AU6911">
        <v>0</v>
      </c>
      <c r="AW6911" t="s">
        <v>292</v>
      </c>
    </row>
    <row r="6912" spans="1:50">
      <c r="A6912" s="1">
        <f>HYPERLINK("https://lsnyc.legalserver.org/matter/dynamic-profile/view/1891346","19-1891346")</f>
        <v>0</v>
      </c>
      <c r="B6912" t="s">
        <v>100</v>
      </c>
      <c r="C6912" t="s">
        <v>340</v>
      </c>
      <c r="D6912" t="s">
        <v>694</v>
      </c>
      <c r="F6912" t="s">
        <v>916</v>
      </c>
      <c r="G6912" t="s">
        <v>5199</v>
      </c>
      <c r="H6912" t="s">
        <v>13798</v>
      </c>
      <c r="I6912" t="s">
        <v>17411</v>
      </c>
      <c r="J6912" t="s">
        <v>18892</v>
      </c>
      <c r="K6912">
        <v>10453</v>
      </c>
      <c r="L6912" t="s">
        <v>18958</v>
      </c>
      <c r="M6912" t="s">
        <v>18958</v>
      </c>
      <c r="O6912" t="s">
        <v>26534</v>
      </c>
      <c r="P6912" t="s">
        <v>26561</v>
      </c>
      <c r="R6912" t="s">
        <v>26578</v>
      </c>
      <c r="S6912" t="s">
        <v>18958</v>
      </c>
      <c r="U6912" t="s">
        <v>26604</v>
      </c>
      <c r="W6912" t="s">
        <v>781</v>
      </c>
      <c r="X6912">
        <v>1270</v>
      </c>
      <c r="Y6912" t="s">
        <v>26650</v>
      </c>
      <c r="Z6912" t="s">
        <v>26663</v>
      </c>
      <c r="AB6912" t="s">
        <v>31971</v>
      </c>
      <c r="AE6912">
        <v>170</v>
      </c>
      <c r="AF6912" t="s">
        <v>45541</v>
      </c>
      <c r="AG6912" t="s">
        <v>45556</v>
      </c>
      <c r="AH6912">
        <v>8</v>
      </c>
      <c r="AI6912">
        <v>1</v>
      </c>
      <c r="AJ6912">
        <v>0</v>
      </c>
      <c r="AK6912">
        <v>84.36</v>
      </c>
      <c r="AN6912" t="s">
        <v>45581</v>
      </c>
      <c r="AO6912">
        <v>10536</v>
      </c>
      <c r="AU6912">
        <v>0</v>
      </c>
      <c r="AW6912" t="s">
        <v>336</v>
      </c>
    </row>
    <row r="6913" spans="1:49">
      <c r="A6913" s="1">
        <f>HYPERLINK("https://lsnyc.legalserver.org/matter/dynamic-profile/view/1891344","19-1891344")</f>
        <v>0</v>
      </c>
      <c r="B6913" t="s">
        <v>100</v>
      </c>
      <c r="C6913" t="s">
        <v>340</v>
      </c>
      <c r="D6913" t="s">
        <v>694</v>
      </c>
      <c r="F6913" t="s">
        <v>916</v>
      </c>
      <c r="G6913" t="s">
        <v>5199</v>
      </c>
      <c r="H6913" t="s">
        <v>13798</v>
      </c>
      <c r="I6913" t="s">
        <v>17411</v>
      </c>
      <c r="J6913" t="s">
        <v>18892</v>
      </c>
      <c r="K6913">
        <v>10453</v>
      </c>
      <c r="L6913" t="s">
        <v>18958</v>
      </c>
      <c r="M6913" t="s">
        <v>18958</v>
      </c>
      <c r="N6913" t="s">
        <v>23966</v>
      </c>
      <c r="O6913" t="s">
        <v>26526</v>
      </c>
      <c r="P6913" t="s">
        <v>26560</v>
      </c>
      <c r="R6913" t="s">
        <v>26578</v>
      </c>
      <c r="S6913" t="s">
        <v>18958</v>
      </c>
      <c r="U6913" t="s">
        <v>26604</v>
      </c>
      <c r="W6913" t="s">
        <v>781</v>
      </c>
      <c r="X6913">
        <v>1270</v>
      </c>
      <c r="Y6913" t="s">
        <v>26650</v>
      </c>
      <c r="Z6913" t="s">
        <v>26663</v>
      </c>
      <c r="AB6913" t="s">
        <v>31971</v>
      </c>
      <c r="AE6913">
        <v>170</v>
      </c>
      <c r="AF6913" t="s">
        <v>45541</v>
      </c>
      <c r="AG6913" t="s">
        <v>45556</v>
      </c>
      <c r="AH6913">
        <v>8</v>
      </c>
      <c r="AI6913">
        <v>1</v>
      </c>
      <c r="AJ6913">
        <v>0</v>
      </c>
      <c r="AK6913">
        <v>84.36</v>
      </c>
      <c r="AN6913" t="s">
        <v>45581</v>
      </c>
      <c r="AO6913">
        <v>10536</v>
      </c>
      <c r="AU6913">
        <v>0</v>
      </c>
      <c r="AW6913" t="s">
        <v>336</v>
      </c>
    </row>
    <row r="6914" spans="1:49">
      <c r="A6914" s="1">
        <f>HYPERLINK("https://lsnyc.legalserver.org/matter/dynamic-profile/view/1891317","19-1891317")</f>
        <v>0</v>
      </c>
      <c r="B6914" t="s">
        <v>100</v>
      </c>
      <c r="C6914" t="s">
        <v>340</v>
      </c>
      <c r="D6914" t="s">
        <v>694</v>
      </c>
      <c r="F6914" t="s">
        <v>1005</v>
      </c>
      <c r="G6914" t="s">
        <v>8168</v>
      </c>
      <c r="H6914" t="s">
        <v>13798</v>
      </c>
      <c r="I6914" t="s">
        <v>17344</v>
      </c>
      <c r="J6914" t="s">
        <v>18892</v>
      </c>
      <c r="K6914">
        <v>10453</v>
      </c>
      <c r="L6914" t="s">
        <v>18958</v>
      </c>
      <c r="M6914" t="s">
        <v>18958</v>
      </c>
      <c r="O6914" t="s">
        <v>26534</v>
      </c>
      <c r="P6914" t="s">
        <v>26561</v>
      </c>
      <c r="R6914" t="s">
        <v>26578</v>
      </c>
      <c r="S6914" t="s">
        <v>18958</v>
      </c>
      <c r="U6914" t="s">
        <v>26604</v>
      </c>
      <c r="W6914" t="s">
        <v>781</v>
      </c>
      <c r="X6914">
        <v>1140</v>
      </c>
      <c r="Y6914" t="s">
        <v>26650</v>
      </c>
      <c r="Z6914" t="s">
        <v>26663</v>
      </c>
      <c r="AB6914" t="s">
        <v>31972</v>
      </c>
      <c r="AD6914" t="s">
        <v>42278</v>
      </c>
      <c r="AE6914">
        <v>170</v>
      </c>
      <c r="AF6914" t="s">
        <v>45541</v>
      </c>
      <c r="AG6914" t="s">
        <v>19330</v>
      </c>
      <c r="AH6914">
        <v>6</v>
      </c>
      <c r="AI6914">
        <v>1</v>
      </c>
      <c r="AJ6914">
        <v>1</v>
      </c>
      <c r="AK6914">
        <v>187.89</v>
      </c>
      <c r="AN6914" t="s">
        <v>45581</v>
      </c>
      <c r="AO6914">
        <v>31772</v>
      </c>
      <c r="AU6914">
        <v>0</v>
      </c>
      <c r="AW6914" t="s">
        <v>336</v>
      </c>
    </row>
    <row r="6915" spans="1:49">
      <c r="A6915" s="1">
        <f>HYPERLINK("https://lsnyc.legalserver.org/matter/dynamic-profile/view/1891311","19-1891311")</f>
        <v>0</v>
      </c>
      <c r="B6915" t="s">
        <v>100</v>
      </c>
      <c r="C6915" t="s">
        <v>340</v>
      </c>
      <c r="D6915" t="s">
        <v>694</v>
      </c>
      <c r="F6915" t="s">
        <v>1005</v>
      </c>
      <c r="G6915" t="s">
        <v>8168</v>
      </c>
      <c r="H6915" t="s">
        <v>13798</v>
      </c>
      <c r="I6915" t="s">
        <v>17344</v>
      </c>
      <c r="J6915" t="s">
        <v>18892</v>
      </c>
      <c r="K6915">
        <v>10453</v>
      </c>
      <c r="L6915" t="s">
        <v>18958</v>
      </c>
      <c r="M6915" t="s">
        <v>18958</v>
      </c>
      <c r="N6915" t="s">
        <v>23966</v>
      </c>
      <c r="O6915" t="s">
        <v>26526</v>
      </c>
      <c r="P6915" t="s">
        <v>26560</v>
      </c>
      <c r="R6915" t="s">
        <v>26578</v>
      </c>
      <c r="S6915" t="s">
        <v>18958</v>
      </c>
      <c r="U6915" t="s">
        <v>26604</v>
      </c>
      <c r="W6915" t="s">
        <v>781</v>
      </c>
      <c r="X6915">
        <v>1140.4</v>
      </c>
      <c r="Y6915" t="s">
        <v>26650</v>
      </c>
      <c r="Z6915" t="s">
        <v>26663</v>
      </c>
      <c r="AB6915" t="s">
        <v>31972</v>
      </c>
      <c r="AD6915" t="s">
        <v>42278</v>
      </c>
      <c r="AE6915">
        <v>170</v>
      </c>
      <c r="AF6915" t="s">
        <v>45541</v>
      </c>
      <c r="AG6915" t="s">
        <v>19330</v>
      </c>
      <c r="AH6915">
        <v>6</v>
      </c>
      <c r="AI6915">
        <v>1</v>
      </c>
      <c r="AJ6915">
        <v>1</v>
      </c>
      <c r="AK6915">
        <v>187.89</v>
      </c>
      <c r="AN6915" t="s">
        <v>45581</v>
      </c>
      <c r="AO6915">
        <v>31772</v>
      </c>
      <c r="AU6915">
        <v>0</v>
      </c>
      <c r="AW6915" t="s">
        <v>336</v>
      </c>
    </row>
    <row r="6916" spans="1:49">
      <c r="A6916" s="1">
        <f>HYPERLINK("https://lsnyc.legalserver.org/matter/dynamic-profile/view/1890032","19-1890032")</f>
        <v>0</v>
      </c>
      <c r="B6916" t="s">
        <v>100</v>
      </c>
      <c r="C6916" t="s">
        <v>340</v>
      </c>
      <c r="D6916" t="s">
        <v>677</v>
      </c>
      <c r="F6916" t="s">
        <v>3813</v>
      </c>
      <c r="G6916" t="s">
        <v>8169</v>
      </c>
      <c r="H6916" t="s">
        <v>13798</v>
      </c>
      <c r="I6916" t="s">
        <v>18414</v>
      </c>
      <c r="J6916" t="s">
        <v>18892</v>
      </c>
      <c r="K6916">
        <v>10453</v>
      </c>
      <c r="L6916" t="s">
        <v>18958</v>
      </c>
      <c r="M6916" t="s">
        <v>18958</v>
      </c>
      <c r="O6916" t="s">
        <v>26534</v>
      </c>
      <c r="P6916" t="s">
        <v>26561</v>
      </c>
      <c r="R6916" t="s">
        <v>26578</v>
      </c>
      <c r="S6916" t="s">
        <v>18958</v>
      </c>
      <c r="U6916" t="s">
        <v>26604</v>
      </c>
      <c r="W6916" t="s">
        <v>781</v>
      </c>
      <c r="X6916">
        <v>1400</v>
      </c>
      <c r="Y6916" t="s">
        <v>26650</v>
      </c>
      <c r="Z6916" t="s">
        <v>26663</v>
      </c>
      <c r="AB6916" t="s">
        <v>31973</v>
      </c>
      <c r="AD6916" t="s">
        <v>42279</v>
      </c>
      <c r="AE6916">
        <v>170</v>
      </c>
      <c r="AF6916" t="s">
        <v>45541</v>
      </c>
      <c r="AH6916">
        <v>8</v>
      </c>
      <c r="AI6916">
        <v>2</v>
      </c>
      <c r="AJ6916">
        <v>0</v>
      </c>
      <c r="AK6916">
        <v>11.83</v>
      </c>
      <c r="AN6916" t="s">
        <v>45581</v>
      </c>
      <c r="AO6916">
        <v>2000</v>
      </c>
      <c r="AU6916">
        <v>0</v>
      </c>
      <c r="AW6916" t="s">
        <v>292</v>
      </c>
    </row>
    <row r="6917" spans="1:49">
      <c r="A6917" s="1">
        <f>HYPERLINK("https://lsnyc.legalserver.org/matter/dynamic-profile/view/1891390","19-1891390")</f>
        <v>0</v>
      </c>
      <c r="B6917" t="s">
        <v>100</v>
      </c>
      <c r="C6917" t="s">
        <v>340</v>
      </c>
      <c r="D6917" t="s">
        <v>677</v>
      </c>
      <c r="F6917" t="s">
        <v>3498</v>
      </c>
      <c r="G6917" t="s">
        <v>5394</v>
      </c>
      <c r="H6917" t="s">
        <v>13798</v>
      </c>
      <c r="I6917" t="s">
        <v>17323</v>
      </c>
      <c r="J6917" t="s">
        <v>18892</v>
      </c>
      <c r="K6917">
        <v>10453</v>
      </c>
      <c r="L6917" t="s">
        <v>18958</v>
      </c>
      <c r="M6917" t="s">
        <v>18958</v>
      </c>
      <c r="O6917" t="s">
        <v>26534</v>
      </c>
      <c r="P6917" t="s">
        <v>26561</v>
      </c>
      <c r="R6917" t="s">
        <v>26578</v>
      </c>
      <c r="S6917" t="s">
        <v>18958</v>
      </c>
      <c r="U6917" t="s">
        <v>26604</v>
      </c>
      <c r="W6917" t="s">
        <v>781</v>
      </c>
      <c r="X6917">
        <v>1306.45</v>
      </c>
      <c r="Y6917" t="s">
        <v>26650</v>
      </c>
      <c r="Z6917" t="s">
        <v>26663</v>
      </c>
      <c r="AB6917" t="s">
        <v>31974</v>
      </c>
      <c r="AD6917" t="s">
        <v>42280</v>
      </c>
      <c r="AE6917">
        <v>170</v>
      </c>
      <c r="AF6917" t="s">
        <v>45541</v>
      </c>
      <c r="AG6917" t="s">
        <v>19330</v>
      </c>
      <c r="AH6917">
        <v>10</v>
      </c>
      <c r="AI6917">
        <v>3</v>
      </c>
      <c r="AJ6917">
        <v>2</v>
      </c>
      <c r="AK6917">
        <v>68.94</v>
      </c>
      <c r="AN6917" t="s">
        <v>45581</v>
      </c>
      <c r="AO6917">
        <v>20800</v>
      </c>
      <c r="AU6917">
        <v>0</v>
      </c>
      <c r="AW6917" t="s">
        <v>336</v>
      </c>
    </row>
    <row r="6918" spans="1:49">
      <c r="A6918" s="1">
        <f>HYPERLINK("https://lsnyc.legalserver.org/matter/dynamic-profile/view/1891378","19-1891378")</f>
        <v>0</v>
      </c>
      <c r="B6918" t="s">
        <v>100</v>
      </c>
      <c r="C6918" t="s">
        <v>340</v>
      </c>
      <c r="D6918" t="s">
        <v>677</v>
      </c>
      <c r="F6918" t="s">
        <v>3498</v>
      </c>
      <c r="G6918" t="s">
        <v>5394</v>
      </c>
      <c r="H6918" t="s">
        <v>13798</v>
      </c>
      <c r="I6918" t="s">
        <v>17323</v>
      </c>
      <c r="J6918" t="s">
        <v>18892</v>
      </c>
      <c r="K6918">
        <v>10453</v>
      </c>
      <c r="L6918" t="s">
        <v>18958</v>
      </c>
      <c r="M6918" t="s">
        <v>18958</v>
      </c>
      <c r="N6918" t="s">
        <v>23966</v>
      </c>
      <c r="O6918" t="s">
        <v>26526</v>
      </c>
      <c r="P6918" t="s">
        <v>26560</v>
      </c>
      <c r="R6918" t="s">
        <v>26578</v>
      </c>
      <c r="S6918" t="s">
        <v>18958</v>
      </c>
      <c r="U6918" t="s">
        <v>26604</v>
      </c>
      <c r="W6918" t="s">
        <v>781</v>
      </c>
      <c r="X6918">
        <v>1306.45</v>
      </c>
      <c r="Y6918" t="s">
        <v>26650</v>
      </c>
      <c r="Z6918" t="s">
        <v>26663</v>
      </c>
      <c r="AB6918" t="s">
        <v>31974</v>
      </c>
      <c r="AD6918" t="s">
        <v>42280</v>
      </c>
      <c r="AE6918">
        <v>170</v>
      </c>
      <c r="AF6918" t="s">
        <v>45541</v>
      </c>
      <c r="AG6918" t="s">
        <v>19330</v>
      </c>
      <c r="AH6918">
        <v>10</v>
      </c>
      <c r="AI6918">
        <v>3</v>
      </c>
      <c r="AJ6918">
        <v>2</v>
      </c>
      <c r="AK6918">
        <v>68.94</v>
      </c>
      <c r="AN6918" t="s">
        <v>45581</v>
      </c>
      <c r="AO6918">
        <v>20800</v>
      </c>
      <c r="AU6918">
        <v>0</v>
      </c>
      <c r="AW6918" t="s">
        <v>336</v>
      </c>
    </row>
    <row r="6919" spans="1:49">
      <c r="A6919" s="1">
        <f>HYPERLINK("https://lsnyc.legalserver.org/matter/dynamic-profile/view/1891305","19-1891305")</f>
        <v>0</v>
      </c>
      <c r="B6919" t="s">
        <v>100</v>
      </c>
      <c r="C6919" t="s">
        <v>340</v>
      </c>
      <c r="D6919" t="s">
        <v>677</v>
      </c>
      <c r="F6919" t="s">
        <v>2975</v>
      </c>
      <c r="G6919" t="s">
        <v>6687</v>
      </c>
      <c r="H6919" t="s">
        <v>13798</v>
      </c>
      <c r="I6919" t="s">
        <v>17284</v>
      </c>
      <c r="J6919" t="s">
        <v>18892</v>
      </c>
      <c r="K6919">
        <v>10453</v>
      </c>
      <c r="L6919" t="s">
        <v>18958</v>
      </c>
      <c r="M6919" t="s">
        <v>18958</v>
      </c>
      <c r="O6919" t="s">
        <v>26534</v>
      </c>
      <c r="P6919" t="s">
        <v>26561</v>
      </c>
      <c r="R6919" t="s">
        <v>26578</v>
      </c>
      <c r="S6919" t="s">
        <v>18958</v>
      </c>
      <c r="U6919" t="s">
        <v>26604</v>
      </c>
      <c r="W6919" t="s">
        <v>781</v>
      </c>
      <c r="X6919">
        <v>868</v>
      </c>
      <c r="Y6919" t="s">
        <v>26650</v>
      </c>
      <c r="Z6919" t="s">
        <v>26663</v>
      </c>
      <c r="AB6919" t="s">
        <v>27031</v>
      </c>
      <c r="AD6919" t="s">
        <v>42281</v>
      </c>
      <c r="AE6919">
        <v>170</v>
      </c>
      <c r="AF6919" t="s">
        <v>45541</v>
      </c>
      <c r="AG6919" t="s">
        <v>45560</v>
      </c>
      <c r="AH6919">
        <v>8</v>
      </c>
      <c r="AI6919">
        <v>1</v>
      </c>
      <c r="AJ6919">
        <v>0</v>
      </c>
      <c r="AK6919">
        <v>71.09999999999999</v>
      </c>
      <c r="AN6919" t="s">
        <v>45581</v>
      </c>
      <c r="AO6919">
        <v>8880</v>
      </c>
      <c r="AU6919">
        <v>0</v>
      </c>
      <c r="AW6919" t="s">
        <v>336</v>
      </c>
    </row>
    <row r="6920" spans="1:49">
      <c r="A6920" s="1">
        <f>HYPERLINK("https://lsnyc.legalserver.org/matter/dynamic-profile/view/1891302","19-1891302")</f>
        <v>0</v>
      </c>
      <c r="B6920" t="s">
        <v>100</v>
      </c>
      <c r="C6920" t="s">
        <v>340</v>
      </c>
      <c r="D6920" t="s">
        <v>677</v>
      </c>
      <c r="F6920" t="s">
        <v>2975</v>
      </c>
      <c r="G6920" t="s">
        <v>6687</v>
      </c>
      <c r="H6920" t="s">
        <v>13798</v>
      </c>
      <c r="I6920" t="s">
        <v>17284</v>
      </c>
      <c r="J6920" t="s">
        <v>18892</v>
      </c>
      <c r="K6920">
        <v>10453</v>
      </c>
      <c r="L6920" t="s">
        <v>18958</v>
      </c>
      <c r="M6920" t="s">
        <v>18958</v>
      </c>
      <c r="N6920" t="s">
        <v>23966</v>
      </c>
      <c r="O6920" t="s">
        <v>26526</v>
      </c>
      <c r="P6920" t="s">
        <v>26560</v>
      </c>
      <c r="R6920" t="s">
        <v>26578</v>
      </c>
      <c r="S6920" t="s">
        <v>18958</v>
      </c>
      <c r="U6920" t="s">
        <v>26604</v>
      </c>
      <c r="W6920" t="s">
        <v>781</v>
      </c>
      <c r="X6920">
        <v>868</v>
      </c>
      <c r="Y6920" t="s">
        <v>26650</v>
      </c>
      <c r="Z6920" t="s">
        <v>26663</v>
      </c>
      <c r="AB6920" t="s">
        <v>27031</v>
      </c>
      <c r="AD6920" t="s">
        <v>42281</v>
      </c>
      <c r="AE6920">
        <v>170</v>
      </c>
      <c r="AF6920" t="s">
        <v>45541</v>
      </c>
      <c r="AG6920" t="s">
        <v>45560</v>
      </c>
      <c r="AH6920">
        <v>8</v>
      </c>
      <c r="AI6920">
        <v>1</v>
      </c>
      <c r="AJ6920">
        <v>0</v>
      </c>
      <c r="AK6920">
        <v>71.09999999999999</v>
      </c>
      <c r="AN6920" t="s">
        <v>45581</v>
      </c>
      <c r="AO6920">
        <v>8880</v>
      </c>
      <c r="AU6920">
        <v>0</v>
      </c>
      <c r="AW6920" t="s">
        <v>336</v>
      </c>
    </row>
    <row r="6921" spans="1:49">
      <c r="A6921" s="1">
        <f>HYPERLINK("https://lsnyc.legalserver.org/matter/dynamic-profile/view/1891409","19-1891409")</f>
        <v>0</v>
      </c>
      <c r="B6921" t="s">
        <v>100</v>
      </c>
      <c r="C6921" t="s">
        <v>340</v>
      </c>
      <c r="D6921" t="s">
        <v>677</v>
      </c>
      <c r="F6921" t="s">
        <v>1190</v>
      </c>
      <c r="G6921" t="s">
        <v>8170</v>
      </c>
      <c r="H6921" t="s">
        <v>13798</v>
      </c>
      <c r="I6921" t="s">
        <v>17618</v>
      </c>
      <c r="J6921" t="s">
        <v>18892</v>
      </c>
      <c r="K6921">
        <v>10453</v>
      </c>
      <c r="L6921" t="s">
        <v>18958</v>
      </c>
      <c r="M6921" t="s">
        <v>18958</v>
      </c>
      <c r="N6921" t="s">
        <v>23966</v>
      </c>
      <c r="O6921" t="s">
        <v>26526</v>
      </c>
      <c r="P6921" t="s">
        <v>26560</v>
      </c>
      <c r="R6921" t="s">
        <v>26578</v>
      </c>
      <c r="S6921" t="s">
        <v>18958</v>
      </c>
      <c r="U6921" t="s">
        <v>26604</v>
      </c>
      <c r="W6921" t="s">
        <v>781</v>
      </c>
      <c r="X6921">
        <v>97</v>
      </c>
      <c r="Y6921" t="s">
        <v>26650</v>
      </c>
      <c r="Z6921" t="s">
        <v>26663</v>
      </c>
      <c r="AB6921" t="s">
        <v>31975</v>
      </c>
      <c r="AD6921" t="s">
        <v>42282</v>
      </c>
      <c r="AE6921">
        <v>170</v>
      </c>
      <c r="AF6921" t="s">
        <v>45541</v>
      </c>
      <c r="AG6921" t="s">
        <v>45556</v>
      </c>
      <c r="AH6921">
        <v>35</v>
      </c>
      <c r="AI6921">
        <v>1</v>
      </c>
      <c r="AJ6921">
        <v>0</v>
      </c>
      <c r="AK6921">
        <v>81.67</v>
      </c>
      <c r="AN6921" t="s">
        <v>45581</v>
      </c>
      <c r="AO6921">
        <v>10200</v>
      </c>
      <c r="AU6921">
        <v>0</v>
      </c>
      <c r="AW6921" t="s">
        <v>336</v>
      </c>
    </row>
    <row r="6922" spans="1:49">
      <c r="A6922" s="1">
        <f>HYPERLINK("https://lsnyc.legalserver.org/matter/dynamic-profile/view/1891900","19-1891900")</f>
        <v>0</v>
      </c>
      <c r="B6922" t="s">
        <v>100</v>
      </c>
      <c r="C6922" t="s">
        <v>340</v>
      </c>
      <c r="D6922" t="s">
        <v>677</v>
      </c>
      <c r="F6922" t="s">
        <v>1876</v>
      </c>
      <c r="G6922" t="s">
        <v>6557</v>
      </c>
      <c r="H6922" t="s">
        <v>14513</v>
      </c>
      <c r="J6922" t="s">
        <v>18892</v>
      </c>
      <c r="K6922">
        <v>10453</v>
      </c>
      <c r="L6922" t="s">
        <v>18958</v>
      </c>
      <c r="M6922" t="s">
        <v>18958</v>
      </c>
      <c r="N6922" t="s">
        <v>23966</v>
      </c>
      <c r="O6922" t="s">
        <v>26526</v>
      </c>
      <c r="P6922" t="s">
        <v>26560</v>
      </c>
      <c r="R6922" t="s">
        <v>26578</v>
      </c>
      <c r="S6922" t="s">
        <v>18958</v>
      </c>
      <c r="U6922" t="s">
        <v>26604</v>
      </c>
      <c r="W6922" t="s">
        <v>781</v>
      </c>
      <c r="X6922">
        <v>1069.18</v>
      </c>
      <c r="Y6922" t="s">
        <v>26650</v>
      </c>
      <c r="Z6922" t="s">
        <v>26667</v>
      </c>
      <c r="AB6922" t="s">
        <v>30375</v>
      </c>
      <c r="AD6922" t="s">
        <v>42283</v>
      </c>
      <c r="AE6922">
        <v>170</v>
      </c>
      <c r="AF6922" t="s">
        <v>45541</v>
      </c>
      <c r="AG6922" t="s">
        <v>45556</v>
      </c>
      <c r="AH6922">
        <v>33</v>
      </c>
      <c r="AI6922">
        <v>1</v>
      </c>
      <c r="AJ6922">
        <v>0</v>
      </c>
      <c r="AK6922">
        <v>84.06999999999999</v>
      </c>
      <c r="AN6922" t="s">
        <v>7439</v>
      </c>
      <c r="AO6922">
        <v>10500</v>
      </c>
      <c r="AU6922">
        <v>0</v>
      </c>
      <c r="AW6922" t="s">
        <v>329</v>
      </c>
    </row>
    <row r="6923" spans="1:49">
      <c r="A6923" s="1">
        <f>HYPERLINK("https://lsnyc.legalserver.org/matter/dynamic-profile/view/1890052","19-1890052")</f>
        <v>0</v>
      </c>
      <c r="B6923" t="s">
        <v>100</v>
      </c>
      <c r="C6923" t="s">
        <v>340</v>
      </c>
      <c r="D6923" t="s">
        <v>677</v>
      </c>
      <c r="F6923" t="s">
        <v>1228</v>
      </c>
      <c r="G6923" t="s">
        <v>5394</v>
      </c>
      <c r="H6923" t="s">
        <v>13798</v>
      </c>
      <c r="I6923" t="s">
        <v>17379</v>
      </c>
      <c r="J6923" t="s">
        <v>18892</v>
      </c>
      <c r="K6923">
        <v>10453</v>
      </c>
      <c r="L6923" t="s">
        <v>18958</v>
      </c>
      <c r="M6923" t="s">
        <v>18958</v>
      </c>
      <c r="O6923" t="s">
        <v>26534</v>
      </c>
      <c r="P6923" t="s">
        <v>26561</v>
      </c>
      <c r="R6923" t="s">
        <v>26578</v>
      </c>
      <c r="S6923" t="s">
        <v>18958</v>
      </c>
      <c r="U6923" t="s">
        <v>26604</v>
      </c>
      <c r="W6923" t="s">
        <v>781</v>
      </c>
      <c r="X6923">
        <v>1319</v>
      </c>
      <c r="Y6923" t="s">
        <v>26650</v>
      </c>
      <c r="Z6923" t="s">
        <v>26663</v>
      </c>
      <c r="AB6923" t="s">
        <v>31976</v>
      </c>
      <c r="AE6923">
        <v>170</v>
      </c>
      <c r="AF6923" t="s">
        <v>45541</v>
      </c>
      <c r="AH6923">
        <v>12</v>
      </c>
      <c r="AI6923">
        <v>2</v>
      </c>
      <c r="AJ6923">
        <v>2</v>
      </c>
      <c r="AK6923">
        <v>97.09</v>
      </c>
      <c r="AN6923" t="s">
        <v>45581</v>
      </c>
      <c r="AO6923">
        <v>25000</v>
      </c>
      <c r="AU6923">
        <v>0</v>
      </c>
      <c r="AW6923" t="s">
        <v>292</v>
      </c>
    </row>
    <row r="6924" spans="1:49">
      <c r="A6924" s="1">
        <f>HYPERLINK("https://lsnyc.legalserver.org/matter/dynamic-profile/view/1890043","19-1890043")</f>
        <v>0</v>
      </c>
      <c r="B6924" t="s">
        <v>100</v>
      </c>
      <c r="C6924" t="s">
        <v>340</v>
      </c>
      <c r="D6924" t="s">
        <v>677</v>
      </c>
      <c r="F6924" t="s">
        <v>1228</v>
      </c>
      <c r="G6924" t="s">
        <v>5394</v>
      </c>
      <c r="H6924" t="s">
        <v>13798</v>
      </c>
      <c r="I6924" t="s">
        <v>17379</v>
      </c>
      <c r="J6924" t="s">
        <v>18892</v>
      </c>
      <c r="K6924">
        <v>10453</v>
      </c>
      <c r="L6924" t="s">
        <v>18958</v>
      </c>
      <c r="M6924" t="s">
        <v>18958</v>
      </c>
      <c r="N6924" t="s">
        <v>23966</v>
      </c>
      <c r="O6924" t="s">
        <v>26526</v>
      </c>
      <c r="P6924" t="s">
        <v>26560</v>
      </c>
      <c r="R6924" t="s">
        <v>26578</v>
      </c>
      <c r="S6924" t="s">
        <v>18958</v>
      </c>
      <c r="U6924" t="s">
        <v>26604</v>
      </c>
      <c r="W6924" t="s">
        <v>781</v>
      </c>
      <c r="X6924">
        <v>1319</v>
      </c>
      <c r="Y6924" t="s">
        <v>26650</v>
      </c>
      <c r="Z6924" t="s">
        <v>26663</v>
      </c>
      <c r="AB6924" t="s">
        <v>31976</v>
      </c>
      <c r="AE6924">
        <v>170</v>
      </c>
      <c r="AF6924" t="s">
        <v>45541</v>
      </c>
      <c r="AH6924">
        <v>12</v>
      </c>
      <c r="AI6924">
        <v>2</v>
      </c>
      <c r="AJ6924">
        <v>2</v>
      </c>
      <c r="AK6924">
        <v>97.09</v>
      </c>
      <c r="AN6924" t="s">
        <v>45581</v>
      </c>
      <c r="AO6924">
        <v>25000</v>
      </c>
      <c r="AU6924">
        <v>0</v>
      </c>
      <c r="AW6924" t="s">
        <v>292</v>
      </c>
    </row>
    <row r="6925" spans="1:49">
      <c r="A6925" s="1">
        <f>HYPERLINK("https://lsnyc.legalserver.org/matter/dynamic-profile/view/1891393","19-1891393")</f>
        <v>0</v>
      </c>
      <c r="B6925" t="s">
        <v>100</v>
      </c>
      <c r="C6925" t="s">
        <v>340</v>
      </c>
      <c r="D6925" t="s">
        <v>677</v>
      </c>
      <c r="F6925" t="s">
        <v>925</v>
      </c>
      <c r="G6925" t="s">
        <v>5147</v>
      </c>
      <c r="H6925" t="s">
        <v>13798</v>
      </c>
      <c r="I6925" t="s">
        <v>17702</v>
      </c>
      <c r="J6925" t="s">
        <v>18892</v>
      </c>
      <c r="K6925">
        <v>10453</v>
      </c>
      <c r="L6925" t="s">
        <v>18958</v>
      </c>
      <c r="M6925" t="s">
        <v>18958</v>
      </c>
      <c r="O6925" t="s">
        <v>26534</v>
      </c>
      <c r="P6925" t="s">
        <v>26561</v>
      </c>
      <c r="R6925" t="s">
        <v>26578</v>
      </c>
      <c r="S6925" t="s">
        <v>18958</v>
      </c>
      <c r="U6925" t="s">
        <v>26604</v>
      </c>
      <c r="W6925" t="s">
        <v>781</v>
      </c>
      <c r="X6925">
        <v>900</v>
      </c>
      <c r="Y6925" t="s">
        <v>26650</v>
      </c>
      <c r="Z6925" t="s">
        <v>26663</v>
      </c>
      <c r="AB6925" t="s">
        <v>31977</v>
      </c>
      <c r="AD6925" t="s">
        <v>42284</v>
      </c>
      <c r="AE6925">
        <v>170</v>
      </c>
      <c r="AF6925" t="s">
        <v>45541</v>
      </c>
      <c r="AG6925" t="s">
        <v>19330</v>
      </c>
      <c r="AH6925">
        <v>12</v>
      </c>
      <c r="AI6925">
        <v>2</v>
      </c>
      <c r="AJ6925">
        <v>0</v>
      </c>
      <c r="AK6925">
        <v>99.34999999999999</v>
      </c>
      <c r="AN6925" t="s">
        <v>7439</v>
      </c>
      <c r="AO6925">
        <v>16800</v>
      </c>
      <c r="AU6925">
        <v>0</v>
      </c>
      <c r="AW6925" t="s">
        <v>336</v>
      </c>
    </row>
    <row r="6926" spans="1:49">
      <c r="A6926" s="1">
        <f>HYPERLINK("https://lsnyc.legalserver.org/matter/dynamic-profile/view/1891395","19-1891395")</f>
        <v>0</v>
      </c>
      <c r="B6926" t="s">
        <v>100</v>
      </c>
      <c r="C6926" t="s">
        <v>340</v>
      </c>
      <c r="D6926" t="s">
        <v>677</v>
      </c>
      <c r="F6926" t="s">
        <v>925</v>
      </c>
      <c r="G6926" t="s">
        <v>5147</v>
      </c>
      <c r="H6926" t="s">
        <v>13798</v>
      </c>
      <c r="I6926" t="s">
        <v>17702</v>
      </c>
      <c r="J6926" t="s">
        <v>18892</v>
      </c>
      <c r="K6926">
        <v>10453</v>
      </c>
      <c r="L6926" t="s">
        <v>18958</v>
      </c>
      <c r="M6926" t="s">
        <v>18958</v>
      </c>
      <c r="N6926" t="s">
        <v>23966</v>
      </c>
      <c r="O6926" t="s">
        <v>26526</v>
      </c>
      <c r="P6926" t="s">
        <v>26560</v>
      </c>
      <c r="R6926" t="s">
        <v>26578</v>
      </c>
      <c r="S6926" t="s">
        <v>18958</v>
      </c>
      <c r="U6926" t="s">
        <v>26604</v>
      </c>
      <c r="W6926" t="s">
        <v>781</v>
      </c>
      <c r="X6926">
        <v>900</v>
      </c>
      <c r="Y6926" t="s">
        <v>26650</v>
      </c>
      <c r="Z6926" t="s">
        <v>26663</v>
      </c>
      <c r="AB6926" t="s">
        <v>31977</v>
      </c>
      <c r="AD6926" t="s">
        <v>42284</v>
      </c>
      <c r="AE6926">
        <v>170</v>
      </c>
      <c r="AF6926" t="s">
        <v>45541</v>
      </c>
      <c r="AG6926" t="s">
        <v>19330</v>
      </c>
      <c r="AH6926">
        <v>12</v>
      </c>
      <c r="AI6926">
        <v>2</v>
      </c>
      <c r="AJ6926">
        <v>0</v>
      </c>
      <c r="AK6926">
        <v>99.34999999999999</v>
      </c>
      <c r="AN6926" t="s">
        <v>7439</v>
      </c>
      <c r="AO6926">
        <v>16800</v>
      </c>
      <c r="AU6926">
        <v>0</v>
      </c>
      <c r="AW6926" t="s">
        <v>336</v>
      </c>
    </row>
    <row r="6927" spans="1:49">
      <c r="A6927" s="1">
        <f>HYPERLINK("https://lsnyc.legalserver.org/matter/dynamic-profile/view/1890026","19-1890026")</f>
        <v>0</v>
      </c>
      <c r="B6927" t="s">
        <v>100</v>
      </c>
      <c r="C6927" t="s">
        <v>340</v>
      </c>
      <c r="D6927" t="s">
        <v>677</v>
      </c>
      <c r="F6927" t="s">
        <v>3813</v>
      </c>
      <c r="G6927" t="s">
        <v>8169</v>
      </c>
      <c r="H6927" t="s">
        <v>13798</v>
      </c>
      <c r="I6927" t="s">
        <v>18414</v>
      </c>
      <c r="J6927" t="s">
        <v>18892</v>
      </c>
      <c r="K6927">
        <v>10453</v>
      </c>
      <c r="L6927" t="s">
        <v>18958</v>
      </c>
      <c r="M6927" t="s">
        <v>18958</v>
      </c>
      <c r="N6927" t="s">
        <v>23966</v>
      </c>
      <c r="O6927" t="s">
        <v>26526</v>
      </c>
      <c r="P6927" t="s">
        <v>26560</v>
      </c>
      <c r="R6927" t="s">
        <v>26578</v>
      </c>
      <c r="S6927" t="s">
        <v>18958</v>
      </c>
      <c r="U6927" t="s">
        <v>26604</v>
      </c>
      <c r="W6927" t="s">
        <v>781</v>
      </c>
      <c r="X6927">
        <v>1400</v>
      </c>
      <c r="Y6927" t="s">
        <v>26650</v>
      </c>
      <c r="Z6927" t="s">
        <v>26663</v>
      </c>
      <c r="AB6927" t="s">
        <v>31973</v>
      </c>
      <c r="AD6927" t="s">
        <v>42279</v>
      </c>
      <c r="AE6927">
        <v>170</v>
      </c>
      <c r="AF6927" t="s">
        <v>45541</v>
      </c>
      <c r="AH6927">
        <v>8</v>
      </c>
      <c r="AI6927">
        <v>2</v>
      </c>
      <c r="AJ6927">
        <v>0</v>
      </c>
      <c r="AK6927">
        <v>118.27</v>
      </c>
      <c r="AN6927" t="s">
        <v>45581</v>
      </c>
      <c r="AO6927">
        <v>20000</v>
      </c>
      <c r="AU6927">
        <v>0</v>
      </c>
      <c r="AW6927" t="s">
        <v>292</v>
      </c>
    </row>
    <row r="6928" spans="1:49">
      <c r="A6928" s="1">
        <f>HYPERLINK("https://lsnyc.legalserver.org/matter/dynamic-profile/view/1891359","19-1891359")</f>
        <v>0</v>
      </c>
      <c r="B6928" t="s">
        <v>100</v>
      </c>
      <c r="C6928" t="s">
        <v>340</v>
      </c>
      <c r="D6928" t="s">
        <v>677</v>
      </c>
      <c r="F6928" t="s">
        <v>1442</v>
      </c>
      <c r="G6928" t="s">
        <v>8171</v>
      </c>
      <c r="H6928" t="s">
        <v>13798</v>
      </c>
      <c r="I6928" t="s">
        <v>18415</v>
      </c>
      <c r="J6928" t="s">
        <v>18892</v>
      </c>
      <c r="K6928">
        <v>10453</v>
      </c>
      <c r="L6928" t="s">
        <v>18958</v>
      </c>
      <c r="M6928" t="s">
        <v>18958</v>
      </c>
      <c r="O6928" t="s">
        <v>26534</v>
      </c>
      <c r="P6928" t="s">
        <v>26561</v>
      </c>
      <c r="R6928" t="s">
        <v>26578</v>
      </c>
      <c r="S6928" t="s">
        <v>18958</v>
      </c>
      <c r="U6928" t="s">
        <v>26604</v>
      </c>
      <c r="W6928" t="s">
        <v>781</v>
      </c>
      <c r="X6928">
        <v>802.4400000000001</v>
      </c>
      <c r="Y6928" t="s">
        <v>26650</v>
      </c>
      <c r="Z6928" t="s">
        <v>26663</v>
      </c>
      <c r="AB6928" t="s">
        <v>31978</v>
      </c>
      <c r="AD6928" t="s">
        <v>42285</v>
      </c>
      <c r="AE6928">
        <v>170</v>
      </c>
      <c r="AF6928" t="s">
        <v>45541</v>
      </c>
      <c r="AG6928" t="s">
        <v>19330</v>
      </c>
      <c r="AH6928">
        <v>30</v>
      </c>
      <c r="AI6928">
        <v>2</v>
      </c>
      <c r="AJ6928">
        <v>0</v>
      </c>
      <c r="AK6928">
        <v>124.19</v>
      </c>
      <c r="AN6928" t="s">
        <v>7439</v>
      </c>
      <c r="AO6928">
        <v>21000</v>
      </c>
      <c r="AU6928">
        <v>0</v>
      </c>
      <c r="AW6928" t="s">
        <v>336</v>
      </c>
    </row>
    <row r="6929" spans="1:49">
      <c r="A6929" s="1">
        <f>HYPERLINK("https://lsnyc.legalserver.org/matter/dynamic-profile/view/1891355","19-1891355")</f>
        <v>0</v>
      </c>
      <c r="B6929" t="s">
        <v>100</v>
      </c>
      <c r="C6929" t="s">
        <v>340</v>
      </c>
      <c r="D6929" t="s">
        <v>677</v>
      </c>
      <c r="F6929" t="s">
        <v>1442</v>
      </c>
      <c r="G6929" t="s">
        <v>8171</v>
      </c>
      <c r="H6929" t="s">
        <v>13798</v>
      </c>
      <c r="I6929" t="s">
        <v>18415</v>
      </c>
      <c r="J6929" t="s">
        <v>18892</v>
      </c>
      <c r="K6929">
        <v>10453</v>
      </c>
      <c r="L6929" t="s">
        <v>18958</v>
      </c>
      <c r="M6929" t="s">
        <v>18958</v>
      </c>
      <c r="N6929" t="s">
        <v>23966</v>
      </c>
      <c r="O6929" t="s">
        <v>26526</v>
      </c>
      <c r="P6929" t="s">
        <v>26560</v>
      </c>
      <c r="R6929" t="s">
        <v>26578</v>
      </c>
      <c r="S6929" t="s">
        <v>18958</v>
      </c>
      <c r="U6929" t="s">
        <v>26604</v>
      </c>
      <c r="W6929" t="s">
        <v>781</v>
      </c>
      <c r="X6929">
        <v>802.4400000000001</v>
      </c>
      <c r="Y6929" t="s">
        <v>26650</v>
      </c>
      <c r="Z6929" t="s">
        <v>26663</v>
      </c>
      <c r="AB6929" t="s">
        <v>31978</v>
      </c>
      <c r="AD6929" t="s">
        <v>42285</v>
      </c>
      <c r="AE6929">
        <v>170</v>
      </c>
      <c r="AF6929" t="s">
        <v>45541</v>
      </c>
      <c r="AG6929" t="s">
        <v>19330</v>
      </c>
      <c r="AH6929">
        <v>30</v>
      </c>
      <c r="AI6929">
        <v>2</v>
      </c>
      <c r="AJ6929">
        <v>0</v>
      </c>
      <c r="AK6929">
        <v>124.19</v>
      </c>
      <c r="AN6929" t="s">
        <v>7439</v>
      </c>
      <c r="AO6929">
        <v>21000</v>
      </c>
      <c r="AU6929">
        <v>0.5</v>
      </c>
      <c r="AV6929" t="s">
        <v>779</v>
      </c>
      <c r="AW6929" t="s">
        <v>336</v>
      </c>
    </row>
    <row r="6930" spans="1:49">
      <c r="A6930" s="1">
        <f>HYPERLINK("https://lsnyc.legalserver.org/matter/dynamic-profile/view/1891325","19-1891325")</f>
        <v>0</v>
      </c>
      <c r="B6930" t="s">
        <v>100</v>
      </c>
      <c r="C6930" t="s">
        <v>340</v>
      </c>
      <c r="D6930" t="s">
        <v>677</v>
      </c>
      <c r="F6930" t="s">
        <v>3814</v>
      </c>
      <c r="G6930" t="s">
        <v>5381</v>
      </c>
      <c r="H6930" t="s">
        <v>13798</v>
      </c>
      <c r="I6930" t="s">
        <v>17570</v>
      </c>
      <c r="J6930" t="s">
        <v>18892</v>
      </c>
      <c r="K6930">
        <v>10453</v>
      </c>
      <c r="L6930" t="s">
        <v>18958</v>
      </c>
      <c r="M6930" t="s">
        <v>18958</v>
      </c>
      <c r="O6930" t="s">
        <v>26534</v>
      </c>
      <c r="P6930" t="s">
        <v>26561</v>
      </c>
      <c r="R6930" t="s">
        <v>26578</v>
      </c>
      <c r="S6930" t="s">
        <v>18958</v>
      </c>
      <c r="U6930" t="s">
        <v>26604</v>
      </c>
      <c r="W6930" t="s">
        <v>781</v>
      </c>
      <c r="X6930">
        <v>781.77</v>
      </c>
      <c r="Y6930" t="s">
        <v>26650</v>
      </c>
      <c r="Z6930" t="s">
        <v>26663</v>
      </c>
      <c r="AB6930" t="s">
        <v>30685</v>
      </c>
      <c r="AE6930">
        <v>170</v>
      </c>
      <c r="AF6930" t="s">
        <v>45541</v>
      </c>
      <c r="AH6930">
        <v>12</v>
      </c>
      <c r="AI6930">
        <v>1</v>
      </c>
      <c r="AJ6930">
        <v>1</v>
      </c>
      <c r="AK6930">
        <v>153.76</v>
      </c>
      <c r="AN6930" t="s">
        <v>45581</v>
      </c>
      <c r="AO6930">
        <v>26000</v>
      </c>
      <c r="AU6930">
        <v>0</v>
      </c>
      <c r="AW6930" t="s">
        <v>292</v>
      </c>
    </row>
    <row r="6931" spans="1:49">
      <c r="A6931" s="1">
        <f>HYPERLINK("https://lsnyc.legalserver.org/matter/dynamic-profile/view/1891294","19-1891294")</f>
        <v>0</v>
      </c>
      <c r="B6931" t="s">
        <v>100</v>
      </c>
      <c r="C6931" t="s">
        <v>340</v>
      </c>
      <c r="D6931" t="s">
        <v>677</v>
      </c>
      <c r="F6931" t="s">
        <v>3814</v>
      </c>
      <c r="G6931" t="s">
        <v>5381</v>
      </c>
      <c r="H6931" t="s">
        <v>13798</v>
      </c>
      <c r="I6931" t="s">
        <v>17570</v>
      </c>
      <c r="J6931" t="s">
        <v>18892</v>
      </c>
      <c r="K6931">
        <v>10453</v>
      </c>
      <c r="L6931" t="s">
        <v>18958</v>
      </c>
      <c r="M6931" t="s">
        <v>18958</v>
      </c>
      <c r="N6931" t="s">
        <v>23966</v>
      </c>
      <c r="O6931" t="s">
        <v>26526</v>
      </c>
      <c r="P6931" t="s">
        <v>26560</v>
      </c>
      <c r="R6931" t="s">
        <v>26578</v>
      </c>
      <c r="S6931" t="s">
        <v>18958</v>
      </c>
      <c r="U6931" t="s">
        <v>26604</v>
      </c>
      <c r="W6931" t="s">
        <v>781</v>
      </c>
      <c r="X6931">
        <v>781.77</v>
      </c>
      <c r="Y6931" t="s">
        <v>26650</v>
      </c>
      <c r="Z6931" t="s">
        <v>26663</v>
      </c>
      <c r="AB6931" t="s">
        <v>30685</v>
      </c>
      <c r="AE6931">
        <v>170</v>
      </c>
      <c r="AF6931" t="s">
        <v>45541</v>
      </c>
      <c r="AH6931">
        <v>12</v>
      </c>
      <c r="AI6931">
        <v>1</v>
      </c>
      <c r="AJ6931">
        <v>1</v>
      </c>
      <c r="AK6931">
        <v>153.76</v>
      </c>
      <c r="AN6931" t="s">
        <v>45581</v>
      </c>
      <c r="AO6931">
        <v>26000</v>
      </c>
      <c r="AU6931">
        <v>0</v>
      </c>
      <c r="AW6931" t="s">
        <v>292</v>
      </c>
    </row>
    <row r="6932" spans="1:49">
      <c r="A6932" s="1">
        <f>HYPERLINK("https://lsnyc.legalserver.org/matter/dynamic-profile/view/1891401","19-1891401")</f>
        <v>0</v>
      </c>
      <c r="B6932" t="s">
        <v>100</v>
      </c>
      <c r="C6932" t="s">
        <v>340</v>
      </c>
      <c r="D6932" t="s">
        <v>677</v>
      </c>
      <c r="F6932" t="s">
        <v>3815</v>
      </c>
      <c r="G6932" t="s">
        <v>5349</v>
      </c>
      <c r="H6932" t="s">
        <v>13798</v>
      </c>
      <c r="I6932" t="s">
        <v>17480</v>
      </c>
      <c r="J6932" t="s">
        <v>18892</v>
      </c>
      <c r="K6932">
        <v>10453</v>
      </c>
      <c r="L6932" t="s">
        <v>18958</v>
      </c>
      <c r="M6932" t="s">
        <v>18958</v>
      </c>
      <c r="O6932" t="s">
        <v>26534</v>
      </c>
      <c r="P6932" t="s">
        <v>26561</v>
      </c>
      <c r="R6932" t="s">
        <v>26578</v>
      </c>
      <c r="S6932" t="s">
        <v>18958</v>
      </c>
      <c r="U6932" t="s">
        <v>26604</v>
      </c>
      <c r="W6932" t="s">
        <v>781</v>
      </c>
      <c r="X6932">
        <v>900</v>
      </c>
      <c r="Y6932" t="s">
        <v>26650</v>
      </c>
      <c r="Z6932" t="s">
        <v>26663</v>
      </c>
      <c r="AB6932" t="s">
        <v>31979</v>
      </c>
      <c r="AD6932" t="s">
        <v>42286</v>
      </c>
      <c r="AE6932">
        <v>170</v>
      </c>
      <c r="AF6932" t="s">
        <v>45541</v>
      </c>
      <c r="AG6932" t="s">
        <v>45556</v>
      </c>
      <c r="AH6932">
        <v>10</v>
      </c>
      <c r="AI6932">
        <v>1</v>
      </c>
      <c r="AJ6932">
        <v>3</v>
      </c>
      <c r="AK6932">
        <v>177.91</v>
      </c>
      <c r="AN6932" t="s">
        <v>45581</v>
      </c>
      <c r="AO6932">
        <v>45812</v>
      </c>
      <c r="AU6932">
        <v>0</v>
      </c>
      <c r="AW6932" t="s">
        <v>336</v>
      </c>
    </row>
    <row r="6933" spans="1:49">
      <c r="A6933" s="1">
        <f>HYPERLINK("https://lsnyc.legalserver.org/matter/dynamic-profile/view/1891397","19-1891397")</f>
        <v>0</v>
      </c>
      <c r="B6933" t="s">
        <v>100</v>
      </c>
      <c r="C6933" t="s">
        <v>340</v>
      </c>
      <c r="D6933" t="s">
        <v>677</v>
      </c>
      <c r="F6933" t="s">
        <v>3815</v>
      </c>
      <c r="G6933" t="s">
        <v>5349</v>
      </c>
      <c r="H6933" t="s">
        <v>13798</v>
      </c>
      <c r="I6933" t="s">
        <v>17480</v>
      </c>
      <c r="J6933" t="s">
        <v>18892</v>
      </c>
      <c r="K6933">
        <v>10453</v>
      </c>
      <c r="L6933" t="s">
        <v>18958</v>
      </c>
      <c r="M6933" t="s">
        <v>18958</v>
      </c>
      <c r="N6933" t="s">
        <v>23966</v>
      </c>
      <c r="O6933" t="s">
        <v>26526</v>
      </c>
      <c r="P6933" t="s">
        <v>26560</v>
      </c>
      <c r="R6933" t="s">
        <v>26578</v>
      </c>
      <c r="S6933" t="s">
        <v>18958</v>
      </c>
      <c r="U6933" t="s">
        <v>26604</v>
      </c>
      <c r="W6933" t="s">
        <v>781</v>
      </c>
      <c r="X6933">
        <v>900</v>
      </c>
      <c r="Y6933" t="s">
        <v>26650</v>
      </c>
      <c r="Z6933" t="s">
        <v>26663</v>
      </c>
      <c r="AB6933" t="s">
        <v>31979</v>
      </c>
      <c r="AD6933" t="s">
        <v>42286</v>
      </c>
      <c r="AE6933">
        <v>170</v>
      </c>
      <c r="AF6933" t="s">
        <v>45541</v>
      </c>
      <c r="AG6933" t="s">
        <v>45556</v>
      </c>
      <c r="AH6933">
        <v>10</v>
      </c>
      <c r="AI6933">
        <v>1</v>
      </c>
      <c r="AJ6933">
        <v>3</v>
      </c>
      <c r="AK6933">
        <v>177.91</v>
      </c>
      <c r="AN6933" t="s">
        <v>45581</v>
      </c>
      <c r="AO6933">
        <v>45812</v>
      </c>
      <c r="AU6933">
        <v>0</v>
      </c>
      <c r="AW6933" t="s">
        <v>336</v>
      </c>
    </row>
    <row r="6934" spans="1:49">
      <c r="A6934" s="1">
        <f>HYPERLINK("https://lsnyc.legalserver.org/matter/dynamic-profile/view/1891835","19-1891835")</f>
        <v>0</v>
      </c>
      <c r="B6934" t="s">
        <v>100</v>
      </c>
      <c r="C6934" t="s">
        <v>340</v>
      </c>
      <c r="D6934" t="s">
        <v>677</v>
      </c>
      <c r="F6934" t="s">
        <v>3816</v>
      </c>
      <c r="G6934" t="s">
        <v>1627</v>
      </c>
      <c r="H6934" t="s">
        <v>13798</v>
      </c>
      <c r="I6934" t="s">
        <v>18416</v>
      </c>
      <c r="J6934" t="s">
        <v>18892</v>
      </c>
      <c r="K6934">
        <v>10453</v>
      </c>
      <c r="L6934" t="s">
        <v>18958</v>
      </c>
      <c r="M6934" t="s">
        <v>18958</v>
      </c>
      <c r="O6934" t="s">
        <v>26534</v>
      </c>
      <c r="P6934" t="s">
        <v>26561</v>
      </c>
      <c r="R6934" t="s">
        <v>26578</v>
      </c>
      <c r="S6934" t="s">
        <v>18958</v>
      </c>
      <c r="U6934" t="s">
        <v>26604</v>
      </c>
      <c r="W6934" t="s">
        <v>781</v>
      </c>
      <c r="X6934">
        <v>1523</v>
      </c>
      <c r="Y6934" t="s">
        <v>26650</v>
      </c>
      <c r="Z6934" t="s">
        <v>26663</v>
      </c>
      <c r="AB6934" t="s">
        <v>31053</v>
      </c>
      <c r="AD6934" t="s">
        <v>42287</v>
      </c>
      <c r="AE6934">
        <v>170</v>
      </c>
      <c r="AF6934" t="s">
        <v>45541</v>
      </c>
      <c r="AG6934" t="s">
        <v>19330</v>
      </c>
      <c r="AH6934">
        <v>7</v>
      </c>
      <c r="AI6934">
        <v>1</v>
      </c>
      <c r="AJ6934">
        <v>0</v>
      </c>
      <c r="AK6934">
        <v>187.35</v>
      </c>
      <c r="AN6934" t="s">
        <v>45581</v>
      </c>
      <c r="AO6934">
        <v>23400</v>
      </c>
      <c r="AU6934">
        <v>0</v>
      </c>
      <c r="AW6934" t="s">
        <v>336</v>
      </c>
    </row>
    <row r="6935" spans="1:49">
      <c r="A6935" s="1">
        <f>HYPERLINK("https://lsnyc.legalserver.org/matter/dynamic-profile/view/1891826","19-1891826")</f>
        <v>0</v>
      </c>
      <c r="B6935" t="s">
        <v>100</v>
      </c>
      <c r="C6935" t="s">
        <v>340</v>
      </c>
      <c r="D6935" t="s">
        <v>677</v>
      </c>
      <c r="F6935" t="s">
        <v>3816</v>
      </c>
      <c r="G6935" t="s">
        <v>1627</v>
      </c>
      <c r="H6935" t="s">
        <v>13798</v>
      </c>
      <c r="I6935" t="s">
        <v>18416</v>
      </c>
      <c r="J6935" t="s">
        <v>18892</v>
      </c>
      <c r="K6935">
        <v>10453</v>
      </c>
      <c r="L6935" t="s">
        <v>18958</v>
      </c>
      <c r="M6935" t="s">
        <v>18958</v>
      </c>
      <c r="N6935" t="s">
        <v>23966</v>
      </c>
      <c r="O6935" t="s">
        <v>26526</v>
      </c>
      <c r="P6935" t="s">
        <v>26560</v>
      </c>
      <c r="R6935" t="s">
        <v>26578</v>
      </c>
      <c r="S6935" t="s">
        <v>18958</v>
      </c>
      <c r="U6935" t="s">
        <v>26604</v>
      </c>
      <c r="W6935" t="s">
        <v>781</v>
      </c>
      <c r="X6935">
        <v>1523</v>
      </c>
      <c r="Y6935" t="s">
        <v>26650</v>
      </c>
      <c r="Z6935" t="s">
        <v>26663</v>
      </c>
      <c r="AB6935" t="s">
        <v>31053</v>
      </c>
      <c r="AD6935" t="s">
        <v>42287</v>
      </c>
      <c r="AE6935">
        <v>170</v>
      </c>
      <c r="AF6935" t="s">
        <v>45541</v>
      </c>
      <c r="AG6935" t="s">
        <v>19330</v>
      </c>
      <c r="AH6935">
        <v>7</v>
      </c>
      <c r="AI6935">
        <v>1</v>
      </c>
      <c r="AJ6935">
        <v>0</v>
      </c>
      <c r="AK6935">
        <v>187.35</v>
      </c>
      <c r="AN6935" t="s">
        <v>45581</v>
      </c>
      <c r="AO6935">
        <v>23400</v>
      </c>
      <c r="AU6935">
        <v>0</v>
      </c>
      <c r="AW6935" t="s">
        <v>336</v>
      </c>
    </row>
    <row r="6936" spans="1:49">
      <c r="A6936" s="1">
        <f>HYPERLINK("https://lsnyc.legalserver.org/matter/dynamic-profile/view/1891324","19-1891324")</f>
        <v>0</v>
      </c>
      <c r="B6936" t="s">
        <v>100</v>
      </c>
      <c r="C6936" t="s">
        <v>340</v>
      </c>
      <c r="D6936" t="s">
        <v>677</v>
      </c>
      <c r="F6936" t="s">
        <v>1314</v>
      </c>
      <c r="G6936" t="s">
        <v>7546</v>
      </c>
      <c r="H6936" t="s">
        <v>13798</v>
      </c>
      <c r="I6936" t="s">
        <v>17389</v>
      </c>
      <c r="J6936" t="s">
        <v>18892</v>
      </c>
      <c r="K6936">
        <v>10453</v>
      </c>
      <c r="L6936" t="s">
        <v>18958</v>
      </c>
      <c r="M6936" t="s">
        <v>18958</v>
      </c>
      <c r="O6936" t="s">
        <v>26534</v>
      </c>
      <c r="P6936" t="s">
        <v>26561</v>
      </c>
      <c r="R6936" t="s">
        <v>26578</v>
      </c>
      <c r="S6936" t="s">
        <v>18958</v>
      </c>
      <c r="U6936" t="s">
        <v>26604</v>
      </c>
      <c r="W6936" t="s">
        <v>781</v>
      </c>
      <c r="X6936">
        <v>685.84</v>
      </c>
      <c r="Y6936" t="s">
        <v>26650</v>
      </c>
      <c r="Z6936" t="s">
        <v>26663</v>
      </c>
      <c r="AB6936" t="s">
        <v>31980</v>
      </c>
      <c r="AE6936">
        <v>170</v>
      </c>
      <c r="AF6936" t="s">
        <v>45541</v>
      </c>
      <c r="AG6936" t="s">
        <v>19330</v>
      </c>
      <c r="AH6936">
        <v>40</v>
      </c>
      <c r="AI6936">
        <v>2</v>
      </c>
      <c r="AJ6936">
        <v>0</v>
      </c>
      <c r="AK6936">
        <v>196.57</v>
      </c>
      <c r="AN6936" t="s">
        <v>7439</v>
      </c>
      <c r="AO6936">
        <v>33240</v>
      </c>
      <c r="AU6936">
        <v>0</v>
      </c>
      <c r="AW6936" t="s">
        <v>336</v>
      </c>
    </row>
    <row r="6937" spans="1:49">
      <c r="A6937" s="1">
        <f>HYPERLINK("https://lsnyc.legalserver.org/matter/dynamic-profile/view/1891319","19-1891319")</f>
        <v>0</v>
      </c>
      <c r="B6937" t="s">
        <v>100</v>
      </c>
      <c r="C6937" t="s">
        <v>340</v>
      </c>
      <c r="D6937" t="s">
        <v>677</v>
      </c>
      <c r="F6937" t="s">
        <v>1314</v>
      </c>
      <c r="G6937" t="s">
        <v>7546</v>
      </c>
      <c r="H6937" t="s">
        <v>13798</v>
      </c>
      <c r="I6937" t="s">
        <v>17389</v>
      </c>
      <c r="J6937" t="s">
        <v>18892</v>
      </c>
      <c r="K6937">
        <v>10453</v>
      </c>
      <c r="L6937" t="s">
        <v>18958</v>
      </c>
      <c r="M6937" t="s">
        <v>18958</v>
      </c>
      <c r="N6937" t="s">
        <v>23966</v>
      </c>
      <c r="O6937" t="s">
        <v>26526</v>
      </c>
      <c r="P6937" t="s">
        <v>26560</v>
      </c>
      <c r="R6937" t="s">
        <v>26578</v>
      </c>
      <c r="S6937" t="s">
        <v>18958</v>
      </c>
      <c r="U6937" t="s">
        <v>26604</v>
      </c>
      <c r="W6937" t="s">
        <v>781</v>
      </c>
      <c r="X6937">
        <v>685.84</v>
      </c>
      <c r="Y6937" t="s">
        <v>26650</v>
      </c>
      <c r="Z6937" t="s">
        <v>26663</v>
      </c>
      <c r="AB6937" t="s">
        <v>31980</v>
      </c>
      <c r="AE6937">
        <v>170</v>
      </c>
      <c r="AF6937" t="s">
        <v>45541</v>
      </c>
      <c r="AG6937" t="s">
        <v>19330</v>
      </c>
      <c r="AH6937">
        <v>40</v>
      </c>
      <c r="AI6937">
        <v>2</v>
      </c>
      <c r="AJ6937">
        <v>0</v>
      </c>
      <c r="AK6937">
        <v>196.57</v>
      </c>
      <c r="AN6937" t="s">
        <v>7439</v>
      </c>
      <c r="AO6937">
        <v>33240</v>
      </c>
      <c r="AU6937">
        <v>0</v>
      </c>
      <c r="AW6937" t="s">
        <v>336</v>
      </c>
    </row>
    <row r="6938" spans="1:49">
      <c r="A6938" s="1">
        <f>HYPERLINK("https://lsnyc.legalserver.org/matter/dynamic-profile/view/1891413","19-1891413")</f>
        <v>0</v>
      </c>
      <c r="B6938" t="s">
        <v>100</v>
      </c>
      <c r="C6938" t="s">
        <v>340</v>
      </c>
      <c r="D6938" t="s">
        <v>677</v>
      </c>
      <c r="F6938" t="s">
        <v>953</v>
      </c>
      <c r="G6938" t="s">
        <v>7645</v>
      </c>
      <c r="H6938" t="s">
        <v>13798</v>
      </c>
      <c r="I6938" t="s">
        <v>18243</v>
      </c>
      <c r="J6938" t="s">
        <v>18892</v>
      </c>
      <c r="K6938">
        <v>10453</v>
      </c>
      <c r="L6938" t="s">
        <v>18958</v>
      </c>
      <c r="M6938" t="s">
        <v>18958</v>
      </c>
      <c r="O6938" t="s">
        <v>26534</v>
      </c>
      <c r="P6938" t="s">
        <v>26561</v>
      </c>
      <c r="R6938" t="s">
        <v>26578</v>
      </c>
      <c r="S6938" t="s">
        <v>18958</v>
      </c>
      <c r="U6938" t="s">
        <v>26604</v>
      </c>
      <c r="W6938" t="s">
        <v>781</v>
      </c>
      <c r="X6938">
        <v>873.27</v>
      </c>
      <c r="Y6938" t="s">
        <v>26650</v>
      </c>
      <c r="Z6938" t="s">
        <v>26663</v>
      </c>
      <c r="AB6938" t="s">
        <v>30434</v>
      </c>
      <c r="AD6938" t="s">
        <v>42288</v>
      </c>
      <c r="AE6938">
        <v>170</v>
      </c>
      <c r="AF6938" t="s">
        <v>45541</v>
      </c>
      <c r="AG6938" t="s">
        <v>19330</v>
      </c>
      <c r="AH6938">
        <v>28</v>
      </c>
      <c r="AI6938">
        <v>1</v>
      </c>
      <c r="AJ6938">
        <v>1</v>
      </c>
      <c r="AK6938">
        <v>295.68</v>
      </c>
      <c r="AN6938" t="s">
        <v>7439</v>
      </c>
      <c r="AO6938">
        <v>50000</v>
      </c>
      <c r="AU6938">
        <v>0</v>
      </c>
      <c r="AW6938" t="s">
        <v>336</v>
      </c>
    </row>
    <row r="6939" spans="1:49">
      <c r="A6939" s="1">
        <f>HYPERLINK("https://lsnyc.legalserver.org/matter/dynamic-profile/view/1891412","19-1891412")</f>
        <v>0</v>
      </c>
      <c r="B6939" t="s">
        <v>100</v>
      </c>
      <c r="C6939" t="s">
        <v>340</v>
      </c>
      <c r="D6939" t="s">
        <v>677</v>
      </c>
      <c r="F6939" t="s">
        <v>953</v>
      </c>
      <c r="G6939" t="s">
        <v>7645</v>
      </c>
      <c r="H6939" t="s">
        <v>13798</v>
      </c>
      <c r="I6939" t="s">
        <v>18243</v>
      </c>
      <c r="J6939" t="s">
        <v>18892</v>
      </c>
      <c r="K6939">
        <v>10453</v>
      </c>
      <c r="L6939" t="s">
        <v>18958</v>
      </c>
      <c r="M6939" t="s">
        <v>18958</v>
      </c>
      <c r="N6939" t="s">
        <v>23966</v>
      </c>
      <c r="O6939" t="s">
        <v>26526</v>
      </c>
      <c r="P6939" t="s">
        <v>26560</v>
      </c>
      <c r="R6939" t="s">
        <v>26578</v>
      </c>
      <c r="S6939" t="s">
        <v>18958</v>
      </c>
      <c r="U6939" t="s">
        <v>26604</v>
      </c>
      <c r="W6939" t="s">
        <v>781</v>
      </c>
      <c r="X6939">
        <v>87327</v>
      </c>
      <c r="Y6939" t="s">
        <v>26650</v>
      </c>
      <c r="Z6939" t="s">
        <v>26663</v>
      </c>
      <c r="AB6939" t="s">
        <v>30434</v>
      </c>
      <c r="AD6939" t="s">
        <v>42288</v>
      </c>
      <c r="AE6939">
        <v>170</v>
      </c>
      <c r="AF6939" t="s">
        <v>45541</v>
      </c>
      <c r="AG6939" t="s">
        <v>19330</v>
      </c>
      <c r="AH6939">
        <v>28</v>
      </c>
      <c r="AI6939">
        <v>1</v>
      </c>
      <c r="AJ6939">
        <v>1</v>
      </c>
      <c r="AK6939">
        <v>295.68</v>
      </c>
      <c r="AN6939" t="s">
        <v>7439</v>
      </c>
      <c r="AO6939">
        <v>50000</v>
      </c>
      <c r="AU6939">
        <v>0</v>
      </c>
      <c r="AW6939" t="s">
        <v>336</v>
      </c>
    </row>
    <row r="6940" spans="1:49">
      <c r="A6940" s="1">
        <f>HYPERLINK("https://lsnyc.legalserver.org/matter/dynamic-profile/view/1890005","19-1890005")</f>
        <v>0</v>
      </c>
      <c r="B6940" t="s">
        <v>100</v>
      </c>
      <c r="C6940" t="s">
        <v>340</v>
      </c>
      <c r="D6940" t="s">
        <v>677</v>
      </c>
      <c r="F6940" t="s">
        <v>2766</v>
      </c>
      <c r="G6940" t="s">
        <v>5322</v>
      </c>
      <c r="H6940" t="s">
        <v>13798</v>
      </c>
      <c r="I6940" t="s">
        <v>17939</v>
      </c>
      <c r="J6940" t="s">
        <v>18892</v>
      </c>
      <c r="K6940">
        <v>10453</v>
      </c>
      <c r="L6940" t="s">
        <v>18958</v>
      </c>
      <c r="M6940" t="s">
        <v>18958</v>
      </c>
      <c r="O6940" t="s">
        <v>26534</v>
      </c>
      <c r="P6940" t="s">
        <v>26561</v>
      </c>
      <c r="R6940" t="s">
        <v>26578</v>
      </c>
      <c r="S6940" t="s">
        <v>18958</v>
      </c>
      <c r="U6940" t="s">
        <v>26604</v>
      </c>
      <c r="W6940" t="s">
        <v>781</v>
      </c>
      <c r="X6940">
        <v>897</v>
      </c>
      <c r="Y6940" t="s">
        <v>26650</v>
      </c>
      <c r="Z6940" t="s">
        <v>26663</v>
      </c>
      <c r="AB6940" t="s">
        <v>31981</v>
      </c>
      <c r="AD6940" t="s">
        <v>42289</v>
      </c>
      <c r="AE6940">
        <v>170</v>
      </c>
      <c r="AF6940" t="s">
        <v>45541</v>
      </c>
      <c r="AH6940">
        <v>23</v>
      </c>
      <c r="AI6940">
        <v>1</v>
      </c>
      <c r="AJ6940">
        <v>0</v>
      </c>
      <c r="AK6940">
        <v>480.38</v>
      </c>
      <c r="AN6940" t="s">
        <v>7439</v>
      </c>
      <c r="AO6940">
        <v>60000</v>
      </c>
      <c r="AU6940">
        <v>0</v>
      </c>
      <c r="AW6940" t="s">
        <v>292</v>
      </c>
    </row>
    <row r="6941" spans="1:49">
      <c r="A6941" s="1">
        <f>HYPERLINK("https://lsnyc.legalserver.org/matter/dynamic-profile/view/1889994","19-1889994")</f>
        <v>0</v>
      </c>
      <c r="B6941" t="s">
        <v>100</v>
      </c>
      <c r="C6941" t="s">
        <v>340</v>
      </c>
      <c r="D6941" t="s">
        <v>677</v>
      </c>
      <c r="F6941" t="s">
        <v>2766</v>
      </c>
      <c r="G6941" t="s">
        <v>5322</v>
      </c>
      <c r="H6941" t="s">
        <v>13798</v>
      </c>
      <c r="I6941" t="s">
        <v>17939</v>
      </c>
      <c r="J6941" t="s">
        <v>18892</v>
      </c>
      <c r="K6941">
        <v>10453</v>
      </c>
      <c r="L6941" t="s">
        <v>18958</v>
      </c>
      <c r="M6941" t="s">
        <v>18958</v>
      </c>
      <c r="N6941" t="s">
        <v>23966</v>
      </c>
      <c r="O6941" t="s">
        <v>26526</v>
      </c>
      <c r="P6941" t="s">
        <v>26560</v>
      </c>
      <c r="R6941" t="s">
        <v>26578</v>
      </c>
      <c r="S6941" t="s">
        <v>18958</v>
      </c>
      <c r="U6941" t="s">
        <v>26604</v>
      </c>
      <c r="W6941" t="s">
        <v>781</v>
      </c>
      <c r="X6941">
        <v>897</v>
      </c>
      <c r="Y6941" t="s">
        <v>26650</v>
      </c>
      <c r="Z6941" t="s">
        <v>26663</v>
      </c>
      <c r="AB6941" t="s">
        <v>31981</v>
      </c>
      <c r="AD6941" t="s">
        <v>42289</v>
      </c>
      <c r="AE6941">
        <v>170</v>
      </c>
      <c r="AF6941" t="s">
        <v>45541</v>
      </c>
      <c r="AH6941">
        <v>23</v>
      </c>
      <c r="AI6941">
        <v>1</v>
      </c>
      <c r="AJ6941">
        <v>0</v>
      </c>
      <c r="AK6941">
        <v>480.38</v>
      </c>
      <c r="AN6941" t="s">
        <v>7439</v>
      </c>
      <c r="AO6941">
        <v>60000</v>
      </c>
      <c r="AU6941">
        <v>0</v>
      </c>
      <c r="AW6941" t="s">
        <v>292</v>
      </c>
    </row>
    <row r="6942" spans="1:49">
      <c r="A6942" s="1">
        <f>HYPERLINK("https://lsnyc.legalserver.org/matter/dynamic-profile/view/1889505","19-1889505")</f>
        <v>0</v>
      </c>
      <c r="B6942" t="s">
        <v>174</v>
      </c>
      <c r="C6942" t="s">
        <v>340</v>
      </c>
      <c r="D6942" t="s">
        <v>735</v>
      </c>
      <c r="F6942" t="s">
        <v>1072</v>
      </c>
      <c r="G6942" t="s">
        <v>5177</v>
      </c>
      <c r="H6942" t="s">
        <v>11185</v>
      </c>
      <c r="I6942" t="s">
        <v>17309</v>
      </c>
      <c r="J6942" t="s">
        <v>18894</v>
      </c>
      <c r="K6942">
        <v>11207</v>
      </c>
      <c r="L6942" t="s">
        <v>18959</v>
      </c>
      <c r="M6942" t="s">
        <v>18959</v>
      </c>
      <c r="N6942" t="s">
        <v>23967</v>
      </c>
      <c r="O6942" t="s">
        <v>26523</v>
      </c>
      <c r="P6942" t="s">
        <v>26560</v>
      </c>
      <c r="R6942" t="s">
        <v>26578</v>
      </c>
      <c r="S6942" t="s">
        <v>18959</v>
      </c>
      <c r="U6942" t="s">
        <v>26604</v>
      </c>
      <c r="V6942" t="s">
        <v>26610</v>
      </c>
      <c r="W6942" t="s">
        <v>781</v>
      </c>
      <c r="X6942">
        <v>1250</v>
      </c>
      <c r="Y6942" t="s">
        <v>26652</v>
      </c>
      <c r="Z6942" t="s">
        <v>26659</v>
      </c>
      <c r="AB6942" t="s">
        <v>28372</v>
      </c>
      <c r="AC6942" t="s">
        <v>36242</v>
      </c>
      <c r="AD6942" t="s">
        <v>38424</v>
      </c>
      <c r="AE6942">
        <v>6</v>
      </c>
      <c r="AF6942" t="s">
        <v>45541</v>
      </c>
      <c r="AG6942" t="s">
        <v>45557</v>
      </c>
      <c r="AH6942">
        <v>4</v>
      </c>
      <c r="AI6942">
        <v>1</v>
      </c>
      <c r="AJ6942">
        <v>0</v>
      </c>
      <c r="AK6942">
        <v>72.06</v>
      </c>
      <c r="AN6942" t="s">
        <v>7439</v>
      </c>
      <c r="AO6942">
        <v>9000</v>
      </c>
      <c r="AU6942">
        <v>12.5</v>
      </c>
      <c r="AV6942" t="s">
        <v>768</v>
      </c>
      <c r="AW6942" t="s">
        <v>279</v>
      </c>
    </row>
    <row r="6943" spans="1:49">
      <c r="A6943" s="1">
        <f>HYPERLINK("https://lsnyc.legalserver.org/matter/dynamic-profile/view/1889700","19-1889700")</f>
        <v>0</v>
      </c>
      <c r="B6943" t="s">
        <v>67</v>
      </c>
      <c r="C6943" t="s">
        <v>340</v>
      </c>
      <c r="D6943" t="s">
        <v>739</v>
      </c>
      <c r="F6943" t="s">
        <v>1026</v>
      </c>
      <c r="G6943" t="s">
        <v>6202</v>
      </c>
      <c r="H6943" t="s">
        <v>10156</v>
      </c>
      <c r="I6943" t="s">
        <v>17302</v>
      </c>
      <c r="J6943" t="s">
        <v>18892</v>
      </c>
      <c r="K6943">
        <v>10456</v>
      </c>
      <c r="L6943" t="s">
        <v>18958</v>
      </c>
      <c r="M6943" t="s">
        <v>18958</v>
      </c>
      <c r="O6943" t="s">
        <v>26534</v>
      </c>
      <c r="P6943" t="s">
        <v>26561</v>
      </c>
      <c r="R6943" t="s">
        <v>26578</v>
      </c>
      <c r="S6943" t="s">
        <v>18958</v>
      </c>
      <c r="U6943" t="s">
        <v>26604</v>
      </c>
      <c r="W6943" t="s">
        <v>781</v>
      </c>
      <c r="X6943">
        <v>1200.58</v>
      </c>
      <c r="Y6943" t="s">
        <v>26650</v>
      </c>
      <c r="Z6943" t="s">
        <v>26663</v>
      </c>
      <c r="AB6943" t="s">
        <v>28428</v>
      </c>
      <c r="AD6943" t="s">
        <v>38483</v>
      </c>
      <c r="AE6943">
        <v>131</v>
      </c>
      <c r="AF6943" t="s">
        <v>45541</v>
      </c>
      <c r="AG6943" t="s">
        <v>19330</v>
      </c>
      <c r="AH6943">
        <v>7</v>
      </c>
      <c r="AI6943">
        <v>3</v>
      </c>
      <c r="AJ6943">
        <v>1</v>
      </c>
      <c r="AK6943">
        <v>100.37</v>
      </c>
      <c r="AN6943" t="s">
        <v>45581</v>
      </c>
      <c r="AO6943">
        <v>25844</v>
      </c>
      <c r="AU6943">
        <v>0</v>
      </c>
      <c r="AW6943" t="s">
        <v>336</v>
      </c>
    </row>
    <row r="6944" spans="1:49">
      <c r="A6944" s="1">
        <f>HYPERLINK("https://lsnyc.legalserver.org/matter/dynamic-profile/view/1889697","19-1889697")</f>
        <v>0</v>
      </c>
      <c r="B6944" t="s">
        <v>67</v>
      </c>
      <c r="C6944" t="s">
        <v>340</v>
      </c>
      <c r="D6944" t="s">
        <v>739</v>
      </c>
      <c r="F6944" t="s">
        <v>1812</v>
      </c>
      <c r="G6944" t="s">
        <v>6001</v>
      </c>
      <c r="H6944" t="s">
        <v>10156</v>
      </c>
      <c r="I6944" t="s">
        <v>17603</v>
      </c>
      <c r="J6944" t="s">
        <v>18892</v>
      </c>
      <c r="K6944">
        <v>10456</v>
      </c>
      <c r="L6944" t="s">
        <v>18958</v>
      </c>
      <c r="M6944" t="s">
        <v>18958</v>
      </c>
      <c r="O6944" t="s">
        <v>26534</v>
      </c>
      <c r="P6944" t="s">
        <v>26561</v>
      </c>
      <c r="R6944" t="s">
        <v>26578</v>
      </c>
      <c r="S6944" t="s">
        <v>18958</v>
      </c>
      <c r="U6944" t="s">
        <v>26604</v>
      </c>
      <c r="W6944" t="s">
        <v>781</v>
      </c>
      <c r="X6944">
        <v>1268.04</v>
      </c>
      <c r="Y6944" t="s">
        <v>26650</v>
      </c>
      <c r="Z6944" t="s">
        <v>26663</v>
      </c>
      <c r="AB6944" t="s">
        <v>27864</v>
      </c>
      <c r="AD6944" t="s">
        <v>38106</v>
      </c>
      <c r="AE6944">
        <v>131</v>
      </c>
      <c r="AF6944" t="s">
        <v>45541</v>
      </c>
      <c r="AG6944" t="s">
        <v>19330</v>
      </c>
      <c r="AH6944">
        <v>21</v>
      </c>
      <c r="AI6944">
        <v>3</v>
      </c>
      <c r="AJ6944">
        <v>0</v>
      </c>
      <c r="AK6944">
        <v>164.09</v>
      </c>
      <c r="AN6944" t="s">
        <v>45581</v>
      </c>
      <c r="AO6944">
        <v>35000</v>
      </c>
      <c r="AU6944">
        <v>0</v>
      </c>
      <c r="AW6944" t="s">
        <v>336</v>
      </c>
    </row>
    <row r="6945" spans="1:49">
      <c r="A6945" s="1">
        <f>HYPERLINK("https://lsnyc.legalserver.org/matter/dynamic-profile/view/1889950","19-1889950")</f>
        <v>0</v>
      </c>
      <c r="B6945" t="s">
        <v>100</v>
      </c>
      <c r="C6945" t="s">
        <v>340</v>
      </c>
      <c r="D6945" t="s">
        <v>744</v>
      </c>
      <c r="F6945" t="s">
        <v>3817</v>
      </c>
      <c r="G6945" t="s">
        <v>7236</v>
      </c>
      <c r="H6945" t="s">
        <v>13798</v>
      </c>
      <c r="I6945" t="s">
        <v>17362</v>
      </c>
      <c r="J6945" t="s">
        <v>18892</v>
      </c>
      <c r="K6945">
        <v>10453</v>
      </c>
      <c r="L6945" t="s">
        <v>18958</v>
      </c>
      <c r="M6945" t="s">
        <v>18958</v>
      </c>
      <c r="O6945" t="s">
        <v>26534</v>
      </c>
      <c r="P6945" t="s">
        <v>26561</v>
      </c>
      <c r="R6945" t="s">
        <v>26578</v>
      </c>
      <c r="S6945" t="s">
        <v>18958</v>
      </c>
      <c r="U6945" t="s">
        <v>26604</v>
      </c>
      <c r="W6945" t="s">
        <v>781</v>
      </c>
      <c r="X6945">
        <v>1273</v>
      </c>
      <c r="Y6945" t="s">
        <v>26650</v>
      </c>
      <c r="Z6945" t="s">
        <v>26663</v>
      </c>
      <c r="AB6945" t="s">
        <v>27997</v>
      </c>
      <c r="AE6945">
        <v>167</v>
      </c>
      <c r="AF6945" t="s">
        <v>45541</v>
      </c>
      <c r="AG6945" t="s">
        <v>19330</v>
      </c>
      <c r="AH6945">
        <v>11</v>
      </c>
      <c r="AI6945">
        <v>2</v>
      </c>
      <c r="AJ6945">
        <v>2</v>
      </c>
      <c r="AK6945">
        <v>0</v>
      </c>
      <c r="AN6945" t="s">
        <v>45581</v>
      </c>
      <c r="AO6945">
        <v>0</v>
      </c>
      <c r="AU6945">
        <v>0</v>
      </c>
      <c r="AW6945" t="s">
        <v>46847</v>
      </c>
    </row>
    <row r="6946" spans="1:49">
      <c r="A6946" s="1">
        <f>HYPERLINK("https://lsnyc.legalserver.org/matter/dynamic-profile/view/1890012","19-1890012")</f>
        <v>0</v>
      </c>
      <c r="B6946" t="s">
        <v>100</v>
      </c>
      <c r="C6946" t="s">
        <v>340</v>
      </c>
      <c r="D6946" t="s">
        <v>744</v>
      </c>
      <c r="F6946" t="s">
        <v>979</v>
      </c>
      <c r="G6946" t="s">
        <v>5345</v>
      </c>
      <c r="H6946" t="s">
        <v>13798</v>
      </c>
      <c r="I6946" t="s">
        <v>18122</v>
      </c>
      <c r="J6946" t="s">
        <v>18892</v>
      </c>
      <c r="K6946">
        <v>10453</v>
      </c>
      <c r="L6946" t="s">
        <v>18958</v>
      </c>
      <c r="M6946" t="s">
        <v>18958</v>
      </c>
      <c r="O6946" t="s">
        <v>26534</v>
      </c>
      <c r="P6946" t="s">
        <v>26561</v>
      </c>
      <c r="R6946" t="s">
        <v>26578</v>
      </c>
      <c r="S6946" t="s">
        <v>18958</v>
      </c>
      <c r="U6946" t="s">
        <v>26604</v>
      </c>
      <c r="W6946" t="s">
        <v>781</v>
      </c>
      <c r="X6946">
        <v>1091</v>
      </c>
      <c r="Y6946" t="s">
        <v>26650</v>
      </c>
      <c r="Z6946" t="s">
        <v>26663</v>
      </c>
      <c r="AB6946" t="s">
        <v>30429</v>
      </c>
      <c r="AD6946" t="s">
        <v>42290</v>
      </c>
      <c r="AE6946">
        <v>167</v>
      </c>
      <c r="AF6946" t="s">
        <v>45541</v>
      </c>
      <c r="AG6946" t="s">
        <v>45557</v>
      </c>
      <c r="AH6946">
        <v>12</v>
      </c>
      <c r="AI6946">
        <v>1</v>
      </c>
      <c r="AJ6946">
        <v>2</v>
      </c>
      <c r="AK6946">
        <v>41.63</v>
      </c>
      <c r="AN6946" t="s">
        <v>45581</v>
      </c>
      <c r="AO6946">
        <v>8880</v>
      </c>
      <c r="AU6946">
        <v>0</v>
      </c>
      <c r="AW6946" t="s">
        <v>46847</v>
      </c>
    </row>
    <row r="6947" spans="1:49">
      <c r="A6947" s="1">
        <f>HYPERLINK("https://lsnyc.legalserver.org/matter/dynamic-profile/view/1890002","19-1890002")</f>
        <v>0</v>
      </c>
      <c r="B6947" t="s">
        <v>100</v>
      </c>
      <c r="C6947" t="s">
        <v>340</v>
      </c>
      <c r="D6947" t="s">
        <v>744</v>
      </c>
      <c r="F6947" t="s">
        <v>3818</v>
      </c>
      <c r="G6947" t="s">
        <v>6715</v>
      </c>
      <c r="H6947" t="s">
        <v>13798</v>
      </c>
      <c r="I6947" t="s">
        <v>18377</v>
      </c>
      <c r="J6947" t="s">
        <v>18892</v>
      </c>
      <c r="K6947">
        <v>10453</v>
      </c>
      <c r="L6947" t="s">
        <v>18958</v>
      </c>
      <c r="M6947" t="s">
        <v>18958</v>
      </c>
      <c r="O6947" t="s">
        <v>26534</v>
      </c>
      <c r="P6947" t="s">
        <v>26561</v>
      </c>
      <c r="R6947" t="s">
        <v>26578</v>
      </c>
      <c r="S6947" t="s">
        <v>18958</v>
      </c>
      <c r="U6947" t="s">
        <v>26604</v>
      </c>
      <c r="W6947" t="s">
        <v>781</v>
      </c>
      <c r="X6947">
        <v>1172</v>
      </c>
      <c r="Y6947" t="s">
        <v>26650</v>
      </c>
      <c r="Z6947" t="s">
        <v>26663</v>
      </c>
      <c r="AB6947" t="s">
        <v>31982</v>
      </c>
      <c r="AD6947" t="s">
        <v>42291</v>
      </c>
      <c r="AE6947">
        <v>167</v>
      </c>
      <c r="AF6947" t="s">
        <v>45541</v>
      </c>
      <c r="AG6947" t="s">
        <v>45557</v>
      </c>
      <c r="AH6947">
        <v>16</v>
      </c>
      <c r="AI6947">
        <v>1</v>
      </c>
      <c r="AJ6947">
        <v>3</v>
      </c>
      <c r="AK6947">
        <v>58.56</v>
      </c>
      <c r="AN6947" t="s">
        <v>45581</v>
      </c>
      <c r="AO6947">
        <v>15080</v>
      </c>
      <c r="AU6947">
        <v>0</v>
      </c>
      <c r="AW6947" t="s">
        <v>46847</v>
      </c>
    </row>
    <row r="6948" spans="1:49">
      <c r="A6948" s="1">
        <f>HYPERLINK("https://lsnyc.legalserver.org/matter/dynamic-profile/view/1889998","19-1889998")</f>
        <v>0</v>
      </c>
      <c r="B6948" t="s">
        <v>100</v>
      </c>
      <c r="C6948" t="s">
        <v>340</v>
      </c>
      <c r="D6948" t="s">
        <v>744</v>
      </c>
      <c r="F6948" t="s">
        <v>3818</v>
      </c>
      <c r="G6948" t="s">
        <v>6715</v>
      </c>
      <c r="H6948" t="s">
        <v>13798</v>
      </c>
      <c r="I6948" t="s">
        <v>18377</v>
      </c>
      <c r="J6948" t="s">
        <v>18892</v>
      </c>
      <c r="K6948">
        <v>10453</v>
      </c>
      <c r="L6948" t="s">
        <v>18958</v>
      </c>
      <c r="M6948" t="s">
        <v>18958</v>
      </c>
      <c r="N6948" t="s">
        <v>23966</v>
      </c>
      <c r="O6948" t="s">
        <v>26526</v>
      </c>
      <c r="P6948" t="s">
        <v>26560</v>
      </c>
      <c r="R6948" t="s">
        <v>26578</v>
      </c>
      <c r="S6948" t="s">
        <v>18958</v>
      </c>
      <c r="U6948" t="s">
        <v>26604</v>
      </c>
      <c r="W6948" t="s">
        <v>781</v>
      </c>
      <c r="X6948">
        <v>1172</v>
      </c>
      <c r="Y6948" t="s">
        <v>26650</v>
      </c>
      <c r="Z6948" t="s">
        <v>26663</v>
      </c>
      <c r="AB6948" t="s">
        <v>31982</v>
      </c>
      <c r="AD6948" t="s">
        <v>42291</v>
      </c>
      <c r="AE6948">
        <v>167</v>
      </c>
      <c r="AF6948" t="s">
        <v>45541</v>
      </c>
      <c r="AG6948" t="s">
        <v>45558</v>
      </c>
      <c r="AH6948">
        <v>15</v>
      </c>
      <c r="AI6948">
        <v>1</v>
      </c>
      <c r="AJ6948">
        <v>3</v>
      </c>
      <c r="AK6948">
        <v>58.56</v>
      </c>
      <c r="AN6948" t="s">
        <v>45581</v>
      </c>
      <c r="AO6948">
        <v>15080</v>
      </c>
      <c r="AU6948">
        <v>0</v>
      </c>
      <c r="AW6948" t="s">
        <v>46847</v>
      </c>
    </row>
    <row r="6949" spans="1:49">
      <c r="A6949" s="1">
        <f>HYPERLINK("https://lsnyc.legalserver.org/matter/dynamic-profile/view/1889923","19-1889923")</f>
        <v>0</v>
      </c>
      <c r="B6949" t="s">
        <v>100</v>
      </c>
      <c r="C6949" t="s">
        <v>340</v>
      </c>
      <c r="D6949" t="s">
        <v>744</v>
      </c>
      <c r="F6949" t="s">
        <v>3817</v>
      </c>
      <c r="G6949" t="s">
        <v>7236</v>
      </c>
      <c r="H6949" t="s">
        <v>13798</v>
      </c>
      <c r="I6949" t="s">
        <v>17362</v>
      </c>
      <c r="J6949" t="s">
        <v>18892</v>
      </c>
      <c r="K6949">
        <v>10453</v>
      </c>
      <c r="L6949" t="s">
        <v>18958</v>
      </c>
      <c r="M6949" t="s">
        <v>18958</v>
      </c>
      <c r="N6949" t="s">
        <v>23966</v>
      </c>
      <c r="O6949" t="s">
        <v>26526</v>
      </c>
      <c r="P6949" t="s">
        <v>26560</v>
      </c>
      <c r="R6949" t="s">
        <v>26578</v>
      </c>
      <c r="S6949" t="s">
        <v>18958</v>
      </c>
      <c r="U6949" t="s">
        <v>26604</v>
      </c>
      <c r="W6949" t="s">
        <v>781</v>
      </c>
      <c r="X6949">
        <v>1273</v>
      </c>
      <c r="Y6949" t="s">
        <v>26650</v>
      </c>
      <c r="Z6949" t="s">
        <v>26663</v>
      </c>
      <c r="AB6949" t="s">
        <v>27997</v>
      </c>
      <c r="AE6949">
        <v>167</v>
      </c>
      <c r="AF6949" t="s">
        <v>45541</v>
      </c>
      <c r="AG6949" t="s">
        <v>19330</v>
      </c>
      <c r="AH6949">
        <v>11</v>
      </c>
      <c r="AI6949">
        <v>2</v>
      </c>
      <c r="AJ6949">
        <v>2</v>
      </c>
      <c r="AK6949">
        <v>60.58</v>
      </c>
      <c r="AN6949" t="s">
        <v>45581</v>
      </c>
      <c r="AO6949">
        <v>15600</v>
      </c>
      <c r="AU6949">
        <v>0</v>
      </c>
      <c r="AW6949" t="s">
        <v>46847</v>
      </c>
    </row>
    <row r="6950" spans="1:49">
      <c r="A6950" s="1">
        <f>HYPERLINK("https://lsnyc.legalserver.org/matter/dynamic-profile/view/1889889","19-1889889")</f>
        <v>0</v>
      </c>
      <c r="B6950" t="s">
        <v>100</v>
      </c>
      <c r="C6950" t="s">
        <v>340</v>
      </c>
      <c r="D6950" t="s">
        <v>744</v>
      </c>
      <c r="F6950" t="s">
        <v>3520</v>
      </c>
      <c r="G6950" t="s">
        <v>5654</v>
      </c>
      <c r="H6950" t="s">
        <v>13798</v>
      </c>
      <c r="I6950" t="s">
        <v>18413</v>
      </c>
      <c r="J6950" t="s">
        <v>18892</v>
      </c>
      <c r="K6950">
        <v>10453</v>
      </c>
      <c r="L6950" t="s">
        <v>18958</v>
      </c>
      <c r="M6950" t="s">
        <v>18958</v>
      </c>
      <c r="O6950" t="s">
        <v>26534</v>
      </c>
      <c r="P6950" t="s">
        <v>26561</v>
      </c>
      <c r="R6950" t="s">
        <v>26578</v>
      </c>
      <c r="S6950" t="s">
        <v>18958</v>
      </c>
      <c r="U6950" t="s">
        <v>26604</v>
      </c>
      <c r="W6950" t="s">
        <v>781</v>
      </c>
      <c r="X6950">
        <v>168</v>
      </c>
      <c r="Y6950" t="s">
        <v>26650</v>
      </c>
      <c r="Z6950" t="s">
        <v>26663</v>
      </c>
      <c r="AB6950" t="s">
        <v>28946</v>
      </c>
      <c r="AC6950" t="s">
        <v>36243</v>
      </c>
      <c r="AD6950" t="s">
        <v>42274</v>
      </c>
      <c r="AE6950">
        <v>167</v>
      </c>
      <c r="AF6950" t="s">
        <v>45541</v>
      </c>
      <c r="AG6950" t="s">
        <v>45556</v>
      </c>
      <c r="AH6950">
        <v>20</v>
      </c>
      <c r="AI6950">
        <v>1</v>
      </c>
      <c r="AJ6950">
        <v>0</v>
      </c>
      <c r="AK6950">
        <v>70.42</v>
      </c>
      <c r="AN6950" t="s">
        <v>45581</v>
      </c>
      <c r="AO6950">
        <v>8796</v>
      </c>
      <c r="AU6950">
        <v>0</v>
      </c>
      <c r="AW6950" t="s">
        <v>46847</v>
      </c>
    </row>
    <row r="6951" spans="1:49">
      <c r="A6951" s="1">
        <f>HYPERLINK("https://lsnyc.legalserver.org/matter/dynamic-profile/view/1890024","19-1890024")</f>
        <v>0</v>
      </c>
      <c r="B6951" t="s">
        <v>100</v>
      </c>
      <c r="C6951" t="s">
        <v>340</v>
      </c>
      <c r="D6951" t="s">
        <v>744</v>
      </c>
      <c r="F6951" t="s">
        <v>893</v>
      </c>
      <c r="G6951" t="s">
        <v>6151</v>
      </c>
      <c r="H6951" t="s">
        <v>13798</v>
      </c>
      <c r="I6951" t="s">
        <v>17349</v>
      </c>
      <c r="J6951" t="s">
        <v>18892</v>
      </c>
      <c r="K6951">
        <v>10453</v>
      </c>
      <c r="L6951" t="s">
        <v>18958</v>
      </c>
      <c r="M6951" t="s">
        <v>18958</v>
      </c>
      <c r="N6951" t="s">
        <v>23966</v>
      </c>
      <c r="O6951" t="s">
        <v>26526</v>
      </c>
      <c r="P6951" t="s">
        <v>26560</v>
      </c>
      <c r="R6951" t="s">
        <v>26578</v>
      </c>
      <c r="S6951" t="s">
        <v>18958</v>
      </c>
      <c r="U6951" t="s">
        <v>26604</v>
      </c>
      <c r="W6951" t="s">
        <v>781</v>
      </c>
      <c r="X6951">
        <v>880.27</v>
      </c>
      <c r="Y6951" t="s">
        <v>26650</v>
      </c>
      <c r="Z6951" t="s">
        <v>26667</v>
      </c>
      <c r="AB6951" t="s">
        <v>28779</v>
      </c>
      <c r="AD6951" t="s">
        <v>42292</v>
      </c>
      <c r="AE6951">
        <v>170</v>
      </c>
      <c r="AF6951" t="s">
        <v>45541</v>
      </c>
      <c r="AG6951" t="s">
        <v>19330</v>
      </c>
      <c r="AH6951">
        <v>20</v>
      </c>
      <c r="AI6951">
        <v>2</v>
      </c>
      <c r="AJ6951">
        <v>4</v>
      </c>
      <c r="AK6951">
        <v>101.93</v>
      </c>
      <c r="AN6951" t="s">
        <v>7439</v>
      </c>
      <c r="AO6951">
        <v>34392</v>
      </c>
      <c r="AU6951">
        <v>0</v>
      </c>
      <c r="AW6951" t="s">
        <v>329</v>
      </c>
    </row>
    <row r="6952" spans="1:49">
      <c r="A6952" s="1">
        <f>HYPERLINK("https://lsnyc.legalserver.org/matter/dynamic-profile/view/1889882","19-1889882")</f>
        <v>0</v>
      </c>
      <c r="B6952" t="s">
        <v>100</v>
      </c>
      <c r="C6952" t="s">
        <v>340</v>
      </c>
      <c r="D6952" t="s">
        <v>744</v>
      </c>
      <c r="F6952" t="s">
        <v>3811</v>
      </c>
      <c r="G6952" t="s">
        <v>5079</v>
      </c>
      <c r="H6952" t="s">
        <v>13798</v>
      </c>
      <c r="I6952" t="s">
        <v>17725</v>
      </c>
      <c r="J6952" t="s">
        <v>18892</v>
      </c>
      <c r="K6952">
        <v>10453</v>
      </c>
      <c r="L6952" t="s">
        <v>18958</v>
      </c>
      <c r="M6952" t="s">
        <v>18958</v>
      </c>
      <c r="N6952" t="s">
        <v>23966</v>
      </c>
      <c r="O6952" t="s">
        <v>26526</v>
      </c>
      <c r="P6952" t="s">
        <v>26560</v>
      </c>
      <c r="R6952" t="s">
        <v>26578</v>
      </c>
      <c r="S6952" t="s">
        <v>18958</v>
      </c>
      <c r="U6952" t="s">
        <v>26604</v>
      </c>
      <c r="W6952" t="s">
        <v>781</v>
      </c>
      <c r="X6952">
        <v>1152.67</v>
      </c>
      <c r="Y6952" t="s">
        <v>26650</v>
      </c>
      <c r="Z6952" t="s">
        <v>26663</v>
      </c>
      <c r="AB6952" t="s">
        <v>31970</v>
      </c>
      <c r="AD6952" t="s">
        <v>42275</v>
      </c>
      <c r="AE6952">
        <v>167</v>
      </c>
      <c r="AF6952" t="s">
        <v>45541</v>
      </c>
      <c r="AG6952" t="s">
        <v>26530</v>
      </c>
      <c r="AH6952">
        <v>14</v>
      </c>
      <c r="AI6952">
        <v>1</v>
      </c>
      <c r="AJ6952">
        <v>0</v>
      </c>
      <c r="AK6952">
        <v>104.08</v>
      </c>
      <c r="AN6952" t="s">
        <v>7439</v>
      </c>
      <c r="AO6952">
        <v>13000</v>
      </c>
      <c r="AU6952">
        <v>0.3</v>
      </c>
      <c r="AV6952" t="s">
        <v>809</v>
      </c>
      <c r="AW6952" t="s">
        <v>46847</v>
      </c>
    </row>
    <row r="6953" spans="1:49">
      <c r="A6953" s="1">
        <f>HYPERLINK("https://lsnyc.legalserver.org/matter/dynamic-profile/view/1889954","19-1889954")</f>
        <v>0</v>
      </c>
      <c r="B6953" t="s">
        <v>100</v>
      </c>
      <c r="C6953" t="s">
        <v>340</v>
      </c>
      <c r="D6953" t="s">
        <v>744</v>
      </c>
      <c r="F6953" t="s">
        <v>3819</v>
      </c>
      <c r="G6953" t="s">
        <v>6437</v>
      </c>
      <c r="H6953" t="s">
        <v>13798</v>
      </c>
      <c r="I6953" t="s">
        <v>17540</v>
      </c>
      <c r="J6953" t="s">
        <v>18892</v>
      </c>
      <c r="K6953">
        <v>10453</v>
      </c>
      <c r="L6953" t="s">
        <v>18958</v>
      </c>
      <c r="M6953" t="s">
        <v>18958</v>
      </c>
      <c r="O6953" t="s">
        <v>26534</v>
      </c>
      <c r="P6953" t="s">
        <v>26561</v>
      </c>
      <c r="R6953" t="s">
        <v>26578</v>
      </c>
      <c r="S6953" t="s">
        <v>18958</v>
      </c>
      <c r="U6953" t="s">
        <v>26604</v>
      </c>
      <c r="W6953" t="s">
        <v>781</v>
      </c>
      <c r="X6953">
        <v>950</v>
      </c>
      <c r="Y6953" t="s">
        <v>26650</v>
      </c>
      <c r="Z6953" t="s">
        <v>26667</v>
      </c>
      <c r="AB6953" t="s">
        <v>26858</v>
      </c>
      <c r="AD6953" t="s">
        <v>42293</v>
      </c>
      <c r="AE6953">
        <v>0</v>
      </c>
      <c r="AF6953" t="s">
        <v>45541</v>
      </c>
      <c r="AG6953" t="s">
        <v>19330</v>
      </c>
      <c r="AH6953">
        <v>5</v>
      </c>
      <c r="AI6953">
        <v>2</v>
      </c>
      <c r="AJ6953">
        <v>0</v>
      </c>
      <c r="AK6953">
        <v>184.51</v>
      </c>
      <c r="AN6953" t="s">
        <v>45581</v>
      </c>
      <c r="AO6953">
        <v>31200</v>
      </c>
      <c r="AU6953">
        <v>0</v>
      </c>
      <c r="AW6953" t="s">
        <v>329</v>
      </c>
    </row>
    <row r="6954" spans="1:49">
      <c r="A6954" s="1">
        <f>HYPERLINK("https://lsnyc.legalserver.org/matter/dynamic-profile/view/1889980","19-1889980")</f>
        <v>0</v>
      </c>
      <c r="B6954" t="s">
        <v>100</v>
      </c>
      <c r="C6954" t="s">
        <v>340</v>
      </c>
      <c r="D6954" t="s">
        <v>744</v>
      </c>
      <c r="F6954" t="s">
        <v>3819</v>
      </c>
      <c r="G6954" t="s">
        <v>6437</v>
      </c>
      <c r="H6954" t="s">
        <v>13798</v>
      </c>
      <c r="I6954" t="s">
        <v>17540</v>
      </c>
      <c r="J6954" t="s">
        <v>18892</v>
      </c>
      <c r="K6954">
        <v>10453</v>
      </c>
      <c r="L6954" t="s">
        <v>18958</v>
      </c>
      <c r="M6954" t="s">
        <v>18958</v>
      </c>
      <c r="N6954" t="s">
        <v>23966</v>
      </c>
      <c r="O6954" t="s">
        <v>26526</v>
      </c>
      <c r="P6954" t="s">
        <v>26560</v>
      </c>
      <c r="R6954" t="s">
        <v>26578</v>
      </c>
      <c r="S6954" t="s">
        <v>18958</v>
      </c>
      <c r="U6954" t="s">
        <v>26604</v>
      </c>
      <c r="W6954" t="s">
        <v>781</v>
      </c>
      <c r="X6954">
        <v>950</v>
      </c>
      <c r="Y6954" t="s">
        <v>26650</v>
      </c>
      <c r="Z6954" t="s">
        <v>26663</v>
      </c>
      <c r="AB6954" t="s">
        <v>26858</v>
      </c>
      <c r="AD6954" t="s">
        <v>42293</v>
      </c>
      <c r="AE6954">
        <v>0</v>
      </c>
      <c r="AF6954" t="s">
        <v>45541</v>
      </c>
      <c r="AH6954">
        <v>5</v>
      </c>
      <c r="AI6954">
        <v>2</v>
      </c>
      <c r="AJ6954">
        <v>0</v>
      </c>
      <c r="AK6954">
        <v>184.51</v>
      </c>
      <c r="AN6954" t="s">
        <v>45581</v>
      </c>
      <c r="AO6954">
        <v>31200</v>
      </c>
      <c r="AU6954">
        <v>0</v>
      </c>
      <c r="AW6954" t="s">
        <v>329</v>
      </c>
    </row>
    <row r="6955" spans="1:49">
      <c r="A6955" s="1">
        <f>HYPERLINK("https://lsnyc.legalserver.org/matter/dynamic-profile/view/1889983","19-1889983")</f>
        <v>0</v>
      </c>
      <c r="B6955" t="s">
        <v>100</v>
      </c>
      <c r="C6955" t="s">
        <v>340</v>
      </c>
      <c r="D6955" t="s">
        <v>744</v>
      </c>
      <c r="F6955" t="s">
        <v>1964</v>
      </c>
      <c r="G6955" t="s">
        <v>5563</v>
      </c>
      <c r="H6955" t="s">
        <v>13798</v>
      </c>
      <c r="I6955" t="s">
        <v>17712</v>
      </c>
      <c r="J6955" t="s">
        <v>18892</v>
      </c>
      <c r="K6955">
        <v>10453</v>
      </c>
      <c r="L6955" t="s">
        <v>18958</v>
      </c>
      <c r="M6955" t="s">
        <v>18958</v>
      </c>
      <c r="O6955" t="s">
        <v>26534</v>
      </c>
      <c r="P6955" t="s">
        <v>26561</v>
      </c>
      <c r="R6955" t="s">
        <v>26578</v>
      </c>
      <c r="S6955" t="s">
        <v>18958</v>
      </c>
      <c r="U6955" t="s">
        <v>26604</v>
      </c>
      <c r="W6955" t="s">
        <v>781</v>
      </c>
      <c r="X6955">
        <v>692.1</v>
      </c>
      <c r="Y6955" t="s">
        <v>26650</v>
      </c>
      <c r="Z6955" t="s">
        <v>26663</v>
      </c>
      <c r="AB6955" t="s">
        <v>30045</v>
      </c>
      <c r="AD6955" t="s">
        <v>42294</v>
      </c>
      <c r="AE6955">
        <v>167</v>
      </c>
      <c r="AF6955" t="s">
        <v>45541</v>
      </c>
      <c r="AG6955" t="s">
        <v>45559</v>
      </c>
      <c r="AH6955">
        <v>30</v>
      </c>
      <c r="AI6955">
        <v>1</v>
      </c>
      <c r="AJ6955">
        <v>0</v>
      </c>
      <c r="AK6955">
        <v>255.8</v>
      </c>
      <c r="AN6955" t="s">
        <v>7439</v>
      </c>
      <c r="AO6955">
        <v>31950</v>
      </c>
      <c r="AU6955">
        <v>0</v>
      </c>
      <c r="AW6955" t="s">
        <v>46847</v>
      </c>
    </row>
    <row r="6956" spans="1:49">
      <c r="A6956" s="1">
        <f>HYPERLINK("https://lsnyc.legalserver.org/matter/dynamic-profile/view/1889981","19-1889981")</f>
        <v>0</v>
      </c>
      <c r="B6956" t="s">
        <v>100</v>
      </c>
      <c r="C6956" t="s">
        <v>340</v>
      </c>
      <c r="D6956" t="s">
        <v>744</v>
      </c>
      <c r="F6956" t="s">
        <v>1964</v>
      </c>
      <c r="G6956" t="s">
        <v>5563</v>
      </c>
      <c r="H6956" t="s">
        <v>13798</v>
      </c>
      <c r="I6956" t="s">
        <v>17712</v>
      </c>
      <c r="J6956" t="s">
        <v>18892</v>
      </c>
      <c r="K6956">
        <v>10453</v>
      </c>
      <c r="L6956" t="s">
        <v>18958</v>
      </c>
      <c r="M6956" t="s">
        <v>18958</v>
      </c>
      <c r="N6956" t="s">
        <v>23966</v>
      </c>
      <c r="O6956" t="s">
        <v>26526</v>
      </c>
      <c r="P6956" t="s">
        <v>26560</v>
      </c>
      <c r="R6956" t="s">
        <v>26578</v>
      </c>
      <c r="S6956" t="s">
        <v>18958</v>
      </c>
      <c r="U6956" t="s">
        <v>26604</v>
      </c>
      <c r="W6956" t="s">
        <v>781</v>
      </c>
      <c r="X6956">
        <v>692.1</v>
      </c>
      <c r="Y6956" t="s">
        <v>26650</v>
      </c>
      <c r="Z6956" t="s">
        <v>26663</v>
      </c>
      <c r="AB6956" t="s">
        <v>30045</v>
      </c>
      <c r="AD6956" t="s">
        <v>42294</v>
      </c>
      <c r="AE6956">
        <v>167</v>
      </c>
      <c r="AF6956" t="s">
        <v>45541</v>
      </c>
      <c r="AG6956" t="s">
        <v>45559</v>
      </c>
      <c r="AH6956">
        <v>30</v>
      </c>
      <c r="AI6956">
        <v>1</v>
      </c>
      <c r="AJ6956">
        <v>0</v>
      </c>
      <c r="AK6956">
        <v>255.84</v>
      </c>
      <c r="AN6956" t="s">
        <v>7439</v>
      </c>
      <c r="AO6956">
        <v>31954</v>
      </c>
      <c r="AU6956">
        <v>0</v>
      </c>
      <c r="AW6956" t="s">
        <v>46847</v>
      </c>
    </row>
    <row r="6957" spans="1:49">
      <c r="A6957" s="1">
        <f>HYPERLINK("https://lsnyc.legalserver.org/matter/dynamic-profile/view/1889957","19-1889957")</f>
        <v>0</v>
      </c>
      <c r="B6957" t="s">
        <v>100</v>
      </c>
      <c r="C6957" t="s">
        <v>340</v>
      </c>
      <c r="D6957" t="s">
        <v>744</v>
      </c>
      <c r="F6957" t="s">
        <v>1192</v>
      </c>
      <c r="G6957" t="s">
        <v>8172</v>
      </c>
      <c r="H6957" t="s">
        <v>13798</v>
      </c>
      <c r="I6957" t="s">
        <v>17325</v>
      </c>
      <c r="J6957" t="s">
        <v>18892</v>
      </c>
      <c r="K6957">
        <v>10453</v>
      </c>
      <c r="L6957" t="s">
        <v>18958</v>
      </c>
      <c r="M6957" t="s">
        <v>18958</v>
      </c>
      <c r="O6957" t="s">
        <v>26534</v>
      </c>
      <c r="P6957" t="s">
        <v>26561</v>
      </c>
      <c r="R6957" t="s">
        <v>26578</v>
      </c>
      <c r="S6957" t="s">
        <v>18958</v>
      </c>
      <c r="U6957" t="s">
        <v>26604</v>
      </c>
      <c r="W6957" t="s">
        <v>781</v>
      </c>
      <c r="X6957">
        <v>1194</v>
      </c>
      <c r="Y6957" t="s">
        <v>26650</v>
      </c>
      <c r="Z6957" t="s">
        <v>26663</v>
      </c>
      <c r="AB6957" t="s">
        <v>27193</v>
      </c>
      <c r="AD6957" t="s">
        <v>42295</v>
      </c>
      <c r="AE6957">
        <v>167</v>
      </c>
      <c r="AF6957" t="s">
        <v>45541</v>
      </c>
      <c r="AG6957" t="s">
        <v>19330</v>
      </c>
      <c r="AH6957">
        <v>12</v>
      </c>
      <c r="AI6957">
        <v>1</v>
      </c>
      <c r="AJ6957">
        <v>0</v>
      </c>
      <c r="AK6957">
        <v>288.23</v>
      </c>
      <c r="AN6957" t="s">
        <v>7439</v>
      </c>
      <c r="AO6957">
        <v>36000</v>
      </c>
      <c r="AU6957">
        <v>0</v>
      </c>
      <c r="AW6957" t="s">
        <v>46847</v>
      </c>
    </row>
    <row r="6958" spans="1:49">
      <c r="A6958" s="1">
        <f>HYPERLINK("https://lsnyc.legalserver.org/matter/dynamic-profile/view/1889951","19-1889951")</f>
        <v>0</v>
      </c>
      <c r="B6958" t="s">
        <v>100</v>
      </c>
      <c r="C6958" t="s">
        <v>340</v>
      </c>
      <c r="D6958" t="s">
        <v>744</v>
      </c>
      <c r="F6958" t="s">
        <v>1192</v>
      </c>
      <c r="G6958" t="s">
        <v>8172</v>
      </c>
      <c r="H6958" t="s">
        <v>13798</v>
      </c>
      <c r="I6958" t="s">
        <v>17325</v>
      </c>
      <c r="J6958" t="s">
        <v>18892</v>
      </c>
      <c r="K6958">
        <v>10453</v>
      </c>
      <c r="L6958" t="s">
        <v>18958</v>
      </c>
      <c r="M6958" t="s">
        <v>18958</v>
      </c>
      <c r="N6958" t="s">
        <v>23966</v>
      </c>
      <c r="O6958" t="s">
        <v>26526</v>
      </c>
      <c r="P6958" t="s">
        <v>26560</v>
      </c>
      <c r="R6958" t="s">
        <v>26578</v>
      </c>
      <c r="S6958" t="s">
        <v>18958</v>
      </c>
      <c r="U6958" t="s">
        <v>26604</v>
      </c>
      <c r="W6958" t="s">
        <v>781</v>
      </c>
      <c r="X6958">
        <v>1194</v>
      </c>
      <c r="Y6958" t="s">
        <v>26650</v>
      </c>
      <c r="Z6958" t="s">
        <v>26663</v>
      </c>
      <c r="AB6958" t="s">
        <v>27193</v>
      </c>
      <c r="AD6958" t="s">
        <v>42295</v>
      </c>
      <c r="AE6958">
        <v>167</v>
      </c>
      <c r="AF6958" t="s">
        <v>45541</v>
      </c>
      <c r="AG6958" t="s">
        <v>19330</v>
      </c>
      <c r="AH6958">
        <v>12</v>
      </c>
      <c r="AI6958">
        <v>1</v>
      </c>
      <c r="AJ6958">
        <v>0</v>
      </c>
      <c r="AK6958">
        <v>288.23</v>
      </c>
      <c r="AN6958" t="s">
        <v>7439</v>
      </c>
      <c r="AO6958">
        <v>36000</v>
      </c>
      <c r="AU6958">
        <v>0</v>
      </c>
      <c r="AW6958" t="s">
        <v>46847</v>
      </c>
    </row>
    <row r="6959" spans="1:49">
      <c r="A6959" s="1">
        <f>HYPERLINK("https://lsnyc.legalserver.org/matter/dynamic-profile/view/1889916","19-1889916")</f>
        <v>0</v>
      </c>
      <c r="B6959" t="s">
        <v>100</v>
      </c>
      <c r="C6959" t="s">
        <v>340</v>
      </c>
      <c r="D6959" t="s">
        <v>744</v>
      </c>
      <c r="F6959" t="s">
        <v>3820</v>
      </c>
      <c r="G6959" t="s">
        <v>8173</v>
      </c>
      <c r="H6959" t="s">
        <v>13798</v>
      </c>
      <c r="I6959" t="s">
        <v>17322</v>
      </c>
      <c r="J6959" t="s">
        <v>18892</v>
      </c>
      <c r="K6959">
        <v>10453</v>
      </c>
      <c r="L6959" t="s">
        <v>18958</v>
      </c>
      <c r="M6959" t="s">
        <v>18958</v>
      </c>
      <c r="O6959" t="s">
        <v>26534</v>
      </c>
      <c r="P6959" t="s">
        <v>26561</v>
      </c>
      <c r="R6959" t="s">
        <v>26578</v>
      </c>
      <c r="S6959" t="s">
        <v>18958</v>
      </c>
      <c r="U6959" t="s">
        <v>26604</v>
      </c>
      <c r="W6959" t="s">
        <v>781</v>
      </c>
      <c r="X6959">
        <v>736</v>
      </c>
      <c r="Y6959" t="s">
        <v>26650</v>
      </c>
      <c r="Z6959" t="s">
        <v>26663</v>
      </c>
      <c r="AB6959" t="s">
        <v>31983</v>
      </c>
      <c r="AD6959" t="s">
        <v>42296</v>
      </c>
      <c r="AE6959">
        <v>167</v>
      </c>
      <c r="AF6959" t="s">
        <v>45541</v>
      </c>
      <c r="AG6959" t="s">
        <v>19330</v>
      </c>
      <c r="AH6959">
        <v>37</v>
      </c>
      <c r="AI6959">
        <v>2</v>
      </c>
      <c r="AJ6959">
        <v>0</v>
      </c>
      <c r="AK6959">
        <v>295.68</v>
      </c>
      <c r="AN6959" t="s">
        <v>7439</v>
      </c>
      <c r="AO6959">
        <v>50000</v>
      </c>
      <c r="AU6959">
        <v>0</v>
      </c>
      <c r="AW6959" t="s">
        <v>46847</v>
      </c>
    </row>
    <row r="6960" spans="1:49">
      <c r="A6960" s="1">
        <f>HYPERLINK("https://lsnyc.legalserver.org/matter/dynamic-profile/view/1889911","19-1889911")</f>
        <v>0</v>
      </c>
      <c r="B6960" t="s">
        <v>100</v>
      </c>
      <c r="C6960" t="s">
        <v>340</v>
      </c>
      <c r="D6960" t="s">
        <v>744</v>
      </c>
      <c r="F6960" t="s">
        <v>3820</v>
      </c>
      <c r="G6960" t="s">
        <v>8173</v>
      </c>
      <c r="H6960" t="s">
        <v>13798</v>
      </c>
      <c r="I6960" t="s">
        <v>17322</v>
      </c>
      <c r="J6960" t="s">
        <v>18892</v>
      </c>
      <c r="K6960">
        <v>10453</v>
      </c>
      <c r="L6960" t="s">
        <v>18958</v>
      </c>
      <c r="M6960" t="s">
        <v>18958</v>
      </c>
      <c r="N6960" t="s">
        <v>23966</v>
      </c>
      <c r="O6960" t="s">
        <v>26526</v>
      </c>
      <c r="P6960" t="s">
        <v>26560</v>
      </c>
      <c r="R6960" t="s">
        <v>26578</v>
      </c>
      <c r="S6960" t="s">
        <v>18958</v>
      </c>
      <c r="U6960" t="s">
        <v>26604</v>
      </c>
      <c r="W6960" t="s">
        <v>781</v>
      </c>
      <c r="X6960">
        <v>736</v>
      </c>
      <c r="Y6960" t="s">
        <v>26650</v>
      </c>
      <c r="Z6960" t="s">
        <v>26663</v>
      </c>
      <c r="AB6960" t="s">
        <v>31983</v>
      </c>
      <c r="AD6960" t="s">
        <v>42296</v>
      </c>
      <c r="AE6960">
        <v>167</v>
      </c>
      <c r="AF6960" t="s">
        <v>45541</v>
      </c>
      <c r="AG6960" t="s">
        <v>19330</v>
      </c>
      <c r="AH6960">
        <v>37</v>
      </c>
      <c r="AI6960">
        <v>2</v>
      </c>
      <c r="AJ6960">
        <v>0</v>
      </c>
      <c r="AK6960">
        <v>295.68</v>
      </c>
      <c r="AN6960" t="s">
        <v>7439</v>
      </c>
      <c r="AO6960">
        <v>50000</v>
      </c>
      <c r="AU6960">
        <v>0</v>
      </c>
      <c r="AW6960" t="s">
        <v>46847</v>
      </c>
    </row>
    <row r="6961" spans="1:49">
      <c r="A6961" s="1">
        <f>HYPERLINK("https://lsnyc.legalserver.org/matter/dynamic-profile/view/1889991","19-1889991")</f>
        <v>0</v>
      </c>
      <c r="B6961" t="s">
        <v>100</v>
      </c>
      <c r="C6961" t="s">
        <v>340</v>
      </c>
      <c r="D6961" t="s">
        <v>744</v>
      </c>
      <c r="F6961" t="s">
        <v>1251</v>
      </c>
      <c r="G6961" t="s">
        <v>8174</v>
      </c>
      <c r="H6961" t="s">
        <v>13798</v>
      </c>
      <c r="I6961" t="s">
        <v>18245</v>
      </c>
      <c r="J6961" t="s">
        <v>18892</v>
      </c>
      <c r="K6961">
        <v>10453</v>
      </c>
      <c r="L6961" t="s">
        <v>18958</v>
      </c>
      <c r="M6961" t="s">
        <v>18958</v>
      </c>
      <c r="O6961" t="s">
        <v>26534</v>
      </c>
      <c r="P6961" t="s">
        <v>26561</v>
      </c>
      <c r="R6961" t="s">
        <v>26578</v>
      </c>
      <c r="S6961" t="s">
        <v>18958</v>
      </c>
      <c r="U6961" t="s">
        <v>26604</v>
      </c>
      <c r="W6961" t="s">
        <v>781</v>
      </c>
      <c r="X6961">
        <v>836</v>
      </c>
      <c r="Y6961" t="s">
        <v>26650</v>
      </c>
      <c r="Z6961" t="s">
        <v>26663</v>
      </c>
      <c r="AB6961" t="s">
        <v>31984</v>
      </c>
      <c r="AD6961" t="s">
        <v>42297</v>
      </c>
      <c r="AE6961">
        <v>167</v>
      </c>
      <c r="AF6961" t="s">
        <v>45541</v>
      </c>
      <c r="AG6961" t="s">
        <v>45559</v>
      </c>
      <c r="AH6961">
        <v>34</v>
      </c>
      <c r="AI6961">
        <v>1</v>
      </c>
      <c r="AJ6961">
        <v>0</v>
      </c>
      <c r="AK6961">
        <v>307.45</v>
      </c>
      <c r="AN6961" t="s">
        <v>7439</v>
      </c>
      <c r="AO6961">
        <v>38400</v>
      </c>
      <c r="AU6961">
        <v>0</v>
      </c>
      <c r="AW6961" t="s">
        <v>46847</v>
      </c>
    </row>
    <row r="6962" spans="1:49">
      <c r="A6962" s="1">
        <f>HYPERLINK("https://lsnyc.legalserver.org/matter/dynamic-profile/view/1889986","19-1889986")</f>
        <v>0</v>
      </c>
      <c r="B6962" t="s">
        <v>100</v>
      </c>
      <c r="C6962" t="s">
        <v>340</v>
      </c>
      <c r="D6962" t="s">
        <v>744</v>
      </c>
      <c r="F6962" t="s">
        <v>1251</v>
      </c>
      <c r="G6962" t="s">
        <v>8174</v>
      </c>
      <c r="H6962" t="s">
        <v>13798</v>
      </c>
      <c r="I6962" t="s">
        <v>18245</v>
      </c>
      <c r="J6962" t="s">
        <v>18892</v>
      </c>
      <c r="K6962">
        <v>10453</v>
      </c>
      <c r="L6962" t="s">
        <v>18958</v>
      </c>
      <c r="M6962" t="s">
        <v>18958</v>
      </c>
      <c r="N6962" t="s">
        <v>23966</v>
      </c>
      <c r="O6962" t="s">
        <v>26526</v>
      </c>
      <c r="P6962" t="s">
        <v>26560</v>
      </c>
      <c r="R6962" t="s">
        <v>26578</v>
      </c>
      <c r="S6962" t="s">
        <v>18958</v>
      </c>
      <c r="U6962" t="s">
        <v>26604</v>
      </c>
      <c r="W6962" t="s">
        <v>781</v>
      </c>
      <c r="X6962">
        <v>836</v>
      </c>
      <c r="Y6962" t="s">
        <v>26650</v>
      </c>
      <c r="Z6962" t="s">
        <v>26663</v>
      </c>
      <c r="AB6962" t="s">
        <v>31984</v>
      </c>
      <c r="AD6962" t="s">
        <v>42297</v>
      </c>
      <c r="AE6962">
        <v>167</v>
      </c>
      <c r="AF6962" t="s">
        <v>45541</v>
      </c>
      <c r="AG6962" t="s">
        <v>45559</v>
      </c>
      <c r="AH6962">
        <v>34</v>
      </c>
      <c r="AI6962">
        <v>1</v>
      </c>
      <c r="AJ6962">
        <v>0</v>
      </c>
      <c r="AK6962">
        <v>307.45</v>
      </c>
      <c r="AN6962" t="s">
        <v>7439</v>
      </c>
      <c r="AO6962">
        <v>38400</v>
      </c>
      <c r="AU6962">
        <v>0</v>
      </c>
      <c r="AW6962" t="s">
        <v>46847</v>
      </c>
    </row>
    <row r="6963" spans="1:49">
      <c r="A6963" s="1">
        <f>HYPERLINK("https://lsnyc.legalserver.org/matter/dynamic-profile/view/1889908","19-1889908")</f>
        <v>0</v>
      </c>
      <c r="B6963" t="s">
        <v>100</v>
      </c>
      <c r="C6963" t="s">
        <v>340</v>
      </c>
      <c r="D6963" t="s">
        <v>744</v>
      </c>
      <c r="F6963" t="s">
        <v>1402</v>
      </c>
      <c r="G6963" t="s">
        <v>8175</v>
      </c>
      <c r="H6963" t="s">
        <v>13798</v>
      </c>
      <c r="I6963" t="s">
        <v>17306</v>
      </c>
      <c r="J6963" t="s">
        <v>18892</v>
      </c>
      <c r="K6963">
        <v>10453</v>
      </c>
      <c r="L6963" t="s">
        <v>18958</v>
      </c>
      <c r="M6963" t="s">
        <v>18958</v>
      </c>
      <c r="O6963" t="s">
        <v>26534</v>
      </c>
      <c r="P6963" t="s">
        <v>26561</v>
      </c>
      <c r="R6963" t="s">
        <v>26578</v>
      </c>
      <c r="S6963" t="s">
        <v>18958</v>
      </c>
      <c r="U6963" t="s">
        <v>26604</v>
      </c>
      <c r="W6963" t="s">
        <v>781</v>
      </c>
      <c r="X6963">
        <v>1120.87</v>
      </c>
      <c r="Y6963" t="s">
        <v>26650</v>
      </c>
      <c r="Z6963" t="s">
        <v>26663</v>
      </c>
      <c r="AB6963" t="s">
        <v>31985</v>
      </c>
      <c r="AD6963" t="s">
        <v>42298</v>
      </c>
      <c r="AE6963">
        <v>167</v>
      </c>
      <c r="AF6963" t="s">
        <v>45541</v>
      </c>
      <c r="AG6963" t="s">
        <v>19330</v>
      </c>
      <c r="AH6963">
        <v>18</v>
      </c>
      <c r="AI6963">
        <v>1</v>
      </c>
      <c r="AJ6963">
        <v>0</v>
      </c>
      <c r="AK6963">
        <v>544.4400000000001</v>
      </c>
      <c r="AN6963" t="s">
        <v>7439</v>
      </c>
      <c r="AO6963">
        <v>68000</v>
      </c>
      <c r="AU6963">
        <v>0</v>
      </c>
      <c r="AW6963" t="s">
        <v>46847</v>
      </c>
    </row>
    <row r="6964" spans="1:49">
      <c r="A6964" s="1">
        <f>HYPERLINK("https://lsnyc.legalserver.org/matter/dynamic-profile/view/1889905","19-1889905")</f>
        <v>0</v>
      </c>
      <c r="B6964" t="s">
        <v>100</v>
      </c>
      <c r="C6964" t="s">
        <v>340</v>
      </c>
      <c r="D6964" t="s">
        <v>744</v>
      </c>
      <c r="F6964" t="s">
        <v>1402</v>
      </c>
      <c r="G6964" t="s">
        <v>8175</v>
      </c>
      <c r="H6964" t="s">
        <v>13798</v>
      </c>
      <c r="I6964" t="s">
        <v>17306</v>
      </c>
      <c r="J6964" t="s">
        <v>18892</v>
      </c>
      <c r="K6964">
        <v>10453</v>
      </c>
      <c r="L6964" t="s">
        <v>18958</v>
      </c>
      <c r="M6964" t="s">
        <v>18958</v>
      </c>
      <c r="N6964" t="s">
        <v>23966</v>
      </c>
      <c r="O6964" t="s">
        <v>26526</v>
      </c>
      <c r="P6964" t="s">
        <v>26560</v>
      </c>
      <c r="R6964" t="s">
        <v>26578</v>
      </c>
      <c r="S6964" t="s">
        <v>18958</v>
      </c>
      <c r="U6964" t="s">
        <v>26604</v>
      </c>
      <c r="W6964" t="s">
        <v>781</v>
      </c>
      <c r="X6964">
        <v>1120.87</v>
      </c>
      <c r="Y6964" t="s">
        <v>26650</v>
      </c>
      <c r="Z6964" t="s">
        <v>26663</v>
      </c>
      <c r="AB6964" t="s">
        <v>31985</v>
      </c>
      <c r="AD6964" t="s">
        <v>42298</v>
      </c>
      <c r="AE6964">
        <v>167</v>
      </c>
      <c r="AF6964" t="s">
        <v>45541</v>
      </c>
      <c r="AG6964" t="s">
        <v>19330</v>
      </c>
      <c r="AH6964">
        <v>18</v>
      </c>
      <c r="AI6964">
        <v>1</v>
      </c>
      <c r="AJ6964">
        <v>0</v>
      </c>
      <c r="AK6964">
        <v>544.4400000000001</v>
      </c>
      <c r="AN6964" t="s">
        <v>7439</v>
      </c>
      <c r="AO6964">
        <v>68000</v>
      </c>
      <c r="AU6964">
        <v>0</v>
      </c>
      <c r="AW6964" t="s">
        <v>46847</v>
      </c>
    </row>
    <row r="6965" spans="1:49">
      <c r="A6965" s="1">
        <f>HYPERLINK("https://lsnyc.legalserver.org/matter/dynamic-profile/view/1890019","19-1890019")</f>
        <v>0</v>
      </c>
      <c r="B6965" t="s">
        <v>100</v>
      </c>
      <c r="C6965" t="s">
        <v>340</v>
      </c>
      <c r="D6965" t="s">
        <v>744</v>
      </c>
      <c r="F6965" t="s">
        <v>1031</v>
      </c>
      <c r="G6965" t="s">
        <v>8176</v>
      </c>
      <c r="H6965" t="s">
        <v>13798</v>
      </c>
      <c r="I6965" t="s">
        <v>18211</v>
      </c>
      <c r="J6965" t="s">
        <v>18892</v>
      </c>
      <c r="K6965">
        <v>10453</v>
      </c>
      <c r="L6965" t="s">
        <v>18958</v>
      </c>
      <c r="M6965" t="s">
        <v>18958</v>
      </c>
      <c r="O6965" t="s">
        <v>26534</v>
      </c>
      <c r="P6965" t="s">
        <v>26561</v>
      </c>
      <c r="R6965" t="s">
        <v>26578</v>
      </c>
      <c r="S6965" t="s">
        <v>18958</v>
      </c>
      <c r="U6965" t="s">
        <v>26604</v>
      </c>
      <c r="W6965" t="s">
        <v>781</v>
      </c>
      <c r="X6965">
        <v>1058.89</v>
      </c>
      <c r="Y6965" t="s">
        <v>26650</v>
      </c>
      <c r="Z6965" t="s">
        <v>26663</v>
      </c>
      <c r="AB6965" t="s">
        <v>30600</v>
      </c>
      <c r="AD6965" t="s">
        <v>42299</v>
      </c>
      <c r="AE6965">
        <v>167</v>
      </c>
      <c r="AF6965" t="s">
        <v>45541</v>
      </c>
      <c r="AG6965" t="s">
        <v>19330</v>
      </c>
      <c r="AH6965">
        <v>18</v>
      </c>
      <c r="AI6965">
        <v>1</v>
      </c>
      <c r="AJ6965">
        <v>0</v>
      </c>
      <c r="AK6965">
        <v>608.49</v>
      </c>
      <c r="AN6965" t="s">
        <v>7439</v>
      </c>
      <c r="AO6965">
        <v>76000</v>
      </c>
      <c r="AU6965">
        <v>0</v>
      </c>
      <c r="AW6965" t="s">
        <v>46847</v>
      </c>
    </row>
    <row r="6966" spans="1:49">
      <c r="A6966" s="1">
        <f>HYPERLINK("https://lsnyc.legalserver.org/matter/dynamic-profile/view/1890015","19-1890015")</f>
        <v>0</v>
      </c>
      <c r="B6966" t="s">
        <v>100</v>
      </c>
      <c r="C6966" t="s">
        <v>340</v>
      </c>
      <c r="D6966" t="s">
        <v>744</v>
      </c>
      <c r="F6966" t="s">
        <v>1031</v>
      </c>
      <c r="G6966" t="s">
        <v>8176</v>
      </c>
      <c r="H6966" t="s">
        <v>13798</v>
      </c>
      <c r="I6966" t="s">
        <v>18211</v>
      </c>
      <c r="J6966" t="s">
        <v>18892</v>
      </c>
      <c r="K6966">
        <v>10453</v>
      </c>
      <c r="L6966" t="s">
        <v>18958</v>
      </c>
      <c r="M6966" t="s">
        <v>18958</v>
      </c>
      <c r="N6966" t="s">
        <v>23966</v>
      </c>
      <c r="O6966" t="s">
        <v>26526</v>
      </c>
      <c r="P6966" t="s">
        <v>26560</v>
      </c>
      <c r="R6966" t="s">
        <v>26578</v>
      </c>
      <c r="S6966" t="s">
        <v>18958</v>
      </c>
      <c r="U6966" t="s">
        <v>26604</v>
      </c>
      <c r="W6966" t="s">
        <v>781</v>
      </c>
      <c r="X6966">
        <v>1058.89</v>
      </c>
      <c r="Y6966" t="s">
        <v>26650</v>
      </c>
      <c r="Z6966" t="s">
        <v>26663</v>
      </c>
      <c r="AB6966" t="s">
        <v>30600</v>
      </c>
      <c r="AD6966" t="s">
        <v>42299</v>
      </c>
      <c r="AE6966">
        <v>167</v>
      </c>
      <c r="AF6966" t="s">
        <v>45541</v>
      </c>
      <c r="AG6966" t="s">
        <v>19330</v>
      </c>
      <c r="AH6966">
        <v>18</v>
      </c>
      <c r="AI6966">
        <v>1</v>
      </c>
      <c r="AJ6966">
        <v>0</v>
      </c>
      <c r="AK6966">
        <v>608.49</v>
      </c>
      <c r="AN6966" t="s">
        <v>7439</v>
      </c>
      <c r="AO6966">
        <v>76000</v>
      </c>
      <c r="AU6966">
        <v>0</v>
      </c>
      <c r="AW6966" t="s">
        <v>46847</v>
      </c>
    </row>
    <row r="6967" spans="1:49">
      <c r="A6967" s="1">
        <f>HYPERLINK("https://lsnyc.legalserver.org/matter/dynamic-profile/view/1890793","19-1890793")</f>
        <v>0</v>
      </c>
      <c r="B6967" t="s">
        <v>100</v>
      </c>
      <c r="C6967" t="s">
        <v>340</v>
      </c>
      <c r="D6967" t="s">
        <v>737</v>
      </c>
      <c r="F6967" t="s">
        <v>871</v>
      </c>
      <c r="G6967" t="s">
        <v>3128</v>
      </c>
      <c r="H6967" t="s">
        <v>13798</v>
      </c>
      <c r="I6967" t="s">
        <v>17304</v>
      </c>
      <c r="J6967" t="s">
        <v>18892</v>
      </c>
      <c r="K6967">
        <v>10453</v>
      </c>
      <c r="L6967" t="s">
        <v>18958</v>
      </c>
      <c r="M6967" t="s">
        <v>18958</v>
      </c>
      <c r="N6967" t="s">
        <v>23966</v>
      </c>
      <c r="O6967" t="s">
        <v>26526</v>
      </c>
      <c r="P6967" t="s">
        <v>26560</v>
      </c>
      <c r="R6967" t="s">
        <v>26578</v>
      </c>
      <c r="S6967" t="s">
        <v>18958</v>
      </c>
      <c r="U6967" t="s">
        <v>26604</v>
      </c>
      <c r="W6967" t="s">
        <v>781</v>
      </c>
      <c r="X6967">
        <v>1145</v>
      </c>
      <c r="Y6967" t="s">
        <v>26650</v>
      </c>
      <c r="Z6967" t="s">
        <v>26663</v>
      </c>
      <c r="AB6967" t="s">
        <v>31986</v>
      </c>
      <c r="AD6967" t="s">
        <v>42300</v>
      </c>
      <c r="AE6967">
        <v>170</v>
      </c>
      <c r="AF6967" t="s">
        <v>45541</v>
      </c>
      <c r="AG6967" t="s">
        <v>19330</v>
      </c>
      <c r="AH6967">
        <v>7</v>
      </c>
      <c r="AI6967">
        <v>5</v>
      </c>
      <c r="AJ6967">
        <v>0</v>
      </c>
      <c r="AK6967">
        <v>39.77</v>
      </c>
      <c r="AN6967" t="s">
        <v>45581</v>
      </c>
      <c r="AO6967">
        <v>12000</v>
      </c>
      <c r="AU6967">
        <v>0</v>
      </c>
      <c r="AW6967" t="s">
        <v>46832</v>
      </c>
    </row>
    <row r="6968" spans="1:49">
      <c r="A6968" s="1">
        <f>HYPERLINK("https://lsnyc.legalserver.org/matter/dynamic-profile/view/1890790","19-1890790")</f>
        <v>0</v>
      </c>
      <c r="B6968" t="s">
        <v>100</v>
      </c>
      <c r="C6968" t="s">
        <v>340</v>
      </c>
      <c r="D6968" t="s">
        <v>737</v>
      </c>
      <c r="F6968" t="s">
        <v>3821</v>
      </c>
      <c r="G6968" t="s">
        <v>8177</v>
      </c>
      <c r="H6968" t="s">
        <v>13798</v>
      </c>
      <c r="I6968" t="s">
        <v>17912</v>
      </c>
      <c r="J6968" t="s">
        <v>18892</v>
      </c>
      <c r="K6968">
        <v>10453</v>
      </c>
      <c r="L6968" t="s">
        <v>18958</v>
      </c>
      <c r="M6968" t="s">
        <v>18958</v>
      </c>
      <c r="O6968" t="s">
        <v>26534</v>
      </c>
      <c r="P6968" t="s">
        <v>26561</v>
      </c>
      <c r="R6968" t="s">
        <v>26578</v>
      </c>
      <c r="S6968" t="s">
        <v>18958</v>
      </c>
      <c r="U6968" t="s">
        <v>26604</v>
      </c>
      <c r="W6968" t="s">
        <v>781</v>
      </c>
      <c r="X6968">
        <v>864</v>
      </c>
      <c r="Y6968" t="s">
        <v>26650</v>
      </c>
      <c r="Z6968" t="s">
        <v>26663</v>
      </c>
      <c r="AB6968" t="s">
        <v>31987</v>
      </c>
      <c r="AD6968" t="s">
        <v>42301</v>
      </c>
      <c r="AE6968">
        <v>170</v>
      </c>
      <c r="AF6968" t="s">
        <v>45541</v>
      </c>
      <c r="AG6968" t="s">
        <v>45559</v>
      </c>
      <c r="AH6968">
        <v>22</v>
      </c>
      <c r="AI6968">
        <v>1</v>
      </c>
      <c r="AJ6968">
        <v>0</v>
      </c>
      <c r="AK6968">
        <v>201.76</v>
      </c>
      <c r="AN6968" t="s">
        <v>7439</v>
      </c>
      <c r="AO6968">
        <v>25200</v>
      </c>
      <c r="AU6968">
        <v>0</v>
      </c>
      <c r="AW6968" t="s">
        <v>46832</v>
      </c>
    </row>
    <row r="6969" spans="1:49">
      <c r="A6969" s="1">
        <f>HYPERLINK("https://lsnyc.legalserver.org/matter/dynamic-profile/view/1890778","19-1890778")</f>
        <v>0</v>
      </c>
      <c r="B6969" t="s">
        <v>100</v>
      </c>
      <c r="C6969" t="s">
        <v>340</v>
      </c>
      <c r="D6969" t="s">
        <v>737</v>
      </c>
      <c r="F6969" t="s">
        <v>3821</v>
      </c>
      <c r="G6969" t="s">
        <v>8177</v>
      </c>
      <c r="H6969" t="s">
        <v>13798</v>
      </c>
      <c r="I6969" t="s">
        <v>17912</v>
      </c>
      <c r="J6969" t="s">
        <v>18892</v>
      </c>
      <c r="K6969">
        <v>10453</v>
      </c>
      <c r="L6969" t="s">
        <v>18958</v>
      </c>
      <c r="M6969" t="s">
        <v>18958</v>
      </c>
      <c r="N6969" t="s">
        <v>23966</v>
      </c>
      <c r="O6969" t="s">
        <v>26526</v>
      </c>
      <c r="P6969" t="s">
        <v>26560</v>
      </c>
      <c r="R6969" t="s">
        <v>26578</v>
      </c>
      <c r="S6969" t="s">
        <v>18958</v>
      </c>
      <c r="U6969" t="s">
        <v>26604</v>
      </c>
      <c r="W6969" t="s">
        <v>781</v>
      </c>
      <c r="X6969">
        <v>864</v>
      </c>
      <c r="Y6969" t="s">
        <v>26650</v>
      </c>
      <c r="Z6969" t="s">
        <v>26663</v>
      </c>
      <c r="AB6969" t="s">
        <v>31987</v>
      </c>
      <c r="AD6969" t="s">
        <v>42301</v>
      </c>
      <c r="AE6969">
        <v>170</v>
      </c>
      <c r="AF6969" t="s">
        <v>45541</v>
      </c>
      <c r="AG6969" t="s">
        <v>45559</v>
      </c>
      <c r="AH6969">
        <v>22</v>
      </c>
      <c r="AI6969">
        <v>1</v>
      </c>
      <c r="AJ6969">
        <v>0</v>
      </c>
      <c r="AK6969">
        <v>201.76</v>
      </c>
      <c r="AN6969" t="s">
        <v>7439</v>
      </c>
      <c r="AO6969">
        <v>25200</v>
      </c>
      <c r="AU6969">
        <v>0</v>
      </c>
      <c r="AW6969" t="s">
        <v>46832</v>
      </c>
    </row>
    <row r="6970" spans="1:49">
      <c r="A6970" s="1">
        <f>HYPERLINK("https://lsnyc.legalserver.org/matter/dynamic-profile/view/1890948","19-1890948")</f>
        <v>0</v>
      </c>
      <c r="B6970" t="s">
        <v>75</v>
      </c>
      <c r="C6970" t="s">
        <v>340</v>
      </c>
      <c r="D6970" t="s">
        <v>731</v>
      </c>
      <c r="F6970" t="s">
        <v>3822</v>
      </c>
      <c r="G6970" t="s">
        <v>5224</v>
      </c>
      <c r="H6970" t="s">
        <v>14516</v>
      </c>
      <c r="I6970" t="s">
        <v>17390</v>
      </c>
      <c r="J6970" t="s">
        <v>18892</v>
      </c>
      <c r="K6970">
        <v>10453</v>
      </c>
      <c r="L6970" t="s">
        <v>18958</v>
      </c>
      <c r="M6970" t="s">
        <v>18958</v>
      </c>
      <c r="O6970" t="s">
        <v>26534</v>
      </c>
      <c r="P6970" t="s">
        <v>26561</v>
      </c>
      <c r="R6970" t="s">
        <v>26578</v>
      </c>
      <c r="S6970" t="s">
        <v>18958</v>
      </c>
      <c r="U6970" t="s">
        <v>26604</v>
      </c>
      <c r="W6970" t="s">
        <v>781</v>
      </c>
      <c r="X6970">
        <v>0</v>
      </c>
      <c r="Y6970" t="s">
        <v>26650</v>
      </c>
      <c r="Z6970" t="s">
        <v>26663</v>
      </c>
      <c r="AB6970" t="s">
        <v>27700</v>
      </c>
      <c r="AD6970" t="s">
        <v>42302</v>
      </c>
      <c r="AE6970">
        <v>44</v>
      </c>
      <c r="AF6970" t="s">
        <v>45541</v>
      </c>
      <c r="AG6970" t="s">
        <v>19330</v>
      </c>
      <c r="AH6970">
        <v>8</v>
      </c>
      <c r="AI6970">
        <v>1</v>
      </c>
      <c r="AJ6970">
        <v>2</v>
      </c>
      <c r="AK6970">
        <v>161.75</v>
      </c>
      <c r="AN6970" t="s">
        <v>7439</v>
      </c>
      <c r="AO6970">
        <v>34502</v>
      </c>
      <c r="AU6970">
        <v>0</v>
      </c>
      <c r="AW6970" t="s">
        <v>336</v>
      </c>
    </row>
    <row r="6971" spans="1:49">
      <c r="A6971" s="1">
        <f>HYPERLINK("https://lsnyc.legalserver.org/matter/dynamic-profile/view/1890943","19-1890943")</f>
        <v>0</v>
      </c>
      <c r="B6971" t="s">
        <v>75</v>
      </c>
      <c r="C6971" t="s">
        <v>340</v>
      </c>
      <c r="D6971" t="s">
        <v>731</v>
      </c>
      <c r="F6971" t="s">
        <v>3822</v>
      </c>
      <c r="G6971" t="s">
        <v>5224</v>
      </c>
      <c r="H6971" t="s">
        <v>14516</v>
      </c>
      <c r="I6971" t="s">
        <v>17390</v>
      </c>
      <c r="J6971" t="s">
        <v>18892</v>
      </c>
      <c r="K6971">
        <v>10453</v>
      </c>
      <c r="L6971" t="s">
        <v>18958</v>
      </c>
      <c r="M6971" t="s">
        <v>18958</v>
      </c>
      <c r="N6971" t="s">
        <v>23964</v>
      </c>
      <c r="O6971" t="s">
        <v>26526</v>
      </c>
      <c r="P6971" t="s">
        <v>26560</v>
      </c>
      <c r="R6971" t="s">
        <v>26578</v>
      </c>
      <c r="S6971" t="s">
        <v>18958</v>
      </c>
      <c r="U6971" t="s">
        <v>26604</v>
      </c>
      <c r="W6971" t="s">
        <v>781</v>
      </c>
      <c r="X6971">
        <v>0</v>
      </c>
      <c r="Y6971" t="s">
        <v>26650</v>
      </c>
      <c r="Z6971" t="s">
        <v>26663</v>
      </c>
      <c r="AB6971" t="s">
        <v>27700</v>
      </c>
      <c r="AD6971" t="s">
        <v>42302</v>
      </c>
      <c r="AE6971">
        <v>44</v>
      </c>
      <c r="AF6971" t="s">
        <v>45541</v>
      </c>
      <c r="AG6971" t="s">
        <v>19330</v>
      </c>
      <c r="AH6971">
        <v>8</v>
      </c>
      <c r="AI6971">
        <v>1</v>
      </c>
      <c r="AJ6971">
        <v>2</v>
      </c>
      <c r="AK6971">
        <v>161.78</v>
      </c>
      <c r="AN6971" t="s">
        <v>7439</v>
      </c>
      <c r="AO6971">
        <v>34507.2</v>
      </c>
      <c r="AU6971">
        <v>0</v>
      </c>
      <c r="AW6971" t="s">
        <v>336</v>
      </c>
    </row>
    <row r="6972" spans="1:49">
      <c r="A6972" s="1">
        <f>HYPERLINK("https://lsnyc.legalserver.org/matter/dynamic-profile/view/1890939","19-1890939")</f>
        <v>0</v>
      </c>
      <c r="B6972" t="s">
        <v>75</v>
      </c>
      <c r="C6972" t="s">
        <v>340</v>
      </c>
      <c r="D6972" t="s">
        <v>731</v>
      </c>
      <c r="F6972" t="s">
        <v>3822</v>
      </c>
      <c r="G6972" t="s">
        <v>5224</v>
      </c>
      <c r="H6972" t="s">
        <v>14516</v>
      </c>
      <c r="I6972" t="s">
        <v>17390</v>
      </c>
      <c r="J6972" t="s">
        <v>18892</v>
      </c>
      <c r="K6972">
        <v>10453</v>
      </c>
      <c r="L6972" t="s">
        <v>18958</v>
      </c>
      <c r="M6972" t="s">
        <v>18958</v>
      </c>
      <c r="O6972" t="s">
        <v>18997</v>
      </c>
      <c r="P6972" t="s">
        <v>26562</v>
      </c>
      <c r="R6972" t="s">
        <v>26578</v>
      </c>
      <c r="S6972" t="s">
        <v>18958</v>
      </c>
      <c r="U6972" t="s">
        <v>26604</v>
      </c>
      <c r="W6972" t="s">
        <v>781</v>
      </c>
      <c r="X6972">
        <v>0</v>
      </c>
      <c r="Y6972" t="s">
        <v>26650</v>
      </c>
      <c r="Z6972" t="s">
        <v>26663</v>
      </c>
      <c r="AB6972" t="s">
        <v>27700</v>
      </c>
      <c r="AD6972" t="s">
        <v>42302</v>
      </c>
      <c r="AE6972">
        <v>44</v>
      </c>
      <c r="AF6972" t="s">
        <v>45541</v>
      </c>
      <c r="AG6972" t="s">
        <v>19330</v>
      </c>
      <c r="AH6972">
        <v>8</v>
      </c>
      <c r="AI6972">
        <v>1</v>
      </c>
      <c r="AJ6972">
        <v>2</v>
      </c>
      <c r="AK6972">
        <v>161.78</v>
      </c>
      <c r="AN6972" t="s">
        <v>7439</v>
      </c>
      <c r="AO6972">
        <v>34507.2</v>
      </c>
      <c r="AU6972">
        <v>0</v>
      </c>
      <c r="AW6972" t="s">
        <v>336</v>
      </c>
    </row>
    <row r="6973" spans="1:49">
      <c r="A6973" s="1">
        <f>HYPERLINK("https://lsnyc.legalserver.org/matter/dynamic-profile/view/1890990","19-1890990")</f>
        <v>0</v>
      </c>
      <c r="B6973" t="s">
        <v>100</v>
      </c>
      <c r="C6973" t="s">
        <v>340</v>
      </c>
      <c r="D6973" t="s">
        <v>740</v>
      </c>
      <c r="F6973" t="s">
        <v>3823</v>
      </c>
      <c r="G6973" t="s">
        <v>6151</v>
      </c>
      <c r="H6973" t="s">
        <v>13798</v>
      </c>
      <c r="I6973" t="s">
        <v>17538</v>
      </c>
      <c r="J6973" t="s">
        <v>18892</v>
      </c>
      <c r="K6973">
        <v>10453</v>
      </c>
      <c r="L6973" t="s">
        <v>18958</v>
      </c>
      <c r="M6973" t="s">
        <v>18958</v>
      </c>
      <c r="N6973" t="s">
        <v>23966</v>
      </c>
      <c r="O6973" t="s">
        <v>26526</v>
      </c>
      <c r="P6973" t="s">
        <v>26560</v>
      </c>
      <c r="R6973" t="s">
        <v>26578</v>
      </c>
      <c r="S6973" t="s">
        <v>18958</v>
      </c>
      <c r="U6973" t="s">
        <v>26604</v>
      </c>
      <c r="W6973" t="s">
        <v>781</v>
      </c>
      <c r="X6973">
        <v>685.95</v>
      </c>
      <c r="Y6973" t="s">
        <v>26650</v>
      </c>
      <c r="Z6973" t="s">
        <v>26663</v>
      </c>
      <c r="AB6973" t="s">
        <v>31988</v>
      </c>
      <c r="AD6973" t="s">
        <v>42303</v>
      </c>
      <c r="AE6973">
        <v>167</v>
      </c>
      <c r="AF6973" t="s">
        <v>45541</v>
      </c>
      <c r="AG6973" t="s">
        <v>19330</v>
      </c>
      <c r="AH6973">
        <v>26</v>
      </c>
      <c r="AI6973">
        <v>1</v>
      </c>
      <c r="AJ6973">
        <v>0</v>
      </c>
      <c r="AK6973">
        <v>14.38</v>
      </c>
      <c r="AN6973" t="s">
        <v>7439</v>
      </c>
      <c r="AO6973">
        <v>1796</v>
      </c>
      <c r="AU6973">
        <v>0</v>
      </c>
      <c r="AW6973" t="s">
        <v>46847</v>
      </c>
    </row>
    <row r="6974" spans="1:49">
      <c r="A6974" s="1">
        <f>HYPERLINK("https://lsnyc.legalserver.org/matter/dynamic-profile/view/1891015","19-1891015")</f>
        <v>0</v>
      </c>
      <c r="B6974" t="s">
        <v>100</v>
      </c>
      <c r="C6974" t="s">
        <v>340</v>
      </c>
      <c r="D6974" t="s">
        <v>740</v>
      </c>
      <c r="F6974" t="s">
        <v>3824</v>
      </c>
      <c r="G6974" t="s">
        <v>5147</v>
      </c>
      <c r="H6974" t="s">
        <v>13798</v>
      </c>
      <c r="I6974" t="s">
        <v>17320</v>
      </c>
      <c r="J6974" t="s">
        <v>18892</v>
      </c>
      <c r="K6974">
        <v>10453</v>
      </c>
      <c r="L6974" t="s">
        <v>18958</v>
      </c>
      <c r="M6974" t="s">
        <v>18959</v>
      </c>
      <c r="O6974" t="s">
        <v>26534</v>
      </c>
      <c r="P6974" t="s">
        <v>26561</v>
      </c>
      <c r="R6974" t="s">
        <v>26578</v>
      </c>
      <c r="S6974" t="s">
        <v>18958</v>
      </c>
      <c r="U6974" t="s">
        <v>26604</v>
      </c>
      <c r="W6974" t="s">
        <v>781</v>
      </c>
      <c r="X6974">
        <v>979</v>
      </c>
      <c r="Y6974" t="s">
        <v>26650</v>
      </c>
      <c r="Z6974" t="s">
        <v>26663</v>
      </c>
      <c r="AB6974" t="s">
        <v>31989</v>
      </c>
      <c r="AC6974" t="s">
        <v>36244</v>
      </c>
      <c r="AD6974" t="s">
        <v>42304</v>
      </c>
      <c r="AE6974">
        <v>167</v>
      </c>
      <c r="AF6974" t="s">
        <v>45541</v>
      </c>
      <c r="AG6974" t="s">
        <v>19330</v>
      </c>
      <c r="AH6974">
        <v>12</v>
      </c>
      <c r="AI6974">
        <v>3</v>
      </c>
      <c r="AJ6974">
        <v>3</v>
      </c>
      <c r="AK6974">
        <v>31.92</v>
      </c>
      <c r="AN6974" t="s">
        <v>45581</v>
      </c>
      <c r="AO6974">
        <v>11040</v>
      </c>
      <c r="AU6974">
        <v>0</v>
      </c>
      <c r="AW6974" t="s">
        <v>46847</v>
      </c>
    </row>
    <row r="6975" spans="1:49">
      <c r="A6975" s="1">
        <f>HYPERLINK("https://lsnyc.legalserver.org/matter/dynamic-profile/view/1891007","19-1891007")</f>
        <v>0</v>
      </c>
      <c r="B6975" t="s">
        <v>100</v>
      </c>
      <c r="C6975" t="s">
        <v>340</v>
      </c>
      <c r="D6975" t="s">
        <v>740</v>
      </c>
      <c r="F6975" t="s">
        <v>3824</v>
      </c>
      <c r="G6975" t="s">
        <v>5147</v>
      </c>
      <c r="H6975" t="s">
        <v>13798</v>
      </c>
      <c r="I6975" t="s">
        <v>17320</v>
      </c>
      <c r="J6975" t="s">
        <v>18892</v>
      </c>
      <c r="K6975">
        <v>10453</v>
      </c>
      <c r="L6975" t="s">
        <v>18958</v>
      </c>
      <c r="M6975" t="s">
        <v>18959</v>
      </c>
      <c r="N6975" t="s">
        <v>23966</v>
      </c>
      <c r="O6975" t="s">
        <v>26526</v>
      </c>
      <c r="P6975" t="s">
        <v>26560</v>
      </c>
      <c r="R6975" t="s">
        <v>26578</v>
      </c>
      <c r="S6975" t="s">
        <v>18958</v>
      </c>
      <c r="U6975" t="s">
        <v>26604</v>
      </c>
      <c r="W6975" t="s">
        <v>781</v>
      </c>
      <c r="X6975">
        <v>979</v>
      </c>
      <c r="Y6975" t="s">
        <v>26650</v>
      </c>
      <c r="Z6975" t="s">
        <v>26663</v>
      </c>
      <c r="AB6975" t="s">
        <v>31989</v>
      </c>
      <c r="AC6975" t="s">
        <v>36244</v>
      </c>
      <c r="AD6975" t="s">
        <v>42304</v>
      </c>
      <c r="AE6975">
        <v>167</v>
      </c>
      <c r="AF6975" t="s">
        <v>45541</v>
      </c>
      <c r="AG6975" t="s">
        <v>19330</v>
      </c>
      <c r="AH6975">
        <v>12</v>
      </c>
      <c r="AI6975">
        <v>3</v>
      </c>
      <c r="AJ6975">
        <v>3</v>
      </c>
      <c r="AK6975">
        <v>31.92</v>
      </c>
      <c r="AN6975" t="s">
        <v>45581</v>
      </c>
      <c r="AO6975">
        <v>11040</v>
      </c>
      <c r="AU6975">
        <v>0</v>
      </c>
      <c r="AW6975" t="s">
        <v>46847</v>
      </c>
    </row>
    <row r="6976" spans="1:49">
      <c r="A6976" s="1">
        <f>HYPERLINK("https://lsnyc.legalserver.org/matter/dynamic-profile/view/1890801","19-1890801")</f>
        <v>0</v>
      </c>
      <c r="B6976" t="s">
        <v>100</v>
      </c>
      <c r="C6976" t="s">
        <v>340</v>
      </c>
      <c r="D6976" t="s">
        <v>740</v>
      </c>
      <c r="F6976" t="s">
        <v>871</v>
      </c>
      <c r="G6976" t="s">
        <v>3128</v>
      </c>
      <c r="H6976" t="s">
        <v>13798</v>
      </c>
      <c r="I6976" t="s">
        <v>17304</v>
      </c>
      <c r="J6976" t="s">
        <v>18892</v>
      </c>
      <c r="K6976">
        <v>10453</v>
      </c>
      <c r="L6976" t="s">
        <v>18958</v>
      </c>
      <c r="M6976" t="s">
        <v>18958</v>
      </c>
      <c r="O6976" t="s">
        <v>26534</v>
      </c>
      <c r="P6976" t="s">
        <v>26561</v>
      </c>
      <c r="R6976" t="s">
        <v>26578</v>
      </c>
      <c r="S6976" t="s">
        <v>18958</v>
      </c>
      <c r="U6976" t="s">
        <v>26604</v>
      </c>
      <c r="W6976" t="s">
        <v>781</v>
      </c>
      <c r="X6976">
        <v>1145</v>
      </c>
      <c r="Y6976" t="s">
        <v>26650</v>
      </c>
      <c r="Z6976" t="s">
        <v>26663</v>
      </c>
      <c r="AB6976" t="s">
        <v>31986</v>
      </c>
      <c r="AD6976" t="s">
        <v>42300</v>
      </c>
      <c r="AE6976">
        <v>170</v>
      </c>
      <c r="AF6976" t="s">
        <v>45541</v>
      </c>
      <c r="AG6976" t="s">
        <v>19330</v>
      </c>
      <c r="AH6976">
        <v>7</v>
      </c>
      <c r="AI6976">
        <v>4</v>
      </c>
      <c r="AJ6976">
        <v>1</v>
      </c>
      <c r="AK6976">
        <v>39.77</v>
      </c>
      <c r="AN6976" t="s">
        <v>45581</v>
      </c>
      <c r="AO6976">
        <v>12000</v>
      </c>
      <c r="AU6976">
        <v>0</v>
      </c>
      <c r="AW6976" t="s">
        <v>46832</v>
      </c>
    </row>
    <row r="6977" spans="1:49">
      <c r="A6977" s="1">
        <f>HYPERLINK("https://lsnyc.legalserver.org/matter/dynamic-profile/view/1890995","19-1890995")</f>
        <v>0</v>
      </c>
      <c r="B6977" t="s">
        <v>100</v>
      </c>
      <c r="C6977" t="s">
        <v>340</v>
      </c>
      <c r="D6977" t="s">
        <v>740</v>
      </c>
      <c r="F6977" t="s">
        <v>3823</v>
      </c>
      <c r="G6977" t="s">
        <v>6151</v>
      </c>
      <c r="H6977" t="s">
        <v>13798</v>
      </c>
      <c r="I6977" t="s">
        <v>17538</v>
      </c>
      <c r="J6977" t="s">
        <v>18892</v>
      </c>
      <c r="K6977">
        <v>10453</v>
      </c>
      <c r="L6977" t="s">
        <v>18958</v>
      </c>
      <c r="M6977" t="s">
        <v>18958</v>
      </c>
      <c r="O6977" t="s">
        <v>26534</v>
      </c>
      <c r="P6977" t="s">
        <v>26561</v>
      </c>
      <c r="R6977" t="s">
        <v>26578</v>
      </c>
      <c r="S6977" t="s">
        <v>18958</v>
      </c>
      <c r="U6977" t="s">
        <v>26604</v>
      </c>
      <c r="W6977" t="s">
        <v>781</v>
      </c>
      <c r="X6977">
        <v>685.95</v>
      </c>
      <c r="Y6977" t="s">
        <v>26650</v>
      </c>
      <c r="Z6977" t="s">
        <v>26663</v>
      </c>
      <c r="AB6977" t="s">
        <v>31988</v>
      </c>
      <c r="AD6977" t="s">
        <v>42303</v>
      </c>
      <c r="AE6977">
        <v>167</v>
      </c>
      <c r="AF6977" t="s">
        <v>45541</v>
      </c>
      <c r="AG6977" t="s">
        <v>19330</v>
      </c>
      <c r="AH6977">
        <v>26</v>
      </c>
      <c r="AI6977">
        <v>1</v>
      </c>
      <c r="AJ6977">
        <v>0</v>
      </c>
      <c r="AK6977">
        <v>262.29</v>
      </c>
      <c r="AN6977" t="s">
        <v>7439</v>
      </c>
      <c r="AO6977">
        <v>32760</v>
      </c>
      <c r="AU6977">
        <v>0</v>
      </c>
      <c r="AW6977" t="s">
        <v>46847</v>
      </c>
    </row>
    <row r="6978" spans="1:49">
      <c r="A6978" s="1">
        <f>HYPERLINK("https://lsnyc.legalserver.org/matter/dynamic-profile/view/1891035","19-1891035")</f>
        <v>0</v>
      </c>
      <c r="B6978" t="s">
        <v>67</v>
      </c>
      <c r="C6978" t="s">
        <v>340</v>
      </c>
      <c r="D6978" t="s">
        <v>740</v>
      </c>
      <c r="F6978" t="s">
        <v>2427</v>
      </c>
      <c r="G6978" t="s">
        <v>8178</v>
      </c>
      <c r="H6978" t="s">
        <v>10156</v>
      </c>
      <c r="I6978" t="s">
        <v>17584</v>
      </c>
      <c r="J6978" t="s">
        <v>18892</v>
      </c>
      <c r="K6978">
        <v>10456</v>
      </c>
      <c r="L6978" t="s">
        <v>18958</v>
      </c>
      <c r="M6978" t="s">
        <v>18958</v>
      </c>
      <c r="O6978" t="s">
        <v>26534</v>
      </c>
      <c r="R6978" t="s">
        <v>26578</v>
      </c>
      <c r="S6978" t="s">
        <v>18958</v>
      </c>
      <c r="U6978" t="s">
        <v>26604</v>
      </c>
      <c r="W6978" t="s">
        <v>781</v>
      </c>
      <c r="X6978">
        <v>0</v>
      </c>
      <c r="Y6978" t="s">
        <v>26650</v>
      </c>
      <c r="Z6978" t="s">
        <v>26663</v>
      </c>
      <c r="AB6978" t="s">
        <v>29180</v>
      </c>
      <c r="AE6978">
        <v>131</v>
      </c>
      <c r="AF6978" t="s">
        <v>45541</v>
      </c>
      <c r="AG6978" t="s">
        <v>19330</v>
      </c>
      <c r="AH6978">
        <v>0</v>
      </c>
      <c r="AI6978">
        <v>4</v>
      </c>
      <c r="AJ6978">
        <v>0</v>
      </c>
      <c r="AK6978">
        <v>37.98</v>
      </c>
      <c r="AN6978" t="s">
        <v>7439</v>
      </c>
      <c r="AO6978">
        <v>9780</v>
      </c>
      <c r="AU6978">
        <v>1.5</v>
      </c>
      <c r="AV6978" t="s">
        <v>786</v>
      </c>
      <c r="AW6978" t="s">
        <v>336</v>
      </c>
    </row>
    <row r="6979" spans="1:49">
      <c r="A6979" s="1">
        <f>HYPERLINK("https://lsnyc.legalserver.org/matter/dynamic-profile/view/1891698","19-1891698")</f>
        <v>0</v>
      </c>
      <c r="B6979" t="s">
        <v>100</v>
      </c>
      <c r="C6979" t="s">
        <v>340</v>
      </c>
      <c r="D6979" t="s">
        <v>723</v>
      </c>
      <c r="F6979" t="s">
        <v>3311</v>
      </c>
      <c r="G6979" t="s">
        <v>5691</v>
      </c>
      <c r="H6979" t="s">
        <v>13798</v>
      </c>
      <c r="I6979" t="s">
        <v>17467</v>
      </c>
      <c r="J6979" t="s">
        <v>18892</v>
      </c>
      <c r="K6979">
        <v>10453</v>
      </c>
      <c r="L6979" t="s">
        <v>18958</v>
      </c>
      <c r="M6979" t="s">
        <v>18958</v>
      </c>
      <c r="O6979" t="s">
        <v>26534</v>
      </c>
      <c r="P6979" t="s">
        <v>26561</v>
      </c>
      <c r="R6979" t="s">
        <v>26578</v>
      </c>
      <c r="S6979" t="s">
        <v>18958</v>
      </c>
      <c r="U6979" t="s">
        <v>26604</v>
      </c>
      <c r="W6979" t="s">
        <v>781</v>
      </c>
      <c r="X6979">
        <v>1233</v>
      </c>
      <c r="Y6979" t="s">
        <v>26650</v>
      </c>
      <c r="Z6979" t="s">
        <v>26667</v>
      </c>
      <c r="AB6979" t="s">
        <v>27864</v>
      </c>
      <c r="AD6979" t="s">
        <v>42305</v>
      </c>
      <c r="AE6979">
        <v>170</v>
      </c>
      <c r="AF6979" t="s">
        <v>45541</v>
      </c>
      <c r="AG6979" t="s">
        <v>19330</v>
      </c>
      <c r="AH6979">
        <v>4</v>
      </c>
      <c r="AI6979">
        <v>4</v>
      </c>
      <c r="AJ6979">
        <v>0</v>
      </c>
      <c r="AK6979">
        <v>180.19</v>
      </c>
      <c r="AN6979" t="s">
        <v>45581</v>
      </c>
      <c r="AO6979">
        <v>46400</v>
      </c>
      <c r="AU6979">
        <v>0</v>
      </c>
      <c r="AW6979" t="s">
        <v>329</v>
      </c>
    </row>
    <row r="6980" spans="1:49">
      <c r="A6980" s="1">
        <f>HYPERLINK("https://lsnyc.legalserver.org/matter/dynamic-profile/view/1891677","19-1891677")</f>
        <v>0</v>
      </c>
      <c r="B6980" t="s">
        <v>100</v>
      </c>
      <c r="C6980" t="s">
        <v>340</v>
      </c>
      <c r="D6980" t="s">
        <v>723</v>
      </c>
      <c r="F6980" t="s">
        <v>3311</v>
      </c>
      <c r="G6980" t="s">
        <v>5691</v>
      </c>
      <c r="H6980" t="s">
        <v>13798</v>
      </c>
      <c r="I6980" t="s">
        <v>17467</v>
      </c>
      <c r="J6980" t="s">
        <v>18892</v>
      </c>
      <c r="K6980">
        <v>10453</v>
      </c>
      <c r="L6980" t="s">
        <v>18958</v>
      </c>
      <c r="M6980" t="s">
        <v>18958</v>
      </c>
      <c r="N6980" t="s">
        <v>23966</v>
      </c>
      <c r="O6980" t="s">
        <v>26526</v>
      </c>
      <c r="P6980" t="s">
        <v>26560</v>
      </c>
      <c r="R6980" t="s">
        <v>26578</v>
      </c>
      <c r="S6980" t="s">
        <v>18958</v>
      </c>
      <c r="U6980" t="s">
        <v>26604</v>
      </c>
      <c r="W6980" t="s">
        <v>781</v>
      </c>
      <c r="X6980">
        <v>1233</v>
      </c>
      <c r="Y6980" t="s">
        <v>26650</v>
      </c>
      <c r="Z6980" t="s">
        <v>26667</v>
      </c>
      <c r="AB6980" t="s">
        <v>27864</v>
      </c>
      <c r="AD6980" t="s">
        <v>42305</v>
      </c>
      <c r="AE6980">
        <v>172</v>
      </c>
      <c r="AF6980" t="s">
        <v>45541</v>
      </c>
      <c r="AG6980" t="s">
        <v>19330</v>
      </c>
      <c r="AH6980">
        <v>4</v>
      </c>
      <c r="AI6980">
        <v>4</v>
      </c>
      <c r="AJ6980">
        <v>0</v>
      </c>
      <c r="AK6980">
        <v>242.33</v>
      </c>
      <c r="AN6980" t="s">
        <v>45581</v>
      </c>
      <c r="AO6980">
        <v>62400</v>
      </c>
      <c r="AU6980">
        <v>0</v>
      </c>
      <c r="AW6980" t="s">
        <v>329</v>
      </c>
    </row>
    <row r="6981" spans="1:49">
      <c r="A6981" s="1">
        <f>HYPERLINK("https://lsnyc.legalserver.org/matter/dynamic-profile/view/1891776","19-1891776")</f>
        <v>0</v>
      </c>
      <c r="B6981" t="s">
        <v>177</v>
      </c>
      <c r="C6981" t="s">
        <v>340</v>
      </c>
      <c r="D6981" t="s">
        <v>728</v>
      </c>
      <c r="F6981" t="s">
        <v>887</v>
      </c>
      <c r="G6981" t="s">
        <v>8179</v>
      </c>
      <c r="H6981" t="s">
        <v>12169</v>
      </c>
      <c r="I6981" t="s">
        <v>17307</v>
      </c>
      <c r="J6981" t="s">
        <v>18892</v>
      </c>
      <c r="K6981">
        <v>10453</v>
      </c>
      <c r="L6981" t="s">
        <v>18958</v>
      </c>
      <c r="M6981" t="s">
        <v>18958</v>
      </c>
      <c r="O6981" t="s">
        <v>26534</v>
      </c>
      <c r="P6981" t="s">
        <v>26561</v>
      </c>
      <c r="R6981" t="s">
        <v>26578</v>
      </c>
      <c r="S6981" t="s">
        <v>18958</v>
      </c>
      <c r="U6981" t="s">
        <v>26604</v>
      </c>
      <c r="W6981" t="s">
        <v>781</v>
      </c>
      <c r="X6981">
        <v>1060</v>
      </c>
      <c r="Y6981" t="s">
        <v>26650</v>
      </c>
      <c r="Z6981" t="s">
        <v>26663</v>
      </c>
      <c r="AB6981" t="s">
        <v>31990</v>
      </c>
      <c r="AD6981" t="s">
        <v>42306</v>
      </c>
      <c r="AE6981">
        <v>49</v>
      </c>
      <c r="AF6981" t="s">
        <v>45541</v>
      </c>
      <c r="AG6981" t="s">
        <v>19330</v>
      </c>
      <c r="AH6981">
        <v>16</v>
      </c>
      <c r="AI6981">
        <v>1</v>
      </c>
      <c r="AJ6981">
        <v>0</v>
      </c>
      <c r="AK6981">
        <v>75.90000000000001</v>
      </c>
      <c r="AN6981" t="s">
        <v>7439</v>
      </c>
      <c r="AO6981">
        <v>9480</v>
      </c>
      <c r="AU6981">
        <v>1.9</v>
      </c>
      <c r="AV6981" t="s">
        <v>657</v>
      </c>
      <c r="AW6981" t="s">
        <v>46832</v>
      </c>
    </row>
    <row r="6982" spans="1:49">
      <c r="A6982" s="1">
        <f>HYPERLINK("https://lsnyc.legalserver.org/matter/dynamic-profile/view/1891759","19-1891759")</f>
        <v>0</v>
      </c>
      <c r="B6982" t="s">
        <v>177</v>
      </c>
      <c r="C6982" t="s">
        <v>340</v>
      </c>
      <c r="D6982" t="s">
        <v>728</v>
      </c>
      <c r="F6982" t="s">
        <v>887</v>
      </c>
      <c r="G6982" t="s">
        <v>8179</v>
      </c>
      <c r="H6982" t="s">
        <v>12169</v>
      </c>
      <c r="I6982" t="s">
        <v>17307</v>
      </c>
      <c r="J6982" t="s">
        <v>18892</v>
      </c>
      <c r="K6982">
        <v>10453</v>
      </c>
      <c r="L6982" t="s">
        <v>18958</v>
      </c>
      <c r="M6982" t="s">
        <v>18958</v>
      </c>
      <c r="N6982" t="s">
        <v>23964</v>
      </c>
      <c r="O6982" t="s">
        <v>26526</v>
      </c>
      <c r="P6982" t="s">
        <v>26560</v>
      </c>
      <c r="R6982" t="s">
        <v>26578</v>
      </c>
      <c r="S6982" t="s">
        <v>18958</v>
      </c>
      <c r="U6982" t="s">
        <v>26604</v>
      </c>
      <c r="W6982" t="s">
        <v>781</v>
      </c>
      <c r="X6982">
        <v>1060</v>
      </c>
      <c r="Y6982" t="s">
        <v>26650</v>
      </c>
      <c r="Z6982" t="s">
        <v>26663</v>
      </c>
      <c r="AB6982" t="s">
        <v>31990</v>
      </c>
      <c r="AD6982" t="s">
        <v>42306</v>
      </c>
      <c r="AE6982">
        <v>49</v>
      </c>
      <c r="AF6982" t="s">
        <v>45541</v>
      </c>
      <c r="AG6982" t="s">
        <v>19330</v>
      </c>
      <c r="AH6982">
        <v>16</v>
      </c>
      <c r="AI6982">
        <v>1</v>
      </c>
      <c r="AJ6982">
        <v>0</v>
      </c>
      <c r="AK6982">
        <v>75.90000000000001</v>
      </c>
      <c r="AN6982" t="s">
        <v>7439</v>
      </c>
      <c r="AO6982">
        <v>9480</v>
      </c>
      <c r="AU6982">
        <v>0</v>
      </c>
      <c r="AW6982" t="s">
        <v>46832</v>
      </c>
    </row>
    <row r="6983" spans="1:49">
      <c r="A6983" s="1">
        <f>HYPERLINK("https://lsnyc.legalserver.org/matter/dynamic-profile/view/1891783","19-1891783")</f>
        <v>0</v>
      </c>
      <c r="B6983" t="s">
        <v>177</v>
      </c>
      <c r="C6983" t="s">
        <v>340</v>
      </c>
      <c r="D6983" t="s">
        <v>728</v>
      </c>
      <c r="F6983" t="s">
        <v>1228</v>
      </c>
      <c r="G6983" t="s">
        <v>5760</v>
      </c>
      <c r="H6983" t="s">
        <v>12169</v>
      </c>
      <c r="I6983" t="s">
        <v>17410</v>
      </c>
      <c r="J6983" t="s">
        <v>18892</v>
      </c>
      <c r="K6983">
        <v>10453</v>
      </c>
      <c r="L6983" t="s">
        <v>18958</v>
      </c>
      <c r="M6983" t="s">
        <v>18958</v>
      </c>
      <c r="N6983" t="s">
        <v>23968</v>
      </c>
      <c r="O6983" t="s">
        <v>26526</v>
      </c>
      <c r="P6983" t="s">
        <v>26560</v>
      </c>
      <c r="R6983" t="s">
        <v>26578</v>
      </c>
      <c r="S6983" t="s">
        <v>18958</v>
      </c>
      <c r="U6983" t="s">
        <v>26604</v>
      </c>
      <c r="W6983" t="s">
        <v>781</v>
      </c>
      <c r="X6983">
        <v>748</v>
      </c>
      <c r="Y6983" t="s">
        <v>26650</v>
      </c>
      <c r="Z6983" t="s">
        <v>26663</v>
      </c>
      <c r="AB6983" t="s">
        <v>31991</v>
      </c>
      <c r="AD6983" t="s">
        <v>42307</v>
      </c>
      <c r="AE6983">
        <v>49</v>
      </c>
      <c r="AF6983" t="s">
        <v>45541</v>
      </c>
      <c r="AG6983" t="s">
        <v>19330</v>
      </c>
      <c r="AH6983">
        <v>25</v>
      </c>
      <c r="AI6983">
        <v>1</v>
      </c>
      <c r="AJ6983">
        <v>1</v>
      </c>
      <c r="AK6983">
        <v>177.41</v>
      </c>
      <c r="AN6983" t="s">
        <v>45581</v>
      </c>
      <c r="AO6983">
        <v>30000</v>
      </c>
      <c r="AU6983">
        <v>0.3</v>
      </c>
      <c r="AV6983" t="s">
        <v>657</v>
      </c>
      <c r="AW6983" t="s">
        <v>46832</v>
      </c>
    </row>
    <row r="6984" spans="1:49">
      <c r="A6984" s="1">
        <f>HYPERLINK("https://lsnyc.legalserver.org/matter/dynamic-profile/view/1891937","19-1891937")</f>
        <v>0</v>
      </c>
      <c r="B6984" t="s">
        <v>100</v>
      </c>
      <c r="C6984" t="s">
        <v>340</v>
      </c>
      <c r="D6984" t="s">
        <v>574</v>
      </c>
      <c r="F6984" t="s">
        <v>1140</v>
      </c>
      <c r="G6984" t="s">
        <v>7776</v>
      </c>
      <c r="H6984" t="s">
        <v>14513</v>
      </c>
      <c r="I6984" t="s">
        <v>18279</v>
      </c>
      <c r="J6984" t="s">
        <v>18892</v>
      </c>
      <c r="K6984">
        <v>10453</v>
      </c>
      <c r="L6984" t="s">
        <v>18958</v>
      </c>
      <c r="M6984" t="s">
        <v>18958</v>
      </c>
      <c r="N6984" t="s">
        <v>23966</v>
      </c>
      <c r="O6984" t="s">
        <v>26526</v>
      </c>
      <c r="P6984" t="s">
        <v>26560</v>
      </c>
      <c r="R6984" t="s">
        <v>26578</v>
      </c>
      <c r="S6984" t="s">
        <v>18958</v>
      </c>
      <c r="U6984" t="s">
        <v>26604</v>
      </c>
      <c r="W6984" t="s">
        <v>781</v>
      </c>
      <c r="X6984">
        <v>1474</v>
      </c>
      <c r="Y6984" t="s">
        <v>26650</v>
      </c>
      <c r="Z6984" t="s">
        <v>26663</v>
      </c>
      <c r="AB6984" t="s">
        <v>29359</v>
      </c>
      <c r="AC6984" t="s">
        <v>36245</v>
      </c>
      <c r="AE6984">
        <v>170</v>
      </c>
      <c r="AF6984" t="s">
        <v>45541</v>
      </c>
      <c r="AG6984" t="s">
        <v>19330</v>
      </c>
      <c r="AH6984">
        <v>1</v>
      </c>
      <c r="AI6984">
        <v>2</v>
      </c>
      <c r="AJ6984">
        <v>0</v>
      </c>
      <c r="AK6984">
        <v>74.98999999999999</v>
      </c>
      <c r="AN6984" t="s">
        <v>7439</v>
      </c>
      <c r="AO6984">
        <v>12680</v>
      </c>
      <c r="AU6984">
        <v>0</v>
      </c>
      <c r="AW6984" t="s">
        <v>329</v>
      </c>
    </row>
    <row r="6985" spans="1:49">
      <c r="A6985" s="1">
        <f>HYPERLINK("https://lsnyc.legalserver.org/matter/dynamic-profile/view/1891850","19-1891850")</f>
        <v>0</v>
      </c>
      <c r="B6985" t="s">
        <v>100</v>
      </c>
      <c r="C6985" t="s">
        <v>340</v>
      </c>
      <c r="D6985" t="s">
        <v>574</v>
      </c>
      <c r="F6985" t="s">
        <v>871</v>
      </c>
      <c r="G6985" t="s">
        <v>5734</v>
      </c>
      <c r="H6985" t="s">
        <v>14513</v>
      </c>
      <c r="I6985" t="s">
        <v>18417</v>
      </c>
      <c r="J6985" t="s">
        <v>18892</v>
      </c>
      <c r="K6985">
        <v>10453</v>
      </c>
      <c r="L6985" t="s">
        <v>18958</v>
      </c>
      <c r="M6985" t="s">
        <v>18958</v>
      </c>
      <c r="N6985" t="s">
        <v>23966</v>
      </c>
      <c r="O6985" t="s">
        <v>26526</v>
      </c>
      <c r="P6985" t="s">
        <v>26560</v>
      </c>
      <c r="R6985" t="s">
        <v>26578</v>
      </c>
      <c r="S6985" t="s">
        <v>18958</v>
      </c>
      <c r="U6985" t="s">
        <v>26604</v>
      </c>
      <c r="W6985" t="s">
        <v>781</v>
      </c>
      <c r="X6985">
        <v>1110.63</v>
      </c>
      <c r="Y6985" t="s">
        <v>26650</v>
      </c>
      <c r="Z6985" t="s">
        <v>26667</v>
      </c>
      <c r="AB6985" t="s">
        <v>27983</v>
      </c>
      <c r="AE6985">
        <v>170</v>
      </c>
      <c r="AF6985" t="s">
        <v>45541</v>
      </c>
      <c r="AG6985" t="s">
        <v>19330</v>
      </c>
      <c r="AH6985">
        <v>9</v>
      </c>
      <c r="AI6985">
        <v>1</v>
      </c>
      <c r="AJ6985">
        <v>2</v>
      </c>
      <c r="AK6985">
        <v>140.65</v>
      </c>
      <c r="AN6985" t="s">
        <v>45581</v>
      </c>
      <c r="AO6985">
        <v>30000</v>
      </c>
      <c r="AU6985">
        <v>0</v>
      </c>
      <c r="AW6985" t="s">
        <v>329</v>
      </c>
    </row>
    <row r="6986" spans="1:49">
      <c r="A6986" s="1">
        <f>HYPERLINK("https://lsnyc.legalserver.org/matter/dynamic-profile/view/1891971","19-1891971")</f>
        <v>0</v>
      </c>
      <c r="B6986" t="s">
        <v>100</v>
      </c>
      <c r="C6986" t="s">
        <v>340</v>
      </c>
      <c r="D6986" t="s">
        <v>574</v>
      </c>
      <c r="F6986" t="s">
        <v>919</v>
      </c>
      <c r="G6986" t="s">
        <v>7850</v>
      </c>
      <c r="H6986" t="s">
        <v>13798</v>
      </c>
      <c r="I6986" t="s">
        <v>17845</v>
      </c>
      <c r="J6986" t="s">
        <v>18892</v>
      </c>
      <c r="K6986">
        <v>10453</v>
      </c>
      <c r="L6986" t="s">
        <v>18958</v>
      </c>
      <c r="M6986" t="s">
        <v>18958</v>
      </c>
      <c r="N6986" t="s">
        <v>23966</v>
      </c>
      <c r="O6986" t="s">
        <v>26526</v>
      </c>
      <c r="P6986" t="s">
        <v>26560</v>
      </c>
      <c r="R6986" t="s">
        <v>26578</v>
      </c>
      <c r="S6986" t="s">
        <v>18958</v>
      </c>
      <c r="U6986" t="s">
        <v>26604</v>
      </c>
      <c r="W6986" t="s">
        <v>781</v>
      </c>
      <c r="X6986">
        <v>1020.49</v>
      </c>
      <c r="Y6986" t="s">
        <v>26650</v>
      </c>
      <c r="Z6986" t="s">
        <v>26663</v>
      </c>
      <c r="AB6986" t="s">
        <v>31712</v>
      </c>
      <c r="AD6986" t="s">
        <v>41965</v>
      </c>
      <c r="AE6986">
        <v>170</v>
      </c>
      <c r="AF6986" t="s">
        <v>45541</v>
      </c>
      <c r="AG6986" t="s">
        <v>19330</v>
      </c>
      <c r="AH6986">
        <v>10</v>
      </c>
      <c r="AI6986">
        <v>1</v>
      </c>
      <c r="AJ6986">
        <v>0</v>
      </c>
      <c r="AK6986">
        <v>148.27</v>
      </c>
      <c r="AN6986" t="s">
        <v>7439</v>
      </c>
      <c r="AO6986">
        <v>18000</v>
      </c>
      <c r="AU6986">
        <v>0</v>
      </c>
      <c r="AW6986" t="s">
        <v>329</v>
      </c>
    </row>
    <row r="6987" spans="1:49">
      <c r="A6987" s="1">
        <f>HYPERLINK("https://lsnyc.legalserver.org/matter/dynamic-profile/view/1892006","19-1892006")</f>
        <v>0</v>
      </c>
      <c r="B6987" t="s">
        <v>100</v>
      </c>
      <c r="C6987" t="s">
        <v>340</v>
      </c>
      <c r="D6987" t="s">
        <v>574</v>
      </c>
      <c r="F6987" t="s">
        <v>3825</v>
      </c>
      <c r="G6987" t="s">
        <v>8180</v>
      </c>
      <c r="H6987" t="s">
        <v>14513</v>
      </c>
      <c r="I6987" t="s">
        <v>17363</v>
      </c>
      <c r="J6987" t="s">
        <v>18892</v>
      </c>
      <c r="K6987">
        <v>10453</v>
      </c>
      <c r="L6987" t="s">
        <v>18958</v>
      </c>
      <c r="M6987" t="s">
        <v>18958</v>
      </c>
      <c r="N6987" t="s">
        <v>23966</v>
      </c>
      <c r="O6987" t="s">
        <v>26526</v>
      </c>
      <c r="P6987" t="s">
        <v>26560</v>
      </c>
      <c r="R6987" t="s">
        <v>26578</v>
      </c>
      <c r="S6987" t="s">
        <v>18958</v>
      </c>
      <c r="U6987" t="s">
        <v>26604</v>
      </c>
      <c r="W6987" t="s">
        <v>781</v>
      </c>
      <c r="X6987">
        <v>1081</v>
      </c>
      <c r="Y6987" t="s">
        <v>26650</v>
      </c>
      <c r="Z6987" t="s">
        <v>26667</v>
      </c>
      <c r="AB6987" t="s">
        <v>31992</v>
      </c>
      <c r="AD6987" t="s">
        <v>42308</v>
      </c>
      <c r="AE6987">
        <v>170</v>
      </c>
      <c r="AF6987" t="s">
        <v>45541</v>
      </c>
      <c r="AG6987" t="s">
        <v>19330</v>
      </c>
      <c r="AH6987">
        <v>21</v>
      </c>
      <c r="AI6987">
        <v>2</v>
      </c>
      <c r="AJ6987">
        <v>0</v>
      </c>
      <c r="AK6987">
        <v>283.86</v>
      </c>
      <c r="AN6987" t="s">
        <v>7439</v>
      </c>
      <c r="AO6987">
        <v>48000</v>
      </c>
      <c r="AU6987">
        <v>0</v>
      </c>
      <c r="AW6987" t="s">
        <v>329</v>
      </c>
    </row>
    <row r="6988" spans="1:49">
      <c r="A6988" s="1">
        <f>HYPERLINK("https://lsnyc.legalserver.org/matter/dynamic-profile/view/1891962","19-1891962")</f>
        <v>0</v>
      </c>
      <c r="B6988" t="s">
        <v>100</v>
      </c>
      <c r="C6988" t="s">
        <v>340</v>
      </c>
      <c r="D6988" t="s">
        <v>574</v>
      </c>
      <c r="F6988" t="s">
        <v>3826</v>
      </c>
      <c r="G6988" t="s">
        <v>5079</v>
      </c>
      <c r="H6988" t="s">
        <v>13798</v>
      </c>
      <c r="I6988" t="s">
        <v>18418</v>
      </c>
      <c r="J6988" t="s">
        <v>18892</v>
      </c>
      <c r="K6988">
        <v>10453</v>
      </c>
      <c r="L6988" t="s">
        <v>18958</v>
      </c>
      <c r="M6988" t="s">
        <v>18958</v>
      </c>
      <c r="N6988" t="s">
        <v>23966</v>
      </c>
      <c r="O6988" t="s">
        <v>26526</v>
      </c>
      <c r="P6988" t="s">
        <v>26560</v>
      </c>
      <c r="R6988" t="s">
        <v>26578</v>
      </c>
      <c r="S6988" t="s">
        <v>18958</v>
      </c>
      <c r="U6988" t="s">
        <v>26604</v>
      </c>
      <c r="W6988" t="s">
        <v>781</v>
      </c>
      <c r="X6988">
        <v>1067.78</v>
      </c>
      <c r="Y6988" t="s">
        <v>26650</v>
      </c>
      <c r="Z6988" t="s">
        <v>26667</v>
      </c>
      <c r="AB6988" t="s">
        <v>31993</v>
      </c>
      <c r="AD6988" t="s">
        <v>42309</v>
      </c>
      <c r="AE6988">
        <v>170</v>
      </c>
      <c r="AF6988" t="s">
        <v>45541</v>
      </c>
      <c r="AG6988" t="s">
        <v>19330</v>
      </c>
      <c r="AH6988">
        <v>20</v>
      </c>
      <c r="AI6988">
        <v>2</v>
      </c>
      <c r="AJ6988">
        <v>0</v>
      </c>
      <c r="AK6988">
        <v>372.56</v>
      </c>
      <c r="AN6988" t="s">
        <v>7439</v>
      </c>
      <c r="AO6988">
        <v>63000</v>
      </c>
      <c r="AU6988">
        <v>0</v>
      </c>
      <c r="AW6988" t="s">
        <v>329</v>
      </c>
    </row>
    <row r="6989" spans="1:49">
      <c r="A6989" s="1">
        <f>HYPERLINK("https://lsnyc.legalserver.org/matter/dynamic-profile/view/1891975","19-1891975")</f>
        <v>0</v>
      </c>
      <c r="B6989" t="s">
        <v>100</v>
      </c>
      <c r="C6989" t="s">
        <v>340</v>
      </c>
      <c r="D6989" t="s">
        <v>574</v>
      </c>
      <c r="F6989" t="s">
        <v>1345</v>
      </c>
      <c r="G6989" t="s">
        <v>1627</v>
      </c>
      <c r="H6989" t="s">
        <v>13798</v>
      </c>
      <c r="I6989" t="s">
        <v>18419</v>
      </c>
      <c r="J6989" t="s">
        <v>18892</v>
      </c>
      <c r="K6989">
        <v>10453</v>
      </c>
      <c r="L6989" t="s">
        <v>18958</v>
      </c>
      <c r="M6989" t="s">
        <v>18958</v>
      </c>
      <c r="N6989" t="s">
        <v>23966</v>
      </c>
      <c r="O6989" t="s">
        <v>26526</v>
      </c>
      <c r="P6989" t="s">
        <v>26560</v>
      </c>
      <c r="R6989" t="s">
        <v>26578</v>
      </c>
      <c r="S6989" t="s">
        <v>18958</v>
      </c>
      <c r="U6989" t="s">
        <v>26604</v>
      </c>
      <c r="W6989" t="s">
        <v>781</v>
      </c>
      <c r="X6989">
        <v>1219.13</v>
      </c>
      <c r="Y6989" t="s">
        <v>26650</v>
      </c>
      <c r="Z6989" t="s">
        <v>26667</v>
      </c>
      <c r="AB6989" t="s">
        <v>31994</v>
      </c>
      <c r="AE6989">
        <v>170</v>
      </c>
      <c r="AF6989" t="s">
        <v>45541</v>
      </c>
      <c r="AG6989" t="s">
        <v>19330</v>
      </c>
      <c r="AH6989">
        <v>15</v>
      </c>
      <c r="AI6989">
        <v>2</v>
      </c>
      <c r="AJ6989">
        <v>0</v>
      </c>
      <c r="AK6989">
        <v>449.44</v>
      </c>
      <c r="AN6989" t="s">
        <v>45581</v>
      </c>
      <c r="AO6989">
        <v>76000</v>
      </c>
      <c r="AU6989">
        <v>0</v>
      </c>
      <c r="AW6989" t="s">
        <v>329</v>
      </c>
    </row>
    <row r="6990" spans="1:49">
      <c r="A6990" s="1">
        <f>HYPERLINK("https://lsnyc.legalserver.org/matter/dynamic-profile/view/1892128","19-1892128")</f>
        <v>0</v>
      </c>
      <c r="B6990" t="s">
        <v>169</v>
      </c>
      <c r="C6990" t="s">
        <v>340</v>
      </c>
      <c r="D6990" t="s">
        <v>758</v>
      </c>
      <c r="F6990" t="s">
        <v>3827</v>
      </c>
      <c r="G6990" t="s">
        <v>1384</v>
      </c>
      <c r="H6990" t="s">
        <v>14517</v>
      </c>
      <c r="I6990" t="s">
        <v>18420</v>
      </c>
      <c r="J6990" t="s">
        <v>18892</v>
      </c>
      <c r="K6990">
        <v>10460</v>
      </c>
      <c r="L6990" t="s">
        <v>18958</v>
      </c>
      <c r="M6990" t="s">
        <v>18958</v>
      </c>
      <c r="N6990" t="s">
        <v>23969</v>
      </c>
      <c r="O6990" t="s">
        <v>26523</v>
      </c>
      <c r="P6990" t="s">
        <v>26564</v>
      </c>
      <c r="R6990" t="s">
        <v>26578</v>
      </c>
      <c r="S6990" t="s">
        <v>18959</v>
      </c>
      <c r="U6990" t="s">
        <v>26604</v>
      </c>
      <c r="V6990" t="s">
        <v>26612</v>
      </c>
      <c r="W6990" t="s">
        <v>781</v>
      </c>
      <c r="X6990">
        <v>902</v>
      </c>
      <c r="Y6990" t="s">
        <v>26650</v>
      </c>
      <c r="Z6990" t="s">
        <v>26668</v>
      </c>
      <c r="AB6990" t="s">
        <v>31995</v>
      </c>
      <c r="AD6990" t="s">
        <v>42310</v>
      </c>
      <c r="AE6990">
        <v>0</v>
      </c>
      <c r="AF6990" t="s">
        <v>45541</v>
      </c>
      <c r="AH6990">
        <v>2</v>
      </c>
      <c r="AI6990">
        <v>1</v>
      </c>
      <c r="AJ6990">
        <v>2</v>
      </c>
      <c r="AK6990">
        <v>192.22</v>
      </c>
      <c r="AN6990" t="s">
        <v>7439</v>
      </c>
      <c r="AO6990">
        <v>41000</v>
      </c>
      <c r="AU6990">
        <v>30.25</v>
      </c>
      <c r="AV6990" t="s">
        <v>832</v>
      </c>
      <c r="AW6990" t="s">
        <v>46831</v>
      </c>
    </row>
    <row r="6991" spans="1:49">
      <c r="A6991" s="1">
        <f>HYPERLINK("https://lsnyc.legalserver.org/matter/dynamic-profile/view/1892162","19-1892162")</f>
        <v>0</v>
      </c>
      <c r="B6991" t="s">
        <v>100</v>
      </c>
      <c r="C6991" t="s">
        <v>340</v>
      </c>
      <c r="D6991" t="s">
        <v>758</v>
      </c>
      <c r="F6991" t="s">
        <v>3828</v>
      </c>
      <c r="G6991" t="s">
        <v>8181</v>
      </c>
      <c r="H6991" t="s">
        <v>14513</v>
      </c>
      <c r="I6991" t="s">
        <v>18101</v>
      </c>
      <c r="J6991" t="s">
        <v>18892</v>
      </c>
      <c r="K6991">
        <v>10453</v>
      </c>
      <c r="L6991" t="s">
        <v>18958</v>
      </c>
      <c r="M6991" t="s">
        <v>18958</v>
      </c>
      <c r="N6991" t="s">
        <v>23966</v>
      </c>
      <c r="O6991" t="s">
        <v>26526</v>
      </c>
      <c r="P6991" t="s">
        <v>26560</v>
      </c>
      <c r="R6991" t="s">
        <v>26578</v>
      </c>
      <c r="S6991" t="s">
        <v>18958</v>
      </c>
      <c r="U6991" t="s">
        <v>26604</v>
      </c>
      <c r="W6991" t="s">
        <v>781</v>
      </c>
      <c r="X6991">
        <v>688.0599999999999</v>
      </c>
      <c r="Y6991" t="s">
        <v>26650</v>
      </c>
      <c r="Z6991" t="s">
        <v>26667</v>
      </c>
      <c r="AB6991" t="s">
        <v>31996</v>
      </c>
      <c r="AD6991" t="s">
        <v>42311</v>
      </c>
      <c r="AE6991">
        <v>170</v>
      </c>
      <c r="AF6991" t="s">
        <v>45541</v>
      </c>
      <c r="AG6991" t="s">
        <v>19330</v>
      </c>
      <c r="AH6991">
        <v>25</v>
      </c>
      <c r="AI6991">
        <v>1</v>
      </c>
      <c r="AJ6991">
        <v>0</v>
      </c>
      <c r="AK6991">
        <v>240.19</v>
      </c>
      <c r="AN6991" t="s">
        <v>7439</v>
      </c>
      <c r="AO6991">
        <v>30000</v>
      </c>
      <c r="AU6991">
        <v>0</v>
      </c>
      <c r="AW6991" t="s">
        <v>329</v>
      </c>
    </row>
    <row r="6992" spans="1:49">
      <c r="A6992" s="1">
        <f>HYPERLINK("https://lsnyc.legalserver.org/matter/dynamic-profile/view/1892158","19-1892158")</f>
        <v>0</v>
      </c>
      <c r="B6992" t="s">
        <v>100</v>
      </c>
      <c r="C6992" t="s">
        <v>340</v>
      </c>
      <c r="D6992" t="s">
        <v>758</v>
      </c>
      <c r="F6992" t="s">
        <v>2840</v>
      </c>
      <c r="G6992" t="s">
        <v>8182</v>
      </c>
      <c r="H6992" t="s">
        <v>14513</v>
      </c>
      <c r="I6992" t="s">
        <v>17360</v>
      </c>
      <c r="J6992" t="s">
        <v>18892</v>
      </c>
      <c r="K6992">
        <v>10453</v>
      </c>
      <c r="L6992" t="s">
        <v>18958</v>
      </c>
      <c r="M6992" t="s">
        <v>18958</v>
      </c>
      <c r="N6992" t="s">
        <v>23966</v>
      </c>
      <c r="O6992" t="s">
        <v>26526</v>
      </c>
      <c r="P6992" t="s">
        <v>26560</v>
      </c>
      <c r="R6992" t="s">
        <v>26578</v>
      </c>
      <c r="S6992" t="s">
        <v>18958</v>
      </c>
      <c r="U6992" t="s">
        <v>26604</v>
      </c>
      <c r="W6992" t="s">
        <v>781</v>
      </c>
      <c r="X6992">
        <v>1325</v>
      </c>
      <c r="Y6992" t="s">
        <v>26650</v>
      </c>
      <c r="Z6992" t="s">
        <v>26667</v>
      </c>
      <c r="AB6992" t="s">
        <v>31997</v>
      </c>
      <c r="AD6992" t="s">
        <v>42312</v>
      </c>
      <c r="AE6992">
        <v>170</v>
      </c>
      <c r="AF6992" t="s">
        <v>45541</v>
      </c>
      <c r="AH6992">
        <v>1</v>
      </c>
      <c r="AI6992">
        <v>1</v>
      </c>
      <c r="AJ6992">
        <v>0</v>
      </c>
      <c r="AK6992">
        <v>412.33</v>
      </c>
      <c r="AN6992" t="s">
        <v>7439</v>
      </c>
      <c r="AO6992">
        <v>51500</v>
      </c>
      <c r="AU6992">
        <v>0</v>
      </c>
      <c r="AW6992" t="s">
        <v>329</v>
      </c>
    </row>
    <row r="6993" spans="1:50">
      <c r="A6993" s="1">
        <f>HYPERLINK("https://lsnyc.legalserver.org/matter/dynamic-profile/view/1892320","19-1892320")</f>
        <v>0</v>
      </c>
      <c r="B6993" t="s">
        <v>100</v>
      </c>
      <c r="C6993" t="s">
        <v>340</v>
      </c>
      <c r="D6993" t="s">
        <v>659</v>
      </c>
      <c r="F6993" t="s">
        <v>1876</v>
      </c>
      <c r="G6993" t="s">
        <v>6557</v>
      </c>
      <c r="H6993" t="s">
        <v>14513</v>
      </c>
      <c r="I6993" t="s">
        <v>18421</v>
      </c>
      <c r="J6993" t="s">
        <v>18892</v>
      </c>
      <c r="K6993">
        <v>10453</v>
      </c>
      <c r="L6993" t="s">
        <v>18958</v>
      </c>
      <c r="M6993" t="s">
        <v>18958</v>
      </c>
      <c r="O6993" t="s">
        <v>26534</v>
      </c>
      <c r="P6993" t="s">
        <v>26561</v>
      </c>
      <c r="R6993" t="s">
        <v>26578</v>
      </c>
      <c r="S6993" t="s">
        <v>18958</v>
      </c>
      <c r="U6993" t="s">
        <v>26604</v>
      </c>
      <c r="W6993" t="s">
        <v>781</v>
      </c>
      <c r="X6993">
        <v>1069.19</v>
      </c>
      <c r="Y6993" t="s">
        <v>26650</v>
      </c>
      <c r="Z6993" t="s">
        <v>26667</v>
      </c>
      <c r="AB6993" t="s">
        <v>30375</v>
      </c>
      <c r="AD6993" t="s">
        <v>42283</v>
      </c>
      <c r="AE6993">
        <v>170</v>
      </c>
      <c r="AF6993" t="s">
        <v>45541</v>
      </c>
      <c r="AG6993" t="s">
        <v>45556</v>
      </c>
      <c r="AH6993">
        <v>33</v>
      </c>
      <c r="AI6993">
        <v>1</v>
      </c>
      <c r="AJ6993">
        <v>0</v>
      </c>
      <c r="AK6993">
        <v>84.06999999999999</v>
      </c>
      <c r="AN6993" t="s">
        <v>7439</v>
      </c>
      <c r="AO6993">
        <v>10500</v>
      </c>
      <c r="AU6993">
        <v>0</v>
      </c>
      <c r="AW6993" t="s">
        <v>329</v>
      </c>
    </row>
    <row r="6994" spans="1:50">
      <c r="A6994" s="1">
        <f>HYPERLINK("https://lsnyc.legalserver.org/matter/dynamic-profile/view/1892316","19-1892316")</f>
        <v>0</v>
      </c>
      <c r="B6994" t="s">
        <v>100</v>
      </c>
      <c r="C6994" t="s">
        <v>340</v>
      </c>
      <c r="D6994" t="s">
        <v>659</v>
      </c>
      <c r="F6994" t="s">
        <v>871</v>
      </c>
      <c r="G6994" t="s">
        <v>5734</v>
      </c>
      <c r="H6994" t="s">
        <v>14513</v>
      </c>
      <c r="I6994" t="s">
        <v>18417</v>
      </c>
      <c r="J6994" t="s">
        <v>18892</v>
      </c>
      <c r="K6994">
        <v>10453</v>
      </c>
      <c r="L6994" t="s">
        <v>18958</v>
      </c>
      <c r="M6994" t="s">
        <v>18958</v>
      </c>
      <c r="O6994" t="s">
        <v>26534</v>
      </c>
      <c r="P6994" t="s">
        <v>26561</v>
      </c>
      <c r="R6994" t="s">
        <v>26578</v>
      </c>
      <c r="S6994" t="s">
        <v>18958</v>
      </c>
      <c r="U6994" t="s">
        <v>26604</v>
      </c>
      <c r="W6994" t="s">
        <v>781</v>
      </c>
      <c r="X6994">
        <v>1110.63</v>
      </c>
      <c r="Y6994" t="s">
        <v>26650</v>
      </c>
      <c r="Z6994" t="s">
        <v>26667</v>
      </c>
      <c r="AB6994" t="s">
        <v>27983</v>
      </c>
      <c r="AE6994">
        <v>170</v>
      </c>
      <c r="AF6994" t="s">
        <v>45541</v>
      </c>
      <c r="AG6994" t="s">
        <v>19330</v>
      </c>
      <c r="AH6994">
        <v>9</v>
      </c>
      <c r="AI6994">
        <v>1</v>
      </c>
      <c r="AJ6994">
        <v>2</v>
      </c>
      <c r="AK6994">
        <v>140.65</v>
      </c>
      <c r="AN6994" t="s">
        <v>45581</v>
      </c>
      <c r="AO6994">
        <v>30000</v>
      </c>
      <c r="AU6994">
        <v>0</v>
      </c>
      <c r="AW6994" t="s">
        <v>329</v>
      </c>
    </row>
    <row r="6995" spans="1:50">
      <c r="A6995" s="1">
        <f>HYPERLINK("https://lsnyc.legalserver.org/matter/dynamic-profile/view/1892227","19-1892227")</f>
        <v>0</v>
      </c>
      <c r="B6995" t="s">
        <v>75</v>
      </c>
      <c r="C6995" t="s">
        <v>340</v>
      </c>
      <c r="D6995" t="s">
        <v>659</v>
      </c>
      <c r="F6995" t="s">
        <v>1189</v>
      </c>
      <c r="G6995" t="s">
        <v>8166</v>
      </c>
      <c r="H6995" t="s">
        <v>12169</v>
      </c>
      <c r="I6995" t="s">
        <v>17344</v>
      </c>
      <c r="J6995" t="s">
        <v>18892</v>
      </c>
      <c r="K6995">
        <v>10453</v>
      </c>
      <c r="L6995" t="s">
        <v>18958</v>
      </c>
      <c r="M6995" t="s">
        <v>18958</v>
      </c>
      <c r="O6995" t="s">
        <v>26534</v>
      </c>
      <c r="P6995" t="s">
        <v>26561</v>
      </c>
      <c r="R6995" t="s">
        <v>26578</v>
      </c>
      <c r="S6995" t="s">
        <v>18958</v>
      </c>
      <c r="U6995" t="s">
        <v>26604</v>
      </c>
      <c r="W6995" t="s">
        <v>781</v>
      </c>
      <c r="X6995">
        <v>968.91</v>
      </c>
      <c r="Y6995" t="s">
        <v>26650</v>
      </c>
      <c r="Z6995" t="s">
        <v>26663</v>
      </c>
      <c r="AB6995" t="s">
        <v>31964</v>
      </c>
      <c r="AD6995" t="s">
        <v>42264</v>
      </c>
      <c r="AE6995">
        <v>49</v>
      </c>
      <c r="AF6995" t="s">
        <v>45541</v>
      </c>
      <c r="AG6995" t="s">
        <v>19330</v>
      </c>
      <c r="AH6995">
        <v>14</v>
      </c>
      <c r="AI6995">
        <v>1</v>
      </c>
      <c r="AJ6995">
        <v>4</v>
      </c>
      <c r="AK6995">
        <v>136.21</v>
      </c>
      <c r="AN6995" t="s">
        <v>7439</v>
      </c>
      <c r="AO6995">
        <v>41095</v>
      </c>
      <c r="AU6995">
        <v>0</v>
      </c>
      <c r="AW6995" t="s">
        <v>46847</v>
      </c>
    </row>
    <row r="6996" spans="1:50">
      <c r="A6996" s="1">
        <f>HYPERLINK("https://lsnyc.legalserver.org/matter/dynamic-profile/view/1892373","19-1892373")</f>
        <v>0</v>
      </c>
      <c r="B6996" t="s">
        <v>100</v>
      </c>
      <c r="C6996" t="s">
        <v>340</v>
      </c>
      <c r="D6996" t="s">
        <v>416</v>
      </c>
      <c r="F6996" t="s">
        <v>1140</v>
      </c>
      <c r="G6996" t="s">
        <v>7776</v>
      </c>
      <c r="H6996" t="s">
        <v>14513</v>
      </c>
      <c r="I6996" t="s">
        <v>18279</v>
      </c>
      <c r="J6996" t="s">
        <v>18892</v>
      </c>
      <c r="K6996">
        <v>10453</v>
      </c>
      <c r="L6996" t="s">
        <v>18958</v>
      </c>
      <c r="M6996" t="s">
        <v>18958</v>
      </c>
      <c r="O6996" t="s">
        <v>26534</v>
      </c>
      <c r="P6996" t="s">
        <v>26561</v>
      </c>
      <c r="R6996" t="s">
        <v>26578</v>
      </c>
      <c r="S6996" t="s">
        <v>18958</v>
      </c>
      <c r="U6996" t="s">
        <v>26604</v>
      </c>
      <c r="W6996" t="s">
        <v>781</v>
      </c>
      <c r="X6996">
        <v>1474</v>
      </c>
      <c r="Y6996" t="s">
        <v>26650</v>
      </c>
      <c r="Z6996" t="s">
        <v>26667</v>
      </c>
      <c r="AB6996" t="s">
        <v>29359</v>
      </c>
      <c r="AE6996">
        <v>170</v>
      </c>
      <c r="AF6996" t="s">
        <v>45541</v>
      </c>
      <c r="AG6996" t="s">
        <v>19330</v>
      </c>
      <c r="AH6996">
        <v>14</v>
      </c>
      <c r="AI6996">
        <v>2</v>
      </c>
      <c r="AJ6996">
        <v>0</v>
      </c>
      <c r="AK6996">
        <v>74.98999999999999</v>
      </c>
      <c r="AN6996" t="s">
        <v>7439</v>
      </c>
      <c r="AO6996">
        <v>12680</v>
      </c>
      <c r="AU6996">
        <v>0</v>
      </c>
      <c r="AW6996" t="s">
        <v>329</v>
      </c>
    </row>
    <row r="6997" spans="1:50">
      <c r="A6997" s="1">
        <f>HYPERLINK("https://lsnyc.legalserver.org/matter/dynamic-profile/view/1892391","19-1892391")</f>
        <v>0</v>
      </c>
      <c r="B6997" t="s">
        <v>100</v>
      </c>
      <c r="C6997" t="s">
        <v>340</v>
      </c>
      <c r="D6997" t="s">
        <v>416</v>
      </c>
      <c r="F6997" t="s">
        <v>919</v>
      </c>
      <c r="G6997" t="s">
        <v>7850</v>
      </c>
      <c r="H6997" t="s">
        <v>13798</v>
      </c>
      <c r="I6997" t="s">
        <v>17845</v>
      </c>
      <c r="J6997" t="s">
        <v>18892</v>
      </c>
      <c r="K6997">
        <v>10453</v>
      </c>
      <c r="L6997" t="s">
        <v>18958</v>
      </c>
      <c r="M6997" t="s">
        <v>18958</v>
      </c>
      <c r="O6997" t="s">
        <v>26534</v>
      </c>
      <c r="P6997" t="s">
        <v>26561</v>
      </c>
      <c r="R6997" t="s">
        <v>26578</v>
      </c>
      <c r="S6997" t="s">
        <v>18958</v>
      </c>
      <c r="U6997" t="s">
        <v>26604</v>
      </c>
      <c r="W6997" t="s">
        <v>781</v>
      </c>
      <c r="X6997">
        <v>1020.49</v>
      </c>
      <c r="Y6997" t="s">
        <v>26650</v>
      </c>
      <c r="Z6997" t="s">
        <v>26667</v>
      </c>
      <c r="AB6997" t="s">
        <v>31712</v>
      </c>
      <c r="AD6997" t="s">
        <v>41965</v>
      </c>
      <c r="AE6997">
        <v>170</v>
      </c>
      <c r="AF6997" t="s">
        <v>45541</v>
      </c>
      <c r="AG6997" t="s">
        <v>19330</v>
      </c>
      <c r="AH6997">
        <v>10</v>
      </c>
      <c r="AI6997">
        <v>1</v>
      </c>
      <c r="AJ6997">
        <v>0</v>
      </c>
      <c r="AK6997">
        <v>144.12</v>
      </c>
      <c r="AN6997" t="s">
        <v>7439</v>
      </c>
      <c r="AO6997">
        <v>18000</v>
      </c>
      <c r="AU6997">
        <v>0</v>
      </c>
      <c r="AW6997" t="s">
        <v>329</v>
      </c>
    </row>
    <row r="6998" spans="1:50">
      <c r="A6998" s="1">
        <f>HYPERLINK("https://lsnyc.legalserver.org/matter/dynamic-profile/view/1892458","19-1892458")</f>
        <v>0</v>
      </c>
      <c r="B6998" t="s">
        <v>100</v>
      </c>
      <c r="C6998" t="s">
        <v>340</v>
      </c>
      <c r="D6998" t="s">
        <v>416</v>
      </c>
      <c r="F6998" t="s">
        <v>1087</v>
      </c>
      <c r="G6998" t="s">
        <v>4594</v>
      </c>
      <c r="H6998" t="s">
        <v>13798</v>
      </c>
      <c r="I6998" t="s">
        <v>17867</v>
      </c>
      <c r="J6998" t="s">
        <v>18892</v>
      </c>
      <c r="K6998">
        <v>10453</v>
      </c>
      <c r="L6998" t="s">
        <v>18958</v>
      </c>
      <c r="M6998" t="s">
        <v>18958</v>
      </c>
      <c r="O6998" t="s">
        <v>26534</v>
      </c>
      <c r="P6998" t="s">
        <v>26561</v>
      </c>
      <c r="R6998" t="s">
        <v>26578</v>
      </c>
      <c r="S6998" t="s">
        <v>18958</v>
      </c>
      <c r="U6998" t="s">
        <v>26604</v>
      </c>
      <c r="W6998" t="s">
        <v>781</v>
      </c>
      <c r="X6998">
        <v>985</v>
      </c>
      <c r="Y6998" t="s">
        <v>26650</v>
      </c>
      <c r="Z6998" t="s">
        <v>26667</v>
      </c>
      <c r="AB6998" t="s">
        <v>31302</v>
      </c>
      <c r="AE6998">
        <v>170</v>
      </c>
      <c r="AF6998" t="s">
        <v>45541</v>
      </c>
      <c r="AG6998" t="s">
        <v>19330</v>
      </c>
      <c r="AH6998">
        <v>17</v>
      </c>
      <c r="AI6998">
        <v>3</v>
      </c>
      <c r="AJ6998">
        <v>2</v>
      </c>
      <c r="AK6998">
        <v>152.96</v>
      </c>
      <c r="AN6998" t="s">
        <v>7439</v>
      </c>
      <c r="AO6998">
        <v>45000</v>
      </c>
      <c r="AU6998">
        <v>0</v>
      </c>
      <c r="AW6998" t="s">
        <v>329</v>
      </c>
    </row>
    <row r="6999" spans="1:50">
      <c r="A6999" s="1">
        <f>HYPERLINK("https://lsnyc.legalserver.org/matter/dynamic-profile/view/1892453","19-1892453")</f>
        <v>0</v>
      </c>
      <c r="B6999" t="s">
        <v>100</v>
      </c>
      <c r="C6999" t="s">
        <v>340</v>
      </c>
      <c r="D6999" t="s">
        <v>416</v>
      </c>
      <c r="F6999" t="s">
        <v>3828</v>
      </c>
      <c r="G6999" t="s">
        <v>8181</v>
      </c>
      <c r="H6999" t="s">
        <v>14513</v>
      </c>
      <c r="I6999" t="s">
        <v>18101</v>
      </c>
      <c r="J6999" t="s">
        <v>18892</v>
      </c>
      <c r="K6999">
        <v>10453</v>
      </c>
      <c r="L6999" t="s">
        <v>18958</v>
      </c>
      <c r="M6999" t="s">
        <v>18958</v>
      </c>
      <c r="O6999" t="s">
        <v>26534</v>
      </c>
      <c r="P6999" t="s">
        <v>26561</v>
      </c>
      <c r="R6999" t="s">
        <v>26578</v>
      </c>
      <c r="S6999" t="s">
        <v>18958</v>
      </c>
      <c r="U6999" t="s">
        <v>26604</v>
      </c>
      <c r="W6999" t="s">
        <v>781</v>
      </c>
      <c r="X6999">
        <v>688.0599999999999</v>
      </c>
      <c r="Y6999" t="s">
        <v>26650</v>
      </c>
      <c r="Z6999" t="s">
        <v>26667</v>
      </c>
      <c r="AB6999" t="s">
        <v>31996</v>
      </c>
      <c r="AD6999" t="s">
        <v>42311</v>
      </c>
      <c r="AE6999">
        <v>170</v>
      </c>
      <c r="AF6999" t="s">
        <v>45541</v>
      </c>
      <c r="AG6999" t="s">
        <v>19330</v>
      </c>
      <c r="AH6999">
        <v>25</v>
      </c>
      <c r="AI6999">
        <v>1</v>
      </c>
      <c r="AJ6999">
        <v>0</v>
      </c>
      <c r="AK6999">
        <v>240.19</v>
      </c>
      <c r="AN6999" t="s">
        <v>7439</v>
      </c>
      <c r="AO6999">
        <v>30000</v>
      </c>
      <c r="AU6999">
        <v>0</v>
      </c>
      <c r="AW6999" t="s">
        <v>329</v>
      </c>
    </row>
    <row r="7000" spans="1:50">
      <c r="A7000" s="1">
        <f>HYPERLINK("https://lsnyc.legalserver.org/matter/dynamic-profile/view/1892410","19-1892410")</f>
        <v>0</v>
      </c>
      <c r="B7000" t="s">
        <v>100</v>
      </c>
      <c r="C7000" t="s">
        <v>340</v>
      </c>
      <c r="D7000" t="s">
        <v>416</v>
      </c>
      <c r="F7000" t="s">
        <v>3825</v>
      </c>
      <c r="G7000" t="s">
        <v>8180</v>
      </c>
      <c r="H7000" t="s">
        <v>14513</v>
      </c>
      <c r="I7000" t="s">
        <v>17363</v>
      </c>
      <c r="J7000" t="s">
        <v>18892</v>
      </c>
      <c r="K7000">
        <v>10453</v>
      </c>
      <c r="L7000" t="s">
        <v>18958</v>
      </c>
      <c r="M7000" t="s">
        <v>18958</v>
      </c>
      <c r="O7000" t="s">
        <v>26534</v>
      </c>
      <c r="P7000" t="s">
        <v>26561</v>
      </c>
      <c r="R7000" t="s">
        <v>26578</v>
      </c>
      <c r="S7000" t="s">
        <v>18958</v>
      </c>
      <c r="U7000" t="s">
        <v>26604</v>
      </c>
      <c r="W7000" t="s">
        <v>781</v>
      </c>
      <c r="X7000">
        <v>1081</v>
      </c>
      <c r="Y7000" t="s">
        <v>26650</v>
      </c>
      <c r="Z7000" t="s">
        <v>26667</v>
      </c>
      <c r="AB7000" t="s">
        <v>31992</v>
      </c>
      <c r="AD7000" t="s">
        <v>42308</v>
      </c>
      <c r="AE7000">
        <v>170</v>
      </c>
      <c r="AF7000" t="s">
        <v>45541</v>
      </c>
      <c r="AG7000" t="s">
        <v>19330</v>
      </c>
      <c r="AH7000">
        <v>21</v>
      </c>
      <c r="AI7000">
        <v>2</v>
      </c>
      <c r="AJ7000">
        <v>0</v>
      </c>
      <c r="AK7000">
        <v>283.86</v>
      </c>
      <c r="AN7000" t="s">
        <v>7439</v>
      </c>
      <c r="AO7000">
        <v>48000</v>
      </c>
      <c r="AU7000">
        <v>0</v>
      </c>
      <c r="AW7000" t="s">
        <v>329</v>
      </c>
    </row>
    <row r="7001" spans="1:50">
      <c r="A7001" s="1">
        <f>HYPERLINK("https://lsnyc.legalserver.org/matter/dynamic-profile/view/1892433","19-1892433")</f>
        <v>0</v>
      </c>
      <c r="B7001" t="s">
        <v>100</v>
      </c>
      <c r="C7001" t="s">
        <v>340</v>
      </c>
      <c r="D7001" t="s">
        <v>416</v>
      </c>
      <c r="F7001" t="s">
        <v>2840</v>
      </c>
      <c r="G7001" t="s">
        <v>8182</v>
      </c>
      <c r="H7001" t="s">
        <v>14513</v>
      </c>
      <c r="I7001" t="s">
        <v>17360</v>
      </c>
      <c r="J7001" t="s">
        <v>18892</v>
      </c>
      <c r="K7001">
        <v>10453</v>
      </c>
      <c r="L7001" t="s">
        <v>18958</v>
      </c>
      <c r="M7001" t="s">
        <v>18958</v>
      </c>
      <c r="O7001" t="s">
        <v>26534</v>
      </c>
      <c r="P7001" t="s">
        <v>26561</v>
      </c>
      <c r="R7001" t="s">
        <v>26578</v>
      </c>
      <c r="S7001" t="s">
        <v>18958</v>
      </c>
      <c r="U7001" t="s">
        <v>26604</v>
      </c>
      <c r="W7001" t="s">
        <v>781</v>
      </c>
      <c r="X7001">
        <v>1325</v>
      </c>
      <c r="Y7001" t="s">
        <v>26650</v>
      </c>
      <c r="Z7001" t="s">
        <v>26667</v>
      </c>
      <c r="AB7001" t="s">
        <v>31997</v>
      </c>
      <c r="AD7001" t="s">
        <v>42312</v>
      </c>
      <c r="AE7001">
        <v>170</v>
      </c>
      <c r="AF7001" t="s">
        <v>45541</v>
      </c>
      <c r="AG7001" t="s">
        <v>19330</v>
      </c>
      <c r="AH7001">
        <v>1</v>
      </c>
      <c r="AI7001">
        <v>1</v>
      </c>
      <c r="AJ7001">
        <v>0</v>
      </c>
      <c r="AK7001">
        <v>412.33</v>
      </c>
      <c r="AN7001" t="s">
        <v>7439</v>
      </c>
      <c r="AO7001">
        <v>51500</v>
      </c>
      <c r="AU7001">
        <v>0</v>
      </c>
      <c r="AW7001" t="s">
        <v>329</v>
      </c>
    </row>
    <row r="7002" spans="1:50">
      <c r="A7002" s="1">
        <f>HYPERLINK("https://lsnyc.legalserver.org/matter/dynamic-profile/view/1892403","19-1892403")</f>
        <v>0</v>
      </c>
      <c r="B7002" t="s">
        <v>100</v>
      </c>
      <c r="C7002" t="s">
        <v>340</v>
      </c>
      <c r="D7002" t="s">
        <v>416</v>
      </c>
      <c r="F7002" t="s">
        <v>1345</v>
      </c>
      <c r="G7002" t="s">
        <v>1627</v>
      </c>
      <c r="H7002" t="s">
        <v>13798</v>
      </c>
      <c r="I7002" t="s">
        <v>18419</v>
      </c>
      <c r="J7002" t="s">
        <v>18892</v>
      </c>
      <c r="K7002">
        <v>10453</v>
      </c>
      <c r="L7002" t="s">
        <v>18958</v>
      </c>
      <c r="M7002" t="s">
        <v>18958</v>
      </c>
      <c r="O7002" t="s">
        <v>26534</v>
      </c>
      <c r="P7002" t="s">
        <v>26561</v>
      </c>
      <c r="R7002" t="s">
        <v>26578</v>
      </c>
      <c r="S7002" t="s">
        <v>18958</v>
      </c>
      <c r="U7002" t="s">
        <v>26604</v>
      </c>
      <c r="W7002" t="s">
        <v>781</v>
      </c>
      <c r="X7002">
        <v>1219.13</v>
      </c>
      <c r="Y7002" t="s">
        <v>26650</v>
      </c>
      <c r="Z7002" t="s">
        <v>26667</v>
      </c>
      <c r="AB7002" t="s">
        <v>31994</v>
      </c>
      <c r="AE7002">
        <v>170</v>
      </c>
      <c r="AF7002" t="s">
        <v>45541</v>
      </c>
      <c r="AG7002" t="s">
        <v>19330</v>
      </c>
      <c r="AH7002">
        <v>15</v>
      </c>
      <c r="AI7002">
        <v>2</v>
      </c>
      <c r="AJ7002">
        <v>0</v>
      </c>
      <c r="AK7002">
        <v>449.44</v>
      </c>
      <c r="AN7002" t="s">
        <v>45581</v>
      </c>
      <c r="AO7002">
        <v>76000</v>
      </c>
      <c r="AU7002">
        <v>0</v>
      </c>
      <c r="AW7002" t="s">
        <v>329</v>
      </c>
    </row>
    <row r="7003" spans="1:50">
      <c r="A7003" s="1">
        <f>HYPERLINK("https://lsnyc.legalserver.org/matter/dynamic-profile/view/1892328","19-1892328")</f>
        <v>0</v>
      </c>
      <c r="B7003" t="s">
        <v>267</v>
      </c>
      <c r="C7003" t="s">
        <v>340</v>
      </c>
      <c r="D7003" t="s">
        <v>416</v>
      </c>
      <c r="F7003" t="s">
        <v>974</v>
      </c>
      <c r="G7003" t="s">
        <v>5463</v>
      </c>
      <c r="H7003" t="s">
        <v>10110</v>
      </c>
      <c r="I7003" t="s">
        <v>17316</v>
      </c>
      <c r="J7003" t="s">
        <v>18892</v>
      </c>
      <c r="K7003">
        <v>10457</v>
      </c>
      <c r="L7003" t="s">
        <v>18958</v>
      </c>
      <c r="M7003" t="s">
        <v>18958</v>
      </c>
      <c r="N7003" t="s">
        <v>19330</v>
      </c>
      <c r="O7003" t="s">
        <v>26539</v>
      </c>
      <c r="P7003" t="s">
        <v>26562</v>
      </c>
      <c r="R7003" t="s">
        <v>26578</v>
      </c>
      <c r="S7003" t="s">
        <v>18959</v>
      </c>
      <c r="U7003" t="s">
        <v>26607</v>
      </c>
      <c r="W7003" t="s">
        <v>781</v>
      </c>
      <c r="X7003">
        <v>1518.75</v>
      </c>
      <c r="Y7003" t="s">
        <v>26650</v>
      </c>
      <c r="Z7003" t="s">
        <v>26664</v>
      </c>
      <c r="AB7003" t="s">
        <v>27200</v>
      </c>
      <c r="AC7003" t="s">
        <v>34652</v>
      </c>
      <c r="AD7003" t="s">
        <v>37275</v>
      </c>
      <c r="AE7003">
        <v>38</v>
      </c>
      <c r="AF7003" t="s">
        <v>45541</v>
      </c>
      <c r="AG7003" t="s">
        <v>19330</v>
      </c>
      <c r="AH7003">
        <v>2</v>
      </c>
      <c r="AI7003">
        <v>2</v>
      </c>
      <c r="AJ7003">
        <v>0</v>
      </c>
      <c r="AK7003">
        <v>72.09999999999999</v>
      </c>
      <c r="AN7003" t="s">
        <v>7439</v>
      </c>
      <c r="AO7003">
        <v>12192</v>
      </c>
      <c r="AU7003">
        <v>5.5</v>
      </c>
      <c r="AV7003" t="s">
        <v>822</v>
      </c>
      <c r="AW7003" t="s">
        <v>46888</v>
      </c>
    </row>
    <row r="7004" spans="1:50">
      <c r="A7004" s="1">
        <f>HYPERLINK("https://lsnyc.legalserver.org/matter/dynamic-profile/view/1892604","19-1892604")</f>
        <v>0</v>
      </c>
      <c r="B7004" t="s">
        <v>100</v>
      </c>
      <c r="C7004" t="s">
        <v>340</v>
      </c>
      <c r="D7004" t="s">
        <v>751</v>
      </c>
      <c r="F7004" t="s">
        <v>1630</v>
      </c>
      <c r="G7004" t="s">
        <v>5760</v>
      </c>
      <c r="H7004" t="s">
        <v>13798</v>
      </c>
      <c r="I7004" t="s">
        <v>17370</v>
      </c>
      <c r="J7004" t="s">
        <v>18892</v>
      </c>
      <c r="K7004">
        <v>10453</v>
      </c>
      <c r="L7004" t="s">
        <v>18958</v>
      </c>
      <c r="M7004" t="s">
        <v>18958</v>
      </c>
      <c r="O7004" t="s">
        <v>26534</v>
      </c>
      <c r="P7004" t="s">
        <v>26561</v>
      </c>
      <c r="R7004" t="s">
        <v>26578</v>
      </c>
      <c r="S7004" t="s">
        <v>18958</v>
      </c>
      <c r="U7004" t="s">
        <v>26604</v>
      </c>
      <c r="W7004" t="s">
        <v>781</v>
      </c>
      <c r="X7004">
        <v>1237.88</v>
      </c>
      <c r="Y7004" t="s">
        <v>26650</v>
      </c>
      <c r="Z7004" t="s">
        <v>26663</v>
      </c>
      <c r="AB7004" t="s">
        <v>31998</v>
      </c>
      <c r="AE7004">
        <v>170</v>
      </c>
      <c r="AF7004" t="s">
        <v>45541</v>
      </c>
      <c r="AG7004" t="s">
        <v>19330</v>
      </c>
      <c r="AH7004">
        <v>9</v>
      </c>
      <c r="AI7004">
        <v>3</v>
      </c>
      <c r="AJ7004">
        <v>0</v>
      </c>
      <c r="AK7004">
        <v>93.76000000000001</v>
      </c>
      <c r="AN7004" t="s">
        <v>45581</v>
      </c>
      <c r="AO7004">
        <v>20000</v>
      </c>
      <c r="AU7004">
        <v>0</v>
      </c>
      <c r="AW7004" t="s">
        <v>46832</v>
      </c>
    </row>
    <row r="7005" spans="1:50">
      <c r="A7005" s="1">
        <f>HYPERLINK("https://lsnyc.legalserver.org/matter/dynamic-profile/view/1892594","19-1892594")</f>
        <v>0</v>
      </c>
      <c r="B7005" t="s">
        <v>100</v>
      </c>
      <c r="C7005" t="s">
        <v>340</v>
      </c>
      <c r="D7005" t="s">
        <v>751</v>
      </c>
      <c r="F7005" t="s">
        <v>1630</v>
      </c>
      <c r="G7005" t="s">
        <v>5760</v>
      </c>
      <c r="H7005" t="s">
        <v>13798</v>
      </c>
      <c r="I7005" t="s">
        <v>17370</v>
      </c>
      <c r="J7005" t="s">
        <v>18892</v>
      </c>
      <c r="K7005">
        <v>10453</v>
      </c>
      <c r="L7005" t="s">
        <v>18958</v>
      </c>
      <c r="M7005" t="s">
        <v>18958</v>
      </c>
      <c r="N7005" t="s">
        <v>23966</v>
      </c>
      <c r="O7005" t="s">
        <v>26526</v>
      </c>
      <c r="P7005" t="s">
        <v>26560</v>
      </c>
      <c r="R7005" t="s">
        <v>26578</v>
      </c>
      <c r="S7005" t="s">
        <v>18958</v>
      </c>
      <c r="U7005" t="s">
        <v>26604</v>
      </c>
      <c r="W7005" t="s">
        <v>781</v>
      </c>
      <c r="X7005">
        <v>1237.88</v>
      </c>
      <c r="Y7005" t="s">
        <v>26650</v>
      </c>
      <c r="Z7005" t="s">
        <v>26663</v>
      </c>
      <c r="AB7005" t="s">
        <v>31998</v>
      </c>
      <c r="AE7005">
        <v>170</v>
      </c>
      <c r="AF7005" t="s">
        <v>45541</v>
      </c>
      <c r="AG7005" t="s">
        <v>19330</v>
      </c>
      <c r="AH7005">
        <v>9</v>
      </c>
      <c r="AI7005">
        <v>3</v>
      </c>
      <c r="AJ7005">
        <v>0</v>
      </c>
      <c r="AK7005">
        <v>93.76000000000001</v>
      </c>
      <c r="AN7005" t="s">
        <v>45581</v>
      </c>
      <c r="AO7005">
        <v>20000</v>
      </c>
      <c r="AU7005">
        <v>0</v>
      </c>
      <c r="AW7005" t="s">
        <v>46832</v>
      </c>
    </row>
    <row r="7006" spans="1:50">
      <c r="A7006" s="1">
        <f>HYPERLINK("https://lsnyc.legalserver.org/matter/dynamic-profile/view/1892569","19-1892569")</f>
        <v>0</v>
      </c>
      <c r="B7006" t="s">
        <v>100</v>
      </c>
      <c r="C7006" t="s">
        <v>340</v>
      </c>
      <c r="D7006" t="s">
        <v>751</v>
      </c>
      <c r="F7006" t="s">
        <v>3829</v>
      </c>
      <c r="G7006" t="s">
        <v>8183</v>
      </c>
      <c r="H7006" t="s">
        <v>13798</v>
      </c>
      <c r="I7006" t="s">
        <v>17445</v>
      </c>
      <c r="J7006" t="s">
        <v>18892</v>
      </c>
      <c r="K7006">
        <v>10453</v>
      </c>
      <c r="L7006" t="s">
        <v>18958</v>
      </c>
      <c r="M7006" t="s">
        <v>18958</v>
      </c>
      <c r="N7006" t="s">
        <v>23966</v>
      </c>
      <c r="O7006" t="s">
        <v>26526</v>
      </c>
      <c r="P7006" t="s">
        <v>26560</v>
      </c>
      <c r="R7006" t="s">
        <v>26578</v>
      </c>
      <c r="S7006" t="s">
        <v>18958</v>
      </c>
      <c r="U7006" t="s">
        <v>26604</v>
      </c>
      <c r="W7006" t="s">
        <v>781</v>
      </c>
      <c r="X7006">
        <v>1044</v>
      </c>
      <c r="Y7006" t="s">
        <v>26650</v>
      </c>
      <c r="Z7006" t="s">
        <v>26667</v>
      </c>
      <c r="AB7006" t="s">
        <v>31999</v>
      </c>
      <c r="AD7006" t="s">
        <v>42313</v>
      </c>
      <c r="AE7006">
        <v>170</v>
      </c>
      <c r="AF7006" t="s">
        <v>45541</v>
      </c>
      <c r="AG7006" t="s">
        <v>19330</v>
      </c>
      <c r="AH7006">
        <v>25</v>
      </c>
      <c r="AI7006">
        <v>2</v>
      </c>
      <c r="AJ7006">
        <v>0</v>
      </c>
      <c r="AK7006">
        <v>399.76</v>
      </c>
      <c r="AN7006" t="s">
        <v>7439</v>
      </c>
      <c r="AO7006">
        <v>67600</v>
      </c>
      <c r="AU7006">
        <v>0</v>
      </c>
      <c r="AW7006" t="s">
        <v>46832</v>
      </c>
    </row>
    <row r="7007" spans="1:50">
      <c r="A7007" s="1">
        <f>HYPERLINK("https://lsnyc.legalserver.org/matter/dynamic-profile/view/1893823","19-1893823")</f>
        <v>0</v>
      </c>
      <c r="B7007" t="s">
        <v>54</v>
      </c>
      <c r="C7007" t="s">
        <v>340</v>
      </c>
      <c r="D7007" t="s">
        <v>660</v>
      </c>
      <c r="F7007" t="s">
        <v>1353</v>
      </c>
      <c r="G7007" t="s">
        <v>5547</v>
      </c>
      <c r="H7007" t="s">
        <v>13840</v>
      </c>
      <c r="I7007" t="s">
        <v>17272</v>
      </c>
      <c r="J7007" t="s">
        <v>18892</v>
      </c>
      <c r="K7007">
        <v>10459</v>
      </c>
      <c r="L7007" t="s">
        <v>18958</v>
      </c>
      <c r="M7007" t="s">
        <v>18958</v>
      </c>
      <c r="N7007" t="s">
        <v>23970</v>
      </c>
      <c r="O7007" t="s">
        <v>26523</v>
      </c>
      <c r="P7007" t="s">
        <v>26560</v>
      </c>
      <c r="R7007" t="s">
        <v>26577</v>
      </c>
      <c r="S7007" t="s">
        <v>18959</v>
      </c>
      <c r="U7007" t="s">
        <v>26604</v>
      </c>
      <c r="V7007" t="s">
        <v>26609</v>
      </c>
      <c r="W7007" t="s">
        <v>781</v>
      </c>
      <c r="X7007">
        <v>1129</v>
      </c>
      <c r="Y7007" t="s">
        <v>26650</v>
      </c>
      <c r="Z7007" t="s">
        <v>26664</v>
      </c>
      <c r="AB7007" t="s">
        <v>28674</v>
      </c>
      <c r="AC7007" t="s">
        <v>36053</v>
      </c>
      <c r="AD7007" t="s">
        <v>41474</v>
      </c>
      <c r="AE7007">
        <v>20</v>
      </c>
      <c r="AF7007" t="s">
        <v>45541</v>
      </c>
      <c r="AG7007" t="s">
        <v>45557</v>
      </c>
      <c r="AH7007">
        <v>6</v>
      </c>
      <c r="AI7007">
        <v>1</v>
      </c>
      <c r="AJ7007">
        <v>3</v>
      </c>
      <c r="AK7007">
        <v>81.55</v>
      </c>
      <c r="AN7007" t="s">
        <v>7439</v>
      </c>
      <c r="AO7007">
        <v>21000</v>
      </c>
      <c r="AR7007" t="s">
        <v>46381</v>
      </c>
      <c r="AS7007" t="s">
        <v>46499</v>
      </c>
      <c r="AT7007" t="s">
        <v>46787</v>
      </c>
      <c r="AU7007">
        <v>2.8</v>
      </c>
      <c r="AV7007" t="s">
        <v>794</v>
      </c>
      <c r="AW7007" t="s">
        <v>46832</v>
      </c>
      <c r="AX7007" t="s">
        <v>46898</v>
      </c>
    </row>
    <row r="7008" spans="1:50">
      <c r="A7008" s="1">
        <f>HYPERLINK("https://lsnyc.legalserver.org/matter/dynamic-profile/view/1893875","19-1893875")</f>
        <v>0</v>
      </c>
      <c r="B7008" t="s">
        <v>182</v>
      </c>
      <c r="C7008" t="s">
        <v>340</v>
      </c>
      <c r="D7008" t="s">
        <v>755</v>
      </c>
      <c r="F7008" t="s">
        <v>3830</v>
      </c>
      <c r="G7008" t="s">
        <v>8184</v>
      </c>
      <c r="H7008" t="s">
        <v>14518</v>
      </c>
      <c r="J7008" t="s">
        <v>18892</v>
      </c>
      <c r="K7008">
        <v>10451</v>
      </c>
      <c r="L7008" t="s">
        <v>18958</v>
      </c>
      <c r="M7008" t="s">
        <v>18958</v>
      </c>
      <c r="N7008" t="s">
        <v>23971</v>
      </c>
      <c r="O7008" t="s">
        <v>26524</v>
      </c>
      <c r="P7008" t="s">
        <v>26560</v>
      </c>
      <c r="R7008" t="s">
        <v>26577</v>
      </c>
      <c r="S7008" t="s">
        <v>18959</v>
      </c>
      <c r="U7008" t="s">
        <v>26604</v>
      </c>
      <c r="V7008" t="s">
        <v>26610</v>
      </c>
      <c r="W7008" t="s">
        <v>781</v>
      </c>
      <c r="X7008">
        <v>795</v>
      </c>
      <c r="Y7008" t="s">
        <v>26650</v>
      </c>
      <c r="Z7008" t="s">
        <v>26668</v>
      </c>
      <c r="AB7008" t="s">
        <v>32000</v>
      </c>
      <c r="AD7008" t="s">
        <v>42314</v>
      </c>
      <c r="AE7008">
        <v>0</v>
      </c>
      <c r="AF7008" t="s">
        <v>20460</v>
      </c>
      <c r="AG7008" t="s">
        <v>45561</v>
      </c>
      <c r="AH7008">
        <v>3</v>
      </c>
      <c r="AI7008">
        <v>1</v>
      </c>
      <c r="AJ7008">
        <v>0</v>
      </c>
      <c r="AK7008">
        <v>76.86</v>
      </c>
      <c r="AN7008" t="s">
        <v>7439</v>
      </c>
      <c r="AO7008">
        <v>9600</v>
      </c>
      <c r="AU7008">
        <v>17.1</v>
      </c>
      <c r="AV7008" t="s">
        <v>822</v>
      </c>
      <c r="AW7008" t="s">
        <v>46871</v>
      </c>
    </row>
    <row r="7009" spans="1:50">
      <c r="A7009" s="1">
        <f>HYPERLINK("https://lsnyc.legalserver.org/matter/dynamic-profile/view/1894123","19-1894123")</f>
        <v>0</v>
      </c>
      <c r="B7009" t="s">
        <v>100</v>
      </c>
      <c r="C7009" t="s">
        <v>340</v>
      </c>
      <c r="D7009" t="s">
        <v>786</v>
      </c>
      <c r="F7009" t="s">
        <v>3710</v>
      </c>
      <c r="G7009" t="s">
        <v>6270</v>
      </c>
      <c r="H7009" t="s">
        <v>13798</v>
      </c>
      <c r="I7009" t="s">
        <v>17496</v>
      </c>
      <c r="J7009" t="s">
        <v>18892</v>
      </c>
      <c r="K7009">
        <v>10453</v>
      </c>
      <c r="L7009" t="s">
        <v>18958</v>
      </c>
      <c r="M7009" t="s">
        <v>18958</v>
      </c>
      <c r="N7009" t="s">
        <v>23966</v>
      </c>
      <c r="O7009" t="s">
        <v>26526</v>
      </c>
      <c r="P7009" t="s">
        <v>26560</v>
      </c>
      <c r="R7009" t="s">
        <v>26578</v>
      </c>
      <c r="S7009" t="s">
        <v>18958</v>
      </c>
      <c r="U7009" t="s">
        <v>26604</v>
      </c>
      <c r="W7009" t="s">
        <v>781</v>
      </c>
      <c r="X7009">
        <v>506</v>
      </c>
      <c r="Y7009" t="s">
        <v>26650</v>
      </c>
      <c r="Z7009" t="s">
        <v>26663</v>
      </c>
      <c r="AB7009" t="s">
        <v>31743</v>
      </c>
      <c r="AD7009" t="s">
        <v>42006</v>
      </c>
      <c r="AE7009">
        <v>167</v>
      </c>
      <c r="AF7009" t="s">
        <v>45541</v>
      </c>
      <c r="AG7009" t="s">
        <v>45556</v>
      </c>
      <c r="AH7009">
        <v>10</v>
      </c>
      <c r="AI7009">
        <v>2</v>
      </c>
      <c r="AJ7009">
        <v>4</v>
      </c>
      <c r="AK7009">
        <v>58.98</v>
      </c>
      <c r="AN7009" t="s">
        <v>45581</v>
      </c>
      <c r="AO7009">
        <v>20400</v>
      </c>
      <c r="AU7009">
        <v>0</v>
      </c>
      <c r="AW7009" t="s">
        <v>46847</v>
      </c>
    </row>
    <row r="7010" spans="1:50">
      <c r="A7010" s="1">
        <f>HYPERLINK("https://lsnyc.legalserver.org/matter/dynamic-profile/view/1894102","19-1894102")</f>
        <v>0</v>
      </c>
      <c r="B7010" t="s">
        <v>100</v>
      </c>
      <c r="C7010" t="s">
        <v>340</v>
      </c>
      <c r="D7010" t="s">
        <v>786</v>
      </c>
      <c r="F7010" t="s">
        <v>996</v>
      </c>
      <c r="G7010" t="s">
        <v>875</v>
      </c>
      <c r="H7010" t="s">
        <v>13798</v>
      </c>
      <c r="I7010" t="s">
        <v>17448</v>
      </c>
      <c r="J7010" t="s">
        <v>18892</v>
      </c>
      <c r="K7010">
        <v>10453</v>
      </c>
      <c r="L7010" t="s">
        <v>18958</v>
      </c>
      <c r="M7010" t="s">
        <v>18958</v>
      </c>
      <c r="O7010" t="s">
        <v>26534</v>
      </c>
      <c r="P7010" t="s">
        <v>26561</v>
      </c>
      <c r="R7010" t="s">
        <v>26578</v>
      </c>
      <c r="S7010" t="s">
        <v>18958</v>
      </c>
      <c r="U7010" t="s">
        <v>26604</v>
      </c>
      <c r="W7010" t="s">
        <v>781</v>
      </c>
      <c r="X7010">
        <v>956</v>
      </c>
      <c r="Y7010" t="s">
        <v>26650</v>
      </c>
      <c r="Z7010" t="s">
        <v>26663</v>
      </c>
      <c r="AB7010" t="s">
        <v>28762</v>
      </c>
      <c r="AD7010" t="s">
        <v>42315</v>
      </c>
      <c r="AE7010">
        <v>167</v>
      </c>
      <c r="AF7010" t="s">
        <v>45541</v>
      </c>
      <c r="AG7010" t="s">
        <v>19330</v>
      </c>
      <c r="AH7010">
        <v>20</v>
      </c>
      <c r="AI7010">
        <v>1</v>
      </c>
      <c r="AJ7010">
        <v>0</v>
      </c>
      <c r="AK7010">
        <v>240.19</v>
      </c>
      <c r="AN7010" t="s">
        <v>7439</v>
      </c>
      <c r="AO7010">
        <v>30000</v>
      </c>
      <c r="AU7010">
        <v>0</v>
      </c>
      <c r="AW7010" t="s">
        <v>46847</v>
      </c>
    </row>
    <row r="7011" spans="1:50">
      <c r="A7011" s="1">
        <f>HYPERLINK("https://lsnyc.legalserver.org/matter/dynamic-profile/view/1894099","19-1894099")</f>
        <v>0</v>
      </c>
      <c r="B7011" t="s">
        <v>100</v>
      </c>
      <c r="C7011" t="s">
        <v>340</v>
      </c>
      <c r="D7011" t="s">
        <v>786</v>
      </c>
      <c r="F7011" t="s">
        <v>996</v>
      </c>
      <c r="G7011" t="s">
        <v>875</v>
      </c>
      <c r="H7011" t="s">
        <v>13798</v>
      </c>
      <c r="I7011" t="s">
        <v>17448</v>
      </c>
      <c r="J7011" t="s">
        <v>18892</v>
      </c>
      <c r="K7011">
        <v>10453</v>
      </c>
      <c r="L7011" t="s">
        <v>18958</v>
      </c>
      <c r="M7011" t="s">
        <v>18958</v>
      </c>
      <c r="N7011" t="s">
        <v>23966</v>
      </c>
      <c r="O7011" t="s">
        <v>26526</v>
      </c>
      <c r="P7011" t="s">
        <v>26560</v>
      </c>
      <c r="R7011" t="s">
        <v>26578</v>
      </c>
      <c r="S7011" t="s">
        <v>18958</v>
      </c>
      <c r="U7011" t="s">
        <v>26604</v>
      </c>
      <c r="W7011" t="s">
        <v>781</v>
      </c>
      <c r="X7011">
        <v>956</v>
      </c>
      <c r="Y7011" t="s">
        <v>26650</v>
      </c>
      <c r="Z7011" t="s">
        <v>26663</v>
      </c>
      <c r="AB7011" t="s">
        <v>28762</v>
      </c>
      <c r="AD7011" t="s">
        <v>42315</v>
      </c>
      <c r="AE7011">
        <v>167</v>
      </c>
      <c r="AF7011" t="s">
        <v>45541</v>
      </c>
      <c r="AG7011" t="s">
        <v>19330</v>
      </c>
      <c r="AH7011">
        <v>20</v>
      </c>
      <c r="AI7011">
        <v>1</v>
      </c>
      <c r="AJ7011">
        <v>0</v>
      </c>
      <c r="AK7011">
        <v>240.19</v>
      </c>
      <c r="AN7011" t="s">
        <v>7439</v>
      </c>
      <c r="AO7011">
        <v>30000</v>
      </c>
      <c r="AU7011">
        <v>0</v>
      </c>
      <c r="AW7011" t="s">
        <v>46847</v>
      </c>
    </row>
    <row r="7012" spans="1:50">
      <c r="A7012" s="1">
        <f>HYPERLINK("https://lsnyc.legalserver.org/matter/dynamic-profile/view/1894159","19-1894159")</f>
        <v>0</v>
      </c>
      <c r="B7012" t="s">
        <v>67</v>
      </c>
      <c r="C7012" t="s">
        <v>340</v>
      </c>
      <c r="D7012" t="s">
        <v>786</v>
      </c>
      <c r="F7012" t="s">
        <v>3799</v>
      </c>
      <c r="G7012" t="s">
        <v>5330</v>
      </c>
      <c r="H7012" t="s">
        <v>10156</v>
      </c>
      <c r="I7012" t="s">
        <v>17274</v>
      </c>
      <c r="J7012" t="s">
        <v>18892</v>
      </c>
      <c r="K7012">
        <v>10456</v>
      </c>
      <c r="L7012" t="s">
        <v>18958</v>
      </c>
      <c r="M7012" t="s">
        <v>18958</v>
      </c>
      <c r="O7012" t="s">
        <v>26534</v>
      </c>
      <c r="P7012" t="s">
        <v>26561</v>
      </c>
      <c r="R7012" t="s">
        <v>26578</v>
      </c>
      <c r="S7012" t="s">
        <v>18958</v>
      </c>
      <c r="U7012" t="s">
        <v>26604</v>
      </c>
      <c r="W7012" t="s">
        <v>781</v>
      </c>
      <c r="X7012">
        <v>1404.38</v>
      </c>
      <c r="Y7012" t="s">
        <v>26650</v>
      </c>
      <c r="Z7012" t="s">
        <v>26663</v>
      </c>
      <c r="AB7012" t="s">
        <v>31713</v>
      </c>
      <c r="AD7012" t="s">
        <v>41966</v>
      </c>
      <c r="AE7012">
        <v>131</v>
      </c>
      <c r="AF7012" t="s">
        <v>45541</v>
      </c>
      <c r="AG7012" t="s">
        <v>19330</v>
      </c>
      <c r="AH7012">
        <v>4</v>
      </c>
      <c r="AI7012">
        <v>1</v>
      </c>
      <c r="AJ7012">
        <v>1</v>
      </c>
      <c r="AK7012">
        <v>167.9</v>
      </c>
      <c r="AN7012" t="s">
        <v>45581</v>
      </c>
      <c r="AO7012">
        <v>28392</v>
      </c>
      <c r="AU7012">
        <v>0</v>
      </c>
      <c r="AW7012" t="s">
        <v>46832</v>
      </c>
    </row>
    <row r="7013" spans="1:50">
      <c r="A7013" s="1">
        <f>HYPERLINK("https://lsnyc.legalserver.org/matter/dynamic-profile/view/1894094","19-1894094")</f>
        <v>0</v>
      </c>
      <c r="B7013" t="s">
        <v>177</v>
      </c>
      <c r="C7013" t="s">
        <v>340</v>
      </c>
      <c r="D7013" t="s">
        <v>786</v>
      </c>
      <c r="F7013" t="s">
        <v>3831</v>
      </c>
      <c r="G7013" t="s">
        <v>5147</v>
      </c>
      <c r="H7013" t="s">
        <v>12169</v>
      </c>
      <c r="I7013" t="s">
        <v>17360</v>
      </c>
      <c r="J7013" t="s">
        <v>18892</v>
      </c>
      <c r="K7013">
        <v>10453</v>
      </c>
      <c r="L7013" t="s">
        <v>18958</v>
      </c>
      <c r="M7013" t="s">
        <v>18958</v>
      </c>
      <c r="N7013" t="s">
        <v>23964</v>
      </c>
      <c r="O7013" t="s">
        <v>26526</v>
      </c>
      <c r="P7013" t="s">
        <v>26560</v>
      </c>
      <c r="R7013" t="s">
        <v>26578</v>
      </c>
      <c r="S7013" t="s">
        <v>18958</v>
      </c>
      <c r="U7013" t="s">
        <v>26604</v>
      </c>
      <c r="W7013" t="s">
        <v>781</v>
      </c>
      <c r="X7013">
        <v>692.88</v>
      </c>
      <c r="Y7013" t="s">
        <v>26650</v>
      </c>
      <c r="Z7013" t="s">
        <v>26663</v>
      </c>
      <c r="AB7013" t="s">
        <v>32001</v>
      </c>
      <c r="AE7013">
        <v>49</v>
      </c>
      <c r="AF7013" t="s">
        <v>45541</v>
      </c>
      <c r="AG7013" t="s">
        <v>19330</v>
      </c>
      <c r="AH7013">
        <v>21</v>
      </c>
      <c r="AI7013">
        <v>2</v>
      </c>
      <c r="AJ7013">
        <v>0</v>
      </c>
      <c r="AK7013">
        <v>118.27</v>
      </c>
      <c r="AN7013" t="s">
        <v>7439</v>
      </c>
      <c r="AO7013">
        <v>20000</v>
      </c>
      <c r="AU7013">
        <v>0</v>
      </c>
      <c r="AW7013" t="s">
        <v>46832</v>
      </c>
    </row>
    <row r="7014" spans="1:50">
      <c r="A7014" s="1">
        <f>HYPERLINK("https://lsnyc.legalserver.org/matter/dynamic-profile/view/1894534","19-1894534")</f>
        <v>0</v>
      </c>
      <c r="B7014" t="s">
        <v>100</v>
      </c>
      <c r="C7014" t="s">
        <v>340</v>
      </c>
      <c r="D7014" t="s">
        <v>777</v>
      </c>
      <c r="F7014" t="s">
        <v>3832</v>
      </c>
      <c r="G7014" t="s">
        <v>5086</v>
      </c>
      <c r="H7014" t="s">
        <v>13798</v>
      </c>
      <c r="I7014" t="s">
        <v>18418</v>
      </c>
      <c r="J7014" t="s">
        <v>18892</v>
      </c>
      <c r="K7014">
        <v>10453</v>
      </c>
      <c r="L7014" t="s">
        <v>18958</v>
      </c>
      <c r="M7014" t="s">
        <v>18958</v>
      </c>
      <c r="N7014" t="s">
        <v>23966</v>
      </c>
      <c r="O7014" t="s">
        <v>26526</v>
      </c>
      <c r="P7014" t="s">
        <v>26560</v>
      </c>
      <c r="R7014" t="s">
        <v>26578</v>
      </c>
      <c r="S7014" t="s">
        <v>18958</v>
      </c>
      <c r="U7014" t="s">
        <v>26604</v>
      </c>
      <c r="W7014" t="s">
        <v>781</v>
      </c>
      <c r="X7014">
        <v>1070</v>
      </c>
      <c r="Y7014" t="s">
        <v>26650</v>
      </c>
      <c r="Z7014" t="s">
        <v>26667</v>
      </c>
      <c r="AB7014" t="s">
        <v>32002</v>
      </c>
      <c r="AE7014">
        <v>170</v>
      </c>
      <c r="AF7014" t="s">
        <v>45541</v>
      </c>
      <c r="AG7014" t="s">
        <v>19330</v>
      </c>
      <c r="AH7014">
        <v>20</v>
      </c>
      <c r="AI7014">
        <v>2</v>
      </c>
      <c r="AJ7014">
        <v>0</v>
      </c>
      <c r="AK7014">
        <v>153.76</v>
      </c>
      <c r="AN7014" t="s">
        <v>7439</v>
      </c>
      <c r="AO7014">
        <v>26000</v>
      </c>
      <c r="AU7014">
        <v>0</v>
      </c>
      <c r="AW7014" t="s">
        <v>329</v>
      </c>
    </row>
    <row r="7015" spans="1:50">
      <c r="A7015" s="1">
        <f>HYPERLINK("https://lsnyc.legalserver.org/matter/dynamic-profile/view/1894498","19-1894498")</f>
        <v>0</v>
      </c>
      <c r="B7015" t="s">
        <v>100</v>
      </c>
      <c r="C7015" t="s">
        <v>340</v>
      </c>
      <c r="D7015" t="s">
        <v>777</v>
      </c>
      <c r="F7015" t="s">
        <v>3833</v>
      </c>
      <c r="G7015" t="s">
        <v>2564</v>
      </c>
      <c r="H7015" t="s">
        <v>13798</v>
      </c>
      <c r="I7015" t="s">
        <v>18422</v>
      </c>
      <c r="J7015" t="s">
        <v>18892</v>
      </c>
      <c r="K7015">
        <v>10453</v>
      </c>
      <c r="L7015" t="s">
        <v>18958</v>
      </c>
      <c r="M7015" t="s">
        <v>18958</v>
      </c>
      <c r="O7015" t="s">
        <v>26534</v>
      </c>
      <c r="P7015" t="s">
        <v>26561</v>
      </c>
      <c r="R7015" t="s">
        <v>26578</v>
      </c>
      <c r="S7015" t="s">
        <v>18958</v>
      </c>
      <c r="U7015" t="s">
        <v>26604</v>
      </c>
      <c r="W7015" t="s">
        <v>781</v>
      </c>
      <c r="X7015">
        <v>938.89</v>
      </c>
      <c r="Y7015" t="s">
        <v>26650</v>
      </c>
      <c r="Z7015" t="s">
        <v>26667</v>
      </c>
      <c r="AB7015" t="s">
        <v>32003</v>
      </c>
      <c r="AE7015">
        <v>170</v>
      </c>
      <c r="AF7015" t="s">
        <v>45541</v>
      </c>
      <c r="AG7015" t="s">
        <v>19330</v>
      </c>
      <c r="AH7015">
        <v>41</v>
      </c>
      <c r="AI7015">
        <v>4</v>
      </c>
      <c r="AJ7015">
        <v>0</v>
      </c>
      <c r="AK7015">
        <v>232.23</v>
      </c>
      <c r="AN7015" t="s">
        <v>45581</v>
      </c>
      <c r="AO7015">
        <v>59800</v>
      </c>
      <c r="AU7015">
        <v>0</v>
      </c>
      <c r="AW7015" t="s">
        <v>329</v>
      </c>
    </row>
    <row r="7016" spans="1:50">
      <c r="A7016" s="1">
        <f>HYPERLINK("https://lsnyc.legalserver.org/matter/dynamic-profile/view/1894488","19-1894488")</f>
        <v>0</v>
      </c>
      <c r="B7016" t="s">
        <v>100</v>
      </c>
      <c r="C7016" t="s">
        <v>340</v>
      </c>
      <c r="D7016" t="s">
        <v>777</v>
      </c>
      <c r="F7016" t="s">
        <v>3833</v>
      </c>
      <c r="G7016" t="s">
        <v>2564</v>
      </c>
      <c r="H7016" t="s">
        <v>13798</v>
      </c>
      <c r="I7016" t="s">
        <v>18422</v>
      </c>
      <c r="J7016" t="s">
        <v>18892</v>
      </c>
      <c r="K7016">
        <v>10453</v>
      </c>
      <c r="L7016" t="s">
        <v>18958</v>
      </c>
      <c r="M7016" t="s">
        <v>18958</v>
      </c>
      <c r="N7016" t="s">
        <v>23966</v>
      </c>
      <c r="O7016" t="s">
        <v>26526</v>
      </c>
      <c r="P7016" t="s">
        <v>26560</v>
      </c>
      <c r="R7016" t="s">
        <v>26578</v>
      </c>
      <c r="S7016" t="s">
        <v>18958</v>
      </c>
      <c r="U7016" t="s">
        <v>26604</v>
      </c>
      <c r="W7016" t="s">
        <v>781</v>
      </c>
      <c r="X7016">
        <v>938.89</v>
      </c>
      <c r="Y7016" t="s">
        <v>26650</v>
      </c>
      <c r="Z7016" t="s">
        <v>26667</v>
      </c>
      <c r="AB7016" t="s">
        <v>32003</v>
      </c>
      <c r="AE7016">
        <v>170</v>
      </c>
      <c r="AF7016" t="s">
        <v>45541</v>
      </c>
      <c r="AG7016" t="s">
        <v>19330</v>
      </c>
      <c r="AH7016">
        <v>41</v>
      </c>
      <c r="AI7016">
        <v>4</v>
      </c>
      <c r="AJ7016">
        <v>0</v>
      </c>
      <c r="AK7016">
        <v>232.23</v>
      </c>
      <c r="AN7016" t="s">
        <v>45581</v>
      </c>
      <c r="AO7016">
        <v>59800</v>
      </c>
      <c r="AU7016">
        <v>0</v>
      </c>
      <c r="AW7016" t="s">
        <v>329</v>
      </c>
    </row>
    <row r="7017" spans="1:50">
      <c r="A7017" s="1">
        <f>HYPERLINK("https://lsnyc.legalserver.org/matter/dynamic-profile/view/1894468","19-1894468")</f>
        <v>0</v>
      </c>
      <c r="B7017" t="s">
        <v>100</v>
      </c>
      <c r="C7017" t="s">
        <v>340</v>
      </c>
      <c r="D7017" t="s">
        <v>788</v>
      </c>
      <c r="F7017" t="s">
        <v>1610</v>
      </c>
      <c r="G7017" t="s">
        <v>5394</v>
      </c>
      <c r="H7017" t="s">
        <v>13798</v>
      </c>
      <c r="I7017" t="s">
        <v>17434</v>
      </c>
      <c r="J7017" t="s">
        <v>18892</v>
      </c>
      <c r="K7017">
        <v>10453</v>
      </c>
      <c r="L7017" t="s">
        <v>18958</v>
      </c>
      <c r="M7017" t="s">
        <v>18958</v>
      </c>
      <c r="N7017" t="s">
        <v>23966</v>
      </c>
      <c r="O7017" t="s">
        <v>26526</v>
      </c>
      <c r="P7017" t="s">
        <v>26560</v>
      </c>
      <c r="R7017" t="s">
        <v>26578</v>
      </c>
      <c r="S7017" t="s">
        <v>18958</v>
      </c>
      <c r="U7017" t="s">
        <v>26604</v>
      </c>
      <c r="W7017" t="s">
        <v>781</v>
      </c>
      <c r="X7017">
        <v>1049.5</v>
      </c>
      <c r="Y7017" t="s">
        <v>26650</v>
      </c>
      <c r="Z7017" t="s">
        <v>26667</v>
      </c>
      <c r="AB7017" t="s">
        <v>32004</v>
      </c>
      <c r="AD7017" t="s">
        <v>42316</v>
      </c>
      <c r="AE7017">
        <v>170</v>
      </c>
      <c r="AF7017" t="s">
        <v>45548</v>
      </c>
      <c r="AH7017">
        <v>3</v>
      </c>
      <c r="AI7017">
        <v>2</v>
      </c>
      <c r="AJ7017">
        <v>2</v>
      </c>
      <c r="AK7017">
        <v>70.68000000000001</v>
      </c>
      <c r="AN7017" t="s">
        <v>45581</v>
      </c>
      <c r="AO7017">
        <v>18200</v>
      </c>
      <c r="AU7017">
        <v>0</v>
      </c>
      <c r="AW7017" t="s">
        <v>329</v>
      </c>
    </row>
    <row r="7018" spans="1:50">
      <c r="A7018" s="1">
        <f>HYPERLINK("https://lsnyc.legalserver.org/matter/dynamic-profile/view/1894904","19-1894904")</f>
        <v>0</v>
      </c>
      <c r="B7018" t="s">
        <v>100</v>
      </c>
      <c r="C7018" t="s">
        <v>340</v>
      </c>
      <c r="D7018" t="s">
        <v>789</v>
      </c>
      <c r="F7018" t="s">
        <v>3834</v>
      </c>
      <c r="G7018" t="s">
        <v>8168</v>
      </c>
      <c r="H7018" t="s">
        <v>13798</v>
      </c>
      <c r="I7018" t="s">
        <v>17366</v>
      </c>
      <c r="J7018" t="s">
        <v>18892</v>
      </c>
      <c r="K7018">
        <v>10453</v>
      </c>
      <c r="L7018" t="s">
        <v>18958</v>
      </c>
      <c r="M7018" t="s">
        <v>18958</v>
      </c>
      <c r="N7018" t="s">
        <v>23966</v>
      </c>
      <c r="O7018" t="s">
        <v>26526</v>
      </c>
      <c r="P7018" t="s">
        <v>26560</v>
      </c>
      <c r="R7018" t="s">
        <v>26578</v>
      </c>
      <c r="S7018" t="s">
        <v>18958</v>
      </c>
      <c r="U7018" t="s">
        <v>26604</v>
      </c>
      <c r="W7018" t="s">
        <v>781</v>
      </c>
      <c r="X7018">
        <v>1050</v>
      </c>
      <c r="Y7018" t="s">
        <v>26650</v>
      </c>
      <c r="Z7018" t="s">
        <v>26667</v>
      </c>
      <c r="AB7018" t="s">
        <v>32005</v>
      </c>
      <c r="AD7018" t="s">
        <v>42317</v>
      </c>
      <c r="AE7018">
        <v>170</v>
      </c>
      <c r="AF7018" t="s">
        <v>45541</v>
      </c>
      <c r="AG7018" t="s">
        <v>19330</v>
      </c>
      <c r="AH7018">
        <v>6</v>
      </c>
      <c r="AI7018">
        <v>2</v>
      </c>
      <c r="AJ7018">
        <v>0</v>
      </c>
      <c r="AK7018">
        <v>107.63</v>
      </c>
      <c r="AN7018" t="s">
        <v>45581</v>
      </c>
      <c r="AO7018">
        <v>18200</v>
      </c>
      <c r="AU7018">
        <v>0</v>
      </c>
      <c r="AW7018" t="s">
        <v>329</v>
      </c>
    </row>
    <row r="7019" spans="1:50">
      <c r="A7019" s="1">
        <f>HYPERLINK("https://lsnyc.legalserver.org/matter/dynamic-profile/view/1895445","19-1895445")</f>
        <v>0</v>
      </c>
      <c r="B7019" t="s">
        <v>53</v>
      </c>
      <c r="C7019" t="s">
        <v>341</v>
      </c>
      <c r="D7019" t="s">
        <v>781</v>
      </c>
      <c r="E7019" t="s">
        <v>811</v>
      </c>
      <c r="F7019" t="s">
        <v>3835</v>
      </c>
      <c r="G7019" t="s">
        <v>3036</v>
      </c>
      <c r="H7019" t="s">
        <v>14519</v>
      </c>
      <c r="I7019" t="s">
        <v>17387</v>
      </c>
      <c r="J7019" t="s">
        <v>18892</v>
      </c>
      <c r="K7019">
        <v>10456</v>
      </c>
      <c r="L7019" t="s">
        <v>18958</v>
      </c>
      <c r="M7019" t="s">
        <v>18958</v>
      </c>
      <c r="N7019" t="s">
        <v>23972</v>
      </c>
      <c r="O7019" t="s">
        <v>26524</v>
      </c>
      <c r="P7019" t="s">
        <v>26564</v>
      </c>
      <c r="Q7019" t="s">
        <v>26570</v>
      </c>
      <c r="R7019" t="s">
        <v>26577</v>
      </c>
      <c r="S7019" t="s">
        <v>18959</v>
      </c>
      <c r="U7019" t="s">
        <v>26604</v>
      </c>
      <c r="V7019" t="s">
        <v>26612</v>
      </c>
      <c r="W7019" t="s">
        <v>781</v>
      </c>
      <c r="X7019">
        <v>1400</v>
      </c>
      <c r="Y7019" t="s">
        <v>26650</v>
      </c>
      <c r="Z7019" t="s">
        <v>26668</v>
      </c>
      <c r="AA7019" t="s">
        <v>26683</v>
      </c>
      <c r="AB7019" t="s">
        <v>32006</v>
      </c>
      <c r="AC7019" t="s">
        <v>36246</v>
      </c>
      <c r="AD7019" t="s">
        <v>42318</v>
      </c>
      <c r="AE7019">
        <v>2</v>
      </c>
      <c r="AF7019" t="s">
        <v>45547</v>
      </c>
      <c r="AG7019" t="s">
        <v>45561</v>
      </c>
      <c r="AH7019">
        <v>5</v>
      </c>
      <c r="AI7019">
        <v>1</v>
      </c>
      <c r="AJ7019">
        <v>0</v>
      </c>
      <c r="AK7019">
        <v>73.98</v>
      </c>
      <c r="AN7019" t="s">
        <v>7439</v>
      </c>
      <c r="AO7019">
        <v>9240</v>
      </c>
      <c r="AU7019">
        <v>2.8</v>
      </c>
      <c r="AV7019" t="s">
        <v>724</v>
      </c>
      <c r="AW7019" t="s">
        <v>334</v>
      </c>
    </row>
    <row r="7020" spans="1:50">
      <c r="A7020" s="1">
        <f>HYPERLINK("https://lsnyc.legalserver.org/matter/dynamic-profile/view/1895558","19-1895558")</f>
        <v>0</v>
      </c>
      <c r="B7020" t="s">
        <v>50</v>
      </c>
      <c r="C7020" t="s">
        <v>341</v>
      </c>
      <c r="D7020" t="s">
        <v>781</v>
      </c>
      <c r="E7020" t="s">
        <v>826</v>
      </c>
      <c r="F7020" t="s">
        <v>1126</v>
      </c>
      <c r="G7020" t="s">
        <v>5121</v>
      </c>
      <c r="H7020" t="s">
        <v>10984</v>
      </c>
      <c r="I7020" t="s">
        <v>17965</v>
      </c>
      <c r="J7020" t="s">
        <v>18892</v>
      </c>
      <c r="K7020">
        <v>10468</v>
      </c>
      <c r="L7020" t="s">
        <v>18958</v>
      </c>
      <c r="M7020" t="s">
        <v>18958</v>
      </c>
      <c r="N7020" t="s">
        <v>23973</v>
      </c>
      <c r="O7020" t="s">
        <v>26524</v>
      </c>
      <c r="P7020" t="s">
        <v>26560</v>
      </c>
      <c r="Q7020" t="s">
        <v>26575</v>
      </c>
      <c r="R7020" t="s">
        <v>26579</v>
      </c>
      <c r="S7020" t="s">
        <v>18959</v>
      </c>
      <c r="U7020" t="s">
        <v>26604</v>
      </c>
      <c r="V7020" t="s">
        <v>26610</v>
      </c>
      <c r="W7020" t="s">
        <v>781</v>
      </c>
      <c r="X7020">
        <v>997.1799999999999</v>
      </c>
      <c r="Y7020" t="s">
        <v>26650</v>
      </c>
      <c r="Z7020" t="s">
        <v>26664</v>
      </c>
      <c r="AA7020" t="s">
        <v>26678</v>
      </c>
      <c r="AB7020" t="s">
        <v>32007</v>
      </c>
      <c r="AD7020" t="s">
        <v>42319</v>
      </c>
      <c r="AE7020">
        <v>69</v>
      </c>
      <c r="AF7020" t="s">
        <v>45541</v>
      </c>
      <c r="AG7020" t="s">
        <v>19330</v>
      </c>
      <c r="AH7020">
        <v>40</v>
      </c>
      <c r="AI7020">
        <v>1</v>
      </c>
      <c r="AJ7020">
        <v>0</v>
      </c>
      <c r="AK7020">
        <v>59.38</v>
      </c>
      <c r="AN7020" t="s">
        <v>45581</v>
      </c>
      <c r="AO7020">
        <v>7416</v>
      </c>
      <c r="AP7020" t="s">
        <v>46034</v>
      </c>
      <c r="AS7020" t="s">
        <v>46499</v>
      </c>
      <c r="AU7020">
        <v>13.75</v>
      </c>
      <c r="AV7020" t="s">
        <v>826</v>
      </c>
      <c r="AW7020" t="s">
        <v>334</v>
      </c>
    </row>
    <row r="7021" spans="1:50">
      <c r="A7021" s="1">
        <f>HYPERLINK("https://lsnyc.legalserver.org/matter/dynamic-profile/view/1894868","19-1894868")</f>
        <v>0</v>
      </c>
      <c r="B7021" t="s">
        <v>61</v>
      </c>
      <c r="C7021" t="s">
        <v>340</v>
      </c>
      <c r="D7021" t="s">
        <v>781</v>
      </c>
      <c r="F7021" t="s">
        <v>1447</v>
      </c>
      <c r="G7021" t="s">
        <v>5435</v>
      </c>
      <c r="H7021" t="s">
        <v>11324</v>
      </c>
      <c r="I7021">
        <v>51</v>
      </c>
      <c r="J7021" t="s">
        <v>18893</v>
      </c>
      <c r="K7021">
        <v>10034</v>
      </c>
      <c r="L7021" t="s">
        <v>18958</v>
      </c>
      <c r="M7021" t="s">
        <v>18958</v>
      </c>
      <c r="N7021" t="s">
        <v>22462</v>
      </c>
      <c r="O7021" t="s">
        <v>26526</v>
      </c>
      <c r="P7021" t="s">
        <v>26560</v>
      </c>
      <c r="R7021" t="s">
        <v>26578</v>
      </c>
      <c r="S7021" t="s">
        <v>18958</v>
      </c>
      <c r="U7021" t="s">
        <v>26604</v>
      </c>
      <c r="W7021" t="s">
        <v>781</v>
      </c>
      <c r="X7021">
        <v>1023</v>
      </c>
      <c r="Y7021" t="s">
        <v>26651</v>
      </c>
      <c r="Z7021" t="s">
        <v>26661</v>
      </c>
      <c r="AB7021" t="s">
        <v>32008</v>
      </c>
      <c r="AD7021" t="s">
        <v>42320</v>
      </c>
      <c r="AE7021">
        <v>25</v>
      </c>
      <c r="AF7021" t="s">
        <v>45541</v>
      </c>
      <c r="AG7021" t="s">
        <v>19330</v>
      </c>
      <c r="AH7021">
        <v>38</v>
      </c>
      <c r="AI7021">
        <v>4</v>
      </c>
      <c r="AJ7021">
        <v>1</v>
      </c>
      <c r="AK7021">
        <v>58.11</v>
      </c>
      <c r="AO7021">
        <v>17532</v>
      </c>
      <c r="AU7021">
        <v>0.8</v>
      </c>
      <c r="AV7021" t="s">
        <v>781</v>
      </c>
      <c r="AW7021" t="s">
        <v>317</v>
      </c>
      <c r="AX7021" t="s">
        <v>46897</v>
      </c>
    </row>
    <row r="7022" spans="1:50">
      <c r="A7022" s="1">
        <f>HYPERLINK("https://lsnyc.legalserver.org/matter/dynamic-profile/view/1895534","19-1895534")</f>
        <v>0</v>
      </c>
      <c r="B7022" t="s">
        <v>61</v>
      </c>
      <c r="C7022" t="s">
        <v>340</v>
      </c>
      <c r="D7022" t="s">
        <v>781</v>
      </c>
      <c r="F7022" t="s">
        <v>1228</v>
      </c>
      <c r="G7022" t="s">
        <v>5625</v>
      </c>
      <c r="H7022" t="s">
        <v>14520</v>
      </c>
      <c r="I7022" t="s">
        <v>17349</v>
      </c>
      <c r="J7022" t="s">
        <v>18893</v>
      </c>
      <c r="K7022">
        <v>10034</v>
      </c>
      <c r="L7022" t="s">
        <v>18958</v>
      </c>
      <c r="M7022" t="s">
        <v>18958</v>
      </c>
      <c r="N7022" t="s">
        <v>23974</v>
      </c>
      <c r="O7022" t="s">
        <v>26558</v>
      </c>
      <c r="P7022" t="s">
        <v>26561</v>
      </c>
      <c r="R7022" t="s">
        <v>26578</v>
      </c>
      <c r="S7022" t="s">
        <v>18959</v>
      </c>
      <c r="U7022" t="s">
        <v>26604</v>
      </c>
      <c r="V7022" t="s">
        <v>26610</v>
      </c>
      <c r="W7022" t="s">
        <v>781</v>
      </c>
      <c r="X7022">
        <v>450.25</v>
      </c>
      <c r="Y7022" t="s">
        <v>26651</v>
      </c>
      <c r="Z7022" t="s">
        <v>26530</v>
      </c>
      <c r="AB7022" t="s">
        <v>32009</v>
      </c>
      <c r="AD7022" t="s">
        <v>42321</v>
      </c>
      <c r="AE7022">
        <v>49</v>
      </c>
      <c r="AF7022" t="s">
        <v>45541</v>
      </c>
      <c r="AG7022" t="s">
        <v>19330</v>
      </c>
      <c r="AH7022">
        <v>50</v>
      </c>
      <c r="AI7022">
        <v>1</v>
      </c>
      <c r="AJ7022">
        <v>0</v>
      </c>
      <c r="AK7022">
        <v>105.68</v>
      </c>
      <c r="AN7022" t="s">
        <v>7439</v>
      </c>
      <c r="AO7022">
        <v>13200</v>
      </c>
      <c r="AU7022">
        <v>10.3</v>
      </c>
      <c r="AV7022" t="s">
        <v>803</v>
      </c>
      <c r="AW7022" t="s">
        <v>46835</v>
      </c>
    </row>
    <row r="7023" spans="1:50">
      <c r="A7023" s="1">
        <f>HYPERLINK("https://lsnyc.legalserver.org/matter/dynamic-profile/view/1895540","19-1895540")</f>
        <v>0</v>
      </c>
      <c r="B7023" t="s">
        <v>61</v>
      </c>
      <c r="C7023" t="s">
        <v>340</v>
      </c>
      <c r="D7023" t="s">
        <v>781</v>
      </c>
      <c r="F7023" t="s">
        <v>3357</v>
      </c>
      <c r="G7023" t="s">
        <v>8185</v>
      </c>
      <c r="H7023" t="s">
        <v>11324</v>
      </c>
      <c r="I7023">
        <v>23</v>
      </c>
      <c r="J7023" t="s">
        <v>18893</v>
      </c>
      <c r="K7023">
        <v>10034</v>
      </c>
      <c r="L7023" t="s">
        <v>18958</v>
      </c>
      <c r="M7023" t="s">
        <v>18958</v>
      </c>
      <c r="N7023" t="s">
        <v>23975</v>
      </c>
      <c r="O7023" t="s">
        <v>26526</v>
      </c>
      <c r="P7023" t="s">
        <v>26560</v>
      </c>
      <c r="R7023" t="s">
        <v>26578</v>
      </c>
      <c r="S7023" t="s">
        <v>18958</v>
      </c>
      <c r="U7023" t="s">
        <v>26604</v>
      </c>
      <c r="V7023" t="s">
        <v>26610</v>
      </c>
      <c r="W7023" t="s">
        <v>781</v>
      </c>
      <c r="X7023">
        <v>2000</v>
      </c>
      <c r="Y7023" t="s">
        <v>26651</v>
      </c>
      <c r="Z7023" t="s">
        <v>26530</v>
      </c>
      <c r="AB7023" t="s">
        <v>32010</v>
      </c>
      <c r="AD7023" t="s">
        <v>42322</v>
      </c>
      <c r="AE7023">
        <v>25</v>
      </c>
      <c r="AF7023" t="s">
        <v>45541</v>
      </c>
      <c r="AG7023" t="s">
        <v>19330</v>
      </c>
      <c r="AH7023">
        <v>0</v>
      </c>
      <c r="AI7023">
        <v>1</v>
      </c>
      <c r="AJ7023">
        <v>0</v>
      </c>
      <c r="AK7023">
        <v>320.26</v>
      </c>
      <c r="AN7023" t="s">
        <v>7439</v>
      </c>
      <c r="AO7023">
        <v>40000</v>
      </c>
      <c r="AU7023">
        <v>3.4</v>
      </c>
      <c r="AV7023" t="s">
        <v>795</v>
      </c>
      <c r="AW7023" t="s">
        <v>46835</v>
      </c>
      <c r="AX7023" t="s">
        <v>46897</v>
      </c>
    </row>
    <row r="7024" spans="1:50">
      <c r="A7024" s="1">
        <f>HYPERLINK("https://lsnyc.legalserver.org/matter/dynamic-profile/view/1895557","19-1895557")</f>
        <v>0</v>
      </c>
      <c r="B7024" t="s">
        <v>147</v>
      </c>
      <c r="C7024" t="s">
        <v>340</v>
      </c>
      <c r="D7024" t="s">
        <v>781</v>
      </c>
      <c r="F7024" t="s">
        <v>1148</v>
      </c>
      <c r="G7024" t="s">
        <v>2196</v>
      </c>
      <c r="H7024" t="s">
        <v>14521</v>
      </c>
      <c r="I7024" t="s">
        <v>17321</v>
      </c>
      <c r="J7024" t="s">
        <v>18894</v>
      </c>
      <c r="K7024">
        <v>11203</v>
      </c>
      <c r="L7024" t="s">
        <v>18958</v>
      </c>
      <c r="M7024" t="s">
        <v>18958</v>
      </c>
      <c r="N7024" t="s">
        <v>23976</v>
      </c>
      <c r="O7024" t="s">
        <v>26524</v>
      </c>
      <c r="P7024" t="s">
        <v>26560</v>
      </c>
      <c r="R7024" t="s">
        <v>26578</v>
      </c>
      <c r="S7024" t="s">
        <v>18959</v>
      </c>
      <c r="U7024" t="s">
        <v>26604</v>
      </c>
      <c r="V7024" t="s">
        <v>26613</v>
      </c>
      <c r="W7024" t="s">
        <v>781</v>
      </c>
      <c r="X7024">
        <v>921</v>
      </c>
      <c r="Y7024" t="s">
        <v>26652</v>
      </c>
      <c r="AB7024" t="s">
        <v>27872</v>
      </c>
      <c r="AD7024" t="s">
        <v>42323</v>
      </c>
      <c r="AE7024">
        <v>90</v>
      </c>
      <c r="AF7024" t="s">
        <v>45541</v>
      </c>
      <c r="AH7024">
        <v>7</v>
      </c>
      <c r="AI7024">
        <v>1</v>
      </c>
      <c r="AJ7024">
        <v>0</v>
      </c>
      <c r="AK7024">
        <v>110.02</v>
      </c>
      <c r="AN7024" t="s">
        <v>7439</v>
      </c>
      <c r="AO7024">
        <v>13741</v>
      </c>
      <c r="AQ7024" t="s">
        <v>46359</v>
      </c>
      <c r="AU7024">
        <v>78.5</v>
      </c>
      <c r="AV7024" t="s">
        <v>839</v>
      </c>
      <c r="AW7024" t="s">
        <v>198</v>
      </c>
    </row>
    <row r="7025" spans="1:50">
      <c r="A7025" s="1">
        <f>HYPERLINK("https://lsnyc.legalserver.org/matter/dynamic-profile/view/1895485","19-1895485")</f>
        <v>0</v>
      </c>
      <c r="B7025" t="s">
        <v>57</v>
      </c>
      <c r="C7025" t="s">
        <v>340</v>
      </c>
      <c r="D7025" t="s">
        <v>781</v>
      </c>
      <c r="F7025" t="s">
        <v>3836</v>
      </c>
      <c r="G7025" t="s">
        <v>5191</v>
      </c>
      <c r="H7025" t="s">
        <v>14522</v>
      </c>
      <c r="I7025">
        <v>1</v>
      </c>
      <c r="J7025" t="s">
        <v>18892</v>
      </c>
      <c r="K7025">
        <v>10469</v>
      </c>
      <c r="L7025" t="s">
        <v>18958</v>
      </c>
      <c r="M7025" t="s">
        <v>18958</v>
      </c>
      <c r="N7025" t="s">
        <v>23977</v>
      </c>
      <c r="O7025" t="s">
        <v>26523</v>
      </c>
      <c r="P7025" t="s">
        <v>26560</v>
      </c>
      <c r="R7025" t="s">
        <v>26577</v>
      </c>
      <c r="U7025" t="s">
        <v>26604</v>
      </c>
      <c r="V7025" t="s">
        <v>26610</v>
      </c>
      <c r="W7025" t="s">
        <v>781</v>
      </c>
      <c r="X7025">
        <v>1557</v>
      </c>
      <c r="Y7025" t="s">
        <v>26650</v>
      </c>
      <c r="Z7025" t="s">
        <v>26668</v>
      </c>
      <c r="AB7025" t="s">
        <v>28454</v>
      </c>
      <c r="AC7025" t="s">
        <v>36247</v>
      </c>
      <c r="AD7025" t="s">
        <v>42324</v>
      </c>
      <c r="AE7025">
        <v>0</v>
      </c>
      <c r="AF7025" t="s">
        <v>45541</v>
      </c>
      <c r="AG7025" t="s">
        <v>45558</v>
      </c>
      <c r="AH7025">
        <v>1</v>
      </c>
      <c r="AI7025">
        <v>1</v>
      </c>
      <c r="AJ7025">
        <v>3</v>
      </c>
      <c r="AK7025">
        <v>18.64</v>
      </c>
      <c r="AN7025" t="s">
        <v>7439</v>
      </c>
      <c r="AO7025">
        <v>4800</v>
      </c>
      <c r="AU7025">
        <v>13</v>
      </c>
      <c r="AV7025" t="s">
        <v>729</v>
      </c>
      <c r="AW7025" t="s">
        <v>334</v>
      </c>
      <c r="AX7025" t="s">
        <v>46898</v>
      </c>
    </row>
    <row r="7026" spans="1:50">
      <c r="A7026" s="1">
        <f>HYPERLINK("https://lsnyc.legalserver.org/matter/dynamic-profile/view/1895496","19-1895496")</f>
        <v>0</v>
      </c>
      <c r="B7026" t="s">
        <v>57</v>
      </c>
      <c r="C7026" t="s">
        <v>340</v>
      </c>
      <c r="D7026" t="s">
        <v>781</v>
      </c>
      <c r="F7026" t="s">
        <v>3277</v>
      </c>
      <c r="G7026" t="s">
        <v>8186</v>
      </c>
      <c r="H7026" t="s">
        <v>14523</v>
      </c>
      <c r="I7026" t="s">
        <v>18423</v>
      </c>
      <c r="J7026" t="s">
        <v>18892</v>
      </c>
      <c r="K7026">
        <v>10468</v>
      </c>
      <c r="L7026" t="s">
        <v>18958</v>
      </c>
      <c r="M7026" t="s">
        <v>18958</v>
      </c>
      <c r="N7026" t="s">
        <v>23978</v>
      </c>
      <c r="O7026" t="s">
        <v>26523</v>
      </c>
      <c r="P7026" t="s">
        <v>26560</v>
      </c>
      <c r="R7026" t="s">
        <v>26579</v>
      </c>
      <c r="U7026" t="s">
        <v>26604</v>
      </c>
      <c r="V7026" t="s">
        <v>26610</v>
      </c>
      <c r="W7026" t="s">
        <v>781</v>
      </c>
      <c r="X7026">
        <v>1301</v>
      </c>
      <c r="Y7026" t="s">
        <v>26650</v>
      </c>
      <c r="Z7026" t="s">
        <v>26664</v>
      </c>
      <c r="AB7026" t="s">
        <v>32011</v>
      </c>
      <c r="AC7026" t="s">
        <v>36248</v>
      </c>
      <c r="AD7026" t="s">
        <v>42325</v>
      </c>
      <c r="AE7026">
        <v>0</v>
      </c>
      <c r="AH7026">
        <v>3</v>
      </c>
      <c r="AI7026">
        <v>3</v>
      </c>
      <c r="AJ7026">
        <v>2</v>
      </c>
      <c r="AK7026">
        <v>106.68</v>
      </c>
      <c r="AN7026" t="s">
        <v>7439</v>
      </c>
      <c r="AO7026">
        <v>32184</v>
      </c>
      <c r="AU7026">
        <v>19.3</v>
      </c>
      <c r="AV7026" t="s">
        <v>833</v>
      </c>
      <c r="AW7026" t="s">
        <v>334</v>
      </c>
    </row>
    <row r="7027" spans="1:50">
      <c r="A7027" s="1">
        <f>HYPERLINK("https://lsnyc.legalserver.org/matter/dynamic-profile/view/1895479","19-1895479")</f>
        <v>0</v>
      </c>
      <c r="B7027" t="s">
        <v>81</v>
      </c>
      <c r="C7027" t="s">
        <v>340</v>
      </c>
      <c r="D7027" t="s">
        <v>781</v>
      </c>
      <c r="F7027" t="s">
        <v>2562</v>
      </c>
      <c r="G7027" t="s">
        <v>1627</v>
      </c>
      <c r="H7027" t="s">
        <v>12187</v>
      </c>
      <c r="I7027" t="s">
        <v>17725</v>
      </c>
      <c r="J7027" t="s">
        <v>18892</v>
      </c>
      <c r="K7027">
        <v>10467</v>
      </c>
      <c r="L7027" t="s">
        <v>18958</v>
      </c>
      <c r="M7027" t="s">
        <v>18958</v>
      </c>
      <c r="N7027" t="s">
        <v>23979</v>
      </c>
      <c r="O7027" t="s">
        <v>26524</v>
      </c>
      <c r="P7027" t="s">
        <v>26560</v>
      </c>
      <c r="R7027" t="s">
        <v>26579</v>
      </c>
      <c r="S7027" t="s">
        <v>18959</v>
      </c>
      <c r="U7027" t="s">
        <v>26604</v>
      </c>
      <c r="V7027" t="s">
        <v>26610</v>
      </c>
      <c r="W7027" t="s">
        <v>781</v>
      </c>
      <c r="X7027">
        <v>1550</v>
      </c>
      <c r="Y7027" t="s">
        <v>26650</v>
      </c>
      <c r="Z7027" t="s">
        <v>26668</v>
      </c>
      <c r="AB7027" t="s">
        <v>28940</v>
      </c>
      <c r="AC7027" t="s">
        <v>36249</v>
      </c>
      <c r="AD7027" t="s">
        <v>42326</v>
      </c>
      <c r="AE7027">
        <v>72</v>
      </c>
      <c r="AF7027" t="s">
        <v>45541</v>
      </c>
      <c r="AG7027" t="s">
        <v>45557</v>
      </c>
      <c r="AH7027">
        <v>3</v>
      </c>
      <c r="AI7027">
        <v>1</v>
      </c>
      <c r="AJ7027">
        <v>3</v>
      </c>
      <c r="AK7027">
        <v>19.95</v>
      </c>
      <c r="AN7027" t="s">
        <v>7439</v>
      </c>
      <c r="AO7027">
        <v>5136</v>
      </c>
      <c r="AU7027">
        <v>3.9</v>
      </c>
      <c r="AV7027" t="s">
        <v>815</v>
      </c>
      <c r="AW7027" t="s">
        <v>329</v>
      </c>
      <c r="AX7027" t="s">
        <v>46897</v>
      </c>
    </row>
    <row r="7028" spans="1:50">
      <c r="A7028" s="1">
        <f>HYPERLINK("https://lsnyc.legalserver.org/matter/dynamic-profile/view/1895502","19-1895502")</f>
        <v>0</v>
      </c>
      <c r="B7028" t="s">
        <v>81</v>
      </c>
      <c r="C7028" t="s">
        <v>340</v>
      </c>
      <c r="D7028" t="s">
        <v>781</v>
      </c>
      <c r="F7028" t="s">
        <v>3837</v>
      </c>
      <c r="G7028" t="s">
        <v>8187</v>
      </c>
      <c r="H7028" t="s">
        <v>13588</v>
      </c>
      <c r="I7028" t="s">
        <v>17283</v>
      </c>
      <c r="J7028" t="s">
        <v>18892</v>
      </c>
      <c r="K7028">
        <v>10457</v>
      </c>
      <c r="L7028" t="s">
        <v>18958</v>
      </c>
      <c r="M7028" t="s">
        <v>18958</v>
      </c>
      <c r="N7028" t="s">
        <v>23980</v>
      </c>
      <c r="O7028" t="s">
        <v>26523</v>
      </c>
      <c r="P7028" t="s">
        <v>26560</v>
      </c>
      <c r="R7028" t="s">
        <v>26579</v>
      </c>
      <c r="S7028" t="s">
        <v>18959</v>
      </c>
      <c r="U7028" t="s">
        <v>26604</v>
      </c>
      <c r="W7028" t="s">
        <v>781</v>
      </c>
      <c r="X7028">
        <v>135</v>
      </c>
      <c r="Y7028" t="s">
        <v>26650</v>
      </c>
      <c r="Z7028" t="s">
        <v>26668</v>
      </c>
      <c r="AB7028" t="s">
        <v>32012</v>
      </c>
      <c r="AE7028">
        <v>0</v>
      </c>
      <c r="AG7028" t="s">
        <v>19330</v>
      </c>
      <c r="AH7028">
        <v>14</v>
      </c>
      <c r="AI7028">
        <v>1</v>
      </c>
      <c r="AJ7028">
        <v>3</v>
      </c>
      <c r="AK7028">
        <v>34.16</v>
      </c>
      <c r="AN7028" t="s">
        <v>7439</v>
      </c>
      <c r="AO7028">
        <v>8796</v>
      </c>
      <c r="AU7028">
        <v>3.1</v>
      </c>
      <c r="AV7028" t="s">
        <v>808</v>
      </c>
      <c r="AW7028" t="s">
        <v>329</v>
      </c>
    </row>
    <row r="7029" spans="1:50">
      <c r="A7029" s="1">
        <f>HYPERLINK("https://lsnyc.legalserver.org/matter/dynamic-profile/view/1895449","19-1895449")</f>
        <v>0</v>
      </c>
      <c r="B7029" t="s">
        <v>253</v>
      </c>
      <c r="C7029" t="s">
        <v>340</v>
      </c>
      <c r="D7029" t="s">
        <v>781</v>
      </c>
      <c r="F7029" t="s">
        <v>3838</v>
      </c>
      <c r="G7029" t="s">
        <v>8164</v>
      </c>
      <c r="H7029" t="s">
        <v>14524</v>
      </c>
      <c r="I7029" t="s">
        <v>17309</v>
      </c>
      <c r="J7029" t="s">
        <v>18892</v>
      </c>
      <c r="K7029">
        <v>10462</v>
      </c>
      <c r="L7029" t="s">
        <v>18958</v>
      </c>
      <c r="M7029" t="s">
        <v>18958</v>
      </c>
      <c r="N7029" t="s">
        <v>23981</v>
      </c>
      <c r="O7029" t="s">
        <v>26524</v>
      </c>
      <c r="P7029" t="s">
        <v>26560</v>
      </c>
      <c r="R7029" t="s">
        <v>26579</v>
      </c>
      <c r="S7029" t="s">
        <v>18959</v>
      </c>
      <c r="U7029" t="s">
        <v>26604</v>
      </c>
      <c r="V7029" t="s">
        <v>26610</v>
      </c>
      <c r="W7029" t="s">
        <v>781</v>
      </c>
      <c r="X7029">
        <v>1275</v>
      </c>
      <c r="Y7029" t="s">
        <v>26650</v>
      </c>
      <c r="Z7029" t="s">
        <v>26668</v>
      </c>
      <c r="AB7029" t="s">
        <v>32013</v>
      </c>
      <c r="AD7029" t="s">
        <v>42327</v>
      </c>
      <c r="AE7029">
        <v>4</v>
      </c>
      <c r="AF7029" t="s">
        <v>45547</v>
      </c>
      <c r="AH7029">
        <v>3</v>
      </c>
      <c r="AI7029">
        <v>1</v>
      </c>
      <c r="AJ7029">
        <v>0</v>
      </c>
      <c r="AK7029">
        <v>176.14</v>
      </c>
      <c r="AN7029" t="s">
        <v>7439</v>
      </c>
      <c r="AO7029">
        <v>22000</v>
      </c>
      <c r="AU7029">
        <v>11.8</v>
      </c>
      <c r="AV7029" t="s">
        <v>773</v>
      </c>
      <c r="AW7029" t="s">
        <v>329</v>
      </c>
    </row>
    <row r="7030" spans="1:50">
      <c r="A7030" s="1">
        <f>HYPERLINK("https://lsnyc.legalserver.org/matter/dynamic-profile/view/1895433","19-1895433")</f>
        <v>0</v>
      </c>
      <c r="B7030" t="s">
        <v>69</v>
      </c>
      <c r="C7030" t="s">
        <v>340</v>
      </c>
      <c r="D7030" t="s">
        <v>781</v>
      </c>
      <c r="F7030" t="s">
        <v>1326</v>
      </c>
      <c r="G7030" t="s">
        <v>8188</v>
      </c>
      <c r="H7030" t="s">
        <v>13880</v>
      </c>
      <c r="I7030" t="s">
        <v>17641</v>
      </c>
      <c r="J7030" t="s">
        <v>18892</v>
      </c>
      <c r="K7030">
        <v>10462</v>
      </c>
      <c r="L7030" t="s">
        <v>18958</v>
      </c>
      <c r="M7030" t="s">
        <v>18958</v>
      </c>
      <c r="N7030" t="s">
        <v>23982</v>
      </c>
      <c r="O7030" t="s">
        <v>26523</v>
      </c>
      <c r="P7030" t="s">
        <v>26560</v>
      </c>
      <c r="R7030" t="s">
        <v>26579</v>
      </c>
      <c r="U7030" t="s">
        <v>26604</v>
      </c>
      <c r="V7030" t="s">
        <v>26610</v>
      </c>
      <c r="W7030" t="s">
        <v>781</v>
      </c>
      <c r="X7030">
        <v>1265</v>
      </c>
      <c r="Y7030" t="s">
        <v>26650</v>
      </c>
      <c r="Z7030" t="s">
        <v>26664</v>
      </c>
      <c r="AB7030" t="s">
        <v>27794</v>
      </c>
      <c r="AE7030">
        <v>0</v>
      </c>
      <c r="AH7030">
        <v>3</v>
      </c>
      <c r="AI7030">
        <v>2</v>
      </c>
      <c r="AJ7030">
        <v>3</v>
      </c>
      <c r="AK7030">
        <v>60.28</v>
      </c>
      <c r="AN7030" t="s">
        <v>45582</v>
      </c>
      <c r="AO7030">
        <v>18186</v>
      </c>
      <c r="AU7030">
        <v>14.5</v>
      </c>
      <c r="AV7030" t="s">
        <v>814</v>
      </c>
      <c r="AW7030" t="s">
        <v>334</v>
      </c>
      <c r="AX7030" t="s">
        <v>46897</v>
      </c>
    </row>
    <row r="7031" spans="1:50">
      <c r="A7031" s="1">
        <f>HYPERLINK("https://lsnyc.legalserver.org/matter/dynamic-profile/view/1895462","19-1895462")</f>
        <v>0</v>
      </c>
      <c r="B7031" t="s">
        <v>69</v>
      </c>
      <c r="C7031" t="s">
        <v>340</v>
      </c>
      <c r="D7031" t="s">
        <v>781</v>
      </c>
      <c r="F7031" t="s">
        <v>1548</v>
      </c>
      <c r="G7031" t="s">
        <v>5087</v>
      </c>
      <c r="H7031" t="s">
        <v>14525</v>
      </c>
      <c r="I7031" t="s">
        <v>17283</v>
      </c>
      <c r="J7031" t="s">
        <v>18892</v>
      </c>
      <c r="K7031">
        <v>10457</v>
      </c>
      <c r="L7031" t="s">
        <v>18958</v>
      </c>
      <c r="M7031" t="s">
        <v>18958</v>
      </c>
      <c r="N7031" t="s">
        <v>23983</v>
      </c>
      <c r="O7031" t="s">
        <v>26523</v>
      </c>
      <c r="P7031" t="s">
        <v>26560</v>
      </c>
      <c r="R7031" t="s">
        <v>26579</v>
      </c>
      <c r="S7031" t="s">
        <v>18959</v>
      </c>
      <c r="U7031" t="s">
        <v>26604</v>
      </c>
      <c r="V7031" t="s">
        <v>26610</v>
      </c>
      <c r="W7031" t="s">
        <v>781</v>
      </c>
      <c r="X7031">
        <v>2000</v>
      </c>
      <c r="Y7031" t="s">
        <v>26650</v>
      </c>
      <c r="Z7031" t="s">
        <v>26664</v>
      </c>
      <c r="AB7031" t="s">
        <v>32014</v>
      </c>
      <c r="AC7031" t="s">
        <v>36250</v>
      </c>
      <c r="AD7031" t="s">
        <v>42328</v>
      </c>
      <c r="AE7031">
        <v>0</v>
      </c>
      <c r="AF7031" t="s">
        <v>45541</v>
      </c>
      <c r="AG7031" t="s">
        <v>19330</v>
      </c>
      <c r="AH7031">
        <v>-1</v>
      </c>
      <c r="AI7031">
        <v>2</v>
      </c>
      <c r="AJ7031">
        <v>1</v>
      </c>
      <c r="AK7031">
        <v>88.72</v>
      </c>
      <c r="AN7031" t="s">
        <v>7439</v>
      </c>
      <c r="AO7031">
        <v>18924</v>
      </c>
      <c r="AU7031">
        <v>6.85</v>
      </c>
      <c r="AV7031" t="s">
        <v>720</v>
      </c>
      <c r="AW7031" t="s">
        <v>334</v>
      </c>
    </row>
    <row r="7032" spans="1:50">
      <c r="A7032" s="1">
        <f>HYPERLINK("https://lsnyc.legalserver.org/matter/dynamic-profile/view/1895629","19-1895629")</f>
        <v>0</v>
      </c>
      <c r="B7032" t="s">
        <v>199</v>
      </c>
      <c r="C7032" t="s">
        <v>340</v>
      </c>
      <c r="D7032" t="s">
        <v>794</v>
      </c>
      <c r="F7032" t="s">
        <v>1706</v>
      </c>
      <c r="G7032" t="s">
        <v>7549</v>
      </c>
      <c r="H7032" t="s">
        <v>14526</v>
      </c>
      <c r="I7032" t="s">
        <v>17386</v>
      </c>
      <c r="J7032" t="s">
        <v>18894</v>
      </c>
      <c r="K7032">
        <v>11217</v>
      </c>
      <c r="L7032" t="s">
        <v>18958</v>
      </c>
      <c r="M7032" t="s">
        <v>18958</v>
      </c>
      <c r="O7032" t="s">
        <v>18997</v>
      </c>
      <c r="P7032" t="s">
        <v>26565</v>
      </c>
      <c r="R7032" t="s">
        <v>26578</v>
      </c>
      <c r="S7032" t="s">
        <v>18958</v>
      </c>
      <c r="U7032" t="s">
        <v>26604</v>
      </c>
      <c r="W7032" t="s">
        <v>781</v>
      </c>
      <c r="X7032">
        <v>0</v>
      </c>
      <c r="Y7032" t="s">
        <v>26652</v>
      </c>
      <c r="Z7032" t="s">
        <v>26667</v>
      </c>
      <c r="AB7032" t="s">
        <v>32015</v>
      </c>
      <c r="AE7032">
        <v>8</v>
      </c>
      <c r="AF7032" t="s">
        <v>45541</v>
      </c>
      <c r="AH7032">
        <v>20</v>
      </c>
      <c r="AI7032">
        <v>1</v>
      </c>
      <c r="AJ7032">
        <v>0</v>
      </c>
      <c r="AK7032">
        <v>172.94</v>
      </c>
      <c r="AN7032" t="s">
        <v>7439</v>
      </c>
      <c r="AO7032">
        <v>21600</v>
      </c>
      <c r="AU7032">
        <v>7.1</v>
      </c>
      <c r="AV7032" t="s">
        <v>827</v>
      </c>
      <c r="AW7032" t="s">
        <v>237</v>
      </c>
    </row>
    <row r="7033" spans="1:50">
      <c r="A7033" s="1">
        <f>HYPERLINK("https://lsnyc.legalserver.org/matter/dynamic-profile/view/1896215","19-1896215")</f>
        <v>0</v>
      </c>
      <c r="B7033" t="s">
        <v>100</v>
      </c>
      <c r="C7033" t="s">
        <v>340</v>
      </c>
      <c r="D7033" t="s">
        <v>792</v>
      </c>
      <c r="F7033" t="s">
        <v>887</v>
      </c>
      <c r="G7033" t="s">
        <v>5094</v>
      </c>
      <c r="H7033" t="s">
        <v>13798</v>
      </c>
      <c r="I7033" t="s">
        <v>17316</v>
      </c>
      <c r="J7033" t="s">
        <v>18892</v>
      </c>
      <c r="K7033">
        <v>10453</v>
      </c>
      <c r="L7033" t="s">
        <v>18958</v>
      </c>
      <c r="M7033" t="s">
        <v>18958</v>
      </c>
      <c r="O7033" t="s">
        <v>26534</v>
      </c>
      <c r="P7033" t="s">
        <v>26561</v>
      </c>
      <c r="R7033" t="s">
        <v>26578</v>
      </c>
      <c r="S7033" t="s">
        <v>18958</v>
      </c>
      <c r="U7033" t="s">
        <v>26604</v>
      </c>
      <c r="W7033" t="s">
        <v>781</v>
      </c>
      <c r="X7033">
        <v>931</v>
      </c>
      <c r="Y7033" t="s">
        <v>26650</v>
      </c>
      <c r="Z7033" t="s">
        <v>26667</v>
      </c>
      <c r="AB7033" t="s">
        <v>31681</v>
      </c>
      <c r="AD7033" t="s">
        <v>42329</v>
      </c>
      <c r="AE7033">
        <v>170</v>
      </c>
      <c r="AF7033" t="s">
        <v>45541</v>
      </c>
      <c r="AG7033" t="s">
        <v>19330</v>
      </c>
      <c r="AH7033">
        <v>12</v>
      </c>
      <c r="AI7033">
        <v>1</v>
      </c>
      <c r="AJ7033">
        <v>1</v>
      </c>
      <c r="AK7033">
        <v>21.29</v>
      </c>
      <c r="AN7033" t="s">
        <v>7439</v>
      </c>
      <c r="AO7033">
        <v>3600</v>
      </c>
      <c r="AU7033">
        <v>0</v>
      </c>
      <c r="AW7033" t="s">
        <v>329</v>
      </c>
    </row>
    <row r="7034" spans="1:50">
      <c r="A7034" s="1">
        <f>HYPERLINK("https://lsnyc.legalserver.org/matter/dynamic-profile/view/1896214","19-1896214")</f>
        <v>0</v>
      </c>
      <c r="B7034" t="s">
        <v>100</v>
      </c>
      <c r="C7034" t="s">
        <v>340</v>
      </c>
      <c r="D7034" t="s">
        <v>792</v>
      </c>
      <c r="F7034" t="s">
        <v>887</v>
      </c>
      <c r="G7034" t="s">
        <v>5094</v>
      </c>
      <c r="H7034" t="s">
        <v>13798</v>
      </c>
      <c r="I7034" t="s">
        <v>17316</v>
      </c>
      <c r="J7034" t="s">
        <v>18892</v>
      </c>
      <c r="K7034">
        <v>10453</v>
      </c>
      <c r="L7034" t="s">
        <v>18958</v>
      </c>
      <c r="M7034" t="s">
        <v>18958</v>
      </c>
      <c r="O7034" t="s">
        <v>26526</v>
      </c>
      <c r="P7034" t="s">
        <v>26560</v>
      </c>
      <c r="R7034" t="s">
        <v>26578</v>
      </c>
      <c r="S7034" t="s">
        <v>18958</v>
      </c>
      <c r="U7034" t="s">
        <v>26604</v>
      </c>
      <c r="W7034" t="s">
        <v>781</v>
      </c>
      <c r="X7034">
        <v>931</v>
      </c>
      <c r="Y7034" t="s">
        <v>26650</v>
      </c>
      <c r="Z7034" t="s">
        <v>26667</v>
      </c>
      <c r="AB7034" t="s">
        <v>31681</v>
      </c>
      <c r="AD7034" t="s">
        <v>42329</v>
      </c>
      <c r="AE7034">
        <v>170</v>
      </c>
      <c r="AF7034" t="s">
        <v>45541</v>
      </c>
      <c r="AG7034" t="s">
        <v>45557</v>
      </c>
      <c r="AH7034">
        <v>12</v>
      </c>
      <c r="AI7034">
        <v>1</v>
      </c>
      <c r="AJ7034">
        <v>1</v>
      </c>
      <c r="AK7034">
        <v>21.29</v>
      </c>
      <c r="AN7034" t="s">
        <v>7439</v>
      </c>
      <c r="AO7034">
        <v>3600</v>
      </c>
      <c r="AU7034">
        <v>0</v>
      </c>
      <c r="AW7034" t="s">
        <v>329</v>
      </c>
    </row>
    <row r="7035" spans="1:50">
      <c r="A7035" s="1">
        <f>HYPERLINK("https://lsnyc.legalserver.org/matter/dynamic-profile/view/1896204","19-1896204")</f>
        <v>0</v>
      </c>
      <c r="B7035" t="s">
        <v>100</v>
      </c>
      <c r="C7035" t="s">
        <v>340</v>
      </c>
      <c r="D7035" t="s">
        <v>792</v>
      </c>
      <c r="F7035" t="s">
        <v>1789</v>
      </c>
      <c r="G7035" t="s">
        <v>5330</v>
      </c>
      <c r="H7035" t="s">
        <v>13798</v>
      </c>
      <c r="I7035" t="s">
        <v>17833</v>
      </c>
      <c r="J7035" t="s">
        <v>18892</v>
      </c>
      <c r="K7035">
        <v>10453</v>
      </c>
      <c r="L7035" t="s">
        <v>18958</v>
      </c>
      <c r="M7035" t="s">
        <v>18958</v>
      </c>
      <c r="O7035" t="s">
        <v>26534</v>
      </c>
      <c r="P7035" t="s">
        <v>26561</v>
      </c>
      <c r="R7035" t="s">
        <v>26578</v>
      </c>
      <c r="S7035" t="s">
        <v>18958</v>
      </c>
      <c r="U7035" t="s">
        <v>26604</v>
      </c>
      <c r="W7035" t="s">
        <v>781</v>
      </c>
      <c r="X7035">
        <v>856.0599999999999</v>
      </c>
      <c r="Y7035" t="s">
        <v>26650</v>
      </c>
      <c r="Z7035" t="s">
        <v>26659</v>
      </c>
      <c r="AB7035" t="s">
        <v>32016</v>
      </c>
      <c r="AD7035" t="s">
        <v>42330</v>
      </c>
      <c r="AE7035">
        <v>170</v>
      </c>
      <c r="AF7035" t="s">
        <v>45541</v>
      </c>
      <c r="AG7035" t="s">
        <v>19330</v>
      </c>
      <c r="AH7035">
        <v>18</v>
      </c>
      <c r="AI7035">
        <v>2</v>
      </c>
      <c r="AJ7035">
        <v>2</v>
      </c>
      <c r="AK7035">
        <v>33.55</v>
      </c>
      <c r="AN7035" t="s">
        <v>45581</v>
      </c>
      <c r="AO7035">
        <v>8640</v>
      </c>
      <c r="AU7035">
        <v>0</v>
      </c>
      <c r="AW7035" t="s">
        <v>329</v>
      </c>
    </row>
    <row r="7036" spans="1:50">
      <c r="A7036" s="1">
        <f>HYPERLINK("https://lsnyc.legalserver.org/matter/dynamic-profile/view/1896198","19-1896198")</f>
        <v>0</v>
      </c>
      <c r="B7036" t="s">
        <v>100</v>
      </c>
      <c r="C7036" t="s">
        <v>340</v>
      </c>
      <c r="D7036" t="s">
        <v>792</v>
      </c>
      <c r="F7036" t="s">
        <v>1789</v>
      </c>
      <c r="G7036" t="s">
        <v>5330</v>
      </c>
      <c r="H7036" t="s">
        <v>13798</v>
      </c>
      <c r="I7036" t="s">
        <v>17833</v>
      </c>
      <c r="J7036" t="s">
        <v>18892</v>
      </c>
      <c r="K7036">
        <v>10453</v>
      </c>
      <c r="L7036" t="s">
        <v>18958</v>
      </c>
      <c r="M7036" t="s">
        <v>18958</v>
      </c>
      <c r="N7036" t="s">
        <v>23966</v>
      </c>
      <c r="O7036" t="s">
        <v>26526</v>
      </c>
      <c r="P7036" t="s">
        <v>26560</v>
      </c>
      <c r="R7036" t="s">
        <v>26578</v>
      </c>
      <c r="S7036" t="s">
        <v>18958</v>
      </c>
      <c r="U7036" t="s">
        <v>26604</v>
      </c>
      <c r="W7036" t="s">
        <v>781</v>
      </c>
      <c r="X7036">
        <v>856.0599999999999</v>
      </c>
      <c r="Y7036" t="s">
        <v>26650</v>
      </c>
      <c r="Z7036" t="s">
        <v>26667</v>
      </c>
      <c r="AB7036" t="s">
        <v>32016</v>
      </c>
      <c r="AD7036" t="s">
        <v>42330</v>
      </c>
      <c r="AE7036">
        <v>170</v>
      </c>
      <c r="AF7036" t="s">
        <v>45541</v>
      </c>
      <c r="AG7036" t="s">
        <v>19330</v>
      </c>
      <c r="AH7036">
        <v>18</v>
      </c>
      <c r="AI7036">
        <v>2</v>
      </c>
      <c r="AJ7036">
        <v>2</v>
      </c>
      <c r="AK7036">
        <v>33.55</v>
      </c>
      <c r="AN7036" t="s">
        <v>45581</v>
      </c>
      <c r="AO7036">
        <v>8640</v>
      </c>
      <c r="AU7036">
        <v>0</v>
      </c>
      <c r="AW7036" t="s">
        <v>329</v>
      </c>
    </row>
    <row r="7037" spans="1:50">
      <c r="A7037" s="1">
        <f>HYPERLINK("https://lsnyc.legalserver.org/matter/dynamic-profile/view/1896228","19-1896228")</f>
        <v>0</v>
      </c>
      <c r="B7037" t="s">
        <v>100</v>
      </c>
      <c r="C7037" t="s">
        <v>340</v>
      </c>
      <c r="D7037" t="s">
        <v>792</v>
      </c>
      <c r="F7037" t="s">
        <v>1639</v>
      </c>
      <c r="G7037" t="s">
        <v>7241</v>
      </c>
      <c r="H7037" t="s">
        <v>13798</v>
      </c>
      <c r="I7037" t="s">
        <v>17332</v>
      </c>
      <c r="J7037" t="s">
        <v>18892</v>
      </c>
      <c r="K7037">
        <v>10453</v>
      </c>
      <c r="L7037" t="s">
        <v>18958</v>
      </c>
      <c r="M7037" t="s">
        <v>18958</v>
      </c>
      <c r="O7037" t="s">
        <v>26534</v>
      </c>
      <c r="P7037" t="s">
        <v>26561</v>
      </c>
      <c r="R7037" t="s">
        <v>26578</v>
      </c>
      <c r="S7037" t="s">
        <v>18958</v>
      </c>
      <c r="U7037" t="s">
        <v>26604</v>
      </c>
      <c r="W7037" t="s">
        <v>781</v>
      </c>
      <c r="X7037">
        <v>1000</v>
      </c>
      <c r="Y7037" t="s">
        <v>26650</v>
      </c>
      <c r="Z7037" t="s">
        <v>26667</v>
      </c>
      <c r="AB7037" t="s">
        <v>32017</v>
      </c>
      <c r="AD7037" t="s">
        <v>42331</v>
      </c>
      <c r="AE7037">
        <v>170</v>
      </c>
      <c r="AF7037" t="s">
        <v>45541</v>
      </c>
      <c r="AH7037">
        <v>9</v>
      </c>
      <c r="AI7037">
        <v>1</v>
      </c>
      <c r="AJ7037">
        <v>0</v>
      </c>
      <c r="AK7037">
        <v>96.08</v>
      </c>
      <c r="AN7037" t="s">
        <v>45581</v>
      </c>
      <c r="AO7037">
        <v>12000</v>
      </c>
      <c r="AU7037">
        <v>0</v>
      </c>
      <c r="AW7037" t="s">
        <v>329</v>
      </c>
    </row>
    <row r="7038" spans="1:50">
      <c r="A7038" s="1">
        <f>HYPERLINK("https://lsnyc.legalserver.org/matter/dynamic-profile/view/1896222","19-1896222")</f>
        <v>0</v>
      </c>
      <c r="B7038" t="s">
        <v>100</v>
      </c>
      <c r="C7038" t="s">
        <v>340</v>
      </c>
      <c r="D7038" t="s">
        <v>792</v>
      </c>
      <c r="F7038" t="s">
        <v>1639</v>
      </c>
      <c r="G7038" t="s">
        <v>7241</v>
      </c>
      <c r="H7038" t="s">
        <v>13798</v>
      </c>
      <c r="I7038" t="s">
        <v>17332</v>
      </c>
      <c r="J7038" t="s">
        <v>18892</v>
      </c>
      <c r="K7038">
        <v>10453</v>
      </c>
      <c r="L7038" t="s">
        <v>18958</v>
      </c>
      <c r="M7038" t="s">
        <v>18958</v>
      </c>
      <c r="N7038" t="s">
        <v>23966</v>
      </c>
      <c r="O7038" t="s">
        <v>26526</v>
      </c>
      <c r="P7038" t="s">
        <v>26560</v>
      </c>
      <c r="R7038" t="s">
        <v>26578</v>
      </c>
      <c r="S7038" t="s">
        <v>18958</v>
      </c>
      <c r="U7038" t="s">
        <v>26604</v>
      </c>
      <c r="W7038" t="s">
        <v>781</v>
      </c>
      <c r="X7038">
        <v>1000</v>
      </c>
      <c r="Y7038" t="s">
        <v>26650</v>
      </c>
      <c r="Z7038" t="s">
        <v>26667</v>
      </c>
      <c r="AB7038" t="s">
        <v>32017</v>
      </c>
      <c r="AD7038" t="s">
        <v>42331</v>
      </c>
      <c r="AE7038">
        <v>170</v>
      </c>
      <c r="AF7038" t="s">
        <v>45541</v>
      </c>
      <c r="AG7038" t="s">
        <v>19330</v>
      </c>
      <c r="AH7038">
        <v>9</v>
      </c>
      <c r="AI7038">
        <v>1</v>
      </c>
      <c r="AJ7038">
        <v>0</v>
      </c>
      <c r="AK7038">
        <v>96.08</v>
      </c>
      <c r="AN7038" t="s">
        <v>45581</v>
      </c>
      <c r="AO7038">
        <v>12000</v>
      </c>
      <c r="AU7038">
        <v>0</v>
      </c>
      <c r="AW7038" t="s">
        <v>329</v>
      </c>
    </row>
    <row r="7039" spans="1:50">
      <c r="A7039" s="1">
        <f>HYPERLINK("https://lsnyc.legalserver.org/matter/dynamic-profile/view/1896237","19-1896237")</f>
        <v>0</v>
      </c>
      <c r="B7039" t="s">
        <v>100</v>
      </c>
      <c r="C7039" t="s">
        <v>340</v>
      </c>
      <c r="D7039" t="s">
        <v>792</v>
      </c>
      <c r="F7039" t="s">
        <v>1582</v>
      </c>
      <c r="G7039" t="s">
        <v>8189</v>
      </c>
      <c r="H7039" t="s">
        <v>13798</v>
      </c>
      <c r="I7039" t="s">
        <v>17702</v>
      </c>
      <c r="J7039" t="s">
        <v>18892</v>
      </c>
      <c r="K7039">
        <v>10453</v>
      </c>
      <c r="L7039" t="s">
        <v>18958</v>
      </c>
      <c r="M7039" t="s">
        <v>18958</v>
      </c>
      <c r="N7039" t="s">
        <v>23966</v>
      </c>
      <c r="O7039" t="s">
        <v>26526</v>
      </c>
      <c r="P7039" t="s">
        <v>26560</v>
      </c>
      <c r="R7039" t="s">
        <v>26578</v>
      </c>
      <c r="S7039" t="s">
        <v>18958</v>
      </c>
      <c r="U7039" t="s">
        <v>26604</v>
      </c>
      <c r="W7039" t="s">
        <v>781</v>
      </c>
      <c r="X7039">
        <v>450</v>
      </c>
      <c r="Y7039" t="s">
        <v>26650</v>
      </c>
      <c r="Z7039" t="s">
        <v>26667</v>
      </c>
      <c r="AB7039" t="s">
        <v>32018</v>
      </c>
      <c r="AD7039" t="s">
        <v>42332</v>
      </c>
      <c r="AE7039">
        <v>170</v>
      </c>
      <c r="AF7039" t="s">
        <v>45541</v>
      </c>
      <c r="AG7039" t="s">
        <v>19330</v>
      </c>
      <c r="AH7039">
        <v>1</v>
      </c>
      <c r="AI7039">
        <v>1</v>
      </c>
      <c r="AJ7039">
        <v>0</v>
      </c>
      <c r="AK7039">
        <v>520.42</v>
      </c>
      <c r="AN7039" t="s">
        <v>7439</v>
      </c>
      <c r="AO7039">
        <v>65000</v>
      </c>
      <c r="AU7039">
        <v>0</v>
      </c>
      <c r="AW7039" t="s">
        <v>329</v>
      </c>
    </row>
    <row r="7040" spans="1:50">
      <c r="A7040" s="1">
        <f>HYPERLINK("https://lsnyc.legalserver.org/matter/dynamic-profile/view/1896321","19-1896321")</f>
        <v>0</v>
      </c>
      <c r="B7040" t="s">
        <v>147</v>
      </c>
      <c r="C7040" t="s">
        <v>340</v>
      </c>
      <c r="D7040" t="s">
        <v>724</v>
      </c>
      <c r="F7040" t="s">
        <v>2802</v>
      </c>
      <c r="G7040" t="s">
        <v>7062</v>
      </c>
      <c r="H7040" t="s">
        <v>14527</v>
      </c>
      <c r="I7040">
        <v>3</v>
      </c>
      <c r="J7040" t="s">
        <v>18894</v>
      </c>
      <c r="K7040">
        <v>11203</v>
      </c>
      <c r="L7040" t="s">
        <v>18958</v>
      </c>
      <c r="M7040" t="s">
        <v>18958</v>
      </c>
      <c r="P7040" t="s">
        <v>26564</v>
      </c>
      <c r="R7040" t="s">
        <v>26578</v>
      </c>
      <c r="S7040" t="s">
        <v>18959</v>
      </c>
      <c r="U7040" t="s">
        <v>26604</v>
      </c>
      <c r="W7040" t="s">
        <v>781</v>
      </c>
      <c r="X7040">
        <v>796.83</v>
      </c>
      <c r="Y7040" t="s">
        <v>26652</v>
      </c>
      <c r="AB7040" t="s">
        <v>32019</v>
      </c>
      <c r="AE7040">
        <v>6</v>
      </c>
      <c r="AH7040">
        <v>42</v>
      </c>
      <c r="AI7040">
        <v>1</v>
      </c>
      <c r="AJ7040">
        <v>0</v>
      </c>
      <c r="AK7040">
        <v>67.06</v>
      </c>
      <c r="AN7040" t="s">
        <v>7439</v>
      </c>
      <c r="AO7040">
        <v>8376</v>
      </c>
      <c r="AU7040">
        <v>0.1</v>
      </c>
      <c r="AV7040" t="s">
        <v>768</v>
      </c>
      <c r="AW7040" t="s">
        <v>219</v>
      </c>
    </row>
    <row r="7041" spans="1:50">
      <c r="A7041" s="1">
        <f>HYPERLINK("https://lsnyc.legalserver.org/matter/dynamic-profile/view/1892771","19-1892771")</f>
        <v>0</v>
      </c>
      <c r="B7041" t="s">
        <v>112</v>
      </c>
      <c r="C7041" t="s">
        <v>340</v>
      </c>
      <c r="D7041" t="s">
        <v>752</v>
      </c>
      <c r="F7041" t="s">
        <v>3839</v>
      </c>
      <c r="G7041" t="s">
        <v>5651</v>
      </c>
      <c r="H7041" t="s">
        <v>14528</v>
      </c>
      <c r="I7041" t="s">
        <v>17291</v>
      </c>
      <c r="J7041" t="s">
        <v>18899</v>
      </c>
      <c r="K7041">
        <v>11385</v>
      </c>
      <c r="L7041" t="s">
        <v>18958</v>
      </c>
      <c r="M7041" t="s">
        <v>18958</v>
      </c>
      <c r="N7041" t="s">
        <v>23984</v>
      </c>
      <c r="O7041" t="s">
        <v>26523</v>
      </c>
      <c r="P7041" t="s">
        <v>26560</v>
      </c>
      <c r="R7041" t="s">
        <v>26585</v>
      </c>
      <c r="S7041" t="s">
        <v>18959</v>
      </c>
      <c r="U7041" t="s">
        <v>26604</v>
      </c>
      <c r="W7041" t="s">
        <v>794</v>
      </c>
      <c r="X7041">
        <v>1010</v>
      </c>
      <c r="Y7041" t="s">
        <v>26653</v>
      </c>
      <c r="Z7041" t="s">
        <v>26664</v>
      </c>
      <c r="AB7041" t="s">
        <v>32020</v>
      </c>
      <c r="AD7041" t="s">
        <v>42333</v>
      </c>
      <c r="AE7041">
        <v>6</v>
      </c>
      <c r="AF7041" t="s">
        <v>45541</v>
      </c>
      <c r="AG7041" t="s">
        <v>19330</v>
      </c>
      <c r="AH7041">
        <v>15</v>
      </c>
      <c r="AI7041">
        <v>1</v>
      </c>
      <c r="AJ7041">
        <v>1</v>
      </c>
      <c r="AK7041">
        <v>193.97</v>
      </c>
      <c r="AO7041">
        <v>32800</v>
      </c>
      <c r="AU7041">
        <v>55.1</v>
      </c>
      <c r="AV7041" t="s">
        <v>835</v>
      </c>
      <c r="AW7041" t="s">
        <v>122</v>
      </c>
    </row>
    <row r="7042" spans="1:50">
      <c r="A7042" s="1">
        <f>HYPERLINK("https://lsnyc.legalserver.org/matter/dynamic-profile/view/1895654","19-1895654")</f>
        <v>0</v>
      </c>
      <c r="B7042" t="s">
        <v>141</v>
      </c>
      <c r="C7042" t="s">
        <v>341</v>
      </c>
      <c r="D7042" t="s">
        <v>794</v>
      </c>
      <c r="E7042" t="s">
        <v>805</v>
      </c>
      <c r="F7042" t="s">
        <v>1515</v>
      </c>
      <c r="G7042" t="s">
        <v>8190</v>
      </c>
      <c r="H7042" t="s">
        <v>14529</v>
      </c>
      <c r="I7042" t="s">
        <v>17272</v>
      </c>
      <c r="J7042" t="s">
        <v>18907</v>
      </c>
      <c r="K7042">
        <v>11377</v>
      </c>
      <c r="L7042" t="s">
        <v>18958</v>
      </c>
      <c r="M7042" t="s">
        <v>18958</v>
      </c>
      <c r="N7042" t="s">
        <v>19330</v>
      </c>
      <c r="O7042" t="s">
        <v>18997</v>
      </c>
      <c r="P7042" t="s">
        <v>26564</v>
      </c>
      <c r="Q7042" t="s">
        <v>26570</v>
      </c>
      <c r="R7042" t="s">
        <v>26589</v>
      </c>
      <c r="S7042" t="s">
        <v>18959</v>
      </c>
      <c r="U7042" t="s">
        <v>26604</v>
      </c>
      <c r="V7042" t="s">
        <v>26610</v>
      </c>
      <c r="W7042" t="s">
        <v>794</v>
      </c>
      <c r="X7042">
        <v>1470</v>
      </c>
      <c r="Y7042" t="s">
        <v>26653</v>
      </c>
      <c r="Z7042" t="s">
        <v>26671</v>
      </c>
      <c r="AA7042" t="s">
        <v>26683</v>
      </c>
      <c r="AB7042" t="s">
        <v>32021</v>
      </c>
      <c r="AC7042" t="s">
        <v>19330</v>
      </c>
      <c r="AD7042" t="s">
        <v>34738</v>
      </c>
      <c r="AE7042">
        <v>6</v>
      </c>
      <c r="AF7042" t="s">
        <v>45541</v>
      </c>
      <c r="AG7042" t="s">
        <v>19330</v>
      </c>
      <c r="AH7042">
        <v>10</v>
      </c>
      <c r="AI7042">
        <v>1</v>
      </c>
      <c r="AJ7042">
        <v>3</v>
      </c>
      <c r="AK7042">
        <v>0</v>
      </c>
      <c r="AL7042" t="s">
        <v>45567</v>
      </c>
      <c r="AM7042" t="s">
        <v>45577</v>
      </c>
      <c r="AN7042" t="s">
        <v>45581</v>
      </c>
      <c r="AO7042">
        <v>0</v>
      </c>
      <c r="AU7042">
        <v>1.05</v>
      </c>
      <c r="AV7042" t="s">
        <v>805</v>
      </c>
      <c r="AW7042" t="s">
        <v>141</v>
      </c>
    </row>
    <row r="7043" spans="1:50">
      <c r="A7043" s="1">
        <f>HYPERLINK("https://lsnyc.legalserver.org/matter/dynamic-profile/view/1895693","19-1895693")</f>
        <v>0</v>
      </c>
      <c r="B7043" t="s">
        <v>198</v>
      </c>
      <c r="C7043" t="s">
        <v>341</v>
      </c>
      <c r="D7043" t="s">
        <v>794</v>
      </c>
      <c r="E7043" t="s">
        <v>794</v>
      </c>
      <c r="F7043" t="s">
        <v>1366</v>
      </c>
      <c r="G7043" t="s">
        <v>6775</v>
      </c>
      <c r="H7043" t="s">
        <v>14530</v>
      </c>
      <c r="I7043" t="s">
        <v>17306</v>
      </c>
      <c r="J7043" t="s">
        <v>18894</v>
      </c>
      <c r="K7043">
        <v>11230</v>
      </c>
      <c r="L7043" t="s">
        <v>18959</v>
      </c>
      <c r="M7043" t="s">
        <v>18960</v>
      </c>
      <c r="O7043" t="s">
        <v>18997</v>
      </c>
      <c r="P7043" t="s">
        <v>26564</v>
      </c>
      <c r="Q7043" t="s">
        <v>26570</v>
      </c>
      <c r="R7043" t="s">
        <v>26578</v>
      </c>
      <c r="S7043" t="s">
        <v>18959</v>
      </c>
      <c r="U7043" t="s">
        <v>26604</v>
      </c>
      <c r="W7043" t="s">
        <v>794</v>
      </c>
      <c r="X7043">
        <v>0</v>
      </c>
      <c r="Y7043" t="s">
        <v>26652</v>
      </c>
      <c r="AA7043" t="s">
        <v>26683</v>
      </c>
      <c r="AB7043" t="s">
        <v>32022</v>
      </c>
      <c r="AD7043" t="s">
        <v>42334</v>
      </c>
      <c r="AE7043">
        <v>0</v>
      </c>
      <c r="AH7043">
        <v>0</v>
      </c>
      <c r="AI7043">
        <v>2</v>
      </c>
      <c r="AJ7043">
        <v>1</v>
      </c>
      <c r="AK7043">
        <v>187.53</v>
      </c>
      <c r="AN7043" t="s">
        <v>7439</v>
      </c>
      <c r="AO7043">
        <v>40000</v>
      </c>
      <c r="AU7043">
        <v>1.2</v>
      </c>
      <c r="AV7043" t="s">
        <v>794</v>
      </c>
      <c r="AW7043" t="s">
        <v>198</v>
      </c>
    </row>
    <row r="7044" spans="1:50">
      <c r="A7044" s="1">
        <f>HYPERLINK("https://lsnyc.legalserver.org/matter/dynamic-profile/view/1895663","19-1895663")</f>
        <v>0</v>
      </c>
      <c r="B7044" t="s">
        <v>133</v>
      </c>
      <c r="C7044" t="s">
        <v>340</v>
      </c>
      <c r="D7044" t="s">
        <v>794</v>
      </c>
      <c r="F7044" t="s">
        <v>3840</v>
      </c>
      <c r="G7044" t="s">
        <v>8191</v>
      </c>
      <c r="H7044" t="s">
        <v>11022</v>
      </c>
      <c r="I7044">
        <v>40</v>
      </c>
      <c r="J7044" t="s">
        <v>18892</v>
      </c>
      <c r="K7044">
        <v>10452</v>
      </c>
      <c r="L7044" t="s">
        <v>18958</v>
      </c>
      <c r="M7044" t="s">
        <v>18958</v>
      </c>
      <c r="N7044" t="s">
        <v>23985</v>
      </c>
      <c r="O7044" t="s">
        <v>26524</v>
      </c>
      <c r="P7044" t="s">
        <v>26564</v>
      </c>
      <c r="R7044" t="s">
        <v>26577</v>
      </c>
      <c r="S7044" t="s">
        <v>18959</v>
      </c>
      <c r="U7044" t="s">
        <v>26604</v>
      </c>
      <c r="V7044" t="s">
        <v>26610</v>
      </c>
      <c r="W7044" t="s">
        <v>794</v>
      </c>
      <c r="X7044">
        <v>719</v>
      </c>
      <c r="Y7044" t="s">
        <v>26650</v>
      </c>
      <c r="Z7044" t="s">
        <v>26668</v>
      </c>
      <c r="AB7044" t="s">
        <v>32023</v>
      </c>
      <c r="AC7044" t="s">
        <v>36251</v>
      </c>
      <c r="AD7044" t="s">
        <v>42335</v>
      </c>
      <c r="AE7044">
        <v>105</v>
      </c>
      <c r="AF7044" t="s">
        <v>45541</v>
      </c>
      <c r="AG7044" t="s">
        <v>19330</v>
      </c>
      <c r="AH7044">
        <v>10</v>
      </c>
      <c r="AI7044">
        <v>1</v>
      </c>
      <c r="AJ7044">
        <v>0</v>
      </c>
      <c r="AK7044">
        <v>0</v>
      </c>
      <c r="AN7044" t="s">
        <v>7439</v>
      </c>
      <c r="AO7044">
        <v>0</v>
      </c>
      <c r="AP7044" t="s">
        <v>46020</v>
      </c>
      <c r="AU7044">
        <v>0.9</v>
      </c>
      <c r="AV7044" t="s">
        <v>800</v>
      </c>
      <c r="AW7044" t="s">
        <v>46870</v>
      </c>
      <c r="AX7044" t="s">
        <v>46898</v>
      </c>
    </row>
    <row r="7045" spans="1:50">
      <c r="A7045" s="1">
        <f>HYPERLINK("https://lsnyc.legalserver.org/matter/dynamic-profile/view/1895592","19-1895592")</f>
        <v>0</v>
      </c>
      <c r="B7045" t="s">
        <v>133</v>
      </c>
      <c r="C7045" t="s">
        <v>340</v>
      </c>
      <c r="D7045" t="s">
        <v>794</v>
      </c>
      <c r="F7045" t="s">
        <v>2111</v>
      </c>
      <c r="G7045" t="s">
        <v>8192</v>
      </c>
      <c r="H7045" t="s">
        <v>11449</v>
      </c>
      <c r="I7045" t="s">
        <v>18424</v>
      </c>
      <c r="J7045" t="s">
        <v>18892</v>
      </c>
      <c r="K7045">
        <v>10467</v>
      </c>
      <c r="L7045" t="s">
        <v>18958</v>
      </c>
      <c r="M7045" t="s">
        <v>18958</v>
      </c>
      <c r="N7045" t="s">
        <v>23986</v>
      </c>
      <c r="O7045" t="s">
        <v>26523</v>
      </c>
      <c r="P7045" t="s">
        <v>26560</v>
      </c>
      <c r="R7045" t="s">
        <v>26579</v>
      </c>
      <c r="U7045" t="s">
        <v>26604</v>
      </c>
      <c r="V7045" t="s">
        <v>26610</v>
      </c>
      <c r="W7045" t="s">
        <v>794</v>
      </c>
      <c r="X7045">
        <v>1400</v>
      </c>
      <c r="Y7045" t="s">
        <v>26650</v>
      </c>
      <c r="Z7045" t="s">
        <v>26664</v>
      </c>
      <c r="AB7045" t="s">
        <v>32024</v>
      </c>
      <c r="AD7045" t="s">
        <v>42336</v>
      </c>
      <c r="AE7045">
        <v>0</v>
      </c>
      <c r="AG7045" t="s">
        <v>19330</v>
      </c>
      <c r="AH7045">
        <v>1</v>
      </c>
      <c r="AI7045">
        <v>1</v>
      </c>
      <c r="AJ7045">
        <v>1</v>
      </c>
      <c r="AK7045">
        <v>183.32</v>
      </c>
      <c r="AN7045" t="s">
        <v>7439</v>
      </c>
      <c r="AO7045">
        <v>31000</v>
      </c>
      <c r="AU7045">
        <v>1.4</v>
      </c>
      <c r="AV7045" t="s">
        <v>800</v>
      </c>
      <c r="AW7045" t="s">
        <v>334</v>
      </c>
    </row>
    <row r="7046" spans="1:50">
      <c r="A7046" s="1">
        <f>HYPERLINK("https://lsnyc.legalserver.org/matter/dynamic-profile/view/1895576","19-1895576")</f>
        <v>0</v>
      </c>
      <c r="B7046" t="s">
        <v>53</v>
      </c>
      <c r="C7046" t="s">
        <v>340</v>
      </c>
      <c r="D7046" t="s">
        <v>794</v>
      </c>
      <c r="F7046" t="s">
        <v>1471</v>
      </c>
      <c r="G7046" t="s">
        <v>3353</v>
      </c>
      <c r="H7046" t="s">
        <v>14212</v>
      </c>
      <c r="I7046">
        <v>10</v>
      </c>
      <c r="J7046" t="s">
        <v>18892</v>
      </c>
      <c r="K7046">
        <v>10457</v>
      </c>
      <c r="L7046" t="s">
        <v>18958</v>
      </c>
      <c r="M7046" t="s">
        <v>18958</v>
      </c>
      <c r="N7046" t="s">
        <v>23987</v>
      </c>
      <c r="O7046" t="s">
        <v>26523</v>
      </c>
      <c r="P7046" t="s">
        <v>26560</v>
      </c>
      <c r="R7046" t="s">
        <v>26579</v>
      </c>
      <c r="S7046" t="s">
        <v>18959</v>
      </c>
      <c r="U7046" t="s">
        <v>26604</v>
      </c>
      <c r="V7046" t="s">
        <v>26610</v>
      </c>
      <c r="W7046" t="s">
        <v>794</v>
      </c>
      <c r="X7046">
        <v>997.76</v>
      </c>
      <c r="Y7046" t="s">
        <v>26650</v>
      </c>
      <c r="Z7046" t="s">
        <v>26664</v>
      </c>
      <c r="AB7046" t="s">
        <v>32025</v>
      </c>
      <c r="AC7046" t="s">
        <v>36252</v>
      </c>
      <c r="AD7046" t="s">
        <v>42337</v>
      </c>
      <c r="AE7046">
        <v>93</v>
      </c>
      <c r="AF7046" t="s">
        <v>45541</v>
      </c>
      <c r="AG7046" t="s">
        <v>19330</v>
      </c>
      <c r="AH7046">
        <v>10</v>
      </c>
      <c r="AI7046">
        <v>2</v>
      </c>
      <c r="AJ7046">
        <v>0</v>
      </c>
      <c r="AK7046">
        <v>21.29</v>
      </c>
      <c r="AN7046" t="s">
        <v>7439</v>
      </c>
      <c r="AO7046">
        <v>3600</v>
      </c>
      <c r="AR7046" t="s">
        <v>46379</v>
      </c>
      <c r="AS7046" t="s">
        <v>46499</v>
      </c>
      <c r="AT7046" t="s">
        <v>46800</v>
      </c>
      <c r="AU7046">
        <v>8.199999999999999</v>
      </c>
      <c r="AV7046" t="s">
        <v>831</v>
      </c>
      <c r="AW7046" t="s">
        <v>46867</v>
      </c>
    </row>
    <row r="7047" spans="1:50">
      <c r="A7047" s="1">
        <f>HYPERLINK("https://lsnyc.legalserver.org/matter/dynamic-profile/view/1895664","19-1895664")</f>
        <v>0</v>
      </c>
      <c r="B7047" t="s">
        <v>108</v>
      </c>
      <c r="C7047" t="s">
        <v>340</v>
      </c>
      <c r="D7047" t="s">
        <v>794</v>
      </c>
      <c r="F7047" t="s">
        <v>1002</v>
      </c>
      <c r="G7047" t="s">
        <v>994</v>
      </c>
      <c r="H7047" t="s">
        <v>14531</v>
      </c>
      <c r="I7047" t="s">
        <v>18425</v>
      </c>
      <c r="J7047" t="s">
        <v>18901</v>
      </c>
      <c r="K7047">
        <v>11436</v>
      </c>
      <c r="L7047" t="s">
        <v>18958</v>
      </c>
      <c r="M7047" t="s">
        <v>18958</v>
      </c>
      <c r="N7047" t="s">
        <v>23988</v>
      </c>
      <c r="O7047" t="s">
        <v>26523</v>
      </c>
      <c r="P7047" t="s">
        <v>26560</v>
      </c>
      <c r="R7047" t="s">
        <v>26584</v>
      </c>
      <c r="S7047" t="s">
        <v>18959</v>
      </c>
      <c r="U7047" t="s">
        <v>26604</v>
      </c>
      <c r="V7047" t="s">
        <v>26610</v>
      </c>
      <c r="W7047" t="s">
        <v>794</v>
      </c>
      <c r="X7047">
        <v>163</v>
      </c>
      <c r="Y7047" t="s">
        <v>26653</v>
      </c>
      <c r="Z7047" t="s">
        <v>26664</v>
      </c>
      <c r="AB7047" t="s">
        <v>32026</v>
      </c>
      <c r="AD7047" t="s">
        <v>42338</v>
      </c>
      <c r="AE7047">
        <v>50</v>
      </c>
      <c r="AF7047" t="s">
        <v>20460</v>
      </c>
      <c r="AG7047" t="s">
        <v>45556</v>
      </c>
      <c r="AH7047">
        <v>18</v>
      </c>
      <c r="AI7047">
        <v>1</v>
      </c>
      <c r="AJ7047">
        <v>0</v>
      </c>
      <c r="AK7047">
        <v>82.34</v>
      </c>
      <c r="AN7047" t="s">
        <v>7439</v>
      </c>
      <c r="AO7047">
        <v>10284</v>
      </c>
      <c r="AR7047" t="s">
        <v>46422</v>
      </c>
      <c r="AS7047" t="s">
        <v>46499</v>
      </c>
      <c r="AT7047" t="s">
        <v>46655</v>
      </c>
      <c r="AU7047">
        <v>2</v>
      </c>
      <c r="AV7047" t="s">
        <v>802</v>
      </c>
      <c r="AW7047" t="s">
        <v>208</v>
      </c>
    </row>
    <row r="7048" spans="1:50">
      <c r="A7048" s="1">
        <f>HYPERLINK("https://lsnyc.legalserver.org/matter/dynamic-profile/view/1895658","19-1895658")</f>
        <v>0</v>
      </c>
      <c r="B7048" t="s">
        <v>243</v>
      </c>
      <c r="C7048" t="s">
        <v>340</v>
      </c>
      <c r="D7048" t="s">
        <v>794</v>
      </c>
      <c r="F7048" t="s">
        <v>3305</v>
      </c>
      <c r="G7048" t="s">
        <v>5693</v>
      </c>
      <c r="H7048" t="s">
        <v>13612</v>
      </c>
      <c r="I7048" t="s">
        <v>17277</v>
      </c>
      <c r="J7048" t="s">
        <v>18894</v>
      </c>
      <c r="K7048">
        <v>11225</v>
      </c>
      <c r="L7048" t="s">
        <v>18958</v>
      </c>
      <c r="M7048" t="s">
        <v>18958</v>
      </c>
      <c r="O7048" t="s">
        <v>26528</v>
      </c>
      <c r="P7048" t="s">
        <v>26560</v>
      </c>
      <c r="R7048" t="s">
        <v>26578</v>
      </c>
      <c r="S7048" t="s">
        <v>18958</v>
      </c>
      <c r="U7048" t="s">
        <v>26604</v>
      </c>
      <c r="W7048" t="s">
        <v>794</v>
      </c>
      <c r="X7048">
        <v>1928.63</v>
      </c>
      <c r="Y7048" t="s">
        <v>26652</v>
      </c>
      <c r="AB7048" t="s">
        <v>31818</v>
      </c>
      <c r="AE7048">
        <v>0</v>
      </c>
      <c r="AH7048">
        <v>8</v>
      </c>
      <c r="AI7048">
        <v>1</v>
      </c>
      <c r="AJ7048">
        <v>0</v>
      </c>
      <c r="AK7048">
        <v>200.16</v>
      </c>
      <c r="AN7048" t="s">
        <v>7439</v>
      </c>
      <c r="AO7048">
        <v>25000</v>
      </c>
      <c r="AU7048">
        <v>0</v>
      </c>
      <c r="AW7048" t="s">
        <v>219</v>
      </c>
    </row>
    <row r="7049" spans="1:50">
      <c r="A7049" s="1">
        <f>HYPERLINK("https://lsnyc.legalserver.org/matter/dynamic-profile/view/1895633","19-1895633")</f>
        <v>0</v>
      </c>
      <c r="B7049" t="s">
        <v>251</v>
      </c>
      <c r="C7049" t="s">
        <v>340</v>
      </c>
      <c r="D7049" t="s">
        <v>794</v>
      </c>
      <c r="F7049" t="s">
        <v>3841</v>
      </c>
      <c r="G7049" t="s">
        <v>5434</v>
      </c>
      <c r="H7049" t="s">
        <v>12730</v>
      </c>
      <c r="I7049" t="s">
        <v>17354</v>
      </c>
      <c r="J7049" t="s">
        <v>18892</v>
      </c>
      <c r="K7049">
        <v>10457</v>
      </c>
      <c r="L7049" t="s">
        <v>18958</v>
      </c>
      <c r="M7049" t="s">
        <v>18958</v>
      </c>
      <c r="N7049" t="s">
        <v>23989</v>
      </c>
      <c r="O7049" t="s">
        <v>26523</v>
      </c>
      <c r="P7049" t="s">
        <v>26560</v>
      </c>
      <c r="R7049" t="s">
        <v>26579</v>
      </c>
      <c r="U7049" t="s">
        <v>26604</v>
      </c>
      <c r="V7049" t="s">
        <v>26610</v>
      </c>
      <c r="W7049" t="s">
        <v>794</v>
      </c>
      <c r="X7049">
        <v>1264</v>
      </c>
      <c r="Y7049" t="s">
        <v>26650</v>
      </c>
      <c r="Z7049" t="s">
        <v>26659</v>
      </c>
      <c r="AB7049" t="s">
        <v>32027</v>
      </c>
      <c r="AD7049" t="s">
        <v>42339</v>
      </c>
      <c r="AE7049">
        <v>22</v>
      </c>
      <c r="AF7049" t="s">
        <v>45541</v>
      </c>
      <c r="AG7049" t="s">
        <v>19330</v>
      </c>
      <c r="AH7049">
        <v>9</v>
      </c>
      <c r="AI7049">
        <v>2</v>
      </c>
      <c r="AJ7049">
        <v>1</v>
      </c>
      <c r="AK7049">
        <v>129.4</v>
      </c>
      <c r="AN7049" t="s">
        <v>45581</v>
      </c>
      <c r="AO7049">
        <v>27600</v>
      </c>
      <c r="AU7049">
        <v>13.45</v>
      </c>
      <c r="AV7049" t="s">
        <v>834</v>
      </c>
      <c r="AW7049" t="s">
        <v>46836</v>
      </c>
      <c r="AX7049" t="s">
        <v>46897</v>
      </c>
    </row>
    <row r="7050" spans="1:50">
      <c r="A7050" s="1">
        <f>HYPERLINK("https://lsnyc.legalserver.org/matter/dynamic-profile/view/1895640","19-1895640")</f>
        <v>0</v>
      </c>
      <c r="B7050" t="s">
        <v>251</v>
      </c>
      <c r="C7050" t="s">
        <v>340</v>
      </c>
      <c r="D7050" t="s">
        <v>794</v>
      </c>
      <c r="F7050" t="s">
        <v>1789</v>
      </c>
      <c r="G7050" t="s">
        <v>2749</v>
      </c>
      <c r="H7050" t="s">
        <v>13289</v>
      </c>
      <c r="I7050" t="s">
        <v>17306</v>
      </c>
      <c r="J7050" t="s">
        <v>18892</v>
      </c>
      <c r="K7050">
        <v>10457</v>
      </c>
      <c r="L7050" t="s">
        <v>18958</v>
      </c>
      <c r="M7050" t="s">
        <v>18958</v>
      </c>
      <c r="N7050" t="s">
        <v>23990</v>
      </c>
      <c r="O7050" t="s">
        <v>26524</v>
      </c>
      <c r="P7050" t="s">
        <v>26560</v>
      </c>
      <c r="R7050" t="s">
        <v>26579</v>
      </c>
      <c r="S7050" t="s">
        <v>18959</v>
      </c>
      <c r="U7050" t="s">
        <v>26604</v>
      </c>
      <c r="V7050" t="s">
        <v>26610</v>
      </c>
      <c r="W7050" t="s">
        <v>794</v>
      </c>
      <c r="X7050">
        <v>1300</v>
      </c>
      <c r="Y7050" t="s">
        <v>26650</v>
      </c>
      <c r="Z7050" t="s">
        <v>26668</v>
      </c>
      <c r="AB7050" t="s">
        <v>30654</v>
      </c>
      <c r="AD7050" t="s">
        <v>40856</v>
      </c>
      <c r="AE7050">
        <v>8</v>
      </c>
      <c r="AF7050" t="s">
        <v>20460</v>
      </c>
      <c r="AG7050" t="s">
        <v>19330</v>
      </c>
      <c r="AH7050">
        <v>2</v>
      </c>
      <c r="AI7050">
        <v>2</v>
      </c>
      <c r="AJ7050">
        <v>0</v>
      </c>
      <c r="AK7050">
        <v>200.83</v>
      </c>
      <c r="AL7050" t="s">
        <v>672</v>
      </c>
      <c r="AM7050" t="s">
        <v>45575</v>
      </c>
      <c r="AN7050" t="s">
        <v>45581</v>
      </c>
      <c r="AO7050">
        <v>33960</v>
      </c>
      <c r="AU7050">
        <v>14.5</v>
      </c>
      <c r="AV7050" t="s">
        <v>830</v>
      </c>
      <c r="AW7050" t="s">
        <v>46871</v>
      </c>
    </row>
    <row r="7051" spans="1:50">
      <c r="A7051" s="1">
        <f>HYPERLINK("https://lsnyc.legalserver.org/matter/dynamic-profile/view/1894926","19-1894926")</f>
        <v>0</v>
      </c>
      <c r="B7051" t="s">
        <v>153</v>
      </c>
      <c r="C7051" t="s">
        <v>340</v>
      </c>
      <c r="D7051" t="s">
        <v>794</v>
      </c>
      <c r="F7051" t="s">
        <v>3842</v>
      </c>
      <c r="G7051" t="s">
        <v>7205</v>
      </c>
      <c r="H7051" t="s">
        <v>11872</v>
      </c>
      <c r="I7051" t="s">
        <v>18426</v>
      </c>
      <c r="J7051" t="s">
        <v>18902</v>
      </c>
      <c r="K7051">
        <v>10304</v>
      </c>
      <c r="L7051" t="s">
        <v>18958</v>
      </c>
      <c r="M7051" t="s">
        <v>18958</v>
      </c>
      <c r="N7051" t="s">
        <v>23991</v>
      </c>
      <c r="O7051" t="s">
        <v>26523</v>
      </c>
      <c r="P7051" t="s">
        <v>26560</v>
      </c>
      <c r="R7051" t="s">
        <v>26578</v>
      </c>
      <c r="S7051" t="s">
        <v>18959</v>
      </c>
      <c r="U7051" t="s">
        <v>26604</v>
      </c>
      <c r="V7051" t="s">
        <v>26610</v>
      </c>
      <c r="W7051" t="s">
        <v>794</v>
      </c>
      <c r="X7051">
        <v>843</v>
      </c>
      <c r="Y7051" t="s">
        <v>26654</v>
      </c>
      <c r="Z7051" t="s">
        <v>26668</v>
      </c>
      <c r="AB7051" t="s">
        <v>27818</v>
      </c>
      <c r="AD7051" t="s">
        <v>42340</v>
      </c>
      <c r="AE7051">
        <v>72</v>
      </c>
      <c r="AG7051" t="s">
        <v>45556</v>
      </c>
      <c r="AH7051">
        <v>2</v>
      </c>
      <c r="AI7051">
        <v>1</v>
      </c>
      <c r="AJ7051">
        <v>0</v>
      </c>
      <c r="AK7051">
        <v>277.28</v>
      </c>
      <c r="AL7051" t="s">
        <v>781</v>
      </c>
      <c r="AM7051" t="s">
        <v>45575</v>
      </c>
      <c r="AN7051" t="s">
        <v>7439</v>
      </c>
      <c r="AO7051">
        <v>34632</v>
      </c>
      <c r="AU7051">
        <v>6.3</v>
      </c>
      <c r="AV7051" t="s">
        <v>767</v>
      </c>
      <c r="AW7051" t="s">
        <v>46883</v>
      </c>
    </row>
    <row r="7052" spans="1:50">
      <c r="A7052" s="1">
        <f>HYPERLINK("https://lsnyc.legalserver.org/matter/dynamic-profile/view/1895647","19-1895647")</f>
        <v>0</v>
      </c>
      <c r="B7052" t="s">
        <v>64</v>
      </c>
      <c r="C7052" t="s">
        <v>340</v>
      </c>
      <c r="D7052" t="s">
        <v>794</v>
      </c>
      <c r="F7052" t="s">
        <v>3843</v>
      </c>
      <c r="G7052" t="s">
        <v>8193</v>
      </c>
      <c r="H7052" t="s">
        <v>14532</v>
      </c>
      <c r="I7052" t="s">
        <v>17293</v>
      </c>
      <c r="J7052" t="s">
        <v>18892</v>
      </c>
      <c r="K7052">
        <v>10457</v>
      </c>
      <c r="L7052" t="s">
        <v>18958</v>
      </c>
      <c r="M7052" t="s">
        <v>18958</v>
      </c>
      <c r="N7052" t="s">
        <v>23992</v>
      </c>
      <c r="O7052" t="s">
        <v>26523</v>
      </c>
      <c r="P7052" t="s">
        <v>26560</v>
      </c>
      <c r="R7052" t="s">
        <v>26579</v>
      </c>
      <c r="S7052" t="s">
        <v>18959</v>
      </c>
      <c r="U7052" t="s">
        <v>26604</v>
      </c>
      <c r="V7052" t="s">
        <v>26612</v>
      </c>
      <c r="W7052" t="s">
        <v>794</v>
      </c>
      <c r="X7052">
        <v>1196</v>
      </c>
      <c r="Y7052" t="s">
        <v>26650</v>
      </c>
      <c r="Z7052" t="s">
        <v>26668</v>
      </c>
      <c r="AB7052" t="s">
        <v>32028</v>
      </c>
      <c r="AD7052" t="s">
        <v>42341</v>
      </c>
      <c r="AE7052">
        <v>54</v>
      </c>
      <c r="AF7052" t="s">
        <v>45541</v>
      </c>
      <c r="AG7052" t="s">
        <v>45556</v>
      </c>
      <c r="AH7052">
        <v>4</v>
      </c>
      <c r="AI7052">
        <v>1</v>
      </c>
      <c r="AJ7052">
        <v>0</v>
      </c>
      <c r="AK7052">
        <v>79.94</v>
      </c>
      <c r="AN7052" t="s">
        <v>7439</v>
      </c>
      <c r="AO7052">
        <v>9984</v>
      </c>
      <c r="AU7052">
        <v>9.5</v>
      </c>
      <c r="AV7052" t="s">
        <v>773</v>
      </c>
      <c r="AW7052" t="s">
        <v>46870</v>
      </c>
      <c r="AX7052" t="s">
        <v>46897</v>
      </c>
    </row>
    <row r="7053" spans="1:50">
      <c r="A7053" s="1">
        <f>HYPERLINK("https://lsnyc.legalserver.org/matter/dynamic-profile/view/1895600","19-1895600")</f>
        <v>0</v>
      </c>
      <c r="B7053" t="s">
        <v>50</v>
      </c>
      <c r="C7053" t="s">
        <v>340</v>
      </c>
      <c r="D7053" t="s">
        <v>794</v>
      </c>
      <c r="F7053" t="s">
        <v>1072</v>
      </c>
      <c r="G7053" t="s">
        <v>3036</v>
      </c>
      <c r="H7053" t="s">
        <v>14462</v>
      </c>
      <c r="J7053" t="s">
        <v>18892</v>
      </c>
      <c r="K7053">
        <v>10462</v>
      </c>
      <c r="L7053" t="s">
        <v>18958</v>
      </c>
      <c r="M7053" t="s">
        <v>18958</v>
      </c>
      <c r="N7053" t="s">
        <v>23993</v>
      </c>
      <c r="O7053" t="s">
        <v>26524</v>
      </c>
      <c r="P7053" t="s">
        <v>26560</v>
      </c>
      <c r="R7053" t="s">
        <v>26579</v>
      </c>
      <c r="U7053" t="s">
        <v>26604</v>
      </c>
      <c r="V7053" t="s">
        <v>26610</v>
      </c>
      <c r="W7053" t="s">
        <v>794</v>
      </c>
      <c r="X7053">
        <v>0</v>
      </c>
      <c r="Y7053" t="s">
        <v>26650</v>
      </c>
      <c r="Z7053" t="s">
        <v>26664</v>
      </c>
      <c r="AB7053" t="s">
        <v>32029</v>
      </c>
      <c r="AC7053" t="s">
        <v>36253</v>
      </c>
      <c r="AD7053" t="s">
        <v>42342</v>
      </c>
      <c r="AE7053">
        <v>2</v>
      </c>
      <c r="AF7053" t="s">
        <v>45547</v>
      </c>
      <c r="AG7053" t="s">
        <v>19330</v>
      </c>
      <c r="AH7053">
        <v>2</v>
      </c>
      <c r="AI7053">
        <v>1</v>
      </c>
      <c r="AJ7053">
        <v>0</v>
      </c>
      <c r="AK7053">
        <v>51.79</v>
      </c>
      <c r="AN7053" t="s">
        <v>7439</v>
      </c>
      <c r="AO7053">
        <v>6468</v>
      </c>
      <c r="AU7053">
        <v>4.5</v>
      </c>
      <c r="AV7053" t="s">
        <v>821</v>
      </c>
      <c r="AW7053" t="s">
        <v>334</v>
      </c>
    </row>
    <row r="7054" spans="1:50">
      <c r="A7054" s="1">
        <f>HYPERLINK("https://lsnyc.legalserver.org/matter/dynamic-profile/view/1894371","19-1894371")</f>
        <v>0</v>
      </c>
      <c r="B7054" t="s">
        <v>103</v>
      </c>
      <c r="C7054" t="s">
        <v>340</v>
      </c>
      <c r="D7054" t="s">
        <v>794</v>
      </c>
      <c r="F7054" t="s">
        <v>1225</v>
      </c>
      <c r="G7054" t="s">
        <v>8194</v>
      </c>
      <c r="H7054" t="s">
        <v>11431</v>
      </c>
      <c r="I7054" t="s">
        <v>17696</v>
      </c>
      <c r="J7054" t="s">
        <v>18902</v>
      </c>
      <c r="K7054">
        <v>10301</v>
      </c>
      <c r="L7054" t="s">
        <v>18958</v>
      </c>
      <c r="M7054" t="s">
        <v>18958</v>
      </c>
      <c r="N7054" t="s">
        <v>23994</v>
      </c>
      <c r="O7054" t="s">
        <v>26523</v>
      </c>
      <c r="P7054" t="s">
        <v>26560</v>
      </c>
      <c r="R7054" t="s">
        <v>26578</v>
      </c>
      <c r="S7054" t="s">
        <v>18959</v>
      </c>
      <c r="U7054" t="s">
        <v>26604</v>
      </c>
      <c r="V7054" t="s">
        <v>26610</v>
      </c>
      <c r="W7054" t="s">
        <v>794</v>
      </c>
      <c r="X7054">
        <v>1153</v>
      </c>
      <c r="Y7054" t="s">
        <v>26654</v>
      </c>
      <c r="Z7054" t="s">
        <v>26659</v>
      </c>
      <c r="AB7054" t="s">
        <v>27863</v>
      </c>
      <c r="AD7054" t="s">
        <v>42343</v>
      </c>
      <c r="AE7054">
        <v>9</v>
      </c>
      <c r="AF7054" t="s">
        <v>45541</v>
      </c>
      <c r="AG7054" t="s">
        <v>19330</v>
      </c>
      <c r="AH7054">
        <v>6</v>
      </c>
      <c r="AI7054">
        <v>2</v>
      </c>
      <c r="AJ7054">
        <v>0</v>
      </c>
      <c r="AK7054">
        <v>137.76</v>
      </c>
      <c r="AN7054" t="s">
        <v>7439</v>
      </c>
      <c r="AO7054">
        <v>23296</v>
      </c>
      <c r="AU7054">
        <v>12.8</v>
      </c>
      <c r="AV7054" t="s">
        <v>821</v>
      </c>
      <c r="AW7054" t="s">
        <v>46883</v>
      </c>
    </row>
    <row r="7055" spans="1:50">
      <c r="A7055" s="1">
        <f>HYPERLINK("https://lsnyc.legalserver.org/matter/dynamic-profile/view/1895677","19-1895677")</f>
        <v>0</v>
      </c>
      <c r="B7055" t="s">
        <v>87</v>
      </c>
      <c r="C7055" t="s">
        <v>340</v>
      </c>
      <c r="D7055" t="s">
        <v>794</v>
      </c>
      <c r="F7055" t="s">
        <v>3718</v>
      </c>
      <c r="G7055" t="s">
        <v>5849</v>
      </c>
      <c r="H7055" t="s">
        <v>11336</v>
      </c>
      <c r="I7055" t="s">
        <v>17814</v>
      </c>
      <c r="J7055" t="s">
        <v>18892</v>
      </c>
      <c r="K7055">
        <v>10457</v>
      </c>
      <c r="L7055" t="s">
        <v>18958</v>
      </c>
      <c r="M7055" t="s">
        <v>18958</v>
      </c>
      <c r="N7055" t="s">
        <v>23995</v>
      </c>
      <c r="O7055" t="s">
        <v>26523</v>
      </c>
      <c r="P7055" t="s">
        <v>26560</v>
      </c>
      <c r="R7055" t="s">
        <v>26579</v>
      </c>
      <c r="S7055" t="s">
        <v>18959</v>
      </c>
      <c r="U7055" t="s">
        <v>26604</v>
      </c>
      <c r="W7055" t="s">
        <v>794</v>
      </c>
      <c r="X7055">
        <v>1065.64</v>
      </c>
      <c r="Y7055" t="s">
        <v>26650</v>
      </c>
      <c r="Z7055" t="s">
        <v>26664</v>
      </c>
      <c r="AB7055" t="s">
        <v>32030</v>
      </c>
      <c r="AC7055" t="s">
        <v>36254</v>
      </c>
      <c r="AD7055" t="s">
        <v>42344</v>
      </c>
      <c r="AE7055">
        <v>0</v>
      </c>
      <c r="AF7055" t="s">
        <v>20460</v>
      </c>
      <c r="AG7055" t="s">
        <v>45561</v>
      </c>
      <c r="AH7055">
        <v>10</v>
      </c>
      <c r="AI7055">
        <v>1</v>
      </c>
      <c r="AJ7055">
        <v>0</v>
      </c>
      <c r="AK7055">
        <v>96.08</v>
      </c>
      <c r="AN7055" t="s">
        <v>7439</v>
      </c>
      <c r="AO7055">
        <v>12000</v>
      </c>
      <c r="AU7055">
        <v>5.5</v>
      </c>
      <c r="AV7055" t="s">
        <v>816</v>
      </c>
      <c r="AW7055" t="s">
        <v>46870</v>
      </c>
    </row>
    <row r="7056" spans="1:50">
      <c r="A7056" s="1">
        <f>HYPERLINK("https://lsnyc.legalserver.org/matter/dynamic-profile/view/1895988","19-1895988")</f>
        <v>0</v>
      </c>
      <c r="B7056" t="s">
        <v>197</v>
      </c>
      <c r="C7056" t="s">
        <v>340</v>
      </c>
      <c r="D7056" t="s">
        <v>791</v>
      </c>
      <c r="F7056" t="s">
        <v>1122</v>
      </c>
      <c r="G7056" t="s">
        <v>6089</v>
      </c>
      <c r="H7056" t="s">
        <v>14533</v>
      </c>
      <c r="I7056" t="s">
        <v>17306</v>
      </c>
      <c r="J7056" t="s">
        <v>18894</v>
      </c>
      <c r="K7056">
        <v>11212</v>
      </c>
      <c r="L7056" t="s">
        <v>18958</v>
      </c>
      <c r="M7056" t="s">
        <v>18958</v>
      </c>
      <c r="N7056" t="s">
        <v>23996</v>
      </c>
      <c r="O7056" t="s">
        <v>26523</v>
      </c>
      <c r="P7056" t="s">
        <v>26560</v>
      </c>
      <c r="R7056" t="s">
        <v>26578</v>
      </c>
      <c r="U7056" t="s">
        <v>26604</v>
      </c>
      <c r="W7056" t="s">
        <v>794</v>
      </c>
      <c r="X7056">
        <v>0</v>
      </c>
      <c r="Y7056" t="s">
        <v>26652</v>
      </c>
      <c r="Z7056" t="s">
        <v>26659</v>
      </c>
      <c r="AB7056" t="s">
        <v>32031</v>
      </c>
      <c r="AE7056">
        <v>42</v>
      </c>
      <c r="AF7056" t="s">
        <v>45541</v>
      </c>
      <c r="AH7056">
        <v>0</v>
      </c>
      <c r="AI7056">
        <v>2</v>
      </c>
      <c r="AJ7056">
        <v>2</v>
      </c>
      <c r="AK7056">
        <v>170.87</v>
      </c>
      <c r="AN7056" t="s">
        <v>7439</v>
      </c>
      <c r="AO7056">
        <v>44000</v>
      </c>
      <c r="AU7056">
        <v>15</v>
      </c>
      <c r="AV7056" t="s">
        <v>806</v>
      </c>
      <c r="AW7056" t="s">
        <v>286</v>
      </c>
    </row>
    <row r="7057" spans="1:50">
      <c r="A7057" s="1">
        <f>HYPERLINK("https://lsnyc.legalserver.org/matter/dynamic-profile/view/1898747","19-1898747")</f>
        <v>0</v>
      </c>
      <c r="B7057" t="s">
        <v>200</v>
      </c>
      <c r="C7057" t="s">
        <v>341</v>
      </c>
      <c r="D7057" t="s">
        <v>769</v>
      </c>
      <c r="E7057" t="s">
        <v>811</v>
      </c>
      <c r="F7057" t="s">
        <v>3844</v>
      </c>
      <c r="G7057" t="s">
        <v>8195</v>
      </c>
      <c r="H7057" t="s">
        <v>14534</v>
      </c>
      <c r="I7057" t="s">
        <v>17272</v>
      </c>
      <c r="J7057" t="s">
        <v>18894</v>
      </c>
      <c r="K7057">
        <v>11239</v>
      </c>
      <c r="L7057" t="s">
        <v>18958</v>
      </c>
      <c r="M7057" t="s">
        <v>18958</v>
      </c>
      <c r="N7057" t="s">
        <v>23997</v>
      </c>
      <c r="O7057" t="s">
        <v>26533</v>
      </c>
      <c r="P7057" t="s">
        <v>26560</v>
      </c>
      <c r="Q7057" t="s">
        <v>26573</v>
      </c>
      <c r="R7057" t="s">
        <v>26578</v>
      </c>
      <c r="S7057" t="s">
        <v>18959</v>
      </c>
      <c r="U7057" t="s">
        <v>26604</v>
      </c>
      <c r="V7057" t="s">
        <v>26614</v>
      </c>
      <c r="W7057" t="s">
        <v>794</v>
      </c>
      <c r="X7057">
        <v>100</v>
      </c>
      <c r="Y7057" t="s">
        <v>26652</v>
      </c>
      <c r="Z7057" t="s">
        <v>26659</v>
      </c>
      <c r="AA7057" t="s">
        <v>26678</v>
      </c>
      <c r="AB7057" t="s">
        <v>32032</v>
      </c>
      <c r="AD7057" t="s">
        <v>42345</v>
      </c>
      <c r="AE7057">
        <v>20</v>
      </c>
      <c r="AH7057">
        <v>3</v>
      </c>
      <c r="AI7057">
        <v>1</v>
      </c>
      <c r="AJ7057">
        <v>0</v>
      </c>
      <c r="AK7057">
        <v>74.08</v>
      </c>
      <c r="AN7057" t="s">
        <v>7439</v>
      </c>
      <c r="AO7057">
        <v>9252</v>
      </c>
      <c r="AU7057">
        <v>9.300000000000001</v>
      </c>
      <c r="AV7057" t="s">
        <v>771</v>
      </c>
      <c r="AW7057" t="s">
        <v>46856</v>
      </c>
      <c r="AX7057" t="s">
        <v>46897</v>
      </c>
    </row>
    <row r="7058" spans="1:50">
      <c r="A7058" s="1">
        <f>HYPERLINK("https://lsnyc.legalserver.org/matter/dynamic-profile/view/1863482","18-1863482")</f>
        <v>0</v>
      </c>
      <c r="B7058" t="s">
        <v>122</v>
      </c>
      <c r="C7058" t="s">
        <v>341</v>
      </c>
      <c r="D7058" t="s">
        <v>487</v>
      </c>
      <c r="E7058" t="s">
        <v>540</v>
      </c>
      <c r="F7058" t="s">
        <v>913</v>
      </c>
      <c r="G7058" t="s">
        <v>8196</v>
      </c>
      <c r="H7058" t="s">
        <v>14535</v>
      </c>
      <c r="J7058" t="s">
        <v>18941</v>
      </c>
      <c r="K7058">
        <v>11427</v>
      </c>
      <c r="L7058" t="s">
        <v>18958</v>
      </c>
      <c r="M7058" t="s">
        <v>18958</v>
      </c>
      <c r="N7058" t="s">
        <v>23998</v>
      </c>
      <c r="O7058" t="s">
        <v>26523</v>
      </c>
      <c r="P7058" t="s">
        <v>26564</v>
      </c>
      <c r="Q7058" t="s">
        <v>26570</v>
      </c>
      <c r="R7058" t="s">
        <v>26584</v>
      </c>
      <c r="S7058" t="s">
        <v>18959</v>
      </c>
      <c r="U7058" t="s">
        <v>26604</v>
      </c>
      <c r="W7058" t="s">
        <v>795</v>
      </c>
      <c r="X7058">
        <v>1800</v>
      </c>
      <c r="Y7058" t="s">
        <v>26653</v>
      </c>
      <c r="Z7058" t="s">
        <v>26664</v>
      </c>
      <c r="AA7058" t="s">
        <v>26683</v>
      </c>
      <c r="AB7058" t="s">
        <v>32033</v>
      </c>
      <c r="AD7058" t="s">
        <v>42346</v>
      </c>
      <c r="AE7058">
        <v>1</v>
      </c>
      <c r="AG7058" t="s">
        <v>19330</v>
      </c>
      <c r="AH7058">
        <v>1</v>
      </c>
      <c r="AI7058">
        <v>2</v>
      </c>
      <c r="AJ7058">
        <v>3</v>
      </c>
      <c r="AK7058">
        <v>123.73</v>
      </c>
      <c r="AO7058">
        <v>36400</v>
      </c>
      <c r="AU7058">
        <v>9.4</v>
      </c>
      <c r="AV7058" t="s">
        <v>399</v>
      </c>
      <c r="AW7058" t="s">
        <v>122</v>
      </c>
    </row>
    <row r="7059" spans="1:50">
      <c r="A7059" s="1">
        <f>HYPERLINK("https://lsnyc.legalserver.org/matter/dynamic-profile/view/1891194","19-1891194")</f>
        <v>0</v>
      </c>
      <c r="B7059" t="s">
        <v>125</v>
      </c>
      <c r="C7059" t="s">
        <v>340</v>
      </c>
      <c r="D7059" t="s">
        <v>788</v>
      </c>
      <c r="F7059" t="s">
        <v>901</v>
      </c>
      <c r="G7059" t="s">
        <v>5121</v>
      </c>
      <c r="H7059" t="s">
        <v>14536</v>
      </c>
      <c r="I7059">
        <v>382</v>
      </c>
      <c r="J7059" t="s">
        <v>18894</v>
      </c>
      <c r="K7059">
        <v>11208</v>
      </c>
      <c r="L7059" t="s">
        <v>18958</v>
      </c>
      <c r="M7059" t="s">
        <v>18959</v>
      </c>
      <c r="N7059" t="s">
        <v>23999</v>
      </c>
      <c r="O7059" t="s">
        <v>26523</v>
      </c>
      <c r="P7059" t="s">
        <v>26560</v>
      </c>
      <c r="R7059" t="s">
        <v>26578</v>
      </c>
      <c r="S7059" t="s">
        <v>18959</v>
      </c>
      <c r="U7059" t="s">
        <v>26604</v>
      </c>
      <c r="V7059" t="s">
        <v>26610</v>
      </c>
      <c r="W7059" t="s">
        <v>795</v>
      </c>
      <c r="X7059">
        <v>913.65</v>
      </c>
      <c r="Y7059" t="s">
        <v>26652</v>
      </c>
      <c r="Z7059" t="s">
        <v>26663</v>
      </c>
      <c r="AB7059" t="s">
        <v>32034</v>
      </c>
      <c r="AC7059" t="s">
        <v>36255</v>
      </c>
      <c r="AD7059" t="s">
        <v>42347</v>
      </c>
      <c r="AE7059">
        <v>322</v>
      </c>
      <c r="AF7059" t="s">
        <v>45541</v>
      </c>
      <c r="AG7059" t="s">
        <v>45556</v>
      </c>
      <c r="AH7059">
        <v>10</v>
      </c>
      <c r="AI7059">
        <v>1</v>
      </c>
      <c r="AJ7059">
        <v>0</v>
      </c>
      <c r="AK7059">
        <v>81.67</v>
      </c>
      <c r="AN7059" t="s">
        <v>7439</v>
      </c>
      <c r="AO7059">
        <v>10200</v>
      </c>
      <c r="AU7059">
        <v>8.25</v>
      </c>
      <c r="AV7059" t="s">
        <v>810</v>
      </c>
      <c r="AW7059" t="s">
        <v>279</v>
      </c>
      <c r="AX7059" t="s">
        <v>46897</v>
      </c>
    </row>
    <row r="7060" spans="1:50">
      <c r="A7060" s="1">
        <f>HYPERLINK("https://lsnyc.legalserver.org/matter/dynamic-profile/view/1895118","19-1895118")</f>
        <v>0</v>
      </c>
      <c r="B7060" t="s">
        <v>135</v>
      </c>
      <c r="C7060" t="s">
        <v>340</v>
      </c>
      <c r="D7060" t="s">
        <v>793</v>
      </c>
      <c r="F7060" t="s">
        <v>1219</v>
      </c>
      <c r="G7060" t="s">
        <v>8197</v>
      </c>
      <c r="H7060" t="s">
        <v>10783</v>
      </c>
      <c r="I7060" t="s">
        <v>18085</v>
      </c>
      <c r="J7060" t="s">
        <v>18892</v>
      </c>
      <c r="K7060">
        <v>10468</v>
      </c>
      <c r="L7060" t="s">
        <v>18958</v>
      </c>
      <c r="M7060" t="s">
        <v>18958</v>
      </c>
      <c r="N7060" t="s">
        <v>24000</v>
      </c>
      <c r="O7060" t="s">
        <v>26523</v>
      </c>
      <c r="P7060" t="s">
        <v>26560</v>
      </c>
      <c r="R7060" t="s">
        <v>26579</v>
      </c>
      <c r="S7060" t="s">
        <v>18959</v>
      </c>
      <c r="U7060" t="s">
        <v>26604</v>
      </c>
      <c r="V7060" t="s">
        <v>26612</v>
      </c>
      <c r="W7060" t="s">
        <v>795</v>
      </c>
      <c r="X7060">
        <v>1575.27</v>
      </c>
      <c r="Y7060" t="s">
        <v>26650</v>
      </c>
      <c r="Z7060" t="s">
        <v>26664</v>
      </c>
      <c r="AB7060" t="s">
        <v>32035</v>
      </c>
      <c r="AC7060" t="s">
        <v>36256</v>
      </c>
      <c r="AD7060" t="s">
        <v>42348</v>
      </c>
      <c r="AE7060">
        <v>0</v>
      </c>
      <c r="AF7060" t="s">
        <v>45541</v>
      </c>
      <c r="AH7060">
        <v>16</v>
      </c>
      <c r="AI7060">
        <v>4</v>
      </c>
      <c r="AJ7060">
        <v>0</v>
      </c>
      <c r="AK7060">
        <v>167.97</v>
      </c>
      <c r="AN7060" t="s">
        <v>45581</v>
      </c>
      <c r="AO7060">
        <v>43253</v>
      </c>
      <c r="AP7060" t="s">
        <v>45712</v>
      </c>
      <c r="AU7060">
        <v>16.1</v>
      </c>
      <c r="AV7060" t="s">
        <v>817</v>
      </c>
      <c r="AW7060" t="s">
        <v>46870</v>
      </c>
      <c r="AX7060" t="s">
        <v>46897</v>
      </c>
    </row>
    <row r="7061" spans="1:50">
      <c r="A7061" s="1">
        <f>HYPERLINK("https://lsnyc.legalserver.org/matter/dynamic-profile/view/1895730","19-1895730")</f>
        <v>0</v>
      </c>
      <c r="B7061" t="s">
        <v>280</v>
      </c>
      <c r="C7061" t="s">
        <v>341</v>
      </c>
      <c r="D7061" t="s">
        <v>795</v>
      </c>
      <c r="E7061" t="s">
        <v>815</v>
      </c>
      <c r="F7061" t="s">
        <v>3845</v>
      </c>
      <c r="G7061" t="s">
        <v>5258</v>
      </c>
      <c r="H7061" t="s">
        <v>10299</v>
      </c>
      <c r="I7061" t="s">
        <v>18279</v>
      </c>
      <c r="J7061" t="s">
        <v>18909</v>
      </c>
      <c r="K7061">
        <v>11101</v>
      </c>
      <c r="L7061" t="s">
        <v>18958</v>
      </c>
      <c r="M7061" t="s">
        <v>18958</v>
      </c>
      <c r="N7061" t="s">
        <v>24001</v>
      </c>
      <c r="O7061" t="s">
        <v>26523</v>
      </c>
      <c r="P7061" t="s">
        <v>26564</v>
      </c>
      <c r="Q7061" t="s">
        <v>26570</v>
      </c>
      <c r="R7061" t="s">
        <v>26578</v>
      </c>
      <c r="S7061" t="s">
        <v>18959</v>
      </c>
      <c r="U7061" t="s">
        <v>26604</v>
      </c>
      <c r="V7061" t="s">
        <v>26609</v>
      </c>
      <c r="W7061" t="s">
        <v>795</v>
      </c>
      <c r="X7061">
        <v>851.7</v>
      </c>
      <c r="Y7061" t="s">
        <v>26653</v>
      </c>
      <c r="Z7061" t="s">
        <v>26664</v>
      </c>
      <c r="AA7061" t="s">
        <v>26683</v>
      </c>
      <c r="AB7061" t="s">
        <v>32036</v>
      </c>
      <c r="AC7061" t="s">
        <v>36257</v>
      </c>
      <c r="AD7061" t="s">
        <v>42349</v>
      </c>
      <c r="AE7061">
        <v>320</v>
      </c>
      <c r="AF7061" t="s">
        <v>45541</v>
      </c>
      <c r="AG7061" t="s">
        <v>19330</v>
      </c>
      <c r="AH7061">
        <v>4</v>
      </c>
      <c r="AI7061">
        <v>2</v>
      </c>
      <c r="AJ7061">
        <v>2</v>
      </c>
      <c r="AK7061">
        <v>139.81</v>
      </c>
      <c r="AN7061" t="s">
        <v>7439</v>
      </c>
      <c r="AO7061">
        <v>36000</v>
      </c>
      <c r="AU7061">
        <v>2.1</v>
      </c>
      <c r="AV7061" t="s">
        <v>46823</v>
      </c>
      <c r="AW7061" t="s">
        <v>208</v>
      </c>
    </row>
    <row r="7062" spans="1:50">
      <c r="A7062" s="1">
        <f>HYPERLINK("https://lsnyc.legalserver.org/matter/dynamic-profile/view/1895784","19-1895784")</f>
        <v>0</v>
      </c>
      <c r="B7062" t="s">
        <v>234</v>
      </c>
      <c r="C7062" t="s">
        <v>341</v>
      </c>
      <c r="D7062" t="s">
        <v>795</v>
      </c>
      <c r="E7062" t="s">
        <v>836</v>
      </c>
      <c r="F7062" t="s">
        <v>3846</v>
      </c>
      <c r="G7062" t="s">
        <v>8198</v>
      </c>
      <c r="H7062" t="s">
        <v>14537</v>
      </c>
      <c r="I7062">
        <v>62</v>
      </c>
      <c r="J7062" t="s">
        <v>18893</v>
      </c>
      <c r="K7062">
        <v>10031</v>
      </c>
      <c r="L7062" t="s">
        <v>18958</v>
      </c>
      <c r="M7062" t="s">
        <v>18958</v>
      </c>
      <c r="N7062" t="s">
        <v>24002</v>
      </c>
      <c r="O7062" t="s">
        <v>26523</v>
      </c>
      <c r="P7062" t="s">
        <v>26560</v>
      </c>
      <c r="Q7062" t="s">
        <v>26568</v>
      </c>
      <c r="R7062" t="s">
        <v>26580</v>
      </c>
      <c r="S7062" t="s">
        <v>18959</v>
      </c>
      <c r="U7062" t="s">
        <v>26604</v>
      </c>
      <c r="V7062" t="s">
        <v>26611</v>
      </c>
      <c r="W7062" t="s">
        <v>795</v>
      </c>
      <c r="X7062">
        <v>630.8200000000001</v>
      </c>
      <c r="Y7062" t="s">
        <v>26651</v>
      </c>
      <c r="Z7062" t="s">
        <v>26668</v>
      </c>
      <c r="AA7062" t="s">
        <v>26678</v>
      </c>
      <c r="AB7062" t="s">
        <v>29727</v>
      </c>
      <c r="AD7062" t="s">
        <v>42350</v>
      </c>
      <c r="AE7062">
        <v>0</v>
      </c>
      <c r="AF7062" t="s">
        <v>45541</v>
      </c>
      <c r="AG7062" t="s">
        <v>26530</v>
      </c>
      <c r="AH7062">
        <v>48</v>
      </c>
      <c r="AI7062">
        <v>1</v>
      </c>
      <c r="AJ7062">
        <v>0</v>
      </c>
      <c r="AK7062">
        <v>69.18000000000001</v>
      </c>
      <c r="AN7062" t="s">
        <v>7439</v>
      </c>
      <c r="AO7062">
        <v>8640</v>
      </c>
      <c r="AU7062">
        <v>7.1</v>
      </c>
      <c r="AV7062" t="s">
        <v>838</v>
      </c>
      <c r="AW7062" t="s">
        <v>314</v>
      </c>
      <c r="AX7062" t="s">
        <v>46897</v>
      </c>
    </row>
    <row r="7063" spans="1:50">
      <c r="A7063" s="1">
        <f>HYPERLINK("https://lsnyc.legalserver.org/matter/dynamic-profile/view/1895723","19-1895723")</f>
        <v>0</v>
      </c>
      <c r="B7063" t="s">
        <v>234</v>
      </c>
      <c r="C7063" t="s">
        <v>341</v>
      </c>
      <c r="D7063" t="s">
        <v>795</v>
      </c>
      <c r="E7063" t="s">
        <v>769</v>
      </c>
      <c r="F7063" t="s">
        <v>3847</v>
      </c>
      <c r="G7063" t="s">
        <v>5760</v>
      </c>
      <c r="H7063" t="s">
        <v>14537</v>
      </c>
      <c r="I7063">
        <v>63</v>
      </c>
      <c r="J7063" t="s">
        <v>18893</v>
      </c>
      <c r="K7063">
        <v>10031</v>
      </c>
      <c r="L7063" t="s">
        <v>18958</v>
      </c>
      <c r="M7063" t="s">
        <v>18958</v>
      </c>
      <c r="N7063" t="s">
        <v>24003</v>
      </c>
      <c r="O7063" t="s">
        <v>26524</v>
      </c>
      <c r="P7063" t="s">
        <v>26564</v>
      </c>
      <c r="Q7063" t="s">
        <v>26570</v>
      </c>
      <c r="R7063" t="s">
        <v>26580</v>
      </c>
      <c r="S7063" t="s">
        <v>18959</v>
      </c>
      <c r="U7063" t="s">
        <v>26604</v>
      </c>
      <c r="V7063" t="s">
        <v>26610</v>
      </c>
      <c r="W7063" t="s">
        <v>795</v>
      </c>
      <c r="X7063">
        <v>2061</v>
      </c>
      <c r="Y7063" t="s">
        <v>26651</v>
      </c>
      <c r="Z7063" t="s">
        <v>26668</v>
      </c>
      <c r="AA7063" t="s">
        <v>26683</v>
      </c>
      <c r="AB7063" t="s">
        <v>32037</v>
      </c>
      <c r="AD7063" t="s">
        <v>42351</v>
      </c>
      <c r="AE7063">
        <v>0</v>
      </c>
      <c r="AF7063" t="s">
        <v>45541</v>
      </c>
      <c r="AG7063" t="s">
        <v>19330</v>
      </c>
      <c r="AH7063">
        <v>15</v>
      </c>
      <c r="AI7063">
        <v>2</v>
      </c>
      <c r="AJ7063">
        <v>2</v>
      </c>
      <c r="AK7063">
        <v>116.5</v>
      </c>
      <c r="AN7063" t="s">
        <v>45581</v>
      </c>
      <c r="AO7063">
        <v>30000</v>
      </c>
      <c r="AU7063">
        <v>1</v>
      </c>
      <c r="AV7063" t="s">
        <v>795</v>
      </c>
      <c r="AW7063" t="s">
        <v>46875</v>
      </c>
    </row>
    <row r="7064" spans="1:50">
      <c r="A7064" s="1">
        <f>HYPERLINK("https://lsnyc.legalserver.org/matter/dynamic-profile/view/1895755","19-1895755")</f>
        <v>0</v>
      </c>
      <c r="B7064" t="s">
        <v>90</v>
      </c>
      <c r="C7064" t="s">
        <v>341</v>
      </c>
      <c r="D7064" t="s">
        <v>795</v>
      </c>
      <c r="E7064" t="s">
        <v>821</v>
      </c>
      <c r="F7064" t="s">
        <v>1066</v>
      </c>
      <c r="G7064" t="s">
        <v>5249</v>
      </c>
      <c r="H7064" t="s">
        <v>9838</v>
      </c>
      <c r="I7064" t="s">
        <v>17366</v>
      </c>
      <c r="J7064" t="s">
        <v>18893</v>
      </c>
      <c r="K7064">
        <v>10035</v>
      </c>
      <c r="L7064" t="s">
        <v>18958</v>
      </c>
      <c r="M7064" t="s">
        <v>18958</v>
      </c>
      <c r="O7064" t="s">
        <v>18997</v>
      </c>
      <c r="P7064" t="s">
        <v>26565</v>
      </c>
      <c r="Q7064" t="s">
        <v>26571</v>
      </c>
      <c r="R7064" t="s">
        <v>26578</v>
      </c>
      <c r="S7064" t="s">
        <v>18959</v>
      </c>
      <c r="U7064" t="s">
        <v>26604</v>
      </c>
      <c r="V7064" t="s">
        <v>26610</v>
      </c>
      <c r="W7064" t="s">
        <v>795</v>
      </c>
      <c r="X7064">
        <v>858.95</v>
      </c>
      <c r="Y7064" t="s">
        <v>26651</v>
      </c>
      <c r="Z7064" t="s">
        <v>26659</v>
      </c>
      <c r="AA7064" t="s">
        <v>26683</v>
      </c>
      <c r="AB7064" t="s">
        <v>26924</v>
      </c>
      <c r="AD7064" t="s">
        <v>37017</v>
      </c>
      <c r="AE7064">
        <v>35</v>
      </c>
      <c r="AF7064" t="s">
        <v>45541</v>
      </c>
      <c r="AG7064" t="s">
        <v>19330</v>
      </c>
      <c r="AH7064">
        <v>24</v>
      </c>
      <c r="AI7064">
        <v>1</v>
      </c>
      <c r="AJ7064">
        <v>0</v>
      </c>
      <c r="AK7064">
        <v>80.06</v>
      </c>
      <c r="AN7064" t="s">
        <v>45581</v>
      </c>
      <c r="AO7064">
        <v>10000</v>
      </c>
      <c r="AU7064">
        <v>0.3</v>
      </c>
      <c r="AV7064" t="s">
        <v>821</v>
      </c>
      <c r="AW7064" t="s">
        <v>46835</v>
      </c>
      <c r="AX7064" t="s">
        <v>46897</v>
      </c>
    </row>
    <row r="7065" spans="1:50">
      <c r="A7065" s="1">
        <f>HYPERLINK("https://lsnyc.legalserver.org/matter/dynamic-profile/view/1895985","19-1895985")</f>
        <v>0</v>
      </c>
      <c r="B7065" t="s">
        <v>263</v>
      </c>
      <c r="C7065" t="s">
        <v>341</v>
      </c>
      <c r="D7065" t="s">
        <v>795</v>
      </c>
      <c r="E7065" t="s">
        <v>767</v>
      </c>
      <c r="F7065" t="s">
        <v>3848</v>
      </c>
      <c r="G7065" t="s">
        <v>8199</v>
      </c>
      <c r="H7065" t="s">
        <v>14538</v>
      </c>
      <c r="I7065" t="s">
        <v>17306</v>
      </c>
      <c r="J7065" t="s">
        <v>18892</v>
      </c>
      <c r="K7065">
        <v>10458</v>
      </c>
      <c r="L7065" t="s">
        <v>18958</v>
      </c>
      <c r="M7065" t="s">
        <v>18958</v>
      </c>
      <c r="O7065" t="s">
        <v>18997</v>
      </c>
      <c r="P7065" t="s">
        <v>26564</v>
      </c>
      <c r="Q7065" t="s">
        <v>26570</v>
      </c>
      <c r="R7065" t="s">
        <v>26578</v>
      </c>
      <c r="S7065" t="s">
        <v>18959</v>
      </c>
      <c r="U7065" t="s">
        <v>26604</v>
      </c>
      <c r="W7065" t="s">
        <v>795</v>
      </c>
      <c r="X7065">
        <v>1678</v>
      </c>
      <c r="Y7065" t="s">
        <v>26650</v>
      </c>
      <c r="Z7065" t="s">
        <v>26663</v>
      </c>
      <c r="AA7065" t="s">
        <v>26683</v>
      </c>
      <c r="AB7065" t="s">
        <v>32038</v>
      </c>
      <c r="AD7065" t="s">
        <v>42352</v>
      </c>
      <c r="AE7065">
        <v>0</v>
      </c>
      <c r="AH7065">
        <v>5</v>
      </c>
      <c r="AI7065">
        <v>2</v>
      </c>
      <c r="AJ7065">
        <v>0</v>
      </c>
      <c r="AK7065">
        <v>54.64</v>
      </c>
      <c r="AN7065" t="s">
        <v>7439</v>
      </c>
      <c r="AO7065">
        <v>9240</v>
      </c>
      <c r="AU7065">
        <v>1.25</v>
      </c>
      <c r="AV7065" t="s">
        <v>791</v>
      </c>
      <c r="AW7065" t="s">
        <v>263</v>
      </c>
    </row>
    <row r="7066" spans="1:50">
      <c r="A7066" s="1">
        <f>HYPERLINK("https://lsnyc.legalserver.org/matter/dynamic-profile/view/1895954","19-1895954")</f>
        <v>0</v>
      </c>
      <c r="B7066" t="s">
        <v>263</v>
      </c>
      <c r="C7066" t="s">
        <v>341</v>
      </c>
      <c r="D7066" t="s">
        <v>795</v>
      </c>
      <c r="E7066" t="s">
        <v>767</v>
      </c>
      <c r="F7066" t="s">
        <v>3849</v>
      </c>
      <c r="G7066" t="s">
        <v>5138</v>
      </c>
      <c r="H7066" t="s">
        <v>13622</v>
      </c>
      <c r="I7066" t="s">
        <v>17299</v>
      </c>
      <c r="J7066" t="s">
        <v>18892</v>
      </c>
      <c r="K7066">
        <v>10468</v>
      </c>
      <c r="L7066" t="s">
        <v>18958</v>
      </c>
      <c r="M7066" t="s">
        <v>18958</v>
      </c>
      <c r="O7066" t="s">
        <v>18997</v>
      </c>
      <c r="P7066" t="s">
        <v>26564</v>
      </c>
      <c r="Q7066" t="s">
        <v>26570</v>
      </c>
      <c r="R7066" t="s">
        <v>26578</v>
      </c>
      <c r="S7066" t="s">
        <v>18959</v>
      </c>
      <c r="U7066" t="s">
        <v>26604</v>
      </c>
      <c r="W7066" t="s">
        <v>795</v>
      </c>
      <c r="X7066">
        <v>893.95</v>
      </c>
      <c r="Y7066" t="s">
        <v>26650</v>
      </c>
      <c r="Z7066" t="s">
        <v>26663</v>
      </c>
      <c r="AA7066" t="s">
        <v>26683</v>
      </c>
      <c r="AB7066" t="s">
        <v>32039</v>
      </c>
      <c r="AD7066" t="s">
        <v>34738</v>
      </c>
      <c r="AE7066">
        <v>0</v>
      </c>
      <c r="AF7066" t="s">
        <v>45541</v>
      </c>
      <c r="AH7066">
        <v>37</v>
      </c>
      <c r="AI7066">
        <v>2</v>
      </c>
      <c r="AJ7066">
        <v>2</v>
      </c>
      <c r="AK7066">
        <v>83.68000000000001</v>
      </c>
      <c r="AN7066" t="s">
        <v>7439</v>
      </c>
      <c r="AO7066">
        <v>21548</v>
      </c>
      <c r="AU7066">
        <v>1.25</v>
      </c>
      <c r="AV7066" t="s">
        <v>791</v>
      </c>
      <c r="AW7066" t="s">
        <v>263</v>
      </c>
    </row>
    <row r="7067" spans="1:50">
      <c r="A7067" s="1">
        <f>HYPERLINK("https://lsnyc.legalserver.org/matter/dynamic-profile/view/1895942","19-1895942")</f>
        <v>0</v>
      </c>
      <c r="B7067" t="s">
        <v>263</v>
      </c>
      <c r="C7067" t="s">
        <v>341</v>
      </c>
      <c r="D7067" t="s">
        <v>795</v>
      </c>
      <c r="E7067" t="s">
        <v>767</v>
      </c>
      <c r="F7067" t="s">
        <v>2944</v>
      </c>
      <c r="G7067" t="s">
        <v>5978</v>
      </c>
      <c r="H7067" t="s">
        <v>14539</v>
      </c>
      <c r="I7067">
        <v>9</v>
      </c>
      <c r="J7067" t="s">
        <v>18892</v>
      </c>
      <c r="K7067">
        <v>10452</v>
      </c>
      <c r="L7067" t="s">
        <v>18958</v>
      </c>
      <c r="M7067" t="s">
        <v>18958</v>
      </c>
      <c r="O7067" t="s">
        <v>26523</v>
      </c>
      <c r="P7067" t="s">
        <v>26565</v>
      </c>
      <c r="Q7067" t="s">
        <v>26571</v>
      </c>
      <c r="R7067" t="s">
        <v>26578</v>
      </c>
      <c r="S7067" t="s">
        <v>18959</v>
      </c>
      <c r="U7067" t="s">
        <v>26604</v>
      </c>
      <c r="V7067" t="s">
        <v>26612</v>
      </c>
      <c r="W7067" t="s">
        <v>795</v>
      </c>
      <c r="X7067">
        <v>0</v>
      </c>
      <c r="Y7067" t="s">
        <v>26650</v>
      </c>
      <c r="Z7067" t="s">
        <v>26663</v>
      </c>
      <c r="AA7067" t="s">
        <v>26683</v>
      </c>
      <c r="AB7067" t="s">
        <v>31583</v>
      </c>
      <c r="AD7067" t="s">
        <v>34738</v>
      </c>
      <c r="AE7067">
        <v>0</v>
      </c>
      <c r="AF7067" t="s">
        <v>45541</v>
      </c>
      <c r="AH7067">
        <v>18</v>
      </c>
      <c r="AI7067">
        <v>1</v>
      </c>
      <c r="AJ7067">
        <v>0</v>
      </c>
      <c r="AK7067">
        <v>352.28</v>
      </c>
      <c r="AN7067" t="s">
        <v>7439</v>
      </c>
      <c r="AO7067">
        <v>44000</v>
      </c>
      <c r="AU7067">
        <v>4.25</v>
      </c>
      <c r="AV7067" t="s">
        <v>802</v>
      </c>
      <c r="AW7067" t="s">
        <v>263</v>
      </c>
      <c r="AX7067" t="s">
        <v>46897</v>
      </c>
    </row>
    <row r="7068" spans="1:50">
      <c r="A7068" s="1">
        <f>HYPERLINK("https://lsnyc.legalserver.org/matter/dynamic-profile/view/1895980","19-1895980")</f>
        <v>0</v>
      </c>
      <c r="B7068" t="s">
        <v>263</v>
      </c>
      <c r="C7068" t="s">
        <v>341</v>
      </c>
      <c r="D7068" t="s">
        <v>795</v>
      </c>
      <c r="E7068" t="s">
        <v>767</v>
      </c>
      <c r="F7068" t="s">
        <v>3850</v>
      </c>
      <c r="G7068" t="s">
        <v>8200</v>
      </c>
      <c r="H7068" t="s">
        <v>14540</v>
      </c>
      <c r="I7068" t="s">
        <v>18073</v>
      </c>
      <c r="J7068" t="s">
        <v>18892</v>
      </c>
      <c r="K7068">
        <v>10468</v>
      </c>
      <c r="L7068" t="s">
        <v>18958</v>
      </c>
      <c r="M7068" t="s">
        <v>18958</v>
      </c>
      <c r="O7068" t="s">
        <v>26529</v>
      </c>
      <c r="P7068" t="s">
        <v>26564</v>
      </c>
      <c r="Q7068" t="s">
        <v>26570</v>
      </c>
      <c r="R7068" t="s">
        <v>26578</v>
      </c>
      <c r="S7068" t="s">
        <v>18959</v>
      </c>
      <c r="U7068" t="s">
        <v>26604</v>
      </c>
      <c r="W7068" t="s">
        <v>795</v>
      </c>
      <c r="X7068">
        <v>1014.14</v>
      </c>
      <c r="Y7068" t="s">
        <v>26650</v>
      </c>
      <c r="Z7068" t="s">
        <v>26663</v>
      </c>
      <c r="AA7068" t="s">
        <v>26683</v>
      </c>
      <c r="AB7068" t="s">
        <v>32040</v>
      </c>
      <c r="AD7068" t="s">
        <v>34738</v>
      </c>
      <c r="AE7068">
        <v>0</v>
      </c>
      <c r="AF7068" t="s">
        <v>45541</v>
      </c>
      <c r="AH7068">
        <v>18</v>
      </c>
      <c r="AI7068">
        <v>2</v>
      </c>
      <c r="AJ7068">
        <v>0</v>
      </c>
      <c r="AK7068">
        <v>419.87</v>
      </c>
      <c r="AN7068" t="s">
        <v>45615</v>
      </c>
      <c r="AO7068">
        <v>71000</v>
      </c>
      <c r="AU7068">
        <v>1.25</v>
      </c>
      <c r="AV7068" t="s">
        <v>791</v>
      </c>
      <c r="AW7068" t="s">
        <v>263</v>
      </c>
      <c r="AX7068" t="s">
        <v>46897</v>
      </c>
    </row>
    <row r="7069" spans="1:50">
      <c r="A7069" s="1">
        <f>HYPERLINK("https://lsnyc.legalserver.org/matter/dynamic-profile/view/1895813","19-1895813")</f>
        <v>0</v>
      </c>
      <c r="B7069" t="s">
        <v>144</v>
      </c>
      <c r="C7069" t="s">
        <v>340</v>
      </c>
      <c r="D7069" t="s">
        <v>795</v>
      </c>
      <c r="F7069" t="s">
        <v>996</v>
      </c>
      <c r="G7069" t="s">
        <v>2749</v>
      </c>
      <c r="H7069" t="s">
        <v>14541</v>
      </c>
      <c r="I7069" t="s">
        <v>18427</v>
      </c>
      <c r="J7069" t="s">
        <v>18893</v>
      </c>
      <c r="K7069">
        <v>10025</v>
      </c>
      <c r="L7069" t="s">
        <v>18958</v>
      </c>
      <c r="M7069" t="s">
        <v>18958</v>
      </c>
      <c r="N7069" t="s">
        <v>24004</v>
      </c>
      <c r="O7069" t="s">
        <v>26524</v>
      </c>
      <c r="P7069" t="s">
        <v>26560</v>
      </c>
      <c r="R7069" t="s">
        <v>26580</v>
      </c>
      <c r="S7069" t="s">
        <v>18959</v>
      </c>
      <c r="U7069" t="s">
        <v>26604</v>
      </c>
      <c r="W7069" t="s">
        <v>795</v>
      </c>
      <c r="X7069">
        <v>1112</v>
      </c>
      <c r="Y7069" t="s">
        <v>26651</v>
      </c>
      <c r="Z7069" t="s">
        <v>26668</v>
      </c>
      <c r="AB7069" t="s">
        <v>29027</v>
      </c>
      <c r="AD7069" t="s">
        <v>42353</v>
      </c>
      <c r="AE7069">
        <v>0</v>
      </c>
      <c r="AF7069" t="s">
        <v>20460</v>
      </c>
      <c r="AG7069" t="s">
        <v>19330</v>
      </c>
      <c r="AH7069">
        <v>0</v>
      </c>
      <c r="AI7069">
        <v>1</v>
      </c>
      <c r="AJ7069">
        <v>0</v>
      </c>
      <c r="AK7069">
        <v>0</v>
      </c>
      <c r="AN7069" t="s">
        <v>7439</v>
      </c>
      <c r="AO7069">
        <v>0</v>
      </c>
      <c r="AU7069">
        <v>8</v>
      </c>
      <c r="AV7069" t="s">
        <v>825</v>
      </c>
      <c r="AW7069" t="s">
        <v>314</v>
      </c>
    </row>
    <row r="7070" spans="1:50">
      <c r="A7070" s="1">
        <f>HYPERLINK("https://lsnyc.legalserver.org/matter/dynamic-profile/view/1895823","19-1895823")</f>
        <v>0</v>
      </c>
      <c r="B7070" t="s">
        <v>276</v>
      </c>
      <c r="C7070" t="s">
        <v>340</v>
      </c>
      <c r="D7070" t="s">
        <v>795</v>
      </c>
      <c r="F7070" t="s">
        <v>1128</v>
      </c>
      <c r="G7070" t="s">
        <v>8201</v>
      </c>
      <c r="H7070" t="s">
        <v>14194</v>
      </c>
      <c r="I7070" t="s">
        <v>17278</v>
      </c>
      <c r="J7070" t="s">
        <v>18894</v>
      </c>
      <c r="K7070">
        <v>11217</v>
      </c>
      <c r="L7070" t="s">
        <v>18960</v>
      </c>
      <c r="M7070" t="s">
        <v>18960</v>
      </c>
      <c r="R7070" t="s">
        <v>26578</v>
      </c>
      <c r="U7070" t="s">
        <v>26604</v>
      </c>
      <c r="W7070" t="s">
        <v>795</v>
      </c>
      <c r="X7070">
        <v>869.85</v>
      </c>
      <c r="Y7070" t="s">
        <v>26652</v>
      </c>
      <c r="AB7070" t="s">
        <v>32041</v>
      </c>
      <c r="AD7070" t="s">
        <v>42354</v>
      </c>
      <c r="AE7070">
        <v>0</v>
      </c>
      <c r="AH7070">
        <v>10</v>
      </c>
      <c r="AI7070">
        <v>1</v>
      </c>
      <c r="AJ7070">
        <v>0</v>
      </c>
      <c r="AK7070">
        <v>0</v>
      </c>
      <c r="AN7070" t="s">
        <v>7439</v>
      </c>
      <c r="AO7070">
        <v>0</v>
      </c>
      <c r="AU7070">
        <v>4.4</v>
      </c>
      <c r="AV7070" t="s">
        <v>813</v>
      </c>
      <c r="AW7070" t="s">
        <v>198</v>
      </c>
    </row>
    <row r="7071" spans="1:50">
      <c r="A7071" s="1">
        <f>HYPERLINK("https://lsnyc.legalserver.org/matter/dynamic-profile/view/1895830","19-1895830")</f>
        <v>0</v>
      </c>
      <c r="B7071" t="s">
        <v>276</v>
      </c>
      <c r="C7071" t="s">
        <v>340</v>
      </c>
      <c r="D7071" t="s">
        <v>795</v>
      </c>
      <c r="F7071" t="s">
        <v>1708</v>
      </c>
      <c r="G7071" t="s">
        <v>8202</v>
      </c>
      <c r="H7071" t="s">
        <v>14194</v>
      </c>
      <c r="I7071" t="s">
        <v>17410</v>
      </c>
      <c r="J7071" t="s">
        <v>18894</v>
      </c>
      <c r="K7071">
        <v>11217</v>
      </c>
      <c r="L7071" t="s">
        <v>18960</v>
      </c>
      <c r="M7071" t="s">
        <v>18960</v>
      </c>
      <c r="R7071" t="s">
        <v>26578</v>
      </c>
      <c r="U7071" t="s">
        <v>26604</v>
      </c>
      <c r="W7071" t="s">
        <v>795</v>
      </c>
      <c r="X7071">
        <v>1133.28</v>
      </c>
      <c r="Y7071" t="s">
        <v>26652</v>
      </c>
      <c r="AB7071" t="s">
        <v>30925</v>
      </c>
      <c r="AD7071" t="s">
        <v>42355</v>
      </c>
      <c r="AE7071">
        <v>0</v>
      </c>
      <c r="AH7071">
        <v>4</v>
      </c>
      <c r="AI7071">
        <v>1</v>
      </c>
      <c r="AJ7071">
        <v>0</v>
      </c>
      <c r="AK7071">
        <v>0</v>
      </c>
      <c r="AN7071" t="s">
        <v>7439</v>
      </c>
      <c r="AO7071">
        <v>0</v>
      </c>
      <c r="AU7071">
        <v>2.9</v>
      </c>
      <c r="AV7071" t="s">
        <v>811</v>
      </c>
      <c r="AW7071" t="s">
        <v>198</v>
      </c>
    </row>
    <row r="7072" spans="1:50">
      <c r="A7072" s="1">
        <f>HYPERLINK("https://lsnyc.legalserver.org/matter/dynamic-profile/view/1895816","19-1895816")</f>
        <v>0</v>
      </c>
      <c r="B7072" t="s">
        <v>276</v>
      </c>
      <c r="C7072" t="s">
        <v>340</v>
      </c>
      <c r="D7072" t="s">
        <v>795</v>
      </c>
      <c r="F7072" t="s">
        <v>1045</v>
      </c>
      <c r="G7072" t="s">
        <v>7142</v>
      </c>
      <c r="H7072" t="s">
        <v>12776</v>
      </c>
      <c r="J7072" t="s">
        <v>18894</v>
      </c>
      <c r="K7072">
        <v>11210</v>
      </c>
      <c r="L7072" t="s">
        <v>18960</v>
      </c>
      <c r="M7072" t="s">
        <v>18960</v>
      </c>
      <c r="O7072" t="s">
        <v>26524</v>
      </c>
      <c r="R7072" t="s">
        <v>26578</v>
      </c>
      <c r="U7072" t="s">
        <v>26604</v>
      </c>
      <c r="W7072" t="s">
        <v>795</v>
      </c>
      <c r="X7072">
        <v>0</v>
      </c>
      <c r="Y7072" t="s">
        <v>26652</v>
      </c>
      <c r="AB7072" t="s">
        <v>29387</v>
      </c>
      <c r="AD7072" t="s">
        <v>40178</v>
      </c>
      <c r="AE7072">
        <v>0</v>
      </c>
      <c r="AH7072">
        <v>0</v>
      </c>
      <c r="AI7072">
        <v>1</v>
      </c>
      <c r="AJ7072">
        <v>1</v>
      </c>
      <c r="AK7072">
        <v>0</v>
      </c>
      <c r="AN7072" t="s">
        <v>7439</v>
      </c>
      <c r="AO7072">
        <v>0</v>
      </c>
      <c r="AU7072">
        <v>4.8</v>
      </c>
      <c r="AV7072" t="s">
        <v>763</v>
      </c>
      <c r="AW7072" t="s">
        <v>198</v>
      </c>
    </row>
    <row r="7073" spans="1:50">
      <c r="A7073" s="1">
        <f>HYPERLINK("https://lsnyc.legalserver.org/matter/dynamic-profile/view/1895818","19-1895818")</f>
        <v>0</v>
      </c>
      <c r="B7073" t="s">
        <v>276</v>
      </c>
      <c r="C7073" t="s">
        <v>340</v>
      </c>
      <c r="D7073" t="s">
        <v>795</v>
      </c>
      <c r="F7073" t="s">
        <v>3036</v>
      </c>
      <c r="G7073" t="s">
        <v>7262</v>
      </c>
      <c r="H7073" t="s">
        <v>14194</v>
      </c>
      <c r="I7073" t="s">
        <v>17509</v>
      </c>
      <c r="J7073" t="s">
        <v>18894</v>
      </c>
      <c r="K7073">
        <v>11217</v>
      </c>
      <c r="L7073" t="s">
        <v>18960</v>
      </c>
      <c r="M7073" t="s">
        <v>18960</v>
      </c>
      <c r="R7073" t="s">
        <v>26578</v>
      </c>
      <c r="U7073" t="s">
        <v>26604</v>
      </c>
      <c r="W7073" t="s">
        <v>795</v>
      </c>
      <c r="X7073">
        <v>880.58</v>
      </c>
      <c r="Y7073" t="s">
        <v>26652</v>
      </c>
      <c r="AB7073" t="s">
        <v>32042</v>
      </c>
      <c r="AD7073" t="s">
        <v>42356</v>
      </c>
      <c r="AE7073">
        <v>0</v>
      </c>
      <c r="AH7073">
        <v>7</v>
      </c>
      <c r="AI7073">
        <v>2</v>
      </c>
      <c r="AJ7073">
        <v>0</v>
      </c>
      <c r="AK7073">
        <v>330.73</v>
      </c>
      <c r="AM7073" t="s">
        <v>45575</v>
      </c>
      <c r="AN7073" t="s">
        <v>7439</v>
      </c>
      <c r="AO7073">
        <v>55927</v>
      </c>
      <c r="AU7073">
        <v>2.8</v>
      </c>
      <c r="AV7073" t="s">
        <v>826</v>
      </c>
      <c r="AW7073" t="s">
        <v>198</v>
      </c>
    </row>
    <row r="7074" spans="1:50">
      <c r="A7074" s="1">
        <f>HYPERLINK("https://lsnyc.legalserver.org/matter/dynamic-profile/view/1895771","19-1895771")</f>
        <v>0</v>
      </c>
      <c r="B7074" t="s">
        <v>57</v>
      </c>
      <c r="C7074" t="s">
        <v>340</v>
      </c>
      <c r="D7074" t="s">
        <v>795</v>
      </c>
      <c r="F7074" t="s">
        <v>3851</v>
      </c>
      <c r="G7074" t="s">
        <v>2975</v>
      </c>
      <c r="H7074" t="s">
        <v>14542</v>
      </c>
      <c r="I7074" t="s">
        <v>17272</v>
      </c>
      <c r="J7074" t="s">
        <v>18892</v>
      </c>
      <c r="K7074">
        <v>10455</v>
      </c>
      <c r="L7074" t="s">
        <v>18958</v>
      </c>
      <c r="M7074" t="s">
        <v>18958</v>
      </c>
      <c r="N7074" t="s">
        <v>24005</v>
      </c>
      <c r="O7074" t="s">
        <v>26523</v>
      </c>
      <c r="P7074" t="s">
        <v>26560</v>
      </c>
      <c r="R7074" t="s">
        <v>26577</v>
      </c>
      <c r="S7074" t="s">
        <v>18959</v>
      </c>
      <c r="U7074" t="s">
        <v>26605</v>
      </c>
      <c r="V7074" t="s">
        <v>26612</v>
      </c>
      <c r="W7074" t="s">
        <v>795</v>
      </c>
      <c r="X7074">
        <v>218</v>
      </c>
      <c r="Y7074" t="s">
        <v>26650</v>
      </c>
      <c r="Z7074" t="s">
        <v>26670</v>
      </c>
      <c r="AB7074" t="s">
        <v>32043</v>
      </c>
      <c r="AD7074" t="s">
        <v>42357</v>
      </c>
      <c r="AE7074">
        <v>0</v>
      </c>
      <c r="AF7074" t="s">
        <v>45549</v>
      </c>
      <c r="AG7074" t="s">
        <v>19330</v>
      </c>
      <c r="AH7074">
        <v>0</v>
      </c>
      <c r="AI7074">
        <v>1</v>
      </c>
      <c r="AJ7074">
        <v>0</v>
      </c>
      <c r="AK7074">
        <v>74.08</v>
      </c>
      <c r="AN7074" t="s">
        <v>45581</v>
      </c>
      <c r="AO7074">
        <v>9252</v>
      </c>
      <c r="AP7074" t="s">
        <v>46035</v>
      </c>
      <c r="AU7074">
        <v>10</v>
      </c>
      <c r="AV7074" t="s">
        <v>771</v>
      </c>
      <c r="AW7074" t="s">
        <v>57</v>
      </c>
      <c r="AX7074" t="s">
        <v>46897</v>
      </c>
    </row>
    <row r="7075" spans="1:50">
      <c r="A7075" s="1">
        <f>HYPERLINK("https://lsnyc.legalserver.org/matter/dynamic-profile/view/1895749","19-1895749")</f>
        <v>0</v>
      </c>
      <c r="B7075" t="s">
        <v>57</v>
      </c>
      <c r="C7075" t="s">
        <v>340</v>
      </c>
      <c r="D7075" t="s">
        <v>795</v>
      </c>
      <c r="F7075" t="s">
        <v>3852</v>
      </c>
      <c r="G7075" t="s">
        <v>5208</v>
      </c>
      <c r="H7075" t="s">
        <v>14543</v>
      </c>
      <c r="I7075" t="s">
        <v>17344</v>
      </c>
      <c r="J7075" t="s">
        <v>18892</v>
      </c>
      <c r="K7075">
        <v>10462</v>
      </c>
      <c r="L7075" t="s">
        <v>18958</v>
      </c>
      <c r="M7075" t="s">
        <v>18960</v>
      </c>
      <c r="N7075" t="s">
        <v>24006</v>
      </c>
      <c r="O7075" t="s">
        <v>26523</v>
      </c>
      <c r="P7075" t="s">
        <v>26560</v>
      </c>
      <c r="R7075" t="s">
        <v>26579</v>
      </c>
      <c r="S7075" t="s">
        <v>18959</v>
      </c>
      <c r="U7075" t="s">
        <v>26604</v>
      </c>
      <c r="W7075" t="s">
        <v>795</v>
      </c>
      <c r="X7075">
        <v>1421</v>
      </c>
      <c r="Y7075" t="s">
        <v>26650</v>
      </c>
      <c r="Z7075" t="s">
        <v>26664</v>
      </c>
      <c r="AB7075" t="s">
        <v>31777</v>
      </c>
      <c r="AD7075" t="s">
        <v>42358</v>
      </c>
      <c r="AE7075">
        <v>0</v>
      </c>
      <c r="AF7075" t="s">
        <v>45541</v>
      </c>
      <c r="AH7075">
        <v>1</v>
      </c>
      <c r="AI7075">
        <v>1</v>
      </c>
      <c r="AJ7075">
        <v>0</v>
      </c>
      <c r="AK7075">
        <v>166.53</v>
      </c>
      <c r="AN7075" t="s">
        <v>7439</v>
      </c>
      <c r="AO7075">
        <v>20800</v>
      </c>
      <c r="AU7075">
        <v>5.5</v>
      </c>
      <c r="AV7075" t="s">
        <v>780</v>
      </c>
      <c r="AW7075" t="s">
        <v>46836</v>
      </c>
      <c r="AX7075" t="s">
        <v>46897</v>
      </c>
    </row>
    <row r="7076" spans="1:50">
      <c r="A7076" s="1">
        <f>HYPERLINK("https://lsnyc.legalserver.org/matter/dynamic-profile/view/1895785","19-1895785")</f>
        <v>0</v>
      </c>
      <c r="B7076" t="s">
        <v>66</v>
      </c>
      <c r="C7076" t="s">
        <v>340</v>
      </c>
      <c r="D7076" t="s">
        <v>795</v>
      </c>
      <c r="F7076" t="s">
        <v>3853</v>
      </c>
      <c r="G7076" t="s">
        <v>6641</v>
      </c>
      <c r="H7076" t="s">
        <v>14544</v>
      </c>
      <c r="I7076" t="s">
        <v>17939</v>
      </c>
      <c r="J7076" t="s">
        <v>18893</v>
      </c>
      <c r="K7076">
        <v>10026</v>
      </c>
      <c r="L7076" t="s">
        <v>18958</v>
      </c>
      <c r="M7076" t="s">
        <v>18958</v>
      </c>
      <c r="N7076" t="s">
        <v>24007</v>
      </c>
      <c r="O7076" t="s">
        <v>26523</v>
      </c>
      <c r="P7076" t="s">
        <v>26560</v>
      </c>
      <c r="R7076" t="s">
        <v>26580</v>
      </c>
      <c r="S7076" t="s">
        <v>18959</v>
      </c>
      <c r="U7076" t="s">
        <v>26605</v>
      </c>
      <c r="W7076" t="s">
        <v>795</v>
      </c>
      <c r="X7076">
        <v>383</v>
      </c>
      <c r="Y7076" t="s">
        <v>26651</v>
      </c>
      <c r="Z7076" t="s">
        <v>26664</v>
      </c>
      <c r="AB7076" t="s">
        <v>32044</v>
      </c>
      <c r="AC7076" t="s">
        <v>36258</v>
      </c>
      <c r="AD7076" t="s">
        <v>42359</v>
      </c>
      <c r="AE7076">
        <v>0</v>
      </c>
      <c r="AF7076" t="s">
        <v>45549</v>
      </c>
      <c r="AG7076" t="s">
        <v>19330</v>
      </c>
      <c r="AH7076">
        <v>-1</v>
      </c>
      <c r="AI7076">
        <v>1</v>
      </c>
      <c r="AJ7076">
        <v>2</v>
      </c>
      <c r="AK7076">
        <v>61.11</v>
      </c>
      <c r="AN7076" t="s">
        <v>7439</v>
      </c>
      <c r="AO7076">
        <v>13035</v>
      </c>
      <c r="AU7076">
        <v>8.800000000000001</v>
      </c>
      <c r="AV7076" t="s">
        <v>836</v>
      </c>
      <c r="AW7076" t="s">
        <v>46875</v>
      </c>
    </row>
    <row r="7077" spans="1:50">
      <c r="A7077" s="1">
        <f>HYPERLINK("https://lsnyc.legalserver.org/matter/dynamic-profile/view/1895767","19-1895767")</f>
        <v>0</v>
      </c>
      <c r="B7077" t="s">
        <v>66</v>
      </c>
      <c r="C7077" t="s">
        <v>340</v>
      </c>
      <c r="D7077" t="s">
        <v>795</v>
      </c>
      <c r="F7077" t="s">
        <v>3854</v>
      </c>
      <c r="G7077" t="s">
        <v>8203</v>
      </c>
      <c r="H7077" t="s">
        <v>14545</v>
      </c>
      <c r="I7077">
        <v>49</v>
      </c>
      <c r="J7077" t="s">
        <v>18893</v>
      </c>
      <c r="K7077">
        <v>10031</v>
      </c>
      <c r="L7077" t="s">
        <v>18958</v>
      </c>
      <c r="M7077" t="s">
        <v>18958</v>
      </c>
      <c r="N7077" t="s">
        <v>24008</v>
      </c>
      <c r="O7077" t="s">
        <v>26524</v>
      </c>
      <c r="P7077" t="s">
        <v>26560</v>
      </c>
      <c r="R7077" t="s">
        <v>26580</v>
      </c>
      <c r="S7077" t="s">
        <v>18959</v>
      </c>
      <c r="U7077" t="s">
        <v>26604</v>
      </c>
      <c r="V7077" t="s">
        <v>26610</v>
      </c>
      <c r="W7077" t="s">
        <v>795</v>
      </c>
      <c r="X7077">
        <v>888.0700000000001</v>
      </c>
      <c r="Y7077" t="s">
        <v>26651</v>
      </c>
      <c r="Z7077" t="s">
        <v>26668</v>
      </c>
      <c r="AB7077" t="s">
        <v>28957</v>
      </c>
      <c r="AD7077" t="s">
        <v>42360</v>
      </c>
      <c r="AE7077">
        <v>0</v>
      </c>
      <c r="AF7077" t="s">
        <v>45541</v>
      </c>
      <c r="AG7077" t="s">
        <v>45559</v>
      </c>
      <c r="AH7077">
        <v>17</v>
      </c>
      <c r="AI7077">
        <v>2</v>
      </c>
      <c r="AJ7077">
        <v>3</v>
      </c>
      <c r="AK7077">
        <v>94.45999999999999</v>
      </c>
      <c r="AN7077" t="s">
        <v>45581</v>
      </c>
      <c r="AO7077">
        <v>28500</v>
      </c>
      <c r="AU7077">
        <v>10.05</v>
      </c>
      <c r="AV7077" t="s">
        <v>836</v>
      </c>
      <c r="AW7077" t="s">
        <v>314</v>
      </c>
    </row>
    <row r="7078" spans="1:50">
      <c r="A7078" s="1">
        <f>HYPERLINK("https://lsnyc.legalserver.org/matter/dynamic-profile/view/1895825","19-1895825")</f>
        <v>0</v>
      </c>
      <c r="B7078" t="s">
        <v>151</v>
      </c>
      <c r="C7078" t="s">
        <v>340</v>
      </c>
      <c r="D7078" t="s">
        <v>795</v>
      </c>
      <c r="F7078" t="s">
        <v>3855</v>
      </c>
      <c r="G7078" t="s">
        <v>5677</v>
      </c>
      <c r="H7078" t="s">
        <v>14546</v>
      </c>
      <c r="I7078" t="s">
        <v>17322</v>
      </c>
      <c r="J7078" t="s">
        <v>18893</v>
      </c>
      <c r="K7078">
        <v>10026</v>
      </c>
      <c r="L7078" t="s">
        <v>18958</v>
      </c>
      <c r="M7078" t="s">
        <v>18958</v>
      </c>
      <c r="N7078" t="s">
        <v>24009</v>
      </c>
      <c r="O7078" t="s">
        <v>26523</v>
      </c>
      <c r="P7078" t="s">
        <v>26560</v>
      </c>
      <c r="R7078" t="s">
        <v>26580</v>
      </c>
      <c r="S7078" t="s">
        <v>18959</v>
      </c>
      <c r="U7078" t="s">
        <v>26604</v>
      </c>
      <c r="W7078" t="s">
        <v>795</v>
      </c>
      <c r="X7078">
        <v>517</v>
      </c>
      <c r="Y7078" t="s">
        <v>26651</v>
      </c>
      <c r="Z7078" t="s">
        <v>26664</v>
      </c>
      <c r="AB7078" t="s">
        <v>32045</v>
      </c>
      <c r="AC7078" t="s">
        <v>36259</v>
      </c>
      <c r="AD7078" t="s">
        <v>42361</v>
      </c>
      <c r="AE7078">
        <v>0</v>
      </c>
      <c r="AF7078" t="s">
        <v>45541</v>
      </c>
      <c r="AG7078" t="s">
        <v>45559</v>
      </c>
      <c r="AH7078">
        <v>15</v>
      </c>
      <c r="AI7078">
        <v>1</v>
      </c>
      <c r="AJ7078">
        <v>0</v>
      </c>
      <c r="AK7078">
        <v>92.43000000000001</v>
      </c>
      <c r="AN7078" t="s">
        <v>7439</v>
      </c>
      <c r="AO7078">
        <v>11544</v>
      </c>
      <c r="AU7078">
        <v>7</v>
      </c>
      <c r="AV7078" t="s">
        <v>822</v>
      </c>
      <c r="AW7078" t="s">
        <v>314</v>
      </c>
    </row>
    <row r="7079" spans="1:50">
      <c r="A7079" s="1">
        <f>HYPERLINK("https://lsnyc.legalserver.org/matter/dynamic-profile/view/1895741","19-1895741")</f>
        <v>0</v>
      </c>
      <c r="B7079" t="s">
        <v>151</v>
      </c>
      <c r="C7079" t="s">
        <v>340</v>
      </c>
      <c r="D7079" t="s">
        <v>795</v>
      </c>
      <c r="F7079" t="s">
        <v>3141</v>
      </c>
      <c r="G7079" t="s">
        <v>8204</v>
      </c>
      <c r="H7079" t="s">
        <v>14547</v>
      </c>
      <c r="I7079">
        <v>54</v>
      </c>
      <c r="J7079" t="s">
        <v>18893</v>
      </c>
      <c r="K7079">
        <v>10031</v>
      </c>
      <c r="L7079" t="s">
        <v>18958</v>
      </c>
      <c r="M7079" t="s">
        <v>18958</v>
      </c>
      <c r="N7079" t="s">
        <v>24010</v>
      </c>
      <c r="O7079" t="s">
        <v>26523</v>
      </c>
      <c r="P7079" t="s">
        <v>26560</v>
      </c>
      <c r="R7079" t="s">
        <v>26580</v>
      </c>
      <c r="S7079" t="s">
        <v>18959</v>
      </c>
      <c r="U7079" t="s">
        <v>26604</v>
      </c>
      <c r="V7079" t="s">
        <v>26610</v>
      </c>
      <c r="W7079" t="s">
        <v>795</v>
      </c>
      <c r="X7079">
        <v>902.4400000000001</v>
      </c>
      <c r="Y7079" t="s">
        <v>26651</v>
      </c>
      <c r="Z7079" t="s">
        <v>26668</v>
      </c>
      <c r="AB7079" t="s">
        <v>32046</v>
      </c>
      <c r="AD7079" t="s">
        <v>42362</v>
      </c>
      <c r="AE7079">
        <v>0</v>
      </c>
      <c r="AF7079" t="s">
        <v>45541</v>
      </c>
      <c r="AG7079" t="s">
        <v>19330</v>
      </c>
      <c r="AH7079">
        <v>27</v>
      </c>
      <c r="AI7079">
        <v>4</v>
      </c>
      <c r="AJ7079">
        <v>1</v>
      </c>
      <c r="AK7079">
        <v>117.2</v>
      </c>
      <c r="AN7079" t="s">
        <v>45581</v>
      </c>
      <c r="AO7079">
        <v>35360</v>
      </c>
      <c r="AU7079">
        <v>7.7</v>
      </c>
      <c r="AV7079" t="s">
        <v>818</v>
      </c>
      <c r="AW7079" t="s">
        <v>314</v>
      </c>
    </row>
    <row r="7080" spans="1:50">
      <c r="A7080" s="1">
        <f>HYPERLINK("https://lsnyc.legalserver.org/matter/dynamic-profile/view/1896756","19-1896756")</f>
        <v>0</v>
      </c>
      <c r="B7080" t="s">
        <v>262</v>
      </c>
      <c r="C7080" t="s">
        <v>340</v>
      </c>
      <c r="D7080" t="s">
        <v>795</v>
      </c>
      <c r="F7080" t="s">
        <v>1870</v>
      </c>
      <c r="G7080" t="s">
        <v>5147</v>
      </c>
      <c r="H7080" t="s">
        <v>14548</v>
      </c>
      <c r="I7080" t="s">
        <v>17306</v>
      </c>
      <c r="J7080" t="s">
        <v>18892</v>
      </c>
      <c r="K7080">
        <v>10467</v>
      </c>
      <c r="L7080" t="s">
        <v>18958</v>
      </c>
      <c r="M7080" t="s">
        <v>18958</v>
      </c>
      <c r="N7080" t="s">
        <v>24011</v>
      </c>
      <c r="O7080" t="s">
        <v>26524</v>
      </c>
      <c r="P7080" t="s">
        <v>26560</v>
      </c>
      <c r="R7080" t="s">
        <v>26579</v>
      </c>
      <c r="S7080" t="s">
        <v>18959</v>
      </c>
      <c r="U7080" t="s">
        <v>26604</v>
      </c>
      <c r="W7080" t="s">
        <v>795</v>
      </c>
      <c r="X7080">
        <v>929.11</v>
      </c>
      <c r="Y7080" t="s">
        <v>26650</v>
      </c>
      <c r="Z7080" t="s">
        <v>26664</v>
      </c>
      <c r="AB7080" t="s">
        <v>32047</v>
      </c>
      <c r="AD7080" t="s">
        <v>42363</v>
      </c>
      <c r="AE7080">
        <v>22</v>
      </c>
      <c r="AF7080" t="s">
        <v>45541</v>
      </c>
      <c r="AG7080" t="s">
        <v>19330</v>
      </c>
      <c r="AH7080">
        <v>5</v>
      </c>
      <c r="AI7080">
        <v>1</v>
      </c>
      <c r="AJ7080">
        <v>0</v>
      </c>
      <c r="AK7080">
        <v>83.27</v>
      </c>
      <c r="AN7080" t="s">
        <v>7439</v>
      </c>
      <c r="AO7080">
        <v>10400</v>
      </c>
      <c r="AU7080">
        <v>8.9</v>
      </c>
      <c r="AV7080" t="s">
        <v>834</v>
      </c>
      <c r="AW7080" t="s">
        <v>336</v>
      </c>
      <c r="AX7080" t="s">
        <v>46897</v>
      </c>
    </row>
    <row r="7081" spans="1:50">
      <c r="A7081" s="1">
        <f>HYPERLINK("https://lsnyc.legalserver.org/matter/dynamic-profile/view/1895738","19-1895738")</f>
        <v>0</v>
      </c>
      <c r="B7081" t="s">
        <v>242</v>
      </c>
      <c r="C7081" t="s">
        <v>340</v>
      </c>
      <c r="D7081" t="s">
        <v>795</v>
      </c>
      <c r="F7081" t="s">
        <v>1447</v>
      </c>
      <c r="G7081" t="s">
        <v>5078</v>
      </c>
      <c r="H7081" t="s">
        <v>13443</v>
      </c>
      <c r="I7081" t="s">
        <v>17417</v>
      </c>
      <c r="J7081" t="s">
        <v>18894</v>
      </c>
      <c r="K7081">
        <v>11213</v>
      </c>
      <c r="L7081" t="s">
        <v>18958</v>
      </c>
      <c r="M7081" t="s">
        <v>18960</v>
      </c>
      <c r="N7081" t="s">
        <v>24012</v>
      </c>
      <c r="O7081" t="s">
        <v>26524</v>
      </c>
      <c r="P7081" t="s">
        <v>26560</v>
      </c>
      <c r="R7081" t="s">
        <v>26586</v>
      </c>
      <c r="U7081" t="s">
        <v>26604</v>
      </c>
      <c r="W7081" t="s">
        <v>795</v>
      </c>
      <c r="X7081">
        <v>624.37</v>
      </c>
      <c r="Y7081" t="s">
        <v>26652</v>
      </c>
      <c r="Z7081" t="s">
        <v>26659</v>
      </c>
      <c r="AB7081" t="s">
        <v>30800</v>
      </c>
      <c r="AC7081" t="s">
        <v>36260</v>
      </c>
      <c r="AD7081" t="s">
        <v>41026</v>
      </c>
      <c r="AE7081">
        <v>20</v>
      </c>
      <c r="AF7081" t="s">
        <v>45541</v>
      </c>
      <c r="AH7081">
        <v>28</v>
      </c>
      <c r="AI7081">
        <v>1</v>
      </c>
      <c r="AJ7081">
        <v>0</v>
      </c>
      <c r="AK7081">
        <v>53.95</v>
      </c>
      <c r="AN7081" t="s">
        <v>7439</v>
      </c>
      <c r="AO7081">
        <v>6738</v>
      </c>
      <c r="AU7081">
        <v>6.5</v>
      </c>
      <c r="AV7081" t="s">
        <v>773</v>
      </c>
      <c r="AW7081" t="s">
        <v>46856</v>
      </c>
      <c r="AX7081" t="s">
        <v>46897</v>
      </c>
    </row>
    <row r="7082" spans="1:50">
      <c r="A7082" s="1">
        <f>HYPERLINK("https://lsnyc.legalserver.org/matter/dynamic-profile/view/1895759","19-1895759")</f>
        <v>0</v>
      </c>
      <c r="B7082" t="s">
        <v>251</v>
      </c>
      <c r="C7082" t="s">
        <v>340</v>
      </c>
      <c r="D7082" t="s">
        <v>795</v>
      </c>
      <c r="F7082" t="s">
        <v>1944</v>
      </c>
      <c r="G7082" t="s">
        <v>5169</v>
      </c>
      <c r="H7082" t="s">
        <v>14549</v>
      </c>
      <c r="I7082" t="s">
        <v>17410</v>
      </c>
      <c r="J7082" t="s">
        <v>18892</v>
      </c>
      <c r="K7082">
        <v>10451</v>
      </c>
      <c r="L7082" t="s">
        <v>18958</v>
      </c>
      <c r="M7082" t="s">
        <v>18958</v>
      </c>
      <c r="N7082" t="s">
        <v>24013</v>
      </c>
      <c r="O7082" t="s">
        <v>26523</v>
      </c>
      <c r="P7082" t="s">
        <v>26560</v>
      </c>
      <c r="R7082" t="s">
        <v>26577</v>
      </c>
      <c r="U7082" t="s">
        <v>26604</v>
      </c>
      <c r="V7082" t="s">
        <v>26610</v>
      </c>
      <c r="W7082" t="s">
        <v>795</v>
      </c>
      <c r="X7082">
        <v>0</v>
      </c>
      <c r="Y7082" t="s">
        <v>26650</v>
      </c>
      <c r="AB7082" t="s">
        <v>30618</v>
      </c>
      <c r="AD7082" t="s">
        <v>42364</v>
      </c>
      <c r="AE7082">
        <v>0</v>
      </c>
      <c r="AF7082" t="s">
        <v>45541</v>
      </c>
      <c r="AG7082" t="s">
        <v>45556</v>
      </c>
      <c r="AH7082">
        <v>0</v>
      </c>
      <c r="AI7082">
        <v>1</v>
      </c>
      <c r="AJ7082">
        <v>2</v>
      </c>
      <c r="AK7082">
        <v>0</v>
      </c>
      <c r="AN7082" t="s">
        <v>45581</v>
      </c>
      <c r="AO7082">
        <v>0</v>
      </c>
      <c r="AU7082">
        <v>18.75</v>
      </c>
      <c r="AV7082" t="s">
        <v>834</v>
      </c>
      <c r="AW7082" t="s">
        <v>46836</v>
      </c>
    </row>
    <row r="7083" spans="1:50">
      <c r="A7083" s="1">
        <f>HYPERLINK("https://lsnyc.legalserver.org/matter/dynamic-profile/view/1895853","19-1895853")</f>
        <v>0</v>
      </c>
      <c r="B7083" t="s">
        <v>234</v>
      </c>
      <c r="C7083" t="s">
        <v>340</v>
      </c>
      <c r="D7083" t="s">
        <v>795</v>
      </c>
      <c r="F7083" t="s">
        <v>973</v>
      </c>
      <c r="G7083" t="s">
        <v>3310</v>
      </c>
      <c r="H7083" t="s">
        <v>14550</v>
      </c>
      <c r="I7083" t="s">
        <v>17316</v>
      </c>
      <c r="J7083" t="s">
        <v>18893</v>
      </c>
      <c r="K7083">
        <v>10031</v>
      </c>
      <c r="L7083" t="s">
        <v>18958</v>
      </c>
      <c r="M7083" t="s">
        <v>18958</v>
      </c>
      <c r="N7083" t="s">
        <v>24014</v>
      </c>
      <c r="O7083" t="s">
        <v>26523</v>
      </c>
      <c r="P7083" t="s">
        <v>26560</v>
      </c>
      <c r="R7083" t="s">
        <v>26580</v>
      </c>
      <c r="S7083" t="s">
        <v>18959</v>
      </c>
      <c r="U7083" t="s">
        <v>26604</v>
      </c>
      <c r="V7083" t="s">
        <v>26610</v>
      </c>
      <c r="W7083" t="s">
        <v>795</v>
      </c>
      <c r="X7083">
        <v>524.79</v>
      </c>
      <c r="Y7083" t="s">
        <v>26651</v>
      </c>
      <c r="Z7083" t="s">
        <v>26664</v>
      </c>
      <c r="AB7083" t="s">
        <v>32048</v>
      </c>
      <c r="AC7083" t="s">
        <v>36261</v>
      </c>
      <c r="AD7083" t="s">
        <v>42365</v>
      </c>
      <c r="AE7083">
        <v>0</v>
      </c>
      <c r="AF7083" t="s">
        <v>45544</v>
      </c>
      <c r="AG7083" t="s">
        <v>26530</v>
      </c>
      <c r="AH7083">
        <v>30</v>
      </c>
      <c r="AI7083">
        <v>1</v>
      </c>
      <c r="AJ7083">
        <v>0</v>
      </c>
      <c r="AK7083">
        <v>16.86</v>
      </c>
      <c r="AN7083" t="s">
        <v>7439</v>
      </c>
      <c r="AO7083">
        <v>2106</v>
      </c>
      <c r="AU7083">
        <v>13.4</v>
      </c>
      <c r="AV7083" t="s">
        <v>838</v>
      </c>
      <c r="AW7083" t="s">
        <v>46875</v>
      </c>
    </row>
    <row r="7084" spans="1:50">
      <c r="A7084" s="1">
        <f>HYPERLINK("https://lsnyc.legalserver.org/matter/dynamic-profile/view/1895751","19-1895751")</f>
        <v>0</v>
      </c>
      <c r="B7084" t="s">
        <v>212</v>
      </c>
      <c r="C7084" t="s">
        <v>340</v>
      </c>
      <c r="D7084" t="s">
        <v>795</v>
      </c>
      <c r="F7084" t="s">
        <v>3540</v>
      </c>
      <c r="G7084" t="s">
        <v>5121</v>
      </c>
      <c r="H7084" t="s">
        <v>14551</v>
      </c>
      <c r="I7084">
        <v>28</v>
      </c>
      <c r="J7084" t="s">
        <v>18898</v>
      </c>
      <c r="K7084">
        <v>11691</v>
      </c>
      <c r="L7084" t="s">
        <v>18958</v>
      </c>
      <c r="M7084" t="s">
        <v>18958</v>
      </c>
      <c r="O7084" t="s">
        <v>26534</v>
      </c>
      <c r="P7084" t="s">
        <v>26561</v>
      </c>
      <c r="R7084" t="s">
        <v>26578</v>
      </c>
      <c r="S7084" t="s">
        <v>18958</v>
      </c>
      <c r="U7084" t="s">
        <v>26604</v>
      </c>
      <c r="W7084" t="s">
        <v>795</v>
      </c>
      <c r="X7084">
        <v>540</v>
      </c>
      <c r="Y7084" t="s">
        <v>26653</v>
      </c>
      <c r="Z7084" t="s">
        <v>26667</v>
      </c>
      <c r="AB7084" t="s">
        <v>32049</v>
      </c>
      <c r="AD7084" t="s">
        <v>42366</v>
      </c>
      <c r="AE7084">
        <v>43</v>
      </c>
      <c r="AF7084" t="s">
        <v>45541</v>
      </c>
      <c r="AH7084">
        <v>28</v>
      </c>
      <c r="AI7084">
        <v>2</v>
      </c>
      <c r="AJ7084">
        <v>0</v>
      </c>
      <c r="AK7084">
        <v>14.19</v>
      </c>
      <c r="AN7084" t="s">
        <v>7439</v>
      </c>
      <c r="AO7084">
        <v>2400</v>
      </c>
      <c r="AU7084">
        <v>0</v>
      </c>
      <c r="AW7084" t="s">
        <v>46884</v>
      </c>
    </row>
    <row r="7085" spans="1:50">
      <c r="A7085" s="1">
        <f>HYPERLINK("https://lsnyc.legalserver.org/matter/dynamic-profile/view/1895768","19-1895768")</f>
        <v>0</v>
      </c>
      <c r="B7085" t="s">
        <v>212</v>
      </c>
      <c r="C7085" t="s">
        <v>340</v>
      </c>
      <c r="D7085" t="s">
        <v>795</v>
      </c>
      <c r="F7085" t="s">
        <v>3540</v>
      </c>
      <c r="G7085" t="s">
        <v>5121</v>
      </c>
      <c r="H7085" t="s">
        <v>14551</v>
      </c>
      <c r="I7085">
        <v>4</v>
      </c>
      <c r="J7085" t="s">
        <v>18898</v>
      </c>
      <c r="K7085">
        <v>11691</v>
      </c>
      <c r="L7085" t="s">
        <v>18958</v>
      </c>
      <c r="M7085" t="s">
        <v>18958</v>
      </c>
      <c r="O7085" t="s">
        <v>26529</v>
      </c>
      <c r="P7085" t="s">
        <v>26565</v>
      </c>
      <c r="R7085" t="s">
        <v>26578</v>
      </c>
      <c r="S7085" t="s">
        <v>18958</v>
      </c>
      <c r="U7085" t="s">
        <v>26604</v>
      </c>
      <c r="W7085" t="s">
        <v>795</v>
      </c>
      <c r="X7085">
        <v>540</v>
      </c>
      <c r="Y7085" t="s">
        <v>26653</v>
      </c>
      <c r="Z7085" t="s">
        <v>26667</v>
      </c>
      <c r="AB7085" t="s">
        <v>32049</v>
      </c>
      <c r="AD7085" t="s">
        <v>42366</v>
      </c>
      <c r="AE7085">
        <v>43</v>
      </c>
      <c r="AH7085">
        <v>28</v>
      </c>
      <c r="AI7085">
        <v>2</v>
      </c>
      <c r="AJ7085">
        <v>0</v>
      </c>
      <c r="AK7085">
        <v>14.19</v>
      </c>
      <c r="AN7085" t="s">
        <v>7439</v>
      </c>
      <c r="AO7085">
        <v>2400</v>
      </c>
      <c r="AU7085">
        <v>0</v>
      </c>
      <c r="AW7085" t="s">
        <v>46884</v>
      </c>
    </row>
    <row r="7086" spans="1:50">
      <c r="A7086" s="1">
        <f>HYPERLINK("https://lsnyc.legalserver.org/matter/dynamic-profile/view/1895718","19-1895718")</f>
        <v>0</v>
      </c>
      <c r="B7086" t="s">
        <v>212</v>
      </c>
      <c r="C7086" t="s">
        <v>340</v>
      </c>
      <c r="D7086" t="s">
        <v>795</v>
      </c>
      <c r="F7086" t="s">
        <v>996</v>
      </c>
      <c r="G7086" t="s">
        <v>868</v>
      </c>
      <c r="H7086" t="s">
        <v>14551</v>
      </c>
      <c r="I7086" t="s">
        <v>18428</v>
      </c>
      <c r="J7086" t="s">
        <v>18898</v>
      </c>
      <c r="K7086">
        <v>11691</v>
      </c>
      <c r="L7086" t="s">
        <v>18958</v>
      </c>
      <c r="M7086" t="s">
        <v>18958</v>
      </c>
      <c r="O7086" t="s">
        <v>26534</v>
      </c>
      <c r="P7086" t="s">
        <v>26561</v>
      </c>
      <c r="R7086" t="s">
        <v>26578</v>
      </c>
      <c r="S7086" t="s">
        <v>18958</v>
      </c>
      <c r="U7086" t="s">
        <v>26604</v>
      </c>
      <c r="W7086" t="s">
        <v>795</v>
      </c>
      <c r="X7086">
        <v>637</v>
      </c>
      <c r="Y7086" t="s">
        <v>26653</v>
      </c>
      <c r="Z7086" t="s">
        <v>26667</v>
      </c>
      <c r="AB7086" t="s">
        <v>27578</v>
      </c>
      <c r="AD7086" t="s">
        <v>42367</v>
      </c>
      <c r="AE7086">
        <v>43</v>
      </c>
      <c r="AF7086" t="s">
        <v>45541</v>
      </c>
      <c r="AH7086">
        <v>20</v>
      </c>
      <c r="AI7086">
        <v>1</v>
      </c>
      <c r="AJ7086">
        <v>0</v>
      </c>
      <c r="AK7086">
        <v>64.05</v>
      </c>
      <c r="AN7086" t="s">
        <v>7439</v>
      </c>
      <c r="AO7086">
        <v>8000</v>
      </c>
      <c r="AU7086">
        <v>0.15</v>
      </c>
      <c r="AV7086" t="s">
        <v>803</v>
      </c>
      <c r="AW7086" t="s">
        <v>46884</v>
      </c>
    </row>
    <row r="7087" spans="1:50">
      <c r="A7087" s="1">
        <f>HYPERLINK("https://lsnyc.legalserver.org/matter/dynamic-profile/view/1895748","19-1895748")</f>
        <v>0</v>
      </c>
      <c r="B7087" t="s">
        <v>212</v>
      </c>
      <c r="C7087" t="s">
        <v>340</v>
      </c>
      <c r="D7087" t="s">
        <v>795</v>
      </c>
      <c r="F7087" t="s">
        <v>996</v>
      </c>
      <c r="G7087" t="s">
        <v>868</v>
      </c>
      <c r="H7087" t="s">
        <v>14551</v>
      </c>
      <c r="I7087" t="s">
        <v>18428</v>
      </c>
      <c r="J7087" t="s">
        <v>18898</v>
      </c>
      <c r="K7087">
        <v>11691</v>
      </c>
      <c r="L7087" t="s">
        <v>18958</v>
      </c>
      <c r="M7087" t="s">
        <v>18958</v>
      </c>
      <c r="O7087" t="s">
        <v>26529</v>
      </c>
      <c r="P7087" t="s">
        <v>26565</v>
      </c>
      <c r="R7087" t="s">
        <v>26578</v>
      </c>
      <c r="S7087" t="s">
        <v>18958</v>
      </c>
      <c r="U7087" t="s">
        <v>26604</v>
      </c>
      <c r="W7087" t="s">
        <v>795</v>
      </c>
      <c r="X7087">
        <v>637</v>
      </c>
      <c r="Y7087" t="s">
        <v>26653</v>
      </c>
      <c r="Z7087" t="s">
        <v>26667</v>
      </c>
      <c r="AB7087" t="s">
        <v>27578</v>
      </c>
      <c r="AD7087" t="s">
        <v>42367</v>
      </c>
      <c r="AE7087">
        <v>43</v>
      </c>
      <c r="AF7087" t="s">
        <v>45541</v>
      </c>
      <c r="AH7087">
        <v>20</v>
      </c>
      <c r="AI7087">
        <v>1</v>
      </c>
      <c r="AJ7087">
        <v>0</v>
      </c>
      <c r="AK7087">
        <v>64.05</v>
      </c>
      <c r="AN7087" t="s">
        <v>7439</v>
      </c>
      <c r="AO7087">
        <v>8000</v>
      </c>
      <c r="AU7087">
        <v>38.15</v>
      </c>
      <c r="AV7087" t="s">
        <v>806</v>
      </c>
      <c r="AW7087" t="s">
        <v>46884</v>
      </c>
    </row>
    <row r="7088" spans="1:50">
      <c r="A7088" s="1">
        <f>HYPERLINK("https://lsnyc.legalserver.org/matter/dynamic-profile/view/1895822","19-1895822")</f>
        <v>0</v>
      </c>
      <c r="B7088" t="s">
        <v>212</v>
      </c>
      <c r="C7088" t="s">
        <v>340</v>
      </c>
      <c r="D7088" t="s">
        <v>795</v>
      </c>
      <c r="F7088" t="s">
        <v>1085</v>
      </c>
      <c r="G7088" t="s">
        <v>8205</v>
      </c>
      <c r="H7088" t="s">
        <v>14551</v>
      </c>
      <c r="I7088" t="s">
        <v>18429</v>
      </c>
      <c r="J7088" t="s">
        <v>18898</v>
      </c>
      <c r="K7088">
        <v>11691</v>
      </c>
      <c r="L7088" t="s">
        <v>18958</v>
      </c>
      <c r="M7088" t="s">
        <v>18958</v>
      </c>
      <c r="O7088" t="s">
        <v>26534</v>
      </c>
      <c r="P7088" t="s">
        <v>26561</v>
      </c>
      <c r="R7088" t="s">
        <v>26578</v>
      </c>
      <c r="S7088" t="s">
        <v>18958</v>
      </c>
      <c r="U7088" t="s">
        <v>26604</v>
      </c>
      <c r="W7088" t="s">
        <v>795</v>
      </c>
      <c r="X7088">
        <v>675</v>
      </c>
      <c r="Y7088" t="s">
        <v>26653</v>
      </c>
      <c r="Z7088" t="s">
        <v>26664</v>
      </c>
      <c r="AB7088" t="s">
        <v>30957</v>
      </c>
      <c r="AD7088" t="s">
        <v>42368</v>
      </c>
      <c r="AE7088">
        <v>43</v>
      </c>
      <c r="AH7088">
        <v>8</v>
      </c>
      <c r="AI7088">
        <v>1</v>
      </c>
      <c r="AJ7088">
        <v>0</v>
      </c>
      <c r="AK7088">
        <v>91.27</v>
      </c>
      <c r="AN7088" t="s">
        <v>7439</v>
      </c>
      <c r="AO7088">
        <v>11400</v>
      </c>
      <c r="AU7088">
        <v>0</v>
      </c>
      <c r="AW7088" t="s">
        <v>46884</v>
      </c>
    </row>
    <row r="7089" spans="1:49">
      <c r="A7089" s="1">
        <f>HYPERLINK("https://lsnyc.legalserver.org/matter/dynamic-profile/view/1895829","19-1895829")</f>
        <v>0</v>
      </c>
      <c r="B7089" t="s">
        <v>212</v>
      </c>
      <c r="C7089" t="s">
        <v>340</v>
      </c>
      <c r="D7089" t="s">
        <v>795</v>
      </c>
      <c r="F7089" t="s">
        <v>1085</v>
      </c>
      <c r="G7089" t="s">
        <v>8205</v>
      </c>
      <c r="H7089" t="s">
        <v>14551</v>
      </c>
      <c r="I7089" t="s">
        <v>18429</v>
      </c>
      <c r="J7089" t="s">
        <v>18898</v>
      </c>
      <c r="K7089">
        <v>11691</v>
      </c>
      <c r="L7089" t="s">
        <v>18958</v>
      </c>
      <c r="M7089" t="s">
        <v>18958</v>
      </c>
      <c r="O7089" t="s">
        <v>26529</v>
      </c>
      <c r="P7089" t="s">
        <v>26565</v>
      </c>
      <c r="R7089" t="s">
        <v>26578</v>
      </c>
      <c r="S7089" t="s">
        <v>18958</v>
      </c>
      <c r="U7089" t="s">
        <v>26604</v>
      </c>
      <c r="W7089" t="s">
        <v>795</v>
      </c>
      <c r="X7089">
        <v>675</v>
      </c>
      <c r="Y7089" t="s">
        <v>26653</v>
      </c>
      <c r="AB7089" t="s">
        <v>30957</v>
      </c>
      <c r="AD7089" t="s">
        <v>42368</v>
      </c>
      <c r="AE7089">
        <v>43</v>
      </c>
      <c r="AH7089">
        <v>8</v>
      </c>
      <c r="AI7089">
        <v>1</v>
      </c>
      <c r="AJ7089">
        <v>0</v>
      </c>
      <c r="AK7089">
        <v>91.27</v>
      </c>
      <c r="AN7089" t="s">
        <v>7439</v>
      </c>
      <c r="AO7089">
        <v>11400</v>
      </c>
      <c r="AU7089">
        <v>0</v>
      </c>
      <c r="AW7089" t="s">
        <v>46884</v>
      </c>
    </row>
    <row r="7090" spans="1:49">
      <c r="A7090" s="1">
        <f>HYPERLINK("https://lsnyc.legalserver.org/matter/dynamic-profile/view/1895840","19-1895840")</f>
        <v>0</v>
      </c>
      <c r="B7090" t="s">
        <v>212</v>
      </c>
      <c r="C7090" t="s">
        <v>340</v>
      </c>
      <c r="D7090" t="s">
        <v>795</v>
      </c>
      <c r="F7090" t="s">
        <v>2786</v>
      </c>
      <c r="G7090" t="s">
        <v>1146</v>
      </c>
      <c r="H7090" t="s">
        <v>14551</v>
      </c>
      <c r="I7090" t="s">
        <v>18430</v>
      </c>
      <c r="J7090" t="s">
        <v>18898</v>
      </c>
      <c r="K7090">
        <v>11691</v>
      </c>
      <c r="L7090" t="s">
        <v>18958</v>
      </c>
      <c r="M7090" t="s">
        <v>18958</v>
      </c>
      <c r="O7090" t="s">
        <v>26534</v>
      </c>
      <c r="P7090" t="s">
        <v>26561</v>
      </c>
      <c r="R7090" t="s">
        <v>26578</v>
      </c>
      <c r="S7090" t="s">
        <v>18958</v>
      </c>
      <c r="U7090" t="s">
        <v>26604</v>
      </c>
      <c r="W7090" t="s">
        <v>795</v>
      </c>
      <c r="X7090">
        <v>637</v>
      </c>
      <c r="Y7090" t="s">
        <v>26653</v>
      </c>
      <c r="Z7090" t="s">
        <v>26664</v>
      </c>
      <c r="AB7090" t="s">
        <v>32050</v>
      </c>
      <c r="AD7090" t="s">
        <v>42369</v>
      </c>
      <c r="AE7090">
        <v>43</v>
      </c>
      <c r="AH7090">
        <v>30</v>
      </c>
      <c r="AI7090">
        <v>5</v>
      </c>
      <c r="AJ7090">
        <v>0</v>
      </c>
      <c r="AK7090">
        <v>129.27</v>
      </c>
      <c r="AN7090" t="s">
        <v>7439</v>
      </c>
      <c r="AO7090">
        <v>39000</v>
      </c>
      <c r="AU7090">
        <v>0</v>
      </c>
      <c r="AW7090" t="s">
        <v>46884</v>
      </c>
    </row>
    <row r="7091" spans="1:49">
      <c r="A7091" s="1">
        <f>HYPERLINK("https://lsnyc.legalserver.org/matter/dynamic-profile/view/1895844","19-1895844")</f>
        <v>0</v>
      </c>
      <c r="B7091" t="s">
        <v>212</v>
      </c>
      <c r="C7091" t="s">
        <v>340</v>
      </c>
      <c r="D7091" t="s">
        <v>795</v>
      </c>
      <c r="F7091" t="s">
        <v>2786</v>
      </c>
      <c r="G7091" t="s">
        <v>1146</v>
      </c>
      <c r="H7091" t="s">
        <v>14551</v>
      </c>
      <c r="I7091" t="s">
        <v>18430</v>
      </c>
      <c r="J7091" t="s">
        <v>18898</v>
      </c>
      <c r="K7091">
        <v>11691</v>
      </c>
      <c r="L7091" t="s">
        <v>18958</v>
      </c>
      <c r="M7091" t="s">
        <v>18958</v>
      </c>
      <c r="O7091" t="s">
        <v>26529</v>
      </c>
      <c r="P7091" t="s">
        <v>26565</v>
      </c>
      <c r="R7091" t="s">
        <v>26578</v>
      </c>
      <c r="S7091" t="s">
        <v>18958</v>
      </c>
      <c r="U7091" t="s">
        <v>26604</v>
      </c>
      <c r="W7091" t="s">
        <v>795</v>
      </c>
      <c r="X7091">
        <v>637</v>
      </c>
      <c r="Y7091" t="s">
        <v>26653</v>
      </c>
      <c r="AB7091" t="s">
        <v>32050</v>
      </c>
      <c r="AD7091" t="s">
        <v>42369</v>
      </c>
      <c r="AE7091">
        <v>43</v>
      </c>
      <c r="AH7091">
        <v>30</v>
      </c>
      <c r="AI7091">
        <v>5</v>
      </c>
      <c r="AJ7091">
        <v>0</v>
      </c>
      <c r="AK7091">
        <v>129.27</v>
      </c>
      <c r="AN7091" t="s">
        <v>7439</v>
      </c>
      <c r="AO7091">
        <v>39000</v>
      </c>
      <c r="AU7091">
        <v>0</v>
      </c>
      <c r="AW7091" t="s">
        <v>46884</v>
      </c>
    </row>
    <row r="7092" spans="1:49">
      <c r="A7092" s="1">
        <f>HYPERLINK("https://lsnyc.legalserver.org/matter/dynamic-profile/view/1895811","19-1895811")</f>
        <v>0</v>
      </c>
      <c r="B7092" t="s">
        <v>212</v>
      </c>
      <c r="C7092" t="s">
        <v>340</v>
      </c>
      <c r="D7092" t="s">
        <v>795</v>
      </c>
      <c r="F7092" t="s">
        <v>3856</v>
      </c>
      <c r="G7092" t="s">
        <v>8206</v>
      </c>
      <c r="H7092" t="s">
        <v>14551</v>
      </c>
      <c r="I7092" t="s">
        <v>18431</v>
      </c>
      <c r="J7092" t="s">
        <v>18898</v>
      </c>
      <c r="K7092">
        <v>11691</v>
      </c>
      <c r="L7092" t="s">
        <v>18958</v>
      </c>
      <c r="M7092" t="s">
        <v>18958</v>
      </c>
      <c r="O7092" t="s">
        <v>26534</v>
      </c>
      <c r="P7092" t="s">
        <v>26561</v>
      </c>
      <c r="R7092" t="s">
        <v>26578</v>
      </c>
      <c r="S7092" t="s">
        <v>18958</v>
      </c>
      <c r="U7092" t="s">
        <v>26604</v>
      </c>
      <c r="W7092" t="s">
        <v>795</v>
      </c>
      <c r="X7092">
        <v>637</v>
      </c>
      <c r="Y7092" t="s">
        <v>26653</v>
      </c>
      <c r="Z7092" t="s">
        <v>26664</v>
      </c>
      <c r="AB7092" t="s">
        <v>29494</v>
      </c>
      <c r="AD7092" t="s">
        <v>42370</v>
      </c>
      <c r="AE7092">
        <v>43</v>
      </c>
      <c r="AH7092">
        <v>10</v>
      </c>
      <c r="AI7092">
        <v>1</v>
      </c>
      <c r="AJ7092">
        <v>0</v>
      </c>
      <c r="AK7092">
        <v>163.33</v>
      </c>
      <c r="AN7092" t="s">
        <v>7439</v>
      </c>
      <c r="AO7092">
        <v>20400</v>
      </c>
      <c r="AU7092">
        <v>0</v>
      </c>
      <c r="AW7092" t="s">
        <v>46884</v>
      </c>
    </row>
    <row r="7093" spans="1:49">
      <c r="A7093" s="1">
        <f>HYPERLINK("https://lsnyc.legalserver.org/matter/dynamic-profile/view/1895817","19-1895817")</f>
        <v>0</v>
      </c>
      <c r="B7093" t="s">
        <v>212</v>
      </c>
      <c r="C7093" t="s">
        <v>340</v>
      </c>
      <c r="D7093" t="s">
        <v>795</v>
      </c>
      <c r="F7093" t="s">
        <v>3856</v>
      </c>
      <c r="G7093" t="s">
        <v>8206</v>
      </c>
      <c r="H7093" t="s">
        <v>14551</v>
      </c>
      <c r="I7093" t="s">
        <v>18431</v>
      </c>
      <c r="J7093" t="s">
        <v>18898</v>
      </c>
      <c r="K7093">
        <v>11691</v>
      </c>
      <c r="L7093" t="s">
        <v>18958</v>
      </c>
      <c r="M7093" t="s">
        <v>18958</v>
      </c>
      <c r="O7093" t="s">
        <v>26529</v>
      </c>
      <c r="P7093" t="s">
        <v>26565</v>
      </c>
      <c r="R7093" t="s">
        <v>26578</v>
      </c>
      <c r="S7093" t="s">
        <v>18958</v>
      </c>
      <c r="U7093" t="s">
        <v>26604</v>
      </c>
      <c r="W7093" t="s">
        <v>795</v>
      </c>
      <c r="X7093">
        <v>637</v>
      </c>
      <c r="Y7093" t="s">
        <v>26653</v>
      </c>
      <c r="AB7093" t="s">
        <v>29494</v>
      </c>
      <c r="AD7093" t="s">
        <v>42370</v>
      </c>
      <c r="AE7093">
        <v>43</v>
      </c>
      <c r="AH7093">
        <v>10</v>
      </c>
      <c r="AI7093">
        <v>1</v>
      </c>
      <c r="AJ7093">
        <v>0</v>
      </c>
      <c r="AK7093">
        <v>163.33</v>
      </c>
      <c r="AN7093" t="s">
        <v>7439</v>
      </c>
      <c r="AO7093">
        <v>20400</v>
      </c>
      <c r="AU7093">
        <v>0</v>
      </c>
      <c r="AW7093" t="s">
        <v>46884</v>
      </c>
    </row>
    <row r="7094" spans="1:49">
      <c r="A7094" s="1">
        <f>HYPERLINK("https://lsnyc.legalserver.org/matter/dynamic-profile/view/1895803","19-1895803")</f>
        <v>0</v>
      </c>
      <c r="B7094" t="s">
        <v>212</v>
      </c>
      <c r="C7094" t="s">
        <v>340</v>
      </c>
      <c r="D7094" t="s">
        <v>795</v>
      </c>
      <c r="F7094" t="s">
        <v>1079</v>
      </c>
      <c r="G7094" t="s">
        <v>5677</v>
      </c>
      <c r="H7094" t="s">
        <v>14552</v>
      </c>
      <c r="J7094" t="s">
        <v>18898</v>
      </c>
      <c r="K7094">
        <v>11691</v>
      </c>
      <c r="L7094" t="s">
        <v>18958</v>
      </c>
      <c r="M7094" t="s">
        <v>18958</v>
      </c>
      <c r="O7094" t="s">
        <v>26529</v>
      </c>
      <c r="P7094" t="s">
        <v>26561</v>
      </c>
      <c r="R7094" t="s">
        <v>26578</v>
      </c>
      <c r="S7094" t="s">
        <v>18958</v>
      </c>
      <c r="U7094" t="s">
        <v>26604</v>
      </c>
      <c r="W7094" t="s">
        <v>795</v>
      </c>
      <c r="X7094">
        <v>475</v>
      </c>
      <c r="Y7094" t="s">
        <v>26653</v>
      </c>
      <c r="AB7094" t="s">
        <v>32051</v>
      </c>
      <c r="AD7094" t="s">
        <v>42371</v>
      </c>
      <c r="AE7094">
        <v>43</v>
      </c>
      <c r="AH7094">
        <v>4</v>
      </c>
      <c r="AI7094">
        <v>2</v>
      </c>
      <c r="AJ7094">
        <v>0</v>
      </c>
      <c r="AK7094">
        <v>166.77</v>
      </c>
      <c r="AN7094" t="s">
        <v>7439</v>
      </c>
      <c r="AO7094">
        <v>28200</v>
      </c>
      <c r="AU7094">
        <v>0</v>
      </c>
      <c r="AW7094" t="s">
        <v>46884</v>
      </c>
    </row>
    <row r="7095" spans="1:49">
      <c r="A7095" s="1">
        <f>HYPERLINK("https://lsnyc.legalserver.org/matter/dynamic-profile/view/1895808","19-1895808")</f>
        <v>0</v>
      </c>
      <c r="B7095" t="s">
        <v>212</v>
      </c>
      <c r="C7095" t="s">
        <v>340</v>
      </c>
      <c r="D7095" t="s">
        <v>795</v>
      </c>
      <c r="F7095" t="s">
        <v>1079</v>
      </c>
      <c r="G7095" t="s">
        <v>5677</v>
      </c>
      <c r="H7095" t="s">
        <v>14552</v>
      </c>
      <c r="I7095">
        <v>4</v>
      </c>
      <c r="J7095" t="s">
        <v>18898</v>
      </c>
      <c r="K7095">
        <v>11691</v>
      </c>
      <c r="L7095" t="s">
        <v>18958</v>
      </c>
      <c r="M7095" t="s">
        <v>18958</v>
      </c>
      <c r="O7095" t="s">
        <v>26529</v>
      </c>
      <c r="P7095" t="s">
        <v>26565</v>
      </c>
      <c r="R7095" t="s">
        <v>26578</v>
      </c>
      <c r="S7095" t="s">
        <v>18958</v>
      </c>
      <c r="U7095" t="s">
        <v>26604</v>
      </c>
      <c r="W7095" t="s">
        <v>795</v>
      </c>
      <c r="X7095">
        <v>475</v>
      </c>
      <c r="Y7095" t="s">
        <v>26653</v>
      </c>
      <c r="Z7095" t="s">
        <v>26667</v>
      </c>
      <c r="AB7095" t="s">
        <v>32051</v>
      </c>
      <c r="AD7095" t="s">
        <v>42371</v>
      </c>
      <c r="AE7095">
        <v>43</v>
      </c>
      <c r="AH7095">
        <v>4</v>
      </c>
      <c r="AI7095">
        <v>2</v>
      </c>
      <c r="AJ7095">
        <v>0</v>
      </c>
      <c r="AK7095">
        <v>166.77</v>
      </c>
      <c r="AN7095" t="s">
        <v>7439</v>
      </c>
      <c r="AO7095">
        <v>28200</v>
      </c>
      <c r="AU7095">
        <v>0</v>
      </c>
      <c r="AW7095" t="s">
        <v>46884</v>
      </c>
    </row>
    <row r="7096" spans="1:49">
      <c r="A7096" s="1">
        <f>HYPERLINK("https://lsnyc.legalserver.org/matter/dynamic-profile/view/1895761","19-1895761")</f>
        <v>0</v>
      </c>
      <c r="B7096" t="s">
        <v>142</v>
      </c>
      <c r="C7096" t="s">
        <v>340</v>
      </c>
      <c r="D7096" t="s">
        <v>795</v>
      </c>
      <c r="F7096" t="s">
        <v>1128</v>
      </c>
      <c r="G7096" t="s">
        <v>8207</v>
      </c>
      <c r="H7096" t="s">
        <v>14553</v>
      </c>
      <c r="I7096" t="s">
        <v>17807</v>
      </c>
      <c r="J7096" t="s">
        <v>18920</v>
      </c>
      <c r="K7096">
        <v>11370</v>
      </c>
      <c r="L7096" t="s">
        <v>18958</v>
      </c>
      <c r="M7096" t="s">
        <v>18958</v>
      </c>
      <c r="N7096" t="s">
        <v>24015</v>
      </c>
      <c r="O7096" t="s">
        <v>26524</v>
      </c>
      <c r="P7096" t="s">
        <v>26564</v>
      </c>
      <c r="R7096" t="s">
        <v>26584</v>
      </c>
      <c r="S7096" t="s">
        <v>18959</v>
      </c>
      <c r="U7096" t="s">
        <v>26604</v>
      </c>
      <c r="V7096" t="s">
        <v>26612</v>
      </c>
      <c r="W7096" t="s">
        <v>795</v>
      </c>
      <c r="X7096">
        <v>1175</v>
      </c>
      <c r="Y7096" t="s">
        <v>26653</v>
      </c>
      <c r="Z7096" t="s">
        <v>26664</v>
      </c>
      <c r="AB7096" t="s">
        <v>27248</v>
      </c>
      <c r="AD7096" t="s">
        <v>42372</v>
      </c>
      <c r="AE7096">
        <v>18</v>
      </c>
      <c r="AF7096" t="s">
        <v>45553</v>
      </c>
      <c r="AG7096" t="s">
        <v>19330</v>
      </c>
      <c r="AH7096">
        <v>7</v>
      </c>
      <c r="AI7096">
        <v>1</v>
      </c>
      <c r="AJ7096">
        <v>0</v>
      </c>
      <c r="AK7096">
        <v>0</v>
      </c>
      <c r="AN7096" t="s">
        <v>7439</v>
      </c>
      <c r="AO7096">
        <v>0</v>
      </c>
      <c r="AU7096">
        <v>1.3</v>
      </c>
      <c r="AV7096" t="s">
        <v>795</v>
      </c>
      <c r="AW7096" t="s">
        <v>208</v>
      </c>
    </row>
    <row r="7097" spans="1:49">
      <c r="A7097" s="1">
        <f>HYPERLINK("https://lsnyc.legalserver.org/matter/dynamic-profile/view/1895744","19-1895744")</f>
        <v>0</v>
      </c>
      <c r="B7097" t="s">
        <v>142</v>
      </c>
      <c r="C7097" t="s">
        <v>340</v>
      </c>
      <c r="D7097" t="s">
        <v>795</v>
      </c>
      <c r="F7097" t="s">
        <v>3857</v>
      </c>
      <c r="G7097" t="s">
        <v>8208</v>
      </c>
      <c r="H7097" t="s">
        <v>14554</v>
      </c>
      <c r="I7097" t="s">
        <v>17348</v>
      </c>
      <c r="J7097" t="s">
        <v>18907</v>
      </c>
      <c r="K7097">
        <v>11377</v>
      </c>
      <c r="L7097" t="s">
        <v>18958</v>
      </c>
      <c r="M7097" t="s">
        <v>18958</v>
      </c>
      <c r="N7097" t="s">
        <v>24016</v>
      </c>
      <c r="O7097" t="s">
        <v>26523</v>
      </c>
      <c r="P7097" t="s">
        <v>26564</v>
      </c>
      <c r="R7097" t="s">
        <v>26584</v>
      </c>
      <c r="S7097" t="s">
        <v>18959</v>
      </c>
      <c r="U7097" t="s">
        <v>26604</v>
      </c>
      <c r="V7097" t="s">
        <v>26610</v>
      </c>
      <c r="W7097" t="s">
        <v>795</v>
      </c>
      <c r="X7097">
        <v>1750</v>
      </c>
      <c r="Y7097" t="s">
        <v>26653</v>
      </c>
      <c r="Z7097" t="s">
        <v>26664</v>
      </c>
      <c r="AB7097" t="s">
        <v>31678</v>
      </c>
      <c r="AD7097" t="s">
        <v>42373</v>
      </c>
      <c r="AE7097">
        <v>72</v>
      </c>
      <c r="AF7097" t="s">
        <v>20460</v>
      </c>
      <c r="AG7097" t="s">
        <v>19330</v>
      </c>
      <c r="AH7097">
        <v>11</v>
      </c>
      <c r="AI7097">
        <v>2</v>
      </c>
      <c r="AJ7097">
        <v>0</v>
      </c>
      <c r="AK7097">
        <v>51.24</v>
      </c>
      <c r="AN7097" t="s">
        <v>7439</v>
      </c>
      <c r="AO7097">
        <v>8664</v>
      </c>
      <c r="AU7097">
        <v>1.5</v>
      </c>
      <c r="AV7097" t="s">
        <v>818</v>
      </c>
      <c r="AW7097" t="s">
        <v>208</v>
      </c>
    </row>
    <row r="7098" spans="1:49">
      <c r="A7098" s="1">
        <f>HYPERLINK("https://lsnyc.legalserver.org/matter/dynamic-profile/view/1895923","19-1895923")</f>
        <v>0</v>
      </c>
      <c r="B7098" t="s">
        <v>54</v>
      </c>
      <c r="C7098" t="s">
        <v>340</v>
      </c>
      <c r="D7098" t="s">
        <v>795</v>
      </c>
      <c r="F7098" t="s">
        <v>2211</v>
      </c>
      <c r="G7098" t="s">
        <v>5335</v>
      </c>
      <c r="H7098" t="s">
        <v>14555</v>
      </c>
      <c r="I7098" t="s">
        <v>17316</v>
      </c>
      <c r="J7098" t="s">
        <v>18892</v>
      </c>
      <c r="K7098">
        <v>10457</v>
      </c>
      <c r="L7098" t="s">
        <v>18958</v>
      </c>
      <c r="M7098" t="s">
        <v>18958</v>
      </c>
      <c r="N7098" t="s">
        <v>24017</v>
      </c>
      <c r="O7098" t="s">
        <v>26523</v>
      </c>
      <c r="P7098" t="s">
        <v>26560</v>
      </c>
      <c r="R7098" t="s">
        <v>26579</v>
      </c>
      <c r="S7098" t="s">
        <v>18959</v>
      </c>
      <c r="U7098" t="s">
        <v>26604</v>
      </c>
      <c r="V7098" t="s">
        <v>26610</v>
      </c>
      <c r="W7098" t="s">
        <v>795</v>
      </c>
      <c r="X7098">
        <v>1323</v>
      </c>
      <c r="Y7098" t="s">
        <v>26650</v>
      </c>
      <c r="Z7098" t="s">
        <v>26668</v>
      </c>
      <c r="AB7098" t="s">
        <v>32052</v>
      </c>
      <c r="AD7098" t="s">
        <v>42374</v>
      </c>
      <c r="AE7098">
        <v>60</v>
      </c>
      <c r="AF7098" t="s">
        <v>45541</v>
      </c>
      <c r="AG7098" t="s">
        <v>19330</v>
      </c>
      <c r="AH7098">
        <v>7</v>
      </c>
      <c r="AI7098">
        <v>1</v>
      </c>
      <c r="AJ7098">
        <v>3</v>
      </c>
      <c r="AK7098">
        <v>64.36</v>
      </c>
      <c r="AN7098" t="s">
        <v>7439</v>
      </c>
      <c r="AO7098">
        <v>16572</v>
      </c>
      <c r="AU7098">
        <v>7</v>
      </c>
      <c r="AV7098" t="s">
        <v>772</v>
      </c>
      <c r="AW7098" t="s">
        <v>46832</v>
      </c>
    </row>
    <row r="7099" spans="1:49">
      <c r="A7099" s="1">
        <f>HYPERLINK("https://lsnyc.legalserver.org/matter/dynamic-profile/view/1895745","19-1895745")</f>
        <v>0</v>
      </c>
      <c r="B7099" t="s">
        <v>59</v>
      </c>
      <c r="C7099" t="s">
        <v>340</v>
      </c>
      <c r="D7099" t="s">
        <v>795</v>
      </c>
      <c r="F7099" t="s">
        <v>1401</v>
      </c>
      <c r="G7099" t="s">
        <v>5121</v>
      </c>
      <c r="H7099" t="s">
        <v>13976</v>
      </c>
      <c r="I7099" t="s">
        <v>17349</v>
      </c>
      <c r="J7099" t="s">
        <v>18893</v>
      </c>
      <c r="K7099">
        <v>10025</v>
      </c>
      <c r="L7099" t="s">
        <v>18958</v>
      </c>
      <c r="M7099" t="s">
        <v>18958</v>
      </c>
      <c r="N7099" t="s">
        <v>24018</v>
      </c>
      <c r="O7099" t="s">
        <v>26523</v>
      </c>
      <c r="P7099" t="s">
        <v>26560</v>
      </c>
      <c r="R7099" t="s">
        <v>26580</v>
      </c>
      <c r="S7099" t="s">
        <v>18959</v>
      </c>
      <c r="U7099" t="s">
        <v>26604</v>
      </c>
      <c r="W7099" t="s">
        <v>795</v>
      </c>
      <c r="X7099">
        <v>2373</v>
      </c>
      <c r="Y7099" t="s">
        <v>26651</v>
      </c>
      <c r="Z7099" t="s">
        <v>26668</v>
      </c>
      <c r="AB7099" t="s">
        <v>32053</v>
      </c>
      <c r="AC7099" t="s">
        <v>36262</v>
      </c>
      <c r="AD7099" t="s">
        <v>42375</v>
      </c>
      <c r="AE7099">
        <v>0</v>
      </c>
      <c r="AF7099" t="s">
        <v>20460</v>
      </c>
      <c r="AG7099" t="s">
        <v>26530</v>
      </c>
      <c r="AH7099">
        <v>6</v>
      </c>
      <c r="AI7099">
        <v>1</v>
      </c>
      <c r="AJ7099">
        <v>0</v>
      </c>
      <c r="AK7099">
        <v>81.28</v>
      </c>
      <c r="AN7099" t="s">
        <v>45581</v>
      </c>
      <c r="AO7099">
        <v>10152</v>
      </c>
      <c r="AU7099">
        <v>2.4</v>
      </c>
      <c r="AV7099" t="s">
        <v>809</v>
      </c>
      <c r="AW7099" t="s">
        <v>46875</v>
      </c>
    </row>
    <row r="7100" spans="1:49">
      <c r="A7100" s="1">
        <f>HYPERLINK("https://lsnyc.legalserver.org/matter/dynamic-profile/view/1895841","19-1895841")</f>
        <v>0</v>
      </c>
      <c r="B7100" t="s">
        <v>59</v>
      </c>
      <c r="C7100" t="s">
        <v>340</v>
      </c>
      <c r="D7100" t="s">
        <v>795</v>
      </c>
      <c r="F7100" t="s">
        <v>2787</v>
      </c>
      <c r="G7100" t="s">
        <v>5141</v>
      </c>
      <c r="H7100" t="s">
        <v>14556</v>
      </c>
      <c r="I7100" t="s">
        <v>17347</v>
      </c>
      <c r="J7100" t="s">
        <v>18893</v>
      </c>
      <c r="K7100">
        <v>10026</v>
      </c>
      <c r="L7100" t="s">
        <v>18958</v>
      </c>
      <c r="M7100" t="s">
        <v>18958</v>
      </c>
      <c r="N7100" t="s">
        <v>24019</v>
      </c>
      <c r="O7100" t="s">
        <v>26523</v>
      </c>
      <c r="P7100" t="s">
        <v>26564</v>
      </c>
      <c r="R7100" t="s">
        <v>26580</v>
      </c>
      <c r="U7100" t="s">
        <v>26604</v>
      </c>
      <c r="W7100" t="s">
        <v>795</v>
      </c>
      <c r="X7100">
        <v>569</v>
      </c>
      <c r="Y7100" t="s">
        <v>26651</v>
      </c>
      <c r="Z7100" t="s">
        <v>26668</v>
      </c>
      <c r="AB7100" t="s">
        <v>32054</v>
      </c>
      <c r="AD7100" t="s">
        <v>42376</v>
      </c>
      <c r="AE7100">
        <v>0</v>
      </c>
      <c r="AF7100" t="s">
        <v>45544</v>
      </c>
      <c r="AG7100" t="s">
        <v>19330</v>
      </c>
      <c r="AH7100">
        <v>20</v>
      </c>
      <c r="AI7100">
        <v>1</v>
      </c>
      <c r="AJ7100">
        <v>0</v>
      </c>
      <c r="AK7100">
        <v>208.17</v>
      </c>
      <c r="AN7100" t="s">
        <v>7439</v>
      </c>
      <c r="AO7100">
        <v>26000</v>
      </c>
      <c r="AU7100">
        <v>0</v>
      </c>
      <c r="AW7100" t="s">
        <v>46875</v>
      </c>
    </row>
    <row r="7101" spans="1:49">
      <c r="A7101" s="1">
        <f>HYPERLINK("https://lsnyc.legalserver.org/matter/dynamic-profile/view/1895752","19-1895752")</f>
        <v>0</v>
      </c>
      <c r="B7101" t="s">
        <v>235</v>
      </c>
      <c r="C7101" t="s">
        <v>340</v>
      </c>
      <c r="D7101" t="s">
        <v>795</v>
      </c>
      <c r="F7101" t="s">
        <v>2795</v>
      </c>
      <c r="G7101" t="s">
        <v>1146</v>
      </c>
      <c r="H7101" t="s">
        <v>14557</v>
      </c>
      <c r="I7101" t="s">
        <v>17491</v>
      </c>
      <c r="J7101" t="s">
        <v>7026</v>
      </c>
      <c r="K7101">
        <v>11368</v>
      </c>
      <c r="L7101" t="s">
        <v>18958</v>
      </c>
      <c r="M7101" t="s">
        <v>18958</v>
      </c>
      <c r="N7101" t="s">
        <v>24020</v>
      </c>
      <c r="O7101" t="s">
        <v>26524</v>
      </c>
      <c r="P7101" t="s">
        <v>26563</v>
      </c>
      <c r="R7101" t="s">
        <v>26584</v>
      </c>
      <c r="S7101" t="s">
        <v>18959</v>
      </c>
      <c r="U7101" t="s">
        <v>26604</v>
      </c>
      <c r="W7101" t="s">
        <v>795</v>
      </c>
      <c r="X7101">
        <v>0</v>
      </c>
      <c r="Y7101" t="s">
        <v>26653</v>
      </c>
      <c r="Z7101" t="s">
        <v>26664</v>
      </c>
      <c r="AB7101" t="s">
        <v>29697</v>
      </c>
      <c r="AD7101" t="s">
        <v>42377</v>
      </c>
      <c r="AE7101">
        <v>3</v>
      </c>
      <c r="AF7101" t="s">
        <v>20460</v>
      </c>
      <c r="AG7101" t="s">
        <v>19330</v>
      </c>
      <c r="AH7101">
        <v>-1</v>
      </c>
      <c r="AI7101">
        <v>1</v>
      </c>
      <c r="AJ7101">
        <v>0</v>
      </c>
      <c r="AK7101">
        <v>0</v>
      </c>
      <c r="AN7101" t="s">
        <v>7439</v>
      </c>
      <c r="AO7101">
        <v>0</v>
      </c>
      <c r="AU7101">
        <v>1.3</v>
      </c>
      <c r="AV7101" t="s">
        <v>795</v>
      </c>
      <c r="AW7101" t="s">
        <v>208</v>
      </c>
    </row>
    <row r="7102" spans="1:49">
      <c r="A7102" s="1">
        <f>HYPERLINK("https://lsnyc.legalserver.org/matter/dynamic-profile/view/1895739","19-1895739")</f>
        <v>0</v>
      </c>
      <c r="B7102" t="s">
        <v>235</v>
      </c>
      <c r="C7102" t="s">
        <v>340</v>
      </c>
      <c r="D7102" t="s">
        <v>795</v>
      </c>
      <c r="F7102" t="s">
        <v>1838</v>
      </c>
      <c r="G7102" t="s">
        <v>7276</v>
      </c>
      <c r="H7102" t="s">
        <v>14558</v>
      </c>
      <c r="I7102" t="s">
        <v>17375</v>
      </c>
      <c r="J7102" t="s">
        <v>18933</v>
      </c>
      <c r="K7102">
        <v>11422</v>
      </c>
      <c r="L7102" t="s">
        <v>18958</v>
      </c>
      <c r="M7102" t="s">
        <v>18958</v>
      </c>
      <c r="N7102" t="s">
        <v>24021</v>
      </c>
      <c r="O7102" t="s">
        <v>26523</v>
      </c>
      <c r="P7102" t="s">
        <v>26563</v>
      </c>
      <c r="R7102" t="s">
        <v>26584</v>
      </c>
      <c r="S7102" t="s">
        <v>18959</v>
      </c>
      <c r="U7102" t="s">
        <v>26604</v>
      </c>
      <c r="W7102" t="s">
        <v>795</v>
      </c>
      <c r="X7102">
        <v>1557</v>
      </c>
      <c r="Y7102" t="s">
        <v>26653</v>
      </c>
      <c r="Z7102" t="s">
        <v>26664</v>
      </c>
      <c r="AB7102" t="s">
        <v>32055</v>
      </c>
      <c r="AC7102" t="s">
        <v>36263</v>
      </c>
      <c r="AD7102" t="s">
        <v>42378</v>
      </c>
      <c r="AE7102">
        <v>2</v>
      </c>
      <c r="AF7102" t="s">
        <v>20460</v>
      </c>
      <c r="AG7102" t="s">
        <v>45557</v>
      </c>
      <c r="AH7102">
        <v>4</v>
      </c>
      <c r="AI7102">
        <v>1</v>
      </c>
      <c r="AJ7102">
        <v>3</v>
      </c>
      <c r="AK7102">
        <v>20.4</v>
      </c>
      <c r="AN7102" t="s">
        <v>7439</v>
      </c>
      <c r="AO7102">
        <v>5252</v>
      </c>
      <c r="AU7102">
        <v>1.3</v>
      </c>
      <c r="AV7102" t="s">
        <v>795</v>
      </c>
      <c r="AW7102" t="s">
        <v>208</v>
      </c>
    </row>
    <row r="7103" spans="1:49">
      <c r="A7103" s="1">
        <f>HYPERLINK("https://lsnyc.legalserver.org/matter/dynamic-profile/view/1895790","19-1895790")</f>
        <v>0</v>
      </c>
      <c r="B7103" t="s">
        <v>235</v>
      </c>
      <c r="C7103" t="s">
        <v>340</v>
      </c>
      <c r="D7103" t="s">
        <v>795</v>
      </c>
      <c r="F7103" t="s">
        <v>1529</v>
      </c>
      <c r="G7103" t="s">
        <v>5563</v>
      </c>
      <c r="H7103" t="s">
        <v>14559</v>
      </c>
      <c r="I7103">
        <v>3</v>
      </c>
      <c r="J7103" t="s">
        <v>18939</v>
      </c>
      <c r="K7103">
        <v>11423</v>
      </c>
      <c r="L7103" t="s">
        <v>18958</v>
      </c>
      <c r="M7103" t="s">
        <v>18958</v>
      </c>
      <c r="N7103" t="s">
        <v>24022</v>
      </c>
      <c r="O7103" t="s">
        <v>26524</v>
      </c>
      <c r="P7103" t="s">
        <v>26563</v>
      </c>
      <c r="R7103" t="s">
        <v>26584</v>
      </c>
      <c r="S7103" t="s">
        <v>18959</v>
      </c>
      <c r="U7103" t="s">
        <v>26604</v>
      </c>
      <c r="W7103" t="s">
        <v>795</v>
      </c>
      <c r="X7103">
        <v>800</v>
      </c>
      <c r="Y7103" t="s">
        <v>26653</v>
      </c>
      <c r="AB7103" t="s">
        <v>31737</v>
      </c>
      <c r="AC7103" t="s">
        <v>36264</v>
      </c>
      <c r="AD7103" t="s">
        <v>42379</v>
      </c>
      <c r="AE7103">
        <v>0</v>
      </c>
      <c r="AF7103" t="s">
        <v>20460</v>
      </c>
      <c r="AG7103" t="s">
        <v>45562</v>
      </c>
      <c r="AH7103">
        <v>2</v>
      </c>
      <c r="AI7103">
        <v>1</v>
      </c>
      <c r="AJ7103">
        <v>0</v>
      </c>
      <c r="AK7103">
        <v>70.42</v>
      </c>
      <c r="AN7103" t="s">
        <v>7439</v>
      </c>
      <c r="AO7103">
        <v>8796</v>
      </c>
      <c r="AU7103">
        <v>2.5</v>
      </c>
      <c r="AV7103" t="s">
        <v>765</v>
      </c>
      <c r="AW7103" t="s">
        <v>208</v>
      </c>
    </row>
    <row r="7104" spans="1:49">
      <c r="A7104" s="1">
        <f>HYPERLINK("https://lsnyc.legalserver.org/matter/dynamic-profile/view/1895788","19-1895788")</f>
        <v>0</v>
      </c>
      <c r="B7104" t="s">
        <v>235</v>
      </c>
      <c r="C7104" t="s">
        <v>340</v>
      </c>
      <c r="D7104" t="s">
        <v>795</v>
      </c>
      <c r="F7104" t="s">
        <v>3858</v>
      </c>
      <c r="G7104" t="s">
        <v>5147</v>
      </c>
      <c r="H7104" t="s">
        <v>14560</v>
      </c>
      <c r="J7104" t="s">
        <v>18901</v>
      </c>
      <c r="K7104">
        <v>11434</v>
      </c>
      <c r="L7104" t="s">
        <v>18958</v>
      </c>
      <c r="M7104" t="s">
        <v>18958</v>
      </c>
      <c r="N7104" t="s">
        <v>24023</v>
      </c>
      <c r="O7104" t="s">
        <v>26524</v>
      </c>
      <c r="P7104" t="s">
        <v>26563</v>
      </c>
      <c r="R7104" t="s">
        <v>26585</v>
      </c>
      <c r="S7104" t="s">
        <v>18959</v>
      </c>
      <c r="U7104" t="s">
        <v>26604</v>
      </c>
      <c r="W7104" t="s">
        <v>795</v>
      </c>
      <c r="X7104">
        <v>1500</v>
      </c>
      <c r="Y7104" t="s">
        <v>26653</v>
      </c>
      <c r="Z7104" t="s">
        <v>26664</v>
      </c>
      <c r="AB7104" t="s">
        <v>32056</v>
      </c>
      <c r="AD7104" t="s">
        <v>42380</v>
      </c>
      <c r="AE7104">
        <v>1</v>
      </c>
      <c r="AF7104" t="s">
        <v>20460</v>
      </c>
      <c r="AG7104" t="s">
        <v>19330</v>
      </c>
      <c r="AH7104">
        <v>5</v>
      </c>
      <c r="AI7104">
        <v>2</v>
      </c>
      <c r="AJ7104">
        <v>1</v>
      </c>
      <c r="AK7104">
        <v>164.09</v>
      </c>
      <c r="AN7104" t="s">
        <v>45581</v>
      </c>
      <c r="AO7104">
        <v>35000</v>
      </c>
      <c r="AU7104">
        <v>0.3</v>
      </c>
      <c r="AV7104" t="s">
        <v>795</v>
      </c>
      <c r="AW7104" t="s">
        <v>208</v>
      </c>
    </row>
    <row r="7105" spans="1:50">
      <c r="A7105" s="1">
        <f>HYPERLINK("https://lsnyc.legalserver.org/matter/dynamic-profile/view/1895779","19-1895779")</f>
        <v>0</v>
      </c>
      <c r="B7105" t="s">
        <v>221</v>
      </c>
      <c r="C7105" t="s">
        <v>340</v>
      </c>
      <c r="D7105" t="s">
        <v>795</v>
      </c>
      <c r="F7105" t="s">
        <v>1548</v>
      </c>
      <c r="G7105" t="s">
        <v>5447</v>
      </c>
      <c r="H7105" t="s">
        <v>11184</v>
      </c>
      <c r="I7105">
        <v>402</v>
      </c>
      <c r="J7105" t="s">
        <v>18901</v>
      </c>
      <c r="K7105">
        <v>11433</v>
      </c>
      <c r="L7105" t="s">
        <v>18958</v>
      </c>
      <c r="M7105" t="s">
        <v>18958</v>
      </c>
      <c r="N7105" t="s">
        <v>24024</v>
      </c>
      <c r="O7105" t="s">
        <v>26523</v>
      </c>
      <c r="P7105" t="s">
        <v>26560</v>
      </c>
      <c r="R7105" t="s">
        <v>26585</v>
      </c>
      <c r="S7105" t="s">
        <v>18959</v>
      </c>
      <c r="U7105" t="s">
        <v>26604</v>
      </c>
      <c r="W7105" t="s">
        <v>795</v>
      </c>
      <c r="X7105">
        <v>1733</v>
      </c>
      <c r="Y7105" t="s">
        <v>26653</v>
      </c>
      <c r="Z7105" t="s">
        <v>26664</v>
      </c>
      <c r="AB7105" t="s">
        <v>32057</v>
      </c>
      <c r="AC7105" t="s">
        <v>36265</v>
      </c>
      <c r="AD7105" t="s">
        <v>42381</v>
      </c>
      <c r="AE7105">
        <v>0</v>
      </c>
      <c r="AF7105" t="s">
        <v>20460</v>
      </c>
      <c r="AG7105" t="s">
        <v>45556</v>
      </c>
      <c r="AH7105">
        <v>11</v>
      </c>
      <c r="AI7105">
        <v>2</v>
      </c>
      <c r="AJ7105">
        <v>3</v>
      </c>
      <c r="AK7105">
        <v>138.93</v>
      </c>
      <c r="AN7105" t="s">
        <v>7439</v>
      </c>
      <c r="AO7105">
        <v>41916</v>
      </c>
      <c r="AU7105">
        <v>21.2</v>
      </c>
      <c r="AV7105" t="s">
        <v>773</v>
      </c>
      <c r="AW7105" t="s">
        <v>208</v>
      </c>
    </row>
    <row r="7106" spans="1:50">
      <c r="A7106" s="1">
        <f>HYPERLINK("https://lsnyc.legalserver.org/matter/dynamic-profile/view/1896008","19-1896008")</f>
        <v>0</v>
      </c>
      <c r="B7106" t="s">
        <v>107</v>
      </c>
      <c r="C7106" t="s">
        <v>340</v>
      </c>
      <c r="D7106" t="s">
        <v>791</v>
      </c>
      <c r="F7106" t="s">
        <v>3859</v>
      </c>
      <c r="G7106" t="s">
        <v>1993</v>
      </c>
      <c r="H7106" t="s">
        <v>11179</v>
      </c>
      <c r="I7106" t="s">
        <v>18155</v>
      </c>
      <c r="J7106" t="s">
        <v>18906</v>
      </c>
      <c r="K7106">
        <v>11373</v>
      </c>
      <c r="L7106" t="s">
        <v>18958</v>
      </c>
      <c r="M7106" t="s">
        <v>18958</v>
      </c>
      <c r="N7106" t="s">
        <v>24025</v>
      </c>
      <c r="O7106" t="s">
        <v>26523</v>
      </c>
      <c r="P7106" t="s">
        <v>26560</v>
      </c>
      <c r="R7106" t="s">
        <v>26585</v>
      </c>
      <c r="S7106" t="s">
        <v>18959</v>
      </c>
      <c r="U7106" t="s">
        <v>26604</v>
      </c>
      <c r="V7106" t="s">
        <v>26610</v>
      </c>
      <c r="W7106" t="s">
        <v>795</v>
      </c>
      <c r="X7106">
        <v>1049.33</v>
      </c>
      <c r="Y7106" t="s">
        <v>26653</v>
      </c>
      <c r="Z7106" t="s">
        <v>26664</v>
      </c>
      <c r="AB7106" t="s">
        <v>31446</v>
      </c>
      <c r="AC7106" t="s">
        <v>19045</v>
      </c>
      <c r="AD7106" t="s">
        <v>42382</v>
      </c>
      <c r="AE7106">
        <v>0</v>
      </c>
      <c r="AF7106" t="s">
        <v>45541</v>
      </c>
      <c r="AG7106" t="s">
        <v>19330</v>
      </c>
      <c r="AH7106">
        <v>10</v>
      </c>
      <c r="AI7106">
        <v>3</v>
      </c>
      <c r="AJ7106">
        <v>0</v>
      </c>
      <c r="AK7106">
        <v>73.14</v>
      </c>
      <c r="AN7106" t="s">
        <v>7439</v>
      </c>
      <c r="AO7106">
        <v>15600</v>
      </c>
      <c r="AU7106">
        <v>10</v>
      </c>
      <c r="AV7106" t="s">
        <v>835</v>
      </c>
      <c r="AW7106" t="s">
        <v>107</v>
      </c>
    </row>
    <row r="7107" spans="1:50">
      <c r="A7107" s="1">
        <f>HYPERLINK("https://lsnyc.legalserver.org/matter/dynamic-profile/view/1895964","19-1895964")</f>
        <v>0</v>
      </c>
      <c r="B7107" t="s">
        <v>202</v>
      </c>
      <c r="C7107" t="s">
        <v>340</v>
      </c>
      <c r="D7107" t="s">
        <v>791</v>
      </c>
      <c r="F7107" t="s">
        <v>3860</v>
      </c>
      <c r="G7107" t="s">
        <v>7174</v>
      </c>
      <c r="H7107" t="s">
        <v>14561</v>
      </c>
      <c r="I7107" t="s">
        <v>18432</v>
      </c>
      <c r="J7107" t="s">
        <v>18894</v>
      </c>
      <c r="K7107">
        <v>11213</v>
      </c>
      <c r="L7107" t="s">
        <v>18958</v>
      </c>
      <c r="M7107" t="s">
        <v>18960</v>
      </c>
      <c r="N7107" t="s">
        <v>24026</v>
      </c>
      <c r="O7107" t="s">
        <v>26523</v>
      </c>
      <c r="P7107" t="s">
        <v>26560</v>
      </c>
      <c r="R7107" t="s">
        <v>26586</v>
      </c>
      <c r="S7107" t="s">
        <v>18959</v>
      </c>
      <c r="U7107" t="s">
        <v>26604</v>
      </c>
      <c r="V7107" t="s">
        <v>26610</v>
      </c>
      <c r="W7107" t="s">
        <v>795</v>
      </c>
      <c r="X7107">
        <v>1800</v>
      </c>
      <c r="Y7107" t="s">
        <v>26652</v>
      </c>
      <c r="Z7107" t="s">
        <v>26664</v>
      </c>
      <c r="AB7107" t="s">
        <v>32058</v>
      </c>
      <c r="AD7107" t="s">
        <v>42383</v>
      </c>
      <c r="AE7107">
        <v>40</v>
      </c>
      <c r="AF7107" t="s">
        <v>45541</v>
      </c>
      <c r="AG7107" t="s">
        <v>19330</v>
      </c>
      <c r="AH7107">
        <v>2</v>
      </c>
      <c r="AI7107">
        <v>1</v>
      </c>
      <c r="AJ7107">
        <v>0</v>
      </c>
      <c r="AK7107">
        <v>20.82</v>
      </c>
      <c r="AN7107" t="s">
        <v>7439</v>
      </c>
      <c r="AO7107">
        <v>2600</v>
      </c>
      <c r="AU7107">
        <v>12.2</v>
      </c>
      <c r="AV7107" t="s">
        <v>807</v>
      </c>
      <c r="AW7107" t="s">
        <v>46856</v>
      </c>
      <c r="AX7107" t="s">
        <v>46897</v>
      </c>
    </row>
    <row r="7108" spans="1:50">
      <c r="A7108" s="1">
        <f>HYPERLINK("https://lsnyc.legalserver.org/matter/dynamic-profile/view/1896004","19-1896004")</f>
        <v>0</v>
      </c>
      <c r="B7108" t="s">
        <v>117</v>
      </c>
      <c r="C7108" t="s">
        <v>340</v>
      </c>
      <c r="D7108" t="s">
        <v>791</v>
      </c>
      <c r="F7108" t="s">
        <v>2156</v>
      </c>
      <c r="G7108" t="s">
        <v>8209</v>
      </c>
      <c r="H7108" t="s">
        <v>10025</v>
      </c>
      <c r="I7108" t="s">
        <v>17319</v>
      </c>
      <c r="J7108" t="s">
        <v>18894</v>
      </c>
      <c r="K7108">
        <v>11208</v>
      </c>
      <c r="L7108" t="s">
        <v>18958</v>
      </c>
      <c r="M7108" t="s">
        <v>18958</v>
      </c>
      <c r="N7108" t="s">
        <v>24027</v>
      </c>
      <c r="O7108" t="s">
        <v>26523</v>
      </c>
      <c r="P7108" t="s">
        <v>26560</v>
      </c>
      <c r="R7108" t="s">
        <v>26578</v>
      </c>
      <c r="S7108" t="s">
        <v>18959</v>
      </c>
      <c r="U7108" t="s">
        <v>26604</v>
      </c>
      <c r="V7108" t="s">
        <v>26612</v>
      </c>
      <c r="W7108" t="s">
        <v>795</v>
      </c>
      <c r="X7108">
        <v>150</v>
      </c>
      <c r="Y7108" t="s">
        <v>26652</v>
      </c>
      <c r="Z7108" t="s">
        <v>26664</v>
      </c>
      <c r="AB7108" t="s">
        <v>32059</v>
      </c>
      <c r="AC7108" t="s">
        <v>36266</v>
      </c>
      <c r="AD7108" t="s">
        <v>42384</v>
      </c>
      <c r="AE7108">
        <v>6</v>
      </c>
      <c r="AF7108" t="s">
        <v>45541</v>
      </c>
      <c r="AG7108" t="s">
        <v>19330</v>
      </c>
      <c r="AH7108">
        <v>5</v>
      </c>
      <c r="AI7108">
        <v>1</v>
      </c>
      <c r="AJ7108">
        <v>0</v>
      </c>
      <c r="AK7108">
        <v>17.07</v>
      </c>
      <c r="AN7108" t="s">
        <v>7439</v>
      </c>
      <c r="AO7108">
        <v>2132</v>
      </c>
      <c r="AU7108">
        <v>12.4</v>
      </c>
      <c r="AV7108" t="s">
        <v>828</v>
      </c>
      <c r="AW7108" t="s">
        <v>46856</v>
      </c>
      <c r="AX7108" t="s">
        <v>46897</v>
      </c>
    </row>
    <row r="7109" spans="1:50">
      <c r="A7109" s="1">
        <f>HYPERLINK("https://lsnyc.legalserver.org/matter/dynamic-profile/view/1896015","19-1896015")</f>
        <v>0</v>
      </c>
      <c r="B7109" t="s">
        <v>91</v>
      </c>
      <c r="C7109" t="s">
        <v>340</v>
      </c>
      <c r="D7109" t="s">
        <v>791</v>
      </c>
      <c r="F7109" t="s">
        <v>3861</v>
      </c>
      <c r="G7109" t="s">
        <v>8210</v>
      </c>
      <c r="H7109" t="s">
        <v>14562</v>
      </c>
      <c r="I7109" t="s">
        <v>17416</v>
      </c>
      <c r="J7109" t="s">
        <v>18901</v>
      </c>
      <c r="K7109">
        <v>11433</v>
      </c>
      <c r="L7109" t="s">
        <v>18958</v>
      </c>
      <c r="M7109" t="s">
        <v>18958</v>
      </c>
      <c r="N7109" t="s">
        <v>24028</v>
      </c>
      <c r="O7109" t="s">
        <v>26546</v>
      </c>
      <c r="P7109" t="s">
        <v>26560</v>
      </c>
      <c r="R7109" t="s">
        <v>26584</v>
      </c>
      <c r="S7109" t="s">
        <v>18959</v>
      </c>
      <c r="U7109" t="s">
        <v>26604</v>
      </c>
      <c r="V7109" t="s">
        <v>26610</v>
      </c>
      <c r="W7109" t="s">
        <v>795</v>
      </c>
      <c r="X7109">
        <v>2300</v>
      </c>
      <c r="Y7109" t="s">
        <v>26653</v>
      </c>
      <c r="Z7109" t="s">
        <v>26664</v>
      </c>
      <c r="AB7109" t="s">
        <v>27255</v>
      </c>
      <c r="AD7109" t="s">
        <v>42385</v>
      </c>
      <c r="AE7109">
        <v>0</v>
      </c>
      <c r="AF7109" t="s">
        <v>45547</v>
      </c>
      <c r="AG7109" t="s">
        <v>45556</v>
      </c>
      <c r="AH7109">
        <v>1</v>
      </c>
      <c r="AI7109">
        <v>2</v>
      </c>
      <c r="AJ7109">
        <v>4</v>
      </c>
      <c r="AK7109">
        <v>0</v>
      </c>
      <c r="AN7109" t="s">
        <v>7439</v>
      </c>
      <c r="AO7109">
        <v>0</v>
      </c>
      <c r="AU7109">
        <v>11.65</v>
      </c>
      <c r="AV7109" t="s">
        <v>835</v>
      </c>
      <c r="AW7109" t="s">
        <v>107</v>
      </c>
    </row>
    <row r="7110" spans="1:50">
      <c r="A7110" s="1">
        <f>HYPERLINK("https://lsnyc.legalserver.org/matter/dynamic-profile/view/1896039","19-1896039")</f>
        <v>0</v>
      </c>
      <c r="B7110" t="s">
        <v>107</v>
      </c>
      <c r="C7110" t="s">
        <v>340</v>
      </c>
      <c r="D7110" t="s">
        <v>800</v>
      </c>
      <c r="F7110" t="s">
        <v>3862</v>
      </c>
      <c r="G7110" t="s">
        <v>8211</v>
      </c>
      <c r="H7110" t="s">
        <v>11184</v>
      </c>
      <c r="I7110">
        <v>213</v>
      </c>
      <c r="J7110" t="s">
        <v>18901</v>
      </c>
      <c r="K7110">
        <v>11433</v>
      </c>
      <c r="L7110" t="s">
        <v>18958</v>
      </c>
      <c r="M7110" t="s">
        <v>18958</v>
      </c>
      <c r="N7110" t="s">
        <v>24029</v>
      </c>
      <c r="O7110" t="s">
        <v>26523</v>
      </c>
      <c r="P7110" t="s">
        <v>26560</v>
      </c>
      <c r="R7110" t="s">
        <v>26585</v>
      </c>
      <c r="S7110" t="s">
        <v>18959</v>
      </c>
      <c r="U7110" t="s">
        <v>26604</v>
      </c>
      <c r="V7110" t="s">
        <v>26610</v>
      </c>
      <c r="W7110" t="s">
        <v>795</v>
      </c>
      <c r="X7110">
        <v>688.21</v>
      </c>
      <c r="Y7110" t="s">
        <v>26653</v>
      </c>
      <c r="Z7110" t="s">
        <v>26664</v>
      </c>
      <c r="AB7110" t="s">
        <v>32060</v>
      </c>
      <c r="AC7110" t="s">
        <v>19045</v>
      </c>
      <c r="AE7110">
        <v>54</v>
      </c>
      <c r="AF7110" t="s">
        <v>45552</v>
      </c>
      <c r="AG7110" t="s">
        <v>26530</v>
      </c>
      <c r="AH7110">
        <v>2</v>
      </c>
      <c r="AI7110">
        <v>1</v>
      </c>
      <c r="AJ7110">
        <v>2</v>
      </c>
      <c r="AK7110">
        <v>91.91</v>
      </c>
      <c r="AN7110" t="s">
        <v>7439</v>
      </c>
      <c r="AO7110">
        <v>19604</v>
      </c>
      <c r="AQ7110" t="s">
        <v>46359</v>
      </c>
      <c r="AR7110" t="s">
        <v>46379</v>
      </c>
      <c r="AS7110" t="s">
        <v>46499</v>
      </c>
      <c r="AT7110" t="s">
        <v>46631</v>
      </c>
      <c r="AU7110">
        <v>1.5</v>
      </c>
      <c r="AV7110" t="s">
        <v>830</v>
      </c>
      <c r="AW7110" t="s">
        <v>107</v>
      </c>
      <c r="AX7110" t="s">
        <v>46897</v>
      </c>
    </row>
    <row r="7111" spans="1:50">
      <c r="A7111" s="1">
        <f>HYPERLINK("https://lsnyc.legalserver.org/matter/dynamic-profile/view/1896730","19-1896730")</f>
        <v>0</v>
      </c>
      <c r="B7111" t="s">
        <v>116</v>
      </c>
      <c r="C7111" t="s">
        <v>340</v>
      </c>
      <c r="D7111" t="s">
        <v>671</v>
      </c>
      <c r="F7111" t="s">
        <v>1001</v>
      </c>
      <c r="G7111" t="s">
        <v>5147</v>
      </c>
      <c r="H7111" t="s">
        <v>9761</v>
      </c>
      <c r="I7111" t="s">
        <v>17322</v>
      </c>
      <c r="J7111" t="s">
        <v>18894</v>
      </c>
      <c r="K7111">
        <v>11206</v>
      </c>
      <c r="L7111" t="s">
        <v>18958</v>
      </c>
      <c r="M7111" t="s">
        <v>18958</v>
      </c>
      <c r="N7111" t="s">
        <v>24030</v>
      </c>
      <c r="O7111" t="s">
        <v>26523</v>
      </c>
      <c r="P7111" t="s">
        <v>26560</v>
      </c>
      <c r="R7111" t="s">
        <v>26578</v>
      </c>
      <c r="S7111" t="s">
        <v>18959</v>
      </c>
      <c r="U7111" t="s">
        <v>26604</v>
      </c>
      <c r="V7111" t="s">
        <v>26610</v>
      </c>
      <c r="W7111" t="s">
        <v>795</v>
      </c>
      <c r="X7111">
        <v>1245</v>
      </c>
      <c r="Y7111" t="s">
        <v>26652</v>
      </c>
      <c r="Z7111" t="s">
        <v>26659</v>
      </c>
      <c r="AB7111" t="s">
        <v>26844</v>
      </c>
      <c r="AC7111" t="s">
        <v>34525</v>
      </c>
      <c r="AE7111">
        <v>8</v>
      </c>
      <c r="AF7111" t="s">
        <v>45541</v>
      </c>
      <c r="AH7111">
        <v>2</v>
      </c>
      <c r="AI7111">
        <v>2</v>
      </c>
      <c r="AJ7111">
        <v>0</v>
      </c>
      <c r="AK7111">
        <v>1.27</v>
      </c>
      <c r="AN7111" t="s">
        <v>7439</v>
      </c>
      <c r="AO7111">
        <v>215</v>
      </c>
      <c r="AP7111" t="s">
        <v>46036</v>
      </c>
      <c r="AU7111">
        <v>27.7</v>
      </c>
      <c r="AV7111" t="s">
        <v>839</v>
      </c>
      <c r="AW7111" t="s">
        <v>116</v>
      </c>
      <c r="AX7111" t="s">
        <v>46897</v>
      </c>
    </row>
    <row r="7112" spans="1:50">
      <c r="A7112" s="1">
        <f>HYPERLINK("https://lsnyc.legalserver.org/matter/dynamic-profile/view/1893787","19-1893787")</f>
        <v>0</v>
      </c>
      <c r="B7112" t="s">
        <v>225</v>
      </c>
      <c r="C7112" t="s">
        <v>341</v>
      </c>
      <c r="D7112" t="s">
        <v>660</v>
      </c>
      <c r="E7112" t="s">
        <v>801</v>
      </c>
      <c r="F7112" t="s">
        <v>2787</v>
      </c>
      <c r="G7112" t="s">
        <v>8212</v>
      </c>
      <c r="H7112" t="s">
        <v>14563</v>
      </c>
      <c r="I7112">
        <v>6</v>
      </c>
      <c r="J7112" t="s">
        <v>18893</v>
      </c>
      <c r="K7112">
        <v>10029</v>
      </c>
      <c r="L7112" t="s">
        <v>18958</v>
      </c>
      <c r="M7112" t="s">
        <v>18958</v>
      </c>
      <c r="O7112" t="s">
        <v>26531</v>
      </c>
      <c r="P7112" t="s">
        <v>26565</v>
      </c>
      <c r="Q7112" t="s">
        <v>26570</v>
      </c>
      <c r="R7112" t="s">
        <v>26578</v>
      </c>
      <c r="S7112" t="s">
        <v>18959</v>
      </c>
      <c r="U7112" t="s">
        <v>26604</v>
      </c>
      <c r="V7112" t="s">
        <v>26610</v>
      </c>
      <c r="W7112" t="s">
        <v>791</v>
      </c>
      <c r="X7112">
        <v>1200</v>
      </c>
      <c r="Y7112" t="s">
        <v>26651</v>
      </c>
      <c r="Z7112" t="s">
        <v>26657</v>
      </c>
      <c r="AA7112" t="s">
        <v>26683</v>
      </c>
      <c r="AB7112" t="s">
        <v>32061</v>
      </c>
      <c r="AE7112">
        <v>12</v>
      </c>
      <c r="AF7112" t="s">
        <v>45541</v>
      </c>
      <c r="AG7112" t="s">
        <v>19330</v>
      </c>
      <c r="AH7112">
        <v>19</v>
      </c>
      <c r="AI7112">
        <v>1</v>
      </c>
      <c r="AJ7112">
        <v>0</v>
      </c>
      <c r="AK7112">
        <v>0</v>
      </c>
      <c r="AN7112" t="s">
        <v>7439</v>
      </c>
      <c r="AO7112">
        <v>0</v>
      </c>
      <c r="AU7112">
        <v>5.6</v>
      </c>
      <c r="AV7112" t="s">
        <v>766</v>
      </c>
      <c r="AW7112" t="s">
        <v>46842</v>
      </c>
    </row>
    <row r="7113" spans="1:50">
      <c r="A7113" s="1">
        <f>HYPERLINK("https://lsnyc.legalserver.org/matter/dynamic-profile/view/1894530","19-1894530")</f>
        <v>0</v>
      </c>
      <c r="B7113" t="s">
        <v>225</v>
      </c>
      <c r="C7113" t="s">
        <v>340</v>
      </c>
      <c r="D7113" t="s">
        <v>777</v>
      </c>
      <c r="F7113" t="s">
        <v>1153</v>
      </c>
      <c r="G7113" t="s">
        <v>5100</v>
      </c>
      <c r="H7113" t="s">
        <v>11848</v>
      </c>
      <c r="I7113" t="s">
        <v>18229</v>
      </c>
      <c r="J7113" t="s">
        <v>18893</v>
      </c>
      <c r="K7113">
        <v>10035</v>
      </c>
      <c r="L7113" t="s">
        <v>18958</v>
      </c>
      <c r="M7113" t="s">
        <v>18958</v>
      </c>
      <c r="N7113" t="s">
        <v>24031</v>
      </c>
      <c r="O7113" t="s">
        <v>26523</v>
      </c>
      <c r="P7113" t="s">
        <v>26560</v>
      </c>
      <c r="R7113" t="s">
        <v>26578</v>
      </c>
      <c r="S7113" t="s">
        <v>18959</v>
      </c>
      <c r="U7113" t="s">
        <v>26604</v>
      </c>
      <c r="V7113" t="s">
        <v>26612</v>
      </c>
      <c r="W7113" t="s">
        <v>791</v>
      </c>
      <c r="X7113">
        <v>1027</v>
      </c>
      <c r="Y7113" t="s">
        <v>26651</v>
      </c>
      <c r="Z7113" t="s">
        <v>26660</v>
      </c>
      <c r="AB7113" t="s">
        <v>32062</v>
      </c>
      <c r="AD7113" t="s">
        <v>42386</v>
      </c>
      <c r="AE7113">
        <v>255</v>
      </c>
      <c r="AF7113" t="s">
        <v>45543</v>
      </c>
      <c r="AG7113" t="s">
        <v>45556</v>
      </c>
      <c r="AH7113">
        <v>27</v>
      </c>
      <c r="AI7113">
        <v>1</v>
      </c>
      <c r="AJ7113">
        <v>0</v>
      </c>
      <c r="AK7113">
        <v>376.12</v>
      </c>
      <c r="AL7113" t="s">
        <v>820</v>
      </c>
      <c r="AM7113" t="s">
        <v>45575</v>
      </c>
      <c r="AN7113" t="s">
        <v>7439</v>
      </c>
      <c r="AO7113">
        <v>46977</v>
      </c>
      <c r="AU7113">
        <v>8.75</v>
      </c>
      <c r="AV7113" t="s">
        <v>830</v>
      </c>
      <c r="AW7113" t="s">
        <v>46859</v>
      </c>
    </row>
    <row r="7114" spans="1:50">
      <c r="A7114" s="1">
        <f>HYPERLINK("https://lsnyc.legalserver.org/matter/dynamic-profile/view/1895895","19-1895895")</f>
        <v>0</v>
      </c>
      <c r="B7114" t="s">
        <v>113</v>
      </c>
      <c r="C7114" t="s">
        <v>341</v>
      </c>
      <c r="D7114" t="s">
        <v>791</v>
      </c>
      <c r="E7114" t="s">
        <v>797</v>
      </c>
      <c r="F7114" t="s">
        <v>1279</v>
      </c>
      <c r="G7114" t="s">
        <v>8213</v>
      </c>
      <c r="H7114" t="s">
        <v>14564</v>
      </c>
      <c r="J7114" t="s">
        <v>18892</v>
      </c>
      <c r="K7114">
        <v>10456</v>
      </c>
      <c r="L7114" t="s">
        <v>18958</v>
      </c>
      <c r="M7114" t="s">
        <v>18958</v>
      </c>
      <c r="O7114" t="s">
        <v>18997</v>
      </c>
      <c r="P7114" t="s">
        <v>26564</v>
      </c>
      <c r="Q7114" t="s">
        <v>26570</v>
      </c>
      <c r="R7114" t="s">
        <v>26578</v>
      </c>
      <c r="S7114" t="s">
        <v>18959</v>
      </c>
      <c r="U7114" t="s">
        <v>26604</v>
      </c>
      <c r="W7114" t="s">
        <v>791</v>
      </c>
      <c r="X7114">
        <v>0</v>
      </c>
      <c r="Y7114" t="s">
        <v>26650</v>
      </c>
      <c r="Z7114" t="s">
        <v>26661</v>
      </c>
      <c r="AA7114" t="s">
        <v>26683</v>
      </c>
      <c r="AB7114" t="s">
        <v>31437</v>
      </c>
      <c r="AD7114" t="s">
        <v>42387</v>
      </c>
      <c r="AE7114">
        <v>0</v>
      </c>
      <c r="AF7114" t="s">
        <v>45545</v>
      </c>
      <c r="AH7114">
        <v>0</v>
      </c>
      <c r="AI7114">
        <v>1</v>
      </c>
      <c r="AJ7114">
        <v>0</v>
      </c>
      <c r="AK7114">
        <v>79.26000000000001</v>
      </c>
      <c r="AN7114" t="s">
        <v>7439</v>
      </c>
      <c r="AO7114">
        <v>9900</v>
      </c>
      <c r="AU7114">
        <v>0.5</v>
      </c>
      <c r="AV7114" t="s">
        <v>791</v>
      </c>
      <c r="AW7114" t="s">
        <v>113</v>
      </c>
      <c r="AX7114" t="s">
        <v>46897</v>
      </c>
    </row>
    <row r="7115" spans="1:50">
      <c r="A7115" s="1">
        <f>HYPERLINK("https://lsnyc.legalserver.org/matter/dynamic-profile/view/1895910","19-1895910")</f>
        <v>0</v>
      </c>
      <c r="B7115" t="s">
        <v>55</v>
      </c>
      <c r="C7115" t="s">
        <v>341</v>
      </c>
      <c r="D7115" t="s">
        <v>791</v>
      </c>
      <c r="E7115" t="s">
        <v>833</v>
      </c>
      <c r="F7115" t="s">
        <v>941</v>
      </c>
      <c r="G7115" t="s">
        <v>1725</v>
      </c>
      <c r="H7115" t="s">
        <v>11653</v>
      </c>
      <c r="J7115" t="s">
        <v>18892</v>
      </c>
      <c r="K7115">
        <v>10467</v>
      </c>
      <c r="L7115" t="s">
        <v>18958</v>
      </c>
      <c r="M7115" t="s">
        <v>18960</v>
      </c>
      <c r="N7115" t="s">
        <v>18993</v>
      </c>
      <c r="O7115" t="s">
        <v>18997</v>
      </c>
      <c r="P7115" t="s">
        <v>26564</v>
      </c>
      <c r="Q7115" t="s">
        <v>26570</v>
      </c>
      <c r="R7115" t="s">
        <v>26578</v>
      </c>
      <c r="S7115" t="s">
        <v>18959</v>
      </c>
      <c r="U7115" t="s">
        <v>26604</v>
      </c>
      <c r="V7115" t="s">
        <v>26610</v>
      </c>
      <c r="W7115" t="s">
        <v>791</v>
      </c>
      <c r="X7115">
        <v>0</v>
      </c>
      <c r="Y7115" t="s">
        <v>26650</v>
      </c>
      <c r="Z7115" t="s">
        <v>26663</v>
      </c>
      <c r="AA7115" t="s">
        <v>26678</v>
      </c>
      <c r="AB7115" t="s">
        <v>32063</v>
      </c>
      <c r="AD7115" t="s">
        <v>42388</v>
      </c>
      <c r="AE7115">
        <v>74</v>
      </c>
      <c r="AF7115" t="s">
        <v>20460</v>
      </c>
      <c r="AG7115" t="s">
        <v>19330</v>
      </c>
      <c r="AH7115">
        <v>6</v>
      </c>
      <c r="AI7115">
        <v>2</v>
      </c>
      <c r="AJ7115">
        <v>0</v>
      </c>
      <c r="AK7115">
        <v>0</v>
      </c>
      <c r="AN7115" t="s">
        <v>45581</v>
      </c>
      <c r="AO7115">
        <v>0</v>
      </c>
      <c r="AT7115" t="s">
        <v>46744</v>
      </c>
      <c r="AU7115">
        <v>0.7</v>
      </c>
      <c r="AV7115" t="s">
        <v>763</v>
      </c>
      <c r="AW7115" t="s">
        <v>55</v>
      </c>
      <c r="AX7115" t="s">
        <v>46897</v>
      </c>
    </row>
    <row r="7116" spans="1:50">
      <c r="A7116" s="1">
        <f>HYPERLINK("https://lsnyc.legalserver.org/matter/dynamic-profile/view/1895996","19-1895996")</f>
        <v>0</v>
      </c>
      <c r="B7116" t="s">
        <v>55</v>
      </c>
      <c r="C7116" t="s">
        <v>341</v>
      </c>
      <c r="D7116" t="s">
        <v>791</v>
      </c>
      <c r="E7116" t="s">
        <v>833</v>
      </c>
      <c r="F7116" t="s">
        <v>1233</v>
      </c>
      <c r="G7116" t="s">
        <v>5143</v>
      </c>
      <c r="H7116" t="s">
        <v>14565</v>
      </c>
      <c r="I7116" t="s">
        <v>17360</v>
      </c>
      <c r="J7116" t="s">
        <v>18892</v>
      </c>
      <c r="K7116">
        <v>10451</v>
      </c>
      <c r="L7116" t="s">
        <v>18958</v>
      </c>
      <c r="M7116" t="s">
        <v>18960</v>
      </c>
      <c r="N7116" t="s">
        <v>18993</v>
      </c>
      <c r="O7116" t="s">
        <v>26536</v>
      </c>
      <c r="P7116" t="s">
        <v>26564</v>
      </c>
      <c r="Q7116" t="s">
        <v>26570</v>
      </c>
      <c r="R7116" t="s">
        <v>26578</v>
      </c>
      <c r="S7116" t="s">
        <v>18959</v>
      </c>
      <c r="U7116" t="s">
        <v>26606</v>
      </c>
      <c r="V7116" t="s">
        <v>26610</v>
      </c>
      <c r="W7116" t="s">
        <v>791</v>
      </c>
      <c r="X7116">
        <v>449</v>
      </c>
      <c r="Y7116" t="s">
        <v>26650</v>
      </c>
      <c r="Z7116" t="s">
        <v>26663</v>
      </c>
      <c r="AA7116" t="s">
        <v>26684</v>
      </c>
      <c r="AB7116" t="s">
        <v>31664</v>
      </c>
      <c r="AD7116" t="s">
        <v>42389</v>
      </c>
      <c r="AE7116">
        <v>160</v>
      </c>
      <c r="AF7116" t="s">
        <v>45542</v>
      </c>
      <c r="AG7116" t="s">
        <v>45563</v>
      </c>
      <c r="AH7116">
        <v>10</v>
      </c>
      <c r="AI7116">
        <v>3</v>
      </c>
      <c r="AJ7116">
        <v>0</v>
      </c>
      <c r="AK7116">
        <v>37.64</v>
      </c>
      <c r="AN7116" t="s">
        <v>45581</v>
      </c>
      <c r="AO7116">
        <v>8028</v>
      </c>
      <c r="AT7116" t="s">
        <v>46744</v>
      </c>
      <c r="AU7116">
        <v>1</v>
      </c>
      <c r="AV7116" t="s">
        <v>791</v>
      </c>
      <c r="AW7116" t="s">
        <v>55</v>
      </c>
      <c r="AX7116" t="s">
        <v>46897</v>
      </c>
    </row>
    <row r="7117" spans="1:50">
      <c r="A7117" s="1">
        <f>HYPERLINK("https://lsnyc.legalserver.org/matter/dynamic-profile/view/1895967","19-1895967")</f>
        <v>0</v>
      </c>
      <c r="B7117" t="s">
        <v>55</v>
      </c>
      <c r="C7117" t="s">
        <v>341</v>
      </c>
      <c r="D7117" t="s">
        <v>791</v>
      </c>
      <c r="E7117" t="s">
        <v>833</v>
      </c>
      <c r="F7117" t="s">
        <v>1197</v>
      </c>
      <c r="G7117" t="s">
        <v>8214</v>
      </c>
      <c r="H7117" t="s">
        <v>11980</v>
      </c>
      <c r="J7117" t="s">
        <v>18892</v>
      </c>
      <c r="K7117">
        <v>10459</v>
      </c>
      <c r="L7117" t="s">
        <v>18958</v>
      </c>
      <c r="M7117" t="s">
        <v>18960</v>
      </c>
      <c r="N7117" t="s">
        <v>18993</v>
      </c>
      <c r="O7117" t="s">
        <v>26536</v>
      </c>
      <c r="P7117" t="s">
        <v>26564</v>
      </c>
      <c r="Q7117" t="s">
        <v>26570</v>
      </c>
      <c r="R7117" t="s">
        <v>26578</v>
      </c>
      <c r="U7117" t="s">
        <v>26606</v>
      </c>
      <c r="V7117" t="s">
        <v>26610</v>
      </c>
      <c r="W7117" t="s">
        <v>791</v>
      </c>
      <c r="X7117">
        <v>419</v>
      </c>
      <c r="Y7117" t="s">
        <v>26650</v>
      </c>
      <c r="Z7117" t="s">
        <v>26663</v>
      </c>
      <c r="AA7117" t="s">
        <v>26695</v>
      </c>
      <c r="AB7117" t="s">
        <v>32064</v>
      </c>
      <c r="AD7117" t="s">
        <v>42390</v>
      </c>
      <c r="AE7117">
        <v>48</v>
      </c>
      <c r="AF7117" t="s">
        <v>45551</v>
      </c>
      <c r="AG7117" t="s">
        <v>45563</v>
      </c>
      <c r="AH7117">
        <v>20</v>
      </c>
      <c r="AI7117">
        <v>2</v>
      </c>
      <c r="AJ7117">
        <v>1</v>
      </c>
      <c r="AK7117">
        <v>43.38</v>
      </c>
      <c r="AO7117">
        <v>9252</v>
      </c>
      <c r="AT7117" t="s">
        <v>46744</v>
      </c>
      <c r="AU7117">
        <v>1</v>
      </c>
      <c r="AV7117" t="s">
        <v>791</v>
      </c>
      <c r="AW7117" t="s">
        <v>55</v>
      </c>
      <c r="AX7117" t="s">
        <v>46897</v>
      </c>
    </row>
    <row r="7118" spans="1:50">
      <c r="A7118" s="1">
        <f>HYPERLINK("https://lsnyc.legalserver.org/matter/dynamic-profile/view/1895931","19-1895931")</f>
        <v>0</v>
      </c>
      <c r="B7118" t="s">
        <v>55</v>
      </c>
      <c r="C7118" t="s">
        <v>341</v>
      </c>
      <c r="D7118" t="s">
        <v>791</v>
      </c>
      <c r="E7118" t="s">
        <v>833</v>
      </c>
      <c r="F7118" t="s">
        <v>1884</v>
      </c>
      <c r="G7118" t="s">
        <v>5208</v>
      </c>
      <c r="H7118" t="s">
        <v>14566</v>
      </c>
      <c r="I7118" t="s">
        <v>18433</v>
      </c>
      <c r="J7118" t="s">
        <v>18892</v>
      </c>
      <c r="K7118">
        <v>10452</v>
      </c>
      <c r="L7118" t="s">
        <v>18958</v>
      </c>
      <c r="M7118" t="s">
        <v>18960</v>
      </c>
      <c r="N7118" t="s">
        <v>18993</v>
      </c>
      <c r="O7118" t="s">
        <v>26537</v>
      </c>
      <c r="P7118" t="s">
        <v>26564</v>
      </c>
      <c r="Q7118" t="s">
        <v>26570</v>
      </c>
      <c r="R7118" t="s">
        <v>26578</v>
      </c>
      <c r="S7118" t="s">
        <v>18959</v>
      </c>
      <c r="U7118" t="s">
        <v>26606</v>
      </c>
      <c r="V7118" t="s">
        <v>26610</v>
      </c>
      <c r="W7118" t="s">
        <v>791</v>
      </c>
      <c r="X7118">
        <v>1141.09</v>
      </c>
      <c r="Y7118" t="s">
        <v>26650</v>
      </c>
      <c r="Z7118" t="s">
        <v>26663</v>
      </c>
      <c r="AA7118" t="s">
        <v>26680</v>
      </c>
      <c r="AB7118" t="s">
        <v>32065</v>
      </c>
      <c r="AD7118" t="s">
        <v>42391</v>
      </c>
      <c r="AE7118">
        <v>61</v>
      </c>
      <c r="AF7118" t="s">
        <v>45541</v>
      </c>
      <c r="AG7118" t="s">
        <v>45556</v>
      </c>
      <c r="AH7118">
        <v>0</v>
      </c>
      <c r="AI7118">
        <v>1</v>
      </c>
      <c r="AJ7118">
        <v>0</v>
      </c>
      <c r="AK7118">
        <v>64.28</v>
      </c>
      <c r="AN7118" t="s">
        <v>45581</v>
      </c>
      <c r="AO7118">
        <v>8028</v>
      </c>
      <c r="AP7118" t="s">
        <v>46037</v>
      </c>
      <c r="AT7118" t="s">
        <v>46744</v>
      </c>
      <c r="AU7118">
        <v>0.5</v>
      </c>
      <c r="AV7118" t="s">
        <v>791</v>
      </c>
      <c r="AW7118" t="s">
        <v>55</v>
      </c>
      <c r="AX7118" t="s">
        <v>46897</v>
      </c>
    </row>
    <row r="7119" spans="1:50">
      <c r="A7119" s="1">
        <f>HYPERLINK("https://lsnyc.legalserver.org/matter/dynamic-profile/view/1898185","19-1898185")</f>
        <v>0</v>
      </c>
      <c r="B7119" t="s">
        <v>55</v>
      </c>
      <c r="C7119" t="s">
        <v>341</v>
      </c>
      <c r="D7119" t="s">
        <v>791</v>
      </c>
      <c r="E7119" t="s">
        <v>833</v>
      </c>
      <c r="F7119" t="s">
        <v>1489</v>
      </c>
      <c r="G7119" t="s">
        <v>8215</v>
      </c>
      <c r="J7119" t="s">
        <v>18892</v>
      </c>
      <c r="K7119">
        <v>10473</v>
      </c>
      <c r="L7119" t="s">
        <v>18958</v>
      </c>
      <c r="M7119" t="s">
        <v>18958</v>
      </c>
      <c r="O7119" t="s">
        <v>26531</v>
      </c>
      <c r="P7119" t="s">
        <v>26564</v>
      </c>
      <c r="Q7119" t="s">
        <v>26570</v>
      </c>
      <c r="R7119" t="s">
        <v>26578</v>
      </c>
      <c r="S7119" t="s">
        <v>18959</v>
      </c>
      <c r="U7119" t="s">
        <v>26604</v>
      </c>
      <c r="W7119" t="s">
        <v>791</v>
      </c>
      <c r="X7119">
        <v>556</v>
      </c>
      <c r="Y7119" t="s">
        <v>26650</v>
      </c>
      <c r="Z7119" t="s">
        <v>26667</v>
      </c>
      <c r="AA7119" t="s">
        <v>26690</v>
      </c>
      <c r="AB7119" t="s">
        <v>32066</v>
      </c>
      <c r="AD7119" t="s">
        <v>42392</v>
      </c>
      <c r="AE7119">
        <v>226</v>
      </c>
      <c r="AF7119" t="s">
        <v>45541</v>
      </c>
      <c r="AG7119" t="s">
        <v>45559</v>
      </c>
      <c r="AH7119">
        <v>25</v>
      </c>
      <c r="AI7119">
        <v>1</v>
      </c>
      <c r="AJ7119">
        <v>0</v>
      </c>
      <c r="AK7119">
        <v>113.37</v>
      </c>
      <c r="AO7119">
        <v>14160</v>
      </c>
      <c r="AT7119" t="s">
        <v>46744</v>
      </c>
      <c r="AU7119">
        <v>0.3</v>
      </c>
      <c r="AV7119" t="s">
        <v>833</v>
      </c>
      <c r="AW7119" t="s">
        <v>55</v>
      </c>
      <c r="AX7119" t="s">
        <v>46897</v>
      </c>
    </row>
    <row r="7120" spans="1:50">
      <c r="A7120" s="1">
        <f>HYPERLINK("https://lsnyc.legalserver.org/matter/dynamic-profile/view/1895930","19-1895930")</f>
        <v>0</v>
      </c>
      <c r="B7120" t="s">
        <v>258</v>
      </c>
      <c r="C7120" t="s">
        <v>341</v>
      </c>
      <c r="D7120" t="s">
        <v>791</v>
      </c>
      <c r="E7120" t="s">
        <v>824</v>
      </c>
      <c r="F7120" t="s">
        <v>1660</v>
      </c>
      <c r="G7120" t="s">
        <v>5818</v>
      </c>
      <c r="H7120" t="s">
        <v>14567</v>
      </c>
      <c r="I7120" t="s">
        <v>17328</v>
      </c>
      <c r="J7120" t="s">
        <v>18911</v>
      </c>
      <c r="K7120">
        <v>11375</v>
      </c>
      <c r="L7120" t="s">
        <v>18958</v>
      </c>
      <c r="M7120" t="s">
        <v>18958</v>
      </c>
      <c r="N7120" t="s">
        <v>24032</v>
      </c>
      <c r="O7120" t="s">
        <v>26524</v>
      </c>
      <c r="P7120" t="s">
        <v>26564</v>
      </c>
      <c r="Q7120" t="s">
        <v>26570</v>
      </c>
      <c r="R7120" t="s">
        <v>26578</v>
      </c>
      <c r="S7120" t="s">
        <v>18959</v>
      </c>
      <c r="U7120" t="s">
        <v>26604</v>
      </c>
      <c r="V7120" t="s">
        <v>26610</v>
      </c>
      <c r="W7120" t="s">
        <v>791</v>
      </c>
      <c r="X7120">
        <v>850</v>
      </c>
      <c r="Y7120" t="s">
        <v>26653</v>
      </c>
      <c r="Z7120" t="s">
        <v>26664</v>
      </c>
      <c r="AA7120" t="s">
        <v>26683</v>
      </c>
      <c r="AB7120" t="s">
        <v>32067</v>
      </c>
      <c r="AC7120" t="s">
        <v>36267</v>
      </c>
      <c r="AD7120" t="s">
        <v>42393</v>
      </c>
      <c r="AE7120">
        <v>2</v>
      </c>
      <c r="AF7120" t="s">
        <v>45547</v>
      </c>
      <c r="AG7120" t="s">
        <v>19330</v>
      </c>
      <c r="AH7120">
        <v>-1</v>
      </c>
      <c r="AI7120">
        <v>2</v>
      </c>
      <c r="AJ7120">
        <v>0</v>
      </c>
      <c r="AK7120">
        <v>55.14</v>
      </c>
      <c r="AN7120" t="s">
        <v>45595</v>
      </c>
      <c r="AO7120">
        <v>9324</v>
      </c>
      <c r="AU7120">
        <v>2</v>
      </c>
      <c r="AV7120" t="s">
        <v>822</v>
      </c>
      <c r="AW7120" t="s">
        <v>208</v>
      </c>
      <c r="AX7120" t="s">
        <v>46897</v>
      </c>
    </row>
    <row r="7121" spans="1:50">
      <c r="A7121" s="1">
        <f>HYPERLINK("https://lsnyc.legalserver.org/matter/dynamic-profile/view/1895922","19-1895922")</f>
        <v>0</v>
      </c>
      <c r="B7121" t="s">
        <v>258</v>
      </c>
      <c r="C7121" t="s">
        <v>341</v>
      </c>
      <c r="D7121" t="s">
        <v>791</v>
      </c>
      <c r="E7121" t="s">
        <v>805</v>
      </c>
      <c r="F7121" t="s">
        <v>3863</v>
      </c>
      <c r="G7121" t="s">
        <v>8216</v>
      </c>
      <c r="H7121" t="s">
        <v>14568</v>
      </c>
      <c r="I7121" t="s">
        <v>17284</v>
      </c>
      <c r="J7121" t="s">
        <v>18901</v>
      </c>
      <c r="K7121">
        <v>11435</v>
      </c>
      <c r="L7121" t="s">
        <v>18958</v>
      </c>
      <c r="M7121" t="s">
        <v>18958</v>
      </c>
      <c r="N7121" t="s">
        <v>24033</v>
      </c>
      <c r="O7121" t="s">
        <v>26523</v>
      </c>
      <c r="P7121" t="s">
        <v>26564</v>
      </c>
      <c r="Q7121" t="s">
        <v>26570</v>
      </c>
      <c r="R7121" t="s">
        <v>26584</v>
      </c>
      <c r="S7121" t="s">
        <v>18959</v>
      </c>
      <c r="U7121" t="s">
        <v>26604</v>
      </c>
      <c r="V7121" t="s">
        <v>26610</v>
      </c>
      <c r="W7121" t="s">
        <v>791</v>
      </c>
      <c r="X7121">
        <v>2250</v>
      </c>
      <c r="Y7121" t="s">
        <v>26653</v>
      </c>
      <c r="Z7121" t="s">
        <v>26664</v>
      </c>
      <c r="AA7121" t="s">
        <v>26683</v>
      </c>
      <c r="AB7121" t="s">
        <v>32068</v>
      </c>
      <c r="AC7121" t="s">
        <v>36268</v>
      </c>
      <c r="AD7121" t="s">
        <v>42394</v>
      </c>
      <c r="AE7121">
        <v>27</v>
      </c>
      <c r="AF7121" t="s">
        <v>45541</v>
      </c>
      <c r="AG7121" t="s">
        <v>19330</v>
      </c>
      <c r="AH7121">
        <v>1</v>
      </c>
      <c r="AI7121">
        <v>1</v>
      </c>
      <c r="AJ7121">
        <v>2</v>
      </c>
      <c r="AK7121">
        <v>89.08</v>
      </c>
      <c r="AN7121" t="s">
        <v>45586</v>
      </c>
      <c r="AO7121">
        <v>19000</v>
      </c>
      <c r="AU7121">
        <v>1.3</v>
      </c>
      <c r="AV7121" t="s">
        <v>803</v>
      </c>
      <c r="AW7121" t="s">
        <v>208</v>
      </c>
      <c r="AX7121" t="s">
        <v>46897</v>
      </c>
    </row>
    <row r="7122" spans="1:50">
      <c r="A7122" s="1">
        <f>HYPERLINK("https://lsnyc.legalserver.org/matter/dynamic-profile/view/1895881","19-1895881")</f>
        <v>0</v>
      </c>
      <c r="B7122" t="s">
        <v>141</v>
      </c>
      <c r="C7122" t="s">
        <v>341</v>
      </c>
      <c r="D7122" t="s">
        <v>791</v>
      </c>
      <c r="E7122" t="s">
        <v>805</v>
      </c>
      <c r="F7122" t="s">
        <v>3864</v>
      </c>
      <c r="G7122" t="s">
        <v>8217</v>
      </c>
      <c r="H7122" t="s">
        <v>14569</v>
      </c>
      <c r="I7122" t="s">
        <v>17328</v>
      </c>
      <c r="J7122" t="s">
        <v>18901</v>
      </c>
      <c r="K7122">
        <v>11435</v>
      </c>
      <c r="L7122" t="s">
        <v>18958</v>
      </c>
      <c r="M7122" t="s">
        <v>18958</v>
      </c>
      <c r="N7122" t="s">
        <v>24034</v>
      </c>
      <c r="O7122" t="s">
        <v>26523</v>
      </c>
      <c r="P7122" t="s">
        <v>26565</v>
      </c>
      <c r="Q7122" t="s">
        <v>26571</v>
      </c>
      <c r="R7122" t="s">
        <v>26578</v>
      </c>
      <c r="S7122" t="s">
        <v>18959</v>
      </c>
      <c r="U7122" t="s">
        <v>26604</v>
      </c>
      <c r="V7122" t="s">
        <v>26610</v>
      </c>
      <c r="W7122" t="s">
        <v>791</v>
      </c>
      <c r="X7122">
        <v>600</v>
      </c>
      <c r="Y7122" t="s">
        <v>26653</v>
      </c>
      <c r="Z7122" t="s">
        <v>26664</v>
      </c>
      <c r="AA7122" t="s">
        <v>26681</v>
      </c>
      <c r="AB7122" t="s">
        <v>32069</v>
      </c>
      <c r="AC7122" t="s">
        <v>34738</v>
      </c>
      <c r="AD7122" t="s">
        <v>42395</v>
      </c>
      <c r="AE7122">
        <v>3</v>
      </c>
      <c r="AF7122" t="s">
        <v>45547</v>
      </c>
      <c r="AG7122" t="s">
        <v>19330</v>
      </c>
      <c r="AH7122">
        <v>11</v>
      </c>
      <c r="AI7122">
        <v>1</v>
      </c>
      <c r="AJ7122">
        <v>0</v>
      </c>
      <c r="AK7122">
        <v>57.65</v>
      </c>
      <c r="AN7122" t="s">
        <v>7439</v>
      </c>
      <c r="AO7122">
        <v>7200</v>
      </c>
      <c r="AR7122" t="s">
        <v>26530</v>
      </c>
      <c r="AS7122" t="s">
        <v>46500</v>
      </c>
      <c r="AT7122" t="s">
        <v>46616</v>
      </c>
      <c r="AU7122">
        <v>3.35</v>
      </c>
      <c r="AV7122" t="s">
        <v>760</v>
      </c>
      <c r="AW7122" t="s">
        <v>208</v>
      </c>
      <c r="AX7122" t="s">
        <v>46897</v>
      </c>
    </row>
    <row r="7123" spans="1:50">
      <c r="A7123" s="1">
        <f>HYPERLINK("https://lsnyc.legalserver.org/matter/dynamic-profile/view/1895977","19-1895977")</f>
        <v>0</v>
      </c>
      <c r="B7123" t="s">
        <v>263</v>
      </c>
      <c r="C7123" t="s">
        <v>341</v>
      </c>
      <c r="D7123" t="s">
        <v>791</v>
      </c>
      <c r="E7123" t="s">
        <v>767</v>
      </c>
      <c r="F7123" t="s">
        <v>1457</v>
      </c>
      <c r="G7123" t="s">
        <v>2489</v>
      </c>
      <c r="H7123" t="s">
        <v>14570</v>
      </c>
      <c r="I7123" t="s">
        <v>17584</v>
      </c>
      <c r="J7123" t="s">
        <v>18892</v>
      </c>
      <c r="K7123">
        <v>10468</v>
      </c>
      <c r="L7123" t="s">
        <v>18958</v>
      </c>
      <c r="M7123" t="s">
        <v>18958</v>
      </c>
      <c r="O7123" t="s">
        <v>18997</v>
      </c>
      <c r="P7123" t="s">
        <v>26564</v>
      </c>
      <c r="Q7123" t="s">
        <v>26570</v>
      </c>
      <c r="R7123" t="s">
        <v>26578</v>
      </c>
      <c r="S7123" t="s">
        <v>18959</v>
      </c>
      <c r="U7123" t="s">
        <v>26604</v>
      </c>
      <c r="W7123" t="s">
        <v>791</v>
      </c>
      <c r="X7123">
        <v>1029</v>
      </c>
      <c r="Y7123" t="s">
        <v>26650</v>
      </c>
      <c r="Z7123" t="s">
        <v>26663</v>
      </c>
      <c r="AA7123" t="s">
        <v>26683</v>
      </c>
      <c r="AB7123" t="s">
        <v>32070</v>
      </c>
      <c r="AD7123" t="s">
        <v>34738</v>
      </c>
      <c r="AE7123">
        <v>0</v>
      </c>
      <c r="AF7123" t="s">
        <v>45541</v>
      </c>
      <c r="AG7123" t="s">
        <v>19330</v>
      </c>
      <c r="AH7123">
        <v>40</v>
      </c>
      <c r="AI7123">
        <v>1</v>
      </c>
      <c r="AJ7123">
        <v>0</v>
      </c>
      <c r="AK7123">
        <v>129.51</v>
      </c>
      <c r="AN7123" t="s">
        <v>7439</v>
      </c>
      <c r="AO7123">
        <v>16176</v>
      </c>
      <c r="AU7123">
        <v>1.25</v>
      </c>
      <c r="AV7123" t="s">
        <v>791</v>
      </c>
      <c r="AW7123" t="s">
        <v>263</v>
      </c>
    </row>
    <row r="7124" spans="1:50">
      <c r="A7124" s="1">
        <f>HYPERLINK("https://lsnyc.legalserver.org/matter/dynamic-profile/view/1895874","19-1895874")</f>
        <v>0</v>
      </c>
      <c r="B7124" t="s">
        <v>136</v>
      </c>
      <c r="C7124" t="s">
        <v>340</v>
      </c>
      <c r="D7124" t="s">
        <v>791</v>
      </c>
      <c r="F7124" t="s">
        <v>3865</v>
      </c>
      <c r="G7124" t="s">
        <v>7190</v>
      </c>
      <c r="H7124" t="s">
        <v>14571</v>
      </c>
      <c r="I7124" t="s">
        <v>17527</v>
      </c>
      <c r="J7124" t="s">
        <v>18892</v>
      </c>
      <c r="K7124">
        <v>10452</v>
      </c>
      <c r="L7124" t="s">
        <v>18958</v>
      </c>
      <c r="M7124" t="s">
        <v>18958</v>
      </c>
      <c r="N7124" t="s">
        <v>24035</v>
      </c>
      <c r="O7124" t="s">
        <v>26523</v>
      </c>
      <c r="P7124" t="s">
        <v>26560</v>
      </c>
      <c r="R7124" t="s">
        <v>26577</v>
      </c>
      <c r="S7124" t="s">
        <v>18959</v>
      </c>
      <c r="U7124" t="s">
        <v>26604</v>
      </c>
      <c r="V7124" t="s">
        <v>26612</v>
      </c>
      <c r="W7124" t="s">
        <v>791</v>
      </c>
      <c r="X7124">
        <v>1939.63</v>
      </c>
      <c r="Y7124" t="s">
        <v>26650</v>
      </c>
      <c r="Z7124" t="s">
        <v>26663</v>
      </c>
      <c r="AB7124" t="s">
        <v>32071</v>
      </c>
      <c r="AC7124" t="s">
        <v>36269</v>
      </c>
      <c r="AD7124" t="s">
        <v>42396</v>
      </c>
      <c r="AE7124">
        <v>0</v>
      </c>
      <c r="AF7124" t="s">
        <v>45541</v>
      </c>
      <c r="AH7124">
        <v>9</v>
      </c>
      <c r="AI7124">
        <v>1</v>
      </c>
      <c r="AJ7124">
        <v>5</v>
      </c>
      <c r="AK7124">
        <v>6.18</v>
      </c>
      <c r="AN7124" t="s">
        <v>7439</v>
      </c>
      <c r="AO7124">
        <v>2136</v>
      </c>
      <c r="AU7124">
        <v>18</v>
      </c>
      <c r="AV7124" t="s">
        <v>833</v>
      </c>
      <c r="AW7124" t="s">
        <v>46870</v>
      </c>
    </row>
    <row r="7125" spans="1:50">
      <c r="A7125" s="1">
        <f>HYPERLINK("https://lsnyc.legalserver.org/matter/dynamic-profile/view/1895875","19-1895875")</f>
        <v>0</v>
      </c>
      <c r="B7125" t="s">
        <v>136</v>
      </c>
      <c r="C7125" t="s">
        <v>340</v>
      </c>
      <c r="D7125" t="s">
        <v>791</v>
      </c>
      <c r="F7125" t="s">
        <v>979</v>
      </c>
      <c r="G7125" t="s">
        <v>8218</v>
      </c>
      <c r="H7125" t="s">
        <v>14572</v>
      </c>
      <c r="I7125">
        <v>14</v>
      </c>
      <c r="J7125" t="s">
        <v>18892</v>
      </c>
      <c r="K7125">
        <v>10457</v>
      </c>
      <c r="L7125" t="s">
        <v>18958</v>
      </c>
      <c r="M7125" t="s">
        <v>18958</v>
      </c>
      <c r="N7125" t="s">
        <v>24036</v>
      </c>
      <c r="O7125" t="s">
        <v>26523</v>
      </c>
      <c r="P7125" t="s">
        <v>26560</v>
      </c>
      <c r="R7125" t="s">
        <v>26579</v>
      </c>
      <c r="S7125" t="s">
        <v>18959</v>
      </c>
      <c r="U7125" t="s">
        <v>26604</v>
      </c>
      <c r="V7125" t="s">
        <v>26614</v>
      </c>
      <c r="W7125" t="s">
        <v>791</v>
      </c>
      <c r="X7125">
        <v>918</v>
      </c>
      <c r="Y7125" t="s">
        <v>26650</v>
      </c>
      <c r="Z7125" t="s">
        <v>26664</v>
      </c>
      <c r="AB7125" t="s">
        <v>28304</v>
      </c>
      <c r="AD7125" t="s">
        <v>42397</v>
      </c>
      <c r="AE7125">
        <v>17</v>
      </c>
      <c r="AF7125" t="s">
        <v>45541</v>
      </c>
      <c r="AH7125">
        <v>3</v>
      </c>
      <c r="AI7125">
        <v>3</v>
      </c>
      <c r="AJ7125">
        <v>1</v>
      </c>
      <c r="AK7125">
        <v>147.7</v>
      </c>
      <c r="AN7125" t="s">
        <v>45581</v>
      </c>
      <c r="AO7125">
        <v>38032</v>
      </c>
      <c r="AQ7125" t="s">
        <v>46365</v>
      </c>
      <c r="AR7125" t="s">
        <v>46443</v>
      </c>
      <c r="AS7125" t="s">
        <v>46499</v>
      </c>
      <c r="AT7125" t="s">
        <v>46556</v>
      </c>
      <c r="AU7125">
        <v>5</v>
      </c>
      <c r="AV7125" t="s">
        <v>800</v>
      </c>
      <c r="AW7125" t="s">
        <v>46867</v>
      </c>
    </row>
    <row r="7126" spans="1:50">
      <c r="A7126" s="1">
        <f>HYPERLINK("https://lsnyc.legalserver.org/matter/dynamic-profile/view/1895973","19-1895973")</f>
        <v>0</v>
      </c>
      <c r="B7126" t="s">
        <v>117</v>
      </c>
      <c r="C7126" t="s">
        <v>340</v>
      </c>
      <c r="D7126" t="s">
        <v>791</v>
      </c>
      <c r="F7126" t="s">
        <v>3866</v>
      </c>
      <c r="G7126" t="s">
        <v>5939</v>
      </c>
      <c r="H7126" t="s">
        <v>14573</v>
      </c>
      <c r="I7126" t="s">
        <v>17332</v>
      </c>
      <c r="J7126" t="s">
        <v>18894</v>
      </c>
      <c r="K7126">
        <v>11233</v>
      </c>
      <c r="L7126" t="s">
        <v>18958</v>
      </c>
      <c r="M7126" t="s">
        <v>18958</v>
      </c>
      <c r="N7126" t="s">
        <v>24037</v>
      </c>
      <c r="O7126" t="s">
        <v>26523</v>
      </c>
      <c r="P7126" t="s">
        <v>26560</v>
      </c>
      <c r="R7126" t="s">
        <v>26578</v>
      </c>
      <c r="U7126" t="s">
        <v>26604</v>
      </c>
      <c r="W7126" t="s">
        <v>791</v>
      </c>
      <c r="X7126">
        <v>327.05</v>
      </c>
      <c r="Y7126" t="s">
        <v>26652</v>
      </c>
      <c r="Z7126" t="s">
        <v>26664</v>
      </c>
      <c r="AB7126" t="s">
        <v>32072</v>
      </c>
      <c r="AD7126" t="s">
        <v>42398</v>
      </c>
      <c r="AE7126">
        <v>6</v>
      </c>
      <c r="AF7126" t="s">
        <v>45548</v>
      </c>
      <c r="AH7126">
        <v>44</v>
      </c>
      <c r="AI7126">
        <v>1</v>
      </c>
      <c r="AJ7126">
        <v>0</v>
      </c>
      <c r="AK7126">
        <v>144.12</v>
      </c>
      <c r="AN7126" t="s">
        <v>7439</v>
      </c>
      <c r="AO7126">
        <v>18000</v>
      </c>
      <c r="AU7126">
        <v>8.75</v>
      </c>
      <c r="AV7126" t="s">
        <v>671</v>
      </c>
      <c r="AW7126" t="s">
        <v>46856</v>
      </c>
      <c r="AX7126" t="s">
        <v>46897</v>
      </c>
    </row>
    <row r="7127" spans="1:50">
      <c r="A7127" s="1">
        <f>HYPERLINK("https://lsnyc.legalserver.org/matter/dynamic-profile/view/1895890","19-1895890")</f>
        <v>0</v>
      </c>
      <c r="B7127" t="s">
        <v>258</v>
      </c>
      <c r="C7127" t="s">
        <v>340</v>
      </c>
      <c r="D7127" t="s">
        <v>791</v>
      </c>
      <c r="F7127" t="s">
        <v>3867</v>
      </c>
      <c r="G7127" t="s">
        <v>8219</v>
      </c>
      <c r="H7127" t="s">
        <v>14574</v>
      </c>
      <c r="I7127" t="s">
        <v>17316</v>
      </c>
      <c r="J7127" t="s">
        <v>18918</v>
      </c>
      <c r="K7127">
        <v>11416</v>
      </c>
      <c r="L7127" t="s">
        <v>18958</v>
      </c>
      <c r="M7127" t="s">
        <v>18958</v>
      </c>
      <c r="N7127" t="s">
        <v>24038</v>
      </c>
      <c r="O7127" t="s">
        <v>26523</v>
      </c>
      <c r="P7127" t="s">
        <v>26560</v>
      </c>
      <c r="R7127" t="s">
        <v>26578</v>
      </c>
      <c r="S7127" t="s">
        <v>18959</v>
      </c>
      <c r="U7127" t="s">
        <v>26604</v>
      </c>
      <c r="V7127" t="s">
        <v>26610</v>
      </c>
      <c r="W7127" t="s">
        <v>791</v>
      </c>
      <c r="X7127">
        <v>1600</v>
      </c>
      <c r="Y7127" t="s">
        <v>26653</v>
      </c>
      <c r="Z7127" t="s">
        <v>26664</v>
      </c>
      <c r="AB7127" t="s">
        <v>27587</v>
      </c>
      <c r="AC7127" t="s">
        <v>36270</v>
      </c>
      <c r="AD7127" t="s">
        <v>42399</v>
      </c>
      <c r="AE7127">
        <v>6</v>
      </c>
      <c r="AF7127" t="s">
        <v>45547</v>
      </c>
      <c r="AG7127" t="s">
        <v>19330</v>
      </c>
      <c r="AH7127">
        <v>14</v>
      </c>
      <c r="AI7127">
        <v>1</v>
      </c>
      <c r="AJ7127">
        <v>1</v>
      </c>
      <c r="AK7127">
        <v>41.66</v>
      </c>
      <c r="AN7127" t="s">
        <v>45613</v>
      </c>
      <c r="AO7127">
        <v>7044</v>
      </c>
      <c r="AU7127">
        <v>11.8</v>
      </c>
      <c r="AV7127" t="s">
        <v>836</v>
      </c>
      <c r="AW7127" t="s">
        <v>208</v>
      </c>
      <c r="AX7127" t="s">
        <v>46898</v>
      </c>
    </row>
    <row r="7128" spans="1:50">
      <c r="A7128" s="1">
        <f>HYPERLINK("https://lsnyc.legalserver.org/matter/dynamic-profile/view/1895955","19-1895955")</f>
        <v>0</v>
      </c>
      <c r="B7128" t="s">
        <v>212</v>
      </c>
      <c r="C7128" t="s">
        <v>340</v>
      </c>
      <c r="D7128" t="s">
        <v>791</v>
      </c>
      <c r="F7128" t="s">
        <v>3868</v>
      </c>
      <c r="G7128" t="s">
        <v>1912</v>
      </c>
      <c r="H7128" t="s">
        <v>14575</v>
      </c>
      <c r="J7128" t="s">
        <v>18900</v>
      </c>
      <c r="K7128">
        <v>11358</v>
      </c>
      <c r="L7128" t="s">
        <v>18958</v>
      </c>
      <c r="M7128" t="s">
        <v>18958</v>
      </c>
      <c r="N7128" t="s">
        <v>24039</v>
      </c>
      <c r="O7128" t="s">
        <v>26524</v>
      </c>
      <c r="P7128" t="s">
        <v>26560</v>
      </c>
      <c r="R7128" t="s">
        <v>26578</v>
      </c>
      <c r="U7128" t="s">
        <v>26604</v>
      </c>
      <c r="W7128" t="s">
        <v>791</v>
      </c>
      <c r="X7128">
        <v>430</v>
      </c>
      <c r="Y7128" t="s">
        <v>26653</v>
      </c>
      <c r="AB7128" t="s">
        <v>32073</v>
      </c>
      <c r="AD7128" t="s">
        <v>42400</v>
      </c>
      <c r="AE7128">
        <v>0</v>
      </c>
      <c r="AH7128">
        <v>0</v>
      </c>
      <c r="AI7128">
        <v>1</v>
      </c>
      <c r="AJ7128">
        <v>0</v>
      </c>
      <c r="AK7128">
        <v>40.03</v>
      </c>
      <c r="AN7128" t="s">
        <v>7439</v>
      </c>
      <c r="AO7128">
        <v>5000</v>
      </c>
      <c r="AU7128">
        <v>31.8</v>
      </c>
      <c r="AV7128" t="s">
        <v>833</v>
      </c>
      <c r="AW7128" t="s">
        <v>46884</v>
      </c>
    </row>
    <row r="7129" spans="1:50">
      <c r="A7129" s="1">
        <f>HYPERLINK("https://lsnyc.legalserver.org/matter/dynamic-profile/view/1895933","19-1895933")</f>
        <v>0</v>
      </c>
      <c r="B7129" t="s">
        <v>212</v>
      </c>
      <c r="C7129" t="s">
        <v>340</v>
      </c>
      <c r="D7129" t="s">
        <v>791</v>
      </c>
      <c r="F7129" t="s">
        <v>1300</v>
      </c>
      <c r="G7129" t="s">
        <v>945</v>
      </c>
      <c r="H7129" t="s">
        <v>14576</v>
      </c>
      <c r="I7129" t="s">
        <v>17316</v>
      </c>
      <c r="J7129" t="s">
        <v>18928</v>
      </c>
      <c r="K7129">
        <v>11365</v>
      </c>
      <c r="L7129" t="s">
        <v>18958</v>
      </c>
      <c r="M7129" t="s">
        <v>18958</v>
      </c>
      <c r="N7129" t="s">
        <v>24040</v>
      </c>
      <c r="O7129" t="s">
        <v>26524</v>
      </c>
      <c r="P7129" t="s">
        <v>26560</v>
      </c>
      <c r="R7129" t="s">
        <v>26578</v>
      </c>
      <c r="S7129" t="s">
        <v>18959</v>
      </c>
      <c r="U7129" t="s">
        <v>26604</v>
      </c>
      <c r="W7129" t="s">
        <v>791</v>
      </c>
      <c r="X7129">
        <v>1350</v>
      </c>
      <c r="Y7129" t="s">
        <v>26653</v>
      </c>
      <c r="Z7129" t="s">
        <v>26664</v>
      </c>
      <c r="AB7129" t="s">
        <v>32074</v>
      </c>
      <c r="AD7129" t="s">
        <v>42401</v>
      </c>
      <c r="AE7129">
        <v>0</v>
      </c>
      <c r="AF7129" t="s">
        <v>20460</v>
      </c>
      <c r="AG7129" t="s">
        <v>19330</v>
      </c>
      <c r="AH7129">
        <v>23</v>
      </c>
      <c r="AI7129">
        <v>3</v>
      </c>
      <c r="AJ7129">
        <v>0</v>
      </c>
      <c r="AK7129">
        <v>98.45</v>
      </c>
      <c r="AN7129" t="s">
        <v>7439</v>
      </c>
      <c r="AO7129">
        <v>21000</v>
      </c>
      <c r="AU7129">
        <v>12.35</v>
      </c>
      <c r="AV7129" t="s">
        <v>821</v>
      </c>
      <c r="AW7129" t="s">
        <v>208</v>
      </c>
    </row>
    <row r="7130" spans="1:50">
      <c r="A7130" s="1">
        <f>HYPERLINK("https://lsnyc.legalserver.org/matter/dynamic-profile/view/1895966","19-1895966")</f>
        <v>0</v>
      </c>
      <c r="B7130" t="s">
        <v>212</v>
      </c>
      <c r="C7130" t="s">
        <v>340</v>
      </c>
      <c r="D7130" t="s">
        <v>791</v>
      </c>
      <c r="F7130" t="s">
        <v>1013</v>
      </c>
      <c r="G7130" t="s">
        <v>8220</v>
      </c>
      <c r="H7130" t="s">
        <v>14551</v>
      </c>
      <c r="I7130" t="s">
        <v>17278</v>
      </c>
      <c r="J7130" t="s">
        <v>18898</v>
      </c>
      <c r="K7130">
        <v>11691</v>
      </c>
      <c r="L7130" t="s">
        <v>18958</v>
      </c>
      <c r="M7130" t="s">
        <v>18958</v>
      </c>
      <c r="O7130" t="s">
        <v>26534</v>
      </c>
      <c r="P7130" t="s">
        <v>26565</v>
      </c>
      <c r="R7130" t="s">
        <v>26578</v>
      </c>
      <c r="S7130" t="s">
        <v>18958</v>
      </c>
      <c r="U7130" t="s">
        <v>26604</v>
      </c>
      <c r="W7130" t="s">
        <v>791</v>
      </c>
      <c r="X7130">
        <v>675</v>
      </c>
      <c r="Y7130" t="s">
        <v>26653</v>
      </c>
      <c r="Z7130" t="s">
        <v>26667</v>
      </c>
      <c r="AB7130" t="s">
        <v>32075</v>
      </c>
      <c r="AD7130" t="s">
        <v>42402</v>
      </c>
      <c r="AE7130">
        <v>43</v>
      </c>
      <c r="AF7130" t="s">
        <v>45541</v>
      </c>
      <c r="AG7130" t="s">
        <v>19330</v>
      </c>
      <c r="AH7130">
        <v>5</v>
      </c>
      <c r="AI7130">
        <v>2</v>
      </c>
      <c r="AJ7130">
        <v>0</v>
      </c>
      <c r="AK7130">
        <v>141.45</v>
      </c>
      <c r="AN7130" t="s">
        <v>7439</v>
      </c>
      <c r="AO7130">
        <v>23920</v>
      </c>
      <c r="AU7130">
        <v>0</v>
      </c>
      <c r="AW7130" t="s">
        <v>208</v>
      </c>
    </row>
    <row r="7131" spans="1:50">
      <c r="A7131" s="1">
        <f>HYPERLINK("https://lsnyc.legalserver.org/matter/dynamic-profile/view/1895952","19-1895952")</f>
        <v>0</v>
      </c>
      <c r="B7131" t="s">
        <v>238</v>
      </c>
      <c r="C7131" t="s">
        <v>340</v>
      </c>
      <c r="D7131" t="s">
        <v>791</v>
      </c>
      <c r="F7131" t="s">
        <v>1470</v>
      </c>
      <c r="G7131" t="s">
        <v>5330</v>
      </c>
      <c r="H7131" t="s">
        <v>14577</v>
      </c>
      <c r="I7131" t="s">
        <v>17282</v>
      </c>
      <c r="J7131" t="s">
        <v>18894</v>
      </c>
      <c r="K7131">
        <v>11220</v>
      </c>
      <c r="L7131" t="s">
        <v>18958</v>
      </c>
      <c r="M7131" t="s">
        <v>18958</v>
      </c>
      <c r="N7131" t="s">
        <v>24041</v>
      </c>
      <c r="O7131" t="s">
        <v>26523</v>
      </c>
      <c r="P7131" t="s">
        <v>26560</v>
      </c>
      <c r="R7131" t="s">
        <v>26583</v>
      </c>
      <c r="U7131" t="s">
        <v>26604</v>
      </c>
      <c r="W7131" t="s">
        <v>791</v>
      </c>
      <c r="X7131">
        <v>1430</v>
      </c>
      <c r="Y7131" t="s">
        <v>26652</v>
      </c>
      <c r="Z7131" t="s">
        <v>26655</v>
      </c>
      <c r="AB7131" t="s">
        <v>32076</v>
      </c>
      <c r="AD7131" t="s">
        <v>42403</v>
      </c>
      <c r="AE7131">
        <v>24</v>
      </c>
      <c r="AF7131" t="s">
        <v>45541</v>
      </c>
      <c r="AH7131">
        <v>25</v>
      </c>
      <c r="AI7131">
        <v>2</v>
      </c>
      <c r="AJ7131">
        <v>0</v>
      </c>
      <c r="AK7131">
        <v>313.42</v>
      </c>
      <c r="AL7131" t="s">
        <v>770</v>
      </c>
      <c r="AM7131" t="s">
        <v>45575</v>
      </c>
      <c r="AN7131" t="s">
        <v>7439</v>
      </c>
      <c r="AO7131">
        <v>53000</v>
      </c>
      <c r="AU7131">
        <v>1.3</v>
      </c>
      <c r="AV7131" t="s">
        <v>724</v>
      </c>
      <c r="AW7131" t="s">
        <v>46856</v>
      </c>
    </row>
    <row r="7132" spans="1:50">
      <c r="A7132" s="1">
        <f>HYPERLINK("https://lsnyc.legalserver.org/matter/dynamic-profile/view/1896304","19-1896304")</f>
        <v>0</v>
      </c>
      <c r="B7132" t="s">
        <v>273</v>
      </c>
      <c r="C7132" t="s">
        <v>340</v>
      </c>
      <c r="D7132" t="s">
        <v>791</v>
      </c>
      <c r="F7132" t="s">
        <v>1323</v>
      </c>
      <c r="G7132" t="s">
        <v>5502</v>
      </c>
      <c r="H7132" t="s">
        <v>10177</v>
      </c>
      <c r="I7132" t="s">
        <v>17300</v>
      </c>
      <c r="J7132" t="s">
        <v>18893</v>
      </c>
      <c r="K7132">
        <v>10034</v>
      </c>
      <c r="L7132" t="s">
        <v>18958</v>
      </c>
      <c r="M7132" t="s">
        <v>18958</v>
      </c>
      <c r="N7132" t="s">
        <v>24042</v>
      </c>
      <c r="O7132" t="s">
        <v>26523</v>
      </c>
      <c r="P7132" t="s">
        <v>26564</v>
      </c>
      <c r="R7132" t="s">
        <v>26578</v>
      </c>
      <c r="S7132" t="s">
        <v>18959</v>
      </c>
      <c r="T7132" t="s">
        <v>26578</v>
      </c>
      <c r="U7132" t="s">
        <v>26604</v>
      </c>
      <c r="W7132" t="s">
        <v>791</v>
      </c>
      <c r="X7132">
        <v>1348.75</v>
      </c>
      <c r="Y7132" t="s">
        <v>26651</v>
      </c>
      <c r="AB7132" t="s">
        <v>27274</v>
      </c>
      <c r="AD7132" t="s">
        <v>37343</v>
      </c>
      <c r="AE7132">
        <v>0</v>
      </c>
      <c r="AF7132" t="s">
        <v>45541</v>
      </c>
      <c r="AH7132">
        <v>21</v>
      </c>
      <c r="AI7132">
        <v>1</v>
      </c>
      <c r="AJ7132">
        <v>0</v>
      </c>
      <c r="AK7132">
        <v>0</v>
      </c>
      <c r="AN7132" t="s">
        <v>7439</v>
      </c>
      <c r="AO7132">
        <v>0</v>
      </c>
      <c r="AU7132">
        <v>1</v>
      </c>
      <c r="AV7132" t="s">
        <v>762</v>
      </c>
      <c r="AW7132" t="s">
        <v>46838</v>
      </c>
    </row>
    <row r="7133" spans="1:50">
      <c r="A7133" s="1">
        <f>HYPERLINK("https://lsnyc.legalserver.org/matter/dynamic-profile/view/1896385","19-1896385")</f>
        <v>0</v>
      </c>
      <c r="B7133" t="s">
        <v>273</v>
      </c>
      <c r="C7133" t="s">
        <v>340</v>
      </c>
      <c r="D7133" t="s">
        <v>791</v>
      </c>
      <c r="F7133" t="s">
        <v>2086</v>
      </c>
      <c r="G7133" t="s">
        <v>5460</v>
      </c>
      <c r="H7133" t="s">
        <v>14578</v>
      </c>
      <c r="I7133" t="s">
        <v>17283</v>
      </c>
      <c r="J7133" t="s">
        <v>18893</v>
      </c>
      <c r="K7133">
        <v>10040</v>
      </c>
      <c r="L7133" t="s">
        <v>18960</v>
      </c>
      <c r="M7133" t="s">
        <v>18960</v>
      </c>
      <c r="N7133" t="s">
        <v>24043</v>
      </c>
      <c r="O7133" t="s">
        <v>26523</v>
      </c>
      <c r="P7133" t="s">
        <v>26564</v>
      </c>
      <c r="R7133" t="s">
        <v>26582</v>
      </c>
      <c r="S7133" t="s">
        <v>18959</v>
      </c>
      <c r="U7133" t="s">
        <v>26604</v>
      </c>
      <c r="W7133" t="s">
        <v>791</v>
      </c>
      <c r="X7133">
        <v>2300</v>
      </c>
      <c r="Y7133" t="s">
        <v>26651</v>
      </c>
      <c r="Z7133" t="s">
        <v>26659</v>
      </c>
      <c r="AB7133" t="s">
        <v>29045</v>
      </c>
      <c r="AE7133">
        <v>55</v>
      </c>
      <c r="AF7133" t="s">
        <v>45541</v>
      </c>
      <c r="AG7133" t="s">
        <v>19330</v>
      </c>
      <c r="AH7133">
        <v>11</v>
      </c>
      <c r="AI7133">
        <v>2</v>
      </c>
      <c r="AJ7133">
        <v>2</v>
      </c>
      <c r="AK7133">
        <v>262.52</v>
      </c>
      <c r="AN7133" t="s">
        <v>45581</v>
      </c>
      <c r="AO7133">
        <v>67600</v>
      </c>
      <c r="AU7133">
        <v>37.75</v>
      </c>
      <c r="AV7133" t="s">
        <v>720</v>
      </c>
      <c r="AW7133" t="s">
        <v>46838</v>
      </c>
      <c r="AX7133" t="s">
        <v>46897</v>
      </c>
    </row>
    <row r="7134" spans="1:50">
      <c r="A7134" s="1">
        <f>HYPERLINK("https://lsnyc.legalserver.org/matter/dynamic-profile/view/1895897","19-1895897")</f>
        <v>0</v>
      </c>
      <c r="B7134" t="s">
        <v>269</v>
      </c>
      <c r="C7134" t="s">
        <v>340</v>
      </c>
      <c r="D7134" t="s">
        <v>791</v>
      </c>
      <c r="F7134" t="s">
        <v>3869</v>
      </c>
      <c r="G7134" t="s">
        <v>7850</v>
      </c>
      <c r="H7134" t="s">
        <v>14579</v>
      </c>
      <c r="I7134" t="s">
        <v>17928</v>
      </c>
      <c r="J7134" t="s">
        <v>18892</v>
      </c>
      <c r="K7134">
        <v>10462</v>
      </c>
      <c r="L7134" t="s">
        <v>18958</v>
      </c>
      <c r="M7134" t="s">
        <v>18958</v>
      </c>
      <c r="N7134" t="s">
        <v>24044</v>
      </c>
      <c r="O7134" t="s">
        <v>26524</v>
      </c>
      <c r="P7134" t="s">
        <v>26564</v>
      </c>
      <c r="R7134" t="s">
        <v>26579</v>
      </c>
      <c r="U7134" t="s">
        <v>26607</v>
      </c>
      <c r="W7134" t="s">
        <v>791</v>
      </c>
      <c r="X7134">
        <v>215</v>
      </c>
      <c r="Y7134" t="s">
        <v>26650</v>
      </c>
      <c r="Z7134" t="s">
        <v>26672</v>
      </c>
      <c r="AB7134" t="s">
        <v>32077</v>
      </c>
      <c r="AC7134" t="s">
        <v>36271</v>
      </c>
      <c r="AD7134" t="s">
        <v>42404</v>
      </c>
      <c r="AE7134">
        <v>15</v>
      </c>
      <c r="AF7134" t="s">
        <v>20460</v>
      </c>
      <c r="AH7134">
        <v>3</v>
      </c>
      <c r="AI7134">
        <v>1</v>
      </c>
      <c r="AJ7134">
        <v>0</v>
      </c>
      <c r="AK7134">
        <v>0</v>
      </c>
      <c r="AN7134" t="s">
        <v>7439</v>
      </c>
      <c r="AO7134">
        <v>0</v>
      </c>
      <c r="AP7134" t="s">
        <v>46038</v>
      </c>
      <c r="AU7134">
        <v>11.05</v>
      </c>
      <c r="AV7134" t="s">
        <v>804</v>
      </c>
      <c r="AW7134" t="s">
        <v>46887</v>
      </c>
      <c r="AX7134" t="s">
        <v>46898</v>
      </c>
    </row>
    <row r="7135" spans="1:50">
      <c r="A7135" s="1">
        <f>HYPERLINK("https://lsnyc.legalserver.org/matter/dynamic-profile/view/1896003","19-1896003")</f>
        <v>0</v>
      </c>
      <c r="B7135" t="s">
        <v>114</v>
      </c>
      <c r="C7135" t="s">
        <v>340</v>
      </c>
      <c r="D7135" t="s">
        <v>791</v>
      </c>
      <c r="F7135" t="s">
        <v>3870</v>
      </c>
      <c r="G7135" t="s">
        <v>6311</v>
      </c>
      <c r="H7135" t="s">
        <v>12175</v>
      </c>
      <c r="I7135" t="s">
        <v>17919</v>
      </c>
      <c r="J7135" t="s">
        <v>18913</v>
      </c>
      <c r="K7135">
        <v>11106</v>
      </c>
      <c r="L7135" t="s">
        <v>18958</v>
      </c>
      <c r="M7135" t="s">
        <v>18958</v>
      </c>
      <c r="N7135" t="s">
        <v>24045</v>
      </c>
      <c r="O7135" t="s">
        <v>26523</v>
      </c>
      <c r="P7135" t="s">
        <v>26565</v>
      </c>
      <c r="R7135" t="s">
        <v>26578</v>
      </c>
      <c r="S7135" t="s">
        <v>18958</v>
      </c>
      <c r="U7135" t="s">
        <v>26604</v>
      </c>
      <c r="W7135" t="s">
        <v>791</v>
      </c>
      <c r="X7135">
        <v>871</v>
      </c>
      <c r="Y7135" t="s">
        <v>26653</v>
      </c>
      <c r="AB7135" t="s">
        <v>30612</v>
      </c>
      <c r="AC7135" t="s">
        <v>36272</v>
      </c>
      <c r="AE7135">
        <v>19</v>
      </c>
      <c r="AH7135">
        <v>5</v>
      </c>
      <c r="AI7135">
        <v>1</v>
      </c>
      <c r="AJ7135">
        <v>3</v>
      </c>
      <c r="AK7135">
        <v>0</v>
      </c>
      <c r="AN7135" t="s">
        <v>7439</v>
      </c>
      <c r="AO7135">
        <v>0</v>
      </c>
      <c r="AU7135">
        <v>0.95</v>
      </c>
      <c r="AV7135" t="s">
        <v>773</v>
      </c>
      <c r="AW7135" t="s">
        <v>46884</v>
      </c>
    </row>
    <row r="7136" spans="1:50">
      <c r="A7136" s="1">
        <f>HYPERLINK("https://lsnyc.legalserver.org/matter/dynamic-profile/view/1895909","19-1895909")</f>
        <v>0</v>
      </c>
      <c r="B7136" t="s">
        <v>188</v>
      </c>
      <c r="C7136" t="s">
        <v>340</v>
      </c>
      <c r="D7136" t="s">
        <v>791</v>
      </c>
      <c r="F7136" t="s">
        <v>1228</v>
      </c>
      <c r="G7136" t="s">
        <v>5691</v>
      </c>
      <c r="H7136" t="s">
        <v>14336</v>
      </c>
      <c r="I7136">
        <v>59</v>
      </c>
      <c r="J7136" t="s">
        <v>18892</v>
      </c>
      <c r="K7136">
        <v>10458</v>
      </c>
      <c r="L7136" t="s">
        <v>18958</v>
      </c>
      <c r="M7136" t="s">
        <v>18958</v>
      </c>
      <c r="O7136" t="s">
        <v>26526</v>
      </c>
      <c r="P7136" t="s">
        <v>26560</v>
      </c>
      <c r="R7136" t="s">
        <v>26578</v>
      </c>
      <c r="S7136" t="s">
        <v>18959</v>
      </c>
      <c r="U7136" t="s">
        <v>26604</v>
      </c>
      <c r="W7136" t="s">
        <v>791</v>
      </c>
      <c r="X7136">
        <v>1092</v>
      </c>
      <c r="Y7136" t="s">
        <v>26650</v>
      </c>
      <c r="Z7136" t="s">
        <v>26663</v>
      </c>
      <c r="AB7136" t="s">
        <v>29704</v>
      </c>
      <c r="AC7136" t="s">
        <v>36191</v>
      </c>
      <c r="AD7136" t="s">
        <v>42013</v>
      </c>
      <c r="AE7136">
        <v>48</v>
      </c>
      <c r="AF7136" t="s">
        <v>45541</v>
      </c>
      <c r="AG7136" t="s">
        <v>45557</v>
      </c>
      <c r="AH7136">
        <v>6</v>
      </c>
      <c r="AI7136">
        <v>2</v>
      </c>
      <c r="AJ7136">
        <v>3</v>
      </c>
      <c r="AK7136">
        <v>9.94</v>
      </c>
      <c r="AN7136" t="s">
        <v>7439</v>
      </c>
      <c r="AO7136">
        <v>3000</v>
      </c>
      <c r="AU7136">
        <v>8.4</v>
      </c>
      <c r="AV7136" t="s">
        <v>834</v>
      </c>
      <c r="AW7136" t="s">
        <v>226</v>
      </c>
      <c r="AX7136" t="s">
        <v>46898</v>
      </c>
    </row>
    <row r="7137" spans="1:50">
      <c r="A7137" s="1">
        <f>HYPERLINK("https://lsnyc.legalserver.org/matter/dynamic-profile/view/1895982","19-1895982")</f>
        <v>0</v>
      </c>
      <c r="B7137" t="s">
        <v>235</v>
      </c>
      <c r="C7137" t="s">
        <v>340</v>
      </c>
      <c r="D7137" t="s">
        <v>791</v>
      </c>
      <c r="F7137" t="s">
        <v>2204</v>
      </c>
      <c r="G7137" t="s">
        <v>6390</v>
      </c>
      <c r="H7137" t="s">
        <v>11541</v>
      </c>
      <c r="I7137">
        <v>41</v>
      </c>
      <c r="J7137" t="s">
        <v>18900</v>
      </c>
      <c r="K7137">
        <v>11358</v>
      </c>
      <c r="L7137" t="s">
        <v>18958</v>
      </c>
      <c r="M7137" t="s">
        <v>18958</v>
      </c>
      <c r="N7137" t="s">
        <v>24046</v>
      </c>
      <c r="O7137" t="s">
        <v>26524</v>
      </c>
      <c r="P7137" t="s">
        <v>26560</v>
      </c>
      <c r="R7137" t="s">
        <v>26578</v>
      </c>
      <c r="S7137" t="s">
        <v>18958</v>
      </c>
      <c r="U7137" t="s">
        <v>26604</v>
      </c>
      <c r="V7137" t="s">
        <v>26610</v>
      </c>
      <c r="W7137" t="s">
        <v>791</v>
      </c>
      <c r="X7137">
        <v>1150</v>
      </c>
      <c r="Y7137" t="s">
        <v>26653</v>
      </c>
      <c r="Z7137" t="s">
        <v>26664</v>
      </c>
      <c r="AB7137" t="s">
        <v>28748</v>
      </c>
      <c r="AD7137" t="s">
        <v>38801</v>
      </c>
      <c r="AE7137">
        <v>45</v>
      </c>
      <c r="AF7137" t="s">
        <v>45541</v>
      </c>
      <c r="AH7137">
        <v>6</v>
      </c>
      <c r="AI7137">
        <v>1</v>
      </c>
      <c r="AJ7137">
        <v>0</v>
      </c>
      <c r="AK7137">
        <v>0</v>
      </c>
      <c r="AN7137" t="s">
        <v>7439</v>
      </c>
      <c r="AO7137">
        <v>0</v>
      </c>
      <c r="AU7137">
        <v>20.4</v>
      </c>
      <c r="AV7137" t="s">
        <v>838</v>
      </c>
      <c r="AW7137" t="s">
        <v>46884</v>
      </c>
    </row>
    <row r="7138" spans="1:50">
      <c r="A7138" s="1">
        <f>HYPERLINK("https://lsnyc.legalserver.org/matter/dynamic-profile/view/1895991","19-1895991")</f>
        <v>0</v>
      </c>
      <c r="B7138" t="s">
        <v>235</v>
      </c>
      <c r="C7138" t="s">
        <v>340</v>
      </c>
      <c r="D7138" t="s">
        <v>791</v>
      </c>
      <c r="F7138" t="s">
        <v>3871</v>
      </c>
      <c r="G7138" t="s">
        <v>8221</v>
      </c>
      <c r="H7138" t="s">
        <v>14580</v>
      </c>
      <c r="I7138" t="s">
        <v>18391</v>
      </c>
      <c r="J7138" t="s">
        <v>18939</v>
      </c>
      <c r="K7138">
        <v>11423</v>
      </c>
      <c r="L7138" t="s">
        <v>18958</v>
      </c>
      <c r="M7138" t="s">
        <v>18958</v>
      </c>
      <c r="N7138" t="s">
        <v>24047</v>
      </c>
      <c r="O7138" t="s">
        <v>26524</v>
      </c>
      <c r="P7138" t="s">
        <v>26564</v>
      </c>
      <c r="R7138" t="s">
        <v>26578</v>
      </c>
      <c r="U7138" t="s">
        <v>26604</v>
      </c>
      <c r="W7138" t="s">
        <v>791</v>
      </c>
      <c r="X7138">
        <v>1800</v>
      </c>
      <c r="Y7138" t="s">
        <v>26653</v>
      </c>
      <c r="Z7138" t="s">
        <v>26664</v>
      </c>
      <c r="AB7138" t="s">
        <v>32078</v>
      </c>
      <c r="AD7138" t="s">
        <v>42405</v>
      </c>
      <c r="AE7138">
        <v>0</v>
      </c>
      <c r="AH7138">
        <v>14</v>
      </c>
      <c r="AI7138">
        <v>1</v>
      </c>
      <c r="AJ7138">
        <v>2</v>
      </c>
      <c r="AK7138">
        <v>131.08</v>
      </c>
      <c r="AN7138" t="s">
        <v>7439</v>
      </c>
      <c r="AO7138">
        <v>27960</v>
      </c>
      <c r="AU7138">
        <v>4.4</v>
      </c>
      <c r="AV7138" t="s">
        <v>819</v>
      </c>
      <c r="AW7138" t="s">
        <v>46884</v>
      </c>
    </row>
    <row r="7139" spans="1:50">
      <c r="A7139" s="1">
        <f>HYPERLINK("https://lsnyc.legalserver.org/matter/dynamic-profile/view/1896386","19-1896386")</f>
        <v>0</v>
      </c>
      <c r="B7139" t="s">
        <v>276</v>
      </c>
      <c r="C7139" t="s">
        <v>340</v>
      </c>
      <c r="D7139" t="s">
        <v>724</v>
      </c>
      <c r="F7139" t="s">
        <v>3872</v>
      </c>
      <c r="G7139" t="s">
        <v>968</v>
      </c>
      <c r="H7139" t="s">
        <v>13404</v>
      </c>
      <c r="I7139">
        <v>8</v>
      </c>
      <c r="J7139" t="s">
        <v>18894</v>
      </c>
      <c r="K7139">
        <v>11226</v>
      </c>
      <c r="L7139" t="s">
        <v>18958</v>
      </c>
      <c r="M7139" t="s">
        <v>18959</v>
      </c>
      <c r="O7139" t="s">
        <v>26526</v>
      </c>
      <c r="P7139" t="s">
        <v>26565</v>
      </c>
      <c r="R7139" t="s">
        <v>26578</v>
      </c>
      <c r="S7139" t="s">
        <v>18958</v>
      </c>
      <c r="U7139" t="s">
        <v>26604</v>
      </c>
      <c r="W7139" t="s">
        <v>791</v>
      </c>
      <c r="X7139">
        <v>0</v>
      </c>
      <c r="Y7139" t="s">
        <v>26652</v>
      </c>
      <c r="AB7139" t="s">
        <v>27657</v>
      </c>
      <c r="AE7139">
        <v>0</v>
      </c>
      <c r="AH7139">
        <v>0</v>
      </c>
      <c r="AI7139">
        <v>2</v>
      </c>
      <c r="AJ7139">
        <v>1</v>
      </c>
      <c r="AK7139">
        <v>0</v>
      </c>
      <c r="AN7139" t="s">
        <v>7439</v>
      </c>
      <c r="AO7139">
        <v>0</v>
      </c>
      <c r="AU7139">
        <v>0.7</v>
      </c>
      <c r="AV7139" t="s">
        <v>826</v>
      </c>
      <c r="AW7139" t="s">
        <v>198</v>
      </c>
    </row>
    <row r="7140" spans="1:50">
      <c r="A7140" s="1">
        <f>HYPERLINK("https://lsnyc.legalserver.org/matter/dynamic-profile/view/1898188","19-1898188")</f>
        <v>0</v>
      </c>
      <c r="B7140" t="s">
        <v>55</v>
      </c>
      <c r="C7140" t="s">
        <v>341</v>
      </c>
      <c r="D7140" t="s">
        <v>801</v>
      </c>
      <c r="E7140" t="s">
        <v>833</v>
      </c>
      <c r="F7140" t="s">
        <v>1417</v>
      </c>
      <c r="G7140" t="s">
        <v>5208</v>
      </c>
      <c r="J7140" t="s">
        <v>18892</v>
      </c>
      <c r="K7140">
        <v>10459</v>
      </c>
      <c r="L7140" t="s">
        <v>18958</v>
      </c>
      <c r="M7140" t="s">
        <v>18960</v>
      </c>
      <c r="O7140" t="s">
        <v>26523</v>
      </c>
      <c r="P7140" t="s">
        <v>26564</v>
      </c>
      <c r="Q7140" t="s">
        <v>26570</v>
      </c>
      <c r="R7140" t="s">
        <v>26578</v>
      </c>
      <c r="S7140" t="s">
        <v>18959</v>
      </c>
      <c r="U7140" t="s">
        <v>26606</v>
      </c>
      <c r="V7140" t="s">
        <v>26610</v>
      </c>
      <c r="W7140" t="s">
        <v>791</v>
      </c>
      <c r="X7140">
        <v>750</v>
      </c>
      <c r="Y7140" t="s">
        <v>26650</v>
      </c>
      <c r="Z7140" t="s">
        <v>26663</v>
      </c>
      <c r="AA7140" t="s">
        <v>26690</v>
      </c>
      <c r="AB7140" t="s">
        <v>31577</v>
      </c>
      <c r="AE7140">
        <v>39</v>
      </c>
      <c r="AF7140" t="s">
        <v>45541</v>
      </c>
      <c r="AH7140">
        <v>12</v>
      </c>
      <c r="AI7140">
        <v>1</v>
      </c>
      <c r="AJ7140">
        <v>0</v>
      </c>
      <c r="AK7140">
        <v>67.25</v>
      </c>
      <c r="AO7140">
        <v>8400</v>
      </c>
      <c r="AT7140" t="s">
        <v>46801</v>
      </c>
      <c r="AU7140">
        <v>0.5</v>
      </c>
      <c r="AV7140" t="s">
        <v>833</v>
      </c>
      <c r="AW7140" t="s">
        <v>55</v>
      </c>
      <c r="AX7140" t="s">
        <v>46897</v>
      </c>
    </row>
    <row r="7141" spans="1:50">
      <c r="A7141" s="1">
        <f>HYPERLINK("https://lsnyc.legalserver.org/matter/dynamic-profile/view/1891208","19-1891208")</f>
        <v>0</v>
      </c>
      <c r="B7141" t="s">
        <v>213</v>
      </c>
      <c r="C7141" t="s">
        <v>340</v>
      </c>
      <c r="D7141" t="s">
        <v>756</v>
      </c>
      <c r="F7141" t="s">
        <v>2483</v>
      </c>
      <c r="G7141" t="s">
        <v>5755</v>
      </c>
      <c r="H7141" t="s">
        <v>14581</v>
      </c>
      <c r="I7141" t="s">
        <v>17390</v>
      </c>
      <c r="J7141" t="s">
        <v>18892</v>
      </c>
      <c r="K7141">
        <v>10467</v>
      </c>
      <c r="L7141" t="s">
        <v>18958</v>
      </c>
      <c r="M7141" t="s">
        <v>18958</v>
      </c>
      <c r="N7141" t="s">
        <v>24048</v>
      </c>
      <c r="O7141" t="s">
        <v>26523</v>
      </c>
      <c r="P7141" t="s">
        <v>26560</v>
      </c>
      <c r="R7141" t="s">
        <v>26579</v>
      </c>
      <c r="S7141" t="s">
        <v>18959</v>
      </c>
      <c r="U7141" t="s">
        <v>26604</v>
      </c>
      <c r="V7141" t="s">
        <v>26610</v>
      </c>
      <c r="W7141" t="s">
        <v>800</v>
      </c>
      <c r="X7141">
        <v>1069.23</v>
      </c>
      <c r="Y7141" t="s">
        <v>26650</v>
      </c>
      <c r="Z7141" t="s">
        <v>26668</v>
      </c>
      <c r="AB7141" t="s">
        <v>32079</v>
      </c>
      <c r="AC7141" t="s">
        <v>36273</v>
      </c>
      <c r="AD7141" t="s">
        <v>42406</v>
      </c>
      <c r="AE7141">
        <v>37</v>
      </c>
      <c r="AF7141" t="s">
        <v>45541</v>
      </c>
      <c r="AG7141" t="s">
        <v>26530</v>
      </c>
      <c r="AH7141">
        <v>25</v>
      </c>
      <c r="AI7141">
        <v>4</v>
      </c>
      <c r="AJ7141">
        <v>0</v>
      </c>
      <c r="AK7141">
        <v>0</v>
      </c>
      <c r="AN7141" t="s">
        <v>7439</v>
      </c>
      <c r="AO7141">
        <v>0</v>
      </c>
      <c r="AQ7141" t="s">
        <v>46362</v>
      </c>
      <c r="AR7141" t="s">
        <v>46379</v>
      </c>
      <c r="AS7141" t="s">
        <v>46499</v>
      </c>
      <c r="AT7141" t="s">
        <v>46723</v>
      </c>
      <c r="AU7141">
        <v>25.1</v>
      </c>
      <c r="AV7141" t="s">
        <v>839</v>
      </c>
      <c r="AW7141" t="s">
        <v>46832</v>
      </c>
      <c r="AX7141" t="s">
        <v>46898</v>
      </c>
    </row>
    <row r="7142" spans="1:50">
      <c r="A7142" s="1">
        <f>HYPERLINK("https://lsnyc.legalserver.org/matter/dynamic-profile/view/1893096","19-1893096")</f>
        <v>0</v>
      </c>
      <c r="B7142" t="s">
        <v>173</v>
      </c>
      <c r="C7142" t="s">
        <v>340</v>
      </c>
      <c r="D7142" t="s">
        <v>753</v>
      </c>
      <c r="F7142" t="s">
        <v>1282</v>
      </c>
      <c r="G7142" t="s">
        <v>8222</v>
      </c>
      <c r="H7142" t="s">
        <v>14582</v>
      </c>
      <c r="I7142" t="s">
        <v>18434</v>
      </c>
      <c r="J7142" t="s">
        <v>18893</v>
      </c>
      <c r="K7142">
        <v>10019</v>
      </c>
      <c r="L7142" t="s">
        <v>18958</v>
      </c>
      <c r="M7142" t="s">
        <v>18958</v>
      </c>
      <c r="N7142" t="s">
        <v>24049</v>
      </c>
      <c r="O7142" t="s">
        <v>26523</v>
      </c>
      <c r="P7142" t="s">
        <v>26564</v>
      </c>
      <c r="R7142" t="s">
        <v>26582</v>
      </c>
      <c r="S7142" t="s">
        <v>18959</v>
      </c>
      <c r="U7142" t="s">
        <v>26604</v>
      </c>
      <c r="V7142" t="s">
        <v>26609</v>
      </c>
      <c r="W7142" t="s">
        <v>800</v>
      </c>
      <c r="X7142">
        <v>1166</v>
      </c>
      <c r="Y7142" t="s">
        <v>26651</v>
      </c>
      <c r="Z7142" t="s">
        <v>26655</v>
      </c>
      <c r="AB7142" t="s">
        <v>28813</v>
      </c>
      <c r="AE7142">
        <v>0</v>
      </c>
      <c r="AF7142" t="s">
        <v>45541</v>
      </c>
      <c r="AG7142" t="s">
        <v>45556</v>
      </c>
      <c r="AH7142">
        <v>2</v>
      </c>
      <c r="AI7142">
        <v>1</v>
      </c>
      <c r="AJ7142">
        <v>0</v>
      </c>
      <c r="AK7142">
        <v>99.92</v>
      </c>
      <c r="AN7142" t="s">
        <v>7439</v>
      </c>
      <c r="AO7142">
        <v>12480</v>
      </c>
      <c r="AU7142">
        <v>1</v>
      </c>
      <c r="AV7142" t="s">
        <v>753</v>
      </c>
      <c r="AW7142" t="s">
        <v>46838</v>
      </c>
    </row>
    <row r="7143" spans="1:50">
      <c r="A7143" s="1">
        <f>HYPERLINK("https://lsnyc.legalserver.org/matter/dynamic-profile/view/1894600","19-1894600")</f>
        <v>0</v>
      </c>
      <c r="B7143" t="s">
        <v>270</v>
      </c>
      <c r="C7143" t="s">
        <v>341</v>
      </c>
      <c r="D7143" t="s">
        <v>777</v>
      </c>
      <c r="E7143" t="s">
        <v>768</v>
      </c>
      <c r="F7143" t="s">
        <v>1489</v>
      </c>
      <c r="G7143" t="s">
        <v>8223</v>
      </c>
      <c r="H7143" t="s">
        <v>14583</v>
      </c>
      <c r="I7143" t="s">
        <v>17436</v>
      </c>
      <c r="J7143" t="s">
        <v>18892</v>
      </c>
      <c r="K7143">
        <v>10472</v>
      </c>
      <c r="L7143" t="s">
        <v>18958</v>
      </c>
      <c r="M7143" t="s">
        <v>18958</v>
      </c>
      <c r="N7143" t="s">
        <v>24050</v>
      </c>
      <c r="O7143" t="s">
        <v>26523</v>
      </c>
      <c r="P7143" t="s">
        <v>26560</v>
      </c>
      <c r="Q7143" t="s">
        <v>26568</v>
      </c>
      <c r="R7143" t="s">
        <v>26577</v>
      </c>
      <c r="S7143" t="s">
        <v>18959</v>
      </c>
      <c r="U7143" t="s">
        <v>26604</v>
      </c>
      <c r="V7143" t="s">
        <v>26610</v>
      </c>
      <c r="W7143" t="s">
        <v>800</v>
      </c>
      <c r="X7143">
        <v>447</v>
      </c>
      <c r="Y7143" t="s">
        <v>26650</v>
      </c>
      <c r="Z7143" t="s">
        <v>26668</v>
      </c>
      <c r="AA7143" t="s">
        <v>26677</v>
      </c>
      <c r="AB7143" t="s">
        <v>32080</v>
      </c>
      <c r="AD7143" t="s">
        <v>42407</v>
      </c>
      <c r="AE7143">
        <v>0</v>
      </c>
      <c r="AF7143" t="s">
        <v>45541</v>
      </c>
      <c r="AG7143" t="s">
        <v>45556</v>
      </c>
      <c r="AH7143">
        <v>5</v>
      </c>
      <c r="AI7143">
        <v>1</v>
      </c>
      <c r="AJ7143">
        <v>0</v>
      </c>
      <c r="AK7143">
        <v>198.59</v>
      </c>
      <c r="AN7143" t="s">
        <v>7439</v>
      </c>
      <c r="AO7143">
        <v>24804</v>
      </c>
      <c r="AR7143" t="s">
        <v>46381</v>
      </c>
      <c r="AS7143" t="s">
        <v>46499</v>
      </c>
      <c r="AT7143" t="s">
        <v>46556</v>
      </c>
      <c r="AU7143">
        <v>9.800000000000001</v>
      </c>
      <c r="AV7143" t="s">
        <v>816</v>
      </c>
      <c r="AW7143" t="s">
        <v>46831</v>
      </c>
    </row>
    <row r="7144" spans="1:50">
      <c r="A7144" s="1">
        <f>HYPERLINK("https://lsnyc.legalserver.org/matter/dynamic-profile/view/1895796","19-1895796")</f>
        <v>0</v>
      </c>
      <c r="B7144" t="s">
        <v>130</v>
      </c>
      <c r="C7144" t="s">
        <v>341</v>
      </c>
      <c r="D7144" t="s">
        <v>795</v>
      </c>
      <c r="E7144" t="s">
        <v>720</v>
      </c>
      <c r="F7144" t="s">
        <v>3873</v>
      </c>
      <c r="G7144" t="s">
        <v>3540</v>
      </c>
      <c r="H7144" t="s">
        <v>14584</v>
      </c>
      <c r="I7144">
        <v>2</v>
      </c>
      <c r="J7144" t="s">
        <v>18901</v>
      </c>
      <c r="K7144">
        <v>11433</v>
      </c>
      <c r="L7144" t="s">
        <v>18958</v>
      </c>
      <c r="M7144" t="s">
        <v>18958</v>
      </c>
      <c r="N7144" t="s">
        <v>24051</v>
      </c>
      <c r="O7144" t="s">
        <v>26524</v>
      </c>
      <c r="P7144" t="s">
        <v>26560</v>
      </c>
      <c r="Q7144" t="s">
        <v>26568</v>
      </c>
      <c r="R7144" t="s">
        <v>26585</v>
      </c>
      <c r="S7144" t="s">
        <v>18959</v>
      </c>
      <c r="U7144" t="s">
        <v>26604</v>
      </c>
      <c r="V7144" t="s">
        <v>26610</v>
      </c>
      <c r="W7144" t="s">
        <v>800</v>
      </c>
      <c r="X7144">
        <v>1500</v>
      </c>
      <c r="Y7144" t="s">
        <v>26653</v>
      </c>
      <c r="Z7144" t="s">
        <v>26668</v>
      </c>
      <c r="AA7144" t="s">
        <v>26678</v>
      </c>
      <c r="AB7144" t="s">
        <v>32081</v>
      </c>
      <c r="AD7144" t="s">
        <v>42408</v>
      </c>
      <c r="AE7144">
        <v>3</v>
      </c>
      <c r="AF7144" t="s">
        <v>45547</v>
      </c>
      <c r="AG7144" t="s">
        <v>45556</v>
      </c>
      <c r="AH7144">
        <v>5</v>
      </c>
      <c r="AI7144">
        <v>3</v>
      </c>
      <c r="AJ7144">
        <v>1</v>
      </c>
      <c r="AK7144">
        <v>226.17</v>
      </c>
      <c r="AL7144" t="s">
        <v>800</v>
      </c>
      <c r="AM7144" t="s">
        <v>45575</v>
      </c>
      <c r="AN7144" t="s">
        <v>7439</v>
      </c>
      <c r="AO7144">
        <v>58240</v>
      </c>
      <c r="AQ7144" t="s">
        <v>46359</v>
      </c>
      <c r="AR7144" t="s">
        <v>46379</v>
      </c>
      <c r="AS7144" t="s">
        <v>46499</v>
      </c>
      <c r="AT7144" t="s">
        <v>46762</v>
      </c>
      <c r="AU7144">
        <v>12.05</v>
      </c>
      <c r="AV7144" t="s">
        <v>816</v>
      </c>
      <c r="AW7144" t="s">
        <v>46842</v>
      </c>
      <c r="AX7144" t="s">
        <v>46897</v>
      </c>
    </row>
    <row r="7145" spans="1:50">
      <c r="A7145" s="1">
        <f>HYPERLINK("https://lsnyc.legalserver.org/matter/dynamic-profile/view/1895765","19-1895765")</f>
        <v>0</v>
      </c>
      <c r="B7145" t="s">
        <v>87</v>
      </c>
      <c r="C7145" t="s">
        <v>340</v>
      </c>
      <c r="D7145" t="s">
        <v>795</v>
      </c>
      <c r="F7145" t="s">
        <v>1025</v>
      </c>
      <c r="G7145" t="s">
        <v>8224</v>
      </c>
      <c r="H7145" t="s">
        <v>13650</v>
      </c>
      <c r="I7145" t="s">
        <v>17272</v>
      </c>
      <c r="J7145" t="s">
        <v>18892</v>
      </c>
      <c r="K7145">
        <v>10472</v>
      </c>
      <c r="L7145" t="s">
        <v>18958</v>
      </c>
      <c r="M7145" t="s">
        <v>18958</v>
      </c>
      <c r="N7145" t="s">
        <v>24052</v>
      </c>
      <c r="O7145" t="s">
        <v>26523</v>
      </c>
      <c r="P7145" t="s">
        <v>26560</v>
      </c>
      <c r="R7145" t="s">
        <v>26577</v>
      </c>
      <c r="S7145" t="s">
        <v>18959</v>
      </c>
      <c r="U7145" t="s">
        <v>26604</v>
      </c>
      <c r="W7145" t="s">
        <v>800</v>
      </c>
      <c r="X7145">
        <v>1103</v>
      </c>
      <c r="Y7145" t="s">
        <v>26650</v>
      </c>
      <c r="AB7145" t="s">
        <v>31050</v>
      </c>
      <c r="AD7145" t="s">
        <v>42409</v>
      </c>
      <c r="AE7145">
        <v>11</v>
      </c>
      <c r="AF7145" t="s">
        <v>20460</v>
      </c>
      <c r="AH7145">
        <v>40</v>
      </c>
      <c r="AI7145">
        <v>1</v>
      </c>
      <c r="AJ7145">
        <v>0</v>
      </c>
      <c r="AK7145">
        <v>32.03</v>
      </c>
      <c r="AN7145" t="s">
        <v>7439</v>
      </c>
      <c r="AO7145">
        <v>4000</v>
      </c>
      <c r="AU7145">
        <v>5.5</v>
      </c>
      <c r="AV7145" t="s">
        <v>804</v>
      </c>
      <c r="AW7145" t="s">
        <v>46870</v>
      </c>
      <c r="AX7145" t="s">
        <v>46897</v>
      </c>
    </row>
    <row r="7146" spans="1:50">
      <c r="A7146" s="1">
        <f>HYPERLINK("https://lsnyc.legalserver.org/matter/dynamic-profile/view/1895978","19-1895978")</f>
        <v>0</v>
      </c>
      <c r="B7146" t="s">
        <v>105</v>
      </c>
      <c r="C7146" t="s">
        <v>341</v>
      </c>
      <c r="D7146" t="s">
        <v>791</v>
      </c>
      <c r="E7146" t="s">
        <v>828</v>
      </c>
      <c r="F7146" t="s">
        <v>1024</v>
      </c>
      <c r="G7146" t="s">
        <v>5331</v>
      </c>
      <c r="H7146" t="s">
        <v>10383</v>
      </c>
      <c r="I7146" t="s">
        <v>17347</v>
      </c>
      <c r="J7146" t="s">
        <v>18901</v>
      </c>
      <c r="K7146">
        <v>11433</v>
      </c>
      <c r="L7146" t="s">
        <v>18958</v>
      </c>
      <c r="M7146" t="s">
        <v>18958</v>
      </c>
      <c r="N7146" t="s">
        <v>24053</v>
      </c>
      <c r="O7146" t="s">
        <v>26523</v>
      </c>
      <c r="P7146" t="s">
        <v>26560</v>
      </c>
      <c r="Q7146" t="s">
        <v>26568</v>
      </c>
      <c r="R7146" t="s">
        <v>26585</v>
      </c>
      <c r="S7146" t="s">
        <v>18959</v>
      </c>
      <c r="U7146" t="s">
        <v>26605</v>
      </c>
      <c r="V7146" t="s">
        <v>26610</v>
      </c>
      <c r="W7146" t="s">
        <v>800</v>
      </c>
      <c r="X7146">
        <v>197</v>
      </c>
      <c r="Y7146" t="s">
        <v>26653</v>
      </c>
      <c r="Z7146" t="s">
        <v>26659</v>
      </c>
      <c r="AA7146" t="s">
        <v>26680</v>
      </c>
      <c r="AB7146" t="s">
        <v>32082</v>
      </c>
      <c r="AD7146" t="s">
        <v>42410</v>
      </c>
      <c r="AE7146">
        <v>56</v>
      </c>
      <c r="AF7146" t="s">
        <v>45549</v>
      </c>
      <c r="AG7146" t="s">
        <v>26530</v>
      </c>
      <c r="AH7146">
        <v>4</v>
      </c>
      <c r="AI7146">
        <v>1</v>
      </c>
      <c r="AJ7146">
        <v>2</v>
      </c>
      <c r="AK7146">
        <v>188.94</v>
      </c>
      <c r="AN7146" t="s">
        <v>7439</v>
      </c>
      <c r="AO7146">
        <v>40300</v>
      </c>
      <c r="AR7146" t="s">
        <v>46383</v>
      </c>
      <c r="AS7146" t="s">
        <v>46499</v>
      </c>
      <c r="AT7146" t="s">
        <v>46744</v>
      </c>
      <c r="AU7146">
        <v>1.17</v>
      </c>
      <c r="AV7146" t="s">
        <v>772</v>
      </c>
      <c r="AW7146" t="s">
        <v>46841</v>
      </c>
      <c r="AX7146" t="s">
        <v>46897</v>
      </c>
    </row>
    <row r="7147" spans="1:50">
      <c r="A7147" s="1">
        <f>HYPERLINK("https://lsnyc.legalserver.org/matter/dynamic-profile/view/1896053","19-1896053")</f>
        <v>0</v>
      </c>
      <c r="B7147" t="s">
        <v>183</v>
      </c>
      <c r="C7147" t="s">
        <v>341</v>
      </c>
      <c r="D7147" t="s">
        <v>800</v>
      </c>
      <c r="E7147" t="s">
        <v>834</v>
      </c>
      <c r="F7147" t="s">
        <v>2239</v>
      </c>
      <c r="G7147" t="s">
        <v>5721</v>
      </c>
      <c r="H7147" t="s">
        <v>14585</v>
      </c>
      <c r="I7147" t="s">
        <v>18435</v>
      </c>
      <c r="J7147" t="s">
        <v>18892</v>
      </c>
      <c r="K7147">
        <v>10463</v>
      </c>
      <c r="L7147" t="s">
        <v>18958</v>
      </c>
      <c r="M7147" t="s">
        <v>18958</v>
      </c>
      <c r="N7147" t="s">
        <v>24054</v>
      </c>
      <c r="O7147" t="s">
        <v>26523</v>
      </c>
      <c r="P7147" t="s">
        <v>26564</v>
      </c>
      <c r="Q7147" t="s">
        <v>26570</v>
      </c>
      <c r="R7147" t="s">
        <v>26582</v>
      </c>
      <c r="S7147" t="s">
        <v>18959</v>
      </c>
      <c r="U7147" t="s">
        <v>26605</v>
      </c>
      <c r="V7147" t="s">
        <v>26610</v>
      </c>
      <c r="W7147" t="s">
        <v>800</v>
      </c>
      <c r="X7147">
        <v>283</v>
      </c>
      <c r="Y7147" t="s">
        <v>26651</v>
      </c>
      <c r="Z7147" t="s">
        <v>26664</v>
      </c>
      <c r="AA7147" t="s">
        <v>26683</v>
      </c>
      <c r="AB7147" t="s">
        <v>29045</v>
      </c>
      <c r="AD7147" t="s">
        <v>42411</v>
      </c>
      <c r="AE7147">
        <v>0</v>
      </c>
      <c r="AF7147" t="s">
        <v>45542</v>
      </c>
      <c r="AG7147" t="s">
        <v>19330</v>
      </c>
      <c r="AH7147">
        <v>22</v>
      </c>
      <c r="AI7147">
        <v>1</v>
      </c>
      <c r="AJ7147">
        <v>1</v>
      </c>
      <c r="AK7147">
        <v>16.76</v>
      </c>
      <c r="AN7147" t="s">
        <v>7439</v>
      </c>
      <c r="AO7147">
        <v>2834</v>
      </c>
      <c r="AU7147">
        <v>0.7</v>
      </c>
      <c r="AV7147" t="s">
        <v>800</v>
      </c>
      <c r="AW7147" t="s">
        <v>46835</v>
      </c>
    </row>
    <row r="7148" spans="1:50">
      <c r="A7148" s="1">
        <f>HYPERLINK("https://lsnyc.legalserver.org/matter/dynamic-profile/view/1896066","19-1896066")</f>
        <v>0</v>
      </c>
      <c r="B7148" t="s">
        <v>183</v>
      </c>
      <c r="C7148" t="s">
        <v>340</v>
      </c>
      <c r="D7148" t="s">
        <v>800</v>
      </c>
      <c r="F7148" t="s">
        <v>1120</v>
      </c>
      <c r="G7148" t="s">
        <v>8225</v>
      </c>
      <c r="H7148" t="s">
        <v>14586</v>
      </c>
      <c r="I7148" t="s">
        <v>17388</v>
      </c>
      <c r="J7148" t="s">
        <v>18893</v>
      </c>
      <c r="K7148">
        <v>10013</v>
      </c>
      <c r="L7148" t="s">
        <v>18958</v>
      </c>
      <c r="M7148" t="s">
        <v>18958</v>
      </c>
      <c r="N7148" t="s">
        <v>24055</v>
      </c>
      <c r="O7148" t="s">
        <v>26523</v>
      </c>
      <c r="P7148" t="s">
        <v>26564</v>
      </c>
      <c r="R7148" t="s">
        <v>26582</v>
      </c>
      <c r="S7148" t="s">
        <v>18959</v>
      </c>
      <c r="U7148" t="s">
        <v>26604</v>
      </c>
      <c r="V7148" t="s">
        <v>26611</v>
      </c>
      <c r="W7148" t="s">
        <v>800</v>
      </c>
      <c r="X7148">
        <v>2850</v>
      </c>
      <c r="Y7148" t="s">
        <v>26651</v>
      </c>
      <c r="Z7148" t="s">
        <v>26664</v>
      </c>
      <c r="AB7148" t="s">
        <v>32083</v>
      </c>
      <c r="AD7148" t="s">
        <v>42412</v>
      </c>
      <c r="AE7148">
        <v>0</v>
      </c>
      <c r="AF7148" t="s">
        <v>20460</v>
      </c>
      <c r="AG7148" t="s">
        <v>19330</v>
      </c>
      <c r="AH7148">
        <v>5</v>
      </c>
      <c r="AI7148">
        <v>1</v>
      </c>
      <c r="AJ7148">
        <v>0</v>
      </c>
      <c r="AK7148">
        <v>0</v>
      </c>
      <c r="AN7148" t="s">
        <v>7439</v>
      </c>
      <c r="AO7148">
        <v>0</v>
      </c>
      <c r="AU7148">
        <v>0.25</v>
      </c>
      <c r="AV7148" t="s">
        <v>767</v>
      </c>
      <c r="AW7148" t="s">
        <v>46875</v>
      </c>
    </row>
    <row r="7149" spans="1:50">
      <c r="A7149" s="1">
        <f>HYPERLINK("https://lsnyc.legalserver.org/matter/dynamic-profile/view/1896021","19-1896021")</f>
        <v>0</v>
      </c>
      <c r="B7149" t="s">
        <v>183</v>
      </c>
      <c r="C7149" t="s">
        <v>340</v>
      </c>
      <c r="D7149" t="s">
        <v>800</v>
      </c>
      <c r="F7149" t="s">
        <v>3874</v>
      </c>
      <c r="G7149" t="s">
        <v>8226</v>
      </c>
      <c r="H7149" t="s">
        <v>14587</v>
      </c>
      <c r="I7149" t="s">
        <v>17516</v>
      </c>
      <c r="J7149" t="s">
        <v>18893</v>
      </c>
      <c r="K7149">
        <v>10029</v>
      </c>
      <c r="L7149" t="s">
        <v>18958</v>
      </c>
      <c r="M7149" t="s">
        <v>18960</v>
      </c>
      <c r="N7149" t="s">
        <v>24056</v>
      </c>
      <c r="O7149" t="s">
        <v>26523</v>
      </c>
      <c r="P7149" t="s">
        <v>26564</v>
      </c>
      <c r="R7149" t="s">
        <v>26582</v>
      </c>
      <c r="S7149" t="s">
        <v>18959</v>
      </c>
      <c r="U7149" t="s">
        <v>26605</v>
      </c>
      <c r="V7149" t="s">
        <v>26609</v>
      </c>
      <c r="W7149" t="s">
        <v>800</v>
      </c>
      <c r="X7149">
        <v>543.6</v>
      </c>
      <c r="Y7149" t="s">
        <v>26651</v>
      </c>
      <c r="Z7149" t="s">
        <v>26664</v>
      </c>
      <c r="AB7149" t="s">
        <v>32084</v>
      </c>
      <c r="AC7149" t="s">
        <v>36274</v>
      </c>
      <c r="AD7149" t="s">
        <v>42413</v>
      </c>
      <c r="AE7149">
        <v>0</v>
      </c>
      <c r="AF7149" t="s">
        <v>45549</v>
      </c>
      <c r="AG7149" t="s">
        <v>19330</v>
      </c>
      <c r="AH7149">
        <v>33</v>
      </c>
      <c r="AI7149">
        <v>2</v>
      </c>
      <c r="AJ7149">
        <v>0</v>
      </c>
      <c r="AK7149">
        <v>80.19</v>
      </c>
      <c r="AN7149" t="s">
        <v>7439</v>
      </c>
      <c r="AO7149">
        <v>13560</v>
      </c>
      <c r="AU7149">
        <v>0</v>
      </c>
      <c r="AW7149" t="s">
        <v>46875</v>
      </c>
    </row>
    <row r="7150" spans="1:50">
      <c r="A7150" s="1">
        <f>HYPERLINK("https://lsnyc.legalserver.org/matter/dynamic-profile/view/1896086","19-1896086")</f>
        <v>0</v>
      </c>
      <c r="B7150" t="s">
        <v>183</v>
      </c>
      <c r="C7150" t="s">
        <v>340</v>
      </c>
      <c r="D7150" t="s">
        <v>800</v>
      </c>
      <c r="F7150" t="s">
        <v>1161</v>
      </c>
      <c r="G7150" t="s">
        <v>8227</v>
      </c>
      <c r="H7150" t="s">
        <v>14588</v>
      </c>
      <c r="I7150" t="s">
        <v>17522</v>
      </c>
      <c r="J7150" t="s">
        <v>18893</v>
      </c>
      <c r="K7150">
        <v>10033</v>
      </c>
      <c r="L7150" t="s">
        <v>18958</v>
      </c>
      <c r="M7150" t="s">
        <v>18958</v>
      </c>
      <c r="N7150" t="s">
        <v>24057</v>
      </c>
      <c r="O7150" t="s">
        <v>26524</v>
      </c>
      <c r="P7150" t="s">
        <v>26564</v>
      </c>
      <c r="R7150" t="s">
        <v>26582</v>
      </c>
      <c r="S7150" t="s">
        <v>18959</v>
      </c>
      <c r="U7150" t="s">
        <v>26604</v>
      </c>
      <c r="V7150" t="s">
        <v>26610</v>
      </c>
      <c r="W7150" t="s">
        <v>800</v>
      </c>
      <c r="X7150">
        <v>1200</v>
      </c>
      <c r="Y7150" t="s">
        <v>26651</v>
      </c>
      <c r="Z7150" t="s">
        <v>26663</v>
      </c>
      <c r="AB7150" t="s">
        <v>32085</v>
      </c>
      <c r="AD7150" t="s">
        <v>42414</v>
      </c>
      <c r="AE7150">
        <v>0</v>
      </c>
      <c r="AF7150" t="s">
        <v>20460</v>
      </c>
      <c r="AG7150" t="s">
        <v>19330</v>
      </c>
      <c r="AH7150">
        <v>24</v>
      </c>
      <c r="AI7150">
        <v>4</v>
      </c>
      <c r="AJ7150">
        <v>0</v>
      </c>
      <c r="AK7150">
        <v>98.01000000000001</v>
      </c>
      <c r="AN7150" t="s">
        <v>7439</v>
      </c>
      <c r="AO7150">
        <v>25236.5</v>
      </c>
      <c r="AU7150">
        <v>0.7</v>
      </c>
      <c r="AV7150" t="s">
        <v>800</v>
      </c>
      <c r="AW7150" t="s">
        <v>46835</v>
      </c>
    </row>
    <row r="7151" spans="1:50">
      <c r="A7151" s="1">
        <f>HYPERLINK("https://lsnyc.legalserver.org/matter/dynamic-profile/view/1896098","19-1896098")</f>
        <v>0</v>
      </c>
      <c r="B7151" t="s">
        <v>183</v>
      </c>
      <c r="C7151" t="s">
        <v>340</v>
      </c>
      <c r="D7151" t="s">
        <v>800</v>
      </c>
      <c r="F7151" t="s">
        <v>1348</v>
      </c>
      <c r="G7151" t="s">
        <v>7537</v>
      </c>
      <c r="H7151" t="s">
        <v>14589</v>
      </c>
      <c r="I7151" t="s">
        <v>18210</v>
      </c>
      <c r="J7151" t="s">
        <v>18893</v>
      </c>
      <c r="K7151">
        <v>10037</v>
      </c>
      <c r="L7151" t="s">
        <v>18958</v>
      </c>
      <c r="M7151" t="s">
        <v>18958</v>
      </c>
      <c r="N7151" t="s">
        <v>24058</v>
      </c>
      <c r="O7151" t="s">
        <v>18997</v>
      </c>
      <c r="P7151" t="s">
        <v>26564</v>
      </c>
      <c r="R7151" t="s">
        <v>26582</v>
      </c>
      <c r="S7151" t="s">
        <v>18959</v>
      </c>
      <c r="U7151" t="s">
        <v>26604</v>
      </c>
      <c r="V7151" t="s">
        <v>26610</v>
      </c>
      <c r="W7151" t="s">
        <v>800</v>
      </c>
      <c r="X7151">
        <v>2300</v>
      </c>
      <c r="Y7151" t="s">
        <v>26651</v>
      </c>
      <c r="Z7151" t="s">
        <v>26663</v>
      </c>
      <c r="AB7151" t="s">
        <v>32086</v>
      </c>
      <c r="AD7151" t="s">
        <v>42415</v>
      </c>
      <c r="AE7151">
        <v>0</v>
      </c>
      <c r="AF7151" t="s">
        <v>45541</v>
      </c>
      <c r="AG7151" t="s">
        <v>19330</v>
      </c>
      <c r="AH7151">
        <v>3</v>
      </c>
      <c r="AI7151">
        <v>2</v>
      </c>
      <c r="AJ7151">
        <v>1</v>
      </c>
      <c r="AK7151">
        <v>225.04</v>
      </c>
      <c r="AN7151" t="s">
        <v>7439</v>
      </c>
      <c r="AO7151">
        <v>48000</v>
      </c>
      <c r="AU7151">
        <v>0.7</v>
      </c>
      <c r="AV7151" t="s">
        <v>800</v>
      </c>
      <c r="AW7151" t="s">
        <v>46835</v>
      </c>
    </row>
    <row r="7152" spans="1:50">
      <c r="A7152" s="1">
        <f>HYPERLINK("https://lsnyc.legalserver.org/matter/dynamic-profile/view/1896042","19-1896042")</f>
        <v>0</v>
      </c>
      <c r="B7152" t="s">
        <v>282</v>
      </c>
      <c r="C7152" t="s">
        <v>340</v>
      </c>
      <c r="D7152" t="s">
        <v>800</v>
      </c>
      <c r="F7152" t="s">
        <v>1053</v>
      </c>
      <c r="G7152" t="s">
        <v>5234</v>
      </c>
      <c r="H7152" t="s">
        <v>9822</v>
      </c>
      <c r="I7152" t="s">
        <v>17347</v>
      </c>
      <c r="J7152" t="s">
        <v>18913</v>
      </c>
      <c r="K7152">
        <v>11106</v>
      </c>
      <c r="L7152" t="s">
        <v>18958</v>
      </c>
      <c r="M7152" t="s">
        <v>18958</v>
      </c>
      <c r="N7152" t="s">
        <v>24059</v>
      </c>
      <c r="O7152" t="s">
        <v>26523</v>
      </c>
      <c r="P7152" t="s">
        <v>26560</v>
      </c>
      <c r="R7152" t="s">
        <v>26584</v>
      </c>
      <c r="S7152" t="s">
        <v>18959</v>
      </c>
      <c r="U7152" t="s">
        <v>26604</v>
      </c>
      <c r="V7152" t="s">
        <v>26610</v>
      </c>
      <c r="W7152" t="s">
        <v>800</v>
      </c>
      <c r="X7152">
        <v>1087</v>
      </c>
      <c r="Y7152" t="s">
        <v>26653</v>
      </c>
      <c r="Z7152" t="s">
        <v>26664</v>
      </c>
      <c r="AB7152" t="s">
        <v>26908</v>
      </c>
      <c r="AD7152" t="s">
        <v>37003</v>
      </c>
      <c r="AE7152">
        <v>39</v>
      </c>
      <c r="AF7152" t="s">
        <v>45541</v>
      </c>
      <c r="AG7152" t="s">
        <v>19330</v>
      </c>
      <c r="AH7152">
        <v>26</v>
      </c>
      <c r="AI7152">
        <v>3</v>
      </c>
      <c r="AJ7152">
        <v>4</v>
      </c>
      <c r="AK7152">
        <v>96.05</v>
      </c>
      <c r="AN7152" t="s">
        <v>45582</v>
      </c>
      <c r="AO7152">
        <v>37468</v>
      </c>
      <c r="AU7152">
        <v>11.45</v>
      </c>
      <c r="AV7152" t="s">
        <v>770</v>
      </c>
      <c r="AW7152" t="s">
        <v>122</v>
      </c>
    </row>
    <row r="7153" spans="1:50">
      <c r="A7153" s="1">
        <f>HYPERLINK("https://lsnyc.legalserver.org/matter/dynamic-profile/view/1896090","19-1896090")</f>
        <v>0</v>
      </c>
      <c r="B7153" t="s">
        <v>191</v>
      </c>
      <c r="C7153" t="s">
        <v>340</v>
      </c>
      <c r="D7153" t="s">
        <v>800</v>
      </c>
      <c r="F7153" t="s">
        <v>1068</v>
      </c>
      <c r="G7153" t="s">
        <v>8228</v>
      </c>
      <c r="H7153" t="s">
        <v>14590</v>
      </c>
      <c r="I7153">
        <v>5</v>
      </c>
      <c r="J7153" t="s">
        <v>18893</v>
      </c>
      <c r="K7153">
        <v>10028</v>
      </c>
      <c r="L7153" t="s">
        <v>18958</v>
      </c>
      <c r="M7153" t="s">
        <v>18958</v>
      </c>
      <c r="N7153" t="s">
        <v>24060</v>
      </c>
      <c r="O7153" t="s">
        <v>26524</v>
      </c>
      <c r="P7153" t="s">
        <v>26564</v>
      </c>
      <c r="R7153" t="s">
        <v>26582</v>
      </c>
      <c r="S7153" t="s">
        <v>18959</v>
      </c>
      <c r="U7153" t="s">
        <v>26604</v>
      </c>
      <c r="W7153" t="s">
        <v>800</v>
      </c>
      <c r="X7153">
        <v>1150</v>
      </c>
      <c r="Y7153" t="s">
        <v>26651</v>
      </c>
      <c r="Z7153" t="s">
        <v>26663</v>
      </c>
      <c r="AB7153" t="s">
        <v>32087</v>
      </c>
      <c r="AD7153" t="s">
        <v>42416</v>
      </c>
      <c r="AE7153">
        <v>0</v>
      </c>
      <c r="AF7153" t="s">
        <v>45541</v>
      </c>
      <c r="AG7153" t="s">
        <v>19330</v>
      </c>
      <c r="AH7153">
        <v>21</v>
      </c>
      <c r="AI7153">
        <v>1</v>
      </c>
      <c r="AJ7153">
        <v>0</v>
      </c>
      <c r="AK7153">
        <v>56.04</v>
      </c>
      <c r="AN7153" t="s">
        <v>7439</v>
      </c>
      <c r="AO7153">
        <v>7000</v>
      </c>
      <c r="AU7153">
        <v>0.2</v>
      </c>
      <c r="AV7153" t="s">
        <v>763</v>
      </c>
      <c r="AW7153" t="s">
        <v>46875</v>
      </c>
    </row>
    <row r="7154" spans="1:50">
      <c r="A7154" s="1">
        <f>HYPERLINK("https://lsnyc.legalserver.org/matter/dynamic-profile/view/1896077","19-1896077")</f>
        <v>0</v>
      </c>
      <c r="B7154" t="s">
        <v>191</v>
      </c>
      <c r="C7154" t="s">
        <v>340</v>
      </c>
      <c r="D7154" t="s">
        <v>800</v>
      </c>
      <c r="F7154" t="s">
        <v>3875</v>
      </c>
      <c r="G7154" t="s">
        <v>8229</v>
      </c>
      <c r="H7154" t="s">
        <v>14591</v>
      </c>
      <c r="I7154" t="s">
        <v>17465</v>
      </c>
      <c r="J7154" t="s">
        <v>18892</v>
      </c>
      <c r="K7154">
        <v>10463</v>
      </c>
      <c r="L7154" t="s">
        <v>18958</v>
      </c>
      <c r="M7154" t="s">
        <v>18960</v>
      </c>
      <c r="N7154" t="s">
        <v>24061</v>
      </c>
      <c r="O7154" t="s">
        <v>26524</v>
      </c>
      <c r="P7154" t="s">
        <v>26564</v>
      </c>
      <c r="R7154" t="s">
        <v>26582</v>
      </c>
      <c r="S7154" t="s">
        <v>18959</v>
      </c>
      <c r="U7154" t="s">
        <v>26605</v>
      </c>
      <c r="W7154" t="s">
        <v>800</v>
      </c>
      <c r="X7154">
        <v>527</v>
      </c>
      <c r="Y7154" t="s">
        <v>26651</v>
      </c>
      <c r="Z7154" t="s">
        <v>26664</v>
      </c>
      <c r="AB7154" t="s">
        <v>32088</v>
      </c>
      <c r="AC7154" t="s">
        <v>36275</v>
      </c>
      <c r="AD7154" t="s">
        <v>42417</v>
      </c>
      <c r="AE7154">
        <v>0</v>
      </c>
      <c r="AF7154" t="s">
        <v>45549</v>
      </c>
      <c r="AG7154" t="s">
        <v>19330</v>
      </c>
      <c r="AH7154">
        <v>14</v>
      </c>
      <c r="AI7154">
        <v>1</v>
      </c>
      <c r="AJ7154">
        <v>0</v>
      </c>
      <c r="AK7154">
        <v>177.74</v>
      </c>
      <c r="AN7154" t="s">
        <v>7439</v>
      </c>
      <c r="AO7154">
        <v>22200</v>
      </c>
      <c r="AU7154">
        <v>0.3</v>
      </c>
      <c r="AV7154" t="s">
        <v>800</v>
      </c>
      <c r="AW7154" t="s">
        <v>46875</v>
      </c>
    </row>
    <row r="7155" spans="1:50">
      <c r="A7155" s="1">
        <f>HYPERLINK("https://lsnyc.legalserver.org/matter/dynamic-profile/view/1896028","19-1896028")</f>
        <v>0</v>
      </c>
      <c r="B7155" t="s">
        <v>191</v>
      </c>
      <c r="C7155" t="s">
        <v>340</v>
      </c>
      <c r="D7155" t="s">
        <v>800</v>
      </c>
      <c r="F7155" t="s">
        <v>1944</v>
      </c>
      <c r="G7155" t="s">
        <v>3138</v>
      </c>
      <c r="H7155" t="s">
        <v>14592</v>
      </c>
      <c r="I7155" t="s">
        <v>17273</v>
      </c>
      <c r="J7155" t="s">
        <v>18893</v>
      </c>
      <c r="K7155">
        <v>10026</v>
      </c>
      <c r="L7155" t="s">
        <v>18958</v>
      </c>
      <c r="M7155" t="s">
        <v>18960</v>
      </c>
      <c r="N7155" t="s">
        <v>24062</v>
      </c>
      <c r="O7155" t="s">
        <v>26523</v>
      </c>
      <c r="P7155" t="s">
        <v>26560</v>
      </c>
      <c r="R7155" t="s">
        <v>26580</v>
      </c>
      <c r="S7155" t="s">
        <v>18959</v>
      </c>
      <c r="U7155" t="s">
        <v>26605</v>
      </c>
      <c r="V7155" t="s">
        <v>26612</v>
      </c>
      <c r="W7155" t="s">
        <v>800</v>
      </c>
      <c r="X7155">
        <v>387</v>
      </c>
      <c r="Y7155" t="s">
        <v>26651</v>
      </c>
      <c r="Z7155" t="s">
        <v>26655</v>
      </c>
      <c r="AB7155" t="s">
        <v>29425</v>
      </c>
      <c r="AC7155" t="s">
        <v>36276</v>
      </c>
      <c r="AD7155" t="s">
        <v>42418</v>
      </c>
      <c r="AE7155">
        <v>0</v>
      </c>
      <c r="AF7155" t="s">
        <v>45549</v>
      </c>
      <c r="AG7155" t="s">
        <v>19330</v>
      </c>
      <c r="AH7155">
        <v>3</v>
      </c>
      <c r="AI7155">
        <v>1</v>
      </c>
      <c r="AJ7155">
        <v>5</v>
      </c>
      <c r="AK7155">
        <v>49.64</v>
      </c>
      <c r="AN7155" t="s">
        <v>45581</v>
      </c>
      <c r="AO7155">
        <v>17172</v>
      </c>
      <c r="AU7155">
        <v>0.7</v>
      </c>
      <c r="AV7155" t="s">
        <v>800</v>
      </c>
      <c r="AW7155" t="s">
        <v>46875</v>
      </c>
    </row>
    <row r="7156" spans="1:50">
      <c r="A7156" s="1">
        <f>HYPERLINK("https://lsnyc.legalserver.org/matter/dynamic-profile/view/1896029","19-1896029")</f>
        <v>0</v>
      </c>
      <c r="B7156" t="s">
        <v>56</v>
      </c>
      <c r="C7156" t="s">
        <v>340</v>
      </c>
      <c r="D7156" t="s">
        <v>800</v>
      </c>
      <c r="F7156" t="s">
        <v>3876</v>
      </c>
      <c r="G7156" t="s">
        <v>8230</v>
      </c>
      <c r="H7156" t="s">
        <v>14593</v>
      </c>
      <c r="I7156" t="s">
        <v>17355</v>
      </c>
      <c r="J7156" t="s">
        <v>18892</v>
      </c>
      <c r="K7156">
        <v>10467</v>
      </c>
      <c r="L7156" t="s">
        <v>18958</v>
      </c>
      <c r="M7156" t="s">
        <v>18958</v>
      </c>
      <c r="N7156" t="s">
        <v>24063</v>
      </c>
      <c r="O7156" t="s">
        <v>26523</v>
      </c>
      <c r="P7156" t="s">
        <v>26560</v>
      </c>
      <c r="R7156" t="s">
        <v>26579</v>
      </c>
      <c r="S7156" t="s">
        <v>18959</v>
      </c>
      <c r="U7156" t="s">
        <v>26604</v>
      </c>
      <c r="V7156" t="s">
        <v>26609</v>
      </c>
      <c r="W7156" t="s">
        <v>800</v>
      </c>
      <c r="X7156">
        <v>2100</v>
      </c>
      <c r="Y7156" t="s">
        <v>26650</v>
      </c>
      <c r="Z7156" t="s">
        <v>26664</v>
      </c>
      <c r="AB7156" t="s">
        <v>32089</v>
      </c>
      <c r="AC7156" t="s">
        <v>36277</v>
      </c>
      <c r="AD7156" t="s">
        <v>42419</v>
      </c>
      <c r="AE7156">
        <v>44</v>
      </c>
      <c r="AF7156" t="s">
        <v>45541</v>
      </c>
      <c r="AG7156" t="s">
        <v>26530</v>
      </c>
      <c r="AH7156">
        <v>2</v>
      </c>
      <c r="AI7156">
        <v>5</v>
      </c>
      <c r="AJ7156">
        <v>0</v>
      </c>
      <c r="AK7156">
        <v>11.38</v>
      </c>
      <c r="AN7156" t="s">
        <v>45592</v>
      </c>
      <c r="AO7156">
        <v>3432</v>
      </c>
      <c r="AU7156">
        <v>2</v>
      </c>
      <c r="AV7156" t="s">
        <v>792</v>
      </c>
      <c r="AW7156" t="s">
        <v>46847</v>
      </c>
      <c r="AX7156" t="s">
        <v>46897</v>
      </c>
    </row>
    <row r="7157" spans="1:50">
      <c r="A7157" s="1">
        <f>HYPERLINK("https://lsnyc.legalserver.org/matter/dynamic-profile/view/1896119","19-1896119")</f>
        <v>0</v>
      </c>
      <c r="B7157" t="s">
        <v>65</v>
      </c>
      <c r="C7157" t="s">
        <v>340</v>
      </c>
      <c r="D7157" t="s">
        <v>800</v>
      </c>
      <c r="F7157" t="s">
        <v>1225</v>
      </c>
      <c r="G7157" t="s">
        <v>1725</v>
      </c>
      <c r="H7157" t="s">
        <v>14594</v>
      </c>
      <c r="I7157">
        <v>55</v>
      </c>
      <c r="J7157" t="s">
        <v>18892</v>
      </c>
      <c r="K7157">
        <v>10468</v>
      </c>
      <c r="L7157" t="s">
        <v>18958</v>
      </c>
      <c r="M7157" t="s">
        <v>18958</v>
      </c>
      <c r="N7157" t="s">
        <v>24064</v>
      </c>
      <c r="O7157" t="s">
        <v>26523</v>
      </c>
      <c r="P7157" t="s">
        <v>26560</v>
      </c>
      <c r="R7157" t="s">
        <v>26579</v>
      </c>
      <c r="S7157" t="s">
        <v>18959</v>
      </c>
      <c r="U7157" t="s">
        <v>26604</v>
      </c>
      <c r="W7157" t="s">
        <v>800</v>
      </c>
      <c r="X7157">
        <v>1515</v>
      </c>
      <c r="Y7157" t="s">
        <v>26650</v>
      </c>
      <c r="Z7157" t="s">
        <v>26664</v>
      </c>
      <c r="AB7157" t="s">
        <v>30357</v>
      </c>
      <c r="AC7157" t="s">
        <v>36278</v>
      </c>
      <c r="AD7157" t="s">
        <v>42420</v>
      </c>
      <c r="AE7157">
        <v>26</v>
      </c>
      <c r="AF7157" t="s">
        <v>20460</v>
      </c>
      <c r="AG7157" t="s">
        <v>45562</v>
      </c>
      <c r="AH7157">
        <v>4</v>
      </c>
      <c r="AI7157">
        <v>2</v>
      </c>
      <c r="AJ7157">
        <v>2</v>
      </c>
      <c r="AK7157">
        <v>35.54</v>
      </c>
      <c r="AN7157" t="s">
        <v>7439</v>
      </c>
      <c r="AO7157">
        <v>9152</v>
      </c>
      <c r="AQ7157" t="s">
        <v>46365</v>
      </c>
      <c r="AR7157" t="s">
        <v>46379</v>
      </c>
      <c r="AS7157" t="s">
        <v>46499</v>
      </c>
      <c r="AT7157" t="s">
        <v>46746</v>
      </c>
      <c r="AU7157">
        <v>19.45</v>
      </c>
      <c r="AV7157" t="s">
        <v>834</v>
      </c>
      <c r="AW7157" t="s">
        <v>46871</v>
      </c>
    </row>
    <row r="7158" spans="1:50">
      <c r="A7158" s="1">
        <f>HYPERLINK("https://lsnyc.legalserver.org/matter/dynamic-profile/view/1896019","19-1896019")</f>
        <v>0</v>
      </c>
      <c r="B7158" t="s">
        <v>173</v>
      </c>
      <c r="C7158" t="s">
        <v>340</v>
      </c>
      <c r="D7158" t="s">
        <v>800</v>
      </c>
      <c r="F7158" t="s">
        <v>3877</v>
      </c>
      <c r="G7158" t="s">
        <v>1685</v>
      </c>
      <c r="H7158" t="s">
        <v>14595</v>
      </c>
      <c r="I7158" t="s">
        <v>17325</v>
      </c>
      <c r="J7158" t="s">
        <v>18893</v>
      </c>
      <c r="K7158">
        <v>10029</v>
      </c>
      <c r="L7158" t="s">
        <v>18958</v>
      </c>
      <c r="M7158" t="s">
        <v>18958</v>
      </c>
      <c r="N7158" t="s">
        <v>24065</v>
      </c>
      <c r="O7158" t="s">
        <v>26523</v>
      </c>
      <c r="P7158" t="s">
        <v>26564</v>
      </c>
      <c r="R7158" t="s">
        <v>26582</v>
      </c>
      <c r="S7158" t="s">
        <v>18959</v>
      </c>
      <c r="U7158" t="s">
        <v>26605</v>
      </c>
      <c r="V7158" t="s">
        <v>26610</v>
      </c>
      <c r="W7158" t="s">
        <v>800</v>
      </c>
      <c r="X7158">
        <v>225</v>
      </c>
      <c r="Y7158" t="s">
        <v>26651</v>
      </c>
      <c r="Z7158" t="s">
        <v>26664</v>
      </c>
      <c r="AB7158" t="s">
        <v>32090</v>
      </c>
      <c r="AD7158" t="s">
        <v>42421</v>
      </c>
      <c r="AE7158">
        <v>0</v>
      </c>
      <c r="AF7158" t="s">
        <v>45542</v>
      </c>
      <c r="AG7158" t="s">
        <v>19330</v>
      </c>
      <c r="AH7158">
        <v>3</v>
      </c>
      <c r="AI7158">
        <v>1</v>
      </c>
      <c r="AJ7158">
        <v>0</v>
      </c>
      <c r="AK7158">
        <v>0</v>
      </c>
      <c r="AN7158" t="s">
        <v>7439</v>
      </c>
      <c r="AO7158">
        <v>0</v>
      </c>
      <c r="AU7158">
        <v>0.7</v>
      </c>
      <c r="AV7158" t="s">
        <v>800</v>
      </c>
      <c r="AW7158" t="s">
        <v>46835</v>
      </c>
    </row>
    <row r="7159" spans="1:50">
      <c r="A7159" s="1">
        <f>HYPERLINK("https://lsnyc.legalserver.org/matter/dynamic-profile/view/1896025","19-1896025")</f>
        <v>0</v>
      </c>
      <c r="B7159" t="s">
        <v>173</v>
      </c>
      <c r="C7159" t="s">
        <v>340</v>
      </c>
      <c r="D7159" t="s">
        <v>800</v>
      </c>
      <c r="F7159" t="s">
        <v>972</v>
      </c>
      <c r="G7159" t="s">
        <v>5497</v>
      </c>
      <c r="H7159" t="s">
        <v>14596</v>
      </c>
      <c r="I7159" t="s">
        <v>18436</v>
      </c>
      <c r="J7159" t="s">
        <v>18893</v>
      </c>
      <c r="K7159">
        <v>10033</v>
      </c>
      <c r="L7159" t="s">
        <v>18958</v>
      </c>
      <c r="M7159" t="s">
        <v>18958</v>
      </c>
      <c r="N7159" t="s">
        <v>24066</v>
      </c>
      <c r="O7159" t="s">
        <v>26524</v>
      </c>
      <c r="P7159" t="s">
        <v>26564</v>
      </c>
      <c r="R7159" t="s">
        <v>26582</v>
      </c>
      <c r="S7159" t="s">
        <v>18959</v>
      </c>
      <c r="U7159" t="s">
        <v>26604</v>
      </c>
      <c r="V7159" t="s">
        <v>26610</v>
      </c>
      <c r="W7159" t="s">
        <v>800</v>
      </c>
      <c r="X7159">
        <v>0</v>
      </c>
      <c r="Y7159" t="s">
        <v>26651</v>
      </c>
      <c r="Z7159" t="s">
        <v>26664</v>
      </c>
      <c r="AB7159" t="s">
        <v>32091</v>
      </c>
      <c r="AD7159" t="s">
        <v>42422</v>
      </c>
      <c r="AE7159">
        <v>0</v>
      </c>
      <c r="AF7159" t="s">
        <v>20460</v>
      </c>
      <c r="AH7159">
        <v>3</v>
      </c>
      <c r="AI7159">
        <v>2</v>
      </c>
      <c r="AJ7159">
        <v>1</v>
      </c>
      <c r="AK7159">
        <v>54.8</v>
      </c>
      <c r="AN7159" t="s">
        <v>45581</v>
      </c>
      <c r="AO7159">
        <v>11688</v>
      </c>
      <c r="AU7159">
        <v>0.95</v>
      </c>
      <c r="AV7159" t="s">
        <v>816</v>
      </c>
      <c r="AW7159" t="s">
        <v>46835</v>
      </c>
    </row>
    <row r="7160" spans="1:50">
      <c r="A7160" s="1">
        <f>HYPERLINK("https://lsnyc.legalserver.org/matter/dynamic-profile/view/1896044","19-1896044")</f>
        <v>0</v>
      </c>
      <c r="B7160" t="s">
        <v>173</v>
      </c>
      <c r="C7160" t="s">
        <v>340</v>
      </c>
      <c r="D7160" t="s">
        <v>800</v>
      </c>
      <c r="F7160" t="s">
        <v>875</v>
      </c>
      <c r="G7160" t="s">
        <v>6467</v>
      </c>
      <c r="H7160" t="s">
        <v>14597</v>
      </c>
      <c r="I7160" t="s">
        <v>17306</v>
      </c>
      <c r="J7160" t="s">
        <v>18893</v>
      </c>
      <c r="K7160">
        <v>10002</v>
      </c>
      <c r="L7160" t="s">
        <v>18958</v>
      </c>
      <c r="M7160" t="s">
        <v>18958</v>
      </c>
      <c r="N7160" t="s">
        <v>24067</v>
      </c>
      <c r="O7160" t="s">
        <v>26526</v>
      </c>
      <c r="P7160" t="s">
        <v>26564</v>
      </c>
      <c r="R7160" t="s">
        <v>26582</v>
      </c>
      <c r="S7160" t="s">
        <v>18959</v>
      </c>
      <c r="U7160" t="s">
        <v>26605</v>
      </c>
      <c r="W7160" t="s">
        <v>800</v>
      </c>
      <c r="X7160">
        <v>192.6</v>
      </c>
      <c r="Y7160" t="s">
        <v>26651</v>
      </c>
      <c r="Z7160" t="s">
        <v>26663</v>
      </c>
      <c r="AB7160" t="s">
        <v>27155</v>
      </c>
      <c r="AD7160" t="s">
        <v>42423</v>
      </c>
      <c r="AE7160">
        <v>0</v>
      </c>
      <c r="AF7160" t="s">
        <v>45549</v>
      </c>
      <c r="AG7160" t="s">
        <v>19330</v>
      </c>
      <c r="AH7160">
        <v>32</v>
      </c>
      <c r="AI7160">
        <v>1</v>
      </c>
      <c r="AJ7160">
        <v>0</v>
      </c>
      <c r="AK7160">
        <v>72.06</v>
      </c>
      <c r="AN7160" t="s">
        <v>7439</v>
      </c>
      <c r="AO7160">
        <v>9000</v>
      </c>
      <c r="AU7160">
        <v>0</v>
      </c>
      <c r="AW7160" t="s">
        <v>46875</v>
      </c>
    </row>
    <row r="7161" spans="1:50">
      <c r="A7161" s="1">
        <f>HYPERLINK("https://lsnyc.legalserver.org/matter/dynamic-profile/view/1896064","19-1896064")</f>
        <v>0</v>
      </c>
      <c r="B7161" t="s">
        <v>173</v>
      </c>
      <c r="C7161" t="s">
        <v>340</v>
      </c>
      <c r="D7161" t="s">
        <v>800</v>
      </c>
      <c r="F7161" t="s">
        <v>1614</v>
      </c>
      <c r="G7161" t="s">
        <v>6865</v>
      </c>
      <c r="H7161" t="s">
        <v>14598</v>
      </c>
      <c r="I7161" t="s">
        <v>17356</v>
      </c>
      <c r="J7161" t="s">
        <v>18893</v>
      </c>
      <c r="K7161">
        <v>10030</v>
      </c>
      <c r="L7161" t="s">
        <v>18958</v>
      </c>
      <c r="M7161" t="s">
        <v>18958</v>
      </c>
      <c r="O7161" t="s">
        <v>26525</v>
      </c>
      <c r="P7161" t="s">
        <v>26564</v>
      </c>
      <c r="R7161" t="s">
        <v>26582</v>
      </c>
      <c r="S7161" t="s">
        <v>18959</v>
      </c>
      <c r="U7161" t="s">
        <v>26605</v>
      </c>
      <c r="V7161" t="s">
        <v>26610</v>
      </c>
      <c r="W7161" t="s">
        <v>800</v>
      </c>
      <c r="X7161">
        <v>474</v>
      </c>
      <c r="Y7161" t="s">
        <v>26651</v>
      </c>
      <c r="Z7161" t="s">
        <v>26663</v>
      </c>
      <c r="AB7161" t="s">
        <v>32092</v>
      </c>
      <c r="AD7161" t="s">
        <v>42424</v>
      </c>
      <c r="AE7161">
        <v>0</v>
      </c>
      <c r="AF7161" t="s">
        <v>45542</v>
      </c>
      <c r="AG7161" t="s">
        <v>19330</v>
      </c>
      <c r="AH7161">
        <v>28</v>
      </c>
      <c r="AI7161">
        <v>2</v>
      </c>
      <c r="AJ7161">
        <v>2</v>
      </c>
      <c r="AK7161">
        <v>83.23999999999999</v>
      </c>
      <c r="AN7161" t="s">
        <v>7439</v>
      </c>
      <c r="AO7161">
        <v>21434</v>
      </c>
      <c r="AU7161">
        <v>0.7</v>
      </c>
      <c r="AV7161" t="s">
        <v>800</v>
      </c>
      <c r="AW7161" t="s">
        <v>46835</v>
      </c>
    </row>
    <row r="7162" spans="1:50">
      <c r="A7162" s="1">
        <f>HYPERLINK("https://lsnyc.legalserver.org/matter/dynamic-profile/view/1896094","19-1896094")</f>
        <v>0</v>
      </c>
      <c r="B7162" t="s">
        <v>173</v>
      </c>
      <c r="C7162" t="s">
        <v>340</v>
      </c>
      <c r="D7162" t="s">
        <v>800</v>
      </c>
      <c r="F7162" t="s">
        <v>899</v>
      </c>
      <c r="G7162" t="s">
        <v>8231</v>
      </c>
      <c r="H7162" t="s">
        <v>14599</v>
      </c>
      <c r="I7162">
        <v>316</v>
      </c>
      <c r="J7162" t="s">
        <v>18893</v>
      </c>
      <c r="K7162">
        <v>10011</v>
      </c>
      <c r="L7162" t="s">
        <v>18958</v>
      </c>
      <c r="M7162" t="s">
        <v>18960</v>
      </c>
      <c r="N7162" t="s">
        <v>24068</v>
      </c>
      <c r="O7162" t="s">
        <v>26524</v>
      </c>
      <c r="P7162" t="s">
        <v>26560</v>
      </c>
      <c r="R7162" t="s">
        <v>26582</v>
      </c>
      <c r="S7162" t="s">
        <v>18959</v>
      </c>
      <c r="U7162" t="s">
        <v>26604</v>
      </c>
      <c r="V7162" t="s">
        <v>26610</v>
      </c>
      <c r="W7162" t="s">
        <v>800</v>
      </c>
      <c r="X7162">
        <v>709.48</v>
      </c>
      <c r="Y7162" t="s">
        <v>26651</v>
      </c>
      <c r="Z7162" t="s">
        <v>26664</v>
      </c>
      <c r="AB7162" t="s">
        <v>32093</v>
      </c>
      <c r="AD7162" t="s">
        <v>42425</v>
      </c>
      <c r="AE7162">
        <v>0</v>
      </c>
      <c r="AF7162" t="s">
        <v>45541</v>
      </c>
      <c r="AG7162" t="s">
        <v>45559</v>
      </c>
      <c r="AH7162">
        <v>10</v>
      </c>
      <c r="AI7162">
        <v>1</v>
      </c>
      <c r="AJ7162">
        <v>0</v>
      </c>
      <c r="AK7162">
        <v>153.72</v>
      </c>
      <c r="AN7162" t="s">
        <v>7439</v>
      </c>
      <c r="AO7162">
        <v>19200</v>
      </c>
      <c r="AU7162">
        <v>21</v>
      </c>
      <c r="AV7162" t="s">
        <v>838</v>
      </c>
      <c r="AW7162" t="s">
        <v>46835</v>
      </c>
    </row>
    <row r="7163" spans="1:50">
      <c r="A7163" s="1">
        <f>HYPERLINK("https://lsnyc.legalserver.org/matter/dynamic-profile/view/1896034","19-1896034")</f>
        <v>0</v>
      </c>
      <c r="B7163" t="s">
        <v>173</v>
      </c>
      <c r="C7163" t="s">
        <v>340</v>
      </c>
      <c r="D7163" t="s">
        <v>800</v>
      </c>
      <c r="F7163" t="s">
        <v>3878</v>
      </c>
      <c r="G7163" t="s">
        <v>5760</v>
      </c>
      <c r="H7163" t="s">
        <v>14600</v>
      </c>
      <c r="I7163" t="s">
        <v>17436</v>
      </c>
      <c r="J7163" t="s">
        <v>18893</v>
      </c>
      <c r="K7163">
        <v>10032</v>
      </c>
      <c r="L7163" t="s">
        <v>18958</v>
      </c>
      <c r="M7163" t="s">
        <v>18958</v>
      </c>
      <c r="N7163" t="s">
        <v>24069</v>
      </c>
      <c r="O7163" t="s">
        <v>26523</v>
      </c>
      <c r="P7163" t="s">
        <v>26563</v>
      </c>
      <c r="R7163" t="s">
        <v>26582</v>
      </c>
      <c r="S7163" t="s">
        <v>18959</v>
      </c>
      <c r="U7163" t="s">
        <v>26604</v>
      </c>
      <c r="V7163" t="s">
        <v>26610</v>
      </c>
      <c r="W7163" t="s">
        <v>800</v>
      </c>
      <c r="X7163">
        <v>1419</v>
      </c>
      <c r="Y7163" t="s">
        <v>26651</v>
      </c>
      <c r="AB7163" t="s">
        <v>31491</v>
      </c>
      <c r="AD7163" t="s">
        <v>42426</v>
      </c>
      <c r="AE7163">
        <v>0</v>
      </c>
      <c r="AF7163" t="s">
        <v>20460</v>
      </c>
      <c r="AH7163">
        <v>22</v>
      </c>
      <c r="AI7163">
        <v>2</v>
      </c>
      <c r="AJ7163">
        <v>1</v>
      </c>
      <c r="AK7163">
        <v>201.13</v>
      </c>
      <c r="AN7163" t="s">
        <v>45581</v>
      </c>
      <c r="AO7163">
        <v>42900</v>
      </c>
      <c r="AU7163">
        <v>0</v>
      </c>
      <c r="AW7163" t="s">
        <v>46835</v>
      </c>
    </row>
    <row r="7164" spans="1:50">
      <c r="A7164" s="1">
        <f>HYPERLINK("https://lsnyc.legalserver.org/matter/dynamic-profile/view/1895580","19-1895580")</f>
        <v>0</v>
      </c>
      <c r="B7164" t="s">
        <v>130</v>
      </c>
      <c r="C7164" t="s">
        <v>341</v>
      </c>
      <c r="D7164" t="s">
        <v>794</v>
      </c>
      <c r="E7164" t="s">
        <v>766</v>
      </c>
      <c r="F7164" t="s">
        <v>900</v>
      </c>
      <c r="G7164" t="s">
        <v>8232</v>
      </c>
      <c r="H7164" t="s">
        <v>14601</v>
      </c>
      <c r="I7164" t="s">
        <v>17416</v>
      </c>
      <c r="J7164" t="s">
        <v>18901</v>
      </c>
      <c r="K7164">
        <v>11423</v>
      </c>
      <c r="L7164" t="s">
        <v>18958</v>
      </c>
      <c r="M7164" t="s">
        <v>18958</v>
      </c>
      <c r="N7164" t="s">
        <v>24070</v>
      </c>
      <c r="O7164" t="s">
        <v>26524</v>
      </c>
      <c r="P7164" t="s">
        <v>26564</v>
      </c>
      <c r="Q7164" t="s">
        <v>26570</v>
      </c>
      <c r="R7164" t="s">
        <v>26584</v>
      </c>
      <c r="S7164" t="s">
        <v>18959</v>
      </c>
      <c r="U7164" t="s">
        <v>26604</v>
      </c>
      <c r="V7164" t="s">
        <v>26611</v>
      </c>
      <c r="W7164" t="s">
        <v>792</v>
      </c>
      <c r="X7164">
        <v>0</v>
      </c>
      <c r="Y7164" t="s">
        <v>26653</v>
      </c>
      <c r="Z7164" t="s">
        <v>26664</v>
      </c>
      <c r="AA7164" t="s">
        <v>26683</v>
      </c>
      <c r="AB7164" t="s">
        <v>27263</v>
      </c>
      <c r="AD7164" t="s">
        <v>42427</v>
      </c>
      <c r="AE7164">
        <v>3</v>
      </c>
      <c r="AF7164" t="s">
        <v>45547</v>
      </c>
      <c r="AG7164" t="s">
        <v>19330</v>
      </c>
      <c r="AH7164">
        <v>10</v>
      </c>
      <c r="AI7164">
        <v>5</v>
      </c>
      <c r="AJ7164">
        <v>0</v>
      </c>
      <c r="AK7164">
        <v>131.26</v>
      </c>
      <c r="AN7164" t="s">
        <v>7439</v>
      </c>
      <c r="AO7164">
        <v>39600</v>
      </c>
      <c r="AU7164">
        <v>1.95</v>
      </c>
      <c r="AV7164" t="s">
        <v>792</v>
      </c>
      <c r="AW7164" t="s">
        <v>130</v>
      </c>
    </row>
    <row r="7165" spans="1:50">
      <c r="A7165" s="1">
        <f>HYPERLINK("https://lsnyc.legalserver.org/matter/dynamic-profile/view/1895734","19-1895734")</f>
        <v>0</v>
      </c>
      <c r="B7165" t="s">
        <v>105</v>
      </c>
      <c r="C7165" t="s">
        <v>340</v>
      </c>
      <c r="D7165" t="s">
        <v>795</v>
      </c>
      <c r="F7165" t="s">
        <v>1988</v>
      </c>
      <c r="G7165" t="s">
        <v>8233</v>
      </c>
      <c r="H7165" t="s">
        <v>14602</v>
      </c>
      <c r="I7165">
        <v>2</v>
      </c>
      <c r="J7165" t="s">
        <v>18901</v>
      </c>
      <c r="K7165">
        <v>11434</v>
      </c>
      <c r="L7165" t="s">
        <v>18958</v>
      </c>
      <c r="M7165" t="s">
        <v>18958</v>
      </c>
      <c r="N7165" t="s">
        <v>24071</v>
      </c>
      <c r="O7165" t="s">
        <v>26524</v>
      </c>
      <c r="P7165" t="s">
        <v>26560</v>
      </c>
      <c r="R7165" t="s">
        <v>26585</v>
      </c>
      <c r="S7165" t="s">
        <v>18959</v>
      </c>
      <c r="U7165" t="s">
        <v>26604</v>
      </c>
      <c r="V7165" t="s">
        <v>26610</v>
      </c>
      <c r="W7165" t="s">
        <v>792</v>
      </c>
      <c r="X7165">
        <v>1450</v>
      </c>
      <c r="Y7165" t="s">
        <v>26653</v>
      </c>
      <c r="Z7165" t="s">
        <v>26664</v>
      </c>
      <c r="AB7165" t="s">
        <v>32094</v>
      </c>
      <c r="AD7165" t="s">
        <v>42428</v>
      </c>
      <c r="AE7165">
        <v>3</v>
      </c>
      <c r="AF7165" t="s">
        <v>20460</v>
      </c>
      <c r="AG7165" t="s">
        <v>19330</v>
      </c>
      <c r="AH7165">
        <v>8</v>
      </c>
      <c r="AI7165">
        <v>1</v>
      </c>
      <c r="AJ7165">
        <v>2</v>
      </c>
      <c r="AK7165">
        <v>32.91</v>
      </c>
      <c r="AN7165" t="s">
        <v>7439</v>
      </c>
      <c r="AO7165">
        <v>7020</v>
      </c>
      <c r="AR7165" t="s">
        <v>46379</v>
      </c>
      <c r="AS7165" t="s">
        <v>46499</v>
      </c>
      <c r="AT7165" t="s">
        <v>46631</v>
      </c>
      <c r="AU7165">
        <v>0.8</v>
      </c>
      <c r="AV7165" t="s">
        <v>806</v>
      </c>
      <c r="AW7165" t="s">
        <v>46841</v>
      </c>
      <c r="AX7165" t="s">
        <v>46897</v>
      </c>
    </row>
    <row r="7166" spans="1:50">
      <c r="A7166" s="1">
        <f>HYPERLINK("https://lsnyc.legalserver.org/matter/dynamic-profile/view/1895851","19-1895851")</f>
        <v>0</v>
      </c>
      <c r="B7166" t="s">
        <v>159</v>
      </c>
      <c r="C7166" t="s">
        <v>340</v>
      </c>
      <c r="D7166" t="s">
        <v>795</v>
      </c>
      <c r="F7166" t="s">
        <v>3879</v>
      </c>
      <c r="G7166" t="s">
        <v>8234</v>
      </c>
      <c r="H7166" t="s">
        <v>14603</v>
      </c>
      <c r="I7166" t="s">
        <v>17859</v>
      </c>
      <c r="J7166" t="s">
        <v>18901</v>
      </c>
      <c r="K7166">
        <v>11434</v>
      </c>
      <c r="L7166" t="s">
        <v>18958</v>
      </c>
      <c r="M7166" t="s">
        <v>18958</v>
      </c>
      <c r="N7166" t="s">
        <v>24072</v>
      </c>
      <c r="O7166" t="s">
        <v>26523</v>
      </c>
      <c r="P7166" t="s">
        <v>26560</v>
      </c>
      <c r="R7166" t="s">
        <v>26585</v>
      </c>
      <c r="S7166" t="s">
        <v>18959</v>
      </c>
      <c r="U7166" t="s">
        <v>26604</v>
      </c>
      <c r="V7166" t="s">
        <v>26611</v>
      </c>
      <c r="W7166" t="s">
        <v>792</v>
      </c>
      <c r="X7166">
        <v>1149.1</v>
      </c>
      <c r="Y7166" t="s">
        <v>26653</v>
      </c>
      <c r="Z7166" t="s">
        <v>26668</v>
      </c>
      <c r="AB7166" t="s">
        <v>31468</v>
      </c>
      <c r="AC7166" t="s">
        <v>19045</v>
      </c>
      <c r="AD7166" t="s">
        <v>42429</v>
      </c>
      <c r="AE7166">
        <v>293</v>
      </c>
      <c r="AF7166" t="s">
        <v>45550</v>
      </c>
      <c r="AG7166" t="s">
        <v>19330</v>
      </c>
      <c r="AH7166">
        <v>19</v>
      </c>
      <c r="AI7166">
        <v>2</v>
      </c>
      <c r="AJ7166">
        <v>2</v>
      </c>
      <c r="AK7166">
        <v>124.27</v>
      </c>
      <c r="AN7166" t="s">
        <v>7439</v>
      </c>
      <c r="AO7166">
        <v>32000</v>
      </c>
      <c r="AU7166">
        <v>9.800000000000001</v>
      </c>
      <c r="AV7166" t="s">
        <v>838</v>
      </c>
      <c r="AW7166" t="s">
        <v>159</v>
      </c>
    </row>
    <row r="7167" spans="1:50">
      <c r="A7167" s="1">
        <f>HYPERLINK("https://lsnyc.legalserver.org/matter/dynamic-profile/view/1896146","19-1896146")</f>
        <v>0</v>
      </c>
      <c r="B7167" t="s">
        <v>122</v>
      </c>
      <c r="C7167" t="s">
        <v>341</v>
      </c>
      <c r="D7167" t="s">
        <v>800</v>
      </c>
      <c r="E7167" t="s">
        <v>810</v>
      </c>
      <c r="F7167" t="s">
        <v>1107</v>
      </c>
      <c r="G7167" t="s">
        <v>8235</v>
      </c>
      <c r="H7167" t="s">
        <v>14604</v>
      </c>
      <c r="I7167">
        <v>1</v>
      </c>
      <c r="J7167" t="s">
        <v>18905</v>
      </c>
      <c r="K7167">
        <v>11692</v>
      </c>
      <c r="L7167" t="s">
        <v>18958</v>
      </c>
      <c r="M7167" t="s">
        <v>18958</v>
      </c>
      <c r="N7167" t="s">
        <v>24073</v>
      </c>
      <c r="O7167" t="s">
        <v>26526</v>
      </c>
      <c r="P7167" t="s">
        <v>26564</v>
      </c>
      <c r="Q7167" t="s">
        <v>26570</v>
      </c>
      <c r="R7167" t="s">
        <v>26578</v>
      </c>
      <c r="S7167" t="s">
        <v>18959</v>
      </c>
      <c r="U7167" t="s">
        <v>26604</v>
      </c>
      <c r="V7167" t="s">
        <v>26610</v>
      </c>
      <c r="W7167" t="s">
        <v>792</v>
      </c>
      <c r="X7167">
        <v>1800</v>
      </c>
      <c r="Y7167" t="s">
        <v>26653</v>
      </c>
      <c r="Z7167" t="s">
        <v>26664</v>
      </c>
      <c r="AA7167" t="s">
        <v>26683</v>
      </c>
      <c r="AB7167" t="s">
        <v>32095</v>
      </c>
      <c r="AC7167" t="s">
        <v>36279</v>
      </c>
      <c r="AD7167" t="s">
        <v>42430</v>
      </c>
      <c r="AE7167">
        <v>2</v>
      </c>
      <c r="AF7167" t="s">
        <v>45547</v>
      </c>
      <c r="AG7167" t="s">
        <v>45556</v>
      </c>
      <c r="AH7167">
        <v>1</v>
      </c>
      <c r="AI7167">
        <v>1</v>
      </c>
      <c r="AJ7167">
        <v>1</v>
      </c>
      <c r="AK7167">
        <v>0</v>
      </c>
      <c r="AN7167" t="s">
        <v>7439</v>
      </c>
      <c r="AO7167">
        <v>0</v>
      </c>
      <c r="AU7167">
        <v>2</v>
      </c>
      <c r="AV7167" t="s">
        <v>792</v>
      </c>
      <c r="AW7167" t="s">
        <v>122</v>
      </c>
    </row>
    <row r="7168" spans="1:50">
      <c r="A7168" s="1">
        <f>HYPERLINK("https://lsnyc.legalserver.org/matter/dynamic-profile/view/1896179","19-1896179")</f>
        <v>0</v>
      </c>
      <c r="B7168" t="s">
        <v>77</v>
      </c>
      <c r="C7168" t="s">
        <v>341</v>
      </c>
      <c r="D7168" t="s">
        <v>792</v>
      </c>
      <c r="E7168" t="s">
        <v>810</v>
      </c>
      <c r="F7168" t="s">
        <v>3880</v>
      </c>
      <c r="G7168" t="s">
        <v>8236</v>
      </c>
      <c r="H7168" t="s">
        <v>14605</v>
      </c>
      <c r="I7168" t="s">
        <v>17307</v>
      </c>
      <c r="J7168" t="s">
        <v>18893</v>
      </c>
      <c r="K7168">
        <v>10027</v>
      </c>
      <c r="L7168" t="s">
        <v>18958</v>
      </c>
      <c r="M7168" t="s">
        <v>18958</v>
      </c>
      <c r="N7168" t="s">
        <v>24074</v>
      </c>
      <c r="O7168" t="s">
        <v>26523</v>
      </c>
      <c r="P7168" t="s">
        <v>26560</v>
      </c>
      <c r="Q7168" t="s">
        <v>26568</v>
      </c>
      <c r="R7168" t="s">
        <v>26580</v>
      </c>
      <c r="S7168" t="s">
        <v>18959</v>
      </c>
      <c r="U7168" t="s">
        <v>26604</v>
      </c>
      <c r="V7168" t="s">
        <v>26609</v>
      </c>
      <c r="W7168" t="s">
        <v>792</v>
      </c>
      <c r="X7168">
        <v>849</v>
      </c>
      <c r="Y7168" t="s">
        <v>26651</v>
      </c>
      <c r="Z7168" t="s">
        <v>26530</v>
      </c>
      <c r="AA7168" t="s">
        <v>26678</v>
      </c>
      <c r="AB7168" t="s">
        <v>32096</v>
      </c>
      <c r="AD7168" t="s">
        <v>42431</v>
      </c>
      <c r="AE7168">
        <v>0</v>
      </c>
      <c r="AH7168">
        <v>20</v>
      </c>
      <c r="AI7168">
        <v>4</v>
      </c>
      <c r="AJ7168">
        <v>1</v>
      </c>
      <c r="AK7168">
        <v>69.61</v>
      </c>
      <c r="AO7168">
        <v>21000</v>
      </c>
      <c r="AS7168" t="s">
        <v>46499</v>
      </c>
      <c r="AT7168" t="s">
        <v>46802</v>
      </c>
      <c r="AU7168">
        <v>0.5</v>
      </c>
      <c r="AV7168" t="s">
        <v>810</v>
      </c>
      <c r="AW7168" t="s">
        <v>317</v>
      </c>
    </row>
    <row r="7169" spans="1:50">
      <c r="A7169" s="1">
        <f>HYPERLINK("https://lsnyc.legalserver.org/matter/dynamic-profile/view/1896169","19-1896169")</f>
        <v>0</v>
      </c>
      <c r="B7169" t="s">
        <v>282</v>
      </c>
      <c r="C7169" t="s">
        <v>341</v>
      </c>
      <c r="D7169" t="s">
        <v>792</v>
      </c>
      <c r="E7169" t="s">
        <v>720</v>
      </c>
      <c r="F7169" t="s">
        <v>3881</v>
      </c>
      <c r="G7169" t="s">
        <v>3662</v>
      </c>
      <c r="H7169" t="s">
        <v>14606</v>
      </c>
      <c r="I7169">
        <v>1</v>
      </c>
      <c r="J7169" t="s">
        <v>18901</v>
      </c>
      <c r="K7169">
        <v>11433</v>
      </c>
      <c r="L7169" t="s">
        <v>18958</v>
      </c>
      <c r="M7169" t="s">
        <v>18958</v>
      </c>
      <c r="N7169" t="s">
        <v>24075</v>
      </c>
      <c r="O7169" t="s">
        <v>26523</v>
      </c>
      <c r="P7169" t="s">
        <v>26560</v>
      </c>
      <c r="Q7169" t="s">
        <v>26573</v>
      </c>
      <c r="R7169" t="s">
        <v>26585</v>
      </c>
      <c r="S7169" t="s">
        <v>18959</v>
      </c>
      <c r="U7169" t="s">
        <v>26604</v>
      </c>
      <c r="W7169" t="s">
        <v>792</v>
      </c>
      <c r="X7169">
        <v>1268</v>
      </c>
      <c r="Y7169" t="s">
        <v>26653</v>
      </c>
      <c r="Z7169" t="s">
        <v>26668</v>
      </c>
      <c r="AA7169" t="s">
        <v>26678</v>
      </c>
      <c r="AB7169" t="s">
        <v>29971</v>
      </c>
      <c r="AD7169" t="s">
        <v>42432</v>
      </c>
      <c r="AE7169">
        <v>2</v>
      </c>
      <c r="AF7169" t="s">
        <v>20460</v>
      </c>
      <c r="AG7169" t="s">
        <v>45560</v>
      </c>
      <c r="AH7169">
        <v>1</v>
      </c>
      <c r="AI7169">
        <v>2</v>
      </c>
      <c r="AJ7169">
        <v>0</v>
      </c>
      <c r="AK7169">
        <v>140.93</v>
      </c>
      <c r="AN7169" t="s">
        <v>7439</v>
      </c>
      <c r="AO7169">
        <v>23832</v>
      </c>
      <c r="AR7169" t="s">
        <v>46379</v>
      </c>
      <c r="AS7169" t="s">
        <v>46499</v>
      </c>
      <c r="AT7169" t="s">
        <v>46639</v>
      </c>
      <c r="AU7169">
        <v>8.6</v>
      </c>
      <c r="AV7169" t="s">
        <v>720</v>
      </c>
      <c r="AW7169" t="s">
        <v>208</v>
      </c>
    </row>
    <row r="7170" spans="1:50">
      <c r="A7170" s="1">
        <f>HYPERLINK("https://lsnyc.legalserver.org/matter/dynamic-profile/view/1896140","19-1896140")</f>
        <v>0</v>
      </c>
      <c r="B7170" t="s">
        <v>159</v>
      </c>
      <c r="C7170" t="s">
        <v>341</v>
      </c>
      <c r="D7170" t="s">
        <v>792</v>
      </c>
      <c r="E7170" t="s">
        <v>764</v>
      </c>
      <c r="F7170" t="s">
        <v>3882</v>
      </c>
      <c r="G7170" t="s">
        <v>8237</v>
      </c>
      <c r="H7170" t="s">
        <v>14607</v>
      </c>
      <c r="I7170" t="s">
        <v>17299</v>
      </c>
      <c r="J7170" t="s">
        <v>18906</v>
      </c>
      <c r="K7170">
        <v>11373</v>
      </c>
      <c r="L7170" t="s">
        <v>18958</v>
      </c>
      <c r="M7170" t="s">
        <v>18958</v>
      </c>
      <c r="N7170" t="s">
        <v>24076</v>
      </c>
      <c r="O7170" t="s">
        <v>26523</v>
      </c>
      <c r="P7170" t="s">
        <v>26564</v>
      </c>
      <c r="Q7170" t="s">
        <v>26570</v>
      </c>
      <c r="R7170" t="s">
        <v>26585</v>
      </c>
      <c r="S7170" t="s">
        <v>18959</v>
      </c>
      <c r="U7170" t="s">
        <v>26604</v>
      </c>
      <c r="V7170" t="s">
        <v>26610</v>
      </c>
      <c r="W7170" t="s">
        <v>792</v>
      </c>
      <c r="X7170">
        <v>1600</v>
      </c>
      <c r="Y7170" t="s">
        <v>26653</v>
      </c>
      <c r="Z7170" t="s">
        <v>26668</v>
      </c>
      <c r="AA7170" t="s">
        <v>26683</v>
      </c>
      <c r="AB7170" t="s">
        <v>31446</v>
      </c>
      <c r="AD7170" t="s">
        <v>42433</v>
      </c>
      <c r="AE7170">
        <v>115</v>
      </c>
      <c r="AF7170" t="s">
        <v>45547</v>
      </c>
      <c r="AG7170" t="s">
        <v>19330</v>
      </c>
      <c r="AH7170">
        <v>1</v>
      </c>
      <c r="AI7170">
        <v>2</v>
      </c>
      <c r="AJ7170">
        <v>1</v>
      </c>
      <c r="AK7170">
        <v>328.18</v>
      </c>
      <c r="AN7170" t="s">
        <v>7439</v>
      </c>
      <c r="AO7170">
        <v>70000</v>
      </c>
      <c r="AU7170">
        <v>0.5</v>
      </c>
      <c r="AV7170" t="s">
        <v>671</v>
      </c>
      <c r="AW7170" t="s">
        <v>208</v>
      </c>
    </row>
    <row r="7171" spans="1:50">
      <c r="A7171" s="1">
        <f>HYPERLINK("https://lsnyc.legalserver.org/matter/dynamic-profile/view/1896131","19-1896131")</f>
        <v>0</v>
      </c>
      <c r="B7171" t="s">
        <v>245</v>
      </c>
      <c r="C7171" t="s">
        <v>340</v>
      </c>
      <c r="D7171" t="s">
        <v>792</v>
      </c>
      <c r="F7171" t="s">
        <v>1417</v>
      </c>
      <c r="G7171" t="s">
        <v>6102</v>
      </c>
      <c r="H7171" t="s">
        <v>14608</v>
      </c>
      <c r="J7171" t="s">
        <v>18892</v>
      </c>
      <c r="K7171">
        <v>10459</v>
      </c>
      <c r="L7171" t="s">
        <v>18958</v>
      </c>
      <c r="M7171" t="s">
        <v>18958</v>
      </c>
      <c r="N7171" t="s">
        <v>24077</v>
      </c>
      <c r="O7171" t="s">
        <v>26524</v>
      </c>
      <c r="P7171" t="s">
        <v>26560</v>
      </c>
      <c r="R7171" t="s">
        <v>26577</v>
      </c>
      <c r="S7171" t="s">
        <v>18959</v>
      </c>
      <c r="U7171" t="s">
        <v>26604</v>
      </c>
      <c r="V7171" t="s">
        <v>26610</v>
      </c>
      <c r="W7171" t="s">
        <v>792</v>
      </c>
      <c r="X7171">
        <v>1200</v>
      </c>
      <c r="Y7171" t="s">
        <v>26650</v>
      </c>
      <c r="Z7171" t="s">
        <v>26664</v>
      </c>
      <c r="AB7171" t="s">
        <v>32097</v>
      </c>
      <c r="AD7171" t="s">
        <v>42434</v>
      </c>
      <c r="AE7171">
        <v>0</v>
      </c>
      <c r="AF7171" t="s">
        <v>45543</v>
      </c>
      <c r="AH7171">
        <v>15</v>
      </c>
      <c r="AI7171">
        <v>1</v>
      </c>
      <c r="AJ7171">
        <v>0</v>
      </c>
      <c r="AK7171">
        <v>82.43000000000001</v>
      </c>
      <c r="AN7171" t="s">
        <v>7439</v>
      </c>
      <c r="AO7171">
        <v>10296</v>
      </c>
      <c r="AU7171">
        <v>58.55</v>
      </c>
      <c r="AV7171" t="s">
        <v>839</v>
      </c>
      <c r="AW7171" t="s">
        <v>334</v>
      </c>
      <c r="AX7171" t="s">
        <v>46897</v>
      </c>
    </row>
    <row r="7172" spans="1:50">
      <c r="A7172" s="1">
        <f>HYPERLINK("https://lsnyc.legalserver.org/matter/dynamic-profile/view/1896147","19-1896147")</f>
        <v>0</v>
      </c>
      <c r="B7172" t="s">
        <v>245</v>
      </c>
      <c r="C7172" t="s">
        <v>340</v>
      </c>
      <c r="D7172" t="s">
        <v>792</v>
      </c>
      <c r="F7172" t="s">
        <v>3883</v>
      </c>
      <c r="G7172" t="s">
        <v>8238</v>
      </c>
      <c r="H7172" t="s">
        <v>14609</v>
      </c>
      <c r="I7172" t="s">
        <v>17277</v>
      </c>
      <c r="J7172" t="s">
        <v>18892</v>
      </c>
      <c r="K7172">
        <v>10457</v>
      </c>
      <c r="L7172" t="s">
        <v>18958</v>
      </c>
      <c r="M7172" t="s">
        <v>18958</v>
      </c>
      <c r="N7172" t="s">
        <v>24078</v>
      </c>
      <c r="O7172" t="s">
        <v>26523</v>
      </c>
      <c r="P7172" t="s">
        <v>26560</v>
      </c>
      <c r="R7172" t="s">
        <v>26579</v>
      </c>
      <c r="S7172" t="s">
        <v>18959</v>
      </c>
      <c r="U7172" t="s">
        <v>26604</v>
      </c>
      <c r="V7172" t="s">
        <v>26610</v>
      </c>
      <c r="W7172" t="s">
        <v>792</v>
      </c>
      <c r="X7172">
        <v>0</v>
      </c>
      <c r="Y7172" t="s">
        <v>26650</v>
      </c>
      <c r="Z7172" t="s">
        <v>26664</v>
      </c>
      <c r="AB7172" t="s">
        <v>32098</v>
      </c>
      <c r="AD7172" t="s">
        <v>42435</v>
      </c>
      <c r="AE7172">
        <v>0</v>
      </c>
      <c r="AG7172" t="s">
        <v>45557</v>
      </c>
      <c r="AH7172">
        <v>0</v>
      </c>
      <c r="AI7172">
        <v>2</v>
      </c>
      <c r="AJ7172">
        <v>1</v>
      </c>
      <c r="AK7172">
        <v>20.25</v>
      </c>
      <c r="AN7172" t="s">
        <v>7439</v>
      </c>
      <c r="AO7172">
        <v>4320</v>
      </c>
      <c r="AU7172">
        <v>20.3</v>
      </c>
      <c r="AV7172" t="s">
        <v>771</v>
      </c>
      <c r="AW7172" t="s">
        <v>334</v>
      </c>
      <c r="AX7172" t="s">
        <v>46897</v>
      </c>
    </row>
    <row r="7173" spans="1:50">
      <c r="A7173" s="1">
        <f>HYPERLINK("https://lsnyc.legalserver.org/matter/dynamic-profile/view/1896168","19-1896168")</f>
        <v>0</v>
      </c>
      <c r="B7173" t="s">
        <v>107</v>
      </c>
      <c r="C7173" t="s">
        <v>340</v>
      </c>
      <c r="D7173" t="s">
        <v>792</v>
      </c>
      <c r="F7173" t="s">
        <v>1025</v>
      </c>
      <c r="G7173" t="s">
        <v>5076</v>
      </c>
      <c r="H7173" t="s">
        <v>14610</v>
      </c>
      <c r="I7173" t="s">
        <v>17293</v>
      </c>
      <c r="J7173" t="s">
        <v>18901</v>
      </c>
      <c r="K7173">
        <v>11435</v>
      </c>
      <c r="L7173" t="s">
        <v>18958</v>
      </c>
      <c r="M7173" t="s">
        <v>18958</v>
      </c>
      <c r="N7173" t="s">
        <v>24079</v>
      </c>
      <c r="O7173" t="s">
        <v>26523</v>
      </c>
      <c r="P7173" t="s">
        <v>26560</v>
      </c>
      <c r="R7173" t="s">
        <v>26584</v>
      </c>
      <c r="S7173" t="s">
        <v>18959</v>
      </c>
      <c r="U7173" t="s">
        <v>26604</v>
      </c>
      <c r="V7173" t="s">
        <v>26610</v>
      </c>
      <c r="W7173" t="s">
        <v>792</v>
      </c>
      <c r="X7173">
        <v>735.54</v>
      </c>
      <c r="Y7173" t="s">
        <v>26653</v>
      </c>
      <c r="Z7173" t="s">
        <v>26659</v>
      </c>
      <c r="AB7173" t="s">
        <v>32099</v>
      </c>
      <c r="AC7173" t="s">
        <v>36280</v>
      </c>
      <c r="AD7173" t="s">
        <v>42436</v>
      </c>
      <c r="AE7173">
        <v>8</v>
      </c>
      <c r="AF7173" t="s">
        <v>45552</v>
      </c>
      <c r="AG7173" t="s">
        <v>19330</v>
      </c>
      <c r="AH7173">
        <v>6</v>
      </c>
      <c r="AI7173">
        <v>1</v>
      </c>
      <c r="AJ7173">
        <v>0</v>
      </c>
      <c r="AK7173">
        <v>74.08</v>
      </c>
      <c r="AN7173" t="s">
        <v>7439</v>
      </c>
      <c r="AO7173">
        <v>9252</v>
      </c>
      <c r="AU7173">
        <v>11.9</v>
      </c>
      <c r="AV7173" t="s">
        <v>807</v>
      </c>
      <c r="AW7173" t="s">
        <v>107</v>
      </c>
    </row>
    <row r="7174" spans="1:50">
      <c r="A7174" s="1">
        <f>HYPERLINK("https://lsnyc.legalserver.org/matter/dynamic-profile/view/1896134","19-1896134")</f>
        <v>0</v>
      </c>
      <c r="B7174" t="s">
        <v>292</v>
      </c>
      <c r="C7174" t="s">
        <v>340</v>
      </c>
      <c r="D7174" t="s">
        <v>792</v>
      </c>
      <c r="F7174" t="s">
        <v>2166</v>
      </c>
      <c r="G7174" t="s">
        <v>8239</v>
      </c>
      <c r="H7174" t="s">
        <v>14611</v>
      </c>
      <c r="I7174" t="s">
        <v>17325</v>
      </c>
      <c r="J7174" t="s">
        <v>18892</v>
      </c>
      <c r="K7174">
        <v>10460</v>
      </c>
      <c r="L7174" t="s">
        <v>18958</v>
      </c>
      <c r="M7174" t="s">
        <v>18958</v>
      </c>
      <c r="N7174" t="s">
        <v>24080</v>
      </c>
      <c r="O7174" t="s">
        <v>26523</v>
      </c>
      <c r="P7174" t="s">
        <v>26564</v>
      </c>
      <c r="R7174" t="s">
        <v>26578</v>
      </c>
      <c r="S7174" t="s">
        <v>18959</v>
      </c>
      <c r="U7174" t="s">
        <v>26604</v>
      </c>
      <c r="W7174" t="s">
        <v>792</v>
      </c>
      <c r="X7174">
        <v>290</v>
      </c>
      <c r="Y7174" t="s">
        <v>26650</v>
      </c>
      <c r="Z7174" t="s">
        <v>26668</v>
      </c>
      <c r="AB7174" t="s">
        <v>32100</v>
      </c>
      <c r="AD7174" t="s">
        <v>42437</v>
      </c>
      <c r="AE7174">
        <v>65</v>
      </c>
      <c r="AF7174" t="s">
        <v>45549</v>
      </c>
      <c r="AG7174" t="s">
        <v>19330</v>
      </c>
      <c r="AH7174">
        <v>3</v>
      </c>
      <c r="AI7174">
        <v>1</v>
      </c>
      <c r="AJ7174">
        <v>1</v>
      </c>
      <c r="AK7174">
        <v>17.46</v>
      </c>
      <c r="AN7174" t="s">
        <v>7439</v>
      </c>
      <c r="AO7174">
        <v>2952</v>
      </c>
      <c r="AU7174">
        <v>0</v>
      </c>
      <c r="AW7174" t="s">
        <v>46871</v>
      </c>
      <c r="AX7174" t="s">
        <v>46897</v>
      </c>
    </row>
    <row r="7175" spans="1:50">
      <c r="A7175" s="1">
        <f>HYPERLINK("https://lsnyc.legalserver.org/matter/dynamic-profile/view/1896213","19-1896213")</f>
        <v>0</v>
      </c>
      <c r="B7175" t="s">
        <v>276</v>
      </c>
      <c r="C7175" t="s">
        <v>340</v>
      </c>
      <c r="D7175" t="s">
        <v>792</v>
      </c>
      <c r="F7175" t="s">
        <v>1128</v>
      </c>
      <c r="G7175" t="s">
        <v>8201</v>
      </c>
      <c r="H7175" t="s">
        <v>14194</v>
      </c>
      <c r="I7175" t="s">
        <v>17278</v>
      </c>
      <c r="J7175" t="s">
        <v>18894</v>
      </c>
      <c r="K7175">
        <v>11217</v>
      </c>
      <c r="L7175" t="s">
        <v>18960</v>
      </c>
      <c r="M7175" t="s">
        <v>18960</v>
      </c>
      <c r="O7175" t="s">
        <v>26523</v>
      </c>
      <c r="R7175" t="s">
        <v>26578</v>
      </c>
      <c r="U7175" t="s">
        <v>26604</v>
      </c>
      <c r="W7175" t="s">
        <v>792</v>
      </c>
      <c r="X7175">
        <v>0</v>
      </c>
      <c r="Y7175" t="s">
        <v>26652</v>
      </c>
      <c r="AB7175" t="s">
        <v>32041</v>
      </c>
      <c r="AD7175" t="s">
        <v>42354</v>
      </c>
      <c r="AE7175">
        <v>0</v>
      </c>
      <c r="AF7175" t="s">
        <v>45541</v>
      </c>
      <c r="AH7175">
        <v>0</v>
      </c>
      <c r="AI7175">
        <v>1</v>
      </c>
      <c r="AJ7175">
        <v>0</v>
      </c>
      <c r="AK7175">
        <v>0</v>
      </c>
      <c r="AN7175" t="s">
        <v>7439</v>
      </c>
      <c r="AO7175">
        <v>0</v>
      </c>
      <c r="AU7175">
        <v>10.5</v>
      </c>
      <c r="AV7175" t="s">
        <v>819</v>
      </c>
      <c r="AW7175" t="s">
        <v>198</v>
      </c>
    </row>
    <row r="7176" spans="1:50">
      <c r="A7176" s="1">
        <f>HYPERLINK("https://lsnyc.legalserver.org/matter/dynamic-profile/view/1896151","19-1896151")</f>
        <v>0</v>
      </c>
      <c r="B7176" t="s">
        <v>108</v>
      </c>
      <c r="C7176" t="s">
        <v>340</v>
      </c>
      <c r="D7176" t="s">
        <v>792</v>
      </c>
      <c r="F7176" t="s">
        <v>2361</v>
      </c>
      <c r="G7176" t="s">
        <v>8240</v>
      </c>
      <c r="H7176" t="s">
        <v>14612</v>
      </c>
      <c r="I7176">
        <v>1</v>
      </c>
      <c r="J7176" t="s">
        <v>18901</v>
      </c>
      <c r="K7176">
        <v>11434</v>
      </c>
      <c r="L7176" t="s">
        <v>18958</v>
      </c>
      <c r="M7176" t="s">
        <v>18958</v>
      </c>
      <c r="N7176" t="s">
        <v>24081</v>
      </c>
      <c r="O7176" t="s">
        <v>26524</v>
      </c>
      <c r="P7176" t="s">
        <v>26563</v>
      </c>
      <c r="R7176" t="s">
        <v>26585</v>
      </c>
      <c r="S7176" t="s">
        <v>18959</v>
      </c>
      <c r="U7176" t="s">
        <v>26604</v>
      </c>
      <c r="W7176" t="s">
        <v>792</v>
      </c>
      <c r="X7176">
        <v>800</v>
      </c>
      <c r="Y7176" t="s">
        <v>26653</v>
      </c>
      <c r="Z7176" t="s">
        <v>26668</v>
      </c>
      <c r="AB7176" t="s">
        <v>32101</v>
      </c>
      <c r="AD7176" t="s">
        <v>42438</v>
      </c>
      <c r="AE7176">
        <v>0</v>
      </c>
      <c r="AF7176" t="s">
        <v>20460</v>
      </c>
      <c r="AG7176" t="s">
        <v>45562</v>
      </c>
      <c r="AH7176">
        <v>3</v>
      </c>
      <c r="AI7176">
        <v>1</v>
      </c>
      <c r="AJ7176">
        <v>0</v>
      </c>
      <c r="AK7176">
        <v>115.87</v>
      </c>
      <c r="AN7176" t="s">
        <v>7439</v>
      </c>
      <c r="AO7176">
        <v>14472</v>
      </c>
      <c r="AU7176">
        <v>11.4</v>
      </c>
      <c r="AV7176" t="s">
        <v>843</v>
      </c>
      <c r="AW7176" t="s">
        <v>208</v>
      </c>
    </row>
    <row r="7177" spans="1:50">
      <c r="A7177" s="1">
        <f>HYPERLINK("https://lsnyc.legalserver.org/matter/dynamic-profile/view/1896126","19-1896126")</f>
        <v>0</v>
      </c>
      <c r="B7177" t="s">
        <v>66</v>
      </c>
      <c r="C7177" t="s">
        <v>340</v>
      </c>
      <c r="D7177" t="s">
        <v>792</v>
      </c>
      <c r="F7177" t="s">
        <v>1345</v>
      </c>
      <c r="G7177" t="s">
        <v>5103</v>
      </c>
      <c r="H7177" t="s">
        <v>14545</v>
      </c>
      <c r="I7177">
        <v>49</v>
      </c>
      <c r="J7177" t="s">
        <v>18893</v>
      </c>
      <c r="K7177">
        <v>10031</v>
      </c>
      <c r="L7177" t="s">
        <v>18958</v>
      </c>
      <c r="M7177" t="s">
        <v>18958</v>
      </c>
      <c r="N7177" t="s">
        <v>24008</v>
      </c>
      <c r="O7177" t="s">
        <v>26524</v>
      </c>
      <c r="P7177" t="s">
        <v>26560</v>
      </c>
      <c r="R7177" t="s">
        <v>26580</v>
      </c>
      <c r="S7177" t="s">
        <v>18959</v>
      </c>
      <c r="U7177" t="s">
        <v>26604</v>
      </c>
      <c r="V7177" t="s">
        <v>26610</v>
      </c>
      <c r="W7177" t="s">
        <v>792</v>
      </c>
      <c r="X7177">
        <v>888.0700000000001</v>
      </c>
      <c r="Y7177" t="s">
        <v>26651</v>
      </c>
      <c r="Z7177" t="s">
        <v>26668</v>
      </c>
      <c r="AB7177" t="s">
        <v>32102</v>
      </c>
      <c r="AD7177" t="s">
        <v>42439</v>
      </c>
      <c r="AE7177">
        <v>0</v>
      </c>
      <c r="AF7177" t="s">
        <v>45541</v>
      </c>
      <c r="AG7177" t="s">
        <v>45559</v>
      </c>
      <c r="AH7177">
        <v>17</v>
      </c>
      <c r="AI7177">
        <v>3</v>
      </c>
      <c r="AJ7177">
        <v>3</v>
      </c>
      <c r="AK7177">
        <v>144.84</v>
      </c>
      <c r="AN7177" t="s">
        <v>45581</v>
      </c>
      <c r="AO7177">
        <v>50100</v>
      </c>
      <c r="AU7177">
        <v>1.25</v>
      </c>
      <c r="AV7177" t="s">
        <v>792</v>
      </c>
      <c r="AW7177" t="s">
        <v>314</v>
      </c>
    </row>
    <row r="7178" spans="1:50">
      <c r="A7178" s="1">
        <f>HYPERLINK("https://lsnyc.legalserver.org/matter/dynamic-profile/view/1896243","19-1896243")</f>
        <v>0</v>
      </c>
      <c r="B7178" t="s">
        <v>212</v>
      </c>
      <c r="C7178" t="s">
        <v>340</v>
      </c>
      <c r="D7178" t="s">
        <v>792</v>
      </c>
      <c r="F7178" t="s">
        <v>3884</v>
      </c>
      <c r="G7178" t="s">
        <v>4524</v>
      </c>
      <c r="H7178" t="s">
        <v>14551</v>
      </c>
      <c r="I7178" t="s">
        <v>18437</v>
      </c>
      <c r="J7178" t="s">
        <v>18898</v>
      </c>
      <c r="K7178">
        <v>11691</v>
      </c>
      <c r="L7178" t="s">
        <v>18958</v>
      </c>
      <c r="M7178" t="s">
        <v>18958</v>
      </c>
      <c r="O7178" t="s">
        <v>26534</v>
      </c>
      <c r="P7178" t="s">
        <v>26563</v>
      </c>
      <c r="R7178" t="s">
        <v>26578</v>
      </c>
      <c r="S7178" t="s">
        <v>18958</v>
      </c>
      <c r="U7178" t="s">
        <v>26604</v>
      </c>
      <c r="W7178" t="s">
        <v>792</v>
      </c>
      <c r="X7178">
        <v>340</v>
      </c>
      <c r="Y7178" t="s">
        <v>26653</v>
      </c>
      <c r="Z7178" t="s">
        <v>26664</v>
      </c>
      <c r="AB7178" t="s">
        <v>32103</v>
      </c>
      <c r="AD7178" t="s">
        <v>42440</v>
      </c>
      <c r="AE7178">
        <v>43</v>
      </c>
      <c r="AH7178">
        <v>43</v>
      </c>
      <c r="AI7178">
        <v>1</v>
      </c>
      <c r="AJ7178">
        <v>0</v>
      </c>
      <c r="AK7178">
        <v>59.57</v>
      </c>
      <c r="AN7178" t="s">
        <v>7439</v>
      </c>
      <c r="AO7178">
        <v>7440</v>
      </c>
      <c r="AU7178">
        <v>0</v>
      </c>
      <c r="AW7178" t="s">
        <v>46884</v>
      </c>
    </row>
    <row r="7179" spans="1:50">
      <c r="A7179" s="1">
        <f>HYPERLINK("https://lsnyc.legalserver.org/matter/dynamic-profile/view/1896249","19-1896249")</f>
        <v>0</v>
      </c>
      <c r="B7179" t="s">
        <v>212</v>
      </c>
      <c r="C7179" t="s">
        <v>340</v>
      </c>
      <c r="D7179" t="s">
        <v>792</v>
      </c>
      <c r="F7179" t="s">
        <v>3884</v>
      </c>
      <c r="G7179" t="s">
        <v>4524</v>
      </c>
      <c r="H7179" t="s">
        <v>14551</v>
      </c>
      <c r="I7179" t="s">
        <v>18437</v>
      </c>
      <c r="J7179" t="s">
        <v>18898</v>
      </c>
      <c r="K7179">
        <v>11691</v>
      </c>
      <c r="L7179" t="s">
        <v>18958</v>
      </c>
      <c r="M7179" t="s">
        <v>18958</v>
      </c>
      <c r="O7179" t="s">
        <v>26529</v>
      </c>
      <c r="P7179" t="s">
        <v>26565</v>
      </c>
      <c r="R7179" t="s">
        <v>26578</v>
      </c>
      <c r="S7179" t="s">
        <v>18958</v>
      </c>
      <c r="U7179" t="s">
        <v>26604</v>
      </c>
      <c r="W7179" t="s">
        <v>792</v>
      </c>
      <c r="X7179">
        <v>340</v>
      </c>
      <c r="Y7179" t="s">
        <v>26653</v>
      </c>
      <c r="AB7179" t="s">
        <v>32103</v>
      </c>
      <c r="AD7179" t="s">
        <v>42440</v>
      </c>
      <c r="AE7179">
        <v>43</v>
      </c>
      <c r="AH7179">
        <v>43</v>
      </c>
      <c r="AI7179">
        <v>1</v>
      </c>
      <c r="AJ7179">
        <v>0</v>
      </c>
      <c r="AK7179">
        <v>59.57</v>
      </c>
      <c r="AN7179" t="s">
        <v>7439</v>
      </c>
      <c r="AO7179">
        <v>7440</v>
      </c>
      <c r="AU7179">
        <v>0</v>
      </c>
      <c r="AW7179" t="s">
        <v>46884</v>
      </c>
    </row>
    <row r="7180" spans="1:50">
      <c r="A7180" s="1">
        <f>HYPERLINK("https://lsnyc.legalserver.org/matter/dynamic-profile/view/1896160","19-1896160")</f>
        <v>0</v>
      </c>
      <c r="B7180" t="s">
        <v>212</v>
      </c>
      <c r="C7180" t="s">
        <v>340</v>
      </c>
      <c r="D7180" t="s">
        <v>792</v>
      </c>
      <c r="F7180" t="s">
        <v>1013</v>
      </c>
      <c r="G7180" t="s">
        <v>8220</v>
      </c>
      <c r="H7180" t="s">
        <v>14551</v>
      </c>
      <c r="I7180" t="s">
        <v>18055</v>
      </c>
      <c r="J7180" t="s">
        <v>18898</v>
      </c>
      <c r="K7180">
        <v>11691</v>
      </c>
      <c r="L7180" t="s">
        <v>18958</v>
      </c>
      <c r="M7180" t="s">
        <v>18958</v>
      </c>
      <c r="O7180" t="s">
        <v>26534</v>
      </c>
      <c r="P7180" t="s">
        <v>26561</v>
      </c>
      <c r="R7180" t="s">
        <v>26578</v>
      </c>
      <c r="S7180" t="s">
        <v>18958</v>
      </c>
      <c r="U7180" t="s">
        <v>26604</v>
      </c>
      <c r="W7180" t="s">
        <v>792</v>
      </c>
      <c r="X7180">
        <v>675</v>
      </c>
      <c r="Y7180" t="s">
        <v>26653</v>
      </c>
      <c r="Z7180" t="s">
        <v>26664</v>
      </c>
      <c r="AB7180" t="s">
        <v>32075</v>
      </c>
      <c r="AD7180" t="s">
        <v>42402</v>
      </c>
      <c r="AE7180">
        <v>43</v>
      </c>
      <c r="AH7180">
        <v>5</v>
      </c>
      <c r="AI7180">
        <v>2</v>
      </c>
      <c r="AJ7180">
        <v>0</v>
      </c>
      <c r="AK7180">
        <v>141.45</v>
      </c>
      <c r="AN7180" t="s">
        <v>7439</v>
      </c>
      <c r="AO7180">
        <v>23920</v>
      </c>
      <c r="AU7180">
        <v>0</v>
      </c>
      <c r="AW7180" t="s">
        <v>46884</v>
      </c>
    </row>
    <row r="7181" spans="1:50">
      <c r="A7181" s="1">
        <f>HYPERLINK("https://lsnyc.legalserver.org/matter/dynamic-profile/view/1896172","19-1896172")</f>
        <v>0</v>
      </c>
      <c r="B7181" t="s">
        <v>212</v>
      </c>
      <c r="C7181" t="s">
        <v>340</v>
      </c>
      <c r="D7181" t="s">
        <v>792</v>
      </c>
      <c r="F7181" t="s">
        <v>1013</v>
      </c>
      <c r="G7181" t="s">
        <v>8220</v>
      </c>
      <c r="H7181" t="s">
        <v>14551</v>
      </c>
      <c r="I7181" t="s">
        <v>18055</v>
      </c>
      <c r="J7181" t="s">
        <v>18898</v>
      </c>
      <c r="K7181">
        <v>11691</v>
      </c>
      <c r="L7181" t="s">
        <v>18958</v>
      </c>
      <c r="M7181" t="s">
        <v>18958</v>
      </c>
      <c r="O7181" t="s">
        <v>26529</v>
      </c>
      <c r="P7181" t="s">
        <v>26565</v>
      </c>
      <c r="R7181" t="s">
        <v>26578</v>
      </c>
      <c r="S7181" t="s">
        <v>18958</v>
      </c>
      <c r="U7181" t="s">
        <v>26604</v>
      </c>
      <c r="W7181" t="s">
        <v>792</v>
      </c>
      <c r="X7181">
        <v>675</v>
      </c>
      <c r="Y7181" t="s">
        <v>26653</v>
      </c>
      <c r="AB7181" t="s">
        <v>32075</v>
      </c>
      <c r="AD7181" t="s">
        <v>42402</v>
      </c>
      <c r="AE7181">
        <v>43</v>
      </c>
      <c r="AH7181">
        <v>5</v>
      </c>
      <c r="AI7181">
        <v>2</v>
      </c>
      <c r="AJ7181">
        <v>0</v>
      </c>
      <c r="AK7181">
        <v>141.45</v>
      </c>
      <c r="AN7181" t="s">
        <v>7439</v>
      </c>
      <c r="AO7181">
        <v>23920</v>
      </c>
      <c r="AU7181">
        <v>0</v>
      </c>
      <c r="AW7181" t="s">
        <v>46884</v>
      </c>
    </row>
    <row r="7182" spans="1:50">
      <c r="A7182" s="1">
        <f>HYPERLINK("https://lsnyc.legalserver.org/matter/dynamic-profile/view/1896125","19-1896125")</f>
        <v>0</v>
      </c>
      <c r="B7182" t="s">
        <v>68</v>
      </c>
      <c r="C7182" t="s">
        <v>340</v>
      </c>
      <c r="D7182" t="s">
        <v>792</v>
      </c>
      <c r="F7182" t="s">
        <v>868</v>
      </c>
      <c r="G7182" t="s">
        <v>8241</v>
      </c>
      <c r="H7182" t="s">
        <v>14613</v>
      </c>
      <c r="I7182" t="s">
        <v>17334</v>
      </c>
      <c r="J7182" t="s">
        <v>18892</v>
      </c>
      <c r="K7182">
        <v>10462</v>
      </c>
      <c r="L7182" t="s">
        <v>18958</v>
      </c>
      <c r="M7182" t="s">
        <v>18958</v>
      </c>
      <c r="N7182" t="s">
        <v>24082</v>
      </c>
      <c r="O7182" t="s">
        <v>26524</v>
      </c>
      <c r="P7182" t="s">
        <v>26560</v>
      </c>
      <c r="R7182" t="s">
        <v>26579</v>
      </c>
      <c r="S7182" t="s">
        <v>18959</v>
      </c>
      <c r="U7182" t="s">
        <v>26604</v>
      </c>
      <c r="V7182" t="s">
        <v>26610</v>
      </c>
      <c r="W7182" t="s">
        <v>792</v>
      </c>
      <c r="X7182">
        <v>650</v>
      </c>
      <c r="Y7182" t="s">
        <v>26650</v>
      </c>
      <c r="Z7182" t="s">
        <v>26664</v>
      </c>
      <c r="AB7182" t="s">
        <v>32104</v>
      </c>
      <c r="AD7182" t="s">
        <v>42441</v>
      </c>
      <c r="AE7182">
        <v>10</v>
      </c>
      <c r="AF7182" t="s">
        <v>45547</v>
      </c>
      <c r="AG7182" t="s">
        <v>19330</v>
      </c>
      <c r="AH7182">
        <v>1</v>
      </c>
      <c r="AI7182">
        <v>1</v>
      </c>
      <c r="AJ7182">
        <v>2</v>
      </c>
      <c r="AK7182">
        <v>164.09</v>
      </c>
      <c r="AN7182" t="s">
        <v>7439</v>
      </c>
      <c r="AO7182">
        <v>35000</v>
      </c>
      <c r="AU7182">
        <v>5.8</v>
      </c>
      <c r="AV7182" t="s">
        <v>823</v>
      </c>
      <c r="AW7182" t="s">
        <v>334</v>
      </c>
    </row>
    <row r="7183" spans="1:50">
      <c r="A7183" s="1">
        <f>HYPERLINK("https://lsnyc.legalserver.org/matter/dynamic-profile/view/1896144","19-1896144")</f>
        <v>0</v>
      </c>
      <c r="B7183" t="s">
        <v>159</v>
      </c>
      <c r="C7183" t="s">
        <v>340</v>
      </c>
      <c r="D7183" t="s">
        <v>792</v>
      </c>
      <c r="F7183" t="s">
        <v>2361</v>
      </c>
      <c r="G7183" t="s">
        <v>7365</v>
      </c>
      <c r="H7183" t="s">
        <v>14614</v>
      </c>
      <c r="I7183" t="s">
        <v>17375</v>
      </c>
      <c r="J7183" t="s">
        <v>18901</v>
      </c>
      <c r="K7183">
        <v>11433</v>
      </c>
      <c r="L7183" t="s">
        <v>18958</v>
      </c>
      <c r="M7183" t="s">
        <v>18958</v>
      </c>
      <c r="N7183" t="s">
        <v>24083</v>
      </c>
      <c r="O7183" t="s">
        <v>26524</v>
      </c>
      <c r="P7183" t="s">
        <v>26560</v>
      </c>
      <c r="R7183" t="s">
        <v>26585</v>
      </c>
      <c r="S7183" t="s">
        <v>18959</v>
      </c>
      <c r="U7183" t="s">
        <v>26604</v>
      </c>
      <c r="V7183" t="s">
        <v>26610</v>
      </c>
      <c r="W7183" t="s">
        <v>792</v>
      </c>
      <c r="X7183">
        <v>1000</v>
      </c>
      <c r="Y7183" t="s">
        <v>26653</v>
      </c>
      <c r="Z7183" t="s">
        <v>26668</v>
      </c>
      <c r="AB7183" t="s">
        <v>32105</v>
      </c>
      <c r="AC7183" t="s">
        <v>19045</v>
      </c>
      <c r="AD7183" t="s">
        <v>42442</v>
      </c>
      <c r="AE7183">
        <v>3</v>
      </c>
      <c r="AF7183" t="s">
        <v>20460</v>
      </c>
      <c r="AG7183" t="s">
        <v>19330</v>
      </c>
      <c r="AH7183">
        <v>3</v>
      </c>
      <c r="AI7183">
        <v>1</v>
      </c>
      <c r="AJ7183">
        <v>0</v>
      </c>
      <c r="AK7183">
        <v>200.16</v>
      </c>
      <c r="AN7183" t="s">
        <v>7439</v>
      </c>
      <c r="AO7183">
        <v>25000</v>
      </c>
      <c r="AU7183">
        <v>25.5</v>
      </c>
      <c r="AV7183" t="s">
        <v>822</v>
      </c>
      <c r="AW7183" t="s">
        <v>208</v>
      </c>
    </row>
    <row r="7184" spans="1:50">
      <c r="A7184" s="1">
        <f>HYPERLINK("https://lsnyc.legalserver.org/matter/dynamic-profile/view/1896167","19-1896167")</f>
        <v>0</v>
      </c>
      <c r="B7184" t="s">
        <v>82</v>
      </c>
      <c r="C7184" t="s">
        <v>340</v>
      </c>
      <c r="D7184" t="s">
        <v>792</v>
      </c>
      <c r="F7184" t="s">
        <v>1188</v>
      </c>
      <c r="G7184" t="s">
        <v>8242</v>
      </c>
      <c r="H7184" t="s">
        <v>10863</v>
      </c>
      <c r="I7184" t="s">
        <v>17833</v>
      </c>
      <c r="J7184" t="s">
        <v>18892</v>
      </c>
      <c r="K7184">
        <v>10468</v>
      </c>
      <c r="L7184" t="s">
        <v>18958</v>
      </c>
      <c r="M7184" t="s">
        <v>18958</v>
      </c>
      <c r="N7184" t="s">
        <v>24084</v>
      </c>
      <c r="O7184" t="s">
        <v>26523</v>
      </c>
      <c r="P7184" t="s">
        <v>26560</v>
      </c>
      <c r="R7184" t="s">
        <v>26579</v>
      </c>
      <c r="S7184" t="s">
        <v>18959</v>
      </c>
      <c r="U7184" t="s">
        <v>26604</v>
      </c>
      <c r="V7184" t="s">
        <v>26610</v>
      </c>
      <c r="W7184" t="s">
        <v>792</v>
      </c>
      <c r="X7184">
        <v>1229.15</v>
      </c>
      <c r="Y7184" t="s">
        <v>26650</v>
      </c>
      <c r="Z7184" t="s">
        <v>26664</v>
      </c>
      <c r="AB7184" t="s">
        <v>32106</v>
      </c>
      <c r="AC7184" t="s">
        <v>36281</v>
      </c>
      <c r="AD7184" t="s">
        <v>42443</v>
      </c>
      <c r="AE7184">
        <v>86</v>
      </c>
      <c r="AF7184" t="s">
        <v>45541</v>
      </c>
      <c r="AH7184">
        <v>1</v>
      </c>
      <c r="AI7184">
        <v>2</v>
      </c>
      <c r="AJ7184">
        <v>0</v>
      </c>
      <c r="AK7184">
        <v>180.51</v>
      </c>
      <c r="AN7184" t="s">
        <v>45581</v>
      </c>
      <c r="AO7184">
        <v>30524</v>
      </c>
      <c r="AU7184">
        <v>4</v>
      </c>
      <c r="AV7184" t="s">
        <v>822</v>
      </c>
      <c r="AW7184" t="s">
        <v>334</v>
      </c>
      <c r="AX7184" t="s">
        <v>46897</v>
      </c>
    </row>
    <row r="7185" spans="1:50">
      <c r="A7185" s="1">
        <f>HYPERLINK("https://lsnyc.legalserver.org/matter/dynamic-profile/view/1896145","19-1896145")</f>
        <v>0</v>
      </c>
      <c r="B7185" t="s">
        <v>120</v>
      </c>
      <c r="C7185" t="s">
        <v>340</v>
      </c>
      <c r="D7185" t="s">
        <v>792</v>
      </c>
      <c r="F7185" t="s">
        <v>3885</v>
      </c>
      <c r="G7185" t="s">
        <v>7096</v>
      </c>
      <c r="H7185" t="s">
        <v>14615</v>
      </c>
      <c r="I7185" t="s">
        <v>17348</v>
      </c>
      <c r="J7185" t="s">
        <v>18892</v>
      </c>
      <c r="K7185">
        <v>10462</v>
      </c>
      <c r="L7185" t="s">
        <v>18958</v>
      </c>
      <c r="M7185" t="s">
        <v>18958</v>
      </c>
      <c r="N7185" t="s">
        <v>24085</v>
      </c>
      <c r="O7185" t="s">
        <v>26523</v>
      </c>
      <c r="P7185" t="s">
        <v>26560</v>
      </c>
      <c r="R7185" t="s">
        <v>26579</v>
      </c>
      <c r="S7185" t="s">
        <v>18959</v>
      </c>
      <c r="U7185" t="s">
        <v>26604</v>
      </c>
      <c r="W7185" t="s">
        <v>792</v>
      </c>
      <c r="X7185">
        <v>1335</v>
      </c>
      <c r="Y7185" t="s">
        <v>26650</v>
      </c>
      <c r="Z7185" t="s">
        <v>26668</v>
      </c>
      <c r="AB7185" t="s">
        <v>28853</v>
      </c>
      <c r="AD7185" t="s">
        <v>42444</v>
      </c>
      <c r="AE7185">
        <v>67</v>
      </c>
      <c r="AF7185" t="s">
        <v>20460</v>
      </c>
      <c r="AG7185" t="s">
        <v>19330</v>
      </c>
      <c r="AH7185">
        <v>8</v>
      </c>
      <c r="AI7185">
        <v>1</v>
      </c>
      <c r="AJ7185">
        <v>0</v>
      </c>
      <c r="AK7185">
        <v>0</v>
      </c>
      <c r="AN7185" t="s">
        <v>7439</v>
      </c>
      <c r="AO7185">
        <v>0</v>
      </c>
      <c r="AU7185">
        <v>0.9</v>
      </c>
      <c r="AV7185" t="s">
        <v>805</v>
      </c>
      <c r="AW7185" t="s">
        <v>46847</v>
      </c>
    </row>
    <row r="7186" spans="1:50">
      <c r="A7186" s="1">
        <f>HYPERLINK("https://lsnyc.legalserver.org/matter/dynamic-profile/view/1896183","19-1896183")</f>
        <v>0</v>
      </c>
      <c r="B7186" t="s">
        <v>65</v>
      </c>
      <c r="C7186" t="s">
        <v>340</v>
      </c>
      <c r="D7186" t="s">
        <v>792</v>
      </c>
      <c r="F7186" t="s">
        <v>1944</v>
      </c>
      <c r="G7186" t="s">
        <v>5678</v>
      </c>
      <c r="H7186" t="s">
        <v>14616</v>
      </c>
      <c r="I7186" t="s">
        <v>17410</v>
      </c>
      <c r="J7186" t="s">
        <v>18892</v>
      </c>
      <c r="K7186">
        <v>10467</v>
      </c>
      <c r="L7186" t="s">
        <v>18958</v>
      </c>
      <c r="M7186" t="s">
        <v>18958</v>
      </c>
      <c r="N7186" t="s">
        <v>24086</v>
      </c>
      <c r="O7186" t="s">
        <v>26523</v>
      </c>
      <c r="P7186" t="s">
        <v>26560</v>
      </c>
      <c r="R7186" t="s">
        <v>26579</v>
      </c>
      <c r="U7186" t="s">
        <v>26604</v>
      </c>
      <c r="V7186" t="s">
        <v>26610</v>
      </c>
      <c r="W7186" t="s">
        <v>792</v>
      </c>
      <c r="X7186">
        <v>1071.33</v>
      </c>
      <c r="Y7186" t="s">
        <v>26650</v>
      </c>
      <c r="Z7186" t="s">
        <v>26664</v>
      </c>
      <c r="AB7186" t="s">
        <v>32107</v>
      </c>
      <c r="AD7186" t="s">
        <v>42445</v>
      </c>
      <c r="AE7186">
        <v>0</v>
      </c>
      <c r="AF7186" t="s">
        <v>45541</v>
      </c>
      <c r="AG7186" t="s">
        <v>19330</v>
      </c>
      <c r="AH7186">
        <v>7</v>
      </c>
      <c r="AI7186">
        <v>2</v>
      </c>
      <c r="AJ7186">
        <v>1</v>
      </c>
      <c r="AK7186">
        <v>114.39</v>
      </c>
      <c r="AN7186" t="s">
        <v>7439</v>
      </c>
      <c r="AO7186">
        <v>24400</v>
      </c>
      <c r="AU7186">
        <v>4.8</v>
      </c>
      <c r="AV7186" t="s">
        <v>830</v>
      </c>
      <c r="AW7186" t="s">
        <v>334</v>
      </c>
    </row>
    <row r="7187" spans="1:50">
      <c r="A7187" s="1">
        <f>HYPERLINK("https://lsnyc.legalserver.org/matter/dynamic-profile/view/1896188","19-1896188")</f>
        <v>0</v>
      </c>
      <c r="B7187" t="s">
        <v>293</v>
      </c>
      <c r="C7187" t="s">
        <v>340</v>
      </c>
      <c r="D7187" t="s">
        <v>792</v>
      </c>
      <c r="F7187" t="s">
        <v>964</v>
      </c>
      <c r="G7187" t="s">
        <v>5150</v>
      </c>
      <c r="H7187" t="s">
        <v>9729</v>
      </c>
      <c r="I7187" t="s">
        <v>17316</v>
      </c>
      <c r="J7187" t="s">
        <v>18892</v>
      </c>
      <c r="K7187">
        <v>10454</v>
      </c>
      <c r="L7187" t="s">
        <v>18958</v>
      </c>
      <c r="M7187" t="s">
        <v>18958</v>
      </c>
      <c r="N7187" t="s">
        <v>24087</v>
      </c>
      <c r="O7187" t="s">
        <v>26523</v>
      </c>
      <c r="P7187" t="s">
        <v>26560</v>
      </c>
      <c r="R7187" t="s">
        <v>26577</v>
      </c>
      <c r="S7187" t="s">
        <v>18959</v>
      </c>
      <c r="U7187" t="s">
        <v>26604</v>
      </c>
      <c r="V7187" t="s">
        <v>26611</v>
      </c>
      <c r="W7187" t="s">
        <v>792</v>
      </c>
      <c r="X7187">
        <v>1778</v>
      </c>
      <c r="Y7187" t="s">
        <v>26650</v>
      </c>
      <c r="Z7187" t="s">
        <v>26659</v>
      </c>
      <c r="AB7187" t="s">
        <v>26802</v>
      </c>
      <c r="AD7187" t="s">
        <v>36908</v>
      </c>
      <c r="AE7187">
        <v>0</v>
      </c>
      <c r="AF7187" t="s">
        <v>45541</v>
      </c>
      <c r="AG7187" t="s">
        <v>45556</v>
      </c>
      <c r="AH7187">
        <v>10</v>
      </c>
      <c r="AI7187">
        <v>1</v>
      </c>
      <c r="AJ7187">
        <v>5</v>
      </c>
      <c r="AK7187">
        <v>68.03</v>
      </c>
      <c r="AN7187" t="s">
        <v>7439</v>
      </c>
      <c r="AO7187">
        <v>23530</v>
      </c>
      <c r="AU7187">
        <v>8.5</v>
      </c>
      <c r="AV7187" t="s">
        <v>773</v>
      </c>
      <c r="AW7187" t="s">
        <v>46847</v>
      </c>
    </row>
    <row r="7188" spans="1:50">
      <c r="A7188" s="1">
        <f>HYPERLINK("https://lsnyc.legalserver.org/matter/dynamic-profile/view/1896173","19-1896173")</f>
        <v>0</v>
      </c>
      <c r="B7188" t="s">
        <v>114</v>
      </c>
      <c r="C7188" t="s">
        <v>340</v>
      </c>
      <c r="D7188" t="s">
        <v>792</v>
      </c>
      <c r="F7188" t="s">
        <v>3667</v>
      </c>
      <c r="G7188" t="s">
        <v>8138</v>
      </c>
      <c r="H7188" t="s">
        <v>14617</v>
      </c>
      <c r="I7188" t="s">
        <v>17333</v>
      </c>
      <c r="J7188" t="s">
        <v>18899</v>
      </c>
      <c r="K7188">
        <v>11385</v>
      </c>
      <c r="L7188" t="s">
        <v>18958</v>
      </c>
      <c r="M7188" t="s">
        <v>18958</v>
      </c>
      <c r="N7188" t="s">
        <v>24088</v>
      </c>
      <c r="O7188" t="s">
        <v>26524</v>
      </c>
      <c r="P7188" t="s">
        <v>26563</v>
      </c>
      <c r="R7188" t="s">
        <v>26585</v>
      </c>
      <c r="S7188" t="s">
        <v>18959</v>
      </c>
      <c r="U7188" t="s">
        <v>26604</v>
      </c>
      <c r="W7188" t="s">
        <v>792</v>
      </c>
      <c r="X7188">
        <v>1350</v>
      </c>
      <c r="Y7188" t="s">
        <v>26653</v>
      </c>
      <c r="Z7188" t="s">
        <v>26668</v>
      </c>
      <c r="AB7188" t="s">
        <v>32108</v>
      </c>
      <c r="AD7188" t="s">
        <v>42446</v>
      </c>
      <c r="AE7188">
        <v>6</v>
      </c>
      <c r="AF7188" t="s">
        <v>20460</v>
      </c>
      <c r="AG7188" t="s">
        <v>19330</v>
      </c>
      <c r="AH7188">
        <v>10</v>
      </c>
      <c r="AI7188">
        <v>4</v>
      </c>
      <c r="AJ7188">
        <v>0</v>
      </c>
      <c r="AK7188">
        <v>156.58</v>
      </c>
      <c r="AN7188" t="s">
        <v>7439</v>
      </c>
      <c r="AO7188">
        <v>40320</v>
      </c>
      <c r="AU7188">
        <v>10.45</v>
      </c>
      <c r="AV7188" t="s">
        <v>772</v>
      </c>
      <c r="AW7188" t="s">
        <v>208</v>
      </c>
    </row>
    <row r="7189" spans="1:50">
      <c r="A7189" s="1">
        <f>HYPERLINK("https://lsnyc.legalserver.org/matter/dynamic-profile/view/1896211","19-1896211")</f>
        <v>0</v>
      </c>
      <c r="B7189" t="s">
        <v>69</v>
      </c>
      <c r="C7189" t="s">
        <v>340</v>
      </c>
      <c r="D7189" t="s">
        <v>792</v>
      </c>
      <c r="F7189" t="s">
        <v>3886</v>
      </c>
      <c r="G7189" t="s">
        <v>5218</v>
      </c>
      <c r="H7189" t="s">
        <v>14618</v>
      </c>
      <c r="I7189" t="s">
        <v>17496</v>
      </c>
      <c r="J7189" t="s">
        <v>18892</v>
      </c>
      <c r="K7189">
        <v>10457</v>
      </c>
      <c r="L7189" t="s">
        <v>18958</v>
      </c>
      <c r="M7189" t="s">
        <v>18958</v>
      </c>
      <c r="N7189" t="s">
        <v>24089</v>
      </c>
      <c r="O7189" t="s">
        <v>26523</v>
      </c>
      <c r="P7189" t="s">
        <v>26560</v>
      </c>
      <c r="R7189" t="s">
        <v>26579</v>
      </c>
      <c r="U7189" t="s">
        <v>26604</v>
      </c>
      <c r="W7189" t="s">
        <v>792</v>
      </c>
      <c r="X7189">
        <v>890</v>
      </c>
      <c r="Y7189" t="s">
        <v>26650</v>
      </c>
      <c r="AB7189" t="s">
        <v>32109</v>
      </c>
      <c r="AD7189" t="s">
        <v>42447</v>
      </c>
      <c r="AE7189">
        <v>80</v>
      </c>
      <c r="AH7189">
        <v>20</v>
      </c>
      <c r="AI7189">
        <v>1</v>
      </c>
      <c r="AJ7189">
        <v>0</v>
      </c>
      <c r="AK7189">
        <v>136.11</v>
      </c>
      <c r="AN7189" t="s">
        <v>7439</v>
      </c>
      <c r="AO7189">
        <v>17000</v>
      </c>
      <c r="AU7189">
        <v>5.1</v>
      </c>
      <c r="AV7189" t="s">
        <v>833</v>
      </c>
      <c r="AW7189" t="s">
        <v>46857</v>
      </c>
      <c r="AX7189" t="s">
        <v>46897</v>
      </c>
    </row>
    <row r="7190" spans="1:50">
      <c r="A7190" s="1">
        <f>HYPERLINK("https://lsnyc.legalserver.org/matter/dynamic-profile/view/1896123","19-1896123")</f>
        <v>0</v>
      </c>
      <c r="B7190" t="s">
        <v>275</v>
      </c>
      <c r="C7190" t="s">
        <v>340</v>
      </c>
      <c r="D7190" t="s">
        <v>792</v>
      </c>
      <c r="F7190" t="s">
        <v>3887</v>
      </c>
      <c r="G7190" t="s">
        <v>1901</v>
      </c>
      <c r="H7190" t="s">
        <v>14619</v>
      </c>
      <c r="I7190" t="s">
        <v>17347</v>
      </c>
      <c r="J7190" t="s">
        <v>18892</v>
      </c>
      <c r="K7190">
        <v>10453</v>
      </c>
      <c r="L7190" t="s">
        <v>18958</v>
      </c>
      <c r="M7190" t="s">
        <v>18958</v>
      </c>
      <c r="N7190" t="s">
        <v>24090</v>
      </c>
      <c r="O7190" t="s">
        <v>26523</v>
      </c>
      <c r="P7190" t="s">
        <v>26564</v>
      </c>
      <c r="R7190" t="s">
        <v>26577</v>
      </c>
      <c r="S7190" t="s">
        <v>18959</v>
      </c>
      <c r="U7190" t="s">
        <v>26604</v>
      </c>
      <c r="W7190" t="s">
        <v>792</v>
      </c>
      <c r="X7190">
        <v>840.7</v>
      </c>
      <c r="Y7190" t="s">
        <v>26650</v>
      </c>
      <c r="Z7190" t="s">
        <v>26664</v>
      </c>
      <c r="AB7190" t="s">
        <v>32110</v>
      </c>
      <c r="AD7190" t="s">
        <v>42448</v>
      </c>
      <c r="AE7190">
        <v>0</v>
      </c>
      <c r="AF7190" t="s">
        <v>20460</v>
      </c>
      <c r="AH7190">
        <v>20</v>
      </c>
      <c r="AI7190">
        <v>1</v>
      </c>
      <c r="AJ7190">
        <v>0</v>
      </c>
      <c r="AK7190">
        <v>0</v>
      </c>
      <c r="AN7190" t="s">
        <v>7439</v>
      </c>
      <c r="AO7190">
        <v>0</v>
      </c>
      <c r="AU7190">
        <v>9.699999999999999</v>
      </c>
      <c r="AV7190" t="s">
        <v>820</v>
      </c>
      <c r="AW7190" t="s">
        <v>46871</v>
      </c>
    </row>
    <row r="7191" spans="1:50">
      <c r="A7191" s="1">
        <f>HYPERLINK("https://lsnyc.legalserver.org/matter/dynamic-profile/view/1896964","19-1896964")</f>
        <v>0</v>
      </c>
      <c r="B7191" t="s">
        <v>159</v>
      </c>
      <c r="C7191" t="s">
        <v>340</v>
      </c>
      <c r="D7191" t="s">
        <v>780</v>
      </c>
      <c r="F7191" t="s">
        <v>2361</v>
      </c>
      <c r="G7191" t="s">
        <v>7365</v>
      </c>
      <c r="H7191" t="s">
        <v>14614</v>
      </c>
      <c r="I7191" t="s">
        <v>17375</v>
      </c>
      <c r="J7191" t="s">
        <v>18901</v>
      </c>
      <c r="K7191">
        <v>11433</v>
      </c>
      <c r="L7191" t="s">
        <v>18958</v>
      </c>
      <c r="M7191" t="s">
        <v>18958</v>
      </c>
      <c r="N7191" t="s">
        <v>24091</v>
      </c>
      <c r="O7191" t="s">
        <v>26524</v>
      </c>
      <c r="P7191" t="s">
        <v>26560</v>
      </c>
      <c r="R7191" t="s">
        <v>26585</v>
      </c>
      <c r="S7191" t="s">
        <v>18959</v>
      </c>
      <c r="U7191" t="s">
        <v>26604</v>
      </c>
      <c r="V7191" t="s">
        <v>26610</v>
      </c>
      <c r="W7191" t="s">
        <v>792</v>
      </c>
      <c r="X7191">
        <v>1000</v>
      </c>
      <c r="Y7191" t="s">
        <v>26653</v>
      </c>
      <c r="Z7191" t="s">
        <v>26668</v>
      </c>
      <c r="AB7191" t="s">
        <v>32105</v>
      </c>
      <c r="AC7191" t="s">
        <v>19045</v>
      </c>
      <c r="AD7191" t="s">
        <v>42442</v>
      </c>
      <c r="AE7191">
        <v>3</v>
      </c>
      <c r="AF7191" t="s">
        <v>45547</v>
      </c>
      <c r="AG7191" t="s">
        <v>19330</v>
      </c>
      <c r="AH7191">
        <v>3</v>
      </c>
      <c r="AI7191">
        <v>1</v>
      </c>
      <c r="AJ7191">
        <v>0</v>
      </c>
      <c r="AK7191">
        <v>200.16</v>
      </c>
      <c r="AN7191" t="s">
        <v>7439</v>
      </c>
      <c r="AO7191">
        <v>25000</v>
      </c>
      <c r="AU7191">
        <v>5.5</v>
      </c>
      <c r="AV7191" t="s">
        <v>822</v>
      </c>
      <c r="AW7191" t="s">
        <v>159</v>
      </c>
    </row>
    <row r="7192" spans="1:50">
      <c r="A7192" s="1">
        <f>HYPERLINK("https://lsnyc.legalserver.org/matter/dynamic-profile/view/1894901","19-1894901")</f>
        <v>0</v>
      </c>
      <c r="B7192" t="s">
        <v>245</v>
      </c>
      <c r="C7192" t="s">
        <v>340</v>
      </c>
      <c r="D7192" t="s">
        <v>789</v>
      </c>
      <c r="F7192" t="s">
        <v>1299</v>
      </c>
      <c r="G7192" t="s">
        <v>8243</v>
      </c>
      <c r="H7192" t="s">
        <v>14620</v>
      </c>
      <c r="I7192" t="s">
        <v>17355</v>
      </c>
      <c r="J7192" t="s">
        <v>18892</v>
      </c>
      <c r="K7192">
        <v>10462</v>
      </c>
      <c r="L7192" t="s">
        <v>18958</v>
      </c>
      <c r="M7192" t="s">
        <v>18958</v>
      </c>
      <c r="N7192" t="s">
        <v>24092</v>
      </c>
      <c r="O7192" t="s">
        <v>26524</v>
      </c>
      <c r="P7192" t="s">
        <v>26560</v>
      </c>
      <c r="R7192" t="s">
        <v>26579</v>
      </c>
      <c r="S7192" t="s">
        <v>18959</v>
      </c>
      <c r="U7192" t="s">
        <v>26604</v>
      </c>
      <c r="V7192" t="s">
        <v>26612</v>
      </c>
      <c r="W7192" t="s">
        <v>724</v>
      </c>
      <c r="X7192">
        <v>0</v>
      </c>
      <c r="Y7192" t="s">
        <v>26650</v>
      </c>
      <c r="Z7192" t="s">
        <v>26664</v>
      </c>
      <c r="AB7192" t="s">
        <v>27868</v>
      </c>
      <c r="AC7192" t="s">
        <v>36282</v>
      </c>
      <c r="AD7192" t="s">
        <v>42449</v>
      </c>
      <c r="AE7192">
        <v>0</v>
      </c>
      <c r="AF7192" t="s">
        <v>45555</v>
      </c>
      <c r="AH7192">
        <v>10</v>
      </c>
      <c r="AI7192">
        <v>1</v>
      </c>
      <c r="AJ7192">
        <v>0</v>
      </c>
      <c r="AK7192">
        <v>307.65</v>
      </c>
      <c r="AN7192" t="s">
        <v>7439</v>
      </c>
      <c r="AO7192">
        <v>38425</v>
      </c>
      <c r="AU7192">
        <v>9.199999999999999</v>
      </c>
      <c r="AV7192" t="s">
        <v>834</v>
      </c>
      <c r="AW7192" t="s">
        <v>334</v>
      </c>
      <c r="AX7192" t="s">
        <v>46898</v>
      </c>
    </row>
    <row r="7193" spans="1:50">
      <c r="A7193" s="1">
        <f>HYPERLINK("https://lsnyc.legalserver.org/matter/dynamic-profile/view/1895185","19-1895185")</f>
        <v>0</v>
      </c>
      <c r="B7193" t="s">
        <v>141</v>
      </c>
      <c r="C7193" t="s">
        <v>340</v>
      </c>
      <c r="D7193" t="s">
        <v>781</v>
      </c>
      <c r="F7193" t="s">
        <v>1233</v>
      </c>
      <c r="G7193" t="s">
        <v>5147</v>
      </c>
      <c r="H7193" t="s">
        <v>14621</v>
      </c>
      <c r="I7193" t="s">
        <v>17641</v>
      </c>
      <c r="J7193" t="s">
        <v>18898</v>
      </c>
      <c r="K7193">
        <v>11691</v>
      </c>
      <c r="L7193" t="s">
        <v>18958</v>
      </c>
      <c r="M7193" t="s">
        <v>18958</v>
      </c>
      <c r="N7193" t="s">
        <v>24093</v>
      </c>
      <c r="O7193" t="s">
        <v>26523</v>
      </c>
      <c r="P7193" t="s">
        <v>26560</v>
      </c>
      <c r="R7193" t="s">
        <v>26578</v>
      </c>
      <c r="S7193" t="s">
        <v>18959</v>
      </c>
      <c r="U7193" t="s">
        <v>26604</v>
      </c>
      <c r="V7193" t="s">
        <v>26610</v>
      </c>
      <c r="W7193" t="s">
        <v>724</v>
      </c>
      <c r="X7193">
        <v>906</v>
      </c>
      <c r="Y7193" t="s">
        <v>26653</v>
      </c>
      <c r="Z7193" t="s">
        <v>26664</v>
      </c>
      <c r="AB7193" t="s">
        <v>32111</v>
      </c>
      <c r="AC7193" t="s">
        <v>36283</v>
      </c>
      <c r="AD7193" t="s">
        <v>42450</v>
      </c>
      <c r="AE7193">
        <v>107</v>
      </c>
      <c r="AF7193" t="s">
        <v>45541</v>
      </c>
      <c r="AG7193" t="s">
        <v>45557</v>
      </c>
      <c r="AH7193">
        <v>26</v>
      </c>
      <c r="AI7193">
        <v>1</v>
      </c>
      <c r="AJ7193">
        <v>1</v>
      </c>
      <c r="AK7193">
        <v>47.47</v>
      </c>
      <c r="AN7193" t="s">
        <v>7439</v>
      </c>
      <c r="AO7193">
        <v>8028</v>
      </c>
      <c r="AQ7193" t="s">
        <v>46361</v>
      </c>
      <c r="AR7193" t="s">
        <v>46383</v>
      </c>
      <c r="AS7193" t="s">
        <v>46499</v>
      </c>
      <c r="AT7193" t="s">
        <v>46801</v>
      </c>
      <c r="AU7193">
        <v>23.85</v>
      </c>
      <c r="AV7193" t="s">
        <v>835</v>
      </c>
      <c r="AW7193" t="s">
        <v>247</v>
      </c>
      <c r="AX7193" t="s">
        <v>46897</v>
      </c>
    </row>
    <row r="7194" spans="1:50">
      <c r="A7194" s="1">
        <f>HYPERLINK("https://lsnyc.legalserver.org/matter/dynamic-profile/view/1895626","19-1895626")</f>
        <v>0</v>
      </c>
      <c r="B7194" t="s">
        <v>87</v>
      </c>
      <c r="C7194" t="s">
        <v>340</v>
      </c>
      <c r="D7194" t="s">
        <v>794</v>
      </c>
      <c r="F7194" t="s">
        <v>1540</v>
      </c>
      <c r="G7194" t="s">
        <v>1627</v>
      </c>
      <c r="H7194" t="s">
        <v>14622</v>
      </c>
      <c r="I7194" t="s">
        <v>17309</v>
      </c>
      <c r="J7194" t="s">
        <v>18892</v>
      </c>
      <c r="K7194">
        <v>10472</v>
      </c>
      <c r="L7194" t="s">
        <v>18958</v>
      </c>
      <c r="M7194" t="s">
        <v>18958</v>
      </c>
      <c r="N7194" t="s">
        <v>24094</v>
      </c>
      <c r="O7194" t="s">
        <v>26524</v>
      </c>
      <c r="P7194" t="s">
        <v>26560</v>
      </c>
      <c r="R7194" t="s">
        <v>26577</v>
      </c>
      <c r="U7194" t="s">
        <v>26604</v>
      </c>
      <c r="W7194" t="s">
        <v>724</v>
      </c>
      <c r="X7194">
        <v>1030</v>
      </c>
      <c r="Y7194" t="s">
        <v>26650</v>
      </c>
      <c r="AB7194" t="s">
        <v>32112</v>
      </c>
      <c r="AD7194" t="s">
        <v>42451</v>
      </c>
      <c r="AE7194">
        <v>0</v>
      </c>
      <c r="AG7194" t="s">
        <v>45556</v>
      </c>
      <c r="AH7194">
        <v>12</v>
      </c>
      <c r="AI7194">
        <v>1</v>
      </c>
      <c r="AJ7194">
        <v>0</v>
      </c>
      <c r="AK7194">
        <v>98.19</v>
      </c>
      <c r="AN7194" t="s">
        <v>7439</v>
      </c>
      <c r="AO7194">
        <v>12264</v>
      </c>
      <c r="AU7194">
        <v>18</v>
      </c>
      <c r="AV7194" t="s">
        <v>830</v>
      </c>
      <c r="AW7194" t="s">
        <v>334</v>
      </c>
    </row>
    <row r="7195" spans="1:50">
      <c r="A7195" s="1">
        <f>HYPERLINK("https://lsnyc.legalserver.org/matter/dynamic-profile/view/1895867","19-1895867")</f>
        <v>0</v>
      </c>
      <c r="B7195" t="s">
        <v>69</v>
      </c>
      <c r="C7195" t="s">
        <v>340</v>
      </c>
      <c r="D7195" t="s">
        <v>791</v>
      </c>
      <c r="F7195" t="s">
        <v>3888</v>
      </c>
      <c r="G7195" t="s">
        <v>5297</v>
      </c>
      <c r="H7195" t="s">
        <v>14623</v>
      </c>
      <c r="I7195" t="s">
        <v>17288</v>
      </c>
      <c r="J7195" t="s">
        <v>18892</v>
      </c>
      <c r="K7195">
        <v>10452</v>
      </c>
      <c r="L7195" t="s">
        <v>18958</v>
      </c>
      <c r="M7195" t="s">
        <v>18958</v>
      </c>
      <c r="N7195" t="s">
        <v>24095</v>
      </c>
      <c r="O7195" t="s">
        <v>26523</v>
      </c>
      <c r="P7195" t="s">
        <v>26560</v>
      </c>
      <c r="R7195" t="s">
        <v>26577</v>
      </c>
      <c r="U7195" t="s">
        <v>26604</v>
      </c>
      <c r="V7195" t="s">
        <v>26610</v>
      </c>
      <c r="W7195" t="s">
        <v>724</v>
      </c>
      <c r="X7195">
        <v>148.77</v>
      </c>
      <c r="Y7195" t="s">
        <v>26650</v>
      </c>
      <c r="Z7195" t="s">
        <v>26668</v>
      </c>
      <c r="AB7195" t="s">
        <v>32113</v>
      </c>
      <c r="AD7195" t="s">
        <v>42452</v>
      </c>
      <c r="AE7195">
        <v>0</v>
      </c>
      <c r="AH7195">
        <v>9</v>
      </c>
      <c r="AI7195">
        <v>3</v>
      </c>
      <c r="AJ7195">
        <v>1</v>
      </c>
      <c r="AK7195">
        <v>48.47</v>
      </c>
      <c r="AN7195" t="s">
        <v>8151</v>
      </c>
      <c r="AO7195">
        <v>12480</v>
      </c>
      <c r="AU7195">
        <v>25.1</v>
      </c>
      <c r="AV7195" t="s">
        <v>831</v>
      </c>
      <c r="AW7195" t="s">
        <v>334</v>
      </c>
      <c r="AX7195" t="s">
        <v>46897</v>
      </c>
    </row>
    <row r="7196" spans="1:50">
      <c r="A7196" s="1">
        <f>HYPERLINK("https://lsnyc.legalserver.org/matter/dynamic-profile/view/1895560","19-1895560")</f>
        <v>0</v>
      </c>
      <c r="B7196" t="s">
        <v>131</v>
      </c>
      <c r="C7196" t="s">
        <v>341</v>
      </c>
      <c r="D7196" t="s">
        <v>724</v>
      </c>
      <c r="E7196" t="s">
        <v>806</v>
      </c>
      <c r="F7196" t="s">
        <v>3889</v>
      </c>
      <c r="G7196" t="s">
        <v>6469</v>
      </c>
      <c r="H7196" t="s">
        <v>11098</v>
      </c>
      <c r="I7196" t="s">
        <v>17569</v>
      </c>
      <c r="J7196" t="s">
        <v>18902</v>
      </c>
      <c r="K7196">
        <v>10301</v>
      </c>
      <c r="L7196" t="s">
        <v>18958</v>
      </c>
      <c r="M7196" t="s">
        <v>18960</v>
      </c>
      <c r="N7196" t="s">
        <v>24096</v>
      </c>
      <c r="O7196" t="s">
        <v>26523</v>
      </c>
      <c r="P7196" t="s">
        <v>26560</v>
      </c>
      <c r="Q7196" t="s">
        <v>26568</v>
      </c>
      <c r="R7196" t="s">
        <v>26578</v>
      </c>
      <c r="S7196" t="s">
        <v>18959</v>
      </c>
      <c r="U7196" t="s">
        <v>26604</v>
      </c>
      <c r="V7196" t="s">
        <v>26612</v>
      </c>
      <c r="W7196" t="s">
        <v>724</v>
      </c>
      <c r="X7196">
        <v>1413.57</v>
      </c>
      <c r="Y7196" t="s">
        <v>26654</v>
      </c>
      <c r="Z7196" t="s">
        <v>26659</v>
      </c>
      <c r="AA7196" t="s">
        <v>26678</v>
      </c>
      <c r="AB7196" t="s">
        <v>32114</v>
      </c>
      <c r="AD7196" t="s">
        <v>42453</v>
      </c>
      <c r="AE7196">
        <v>0</v>
      </c>
      <c r="AF7196" t="s">
        <v>45541</v>
      </c>
      <c r="AG7196" t="s">
        <v>19330</v>
      </c>
      <c r="AH7196">
        <v>20</v>
      </c>
      <c r="AI7196">
        <v>3</v>
      </c>
      <c r="AJ7196">
        <v>0</v>
      </c>
      <c r="AK7196">
        <v>185.32</v>
      </c>
      <c r="AN7196" t="s">
        <v>7439</v>
      </c>
      <c r="AO7196">
        <v>39528</v>
      </c>
      <c r="AU7196">
        <v>11.85</v>
      </c>
      <c r="AV7196" t="s">
        <v>806</v>
      </c>
      <c r="AW7196" t="s">
        <v>46883</v>
      </c>
      <c r="AX7196" t="s">
        <v>46897</v>
      </c>
    </row>
    <row r="7197" spans="1:50">
      <c r="A7197" s="1">
        <f>HYPERLINK("https://lsnyc.legalserver.org/matter/dynamic-profile/view/1896302","19-1896302")</f>
        <v>0</v>
      </c>
      <c r="B7197" t="s">
        <v>227</v>
      </c>
      <c r="C7197" t="s">
        <v>341</v>
      </c>
      <c r="D7197" t="s">
        <v>724</v>
      </c>
      <c r="E7197" t="s">
        <v>830</v>
      </c>
      <c r="F7197" t="s">
        <v>1197</v>
      </c>
      <c r="G7197" t="s">
        <v>3722</v>
      </c>
      <c r="H7197" t="s">
        <v>12950</v>
      </c>
      <c r="I7197" t="s">
        <v>17338</v>
      </c>
      <c r="J7197" t="s">
        <v>18894</v>
      </c>
      <c r="K7197">
        <v>11225</v>
      </c>
      <c r="L7197" t="s">
        <v>18958</v>
      </c>
      <c r="M7197" t="s">
        <v>18958</v>
      </c>
      <c r="N7197" t="s">
        <v>24097</v>
      </c>
      <c r="O7197" t="s">
        <v>26523</v>
      </c>
      <c r="P7197" t="s">
        <v>26560</v>
      </c>
      <c r="Q7197" t="s">
        <v>26568</v>
      </c>
      <c r="R7197" t="s">
        <v>26588</v>
      </c>
      <c r="U7197" t="s">
        <v>26604</v>
      </c>
      <c r="W7197" t="s">
        <v>724</v>
      </c>
      <c r="X7197">
        <v>1039.58</v>
      </c>
      <c r="Y7197" t="s">
        <v>26652</v>
      </c>
      <c r="Z7197" t="s">
        <v>26659</v>
      </c>
      <c r="AA7197" t="s">
        <v>26678</v>
      </c>
      <c r="AB7197" t="s">
        <v>32115</v>
      </c>
      <c r="AC7197" t="s">
        <v>36284</v>
      </c>
      <c r="AD7197" t="s">
        <v>42454</v>
      </c>
      <c r="AE7197">
        <v>0</v>
      </c>
      <c r="AF7197" t="s">
        <v>45541</v>
      </c>
      <c r="AH7197">
        <v>21</v>
      </c>
      <c r="AI7197">
        <v>1</v>
      </c>
      <c r="AJ7197">
        <v>0</v>
      </c>
      <c r="AK7197">
        <v>159.68</v>
      </c>
      <c r="AN7197" t="s">
        <v>7439</v>
      </c>
      <c r="AO7197">
        <v>19944</v>
      </c>
      <c r="AS7197" t="s">
        <v>46499</v>
      </c>
      <c r="AU7197">
        <v>4.6</v>
      </c>
      <c r="AV7197" t="s">
        <v>767</v>
      </c>
      <c r="AW7197" t="s">
        <v>46856</v>
      </c>
    </row>
    <row r="7198" spans="1:50">
      <c r="A7198" s="1">
        <f>HYPERLINK("https://lsnyc.legalserver.org/matter/dynamic-profile/view/1896346","19-1896346")</f>
        <v>0</v>
      </c>
      <c r="B7198" t="s">
        <v>157</v>
      </c>
      <c r="C7198" t="s">
        <v>341</v>
      </c>
      <c r="D7198" t="s">
        <v>724</v>
      </c>
      <c r="E7198" t="s">
        <v>724</v>
      </c>
      <c r="F7198" t="s">
        <v>1510</v>
      </c>
      <c r="G7198" t="s">
        <v>8244</v>
      </c>
      <c r="H7198" t="s">
        <v>13028</v>
      </c>
      <c r="I7198" t="s">
        <v>17348</v>
      </c>
      <c r="J7198" t="s">
        <v>18893</v>
      </c>
      <c r="K7198">
        <v>10026</v>
      </c>
      <c r="L7198" t="s">
        <v>18958</v>
      </c>
      <c r="M7198" t="s">
        <v>18958</v>
      </c>
      <c r="N7198" t="s">
        <v>24098</v>
      </c>
      <c r="O7198" t="s">
        <v>26523</v>
      </c>
      <c r="P7198" t="s">
        <v>26564</v>
      </c>
      <c r="Q7198" t="s">
        <v>26570</v>
      </c>
      <c r="R7198" t="s">
        <v>26589</v>
      </c>
      <c r="S7198" t="s">
        <v>18959</v>
      </c>
      <c r="T7198" t="s">
        <v>26589</v>
      </c>
      <c r="U7198" t="s">
        <v>26604</v>
      </c>
      <c r="V7198" t="s">
        <v>26611</v>
      </c>
      <c r="W7198" t="s">
        <v>724</v>
      </c>
      <c r="X7198">
        <v>969</v>
      </c>
      <c r="Y7198" t="s">
        <v>26651</v>
      </c>
      <c r="Z7198" t="s">
        <v>26671</v>
      </c>
      <c r="AA7198" t="s">
        <v>26683</v>
      </c>
      <c r="AB7198" t="s">
        <v>32116</v>
      </c>
      <c r="AD7198" t="s">
        <v>42455</v>
      </c>
      <c r="AE7198">
        <v>18</v>
      </c>
      <c r="AF7198" t="s">
        <v>45541</v>
      </c>
      <c r="AG7198" t="s">
        <v>19330</v>
      </c>
      <c r="AH7198">
        <v>10</v>
      </c>
      <c r="AI7198">
        <v>3</v>
      </c>
      <c r="AJ7198">
        <v>1</v>
      </c>
      <c r="AK7198">
        <v>147.57</v>
      </c>
      <c r="AN7198" t="s">
        <v>7439</v>
      </c>
      <c r="AO7198">
        <v>38000</v>
      </c>
      <c r="AR7198" t="s">
        <v>26530</v>
      </c>
      <c r="AS7198" t="s">
        <v>46499</v>
      </c>
      <c r="AT7198" t="s">
        <v>46654</v>
      </c>
      <c r="AU7198">
        <v>1.5</v>
      </c>
      <c r="AV7198" t="s">
        <v>724</v>
      </c>
      <c r="AW7198" t="s">
        <v>46838</v>
      </c>
    </row>
    <row r="7199" spans="1:50">
      <c r="A7199" s="1">
        <f>HYPERLINK("https://lsnyc.legalserver.org/matter/dynamic-profile/view/1896357","19-1896357")</f>
        <v>0</v>
      </c>
      <c r="B7199" t="s">
        <v>202</v>
      </c>
      <c r="C7199" t="s">
        <v>340</v>
      </c>
      <c r="D7199" t="s">
        <v>724</v>
      </c>
      <c r="F7199" t="s">
        <v>1253</v>
      </c>
      <c r="G7199" t="s">
        <v>8245</v>
      </c>
      <c r="H7199" t="s">
        <v>14624</v>
      </c>
      <c r="I7199">
        <v>16</v>
      </c>
      <c r="J7199" t="s">
        <v>18894</v>
      </c>
      <c r="K7199">
        <v>11213</v>
      </c>
      <c r="L7199" t="s">
        <v>18958</v>
      </c>
      <c r="M7199" t="s">
        <v>18958</v>
      </c>
      <c r="P7199" t="s">
        <v>26560</v>
      </c>
      <c r="R7199" t="s">
        <v>26586</v>
      </c>
      <c r="U7199" t="s">
        <v>26604</v>
      </c>
      <c r="W7199" t="s">
        <v>724</v>
      </c>
      <c r="X7199">
        <v>1400</v>
      </c>
      <c r="Y7199" t="s">
        <v>26652</v>
      </c>
      <c r="Z7199" t="s">
        <v>26659</v>
      </c>
      <c r="AB7199" t="s">
        <v>32117</v>
      </c>
      <c r="AE7199">
        <v>0</v>
      </c>
      <c r="AH7199">
        <v>20</v>
      </c>
      <c r="AI7199">
        <v>1</v>
      </c>
      <c r="AJ7199">
        <v>0</v>
      </c>
      <c r="AK7199">
        <v>115.29</v>
      </c>
      <c r="AN7199" t="s">
        <v>7439</v>
      </c>
      <c r="AO7199">
        <v>14400</v>
      </c>
      <c r="AU7199">
        <v>6.25</v>
      </c>
      <c r="AV7199" t="s">
        <v>814</v>
      </c>
      <c r="AW7199" t="s">
        <v>46856</v>
      </c>
    </row>
    <row r="7200" spans="1:50">
      <c r="A7200" s="1">
        <f>HYPERLINK("https://lsnyc.legalserver.org/matter/dynamic-profile/view/1896393","19-1896393")</f>
        <v>0</v>
      </c>
      <c r="B7200" t="s">
        <v>276</v>
      </c>
      <c r="C7200" t="s">
        <v>340</v>
      </c>
      <c r="D7200" t="s">
        <v>724</v>
      </c>
      <c r="F7200" t="s">
        <v>3890</v>
      </c>
      <c r="G7200" t="s">
        <v>8246</v>
      </c>
      <c r="H7200" t="s">
        <v>13404</v>
      </c>
      <c r="I7200">
        <v>2</v>
      </c>
      <c r="J7200" t="s">
        <v>18894</v>
      </c>
      <c r="K7200">
        <v>11226</v>
      </c>
      <c r="L7200" t="s">
        <v>18958</v>
      </c>
      <c r="M7200" t="s">
        <v>18958</v>
      </c>
      <c r="O7200" t="s">
        <v>26526</v>
      </c>
      <c r="P7200" t="s">
        <v>26564</v>
      </c>
      <c r="R7200" t="s">
        <v>26578</v>
      </c>
      <c r="S7200" t="s">
        <v>18958</v>
      </c>
      <c r="U7200" t="s">
        <v>26604</v>
      </c>
      <c r="W7200" t="s">
        <v>724</v>
      </c>
      <c r="X7200">
        <v>0</v>
      </c>
      <c r="Y7200" t="s">
        <v>26652</v>
      </c>
      <c r="AB7200" t="s">
        <v>32118</v>
      </c>
      <c r="AE7200">
        <v>0</v>
      </c>
      <c r="AH7200">
        <v>0</v>
      </c>
      <c r="AI7200">
        <v>1</v>
      </c>
      <c r="AJ7200">
        <v>0</v>
      </c>
      <c r="AK7200">
        <v>72.06</v>
      </c>
      <c r="AN7200" t="s">
        <v>7439</v>
      </c>
      <c r="AO7200">
        <v>9000</v>
      </c>
      <c r="AU7200">
        <v>0.6</v>
      </c>
      <c r="AV7200" t="s">
        <v>826</v>
      </c>
      <c r="AW7200" t="s">
        <v>198</v>
      </c>
    </row>
    <row r="7201" spans="1:50">
      <c r="A7201" s="1">
        <f>HYPERLINK("https://lsnyc.legalserver.org/matter/dynamic-profile/view/1896389","19-1896389")</f>
        <v>0</v>
      </c>
      <c r="B7201" t="s">
        <v>276</v>
      </c>
      <c r="C7201" t="s">
        <v>340</v>
      </c>
      <c r="D7201" t="s">
        <v>724</v>
      </c>
      <c r="F7201" t="s">
        <v>1256</v>
      </c>
      <c r="G7201" t="s">
        <v>7837</v>
      </c>
      <c r="H7201" t="s">
        <v>13404</v>
      </c>
      <c r="I7201">
        <v>12</v>
      </c>
      <c r="J7201" t="s">
        <v>18894</v>
      </c>
      <c r="K7201">
        <v>11226</v>
      </c>
      <c r="L7201" t="s">
        <v>18960</v>
      </c>
      <c r="M7201" t="s">
        <v>18959</v>
      </c>
      <c r="R7201" t="s">
        <v>26578</v>
      </c>
      <c r="U7201" t="s">
        <v>26604</v>
      </c>
      <c r="W7201" t="s">
        <v>724</v>
      </c>
      <c r="X7201">
        <v>0</v>
      </c>
      <c r="Y7201" t="s">
        <v>26652</v>
      </c>
      <c r="AB7201" t="s">
        <v>32119</v>
      </c>
      <c r="AE7201">
        <v>0</v>
      </c>
      <c r="AH7201">
        <v>0</v>
      </c>
      <c r="AI7201">
        <v>2</v>
      </c>
      <c r="AJ7201">
        <v>0</v>
      </c>
      <c r="AK7201">
        <v>220.78</v>
      </c>
      <c r="AN7201" t="s">
        <v>45585</v>
      </c>
      <c r="AO7201">
        <v>37333.92</v>
      </c>
      <c r="AU7201">
        <v>0.7</v>
      </c>
      <c r="AV7201" t="s">
        <v>826</v>
      </c>
      <c r="AW7201" t="s">
        <v>198</v>
      </c>
    </row>
    <row r="7202" spans="1:50">
      <c r="A7202" s="1">
        <f>HYPERLINK("https://lsnyc.legalserver.org/matter/dynamic-profile/view/1895048","19-1895048")</f>
        <v>0</v>
      </c>
      <c r="B7202" t="s">
        <v>131</v>
      </c>
      <c r="C7202" t="s">
        <v>340</v>
      </c>
      <c r="D7202" t="s">
        <v>724</v>
      </c>
      <c r="F7202" t="s">
        <v>3891</v>
      </c>
      <c r="G7202" t="s">
        <v>8247</v>
      </c>
      <c r="H7202" t="s">
        <v>14625</v>
      </c>
      <c r="I7202">
        <v>1</v>
      </c>
      <c r="J7202" t="s">
        <v>18902</v>
      </c>
      <c r="K7202">
        <v>10304</v>
      </c>
      <c r="L7202" t="s">
        <v>18958</v>
      </c>
      <c r="M7202" t="s">
        <v>18960</v>
      </c>
      <c r="N7202" t="s">
        <v>24099</v>
      </c>
      <c r="O7202" t="s">
        <v>26524</v>
      </c>
      <c r="P7202" t="s">
        <v>26560</v>
      </c>
      <c r="R7202" t="s">
        <v>26578</v>
      </c>
      <c r="S7202" t="s">
        <v>18959</v>
      </c>
      <c r="U7202" t="s">
        <v>26604</v>
      </c>
      <c r="V7202" t="s">
        <v>26610</v>
      </c>
      <c r="W7202" t="s">
        <v>724</v>
      </c>
      <c r="X7202">
        <v>2200</v>
      </c>
      <c r="Y7202" t="s">
        <v>26654</v>
      </c>
      <c r="Z7202" t="s">
        <v>26668</v>
      </c>
      <c r="AA7202" t="s">
        <v>26679</v>
      </c>
      <c r="AB7202" t="s">
        <v>32120</v>
      </c>
      <c r="AD7202" t="s">
        <v>42456</v>
      </c>
      <c r="AE7202">
        <v>3</v>
      </c>
      <c r="AG7202" t="s">
        <v>45556</v>
      </c>
      <c r="AH7202">
        <v>4</v>
      </c>
      <c r="AI7202">
        <v>4</v>
      </c>
      <c r="AJ7202">
        <v>0</v>
      </c>
      <c r="AK7202">
        <v>46.6</v>
      </c>
      <c r="AN7202" t="s">
        <v>7439</v>
      </c>
      <c r="AO7202">
        <v>12000</v>
      </c>
      <c r="AU7202">
        <v>11.4</v>
      </c>
      <c r="AV7202" t="s">
        <v>773</v>
      </c>
      <c r="AW7202" t="s">
        <v>46883</v>
      </c>
      <c r="AX7202" t="s">
        <v>46897</v>
      </c>
    </row>
    <row r="7203" spans="1:50">
      <c r="A7203" s="1">
        <f>HYPERLINK("https://lsnyc.legalserver.org/matter/dynamic-profile/view/1896079","19-1896079")</f>
        <v>0</v>
      </c>
      <c r="B7203" t="s">
        <v>131</v>
      </c>
      <c r="C7203" t="s">
        <v>340</v>
      </c>
      <c r="D7203" t="s">
        <v>724</v>
      </c>
      <c r="F7203" t="s">
        <v>1251</v>
      </c>
      <c r="G7203" t="s">
        <v>5008</v>
      </c>
      <c r="H7203" t="s">
        <v>14626</v>
      </c>
      <c r="I7203">
        <v>506</v>
      </c>
      <c r="J7203" t="s">
        <v>18902</v>
      </c>
      <c r="K7203">
        <v>10305</v>
      </c>
      <c r="L7203" t="s">
        <v>18958</v>
      </c>
      <c r="M7203" t="s">
        <v>18958</v>
      </c>
      <c r="N7203" t="s">
        <v>24100</v>
      </c>
      <c r="O7203" t="s">
        <v>26523</v>
      </c>
      <c r="P7203" t="s">
        <v>26560</v>
      </c>
      <c r="R7203" t="s">
        <v>26578</v>
      </c>
      <c r="S7203" t="s">
        <v>18959</v>
      </c>
      <c r="U7203" t="s">
        <v>26604</v>
      </c>
      <c r="V7203" t="s">
        <v>26612</v>
      </c>
      <c r="W7203" t="s">
        <v>724</v>
      </c>
      <c r="X7203">
        <v>1330</v>
      </c>
      <c r="Y7203" t="s">
        <v>26654</v>
      </c>
      <c r="Z7203" t="s">
        <v>26664</v>
      </c>
      <c r="AB7203" t="s">
        <v>32121</v>
      </c>
      <c r="AD7203" t="s">
        <v>42457</v>
      </c>
      <c r="AE7203">
        <v>48</v>
      </c>
      <c r="AF7203" t="s">
        <v>45541</v>
      </c>
      <c r="AG7203" t="s">
        <v>45561</v>
      </c>
      <c r="AH7203">
        <v>3</v>
      </c>
      <c r="AI7203">
        <v>1</v>
      </c>
      <c r="AJ7203">
        <v>0</v>
      </c>
      <c r="AK7203">
        <v>76.56999999999999</v>
      </c>
      <c r="AN7203" t="s">
        <v>7439</v>
      </c>
      <c r="AO7203">
        <v>9564</v>
      </c>
      <c r="AU7203">
        <v>11.7</v>
      </c>
      <c r="AV7203" t="s">
        <v>836</v>
      </c>
      <c r="AW7203" t="s">
        <v>46883</v>
      </c>
    </row>
    <row r="7204" spans="1:50">
      <c r="A7204" s="1">
        <f>HYPERLINK("https://lsnyc.legalserver.org/matter/dynamic-profile/view/1896164","19-1896164")</f>
        <v>0</v>
      </c>
      <c r="B7204" t="s">
        <v>56</v>
      </c>
      <c r="C7204" t="s">
        <v>340</v>
      </c>
      <c r="D7204" t="s">
        <v>724</v>
      </c>
      <c r="F7204" t="s">
        <v>1562</v>
      </c>
      <c r="G7204" t="s">
        <v>5740</v>
      </c>
      <c r="H7204" t="s">
        <v>14627</v>
      </c>
      <c r="I7204">
        <v>16</v>
      </c>
      <c r="J7204" t="s">
        <v>18892</v>
      </c>
      <c r="K7204">
        <v>10467</v>
      </c>
      <c r="L7204" t="s">
        <v>18958</v>
      </c>
      <c r="M7204" t="s">
        <v>18958</v>
      </c>
      <c r="N7204" t="s">
        <v>24101</v>
      </c>
      <c r="O7204" t="s">
        <v>26523</v>
      </c>
      <c r="P7204" t="s">
        <v>26560</v>
      </c>
      <c r="R7204" t="s">
        <v>26579</v>
      </c>
      <c r="S7204" t="s">
        <v>18959</v>
      </c>
      <c r="U7204" t="s">
        <v>26604</v>
      </c>
      <c r="V7204" t="s">
        <v>26610</v>
      </c>
      <c r="W7204" t="s">
        <v>724</v>
      </c>
      <c r="X7204">
        <v>0</v>
      </c>
      <c r="Y7204" t="s">
        <v>26650</v>
      </c>
      <c r="Z7204" t="s">
        <v>26664</v>
      </c>
      <c r="AB7204" t="s">
        <v>27757</v>
      </c>
      <c r="AD7204" t="s">
        <v>37807</v>
      </c>
      <c r="AE7204">
        <v>0</v>
      </c>
      <c r="AG7204" t="s">
        <v>19330</v>
      </c>
      <c r="AH7204">
        <v>0</v>
      </c>
      <c r="AI7204">
        <v>1</v>
      </c>
      <c r="AJ7204">
        <v>2</v>
      </c>
      <c r="AK7204">
        <v>79.7</v>
      </c>
      <c r="AN7204" t="s">
        <v>7439</v>
      </c>
      <c r="AO7204">
        <v>17000</v>
      </c>
      <c r="AU7204">
        <v>9</v>
      </c>
      <c r="AV7204" t="s">
        <v>820</v>
      </c>
      <c r="AW7204" t="s">
        <v>334</v>
      </c>
    </row>
    <row r="7205" spans="1:50">
      <c r="A7205" s="1">
        <f>HYPERLINK("https://lsnyc.legalserver.org/matter/dynamic-profile/view/1896408","19-1896408")</f>
        <v>0</v>
      </c>
      <c r="B7205" t="s">
        <v>212</v>
      </c>
      <c r="C7205" t="s">
        <v>340</v>
      </c>
      <c r="D7205" t="s">
        <v>724</v>
      </c>
      <c r="F7205" t="s">
        <v>1292</v>
      </c>
      <c r="G7205" t="s">
        <v>5761</v>
      </c>
      <c r="H7205" t="s">
        <v>14551</v>
      </c>
      <c r="I7205">
        <v>40</v>
      </c>
      <c r="J7205" t="s">
        <v>18898</v>
      </c>
      <c r="K7205">
        <v>11691</v>
      </c>
      <c r="L7205" t="s">
        <v>18958</v>
      </c>
      <c r="M7205" t="s">
        <v>18958</v>
      </c>
      <c r="O7205" t="s">
        <v>26534</v>
      </c>
      <c r="P7205" t="s">
        <v>26565</v>
      </c>
      <c r="R7205" t="s">
        <v>26578</v>
      </c>
      <c r="S7205" t="s">
        <v>18958</v>
      </c>
      <c r="U7205" t="s">
        <v>26604</v>
      </c>
      <c r="W7205" t="s">
        <v>724</v>
      </c>
      <c r="X7205">
        <v>660</v>
      </c>
      <c r="Y7205" t="s">
        <v>26653</v>
      </c>
      <c r="Z7205" t="s">
        <v>26664</v>
      </c>
      <c r="AB7205" t="s">
        <v>32122</v>
      </c>
      <c r="AD7205" t="s">
        <v>42458</v>
      </c>
      <c r="AE7205">
        <v>43</v>
      </c>
      <c r="AH7205">
        <v>40</v>
      </c>
      <c r="AI7205">
        <v>2</v>
      </c>
      <c r="AJ7205">
        <v>0</v>
      </c>
      <c r="AK7205">
        <v>158.6</v>
      </c>
      <c r="AN7205" t="s">
        <v>7439</v>
      </c>
      <c r="AO7205">
        <v>26820</v>
      </c>
      <c r="AU7205">
        <v>0</v>
      </c>
      <c r="AW7205" t="s">
        <v>46884</v>
      </c>
    </row>
    <row r="7206" spans="1:50">
      <c r="A7206" s="1">
        <f>HYPERLINK("https://lsnyc.legalserver.org/matter/dynamic-profile/view/1896309","19-1896309")</f>
        <v>0</v>
      </c>
      <c r="B7206" t="s">
        <v>212</v>
      </c>
      <c r="C7206" t="s">
        <v>340</v>
      </c>
      <c r="D7206" t="s">
        <v>724</v>
      </c>
      <c r="F7206" t="s">
        <v>3892</v>
      </c>
      <c r="G7206" t="s">
        <v>5761</v>
      </c>
      <c r="H7206" t="s">
        <v>14551</v>
      </c>
      <c r="I7206" t="s">
        <v>18438</v>
      </c>
      <c r="J7206" t="s">
        <v>18898</v>
      </c>
      <c r="K7206">
        <v>11691</v>
      </c>
      <c r="L7206" t="s">
        <v>18958</v>
      </c>
      <c r="M7206" t="s">
        <v>18958</v>
      </c>
      <c r="O7206" t="s">
        <v>26534</v>
      </c>
      <c r="P7206" t="s">
        <v>26563</v>
      </c>
      <c r="R7206" t="s">
        <v>26578</v>
      </c>
      <c r="S7206" t="s">
        <v>18958</v>
      </c>
      <c r="U7206" t="s">
        <v>26604</v>
      </c>
      <c r="W7206" t="s">
        <v>724</v>
      </c>
      <c r="X7206">
        <v>637</v>
      </c>
      <c r="Y7206" t="s">
        <v>26653</v>
      </c>
      <c r="Z7206" t="s">
        <v>26664</v>
      </c>
      <c r="AB7206" t="s">
        <v>27235</v>
      </c>
      <c r="AD7206" t="s">
        <v>42459</v>
      </c>
      <c r="AE7206">
        <v>43</v>
      </c>
      <c r="AH7206">
        <v>28</v>
      </c>
      <c r="AI7206">
        <v>1</v>
      </c>
      <c r="AJ7206">
        <v>0</v>
      </c>
      <c r="AK7206">
        <v>312.25</v>
      </c>
      <c r="AN7206" t="s">
        <v>7439</v>
      </c>
      <c r="AO7206">
        <v>39000</v>
      </c>
      <c r="AU7206">
        <v>0</v>
      </c>
      <c r="AW7206" t="s">
        <v>46884</v>
      </c>
    </row>
    <row r="7207" spans="1:50">
      <c r="A7207" s="1">
        <f>HYPERLINK("https://lsnyc.legalserver.org/matter/dynamic-profile/view/1896320","19-1896320")</f>
        <v>0</v>
      </c>
      <c r="B7207" t="s">
        <v>212</v>
      </c>
      <c r="C7207" t="s">
        <v>340</v>
      </c>
      <c r="D7207" t="s">
        <v>724</v>
      </c>
      <c r="F7207" t="s">
        <v>3892</v>
      </c>
      <c r="G7207" t="s">
        <v>5761</v>
      </c>
      <c r="H7207" t="s">
        <v>14551</v>
      </c>
      <c r="I7207" t="s">
        <v>18438</v>
      </c>
      <c r="J7207" t="s">
        <v>18898</v>
      </c>
      <c r="K7207">
        <v>11691</v>
      </c>
      <c r="L7207" t="s">
        <v>18958</v>
      </c>
      <c r="M7207" t="s">
        <v>18958</v>
      </c>
      <c r="O7207" t="s">
        <v>26534</v>
      </c>
      <c r="P7207" t="s">
        <v>26561</v>
      </c>
      <c r="R7207" t="s">
        <v>26578</v>
      </c>
      <c r="S7207" t="s">
        <v>18958</v>
      </c>
      <c r="U7207" t="s">
        <v>26604</v>
      </c>
      <c r="W7207" t="s">
        <v>724</v>
      </c>
      <c r="X7207">
        <v>637</v>
      </c>
      <c r="Y7207" t="s">
        <v>26653</v>
      </c>
      <c r="Z7207" t="s">
        <v>26664</v>
      </c>
      <c r="AB7207" t="s">
        <v>27235</v>
      </c>
      <c r="AD7207" t="s">
        <v>42459</v>
      </c>
      <c r="AE7207">
        <v>43</v>
      </c>
      <c r="AH7207">
        <v>28</v>
      </c>
      <c r="AI7207">
        <v>1</v>
      </c>
      <c r="AJ7207">
        <v>0</v>
      </c>
      <c r="AK7207">
        <v>312.25</v>
      </c>
      <c r="AN7207" t="s">
        <v>7439</v>
      </c>
      <c r="AO7207">
        <v>39000</v>
      </c>
      <c r="AU7207">
        <v>0</v>
      </c>
      <c r="AW7207" t="s">
        <v>46884</v>
      </c>
    </row>
    <row r="7208" spans="1:50">
      <c r="A7208" s="1">
        <f>HYPERLINK("https://lsnyc.legalserver.org/matter/dynamic-profile/view/1896342","19-1896342")</f>
        <v>0</v>
      </c>
      <c r="B7208" t="s">
        <v>212</v>
      </c>
      <c r="C7208" t="s">
        <v>340</v>
      </c>
      <c r="D7208" t="s">
        <v>724</v>
      </c>
      <c r="F7208" t="s">
        <v>1637</v>
      </c>
      <c r="G7208" t="s">
        <v>5079</v>
      </c>
      <c r="H7208" t="s">
        <v>14551</v>
      </c>
      <c r="I7208">
        <v>10</v>
      </c>
      <c r="J7208" t="s">
        <v>18898</v>
      </c>
      <c r="K7208">
        <v>11691</v>
      </c>
      <c r="L7208" t="s">
        <v>18958</v>
      </c>
      <c r="M7208" t="s">
        <v>18958</v>
      </c>
      <c r="O7208" t="s">
        <v>26534</v>
      </c>
      <c r="P7208" t="s">
        <v>26561</v>
      </c>
      <c r="R7208" t="s">
        <v>26578</v>
      </c>
      <c r="S7208" t="s">
        <v>18958</v>
      </c>
      <c r="U7208" t="s">
        <v>26604</v>
      </c>
      <c r="W7208" t="s">
        <v>724</v>
      </c>
      <c r="X7208">
        <v>660</v>
      </c>
      <c r="Y7208" t="s">
        <v>26653</v>
      </c>
      <c r="AB7208" t="s">
        <v>30678</v>
      </c>
      <c r="AD7208" t="s">
        <v>42460</v>
      </c>
      <c r="AE7208">
        <v>43</v>
      </c>
      <c r="AH7208">
        <v>10</v>
      </c>
      <c r="AI7208">
        <v>2</v>
      </c>
      <c r="AJ7208">
        <v>0</v>
      </c>
      <c r="AK7208">
        <v>340.63</v>
      </c>
      <c r="AN7208" t="s">
        <v>7439</v>
      </c>
      <c r="AO7208">
        <v>57600</v>
      </c>
      <c r="AU7208">
        <v>0</v>
      </c>
      <c r="AW7208" t="s">
        <v>46884</v>
      </c>
    </row>
    <row r="7209" spans="1:50">
      <c r="A7209" s="1">
        <f>HYPERLINK("https://lsnyc.legalserver.org/matter/dynamic-profile/view/1896347","19-1896347")</f>
        <v>0</v>
      </c>
      <c r="B7209" t="s">
        <v>212</v>
      </c>
      <c r="C7209" t="s">
        <v>340</v>
      </c>
      <c r="D7209" t="s">
        <v>724</v>
      </c>
      <c r="F7209" t="s">
        <v>1637</v>
      </c>
      <c r="G7209" t="s">
        <v>5079</v>
      </c>
      <c r="H7209" t="s">
        <v>14551</v>
      </c>
      <c r="I7209">
        <v>10</v>
      </c>
      <c r="J7209" t="s">
        <v>18898</v>
      </c>
      <c r="K7209">
        <v>11691</v>
      </c>
      <c r="L7209" t="s">
        <v>18958</v>
      </c>
      <c r="M7209" t="s">
        <v>18958</v>
      </c>
      <c r="O7209" t="s">
        <v>26534</v>
      </c>
      <c r="P7209" t="s">
        <v>26565</v>
      </c>
      <c r="R7209" t="s">
        <v>26578</v>
      </c>
      <c r="S7209" t="s">
        <v>18958</v>
      </c>
      <c r="U7209" t="s">
        <v>26604</v>
      </c>
      <c r="W7209" t="s">
        <v>724</v>
      </c>
      <c r="X7209">
        <v>660</v>
      </c>
      <c r="Y7209" t="s">
        <v>26653</v>
      </c>
      <c r="Z7209" t="s">
        <v>26664</v>
      </c>
      <c r="AB7209" t="s">
        <v>30678</v>
      </c>
      <c r="AD7209" t="s">
        <v>42460</v>
      </c>
      <c r="AE7209">
        <v>43</v>
      </c>
      <c r="AH7209">
        <v>10</v>
      </c>
      <c r="AI7209">
        <v>2</v>
      </c>
      <c r="AJ7209">
        <v>0</v>
      </c>
      <c r="AK7209">
        <v>340.63</v>
      </c>
      <c r="AN7209" t="s">
        <v>7439</v>
      </c>
      <c r="AO7209">
        <v>57600</v>
      </c>
      <c r="AU7209">
        <v>0</v>
      </c>
      <c r="AW7209" t="s">
        <v>46884</v>
      </c>
    </row>
    <row r="7210" spans="1:50">
      <c r="A7210" s="1">
        <f>HYPERLINK("https://lsnyc.legalserver.org/matter/dynamic-profile/view/1896307","19-1896307")</f>
        <v>0</v>
      </c>
      <c r="B7210" t="s">
        <v>110</v>
      </c>
      <c r="C7210" t="s">
        <v>340</v>
      </c>
      <c r="D7210" t="s">
        <v>724</v>
      </c>
      <c r="F7210" t="s">
        <v>3893</v>
      </c>
      <c r="G7210" t="s">
        <v>8248</v>
      </c>
      <c r="H7210" t="s">
        <v>14628</v>
      </c>
      <c r="I7210" t="s">
        <v>17886</v>
      </c>
      <c r="J7210" t="s">
        <v>18901</v>
      </c>
      <c r="K7210">
        <v>11434</v>
      </c>
      <c r="L7210" t="s">
        <v>18958</v>
      </c>
      <c r="M7210" t="s">
        <v>18958</v>
      </c>
      <c r="N7210" t="s">
        <v>24102</v>
      </c>
      <c r="O7210" t="s">
        <v>26523</v>
      </c>
      <c r="P7210" t="s">
        <v>26564</v>
      </c>
      <c r="R7210" t="s">
        <v>26585</v>
      </c>
      <c r="U7210" t="s">
        <v>26604</v>
      </c>
      <c r="W7210" t="s">
        <v>724</v>
      </c>
      <c r="X7210">
        <v>1956</v>
      </c>
      <c r="Y7210" t="s">
        <v>26653</v>
      </c>
      <c r="AB7210" t="s">
        <v>32123</v>
      </c>
      <c r="AC7210" t="s">
        <v>36285</v>
      </c>
      <c r="AD7210" t="s">
        <v>42461</v>
      </c>
      <c r="AE7210">
        <v>2</v>
      </c>
      <c r="AF7210" t="s">
        <v>45547</v>
      </c>
      <c r="AG7210" t="s">
        <v>45562</v>
      </c>
      <c r="AH7210">
        <v>2</v>
      </c>
      <c r="AI7210">
        <v>1</v>
      </c>
      <c r="AJ7210">
        <v>6</v>
      </c>
      <c r="AK7210">
        <v>121.04</v>
      </c>
      <c r="AO7210">
        <v>47216</v>
      </c>
      <c r="AU7210">
        <v>29.5</v>
      </c>
      <c r="AV7210" t="s">
        <v>821</v>
      </c>
      <c r="AW7210" t="s">
        <v>122</v>
      </c>
    </row>
    <row r="7211" spans="1:50">
      <c r="A7211" s="1">
        <f>HYPERLINK("https://lsnyc.legalserver.org/matter/dynamic-profile/view/1896337","19-1896337")</f>
        <v>0</v>
      </c>
      <c r="B7211" t="s">
        <v>121</v>
      </c>
      <c r="C7211" t="s">
        <v>340</v>
      </c>
      <c r="D7211" t="s">
        <v>724</v>
      </c>
      <c r="F7211" t="s">
        <v>3894</v>
      </c>
      <c r="G7211" t="s">
        <v>6585</v>
      </c>
      <c r="H7211" t="s">
        <v>14629</v>
      </c>
      <c r="I7211" t="s">
        <v>17436</v>
      </c>
      <c r="J7211" t="s">
        <v>18892</v>
      </c>
      <c r="K7211">
        <v>10453</v>
      </c>
      <c r="L7211" t="s">
        <v>18958</v>
      </c>
      <c r="M7211" t="s">
        <v>18958</v>
      </c>
      <c r="N7211" t="s">
        <v>24103</v>
      </c>
      <c r="O7211" t="s">
        <v>26523</v>
      </c>
      <c r="P7211" t="s">
        <v>26560</v>
      </c>
      <c r="R7211" t="s">
        <v>26577</v>
      </c>
      <c r="U7211" t="s">
        <v>26604</v>
      </c>
      <c r="V7211" t="s">
        <v>26612</v>
      </c>
      <c r="W7211" t="s">
        <v>724</v>
      </c>
      <c r="X7211">
        <v>864</v>
      </c>
      <c r="Y7211" t="s">
        <v>26650</v>
      </c>
      <c r="Z7211" t="s">
        <v>26668</v>
      </c>
      <c r="AB7211" t="s">
        <v>32124</v>
      </c>
      <c r="AD7211" t="s">
        <v>42462</v>
      </c>
      <c r="AE7211">
        <v>0</v>
      </c>
      <c r="AF7211" t="s">
        <v>45541</v>
      </c>
      <c r="AG7211" t="s">
        <v>45557</v>
      </c>
      <c r="AH7211">
        <v>26</v>
      </c>
      <c r="AI7211">
        <v>3</v>
      </c>
      <c r="AJ7211">
        <v>1</v>
      </c>
      <c r="AK7211">
        <v>55.92</v>
      </c>
      <c r="AN7211" t="s">
        <v>7439</v>
      </c>
      <c r="AO7211">
        <v>14400</v>
      </c>
      <c r="AU7211">
        <v>9.1</v>
      </c>
      <c r="AV7211" t="s">
        <v>771</v>
      </c>
      <c r="AW7211" t="s">
        <v>334</v>
      </c>
      <c r="AX7211" t="s">
        <v>46897</v>
      </c>
    </row>
    <row r="7212" spans="1:50">
      <c r="A7212" s="1">
        <f>HYPERLINK("https://lsnyc.legalserver.org/matter/dynamic-profile/view/1896382","19-1896382")</f>
        <v>0</v>
      </c>
      <c r="B7212" t="s">
        <v>199</v>
      </c>
      <c r="C7212" t="s">
        <v>340</v>
      </c>
      <c r="D7212" t="s">
        <v>724</v>
      </c>
      <c r="F7212" t="s">
        <v>1235</v>
      </c>
      <c r="G7212" t="s">
        <v>6665</v>
      </c>
      <c r="H7212" t="s">
        <v>11935</v>
      </c>
      <c r="I7212" t="s">
        <v>17332</v>
      </c>
      <c r="J7212" t="s">
        <v>18894</v>
      </c>
      <c r="K7212">
        <v>11216</v>
      </c>
      <c r="L7212" t="s">
        <v>18958</v>
      </c>
      <c r="M7212" t="s">
        <v>18958</v>
      </c>
      <c r="O7212" t="s">
        <v>26534</v>
      </c>
      <c r="P7212" t="s">
        <v>26562</v>
      </c>
      <c r="R7212" t="s">
        <v>26578</v>
      </c>
      <c r="S7212" t="s">
        <v>18959</v>
      </c>
      <c r="U7212" t="s">
        <v>26604</v>
      </c>
      <c r="V7212" t="s">
        <v>26610</v>
      </c>
      <c r="W7212" t="s">
        <v>724</v>
      </c>
      <c r="X7212">
        <v>1414.37</v>
      </c>
      <c r="Y7212" t="s">
        <v>26652</v>
      </c>
      <c r="Z7212" t="s">
        <v>26659</v>
      </c>
      <c r="AB7212" t="s">
        <v>29206</v>
      </c>
      <c r="AC7212" t="s">
        <v>35353</v>
      </c>
      <c r="AD7212" t="s">
        <v>39263</v>
      </c>
      <c r="AE7212">
        <v>6</v>
      </c>
      <c r="AF7212" t="s">
        <v>45541</v>
      </c>
      <c r="AH7212">
        <v>8</v>
      </c>
      <c r="AI7212">
        <v>2</v>
      </c>
      <c r="AJ7212">
        <v>7</v>
      </c>
      <c r="AK7212">
        <v>67.51000000000001</v>
      </c>
      <c r="AN7212" t="s">
        <v>45581</v>
      </c>
      <c r="AO7212">
        <v>32304</v>
      </c>
      <c r="AU7212">
        <v>7</v>
      </c>
      <c r="AV7212" t="s">
        <v>791</v>
      </c>
      <c r="AW7212" t="s">
        <v>199</v>
      </c>
    </row>
    <row r="7213" spans="1:50">
      <c r="A7213" s="1">
        <f>HYPERLINK("https://lsnyc.legalserver.org/matter/dynamic-profile/view/1896453","19-1896453")</f>
        <v>0</v>
      </c>
      <c r="B7213" t="s">
        <v>199</v>
      </c>
      <c r="C7213" t="s">
        <v>340</v>
      </c>
      <c r="D7213" t="s">
        <v>724</v>
      </c>
      <c r="F7213" t="s">
        <v>3146</v>
      </c>
      <c r="G7213" t="s">
        <v>8249</v>
      </c>
      <c r="H7213" t="s">
        <v>14630</v>
      </c>
      <c r="I7213" t="s">
        <v>18439</v>
      </c>
      <c r="J7213" t="s">
        <v>18894</v>
      </c>
      <c r="K7213">
        <v>11206</v>
      </c>
      <c r="L7213" t="s">
        <v>18959</v>
      </c>
      <c r="M7213" t="s">
        <v>18959</v>
      </c>
      <c r="P7213" t="s">
        <v>26562</v>
      </c>
      <c r="R7213" t="s">
        <v>26578</v>
      </c>
      <c r="U7213" t="s">
        <v>26606</v>
      </c>
      <c r="W7213" t="s">
        <v>724</v>
      </c>
      <c r="X7213">
        <v>0</v>
      </c>
      <c r="Y7213" t="s">
        <v>26652</v>
      </c>
      <c r="AB7213" t="s">
        <v>30753</v>
      </c>
      <c r="AC7213" t="s">
        <v>36286</v>
      </c>
      <c r="AD7213" t="s">
        <v>42463</v>
      </c>
      <c r="AE7213">
        <v>0</v>
      </c>
      <c r="AG7213" t="s">
        <v>19330</v>
      </c>
      <c r="AH7213">
        <v>0</v>
      </c>
      <c r="AI7213">
        <v>2</v>
      </c>
      <c r="AJ7213">
        <v>0</v>
      </c>
      <c r="AK7213">
        <v>73.8</v>
      </c>
      <c r="AN7213" t="s">
        <v>7439</v>
      </c>
      <c r="AO7213">
        <v>12480</v>
      </c>
      <c r="AU7213">
        <v>9.4</v>
      </c>
      <c r="AV7213" t="s">
        <v>835</v>
      </c>
      <c r="AW7213" t="s">
        <v>198</v>
      </c>
    </row>
    <row r="7214" spans="1:50">
      <c r="A7214" s="1">
        <f>HYPERLINK("https://lsnyc.legalserver.org/matter/dynamic-profile/view/1896375","19-1896375")</f>
        <v>0</v>
      </c>
      <c r="B7214" t="s">
        <v>199</v>
      </c>
      <c r="C7214" t="s">
        <v>340</v>
      </c>
      <c r="D7214" t="s">
        <v>724</v>
      </c>
      <c r="F7214" t="s">
        <v>2104</v>
      </c>
      <c r="G7214" t="s">
        <v>6839</v>
      </c>
      <c r="H7214" t="s">
        <v>11395</v>
      </c>
      <c r="I7214">
        <v>2</v>
      </c>
      <c r="J7214" t="s">
        <v>18894</v>
      </c>
      <c r="K7214">
        <v>11238</v>
      </c>
      <c r="L7214" t="s">
        <v>18958</v>
      </c>
      <c r="M7214" t="s">
        <v>18958</v>
      </c>
      <c r="O7214" t="s">
        <v>26539</v>
      </c>
      <c r="P7214" t="s">
        <v>26562</v>
      </c>
      <c r="R7214" t="s">
        <v>26578</v>
      </c>
      <c r="U7214" t="s">
        <v>26604</v>
      </c>
      <c r="W7214" t="s">
        <v>724</v>
      </c>
      <c r="X7214">
        <v>909</v>
      </c>
      <c r="Y7214" t="s">
        <v>26652</v>
      </c>
      <c r="Z7214" t="s">
        <v>26659</v>
      </c>
      <c r="AB7214" t="s">
        <v>29538</v>
      </c>
      <c r="AD7214" t="s">
        <v>39607</v>
      </c>
      <c r="AE7214">
        <v>0</v>
      </c>
      <c r="AF7214" t="s">
        <v>45541</v>
      </c>
      <c r="AH7214">
        <v>0</v>
      </c>
      <c r="AI7214">
        <v>2</v>
      </c>
      <c r="AJ7214">
        <v>0</v>
      </c>
      <c r="AK7214">
        <v>123.83</v>
      </c>
      <c r="AN7214" t="s">
        <v>7439</v>
      </c>
      <c r="AO7214">
        <v>20940</v>
      </c>
      <c r="AU7214">
        <v>5.35</v>
      </c>
      <c r="AV7214" t="s">
        <v>814</v>
      </c>
      <c r="AW7214" t="s">
        <v>199</v>
      </c>
    </row>
    <row r="7215" spans="1:50">
      <c r="A7215" s="1">
        <f>HYPERLINK("https://lsnyc.legalserver.org/matter/dynamic-profile/view/1895203","19-1895203")</f>
        <v>0</v>
      </c>
      <c r="B7215" t="s">
        <v>103</v>
      </c>
      <c r="C7215" t="s">
        <v>340</v>
      </c>
      <c r="D7215" t="s">
        <v>724</v>
      </c>
      <c r="F7215" t="s">
        <v>1002</v>
      </c>
      <c r="G7215" t="s">
        <v>3790</v>
      </c>
      <c r="H7215" t="s">
        <v>14631</v>
      </c>
      <c r="I7215" t="s">
        <v>17435</v>
      </c>
      <c r="J7215" t="s">
        <v>18902</v>
      </c>
      <c r="K7215">
        <v>10301</v>
      </c>
      <c r="L7215" t="s">
        <v>18958</v>
      </c>
      <c r="M7215" t="s">
        <v>18958</v>
      </c>
      <c r="N7215" t="s">
        <v>24104</v>
      </c>
      <c r="O7215" t="s">
        <v>26524</v>
      </c>
      <c r="P7215" t="s">
        <v>26560</v>
      </c>
      <c r="R7215" t="s">
        <v>26578</v>
      </c>
      <c r="S7215" t="s">
        <v>18959</v>
      </c>
      <c r="U7215" t="s">
        <v>26604</v>
      </c>
      <c r="V7215" t="s">
        <v>26612</v>
      </c>
      <c r="W7215" t="s">
        <v>724</v>
      </c>
      <c r="X7215">
        <v>1500</v>
      </c>
      <c r="Y7215" t="s">
        <v>26654</v>
      </c>
      <c r="Z7215" t="s">
        <v>26668</v>
      </c>
      <c r="AB7215" t="s">
        <v>32125</v>
      </c>
      <c r="AD7215" t="s">
        <v>42464</v>
      </c>
      <c r="AE7215">
        <v>2</v>
      </c>
      <c r="AF7215" t="s">
        <v>45547</v>
      </c>
      <c r="AG7215" t="s">
        <v>45557</v>
      </c>
      <c r="AH7215">
        <v>4</v>
      </c>
      <c r="AI7215">
        <v>4</v>
      </c>
      <c r="AJ7215">
        <v>0</v>
      </c>
      <c r="AK7215">
        <v>75.7</v>
      </c>
      <c r="AN7215" t="s">
        <v>7439</v>
      </c>
      <c r="AO7215">
        <v>19492</v>
      </c>
      <c r="AU7215">
        <v>11.3</v>
      </c>
      <c r="AV7215" t="s">
        <v>833</v>
      </c>
      <c r="AW7215" t="s">
        <v>46883</v>
      </c>
      <c r="AX7215" t="s">
        <v>46897</v>
      </c>
    </row>
    <row r="7216" spans="1:50">
      <c r="A7216" s="1">
        <f>HYPERLINK("https://lsnyc.legalserver.org/matter/dynamic-profile/view/1895764","19-1895764")</f>
        <v>0</v>
      </c>
      <c r="B7216" t="s">
        <v>103</v>
      </c>
      <c r="C7216" t="s">
        <v>340</v>
      </c>
      <c r="D7216" t="s">
        <v>724</v>
      </c>
      <c r="F7216" t="s">
        <v>938</v>
      </c>
      <c r="G7216" t="s">
        <v>8250</v>
      </c>
      <c r="H7216" t="s">
        <v>14632</v>
      </c>
      <c r="I7216" t="s">
        <v>17781</v>
      </c>
      <c r="J7216" t="s">
        <v>18902</v>
      </c>
      <c r="K7216">
        <v>10304</v>
      </c>
      <c r="L7216" t="s">
        <v>18958</v>
      </c>
      <c r="M7216" t="s">
        <v>18958</v>
      </c>
      <c r="N7216" t="s">
        <v>24105</v>
      </c>
      <c r="O7216" t="s">
        <v>26524</v>
      </c>
      <c r="P7216" t="s">
        <v>26560</v>
      </c>
      <c r="R7216" t="s">
        <v>26578</v>
      </c>
      <c r="S7216" t="s">
        <v>18959</v>
      </c>
      <c r="U7216" t="s">
        <v>26604</v>
      </c>
      <c r="V7216" t="s">
        <v>26610</v>
      </c>
      <c r="W7216" t="s">
        <v>724</v>
      </c>
      <c r="X7216">
        <v>850</v>
      </c>
      <c r="Y7216" t="s">
        <v>26654</v>
      </c>
      <c r="Z7216" t="s">
        <v>26668</v>
      </c>
      <c r="AB7216" t="s">
        <v>28334</v>
      </c>
      <c r="AD7216" t="s">
        <v>42465</v>
      </c>
      <c r="AE7216">
        <v>4</v>
      </c>
      <c r="AF7216" t="s">
        <v>45547</v>
      </c>
      <c r="AG7216" t="s">
        <v>19330</v>
      </c>
      <c r="AH7216">
        <v>6</v>
      </c>
      <c r="AI7216">
        <v>1</v>
      </c>
      <c r="AJ7216">
        <v>0</v>
      </c>
      <c r="AK7216">
        <v>147</v>
      </c>
      <c r="AN7216" t="s">
        <v>7439</v>
      </c>
      <c r="AO7216">
        <v>18360</v>
      </c>
      <c r="AU7216">
        <v>10.95</v>
      </c>
      <c r="AV7216" t="s">
        <v>830</v>
      </c>
      <c r="AW7216" t="s">
        <v>46852</v>
      </c>
      <c r="AX7216" t="s">
        <v>46897</v>
      </c>
    </row>
    <row r="7217" spans="1:50">
      <c r="A7217" s="1">
        <f>HYPERLINK("https://lsnyc.legalserver.org/matter/dynamic-profile/view/1896441","19-1896441")</f>
        <v>0</v>
      </c>
      <c r="B7217" t="s">
        <v>240</v>
      </c>
      <c r="C7217" t="s">
        <v>340</v>
      </c>
      <c r="D7217" t="s">
        <v>724</v>
      </c>
      <c r="F7217" t="s">
        <v>3895</v>
      </c>
      <c r="G7217" t="s">
        <v>7601</v>
      </c>
      <c r="H7217" t="s">
        <v>14633</v>
      </c>
      <c r="I7217" t="s">
        <v>18440</v>
      </c>
      <c r="J7217" t="s">
        <v>18894</v>
      </c>
      <c r="K7217">
        <v>11209</v>
      </c>
      <c r="L7217" t="s">
        <v>18960</v>
      </c>
      <c r="M7217" t="s">
        <v>18960</v>
      </c>
      <c r="R7217" t="s">
        <v>26578</v>
      </c>
      <c r="U7217" t="s">
        <v>26604</v>
      </c>
      <c r="W7217" t="s">
        <v>724</v>
      </c>
      <c r="X7217">
        <v>0</v>
      </c>
      <c r="Y7217" t="s">
        <v>26652</v>
      </c>
      <c r="AB7217" t="s">
        <v>29457</v>
      </c>
      <c r="AD7217" t="s">
        <v>42466</v>
      </c>
      <c r="AE7217">
        <v>0</v>
      </c>
      <c r="AH7217">
        <v>0</v>
      </c>
      <c r="AI7217">
        <v>1</v>
      </c>
      <c r="AJ7217">
        <v>1</v>
      </c>
      <c r="AK7217">
        <v>145.48</v>
      </c>
      <c r="AN7217" t="s">
        <v>7439</v>
      </c>
      <c r="AO7217">
        <v>24600</v>
      </c>
      <c r="AU7217">
        <v>23.45</v>
      </c>
      <c r="AV7217" t="s">
        <v>806</v>
      </c>
      <c r="AW7217" t="s">
        <v>198</v>
      </c>
    </row>
    <row r="7218" spans="1:50">
      <c r="A7218" s="1">
        <f>HYPERLINK("https://lsnyc.legalserver.org/matter/dynamic-profile/view/1896527","19-1896527")</f>
        <v>0</v>
      </c>
      <c r="B7218" t="s">
        <v>116</v>
      </c>
      <c r="C7218" t="s">
        <v>341</v>
      </c>
      <c r="D7218" t="s">
        <v>802</v>
      </c>
      <c r="E7218" t="s">
        <v>765</v>
      </c>
      <c r="F7218" t="s">
        <v>2514</v>
      </c>
      <c r="G7218" t="s">
        <v>5498</v>
      </c>
      <c r="H7218" t="s">
        <v>14634</v>
      </c>
      <c r="I7218">
        <v>2</v>
      </c>
      <c r="J7218" t="s">
        <v>18894</v>
      </c>
      <c r="K7218">
        <v>11213</v>
      </c>
      <c r="L7218" t="s">
        <v>18958</v>
      </c>
      <c r="M7218" t="s">
        <v>18958</v>
      </c>
      <c r="N7218" t="s">
        <v>24106</v>
      </c>
      <c r="O7218" t="s">
        <v>26524</v>
      </c>
      <c r="P7218" t="s">
        <v>26565</v>
      </c>
      <c r="Q7218" t="s">
        <v>26571</v>
      </c>
      <c r="R7218" t="s">
        <v>26578</v>
      </c>
      <c r="S7218" t="s">
        <v>18959</v>
      </c>
      <c r="U7218" t="s">
        <v>26604</v>
      </c>
      <c r="V7218" t="s">
        <v>26610</v>
      </c>
      <c r="W7218" t="s">
        <v>724</v>
      </c>
      <c r="X7218">
        <v>0</v>
      </c>
      <c r="Y7218" t="s">
        <v>26652</v>
      </c>
      <c r="Z7218" t="s">
        <v>26663</v>
      </c>
      <c r="AA7218" t="s">
        <v>26681</v>
      </c>
      <c r="AB7218" t="s">
        <v>28377</v>
      </c>
      <c r="AD7218" t="s">
        <v>42467</v>
      </c>
      <c r="AE7218">
        <v>2</v>
      </c>
      <c r="AF7218" t="s">
        <v>45547</v>
      </c>
      <c r="AH7218">
        <v>2</v>
      </c>
      <c r="AI7218">
        <v>1</v>
      </c>
      <c r="AJ7218">
        <v>0</v>
      </c>
      <c r="AK7218">
        <v>76</v>
      </c>
      <c r="AN7218" t="s">
        <v>7439</v>
      </c>
      <c r="AO7218">
        <v>9492</v>
      </c>
      <c r="AU7218">
        <v>0.5</v>
      </c>
      <c r="AV7218" t="s">
        <v>802</v>
      </c>
      <c r="AW7218" t="s">
        <v>116</v>
      </c>
    </row>
    <row r="7219" spans="1:50">
      <c r="A7219" s="1">
        <f>HYPERLINK("https://lsnyc.legalserver.org/matter/dynamic-profile/view/1896589","19-1896589")</f>
        <v>0</v>
      </c>
      <c r="B7219" t="s">
        <v>106</v>
      </c>
      <c r="C7219" t="s">
        <v>341</v>
      </c>
      <c r="D7219" t="s">
        <v>802</v>
      </c>
      <c r="E7219" t="s">
        <v>808</v>
      </c>
      <c r="F7219" t="s">
        <v>1457</v>
      </c>
      <c r="G7219" t="s">
        <v>7061</v>
      </c>
      <c r="H7219" t="s">
        <v>14635</v>
      </c>
      <c r="I7219" t="s">
        <v>17274</v>
      </c>
      <c r="J7219" t="s">
        <v>18894</v>
      </c>
      <c r="K7219">
        <v>11216</v>
      </c>
      <c r="L7219" t="s">
        <v>18958</v>
      </c>
      <c r="M7219" t="s">
        <v>18958</v>
      </c>
      <c r="N7219" t="s">
        <v>24107</v>
      </c>
      <c r="O7219" t="s">
        <v>26523</v>
      </c>
      <c r="P7219" t="s">
        <v>26560</v>
      </c>
      <c r="Q7219" t="s">
        <v>26573</v>
      </c>
      <c r="R7219" t="s">
        <v>26588</v>
      </c>
      <c r="U7219" t="s">
        <v>26604</v>
      </c>
      <c r="W7219" t="s">
        <v>724</v>
      </c>
      <c r="X7219">
        <v>1934</v>
      </c>
      <c r="Y7219" t="s">
        <v>26652</v>
      </c>
      <c r="Z7219" t="s">
        <v>26664</v>
      </c>
      <c r="AA7219" t="s">
        <v>26678</v>
      </c>
      <c r="AB7219" t="s">
        <v>28200</v>
      </c>
      <c r="AD7219" t="s">
        <v>42468</v>
      </c>
      <c r="AE7219">
        <v>8</v>
      </c>
      <c r="AH7219">
        <v>17</v>
      </c>
      <c r="AI7219">
        <v>2</v>
      </c>
      <c r="AJ7219">
        <v>0</v>
      </c>
      <c r="AK7219">
        <v>64.36</v>
      </c>
      <c r="AN7219" t="s">
        <v>7439</v>
      </c>
      <c r="AO7219">
        <v>10884</v>
      </c>
      <c r="AS7219" t="s">
        <v>46499</v>
      </c>
      <c r="AT7219" t="s">
        <v>46764</v>
      </c>
      <c r="AU7219">
        <v>13.6</v>
      </c>
      <c r="AV7219" t="s">
        <v>808</v>
      </c>
      <c r="AW7219" t="s">
        <v>46856</v>
      </c>
    </row>
    <row r="7220" spans="1:50">
      <c r="A7220" s="1">
        <f>HYPERLINK("https://lsnyc.legalserver.org/matter/dynamic-profile/view/1896788","19-1896788")</f>
        <v>0</v>
      </c>
      <c r="B7220" t="s">
        <v>116</v>
      </c>
      <c r="C7220" t="s">
        <v>341</v>
      </c>
      <c r="D7220" t="s">
        <v>797</v>
      </c>
      <c r="E7220" t="s">
        <v>797</v>
      </c>
      <c r="F7220" t="s">
        <v>3896</v>
      </c>
      <c r="G7220" t="s">
        <v>5956</v>
      </c>
      <c r="H7220" t="s">
        <v>14636</v>
      </c>
      <c r="I7220" t="s">
        <v>17274</v>
      </c>
      <c r="J7220" t="s">
        <v>18894</v>
      </c>
      <c r="K7220">
        <v>11207</v>
      </c>
      <c r="L7220" t="s">
        <v>18958</v>
      </c>
      <c r="M7220" t="s">
        <v>18958</v>
      </c>
      <c r="O7220" t="s">
        <v>26537</v>
      </c>
      <c r="P7220" t="s">
        <v>26565</v>
      </c>
      <c r="Q7220" t="s">
        <v>26571</v>
      </c>
      <c r="R7220" t="s">
        <v>26583</v>
      </c>
      <c r="S7220" t="s">
        <v>18959</v>
      </c>
      <c r="U7220" t="s">
        <v>26604</v>
      </c>
      <c r="V7220" t="s">
        <v>26610</v>
      </c>
      <c r="W7220" t="s">
        <v>724</v>
      </c>
      <c r="X7220">
        <v>1144</v>
      </c>
      <c r="Y7220" t="s">
        <v>26652</v>
      </c>
      <c r="AA7220" t="s">
        <v>26681</v>
      </c>
      <c r="AB7220" t="s">
        <v>30455</v>
      </c>
      <c r="AE7220">
        <v>60</v>
      </c>
      <c r="AG7220" t="s">
        <v>19330</v>
      </c>
      <c r="AH7220">
        <v>5</v>
      </c>
      <c r="AI7220">
        <v>3</v>
      </c>
      <c r="AJ7220">
        <v>2</v>
      </c>
      <c r="AK7220">
        <v>28.44</v>
      </c>
      <c r="AN7220" t="s">
        <v>45581</v>
      </c>
      <c r="AO7220">
        <v>8580</v>
      </c>
      <c r="AP7220" t="s">
        <v>46039</v>
      </c>
      <c r="AU7220">
        <v>0.1</v>
      </c>
      <c r="AV7220" t="s">
        <v>797</v>
      </c>
      <c r="AW7220" t="s">
        <v>279</v>
      </c>
      <c r="AX7220" t="s">
        <v>46897</v>
      </c>
    </row>
    <row r="7221" spans="1:50">
      <c r="A7221" s="1">
        <f>HYPERLINK("https://lsnyc.legalserver.org/matter/dynamic-profile/view/1896740","19-1896740")</f>
        <v>0</v>
      </c>
      <c r="B7221" t="s">
        <v>116</v>
      </c>
      <c r="C7221" t="s">
        <v>341</v>
      </c>
      <c r="D7221" t="s">
        <v>797</v>
      </c>
      <c r="E7221" t="s">
        <v>797</v>
      </c>
      <c r="F7221" t="s">
        <v>1119</v>
      </c>
      <c r="G7221" t="s">
        <v>7541</v>
      </c>
      <c r="H7221" t="s">
        <v>14637</v>
      </c>
      <c r="I7221" t="s">
        <v>17334</v>
      </c>
      <c r="J7221" t="s">
        <v>18894</v>
      </c>
      <c r="K7221">
        <v>11219</v>
      </c>
      <c r="L7221" t="s">
        <v>18958</v>
      </c>
      <c r="M7221" t="s">
        <v>18958</v>
      </c>
      <c r="O7221" t="s">
        <v>26523</v>
      </c>
      <c r="P7221" t="s">
        <v>26565</v>
      </c>
      <c r="Q7221" t="s">
        <v>26571</v>
      </c>
      <c r="R7221" t="s">
        <v>26583</v>
      </c>
      <c r="S7221" t="s">
        <v>18959</v>
      </c>
      <c r="U7221" t="s">
        <v>26604</v>
      </c>
      <c r="V7221" t="s">
        <v>26610</v>
      </c>
      <c r="W7221" t="s">
        <v>724</v>
      </c>
      <c r="X7221">
        <v>900</v>
      </c>
      <c r="Y7221" t="s">
        <v>26652</v>
      </c>
      <c r="AA7221" t="s">
        <v>26681</v>
      </c>
      <c r="AB7221" t="s">
        <v>32126</v>
      </c>
      <c r="AC7221" t="s">
        <v>19045</v>
      </c>
      <c r="AD7221" t="s">
        <v>42469</v>
      </c>
      <c r="AE7221">
        <v>2</v>
      </c>
      <c r="AF7221" t="s">
        <v>45547</v>
      </c>
      <c r="AG7221" t="s">
        <v>19330</v>
      </c>
      <c r="AH7221">
        <v>6</v>
      </c>
      <c r="AI7221">
        <v>2</v>
      </c>
      <c r="AJ7221">
        <v>0</v>
      </c>
      <c r="AK7221">
        <v>248.37</v>
      </c>
      <c r="AN7221" t="s">
        <v>45607</v>
      </c>
      <c r="AO7221">
        <v>42000</v>
      </c>
      <c r="AU7221">
        <v>0.1</v>
      </c>
      <c r="AV7221" t="s">
        <v>797</v>
      </c>
      <c r="AW7221" t="s">
        <v>279</v>
      </c>
      <c r="AX7221" t="s">
        <v>46897</v>
      </c>
    </row>
    <row r="7222" spans="1:50">
      <c r="A7222" s="1">
        <f>HYPERLINK("https://lsnyc.legalserver.org/matter/dynamic-profile/view/1893990","19-1893990")</f>
        <v>0</v>
      </c>
      <c r="B7222" t="s">
        <v>141</v>
      </c>
      <c r="C7222" t="s">
        <v>340</v>
      </c>
      <c r="D7222" t="s">
        <v>755</v>
      </c>
      <c r="F7222" t="s">
        <v>3897</v>
      </c>
      <c r="G7222" t="s">
        <v>8251</v>
      </c>
      <c r="H7222" t="s">
        <v>14638</v>
      </c>
      <c r="I7222" t="s">
        <v>18441</v>
      </c>
      <c r="J7222" t="s">
        <v>18900</v>
      </c>
      <c r="K7222">
        <v>11354</v>
      </c>
      <c r="L7222" t="s">
        <v>18958</v>
      </c>
      <c r="M7222" t="s">
        <v>18959</v>
      </c>
      <c r="N7222" t="s">
        <v>24108</v>
      </c>
      <c r="O7222" t="s">
        <v>26523</v>
      </c>
      <c r="P7222" t="s">
        <v>26560</v>
      </c>
      <c r="R7222" t="s">
        <v>26578</v>
      </c>
      <c r="S7222" t="s">
        <v>18958</v>
      </c>
      <c r="U7222" t="s">
        <v>26604</v>
      </c>
      <c r="V7222" t="s">
        <v>26610</v>
      </c>
      <c r="W7222" t="s">
        <v>802</v>
      </c>
      <c r="X7222">
        <v>1658</v>
      </c>
      <c r="Y7222" t="s">
        <v>26653</v>
      </c>
      <c r="Z7222" t="s">
        <v>26664</v>
      </c>
      <c r="AB7222" t="s">
        <v>32127</v>
      </c>
      <c r="AD7222" t="s">
        <v>42470</v>
      </c>
      <c r="AE7222">
        <v>42</v>
      </c>
      <c r="AF7222" t="s">
        <v>45547</v>
      </c>
      <c r="AG7222" t="s">
        <v>19330</v>
      </c>
      <c r="AH7222">
        <v>2</v>
      </c>
      <c r="AI7222">
        <v>2</v>
      </c>
      <c r="AJ7222">
        <v>0</v>
      </c>
      <c r="AK7222">
        <v>156.12</v>
      </c>
      <c r="AN7222" t="s">
        <v>7439</v>
      </c>
      <c r="AO7222">
        <v>26400</v>
      </c>
      <c r="AQ7222" t="s">
        <v>46362</v>
      </c>
      <c r="AR7222" t="s">
        <v>46379</v>
      </c>
      <c r="AS7222" t="s">
        <v>46499</v>
      </c>
      <c r="AT7222" t="s">
        <v>46735</v>
      </c>
      <c r="AU7222">
        <v>16.7</v>
      </c>
      <c r="AV7222" t="s">
        <v>835</v>
      </c>
      <c r="AW7222" t="s">
        <v>46884</v>
      </c>
      <c r="AX7222" t="s">
        <v>46897</v>
      </c>
    </row>
    <row r="7223" spans="1:50">
      <c r="A7223" s="1">
        <f>HYPERLINK("https://lsnyc.legalserver.org/matter/dynamic-profile/view/1894768","19-1894768")</f>
        <v>0</v>
      </c>
      <c r="B7223" t="s">
        <v>200</v>
      </c>
      <c r="C7223" t="s">
        <v>341</v>
      </c>
      <c r="D7223" t="s">
        <v>788</v>
      </c>
      <c r="E7223" t="s">
        <v>805</v>
      </c>
      <c r="F7223" t="s">
        <v>881</v>
      </c>
      <c r="G7223" t="s">
        <v>5185</v>
      </c>
      <c r="H7223" t="s">
        <v>14639</v>
      </c>
      <c r="I7223" t="s">
        <v>17430</v>
      </c>
      <c r="J7223" t="s">
        <v>18894</v>
      </c>
      <c r="K7223">
        <v>11208</v>
      </c>
      <c r="L7223" t="s">
        <v>18958</v>
      </c>
      <c r="M7223" t="s">
        <v>18958</v>
      </c>
      <c r="N7223" t="s">
        <v>24109</v>
      </c>
      <c r="O7223" t="s">
        <v>26523</v>
      </c>
      <c r="P7223" t="s">
        <v>26560</v>
      </c>
      <c r="Q7223" t="s">
        <v>26573</v>
      </c>
      <c r="R7223" t="s">
        <v>26578</v>
      </c>
      <c r="S7223" t="s">
        <v>18959</v>
      </c>
      <c r="U7223" t="s">
        <v>26604</v>
      </c>
      <c r="V7223" t="s">
        <v>26610</v>
      </c>
      <c r="W7223" t="s">
        <v>802</v>
      </c>
      <c r="X7223">
        <v>1980</v>
      </c>
      <c r="Y7223" t="s">
        <v>26652</v>
      </c>
      <c r="Z7223" t="s">
        <v>26659</v>
      </c>
      <c r="AA7223" t="s">
        <v>26678</v>
      </c>
      <c r="AB7223" t="s">
        <v>32128</v>
      </c>
      <c r="AD7223" t="s">
        <v>42471</v>
      </c>
      <c r="AE7223">
        <v>2</v>
      </c>
      <c r="AF7223" t="s">
        <v>45547</v>
      </c>
      <c r="AG7223" t="s">
        <v>45557</v>
      </c>
      <c r="AH7223">
        <v>0</v>
      </c>
      <c r="AI7223">
        <v>2</v>
      </c>
      <c r="AJ7223">
        <v>5</v>
      </c>
      <c r="AK7223">
        <v>0.77</v>
      </c>
      <c r="AN7223" t="s">
        <v>7439</v>
      </c>
      <c r="AO7223">
        <v>300</v>
      </c>
      <c r="AU7223">
        <v>6.8</v>
      </c>
      <c r="AV7223" t="s">
        <v>805</v>
      </c>
      <c r="AW7223" t="s">
        <v>286</v>
      </c>
      <c r="AX7223" t="s">
        <v>46897</v>
      </c>
    </row>
    <row r="7224" spans="1:50">
      <c r="A7224" s="1">
        <f>HYPERLINK("https://lsnyc.legalserver.org/matter/dynamic-profile/view/1895562","19-1895562")</f>
        <v>0</v>
      </c>
      <c r="B7224" t="s">
        <v>125</v>
      </c>
      <c r="C7224" t="s">
        <v>340</v>
      </c>
      <c r="D7224" t="s">
        <v>781</v>
      </c>
      <c r="F7224" t="s">
        <v>1690</v>
      </c>
      <c r="G7224" t="s">
        <v>5389</v>
      </c>
      <c r="H7224" t="s">
        <v>12913</v>
      </c>
      <c r="I7224" t="s">
        <v>17332</v>
      </c>
      <c r="J7224" t="s">
        <v>18894</v>
      </c>
      <c r="K7224">
        <v>11206</v>
      </c>
      <c r="L7224" t="s">
        <v>18958</v>
      </c>
      <c r="M7224" t="s">
        <v>18959</v>
      </c>
      <c r="N7224" t="s">
        <v>24110</v>
      </c>
      <c r="O7224" t="s">
        <v>26523</v>
      </c>
      <c r="P7224" t="s">
        <v>26560</v>
      </c>
      <c r="R7224" t="s">
        <v>26578</v>
      </c>
      <c r="S7224" t="s">
        <v>18959</v>
      </c>
      <c r="U7224" t="s">
        <v>26604</v>
      </c>
      <c r="V7224" t="s">
        <v>26610</v>
      </c>
      <c r="W7224" t="s">
        <v>802</v>
      </c>
      <c r="X7224">
        <v>96</v>
      </c>
      <c r="Y7224" t="s">
        <v>26652</v>
      </c>
      <c r="Z7224" t="s">
        <v>26666</v>
      </c>
      <c r="AB7224" t="s">
        <v>32129</v>
      </c>
      <c r="AD7224" t="s">
        <v>42472</v>
      </c>
      <c r="AE7224">
        <v>0</v>
      </c>
      <c r="AF7224" t="s">
        <v>45541</v>
      </c>
      <c r="AG7224" t="s">
        <v>26530</v>
      </c>
      <c r="AH7224">
        <v>40</v>
      </c>
      <c r="AI7224">
        <v>1</v>
      </c>
      <c r="AJ7224">
        <v>0</v>
      </c>
      <c r="AK7224">
        <v>48.49</v>
      </c>
      <c r="AN7224" t="s">
        <v>7439</v>
      </c>
      <c r="AO7224">
        <v>6056</v>
      </c>
      <c r="AU7224">
        <v>11.5</v>
      </c>
      <c r="AV7224" t="s">
        <v>839</v>
      </c>
      <c r="AW7224" t="s">
        <v>286</v>
      </c>
      <c r="AX7224" t="s">
        <v>46897</v>
      </c>
    </row>
    <row r="7225" spans="1:50">
      <c r="A7225" s="1">
        <f>HYPERLINK("https://lsnyc.legalserver.org/matter/dynamic-profile/view/1896529","19-1896529")</f>
        <v>0</v>
      </c>
      <c r="B7225" t="s">
        <v>246</v>
      </c>
      <c r="C7225" t="s">
        <v>341</v>
      </c>
      <c r="D7225" t="s">
        <v>802</v>
      </c>
      <c r="E7225" t="s">
        <v>808</v>
      </c>
      <c r="F7225" t="s">
        <v>1300</v>
      </c>
      <c r="G7225" t="s">
        <v>5561</v>
      </c>
      <c r="H7225" t="s">
        <v>11304</v>
      </c>
      <c r="I7225">
        <v>307</v>
      </c>
      <c r="J7225" t="s">
        <v>18892</v>
      </c>
      <c r="K7225">
        <v>10454</v>
      </c>
      <c r="L7225" t="s">
        <v>18958</v>
      </c>
      <c r="M7225" t="s">
        <v>18958</v>
      </c>
      <c r="N7225" t="s">
        <v>24111</v>
      </c>
      <c r="O7225" t="s">
        <v>26523</v>
      </c>
      <c r="P7225" t="s">
        <v>26564</v>
      </c>
      <c r="Q7225" t="s">
        <v>26570</v>
      </c>
      <c r="R7225" t="s">
        <v>26577</v>
      </c>
      <c r="S7225" t="s">
        <v>18959</v>
      </c>
      <c r="U7225" t="s">
        <v>26604</v>
      </c>
      <c r="W7225" t="s">
        <v>802</v>
      </c>
      <c r="X7225">
        <v>1343.81</v>
      </c>
      <c r="Y7225" t="s">
        <v>26650</v>
      </c>
      <c r="Z7225" t="s">
        <v>26668</v>
      </c>
      <c r="AA7225" t="s">
        <v>26683</v>
      </c>
      <c r="AB7225" t="s">
        <v>32130</v>
      </c>
      <c r="AC7225" t="s">
        <v>36287</v>
      </c>
      <c r="AD7225" t="s">
        <v>42473</v>
      </c>
      <c r="AE7225">
        <v>0</v>
      </c>
      <c r="AF7225" t="s">
        <v>45541</v>
      </c>
      <c r="AG7225" t="s">
        <v>45556</v>
      </c>
      <c r="AH7225">
        <v>14</v>
      </c>
      <c r="AI7225">
        <v>2</v>
      </c>
      <c r="AJ7225">
        <v>1</v>
      </c>
      <c r="AK7225">
        <v>102.28</v>
      </c>
      <c r="AN7225" t="s">
        <v>7439</v>
      </c>
      <c r="AO7225">
        <v>21816</v>
      </c>
      <c r="AU7225">
        <v>2.3</v>
      </c>
      <c r="AV7225" t="s">
        <v>808</v>
      </c>
      <c r="AW7225" t="s">
        <v>46870</v>
      </c>
      <c r="AX7225" t="s">
        <v>46897</v>
      </c>
    </row>
    <row r="7226" spans="1:50">
      <c r="A7226" s="1">
        <f>HYPERLINK("https://lsnyc.legalserver.org/matter/dynamic-profile/view/1896489","19-1896489")</f>
        <v>0</v>
      </c>
      <c r="B7226" t="s">
        <v>66</v>
      </c>
      <c r="C7226" t="s">
        <v>341</v>
      </c>
      <c r="D7226" t="s">
        <v>802</v>
      </c>
      <c r="E7226" t="s">
        <v>797</v>
      </c>
      <c r="F7226" t="s">
        <v>3898</v>
      </c>
      <c r="G7226" t="s">
        <v>7146</v>
      </c>
      <c r="H7226" t="s">
        <v>14640</v>
      </c>
      <c r="I7226" t="s">
        <v>17755</v>
      </c>
      <c r="J7226" t="s">
        <v>18893</v>
      </c>
      <c r="K7226">
        <v>10026</v>
      </c>
      <c r="L7226" t="s">
        <v>18958</v>
      </c>
      <c r="M7226" t="s">
        <v>18958</v>
      </c>
      <c r="N7226" t="s">
        <v>24112</v>
      </c>
      <c r="O7226" t="s">
        <v>26523</v>
      </c>
      <c r="P7226" t="s">
        <v>26564</v>
      </c>
      <c r="Q7226" t="s">
        <v>26570</v>
      </c>
      <c r="R7226" t="s">
        <v>26580</v>
      </c>
      <c r="S7226" t="s">
        <v>18959</v>
      </c>
      <c r="U7226" t="s">
        <v>26604</v>
      </c>
      <c r="W7226" t="s">
        <v>802</v>
      </c>
      <c r="X7226">
        <v>654</v>
      </c>
      <c r="Y7226" t="s">
        <v>26651</v>
      </c>
      <c r="Z7226" t="s">
        <v>26668</v>
      </c>
      <c r="AA7226" t="s">
        <v>26683</v>
      </c>
      <c r="AB7226" t="s">
        <v>32131</v>
      </c>
      <c r="AD7226" t="s">
        <v>42474</v>
      </c>
      <c r="AE7226">
        <v>0</v>
      </c>
      <c r="AF7226" t="s">
        <v>45552</v>
      </c>
      <c r="AG7226" t="s">
        <v>26530</v>
      </c>
      <c r="AH7226">
        <v>3</v>
      </c>
      <c r="AI7226">
        <v>1</v>
      </c>
      <c r="AJ7226">
        <v>1</v>
      </c>
      <c r="AK7226">
        <v>260.2</v>
      </c>
      <c r="AN7226" t="s">
        <v>7439</v>
      </c>
      <c r="AO7226">
        <v>44000</v>
      </c>
      <c r="AU7226">
        <v>1</v>
      </c>
      <c r="AV7226" t="s">
        <v>823</v>
      </c>
      <c r="AW7226" t="s">
        <v>46875</v>
      </c>
    </row>
    <row r="7227" spans="1:50">
      <c r="A7227" s="1">
        <f>HYPERLINK("https://lsnyc.legalserver.org/matter/dynamic-profile/view/1896470","19-1896470")</f>
        <v>0</v>
      </c>
      <c r="B7227" t="s">
        <v>116</v>
      </c>
      <c r="C7227" t="s">
        <v>341</v>
      </c>
      <c r="D7227" t="s">
        <v>802</v>
      </c>
      <c r="E7227" t="s">
        <v>807</v>
      </c>
      <c r="F7227" t="s">
        <v>2044</v>
      </c>
      <c r="G7227" t="s">
        <v>8252</v>
      </c>
      <c r="H7227" t="s">
        <v>14641</v>
      </c>
      <c r="I7227" t="s">
        <v>17362</v>
      </c>
      <c r="J7227" t="s">
        <v>18894</v>
      </c>
      <c r="K7227">
        <v>11206</v>
      </c>
      <c r="L7227" t="s">
        <v>18958</v>
      </c>
      <c r="M7227" t="s">
        <v>18958</v>
      </c>
      <c r="N7227" t="s">
        <v>24113</v>
      </c>
      <c r="O7227" t="s">
        <v>26524</v>
      </c>
      <c r="P7227" t="s">
        <v>26563</v>
      </c>
      <c r="Q7227" t="s">
        <v>26571</v>
      </c>
      <c r="R7227" t="s">
        <v>26586</v>
      </c>
      <c r="S7227" t="s">
        <v>18959</v>
      </c>
      <c r="U7227" t="s">
        <v>26605</v>
      </c>
      <c r="W7227" t="s">
        <v>802</v>
      </c>
      <c r="X7227">
        <v>0</v>
      </c>
      <c r="Y7227" t="s">
        <v>26652</v>
      </c>
      <c r="Z7227" t="s">
        <v>26663</v>
      </c>
      <c r="AA7227" t="s">
        <v>26681</v>
      </c>
      <c r="AB7227" t="s">
        <v>32132</v>
      </c>
      <c r="AD7227" t="s">
        <v>42475</v>
      </c>
      <c r="AE7227">
        <v>0</v>
      </c>
      <c r="AF7227" t="s">
        <v>45542</v>
      </c>
      <c r="AH7227">
        <v>2</v>
      </c>
      <c r="AI7227">
        <v>1</v>
      </c>
      <c r="AJ7227">
        <v>0</v>
      </c>
      <c r="AK7227">
        <v>76.86</v>
      </c>
      <c r="AN7227" t="s">
        <v>7439</v>
      </c>
      <c r="AO7227">
        <v>9600</v>
      </c>
      <c r="AU7227">
        <v>0.1</v>
      </c>
      <c r="AV7227" t="s">
        <v>807</v>
      </c>
      <c r="AW7227" t="s">
        <v>116</v>
      </c>
    </row>
    <row r="7228" spans="1:50">
      <c r="A7228" s="1">
        <f>HYPERLINK("https://lsnyc.legalserver.org/matter/dynamic-profile/view/1895666","19-1895666")</f>
        <v>0</v>
      </c>
      <c r="B7228" t="s">
        <v>153</v>
      </c>
      <c r="C7228" t="s">
        <v>341</v>
      </c>
      <c r="D7228" t="s">
        <v>802</v>
      </c>
      <c r="E7228" t="s">
        <v>729</v>
      </c>
      <c r="F7228" t="s">
        <v>3899</v>
      </c>
      <c r="G7228" t="s">
        <v>8253</v>
      </c>
      <c r="H7228" t="s">
        <v>10296</v>
      </c>
      <c r="I7228" t="s">
        <v>17298</v>
      </c>
      <c r="J7228" t="s">
        <v>18902</v>
      </c>
      <c r="K7228">
        <v>10304</v>
      </c>
      <c r="L7228" t="s">
        <v>18958</v>
      </c>
      <c r="M7228" t="s">
        <v>18960</v>
      </c>
      <c r="N7228" t="s">
        <v>24114</v>
      </c>
      <c r="O7228" t="s">
        <v>26523</v>
      </c>
      <c r="P7228" t="s">
        <v>26560</v>
      </c>
      <c r="Q7228" t="s">
        <v>26568</v>
      </c>
      <c r="R7228" t="s">
        <v>26578</v>
      </c>
      <c r="S7228" t="s">
        <v>18959</v>
      </c>
      <c r="U7228" t="s">
        <v>26606</v>
      </c>
      <c r="V7228" t="s">
        <v>26610</v>
      </c>
      <c r="W7228" t="s">
        <v>802</v>
      </c>
      <c r="X7228">
        <v>1400</v>
      </c>
      <c r="Y7228" t="s">
        <v>26654</v>
      </c>
      <c r="Z7228" t="s">
        <v>26530</v>
      </c>
      <c r="AA7228" t="s">
        <v>26677</v>
      </c>
      <c r="AB7228" t="s">
        <v>32133</v>
      </c>
      <c r="AD7228" t="s">
        <v>42476</v>
      </c>
      <c r="AE7228">
        <v>0</v>
      </c>
      <c r="AF7228" t="s">
        <v>45543</v>
      </c>
      <c r="AG7228" t="s">
        <v>45556</v>
      </c>
      <c r="AH7228">
        <v>6</v>
      </c>
      <c r="AI7228">
        <v>1</v>
      </c>
      <c r="AJ7228">
        <v>4</v>
      </c>
      <c r="AK7228">
        <v>95.66</v>
      </c>
      <c r="AN7228" t="s">
        <v>7439</v>
      </c>
      <c r="AO7228">
        <v>28860</v>
      </c>
      <c r="AU7228">
        <v>8.1</v>
      </c>
      <c r="AV7228" t="s">
        <v>828</v>
      </c>
      <c r="AW7228" t="s">
        <v>46883</v>
      </c>
      <c r="AX7228" t="s">
        <v>46897</v>
      </c>
    </row>
    <row r="7229" spans="1:50">
      <c r="A7229" s="1">
        <f>HYPERLINK("https://lsnyc.legalserver.org/matter/dynamic-profile/view/1896452","19-1896452")</f>
        <v>0</v>
      </c>
      <c r="B7229" t="s">
        <v>214</v>
      </c>
      <c r="C7229" t="s">
        <v>341</v>
      </c>
      <c r="D7229" t="s">
        <v>802</v>
      </c>
      <c r="E7229" t="s">
        <v>836</v>
      </c>
      <c r="F7229" t="s">
        <v>3900</v>
      </c>
      <c r="G7229" t="s">
        <v>1876</v>
      </c>
      <c r="H7229" t="s">
        <v>14642</v>
      </c>
      <c r="I7229" t="s">
        <v>17288</v>
      </c>
      <c r="J7229" t="s">
        <v>18900</v>
      </c>
      <c r="K7229">
        <v>11354</v>
      </c>
      <c r="L7229" t="s">
        <v>18958</v>
      </c>
      <c r="M7229" t="s">
        <v>18958</v>
      </c>
      <c r="N7229" t="s">
        <v>24115</v>
      </c>
      <c r="O7229" t="s">
        <v>26523</v>
      </c>
      <c r="P7229" t="s">
        <v>26560</v>
      </c>
      <c r="Q7229" t="s">
        <v>26568</v>
      </c>
      <c r="R7229" t="s">
        <v>26578</v>
      </c>
      <c r="S7229" t="s">
        <v>18959</v>
      </c>
      <c r="U7229" t="s">
        <v>26604</v>
      </c>
      <c r="V7229" t="s">
        <v>26611</v>
      </c>
      <c r="W7229" t="s">
        <v>802</v>
      </c>
      <c r="X7229">
        <v>1700</v>
      </c>
      <c r="Y7229" t="s">
        <v>26653</v>
      </c>
      <c r="Z7229" t="s">
        <v>26663</v>
      </c>
      <c r="AA7229" t="s">
        <v>26679</v>
      </c>
      <c r="AB7229" t="s">
        <v>30531</v>
      </c>
      <c r="AC7229" t="s">
        <v>36288</v>
      </c>
      <c r="AD7229" t="s">
        <v>42477</v>
      </c>
      <c r="AE7229">
        <v>42</v>
      </c>
      <c r="AF7229" t="s">
        <v>45547</v>
      </c>
      <c r="AG7229" t="s">
        <v>19330</v>
      </c>
      <c r="AH7229">
        <v>6</v>
      </c>
      <c r="AI7229">
        <v>1</v>
      </c>
      <c r="AJ7229">
        <v>0</v>
      </c>
      <c r="AK7229">
        <v>19.05</v>
      </c>
      <c r="AN7229" t="s">
        <v>45583</v>
      </c>
      <c r="AO7229">
        <v>2379</v>
      </c>
      <c r="AQ7229" t="s">
        <v>46364</v>
      </c>
      <c r="AR7229" t="s">
        <v>46395</v>
      </c>
      <c r="AS7229" t="s">
        <v>46500</v>
      </c>
      <c r="AT7229" t="s">
        <v>46646</v>
      </c>
      <c r="AU7229">
        <v>14.8</v>
      </c>
      <c r="AV7229" t="s">
        <v>836</v>
      </c>
      <c r="AW7229" t="s">
        <v>214</v>
      </c>
      <c r="AX7229" t="s">
        <v>46897</v>
      </c>
    </row>
    <row r="7230" spans="1:50">
      <c r="A7230" s="1">
        <f>HYPERLINK("https://lsnyc.legalserver.org/matter/dynamic-profile/view/1896553","19-1896553")</f>
        <v>0</v>
      </c>
      <c r="B7230" t="s">
        <v>110</v>
      </c>
      <c r="C7230" t="s">
        <v>341</v>
      </c>
      <c r="D7230" t="s">
        <v>802</v>
      </c>
      <c r="E7230" t="s">
        <v>819</v>
      </c>
      <c r="F7230" t="s">
        <v>3507</v>
      </c>
      <c r="G7230" t="s">
        <v>5208</v>
      </c>
      <c r="H7230" t="s">
        <v>13849</v>
      </c>
      <c r="I7230" t="s">
        <v>17360</v>
      </c>
      <c r="J7230" t="s">
        <v>18915</v>
      </c>
      <c r="K7230">
        <v>11372</v>
      </c>
      <c r="L7230" t="s">
        <v>18958</v>
      </c>
      <c r="M7230" t="s">
        <v>18958</v>
      </c>
      <c r="N7230" t="s">
        <v>23212</v>
      </c>
      <c r="O7230" t="s">
        <v>26523</v>
      </c>
      <c r="P7230" t="s">
        <v>26564</v>
      </c>
      <c r="Q7230" t="s">
        <v>26570</v>
      </c>
      <c r="R7230" t="s">
        <v>26584</v>
      </c>
      <c r="S7230" t="s">
        <v>18959</v>
      </c>
      <c r="U7230" t="s">
        <v>26604</v>
      </c>
      <c r="V7230" t="s">
        <v>26610</v>
      </c>
      <c r="W7230" t="s">
        <v>802</v>
      </c>
      <c r="X7230">
        <v>1609.4</v>
      </c>
      <c r="Y7230" t="s">
        <v>26653</v>
      </c>
      <c r="Z7230" t="s">
        <v>26664</v>
      </c>
      <c r="AA7230" t="s">
        <v>26683</v>
      </c>
      <c r="AB7230" t="s">
        <v>31292</v>
      </c>
      <c r="AD7230" t="s">
        <v>41483</v>
      </c>
      <c r="AE7230">
        <v>36</v>
      </c>
      <c r="AF7230" t="s">
        <v>45541</v>
      </c>
      <c r="AH7230">
        <v>11</v>
      </c>
      <c r="AI7230">
        <v>3</v>
      </c>
      <c r="AJ7230">
        <v>0</v>
      </c>
      <c r="AK7230">
        <v>93.28</v>
      </c>
      <c r="AN7230" t="s">
        <v>7439</v>
      </c>
      <c r="AO7230">
        <v>19896</v>
      </c>
      <c r="AU7230">
        <v>2.7</v>
      </c>
      <c r="AV7230" t="s">
        <v>831</v>
      </c>
      <c r="AW7230" t="s">
        <v>110</v>
      </c>
      <c r="AX7230" t="s">
        <v>46897</v>
      </c>
    </row>
    <row r="7231" spans="1:50">
      <c r="A7231" s="1">
        <f>HYPERLINK("https://lsnyc.legalserver.org/matter/dynamic-profile/view/1896731","19-1896731")</f>
        <v>0</v>
      </c>
      <c r="B7231" t="s">
        <v>270</v>
      </c>
      <c r="C7231" t="s">
        <v>341</v>
      </c>
      <c r="D7231" t="s">
        <v>802</v>
      </c>
      <c r="E7231" t="s">
        <v>720</v>
      </c>
      <c r="F7231" t="s">
        <v>937</v>
      </c>
      <c r="G7231" t="s">
        <v>5828</v>
      </c>
      <c r="H7231" t="s">
        <v>14643</v>
      </c>
      <c r="I7231" t="s">
        <v>17728</v>
      </c>
      <c r="J7231" t="s">
        <v>18892</v>
      </c>
      <c r="K7231">
        <v>10468</v>
      </c>
      <c r="L7231" t="s">
        <v>18958</v>
      </c>
      <c r="M7231" t="s">
        <v>18958</v>
      </c>
      <c r="N7231" t="s">
        <v>24116</v>
      </c>
      <c r="O7231" t="s">
        <v>26524</v>
      </c>
      <c r="P7231" t="s">
        <v>26564</v>
      </c>
      <c r="Q7231" t="s">
        <v>26570</v>
      </c>
      <c r="R7231" t="s">
        <v>26579</v>
      </c>
      <c r="S7231" t="s">
        <v>18959</v>
      </c>
      <c r="U7231" t="s">
        <v>26604</v>
      </c>
      <c r="W7231" t="s">
        <v>802</v>
      </c>
      <c r="X7231">
        <v>1150</v>
      </c>
      <c r="Y7231" t="s">
        <v>26650</v>
      </c>
      <c r="Z7231" t="s">
        <v>26664</v>
      </c>
      <c r="AA7231" t="s">
        <v>26683</v>
      </c>
      <c r="AB7231" t="s">
        <v>32134</v>
      </c>
      <c r="AD7231" t="s">
        <v>42478</v>
      </c>
      <c r="AE7231">
        <v>0</v>
      </c>
      <c r="AH7231">
        <v>2</v>
      </c>
      <c r="AI7231">
        <v>2</v>
      </c>
      <c r="AJ7231">
        <v>1</v>
      </c>
      <c r="AK7231">
        <v>97.52</v>
      </c>
      <c r="AN7231" t="s">
        <v>45581</v>
      </c>
      <c r="AO7231">
        <v>20800</v>
      </c>
      <c r="AU7231">
        <v>6.5</v>
      </c>
      <c r="AV7231" t="s">
        <v>720</v>
      </c>
      <c r="AW7231" t="s">
        <v>336</v>
      </c>
      <c r="AX7231" t="s">
        <v>46897</v>
      </c>
    </row>
    <row r="7232" spans="1:50">
      <c r="A7232" s="1">
        <f>HYPERLINK("https://lsnyc.legalserver.org/matter/dynamic-profile/view/1896576","19-1896576")</f>
        <v>0</v>
      </c>
      <c r="B7232" t="s">
        <v>122</v>
      </c>
      <c r="C7232" t="s">
        <v>341</v>
      </c>
      <c r="D7232" t="s">
        <v>802</v>
      </c>
      <c r="E7232" t="s">
        <v>771</v>
      </c>
      <c r="F7232" t="s">
        <v>887</v>
      </c>
      <c r="G7232" t="s">
        <v>6231</v>
      </c>
      <c r="H7232" t="s">
        <v>14644</v>
      </c>
      <c r="I7232" t="s">
        <v>17375</v>
      </c>
      <c r="J7232" t="s">
        <v>18930</v>
      </c>
      <c r="K7232">
        <v>11413</v>
      </c>
      <c r="L7232" t="s">
        <v>18958</v>
      </c>
      <c r="M7232" t="s">
        <v>18958</v>
      </c>
      <c r="N7232" t="s">
        <v>24117</v>
      </c>
      <c r="O7232" t="s">
        <v>26524</v>
      </c>
      <c r="P7232" t="s">
        <v>26564</v>
      </c>
      <c r="Q7232" t="s">
        <v>26570</v>
      </c>
      <c r="R7232" t="s">
        <v>26578</v>
      </c>
      <c r="U7232" t="s">
        <v>26604</v>
      </c>
      <c r="V7232" t="s">
        <v>26610</v>
      </c>
      <c r="W7232" t="s">
        <v>802</v>
      </c>
      <c r="X7232">
        <v>1800</v>
      </c>
      <c r="Y7232" t="s">
        <v>26653</v>
      </c>
      <c r="Z7232" t="s">
        <v>26664</v>
      </c>
      <c r="AA7232" t="s">
        <v>26683</v>
      </c>
      <c r="AB7232" t="s">
        <v>32135</v>
      </c>
      <c r="AC7232" t="s">
        <v>36289</v>
      </c>
      <c r="AD7232" t="s">
        <v>42479</v>
      </c>
      <c r="AE7232">
        <v>3</v>
      </c>
      <c r="AF7232" t="s">
        <v>45547</v>
      </c>
      <c r="AG7232" t="s">
        <v>19330</v>
      </c>
      <c r="AH7232">
        <v>6</v>
      </c>
      <c r="AI7232">
        <v>4</v>
      </c>
      <c r="AJ7232">
        <v>4</v>
      </c>
      <c r="AK7232">
        <v>89.8</v>
      </c>
      <c r="AO7232">
        <v>39000</v>
      </c>
      <c r="AU7232">
        <v>1.5</v>
      </c>
      <c r="AV7232" t="s">
        <v>816</v>
      </c>
      <c r="AW7232" t="s">
        <v>122</v>
      </c>
    </row>
    <row r="7233" spans="1:50">
      <c r="A7233" s="1">
        <f>HYPERLINK("https://lsnyc.legalserver.org/matter/dynamic-profile/view/1896525","19-1896525")</f>
        <v>0</v>
      </c>
      <c r="B7233" t="s">
        <v>183</v>
      </c>
      <c r="C7233" t="s">
        <v>340</v>
      </c>
      <c r="D7233" t="s">
        <v>802</v>
      </c>
      <c r="F7233" t="s">
        <v>868</v>
      </c>
      <c r="G7233" t="s">
        <v>5352</v>
      </c>
      <c r="H7233" t="s">
        <v>10577</v>
      </c>
      <c r="I7233" t="s">
        <v>17274</v>
      </c>
      <c r="J7233" t="s">
        <v>18893</v>
      </c>
      <c r="K7233">
        <v>10027</v>
      </c>
      <c r="L7233" t="s">
        <v>18958</v>
      </c>
      <c r="M7233" t="s">
        <v>18958</v>
      </c>
      <c r="N7233" t="s">
        <v>24118</v>
      </c>
      <c r="O7233" t="s">
        <v>26523</v>
      </c>
      <c r="P7233" t="s">
        <v>26560</v>
      </c>
      <c r="R7233" t="s">
        <v>26580</v>
      </c>
      <c r="S7233" t="s">
        <v>18959</v>
      </c>
      <c r="U7233" t="s">
        <v>26604</v>
      </c>
      <c r="W7233" t="s">
        <v>802</v>
      </c>
      <c r="X7233">
        <v>929.22</v>
      </c>
      <c r="Y7233" t="s">
        <v>26651</v>
      </c>
      <c r="Z7233" t="s">
        <v>26664</v>
      </c>
      <c r="AB7233" t="s">
        <v>28827</v>
      </c>
      <c r="AD7233" t="s">
        <v>42480</v>
      </c>
      <c r="AE7233">
        <v>0</v>
      </c>
      <c r="AF7233" t="s">
        <v>45548</v>
      </c>
      <c r="AG7233" t="s">
        <v>19330</v>
      </c>
      <c r="AH7233">
        <v>3</v>
      </c>
      <c r="AI7233">
        <v>1</v>
      </c>
      <c r="AJ7233">
        <v>0</v>
      </c>
      <c r="AK7233">
        <v>0</v>
      </c>
      <c r="AN7233" t="s">
        <v>7439</v>
      </c>
      <c r="AO7233">
        <v>0</v>
      </c>
      <c r="AU7233">
        <v>8.1</v>
      </c>
      <c r="AV7233" t="s">
        <v>830</v>
      </c>
      <c r="AW7233" t="s">
        <v>46875</v>
      </c>
    </row>
    <row r="7234" spans="1:50">
      <c r="A7234" s="1">
        <f>HYPERLINK("https://lsnyc.legalserver.org/matter/dynamic-profile/view/1896613","19-1896613")</f>
        <v>0</v>
      </c>
      <c r="B7234" t="s">
        <v>149</v>
      </c>
      <c r="C7234" t="s">
        <v>340</v>
      </c>
      <c r="D7234" t="s">
        <v>802</v>
      </c>
      <c r="F7234" t="s">
        <v>3901</v>
      </c>
      <c r="G7234" t="s">
        <v>8254</v>
      </c>
      <c r="H7234" t="s">
        <v>14645</v>
      </c>
      <c r="I7234" t="s">
        <v>17360</v>
      </c>
      <c r="J7234" t="s">
        <v>18892</v>
      </c>
      <c r="K7234">
        <v>10472</v>
      </c>
      <c r="L7234" t="s">
        <v>18958</v>
      </c>
      <c r="M7234" t="s">
        <v>18958</v>
      </c>
      <c r="N7234" t="s">
        <v>24119</v>
      </c>
      <c r="O7234" t="s">
        <v>26524</v>
      </c>
      <c r="P7234" t="s">
        <v>26560</v>
      </c>
      <c r="R7234" t="s">
        <v>26577</v>
      </c>
      <c r="S7234" t="s">
        <v>18959</v>
      </c>
      <c r="U7234" t="s">
        <v>26604</v>
      </c>
      <c r="W7234" t="s">
        <v>802</v>
      </c>
      <c r="X7234">
        <v>0</v>
      </c>
      <c r="Y7234" t="s">
        <v>26650</v>
      </c>
      <c r="Z7234" t="s">
        <v>26668</v>
      </c>
      <c r="AB7234" t="s">
        <v>32136</v>
      </c>
      <c r="AD7234" t="s">
        <v>42481</v>
      </c>
      <c r="AE7234">
        <v>3</v>
      </c>
      <c r="AF7234" t="s">
        <v>20460</v>
      </c>
      <c r="AG7234" t="s">
        <v>45561</v>
      </c>
      <c r="AH7234">
        <v>0</v>
      </c>
      <c r="AI7234">
        <v>1</v>
      </c>
      <c r="AJ7234">
        <v>0</v>
      </c>
      <c r="AK7234">
        <v>37.61</v>
      </c>
      <c r="AN7234" t="s">
        <v>7439</v>
      </c>
      <c r="AO7234">
        <v>4698</v>
      </c>
      <c r="AP7234" t="s">
        <v>46020</v>
      </c>
      <c r="AU7234">
        <v>16.4</v>
      </c>
      <c r="AV7234" t="s">
        <v>833</v>
      </c>
      <c r="AW7234" t="s">
        <v>46847</v>
      </c>
      <c r="AX7234" t="s">
        <v>46897</v>
      </c>
    </row>
    <row r="7235" spans="1:50">
      <c r="A7235" s="1">
        <f>HYPERLINK("https://lsnyc.legalserver.org/matter/dynamic-profile/view/1896506","19-1896506")</f>
        <v>0</v>
      </c>
      <c r="B7235" t="s">
        <v>66</v>
      </c>
      <c r="C7235" t="s">
        <v>340</v>
      </c>
      <c r="D7235" t="s">
        <v>802</v>
      </c>
      <c r="F7235" t="s">
        <v>3902</v>
      </c>
      <c r="G7235" t="s">
        <v>8255</v>
      </c>
      <c r="H7235" t="s">
        <v>13306</v>
      </c>
      <c r="I7235" t="s">
        <v>17513</v>
      </c>
      <c r="J7235" t="s">
        <v>18893</v>
      </c>
      <c r="K7235">
        <v>10027</v>
      </c>
      <c r="L7235" t="s">
        <v>18958</v>
      </c>
      <c r="M7235" t="s">
        <v>18958</v>
      </c>
      <c r="N7235" t="s">
        <v>24120</v>
      </c>
      <c r="O7235" t="s">
        <v>26523</v>
      </c>
      <c r="P7235" t="s">
        <v>26560</v>
      </c>
      <c r="R7235" t="s">
        <v>26580</v>
      </c>
      <c r="S7235" t="s">
        <v>18959</v>
      </c>
      <c r="U7235" t="s">
        <v>26604</v>
      </c>
      <c r="V7235" t="s">
        <v>26610</v>
      </c>
      <c r="W7235" t="s">
        <v>802</v>
      </c>
      <c r="X7235">
        <v>1298</v>
      </c>
      <c r="Y7235" t="s">
        <v>26651</v>
      </c>
      <c r="Z7235" t="s">
        <v>26664</v>
      </c>
      <c r="AB7235" t="s">
        <v>32137</v>
      </c>
      <c r="AC7235" t="s">
        <v>36290</v>
      </c>
      <c r="AD7235" t="s">
        <v>42482</v>
      </c>
      <c r="AE7235">
        <v>0</v>
      </c>
      <c r="AF7235" t="s">
        <v>45541</v>
      </c>
      <c r="AG7235" t="s">
        <v>19330</v>
      </c>
      <c r="AH7235">
        <v>10</v>
      </c>
      <c r="AI7235">
        <v>2</v>
      </c>
      <c r="AJ7235">
        <v>4</v>
      </c>
      <c r="AK7235">
        <v>69.90000000000001</v>
      </c>
      <c r="AN7235" t="s">
        <v>7439</v>
      </c>
      <c r="AO7235">
        <v>24180</v>
      </c>
      <c r="AU7235">
        <v>3.25</v>
      </c>
      <c r="AV7235" t="s">
        <v>839</v>
      </c>
      <c r="AW7235" t="s">
        <v>314</v>
      </c>
    </row>
    <row r="7236" spans="1:50">
      <c r="A7236" s="1">
        <f>HYPERLINK("https://lsnyc.legalserver.org/matter/dynamic-profile/view/1896523","19-1896523")</f>
        <v>0</v>
      </c>
      <c r="B7236" t="s">
        <v>94</v>
      </c>
      <c r="C7236" t="s">
        <v>340</v>
      </c>
      <c r="D7236" t="s">
        <v>802</v>
      </c>
      <c r="F7236" t="s">
        <v>3728</v>
      </c>
      <c r="G7236" t="s">
        <v>5089</v>
      </c>
      <c r="H7236" t="s">
        <v>14371</v>
      </c>
      <c r="I7236" t="s">
        <v>17322</v>
      </c>
      <c r="J7236" t="s">
        <v>18893</v>
      </c>
      <c r="K7236">
        <v>10031</v>
      </c>
      <c r="L7236" t="s">
        <v>18958</v>
      </c>
      <c r="M7236" t="s">
        <v>18958</v>
      </c>
      <c r="N7236" t="s">
        <v>24121</v>
      </c>
      <c r="O7236" t="s">
        <v>26524</v>
      </c>
      <c r="P7236" t="s">
        <v>26560</v>
      </c>
      <c r="R7236" t="s">
        <v>26580</v>
      </c>
      <c r="S7236" t="s">
        <v>18959</v>
      </c>
      <c r="U7236" t="s">
        <v>26604</v>
      </c>
      <c r="V7236" t="s">
        <v>26610</v>
      </c>
      <c r="W7236" t="s">
        <v>802</v>
      </c>
      <c r="X7236">
        <v>768</v>
      </c>
      <c r="Y7236" t="s">
        <v>26651</v>
      </c>
      <c r="Z7236" t="s">
        <v>26659</v>
      </c>
      <c r="AB7236" t="s">
        <v>31780</v>
      </c>
      <c r="AD7236" t="s">
        <v>42048</v>
      </c>
      <c r="AE7236">
        <v>0</v>
      </c>
      <c r="AF7236" t="s">
        <v>45541</v>
      </c>
      <c r="AG7236" t="s">
        <v>45556</v>
      </c>
      <c r="AH7236">
        <v>9</v>
      </c>
      <c r="AI7236">
        <v>1</v>
      </c>
      <c r="AJ7236">
        <v>1</v>
      </c>
      <c r="AK7236">
        <v>129.46</v>
      </c>
      <c r="AN7236" t="s">
        <v>7439</v>
      </c>
      <c r="AO7236">
        <v>21892</v>
      </c>
      <c r="AU7236">
        <v>3.5</v>
      </c>
      <c r="AV7236" t="s">
        <v>806</v>
      </c>
      <c r="AW7236" t="s">
        <v>314</v>
      </c>
    </row>
    <row r="7237" spans="1:50">
      <c r="A7237" s="1">
        <f>HYPERLINK("https://lsnyc.legalserver.org/matter/dynamic-profile/view/1896412","19-1896412")</f>
        <v>0</v>
      </c>
      <c r="B7237" t="s">
        <v>131</v>
      </c>
      <c r="C7237" t="s">
        <v>340</v>
      </c>
      <c r="D7237" t="s">
        <v>802</v>
      </c>
      <c r="F7237" t="s">
        <v>1233</v>
      </c>
      <c r="G7237" t="s">
        <v>8256</v>
      </c>
      <c r="H7237" t="s">
        <v>14646</v>
      </c>
      <c r="I7237">
        <v>3</v>
      </c>
      <c r="J7237" t="s">
        <v>18902</v>
      </c>
      <c r="K7237">
        <v>10301</v>
      </c>
      <c r="L7237" t="s">
        <v>18958</v>
      </c>
      <c r="M7237" t="s">
        <v>18958</v>
      </c>
      <c r="N7237" t="s">
        <v>24122</v>
      </c>
      <c r="O7237" t="s">
        <v>26524</v>
      </c>
      <c r="P7237" t="s">
        <v>26560</v>
      </c>
      <c r="R7237" t="s">
        <v>26578</v>
      </c>
      <c r="S7237" t="s">
        <v>18959</v>
      </c>
      <c r="U7237" t="s">
        <v>26604</v>
      </c>
      <c r="V7237" t="s">
        <v>26610</v>
      </c>
      <c r="W7237" t="s">
        <v>802</v>
      </c>
      <c r="X7237">
        <v>1550</v>
      </c>
      <c r="Y7237" t="s">
        <v>26654</v>
      </c>
      <c r="Z7237" t="s">
        <v>26659</v>
      </c>
      <c r="AB7237" t="s">
        <v>32138</v>
      </c>
      <c r="AD7237" t="s">
        <v>42483</v>
      </c>
      <c r="AE7237">
        <v>2</v>
      </c>
      <c r="AF7237" t="s">
        <v>45547</v>
      </c>
      <c r="AG7237" t="s">
        <v>45558</v>
      </c>
      <c r="AH7237">
        <v>3</v>
      </c>
      <c r="AI7237">
        <v>1</v>
      </c>
      <c r="AJ7237">
        <v>2</v>
      </c>
      <c r="AK7237">
        <v>42.64</v>
      </c>
      <c r="AN7237" t="s">
        <v>7439</v>
      </c>
      <c r="AO7237">
        <v>9096</v>
      </c>
      <c r="AU7237">
        <v>7.3</v>
      </c>
      <c r="AV7237" t="s">
        <v>762</v>
      </c>
      <c r="AW7237" t="s">
        <v>46883</v>
      </c>
    </row>
    <row r="7238" spans="1:50">
      <c r="A7238" s="1">
        <f>HYPERLINK("https://lsnyc.legalserver.org/matter/dynamic-profile/view/1896501","19-1896501")</f>
        <v>0</v>
      </c>
      <c r="B7238" t="s">
        <v>191</v>
      </c>
      <c r="C7238" t="s">
        <v>340</v>
      </c>
      <c r="D7238" t="s">
        <v>802</v>
      </c>
      <c r="F7238" t="s">
        <v>2020</v>
      </c>
      <c r="G7238" t="s">
        <v>8257</v>
      </c>
      <c r="H7238" t="s">
        <v>10930</v>
      </c>
      <c r="I7238" t="s">
        <v>17504</v>
      </c>
      <c r="J7238" t="s">
        <v>18893</v>
      </c>
      <c r="K7238">
        <v>10025</v>
      </c>
      <c r="L7238" t="s">
        <v>18958</v>
      </c>
      <c r="M7238" t="s">
        <v>18960</v>
      </c>
      <c r="N7238" t="s">
        <v>24123</v>
      </c>
      <c r="O7238" t="s">
        <v>26523</v>
      </c>
      <c r="P7238" t="s">
        <v>26560</v>
      </c>
      <c r="R7238" t="s">
        <v>26580</v>
      </c>
      <c r="S7238" t="s">
        <v>18959</v>
      </c>
      <c r="U7238" t="s">
        <v>26605</v>
      </c>
      <c r="W7238" t="s">
        <v>802</v>
      </c>
      <c r="X7238">
        <v>250</v>
      </c>
      <c r="Y7238" t="s">
        <v>26651</v>
      </c>
      <c r="Z7238" t="s">
        <v>26664</v>
      </c>
      <c r="AB7238" t="s">
        <v>32139</v>
      </c>
      <c r="AC7238" t="s">
        <v>36291</v>
      </c>
      <c r="AD7238" t="s">
        <v>42484</v>
      </c>
      <c r="AE7238">
        <v>0</v>
      </c>
      <c r="AF7238" t="s">
        <v>45549</v>
      </c>
      <c r="AG7238" t="s">
        <v>19330</v>
      </c>
      <c r="AH7238">
        <v>12</v>
      </c>
      <c r="AI7238">
        <v>1</v>
      </c>
      <c r="AJ7238">
        <v>0</v>
      </c>
      <c r="AK7238">
        <v>82.34</v>
      </c>
      <c r="AN7238" t="s">
        <v>45586</v>
      </c>
      <c r="AO7238">
        <v>10284</v>
      </c>
      <c r="AU7238">
        <v>3.9</v>
      </c>
      <c r="AV7238" t="s">
        <v>772</v>
      </c>
      <c r="AW7238" t="s">
        <v>46875</v>
      </c>
    </row>
    <row r="7239" spans="1:50">
      <c r="A7239" s="1">
        <f>HYPERLINK("https://lsnyc.legalserver.org/matter/dynamic-profile/view/1896513","19-1896513")</f>
        <v>0</v>
      </c>
      <c r="B7239" t="s">
        <v>191</v>
      </c>
      <c r="C7239" t="s">
        <v>340</v>
      </c>
      <c r="D7239" t="s">
        <v>802</v>
      </c>
      <c r="F7239" t="s">
        <v>1031</v>
      </c>
      <c r="G7239" t="s">
        <v>1494</v>
      </c>
      <c r="H7239" t="s">
        <v>12224</v>
      </c>
      <c r="I7239">
        <v>512</v>
      </c>
      <c r="J7239" t="s">
        <v>18893</v>
      </c>
      <c r="K7239">
        <v>10025</v>
      </c>
      <c r="L7239" t="s">
        <v>18958</v>
      </c>
      <c r="M7239" t="s">
        <v>18958</v>
      </c>
      <c r="N7239" t="s">
        <v>24124</v>
      </c>
      <c r="O7239" t="s">
        <v>26524</v>
      </c>
      <c r="P7239" t="s">
        <v>26560</v>
      </c>
      <c r="R7239" t="s">
        <v>26580</v>
      </c>
      <c r="S7239" t="s">
        <v>18959</v>
      </c>
      <c r="U7239" t="s">
        <v>26604</v>
      </c>
      <c r="W7239" t="s">
        <v>802</v>
      </c>
      <c r="X7239">
        <v>254</v>
      </c>
      <c r="Y7239" t="s">
        <v>26651</v>
      </c>
      <c r="Z7239" t="s">
        <v>26668</v>
      </c>
      <c r="AB7239" t="s">
        <v>32140</v>
      </c>
      <c r="AD7239" t="s">
        <v>42485</v>
      </c>
      <c r="AE7239">
        <v>0</v>
      </c>
      <c r="AF7239" t="s">
        <v>20460</v>
      </c>
      <c r="AG7239" t="s">
        <v>45556</v>
      </c>
      <c r="AH7239">
        <v>16</v>
      </c>
      <c r="AI7239">
        <v>1</v>
      </c>
      <c r="AJ7239">
        <v>0</v>
      </c>
      <c r="AK7239">
        <v>83.48999999999999</v>
      </c>
      <c r="AN7239" t="s">
        <v>7439</v>
      </c>
      <c r="AO7239">
        <v>10428</v>
      </c>
      <c r="AU7239">
        <v>3.7</v>
      </c>
      <c r="AV7239" t="s">
        <v>838</v>
      </c>
      <c r="AW7239" t="s">
        <v>46875</v>
      </c>
    </row>
    <row r="7240" spans="1:50">
      <c r="A7240" s="1">
        <f>HYPERLINK("https://lsnyc.legalserver.org/matter/dynamic-profile/view/1896472","19-1896472")</f>
        <v>0</v>
      </c>
      <c r="B7240" t="s">
        <v>191</v>
      </c>
      <c r="C7240" t="s">
        <v>340</v>
      </c>
      <c r="D7240" t="s">
        <v>802</v>
      </c>
      <c r="F7240" t="s">
        <v>1877</v>
      </c>
      <c r="G7240" t="s">
        <v>8258</v>
      </c>
      <c r="H7240" t="s">
        <v>14640</v>
      </c>
      <c r="I7240" t="s">
        <v>18442</v>
      </c>
      <c r="J7240" t="s">
        <v>18893</v>
      </c>
      <c r="K7240">
        <v>10026</v>
      </c>
      <c r="L7240" t="s">
        <v>18958</v>
      </c>
      <c r="M7240" t="s">
        <v>18958</v>
      </c>
      <c r="N7240" t="s">
        <v>24125</v>
      </c>
      <c r="O7240" t="s">
        <v>26523</v>
      </c>
      <c r="P7240" t="s">
        <v>26564</v>
      </c>
      <c r="R7240" t="s">
        <v>26580</v>
      </c>
      <c r="S7240" t="s">
        <v>18959</v>
      </c>
      <c r="U7240" t="s">
        <v>26604</v>
      </c>
      <c r="W7240" t="s">
        <v>802</v>
      </c>
      <c r="X7240">
        <v>1140.05</v>
      </c>
      <c r="Y7240" t="s">
        <v>26651</v>
      </c>
      <c r="Z7240" t="s">
        <v>26668</v>
      </c>
      <c r="AB7240" t="s">
        <v>32141</v>
      </c>
      <c r="AD7240" t="s">
        <v>42486</v>
      </c>
      <c r="AE7240">
        <v>0</v>
      </c>
      <c r="AF7240" t="s">
        <v>45552</v>
      </c>
      <c r="AG7240" t="s">
        <v>19330</v>
      </c>
      <c r="AH7240">
        <v>35</v>
      </c>
      <c r="AI7240">
        <v>1</v>
      </c>
      <c r="AJ7240">
        <v>1</v>
      </c>
      <c r="AK7240">
        <v>322.89</v>
      </c>
      <c r="AN7240" t="s">
        <v>7439</v>
      </c>
      <c r="AO7240">
        <v>54600</v>
      </c>
      <c r="AU7240">
        <v>1</v>
      </c>
      <c r="AV7240" t="s">
        <v>802</v>
      </c>
      <c r="AW7240" t="s">
        <v>46875</v>
      </c>
    </row>
    <row r="7241" spans="1:50">
      <c r="A7241" s="1">
        <f>HYPERLINK("https://lsnyc.legalserver.org/matter/dynamic-profile/view/1896580","19-1896580")</f>
        <v>0</v>
      </c>
      <c r="B7241" t="s">
        <v>234</v>
      </c>
      <c r="C7241" t="s">
        <v>340</v>
      </c>
      <c r="D7241" t="s">
        <v>802</v>
      </c>
      <c r="F7241" t="s">
        <v>1283</v>
      </c>
      <c r="G7241" t="s">
        <v>7062</v>
      </c>
      <c r="H7241" t="s">
        <v>9647</v>
      </c>
      <c r="I7241" t="s">
        <v>18443</v>
      </c>
      <c r="J7241" t="s">
        <v>18893</v>
      </c>
      <c r="K7241">
        <v>10027</v>
      </c>
      <c r="L7241" t="s">
        <v>18958</v>
      </c>
      <c r="M7241" t="s">
        <v>18960</v>
      </c>
      <c r="N7241" t="s">
        <v>24126</v>
      </c>
      <c r="O7241" t="s">
        <v>26523</v>
      </c>
      <c r="P7241" t="s">
        <v>26560</v>
      </c>
      <c r="R7241" t="s">
        <v>26580</v>
      </c>
      <c r="S7241" t="s">
        <v>18959</v>
      </c>
      <c r="U7241" t="s">
        <v>26604</v>
      </c>
      <c r="W7241" t="s">
        <v>802</v>
      </c>
      <c r="X7241">
        <v>2337</v>
      </c>
      <c r="Y7241" t="s">
        <v>26651</v>
      </c>
      <c r="Z7241" t="s">
        <v>26664</v>
      </c>
      <c r="AB7241" t="s">
        <v>32142</v>
      </c>
      <c r="AC7241" t="s">
        <v>36292</v>
      </c>
      <c r="AD7241" t="s">
        <v>42487</v>
      </c>
      <c r="AE7241">
        <v>0</v>
      </c>
      <c r="AF7241" t="s">
        <v>45552</v>
      </c>
      <c r="AG7241" t="s">
        <v>45556</v>
      </c>
      <c r="AH7241">
        <v>31</v>
      </c>
      <c r="AI7241">
        <v>2</v>
      </c>
      <c r="AJ7241">
        <v>1</v>
      </c>
      <c r="AK7241">
        <v>50.63</v>
      </c>
      <c r="AN7241" t="s">
        <v>7439</v>
      </c>
      <c r="AO7241">
        <v>10800</v>
      </c>
      <c r="AU7241">
        <v>9.65</v>
      </c>
      <c r="AV7241" t="s">
        <v>839</v>
      </c>
      <c r="AW7241" t="s">
        <v>46875</v>
      </c>
    </row>
    <row r="7242" spans="1:50">
      <c r="A7242" s="1">
        <f>HYPERLINK("https://lsnyc.legalserver.org/matter/dynamic-profile/view/1896217","19-1896217")</f>
        <v>0</v>
      </c>
      <c r="B7242" t="s">
        <v>153</v>
      </c>
      <c r="C7242" t="s">
        <v>340</v>
      </c>
      <c r="D7242" t="s">
        <v>802</v>
      </c>
      <c r="F7242" t="s">
        <v>903</v>
      </c>
      <c r="G7242" t="s">
        <v>5599</v>
      </c>
      <c r="H7242" t="s">
        <v>10691</v>
      </c>
      <c r="I7242" t="s">
        <v>17442</v>
      </c>
      <c r="J7242" t="s">
        <v>18902</v>
      </c>
      <c r="K7242">
        <v>10301</v>
      </c>
      <c r="L7242" t="s">
        <v>18958</v>
      </c>
      <c r="M7242" t="s">
        <v>18958</v>
      </c>
      <c r="O7242" t="s">
        <v>18997</v>
      </c>
      <c r="P7242" t="s">
        <v>26562</v>
      </c>
      <c r="R7242" t="s">
        <v>26589</v>
      </c>
      <c r="S7242" t="s">
        <v>18959</v>
      </c>
      <c r="U7242" t="s">
        <v>26604</v>
      </c>
      <c r="W7242" t="s">
        <v>802</v>
      </c>
      <c r="X7242">
        <v>2086</v>
      </c>
      <c r="Y7242" t="s">
        <v>26654</v>
      </c>
      <c r="Z7242" t="s">
        <v>26671</v>
      </c>
      <c r="AB7242" t="s">
        <v>32143</v>
      </c>
      <c r="AD7242" t="s">
        <v>42488</v>
      </c>
      <c r="AE7242">
        <v>454</v>
      </c>
      <c r="AF7242" t="s">
        <v>45541</v>
      </c>
      <c r="AG7242" t="s">
        <v>19330</v>
      </c>
      <c r="AH7242">
        <v>-1</v>
      </c>
      <c r="AI7242">
        <v>2</v>
      </c>
      <c r="AJ7242">
        <v>2</v>
      </c>
      <c r="AK7242">
        <v>70.68000000000001</v>
      </c>
      <c r="AL7242" t="s">
        <v>45567</v>
      </c>
      <c r="AM7242" t="s">
        <v>45577</v>
      </c>
      <c r="AN7242" t="s">
        <v>7439</v>
      </c>
      <c r="AO7242">
        <v>18200</v>
      </c>
      <c r="AU7242">
        <v>2.2</v>
      </c>
      <c r="AV7242" t="s">
        <v>839</v>
      </c>
      <c r="AW7242" t="s">
        <v>46883</v>
      </c>
    </row>
    <row r="7243" spans="1:50">
      <c r="A7243" s="1">
        <f>HYPERLINK("https://lsnyc.legalserver.org/matter/dynamic-profile/view/1896465","19-1896465")</f>
        <v>0</v>
      </c>
      <c r="B7243" t="s">
        <v>212</v>
      </c>
      <c r="C7243" t="s">
        <v>340</v>
      </c>
      <c r="D7243" t="s">
        <v>802</v>
      </c>
      <c r="F7243" t="s">
        <v>1234</v>
      </c>
      <c r="G7243" t="s">
        <v>8259</v>
      </c>
      <c r="H7243" t="s">
        <v>14551</v>
      </c>
      <c r="I7243" t="s">
        <v>17925</v>
      </c>
      <c r="J7243" t="s">
        <v>18898</v>
      </c>
      <c r="K7243">
        <v>11691</v>
      </c>
      <c r="L7243" t="s">
        <v>18958</v>
      </c>
      <c r="M7243" t="s">
        <v>18958</v>
      </c>
      <c r="O7243" t="s">
        <v>26534</v>
      </c>
      <c r="P7243" t="s">
        <v>26561</v>
      </c>
      <c r="R7243" t="s">
        <v>26578</v>
      </c>
      <c r="S7243" t="s">
        <v>18958</v>
      </c>
      <c r="U7243" t="s">
        <v>26604</v>
      </c>
      <c r="W7243" t="s">
        <v>802</v>
      </c>
      <c r="X7243">
        <v>540</v>
      </c>
      <c r="Y7243" t="s">
        <v>26653</v>
      </c>
      <c r="AB7243" t="s">
        <v>32144</v>
      </c>
      <c r="AD7243" t="s">
        <v>42489</v>
      </c>
      <c r="AE7243">
        <v>43</v>
      </c>
      <c r="AH7243">
        <v>40</v>
      </c>
      <c r="AI7243">
        <v>2</v>
      </c>
      <c r="AJ7243">
        <v>0</v>
      </c>
      <c r="AK7243">
        <v>299.49</v>
      </c>
      <c r="AO7243">
        <v>50644</v>
      </c>
      <c r="AU7243">
        <v>0</v>
      </c>
      <c r="AW7243" t="s">
        <v>46884</v>
      </c>
    </row>
    <row r="7244" spans="1:50">
      <c r="A7244" s="1">
        <f>HYPERLINK("https://lsnyc.legalserver.org/matter/dynamic-profile/view/1896466","19-1896466")</f>
        <v>0</v>
      </c>
      <c r="B7244" t="s">
        <v>212</v>
      </c>
      <c r="C7244" t="s">
        <v>340</v>
      </c>
      <c r="D7244" t="s">
        <v>802</v>
      </c>
      <c r="F7244" t="s">
        <v>1234</v>
      </c>
      <c r="G7244" t="s">
        <v>8259</v>
      </c>
      <c r="H7244" t="s">
        <v>14551</v>
      </c>
      <c r="I7244" t="s">
        <v>17925</v>
      </c>
      <c r="J7244" t="s">
        <v>18898</v>
      </c>
      <c r="K7244">
        <v>11691</v>
      </c>
      <c r="L7244" t="s">
        <v>18958</v>
      </c>
      <c r="M7244" t="s">
        <v>18958</v>
      </c>
      <c r="O7244" t="s">
        <v>26529</v>
      </c>
      <c r="P7244" t="s">
        <v>26565</v>
      </c>
      <c r="R7244" t="s">
        <v>26578</v>
      </c>
      <c r="S7244" t="s">
        <v>18958</v>
      </c>
      <c r="U7244" t="s">
        <v>26604</v>
      </c>
      <c r="W7244" t="s">
        <v>802</v>
      </c>
      <c r="X7244">
        <v>540</v>
      </c>
      <c r="Y7244" t="s">
        <v>26653</v>
      </c>
      <c r="Z7244" t="s">
        <v>26664</v>
      </c>
      <c r="AB7244" t="s">
        <v>32144</v>
      </c>
      <c r="AD7244" t="s">
        <v>42489</v>
      </c>
      <c r="AE7244">
        <v>43</v>
      </c>
      <c r="AH7244">
        <v>40</v>
      </c>
      <c r="AI7244">
        <v>2</v>
      </c>
      <c r="AJ7244">
        <v>0</v>
      </c>
      <c r="AK7244">
        <v>299.49</v>
      </c>
      <c r="AN7244" t="s">
        <v>7439</v>
      </c>
      <c r="AO7244">
        <v>50644</v>
      </c>
      <c r="AU7244">
        <v>0</v>
      </c>
      <c r="AW7244" t="s">
        <v>46884</v>
      </c>
    </row>
    <row r="7245" spans="1:50">
      <c r="A7245" s="1">
        <f>HYPERLINK("https://lsnyc.legalserver.org/matter/dynamic-profile/view/1896494","19-1896494")</f>
        <v>0</v>
      </c>
      <c r="B7245" t="s">
        <v>82</v>
      </c>
      <c r="C7245" t="s">
        <v>340</v>
      </c>
      <c r="D7245" t="s">
        <v>802</v>
      </c>
      <c r="F7245" t="s">
        <v>3903</v>
      </c>
      <c r="G7245" t="s">
        <v>8260</v>
      </c>
      <c r="H7245" t="s">
        <v>14647</v>
      </c>
      <c r="I7245" t="s">
        <v>18444</v>
      </c>
      <c r="J7245" t="s">
        <v>18892</v>
      </c>
      <c r="K7245">
        <v>10461</v>
      </c>
      <c r="L7245" t="s">
        <v>18958</v>
      </c>
      <c r="M7245" t="s">
        <v>18958</v>
      </c>
      <c r="N7245" t="s">
        <v>24127</v>
      </c>
      <c r="O7245" t="s">
        <v>26524</v>
      </c>
      <c r="P7245" t="s">
        <v>26560</v>
      </c>
      <c r="R7245" t="s">
        <v>26577</v>
      </c>
      <c r="S7245" t="s">
        <v>18959</v>
      </c>
      <c r="U7245" t="s">
        <v>26604</v>
      </c>
      <c r="V7245" t="s">
        <v>26610</v>
      </c>
      <c r="W7245" t="s">
        <v>802</v>
      </c>
      <c r="X7245">
        <v>2004.19</v>
      </c>
      <c r="Y7245" t="s">
        <v>26650</v>
      </c>
      <c r="Z7245" t="s">
        <v>26670</v>
      </c>
      <c r="AB7245" t="s">
        <v>32145</v>
      </c>
      <c r="AD7245" t="s">
        <v>42490</v>
      </c>
      <c r="AE7245">
        <v>0</v>
      </c>
      <c r="AF7245" t="s">
        <v>45541</v>
      </c>
      <c r="AG7245" t="s">
        <v>19330</v>
      </c>
      <c r="AH7245">
        <v>11</v>
      </c>
      <c r="AI7245">
        <v>1</v>
      </c>
      <c r="AJ7245">
        <v>0</v>
      </c>
      <c r="AK7245">
        <v>0</v>
      </c>
      <c r="AN7245" t="s">
        <v>7439</v>
      </c>
      <c r="AO7245">
        <v>0</v>
      </c>
      <c r="AU7245">
        <v>1.85</v>
      </c>
      <c r="AV7245" t="s">
        <v>770</v>
      </c>
      <c r="AW7245" t="s">
        <v>46836</v>
      </c>
    </row>
    <row r="7246" spans="1:50">
      <c r="A7246" s="1">
        <f>HYPERLINK("https://lsnyc.legalserver.org/matter/dynamic-profile/view/1896592","19-1896592")</f>
        <v>0</v>
      </c>
      <c r="B7246" t="s">
        <v>161</v>
      </c>
      <c r="C7246" t="s">
        <v>340</v>
      </c>
      <c r="D7246" t="s">
        <v>802</v>
      </c>
      <c r="F7246" t="s">
        <v>3904</v>
      </c>
      <c r="G7246" t="s">
        <v>8261</v>
      </c>
      <c r="H7246" t="s">
        <v>14648</v>
      </c>
      <c r="I7246" t="s">
        <v>18445</v>
      </c>
      <c r="J7246" t="s">
        <v>18894</v>
      </c>
      <c r="K7246">
        <v>11221</v>
      </c>
      <c r="L7246" t="s">
        <v>18958</v>
      </c>
      <c r="M7246" t="s">
        <v>18958</v>
      </c>
      <c r="N7246" t="s">
        <v>18997</v>
      </c>
      <c r="O7246" t="s">
        <v>26531</v>
      </c>
      <c r="P7246" t="s">
        <v>26562</v>
      </c>
      <c r="R7246" t="s">
        <v>26586</v>
      </c>
      <c r="S7246" t="s">
        <v>18959</v>
      </c>
      <c r="U7246" t="s">
        <v>26605</v>
      </c>
      <c r="V7246" t="s">
        <v>26610</v>
      </c>
      <c r="W7246" t="s">
        <v>802</v>
      </c>
      <c r="X7246">
        <v>153</v>
      </c>
      <c r="Y7246" t="s">
        <v>26652</v>
      </c>
      <c r="Z7246" t="s">
        <v>26664</v>
      </c>
      <c r="AB7246" t="s">
        <v>32146</v>
      </c>
      <c r="AD7246" t="s">
        <v>37505</v>
      </c>
      <c r="AE7246">
        <v>12</v>
      </c>
      <c r="AF7246" t="s">
        <v>45549</v>
      </c>
      <c r="AG7246" t="s">
        <v>19330</v>
      </c>
      <c r="AH7246">
        <v>25</v>
      </c>
      <c r="AI7246">
        <v>1</v>
      </c>
      <c r="AJ7246">
        <v>0</v>
      </c>
      <c r="AK7246">
        <v>71.09999999999999</v>
      </c>
      <c r="AN7246" t="s">
        <v>45581</v>
      </c>
      <c r="AO7246">
        <v>8880</v>
      </c>
      <c r="AU7246">
        <v>3</v>
      </c>
      <c r="AV7246" t="s">
        <v>797</v>
      </c>
      <c r="AW7246" t="s">
        <v>288</v>
      </c>
    </row>
    <row r="7247" spans="1:50">
      <c r="A7247" s="1">
        <f>HYPERLINK("https://lsnyc.legalserver.org/matter/dynamic-profile/view/1896483","19-1896483")</f>
        <v>0</v>
      </c>
      <c r="B7247" t="s">
        <v>51</v>
      </c>
      <c r="C7247" t="s">
        <v>340</v>
      </c>
      <c r="D7247" t="s">
        <v>802</v>
      </c>
      <c r="F7247" t="s">
        <v>1250</v>
      </c>
      <c r="G7247" t="s">
        <v>5925</v>
      </c>
      <c r="H7247" t="s">
        <v>14649</v>
      </c>
      <c r="I7247" t="s">
        <v>17322</v>
      </c>
      <c r="J7247" t="s">
        <v>18892</v>
      </c>
      <c r="K7247">
        <v>10458</v>
      </c>
      <c r="L7247" t="s">
        <v>18958</v>
      </c>
      <c r="M7247" t="s">
        <v>18958</v>
      </c>
      <c r="N7247" t="s">
        <v>24128</v>
      </c>
      <c r="O7247" t="s">
        <v>26523</v>
      </c>
      <c r="P7247" t="s">
        <v>26560</v>
      </c>
      <c r="R7247" t="s">
        <v>26577</v>
      </c>
      <c r="S7247" t="s">
        <v>18959</v>
      </c>
      <c r="T7247" t="s">
        <v>26577</v>
      </c>
      <c r="U7247" t="s">
        <v>26604</v>
      </c>
      <c r="V7247" t="s">
        <v>26610</v>
      </c>
      <c r="W7247" t="s">
        <v>802</v>
      </c>
      <c r="X7247">
        <v>1260</v>
      </c>
      <c r="Y7247" t="s">
        <v>26650</v>
      </c>
      <c r="Z7247" t="s">
        <v>26659</v>
      </c>
      <c r="AB7247" t="s">
        <v>32147</v>
      </c>
      <c r="AC7247" t="s">
        <v>36293</v>
      </c>
      <c r="AD7247" t="s">
        <v>42491</v>
      </c>
      <c r="AE7247">
        <v>20</v>
      </c>
      <c r="AF7247" t="s">
        <v>45541</v>
      </c>
      <c r="AG7247" t="s">
        <v>45560</v>
      </c>
      <c r="AH7247">
        <v>5</v>
      </c>
      <c r="AI7247">
        <v>1</v>
      </c>
      <c r="AJ7247">
        <v>0</v>
      </c>
      <c r="AK7247">
        <v>107.8</v>
      </c>
      <c r="AN7247" t="s">
        <v>7439</v>
      </c>
      <c r="AO7247">
        <v>13464</v>
      </c>
      <c r="AU7247">
        <v>10</v>
      </c>
      <c r="AV7247" t="s">
        <v>835</v>
      </c>
      <c r="AW7247" t="s">
        <v>46858</v>
      </c>
    </row>
    <row r="7248" spans="1:50">
      <c r="A7248" s="1">
        <f>HYPERLINK("https://lsnyc.legalserver.org/matter/dynamic-profile/view/1896596","19-1896596")</f>
        <v>0</v>
      </c>
      <c r="B7248" t="s">
        <v>59</v>
      </c>
      <c r="C7248" t="s">
        <v>340</v>
      </c>
      <c r="D7248" t="s">
        <v>802</v>
      </c>
      <c r="F7248" t="s">
        <v>3774</v>
      </c>
      <c r="G7248" t="s">
        <v>6684</v>
      </c>
      <c r="H7248" t="s">
        <v>14650</v>
      </c>
      <c r="I7248" t="s">
        <v>18446</v>
      </c>
      <c r="J7248" t="s">
        <v>18893</v>
      </c>
      <c r="K7248">
        <v>10027</v>
      </c>
      <c r="L7248" t="s">
        <v>18958</v>
      </c>
      <c r="M7248" t="s">
        <v>18958</v>
      </c>
      <c r="N7248" t="s">
        <v>24129</v>
      </c>
      <c r="O7248" t="s">
        <v>26523</v>
      </c>
      <c r="P7248" t="s">
        <v>26560</v>
      </c>
      <c r="R7248" t="s">
        <v>26580</v>
      </c>
      <c r="S7248" t="s">
        <v>18959</v>
      </c>
      <c r="U7248" t="s">
        <v>26605</v>
      </c>
      <c r="W7248" t="s">
        <v>802</v>
      </c>
      <c r="X7248">
        <v>470</v>
      </c>
      <c r="Y7248" t="s">
        <v>26651</v>
      </c>
      <c r="Z7248" t="s">
        <v>26664</v>
      </c>
      <c r="AB7248" t="s">
        <v>27892</v>
      </c>
      <c r="AD7248" t="s">
        <v>42492</v>
      </c>
      <c r="AE7248">
        <v>0</v>
      </c>
      <c r="AF7248" t="s">
        <v>45543</v>
      </c>
      <c r="AG7248" t="s">
        <v>45556</v>
      </c>
      <c r="AH7248">
        <v>10</v>
      </c>
      <c r="AI7248">
        <v>2</v>
      </c>
      <c r="AJ7248">
        <v>0</v>
      </c>
      <c r="AK7248">
        <v>114.05</v>
      </c>
      <c r="AN7248" t="s">
        <v>45581</v>
      </c>
      <c r="AO7248">
        <v>19286</v>
      </c>
      <c r="AU7248">
        <v>8.949999999999999</v>
      </c>
      <c r="AV7248" t="s">
        <v>821</v>
      </c>
      <c r="AW7248" t="s">
        <v>46875</v>
      </c>
    </row>
    <row r="7249" spans="1:50">
      <c r="A7249" s="1">
        <f>HYPERLINK("https://lsnyc.legalserver.org/matter/dynamic-profile/view/1896471","19-1896471")</f>
        <v>0</v>
      </c>
      <c r="B7249" t="s">
        <v>235</v>
      </c>
      <c r="C7249" t="s">
        <v>340</v>
      </c>
      <c r="D7249" t="s">
        <v>802</v>
      </c>
      <c r="F7249" t="s">
        <v>1614</v>
      </c>
      <c r="G7249" t="s">
        <v>8262</v>
      </c>
      <c r="H7249" t="s">
        <v>14651</v>
      </c>
      <c r="I7249" t="s">
        <v>17301</v>
      </c>
      <c r="J7249" t="s">
        <v>18928</v>
      </c>
      <c r="K7249">
        <v>11365</v>
      </c>
      <c r="L7249" t="s">
        <v>18958</v>
      </c>
      <c r="M7249" t="s">
        <v>18958</v>
      </c>
      <c r="N7249" t="s">
        <v>24130</v>
      </c>
      <c r="O7249" t="s">
        <v>26523</v>
      </c>
      <c r="P7249" t="s">
        <v>26564</v>
      </c>
      <c r="R7249" t="s">
        <v>26584</v>
      </c>
      <c r="S7249" t="s">
        <v>18959</v>
      </c>
      <c r="U7249" t="s">
        <v>26604</v>
      </c>
      <c r="W7249" t="s">
        <v>802</v>
      </c>
      <c r="X7249">
        <v>1010</v>
      </c>
      <c r="Y7249" t="s">
        <v>26653</v>
      </c>
      <c r="Z7249" t="s">
        <v>26664</v>
      </c>
      <c r="AB7249" t="s">
        <v>27720</v>
      </c>
      <c r="AC7249" t="s">
        <v>36294</v>
      </c>
      <c r="AD7249" t="s">
        <v>42493</v>
      </c>
      <c r="AE7249">
        <v>0</v>
      </c>
      <c r="AF7249" t="s">
        <v>45553</v>
      </c>
      <c r="AG7249" t="s">
        <v>19330</v>
      </c>
      <c r="AH7249">
        <v>54</v>
      </c>
      <c r="AI7249">
        <v>1</v>
      </c>
      <c r="AJ7249">
        <v>0</v>
      </c>
      <c r="AK7249">
        <v>76.86</v>
      </c>
      <c r="AN7249" t="s">
        <v>7439</v>
      </c>
      <c r="AO7249">
        <v>9600</v>
      </c>
      <c r="AU7249">
        <v>2</v>
      </c>
      <c r="AV7249" t="s">
        <v>814</v>
      </c>
      <c r="AW7249" t="s">
        <v>208</v>
      </c>
    </row>
    <row r="7250" spans="1:50">
      <c r="A7250" s="1">
        <f>HYPERLINK("https://lsnyc.legalserver.org/matter/dynamic-profile/view/1896524","19-1896524")</f>
        <v>0</v>
      </c>
      <c r="B7250" t="s">
        <v>235</v>
      </c>
      <c r="C7250" t="s">
        <v>340</v>
      </c>
      <c r="D7250" t="s">
        <v>802</v>
      </c>
      <c r="F7250" t="s">
        <v>887</v>
      </c>
      <c r="G7250" t="s">
        <v>5078</v>
      </c>
      <c r="H7250" t="s">
        <v>14652</v>
      </c>
      <c r="J7250" t="s">
        <v>18901</v>
      </c>
      <c r="K7250">
        <v>11433</v>
      </c>
      <c r="L7250" t="s">
        <v>18958</v>
      </c>
      <c r="M7250" t="s">
        <v>18958</v>
      </c>
      <c r="N7250" t="s">
        <v>24131</v>
      </c>
      <c r="O7250" t="s">
        <v>26524</v>
      </c>
      <c r="P7250" t="s">
        <v>26565</v>
      </c>
      <c r="R7250" t="s">
        <v>26585</v>
      </c>
      <c r="S7250" t="s">
        <v>18959</v>
      </c>
      <c r="U7250" t="s">
        <v>26604</v>
      </c>
      <c r="W7250" t="s">
        <v>802</v>
      </c>
      <c r="X7250">
        <v>0</v>
      </c>
      <c r="Y7250" t="s">
        <v>26653</v>
      </c>
      <c r="Z7250" t="s">
        <v>26664</v>
      </c>
      <c r="AB7250" t="s">
        <v>32148</v>
      </c>
      <c r="AD7250" t="s">
        <v>42494</v>
      </c>
      <c r="AE7250">
        <v>2</v>
      </c>
      <c r="AF7250" t="s">
        <v>45547</v>
      </c>
      <c r="AG7250" t="s">
        <v>19330</v>
      </c>
      <c r="AH7250">
        <v>2</v>
      </c>
      <c r="AI7250">
        <v>3</v>
      </c>
      <c r="AJ7250">
        <v>1</v>
      </c>
      <c r="AK7250">
        <v>139.81</v>
      </c>
      <c r="AN7250" t="s">
        <v>7439</v>
      </c>
      <c r="AO7250">
        <v>36000</v>
      </c>
      <c r="AU7250">
        <v>2.05</v>
      </c>
      <c r="AV7250" t="s">
        <v>760</v>
      </c>
      <c r="AW7250" t="s">
        <v>208</v>
      </c>
    </row>
    <row r="7251" spans="1:50">
      <c r="A7251" s="1">
        <f>HYPERLINK("https://lsnyc.legalserver.org/matter/dynamic-profile/view/1896491","19-1896491")</f>
        <v>0</v>
      </c>
      <c r="B7251" t="s">
        <v>235</v>
      </c>
      <c r="C7251" t="s">
        <v>340</v>
      </c>
      <c r="D7251" t="s">
        <v>802</v>
      </c>
      <c r="F7251" t="s">
        <v>3905</v>
      </c>
      <c r="G7251" t="s">
        <v>5138</v>
      </c>
      <c r="H7251" t="s">
        <v>12786</v>
      </c>
      <c r="I7251">
        <v>229</v>
      </c>
      <c r="J7251" t="s">
        <v>18906</v>
      </c>
      <c r="K7251">
        <v>11373</v>
      </c>
      <c r="L7251" t="s">
        <v>18958</v>
      </c>
      <c r="M7251" t="s">
        <v>18958</v>
      </c>
      <c r="N7251" t="s">
        <v>24132</v>
      </c>
      <c r="O7251" t="s">
        <v>26523</v>
      </c>
      <c r="P7251" t="s">
        <v>26560</v>
      </c>
      <c r="R7251" t="s">
        <v>26585</v>
      </c>
      <c r="S7251" t="s">
        <v>18959</v>
      </c>
      <c r="U7251" t="s">
        <v>26604</v>
      </c>
      <c r="W7251" t="s">
        <v>802</v>
      </c>
      <c r="X7251">
        <v>1224</v>
      </c>
      <c r="Y7251" t="s">
        <v>26653</v>
      </c>
      <c r="Z7251" t="s">
        <v>26664</v>
      </c>
      <c r="AB7251" t="s">
        <v>31690</v>
      </c>
      <c r="AC7251" t="s">
        <v>36295</v>
      </c>
      <c r="AD7251" t="s">
        <v>42495</v>
      </c>
      <c r="AE7251">
        <v>0</v>
      </c>
      <c r="AF7251" t="s">
        <v>20460</v>
      </c>
      <c r="AG7251" t="s">
        <v>19330</v>
      </c>
      <c r="AH7251">
        <v>2</v>
      </c>
      <c r="AI7251">
        <v>1</v>
      </c>
      <c r="AJ7251">
        <v>1</v>
      </c>
      <c r="AK7251">
        <v>173.72</v>
      </c>
      <c r="AN7251" t="s">
        <v>7439</v>
      </c>
      <c r="AO7251">
        <v>29376</v>
      </c>
      <c r="AU7251">
        <v>23.45</v>
      </c>
      <c r="AV7251" t="s">
        <v>838</v>
      </c>
      <c r="AW7251" t="s">
        <v>208</v>
      </c>
      <c r="AX7251" t="s">
        <v>46897</v>
      </c>
    </row>
    <row r="7252" spans="1:50">
      <c r="A7252" s="1">
        <f>HYPERLINK("https://lsnyc.legalserver.org/matter/dynamic-profile/view/1902257","19-1902257")</f>
        <v>0</v>
      </c>
      <c r="B7252" t="s">
        <v>282</v>
      </c>
      <c r="C7252" t="s">
        <v>340</v>
      </c>
      <c r="D7252" t="s">
        <v>772</v>
      </c>
      <c r="F7252" t="s">
        <v>1442</v>
      </c>
      <c r="G7252" t="s">
        <v>8263</v>
      </c>
      <c r="H7252" t="s">
        <v>14653</v>
      </c>
      <c r="I7252" t="s">
        <v>17416</v>
      </c>
      <c r="J7252" t="s">
        <v>18899</v>
      </c>
      <c r="K7252">
        <v>11385</v>
      </c>
      <c r="L7252" t="s">
        <v>18960</v>
      </c>
      <c r="M7252" t="s">
        <v>18960</v>
      </c>
      <c r="N7252" t="s">
        <v>24133</v>
      </c>
      <c r="O7252" t="s">
        <v>26523</v>
      </c>
      <c r="P7252" t="s">
        <v>26560</v>
      </c>
      <c r="R7252" t="s">
        <v>26584</v>
      </c>
      <c r="S7252" t="s">
        <v>18959</v>
      </c>
      <c r="U7252" t="s">
        <v>26604</v>
      </c>
      <c r="V7252" t="s">
        <v>26611</v>
      </c>
      <c r="W7252" t="s">
        <v>802</v>
      </c>
      <c r="X7252">
        <v>800</v>
      </c>
      <c r="Y7252" t="s">
        <v>26653</v>
      </c>
      <c r="AB7252" t="s">
        <v>32149</v>
      </c>
      <c r="AC7252" t="s">
        <v>19330</v>
      </c>
      <c r="AD7252" t="s">
        <v>42496</v>
      </c>
      <c r="AE7252">
        <v>0</v>
      </c>
      <c r="AF7252" t="s">
        <v>45547</v>
      </c>
      <c r="AG7252" t="s">
        <v>19330</v>
      </c>
      <c r="AH7252">
        <v>0</v>
      </c>
      <c r="AI7252">
        <v>2</v>
      </c>
      <c r="AJ7252">
        <v>0</v>
      </c>
      <c r="AK7252">
        <v>206.98</v>
      </c>
      <c r="AN7252" t="s">
        <v>45581</v>
      </c>
      <c r="AO7252">
        <v>35000</v>
      </c>
      <c r="AU7252">
        <v>20.6</v>
      </c>
      <c r="AV7252" t="s">
        <v>836</v>
      </c>
      <c r="AW7252" t="s">
        <v>46846</v>
      </c>
      <c r="AX7252" t="s">
        <v>46897</v>
      </c>
    </row>
    <row r="7253" spans="1:50">
      <c r="A7253" s="1">
        <f>HYPERLINK("https://lsnyc.legalserver.org/matter/dynamic-profile/view/1888733","19-1888733")</f>
        <v>0</v>
      </c>
      <c r="B7253" t="s">
        <v>87</v>
      </c>
      <c r="C7253" t="s">
        <v>340</v>
      </c>
      <c r="D7253" t="s">
        <v>698</v>
      </c>
      <c r="F7253" t="s">
        <v>2240</v>
      </c>
      <c r="G7253" t="s">
        <v>8264</v>
      </c>
      <c r="H7253" t="s">
        <v>14654</v>
      </c>
      <c r="I7253" t="s">
        <v>17321</v>
      </c>
      <c r="J7253" t="s">
        <v>18892</v>
      </c>
      <c r="K7253">
        <v>10462</v>
      </c>
      <c r="L7253" t="s">
        <v>18958</v>
      </c>
      <c r="M7253" t="s">
        <v>18958</v>
      </c>
      <c r="N7253" t="s">
        <v>24134</v>
      </c>
      <c r="O7253" t="s">
        <v>26523</v>
      </c>
      <c r="P7253" t="s">
        <v>26560</v>
      </c>
      <c r="R7253" t="s">
        <v>26579</v>
      </c>
      <c r="S7253" t="s">
        <v>18959</v>
      </c>
      <c r="U7253" t="s">
        <v>26604</v>
      </c>
      <c r="W7253" t="s">
        <v>671</v>
      </c>
      <c r="X7253">
        <v>997.6</v>
      </c>
      <c r="Y7253" t="s">
        <v>26650</v>
      </c>
      <c r="Z7253" t="s">
        <v>26668</v>
      </c>
      <c r="AA7253" t="s">
        <v>26688</v>
      </c>
      <c r="AB7253" t="s">
        <v>32150</v>
      </c>
      <c r="AC7253" t="s">
        <v>36296</v>
      </c>
      <c r="AD7253" t="s">
        <v>42497</v>
      </c>
      <c r="AE7253">
        <v>0</v>
      </c>
      <c r="AF7253" t="s">
        <v>45541</v>
      </c>
      <c r="AG7253" t="s">
        <v>19330</v>
      </c>
      <c r="AH7253">
        <v>34</v>
      </c>
      <c r="AI7253">
        <v>1</v>
      </c>
      <c r="AJ7253">
        <v>0</v>
      </c>
      <c r="AK7253">
        <v>0</v>
      </c>
      <c r="AN7253" t="s">
        <v>7439</v>
      </c>
      <c r="AO7253">
        <v>0</v>
      </c>
      <c r="AU7253">
        <v>10.25</v>
      </c>
      <c r="AV7253" t="s">
        <v>809</v>
      </c>
      <c r="AW7253" t="s">
        <v>46832</v>
      </c>
      <c r="AX7253" t="s">
        <v>46898</v>
      </c>
    </row>
    <row r="7254" spans="1:50">
      <c r="A7254" s="1">
        <f>HYPERLINK("https://lsnyc.legalserver.org/matter/dynamic-profile/view/1894461","19-1894461")</f>
        <v>0</v>
      </c>
      <c r="B7254" t="s">
        <v>50</v>
      </c>
      <c r="C7254" t="s">
        <v>341</v>
      </c>
      <c r="D7254" t="s">
        <v>777</v>
      </c>
      <c r="E7254" t="s">
        <v>671</v>
      </c>
      <c r="F7254" t="s">
        <v>916</v>
      </c>
      <c r="G7254" t="s">
        <v>1938</v>
      </c>
      <c r="H7254" t="s">
        <v>14655</v>
      </c>
      <c r="I7254" t="s">
        <v>18447</v>
      </c>
      <c r="J7254" t="s">
        <v>18892</v>
      </c>
      <c r="K7254">
        <v>10452</v>
      </c>
      <c r="L7254" t="s">
        <v>18958</v>
      </c>
      <c r="M7254" t="s">
        <v>18958</v>
      </c>
      <c r="N7254" t="s">
        <v>24135</v>
      </c>
      <c r="O7254" t="s">
        <v>26524</v>
      </c>
      <c r="P7254" t="s">
        <v>26560</v>
      </c>
      <c r="Q7254" t="s">
        <v>26568</v>
      </c>
      <c r="R7254" t="s">
        <v>26577</v>
      </c>
      <c r="S7254" t="s">
        <v>18959</v>
      </c>
      <c r="U7254" t="s">
        <v>26604</v>
      </c>
      <c r="W7254" t="s">
        <v>671</v>
      </c>
      <c r="X7254">
        <v>400</v>
      </c>
      <c r="Y7254" t="s">
        <v>26650</v>
      </c>
      <c r="Z7254" t="s">
        <v>26530</v>
      </c>
      <c r="AA7254" t="s">
        <v>26687</v>
      </c>
      <c r="AB7254" t="s">
        <v>32151</v>
      </c>
      <c r="AD7254" t="s">
        <v>42498</v>
      </c>
      <c r="AE7254">
        <v>5</v>
      </c>
      <c r="AF7254" t="s">
        <v>45547</v>
      </c>
      <c r="AG7254" t="s">
        <v>19330</v>
      </c>
      <c r="AH7254">
        <v>3</v>
      </c>
      <c r="AI7254">
        <v>1</v>
      </c>
      <c r="AJ7254">
        <v>0</v>
      </c>
      <c r="AK7254">
        <v>81.47</v>
      </c>
      <c r="AN7254" t="s">
        <v>7439</v>
      </c>
      <c r="AO7254">
        <v>10176</v>
      </c>
      <c r="AR7254" t="s">
        <v>46380</v>
      </c>
      <c r="AS7254" t="s">
        <v>46500</v>
      </c>
      <c r="AT7254" t="s">
        <v>46674</v>
      </c>
      <c r="AU7254">
        <v>3.85</v>
      </c>
      <c r="AV7254" t="s">
        <v>671</v>
      </c>
      <c r="AW7254" t="s">
        <v>46871</v>
      </c>
    </row>
    <row r="7255" spans="1:50">
      <c r="A7255" s="1">
        <f>HYPERLINK("https://lsnyc.legalserver.org/matter/dynamic-profile/view/1896487","19-1896487")</f>
        <v>0</v>
      </c>
      <c r="B7255" t="s">
        <v>187</v>
      </c>
      <c r="C7255" t="s">
        <v>340</v>
      </c>
      <c r="D7255" t="s">
        <v>795</v>
      </c>
      <c r="F7255" t="s">
        <v>3877</v>
      </c>
      <c r="G7255" t="s">
        <v>5515</v>
      </c>
      <c r="H7255" t="s">
        <v>14656</v>
      </c>
      <c r="I7255" t="s">
        <v>18448</v>
      </c>
      <c r="J7255" t="s">
        <v>18892</v>
      </c>
      <c r="K7255">
        <v>10467</v>
      </c>
      <c r="L7255" t="s">
        <v>18958</v>
      </c>
      <c r="M7255" t="s">
        <v>18958</v>
      </c>
      <c r="N7255" t="s">
        <v>24136</v>
      </c>
      <c r="O7255" t="s">
        <v>26523</v>
      </c>
      <c r="P7255" t="s">
        <v>26560</v>
      </c>
      <c r="R7255" t="s">
        <v>26579</v>
      </c>
      <c r="S7255" t="s">
        <v>18959</v>
      </c>
      <c r="U7255" t="s">
        <v>26604</v>
      </c>
      <c r="V7255" t="s">
        <v>26611</v>
      </c>
      <c r="W7255" t="s">
        <v>671</v>
      </c>
      <c r="X7255">
        <v>1065.87</v>
      </c>
      <c r="Y7255" t="s">
        <v>26650</v>
      </c>
      <c r="Z7255" t="s">
        <v>26668</v>
      </c>
      <c r="AB7255" t="s">
        <v>29468</v>
      </c>
      <c r="AC7255" t="s">
        <v>36297</v>
      </c>
      <c r="AD7255" t="s">
        <v>42499</v>
      </c>
      <c r="AE7255">
        <v>0</v>
      </c>
      <c r="AF7255" t="s">
        <v>45541</v>
      </c>
      <c r="AG7255" t="s">
        <v>19330</v>
      </c>
      <c r="AH7255">
        <v>2</v>
      </c>
      <c r="AI7255">
        <v>1</v>
      </c>
      <c r="AJ7255">
        <v>0</v>
      </c>
      <c r="AK7255">
        <v>0</v>
      </c>
      <c r="AN7255" t="s">
        <v>7439</v>
      </c>
      <c r="AO7255">
        <v>0</v>
      </c>
      <c r="AU7255">
        <v>3.9</v>
      </c>
      <c r="AV7255" t="s">
        <v>770</v>
      </c>
      <c r="AW7255" t="s">
        <v>329</v>
      </c>
    </row>
    <row r="7256" spans="1:50">
      <c r="A7256" s="1">
        <f>HYPERLINK("https://lsnyc.legalserver.org/matter/dynamic-profile/view/1896422","19-1896422")</f>
        <v>0</v>
      </c>
      <c r="B7256" t="s">
        <v>187</v>
      </c>
      <c r="C7256" t="s">
        <v>340</v>
      </c>
      <c r="D7256" t="s">
        <v>795</v>
      </c>
      <c r="F7256" t="s">
        <v>3906</v>
      </c>
      <c r="G7256" t="s">
        <v>7383</v>
      </c>
      <c r="H7256" t="s">
        <v>14657</v>
      </c>
      <c r="I7256" t="s">
        <v>17276</v>
      </c>
      <c r="J7256" t="s">
        <v>18892</v>
      </c>
      <c r="K7256">
        <v>10457</v>
      </c>
      <c r="L7256" t="s">
        <v>18958</v>
      </c>
      <c r="M7256" t="s">
        <v>18958</v>
      </c>
      <c r="N7256" t="s">
        <v>24137</v>
      </c>
      <c r="O7256" t="s">
        <v>26523</v>
      </c>
      <c r="P7256" t="s">
        <v>26560</v>
      </c>
      <c r="R7256" t="s">
        <v>26579</v>
      </c>
      <c r="S7256" t="s">
        <v>18959</v>
      </c>
      <c r="U7256" t="s">
        <v>26604</v>
      </c>
      <c r="V7256" t="s">
        <v>26610</v>
      </c>
      <c r="W7256" t="s">
        <v>671</v>
      </c>
      <c r="X7256">
        <v>1176.56</v>
      </c>
      <c r="Y7256" t="s">
        <v>26650</v>
      </c>
      <c r="Z7256" t="s">
        <v>26668</v>
      </c>
      <c r="AB7256" t="s">
        <v>32152</v>
      </c>
      <c r="AD7256" t="s">
        <v>42500</v>
      </c>
      <c r="AE7256">
        <v>0</v>
      </c>
      <c r="AF7256" t="s">
        <v>45541</v>
      </c>
      <c r="AG7256" t="s">
        <v>19330</v>
      </c>
      <c r="AH7256">
        <v>7</v>
      </c>
      <c r="AI7256">
        <v>1</v>
      </c>
      <c r="AJ7256">
        <v>0</v>
      </c>
      <c r="AK7256">
        <v>114.49</v>
      </c>
      <c r="AN7256" t="s">
        <v>7439</v>
      </c>
      <c r="AO7256">
        <v>14300</v>
      </c>
      <c r="AU7256">
        <v>1.3</v>
      </c>
      <c r="AV7256" t="s">
        <v>838</v>
      </c>
      <c r="AW7256" t="s">
        <v>46832</v>
      </c>
    </row>
    <row r="7257" spans="1:50">
      <c r="A7257" s="1">
        <f>HYPERLINK("https://lsnyc.legalserver.org/matter/dynamic-profile/view/1896611","19-1896611")</f>
        <v>0</v>
      </c>
      <c r="B7257" t="s">
        <v>107</v>
      </c>
      <c r="C7257" t="s">
        <v>341</v>
      </c>
      <c r="D7257" t="s">
        <v>671</v>
      </c>
      <c r="E7257" t="s">
        <v>729</v>
      </c>
      <c r="F7257" t="s">
        <v>3907</v>
      </c>
      <c r="G7257" t="s">
        <v>8265</v>
      </c>
      <c r="H7257" t="s">
        <v>14658</v>
      </c>
      <c r="J7257" t="s">
        <v>18939</v>
      </c>
      <c r="K7257">
        <v>11423</v>
      </c>
      <c r="L7257" t="s">
        <v>18958</v>
      </c>
      <c r="M7257" t="s">
        <v>18958</v>
      </c>
      <c r="N7257" t="s">
        <v>24138</v>
      </c>
      <c r="O7257" t="s">
        <v>26523</v>
      </c>
      <c r="P7257" t="s">
        <v>26560</v>
      </c>
      <c r="Q7257" t="s">
        <v>26568</v>
      </c>
      <c r="R7257" t="s">
        <v>26584</v>
      </c>
      <c r="S7257" t="s">
        <v>18959</v>
      </c>
      <c r="U7257" t="s">
        <v>26604</v>
      </c>
      <c r="V7257" t="s">
        <v>26610</v>
      </c>
      <c r="W7257" t="s">
        <v>671</v>
      </c>
      <c r="X7257">
        <v>1950</v>
      </c>
      <c r="Y7257" t="s">
        <v>26653</v>
      </c>
      <c r="Z7257" t="s">
        <v>26664</v>
      </c>
      <c r="AA7257" t="s">
        <v>26678</v>
      </c>
      <c r="AB7257" t="s">
        <v>32153</v>
      </c>
      <c r="AC7257" t="s">
        <v>36298</v>
      </c>
      <c r="AD7257" t="s">
        <v>42501</v>
      </c>
      <c r="AE7257">
        <v>3</v>
      </c>
      <c r="AF7257" t="s">
        <v>45547</v>
      </c>
      <c r="AG7257" t="s">
        <v>19330</v>
      </c>
      <c r="AH7257">
        <v>1</v>
      </c>
      <c r="AI7257">
        <v>1</v>
      </c>
      <c r="AJ7257">
        <v>2</v>
      </c>
      <c r="AK7257">
        <v>17.67</v>
      </c>
      <c r="AN7257" t="s">
        <v>7439</v>
      </c>
      <c r="AO7257">
        <v>3770</v>
      </c>
      <c r="AQ7257" t="s">
        <v>46362</v>
      </c>
      <c r="AR7257" t="s">
        <v>46422</v>
      </c>
      <c r="AS7257" t="s">
        <v>46499</v>
      </c>
      <c r="AT7257" t="s">
        <v>46803</v>
      </c>
      <c r="AU7257">
        <v>4.1</v>
      </c>
      <c r="AV7257" t="s">
        <v>822</v>
      </c>
      <c r="AW7257" t="s">
        <v>107</v>
      </c>
    </row>
    <row r="7258" spans="1:50">
      <c r="A7258" s="1">
        <f>HYPERLINK("https://lsnyc.legalserver.org/matter/dynamic-profile/view/1896696","19-1896696")</f>
        <v>0</v>
      </c>
      <c r="B7258" t="s">
        <v>108</v>
      </c>
      <c r="C7258" t="s">
        <v>341</v>
      </c>
      <c r="D7258" t="s">
        <v>671</v>
      </c>
      <c r="E7258" t="s">
        <v>820</v>
      </c>
      <c r="F7258" t="s">
        <v>3908</v>
      </c>
      <c r="G7258" t="s">
        <v>5590</v>
      </c>
      <c r="H7258" t="s">
        <v>14659</v>
      </c>
      <c r="I7258">
        <v>1</v>
      </c>
      <c r="J7258" t="s">
        <v>18919</v>
      </c>
      <c r="K7258">
        <v>11429</v>
      </c>
      <c r="L7258" t="s">
        <v>18958</v>
      </c>
      <c r="M7258" t="s">
        <v>18958</v>
      </c>
      <c r="N7258" t="s">
        <v>24139</v>
      </c>
      <c r="O7258" t="s">
        <v>26524</v>
      </c>
      <c r="P7258" t="s">
        <v>26560</v>
      </c>
      <c r="Q7258" t="s">
        <v>26568</v>
      </c>
      <c r="R7258" t="s">
        <v>26584</v>
      </c>
      <c r="S7258" t="s">
        <v>18959</v>
      </c>
      <c r="U7258" t="s">
        <v>26604</v>
      </c>
      <c r="V7258" t="s">
        <v>26610</v>
      </c>
      <c r="W7258" t="s">
        <v>671</v>
      </c>
      <c r="X7258">
        <v>2300</v>
      </c>
      <c r="Y7258" t="s">
        <v>26653</v>
      </c>
      <c r="Z7258" t="s">
        <v>26664</v>
      </c>
      <c r="AA7258" t="s">
        <v>26678</v>
      </c>
      <c r="AB7258" t="s">
        <v>32154</v>
      </c>
      <c r="AC7258" t="s">
        <v>36299</v>
      </c>
      <c r="AD7258" t="s">
        <v>42502</v>
      </c>
      <c r="AE7258">
        <v>2</v>
      </c>
      <c r="AF7258" t="s">
        <v>45547</v>
      </c>
      <c r="AG7258" t="s">
        <v>45556</v>
      </c>
      <c r="AH7258">
        <v>1</v>
      </c>
      <c r="AI7258">
        <v>3</v>
      </c>
      <c r="AJ7258">
        <v>4</v>
      </c>
      <c r="AK7258">
        <v>27.56</v>
      </c>
      <c r="AN7258" t="s">
        <v>7439</v>
      </c>
      <c r="AO7258">
        <v>10752</v>
      </c>
      <c r="AQ7258" t="s">
        <v>46361</v>
      </c>
      <c r="AR7258" t="s">
        <v>46380</v>
      </c>
      <c r="AS7258" t="s">
        <v>46499</v>
      </c>
      <c r="AT7258" t="s">
        <v>46710</v>
      </c>
      <c r="AU7258">
        <v>11</v>
      </c>
      <c r="AV7258" t="s">
        <v>820</v>
      </c>
      <c r="AW7258" t="s">
        <v>46884</v>
      </c>
      <c r="AX7258" t="s">
        <v>46897</v>
      </c>
    </row>
    <row r="7259" spans="1:50">
      <c r="A7259" s="1">
        <f>HYPERLINK("https://lsnyc.legalserver.org/matter/dynamic-profile/view/1896639","19-1896639")</f>
        <v>0</v>
      </c>
      <c r="B7259" t="s">
        <v>87</v>
      </c>
      <c r="C7259" t="s">
        <v>341</v>
      </c>
      <c r="D7259" t="s">
        <v>671</v>
      </c>
      <c r="E7259" t="s">
        <v>720</v>
      </c>
      <c r="F7259" t="s">
        <v>1397</v>
      </c>
      <c r="G7259" t="s">
        <v>8266</v>
      </c>
      <c r="H7259" t="s">
        <v>14660</v>
      </c>
      <c r="I7259" t="s">
        <v>17708</v>
      </c>
      <c r="J7259" t="s">
        <v>18892</v>
      </c>
      <c r="K7259">
        <v>10467</v>
      </c>
      <c r="L7259" t="s">
        <v>18958</v>
      </c>
      <c r="M7259" t="s">
        <v>18958</v>
      </c>
      <c r="N7259" t="s">
        <v>24140</v>
      </c>
      <c r="O7259" t="s">
        <v>26523</v>
      </c>
      <c r="P7259" t="s">
        <v>26560</v>
      </c>
      <c r="Q7259" t="s">
        <v>26568</v>
      </c>
      <c r="R7259" t="s">
        <v>26579</v>
      </c>
      <c r="S7259" t="s">
        <v>18959</v>
      </c>
      <c r="U7259" t="s">
        <v>26604</v>
      </c>
      <c r="V7259" t="s">
        <v>26610</v>
      </c>
      <c r="W7259" t="s">
        <v>671</v>
      </c>
      <c r="X7259">
        <v>1024.88</v>
      </c>
      <c r="Y7259" t="s">
        <v>26650</v>
      </c>
      <c r="Z7259" t="s">
        <v>26664</v>
      </c>
      <c r="AA7259" t="s">
        <v>26678</v>
      </c>
      <c r="AB7259" t="s">
        <v>32155</v>
      </c>
      <c r="AD7259" t="s">
        <v>42503</v>
      </c>
      <c r="AE7259">
        <v>0</v>
      </c>
      <c r="AF7259" t="s">
        <v>45541</v>
      </c>
      <c r="AH7259">
        <v>13</v>
      </c>
      <c r="AI7259">
        <v>1</v>
      </c>
      <c r="AJ7259">
        <v>0</v>
      </c>
      <c r="AK7259">
        <v>92.06999999999999</v>
      </c>
      <c r="AN7259" t="s">
        <v>7439</v>
      </c>
      <c r="AO7259">
        <v>11500</v>
      </c>
      <c r="AS7259" t="s">
        <v>46499</v>
      </c>
      <c r="AU7259">
        <v>7.5</v>
      </c>
      <c r="AV7259" t="s">
        <v>762</v>
      </c>
      <c r="AW7259" t="s">
        <v>334</v>
      </c>
    </row>
    <row r="7260" spans="1:50">
      <c r="A7260" s="1">
        <f>HYPERLINK("https://lsnyc.legalserver.org/matter/dynamic-profile/view/1896714","19-1896714")</f>
        <v>0</v>
      </c>
      <c r="B7260" t="s">
        <v>172</v>
      </c>
      <c r="C7260" t="s">
        <v>341</v>
      </c>
      <c r="D7260" t="s">
        <v>671</v>
      </c>
      <c r="E7260" t="s">
        <v>803</v>
      </c>
      <c r="F7260" t="s">
        <v>979</v>
      </c>
      <c r="G7260" t="s">
        <v>8267</v>
      </c>
      <c r="H7260" t="s">
        <v>14661</v>
      </c>
      <c r="I7260" t="s">
        <v>17309</v>
      </c>
      <c r="J7260" t="s">
        <v>18894</v>
      </c>
      <c r="K7260">
        <v>11226</v>
      </c>
      <c r="L7260" t="s">
        <v>18958</v>
      </c>
      <c r="M7260" t="s">
        <v>18960</v>
      </c>
      <c r="N7260" t="s">
        <v>24141</v>
      </c>
      <c r="O7260" t="s">
        <v>26524</v>
      </c>
      <c r="P7260" t="s">
        <v>26564</v>
      </c>
      <c r="Q7260" t="s">
        <v>26570</v>
      </c>
      <c r="R7260" t="s">
        <v>26588</v>
      </c>
      <c r="S7260" t="s">
        <v>18959</v>
      </c>
      <c r="U7260" t="s">
        <v>26604</v>
      </c>
      <c r="V7260" t="s">
        <v>26614</v>
      </c>
      <c r="W7260" t="s">
        <v>671</v>
      </c>
      <c r="X7260">
        <v>898.91</v>
      </c>
      <c r="Y7260" t="s">
        <v>26652</v>
      </c>
      <c r="Z7260" t="s">
        <v>26664</v>
      </c>
      <c r="AA7260" t="s">
        <v>26683</v>
      </c>
      <c r="AB7260" t="s">
        <v>32156</v>
      </c>
      <c r="AD7260" t="s">
        <v>42504</v>
      </c>
      <c r="AE7260">
        <v>0</v>
      </c>
      <c r="AF7260" t="s">
        <v>45541</v>
      </c>
      <c r="AG7260" t="s">
        <v>19330</v>
      </c>
      <c r="AH7260">
        <v>29</v>
      </c>
      <c r="AI7260">
        <v>3</v>
      </c>
      <c r="AJ7260">
        <v>0</v>
      </c>
      <c r="AK7260">
        <v>225.04</v>
      </c>
      <c r="AN7260" t="s">
        <v>7439</v>
      </c>
      <c r="AO7260">
        <v>48000</v>
      </c>
      <c r="AU7260">
        <v>2.5</v>
      </c>
      <c r="AV7260" t="s">
        <v>803</v>
      </c>
      <c r="AW7260" t="s">
        <v>288</v>
      </c>
    </row>
    <row r="7261" spans="1:50">
      <c r="A7261" s="1">
        <f>HYPERLINK("https://lsnyc.legalserver.org/matter/dynamic-profile/view/1896691","19-1896691")</f>
        <v>0</v>
      </c>
      <c r="B7261" t="s">
        <v>164</v>
      </c>
      <c r="C7261" t="s">
        <v>340</v>
      </c>
      <c r="D7261" t="s">
        <v>671</v>
      </c>
      <c r="F7261" t="s">
        <v>1555</v>
      </c>
      <c r="G7261" t="s">
        <v>5269</v>
      </c>
      <c r="H7261" t="s">
        <v>10433</v>
      </c>
      <c r="I7261">
        <v>919</v>
      </c>
      <c r="J7261" t="s">
        <v>18905</v>
      </c>
      <c r="K7261">
        <v>11692</v>
      </c>
      <c r="L7261" t="s">
        <v>18958</v>
      </c>
      <c r="M7261" t="s">
        <v>18958</v>
      </c>
      <c r="N7261" t="s">
        <v>24142</v>
      </c>
      <c r="O7261" t="s">
        <v>26523</v>
      </c>
      <c r="P7261" t="s">
        <v>26563</v>
      </c>
      <c r="R7261" t="s">
        <v>26578</v>
      </c>
      <c r="S7261" t="s">
        <v>18958</v>
      </c>
      <c r="U7261" t="s">
        <v>26604</v>
      </c>
      <c r="W7261" t="s">
        <v>671</v>
      </c>
      <c r="X7261">
        <v>1885</v>
      </c>
      <c r="Y7261" t="s">
        <v>26653</v>
      </c>
      <c r="Z7261" t="s">
        <v>26664</v>
      </c>
      <c r="AB7261" t="s">
        <v>32157</v>
      </c>
      <c r="AD7261" t="s">
        <v>42505</v>
      </c>
      <c r="AE7261">
        <v>100</v>
      </c>
      <c r="AH7261">
        <v>4</v>
      </c>
      <c r="AI7261">
        <v>2</v>
      </c>
      <c r="AJ7261">
        <v>2</v>
      </c>
      <c r="AK7261">
        <v>174.76</v>
      </c>
      <c r="AN7261" t="s">
        <v>7439</v>
      </c>
      <c r="AO7261">
        <v>45000</v>
      </c>
      <c r="AU7261">
        <v>3.55</v>
      </c>
      <c r="AV7261" t="s">
        <v>771</v>
      </c>
      <c r="AW7261" t="s">
        <v>46884</v>
      </c>
    </row>
    <row r="7262" spans="1:50">
      <c r="A7262" s="1">
        <f>HYPERLINK("https://lsnyc.legalserver.org/matter/dynamic-profile/view/1896717","19-1896717")</f>
        <v>0</v>
      </c>
      <c r="B7262" t="s">
        <v>276</v>
      </c>
      <c r="C7262" t="s">
        <v>340</v>
      </c>
      <c r="D7262" t="s">
        <v>671</v>
      </c>
      <c r="F7262" t="s">
        <v>3909</v>
      </c>
      <c r="G7262" t="s">
        <v>5402</v>
      </c>
      <c r="H7262" t="s">
        <v>14662</v>
      </c>
      <c r="I7262" t="s">
        <v>18449</v>
      </c>
      <c r="J7262" t="s">
        <v>18894</v>
      </c>
      <c r="K7262">
        <v>11220</v>
      </c>
      <c r="L7262" t="s">
        <v>18958</v>
      </c>
      <c r="M7262" t="s">
        <v>18958</v>
      </c>
      <c r="O7262" t="s">
        <v>26524</v>
      </c>
      <c r="P7262" t="s">
        <v>26563</v>
      </c>
      <c r="R7262" t="s">
        <v>26578</v>
      </c>
      <c r="U7262" t="s">
        <v>26604</v>
      </c>
      <c r="W7262" t="s">
        <v>671</v>
      </c>
      <c r="X7262">
        <v>995</v>
      </c>
      <c r="Y7262" t="s">
        <v>26652</v>
      </c>
      <c r="AB7262" t="s">
        <v>32158</v>
      </c>
      <c r="AE7262">
        <v>0</v>
      </c>
      <c r="AF7262" t="s">
        <v>45541</v>
      </c>
      <c r="AH7262">
        <v>25</v>
      </c>
      <c r="AI7262">
        <v>3</v>
      </c>
      <c r="AJ7262">
        <v>0</v>
      </c>
      <c r="AK7262">
        <v>135.96</v>
      </c>
      <c r="AN7262" t="s">
        <v>7439</v>
      </c>
      <c r="AO7262">
        <v>29000</v>
      </c>
      <c r="AU7262">
        <v>5.5</v>
      </c>
      <c r="AV7262" t="s">
        <v>809</v>
      </c>
      <c r="AW7262" t="s">
        <v>198</v>
      </c>
    </row>
    <row r="7263" spans="1:50">
      <c r="A7263" s="1">
        <f>HYPERLINK("https://lsnyc.legalserver.org/matter/dynamic-profile/view/1896713","19-1896713")</f>
        <v>0</v>
      </c>
      <c r="B7263" t="s">
        <v>276</v>
      </c>
      <c r="C7263" t="s">
        <v>340</v>
      </c>
      <c r="D7263" t="s">
        <v>671</v>
      </c>
      <c r="F7263" t="s">
        <v>3909</v>
      </c>
      <c r="G7263" t="s">
        <v>5402</v>
      </c>
      <c r="H7263" t="s">
        <v>14662</v>
      </c>
      <c r="I7263" t="s">
        <v>18449</v>
      </c>
      <c r="J7263" t="s">
        <v>18894</v>
      </c>
      <c r="K7263">
        <v>11220</v>
      </c>
      <c r="L7263" t="s">
        <v>18958</v>
      </c>
      <c r="M7263" t="s">
        <v>18958</v>
      </c>
      <c r="O7263" t="s">
        <v>26526</v>
      </c>
      <c r="P7263" t="s">
        <v>26560</v>
      </c>
      <c r="R7263" t="s">
        <v>26578</v>
      </c>
      <c r="U7263" t="s">
        <v>26604</v>
      </c>
      <c r="W7263" t="s">
        <v>671</v>
      </c>
      <c r="X7263">
        <v>995</v>
      </c>
      <c r="Y7263" t="s">
        <v>26652</v>
      </c>
      <c r="AB7263" t="s">
        <v>32158</v>
      </c>
      <c r="AE7263">
        <v>0</v>
      </c>
      <c r="AF7263" t="s">
        <v>45541</v>
      </c>
      <c r="AH7263">
        <v>25</v>
      </c>
      <c r="AI7263">
        <v>3</v>
      </c>
      <c r="AJ7263">
        <v>0</v>
      </c>
      <c r="AK7263">
        <v>1631.5</v>
      </c>
      <c r="AN7263" t="s">
        <v>7439</v>
      </c>
      <c r="AO7263">
        <v>348000</v>
      </c>
      <c r="AU7263">
        <v>3.9</v>
      </c>
      <c r="AV7263" t="s">
        <v>814</v>
      </c>
      <c r="AW7263" t="s">
        <v>198</v>
      </c>
    </row>
    <row r="7264" spans="1:50">
      <c r="A7264" s="1">
        <f>HYPERLINK("https://lsnyc.legalserver.org/matter/dynamic-profile/view/1896704","19-1896704")</f>
        <v>0</v>
      </c>
      <c r="B7264" t="s">
        <v>108</v>
      </c>
      <c r="C7264" t="s">
        <v>340</v>
      </c>
      <c r="D7264" t="s">
        <v>671</v>
      </c>
      <c r="F7264" t="s">
        <v>1250</v>
      </c>
      <c r="G7264" t="s">
        <v>5402</v>
      </c>
      <c r="H7264" t="s">
        <v>14663</v>
      </c>
      <c r="I7264" t="s">
        <v>18450</v>
      </c>
      <c r="J7264" t="s">
        <v>18919</v>
      </c>
      <c r="K7264">
        <v>11429</v>
      </c>
      <c r="L7264" t="s">
        <v>18958</v>
      </c>
      <c r="M7264" t="s">
        <v>18958</v>
      </c>
      <c r="N7264" t="s">
        <v>24143</v>
      </c>
      <c r="O7264" t="s">
        <v>26526</v>
      </c>
      <c r="P7264" t="s">
        <v>26565</v>
      </c>
      <c r="R7264" t="s">
        <v>26584</v>
      </c>
      <c r="S7264" t="s">
        <v>18958</v>
      </c>
      <c r="U7264" t="s">
        <v>26604</v>
      </c>
      <c r="W7264" t="s">
        <v>671</v>
      </c>
      <c r="X7264">
        <v>1700</v>
      </c>
      <c r="Y7264" t="s">
        <v>26653</v>
      </c>
      <c r="AB7264" t="s">
        <v>27901</v>
      </c>
      <c r="AD7264" t="s">
        <v>42506</v>
      </c>
      <c r="AE7264">
        <v>4</v>
      </c>
      <c r="AH7264">
        <v>3</v>
      </c>
      <c r="AI7264">
        <v>1</v>
      </c>
      <c r="AJ7264">
        <v>1</v>
      </c>
      <c r="AK7264">
        <v>3.55</v>
      </c>
      <c r="AN7264" t="s">
        <v>45581</v>
      </c>
      <c r="AO7264">
        <v>600</v>
      </c>
      <c r="AU7264">
        <v>19.1</v>
      </c>
      <c r="AV7264" t="s">
        <v>826</v>
      </c>
      <c r="AW7264" t="s">
        <v>46884</v>
      </c>
    </row>
    <row r="7265" spans="1:50">
      <c r="A7265" s="1">
        <f>HYPERLINK("https://lsnyc.legalserver.org/matter/dynamic-profile/view/1896660","19-1896660")</f>
        <v>0</v>
      </c>
      <c r="B7265" t="s">
        <v>282</v>
      </c>
      <c r="C7265" t="s">
        <v>340</v>
      </c>
      <c r="D7265" t="s">
        <v>671</v>
      </c>
      <c r="F7265" t="s">
        <v>986</v>
      </c>
      <c r="G7265" t="s">
        <v>4588</v>
      </c>
      <c r="H7265" t="s">
        <v>14664</v>
      </c>
      <c r="I7265" t="s">
        <v>17491</v>
      </c>
      <c r="J7265" t="s">
        <v>18899</v>
      </c>
      <c r="K7265">
        <v>11385</v>
      </c>
      <c r="L7265" t="s">
        <v>18958</v>
      </c>
      <c r="M7265" t="s">
        <v>18958</v>
      </c>
      <c r="N7265" t="s">
        <v>24144</v>
      </c>
      <c r="O7265" t="s">
        <v>26524</v>
      </c>
      <c r="P7265" t="s">
        <v>26560</v>
      </c>
      <c r="R7265" t="s">
        <v>26585</v>
      </c>
      <c r="S7265" t="s">
        <v>18959</v>
      </c>
      <c r="U7265" t="s">
        <v>26604</v>
      </c>
      <c r="V7265" t="s">
        <v>26610</v>
      </c>
      <c r="W7265" t="s">
        <v>671</v>
      </c>
      <c r="X7265">
        <v>750</v>
      </c>
      <c r="Y7265" t="s">
        <v>26653</v>
      </c>
      <c r="Z7265" t="s">
        <v>26664</v>
      </c>
      <c r="AB7265" t="s">
        <v>32159</v>
      </c>
      <c r="AC7265" t="s">
        <v>36300</v>
      </c>
      <c r="AD7265" t="s">
        <v>42507</v>
      </c>
      <c r="AE7265">
        <v>0</v>
      </c>
      <c r="AF7265" t="s">
        <v>20460</v>
      </c>
      <c r="AG7265" t="s">
        <v>19330</v>
      </c>
      <c r="AH7265">
        <v>-1</v>
      </c>
      <c r="AI7265">
        <v>1</v>
      </c>
      <c r="AJ7265">
        <v>0</v>
      </c>
      <c r="AK7265">
        <v>38.09</v>
      </c>
      <c r="AN7265" t="s">
        <v>7439</v>
      </c>
      <c r="AO7265">
        <v>4758</v>
      </c>
      <c r="AU7265">
        <v>32.38</v>
      </c>
      <c r="AV7265" t="s">
        <v>832</v>
      </c>
      <c r="AW7265" t="s">
        <v>208</v>
      </c>
    </row>
    <row r="7266" spans="1:50">
      <c r="A7266" s="1">
        <f>HYPERLINK("https://lsnyc.legalserver.org/matter/dynamic-profile/view/1896642","19-1896642")</f>
        <v>0</v>
      </c>
      <c r="B7266" t="s">
        <v>81</v>
      </c>
      <c r="C7266" t="s">
        <v>340</v>
      </c>
      <c r="D7266" t="s">
        <v>671</v>
      </c>
      <c r="F7266" t="s">
        <v>3910</v>
      </c>
      <c r="G7266" t="s">
        <v>8268</v>
      </c>
      <c r="H7266" t="s">
        <v>14665</v>
      </c>
      <c r="I7266" t="s">
        <v>17406</v>
      </c>
      <c r="J7266" t="s">
        <v>18892</v>
      </c>
      <c r="K7266">
        <v>10468</v>
      </c>
      <c r="L7266" t="s">
        <v>18958</v>
      </c>
      <c r="M7266" t="s">
        <v>18958</v>
      </c>
      <c r="N7266" t="s">
        <v>24145</v>
      </c>
      <c r="O7266" t="s">
        <v>26524</v>
      </c>
      <c r="P7266" t="s">
        <v>26560</v>
      </c>
      <c r="R7266" t="s">
        <v>26579</v>
      </c>
      <c r="S7266" t="s">
        <v>18959</v>
      </c>
      <c r="U7266" t="s">
        <v>26604</v>
      </c>
      <c r="V7266" t="s">
        <v>26610</v>
      </c>
      <c r="W7266" t="s">
        <v>671</v>
      </c>
      <c r="X7266">
        <v>2177</v>
      </c>
      <c r="Y7266" t="s">
        <v>26650</v>
      </c>
      <c r="Z7266" t="s">
        <v>26668</v>
      </c>
      <c r="AB7266" t="s">
        <v>27018</v>
      </c>
      <c r="AD7266" t="s">
        <v>42508</v>
      </c>
      <c r="AE7266">
        <v>38</v>
      </c>
      <c r="AF7266" t="s">
        <v>45541</v>
      </c>
      <c r="AG7266" t="s">
        <v>45556</v>
      </c>
      <c r="AH7266">
        <v>1</v>
      </c>
      <c r="AI7266">
        <v>2</v>
      </c>
      <c r="AJ7266">
        <v>5</v>
      </c>
      <c r="AK7266">
        <v>12.77</v>
      </c>
      <c r="AN7266" t="s">
        <v>7439</v>
      </c>
      <c r="AO7266">
        <v>4980</v>
      </c>
      <c r="AU7266">
        <v>0.2</v>
      </c>
      <c r="AV7266" t="s">
        <v>763</v>
      </c>
      <c r="AW7266" t="s">
        <v>329</v>
      </c>
      <c r="AX7266" t="s">
        <v>46897</v>
      </c>
    </row>
    <row r="7267" spans="1:50">
      <c r="A7267" s="1">
        <f>HYPERLINK("https://lsnyc.legalserver.org/matter/dynamic-profile/view/1896679","19-1896679")</f>
        <v>0</v>
      </c>
      <c r="B7267" t="s">
        <v>68</v>
      </c>
      <c r="C7267" t="s">
        <v>340</v>
      </c>
      <c r="D7267" t="s">
        <v>671</v>
      </c>
      <c r="F7267" t="s">
        <v>893</v>
      </c>
      <c r="G7267" t="s">
        <v>8269</v>
      </c>
      <c r="H7267" t="s">
        <v>14666</v>
      </c>
      <c r="I7267" t="s">
        <v>17312</v>
      </c>
      <c r="J7267" t="s">
        <v>18892</v>
      </c>
      <c r="K7267">
        <v>10467</v>
      </c>
      <c r="L7267" t="s">
        <v>18958</v>
      </c>
      <c r="M7267" t="s">
        <v>18958</v>
      </c>
      <c r="N7267" t="s">
        <v>24146</v>
      </c>
      <c r="O7267" t="s">
        <v>26524</v>
      </c>
      <c r="P7267" t="s">
        <v>26560</v>
      </c>
      <c r="R7267" t="s">
        <v>26579</v>
      </c>
      <c r="S7267" t="s">
        <v>18959</v>
      </c>
      <c r="U7267" t="s">
        <v>26604</v>
      </c>
      <c r="V7267" t="s">
        <v>26610</v>
      </c>
      <c r="W7267" t="s">
        <v>671</v>
      </c>
      <c r="X7267">
        <v>979</v>
      </c>
      <c r="Y7267" t="s">
        <v>26650</v>
      </c>
      <c r="Z7267" t="s">
        <v>26664</v>
      </c>
      <c r="AB7267" t="s">
        <v>30395</v>
      </c>
      <c r="AC7267" t="s">
        <v>36301</v>
      </c>
      <c r="AD7267" t="s">
        <v>42509</v>
      </c>
      <c r="AE7267">
        <v>2</v>
      </c>
      <c r="AF7267" t="s">
        <v>45547</v>
      </c>
      <c r="AG7267" t="s">
        <v>45561</v>
      </c>
      <c r="AH7267">
        <v>8</v>
      </c>
      <c r="AI7267">
        <v>1</v>
      </c>
      <c r="AJ7267">
        <v>1</v>
      </c>
      <c r="AK7267">
        <v>25.83</v>
      </c>
      <c r="AN7267" t="s">
        <v>7439</v>
      </c>
      <c r="AO7267">
        <v>4368</v>
      </c>
      <c r="AR7267" t="s">
        <v>46380</v>
      </c>
      <c r="AS7267" t="s">
        <v>46499</v>
      </c>
      <c r="AT7267" t="s">
        <v>46619</v>
      </c>
      <c r="AU7267">
        <v>5.9</v>
      </c>
      <c r="AV7267" t="s">
        <v>806</v>
      </c>
      <c r="AW7267" t="s">
        <v>334</v>
      </c>
    </row>
    <row r="7268" spans="1:50">
      <c r="A7268" s="1">
        <f>HYPERLINK("https://lsnyc.legalserver.org/matter/dynamic-profile/view/1896626","19-1896626")</f>
        <v>0</v>
      </c>
      <c r="B7268" t="s">
        <v>213</v>
      </c>
      <c r="C7268" t="s">
        <v>340</v>
      </c>
      <c r="D7268" t="s">
        <v>671</v>
      </c>
      <c r="F7268" t="s">
        <v>3911</v>
      </c>
      <c r="G7268" t="s">
        <v>5100</v>
      </c>
      <c r="H7268" t="s">
        <v>14667</v>
      </c>
      <c r="I7268" t="s">
        <v>17406</v>
      </c>
      <c r="J7268" t="s">
        <v>18892</v>
      </c>
      <c r="K7268">
        <v>10467</v>
      </c>
      <c r="L7268" t="s">
        <v>18958</v>
      </c>
      <c r="M7268" t="s">
        <v>18958</v>
      </c>
      <c r="N7268" t="s">
        <v>24147</v>
      </c>
      <c r="O7268" t="s">
        <v>26524</v>
      </c>
      <c r="P7268" t="s">
        <v>26560</v>
      </c>
      <c r="R7268" t="s">
        <v>26579</v>
      </c>
      <c r="S7268" t="s">
        <v>18959</v>
      </c>
      <c r="U7268" t="s">
        <v>26604</v>
      </c>
      <c r="V7268" t="s">
        <v>26611</v>
      </c>
      <c r="W7268" t="s">
        <v>671</v>
      </c>
      <c r="X7268">
        <v>1201</v>
      </c>
      <c r="Y7268" t="s">
        <v>26650</v>
      </c>
      <c r="Z7268" t="s">
        <v>26668</v>
      </c>
      <c r="AB7268" t="s">
        <v>27762</v>
      </c>
      <c r="AD7268" t="s">
        <v>42510</v>
      </c>
      <c r="AE7268">
        <v>0</v>
      </c>
      <c r="AF7268" t="s">
        <v>45541</v>
      </c>
      <c r="AG7268" t="s">
        <v>19330</v>
      </c>
      <c r="AH7268">
        <v>6</v>
      </c>
      <c r="AI7268">
        <v>1</v>
      </c>
      <c r="AJ7268">
        <v>1</v>
      </c>
      <c r="AK7268">
        <v>189.24</v>
      </c>
      <c r="AN7268" t="s">
        <v>7439</v>
      </c>
      <c r="AO7268">
        <v>32000</v>
      </c>
      <c r="AU7268">
        <v>27</v>
      </c>
      <c r="AV7268" t="s">
        <v>797</v>
      </c>
      <c r="AW7268" t="s">
        <v>329</v>
      </c>
    </row>
    <row r="7269" spans="1:50">
      <c r="A7269" s="1">
        <f>HYPERLINK("https://lsnyc.legalserver.org/matter/dynamic-profile/view/1896609","19-1896609")</f>
        <v>0</v>
      </c>
      <c r="B7269" t="s">
        <v>65</v>
      </c>
      <c r="C7269" t="s">
        <v>340</v>
      </c>
      <c r="D7269" t="s">
        <v>671</v>
      </c>
      <c r="F7269" t="s">
        <v>1756</v>
      </c>
      <c r="G7269" t="s">
        <v>6354</v>
      </c>
      <c r="H7269" t="s">
        <v>11968</v>
      </c>
      <c r="I7269" t="s">
        <v>18451</v>
      </c>
      <c r="J7269" t="s">
        <v>18892</v>
      </c>
      <c r="K7269">
        <v>10467</v>
      </c>
      <c r="L7269" t="s">
        <v>18958</v>
      </c>
      <c r="M7269" t="s">
        <v>18958</v>
      </c>
      <c r="N7269" t="s">
        <v>24148</v>
      </c>
      <c r="O7269" t="s">
        <v>26523</v>
      </c>
      <c r="P7269" t="s">
        <v>26560</v>
      </c>
      <c r="R7269" t="s">
        <v>26579</v>
      </c>
      <c r="S7269" t="s">
        <v>18959</v>
      </c>
      <c r="U7269" t="s">
        <v>26604</v>
      </c>
      <c r="V7269" t="s">
        <v>26610</v>
      </c>
      <c r="W7269" t="s">
        <v>671</v>
      </c>
      <c r="X7269">
        <v>1621.85</v>
      </c>
      <c r="Y7269" t="s">
        <v>26650</v>
      </c>
      <c r="Z7269" t="s">
        <v>26664</v>
      </c>
      <c r="AB7269" t="s">
        <v>32160</v>
      </c>
      <c r="AC7269" t="s">
        <v>36302</v>
      </c>
      <c r="AD7269" t="s">
        <v>42511</v>
      </c>
      <c r="AE7269">
        <v>0</v>
      </c>
      <c r="AF7269" t="s">
        <v>45541</v>
      </c>
      <c r="AG7269" t="s">
        <v>45557</v>
      </c>
      <c r="AH7269">
        <v>3</v>
      </c>
      <c r="AI7269">
        <v>2</v>
      </c>
      <c r="AJ7269">
        <v>1</v>
      </c>
      <c r="AK7269">
        <v>39.89</v>
      </c>
      <c r="AN7269" t="s">
        <v>7439</v>
      </c>
      <c r="AO7269">
        <v>8508</v>
      </c>
      <c r="AU7269">
        <v>4</v>
      </c>
      <c r="AV7269" t="s">
        <v>807</v>
      </c>
      <c r="AW7269" t="s">
        <v>334</v>
      </c>
    </row>
    <row r="7270" spans="1:50">
      <c r="A7270" s="1">
        <f>HYPERLINK("https://lsnyc.legalserver.org/matter/dynamic-profile/view/1896623","19-1896623")</f>
        <v>0</v>
      </c>
      <c r="B7270" t="s">
        <v>121</v>
      </c>
      <c r="C7270" t="s">
        <v>340</v>
      </c>
      <c r="D7270" t="s">
        <v>671</v>
      </c>
      <c r="F7270" t="s">
        <v>1471</v>
      </c>
      <c r="G7270" t="s">
        <v>7025</v>
      </c>
      <c r="H7270" t="s">
        <v>14668</v>
      </c>
      <c r="I7270" t="s">
        <v>17343</v>
      </c>
      <c r="J7270" t="s">
        <v>18892</v>
      </c>
      <c r="K7270">
        <v>10451</v>
      </c>
      <c r="L7270" t="s">
        <v>18958</v>
      </c>
      <c r="M7270" t="s">
        <v>18958</v>
      </c>
      <c r="N7270" t="s">
        <v>24149</v>
      </c>
      <c r="O7270" t="s">
        <v>26523</v>
      </c>
      <c r="P7270" t="s">
        <v>26560</v>
      </c>
      <c r="R7270" t="s">
        <v>26577</v>
      </c>
      <c r="U7270" t="s">
        <v>26605</v>
      </c>
      <c r="V7270" t="s">
        <v>26610</v>
      </c>
      <c r="W7270" t="s">
        <v>671</v>
      </c>
      <c r="X7270">
        <v>400</v>
      </c>
      <c r="Y7270" t="s">
        <v>26650</v>
      </c>
      <c r="Z7270" t="s">
        <v>26668</v>
      </c>
      <c r="AB7270" t="s">
        <v>32161</v>
      </c>
      <c r="AC7270" t="s">
        <v>36303</v>
      </c>
      <c r="AD7270" t="s">
        <v>42512</v>
      </c>
      <c r="AE7270">
        <v>0</v>
      </c>
      <c r="AF7270" t="s">
        <v>45549</v>
      </c>
      <c r="AG7270" t="s">
        <v>19330</v>
      </c>
      <c r="AH7270">
        <v>16</v>
      </c>
      <c r="AI7270">
        <v>3</v>
      </c>
      <c r="AJ7270">
        <v>1</v>
      </c>
      <c r="AK7270">
        <v>14.45</v>
      </c>
      <c r="AN7270" t="s">
        <v>7439</v>
      </c>
      <c r="AO7270">
        <v>3720</v>
      </c>
      <c r="AU7270">
        <v>5.5</v>
      </c>
      <c r="AV7270" t="s">
        <v>803</v>
      </c>
      <c r="AW7270" t="s">
        <v>334</v>
      </c>
      <c r="AX7270" t="s">
        <v>46898</v>
      </c>
    </row>
    <row r="7271" spans="1:50">
      <c r="A7271" s="1">
        <f>HYPERLINK("https://lsnyc.legalserver.org/matter/dynamic-profile/view/1896608","19-1896608")</f>
        <v>0</v>
      </c>
      <c r="B7271" t="s">
        <v>103</v>
      </c>
      <c r="C7271" t="s">
        <v>340</v>
      </c>
      <c r="D7271" t="s">
        <v>671</v>
      </c>
      <c r="F7271" t="s">
        <v>3912</v>
      </c>
      <c r="G7271" t="s">
        <v>7189</v>
      </c>
      <c r="H7271" t="s">
        <v>14669</v>
      </c>
      <c r="I7271" t="s">
        <v>17435</v>
      </c>
      <c r="J7271" t="s">
        <v>18902</v>
      </c>
      <c r="K7271">
        <v>10314</v>
      </c>
      <c r="L7271" t="s">
        <v>18958</v>
      </c>
      <c r="M7271" t="s">
        <v>18958</v>
      </c>
      <c r="N7271" t="s">
        <v>24150</v>
      </c>
      <c r="O7271" t="s">
        <v>26524</v>
      </c>
      <c r="P7271" t="s">
        <v>26560</v>
      </c>
      <c r="R7271" t="s">
        <v>26590</v>
      </c>
      <c r="S7271" t="s">
        <v>18959</v>
      </c>
      <c r="U7271" t="s">
        <v>26604</v>
      </c>
      <c r="V7271" t="s">
        <v>26610</v>
      </c>
      <c r="W7271" t="s">
        <v>671</v>
      </c>
      <c r="X7271">
        <v>1515</v>
      </c>
      <c r="Y7271" t="s">
        <v>26654</v>
      </c>
      <c r="Z7271" t="s">
        <v>26668</v>
      </c>
      <c r="AB7271" t="s">
        <v>32162</v>
      </c>
      <c r="AD7271" t="s">
        <v>42513</v>
      </c>
      <c r="AE7271">
        <v>2</v>
      </c>
      <c r="AF7271" t="s">
        <v>45547</v>
      </c>
      <c r="AG7271" t="s">
        <v>45562</v>
      </c>
      <c r="AH7271">
        <v>4</v>
      </c>
      <c r="AI7271">
        <v>1</v>
      </c>
      <c r="AJ7271">
        <v>1</v>
      </c>
      <c r="AK7271">
        <v>246.01</v>
      </c>
      <c r="AL7271" t="s">
        <v>801</v>
      </c>
      <c r="AM7271" t="s">
        <v>45575</v>
      </c>
      <c r="AN7271" t="s">
        <v>7439</v>
      </c>
      <c r="AO7271">
        <v>41600.04</v>
      </c>
      <c r="AU7271">
        <v>11.7</v>
      </c>
      <c r="AV7271" t="s">
        <v>772</v>
      </c>
      <c r="AW7271" t="s">
        <v>46883</v>
      </c>
    </row>
    <row r="7272" spans="1:50">
      <c r="A7272" s="1">
        <f>HYPERLINK("https://lsnyc.legalserver.org/matter/dynamic-profile/view/1896624","19-1896624")</f>
        <v>0</v>
      </c>
      <c r="B7272" t="s">
        <v>112</v>
      </c>
      <c r="C7272" t="s">
        <v>340</v>
      </c>
      <c r="D7272" t="s">
        <v>671</v>
      </c>
      <c r="F7272" t="s">
        <v>1299</v>
      </c>
      <c r="G7272" t="s">
        <v>1000</v>
      </c>
      <c r="H7272" t="s">
        <v>14670</v>
      </c>
      <c r="I7272" t="s">
        <v>18452</v>
      </c>
      <c r="J7272" t="s">
        <v>18939</v>
      </c>
      <c r="K7272">
        <v>11423</v>
      </c>
      <c r="L7272" t="s">
        <v>18958</v>
      </c>
      <c r="M7272" t="s">
        <v>18958</v>
      </c>
      <c r="N7272" t="s">
        <v>24151</v>
      </c>
      <c r="O7272" t="s">
        <v>26523</v>
      </c>
      <c r="P7272" t="s">
        <v>26564</v>
      </c>
      <c r="R7272" t="s">
        <v>26584</v>
      </c>
      <c r="S7272" t="s">
        <v>18959</v>
      </c>
      <c r="U7272" t="s">
        <v>26604</v>
      </c>
      <c r="V7272" t="s">
        <v>26610</v>
      </c>
      <c r="W7272" t="s">
        <v>671</v>
      </c>
      <c r="X7272">
        <v>1776.25</v>
      </c>
      <c r="Y7272" t="s">
        <v>26653</v>
      </c>
      <c r="Z7272" t="s">
        <v>26664</v>
      </c>
      <c r="AB7272" t="s">
        <v>32163</v>
      </c>
      <c r="AC7272" t="s">
        <v>36304</v>
      </c>
      <c r="AD7272" t="s">
        <v>42514</v>
      </c>
      <c r="AE7272">
        <v>2</v>
      </c>
      <c r="AF7272" t="s">
        <v>45541</v>
      </c>
      <c r="AG7272" t="s">
        <v>45558</v>
      </c>
      <c r="AH7272">
        <v>1</v>
      </c>
      <c r="AI7272">
        <v>1</v>
      </c>
      <c r="AJ7272">
        <v>4</v>
      </c>
      <c r="AK7272">
        <v>27.05</v>
      </c>
      <c r="AN7272" t="s">
        <v>7439</v>
      </c>
      <c r="AO7272">
        <v>8160</v>
      </c>
      <c r="AU7272">
        <v>2.6</v>
      </c>
      <c r="AV7272" t="s">
        <v>811</v>
      </c>
      <c r="AW7272" t="s">
        <v>208</v>
      </c>
    </row>
    <row r="7273" spans="1:50">
      <c r="A7273" s="1">
        <f>HYPERLINK("https://lsnyc.legalserver.org/matter/dynamic-profile/view/1896680","19-1896680")</f>
        <v>0</v>
      </c>
      <c r="B7273" t="s">
        <v>112</v>
      </c>
      <c r="C7273" t="s">
        <v>340</v>
      </c>
      <c r="D7273" t="s">
        <v>671</v>
      </c>
      <c r="F7273" t="s">
        <v>3623</v>
      </c>
      <c r="G7273" t="s">
        <v>7686</v>
      </c>
      <c r="H7273" t="s">
        <v>14671</v>
      </c>
      <c r="I7273">
        <v>1</v>
      </c>
      <c r="J7273" t="s">
        <v>18906</v>
      </c>
      <c r="K7273">
        <v>11373</v>
      </c>
      <c r="L7273" t="s">
        <v>18958</v>
      </c>
      <c r="M7273" t="s">
        <v>18958</v>
      </c>
      <c r="N7273" t="s">
        <v>24152</v>
      </c>
      <c r="O7273" t="s">
        <v>26524</v>
      </c>
      <c r="P7273" t="s">
        <v>26560</v>
      </c>
      <c r="R7273" t="s">
        <v>26585</v>
      </c>
      <c r="S7273" t="s">
        <v>18959</v>
      </c>
      <c r="U7273" t="s">
        <v>26604</v>
      </c>
      <c r="W7273" t="s">
        <v>671</v>
      </c>
      <c r="X7273">
        <v>400</v>
      </c>
      <c r="Y7273" t="s">
        <v>26653</v>
      </c>
      <c r="Z7273" t="s">
        <v>26668</v>
      </c>
      <c r="AB7273" t="s">
        <v>28337</v>
      </c>
      <c r="AD7273" t="s">
        <v>42515</v>
      </c>
      <c r="AE7273">
        <v>4</v>
      </c>
      <c r="AF7273" t="s">
        <v>20460</v>
      </c>
      <c r="AG7273" t="s">
        <v>19330</v>
      </c>
      <c r="AH7273">
        <v>10</v>
      </c>
      <c r="AI7273">
        <v>1</v>
      </c>
      <c r="AJ7273">
        <v>0</v>
      </c>
      <c r="AK7273">
        <v>166.53</v>
      </c>
      <c r="AN7273" t="s">
        <v>45581</v>
      </c>
      <c r="AO7273">
        <v>20800</v>
      </c>
      <c r="AU7273">
        <v>17.5</v>
      </c>
      <c r="AV7273" t="s">
        <v>822</v>
      </c>
      <c r="AW7273" t="s">
        <v>208</v>
      </c>
    </row>
    <row r="7274" spans="1:50">
      <c r="A7274" s="1">
        <f>HYPERLINK("https://lsnyc.legalserver.org/matter/dynamic-profile/view/1896652","19-1896652")</f>
        <v>0</v>
      </c>
      <c r="B7274" t="s">
        <v>87</v>
      </c>
      <c r="C7274" t="s">
        <v>340</v>
      </c>
      <c r="D7274" t="s">
        <v>671</v>
      </c>
      <c r="F7274" t="s">
        <v>3913</v>
      </c>
      <c r="G7274" t="s">
        <v>7853</v>
      </c>
      <c r="H7274" t="s">
        <v>11286</v>
      </c>
      <c r="I7274" t="s">
        <v>17277</v>
      </c>
      <c r="J7274" t="s">
        <v>18892</v>
      </c>
      <c r="K7274">
        <v>10468</v>
      </c>
      <c r="L7274" t="s">
        <v>18958</v>
      </c>
      <c r="M7274" t="s">
        <v>18958</v>
      </c>
      <c r="N7274" t="s">
        <v>24153</v>
      </c>
      <c r="O7274" t="s">
        <v>26523</v>
      </c>
      <c r="P7274" t="s">
        <v>26560</v>
      </c>
      <c r="R7274" t="s">
        <v>26579</v>
      </c>
      <c r="U7274" t="s">
        <v>26604</v>
      </c>
      <c r="V7274" t="s">
        <v>26610</v>
      </c>
      <c r="W7274" t="s">
        <v>671</v>
      </c>
      <c r="X7274">
        <v>1062</v>
      </c>
      <c r="Y7274" t="s">
        <v>26650</v>
      </c>
      <c r="Z7274" t="s">
        <v>26664</v>
      </c>
      <c r="AB7274" t="s">
        <v>27889</v>
      </c>
      <c r="AC7274" t="s">
        <v>36305</v>
      </c>
      <c r="AD7274" t="s">
        <v>42516</v>
      </c>
      <c r="AE7274">
        <v>0</v>
      </c>
      <c r="AF7274" t="s">
        <v>45541</v>
      </c>
      <c r="AH7274">
        <v>10</v>
      </c>
      <c r="AI7274">
        <v>2</v>
      </c>
      <c r="AJ7274">
        <v>0</v>
      </c>
      <c r="AK7274">
        <v>66.42</v>
      </c>
      <c r="AN7274" t="s">
        <v>7439</v>
      </c>
      <c r="AO7274">
        <v>11232</v>
      </c>
      <c r="AU7274">
        <v>3.1</v>
      </c>
      <c r="AV7274" t="s">
        <v>823</v>
      </c>
      <c r="AW7274" t="s">
        <v>334</v>
      </c>
      <c r="AX7274" t="s">
        <v>46898</v>
      </c>
    </row>
    <row r="7275" spans="1:50">
      <c r="A7275" s="1">
        <f>HYPERLINK("https://lsnyc.legalserver.org/matter/dynamic-profile/view/1897281","19-1897281")</f>
        <v>0</v>
      </c>
      <c r="B7275" t="s">
        <v>128</v>
      </c>
      <c r="C7275" t="s">
        <v>341</v>
      </c>
      <c r="D7275" t="s">
        <v>761</v>
      </c>
      <c r="E7275" t="s">
        <v>764</v>
      </c>
      <c r="F7275" t="s">
        <v>3294</v>
      </c>
      <c r="G7275" t="s">
        <v>8270</v>
      </c>
      <c r="H7275" t="s">
        <v>14672</v>
      </c>
      <c r="I7275" t="s">
        <v>17509</v>
      </c>
      <c r="J7275" t="s">
        <v>18894</v>
      </c>
      <c r="K7275">
        <v>11206</v>
      </c>
      <c r="L7275" t="s">
        <v>18958</v>
      </c>
      <c r="M7275" t="s">
        <v>18958</v>
      </c>
      <c r="N7275" t="s">
        <v>24154</v>
      </c>
      <c r="O7275" t="s">
        <v>26523</v>
      </c>
      <c r="P7275" t="s">
        <v>26564</v>
      </c>
      <c r="Q7275" t="s">
        <v>26570</v>
      </c>
      <c r="R7275" t="s">
        <v>26586</v>
      </c>
      <c r="S7275" t="s">
        <v>18959</v>
      </c>
      <c r="U7275" t="s">
        <v>26604</v>
      </c>
      <c r="V7275" t="s">
        <v>26610</v>
      </c>
      <c r="W7275" t="s">
        <v>671</v>
      </c>
      <c r="X7275">
        <v>1769.7</v>
      </c>
      <c r="Y7275" t="s">
        <v>26652</v>
      </c>
      <c r="Z7275" t="s">
        <v>26530</v>
      </c>
      <c r="AA7275" t="s">
        <v>26683</v>
      </c>
      <c r="AB7275" t="s">
        <v>32164</v>
      </c>
      <c r="AD7275" t="s">
        <v>42517</v>
      </c>
      <c r="AE7275">
        <v>8</v>
      </c>
      <c r="AF7275" t="s">
        <v>45541</v>
      </c>
      <c r="AG7275" t="s">
        <v>19330</v>
      </c>
      <c r="AH7275">
        <v>6</v>
      </c>
      <c r="AI7275">
        <v>2</v>
      </c>
      <c r="AJ7275">
        <v>0</v>
      </c>
      <c r="AK7275">
        <v>0</v>
      </c>
      <c r="AN7275" t="s">
        <v>7439</v>
      </c>
      <c r="AO7275">
        <v>0</v>
      </c>
      <c r="AU7275">
        <v>1.2</v>
      </c>
      <c r="AV7275" t="s">
        <v>764</v>
      </c>
      <c r="AW7275" t="s">
        <v>46846</v>
      </c>
    </row>
    <row r="7276" spans="1:50">
      <c r="A7276" s="1">
        <f>HYPERLINK("https://lsnyc.legalserver.org/matter/dynamic-profile/view/1896927","19-1896927")</f>
        <v>0</v>
      </c>
      <c r="B7276" t="s">
        <v>64</v>
      </c>
      <c r="C7276" t="s">
        <v>341</v>
      </c>
      <c r="D7276" t="s">
        <v>672</v>
      </c>
      <c r="E7276" t="s">
        <v>762</v>
      </c>
      <c r="F7276" t="s">
        <v>2923</v>
      </c>
      <c r="G7276" t="s">
        <v>7178</v>
      </c>
      <c r="H7276" t="s">
        <v>12847</v>
      </c>
      <c r="I7276" t="s">
        <v>17389</v>
      </c>
      <c r="J7276" t="s">
        <v>18892</v>
      </c>
      <c r="K7276">
        <v>10456</v>
      </c>
      <c r="L7276" t="s">
        <v>18958</v>
      </c>
      <c r="M7276" t="s">
        <v>18958</v>
      </c>
      <c r="N7276" t="s">
        <v>24155</v>
      </c>
      <c r="O7276" t="s">
        <v>26523</v>
      </c>
      <c r="P7276" t="s">
        <v>26560</v>
      </c>
      <c r="Q7276" t="s">
        <v>26568</v>
      </c>
      <c r="R7276" t="s">
        <v>26577</v>
      </c>
      <c r="U7276" t="s">
        <v>26605</v>
      </c>
      <c r="V7276" t="s">
        <v>26610</v>
      </c>
      <c r="W7276" t="s">
        <v>672</v>
      </c>
      <c r="X7276">
        <v>194</v>
      </c>
      <c r="Y7276" t="s">
        <v>26650</v>
      </c>
      <c r="Z7276" t="s">
        <v>26668</v>
      </c>
      <c r="AA7276" t="s">
        <v>26680</v>
      </c>
      <c r="AB7276" t="s">
        <v>30130</v>
      </c>
      <c r="AC7276" t="s">
        <v>35709</v>
      </c>
      <c r="AD7276" t="s">
        <v>40266</v>
      </c>
      <c r="AE7276">
        <v>0</v>
      </c>
      <c r="AF7276" t="s">
        <v>45549</v>
      </c>
      <c r="AH7276">
        <v>4</v>
      </c>
      <c r="AI7276">
        <v>1</v>
      </c>
      <c r="AJ7276">
        <v>1</v>
      </c>
      <c r="AK7276">
        <v>119.22</v>
      </c>
      <c r="AN7276" t="s">
        <v>7439</v>
      </c>
      <c r="AO7276">
        <v>20160</v>
      </c>
      <c r="AQ7276" t="s">
        <v>46362</v>
      </c>
      <c r="AR7276" t="s">
        <v>46380</v>
      </c>
      <c r="AS7276" t="s">
        <v>46499</v>
      </c>
      <c r="AT7276" t="s">
        <v>46569</v>
      </c>
      <c r="AU7276">
        <v>2.5</v>
      </c>
      <c r="AV7276" t="s">
        <v>672</v>
      </c>
      <c r="AW7276" t="s">
        <v>64</v>
      </c>
      <c r="AX7276" t="s">
        <v>46898</v>
      </c>
    </row>
    <row r="7277" spans="1:50">
      <c r="A7277" s="1">
        <f>HYPERLINK("https://lsnyc.legalserver.org/matter/dynamic-profile/view/1896774","19-1896774")</f>
        <v>0</v>
      </c>
      <c r="B7277" t="s">
        <v>81</v>
      </c>
      <c r="C7277" t="s">
        <v>340</v>
      </c>
      <c r="D7277" t="s">
        <v>672</v>
      </c>
      <c r="F7277" t="s">
        <v>1031</v>
      </c>
      <c r="G7277" t="s">
        <v>8271</v>
      </c>
      <c r="H7277" t="s">
        <v>14673</v>
      </c>
      <c r="I7277" t="s">
        <v>18453</v>
      </c>
      <c r="J7277" t="s">
        <v>18892</v>
      </c>
      <c r="K7277">
        <v>10462</v>
      </c>
      <c r="L7277" t="s">
        <v>18958</v>
      </c>
      <c r="M7277" t="s">
        <v>18958</v>
      </c>
      <c r="N7277" t="s">
        <v>24156</v>
      </c>
      <c r="O7277" t="s">
        <v>26523</v>
      </c>
      <c r="P7277" t="s">
        <v>26560</v>
      </c>
      <c r="R7277" t="s">
        <v>26579</v>
      </c>
      <c r="S7277" t="s">
        <v>18959</v>
      </c>
      <c r="U7277" t="s">
        <v>26604</v>
      </c>
      <c r="W7277" t="s">
        <v>672</v>
      </c>
      <c r="X7277">
        <v>1900</v>
      </c>
      <c r="Y7277" t="s">
        <v>26650</v>
      </c>
      <c r="Z7277" t="s">
        <v>26668</v>
      </c>
      <c r="AB7277" t="s">
        <v>32165</v>
      </c>
      <c r="AD7277" t="s">
        <v>42518</v>
      </c>
      <c r="AE7277">
        <v>28</v>
      </c>
      <c r="AG7277" t="s">
        <v>19330</v>
      </c>
      <c r="AH7277">
        <v>7</v>
      </c>
      <c r="AI7277">
        <v>2</v>
      </c>
      <c r="AJ7277">
        <v>0</v>
      </c>
      <c r="AK7277">
        <v>76.16</v>
      </c>
      <c r="AN7277" t="s">
        <v>7439</v>
      </c>
      <c r="AO7277">
        <v>12879</v>
      </c>
      <c r="AU7277">
        <v>2.65</v>
      </c>
      <c r="AV7277" t="s">
        <v>831</v>
      </c>
      <c r="AW7277" t="s">
        <v>329</v>
      </c>
    </row>
    <row r="7278" spans="1:50">
      <c r="A7278" s="1">
        <f>HYPERLINK("https://lsnyc.legalserver.org/matter/dynamic-profile/view/1896815","19-1896815")</f>
        <v>0</v>
      </c>
      <c r="B7278" t="s">
        <v>141</v>
      </c>
      <c r="C7278" t="s">
        <v>340</v>
      </c>
      <c r="D7278" t="s">
        <v>672</v>
      </c>
      <c r="F7278" t="s">
        <v>871</v>
      </c>
      <c r="G7278" t="s">
        <v>7019</v>
      </c>
      <c r="H7278" t="s">
        <v>14674</v>
      </c>
      <c r="I7278" t="s">
        <v>17491</v>
      </c>
      <c r="J7278" t="s">
        <v>18904</v>
      </c>
      <c r="K7278">
        <v>11421</v>
      </c>
      <c r="L7278" t="s">
        <v>18958</v>
      </c>
      <c r="M7278" t="s">
        <v>18958</v>
      </c>
      <c r="N7278" t="s">
        <v>24157</v>
      </c>
      <c r="O7278" t="s">
        <v>26524</v>
      </c>
      <c r="P7278" t="s">
        <v>26560</v>
      </c>
      <c r="R7278" t="s">
        <v>26578</v>
      </c>
      <c r="S7278" t="s">
        <v>18959</v>
      </c>
      <c r="U7278" t="s">
        <v>26604</v>
      </c>
      <c r="V7278" t="s">
        <v>26610</v>
      </c>
      <c r="W7278" t="s">
        <v>672</v>
      </c>
      <c r="X7278">
        <v>2000</v>
      </c>
      <c r="Y7278" t="s">
        <v>26653</v>
      </c>
      <c r="Z7278" t="s">
        <v>26655</v>
      </c>
      <c r="AB7278" t="s">
        <v>32166</v>
      </c>
      <c r="AC7278" t="s">
        <v>36306</v>
      </c>
      <c r="AD7278" t="s">
        <v>42519</v>
      </c>
      <c r="AE7278">
        <v>3</v>
      </c>
      <c r="AF7278" t="s">
        <v>20460</v>
      </c>
      <c r="AG7278" t="s">
        <v>19330</v>
      </c>
      <c r="AH7278">
        <v>1</v>
      </c>
      <c r="AI7278">
        <v>2</v>
      </c>
      <c r="AJ7278">
        <v>2</v>
      </c>
      <c r="AK7278">
        <v>58.87</v>
      </c>
      <c r="AN7278" t="s">
        <v>45581</v>
      </c>
      <c r="AO7278">
        <v>15160</v>
      </c>
      <c r="AU7278">
        <v>24.95</v>
      </c>
      <c r="AV7278" t="s">
        <v>834</v>
      </c>
      <c r="AW7278" t="s">
        <v>208</v>
      </c>
    </row>
    <row r="7279" spans="1:50">
      <c r="A7279" s="1">
        <f>HYPERLINK("https://lsnyc.legalserver.org/matter/dynamic-profile/view/1892523","19-1892523")</f>
        <v>0</v>
      </c>
      <c r="B7279" t="s">
        <v>131</v>
      </c>
      <c r="C7279" t="s">
        <v>340</v>
      </c>
      <c r="D7279" t="s">
        <v>754</v>
      </c>
      <c r="F7279" t="s">
        <v>891</v>
      </c>
      <c r="G7279" t="s">
        <v>6658</v>
      </c>
      <c r="H7279" t="s">
        <v>14675</v>
      </c>
      <c r="I7279" t="s">
        <v>17380</v>
      </c>
      <c r="J7279" t="s">
        <v>18902</v>
      </c>
      <c r="K7279">
        <v>10304</v>
      </c>
      <c r="L7279" t="s">
        <v>18960</v>
      </c>
      <c r="M7279" t="s">
        <v>18960</v>
      </c>
      <c r="N7279" t="s">
        <v>24158</v>
      </c>
      <c r="O7279" t="s">
        <v>26523</v>
      </c>
      <c r="P7279" t="s">
        <v>26560</v>
      </c>
      <c r="R7279" t="s">
        <v>26578</v>
      </c>
      <c r="T7279" t="s">
        <v>26578</v>
      </c>
      <c r="U7279" t="s">
        <v>26604</v>
      </c>
      <c r="V7279" t="s">
        <v>26612</v>
      </c>
      <c r="W7279" t="s">
        <v>796</v>
      </c>
      <c r="X7279">
        <v>1250</v>
      </c>
      <c r="Y7279" t="s">
        <v>26654</v>
      </c>
      <c r="AB7279" t="s">
        <v>32167</v>
      </c>
      <c r="AD7279" t="s">
        <v>42520</v>
      </c>
      <c r="AE7279">
        <v>0</v>
      </c>
      <c r="AF7279" t="s">
        <v>20460</v>
      </c>
      <c r="AH7279">
        <v>5</v>
      </c>
      <c r="AI7279">
        <v>1</v>
      </c>
      <c r="AJ7279">
        <v>0</v>
      </c>
      <c r="AK7279">
        <v>318.88</v>
      </c>
      <c r="AN7279" t="s">
        <v>7439</v>
      </c>
      <c r="AO7279">
        <v>39828</v>
      </c>
      <c r="AU7279">
        <v>21.45</v>
      </c>
      <c r="AV7279" t="s">
        <v>821</v>
      </c>
      <c r="AW7279" t="s">
        <v>46855</v>
      </c>
    </row>
    <row r="7280" spans="1:50">
      <c r="A7280" s="1">
        <f>HYPERLINK("https://lsnyc.legalserver.org/matter/dynamic-profile/view/1888891","19-1888891")</f>
        <v>0</v>
      </c>
      <c r="B7280" t="s">
        <v>126</v>
      </c>
      <c r="C7280" t="s">
        <v>341</v>
      </c>
      <c r="D7280" t="s">
        <v>732</v>
      </c>
      <c r="E7280" t="s">
        <v>830</v>
      </c>
      <c r="F7280" t="s">
        <v>1256</v>
      </c>
      <c r="G7280" t="s">
        <v>5687</v>
      </c>
      <c r="H7280" t="s">
        <v>14676</v>
      </c>
      <c r="I7280" t="s">
        <v>17306</v>
      </c>
      <c r="J7280" t="s">
        <v>18894</v>
      </c>
      <c r="K7280">
        <v>11233</v>
      </c>
      <c r="L7280" t="s">
        <v>18958</v>
      </c>
      <c r="M7280" t="s">
        <v>18959</v>
      </c>
      <c r="N7280" t="s">
        <v>24159</v>
      </c>
      <c r="O7280" t="s">
        <v>26523</v>
      </c>
      <c r="P7280" t="s">
        <v>26560</v>
      </c>
      <c r="Q7280" t="s">
        <v>26568</v>
      </c>
      <c r="R7280" t="s">
        <v>26578</v>
      </c>
      <c r="S7280" t="s">
        <v>18959</v>
      </c>
      <c r="U7280" t="s">
        <v>26604</v>
      </c>
      <c r="V7280" t="s">
        <v>26610</v>
      </c>
      <c r="W7280" t="s">
        <v>803</v>
      </c>
      <c r="X7280">
        <v>1700</v>
      </c>
      <c r="Y7280" t="s">
        <v>26652</v>
      </c>
      <c r="Z7280" t="s">
        <v>26659</v>
      </c>
      <c r="AA7280" t="s">
        <v>26683</v>
      </c>
      <c r="AB7280" t="s">
        <v>32168</v>
      </c>
      <c r="AD7280" t="s">
        <v>42521</v>
      </c>
      <c r="AE7280">
        <v>0</v>
      </c>
      <c r="AF7280" t="s">
        <v>45541</v>
      </c>
      <c r="AG7280" t="s">
        <v>45556</v>
      </c>
      <c r="AH7280">
        <v>8</v>
      </c>
      <c r="AI7280">
        <v>2</v>
      </c>
      <c r="AJ7280">
        <v>2</v>
      </c>
      <c r="AK7280">
        <v>36.4</v>
      </c>
      <c r="AN7280" t="s">
        <v>7439</v>
      </c>
      <c r="AO7280">
        <v>9372</v>
      </c>
      <c r="AU7280">
        <v>17.6</v>
      </c>
      <c r="AV7280" t="s">
        <v>830</v>
      </c>
      <c r="AW7280" t="s">
        <v>286</v>
      </c>
      <c r="AX7280" t="s">
        <v>46897</v>
      </c>
    </row>
    <row r="7281" spans="1:50">
      <c r="A7281" s="1">
        <f>HYPERLINK("https://lsnyc.legalserver.org/matter/dynamic-profile/view/1892066","19-1892066")</f>
        <v>0</v>
      </c>
      <c r="B7281" t="s">
        <v>105</v>
      </c>
      <c r="C7281" t="s">
        <v>341</v>
      </c>
      <c r="D7281" t="s">
        <v>758</v>
      </c>
      <c r="E7281" t="s">
        <v>805</v>
      </c>
      <c r="F7281" t="s">
        <v>1072</v>
      </c>
      <c r="G7281" t="s">
        <v>8272</v>
      </c>
      <c r="H7281" t="s">
        <v>14677</v>
      </c>
      <c r="I7281" t="s">
        <v>17291</v>
      </c>
      <c r="J7281" t="s">
        <v>18932</v>
      </c>
      <c r="K7281">
        <v>11385</v>
      </c>
      <c r="L7281" t="s">
        <v>18958</v>
      </c>
      <c r="M7281" t="s">
        <v>18958</v>
      </c>
      <c r="N7281" t="s">
        <v>24160</v>
      </c>
      <c r="O7281" t="s">
        <v>26523</v>
      </c>
      <c r="P7281" t="s">
        <v>26560</v>
      </c>
      <c r="Q7281" t="s">
        <v>26568</v>
      </c>
      <c r="R7281" t="s">
        <v>26585</v>
      </c>
      <c r="S7281" t="s">
        <v>18959</v>
      </c>
      <c r="U7281" t="s">
        <v>26604</v>
      </c>
      <c r="W7281" t="s">
        <v>803</v>
      </c>
      <c r="X7281">
        <v>1153</v>
      </c>
      <c r="Y7281" t="s">
        <v>26653</v>
      </c>
      <c r="Z7281" t="s">
        <v>26668</v>
      </c>
      <c r="AA7281" t="s">
        <v>26678</v>
      </c>
      <c r="AB7281" t="s">
        <v>32169</v>
      </c>
      <c r="AC7281" t="s">
        <v>36307</v>
      </c>
      <c r="AD7281" t="s">
        <v>42522</v>
      </c>
      <c r="AE7281">
        <v>6</v>
      </c>
      <c r="AF7281" t="s">
        <v>20460</v>
      </c>
      <c r="AG7281" t="s">
        <v>19330</v>
      </c>
      <c r="AH7281">
        <v>19</v>
      </c>
      <c r="AI7281">
        <v>1</v>
      </c>
      <c r="AJ7281">
        <v>0</v>
      </c>
      <c r="AK7281">
        <v>0</v>
      </c>
      <c r="AN7281" t="s">
        <v>7439</v>
      </c>
      <c r="AO7281">
        <v>0</v>
      </c>
      <c r="AQ7281" t="s">
        <v>46362</v>
      </c>
      <c r="AR7281" t="s">
        <v>46380</v>
      </c>
      <c r="AS7281" t="s">
        <v>46499</v>
      </c>
      <c r="AT7281" t="s">
        <v>46780</v>
      </c>
      <c r="AU7281">
        <v>7.5</v>
      </c>
      <c r="AV7281" t="s">
        <v>805</v>
      </c>
      <c r="AW7281" t="s">
        <v>208</v>
      </c>
      <c r="AX7281" t="s">
        <v>46897</v>
      </c>
    </row>
    <row r="7282" spans="1:50">
      <c r="A7282" s="1">
        <f>HYPERLINK("https://lsnyc.legalserver.org/matter/dynamic-profile/view/1894582","19-1894582")</f>
        <v>0</v>
      </c>
      <c r="B7282" t="s">
        <v>125</v>
      </c>
      <c r="C7282" t="s">
        <v>340</v>
      </c>
      <c r="D7282" t="s">
        <v>788</v>
      </c>
      <c r="F7282" t="s">
        <v>970</v>
      </c>
      <c r="G7282" t="s">
        <v>8273</v>
      </c>
      <c r="H7282" t="s">
        <v>13775</v>
      </c>
      <c r="I7282" t="s">
        <v>18454</v>
      </c>
      <c r="J7282" t="s">
        <v>18894</v>
      </c>
      <c r="K7282">
        <v>11208</v>
      </c>
      <c r="L7282" t="s">
        <v>18958</v>
      </c>
      <c r="M7282" t="s">
        <v>18959</v>
      </c>
      <c r="N7282" t="s">
        <v>24161</v>
      </c>
      <c r="O7282" t="s">
        <v>26523</v>
      </c>
      <c r="P7282" t="s">
        <v>26560</v>
      </c>
      <c r="R7282" t="s">
        <v>26578</v>
      </c>
      <c r="S7282" t="s">
        <v>18959</v>
      </c>
      <c r="U7282" t="s">
        <v>26604</v>
      </c>
      <c r="V7282" t="s">
        <v>26610</v>
      </c>
      <c r="W7282" t="s">
        <v>803</v>
      </c>
      <c r="X7282">
        <v>1174</v>
      </c>
      <c r="Y7282" t="s">
        <v>26652</v>
      </c>
      <c r="Z7282" t="s">
        <v>26664</v>
      </c>
      <c r="AB7282" t="s">
        <v>32170</v>
      </c>
      <c r="AC7282" t="s">
        <v>36308</v>
      </c>
      <c r="AD7282" t="s">
        <v>42523</v>
      </c>
      <c r="AE7282">
        <v>0</v>
      </c>
      <c r="AF7282" t="s">
        <v>45541</v>
      </c>
      <c r="AG7282" t="s">
        <v>45560</v>
      </c>
      <c r="AH7282">
        <v>4</v>
      </c>
      <c r="AI7282">
        <v>1</v>
      </c>
      <c r="AJ7282">
        <v>0</v>
      </c>
      <c r="AK7282">
        <v>87.43000000000001</v>
      </c>
      <c r="AN7282" t="s">
        <v>7439</v>
      </c>
      <c r="AO7282">
        <v>10920</v>
      </c>
      <c r="AU7282">
        <v>19</v>
      </c>
      <c r="AV7282" t="s">
        <v>839</v>
      </c>
      <c r="AW7282" t="s">
        <v>279</v>
      </c>
      <c r="AX7282" t="s">
        <v>46897</v>
      </c>
    </row>
    <row r="7283" spans="1:50">
      <c r="A7283" s="1">
        <f>HYPERLINK("https://lsnyc.legalserver.org/matter/dynamic-profile/view/1896687","19-1896687")</f>
        <v>0</v>
      </c>
      <c r="B7283" t="s">
        <v>269</v>
      </c>
      <c r="C7283" t="s">
        <v>341</v>
      </c>
      <c r="D7283" t="s">
        <v>671</v>
      </c>
      <c r="E7283" t="s">
        <v>836</v>
      </c>
      <c r="F7283" t="s">
        <v>1552</v>
      </c>
      <c r="G7283" t="s">
        <v>5330</v>
      </c>
      <c r="H7283" t="s">
        <v>14678</v>
      </c>
      <c r="I7283" t="s">
        <v>17272</v>
      </c>
      <c r="J7283" t="s">
        <v>18892</v>
      </c>
      <c r="K7283">
        <v>10474</v>
      </c>
      <c r="L7283" t="s">
        <v>18958</v>
      </c>
      <c r="M7283" t="s">
        <v>18958</v>
      </c>
      <c r="N7283" t="s">
        <v>24162</v>
      </c>
      <c r="O7283" t="s">
        <v>26524</v>
      </c>
      <c r="P7283" t="s">
        <v>26564</v>
      </c>
      <c r="Q7283" t="s">
        <v>26570</v>
      </c>
      <c r="R7283" t="s">
        <v>26577</v>
      </c>
      <c r="S7283" t="s">
        <v>18959</v>
      </c>
      <c r="U7283" t="s">
        <v>26604</v>
      </c>
      <c r="W7283" t="s">
        <v>803</v>
      </c>
      <c r="X7283">
        <v>1710</v>
      </c>
      <c r="Y7283" t="s">
        <v>26650</v>
      </c>
      <c r="Z7283" t="s">
        <v>26668</v>
      </c>
      <c r="AA7283" t="s">
        <v>26683</v>
      </c>
      <c r="AB7283" t="s">
        <v>29865</v>
      </c>
      <c r="AC7283" t="s">
        <v>36309</v>
      </c>
      <c r="AD7283" t="s">
        <v>42524</v>
      </c>
      <c r="AE7283">
        <v>3</v>
      </c>
      <c r="AF7283" t="s">
        <v>45545</v>
      </c>
      <c r="AG7283" t="s">
        <v>45557</v>
      </c>
      <c r="AH7283">
        <v>6</v>
      </c>
      <c r="AI7283">
        <v>1</v>
      </c>
      <c r="AJ7283">
        <v>4</v>
      </c>
      <c r="AK7283">
        <v>89.48999999999999</v>
      </c>
      <c r="AN7283" t="s">
        <v>7439</v>
      </c>
      <c r="AO7283">
        <v>27000</v>
      </c>
      <c r="AU7283">
        <v>6.25</v>
      </c>
      <c r="AV7283" t="s">
        <v>801</v>
      </c>
      <c r="AW7283" t="s">
        <v>46847</v>
      </c>
      <c r="AX7283" t="s">
        <v>46897</v>
      </c>
    </row>
    <row r="7284" spans="1:50">
      <c r="A7284" s="1">
        <f>HYPERLINK("https://lsnyc.legalserver.org/matter/dynamic-profile/view/1896674","19-1896674")</f>
        <v>0</v>
      </c>
      <c r="B7284" t="s">
        <v>120</v>
      </c>
      <c r="C7284" t="s">
        <v>340</v>
      </c>
      <c r="D7284" t="s">
        <v>671</v>
      </c>
      <c r="F7284" t="s">
        <v>3914</v>
      </c>
      <c r="G7284" t="s">
        <v>8274</v>
      </c>
      <c r="H7284" t="s">
        <v>12340</v>
      </c>
      <c r="I7284">
        <v>302</v>
      </c>
      <c r="J7284" t="s">
        <v>18892</v>
      </c>
      <c r="K7284">
        <v>10457</v>
      </c>
      <c r="L7284" t="s">
        <v>18958</v>
      </c>
      <c r="M7284" t="s">
        <v>18958</v>
      </c>
      <c r="N7284" t="s">
        <v>24163</v>
      </c>
      <c r="O7284" t="s">
        <v>26523</v>
      </c>
      <c r="P7284" t="s">
        <v>26560</v>
      </c>
      <c r="R7284" t="s">
        <v>26578</v>
      </c>
      <c r="S7284" t="s">
        <v>18959</v>
      </c>
      <c r="U7284" t="s">
        <v>26604</v>
      </c>
      <c r="V7284" t="s">
        <v>26610</v>
      </c>
      <c r="W7284" t="s">
        <v>803</v>
      </c>
      <c r="X7284">
        <v>2000</v>
      </c>
      <c r="Y7284" t="s">
        <v>26650</v>
      </c>
      <c r="Z7284" t="s">
        <v>26668</v>
      </c>
      <c r="AB7284" t="s">
        <v>32171</v>
      </c>
      <c r="AC7284" t="s">
        <v>36310</v>
      </c>
      <c r="AD7284" t="s">
        <v>42525</v>
      </c>
      <c r="AE7284">
        <v>48</v>
      </c>
      <c r="AF7284" t="s">
        <v>45543</v>
      </c>
      <c r="AG7284" t="s">
        <v>45556</v>
      </c>
      <c r="AH7284">
        <v>10</v>
      </c>
      <c r="AI7284">
        <v>2</v>
      </c>
      <c r="AJ7284">
        <v>5</v>
      </c>
      <c r="AK7284">
        <v>62.65</v>
      </c>
      <c r="AN7284" t="s">
        <v>7439</v>
      </c>
      <c r="AO7284">
        <v>24440</v>
      </c>
      <c r="AU7284">
        <v>5.1</v>
      </c>
      <c r="AV7284" t="s">
        <v>823</v>
      </c>
      <c r="AW7284" t="s">
        <v>329</v>
      </c>
    </row>
    <row r="7285" spans="1:50">
      <c r="A7285" s="1">
        <f>HYPERLINK("https://lsnyc.legalserver.org/matter/dynamic-profile/view/1896672","19-1896672")</f>
        <v>0</v>
      </c>
      <c r="B7285" t="s">
        <v>120</v>
      </c>
      <c r="C7285" t="s">
        <v>340</v>
      </c>
      <c r="D7285" t="s">
        <v>671</v>
      </c>
      <c r="F7285" t="s">
        <v>1206</v>
      </c>
      <c r="G7285" t="s">
        <v>5078</v>
      </c>
      <c r="H7285" t="s">
        <v>14679</v>
      </c>
      <c r="I7285" t="s">
        <v>17356</v>
      </c>
      <c r="J7285" t="s">
        <v>18892</v>
      </c>
      <c r="K7285">
        <v>10463</v>
      </c>
      <c r="L7285" t="s">
        <v>18958</v>
      </c>
      <c r="M7285" t="s">
        <v>18958</v>
      </c>
      <c r="N7285" t="s">
        <v>24164</v>
      </c>
      <c r="O7285" t="s">
        <v>26524</v>
      </c>
      <c r="P7285" t="s">
        <v>26560</v>
      </c>
      <c r="R7285" t="s">
        <v>26577</v>
      </c>
      <c r="S7285" t="s">
        <v>18959</v>
      </c>
      <c r="U7285" t="s">
        <v>26604</v>
      </c>
      <c r="V7285" t="s">
        <v>26610</v>
      </c>
      <c r="W7285" t="s">
        <v>803</v>
      </c>
      <c r="X7285">
        <v>1248</v>
      </c>
      <c r="Y7285" t="s">
        <v>26650</v>
      </c>
      <c r="Z7285" t="s">
        <v>26664</v>
      </c>
      <c r="AB7285" t="s">
        <v>32172</v>
      </c>
      <c r="AC7285" t="s">
        <v>36311</v>
      </c>
      <c r="AD7285" t="s">
        <v>42526</v>
      </c>
      <c r="AE7285">
        <v>45</v>
      </c>
      <c r="AF7285" t="s">
        <v>45541</v>
      </c>
      <c r="AG7285" t="s">
        <v>19330</v>
      </c>
      <c r="AH7285">
        <v>10</v>
      </c>
      <c r="AI7285">
        <v>2</v>
      </c>
      <c r="AJ7285">
        <v>0</v>
      </c>
      <c r="AK7285">
        <v>182.14</v>
      </c>
      <c r="AN7285" t="s">
        <v>7439</v>
      </c>
      <c r="AO7285">
        <v>30800</v>
      </c>
      <c r="AU7285">
        <v>11</v>
      </c>
      <c r="AV7285" t="s">
        <v>835</v>
      </c>
      <c r="AW7285" t="s">
        <v>46847</v>
      </c>
    </row>
    <row r="7286" spans="1:50">
      <c r="A7286" s="1">
        <f>HYPERLINK("https://lsnyc.legalserver.org/matter/dynamic-profile/view/1896904","19-1896904")</f>
        <v>0</v>
      </c>
      <c r="B7286" t="s">
        <v>198</v>
      </c>
      <c r="C7286" t="s">
        <v>341</v>
      </c>
      <c r="D7286" t="s">
        <v>803</v>
      </c>
      <c r="E7286" t="s">
        <v>767</v>
      </c>
      <c r="F7286" t="s">
        <v>1134</v>
      </c>
      <c r="G7286" t="s">
        <v>5074</v>
      </c>
      <c r="H7286" t="s">
        <v>14680</v>
      </c>
      <c r="I7286" t="s">
        <v>17284</v>
      </c>
      <c r="J7286" t="s">
        <v>18894</v>
      </c>
      <c r="K7286">
        <v>11230</v>
      </c>
      <c r="L7286" t="s">
        <v>18960</v>
      </c>
      <c r="M7286" t="s">
        <v>18960</v>
      </c>
      <c r="P7286" t="s">
        <v>26564</v>
      </c>
      <c r="Q7286" t="s">
        <v>26570</v>
      </c>
      <c r="R7286" t="s">
        <v>26578</v>
      </c>
      <c r="U7286" t="s">
        <v>26604</v>
      </c>
      <c r="W7286" t="s">
        <v>803</v>
      </c>
      <c r="X7286">
        <v>0</v>
      </c>
      <c r="Y7286" t="s">
        <v>26652</v>
      </c>
      <c r="AA7286" t="s">
        <v>26683</v>
      </c>
      <c r="AB7286" t="s">
        <v>32173</v>
      </c>
      <c r="AD7286" t="s">
        <v>42527</v>
      </c>
      <c r="AE7286">
        <v>0</v>
      </c>
      <c r="AH7286">
        <v>0</v>
      </c>
      <c r="AI7286">
        <v>1</v>
      </c>
      <c r="AJ7286">
        <v>3</v>
      </c>
      <c r="AK7286">
        <v>10.02</v>
      </c>
      <c r="AN7286" t="s">
        <v>7439</v>
      </c>
      <c r="AO7286">
        <v>2580</v>
      </c>
      <c r="AU7286">
        <v>1.4</v>
      </c>
      <c r="AV7286" t="s">
        <v>767</v>
      </c>
      <c r="AW7286" t="s">
        <v>198</v>
      </c>
    </row>
    <row r="7287" spans="1:50">
      <c r="A7287" s="1">
        <f>HYPERLINK("https://lsnyc.legalserver.org/matter/dynamic-profile/view/1896960","19-1896960")</f>
        <v>0</v>
      </c>
      <c r="B7287" t="s">
        <v>205</v>
      </c>
      <c r="C7287" t="s">
        <v>341</v>
      </c>
      <c r="D7287" t="s">
        <v>803</v>
      </c>
      <c r="E7287" t="s">
        <v>830</v>
      </c>
      <c r="F7287" t="s">
        <v>3915</v>
      </c>
      <c r="G7287" t="s">
        <v>8275</v>
      </c>
      <c r="H7287" t="s">
        <v>14681</v>
      </c>
      <c r="J7287" t="s">
        <v>18894</v>
      </c>
      <c r="K7287">
        <v>11208</v>
      </c>
      <c r="L7287" t="s">
        <v>18959</v>
      </c>
      <c r="M7287" t="s">
        <v>18959</v>
      </c>
      <c r="N7287" t="s">
        <v>18993</v>
      </c>
      <c r="O7287" t="s">
        <v>18997</v>
      </c>
      <c r="P7287" t="s">
        <v>26564</v>
      </c>
      <c r="Q7287" t="s">
        <v>26570</v>
      </c>
      <c r="R7287" t="s">
        <v>26578</v>
      </c>
      <c r="S7287" t="s">
        <v>18959</v>
      </c>
      <c r="U7287" t="s">
        <v>26604</v>
      </c>
      <c r="V7287" t="s">
        <v>26610</v>
      </c>
      <c r="W7287" t="s">
        <v>803</v>
      </c>
      <c r="X7287">
        <v>700</v>
      </c>
      <c r="Y7287" t="s">
        <v>26652</v>
      </c>
      <c r="Z7287" t="s">
        <v>26659</v>
      </c>
      <c r="AA7287" t="s">
        <v>26683</v>
      </c>
      <c r="AB7287" t="s">
        <v>32174</v>
      </c>
      <c r="AD7287" t="s">
        <v>42528</v>
      </c>
      <c r="AE7287">
        <v>4</v>
      </c>
      <c r="AF7287" t="s">
        <v>45547</v>
      </c>
      <c r="AG7287" t="s">
        <v>19330</v>
      </c>
      <c r="AH7287">
        <v>1</v>
      </c>
      <c r="AI7287">
        <v>1</v>
      </c>
      <c r="AJ7287">
        <v>0</v>
      </c>
      <c r="AK7287">
        <v>114.43</v>
      </c>
      <c r="AN7287" t="s">
        <v>7439</v>
      </c>
      <c r="AO7287">
        <v>14292</v>
      </c>
      <c r="AU7287">
        <v>0.6</v>
      </c>
      <c r="AV7287" t="s">
        <v>803</v>
      </c>
      <c r="AW7287" t="s">
        <v>205</v>
      </c>
    </row>
    <row r="7288" spans="1:50">
      <c r="A7288" s="1">
        <f>HYPERLINK("https://lsnyc.legalserver.org/matter/dynamic-profile/view/1896949","19-1896949")</f>
        <v>0</v>
      </c>
      <c r="B7288" t="s">
        <v>97</v>
      </c>
      <c r="C7288" t="s">
        <v>340</v>
      </c>
      <c r="D7288" t="s">
        <v>803</v>
      </c>
      <c r="F7288" t="s">
        <v>1944</v>
      </c>
      <c r="G7288" t="s">
        <v>2975</v>
      </c>
      <c r="H7288" t="s">
        <v>14682</v>
      </c>
      <c r="I7288" t="s">
        <v>17410</v>
      </c>
      <c r="J7288" t="s">
        <v>18892</v>
      </c>
      <c r="K7288">
        <v>10460</v>
      </c>
      <c r="L7288" t="s">
        <v>18958</v>
      </c>
      <c r="M7288" t="s">
        <v>18960</v>
      </c>
      <c r="N7288" t="s">
        <v>24165</v>
      </c>
      <c r="O7288" t="s">
        <v>26524</v>
      </c>
      <c r="P7288" t="s">
        <v>26560</v>
      </c>
      <c r="R7288" t="s">
        <v>26577</v>
      </c>
      <c r="U7288" t="s">
        <v>26604</v>
      </c>
      <c r="W7288" t="s">
        <v>803</v>
      </c>
      <c r="X7288">
        <v>945.88</v>
      </c>
      <c r="Y7288" t="s">
        <v>26650</v>
      </c>
      <c r="AB7288" t="s">
        <v>30625</v>
      </c>
      <c r="AD7288" t="s">
        <v>42529</v>
      </c>
      <c r="AE7288">
        <v>0</v>
      </c>
      <c r="AH7288">
        <v>6</v>
      </c>
      <c r="AI7288">
        <v>2</v>
      </c>
      <c r="AJ7288">
        <v>1</v>
      </c>
      <c r="AK7288">
        <v>145.34</v>
      </c>
      <c r="AN7288" t="s">
        <v>45581</v>
      </c>
      <c r="AO7288">
        <v>31000</v>
      </c>
      <c r="AU7288">
        <v>13.45</v>
      </c>
      <c r="AV7288" t="s">
        <v>821</v>
      </c>
      <c r="AW7288" t="s">
        <v>46836</v>
      </c>
      <c r="AX7288" t="s">
        <v>46897</v>
      </c>
    </row>
    <row r="7289" spans="1:50">
      <c r="A7289" s="1">
        <f>HYPERLINK("https://lsnyc.legalserver.org/matter/dynamic-profile/view/1896934","19-1896934")</f>
        <v>0</v>
      </c>
      <c r="B7289" t="s">
        <v>262</v>
      </c>
      <c r="C7289" t="s">
        <v>340</v>
      </c>
      <c r="D7289" t="s">
        <v>803</v>
      </c>
      <c r="F7289" t="s">
        <v>1257</v>
      </c>
      <c r="G7289" t="s">
        <v>5635</v>
      </c>
      <c r="H7289" t="s">
        <v>14683</v>
      </c>
      <c r="I7289">
        <v>52</v>
      </c>
      <c r="J7289" t="s">
        <v>18892</v>
      </c>
      <c r="K7289">
        <v>10452</v>
      </c>
      <c r="L7289" t="s">
        <v>18958</v>
      </c>
      <c r="M7289" t="s">
        <v>18958</v>
      </c>
      <c r="N7289" t="s">
        <v>24166</v>
      </c>
      <c r="O7289" t="s">
        <v>26523</v>
      </c>
      <c r="P7289" t="s">
        <v>26564</v>
      </c>
      <c r="R7289" t="s">
        <v>26577</v>
      </c>
      <c r="S7289" t="s">
        <v>18959</v>
      </c>
      <c r="U7289" t="s">
        <v>26604</v>
      </c>
      <c r="V7289" t="s">
        <v>26611</v>
      </c>
      <c r="W7289" t="s">
        <v>803</v>
      </c>
      <c r="X7289">
        <v>1168.44</v>
      </c>
      <c r="Y7289" t="s">
        <v>26650</v>
      </c>
      <c r="Z7289" t="s">
        <v>26663</v>
      </c>
      <c r="AB7289" t="s">
        <v>32175</v>
      </c>
      <c r="AD7289" t="s">
        <v>42530</v>
      </c>
      <c r="AE7289">
        <v>54</v>
      </c>
      <c r="AF7289" t="s">
        <v>45541</v>
      </c>
      <c r="AG7289" t="s">
        <v>19330</v>
      </c>
      <c r="AH7289">
        <v>5</v>
      </c>
      <c r="AI7289">
        <v>3</v>
      </c>
      <c r="AJ7289">
        <v>0</v>
      </c>
      <c r="AK7289">
        <v>111.7</v>
      </c>
      <c r="AN7289" t="s">
        <v>45581</v>
      </c>
      <c r="AO7289">
        <v>23826</v>
      </c>
      <c r="AP7289" t="s">
        <v>46040</v>
      </c>
      <c r="AU7289">
        <v>5.8</v>
      </c>
      <c r="AV7289" t="s">
        <v>762</v>
      </c>
      <c r="AW7289" t="s">
        <v>336</v>
      </c>
      <c r="AX7289" t="s">
        <v>46897</v>
      </c>
    </row>
    <row r="7290" spans="1:50">
      <c r="A7290" s="1">
        <f>HYPERLINK("https://lsnyc.legalserver.org/matter/dynamic-profile/view/1896865","19-1896865")</f>
        <v>0</v>
      </c>
      <c r="B7290" t="s">
        <v>68</v>
      </c>
      <c r="C7290" t="s">
        <v>340</v>
      </c>
      <c r="D7290" t="s">
        <v>803</v>
      </c>
      <c r="F7290" t="s">
        <v>1033</v>
      </c>
      <c r="G7290" t="s">
        <v>5121</v>
      </c>
      <c r="H7290" t="s">
        <v>14684</v>
      </c>
      <c r="I7290" t="s">
        <v>17276</v>
      </c>
      <c r="J7290" t="s">
        <v>18892</v>
      </c>
      <c r="K7290">
        <v>10457</v>
      </c>
      <c r="L7290" t="s">
        <v>18958</v>
      </c>
      <c r="M7290" t="s">
        <v>18958</v>
      </c>
      <c r="N7290" t="s">
        <v>24167</v>
      </c>
      <c r="O7290" t="s">
        <v>26523</v>
      </c>
      <c r="P7290" t="s">
        <v>26560</v>
      </c>
      <c r="R7290" t="s">
        <v>26579</v>
      </c>
      <c r="S7290" t="s">
        <v>18959</v>
      </c>
      <c r="U7290" t="s">
        <v>26604</v>
      </c>
      <c r="V7290" t="s">
        <v>26610</v>
      </c>
      <c r="W7290" t="s">
        <v>803</v>
      </c>
      <c r="X7290">
        <v>1049.29</v>
      </c>
      <c r="Y7290" t="s">
        <v>26650</v>
      </c>
      <c r="Z7290" t="s">
        <v>26664</v>
      </c>
      <c r="AB7290" t="s">
        <v>32176</v>
      </c>
      <c r="AD7290" t="s">
        <v>42531</v>
      </c>
      <c r="AE7290">
        <v>54</v>
      </c>
      <c r="AF7290" t="s">
        <v>45541</v>
      </c>
      <c r="AG7290" t="s">
        <v>19330</v>
      </c>
      <c r="AH7290">
        <v>8</v>
      </c>
      <c r="AI7290">
        <v>2</v>
      </c>
      <c r="AJ7290">
        <v>1</v>
      </c>
      <c r="AK7290">
        <v>192.22</v>
      </c>
      <c r="AN7290" t="s">
        <v>7439</v>
      </c>
      <c r="AO7290">
        <v>41000</v>
      </c>
      <c r="AR7290" t="s">
        <v>46385</v>
      </c>
      <c r="AS7290" t="s">
        <v>46499</v>
      </c>
      <c r="AT7290" t="s">
        <v>46619</v>
      </c>
      <c r="AU7290">
        <v>2</v>
      </c>
      <c r="AV7290" t="s">
        <v>806</v>
      </c>
      <c r="AW7290" t="s">
        <v>46867</v>
      </c>
    </row>
    <row r="7291" spans="1:50">
      <c r="A7291" s="1">
        <f>HYPERLINK("https://lsnyc.legalserver.org/matter/dynamic-profile/view/1896885","19-1896885")</f>
        <v>0</v>
      </c>
      <c r="B7291" t="s">
        <v>121</v>
      </c>
      <c r="C7291" t="s">
        <v>340</v>
      </c>
      <c r="D7291" t="s">
        <v>803</v>
      </c>
      <c r="F7291" t="s">
        <v>1371</v>
      </c>
      <c r="G7291" t="s">
        <v>6218</v>
      </c>
      <c r="H7291" t="s">
        <v>10447</v>
      </c>
      <c r="I7291" t="s">
        <v>18455</v>
      </c>
      <c r="J7291" t="s">
        <v>18892</v>
      </c>
      <c r="K7291">
        <v>10453</v>
      </c>
      <c r="L7291" t="s">
        <v>18958</v>
      </c>
      <c r="M7291" t="s">
        <v>18958</v>
      </c>
      <c r="N7291" t="s">
        <v>24168</v>
      </c>
      <c r="O7291" t="s">
        <v>26523</v>
      </c>
      <c r="P7291" t="s">
        <v>26560</v>
      </c>
      <c r="R7291" t="s">
        <v>26577</v>
      </c>
      <c r="S7291" t="s">
        <v>18959</v>
      </c>
      <c r="U7291" t="s">
        <v>26604</v>
      </c>
      <c r="V7291" t="s">
        <v>26610</v>
      </c>
      <c r="W7291" t="s">
        <v>803</v>
      </c>
      <c r="X7291">
        <v>1600</v>
      </c>
      <c r="Y7291" t="s">
        <v>26650</v>
      </c>
      <c r="Z7291" t="s">
        <v>26668</v>
      </c>
      <c r="AB7291" t="s">
        <v>32177</v>
      </c>
      <c r="AC7291" t="s">
        <v>36312</v>
      </c>
      <c r="AD7291" t="s">
        <v>42532</v>
      </c>
      <c r="AE7291">
        <v>43</v>
      </c>
      <c r="AF7291" t="s">
        <v>45543</v>
      </c>
      <c r="AG7291" t="s">
        <v>45556</v>
      </c>
      <c r="AH7291">
        <v>4</v>
      </c>
      <c r="AI7291">
        <v>1</v>
      </c>
      <c r="AJ7291">
        <v>3</v>
      </c>
      <c r="AK7291">
        <v>54.5</v>
      </c>
      <c r="AN7291" t="s">
        <v>7439</v>
      </c>
      <c r="AO7291">
        <v>14034</v>
      </c>
      <c r="AU7291">
        <v>11.9</v>
      </c>
      <c r="AV7291" t="s">
        <v>834</v>
      </c>
      <c r="AW7291" t="s">
        <v>46871</v>
      </c>
    </row>
    <row r="7292" spans="1:50">
      <c r="A7292" s="1">
        <f>HYPERLINK("https://lsnyc.legalserver.org/matter/dynamic-profile/view/1896851","19-1896851")</f>
        <v>0</v>
      </c>
      <c r="B7292" t="s">
        <v>275</v>
      </c>
      <c r="C7292" t="s">
        <v>340</v>
      </c>
      <c r="D7292" t="s">
        <v>803</v>
      </c>
      <c r="F7292" t="s">
        <v>2273</v>
      </c>
      <c r="G7292" t="s">
        <v>8276</v>
      </c>
      <c r="H7292" t="s">
        <v>14685</v>
      </c>
      <c r="I7292" t="s">
        <v>17272</v>
      </c>
      <c r="J7292" t="s">
        <v>18892</v>
      </c>
      <c r="K7292">
        <v>10468</v>
      </c>
      <c r="L7292" t="s">
        <v>18958</v>
      </c>
      <c r="M7292" t="s">
        <v>18958</v>
      </c>
      <c r="N7292" t="s">
        <v>24169</v>
      </c>
      <c r="O7292" t="s">
        <v>26523</v>
      </c>
      <c r="P7292" t="s">
        <v>26560</v>
      </c>
      <c r="R7292" t="s">
        <v>26579</v>
      </c>
      <c r="S7292" t="s">
        <v>18959</v>
      </c>
      <c r="U7292" t="s">
        <v>26604</v>
      </c>
      <c r="W7292" t="s">
        <v>803</v>
      </c>
      <c r="X7292">
        <v>2086.54</v>
      </c>
      <c r="Y7292" t="s">
        <v>26650</v>
      </c>
      <c r="Z7292" t="s">
        <v>26668</v>
      </c>
      <c r="AB7292" t="s">
        <v>32178</v>
      </c>
      <c r="AE7292">
        <v>0</v>
      </c>
      <c r="AF7292" t="s">
        <v>45541</v>
      </c>
      <c r="AG7292" t="s">
        <v>19330</v>
      </c>
      <c r="AH7292">
        <v>4</v>
      </c>
      <c r="AI7292">
        <v>2</v>
      </c>
      <c r="AJ7292">
        <v>3</v>
      </c>
      <c r="AK7292">
        <v>293.01</v>
      </c>
      <c r="AL7292" t="s">
        <v>801</v>
      </c>
      <c r="AM7292" t="s">
        <v>45575</v>
      </c>
      <c r="AN7292" t="s">
        <v>45581</v>
      </c>
      <c r="AO7292">
        <v>88400</v>
      </c>
      <c r="AU7292">
        <v>11.1</v>
      </c>
      <c r="AV7292" t="s">
        <v>823</v>
      </c>
      <c r="AW7292" t="s">
        <v>46870</v>
      </c>
      <c r="AX7292" t="s">
        <v>46897</v>
      </c>
    </row>
    <row r="7293" spans="1:50">
      <c r="A7293" s="1">
        <f>HYPERLINK("https://lsnyc.legalserver.org/matter/dynamic-profile/view/1897546","19-1897546")</f>
        <v>0</v>
      </c>
      <c r="B7293" t="s">
        <v>90</v>
      </c>
      <c r="C7293" t="s">
        <v>340</v>
      </c>
      <c r="D7293" t="s">
        <v>763</v>
      </c>
      <c r="F7293" t="s">
        <v>1527</v>
      </c>
      <c r="G7293" t="s">
        <v>6527</v>
      </c>
      <c r="H7293" t="s">
        <v>13656</v>
      </c>
      <c r="I7293" t="s">
        <v>17457</v>
      </c>
      <c r="J7293" t="s">
        <v>18893</v>
      </c>
      <c r="K7293">
        <v>10039</v>
      </c>
      <c r="L7293" t="s">
        <v>18958</v>
      </c>
      <c r="M7293" t="s">
        <v>18958</v>
      </c>
      <c r="N7293" t="s">
        <v>24170</v>
      </c>
      <c r="O7293" t="s">
        <v>26523</v>
      </c>
      <c r="P7293" t="s">
        <v>26560</v>
      </c>
      <c r="R7293" t="s">
        <v>26589</v>
      </c>
      <c r="S7293" t="s">
        <v>18959</v>
      </c>
      <c r="U7293" t="s">
        <v>26605</v>
      </c>
      <c r="V7293" t="s">
        <v>26610</v>
      </c>
      <c r="W7293" t="s">
        <v>803</v>
      </c>
      <c r="X7293">
        <v>844</v>
      </c>
      <c r="Y7293" t="s">
        <v>26651</v>
      </c>
      <c r="Z7293" t="s">
        <v>26671</v>
      </c>
      <c r="AB7293" t="s">
        <v>28983</v>
      </c>
      <c r="AD7293" t="s">
        <v>39040</v>
      </c>
      <c r="AE7293">
        <v>360</v>
      </c>
      <c r="AF7293" t="s">
        <v>45542</v>
      </c>
      <c r="AG7293" t="s">
        <v>19330</v>
      </c>
      <c r="AH7293">
        <v>12</v>
      </c>
      <c r="AI7293">
        <v>1</v>
      </c>
      <c r="AJ7293">
        <v>3</v>
      </c>
      <c r="AK7293">
        <v>71.86</v>
      </c>
      <c r="AL7293" t="s">
        <v>45567</v>
      </c>
      <c r="AM7293" t="s">
        <v>45577</v>
      </c>
      <c r="AN7293" t="s">
        <v>7439</v>
      </c>
      <c r="AO7293">
        <v>18504</v>
      </c>
      <c r="AU7293">
        <v>9.5</v>
      </c>
      <c r="AV7293" t="s">
        <v>821</v>
      </c>
      <c r="AW7293" t="s">
        <v>46835</v>
      </c>
    </row>
    <row r="7294" spans="1:50">
      <c r="A7294" s="1">
        <f>HYPERLINK("https://lsnyc.legalserver.org/matter/dynamic-profile/view/1898323","19-1898323")</f>
        <v>0</v>
      </c>
      <c r="B7294" t="s">
        <v>276</v>
      </c>
      <c r="C7294" t="s">
        <v>340</v>
      </c>
      <c r="D7294" t="s">
        <v>767</v>
      </c>
      <c r="F7294" t="s">
        <v>1179</v>
      </c>
      <c r="G7294" t="s">
        <v>8277</v>
      </c>
      <c r="H7294" t="s">
        <v>14686</v>
      </c>
      <c r="I7294" t="s">
        <v>17299</v>
      </c>
      <c r="J7294" t="s">
        <v>18894</v>
      </c>
      <c r="K7294">
        <v>11226</v>
      </c>
      <c r="L7294" t="s">
        <v>18958</v>
      </c>
      <c r="M7294" t="s">
        <v>18958</v>
      </c>
      <c r="O7294" t="s">
        <v>26526</v>
      </c>
      <c r="P7294" t="s">
        <v>26560</v>
      </c>
      <c r="R7294" t="s">
        <v>26578</v>
      </c>
      <c r="S7294" t="s">
        <v>18958</v>
      </c>
      <c r="U7294" t="s">
        <v>26604</v>
      </c>
      <c r="W7294" t="s">
        <v>803</v>
      </c>
      <c r="X7294">
        <v>988.01</v>
      </c>
      <c r="Y7294" t="s">
        <v>26652</v>
      </c>
      <c r="AB7294" t="s">
        <v>27329</v>
      </c>
      <c r="AE7294">
        <v>0</v>
      </c>
      <c r="AH7294">
        <v>30</v>
      </c>
      <c r="AI7294">
        <v>4</v>
      </c>
      <c r="AJ7294">
        <v>0</v>
      </c>
      <c r="AK7294">
        <v>248.54</v>
      </c>
      <c r="AN7294" t="s">
        <v>7439</v>
      </c>
      <c r="AO7294">
        <v>64000</v>
      </c>
      <c r="AU7294">
        <v>1.5</v>
      </c>
      <c r="AV7294" t="s">
        <v>768</v>
      </c>
      <c r="AW7294" t="s">
        <v>219</v>
      </c>
    </row>
    <row r="7295" spans="1:50">
      <c r="A7295" s="1">
        <f>HYPERLINK("https://lsnyc.legalserver.org/matter/dynamic-profile/view/1900468","19-1900468")</f>
        <v>0</v>
      </c>
      <c r="B7295" t="s">
        <v>174</v>
      </c>
      <c r="C7295" t="s">
        <v>340</v>
      </c>
      <c r="D7295" t="s">
        <v>804</v>
      </c>
      <c r="F7295" t="s">
        <v>2600</v>
      </c>
      <c r="G7295" t="s">
        <v>6835</v>
      </c>
      <c r="H7295" t="s">
        <v>12249</v>
      </c>
      <c r="I7295" t="s">
        <v>17291</v>
      </c>
      <c r="J7295" t="s">
        <v>18894</v>
      </c>
      <c r="K7295">
        <v>11213</v>
      </c>
      <c r="L7295" t="s">
        <v>18958</v>
      </c>
      <c r="M7295" t="s">
        <v>18960</v>
      </c>
      <c r="N7295" t="s">
        <v>24171</v>
      </c>
      <c r="O7295" t="s">
        <v>26523</v>
      </c>
      <c r="P7295" t="s">
        <v>26560</v>
      </c>
      <c r="R7295" t="s">
        <v>26578</v>
      </c>
      <c r="S7295" t="s">
        <v>18959</v>
      </c>
      <c r="U7295" t="s">
        <v>26604</v>
      </c>
      <c r="V7295" t="s">
        <v>26610</v>
      </c>
      <c r="W7295" t="s">
        <v>803</v>
      </c>
      <c r="X7295">
        <v>551</v>
      </c>
      <c r="Y7295" t="s">
        <v>26652</v>
      </c>
      <c r="Z7295" t="s">
        <v>26659</v>
      </c>
      <c r="AB7295" t="s">
        <v>29530</v>
      </c>
      <c r="AC7295" t="s">
        <v>19045</v>
      </c>
      <c r="AD7295" t="s">
        <v>39599</v>
      </c>
      <c r="AE7295">
        <v>6</v>
      </c>
      <c r="AF7295" t="s">
        <v>45541</v>
      </c>
      <c r="AG7295" t="s">
        <v>19330</v>
      </c>
      <c r="AH7295">
        <v>15</v>
      </c>
      <c r="AI7295">
        <v>2</v>
      </c>
      <c r="AJ7295">
        <v>0</v>
      </c>
      <c r="AK7295">
        <v>49.67</v>
      </c>
      <c r="AN7295" t="s">
        <v>7439</v>
      </c>
      <c r="AO7295">
        <v>8400</v>
      </c>
      <c r="AP7295" t="s">
        <v>46004</v>
      </c>
      <c r="AU7295">
        <v>17.7</v>
      </c>
      <c r="AV7295" t="s">
        <v>835</v>
      </c>
      <c r="AW7295" t="s">
        <v>279</v>
      </c>
      <c r="AX7295" t="s">
        <v>46897</v>
      </c>
    </row>
    <row r="7296" spans="1:50">
      <c r="A7296" s="1">
        <f>HYPERLINK("https://lsnyc.legalserver.org/matter/dynamic-profile/view/1900458","19-1900458")</f>
        <v>0</v>
      </c>
      <c r="B7296" t="s">
        <v>174</v>
      </c>
      <c r="C7296" t="s">
        <v>340</v>
      </c>
      <c r="D7296" t="s">
        <v>804</v>
      </c>
      <c r="F7296" t="s">
        <v>2601</v>
      </c>
      <c r="G7296" t="s">
        <v>1384</v>
      </c>
      <c r="H7296" t="s">
        <v>12249</v>
      </c>
      <c r="I7296" t="s">
        <v>17330</v>
      </c>
      <c r="J7296" t="s">
        <v>18894</v>
      </c>
      <c r="K7296">
        <v>11213</v>
      </c>
      <c r="L7296" t="s">
        <v>18958</v>
      </c>
      <c r="M7296" t="s">
        <v>18960</v>
      </c>
      <c r="N7296" t="s">
        <v>24172</v>
      </c>
      <c r="O7296" t="s">
        <v>26523</v>
      </c>
      <c r="P7296" t="s">
        <v>26560</v>
      </c>
      <c r="R7296" t="s">
        <v>26578</v>
      </c>
      <c r="S7296" t="s">
        <v>18959</v>
      </c>
      <c r="U7296" t="s">
        <v>26604</v>
      </c>
      <c r="V7296" t="s">
        <v>26610</v>
      </c>
      <c r="W7296" t="s">
        <v>803</v>
      </c>
      <c r="X7296">
        <v>855.86</v>
      </c>
      <c r="Y7296" t="s">
        <v>26652</v>
      </c>
      <c r="Z7296" t="s">
        <v>26659</v>
      </c>
      <c r="AB7296" t="s">
        <v>29532</v>
      </c>
      <c r="AE7296">
        <v>6</v>
      </c>
      <c r="AF7296" t="s">
        <v>45541</v>
      </c>
      <c r="AG7296" t="s">
        <v>19330</v>
      </c>
      <c r="AH7296">
        <v>26</v>
      </c>
      <c r="AI7296">
        <v>1</v>
      </c>
      <c r="AJ7296">
        <v>1</v>
      </c>
      <c r="AK7296">
        <v>52.58</v>
      </c>
      <c r="AN7296" t="s">
        <v>7439</v>
      </c>
      <c r="AO7296">
        <v>8892</v>
      </c>
      <c r="AP7296" t="s">
        <v>46041</v>
      </c>
      <c r="AU7296">
        <v>0.2</v>
      </c>
      <c r="AV7296" t="s">
        <v>814</v>
      </c>
      <c r="AW7296" t="s">
        <v>279</v>
      </c>
      <c r="AX7296" t="s">
        <v>46897</v>
      </c>
    </row>
    <row r="7297" spans="1:50">
      <c r="A7297" s="1">
        <f>HYPERLINK("https://lsnyc.legalserver.org/matter/dynamic-profile/view/1900473","19-1900473")</f>
        <v>0</v>
      </c>
      <c r="B7297" t="s">
        <v>174</v>
      </c>
      <c r="C7297" t="s">
        <v>340</v>
      </c>
      <c r="D7297" t="s">
        <v>804</v>
      </c>
      <c r="F7297" t="s">
        <v>1024</v>
      </c>
      <c r="G7297" t="s">
        <v>5575</v>
      </c>
      <c r="H7297" t="s">
        <v>12249</v>
      </c>
      <c r="I7297" t="s">
        <v>17331</v>
      </c>
      <c r="J7297" t="s">
        <v>18894</v>
      </c>
      <c r="K7297">
        <v>11213</v>
      </c>
      <c r="L7297" t="s">
        <v>18958</v>
      </c>
      <c r="M7297" t="s">
        <v>18960</v>
      </c>
      <c r="N7297" t="s">
        <v>24173</v>
      </c>
      <c r="O7297" t="s">
        <v>26523</v>
      </c>
      <c r="P7297" t="s">
        <v>26560</v>
      </c>
      <c r="R7297" t="s">
        <v>26578</v>
      </c>
      <c r="S7297" t="s">
        <v>18959</v>
      </c>
      <c r="U7297" t="s">
        <v>26604</v>
      </c>
      <c r="V7297" t="s">
        <v>26610</v>
      </c>
      <c r="W7297" t="s">
        <v>803</v>
      </c>
      <c r="X7297">
        <v>719</v>
      </c>
      <c r="Y7297" t="s">
        <v>26652</v>
      </c>
      <c r="Z7297" t="s">
        <v>26659</v>
      </c>
      <c r="AB7297" t="s">
        <v>29533</v>
      </c>
      <c r="AC7297" t="s">
        <v>34805</v>
      </c>
      <c r="AD7297" t="s">
        <v>39601</v>
      </c>
      <c r="AE7297">
        <v>6</v>
      </c>
      <c r="AF7297" t="s">
        <v>45541</v>
      </c>
      <c r="AG7297" t="s">
        <v>45558</v>
      </c>
      <c r="AH7297">
        <v>22</v>
      </c>
      <c r="AI7297">
        <v>5</v>
      </c>
      <c r="AJ7297">
        <v>1</v>
      </c>
      <c r="AK7297">
        <v>112.94</v>
      </c>
      <c r="AN7297" t="s">
        <v>7439</v>
      </c>
      <c r="AO7297">
        <v>39066</v>
      </c>
      <c r="AP7297" t="s">
        <v>46042</v>
      </c>
      <c r="AU7297">
        <v>6.8</v>
      </c>
      <c r="AV7297" t="s">
        <v>814</v>
      </c>
      <c r="AW7297" t="s">
        <v>279</v>
      </c>
      <c r="AX7297" t="s">
        <v>19330</v>
      </c>
    </row>
    <row r="7298" spans="1:50">
      <c r="A7298" s="1">
        <f>HYPERLINK("https://lsnyc.legalserver.org/matter/dynamic-profile/view/1900482","19-1900482")</f>
        <v>0</v>
      </c>
      <c r="B7298" t="s">
        <v>174</v>
      </c>
      <c r="C7298" t="s">
        <v>340</v>
      </c>
      <c r="D7298" t="s">
        <v>804</v>
      </c>
      <c r="F7298" t="s">
        <v>1027</v>
      </c>
      <c r="G7298" t="s">
        <v>6836</v>
      </c>
      <c r="H7298" t="s">
        <v>12249</v>
      </c>
      <c r="I7298" t="s">
        <v>17947</v>
      </c>
      <c r="J7298" t="s">
        <v>18894</v>
      </c>
      <c r="K7298">
        <v>11213</v>
      </c>
      <c r="L7298" t="s">
        <v>18959</v>
      </c>
      <c r="M7298" t="s">
        <v>18960</v>
      </c>
      <c r="N7298" t="s">
        <v>24174</v>
      </c>
      <c r="O7298" t="s">
        <v>26523</v>
      </c>
      <c r="P7298" t="s">
        <v>26560</v>
      </c>
      <c r="R7298" t="s">
        <v>26578</v>
      </c>
      <c r="S7298" t="s">
        <v>18959</v>
      </c>
      <c r="U7298" t="s">
        <v>26604</v>
      </c>
      <c r="V7298" t="s">
        <v>26610</v>
      </c>
      <c r="W7298" t="s">
        <v>803</v>
      </c>
      <c r="X7298">
        <v>540</v>
      </c>
      <c r="Y7298" t="s">
        <v>26652</v>
      </c>
      <c r="Z7298" t="s">
        <v>26659</v>
      </c>
      <c r="AB7298" t="s">
        <v>29531</v>
      </c>
      <c r="AC7298" t="s">
        <v>19330</v>
      </c>
      <c r="AD7298" t="s">
        <v>39600</v>
      </c>
      <c r="AE7298">
        <v>6</v>
      </c>
      <c r="AF7298" t="s">
        <v>45541</v>
      </c>
      <c r="AG7298" t="s">
        <v>19330</v>
      </c>
      <c r="AH7298">
        <v>18</v>
      </c>
      <c r="AI7298">
        <v>1</v>
      </c>
      <c r="AJ7298">
        <v>0</v>
      </c>
      <c r="AK7298">
        <v>512.41</v>
      </c>
      <c r="AN7298" t="s">
        <v>7439</v>
      </c>
      <c r="AO7298">
        <v>64000</v>
      </c>
      <c r="AP7298" t="s">
        <v>46043</v>
      </c>
      <c r="AU7298">
        <v>0.4</v>
      </c>
      <c r="AV7298" t="s">
        <v>835</v>
      </c>
      <c r="AW7298" t="s">
        <v>279</v>
      </c>
      <c r="AX7298" t="s">
        <v>46897</v>
      </c>
    </row>
    <row r="7299" spans="1:50">
      <c r="A7299" s="1">
        <f>HYPERLINK("https://lsnyc.legalserver.org/matter/dynamic-profile/view/1895116","19-1895116")</f>
        <v>0</v>
      </c>
      <c r="B7299" t="s">
        <v>169</v>
      </c>
      <c r="C7299" t="s">
        <v>340</v>
      </c>
      <c r="D7299" t="s">
        <v>793</v>
      </c>
      <c r="F7299" t="s">
        <v>3916</v>
      </c>
      <c r="G7299" t="s">
        <v>3540</v>
      </c>
      <c r="H7299" t="s">
        <v>14687</v>
      </c>
      <c r="J7299" t="s">
        <v>18892</v>
      </c>
      <c r="K7299">
        <v>10467</v>
      </c>
      <c r="L7299" t="s">
        <v>18958</v>
      </c>
      <c r="M7299" t="s">
        <v>18958</v>
      </c>
      <c r="N7299" t="s">
        <v>19045</v>
      </c>
      <c r="O7299" t="s">
        <v>26543</v>
      </c>
      <c r="P7299" t="s">
        <v>26562</v>
      </c>
      <c r="R7299" t="s">
        <v>26589</v>
      </c>
      <c r="S7299" t="s">
        <v>18959</v>
      </c>
      <c r="U7299" t="s">
        <v>26605</v>
      </c>
      <c r="W7299" t="s">
        <v>780</v>
      </c>
      <c r="X7299">
        <v>670</v>
      </c>
      <c r="Y7299" t="s">
        <v>26650</v>
      </c>
      <c r="Z7299" t="s">
        <v>26671</v>
      </c>
      <c r="AB7299" t="s">
        <v>32179</v>
      </c>
      <c r="AC7299" t="s">
        <v>36313</v>
      </c>
      <c r="AE7299">
        <v>300</v>
      </c>
      <c r="AF7299" t="s">
        <v>45549</v>
      </c>
      <c r="AG7299" t="s">
        <v>19330</v>
      </c>
      <c r="AH7299">
        <v>-1</v>
      </c>
      <c r="AI7299">
        <v>1</v>
      </c>
      <c r="AJ7299">
        <v>0</v>
      </c>
      <c r="AK7299">
        <v>0</v>
      </c>
      <c r="AL7299" t="s">
        <v>45567</v>
      </c>
      <c r="AM7299" t="s">
        <v>45577</v>
      </c>
      <c r="AN7299" t="s">
        <v>7439</v>
      </c>
      <c r="AO7299">
        <v>0</v>
      </c>
      <c r="AU7299">
        <v>7.6</v>
      </c>
      <c r="AV7299" t="s">
        <v>797</v>
      </c>
      <c r="AW7299" t="s">
        <v>329</v>
      </c>
      <c r="AX7299" t="s">
        <v>46898</v>
      </c>
    </row>
    <row r="7300" spans="1:50">
      <c r="A7300" s="1">
        <f>HYPERLINK("https://lsnyc.legalserver.org/matter/dynamic-profile/view/1895763","19-1895763")</f>
        <v>0</v>
      </c>
      <c r="B7300" t="s">
        <v>74</v>
      </c>
      <c r="C7300" t="s">
        <v>341</v>
      </c>
      <c r="D7300" t="s">
        <v>795</v>
      </c>
      <c r="E7300" t="s">
        <v>831</v>
      </c>
      <c r="F7300" t="s">
        <v>2523</v>
      </c>
      <c r="G7300" t="s">
        <v>5956</v>
      </c>
      <c r="H7300" t="s">
        <v>14688</v>
      </c>
      <c r="I7300" t="s">
        <v>17277</v>
      </c>
      <c r="J7300" t="s">
        <v>18893</v>
      </c>
      <c r="K7300">
        <v>10034</v>
      </c>
      <c r="L7300" t="s">
        <v>18958</v>
      </c>
      <c r="M7300" t="s">
        <v>18958</v>
      </c>
      <c r="O7300" t="s">
        <v>18997</v>
      </c>
      <c r="P7300" t="s">
        <v>26564</v>
      </c>
      <c r="Q7300" t="s">
        <v>26570</v>
      </c>
      <c r="R7300" t="s">
        <v>26578</v>
      </c>
      <c r="S7300" t="s">
        <v>18959</v>
      </c>
      <c r="U7300" t="s">
        <v>26604</v>
      </c>
      <c r="V7300" t="s">
        <v>26610</v>
      </c>
      <c r="W7300" t="s">
        <v>780</v>
      </c>
      <c r="X7300">
        <v>1263.3</v>
      </c>
      <c r="Y7300" t="s">
        <v>26651</v>
      </c>
      <c r="Z7300" t="s">
        <v>26661</v>
      </c>
      <c r="AA7300" t="s">
        <v>26683</v>
      </c>
      <c r="AB7300" t="s">
        <v>30786</v>
      </c>
      <c r="AD7300" t="s">
        <v>42533</v>
      </c>
      <c r="AE7300">
        <v>45</v>
      </c>
      <c r="AF7300" t="s">
        <v>45548</v>
      </c>
      <c r="AG7300" t="s">
        <v>19330</v>
      </c>
      <c r="AH7300">
        <v>18</v>
      </c>
      <c r="AI7300">
        <v>3</v>
      </c>
      <c r="AJ7300">
        <v>2</v>
      </c>
      <c r="AK7300">
        <v>82.73</v>
      </c>
      <c r="AN7300" t="s">
        <v>45581</v>
      </c>
      <c r="AO7300">
        <v>24960</v>
      </c>
      <c r="AU7300">
        <v>2</v>
      </c>
      <c r="AV7300" t="s">
        <v>780</v>
      </c>
      <c r="AW7300" t="s">
        <v>46846</v>
      </c>
      <c r="AX7300" t="s">
        <v>46897</v>
      </c>
    </row>
    <row r="7301" spans="1:50">
      <c r="A7301" s="1">
        <f>HYPERLINK("https://lsnyc.legalserver.org/matter/dynamic-profile/view/1896439","19-1896439")</f>
        <v>0</v>
      </c>
      <c r="B7301" t="s">
        <v>168</v>
      </c>
      <c r="C7301" t="s">
        <v>340</v>
      </c>
      <c r="D7301" t="s">
        <v>724</v>
      </c>
      <c r="F7301" t="s">
        <v>993</v>
      </c>
      <c r="G7301" t="s">
        <v>8278</v>
      </c>
      <c r="H7301" t="s">
        <v>9751</v>
      </c>
      <c r="I7301">
        <v>33</v>
      </c>
      <c r="J7301" t="s">
        <v>18893</v>
      </c>
      <c r="K7301">
        <v>10034</v>
      </c>
      <c r="L7301" t="s">
        <v>18958</v>
      </c>
      <c r="M7301" t="s">
        <v>18958</v>
      </c>
      <c r="O7301" t="s">
        <v>26529</v>
      </c>
      <c r="P7301" t="s">
        <v>26562</v>
      </c>
      <c r="R7301" t="s">
        <v>26578</v>
      </c>
      <c r="S7301" t="s">
        <v>18958</v>
      </c>
      <c r="U7301" t="s">
        <v>26604</v>
      </c>
      <c r="W7301" t="s">
        <v>780</v>
      </c>
      <c r="X7301">
        <v>905.47</v>
      </c>
      <c r="Y7301" t="s">
        <v>26651</v>
      </c>
      <c r="Z7301" t="s">
        <v>26667</v>
      </c>
      <c r="AB7301" t="s">
        <v>32180</v>
      </c>
      <c r="AD7301" t="s">
        <v>42534</v>
      </c>
      <c r="AE7301">
        <v>20</v>
      </c>
      <c r="AF7301" t="s">
        <v>45541</v>
      </c>
      <c r="AH7301">
        <v>48</v>
      </c>
      <c r="AI7301">
        <v>3</v>
      </c>
      <c r="AJ7301">
        <v>0</v>
      </c>
      <c r="AK7301">
        <v>270.04</v>
      </c>
      <c r="AL7301" t="s">
        <v>45567</v>
      </c>
      <c r="AM7301" t="s">
        <v>45577</v>
      </c>
      <c r="AN7301" t="s">
        <v>7439</v>
      </c>
      <c r="AO7301">
        <v>57600</v>
      </c>
      <c r="AU7301">
        <v>0</v>
      </c>
      <c r="AW7301" t="s">
        <v>46838</v>
      </c>
    </row>
    <row r="7302" spans="1:50">
      <c r="A7302" s="1">
        <f>HYPERLINK("https://lsnyc.legalserver.org/matter/dynamic-profile/view/1896828","19-1896828")</f>
        <v>0</v>
      </c>
      <c r="B7302" t="s">
        <v>271</v>
      </c>
      <c r="C7302" t="s">
        <v>341</v>
      </c>
      <c r="D7302" t="s">
        <v>672</v>
      </c>
      <c r="E7302" t="s">
        <v>818</v>
      </c>
      <c r="F7302" t="s">
        <v>3917</v>
      </c>
      <c r="G7302" t="s">
        <v>6124</v>
      </c>
      <c r="H7302" t="s">
        <v>14689</v>
      </c>
      <c r="I7302">
        <v>4</v>
      </c>
      <c r="J7302" t="s">
        <v>18894</v>
      </c>
      <c r="K7302">
        <v>11226</v>
      </c>
      <c r="L7302" t="s">
        <v>18958</v>
      </c>
      <c r="M7302" t="s">
        <v>18958</v>
      </c>
      <c r="N7302" t="s">
        <v>24175</v>
      </c>
      <c r="O7302" t="s">
        <v>26523</v>
      </c>
      <c r="P7302" t="s">
        <v>26560</v>
      </c>
      <c r="Q7302" t="s">
        <v>26568</v>
      </c>
      <c r="R7302" t="s">
        <v>26588</v>
      </c>
      <c r="U7302" t="s">
        <v>26604</v>
      </c>
      <c r="V7302" t="s">
        <v>26612</v>
      </c>
      <c r="W7302" t="s">
        <v>780</v>
      </c>
      <c r="X7302">
        <v>0</v>
      </c>
      <c r="Y7302" t="s">
        <v>26652</v>
      </c>
      <c r="Z7302" t="s">
        <v>26664</v>
      </c>
      <c r="AA7302" t="s">
        <v>26678</v>
      </c>
      <c r="AB7302" t="s">
        <v>31519</v>
      </c>
      <c r="AD7302" t="s">
        <v>42535</v>
      </c>
      <c r="AE7302">
        <v>0</v>
      </c>
      <c r="AH7302">
        <v>0</v>
      </c>
      <c r="AI7302">
        <v>1</v>
      </c>
      <c r="AJ7302">
        <v>0</v>
      </c>
      <c r="AK7302">
        <v>291.43</v>
      </c>
      <c r="AN7302" t="s">
        <v>7439</v>
      </c>
      <c r="AO7302">
        <v>36400</v>
      </c>
      <c r="AS7302" t="s">
        <v>46499</v>
      </c>
      <c r="AT7302" t="s">
        <v>46784</v>
      </c>
      <c r="AU7302">
        <v>10.5</v>
      </c>
      <c r="AV7302" t="s">
        <v>818</v>
      </c>
      <c r="AW7302" t="s">
        <v>46862</v>
      </c>
    </row>
    <row r="7303" spans="1:50">
      <c r="A7303" s="1">
        <f>HYPERLINK("https://lsnyc.legalserver.org/matter/dynamic-profile/view/1896924","19-1896924")</f>
        <v>0</v>
      </c>
      <c r="B7303" t="s">
        <v>270</v>
      </c>
      <c r="C7303" t="s">
        <v>341</v>
      </c>
      <c r="D7303" t="s">
        <v>803</v>
      </c>
      <c r="E7303" t="s">
        <v>765</v>
      </c>
      <c r="F7303" t="s">
        <v>3133</v>
      </c>
      <c r="G7303" t="s">
        <v>5138</v>
      </c>
      <c r="H7303" t="s">
        <v>13180</v>
      </c>
      <c r="I7303" t="s">
        <v>17289</v>
      </c>
      <c r="J7303" t="s">
        <v>18892</v>
      </c>
      <c r="K7303">
        <v>10473</v>
      </c>
      <c r="L7303" t="s">
        <v>18958</v>
      </c>
      <c r="M7303" t="s">
        <v>18958</v>
      </c>
      <c r="N7303" t="s">
        <v>24176</v>
      </c>
      <c r="O7303" t="s">
        <v>26523</v>
      </c>
      <c r="P7303" t="s">
        <v>26560</v>
      </c>
      <c r="Q7303" t="s">
        <v>26568</v>
      </c>
      <c r="R7303" t="s">
        <v>26577</v>
      </c>
      <c r="S7303" t="s">
        <v>18959</v>
      </c>
      <c r="U7303" t="s">
        <v>26605</v>
      </c>
      <c r="V7303" t="s">
        <v>26610</v>
      </c>
      <c r="W7303" t="s">
        <v>780</v>
      </c>
      <c r="X7303">
        <v>840</v>
      </c>
      <c r="Y7303" t="s">
        <v>26650</v>
      </c>
      <c r="Z7303" t="s">
        <v>26659</v>
      </c>
      <c r="AA7303" t="s">
        <v>26680</v>
      </c>
      <c r="AB7303" t="s">
        <v>26711</v>
      </c>
      <c r="AD7303" t="s">
        <v>40715</v>
      </c>
      <c r="AE7303">
        <v>0</v>
      </c>
      <c r="AF7303" t="s">
        <v>45549</v>
      </c>
      <c r="AG7303" t="s">
        <v>19330</v>
      </c>
      <c r="AH7303">
        <v>0</v>
      </c>
      <c r="AI7303">
        <v>2</v>
      </c>
      <c r="AJ7303">
        <v>0</v>
      </c>
      <c r="AK7303">
        <v>76.88</v>
      </c>
      <c r="AN7303" t="s">
        <v>45581</v>
      </c>
      <c r="AO7303">
        <v>13000</v>
      </c>
      <c r="AR7303" t="s">
        <v>46381</v>
      </c>
      <c r="AS7303" t="s">
        <v>46499</v>
      </c>
      <c r="AT7303" t="s">
        <v>46607</v>
      </c>
      <c r="AU7303">
        <v>6.5</v>
      </c>
      <c r="AV7303" t="s">
        <v>764</v>
      </c>
      <c r="AW7303" t="s">
        <v>270</v>
      </c>
    </row>
    <row r="7304" spans="1:50">
      <c r="A7304" s="1">
        <f>HYPERLINK("https://lsnyc.legalserver.org/matter/dynamic-profile/view/1896848","19-1896848")</f>
        <v>0</v>
      </c>
      <c r="B7304" t="s">
        <v>271</v>
      </c>
      <c r="C7304" t="s">
        <v>340</v>
      </c>
      <c r="D7304" t="s">
        <v>803</v>
      </c>
      <c r="F7304" t="s">
        <v>3918</v>
      </c>
      <c r="G7304" t="s">
        <v>8279</v>
      </c>
      <c r="H7304" t="s">
        <v>12619</v>
      </c>
      <c r="I7304" t="s">
        <v>18145</v>
      </c>
      <c r="J7304" t="s">
        <v>18894</v>
      </c>
      <c r="K7304">
        <v>11226</v>
      </c>
      <c r="L7304" t="s">
        <v>18958</v>
      </c>
      <c r="M7304" t="s">
        <v>18958</v>
      </c>
      <c r="N7304" t="s">
        <v>24177</v>
      </c>
      <c r="O7304" t="s">
        <v>26523</v>
      </c>
      <c r="P7304" t="s">
        <v>26560</v>
      </c>
      <c r="R7304" t="s">
        <v>26588</v>
      </c>
      <c r="U7304" t="s">
        <v>26604</v>
      </c>
      <c r="V7304" t="s">
        <v>26609</v>
      </c>
      <c r="W7304" t="s">
        <v>780</v>
      </c>
      <c r="X7304">
        <v>1029</v>
      </c>
      <c r="Y7304" t="s">
        <v>26652</v>
      </c>
      <c r="Z7304" t="s">
        <v>26664</v>
      </c>
      <c r="AB7304" t="s">
        <v>29323</v>
      </c>
      <c r="AD7304" t="s">
        <v>42536</v>
      </c>
      <c r="AE7304">
        <v>66</v>
      </c>
      <c r="AH7304">
        <v>20</v>
      </c>
      <c r="AI7304">
        <v>2</v>
      </c>
      <c r="AJ7304">
        <v>0</v>
      </c>
      <c r="AK7304">
        <v>55.35</v>
      </c>
      <c r="AN7304" t="s">
        <v>7439</v>
      </c>
      <c r="AO7304">
        <v>9360</v>
      </c>
      <c r="AU7304">
        <v>7.15</v>
      </c>
      <c r="AV7304" t="s">
        <v>827</v>
      </c>
      <c r="AW7304" t="s">
        <v>46862</v>
      </c>
    </row>
    <row r="7305" spans="1:50">
      <c r="A7305" s="1">
        <f>HYPERLINK("https://lsnyc.legalserver.org/matter/dynamic-profile/view/1896862","19-1896862")</f>
        <v>0</v>
      </c>
      <c r="B7305" t="s">
        <v>283</v>
      </c>
      <c r="C7305" t="s">
        <v>340</v>
      </c>
      <c r="D7305" t="s">
        <v>803</v>
      </c>
      <c r="F7305" t="s">
        <v>1527</v>
      </c>
      <c r="G7305" t="s">
        <v>8280</v>
      </c>
      <c r="H7305" t="s">
        <v>9987</v>
      </c>
      <c r="I7305" t="s">
        <v>17667</v>
      </c>
      <c r="J7305" t="s">
        <v>18894</v>
      </c>
      <c r="K7305">
        <v>11226</v>
      </c>
      <c r="L7305" t="s">
        <v>18958</v>
      </c>
      <c r="M7305" t="s">
        <v>18958</v>
      </c>
      <c r="N7305" t="s">
        <v>24178</v>
      </c>
      <c r="O7305" t="s">
        <v>26523</v>
      </c>
      <c r="P7305" t="s">
        <v>26560</v>
      </c>
      <c r="R7305" t="s">
        <v>26588</v>
      </c>
      <c r="S7305" t="s">
        <v>18959</v>
      </c>
      <c r="U7305" t="s">
        <v>26604</v>
      </c>
      <c r="V7305" t="s">
        <v>26610</v>
      </c>
      <c r="W7305" t="s">
        <v>780</v>
      </c>
      <c r="X7305">
        <v>851.29</v>
      </c>
      <c r="Y7305" t="s">
        <v>26652</v>
      </c>
      <c r="Z7305" t="s">
        <v>26664</v>
      </c>
      <c r="AB7305" t="s">
        <v>32181</v>
      </c>
      <c r="AD7305" t="s">
        <v>42537</v>
      </c>
      <c r="AE7305">
        <v>126</v>
      </c>
      <c r="AF7305" t="s">
        <v>45541</v>
      </c>
      <c r="AH7305">
        <v>27</v>
      </c>
      <c r="AI7305">
        <v>2</v>
      </c>
      <c r="AJ7305">
        <v>0</v>
      </c>
      <c r="AK7305">
        <v>11.5</v>
      </c>
      <c r="AN7305" t="s">
        <v>7439</v>
      </c>
      <c r="AO7305">
        <v>1944</v>
      </c>
      <c r="AU7305">
        <v>19.6</v>
      </c>
      <c r="AV7305" t="s">
        <v>835</v>
      </c>
      <c r="AW7305" t="s">
        <v>46862</v>
      </c>
    </row>
    <row r="7306" spans="1:50">
      <c r="A7306" s="1">
        <f>HYPERLINK("https://lsnyc.legalserver.org/matter/dynamic-profile/view/1897075","19-1897075")</f>
        <v>0</v>
      </c>
      <c r="B7306" t="s">
        <v>66</v>
      </c>
      <c r="C7306" t="s">
        <v>341</v>
      </c>
      <c r="D7306" t="s">
        <v>780</v>
      </c>
      <c r="E7306" t="s">
        <v>832</v>
      </c>
      <c r="F7306" t="s">
        <v>2262</v>
      </c>
      <c r="G7306" t="s">
        <v>5723</v>
      </c>
      <c r="H7306" t="s">
        <v>10208</v>
      </c>
      <c r="I7306" t="s">
        <v>18456</v>
      </c>
      <c r="J7306" t="s">
        <v>18893</v>
      </c>
      <c r="K7306">
        <v>10027</v>
      </c>
      <c r="L7306" t="s">
        <v>18958</v>
      </c>
      <c r="M7306" t="s">
        <v>18958</v>
      </c>
      <c r="N7306" t="s">
        <v>24179</v>
      </c>
      <c r="O7306" t="s">
        <v>26523</v>
      </c>
      <c r="P7306" t="s">
        <v>26560</v>
      </c>
      <c r="Q7306" t="s">
        <v>26568</v>
      </c>
      <c r="R7306" t="s">
        <v>26580</v>
      </c>
      <c r="S7306" t="s">
        <v>18959</v>
      </c>
      <c r="U7306" t="s">
        <v>26605</v>
      </c>
      <c r="V7306" t="s">
        <v>26611</v>
      </c>
      <c r="W7306" t="s">
        <v>780</v>
      </c>
      <c r="X7306">
        <v>222</v>
      </c>
      <c r="Y7306" t="s">
        <v>26651</v>
      </c>
      <c r="Z7306" t="s">
        <v>26664</v>
      </c>
      <c r="AA7306" t="s">
        <v>26680</v>
      </c>
      <c r="AB7306" t="s">
        <v>29162</v>
      </c>
      <c r="AC7306" t="s">
        <v>36314</v>
      </c>
      <c r="AD7306" t="s">
        <v>42538</v>
      </c>
      <c r="AE7306">
        <v>0</v>
      </c>
      <c r="AF7306" t="s">
        <v>45549</v>
      </c>
      <c r="AH7306">
        <v>32</v>
      </c>
      <c r="AI7306">
        <v>2</v>
      </c>
      <c r="AJ7306">
        <v>1</v>
      </c>
      <c r="AK7306">
        <v>8.73</v>
      </c>
      <c r="AO7306">
        <v>1861.6</v>
      </c>
      <c r="AQ7306" t="s">
        <v>46359</v>
      </c>
      <c r="AR7306" t="s">
        <v>46380</v>
      </c>
      <c r="AS7306" t="s">
        <v>46499</v>
      </c>
      <c r="AT7306" t="s">
        <v>46786</v>
      </c>
      <c r="AU7306">
        <v>4.5</v>
      </c>
      <c r="AV7306" t="s">
        <v>729</v>
      </c>
      <c r="AW7306" t="s">
        <v>317</v>
      </c>
      <c r="AX7306" t="s">
        <v>46898</v>
      </c>
    </row>
    <row r="7307" spans="1:50">
      <c r="A7307" s="1">
        <f>HYPERLINK("https://lsnyc.legalserver.org/matter/dynamic-profile/view/1896980","19-1896980")</f>
        <v>0</v>
      </c>
      <c r="B7307" t="s">
        <v>131</v>
      </c>
      <c r="C7307" t="s">
        <v>341</v>
      </c>
      <c r="D7307" t="s">
        <v>780</v>
      </c>
      <c r="E7307" t="s">
        <v>817</v>
      </c>
      <c r="F7307" t="s">
        <v>3919</v>
      </c>
      <c r="G7307" t="s">
        <v>3662</v>
      </c>
      <c r="H7307" t="s">
        <v>14690</v>
      </c>
      <c r="I7307" t="s">
        <v>17374</v>
      </c>
      <c r="J7307" t="s">
        <v>18902</v>
      </c>
      <c r="K7307">
        <v>10303</v>
      </c>
      <c r="L7307" t="s">
        <v>18958</v>
      </c>
      <c r="M7307" t="s">
        <v>18958</v>
      </c>
      <c r="N7307" t="s">
        <v>24180</v>
      </c>
      <c r="O7307" t="s">
        <v>26524</v>
      </c>
      <c r="P7307" t="s">
        <v>26560</v>
      </c>
      <c r="Q7307" t="s">
        <v>26568</v>
      </c>
      <c r="R7307" t="s">
        <v>26590</v>
      </c>
      <c r="S7307" t="s">
        <v>18959</v>
      </c>
      <c r="U7307" t="s">
        <v>26604</v>
      </c>
      <c r="V7307" t="s">
        <v>26610</v>
      </c>
      <c r="W7307" t="s">
        <v>780</v>
      </c>
      <c r="X7307">
        <v>1000</v>
      </c>
      <c r="Y7307" t="s">
        <v>26654</v>
      </c>
      <c r="Z7307" t="s">
        <v>26668</v>
      </c>
      <c r="AA7307" t="s">
        <v>26678</v>
      </c>
      <c r="AB7307" t="s">
        <v>32182</v>
      </c>
      <c r="AD7307" t="s">
        <v>42539</v>
      </c>
      <c r="AE7307">
        <v>3</v>
      </c>
      <c r="AF7307" t="s">
        <v>45547</v>
      </c>
      <c r="AG7307" t="s">
        <v>19330</v>
      </c>
      <c r="AH7307">
        <v>-1</v>
      </c>
      <c r="AI7307">
        <v>1</v>
      </c>
      <c r="AJ7307">
        <v>1</v>
      </c>
      <c r="AK7307">
        <v>113.54</v>
      </c>
      <c r="AN7307" t="s">
        <v>7439</v>
      </c>
      <c r="AO7307">
        <v>19200</v>
      </c>
      <c r="AS7307" t="s">
        <v>46499</v>
      </c>
      <c r="AU7307">
        <v>3</v>
      </c>
      <c r="AV7307" t="s">
        <v>813</v>
      </c>
      <c r="AW7307" t="s">
        <v>185</v>
      </c>
    </row>
    <row r="7308" spans="1:50">
      <c r="A7308" s="1">
        <f>HYPERLINK("https://lsnyc.legalserver.org/matter/dynamic-profile/view/1896986","19-1896986")</f>
        <v>0</v>
      </c>
      <c r="B7308" t="s">
        <v>74</v>
      </c>
      <c r="C7308" t="s">
        <v>341</v>
      </c>
      <c r="D7308" t="s">
        <v>780</v>
      </c>
      <c r="E7308" t="s">
        <v>831</v>
      </c>
      <c r="F7308" t="s">
        <v>3920</v>
      </c>
      <c r="G7308" t="s">
        <v>8281</v>
      </c>
      <c r="H7308" t="s">
        <v>14691</v>
      </c>
      <c r="I7308" t="s">
        <v>17299</v>
      </c>
      <c r="J7308" t="s">
        <v>18893</v>
      </c>
      <c r="K7308">
        <v>10034</v>
      </c>
      <c r="L7308" t="s">
        <v>18958</v>
      </c>
      <c r="M7308" t="s">
        <v>18958</v>
      </c>
      <c r="N7308" t="s">
        <v>24181</v>
      </c>
      <c r="O7308" t="s">
        <v>26523</v>
      </c>
      <c r="P7308" t="s">
        <v>26565</v>
      </c>
      <c r="Q7308" t="s">
        <v>26571</v>
      </c>
      <c r="R7308" t="s">
        <v>26578</v>
      </c>
      <c r="S7308" t="s">
        <v>18959</v>
      </c>
      <c r="U7308" t="s">
        <v>26604</v>
      </c>
      <c r="W7308" t="s">
        <v>780</v>
      </c>
      <c r="X7308">
        <v>2000.13</v>
      </c>
      <c r="Y7308" t="s">
        <v>26651</v>
      </c>
      <c r="Z7308" t="s">
        <v>26659</v>
      </c>
      <c r="AA7308" t="s">
        <v>26682</v>
      </c>
      <c r="AB7308" t="s">
        <v>32183</v>
      </c>
      <c r="AD7308" t="s">
        <v>42540</v>
      </c>
      <c r="AE7308">
        <v>72</v>
      </c>
      <c r="AF7308" t="s">
        <v>45541</v>
      </c>
      <c r="AG7308" t="s">
        <v>19330</v>
      </c>
      <c r="AH7308">
        <v>12</v>
      </c>
      <c r="AI7308">
        <v>1</v>
      </c>
      <c r="AJ7308">
        <v>0</v>
      </c>
      <c r="AK7308">
        <v>35.93</v>
      </c>
      <c r="AN7308" t="s">
        <v>7439</v>
      </c>
      <c r="AO7308">
        <v>4488</v>
      </c>
      <c r="AU7308">
        <v>3</v>
      </c>
      <c r="AV7308" t="s">
        <v>760</v>
      </c>
      <c r="AW7308" t="s">
        <v>46840</v>
      </c>
      <c r="AX7308" t="s">
        <v>46897</v>
      </c>
    </row>
    <row r="7309" spans="1:50">
      <c r="A7309" s="1">
        <f>HYPERLINK("https://lsnyc.legalserver.org/matter/dynamic-profile/view/1897052","19-1897052")</f>
        <v>0</v>
      </c>
      <c r="B7309" t="s">
        <v>218</v>
      </c>
      <c r="C7309" t="s">
        <v>341</v>
      </c>
      <c r="D7309" t="s">
        <v>780</v>
      </c>
      <c r="E7309" t="s">
        <v>818</v>
      </c>
      <c r="F7309" t="s">
        <v>887</v>
      </c>
      <c r="G7309" t="s">
        <v>5607</v>
      </c>
      <c r="H7309" t="s">
        <v>10390</v>
      </c>
      <c r="I7309" t="s">
        <v>17414</v>
      </c>
      <c r="J7309" t="s">
        <v>18893</v>
      </c>
      <c r="K7309">
        <v>10040</v>
      </c>
      <c r="L7309" t="s">
        <v>18958</v>
      </c>
      <c r="M7309" t="s">
        <v>18958</v>
      </c>
      <c r="N7309" t="s">
        <v>24182</v>
      </c>
      <c r="O7309" t="s">
        <v>26523</v>
      </c>
      <c r="P7309" t="s">
        <v>26564</v>
      </c>
      <c r="Q7309" t="s">
        <v>26570</v>
      </c>
      <c r="R7309" t="s">
        <v>26578</v>
      </c>
      <c r="S7309" t="s">
        <v>18959</v>
      </c>
      <c r="U7309" t="s">
        <v>26604</v>
      </c>
      <c r="W7309" t="s">
        <v>780</v>
      </c>
      <c r="X7309">
        <v>1287</v>
      </c>
      <c r="Y7309" t="s">
        <v>26651</v>
      </c>
      <c r="Z7309" t="s">
        <v>26659</v>
      </c>
      <c r="AA7309" t="s">
        <v>26683</v>
      </c>
      <c r="AB7309" t="s">
        <v>27500</v>
      </c>
      <c r="AE7309">
        <v>47</v>
      </c>
      <c r="AF7309" t="s">
        <v>45541</v>
      </c>
      <c r="AG7309" t="s">
        <v>19330</v>
      </c>
      <c r="AH7309">
        <v>31</v>
      </c>
      <c r="AI7309">
        <v>1</v>
      </c>
      <c r="AJ7309">
        <v>0</v>
      </c>
      <c r="AK7309">
        <v>74.65000000000001</v>
      </c>
      <c r="AN7309" t="s">
        <v>45581</v>
      </c>
      <c r="AO7309">
        <v>9324</v>
      </c>
      <c r="AU7309">
        <v>1.4</v>
      </c>
      <c r="AV7309" t="s">
        <v>815</v>
      </c>
      <c r="AW7309" t="s">
        <v>46840</v>
      </c>
      <c r="AX7309" t="s">
        <v>46897</v>
      </c>
    </row>
    <row r="7310" spans="1:50">
      <c r="A7310" s="1">
        <f>HYPERLINK("https://lsnyc.legalserver.org/matter/dynamic-profile/view/1897129","19-1897129")</f>
        <v>0</v>
      </c>
      <c r="B7310" t="s">
        <v>269</v>
      </c>
      <c r="C7310" t="s">
        <v>341</v>
      </c>
      <c r="D7310" t="s">
        <v>780</v>
      </c>
      <c r="E7310" t="s">
        <v>836</v>
      </c>
      <c r="F7310" t="s">
        <v>1745</v>
      </c>
      <c r="G7310" t="s">
        <v>5283</v>
      </c>
      <c r="H7310" t="s">
        <v>10349</v>
      </c>
      <c r="I7310" t="s">
        <v>17397</v>
      </c>
      <c r="J7310" t="s">
        <v>18892</v>
      </c>
      <c r="K7310">
        <v>10457</v>
      </c>
      <c r="L7310" t="s">
        <v>18958</v>
      </c>
      <c r="M7310" t="s">
        <v>18958</v>
      </c>
      <c r="N7310" t="s">
        <v>24183</v>
      </c>
      <c r="O7310" t="s">
        <v>26523</v>
      </c>
      <c r="P7310" t="s">
        <v>26560</v>
      </c>
      <c r="Q7310" t="s">
        <v>26568</v>
      </c>
      <c r="R7310" t="s">
        <v>26579</v>
      </c>
      <c r="S7310" t="s">
        <v>18959</v>
      </c>
      <c r="U7310" t="s">
        <v>26604</v>
      </c>
      <c r="V7310" t="s">
        <v>26609</v>
      </c>
      <c r="W7310" t="s">
        <v>780</v>
      </c>
      <c r="X7310">
        <v>201</v>
      </c>
      <c r="Y7310" t="s">
        <v>26650</v>
      </c>
      <c r="Z7310" t="s">
        <v>26530</v>
      </c>
      <c r="AA7310" t="s">
        <v>26678</v>
      </c>
      <c r="AB7310" t="s">
        <v>31476</v>
      </c>
      <c r="AC7310" t="s">
        <v>36315</v>
      </c>
      <c r="AD7310" t="s">
        <v>42541</v>
      </c>
      <c r="AE7310">
        <v>86</v>
      </c>
      <c r="AF7310" t="s">
        <v>45543</v>
      </c>
      <c r="AG7310" t="s">
        <v>45563</v>
      </c>
      <c r="AH7310">
        <v>28</v>
      </c>
      <c r="AI7310">
        <v>1</v>
      </c>
      <c r="AJ7310">
        <v>0</v>
      </c>
      <c r="AK7310">
        <v>76.86</v>
      </c>
      <c r="AN7310" t="s">
        <v>7439</v>
      </c>
      <c r="AO7310">
        <v>9600</v>
      </c>
      <c r="AR7310" t="s">
        <v>46381</v>
      </c>
      <c r="AS7310" t="s">
        <v>46499</v>
      </c>
      <c r="AT7310" t="s">
        <v>46764</v>
      </c>
      <c r="AU7310">
        <v>13.3</v>
      </c>
      <c r="AV7310" t="s">
        <v>839</v>
      </c>
      <c r="AW7310" t="s">
        <v>46847</v>
      </c>
      <c r="AX7310" t="s">
        <v>46897</v>
      </c>
    </row>
    <row r="7311" spans="1:50">
      <c r="A7311" s="1">
        <f>HYPERLINK("https://lsnyc.legalserver.org/matter/dynamic-profile/view/1897170","19-1897170")</f>
        <v>0</v>
      </c>
      <c r="B7311" t="s">
        <v>269</v>
      </c>
      <c r="C7311" t="s">
        <v>341</v>
      </c>
      <c r="D7311" t="s">
        <v>780</v>
      </c>
      <c r="E7311" t="s">
        <v>836</v>
      </c>
      <c r="F7311" t="s">
        <v>3921</v>
      </c>
      <c r="G7311" t="s">
        <v>8255</v>
      </c>
      <c r="H7311" t="s">
        <v>14692</v>
      </c>
      <c r="I7311" t="s">
        <v>17307</v>
      </c>
      <c r="J7311" t="s">
        <v>18892</v>
      </c>
      <c r="K7311">
        <v>10462</v>
      </c>
      <c r="L7311" t="s">
        <v>18958</v>
      </c>
      <c r="M7311" t="s">
        <v>18958</v>
      </c>
      <c r="N7311" t="s">
        <v>24184</v>
      </c>
      <c r="O7311" t="s">
        <v>26523</v>
      </c>
      <c r="P7311" t="s">
        <v>26560</v>
      </c>
      <c r="Q7311" t="s">
        <v>26568</v>
      </c>
      <c r="R7311" t="s">
        <v>26579</v>
      </c>
      <c r="S7311" t="s">
        <v>18959</v>
      </c>
      <c r="U7311" t="s">
        <v>26604</v>
      </c>
      <c r="V7311" t="s">
        <v>26609</v>
      </c>
      <c r="W7311" t="s">
        <v>780</v>
      </c>
      <c r="X7311">
        <v>1557</v>
      </c>
      <c r="Y7311" t="s">
        <v>26650</v>
      </c>
      <c r="Z7311" t="s">
        <v>26668</v>
      </c>
      <c r="AA7311" t="s">
        <v>26678</v>
      </c>
      <c r="AB7311" t="s">
        <v>31148</v>
      </c>
      <c r="AC7311" t="s">
        <v>36316</v>
      </c>
      <c r="AD7311" t="s">
        <v>42542</v>
      </c>
      <c r="AE7311">
        <v>49</v>
      </c>
      <c r="AF7311" t="s">
        <v>45545</v>
      </c>
      <c r="AG7311" t="s">
        <v>45557</v>
      </c>
      <c r="AH7311">
        <v>3</v>
      </c>
      <c r="AI7311">
        <v>1</v>
      </c>
      <c r="AJ7311">
        <v>2</v>
      </c>
      <c r="AK7311">
        <v>92.64</v>
      </c>
      <c r="AO7311">
        <v>19760</v>
      </c>
      <c r="AQ7311" t="s">
        <v>46369</v>
      </c>
      <c r="AR7311" t="s">
        <v>46381</v>
      </c>
      <c r="AS7311" t="s">
        <v>46499</v>
      </c>
      <c r="AT7311" t="s">
        <v>46767</v>
      </c>
      <c r="AU7311">
        <v>34.9</v>
      </c>
      <c r="AV7311" t="s">
        <v>827</v>
      </c>
      <c r="AW7311" t="s">
        <v>46847</v>
      </c>
      <c r="AX7311" t="s">
        <v>46897</v>
      </c>
    </row>
    <row r="7312" spans="1:50">
      <c r="A7312" s="1">
        <f>HYPERLINK("https://lsnyc.legalserver.org/matter/dynamic-profile/view/1896972","19-1896972")</f>
        <v>0</v>
      </c>
      <c r="B7312" t="s">
        <v>211</v>
      </c>
      <c r="C7312" t="s">
        <v>340</v>
      </c>
      <c r="D7312" t="s">
        <v>780</v>
      </c>
      <c r="F7312" t="s">
        <v>3922</v>
      </c>
      <c r="G7312" t="s">
        <v>1128</v>
      </c>
      <c r="H7312" t="s">
        <v>10777</v>
      </c>
      <c r="I7312" t="s">
        <v>17725</v>
      </c>
      <c r="J7312" t="s">
        <v>18894</v>
      </c>
      <c r="K7312">
        <v>11212</v>
      </c>
      <c r="L7312" t="s">
        <v>18958</v>
      </c>
      <c r="M7312" t="s">
        <v>18959</v>
      </c>
      <c r="N7312" t="s">
        <v>24185</v>
      </c>
      <c r="O7312" t="s">
        <v>26524</v>
      </c>
      <c r="P7312" t="s">
        <v>26560</v>
      </c>
      <c r="R7312" t="s">
        <v>26578</v>
      </c>
      <c r="S7312" t="s">
        <v>18959</v>
      </c>
      <c r="U7312" t="s">
        <v>26604</v>
      </c>
      <c r="V7312" t="s">
        <v>26610</v>
      </c>
      <c r="W7312" t="s">
        <v>780</v>
      </c>
      <c r="X7312">
        <v>1298.3</v>
      </c>
      <c r="Y7312" t="s">
        <v>26652</v>
      </c>
      <c r="Z7312" t="s">
        <v>26663</v>
      </c>
      <c r="AB7312" t="s">
        <v>32184</v>
      </c>
      <c r="AC7312" t="s">
        <v>19330</v>
      </c>
      <c r="AD7312" t="s">
        <v>42543</v>
      </c>
      <c r="AE7312">
        <v>72</v>
      </c>
      <c r="AF7312" t="s">
        <v>45541</v>
      </c>
      <c r="AG7312" t="s">
        <v>19330</v>
      </c>
      <c r="AH7312">
        <v>11</v>
      </c>
      <c r="AI7312">
        <v>3</v>
      </c>
      <c r="AJ7312">
        <v>0</v>
      </c>
      <c r="AK7312">
        <v>281.29</v>
      </c>
      <c r="AN7312" t="s">
        <v>7439</v>
      </c>
      <c r="AO7312">
        <v>60000</v>
      </c>
      <c r="AU7312">
        <v>12.6</v>
      </c>
      <c r="AV7312" t="s">
        <v>826</v>
      </c>
      <c r="AW7312" t="s">
        <v>279</v>
      </c>
      <c r="AX7312" t="s">
        <v>46897</v>
      </c>
    </row>
    <row r="7313" spans="1:50">
      <c r="A7313" s="1">
        <f>HYPERLINK("https://lsnyc.legalserver.org/matter/dynamic-profile/view/1896781","19-1896781")</f>
        <v>0</v>
      </c>
      <c r="B7313" t="s">
        <v>262</v>
      </c>
      <c r="C7313" t="s">
        <v>340</v>
      </c>
      <c r="D7313" t="s">
        <v>780</v>
      </c>
      <c r="F7313" t="s">
        <v>1072</v>
      </c>
      <c r="G7313" t="s">
        <v>8282</v>
      </c>
      <c r="H7313" t="s">
        <v>14693</v>
      </c>
      <c r="I7313" t="s">
        <v>17309</v>
      </c>
      <c r="J7313" t="s">
        <v>18892</v>
      </c>
      <c r="K7313">
        <v>10469</v>
      </c>
      <c r="L7313" t="s">
        <v>18958</v>
      </c>
      <c r="M7313" t="s">
        <v>18958</v>
      </c>
      <c r="N7313" t="s">
        <v>24186</v>
      </c>
      <c r="O7313" t="s">
        <v>26524</v>
      </c>
      <c r="P7313" t="s">
        <v>26560</v>
      </c>
      <c r="R7313" t="s">
        <v>26577</v>
      </c>
      <c r="S7313" t="s">
        <v>18959</v>
      </c>
      <c r="U7313" t="s">
        <v>26604</v>
      </c>
      <c r="W7313" t="s">
        <v>780</v>
      </c>
      <c r="X7313">
        <v>1700</v>
      </c>
      <c r="Y7313" t="s">
        <v>26650</v>
      </c>
      <c r="Z7313" t="s">
        <v>26668</v>
      </c>
      <c r="AB7313" t="s">
        <v>32185</v>
      </c>
      <c r="AD7313" t="s">
        <v>42544</v>
      </c>
      <c r="AE7313">
        <v>0</v>
      </c>
      <c r="AG7313" t="s">
        <v>45556</v>
      </c>
      <c r="AH7313">
        <v>11</v>
      </c>
      <c r="AI7313">
        <v>2</v>
      </c>
      <c r="AJ7313">
        <v>0</v>
      </c>
      <c r="AK7313">
        <v>106.45</v>
      </c>
      <c r="AN7313" t="s">
        <v>7439</v>
      </c>
      <c r="AO7313">
        <v>18000</v>
      </c>
      <c r="AU7313">
        <v>1.5</v>
      </c>
      <c r="AV7313" t="s">
        <v>780</v>
      </c>
      <c r="AW7313" t="s">
        <v>336</v>
      </c>
    </row>
    <row r="7314" spans="1:50">
      <c r="A7314" s="1">
        <f>HYPERLINK("https://lsnyc.legalserver.org/matter/dynamic-profile/view/1896990","19-1896990")</f>
        <v>0</v>
      </c>
      <c r="B7314" t="s">
        <v>251</v>
      </c>
      <c r="C7314" t="s">
        <v>340</v>
      </c>
      <c r="D7314" t="s">
        <v>780</v>
      </c>
      <c r="F7314" t="s">
        <v>1705</v>
      </c>
      <c r="G7314" t="s">
        <v>8283</v>
      </c>
      <c r="H7314" t="s">
        <v>14694</v>
      </c>
      <c r="I7314" t="s">
        <v>17273</v>
      </c>
      <c r="J7314" t="s">
        <v>18892</v>
      </c>
      <c r="K7314">
        <v>10457</v>
      </c>
      <c r="L7314" t="s">
        <v>18958</v>
      </c>
      <c r="M7314" t="s">
        <v>18958</v>
      </c>
      <c r="N7314" t="s">
        <v>24187</v>
      </c>
      <c r="O7314" t="s">
        <v>26523</v>
      </c>
      <c r="P7314" t="s">
        <v>26560</v>
      </c>
      <c r="R7314" t="s">
        <v>26579</v>
      </c>
      <c r="U7314" t="s">
        <v>26604</v>
      </c>
      <c r="V7314" t="s">
        <v>26610</v>
      </c>
      <c r="W7314" t="s">
        <v>780</v>
      </c>
      <c r="X7314">
        <v>0</v>
      </c>
      <c r="Y7314" t="s">
        <v>26650</v>
      </c>
      <c r="AB7314" t="s">
        <v>29780</v>
      </c>
      <c r="AE7314">
        <v>0</v>
      </c>
      <c r="AF7314" t="s">
        <v>45541</v>
      </c>
      <c r="AG7314" t="s">
        <v>45562</v>
      </c>
      <c r="AH7314">
        <v>2</v>
      </c>
      <c r="AI7314">
        <v>1</v>
      </c>
      <c r="AJ7314">
        <v>0</v>
      </c>
      <c r="AK7314">
        <v>0</v>
      </c>
      <c r="AN7314" t="s">
        <v>7439</v>
      </c>
      <c r="AO7314">
        <v>0</v>
      </c>
      <c r="AU7314">
        <v>11.4</v>
      </c>
      <c r="AV7314" t="s">
        <v>833</v>
      </c>
      <c r="AW7314" t="s">
        <v>46867</v>
      </c>
      <c r="AX7314" t="s">
        <v>46897</v>
      </c>
    </row>
    <row r="7315" spans="1:50">
      <c r="A7315" s="1">
        <f>HYPERLINK("https://lsnyc.legalserver.org/matter/dynamic-profile/view/1897022","19-1897022")</f>
        <v>0</v>
      </c>
      <c r="B7315" t="s">
        <v>251</v>
      </c>
      <c r="C7315" t="s">
        <v>340</v>
      </c>
      <c r="D7315" t="s">
        <v>780</v>
      </c>
      <c r="F7315" t="s">
        <v>1629</v>
      </c>
      <c r="G7315" t="s">
        <v>8284</v>
      </c>
      <c r="H7315" t="s">
        <v>12004</v>
      </c>
      <c r="I7315" t="s">
        <v>17349</v>
      </c>
      <c r="J7315" t="s">
        <v>18892</v>
      </c>
      <c r="K7315">
        <v>10467</v>
      </c>
      <c r="L7315" t="s">
        <v>18958</v>
      </c>
      <c r="M7315" t="s">
        <v>18958</v>
      </c>
      <c r="N7315" t="s">
        <v>24188</v>
      </c>
      <c r="O7315" t="s">
        <v>26523</v>
      </c>
      <c r="P7315" t="s">
        <v>26560</v>
      </c>
      <c r="R7315" t="s">
        <v>26579</v>
      </c>
      <c r="U7315" t="s">
        <v>26604</v>
      </c>
      <c r="W7315" t="s">
        <v>780</v>
      </c>
      <c r="X7315">
        <v>1320</v>
      </c>
      <c r="Y7315" t="s">
        <v>26650</v>
      </c>
      <c r="Z7315" t="s">
        <v>26664</v>
      </c>
      <c r="AB7315" t="s">
        <v>26932</v>
      </c>
      <c r="AE7315">
        <v>0</v>
      </c>
      <c r="AF7315" t="s">
        <v>45541</v>
      </c>
      <c r="AG7315" t="s">
        <v>19330</v>
      </c>
      <c r="AH7315">
        <v>3</v>
      </c>
      <c r="AI7315">
        <v>1</v>
      </c>
      <c r="AJ7315">
        <v>1</v>
      </c>
      <c r="AK7315">
        <v>189.24</v>
      </c>
      <c r="AN7315" t="s">
        <v>45581</v>
      </c>
      <c r="AO7315">
        <v>32000</v>
      </c>
      <c r="AU7315">
        <v>6.5</v>
      </c>
      <c r="AV7315" t="s">
        <v>797</v>
      </c>
      <c r="AW7315" t="s">
        <v>46867</v>
      </c>
      <c r="AX7315" t="s">
        <v>46897</v>
      </c>
    </row>
    <row r="7316" spans="1:50">
      <c r="A7316" s="1">
        <f>HYPERLINK("https://lsnyc.legalserver.org/matter/dynamic-profile/view/1897001","19-1897001")</f>
        <v>0</v>
      </c>
      <c r="B7316" t="s">
        <v>131</v>
      </c>
      <c r="C7316" t="s">
        <v>340</v>
      </c>
      <c r="D7316" t="s">
        <v>780</v>
      </c>
      <c r="F7316" t="s">
        <v>1200</v>
      </c>
      <c r="G7316" t="s">
        <v>7162</v>
      </c>
      <c r="H7316" t="s">
        <v>12813</v>
      </c>
      <c r="I7316" t="s">
        <v>17356</v>
      </c>
      <c r="J7316" t="s">
        <v>18902</v>
      </c>
      <c r="K7316">
        <v>10303</v>
      </c>
      <c r="L7316" t="s">
        <v>18958</v>
      </c>
      <c r="M7316" t="s">
        <v>18958</v>
      </c>
      <c r="N7316" t="s">
        <v>24189</v>
      </c>
      <c r="O7316" t="s">
        <v>26523</v>
      </c>
      <c r="P7316" t="s">
        <v>26560</v>
      </c>
      <c r="R7316" t="s">
        <v>26590</v>
      </c>
      <c r="S7316" t="s">
        <v>18959</v>
      </c>
      <c r="U7316" t="s">
        <v>26605</v>
      </c>
      <c r="V7316" t="s">
        <v>26610</v>
      </c>
      <c r="W7316" t="s">
        <v>780</v>
      </c>
      <c r="X7316">
        <v>510</v>
      </c>
      <c r="Y7316" t="s">
        <v>26654</v>
      </c>
      <c r="Z7316" t="s">
        <v>26659</v>
      </c>
      <c r="AB7316" t="s">
        <v>30094</v>
      </c>
      <c r="AD7316" t="s">
        <v>40227</v>
      </c>
      <c r="AE7316">
        <v>0</v>
      </c>
      <c r="AF7316" t="s">
        <v>45543</v>
      </c>
      <c r="AG7316" t="s">
        <v>19330</v>
      </c>
      <c r="AH7316">
        <v>19</v>
      </c>
      <c r="AI7316">
        <v>2</v>
      </c>
      <c r="AJ7316">
        <v>1</v>
      </c>
      <c r="AK7316">
        <v>175.53</v>
      </c>
      <c r="AN7316" t="s">
        <v>7439</v>
      </c>
      <c r="AO7316">
        <v>37440</v>
      </c>
      <c r="AU7316">
        <v>8.6</v>
      </c>
      <c r="AV7316" t="s">
        <v>821</v>
      </c>
      <c r="AW7316" t="s">
        <v>46883</v>
      </c>
    </row>
    <row r="7317" spans="1:50">
      <c r="A7317" s="1">
        <f>HYPERLINK("https://lsnyc.legalserver.org/matter/dynamic-profile/view/1897042","19-1897042")</f>
        <v>0</v>
      </c>
      <c r="B7317" t="s">
        <v>212</v>
      </c>
      <c r="C7317" t="s">
        <v>340</v>
      </c>
      <c r="D7317" t="s">
        <v>780</v>
      </c>
      <c r="F7317" t="s">
        <v>3628</v>
      </c>
      <c r="G7317" t="s">
        <v>8285</v>
      </c>
      <c r="H7317" t="s">
        <v>12800</v>
      </c>
      <c r="I7317">
        <v>50</v>
      </c>
      <c r="J7317" t="s">
        <v>7026</v>
      </c>
      <c r="K7317">
        <v>11368</v>
      </c>
      <c r="L7317" t="s">
        <v>18958</v>
      </c>
      <c r="M7317" t="s">
        <v>18958</v>
      </c>
      <c r="N7317" t="s">
        <v>24190</v>
      </c>
      <c r="O7317" t="s">
        <v>26523</v>
      </c>
      <c r="P7317" t="s">
        <v>26563</v>
      </c>
      <c r="R7317" t="s">
        <v>26578</v>
      </c>
      <c r="S7317" t="s">
        <v>18959</v>
      </c>
      <c r="U7317" t="s">
        <v>26604</v>
      </c>
      <c r="V7317" t="s">
        <v>26611</v>
      </c>
      <c r="W7317" t="s">
        <v>780</v>
      </c>
      <c r="X7317">
        <v>1715</v>
      </c>
      <c r="Y7317" t="s">
        <v>26653</v>
      </c>
      <c r="Z7317" t="s">
        <v>26664</v>
      </c>
      <c r="AB7317" t="s">
        <v>32186</v>
      </c>
      <c r="AE7317">
        <v>0</v>
      </c>
      <c r="AF7317" t="s">
        <v>45541</v>
      </c>
      <c r="AH7317">
        <v>2</v>
      </c>
      <c r="AI7317">
        <v>2</v>
      </c>
      <c r="AJ7317">
        <v>4</v>
      </c>
      <c r="AK7317">
        <v>0</v>
      </c>
      <c r="AN7317" t="s">
        <v>45581</v>
      </c>
      <c r="AO7317">
        <v>0</v>
      </c>
      <c r="AU7317">
        <v>1.15</v>
      </c>
      <c r="AV7317" t="s">
        <v>765</v>
      </c>
      <c r="AW7317" t="s">
        <v>212</v>
      </c>
    </row>
    <row r="7318" spans="1:50">
      <c r="A7318" s="1">
        <f>HYPERLINK("https://lsnyc.legalserver.org/matter/dynamic-profile/view/1897091","19-1897091")</f>
        <v>0</v>
      </c>
      <c r="B7318" t="s">
        <v>212</v>
      </c>
      <c r="C7318" t="s">
        <v>340</v>
      </c>
      <c r="D7318" t="s">
        <v>780</v>
      </c>
      <c r="F7318" t="s">
        <v>1613</v>
      </c>
      <c r="G7318" t="s">
        <v>5762</v>
      </c>
      <c r="H7318" t="s">
        <v>14551</v>
      </c>
      <c r="I7318" t="s">
        <v>17629</v>
      </c>
      <c r="J7318" t="s">
        <v>18898</v>
      </c>
      <c r="K7318">
        <v>11691</v>
      </c>
      <c r="L7318" t="s">
        <v>18958</v>
      </c>
      <c r="M7318" t="s">
        <v>18958</v>
      </c>
      <c r="O7318" t="s">
        <v>26534</v>
      </c>
      <c r="P7318" t="s">
        <v>26561</v>
      </c>
      <c r="R7318" t="s">
        <v>26578</v>
      </c>
      <c r="S7318" t="s">
        <v>18958</v>
      </c>
      <c r="U7318" t="s">
        <v>26604</v>
      </c>
      <c r="W7318" t="s">
        <v>780</v>
      </c>
      <c r="X7318">
        <v>675</v>
      </c>
      <c r="Y7318" t="s">
        <v>26653</v>
      </c>
      <c r="Z7318" t="s">
        <v>26664</v>
      </c>
      <c r="AB7318" t="s">
        <v>32187</v>
      </c>
      <c r="AD7318" t="s">
        <v>42545</v>
      </c>
      <c r="AE7318">
        <v>43</v>
      </c>
      <c r="AF7318" t="s">
        <v>45544</v>
      </c>
      <c r="AH7318">
        <v>4</v>
      </c>
      <c r="AI7318">
        <v>1</v>
      </c>
      <c r="AJ7318">
        <v>0</v>
      </c>
      <c r="AK7318">
        <v>190.47</v>
      </c>
      <c r="AN7318" t="s">
        <v>7439</v>
      </c>
      <c r="AO7318">
        <v>23790</v>
      </c>
      <c r="AU7318">
        <v>0</v>
      </c>
      <c r="AW7318" t="s">
        <v>46884</v>
      </c>
    </row>
    <row r="7319" spans="1:50">
      <c r="A7319" s="1">
        <f>HYPERLINK("https://lsnyc.legalserver.org/matter/dynamic-profile/view/1897102","19-1897102")</f>
        <v>0</v>
      </c>
      <c r="B7319" t="s">
        <v>212</v>
      </c>
      <c r="C7319" t="s">
        <v>340</v>
      </c>
      <c r="D7319" t="s">
        <v>780</v>
      </c>
      <c r="F7319" t="s">
        <v>1613</v>
      </c>
      <c r="G7319" t="s">
        <v>5762</v>
      </c>
      <c r="H7319" t="s">
        <v>14551</v>
      </c>
      <c r="I7319" t="s">
        <v>17629</v>
      </c>
      <c r="J7319" t="s">
        <v>18898</v>
      </c>
      <c r="K7319">
        <v>11691</v>
      </c>
      <c r="L7319" t="s">
        <v>18958</v>
      </c>
      <c r="M7319" t="s">
        <v>18958</v>
      </c>
      <c r="O7319" t="s">
        <v>26529</v>
      </c>
      <c r="P7319" t="s">
        <v>26565</v>
      </c>
      <c r="R7319" t="s">
        <v>26578</v>
      </c>
      <c r="S7319" t="s">
        <v>18958</v>
      </c>
      <c r="U7319" t="s">
        <v>26604</v>
      </c>
      <c r="W7319" t="s">
        <v>780</v>
      </c>
      <c r="X7319">
        <v>675</v>
      </c>
      <c r="Y7319" t="s">
        <v>26653</v>
      </c>
      <c r="Z7319" t="s">
        <v>26664</v>
      </c>
      <c r="AB7319" t="s">
        <v>32187</v>
      </c>
      <c r="AD7319" t="s">
        <v>42545</v>
      </c>
      <c r="AE7319">
        <v>43</v>
      </c>
      <c r="AF7319" t="s">
        <v>45544</v>
      </c>
      <c r="AH7319">
        <v>4</v>
      </c>
      <c r="AI7319">
        <v>1</v>
      </c>
      <c r="AJ7319">
        <v>0</v>
      </c>
      <c r="AK7319">
        <v>190.47</v>
      </c>
      <c r="AN7319" t="s">
        <v>7439</v>
      </c>
      <c r="AO7319">
        <v>23790</v>
      </c>
      <c r="AU7319">
        <v>0</v>
      </c>
      <c r="AW7319" t="s">
        <v>46884</v>
      </c>
    </row>
    <row r="7320" spans="1:50">
      <c r="A7320" s="1">
        <f>HYPERLINK("https://lsnyc.legalserver.org/matter/dynamic-profile/view/1897064","19-1897064")</f>
        <v>0</v>
      </c>
      <c r="B7320" t="s">
        <v>212</v>
      </c>
      <c r="C7320" t="s">
        <v>340</v>
      </c>
      <c r="D7320" t="s">
        <v>780</v>
      </c>
      <c r="F7320" t="s">
        <v>1228</v>
      </c>
      <c r="G7320" t="s">
        <v>5100</v>
      </c>
      <c r="H7320" t="s">
        <v>14551</v>
      </c>
      <c r="I7320" t="s">
        <v>18457</v>
      </c>
      <c r="J7320" t="s">
        <v>18898</v>
      </c>
      <c r="K7320">
        <v>11691</v>
      </c>
      <c r="L7320" t="s">
        <v>18958</v>
      </c>
      <c r="M7320" t="s">
        <v>18958</v>
      </c>
      <c r="O7320" t="s">
        <v>26534</v>
      </c>
      <c r="P7320" t="s">
        <v>26561</v>
      </c>
      <c r="R7320" t="s">
        <v>26578</v>
      </c>
      <c r="S7320" t="s">
        <v>18958</v>
      </c>
      <c r="U7320" t="s">
        <v>26604</v>
      </c>
      <c r="W7320" t="s">
        <v>780</v>
      </c>
      <c r="X7320">
        <v>819</v>
      </c>
      <c r="Y7320" t="s">
        <v>26653</v>
      </c>
      <c r="Z7320" t="s">
        <v>26664</v>
      </c>
      <c r="AB7320" t="s">
        <v>32188</v>
      </c>
      <c r="AD7320" t="s">
        <v>42546</v>
      </c>
      <c r="AE7320">
        <v>43</v>
      </c>
      <c r="AH7320">
        <v>15</v>
      </c>
      <c r="AI7320">
        <v>1</v>
      </c>
      <c r="AJ7320">
        <v>0</v>
      </c>
      <c r="AK7320">
        <v>408.33</v>
      </c>
      <c r="AN7320" t="s">
        <v>45581</v>
      </c>
      <c r="AO7320">
        <v>51000</v>
      </c>
      <c r="AU7320">
        <v>0</v>
      </c>
      <c r="AW7320" t="s">
        <v>46884</v>
      </c>
    </row>
    <row r="7321" spans="1:50">
      <c r="A7321" s="1">
        <f>HYPERLINK("https://lsnyc.legalserver.org/matter/dynamic-profile/view/1897069","19-1897069")</f>
        <v>0</v>
      </c>
      <c r="B7321" t="s">
        <v>212</v>
      </c>
      <c r="C7321" t="s">
        <v>340</v>
      </c>
      <c r="D7321" t="s">
        <v>780</v>
      </c>
      <c r="F7321" t="s">
        <v>1228</v>
      </c>
      <c r="G7321" t="s">
        <v>5100</v>
      </c>
      <c r="H7321" t="s">
        <v>14551</v>
      </c>
      <c r="I7321" t="s">
        <v>18457</v>
      </c>
      <c r="J7321" t="s">
        <v>18898</v>
      </c>
      <c r="K7321">
        <v>11691</v>
      </c>
      <c r="L7321" t="s">
        <v>18958</v>
      </c>
      <c r="M7321" t="s">
        <v>18958</v>
      </c>
      <c r="O7321" t="s">
        <v>26529</v>
      </c>
      <c r="P7321" t="s">
        <v>26565</v>
      </c>
      <c r="R7321" t="s">
        <v>26578</v>
      </c>
      <c r="U7321" t="s">
        <v>26604</v>
      </c>
      <c r="W7321" t="s">
        <v>780</v>
      </c>
      <c r="X7321">
        <v>819</v>
      </c>
      <c r="Y7321" t="s">
        <v>26653</v>
      </c>
      <c r="Z7321" t="s">
        <v>26664</v>
      </c>
      <c r="AB7321" t="s">
        <v>32188</v>
      </c>
      <c r="AD7321" t="s">
        <v>42546</v>
      </c>
      <c r="AE7321">
        <v>43</v>
      </c>
      <c r="AH7321">
        <v>15</v>
      </c>
      <c r="AI7321">
        <v>1</v>
      </c>
      <c r="AJ7321">
        <v>0</v>
      </c>
      <c r="AK7321">
        <v>408.33</v>
      </c>
      <c r="AN7321" t="s">
        <v>45581</v>
      </c>
      <c r="AO7321">
        <v>51000</v>
      </c>
      <c r="AU7321">
        <v>0</v>
      </c>
      <c r="AW7321" t="s">
        <v>46884</v>
      </c>
    </row>
    <row r="7322" spans="1:50">
      <c r="A7322" s="1">
        <f>HYPERLINK("https://lsnyc.legalserver.org/matter/dynamic-profile/view/1897050","19-1897050")</f>
        <v>0</v>
      </c>
      <c r="B7322" t="s">
        <v>214</v>
      </c>
      <c r="C7322" t="s">
        <v>340</v>
      </c>
      <c r="D7322" t="s">
        <v>780</v>
      </c>
      <c r="F7322" t="s">
        <v>3923</v>
      </c>
      <c r="G7322" t="s">
        <v>8286</v>
      </c>
      <c r="H7322" t="s">
        <v>14695</v>
      </c>
      <c r="I7322" t="s">
        <v>17284</v>
      </c>
      <c r="J7322" t="s">
        <v>18912</v>
      </c>
      <c r="K7322">
        <v>11374</v>
      </c>
      <c r="L7322" t="s">
        <v>18958</v>
      </c>
      <c r="M7322" t="s">
        <v>18958</v>
      </c>
      <c r="N7322" t="s">
        <v>19045</v>
      </c>
      <c r="O7322" t="s">
        <v>18997</v>
      </c>
      <c r="P7322" t="s">
        <v>26564</v>
      </c>
      <c r="R7322" t="s">
        <v>26589</v>
      </c>
      <c r="S7322" t="s">
        <v>18959</v>
      </c>
      <c r="U7322" t="s">
        <v>26604</v>
      </c>
      <c r="V7322" t="s">
        <v>26610</v>
      </c>
      <c r="W7322" t="s">
        <v>780</v>
      </c>
      <c r="X7322">
        <v>2175</v>
      </c>
      <c r="Y7322" t="s">
        <v>26653</v>
      </c>
      <c r="Z7322" t="s">
        <v>26671</v>
      </c>
      <c r="AB7322" t="s">
        <v>32189</v>
      </c>
      <c r="AC7322" t="s">
        <v>35263</v>
      </c>
      <c r="AD7322" t="s">
        <v>42547</v>
      </c>
      <c r="AE7322">
        <v>181</v>
      </c>
      <c r="AF7322" t="s">
        <v>45547</v>
      </c>
      <c r="AG7322" t="s">
        <v>19330</v>
      </c>
      <c r="AH7322">
        <v>1</v>
      </c>
      <c r="AI7322">
        <v>1</v>
      </c>
      <c r="AJ7322">
        <v>0</v>
      </c>
      <c r="AK7322">
        <v>696.5599999999999</v>
      </c>
      <c r="AL7322" t="s">
        <v>45567</v>
      </c>
      <c r="AM7322" t="s">
        <v>45577</v>
      </c>
      <c r="AN7322" t="s">
        <v>45581</v>
      </c>
      <c r="AO7322">
        <v>87000</v>
      </c>
      <c r="AU7322">
        <v>1.6</v>
      </c>
      <c r="AV7322" t="s">
        <v>811</v>
      </c>
      <c r="AW7322" t="s">
        <v>214</v>
      </c>
    </row>
    <row r="7323" spans="1:50">
      <c r="A7323" s="1">
        <f>HYPERLINK("https://lsnyc.legalserver.org/matter/dynamic-profile/view/1897259","19-1897259")</f>
        <v>0</v>
      </c>
      <c r="B7323" t="s">
        <v>187</v>
      </c>
      <c r="C7323" t="s">
        <v>340</v>
      </c>
      <c r="D7323" t="s">
        <v>780</v>
      </c>
      <c r="F7323" t="s">
        <v>3924</v>
      </c>
      <c r="G7323" t="s">
        <v>940</v>
      </c>
      <c r="H7323" t="s">
        <v>14696</v>
      </c>
      <c r="I7323">
        <v>2</v>
      </c>
      <c r="J7323" t="s">
        <v>18892</v>
      </c>
      <c r="K7323">
        <v>10462</v>
      </c>
      <c r="L7323" t="s">
        <v>18958</v>
      </c>
      <c r="M7323" t="s">
        <v>18958</v>
      </c>
      <c r="N7323" t="s">
        <v>24191</v>
      </c>
      <c r="O7323" t="s">
        <v>26524</v>
      </c>
      <c r="P7323" t="s">
        <v>26560</v>
      </c>
      <c r="R7323" t="s">
        <v>26579</v>
      </c>
      <c r="S7323" t="s">
        <v>18959</v>
      </c>
      <c r="U7323" t="s">
        <v>26604</v>
      </c>
      <c r="V7323" t="s">
        <v>26610</v>
      </c>
      <c r="W7323" t="s">
        <v>780</v>
      </c>
      <c r="X7323">
        <v>1956</v>
      </c>
      <c r="Y7323" t="s">
        <v>26650</v>
      </c>
      <c r="Z7323" t="s">
        <v>26668</v>
      </c>
      <c r="AB7323" t="s">
        <v>32190</v>
      </c>
      <c r="AD7323" t="s">
        <v>42548</v>
      </c>
      <c r="AE7323">
        <v>0</v>
      </c>
      <c r="AF7323" t="s">
        <v>45547</v>
      </c>
      <c r="AG7323" t="s">
        <v>45558</v>
      </c>
      <c r="AH7323">
        <v>1</v>
      </c>
      <c r="AI7323">
        <v>1</v>
      </c>
      <c r="AJ7323">
        <v>5</v>
      </c>
      <c r="AK7323">
        <v>81.18000000000001</v>
      </c>
      <c r="AN7323" t="s">
        <v>7439</v>
      </c>
      <c r="AO7323">
        <v>28080</v>
      </c>
      <c r="AU7323">
        <v>3.3</v>
      </c>
      <c r="AV7323" t="s">
        <v>825</v>
      </c>
      <c r="AW7323" t="s">
        <v>46832</v>
      </c>
    </row>
    <row r="7324" spans="1:50">
      <c r="A7324" s="1">
        <f>HYPERLINK("https://lsnyc.legalserver.org/matter/dynamic-profile/view/1896722","19-1896722")</f>
        <v>0</v>
      </c>
      <c r="B7324" t="s">
        <v>103</v>
      </c>
      <c r="C7324" t="s">
        <v>340</v>
      </c>
      <c r="D7324" t="s">
        <v>780</v>
      </c>
      <c r="F7324" t="s">
        <v>939</v>
      </c>
      <c r="G7324" t="s">
        <v>8287</v>
      </c>
      <c r="H7324" t="s">
        <v>14697</v>
      </c>
      <c r="I7324" t="s">
        <v>17491</v>
      </c>
      <c r="J7324" t="s">
        <v>18902</v>
      </c>
      <c r="K7324">
        <v>10314</v>
      </c>
      <c r="L7324" t="s">
        <v>18958</v>
      </c>
      <c r="M7324" t="s">
        <v>18958</v>
      </c>
      <c r="N7324" t="s">
        <v>24192</v>
      </c>
      <c r="O7324" t="s">
        <v>26523</v>
      </c>
      <c r="P7324" t="s">
        <v>26560</v>
      </c>
      <c r="R7324" t="s">
        <v>26590</v>
      </c>
      <c r="S7324" t="s">
        <v>18959</v>
      </c>
      <c r="U7324" t="s">
        <v>26604</v>
      </c>
      <c r="V7324" t="s">
        <v>26610</v>
      </c>
      <c r="W7324" t="s">
        <v>780</v>
      </c>
      <c r="X7324">
        <v>1625</v>
      </c>
      <c r="Y7324" t="s">
        <v>26654</v>
      </c>
      <c r="Z7324" t="s">
        <v>26657</v>
      </c>
      <c r="AB7324" t="s">
        <v>30635</v>
      </c>
      <c r="AD7324" t="s">
        <v>42549</v>
      </c>
      <c r="AE7324">
        <v>2</v>
      </c>
      <c r="AF7324" t="s">
        <v>45547</v>
      </c>
      <c r="AG7324" t="s">
        <v>19330</v>
      </c>
      <c r="AH7324">
        <v>1</v>
      </c>
      <c r="AI7324">
        <v>3</v>
      </c>
      <c r="AJ7324">
        <v>0</v>
      </c>
      <c r="AK7324">
        <v>145.05</v>
      </c>
      <c r="AN7324" t="s">
        <v>7439</v>
      </c>
      <c r="AO7324">
        <v>30939.96</v>
      </c>
      <c r="AU7324">
        <v>11.35</v>
      </c>
      <c r="AV7324" t="s">
        <v>836</v>
      </c>
      <c r="AW7324" t="s">
        <v>46883</v>
      </c>
    </row>
    <row r="7325" spans="1:50">
      <c r="A7325" s="1">
        <f>HYPERLINK("https://lsnyc.legalserver.org/matter/dynamic-profile/view/1896998","19-1896998")</f>
        <v>0</v>
      </c>
      <c r="B7325" t="s">
        <v>104</v>
      </c>
      <c r="C7325" t="s">
        <v>340</v>
      </c>
      <c r="D7325" t="s">
        <v>780</v>
      </c>
      <c r="F7325" t="s">
        <v>2002</v>
      </c>
      <c r="G7325" t="s">
        <v>6712</v>
      </c>
      <c r="H7325" t="s">
        <v>9903</v>
      </c>
      <c r="I7325" t="s">
        <v>17275</v>
      </c>
      <c r="J7325" t="s">
        <v>18902</v>
      </c>
      <c r="K7325">
        <v>10314</v>
      </c>
      <c r="L7325" t="s">
        <v>18958</v>
      </c>
      <c r="M7325" t="s">
        <v>18958</v>
      </c>
      <c r="N7325" t="s">
        <v>24193</v>
      </c>
      <c r="O7325" t="s">
        <v>26523</v>
      </c>
      <c r="P7325" t="s">
        <v>26560</v>
      </c>
      <c r="R7325" t="s">
        <v>26590</v>
      </c>
      <c r="S7325" t="s">
        <v>18959</v>
      </c>
      <c r="U7325" t="s">
        <v>26605</v>
      </c>
      <c r="V7325" t="s">
        <v>26610</v>
      </c>
      <c r="W7325" t="s">
        <v>780</v>
      </c>
      <c r="X7325">
        <v>259.6</v>
      </c>
      <c r="Y7325" t="s">
        <v>26654</v>
      </c>
      <c r="Z7325" t="s">
        <v>26668</v>
      </c>
      <c r="AB7325" t="s">
        <v>32191</v>
      </c>
      <c r="AD7325" t="s">
        <v>42550</v>
      </c>
      <c r="AE7325">
        <v>0</v>
      </c>
      <c r="AF7325" t="s">
        <v>45549</v>
      </c>
      <c r="AG7325" t="s">
        <v>45556</v>
      </c>
      <c r="AH7325">
        <v>41</v>
      </c>
      <c r="AI7325">
        <v>1</v>
      </c>
      <c r="AJ7325">
        <v>0</v>
      </c>
      <c r="AK7325">
        <v>74.08</v>
      </c>
      <c r="AN7325" t="s">
        <v>7439</v>
      </c>
      <c r="AO7325">
        <v>9252</v>
      </c>
      <c r="AU7325">
        <v>6.4</v>
      </c>
      <c r="AV7325" t="s">
        <v>834</v>
      </c>
      <c r="AW7325" t="s">
        <v>185</v>
      </c>
      <c r="AX7325" t="s">
        <v>46897</v>
      </c>
    </row>
    <row r="7326" spans="1:50">
      <c r="A7326" s="1">
        <f>HYPERLINK("https://lsnyc.legalserver.org/matter/dynamic-profile/view/1896970","19-1896970")</f>
        <v>0</v>
      </c>
      <c r="B7326" t="s">
        <v>104</v>
      </c>
      <c r="C7326" t="s">
        <v>340</v>
      </c>
      <c r="D7326" t="s">
        <v>780</v>
      </c>
      <c r="F7326" t="s">
        <v>1537</v>
      </c>
      <c r="G7326" t="s">
        <v>6182</v>
      </c>
      <c r="H7326" t="s">
        <v>14698</v>
      </c>
      <c r="I7326" t="s">
        <v>17312</v>
      </c>
      <c r="J7326" t="s">
        <v>18902</v>
      </c>
      <c r="K7326">
        <v>10314</v>
      </c>
      <c r="L7326" t="s">
        <v>18958</v>
      </c>
      <c r="M7326" t="s">
        <v>18958</v>
      </c>
      <c r="N7326" t="s">
        <v>24194</v>
      </c>
      <c r="O7326" t="s">
        <v>26523</v>
      </c>
      <c r="P7326" t="s">
        <v>26560</v>
      </c>
      <c r="R7326" t="s">
        <v>26590</v>
      </c>
      <c r="S7326" t="s">
        <v>18959</v>
      </c>
      <c r="U7326" t="s">
        <v>26605</v>
      </c>
      <c r="V7326" t="s">
        <v>26610</v>
      </c>
      <c r="W7326" t="s">
        <v>780</v>
      </c>
      <c r="X7326">
        <v>596</v>
      </c>
      <c r="Y7326" t="s">
        <v>26654</v>
      </c>
      <c r="Z7326" t="s">
        <v>26668</v>
      </c>
      <c r="AB7326" t="s">
        <v>27950</v>
      </c>
      <c r="AD7326" t="s">
        <v>42551</v>
      </c>
      <c r="AE7326">
        <v>0</v>
      </c>
      <c r="AF7326" t="s">
        <v>45549</v>
      </c>
      <c r="AG7326" t="s">
        <v>45556</v>
      </c>
      <c r="AH7326">
        <v>18</v>
      </c>
      <c r="AI7326">
        <v>1</v>
      </c>
      <c r="AJ7326">
        <v>0</v>
      </c>
      <c r="AK7326">
        <v>191.64</v>
      </c>
      <c r="AN7326" t="s">
        <v>7439</v>
      </c>
      <c r="AO7326">
        <v>23936</v>
      </c>
      <c r="AU7326">
        <v>5.6</v>
      </c>
      <c r="AV7326" t="s">
        <v>834</v>
      </c>
      <c r="AW7326" t="s">
        <v>185</v>
      </c>
    </row>
    <row r="7327" spans="1:50">
      <c r="A7327" s="1">
        <f>HYPERLINK("https://lsnyc.legalserver.org/matter/dynamic-profile/view/1895731","19-1895731")</f>
        <v>0</v>
      </c>
      <c r="B7327" t="s">
        <v>69</v>
      </c>
      <c r="C7327" t="s">
        <v>340</v>
      </c>
      <c r="D7327" t="s">
        <v>780</v>
      </c>
      <c r="F7327" t="s">
        <v>3925</v>
      </c>
      <c r="G7327" t="s">
        <v>8288</v>
      </c>
      <c r="H7327" t="s">
        <v>14699</v>
      </c>
      <c r="I7327" t="s">
        <v>17388</v>
      </c>
      <c r="J7327" t="s">
        <v>18892</v>
      </c>
      <c r="K7327">
        <v>10467</v>
      </c>
      <c r="L7327" t="s">
        <v>18958</v>
      </c>
      <c r="M7327" t="s">
        <v>18960</v>
      </c>
      <c r="N7327" t="s">
        <v>24195</v>
      </c>
      <c r="O7327" t="s">
        <v>26523</v>
      </c>
      <c r="P7327" t="s">
        <v>26560</v>
      </c>
      <c r="R7327" t="s">
        <v>26579</v>
      </c>
      <c r="U7327" t="s">
        <v>26604</v>
      </c>
      <c r="W7327" t="s">
        <v>780</v>
      </c>
      <c r="X7327">
        <v>1276</v>
      </c>
      <c r="Y7327" t="s">
        <v>26650</v>
      </c>
      <c r="Z7327" t="s">
        <v>26668</v>
      </c>
      <c r="AB7327" t="s">
        <v>32192</v>
      </c>
      <c r="AD7327" t="s">
        <v>42552</v>
      </c>
      <c r="AE7327">
        <v>0</v>
      </c>
      <c r="AF7327" t="s">
        <v>45541</v>
      </c>
      <c r="AG7327" t="s">
        <v>19330</v>
      </c>
      <c r="AH7327">
        <v>8</v>
      </c>
      <c r="AI7327">
        <v>1</v>
      </c>
      <c r="AJ7327">
        <v>0</v>
      </c>
      <c r="AK7327">
        <v>208.17</v>
      </c>
      <c r="AN7327" t="s">
        <v>7439</v>
      </c>
      <c r="AO7327">
        <v>26000</v>
      </c>
      <c r="AU7327">
        <v>9.4</v>
      </c>
      <c r="AV7327" t="s">
        <v>834</v>
      </c>
      <c r="AW7327" t="s">
        <v>46859</v>
      </c>
      <c r="AX7327" t="s">
        <v>46897</v>
      </c>
    </row>
    <row r="7328" spans="1:50">
      <c r="A7328" s="1">
        <f>HYPERLINK("https://lsnyc.legalserver.org/matter/dynamic-profile/view/1897061","19-1897061")</f>
        <v>0</v>
      </c>
      <c r="B7328" t="s">
        <v>157</v>
      </c>
      <c r="C7328" t="s">
        <v>340</v>
      </c>
      <c r="D7328" t="s">
        <v>780</v>
      </c>
      <c r="F7328" t="s">
        <v>3877</v>
      </c>
      <c r="G7328" t="s">
        <v>5078</v>
      </c>
      <c r="H7328" t="s">
        <v>9751</v>
      </c>
      <c r="I7328">
        <v>1</v>
      </c>
      <c r="J7328" t="s">
        <v>18893</v>
      </c>
      <c r="K7328">
        <v>10034</v>
      </c>
      <c r="L7328" t="s">
        <v>18958</v>
      </c>
      <c r="M7328" t="s">
        <v>18958</v>
      </c>
      <c r="O7328" t="s">
        <v>26526</v>
      </c>
      <c r="P7328" t="s">
        <v>26562</v>
      </c>
      <c r="R7328" t="s">
        <v>26578</v>
      </c>
      <c r="S7328" t="s">
        <v>18958</v>
      </c>
      <c r="U7328" t="s">
        <v>26604</v>
      </c>
      <c r="W7328" t="s">
        <v>780</v>
      </c>
      <c r="X7328">
        <v>1400</v>
      </c>
      <c r="Y7328" t="s">
        <v>26651</v>
      </c>
      <c r="Z7328" t="s">
        <v>26661</v>
      </c>
      <c r="AB7328" t="s">
        <v>28930</v>
      </c>
      <c r="AD7328" t="s">
        <v>42553</v>
      </c>
      <c r="AE7328">
        <v>20</v>
      </c>
      <c r="AF7328" t="s">
        <v>45541</v>
      </c>
      <c r="AG7328" t="s">
        <v>26530</v>
      </c>
      <c r="AH7328">
        <v>10</v>
      </c>
      <c r="AI7328">
        <v>1</v>
      </c>
      <c r="AJ7328">
        <v>0</v>
      </c>
      <c r="AK7328">
        <v>182.55</v>
      </c>
      <c r="AN7328" t="s">
        <v>45581</v>
      </c>
      <c r="AO7328">
        <v>22800</v>
      </c>
      <c r="AU7328">
        <v>9.800000000000001</v>
      </c>
      <c r="AV7328" t="s">
        <v>819</v>
      </c>
      <c r="AW7328" t="s">
        <v>46840</v>
      </c>
    </row>
    <row r="7329" spans="1:50">
      <c r="A7329" s="1">
        <f>HYPERLINK("https://lsnyc.legalserver.org/matter/dynamic-profile/view/1896988","19-1896988")</f>
        <v>0</v>
      </c>
      <c r="B7329" t="s">
        <v>240</v>
      </c>
      <c r="C7329" t="s">
        <v>340</v>
      </c>
      <c r="D7329" t="s">
        <v>780</v>
      </c>
      <c r="F7329" t="s">
        <v>2581</v>
      </c>
      <c r="G7329" t="s">
        <v>6996</v>
      </c>
      <c r="H7329" t="s">
        <v>12547</v>
      </c>
      <c r="I7329">
        <v>8</v>
      </c>
      <c r="J7329" t="s">
        <v>18894</v>
      </c>
      <c r="K7329">
        <v>11226</v>
      </c>
      <c r="L7329" t="s">
        <v>18958</v>
      </c>
      <c r="M7329" t="s">
        <v>18958</v>
      </c>
      <c r="O7329" t="s">
        <v>26526</v>
      </c>
      <c r="P7329" t="s">
        <v>26560</v>
      </c>
      <c r="R7329" t="s">
        <v>26578</v>
      </c>
      <c r="U7329" t="s">
        <v>26604</v>
      </c>
      <c r="W7329" t="s">
        <v>780</v>
      </c>
      <c r="X7329">
        <v>763.86</v>
      </c>
      <c r="Y7329" t="s">
        <v>26652</v>
      </c>
      <c r="AB7329" t="s">
        <v>29807</v>
      </c>
      <c r="AD7329" t="s">
        <v>39927</v>
      </c>
      <c r="AE7329">
        <v>0</v>
      </c>
      <c r="AH7329">
        <v>18</v>
      </c>
      <c r="AI7329">
        <v>4</v>
      </c>
      <c r="AJ7329">
        <v>1</v>
      </c>
      <c r="AK7329">
        <v>130.99</v>
      </c>
      <c r="AN7329" t="s">
        <v>7439</v>
      </c>
      <c r="AO7329">
        <v>39520</v>
      </c>
      <c r="AU7329">
        <v>0.9</v>
      </c>
      <c r="AV7329" t="s">
        <v>826</v>
      </c>
      <c r="AW7329" t="s">
        <v>219</v>
      </c>
    </row>
    <row r="7330" spans="1:50">
      <c r="A7330" s="1">
        <f>HYPERLINK("https://lsnyc.legalserver.org/matter/dynamic-profile/view/1887194","19-1887194")</f>
        <v>0</v>
      </c>
      <c r="B7330" t="s">
        <v>90</v>
      </c>
      <c r="C7330" t="s">
        <v>341</v>
      </c>
      <c r="D7330" t="s">
        <v>716</v>
      </c>
      <c r="E7330" t="s">
        <v>821</v>
      </c>
      <c r="F7330" t="s">
        <v>3926</v>
      </c>
      <c r="G7330" t="s">
        <v>8289</v>
      </c>
      <c r="H7330" t="s">
        <v>12553</v>
      </c>
      <c r="I7330" t="s">
        <v>17449</v>
      </c>
      <c r="J7330" t="s">
        <v>18893</v>
      </c>
      <c r="K7330">
        <v>10029</v>
      </c>
      <c r="L7330" t="s">
        <v>18958</v>
      </c>
      <c r="M7330" t="s">
        <v>18958</v>
      </c>
      <c r="N7330" t="s">
        <v>24196</v>
      </c>
      <c r="O7330" t="s">
        <v>26524</v>
      </c>
      <c r="P7330" t="s">
        <v>26564</v>
      </c>
      <c r="Q7330" t="s">
        <v>26570</v>
      </c>
      <c r="R7330" t="s">
        <v>26578</v>
      </c>
      <c r="S7330" t="s">
        <v>18959</v>
      </c>
      <c r="U7330" t="s">
        <v>26604</v>
      </c>
      <c r="V7330" t="s">
        <v>26610</v>
      </c>
      <c r="W7330" t="s">
        <v>760</v>
      </c>
      <c r="X7330">
        <v>3600</v>
      </c>
      <c r="Y7330" t="s">
        <v>26651</v>
      </c>
      <c r="Z7330" t="s">
        <v>26659</v>
      </c>
      <c r="AA7330" t="s">
        <v>26683</v>
      </c>
      <c r="AB7330" t="s">
        <v>32193</v>
      </c>
      <c r="AD7330" t="s">
        <v>42554</v>
      </c>
      <c r="AE7330">
        <v>130</v>
      </c>
      <c r="AF7330" t="s">
        <v>20460</v>
      </c>
      <c r="AG7330" t="s">
        <v>45556</v>
      </c>
      <c r="AH7330">
        <v>6</v>
      </c>
      <c r="AI7330">
        <v>1</v>
      </c>
      <c r="AJ7330">
        <v>2</v>
      </c>
      <c r="AK7330">
        <v>41.69</v>
      </c>
      <c r="AN7330" t="s">
        <v>7439</v>
      </c>
      <c r="AO7330">
        <v>8664</v>
      </c>
      <c r="AU7330">
        <v>1.55</v>
      </c>
      <c r="AV7330" t="s">
        <v>732</v>
      </c>
      <c r="AW7330" t="s">
        <v>46841</v>
      </c>
      <c r="AX7330" t="s">
        <v>46897</v>
      </c>
    </row>
    <row r="7331" spans="1:50">
      <c r="A7331" s="1">
        <f>HYPERLINK("https://lsnyc.legalserver.org/matter/dynamic-profile/view/1894962","19-1894962")</f>
        <v>0</v>
      </c>
      <c r="B7331" t="s">
        <v>200</v>
      </c>
      <c r="C7331" t="s">
        <v>340</v>
      </c>
      <c r="D7331" t="s">
        <v>789</v>
      </c>
      <c r="F7331" t="s">
        <v>1233</v>
      </c>
      <c r="G7331" t="s">
        <v>5086</v>
      </c>
      <c r="H7331" t="s">
        <v>12276</v>
      </c>
      <c r="I7331" t="s">
        <v>17323</v>
      </c>
      <c r="J7331" t="s">
        <v>18894</v>
      </c>
      <c r="K7331">
        <v>11239</v>
      </c>
      <c r="L7331" t="s">
        <v>18958</v>
      </c>
      <c r="M7331" t="s">
        <v>18958</v>
      </c>
      <c r="N7331" t="s">
        <v>24197</v>
      </c>
      <c r="O7331" t="s">
        <v>26523</v>
      </c>
      <c r="P7331" t="s">
        <v>26560</v>
      </c>
      <c r="R7331" t="s">
        <v>26578</v>
      </c>
      <c r="S7331" t="s">
        <v>18959</v>
      </c>
      <c r="U7331" t="s">
        <v>26604</v>
      </c>
      <c r="V7331" t="s">
        <v>26610</v>
      </c>
      <c r="W7331" t="s">
        <v>760</v>
      </c>
      <c r="X7331">
        <v>975</v>
      </c>
      <c r="Y7331" t="s">
        <v>26652</v>
      </c>
      <c r="AB7331" t="s">
        <v>30762</v>
      </c>
      <c r="AD7331" t="s">
        <v>42555</v>
      </c>
      <c r="AE7331">
        <v>60</v>
      </c>
      <c r="AF7331" t="s">
        <v>45543</v>
      </c>
      <c r="AH7331">
        <v>27</v>
      </c>
      <c r="AI7331">
        <v>2</v>
      </c>
      <c r="AJ7331">
        <v>0</v>
      </c>
      <c r="AK7331">
        <v>59.33</v>
      </c>
      <c r="AN7331" t="s">
        <v>7439</v>
      </c>
      <c r="AO7331">
        <v>10032</v>
      </c>
      <c r="AU7331">
        <v>9.6</v>
      </c>
      <c r="AV7331" t="s">
        <v>833</v>
      </c>
      <c r="AW7331" t="s">
        <v>200</v>
      </c>
      <c r="AX7331" t="s">
        <v>46897</v>
      </c>
    </row>
    <row r="7332" spans="1:50">
      <c r="A7332" s="1">
        <f>HYPERLINK("https://lsnyc.legalserver.org/matter/dynamic-profile/view/1894881","19-1894881")</f>
        <v>0</v>
      </c>
      <c r="B7332" t="s">
        <v>157</v>
      </c>
      <c r="C7332" t="s">
        <v>340</v>
      </c>
      <c r="D7332" t="s">
        <v>779</v>
      </c>
      <c r="F7332" t="s">
        <v>1192</v>
      </c>
      <c r="G7332" t="s">
        <v>8290</v>
      </c>
      <c r="H7332" t="s">
        <v>9751</v>
      </c>
      <c r="I7332">
        <v>53</v>
      </c>
      <c r="J7332" t="s">
        <v>18893</v>
      </c>
      <c r="K7332">
        <v>10034</v>
      </c>
      <c r="L7332" t="s">
        <v>18958</v>
      </c>
      <c r="M7332" t="s">
        <v>18958</v>
      </c>
      <c r="O7332" t="s">
        <v>26526</v>
      </c>
      <c r="P7332" t="s">
        <v>26563</v>
      </c>
      <c r="R7332" t="s">
        <v>26578</v>
      </c>
      <c r="S7332" t="s">
        <v>18958</v>
      </c>
      <c r="U7332" t="s">
        <v>26604</v>
      </c>
      <c r="W7332" t="s">
        <v>760</v>
      </c>
      <c r="X7332">
        <v>2012.58</v>
      </c>
      <c r="Y7332" t="s">
        <v>26651</v>
      </c>
      <c r="Z7332" t="s">
        <v>26661</v>
      </c>
      <c r="AB7332" t="s">
        <v>32194</v>
      </c>
      <c r="AD7332" t="s">
        <v>42556</v>
      </c>
      <c r="AE7332">
        <v>20</v>
      </c>
      <c r="AF7332" t="s">
        <v>45541</v>
      </c>
      <c r="AG7332" t="s">
        <v>19330</v>
      </c>
      <c r="AH7332">
        <v>9</v>
      </c>
      <c r="AI7332">
        <v>3</v>
      </c>
      <c r="AJ7332">
        <v>0</v>
      </c>
      <c r="AK7332">
        <v>565.4</v>
      </c>
      <c r="AM7332" t="s">
        <v>45575</v>
      </c>
      <c r="AN7332" t="s">
        <v>7439</v>
      </c>
      <c r="AO7332">
        <v>120600</v>
      </c>
      <c r="AU7332">
        <v>0</v>
      </c>
      <c r="AW7332" t="s">
        <v>317</v>
      </c>
    </row>
    <row r="7333" spans="1:50">
      <c r="A7333" s="1">
        <f>HYPERLINK("https://lsnyc.legalserver.org/matter/dynamic-profile/view/1896746","19-1896746")</f>
        <v>0</v>
      </c>
      <c r="B7333" t="s">
        <v>69</v>
      </c>
      <c r="C7333" t="s">
        <v>341</v>
      </c>
      <c r="D7333" t="s">
        <v>672</v>
      </c>
      <c r="E7333" t="s">
        <v>835</v>
      </c>
      <c r="F7333" t="s">
        <v>1191</v>
      </c>
      <c r="G7333" t="s">
        <v>6311</v>
      </c>
      <c r="H7333" t="s">
        <v>14700</v>
      </c>
      <c r="I7333">
        <v>8</v>
      </c>
      <c r="J7333" t="s">
        <v>18892</v>
      </c>
      <c r="K7333">
        <v>10466</v>
      </c>
      <c r="L7333" t="s">
        <v>18958</v>
      </c>
      <c r="M7333" t="s">
        <v>18958</v>
      </c>
      <c r="N7333" t="s">
        <v>24198</v>
      </c>
      <c r="O7333" t="s">
        <v>26524</v>
      </c>
      <c r="P7333" t="s">
        <v>26564</v>
      </c>
      <c r="Q7333" t="s">
        <v>26570</v>
      </c>
      <c r="R7333" t="s">
        <v>26577</v>
      </c>
      <c r="U7333" t="s">
        <v>26604</v>
      </c>
      <c r="V7333" t="s">
        <v>26610</v>
      </c>
      <c r="W7333" t="s">
        <v>760</v>
      </c>
      <c r="X7333">
        <v>750</v>
      </c>
      <c r="Y7333" t="s">
        <v>26650</v>
      </c>
      <c r="AA7333" t="s">
        <v>26683</v>
      </c>
      <c r="AB7333" t="s">
        <v>32195</v>
      </c>
      <c r="AD7333" t="s">
        <v>42557</v>
      </c>
      <c r="AE7333">
        <v>0</v>
      </c>
      <c r="AF7333" t="s">
        <v>45541</v>
      </c>
      <c r="AH7333">
        <v>1</v>
      </c>
      <c r="AI7333">
        <v>2</v>
      </c>
      <c r="AJ7333">
        <v>0</v>
      </c>
      <c r="AK7333">
        <v>79.18000000000001</v>
      </c>
      <c r="AN7333" t="s">
        <v>7439</v>
      </c>
      <c r="AO7333">
        <v>13390</v>
      </c>
      <c r="AU7333">
        <v>1.3</v>
      </c>
      <c r="AV7333" t="s">
        <v>760</v>
      </c>
      <c r="AW7333" t="s">
        <v>334</v>
      </c>
      <c r="AX7333" t="s">
        <v>46897</v>
      </c>
    </row>
    <row r="7334" spans="1:50">
      <c r="A7334" s="1">
        <f>HYPERLINK("https://lsnyc.legalserver.org/matter/dynamic-profile/view/1897198","19-1897198")</f>
        <v>0</v>
      </c>
      <c r="B7334" t="s">
        <v>247</v>
      </c>
      <c r="C7334" t="s">
        <v>341</v>
      </c>
      <c r="D7334" t="s">
        <v>760</v>
      </c>
      <c r="E7334" t="s">
        <v>805</v>
      </c>
      <c r="F7334" t="s">
        <v>3927</v>
      </c>
      <c r="G7334" t="s">
        <v>8291</v>
      </c>
      <c r="H7334" t="s">
        <v>14701</v>
      </c>
      <c r="I7334" t="s">
        <v>17328</v>
      </c>
      <c r="J7334" t="s">
        <v>18910</v>
      </c>
      <c r="K7334">
        <v>11420</v>
      </c>
      <c r="L7334" t="s">
        <v>18958</v>
      </c>
      <c r="M7334" t="s">
        <v>18958</v>
      </c>
      <c r="N7334" t="s">
        <v>24199</v>
      </c>
      <c r="O7334" t="s">
        <v>26524</v>
      </c>
      <c r="P7334" t="s">
        <v>26564</v>
      </c>
      <c r="Q7334" t="s">
        <v>26570</v>
      </c>
      <c r="R7334" t="s">
        <v>26584</v>
      </c>
      <c r="S7334" t="s">
        <v>18959</v>
      </c>
      <c r="U7334" t="s">
        <v>26604</v>
      </c>
      <c r="V7334" t="s">
        <v>26611</v>
      </c>
      <c r="W7334" t="s">
        <v>760</v>
      </c>
      <c r="X7334">
        <v>400</v>
      </c>
      <c r="Y7334" t="s">
        <v>26653</v>
      </c>
      <c r="Z7334" t="s">
        <v>26664</v>
      </c>
      <c r="AA7334" t="s">
        <v>26683</v>
      </c>
      <c r="AB7334" t="s">
        <v>30638</v>
      </c>
      <c r="AD7334" t="s">
        <v>42558</v>
      </c>
      <c r="AE7334">
        <v>2</v>
      </c>
      <c r="AF7334" t="s">
        <v>20460</v>
      </c>
      <c r="AG7334" t="s">
        <v>19330</v>
      </c>
      <c r="AH7334">
        <v>-1</v>
      </c>
      <c r="AI7334">
        <v>1</v>
      </c>
      <c r="AJ7334">
        <v>0</v>
      </c>
      <c r="AK7334">
        <v>134.89</v>
      </c>
      <c r="AN7334" t="s">
        <v>7439</v>
      </c>
      <c r="AO7334">
        <v>16848</v>
      </c>
      <c r="AU7334">
        <v>1.53</v>
      </c>
      <c r="AV7334" t="s">
        <v>818</v>
      </c>
      <c r="AW7334" t="s">
        <v>208</v>
      </c>
      <c r="AX7334" t="s">
        <v>46897</v>
      </c>
    </row>
    <row r="7335" spans="1:50">
      <c r="A7335" s="1">
        <f>HYPERLINK("https://lsnyc.legalserver.org/matter/dynamic-profile/view/1897231","19-1897231")</f>
        <v>0</v>
      </c>
      <c r="B7335" t="s">
        <v>53</v>
      </c>
      <c r="C7335" t="s">
        <v>341</v>
      </c>
      <c r="D7335" t="s">
        <v>760</v>
      </c>
      <c r="E7335" t="s">
        <v>825</v>
      </c>
      <c r="F7335" t="s">
        <v>3928</v>
      </c>
      <c r="G7335" t="s">
        <v>4549</v>
      </c>
      <c r="H7335" t="s">
        <v>13462</v>
      </c>
      <c r="I7335" t="s">
        <v>17781</v>
      </c>
      <c r="J7335" t="s">
        <v>18892</v>
      </c>
      <c r="K7335">
        <v>10462</v>
      </c>
      <c r="L7335" t="s">
        <v>18958</v>
      </c>
      <c r="M7335" t="s">
        <v>18958</v>
      </c>
      <c r="N7335" t="s">
        <v>24200</v>
      </c>
      <c r="O7335" t="s">
        <v>26523</v>
      </c>
      <c r="P7335" t="s">
        <v>26560</v>
      </c>
      <c r="Q7335" t="s">
        <v>26568</v>
      </c>
      <c r="R7335" t="s">
        <v>26579</v>
      </c>
      <c r="S7335" t="s">
        <v>18959</v>
      </c>
      <c r="U7335" t="s">
        <v>26604</v>
      </c>
      <c r="V7335" t="s">
        <v>26614</v>
      </c>
      <c r="W7335" t="s">
        <v>760</v>
      </c>
      <c r="X7335">
        <v>1515</v>
      </c>
      <c r="Y7335" t="s">
        <v>26650</v>
      </c>
      <c r="Z7335" t="s">
        <v>26664</v>
      </c>
      <c r="AA7335" t="s">
        <v>26678</v>
      </c>
      <c r="AB7335" t="s">
        <v>32196</v>
      </c>
      <c r="AC7335" t="s">
        <v>36317</v>
      </c>
      <c r="AD7335" t="s">
        <v>42559</v>
      </c>
      <c r="AE7335">
        <v>19</v>
      </c>
      <c r="AF7335" t="s">
        <v>45541</v>
      </c>
      <c r="AG7335" t="s">
        <v>45558</v>
      </c>
      <c r="AH7335">
        <v>1</v>
      </c>
      <c r="AI7335">
        <v>1</v>
      </c>
      <c r="AJ7335">
        <v>2</v>
      </c>
      <c r="AK7335">
        <v>17.44</v>
      </c>
      <c r="AN7335" t="s">
        <v>7439</v>
      </c>
      <c r="AO7335">
        <v>3720</v>
      </c>
      <c r="AR7335" t="s">
        <v>46443</v>
      </c>
      <c r="AS7335" t="s">
        <v>46499</v>
      </c>
      <c r="AT7335" t="s">
        <v>46668</v>
      </c>
      <c r="AU7335">
        <v>8.800000000000001</v>
      </c>
      <c r="AV7335" t="s">
        <v>825</v>
      </c>
      <c r="AW7335" t="s">
        <v>334</v>
      </c>
      <c r="AX7335" t="s">
        <v>46898</v>
      </c>
    </row>
    <row r="7336" spans="1:50">
      <c r="A7336" s="1">
        <f>HYPERLINK("https://lsnyc.legalserver.org/matter/dynamic-profile/view/1897122","19-1897122")</f>
        <v>0</v>
      </c>
      <c r="B7336" t="s">
        <v>77</v>
      </c>
      <c r="C7336" t="s">
        <v>341</v>
      </c>
      <c r="D7336" t="s">
        <v>760</v>
      </c>
      <c r="E7336" t="s">
        <v>810</v>
      </c>
      <c r="F7336" t="s">
        <v>2832</v>
      </c>
      <c r="G7336" t="s">
        <v>8292</v>
      </c>
      <c r="H7336" t="s">
        <v>14702</v>
      </c>
      <c r="I7336">
        <v>15</v>
      </c>
      <c r="J7336" t="s">
        <v>18893</v>
      </c>
      <c r="K7336">
        <v>10027</v>
      </c>
      <c r="L7336" t="s">
        <v>18958</v>
      </c>
      <c r="M7336" t="s">
        <v>18958</v>
      </c>
      <c r="N7336" t="s">
        <v>24201</v>
      </c>
      <c r="O7336" t="s">
        <v>26523</v>
      </c>
      <c r="P7336" t="s">
        <v>26564</v>
      </c>
      <c r="Q7336" t="s">
        <v>26570</v>
      </c>
      <c r="R7336" t="s">
        <v>26580</v>
      </c>
      <c r="S7336" t="s">
        <v>18959</v>
      </c>
      <c r="U7336" t="s">
        <v>26604</v>
      </c>
      <c r="V7336" t="s">
        <v>26610</v>
      </c>
      <c r="W7336" t="s">
        <v>760</v>
      </c>
      <c r="X7336">
        <v>1290.93</v>
      </c>
      <c r="Y7336" t="s">
        <v>26651</v>
      </c>
      <c r="Z7336" t="s">
        <v>26664</v>
      </c>
      <c r="AA7336" t="s">
        <v>26683</v>
      </c>
      <c r="AB7336" t="s">
        <v>32197</v>
      </c>
      <c r="AD7336" t="s">
        <v>42560</v>
      </c>
      <c r="AE7336">
        <v>0</v>
      </c>
      <c r="AF7336" t="s">
        <v>20460</v>
      </c>
      <c r="AG7336" t="s">
        <v>19330</v>
      </c>
      <c r="AH7336">
        <v>21</v>
      </c>
      <c r="AI7336">
        <v>1</v>
      </c>
      <c r="AJ7336">
        <v>0</v>
      </c>
      <c r="AK7336">
        <v>88.06999999999999</v>
      </c>
      <c r="AN7336" t="s">
        <v>7439</v>
      </c>
      <c r="AO7336">
        <v>11000</v>
      </c>
      <c r="AU7336">
        <v>0.3</v>
      </c>
      <c r="AV7336" t="s">
        <v>810</v>
      </c>
      <c r="AW7336" t="s">
        <v>46875</v>
      </c>
    </row>
    <row r="7337" spans="1:50">
      <c r="A7337" s="1">
        <f>HYPERLINK("https://lsnyc.legalserver.org/matter/dynamic-profile/view/1896479","19-1896479")</f>
        <v>0</v>
      </c>
      <c r="B7337" t="s">
        <v>153</v>
      </c>
      <c r="C7337" t="s">
        <v>341</v>
      </c>
      <c r="D7337" t="s">
        <v>760</v>
      </c>
      <c r="E7337" t="s">
        <v>819</v>
      </c>
      <c r="F7337" t="s">
        <v>1136</v>
      </c>
      <c r="G7337" t="s">
        <v>6508</v>
      </c>
      <c r="H7337" t="s">
        <v>14703</v>
      </c>
      <c r="I7337" t="s">
        <v>17284</v>
      </c>
      <c r="J7337" t="s">
        <v>18902</v>
      </c>
      <c r="K7337">
        <v>10305</v>
      </c>
      <c r="L7337" t="s">
        <v>18960</v>
      </c>
      <c r="M7337" t="s">
        <v>18958</v>
      </c>
      <c r="N7337" t="s">
        <v>24202</v>
      </c>
      <c r="O7337" t="s">
        <v>26523</v>
      </c>
      <c r="P7337" t="s">
        <v>26560</v>
      </c>
      <c r="Q7337" t="s">
        <v>26568</v>
      </c>
      <c r="R7337" t="s">
        <v>26587</v>
      </c>
      <c r="S7337" t="s">
        <v>18959</v>
      </c>
      <c r="U7337" t="s">
        <v>26604</v>
      </c>
      <c r="V7337" t="s">
        <v>26610</v>
      </c>
      <c r="W7337" t="s">
        <v>760</v>
      </c>
      <c r="X7337">
        <v>1200</v>
      </c>
      <c r="Y7337" t="s">
        <v>26654</v>
      </c>
      <c r="Z7337" t="s">
        <v>26668</v>
      </c>
      <c r="AA7337" t="s">
        <v>26679</v>
      </c>
      <c r="AB7337" t="s">
        <v>31078</v>
      </c>
      <c r="AD7337" t="s">
        <v>42561</v>
      </c>
      <c r="AE7337">
        <v>0</v>
      </c>
      <c r="AF7337" t="s">
        <v>45547</v>
      </c>
      <c r="AG7337" t="s">
        <v>19330</v>
      </c>
      <c r="AH7337">
        <v>2</v>
      </c>
      <c r="AI7337">
        <v>2</v>
      </c>
      <c r="AJ7337">
        <v>0</v>
      </c>
      <c r="AK7337">
        <v>184.51</v>
      </c>
      <c r="AN7337" t="s">
        <v>7439</v>
      </c>
      <c r="AO7337">
        <v>31200</v>
      </c>
      <c r="AU7337">
        <v>5.3</v>
      </c>
      <c r="AV7337" t="s">
        <v>820</v>
      </c>
      <c r="AW7337" t="s">
        <v>46883</v>
      </c>
    </row>
    <row r="7338" spans="1:50">
      <c r="A7338" s="1">
        <f>HYPERLINK("https://lsnyc.legalserver.org/matter/dynamic-profile/view/1897188","19-1897188")</f>
        <v>0</v>
      </c>
      <c r="B7338" t="s">
        <v>183</v>
      </c>
      <c r="C7338" t="s">
        <v>340</v>
      </c>
      <c r="D7338" t="s">
        <v>760</v>
      </c>
      <c r="F7338" t="s">
        <v>1626</v>
      </c>
      <c r="G7338" t="s">
        <v>8293</v>
      </c>
      <c r="H7338" t="s">
        <v>14704</v>
      </c>
      <c r="I7338" t="s">
        <v>17455</v>
      </c>
      <c r="J7338" t="s">
        <v>18893</v>
      </c>
      <c r="K7338">
        <v>10026</v>
      </c>
      <c r="L7338" t="s">
        <v>18958</v>
      </c>
      <c r="M7338" t="s">
        <v>18958</v>
      </c>
      <c r="N7338" t="s">
        <v>24203</v>
      </c>
      <c r="O7338" t="s">
        <v>26523</v>
      </c>
      <c r="P7338" t="s">
        <v>26560</v>
      </c>
      <c r="R7338" t="s">
        <v>26580</v>
      </c>
      <c r="S7338" t="s">
        <v>18959</v>
      </c>
      <c r="U7338" t="s">
        <v>26605</v>
      </c>
      <c r="W7338" t="s">
        <v>760</v>
      </c>
      <c r="X7338">
        <v>108</v>
      </c>
      <c r="Y7338" t="s">
        <v>26651</v>
      </c>
      <c r="Z7338" t="s">
        <v>26664</v>
      </c>
      <c r="AB7338" t="s">
        <v>32198</v>
      </c>
      <c r="AC7338" t="s">
        <v>36318</v>
      </c>
      <c r="AD7338" t="s">
        <v>42562</v>
      </c>
      <c r="AE7338">
        <v>0</v>
      </c>
      <c r="AF7338" t="s">
        <v>45549</v>
      </c>
      <c r="AG7338" t="s">
        <v>19330</v>
      </c>
      <c r="AH7338">
        <v>2</v>
      </c>
      <c r="AI7338">
        <v>1</v>
      </c>
      <c r="AJ7338">
        <v>1</v>
      </c>
      <c r="AK7338">
        <v>28.39</v>
      </c>
      <c r="AN7338" t="s">
        <v>7439</v>
      </c>
      <c r="AO7338">
        <v>4800</v>
      </c>
      <c r="AU7338">
        <v>10</v>
      </c>
      <c r="AV7338" t="s">
        <v>808</v>
      </c>
      <c r="AW7338" t="s">
        <v>314</v>
      </c>
    </row>
    <row r="7339" spans="1:50">
      <c r="A7339" s="1">
        <f>HYPERLINK("https://lsnyc.legalserver.org/matter/dynamic-profile/view/1897150","19-1897150")</f>
        <v>0</v>
      </c>
      <c r="B7339" t="s">
        <v>183</v>
      </c>
      <c r="C7339" t="s">
        <v>340</v>
      </c>
      <c r="D7339" t="s">
        <v>760</v>
      </c>
      <c r="F7339" t="s">
        <v>1116</v>
      </c>
      <c r="G7339" t="s">
        <v>3036</v>
      </c>
      <c r="H7339" t="s">
        <v>14705</v>
      </c>
      <c r="I7339" t="s">
        <v>18458</v>
      </c>
      <c r="J7339" t="s">
        <v>18893</v>
      </c>
      <c r="K7339">
        <v>10027</v>
      </c>
      <c r="L7339" t="s">
        <v>18958</v>
      </c>
      <c r="M7339" t="s">
        <v>18958</v>
      </c>
      <c r="N7339" t="s">
        <v>24204</v>
      </c>
      <c r="O7339" t="s">
        <v>26523</v>
      </c>
      <c r="P7339" t="s">
        <v>26560</v>
      </c>
      <c r="R7339" t="s">
        <v>26580</v>
      </c>
      <c r="S7339" t="s">
        <v>18959</v>
      </c>
      <c r="U7339" t="s">
        <v>26605</v>
      </c>
      <c r="W7339" t="s">
        <v>760</v>
      </c>
      <c r="X7339">
        <v>586</v>
      </c>
      <c r="Y7339" t="s">
        <v>26651</v>
      </c>
      <c r="Z7339" t="s">
        <v>26664</v>
      </c>
      <c r="AB7339" t="s">
        <v>32199</v>
      </c>
      <c r="AD7339" t="s">
        <v>42563</v>
      </c>
      <c r="AE7339">
        <v>0</v>
      </c>
      <c r="AF7339" t="s">
        <v>45549</v>
      </c>
      <c r="AG7339" t="s">
        <v>19330</v>
      </c>
      <c r="AH7339">
        <v>4</v>
      </c>
      <c r="AI7339">
        <v>2</v>
      </c>
      <c r="AJ7339">
        <v>1</v>
      </c>
      <c r="AK7339">
        <v>42.19</v>
      </c>
      <c r="AN7339" t="s">
        <v>7439</v>
      </c>
      <c r="AO7339">
        <v>9000</v>
      </c>
      <c r="AU7339">
        <v>11.15</v>
      </c>
      <c r="AV7339" t="s">
        <v>814</v>
      </c>
      <c r="AW7339" t="s">
        <v>46875</v>
      </c>
    </row>
    <row r="7340" spans="1:50">
      <c r="A7340" s="1">
        <f>HYPERLINK("https://lsnyc.legalserver.org/matter/dynamic-profile/view/1897156","19-1897156")</f>
        <v>0</v>
      </c>
      <c r="B7340" t="s">
        <v>183</v>
      </c>
      <c r="C7340" t="s">
        <v>340</v>
      </c>
      <c r="D7340" t="s">
        <v>760</v>
      </c>
      <c r="F7340" t="s">
        <v>1096</v>
      </c>
      <c r="G7340" t="s">
        <v>5269</v>
      </c>
      <c r="H7340" t="s">
        <v>14706</v>
      </c>
      <c r="I7340" t="s">
        <v>17395</v>
      </c>
      <c r="J7340" t="s">
        <v>18893</v>
      </c>
      <c r="K7340">
        <v>10025</v>
      </c>
      <c r="L7340" t="s">
        <v>18958</v>
      </c>
      <c r="M7340" t="s">
        <v>18960</v>
      </c>
      <c r="N7340" t="s">
        <v>24205</v>
      </c>
      <c r="O7340" t="s">
        <v>26523</v>
      </c>
      <c r="P7340" t="s">
        <v>26560</v>
      </c>
      <c r="R7340" t="s">
        <v>26580</v>
      </c>
      <c r="S7340" t="s">
        <v>18959</v>
      </c>
      <c r="U7340" t="s">
        <v>26604</v>
      </c>
      <c r="V7340" t="s">
        <v>26610</v>
      </c>
      <c r="W7340" t="s">
        <v>760</v>
      </c>
      <c r="X7340">
        <v>999</v>
      </c>
      <c r="Y7340" t="s">
        <v>26651</v>
      </c>
      <c r="Z7340" t="s">
        <v>26664</v>
      </c>
      <c r="AB7340" t="s">
        <v>32200</v>
      </c>
      <c r="AC7340" t="s">
        <v>36319</v>
      </c>
      <c r="AD7340" t="s">
        <v>42564</v>
      </c>
      <c r="AE7340">
        <v>427</v>
      </c>
      <c r="AF7340" t="s">
        <v>45541</v>
      </c>
      <c r="AG7340" t="s">
        <v>45558</v>
      </c>
      <c r="AH7340">
        <v>30</v>
      </c>
      <c r="AI7340">
        <v>1</v>
      </c>
      <c r="AJ7340">
        <v>0</v>
      </c>
      <c r="AK7340">
        <v>82.63</v>
      </c>
      <c r="AN7340" t="s">
        <v>7439</v>
      </c>
      <c r="AO7340">
        <v>10320</v>
      </c>
      <c r="AU7340">
        <v>14</v>
      </c>
      <c r="AV7340" t="s">
        <v>773</v>
      </c>
      <c r="AW7340" t="s">
        <v>314</v>
      </c>
    </row>
    <row r="7341" spans="1:50">
      <c r="A7341" s="1">
        <f>HYPERLINK("https://lsnyc.legalserver.org/matter/dynamic-profile/view/1897248","19-1897248")</f>
        <v>0</v>
      </c>
      <c r="B7341" t="s">
        <v>183</v>
      </c>
      <c r="C7341" t="s">
        <v>340</v>
      </c>
      <c r="D7341" t="s">
        <v>760</v>
      </c>
      <c r="F7341" t="s">
        <v>3929</v>
      </c>
      <c r="G7341" t="s">
        <v>8294</v>
      </c>
      <c r="H7341" t="s">
        <v>14707</v>
      </c>
      <c r="I7341" t="s">
        <v>17322</v>
      </c>
      <c r="J7341" t="s">
        <v>18893</v>
      </c>
      <c r="K7341">
        <v>10031</v>
      </c>
      <c r="L7341" t="s">
        <v>18958</v>
      </c>
      <c r="M7341" t="s">
        <v>18958</v>
      </c>
      <c r="N7341" t="s">
        <v>24206</v>
      </c>
      <c r="O7341" t="s">
        <v>26523</v>
      </c>
      <c r="P7341" t="s">
        <v>26560</v>
      </c>
      <c r="R7341" t="s">
        <v>26580</v>
      </c>
      <c r="S7341" t="s">
        <v>18959</v>
      </c>
      <c r="U7341" t="s">
        <v>26604</v>
      </c>
      <c r="V7341" t="s">
        <v>26610</v>
      </c>
      <c r="W7341" t="s">
        <v>760</v>
      </c>
      <c r="X7341">
        <v>2495</v>
      </c>
      <c r="Y7341" t="s">
        <v>26651</v>
      </c>
      <c r="Z7341" t="s">
        <v>26664</v>
      </c>
      <c r="AB7341" t="s">
        <v>32201</v>
      </c>
      <c r="AD7341" t="s">
        <v>42565</v>
      </c>
      <c r="AE7341">
        <v>0</v>
      </c>
      <c r="AF7341" t="s">
        <v>45547</v>
      </c>
      <c r="AG7341" t="s">
        <v>19330</v>
      </c>
      <c r="AH7341">
        <v>2</v>
      </c>
      <c r="AI7341">
        <v>4</v>
      </c>
      <c r="AJ7341">
        <v>0</v>
      </c>
      <c r="AK7341">
        <v>190.68</v>
      </c>
      <c r="AM7341" t="s">
        <v>45580</v>
      </c>
      <c r="AO7341">
        <v>49100</v>
      </c>
      <c r="AU7341">
        <v>89.15000000000001</v>
      </c>
      <c r="AV7341" t="s">
        <v>773</v>
      </c>
      <c r="AW7341" t="s">
        <v>314</v>
      </c>
    </row>
    <row r="7342" spans="1:50">
      <c r="A7342" s="1">
        <f>HYPERLINK("https://lsnyc.legalserver.org/matter/dynamic-profile/view/1897160","19-1897160")</f>
        <v>0</v>
      </c>
      <c r="B7342" t="s">
        <v>107</v>
      </c>
      <c r="C7342" t="s">
        <v>340</v>
      </c>
      <c r="D7342" t="s">
        <v>760</v>
      </c>
      <c r="F7342" t="s">
        <v>3930</v>
      </c>
      <c r="G7342" t="s">
        <v>8295</v>
      </c>
      <c r="H7342" t="s">
        <v>14708</v>
      </c>
      <c r="I7342" t="s">
        <v>17946</v>
      </c>
      <c r="J7342" t="s">
        <v>18901</v>
      </c>
      <c r="K7342">
        <v>11434</v>
      </c>
      <c r="L7342" t="s">
        <v>18958</v>
      </c>
      <c r="M7342" t="s">
        <v>18958</v>
      </c>
      <c r="N7342" t="s">
        <v>24207</v>
      </c>
      <c r="O7342" t="s">
        <v>26524</v>
      </c>
      <c r="P7342" t="s">
        <v>26563</v>
      </c>
      <c r="R7342" t="s">
        <v>26585</v>
      </c>
      <c r="S7342" t="s">
        <v>18959</v>
      </c>
      <c r="U7342" t="s">
        <v>26604</v>
      </c>
      <c r="V7342" t="s">
        <v>26610</v>
      </c>
      <c r="W7342" t="s">
        <v>760</v>
      </c>
      <c r="X7342">
        <v>0</v>
      </c>
      <c r="Y7342" t="s">
        <v>26653</v>
      </c>
      <c r="Z7342" t="s">
        <v>26530</v>
      </c>
      <c r="AB7342" t="s">
        <v>32202</v>
      </c>
      <c r="AD7342" t="s">
        <v>42566</v>
      </c>
      <c r="AE7342">
        <v>3</v>
      </c>
      <c r="AF7342" t="s">
        <v>45547</v>
      </c>
      <c r="AH7342">
        <v>3</v>
      </c>
      <c r="AI7342">
        <v>2</v>
      </c>
      <c r="AJ7342">
        <v>0</v>
      </c>
      <c r="AK7342">
        <v>0</v>
      </c>
      <c r="AN7342" t="s">
        <v>7439</v>
      </c>
      <c r="AO7342">
        <v>0</v>
      </c>
      <c r="AU7342">
        <v>6.1</v>
      </c>
      <c r="AV7342" t="s">
        <v>835</v>
      </c>
      <c r="AW7342" t="s">
        <v>107</v>
      </c>
    </row>
    <row r="7343" spans="1:50">
      <c r="A7343" s="1">
        <f>HYPERLINK("https://lsnyc.legalserver.org/matter/dynamic-profile/view/1897124","19-1897124")</f>
        <v>0</v>
      </c>
      <c r="B7343" t="s">
        <v>164</v>
      </c>
      <c r="C7343" t="s">
        <v>340</v>
      </c>
      <c r="D7343" t="s">
        <v>760</v>
      </c>
      <c r="F7343" t="s">
        <v>1700</v>
      </c>
      <c r="G7343" t="s">
        <v>5147</v>
      </c>
      <c r="H7343" t="s">
        <v>14299</v>
      </c>
      <c r="J7343" t="s">
        <v>7026</v>
      </c>
      <c r="K7343">
        <v>11368</v>
      </c>
      <c r="L7343" t="s">
        <v>18958</v>
      </c>
      <c r="M7343" t="s">
        <v>18958</v>
      </c>
      <c r="N7343" t="s">
        <v>23708</v>
      </c>
      <c r="O7343" t="s">
        <v>26531</v>
      </c>
      <c r="P7343" t="s">
        <v>26562</v>
      </c>
      <c r="R7343" t="s">
        <v>26578</v>
      </c>
      <c r="S7343" t="s">
        <v>18959</v>
      </c>
      <c r="U7343" t="s">
        <v>26604</v>
      </c>
      <c r="V7343" t="s">
        <v>26611</v>
      </c>
      <c r="W7343" t="s">
        <v>760</v>
      </c>
      <c r="X7343">
        <v>2010</v>
      </c>
      <c r="Y7343" t="s">
        <v>26653</v>
      </c>
      <c r="Z7343" t="s">
        <v>26664</v>
      </c>
      <c r="AB7343" t="s">
        <v>27879</v>
      </c>
      <c r="AD7343" t="s">
        <v>37930</v>
      </c>
      <c r="AE7343">
        <v>232</v>
      </c>
      <c r="AF7343" t="s">
        <v>45541</v>
      </c>
      <c r="AH7343">
        <v>1</v>
      </c>
      <c r="AI7343">
        <v>1</v>
      </c>
      <c r="AJ7343">
        <v>2</v>
      </c>
      <c r="AK7343">
        <v>183.33</v>
      </c>
      <c r="AN7343" t="s">
        <v>7439</v>
      </c>
      <c r="AO7343">
        <v>39104.04</v>
      </c>
      <c r="AU7343">
        <v>0</v>
      </c>
      <c r="AW7343" t="s">
        <v>258</v>
      </c>
    </row>
    <row r="7344" spans="1:50">
      <c r="A7344" s="1">
        <f>HYPERLINK("https://lsnyc.legalserver.org/matter/dynamic-profile/view/1897135","19-1897135")</f>
        <v>0</v>
      </c>
      <c r="B7344" t="s">
        <v>165</v>
      </c>
      <c r="C7344" t="s">
        <v>340</v>
      </c>
      <c r="D7344" t="s">
        <v>760</v>
      </c>
      <c r="F7344" t="s">
        <v>1066</v>
      </c>
      <c r="G7344" t="s">
        <v>1725</v>
      </c>
      <c r="H7344" t="s">
        <v>14709</v>
      </c>
      <c r="I7344" t="s">
        <v>17322</v>
      </c>
      <c r="J7344" t="s">
        <v>18893</v>
      </c>
      <c r="K7344">
        <v>10027</v>
      </c>
      <c r="L7344" t="s">
        <v>18958</v>
      </c>
      <c r="M7344" t="s">
        <v>18958</v>
      </c>
      <c r="N7344" t="s">
        <v>24208</v>
      </c>
      <c r="O7344" t="s">
        <v>26523</v>
      </c>
      <c r="P7344" t="s">
        <v>26560</v>
      </c>
      <c r="R7344" t="s">
        <v>26580</v>
      </c>
      <c r="S7344" t="s">
        <v>18959</v>
      </c>
      <c r="U7344" t="s">
        <v>26604</v>
      </c>
      <c r="W7344" t="s">
        <v>760</v>
      </c>
      <c r="X7344">
        <v>774.86</v>
      </c>
      <c r="Y7344" t="s">
        <v>26651</v>
      </c>
      <c r="Z7344" t="s">
        <v>26668</v>
      </c>
      <c r="AB7344" t="s">
        <v>32203</v>
      </c>
      <c r="AD7344" t="s">
        <v>42567</v>
      </c>
      <c r="AE7344">
        <v>0</v>
      </c>
      <c r="AF7344" t="s">
        <v>45548</v>
      </c>
      <c r="AG7344" t="s">
        <v>19330</v>
      </c>
      <c r="AH7344">
        <v>26</v>
      </c>
      <c r="AI7344">
        <v>1</v>
      </c>
      <c r="AJ7344">
        <v>0</v>
      </c>
      <c r="AK7344">
        <v>83.68000000000001</v>
      </c>
      <c r="AN7344" t="s">
        <v>45581</v>
      </c>
      <c r="AO7344">
        <v>10452</v>
      </c>
      <c r="AU7344">
        <v>3.2</v>
      </c>
      <c r="AV7344" t="s">
        <v>808</v>
      </c>
      <c r="AW7344" t="s">
        <v>46875</v>
      </c>
    </row>
    <row r="7345" spans="1:50">
      <c r="A7345" s="1">
        <f>HYPERLINK("https://lsnyc.legalserver.org/matter/dynamic-profile/view/1897200","19-1897200")</f>
        <v>0</v>
      </c>
      <c r="B7345" t="s">
        <v>133</v>
      </c>
      <c r="C7345" t="s">
        <v>340</v>
      </c>
      <c r="D7345" t="s">
        <v>760</v>
      </c>
      <c r="F7345" t="s">
        <v>1587</v>
      </c>
      <c r="G7345" t="s">
        <v>5806</v>
      </c>
      <c r="H7345" t="s">
        <v>13558</v>
      </c>
      <c r="I7345" t="s">
        <v>17361</v>
      </c>
      <c r="J7345" t="s">
        <v>18892</v>
      </c>
      <c r="K7345">
        <v>10467</v>
      </c>
      <c r="L7345" t="s">
        <v>18958</v>
      </c>
      <c r="M7345" t="s">
        <v>18958</v>
      </c>
      <c r="N7345" t="s">
        <v>24209</v>
      </c>
      <c r="O7345" t="s">
        <v>26523</v>
      </c>
      <c r="P7345" t="s">
        <v>26560</v>
      </c>
      <c r="R7345" t="s">
        <v>26579</v>
      </c>
      <c r="S7345" t="s">
        <v>18959</v>
      </c>
      <c r="U7345" t="s">
        <v>26604</v>
      </c>
      <c r="V7345" t="s">
        <v>26610</v>
      </c>
      <c r="W7345" t="s">
        <v>760</v>
      </c>
      <c r="X7345">
        <v>1520</v>
      </c>
      <c r="Y7345" t="s">
        <v>26650</v>
      </c>
      <c r="Z7345" t="s">
        <v>26664</v>
      </c>
      <c r="AB7345" t="s">
        <v>32204</v>
      </c>
      <c r="AD7345" t="s">
        <v>42568</v>
      </c>
      <c r="AE7345">
        <v>92</v>
      </c>
      <c r="AF7345" t="s">
        <v>45541</v>
      </c>
      <c r="AG7345" t="s">
        <v>19330</v>
      </c>
      <c r="AH7345">
        <v>3</v>
      </c>
      <c r="AI7345">
        <v>2</v>
      </c>
      <c r="AJ7345">
        <v>0</v>
      </c>
      <c r="AK7345">
        <v>0</v>
      </c>
      <c r="AN7345" t="s">
        <v>7439</v>
      </c>
      <c r="AO7345">
        <v>0</v>
      </c>
      <c r="AU7345">
        <v>4.2</v>
      </c>
      <c r="AV7345" t="s">
        <v>806</v>
      </c>
      <c r="AW7345" t="s">
        <v>334</v>
      </c>
    </row>
    <row r="7346" spans="1:50">
      <c r="A7346" s="1">
        <f>HYPERLINK("https://lsnyc.legalserver.org/matter/dynamic-profile/view/1897209","19-1897209")</f>
        <v>0</v>
      </c>
      <c r="B7346" t="s">
        <v>133</v>
      </c>
      <c r="C7346" t="s">
        <v>340</v>
      </c>
      <c r="D7346" t="s">
        <v>760</v>
      </c>
      <c r="F7346" t="s">
        <v>3137</v>
      </c>
      <c r="G7346" t="s">
        <v>5173</v>
      </c>
      <c r="H7346" t="s">
        <v>14710</v>
      </c>
      <c r="I7346" t="s">
        <v>18066</v>
      </c>
      <c r="J7346" t="s">
        <v>18892</v>
      </c>
      <c r="K7346">
        <v>10462</v>
      </c>
      <c r="L7346" t="s">
        <v>18958</v>
      </c>
      <c r="M7346" t="s">
        <v>18958</v>
      </c>
      <c r="N7346" t="s">
        <v>24210</v>
      </c>
      <c r="O7346" t="s">
        <v>26524</v>
      </c>
      <c r="P7346" t="s">
        <v>26560</v>
      </c>
      <c r="R7346" t="s">
        <v>26579</v>
      </c>
      <c r="S7346" t="s">
        <v>18959</v>
      </c>
      <c r="U7346" t="s">
        <v>26604</v>
      </c>
      <c r="V7346" t="s">
        <v>26610</v>
      </c>
      <c r="W7346" t="s">
        <v>760</v>
      </c>
      <c r="X7346">
        <v>1750</v>
      </c>
      <c r="Y7346" t="s">
        <v>26650</v>
      </c>
      <c r="Z7346" t="s">
        <v>26664</v>
      </c>
      <c r="AB7346" t="s">
        <v>32205</v>
      </c>
      <c r="AD7346" t="s">
        <v>42569</v>
      </c>
      <c r="AE7346">
        <v>128</v>
      </c>
      <c r="AF7346" t="s">
        <v>45541</v>
      </c>
      <c r="AG7346" t="s">
        <v>45556</v>
      </c>
      <c r="AH7346">
        <v>34</v>
      </c>
      <c r="AI7346">
        <v>1</v>
      </c>
      <c r="AJ7346">
        <v>0</v>
      </c>
      <c r="AK7346">
        <v>100.59</v>
      </c>
      <c r="AN7346" t="s">
        <v>45581</v>
      </c>
      <c r="AO7346">
        <v>12564</v>
      </c>
      <c r="AU7346">
        <v>12.3</v>
      </c>
      <c r="AV7346" t="s">
        <v>806</v>
      </c>
      <c r="AW7346" t="s">
        <v>334</v>
      </c>
    </row>
    <row r="7347" spans="1:50">
      <c r="A7347" s="1">
        <f>HYPERLINK("https://lsnyc.legalserver.org/matter/dynamic-profile/view/1897227","19-1897227")</f>
        <v>0</v>
      </c>
      <c r="B7347" t="s">
        <v>169</v>
      </c>
      <c r="C7347" t="s">
        <v>340</v>
      </c>
      <c r="D7347" t="s">
        <v>760</v>
      </c>
      <c r="F7347" t="s">
        <v>1091</v>
      </c>
      <c r="G7347" t="s">
        <v>5565</v>
      </c>
      <c r="H7347" t="s">
        <v>14711</v>
      </c>
      <c r="I7347" t="s">
        <v>17287</v>
      </c>
      <c r="J7347" t="s">
        <v>18892</v>
      </c>
      <c r="K7347">
        <v>10452</v>
      </c>
      <c r="L7347" t="s">
        <v>18958</v>
      </c>
      <c r="M7347" t="s">
        <v>18958</v>
      </c>
      <c r="O7347" t="s">
        <v>26524</v>
      </c>
      <c r="P7347" t="s">
        <v>26565</v>
      </c>
      <c r="R7347" t="s">
        <v>26578</v>
      </c>
      <c r="S7347" t="s">
        <v>18959</v>
      </c>
      <c r="U7347" t="s">
        <v>26604</v>
      </c>
      <c r="W7347" t="s">
        <v>760</v>
      </c>
      <c r="X7347">
        <v>1500</v>
      </c>
      <c r="Y7347" t="s">
        <v>26650</v>
      </c>
      <c r="Z7347" t="s">
        <v>26655</v>
      </c>
      <c r="AB7347" t="s">
        <v>32206</v>
      </c>
      <c r="AC7347">
        <v>370953540</v>
      </c>
      <c r="AD7347" t="s">
        <v>42570</v>
      </c>
      <c r="AE7347">
        <v>49</v>
      </c>
      <c r="AH7347">
        <v>10</v>
      </c>
      <c r="AI7347">
        <v>2</v>
      </c>
      <c r="AJ7347">
        <v>1</v>
      </c>
      <c r="AK7347">
        <v>96.88</v>
      </c>
      <c r="AN7347" t="s">
        <v>45581</v>
      </c>
      <c r="AO7347">
        <v>20664</v>
      </c>
      <c r="AU7347">
        <v>2.8</v>
      </c>
      <c r="AV7347" t="s">
        <v>833</v>
      </c>
      <c r="AW7347" t="s">
        <v>169</v>
      </c>
      <c r="AX7347" t="s">
        <v>46898</v>
      </c>
    </row>
    <row r="7348" spans="1:50">
      <c r="A7348" s="1">
        <f>HYPERLINK("https://lsnyc.legalserver.org/matter/dynamic-profile/view/1897192","19-1897192")</f>
        <v>0</v>
      </c>
      <c r="B7348" t="s">
        <v>97</v>
      </c>
      <c r="C7348" t="s">
        <v>340</v>
      </c>
      <c r="D7348" t="s">
        <v>760</v>
      </c>
      <c r="F7348" t="s">
        <v>1299</v>
      </c>
      <c r="G7348" t="s">
        <v>3138</v>
      </c>
      <c r="H7348" t="s">
        <v>14712</v>
      </c>
      <c r="I7348">
        <v>2</v>
      </c>
      <c r="J7348" t="s">
        <v>18892</v>
      </c>
      <c r="K7348">
        <v>10469</v>
      </c>
      <c r="L7348" t="s">
        <v>18958</v>
      </c>
      <c r="M7348" t="s">
        <v>18958</v>
      </c>
      <c r="N7348" t="s">
        <v>24211</v>
      </c>
      <c r="O7348" t="s">
        <v>26524</v>
      </c>
      <c r="P7348" t="s">
        <v>26564</v>
      </c>
      <c r="R7348" t="s">
        <v>26577</v>
      </c>
      <c r="S7348" t="s">
        <v>18959</v>
      </c>
      <c r="U7348" t="s">
        <v>26604</v>
      </c>
      <c r="W7348" t="s">
        <v>760</v>
      </c>
      <c r="X7348">
        <v>1515</v>
      </c>
      <c r="Y7348" t="s">
        <v>26650</v>
      </c>
      <c r="Z7348" t="s">
        <v>26663</v>
      </c>
      <c r="AB7348" t="s">
        <v>32207</v>
      </c>
      <c r="AD7348" t="s">
        <v>42571</v>
      </c>
      <c r="AE7348">
        <v>0</v>
      </c>
      <c r="AG7348" t="s">
        <v>45562</v>
      </c>
      <c r="AH7348">
        <v>1</v>
      </c>
      <c r="AI7348">
        <v>2</v>
      </c>
      <c r="AJ7348">
        <v>1</v>
      </c>
      <c r="AK7348">
        <v>85.33</v>
      </c>
      <c r="AN7348" t="s">
        <v>7439</v>
      </c>
      <c r="AO7348">
        <v>18200</v>
      </c>
      <c r="AP7348" t="s">
        <v>46044</v>
      </c>
      <c r="AU7348">
        <v>0.75</v>
      </c>
      <c r="AV7348" t="s">
        <v>825</v>
      </c>
      <c r="AW7348" t="s">
        <v>46870</v>
      </c>
      <c r="AX7348" t="s">
        <v>46897</v>
      </c>
    </row>
    <row r="7349" spans="1:50">
      <c r="A7349" s="1">
        <f>HYPERLINK("https://lsnyc.legalserver.org/matter/dynamic-profile/view/1897169","19-1897169")</f>
        <v>0</v>
      </c>
      <c r="B7349" t="s">
        <v>77</v>
      </c>
      <c r="C7349" t="s">
        <v>340</v>
      </c>
      <c r="D7349" t="s">
        <v>760</v>
      </c>
      <c r="F7349" t="s">
        <v>875</v>
      </c>
      <c r="G7349" t="s">
        <v>5008</v>
      </c>
      <c r="H7349" t="s">
        <v>14461</v>
      </c>
      <c r="I7349" t="s">
        <v>18459</v>
      </c>
      <c r="J7349" t="s">
        <v>18893</v>
      </c>
      <c r="K7349">
        <v>10025</v>
      </c>
      <c r="L7349" t="s">
        <v>18958</v>
      </c>
      <c r="M7349" t="s">
        <v>18958</v>
      </c>
      <c r="N7349" t="s">
        <v>24212</v>
      </c>
      <c r="O7349" t="s">
        <v>26523</v>
      </c>
      <c r="P7349" t="s">
        <v>26560</v>
      </c>
      <c r="R7349" t="s">
        <v>26580</v>
      </c>
      <c r="S7349" t="s">
        <v>18959</v>
      </c>
      <c r="U7349" t="s">
        <v>26604</v>
      </c>
      <c r="W7349" t="s">
        <v>760</v>
      </c>
      <c r="X7349">
        <v>629</v>
      </c>
      <c r="Y7349" t="s">
        <v>26651</v>
      </c>
      <c r="Z7349" t="s">
        <v>26668</v>
      </c>
      <c r="AB7349" t="s">
        <v>32208</v>
      </c>
      <c r="AD7349" t="s">
        <v>42572</v>
      </c>
      <c r="AE7349">
        <v>0</v>
      </c>
      <c r="AF7349" t="s">
        <v>45541</v>
      </c>
      <c r="AG7349" t="s">
        <v>19330</v>
      </c>
      <c r="AH7349">
        <v>5</v>
      </c>
      <c r="AI7349">
        <v>1</v>
      </c>
      <c r="AJ7349">
        <v>0</v>
      </c>
      <c r="AK7349">
        <v>134.89</v>
      </c>
      <c r="AO7349">
        <v>16848</v>
      </c>
      <c r="AU7349">
        <v>1.9</v>
      </c>
      <c r="AV7349" t="s">
        <v>827</v>
      </c>
      <c r="AW7349" t="s">
        <v>314</v>
      </c>
    </row>
    <row r="7350" spans="1:50">
      <c r="A7350" s="1">
        <f>HYPERLINK("https://lsnyc.legalserver.org/matter/dynamic-profile/view/1897165","19-1897165")</f>
        <v>0</v>
      </c>
      <c r="B7350" t="s">
        <v>84</v>
      </c>
      <c r="C7350" t="s">
        <v>340</v>
      </c>
      <c r="D7350" t="s">
        <v>760</v>
      </c>
      <c r="F7350" t="s">
        <v>968</v>
      </c>
      <c r="G7350" t="s">
        <v>6700</v>
      </c>
      <c r="H7350" t="s">
        <v>12778</v>
      </c>
      <c r="I7350" t="s">
        <v>18353</v>
      </c>
      <c r="J7350" t="s">
        <v>18893</v>
      </c>
      <c r="K7350">
        <v>10026</v>
      </c>
      <c r="L7350" t="s">
        <v>18958</v>
      </c>
      <c r="M7350" t="s">
        <v>18958</v>
      </c>
      <c r="N7350" t="s">
        <v>24213</v>
      </c>
      <c r="O7350" t="s">
        <v>26524</v>
      </c>
      <c r="P7350" t="s">
        <v>26564</v>
      </c>
      <c r="R7350" t="s">
        <v>26580</v>
      </c>
      <c r="S7350" t="s">
        <v>18959</v>
      </c>
      <c r="U7350" t="s">
        <v>26604</v>
      </c>
      <c r="V7350" t="s">
        <v>26610</v>
      </c>
      <c r="W7350" t="s">
        <v>760</v>
      </c>
      <c r="X7350">
        <v>421</v>
      </c>
      <c r="Y7350" t="s">
        <v>26651</v>
      </c>
      <c r="Z7350" t="s">
        <v>26668</v>
      </c>
      <c r="AB7350" t="s">
        <v>31963</v>
      </c>
      <c r="AD7350" t="s">
        <v>42573</v>
      </c>
      <c r="AE7350">
        <v>0</v>
      </c>
      <c r="AF7350" t="s">
        <v>20460</v>
      </c>
      <c r="AG7350" t="s">
        <v>19330</v>
      </c>
      <c r="AH7350">
        <v>25</v>
      </c>
      <c r="AI7350">
        <v>1</v>
      </c>
      <c r="AJ7350">
        <v>0</v>
      </c>
      <c r="AK7350">
        <v>198.47</v>
      </c>
      <c r="AN7350" t="s">
        <v>7439</v>
      </c>
      <c r="AO7350">
        <v>24789.44</v>
      </c>
      <c r="AU7350">
        <v>4.4</v>
      </c>
      <c r="AV7350" t="s">
        <v>838</v>
      </c>
      <c r="AW7350" t="s">
        <v>46875</v>
      </c>
    </row>
    <row r="7351" spans="1:50">
      <c r="A7351" s="1">
        <f>HYPERLINK("https://lsnyc.legalserver.org/matter/dynamic-profile/view/1897193","19-1897193")</f>
        <v>0</v>
      </c>
      <c r="B7351" t="s">
        <v>294</v>
      </c>
      <c r="C7351" t="s">
        <v>340</v>
      </c>
      <c r="D7351" t="s">
        <v>760</v>
      </c>
      <c r="F7351" t="s">
        <v>2812</v>
      </c>
      <c r="G7351" t="s">
        <v>6421</v>
      </c>
      <c r="H7351" t="s">
        <v>14713</v>
      </c>
      <c r="I7351" t="s">
        <v>18460</v>
      </c>
      <c r="J7351" t="s">
        <v>18900</v>
      </c>
      <c r="K7351">
        <v>11354</v>
      </c>
      <c r="L7351" t="s">
        <v>18958</v>
      </c>
      <c r="M7351" t="s">
        <v>18958</v>
      </c>
      <c r="N7351" t="s">
        <v>24214</v>
      </c>
      <c r="O7351" t="s">
        <v>26523</v>
      </c>
      <c r="P7351" t="s">
        <v>26560</v>
      </c>
      <c r="R7351" t="s">
        <v>26578</v>
      </c>
      <c r="S7351" t="s">
        <v>18959</v>
      </c>
      <c r="U7351" t="s">
        <v>26604</v>
      </c>
      <c r="W7351" t="s">
        <v>760</v>
      </c>
      <c r="X7351">
        <v>1525</v>
      </c>
      <c r="Y7351" t="s">
        <v>26653</v>
      </c>
      <c r="Z7351" t="s">
        <v>26664</v>
      </c>
      <c r="AB7351" t="s">
        <v>32209</v>
      </c>
      <c r="AD7351" t="s">
        <v>42574</v>
      </c>
      <c r="AE7351">
        <v>12</v>
      </c>
      <c r="AF7351" t="s">
        <v>20460</v>
      </c>
      <c r="AG7351" t="s">
        <v>19330</v>
      </c>
      <c r="AH7351">
        <v>2</v>
      </c>
      <c r="AI7351">
        <v>2</v>
      </c>
      <c r="AJ7351">
        <v>1</v>
      </c>
      <c r="AK7351">
        <v>97.52</v>
      </c>
      <c r="AN7351" t="s">
        <v>45592</v>
      </c>
      <c r="AO7351">
        <v>20800</v>
      </c>
      <c r="AU7351">
        <v>27.27</v>
      </c>
      <c r="AV7351" t="s">
        <v>773</v>
      </c>
      <c r="AW7351" t="s">
        <v>208</v>
      </c>
    </row>
    <row r="7352" spans="1:50">
      <c r="A7352" s="1">
        <f>HYPERLINK("https://lsnyc.legalserver.org/matter/dynamic-profile/view/1897121","19-1897121")</f>
        <v>0</v>
      </c>
      <c r="B7352" t="s">
        <v>212</v>
      </c>
      <c r="C7352" t="s">
        <v>340</v>
      </c>
      <c r="D7352" t="s">
        <v>760</v>
      </c>
      <c r="F7352" t="s">
        <v>1256</v>
      </c>
      <c r="G7352" t="s">
        <v>5125</v>
      </c>
      <c r="H7352" t="s">
        <v>12999</v>
      </c>
      <c r="I7352">
        <v>1</v>
      </c>
      <c r="J7352" t="s">
        <v>18898</v>
      </c>
      <c r="K7352">
        <v>11691</v>
      </c>
      <c r="L7352" t="s">
        <v>18958</v>
      </c>
      <c r="M7352" t="s">
        <v>18958</v>
      </c>
      <c r="N7352" t="s">
        <v>22255</v>
      </c>
      <c r="O7352" t="s">
        <v>26545</v>
      </c>
      <c r="P7352" t="s">
        <v>26565</v>
      </c>
      <c r="R7352" t="s">
        <v>26578</v>
      </c>
      <c r="S7352" t="s">
        <v>18959</v>
      </c>
      <c r="U7352" t="s">
        <v>26604</v>
      </c>
      <c r="W7352" t="s">
        <v>760</v>
      </c>
      <c r="X7352">
        <v>1100</v>
      </c>
      <c r="Y7352" t="s">
        <v>26653</v>
      </c>
      <c r="Z7352" t="s">
        <v>26664</v>
      </c>
      <c r="AB7352" t="s">
        <v>30349</v>
      </c>
      <c r="AC7352" t="s">
        <v>35766</v>
      </c>
      <c r="AD7352" t="s">
        <v>40500</v>
      </c>
      <c r="AE7352">
        <v>3</v>
      </c>
      <c r="AF7352" t="s">
        <v>45541</v>
      </c>
      <c r="AG7352" t="s">
        <v>19330</v>
      </c>
      <c r="AH7352">
        <v>1</v>
      </c>
      <c r="AI7352">
        <v>1</v>
      </c>
      <c r="AJ7352">
        <v>2</v>
      </c>
      <c r="AK7352">
        <v>136.52</v>
      </c>
      <c r="AN7352" t="s">
        <v>7439</v>
      </c>
      <c r="AO7352">
        <v>29120.04</v>
      </c>
      <c r="AU7352">
        <v>0</v>
      </c>
      <c r="AW7352" t="s">
        <v>212</v>
      </c>
    </row>
    <row r="7353" spans="1:50">
      <c r="A7353" s="1">
        <f>HYPERLINK("https://lsnyc.legalserver.org/matter/dynamic-profile/view/1897239","19-1897239")</f>
        <v>0</v>
      </c>
      <c r="B7353" t="s">
        <v>273</v>
      </c>
      <c r="C7353" t="s">
        <v>340</v>
      </c>
      <c r="D7353" t="s">
        <v>760</v>
      </c>
      <c r="F7353" t="s">
        <v>3181</v>
      </c>
      <c r="G7353" t="s">
        <v>6228</v>
      </c>
      <c r="H7353" t="s">
        <v>9749</v>
      </c>
      <c r="I7353" t="s">
        <v>17299</v>
      </c>
      <c r="J7353" t="s">
        <v>18893</v>
      </c>
      <c r="K7353">
        <v>10034</v>
      </c>
      <c r="L7353" t="s">
        <v>18958</v>
      </c>
      <c r="M7353" t="s">
        <v>18958</v>
      </c>
      <c r="P7353" t="s">
        <v>26560</v>
      </c>
      <c r="R7353" t="s">
        <v>26578</v>
      </c>
      <c r="S7353" t="s">
        <v>18959</v>
      </c>
      <c r="U7353" t="s">
        <v>26604</v>
      </c>
      <c r="W7353" t="s">
        <v>760</v>
      </c>
      <c r="X7353">
        <v>2600</v>
      </c>
      <c r="Y7353" t="s">
        <v>26651</v>
      </c>
      <c r="AB7353" t="s">
        <v>30615</v>
      </c>
      <c r="AD7353" t="s">
        <v>40809</v>
      </c>
      <c r="AE7353">
        <v>46</v>
      </c>
      <c r="AF7353" t="s">
        <v>45541</v>
      </c>
      <c r="AG7353" t="s">
        <v>19330</v>
      </c>
      <c r="AH7353">
        <v>9</v>
      </c>
      <c r="AI7353">
        <v>1</v>
      </c>
      <c r="AJ7353">
        <v>1</v>
      </c>
      <c r="AK7353">
        <v>107.63</v>
      </c>
      <c r="AN7353" t="s">
        <v>45581</v>
      </c>
      <c r="AO7353">
        <v>18200</v>
      </c>
      <c r="AU7353">
        <v>20</v>
      </c>
      <c r="AV7353" t="s">
        <v>814</v>
      </c>
      <c r="AW7353" t="s">
        <v>46840</v>
      </c>
    </row>
    <row r="7354" spans="1:50">
      <c r="A7354" s="1">
        <f>HYPERLINK("https://lsnyc.legalserver.org/matter/dynamic-profile/view/1897224","19-1897224")</f>
        <v>0</v>
      </c>
      <c r="B7354" t="s">
        <v>157</v>
      </c>
      <c r="C7354" t="s">
        <v>340</v>
      </c>
      <c r="D7354" t="s">
        <v>760</v>
      </c>
      <c r="F7354" t="s">
        <v>1066</v>
      </c>
      <c r="G7354" t="s">
        <v>5401</v>
      </c>
      <c r="H7354" t="s">
        <v>9751</v>
      </c>
      <c r="I7354">
        <v>31</v>
      </c>
      <c r="J7354" t="s">
        <v>18893</v>
      </c>
      <c r="K7354">
        <v>10034</v>
      </c>
      <c r="L7354" t="s">
        <v>18958</v>
      </c>
      <c r="M7354" t="s">
        <v>18958</v>
      </c>
      <c r="O7354" t="s">
        <v>26526</v>
      </c>
      <c r="P7354" t="s">
        <v>26564</v>
      </c>
      <c r="R7354" t="s">
        <v>26578</v>
      </c>
      <c r="S7354" t="s">
        <v>18958</v>
      </c>
      <c r="U7354" t="s">
        <v>26604</v>
      </c>
      <c r="W7354" t="s">
        <v>760</v>
      </c>
      <c r="X7354">
        <v>865.1799999999999</v>
      </c>
      <c r="Y7354" t="s">
        <v>26651</v>
      </c>
      <c r="Z7354" t="s">
        <v>26661</v>
      </c>
      <c r="AB7354" t="s">
        <v>32210</v>
      </c>
      <c r="AD7354" t="s">
        <v>42575</v>
      </c>
      <c r="AE7354">
        <v>20</v>
      </c>
      <c r="AF7354" t="s">
        <v>45541</v>
      </c>
      <c r="AG7354" t="s">
        <v>19330</v>
      </c>
      <c r="AH7354">
        <v>28</v>
      </c>
      <c r="AI7354">
        <v>1</v>
      </c>
      <c r="AJ7354">
        <v>0</v>
      </c>
      <c r="AK7354">
        <v>56.4</v>
      </c>
      <c r="AN7354" t="s">
        <v>45581</v>
      </c>
      <c r="AO7354">
        <v>7044</v>
      </c>
      <c r="AU7354">
        <v>0</v>
      </c>
      <c r="AW7354" t="s">
        <v>46840</v>
      </c>
    </row>
    <row r="7355" spans="1:50">
      <c r="A7355" s="1">
        <f>HYPERLINK("https://lsnyc.legalserver.org/matter/dynamic-profile/view/1897247","19-1897247")</f>
        <v>0</v>
      </c>
      <c r="B7355" t="s">
        <v>157</v>
      </c>
      <c r="C7355" t="s">
        <v>340</v>
      </c>
      <c r="D7355" t="s">
        <v>760</v>
      </c>
      <c r="F7355" t="s">
        <v>1222</v>
      </c>
      <c r="G7355" t="s">
        <v>5078</v>
      </c>
      <c r="H7355" t="s">
        <v>9751</v>
      </c>
      <c r="I7355">
        <v>23</v>
      </c>
      <c r="J7355" t="s">
        <v>18893</v>
      </c>
      <c r="K7355">
        <v>10034</v>
      </c>
      <c r="L7355" t="s">
        <v>18958</v>
      </c>
      <c r="M7355" t="s">
        <v>18958</v>
      </c>
      <c r="O7355" t="s">
        <v>26526</v>
      </c>
      <c r="P7355" t="s">
        <v>26564</v>
      </c>
      <c r="R7355" t="s">
        <v>26578</v>
      </c>
      <c r="S7355" t="s">
        <v>18958</v>
      </c>
      <c r="U7355" t="s">
        <v>26604</v>
      </c>
      <c r="W7355" t="s">
        <v>760</v>
      </c>
      <c r="X7355">
        <v>929.89</v>
      </c>
      <c r="Y7355" t="s">
        <v>26651</v>
      </c>
      <c r="Z7355" t="s">
        <v>26661</v>
      </c>
      <c r="AB7355" t="s">
        <v>32211</v>
      </c>
      <c r="AD7355" t="s">
        <v>42576</v>
      </c>
      <c r="AE7355">
        <v>20</v>
      </c>
      <c r="AF7355" t="s">
        <v>45541</v>
      </c>
      <c r="AG7355" t="s">
        <v>45559</v>
      </c>
      <c r="AH7355">
        <v>48</v>
      </c>
      <c r="AI7355">
        <v>3</v>
      </c>
      <c r="AJ7355">
        <v>0</v>
      </c>
      <c r="AK7355">
        <v>71.79000000000001</v>
      </c>
      <c r="AN7355" t="s">
        <v>45581</v>
      </c>
      <c r="AO7355">
        <v>15312</v>
      </c>
      <c r="AU7355">
        <v>0</v>
      </c>
      <c r="AW7355" t="s">
        <v>46840</v>
      </c>
    </row>
    <row r="7356" spans="1:50">
      <c r="A7356" s="1">
        <f>HYPERLINK("https://lsnyc.legalserver.org/matter/dynamic-profile/view/1897191","19-1897191")</f>
        <v>0</v>
      </c>
      <c r="B7356" t="s">
        <v>157</v>
      </c>
      <c r="C7356" t="s">
        <v>340</v>
      </c>
      <c r="D7356" t="s">
        <v>760</v>
      </c>
      <c r="F7356" t="s">
        <v>3931</v>
      </c>
      <c r="G7356" t="s">
        <v>8296</v>
      </c>
      <c r="H7356" t="s">
        <v>14714</v>
      </c>
      <c r="I7356" t="s">
        <v>17445</v>
      </c>
      <c r="J7356" t="s">
        <v>18893</v>
      </c>
      <c r="K7356">
        <v>10034</v>
      </c>
      <c r="L7356" t="s">
        <v>18958</v>
      </c>
      <c r="M7356" t="s">
        <v>18958</v>
      </c>
      <c r="O7356" t="s">
        <v>26526</v>
      </c>
      <c r="P7356" t="s">
        <v>26562</v>
      </c>
      <c r="R7356" t="s">
        <v>26578</v>
      </c>
      <c r="S7356" t="s">
        <v>18958</v>
      </c>
      <c r="U7356" t="s">
        <v>26604</v>
      </c>
      <c r="W7356" t="s">
        <v>760</v>
      </c>
      <c r="X7356">
        <v>333.34</v>
      </c>
      <c r="Y7356" t="s">
        <v>26651</v>
      </c>
      <c r="Z7356" t="s">
        <v>26661</v>
      </c>
      <c r="AB7356" t="s">
        <v>32212</v>
      </c>
      <c r="AE7356">
        <v>20</v>
      </c>
      <c r="AF7356" t="s">
        <v>45541</v>
      </c>
      <c r="AG7356" t="s">
        <v>19330</v>
      </c>
      <c r="AH7356">
        <v>68</v>
      </c>
      <c r="AI7356">
        <v>1</v>
      </c>
      <c r="AJ7356">
        <v>0</v>
      </c>
      <c r="AK7356">
        <v>247.22</v>
      </c>
      <c r="AN7356" t="s">
        <v>7439</v>
      </c>
      <c r="AO7356">
        <v>30878</v>
      </c>
      <c r="AU7356">
        <v>0</v>
      </c>
      <c r="AW7356" t="s">
        <v>46840</v>
      </c>
    </row>
    <row r="7357" spans="1:50">
      <c r="A7357" s="1">
        <f>HYPERLINK("https://lsnyc.legalserver.org/matter/dynamic-profile/view/1894909","19-1894909")</f>
        <v>0</v>
      </c>
      <c r="B7357" t="s">
        <v>157</v>
      </c>
      <c r="C7357" t="s">
        <v>340</v>
      </c>
      <c r="D7357" t="s">
        <v>760</v>
      </c>
      <c r="F7357" t="s">
        <v>994</v>
      </c>
      <c r="G7357" t="s">
        <v>6325</v>
      </c>
      <c r="H7357" t="s">
        <v>9751</v>
      </c>
      <c r="I7357">
        <v>52</v>
      </c>
      <c r="J7357" t="s">
        <v>18893</v>
      </c>
      <c r="K7357">
        <v>10034</v>
      </c>
      <c r="L7357" t="s">
        <v>18958</v>
      </c>
      <c r="M7357" t="s">
        <v>18958</v>
      </c>
      <c r="O7357" t="s">
        <v>26526</v>
      </c>
      <c r="P7357" t="s">
        <v>26563</v>
      </c>
      <c r="R7357" t="s">
        <v>26578</v>
      </c>
      <c r="S7357" t="s">
        <v>18958</v>
      </c>
      <c r="U7357" t="s">
        <v>26604</v>
      </c>
      <c r="W7357" t="s">
        <v>760</v>
      </c>
      <c r="X7357">
        <v>1818.44</v>
      </c>
      <c r="Y7357" t="s">
        <v>26651</v>
      </c>
      <c r="Z7357" t="s">
        <v>26661</v>
      </c>
      <c r="AB7357" t="s">
        <v>27577</v>
      </c>
      <c r="AD7357" t="s">
        <v>42577</v>
      </c>
      <c r="AE7357">
        <v>20</v>
      </c>
      <c r="AF7357" t="s">
        <v>45541</v>
      </c>
      <c r="AG7357" t="s">
        <v>19330</v>
      </c>
      <c r="AH7357">
        <v>12</v>
      </c>
      <c r="AI7357">
        <v>4</v>
      </c>
      <c r="AJ7357">
        <v>0</v>
      </c>
      <c r="AK7357">
        <v>701.75</v>
      </c>
      <c r="AN7357" t="s">
        <v>7439</v>
      </c>
      <c r="AO7357">
        <v>180700</v>
      </c>
      <c r="AU7357">
        <v>0</v>
      </c>
      <c r="AW7357" t="s">
        <v>317</v>
      </c>
    </row>
    <row r="7358" spans="1:50">
      <c r="A7358" s="1">
        <f>HYPERLINK("https://lsnyc.legalserver.org/matter/dynamic-profile/view/1897183","19-1897183")</f>
        <v>0</v>
      </c>
      <c r="B7358" t="s">
        <v>173</v>
      </c>
      <c r="C7358" t="s">
        <v>340</v>
      </c>
      <c r="D7358" t="s">
        <v>760</v>
      </c>
      <c r="F7358" t="s">
        <v>1063</v>
      </c>
      <c r="G7358" t="s">
        <v>5288</v>
      </c>
      <c r="H7358" t="s">
        <v>14715</v>
      </c>
      <c r="I7358">
        <v>23</v>
      </c>
      <c r="J7358" t="s">
        <v>18893</v>
      </c>
      <c r="K7358">
        <v>10026</v>
      </c>
      <c r="L7358" t="s">
        <v>18958</v>
      </c>
      <c r="M7358" t="s">
        <v>18958</v>
      </c>
      <c r="N7358" t="s">
        <v>24215</v>
      </c>
      <c r="O7358" t="s">
        <v>26524</v>
      </c>
      <c r="P7358" t="s">
        <v>26564</v>
      </c>
      <c r="R7358" t="s">
        <v>26580</v>
      </c>
      <c r="S7358" t="s">
        <v>18959</v>
      </c>
      <c r="U7358" t="s">
        <v>26604</v>
      </c>
      <c r="V7358" t="s">
        <v>26613</v>
      </c>
      <c r="W7358" t="s">
        <v>760</v>
      </c>
      <c r="X7358">
        <v>900</v>
      </c>
      <c r="Y7358" t="s">
        <v>26651</v>
      </c>
      <c r="Z7358" t="s">
        <v>26664</v>
      </c>
      <c r="AB7358" t="s">
        <v>32213</v>
      </c>
      <c r="AD7358" t="s">
        <v>42578</v>
      </c>
      <c r="AE7358">
        <v>0</v>
      </c>
      <c r="AF7358" t="s">
        <v>20460</v>
      </c>
      <c r="AG7358" t="s">
        <v>19330</v>
      </c>
      <c r="AH7358">
        <v>15</v>
      </c>
      <c r="AI7358">
        <v>2</v>
      </c>
      <c r="AJ7358">
        <v>3</v>
      </c>
      <c r="AK7358">
        <v>79.55</v>
      </c>
      <c r="AN7358" t="s">
        <v>7439</v>
      </c>
      <c r="AO7358">
        <v>24000</v>
      </c>
      <c r="AU7358">
        <v>1</v>
      </c>
      <c r="AV7358" t="s">
        <v>760</v>
      </c>
      <c r="AW7358" t="s">
        <v>46875</v>
      </c>
    </row>
    <row r="7359" spans="1:50">
      <c r="A7359" s="1">
        <f>HYPERLINK("https://lsnyc.legalserver.org/matter/dynamic-profile/view/1897126","19-1897126")</f>
        <v>0</v>
      </c>
      <c r="B7359" t="s">
        <v>173</v>
      </c>
      <c r="C7359" t="s">
        <v>340</v>
      </c>
      <c r="D7359" t="s">
        <v>760</v>
      </c>
      <c r="F7359" t="s">
        <v>3932</v>
      </c>
      <c r="G7359" t="s">
        <v>8297</v>
      </c>
      <c r="H7359" t="s">
        <v>14716</v>
      </c>
      <c r="I7359" t="s">
        <v>18377</v>
      </c>
      <c r="J7359" t="s">
        <v>18893</v>
      </c>
      <c r="K7359">
        <v>10025</v>
      </c>
      <c r="L7359" t="s">
        <v>18958</v>
      </c>
      <c r="M7359" t="s">
        <v>18958</v>
      </c>
      <c r="N7359" t="s">
        <v>24216</v>
      </c>
      <c r="O7359" t="s">
        <v>26523</v>
      </c>
      <c r="P7359" t="s">
        <v>26560</v>
      </c>
      <c r="R7359" t="s">
        <v>26580</v>
      </c>
      <c r="S7359" t="s">
        <v>18959</v>
      </c>
      <c r="U7359" t="s">
        <v>26604</v>
      </c>
      <c r="V7359" t="s">
        <v>26610</v>
      </c>
      <c r="W7359" t="s">
        <v>760</v>
      </c>
      <c r="X7359">
        <v>1044</v>
      </c>
      <c r="Y7359" t="s">
        <v>26651</v>
      </c>
      <c r="Z7359" t="s">
        <v>26664</v>
      </c>
      <c r="AB7359" t="s">
        <v>31259</v>
      </c>
      <c r="AC7359" t="s">
        <v>36320</v>
      </c>
      <c r="AD7359" t="s">
        <v>42579</v>
      </c>
      <c r="AE7359">
        <v>0</v>
      </c>
      <c r="AF7359" t="s">
        <v>45541</v>
      </c>
      <c r="AG7359" t="s">
        <v>45559</v>
      </c>
      <c r="AH7359">
        <v>2</v>
      </c>
      <c r="AI7359">
        <v>1</v>
      </c>
      <c r="AJ7359">
        <v>0</v>
      </c>
      <c r="AK7359">
        <v>141.91</v>
      </c>
      <c r="AM7359" t="s">
        <v>45580</v>
      </c>
      <c r="AN7359" t="s">
        <v>7439</v>
      </c>
      <c r="AO7359">
        <v>17724</v>
      </c>
      <c r="AU7359">
        <v>1.75</v>
      </c>
      <c r="AV7359" t="s">
        <v>814</v>
      </c>
      <c r="AW7359" t="s">
        <v>314</v>
      </c>
    </row>
    <row r="7360" spans="1:50">
      <c r="A7360" s="1">
        <f>HYPERLINK("https://lsnyc.legalserver.org/matter/dynamic-profile/view/1897219","19-1897219")</f>
        <v>0</v>
      </c>
      <c r="B7360" t="s">
        <v>173</v>
      </c>
      <c r="C7360" t="s">
        <v>340</v>
      </c>
      <c r="D7360" t="s">
        <v>760</v>
      </c>
      <c r="F7360" t="s">
        <v>1548</v>
      </c>
      <c r="G7360" t="s">
        <v>5565</v>
      </c>
      <c r="H7360" t="s">
        <v>12422</v>
      </c>
      <c r="I7360" t="s">
        <v>17274</v>
      </c>
      <c r="J7360" t="s">
        <v>18893</v>
      </c>
      <c r="K7360">
        <v>10026</v>
      </c>
      <c r="L7360" t="s">
        <v>18958</v>
      </c>
      <c r="M7360" t="s">
        <v>18958</v>
      </c>
      <c r="N7360" t="s">
        <v>24217</v>
      </c>
      <c r="O7360" t="s">
        <v>26523</v>
      </c>
      <c r="P7360" t="s">
        <v>26560</v>
      </c>
      <c r="R7360" t="s">
        <v>26580</v>
      </c>
      <c r="S7360" t="s">
        <v>18959</v>
      </c>
      <c r="U7360" t="s">
        <v>26604</v>
      </c>
      <c r="W7360" t="s">
        <v>760</v>
      </c>
      <c r="X7360">
        <v>650</v>
      </c>
      <c r="Y7360" t="s">
        <v>26651</v>
      </c>
      <c r="Z7360" t="s">
        <v>26664</v>
      </c>
      <c r="AB7360" t="s">
        <v>31095</v>
      </c>
      <c r="AD7360" t="s">
        <v>42580</v>
      </c>
      <c r="AE7360">
        <v>0</v>
      </c>
      <c r="AF7360" t="s">
        <v>45548</v>
      </c>
      <c r="AG7360" t="s">
        <v>19330</v>
      </c>
      <c r="AH7360">
        <v>2</v>
      </c>
      <c r="AI7360">
        <v>2</v>
      </c>
      <c r="AJ7360">
        <v>0</v>
      </c>
      <c r="AK7360">
        <v>147.84</v>
      </c>
      <c r="AN7360" t="s">
        <v>7439</v>
      </c>
      <c r="AO7360">
        <v>25000</v>
      </c>
      <c r="AU7360">
        <v>2.75</v>
      </c>
      <c r="AV7360" t="s">
        <v>832</v>
      </c>
      <c r="AW7360" t="s">
        <v>46875</v>
      </c>
    </row>
    <row r="7361" spans="1:50">
      <c r="A7361" s="1">
        <f>HYPERLINK("https://lsnyc.legalserver.org/matter/dynamic-profile/view/1897366","19-1897366")</f>
        <v>0</v>
      </c>
      <c r="B7361" t="s">
        <v>276</v>
      </c>
      <c r="C7361" t="s">
        <v>340</v>
      </c>
      <c r="D7361" t="s">
        <v>761</v>
      </c>
      <c r="F7361" t="s">
        <v>1328</v>
      </c>
      <c r="G7361" t="s">
        <v>2267</v>
      </c>
      <c r="H7361" t="s">
        <v>14686</v>
      </c>
      <c r="I7361" t="s">
        <v>17306</v>
      </c>
      <c r="J7361" t="s">
        <v>18894</v>
      </c>
      <c r="K7361">
        <v>11226</v>
      </c>
      <c r="L7361" t="s">
        <v>18958</v>
      </c>
      <c r="M7361" t="s">
        <v>18958</v>
      </c>
      <c r="O7361" t="s">
        <v>26526</v>
      </c>
      <c r="P7361" t="s">
        <v>26560</v>
      </c>
      <c r="R7361" t="s">
        <v>26578</v>
      </c>
      <c r="S7361" t="s">
        <v>18958</v>
      </c>
      <c r="U7361" t="s">
        <v>26604</v>
      </c>
      <c r="W7361" t="s">
        <v>760</v>
      </c>
      <c r="X7361">
        <v>916</v>
      </c>
      <c r="Y7361" t="s">
        <v>26652</v>
      </c>
      <c r="AB7361" t="s">
        <v>32214</v>
      </c>
      <c r="AE7361">
        <v>0</v>
      </c>
      <c r="AH7361">
        <v>0</v>
      </c>
      <c r="AI7361">
        <v>2</v>
      </c>
      <c r="AJ7361">
        <v>0</v>
      </c>
      <c r="AK7361">
        <v>236.55</v>
      </c>
      <c r="AN7361" t="s">
        <v>7439</v>
      </c>
      <c r="AO7361">
        <v>40000</v>
      </c>
      <c r="AU7361">
        <v>35.7</v>
      </c>
      <c r="AV7361" t="s">
        <v>831</v>
      </c>
      <c r="AW7361" t="s">
        <v>219</v>
      </c>
    </row>
    <row r="7362" spans="1:50">
      <c r="A7362" s="1">
        <f>HYPERLINK("https://lsnyc.legalserver.org/matter/dynamic-profile/view/1897584","19-1897584")</f>
        <v>0</v>
      </c>
      <c r="B7362" t="s">
        <v>90</v>
      </c>
      <c r="C7362" t="s">
        <v>340</v>
      </c>
      <c r="D7362" t="s">
        <v>763</v>
      </c>
      <c r="F7362" t="s">
        <v>3894</v>
      </c>
      <c r="G7362" t="s">
        <v>6985</v>
      </c>
      <c r="H7362" t="s">
        <v>14717</v>
      </c>
      <c r="I7362" t="s">
        <v>17356</v>
      </c>
      <c r="J7362" t="s">
        <v>18893</v>
      </c>
      <c r="K7362">
        <v>10035</v>
      </c>
      <c r="L7362" t="s">
        <v>18958</v>
      </c>
      <c r="M7362" t="s">
        <v>18958</v>
      </c>
      <c r="O7362" t="s">
        <v>18997</v>
      </c>
      <c r="P7362" t="s">
        <v>26565</v>
      </c>
      <c r="R7362" t="s">
        <v>26578</v>
      </c>
      <c r="S7362" t="s">
        <v>18958</v>
      </c>
      <c r="U7362" t="s">
        <v>26604</v>
      </c>
      <c r="V7362" t="s">
        <v>26610</v>
      </c>
      <c r="W7362" t="s">
        <v>760</v>
      </c>
      <c r="X7362">
        <v>258</v>
      </c>
      <c r="Y7362" t="s">
        <v>26651</v>
      </c>
      <c r="Z7362" t="s">
        <v>26667</v>
      </c>
      <c r="AB7362" t="s">
        <v>32215</v>
      </c>
      <c r="AE7362">
        <v>60</v>
      </c>
      <c r="AF7362" t="s">
        <v>45541</v>
      </c>
      <c r="AG7362" t="s">
        <v>45565</v>
      </c>
      <c r="AH7362">
        <v>14</v>
      </c>
      <c r="AI7362">
        <v>1</v>
      </c>
      <c r="AJ7362">
        <v>0</v>
      </c>
      <c r="AK7362">
        <v>93.67</v>
      </c>
      <c r="AN7362" t="s">
        <v>7439</v>
      </c>
      <c r="AO7362">
        <v>11700</v>
      </c>
      <c r="AU7362">
        <v>0</v>
      </c>
      <c r="AW7362" t="s">
        <v>46835</v>
      </c>
    </row>
    <row r="7363" spans="1:50">
      <c r="A7363" s="1">
        <f>HYPERLINK("https://lsnyc.legalserver.org/matter/dynamic-profile/view/1897620","19-1897620")</f>
        <v>0</v>
      </c>
      <c r="B7363" t="s">
        <v>90</v>
      </c>
      <c r="C7363" t="s">
        <v>340</v>
      </c>
      <c r="D7363" t="s">
        <v>763</v>
      </c>
      <c r="F7363" t="s">
        <v>1162</v>
      </c>
      <c r="G7363" t="s">
        <v>5751</v>
      </c>
      <c r="H7363" t="s">
        <v>14717</v>
      </c>
      <c r="I7363" t="s">
        <v>17346</v>
      </c>
      <c r="J7363" t="s">
        <v>18893</v>
      </c>
      <c r="K7363">
        <v>10035</v>
      </c>
      <c r="L7363" t="s">
        <v>18958</v>
      </c>
      <c r="M7363" t="s">
        <v>18958</v>
      </c>
      <c r="O7363" t="s">
        <v>18997</v>
      </c>
      <c r="P7363" t="s">
        <v>26565</v>
      </c>
      <c r="R7363" t="s">
        <v>26578</v>
      </c>
      <c r="S7363" t="s">
        <v>18958</v>
      </c>
      <c r="U7363" t="s">
        <v>26604</v>
      </c>
      <c r="V7363" t="s">
        <v>26610</v>
      </c>
      <c r="W7363" t="s">
        <v>760</v>
      </c>
      <c r="X7363">
        <v>1104.42</v>
      </c>
      <c r="Y7363" t="s">
        <v>26651</v>
      </c>
      <c r="Z7363" t="s">
        <v>26657</v>
      </c>
      <c r="AB7363" t="s">
        <v>32119</v>
      </c>
      <c r="AD7363" t="s">
        <v>42581</v>
      </c>
      <c r="AE7363">
        <v>60</v>
      </c>
      <c r="AF7363" t="s">
        <v>45541</v>
      </c>
      <c r="AG7363" t="s">
        <v>19330</v>
      </c>
      <c r="AH7363">
        <v>7</v>
      </c>
      <c r="AI7363">
        <v>1</v>
      </c>
      <c r="AJ7363">
        <v>0</v>
      </c>
      <c r="AK7363">
        <v>96.08</v>
      </c>
      <c r="AN7363" t="s">
        <v>45581</v>
      </c>
      <c r="AO7363">
        <v>12000</v>
      </c>
      <c r="AU7363">
        <v>0</v>
      </c>
      <c r="AW7363" t="s">
        <v>46835</v>
      </c>
    </row>
    <row r="7364" spans="1:50">
      <c r="A7364" s="1">
        <f>HYPERLINK("https://lsnyc.legalserver.org/matter/dynamic-profile/view/1897550","19-1897550")</f>
        <v>0</v>
      </c>
      <c r="B7364" t="s">
        <v>90</v>
      </c>
      <c r="C7364" t="s">
        <v>340</v>
      </c>
      <c r="D7364" t="s">
        <v>763</v>
      </c>
      <c r="F7364" t="s">
        <v>1009</v>
      </c>
      <c r="G7364" t="s">
        <v>5138</v>
      </c>
      <c r="H7364" t="s">
        <v>14717</v>
      </c>
      <c r="I7364" t="s">
        <v>17277</v>
      </c>
      <c r="J7364" t="s">
        <v>18893</v>
      </c>
      <c r="K7364">
        <v>10035</v>
      </c>
      <c r="L7364" t="s">
        <v>18958</v>
      </c>
      <c r="M7364" t="s">
        <v>18958</v>
      </c>
      <c r="O7364" t="s">
        <v>18997</v>
      </c>
      <c r="P7364" t="s">
        <v>26565</v>
      </c>
      <c r="R7364" t="s">
        <v>26578</v>
      </c>
      <c r="S7364" t="s">
        <v>18958</v>
      </c>
      <c r="U7364" t="s">
        <v>26604</v>
      </c>
      <c r="V7364" t="s">
        <v>26610</v>
      </c>
      <c r="W7364" t="s">
        <v>760</v>
      </c>
      <c r="X7364">
        <v>1051</v>
      </c>
      <c r="Y7364" t="s">
        <v>26651</v>
      </c>
      <c r="Z7364" t="s">
        <v>26657</v>
      </c>
      <c r="AB7364" t="s">
        <v>28289</v>
      </c>
      <c r="AD7364" t="s">
        <v>42582</v>
      </c>
      <c r="AE7364">
        <v>60</v>
      </c>
      <c r="AF7364" t="s">
        <v>45541</v>
      </c>
      <c r="AG7364" t="s">
        <v>19330</v>
      </c>
      <c r="AH7364">
        <v>14</v>
      </c>
      <c r="AI7364">
        <v>3</v>
      </c>
      <c r="AJ7364">
        <v>1</v>
      </c>
      <c r="AK7364">
        <v>166.99</v>
      </c>
      <c r="AN7364" t="s">
        <v>7439</v>
      </c>
      <c r="AO7364">
        <v>43000</v>
      </c>
      <c r="AU7364">
        <v>0</v>
      </c>
      <c r="AW7364" t="s">
        <v>46835</v>
      </c>
    </row>
    <row r="7365" spans="1:50">
      <c r="A7365" s="1">
        <f>HYPERLINK("https://lsnyc.legalserver.org/matter/dynamic-profile/view/1897575","19-1897575")</f>
        <v>0</v>
      </c>
      <c r="B7365" t="s">
        <v>90</v>
      </c>
      <c r="C7365" t="s">
        <v>340</v>
      </c>
      <c r="D7365" t="s">
        <v>763</v>
      </c>
      <c r="F7365" t="s">
        <v>2247</v>
      </c>
      <c r="G7365" t="s">
        <v>5185</v>
      </c>
      <c r="H7365" t="s">
        <v>14717</v>
      </c>
      <c r="I7365" t="s">
        <v>17288</v>
      </c>
      <c r="J7365" t="s">
        <v>18893</v>
      </c>
      <c r="K7365">
        <v>10035</v>
      </c>
      <c r="L7365" t="s">
        <v>18958</v>
      </c>
      <c r="M7365" t="s">
        <v>18958</v>
      </c>
      <c r="O7365" t="s">
        <v>18997</v>
      </c>
      <c r="P7365" t="s">
        <v>26565</v>
      </c>
      <c r="R7365" t="s">
        <v>26578</v>
      </c>
      <c r="S7365" t="s">
        <v>18958</v>
      </c>
      <c r="U7365" t="s">
        <v>26604</v>
      </c>
      <c r="V7365" t="s">
        <v>26610</v>
      </c>
      <c r="W7365" t="s">
        <v>760</v>
      </c>
      <c r="X7365">
        <v>985</v>
      </c>
      <c r="Y7365" t="s">
        <v>26651</v>
      </c>
      <c r="Z7365" t="s">
        <v>26667</v>
      </c>
      <c r="AB7365" t="s">
        <v>32216</v>
      </c>
      <c r="AD7365" t="s">
        <v>42583</v>
      </c>
      <c r="AE7365">
        <v>60</v>
      </c>
      <c r="AF7365" t="s">
        <v>45541</v>
      </c>
      <c r="AG7365" t="s">
        <v>19330</v>
      </c>
      <c r="AH7365">
        <v>10</v>
      </c>
      <c r="AI7365">
        <v>3</v>
      </c>
      <c r="AJ7365">
        <v>1</v>
      </c>
      <c r="AK7365">
        <v>201.94</v>
      </c>
      <c r="AN7365" t="s">
        <v>7439</v>
      </c>
      <c r="AO7365">
        <v>52000</v>
      </c>
      <c r="AU7365">
        <v>0</v>
      </c>
      <c r="AW7365" t="s">
        <v>46835</v>
      </c>
    </row>
    <row r="7366" spans="1:50">
      <c r="A7366" s="1">
        <f>HYPERLINK("https://lsnyc.legalserver.org/matter/dynamic-profile/view/1897635","19-1897635")</f>
        <v>0</v>
      </c>
      <c r="B7366" t="s">
        <v>90</v>
      </c>
      <c r="C7366" t="s">
        <v>340</v>
      </c>
      <c r="D7366" t="s">
        <v>763</v>
      </c>
      <c r="F7366" t="s">
        <v>1241</v>
      </c>
      <c r="G7366" t="s">
        <v>6432</v>
      </c>
      <c r="H7366" t="s">
        <v>14717</v>
      </c>
      <c r="I7366" t="s">
        <v>17319</v>
      </c>
      <c r="J7366" t="s">
        <v>18893</v>
      </c>
      <c r="K7366">
        <v>10035</v>
      </c>
      <c r="L7366" t="s">
        <v>18958</v>
      </c>
      <c r="M7366" t="s">
        <v>18958</v>
      </c>
      <c r="O7366" t="s">
        <v>18997</v>
      </c>
      <c r="P7366" t="s">
        <v>26565</v>
      </c>
      <c r="R7366" t="s">
        <v>26578</v>
      </c>
      <c r="S7366" t="s">
        <v>18958</v>
      </c>
      <c r="U7366" t="s">
        <v>26604</v>
      </c>
      <c r="V7366" t="s">
        <v>26610</v>
      </c>
      <c r="W7366" t="s">
        <v>760</v>
      </c>
      <c r="X7366">
        <v>900</v>
      </c>
      <c r="Y7366" t="s">
        <v>26651</v>
      </c>
      <c r="Z7366" t="s">
        <v>26667</v>
      </c>
      <c r="AB7366" t="s">
        <v>32217</v>
      </c>
      <c r="AE7366">
        <v>60</v>
      </c>
      <c r="AF7366" t="s">
        <v>45541</v>
      </c>
      <c r="AG7366" t="s">
        <v>19330</v>
      </c>
      <c r="AH7366">
        <v>15</v>
      </c>
      <c r="AI7366">
        <v>1</v>
      </c>
      <c r="AJ7366">
        <v>1</v>
      </c>
      <c r="AK7366">
        <v>224.72</v>
      </c>
      <c r="AN7366" t="s">
        <v>7439</v>
      </c>
      <c r="AO7366">
        <v>38000</v>
      </c>
      <c r="AU7366">
        <v>0</v>
      </c>
      <c r="AW7366" t="s">
        <v>46835</v>
      </c>
    </row>
    <row r="7367" spans="1:50">
      <c r="A7367" s="1">
        <f>HYPERLINK("https://lsnyc.legalserver.org/matter/dynamic-profile/view/1897751","19-1897751")</f>
        <v>0</v>
      </c>
      <c r="B7367" t="s">
        <v>90</v>
      </c>
      <c r="C7367" t="s">
        <v>340</v>
      </c>
      <c r="D7367" t="s">
        <v>764</v>
      </c>
      <c r="F7367" t="s">
        <v>3933</v>
      </c>
      <c r="G7367" t="s">
        <v>8298</v>
      </c>
      <c r="H7367" t="s">
        <v>14717</v>
      </c>
      <c r="I7367" t="s">
        <v>17338</v>
      </c>
      <c r="J7367" t="s">
        <v>18893</v>
      </c>
      <c r="K7367">
        <v>10035</v>
      </c>
      <c r="L7367" t="s">
        <v>18958</v>
      </c>
      <c r="M7367" t="s">
        <v>18958</v>
      </c>
      <c r="O7367" t="s">
        <v>18997</v>
      </c>
      <c r="P7367" t="s">
        <v>26565</v>
      </c>
      <c r="R7367" t="s">
        <v>26578</v>
      </c>
      <c r="S7367" t="s">
        <v>18958</v>
      </c>
      <c r="U7367" t="s">
        <v>26604</v>
      </c>
      <c r="V7367" t="s">
        <v>26610</v>
      </c>
      <c r="W7367" t="s">
        <v>760</v>
      </c>
      <c r="X7367">
        <v>2500</v>
      </c>
      <c r="Y7367" t="s">
        <v>26651</v>
      </c>
      <c r="Z7367" t="s">
        <v>26657</v>
      </c>
      <c r="AB7367" t="s">
        <v>32218</v>
      </c>
      <c r="AD7367" t="s">
        <v>42584</v>
      </c>
      <c r="AE7367">
        <v>60</v>
      </c>
      <c r="AF7367" t="s">
        <v>45541</v>
      </c>
      <c r="AG7367" t="s">
        <v>45556</v>
      </c>
      <c r="AH7367">
        <v>14</v>
      </c>
      <c r="AI7367">
        <v>1</v>
      </c>
      <c r="AJ7367">
        <v>0</v>
      </c>
      <c r="AK7367">
        <v>80.8</v>
      </c>
      <c r="AN7367" t="s">
        <v>45581</v>
      </c>
      <c r="AO7367">
        <v>10092</v>
      </c>
      <c r="AU7367">
        <v>0</v>
      </c>
      <c r="AW7367" t="s">
        <v>46835</v>
      </c>
    </row>
    <row r="7368" spans="1:50">
      <c r="A7368" s="1">
        <f>HYPERLINK("https://lsnyc.legalserver.org/matter/dynamic-profile/view/1897745","19-1897745")</f>
        <v>0</v>
      </c>
      <c r="B7368" t="s">
        <v>90</v>
      </c>
      <c r="C7368" t="s">
        <v>340</v>
      </c>
      <c r="D7368" t="s">
        <v>764</v>
      </c>
      <c r="F7368" t="s">
        <v>3254</v>
      </c>
      <c r="G7368" t="s">
        <v>8299</v>
      </c>
      <c r="H7368" t="s">
        <v>14717</v>
      </c>
      <c r="I7368" t="s">
        <v>17362</v>
      </c>
      <c r="J7368" t="s">
        <v>18893</v>
      </c>
      <c r="K7368">
        <v>10035</v>
      </c>
      <c r="L7368" t="s">
        <v>18958</v>
      </c>
      <c r="M7368" t="s">
        <v>18958</v>
      </c>
      <c r="O7368" t="s">
        <v>18997</v>
      </c>
      <c r="P7368" t="s">
        <v>26565</v>
      </c>
      <c r="R7368" t="s">
        <v>26578</v>
      </c>
      <c r="S7368" t="s">
        <v>18958</v>
      </c>
      <c r="U7368" t="s">
        <v>26604</v>
      </c>
      <c r="V7368" t="s">
        <v>26610</v>
      </c>
      <c r="W7368" t="s">
        <v>760</v>
      </c>
      <c r="X7368">
        <v>1350</v>
      </c>
      <c r="Y7368" t="s">
        <v>26651</v>
      </c>
      <c r="Z7368" t="s">
        <v>26657</v>
      </c>
      <c r="AB7368" t="s">
        <v>32219</v>
      </c>
      <c r="AD7368" t="s">
        <v>42585</v>
      </c>
      <c r="AE7368">
        <v>60</v>
      </c>
      <c r="AF7368" t="s">
        <v>45541</v>
      </c>
      <c r="AG7368" t="s">
        <v>19330</v>
      </c>
      <c r="AH7368">
        <v>7</v>
      </c>
      <c r="AI7368">
        <v>2</v>
      </c>
      <c r="AJ7368">
        <v>4</v>
      </c>
      <c r="AK7368">
        <v>98.87</v>
      </c>
      <c r="AN7368" t="s">
        <v>7439</v>
      </c>
      <c r="AO7368">
        <v>34200</v>
      </c>
      <c r="AU7368">
        <v>0</v>
      </c>
      <c r="AW7368" t="s">
        <v>46835</v>
      </c>
    </row>
    <row r="7369" spans="1:50">
      <c r="A7369" s="1">
        <f>HYPERLINK("https://lsnyc.legalserver.org/matter/dynamic-profile/view/1897690","19-1897690")</f>
        <v>0</v>
      </c>
      <c r="B7369" t="s">
        <v>90</v>
      </c>
      <c r="C7369" t="s">
        <v>340</v>
      </c>
      <c r="D7369" t="s">
        <v>764</v>
      </c>
      <c r="F7369" t="s">
        <v>3934</v>
      </c>
      <c r="G7369" t="s">
        <v>5047</v>
      </c>
      <c r="H7369" t="s">
        <v>14717</v>
      </c>
      <c r="I7369" t="s">
        <v>17290</v>
      </c>
      <c r="J7369" t="s">
        <v>18893</v>
      </c>
      <c r="K7369">
        <v>10035</v>
      </c>
      <c r="L7369" t="s">
        <v>18958</v>
      </c>
      <c r="M7369" t="s">
        <v>18958</v>
      </c>
      <c r="O7369" t="s">
        <v>18997</v>
      </c>
      <c r="P7369" t="s">
        <v>26565</v>
      </c>
      <c r="R7369" t="s">
        <v>26578</v>
      </c>
      <c r="S7369" t="s">
        <v>18958</v>
      </c>
      <c r="U7369" t="s">
        <v>26604</v>
      </c>
      <c r="V7369" t="s">
        <v>26610</v>
      </c>
      <c r="W7369" t="s">
        <v>760</v>
      </c>
      <c r="X7369">
        <v>892</v>
      </c>
      <c r="Y7369" t="s">
        <v>26651</v>
      </c>
      <c r="Z7369" t="s">
        <v>26657</v>
      </c>
      <c r="AB7369" t="s">
        <v>32220</v>
      </c>
      <c r="AD7369" t="s">
        <v>42586</v>
      </c>
      <c r="AE7369">
        <v>60</v>
      </c>
      <c r="AF7369" t="s">
        <v>45541</v>
      </c>
      <c r="AG7369" t="s">
        <v>45556</v>
      </c>
      <c r="AH7369">
        <v>5</v>
      </c>
      <c r="AI7369">
        <v>2</v>
      </c>
      <c r="AJ7369">
        <v>3</v>
      </c>
      <c r="AK7369">
        <v>145.84</v>
      </c>
      <c r="AN7369" t="s">
        <v>7439</v>
      </c>
      <c r="AO7369">
        <v>44000</v>
      </c>
      <c r="AU7369">
        <v>0</v>
      </c>
      <c r="AW7369" t="s">
        <v>46835</v>
      </c>
    </row>
    <row r="7370" spans="1:50">
      <c r="A7370" s="1">
        <f>HYPERLINK("https://lsnyc.legalserver.org/matter/dynamic-profile/view/1897721","19-1897721")</f>
        <v>0</v>
      </c>
      <c r="B7370" t="s">
        <v>90</v>
      </c>
      <c r="C7370" t="s">
        <v>340</v>
      </c>
      <c r="D7370" t="s">
        <v>764</v>
      </c>
      <c r="F7370" t="s">
        <v>2726</v>
      </c>
      <c r="G7370" t="s">
        <v>5574</v>
      </c>
      <c r="H7370" t="s">
        <v>14718</v>
      </c>
      <c r="I7370" t="s">
        <v>17299</v>
      </c>
      <c r="J7370" t="s">
        <v>18893</v>
      </c>
      <c r="K7370">
        <v>10035</v>
      </c>
      <c r="L7370" t="s">
        <v>18958</v>
      </c>
      <c r="M7370" t="s">
        <v>18958</v>
      </c>
      <c r="O7370" t="s">
        <v>18997</v>
      </c>
      <c r="P7370" t="s">
        <v>26565</v>
      </c>
      <c r="R7370" t="s">
        <v>26578</v>
      </c>
      <c r="S7370" t="s">
        <v>18958</v>
      </c>
      <c r="U7370" t="s">
        <v>26604</v>
      </c>
      <c r="V7370" t="s">
        <v>26610</v>
      </c>
      <c r="W7370" t="s">
        <v>760</v>
      </c>
      <c r="X7370">
        <v>1065</v>
      </c>
      <c r="Y7370" t="s">
        <v>26651</v>
      </c>
      <c r="Z7370" t="s">
        <v>26657</v>
      </c>
      <c r="AB7370" t="s">
        <v>32221</v>
      </c>
      <c r="AE7370">
        <v>60</v>
      </c>
      <c r="AF7370" t="s">
        <v>45541</v>
      </c>
      <c r="AG7370" t="s">
        <v>19330</v>
      </c>
      <c r="AH7370">
        <v>14</v>
      </c>
      <c r="AI7370">
        <v>2</v>
      </c>
      <c r="AJ7370">
        <v>0</v>
      </c>
      <c r="AK7370">
        <v>313.42</v>
      </c>
      <c r="AN7370" t="s">
        <v>7439</v>
      </c>
      <c r="AO7370">
        <v>53000</v>
      </c>
      <c r="AU7370">
        <v>0</v>
      </c>
      <c r="AW7370" t="s">
        <v>46835</v>
      </c>
    </row>
    <row r="7371" spans="1:50">
      <c r="A7371" s="1">
        <f>HYPERLINK("https://lsnyc.legalserver.org/matter/dynamic-profile/view/1897686","19-1897686")</f>
        <v>0</v>
      </c>
      <c r="B7371" t="s">
        <v>90</v>
      </c>
      <c r="C7371" t="s">
        <v>340</v>
      </c>
      <c r="D7371" t="s">
        <v>764</v>
      </c>
      <c r="F7371" t="s">
        <v>3369</v>
      </c>
      <c r="G7371" t="s">
        <v>1058</v>
      </c>
      <c r="H7371" t="s">
        <v>14717</v>
      </c>
      <c r="I7371" t="s">
        <v>17315</v>
      </c>
      <c r="J7371" t="s">
        <v>18893</v>
      </c>
      <c r="K7371">
        <v>10035</v>
      </c>
      <c r="L7371" t="s">
        <v>18958</v>
      </c>
      <c r="M7371" t="s">
        <v>18958</v>
      </c>
      <c r="O7371" t="s">
        <v>18997</v>
      </c>
      <c r="P7371" t="s">
        <v>26565</v>
      </c>
      <c r="R7371" t="s">
        <v>26578</v>
      </c>
      <c r="S7371" t="s">
        <v>18958</v>
      </c>
      <c r="U7371" t="s">
        <v>26604</v>
      </c>
      <c r="V7371" t="s">
        <v>26610</v>
      </c>
      <c r="W7371" t="s">
        <v>760</v>
      </c>
      <c r="X7371">
        <v>1230</v>
      </c>
      <c r="Y7371" t="s">
        <v>26651</v>
      </c>
      <c r="Z7371" t="s">
        <v>26667</v>
      </c>
      <c r="AB7371" t="s">
        <v>28714</v>
      </c>
      <c r="AD7371" t="s">
        <v>42587</v>
      </c>
      <c r="AE7371">
        <v>60</v>
      </c>
      <c r="AF7371" t="s">
        <v>45548</v>
      </c>
      <c r="AG7371" t="s">
        <v>19330</v>
      </c>
      <c r="AH7371">
        <v>8</v>
      </c>
      <c r="AI7371">
        <v>2</v>
      </c>
      <c r="AJ7371">
        <v>0</v>
      </c>
      <c r="AK7371">
        <v>413.96</v>
      </c>
      <c r="AN7371" t="s">
        <v>7439</v>
      </c>
      <c r="AO7371">
        <v>70000</v>
      </c>
      <c r="AU7371">
        <v>0</v>
      </c>
      <c r="AW7371" t="s">
        <v>46835</v>
      </c>
    </row>
    <row r="7372" spans="1:50">
      <c r="A7372" s="1">
        <f>HYPERLINK("https://lsnyc.legalserver.org/matter/dynamic-profile/view/1897842","19-1897842")</f>
        <v>0</v>
      </c>
      <c r="B7372" t="s">
        <v>90</v>
      </c>
      <c r="C7372" t="s">
        <v>340</v>
      </c>
      <c r="D7372" t="s">
        <v>765</v>
      </c>
      <c r="F7372" t="s">
        <v>2110</v>
      </c>
      <c r="G7372" t="s">
        <v>8300</v>
      </c>
      <c r="H7372" t="s">
        <v>10377</v>
      </c>
      <c r="I7372" t="s">
        <v>17325</v>
      </c>
      <c r="J7372" t="s">
        <v>18893</v>
      </c>
      <c r="K7372">
        <v>10031</v>
      </c>
      <c r="L7372" t="s">
        <v>18958</v>
      </c>
      <c r="M7372" t="s">
        <v>18958</v>
      </c>
      <c r="N7372" t="s">
        <v>24218</v>
      </c>
      <c r="O7372" t="s">
        <v>26526</v>
      </c>
      <c r="P7372" t="s">
        <v>26560</v>
      </c>
      <c r="R7372" t="s">
        <v>26578</v>
      </c>
      <c r="S7372" t="s">
        <v>18959</v>
      </c>
      <c r="U7372" t="s">
        <v>26604</v>
      </c>
      <c r="V7372" t="s">
        <v>26610</v>
      </c>
      <c r="W7372" t="s">
        <v>760</v>
      </c>
      <c r="X7372">
        <v>2130</v>
      </c>
      <c r="Y7372" t="s">
        <v>26651</v>
      </c>
      <c r="Z7372" t="s">
        <v>26667</v>
      </c>
      <c r="AB7372" t="s">
        <v>32222</v>
      </c>
      <c r="AD7372" t="s">
        <v>42588</v>
      </c>
      <c r="AE7372">
        <v>44</v>
      </c>
      <c r="AF7372" t="s">
        <v>45541</v>
      </c>
      <c r="AG7372" t="s">
        <v>45556</v>
      </c>
      <c r="AH7372">
        <v>22</v>
      </c>
      <c r="AI7372">
        <v>3</v>
      </c>
      <c r="AJ7372">
        <v>0</v>
      </c>
      <c r="AK7372">
        <v>68.06999999999999</v>
      </c>
      <c r="AN7372" t="s">
        <v>45581</v>
      </c>
      <c r="AO7372">
        <v>14520</v>
      </c>
      <c r="AU7372">
        <v>0</v>
      </c>
      <c r="AW7372" t="s">
        <v>46835</v>
      </c>
    </row>
    <row r="7373" spans="1:50">
      <c r="A7373" s="1">
        <f>HYPERLINK("https://lsnyc.legalserver.org/matter/dynamic-profile/view/1898384","19-1898384")</f>
        <v>0</v>
      </c>
      <c r="B7373" t="s">
        <v>90</v>
      </c>
      <c r="C7373" t="s">
        <v>340</v>
      </c>
      <c r="D7373" t="s">
        <v>768</v>
      </c>
      <c r="F7373" t="s">
        <v>3935</v>
      </c>
      <c r="G7373" t="s">
        <v>4984</v>
      </c>
      <c r="H7373" t="s">
        <v>10377</v>
      </c>
      <c r="I7373" t="s">
        <v>17352</v>
      </c>
      <c r="J7373" t="s">
        <v>18893</v>
      </c>
      <c r="K7373">
        <v>10031</v>
      </c>
      <c r="L7373" t="s">
        <v>18958</v>
      </c>
      <c r="M7373" t="s">
        <v>18958</v>
      </c>
      <c r="O7373" t="s">
        <v>18997</v>
      </c>
      <c r="P7373" t="s">
        <v>26565</v>
      </c>
      <c r="R7373" t="s">
        <v>26578</v>
      </c>
      <c r="S7373" t="s">
        <v>18958</v>
      </c>
      <c r="U7373" t="s">
        <v>26604</v>
      </c>
      <c r="V7373" t="s">
        <v>26610</v>
      </c>
      <c r="W7373" t="s">
        <v>760</v>
      </c>
      <c r="X7373">
        <v>2100</v>
      </c>
      <c r="Y7373" t="s">
        <v>26651</v>
      </c>
      <c r="Z7373" t="s">
        <v>26657</v>
      </c>
      <c r="AB7373" t="s">
        <v>32223</v>
      </c>
      <c r="AD7373" t="s">
        <v>42589</v>
      </c>
      <c r="AE7373">
        <v>44</v>
      </c>
      <c r="AF7373" t="s">
        <v>45541</v>
      </c>
      <c r="AG7373" t="s">
        <v>45556</v>
      </c>
      <c r="AH7373">
        <v>40</v>
      </c>
      <c r="AI7373">
        <v>2</v>
      </c>
      <c r="AJ7373">
        <v>0</v>
      </c>
      <c r="AK7373">
        <v>136.01</v>
      </c>
      <c r="AN7373" t="s">
        <v>7439</v>
      </c>
      <c r="AO7373">
        <v>23000</v>
      </c>
      <c r="AU7373">
        <v>0</v>
      </c>
      <c r="AW7373" t="s">
        <v>46835</v>
      </c>
    </row>
    <row r="7374" spans="1:50">
      <c r="A7374" s="1">
        <f>HYPERLINK("https://lsnyc.legalserver.org/matter/dynamic-profile/view/1897120","19-1897120")</f>
        <v>0</v>
      </c>
      <c r="B7374" t="s">
        <v>131</v>
      </c>
      <c r="C7374" t="s">
        <v>340</v>
      </c>
      <c r="D7374" t="s">
        <v>805</v>
      </c>
      <c r="F7374" t="s">
        <v>2240</v>
      </c>
      <c r="G7374" t="s">
        <v>5664</v>
      </c>
      <c r="H7374" t="s">
        <v>14719</v>
      </c>
      <c r="I7374" t="s">
        <v>18461</v>
      </c>
      <c r="J7374" t="s">
        <v>18902</v>
      </c>
      <c r="K7374">
        <v>10303</v>
      </c>
      <c r="L7374" t="s">
        <v>18958</v>
      </c>
      <c r="M7374" t="s">
        <v>18958</v>
      </c>
      <c r="N7374" t="s">
        <v>19330</v>
      </c>
      <c r="O7374" t="s">
        <v>26537</v>
      </c>
      <c r="R7374" t="s">
        <v>26578</v>
      </c>
      <c r="S7374" t="s">
        <v>18959</v>
      </c>
      <c r="U7374" t="s">
        <v>26607</v>
      </c>
      <c r="V7374" t="s">
        <v>26610</v>
      </c>
      <c r="W7374" t="s">
        <v>760</v>
      </c>
      <c r="X7374">
        <v>2200</v>
      </c>
      <c r="Y7374" t="s">
        <v>26654</v>
      </c>
      <c r="Z7374" t="s">
        <v>26657</v>
      </c>
      <c r="AB7374" t="s">
        <v>32224</v>
      </c>
      <c r="AC7374" t="s">
        <v>36321</v>
      </c>
      <c r="AD7374" t="s">
        <v>42590</v>
      </c>
      <c r="AE7374">
        <v>2</v>
      </c>
      <c r="AF7374" t="s">
        <v>45541</v>
      </c>
      <c r="AG7374" t="s">
        <v>45556</v>
      </c>
      <c r="AH7374">
        <v>1</v>
      </c>
      <c r="AI7374">
        <v>1</v>
      </c>
      <c r="AJ7374">
        <v>3</v>
      </c>
      <c r="AK7374">
        <v>20.97</v>
      </c>
      <c r="AN7374" t="s">
        <v>7439</v>
      </c>
      <c r="AO7374">
        <v>5400</v>
      </c>
      <c r="AU7374">
        <v>1</v>
      </c>
      <c r="AV7374" t="s">
        <v>811</v>
      </c>
      <c r="AW7374" t="s">
        <v>46883</v>
      </c>
      <c r="AX7374" t="s">
        <v>46897</v>
      </c>
    </row>
    <row r="7375" spans="1:50">
      <c r="A7375" s="1">
        <f>HYPERLINK("https://lsnyc.legalserver.org/matter/dynamic-profile/view/1888210","19-1888210")</f>
        <v>0</v>
      </c>
      <c r="B7375" t="s">
        <v>130</v>
      </c>
      <c r="C7375" t="s">
        <v>341</v>
      </c>
      <c r="D7375" t="s">
        <v>726</v>
      </c>
      <c r="E7375" t="s">
        <v>771</v>
      </c>
      <c r="F7375" t="s">
        <v>3936</v>
      </c>
      <c r="G7375" t="s">
        <v>5086</v>
      </c>
      <c r="H7375" t="s">
        <v>14720</v>
      </c>
      <c r="I7375" t="s">
        <v>17415</v>
      </c>
      <c r="J7375" t="s">
        <v>18901</v>
      </c>
      <c r="K7375">
        <v>11433</v>
      </c>
      <c r="L7375" t="s">
        <v>18958</v>
      </c>
      <c r="M7375" t="s">
        <v>18958</v>
      </c>
      <c r="N7375" t="s">
        <v>24219</v>
      </c>
      <c r="O7375" t="s">
        <v>26524</v>
      </c>
      <c r="P7375" t="s">
        <v>26560</v>
      </c>
      <c r="Q7375" t="s">
        <v>26568</v>
      </c>
      <c r="R7375" t="s">
        <v>26585</v>
      </c>
      <c r="S7375" t="s">
        <v>18959</v>
      </c>
      <c r="U7375" t="s">
        <v>26604</v>
      </c>
      <c r="V7375" t="s">
        <v>26610</v>
      </c>
      <c r="W7375" t="s">
        <v>761</v>
      </c>
      <c r="X7375">
        <v>1500</v>
      </c>
      <c r="Y7375" t="s">
        <v>26653</v>
      </c>
      <c r="Z7375" t="s">
        <v>26668</v>
      </c>
      <c r="AA7375" t="s">
        <v>26679</v>
      </c>
      <c r="AB7375" t="s">
        <v>32225</v>
      </c>
      <c r="AD7375" t="s">
        <v>42591</v>
      </c>
      <c r="AE7375">
        <v>2</v>
      </c>
      <c r="AF7375" t="s">
        <v>45547</v>
      </c>
      <c r="AG7375" t="s">
        <v>19330</v>
      </c>
      <c r="AH7375">
        <v>5</v>
      </c>
      <c r="AI7375">
        <v>3</v>
      </c>
      <c r="AJ7375">
        <v>1</v>
      </c>
      <c r="AK7375">
        <v>157.65</v>
      </c>
      <c r="AN7375" t="s">
        <v>7439</v>
      </c>
      <c r="AO7375">
        <v>39571</v>
      </c>
      <c r="AQ7375" t="s">
        <v>46362</v>
      </c>
      <c r="AR7375" t="s">
        <v>26530</v>
      </c>
      <c r="AS7375" t="s">
        <v>46500</v>
      </c>
      <c r="AT7375" t="s">
        <v>46726</v>
      </c>
      <c r="AU7375">
        <v>7.8</v>
      </c>
      <c r="AV7375" t="s">
        <v>801</v>
      </c>
      <c r="AW7375" t="s">
        <v>85</v>
      </c>
    </row>
    <row r="7376" spans="1:50">
      <c r="A7376" s="1">
        <f>HYPERLINK("https://lsnyc.legalserver.org/matter/dynamic-profile/view/1893136","19-1893136")</f>
        <v>0</v>
      </c>
      <c r="B7376" t="s">
        <v>106</v>
      </c>
      <c r="C7376" t="s">
        <v>341</v>
      </c>
      <c r="D7376" t="s">
        <v>759</v>
      </c>
      <c r="E7376" t="s">
        <v>761</v>
      </c>
      <c r="F7376" t="s">
        <v>1246</v>
      </c>
      <c r="G7376" t="s">
        <v>8301</v>
      </c>
      <c r="H7376" t="s">
        <v>14721</v>
      </c>
      <c r="I7376" t="s">
        <v>17352</v>
      </c>
      <c r="J7376" t="s">
        <v>18894</v>
      </c>
      <c r="K7376">
        <v>11225</v>
      </c>
      <c r="L7376" t="s">
        <v>18958</v>
      </c>
      <c r="M7376" t="s">
        <v>18958</v>
      </c>
      <c r="N7376" t="s">
        <v>24220</v>
      </c>
      <c r="P7376" t="s">
        <v>26560</v>
      </c>
      <c r="Q7376" t="s">
        <v>26573</v>
      </c>
      <c r="R7376" t="s">
        <v>26586</v>
      </c>
      <c r="U7376" t="s">
        <v>26604</v>
      </c>
      <c r="W7376" t="s">
        <v>761</v>
      </c>
      <c r="X7376">
        <v>1955</v>
      </c>
      <c r="Y7376" t="s">
        <v>26652</v>
      </c>
      <c r="Z7376" t="s">
        <v>26669</v>
      </c>
      <c r="AA7376" t="s">
        <v>26678</v>
      </c>
      <c r="AB7376" t="s">
        <v>32226</v>
      </c>
      <c r="AD7376" t="s">
        <v>42592</v>
      </c>
      <c r="AE7376">
        <v>0</v>
      </c>
      <c r="AG7376" t="s">
        <v>19330</v>
      </c>
      <c r="AH7376">
        <v>5</v>
      </c>
      <c r="AI7376">
        <v>2</v>
      </c>
      <c r="AJ7376">
        <v>1</v>
      </c>
      <c r="AK7376">
        <v>225.04</v>
      </c>
      <c r="AN7376" t="s">
        <v>7439</v>
      </c>
      <c r="AO7376">
        <v>48000</v>
      </c>
      <c r="AS7376" t="s">
        <v>46499</v>
      </c>
      <c r="AT7376" t="s">
        <v>46785</v>
      </c>
      <c r="AU7376">
        <v>9.1</v>
      </c>
      <c r="AV7376" t="s">
        <v>762</v>
      </c>
      <c r="AW7376" t="s">
        <v>281</v>
      </c>
      <c r="AX7376" t="s">
        <v>46897</v>
      </c>
    </row>
    <row r="7377" spans="1:50">
      <c r="A7377" s="1">
        <f>HYPERLINK("https://lsnyc.legalserver.org/matter/dynamic-profile/view/1894712","19-1894712")</f>
        <v>0</v>
      </c>
      <c r="B7377" t="s">
        <v>126</v>
      </c>
      <c r="C7377" t="s">
        <v>340</v>
      </c>
      <c r="D7377" t="s">
        <v>787</v>
      </c>
      <c r="F7377" t="s">
        <v>3937</v>
      </c>
      <c r="G7377" t="s">
        <v>8302</v>
      </c>
      <c r="H7377" t="s">
        <v>14722</v>
      </c>
      <c r="I7377" t="s">
        <v>17578</v>
      </c>
      <c r="J7377" t="s">
        <v>18894</v>
      </c>
      <c r="K7377">
        <v>11207</v>
      </c>
      <c r="L7377" t="s">
        <v>18958</v>
      </c>
      <c r="M7377" t="s">
        <v>18960</v>
      </c>
      <c r="N7377" t="s">
        <v>24221</v>
      </c>
      <c r="O7377" t="s">
        <v>26524</v>
      </c>
      <c r="P7377" t="s">
        <v>26560</v>
      </c>
      <c r="R7377" t="s">
        <v>26578</v>
      </c>
      <c r="S7377" t="s">
        <v>18959</v>
      </c>
      <c r="U7377" t="s">
        <v>26604</v>
      </c>
      <c r="V7377" t="s">
        <v>26610</v>
      </c>
      <c r="W7377" t="s">
        <v>761</v>
      </c>
      <c r="X7377">
        <v>600</v>
      </c>
      <c r="Y7377" t="s">
        <v>26652</v>
      </c>
      <c r="Z7377" t="s">
        <v>26659</v>
      </c>
      <c r="AB7377" t="s">
        <v>32227</v>
      </c>
      <c r="AD7377" t="s">
        <v>42593</v>
      </c>
      <c r="AE7377">
        <v>3</v>
      </c>
      <c r="AG7377" t="s">
        <v>19330</v>
      </c>
      <c r="AH7377">
        <v>3</v>
      </c>
      <c r="AI7377">
        <v>1</v>
      </c>
      <c r="AJ7377">
        <v>0</v>
      </c>
      <c r="AK7377">
        <v>144.12</v>
      </c>
      <c r="AN7377" t="s">
        <v>7439</v>
      </c>
      <c r="AO7377">
        <v>18000</v>
      </c>
      <c r="AU7377">
        <v>18.9</v>
      </c>
      <c r="AV7377" t="s">
        <v>821</v>
      </c>
      <c r="AW7377" t="s">
        <v>46858</v>
      </c>
      <c r="AX7377" t="s">
        <v>46897</v>
      </c>
    </row>
    <row r="7378" spans="1:50">
      <c r="A7378" s="1">
        <f>HYPERLINK("https://lsnyc.legalserver.org/matter/dynamic-profile/view/1895050","19-1895050")</f>
        <v>0</v>
      </c>
      <c r="B7378" t="s">
        <v>90</v>
      </c>
      <c r="C7378" t="s">
        <v>341</v>
      </c>
      <c r="D7378" t="s">
        <v>695</v>
      </c>
      <c r="E7378" t="s">
        <v>838</v>
      </c>
      <c r="F7378" t="s">
        <v>1182</v>
      </c>
      <c r="G7378" t="s">
        <v>7482</v>
      </c>
      <c r="H7378" t="s">
        <v>10357</v>
      </c>
      <c r="I7378" t="s">
        <v>18462</v>
      </c>
      <c r="J7378" t="s">
        <v>18893</v>
      </c>
      <c r="K7378">
        <v>10029</v>
      </c>
      <c r="L7378" t="s">
        <v>18958</v>
      </c>
      <c r="M7378" t="s">
        <v>18958</v>
      </c>
      <c r="N7378" t="s">
        <v>24222</v>
      </c>
      <c r="O7378" t="s">
        <v>26524</v>
      </c>
      <c r="P7378" t="s">
        <v>26564</v>
      </c>
      <c r="Q7378" t="s">
        <v>26570</v>
      </c>
      <c r="R7378" t="s">
        <v>26578</v>
      </c>
      <c r="S7378" t="s">
        <v>18959</v>
      </c>
      <c r="U7378" t="s">
        <v>26604</v>
      </c>
      <c r="V7378" t="s">
        <v>26610</v>
      </c>
      <c r="W7378" t="s">
        <v>761</v>
      </c>
      <c r="X7378">
        <v>2210</v>
      </c>
      <c r="Y7378" t="s">
        <v>26651</v>
      </c>
      <c r="Z7378" t="s">
        <v>26672</v>
      </c>
      <c r="AA7378" t="s">
        <v>26683</v>
      </c>
      <c r="AB7378" t="s">
        <v>28592</v>
      </c>
      <c r="AC7378" t="s">
        <v>36322</v>
      </c>
      <c r="AD7378" t="s">
        <v>42594</v>
      </c>
      <c r="AE7378">
        <v>130</v>
      </c>
      <c r="AF7378" t="s">
        <v>45547</v>
      </c>
      <c r="AG7378" t="s">
        <v>45556</v>
      </c>
      <c r="AH7378">
        <v>30</v>
      </c>
      <c r="AI7378">
        <v>2</v>
      </c>
      <c r="AJ7378">
        <v>0</v>
      </c>
      <c r="AK7378">
        <v>117.16</v>
      </c>
      <c r="AN7378" t="s">
        <v>7439</v>
      </c>
      <c r="AO7378">
        <v>19812</v>
      </c>
      <c r="AU7378">
        <v>6.3</v>
      </c>
      <c r="AV7378" t="s">
        <v>773</v>
      </c>
      <c r="AW7378" t="s">
        <v>46846</v>
      </c>
      <c r="AX7378" t="s">
        <v>46897</v>
      </c>
    </row>
    <row r="7379" spans="1:50">
      <c r="A7379" s="1">
        <f>HYPERLINK("https://lsnyc.legalserver.org/matter/dynamic-profile/view/1896058","19-1896058")</f>
        <v>0</v>
      </c>
      <c r="B7379" t="s">
        <v>269</v>
      </c>
      <c r="C7379" t="s">
        <v>341</v>
      </c>
      <c r="D7379" t="s">
        <v>800</v>
      </c>
      <c r="E7379" t="s">
        <v>839</v>
      </c>
      <c r="F7379" t="s">
        <v>953</v>
      </c>
      <c r="G7379" t="s">
        <v>5515</v>
      </c>
      <c r="H7379" t="s">
        <v>14723</v>
      </c>
      <c r="I7379" t="s">
        <v>17277</v>
      </c>
      <c r="J7379" t="s">
        <v>18892</v>
      </c>
      <c r="K7379">
        <v>10458</v>
      </c>
      <c r="L7379" t="s">
        <v>18958</v>
      </c>
      <c r="M7379" t="s">
        <v>18958</v>
      </c>
      <c r="N7379" t="s">
        <v>24223</v>
      </c>
      <c r="O7379" t="s">
        <v>26523</v>
      </c>
      <c r="P7379" t="s">
        <v>26560</v>
      </c>
      <c r="Q7379" t="s">
        <v>26568</v>
      </c>
      <c r="R7379" t="s">
        <v>26577</v>
      </c>
      <c r="S7379" t="s">
        <v>18959</v>
      </c>
      <c r="U7379" t="s">
        <v>26604</v>
      </c>
      <c r="V7379" t="s">
        <v>26609</v>
      </c>
      <c r="W7379" t="s">
        <v>761</v>
      </c>
      <c r="X7379">
        <v>1800</v>
      </c>
      <c r="Y7379" t="s">
        <v>26650</v>
      </c>
      <c r="Z7379" t="s">
        <v>26668</v>
      </c>
      <c r="AA7379" t="s">
        <v>26678</v>
      </c>
      <c r="AB7379" t="s">
        <v>32228</v>
      </c>
      <c r="AD7379" t="s">
        <v>42595</v>
      </c>
      <c r="AE7379">
        <v>55</v>
      </c>
      <c r="AF7379" t="s">
        <v>45541</v>
      </c>
      <c r="AG7379" t="s">
        <v>19330</v>
      </c>
      <c r="AH7379">
        <v>1</v>
      </c>
      <c r="AI7379">
        <v>2</v>
      </c>
      <c r="AJ7379">
        <v>2</v>
      </c>
      <c r="AK7379">
        <v>171.65</v>
      </c>
      <c r="AN7379" t="s">
        <v>45581</v>
      </c>
      <c r="AO7379">
        <v>44200</v>
      </c>
      <c r="AQ7379" t="s">
        <v>46362</v>
      </c>
      <c r="AR7379" t="s">
        <v>46379</v>
      </c>
      <c r="AS7379" t="s">
        <v>46499</v>
      </c>
      <c r="AT7379" t="s">
        <v>46786</v>
      </c>
      <c r="AU7379">
        <v>7.85</v>
      </c>
      <c r="AV7379" t="s">
        <v>835</v>
      </c>
      <c r="AW7379" t="s">
        <v>46847</v>
      </c>
      <c r="AX7379" t="s">
        <v>46897</v>
      </c>
    </row>
    <row r="7380" spans="1:50">
      <c r="A7380" s="1">
        <f>HYPERLINK("https://lsnyc.legalserver.org/matter/dynamic-profile/view/1896163","19-1896163")</f>
        <v>0</v>
      </c>
      <c r="B7380" t="s">
        <v>169</v>
      </c>
      <c r="C7380" t="s">
        <v>341</v>
      </c>
      <c r="D7380" t="s">
        <v>792</v>
      </c>
      <c r="E7380" t="s">
        <v>810</v>
      </c>
      <c r="F7380" t="s">
        <v>3938</v>
      </c>
      <c r="G7380" t="s">
        <v>6684</v>
      </c>
      <c r="H7380" t="s">
        <v>14724</v>
      </c>
      <c r="I7380" t="s">
        <v>17347</v>
      </c>
      <c r="J7380" t="s">
        <v>18892</v>
      </c>
      <c r="K7380">
        <v>10459</v>
      </c>
      <c r="L7380" t="s">
        <v>18958</v>
      </c>
      <c r="M7380" t="s">
        <v>18958</v>
      </c>
      <c r="N7380" t="s">
        <v>24224</v>
      </c>
      <c r="O7380" t="s">
        <v>26523</v>
      </c>
      <c r="P7380" t="s">
        <v>26564</v>
      </c>
      <c r="Q7380" t="s">
        <v>26570</v>
      </c>
      <c r="R7380" t="s">
        <v>26578</v>
      </c>
      <c r="S7380" t="s">
        <v>18959</v>
      </c>
      <c r="U7380" t="s">
        <v>26604</v>
      </c>
      <c r="V7380" t="s">
        <v>26612</v>
      </c>
      <c r="W7380" t="s">
        <v>761</v>
      </c>
      <c r="X7380">
        <v>1475.44</v>
      </c>
      <c r="Y7380" t="s">
        <v>26650</v>
      </c>
      <c r="Z7380" t="s">
        <v>26530</v>
      </c>
      <c r="AA7380" t="s">
        <v>26683</v>
      </c>
      <c r="AB7380" t="s">
        <v>28108</v>
      </c>
      <c r="AC7380" t="s">
        <v>36323</v>
      </c>
      <c r="AD7380" t="s">
        <v>42596</v>
      </c>
      <c r="AE7380">
        <v>30</v>
      </c>
      <c r="AF7380" t="s">
        <v>20460</v>
      </c>
      <c r="AG7380" t="s">
        <v>45557</v>
      </c>
      <c r="AH7380">
        <v>5</v>
      </c>
      <c r="AI7380">
        <v>1</v>
      </c>
      <c r="AJ7380">
        <v>5</v>
      </c>
      <c r="AK7380">
        <v>65.78</v>
      </c>
      <c r="AN7380" t="s">
        <v>7439</v>
      </c>
      <c r="AO7380">
        <v>22752</v>
      </c>
      <c r="AU7380">
        <v>6.5</v>
      </c>
      <c r="AV7380" t="s">
        <v>810</v>
      </c>
      <c r="AW7380" t="s">
        <v>46846</v>
      </c>
      <c r="AX7380" t="s">
        <v>46898</v>
      </c>
    </row>
    <row r="7381" spans="1:50">
      <c r="A7381" s="1">
        <f>HYPERLINK("https://lsnyc.legalserver.org/matter/dynamic-profile/view/1897280","19-1897280")</f>
        <v>0</v>
      </c>
      <c r="B7381" t="s">
        <v>58</v>
      </c>
      <c r="C7381" t="s">
        <v>341</v>
      </c>
      <c r="D7381" t="s">
        <v>761</v>
      </c>
      <c r="E7381" t="s">
        <v>772</v>
      </c>
      <c r="F7381" t="s">
        <v>1182</v>
      </c>
      <c r="G7381" t="s">
        <v>8303</v>
      </c>
      <c r="H7381" t="s">
        <v>14725</v>
      </c>
      <c r="I7381">
        <v>45</v>
      </c>
      <c r="J7381" t="s">
        <v>18892</v>
      </c>
      <c r="K7381">
        <v>10467</v>
      </c>
      <c r="L7381" t="s">
        <v>18958</v>
      </c>
      <c r="M7381" t="s">
        <v>18958</v>
      </c>
      <c r="N7381" t="s">
        <v>24225</v>
      </c>
      <c r="O7381" t="s">
        <v>26523</v>
      </c>
      <c r="P7381" t="s">
        <v>26560</v>
      </c>
      <c r="Q7381" t="s">
        <v>26568</v>
      </c>
      <c r="R7381" t="s">
        <v>26579</v>
      </c>
      <c r="U7381" t="s">
        <v>26604</v>
      </c>
      <c r="V7381" t="s">
        <v>26614</v>
      </c>
      <c r="W7381" t="s">
        <v>761</v>
      </c>
      <c r="X7381">
        <v>1021.35</v>
      </c>
      <c r="Y7381" t="s">
        <v>26650</v>
      </c>
      <c r="AA7381" t="s">
        <v>26678</v>
      </c>
      <c r="AB7381" t="s">
        <v>32229</v>
      </c>
      <c r="AD7381" t="s">
        <v>42597</v>
      </c>
      <c r="AE7381">
        <v>20</v>
      </c>
      <c r="AH7381">
        <v>29</v>
      </c>
      <c r="AI7381">
        <v>1</v>
      </c>
      <c r="AJ7381">
        <v>0</v>
      </c>
      <c r="AK7381">
        <v>512.41</v>
      </c>
      <c r="AN7381" t="s">
        <v>7439</v>
      </c>
      <c r="AO7381">
        <v>64000</v>
      </c>
      <c r="AS7381" t="s">
        <v>46499</v>
      </c>
      <c r="AU7381">
        <v>9.050000000000001</v>
      </c>
      <c r="AV7381" t="s">
        <v>772</v>
      </c>
      <c r="AW7381" t="s">
        <v>46867</v>
      </c>
      <c r="AX7381" t="s">
        <v>46897</v>
      </c>
    </row>
    <row r="7382" spans="1:50">
      <c r="A7382" s="1">
        <f>HYPERLINK("https://lsnyc.legalserver.org/matter/dynamic-profile/view/1897307","19-1897307")</f>
        <v>0</v>
      </c>
      <c r="B7382" t="s">
        <v>113</v>
      </c>
      <c r="C7382" t="s">
        <v>341</v>
      </c>
      <c r="D7382" t="s">
        <v>761</v>
      </c>
      <c r="E7382" t="s">
        <v>797</v>
      </c>
      <c r="F7382" t="s">
        <v>3939</v>
      </c>
      <c r="G7382" t="s">
        <v>5419</v>
      </c>
      <c r="H7382" t="s">
        <v>14726</v>
      </c>
      <c r="I7382" t="s">
        <v>17327</v>
      </c>
      <c r="J7382" t="s">
        <v>18892</v>
      </c>
      <c r="K7382">
        <v>10452</v>
      </c>
      <c r="L7382" t="s">
        <v>18958</v>
      </c>
      <c r="M7382" t="s">
        <v>18958</v>
      </c>
      <c r="N7382" t="s">
        <v>24226</v>
      </c>
      <c r="O7382" t="s">
        <v>26523</v>
      </c>
      <c r="P7382" t="s">
        <v>26565</v>
      </c>
      <c r="Q7382" t="s">
        <v>26571</v>
      </c>
      <c r="R7382" t="s">
        <v>26578</v>
      </c>
      <c r="S7382" t="s">
        <v>18959</v>
      </c>
      <c r="U7382" t="s">
        <v>26604</v>
      </c>
      <c r="V7382" t="s">
        <v>26610</v>
      </c>
      <c r="W7382" t="s">
        <v>761</v>
      </c>
      <c r="X7382">
        <v>1716.62</v>
      </c>
      <c r="Y7382" t="s">
        <v>26650</v>
      </c>
      <c r="Z7382" t="s">
        <v>26661</v>
      </c>
      <c r="AA7382" t="s">
        <v>26682</v>
      </c>
      <c r="AB7382" t="s">
        <v>32230</v>
      </c>
      <c r="AD7382" t="s">
        <v>42598</v>
      </c>
      <c r="AE7382">
        <v>89</v>
      </c>
      <c r="AF7382" t="s">
        <v>45541</v>
      </c>
      <c r="AG7382" t="s">
        <v>45561</v>
      </c>
      <c r="AH7382">
        <v>6</v>
      </c>
      <c r="AI7382">
        <v>2</v>
      </c>
      <c r="AJ7382">
        <v>0</v>
      </c>
      <c r="AK7382">
        <v>31.52</v>
      </c>
      <c r="AN7382" t="s">
        <v>7439</v>
      </c>
      <c r="AO7382">
        <v>5330</v>
      </c>
      <c r="AU7382">
        <v>1.4</v>
      </c>
      <c r="AV7382" t="s">
        <v>823</v>
      </c>
      <c r="AW7382" t="s">
        <v>113</v>
      </c>
      <c r="AX7382" t="s">
        <v>46897</v>
      </c>
    </row>
    <row r="7383" spans="1:50">
      <c r="A7383" s="1">
        <f>HYPERLINK("https://lsnyc.legalserver.org/matter/dynamic-profile/view/1897363","19-1897363")</f>
        <v>0</v>
      </c>
      <c r="B7383" t="s">
        <v>162</v>
      </c>
      <c r="C7383" t="s">
        <v>341</v>
      </c>
      <c r="D7383" t="s">
        <v>761</v>
      </c>
      <c r="E7383" t="s">
        <v>819</v>
      </c>
      <c r="F7383" t="s">
        <v>1758</v>
      </c>
      <c r="G7383" t="s">
        <v>8304</v>
      </c>
      <c r="H7383" t="s">
        <v>14727</v>
      </c>
      <c r="I7383">
        <v>4</v>
      </c>
      <c r="J7383" t="s">
        <v>18894</v>
      </c>
      <c r="K7383">
        <v>11201</v>
      </c>
      <c r="L7383" t="s">
        <v>18958</v>
      </c>
      <c r="M7383" t="s">
        <v>18958</v>
      </c>
      <c r="N7383" t="s">
        <v>24227</v>
      </c>
      <c r="O7383" t="s">
        <v>26533</v>
      </c>
      <c r="P7383" t="s">
        <v>26560</v>
      </c>
      <c r="Q7383" t="s">
        <v>26569</v>
      </c>
      <c r="R7383" t="s">
        <v>26586</v>
      </c>
      <c r="U7383" t="s">
        <v>26604</v>
      </c>
      <c r="W7383" t="s">
        <v>761</v>
      </c>
      <c r="X7383">
        <v>1303</v>
      </c>
      <c r="Y7383" t="s">
        <v>26652</v>
      </c>
      <c r="Z7383" t="s">
        <v>26664</v>
      </c>
      <c r="AA7383" t="s">
        <v>26687</v>
      </c>
      <c r="AB7383" t="s">
        <v>32231</v>
      </c>
      <c r="AD7383" t="s">
        <v>42599</v>
      </c>
      <c r="AE7383">
        <v>5</v>
      </c>
      <c r="AF7383" t="s">
        <v>45541</v>
      </c>
      <c r="AH7383">
        <v>0</v>
      </c>
      <c r="AI7383">
        <v>1</v>
      </c>
      <c r="AJ7383">
        <v>1</v>
      </c>
      <c r="AK7383">
        <v>151.3</v>
      </c>
      <c r="AN7383" t="s">
        <v>7439</v>
      </c>
      <c r="AO7383">
        <v>25584</v>
      </c>
      <c r="AU7383">
        <v>3.8</v>
      </c>
      <c r="AV7383" t="s">
        <v>801</v>
      </c>
      <c r="AW7383" t="s">
        <v>46856</v>
      </c>
      <c r="AX7383" t="s">
        <v>46897</v>
      </c>
    </row>
    <row r="7384" spans="1:50">
      <c r="A7384" s="1">
        <f>HYPERLINK("https://lsnyc.legalserver.org/matter/dynamic-profile/view/1897295","19-1897295")</f>
        <v>0</v>
      </c>
      <c r="B7384" t="s">
        <v>214</v>
      </c>
      <c r="C7384" t="s">
        <v>341</v>
      </c>
      <c r="D7384" t="s">
        <v>761</v>
      </c>
      <c r="E7384" t="s">
        <v>817</v>
      </c>
      <c r="F7384" t="s">
        <v>2979</v>
      </c>
      <c r="G7384" t="s">
        <v>8305</v>
      </c>
      <c r="H7384" t="s">
        <v>12501</v>
      </c>
      <c r="I7384" t="s">
        <v>17798</v>
      </c>
      <c r="J7384" t="s">
        <v>18901</v>
      </c>
      <c r="K7384">
        <v>11434</v>
      </c>
      <c r="L7384" t="s">
        <v>18958</v>
      </c>
      <c r="M7384" t="s">
        <v>18958</v>
      </c>
      <c r="N7384" t="s">
        <v>24228</v>
      </c>
      <c r="O7384" t="s">
        <v>26523</v>
      </c>
      <c r="P7384" t="s">
        <v>26560</v>
      </c>
      <c r="Q7384" t="s">
        <v>26568</v>
      </c>
      <c r="R7384" t="s">
        <v>26585</v>
      </c>
      <c r="S7384" t="s">
        <v>18959</v>
      </c>
      <c r="U7384" t="s">
        <v>26604</v>
      </c>
      <c r="V7384" t="s">
        <v>26610</v>
      </c>
      <c r="W7384" t="s">
        <v>761</v>
      </c>
      <c r="X7384">
        <v>671</v>
      </c>
      <c r="Y7384" t="s">
        <v>26653</v>
      </c>
      <c r="Z7384" t="s">
        <v>26668</v>
      </c>
      <c r="AA7384" t="s">
        <v>26680</v>
      </c>
      <c r="AB7384" t="s">
        <v>32232</v>
      </c>
      <c r="AC7384" t="s">
        <v>36324</v>
      </c>
      <c r="AD7384" t="s">
        <v>42600</v>
      </c>
      <c r="AE7384">
        <v>602</v>
      </c>
      <c r="AF7384" t="s">
        <v>45549</v>
      </c>
      <c r="AG7384" t="s">
        <v>19330</v>
      </c>
      <c r="AH7384">
        <v>2</v>
      </c>
      <c r="AI7384">
        <v>1</v>
      </c>
      <c r="AJ7384">
        <v>2</v>
      </c>
      <c r="AK7384">
        <v>159.32</v>
      </c>
      <c r="AN7384" t="s">
        <v>7439</v>
      </c>
      <c r="AO7384">
        <v>33984</v>
      </c>
      <c r="AR7384" t="s">
        <v>46380</v>
      </c>
      <c r="AS7384" t="s">
        <v>46499</v>
      </c>
      <c r="AT7384" t="s">
        <v>46762</v>
      </c>
      <c r="AU7384">
        <v>4.7</v>
      </c>
      <c r="AV7384" t="s">
        <v>797</v>
      </c>
      <c r="AW7384" t="s">
        <v>46858</v>
      </c>
      <c r="AX7384" t="s">
        <v>46898</v>
      </c>
    </row>
    <row r="7385" spans="1:50">
      <c r="A7385" s="1">
        <f>HYPERLINK("https://lsnyc.legalserver.org/matter/dynamic-profile/view/1897283","19-1897283")</f>
        <v>0</v>
      </c>
      <c r="B7385" t="s">
        <v>50</v>
      </c>
      <c r="C7385" t="s">
        <v>341</v>
      </c>
      <c r="D7385" t="s">
        <v>761</v>
      </c>
      <c r="E7385" t="s">
        <v>839</v>
      </c>
      <c r="F7385" t="s">
        <v>2109</v>
      </c>
      <c r="G7385" t="s">
        <v>8306</v>
      </c>
      <c r="H7385" t="s">
        <v>14728</v>
      </c>
      <c r="I7385" t="s">
        <v>17342</v>
      </c>
      <c r="J7385" t="s">
        <v>18892</v>
      </c>
      <c r="K7385">
        <v>10468</v>
      </c>
      <c r="L7385" t="s">
        <v>18958</v>
      </c>
      <c r="M7385" t="s">
        <v>18958</v>
      </c>
      <c r="N7385" t="s">
        <v>24229</v>
      </c>
      <c r="O7385" t="s">
        <v>26524</v>
      </c>
      <c r="P7385" t="s">
        <v>26560</v>
      </c>
      <c r="Q7385" t="s">
        <v>26568</v>
      </c>
      <c r="R7385" t="s">
        <v>26579</v>
      </c>
      <c r="S7385" t="s">
        <v>18959</v>
      </c>
      <c r="U7385" t="s">
        <v>26604</v>
      </c>
      <c r="W7385" t="s">
        <v>761</v>
      </c>
      <c r="X7385">
        <v>832</v>
      </c>
      <c r="Y7385" t="s">
        <v>26650</v>
      </c>
      <c r="Z7385" t="s">
        <v>26664</v>
      </c>
      <c r="AA7385" t="s">
        <v>26678</v>
      </c>
      <c r="AB7385" t="s">
        <v>32233</v>
      </c>
      <c r="AC7385" t="s">
        <v>36325</v>
      </c>
      <c r="AD7385" t="s">
        <v>42601</v>
      </c>
      <c r="AE7385">
        <v>74</v>
      </c>
      <c r="AF7385" t="s">
        <v>45553</v>
      </c>
      <c r="AG7385" t="s">
        <v>19330</v>
      </c>
      <c r="AH7385">
        <v>20</v>
      </c>
      <c r="AI7385">
        <v>2</v>
      </c>
      <c r="AJ7385">
        <v>0</v>
      </c>
      <c r="AK7385">
        <v>92.25</v>
      </c>
      <c r="AN7385" t="s">
        <v>7439</v>
      </c>
      <c r="AO7385">
        <v>15600</v>
      </c>
      <c r="AS7385" t="s">
        <v>46499</v>
      </c>
      <c r="AU7385">
        <v>8</v>
      </c>
      <c r="AV7385" t="s">
        <v>839</v>
      </c>
      <c r="AW7385" t="s">
        <v>46870</v>
      </c>
    </row>
    <row r="7386" spans="1:50">
      <c r="A7386" s="1">
        <f>HYPERLINK("https://lsnyc.legalserver.org/matter/dynamic-profile/view/1897282","19-1897282")</f>
        <v>0</v>
      </c>
      <c r="B7386" t="s">
        <v>235</v>
      </c>
      <c r="C7386" t="s">
        <v>341</v>
      </c>
      <c r="D7386" t="s">
        <v>761</v>
      </c>
      <c r="E7386" t="s">
        <v>797</v>
      </c>
      <c r="F7386" t="s">
        <v>1429</v>
      </c>
      <c r="G7386" t="s">
        <v>8307</v>
      </c>
      <c r="H7386" t="s">
        <v>14729</v>
      </c>
      <c r="I7386" t="s">
        <v>17298</v>
      </c>
      <c r="J7386" t="s">
        <v>18901</v>
      </c>
      <c r="K7386">
        <v>11433</v>
      </c>
      <c r="L7386" t="s">
        <v>18958</v>
      </c>
      <c r="M7386" t="s">
        <v>18958</v>
      </c>
      <c r="N7386" t="s">
        <v>24230</v>
      </c>
      <c r="O7386" t="s">
        <v>26523</v>
      </c>
      <c r="P7386" t="s">
        <v>26560</v>
      </c>
      <c r="Q7386" t="s">
        <v>26568</v>
      </c>
      <c r="R7386" t="s">
        <v>26585</v>
      </c>
      <c r="S7386" t="s">
        <v>18959</v>
      </c>
      <c r="U7386" t="s">
        <v>26605</v>
      </c>
      <c r="V7386" t="s">
        <v>26610</v>
      </c>
      <c r="W7386" t="s">
        <v>761</v>
      </c>
      <c r="X7386">
        <v>751</v>
      </c>
      <c r="Y7386" t="s">
        <v>26653</v>
      </c>
      <c r="Z7386" t="s">
        <v>26668</v>
      </c>
      <c r="AA7386" t="s">
        <v>26680</v>
      </c>
      <c r="AB7386" t="s">
        <v>32234</v>
      </c>
      <c r="AD7386" t="s">
        <v>42602</v>
      </c>
      <c r="AE7386">
        <v>56</v>
      </c>
      <c r="AF7386" t="s">
        <v>45549</v>
      </c>
      <c r="AG7386" t="s">
        <v>26530</v>
      </c>
      <c r="AH7386">
        <v>14</v>
      </c>
      <c r="AI7386">
        <v>2</v>
      </c>
      <c r="AJ7386">
        <v>3</v>
      </c>
      <c r="AK7386">
        <v>0</v>
      </c>
      <c r="AN7386" t="s">
        <v>7439</v>
      </c>
      <c r="AO7386">
        <v>0</v>
      </c>
      <c r="AQ7386" t="s">
        <v>46362</v>
      </c>
      <c r="AR7386" t="s">
        <v>46379</v>
      </c>
      <c r="AS7386" t="s">
        <v>46499</v>
      </c>
      <c r="AT7386" t="s">
        <v>46743</v>
      </c>
      <c r="AU7386">
        <v>7.65</v>
      </c>
      <c r="AV7386" t="s">
        <v>797</v>
      </c>
      <c r="AW7386" t="s">
        <v>46841</v>
      </c>
      <c r="AX7386" t="s">
        <v>46897</v>
      </c>
    </row>
    <row r="7387" spans="1:50">
      <c r="A7387" s="1">
        <f>HYPERLINK("https://lsnyc.legalserver.org/matter/dynamic-profile/view/1897285","19-1897285")</f>
        <v>0</v>
      </c>
      <c r="B7387" t="s">
        <v>107</v>
      </c>
      <c r="C7387" t="s">
        <v>340</v>
      </c>
      <c r="D7387" t="s">
        <v>761</v>
      </c>
      <c r="F7387" t="s">
        <v>1106</v>
      </c>
      <c r="G7387" t="s">
        <v>5664</v>
      </c>
      <c r="H7387" t="s">
        <v>12317</v>
      </c>
      <c r="I7387" t="s">
        <v>17410</v>
      </c>
      <c r="J7387" t="s">
        <v>18901</v>
      </c>
      <c r="K7387">
        <v>11434</v>
      </c>
      <c r="L7387" t="s">
        <v>18959</v>
      </c>
      <c r="M7387" t="s">
        <v>18958</v>
      </c>
      <c r="N7387" t="s">
        <v>24231</v>
      </c>
      <c r="O7387" t="s">
        <v>26523</v>
      </c>
      <c r="P7387" t="s">
        <v>26560</v>
      </c>
      <c r="R7387" t="s">
        <v>26591</v>
      </c>
      <c r="S7387" t="s">
        <v>18959</v>
      </c>
      <c r="U7387" t="s">
        <v>26604</v>
      </c>
      <c r="V7387" t="s">
        <v>26610</v>
      </c>
      <c r="W7387" t="s">
        <v>761</v>
      </c>
      <c r="X7387">
        <v>476</v>
      </c>
      <c r="Y7387" t="s">
        <v>26653</v>
      </c>
      <c r="Z7387" t="s">
        <v>26659</v>
      </c>
      <c r="AB7387" t="s">
        <v>27549</v>
      </c>
      <c r="AD7387" t="s">
        <v>42603</v>
      </c>
      <c r="AE7387">
        <v>602</v>
      </c>
      <c r="AF7387" t="s">
        <v>45549</v>
      </c>
      <c r="AG7387" t="s">
        <v>19330</v>
      </c>
      <c r="AH7387">
        <v>17</v>
      </c>
      <c r="AI7387">
        <v>1</v>
      </c>
      <c r="AJ7387">
        <v>0</v>
      </c>
      <c r="AK7387">
        <v>74.08</v>
      </c>
      <c r="AN7387" t="s">
        <v>7439</v>
      </c>
      <c r="AO7387">
        <v>9252</v>
      </c>
      <c r="AU7387">
        <v>4.8</v>
      </c>
      <c r="AV7387" t="s">
        <v>839</v>
      </c>
      <c r="AW7387" t="s">
        <v>46858</v>
      </c>
    </row>
    <row r="7388" spans="1:50">
      <c r="A7388" s="1">
        <f>HYPERLINK("https://lsnyc.legalserver.org/matter/dynamic-profile/view/1897396","19-1897396")</f>
        <v>0</v>
      </c>
      <c r="B7388" t="s">
        <v>167</v>
      </c>
      <c r="C7388" t="s">
        <v>340</v>
      </c>
      <c r="D7388" t="s">
        <v>761</v>
      </c>
      <c r="F7388" t="s">
        <v>3940</v>
      </c>
      <c r="G7388" t="s">
        <v>5269</v>
      </c>
      <c r="H7388" t="s">
        <v>14730</v>
      </c>
      <c r="I7388" t="s">
        <v>18463</v>
      </c>
      <c r="J7388" t="s">
        <v>18894</v>
      </c>
      <c r="K7388">
        <v>11207</v>
      </c>
      <c r="L7388" t="s">
        <v>18958</v>
      </c>
      <c r="M7388" t="s">
        <v>18958</v>
      </c>
      <c r="N7388" t="s">
        <v>24232</v>
      </c>
      <c r="O7388" t="s">
        <v>26525</v>
      </c>
      <c r="P7388" t="s">
        <v>26563</v>
      </c>
      <c r="R7388" t="s">
        <v>26586</v>
      </c>
      <c r="U7388" t="s">
        <v>26605</v>
      </c>
      <c r="W7388" t="s">
        <v>761</v>
      </c>
      <c r="X7388">
        <v>283</v>
      </c>
      <c r="Y7388" t="s">
        <v>26652</v>
      </c>
      <c r="Z7388" t="s">
        <v>26668</v>
      </c>
      <c r="AB7388" t="s">
        <v>32235</v>
      </c>
      <c r="AD7388" t="s">
        <v>42604</v>
      </c>
      <c r="AE7388">
        <v>16</v>
      </c>
      <c r="AF7388" t="s">
        <v>45542</v>
      </c>
      <c r="AH7388">
        <v>18</v>
      </c>
      <c r="AI7388">
        <v>1</v>
      </c>
      <c r="AJ7388">
        <v>0</v>
      </c>
      <c r="AK7388">
        <v>0</v>
      </c>
      <c r="AN7388" t="s">
        <v>7439</v>
      </c>
      <c r="AO7388">
        <v>0</v>
      </c>
      <c r="AU7388">
        <v>0</v>
      </c>
      <c r="AW7388" t="s">
        <v>46856</v>
      </c>
    </row>
    <row r="7389" spans="1:50">
      <c r="A7389" s="1">
        <f>HYPERLINK("https://lsnyc.legalserver.org/matter/dynamic-profile/view/1897318","19-1897318")</f>
        <v>0</v>
      </c>
      <c r="B7389" t="s">
        <v>251</v>
      </c>
      <c r="C7389" t="s">
        <v>340</v>
      </c>
      <c r="D7389" t="s">
        <v>761</v>
      </c>
      <c r="F7389" t="s">
        <v>2949</v>
      </c>
      <c r="G7389" t="s">
        <v>8308</v>
      </c>
      <c r="H7389" t="s">
        <v>14731</v>
      </c>
      <c r="I7389">
        <v>3</v>
      </c>
      <c r="J7389" t="s">
        <v>18892</v>
      </c>
      <c r="K7389">
        <v>10467</v>
      </c>
      <c r="L7389" t="s">
        <v>18958</v>
      </c>
      <c r="M7389" t="s">
        <v>18958</v>
      </c>
      <c r="N7389" t="s">
        <v>24233</v>
      </c>
      <c r="O7389" t="s">
        <v>26524</v>
      </c>
      <c r="P7389" t="s">
        <v>26560</v>
      </c>
      <c r="R7389" t="s">
        <v>26579</v>
      </c>
      <c r="U7389" t="s">
        <v>26604</v>
      </c>
      <c r="V7389" t="s">
        <v>26610</v>
      </c>
      <c r="W7389" t="s">
        <v>761</v>
      </c>
      <c r="X7389">
        <v>1200</v>
      </c>
      <c r="Y7389" t="s">
        <v>26650</v>
      </c>
      <c r="Z7389" t="s">
        <v>26664</v>
      </c>
      <c r="AB7389" t="s">
        <v>30350</v>
      </c>
      <c r="AC7389" t="s">
        <v>36326</v>
      </c>
      <c r="AD7389" t="s">
        <v>42605</v>
      </c>
      <c r="AE7389">
        <v>0</v>
      </c>
      <c r="AF7389" t="s">
        <v>45547</v>
      </c>
      <c r="AG7389" t="s">
        <v>45557</v>
      </c>
      <c r="AH7389">
        <v>4</v>
      </c>
      <c r="AI7389">
        <v>1</v>
      </c>
      <c r="AJ7389">
        <v>4</v>
      </c>
      <c r="AK7389">
        <v>77.56</v>
      </c>
      <c r="AN7389" t="s">
        <v>7439</v>
      </c>
      <c r="AO7389">
        <v>23400</v>
      </c>
      <c r="AU7389">
        <v>8.199999999999999</v>
      </c>
      <c r="AV7389" t="s">
        <v>833</v>
      </c>
      <c r="AW7389" t="s">
        <v>334</v>
      </c>
      <c r="AX7389" t="s">
        <v>46898</v>
      </c>
    </row>
    <row r="7390" spans="1:50">
      <c r="A7390" s="1">
        <f>HYPERLINK("https://lsnyc.legalserver.org/matter/dynamic-profile/view/1897336","19-1897336")</f>
        <v>0</v>
      </c>
      <c r="B7390" t="s">
        <v>294</v>
      </c>
      <c r="C7390" t="s">
        <v>340</v>
      </c>
      <c r="D7390" t="s">
        <v>761</v>
      </c>
      <c r="F7390" t="s">
        <v>900</v>
      </c>
      <c r="G7390" t="s">
        <v>8309</v>
      </c>
      <c r="H7390" t="s">
        <v>14732</v>
      </c>
      <c r="I7390" t="s">
        <v>17332</v>
      </c>
      <c r="J7390" t="s">
        <v>18909</v>
      </c>
      <c r="K7390">
        <v>11101</v>
      </c>
      <c r="L7390" t="s">
        <v>18958</v>
      </c>
      <c r="M7390" t="s">
        <v>18958</v>
      </c>
      <c r="N7390" t="s">
        <v>24234</v>
      </c>
      <c r="O7390" t="s">
        <v>26524</v>
      </c>
      <c r="P7390" t="s">
        <v>26560</v>
      </c>
      <c r="R7390" t="s">
        <v>26578</v>
      </c>
      <c r="S7390" t="s">
        <v>18959</v>
      </c>
      <c r="U7390" t="s">
        <v>26604</v>
      </c>
      <c r="W7390" t="s">
        <v>761</v>
      </c>
      <c r="X7390">
        <v>1311</v>
      </c>
      <c r="Y7390" t="s">
        <v>26653</v>
      </c>
      <c r="Z7390" t="s">
        <v>26664</v>
      </c>
      <c r="AB7390" t="s">
        <v>31854</v>
      </c>
      <c r="AD7390" t="s">
        <v>42606</v>
      </c>
      <c r="AE7390">
        <v>0</v>
      </c>
      <c r="AF7390" t="s">
        <v>45541</v>
      </c>
      <c r="AG7390" t="s">
        <v>19330</v>
      </c>
      <c r="AH7390">
        <v>21</v>
      </c>
      <c r="AI7390">
        <v>2</v>
      </c>
      <c r="AJ7390">
        <v>1</v>
      </c>
      <c r="AK7390">
        <v>117.21</v>
      </c>
      <c r="AN7390" t="s">
        <v>7439</v>
      </c>
      <c r="AO7390">
        <v>25000</v>
      </c>
      <c r="AU7390">
        <v>7.45</v>
      </c>
      <c r="AV7390" t="s">
        <v>838</v>
      </c>
      <c r="AW7390" t="s">
        <v>208</v>
      </c>
    </row>
    <row r="7391" spans="1:50">
      <c r="A7391" s="1">
        <f>HYPERLINK("https://lsnyc.legalserver.org/matter/dynamic-profile/view/1897292","19-1897292")</f>
        <v>0</v>
      </c>
      <c r="B7391" t="s">
        <v>162</v>
      </c>
      <c r="C7391" t="s">
        <v>340</v>
      </c>
      <c r="D7391" t="s">
        <v>761</v>
      </c>
      <c r="F7391" t="s">
        <v>3941</v>
      </c>
      <c r="G7391" t="s">
        <v>5177</v>
      </c>
      <c r="H7391" t="s">
        <v>14733</v>
      </c>
      <c r="I7391" t="s">
        <v>18464</v>
      </c>
      <c r="J7391" t="s">
        <v>18894</v>
      </c>
      <c r="K7391">
        <v>11212</v>
      </c>
      <c r="L7391" t="s">
        <v>18958</v>
      </c>
      <c r="M7391" t="s">
        <v>18959</v>
      </c>
      <c r="N7391" t="s">
        <v>24235</v>
      </c>
      <c r="O7391" t="s">
        <v>26525</v>
      </c>
      <c r="P7391" t="s">
        <v>26563</v>
      </c>
      <c r="R7391" t="s">
        <v>26586</v>
      </c>
      <c r="U7391" t="s">
        <v>26605</v>
      </c>
      <c r="W7391" t="s">
        <v>761</v>
      </c>
      <c r="X7391">
        <v>268</v>
      </c>
      <c r="Y7391" t="s">
        <v>26652</v>
      </c>
      <c r="Z7391" t="s">
        <v>26664</v>
      </c>
      <c r="AB7391" t="s">
        <v>30432</v>
      </c>
      <c r="AD7391" t="s">
        <v>42607</v>
      </c>
      <c r="AE7391">
        <v>14</v>
      </c>
      <c r="AF7391" t="s">
        <v>45542</v>
      </c>
      <c r="AH7391">
        <v>32</v>
      </c>
      <c r="AI7391">
        <v>1</v>
      </c>
      <c r="AJ7391">
        <v>0</v>
      </c>
      <c r="AK7391">
        <v>76.95999999999999</v>
      </c>
      <c r="AN7391" t="s">
        <v>7439</v>
      </c>
      <c r="AO7391">
        <v>9612</v>
      </c>
      <c r="AU7391">
        <v>2.8</v>
      </c>
      <c r="AV7391" t="s">
        <v>804</v>
      </c>
      <c r="AW7391" t="s">
        <v>46856</v>
      </c>
      <c r="AX7391" t="s">
        <v>46897</v>
      </c>
    </row>
    <row r="7392" spans="1:50">
      <c r="A7392" s="1">
        <f>HYPERLINK("https://lsnyc.legalserver.org/matter/dynamic-profile/view/1897119","19-1897119")</f>
        <v>0</v>
      </c>
      <c r="B7392" t="s">
        <v>212</v>
      </c>
      <c r="C7392" t="s">
        <v>340</v>
      </c>
      <c r="D7392" t="s">
        <v>761</v>
      </c>
      <c r="F7392" t="s">
        <v>3942</v>
      </c>
      <c r="G7392" t="s">
        <v>5164</v>
      </c>
      <c r="H7392" t="s">
        <v>14551</v>
      </c>
      <c r="I7392" t="s">
        <v>17355</v>
      </c>
      <c r="J7392" t="s">
        <v>18898</v>
      </c>
      <c r="K7392">
        <v>11691</v>
      </c>
      <c r="L7392" t="s">
        <v>18958</v>
      </c>
      <c r="M7392" t="s">
        <v>18958</v>
      </c>
      <c r="O7392" t="s">
        <v>26534</v>
      </c>
      <c r="P7392" t="s">
        <v>26561</v>
      </c>
      <c r="R7392" t="s">
        <v>26578</v>
      </c>
      <c r="S7392" t="s">
        <v>18958</v>
      </c>
      <c r="U7392" t="s">
        <v>26604</v>
      </c>
      <c r="W7392" t="s">
        <v>761</v>
      </c>
      <c r="X7392">
        <v>660</v>
      </c>
      <c r="Y7392" t="s">
        <v>26653</v>
      </c>
      <c r="Z7392" t="s">
        <v>26667</v>
      </c>
      <c r="AB7392" t="s">
        <v>32236</v>
      </c>
      <c r="AD7392" t="s">
        <v>42608</v>
      </c>
      <c r="AE7392">
        <v>43</v>
      </c>
      <c r="AF7392" t="s">
        <v>45541</v>
      </c>
      <c r="AG7392" t="s">
        <v>19330</v>
      </c>
      <c r="AH7392">
        <v>10</v>
      </c>
      <c r="AI7392">
        <v>3</v>
      </c>
      <c r="AJ7392">
        <v>1</v>
      </c>
      <c r="AK7392">
        <v>60.58</v>
      </c>
      <c r="AN7392" t="s">
        <v>7439</v>
      </c>
      <c r="AO7392">
        <v>15600</v>
      </c>
      <c r="AU7392">
        <v>0</v>
      </c>
      <c r="AW7392" t="s">
        <v>208</v>
      </c>
    </row>
    <row r="7393" spans="1:50">
      <c r="A7393" s="1">
        <f>HYPERLINK("https://lsnyc.legalserver.org/matter/dynamic-profile/view/1897230","19-1897230")</f>
        <v>0</v>
      </c>
      <c r="B7393" t="s">
        <v>212</v>
      </c>
      <c r="C7393" t="s">
        <v>340</v>
      </c>
      <c r="D7393" t="s">
        <v>761</v>
      </c>
      <c r="F7393" t="s">
        <v>3942</v>
      </c>
      <c r="G7393" t="s">
        <v>5164</v>
      </c>
      <c r="H7393" t="s">
        <v>14551</v>
      </c>
      <c r="I7393" t="s">
        <v>17355</v>
      </c>
      <c r="J7393" t="s">
        <v>18898</v>
      </c>
      <c r="K7393">
        <v>11691</v>
      </c>
      <c r="L7393" t="s">
        <v>18958</v>
      </c>
      <c r="M7393" t="s">
        <v>18958</v>
      </c>
      <c r="O7393" t="s">
        <v>26529</v>
      </c>
      <c r="P7393" t="s">
        <v>26565</v>
      </c>
      <c r="R7393" t="s">
        <v>26578</v>
      </c>
      <c r="S7393" t="s">
        <v>18958</v>
      </c>
      <c r="U7393" t="s">
        <v>26604</v>
      </c>
      <c r="W7393" t="s">
        <v>761</v>
      </c>
      <c r="X7393">
        <v>660</v>
      </c>
      <c r="Y7393" t="s">
        <v>26653</v>
      </c>
      <c r="Z7393" t="s">
        <v>26667</v>
      </c>
      <c r="AB7393" t="s">
        <v>32236</v>
      </c>
      <c r="AD7393" t="s">
        <v>42608</v>
      </c>
      <c r="AE7393">
        <v>43</v>
      </c>
      <c r="AF7393" t="s">
        <v>45541</v>
      </c>
      <c r="AG7393" t="s">
        <v>19330</v>
      </c>
      <c r="AH7393">
        <v>10</v>
      </c>
      <c r="AI7393">
        <v>3</v>
      </c>
      <c r="AJ7393">
        <v>1</v>
      </c>
      <c r="AK7393">
        <v>60.58</v>
      </c>
      <c r="AN7393" t="s">
        <v>7439</v>
      </c>
      <c r="AO7393">
        <v>15600</v>
      </c>
      <c r="AU7393">
        <v>0</v>
      </c>
      <c r="AW7393" t="s">
        <v>208</v>
      </c>
    </row>
    <row r="7394" spans="1:50">
      <c r="A7394" s="1">
        <f>HYPERLINK("https://lsnyc.legalserver.org/matter/dynamic-profile/view/1897237","19-1897237")</f>
        <v>0</v>
      </c>
      <c r="B7394" t="s">
        <v>212</v>
      </c>
      <c r="C7394" t="s">
        <v>340</v>
      </c>
      <c r="D7394" t="s">
        <v>761</v>
      </c>
      <c r="F7394" t="s">
        <v>2020</v>
      </c>
      <c r="G7394" t="s">
        <v>8310</v>
      </c>
      <c r="H7394" t="s">
        <v>14551</v>
      </c>
      <c r="I7394" t="s">
        <v>17344</v>
      </c>
      <c r="J7394" t="s">
        <v>18898</v>
      </c>
      <c r="K7394">
        <v>11691</v>
      </c>
      <c r="L7394" t="s">
        <v>18958</v>
      </c>
      <c r="M7394" t="s">
        <v>18958</v>
      </c>
      <c r="O7394" t="s">
        <v>26534</v>
      </c>
      <c r="P7394" t="s">
        <v>26561</v>
      </c>
      <c r="R7394" t="s">
        <v>26578</v>
      </c>
      <c r="S7394" t="s">
        <v>18958</v>
      </c>
      <c r="U7394" t="s">
        <v>26604</v>
      </c>
      <c r="W7394" t="s">
        <v>761</v>
      </c>
      <c r="X7394">
        <v>819</v>
      </c>
      <c r="Y7394" t="s">
        <v>26653</v>
      </c>
      <c r="Z7394" t="s">
        <v>26667</v>
      </c>
      <c r="AB7394" t="s">
        <v>32237</v>
      </c>
      <c r="AD7394" t="s">
        <v>42609</v>
      </c>
      <c r="AE7394">
        <v>43</v>
      </c>
      <c r="AF7394" t="s">
        <v>45541</v>
      </c>
      <c r="AG7394" t="s">
        <v>19330</v>
      </c>
      <c r="AH7394">
        <v>15</v>
      </c>
      <c r="AI7394">
        <v>2</v>
      </c>
      <c r="AJ7394">
        <v>3</v>
      </c>
      <c r="AK7394">
        <v>72.26000000000001</v>
      </c>
      <c r="AN7394" t="s">
        <v>45581</v>
      </c>
      <c r="AO7394">
        <v>21800</v>
      </c>
      <c r="AU7394">
        <v>0</v>
      </c>
      <c r="AW7394" t="s">
        <v>208</v>
      </c>
    </row>
    <row r="7395" spans="1:50">
      <c r="A7395" s="1">
        <f>HYPERLINK("https://lsnyc.legalserver.org/matter/dynamic-profile/view/1897238","19-1897238")</f>
        <v>0</v>
      </c>
      <c r="B7395" t="s">
        <v>212</v>
      </c>
      <c r="C7395" t="s">
        <v>340</v>
      </c>
      <c r="D7395" t="s">
        <v>761</v>
      </c>
      <c r="F7395" t="s">
        <v>2020</v>
      </c>
      <c r="G7395" t="s">
        <v>8310</v>
      </c>
      <c r="H7395" t="s">
        <v>14551</v>
      </c>
      <c r="I7395" t="s">
        <v>17344</v>
      </c>
      <c r="J7395" t="s">
        <v>18898</v>
      </c>
      <c r="K7395">
        <v>11691</v>
      </c>
      <c r="L7395" t="s">
        <v>18958</v>
      </c>
      <c r="M7395" t="s">
        <v>18958</v>
      </c>
      <c r="O7395" t="s">
        <v>26529</v>
      </c>
      <c r="P7395" t="s">
        <v>26565</v>
      </c>
      <c r="R7395" t="s">
        <v>26578</v>
      </c>
      <c r="S7395" t="s">
        <v>18958</v>
      </c>
      <c r="U7395" t="s">
        <v>26604</v>
      </c>
      <c r="W7395" t="s">
        <v>761</v>
      </c>
      <c r="X7395">
        <v>819</v>
      </c>
      <c r="Y7395" t="s">
        <v>26653</v>
      </c>
      <c r="Z7395" t="s">
        <v>26667</v>
      </c>
      <c r="AB7395" t="s">
        <v>32237</v>
      </c>
      <c r="AD7395" t="s">
        <v>42609</v>
      </c>
      <c r="AE7395">
        <v>43</v>
      </c>
      <c r="AF7395" t="s">
        <v>45541</v>
      </c>
      <c r="AG7395" t="s">
        <v>19330</v>
      </c>
      <c r="AH7395">
        <v>15</v>
      </c>
      <c r="AI7395">
        <v>2</v>
      </c>
      <c r="AJ7395">
        <v>3</v>
      </c>
      <c r="AK7395">
        <v>112.03</v>
      </c>
      <c r="AN7395" t="s">
        <v>45581</v>
      </c>
      <c r="AO7395">
        <v>33800</v>
      </c>
      <c r="AU7395">
        <v>0</v>
      </c>
      <c r="AW7395" t="s">
        <v>208</v>
      </c>
    </row>
    <row r="7396" spans="1:50">
      <c r="A7396" s="1">
        <f>HYPERLINK("https://lsnyc.legalserver.org/matter/dynamic-profile/view/1897232","19-1897232")</f>
        <v>0</v>
      </c>
      <c r="B7396" t="s">
        <v>212</v>
      </c>
      <c r="C7396" t="s">
        <v>340</v>
      </c>
      <c r="D7396" t="s">
        <v>761</v>
      </c>
      <c r="F7396" t="s">
        <v>887</v>
      </c>
      <c r="G7396" t="s">
        <v>5121</v>
      </c>
      <c r="H7396" t="s">
        <v>14551</v>
      </c>
      <c r="I7396" t="s">
        <v>17390</v>
      </c>
      <c r="J7396" t="s">
        <v>18898</v>
      </c>
      <c r="K7396">
        <v>11691</v>
      </c>
      <c r="L7396" t="s">
        <v>18958</v>
      </c>
      <c r="M7396" t="s">
        <v>18958</v>
      </c>
      <c r="O7396" t="s">
        <v>26534</v>
      </c>
      <c r="P7396" t="s">
        <v>26561</v>
      </c>
      <c r="R7396" t="s">
        <v>26578</v>
      </c>
      <c r="S7396" t="s">
        <v>18958</v>
      </c>
      <c r="U7396" t="s">
        <v>26604</v>
      </c>
      <c r="W7396" t="s">
        <v>761</v>
      </c>
      <c r="X7396">
        <v>660</v>
      </c>
      <c r="Y7396" t="s">
        <v>26653</v>
      </c>
      <c r="Z7396" t="s">
        <v>26667</v>
      </c>
      <c r="AB7396" t="s">
        <v>27137</v>
      </c>
      <c r="AD7396" t="s">
        <v>42610</v>
      </c>
      <c r="AE7396">
        <v>43</v>
      </c>
      <c r="AF7396" t="s">
        <v>45541</v>
      </c>
      <c r="AG7396" t="s">
        <v>26530</v>
      </c>
      <c r="AH7396">
        <v>40</v>
      </c>
      <c r="AI7396">
        <v>1</v>
      </c>
      <c r="AJ7396">
        <v>0</v>
      </c>
      <c r="AK7396">
        <v>144.12</v>
      </c>
      <c r="AN7396" t="s">
        <v>7439</v>
      </c>
      <c r="AO7396">
        <v>18000</v>
      </c>
      <c r="AU7396">
        <v>0</v>
      </c>
      <c r="AW7396" t="s">
        <v>208</v>
      </c>
    </row>
    <row r="7397" spans="1:50">
      <c r="A7397" s="1">
        <f>HYPERLINK("https://lsnyc.legalserver.org/matter/dynamic-profile/view/1897235","19-1897235")</f>
        <v>0</v>
      </c>
      <c r="B7397" t="s">
        <v>212</v>
      </c>
      <c r="C7397" t="s">
        <v>340</v>
      </c>
      <c r="D7397" t="s">
        <v>761</v>
      </c>
      <c r="F7397" t="s">
        <v>887</v>
      </c>
      <c r="G7397" t="s">
        <v>5121</v>
      </c>
      <c r="H7397" t="s">
        <v>14551</v>
      </c>
      <c r="I7397" t="s">
        <v>17390</v>
      </c>
      <c r="J7397" t="s">
        <v>18898</v>
      </c>
      <c r="K7397">
        <v>11691</v>
      </c>
      <c r="L7397" t="s">
        <v>18958</v>
      </c>
      <c r="M7397" t="s">
        <v>18958</v>
      </c>
      <c r="O7397" t="s">
        <v>26529</v>
      </c>
      <c r="P7397" t="s">
        <v>26565</v>
      </c>
      <c r="R7397" t="s">
        <v>26578</v>
      </c>
      <c r="S7397" t="s">
        <v>18959</v>
      </c>
      <c r="U7397" t="s">
        <v>26604</v>
      </c>
      <c r="W7397" t="s">
        <v>761</v>
      </c>
      <c r="X7397">
        <v>660</v>
      </c>
      <c r="Y7397" t="s">
        <v>26653</v>
      </c>
      <c r="Z7397" t="s">
        <v>26667</v>
      </c>
      <c r="AB7397" t="s">
        <v>27137</v>
      </c>
      <c r="AD7397" t="s">
        <v>42610</v>
      </c>
      <c r="AE7397">
        <v>43</v>
      </c>
      <c r="AF7397" t="s">
        <v>45541</v>
      </c>
      <c r="AG7397" t="s">
        <v>19330</v>
      </c>
      <c r="AH7397">
        <v>40</v>
      </c>
      <c r="AI7397">
        <v>1</v>
      </c>
      <c r="AJ7397">
        <v>0</v>
      </c>
      <c r="AK7397">
        <v>144.12</v>
      </c>
      <c r="AN7397" t="s">
        <v>7439</v>
      </c>
      <c r="AO7397">
        <v>18000</v>
      </c>
      <c r="AU7397">
        <v>0</v>
      </c>
      <c r="AW7397" t="s">
        <v>208</v>
      </c>
    </row>
    <row r="7398" spans="1:50">
      <c r="A7398" s="1">
        <f>HYPERLINK("https://lsnyc.legalserver.org/matter/dynamic-profile/view/1897378","19-1897378")</f>
        <v>0</v>
      </c>
      <c r="B7398" t="s">
        <v>115</v>
      </c>
      <c r="C7398" t="s">
        <v>340</v>
      </c>
      <c r="D7398" t="s">
        <v>761</v>
      </c>
      <c r="F7398" t="s">
        <v>1463</v>
      </c>
      <c r="G7398" t="s">
        <v>1725</v>
      </c>
      <c r="H7398" t="s">
        <v>12169</v>
      </c>
      <c r="I7398" t="s">
        <v>17274</v>
      </c>
      <c r="J7398" t="s">
        <v>18892</v>
      </c>
      <c r="K7398">
        <v>10453</v>
      </c>
      <c r="L7398" t="s">
        <v>18958</v>
      </c>
      <c r="M7398" t="s">
        <v>18958</v>
      </c>
      <c r="O7398" t="s">
        <v>26529</v>
      </c>
      <c r="P7398" t="s">
        <v>26564</v>
      </c>
      <c r="R7398" t="s">
        <v>26578</v>
      </c>
      <c r="S7398" t="s">
        <v>18959</v>
      </c>
      <c r="U7398" t="s">
        <v>26604</v>
      </c>
      <c r="W7398" t="s">
        <v>761</v>
      </c>
      <c r="X7398">
        <v>1525.83</v>
      </c>
      <c r="Y7398" t="s">
        <v>26650</v>
      </c>
      <c r="Z7398" t="s">
        <v>26661</v>
      </c>
      <c r="AB7398" t="s">
        <v>32238</v>
      </c>
      <c r="AE7398">
        <v>0</v>
      </c>
      <c r="AF7398" t="s">
        <v>45541</v>
      </c>
      <c r="AG7398" t="s">
        <v>45556</v>
      </c>
      <c r="AH7398">
        <v>16</v>
      </c>
      <c r="AI7398">
        <v>1</v>
      </c>
      <c r="AJ7398">
        <v>0</v>
      </c>
      <c r="AK7398">
        <v>76</v>
      </c>
      <c r="AN7398" t="s">
        <v>45581</v>
      </c>
      <c r="AO7398">
        <v>9492</v>
      </c>
      <c r="AU7398">
        <v>1</v>
      </c>
      <c r="AV7398" t="s">
        <v>761</v>
      </c>
      <c r="AW7398" t="s">
        <v>115</v>
      </c>
      <c r="AX7398" t="s">
        <v>46897</v>
      </c>
    </row>
    <row r="7399" spans="1:50">
      <c r="A7399" s="1">
        <f>HYPERLINK("https://lsnyc.legalserver.org/matter/dynamic-profile/view/1897413","19-1897413")</f>
        <v>0</v>
      </c>
      <c r="B7399" t="s">
        <v>115</v>
      </c>
      <c r="C7399" t="s">
        <v>340</v>
      </c>
      <c r="D7399" t="s">
        <v>761</v>
      </c>
      <c r="F7399" t="s">
        <v>1228</v>
      </c>
      <c r="G7399" t="s">
        <v>5497</v>
      </c>
      <c r="H7399" t="s">
        <v>14734</v>
      </c>
      <c r="I7399" t="s">
        <v>18457</v>
      </c>
      <c r="J7399" t="s">
        <v>18892</v>
      </c>
      <c r="K7399">
        <v>10452</v>
      </c>
      <c r="L7399" t="s">
        <v>18958</v>
      </c>
      <c r="M7399" t="s">
        <v>18958</v>
      </c>
      <c r="N7399" t="s">
        <v>24236</v>
      </c>
      <c r="O7399" t="s">
        <v>26523</v>
      </c>
      <c r="P7399" t="s">
        <v>26564</v>
      </c>
      <c r="R7399" t="s">
        <v>26578</v>
      </c>
      <c r="S7399" t="s">
        <v>18959</v>
      </c>
      <c r="U7399" t="s">
        <v>26604</v>
      </c>
      <c r="V7399" t="s">
        <v>26612</v>
      </c>
      <c r="W7399" t="s">
        <v>761</v>
      </c>
      <c r="X7399">
        <v>1023</v>
      </c>
      <c r="Y7399" t="s">
        <v>26650</v>
      </c>
      <c r="Z7399" t="s">
        <v>26661</v>
      </c>
      <c r="AD7399" t="s">
        <v>42611</v>
      </c>
      <c r="AE7399">
        <v>0</v>
      </c>
      <c r="AF7399" t="s">
        <v>45541</v>
      </c>
      <c r="AH7399">
        <v>18</v>
      </c>
      <c r="AI7399">
        <v>1</v>
      </c>
      <c r="AJ7399">
        <v>0</v>
      </c>
      <c r="AK7399">
        <v>160.13</v>
      </c>
      <c r="AN7399" t="s">
        <v>45581</v>
      </c>
      <c r="AO7399">
        <v>20000</v>
      </c>
      <c r="AU7399">
        <v>1</v>
      </c>
      <c r="AV7399" t="s">
        <v>761</v>
      </c>
      <c r="AW7399" t="s">
        <v>115</v>
      </c>
      <c r="AX7399" t="s">
        <v>46897</v>
      </c>
    </row>
    <row r="7400" spans="1:50">
      <c r="A7400" s="1">
        <f>HYPERLINK("https://lsnyc.legalserver.org/matter/dynamic-profile/view/1897370","19-1897370")</f>
        <v>0</v>
      </c>
      <c r="B7400" t="s">
        <v>233</v>
      </c>
      <c r="C7400" t="s">
        <v>340</v>
      </c>
      <c r="D7400" t="s">
        <v>761</v>
      </c>
      <c r="F7400" t="s">
        <v>3943</v>
      </c>
      <c r="G7400" t="s">
        <v>8275</v>
      </c>
      <c r="H7400" t="s">
        <v>14735</v>
      </c>
      <c r="I7400" t="s">
        <v>18166</v>
      </c>
      <c r="J7400" t="s">
        <v>18892</v>
      </c>
      <c r="K7400">
        <v>10471</v>
      </c>
      <c r="L7400" t="s">
        <v>18958</v>
      </c>
      <c r="M7400" t="s">
        <v>18958</v>
      </c>
      <c r="N7400" t="s">
        <v>24237</v>
      </c>
      <c r="O7400" t="s">
        <v>26523</v>
      </c>
      <c r="P7400" t="s">
        <v>26560</v>
      </c>
      <c r="R7400" t="s">
        <v>26577</v>
      </c>
      <c r="U7400" t="s">
        <v>26604</v>
      </c>
      <c r="V7400" t="s">
        <v>26610</v>
      </c>
      <c r="W7400" t="s">
        <v>761</v>
      </c>
      <c r="X7400">
        <v>1650</v>
      </c>
      <c r="Y7400" t="s">
        <v>26650</v>
      </c>
      <c r="Z7400" t="s">
        <v>26668</v>
      </c>
      <c r="AB7400" t="s">
        <v>32239</v>
      </c>
      <c r="AD7400" t="s">
        <v>42612</v>
      </c>
      <c r="AE7400">
        <v>0</v>
      </c>
      <c r="AF7400" t="s">
        <v>45553</v>
      </c>
      <c r="AG7400" t="s">
        <v>19330</v>
      </c>
      <c r="AH7400">
        <v>1</v>
      </c>
      <c r="AI7400">
        <v>1</v>
      </c>
      <c r="AJ7400">
        <v>0</v>
      </c>
      <c r="AK7400">
        <v>182.26</v>
      </c>
      <c r="AN7400" t="s">
        <v>7439</v>
      </c>
      <c r="AO7400">
        <v>22764</v>
      </c>
      <c r="AU7400">
        <v>40.75</v>
      </c>
      <c r="AV7400" t="s">
        <v>729</v>
      </c>
      <c r="AW7400" t="s">
        <v>334</v>
      </c>
      <c r="AX7400" t="s">
        <v>46897</v>
      </c>
    </row>
    <row r="7401" spans="1:50">
      <c r="A7401" s="1">
        <f>HYPERLINK("https://lsnyc.legalserver.org/matter/dynamic-profile/view/1897317","19-1897317")</f>
        <v>0</v>
      </c>
      <c r="B7401" t="s">
        <v>91</v>
      </c>
      <c r="C7401" t="s">
        <v>340</v>
      </c>
      <c r="D7401" t="s">
        <v>761</v>
      </c>
      <c r="F7401" t="s">
        <v>875</v>
      </c>
      <c r="G7401" t="s">
        <v>8311</v>
      </c>
      <c r="H7401" t="s">
        <v>14736</v>
      </c>
      <c r="I7401" t="s">
        <v>17273</v>
      </c>
      <c r="J7401" t="s">
        <v>18913</v>
      </c>
      <c r="K7401">
        <v>11102</v>
      </c>
      <c r="L7401" t="s">
        <v>18958</v>
      </c>
      <c r="M7401" t="s">
        <v>18958</v>
      </c>
      <c r="N7401" t="s">
        <v>24238</v>
      </c>
      <c r="O7401" t="s">
        <v>26523</v>
      </c>
      <c r="P7401" t="s">
        <v>26564</v>
      </c>
      <c r="R7401" t="s">
        <v>26584</v>
      </c>
      <c r="S7401" t="s">
        <v>18959</v>
      </c>
      <c r="U7401" t="s">
        <v>26605</v>
      </c>
      <c r="W7401" t="s">
        <v>761</v>
      </c>
      <c r="X7401">
        <v>830</v>
      </c>
      <c r="Y7401" t="s">
        <v>26653</v>
      </c>
      <c r="Z7401" t="s">
        <v>26664</v>
      </c>
      <c r="AB7401" t="s">
        <v>29061</v>
      </c>
      <c r="AD7401" t="s">
        <v>34738</v>
      </c>
      <c r="AE7401">
        <v>0</v>
      </c>
      <c r="AF7401" t="s">
        <v>45549</v>
      </c>
      <c r="AG7401" t="s">
        <v>19330</v>
      </c>
      <c r="AH7401">
        <v>13</v>
      </c>
      <c r="AI7401">
        <v>2</v>
      </c>
      <c r="AJ7401">
        <v>0</v>
      </c>
      <c r="AK7401">
        <v>0</v>
      </c>
      <c r="AN7401" t="s">
        <v>45581</v>
      </c>
      <c r="AO7401">
        <v>0</v>
      </c>
      <c r="AU7401">
        <v>1.6</v>
      </c>
      <c r="AV7401" t="s">
        <v>765</v>
      </c>
      <c r="AW7401" t="s">
        <v>208</v>
      </c>
    </row>
    <row r="7402" spans="1:50">
      <c r="A7402" s="1">
        <f>HYPERLINK("https://lsnyc.legalserver.org/matter/dynamic-profile/view/1897333","19-1897333")</f>
        <v>0</v>
      </c>
      <c r="B7402" t="s">
        <v>91</v>
      </c>
      <c r="C7402" t="s">
        <v>340</v>
      </c>
      <c r="D7402" t="s">
        <v>761</v>
      </c>
      <c r="F7402" t="s">
        <v>1326</v>
      </c>
      <c r="G7402" t="s">
        <v>8312</v>
      </c>
      <c r="H7402" t="s">
        <v>13423</v>
      </c>
      <c r="I7402" t="s">
        <v>17369</v>
      </c>
      <c r="J7402" t="s">
        <v>7026</v>
      </c>
      <c r="K7402">
        <v>11368</v>
      </c>
      <c r="L7402" t="s">
        <v>18958</v>
      </c>
      <c r="M7402" t="s">
        <v>18958</v>
      </c>
      <c r="N7402" t="s">
        <v>24239</v>
      </c>
      <c r="O7402" t="s">
        <v>26524</v>
      </c>
      <c r="P7402" t="s">
        <v>26560</v>
      </c>
      <c r="R7402" t="s">
        <v>26584</v>
      </c>
      <c r="S7402" t="s">
        <v>18959</v>
      </c>
      <c r="U7402" t="s">
        <v>26604</v>
      </c>
      <c r="W7402" t="s">
        <v>761</v>
      </c>
      <c r="X7402">
        <v>1550</v>
      </c>
      <c r="Y7402" t="s">
        <v>26653</v>
      </c>
      <c r="Z7402" t="s">
        <v>26664</v>
      </c>
      <c r="AB7402" t="s">
        <v>32240</v>
      </c>
      <c r="AD7402" t="s">
        <v>42613</v>
      </c>
      <c r="AE7402">
        <v>0</v>
      </c>
      <c r="AG7402" t="s">
        <v>19330</v>
      </c>
      <c r="AH7402">
        <v>14</v>
      </c>
      <c r="AI7402">
        <v>2</v>
      </c>
      <c r="AJ7402">
        <v>4</v>
      </c>
      <c r="AK7402">
        <v>101.19</v>
      </c>
      <c r="AN7402" t="s">
        <v>7439</v>
      </c>
      <c r="AO7402">
        <v>35000</v>
      </c>
      <c r="AU7402">
        <v>7.3</v>
      </c>
      <c r="AV7402" t="s">
        <v>838</v>
      </c>
      <c r="AW7402" t="s">
        <v>208</v>
      </c>
    </row>
    <row r="7403" spans="1:50">
      <c r="A7403" s="1">
        <f>HYPERLINK("https://lsnyc.legalserver.org/matter/dynamic-profile/view/1897339","19-1897339")</f>
        <v>0</v>
      </c>
      <c r="B7403" t="s">
        <v>91</v>
      </c>
      <c r="C7403" t="s">
        <v>340</v>
      </c>
      <c r="D7403" t="s">
        <v>761</v>
      </c>
      <c r="F7403" t="s">
        <v>940</v>
      </c>
      <c r="G7403" t="s">
        <v>8313</v>
      </c>
      <c r="H7403" t="s">
        <v>14737</v>
      </c>
      <c r="I7403" t="s">
        <v>17375</v>
      </c>
      <c r="J7403" t="s">
        <v>18904</v>
      </c>
      <c r="K7403">
        <v>11421</v>
      </c>
      <c r="L7403" t="s">
        <v>18958</v>
      </c>
      <c r="M7403" t="s">
        <v>18958</v>
      </c>
      <c r="N7403" t="s">
        <v>24240</v>
      </c>
      <c r="O7403" t="s">
        <v>26524</v>
      </c>
      <c r="P7403" t="s">
        <v>26563</v>
      </c>
      <c r="R7403" t="s">
        <v>26584</v>
      </c>
      <c r="S7403" t="s">
        <v>18959</v>
      </c>
      <c r="U7403" t="s">
        <v>26604</v>
      </c>
      <c r="W7403" t="s">
        <v>761</v>
      </c>
      <c r="X7403">
        <v>1375</v>
      </c>
      <c r="Y7403" t="s">
        <v>26653</v>
      </c>
      <c r="Z7403" t="s">
        <v>26664</v>
      </c>
      <c r="AB7403" t="s">
        <v>32241</v>
      </c>
      <c r="AD7403" t="s">
        <v>42614</v>
      </c>
      <c r="AE7403">
        <v>0</v>
      </c>
      <c r="AG7403" t="s">
        <v>19330</v>
      </c>
      <c r="AH7403">
        <v>6</v>
      </c>
      <c r="AI7403">
        <v>3</v>
      </c>
      <c r="AJ7403">
        <v>0</v>
      </c>
      <c r="AK7403">
        <v>159.4</v>
      </c>
      <c r="AN7403" t="s">
        <v>45581</v>
      </c>
      <c r="AO7403">
        <v>34000</v>
      </c>
      <c r="AU7403">
        <v>1.4</v>
      </c>
      <c r="AV7403" t="s">
        <v>817</v>
      </c>
      <c r="AW7403" t="s">
        <v>208</v>
      </c>
    </row>
    <row r="7404" spans="1:50">
      <c r="A7404" s="1">
        <f>HYPERLINK("https://lsnyc.legalserver.org/matter/dynamic-profile/view/1897387","19-1897387")</f>
        <v>0</v>
      </c>
      <c r="B7404" t="s">
        <v>235</v>
      </c>
      <c r="C7404" t="s">
        <v>340</v>
      </c>
      <c r="D7404" t="s">
        <v>761</v>
      </c>
      <c r="F7404" t="s">
        <v>1397</v>
      </c>
      <c r="G7404" t="s">
        <v>8314</v>
      </c>
      <c r="H7404" t="s">
        <v>14738</v>
      </c>
      <c r="J7404" t="s">
        <v>18923</v>
      </c>
      <c r="K7404">
        <v>11418</v>
      </c>
      <c r="L7404" t="s">
        <v>18958</v>
      </c>
      <c r="M7404" t="s">
        <v>18958</v>
      </c>
      <c r="N7404" t="s">
        <v>24241</v>
      </c>
      <c r="O7404" t="s">
        <v>26523</v>
      </c>
      <c r="P7404" t="s">
        <v>26564</v>
      </c>
      <c r="R7404" t="s">
        <v>26584</v>
      </c>
      <c r="S7404" t="s">
        <v>18959</v>
      </c>
      <c r="U7404" t="s">
        <v>26604</v>
      </c>
      <c r="W7404" t="s">
        <v>761</v>
      </c>
      <c r="X7404">
        <v>750</v>
      </c>
      <c r="Y7404" t="s">
        <v>26653</v>
      </c>
      <c r="AB7404" t="s">
        <v>32242</v>
      </c>
      <c r="AD7404" t="s">
        <v>42615</v>
      </c>
      <c r="AE7404">
        <v>0</v>
      </c>
      <c r="AH7404">
        <v>3</v>
      </c>
      <c r="AI7404">
        <v>1</v>
      </c>
      <c r="AJ7404">
        <v>0</v>
      </c>
      <c r="AK7404">
        <v>0</v>
      </c>
      <c r="AN7404" t="s">
        <v>7439</v>
      </c>
      <c r="AO7404">
        <v>0</v>
      </c>
      <c r="AU7404">
        <v>3.6</v>
      </c>
      <c r="AV7404" t="s">
        <v>806</v>
      </c>
      <c r="AW7404" t="s">
        <v>46884</v>
      </c>
    </row>
    <row r="7405" spans="1:50">
      <c r="A7405" s="1">
        <f>HYPERLINK("https://lsnyc.legalserver.org/matter/dynamic-profile/view/1897405","19-1897405")</f>
        <v>0</v>
      </c>
      <c r="B7405" t="s">
        <v>235</v>
      </c>
      <c r="C7405" t="s">
        <v>340</v>
      </c>
      <c r="D7405" t="s">
        <v>761</v>
      </c>
      <c r="F7405" t="s">
        <v>1191</v>
      </c>
      <c r="G7405" t="s">
        <v>8315</v>
      </c>
      <c r="H7405" t="s">
        <v>14739</v>
      </c>
      <c r="J7405" t="s">
        <v>18922</v>
      </c>
      <c r="K7405">
        <v>11694</v>
      </c>
      <c r="L7405" t="s">
        <v>18958</v>
      </c>
      <c r="M7405" t="s">
        <v>18958</v>
      </c>
      <c r="N7405" t="s">
        <v>24242</v>
      </c>
      <c r="O7405" t="s">
        <v>26524</v>
      </c>
      <c r="P7405" t="s">
        <v>26564</v>
      </c>
      <c r="R7405" t="s">
        <v>26584</v>
      </c>
      <c r="S7405" t="s">
        <v>18959</v>
      </c>
      <c r="U7405" t="s">
        <v>26604</v>
      </c>
      <c r="V7405" t="s">
        <v>26610</v>
      </c>
      <c r="W7405" t="s">
        <v>761</v>
      </c>
      <c r="X7405">
        <v>1200</v>
      </c>
      <c r="Y7405" t="s">
        <v>26653</v>
      </c>
      <c r="AB7405" t="s">
        <v>32243</v>
      </c>
      <c r="AC7405" t="s">
        <v>36327</v>
      </c>
      <c r="AD7405" t="s">
        <v>42616</v>
      </c>
      <c r="AE7405">
        <v>0</v>
      </c>
      <c r="AH7405">
        <v>11</v>
      </c>
      <c r="AI7405">
        <v>1</v>
      </c>
      <c r="AJ7405">
        <v>0</v>
      </c>
      <c r="AK7405">
        <v>4.04</v>
      </c>
      <c r="AN7405" t="s">
        <v>7439</v>
      </c>
      <c r="AO7405">
        <v>504</v>
      </c>
      <c r="AU7405">
        <v>2.1</v>
      </c>
      <c r="AV7405" t="s">
        <v>769</v>
      </c>
      <c r="AW7405" t="s">
        <v>46884</v>
      </c>
    </row>
    <row r="7406" spans="1:50">
      <c r="A7406" s="1">
        <f>HYPERLINK("https://lsnyc.legalserver.org/matter/dynamic-profile/view/1897411","19-1897411")</f>
        <v>0</v>
      </c>
      <c r="B7406" t="s">
        <v>235</v>
      </c>
      <c r="C7406" t="s">
        <v>340</v>
      </c>
      <c r="D7406" t="s">
        <v>761</v>
      </c>
      <c r="F7406" t="s">
        <v>3944</v>
      </c>
      <c r="G7406" t="s">
        <v>5738</v>
      </c>
      <c r="H7406" t="s">
        <v>14740</v>
      </c>
      <c r="I7406" t="s">
        <v>18437</v>
      </c>
      <c r="J7406" t="s">
        <v>18909</v>
      </c>
      <c r="K7406">
        <v>11101</v>
      </c>
      <c r="L7406" t="s">
        <v>18958</v>
      </c>
      <c r="M7406" t="s">
        <v>18958</v>
      </c>
      <c r="N7406" t="s">
        <v>24243</v>
      </c>
      <c r="O7406" t="s">
        <v>26523</v>
      </c>
      <c r="P7406" t="s">
        <v>26564</v>
      </c>
      <c r="R7406" t="s">
        <v>26584</v>
      </c>
      <c r="S7406" t="s">
        <v>18958</v>
      </c>
      <c r="U7406" t="s">
        <v>26604</v>
      </c>
      <c r="V7406" t="s">
        <v>26610</v>
      </c>
      <c r="W7406" t="s">
        <v>761</v>
      </c>
      <c r="X7406">
        <v>365</v>
      </c>
      <c r="Y7406" t="s">
        <v>26653</v>
      </c>
      <c r="AB7406" t="s">
        <v>32244</v>
      </c>
      <c r="AC7406" t="s">
        <v>36328</v>
      </c>
      <c r="AD7406" t="s">
        <v>42617</v>
      </c>
      <c r="AE7406">
        <v>30</v>
      </c>
      <c r="AH7406">
        <v>1</v>
      </c>
      <c r="AI7406">
        <v>1</v>
      </c>
      <c r="AJ7406">
        <v>1</v>
      </c>
      <c r="AK7406">
        <v>4.97</v>
      </c>
      <c r="AN7406" t="s">
        <v>7439</v>
      </c>
      <c r="AO7406">
        <v>840</v>
      </c>
      <c r="AU7406">
        <v>3.1</v>
      </c>
      <c r="AV7406" t="s">
        <v>769</v>
      </c>
      <c r="AW7406" t="s">
        <v>46884</v>
      </c>
    </row>
    <row r="7407" spans="1:50">
      <c r="A7407" s="1">
        <f>HYPERLINK("https://lsnyc.legalserver.org/matter/dynamic-profile/view/1897435","19-1897435")</f>
        <v>0</v>
      </c>
      <c r="B7407" t="s">
        <v>134</v>
      </c>
      <c r="C7407" t="s">
        <v>340</v>
      </c>
      <c r="D7407" t="s">
        <v>762</v>
      </c>
      <c r="F7407" t="s">
        <v>3945</v>
      </c>
      <c r="G7407" t="s">
        <v>8316</v>
      </c>
      <c r="H7407" t="s">
        <v>14741</v>
      </c>
      <c r="I7407" t="s">
        <v>17331</v>
      </c>
      <c r="J7407" t="s">
        <v>18894</v>
      </c>
      <c r="K7407">
        <v>11233</v>
      </c>
      <c r="L7407" t="s">
        <v>18958</v>
      </c>
      <c r="M7407" t="s">
        <v>18958</v>
      </c>
      <c r="O7407" t="s">
        <v>26526</v>
      </c>
      <c r="P7407" t="s">
        <v>26560</v>
      </c>
      <c r="R7407" t="s">
        <v>26578</v>
      </c>
      <c r="S7407" t="s">
        <v>18959</v>
      </c>
      <c r="U7407" t="s">
        <v>26604</v>
      </c>
      <c r="V7407" t="s">
        <v>26610</v>
      </c>
      <c r="W7407" t="s">
        <v>761</v>
      </c>
      <c r="X7407">
        <v>0</v>
      </c>
      <c r="Y7407" t="s">
        <v>26652</v>
      </c>
      <c r="AB7407" t="s">
        <v>32245</v>
      </c>
      <c r="AD7407" t="s">
        <v>42618</v>
      </c>
      <c r="AE7407">
        <v>6</v>
      </c>
      <c r="AF7407" t="s">
        <v>45541</v>
      </c>
      <c r="AH7407">
        <v>0</v>
      </c>
      <c r="AI7407">
        <v>1</v>
      </c>
      <c r="AJ7407">
        <v>0</v>
      </c>
      <c r="AK7407">
        <v>80.06</v>
      </c>
      <c r="AN7407" t="s">
        <v>7439</v>
      </c>
      <c r="AO7407">
        <v>10000</v>
      </c>
      <c r="AP7407" t="s">
        <v>46045</v>
      </c>
      <c r="AU7407">
        <v>0</v>
      </c>
      <c r="AW7407" t="s">
        <v>279</v>
      </c>
    </row>
    <row r="7408" spans="1:50">
      <c r="A7408" s="1">
        <f>HYPERLINK("https://lsnyc.legalserver.org/matter/dynamic-profile/view/1897431","19-1897431")</f>
        <v>0</v>
      </c>
      <c r="B7408" t="s">
        <v>134</v>
      </c>
      <c r="C7408" t="s">
        <v>340</v>
      </c>
      <c r="D7408" t="s">
        <v>762</v>
      </c>
      <c r="F7408" t="s">
        <v>3945</v>
      </c>
      <c r="G7408" t="s">
        <v>8316</v>
      </c>
      <c r="H7408" t="s">
        <v>14741</v>
      </c>
      <c r="I7408" t="s">
        <v>17331</v>
      </c>
      <c r="J7408" t="s">
        <v>18894</v>
      </c>
      <c r="K7408">
        <v>11233</v>
      </c>
      <c r="L7408" t="s">
        <v>18958</v>
      </c>
      <c r="M7408" t="s">
        <v>18958</v>
      </c>
      <c r="O7408" t="s">
        <v>26531</v>
      </c>
      <c r="P7408" t="s">
        <v>26565</v>
      </c>
      <c r="R7408" t="s">
        <v>26578</v>
      </c>
      <c r="S7408" t="s">
        <v>18959</v>
      </c>
      <c r="U7408" t="s">
        <v>26604</v>
      </c>
      <c r="V7408" t="s">
        <v>26610</v>
      </c>
      <c r="W7408" t="s">
        <v>761</v>
      </c>
      <c r="X7408">
        <v>0</v>
      </c>
      <c r="Y7408" t="s">
        <v>26652</v>
      </c>
      <c r="Z7408" t="s">
        <v>26659</v>
      </c>
      <c r="AB7408" t="s">
        <v>32245</v>
      </c>
      <c r="AD7408" t="s">
        <v>42618</v>
      </c>
      <c r="AE7408">
        <v>6</v>
      </c>
      <c r="AF7408" t="s">
        <v>45541</v>
      </c>
      <c r="AH7408">
        <v>0</v>
      </c>
      <c r="AI7408">
        <v>1</v>
      </c>
      <c r="AJ7408">
        <v>0</v>
      </c>
      <c r="AK7408">
        <v>80.06</v>
      </c>
      <c r="AN7408" t="s">
        <v>7439</v>
      </c>
      <c r="AO7408">
        <v>10000</v>
      </c>
      <c r="AU7408">
        <v>24.1</v>
      </c>
      <c r="AV7408" t="s">
        <v>830</v>
      </c>
      <c r="AW7408" t="s">
        <v>279</v>
      </c>
    </row>
    <row r="7409" spans="1:50">
      <c r="A7409" s="1">
        <f>HYPERLINK("https://lsnyc.legalserver.org/matter/dynamic-profile/view/1897447","19-1897447")</f>
        <v>0</v>
      </c>
      <c r="B7409" t="s">
        <v>134</v>
      </c>
      <c r="C7409" t="s">
        <v>340</v>
      </c>
      <c r="D7409" t="s">
        <v>762</v>
      </c>
      <c r="F7409" t="s">
        <v>3945</v>
      </c>
      <c r="G7409" t="s">
        <v>8316</v>
      </c>
      <c r="H7409" t="s">
        <v>14741</v>
      </c>
      <c r="I7409" t="s">
        <v>17331</v>
      </c>
      <c r="J7409" t="s">
        <v>18894</v>
      </c>
      <c r="K7409">
        <v>11233</v>
      </c>
      <c r="L7409" t="s">
        <v>18958</v>
      </c>
      <c r="M7409" t="s">
        <v>18958</v>
      </c>
      <c r="O7409" t="s">
        <v>26539</v>
      </c>
      <c r="P7409" t="s">
        <v>26565</v>
      </c>
      <c r="R7409" t="s">
        <v>26578</v>
      </c>
      <c r="S7409" t="s">
        <v>18959</v>
      </c>
      <c r="U7409" t="s">
        <v>26604</v>
      </c>
      <c r="V7409" t="s">
        <v>26610</v>
      </c>
      <c r="W7409" t="s">
        <v>761</v>
      </c>
      <c r="X7409">
        <v>0</v>
      </c>
      <c r="Y7409" t="s">
        <v>26652</v>
      </c>
      <c r="AB7409" t="s">
        <v>32245</v>
      </c>
      <c r="AD7409" t="s">
        <v>42618</v>
      </c>
      <c r="AE7409">
        <v>6</v>
      </c>
      <c r="AF7409" t="s">
        <v>45541</v>
      </c>
      <c r="AH7409">
        <v>0</v>
      </c>
      <c r="AI7409">
        <v>1</v>
      </c>
      <c r="AJ7409">
        <v>0</v>
      </c>
      <c r="AK7409">
        <v>80.06</v>
      </c>
      <c r="AN7409" t="s">
        <v>7439</v>
      </c>
      <c r="AO7409">
        <v>10000</v>
      </c>
      <c r="AP7409" t="s">
        <v>46045</v>
      </c>
      <c r="AU7409">
        <v>0</v>
      </c>
      <c r="AW7409" t="s">
        <v>279</v>
      </c>
    </row>
    <row r="7410" spans="1:50">
      <c r="A7410" s="1">
        <f>HYPERLINK("https://lsnyc.legalserver.org/matter/dynamic-profile/view/1897641","19-1897641")</f>
        <v>0</v>
      </c>
      <c r="B7410" t="s">
        <v>128</v>
      </c>
      <c r="C7410" t="s">
        <v>341</v>
      </c>
      <c r="D7410" t="s">
        <v>763</v>
      </c>
      <c r="E7410" t="s">
        <v>830</v>
      </c>
      <c r="F7410" t="s">
        <v>1328</v>
      </c>
      <c r="G7410" t="s">
        <v>6727</v>
      </c>
      <c r="H7410" t="s">
        <v>14742</v>
      </c>
      <c r="I7410" t="s">
        <v>18465</v>
      </c>
      <c r="J7410" t="s">
        <v>18894</v>
      </c>
      <c r="K7410">
        <v>11225</v>
      </c>
      <c r="L7410" t="s">
        <v>18958</v>
      </c>
      <c r="M7410" t="s">
        <v>18958</v>
      </c>
      <c r="N7410" t="s">
        <v>24244</v>
      </c>
      <c r="O7410" t="s">
        <v>26526</v>
      </c>
      <c r="P7410" t="s">
        <v>26564</v>
      </c>
      <c r="Q7410" t="s">
        <v>26570</v>
      </c>
      <c r="R7410" t="s">
        <v>26586</v>
      </c>
      <c r="S7410" t="s">
        <v>18959</v>
      </c>
      <c r="U7410" t="s">
        <v>26604</v>
      </c>
      <c r="V7410" t="s">
        <v>26610</v>
      </c>
      <c r="W7410" t="s">
        <v>761</v>
      </c>
      <c r="X7410">
        <v>1226</v>
      </c>
      <c r="Y7410" t="s">
        <v>26652</v>
      </c>
      <c r="Z7410" t="s">
        <v>26664</v>
      </c>
      <c r="AA7410" t="s">
        <v>26683</v>
      </c>
      <c r="AB7410" t="s">
        <v>32246</v>
      </c>
      <c r="AD7410" t="s">
        <v>42619</v>
      </c>
      <c r="AE7410">
        <v>94</v>
      </c>
      <c r="AF7410" t="s">
        <v>45541</v>
      </c>
      <c r="AG7410" t="s">
        <v>19330</v>
      </c>
      <c r="AH7410">
        <v>5</v>
      </c>
      <c r="AI7410">
        <v>2</v>
      </c>
      <c r="AJ7410">
        <v>1</v>
      </c>
      <c r="AK7410">
        <v>131.27</v>
      </c>
      <c r="AN7410" t="s">
        <v>7439</v>
      </c>
      <c r="AO7410">
        <v>28000</v>
      </c>
      <c r="AU7410">
        <v>1.3</v>
      </c>
      <c r="AV7410" t="s">
        <v>770</v>
      </c>
      <c r="AW7410" t="s">
        <v>46862</v>
      </c>
      <c r="AX7410" t="s">
        <v>46897</v>
      </c>
    </row>
    <row r="7411" spans="1:50">
      <c r="A7411" s="1">
        <f>HYPERLINK("https://lsnyc.legalserver.org/matter/dynamic-profile/view/1897821","19-1897821")</f>
        <v>0</v>
      </c>
      <c r="B7411" t="s">
        <v>99</v>
      </c>
      <c r="C7411" t="s">
        <v>341</v>
      </c>
      <c r="D7411" t="s">
        <v>765</v>
      </c>
      <c r="E7411" t="s">
        <v>836</v>
      </c>
      <c r="F7411" t="s">
        <v>1072</v>
      </c>
      <c r="G7411" t="s">
        <v>1339</v>
      </c>
      <c r="H7411" t="s">
        <v>14743</v>
      </c>
      <c r="I7411" t="s">
        <v>18466</v>
      </c>
      <c r="J7411" t="s">
        <v>18894</v>
      </c>
      <c r="K7411">
        <v>11226</v>
      </c>
      <c r="L7411" t="s">
        <v>18958</v>
      </c>
      <c r="M7411" t="s">
        <v>18958</v>
      </c>
      <c r="N7411" t="s">
        <v>24245</v>
      </c>
      <c r="O7411" t="s">
        <v>26523</v>
      </c>
      <c r="P7411" t="s">
        <v>26560</v>
      </c>
      <c r="Q7411" t="s">
        <v>26568</v>
      </c>
      <c r="R7411" t="s">
        <v>26588</v>
      </c>
      <c r="S7411" t="s">
        <v>18959</v>
      </c>
      <c r="U7411" t="s">
        <v>26604</v>
      </c>
      <c r="V7411" t="s">
        <v>26611</v>
      </c>
      <c r="W7411" t="s">
        <v>761</v>
      </c>
      <c r="X7411">
        <v>1687.27</v>
      </c>
      <c r="Y7411" t="s">
        <v>26652</v>
      </c>
      <c r="Z7411" t="s">
        <v>26664</v>
      </c>
      <c r="AA7411" t="s">
        <v>26678</v>
      </c>
      <c r="AB7411" t="s">
        <v>32247</v>
      </c>
      <c r="AC7411" t="s">
        <v>19330</v>
      </c>
      <c r="AD7411" t="s">
        <v>42620</v>
      </c>
      <c r="AE7411">
        <v>129</v>
      </c>
      <c r="AF7411" t="s">
        <v>45541</v>
      </c>
      <c r="AG7411" t="s">
        <v>19330</v>
      </c>
      <c r="AH7411">
        <v>35</v>
      </c>
      <c r="AI7411">
        <v>1</v>
      </c>
      <c r="AJ7411">
        <v>0</v>
      </c>
      <c r="AK7411">
        <v>228.98</v>
      </c>
      <c r="AN7411" t="s">
        <v>7439</v>
      </c>
      <c r="AO7411">
        <v>28600</v>
      </c>
      <c r="AQ7411" t="s">
        <v>46359</v>
      </c>
      <c r="AR7411" t="s">
        <v>26530</v>
      </c>
      <c r="AS7411" t="s">
        <v>46499</v>
      </c>
      <c r="AT7411" t="s">
        <v>46717</v>
      </c>
      <c r="AU7411">
        <v>6.9</v>
      </c>
      <c r="AV7411" t="s">
        <v>836</v>
      </c>
      <c r="AW7411" t="s">
        <v>46853</v>
      </c>
      <c r="AX7411" t="s">
        <v>46897</v>
      </c>
    </row>
    <row r="7412" spans="1:50">
      <c r="A7412" s="1">
        <f>HYPERLINK("https://lsnyc.legalserver.org/matter/dynamic-profile/view/1897834","19-1897834")</f>
        <v>0</v>
      </c>
      <c r="B7412" t="s">
        <v>99</v>
      </c>
      <c r="C7412" t="s">
        <v>340</v>
      </c>
      <c r="D7412" t="s">
        <v>765</v>
      </c>
      <c r="F7412" t="s">
        <v>1051</v>
      </c>
      <c r="G7412" t="s">
        <v>5138</v>
      </c>
      <c r="H7412" t="s">
        <v>14744</v>
      </c>
      <c r="I7412" t="s">
        <v>18467</v>
      </c>
      <c r="J7412" t="s">
        <v>18894</v>
      </c>
      <c r="K7412">
        <v>11226</v>
      </c>
      <c r="L7412" t="s">
        <v>18958</v>
      </c>
      <c r="M7412" t="s">
        <v>18958</v>
      </c>
      <c r="N7412" t="s">
        <v>24246</v>
      </c>
      <c r="O7412" t="s">
        <v>26523</v>
      </c>
      <c r="P7412" t="s">
        <v>26560</v>
      </c>
      <c r="R7412" t="s">
        <v>26588</v>
      </c>
      <c r="U7412" t="s">
        <v>26604</v>
      </c>
      <c r="V7412" t="s">
        <v>26610</v>
      </c>
      <c r="W7412" t="s">
        <v>761</v>
      </c>
      <c r="X7412">
        <v>1300</v>
      </c>
      <c r="Y7412" t="s">
        <v>26652</v>
      </c>
      <c r="Z7412" t="s">
        <v>26664</v>
      </c>
      <c r="AB7412" t="s">
        <v>32248</v>
      </c>
      <c r="AD7412" t="s">
        <v>42621</v>
      </c>
      <c r="AE7412">
        <v>32</v>
      </c>
      <c r="AF7412" t="s">
        <v>45541</v>
      </c>
      <c r="AH7412">
        <v>5</v>
      </c>
      <c r="AI7412">
        <v>1</v>
      </c>
      <c r="AJ7412">
        <v>0</v>
      </c>
      <c r="AK7412">
        <v>0</v>
      </c>
      <c r="AN7412" t="s">
        <v>7439</v>
      </c>
      <c r="AO7412">
        <v>0</v>
      </c>
      <c r="AU7412">
        <v>7.2</v>
      </c>
      <c r="AV7412" t="s">
        <v>807</v>
      </c>
      <c r="AW7412" t="s">
        <v>46853</v>
      </c>
    </row>
    <row r="7413" spans="1:50">
      <c r="A7413" s="1">
        <f>HYPERLINK("https://lsnyc.legalserver.org/matter/dynamic-profile/view/1897390","19-1897390")</f>
        <v>0</v>
      </c>
      <c r="B7413" t="s">
        <v>276</v>
      </c>
      <c r="C7413" t="s">
        <v>340</v>
      </c>
      <c r="D7413" t="s">
        <v>766</v>
      </c>
      <c r="F7413" t="s">
        <v>1594</v>
      </c>
      <c r="G7413" t="s">
        <v>8277</v>
      </c>
      <c r="H7413" t="s">
        <v>12547</v>
      </c>
      <c r="J7413" t="s">
        <v>18894</v>
      </c>
      <c r="K7413">
        <v>11226</v>
      </c>
      <c r="L7413" t="s">
        <v>18958</v>
      </c>
      <c r="M7413" t="s">
        <v>18958</v>
      </c>
      <c r="O7413" t="s">
        <v>26526</v>
      </c>
      <c r="P7413" t="s">
        <v>26560</v>
      </c>
      <c r="R7413" t="s">
        <v>26578</v>
      </c>
      <c r="S7413" t="s">
        <v>18958</v>
      </c>
      <c r="U7413" t="s">
        <v>26604</v>
      </c>
      <c r="W7413" t="s">
        <v>761</v>
      </c>
      <c r="X7413">
        <v>1230</v>
      </c>
      <c r="Y7413" t="s">
        <v>26652</v>
      </c>
      <c r="AB7413" t="s">
        <v>30668</v>
      </c>
      <c r="AE7413">
        <v>0</v>
      </c>
      <c r="AH7413">
        <v>7</v>
      </c>
      <c r="AI7413">
        <v>2</v>
      </c>
      <c r="AJ7413">
        <v>0</v>
      </c>
      <c r="AK7413">
        <v>407.45</v>
      </c>
      <c r="AN7413" t="s">
        <v>7439</v>
      </c>
      <c r="AO7413">
        <v>68900</v>
      </c>
      <c r="AU7413">
        <v>2.5</v>
      </c>
      <c r="AV7413" t="s">
        <v>826</v>
      </c>
      <c r="AW7413" t="s">
        <v>219</v>
      </c>
    </row>
    <row r="7414" spans="1:50">
      <c r="A7414" s="1">
        <f>HYPERLINK("https://lsnyc.legalserver.org/matter/dynamic-profile/view/1890301","19-1890301")</f>
        <v>0</v>
      </c>
      <c r="B7414" t="s">
        <v>120</v>
      </c>
      <c r="C7414" t="s">
        <v>340</v>
      </c>
      <c r="D7414" t="s">
        <v>702</v>
      </c>
      <c r="F7414" t="s">
        <v>1228</v>
      </c>
      <c r="G7414" t="s">
        <v>5973</v>
      </c>
      <c r="H7414" t="s">
        <v>14745</v>
      </c>
      <c r="I7414" t="s">
        <v>18468</v>
      </c>
      <c r="J7414" t="s">
        <v>18892</v>
      </c>
      <c r="K7414">
        <v>10468</v>
      </c>
      <c r="L7414" t="s">
        <v>18958</v>
      </c>
      <c r="M7414" t="s">
        <v>18958</v>
      </c>
      <c r="N7414" t="s">
        <v>24247</v>
      </c>
      <c r="O7414" t="s">
        <v>26523</v>
      </c>
      <c r="P7414" t="s">
        <v>26560</v>
      </c>
      <c r="R7414" t="s">
        <v>26579</v>
      </c>
      <c r="S7414" t="s">
        <v>18959</v>
      </c>
      <c r="U7414" t="s">
        <v>26604</v>
      </c>
      <c r="W7414" t="s">
        <v>762</v>
      </c>
      <c r="X7414">
        <v>1395.11</v>
      </c>
      <c r="Y7414" t="s">
        <v>26650</v>
      </c>
      <c r="Z7414" t="s">
        <v>26668</v>
      </c>
      <c r="AB7414" t="s">
        <v>28991</v>
      </c>
      <c r="AC7414" t="s">
        <v>36329</v>
      </c>
      <c r="AD7414" t="s">
        <v>42622</v>
      </c>
      <c r="AE7414">
        <v>45</v>
      </c>
      <c r="AF7414" t="s">
        <v>45541</v>
      </c>
      <c r="AG7414" t="s">
        <v>45556</v>
      </c>
      <c r="AH7414">
        <v>8</v>
      </c>
      <c r="AI7414">
        <v>1</v>
      </c>
      <c r="AJ7414">
        <v>0</v>
      </c>
      <c r="AK7414">
        <v>0</v>
      </c>
      <c r="AN7414" t="s">
        <v>7439</v>
      </c>
      <c r="AO7414">
        <v>0</v>
      </c>
      <c r="AU7414">
        <v>35.1</v>
      </c>
      <c r="AV7414" t="s">
        <v>830</v>
      </c>
      <c r="AW7414" t="s">
        <v>46847</v>
      </c>
      <c r="AX7414" t="s">
        <v>46898</v>
      </c>
    </row>
    <row r="7415" spans="1:50">
      <c r="A7415" s="1">
        <f>HYPERLINK("https://lsnyc.legalserver.org/matter/dynamic-profile/view/1897103","19-1897103")</f>
        <v>0</v>
      </c>
      <c r="B7415" t="s">
        <v>149</v>
      </c>
      <c r="C7415" t="s">
        <v>341</v>
      </c>
      <c r="D7415" t="s">
        <v>724</v>
      </c>
      <c r="E7415" t="s">
        <v>835</v>
      </c>
      <c r="F7415" t="s">
        <v>982</v>
      </c>
      <c r="G7415" t="s">
        <v>6171</v>
      </c>
      <c r="H7415" t="s">
        <v>10026</v>
      </c>
      <c r="I7415" t="s">
        <v>18469</v>
      </c>
      <c r="J7415" t="s">
        <v>18892</v>
      </c>
      <c r="K7415">
        <v>10453</v>
      </c>
      <c r="L7415" t="s">
        <v>18958</v>
      </c>
      <c r="M7415" t="s">
        <v>18958</v>
      </c>
      <c r="N7415" t="s">
        <v>24248</v>
      </c>
      <c r="O7415" t="s">
        <v>26524</v>
      </c>
      <c r="P7415" t="s">
        <v>26564</v>
      </c>
      <c r="Q7415" t="s">
        <v>26570</v>
      </c>
      <c r="R7415" t="s">
        <v>26578</v>
      </c>
      <c r="S7415" t="s">
        <v>18959</v>
      </c>
      <c r="U7415" t="s">
        <v>26604</v>
      </c>
      <c r="V7415" t="s">
        <v>26610</v>
      </c>
      <c r="W7415" t="s">
        <v>762</v>
      </c>
      <c r="X7415">
        <v>210</v>
      </c>
      <c r="Y7415" t="s">
        <v>26650</v>
      </c>
      <c r="Z7415" t="s">
        <v>26668</v>
      </c>
      <c r="AA7415" t="s">
        <v>26683</v>
      </c>
      <c r="AB7415" t="s">
        <v>32249</v>
      </c>
      <c r="AD7415" t="s">
        <v>42623</v>
      </c>
      <c r="AE7415">
        <v>148</v>
      </c>
      <c r="AF7415" t="s">
        <v>45549</v>
      </c>
      <c r="AG7415" t="s">
        <v>19330</v>
      </c>
      <c r="AH7415">
        <v>4</v>
      </c>
      <c r="AI7415">
        <v>1</v>
      </c>
      <c r="AJ7415">
        <v>0</v>
      </c>
      <c r="AK7415">
        <v>0</v>
      </c>
      <c r="AN7415" t="s">
        <v>45581</v>
      </c>
      <c r="AO7415">
        <v>0</v>
      </c>
      <c r="AU7415">
        <v>2.2</v>
      </c>
      <c r="AV7415" t="s">
        <v>813</v>
      </c>
      <c r="AW7415" t="s">
        <v>336</v>
      </c>
      <c r="AX7415" t="s">
        <v>46897</v>
      </c>
    </row>
    <row r="7416" spans="1:50">
      <c r="A7416" s="1">
        <f>HYPERLINK("https://lsnyc.legalserver.org/matter/dynamic-profile/view/1896502","19-1896502")</f>
        <v>0</v>
      </c>
      <c r="B7416" t="s">
        <v>116</v>
      </c>
      <c r="C7416" t="s">
        <v>340</v>
      </c>
      <c r="D7416" t="s">
        <v>802</v>
      </c>
      <c r="F7416" t="s">
        <v>3946</v>
      </c>
      <c r="G7416" t="s">
        <v>8317</v>
      </c>
      <c r="H7416" t="s">
        <v>14746</v>
      </c>
      <c r="I7416">
        <v>7</v>
      </c>
      <c r="J7416" t="s">
        <v>18949</v>
      </c>
      <c r="K7416">
        <v>11233</v>
      </c>
      <c r="L7416" t="s">
        <v>18958</v>
      </c>
      <c r="M7416" t="s">
        <v>18958</v>
      </c>
      <c r="O7416" t="s">
        <v>26526</v>
      </c>
      <c r="P7416" t="s">
        <v>26565</v>
      </c>
      <c r="R7416" t="s">
        <v>26578</v>
      </c>
      <c r="U7416" t="s">
        <v>26604</v>
      </c>
      <c r="W7416" t="s">
        <v>762</v>
      </c>
      <c r="X7416">
        <v>859</v>
      </c>
      <c r="Y7416" t="s">
        <v>26652</v>
      </c>
      <c r="AB7416" t="s">
        <v>28905</v>
      </c>
      <c r="AD7416" t="s">
        <v>42624</v>
      </c>
      <c r="AE7416">
        <v>12</v>
      </c>
      <c r="AF7416" t="s">
        <v>45541</v>
      </c>
      <c r="AG7416" t="s">
        <v>45556</v>
      </c>
      <c r="AH7416">
        <v>0</v>
      </c>
      <c r="AI7416">
        <v>1</v>
      </c>
      <c r="AJ7416">
        <v>0</v>
      </c>
      <c r="AK7416">
        <v>74.36</v>
      </c>
      <c r="AN7416" t="s">
        <v>7439</v>
      </c>
      <c r="AO7416">
        <v>9288</v>
      </c>
      <c r="AU7416">
        <v>31.5</v>
      </c>
      <c r="AV7416" t="s">
        <v>839</v>
      </c>
      <c r="AW7416" t="s">
        <v>116</v>
      </c>
    </row>
    <row r="7417" spans="1:50">
      <c r="A7417" s="1">
        <f>HYPERLINK("https://lsnyc.legalserver.org/matter/dynamic-profile/view/1896805","19-1896805")</f>
        <v>0</v>
      </c>
      <c r="B7417" t="s">
        <v>97</v>
      </c>
      <c r="C7417" t="s">
        <v>340</v>
      </c>
      <c r="D7417" t="s">
        <v>672</v>
      </c>
      <c r="F7417" t="s">
        <v>1075</v>
      </c>
      <c r="G7417" t="s">
        <v>8318</v>
      </c>
      <c r="H7417" t="s">
        <v>14747</v>
      </c>
      <c r="I7417" t="s">
        <v>17410</v>
      </c>
      <c r="J7417" t="s">
        <v>18892</v>
      </c>
      <c r="K7417">
        <v>10472</v>
      </c>
      <c r="L7417" t="s">
        <v>18958</v>
      </c>
      <c r="M7417" t="s">
        <v>18958</v>
      </c>
      <c r="N7417" t="s">
        <v>24249</v>
      </c>
      <c r="O7417" t="s">
        <v>26523</v>
      </c>
      <c r="P7417" t="s">
        <v>26564</v>
      </c>
      <c r="R7417" t="s">
        <v>26577</v>
      </c>
      <c r="U7417" t="s">
        <v>26604</v>
      </c>
      <c r="V7417" t="s">
        <v>26610</v>
      </c>
      <c r="W7417" t="s">
        <v>762</v>
      </c>
      <c r="X7417">
        <v>386</v>
      </c>
      <c r="Y7417" t="s">
        <v>26650</v>
      </c>
      <c r="Z7417" t="s">
        <v>26668</v>
      </c>
      <c r="AB7417" t="s">
        <v>32250</v>
      </c>
      <c r="AE7417">
        <v>0</v>
      </c>
      <c r="AG7417" t="s">
        <v>45556</v>
      </c>
      <c r="AH7417">
        <v>5</v>
      </c>
      <c r="AI7417">
        <v>3</v>
      </c>
      <c r="AJ7417">
        <v>2</v>
      </c>
      <c r="AK7417">
        <v>112.03</v>
      </c>
      <c r="AN7417" t="s">
        <v>7439</v>
      </c>
      <c r="AO7417">
        <v>33800</v>
      </c>
      <c r="AU7417">
        <v>2.7</v>
      </c>
      <c r="AV7417" t="s">
        <v>811</v>
      </c>
      <c r="AW7417" t="s">
        <v>334</v>
      </c>
      <c r="AX7417" t="s">
        <v>46897</v>
      </c>
    </row>
    <row r="7418" spans="1:50">
      <c r="A7418" s="1">
        <f>HYPERLINK("https://lsnyc.legalserver.org/matter/dynamic-profile/view/1896799","19-1896799")</f>
        <v>0</v>
      </c>
      <c r="B7418" t="s">
        <v>54</v>
      </c>
      <c r="C7418" t="s">
        <v>340</v>
      </c>
      <c r="D7418" t="s">
        <v>672</v>
      </c>
      <c r="F7418" t="s">
        <v>3947</v>
      </c>
      <c r="G7418" t="s">
        <v>5303</v>
      </c>
      <c r="H7418" t="s">
        <v>14748</v>
      </c>
      <c r="I7418" t="s">
        <v>17321</v>
      </c>
      <c r="J7418" t="s">
        <v>18895</v>
      </c>
      <c r="K7418">
        <v>10472</v>
      </c>
      <c r="L7418" t="s">
        <v>18958</v>
      </c>
      <c r="M7418" t="s">
        <v>18958</v>
      </c>
      <c r="N7418" t="s">
        <v>24250</v>
      </c>
      <c r="O7418" t="s">
        <v>26526</v>
      </c>
      <c r="P7418" t="s">
        <v>26564</v>
      </c>
      <c r="R7418" t="s">
        <v>26577</v>
      </c>
      <c r="S7418" t="s">
        <v>18959</v>
      </c>
      <c r="U7418" t="s">
        <v>26604</v>
      </c>
      <c r="V7418" t="s">
        <v>26609</v>
      </c>
      <c r="W7418" t="s">
        <v>762</v>
      </c>
      <c r="X7418">
        <v>702</v>
      </c>
      <c r="Y7418" t="s">
        <v>26650</v>
      </c>
      <c r="Z7418" t="s">
        <v>26668</v>
      </c>
      <c r="AB7418" t="s">
        <v>32251</v>
      </c>
      <c r="AD7418" t="s">
        <v>42625</v>
      </c>
      <c r="AE7418">
        <v>0</v>
      </c>
      <c r="AF7418" t="s">
        <v>45549</v>
      </c>
      <c r="AH7418">
        <v>5</v>
      </c>
      <c r="AI7418">
        <v>1</v>
      </c>
      <c r="AJ7418">
        <v>3</v>
      </c>
      <c r="AK7418">
        <v>178.64</v>
      </c>
      <c r="AN7418" t="s">
        <v>7439</v>
      </c>
      <c r="AO7418">
        <v>46000</v>
      </c>
      <c r="AU7418">
        <v>2.4</v>
      </c>
      <c r="AV7418" t="s">
        <v>763</v>
      </c>
      <c r="AW7418" t="s">
        <v>334</v>
      </c>
      <c r="AX7418" t="s">
        <v>46897</v>
      </c>
    </row>
    <row r="7419" spans="1:50">
      <c r="A7419" s="1">
        <f>HYPERLINK("https://lsnyc.legalserver.org/matter/dynamic-profile/view/1896915","19-1896915")</f>
        <v>0</v>
      </c>
      <c r="B7419" t="s">
        <v>119</v>
      </c>
      <c r="C7419" t="s">
        <v>340</v>
      </c>
      <c r="D7419" t="s">
        <v>803</v>
      </c>
      <c r="F7419" t="s">
        <v>1923</v>
      </c>
      <c r="G7419" t="s">
        <v>5780</v>
      </c>
      <c r="H7419" t="s">
        <v>14749</v>
      </c>
      <c r="I7419" t="s">
        <v>17378</v>
      </c>
      <c r="J7419" t="s">
        <v>18893</v>
      </c>
      <c r="K7419">
        <v>10035</v>
      </c>
      <c r="L7419" t="s">
        <v>18958</v>
      </c>
      <c r="M7419" t="s">
        <v>18958</v>
      </c>
      <c r="N7419" t="s">
        <v>24251</v>
      </c>
      <c r="O7419" t="s">
        <v>26523</v>
      </c>
      <c r="P7419" t="s">
        <v>26563</v>
      </c>
      <c r="R7419" t="s">
        <v>26578</v>
      </c>
      <c r="S7419" t="s">
        <v>18959</v>
      </c>
      <c r="U7419" t="s">
        <v>26604</v>
      </c>
      <c r="W7419" t="s">
        <v>762</v>
      </c>
      <c r="X7419">
        <v>1978</v>
      </c>
      <c r="Y7419" t="s">
        <v>26651</v>
      </c>
      <c r="Z7419" t="s">
        <v>26661</v>
      </c>
      <c r="AB7419" t="s">
        <v>32252</v>
      </c>
      <c r="AD7419" t="s">
        <v>42626</v>
      </c>
      <c r="AE7419">
        <v>72</v>
      </c>
      <c r="AF7419" t="s">
        <v>45541</v>
      </c>
      <c r="AG7419" t="s">
        <v>45556</v>
      </c>
      <c r="AH7419">
        <v>36</v>
      </c>
      <c r="AI7419">
        <v>1</v>
      </c>
      <c r="AJ7419">
        <v>0</v>
      </c>
      <c r="AK7419">
        <v>74.08</v>
      </c>
      <c r="AN7419" t="s">
        <v>7439</v>
      </c>
      <c r="AO7419">
        <v>9252</v>
      </c>
      <c r="AU7419">
        <v>4.1</v>
      </c>
      <c r="AV7419" t="s">
        <v>833</v>
      </c>
      <c r="AW7419" t="s">
        <v>46829</v>
      </c>
    </row>
    <row r="7420" spans="1:50">
      <c r="A7420" s="1">
        <f>HYPERLINK("https://lsnyc.legalserver.org/matter/dynamic-profile/view/1897228","19-1897228")</f>
        <v>0</v>
      </c>
      <c r="B7420" t="s">
        <v>71</v>
      </c>
      <c r="C7420" t="s">
        <v>340</v>
      </c>
      <c r="D7420" t="s">
        <v>760</v>
      </c>
      <c r="F7420" t="s">
        <v>939</v>
      </c>
      <c r="G7420" t="s">
        <v>8319</v>
      </c>
      <c r="H7420" t="s">
        <v>14750</v>
      </c>
      <c r="I7420" t="s">
        <v>17301</v>
      </c>
      <c r="J7420" t="s">
        <v>18892</v>
      </c>
      <c r="K7420">
        <v>10459</v>
      </c>
      <c r="L7420" t="s">
        <v>18958</v>
      </c>
      <c r="M7420" t="s">
        <v>18958</v>
      </c>
      <c r="N7420" t="s">
        <v>24252</v>
      </c>
      <c r="O7420" t="s">
        <v>26523</v>
      </c>
      <c r="P7420" t="s">
        <v>26560</v>
      </c>
      <c r="R7420" t="s">
        <v>26577</v>
      </c>
      <c r="S7420" t="s">
        <v>18959</v>
      </c>
      <c r="U7420" t="s">
        <v>26604</v>
      </c>
      <c r="V7420" t="s">
        <v>26612</v>
      </c>
      <c r="W7420" t="s">
        <v>762</v>
      </c>
      <c r="X7420">
        <v>1466</v>
      </c>
      <c r="Y7420" t="s">
        <v>26650</v>
      </c>
      <c r="Z7420" t="s">
        <v>26668</v>
      </c>
      <c r="AB7420" t="s">
        <v>28077</v>
      </c>
      <c r="AD7420" t="s">
        <v>42627</v>
      </c>
      <c r="AE7420">
        <v>38</v>
      </c>
      <c r="AF7420" t="s">
        <v>45541</v>
      </c>
      <c r="AG7420" t="s">
        <v>26530</v>
      </c>
      <c r="AH7420">
        <v>30</v>
      </c>
      <c r="AI7420">
        <v>1</v>
      </c>
      <c r="AJ7420">
        <v>0</v>
      </c>
      <c r="AK7420">
        <v>164</v>
      </c>
      <c r="AN7420" t="s">
        <v>7439</v>
      </c>
      <c r="AO7420">
        <v>20484</v>
      </c>
      <c r="AQ7420" t="s">
        <v>46359</v>
      </c>
      <c r="AR7420" t="s">
        <v>46466</v>
      </c>
      <c r="AS7420" t="s">
        <v>46499</v>
      </c>
      <c r="AT7420" t="s">
        <v>46746</v>
      </c>
      <c r="AU7420">
        <v>4</v>
      </c>
      <c r="AV7420" t="s">
        <v>767</v>
      </c>
      <c r="AW7420" t="s">
        <v>284</v>
      </c>
      <c r="AX7420" t="s">
        <v>46897</v>
      </c>
    </row>
    <row r="7421" spans="1:50">
      <c r="A7421" s="1">
        <f>HYPERLINK("https://lsnyc.legalserver.org/matter/dynamic-profile/view/1897394","19-1897394")</f>
        <v>0</v>
      </c>
      <c r="B7421" t="s">
        <v>105</v>
      </c>
      <c r="C7421" t="s">
        <v>341</v>
      </c>
      <c r="D7421" t="s">
        <v>761</v>
      </c>
      <c r="E7421" t="s">
        <v>815</v>
      </c>
      <c r="F7421" t="s">
        <v>880</v>
      </c>
      <c r="G7421" t="s">
        <v>8320</v>
      </c>
      <c r="H7421" t="s">
        <v>14751</v>
      </c>
      <c r="I7421" t="s">
        <v>18470</v>
      </c>
      <c r="J7421" t="s">
        <v>18900</v>
      </c>
      <c r="K7421">
        <v>11367</v>
      </c>
      <c r="L7421" t="s">
        <v>18958</v>
      </c>
      <c r="M7421" t="s">
        <v>18958</v>
      </c>
      <c r="N7421" t="s">
        <v>24253</v>
      </c>
      <c r="O7421" t="s">
        <v>26524</v>
      </c>
      <c r="P7421" t="s">
        <v>26564</v>
      </c>
      <c r="Q7421" t="s">
        <v>26570</v>
      </c>
      <c r="R7421" t="s">
        <v>26578</v>
      </c>
      <c r="S7421" t="s">
        <v>18958</v>
      </c>
      <c r="U7421" t="s">
        <v>26604</v>
      </c>
      <c r="V7421" t="s">
        <v>26610</v>
      </c>
      <c r="W7421" t="s">
        <v>762</v>
      </c>
      <c r="X7421">
        <v>1136</v>
      </c>
      <c r="Y7421" t="s">
        <v>26653</v>
      </c>
      <c r="Z7421" t="s">
        <v>26664</v>
      </c>
      <c r="AA7421" t="s">
        <v>26683</v>
      </c>
      <c r="AB7421" t="s">
        <v>31732</v>
      </c>
      <c r="AC7421" t="s">
        <v>34738</v>
      </c>
      <c r="AD7421" t="s">
        <v>34738</v>
      </c>
      <c r="AE7421">
        <v>12</v>
      </c>
      <c r="AF7421" t="s">
        <v>45541</v>
      </c>
      <c r="AG7421" t="s">
        <v>19330</v>
      </c>
      <c r="AH7421">
        <v>30</v>
      </c>
      <c r="AI7421">
        <v>2</v>
      </c>
      <c r="AJ7421">
        <v>1</v>
      </c>
      <c r="AK7421">
        <v>196.91</v>
      </c>
      <c r="AN7421" t="s">
        <v>45598</v>
      </c>
      <c r="AO7421">
        <v>42000</v>
      </c>
      <c r="AU7421">
        <v>2.45</v>
      </c>
      <c r="AV7421" t="s">
        <v>804</v>
      </c>
      <c r="AW7421" t="s">
        <v>46884</v>
      </c>
    </row>
    <row r="7422" spans="1:50">
      <c r="A7422" s="1">
        <f>HYPERLINK("https://lsnyc.legalserver.org/matter/dynamic-profile/view/1897294","19-1897294")</f>
        <v>0</v>
      </c>
      <c r="B7422" t="s">
        <v>50</v>
      </c>
      <c r="C7422" t="s">
        <v>341</v>
      </c>
      <c r="D7422" t="s">
        <v>761</v>
      </c>
      <c r="E7422" t="s">
        <v>720</v>
      </c>
      <c r="F7422" t="s">
        <v>3948</v>
      </c>
      <c r="G7422" t="s">
        <v>8321</v>
      </c>
      <c r="H7422" t="s">
        <v>14752</v>
      </c>
      <c r="I7422" t="s">
        <v>17389</v>
      </c>
      <c r="J7422" t="s">
        <v>18892</v>
      </c>
      <c r="K7422">
        <v>10467</v>
      </c>
      <c r="L7422" t="s">
        <v>18958</v>
      </c>
      <c r="M7422" t="s">
        <v>18958</v>
      </c>
      <c r="N7422" t="s">
        <v>24254</v>
      </c>
      <c r="O7422" t="s">
        <v>26523</v>
      </c>
      <c r="P7422" t="s">
        <v>26560</v>
      </c>
      <c r="Q7422" t="s">
        <v>26575</v>
      </c>
      <c r="R7422" t="s">
        <v>26579</v>
      </c>
      <c r="U7422" t="s">
        <v>26604</v>
      </c>
      <c r="V7422" t="s">
        <v>26610</v>
      </c>
      <c r="W7422" t="s">
        <v>762</v>
      </c>
      <c r="X7422">
        <v>1333.64</v>
      </c>
      <c r="Y7422" t="s">
        <v>26650</v>
      </c>
      <c r="Z7422" t="s">
        <v>26664</v>
      </c>
      <c r="AA7422" t="s">
        <v>26678</v>
      </c>
      <c r="AB7422" t="s">
        <v>32253</v>
      </c>
      <c r="AD7422" t="s">
        <v>42628</v>
      </c>
      <c r="AE7422">
        <v>48</v>
      </c>
      <c r="AF7422" t="s">
        <v>45541</v>
      </c>
      <c r="AG7422" t="s">
        <v>19330</v>
      </c>
      <c r="AH7422">
        <v>27</v>
      </c>
      <c r="AI7422">
        <v>4</v>
      </c>
      <c r="AJ7422">
        <v>0</v>
      </c>
      <c r="AK7422">
        <v>54.34</v>
      </c>
      <c r="AN7422" t="s">
        <v>7439</v>
      </c>
      <c r="AO7422">
        <v>13992</v>
      </c>
      <c r="AS7422" t="s">
        <v>46499</v>
      </c>
      <c r="AU7422">
        <v>15.25</v>
      </c>
      <c r="AV7422" t="s">
        <v>720</v>
      </c>
      <c r="AW7422" t="s">
        <v>334</v>
      </c>
      <c r="AX7422" t="s">
        <v>46897</v>
      </c>
    </row>
    <row r="7423" spans="1:50">
      <c r="A7423" s="1">
        <f>HYPERLINK("https://lsnyc.legalserver.org/matter/dynamic-profile/view/1897504","19-1897504")</f>
        <v>0</v>
      </c>
      <c r="B7423" t="s">
        <v>94</v>
      </c>
      <c r="C7423" t="s">
        <v>341</v>
      </c>
      <c r="D7423" t="s">
        <v>762</v>
      </c>
      <c r="E7423" t="s">
        <v>762</v>
      </c>
      <c r="F7423" t="s">
        <v>1812</v>
      </c>
      <c r="G7423" t="s">
        <v>6639</v>
      </c>
      <c r="H7423" t="s">
        <v>14753</v>
      </c>
      <c r="I7423" t="s">
        <v>17322</v>
      </c>
      <c r="J7423" t="s">
        <v>18893</v>
      </c>
      <c r="K7423">
        <v>10002</v>
      </c>
      <c r="L7423" t="s">
        <v>18958</v>
      </c>
      <c r="M7423" t="s">
        <v>18958</v>
      </c>
      <c r="N7423" t="s">
        <v>24255</v>
      </c>
      <c r="O7423" t="s">
        <v>26523</v>
      </c>
      <c r="P7423" t="s">
        <v>26565</v>
      </c>
      <c r="Q7423" t="s">
        <v>26571</v>
      </c>
      <c r="R7423" t="s">
        <v>26582</v>
      </c>
      <c r="S7423" t="s">
        <v>18959</v>
      </c>
      <c r="U7423" t="s">
        <v>26605</v>
      </c>
      <c r="W7423" t="s">
        <v>762</v>
      </c>
      <c r="X7423">
        <v>277</v>
      </c>
      <c r="Y7423" t="s">
        <v>26651</v>
      </c>
      <c r="Z7423" t="s">
        <v>26664</v>
      </c>
      <c r="AA7423" t="s">
        <v>26683</v>
      </c>
      <c r="AB7423" t="s">
        <v>30847</v>
      </c>
      <c r="AC7423" t="s">
        <v>36330</v>
      </c>
      <c r="AD7423" t="s">
        <v>42629</v>
      </c>
      <c r="AE7423">
        <v>0</v>
      </c>
      <c r="AF7423" t="s">
        <v>45543</v>
      </c>
      <c r="AG7423" t="s">
        <v>19330</v>
      </c>
      <c r="AH7423">
        <v>-1</v>
      </c>
      <c r="AI7423">
        <v>1</v>
      </c>
      <c r="AJ7423">
        <v>1</v>
      </c>
      <c r="AK7423">
        <v>22.29</v>
      </c>
      <c r="AN7423" t="s">
        <v>7439</v>
      </c>
      <c r="AO7423">
        <v>3770</v>
      </c>
      <c r="AU7423">
        <v>0.1</v>
      </c>
      <c r="AV7423" t="s">
        <v>762</v>
      </c>
      <c r="AW7423" t="s">
        <v>314</v>
      </c>
    </row>
    <row r="7424" spans="1:50">
      <c r="A7424" s="1">
        <f>HYPERLINK("https://lsnyc.legalserver.org/matter/dynamic-profile/view/1897473","19-1897473")</f>
        <v>0</v>
      </c>
      <c r="B7424" t="s">
        <v>94</v>
      </c>
      <c r="C7424" t="s">
        <v>341</v>
      </c>
      <c r="D7424" t="s">
        <v>762</v>
      </c>
      <c r="E7424" t="s">
        <v>762</v>
      </c>
      <c r="F7424" t="s">
        <v>1178</v>
      </c>
      <c r="G7424" t="s">
        <v>3846</v>
      </c>
      <c r="H7424" t="s">
        <v>14754</v>
      </c>
      <c r="I7424" t="s">
        <v>17347</v>
      </c>
      <c r="J7424" t="s">
        <v>18945</v>
      </c>
      <c r="K7424">
        <v>10030</v>
      </c>
      <c r="L7424" t="s">
        <v>18958</v>
      </c>
      <c r="M7424" t="s">
        <v>18958</v>
      </c>
      <c r="N7424" t="s">
        <v>24256</v>
      </c>
      <c r="O7424" t="s">
        <v>26524</v>
      </c>
      <c r="P7424" t="s">
        <v>26565</v>
      </c>
      <c r="Q7424" t="s">
        <v>26571</v>
      </c>
      <c r="R7424" t="s">
        <v>26582</v>
      </c>
      <c r="S7424" t="s">
        <v>18959</v>
      </c>
      <c r="U7424" t="s">
        <v>26604</v>
      </c>
      <c r="W7424" t="s">
        <v>762</v>
      </c>
      <c r="X7424">
        <v>221</v>
      </c>
      <c r="Y7424" t="s">
        <v>26651</v>
      </c>
      <c r="Z7424" t="s">
        <v>26661</v>
      </c>
      <c r="AA7424" t="s">
        <v>26683</v>
      </c>
      <c r="AB7424" t="s">
        <v>32254</v>
      </c>
      <c r="AD7424" t="s">
        <v>42630</v>
      </c>
      <c r="AE7424">
        <v>10</v>
      </c>
      <c r="AF7424" t="s">
        <v>45541</v>
      </c>
      <c r="AG7424" t="s">
        <v>45556</v>
      </c>
      <c r="AH7424">
        <v>19</v>
      </c>
      <c r="AI7424">
        <v>2</v>
      </c>
      <c r="AJ7424">
        <v>1</v>
      </c>
      <c r="AK7424">
        <v>51.29</v>
      </c>
      <c r="AN7424" t="s">
        <v>7439</v>
      </c>
      <c r="AO7424">
        <v>10940</v>
      </c>
      <c r="AU7424">
        <v>0.1</v>
      </c>
      <c r="AV7424" t="s">
        <v>762</v>
      </c>
      <c r="AW7424" t="s">
        <v>46840</v>
      </c>
    </row>
    <row r="7425" spans="1:50">
      <c r="A7425" s="1">
        <f>HYPERLINK("https://lsnyc.legalserver.org/matter/dynamic-profile/view/1897445","19-1897445")</f>
        <v>0</v>
      </c>
      <c r="B7425" t="s">
        <v>109</v>
      </c>
      <c r="C7425" t="s">
        <v>341</v>
      </c>
      <c r="D7425" t="s">
        <v>762</v>
      </c>
      <c r="E7425" t="s">
        <v>819</v>
      </c>
      <c r="F7425" t="s">
        <v>3949</v>
      </c>
      <c r="G7425" t="s">
        <v>5550</v>
      </c>
      <c r="H7425" t="s">
        <v>14755</v>
      </c>
      <c r="I7425" t="s">
        <v>17374</v>
      </c>
      <c r="J7425" t="s">
        <v>18902</v>
      </c>
      <c r="K7425">
        <v>10304</v>
      </c>
      <c r="L7425" t="s">
        <v>18958</v>
      </c>
      <c r="M7425" t="s">
        <v>18958</v>
      </c>
      <c r="N7425" t="s">
        <v>24257</v>
      </c>
      <c r="O7425" t="s">
        <v>26523</v>
      </c>
      <c r="P7425" t="s">
        <v>26560</v>
      </c>
      <c r="Q7425" t="s">
        <v>26568</v>
      </c>
      <c r="R7425" t="s">
        <v>26578</v>
      </c>
      <c r="S7425" t="s">
        <v>18959</v>
      </c>
      <c r="U7425" t="s">
        <v>26604</v>
      </c>
      <c r="V7425" t="s">
        <v>26610</v>
      </c>
      <c r="W7425" t="s">
        <v>762</v>
      </c>
      <c r="X7425">
        <v>1250</v>
      </c>
      <c r="Y7425" t="s">
        <v>26654</v>
      </c>
      <c r="Z7425" t="s">
        <v>26668</v>
      </c>
      <c r="AA7425" t="s">
        <v>26678</v>
      </c>
      <c r="AB7425" t="s">
        <v>32255</v>
      </c>
      <c r="AD7425" t="s">
        <v>42631</v>
      </c>
      <c r="AE7425">
        <v>2</v>
      </c>
      <c r="AG7425" t="s">
        <v>45557</v>
      </c>
      <c r="AH7425">
        <v>1</v>
      </c>
      <c r="AI7425">
        <v>1</v>
      </c>
      <c r="AJ7425">
        <v>2</v>
      </c>
      <c r="AK7425">
        <v>170.65</v>
      </c>
      <c r="AN7425" t="s">
        <v>7439</v>
      </c>
      <c r="AO7425">
        <v>36399.96</v>
      </c>
      <c r="AU7425">
        <v>0.6</v>
      </c>
      <c r="AV7425" t="s">
        <v>768</v>
      </c>
      <c r="AW7425" t="s">
        <v>46883</v>
      </c>
    </row>
    <row r="7426" spans="1:50">
      <c r="A7426" s="1">
        <f>HYPERLINK("https://lsnyc.legalserver.org/matter/dynamic-profile/view/1897444","19-1897444")</f>
        <v>0</v>
      </c>
      <c r="B7426" t="s">
        <v>191</v>
      </c>
      <c r="C7426" t="s">
        <v>341</v>
      </c>
      <c r="D7426" t="s">
        <v>762</v>
      </c>
      <c r="E7426" t="s">
        <v>770</v>
      </c>
      <c r="F7426" t="s">
        <v>3950</v>
      </c>
      <c r="G7426" t="s">
        <v>5435</v>
      </c>
      <c r="H7426" t="s">
        <v>14756</v>
      </c>
      <c r="I7426" t="s">
        <v>18471</v>
      </c>
      <c r="J7426" t="s">
        <v>18893</v>
      </c>
      <c r="K7426">
        <v>10029</v>
      </c>
      <c r="L7426" t="s">
        <v>18958</v>
      </c>
      <c r="M7426" t="s">
        <v>18958</v>
      </c>
      <c r="N7426" t="s">
        <v>24258</v>
      </c>
      <c r="O7426" t="s">
        <v>26523</v>
      </c>
      <c r="P7426" t="s">
        <v>26564</v>
      </c>
      <c r="Q7426" t="s">
        <v>26571</v>
      </c>
      <c r="R7426" t="s">
        <v>26582</v>
      </c>
      <c r="S7426" t="s">
        <v>18959</v>
      </c>
      <c r="U7426" t="s">
        <v>26604</v>
      </c>
      <c r="W7426" t="s">
        <v>762</v>
      </c>
      <c r="X7426">
        <v>879</v>
      </c>
      <c r="Y7426" t="s">
        <v>26651</v>
      </c>
      <c r="Z7426" t="s">
        <v>26664</v>
      </c>
      <c r="AA7426" t="s">
        <v>26683</v>
      </c>
      <c r="AB7426" t="s">
        <v>32256</v>
      </c>
      <c r="AD7426" t="s">
        <v>42632</v>
      </c>
      <c r="AE7426">
        <v>200</v>
      </c>
      <c r="AF7426" t="s">
        <v>45541</v>
      </c>
      <c r="AG7426" t="s">
        <v>26530</v>
      </c>
      <c r="AH7426">
        <v>17</v>
      </c>
      <c r="AI7426">
        <v>2</v>
      </c>
      <c r="AJ7426">
        <v>2</v>
      </c>
      <c r="AK7426">
        <v>63.61</v>
      </c>
      <c r="AN7426" t="s">
        <v>7439</v>
      </c>
      <c r="AO7426">
        <v>16380</v>
      </c>
      <c r="AU7426">
        <v>0.8</v>
      </c>
      <c r="AV7426" t="s">
        <v>770</v>
      </c>
      <c r="AW7426" t="s">
        <v>46840</v>
      </c>
    </row>
    <row r="7427" spans="1:50">
      <c r="A7427" s="1">
        <f>HYPERLINK("https://lsnyc.legalserver.org/matter/dynamic-profile/view/1897469","19-1897469")</f>
        <v>0</v>
      </c>
      <c r="B7427" t="s">
        <v>64</v>
      </c>
      <c r="C7427" t="s">
        <v>341</v>
      </c>
      <c r="D7427" t="s">
        <v>762</v>
      </c>
      <c r="E7427" t="s">
        <v>836</v>
      </c>
      <c r="F7427" t="s">
        <v>3951</v>
      </c>
      <c r="G7427" t="s">
        <v>8322</v>
      </c>
      <c r="H7427" t="s">
        <v>14757</v>
      </c>
      <c r="I7427" t="s">
        <v>18472</v>
      </c>
      <c r="J7427" t="s">
        <v>18892</v>
      </c>
      <c r="K7427">
        <v>10453</v>
      </c>
      <c r="L7427" t="s">
        <v>18958</v>
      </c>
      <c r="M7427" t="s">
        <v>18958</v>
      </c>
      <c r="N7427" t="s">
        <v>24259</v>
      </c>
      <c r="O7427" t="s">
        <v>26524</v>
      </c>
      <c r="P7427" t="s">
        <v>26560</v>
      </c>
      <c r="Q7427" t="s">
        <v>26568</v>
      </c>
      <c r="R7427" t="s">
        <v>26577</v>
      </c>
      <c r="U7427" t="s">
        <v>26604</v>
      </c>
      <c r="V7427" t="s">
        <v>26610</v>
      </c>
      <c r="W7427" t="s">
        <v>762</v>
      </c>
      <c r="X7427">
        <v>1365</v>
      </c>
      <c r="Y7427" t="s">
        <v>26650</v>
      </c>
      <c r="Z7427" t="s">
        <v>26668</v>
      </c>
      <c r="AA7427" t="s">
        <v>26678</v>
      </c>
      <c r="AB7427" t="s">
        <v>32257</v>
      </c>
      <c r="AD7427" t="s">
        <v>42633</v>
      </c>
      <c r="AE7427">
        <v>0</v>
      </c>
      <c r="AF7427" t="s">
        <v>45541</v>
      </c>
      <c r="AG7427" t="s">
        <v>19330</v>
      </c>
      <c r="AH7427">
        <v>13</v>
      </c>
      <c r="AI7427">
        <v>3</v>
      </c>
      <c r="AJ7427">
        <v>0</v>
      </c>
      <c r="AK7427">
        <v>187.53</v>
      </c>
      <c r="AN7427" t="s">
        <v>7439</v>
      </c>
      <c r="AO7427">
        <v>40000</v>
      </c>
      <c r="AS7427" t="s">
        <v>46499</v>
      </c>
      <c r="AU7427">
        <v>9.1</v>
      </c>
      <c r="AV7427" t="s">
        <v>836</v>
      </c>
      <c r="AW7427" t="s">
        <v>334</v>
      </c>
    </row>
    <row r="7428" spans="1:50">
      <c r="A7428" s="1">
        <f>HYPERLINK("https://lsnyc.legalserver.org/matter/dynamic-profile/view/1897425","19-1897425")</f>
        <v>0</v>
      </c>
      <c r="B7428" t="s">
        <v>194</v>
      </c>
      <c r="C7428" t="s">
        <v>341</v>
      </c>
      <c r="D7428" t="s">
        <v>762</v>
      </c>
      <c r="E7428" t="s">
        <v>762</v>
      </c>
      <c r="F7428" t="s">
        <v>1197</v>
      </c>
      <c r="G7428" t="s">
        <v>5706</v>
      </c>
      <c r="H7428" t="s">
        <v>14758</v>
      </c>
      <c r="I7428" t="s">
        <v>17312</v>
      </c>
      <c r="J7428" t="s">
        <v>18893</v>
      </c>
      <c r="K7428">
        <v>10040</v>
      </c>
      <c r="L7428" t="s">
        <v>18958</v>
      </c>
      <c r="M7428" t="s">
        <v>18958</v>
      </c>
      <c r="N7428" t="s">
        <v>24260</v>
      </c>
      <c r="O7428" t="s">
        <v>26523</v>
      </c>
      <c r="P7428" t="s">
        <v>26564</v>
      </c>
      <c r="Q7428" t="s">
        <v>26571</v>
      </c>
      <c r="R7428" t="s">
        <v>26582</v>
      </c>
      <c r="S7428" t="s">
        <v>18959</v>
      </c>
      <c r="U7428" t="s">
        <v>26604</v>
      </c>
      <c r="W7428" t="s">
        <v>762</v>
      </c>
      <c r="X7428">
        <v>1353.8</v>
      </c>
      <c r="Y7428" t="s">
        <v>26651</v>
      </c>
      <c r="Z7428" t="s">
        <v>26664</v>
      </c>
      <c r="AA7428" t="s">
        <v>26683</v>
      </c>
      <c r="AB7428" t="s">
        <v>32258</v>
      </c>
      <c r="AD7428" t="s">
        <v>42634</v>
      </c>
      <c r="AE7428">
        <v>42</v>
      </c>
      <c r="AF7428" t="s">
        <v>45541</v>
      </c>
      <c r="AG7428" t="s">
        <v>19330</v>
      </c>
      <c r="AH7428">
        <v>10</v>
      </c>
      <c r="AI7428">
        <v>3</v>
      </c>
      <c r="AJ7428">
        <v>3</v>
      </c>
      <c r="AK7428">
        <v>87.48999999999999</v>
      </c>
      <c r="AN7428" t="s">
        <v>45581</v>
      </c>
      <c r="AO7428">
        <v>30264</v>
      </c>
      <c r="AU7428">
        <v>0.1</v>
      </c>
      <c r="AV7428" t="s">
        <v>762</v>
      </c>
      <c r="AW7428" t="s">
        <v>46875</v>
      </c>
    </row>
    <row r="7429" spans="1:50">
      <c r="A7429" s="1">
        <f>HYPERLINK("https://lsnyc.legalserver.org/matter/dynamic-profile/view/1897427","19-1897427")</f>
        <v>0</v>
      </c>
      <c r="B7429" t="s">
        <v>94</v>
      </c>
      <c r="C7429" t="s">
        <v>340</v>
      </c>
      <c r="D7429" t="s">
        <v>762</v>
      </c>
      <c r="F7429" t="s">
        <v>3952</v>
      </c>
      <c r="G7429" t="s">
        <v>8323</v>
      </c>
      <c r="H7429" t="s">
        <v>14759</v>
      </c>
      <c r="I7429" t="s">
        <v>17362</v>
      </c>
      <c r="J7429" t="s">
        <v>18893</v>
      </c>
      <c r="K7429">
        <v>10039</v>
      </c>
      <c r="L7429" t="s">
        <v>18958</v>
      </c>
      <c r="M7429" t="s">
        <v>18958</v>
      </c>
      <c r="N7429" t="s">
        <v>24261</v>
      </c>
      <c r="O7429" t="s">
        <v>26523</v>
      </c>
      <c r="P7429" t="s">
        <v>26560</v>
      </c>
      <c r="R7429" t="s">
        <v>26582</v>
      </c>
      <c r="S7429" t="s">
        <v>18959</v>
      </c>
      <c r="U7429" t="s">
        <v>26604</v>
      </c>
      <c r="W7429" t="s">
        <v>762</v>
      </c>
      <c r="X7429">
        <v>478</v>
      </c>
      <c r="Y7429" t="s">
        <v>26651</v>
      </c>
      <c r="Z7429" t="s">
        <v>26664</v>
      </c>
      <c r="AB7429" t="s">
        <v>32259</v>
      </c>
      <c r="AD7429" t="s">
        <v>42635</v>
      </c>
      <c r="AE7429">
        <v>44</v>
      </c>
      <c r="AF7429" t="s">
        <v>45541</v>
      </c>
      <c r="AG7429" t="s">
        <v>45556</v>
      </c>
      <c r="AH7429">
        <v>24</v>
      </c>
      <c r="AI7429">
        <v>1</v>
      </c>
      <c r="AJ7429">
        <v>0</v>
      </c>
      <c r="AK7429">
        <v>36.73</v>
      </c>
      <c r="AN7429" t="s">
        <v>7439</v>
      </c>
      <c r="AO7429">
        <v>4587.7</v>
      </c>
      <c r="AU7429">
        <v>6.2</v>
      </c>
      <c r="AV7429" t="s">
        <v>807</v>
      </c>
      <c r="AW7429" t="s">
        <v>46840</v>
      </c>
    </row>
    <row r="7430" spans="1:50">
      <c r="A7430" s="1">
        <f>HYPERLINK("https://lsnyc.legalserver.org/matter/dynamic-profile/view/1897495","19-1897495")</f>
        <v>0</v>
      </c>
      <c r="B7430" t="s">
        <v>94</v>
      </c>
      <c r="C7430" t="s">
        <v>340</v>
      </c>
      <c r="D7430" t="s">
        <v>762</v>
      </c>
      <c r="F7430" t="s">
        <v>1352</v>
      </c>
      <c r="G7430" t="s">
        <v>8324</v>
      </c>
      <c r="H7430" t="s">
        <v>13970</v>
      </c>
      <c r="I7430" t="s">
        <v>18473</v>
      </c>
      <c r="J7430" t="s">
        <v>18893</v>
      </c>
      <c r="K7430">
        <v>10009</v>
      </c>
      <c r="L7430" t="s">
        <v>18958</v>
      </c>
      <c r="M7430" t="s">
        <v>18958</v>
      </c>
      <c r="N7430" t="s">
        <v>24262</v>
      </c>
      <c r="O7430" t="s">
        <v>26524</v>
      </c>
      <c r="P7430" t="s">
        <v>26564</v>
      </c>
      <c r="R7430" t="s">
        <v>26582</v>
      </c>
      <c r="S7430" t="s">
        <v>18959</v>
      </c>
      <c r="U7430" t="s">
        <v>26604</v>
      </c>
      <c r="W7430" t="s">
        <v>762</v>
      </c>
      <c r="X7430">
        <v>415</v>
      </c>
      <c r="Y7430" t="s">
        <v>26651</v>
      </c>
      <c r="Z7430" t="s">
        <v>26661</v>
      </c>
      <c r="AB7430" t="s">
        <v>32260</v>
      </c>
      <c r="AD7430" t="s">
        <v>42636</v>
      </c>
      <c r="AE7430">
        <v>0</v>
      </c>
      <c r="AF7430" t="s">
        <v>45541</v>
      </c>
      <c r="AG7430" t="s">
        <v>19330</v>
      </c>
      <c r="AH7430">
        <v>30</v>
      </c>
      <c r="AI7430">
        <v>3</v>
      </c>
      <c r="AJ7430">
        <v>0</v>
      </c>
      <c r="AK7430">
        <v>121.97</v>
      </c>
      <c r="AN7430" t="s">
        <v>7439</v>
      </c>
      <c r="AO7430">
        <v>26016</v>
      </c>
      <c r="AU7430">
        <v>0</v>
      </c>
      <c r="AW7430" t="s">
        <v>46840</v>
      </c>
    </row>
    <row r="7431" spans="1:50">
      <c r="A7431" s="1">
        <f>HYPERLINK("https://lsnyc.legalserver.org/matter/dynamic-profile/view/1897481","19-1897481")</f>
        <v>0</v>
      </c>
      <c r="B7431" t="s">
        <v>94</v>
      </c>
      <c r="C7431" t="s">
        <v>340</v>
      </c>
      <c r="D7431" t="s">
        <v>762</v>
      </c>
      <c r="F7431" t="s">
        <v>3953</v>
      </c>
      <c r="G7431" t="s">
        <v>2001</v>
      </c>
      <c r="H7431" t="s">
        <v>14760</v>
      </c>
      <c r="I7431" t="s">
        <v>18377</v>
      </c>
      <c r="J7431" t="s">
        <v>18893</v>
      </c>
      <c r="K7431">
        <v>10017</v>
      </c>
      <c r="L7431" t="s">
        <v>18958</v>
      </c>
      <c r="M7431" t="s">
        <v>18958</v>
      </c>
      <c r="N7431" t="s">
        <v>24263</v>
      </c>
      <c r="O7431" t="s">
        <v>26523</v>
      </c>
      <c r="P7431" t="s">
        <v>26564</v>
      </c>
      <c r="R7431" t="s">
        <v>26582</v>
      </c>
      <c r="S7431" t="s">
        <v>18959</v>
      </c>
      <c r="U7431" t="s">
        <v>26604</v>
      </c>
      <c r="W7431" t="s">
        <v>762</v>
      </c>
      <c r="X7431">
        <v>548.53</v>
      </c>
      <c r="Y7431" t="s">
        <v>26651</v>
      </c>
      <c r="Z7431" t="s">
        <v>26663</v>
      </c>
      <c r="AB7431" t="s">
        <v>32261</v>
      </c>
      <c r="AC7431" t="s">
        <v>36331</v>
      </c>
      <c r="AD7431" t="s">
        <v>42637</v>
      </c>
      <c r="AE7431">
        <v>362</v>
      </c>
      <c r="AF7431" t="s">
        <v>45541</v>
      </c>
      <c r="AG7431" t="s">
        <v>45559</v>
      </c>
      <c r="AH7431">
        <v>18</v>
      </c>
      <c r="AI7431">
        <v>1</v>
      </c>
      <c r="AJ7431">
        <v>1</v>
      </c>
      <c r="AK7431">
        <v>132.49</v>
      </c>
      <c r="AN7431" t="s">
        <v>7439</v>
      </c>
      <c r="AO7431">
        <v>22404</v>
      </c>
      <c r="AU7431">
        <v>1</v>
      </c>
      <c r="AV7431" t="s">
        <v>762</v>
      </c>
      <c r="AW7431" t="s">
        <v>46875</v>
      </c>
    </row>
    <row r="7432" spans="1:50">
      <c r="A7432" s="1">
        <f>HYPERLINK("https://lsnyc.legalserver.org/matter/dynamic-profile/view/1897502","19-1897502")</f>
        <v>0</v>
      </c>
      <c r="B7432" t="s">
        <v>94</v>
      </c>
      <c r="C7432" t="s">
        <v>340</v>
      </c>
      <c r="D7432" t="s">
        <v>762</v>
      </c>
      <c r="F7432" t="s">
        <v>3954</v>
      </c>
      <c r="G7432" t="s">
        <v>8325</v>
      </c>
      <c r="H7432" t="s">
        <v>14761</v>
      </c>
      <c r="I7432" t="s">
        <v>17349</v>
      </c>
      <c r="J7432" t="s">
        <v>18893</v>
      </c>
      <c r="K7432">
        <v>10032</v>
      </c>
      <c r="L7432" t="s">
        <v>18958</v>
      </c>
      <c r="M7432" t="s">
        <v>18958</v>
      </c>
      <c r="N7432" t="s">
        <v>24264</v>
      </c>
      <c r="O7432" t="s">
        <v>26523</v>
      </c>
      <c r="P7432" t="s">
        <v>26564</v>
      </c>
      <c r="R7432" t="s">
        <v>26582</v>
      </c>
      <c r="S7432" t="s">
        <v>18959</v>
      </c>
      <c r="U7432" t="s">
        <v>26604</v>
      </c>
      <c r="W7432" t="s">
        <v>762</v>
      </c>
      <c r="X7432">
        <v>1157</v>
      </c>
      <c r="Y7432" t="s">
        <v>26651</v>
      </c>
      <c r="Z7432" t="s">
        <v>26664</v>
      </c>
      <c r="AB7432" t="s">
        <v>32262</v>
      </c>
      <c r="AD7432" t="s">
        <v>42638</v>
      </c>
      <c r="AE7432">
        <v>54</v>
      </c>
      <c r="AF7432" t="s">
        <v>20460</v>
      </c>
      <c r="AG7432" t="s">
        <v>19330</v>
      </c>
      <c r="AH7432">
        <v>34</v>
      </c>
      <c r="AI7432">
        <v>2</v>
      </c>
      <c r="AJ7432">
        <v>0</v>
      </c>
      <c r="AK7432">
        <v>194.95</v>
      </c>
      <c r="AN7432" t="s">
        <v>7439</v>
      </c>
      <c r="AO7432">
        <v>32965.46</v>
      </c>
      <c r="AU7432">
        <v>1.3</v>
      </c>
      <c r="AV7432" t="s">
        <v>810</v>
      </c>
      <c r="AW7432" t="s">
        <v>46875</v>
      </c>
    </row>
    <row r="7433" spans="1:50">
      <c r="A7433" s="1">
        <f>HYPERLINK("https://lsnyc.legalserver.org/matter/dynamic-profile/view/1897442","19-1897442")</f>
        <v>0</v>
      </c>
      <c r="B7433" t="s">
        <v>94</v>
      </c>
      <c r="C7433" t="s">
        <v>340</v>
      </c>
      <c r="D7433" t="s">
        <v>762</v>
      </c>
      <c r="F7433" t="s">
        <v>3955</v>
      </c>
      <c r="G7433" t="s">
        <v>8326</v>
      </c>
      <c r="H7433" t="s">
        <v>9835</v>
      </c>
      <c r="I7433">
        <v>1705</v>
      </c>
      <c r="J7433" t="s">
        <v>18893</v>
      </c>
      <c r="K7433">
        <v>10029</v>
      </c>
      <c r="L7433" t="s">
        <v>18958</v>
      </c>
      <c r="M7433" t="s">
        <v>18958</v>
      </c>
      <c r="N7433" t="s">
        <v>24265</v>
      </c>
      <c r="O7433" t="s">
        <v>26523</v>
      </c>
      <c r="P7433" t="s">
        <v>26564</v>
      </c>
      <c r="R7433" t="s">
        <v>26582</v>
      </c>
      <c r="S7433" t="s">
        <v>18959</v>
      </c>
      <c r="U7433" t="s">
        <v>26604</v>
      </c>
      <c r="W7433" t="s">
        <v>762</v>
      </c>
      <c r="X7433">
        <v>790</v>
      </c>
      <c r="Y7433" t="s">
        <v>26651</v>
      </c>
      <c r="Z7433" t="s">
        <v>26664</v>
      </c>
      <c r="AB7433" t="s">
        <v>32263</v>
      </c>
      <c r="AD7433" t="s">
        <v>42639</v>
      </c>
      <c r="AE7433">
        <v>1604</v>
      </c>
      <c r="AF7433" t="s">
        <v>45550</v>
      </c>
      <c r="AG7433" t="s">
        <v>19330</v>
      </c>
      <c r="AH7433">
        <v>40</v>
      </c>
      <c r="AI7433">
        <v>3</v>
      </c>
      <c r="AJ7433">
        <v>0</v>
      </c>
      <c r="AK7433">
        <v>283.15</v>
      </c>
      <c r="AN7433" t="s">
        <v>7439</v>
      </c>
      <c r="AO7433">
        <v>60396</v>
      </c>
      <c r="AU7433">
        <v>0</v>
      </c>
      <c r="AW7433" t="s">
        <v>46875</v>
      </c>
    </row>
    <row r="7434" spans="1:50">
      <c r="A7434" s="1">
        <f>HYPERLINK("https://lsnyc.legalserver.org/matter/dynamic-profile/view/1897453","19-1897453")</f>
        <v>0</v>
      </c>
      <c r="B7434" t="s">
        <v>109</v>
      </c>
      <c r="C7434" t="s">
        <v>340</v>
      </c>
      <c r="D7434" t="s">
        <v>762</v>
      </c>
      <c r="F7434" t="s">
        <v>1251</v>
      </c>
      <c r="G7434" t="s">
        <v>8327</v>
      </c>
      <c r="H7434" t="s">
        <v>14762</v>
      </c>
      <c r="J7434" t="s">
        <v>18902</v>
      </c>
      <c r="K7434">
        <v>10304</v>
      </c>
      <c r="L7434" t="s">
        <v>18958</v>
      </c>
      <c r="M7434" t="s">
        <v>18958</v>
      </c>
      <c r="N7434" t="s">
        <v>24266</v>
      </c>
      <c r="O7434" t="s">
        <v>26533</v>
      </c>
      <c r="P7434" t="s">
        <v>26560</v>
      </c>
      <c r="R7434" t="s">
        <v>26578</v>
      </c>
      <c r="S7434" t="s">
        <v>18959</v>
      </c>
      <c r="U7434" t="s">
        <v>26604</v>
      </c>
      <c r="V7434" t="s">
        <v>26610</v>
      </c>
      <c r="W7434" t="s">
        <v>762</v>
      </c>
      <c r="X7434">
        <v>0</v>
      </c>
      <c r="Y7434" t="s">
        <v>26654</v>
      </c>
      <c r="Z7434" t="s">
        <v>26668</v>
      </c>
      <c r="AB7434" t="s">
        <v>32264</v>
      </c>
      <c r="AD7434" t="s">
        <v>42640</v>
      </c>
      <c r="AE7434">
        <v>1</v>
      </c>
      <c r="AH7434">
        <v>-1</v>
      </c>
      <c r="AI7434">
        <v>2</v>
      </c>
      <c r="AJ7434">
        <v>2</v>
      </c>
      <c r="AK7434">
        <v>0</v>
      </c>
      <c r="AN7434" t="s">
        <v>7439</v>
      </c>
      <c r="AO7434">
        <v>0</v>
      </c>
      <c r="AU7434">
        <v>0</v>
      </c>
      <c r="AW7434" t="s">
        <v>46883</v>
      </c>
      <c r="AX7434" t="s">
        <v>46897</v>
      </c>
    </row>
    <row r="7435" spans="1:50">
      <c r="A7435" s="1">
        <f>HYPERLINK("https://lsnyc.legalserver.org/matter/dynamic-profile/view/1897482","19-1897482")</f>
        <v>0</v>
      </c>
      <c r="B7435" t="s">
        <v>191</v>
      </c>
      <c r="C7435" t="s">
        <v>340</v>
      </c>
      <c r="D7435" t="s">
        <v>762</v>
      </c>
      <c r="F7435" t="s">
        <v>901</v>
      </c>
      <c r="G7435" t="s">
        <v>8328</v>
      </c>
      <c r="H7435" t="s">
        <v>14763</v>
      </c>
      <c r="I7435">
        <v>11</v>
      </c>
      <c r="J7435" t="s">
        <v>18893</v>
      </c>
      <c r="K7435">
        <v>10039</v>
      </c>
      <c r="L7435" t="s">
        <v>18958</v>
      </c>
      <c r="M7435" t="s">
        <v>18958</v>
      </c>
      <c r="N7435" t="s">
        <v>24267</v>
      </c>
      <c r="O7435" t="s">
        <v>26524</v>
      </c>
      <c r="P7435" t="s">
        <v>26565</v>
      </c>
      <c r="R7435" t="s">
        <v>26582</v>
      </c>
      <c r="S7435" t="s">
        <v>18959</v>
      </c>
      <c r="U7435" t="s">
        <v>26604</v>
      </c>
      <c r="W7435" t="s">
        <v>762</v>
      </c>
      <c r="X7435">
        <v>0</v>
      </c>
      <c r="Y7435" t="s">
        <v>26651</v>
      </c>
      <c r="Z7435" t="s">
        <v>26664</v>
      </c>
      <c r="AB7435" t="s">
        <v>27038</v>
      </c>
      <c r="AD7435" t="s">
        <v>42641</v>
      </c>
      <c r="AE7435">
        <v>19</v>
      </c>
      <c r="AF7435" t="s">
        <v>45541</v>
      </c>
      <c r="AG7435" t="s">
        <v>19330</v>
      </c>
      <c r="AH7435">
        <v>18</v>
      </c>
      <c r="AI7435">
        <v>1</v>
      </c>
      <c r="AJ7435">
        <v>0</v>
      </c>
      <c r="AK7435">
        <v>0</v>
      </c>
      <c r="AN7435" t="s">
        <v>45581</v>
      </c>
      <c r="AO7435">
        <v>0</v>
      </c>
      <c r="AU7435">
        <v>0</v>
      </c>
      <c r="AW7435" t="s">
        <v>46840</v>
      </c>
    </row>
    <row r="7436" spans="1:50">
      <c r="A7436" s="1">
        <f>HYPERLINK("https://lsnyc.legalserver.org/matter/dynamic-profile/view/1897467","19-1897467")</f>
        <v>0</v>
      </c>
      <c r="B7436" t="s">
        <v>191</v>
      </c>
      <c r="C7436" t="s">
        <v>340</v>
      </c>
      <c r="D7436" t="s">
        <v>762</v>
      </c>
      <c r="F7436" t="s">
        <v>1084</v>
      </c>
      <c r="G7436" t="s">
        <v>5481</v>
      </c>
      <c r="H7436" t="s">
        <v>14764</v>
      </c>
      <c r="I7436" t="s">
        <v>17380</v>
      </c>
      <c r="J7436" t="s">
        <v>18893</v>
      </c>
      <c r="K7436">
        <v>10038</v>
      </c>
      <c r="L7436" t="s">
        <v>18958</v>
      </c>
      <c r="M7436" t="s">
        <v>18958</v>
      </c>
      <c r="N7436" t="s">
        <v>24268</v>
      </c>
      <c r="O7436" t="s">
        <v>26523</v>
      </c>
      <c r="P7436" t="s">
        <v>26564</v>
      </c>
      <c r="R7436" t="s">
        <v>26582</v>
      </c>
      <c r="S7436" t="s">
        <v>18959</v>
      </c>
      <c r="U7436" t="s">
        <v>26604</v>
      </c>
      <c r="W7436" t="s">
        <v>762</v>
      </c>
      <c r="X7436">
        <v>575</v>
      </c>
      <c r="Y7436" t="s">
        <v>26651</v>
      </c>
      <c r="Z7436" t="s">
        <v>26664</v>
      </c>
      <c r="AB7436" t="s">
        <v>32265</v>
      </c>
      <c r="AC7436" t="s">
        <v>36332</v>
      </c>
      <c r="AD7436" t="s">
        <v>42642</v>
      </c>
      <c r="AE7436">
        <v>0</v>
      </c>
      <c r="AF7436" t="s">
        <v>45549</v>
      </c>
      <c r="AG7436" t="s">
        <v>19330</v>
      </c>
      <c r="AH7436">
        <v>24</v>
      </c>
      <c r="AI7436">
        <v>3</v>
      </c>
      <c r="AJ7436">
        <v>1</v>
      </c>
      <c r="AK7436">
        <v>34.49</v>
      </c>
      <c r="AN7436" t="s">
        <v>7439</v>
      </c>
      <c r="AO7436">
        <v>8880</v>
      </c>
      <c r="AU7436">
        <v>0.1</v>
      </c>
      <c r="AV7436" t="s">
        <v>762</v>
      </c>
      <c r="AW7436" t="s">
        <v>46875</v>
      </c>
    </row>
    <row r="7437" spans="1:50">
      <c r="A7437" s="1">
        <f>HYPERLINK("https://lsnyc.legalserver.org/matter/dynamic-profile/view/1897533","19-1897533")</f>
        <v>0</v>
      </c>
      <c r="B7437" t="s">
        <v>191</v>
      </c>
      <c r="C7437" t="s">
        <v>340</v>
      </c>
      <c r="D7437" t="s">
        <v>762</v>
      </c>
      <c r="F7437" t="s">
        <v>1154</v>
      </c>
      <c r="G7437" t="s">
        <v>5078</v>
      </c>
      <c r="H7437" t="s">
        <v>14765</v>
      </c>
      <c r="I7437" t="s">
        <v>17299</v>
      </c>
      <c r="J7437" t="s">
        <v>18893</v>
      </c>
      <c r="K7437">
        <v>10029</v>
      </c>
      <c r="L7437" t="s">
        <v>18958</v>
      </c>
      <c r="M7437" t="s">
        <v>18958</v>
      </c>
      <c r="N7437" t="s">
        <v>24269</v>
      </c>
      <c r="O7437" t="s">
        <v>26524</v>
      </c>
      <c r="P7437" t="s">
        <v>26564</v>
      </c>
      <c r="R7437" t="s">
        <v>26582</v>
      </c>
      <c r="S7437" t="s">
        <v>18959</v>
      </c>
      <c r="U7437" t="s">
        <v>26604</v>
      </c>
      <c r="W7437" t="s">
        <v>762</v>
      </c>
      <c r="X7437">
        <v>735.5</v>
      </c>
      <c r="Y7437" t="s">
        <v>26651</v>
      </c>
      <c r="Z7437" t="s">
        <v>26663</v>
      </c>
      <c r="AB7437" t="s">
        <v>29891</v>
      </c>
      <c r="AD7437" t="s">
        <v>42643</v>
      </c>
      <c r="AE7437">
        <v>8</v>
      </c>
      <c r="AF7437" t="s">
        <v>45548</v>
      </c>
      <c r="AG7437" t="s">
        <v>19330</v>
      </c>
      <c r="AH7437">
        <v>14</v>
      </c>
      <c r="AI7437">
        <v>2</v>
      </c>
      <c r="AJ7437">
        <v>2</v>
      </c>
      <c r="AK7437">
        <v>116.5</v>
      </c>
      <c r="AN7437" t="s">
        <v>45581</v>
      </c>
      <c r="AO7437">
        <v>30000</v>
      </c>
      <c r="AU7437">
        <v>1.8</v>
      </c>
      <c r="AV7437" t="s">
        <v>819</v>
      </c>
      <c r="AW7437" t="s">
        <v>46875</v>
      </c>
    </row>
    <row r="7438" spans="1:50">
      <c r="A7438" s="1">
        <f>HYPERLINK("https://lsnyc.legalserver.org/matter/dynamic-profile/view/1897512","19-1897512")</f>
        <v>0</v>
      </c>
      <c r="B7438" t="s">
        <v>191</v>
      </c>
      <c r="C7438" t="s">
        <v>340</v>
      </c>
      <c r="D7438" t="s">
        <v>762</v>
      </c>
      <c r="F7438" t="s">
        <v>940</v>
      </c>
      <c r="G7438" t="s">
        <v>8329</v>
      </c>
      <c r="H7438" t="s">
        <v>14766</v>
      </c>
      <c r="I7438" t="s">
        <v>17424</v>
      </c>
      <c r="J7438" t="s">
        <v>18893</v>
      </c>
      <c r="K7438">
        <v>10027</v>
      </c>
      <c r="L7438" t="s">
        <v>18958</v>
      </c>
      <c r="M7438" t="s">
        <v>18958</v>
      </c>
      <c r="N7438" t="s">
        <v>24270</v>
      </c>
      <c r="O7438" t="s">
        <v>26524</v>
      </c>
      <c r="P7438" t="s">
        <v>26564</v>
      </c>
      <c r="R7438" t="s">
        <v>26580</v>
      </c>
      <c r="S7438" t="s">
        <v>18959</v>
      </c>
      <c r="U7438" t="s">
        <v>26605</v>
      </c>
      <c r="W7438" t="s">
        <v>762</v>
      </c>
      <c r="X7438">
        <v>430</v>
      </c>
      <c r="Y7438" t="s">
        <v>26651</v>
      </c>
      <c r="Z7438" t="s">
        <v>26664</v>
      </c>
      <c r="AB7438" t="s">
        <v>32266</v>
      </c>
      <c r="AC7438" t="s">
        <v>36333</v>
      </c>
      <c r="AD7438" t="s">
        <v>42644</v>
      </c>
      <c r="AE7438">
        <v>650</v>
      </c>
      <c r="AF7438" t="s">
        <v>45549</v>
      </c>
      <c r="AG7438" t="s">
        <v>19330</v>
      </c>
      <c r="AH7438">
        <v>4</v>
      </c>
      <c r="AI7438">
        <v>1</v>
      </c>
      <c r="AJ7438">
        <v>0</v>
      </c>
      <c r="AK7438">
        <v>72.06</v>
      </c>
      <c r="AN7438" t="s">
        <v>7439</v>
      </c>
      <c r="AO7438">
        <v>9000</v>
      </c>
      <c r="AU7438">
        <v>1</v>
      </c>
      <c r="AV7438" t="s">
        <v>762</v>
      </c>
      <c r="AW7438" t="s">
        <v>46875</v>
      </c>
    </row>
    <row r="7439" spans="1:50">
      <c r="A7439" s="1">
        <f>HYPERLINK("https://lsnyc.legalserver.org/matter/dynamic-profile/view/1897501","19-1897501")</f>
        <v>0</v>
      </c>
      <c r="B7439" t="s">
        <v>258</v>
      </c>
      <c r="C7439" t="s">
        <v>340</v>
      </c>
      <c r="D7439" t="s">
        <v>762</v>
      </c>
      <c r="F7439" t="s">
        <v>1029</v>
      </c>
      <c r="G7439" t="s">
        <v>8330</v>
      </c>
      <c r="H7439" t="s">
        <v>14767</v>
      </c>
      <c r="I7439" t="s">
        <v>17312</v>
      </c>
      <c r="J7439" t="s">
        <v>18913</v>
      </c>
      <c r="K7439">
        <v>11102</v>
      </c>
      <c r="L7439" t="s">
        <v>18958</v>
      </c>
      <c r="M7439" t="s">
        <v>18958</v>
      </c>
      <c r="N7439" t="s">
        <v>19037</v>
      </c>
      <c r="O7439" t="s">
        <v>26531</v>
      </c>
      <c r="P7439" t="s">
        <v>26565</v>
      </c>
      <c r="R7439" t="s">
        <v>26578</v>
      </c>
      <c r="S7439" t="s">
        <v>18959</v>
      </c>
      <c r="U7439" t="s">
        <v>26604</v>
      </c>
      <c r="W7439" t="s">
        <v>762</v>
      </c>
      <c r="X7439">
        <v>1048.94</v>
      </c>
      <c r="Y7439" t="s">
        <v>26653</v>
      </c>
      <c r="Z7439" t="s">
        <v>26663</v>
      </c>
      <c r="AB7439" t="s">
        <v>32267</v>
      </c>
      <c r="AD7439" t="s">
        <v>42645</v>
      </c>
      <c r="AE7439">
        <v>6</v>
      </c>
      <c r="AF7439" t="s">
        <v>45541</v>
      </c>
      <c r="AG7439" t="s">
        <v>45559</v>
      </c>
      <c r="AH7439">
        <v>30</v>
      </c>
      <c r="AI7439">
        <v>1</v>
      </c>
      <c r="AJ7439">
        <v>0</v>
      </c>
      <c r="AK7439">
        <v>75.31999999999999</v>
      </c>
      <c r="AN7439" t="s">
        <v>7439</v>
      </c>
      <c r="AO7439">
        <v>9408</v>
      </c>
      <c r="AU7439">
        <v>1.5</v>
      </c>
      <c r="AV7439" t="s">
        <v>832</v>
      </c>
      <c r="AW7439" t="s">
        <v>280</v>
      </c>
      <c r="AX7439" t="s">
        <v>46897</v>
      </c>
    </row>
    <row r="7440" spans="1:50">
      <c r="A7440" s="1">
        <f>HYPERLINK("https://lsnyc.legalserver.org/matter/dynamic-profile/view/1897478","19-1897478")</f>
        <v>0</v>
      </c>
      <c r="B7440" t="s">
        <v>64</v>
      </c>
      <c r="C7440" t="s">
        <v>340</v>
      </c>
      <c r="D7440" t="s">
        <v>762</v>
      </c>
      <c r="F7440" t="s">
        <v>3956</v>
      </c>
      <c r="G7440" t="s">
        <v>8331</v>
      </c>
      <c r="H7440" t="s">
        <v>14768</v>
      </c>
      <c r="I7440" t="s">
        <v>17406</v>
      </c>
      <c r="J7440" t="s">
        <v>18892</v>
      </c>
      <c r="K7440">
        <v>10468</v>
      </c>
      <c r="L7440" t="s">
        <v>18958</v>
      </c>
      <c r="M7440" t="s">
        <v>18958</v>
      </c>
      <c r="N7440" t="s">
        <v>24271</v>
      </c>
      <c r="O7440" t="s">
        <v>26523</v>
      </c>
      <c r="P7440" t="s">
        <v>26560</v>
      </c>
      <c r="R7440" t="s">
        <v>26579</v>
      </c>
      <c r="S7440" t="s">
        <v>18959</v>
      </c>
      <c r="U7440" t="s">
        <v>26604</v>
      </c>
      <c r="V7440" t="s">
        <v>26610</v>
      </c>
      <c r="W7440" t="s">
        <v>762</v>
      </c>
      <c r="X7440">
        <v>1500</v>
      </c>
      <c r="Y7440" t="s">
        <v>26650</v>
      </c>
      <c r="Z7440" t="s">
        <v>26664</v>
      </c>
      <c r="AB7440" t="s">
        <v>32268</v>
      </c>
      <c r="AC7440" t="s">
        <v>36334</v>
      </c>
      <c r="AD7440" t="s">
        <v>42646</v>
      </c>
      <c r="AE7440">
        <v>42</v>
      </c>
      <c r="AF7440" t="s">
        <v>45541</v>
      </c>
      <c r="AG7440" t="s">
        <v>45557</v>
      </c>
      <c r="AH7440">
        <v>4</v>
      </c>
      <c r="AI7440">
        <v>1</v>
      </c>
      <c r="AJ7440">
        <v>1</v>
      </c>
      <c r="AK7440">
        <v>92.25</v>
      </c>
      <c r="AN7440" t="s">
        <v>45581</v>
      </c>
      <c r="AO7440">
        <v>15600</v>
      </c>
      <c r="AU7440">
        <v>5.95</v>
      </c>
      <c r="AV7440" t="s">
        <v>814</v>
      </c>
      <c r="AW7440" t="s">
        <v>46870</v>
      </c>
    </row>
    <row r="7441" spans="1:50">
      <c r="A7441" s="1">
        <f>HYPERLINK("https://lsnyc.legalserver.org/matter/dynamic-profile/view/1897449","19-1897449")</f>
        <v>0</v>
      </c>
      <c r="B7441" t="s">
        <v>64</v>
      </c>
      <c r="C7441" t="s">
        <v>340</v>
      </c>
      <c r="D7441" t="s">
        <v>762</v>
      </c>
      <c r="F7441" t="s">
        <v>3957</v>
      </c>
      <c r="G7441" t="s">
        <v>8332</v>
      </c>
      <c r="H7441" t="s">
        <v>14769</v>
      </c>
      <c r="I7441">
        <v>7</v>
      </c>
      <c r="J7441" t="s">
        <v>18892</v>
      </c>
      <c r="K7441">
        <v>10457</v>
      </c>
      <c r="L7441" t="s">
        <v>18958</v>
      </c>
      <c r="M7441" t="s">
        <v>18958</v>
      </c>
      <c r="N7441" t="s">
        <v>24272</v>
      </c>
      <c r="O7441" t="s">
        <v>26523</v>
      </c>
      <c r="P7441" t="s">
        <v>26560</v>
      </c>
      <c r="R7441" t="s">
        <v>26579</v>
      </c>
      <c r="U7441" t="s">
        <v>26604</v>
      </c>
      <c r="V7441" t="s">
        <v>26610</v>
      </c>
      <c r="W7441" t="s">
        <v>762</v>
      </c>
      <c r="X7441">
        <v>375</v>
      </c>
      <c r="Y7441" t="s">
        <v>26650</v>
      </c>
      <c r="Z7441" t="s">
        <v>26664</v>
      </c>
      <c r="AB7441" t="s">
        <v>32269</v>
      </c>
      <c r="AC7441" t="s">
        <v>36335</v>
      </c>
      <c r="AD7441" t="s">
        <v>42647</v>
      </c>
      <c r="AE7441">
        <v>0</v>
      </c>
      <c r="AF7441" t="s">
        <v>45541</v>
      </c>
      <c r="AG7441" t="s">
        <v>45556</v>
      </c>
      <c r="AH7441">
        <v>20</v>
      </c>
      <c r="AI7441">
        <v>2</v>
      </c>
      <c r="AJ7441">
        <v>0</v>
      </c>
      <c r="AK7441">
        <v>109.43</v>
      </c>
      <c r="AO7441">
        <v>18504</v>
      </c>
      <c r="AU7441">
        <v>11</v>
      </c>
      <c r="AV7441" t="s">
        <v>826</v>
      </c>
      <c r="AW7441" t="s">
        <v>334</v>
      </c>
    </row>
    <row r="7442" spans="1:50">
      <c r="A7442" s="1">
        <f>HYPERLINK("https://lsnyc.legalserver.org/matter/dynamic-profile/view/1897487","19-1897487")</f>
        <v>0</v>
      </c>
      <c r="B7442" t="s">
        <v>64</v>
      </c>
      <c r="C7442" t="s">
        <v>340</v>
      </c>
      <c r="D7442" t="s">
        <v>762</v>
      </c>
      <c r="F7442" t="s">
        <v>3958</v>
      </c>
      <c r="G7442" t="s">
        <v>8333</v>
      </c>
      <c r="H7442" t="s">
        <v>13699</v>
      </c>
      <c r="I7442">
        <v>306</v>
      </c>
      <c r="J7442" t="s">
        <v>18892</v>
      </c>
      <c r="K7442">
        <v>10457</v>
      </c>
      <c r="L7442" t="s">
        <v>18958</v>
      </c>
      <c r="M7442" t="s">
        <v>18958</v>
      </c>
      <c r="N7442" t="s">
        <v>24273</v>
      </c>
      <c r="O7442" t="s">
        <v>26523</v>
      </c>
      <c r="P7442" t="s">
        <v>26560</v>
      </c>
      <c r="R7442" t="s">
        <v>26579</v>
      </c>
      <c r="S7442" t="s">
        <v>18959</v>
      </c>
      <c r="U7442" t="s">
        <v>26604</v>
      </c>
      <c r="W7442" t="s">
        <v>762</v>
      </c>
      <c r="X7442">
        <v>1200</v>
      </c>
      <c r="Y7442" t="s">
        <v>26650</v>
      </c>
      <c r="Z7442" t="s">
        <v>26664</v>
      </c>
      <c r="AA7442" t="s">
        <v>26678</v>
      </c>
      <c r="AB7442" t="s">
        <v>32270</v>
      </c>
      <c r="AD7442" t="s">
        <v>42648</v>
      </c>
      <c r="AE7442">
        <v>0</v>
      </c>
      <c r="AF7442" t="s">
        <v>45541</v>
      </c>
      <c r="AG7442" t="s">
        <v>45556</v>
      </c>
      <c r="AH7442">
        <v>7</v>
      </c>
      <c r="AI7442">
        <v>2</v>
      </c>
      <c r="AJ7442">
        <v>0</v>
      </c>
      <c r="AK7442">
        <v>159.91</v>
      </c>
      <c r="AN7442" t="s">
        <v>7439</v>
      </c>
      <c r="AO7442">
        <v>27040</v>
      </c>
      <c r="AQ7442" t="s">
        <v>46359</v>
      </c>
      <c r="AR7442" t="s">
        <v>46380</v>
      </c>
      <c r="AS7442" t="s">
        <v>46499</v>
      </c>
      <c r="AT7442" t="s">
        <v>46619</v>
      </c>
      <c r="AU7442">
        <v>3</v>
      </c>
      <c r="AV7442" t="s">
        <v>806</v>
      </c>
      <c r="AW7442" t="s">
        <v>46870</v>
      </c>
      <c r="AX7442" t="s">
        <v>46897</v>
      </c>
    </row>
    <row r="7443" spans="1:50">
      <c r="A7443" s="1">
        <f>HYPERLINK("https://lsnyc.legalserver.org/matter/dynamic-profile/view/1897441","19-1897441")</f>
        <v>0</v>
      </c>
      <c r="B7443" t="s">
        <v>233</v>
      </c>
      <c r="C7443" t="s">
        <v>340</v>
      </c>
      <c r="D7443" t="s">
        <v>762</v>
      </c>
      <c r="F7443" t="s">
        <v>3959</v>
      </c>
      <c r="G7443" t="s">
        <v>8244</v>
      </c>
      <c r="H7443" t="s">
        <v>10536</v>
      </c>
      <c r="I7443" t="s">
        <v>17338</v>
      </c>
      <c r="J7443" t="s">
        <v>18892</v>
      </c>
      <c r="K7443">
        <v>10467</v>
      </c>
      <c r="L7443" t="s">
        <v>18958</v>
      </c>
      <c r="M7443" t="s">
        <v>18958</v>
      </c>
      <c r="N7443" t="s">
        <v>24274</v>
      </c>
      <c r="O7443" t="s">
        <v>26523</v>
      </c>
      <c r="P7443" t="s">
        <v>26560</v>
      </c>
      <c r="R7443" t="s">
        <v>26579</v>
      </c>
      <c r="U7443" t="s">
        <v>26604</v>
      </c>
      <c r="V7443" t="s">
        <v>26610</v>
      </c>
      <c r="W7443" t="s">
        <v>762</v>
      </c>
      <c r="X7443">
        <v>0</v>
      </c>
      <c r="Y7443" t="s">
        <v>26650</v>
      </c>
      <c r="Z7443" t="s">
        <v>26664</v>
      </c>
      <c r="AB7443" t="s">
        <v>32271</v>
      </c>
      <c r="AC7443" t="s">
        <v>36336</v>
      </c>
      <c r="AD7443" t="s">
        <v>42649</v>
      </c>
      <c r="AE7443">
        <v>60</v>
      </c>
      <c r="AG7443" t="s">
        <v>45556</v>
      </c>
      <c r="AH7443">
        <v>0</v>
      </c>
      <c r="AI7443">
        <v>1</v>
      </c>
      <c r="AJ7443">
        <v>0</v>
      </c>
      <c r="AK7443">
        <v>93.58</v>
      </c>
      <c r="AN7443" t="s">
        <v>7439</v>
      </c>
      <c r="AO7443">
        <v>11688</v>
      </c>
      <c r="AU7443">
        <v>2.75</v>
      </c>
      <c r="AV7443" t="s">
        <v>762</v>
      </c>
      <c r="AW7443" t="s">
        <v>334</v>
      </c>
      <c r="AX7443" t="s">
        <v>46898</v>
      </c>
    </row>
    <row r="7444" spans="1:50">
      <c r="A7444" s="1">
        <f>HYPERLINK("https://lsnyc.legalserver.org/matter/dynamic-profile/view/1897434","19-1897434")</f>
        <v>0</v>
      </c>
      <c r="B7444" t="s">
        <v>103</v>
      </c>
      <c r="C7444" t="s">
        <v>340</v>
      </c>
      <c r="D7444" t="s">
        <v>762</v>
      </c>
      <c r="F7444" t="s">
        <v>1004</v>
      </c>
      <c r="G7444" t="s">
        <v>8334</v>
      </c>
      <c r="H7444" t="s">
        <v>14770</v>
      </c>
      <c r="J7444" t="s">
        <v>18902</v>
      </c>
      <c r="K7444">
        <v>10303</v>
      </c>
      <c r="L7444" t="s">
        <v>18958</v>
      </c>
      <c r="M7444" t="s">
        <v>18958</v>
      </c>
      <c r="N7444" t="s">
        <v>24275</v>
      </c>
      <c r="O7444" t="s">
        <v>26524</v>
      </c>
      <c r="P7444" t="s">
        <v>26560</v>
      </c>
      <c r="R7444" t="s">
        <v>26590</v>
      </c>
      <c r="S7444" t="s">
        <v>18959</v>
      </c>
      <c r="U7444" t="s">
        <v>26604</v>
      </c>
      <c r="V7444" t="s">
        <v>26610</v>
      </c>
      <c r="W7444" t="s">
        <v>762</v>
      </c>
      <c r="X7444">
        <v>1200</v>
      </c>
      <c r="Y7444" t="s">
        <v>26654</v>
      </c>
      <c r="Z7444" t="s">
        <v>26668</v>
      </c>
      <c r="AB7444" t="s">
        <v>30347</v>
      </c>
      <c r="AD7444" t="s">
        <v>42650</v>
      </c>
      <c r="AE7444">
        <v>1</v>
      </c>
      <c r="AF7444" t="s">
        <v>45547</v>
      </c>
      <c r="AG7444" t="s">
        <v>19330</v>
      </c>
      <c r="AH7444">
        <v>22</v>
      </c>
      <c r="AI7444">
        <v>2</v>
      </c>
      <c r="AJ7444">
        <v>0</v>
      </c>
      <c r="AK7444">
        <v>13.7</v>
      </c>
      <c r="AN7444" t="s">
        <v>7439</v>
      </c>
      <c r="AO7444">
        <v>2316</v>
      </c>
      <c r="AU7444">
        <v>3.8</v>
      </c>
      <c r="AV7444" t="s">
        <v>814</v>
      </c>
      <c r="AW7444" t="s">
        <v>46883</v>
      </c>
      <c r="AX7444" t="s">
        <v>46897</v>
      </c>
    </row>
    <row r="7445" spans="1:50">
      <c r="A7445" s="1">
        <f>HYPERLINK("https://lsnyc.legalserver.org/matter/dynamic-profile/view/1897494","19-1897494")</f>
        <v>0</v>
      </c>
      <c r="B7445" t="s">
        <v>194</v>
      </c>
      <c r="C7445" t="s">
        <v>340</v>
      </c>
      <c r="D7445" t="s">
        <v>762</v>
      </c>
      <c r="F7445" t="s">
        <v>1790</v>
      </c>
      <c r="G7445" t="s">
        <v>6691</v>
      </c>
      <c r="H7445" t="s">
        <v>14771</v>
      </c>
      <c r="I7445" t="s">
        <v>18474</v>
      </c>
      <c r="J7445" t="s">
        <v>18893</v>
      </c>
      <c r="K7445">
        <v>10002</v>
      </c>
      <c r="L7445" t="s">
        <v>18958</v>
      </c>
      <c r="M7445" t="s">
        <v>18958</v>
      </c>
      <c r="N7445" t="s">
        <v>24276</v>
      </c>
      <c r="O7445" t="s">
        <v>26524</v>
      </c>
      <c r="P7445" t="s">
        <v>26564</v>
      </c>
      <c r="R7445" t="s">
        <v>26582</v>
      </c>
      <c r="S7445" t="s">
        <v>18959</v>
      </c>
      <c r="U7445" t="s">
        <v>26604</v>
      </c>
      <c r="W7445" t="s">
        <v>762</v>
      </c>
      <c r="X7445">
        <v>248</v>
      </c>
      <c r="Y7445" t="s">
        <v>26651</v>
      </c>
      <c r="Z7445" t="s">
        <v>26664</v>
      </c>
      <c r="AB7445" t="s">
        <v>32272</v>
      </c>
      <c r="AC7445" t="s">
        <v>36337</v>
      </c>
      <c r="AD7445" t="s">
        <v>42651</v>
      </c>
      <c r="AE7445">
        <v>0</v>
      </c>
      <c r="AF7445" t="s">
        <v>45541</v>
      </c>
      <c r="AG7445" t="s">
        <v>19330</v>
      </c>
      <c r="AH7445">
        <v>30</v>
      </c>
      <c r="AI7445">
        <v>1</v>
      </c>
      <c r="AJ7445">
        <v>0</v>
      </c>
      <c r="AK7445">
        <v>19.05</v>
      </c>
      <c r="AN7445" t="s">
        <v>7439</v>
      </c>
      <c r="AO7445">
        <v>2379</v>
      </c>
      <c r="AU7445">
        <v>1.5</v>
      </c>
      <c r="AV7445" t="s">
        <v>810</v>
      </c>
      <c r="AW7445" t="s">
        <v>46840</v>
      </c>
    </row>
    <row r="7446" spans="1:50">
      <c r="A7446" s="1">
        <f>HYPERLINK("https://lsnyc.legalserver.org/matter/dynamic-profile/view/1897454","19-1897454")</f>
        <v>0</v>
      </c>
      <c r="B7446" t="s">
        <v>194</v>
      </c>
      <c r="C7446" t="s">
        <v>340</v>
      </c>
      <c r="D7446" t="s">
        <v>762</v>
      </c>
      <c r="F7446" t="s">
        <v>3960</v>
      </c>
      <c r="G7446" t="s">
        <v>3492</v>
      </c>
      <c r="H7446" t="s">
        <v>10719</v>
      </c>
      <c r="I7446">
        <v>7</v>
      </c>
      <c r="J7446" t="s">
        <v>18893</v>
      </c>
      <c r="K7446">
        <v>10029</v>
      </c>
      <c r="L7446" t="s">
        <v>18958</v>
      </c>
      <c r="M7446" t="s">
        <v>18958</v>
      </c>
      <c r="O7446" t="s">
        <v>26524</v>
      </c>
      <c r="P7446" t="s">
        <v>26564</v>
      </c>
      <c r="R7446" t="s">
        <v>26582</v>
      </c>
      <c r="S7446" t="s">
        <v>18959</v>
      </c>
      <c r="U7446" t="s">
        <v>26604</v>
      </c>
      <c r="W7446" t="s">
        <v>762</v>
      </c>
      <c r="X7446">
        <v>1183.26</v>
      </c>
      <c r="Y7446" t="s">
        <v>26651</v>
      </c>
      <c r="Z7446" t="s">
        <v>26664</v>
      </c>
      <c r="AB7446" t="s">
        <v>27442</v>
      </c>
      <c r="AD7446" t="s">
        <v>42652</v>
      </c>
      <c r="AE7446">
        <v>15</v>
      </c>
      <c r="AF7446" t="s">
        <v>20460</v>
      </c>
      <c r="AG7446" t="s">
        <v>19330</v>
      </c>
      <c r="AH7446">
        <v>6</v>
      </c>
      <c r="AI7446">
        <v>4</v>
      </c>
      <c r="AJ7446">
        <v>2</v>
      </c>
      <c r="AK7446">
        <v>47.44</v>
      </c>
      <c r="AN7446" t="s">
        <v>45582</v>
      </c>
      <c r="AO7446">
        <v>16409</v>
      </c>
      <c r="AU7446">
        <v>0.1</v>
      </c>
      <c r="AV7446" t="s">
        <v>762</v>
      </c>
      <c r="AW7446" t="s">
        <v>46840</v>
      </c>
    </row>
    <row r="7447" spans="1:50">
      <c r="A7447" s="1">
        <f>HYPERLINK("https://lsnyc.legalserver.org/matter/dynamic-profile/view/1897421","19-1897421")</f>
        <v>0</v>
      </c>
      <c r="B7447" t="s">
        <v>194</v>
      </c>
      <c r="C7447" t="s">
        <v>340</v>
      </c>
      <c r="D7447" t="s">
        <v>762</v>
      </c>
      <c r="F7447" t="s">
        <v>3961</v>
      </c>
      <c r="G7447" t="s">
        <v>6789</v>
      </c>
      <c r="H7447" t="s">
        <v>14772</v>
      </c>
      <c r="I7447" t="s">
        <v>17322</v>
      </c>
      <c r="J7447" t="s">
        <v>18893</v>
      </c>
      <c r="K7447">
        <v>10039</v>
      </c>
      <c r="L7447" t="s">
        <v>18958</v>
      </c>
      <c r="M7447" t="s">
        <v>18958</v>
      </c>
      <c r="N7447" t="s">
        <v>24277</v>
      </c>
      <c r="O7447" t="s">
        <v>26524</v>
      </c>
      <c r="P7447" t="s">
        <v>26564</v>
      </c>
      <c r="R7447" t="s">
        <v>26582</v>
      </c>
      <c r="S7447" t="s">
        <v>18959</v>
      </c>
      <c r="U7447" t="s">
        <v>26604</v>
      </c>
      <c r="W7447" t="s">
        <v>762</v>
      </c>
      <c r="X7447">
        <v>735</v>
      </c>
      <c r="Y7447" t="s">
        <v>26651</v>
      </c>
      <c r="Z7447" t="s">
        <v>26663</v>
      </c>
      <c r="AB7447" t="s">
        <v>28480</v>
      </c>
      <c r="AC7447" t="s">
        <v>36338</v>
      </c>
      <c r="AD7447" t="s">
        <v>42653</v>
      </c>
      <c r="AE7447">
        <v>25</v>
      </c>
      <c r="AF7447" t="s">
        <v>20460</v>
      </c>
      <c r="AG7447" t="s">
        <v>19330</v>
      </c>
      <c r="AH7447">
        <v>10</v>
      </c>
      <c r="AI7447">
        <v>1</v>
      </c>
      <c r="AJ7447">
        <v>3</v>
      </c>
      <c r="AK7447">
        <v>112.83</v>
      </c>
      <c r="AN7447" t="s">
        <v>45581</v>
      </c>
      <c r="AO7447">
        <v>29055</v>
      </c>
      <c r="AU7447">
        <v>1.1</v>
      </c>
      <c r="AV7447" t="s">
        <v>819</v>
      </c>
      <c r="AW7447" t="s">
        <v>46875</v>
      </c>
    </row>
    <row r="7448" spans="1:50">
      <c r="A7448" s="1">
        <f>HYPERLINK("https://lsnyc.legalserver.org/matter/dynamic-profile/view/1897484","19-1897484")</f>
        <v>0</v>
      </c>
      <c r="B7448" t="s">
        <v>51</v>
      </c>
      <c r="C7448" t="s">
        <v>340</v>
      </c>
      <c r="D7448" t="s">
        <v>762</v>
      </c>
      <c r="F7448" t="s">
        <v>3061</v>
      </c>
      <c r="G7448" t="s">
        <v>5305</v>
      </c>
      <c r="H7448" t="s">
        <v>13360</v>
      </c>
      <c r="I7448">
        <v>2</v>
      </c>
      <c r="J7448" t="s">
        <v>18892</v>
      </c>
      <c r="K7448">
        <v>10462</v>
      </c>
      <c r="L7448" t="s">
        <v>18958</v>
      </c>
      <c r="M7448" t="s">
        <v>18958</v>
      </c>
      <c r="N7448" t="s">
        <v>24278</v>
      </c>
      <c r="O7448" t="s">
        <v>26524</v>
      </c>
      <c r="P7448" t="s">
        <v>26560</v>
      </c>
      <c r="R7448" t="s">
        <v>26579</v>
      </c>
      <c r="S7448" t="s">
        <v>18959</v>
      </c>
      <c r="U7448" t="s">
        <v>26604</v>
      </c>
      <c r="V7448" t="s">
        <v>26610</v>
      </c>
      <c r="W7448" t="s">
        <v>762</v>
      </c>
      <c r="X7448">
        <v>1975</v>
      </c>
      <c r="Y7448" t="s">
        <v>26650</v>
      </c>
      <c r="Z7448" t="s">
        <v>26659</v>
      </c>
      <c r="AB7448" t="s">
        <v>30730</v>
      </c>
      <c r="AC7448" t="s">
        <v>35883</v>
      </c>
      <c r="AD7448" t="s">
        <v>40934</v>
      </c>
      <c r="AE7448">
        <v>0</v>
      </c>
      <c r="AF7448" t="s">
        <v>45547</v>
      </c>
      <c r="AG7448" t="s">
        <v>45556</v>
      </c>
      <c r="AH7448">
        <v>4</v>
      </c>
      <c r="AI7448">
        <v>4</v>
      </c>
      <c r="AJ7448">
        <v>0</v>
      </c>
      <c r="AK7448">
        <v>39.98</v>
      </c>
      <c r="AN7448" t="s">
        <v>45581</v>
      </c>
      <c r="AO7448">
        <v>10296</v>
      </c>
      <c r="AU7448">
        <v>14.7</v>
      </c>
      <c r="AV7448" t="s">
        <v>835</v>
      </c>
      <c r="AW7448" t="s">
        <v>46832</v>
      </c>
    </row>
    <row r="7449" spans="1:50">
      <c r="A7449" s="1">
        <f>HYPERLINK("https://lsnyc.legalserver.org/matter/dynamic-profile/view/1897458","19-1897458")</f>
        <v>0</v>
      </c>
      <c r="B7449" t="s">
        <v>157</v>
      </c>
      <c r="C7449" t="s">
        <v>340</v>
      </c>
      <c r="D7449" t="s">
        <v>762</v>
      </c>
      <c r="F7449" t="s">
        <v>1154</v>
      </c>
      <c r="G7449" t="s">
        <v>5447</v>
      </c>
      <c r="H7449" t="s">
        <v>14773</v>
      </c>
      <c r="I7449" t="s">
        <v>18475</v>
      </c>
      <c r="J7449" t="s">
        <v>18893</v>
      </c>
      <c r="K7449">
        <v>10040</v>
      </c>
      <c r="L7449" t="s">
        <v>18958</v>
      </c>
      <c r="M7449" t="s">
        <v>18958</v>
      </c>
      <c r="N7449" t="s">
        <v>24279</v>
      </c>
      <c r="O7449" t="s">
        <v>26523</v>
      </c>
      <c r="P7449" t="s">
        <v>26564</v>
      </c>
      <c r="R7449" t="s">
        <v>26582</v>
      </c>
      <c r="S7449" t="s">
        <v>18959</v>
      </c>
      <c r="U7449" t="s">
        <v>26604</v>
      </c>
      <c r="W7449" t="s">
        <v>762</v>
      </c>
      <c r="X7449">
        <v>883.22</v>
      </c>
      <c r="Y7449" t="s">
        <v>26651</v>
      </c>
      <c r="Z7449" t="s">
        <v>26664</v>
      </c>
      <c r="AB7449" t="s">
        <v>32273</v>
      </c>
      <c r="AC7449" t="s">
        <v>36339</v>
      </c>
      <c r="AD7449" t="s">
        <v>42654</v>
      </c>
      <c r="AE7449">
        <v>88</v>
      </c>
      <c r="AF7449" t="s">
        <v>45541</v>
      </c>
      <c r="AG7449" t="s">
        <v>19330</v>
      </c>
      <c r="AH7449">
        <v>20</v>
      </c>
      <c r="AI7449">
        <v>3</v>
      </c>
      <c r="AJ7449">
        <v>0</v>
      </c>
      <c r="AK7449">
        <v>0</v>
      </c>
      <c r="AN7449" t="s">
        <v>45581</v>
      </c>
      <c r="AO7449">
        <v>0</v>
      </c>
      <c r="AU7449">
        <v>1</v>
      </c>
      <c r="AV7449" t="s">
        <v>762</v>
      </c>
      <c r="AW7449" t="s">
        <v>46875</v>
      </c>
    </row>
    <row r="7450" spans="1:50">
      <c r="A7450" s="1">
        <f>HYPERLINK("https://lsnyc.legalserver.org/matter/dynamic-profile/view/1900631","19-1900631")</f>
        <v>0</v>
      </c>
      <c r="B7450" t="s">
        <v>73</v>
      </c>
      <c r="C7450" t="s">
        <v>341</v>
      </c>
      <c r="D7450" t="s">
        <v>806</v>
      </c>
      <c r="E7450" t="s">
        <v>797</v>
      </c>
      <c r="F7450" t="s">
        <v>2683</v>
      </c>
      <c r="G7450" t="s">
        <v>3500</v>
      </c>
      <c r="H7450" t="s">
        <v>14774</v>
      </c>
      <c r="I7450" t="s">
        <v>17312</v>
      </c>
      <c r="J7450" t="s">
        <v>18894</v>
      </c>
      <c r="K7450">
        <v>11212</v>
      </c>
      <c r="L7450" t="s">
        <v>18958</v>
      </c>
      <c r="M7450" t="s">
        <v>18960</v>
      </c>
      <c r="N7450" t="s">
        <v>19045</v>
      </c>
      <c r="O7450" t="s">
        <v>18997</v>
      </c>
      <c r="P7450" t="s">
        <v>26565</v>
      </c>
      <c r="Q7450" t="s">
        <v>26571</v>
      </c>
      <c r="R7450" t="s">
        <v>26578</v>
      </c>
      <c r="U7450" t="s">
        <v>26604</v>
      </c>
      <c r="V7450" t="s">
        <v>26610</v>
      </c>
      <c r="W7450" t="s">
        <v>762</v>
      </c>
      <c r="X7450">
        <v>1400</v>
      </c>
      <c r="Y7450" t="s">
        <v>26652</v>
      </c>
      <c r="Z7450" t="s">
        <v>26660</v>
      </c>
      <c r="AA7450" t="s">
        <v>26685</v>
      </c>
      <c r="AB7450" t="s">
        <v>32274</v>
      </c>
      <c r="AD7450" t="s">
        <v>42655</v>
      </c>
      <c r="AE7450">
        <v>4</v>
      </c>
      <c r="AF7450" t="s">
        <v>45541</v>
      </c>
      <c r="AG7450" t="s">
        <v>19330</v>
      </c>
      <c r="AH7450">
        <v>3</v>
      </c>
      <c r="AI7450">
        <v>1</v>
      </c>
      <c r="AJ7450">
        <v>0</v>
      </c>
      <c r="AK7450">
        <v>181.49</v>
      </c>
      <c r="AN7450" t="s">
        <v>7439</v>
      </c>
      <c r="AO7450">
        <v>22668</v>
      </c>
      <c r="AU7450">
        <v>0.1</v>
      </c>
      <c r="AV7450" t="s">
        <v>797</v>
      </c>
      <c r="AW7450" t="s">
        <v>279</v>
      </c>
      <c r="AX7450" t="s">
        <v>46897</v>
      </c>
    </row>
    <row r="7451" spans="1:50">
      <c r="A7451" s="1">
        <f>HYPERLINK("https://lsnyc.legalserver.org/matter/dynamic-profile/view/1901303","19-1901303")</f>
        <v>0</v>
      </c>
      <c r="B7451" t="s">
        <v>295</v>
      </c>
      <c r="C7451" t="s">
        <v>341</v>
      </c>
      <c r="D7451" t="s">
        <v>807</v>
      </c>
      <c r="E7451" t="s">
        <v>807</v>
      </c>
      <c r="F7451" t="s">
        <v>1756</v>
      </c>
      <c r="G7451" t="s">
        <v>8335</v>
      </c>
      <c r="H7451" t="s">
        <v>14774</v>
      </c>
      <c r="I7451" t="s">
        <v>17309</v>
      </c>
      <c r="J7451" t="s">
        <v>18894</v>
      </c>
      <c r="K7451">
        <v>11212</v>
      </c>
      <c r="L7451" t="s">
        <v>18958</v>
      </c>
      <c r="M7451" t="s">
        <v>18960</v>
      </c>
      <c r="O7451" t="s">
        <v>26531</v>
      </c>
      <c r="P7451" t="s">
        <v>26565</v>
      </c>
      <c r="Q7451" t="s">
        <v>26571</v>
      </c>
      <c r="R7451" t="s">
        <v>26578</v>
      </c>
      <c r="S7451" t="s">
        <v>18958</v>
      </c>
      <c r="U7451" t="s">
        <v>26604</v>
      </c>
      <c r="W7451" t="s">
        <v>762</v>
      </c>
      <c r="X7451">
        <v>1500</v>
      </c>
      <c r="Y7451" t="s">
        <v>26652</v>
      </c>
      <c r="Z7451" t="s">
        <v>26659</v>
      </c>
      <c r="AA7451" t="s">
        <v>26685</v>
      </c>
      <c r="AB7451" t="s">
        <v>32275</v>
      </c>
      <c r="AD7451" t="s">
        <v>42656</v>
      </c>
      <c r="AE7451">
        <v>6</v>
      </c>
      <c r="AF7451" t="s">
        <v>45541</v>
      </c>
      <c r="AH7451">
        <v>2</v>
      </c>
      <c r="AI7451">
        <v>2</v>
      </c>
      <c r="AJ7451">
        <v>0</v>
      </c>
      <c r="AK7451">
        <v>49.67</v>
      </c>
      <c r="AN7451" t="s">
        <v>7439</v>
      </c>
      <c r="AO7451">
        <v>8400</v>
      </c>
      <c r="AU7451">
        <v>0.5</v>
      </c>
      <c r="AV7451" t="s">
        <v>807</v>
      </c>
      <c r="AW7451" t="s">
        <v>279</v>
      </c>
      <c r="AX7451" t="s">
        <v>46897</v>
      </c>
    </row>
    <row r="7452" spans="1:50">
      <c r="A7452" s="1">
        <f>HYPERLINK("https://lsnyc.legalserver.org/matter/dynamic-profile/view/1901324","19-1901324")</f>
        <v>0</v>
      </c>
      <c r="B7452" t="s">
        <v>295</v>
      </c>
      <c r="C7452" t="s">
        <v>341</v>
      </c>
      <c r="D7452" t="s">
        <v>807</v>
      </c>
      <c r="E7452" t="s">
        <v>807</v>
      </c>
      <c r="F7452" t="s">
        <v>3962</v>
      </c>
      <c r="G7452" t="s">
        <v>8336</v>
      </c>
      <c r="H7452" t="s">
        <v>14774</v>
      </c>
      <c r="I7452" t="s">
        <v>17331</v>
      </c>
      <c r="J7452" t="s">
        <v>18894</v>
      </c>
      <c r="K7452">
        <v>11212</v>
      </c>
      <c r="L7452" t="s">
        <v>18958</v>
      </c>
      <c r="M7452" t="s">
        <v>18960</v>
      </c>
      <c r="O7452" t="s">
        <v>18997</v>
      </c>
      <c r="P7452" t="s">
        <v>26565</v>
      </c>
      <c r="Q7452" t="s">
        <v>26571</v>
      </c>
      <c r="R7452" t="s">
        <v>26578</v>
      </c>
      <c r="S7452" t="s">
        <v>18958</v>
      </c>
      <c r="U7452" t="s">
        <v>26604</v>
      </c>
      <c r="W7452" t="s">
        <v>762</v>
      </c>
      <c r="X7452">
        <v>1326</v>
      </c>
      <c r="Y7452" t="s">
        <v>26652</v>
      </c>
      <c r="Z7452" t="s">
        <v>26659</v>
      </c>
      <c r="AA7452" t="s">
        <v>26685</v>
      </c>
      <c r="AB7452" t="s">
        <v>32276</v>
      </c>
      <c r="AD7452" t="s">
        <v>42657</v>
      </c>
      <c r="AE7452">
        <v>4</v>
      </c>
      <c r="AF7452" t="s">
        <v>45547</v>
      </c>
      <c r="AG7452" t="s">
        <v>19330</v>
      </c>
      <c r="AH7452">
        <v>6</v>
      </c>
      <c r="AI7452">
        <v>2</v>
      </c>
      <c r="AJ7452">
        <v>0</v>
      </c>
      <c r="AK7452">
        <v>127.74</v>
      </c>
      <c r="AN7452" t="s">
        <v>7439</v>
      </c>
      <c r="AO7452">
        <v>21600</v>
      </c>
      <c r="AU7452">
        <v>0.5</v>
      </c>
      <c r="AV7452" t="s">
        <v>807</v>
      </c>
      <c r="AW7452" t="s">
        <v>279</v>
      </c>
      <c r="AX7452" t="s">
        <v>46897</v>
      </c>
    </row>
    <row r="7453" spans="1:50">
      <c r="A7453" s="1">
        <f>HYPERLINK("https://lsnyc.legalserver.org/matter/dynamic-profile/view/1880595","18-1880595")</f>
        <v>0</v>
      </c>
      <c r="B7453" t="s">
        <v>100</v>
      </c>
      <c r="C7453" t="s">
        <v>340</v>
      </c>
      <c r="D7453" t="s">
        <v>623</v>
      </c>
      <c r="F7453" t="s">
        <v>1133</v>
      </c>
      <c r="G7453" t="s">
        <v>5147</v>
      </c>
      <c r="H7453" t="s">
        <v>10916</v>
      </c>
      <c r="I7453" t="s">
        <v>17290</v>
      </c>
      <c r="J7453" t="s">
        <v>18892</v>
      </c>
      <c r="K7453">
        <v>10456</v>
      </c>
      <c r="L7453" t="s">
        <v>18958</v>
      </c>
      <c r="M7453" t="s">
        <v>18958</v>
      </c>
      <c r="N7453" t="s">
        <v>22131</v>
      </c>
      <c r="O7453" t="s">
        <v>26534</v>
      </c>
      <c r="P7453" t="s">
        <v>26561</v>
      </c>
      <c r="R7453" t="s">
        <v>26578</v>
      </c>
      <c r="S7453" t="s">
        <v>18958</v>
      </c>
      <c r="U7453" t="s">
        <v>26604</v>
      </c>
      <c r="W7453" t="s">
        <v>763</v>
      </c>
      <c r="X7453">
        <v>1290</v>
      </c>
      <c r="Y7453" t="s">
        <v>26650</v>
      </c>
      <c r="Z7453" t="s">
        <v>26663</v>
      </c>
      <c r="AB7453" t="s">
        <v>28096</v>
      </c>
      <c r="AD7453" t="s">
        <v>38149</v>
      </c>
      <c r="AE7453">
        <v>61</v>
      </c>
      <c r="AF7453" t="s">
        <v>45541</v>
      </c>
      <c r="AG7453" t="s">
        <v>45556</v>
      </c>
      <c r="AH7453">
        <v>21</v>
      </c>
      <c r="AI7453">
        <v>1</v>
      </c>
      <c r="AJ7453">
        <v>1</v>
      </c>
      <c r="AK7453">
        <v>57.81</v>
      </c>
      <c r="AN7453" t="s">
        <v>45581</v>
      </c>
      <c r="AO7453">
        <v>9516</v>
      </c>
      <c r="AU7453">
        <v>0</v>
      </c>
      <c r="AW7453" t="s">
        <v>46847</v>
      </c>
    </row>
    <row r="7454" spans="1:50">
      <c r="A7454" s="1">
        <f>HYPERLINK("https://lsnyc.legalserver.org/matter/dynamic-profile/view/1880639","18-1880639")</f>
        <v>0</v>
      </c>
      <c r="B7454" t="s">
        <v>100</v>
      </c>
      <c r="C7454" t="s">
        <v>340</v>
      </c>
      <c r="D7454" t="s">
        <v>623</v>
      </c>
      <c r="F7454" t="s">
        <v>2657</v>
      </c>
      <c r="G7454" t="s">
        <v>8337</v>
      </c>
      <c r="H7454" t="s">
        <v>10916</v>
      </c>
      <c r="I7454" t="s">
        <v>17302</v>
      </c>
      <c r="J7454" t="s">
        <v>18892</v>
      </c>
      <c r="K7454">
        <v>10456</v>
      </c>
      <c r="L7454" t="s">
        <v>18958</v>
      </c>
      <c r="M7454" t="s">
        <v>18958</v>
      </c>
      <c r="N7454" t="s">
        <v>22131</v>
      </c>
      <c r="O7454" t="s">
        <v>26534</v>
      </c>
      <c r="P7454" t="s">
        <v>26561</v>
      </c>
      <c r="R7454" t="s">
        <v>26578</v>
      </c>
      <c r="S7454" t="s">
        <v>18958</v>
      </c>
      <c r="U7454" t="s">
        <v>26604</v>
      </c>
      <c r="W7454" t="s">
        <v>763</v>
      </c>
      <c r="X7454">
        <v>1119.98</v>
      </c>
      <c r="Y7454" t="s">
        <v>26650</v>
      </c>
      <c r="Z7454" t="s">
        <v>26663</v>
      </c>
      <c r="AB7454" t="s">
        <v>32277</v>
      </c>
      <c r="AD7454" t="s">
        <v>42658</v>
      </c>
      <c r="AE7454">
        <v>61</v>
      </c>
      <c r="AF7454" t="s">
        <v>45541</v>
      </c>
      <c r="AG7454" t="s">
        <v>19330</v>
      </c>
      <c r="AH7454">
        <v>43</v>
      </c>
      <c r="AI7454">
        <v>2</v>
      </c>
      <c r="AJ7454">
        <v>0</v>
      </c>
      <c r="AK7454">
        <v>77.93000000000001</v>
      </c>
      <c r="AN7454" t="s">
        <v>45581</v>
      </c>
      <c r="AO7454">
        <v>12828</v>
      </c>
      <c r="AU7454">
        <v>0</v>
      </c>
      <c r="AW7454" t="s">
        <v>46847</v>
      </c>
    </row>
    <row r="7455" spans="1:50">
      <c r="A7455" s="1">
        <f>HYPERLINK("https://lsnyc.legalserver.org/matter/dynamic-profile/view/1880585","18-1880585")</f>
        <v>0</v>
      </c>
      <c r="B7455" t="s">
        <v>100</v>
      </c>
      <c r="C7455" t="s">
        <v>340</v>
      </c>
      <c r="D7455" t="s">
        <v>623</v>
      </c>
      <c r="F7455" t="s">
        <v>1834</v>
      </c>
      <c r="G7455" t="s">
        <v>6017</v>
      </c>
      <c r="H7455" t="s">
        <v>10916</v>
      </c>
      <c r="I7455" t="s">
        <v>17273</v>
      </c>
      <c r="J7455" t="s">
        <v>18892</v>
      </c>
      <c r="K7455">
        <v>10456</v>
      </c>
      <c r="L7455" t="s">
        <v>18958</v>
      </c>
      <c r="M7455" t="s">
        <v>18958</v>
      </c>
      <c r="N7455" t="s">
        <v>22131</v>
      </c>
      <c r="O7455" t="s">
        <v>26534</v>
      </c>
      <c r="P7455" t="s">
        <v>26561</v>
      </c>
      <c r="R7455" t="s">
        <v>26578</v>
      </c>
      <c r="S7455" t="s">
        <v>18958</v>
      </c>
      <c r="U7455" t="s">
        <v>26604</v>
      </c>
      <c r="W7455" t="s">
        <v>763</v>
      </c>
      <c r="X7455">
        <v>1243.51</v>
      </c>
      <c r="Y7455" t="s">
        <v>26650</v>
      </c>
      <c r="Z7455" t="s">
        <v>26663</v>
      </c>
      <c r="AB7455" t="s">
        <v>28097</v>
      </c>
      <c r="AC7455" t="s">
        <v>34966</v>
      </c>
      <c r="AD7455" t="s">
        <v>38150</v>
      </c>
      <c r="AE7455">
        <v>61</v>
      </c>
      <c r="AF7455" t="s">
        <v>45541</v>
      </c>
      <c r="AG7455" t="s">
        <v>45556</v>
      </c>
      <c r="AH7455">
        <v>22</v>
      </c>
      <c r="AI7455">
        <v>1</v>
      </c>
      <c r="AJ7455">
        <v>0</v>
      </c>
      <c r="AK7455">
        <v>81.25</v>
      </c>
      <c r="AN7455" t="s">
        <v>7439</v>
      </c>
      <c r="AO7455">
        <v>9864</v>
      </c>
      <c r="AU7455">
        <v>9.199999999999999</v>
      </c>
      <c r="AV7455" t="s">
        <v>732</v>
      </c>
      <c r="AW7455" t="s">
        <v>46847</v>
      </c>
    </row>
    <row r="7456" spans="1:50">
      <c r="A7456" s="1">
        <f>HYPERLINK("https://lsnyc.legalserver.org/matter/dynamic-profile/view/1880608","18-1880608")</f>
        <v>0</v>
      </c>
      <c r="B7456" t="s">
        <v>100</v>
      </c>
      <c r="C7456" t="s">
        <v>340</v>
      </c>
      <c r="D7456" t="s">
        <v>623</v>
      </c>
      <c r="F7456" t="s">
        <v>3963</v>
      </c>
      <c r="G7456" t="s">
        <v>8338</v>
      </c>
      <c r="H7456" t="s">
        <v>10916</v>
      </c>
      <c r="I7456" t="s">
        <v>17334</v>
      </c>
      <c r="J7456" t="s">
        <v>18892</v>
      </c>
      <c r="K7456">
        <v>10456</v>
      </c>
      <c r="L7456" t="s">
        <v>18958</v>
      </c>
      <c r="M7456" t="s">
        <v>18958</v>
      </c>
      <c r="N7456" t="s">
        <v>22131</v>
      </c>
      <c r="O7456" t="s">
        <v>26534</v>
      </c>
      <c r="P7456" t="s">
        <v>26561</v>
      </c>
      <c r="R7456" t="s">
        <v>26578</v>
      </c>
      <c r="S7456" t="s">
        <v>18958</v>
      </c>
      <c r="U7456" t="s">
        <v>26604</v>
      </c>
      <c r="W7456" t="s">
        <v>763</v>
      </c>
      <c r="X7456">
        <v>966.71</v>
      </c>
      <c r="Y7456" t="s">
        <v>26650</v>
      </c>
      <c r="Z7456" t="s">
        <v>26663</v>
      </c>
      <c r="AB7456" t="s">
        <v>32278</v>
      </c>
      <c r="AD7456" t="s">
        <v>42659</v>
      </c>
      <c r="AE7456">
        <v>61</v>
      </c>
      <c r="AF7456" t="s">
        <v>45541</v>
      </c>
      <c r="AG7456" t="s">
        <v>19330</v>
      </c>
      <c r="AH7456">
        <v>27</v>
      </c>
      <c r="AI7456">
        <v>2</v>
      </c>
      <c r="AJ7456">
        <v>2</v>
      </c>
      <c r="AK7456">
        <v>111.55</v>
      </c>
      <c r="AN7456" t="s">
        <v>7439</v>
      </c>
      <c r="AO7456">
        <v>28000</v>
      </c>
      <c r="AU7456">
        <v>0</v>
      </c>
      <c r="AW7456" t="s">
        <v>46847</v>
      </c>
    </row>
    <row r="7457" spans="1:50">
      <c r="A7457" s="1">
        <f>HYPERLINK("https://lsnyc.legalserver.org/matter/dynamic-profile/view/1880616","18-1880616")</f>
        <v>0</v>
      </c>
      <c r="B7457" t="s">
        <v>100</v>
      </c>
      <c r="C7457" t="s">
        <v>340</v>
      </c>
      <c r="D7457" t="s">
        <v>623</v>
      </c>
      <c r="F7457" t="s">
        <v>1822</v>
      </c>
      <c r="G7457" t="s">
        <v>6008</v>
      </c>
      <c r="H7457" t="s">
        <v>10916</v>
      </c>
      <c r="I7457" t="s">
        <v>17380</v>
      </c>
      <c r="J7457" t="s">
        <v>18892</v>
      </c>
      <c r="K7457">
        <v>10456</v>
      </c>
      <c r="L7457" t="s">
        <v>18958</v>
      </c>
      <c r="M7457" t="s">
        <v>18958</v>
      </c>
      <c r="N7457" t="s">
        <v>22131</v>
      </c>
      <c r="O7457" t="s">
        <v>26534</v>
      </c>
      <c r="P7457" t="s">
        <v>26561</v>
      </c>
      <c r="R7457" t="s">
        <v>26578</v>
      </c>
      <c r="S7457" t="s">
        <v>18958</v>
      </c>
      <c r="U7457" t="s">
        <v>26604</v>
      </c>
      <c r="W7457" t="s">
        <v>763</v>
      </c>
      <c r="X7457">
        <v>1380</v>
      </c>
      <c r="Y7457" t="s">
        <v>26650</v>
      </c>
      <c r="Z7457" t="s">
        <v>26663</v>
      </c>
      <c r="AB7457" t="s">
        <v>28076</v>
      </c>
      <c r="AD7457" t="s">
        <v>38126</v>
      </c>
      <c r="AE7457">
        <v>61</v>
      </c>
      <c r="AF7457" t="s">
        <v>45541</v>
      </c>
      <c r="AG7457" t="s">
        <v>45556</v>
      </c>
      <c r="AH7457">
        <v>17</v>
      </c>
      <c r="AI7457">
        <v>3</v>
      </c>
      <c r="AJ7457">
        <v>0</v>
      </c>
      <c r="AK7457">
        <v>140.13</v>
      </c>
      <c r="AN7457" t="s">
        <v>45581</v>
      </c>
      <c r="AO7457">
        <v>29120</v>
      </c>
      <c r="AU7457">
        <v>0</v>
      </c>
      <c r="AW7457" t="s">
        <v>46847</v>
      </c>
    </row>
    <row r="7458" spans="1:50">
      <c r="A7458" s="1">
        <f>HYPERLINK("https://lsnyc.legalserver.org/matter/dynamic-profile/view/1880612","18-1880612")</f>
        <v>0</v>
      </c>
      <c r="B7458" t="s">
        <v>100</v>
      </c>
      <c r="C7458" t="s">
        <v>340</v>
      </c>
      <c r="D7458" t="s">
        <v>623</v>
      </c>
      <c r="F7458" t="s">
        <v>1827</v>
      </c>
      <c r="G7458" t="s">
        <v>2564</v>
      </c>
      <c r="H7458" t="s">
        <v>10916</v>
      </c>
      <c r="I7458" t="s">
        <v>17440</v>
      </c>
      <c r="J7458" t="s">
        <v>18892</v>
      </c>
      <c r="K7458">
        <v>10456</v>
      </c>
      <c r="L7458" t="s">
        <v>18958</v>
      </c>
      <c r="M7458" t="s">
        <v>18958</v>
      </c>
      <c r="N7458" t="s">
        <v>22131</v>
      </c>
      <c r="O7458" t="s">
        <v>26534</v>
      </c>
      <c r="P7458" t="s">
        <v>26561</v>
      </c>
      <c r="R7458" t="s">
        <v>26578</v>
      </c>
      <c r="S7458" t="s">
        <v>18958</v>
      </c>
      <c r="U7458" t="s">
        <v>26604</v>
      </c>
      <c r="W7458" t="s">
        <v>763</v>
      </c>
      <c r="X7458">
        <v>1800</v>
      </c>
      <c r="Y7458" t="s">
        <v>26650</v>
      </c>
      <c r="Z7458" t="s">
        <v>26663</v>
      </c>
      <c r="AB7458" t="s">
        <v>28086</v>
      </c>
      <c r="AD7458" t="s">
        <v>38137</v>
      </c>
      <c r="AE7458">
        <v>61</v>
      </c>
      <c r="AF7458" t="s">
        <v>45541</v>
      </c>
      <c r="AG7458" t="s">
        <v>19330</v>
      </c>
      <c r="AH7458">
        <v>2</v>
      </c>
      <c r="AI7458">
        <v>2</v>
      </c>
      <c r="AJ7458">
        <v>3</v>
      </c>
      <c r="AK7458">
        <v>142.76</v>
      </c>
      <c r="AN7458" t="s">
        <v>45581</v>
      </c>
      <c r="AO7458">
        <v>42000</v>
      </c>
      <c r="AU7458">
        <v>0</v>
      </c>
      <c r="AW7458" t="s">
        <v>46847</v>
      </c>
    </row>
    <row r="7459" spans="1:50">
      <c r="A7459" s="1">
        <f>HYPERLINK("https://lsnyc.legalserver.org/matter/dynamic-profile/view/1880593","18-1880593")</f>
        <v>0</v>
      </c>
      <c r="B7459" t="s">
        <v>100</v>
      </c>
      <c r="C7459" t="s">
        <v>340</v>
      </c>
      <c r="D7459" t="s">
        <v>623</v>
      </c>
      <c r="F7459" t="s">
        <v>881</v>
      </c>
      <c r="G7459" t="s">
        <v>5513</v>
      </c>
      <c r="H7459" t="s">
        <v>10916</v>
      </c>
      <c r="I7459" t="s">
        <v>17389</v>
      </c>
      <c r="J7459" t="s">
        <v>18892</v>
      </c>
      <c r="K7459">
        <v>10456</v>
      </c>
      <c r="L7459" t="s">
        <v>18958</v>
      </c>
      <c r="M7459" t="s">
        <v>18958</v>
      </c>
      <c r="N7459" t="s">
        <v>22131</v>
      </c>
      <c r="O7459" t="s">
        <v>26534</v>
      </c>
      <c r="P7459" t="s">
        <v>26561</v>
      </c>
      <c r="R7459" t="s">
        <v>26578</v>
      </c>
      <c r="S7459" t="s">
        <v>18958</v>
      </c>
      <c r="U7459" t="s">
        <v>26604</v>
      </c>
      <c r="W7459" t="s">
        <v>763</v>
      </c>
      <c r="X7459">
        <v>1573</v>
      </c>
      <c r="Y7459" t="s">
        <v>26650</v>
      </c>
      <c r="Z7459" t="s">
        <v>26663</v>
      </c>
      <c r="AB7459" t="s">
        <v>32279</v>
      </c>
      <c r="AD7459" t="s">
        <v>42660</v>
      </c>
      <c r="AE7459">
        <v>61</v>
      </c>
      <c r="AF7459" t="s">
        <v>45541</v>
      </c>
      <c r="AG7459" t="s">
        <v>19330</v>
      </c>
      <c r="AH7459">
        <v>6</v>
      </c>
      <c r="AI7459">
        <v>4</v>
      </c>
      <c r="AJ7459">
        <v>1</v>
      </c>
      <c r="AK7459">
        <v>169.11</v>
      </c>
      <c r="AN7459" t="s">
        <v>45581</v>
      </c>
      <c r="AO7459">
        <v>49752</v>
      </c>
      <c r="AU7459">
        <v>0</v>
      </c>
      <c r="AW7459" t="s">
        <v>46847</v>
      </c>
    </row>
    <row r="7460" spans="1:50">
      <c r="A7460" s="1">
        <f>HYPERLINK("https://lsnyc.legalserver.org/matter/dynamic-profile/view/1889389","19-1889389")</f>
        <v>0</v>
      </c>
      <c r="B7460" t="s">
        <v>100</v>
      </c>
      <c r="C7460" t="s">
        <v>340</v>
      </c>
      <c r="D7460" t="s">
        <v>694</v>
      </c>
      <c r="F7460" t="s">
        <v>2657</v>
      </c>
      <c r="G7460" t="s">
        <v>8337</v>
      </c>
      <c r="H7460" t="s">
        <v>10916</v>
      </c>
      <c r="I7460" t="s">
        <v>17302</v>
      </c>
      <c r="J7460" t="s">
        <v>18892</v>
      </c>
      <c r="K7460">
        <v>10456</v>
      </c>
      <c r="L7460" t="s">
        <v>18958</v>
      </c>
      <c r="M7460" t="s">
        <v>18958</v>
      </c>
      <c r="N7460" t="s">
        <v>20118</v>
      </c>
      <c r="O7460" t="s">
        <v>26534</v>
      </c>
      <c r="P7460" t="s">
        <v>26561</v>
      </c>
      <c r="R7460" t="s">
        <v>26578</v>
      </c>
      <c r="S7460" t="s">
        <v>18958</v>
      </c>
      <c r="U7460" t="s">
        <v>26604</v>
      </c>
      <c r="W7460" t="s">
        <v>763</v>
      </c>
      <c r="X7460">
        <v>1119.98</v>
      </c>
      <c r="Y7460" t="s">
        <v>26650</v>
      </c>
      <c r="Z7460" t="s">
        <v>26663</v>
      </c>
      <c r="AB7460" t="s">
        <v>32277</v>
      </c>
      <c r="AD7460" t="s">
        <v>42658</v>
      </c>
      <c r="AE7460">
        <v>61</v>
      </c>
      <c r="AF7460" t="s">
        <v>45541</v>
      </c>
      <c r="AG7460" t="s">
        <v>19330</v>
      </c>
      <c r="AH7460">
        <v>43</v>
      </c>
      <c r="AI7460">
        <v>2</v>
      </c>
      <c r="AJ7460">
        <v>0</v>
      </c>
      <c r="AK7460">
        <v>75.86</v>
      </c>
      <c r="AN7460" t="s">
        <v>45581</v>
      </c>
      <c r="AO7460">
        <v>12828</v>
      </c>
      <c r="AU7460">
        <v>0</v>
      </c>
      <c r="AW7460" t="s">
        <v>336</v>
      </c>
    </row>
    <row r="7461" spans="1:50">
      <c r="A7461" s="1">
        <f>HYPERLINK("https://lsnyc.legalserver.org/matter/dynamic-profile/view/1889372","19-1889372")</f>
        <v>0</v>
      </c>
      <c r="B7461" t="s">
        <v>100</v>
      </c>
      <c r="C7461" t="s">
        <v>340</v>
      </c>
      <c r="D7461" t="s">
        <v>694</v>
      </c>
      <c r="F7461" t="s">
        <v>881</v>
      </c>
      <c r="G7461" t="s">
        <v>5513</v>
      </c>
      <c r="H7461" t="s">
        <v>10916</v>
      </c>
      <c r="I7461" t="s">
        <v>17389</v>
      </c>
      <c r="J7461" t="s">
        <v>18892</v>
      </c>
      <c r="K7461">
        <v>10456</v>
      </c>
      <c r="L7461" t="s">
        <v>18958</v>
      </c>
      <c r="M7461" t="s">
        <v>18958</v>
      </c>
      <c r="N7461" t="s">
        <v>20118</v>
      </c>
      <c r="O7461" t="s">
        <v>26534</v>
      </c>
      <c r="P7461" t="s">
        <v>26561</v>
      </c>
      <c r="R7461" t="s">
        <v>26578</v>
      </c>
      <c r="S7461" t="s">
        <v>18958</v>
      </c>
      <c r="U7461" t="s">
        <v>26604</v>
      </c>
      <c r="W7461" t="s">
        <v>763</v>
      </c>
      <c r="X7461">
        <v>1573</v>
      </c>
      <c r="Y7461" t="s">
        <v>26650</v>
      </c>
      <c r="Z7461" t="s">
        <v>26663</v>
      </c>
      <c r="AB7461" t="s">
        <v>32279</v>
      </c>
      <c r="AD7461" t="s">
        <v>42660</v>
      </c>
      <c r="AE7461">
        <v>61</v>
      </c>
      <c r="AF7461" t="s">
        <v>45541</v>
      </c>
      <c r="AG7461" t="s">
        <v>19330</v>
      </c>
      <c r="AH7461">
        <v>6</v>
      </c>
      <c r="AI7461">
        <v>4</v>
      </c>
      <c r="AJ7461">
        <v>1</v>
      </c>
      <c r="AK7461">
        <v>121.15</v>
      </c>
      <c r="AN7461" t="s">
        <v>45581</v>
      </c>
      <c r="AO7461">
        <v>36552</v>
      </c>
      <c r="AU7461">
        <v>0</v>
      </c>
      <c r="AW7461" t="s">
        <v>336</v>
      </c>
    </row>
    <row r="7462" spans="1:50">
      <c r="A7462" s="1">
        <f>HYPERLINK("https://lsnyc.legalserver.org/matter/dynamic-profile/view/1889380","19-1889380")</f>
        <v>0</v>
      </c>
      <c r="B7462" t="s">
        <v>100</v>
      </c>
      <c r="C7462" t="s">
        <v>340</v>
      </c>
      <c r="D7462" t="s">
        <v>694</v>
      </c>
      <c r="F7462" t="s">
        <v>1339</v>
      </c>
      <c r="G7462" t="s">
        <v>4105</v>
      </c>
      <c r="H7462" t="s">
        <v>10916</v>
      </c>
      <c r="I7462" t="s">
        <v>17349</v>
      </c>
      <c r="J7462" t="s">
        <v>18892</v>
      </c>
      <c r="K7462">
        <v>10456</v>
      </c>
      <c r="L7462" t="s">
        <v>18958</v>
      </c>
      <c r="M7462" t="s">
        <v>18958</v>
      </c>
      <c r="N7462" t="s">
        <v>22131</v>
      </c>
      <c r="O7462" t="s">
        <v>26534</v>
      </c>
      <c r="P7462" t="s">
        <v>26561</v>
      </c>
      <c r="R7462" t="s">
        <v>26578</v>
      </c>
      <c r="S7462" t="s">
        <v>18958</v>
      </c>
      <c r="U7462" t="s">
        <v>26604</v>
      </c>
      <c r="W7462" t="s">
        <v>763</v>
      </c>
      <c r="X7462">
        <v>1098</v>
      </c>
      <c r="Y7462" t="s">
        <v>26650</v>
      </c>
      <c r="Z7462" t="s">
        <v>26663</v>
      </c>
      <c r="AB7462" t="s">
        <v>28078</v>
      </c>
      <c r="AD7462" t="s">
        <v>38128</v>
      </c>
      <c r="AE7462">
        <v>61</v>
      </c>
      <c r="AF7462" t="s">
        <v>45541</v>
      </c>
      <c r="AG7462" t="s">
        <v>19330</v>
      </c>
      <c r="AH7462">
        <v>1</v>
      </c>
      <c r="AI7462">
        <v>2</v>
      </c>
      <c r="AJ7462">
        <v>0</v>
      </c>
      <c r="AK7462">
        <v>372.56</v>
      </c>
      <c r="AN7462" t="s">
        <v>45581</v>
      </c>
      <c r="AO7462">
        <v>63000</v>
      </c>
      <c r="AU7462">
        <v>0</v>
      </c>
      <c r="AW7462" t="s">
        <v>336</v>
      </c>
    </row>
    <row r="7463" spans="1:50">
      <c r="A7463" s="1">
        <f>HYPERLINK("https://lsnyc.legalserver.org/matter/dynamic-profile/view/1889386","19-1889386")</f>
        <v>0</v>
      </c>
      <c r="B7463" t="s">
        <v>100</v>
      </c>
      <c r="C7463" t="s">
        <v>340</v>
      </c>
      <c r="D7463" t="s">
        <v>694</v>
      </c>
      <c r="F7463" t="s">
        <v>1339</v>
      </c>
      <c r="G7463" t="s">
        <v>4105</v>
      </c>
      <c r="H7463" t="s">
        <v>10916</v>
      </c>
      <c r="I7463" t="s">
        <v>17349</v>
      </c>
      <c r="J7463" t="s">
        <v>18892</v>
      </c>
      <c r="K7463">
        <v>10456</v>
      </c>
      <c r="L7463" t="s">
        <v>18958</v>
      </c>
      <c r="M7463" t="s">
        <v>18958</v>
      </c>
      <c r="N7463" t="s">
        <v>24280</v>
      </c>
      <c r="O7463" t="s">
        <v>26534</v>
      </c>
      <c r="P7463" t="s">
        <v>26561</v>
      </c>
      <c r="R7463" t="s">
        <v>26578</v>
      </c>
      <c r="S7463" t="s">
        <v>18958</v>
      </c>
      <c r="U7463" t="s">
        <v>26604</v>
      </c>
      <c r="W7463" t="s">
        <v>763</v>
      </c>
      <c r="X7463">
        <v>1098</v>
      </c>
      <c r="Y7463" t="s">
        <v>26650</v>
      </c>
      <c r="Z7463" t="s">
        <v>26663</v>
      </c>
      <c r="AB7463" t="s">
        <v>28078</v>
      </c>
      <c r="AD7463" t="s">
        <v>38128</v>
      </c>
      <c r="AE7463">
        <v>61</v>
      </c>
      <c r="AF7463" t="s">
        <v>45541</v>
      </c>
      <c r="AG7463" t="s">
        <v>19330</v>
      </c>
      <c r="AH7463">
        <v>1</v>
      </c>
      <c r="AI7463">
        <v>2</v>
      </c>
      <c r="AJ7463">
        <v>0</v>
      </c>
      <c r="AK7463">
        <v>372.56</v>
      </c>
      <c r="AN7463" t="s">
        <v>45581</v>
      </c>
      <c r="AO7463">
        <v>63000</v>
      </c>
      <c r="AU7463">
        <v>0</v>
      </c>
      <c r="AW7463" t="s">
        <v>336</v>
      </c>
    </row>
    <row r="7464" spans="1:50">
      <c r="A7464" s="1">
        <f>HYPERLINK("https://lsnyc.legalserver.org/matter/dynamic-profile/view/1897344","19-1897344")</f>
        <v>0</v>
      </c>
      <c r="B7464" t="s">
        <v>97</v>
      </c>
      <c r="C7464" t="s">
        <v>341</v>
      </c>
      <c r="D7464" t="s">
        <v>761</v>
      </c>
      <c r="E7464" t="s">
        <v>817</v>
      </c>
      <c r="F7464" t="s">
        <v>900</v>
      </c>
      <c r="G7464" t="s">
        <v>8339</v>
      </c>
      <c r="H7464" t="s">
        <v>10026</v>
      </c>
      <c r="I7464" t="s">
        <v>17277</v>
      </c>
      <c r="J7464" t="s">
        <v>18892</v>
      </c>
      <c r="K7464">
        <v>10453</v>
      </c>
      <c r="L7464" t="s">
        <v>18958</v>
      </c>
      <c r="M7464" t="s">
        <v>18958</v>
      </c>
      <c r="N7464" t="s">
        <v>24281</v>
      </c>
      <c r="O7464" t="s">
        <v>26524</v>
      </c>
      <c r="P7464" t="s">
        <v>26564</v>
      </c>
      <c r="Q7464" t="s">
        <v>26570</v>
      </c>
      <c r="R7464" t="s">
        <v>26577</v>
      </c>
      <c r="U7464" t="s">
        <v>26604</v>
      </c>
      <c r="W7464" t="s">
        <v>763</v>
      </c>
      <c r="X7464">
        <v>224</v>
      </c>
      <c r="Y7464" t="s">
        <v>26650</v>
      </c>
      <c r="AA7464" t="s">
        <v>26683</v>
      </c>
      <c r="AB7464" t="s">
        <v>32280</v>
      </c>
      <c r="AD7464" t="s">
        <v>42661</v>
      </c>
      <c r="AE7464">
        <v>110</v>
      </c>
      <c r="AF7464" t="s">
        <v>45549</v>
      </c>
      <c r="AH7464">
        <v>19</v>
      </c>
      <c r="AI7464">
        <v>1</v>
      </c>
      <c r="AJ7464">
        <v>0</v>
      </c>
      <c r="AK7464">
        <v>74.94</v>
      </c>
      <c r="AN7464" t="s">
        <v>45581</v>
      </c>
      <c r="AO7464">
        <v>9360</v>
      </c>
      <c r="AU7464">
        <v>3.25</v>
      </c>
      <c r="AV7464" t="s">
        <v>817</v>
      </c>
      <c r="AW7464" t="s">
        <v>46867</v>
      </c>
      <c r="AX7464" t="s">
        <v>46897</v>
      </c>
    </row>
    <row r="7465" spans="1:50">
      <c r="A7465" s="1">
        <f>HYPERLINK("https://lsnyc.legalserver.org/matter/dynamic-profile/view/1897608","19-1897608")</f>
        <v>0</v>
      </c>
      <c r="B7465" t="s">
        <v>79</v>
      </c>
      <c r="C7465" t="s">
        <v>341</v>
      </c>
      <c r="D7465" t="s">
        <v>763</v>
      </c>
      <c r="E7465" t="s">
        <v>819</v>
      </c>
      <c r="F7465" t="s">
        <v>1219</v>
      </c>
      <c r="G7465" t="s">
        <v>5100</v>
      </c>
      <c r="H7465" t="s">
        <v>12744</v>
      </c>
      <c r="I7465" t="s">
        <v>17277</v>
      </c>
      <c r="J7465" t="s">
        <v>18893</v>
      </c>
      <c r="K7465">
        <v>10034</v>
      </c>
      <c r="L7465" t="s">
        <v>18958</v>
      </c>
      <c r="M7465" t="s">
        <v>18958</v>
      </c>
      <c r="O7465" t="s">
        <v>26523</v>
      </c>
      <c r="P7465" t="s">
        <v>26564</v>
      </c>
      <c r="Q7465" t="s">
        <v>26570</v>
      </c>
      <c r="R7465" t="s">
        <v>26578</v>
      </c>
      <c r="S7465" t="s">
        <v>18959</v>
      </c>
      <c r="U7465" t="s">
        <v>26604</v>
      </c>
      <c r="W7465" t="s">
        <v>763</v>
      </c>
      <c r="X7465">
        <v>1200</v>
      </c>
      <c r="Y7465" t="s">
        <v>26651</v>
      </c>
      <c r="Z7465" t="s">
        <v>26659</v>
      </c>
      <c r="AA7465" t="s">
        <v>26683</v>
      </c>
      <c r="AB7465" t="s">
        <v>30013</v>
      </c>
      <c r="AD7465" t="s">
        <v>40144</v>
      </c>
      <c r="AE7465">
        <v>16</v>
      </c>
      <c r="AF7465" t="s">
        <v>45541</v>
      </c>
      <c r="AG7465" t="s">
        <v>45556</v>
      </c>
      <c r="AH7465">
        <v>15</v>
      </c>
      <c r="AI7465">
        <v>2</v>
      </c>
      <c r="AJ7465">
        <v>0</v>
      </c>
      <c r="AK7465">
        <v>54.64</v>
      </c>
      <c r="AN7465" t="s">
        <v>45581</v>
      </c>
      <c r="AO7465">
        <v>9240</v>
      </c>
      <c r="AU7465">
        <v>1.5</v>
      </c>
      <c r="AV7465" t="s">
        <v>766</v>
      </c>
      <c r="AW7465" t="s">
        <v>46840</v>
      </c>
      <c r="AX7465" t="s">
        <v>46897</v>
      </c>
    </row>
    <row r="7466" spans="1:50">
      <c r="A7466" s="1">
        <f>HYPERLINK("https://lsnyc.legalserver.org/matter/dynamic-profile/view/1897549","19-1897549")</f>
        <v>0</v>
      </c>
      <c r="B7466" t="s">
        <v>136</v>
      </c>
      <c r="C7466" t="s">
        <v>340</v>
      </c>
      <c r="D7466" t="s">
        <v>763</v>
      </c>
      <c r="F7466" t="s">
        <v>2664</v>
      </c>
      <c r="G7466" t="s">
        <v>1031</v>
      </c>
      <c r="H7466" t="s">
        <v>14775</v>
      </c>
      <c r="I7466" t="s">
        <v>17334</v>
      </c>
      <c r="J7466" t="s">
        <v>18892</v>
      </c>
      <c r="K7466">
        <v>10472</v>
      </c>
      <c r="L7466" t="s">
        <v>18958</v>
      </c>
      <c r="M7466" t="s">
        <v>18958</v>
      </c>
      <c r="N7466" t="s">
        <v>24282</v>
      </c>
      <c r="O7466" t="s">
        <v>26524</v>
      </c>
      <c r="P7466" t="s">
        <v>26564</v>
      </c>
      <c r="R7466" t="s">
        <v>26591</v>
      </c>
      <c r="U7466" t="s">
        <v>26604</v>
      </c>
      <c r="V7466" t="s">
        <v>26610</v>
      </c>
      <c r="W7466" t="s">
        <v>763</v>
      </c>
      <c r="X7466">
        <v>0</v>
      </c>
      <c r="Y7466" t="s">
        <v>26650</v>
      </c>
      <c r="Z7466" t="s">
        <v>26668</v>
      </c>
      <c r="AB7466" t="s">
        <v>32281</v>
      </c>
      <c r="AD7466" t="s">
        <v>42662</v>
      </c>
      <c r="AE7466">
        <v>0</v>
      </c>
      <c r="AF7466" t="s">
        <v>20460</v>
      </c>
      <c r="AG7466" t="s">
        <v>19330</v>
      </c>
      <c r="AH7466">
        <v>0</v>
      </c>
      <c r="AI7466">
        <v>1</v>
      </c>
      <c r="AJ7466">
        <v>1</v>
      </c>
      <c r="AK7466">
        <v>100.48</v>
      </c>
      <c r="AO7466">
        <v>16992</v>
      </c>
      <c r="AP7466" t="s">
        <v>46046</v>
      </c>
      <c r="AU7466">
        <v>1.25</v>
      </c>
      <c r="AV7466" t="s">
        <v>811</v>
      </c>
      <c r="AW7466" t="s">
        <v>334</v>
      </c>
      <c r="AX7466" t="s">
        <v>46897</v>
      </c>
    </row>
    <row r="7467" spans="1:50">
      <c r="A7467" s="1">
        <f>HYPERLINK("https://lsnyc.legalserver.org/matter/dynamic-profile/view/1897582","19-1897582")</f>
        <v>0</v>
      </c>
      <c r="B7467" t="s">
        <v>245</v>
      </c>
      <c r="C7467" t="s">
        <v>340</v>
      </c>
      <c r="D7467" t="s">
        <v>763</v>
      </c>
      <c r="F7467" t="s">
        <v>3500</v>
      </c>
      <c r="G7467" t="s">
        <v>7279</v>
      </c>
      <c r="H7467" t="s">
        <v>14776</v>
      </c>
      <c r="I7467" t="s">
        <v>17348</v>
      </c>
      <c r="J7467" t="s">
        <v>18892</v>
      </c>
      <c r="K7467">
        <v>10455</v>
      </c>
      <c r="L7467" t="s">
        <v>18958</v>
      </c>
      <c r="M7467" t="s">
        <v>18958</v>
      </c>
      <c r="N7467" t="s">
        <v>24283</v>
      </c>
      <c r="O7467" t="s">
        <v>26523</v>
      </c>
      <c r="P7467" t="s">
        <v>26560</v>
      </c>
      <c r="R7467" t="s">
        <v>26577</v>
      </c>
      <c r="U7467" t="s">
        <v>26604</v>
      </c>
      <c r="V7467" t="s">
        <v>26609</v>
      </c>
      <c r="W7467" t="s">
        <v>763</v>
      </c>
      <c r="X7467">
        <v>1685.85</v>
      </c>
      <c r="Y7467" t="s">
        <v>26650</v>
      </c>
      <c r="Z7467" t="s">
        <v>26668</v>
      </c>
      <c r="AB7467" t="s">
        <v>32282</v>
      </c>
      <c r="AE7467">
        <v>0</v>
      </c>
      <c r="AF7467" t="s">
        <v>20460</v>
      </c>
      <c r="AG7467" t="s">
        <v>45556</v>
      </c>
      <c r="AH7467">
        <v>10</v>
      </c>
      <c r="AI7467">
        <v>1</v>
      </c>
      <c r="AJ7467">
        <v>3</v>
      </c>
      <c r="AK7467">
        <v>141.35</v>
      </c>
      <c r="AN7467" t="s">
        <v>7439</v>
      </c>
      <c r="AO7467">
        <v>36397</v>
      </c>
      <c r="AU7467">
        <v>24.75</v>
      </c>
      <c r="AV7467" t="s">
        <v>839</v>
      </c>
      <c r="AW7467" t="s">
        <v>334</v>
      </c>
      <c r="AX7467" t="s">
        <v>46897</v>
      </c>
    </row>
    <row r="7468" spans="1:50">
      <c r="A7468" s="1">
        <f>HYPERLINK("https://lsnyc.legalserver.org/matter/dynamic-profile/view/1897570","19-1897570")</f>
        <v>0</v>
      </c>
      <c r="B7468" t="s">
        <v>105</v>
      </c>
      <c r="C7468" t="s">
        <v>340</v>
      </c>
      <c r="D7468" t="s">
        <v>763</v>
      </c>
      <c r="F7468" t="s">
        <v>1253</v>
      </c>
      <c r="G7468" t="s">
        <v>5476</v>
      </c>
      <c r="H7468" t="s">
        <v>14777</v>
      </c>
      <c r="I7468" t="s">
        <v>17389</v>
      </c>
      <c r="J7468" t="s">
        <v>18901</v>
      </c>
      <c r="K7468">
        <v>11434</v>
      </c>
      <c r="L7468" t="s">
        <v>18958</v>
      </c>
      <c r="M7468" t="s">
        <v>18958</v>
      </c>
      <c r="N7468" t="s">
        <v>24284</v>
      </c>
      <c r="O7468" t="s">
        <v>26523</v>
      </c>
      <c r="P7468" t="s">
        <v>26563</v>
      </c>
      <c r="R7468" t="s">
        <v>26585</v>
      </c>
      <c r="S7468" t="s">
        <v>18959</v>
      </c>
      <c r="U7468" t="s">
        <v>26604</v>
      </c>
      <c r="W7468" t="s">
        <v>763</v>
      </c>
      <c r="X7468">
        <v>1466.86</v>
      </c>
      <c r="Y7468" t="s">
        <v>26653</v>
      </c>
      <c r="Z7468" t="s">
        <v>26668</v>
      </c>
      <c r="AB7468" t="s">
        <v>31419</v>
      </c>
      <c r="AD7468" t="s">
        <v>42663</v>
      </c>
      <c r="AE7468">
        <v>0</v>
      </c>
      <c r="AF7468" t="s">
        <v>45550</v>
      </c>
      <c r="AG7468" t="s">
        <v>19330</v>
      </c>
      <c r="AH7468">
        <v>7</v>
      </c>
      <c r="AI7468">
        <v>2</v>
      </c>
      <c r="AJ7468">
        <v>1</v>
      </c>
      <c r="AK7468">
        <v>205.14</v>
      </c>
      <c r="AN7468" t="s">
        <v>7439</v>
      </c>
      <c r="AO7468">
        <v>43756</v>
      </c>
      <c r="AU7468">
        <v>7.3</v>
      </c>
      <c r="AV7468" t="s">
        <v>828</v>
      </c>
      <c r="AW7468" t="s">
        <v>208</v>
      </c>
    </row>
    <row r="7469" spans="1:50">
      <c r="A7469" s="1">
        <f>HYPERLINK("https://lsnyc.legalserver.org/matter/dynamic-profile/view/1897586","19-1897586")</f>
        <v>0</v>
      </c>
      <c r="B7469" t="s">
        <v>107</v>
      </c>
      <c r="C7469" t="s">
        <v>340</v>
      </c>
      <c r="D7469" t="s">
        <v>763</v>
      </c>
      <c r="F7469" t="s">
        <v>1113</v>
      </c>
      <c r="G7469" t="s">
        <v>8340</v>
      </c>
      <c r="H7469" t="s">
        <v>14778</v>
      </c>
      <c r="J7469" t="s">
        <v>18901</v>
      </c>
      <c r="K7469">
        <v>11433</v>
      </c>
      <c r="L7469" t="s">
        <v>18958</v>
      </c>
      <c r="M7469" t="s">
        <v>18958</v>
      </c>
      <c r="N7469" t="s">
        <v>24285</v>
      </c>
      <c r="O7469" t="s">
        <v>26524</v>
      </c>
      <c r="P7469" t="s">
        <v>26560</v>
      </c>
      <c r="R7469" t="s">
        <v>26585</v>
      </c>
      <c r="S7469" t="s">
        <v>18959</v>
      </c>
      <c r="U7469" t="s">
        <v>26604</v>
      </c>
      <c r="V7469" t="s">
        <v>26610</v>
      </c>
      <c r="W7469" t="s">
        <v>763</v>
      </c>
      <c r="X7469">
        <v>1500</v>
      </c>
      <c r="Y7469" t="s">
        <v>26653</v>
      </c>
      <c r="Z7469" t="s">
        <v>26668</v>
      </c>
      <c r="AB7469" t="s">
        <v>32283</v>
      </c>
      <c r="AD7469" t="s">
        <v>42664</v>
      </c>
      <c r="AE7469">
        <v>2</v>
      </c>
      <c r="AF7469" t="s">
        <v>20460</v>
      </c>
      <c r="AG7469" t="s">
        <v>19330</v>
      </c>
      <c r="AH7469">
        <v>3</v>
      </c>
      <c r="AI7469">
        <v>2</v>
      </c>
      <c r="AJ7469">
        <v>3</v>
      </c>
      <c r="AK7469">
        <v>189.59</v>
      </c>
      <c r="AN7469" t="s">
        <v>7439</v>
      </c>
      <c r="AO7469">
        <v>57200</v>
      </c>
      <c r="AU7469">
        <v>15.6</v>
      </c>
      <c r="AV7469" t="s">
        <v>843</v>
      </c>
      <c r="AW7469" t="s">
        <v>208</v>
      </c>
    </row>
    <row r="7470" spans="1:50">
      <c r="A7470" s="1">
        <f>HYPERLINK("https://lsnyc.legalserver.org/matter/dynamic-profile/view/1897622","19-1897622")</f>
        <v>0</v>
      </c>
      <c r="B7470" t="s">
        <v>61</v>
      </c>
      <c r="C7470" t="s">
        <v>340</v>
      </c>
      <c r="D7470" t="s">
        <v>763</v>
      </c>
      <c r="F7470" t="s">
        <v>3964</v>
      </c>
      <c r="G7470" t="s">
        <v>875</v>
      </c>
      <c r="H7470" t="s">
        <v>14779</v>
      </c>
      <c r="I7470">
        <v>24</v>
      </c>
      <c r="J7470" t="s">
        <v>18893</v>
      </c>
      <c r="K7470">
        <v>10033</v>
      </c>
      <c r="L7470" t="s">
        <v>18958</v>
      </c>
      <c r="M7470" t="s">
        <v>18958</v>
      </c>
      <c r="N7470" t="s">
        <v>24286</v>
      </c>
      <c r="O7470" t="s">
        <v>26523</v>
      </c>
      <c r="P7470" t="s">
        <v>26560</v>
      </c>
      <c r="R7470" t="s">
        <v>26578</v>
      </c>
      <c r="S7470" t="s">
        <v>18959</v>
      </c>
      <c r="U7470" t="s">
        <v>26604</v>
      </c>
      <c r="W7470" t="s">
        <v>763</v>
      </c>
      <c r="X7470">
        <v>816.66</v>
      </c>
      <c r="Y7470" t="s">
        <v>26651</v>
      </c>
      <c r="Z7470" t="s">
        <v>26661</v>
      </c>
      <c r="AB7470" t="s">
        <v>27647</v>
      </c>
      <c r="AD7470" t="s">
        <v>42665</v>
      </c>
      <c r="AE7470">
        <v>20</v>
      </c>
      <c r="AF7470" t="s">
        <v>45541</v>
      </c>
      <c r="AG7470" t="s">
        <v>19330</v>
      </c>
      <c r="AH7470">
        <v>23</v>
      </c>
      <c r="AI7470">
        <v>1</v>
      </c>
      <c r="AJ7470">
        <v>0</v>
      </c>
      <c r="AK7470">
        <v>38.24</v>
      </c>
      <c r="AN7470" t="s">
        <v>45581</v>
      </c>
      <c r="AO7470">
        <v>4776</v>
      </c>
      <c r="AU7470">
        <v>10.7</v>
      </c>
      <c r="AV7470" t="s">
        <v>806</v>
      </c>
      <c r="AW7470" t="s">
        <v>46840</v>
      </c>
      <c r="AX7470" t="s">
        <v>46897</v>
      </c>
    </row>
    <row r="7471" spans="1:50">
      <c r="A7471" s="1">
        <f>HYPERLINK("https://lsnyc.legalserver.org/matter/dynamic-profile/view/1897652","19-1897652")</f>
        <v>0</v>
      </c>
      <c r="B7471" t="s">
        <v>61</v>
      </c>
      <c r="C7471" t="s">
        <v>340</v>
      </c>
      <c r="D7471" t="s">
        <v>763</v>
      </c>
      <c r="F7471" t="s">
        <v>3964</v>
      </c>
      <c r="G7471" t="s">
        <v>875</v>
      </c>
      <c r="H7471" t="s">
        <v>14779</v>
      </c>
      <c r="I7471">
        <v>24</v>
      </c>
      <c r="J7471" t="s">
        <v>18893</v>
      </c>
      <c r="K7471">
        <v>10033</v>
      </c>
      <c r="L7471" t="s">
        <v>18958</v>
      </c>
      <c r="M7471" t="s">
        <v>18958</v>
      </c>
      <c r="O7471" t="s">
        <v>26539</v>
      </c>
      <c r="P7471" t="s">
        <v>26565</v>
      </c>
      <c r="R7471" t="s">
        <v>26578</v>
      </c>
      <c r="S7471" t="s">
        <v>18959</v>
      </c>
      <c r="U7471" t="s">
        <v>26604</v>
      </c>
      <c r="W7471" t="s">
        <v>763</v>
      </c>
      <c r="X7471">
        <v>816.66</v>
      </c>
      <c r="Y7471" t="s">
        <v>26651</v>
      </c>
      <c r="Z7471" t="s">
        <v>26659</v>
      </c>
      <c r="AB7471" t="s">
        <v>27647</v>
      </c>
      <c r="AD7471" t="s">
        <v>42665</v>
      </c>
      <c r="AE7471">
        <v>20</v>
      </c>
      <c r="AF7471" t="s">
        <v>45541</v>
      </c>
      <c r="AG7471" t="s">
        <v>19330</v>
      </c>
      <c r="AH7471">
        <v>23</v>
      </c>
      <c r="AI7471">
        <v>1</v>
      </c>
      <c r="AJ7471">
        <v>0</v>
      </c>
      <c r="AK7471">
        <v>38.24</v>
      </c>
      <c r="AN7471" t="s">
        <v>45581</v>
      </c>
      <c r="AO7471">
        <v>4776</v>
      </c>
      <c r="AU7471">
        <v>0</v>
      </c>
      <c r="AV7471" t="s">
        <v>803</v>
      </c>
      <c r="AW7471" t="s">
        <v>46840</v>
      </c>
    </row>
    <row r="7472" spans="1:50">
      <c r="A7472" s="1">
        <f>HYPERLINK("https://lsnyc.legalserver.org/matter/dynamic-profile/view/1897636","19-1897636")</f>
        <v>0</v>
      </c>
      <c r="B7472" t="s">
        <v>61</v>
      </c>
      <c r="C7472" t="s">
        <v>340</v>
      </c>
      <c r="D7472" t="s">
        <v>763</v>
      </c>
      <c r="F7472" t="s">
        <v>3964</v>
      </c>
      <c r="G7472" t="s">
        <v>875</v>
      </c>
      <c r="H7472" t="s">
        <v>14779</v>
      </c>
      <c r="I7472">
        <v>24</v>
      </c>
      <c r="J7472" t="s">
        <v>18893</v>
      </c>
      <c r="K7472">
        <v>10033</v>
      </c>
      <c r="L7472" t="s">
        <v>18958</v>
      </c>
      <c r="M7472" t="s">
        <v>18958</v>
      </c>
      <c r="O7472" t="s">
        <v>26529</v>
      </c>
      <c r="P7472" t="s">
        <v>26560</v>
      </c>
      <c r="R7472" t="s">
        <v>26578</v>
      </c>
      <c r="S7472" t="s">
        <v>18959</v>
      </c>
      <c r="U7472" t="s">
        <v>26604</v>
      </c>
      <c r="W7472" t="s">
        <v>763</v>
      </c>
      <c r="X7472">
        <v>816.66</v>
      </c>
      <c r="Y7472" t="s">
        <v>26651</v>
      </c>
      <c r="Z7472" t="s">
        <v>26659</v>
      </c>
      <c r="AB7472" t="s">
        <v>27647</v>
      </c>
      <c r="AD7472" t="s">
        <v>42665</v>
      </c>
      <c r="AE7472">
        <v>20</v>
      </c>
      <c r="AF7472" t="s">
        <v>45541</v>
      </c>
      <c r="AG7472" t="s">
        <v>19330</v>
      </c>
      <c r="AH7472">
        <v>23</v>
      </c>
      <c r="AI7472">
        <v>1</v>
      </c>
      <c r="AJ7472">
        <v>0</v>
      </c>
      <c r="AK7472">
        <v>38.24</v>
      </c>
      <c r="AN7472" t="s">
        <v>45581</v>
      </c>
      <c r="AO7472">
        <v>4776</v>
      </c>
      <c r="AU7472">
        <v>1.4</v>
      </c>
      <c r="AV7472" t="s">
        <v>838</v>
      </c>
      <c r="AW7472" t="s">
        <v>46840</v>
      </c>
      <c r="AX7472" t="s">
        <v>46897</v>
      </c>
    </row>
    <row r="7473" spans="1:50">
      <c r="A7473" s="1">
        <f>HYPERLINK("https://lsnyc.legalserver.org/matter/dynamic-profile/view/1897591","19-1897591")</f>
        <v>0</v>
      </c>
      <c r="B7473" t="s">
        <v>169</v>
      </c>
      <c r="C7473" t="s">
        <v>340</v>
      </c>
      <c r="D7473" t="s">
        <v>763</v>
      </c>
      <c r="F7473" t="s">
        <v>3545</v>
      </c>
      <c r="G7473" t="s">
        <v>7378</v>
      </c>
      <c r="H7473" t="s">
        <v>12525</v>
      </c>
      <c r="I7473" t="s">
        <v>17315</v>
      </c>
      <c r="J7473" t="s">
        <v>18892</v>
      </c>
      <c r="K7473">
        <v>10453</v>
      </c>
      <c r="L7473" t="s">
        <v>18958</v>
      </c>
      <c r="M7473" t="s">
        <v>18958</v>
      </c>
      <c r="N7473" t="s">
        <v>24287</v>
      </c>
      <c r="O7473" t="s">
        <v>26523</v>
      </c>
      <c r="P7473" t="s">
        <v>26560</v>
      </c>
      <c r="R7473" t="s">
        <v>26578</v>
      </c>
      <c r="S7473" t="s">
        <v>18959</v>
      </c>
      <c r="U7473" t="s">
        <v>26604</v>
      </c>
      <c r="V7473" t="s">
        <v>26610</v>
      </c>
      <c r="W7473" t="s">
        <v>763</v>
      </c>
      <c r="X7473">
        <v>1019</v>
      </c>
      <c r="Y7473" t="s">
        <v>26650</v>
      </c>
      <c r="Z7473" t="s">
        <v>26659</v>
      </c>
      <c r="AB7473" t="s">
        <v>30513</v>
      </c>
      <c r="AD7473" t="s">
        <v>40694</v>
      </c>
      <c r="AE7473">
        <v>69</v>
      </c>
      <c r="AF7473" t="s">
        <v>45541</v>
      </c>
      <c r="AG7473" t="s">
        <v>19330</v>
      </c>
      <c r="AH7473">
        <v>15</v>
      </c>
      <c r="AI7473">
        <v>1</v>
      </c>
      <c r="AJ7473">
        <v>0</v>
      </c>
      <c r="AK7473">
        <v>105.68</v>
      </c>
      <c r="AN7473" t="s">
        <v>8151</v>
      </c>
      <c r="AO7473">
        <v>13200</v>
      </c>
      <c r="AU7473">
        <v>7.3</v>
      </c>
      <c r="AV7473" t="s">
        <v>828</v>
      </c>
      <c r="AW7473" t="s">
        <v>329</v>
      </c>
      <c r="AX7473" t="s">
        <v>46897</v>
      </c>
    </row>
    <row r="7474" spans="1:50">
      <c r="A7474" s="1">
        <f>HYPERLINK("https://lsnyc.legalserver.org/matter/dynamic-profile/view/1897597","19-1897597")</f>
        <v>0</v>
      </c>
      <c r="B7474" t="s">
        <v>108</v>
      </c>
      <c r="C7474" t="s">
        <v>340</v>
      </c>
      <c r="D7474" t="s">
        <v>763</v>
      </c>
      <c r="F7474" t="s">
        <v>1021</v>
      </c>
      <c r="G7474" t="s">
        <v>7401</v>
      </c>
      <c r="H7474" t="s">
        <v>13199</v>
      </c>
      <c r="I7474" t="s">
        <v>17390</v>
      </c>
      <c r="J7474" t="s">
        <v>18906</v>
      </c>
      <c r="K7474">
        <v>11373</v>
      </c>
      <c r="L7474" t="s">
        <v>18958</v>
      </c>
      <c r="M7474" t="s">
        <v>18958</v>
      </c>
      <c r="N7474" t="s">
        <v>24288</v>
      </c>
      <c r="O7474" t="s">
        <v>26524</v>
      </c>
      <c r="P7474" t="s">
        <v>26560</v>
      </c>
      <c r="R7474" t="s">
        <v>26585</v>
      </c>
      <c r="S7474" t="s">
        <v>18959</v>
      </c>
      <c r="U7474" t="s">
        <v>26604</v>
      </c>
      <c r="V7474" t="s">
        <v>26610</v>
      </c>
      <c r="W7474" t="s">
        <v>763</v>
      </c>
      <c r="X7474">
        <v>1350</v>
      </c>
      <c r="Y7474" t="s">
        <v>26653</v>
      </c>
      <c r="Z7474" t="s">
        <v>26668</v>
      </c>
      <c r="AB7474" t="s">
        <v>32284</v>
      </c>
      <c r="AD7474" t="s">
        <v>42666</v>
      </c>
      <c r="AE7474">
        <v>0</v>
      </c>
      <c r="AF7474" t="s">
        <v>20460</v>
      </c>
      <c r="AG7474" t="s">
        <v>19330</v>
      </c>
      <c r="AH7474">
        <v>10</v>
      </c>
      <c r="AI7474">
        <v>2</v>
      </c>
      <c r="AJ7474">
        <v>2</v>
      </c>
      <c r="AK7474">
        <v>97.09</v>
      </c>
      <c r="AN7474" t="s">
        <v>7439</v>
      </c>
      <c r="AO7474">
        <v>25000</v>
      </c>
      <c r="AQ7474" t="s">
        <v>46361</v>
      </c>
      <c r="AR7474" t="s">
        <v>46380</v>
      </c>
      <c r="AS7474" t="s">
        <v>46499</v>
      </c>
      <c r="AT7474" t="s">
        <v>46786</v>
      </c>
      <c r="AU7474">
        <v>8.949999999999999</v>
      </c>
      <c r="AV7474" t="s">
        <v>825</v>
      </c>
      <c r="AW7474" t="s">
        <v>208</v>
      </c>
      <c r="AX7474" t="s">
        <v>46897</v>
      </c>
    </row>
    <row r="7475" spans="1:50">
      <c r="A7475" s="1">
        <f>HYPERLINK("https://lsnyc.legalserver.org/matter/dynamic-profile/view/1897637","19-1897637")</f>
        <v>0</v>
      </c>
      <c r="B7475" t="s">
        <v>134</v>
      </c>
      <c r="C7475" t="s">
        <v>340</v>
      </c>
      <c r="D7475" t="s">
        <v>763</v>
      </c>
      <c r="F7475" t="s">
        <v>3945</v>
      </c>
      <c r="G7475" t="s">
        <v>8316</v>
      </c>
      <c r="H7475" t="s">
        <v>14741</v>
      </c>
      <c r="I7475" t="s">
        <v>17331</v>
      </c>
      <c r="J7475" t="s">
        <v>18894</v>
      </c>
      <c r="K7475">
        <v>11233</v>
      </c>
      <c r="L7475" t="s">
        <v>18958</v>
      </c>
      <c r="M7475" t="s">
        <v>18958</v>
      </c>
      <c r="O7475" t="s">
        <v>26534</v>
      </c>
      <c r="P7475" t="s">
        <v>26561</v>
      </c>
      <c r="R7475" t="s">
        <v>26578</v>
      </c>
      <c r="U7475" t="s">
        <v>26604</v>
      </c>
      <c r="W7475" t="s">
        <v>763</v>
      </c>
      <c r="X7475">
        <v>606</v>
      </c>
      <c r="Y7475" t="s">
        <v>26652</v>
      </c>
      <c r="AB7475" t="s">
        <v>32245</v>
      </c>
      <c r="AD7475" t="s">
        <v>42618</v>
      </c>
      <c r="AE7475">
        <v>6</v>
      </c>
      <c r="AF7475" t="s">
        <v>45541</v>
      </c>
      <c r="AG7475" t="s">
        <v>19330</v>
      </c>
      <c r="AH7475">
        <v>40</v>
      </c>
      <c r="AI7475">
        <v>1</v>
      </c>
      <c r="AJ7475">
        <v>0</v>
      </c>
      <c r="AK7475">
        <v>80.06</v>
      </c>
      <c r="AN7475" t="s">
        <v>7439</v>
      </c>
      <c r="AO7475">
        <v>10000</v>
      </c>
      <c r="AU7475">
        <v>0.2</v>
      </c>
      <c r="AV7475" t="s">
        <v>763</v>
      </c>
      <c r="AW7475" t="s">
        <v>134</v>
      </c>
    </row>
    <row r="7476" spans="1:50">
      <c r="A7476" s="1">
        <f>HYPERLINK("https://lsnyc.legalserver.org/matter/dynamic-profile/view/1897544","19-1897544")</f>
        <v>0</v>
      </c>
      <c r="B7476" t="s">
        <v>56</v>
      </c>
      <c r="C7476" t="s">
        <v>340</v>
      </c>
      <c r="D7476" t="s">
        <v>763</v>
      </c>
      <c r="F7476" t="s">
        <v>3965</v>
      </c>
      <c r="G7476" t="s">
        <v>5706</v>
      </c>
      <c r="H7476" t="s">
        <v>11961</v>
      </c>
      <c r="I7476" t="s">
        <v>17366</v>
      </c>
      <c r="J7476" t="s">
        <v>18892</v>
      </c>
      <c r="K7476">
        <v>10467</v>
      </c>
      <c r="L7476" t="s">
        <v>18958</v>
      </c>
      <c r="M7476" t="s">
        <v>18958</v>
      </c>
      <c r="N7476" t="s">
        <v>24289</v>
      </c>
      <c r="O7476" t="s">
        <v>26523</v>
      </c>
      <c r="P7476" t="s">
        <v>26560</v>
      </c>
      <c r="R7476" t="s">
        <v>26579</v>
      </c>
      <c r="U7476" t="s">
        <v>26604</v>
      </c>
      <c r="V7476" t="s">
        <v>26610</v>
      </c>
      <c r="W7476" t="s">
        <v>763</v>
      </c>
      <c r="X7476">
        <v>1189.98</v>
      </c>
      <c r="Y7476" t="s">
        <v>26650</v>
      </c>
      <c r="Z7476" t="s">
        <v>26664</v>
      </c>
      <c r="AB7476" t="s">
        <v>32285</v>
      </c>
      <c r="AD7476" t="s">
        <v>42667</v>
      </c>
      <c r="AE7476">
        <v>0</v>
      </c>
      <c r="AF7476" t="s">
        <v>45541</v>
      </c>
      <c r="AG7476" t="s">
        <v>19330</v>
      </c>
      <c r="AH7476">
        <v>4</v>
      </c>
      <c r="AI7476">
        <v>1</v>
      </c>
      <c r="AJ7476">
        <v>0</v>
      </c>
      <c r="AK7476">
        <v>64.05</v>
      </c>
      <c r="AO7476">
        <v>8000</v>
      </c>
      <c r="AU7476">
        <v>6</v>
      </c>
      <c r="AV7476" t="s">
        <v>825</v>
      </c>
      <c r="AW7476" t="s">
        <v>334</v>
      </c>
      <c r="AX7476" t="s">
        <v>46897</v>
      </c>
    </row>
    <row r="7477" spans="1:50">
      <c r="A7477" s="1">
        <f>HYPERLINK("https://lsnyc.legalserver.org/matter/dynamic-profile/view/1897656","19-1897656")</f>
        <v>0</v>
      </c>
      <c r="B7477" t="s">
        <v>212</v>
      </c>
      <c r="C7477" t="s">
        <v>340</v>
      </c>
      <c r="D7477" t="s">
        <v>763</v>
      </c>
      <c r="F7477" t="s">
        <v>1555</v>
      </c>
      <c r="G7477" t="s">
        <v>5269</v>
      </c>
      <c r="H7477" t="s">
        <v>10433</v>
      </c>
      <c r="I7477">
        <v>919</v>
      </c>
      <c r="J7477" t="s">
        <v>18905</v>
      </c>
      <c r="K7477">
        <v>11692</v>
      </c>
      <c r="L7477" t="s">
        <v>18958</v>
      </c>
      <c r="M7477" t="s">
        <v>18958</v>
      </c>
      <c r="N7477" t="s">
        <v>24142</v>
      </c>
      <c r="O7477" t="s">
        <v>26523</v>
      </c>
      <c r="P7477" t="s">
        <v>26560</v>
      </c>
      <c r="R7477" t="s">
        <v>26578</v>
      </c>
      <c r="S7477" t="s">
        <v>18959</v>
      </c>
      <c r="U7477" t="s">
        <v>26604</v>
      </c>
      <c r="W7477" t="s">
        <v>763</v>
      </c>
      <c r="X7477">
        <v>1885</v>
      </c>
      <c r="Y7477" t="s">
        <v>26653</v>
      </c>
      <c r="Z7477" t="s">
        <v>26664</v>
      </c>
      <c r="AB7477" t="s">
        <v>32157</v>
      </c>
      <c r="AD7477" t="s">
        <v>42505</v>
      </c>
      <c r="AE7477">
        <v>0</v>
      </c>
      <c r="AG7477" t="s">
        <v>19330</v>
      </c>
      <c r="AH7477">
        <v>4</v>
      </c>
      <c r="AI7477">
        <v>2</v>
      </c>
      <c r="AJ7477">
        <v>2</v>
      </c>
      <c r="AK7477">
        <v>174.76</v>
      </c>
      <c r="AN7477" t="s">
        <v>7439</v>
      </c>
      <c r="AO7477">
        <v>45000</v>
      </c>
      <c r="AU7477">
        <v>0.3</v>
      </c>
      <c r="AV7477" t="s">
        <v>765</v>
      </c>
      <c r="AW7477" t="s">
        <v>208</v>
      </c>
    </row>
    <row r="7478" spans="1:50">
      <c r="A7478" s="1">
        <f>HYPERLINK("https://lsnyc.legalserver.org/matter/dynamic-profile/view/1897580","19-1897580")</f>
        <v>0</v>
      </c>
      <c r="B7478" t="s">
        <v>68</v>
      </c>
      <c r="C7478" t="s">
        <v>340</v>
      </c>
      <c r="D7478" t="s">
        <v>763</v>
      </c>
      <c r="F7478" t="s">
        <v>933</v>
      </c>
      <c r="G7478" t="s">
        <v>5806</v>
      </c>
      <c r="H7478" t="s">
        <v>11567</v>
      </c>
      <c r="I7478" t="s">
        <v>17743</v>
      </c>
      <c r="J7478" t="s">
        <v>18892</v>
      </c>
      <c r="K7478">
        <v>10468</v>
      </c>
      <c r="L7478" t="s">
        <v>18958</v>
      </c>
      <c r="M7478" t="s">
        <v>18958</v>
      </c>
      <c r="N7478" t="s">
        <v>24290</v>
      </c>
      <c r="O7478" t="s">
        <v>26523</v>
      </c>
      <c r="P7478" t="s">
        <v>26560</v>
      </c>
      <c r="R7478" t="s">
        <v>26579</v>
      </c>
      <c r="S7478" t="s">
        <v>18959</v>
      </c>
      <c r="U7478" t="s">
        <v>26604</v>
      </c>
      <c r="V7478" t="s">
        <v>26610</v>
      </c>
      <c r="W7478" t="s">
        <v>763</v>
      </c>
      <c r="X7478">
        <v>889.08</v>
      </c>
      <c r="Y7478" t="s">
        <v>26650</v>
      </c>
      <c r="Z7478" t="s">
        <v>26659</v>
      </c>
      <c r="AB7478" t="s">
        <v>32286</v>
      </c>
      <c r="AC7478" t="s">
        <v>36340</v>
      </c>
      <c r="AD7478" t="s">
        <v>42668</v>
      </c>
      <c r="AE7478">
        <v>48</v>
      </c>
      <c r="AF7478" t="s">
        <v>45541</v>
      </c>
      <c r="AG7478" t="s">
        <v>19330</v>
      </c>
      <c r="AH7478">
        <v>16</v>
      </c>
      <c r="AI7478">
        <v>1</v>
      </c>
      <c r="AJ7478">
        <v>0</v>
      </c>
      <c r="AK7478">
        <v>25.88</v>
      </c>
      <c r="AN7478" t="s">
        <v>7439</v>
      </c>
      <c r="AO7478">
        <v>3233</v>
      </c>
      <c r="AU7478">
        <v>6.4</v>
      </c>
      <c r="AV7478" t="s">
        <v>834</v>
      </c>
      <c r="AW7478" t="s">
        <v>46841</v>
      </c>
      <c r="AX7478" t="s">
        <v>46898</v>
      </c>
    </row>
    <row r="7479" spans="1:50">
      <c r="A7479" s="1">
        <f>HYPERLINK("https://lsnyc.legalserver.org/matter/dynamic-profile/view/1897581","19-1897581")</f>
        <v>0</v>
      </c>
      <c r="B7479" t="s">
        <v>214</v>
      </c>
      <c r="C7479" t="s">
        <v>340</v>
      </c>
      <c r="D7479" t="s">
        <v>763</v>
      </c>
      <c r="F7479" t="s">
        <v>968</v>
      </c>
      <c r="G7479" t="s">
        <v>5761</v>
      </c>
      <c r="H7479" t="s">
        <v>14780</v>
      </c>
      <c r="J7479" t="s">
        <v>18901</v>
      </c>
      <c r="K7479">
        <v>11433</v>
      </c>
      <c r="L7479" t="s">
        <v>18958</v>
      </c>
      <c r="M7479" t="s">
        <v>18958</v>
      </c>
      <c r="N7479" t="s">
        <v>24291</v>
      </c>
      <c r="O7479" t="s">
        <v>26524</v>
      </c>
      <c r="P7479" t="s">
        <v>26560</v>
      </c>
      <c r="R7479" t="s">
        <v>26585</v>
      </c>
      <c r="S7479" t="s">
        <v>18959</v>
      </c>
      <c r="U7479" t="s">
        <v>26604</v>
      </c>
      <c r="V7479" t="s">
        <v>26610</v>
      </c>
      <c r="W7479" t="s">
        <v>763</v>
      </c>
      <c r="X7479">
        <v>950</v>
      </c>
      <c r="Y7479" t="s">
        <v>26653</v>
      </c>
      <c r="Z7479" t="s">
        <v>26668</v>
      </c>
      <c r="AB7479" t="s">
        <v>32287</v>
      </c>
      <c r="AD7479" t="s">
        <v>42669</v>
      </c>
      <c r="AE7479">
        <v>2</v>
      </c>
      <c r="AF7479" t="s">
        <v>20460</v>
      </c>
      <c r="AG7479" t="s">
        <v>19330</v>
      </c>
      <c r="AH7479">
        <v>7</v>
      </c>
      <c r="AI7479">
        <v>1</v>
      </c>
      <c r="AJ7479">
        <v>0</v>
      </c>
      <c r="AK7479">
        <v>95.02</v>
      </c>
      <c r="AN7479" t="s">
        <v>7439</v>
      </c>
      <c r="AO7479">
        <v>11868</v>
      </c>
      <c r="AU7479">
        <v>12.6</v>
      </c>
      <c r="AV7479" t="s">
        <v>839</v>
      </c>
      <c r="AW7479" t="s">
        <v>208</v>
      </c>
      <c r="AX7479" t="s">
        <v>46897</v>
      </c>
    </row>
    <row r="7480" spans="1:50">
      <c r="A7480" s="1">
        <f>HYPERLINK("https://lsnyc.legalserver.org/matter/dynamic-profile/view/1897573","19-1897573")</f>
        <v>0</v>
      </c>
      <c r="B7480" t="s">
        <v>159</v>
      </c>
      <c r="C7480" t="s">
        <v>340</v>
      </c>
      <c r="D7480" t="s">
        <v>763</v>
      </c>
      <c r="F7480" t="s">
        <v>3966</v>
      </c>
      <c r="G7480" t="s">
        <v>8341</v>
      </c>
      <c r="H7480" t="s">
        <v>14781</v>
      </c>
      <c r="I7480" t="s">
        <v>17282</v>
      </c>
      <c r="J7480" t="s">
        <v>18899</v>
      </c>
      <c r="K7480">
        <v>11385</v>
      </c>
      <c r="L7480" t="s">
        <v>18958</v>
      </c>
      <c r="M7480" t="s">
        <v>18958</v>
      </c>
      <c r="N7480" t="s">
        <v>24292</v>
      </c>
      <c r="O7480" t="s">
        <v>26523</v>
      </c>
      <c r="P7480" t="s">
        <v>26560</v>
      </c>
      <c r="R7480" t="s">
        <v>26585</v>
      </c>
      <c r="S7480" t="s">
        <v>18959</v>
      </c>
      <c r="U7480" t="s">
        <v>26604</v>
      </c>
      <c r="V7480" t="s">
        <v>26610</v>
      </c>
      <c r="W7480" t="s">
        <v>763</v>
      </c>
      <c r="X7480">
        <v>2695</v>
      </c>
      <c r="Y7480" t="s">
        <v>26653</v>
      </c>
      <c r="Z7480" t="s">
        <v>26668</v>
      </c>
      <c r="AB7480" t="s">
        <v>30020</v>
      </c>
      <c r="AD7480" t="s">
        <v>42670</v>
      </c>
      <c r="AE7480">
        <v>90</v>
      </c>
      <c r="AF7480" t="s">
        <v>45541</v>
      </c>
      <c r="AG7480" t="s">
        <v>19330</v>
      </c>
      <c r="AH7480">
        <v>1</v>
      </c>
      <c r="AI7480">
        <v>2</v>
      </c>
      <c r="AJ7480">
        <v>1</v>
      </c>
      <c r="AK7480">
        <v>90.01000000000001</v>
      </c>
      <c r="AN7480" t="s">
        <v>7439</v>
      </c>
      <c r="AO7480">
        <v>19200</v>
      </c>
      <c r="AU7480">
        <v>22.8</v>
      </c>
      <c r="AV7480" t="s">
        <v>821</v>
      </c>
      <c r="AW7480" t="s">
        <v>208</v>
      </c>
    </row>
    <row r="7481" spans="1:50">
      <c r="A7481" s="1">
        <f>HYPERLINK("https://lsnyc.legalserver.org/matter/dynamic-profile/view/1897623","19-1897623")</f>
        <v>0</v>
      </c>
      <c r="B7481" t="s">
        <v>159</v>
      </c>
      <c r="C7481" t="s">
        <v>340</v>
      </c>
      <c r="D7481" t="s">
        <v>763</v>
      </c>
      <c r="F7481" t="s">
        <v>3967</v>
      </c>
      <c r="G7481" t="s">
        <v>5854</v>
      </c>
      <c r="H7481" t="s">
        <v>14782</v>
      </c>
      <c r="J7481" t="s">
        <v>18901</v>
      </c>
      <c r="K7481">
        <v>11434</v>
      </c>
      <c r="L7481" t="s">
        <v>18958</v>
      </c>
      <c r="M7481" t="s">
        <v>18958</v>
      </c>
      <c r="N7481" t="s">
        <v>24293</v>
      </c>
      <c r="O7481" t="s">
        <v>26523</v>
      </c>
      <c r="P7481" t="s">
        <v>26560</v>
      </c>
      <c r="R7481" t="s">
        <v>26585</v>
      </c>
      <c r="S7481" t="s">
        <v>18959</v>
      </c>
      <c r="U7481" t="s">
        <v>26604</v>
      </c>
      <c r="V7481" t="s">
        <v>26610</v>
      </c>
      <c r="W7481" t="s">
        <v>763</v>
      </c>
      <c r="X7481">
        <v>1425</v>
      </c>
      <c r="Y7481" t="s">
        <v>26653</v>
      </c>
      <c r="Z7481" t="s">
        <v>26668</v>
      </c>
      <c r="AB7481" t="s">
        <v>28126</v>
      </c>
      <c r="AD7481" t="s">
        <v>42671</v>
      </c>
      <c r="AE7481">
        <v>0</v>
      </c>
      <c r="AF7481" t="s">
        <v>45541</v>
      </c>
      <c r="AG7481" t="s">
        <v>19330</v>
      </c>
      <c r="AH7481">
        <v>4</v>
      </c>
      <c r="AI7481">
        <v>1</v>
      </c>
      <c r="AJ7481">
        <v>0</v>
      </c>
      <c r="AK7481">
        <v>237.31</v>
      </c>
      <c r="AL7481" t="s">
        <v>808</v>
      </c>
      <c r="AM7481" t="s">
        <v>45575</v>
      </c>
      <c r="AN7481" t="s">
        <v>7439</v>
      </c>
      <c r="AO7481">
        <v>29640</v>
      </c>
      <c r="AU7481">
        <v>17.8</v>
      </c>
      <c r="AV7481" t="s">
        <v>821</v>
      </c>
      <c r="AW7481" t="s">
        <v>208</v>
      </c>
    </row>
    <row r="7482" spans="1:50">
      <c r="A7482" s="1">
        <f>HYPERLINK("https://lsnyc.legalserver.org/matter/dynamic-profile/view/1897574","19-1897574")</f>
        <v>0</v>
      </c>
      <c r="B7482" t="s">
        <v>198</v>
      </c>
      <c r="C7482" t="s">
        <v>340</v>
      </c>
      <c r="D7482" t="s">
        <v>763</v>
      </c>
      <c r="F7482" t="s">
        <v>2691</v>
      </c>
      <c r="G7482" t="s">
        <v>1995</v>
      </c>
      <c r="H7482" t="s">
        <v>14783</v>
      </c>
      <c r="I7482" t="s">
        <v>17299</v>
      </c>
      <c r="J7482" t="s">
        <v>18894</v>
      </c>
      <c r="K7482">
        <v>11226</v>
      </c>
      <c r="L7482" t="s">
        <v>18958</v>
      </c>
      <c r="M7482" t="s">
        <v>18960</v>
      </c>
      <c r="P7482" t="s">
        <v>26562</v>
      </c>
      <c r="R7482" t="s">
        <v>26578</v>
      </c>
      <c r="U7482" t="s">
        <v>26604</v>
      </c>
      <c r="W7482" t="s">
        <v>763</v>
      </c>
      <c r="X7482">
        <v>0</v>
      </c>
      <c r="Y7482" t="s">
        <v>26652</v>
      </c>
      <c r="AB7482" t="s">
        <v>32288</v>
      </c>
      <c r="AE7482">
        <v>0</v>
      </c>
      <c r="AH7482">
        <v>0</v>
      </c>
      <c r="AI7482">
        <v>2</v>
      </c>
      <c r="AJ7482">
        <v>0</v>
      </c>
      <c r="AK7482">
        <v>204.8</v>
      </c>
      <c r="AN7482" t="s">
        <v>7439</v>
      </c>
      <c r="AO7482">
        <v>34632</v>
      </c>
      <c r="AU7482">
        <v>3.7</v>
      </c>
      <c r="AV7482" t="s">
        <v>811</v>
      </c>
      <c r="AW7482" t="s">
        <v>198</v>
      </c>
    </row>
    <row r="7483" spans="1:50">
      <c r="A7483" s="1">
        <f>HYPERLINK("https://lsnyc.legalserver.org/matter/dynamic-profile/view/1897616","19-1897616")</f>
        <v>0</v>
      </c>
      <c r="B7483" t="s">
        <v>235</v>
      </c>
      <c r="C7483" t="s">
        <v>340</v>
      </c>
      <c r="D7483" t="s">
        <v>763</v>
      </c>
      <c r="F7483" t="s">
        <v>1492</v>
      </c>
      <c r="G7483" t="s">
        <v>5078</v>
      </c>
      <c r="H7483" t="s">
        <v>14784</v>
      </c>
      <c r="J7483" t="s">
        <v>7026</v>
      </c>
      <c r="K7483">
        <v>11368</v>
      </c>
      <c r="L7483" t="s">
        <v>18958</v>
      </c>
      <c r="M7483" t="s">
        <v>18958</v>
      </c>
      <c r="N7483" t="s">
        <v>24294</v>
      </c>
      <c r="O7483" t="s">
        <v>26524</v>
      </c>
      <c r="P7483" t="s">
        <v>26563</v>
      </c>
      <c r="R7483" t="s">
        <v>26584</v>
      </c>
      <c r="S7483" t="s">
        <v>18959</v>
      </c>
      <c r="U7483" t="s">
        <v>26604</v>
      </c>
      <c r="W7483" t="s">
        <v>763</v>
      </c>
      <c r="X7483">
        <v>950</v>
      </c>
      <c r="Y7483" t="s">
        <v>26653</v>
      </c>
      <c r="Z7483" t="s">
        <v>26661</v>
      </c>
      <c r="AB7483" t="s">
        <v>32289</v>
      </c>
      <c r="AD7483" t="s">
        <v>42672</v>
      </c>
      <c r="AE7483">
        <v>0</v>
      </c>
      <c r="AF7483" t="s">
        <v>20460</v>
      </c>
      <c r="AG7483" t="s">
        <v>19330</v>
      </c>
      <c r="AH7483">
        <v>4</v>
      </c>
      <c r="AI7483">
        <v>2</v>
      </c>
      <c r="AJ7483">
        <v>2</v>
      </c>
      <c r="AK7483">
        <v>97.13</v>
      </c>
      <c r="AN7483" t="s">
        <v>45581</v>
      </c>
      <c r="AO7483">
        <v>25012</v>
      </c>
      <c r="AU7483">
        <v>3</v>
      </c>
      <c r="AV7483" t="s">
        <v>764</v>
      </c>
      <c r="AW7483" t="s">
        <v>208</v>
      </c>
    </row>
    <row r="7484" spans="1:50">
      <c r="A7484" s="1">
        <f>HYPERLINK("https://lsnyc.legalserver.org/matter/dynamic-profile/view/1897590","19-1897590")</f>
        <v>0</v>
      </c>
      <c r="B7484" t="s">
        <v>221</v>
      </c>
      <c r="C7484" t="s">
        <v>340</v>
      </c>
      <c r="D7484" t="s">
        <v>763</v>
      </c>
      <c r="F7484" t="s">
        <v>1548</v>
      </c>
      <c r="G7484" t="s">
        <v>5630</v>
      </c>
      <c r="H7484" t="s">
        <v>14785</v>
      </c>
      <c r="J7484" t="s">
        <v>18901</v>
      </c>
      <c r="K7484">
        <v>11433</v>
      </c>
      <c r="L7484" t="s">
        <v>18958</v>
      </c>
      <c r="M7484" t="s">
        <v>18958</v>
      </c>
      <c r="N7484" t="s">
        <v>24295</v>
      </c>
      <c r="O7484" t="s">
        <v>26523</v>
      </c>
      <c r="P7484" t="s">
        <v>26564</v>
      </c>
      <c r="R7484" t="s">
        <v>26585</v>
      </c>
      <c r="S7484" t="s">
        <v>18959</v>
      </c>
      <c r="U7484" t="s">
        <v>26604</v>
      </c>
      <c r="W7484" t="s">
        <v>763</v>
      </c>
      <c r="X7484">
        <v>2500</v>
      </c>
      <c r="Y7484" t="s">
        <v>26653</v>
      </c>
      <c r="Z7484" t="s">
        <v>26668</v>
      </c>
      <c r="AB7484" t="s">
        <v>27524</v>
      </c>
      <c r="AD7484" t="s">
        <v>42673</v>
      </c>
      <c r="AE7484">
        <v>0</v>
      </c>
      <c r="AF7484" t="s">
        <v>20460</v>
      </c>
      <c r="AG7484" t="s">
        <v>19330</v>
      </c>
      <c r="AH7484">
        <v>2</v>
      </c>
      <c r="AI7484">
        <v>1</v>
      </c>
      <c r="AJ7484">
        <v>1</v>
      </c>
      <c r="AK7484">
        <v>166.06</v>
      </c>
      <c r="AN7484" t="s">
        <v>7439</v>
      </c>
      <c r="AO7484">
        <v>28080</v>
      </c>
      <c r="AU7484">
        <v>5.7</v>
      </c>
      <c r="AV7484" t="s">
        <v>806</v>
      </c>
      <c r="AW7484" t="s">
        <v>208</v>
      </c>
    </row>
    <row r="7485" spans="1:50">
      <c r="A7485" s="1">
        <f>HYPERLINK("https://lsnyc.legalserver.org/matter/dynamic-profile/view/1897601","19-1897601")</f>
        <v>0</v>
      </c>
      <c r="B7485" t="s">
        <v>157</v>
      </c>
      <c r="C7485" t="s">
        <v>340</v>
      </c>
      <c r="D7485" t="s">
        <v>763</v>
      </c>
      <c r="F7485" t="s">
        <v>893</v>
      </c>
      <c r="G7485" t="s">
        <v>8342</v>
      </c>
      <c r="H7485" t="s">
        <v>9751</v>
      </c>
      <c r="I7485">
        <v>54</v>
      </c>
      <c r="J7485" t="s">
        <v>18893</v>
      </c>
      <c r="K7485">
        <v>10034</v>
      </c>
      <c r="L7485" t="s">
        <v>18958</v>
      </c>
      <c r="M7485" t="s">
        <v>18958</v>
      </c>
      <c r="O7485" t="s">
        <v>26526</v>
      </c>
      <c r="P7485" t="s">
        <v>26563</v>
      </c>
      <c r="R7485" t="s">
        <v>26578</v>
      </c>
      <c r="S7485" t="s">
        <v>18958</v>
      </c>
      <c r="U7485" t="s">
        <v>26604</v>
      </c>
      <c r="W7485" t="s">
        <v>763</v>
      </c>
      <c r="X7485">
        <v>1313.52</v>
      </c>
      <c r="Y7485" t="s">
        <v>26651</v>
      </c>
      <c r="Z7485" t="s">
        <v>26661</v>
      </c>
      <c r="AB7485" t="s">
        <v>28061</v>
      </c>
      <c r="AD7485" t="s">
        <v>42674</v>
      </c>
      <c r="AE7485">
        <v>51</v>
      </c>
      <c r="AF7485" t="s">
        <v>45541</v>
      </c>
      <c r="AG7485" t="s">
        <v>19330</v>
      </c>
      <c r="AH7485">
        <v>18</v>
      </c>
      <c r="AI7485">
        <v>2</v>
      </c>
      <c r="AJ7485">
        <v>0</v>
      </c>
      <c r="AK7485">
        <v>372.56</v>
      </c>
      <c r="AN7485" t="s">
        <v>7439</v>
      </c>
      <c r="AO7485">
        <v>63000</v>
      </c>
      <c r="AU7485">
        <v>0</v>
      </c>
      <c r="AW7485" t="s">
        <v>46840</v>
      </c>
    </row>
    <row r="7486" spans="1:50">
      <c r="A7486" s="1">
        <f>HYPERLINK("https://lsnyc.legalserver.org/matter/dynamic-profile/view/1895285","19-1895285")</f>
        <v>0</v>
      </c>
      <c r="B7486" t="s">
        <v>211</v>
      </c>
      <c r="C7486" t="s">
        <v>340</v>
      </c>
      <c r="D7486" t="s">
        <v>779</v>
      </c>
      <c r="F7486" t="s">
        <v>1087</v>
      </c>
      <c r="G7486" t="s">
        <v>6230</v>
      </c>
      <c r="H7486" t="s">
        <v>14786</v>
      </c>
      <c r="I7486" t="s">
        <v>17316</v>
      </c>
      <c r="J7486" t="s">
        <v>18894</v>
      </c>
      <c r="K7486">
        <v>11212</v>
      </c>
      <c r="L7486" t="s">
        <v>18958</v>
      </c>
      <c r="M7486" t="s">
        <v>18959</v>
      </c>
      <c r="N7486" t="s">
        <v>24296</v>
      </c>
      <c r="O7486" t="s">
        <v>26523</v>
      </c>
      <c r="P7486" t="s">
        <v>26560</v>
      </c>
      <c r="R7486" t="s">
        <v>26578</v>
      </c>
      <c r="S7486" t="s">
        <v>18958</v>
      </c>
      <c r="U7486" t="s">
        <v>26604</v>
      </c>
      <c r="V7486" t="s">
        <v>26610</v>
      </c>
      <c r="W7486" t="s">
        <v>764</v>
      </c>
      <c r="X7486">
        <v>1283.86</v>
      </c>
      <c r="Y7486" t="s">
        <v>26652</v>
      </c>
      <c r="Z7486" t="s">
        <v>26667</v>
      </c>
      <c r="AB7486" t="s">
        <v>27084</v>
      </c>
      <c r="AE7486">
        <v>10</v>
      </c>
      <c r="AF7486" t="s">
        <v>45541</v>
      </c>
      <c r="AG7486" t="s">
        <v>45556</v>
      </c>
      <c r="AH7486">
        <v>26</v>
      </c>
      <c r="AI7486">
        <v>2</v>
      </c>
      <c r="AJ7486">
        <v>0</v>
      </c>
      <c r="AK7486">
        <v>54.71</v>
      </c>
      <c r="AN7486" t="s">
        <v>7439</v>
      </c>
      <c r="AO7486">
        <v>9252</v>
      </c>
      <c r="AU7486">
        <v>12.45</v>
      </c>
      <c r="AV7486" t="s">
        <v>831</v>
      </c>
      <c r="AW7486" t="s">
        <v>279</v>
      </c>
      <c r="AX7486" t="s">
        <v>46897</v>
      </c>
    </row>
    <row r="7487" spans="1:50">
      <c r="A7487" s="1">
        <f>HYPERLINK("https://lsnyc.legalserver.org/matter/dynamic-profile/view/1896324","19-1896324")</f>
        <v>0</v>
      </c>
      <c r="B7487" t="s">
        <v>100</v>
      </c>
      <c r="C7487" t="s">
        <v>340</v>
      </c>
      <c r="D7487" t="s">
        <v>724</v>
      </c>
      <c r="F7487" t="s">
        <v>1045</v>
      </c>
      <c r="G7487" t="s">
        <v>5186</v>
      </c>
      <c r="H7487" t="s">
        <v>10916</v>
      </c>
      <c r="I7487" t="s">
        <v>17344</v>
      </c>
      <c r="J7487" t="s">
        <v>18892</v>
      </c>
      <c r="K7487">
        <v>10456</v>
      </c>
      <c r="L7487" t="s">
        <v>18958</v>
      </c>
      <c r="M7487" t="s">
        <v>18958</v>
      </c>
      <c r="O7487" t="s">
        <v>26534</v>
      </c>
      <c r="P7487" t="s">
        <v>26561</v>
      </c>
      <c r="R7487" t="s">
        <v>26578</v>
      </c>
      <c r="S7487" t="s">
        <v>18958</v>
      </c>
      <c r="U7487" t="s">
        <v>26604</v>
      </c>
      <c r="V7487" t="s">
        <v>26610</v>
      </c>
      <c r="W7487" t="s">
        <v>764</v>
      </c>
      <c r="X7487">
        <v>1200</v>
      </c>
      <c r="Y7487" t="s">
        <v>26650</v>
      </c>
      <c r="AB7487" t="s">
        <v>28093</v>
      </c>
      <c r="AD7487" t="s">
        <v>38146</v>
      </c>
      <c r="AE7487">
        <v>61</v>
      </c>
      <c r="AF7487" t="s">
        <v>45541</v>
      </c>
      <c r="AH7487">
        <v>0</v>
      </c>
      <c r="AI7487">
        <v>2</v>
      </c>
      <c r="AJ7487">
        <v>0</v>
      </c>
      <c r="AK7487">
        <v>85.16</v>
      </c>
      <c r="AN7487" t="s">
        <v>7439</v>
      </c>
      <c r="AO7487">
        <v>14400</v>
      </c>
      <c r="AU7487">
        <v>22.4</v>
      </c>
      <c r="AV7487" t="s">
        <v>771</v>
      </c>
      <c r="AW7487" t="s">
        <v>100</v>
      </c>
    </row>
    <row r="7488" spans="1:50">
      <c r="A7488" s="1">
        <f>HYPERLINK("https://lsnyc.legalserver.org/matter/dynamic-profile/view/1897153","19-1897153")</f>
        <v>0</v>
      </c>
      <c r="B7488" t="s">
        <v>149</v>
      </c>
      <c r="C7488" t="s">
        <v>340</v>
      </c>
      <c r="D7488" t="s">
        <v>802</v>
      </c>
      <c r="F7488" t="s">
        <v>1486</v>
      </c>
      <c r="G7488" t="s">
        <v>8343</v>
      </c>
      <c r="H7488" t="s">
        <v>14787</v>
      </c>
      <c r="I7488" t="s">
        <v>17378</v>
      </c>
      <c r="J7488" t="s">
        <v>18892</v>
      </c>
      <c r="K7488">
        <v>10472</v>
      </c>
      <c r="L7488" t="s">
        <v>18958</v>
      </c>
      <c r="M7488" t="s">
        <v>18958</v>
      </c>
      <c r="N7488" t="s">
        <v>24297</v>
      </c>
      <c r="O7488" t="s">
        <v>26524</v>
      </c>
      <c r="P7488" t="s">
        <v>26564</v>
      </c>
      <c r="R7488" t="s">
        <v>26577</v>
      </c>
      <c r="S7488" t="s">
        <v>18959</v>
      </c>
      <c r="U7488" t="s">
        <v>26604</v>
      </c>
      <c r="V7488" t="s">
        <v>26610</v>
      </c>
      <c r="W7488" t="s">
        <v>764</v>
      </c>
      <c r="X7488">
        <v>236</v>
      </c>
      <c r="Y7488" t="s">
        <v>26650</v>
      </c>
      <c r="AB7488" t="s">
        <v>31530</v>
      </c>
      <c r="AD7488" t="s">
        <v>42675</v>
      </c>
      <c r="AE7488">
        <v>534</v>
      </c>
      <c r="AF7488" t="s">
        <v>45549</v>
      </c>
      <c r="AH7488">
        <v>5</v>
      </c>
      <c r="AI7488">
        <v>1</v>
      </c>
      <c r="AJ7488">
        <v>2</v>
      </c>
      <c r="AK7488">
        <v>16.32</v>
      </c>
      <c r="AN7488" t="s">
        <v>45581</v>
      </c>
      <c r="AO7488">
        <v>3480</v>
      </c>
      <c r="AU7488">
        <v>1.9</v>
      </c>
      <c r="AV7488" t="s">
        <v>764</v>
      </c>
      <c r="AW7488" t="s">
        <v>336</v>
      </c>
      <c r="AX7488" t="s">
        <v>46897</v>
      </c>
    </row>
    <row r="7489" spans="1:50">
      <c r="A7489" s="1">
        <f>HYPERLINK("https://lsnyc.legalserver.org/matter/dynamic-profile/view/1897694","19-1897694")</f>
        <v>0</v>
      </c>
      <c r="B7489" t="s">
        <v>149</v>
      </c>
      <c r="C7489" t="s">
        <v>340</v>
      </c>
      <c r="D7489" t="s">
        <v>802</v>
      </c>
      <c r="F7489" t="s">
        <v>3968</v>
      </c>
      <c r="G7489" t="s">
        <v>940</v>
      </c>
      <c r="H7489" t="s">
        <v>14788</v>
      </c>
      <c r="I7489" t="s">
        <v>17277</v>
      </c>
      <c r="J7489" t="s">
        <v>18892</v>
      </c>
      <c r="K7489">
        <v>10457</v>
      </c>
      <c r="L7489" t="s">
        <v>18958</v>
      </c>
      <c r="M7489" t="s">
        <v>18958</v>
      </c>
      <c r="N7489" t="s">
        <v>24298</v>
      </c>
      <c r="O7489" t="s">
        <v>26523</v>
      </c>
      <c r="P7489" t="s">
        <v>26560</v>
      </c>
      <c r="R7489" t="s">
        <v>26579</v>
      </c>
      <c r="S7489" t="s">
        <v>18959</v>
      </c>
      <c r="U7489" t="s">
        <v>26604</v>
      </c>
      <c r="W7489" t="s">
        <v>764</v>
      </c>
      <c r="X7489">
        <v>1150</v>
      </c>
      <c r="Y7489" t="s">
        <v>26650</v>
      </c>
      <c r="Z7489" t="s">
        <v>26664</v>
      </c>
      <c r="AB7489" t="s">
        <v>31788</v>
      </c>
      <c r="AC7489" t="s">
        <v>36341</v>
      </c>
      <c r="AD7489" t="s">
        <v>42676</v>
      </c>
      <c r="AE7489">
        <v>51</v>
      </c>
      <c r="AF7489" t="s">
        <v>45541</v>
      </c>
      <c r="AH7489">
        <v>1</v>
      </c>
      <c r="AI7489">
        <v>2</v>
      </c>
      <c r="AJ7489">
        <v>1</v>
      </c>
      <c r="AK7489">
        <v>22.28</v>
      </c>
      <c r="AN7489" t="s">
        <v>45581</v>
      </c>
      <c r="AO7489">
        <v>4752</v>
      </c>
      <c r="AU7489">
        <v>4</v>
      </c>
      <c r="AV7489" t="s">
        <v>797</v>
      </c>
      <c r="AW7489" t="s">
        <v>336</v>
      </c>
      <c r="AX7489" t="s">
        <v>46898</v>
      </c>
    </row>
    <row r="7490" spans="1:50">
      <c r="A7490" s="1">
        <f>HYPERLINK("https://lsnyc.legalserver.org/matter/dynamic-profile/view/1896837","19-1896837")</f>
        <v>0</v>
      </c>
      <c r="B7490" t="s">
        <v>126</v>
      </c>
      <c r="C7490" t="s">
        <v>341</v>
      </c>
      <c r="D7490" t="s">
        <v>672</v>
      </c>
      <c r="E7490" t="s">
        <v>818</v>
      </c>
      <c r="F7490" t="s">
        <v>879</v>
      </c>
      <c r="G7490" t="s">
        <v>8344</v>
      </c>
      <c r="H7490" t="s">
        <v>13351</v>
      </c>
      <c r="I7490" t="s">
        <v>17353</v>
      </c>
      <c r="J7490" t="s">
        <v>18894</v>
      </c>
      <c r="K7490">
        <v>11233</v>
      </c>
      <c r="L7490" t="s">
        <v>18958</v>
      </c>
      <c r="M7490" t="s">
        <v>18959</v>
      </c>
      <c r="N7490" t="s">
        <v>24299</v>
      </c>
      <c r="O7490" t="s">
        <v>26523</v>
      </c>
      <c r="P7490" t="s">
        <v>26564</v>
      </c>
      <c r="Q7490" t="s">
        <v>26571</v>
      </c>
      <c r="R7490" t="s">
        <v>26578</v>
      </c>
      <c r="S7490" t="s">
        <v>18959</v>
      </c>
      <c r="U7490" t="s">
        <v>26604</v>
      </c>
      <c r="V7490" t="s">
        <v>26610</v>
      </c>
      <c r="W7490" t="s">
        <v>764</v>
      </c>
      <c r="X7490">
        <v>2925</v>
      </c>
      <c r="Y7490" t="s">
        <v>26652</v>
      </c>
      <c r="Z7490" t="s">
        <v>26664</v>
      </c>
      <c r="AA7490" t="s">
        <v>26683</v>
      </c>
      <c r="AB7490" t="s">
        <v>32290</v>
      </c>
      <c r="AC7490" t="s">
        <v>19330</v>
      </c>
      <c r="AD7490" t="s">
        <v>42677</v>
      </c>
      <c r="AE7490">
        <v>118</v>
      </c>
      <c r="AF7490" t="s">
        <v>45541</v>
      </c>
      <c r="AG7490" t="s">
        <v>19330</v>
      </c>
      <c r="AH7490">
        <v>1</v>
      </c>
      <c r="AI7490">
        <v>1</v>
      </c>
      <c r="AJ7490">
        <v>0</v>
      </c>
      <c r="AK7490">
        <v>175.63</v>
      </c>
      <c r="AN7490" t="s">
        <v>7439</v>
      </c>
      <c r="AO7490">
        <v>21936</v>
      </c>
      <c r="AU7490">
        <v>2.1</v>
      </c>
      <c r="AV7490" t="s">
        <v>770</v>
      </c>
      <c r="AW7490" t="s">
        <v>279</v>
      </c>
      <c r="AX7490" t="s">
        <v>46897</v>
      </c>
    </row>
    <row r="7491" spans="1:50">
      <c r="A7491" s="1">
        <f>HYPERLINK("https://lsnyc.legalserver.org/matter/dynamic-profile/view/1897089","19-1897089")</f>
        <v>0</v>
      </c>
      <c r="B7491" t="s">
        <v>63</v>
      </c>
      <c r="C7491" t="s">
        <v>340</v>
      </c>
      <c r="D7491" t="s">
        <v>780</v>
      </c>
      <c r="F7491" t="s">
        <v>3969</v>
      </c>
      <c r="G7491" t="s">
        <v>6354</v>
      </c>
      <c r="H7491" t="s">
        <v>14789</v>
      </c>
      <c r="I7491" t="s">
        <v>18476</v>
      </c>
      <c r="J7491" t="s">
        <v>18892</v>
      </c>
      <c r="K7491">
        <v>10453</v>
      </c>
      <c r="L7491" t="s">
        <v>18958</v>
      </c>
      <c r="M7491" t="s">
        <v>18958</v>
      </c>
      <c r="N7491" t="s">
        <v>24300</v>
      </c>
      <c r="O7491" t="s">
        <v>26523</v>
      </c>
      <c r="P7491" t="s">
        <v>26560</v>
      </c>
      <c r="R7491" t="s">
        <v>26578</v>
      </c>
      <c r="S7491" t="s">
        <v>18959</v>
      </c>
      <c r="U7491" t="s">
        <v>26604</v>
      </c>
      <c r="W7491" t="s">
        <v>764</v>
      </c>
      <c r="X7491">
        <v>729</v>
      </c>
      <c r="Y7491" t="s">
        <v>26650</v>
      </c>
      <c r="Z7491" t="s">
        <v>26659</v>
      </c>
      <c r="AB7491" t="s">
        <v>32291</v>
      </c>
      <c r="AC7491" t="s">
        <v>36342</v>
      </c>
      <c r="AD7491" t="s">
        <v>42678</v>
      </c>
      <c r="AE7491">
        <v>69</v>
      </c>
      <c r="AG7491" t="s">
        <v>45556</v>
      </c>
      <c r="AH7491">
        <v>0</v>
      </c>
      <c r="AI7491">
        <v>1</v>
      </c>
      <c r="AJ7491">
        <v>0</v>
      </c>
      <c r="AK7491">
        <v>88.03</v>
      </c>
      <c r="AN7491" t="s">
        <v>45581</v>
      </c>
      <c r="AO7491">
        <v>10994.64</v>
      </c>
      <c r="AU7491">
        <v>15</v>
      </c>
      <c r="AV7491" t="s">
        <v>814</v>
      </c>
      <c r="AW7491" t="s">
        <v>336</v>
      </c>
      <c r="AX7491" t="s">
        <v>46898</v>
      </c>
    </row>
    <row r="7492" spans="1:50">
      <c r="A7492" s="1">
        <f>HYPERLINK("https://lsnyc.legalserver.org/matter/dynamic-profile/view/1897809","19-1897809")</f>
        <v>0</v>
      </c>
      <c r="B7492" t="s">
        <v>280</v>
      </c>
      <c r="C7492" t="s">
        <v>341</v>
      </c>
      <c r="D7492" t="s">
        <v>764</v>
      </c>
      <c r="E7492" t="s">
        <v>805</v>
      </c>
      <c r="F7492" t="s">
        <v>2403</v>
      </c>
      <c r="G7492" t="s">
        <v>5401</v>
      </c>
      <c r="H7492" t="s">
        <v>14790</v>
      </c>
      <c r="I7492" t="s">
        <v>17343</v>
      </c>
      <c r="J7492" t="s">
        <v>18907</v>
      </c>
      <c r="K7492">
        <v>11377</v>
      </c>
      <c r="L7492" t="s">
        <v>18958</v>
      </c>
      <c r="M7492" t="s">
        <v>18958</v>
      </c>
      <c r="O7492" t="s">
        <v>26534</v>
      </c>
      <c r="P7492" t="s">
        <v>26565</v>
      </c>
      <c r="Q7492" t="s">
        <v>26571</v>
      </c>
      <c r="R7492" t="s">
        <v>26578</v>
      </c>
      <c r="S7492" t="s">
        <v>18959</v>
      </c>
      <c r="U7492" t="s">
        <v>26604</v>
      </c>
      <c r="W7492" t="s">
        <v>764</v>
      </c>
      <c r="X7492">
        <v>1024.65</v>
      </c>
      <c r="Y7492" t="s">
        <v>26653</v>
      </c>
      <c r="Z7492" t="s">
        <v>26655</v>
      </c>
      <c r="AA7492" t="s">
        <v>26682</v>
      </c>
      <c r="AB7492" t="s">
        <v>28497</v>
      </c>
      <c r="AD7492" t="s">
        <v>42679</v>
      </c>
      <c r="AE7492">
        <v>39</v>
      </c>
      <c r="AF7492" t="s">
        <v>45541</v>
      </c>
      <c r="AG7492" t="s">
        <v>19330</v>
      </c>
      <c r="AH7492">
        <v>26</v>
      </c>
      <c r="AI7492">
        <v>1</v>
      </c>
      <c r="AJ7492">
        <v>0</v>
      </c>
      <c r="AK7492">
        <v>0</v>
      </c>
      <c r="AN7492" t="s">
        <v>45581</v>
      </c>
      <c r="AO7492">
        <v>0</v>
      </c>
      <c r="AS7492" t="s">
        <v>46499</v>
      </c>
      <c r="AT7492" t="s">
        <v>46704</v>
      </c>
      <c r="AU7492">
        <v>0.5</v>
      </c>
      <c r="AV7492" t="s">
        <v>764</v>
      </c>
      <c r="AW7492" t="s">
        <v>280</v>
      </c>
      <c r="AX7492" t="s">
        <v>46897</v>
      </c>
    </row>
    <row r="7493" spans="1:50">
      <c r="A7493" s="1">
        <f>HYPERLINK("https://lsnyc.legalserver.org/matter/dynamic-profile/view/1897787","19-1897787")</f>
        <v>0</v>
      </c>
      <c r="B7493" t="s">
        <v>74</v>
      </c>
      <c r="C7493" t="s">
        <v>341</v>
      </c>
      <c r="D7493" t="s">
        <v>764</v>
      </c>
      <c r="E7493" t="s">
        <v>831</v>
      </c>
      <c r="F7493" t="s">
        <v>1406</v>
      </c>
      <c r="G7493" t="s">
        <v>8345</v>
      </c>
      <c r="H7493" t="s">
        <v>14791</v>
      </c>
      <c r="I7493">
        <v>33</v>
      </c>
      <c r="J7493" t="s">
        <v>18893</v>
      </c>
      <c r="K7493">
        <v>10032</v>
      </c>
      <c r="L7493" t="s">
        <v>18958</v>
      </c>
      <c r="M7493" t="s">
        <v>18958</v>
      </c>
      <c r="O7493" t="s">
        <v>26529</v>
      </c>
      <c r="P7493" t="s">
        <v>26565</v>
      </c>
      <c r="Q7493" t="s">
        <v>26571</v>
      </c>
      <c r="R7493" t="s">
        <v>26578</v>
      </c>
      <c r="S7493" t="s">
        <v>18959</v>
      </c>
      <c r="U7493" t="s">
        <v>26604</v>
      </c>
      <c r="W7493" t="s">
        <v>764</v>
      </c>
      <c r="X7493">
        <v>1721</v>
      </c>
      <c r="Y7493" t="s">
        <v>26651</v>
      </c>
      <c r="Z7493" t="s">
        <v>26661</v>
      </c>
      <c r="AA7493" t="s">
        <v>26682</v>
      </c>
      <c r="AB7493" t="s">
        <v>32292</v>
      </c>
      <c r="AE7493">
        <v>40</v>
      </c>
      <c r="AF7493" t="s">
        <v>45541</v>
      </c>
      <c r="AG7493" t="s">
        <v>19330</v>
      </c>
      <c r="AH7493">
        <v>18</v>
      </c>
      <c r="AI7493">
        <v>4</v>
      </c>
      <c r="AJ7493">
        <v>2</v>
      </c>
      <c r="AK7493">
        <v>0</v>
      </c>
      <c r="AN7493" t="s">
        <v>45581</v>
      </c>
      <c r="AO7493">
        <v>0</v>
      </c>
      <c r="AU7493">
        <v>1</v>
      </c>
      <c r="AV7493" t="s">
        <v>764</v>
      </c>
      <c r="AW7493" t="s">
        <v>46840</v>
      </c>
      <c r="AX7493" t="s">
        <v>46897</v>
      </c>
    </row>
    <row r="7494" spans="1:50">
      <c r="A7494" s="1">
        <f>HYPERLINK("https://lsnyc.legalserver.org/matter/dynamic-profile/view/1897797","19-1897797")</f>
        <v>0</v>
      </c>
      <c r="B7494" t="s">
        <v>74</v>
      </c>
      <c r="C7494" t="s">
        <v>341</v>
      </c>
      <c r="D7494" t="s">
        <v>764</v>
      </c>
      <c r="E7494" t="s">
        <v>831</v>
      </c>
      <c r="F7494" t="s">
        <v>1309</v>
      </c>
      <c r="G7494" t="s">
        <v>5138</v>
      </c>
      <c r="H7494" t="s">
        <v>13761</v>
      </c>
      <c r="I7494" t="s">
        <v>17275</v>
      </c>
      <c r="J7494" t="s">
        <v>18893</v>
      </c>
      <c r="K7494">
        <v>10034</v>
      </c>
      <c r="L7494" t="s">
        <v>18958</v>
      </c>
      <c r="M7494" t="s">
        <v>18958</v>
      </c>
      <c r="N7494" t="s">
        <v>24301</v>
      </c>
      <c r="O7494" t="s">
        <v>26523</v>
      </c>
      <c r="P7494" t="s">
        <v>26564</v>
      </c>
      <c r="Q7494" t="s">
        <v>26570</v>
      </c>
      <c r="R7494" t="s">
        <v>26578</v>
      </c>
      <c r="S7494" t="s">
        <v>18959</v>
      </c>
      <c r="U7494" t="s">
        <v>26604</v>
      </c>
      <c r="W7494" t="s">
        <v>764</v>
      </c>
      <c r="X7494">
        <v>1281</v>
      </c>
      <c r="Y7494" t="s">
        <v>26651</v>
      </c>
      <c r="Z7494" t="s">
        <v>26659</v>
      </c>
      <c r="AA7494" t="s">
        <v>26683</v>
      </c>
      <c r="AB7494" t="s">
        <v>30432</v>
      </c>
      <c r="AD7494" t="s">
        <v>41383</v>
      </c>
      <c r="AE7494">
        <v>100</v>
      </c>
      <c r="AF7494" t="s">
        <v>45541</v>
      </c>
      <c r="AG7494" t="s">
        <v>45559</v>
      </c>
      <c r="AH7494">
        <v>10</v>
      </c>
      <c r="AI7494">
        <v>1</v>
      </c>
      <c r="AJ7494">
        <v>0</v>
      </c>
      <c r="AK7494">
        <v>165.25</v>
      </c>
      <c r="AN7494" t="s">
        <v>7439</v>
      </c>
      <c r="AO7494">
        <v>20640</v>
      </c>
      <c r="AU7494">
        <v>2.35</v>
      </c>
      <c r="AV7494" t="s">
        <v>768</v>
      </c>
      <c r="AW7494" t="s">
        <v>46840</v>
      </c>
    </row>
    <row r="7495" spans="1:50">
      <c r="A7495" s="1">
        <f>HYPERLINK("https://lsnyc.legalserver.org/matter/dynamic-profile/view/1897683","19-1897683")</f>
        <v>0</v>
      </c>
      <c r="B7495" t="s">
        <v>245</v>
      </c>
      <c r="C7495" t="s">
        <v>340</v>
      </c>
      <c r="D7495" t="s">
        <v>764</v>
      </c>
      <c r="F7495" t="s">
        <v>895</v>
      </c>
      <c r="G7495" t="s">
        <v>5229</v>
      </c>
      <c r="H7495" t="s">
        <v>14792</v>
      </c>
      <c r="I7495" t="s">
        <v>17406</v>
      </c>
      <c r="J7495" t="s">
        <v>18892</v>
      </c>
      <c r="K7495">
        <v>10467</v>
      </c>
      <c r="L7495" t="s">
        <v>18958</v>
      </c>
      <c r="M7495" t="s">
        <v>18958</v>
      </c>
      <c r="N7495" t="s">
        <v>24302</v>
      </c>
      <c r="O7495" t="s">
        <v>26523</v>
      </c>
      <c r="P7495" t="s">
        <v>26560</v>
      </c>
      <c r="R7495" t="s">
        <v>26579</v>
      </c>
      <c r="U7495" t="s">
        <v>26604</v>
      </c>
      <c r="V7495" t="s">
        <v>26610</v>
      </c>
      <c r="W7495" t="s">
        <v>764</v>
      </c>
      <c r="X7495">
        <v>1375</v>
      </c>
      <c r="Y7495" t="s">
        <v>26650</v>
      </c>
      <c r="Z7495" t="s">
        <v>26664</v>
      </c>
      <c r="AB7495" t="s">
        <v>32293</v>
      </c>
      <c r="AC7495" t="s">
        <v>36343</v>
      </c>
      <c r="AD7495" t="s">
        <v>42680</v>
      </c>
      <c r="AE7495">
        <v>0</v>
      </c>
      <c r="AF7495" t="s">
        <v>20460</v>
      </c>
      <c r="AG7495" t="s">
        <v>19330</v>
      </c>
      <c r="AH7495">
        <v>5</v>
      </c>
      <c r="AI7495">
        <v>1</v>
      </c>
      <c r="AJ7495">
        <v>3</v>
      </c>
      <c r="AK7495">
        <v>30.29</v>
      </c>
      <c r="AN7495" t="s">
        <v>7439</v>
      </c>
      <c r="AO7495">
        <v>7800</v>
      </c>
      <c r="AU7495">
        <v>21.25</v>
      </c>
      <c r="AV7495" t="s">
        <v>839</v>
      </c>
      <c r="AW7495" t="s">
        <v>334</v>
      </c>
      <c r="AX7495" t="s">
        <v>46898</v>
      </c>
    </row>
    <row r="7496" spans="1:50">
      <c r="A7496" s="1">
        <f>HYPERLINK("https://lsnyc.legalserver.org/matter/dynamic-profile/view/1897729","19-1897729")</f>
        <v>0</v>
      </c>
      <c r="B7496" t="s">
        <v>105</v>
      </c>
      <c r="C7496" t="s">
        <v>340</v>
      </c>
      <c r="D7496" t="s">
        <v>764</v>
      </c>
      <c r="F7496" t="s">
        <v>3970</v>
      </c>
      <c r="G7496" t="s">
        <v>989</v>
      </c>
      <c r="J7496" t="s">
        <v>18901</v>
      </c>
      <c r="K7496">
        <v>11434</v>
      </c>
      <c r="L7496" t="s">
        <v>18958</v>
      </c>
      <c r="M7496" t="s">
        <v>18958</v>
      </c>
      <c r="N7496" t="s">
        <v>24303</v>
      </c>
      <c r="O7496" t="s">
        <v>26524</v>
      </c>
      <c r="P7496" t="s">
        <v>26560</v>
      </c>
      <c r="R7496" t="s">
        <v>26585</v>
      </c>
      <c r="S7496" t="s">
        <v>18959</v>
      </c>
      <c r="U7496" t="s">
        <v>26604</v>
      </c>
      <c r="V7496" t="s">
        <v>26610</v>
      </c>
      <c r="W7496" t="s">
        <v>764</v>
      </c>
      <c r="X7496">
        <v>1695</v>
      </c>
      <c r="Y7496" t="s">
        <v>26653</v>
      </c>
      <c r="Z7496" t="s">
        <v>26659</v>
      </c>
      <c r="AB7496" t="s">
        <v>27286</v>
      </c>
      <c r="AC7496" t="s">
        <v>35263</v>
      </c>
      <c r="AD7496" t="s">
        <v>42681</v>
      </c>
      <c r="AE7496">
        <v>2</v>
      </c>
      <c r="AF7496" t="s">
        <v>45547</v>
      </c>
      <c r="AG7496" t="s">
        <v>45556</v>
      </c>
      <c r="AH7496">
        <v>2</v>
      </c>
      <c r="AI7496">
        <v>2</v>
      </c>
      <c r="AJ7496">
        <v>1</v>
      </c>
      <c r="AK7496">
        <v>150.02</v>
      </c>
      <c r="AN7496" t="s">
        <v>7439</v>
      </c>
      <c r="AO7496">
        <v>32000</v>
      </c>
      <c r="AU7496">
        <v>15.65</v>
      </c>
      <c r="AV7496" t="s">
        <v>839</v>
      </c>
      <c r="AW7496" t="s">
        <v>122</v>
      </c>
      <c r="AX7496" t="s">
        <v>46897</v>
      </c>
    </row>
    <row r="7497" spans="1:50">
      <c r="A7497" s="1">
        <f>HYPERLINK("https://lsnyc.legalserver.org/matter/dynamic-profile/view/1897697","19-1897697")</f>
        <v>0</v>
      </c>
      <c r="B7497" t="s">
        <v>56</v>
      </c>
      <c r="C7497" t="s">
        <v>340</v>
      </c>
      <c r="D7497" t="s">
        <v>764</v>
      </c>
      <c r="F7497" t="s">
        <v>3096</v>
      </c>
      <c r="G7497" t="s">
        <v>1685</v>
      </c>
      <c r="H7497" t="s">
        <v>11949</v>
      </c>
      <c r="I7497" t="s">
        <v>17309</v>
      </c>
      <c r="J7497" t="s">
        <v>18892</v>
      </c>
      <c r="K7497">
        <v>10459</v>
      </c>
      <c r="L7497" t="s">
        <v>18958</v>
      </c>
      <c r="M7497" t="s">
        <v>18958</v>
      </c>
      <c r="N7497" t="s">
        <v>24304</v>
      </c>
      <c r="O7497" t="s">
        <v>26523</v>
      </c>
      <c r="P7497" t="s">
        <v>26560</v>
      </c>
      <c r="R7497" t="s">
        <v>26577</v>
      </c>
      <c r="U7497" t="s">
        <v>26604</v>
      </c>
      <c r="V7497" t="s">
        <v>26610</v>
      </c>
      <c r="W7497" t="s">
        <v>764</v>
      </c>
      <c r="X7497">
        <v>409</v>
      </c>
      <c r="Y7497" t="s">
        <v>26650</v>
      </c>
      <c r="Z7497" t="s">
        <v>26668</v>
      </c>
      <c r="AB7497" t="s">
        <v>32294</v>
      </c>
      <c r="AC7497" t="s">
        <v>36344</v>
      </c>
      <c r="AD7497" t="s">
        <v>42682</v>
      </c>
      <c r="AE7497">
        <v>0</v>
      </c>
      <c r="AF7497" t="s">
        <v>45541</v>
      </c>
      <c r="AH7497">
        <v>3</v>
      </c>
      <c r="AI7497">
        <v>2</v>
      </c>
      <c r="AJ7497">
        <v>2</v>
      </c>
      <c r="AK7497">
        <v>31.41</v>
      </c>
      <c r="AN7497" t="s">
        <v>7439</v>
      </c>
      <c r="AO7497">
        <v>8088</v>
      </c>
      <c r="AU7497">
        <v>6.5</v>
      </c>
      <c r="AV7497" t="s">
        <v>809</v>
      </c>
      <c r="AW7497" t="s">
        <v>334</v>
      </c>
      <c r="AX7497" t="s">
        <v>46898</v>
      </c>
    </row>
    <row r="7498" spans="1:50">
      <c r="A7498" s="1">
        <f>HYPERLINK("https://lsnyc.legalserver.org/matter/dynamic-profile/view/1897803","19-1897803")</f>
        <v>0</v>
      </c>
      <c r="B7498" t="s">
        <v>74</v>
      </c>
      <c r="C7498" t="s">
        <v>340</v>
      </c>
      <c r="D7498" t="s">
        <v>764</v>
      </c>
      <c r="F7498" t="s">
        <v>2002</v>
      </c>
      <c r="G7498" t="s">
        <v>5673</v>
      </c>
      <c r="H7498" t="s">
        <v>14793</v>
      </c>
      <c r="I7498" t="s">
        <v>18477</v>
      </c>
      <c r="J7498" t="s">
        <v>18893</v>
      </c>
      <c r="K7498">
        <v>10032</v>
      </c>
      <c r="L7498" t="s">
        <v>18958</v>
      </c>
      <c r="M7498" t="s">
        <v>18958</v>
      </c>
      <c r="O7498" t="s">
        <v>26529</v>
      </c>
      <c r="P7498" t="s">
        <v>26560</v>
      </c>
      <c r="R7498" t="s">
        <v>26578</v>
      </c>
      <c r="S7498" t="s">
        <v>18959</v>
      </c>
      <c r="U7498" t="s">
        <v>26604</v>
      </c>
      <c r="W7498" t="s">
        <v>764</v>
      </c>
      <c r="X7498">
        <v>370</v>
      </c>
      <c r="Y7498" t="s">
        <v>26651</v>
      </c>
      <c r="Z7498" t="s">
        <v>26661</v>
      </c>
      <c r="AB7498" t="s">
        <v>28889</v>
      </c>
      <c r="AD7498" t="s">
        <v>42683</v>
      </c>
      <c r="AE7498">
        <v>0</v>
      </c>
      <c r="AF7498" t="s">
        <v>45548</v>
      </c>
      <c r="AG7498" t="s">
        <v>19330</v>
      </c>
      <c r="AH7498">
        <v>9</v>
      </c>
      <c r="AI7498">
        <v>3</v>
      </c>
      <c r="AJ7498">
        <v>0</v>
      </c>
      <c r="AK7498">
        <v>109.7</v>
      </c>
      <c r="AN7498" t="s">
        <v>45581</v>
      </c>
      <c r="AO7498">
        <v>23400</v>
      </c>
      <c r="AU7498">
        <v>6.7</v>
      </c>
      <c r="AV7498" t="s">
        <v>729</v>
      </c>
      <c r="AW7498" t="s">
        <v>46840</v>
      </c>
    </row>
    <row r="7499" spans="1:50">
      <c r="A7499" s="1">
        <f>HYPERLINK("https://lsnyc.legalserver.org/matter/dynamic-profile/view/1897696","19-1897696")</f>
        <v>0</v>
      </c>
      <c r="B7499" t="s">
        <v>79</v>
      </c>
      <c r="C7499" t="s">
        <v>340</v>
      </c>
      <c r="D7499" t="s">
        <v>764</v>
      </c>
      <c r="F7499" t="s">
        <v>3971</v>
      </c>
      <c r="G7499" t="s">
        <v>8346</v>
      </c>
      <c r="H7499" t="s">
        <v>14794</v>
      </c>
      <c r="I7499">
        <v>402</v>
      </c>
      <c r="J7499" t="s">
        <v>18893</v>
      </c>
      <c r="K7499">
        <v>10033</v>
      </c>
      <c r="L7499" t="s">
        <v>18958</v>
      </c>
      <c r="M7499" t="s">
        <v>18958</v>
      </c>
      <c r="N7499" t="s">
        <v>24305</v>
      </c>
      <c r="O7499" t="s">
        <v>26529</v>
      </c>
      <c r="P7499" t="s">
        <v>26563</v>
      </c>
      <c r="R7499" t="s">
        <v>26578</v>
      </c>
      <c r="S7499" t="s">
        <v>18959</v>
      </c>
      <c r="U7499" t="s">
        <v>26604</v>
      </c>
      <c r="W7499" t="s">
        <v>764</v>
      </c>
      <c r="X7499">
        <v>877.1</v>
      </c>
      <c r="Y7499" t="s">
        <v>26651</v>
      </c>
      <c r="Z7499" t="s">
        <v>26661</v>
      </c>
      <c r="AB7499" t="s">
        <v>32295</v>
      </c>
      <c r="AE7499">
        <v>52</v>
      </c>
      <c r="AF7499" t="s">
        <v>45541</v>
      </c>
      <c r="AG7499" t="s">
        <v>45559</v>
      </c>
      <c r="AH7499">
        <v>9</v>
      </c>
      <c r="AI7499">
        <v>5</v>
      </c>
      <c r="AJ7499">
        <v>1</v>
      </c>
      <c r="AK7499">
        <v>271.75</v>
      </c>
      <c r="AN7499" t="s">
        <v>45581</v>
      </c>
      <c r="AO7499">
        <v>94000</v>
      </c>
      <c r="AU7499">
        <v>4.4</v>
      </c>
      <c r="AV7499" t="s">
        <v>813</v>
      </c>
      <c r="AW7499" t="s">
        <v>46840</v>
      </c>
    </row>
    <row r="7500" spans="1:50">
      <c r="A7500" s="1">
        <f>HYPERLINK("https://lsnyc.legalserver.org/matter/dynamic-profile/view/1897731","19-1897731")</f>
        <v>0</v>
      </c>
      <c r="B7500" t="s">
        <v>64</v>
      </c>
      <c r="C7500" t="s">
        <v>340</v>
      </c>
      <c r="D7500" t="s">
        <v>764</v>
      </c>
      <c r="F7500" t="s">
        <v>2923</v>
      </c>
      <c r="G7500" t="s">
        <v>7178</v>
      </c>
      <c r="H7500" t="s">
        <v>12847</v>
      </c>
      <c r="I7500" t="s">
        <v>17389</v>
      </c>
      <c r="J7500" t="s">
        <v>18892</v>
      </c>
      <c r="K7500">
        <v>10456</v>
      </c>
      <c r="L7500" t="s">
        <v>18958</v>
      </c>
      <c r="M7500" t="s">
        <v>18958</v>
      </c>
      <c r="N7500" t="s">
        <v>24306</v>
      </c>
      <c r="O7500" t="s">
        <v>26526</v>
      </c>
      <c r="P7500" t="s">
        <v>26560</v>
      </c>
      <c r="R7500" t="s">
        <v>26577</v>
      </c>
      <c r="U7500" t="s">
        <v>26605</v>
      </c>
      <c r="V7500" t="s">
        <v>26609</v>
      </c>
      <c r="W7500" t="s">
        <v>764</v>
      </c>
      <c r="X7500">
        <v>184</v>
      </c>
      <c r="Y7500" t="s">
        <v>26650</v>
      </c>
      <c r="Z7500" t="s">
        <v>26668</v>
      </c>
      <c r="AB7500" t="s">
        <v>30130</v>
      </c>
      <c r="AC7500" t="s">
        <v>35709</v>
      </c>
      <c r="AD7500" t="s">
        <v>40266</v>
      </c>
      <c r="AE7500">
        <v>0</v>
      </c>
      <c r="AF7500" t="s">
        <v>45542</v>
      </c>
      <c r="AH7500">
        <v>5</v>
      </c>
      <c r="AI7500">
        <v>1</v>
      </c>
      <c r="AJ7500">
        <v>1</v>
      </c>
      <c r="AK7500">
        <v>206.98</v>
      </c>
      <c r="AN7500" t="s">
        <v>7439</v>
      </c>
      <c r="AO7500">
        <v>35000</v>
      </c>
      <c r="AU7500">
        <v>1</v>
      </c>
      <c r="AV7500" t="s">
        <v>763</v>
      </c>
      <c r="AW7500" t="s">
        <v>64</v>
      </c>
    </row>
    <row r="7501" spans="1:50">
      <c r="A7501" s="1">
        <f>HYPERLINK("https://lsnyc.legalserver.org/matter/dynamic-profile/view/1897707","19-1897707")</f>
        <v>0</v>
      </c>
      <c r="B7501" t="s">
        <v>218</v>
      </c>
      <c r="C7501" t="s">
        <v>340</v>
      </c>
      <c r="D7501" t="s">
        <v>764</v>
      </c>
      <c r="F7501" t="s">
        <v>1253</v>
      </c>
      <c r="G7501" t="s">
        <v>5885</v>
      </c>
      <c r="H7501" t="s">
        <v>14795</v>
      </c>
      <c r="I7501">
        <v>54</v>
      </c>
      <c r="J7501" t="s">
        <v>18893</v>
      </c>
      <c r="K7501">
        <v>10034</v>
      </c>
      <c r="L7501" t="s">
        <v>18958</v>
      </c>
      <c r="M7501" t="s">
        <v>18958</v>
      </c>
      <c r="O7501" t="s">
        <v>26529</v>
      </c>
      <c r="P7501" t="s">
        <v>26565</v>
      </c>
      <c r="R7501" t="s">
        <v>26578</v>
      </c>
      <c r="S7501" t="s">
        <v>18959</v>
      </c>
      <c r="U7501" t="s">
        <v>26604</v>
      </c>
      <c r="W7501" t="s">
        <v>764</v>
      </c>
      <c r="X7501">
        <v>1785</v>
      </c>
      <c r="Y7501" t="s">
        <v>26651</v>
      </c>
      <c r="Z7501" t="s">
        <v>26661</v>
      </c>
      <c r="AB7501" t="s">
        <v>32296</v>
      </c>
      <c r="AD7501" t="s">
        <v>42684</v>
      </c>
      <c r="AE7501">
        <v>42</v>
      </c>
      <c r="AF7501" t="s">
        <v>45541</v>
      </c>
      <c r="AG7501" t="s">
        <v>26530</v>
      </c>
      <c r="AH7501">
        <v>3</v>
      </c>
      <c r="AI7501">
        <v>2</v>
      </c>
      <c r="AJ7501">
        <v>0</v>
      </c>
      <c r="AK7501">
        <v>224.72</v>
      </c>
      <c r="AN7501" t="s">
        <v>7439</v>
      </c>
      <c r="AO7501">
        <v>38000</v>
      </c>
      <c r="AU7501">
        <v>1.8</v>
      </c>
      <c r="AV7501" t="s">
        <v>814</v>
      </c>
      <c r="AW7501" t="s">
        <v>46840</v>
      </c>
    </row>
    <row r="7502" spans="1:50">
      <c r="A7502" s="1">
        <f>HYPERLINK("https://lsnyc.legalserver.org/matter/dynamic-profile/view/1897759","19-1897759")</f>
        <v>0</v>
      </c>
      <c r="B7502" t="s">
        <v>218</v>
      </c>
      <c r="C7502" t="s">
        <v>340</v>
      </c>
      <c r="D7502" t="s">
        <v>764</v>
      </c>
      <c r="F7502" t="s">
        <v>1602</v>
      </c>
      <c r="G7502" t="s">
        <v>8347</v>
      </c>
      <c r="H7502" t="s">
        <v>12597</v>
      </c>
      <c r="I7502" t="s">
        <v>17389</v>
      </c>
      <c r="J7502" t="s">
        <v>18893</v>
      </c>
      <c r="K7502">
        <v>10032</v>
      </c>
      <c r="L7502" t="s">
        <v>18958</v>
      </c>
      <c r="M7502" t="s">
        <v>18958</v>
      </c>
      <c r="O7502" t="s">
        <v>26529</v>
      </c>
      <c r="P7502" t="s">
        <v>26565</v>
      </c>
      <c r="R7502" t="s">
        <v>26578</v>
      </c>
      <c r="S7502" t="s">
        <v>18959</v>
      </c>
      <c r="U7502" t="s">
        <v>26604</v>
      </c>
      <c r="W7502" t="s">
        <v>764</v>
      </c>
      <c r="X7502">
        <v>894.05</v>
      </c>
      <c r="Y7502" t="s">
        <v>26651</v>
      </c>
      <c r="Z7502" t="s">
        <v>26661</v>
      </c>
      <c r="AB7502" t="s">
        <v>32297</v>
      </c>
      <c r="AD7502" t="s">
        <v>42685</v>
      </c>
      <c r="AE7502">
        <v>48</v>
      </c>
      <c r="AF7502" t="s">
        <v>45541</v>
      </c>
      <c r="AG7502" t="s">
        <v>19330</v>
      </c>
      <c r="AH7502">
        <v>19</v>
      </c>
      <c r="AI7502">
        <v>2</v>
      </c>
      <c r="AJ7502">
        <v>3</v>
      </c>
      <c r="AK7502">
        <v>326.15</v>
      </c>
      <c r="AN7502" t="s">
        <v>7439</v>
      </c>
      <c r="AO7502">
        <v>98400</v>
      </c>
      <c r="AU7502">
        <v>3.55</v>
      </c>
      <c r="AV7502" t="s">
        <v>826</v>
      </c>
      <c r="AW7502" t="s">
        <v>46840</v>
      </c>
    </row>
    <row r="7503" spans="1:50">
      <c r="A7503" s="1">
        <f>HYPERLINK("https://lsnyc.legalserver.org/matter/dynamic-profile/view/1897714","19-1897714")</f>
        <v>0</v>
      </c>
      <c r="B7503" t="s">
        <v>122</v>
      </c>
      <c r="C7503" t="s">
        <v>340</v>
      </c>
      <c r="D7503" t="s">
        <v>764</v>
      </c>
      <c r="F7503" t="s">
        <v>3970</v>
      </c>
      <c r="G7503" t="s">
        <v>989</v>
      </c>
      <c r="J7503" t="s">
        <v>18901</v>
      </c>
      <c r="K7503">
        <v>11434</v>
      </c>
      <c r="L7503" t="s">
        <v>18958</v>
      </c>
      <c r="M7503" t="s">
        <v>18958</v>
      </c>
      <c r="N7503" t="s">
        <v>24307</v>
      </c>
      <c r="O7503" t="s">
        <v>26526</v>
      </c>
      <c r="P7503" t="s">
        <v>26564</v>
      </c>
      <c r="R7503" t="s">
        <v>26578</v>
      </c>
      <c r="S7503" t="s">
        <v>18959</v>
      </c>
      <c r="U7503" t="s">
        <v>26604</v>
      </c>
      <c r="W7503" t="s">
        <v>764</v>
      </c>
      <c r="X7503">
        <v>2100</v>
      </c>
      <c r="Y7503" t="s">
        <v>26653</v>
      </c>
      <c r="Z7503" t="s">
        <v>26664</v>
      </c>
      <c r="AB7503" t="s">
        <v>27286</v>
      </c>
      <c r="AD7503" t="s">
        <v>42681</v>
      </c>
      <c r="AE7503">
        <v>2</v>
      </c>
      <c r="AF7503" t="s">
        <v>20460</v>
      </c>
      <c r="AG7503" t="s">
        <v>19330</v>
      </c>
      <c r="AH7503">
        <v>2</v>
      </c>
      <c r="AI7503">
        <v>2</v>
      </c>
      <c r="AJ7503">
        <v>1</v>
      </c>
      <c r="AK7503">
        <v>15</v>
      </c>
      <c r="AN7503" t="s">
        <v>7439</v>
      </c>
      <c r="AO7503">
        <v>3200</v>
      </c>
      <c r="AP7503" t="s">
        <v>46047</v>
      </c>
      <c r="AU7503">
        <v>0</v>
      </c>
      <c r="AW7503" t="s">
        <v>122</v>
      </c>
    </row>
    <row r="7504" spans="1:50">
      <c r="A7504" s="1">
        <f>HYPERLINK("https://lsnyc.legalserver.org/matter/dynamic-profile/view/1897794","19-1897794")</f>
        <v>0</v>
      </c>
      <c r="B7504" t="s">
        <v>240</v>
      </c>
      <c r="C7504" t="s">
        <v>340</v>
      </c>
      <c r="D7504" t="s">
        <v>764</v>
      </c>
      <c r="F7504" t="s">
        <v>1113</v>
      </c>
      <c r="G7504" t="s">
        <v>1742</v>
      </c>
      <c r="H7504" t="s">
        <v>11711</v>
      </c>
      <c r="I7504" t="s">
        <v>17897</v>
      </c>
      <c r="J7504" t="s">
        <v>18894</v>
      </c>
      <c r="K7504">
        <v>11226</v>
      </c>
      <c r="L7504" t="s">
        <v>18958</v>
      </c>
      <c r="M7504" t="s">
        <v>18958</v>
      </c>
      <c r="N7504" t="s">
        <v>24308</v>
      </c>
      <c r="P7504" t="s">
        <v>26560</v>
      </c>
      <c r="R7504" t="s">
        <v>26578</v>
      </c>
      <c r="U7504" t="s">
        <v>26604</v>
      </c>
      <c r="W7504" t="s">
        <v>764</v>
      </c>
      <c r="X7504">
        <v>261</v>
      </c>
      <c r="Y7504" t="s">
        <v>26652</v>
      </c>
      <c r="AB7504" t="s">
        <v>28839</v>
      </c>
      <c r="AD7504" t="s">
        <v>39251</v>
      </c>
      <c r="AE7504">
        <v>0</v>
      </c>
      <c r="AH7504">
        <v>15</v>
      </c>
      <c r="AI7504">
        <v>1</v>
      </c>
      <c r="AJ7504">
        <v>0</v>
      </c>
      <c r="AK7504">
        <v>100.3</v>
      </c>
      <c r="AN7504" t="s">
        <v>7439</v>
      </c>
      <c r="AO7504">
        <v>12528</v>
      </c>
      <c r="AU7504">
        <v>3.25</v>
      </c>
      <c r="AV7504" t="s">
        <v>818</v>
      </c>
      <c r="AW7504" t="s">
        <v>219</v>
      </c>
    </row>
    <row r="7505" spans="1:50">
      <c r="A7505" s="1">
        <f>HYPERLINK("https://lsnyc.legalserver.org/matter/dynamic-profile/view/1896834","19-1896834")</f>
        <v>0</v>
      </c>
      <c r="B7505" t="s">
        <v>103</v>
      </c>
      <c r="C7505" t="s">
        <v>340</v>
      </c>
      <c r="D7505" t="s">
        <v>765</v>
      </c>
      <c r="F7505" t="s">
        <v>1013</v>
      </c>
      <c r="G7505" t="s">
        <v>8348</v>
      </c>
      <c r="H7505" t="s">
        <v>14796</v>
      </c>
      <c r="J7505" t="s">
        <v>18902</v>
      </c>
      <c r="K7505">
        <v>10306</v>
      </c>
      <c r="L7505" t="s">
        <v>18958</v>
      </c>
      <c r="M7505" t="s">
        <v>18958</v>
      </c>
      <c r="N7505" t="s">
        <v>24309</v>
      </c>
      <c r="O7505" t="s">
        <v>26524</v>
      </c>
      <c r="P7505" t="s">
        <v>26560</v>
      </c>
      <c r="R7505" t="s">
        <v>26587</v>
      </c>
      <c r="S7505" t="s">
        <v>18959</v>
      </c>
      <c r="U7505" t="s">
        <v>26604</v>
      </c>
      <c r="V7505" t="s">
        <v>26610</v>
      </c>
      <c r="W7505" t="s">
        <v>764</v>
      </c>
      <c r="X7505">
        <v>1000</v>
      </c>
      <c r="Y7505" t="s">
        <v>26654</v>
      </c>
      <c r="Z7505" t="s">
        <v>26668</v>
      </c>
      <c r="AB7505" t="s">
        <v>31719</v>
      </c>
      <c r="AD7505" t="s">
        <v>42686</v>
      </c>
      <c r="AE7505">
        <v>2</v>
      </c>
      <c r="AF7505" t="s">
        <v>45547</v>
      </c>
      <c r="AH7505">
        <v>16</v>
      </c>
      <c r="AI7505">
        <v>1</v>
      </c>
      <c r="AJ7505">
        <v>0</v>
      </c>
      <c r="AK7505">
        <v>76.86</v>
      </c>
      <c r="AN7505" t="s">
        <v>7439</v>
      </c>
      <c r="AO7505">
        <v>9600</v>
      </c>
      <c r="AU7505">
        <v>8.25</v>
      </c>
      <c r="AV7505" t="s">
        <v>806</v>
      </c>
      <c r="AW7505" t="s">
        <v>46852</v>
      </c>
      <c r="AX7505" t="s">
        <v>46897</v>
      </c>
    </row>
    <row r="7506" spans="1:50">
      <c r="A7506" s="1">
        <f>HYPERLINK("https://lsnyc.legalserver.org/matter/dynamic-profile/view/1898212","19-1898212")</f>
        <v>0</v>
      </c>
      <c r="B7506" t="s">
        <v>199</v>
      </c>
      <c r="C7506" t="s">
        <v>340</v>
      </c>
      <c r="D7506" t="s">
        <v>767</v>
      </c>
      <c r="F7506" t="s">
        <v>964</v>
      </c>
      <c r="G7506" t="s">
        <v>8349</v>
      </c>
      <c r="H7506" t="s">
        <v>11171</v>
      </c>
      <c r="I7506" t="s">
        <v>17759</v>
      </c>
      <c r="J7506" t="s">
        <v>18894</v>
      </c>
      <c r="K7506">
        <v>11226</v>
      </c>
      <c r="L7506" t="s">
        <v>18958</v>
      </c>
      <c r="M7506" t="s">
        <v>18958</v>
      </c>
      <c r="O7506" t="s">
        <v>26534</v>
      </c>
      <c r="P7506" t="s">
        <v>26562</v>
      </c>
      <c r="R7506" t="s">
        <v>26578</v>
      </c>
      <c r="S7506" t="s">
        <v>18958</v>
      </c>
      <c r="U7506" t="s">
        <v>26604</v>
      </c>
      <c r="V7506" t="s">
        <v>26610</v>
      </c>
      <c r="W7506" t="s">
        <v>764</v>
      </c>
      <c r="X7506">
        <v>1031.15</v>
      </c>
      <c r="Y7506" t="s">
        <v>26652</v>
      </c>
      <c r="Z7506" t="s">
        <v>26655</v>
      </c>
      <c r="AB7506" t="s">
        <v>32298</v>
      </c>
      <c r="AD7506" t="s">
        <v>42687</v>
      </c>
      <c r="AE7506">
        <v>55</v>
      </c>
      <c r="AF7506" t="s">
        <v>45541</v>
      </c>
      <c r="AG7506" t="s">
        <v>45559</v>
      </c>
      <c r="AH7506">
        <v>40</v>
      </c>
      <c r="AI7506">
        <v>2</v>
      </c>
      <c r="AJ7506">
        <v>2</v>
      </c>
      <c r="AK7506">
        <v>49.82</v>
      </c>
      <c r="AN7506" t="s">
        <v>8151</v>
      </c>
      <c r="AO7506">
        <v>12828</v>
      </c>
      <c r="AU7506">
        <v>0.85</v>
      </c>
      <c r="AV7506" t="s">
        <v>813</v>
      </c>
      <c r="AW7506" t="s">
        <v>199</v>
      </c>
    </row>
    <row r="7507" spans="1:50">
      <c r="A7507" s="1">
        <f>HYPERLINK("https://lsnyc.legalserver.org/matter/dynamic-profile/view/1900672","19-1900672")</f>
        <v>0</v>
      </c>
      <c r="B7507" t="s">
        <v>78</v>
      </c>
      <c r="C7507" t="s">
        <v>340</v>
      </c>
      <c r="D7507" t="s">
        <v>806</v>
      </c>
      <c r="F7507" t="s">
        <v>1045</v>
      </c>
      <c r="G7507" t="s">
        <v>5905</v>
      </c>
      <c r="H7507" t="s">
        <v>10750</v>
      </c>
      <c r="I7507">
        <v>24</v>
      </c>
      <c r="J7507" t="s">
        <v>18894</v>
      </c>
      <c r="K7507">
        <v>11213</v>
      </c>
      <c r="L7507" t="s">
        <v>18958</v>
      </c>
      <c r="M7507" t="s">
        <v>18960</v>
      </c>
      <c r="N7507" t="s">
        <v>19330</v>
      </c>
      <c r="O7507" t="s">
        <v>18997</v>
      </c>
      <c r="P7507" t="s">
        <v>26562</v>
      </c>
      <c r="R7507" t="s">
        <v>26578</v>
      </c>
      <c r="S7507" t="s">
        <v>18958</v>
      </c>
      <c r="U7507" t="s">
        <v>26604</v>
      </c>
      <c r="V7507" t="s">
        <v>26610</v>
      </c>
      <c r="W7507" t="s">
        <v>764</v>
      </c>
      <c r="X7507">
        <v>917</v>
      </c>
      <c r="Y7507" t="s">
        <v>26652</v>
      </c>
      <c r="Z7507" t="s">
        <v>26663</v>
      </c>
      <c r="AB7507" t="s">
        <v>27900</v>
      </c>
      <c r="AD7507" t="s">
        <v>37951</v>
      </c>
      <c r="AE7507">
        <v>31</v>
      </c>
      <c r="AF7507" t="s">
        <v>45541</v>
      </c>
      <c r="AG7507" t="s">
        <v>19330</v>
      </c>
      <c r="AH7507">
        <v>18</v>
      </c>
      <c r="AI7507">
        <v>3</v>
      </c>
      <c r="AJ7507">
        <v>0</v>
      </c>
      <c r="AK7507">
        <v>197.84</v>
      </c>
      <c r="AN7507" t="s">
        <v>7439</v>
      </c>
      <c r="AO7507">
        <v>42200</v>
      </c>
      <c r="AP7507" t="s">
        <v>46048</v>
      </c>
      <c r="AU7507">
        <v>0.3</v>
      </c>
      <c r="AV7507" t="s">
        <v>808</v>
      </c>
      <c r="AW7507" t="s">
        <v>279</v>
      </c>
      <c r="AX7507" t="s">
        <v>46897</v>
      </c>
    </row>
    <row r="7508" spans="1:50">
      <c r="A7508" s="1">
        <f>HYPERLINK("https://lsnyc.legalserver.org/matter/dynamic-profile/view/1900676","19-1900676")</f>
        <v>0</v>
      </c>
      <c r="B7508" t="s">
        <v>78</v>
      </c>
      <c r="C7508" t="s">
        <v>340</v>
      </c>
      <c r="D7508" t="s">
        <v>806</v>
      </c>
      <c r="F7508" t="s">
        <v>2111</v>
      </c>
      <c r="G7508" t="s">
        <v>7031</v>
      </c>
      <c r="H7508" t="s">
        <v>10751</v>
      </c>
      <c r="I7508" t="s">
        <v>18008</v>
      </c>
      <c r="J7508" t="s">
        <v>18894</v>
      </c>
      <c r="K7508">
        <v>11213</v>
      </c>
      <c r="L7508" t="s">
        <v>18958</v>
      </c>
      <c r="M7508" t="s">
        <v>18960</v>
      </c>
      <c r="N7508" t="s">
        <v>18997</v>
      </c>
      <c r="O7508" t="s">
        <v>18997</v>
      </c>
      <c r="P7508" t="s">
        <v>26562</v>
      </c>
      <c r="R7508" t="s">
        <v>26578</v>
      </c>
      <c r="S7508" t="s">
        <v>18958</v>
      </c>
      <c r="U7508" t="s">
        <v>26604</v>
      </c>
      <c r="V7508" t="s">
        <v>26610</v>
      </c>
      <c r="W7508" t="s">
        <v>764</v>
      </c>
      <c r="X7508">
        <v>1205</v>
      </c>
      <c r="Y7508" t="s">
        <v>26652</v>
      </c>
      <c r="Z7508" t="s">
        <v>26663</v>
      </c>
      <c r="AB7508" t="s">
        <v>29873</v>
      </c>
      <c r="AC7508" t="s">
        <v>19330</v>
      </c>
      <c r="AE7508">
        <v>34</v>
      </c>
      <c r="AF7508" t="s">
        <v>45541</v>
      </c>
      <c r="AG7508" t="s">
        <v>19330</v>
      </c>
      <c r="AH7508">
        <v>34</v>
      </c>
      <c r="AI7508">
        <v>3</v>
      </c>
      <c r="AJ7508">
        <v>0</v>
      </c>
      <c r="AK7508">
        <v>383.7</v>
      </c>
      <c r="AN7508" t="s">
        <v>7439</v>
      </c>
      <c r="AO7508">
        <v>81843</v>
      </c>
      <c r="AP7508" t="s">
        <v>46049</v>
      </c>
      <c r="AU7508">
        <v>0</v>
      </c>
      <c r="AW7508" t="s">
        <v>279</v>
      </c>
      <c r="AX7508" t="s">
        <v>46897</v>
      </c>
    </row>
    <row r="7509" spans="1:50">
      <c r="A7509" s="1">
        <f>HYPERLINK("https://lsnyc.legalserver.org/matter/dynamic-profile/view/1900683","19-1900683")</f>
        <v>0</v>
      </c>
      <c r="B7509" t="s">
        <v>78</v>
      </c>
      <c r="C7509" t="s">
        <v>340</v>
      </c>
      <c r="D7509" t="s">
        <v>808</v>
      </c>
      <c r="F7509" t="s">
        <v>2393</v>
      </c>
      <c r="G7509" t="s">
        <v>6608</v>
      </c>
      <c r="H7509" t="s">
        <v>11062</v>
      </c>
      <c r="I7509" t="s">
        <v>17282</v>
      </c>
      <c r="J7509" t="s">
        <v>18894</v>
      </c>
      <c r="K7509">
        <v>11213</v>
      </c>
      <c r="L7509" t="s">
        <v>18958</v>
      </c>
      <c r="M7509" t="s">
        <v>18960</v>
      </c>
      <c r="N7509" t="s">
        <v>19330</v>
      </c>
      <c r="O7509" t="s">
        <v>18997</v>
      </c>
      <c r="P7509" t="s">
        <v>26562</v>
      </c>
      <c r="R7509" t="s">
        <v>26578</v>
      </c>
      <c r="S7509" t="s">
        <v>18958</v>
      </c>
      <c r="U7509" t="s">
        <v>26604</v>
      </c>
      <c r="V7509" t="s">
        <v>26610</v>
      </c>
      <c r="W7509" t="s">
        <v>764</v>
      </c>
      <c r="X7509">
        <v>606</v>
      </c>
      <c r="Y7509" t="s">
        <v>26652</v>
      </c>
      <c r="Z7509" t="s">
        <v>26663</v>
      </c>
      <c r="AB7509" t="s">
        <v>29108</v>
      </c>
      <c r="AE7509">
        <v>35</v>
      </c>
      <c r="AF7509" t="s">
        <v>45541</v>
      </c>
      <c r="AG7509" t="s">
        <v>19330</v>
      </c>
      <c r="AH7509">
        <v>5</v>
      </c>
      <c r="AI7509">
        <v>2</v>
      </c>
      <c r="AJ7509">
        <v>3</v>
      </c>
      <c r="AK7509">
        <v>79.55</v>
      </c>
      <c r="AN7509" t="s">
        <v>7439</v>
      </c>
      <c r="AO7509">
        <v>24000</v>
      </c>
      <c r="AP7509" t="s">
        <v>46050</v>
      </c>
      <c r="AU7509">
        <v>0</v>
      </c>
      <c r="AW7509" t="s">
        <v>279</v>
      </c>
      <c r="AX7509" t="s">
        <v>46897</v>
      </c>
    </row>
    <row r="7510" spans="1:50">
      <c r="A7510" s="1">
        <f>HYPERLINK("https://lsnyc.legalserver.org/matter/dynamic-profile/view/1900700","19-1900700")</f>
        <v>0</v>
      </c>
      <c r="B7510" t="s">
        <v>78</v>
      </c>
      <c r="C7510" t="s">
        <v>340</v>
      </c>
      <c r="D7510" t="s">
        <v>808</v>
      </c>
      <c r="F7510" t="s">
        <v>1079</v>
      </c>
      <c r="G7510" t="s">
        <v>6770</v>
      </c>
      <c r="H7510" t="s">
        <v>11062</v>
      </c>
      <c r="I7510" t="s">
        <v>17344</v>
      </c>
      <c r="J7510" t="s">
        <v>18894</v>
      </c>
      <c r="K7510">
        <v>11213</v>
      </c>
      <c r="L7510" t="s">
        <v>18958</v>
      </c>
      <c r="M7510" t="s">
        <v>18960</v>
      </c>
      <c r="O7510" t="s">
        <v>18997</v>
      </c>
      <c r="P7510" t="s">
        <v>26562</v>
      </c>
      <c r="R7510" t="s">
        <v>26578</v>
      </c>
      <c r="S7510" t="s">
        <v>18958</v>
      </c>
      <c r="U7510" t="s">
        <v>26604</v>
      </c>
      <c r="V7510" t="s">
        <v>26610</v>
      </c>
      <c r="W7510" t="s">
        <v>764</v>
      </c>
      <c r="X7510">
        <v>659.52</v>
      </c>
      <c r="Y7510" t="s">
        <v>26652</v>
      </c>
      <c r="Z7510" t="s">
        <v>26663</v>
      </c>
      <c r="AB7510" t="s">
        <v>29069</v>
      </c>
      <c r="AC7510" t="s">
        <v>35432</v>
      </c>
      <c r="AE7510">
        <v>35</v>
      </c>
      <c r="AF7510" t="s">
        <v>45541</v>
      </c>
      <c r="AG7510" t="s">
        <v>19330</v>
      </c>
      <c r="AH7510">
        <v>30</v>
      </c>
      <c r="AI7510">
        <v>2</v>
      </c>
      <c r="AJ7510">
        <v>0</v>
      </c>
      <c r="AK7510">
        <v>85.16</v>
      </c>
      <c r="AN7510" t="s">
        <v>7439</v>
      </c>
      <c r="AO7510">
        <v>14400</v>
      </c>
      <c r="AP7510" t="s">
        <v>46051</v>
      </c>
      <c r="AU7510">
        <v>0</v>
      </c>
      <c r="AW7510" t="s">
        <v>279</v>
      </c>
      <c r="AX7510" t="s">
        <v>46897</v>
      </c>
    </row>
    <row r="7511" spans="1:50">
      <c r="A7511" s="1">
        <f>HYPERLINK("https://lsnyc.legalserver.org/matter/dynamic-profile/view/1900722","19-1900722")</f>
        <v>0</v>
      </c>
      <c r="B7511" t="s">
        <v>78</v>
      </c>
      <c r="C7511" t="s">
        <v>340</v>
      </c>
      <c r="D7511" t="s">
        <v>808</v>
      </c>
      <c r="F7511" t="s">
        <v>1228</v>
      </c>
      <c r="G7511" t="s">
        <v>5100</v>
      </c>
      <c r="H7511" t="s">
        <v>10751</v>
      </c>
      <c r="I7511" t="s">
        <v>17342</v>
      </c>
      <c r="J7511" t="s">
        <v>18894</v>
      </c>
      <c r="K7511">
        <v>11213</v>
      </c>
      <c r="L7511" t="s">
        <v>18958</v>
      </c>
      <c r="M7511" t="s">
        <v>18960</v>
      </c>
      <c r="O7511" t="s">
        <v>18997</v>
      </c>
      <c r="P7511" t="s">
        <v>26562</v>
      </c>
      <c r="R7511" t="s">
        <v>26578</v>
      </c>
      <c r="S7511" t="s">
        <v>18958</v>
      </c>
      <c r="U7511" t="s">
        <v>26604</v>
      </c>
      <c r="V7511" t="s">
        <v>26610</v>
      </c>
      <c r="W7511" t="s">
        <v>764</v>
      </c>
      <c r="X7511">
        <v>905.59</v>
      </c>
      <c r="Y7511" t="s">
        <v>26652</v>
      </c>
      <c r="Z7511" t="s">
        <v>26663</v>
      </c>
      <c r="AB7511" t="s">
        <v>27901</v>
      </c>
      <c r="AD7511" t="s">
        <v>37952</v>
      </c>
      <c r="AE7511">
        <v>34</v>
      </c>
      <c r="AF7511" t="s">
        <v>45541</v>
      </c>
      <c r="AG7511" t="s">
        <v>19330</v>
      </c>
      <c r="AH7511">
        <v>25</v>
      </c>
      <c r="AI7511">
        <v>2</v>
      </c>
      <c r="AJ7511">
        <v>0</v>
      </c>
      <c r="AK7511">
        <v>163.22</v>
      </c>
      <c r="AN7511" t="s">
        <v>45581</v>
      </c>
      <c r="AO7511">
        <v>27600</v>
      </c>
      <c r="AP7511" t="s">
        <v>46052</v>
      </c>
      <c r="AU7511">
        <v>0</v>
      </c>
      <c r="AW7511" t="s">
        <v>279</v>
      </c>
      <c r="AX7511" t="s">
        <v>46897</v>
      </c>
    </row>
    <row r="7512" spans="1:50">
      <c r="A7512" s="1">
        <f>HYPERLINK("https://lsnyc.legalserver.org/matter/dynamic-profile/view/1900691","19-1900691")</f>
        <v>0</v>
      </c>
      <c r="B7512" t="s">
        <v>78</v>
      </c>
      <c r="C7512" t="s">
        <v>340</v>
      </c>
      <c r="D7512" t="s">
        <v>808</v>
      </c>
      <c r="F7512" t="s">
        <v>2394</v>
      </c>
      <c r="G7512" t="s">
        <v>6609</v>
      </c>
      <c r="H7512" t="s">
        <v>10750</v>
      </c>
      <c r="J7512" t="s">
        <v>18894</v>
      </c>
      <c r="K7512">
        <v>11213</v>
      </c>
      <c r="L7512" t="s">
        <v>18958</v>
      </c>
      <c r="M7512" t="s">
        <v>18960</v>
      </c>
      <c r="N7512" t="s">
        <v>19330</v>
      </c>
      <c r="O7512" t="s">
        <v>18997</v>
      </c>
      <c r="P7512" t="s">
        <v>26562</v>
      </c>
      <c r="R7512" t="s">
        <v>26578</v>
      </c>
      <c r="S7512" t="s">
        <v>18958</v>
      </c>
      <c r="U7512" t="s">
        <v>26604</v>
      </c>
      <c r="V7512" t="s">
        <v>26610</v>
      </c>
      <c r="W7512" t="s">
        <v>764</v>
      </c>
      <c r="X7512">
        <v>881.67</v>
      </c>
      <c r="Y7512" t="s">
        <v>26652</v>
      </c>
      <c r="Z7512" t="s">
        <v>26663</v>
      </c>
      <c r="AB7512" t="s">
        <v>29109</v>
      </c>
      <c r="AC7512" t="s">
        <v>19330</v>
      </c>
      <c r="AD7512" t="s">
        <v>39161</v>
      </c>
      <c r="AE7512">
        <v>0</v>
      </c>
      <c r="AF7512" t="s">
        <v>45541</v>
      </c>
      <c r="AG7512" t="s">
        <v>19330</v>
      </c>
      <c r="AH7512">
        <v>17</v>
      </c>
      <c r="AI7512">
        <v>2</v>
      </c>
      <c r="AJ7512">
        <v>0</v>
      </c>
      <c r="AK7512">
        <v>174.45</v>
      </c>
      <c r="AN7512" t="s">
        <v>7439</v>
      </c>
      <c r="AO7512">
        <v>29500</v>
      </c>
      <c r="AU7512">
        <v>0</v>
      </c>
      <c r="AW7512" t="s">
        <v>279</v>
      </c>
      <c r="AX7512" t="s">
        <v>46897</v>
      </c>
    </row>
    <row r="7513" spans="1:50">
      <c r="A7513" s="1">
        <f>HYPERLINK("https://lsnyc.legalserver.org/matter/dynamic-profile/view/1900693","19-1900693")</f>
        <v>0</v>
      </c>
      <c r="B7513" t="s">
        <v>78</v>
      </c>
      <c r="C7513" t="s">
        <v>340</v>
      </c>
      <c r="D7513" t="s">
        <v>808</v>
      </c>
      <c r="F7513" t="s">
        <v>2395</v>
      </c>
      <c r="G7513" t="s">
        <v>6610</v>
      </c>
      <c r="H7513" t="s">
        <v>11062</v>
      </c>
      <c r="J7513" t="s">
        <v>18894</v>
      </c>
      <c r="K7513">
        <v>11213</v>
      </c>
      <c r="L7513" t="s">
        <v>18958</v>
      </c>
      <c r="M7513" t="s">
        <v>18960</v>
      </c>
      <c r="O7513" t="s">
        <v>18997</v>
      </c>
      <c r="P7513" t="s">
        <v>26562</v>
      </c>
      <c r="R7513" t="s">
        <v>26578</v>
      </c>
      <c r="S7513" t="s">
        <v>18958</v>
      </c>
      <c r="U7513" t="s">
        <v>26604</v>
      </c>
      <c r="V7513" t="s">
        <v>26610</v>
      </c>
      <c r="W7513" t="s">
        <v>764</v>
      </c>
      <c r="X7513">
        <v>678.92</v>
      </c>
      <c r="Y7513" t="s">
        <v>26652</v>
      </c>
      <c r="Z7513" t="s">
        <v>26663</v>
      </c>
      <c r="AB7513" t="s">
        <v>29110</v>
      </c>
      <c r="AC7513" t="s">
        <v>19330</v>
      </c>
      <c r="AD7513" t="s">
        <v>39162</v>
      </c>
      <c r="AE7513">
        <v>35</v>
      </c>
      <c r="AF7513" t="s">
        <v>45541</v>
      </c>
      <c r="AG7513" t="s">
        <v>19330</v>
      </c>
      <c r="AH7513">
        <v>22</v>
      </c>
      <c r="AI7513">
        <v>1</v>
      </c>
      <c r="AJ7513">
        <v>0</v>
      </c>
      <c r="AK7513">
        <v>176.55</v>
      </c>
      <c r="AN7513" t="s">
        <v>7439</v>
      </c>
      <c r="AO7513">
        <v>22051</v>
      </c>
      <c r="AP7513" t="s">
        <v>46053</v>
      </c>
      <c r="AU7513">
        <v>0</v>
      </c>
      <c r="AW7513" t="s">
        <v>279</v>
      </c>
      <c r="AX7513" t="s">
        <v>46897</v>
      </c>
    </row>
    <row r="7514" spans="1:50">
      <c r="A7514" s="1">
        <f>HYPERLINK("https://lsnyc.legalserver.org/matter/dynamic-profile/view/1900719","19-1900719")</f>
        <v>0</v>
      </c>
      <c r="B7514" t="s">
        <v>78</v>
      </c>
      <c r="C7514" t="s">
        <v>340</v>
      </c>
      <c r="D7514" t="s">
        <v>808</v>
      </c>
      <c r="F7514" t="s">
        <v>1711</v>
      </c>
      <c r="G7514" t="s">
        <v>5906</v>
      </c>
      <c r="H7514" t="s">
        <v>10751</v>
      </c>
      <c r="I7514" t="s">
        <v>17636</v>
      </c>
      <c r="J7514" t="s">
        <v>18894</v>
      </c>
      <c r="K7514">
        <v>11213</v>
      </c>
      <c r="L7514" t="s">
        <v>18958</v>
      </c>
      <c r="M7514" t="s">
        <v>18960</v>
      </c>
      <c r="O7514" t="s">
        <v>18997</v>
      </c>
      <c r="P7514" t="s">
        <v>26562</v>
      </c>
      <c r="R7514" t="s">
        <v>26578</v>
      </c>
      <c r="S7514" t="s">
        <v>18958</v>
      </c>
      <c r="U7514" t="s">
        <v>26604</v>
      </c>
      <c r="V7514" t="s">
        <v>26610</v>
      </c>
      <c r="W7514" t="s">
        <v>764</v>
      </c>
      <c r="X7514">
        <v>756</v>
      </c>
      <c r="Y7514" t="s">
        <v>26652</v>
      </c>
      <c r="Z7514" t="s">
        <v>26663</v>
      </c>
      <c r="AB7514" t="s">
        <v>27902</v>
      </c>
      <c r="AD7514" t="s">
        <v>37953</v>
      </c>
      <c r="AE7514">
        <v>34</v>
      </c>
      <c r="AF7514" t="s">
        <v>45541</v>
      </c>
      <c r="AG7514" t="s">
        <v>19330</v>
      </c>
      <c r="AH7514">
        <v>40</v>
      </c>
      <c r="AI7514">
        <v>2</v>
      </c>
      <c r="AJ7514">
        <v>0</v>
      </c>
      <c r="AK7514">
        <v>326.43</v>
      </c>
      <c r="AN7514" t="s">
        <v>7439</v>
      </c>
      <c r="AO7514">
        <v>55200</v>
      </c>
      <c r="AP7514" t="s">
        <v>46054</v>
      </c>
      <c r="AU7514">
        <v>0</v>
      </c>
      <c r="AW7514" t="s">
        <v>279</v>
      </c>
      <c r="AX7514" t="s">
        <v>46897</v>
      </c>
    </row>
    <row r="7515" spans="1:50">
      <c r="A7515" s="1">
        <f>HYPERLINK("https://lsnyc.legalserver.org/matter/dynamic-profile/view/1900725","19-1900725")</f>
        <v>0</v>
      </c>
      <c r="B7515" t="s">
        <v>78</v>
      </c>
      <c r="C7515" t="s">
        <v>340</v>
      </c>
      <c r="D7515" t="s">
        <v>808</v>
      </c>
      <c r="F7515" t="s">
        <v>1712</v>
      </c>
      <c r="G7515" t="s">
        <v>5907</v>
      </c>
      <c r="H7515" t="s">
        <v>10750</v>
      </c>
      <c r="I7515">
        <v>27</v>
      </c>
      <c r="J7515" t="s">
        <v>18894</v>
      </c>
      <c r="K7515">
        <v>11213</v>
      </c>
      <c r="L7515" t="s">
        <v>18958</v>
      </c>
      <c r="M7515" t="s">
        <v>18960</v>
      </c>
      <c r="O7515" t="s">
        <v>18997</v>
      </c>
      <c r="P7515" t="s">
        <v>26562</v>
      </c>
      <c r="R7515" t="s">
        <v>26578</v>
      </c>
      <c r="S7515" t="s">
        <v>18958</v>
      </c>
      <c r="U7515" t="s">
        <v>26604</v>
      </c>
      <c r="V7515" t="s">
        <v>26610</v>
      </c>
      <c r="W7515" t="s">
        <v>764</v>
      </c>
      <c r="X7515">
        <v>861.2</v>
      </c>
      <c r="Y7515" t="s">
        <v>26652</v>
      </c>
      <c r="Z7515" t="s">
        <v>26663</v>
      </c>
      <c r="AB7515" t="s">
        <v>27903</v>
      </c>
      <c r="AD7515" t="s">
        <v>37954</v>
      </c>
      <c r="AE7515">
        <v>31</v>
      </c>
      <c r="AF7515" t="s">
        <v>45541</v>
      </c>
      <c r="AG7515" t="s">
        <v>19330</v>
      </c>
      <c r="AH7515">
        <v>34</v>
      </c>
      <c r="AI7515">
        <v>2</v>
      </c>
      <c r="AJ7515">
        <v>0</v>
      </c>
      <c r="AK7515">
        <v>359.55</v>
      </c>
      <c r="AN7515" t="s">
        <v>7439</v>
      </c>
      <c r="AO7515">
        <v>60800</v>
      </c>
      <c r="AP7515" t="s">
        <v>46055</v>
      </c>
      <c r="AU7515">
        <v>0</v>
      </c>
      <c r="AW7515" t="s">
        <v>279</v>
      </c>
      <c r="AX7515" t="s">
        <v>46897</v>
      </c>
    </row>
    <row r="7516" spans="1:50">
      <c r="A7516" s="1">
        <f>HYPERLINK("https://lsnyc.legalserver.org/matter/dynamic-profile/view/1900714","19-1900714")</f>
        <v>0</v>
      </c>
      <c r="B7516" t="s">
        <v>78</v>
      </c>
      <c r="C7516" t="s">
        <v>340</v>
      </c>
      <c r="D7516" t="s">
        <v>808</v>
      </c>
      <c r="F7516" t="s">
        <v>1725</v>
      </c>
      <c r="G7516" t="s">
        <v>5672</v>
      </c>
      <c r="H7516" t="s">
        <v>10750</v>
      </c>
      <c r="I7516">
        <v>28</v>
      </c>
      <c r="J7516" t="s">
        <v>18894</v>
      </c>
      <c r="K7516">
        <v>11213</v>
      </c>
      <c r="L7516" t="s">
        <v>18958</v>
      </c>
      <c r="M7516" t="s">
        <v>18960</v>
      </c>
      <c r="O7516" t="s">
        <v>18997</v>
      </c>
      <c r="P7516" t="s">
        <v>26562</v>
      </c>
      <c r="R7516" t="s">
        <v>26578</v>
      </c>
      <c r="S7516" t="s">
        <v>18958</v>
      </c>
      <c r="U7516" t="s">
        <v>26604</v>
      </c>
      <c r="V7516" t="s">
        <v>26610</v>
      </c>
      <c r="W7516" t="s">
        <v>764</v>
      </c>
      <c r="X7516">
        <v>1326</v>
      </c>
      <c r="Y7516" t="s">
        <v>26652</v>
      </c>
      <c r="Z7516" t="s">
        <v>26663</v>
      </c>
      <c r="AB7516" t="s">
        <v>27926</v>
      </c>
      <c r="AC7516" t="s">
        <v>34913</v>
      </c>
      <c r="AD7516" t="s">
        <v>37977</v>
      </c>
      <c r="AE7516">
        <v>34</v>
      </c>
      <c r="AF7516" t="s">
        <v>45541</v>
      </c>
      <c r="AG7516" t="s">
        <v>19330</v>
      </c>
      <c r="AH7516">
        <v>2</v>
      </c>
      <c r="AI7516">
        <v>2</v>
      </c>
      <c r="AJ7516">
        <v>0</v>
      </c>
      <c r="AK7516">
        <v>372.56</v>
      </c>
      <c r="AN7516" t="s">
        <v>7439</v>
      </c>
      <c r="AO7516">
        <v>63000</v>
      </c>
      <c r="AP7516" t="s">
        <v>46056</v>
      </c>
      <c r="AU7516">
        <v>0</v>
      </c>
      <c r="AW7516" t="s">
        <v>279</v>
      </c>
      <c r="AX7516" t="s">
        <v>46897</v>
      </c>
    </row>
    <row r="7517" spans="1:50">
      <c r="A7517" s="1">
        <f>HYPERLINK("https://lsnyc.legalserver.org/matter/dynamic-profile/view/1900799","19-1900799")</f>
        <v>0</v>
      </c>
      <c r="B7517" t="s">
        <v>78</v>
      </c>
      <c r="C7517" t="s">
        <v>340</v>
      </c>
      <c r="D7517" t="s">
        <v>809</v>
      </c>
      <c r="F7517" t="s">
        <v>1928</v>
      </c>
      <c r="G7517" t="s">
        <v>6099</v>
      </c>
      <c r="H7517" t="s">
        <v>11062</v>
      </c>
      <c r="I7517" t="s">
        <v>17307</v>
      </c>
      <c r="J7517" t="s">
        <v>18894</v>
      </c>
      <c r="K7517">
        <v>11213</v>
      </c>
      <c r="L7517" t="s">
        <v>18958</v>
      </c>
      <c r="M7517" t="s">
        <v>18960</v>
      </c>
      <c r="O7517" t="s">
        <v>18997</v>
      </c>
      <c r="P7517" t="s">
        <v>26562</v>
      </c>
      <c r="R7517" t="s">
        <v>26578</v>
      </c>
      <c r="S7517" t="s">
        <v>18958</v>
      </c>
      <c r="U7517" t="s">
        <v>26604</v>
      </c>
      <c r="V7517" t="s">
        <v>26610</v>
      </c>
      <c r="W7517" t="s">
        <v>764</v>
      </c>
      <c r="X7517">
        <v>1200</v>
      </c>
      <c r="Y7517" t="s">
        <v>26652</v>
      </c>
      <c r="AB7517" t="s">
        <v>28242</v>
      </c>
      <c r="AD7517" t="s">
        <v>38290</v>
      </c>
      <c r="AE7517">
        <v>35</v>
      </c>
      <c r="AF7517" t="s">
        <v>45541</v>
      </c>
      <c r="AH7517">
        <v>10</v>
      </c>
      <c r="AI7517">
        <v>3</v>
      </c>
      <c r="AJ7517">
        <v>1</v>
      </c>
      <c r="AK7517">
        <v>77.67</v>
      </c>
      <c r="AN7517" t="s">
        <v>7439</v>
      </c>
      <c r="AO7517">
        <v>20000</v>
      </c>
      <c r="AP7517" t="s">
        <v>46057</v>
      </c>
      <c r="AU7517">
        <v>0</v>
      </c>
      <c r="AW7517" t="s">
        <v>279</v>
      </c>
      <c r="AX7517" t="s">
        <v>46897</v>
      </c>
    </row>
    <row r="7518" spans="1:50">
      <c r="A7518" s="1">
        <f>HYPERLINK("https://lsnyc.legalserver.org/matter/dynamic-profile/view/1900793","19-1900793")</f>
        <v>0</v>
      </c>
      <c r="B7518" t="s">
        <v>78</v>
      </c>
      <c r="C7518" t="s">
        <v>340</v>
      </c>
      <c r="D7518" t="s">
        <v>809</v>
      </c>
      <c r="F7518" t="s">
        <v>1929</v>
      </c>
      <c r="G7518" t="s">
        <v>5008</v>
      </c>
      <c r="H7518" t="s">
        <v>11063</v>
      </c>
      <c r="I7518" t="s">
        <v>17388</v>
      </c>
      <c r="J7518" t="s">
        <v>18894</v>
      </c>
      <c r="K7518">
        <v>11213</v>
      </c>
      <c r="L7518" t="s">
        <v>18958</v>
      </c>
      <c r="M7518" t="s">
        <v>18960</v>
      </c>
      <c r="O7518" t="s">
        <v>18997</v>
      </c>
      <c r="P7518" t="s">
        <v>26562</v>
      </c>
      <c r="R7518" t="s">
        <v>26578</v>
      </c>
      <c r="S7518" t="s">
        <v>18958</v>
      </c>
      <c r="U7518" t="s">
        <v>26604</v>
      </c>
      <c r="V7518" t="s">
        <v>26610</v>
      </c>
      <c r="W7518" t="s">
        <v>764</v>
      </c>
      <c r="X7518">
        <v>652.36</v>
      </c>
      <c r="Y7518" t="s">
        <v>26652</v>
      </c>
      <c r="AB7518" t="s">
        <v>28243</v>
      </c>
      <c r="AD7518" t="s">
        <v>38291</v>
      </c>
      <c r="AE7518">
        <v>6</v>
      </c>
      <c r="AF7518" t="s">
        <v>45541</v>
      </c>
      <c r="AG7518" t="s">
        <v>19330</v>
      </c>
      <c r="AH7518">
        <v>45</v>
      </c>
      <c r="AI7518">
        <v>2</v>
      </c>
      <c r="AJ7518">
        <v>0</v>
      </c>
      <c r="AK7518">
        <v>224.33</v>
      </c>
      <c r="AN7518" t="s">
        <v>7439</v>
      </c>
      <c r="AO7518">
        <v>37934.16</v>
      </c>
      <c r="AP7518" t="s">
        <v>46058</v>
      </c>
      <c r="AU7518">
        <v>0</v>
      </c>
      <c r="AW7518" t="s">
        <v>279</v>
      </c>
      <c r="AX7518" t="s">
        <v>46897</v>
      </c>
    </row>
    <row r="7519" spans="1:50">
      <c r="A7519" s="1">
        <f>HYPERLINK("https://lsnyc.legalserver.org/matter/dynamic-profile/view/1897218","19-1897218")</f>
        <v>0</v>
      </c>
      <c r="B7519" t="s">
        <v>270</v>
      </c>
      <c r="C7519" t="s">
        <v>341</v>
      </c>
      <c r="D7519" t="s">
        <v>780</v>
      </c>
      <c r="E7519" t="s">
        <v>823</v>
      </c>
      <c r="F7519" t="s">
        <v>1555</v>
      </c>
      <c r="G7519" t="s">
        <v>8350</v>
      </c>
      <c r="H7519" t="s">
        <v>14797</v>
      </c>
      <c r="I7519" t="s">
        <v>18478</v>
      </c>
      <c r="J7519" t="s">
        <v>18892</v>
      </c>
      <c r="K7519">
        <v>10469</v>
      </c>
      <c r="L7519" t="s">
        <v>18958</v>
      </c>
      <c r="M7519" t="s">
        <v>18958</v>
      </c>
      <c r="N7519" t="s">
        <v>24310</v>
      </c>
      <c r="O7519" t="s">
        <v>26523</v>
      </c>
      <c r="P7519" t="s">
        <v>26564</v>
      </c>
      <c r="Q7519" t="s">
        <v>26570</v>
      </c>
      <c r="R7519" t="s">
        <v>26577</v>
      </c>
      <c r="S7519" t="s">
        <v>18959</v>
      </c>
      <c r="U7519" t="s">
        <v>26604</v>
      </c>
      <c r="W7519" t="s">
        <v>765</v>
      </c>
      <c r="X7519">
        <v>1400</v>
      </c>
      <c r="Y7519" t="s">
        <v>26650</v>
      </c>
      <c r="Z7519" t="s">
        <v>26668</v>
      </c>
      <c r="AA7519" t="s">
        <v>26683</v>
      </c>
      <c r="AB7519" t="s">
        <v>30781</v>
      </c>
      <c r="AE7519">
        <v>3</v>
      </c>
      <c r="AF7519" t="s">
        <v>45545</v>
      </c>
      <c r="AG7519" t="s">
        <v>19330</v>
      </c>
      <c r="AH7519">
        <v>7</v>
      </c>
      <c r="AI7519">
        <v>1</v>
      </c>
      <c r="AJ7519">
        <v>1</v>
      </c>
      <c r="AK7519">
        <v>8.52</v>
      </c>
      <c r="AN7519" t="s">
        <v>7439</v>
      </c>
      <c r="AO7519">
        <v>1440</v>
      </c>
      <c r="AT7519" t="s">
        <v>46789</v>
      </c>
      <c r="AU7519">
        <v>3.1</v>
      </c>
      <c r="AV7519" t="s">
        <v>819</v>
      </c>
      <c r="AW7519" t="s">
        <v>336</v>
      </c>
      <c r="AX7519" t="s">
        <v>46897</v>
      </c>
    </row>
    <row r="7520" spans="1:50">
      <c r="A7520" s="1">
        <f>HYPERLINK("https://lsnyc.legalserver.org/matter/dynamic-profile/view/1897717","19-1897717")</f>
        <v>0</v>
      </c>
      <c r="B7520" t="s">
        <v>212</v>
      </c>
      <c r="C7520" t="s">
        <v>340</v>
      </c>
      <c r="D7520" t="s">
        <v>764</v>
      </c>
      <c r="F7520" t="s">
        <v>3972</v>
      </c>
      <c r="G7520" t="s">
        <v>8351</v>
      </c>
      <c r="H7520" t="s">
        <v>14798</v>
      </c>
      <c r="I7520">
        <v>3</v>
      </c>
      <c r="J7520" t="s">
        <v>18907</v>
      </c>
      <c r="K7520">
        <v>11377</v>
      </c>
      <c r="L7520" t="s">
        <v>18958</v>
      </c>
      <c r="M7520" t="s">
        <v>18958</v>
      </c>
      <c r="O7520" t="s">
        <v>18997</v>
      </c>
      <c r="P7520" t="s">
        <v>26565</v>
      </c>
      <c r="R7520" t="s">
        <v>26589</v>
      </c>
      <c r="S7520" t="s">
        <v>18959</v>
      </c>
      <c r="U7520" t="s">
        <v>26604</v>
      </c>
      <c r="W7520" t="s">
        <v>765</v>
      </c>
      <c r="X7520">
        <v>1700</v>
      </c>
      <c r="Y7520" t="s">
        <v>26653</v>
      </c>
      <c r="Z7520" t="s">
        <v>26671</v>
      </c>
      <c r="AB7520" t="s">
        <v>31696</v>
      </c>
      <c r="AE7520">
        <v>0</v>
      </c>
      <c r="AF7520" t="s">
        <v>45547</v>
      </c>
      <c r="AH7520">
        <v>0</v>
      </c>
      <c r="AI7520">
        <v>1</v>
      </c>
      <c r="AJ7520">
        <v>1</v>
      </c>
      <c r="AK7520">
        <v>0</v>
      </c>
      <c r="AL7520" t="s">
        <v>45567</v>
      </c>
      <c r="AM7520" t="s">
        <v>45577</v>
      </c>
      <c r="AO7520">
        <v>0</v>
      </c>
      <c r="AU7520">
        <v>0.4</v>
      </c>
      <c r="AV7520" t="s">
        <v>764</v>
      </c>
      <c r="AW7520" t="s">
        <v>212</v>
      </c>
    </row>
    <row r="7521" spans="1:50">
      <c r="A7521" s="1">
        <f>HYPERLINK("https://lsnyc.legalserver.org/matter/dynamic-profile/view/1897710","19-1897710")</f>
        <v>0</v>
      </c>
      <c r="B7521" t="s">
        <v>212</v>
      </c>
      <c r="C7521" t="s">
        <v>340</v>
      </c>
      <c r="D7521" t="s">
        <v>764</v>
      </c>
      <c r="F7521" t="s">
        <v>3973</v>
      </c>
      <c r="G7521" t="s">
        <v>7516</v>
      </c>
      <c r="H7521" t="s">
        <v>12251</v>
      </c>
      <c r="I7521" t="s">
        <v>17453</v>
      </c>
      <c r="J7521" t="s">
        <v>18912</v>
      </c>
      <c r="K7521">
        <v>11374</v>
      </c>
      <c r="L7521" t="s">
        <v>18958</v>
      </c>
      <c r="M7521" t="s">
        <v>18958</v>
      </c>
      <c r="O7521" t="s">
        <v>18997</v>
      </c>
      <c r="P7521" t="s">
        <v>26565</v>
      </c>
      <c r="R7521" t="s">
        <v>26589</v>
      </c>
      <c r="S7521" t="s">
        <v>18959</v>
      </c>
      <c r="U7521" t="s">
        <v>26604</v>
      </c>
      <c r="W7521" t="s">
        <v>765</v>
      </c>
      <c r="X7521">
        <v>0</v>
      </c>
      <c r="Y7521" t="s">
        <v>26653</v>
      </c>
      <c r="Z7521" t="s">
        <v>26671</v>
      </c>
      <c r="AB7521" t="s">
        <v>32299</v>
      </c>
      <c r="AC7521" t="s">
        <v>36345</v>
      </c>
      <c r="AE7521">
        <v>1</v>
      </c>
      <c r="AF7521" t="s">
        <v>45547</v>
      </c>
      <c r="AH7521">
        <v>6</v>
      </c>
      <c r="AI7521">
        <v>5</v>
      </c>
      <c r="AJ7521">
        <v>0</v>
      </c>
      <c r="AK7521">
        <v>0</v>
      </c>
      <c r="AL7521" t="s">
        <v>45567</v>
      </c>
      <c r="AM7521" t="s">
        <v>45577</v>
      </c>
      <c r="AN7521" t="s">
        <v>45581</v>
      </c>
      <c r="AO7521">
        <v>0</v>
      </c>
      <c r="AU7521">
        <v>1</v>
      </c>
      <c r="AV7521" t="s">
        <v>764</v>
      </c>
      <c r="AW7521" t="s">
        <v>212</v>
      </c>
    </row>
    <row r="7522" spans="1:50">
      <c r="A7522" s="1">
        <f>HYPERLINK("https://lsnyc.legalserver.org/matter/dynamic-profile/view/1897825","19-1897825")</f>
        <v>0</v>
      </c>
      <c r="B7522" t="s">
        <v>86</v>
      </c>
      <c r="C7522" t="s">
        <v>341</v>
      </c>
      <c r="D7522" t="s">
        <v>765</v>
      </c>
      <c r="E7522" t="s">
        <v>833</v>
      </c>
      <c r="F7522" t="s">
        <v>3974</v>
      </c>
      <c r="G7522" t="s">
        <v>8352</v>
      </c>
      <c r="H7522" t="s">
        <v>14799</v>
      </c>
      <c r="I7522" t="s">
        <v>18479</v>
      </c>
      <c r="J7522" t="s">
        <v>18893</v>
      </c>
      <c r="K7522">
        <v>10031</v>
      </c>
      <c r="L7522" t="s">
        <v>18958</v>
      </c>
      <c r="M7522" t="s">
        <v>18959</v>
      </c>
      <c r="N7522" t="s">
        <v>24311</v>
      </c>
      <c r="O7522" t="s">
        <v>26523</v>
      </c>
      <c r="P7522" t="s">
        <v>26560</v>
      </c>
      <c r="Q7522" t="s">
        <v>26568</v>
      </c>
      <c r="R7522" t="s">
        <v>26580</v>
      </c>
      <c r="S7522" t="s">
        <v>18959</v>
      </c>
      <c r="U7522" t="s">
        <v>26604</v>
      </c>
      <c r="W7522" t="s">
        <v>765</v>
      </c>
      <c r="X7522">
        <v>697</v>
      </c>
      <c r="Y7522" t="s">
        <v>26651</v>
      </c>
      <c r="Z7522" t="s">
        <v>26668</v>
      </c>
      <c r="AA7522" t="s">
        <v>26678</v>
      </c>
      <c r="AB7522" t="s">
        <v>32300</v>
      </c>
      <c r="AD7522" t="s">
        <v>42688</v>
      </c>
      <c r="AE7522">
        <v>94</v>
      </c>
      <c r="AF7522" t="s">
        <v>45541</v>
      </c>
      <c r="AG7522" t="s">
        <v>19330</v>
      </c>
      <c r="AH7522">
        <v>51</v>
      </c>
      <c r="AI7522">
        <v>2</v>
      </c>
      <c r="AJ7522">
        <v>0</v>
      </c>
      <c r="AK7522">
        <v>141.93</v>
      </c>
      <c r="AN7522" t="s">
        <v>7439</v>
      </c>
      <c r="AO7522">
        <v>24000</v>
      </c>
      <c r="AS7522" t="s">
        <v>46499</v>
      </c>
      <c r="AU7522">
        <v>3</v>
      </c>
      <c r="AV7522" t="s">
        <v>765</v>
      </c>
      <c r="AW7522" t="s">
        <v>314</v>
      </c>
      <c r="AX7522" t="s">
        <v>46897</v>
      </c>
    </row>
    <row r="7523" spans="1:50">
      <c r="A7523" s="1">
        <f>HYPERLINK("https://lsnyc.legalserver.org/matter/dynamic-profile/view/1897831","19-1897831")</f>
        <v>0</v>
      </c>
      <c r="B7523" t="s">
        <v>278</v>
      </c>
      <c r="C7523" t="s">
        <v>340</v>
      </c>
      <c r="D7523" t="s">
        <v>765</v>
      </c>
      <c r="F7523" t="s">
        <v>1013</v>
      </c>
      <c r="G7523" t="s">
        <v>8353</v>
      </c>
      <c r="H7523" t="s">
        <v>10733</v>
      </c>
      <c r="I7523" t="s">
        <v>18122</v>
      </c>
      <c r="J7523" t="s">
        <v>18902</v>
      </c>
      <c r="K7523">
        <v>10303</v>
      </c>
      <c r="L7523" t="s">
        <v>18958</v>
      </c>
      <c r="M7523" t="s">
        <v>18958</v>
      </c>
      <c r="N7523" t="s">
        <v>24312</v>
      </c>
      <c r="O7523" t="s">
        <v>26523</v>
      </c>
      <c r="P7523" t="s">
        <v>26560</v>
      </c>
      <c r="R7523" t="s">
        <v>26590</v>
      </c>
      <c r="S7523" t="s">
        <v>18959</v>
      </c>
      <c r="U7523" t="s">
        <v>26606</v>
      </c>
      <c r="V7523" t="s">
        <v>26610</v>
      </c>
      <c r="W7523" t="s">
        <v>765</v>
      </c>
      <c r="X7523">
        <v>215</v>
      </c>
      <c r="Y7523" t="s">
        <v>26654</v>
      </c>
      <c r="Z7523" t="s">
        <v>26668</v>
      </c>
      <c r="AB7523" t="s">
        <v>26756</v>
      </c>
      <c r="AD7523" t="s">
        <v>42689</v>
      </c>
      <c r="AE7523">
        <v>104</v>
      </c>
      <c r="AF7523" t="s">
        <v>45543</v>
      </c>
      <c r="AG7523" t="s">
        <v>45556</v>
      </c>
      <c r="AH7523">
        <v>9</v>
      </c>
      <c r="AI7523">
        <v>1</v>
      </c>
      <c r="AJ7523">
        <v>0</v>
      </c>
      <c r="AK7523">
        <v>34.3</v>
      </c>
      <c r="AN7523" t="s">
        <v>7439</v>
      </c>
      <c r="AO7523">
        <v>4284</v>
      </c>
      <c r="AU7523">
        <v>5.55</v>
      </c>
      <c r="AV7523" t="s">
        <v>826</v>
      </c>
      <c r="AW7523" t="s">
        <v>185</v>
      </c>
    </row>
    <row r="7524" spans="1:50">
      <c r="A7524" s="1">
        <f>HYPERLINK("https://lsnyc.legalserver.org/matter/dynamic-profile/view/1897841","19-1897841")</f>
        <v>0</v>
      </c>
      <c r="B7524" t="s">
        <v>70</v>
      </c>
      <c r="C7524" t="s">
        <v>340</v>
      </c>
      <c r="D7524" t="s">
        <v>765</v>
      </c>
      <c r="F7524" t="s">
        <v>895</v>
      </c>
      <c r="G7524" t="s">
        <v>4588</v>
      </c>
      <c r="H7524" t="s">
        <v>14800</v>
      </c>
      <c r="I7524" t="s">
        <v>17361</v>
      </c>
      <c r="J7524" t="s">
        <v>18892</v>
      </c>
      <c r="K7524">
        <v>10468</v>
      </c>
      <c r="L7524" t="s">
        <v>18958</v>
      </c>
      <c r="M7524" t="s">
        <v>18958</v>
      </c>
      <c r="N7524" t="s">
        <v>24313</v>
      </c>
      <c r="O7524" t="s">
        <v>26523</v>
      </c>
      <c r="P7524" t="s">
        <v>26560</v>
      </c>
      <c r="R7524" t="s">
        <v>26579</v>
      </c>
      <c r="S7524" t="s">
        <v>18959</v>
      </c>
      <c r="U7524" t="s">
        <v>26604</v>
      </c>
      <c r="V7524" t="s">
        <v>26609</v>
      </c>
      <c r="W7524" t="s">
        <v>765</v>
      </c>
      <c r="X7524">
        <v>867</v>
      </c>
      <c r="Y7524" t="s">
        <v>26650</v>
      </c>
      <c r="Z7524" t="s">
        <v>26664</v>
      </c>
      <c r="AB7524" t="s">
        <v>32301</v>
      </c>
      <c r="AD7524" t="s">
        <v>42690</v>
      </c>
      <c r="AE7524">
        <v>68</v>
      </c>
      <c r="AF7524" t="s">
        <v>45541</v>
      </c>
      <c r="AG7524" t="s">
        <v>19330</v>
      </c>
      <c r="AH7524">
        <v>27</v>
      </c>
      <c r="AI7524">
        <v>1</v>
      </c>
      <c r="AJ7524">
        <v>0</v>
      </c>
      <c r="AK7524">
        <v>200.16</v>
      </c>
      <c r="AL7524" t="s">
        <v>813</v>
      </c>
      <c r="AM7524" t="s">
        <v>45575</v>
      </c>
      <c r="AN7524" t="s">
        <v>7439</v>
      </c>
      <c r="AO7524">
        <v>25000</v>
      </c>
      <c r="AU7524">
        <v>3.8</v>
      </c>
      <c r="AV7524" t="s">
        <v>773</v>
      </c>
      <c r="AW7524" t="s">
        <v>46870</v>
      </c>
    </row>
    <row r="7525" spans="1:50">
      <c r="A7525" s="1">
        <f>HYPERLINK("https://lsnyc.legalserver.org/matter/dynamic-profile/view/1897875","19-1897875")</f>
        <v>0</v>
      </c>
      <c r="B7525" t="s">
        <v>70</v>
      </c>
      <c r="C7525" t="s">
        <v>340</v>
      </c>
      <c r="D7525" t="s">
        <v>765</v>
      </c>
      <c r="F7525" t="s">
        <v>3975</v>
      </c>
      <c r="G7525" t="s">
        <v>8354</v>
      </c>
      <c r="H7525" t="s">
        <v>14801</v>
      </c>
      <c r="I7525" t="s">
        <v>17366</v>
      </c>
      <c r="J7525" t="s">
        <v>18892</v>
      </c>
      <c r="K7525">
        <v>10468</v>
      </c>
      <c r="L7525" t="s">
        <v>18958</v>
      </c>
      <c r="M7525" t="s">
        <v>18958</v>
      </c>
      <c r="N7525" t="s">
        <v>24314</v>
      </c>
      <c r="O7525" t="s">
        <v>26523</v>
      </c>
      <c r="P7525" t="s">
        <v>26560</v>
      </c>
      <c r="R7525" t="s">
        <v>26579</v>
      </c>
      <c r="S7525" t="s">
        <v>18959</v>
      </c>
      <c r="U7525" t="s">
        <v>26604</v>
      </c>
      <c r="W7525" t="s">
        <v>765</v>
      </c>
      <c r="X7525">
        <v>986.95</v>
      </c>
      <c r="Y7525" t="s">
        <v>26650</v>
      </c>
      <c r="Z7525" t="s">
        <v>26664</v>
      </c>
      <c r="AB7525" t="s">
        <v>29107</v>
      </c>
      <c r="AD7525" t="s">
        <v>42691</v>
      </c>
      <c r="AE7525">
        <v>0</v>
      </c>
      <c r="AG7525" t="s">
        <v>19330</v>
      </c>
      <c r="AH7525">
        <v>19</v>
      </c>
      <c r="AI7525">
        <v>1</v>
      </c>
      <c r="AJ7525">
        <v>0</v>
      </c>
      <c r="AK7525">
        <v>208.52</v>
      </c>
      <c r="AL7525" t="s">
        <v>813</v>
      </c>
      <c r="AM7525" t="s">
        <v>45575</v>
      </c>
      <c r="AN7525" t="s">
        <v>7439</v>
      </c>
      <c r="AO7525">
        <v>26044</v>
      </c>
      <c r="AU7525">
        <v>3.9</v>
      </c>
      <c r="AV7525" t="s">
        <v>729</v>
      </c>
      <c r="AW7525" t="s">
        <v>46870</v>
      </c>
    </row>
    <row r="7526" spans="1:50">
      <c r="A7526" s="1">
        <f>HYPERLINK("https://lsnyc.legalserver.org/matter/dynamic-profile/view/1898249","19-1898249")</f>
        <v>0</v>
      </c>
      <c r="B7526" t="s">
        <v>262</v>
      </c>
      <c r="C7526" t="s">
        <v>340</v>
      </c>
      <c r="D7526" t="s">
        <v>765</v>
      </c>
      <c r="F7526" t="s">
        <v>3976</v>
      </c>
      <c r="G7526" t="s">
        <v>5141</v>
      </c>
      <c r="H7526" t="s">
        <v>14802</v>
      </c>
      <c r="I7526" t="s">
        <v>17334</v>
      </c>
      <c r="J7526" t="s">
        <v>18892</v>
      </c>
      <c r="K7526">
        <v>10466</v>
      </c>
      <c r="L7526" t="s">
        <v>18958</v>
      </c>
      <c r="M7526" t="s">
        <v>18958</v>
      </c>
      <c r="N7526" t="s">
        <v>24315</v>
      </c>
      <c r="O7526" t="s">
        <v>26524</v>
      </c>
      <c r="P7526" t="s">
        <v>26560</v>
      </c>
      <c r="R7526" t="s">
        <v>26577</v>
      </c>
      <c r="S7526" t="s">
        <v>18959</v>
      </c>
      <c r="U7526" t="s">
        <v>26604</v>
      </c>
      <c r="V7526" t="s">
        <v>26610</v>
      </c>
      <c r="W7526" t="s">
        <v>765</v>
      </c>
      <c r="X7526">
        <v>975</v>
      </c>
      <c r="Y7526" t="s">
        <v>26650</v>
      </c>
      <c r="Z7526" t="s">
        <v>26668</v>
      </c>
      <c r="AB7526" t="s">
        <v>32302</v>
      </c>
      <c r="AD7526" t="s">
        <v>42692</v>
      </c>
      <c r="AE7526">
        <v>3</v>
      </c>
      <c r="AF7526" t="s">
        <v>45545</v>
      </c>
      <c r="AG7526" t="s">
        <v>45556</v>
      </c>
      <c r="AH7526">
        <v>15</v>
      </c>
      <c r="AI7526">
        <v>1</v>
      </c>
      <c r="AJ7526">
        <v>0</v>
      </c>
      <c r="AK7526">
        <v>79.73999999999999</v>
      </c>
      <c r="AN7526" t="s">
        <v>7439</v>
      </c>
      <c r="AO7526">
        <v>9960</v>
      </c>
      <c r="AU7526">
        <v>27.4</v>
      </c>
      <c r="AV7526" t="s">
        <v>838</v>
      </c>
      <c r="AW7526" t="s">
        <v>336</v>
      </c>
      <c r="AX7526" t="s">
        <v>46897</v>
      </c>
    </row>
    <row r="7527" spans="1:50">
      <c r="A7527" s="1">
        <f>HYPERLINK("https://lsnyc.legalserver.org/matter/dynamic-profile/view/1898453","19-1898453")</f>
        <v>0</v>
      </c>
      <c r="B7527" t="s">
        <v>262</v>
      </c>
      <c r="C7527" t="s">
        <v>340</v>
      </c>
      <c r="D7527" t="s">
        <v>765</v>
      </c>
      <c r="F7527" t="s">
        <v>1282</v>
      </c>
      <c r="G7527" t="s">
        <v>1685</v>
      </c>
      <c r="H7527" t="s">
        <v>14803</v>
      </c>
      <c r="I7527" t="s">
        <v>17312</v>
      </c>
      <c r="J7527" t="s">
        <v>18892</v>
      </c>
      <c r="K7527">
        <v>10460</v>
      </c>
      <c r="L7527" t="s">
        <v>18958</v>
      </c>
      <c r="M7527" t="s">
        <v>18958</v>
      </c>
      <c r="N7527" t="s">
        <v>24316</v>
      </c>
      <c r="O7527" t="s">
        <v>26524</v>
      </c>
      <c r="P7527" t="s">
        <v>26564</v>
      </c>
      <c r="R7527" t="s">
        <v>26577</v>
      </c>
      <c r="S7527" t="s">
        <v>18959</v>
      </c>
      <c r="U7527" t="s">
        <v>26604</v>
      </c>
      <c r="V7527" t="s">
        <v>26610</v>
      </c>
      <c r="W7527" t="s">
        <v>765</v>
      </c>
      <c r="X7527">
        <v>1515</v>
      </c>
      <c r="Y7527" t="s">
        <v>26650</v>
      </c>
      <c r="Z7527" t="s">
        <v>26668</v>
      </c>
      <c r="AB7527" t="s">
        <v>30486</v>
      </c>
      <c r="AC7527" t="s">
        <v>36346</v>
      </c>
      <c r="AD7527" t="s">
        <v>42693</v>
      </c>
      <c r="AE7527">
        <v>5</v>
      </c>
      <c r="AG7527" t="s">
        <v>45558</v>
      </c>
      <c r="AH7527">
        <v>1</v>
      </c>
      <c r="AI7527">
        <v>2</v>
      </c>
      <c r="AJ7527">
        <v>2</v>
      </c>
      <c r="AK7527">
        <v>149.87</v>
      </c>
      <c r="AN7527" t="s">
        <v>7439</v>
      </c>
      <c r="AO7527">
        <v>38592</v>
      </c>
      <c r="AU7527">
        <v>3</v>
      </c>
      <c r="AV7527" t="s">
        <v>770</v>
      </c>
      <c r="AW7527" t="s">
        <v>336</v>
      </c>
    </row>
    <row r="7528" spans="1:50">
      <c r="A7528" s="1">
        <f>HYPERLINK("https://lsnyc.legalserver.org/matter/dynamic-profile/view/1898412","19-1898412")</f>
        <v>0</v>
      </c>
      <c r="B7528" t="s">
        <v>262</v>
      </c>
      <c r="C7528" t="s">
        <v>340</v>
      </c>
      <c r="D7528" t="s">
        <v>765</v>
      </c>
      <c r="F7528" t="s">
        <v>1587</v>
      </c>
      <c r="G7528" t="s">
        <v>8355</v>
      </c>
      <c r="H7528" t="s">
        <v>14804</v>
      </c>
      <c r="I7528">
        <v>2</v>
      </c>
      <c r="J7528" t="s">
        <v>18892</v>
      </c>
      <c r="K7528">
        <v>10467</v>
      </c>
      <c r="L7528" t="s">
        <v>18958</v>
      </c>
      <c r="M7528" t="s">
        <v>18958</v>
      </c>
      <c r="N7528" t="s">
        <v>24317</v>
      </c>
      <c r="O7528" t="s">
        <v>26524</v>
      </c>
      <c r="P7528" t="s">
        <v>26560</v>
      </c>
      <c r="R7528" t="s">
        <v>26579</v>
      </c>
      <c r="S7528" t="s">
        <v>18959</v>
      </c>
      <c r="U7528" t="s">
        <v>26604</v>
      </c>
      <c r="W7528" t="s">
        <v>765</v>
      </c>
      <c r="X7528">
        <v>1545</v>
      </c>
      <c r="Y7528" t="s">
        <v>26650</v>
      </c>
      <c r="Z7528" t="s">
        <v>26664</v>
      </c>
      <c r="AB7528" t="s">
        <v>32303</v>
      </c>
      <c r="AD7528" t="s">
        <v>42694</v>
      </c>
      <c r="AE7528">
        <v>3</v>
      </c>
      <c r="AF7528" t="s">
        <v>45545</v>
      </c>
      <c r="AG7528" t="s">
        <v>45556</v>
      </c>
      <c r="AH7528">
        <v>6</v>
      </c>
      <c r="AI7528">
        <v>3</v>
      </c>
      <c r="AJ7528">
        <v>0</v>
      </c>
      <c r="AK7528">
        <v>187.53</v>
      </c>
      <c r="AN7528" t="s">
        <v>7439</v>
      </c>
      <c r="AO7528">
        <v>40000</v>
      </c>
      <c r="AU7528">
        <v>21.7</v>
      </c>
      <c r="AV7528" t="s">
        <v>839</v>
      </c>
      <c r="AW7528" t="s">
        <v>336</v>
      </c>
      <c r="AX7528" t="s">
        <v>46897</v>
      </c>
    </row>
    <row r="7529" spans="1:50">
      <c r="A7529" s="1">
        <f>HYPERLINK("https://lsnyc.legalserver.org/matter/dynamic-profile/view/1897969","19-1897969")</f>
        <v>0</v>
      </c>
      <c r="B7529" t="s">
        <v>81</v>
      </c>
      <c r="C7529" t="s">
        <v>340</v>
      </c>
      <c r="D7529" t="s">
        <v>765</v>
      </c>
      <c r="F7529" t="s">
        <v>3977</v>
      </c>
      <c r="G7529" t="s">
        <v>5607</v>
      </c>
      <c r="H7529" t="s">
        <v>14805</v>
      </c>
      <c r="I7529" t="s">
        <v>17397</v>
      </c>
      <c r="J7529" t="s">
        <v>18892</v>
      </c>
      <c r="K7529">
        <v>10460</v>
      </c>
      <c r="L7529" t="s">
        <v>18958</v>
      </c>
      <c r="M7529" t="s">
        <v>18958</v>
      </c>
      <c r="N7529" t="s">
        <v>24318</v>
      </c>
      <c r="O7529" t="s">
        <v>26524</v>
      </c>
      <c r="P7529" t="s">
        <v>26560</v>
      </c>
      <c r="R7529" t="s">
        <v>26577</v>
      </c>
      <c r="S7529" t="s">
        <v>18959</v>
      </c>
      <c r="U7529" t="s">
        <v>26604</v>
      </c>
      <c r="V7529" t="s">
        <v>26610</v>
      </c>
      <c r="W7529" t="s">
        <v>765</v>
      </c>
      <c r="X7529">
        <v>1071.65</v>
      </c>
      <c r="Y7529" t="s">
        <v>26650</v>
      </c>
      <c r="Z7529" t="s">
        <v>26668</v>
      </c>
      <c r="AB7529" t="s">
        <v>32304</v>
      </c>
      <c r="AD7529" t="s">
        <v>42695</v>
      </c>
      <c r="AE7529">
        <v>59</v>
      </c>
      <c r="AF7529" t="s">
        <v>45541</v>
      </c>
      <c r="AG7529" t="s">
        <v>19330</v>
      </c>
      <c r="AH7529">
        <v>20</v>
      </c>
      <c r="AI7529">
        <v>2</v>
      </c>
      <c r="AJ7529">
        <v>0</v>
      </c>
      <c r="AK7529">
        <v>90.83</v>
      </c>
      <c r="AN7529" t="s">
        <v>7439</v>
      </c>
      <c r="AO7529">
        <v>15360</v>
      </c>
      <c r="AU7529">
        <v>2.75</v>
      </c>
      <c r="AV7529" t="s">
        <v>773</v>
      </c>
      <c r="AW7529" t="s">
        <v>46847</v>
      </c>
      <c r="AX7529" t="s">
        <v>46897</v>
      </c>
    </row>
    <row r="7530" spans="1:50">
      <c r="A7530" s="1">
        <f>HYPERLINK("https://lsnyc.legalserver.org/matter/dynamic-profile/view/1898536","19-1898536")</f>
        <v>0</v>
      </c>
      <c r="B7530" t="s">
        <v>81</v>
      </c>
      <c r="C7530" t="s">
        <v>340</v>
      </c>
      <c r="D7530" t="s">
        <v>765</v>
      </c>
      <c r="F7530" t="s">
        <v>3978</v>
      </c>
      <c r="G7530" t="s">
        <v>1993</v>
      </c>
      <c r="H7530" t="s">
        <v>14806</v>
      </c>
      <c r="J7530" t="s">
        <v>18892</v>
      </c>
      <c r="K7530">
        <v>10467</v>
      </c>
      <c r="L7530" t="s">
        <v>18958</v>
      </c>
      <c r="M7530" t="s">
        <v>18958</v>
      </c>
      <c r="N7530" t="s">
        <v>24319</v>
      </c>
      <c r="O7530" t="s">
        <v>26524</v>
      </c>
      <c r="P7530" t="s">
        <v>26560</v>
      </c>
      <c r="R7530" t="s">
        <v>26579</v>
      </c>
      <c r="S7530" t="s">
        <v>18959</v>
      </c>
      <c r="U7530" t="s">
        <v>26604</v>
      </c>
      <c r="V7530" t="s">
        <v>26610</v>
      </c>
      <c r="W7530" t="s">
        <v>765</v>
      </c>
      <c r="X7530">
        <v>904</v>
      </c>
      <c r="Y7530" t="s">
        <v>26650</v>
      </c>
      <c r="Z7530" t="s">
        <v>26668</v>
      </c>
      <c r="AB7530" t="s">
        <v>29179</v>
      </c>
      <c r="AC7530" t="s">
        <v>36347</v>
      </c>
      <c r="AD7530" t="s">
        <v>42696</v>
      </c>
      <c r="AE7530">
        <v>11</v>
      </c>
      <c r="AF7530" t="s">
        <v>45541</v>
      </c>
      <c r="AG7530" t="s">
        <v>19330</v>
      </c>
      <c r="AH7530">
        <v>6</v>
      </c>
      <c r="AI7530">
        <v>3</v>
      </c>
      <c r="AJ7530">
        <v>0</v>
      </c>
      <c r="AK7530">
        <v>121.89</v>
      </c>
      <c r="AN7530" t="s">
        <v>45592</v>
      </c>
      <c r="AO7530">
        <v>26000</v>
      </c>
      <c r="AP7530" t="s">
        <v>46059</v>
      </c>
      <c r="AU7530">
        <v>2</v>
      </c>
      <c r="AV7530" t="s">
        <v>823</v>
      </c>
      <c r="AW7530" t="s">
        <v>46832</v>
      </c>
      <c r="AX7530" t="s">
        <v>46898</v>
      </c>
    </row>
    <row r="7531" spans="1:50">
      <c r="A7531" s="1">
        <f>HYPERLINK("https://lsnyc.legalserver.org/matter/dynamic-profile/view/1897912","19-1897912")</f>
        <v>0</v>
      </c>
      <c r="B7531" t="s">
        <v>234</v>
      </c>
      <c r="C7531" t="s">
        <v>340</v>
      </c>
      <c r="D7531" t="s">
        <v>765</v>
      </c>
      <c r="F7531" t="s">
        <v>2002</v>
      </c>
      <c r="G7531" t="s">
        <v>8356</v>
      </c>
      <c r="H7531" t="s">
        <v>10739</v>
      </c>
      <c r="I7531">
        <v>67</v>
      </c>
      <c r="J7531" t="s">
        <v>18893</v>
      </c>
      <c r="K7531">
        <v>10031</v>
      </c>
      <c r="L7531" t="s">
        <v>18958</v>
      </c>
      <c r="M7531" t="s">
        <v>18958</v>
      </c>
      <c r="N7531" t="s">
        <v>24320</v>
      </c>
      <c r="O7531" t="s">
        <v>26524</v>
      </c>
      <c r="P7531" t="s">
        <v>26560</v>
      </c>
      <c r="R7531" t="s">
        <v>26580</v>
      </c>
      <c r="S7531" t="s">
        <v>18959</v>
      </c>
      <c r="U7531" t="s">
        <v>26604</v>
      </c>
      <c r="W7531" t="s">
        <v>765</v>
      </c>
      <c r="X7531">
        <v>991.4</v>
      </c>
      <c r="Y7531" t="s">
        <v>26651</v>
      </c>
      <c r="Z7531" t="s">
        <v>26664</v>
      </c>
      <c r="AB7531" t="s">
        <v>32305</v>
      </c>
      <c r="AD7531" t="s">
        <v>42697</v>
      </c>
      <c r="AE7531">
        <v>0</v>
      </c>
      <c r="AF7531" t="s">
        <v>45541</v>
      </c>
      <c r="AG7531" t="s">
        <v>19330</v>
      </c>
      <c r="AH7531">
        <v>4</v>
      </c>
      <c r="AI7531">
        <v>1</v>
      </c>
      <c r="AJ7531">
        <v>0</v>
      </c>
      <c r="AK7531">
        <v>258.59</v>
      </c>
      <c r="AN7531" t="s">
        <v>7439</v>
      </c>
      <c r="AO7531">
        <v>32298</v>
      </c>
      <c r="AU7531">
        <v>65.09999999999999</v>
      </c>
      <c r="AV7531" t="s">
        <v>839</v>
      </c>
      <c r="AW7531" t="s">
        <v>314</v>
      </c>
    </row>
    <row r="7532" spans="1:50">
      <c r="A7532" s="1">
        <f>HYPERLINK("https://lsnyc.legalserver.org/matter/dynamic-profile/view/1897816","19-1897816")</f>
        <v>0</v>
      </c>
      <c r="B7532" t="s">
        <v>90</v>
      </c>
      <c r="C7532" t="s">
        <v>340</v>
      </c>
      <c r="D7532" t="s">
        <v>765</v>
      </c>
      <c r="F7532" t="s">
        <v>871</v>
      </c>
      <c r="G7532" t="s">
        <v>3138</v>
      </c>
      <c r="H7532" t="s">
        <v>14717</v>
      </c>
      <c r="I7532" t="s">
        <v>17445</v>
      </c>
      <c r="J7532" t="s">
        <v>18893</v>
      </c>
      <c r="K7532">
        <v>10035</v>
      </c>
      <c r="L7532" t="s">
        <v>18958</v>
      </c>
      <c r="M7532" t="s">
        <v>18958</v>
      </c>
      <c r="O7532" t="s">
        <v>18997</v>
      </c>
      <c r="P7532" t="s">
        <v>26565</v>
      </c>
      <c r="R7532" t="s">
        <v>26578</v>
      </c>
      <c r="S7532" t="s">
        <v>18958</v>
      </c>
      <c r="U7532" t="s">
        <v>26604</v>
      </c>
      <c r="V7532" t="s">
        <v>26610</v>
      </c>
      <c r="W7532" t="s">
        <v>765</v>
      </c>
      <c r="X7532">
        <v>552</v>
      </c>
      <c r="Y7532" t="s">
        <v>26651</v>
      </c>
      <c r="Z7532" t="s">
        <v>26657</v>
      </c>
      <c r="AB7532" t="s">
        <v>32306</v>
      </c>
      <c r="AE7532">
        <v>60</v>
      </c>
      <c r="AF7532" t="s">
        <v>45541</v>
      </c>
      <c r="AG7532" t="s">
        <v>45556</v>
      </c>
      <c r="AH7532">
        <v>14</v>
      </c>
      <c r="AI7532">
        <v>1</v>
      </c>
      <c r="AJ7532">
        <v>0</v>
      </c>
      <c r="AK7532">
        <v>160.13</v>
      </c>
      <c r="AN7532" t="s">
        <v>7439</v>
      </c>
      <c r="AO7532">
        <v>20000</v>
      </c>
      <c r="AU7532">
        <v>0</v>
      </c>
      <c r="AW7532" t="s">
        <v>46835</v>
      </c>
    </row>
    <row r="7533" spans="1:50">
      <c r="A7533" s="1">
        <f>HYPERLINK("https://lsnyc.legalserver.org/matter/dynamic-profile/view/1897828","19-1897828")</f>
        <v>0</v>
      </c>
      <c r="B7533" t="s">
        <v>90</v>
      </c>
      <c r="C7533" t="s">
        <v>340</v>
      </c>
      <c r="D7533" t="s">
        <v>765</v>
      </c>
      <c r="F7533" t="s">
        <v>871</v>
      </c>
      <c r="G7533" t="s">
        <v>8037</v>
      </c>
      <c r="H7533" t="s">
        <v>14717</v>
      </c>
      <c r="I7533" t="s">
        <v>17312</v>
      </c>
      <c r="J7533" t="s">
        <v>18893</v>
      </c>
      <c r="K7533">
        <v>10035</v>
      </c>
      <c r="L7533" t="s">
        <v>18958</v>
      </c>
      <c r="M7533" t="s">
        <v>18958</v>
      </c>
      <c r="O7533" t="s">
        <v>18997</v>
      </c>
      <c r="P7533" t="s">
        <v>26565</v>
      </c>
      <c r="R7533" t="s">
        <v>26578</v>
      </c>
      <c r="S7533" t="s">
        <v>18958</v>
      </c>
      <c r="U7533" t="s">
        <v>26604</v>
      </c>
      <c r="V7533" t="s">
        <v>26610</v>
      </c>
      <c r="W7533" t="s">
        <v>765</v>
      </c>
      <c r="X7533">
        <v>1066.31</v>
      </c>
      <c r="Y7533" t="s">
        <v>26651</v>
      </c>
      <c r="Z7533" t="s">
        <v>26657</v>
      </c>
      <c r="AB7533" t="s">
        <v>32307</v>
      </c>
      <c r="AE7533">
        <v>60</v>
      </c>
      <c r="AF7533" t="s">
        <v>45541</v>
      </c>
      <c r="AG7533" t="s">
        <v>19330</v>
      </c>
      <c r="AH7533">
        <v>15</v>
      </c>
      <c r="AI7533">
        <v>3</v>
      </c>
      <c r="AJ7533">
        <v>0</v>
      </c>
      <c r="AK7533">
        <v>335.68</v>
      </c>
      <c r="AN7533" t="s">
        <v>7439</v>
      </c>
      <c r="AO7533">
        <v>71600</v>
      </c>
      <c r="AU7533">
        <v>0</v>
      </c>
      <c r="AW7533" t="s">
        <v>46835</v>
      </c>
    </row>
    <row r="7534" spans="1:50">
      <c r="A7534" s="1">
        <f>HYPERLINK("https://lsnyc.legalserver.org/matter/dynamic-profile/view/1897898","19-1897898")</f>
        <v>0</v>
      </c>
      <c r="B7534" t="s">
        <v>72</v>
      </c>
      <c r="C7534" t="s">
        <v>340</v>
      </c>
      <c r="D7534" t="s">
        <v>765</v>
      </c>
      <c r="F7534" t="s">
        <v>1371</v>
      </c>
      <c r="G7534" t="s">
        <v>5478</v>
      </c>
      <c r="H7534" t="s">
        <v>14807</v>
      </c>
      <c r="I7534" t="s">
        <v>17366</v>
      </c>
      <c r="J7534" t="s">
        <v>18893</v>
      </c>
      <c r="K7534">
        <v>10033</v>
      </c>
      <c r="L7534" t="s">
        <v>18958</v>
      </c>
      <c r="M7534" t="s">
        <v>18958</v>
      </c>
      <c r="O7534" t="s">
        <v>26534</v>
      </c>
      <c r="P7534" t="s">
        <v>26560</v>
      </c>
      <c r="R7534" t="s">
        <v>26578</v>
      </c>
      <c r="S7534" t="s">
        <v>18959</v>
      </c>
      <c r="U7534" t="s">
        <v>26604</v>
      </c>
      <c r="W7534" t="s">
        <v>765</v>
      </c>
      <c r="X7534">
        <v>2100</v>
      </c>
      <c r="Y7534" t="s">
        <v>26651</v>
      </c>
      <c r="Z7534" t="s">
        <v>26659</v>
      </c>
      <c r="AB7534" t="s">
        <v>32308</v>
      </c>
      <c r="AD7534" t="s">
        <v>42698</v>
      </c>
      <c r="AE7534">
        <v>0</v>
      </c>
      <c r="AF7534" t="s">
        <v>45541</v>
      </c>
      <c r="AG7534" t="s">
        <v>19330</v>
      </c>
      <c r="AH7534">
        <v>37</v>
      </c>
      <c r="AI7534">
        <v>2</v>
      </c>
      <c r="AJ7534">
        <v>1</v>
      </c>
      <c r="AK7534">
        <v>0</v>
      </c>
      <c r="AN7534" t="s">
        <v>7439</v>
      </c>
      <c r="AO7534">
        <v>0</v>
      </c>
      <c r="AU7534">
        <v>0</v>
      </c>
      <c r="AW7534" t="s">
        <v>46840</v>
      </c>
    </row>
    <row r="7535" spans="1:50">
      <c r="A7535" s="1">
        <f>HYPERLINK("https://lsnyc.legalserver.org/matter/dynamic-profile/view/1897858","19-1897858")</f>
        <v>0</v>
      </c>
      <c r="B7535" t="s">
        <v>153</v>
      </c>
      <c r="C7535" t="s">
        <v>340</v>
      </c>
      <c r="D7535" t="s">
        <v>765</v>
      </c>
      <c r="F7535" t="s">
        <v>3979</v>
      </c>
      <c r="G7535" t="s">
        <v>5205</v>
      </c>
      <c r="H7535" t="s">
        <v>14808</v>
      </c>
      <c r="I7535">
        <v>1</v>
      </c>
      <c r="J7535" t="s">
        <v>18902</v>
      </c>
      <c r="K7535">
        <v>10303</v>
      </c>
      <c r="L7535" t="s">
        <v>18958</v>
      </c>
      <c r="M7535" t="s">
        <v>18958</v>
      </c>
      <c r="N7535" t="s">
        <v>24321</v>
      </c>
      <c r="O7535" t="s">
        <v>26524</v>
      </c>
      <c r="P7535" t="s">
        <v>26560</v>
      </c>
      <c r="R7535" t="s">
        <v>26590</v>
      </c>
      <c r="S7535" t="s">
        <v>18959</v>
      </c>
      <c r="U7535" t="s">
        <v>26604</v>
      </c>
      <c r="V7535" t="s">
        <v>26610</v>
      </c>
      <c r="W7535" t="s">
        <v>765</v>
      </c>
      <c r="X7535">
        <v>1284</v>
      </c>
      <c r="Y7535" t="s">
        <v>26654</v>
      </c>
      <c r="Z7535" t="s">
        <v>26668</v>
      </c>
      <c r="AB7535" t="s">
        <v>29177</v>
      </c>
      <c r="AD7535" t="s">
        <v>42699</v>
      </c>
      <c r="AE7535">
        <v>2</v>
      </c>
      <c r="AF7535" t="s">
        <v>45547</v>
      </c>
      <c r="AG7535" t="s">
        <v>45557</v>
      </c>
      <c r="AH7535">
        <v>1</v>
      </c>
      <c r="AI7535">
        <v>1</v>
      </c>
      <c r="AJ7535">
        <v>1</v>
      </c>
      <c r="AK7535">
        <v>111.77</v>
      </c>
      <c r="AN7535" t="s">
        <v>7439</v>
      </c>
      <c r="AO7535">
        <v>18900</v>
      </c>
      <c r="AU7535">
        <v>1.1</v>
      </c>
      <c r="AV7535" t="s">
        <v>805</v>
      </c>
      <c r="AW7535" t="s">
        <v>185</v>
      </c>
    </row>
    <row r="7536" spans="1:50">
      <c r="A7536" s="1">
        <f>HYPERLINK("https://lsnyc.legalserver.org/matter/dynamic-profile/view/1897824","19-1897824")</f>
        <v>0</v>
      </c>
      <c r="B7536" t="s">
        <v>82</v>
      </c>
      <c r="C7536" t="s">
        <v>340</v>
      </c>
      <c r="D7536" t="s">
        <v>765</v>
      </c>
      <c r="F7536" t="s">
        <v>1376</v>
      </c>
      <c r="G7536" t="s">
        <v>5727</v>
      </c>
      <c r="H7536" t="s">
        <v>13547</v>
      </c>
      <c r="I7536" t="s">
        <v>17348</v>
      </c>
      <c r="J7536" t="s">
        <v>18892</v>
      </c>
      <c r="K7536">
        <v>10467</v>
      </c>
      <c r="L7536" t="s">
        <v>18958</v>
      </c>
      <c r="M7536" t="s">
        <v>18958</v>
      </c>
      <c r="N7536" t="s">
        <v>24322</v>
      </c>
      <c r="O7536" t="s">
        <v>26523</v>
      </c>
      <c r="P7536" t="s">
        <v>26560</v>
      </c>
      <c r="R7536" t="s">
        <v>26579</v>
      </c>
      <c r="S7536" t="s">
        <v>18959</v>
      </c>
      <c r="U7536" t="s">
        <v>26604</v>
      </c>
      <c r="W7536" t="s">
        <v>765</v>
      </c>
      <c r="X7536">
        <v>1700</v>
      </c>
      <c r="Y7536" t="s">
        <v>26650</v>
      </c>
      <c r="Z7536" t="s">
        <v>26664</v>
      </c>
      <c r="AB7536" t="s">
        <v>32309</v>
      </c>
      <c r="AC7536" t="s">
        <v>36348</v>
      </c>
      <c r="AD7536" t="s">
        <v>42700</v>
      </c>
      <c r="AE7536">
        <v>0</v>
      </c>
      <c r="AH7536">
        <v>3</v>
      </c>
      <c r="AI7536">
        <v>1</v>
      </c>
      <c r="AJ7536">
        <v>0</v>
      </c>
      <c r="AK7536">
        <v>15.66</v>
      </c>
      <c r="AN7536" t="s">
        <v>7439</v>
      </c>
      <c r="AO7536">
        <v>1956</v>
      </c>
      <c r="AU7536">
        <v>3</v>
      </c>
      <c r="AV7536" t="s">
        <v>825</v>
      </c>
      <c r="AW7536" t="s">
        <v>46870</v>
      </c>
      <c r="AX7536" t="s">
        <v>46898</v>
      </c>
    </row>
    <row r="7537" spans="1:50">
      <c r="A7537" s="1">
        <f>HYPERLINK("https://lsnyc.legalserver.org/matter/dynamic-profile/view/1897817","19-1897817")</f>
        <v>0</v>
      </c>
      <c r="B7537" t="s">
        <v>102</v>
      </c>
      <c r="C7537" t="s">
        <v>340</v>
      </c>
      <c r="D7537" t="s">
        <v>765</v>
      </c>
      <c r="F7537" t="s">
        <v>893</v>
      </c>
      <c r="G7537" t="s">
        <v>8357</v>
      </c>
      <c r="H7537" t="s">
        <v>14809</v>
      </c>
      <c r="I7537" t="s">
        <v>17352</v>
      </c>
      <c r="J7537" t="s">
        <v>18902</v>
      </c>
      <c r="K7537">
        <v>10314</v>
      </c>
      <c r="L7537" t="s">
        <v>18958</v>
      </c>
      <c r="M7537" t="s">
        <v>18958</v>
      </c>
      <c r="N7537" t="s">
        <v>24323</v>
      </c>
      <c r="O7537" t="s">
        <v>26523</v>
      </c>
      <c r="P7537" t="s">
        <v>26564</v>
      </c>
      <c r="R7537" t="s">
        <v>26590</v>
      </c>
      <c r="S7537" t="s">
        <v>18959</v>
      </c>
      <c r="U7537" t="s">
        <v>26604</v>
      </c>
      <c r="V7537" t="s">
        <v>26610</v>
      </c>
      <c r="W7537" t="s">
        <v>765</v>
      </c>
      <c r="X7537">
        <v>1438</v>
      </c>
      <c r="Y7537" t="s">
        <v>26654</v>
      </c>
      <c r="Z7537" t="s">
        <v>26668</v>
      </c>
      <c r="AB7537" t="s">
        <v>32310</v>
      </c>
      <c r="AD7537" t="s">
        <v>42701</v>
      </c>
      <c r="AE7537">
        <v>100</v>
      </c>
      <c r="AF7537" t="s">
        <v>45541</v>
      </c>
      <c r="AG7537" t="s">
        <v>19330</v>
      </c>
      <c r="AH7537">
        <v>10</v>
      </c>
      <c r="AI7537">
        <v>2</v>
      </c>
      <c r="AJ7537">
        <v>0</v>
      </c>
      <c r="AK7537">
        <v>425.78</v>
      </c>
      <c r="AN7537" t="s">
        <v>7439</v>
      </c>
      <c r="AO7537">
        <v>72000</v>
      </c>
      <c r="AU7537">
        <v>0</v>
      </c>
      <c r="AW7537" t="s">
        <v>185</v>
      </c>
    </row>
    <row r="7538" spans="1:50">
      <c r="A7538" s="1">
        <f>HYPERLINK("https://lsnyc.legalserver.org/matter/dynamic-profile/view/1897869","19-1897869")</f>
        <v>0</v>
      </c>
      <c r="B7538" t="s">
        <v>121</v>
      </c>
      <c r="C7538" t="s">
        <v>340</v>
      </c>
      <c r="D7538" t="s">
        <v>765</v>
      </c>
      <c r="F7538" t="s">
        <v>1062</v>
      </c>
      <c r="G7538" t="s">
        <v>5164</v>
      </c>
      <c r="H7538" t="s">
        <v>11945</v>
      </c>
      <c r="I7538" t="s">
        <v>17273</v>
      </c>
      <c r="J7538" t="s">
        <v>18892</v>
      </c>
      <c r="K7538">
        <v>10460</v>
      </c>
      <c r="L7538" t="s">
        <v>18958</v>
      </c>
      <c r="M7538" t="s">
        <v>18958</v>
      </c>
      <c r="N7538" t="s">
        <v>24324</v>
      </c>
      <c r="O7538" t="s">
        <v>26523</v>
      </c>
      <c r="P7538" t="s">
        <v>26560</v>
      </c>
      <c r="R7538" t="s">
        <v>26577</v>
      </c>
      <c r="U7538" t="s">
        <v>26604</v>
      </c>
      <c r="V7538" t="s">
        <v>26612</v>
      </c>
      <c r="W7538" t="s">
        <v>765</v>
      </c>
      <c r="X7538">
        <v>1553</v>
      </c>
      <c r="Y7538" t="s">
        <v>26650</v>
      </c>
      <c r="AB7538" t="s">
        <v>32311</v>
      </c>
      <c r="AC7538" t="s">
        <v>36349</v>
      </c>
      <c r="AD7538" t="s">
        <v>42702</v>
      </c>
      <c r="AE7538">
        <v>0</v>
      </c>
      <c r="AF7538" t="s">
        <v>45543</v>
      </c>
      <c r="AG7538" t="s">
        <v>45556</v>
      </c>
      <c r="AH7538">
        <v>30</v>
      </c>
      <c r="AI7538">
        <v>3</v>
      </c>
      <c r="AJ7538">
        <v>1</v>
      </c>
      <c r="AK7538">
        <v>73.81</v>
      </c>
      <c r="AN7538" t="s">
        <v>7439</v>
      </c>
      <c r="AO7538">
        <v>19006</v>
      </c>
      <c r="AU7538">
        <v>16.5</v>
      </c>
      <c r="AV7538" t="s">
        <v>833</v>
      </c>
      <c r="AW7538" t="s">
        <v>46867</v>
      </c>
      <c r="AX7538" t="s">
        <v>46898</v>
      </c>
    </row>
    <row r="7539" spans="1:50">
      <c r="A7539" s="1">
        <f>HYPERLINK("https://lsnyc.legalserver.org/matter/dynamic-profile/view/1897899","19-1897899")</f>
        <v>0</v>
      </c>
      <c r="B7539" t="s">
        <v>199</v>
      </c>
      <c r="C7539" t="s">
        <v>340</v>
      </c>
      <c r="D7539" t="s">
        <v>765</v>
      </c>
      <c r="F7539" t="s">
        <v>2116</v>
      </c>
      <c r="G7539" t="s">
        <v>6297</v>
      </c>
      <c r="H7539" t="s">
        <v>11395</v>
      </c>
      <c r="I7539">
        <v>26</v>
      </c>
      <c r="J7539" t="s">
        <v>18894</v>
      </c>
      <c r="K7539">
        <v>11238</v>
      </c>
      <c r="L7539" t="s">
        <v>18958</v>
      </c>
      <c r="M7539" t="s">
        <v>18958</v>
      </c>
      <c r="N7539" t="s">
        <v>24325</v>
      </c>
      <c r="O7539" t="s">
        <v>26534</v>
      </c>
      <c r="P7539" t="s">
        <v>26561</v>
      </c>
      <c r="R7539" t="s">
        <v>26578</v>
      </c>
      <c r="S7539" t="s">
        <v>18959</v>
      </c>
      <c r="U7539" t="s">
        <v>26604</v>
      </c>
      <c r="V7539" t="s">
        <v>26610</v>
      </c>
      <c r="W7539" t="s">
        <v>765</v>
      </c>
      <c r="X7539">
        <v>1247.4</v>
      </c>
      <c r="Y7539" t="s">
        <v>26652</v>
      </c>
      <c r="Z7539" t="s">
        <v>26659</v>
      </c>
      <c r="AB7539" t="s">
        <v>28388</v>
      </c>
      <c r="AC7539" t="s">
        <v>35141</v>
      </c>
      <c r="AD7539" t="s">
        <v>38647</v>
      </c>
      <c r="AE7539">
        <v>41</v>
      </c>
      <c r="AF7539" t="s">
        <v>45541</v>
      </c>
      <c r="AH7539">
        <v>17</v>
      </c>
      <c r="AI7539">
        <v>2</v>
      </c>
      <c r="AJ7539">
        <v>0</v>
      </c>
      <c r="AK7539">
        <v>157.79</v>
      </c>
      <c r="AN7539" t="s">
        <v>7439</v>
      </c>
      <c r="AO7539">
        <v>26682</v>
      </c>
      <c r="AU7539">
        <v>1.5</v>
      </c>
      <c r="AV7539" t="s">
        <v>809</v>
      </c>
      <c r="AW7539" t="s">
        <v>199</v>
      </c>
      <c r="AX7539" t="s">
        <v>46898</v>
      </c>
    </row>
    <row r="7540" spans="1:50">
      <c r="A7540" s="1">
        <f>HYPERLINK("https://lsnyc.legalserver.org/matter/dynamic-profile/view/1897844","19-1897844")</f>
        <v>0</v>
      </c>
      <c r="B7540" t="s">
        <v>103</v>
      </c>
      <c r="C7540" t="s">
        <v>340</v>
      </c>
      <c r="D7540" t="s">
        <v>765</v>
      </c>
      <c r="F7540" t="s">
        <v>1116</v>
      </c>
      <c r="G7540" t="s">
        <v>6311</v>
      </c>
      <c r="H7540" t="s">
        <v>11697</v>
      </c>
      <c r="I7540" t="s">
        <v>18480</v>
      </c>
      <c r="J7540" t="s">
        <v>18902</v>
      </c>
      <c r="K7540">
        <v>10303</v>
      </c>
      <c r="L7540" t="s">
        <v>18958</v>
      </c>
      <c r="M7540" t="s">
        <v>18958</v>
      </c>
      <c r="N7540" t="s">
        <v>24326</v>
      </c>
      <c r="O7540" t="s">
        <v>26523</v>
      </c>
      <c r="P7540" t="s">
        <v>26560</v>
      </c>
      <c r="R7540" t="s">
        <v>26590</v>
      </c>
      <c r="S7540" t="s">
        <v>18959</v>
      </c>
      <c r="U7540" t="s">
        <v>26606</v>
      </c>
      <c r="V7540" t="s">
        <v>26611</v>
      </c>
      <c r="W7540" t="s">
        <v>765</v>
      </c>
      <c r="X7540">
        <v>242</v>
      </c>
      <c r="Y7540" t="s">
        <v>26654</v>
      </c>
      <c r="Z7540" t="s">
        <v>26668</v>
      </c>
      <c r="AB7540" t="s">
        <v>32312</v>
      </c>
      <c r="AD7540" t="s">
        <v>42703</v>
      </c>
      <c r="AE7540">
        <v>130</v>
      </c>
      <c r="AF7540" t="s">
        <v>45543</v>
      </c>
      <c r="AG7540" t="s">
        <v>45556</v>
      </c>
      <c r="AH7540">
        <v>19</v>
      </c>
      <c r="AI7540">
        <v>1</v>
      </c>
      <c r="AJ7540">
        <v>0</v>
      </c>
      <c r="AK7540">
        <v>78.98</v>
      </c>
      <c r="AN7540" t="s">
        <v>7439</v>
      </c>
      <c r="AO7540">
        <v>9864</v>
      </c>
      <c r="AU7540">
        <v>12.5</v>
      </c>
      <c r="AV7540" t="s">
        <v>836</v>
      </c>
      <c r="AW7540" t="s">
        <v>185</v>
      </c>
    </row>
    <row r="7541" spans="1:50">
      <c r="A7541" s="1">
        <f>HYPERLINK("https://lsnyc.legalserver.org/matter/dynamic-profile/view/1897838","19-1897838")</f>
        <v>0</v>
      </c>
      <c r="B7541" t="s">
        <v>194</v>
      </c>
      <c r="C7541" t="s">
        <v>340</v>
      </c>
      <c r="D7541" t="s">
        <v>765</v>
      </c>
      <c r="F7541" t="s">
        <v>1063</v>
      </c>
      <c r="G7541" t="s">
        <v>1339</v>
      </c>
      <c r="H7541" t="s">
        <v>12534</v>
      </c>
      <c r="I7541" t="s">
        <v>17274</v>
      </c>
      <c r="J7541" t="s">
        <v>18893</v>
      </c>
      <c r="K7541">
        <v>10027</v>
      </c>
      <c r="L7541" t="s">
        <v>18958</v>
      </c>
      <c r="M7541" t="s">
        <v>18958</v>
      </c>
      <c r="N7541" t="s">
        <v>24327</v>
      </c>
      <c r="O7541" t="s">
        <v>26523</v>
      </c>
      <c r="P7541" t="s">
        <v>26560</v>
      </c>
      <c r="R7541" t="s">
        <v>26580</v>
      </c>
      <c r="S7541" t="s">
        <v>18959</v>
      </c>
      <c r="U7541" t="s">
        <v>26604</v>
      </c>
      <c r="V7541" t="s">
        <v>26610</v>
      </c>
      <c r="W7541" t="s">
        <v>765</v>
      </c>
      <c r="X7541">
        <v>453.75</v>
      </c>
      <c r="Y7541" t="s">
        <v>26651</v>
      </c>
      <c r="Z7541" t="s">
        <v>26668</v>
      </c>
      <c r="AB7541" t="s">
        <v>27400</v>
      </c>
      <c r="AD7541" t="s">
        <v>42704</v>
      </c>
      <c r="AE7541">
        <v>0</v>
      </c>
      <c r="AF7541" t="s">
        <v>45541</v>
      </c>
      <c r="AG7541" t="s">
        <v>45559</v>
      </c>
      <c r="AH7541">
        <v>25</v>
      </c>
      <c r="AI7541">
        <v>1</v>
      </c>
      <c r="AJ7541">
        <v>0</v>
      </c>
      <c r="AK7541">
        <v>100.98</v>
      </c>
      <c r="AN7541" t="s">
        <v>7439</v>
      </c>
      <c r="AO7541">
        <v>12612</v>
      </c>
      <c r="AU7541">
        <v>3.6</v>
      </c>
      <c r="AV7541" t="s">
        <v>839</v>
      </c>
      <c r="AW7541" t="s">
        <v>314</v>
      </c>
    </row>
    <row r="7542" spans="1:50">
      <c r="A7542" s="1">
        <f>HYPERLINK("https://lsnyc.legalserver.org/matter/dynamic-profile/view/1897884","19-1897884")</f>
        <v>0</v>
      </c>
      <c r="B7542" t="s">
        <v>194</v>
      </c>
      <c r="C7542" t="s">
        <v>340</v>
      </c>
      <c r="D7542" t="s">
        <v>765</v>
      </c>
      <c r="F7542" t="s">
        <v>3980</v>
      </c>
      <c r="G7542" t="s">
        <v>8358</v>
      </c>
      <c r="H7542" t="s">
        <v>12931</v>
      </c>
      <c r="I7542">
        <v>1</v>
      </c>
      <c r="J7542" t="s">
        <v>18893</v>
      </c>
      <c r="K7542">
        <v>10031</v>
      </c>
      <c r="L7542" t="s">
        <v>18958</v>
      </c>
      <c r="M7542" t="s">
        <v>18958</v>
      </c>
      <c r="N7542" t="s">
        <v>24328</v>
      </c>
      <c r="O7542" t="s">
        <v>26523</v>
      </c>
      <c r="P7542" t="s">
        <v>26560</v>
      </c>
      <c r="R7542" t="s">
        <v>26580</v>
      </c>
      <c r="S7542" t="s">
        <v>18959</v>
      </c>
      <c r="U7542" t="s">
        <v>26604</v>
      </c>
      <c r="W7542" t="s">
        <v>765</v>
      </c>
      <c r="X7542">
        <v>2575</v>
      </c>
      <c r="Y7542" t="s">
        <v>26651</v>
      </c>
      <c r="Z7542" t="s">
        <v>26664</v>
      </c>
      <c r="AB7542" t="s">
        <v>32313</v>
      </c>
      <c r="AD7542" t="s">
        <v>42705</v>
      </c>
      <c r="AE7542">
        <v>0</v>
      </c>
      <c r="AF7542" t="s">
        <v>20460</v>
      </c>
      <c r="AG7542" t="s">
        <v>19330</v>
      </c>
      <c r="AH7542">
        <v>2</v>
      </c>
      <c r="AI7542">
        <v>3</v>
      </c>
      <c r="AJ7542">
        <v>1</v>
      </c>
      <c r="AK7542">
        <v>104.85</v>
      </c>
      <c r="AN7542" t="s">
        <v>8151</v>
      </c>
      <c r="AO7542">
        <v>27000</v>
      </c>
      <c r="AU7542">
        <v>7.5</v>
      </c>
      <c r="AV7542" t="s">
        <v>818</v>
      </c>
      <c r="AW7542" t="s">
        <v>46875</v>
      </c>
    </row>
    <row r="7543" spans="1:50">
      <c r="A7543" s="1">
        <f>HYPERLINK("https://lsnyc.legalserver.org/matter/dynamic-profile/view/1897910","19-1897910")</f>
        <v>0</v>
      </c>
      <c r="B7543" t="s">
        <v>194</v>
      </c>
      <c r="C7543" t="s">
        <v>340</v>
      </c>
      <c r="D7543" t="s">
        <v>765</v>
      </c>
      <c r="F7543" t="s">
        <v>1244</v>
      </c>
      <c r="G7543" t="s">
        <v>5147</v>
      </c>
      <c r="H7543" t="s">
        <v>14810</v>
      </c>
      <c r="I7543" t="s">
        <v>17277</v>
      </c>
      <c r="J7543" t="s">
        <v>18893</v>
      </c>
      <c r="K7543">
        <v>10031</v>
      </c>
      <c r="L7543" t="s">
        <v>18958</v>
      </c>
      <c r="M7543" t="s">
        <v>18958</v>
      </c>
      <c r="N7543" t="s">
        <v>24329</v>
      </c>
      <c r="O7543" t="s">
        <v>26523</v>
      </c>
      <c r="P7543" t="s">
        <v>26560</v>
      </c>
      <c r="R7543" t="s">
        <v>26580</v>
      </c>
      <c r="S7543" t="s">
        <v>18959</v>
      </c>
      <c r="U7543" t="s">
        <v>26604</v>
      </c>
      <c r="W7543" t="s">
        <v>765</v>
      </c>
      <c r="X7543">
        <v>843.28</v>
      </c>
      <c r="Y7543" t="s">
        <v>26651</v>
      </c>
      <c r="Z7543" t="s">
        <v>26664</v>
      </c>
      <c r="AB7543" t="s">
        <v>32045</v>
      </c>
      <c r="AC7543" t="s">
        <v>36350</v>
      </c>
      <c r="AD7543" t="s">
        <v>42706</v>
      </c>
      <c r="AE7543">
        <v>0</v>
      </c>
      <c r="AF7543" t="s">
        <v>45541</v>
      </c>
      <c r="AG7543" t="s">
        <v>45559</v>
      </c>
      <c r="AH7543">
        <v>35</v>
      </c>
      <c r="AI7543">
        <v>1</v>
      </c>
      <c r="AJ7543">
        <v>0</v>
      </c>
      <c r="AK7543">
        <v>113.27</v>
      </c>
      <c r="AN7543" t="s">
        <v>45581</v>
      </c>
      <c r="AO7543">
        <v>14148</v>
      </c>
      <c r="AU7543">
        <v>0</v>
      </c>
      <c r="AW7543" t="s">
        <v>46875</v>
      </c>
    </row>
    <row r="7544" spans="1:50">
      <c r="A7544" s="1">
        <f>HYPERLINK("https://lsnyc.legalserver.org/matter/dynamic-profile/view/1897832","19-1897832")</f>
        <v>0</v>
      </c>
      <c r="B7544" t="s">
        <v>194</v>
      </c>
      <c r="C7544" t="s">
        <v>340</v>
      </c>
      <c r="D7544" t="s">
        <v>765</v>
      </c>
      <c r="F7544" t="s">
        <v>3981</v>
      </c>
      <c r="G7544" t="s">
        <v>5224</v>
      </c>
      <c r="H7544" t="s">
        <v>14811</v>
      </c>
      <c r="I7544">
        <v>406</v>
      </c>
      <c r="J7544" t="s">
        <v>18893</v>
      </c>
      <c r="K7544">
        <v>10025</v>
      </c>
      <c r="L7544" t="s">
        <v>18958</v>
      </c>
      <c r="M7544" t="s">
        <v>18958</v>
      </c>
      <c r="N7544" t="s">
        <v>24330</v>
      </c>
      <c r="O7544" t="s">
        <v>26523</v>
      </c>
      <c r="P7544" t="s">
        <v>26560</v>
      </c>
      <c r="R7544" t="s">
        <v>26580</v>
      </c>
      <c r="S7544" t="s">
        <v>18959</v>
      </c>
      <c r="U7544" t="s">
        <v>26604</v>
      </c>
      <c r="W7544" t="s">
        <v>765</v>
      </c>
      <c r="X7544">
        <v>800</v>
      </c>
      <c r="Y7544" t="s">
        <v>26651</v>
      </c>
      <c r="Z7544" t="s">
        <v>26668</v>
      </c>
      <c r="AB7544" t="s">
        <v>29360</v>
      </c>
      <c r="AD7544" t="s">
        <v>42707</v>
      </c>
      <c r="AE7544">
        <v>0</v>
      </c>
      <c r="AF7544" t="s">
        <v>20460</v>
      </c>
      <c r="AG7544" t="s">
        <v>45562</v>
      </c>
      <c r="AH7544">
        <v>2</v>
      </c>
      <c r="AI7544">
        <v>1</v>
      </c>
      <c r="AJ7544">
        <v>0</v>
      </c>
      <c r="AK7544">
        <v>166.53</v>
      </c>
      <c r="AN7544" t="s">
        <v>7439</v>
      </c>
      <c r="AO7544">
        <v>20800</v>
      </c>
      <c r="AU7544">
        <v>4.25</v>
      </c>
      <c r="AV7544" t="s">
        <v>835</v>
      </c>
      <c r="AW7544" t="s">
        <v>46875</v>
      </c>
    </row>
    <row r="7545" spans="1:50">
      <c r="A7545" s="1">
        <f>HYPERLINK("https://lsnyc.legalserver.org/matter/dynamic-profile/view/1897919","19-1897919")</f>
        <v>0</v>
      </c>
      <c r="B7545" t="s">
        <v>59</v>
      </c>
      <c r="C7545" t="s">
        <v>340</v>
      </c>
      <c r="D7545" t="s">
        <v>765</v>
      </c>
      <c r="F7545" t="s">
        <v>3982</v>
      </c>
      <c r="G7545" t="s">
        <v>7483</v>
      </c>
      <c r="H7545" t="s">
        <v>12422</v>
      </c>
      <c r="I7545" t="s">
        <v>17355</v>
      </c>
      <c r="J7545" t="s">
        <v>18893</v>
      </c>
      <c r="K7545">
        <v>10026</v>
      </c>
      <c r="L7545" t="s">
        <v>18958</v>
      </c>
      <c r="M7545" t="s">
        <v>18958</v>
      </c>
      <c r="N7545" t="s">
        <v>24331</v>
      </c>
      <c r="O7545" t="s">
        <v>26523</v>
      </c>
      <c r="P7545" t="s">
        <v>26560</v>
      </c>
      <c r="R7545" t="s">
        <v>26580</v>
      </c>
      <c r="S7545" t="s">
        <v>18959</v>
      </c>
      <c r="U7545" t="s">
        <v>26604</v>
      </c>
      <c r="W7545" t="s">
        <v>765</v>
      </c>
      <c r="X7545">
        <v>1279</v>
      </c>
      <c r="Y7545" t="s">
        <v>26651</v>
      </c>
      <c r="Z7545" t="s">
        <v>26668</v>
      </c>
      <c r="AB7545" t="s">
        <v>32314</v>
      </c>
      <c r="AD7545" t="s">
        <v>42708</v>
      </c>
      <c r="AE7545">
        <v>0</v>
      </c>
      <c r="AF7545" t="s">
        <v>45541</v>
      </c>
      <c r="AG7545" t="s">
        <v>45556</v>
      </c>
      <c r="AH7545">
        <v>8</v>
      </c>
      <c r="AI7545">
        <v>2</v>
      </c>
      <c r="AJ7545">
        <v>2</v>
      </c>
      <c r="AK7545">
        <v>166.99</v>
      </c>
      <c r="AN7545" t="s">
        <v>7439</v>
      </c>
      <c r="AO7545">
        <v>43000</v>
      </c>
      <c r="AU7545">
        <v>7</v>
      </c>
      <c r="AV7545" t="s">
        <v>843</v>
      </c>
      <c r="AW7545" t="s">
        <v>46875</v>
      </c>
    </row>
    <row r="7546" spans="1:50">
      <c r="A7546" s="1">
        <f>HYPERLINK("https://lsnyc.legalserver.org/matter/dynamic-profile/view/1897850","19-1897850")</f>
        <v>0</v>
      </c>
      <c r="B7546" t="s">
        <v>235</v>
      </c>
      <c r="C7546" t="s">
        <v>340</v>
      </c>
      <c r="D7546" t="s">
        <v>765</v>
      </c>
      <c r="F7546" t="s">
        <v>3983</v>
      </c>
      <c r="G7546" t="s">
        <v>8359</v>
      </c>
      <c r="H7546" t="s">
        <v>14812</v>
      </c>
      <c r="I7546">
        <v>85</v>
      </c>
      <c r="J7546" t="s">
        <v>7026</v>
      </c>
      <c r="K7546">
        <v>11368</v>
      </c>
      <c r="L7546" t="s">
        <v>18958</v>
      </c>
      <c r="M7546" t="s">
        <v>18958</v>
      </c>
      <c r="N7546" t="s">
        <v>24332</v>
      </c>
      <c r="O7546" t="s">
        <v>26523</v>
      </c>
      <c r="P7546" t="s">
        <v>26564</v>
      </c>
      <c r="R7546" t="s">
        <v>26584</v>
      </c>
      <c r="S7546" t="s">
        <v>18959</v>
      </c>
      <c r="U7546" t="s">
        <v>26604</v>
      </c>
      <c r="V7546" t="s">
        <v>26610</v>
      </c>
      <c r="W7546" t="s">
        <v>765</v>
      </c>
      <c r="X7546">
        <v>1825</v>
      </c>
      <c r="Y7546" t="s">
        <v>26653</v>
      </c>
      <c r="Z7546" t="s">
        <v>26664</v>
      </c>
      <c r="AB7546" t="s">
        <v>28108</v>
      </c>
      <c r="AD7546" t="s">
        <v>42709</v>
      </c>
      <c r="AE7546">
        <v>236</v>
      </c>
      <c r="AF7546" t="s">
        <v>45541</v>
      </c>
      <c r="AH7546">
        <v>4</v>
      </c>
      <c r="AI7546">
        <v>2</v>
      </c>
      <c r="AJ7546">
        <v>2</v>
      </c>
      <c r="AK7546">
        <v>69.90000000000001</v>
      </c>
      <c r="AN7546" t="s">
        <v>45592</v>
      </c>
      <c r="AO7546">
        <v>18000</v>
      </c>
      <c r="AU7546">
        <v>3.1</v>
      </c>
      <c r="AV7546" t="s">
        <v>806</v>
      </c>
      <c r="AW7546" t="s">
        <v>235</v>
      </c>
    </row>
    <row r="7547" spans="1:50">
      <c r="A7547" s="1">
        <f>HYPERLINK("https://lsnyc.legalserver.org/matter/dynamic-profile/view/1897874","19-1897874")</f>
        <v>0</v>
      </c>
      <c r="B7547" t="s">
        <v>235</v>
      </c>
      <c r="C7547" t="s">
        <v>340</v>
      </c>
      <c r="D7547" t="s">
        <v>765</v>
      </c>
      <c r="F7547" t="s">
        <v>3984</v>
      </c>
      <c r="G7547" t="s">
        <v>5748</v>
      </c>
      <c r="H7547" t="s">
        <v>14813</v>
      </c>
      <c r="I7547" t="s">
        <v>17976</v>
      </c>
      <c r="J7547" t="s">
        <v>18915</v>
      </c>
      <c r="K7547">
        <v>11372</v>
      </c>
      <c r="L7547" t="s">
        <v>18958</v>
      </c>
      <c r="M7547" t="s">
        <v>18958</v>
      </c>
      <c r="N7547" t="s">
        <v>24333</v>
      </c>
      <c r="O7547" t="s">
        <v>26523</v>
      </c>
      <c r="P7547" t="s">
        <v>26564</v>
      </c>
      <c r="R7547" t="s">
        <v>26584</v>
      </c>
      <c r="S7547" t="s">
        <v>18959</v>
      </c>
      <c r="U7547" t="s">
        <v>26604</v>
      </c>
      <c r="V7547" t="s">
        <v>26610</v>
      </c>
      <c r="W7547" t="s">
        <v>765</v>
      </c>
      <c r="X7547">
        <v>1296</v>
      </c>
      <c r="Y7547" t="s">
        <v>26653</v>
      </c>
      <c r="Z7547" t="s">
        <v>26664</v>
      </c>
      <c r="AB7547" t="s">
        <v>32315</v>
      </c>
      <c r="AD7547" t="s">
        <v>42710</v>
      </c>
      <c r="AE7547">
        <v>39</v>
      </c>
      <c r="AF7547" t="s">
        <v>45541</v>
      </c>
      <c r="AG7547" t="s">
        <v>45559</v>
      </c>
      <c r="AH7547">
        <v>15</v>
      </c>
      <c r="AI7547">
        <v>1</v>
      </c>
      <c r="AJ7547">
        <v>0</v>
      </c>
      <c r="AK7547">
        <v>82.72</v>
      </c>
      <c r="AN7547" t="s">
        <v>45581</v>
      </c>
      <c r="AO7547">
        <v>10332</v>
      </c>
      <c r="AU7547">
        <v>4.2</v>
      </c>
      <c r="AV7547" t="s">
        <v>765</v>
      </c>
      <c r="AW7547" t="s">
        <v>235</v>
      </c>
    </row>
    <row r="7548" spans="1:50">
      <c r="A7548" s="1">
        <f>HYPERLINK("https://lsnyc.legalserver.org/matter/dynamic-profile/view/1897857","19-1897857")</f>
        <v>0</v>
      </c>
      <c r="B7548" t="s">
        <v>62</v>
      </c>
      <c r="C7548" t="s">
        <v>340</v>
      </c>
      <c r="D7548" t="s">
        <v>765</v>
      </c>
      <c r="F7548" t="s">
        <v>2196</v>
      </c>
      <c r="G7548" t="s">
        <v>5165</v>
      </c>
      <c r="H7548" t="s">
        <v>14814</v>
      </c>
      <c r="I7548">
        <v>21</v>
      </c>
      <c r="J7548" t="s">
        <v>18893</v>
      </c>
      <c r="K7548">
        <v>10024</v>
      </c>
      <c r="L7548" t="s">
        <v>18958</v>
      </c>
      <c r="M7548" t="s">
        <v>18958</v>
      </c>
      <c r="N7548" t="s">
        <v>24334</v>
      </c>
      <c r="O7548" t="s">
        <v>26523</v>
      </c>
      <c r="P7548" t="s">
        <v>26564</v>
      </c>
      <c r="R7548" t="s">
        <v>26582</v>
      </c>
      <c r="S7548" t="s">
        <v>18959</v>
      </c>
      <c r="U7548" t="s">
        <v>26604</v>
      </c>
      <c r="V7548" t="s">
        <v>26610</v>
      </c>
      <c r="W7548" t="s">
        <v>765</v>
      </c>
      <c r="X7548">
        <v>248</v>
      </c>
      <c r="Y7548" t="s">
        <v>26651</v>
      </c>
      <c r="Z7548" t="s">
        <v>26664</v>
      </c>
      <c r="AB7548" t="s">
        <v>32316</v>
      </c>
      <c r="AC7548" t="s">
        <v>36351</v>
      </c>
      <c r="AD7548" t="s">
        <v>42711</v>
      </c>
      <c r="AE7548">
        <v>0</v>
      </c>
      <c r="AF7548" t="s">
        <v>45543</v>
      </c>
      <c r="AG7548" t="s">
        <v>45556</v>
      </c>
      <c r="AH7548">
        <v>5</v>
      </c>
      <c r="AI7548">
        <v>1</v>
      </c>
      <c r="AJ7548">
        <v>0</v>
      </c>
      <c r="AK7548">
        <v>82.63</v>
      </c>
      <c r="AN7548" t="s">
        <v>7439</v>
      </c>
      <c r="AO7548">
        <v>10320</v>
      </c>
      <c r="AU7548">
        <v>1</v>
      </c>
      <c r="AV7548" t="s">
        <v>765</v>
      </c>
      <c r="AW7548" t="s">
        <v>314</v>
      </c>
    </row>
    <row r="7549" spans="1:50">
      <c r="A7549" s="1">
        <f>HYPERLINK("https://lsnyc.legalserver.org/matter/dynamic-profile/view/1897927","19-1897927")</f>
        <v>0</v>
      </c>
      <c r="B7549" t="s">
        <v>62</v>
      </c>
      <c r="C7549" t="s">
        <v>340</v>
      </c>
      <c r="D7549" t="s">
        <v>765</v>
      </c>
      <c r="F7549" t="s">
        <v>3985</v>
      </c>
      <c r="G7549" t="s">
        <v>8360</v>
      </c>
      <c r="H7549" t="s">
        <v>14815</v>
      </c>
      <c r="I7549">
        <v>7</v>
      </c>
      <c r="J7549" t="s">
        <v>18893</v>
      </c>
      <c r="K7549">
        <v>10027</v>
      </c>
      <c r="L7549" t="s">
        <v>18958</v>
      </c>
      <c r="M7549" t="s">
        <v>18958</v>
      </c>
      <c r="N7549" t="s">
        <v>24335</v>
      </c>
      <c r="O7549" t="s">
        <v>26524</v>
      </c>
      <c r="P7549" t="s">
        <v>26560</v>
      </c>
      <c r="R7549" t="s">
        <v>26580</v>
      </c>
      <c r="S7549" t="s">
        <v>18959</v>
      </c>
      <c r="U7549" t="s">
        <v>26604</v>
      </c>
      <c r="W7549" t="s">
        <v>765</v>
      </c>
      <c r="X7549">
        <v>520</v>
      </c>
      <c r="Y7549" t="s">
        <v>26651</v>
      </c>
      <c r="Z7549" t="s">
        <v>26664</v>
      </c>
      <c r="AB7549" t="s">
        <v>32317</v>
      </c>
      <c r="AD7549" t="s">
        <v>42712</v>
      </c>
      <c r="AE7549">
        <v>0</v>
      </c>
      <c r="AF7549" t="s">
        <v>20460</v>
      </c>
      <c r="AG7549" t="s">
        <v>26530</v>
      </c>
      <c r="AH7549">
        <v>4</v>
      </c>
      <c r="AI7549">
        <v>1</v>
      </c>
      <c r="AJ7549">
        <v>0</v>
      </c>
      <c r="AK7549">
        <v>5.76</v>
      </c>
      <c r="AN7549" t="s">
        <v>7439</v>
      </c>
      <c r="AO7549">
        <v>720</v>
      </c>
      <c r="AU7549">
        <v>4</v>
      </c>
      <c r="AV7549" t="s">
        <v>832</v>
      </c>
      <c r="AW7549" t="s">
        <v>46875</v>
      </c>
    </row>
    <row r="7550" spans="1:50">
      <c r="A7550" s="1">
        <f>HYPERLINK("https://lsnyc.legalserver.org/matter/dynamic-profile/view/1897920","19-1897920")</f>
        <v>0</v>
      </c>
      <c r="B7550" t="s">
        <v>62</v>
      </c>
      <c r="C7550" t="s">
        <v>340</v>
      </c>
      <c r="D7550" t="s">
        <v>765</v>
      </c>
      <c r="F7550" t="s">
        <v>875</v>
      </c>
      <c r="G7550" t="s">
        <v>8361</v>
      </c>
      <c r="H7550" t="s">
        <v>14816</v>
      </c>
      <c r="I7550">
        <v>30</v>
      </c>
      <c r="J7550" t="s">
        <v>18893</v>
      </c>
      <c r="K7550">
        <v>10031</v>
      </c>
      <c r="L7550" t="s">
        <v>18958</v>
      </c>
      <c r="M7550" t="s">
        <v>18958</v>
      </c>
      <c r="N7550" t="s">
        <v>24336</v>
      </c>
      <c r="O7550" t="s">
        <v>26523</v>
      </c>
      <c r="P7550" t="s">
        <v>26560</v>
      </c>
      <c r="R7550" t="s">
        <v>26580</v>
      </c>
      <c r="S7550" t="s">
        <v>18959</v>
      </c>
      <c r="U7550" t="s">
        <v>26604</v>
      </c>
      <c r="W7550" t="s">
        <v>765</v>
      </c>
      <c r="X7550">
        <v>1020</v>
      </c>
      <c r="Y7550" t="s">
        <v>26651</v>
      </c>
      <c r="Z7550" t="s">
        <v>26664</v>
      </c>
      <c r="AB7550" t="s">
        <v>32318</v>
      </c>
      <c r="AD7550" t="s">
        <v>42713</v>
      </c>
      <c r="AE7550">
        <v>0</v>
      </c>
      <c r="AF7550" t="s">
        <v>20460</v>
      </c>
      <c r="AG7550" t="s">
        <v>19330</v>
      </c>
      <c r="AH7550">
        <v>30</v>
      </c>
      <c r="AI7550">
        <v>1</v>
      </c>
      <c r="AJ7550">
        <v>0</v>
      </c>
      <c r="AK7550">
        <v>132.78</v>
      </c>
      <c r="AN7550" t="s">
        <v>45581</v>
      </c>
      <c r="AO7550">
        <v>16584</v>
      </c>
      <c r="AU7550">
        <v>2.5</v>
      </c>
      <c r="AV7550" t="s">
        <v>770</v>
      </c>
      <c r="AW7550" t="s">
        <v>314</v>
      </c>
    </row>
    <row r="7551" spans="1:50">
      <c r="A7551" s="1">
        <f>HYPERLINK("https://lsnyc.legalserver.org/matter/dynamic-profile/view/1898045","19-1898045")</f>
        <v>0</v>
      </c>
      <c r="B7551" t="s">
        <v>56</v>
      </c>
      <c r="C7551" t="s">
        <v>340</v>
      </c>
      <c r="D7551" t="s">
        <v>766</v>
      </c>
      <c r="F7551" t="s">
        <v>1687</v>
      </c>
      <c r="G7551" t="s">
        <v>5657</v>
      </c>
      <c r="H7551" t="s">
        <v>14817</v>
      </c>
      <c r="I7551" t="s">
        <v>17579</v>
      </c>
      <c r="J7551" t="s">
        <v>18892</v>
      </c>
      <c r="K7551">
        <v>10460</v>
      </c>
      <c r="L7551" t="s">
        <v>18958</v>
      </c>
      <c r="M7551" t="s">
        <v>18958</v>
      </c>
      <c r="N7551" t="s">
        <v>24337</v>
      </c>
      <c r="O7551" t="s">
        <v>26523</v>
      </c>
      <c r="P7551" t="s">
        <v>26560</v>
      </c>
      <c r="R7551" t="s">
        <v>26577</v>
      </c>
      <c r="U7551" t="s">
        <v>26604</v>
      </c>
      <c r="V7551" t="s">
        <v>26610</v>
      </c>
      <c r="W7551" t="s">
        <v>765</v>
      </c>
      <c r="X7551">
        <v>1300</v>
      </c>
      <c r="Y7551" t="s">
        <v>26650</v>
      </c>
      <c r="Z7551" t="s">
        <v>26668</v>
      </c>
      <c r="AB7551" t="s">
        <v>30282</v>
      </c>
      <c r="AC7551" t="s">
        <v>36352</v>
      </c>
      <c r="AD7551" t="s">
        <v>42714</v>
      </c>
      <c r="AE7551">
        <v>0</v>
      </c>
      <c r="AF7551" t="s">
        <v>20460</v>
      </c>
      <c r="AG7551" t="s">
        <v>19330</v>
      </c>
      <c r="AH7551">
        <v>10</v>
      </c>
      <c r="AI7551">
        <v>2</v>
      </c>
      <c r="AJ7551">
        <v>4</v>
      </c>
      <c r="AK7551">
        <v>134.46</v>
      </c>
      <c r="AN7551" t="s">
        <v>7439</v>
      </c>
      <c r="AO7551">
        <v>46509</v>
      </c>
      <c r="AU7551">
        <v>2.5</v>
      </c>
      <c r="AV7551" t="s">
        <v>768</v>
      </c>
      <c r="AW7551" t="s">
        <v>334</v>
      </c>
      <c r="AX7551" t="s">
        <v>46897</v>
      </c>
    </row>
    <row r="7552" spans="1:50">
      <c r="A7552" s="1">
        <f>HYPERLINK("https://lsnyc.legalserver.org/matter/dynamic-profile/view/1898091","19-1898091")</f>
        <v>0</v>
      </c>
      <c r="B7552" t="s">
        <v>147</v>
      </c>
      <c r="C7552" t="s">
        <v>340</v>
      </c>
      <c r="D7552" t="s">
        <v>801</v>
      </c>
      <c r="F7552" t="s">
        <v>1226</v>
      </c>
      <c r="G7552" t="s">
        <v>5435</v>
      </c>
      <c r="H7552" t="s">
        <v>14818</v>
      </c>
      <c r="I7552" t="s">
        <v>17291</v>
      </c>
      <c r="J7552" t="s">
        <v>18894</v>
      </c>
      <c r="K7552">
        <v>11237</v>
      </c>
      <c r="L7552" t="s">
        <v>18958</v>
      </c>
      <c r="M7552" t="s">
        <v>18958</v>
      </c>
      <c r="O7552" t="s">
        <v>26524</v>
      </c>
      <c r="P7552" t="s">
        <v>26564</v>
      </c>
      <c r="R7552" t="s">
        <v>26578</v>
      </c>
      <c r="S7552" t="s">
        <v>18959</v>
      </c>
      <c r="U7552" t="s">
        <v>26604</v>
      </c>
      <c r="W7552" t="s">
        <v>765</v>
      </c>
      <c r="X7552">
        <v>0</v>
      </c>
      <c r="Y7552" t="s">
        <v>26652</v>
      </c>
      <c r="AB7552" t="s">
        <v>32319</v>
      </c>
      <c r="AE7552">
        <v>0</v>
      </c>
      <c r="AH7552">
        <v>8</v>
      </c>
      <c r="AI7552">
        <v>1</v>
      </c>
      <c r="AJ7552">
        <v>0</v>
      </c>
      <c r="AK7552">
        <v>210.01</v>
      </c>
      <c r="AN7552" t="s">
        <v>45581</v>
      </c>
      <c r="AO7552">
        <v>26230</v>
      </c>
      <c r="AU7552">
        <v>1</v>
      </c>
      <c r="AV7552" t="s">
        <v>809</v>
      </c>
      <c r="AW7552" t="s">
        <v>219</v>
      </c>
    </row>
    <row r="7553" spans="1:50">
      <c r="A7553" s="1">
        <f>HYPERLINK("https://lsnyc.legalserver.org/matter/dynamic-profile/view/1898175","19-1898175")</f>
        <v>0</v>
      </c>
      <c r="B7553" t="s">
        <v>256</v>
      </c>
      <c r="C7553" t="s">
        <v>340</v>
      </c>
      <c r="D7553" t="s">
        <v>801</v>
      </c>
      <c r="F7553" t="s">
        <v>3986</v>
      </c>
      <c r="G7553" t="s">
        <v>5008</v>
      </c>
      <c r="H7553" t="s">
        <v>14819</v>
      </c>
      <c r="I7553" t="s">
        <v>17343</v>
      </c>
      <c r="J7553" t="s">
        <v>18894</v>
      </c>
      <c r="K7553">
        <v>11206</v>
      </c>
      <c r="L7553" t="s">
        <v>18958</v>
      </c>
      <c r="M7553" t="s">
        <v>18958</v>
      </c>
      <c r="O7553" t="s">
        <v>26523</v>
      </c>
      <c r="P7553" t="s">
        <v>26564</v>
      </c>
      <c r="R7553" t="s">
        <v>26578</v>
      </c>
      <c r="U7553" t="s">
        <v>26604</v>
      </c>
      <c r="W7553" t="s">
        <v>765</v>
      </c>
      <c r="X7553">
        <v>1131.18</v>
      </c>
      <c r="Y7553" t="s">
        <v>26652</v>
      </c>
      <c r="AB7553" t="s">
        <v>32320</v>
      </c>
      <c r="AD7553" t="s">
        <v>42715</v>
      </c>
      <c r="AE7553">
        <v>0</v>
      </c>
      <c r="AH7553">
        <v>8</v>
      </c>
      <c r="AI7553">
        <v>3</v>
      </c>
      <c r="AJ7553">
        <v>1</v>
      </c>
      <c r="AK7553">
        <v>54.37</v>
      </c>
      <c r="AN7553" t="s">
        <v>7439</v>
      </c>
      <c r="AO7553">
        <v>14000</v>
      </c>
      <c r="AU7553">
        <v>0</v>
      </c>
      <c r="AW7553" t="s">
        <v>219</v>
      </c>
    </row>
    <row r="7554" spans="1:50">
      <c r="A7554" s="1">
        <f>HYPERLINK("https://lsnyc.legalserver.org/matter/dynamic-profile/view/1898361","19-1898361")</f>
        <v>0</v>
      </c>
      <c r="B7554" t="s">
        <v>212</v>
      </c>
      <c r="C7554" t="s">
        <v>340</v>
      </c>
      <c r="D7554" t="s">
        <v>768</v>
      </c>
      <c r="F7554" t="s">
        <v>3750</v>
      </c>
      <c r="G7554" t="s">
        <v>2749</v>
      </c>
      <c r="H7554" t="s">
        <v>14820</v>
      </c>
      <c r="J7554" t="s">
        <v>18928</v>
      </c>
      <c r="K7554">
        <v>11366</v>
      </c>
      <c r="L7554" t="s">
        <v>18958</v>
      </c>
      <c r="M7554" t="s">
        <v>18958</v>
      </c>
      <c r="N7554" t="s">
        <v>24338</v>
      </c>
      <c r="O7554" t="s">
        <v>18997</v>
      </c>
      <c r="P7554" t="s">
        <v>26564</v>
      </c>
      <c r="R7554" t="s">
        <v>26589</v>
      </c>
      <c r="S7554" t="s">
        <v>18959</v>
      </c>
      <c r="U7554" t="s">
        <v>26604</v>
      </c>
      <c r="W7554" t="s">
        <v>765</v>
      </c>
      <c r="X7554">
        <v>0</v>
      </c>
      <c r="Y7554" t="s">
        <v>26653</v>
      </c>
      <c r="Z7554" t="s">
        <v>26671</v>
      </c>
      <c r="AB7554" t="s">
        <v>28759</v>
      </c>
      <c r="AE7554">
        <v>0</v>
      </c>
      <c r="AH7554">
        <v>0</v>
      </c>
      <c r="AI7554">
        <v>1</v>
      </c>
      <c r="AJ7554">
        <v>0</v>
      </c>
      <c r="AK7554">
        <v>0</v>
      </c>
      <c r="AL7554" t="s">
        <v>45567</v>
      </c>
      <c r="AM7554" t="s">
        <v>45577</v>
      </c>
      <c r="AO7554">
        <v>0</v>
      </c>
      <c r="AU7554">
        <v>0</v>
      </c>
      <c r="AW7554" t="s">
        <v>212</v>
      </c>
    </row>
    <row r="7555" spans="1:50">
      <c r="A7555" s="1">
        <f>HYPERLINK("https://lsnyc.legalserver.org/matter/dynamic-profile/view/1898356","19-1898356")</f>
        <v>0</v>
      </c>
      <c r="B7555" t="s">
        <v>212</v>
      </c>
      <c r="C7555" t="s">
        <v>340</v>
      </c>
      <c r="D7555" t="s">
        <v>768</v>
      </c>
      <c r="F7555" t="s">
        <v>1416</v>
      </c>
      <c r="G7555" t="s">
        <v>8362</v>
      </c>
      <c r="H7555" t="s">
        <v>14821</v>
      </c>
      <c r="I7555" t="s">
        <v>17664</v>
      </c>
      <c r="J7555" t="s">
        <v>18936</v>
      </c>
      <c r="K7555">
        <v>11360</v>
      </c>
      <c r="L7555" t="s">
        <v>18958</v>
      </c>
      <c r="M7555" t="s">
        <v>18958</v>
      </c>
      <c r="N7555" t="s">
        <v>24338</v>
      </c>
      <c r="O7555" t="s">
        <v>18997</v>
      </c>
      <c r="P7555" t="s">
        <v>26564</v>
      </c>
      <c r="R7555" t="s">
        <v>26589</v>
      </c>
      <c r="S7555" t="s">
        <v>18959</v>
      </c>
      <c r="U7555" t="s">
        <v>26604</v>
      </c>
      <c r="W7555" t="s">
        <v>765</v>
      </c>
      <c r="X7555">
        <v>0</v>
      </c>
      <c r="Y7555" t="s">
        <v>26653</v>
      </c>
      <c r="Z7555" t="s">
        <v>26671</v>
      </c>
      <c r="AB7555" t="s">
        <v>32321</v>
      </c>
      <c r="AE7555">
        <v>0</v>
      </c>
      <c r="AF7555" t="s">
        <v>45547</v>
      </c>
      <c r="AH7555">
        <v>10</v>
      </c>
      <c r="AI7555">
        <v>2</v>
      </c>
      <c r="AJ7555">
        <v>0</v>
      </c>
      <c r="AK7555">
        <v>0</v>
      </c>
      <c r="AL7555" t="s">
        <v>45567</v>
      </c>
      <c r="AM7555" t="s">
        <v>45577</v>
      </c>
      <c r="AN7555" t="s">
        <v>7439</v>
      </c>
      <c r="AO7555">
        <v>0</v>
      </c>
      <c r="AU7555">
        <v>0</v>
      </c>
      <c r="AW7555" t="s">
        <v>212</v>
      </c>
    </row>
    <row r="7556" spans="1:50">
      <c r="A7556" s="1">
        <f>HYPERLINK("https://lsnyc.legalserver.org/matter/dynamic-profile/view/1898854","19-1898854")</f>
        <v>0</v>
      </c>
      <c r="B7556" t="s">
        <v>69</v>
      </c>
      <c r="C7556" t="s">
        <v>340</v>
      </c>
      <c r="D7556" t="s">
        <v>770</v>
      </c>
      <c r="F7556" t="s">
        <v>3987</v>
      </c>
      <c r="G7556" t="s">
        <v>8363</v>
      </c>
      <c r="H7556" t="s">
        <v>14804</v>
      </c>
      <c r="I7556">
        <v>3</v>
      </c>
      <c r="J7556" t="s">
        <v>18892</v>
      </c>
      <c r="K7556">
        <v>10467</v>
      </c>
      <c r="L7556" t="s">
        <v>18958</v>
      </c>
      <c r="M7556" t="s">
        <v>18958</v>
      </c>
      <c r="N7556" t="s">
        <v>24339</v>
      </c>
      <c r="O7556" t="s">
        <v>26524</v>
      </c>
      <c r="P7556" t="s">
        <v>26560</v>
      </c>
      <c r="R7556" t="s">
        <v>26579</v>
      </c>
      <c r="S7556" t="s">
        <v>18958</v>
      </c>
      <c r="U7556" t="s">
        <v>26604</v>
      </c>
      <c r="V7556" t="s">
        <v>26609</v>
      </c>
      <c r="W7556" t="s">
        <v>765</v>
      </c>
      <c r="X7556">
        <v>600</v>
      </c>
      <c r="Y7556" t="s">
        <v>26650</v>
      </c>
      <c r="AB7556" t="s">
        <v>32322</v>
      </c>
      <c r="AD7556" t="s">
        <v>42716</v>
      </c>
      <c r="AE7556">
        <v>3</v>
      </c>
      <c r="AH7556">
        <v>10</v>
      </c>
      <c r="AI7556">
        <v>1</v>
      </c>
      <c r="AJ7556">
        <v>0</v>
      </c>
      <c r="AK7556">
        <v>96.08</v>
      </c>
      <c r="AN7556" t="s">
        <v>7439</v>
      </c>
      <c r="AO7556">
        <v>12000</v>
      </c>
      <c r="AU7556">
        <v>1.2</v>
      </c>
      <c r="AV7556" t="s">
        <v>828</v>
      </c>
      <c r="AW7556" t="s">
        <v>335</v>
      </c>
      <c r="AX7556" t="s">
        <v>46897</v>
      </c>
    </row>
    <row r="7557" spans="1:50">
      <c r="A7557" s="1">
        <f>HYPERLINK("https://lsnyc.legalserver.org/matter/dynamic-profile/view/1865576","18-1865576")</f>
        <v>0</v>
      </c>
      <c r="B7557" t="s">
        <v>122</v>
      </c>
      <c r="C7557" t="s">
        <v>341</v>
      </c>
      <c r="D7557" t="s">
        <v>383</v>
      </c>
      <c r="E7557" t="s">
        <v>494</v>
      </c>
      <c r="F7557" t="s">
        <v>3710</v>
      </c>
      <c r="G7557" t="s">
        <v>5434</v>
      </c>
      <c r="H7557" t="s">
        <v>14822</v>
      </c>
      <c r="I7557">
        <v>202</v>
      </c>
      <c r="J7557" t="s">
        <v>18928</v>
      </c>
      <c r="K7557">
        <v>11365</v>
      </c>
      <c r="L7557" t="s">
        <v>18958</v>
      </c>
      <c r="M7557" t="s">
        <v>18960</v>
      </c>
      <c r="N7557" t="s">
        <v>24340</v>
      </c>
      <c r="O7557" t="s">
        <v>26523</v>
      </c>
      <c r="P7557" t="s">
        <v>26564</v>
      </c>
      <c r="Q7557" t="s">
        <v>26570</v>
      </c>
      <c r="R7557" t="s">
        <v>26584</v>
      </c>
      <c r="U7557" t="s">
        <v>26604</v>
      </c>
      <c r="W7557" t="s">
        <v>766</v>
      </c>
      <c r="X7557">
        <v>1300</v>
      </c>
      <c r="Y7557" t="s">
        <v>26653</v>
      </c>
      <c r="Z7557" t="s">
        <v>26664</v>
      </c>
      <c r="AA7557" t="s">
        <v>26683</v>
      </c>
      <c r="AB7557" t="s">
        <v>28141</v>
      </c>
      <c r="AD7557" t="s">
        <v>42717</v>
      </c>
      <c r="AE7557">
        <v>200</v>
      </c>
      <c r="AF7557" t="s">
        <v>45541</v>
      </c>
      <c r="AG7557" t="s">
        <v>19330</v>
      </c>
      <c r="AH7557">
        <v>18</v>
      </c>
      <c r="AI7557">
        <v>1</v>
      </c>
      <c r="AJ7557">
        <v>0</v>
      </c>
      <c r="AK7557">
        <v>0</v>
      </c>
      <c r="AO7557">
        <v>0</v>
      </c>
      <c r="AU7557">
        <v>4.6</v>
      </c>
      <c r="AV7557" t="s">
        <v>395</v>
      </c>
      <c r="AW7557" t="s">
        <v>122</v>
      </c>
    </row>
    <row r="7558" spans="1:50">
      <c r="A7558" s="1">
        <f>HYPERLINK("https://lsnyc.legalserver.org/matter/dynamic-profile/view/1895541","19-1895541")</f>
        <v>0</v>
      </c>
      <c r="B7558" t="s">
        <v>134</v>
      </c>
      <c r="C7558" t="s">
        <v>340</v>
      </c>
      <c r="D7558" t="s">
        <v>781</v>
      </c>
      <c r="F7558" t="s">
        <v>1128</v>
      </c>
      <c r="G7558" t="s">
        <v>6501</v>
      </c>
      <c r="H7558" t="s">
        <v>14823</v>
      </c>
      <c r="I7558">
        <v>2</v>
      </c>
      <c r="J7558" t="s">
        <v>18894</v>
      </c>
      <c r="K7558">
        <v>11233</v>
      </c>
      <c r="L7558" t="s">
        <v>18958</v>
      </c>
      <c r="M7558" t="s">
        <v>18958</v>
      </c>
      <c r="N7558" t="s">
        <v>24341</v>
      </c>
      <c r="O7558" t="s">
        <v>26524</v>
      </c>
      <c r="P7558" t="s">
        <v>26565</v>
      </c>
      <c r="R7558" t="s">
        <v>26578</v>
      </c>
      <c r="U7558" t="s">
        <v>26604</v>
      </c>
      <c r="V7558" t="s">
        <v>26610</v>
      </c>
      <c r="W7558" t="s">
        <v>766</v>
      </c>
      <c r="X7558">
        <v>530</v>
      </c>
      <c r="Y7558" t="s">
        <v>26652</v>
      </c>
      <c r="Z7558" t="s">
        <v>26660</v>
      </c>
      <c r="AB7558" t="s">
        <v>32323</v>
      </c>
      <c r="AD7558" t="s">
        <v>42718</v>
      </c>
      <c r="AE7558">
        <v>3</v>
      </c>
      <c r="AF7558" t="s">
        <v>20460</v>
      </c>
      <c r="AG7558" t="s">
        <v>19330</v>
      </c>
      <c r="AH7558">
        <v>16</v>
      </c>
      <c r="AI7558">
        <v>2</v>
      </c>
      <c r="AJ7558">
        <v>0</v>
      </c>
      <c r="AK7558">
        <v>43.57</v>
      </c>
      <c r="AN7558" t="s">
        <v>7439</v>
      </c>
      <c r="AO7558">
        <v>7368</v>
      </c>
      <c r="AU7558">
        <v>4.5</v>
      </c>
      <c r="AV7558" t="s">
        <v>720</v>
      </c>
      <c r="AW7558" t="s">
        <v>46841</v>
      </c>
    </row>
    <row r="7559" spans="1:50">
      <c r="A7559" s="1">
        <f>HYPERLINK("https://lsnyc.legalserver.org/matter/dynamic-profile/view/1897072","19-1897072")</f>
        <v>0</v>
      </c>
      <c r="B7559" t="s">
        <v>149</v>
      </c>
      <c r="C7559" t="s">
        <v>341</v>
      </c>
      <c r="D7559" t="s">
        <v>795</v>
      </c>
      <c r="E7559" t="s">
        <v>833</v>
      </c>
      <c r="F7559" t="s">
        <v>2523</v>
      </c>
      <c r="G7559" t="s">
        <v>5322</v>
      </c>
      <c r="H7559" t="s">
        <v>14564</v>
      </c>
      <c r="J7559" t="s">
        <v>18892</v>
      </c>
      <c r="K7559">
        <v>10456</v>
      </c>
      <c r="L7559" t="s">
        <v>18958</v>
      </c>
      <c r="M7559" t="s">
        <v>18958</v>
      </c>
      <c r="N7559" t="s">
        <v>24342</v>
      </c>
      <c r="O7559" t="s">
        <v>26524</v>
      </c>
      <c r="P7559" t="s">
        <v>26564</v>
      </c>
      <c r="Q7559" t="s">
        <v>26570</v>
      </c>
      <c r="R7559" t="s">
        <v>26577</v>
      </c>
      <c r="S7559" t="s">
        <v>18959</v>
      </c>
      <c r="U7559" t="s">
        <v>26604</v>
      </c>
      <c r="W7559" t="s">
        <v>766</v>
      </c>
      <c r="X7559">
        <v>200</v>
      </c>
      <c r="Y7559" t="s">
        <v>26650</v>
      </c>
      <c r="Z7559" t="s">
        <v>26668</v>
      </c>
      <c r="AA7559" t="s">
        <v>26683</v>
      </c>
      <c r="AB7559" t="s">
        <v>32324</v>
      </c>
      <c r="AD7559" t="s">
        <v>42719</v>
      </c>
      <c r="AE7559">
        <v>1</v>
      </c>
      <c r="AF7559" t="s">
        <v>45545</v>
      </c>
      <c r="AG7559" t="s">
        <v>19330</v>
      </c>
      <c r="AH7559">
        <v>1</v>
      </c>
      <c r="AI7559">
        <v>1</v>
      </c>
      <c r="AJ7559">
        <v>0</v>
      </c>
      <c r="AK7559">
        <v>72.06</v>
      </c>
      <c r="AN7559" t="s">
        <v>45581</v>
      </c>
      <c r="AO7559">
        <v>9000</v>
      </c>
      <c r="AU7559">
        <v>4.3</v>
      </c>
      <c r="AV7559" t="s">
        <v>766</v>
      </c>
      <c r="AW7559" t="s">
        <v>336</v>
      </c>
      <c r="AX7559" t="s">
        <v>46897</v>
      </c>
    </row>
    <row r="7560" spans="1:50">
      <c r="A7560" s="1">
        <f>HYPERLINK("https://lsnyc.legalserver.org/matter/dynamic-profile/view/1897506","19-1897506")</f>
        <v>0</v>
      </c>
      <c r="B7560" t="s">
        <v>187</v>
      </c>
      <c r="C7560" t="s">
        <v>340</v>
      </c>
      <c r="D7560" t="s">
        <v>780</v>
      </c>
      <c r="F7560" t="s">
        <v>933</v>
      </c>
      <c r="G7560" t="s">
        <v>8364</v>
      </c>
      <c r="H7560" t="s">
        <v>14824</v>
      </c>
      <c r="I7560" t="s">
        <v>17804</v>
      </c>
      <c r="J7560" t="s">
        <v>18892</v>
      </c>
      <c r="K7560">
        <v>10456</v>
      </c>
      <c r="L7560" t="s">
        <v>18958</v>
      </c>
      <c r="M7560" t="s">
        <v>18958</v>
      </c>
      <c r="N7560" t="s">
        <v>24343</v>
      </c>
      <c r="O7560" t="s">
        <v>26524</v>
      </c>
      <c r="P7560" t="s">
        <v>26560</v>
      </c>
      <c r="R7560" t="s">
        <v>26577</v>
      </c>
      <c r="S7560" t="s">
        <v>18959</v>
      </c>
      <c r="U7560" t="s">
        <v>26604</v>
      </c>
      <c r="V7560" t="s">
        <v>26610</v>
      </c>
      <c r="W7560" t="s">
        <v>766</v>
      </c>
      <c r="X7560">
        <v>1515</v>
      </c>
      <c r="Y7560" t="s">
        <v>26650</v>
      </c>
      <c r="Z7560" t="s">
        <v>26668</v>
      </c>
      <c r="AB7560" t="s">
        <v>32325</v>
      </c>
      <c r="AC7560" t="s">
        <v>36353</v>
      </c>
      <c r="AD7560" t="s">
        <v>42720</v>
      </c>
      <c r="AE7560">
        <v>4</v>
      </c>
      <c r="AF7560" t="s">
        <v>45545</v>
      </c>
      <c r="AG7560" t="s">
        <v>45558</v>
      </c>
      <c r="AH7560">
        <v>1</v>
      </c>
      <c r="AI7560">
        <v>2</v>
      </c>
      <c r="AJ7560">
        <v>2</v>
      </c>
      <c r="AK7560">
        <v>18.83</v>
      </c>
      <c r="AN7560" t="s">
        <v>7439</v>
      </c>
      <c r="AO7560">
        <v>4848</v>
      </c>
      <c r="AU7560">
        <v>7.6</v>
      </c>
      <c r="AV7560" t="s">
        <v>835</v>
      </c>
      <c r="AW7560" t="s">
        <v>46832</v>
      </c>
      <c r="AX7560" t="s">
        <v>46898</v>
      </c>
    </row>
    <row r="7561" spans="1:50">
      <c r="A7561" s="1">
        <f>HYPERLINK("https://lsnyc.legalserver.org/matter/dynamic-profile/view/1897145","19-1897145")</f>
        <v>0</v>
      </c>
      <c r="B7561" t="s">
        <v>100</v>
      </c>
      <c r="C7561" t="s">
        <v>340</v>
      </c>
      <c r="D7561" t="s">
        <v>760</v>
      </c>
      <c r="F7561" t="s">
        <v>3766</v>
      </c>
      <c r="G7561" t="s">
        <v>5773</v>
      </c>
      <c r="H7561" t="s">
        <v>14517</v>
      </c>
      <c r="I7561" t="s">
        <v>17353</v>
      </c>
      <c r="J7561" t="s">
        <v>18892</v>
      </c>
      <c r="K7561">
        <v>10460</v>
      </c>
      <c r="L7561" t="s">
        <v>18958</v>
      </c>
      <c r="M7561" t="s">
        <v>18958</v>
      </c>
      <c r="O7561" t="s">
        <v>18997</v>
      </c>
      <c r="P7561" t="s">
        <v>26565</v>
      </c>
      <c r="R7561" t="s">
        <v>26578</v>
      </c>
      <c r="S7561" t="s">
        <v>18959</v>
      </c>
      <c r="U7561" t="s">
        <v>26604</v>
      </c>
      <c r="W7561" t="s">
        <v>766</v>
      </c>
      <c r="X7561">
        <v>1285.31</v>
      </c>
      <c r="Y7561" t="s">
        <v>26650</v>
      </c>
      <c r="Z7561" t="s">
        <v>26666</v>
      </c>
      <c r="AA7561" t="s">
        <v>26683</v>
      </c>
      <c r="AB7561" t="s">
        <v>32326</v>
      </c>
      <c r="AD7561" t="s">
        <v>42721</v>
      </c>
      <c r="AE7561">
        <v>96</v>
      </c>
      <c r="AF7561" t="s">
        <v>45541</v>
      </c>
      <c r="AG7561" t="s">
        <v>45556</v>
      </c>
      <c r="AH7561">
        <v>10</v>
      </c>
      <c r="AI7561">
        <v>1</v>
      </c>
      <c r="AJ7561">
        <v>0</v>
      </c>
      <c r="AK7561">
        <v>105.68</v>
      </c>
      <c r="AN7561" t="s">
        <v>7439</v>
      </c>
      <c r="AO7561">
        <v>13200</v>
      </c>
      <c r="AU7561">
        <v>4.1</v>
      </c>
      <c r="AV7561" t="s">
        <v>815</v>
      </c>
      <c r="AW7561" t="s">
        <v>46887</v>
      </c>
      <c r="AX7561" t="s">
        <v>46897</v>
      </c>
    </row>
    <row r="7562" spans="1:50">
      <c r="A7562" s="1">
        <f>HYPERLINK("https://lsnyc.legalserver.org/matter/dynamic-profile/view/1897127","19-1897127")</f>
        <v>0</v>
      </c>
      <c r="B7562" t="s">
        <v>131</v>
      </c>
      <c r="C7562" t="s">
        <v>340</v>
      </c>
      <c r="D7562" t="s">
        <v>760</v>
      </c>
      <c r="F7562" t="s">
        <v>923</v>
      </c>
      <c r="G7562" t="s">
        <v>5310</v>
      </c>
      <c r="H7562" t="s">
        <v>9911</v>
      </c>
      <c r="I7562" t="s">
        <v>17283</v>
      </c>
      <c r="J7562" t="s">
        <v>18902</v>
      </c>
      <c r="K7562">
        <v>10304</v>
      </c>
      <c r="L7562" t="s">
        <v>18958</v>
      </c>
      <c r="M7562" t="s">
        <v>18960</v>
      </c>
      <c r="N7562" t="s">
        <v>24344</v>
      </c>
      <c r="O7562" t="s">
        <v>26524</v>
      </c>
      <c r="P7562" t="s">
        <v>26560</v>
      </c>
      <c r="R7562" t="s">
        <v>26578</v>
      </c>
      <c r="S7562" t="s">
        <v>18959</v>
      </c>
      <c r="U7562" t="s">
        <v>26606</v>
      </c>
      <c r="V7562" t="s">
        <v>26610</v>
      </c>
      <c r="W7562" t="s">
        <v>766</v>
      </c>
      <c r="X7562">
        <v>232</v>
      </c>
      <c r="Y7562" t="s">
        <v>26654</v>
      </c>
      <c r="Z7562" t="s">
        <v>26659</v>
      </c>
      <c r="AB7562" t="s">
        <v>26998</v>
      </c>
      <c r="AD7562" t="s">
        <v>34738</v>
      </c>
      <c r="AE7562">
        <v>150</v>
      </c>
      <c r="AF7562" t="s">
        <v>45543</v>
      </c>
      <c r="AG7562" t="s">
        <v>45556</v>
      </c>
      <c r="AH7562">
        <v>1</v>
      </c>
      <c r="AI7562">
        <v>1</v>
      </c>
      <c r="AJ7562">
        <v>1</v>
      </c>
      <c r="AK7562">
        <v>58.47</v>
      </c>
      <c r="AN7562" t="s">
        <v>7439</v>
      </c>
      <c r="AO7562">
        <v>9888</v>
      </c>
      <c r="AU7562">
        <v>10.7</v>
      </c>
      <c r="AV7562" t="s">
        <v>835</v>
      </c>
      <c r="AW7562" t="s">
        <v>46883</v>
      </c>
      <c r="AX7562" t="s">
        <v>46897</v>
      </c>
    </row>
    <row r="7563" spans="1:50">
      <c r="A7563" s="1">
        <f>HYPERLINK("https://lsnyc.legalserver.org/matter/dynamic-profile/view/1897148","19-1897148")</f>
        <v>0</v>
      </c>
      <c r="B7563" t="s">
        <v>131</v>
      </c>
      <c r="C7563" t="s">
        <v>341</v>
      </c>
      <c r="D7563" t="s">
        <v>766</v>
      </c>
      <c r="E7563" t="s">
        <v>821</v>
      </c>
      <c r="F7563" t="s">
        <v>3246</v>
      </c>
      <c r="G7563" t="s">
        <v>7499</v>
      </c>
      <c r="H7563" t="s">
        <v>14825</v>
      </c>
      <c r="J7563" t="s">
        <v>18892</v>
      </c>
      <c r="K7563">
        <v>10454</v>
      </c>
      <c r="L7563" t="s">
        <v>18958</v>
      </c>
      <c r="M7563" t="s">
        <v>18958</v>
      </c>
      <c r="N7563" t="s">
        <v>24345</v>
      </c>
      <c r="O7563" t="s">
        <v>26540</v>
      </c>
      <c r="P7563" t="s">
        <v>26560</v>
      </c>
      <c r="Q7563" t="s">
        <v>26569</v>
      </c>
      <c r="R7563" t="s">
        <v>26589</v>
      </c>
      <c r="S7563" t="s">
        <v>18959</v>
      </c>
      <c r="U7563" t="s">
        <v>26604</v>
      </c>
      <c r="V7563" t="s">
        <v>26610</v>
      </c>
      <c r="W7563" t="s">
        <v>766</v>
      </c>
      <c r="X7563">
        <v>1200</v>
      </c>
      <c r="Y7563" t="s">
        <v>26654</v>
      </c>
      <c r="Z7563" t="s">
        <v>26671</v>
      </c>
      <c r="AA7563" t="s">
        <v>26687</v>
      </c>
      <c r="AB7563" t="s">
        <v>30754</v>
      </c>
      <c r="AD7563" t="s">
        <v>40962</v>
      </c>
      <c r="AE7563">
        <v>2</v>
      </c>
      <c r="AF7563" t="s">
        <v>45547</v>
      </c>
      <c r="AG7563" t="s">
        <v>19330</v>
      </c>
      <c r="AH7563">
        <v>-1</v>
      </c>
      <c r="AI7563">
        <v>2</v>
      </c>
      <c r="AJ7563">
        <v>0</v>
      </c>
      <c r="AK7563">
        <v>113.78</v>
      </c>
      <c r="AL7563" t="s">
        <v>45567</v>
      </c>
      <c r="AM7563" t="s">
        <v>45577</v>
      </c>
      <c r="AN7563" t="s">
        <v>7439</v>
      </c>
      <c r="AO7563">
        <v>19240</v>
      </c>
      <c r="AU7563">
        <v>10.9</v>
      </c>
      <c r="AV7563" t="s">
        <v>821</v>
      </c>
      <c r="AW7563" t="s">
        <v>46883</v>
      </c>
    </row>
    <row r="7564" spans="1:50">
      <c r="A7564" s="1">
        <f>HYPERLINK("https://lsnyc.legalserver.org/matter/dynamic-profile/view/1897950","19-1897950")</f>
        <v>0</v>
      </c>
      <c r="B7564" t="s">
        <v>107</v>
      </c>
      <c r="C7564" t="s">
        <v>340</v>
      </c>
      <c r="D7564" t="s">
        <v>766</v>
      </c>
      <c r="F7564" t="s">
        <v>1005</v>
      </c>
      <c r="G7564" t="s">
        <v>5432</v>
      </c>
      <c r="H7564" t="s">
        <v>10072</v>
      </c>
      <c r="J7564" t="s">
        <v>18923</v>
      </c>
      <c r="K7564">
        <v>11418</v>
      </c>
      <c r="L7564" t="s">
        <v>18958</v>
      </c>
      <c r="M7564" t="s">
        <v>18958</v>
      </c>
      <c r="N7564" t="s">
        <v>24346</v>
      </c>
      <c r="O7564" t="s">
        <v>26524</v>
      </c>
      <c r="P7564" t="s">
        <v>26563</v>
      </c>
      <c r="R7564" t="s">
        <v>26584</v>
      </c>
      <c r="S7564" t="s">
        <v>18959</v>
      </c>
      <c r="U7564" t="s">
        <v>26604</v>
      </c>
      <c r="V7564" t="s">
        <v>26610</v>
      </c>
      <c r="W7564" t="s">
        <v>766</v>
      </c>
      <c r="X7564">
        <v>650</v>
      </c>
      <c r="Y7564" t="s">
        <v>26653</v>
      </c>
      <c r="Z7564" t="s">
        <v>26530</v>
      </c>
      <c r="AB7564" t="s">
        <v>27163</v>
      </c>
      <c r="AD7564" t="s">
        <v>37243</v>
      </c>
      <c r="AE7564">
        <v>5</v>
      </c>
      <c r="AF7564" t="s">
        <v>20460</v>
      </c>
      <c r="AG7564" t="s">
        <v>19330</v>
      </c>
      <c r="AH7564">
        <v>2</v>
      </c>
      <c r="AI7564">
        <v>2</v>
      </c>
      <c r="AJ7564">
        <v>1</v>
      </c>
      <c r="AK7564">
        <v>39.83</v>
      </c>
      <c r="AN7564" t="s">
        <v>7439</v>
      </c>
      <c r="AO7564">
        <v>8496</v>
      </c>
      <c r="AU7564">
        <v>1</v>
      </c>
      <c r="AV7564" t="s">
        <v>766</v>
      </c>
      <c r="AW7564" t="s">
        <v>107</v>
      </c>
    </row>
    <row r="7565" spans="1:50">
      <c r="A7565" s="1">
        <f>HYPERLINK("https://lsnyc.legalserver.org/matter/dynamic-profile/view/1897980","19-1897980")</f>
        <v>0</v>
      </c>
      <c r="B7565" t="s">
        <v>81</v>
      </c>
      <c r="C7565" t="s">
        <v>340</v>
      </c>
      <c r="D7565" t="s">
        <v>766</v>
      </c>
      <c r="F7565" t="s">
        <v>1603</v>
      </c>
      <c r="G7565" t="s">
        <v>8365</v>
      </c>
      <c r="H7565" t="s">
        <v>9641</v>
      </c>
      <c r="I7565" t="s">
        <v>17316</v>
      </c>
      <c r="J7565" t="s">
        <v>18892</v>
      </c>
      <c r="K7565">
        <v>10459</v>
      </c>
      <c r="L7565" t="s">
        <v>18958</v>
      </c>
      <c r="M7565" t="s">
        <v>18958</v>
      </c>
      <c r="N7565" t="s">
        <v>24347</v>
      </c>
      <c r="O7565" t="s">
        <v>26523</v>
      </c>
      <c r="P7565" t="s">
        <v>26564</v>
      </c>
      <c r="R7565" t="s">
        <v>26577</v>
      </c>
      <c r="U7565" t="s">
        <v>26604</v>
      </c>
      <c r="V7565" t="s">
        <v>26609</v>
      </c>
      <c r="W7565" t="s">
        <v>766</v>
      </c>
      <c r="X7565">
        <v>1282.55</v>
      </c>
      <c r="Y7565" t="s">
        <v>26650</v>
      </c>
      <c r="Z7565" t="s">
        <v>26668</v>
      </c>
      <c r="AB7565" t="s">
        <v>32327</v>
      </c>
      <c r="AD7565" t="s">
        <v>42722</v>
      </c>
      <c r="AE7565">
        <v>44</v>
      </c>
      <c r="AF7565" t="s">
        <v>20460</v>
      </c>
      <c r="AG7565" t="s">
        <v>45556</v>
      </c>
      <c r="AH7565">
        <v>28</v>
      </c>
      <c r="AI7565">
        <v>2</v>
      </c>
      <c r="AJ7565">
        <v>0</v>
      </c>
      <c r="AK7565">
        <v>196.81</v>
      </c>
      <c r="AN7565" t="s">
        <v>7439</v>
      </c>
      <c r="AO7565">
        <v>33280</v>
      </c>
      <c r="AU7565">
        <v>0</v>
      </c>
      <c r="AW7565" t="s">
        <v>284</v>
      </c>
      <c r="AX7565" t="s">
        <v>46897</v>
      </c>
    </row>
    <row r="7566" spans="1:50">
      <c r="A7566" s="1">
        <f>HYPERLINK("https://lsnyc.legalserver.org/matter/dynamic-profile/view/1898052","19-1898052")</f>
        <v>0</v>
      </c>
      <c r="B7566" t="s">
        <v>258</v>
      </c>
      <c r="C7566" t="s">
        <v>340</v>
      </c>
      <c r="D7566" t="s">
        <v>766</v>
      </c>
      <c r="F7566" t="s">
        <v>3988</v>
      </c>
      <c r="G7566" t="s">
        <v>8366</v>
      </c>
      <c r="H7566" t="s">
        <v>14826</v>
      </c>
      <c r="I7566" t="s">
        <v>18481</v>
      </c>
      <c r="J7566" t="s">
        <v>18932</v>
      </c>
      <c r="K7566">
        <v>11385</v>
      </c>
      <c r="L7566" t="s">
        <v>18958</v>
      </c>
      <c r="M7566" t="s">
        <v>18958</v>
      </c>
      <c r="N7566" t="s">
        <v>24348</v>
      </c>
      <c r="O7566" t="s">
        <v>26524</v>
      </c>
      <c r="P7566" t="s">
        <v>26560</v>
      </c>
      <c r="R7566" t="s">
        <v>26585</v>
      </c>
      <c r="S7566" t="s">
        <v>18958</v>
      </c>
      <c r="U7566" t="s">
        <v>26604</v>
      </c>
      <c r="V7566" t="s">
        <v>26610</v>
      </c>
      <c r="W7566" t="s">
        <v>766</v>
      </c>
      <c r="X7566">
        <v>1450</v>
      </c>
      <c r="Y7566" t="s">
        <v>26653</v>
      </c>
      <c r="Z7566" t="s">
        <v>26664</v>
      </c>
      <c r="AB7566" t="s">
        <v>32328</v>
      </c>
      <c r="AC7566" t="s">
        <v>36354</v>
      </c>
      <c r="AD7566" t="s">
        <v>42723</v>
      </c>
      <c r="AE7566">
        <v>6</v>
      </c>
      <c r="AF7566" t="s">
        <v>45547</v>
      </c>
      <c r="AG7566" t="s">
        <v>19330</v>
      </c>
      <c r="AH7566">
        <v>1</v>
      </c>
      <c r="AI7566">
        <v>1</v>
      </c>
      <c r="AJ7566">
        <v>1</v>
      </c>
      <c r="AK7566">
        <v>22.37</v>
      </c>
      <c r="AN7566" t="s">
        <v>45598</v>
      </c>
      <c r="AO7566">
        <v>3783</v>
      </c>
      <c r="AR7566" t="s">
        <v>46379</v>
      </c>
      <c r="AS7566" t="s">
        <v>46500</v>
      </c>
      <c r="AT7566" t="s">
        <v>46747</v>
      </c>
      <c r="AU7566">
        <v>11.7</v>
      </c>
      <c r="AV7566" t="s">
        <v>772</v>
      </c>
      <c r="AW7566" t="s">
        <v>46884</v>
      </c>
      <c r="AX7566" t="s">
        <v>46898</v>
      </c>
    </row>
    <row r="7567" spans="1:50">
      <c r="A7567" s="1">
        <f>HYPERLINK("https://lsnyc.legalserver.org/matter/dynamic-profile/view/1898061","19-1898061")</f>
        <v>0</v>
      </c>
      <c r="B7567" t="s">
        <v>141</v>
      </c>
      <c r="C7567" t="s">
        <v>340</v>
      </c>
      <c r="D7567" t="s">
        <v>766</v>
      </c>
      <c r="F7567" t="s">
        <v>1119</v>
      </c>
      <c r="G7567" t="s">
        <v>6072</v>
      </c>
      <c r="H7567" t="s">
        <v>14827</v>
      </c>
      <c r="J7567" t="s">
        <v>18920</v>
      </c>
      <c r="K7567">
        <v>11369</v>
      </c>
      <c r="L7567" t="s">
        <v>18958</v>
      </c>
      <c r="M7567" t="s">
        <v>18958</v>
      </c>
      <c r="N7567" t="s">
        <v>24349</v>
      </c>
      <c r="O7567" t="s">
        <v>26524</v>
      </c>
      <c r="P7567" t="s">
        <v>26560</v>
      </c>
      <c r="R7567" t="s">
        <v>26578</v>
      </c>
      <c r="S7567" t="s">
        <v>18959</v>
      </c>
      <c r="U7567" t="s">
        <v>26604</v>
      </c>
      <c r="V7567" t="s">
        <v>26610</v>
      </c>
      <c r="W7567" t="s">
        <v>766</v>
      </c>
      <c r="X7567">
        <v>800</v>
      </c>
      <c r="Y7567" t="s">
        <v>26653</v>
      </c>
      <c r="Z7567" t="s">
        <v>26664</v>
      </c>
      <c r="AB7567" t="s">
        <v>32329</v>
      </c>
      <c r="AD7567" t="s">
        <v>42724</v>
      </c>
      <c r="AE7567">
        <v>0</v>
      </c>
      <c r="AH7567">
        <v>10</v>
      </c>
      <c r="AI7567">
        <v>1</v>
      </c>
      <c r="AJ7567">
        <v>0</v>
      </c>
      <c r="AK7567">
        <v>81.76000000000001</v>
      </c>
      <c r="AN7567" t="s">
        <v>45581</v>
      </c>
      <c r="AO7567">
        <v>10212</v>
      </c>
      <c r="AU7567">
        <v>13.2</v>
      </c>
      <c r="AV7567" t="s">
        <v>835</v>
      </c>
      <c r="AW7567" t="s">
        <v>46884</v>
      </c>
    </row>
    <row r="7568" spans="1:50">
      <c r="A7568" s="1">
        <f>HYPERLINK("https://lsnyc.legalserver.org/matter/dynamic-profile/view/1897975","19-1897975")</f>
        <v>0</v>
      </c>
      <c r="B7568" t="s">
        <v>214</v>
      </c>
      <c r="C7568" t="s">
        <v>340</v>
      </c>
      <c r="D7568" t="s">
        <v>766</v>
      </c>
      <c r="F7568" t="s">
        <v>2745</v>
      </c>
      <c r="G7568" t="s">
        <v>8367</v>
      </c>
      <c r="H7568" t="s">
        <v>14828</v>
      </c>
      <c r="J7568" t="s">
        <v>18901</v>
      </c>
      <c r="K7568">
        <v>11433</v>
      </c>
      <c r="L7568" t="s">
        <v>18958</v>
      </c>
      <c r="M7568" t="s">
        <v>18958</v>
      </c>
      <c r="N7568" t="s">
        <v>24350</v>
      </c>
      <c r="O7568" t="s">
        <v>26524</v>
      </c>
      <c r="P7568" t="s">
        <v>26560</v>
      </c>
      <c r="R7568" t="s">
        <v>26585</v>
      </c>
      <c r="S7568" t="s">
        <v>18959</v>
      </c>
      <c r="U7568" t="s">
        <v>26604</v>
      </c>
      <c r="V7568" t="s">
        <v>26610</v>
      </c>
      <c r="W7568" t="s">
        <v>766</v>
      </c>
      <c r="X7568">
        <v>1046</v>
      </c>
      <c r="Y7568" t="s">
        <v>26653</v>
      </c>
      <c r="Z7568" t="s">
        <v>26664</v>
      </c>
      <c r="AB7568" t="s">
        <v>32330</v>
      </c>
      <c r="AC7568" t="s">
        <v>36355</v>
      </c>
      <c r="AD7568" t="s">
        <v>42725</v>
      </c>
      <c r="AE7568">
        <v>7</v>
      </c>
      <c r="AF7568" t="s">
        <v>45541</v>
      </c>
      <c r="AG7568" t="s">
        <v>45562</v>
      </c>
      <c r="AH7568">
        <v>3</v>
      </c>
      <c r="AI7568">
        <v>1</v>
      </c>
      <c r="AJ7568">
        <v>0</v>
      </c>
      <c r="AK7568">
        <v>121.25</v>
      </c>
      <c r="AN7568" t="s">
        <v>7439</v>
      </c>
      <c r="AO7568">
        <v>15144</v>
      </c>
      <c r="AU7568">
        <v>19.1</v>
      </c>
      <c r="AV7568" t="s">
        <v>839</v>
      </c>
      <c r="AW7568" t="s">
        <v>107</v>
      </c>
      <c r="AX7568" t="s">
        <v>46897</v>
      </c>
    </row>
    <row r="7569" spans="1:50">
      <c r="A7569" s="1">
        <f>HYPERLINK("https://lsnyc.legalserver.org/matter/dynamic-profile/view/1898031","19-1898031")</f>
        <v>0</v>
      </c>
      <c r="B7569" t="s">
        <v>121</v>
      </c>
      <c r="C7569" t="s">
        <v>340</v>
      </c>
      <c r="D7569" t="s">
        <v>766</v>
      </c>
      <c r="F7569" t="s">
        <v>3989</v>
      </c>
      <c r="G7569" t="s">
        <v>5352</v>
      </c>
      <c r="H7569" t="s">
        <v>14829</v>
      </c>
      <c r="I7569" t="s">
        <v>17274</v>
      </c>
      <c r="J7569" t="s">
        <v>18892</v>
      </c>
      <c r="K7569">
        <v>10468</v>
      </c>
      <c r="L7569" t="s">
        <v>18958</v>
      </c>
      <c r="M7569" t="s">
        <v>18958</v>
      </c>
      <c r="N7569" t="s">
        <v>24351</v>
      </c>
      <c r="O7569" t="s">
        <v>26524</v>
      </c>
      <c r="P7569" t="s">
        <v>26560</v>
      </c>
      <c r="R7569" t="s">
        <v>26579</v>
      </c>
      <c r="U7569" t="s">
        <v>26604</v>
      </c>
      <c r="V7569" t="s">
        <v>26610</v>
      </c>
      <c r="W7569" t="s">
        <v>766</v>
      </c>
      <c r="X7569">
        <v>1750</v>
      </c>
      <c r="Y7569" t="s">
        <v>26650</v>
      </c>
      <c r="Z7569" t="s">
        <v>26664</v>
      </c>
      <c r="AB7569" t="s">
        <v>28431</v>
      </c>
      <c r="AE7569">
        <v>0</v>
      </c>
      <c r="AF7569" t="s">
        <v>20460</v>
      </c>
      <c r="AG7569" t="s">
        <v>19330</v>
      </c>
      <c r="AH7569">
        <v>5</v>
      </c>
      <c r="AI7569">
        <v>2</v>
      </c>
      <c r="AJ7569">
        <v>5</v>
      </c>
      <c r="AK7569">
        <v>39.99</v>
      </c>
      <c r="AN7569" t="s">
        <v>45581</v>
      </c>
      <c r="AO7569">
        <v>15600</v>
      </c>
      <c r="AU7569">
        <v>12.8</v>
      </c>
      <c r="AV7569" t="s">
        <v>833</v>
      </c>
      <c r="AW7569" t="s">
        <v>334</v>
      </c>
      <c r="AX7569" t="s">
        <v>46897</v>
      </c>
    </row>
    <row r="7570" spans="1:50">
      <c r="A7570" s="1">
        <f>HYPERLINK("https://lsnyc.legalserver.org/matter/dynamic-profile/view/1898058","19-1898058")</f>
        <v>0</v>
      </c>
      <c r="B7570" t="s">
        <v>199</v>
      </c>
      <c r="C7570" t="s">
        <v>340</v>
      </c>
      <c r="D7570" t="s">
        <v>766</v>
      </c>
      <c r="F7570" t="s">
        <v>2124</v>
      </c>
      <c r="G7570" t="s">
        <v>6508</v>
      </c>
      <c r="H7570" t="s">
        <v>11712</v>
      </c>
      <c r="I7570" t="s">
        <v>17853</v>
      </c>
      <c r="J7570" t="s">
        <v>18894</v>
      </c>
      <c r="K7570">
        <v>11203</v>
      </c>
      <c r="L7570" t="s">
        <v>18958</v>
      </c>
      <c r="M7570" t="s">
        <v>18960</v>
      </c>
      <c r="O7570" t="s">
        <v>26539</v>
      </c>
      <c r="P7570" t="s">
        <v>26562</v>
      </c>
      <c r="R7570" t="s">
        <v>26578</v>
      </c>
      <c r="U7570" t="s">
        <v>26604</v>
      </c>
      <c r="W7570" t="s">
        <v>766</v>
      </c>
      <c r="X7570">
        <v>1235.14</v>
      </c>
      <c r="Y7570" t="s">
        <v>26652</v>
      </c>
      <c r="Z7570" t="s">
        <v>26659</v>
      </c>
      <c r="AB7570" t="s">
        <v>28948</v>
      </c>
      <c r="AD7570" t="s">
        <v>39006</v>
      </c>
      <c r="AE7570">
        <v>42</v>
      </c>
      <c r="AF7570" t="s">
        <v>45541</v>
      </c>
      <c r="AH7570">
        <v>13</v>
      </c>
      <c r="AI7570">
        <v>2</v>
      </c>
      <c r="AJ7570">
        <v>0</v>
      </c>
      <c r="AK7570">
        <v>283.04</v>
      </c>
      <c r="AN7570" t="s">
        <v>7439</v>
      </c>
      <c r="AO7570">
        <v>47861.76</v>
      </c>
      <c r="AU7570">
        <v>9.75</v>
      </c>
      <c r="AV7570" t="s">
        <v>834</v>
      </c>
      <c r="AW7570" t="s">
        <v>199</v>
      </c>
      <c r="AX7570" t="s">
        <v>46897</v>
      </c>
    </row>
    <row r="7571" spans="1:50">
      <c r="A7571" s="1">
        <f>HYPERLINK("https://lsnyc.legalserver.org/matter/dynamic-profile/view/1897990","19-1897990")</f>
        <v>0</v>
      </c>
      <c r="B7571" t="s">
        <v>233</v>
      </c>
      <c r="C7571" t="s">
        <v>340</v>
      </c>
      <c r="D7571" t="s">
        <v>766</v>
      </c>
      <c r="F7571" t="s">
        <v>3990</v>
      </c>
      <c r="G7571" t="s">
        <v>5335</v>
      </c>
      <c r="H7571" t="s">
        <v>14830</v>
      </c>
      <c r="I7571">
        <v>32</v>
      </c>
      <c r="J7571" t="s">
        <v>18892</v>
      </c>
      <c r="K7571">
        <v>10459</v>
      </c>
      <c r="L7571" t="s">
        <v>18958</v>
      </c>
      <c r="M7571" t="s">
        <v>18958</v>
      </c>
      <c r="N7571" t="s">
        <v>24352</v>
      </c>
      <c r="O7571" t="s">
        <v>26523</v>
      </c>
      <c r="P7571" t="s">
        <v>26564</v>
      </c>
      <c r="R7571" t="s">
        <v>26577</v>
      </c>
      <c r="S7571" t="s">
        <v>18959</v>
      </c>
      <c r="U7571" t="s">
        <v>26604</v>
      </c>
      <c r="W7571" t="s">
        <v>766</v>
      </c>
      <c r="X7571">
        <v>0</v>
      </c>
      <c r="Y7571" t="s">
        <v>26650</v>
      </c>
      <c r="AB7571" t="s">
        <v>28660</v>
      </c>
      <c r="AC7571" t="s">
        <v>36356</v>
      </c>
      <c r="AE7571">
        <v>0</v>
      </c>
      <c r="AF7571" t="s">
        <v>45541</v>
      </c>
      <c r="AG7571" t="s">
        <v>45558</v>
      </c>
      <c r="AH7571">
        <v>1</v>
      </c>
      <c r="AI7571">
        <v>2</v>
      </c>
      <c r="AJ7571">
        <v>0</v>
      </c>
      <c r="AK7571">
        <v>107.04</v>
      </c>
      <c r="AN7571" t="s">
        <v>7439</v>
      </c>
      <c r="AO7571">
        <v>18100</v>
      </c>
      <c r="AU7571">
        <v>7.35</v>
      </c>
      <c r="AV7571" t="s">
        <v>830</v>
      </c>
      <c r="AW7571" t="s">
        <v>46870</v>
      </c>
      <c r="AX7571" t="s">
        <v>46898</v>
      </c>
    </row>
    <row r="7572" spans="1:50">
      <c r="A7572" s="1">
        <f>HYPERLINK("https://lsnyc.legalserver.org/matter/dynamic-profile/view/1897998","19-1897998")</f>
        <v>0</v>
      </c>
      <c r="B7572" t="s">
        <v>233</v>
      </c>
      <c r="C7572" t="s">
        <v>340</v>
      </c>
      <c r="D7572" t="s">
        <v>766</v>
      </c>
      <c r="F7572" t="s">
        <v>962</v>
      </c>
      <c r="G7572" t="s">
        <v>6030</v>
      </c>
      <c r="H7572" t="s">
        <v>14831</v>
      </c>
      <c r="I7572" t="s">
        <v>17349</v>
      </c>
      <c r="J7572" t="s">
        <v>18892</v>
      </c>
      <c r="K7572">
        <v>10462</v>
      </c>
      <c r="L7572" t="s">
        <v>18958</v>
      </c>
      <c r="M7572" t="s">
        <v>18958</v>
      </c>
      <c r="N7572" t="s">
        <v>24353</v>
      </c>
      <c r="O7572" t="s">
        <v>26523</v>
      </c>
      <c r="P7572" t="s">
        <v>26560</v>
      </c>
      <c r="R7572" t="s">
        <v>26579</v>
      </c>
      <c r="S7572" t="s">
        <v>18959</v>
      </c>
      <c r="U7572" t="s">
        <v>26604</v>
      </c>
      <c r="W7572" t="s">
        <v>766</v>
      </c>
      <c r="X7572">
        <v>1524.9</v>
      </c>
      <c r="Y7572" t="s">
        <v>26650</v>
      </c>
      <c r="Z7572" t="s">
        <v>26664</v>
      </c>
      <c r="AB7572" t="s">
        <v>32331</v>
      </c>
      <c r="AD7572" t="s">
        <v>42726</v>
      </c>
      <c r="AE7572">
        <v>0</v>
      </c>
      <c r="AF7572" t="s">
        <v>45541</v>
      </c>
      <c r="AG7572" t="s">
        <v>45556</v>
      </c>
      <c r="AH7572">
        <v>3</v>
      </c>
      <c r="AI7572">
        <v>3</v>
      </c>
      <c r="AJ7572">
        <v>1</v>
      </c>
      <c r="AK7572">
        <v>52.71</v>
      </c>
      <c r="AN7572" t="s">
        <v>7439</v>
      </c>
      <c r="AO7572">
        <v>13572</v>
      </c>
      <c r="AU7572">
        <v>0.5</v>
      </c>
      <c r="AV7572" t="s">
        <v>766</v>
      </c>
      <c r="AW7572" t="s">
        <v>46870</v>
      </c>
      <c r="AX7572" t="s">
        <v>46897</v>
      </c>
    </row>
    <row r="7573" spans="1:50">
      <c r="A7573" s="1">
        <f>HYPERLINK("https://lsnyc.legalserver.org/matter/dynamic-profile/view/1898056","19-1898056")</f>
        <v>0</v>
      </c>
      <c r="B7573" t="s">
        <v>114</v>
      </c>
      <c r="C7573" t="s">
        <v>340</v>
      </c>
      <c r="D7573" t="s">
        <v>766</v>
      </c>
      <c r="F7573" t="s">
        <v>3991</v>
      </c>
      <c r="G7573" t="s">
        <v>8368</v>
      </c>
      <c r="H7573" t="s">
        <v>14832</v>
      </c>
      <c r="I7573" t="s">
        <v>17436</v>
      </c>
      <c r="J7573" t="s">
        <v>18923</v>
      </c>
      <c r="K7573">
        <v>11418</v>
      </c>
      <c r="L7573" t="s">
        <v>18958</v>
      </c>
      <c r="M7573" t="s">
        <v>18958</v>
      </c>
      <c r="N7573" t="s">
        <v>24354</v>
      </c>
      <c r="O7573" t="s">
        <v>26524</v>
      </c>
      <c r="P7573" t="s">
        <v>26563</v>
      </c>
      <c r="R7573" t="s">
        <v>26578</v>
      </c>
      <c r="S7573" t="s">
        <v>18959</v>
      </c>
      <c r="U7573" t="s">
        <v>26604</v>
      </c>
      <c r="W7573" t="s">
        <v>766</v>
      </c>
      <c r="X7573">
        <v>2224</v>
      </c>
      <c r="Y7573" t="s">
        <v>26653</v>
      </c>
      <c r="AB7573" t="s">
        <v>29322</v>
      </c>
      <c r="AD7573" t="s">
        <v>42727</v>
      </c>
      <c r="AE7573">
        <v>0</v>
      </c>
      <c r="AH7573">
        <v>1</v>
      </c>
      <c r="AI7573">
        <v>3</v>
      </c>
      <c r="AJ7573">
        <v>5</v>
      </c>
      <c r="AK7573">
        <v>61.9</v>
      </c>
      <c r="AN7573" t="s">
        <v>7439</v>
      </c>
      <c r="AO7573">
        <v>26884</v>
      </c>
      <c r="AU7573">
        <v>0.5</v>
      </c>
      <c r="AV7573" t="s">
        <v>813</v>
      </c>
      <c r="AW7573" t="s">
        <v>46884</v>
      </c>
    </row>
    <row r="7574" spans="1:50">
      <c r="A7574" s="1">
        <f>HYPERLINK("https://lsnyc.legalserver.org/matter/dynamic-profile/view/1898046","19-1898046")</f>
        <v>0</v>
      </c>
      <c r="B7574" t="s">
        <v>114</v>
      </c>
      <c r="C7574" t="s">
        <v>340</v>
      </c>
      <c r="D7574" t="s">
        <v>766</v>
      </c>
      <c r="F7574" t="s">
        <v>2251</v>
      </c>
      <c r="G7574" t="s">
        <v>5103</v>
      </c>
      <c r="H7574" t="s">
        <v>14833</v>
      </c>
      <c r="I7574" t="s">
        <v>18482</v>
      </c>
      <c r="J7574" t="s">
        <v>18913</v>
      </c>
      <c r="K7574">
        <v>11106</v>
      </c>
      <c r="L7574" t="s">
        <v>18958</v>
      </c>
      <c r="M7574" t="s">
        <v>18958</v>
      </c>
      <c r="N7574" t="s">
        <v>24355</v>
      </c>
      <c r="O7574" t="s">
        <v>26523</v>
      </c>
      <c r="P7574" t="s">
        <v>26564</v>
      </c>
      <c r="R7574" t="s">
        <v>26584</v>
      </c>
      <c r="S7574" t="s">
        <v>18958</v>
      </c>
      <c r="U7574" t="s">
        <v>26604</v>
      </c>
      <c r="W7574" t="s">
        <v>766</v>
      </c>
      <c r="X7574">
        <v>786</v>
      </c>
      <c r="Y7574" t="s">
        <v>26653</v>
      </c>
      <c r="Z7574" t="s">
        <v>26664</v>
      </c>
      <c r="AB7574" t="s">
        <v>30768</v>
      </c>
      <c r="AD7574" t="s">
        <v>42728</v>
      </c>
      <c r="AE7574">
        <v>48</v>
      </c>
      <c r="AH7574">
        <v>12</v>
      </c>
      <c r="AI7574">
        <v>1</v>
      </c>
      <c r="AJ7574">
        <v>0</v>
      </c>
      <c r="AK7574">
        <v>163.62</v>
      </c>
      <c r="AN7574" t="s">
        <v>45581</v>
      </c>
      <c r="AO7574">
        <v>20436</v>
      </c>
      <c r="AU7574">
        <v>0.5</v>
      </c>
      <c r="AV7574" t="s">
        <v>813</v>
      </c>
      <c r="AW7574" t="s">
        <v>46884</v>
      </c>
    </row>
    <row r="7575" spans="1:50">
      <c r="A7575" s="1">
        <f>HYPERLINK("https://lsnyc.legalserver.org/matter/dynamic-profile/view/1897953","19-1897953")</f>
        <v>0</v>
      </c>
      <c r="B7575" t="s">
        <v>87</v>
      </c>
      <c r="C7575" t="s">
        <v>340</v>
      </c>
      <c r="D7575" t="s">
        <v>766</v>
      </c>
      <c r="F7575" t="s">
        <v>1732</v>
      </c>
      <c r="G7575" t="s">
        <v>1056</v>
      </c>
      <c r="H7575" t="s">
        <v>14834</v>
      </c>
      <c r="I7575" t="s">
        <v>17334</v>
      </c>
      <c r="J7575" t="s">
        <v>18892</v>
      </c>
      <c r="K7575">
        <v>10467</v>
      </c>
      <c r="L7575" t="s">
        <v>18958</v>
      </c>
      <c r="M7575" t="s">
        <v>18958</v>
      </c>
      <c r="N7575" t="s">
        <v>24356</v>
      </c>
      <c r="O7575" t="s">
        <v>26524</v>
      </c>
      <c r="P7575" t="s">
        <v>26560</v>
      </c>
      <c r="R7575" t="s">
        <v>26579</v>
      </c>
      <c r="U7575" t="s">
        <v>26604</v>
      </c>
      <c r="V7575" t="s">
        <v>26610</v>
      </c>
      <c r="W7575" t="s">
        <v>766</v>
      </c>
      <c r="X7575">
        <v>700</v>
      </c>
      <c r="Y7575" t="s">
        <v>26650</v>
      </c>
      <c r="Z7575" t="s">
        <v>26664</v>
      </c>
      <c r="AB7575" t="s">
        <v>32332</v>
      </c>
      <c r="AE7575">
        <v>0</v>
      </c>
      <c r="AF7575" t="s">
        <v>45547</v>
      </c>
      <c r="AG7575" t="s">
        <v>19330</v>
      </c>
      <c r="AH7575">
        <v>0</v>
      </c>
      <c r="AI7575">
        <v>1</v>
      </c>
      <c r="AJ7575">
        <v>0</v>
      </c>
      <c r="AK7575">
        <v>124.9</v>
      </c>
      <c r="AN7575" t="s">
        <v>7439</v>
      </c>
      <c r="AO7575">
        <v>15600</v>
      </c>
      <c r="AU7575">
        <v>3.5</v>
      </c>
      <c r="AV7575" t="s">
        <v>833</v>
      </c>
      <c r="AW7575" t="s">
        <v>334</v>
      </c>
      <c r="AX7575" t="s">
        <v>46897</v>
      </c>
    </row>
    <row r="7576" spans="1:50">
      <c r="A7576" s="1">
        <f>HYPERLINK("https://lsnyc.legalserver.org/matter/dynamic-profile/view/1898006","19-1898006")</f>
        <v>0</v>
      </c>
      <c r="B7576" t="s">
        <v>125</v>
      </c>
      <c r="C7576" t="s">
        <v>340</v>
      </c>
      <c r="D7576" t="s">
        <v>766</v>
      </c>
      <c r="F7576" t="s">
        <v>3992</v>
      </c>
      <c r="G7576" t="s">
        <v>4309</v>
      </c>
      <c r="H7576" t="s">
        <v>14835</v>
      </c>
      <c r="I7576">
        <v>1</v>
      </c>
      <c r="J7576" t="s">
        <v>18894</v>
      </c>
      <c r="K7576">
        <v>11208</v>
      </c>
      <c r="L7576" t="s">
        <v>18958</v>
      </c>
      <c r="M7576" t="s">
        <v>18958</v>
      </c>
      <c r="N7576" t="s">
        <v>24357</v>
      </c>
      <c r="O7576" t="s">
        <v>26524</v>
      </c>
      <c r="P7576" t="s">
        <v>26560</v>
      </c>
      <c r="R7576" t="s">
        <v>26578</v>
      </c>
      <c r="U7576" t="s">
        <v>26604</v>
      </c>
      <c r="W7576" t="s">
        <v>766</v>
      </c>
      <c r="X7576">
        <v>1200</v>
      </c>
      <c r="Y7576" t="s">
        <v>26652</v>
      </c>
      <c r="Z7576" t="s">
        <v>26659</v>
      </c>
      <c r="AB7576" t="s">
        <v>28608</v>
      </c>
      <c r="AD7576" t="s">
        <v>42729</v>
      </c>
      <c r="AE7576">
        <v>3</v>
      </c>
      <c r="AF7576" t="s">
        <v>20460</v>
      </c>
      <c r="AH7576">
        <v>1</v>
      </c>
      <c r="AI7576">
        <v>1</v>
      </c>
      <c r="AJ7576">
        <v>2</v>
      </c>
      <c r="AK7576">
        <v>19.75</v>
      </c>
      <c r="AN7576" t="s">
        <v>7439</v>
      </c>
      <c r="AO7576">
        <v>4212</v>
      </c>
      <c r="AU7576">
        <v>1.5</v>
      </c>
      <c r="AV7576" t="s">
        <v>768</v>
      </c>
      <c r="AW7576" t="s">
        <v>46856</v>
      </c>
    </row>
    <row r="7577" spans="1:50">
      <c r="A7577" s="1">
        <f>HYPERLINK("https://lsnyc.legalserver.org/matter/dynamic-profile/view/1898008","19-1898008")</f>
        <v>0</v>
      </c>
      <c r="B7577" t="s">
        <v>125</v>
      </c>
      <c r="C7577" t="s">
        <v>340</v>
      </c>
      <c r="D7577" t="s">
        <v>766</v>
      </c>
      <c r="F7577" t="s">
        <v>1182</v>
      </c>
      <c r="G7577" t="s">
        <v>5121</v>
      </c>
      <c r="H7577" t="s">
        <v>14836</v>
      </c>
      <c r="I7577" t="s">
        <v>17330</v>
      </c>
      <c r="J7577" t="s">
        <v>18894</v>
      </c>
      <c r="K7577">
        <v>11207</v>
      </c>
      <c r="L7577" t="s">
        <v>18958</v>
      </c>
      <c r="M7577" t="s">
        <v>18958</v>
      </c>
      <c r="N7577" t="s">
        <v>24358</v>
      </c>
      <c r="O7577" t="s">
        <v>26523</v>
      </c>
      <c r="P7577" t="s">
        <v>26560</v>
      </c>
      <c r="R7577" t="s">
        <v>26578</v>
      </c>
      <c r="U7577" t="s">
        <v>26604</v>
      </c>
      <c r="W7577" t="s">
        <v>766</v>
      </c>
      <c r="X7577">
        <v>11762.77</v>
      </c>
      <c r="Y7577" t="s">
        <v>26652</v>
      </c>
      <c r="Z7577" t="s">
        <v>26664</v>
      </c>
      <c r="AB7577" t="s">
        <v>32333</v>
      </c>
      <c r="AC7577" t="s">
        <v>36357</v>
      </c>
      <c r="AD7577" t="s">
        <v>42730</v>
      </c>
      <c r="AE7577">
        <v>6</v>
      </c>
      <c r="AF7577" t="s">
        <v>45541</v>
      </c>
      <c r="AH7577">
        <v>11</v>
      </c>
      <c r="AI7577">
        <v>1</v>
      </c>
      <c r="AJ7577">
        <v>2</v>
      </c>
      <c r="AK7577">
        <v>60.95</v>
      </c>
      <c r="AN7577" t="s">
        <v>45596</v>
      </c>
      <c r="AO7577">
        <v>13000</v>
      </c>
      <c r="AU7577">
        <v>19.75</v>
      </c>
      <c r="AV7577" t="s">
        <v>838</v>
      </c>
      <c r="AW7577" t="s">
        <v>46856</v>
      </c>
      <c r="AX7577" t="s">
        <v>46898</v>
      </c>
    </row>
    <row r="7578" spans="1:50">
      <c r="A7578" s="1">
        <f>HYPERLINK("https://lsnyc.legalserver.org/matter/dynamic-profile/view/1898176","19-1898176")</f>
        <v>0</v>
      </c>
      <c r="B7578" t="s">
        <v>106</v>
      </c>
      <c r="C7578" t="s">
        <v>340</v>
      </c>
      <c r="D7578" t="s">
        <v>801</v>
      </c>
      <c r="F7578" t="s">
        <v>3993</v>
      </c>
      <c r="G7578" t="s">
        <v>3358</v>
      </c>
      <c r="H7578" t="s">
        <v>14837</v>
      </c>
      <c r="I7578" t="s">
        <v>17393</v>
      </c>
      <c r="J7578" t="s">
        <v>18894</v>
      </c>
      <c r="K7578">
        <v>11218</v>
      </c>
      <c r="L7578" t="s">
        <v>18958</v>
      </c>
      <c r="M7578" t="s">
        <v>18959</v>
      </c>
      <c r="N7578" t="s">
        <v>24359</v>
      </c>
      <c r="O7578" t="s">
        <v>26524</v>
      </c>
      <c r="P7578" t="s">
        <v>26560</v>
      </c>
      <c r="R7578" t="s">
        <v>26586</v>
      </c>
      <c r="S7578" t="s">
        <v>18959</v>
      </c>
      <c r="U7578" t="s">
        <v>26604</v>
      </c>
      <c r="V7578" t="s">
        <v>26610</v>
      </c>
      <c r="W7578" t="s">
        <v>766</v>
      </c>
      <c r="X7578">
        <v>1650</v>
      </c>
      <c r="Y7578" t="s">
        <v>26652</v>
      </c>
      <c r="Z7578" t="s">
        <v>26664</v>
      </c>
      <c r="AB7578" t="s">
        <v>28629</v>
      </c>
      <c r="AD7578" t="s">
        <v>42731</v>
      </c>
      <c r="AE7578">
        <v>3</v>
      </c>
      <c r="AF7578" t="s">
        <v>45547</v>
      </c>
      <c r="AG7578" t="s">
        <v>19330</v>
      </c>
      <c r="AH7578">
        <v>9</v>
      </c>
      <c r="AI7578">
        <v>4</v>
      </c>
      <c r="AJ7578">
        <v>4</v>
      </c>
      <c r="AK7578">
        <v>141.12</v>
      </c>
      <c r="AN7578" t="s">
        <v>7439</v>
      </c>
      <c r="AO7578">
        <v>61288</v>
      </c>
      <c r="AU7578">
        <v>6.1</v>
      </c>
      <c r="AV7578" t="s">
        <v>821</v>
      </c>
      <c r="AW7578" t="s">
        <v>46853</v>
      </c>
      <c r="AX7578" t="s">
        <v>46897</v>
      </c>
    </row>
    <row r="7579" spans="1:50">
      <c r="A7579" s="1">
        <f>HYPERLINK("https://lsnyc.legalserver.org/matter/dynamic-profile/view/1898331","19-1898331")</f>
        <v>0</v>
      </c>
      <c r="B7579" t="s">
        <v>134</v>
      </c>
      <c r="C7579" t="s">
        <v>340</v>
      </c>
      <c r="D7579" t="s">
        <v>767</v>
      </c>
      <c r="F7579" t="s">
        <v>3994</v>
      </c>
      <c r="G7579" t="s">
        <v>8369</v>
      </c>
      <c r="H7579" t="s">
        <v>10439</v>
      </c>
      <c r="I7579" t="s">
        <v>17833</v>
      </c>
      <c r="J7579" t="s">
        <v>18894</v>
      </c>
      <c r="K7579">
        <v>11216</v>
      </c>
      <c r="L7579" t="s">
        <v>18958</v>
      </c>
      <c r="M7579" t="s">
        <v>18958</v>
      </c>
      <c r="N7579" t="s">
        <v>24360</v>
      </c>
      <c r="O7579" t="s">
        <v>26528</v>
      </c>
      <c r="P7579" t="s">
        <v>26560</v>
      </c>
      <c r="R7579" t="s">
        <v>26578</v>
      </c>
      <c r="S7579" t="s">
        <v>18958</v>
      </c>
      <c r="U7579" t="s">
        <v>26604</v>
      </c>
      <c r="V7579" t="s">
        <v>26610</v>
      </c>
      <c r="W7579" t="s">
        <v>766</v>
      </c>
      <c r="X7579">
        <v>2200</v>
      </c>
      <c r="Y7579" t="s">
        <v>26652</v>
      </c>
      <c r="Z7579" t="s">
        <v>26667</v>
      </c>
      <c r="AB7579" t="s">
        <v>32334</v>
      </c>
      <c r="AD7579" t="s">
        <v>42732</v>
      </c>
      <c r="AE7579">
        <v>82</v>
      </c>
      <c r="AF7579" t="s">
        <v>45541</v>
      </c>
      <c r="AG7579" t="s">
        <v>19330</v>
      </c>
      <c r="AH7579">
        <v>0</v>
      </c>
      <c r="AI7579">
        <v>1</v>
      </c>
      <c r="AJ7579">
        <v>0</v>
      </c>
      <c r="AK7579">
        <v>391.71</v>
      </c>
      <c r="AN7579" t="s">
        <v>7439</v>
      </c>
      <c r="AO7579">
        <v>48925</v>
      </c>
      <c r="AP7579" t="s">
        <v>46060</v>
      </c>
      <c r="AU7579">
        <v>0</v>
      </c>
      <c r="AW7579" t="s">
        <v>279</v>
      </c>
    </row>
    <row r="7580" spans="1:50">
      <c r="A7580" s="1">
        <f>HYPERLINK("https://lsnyc.legalserver.org/matter/dynamic-profile/view/1898333","19-1898333")</f>
        <v>0</v>
      </c>
      <c r="B7580" t="s">
        <v>134</v>
      </c>
      <c r="C7580" t="s">
        <v>340</v>
      </c>
      <c r="D7580" t="s">
        <v>767</v>
      </c>
      <c r="F7580" t="s">
        <v>3994</v>
      </c>
      <c r="G7580" t="s">
        <v>8369</v>
      </c>
      <c r="H7580" t="s">
        <v>10439</v>
      </c>
      <c r="I7580" t="s">
        <v>17833</v>
      </c>
      <c r="J7580" t="s">
        <v>18894</v>
      </c>
      <c r="K7580">
        <v>11216</v>
      </c>
      <c r="L7580" t="s">
        <v>18958</v>
      </c>
      <c r="M7580" t="s">
        <v>18958</v>
      </c>
      <c r="O7580" t="s">
        <v>26531</v>
      </c>
      <c r="P7580" t="s">
        <v>26565</v>
      </c>
      <c r="R7580" t="s">
        <v>26578</v>
      </c>
      <c r="S7580" t="s">
        <v>18958</v>
      </c>
      <c r="U7580" t="s">
        <v>26604</v>
      </c>
      <c r="V7580" t="s">
        <v>26610</v>
      </c>
      <c r="W7580" t="s">
        <v>766</v>
      </c>
      <c r="X7580">
        <v>2200</v>
      </c>
      <c r="Y7580" t="s">
        <v>26652</v>
      </c>
      <c r="Z7580" t="s">
        <v>26667</v>
      </c>
      <c r="AB7580" t="s">
        <v>32334</v>
      </c>
      <c r="AD7580" t="s">
        <v>42732</v>
      </c>
      <c r="AE7580">
        <v>82</v>
      </c>
      <c r="AF7580" t="s">
        <v>45541</v>
      </c>
      <c r="AG7580" t="s">
        <v>19330</v>
      </c>
      <c r="AH7580">
        <v>0</v>
      </c>
      <c r="AI7580">
        <v>1</v>
      </c>
      <c r="AJ7580">
        <v>0</v>
      </c>
      <c r="AK7580">
        <v>391.71</v>
      </c>
      <c r="AN7580" t="s">
        <v>7439</v>
      </c>
      <c r="AO7580">
        <v>48925</v>
      </c>
      <c r="AP7580" t="s">
        <v>46061</v>
      </c>
      <c r="AU7580">
        <v>0</v>
      </c>
      <c r="AW7580" t="s">
        <v>279</v>
      </c>
    </row>
    <row r="7581" spans="1:50">
      <c r="A7581" s="1">
        <f>HYPERLINK("https://lsnyc.legalserver.org/matter/dynamic-profile/view/1897970","19-1897970")</f>
        <v>0</v>
      </c>
      <c r="B7581" t="s">
        <v>105</v>
      </c>
      <c r="C7581" t="s">
        <v>341</v>
      </c>
      <c r="D7581" t="s">
        <v>808</v>
      </c>
      <c r="E7581" t="s">
        <v>808</v>
      </c>
      <c r="F7581" t="s">
        <v>948</v>
      </c>
      <c r="G7581" t="s">
        <v>1377</v>
      </c>
      <c r="H7581" t="s">
        <v>14838</v>
      </c>
      <c r="J7581" t="s">
        <v>18896</v>
      </c>
      <c r="K7581">
        <v>11419</v>
      </c>
      <c r="L7581" t="s">
        <v>18958</v>
      </c>
      <c r="M7581" t="s">
        <v>18960</v>
      </c>
      <c r="N7581" t="s">
        <v>24361</v>
      </c>
      <c r="O7581" t="s">
        <v>26524</v>
      </c>
      <c r="P7581" t="s">
        <v>26564</v>
      </c>
      <c r="Q7581" t="s">
        <v>26570</v>
      </c>
      <c r="R7581" t="s">
        <v>26584</v>
      </c>
      <c r="S7581" t="s">
        <v>18959</v>
      </c>
      <c r="U7581" t="s">
        <v>26604</v>
      </c>
      <c r="W7581" t="s">
        <v>766</v>
      </c>
      <c r="X7581">
        <v>1400</v>
      </c>
      <c r="Y7581" t="s">
        <v>26653</v>
      </c>
      <c r="Z7581" t="s">
        <v>26664</v>
      </c>
      <c r="AA7581" t="s">
        <v>26683</v>
      </c>
      <c r="AB7581" t="s">
        <v>27386</v>
      </c>
      <c r="AD7581" t="s">
        <v>42733</v>
      </c>
      <c r="AE7581">
        <v>1</v>
      </c>
      <c r="AF7581" t="s">
        <v>45547</v>
      </c>
      <c r="AH7581">
        <v>1</v>
      </c>
      <c r="AI7581">
        <v>2</v>
      </c>
      <c r="AJ7581">
        <v>3</v>
      </c>
      <c r="AK7581">
        <v>49.72</v>
      </c>
      <c r="AN7581" t="s">
        <v>45587</v>
      </c>
      <c r="AO7581">
        <v>15000</v>
      </c>
      <c r="AU7581">
        <v>1.45</v>
      </c>
      <c r="AV7581" t="s">
        <v>808</v>
      </c>
      <c r="AW7581" t="s">
        <v>247</v>
      </c>
      <c r="AX7581" t="s">
        <v>46897</v>
      </c>
    </row>
    <row r="7582" spans="1:50">
      <c r="A7582" s="1">
        <f>HYPERLINK("https://lsnyc.legalserver.org/matter/dynamic-profile/view/1895917","19-1895917")</f>
        <v>0</v>
      </c>
      <c r="B7582" t="s">
        <v>68</v>
      </c>
      <c r="C7582" t="s">
        <v>340</v>
      </c>
      <c r="D7582" t="s">
        <v>791</v>
      </c>
      <c r="F7582" t="s">
        <v>1562</v>
      </c>
      <c r="G7582" t="s">
        <v>5751</v>
      </c>
      <c r="H7582" t="s">
        <v>10536</v>
      </c>
      <c r="I7582" t="s">
        <v>17424</v>
      </c>
      <c r="J7582" t="s">
        <v>18892</v>
      </c>
      <c r="K7582">
        <v>10467</v>
      </c>
      <c r="L7582" t="s">
        <v>18958</v>
      </c>
      <c r="M7582" t="s">
        <v>18958</v>
      </c>
      <c r="N7582" t="s">
        <v>24362</v>
      </c>
      <c r="O7582" t="s">
        <v>26523</v>
      </c>
      <c r="P7582" t="s">
        <v>26560</v>
      </c>
      <c r="R7582" t="s">
        <v>26579</v>
      </c>
      <c r="S7582" t="s">
        <v>18959</v>
      </c>
      <c r="U7582" t="s">
        <v>26604</v>
      </c>
      <c r="V7582" t="s">
        <v>26610</v>
      </c>
      <c r="W7582" t="s">
        <v>801</v>
      </c>
      <c r="X7582">
        <v>1691.25</v>
      </c>
      <c r="Y7582" t="s">
        <v>26650</v>
      </c>
      <c r="Z7582" t="s">
        <v>26659</v>
      </c>
      <c r="AB7582" t="s">
        <v>27653</v>
      </c>
      <c r="AC7582" t="s">
        <v>36358</v>
      </c>
      <c r="AD7582" t="s">
        <v>37707</v>
      </c>
      <c r="AE7582">
        <v>62</v>
      </c>
      <c r="AF7582" t="s">
        <v>45541</v>
      </c>
      <c r="AG7582" t="s">
        <v>19330</v>
      </c>
      <c r="AH7582">
        <v>2</v>
      </c>
      <c r="AI7582">
        <v>1</v>
      </c>
      <c r="AJ7582">
        <v>3</v>
      </c>
      <c r="AK7582">
        <v>181.75</v>
      </c>
      <c r="AN7582" t="s">
        <v>7439</v>
      </c>
      <c r="AO7582">
        <v>46800</v>
      </c>
      <c r="AQ7582" t="s">
        <v>46362</v>
      </c>
      <c r="AR7582" t="s">
        <v>46385</v>
      </c>
      <c r="AS7582" t="s">
        <v>46499</v>
      </c>
      <c r="AT7582" t="s">
        <v>46796</v>
      </c>
      <c r="AU7582">
        <v>4.8</v>
      </c>
      <c r="AV7582" t="s">
        <v>839</v>
      </c>
      <c r="AW7582" t="s">
        <v>46836</v>
      </c>
      <c r="AX7582" t="s">
        <v>46897</v>
      </c>
    </row>
    <row r="7583" spans="1:50">
      <c r="A7583" s="1">
        <f>HYPERLINK("https://lsnyc.legalserver.org/matter/dynamic-profile/view/1896270","19-1896270")</f>
        <v>0</v>
      </c>
      <c r="B7583" t="s">
        <v>141</v>
      </c>
      <c r="C7583" t="s">
        <v>341</v>
      </c>
      <c r="D7583" t="s">
        <v>792</v>
      </c>
      <c r="E7583" t="s">
        <v>805</v>
      </c>
      <c r="F7583" t="s">
        <v>1300</v>
      </c>
      <c r="G7583" t="s">
        <v>8370</v>
      </c>
      <c r="H7583" t="s">
        <v>14839</v>
      </c>
      <c r="I7583" t="s">
        <v>17293</v>
      </c>
      <c r="J7583" t="s">
        <v>18900</v>
      </c>
      <c r="K7583">
        <v>11354</v>
      </c>
      <c r="L7583" t="s">
        <v>18958</v>
      </c>
      <c r="M7583" t="s">
        <v>18960</v>
      </c>
      <c r="N7583" t="s">
        <v>24363</v>
      </c>
      <c r="O7583" t="s">
        <v>26524</v>
      </c>
      <c r="P7583" t="s">
        <v>26565</v>
      </c>
      <c r="Q7583" t="s">
        <v>26571</v>
      </c>
      <c r="R7583" t="s">
        <v>26578</v>
      </c>
      <c r="S7583" t="s">
        <v>18959</v>
      </c>
      <c r="U7583" t="s">
        <v>26604</v>
      </c>
      <c r="V7583" t="s">
        <v>26610</v>
      </c>
      <c r="W7583" t="s">
        <v>801</v>
      </c>
      <c r="X7583">
        <v>1375</v>
      </c>
      <c r="Y7583" t="s">
        <v>26653</v>
      </c>
      <c r="Z7583" t="s">
        <v>26664</v>
      </c>
      <c r="AA7583" t="s">
        <v>26682</v>
      </c>
      <c r="AB7583" t="s">
        <v>32335</v>
      </c>
      <c r="AC7583" t="s">
        <v>34738</v>
      </c>
      <c r="AD7583" t="s">
        <v>42734</v>
      </c>
      <c r="AE7583">
        <v>36</v>
      </c>
      <c r="AF7583" t="s">
        <v>45541</v>
      </c>
      <c r="AG7583" t="s">
        <v>19330</v>
      </c>
      <c r="AH7583">
        <v>2</v>
      </c>
      <c r="AI7583">
        <v>1</v>
      </c>
      <c r="AJ7583">
        <v>0</v>
      </c>
      <c r="AK7583">
        <v>105.68</v>
      </c>
      <c r="AN7583" t="s">
        <v>7439</v>
      </c>
      <c r="AO7583">
        <v>13200</v>
      </c>
      <c r="AR7583" t="s">
        <v>26530</v>
      </c>
      <c r="AT7583" t="s">
        <v>46762</v>
      </c>
      <c r="AU7583">
        <v>5.1</v>
      </c>
      <c r="AV7583" t="s">
        <v>806</v>
      </c>
      <c r="AW7583" t="s">
        <v>46842</v>
      </c>
      <c r="AX7583" t="s">
        <v>46897</v>
      </c>
    </row>
    <row r="7584" spans="1:50">
      <c r="A7584" s="1">
        <f>HYPERLINK("https://lsnyc.legalserver.org/matter/dynamic-profile/view/1897531","19-1897531")</f>
        <v>0</v>
      </c>
      <c r="B7584" t="s">
        <v>54</v>
      </c>
      <c r="C7584" t="s">
        <v>340</v>
      </c>
      <c r="D7584" t="s">
        <v>762</v>
      </c>
      <c r="F7584" t="s">
        <v>1345</v>
      </c>
      <c r="G7584" t="s">
        <v>5107</v>
      </c>
      <c r="H7584" t="s">
        <v>14840</v>
      </c>
      <c r="I7584" t="s">
        <v>17360</v>
      </c>
      <c r="J7584" t="s">
        <v>18892</v>
      </c>
      <c r="K7584">
        <v>10456</v>
      </c>
      <c r="L7584" t="s">
        <v>18958</v>
      </c>
      <c r="M7584" t="s">
        <v>18958</v>
      </c>
      <c r="N7584" t="s">
        <v>24364</v>
      </c>
      <c r="O7584" t="s">
        <v>26523</v>
      </c>
      <c r="P7584" t="s">
        <v>26560</v>
      </c>
      <c r="R7584" t="s">
        <v>26577</v>
      </c>
      <c r="S7584" t="s">
        <v>18959</v>
      </c>
      <c r="U7584" t="s">
        <v>26604</v>
      </c>
      <c r="W7584" t="s">
        <v>801</v>
      </c>
      <c r="X7584">
        <v>953.63</v>
      </c>
      <c r="Y7584" t="s">
        <v>26650</v>
      </c>
      <c r="Z7584" t="s">
        <v>26659</v>
      </c>
      <c r="AB7584" t="s">
        <v>32336</v>
      </c>
      <c r="AD7584" t="s">
        <v>42735</v>
      </c>
      <c r="AE7584">
        <v>0</v>
      </c>
      <c r="AF7584" t="s">
        <v>45541</v>
      </c>
      <c r="AG7584" t="s">
        <v>19330</v>
      </c>
      <c r="AH7584">
        <v>10</v>
      </c>
      <c r="AI7584">
        <v>2</v>
      </c>
      <c r="AJ7584">
        <v>0</v>
      </c>
      <c r="AK7584">
        <v>130.1</v>
      </c>
      <c r="AN7584" t="s">
        <v>45581</v>
      </c>
      <c r="AO7584">
        <v>22000</v>
      </c>
      <c r="AU7584">
        <v>13.1</v>
      </c>
      <c r="AV7584" t="s">
        <v>839</v>
      </c>
      <c r="AW7584" t="s">
        <v>46832</v>
      </c>
      <c r="AX7584" t="s">
        <v>46897</v>
      </c>
    </row>
    <row r="7585" spans="1:50">
      <c r="A7585" s="1">
        <f>HYPERLINK("https://lsnyc.legalserver.org/matter/dynamic-profile/view/1897876","19-1897876")</f>
        <v>0</v>
      </c>
      <c r="B7585" t="s">
        <v>55</v>
      </c>
      <c r="C7585" t="s">
        <v>340</v>
      </c>
      <c r="D7585" t="s">
        <v>765</v>
      </c>
      <c r="F7585" t="s">
        <v>3795</v>
      </c>
      <c r="G7585" t="s">
        <v>4309</v>
      </c>
      <c r="H7585" t="s">
        <v>12199</v>
      </c>
      <c r="I7585" t="s">
        <v>17410</v>
      </c>
      <c r="J7585" t="s">
        <v>18892</v>
      </c>
      <c r="K7585">
        <v>10460</v>
      </c>
      <c r="L7585" t="s">
        <v>18958</v>
      </c>
      <c r="M7585" t="s">
        <v>18958</v>
      </c>
      <c r="N7585" t="s">
        <v>24365</v>
      </c>
      <c r="O7585" t="s">
        <v>26523</v>
      </c>
      <c r="P7585" t="s">
        <v>26560</v>
      </c>
      <c r="R7585" t="s">
        <v>26578</v>
      </c>
      <c r="S7585" t="s">
        <v>18959</v>
      </c>
      <c r="U7585" t="s">
        <v>26604</v>
      </c>
      <c r="W7585" t="s">
        <v>801</v>
      </c>
      <c r="X7585">
        <v>1789</v>
      </c>
      <c r="Y7585" t="s">
        <v>26650</v>
      </c>
      <c r="Z7585" t="s">
        <v>26659</v>
      </c>
      <c r="AB7585" t="s">
        <v>29464</v>
      </c>
      <c r="AC7585" t="s">
        <v>36359</v>
      </c>
      <c r="AD7585" t="s">
        <v>42220</v>
      </c>
      <c r="AE7585">
        <v>168</v>
      </c>
      <c r="AF7585" t="s">
        <v>45541</v>
      </c>
      <c r="AG7585" t="s">
        <v>45556</v>
      </c>
      <c r="AH7585">
        <v>13</v>
      </c>
      <c r="AI7585">
        <v>1</v>
      </c>
      <c r="AJ7585">
        <v>0</v>
      </c>
      <c r="AK7585">
        <v>72.06</v>
      </c>
      <c r="AN7585" t="s">
        <v>7439</v>
      </c>
      <c r="AO7585">
        <v>9000</v>
      </c>
      <c r="AU7585">
        <v>4.6</v>
      </c>
      <c r="AV7585" t="s">
        <v>843</v>
      </c>
      <c r="AW7585" t="s">
        <v>336</v>
      </c>
      <c r="AX7585" t="s">
        <v>46898</v>
      </c>
    </row>
    <row r="7586" spans="1:50">
      <c r="A7586" s="1">
        <f>HYPERLINK("https://lsnyc.legalserver.org/matter/dynamic-profile/view/1898077","19-1898077")</f>
        <v>0</v>
      </c>
      <c r="B7586" t="s">
        <v>130</v>
      </c>
      <c r="C7586" t="s">
        <v>341</v>
      </c>
      <c r="D7586" t="s">
        <v>801</v>
      </c>
      <c r="E7586" t="s">
        <v>805</v>
      </c>
      <c r="F7586" t="s">
        <v>1377</v>
      </c>
      <c r="G7586" t="s">
        <v>8371</v>
      </c>
      <c r="H7586" t="s">
        <v>14841</v>
      </c>
      <c r="I7586" t="s">
        <v>17430</v>
      </c>
      <c r="J7586" t="s">
        <v>18930</v>
      </c>
      <c r="K7586">
        <v>11413</v>
      </c>
      <c r="L7586" t="s">
        <v>18958</v>
      </c>
      <c r="M7586" t="s">
        <v>18958</v>
      </c>
      <c r="N7586" t="s">
        <v>24366</v>
      </c>
      <c r="O7586" t="s">
        <v>26524</v>
      </c>
      <c r="P7586" t="s">
        <v>26564</v>
      </c>
      <c r="Q7586" t="s">
        <v>26570</v>
      </c>
      <c r="R7586" t="s">
        <v>26584</v>
      </c>
      <c r="S7586" t="s">
        <v>18959</v>
      </c>
      <c r="U7586" t="s">
        <v>26604</v>
      </c>
      <c r="V7586" t="s">
        <v>26612</v>
      </c>
      <c r="W7586" t="s">
        <v>801</v>
      </c>
      <c r="X7586">
        <v>2625</v>
      </c>
      <c r="Y7586" t="s">
        <v>26653</v>
      </c>
      <c r="Z7586" t="s">
        <v>26664</v>
      </c>
      <c r="AA7586" t="s">
        <v>26683</v>
      </c>
      <c r="AB7586" t="s">
        <v>32337</v>
      </c>
      <c r="AD7586" t="s">
        <v>42736</v>
      </c>
      <c r="AE7586">
        <v>3</v>
      </c>
      <c r="AF7586" t="s">
        <v>45547</v>
      </c>
      <c r="AG7586" t="s">
        <v>19330</v>
      </c>
      <c r="AH7586">
        <v>2</v>
      </c>
      <c r="AI7586">
        <v>2</v>
      </c>
      <c r="AJ7586">
        <v>2</v>
      </c>
      <c r="AK7586">
        <v>155.34</v>
      </c>
      <c r="AN7586" t="s">
        <v>8151</v>
      </c>
      <c r="AO7586">
        <v>40000</v>
      </c>
      <c r="AU7586">
        <v>1.65</v>
      </c>
      <c r="AV7586" t="s">
        <v>805</v>
      </c>
      <c r="AW7586" t="s">
        <v>130</v>
      </c>
    </row>
    <row r="7587" spans="1:50">
      <c r="A7587" s="1">
        <f>HYPERLINK("https://lsnyc.legalserver.org/matter/dynamic-profile/view/1898144","19-1898144")</f>
        <v>0</v>
      </c>
      <c r="B7587" t="s">
        <v>79</v>
      </c>
      <c r="C7587" t="s">
        <v>341</v>
      </c>
      <c r="D7587" t="s">
        <v>801</v>
      </c>
      <c r="E7587" t="s">
        <v>819</v>
      </c>
      <c r="F7587" t="s">
        <v>3995</v>
      </c>
      <c r="G7587" t="s">
        <v>5126</v>
      </c>
      <c r="H7587" t="s">
        <v>14842</v>
      </c>
      <c r="I7587" t="s">
        <v>17300</v>
      </c>
      <c r="J7587" t="s">
        <v>18893</v>
      </c>
      <c r="K7587">
        <v>10034</v>
      </c>
      <c r="L7587" t="s">
        <v>18958</v>
      </c>
      <c r="M7587" t="s">
        <v>18958</v>
      </c>
      <c r="N7587" t="s">
        <v>24367</v>
      </c>
      <c r="O7587" t="s">
        <v>26523</v>
      </c>
      <c r="P7587" t="s">
        <v>26564</v>
      </c>
      <c r="Q7587" t="s">
        <v>26570</v>
      </c>
      <c r="R7587" t="s">
        <v>26578</v>
      </c>
      <c r="S7587" t="s">
        <v>18959</v>
      </c>
      <c r="U7587" t="s">
        <v>26604</v>
      </c>
      <c r="W7587" t="s">
        <v>801</v>
      </c>
      <c r="X7587">
        <v>841</v>
      </c>
      <c r="Y7587" t="s">
        <v>26651</v>
      </c>
      <c r="Z7587" t="s">
        <v>26659</v>
      </c>
      <c r="AA7587" t="s">
        <v>26683</v>
      </c>
      <c r="AB7587" t="s">
        <v>27114</v>
      </c>
      <c r="AC7587" t="s">
        <v>36360</v>
      </c>
      <c r="AE7587">
        <v>73</v>
      </c>
      <c r="AF7587" t="s">
        <v>45541</v>
      </c>
      <c r="AG7587" t="s">
        <v>19330</v>
      </c>
      <c r="AH7587">
        <v>18</v>
      </c>
      <c r="AI7587">
        <v>1</v>
      </c>
      <c r="AJ7587">
        <v>0</v>
      </c>
      <c r="AK7587">
        <v>0</v>
      </c>
      <c r="AN7587" t="s">
        <v>45581</v>
      </c>
      <c r="AO7587">
        <v>0</v>
      </c>
      <c r="AU7587">
        <v>1.5</v>
      </c>
      <c r="AV7587" t="s">
        <v>818</v>
      </c>
      <c r="AW7587" t="s">
        <v>46840</v>
      </c>
      <c r="AX7587" t="s">
        <v>46897</v>
      </c>
    </row>
    <row r="7588" spans="1:50">
      <c r="A7588" s="1">
        <f>HYPERLINK("https://lsnyc.legalserver.org/matter/dynamic-profile/view/1898111","19-1898111")</f>
        <v>0</v>
      </c>
      <c r="B7588" t="s">
        <v>122</v>
      </c>
      <c r="C7588" t="s">
        <v>341</v>
      </c>
      <c r="D7588" t="s">
        <v>801</v>
      </c>
      <c r="E7588" t="s">
        <v>810</v>
      </c>
      <c r="F7588" t="s">
        <v>3996</v>
      </c>
      <c r="G7588" t="s">
        <v>880</v>
      </c>
      <c r="H7588" t="s">
        <v>14843</v>
      </c>
      <c r="I7588" t="s">
        <v>17424</v>
      </c>
      <c r="J7588" t="s">
        <v>18901</v>
      </c>
      <c r="K7588">
        <v>11435</v>
      </c>
      <c r="L7588" t="s">
        <v>18958</v>
      </c>
      <c r="M7588" t="s">
        <v>18958</v>
      </c>
      <c r="N7588" t="s">
        <v>24368</v>
      </c>
      <c r="O7588" t="s">
        <v>26526</v>
      </c>
      <c r="P7588" t="s">
        <v>26564</v>
      </c>
      <c r="Q7588" t="s">
        <v>26570</v>
      </c>
      <c r="R7588" t="s">
        <v>26578</v>
      </c>
      <c r="S7588" t="s">
        <v>18959</v>
      </c>
      <c r="U7588" t="s">
        <v>26604</v>
      </c>
      <c r="W7588" t="s">
        <v>801</v>
      </c>
      <c r="X7588">
        <v>1060</v>
      </c>
      <c r="Y7588" t="s">
        <v>26653</v>
      </c>
      <c r="Z7588" t="s">
        <v>26664</v>
      </c>
      <c r="AA7588" t="s">
        <v>26683</v>
      </c>
      <c r="AB7588" t="s">
        <v>32338</v>
      </c>
      <c r="AD7588" t="s">
        <v>42737</v>
      </c>
      <c r="AE7588">
        <v>84</v>
      </c>
      <c r="AF7588" t="s">
        <v>45541</v>
      </c>
      <c r="AG7588" t="s">
        <v>19330</v>
      </c>
      <c r="AH7588">
        <v>12</v>
      </c>
      <c r="AI7588">
        <v>3</v>
      </c>
      <c r="AJ7588">
        <v>1</v>
      </c>
      <c r="AK7588">
        <v>70.28</v>
      </c>
      <c r="AN7588" t="s">
        <v>7439</v>
      </c>
      <c r="AO7588">
        <v>18096</v>
      </c>
      <c r="AU7588">
        <v>0.75</v>
      </c>
      <c r="AV7588" t="s">
        <v>767</v>
      </c>
      <c r="AW7588" t="s">
        <v>122</v>
      </c>
    </row>
    <row r="7589" spans="1:50">
      <c r="A7589" s="1">
        <f>HYPERLINK("https://lsnyc.legalserver.org/matter/dynamic-profile/view/1898093","19-1898093")</f>
        <v>0</v>
      </c>
      <c r="B7589" t="s">
        <v>258</v>
      </c>
      <c r="C7589" t="s">
        <v>340</v>
      </c>
      <c r="D7589" t="s">
        <v>801</v>
      </c>
      <c r="F7589" t="s">
        <v>1653</v>
      </c>
      <c r="G7589" t="s">
        <v>5848</v>
      </c>
      <c r="H7589" t="s">
        <v>10665</v>
      </c>
      <c r="I7589" t="s">
        <v>17316</v>
      </c>
      <c r="J7589" t="s">
        <v>18928</v>
      </c>
      <c r="K7589">
        <v>11365</v>
      </c>
      <c r="L7589" t="s">
        <v>18958</v>
      </c>
      <c r="M7589" t="s">
        <v>18958</v>
      </c>
      <c r="O7589" t="s">
        <v>26549</v>
      </c>
      <c r="P7589" t="s">
        <v>26562</v>
      </c>
      <c r="R7589" t="s">
        <v>26589</v>
      </c>
      <c r="S7589" t="s">
        <v>18959</v>
      </c>
      <c r="U7589" t="s">
        <v>26605</v>
      </c>
      <c r="V7589" t="s">
        <v>26610</v>
      </c>
      <c r="W7589" t="s">
        <v>801</v>
      </c>
      <c r="X7589">
        <v>532</v>
      </c>
      <c r="Y7589" t="s">
        <v>26653</v>
      </c>
      <c r="Z7589" t="s">
        <v>26671</v>
      </c>
      <c r="AB7589" t="s">
        <v>27802</v>
      </c>
      <c r="AC7589" t="s">
        <v>36046</v>
      </c>
      <c r="AD7589" t="s">
        <v>37853</v>
      </c>
      <c r="AE7589">
        <v>701</v>
      </c>
      <c r="AF7589" t="s">
        <v>45549</v>
      </c>
      <c r="AG7589" t="s">
        <v>19330</v>
      </c>
      <c r="AH7589">
        <v>13</v>
      </c>
      <c r="AI7589">
        <v>1</v>
      </c>
      <c r="AJ7589">
        <v>2</v>
      </c>
      <c r="AK7589">
        <v>58.17</v>
      </c>
      <c r="AL7589" t="s">
        <v>45567</v>
      </c>
      <c r="AM7589" t="s">
        <v>45580</v>
      </c>
      <c r="AN7589" t="s">
        <v>7439</v>
      </c>
      <c r="AO7589">
        <v>12408</v>
      </c>
      <c r="AU7589">
        <v>10.4</v>
      </c>
      <c r="AV7589" t="s">
        <v>839</v>
      </c>
      <c r="AW7589" t="s">
        <v>258</v>
      </c>
    </row>
    <row r="7590" spans="1:50">
      <c r="A7590" s="1">
        <f>HYPERLINK("https://lsnyc.legalserver.org/matter/dynamic-profile/view/1898102","19-1898102")</f>
        <v>0</v>
      </c>
      <c r="B7590" t="s">
        <v>79</v>
      </c>
      <c r="C7590" t="s">
        <v>340</v>
      </c>
      <c r="D7590" t="s">
        <v>801</v>
      </c>
      <c r="F7590" t="s">
        <v>1136</v>
      </c>
      <c r="G7590" t="s">
        <v>5685</v>
      </c>
      <c r="H7590" t="s">
        <v>14844</v>
      </c>
      <c r="I7590" t="s">
        <v>17360</v>
      </c>
      <c r="J7590" t="s">
        <v>18893</v>
      </c>
      <c r="K7590">
        <v>10033</v>
      </c>
      <c r="L7590" t="s">
        <v>18958</v>
      </c>
      <c r="M7590" t="s">
        <v>18958</v>
      </c>
      <c r="N7590" t="s">
        <v>24369</v>
      </c>
      <c r="O7590" t="s">
        <v>26524</v>
      </c>
      <c r="P7590" t="s">
        <v>26565</v>
      </c>
      <c r="R7590" t="s">
        <v>26578</v>
      </c>
      <c r="S7590" t="s">
        <v>18959</v>
      </c>
      <c r="U7590" t="s">
        <v>26604</v>
      </c>
      <c r="W7590" t="s">
        <v>801</v>
      </c>
      <c r="X7590">
        <v>960</v>
      </c>
      <c r="Y7590" t="s">
        <v>26651</v>
      </c>
      <c r="Z7590" t="s">
        <v>26661</v>
      </c>
      <c r="AB7590" t="s">
        <v>32339</v>
      </c>
      <c r="AD7590" t="s">
        <v>42738</v>
      </c>
      <c r="AE7590">
        <v>20</v>
      </c>
      <c r="AF7590" t="s">
        <v>45541</v>
      </c>
      <c r="AG7590" t="s">
        <v>19330</v>
      </c>
      <c r="AH7590">
        <v>25</v>
      </c>
      <c r="AI7590">
        <v>2</v>
      </c>
      <c r="AJ7590">
        <v>1</v>
      </c>
      <c r="AK7590">
        <v>225.04</v>
      </c>
      <c r="AN7590" t="s">
        <v>7439</v>
      </c>
      <c r="AO7590">
        <v>48000</v>
      </c>
      <c r="AU7590">
        <v>3.7</v>
      </c>
      <c r="AV7590" t="s">
        <v>818</v>
      </c>
      <c r="AW7590" t="s">
        <v>46840</v>
      </c>
      <c r="AX7590" t="s">
        <v>46897</v>
      </c>
    </row>
    <row r="7591" spans="1:50">
      <c r="A7591" s="1">
        <f>HYPERLINK("https://lsnyc.legalserver.org/matter/dynamic-profile/view/1898097","19-1898097")</f>
        <v>0</v>
      </c>
      <c r="B7591" t="s">
        <v>121</v>
      </c>
      <c r="C7591" t="s">
        <v>340</v>
      </c>
      <c r="D7591" t="s">
        <v>801</v>
      </c>
      <c r="F7591" t="s">
        <v>3997</v>
      </c>
      <c r="G7591" t="s">
        <v>7640</v>
      </c>
      <c r="H7591" t="s">
        <v>14845</v>
      </c>
      <c r="I7591" t="s">
        <v>17354</v>
      </c>
      <c r="J7591" t="s">
        <v>18892</v>
      </c>
      <c r="K7591">
        <v>10457</v>
      </c>
      <c r="L7591" t="s">
        <v>18958</v>
      </c>
      <c r="M7591" t="s">
        <v>18958</v>
      </c>
      <c r="N7591" t="s">
        <v>24370</v>
      </c>
      <c r="O7591" t="s">
        <v>26524</v>
      </c>
      <c r="P7591" t="s">
        <v>26560</v>
      </c>
      <c r="R7591" t="s">
        <v>26579</v>
      </c>
      <c r="S7591" t="s">
        <v>18959</v>
      </c>
      <c r="U7591" t="s">
        <v>26604</v>
      </c>
      <c r="V7591" t="s">
        <v>26610</v>
      </c>
      <c r="W7591" t="s">
        <v>801</v>
      </c>
      <c r="X7591">
        <v>1576</v>
      </c>
      <c r="Y7591" t="s">
        <v>26650</v>
      </c>
      <c r="Z7591" t="s">
        <v>26664</v>
      </c>
      <c r="AB7591" t="s">
        <v>32340</v>
      </c>
      <c r="AD7591" t="s">
        <v>42739</v>
      </c>
      <c r="AE7591">
        <v>0</v>
      </c>
      <c r="AF7591" t="s">
        <v>45541</v>
      </c>
      <c r="AG7591" t="s">
        <v>45556</v>
      </c>
      <c r="AH7591">
        <v>10</v>
      </c>
      <c r="AI7591">
        <v>1</v>
      </c>
      <c r="AJ7591">
        <v>0</v>
      </c>
      <c r="AK7591">
        <v>135.31</v>
      </c>
      <c r="AN7591" t="s">
        <v>7439</v>
      </c>
      <c r="AO7591">
        <v>16900</v>
      </c>
      <c r="AU7591">
        <v>2.6</v>
      </c>
      <c r="AV7591" t="s">
        <v>814</v>
      </c>
      <c r="AW7591" t="s">
        <v>46870</v>
      </c>
      <c r="AX7591" t="s">
        <v>46897</v>
      </c>
    </row>
    <row r="7592" spans="1:50">
      <c r="A7592" s="1">
        <f>HYPERLINK("https://lsnyc.legalserver.org/matter/dynamic-profile/view/1898133","19-1898133")</f>
        <v>0</v>
      </c>
      <c r="B7592" t="s">
        <v>103</v>
      </c>
      <c r="C7592" t="s">
        <v>340</v>
      </c>
      <c r="D7592" t="s">
        <v>801</v>
      </c>
      <c r="F7592" t="s">
        <v>1592</v>
      </c>
      <c r="G7592" t="s">
        <v>5893</v>
      </c>
      <c r="H7592" t="s">
        <v>14846</v>
      </c>
      <c r="I7592">
        <v>1059</v>
      </c>
      <c r="J7592" t="s">
        <v>18902</v>
      </c>
      <c r="K7592">
        <v>10304</v>
      </c>
      <c r="L7592" t="s">
        <v>18958</v>
      </c>
      <c r="M7592" t="s">
        <v>18958</v>
      </c>
      <c r="N7592" t="s">
        <v>24371</v>
      </c>
      <c r="O7592" t="s">
        <v>26524</v>
      </c>
      <c r="P7592" t="s">
        <v>26560</v>
      </c>
      <c r="R7592" t="s">
        <v>26578</v>
      </c>
      <c r="S7592" t="s">
        <v>18959</v>
      </c>
      <c r="U7592" t="s">
        <v>26604</v>
      </c>
      <c r="V7592" t="s">
        <v>26610</v>
      </c>
      <c r="W7592" t="s">
        <v>801</v>
      </c>
      <c r="X7592">
        <v>1500</v>
      </c>
      <c r="Y7592" t="s">
        <v>26654</v>
      </c>
      <c r="Z7592" t="s">
        <v>26659</v>
      </c>
      <c r="AB7592" t="s">
        <v>27876</v>
      </c>
      <c r="AD7592" t="s">
        <v>37927</v>
      </c>
      <c r="AE7592">
        <v>468</v>
      </c>
      <c r="AF7592" t="s">
        <v>45541</v>
      </c>
      <c r="AG7592" t="s">
        <v>45561</v>
      </c>
      <c r="AH7592">
        <v>0</v>
      </c>
      <c r="AI7592">
        <v>1</v>
      </c>
      <c r="AJ7592">
        <v>0</v>
      </c>
      <c r="AK7592">
        <v>0</v>
      </c>
      <c r="AN7592" t="s">
        <v>7439</v>
      </c>
      <c r="AO7592">
        <v>0</v>
      </c>
      <c r="AU7592">
        <v>23.3</v>
      </c>
      <c r="AV7592" t="s">
        <v>835</v>
      </c>
      <c r="AW7592" t="s">
        <v>103</v>
      </c>
      <c r="AX7592" t="s">
        <v>46897</v>
      </c>
    </row>
    <row r="7593" spans="1:50">
      <c r="A7593" s="1">
        <f>HYPERLINK("https://lsnyc.legalserver.org/matter/dynamic-profile/view/1898121","19-1898121")</f>
        <v>0</v>
      </c>
      <c r="B7593" t="s">
        <v>226</v>
      </c>
      <c r="C7593" t="s">
        <v>340</v>
      </c>
      <c r="D7593" t="s">
        <v>801</v>
      </c>
      <c r="F7593" t="s">
        <v>2745</v>
      </c>
      <c r="G7593" t="s">
        <v>8372</v>
      </c>
      <c r="H7593" t="s">
        <v>14847</v>
      </c>
      <c r="I7593" t="s">
        <v>17272</v>
      </c>
      <c r="J7593" t="s">
        <v>18892</v>
      </c>
      <c r="K7593">
        <v>10452</v>
      </c>
      <c r="L7593" t="s">
        <v>18958</v>
      </c>
      <c r="M7593" t="s">
        <v>18958</v>
      </c>
      <c r="O7593" t="s">
        <v>26524</v>
      </c>
      <c r="P7593" t="s">
        <v>26564</v>
      </c>
      <c r="R7593" t="s">
        <v>26578</v>
      </c>
      <c r="S7593" t="s">
        <v>18959</v>
      </c>
      <c r="U7593" t="s">
        <v>26604</v>
      </c>
      <c r="W7593" t="s">
        <v>801</v>
      </c>
      <c r="X7593">
        <v>550</v>
      </c>
      <c r="Y7593" t="s">
        <v>26650</v>
      </c>
      <c r="Z7593" t="s">
        <v>26663</v>
      </c>
      <c r="AB7593" t="s">
        <v>28862</v>
      </c>
      <c r="AE7593">
        <v>21</v>
      </c>
      <c r="AF7593" t="s">
        <v>45541</v>
      </c>
      <c r="AG7593" t="s">
        <v>45559</v>
      </c>
      <c r="AH7593">
        <v>13</v>
      </c>
      <c r="AI7593">
        <v>1</v>
      </c>
      <c r="AJ7593">
        <v>0</v>
      </c>
      <c r="AK7593">
        <v>75.23</v>
      </c>
      <c r="AN7593" t="s">
        <v>7439</v>
      </c>
      <c r="AO7593">
        <v>9396</v>
      </c>
      <c r="AU7593">
        <v>2.7</v>
      </c>
      <c r="AV7593" t="s">
        <v>815</v>
      </c>
      <c r="AW7593" t="s">
        <v>226</v>
      </c>
      <c r="AX7593" t="s">
        <v>46897</v>
      </c>
    </row>
    <row r="7594" spans="1:50">
      <c r="A7594" s="1">
        <f>HYPERLINK("https://lsnyc.legalserver.org/matter/dynamic-profile/view/1898128","19-1898128")</f>
        <v>0</v>
      </c>
      <c r="B7594" t="s">
        <v>226</v>
      </c>
      <c r="C7594" t="s">
        <v>340</v>
      </c>
      <c r="D7594" t="s">
        <v>801</v>
      </c>
      <c r="F7594" t="s">
        <v>3998</v>
      </c>
      <c r="G7594" t="s">
        <v>8373</v>
      </c>
      <c r="H7594" t="s">
        <v>11436</v>
      </c>
      <c r="I7594" t="s">
        <v>17273</v>
      </c>
      <c r="J7594" t="s">
        <v>18892</v>
      </c>
      <c r="K7594">
        <v>10467</v>
      </c>
      <c r="L7594" t="s">
        <v>18958</v>
      </c>
      <c r="M7594" t="s">
        <v>18958</v>
      </c>
      <c r="O7594" t="s">
        <v>26523</v>
      </c>
      <c r="P7594" t="s">
        <v>26565</v>
      </c>
      <c r="R7594" t="s">
        <v>26578</v>
      </c>
      <c r="S7594" t="s">
        <v>18959</v>
      </c>
      <c r="U7594" t="s">
        <v>26604</v>
      </c>
      <c r="W7594" t="s">
        <v>801</v>
      </c>
      <c r="X7594">
        <v>914</v>
      </c>
      <c r="Y7594" t="s">
        <v>26650</v>
      </c>
      <c r="Z7594" t="s">
        <v>26663</v>
      </c>
      <c r="AB7594" t="s">
        <v>32341</v>
      </c>
      <c r="AD7594" t="s">
        <v>42740</v>
      </c>
      <c r="AE7594">
        <v>49</v>
      </c>
      <c r="AF7594" t="s">
        <v>45541</v>
      </c>
      <c r="AG7594" t="s">
        <v>26530</v>
      </c>
      <c r="AH7594">
        <v>7</v>
      </c>
      <c r="AI7594">
        <v>4</v>
      </c>
      <c r="AJ7594">
        <v>3</v>
      </c>
      <c r="AK7594">
        <v>93.31</v>
      </c>
      <c r="AN7594" t="s">
        <v>7439</v>
      </c>
      <c r="AO7594">
        <v>36400</v>
      </c>
      <c r="AU7594">
        <v>2.7</v>
      </c>
      <c r="AV7594" t="s">
        <v>815</v>
      </c>
      <c r="AW7594" t="s">
        <v>226</v>
      </c>
      <c r="AX7594" t="s">
        <v>46897</v>
      </c>
    </row>
    <row r="7595" spans="1:50">
      <c r="A7595" s="1">
        <f>HYPERLINK("https://lsnyc.legalserver.org/matter/dynamic-profile/view/1898087","19-1898087")</f>
        <v>0</v>
      </c>
      <c r="B7595" t="s">
        <v>87</v>
      </c>
      <c r="C7595" t="s">
        <v>340</v>
      </c>
      <c r="D7595" t="s">
        <v>801</v>
      </c>
      <c r="F7595" t="s">
        <v>3999</v>
      </c>
      <c r="G7595" t="s">
        <v>8374</v>
      </c>
      <c r="H7595" t="s">
        <v>9824</v>
      </c>
      <c r="I7595" t="s">
        <v>17348</v>
      </c>
      <c r="J7595" t="s">
        <v>18892</v>
      </c>
      <c r="K7595">
        <v>10467</v>
      </c>
      <c r="L7595" t="s">
        <v>18958</v>
      </c>
      <c r="M7595" t="s">
        <v>18958</v>
      </c>
      <c r="N7595" t="s">
        <v>24372</v>
      </c>
      <c r="O7595" t="s">
        <v>26523</v>
      </c>
      <c r="P7595" t="s">
        <v>26560</v>
      </c>
      <c r="R7595" t="s">
        <v>26579</v>
      </c>
      <c r="U7595" t="s">
        <v>26604</v>
      </c>
      <c r="V7595" t="s">
        <v>26610</v>
      </c>
      <c r="W7595" t="s">
        <v>801</v>
      </c>
      <c r="X7595">
        <v>1186</v>
      </c>
      <c r="Y7595" t="s">
        <v>26650</v>
      </c>
      <c r="Z7595" t="s">
        <v>26664</v>
      </c>
      <c r="AB7595" t="s">
        <v>32342</v>
      </c>
      <c r="AC7595" t="s">
        <v>36361</v>
      </c>
      <c r="AD7595" t="s">
        <v>42741</v>
      </c>
      <c r="AE7595">
        <v>0</v>
      </c>
      <c r="AF7595" t="s">
        <v>20460</v>
      </c>
      <c r="AH7595">
        <v>9</v>
      </c>
      <c r="AI7595">
        <v>2</v>
      </c>
      <c r="AJ7595">
        <v>3</v>
      </c>
      <c r="AK7595">
        <v>48.45</v>
      </c>
      <c r="AN7595" t="s">
        <v>45603</v>
      </c>
      <c r="AO7595">
        <v>14616</v>
      </c>
      <c r="AU7595">
        <v>2.5</v>
      </c>
      <c r="AV7595" t="s">
        <v>801</v>
      </c>
      <c r="AW7595" t="s">
        <v>334</v>
      </c>
      <c r="AX7595" t="s">
        <v>46898</v>
      </c>
    </row>
    <row r="7596" spans="1:50">
      <c r="A7596" s="1">
        <f>HYPERLINK("https://lsnyc.legalserver.org/matter/dynamic-profile/view/1888303","19-1888303")</f>
        <v>0</v>
      </c>
      <c r="B7596" t="s">
        <v>55</v>
      </c>
      <c r="C7596" t="s">
        <v>340</v>
      </c>
      <c r="D7596" t="s">
        <v>727</v>
      </c>
      <c r="F7596" t="s">
        <v>3844</v>
      </c>
      <c r="G7596" t="s">
        <v>8375</v>
      </c>
      <c r="H7596" t="s">
        <v>9741</v>
      </c>
      <c r="I7596" t="s">
        <v>17467</v>
      </c>
      <c r="J7596" t="s">
        <v>18892</v>
      </c>
      <c r="K7596">
        <v>10453</v>
      </c>
      <c r="L7596" t="s">
        <v>18958</v>
      </c>
      <c r="M7596" t="s">
        <v>18958</v>
      </c>
      <c r="N7596" t="s">
        <v>24373</v>
      </c>
      <c r="O7596" t="s">
        <v>26523</v>
      </c>
      <c r="P7596" t="s">
        <v>26560</v>
      </c>
      <c r="R7596" t="s">
        <v>26578</v>
      </c>
      <c r="S7596" t="s">
        <v>18959</v>
      </c>
      <c r="U7596" t="s">
        <v>26604</v>
      </c>
      <c r="W7596" t="s">
        <v>767</v>
      </c>
      <c r="X7596">
        <v>1366.88</v>
      </c>
      <c r="Y7596" t="s">
        <v>26650</v>
      </c>
      <c r="Z7596" t="s">
        <v>26655</v>
      </c>
      <c r="AB7596" t="s">
        <v>32343</v>
      </c>
      <c r="AD7596" t="s">
        <v>42742</v>
      </c>
      <c r="AE7596">
        <v>99</v>
      </c>
      <c r="AF7596" t="s">
        <v>45541</v>
      </c>
      <c r="AG7596" t="s">
        <v>19330</v>
      </c>
      <c r="AH7596">
        <v>2</v>
      </c>
      <c r="AI7596">
        <v>1</v>
      </c>
      <c r="AJ7596">
        <v>0</v>
      </c>
      <c r="AK7596">
        <v>164.74</v>
      </c>
      <c r="AN7596" t="s">
        <v>7439</v>
      </c>
      <c r="AO7596">
        <v>20000</v>
      </c>
      <c r="AP7596" t="s">
        <v>46062</v>
      </c>
      <c r="AU7596">
        <v>1</v>
      </c>
      <c r="AV7596" t="s">
        <v>724</v>
      </c>
      <c r="AW7596" t="s">
        <v>46832</v>
      </c>
    </row>
    <row r="7597" spans="1:50">
      <c r="A7597" s="1">
        <f>HYPERLINK("https://lsnyc.legalserver.org/matter/dynamic-profile/view/1890497","19-1890497")</f>
        <v>0</v>
      </c>
      <c r="B7597" t="s">
        <v>52</v>
      </c>
      <c r="C7597" t="s">
        <v>340</v>
      </c>
      <c r="D7597" t="s">
        <v>690</v>
      </c>
      <c r="F7597" t="s">
        <v>4000</v>
      </c>
      <c r="G7597" t="s">
        <v>8376</v>
      </c>
      <c r="H7597" t="s">
        <v>14848</v>
      </c>
      <c r="I7597" t="s">
        <v>17319</v>
      </c>
      <c r="J7597" t="s">
        <v>18892</v>
      </c>
      <c r="K7597">
        <v>10461</v>
      </c>
      <c r="L7597" t="s">
        <v>18958</v>
      </c>
      <c r="M7597" t="s">
        <v>18958</v>
      </c>
      <c r="O7597" t="s">
        <v>26534</v>
      </c>
      <c r="P7597" t="s">
        <v>26565</v>
      </c>
      <c r="R7597" t="s">
        <v>26578</v>
      </c>
      <c r="S7597" t="s">
        <v>18958</v>
      </c>
      <c r="U7597" t="s">
        <v>26604</v>
      </c>
      <c r="W7597" t="s">
        <v>767</v>
      </c>
      <c r="X7597">
        <v>1410</v>
      </c>
      <c r="Y7597" t="s">
        <v>26650</v>
      </c>
      <c r="Z7597" t="s">
        <v>26670</v>
      </c>
      <c r="AB7597" t="s">
        <v>28485</v>
      </c>
      <c r="AD7597" t="s">
        <v>42743</v>
      </c>
      <c r="AE7597">
        <v>125</v>
      </c>
      <c r="AF7597" t="s">
        <v>45541</v>
      </c>
      <c r="AG7597" t="s">
        <v>19330</v>
      </c>
      <c r="AH7597">
        <v>4</v>
      </c>
      <c r="AI7597">
        <v>1</v>
      </c>
      <c r="AJ7597">
        <v>0</v>
      </c>
      <c r="AK7597">
        <v>728.58</v>
      </c>
      <c r="AN7597" t="s">
        <v>7439</v>
      </c>
      <c r="AO7597">
        <v>91000</v>
      </c>
      <c r="AU7597">
        <v>65</v>
      </c>
      <c r="AV7597" t="s">
        <v>816</v>
      </c>
      <c r="AW7597" t="s">
        <v>98</v>
      </c>
    </row>
    <row r="7598" spans="1:50">
      <c r="A7598" s="1">
        <f>HYPERLINK("https://lsnyc.legalserver.org/matter/dynamic-profile/view/1891151","19-1891151")</f>
        <v>0</v>
      </c>
      <c r="B7598" t="s">
        <v>52</v>
      </c>
      <c r="C7598" t="s">
        <v>340</v>
      </c>
      <c r="D7598" t="s">
        <v>756</v>
      </c>
      <c r="F7598" t="s">
        <v>2144</v>
      </c>
      <c r="G7598" t="s">
        <v>5685</v>
      </c>
      <c r="H7598" t="s">
        <v>14848</v>
      </c>
      <c r="I7598" t="s">
        <v>17276</v>
      </c>
      <c r="J7598" t="s">
        <v>18892</v>
      </c>
      <c r="K7598">
        <v>10461</v>
      </c>
      <c r="L7598" t="s">
        <v>18958</v>
      </c>
      <c r="M7598" t="s">
        <v>18958</v>
      </c>
      <c r="O7598" t="s">
        <v>26534</v>
      </c>
      <c r="P7598" t="s">
        <v>26565</v>
      </c>
      <c r="R7598" t="s">
        <v>26578</v>
      </c>
      <c r="S7598" t="s">
        <v>18958</v>
      </c>
      <c r="U7598" t="s">
        <v>26604</v>
      </c>
      <c r="W7598" t="s">
        <v>767</v>
      </c>
      <c r="X7598">
        <v>1503</v>
      </c>
      <c r="Y7598" t="s">
        <v>26650</v>
      </c>
      <c r="Z7598" t="s">
        <v>26663</v>
      </c>
      <c r="AB7598" t="s">
        <v>30144</v>
      </c>
      <c r="AD7598" t="s">
        <v>42744</v>
      </c>
      <c r="AE7598">
        <v>125</v>
      </c>
      <c r="AF7598" t="s">
        <v>45541</v>
      </c>
      <c r="AG7598" t="s">
        <v>19330</v>
      </c>
      <c r="AH7598">
        <v>1</v>
      </c>
      <c r="AI7598">
        <v>1</v>
      </c>
      <c r="AJ7598">
        <v>0</v>
      </c>
      <c r="AK7598">
        <v>400.32</v>
      </c>
      <c r="AN7598" t="s">
        <v>7439</v>
      </c>
      <c r="AO7598">
        <v>50000</v>
      </c>
      <c r="AU7598">
        <v>0</v>
      </c>
      <c r="AW7598" t="s">
        <v>46847</v>
      </c>
    </row>
    <row r="7599" spans="1:50">
      <c r="A7599" s="1">
        <f>HYPERLINK("https://lsnyc.legalserver.org/matter/dynamic-profile/view/1891146","19-1891146")</f>
        <v>0</v>
      </c>
      <c r="B7599" t="s">
        <v>52</v>
      </c>
      <c r="C7599" t="s">
        <v>340</v>
      </c>
      <c r="D7599" t="s">
        <v>756</v>
      </c>
      <c r="F7599" t="s">
        <v>913</v>
      </c>
      <c r="G7599" t="s">
        <v>8377</v>
      </c>
      <c r="H7599" t="s">
        <v>14848</v>
      </c>
      <c r="I7599" t="s">
        <v>17316</v>
      </c>
      <c r="J7599" t="s">
        <v>18892</v>
      </c>
      <c r="K7599">
        <v>10461</v>
      </c>
      <c r="L7599" t="s">
        <v>18958</v>
      </c>
      <c r="M7599" t="s">
        <v>18958</v>
      </c>
      <c r="O7599" t="s">
        <v>26534</v>
      </c>
      <c r="P7599" t="s">
        <v>26565</v>
      </c>
      <c r="R7599" t="s">
        <v>26578</v>
      </c>
      <c r="S7599" t="s">
        <v>18958</v>
      </c>
      <c r="U7599" t="s">
        <v>26604</v>
      </c>
      <c r="W7599" t="s">
        <v>767</v>
      </c>
      <c r="X7599">
        <v>1450</v>
      </c>
      <c r="Y7599" t="s">
        <v>26650</v>
      </c>
      <c r="Z7599" t="s">
        <v>26663</v>
      </c>
      <c r="AB7599" t="s">
        <v>32344</v>
      </c>
      <c r="AE7599">
        <v>125</v>
      </c>
      <c r="AF7599" t="s">
        <v>45541</v>
      </c>
      <c r="AG7599" t="s">
        <v>19330</v>
      </c>
      <c r="AH7599">
        <v>1</v>
      </c>
      <c r="AI7599">
        <v>1</v>
      </c>
      <c r="AJ7599">
        <v>0</v>
      </c>
      <c r="AK7599">
        <v>640.51</v>
      </c>
      <c r="AN7599" t="s">
        <v>7439</v>
      </c>
      <c r="AO7599">
        <v>80000</v>
      </c>
      <c r="AU7599">
        <v>0</v>
      </c>
      <c r="AW7599" t="s">
        <v>46847</v>
      </c>
    </row>
    <row r="7600" spans="1:50">
      <c r="A7600" s="1">
        <f>HYPERLINK("https://lsnyc.legalserver.org/matter/dynamic-profile/view/1893286","19-1893286")</f>
        <v>0</v>
      </c>
      <c r="B7600" t="s">
        <v>82</v>
      </c>
      <c r="C7600" t="s">
        <v>340</v>
      </c>
      <c r="D7600" t="s">
        <v>657</v>
      </c>
      <c r="F7600" t="s">
        <v>954</v>
      </c>
      <c r="G7600" t="s">
        <v>880</v>
      </c>
      <c r="H7600" t="s">
        <v>12753</v>
      </c>
      <c r="I7600" t="s">
        <v>17350</v>
      </c>
      <c r="J7600" t="s">
        <v>18892</v>
      </c>
      <c r="K7600">
        <v>10467</v>
      </c>
      <c r="L7600" t="s">
        <v>18958</v>
      </c>
      <c r="M7600" t="s">
        <v>18958</v>
      </c>
      <c r="N7600" t="s">
        <v>24374</v>
      </c>
      <c r="O7600" t="s">
        <v>26524</v>
      </c>
      <c r="P7600" t="s">
        <v>26564</v>
      </c>
      <c r="R7600" t="s">
        <v>26579</v>
      </c>
      <c r="S7600" t="s">
        <v>18959</v>
      </c>
      <c r="U7600" t="s">
        <v>26604</v>
      </c>
      <c r="V7600" t="s">
        <v>26612</v>
      </c>
      <c r="W7600" t="s">
        <v>767</v>
      </c>
      <c r="X7600">
        <v>1559</v>
      </c>
      <c r="Y7600" t="s">
        <v>26650</v>
      </c>
      <c r="Z7600" t="s">
        <v>26664</v>
      </c>
      <c r="AB7600" t="s">
        <v>32345</v>
      </c>
      <c r="AD7600" t="s">
        <v>42745</v>
      </c>
      <c r="AE7600">
        <v>0</v>
      </c>
      <c r="AF7600" t="s">
        <v>20460</v>
      </c>
      <c r="AH7600">
        <v>1</v>
      </c>
      <c r="AI7600">
        <v>1</v>
      </c>
      <c r="AJ7600">
        <v>0</v>
      </c>
      <c r="AK7600">
        <v>124.9</v>
      </c>
      <c r="AN7600" t="s">
        <v>7439</v>
      </c>
      <c r="AO7600">
        <v>15600</v>
      </c>
      <c r="AU7600">
        <v>2.35</v>
      </c>
      <c r="AV7600" t="s">
        <v>767</v>
      </c>
      <c r="AW7600" t="s">
        <v>46831</v>
      </c>
      <c r="AX7600" t="s">
        <v>46897</v>
      </c>
    </row>
    <row r="7601" spans="1:50">
      <c r="A7601" s="1">
        <f>HYPERLINK("https://lsnyc.legalserver.org/matter/dynamic-profile/view/1896135","19-1896135")</f>
        <v>0</v>
      </c>
      <c r="B7601" t="s">
        <v>169</v>
      </c>
      <c r="C7601" t="s">
        <v>340</v>
      </c>
      <c r="D7601" t="s">
        <v>792</v>
      </c>
      <c r="F7601" t="s">
        <v>1091</v>
      </c>
      <c r="G7601" t="s">
        <v>5565</v>
      </c>
      <c r="H7601" t="s">
        <v>14711</v>
      </c>
      <c r="I7601" t="s">
        <v>17287</v>
      </c>
      <c r="J7601" t="s">
        <v>18892</v>
      </c>
      <c r="K7601">
        <v>10452</v>
      </c>
      <c r="L7601" t="s">
        <v>18958</v>
      </c>
      <c r="M7601" t="s">
        <v>18958</v>
      </c>
      <c r="N7601" t="s">
        <v>19045</v>
      </c>
      <c r="O7601" t="s">
        <v>26542</v>
      </c>
      <c r="P7601" t="s">
        <v>26562</v>
      </c>
      <c r="R7601" t="s">
        <v>26578</v>
      </c>
      <c r="S7601" t="s">
        <v>18959</v>
      </c>
      <c r="U7601" t="s">
        <v>26606</v>
      </c>
      <c r="W7601" t="s">
        <v>767</v>
      </c>
      <c r="X7601">
        <v>1500</v>
      </c>
      <c r="Y7601" t="s">
        <v>26650</v>
      </c>
      <c r="Z7601" t="s">
        <v>26673</v>
      </c>
      <c r="AB7601" t="s">
        <v>32206</v>
      </c>
      <c r="AC7601">
        <v>370953540</v>
      </c>
      <c r="AD7601" t="s">
        <v>42570</v>
      </c>
      <c r="AE7601">
        <v>49</v>
      </c>
      <c r="AF7601" t="s">
        <v>45541</v>
      </c>
      <c r="AH7601">
        <v>10</v>
      </c>
      <c r="AI7601">
        <v>2</v>
      </c>
      <c r="AJ7601">
        <v>1</v>
      </c>
      <c r="AK7601">
        <v>90.86</v>
      </c>
      <c r="AN7601" t="s">
        <v>45581</v>
      </c>
      <c r="AO7601">
        <v>19380</v>
      </c>
      <c r="AU7601">
        <v>13.7</v>
      </c>
      <c r="AV7601" t="s">
        <v>830</v>
      </c>
      <c r="AW7601" t="s">
        <v>46861</v>
      </c>
      <c r="AX7601" t="s">
        <v>46897</v>
      </c>
    </row>
    <row r="7602" spans="1:50">
      <c r="A7602" s="1">
        <f>HYPERLINK("https://lsnyc.legalserver.org/matter/dynamic-profile/view/1896263","19-1896263")</f>
        <v>0</v>
      </c>
      <c r="B7602" t="s">
        <v>121</v>
      </c>
      <c r="C7602" t="s">
        <v>340</v>
      </c>
      <c r="D7602" t="s">
        <v>792</v>
      </c>
      <c r="F7602" t="s">
        <v>2533</v>
      </c>
      <c r="G7602" t="s">
        <v>8378</v>
      </c>
      <c r="H7602" t="s">
        <v>14849</v>
      </c>
      <c r="I7602" t="s">
        <v>17349</v>
      </c>
      <c r="J7602" t="s">
        <v>18892</v>
      </c>
      <c r="K7602">
        <v>10451</v>
      </c>
      <c r="L7602" t="s">
        <v>18958</v>
      </c>
      <c r="M7602" t="s">
        <v>18958</v>
      </c>
      <c r="N7602" t="s">
        <v>24375</v>
      </c>
      <c r="O7602" t="s">
        <v>26523</v>
      </c>
      <c r="P7602" t="s">
        <v>26560</v>
      </c>
      <c r="R7602" t="s">
        <v>26577</v>
      </c>
      <c r="S7602" t="s">
        <v>18959</v>
      </c>
      <c r="U7602" t="s">
        <v>26604</v>
      </c>
      <c r="V7602" t="s">
        <v>26612</v>
      </c>
      <c r="W7602" t="s">
        <v>767</v>
      </c>
      <c r="X7602">
        <v>1235.84</v>
      </c>
      <c r="Y7602" t="s">
        <v>26650</v>
      </c>
      <c r="Z7602" t="s">
        <v>26668</v>
      </c>
      <c r="AA7602" t="s">
        <v>26688</v>
      </c>
      <c r="AB7602" t="s">
        <v>32346</v>
      </c>
      <c r="AC7602" t="s">
        <v>36362</v>
      </c>
      <c r="AD7602" t="s">
        <v>42746</v>
      </c>
      <c r="AE7602">
        <v>77</v>
      </c>
      <c r="AF7602" t="s">
        <v>45541</v>
      </c>
      <c r="AG7602" t="s">
        <v>45556</v>
      </c>
      <c r="AH7602">
        <v>3</v>
      </c>
      <c r="AI7602">
        <v>1</v>
      </c>
      <c r="AJ7602">
        <v>1</v>
      </c>
      <c r="AK7602">
        <v>6.19</v>
      </c>
      <c r="AN7602" t="s">
        <v>7439</v>
      </c>
      <c r="AO7602">
        <v>1047</v>
      </c>
      <c r="AU7602">
        <v>3.7</v>
      </c>
      <c r="AV7602" t="s">
        <v>843</v>
      </c>
      <c r="AW7602" t="s">
        <v>46871</v>
      </c>
      <c r="AX7602" t="s">
        <v>46898</v>
      </c>
    </row>
    <row r="7603" spans="1:50">
      <c r="A7603" s="1">
        <f>HYPERLINK("https://lsnyc.legalserver.org/matter/dynamic-profile/view/1896733","19-1896733")</f>
        <v>0</v>
      </c>
      <c r="B7603" t="s">
        <v>269</v>
      </c>
      <c r="C7603" t="s">
        <v>341</v>
      </c>
      <c r="D7603" t="s">
        <v>672</v>
      </c>
      <c r="E7603" t="s">
        <v>838</v>
      </c>
      <c r="F7603" t="s">
        <v>3457</v>
      </c>
      <c r="G7603" t="s">
        <v>5341</v>
      </c>
      <c r="H7603" t="s">
        <v>13740</v>
      </c>
      <c r="I7603" t="s">
        <v>17284</v>
      </c>
      <c r="J7603" t="s">
        <v>18892</v>
      </c>
      <c r="K7603">
        <v>10459</v>
      </c>
      <c r="L7603" t="s">
        <v>18958</v>
      </c>
      <c r="M7603" t="s">
        <v>18958</v>
      </c>
      <c r="N7603" t="s">
        <v>23095</v>
      </c>
      <c r="O7603" t="s">
        <v>26524</v>
      </c>
      <c r="P7603" t="s">
        <v>26560</v>
      </c>
      <c r="Q7603" t="s">
        <v>26573</v>
      </c>
      <c r="R7603" t="s">
        <v>26577</v>
      </c>
      <c r="S7603" t="s">
        <v>18959</v>
      </c>
      <c r="U7603" t="s">
        <v>26604</v>
      </c>
      <c r="V7603" t="s">
        <v>26609</v>
      </c>
      <c r="W7603" t="s">
        <v>767</v>
      </c>
      <c r="X7603">
        <v>1160</v>
      </c>
      <c r="Y7603" t="s">
        <v>26650</v>
      </c>
      <c r="Z7603" t="s">
        <v>26655</v>
      </c>
      <c r="AA7603" t="s">
        <v>26685</v>
      </c>
      <c r="AB7603" t="s">
        <v>31188</v>
      </c>
      <c r="AC7603" t="s">
        <v>36016</v>
      </c>
      <c r="AD7603" t="s">
        <v>41359</v>
      </c>
      <c r="AE7603">
        <v>28</v>
      </c>
      <c r="AF7603" t="s">
        <v>45541</v>
      </c>
      <c r="AG7603" t="s">
        <v>45561</v>
      </c>
      <c r="AH7603">
        <v>8</v>
      </c>
      <c r="AI7603">
        <v>1</v>
      </c>
      <c r="AJ7603">
        <v>3</v>
      </c>
      <c r="AK7603">
        <v>34.95</v>
      </c>
      <c r="AN7603" t="s">
        <v>7439</v>
      </c>
      <c r="AO7603">
        <v>9000</v>
      </c>
      <c r="AQ7603" t="s">
        <v>46359</v>
      </c>
      <c r="AR7603" t="s">
        <v>46379</v>
      </c>
      <c r="AS7603" t="s">
        <v>46499</v>
      </c>
      <c r="AT7603" t="s">
        <v>46804</v>
      </c>
      <c r="AU7603">
        <v>0</v>
      </c>
      <c r="AV7603" t="s">
        <v>767</v>
      </c>
      <c r="AW7603" t="s">
        <v>46832</v>
      </c>
      <c r="AX7603" t="s">
        <v>46898</v>
      </c>
    </row>
    <row r="7604" spans="1:50">
      <c r="A7604" s="1">
        <f>HYPERLINK("https://lsnyc.legalserver.org/matter/dynamic-profile/view/1897014","19-1897014")</f>
        <v>0</v>
      </c>
      <c r="B7604" t="s">
        <v>174</v>
      </c>
      <c r="C7604" t="s">
        <v>341</v>
      </c>
      <c r="D7604" t="s">
        <v>780</v>
      </c>
      <c r="E7604" t="s">
        <v>832</v>
      </c>
      <c r="F7604" t="s">
        <v>1637</v>
      </c>
      <c r="G7604" t="s">
        <v>3718</v>
      </c>
      <c r="H7604" t="s">
        <v>14850</v>
      </c>
      <c r="I7604" t="s">
        <v>17333</v>
      </c>
      <c r="J7604" t="s">
        <v>18894</v>
      </c>
      <c r="K7604">
        <v>11208</v>
      </c>
      <c r="L7604" t="s">
        <v>18958</v>
      </c>
      <c r="M7604" t="s">
        <v>18959</v>
      </c>
      <c r="N7604" t="s">
        <v>24376</v>
      </c>
      <c r="O7604" t="s">
        <v>26523</v>
      </c>
      <c r="P7604" t="s">
        <v>26564</v>
      </c>
      <c r="Q7604" t="s">
        <v>26570</v>
      </c>
      <c r="R7604" t="s">
        <v>26578</v>
      </c>
      <c r="S7604" t="s">
        <v>18959</v>
      </c>
      <c r="U7604" t="s">
        <v>26604</v>
      </c>
      <c r="W7604" t="s">
        <v>767</v>
      </c>
      <c r="X7604">
        <v>2400</v>
      </c>
      <c r="Y7604" t="s">
        <v>26652</v>
      </c>
      <c r="Z7604" t="s">
        <v>26657</v>
      </c>
      <c r="AA7604" t="s">
        <v>26683</v>
      </c>
      <c r="AB7604" t="s">
        <v>32347</v>
      </c>
      <c r="AC7604" t="s">
        <v>20460</v>
      </c>
      <c r="AD7604" t="s">
        <v>42747</v>
      </c>
      <c r="AE7604">
        <v>6</v>
      </c>
      <c r="AF7604" t="s">
        <v>45541</v>
      </c>
      <c r="AG7604" t="s">
        <v>45558</v>
      </c>
      <c r="AH7604">
        <v>2</v>
      </c>
      <c r="AI7604">
        <v>1</v>
      </c>
      <c r="AJ7604">
        <v>5</v>
      </c>
      <c r="AK7604">
        <v>41.73</v>
      </c>
      <c r="AN7604" t="s">
        <v>7439</v>
      </c>
      <c r="AO7604">
        <v>14435.04</v>
      </c>
      <c r="AS7604" t="s">
        <v>46501</v>
      </c>
      <c r="AT7604" t="s">
        <v>46754</v>
      </c>
      <c r="AU7604">
        <v>1.9</v>
      </c>
      <c r="AV7604" t="s">
        <v>819</v>
      </c>
      <c r="AW7604" t="s">
        <v>286</v>
      </c>
      <c r="AX7604" t="s">
        <v>46897</v>
      </c>
    </row>
    <row r="7605" spans="1:50">
      <c r="A7605" s="1">
        <f>HYPERLINK("https://lsnyc.legalserver.org/matter/dynamic-profile/view/1897359","19-1897359")</f>
        <v>0</v>
      </c>
      <c r="B7605" t="s">
        <v>115</v>
      </c>
      <c r="C7605" t="s">
        <v>340</v>
      </c>
      <c r="D7605" t="s">
        <v>761</v>
      </c>
      <c r="F7605" t="s">
        <v>3234</v>
      </c>
      <c r="G7605" t="s">
        <v>5262</v>
      </c>
      <c r="H7605" t="s">
        <v>10746</v>
      </c>
      <c r="I7605" t="s">
        <v>17490</v>
      </c>
      <c r="J7605" t="s">
        <v>18892</v>
      </c>
      <c r="K7605">
        <v>10457</v>
      </c>
      <c r="L7605" t="s">
        <v>18958</v>
      </c>
      <c r="M7605" t="s">
        <v>18958</v>
      </c>
      <c r="O7605" t="s">
        <v>26534</v>
      </c>
      <c r="P7605" t="s">
        <v>26564</v>
      </c>
      <c r="R7605" t="s">
        <v>26578</v>
      </c>
      <c r="S7605" t="s">
        <v>18959</v>
      </c>
      <c r="U7605" t="s">
        <v>26604</v>
      </c>
      <c r="W7605" t="s">
        <v>767</v>
      </c>
      <c r="X7605">
        <v>1750</v>
      </c>
      <c r="Y7605" t="s">
        <v>26650</v>
      </c>
      <c r="AD7605" t="s">
        <v>42748</v>
      </c>
      <c r="AE7605">
        <v>0</v>
      </c>
      <c r="AF7605" t="s">
        <v>45541</v>
      </c>
      <c r="AH7605">
        <v>0</v>
      </c>
      <c r="AI7605">
        <v>2</v>
      </c>
      <c r="AJ7605">
        <v>1</v>
      </c>
      <c r="AK7605">
        <v>0</v>
      </c>
      <c r="AN7605" t="s">
        <v>45581</v>
      </c>
      <c r="AO7605">
        <v>0</v>
      </c>
      <c r="AU7605">
        <v>1.2</v>
      </c>
      <c r="AV7605" t="s">
        <v>762</v>
      </c>
      <c r="AW7605" t="s">
        <v>115</v>
      </c>
    </row>
    <row r="7606" spans="1:50">
      <c r="A7606" s="1">
        <f>HYPERLINK("https://lsnyc.legalserver.org/matter/dynamic-profile/view/1897678","19-1897678")</f>
        <v>0</v>
      </c>
      <c r="B7606" t="s">
        <v>131</v>
      </c>
      <c r="C7606" t="s">
        <v>341</v>
      </c>
      <c r="D7606" t="s">
        <v>765</v>
      </c>
      <c r="E7606" t="s">
        <v>765</v>
      </c>
      <c r="F7606" t="s">
        <v>1527</v>
      </c>
      <c r="G7606" t="s">
        <v>8379</v>
      </c>
      <c r="H7606" t="s">
        <v>14851</v>
      </c>
      <c r="I7606" t="s">
        <v>17497</v>
      </c>
      <c r="J7606" t="s">
        <v>18902</v>
      </c>
      <c r="K7606">
        <v>10314</v>
      </c>
      <c r="L7606" t="s">
        <v>18958</v>
      </c>
      <c r="M7606" t="s">
        <v>18958</v>
      </c>
      <c r="N7606" t="s">
        <v>24377</v>
      </c>
      <c r="O7606" t="s">
        <v>26523</v>
      </c>
      <c r="P7606" t="s">
        <v>26564</v>
      </c>
      <c r="Q7606" t="s">
        <v>26570</v>
      </c>
      <c r="R7606" t="s">
        <v>26589</v>
      </c>
      <c r="S7606" t="s">
        <v>18959</v>
      </c>
      <c r="U7606" t="s">
        <v>26604</v>
      </c>
      <c r="V7606" t="s">
        <v>26612</v>
      </c>
      <c r="W7606" t="s">
        <v>767</v>
      </c>
      <c r="X7606">
        <v>971.5</v>
      </c>
      <c r="Y7606" t="s">
        <v>26654</v>
      </c>
      <c r="Z7606" t="s">
        <v>26671</v>
      </c>
      <c r="AA7606" t="s">
        <v>26683</v>
      </c>
      <c r="AB7606" t="s">
        <v>32348</v>
      </c>
      <c r="AE7606">
        <v>0</v>
      </c>
      <c r="AF7606" t="s">
        <v>45541</v>
      </c>
      <c r="AH7606">
        <v>5</v>
      </c>
      <c r="AI7606">
        <v>1</v>
      </c>
      <c r="AJ7606">
        <v>0</v>
      </c>
      <c r="AK7606">
        <v>72.54000000000001</v>
      </c>
      <c r="AL7606" t="s">
        <v>45567</v>
      </c>
      <c r="AM7606" t="s">
        <v>45577</v>
      </c>
      <c r="AN7606" t="s">
        <v>7439</v>
      </c>
      <c r="AO7606">
        <v>9060</v>
      </c>
      <c r="AU7606">
        <v>3</v>
      </c>
      <c r="AV7606" t="s">
        <v>765</v>
      </c>
      <c r="AW7606" t="s">
        <v>131</v>
      </c>
    </row>
    <row r="7607" spans="1:50">
      <c r="A7607" s="1">
        <f>HYPERLINK("https://lsnyc.legalserver.org/matter/dynamic-profile/view/1898191","19-1898191")</f>
        <v>0</v>
      </c>
      <c r="B7607" t="s">
        <v>169</v>
      </c>
      <c r="C7607" t="s">
        <v>341</v>
      </c>
      <c r="D7607" t="s">
        <v>767</v>
      </c>
      <c r="E7607" t="s">
        <v>767</v>
      </c>
      <c r="F7607" t="s">
        <v>4001</v>
      </c>
      <c r="G7607" t="s">
        <v>8380</v>
      </c>
      <c r="H7607" t="s">
        <v>14852</v>
      </c>
      <c r="I7607" t="s">
        <v>17298</v>
      </c>
      <c r="J7607" t="s">
        <v>18892</v>
      </c>
      <c r="K7607">
        <v>10461</v>
      </c>
      <c r="L7607" t="s">
        <v>18958</v>
      </c>
      <c r="M7607" t="s">
        <v>18958</v>
      </c>
      <c r="N7607" t="s">
        <v>19045</v>
      </c>
      <c r="O7607" t="s">
        <v>26529</v>
      </c>
      <c r="P7607" t="s">
        <v>26564</v>
      </c>
      <c r="Q7607" t="s">
        <v>26570</v>
      </c>
      <c r="R7607" t="s">
        <v>26578</v>
      </c>
      <c r="S7607" t="s">
        <v>18959</v>
      </c>
      <c r="U7607" t="s">
        <v>26604</v>
      </c>
      <c r="W7607" t="s">
        <v>767</v>
      </c>
      <c r="X7607">
        <v>2400</v>
      </c>
      <c r="Y7607" t="s">
        <v>26650</v>
      </c>
      <c r="Z7607" t="s">
        <v>26663</v>
      </c>
      <c r="AA7607" t="s">
        <v>26683</v>
      </c>
      <c r="AB7607" t="s">
        <v>28939</v>
      </c>
      <c r="AD7607" t="s">
        <v>42749</v>
      </c>
      <c r="AE7607">
        <v>0</v>
      </c>
      <c r="AF7607" t="s">
        <v>45547</v>
      </c>
      <c r="AG7607" t="s">
        <v>19330</v>
      </c>
      <c r="AH7607">
        <v>3</v>
      </c>
      <c r="AI7607">
        <v>1</v>
      </c>
      <c r="AJ7607">
        <v>0</v>
      </c>
      <c r="AK7607">
        <v>0</v>
      </c>
      <c r="AN7607" t="s">
        <v>7439</v>
      </c>
      <c r="AO7607">
        <v>0</v>
      </c>
      <c r="AU7607">
        <v>0.3</v>
      </c>
      <c r="AV7607" t="s">
        <v>767</v>
      </c>
      <c r="AW7607" t="s">
        <v>329</v>
      </c>
    </row>
    <row r="7608" spans="1:50">
      <c r="A7608" s="1">
        <f>HYPERLINK("https://lsnyc.legalserver.org/matter/dynamic-profile/view/1898756","19-1898756")</f>
        <v>0</v>
      </c>
      <c r="B7608" t="s">
        <v>169</v>
      </c>
      <c r="C7608" t="s">
        <v>341</v>
      </c>
      <c r="D7608" t="s">
        <v>767</v>
      </c>
      <c r="E7608" t="s">
        <v>769</v>
      </c>
      <c r="F7608" t="s">
        <v>4002</v>
      </c>
      <c r="G7608" t="s">
        <v>2564</v>
      </c>
      <c r="H7608" t="s">
        <v>12016</v>
      </c>
      <c r="I7608">
        <v>70</v>
      </c>
      <c r="J7608" t="s">
        <v>18892</v>
      </c>
      <c r="K7608">
        <v>10462</v>
      </c>
      <c r="L7608" t="s">
        <v>18958</v>
      </c>
      <c r="M7608" t="s">
        <v>18958</v>
      </c>
      <c r="N7608" t="s">
        <v>24378</v>
      </c>
      <c r="O7608" t="s">
        <v>26523</v>
      </c>
      <c r="P7608" t="s">
        <v>26565</v>
      </c>
      <c r="Q7608" t="s">
        <v>26571</v>
      </c>
      <c r="R7608" t="s">
        <v>26579</v>
      </c>
      <c r="S7608" t="s">
        <v>18959</v>
      </c>
      <c r="U7608" t="s">
        <v>26604</v>
      </c>
      <c r="V7608" t="s">
        <v>26612</v>
      </c>
      <c r="W7608" t="s">
        <v>767</v>
      </c>
      <c r="X7608">
        <v>817.02</v>
      </c>
      <c r="Y7608" t="s">
        <v>26650</v>
      </c>
      <c r="Z7608" t="s">
        <v>26661</v>
      </c>
      <c r="AA7608" t="s">
        <v>26678</v>
      </c>
      <c r="AB7608" t="s">
        <v>32349</v>
      </c>
      <c r="AD7608" t="s">
        <v>42750</v>
      </c>
      <c r="AE7608">
        <v>0</v>
      </c>
      <c r="AF7608" t="s">
        <v>20460</v>
      </c>
      <c r="AG7608" t="s">
        <v>19330</v>
      </c>
      <c r="AH7608">
        <v>3</v>
      </c>
      <c r="AI7608">
        <v>1</v>
      </c>
      <c r="AJ7608">
        <v>0</v>
      </c>
      <c r="AK7608">
        <v>384.31</v>
      </c>
      <c r="AN7608" t="s">
        <v>7439</v>
      </c>
      <c r="AO7608">
        <v>48000</v>
      </c>
      <c r="AP7608" t="s">
        <v>46063</v>
      </c>
      <c r="AU7608">
        <v>2.1</v>
      </c>
      <c r="AV7608" t="s">
        <v>769</v>
      </c>
      <c r="AW7608" t="s">
        <v>169</v>
      </c>
      <c r="AX7608" t="s">
        <v>46897</v>
      </c>
    </row>
    <row r="7609" spans="1:50">
      <c r="A7609" s="1">
        <f>HYPERLINK("https://lsnyc.legalserver.org/matter/dynamic-profile/view/1898288","19-1898288")</f>
        <v>0</v>
      </c>
      <c r="B7609" t="s">
        <v>116</v>
      </c>
      <c r="C7609" t="s">
        <v>341</v>
      </c>
      <c r="D7609" t="s">
        <v>767</v>
      </c>
      <c r="E7609" t="s">
        <v>797</v>
      </c>
      <c r="F7609" t="s">
        <v>1352</v>
      </c>
      <c r="G7609" t="s">
        <v>2065</v>
      </c>
      <c r="H7609" t="s">
        <v>9761</v>
      </c>
      <c r="J7609" t="s">
        <v>18894</v>
      </c>
      <c r="K7609">
        <v>11206</v>
      </c>
      <c r="L7609" t="s">
        <v>18958</v>
      </c>
      <c r="M7609" t="s">
        <v>18958</v>
      </c>
      <c r="N7609" t="s">
        <v>24379</v>
      </c>
      <c r="O7609" t="s">
        <v>26523</v>
      </c>
      <c r="P7609" t="s">
        <v>26560</v>
      </c>
      <c r="Q7609" t="s">
        <v>26570</v>
      </c>
      <c r="R7609" t="s">
        <v>26578</v>
      </c>
      <c r="S7609" t="s">
        <v>18959</v>
      </c>
      <c r="U7609" t="s">
        <v>26604</v>
      </c>
      <c r="V7609" t="s">
        <v>26610</v>
      </c>
      <c r="W7609" t="s">
        <v>767</v>
      </c>
      <c r="X7609">
        <v>580</v>
      </c>
      <c r="Y7609" t="s">
        <v>26652</v>
      </c>
      <c r="Z7609" t="s">
        <v>26659</v>
      </c>
      <c r="AA7609" t="s">
        <v>26678</v>
      </c>
      <c r="AB7609" t="s">
        <v>31328</v>
      </c>
      <c r="AD7609" t="s">
        <v>41527</v>
      </c>
      <c r="AE7609">
        <v>8</v>
      </c>
      <c r="AF7609" t="s">
        <v>45541</v>
      </c>
      <c r="AH7609">
        <v>6</v>
      </c>
      <c r="AI7609">
        <v>1</v>
      </c>
      <c r="AJ7609">
        <v>1</v>
      </c>
      <c r="AK7609">
        <v>224.72</v>
      </c>
      <c r="AL7609" t="s">
        <v>820</v>
      </c>
      <c r="AM7609" t="s">
        <v>45575</v>
      </c>
      <c r="AN7609" t="s">
        <v>7439</v>
      </c>
      <c r="AO7609">
        <v>38000</v>
      </c>
      <c r="AU7609">
        <v>2.7</v>
      </c>
      <c r="AV7609" t="s">
        <v>811</v>
      </c>
      <c r="AW7609" t="s">
        <v>116</v>
      </c>
    </row>
    <row r="7610" spans="1:50">
      <c r="A7610" s="1">
        <f>HYPERLINK("https://lsnyc.legalserver.org/matter/dynamic-profile/view/1898213","19-1898213")</f>
        <v>0</v>
      </c>
      <c r="B7610" t="s">
        <v>144</v>
      </c>
      <c r="C7610" t="s">
        <v>340</v>
      </c>
      <c r="D7610" t="s">
        <v>767</v>
      </c>
      <c r="F7610" t="s">
        <v>953</v>
      </c>
      <c r="G7610" t="s">
        <v>8381</v>
      </c>
      <c r="H7610" t="s">
        <v>14853</v>
      </c>
      <c r="I7610" t="s">
        <v>17584</v>
      </c>
      <c r="J7610" t="s">
        <v>18893</v>
      </c>
      <c r="K7610">
        <v>10025</v>
      </c>
      <c r="L7610" t="s">
        <v>18958</v>
      </c>
      <c r="M7610" t="s">
        <v>18960</v>
      </c>
      <c r="N7610" t="s">
        <v>24380</v>
      </c>
      <c r="O7610" t="s">
        <v>26523</v>
      </c>
      <c r="P7610" t="s">
        <v>26560</v>
      </c>
      <c r="R7610" t="s">
        <v>26580</v>
      </c>
      <c r="S7610" t="s">
        <v>18959</v>
      </c>
      <c r="U7610" t="s">
        <v>26604</v>
      </c>
      <c r="W7610" t="s">
        <v>767</v>
      </c>
      <c r="X7610">
        <v>469</v>
      </c>
      <c r="Y7610" t="s">
        <v>26651</v>
      </c>
      <c r="Z7610" t="s">
        <v>26668</v>
      </c>
      <c r="AB7610" t="s">
        <v>26863</v>
      </c>
      <c r="AD7610" t="s">
        <v>42751</v>
      </c>
      <c r="AE7610">
        <v>0</v>
      </c>
      <c r="AF7610" t="s">
        <v>45541</v>
      </c>
      <c r="AH7610">
        <v>13</v>
      </c>
      <c r="AI7610">
        <v>1</v>
      </c>
      <c r="AJ7610">
        <v>0</v>
      </c>
      <c r="AK7610">
        <v>152.95</v>
      </c>
      <c r="AN7610" t="s">
        <v>7439</v>
      </c>
      <c r="AO7610">
        <v>19104</v>
      </c>
      <c r="AU7610">
        <v>6.25</v>
      </c>
      <c r="AV7610" t="s">
        <v>772</v>
      </c>
      <c r="AW7610" t="s">
        <v>46838</v>
      </c>
      <c r="AX7610" t="s">
        <v>46897</v>
      </c>
    </row>
    <row r="7611" spans="1:50">
      <c r="A7611" s="1">
        <f>HYPERLINK("https://lsnyc.legalserver.org/matter/dynamic-profile/view/1898332","19-1898332")</f>
        <v>0</v>
      </c>
      <c r="B7611" t="s">
        <v>164</v>
      </c>
      <c r="C7611" t="s">
        <v>340</v>
      </c>
      <c r="D7611" t="s">
        <v>767</v>
      </c>
      <c r="F7611" t="s">
        <v>880</v>
      </c>
      <c r="G7611" t="s">
        <v>7418</v>
      </c>
      <c r="H7611" t="s">
        <v>13233</v>
      </c>
      <c r="I7611" t="s">
        <v>18147</v>
      </c>
      <c r="J7611" t="s">
        <v>18907</v>
      </c>
      <c r="K7611">
        <v>11377</v>
      </c>
      <c r="L7611" t="s">
        <v>18958</v>
      </c>
      <c r="M7611" t="s">
        <v>18958</v>
      </c>
      <c r="N7611" t="s">
        <v>22511</v>
      </c>
      <c r="O7611" t="s">
        <v>26531</v>
      </c>
      <c r="P7611" t="s">
        <v>26562</v>
      </c>
      <c r="R7611" t="s">
        <v>26578</v>
      </c>
      <c r="S7611" t="s">
        <v>18959</v>
      </c>
      <c r="U7611" t="s">
        <v>26604</v>
      </c>
      <c r="V7611" t="s">
        <v>26611</v>
      </c>
      <c r="W7611" t="s">
        <v>767</v>
      </c>
      <c r="X7611">
        <v>1104.78</v>
      </c>
      <c r="Y7611" t="s">
        <v>26653</v>
      </c>
      <c r="Z7611" t="s">
        <v>26664</v>
      </c>
      <c r="AB7611" t="s">
        <v>30590</v>
      </c>
      <c r="AD7611" t="s">
        <v>40784</v>
      </c>
      <c r="AE7611">
        <v>65</v>
      </c>
      <c r="AF7611" t="s">
        <v>45541</v>
      </c>
      <c r="AG7611" t="s">
        <v>19330</v>
      </c>
      <c r="AH7611">
        <v>24</v>
      </c>
      <c r="AI7611">
        <v>3</v>
      </c>
      <c r="AJ7611">
        <v>0</v>
      </c>
      <c r="AK7611">
        <v>19.52</v>
      </c>
      <c r="AN7611" t="s">
        <v>7439</v>
      </c>
      <c r="AO7611">
        <v>4164</v>
      </c>
      <c r="AU7611">
        <v>1.5</v>
      </c>
      <c r="AV7611" t="s">
        <v>771</v>
      </c>
      <c r="AW7611" t="s">
        <v>141</v>
      </c>
    </row>
    <row r="7612" spans="1:50">
      <c r="A7612" s="1">
        <f>HYPERLINK("https://lsnyc.legalserver.org/matter/dynamic-profile/view/1898190","19-1898190")</f>
        <v>0</v>
      </c>
      <c r="B7612" t="s">
        <v>133</v>
      </c>
      <c r="C7612" t="s">
        <v>340</v>
      </c>
      <c r="D7612" t="s">
        <v>767</v>
      </c>
      <c r="F7612" t="s">
        <v>4003</v>
      </c>
      <c r="G7612" t="s">
        <v>8382</v>
      </c>
      <c r="H7612" t="s">
        <v>14854</v>
      </c>
      <c r="I7612" t="s">
        <v>17356</v>
      </c>
      <c r="J7612" t="s">
        <v>18892</v>
      </c>
      <c r="K7612">
        <v>10453</v>
      </c>
      <c r="L7612" t="s">
        <v>18958</v>
      </c>
      <c r="M7612" t="s">
        <v>18958</v>
      </c>
      <c r="N7612" t="s">
        <v>24381</v>
      </c>
      <c r="O7612" t="s">
        <v>26523</v>
      </c>
      <c r="P7612" t="s">
        <v>26560</v>
      </c>
      <c r="R7612" t="s">
        <v>26577</v>
      </c>
      <c r="S7612" t="s">
        <v>18959</v>
      </c>
      <c r="U7612" t="s">
        <v>26604</v>
      </c>
      <c r="V7612" t="s">
        <v>26612</v>
      </c>
      <c r="W7612" t="s">
        <v>767</v>
      </c>
      <c r="X7612">
        <v>1073.25</v>
      </c>
      <c r="Y7612" t="s">
        <v>26650</v>
      </c>
      <c r="Z7612" t="s">
        <v>26530</v>
      </c>
      <c r="AB7612" t="s">
        <v>32350</v>
      </c>
      <c r="AC7612" t="s">
        <v>36363</v>
      </c>
      <c r="AD7612" t="s">
        <v>42752</v>
      </c>
      <c r="AE7612">
        <v>10</v>
      </c>
      <c r="AF7612" t="s">
        <v>20460</v>
      </c>
      <c r="AG7612" t="s">
        <v>19330</v>
      </c>
      <c r="AH7612">
        <v>3</v>
      </c>
      <c r="AI7612">
        <v>1</v>
      </c>
      <c r="AJ7612">
        <v>2</v>
      </c>
      <c r="AK7612">
        <v>121.89</v>
      </c>
      <c r="AN7612" t="s">
        <v>7439</v>
      </c>
      <c r="AO7612">
        <v>26000</v>
      </c>
      <c r="AU7612">
        <v>8.1</v>
      </c>
      <c r="AV7612" t="s">
        <v>832</v>
      </c>
      <c r="AW7612" t="s">
        <v>46871</v>
      </c>
      <c r="AX7612" t="s">
        <v>46898</v>
      </c>
    </row>
    <row r="7613" spans="1:50">
      <c r="A7613" s="1">
        <f>HYPERLINK("https://lsnyc.legalserver.org/matter/dynamic-profile/view/1898336","19-1898336")</f>
        <v>0</v>
      </c>
      <c r="B7613" t="s">
        <v>134</v>
      </c>
      <c r="C7613" t="s">
        <v>340</v>
      </c>
      <c r="D7613" t="s">
        <v>767</v>
      </c>
      <c r="F7613" t="s">
        <v>1985</v>
      </c>
      <c r="G7613" t="s">
        <v>8383</v>
      </c>
      <c r="H7613" t="s">
        <v>10439</v>
      </c>
      <c r="I7613" t="s">
        <v>17306</v>
      </c>
      <c r="J7613" t="s">
        <v>18894</v>
      </c>
      <c r="K7613">
        <v>11216</v>
      </c>
      <c r="L7613" t="s">
        <v>18958</v>
      </c>
      <c r="M7613" t="s">
        <v>18958</v>
      </c>
      <c r="O7613" t="s">
        <v>26531</v>
      </c>
      <c r="P7613" t="s">
        <v>26565</v>
      </c>
      <c r="R7613" t="s">
        <v>26578</v>
      </c>
      <c r="S7613" t="s">
        <v>18958</v>
      </c>
      <c r="U7613" t="s">
        <v>26604</v>
      </c>
      <c r="V7613" t="s">
        <v>26610</v>
      </c>
      <c r="W7613" t="s">
        <v>767</v>
      </c>
      <c r="X7613">
        <v>2075</v>
      </c>
      <c r="Y7613" t="s">
        <v>26652</v>
      </c>
      <c r="Z7613" t="s">
        <v>26667</v>
      </c>
      <c r="AB7613" t="s">
        <v>27037</v>
      </c>
      <c r="AD7613" t="s">
        <v>42753</v>
      </c>
      <c r="AE7613">
        <v>82</v>
      </c>
      <c r="AF7613" t="s">
        <v>45541</v>
      </c>
      <c r="AG7613" t="s">
        <v>19330</v>
      </c>
      <c r="AH7613">
        <v>2</v>
      </c>
      <c r="AI7613">
        <v>2</v>
      </c>
      <c r="AJ7613">
        <v>0</v>
      </c>
      <c r="AK7613">
        <v>324.01</v>
      </c>
      <c r="AN7613" t="s">
        <v>7439</v>
      </c>
      <c r="AO7613">
        <v>54790.06</v>
      </c>
      <c r="AP7613" t="s">
        <v>46064</v>
      </c>
      <c r="AU7613">
        <v>0</v>
      </c>
      <c r="AW7613" t="s">
        <v>279</v>
      </c>
    </row>
    <row r="7614" spans="1:50">
      <c r="A7614" s="1">
        <f>HYPERLINK("https://lsnyc.legalserver.org/matter/dynamic-profile/view/1897566","19-1897566")</f>
        <v>0</v>
      </c>
      <c r="B7614" t="s">
        <v>153</v>
      </c>
      <c r="C7614" t="s">
        <v>340</v>
      </c>
      <c r="D7614" t="s">
        <v>767</v>
      </c>
      <c r="F7614" t="s">
        <v>899</v>
      </c>
      <c r="G7614" t="s">
        <v>5314</v>
      </c>
      <c r="H7614" t="s">
        <v>13294</v>
      </c>
      <c r="I7614" t="s">
        <v>17355</v>
      </c>
      <c r="J7614" t="s">
        <v>18902</v>
      </c>
      <c r="K7614">
        <v>10304</v>
      </c>
      <c r="L7614" t="s">
        <v>18958</v>
      </c>
      <c r="M7614" t="s">
        <v>18960</v>
      </c>
      <c r="N7614" t="s">
        <v>24382</v>
      </c>
      <c r="O7614" t="s">
        <v>26523</v>
      </c>
      <c r="P7614" t="s">
        <v>26560</v>
      </c>
      <c r="R7614" t="s">
        <v>26578</v>
      </c>
      <c r="S7614" t="s">
        <v>18959</v>
      </c>
      <c r="U7614" t="s">
        <v>26604</v>
      </c>
      <c r="V7614" t="s">
        <v>26610</v>
      </c>
      <c r="W7614" t="s">
        <v>767</v>
      </c>
      <c r="X7614">
        <v>610</v>
      </c>
      <c r="Y7614" t="s">
        <v>26654</v>
      </c>
      <c r="AB7614" t="s">
        <v>32351</v>
      </c>
      <c r="AD7614" t="s">
        <v>42754</v>
      </c>
      <c r="AE7614">
        <v>0</v>
      </c>
      <c r="AF7614" t="s">
        <v>45543</v>
      </c>
      <c r="AH7614">
        <v>11</v>
      </c>
      <c r="AI7614">
        <v>1</v>
      </c>
      <c r="AJ7614">
        <v>4</v>
      </c>
      <c r="AK7614">
        <v>103.41</v>
      </c>
      <c r="AN7614" t="s">
        <v>7439</v>
      </c>
      <c r="AO7614">
        <v>31200</v>
      </c>
      <c r="AU7614">
        <v>3.7</v>
      </c>
      <c r="AV7614" t="s">
        <v>828</v>
      </c>
      <c r="AW7614" t="s">
        <v>46883</v>
      </c>
      <c r="AX7614" t="s">
        <v>46897</v>
      </c>
    </row>
    <row r="7615" spans="1:50">
      <c r="A7615" s="1">
        <f>HYPERLINK("https://lsnyc.legalserver.org/matter/dynamic-profile/view/1897118","19-1897118")</f>
        <v>0</v>
      </c>
      <c r="B7615" t="s">
        <v>153</v>
      </c>
      <c r="C7615" t="s">
        <v>340</v>
      </c>
      <c r="D7615" t="s">
        <v>767</v>
      </c>
      <c r="F7615" t="s">
        <v>4004</v>
      </c>
      <c r="G7615" t="s">
        <v>8384</v>
      </c>
      <c r="H7615" t="s">
        <v>14855</v>
      </c>
      <c r="I7615" t="s">
        <v>17374</v>
      </c>
      <c r="J7615" t="s">
        <v>18902</v>
      </c>
      <c r="K7615">
        <v>10309</v>
      </c>
      <c r="L7615" t="s">
        <v>18958</v>
      </c>
      <c r="M7615" t="s">
        <v>18960</v>
      </c>
      <c r="N7615" t="s">
        <v>24383</v>
      </c>
      <c r="O7615" t="s">
        <v>26524</v>
      </c>
      <c r="R7615" t="s">
        <v>26587</v>
      </c>
      <c r="S7615" t="s">
        <v>18959</v>
      </c>
      <c r="U7615" t="s">
        <v>26604</v>
      </c>
      <c r="V7615" t="s">
        <v>26610</v>
      </c>
      <c r="W7615" t="s">
        <v>767</v>
      </c>
      <c r="X7615">
        <v>1300</v>
      </c>
      <c r="Y7615" t="s">
        <v>26654</v>
      </c>
      <c r="Z7615" t="s">
        <v>26668</v>
      </c>
      <c r="AB7615" t="s">
        <v>32352</v>
      </c>
      <c r="AD7615" t="s">
        <v>42755</v>
      </c>
      <c r="AE7615">
        <v>2</v>
      </c>
      <c r="AF7615" t="s">
        <v>45547</v>
      </c>
      <c r="AG7615" t="s">
        <v>19330</v>
      </c>
      <c r="AH7615">
        <v>1</v>
      </c>
      <c r="AI7615">
        <v>2</v>
      </c>
      <c r="AJ7615">
        <v>0</v>
      </c>
      <c r="AK7615">
        <v>134.83</v>
      </c>
      <c r="AN7615" t="s">
        <v>7439</v>
      </c>
      <c r="AO7615">
        <v>22800</v>
      </c>
      <c r="AU7615">
        <v>2</v>
      </c>
      <c r="AV7615" t="s">
        <v>810</v>
      </c>
      <c r="AW7615" t="s">
        <v>46883</v>
      </c>
    </row>
    <row r="7616" spans="1:50">
      <c r="A7616" s="1">
        <f>HYPERLINK("https://lsnyc.legalserver.org/matter/dynamic-profile/view/1898222","19-1898222")</f>
        <v>0</v>
      </c>
      <c r="B7616" t="s">
        <v>68</v>
      </c>
      <c r="C7616" t="s">
        <v>340</v>
      </c>
      <c r="D7616" t="s">
        <v>767</v>
      </c>
      <c r="F7616" t="s">
        <v>1136</v>
      </c>
      <c r="G7616" t="s">
        <v>5303</v>
      </c>
      <c r="H7616" t="s">
        <v>12293</v>
      </c>
      <c r="I7616">
        <v>3</v>
      </c>
      <c r="J7616" t="s">
        <v>18892</v>
      </c>
      <c r="K7616">
        <v>10462</v>
      </c>
      <c r="L7616" t="s">
        <v>18958</v>
      </c>
      <c r="M7616" t="s">
        <v>18958</v>
      </c>
      <c r="N7616" t="s">
        <v>24384</v>
      </c>
      <c r="O7616" t="s">
        <v>26524</v>
      </c>
      <c r="P7616" t="s">
        <v>26560</v>
      </c>
      <c r="R7616" t="s">
        <v>26579</v>
      </c>
      <c r="S7616" t="s">
        <v>18959</v>
      </c>
      <c r="U7616" t="s">
        <v>26604</v>
      </c>
      <c r="V7616" t="s">
        <v>26610</v>
      </c>
      <c r="W7616" t="s">
        <v>767</v>
      </c>
      <c r="X7616">
        <v>1050</v>
      </c>
      <c r="Y7616" t="s">
        <v>26650</v>
      </c>
      <c r="Z7616" t="s">
        <v>26668</v>
      </c>
      <c r="AB7616" t="s">
        <v>29576</v>
      </c>
      <c r="AD7616" t="s">
        <v>39654</v>
      </c>
      <c r="AE7616">
        <v>4</v>
      </c>
      <c r="AF7616" t="s">
        <v>45547</v>
      </c>
      <c r="AG7616" t="s">
        <v>19330</v>
      </c>
      <c r="AH7616">
        <v>10</v>
      </c>
      <c r="AI7616">
        <v>1</v>
      </c>
      <c r="AJ7616">
        <v>2</v>
      </c>
      <c r="AK7616">
        <v>60.95</v>
      </c>
      <c r="AN7616" t="s">
        <v>7439</v>
      </c>
      <c r="AO7616">
        <v>13000</v>
      </c>
      <c r="AU7616">
        <v>1.8</v>
      </c>
      <c r="AV7616" t="s">
        <v>806</v>
      </c>
      <c r="AW7616" t="s">
        <v>46871</v>
      </c>
      <c r="AX7616" t="s">
        <v>46897</v>
      </c>
    </row>
    <row r="7617" spans="1:50">
      <c r="A7617" s="1">
        <f>HYPERLINK("https://lsnyc.legalserver.org/matter/dynamic-profile/view/1898229","19-1898229")</f>
        <v>0</v>
      </c>
      <c r="B7617" t="s">
        <v>141</v>
      </c>
      <c r="C7617" t="s">
        <v>340</v>
      </c>
      <c r="D7617" t="s">
        <v>767</v>
      </c>
      <c r="F7617" t="s">
        <v>2111</v>
      </c>
      <c r="G7617" t="s">
        <v>8098</v>
      </c>
      <c r="H7617" t="s">
        <v>9877</v>
      </c>
      <c r="I7617">
        <v>404</v>
      </c>
      <c r="J7617" t="s">
        <v>18900</v>
      </c>
      <c r="K7617">
        <v>11354</v>
      </c>
      <c r="L7617" t="s">
        <v>18958</v>
      </c>
      <c r="M7617" t="s">
        <v>18958</v>
      </c>
      <c r="N7617" t="s">
        <v>24385</v>
      </c>
      <c r="O7617" t="s">
        <v>26523</v>
      </c>
      <c r="P7617" t="s">
        <v>26560</v>
      </c>
      <c r="R7617" t="s">
        <v>26578</v>
      </c>
      <c r="S7617" t="s">
        <v>18959</v>
      </c>
      <c r="U7617" t="s">
        <v>26604</v>
      </c>
      <c r="V7617" t="s">
        <v>26610</v>
      </c>
      <c r="W7617" t="s">
        <v>767</v>
      </c>
      <c r="X7617">
        <v>1355.8</v>
      </c>
      <c r="Y7617" t="s">
        <v>26653</v>
      </c>
      <c r="Z7617" t="s">
        <v>26530</v>
      </c>
      <c r="AB7617" t="s">
        <v>31837</v>
      </c>
      <c r="AD7617" t="s">
        <v>42119</v>
      </c>
      <c r="AE7617">
        <v>130</v>
      </c>
      <c r="AF7617" t="s">
        <v>45541</v>
      </c>
      <c r="AG7617" t="s">
        <v>45559</v>
      </c>
      <c r="AH7617">
        <v>20</v>
      </c>
      <c r="AI7617">
        <v>1</v>
      </c>
      <c r="AJ7617">
        <v>0</v>
      </c>
      <c r="AK7617">
        <v>75.90000000000001</v>
      </c>
      <c r="AN7617" t="s">
        <v>7439</v>
      </c>
      <c r="AO7617">
        <v>9480</v>
      </c>
      <c r="AQ7617" t="s">
        <v>46362</v>
      </c>
      <c r="AR7617" t="s">
        <v>46379</v>
      </c>
      <c r="AS7617" t="s">
        <v>46499</v>
      </c>
      <c r="AT7617" t="s">
        <v>46781</v>
      </c>
      <c r="AU7617">
        <v>2.8</v>
      </c>
      <c r="AV7617" t="s">
        <v>806</v>
      </c>
      <c r="AW7617" t="s">
        <v>141</v>
      </c>
      <c r="AX7617" t="s">
        <v>46897</v>
      </c>
    </row>
    <row r="7618" spans="1:50">
      <c r="A7618" s="1">
        <f>HYPERLINK("https://lsnyc.legalserver.org/matter/dynamic-profile/view/1898318","19-1898318")</f>
        <v>0</v>
      </c>
      <c r="B7618" t="s">
        <v>284</v>
      </c>
      <c r="C7618" t="s">
        <v>340</v>
      </c>
      <c r="D7618" t="s">
        <v>767</v>
      </c>
      <c r="F7618" t="s">
        <v>2533</v>
      </c>
      <c r="G7618" t="s">
        <v>8378</v>
      </c>
      <c r="H7618" t="s">
        <v>14849</v>
      </c>
      <c r="I7618" t="s">
        <v>17349</v>
      </c>
      <c r="J7618" t="s">
        <v>18892</v>
      </c>
      <c r="K7618">
        <v>10451</v>
      </c>
      <c r="L7618" t="s">
        <v>18958</v>
      </c>
      <c r="M7618" t="s">
        <v>18960</v>
      </c>
      <c r="N7618" t="s">
        <v>24375</v>
      </c>
      <c r="O7618" t="s">
        <v>26523</v>
      </c>
      <c r="P7618" t="s">
        <v>26560</v>
      </c>
      <c r="R7618" t="s">
        <v>26577</v>
      </c>
      <c r="U7618" t="s">
        <v>26604</v>
      </c>
      <c r="W7618" t="s">
        <v>767</v>
      </c>
      <c r="X7618">
        <v>1235.83</v>
      </c>
      <c r="Y7618" t="s">
        <v>26650</v>
      </c>
      <c r="Z7618" t="s">
        <v>26668</v>
      </c>
      <c r="AB7618" t="s">
        <v>32346</v>
      </c>
      <c r="AC7618" t="s">
        <v>36362</v>
      </c>
      <c r="AD7618" t="s">
        <v>42746</v>
      </c>
      <c r="AE7618">
        <v>0</v>
      </c>
      <c r="AF7618" t="s">
        <v>20460</v>
      </c>
      <c r="AG7618" t="s">
        <v>45556</v>
      </c>
      <c r="AH7618">
        <v>3</v>
      </c>
      <c r="AI7618">
        <v>1</v>
      </c>
      <c r="AJ7618">
        <v>1</v>
      </c>
      <c r="AK7618">
        <v>16.3</v>
      </c>
      <c r="AN7618" t="s">
        <v>7439</v>
      </c>
      <c r="AO7618">
        <v>2756</v>
      </c>
      <c r="AU7618">
        <v>0</v>
      </c>
      <c r="AW7618" t="s">
        <v>46836</v>
      </c>
      <c r="AX7618" t="s">
        <v>46898</v>
      </c>
    </row>
    <row r="7619" spans="1:50">
      <c r="A7619" s="1">
        <f>HYPERLINK("https://lsnyc.legalserver.org/matter/dynamic-profile/view/1898321","19-1898321")</f>
        <v>0</v>
      </c>
      <c r="B7619" t="s">
        <v>82</v>
      </c>
      <c r="C7619" t="s">
        <v>340</v>
      </c>
      <c r="D7619" t="s">
        <v>767</v>
      </c>
      <c r="F7619" t="s">
        <v>4005</v>
      </c>
      <c r="G7619" t="s">
        <v>8385</v>
      </c>
      <c r="H7619" t="s">
        <v>14856</v>
      </c>
      <c r="I7619" t="s">
        <v>18391</v>
      </c>
      <c r="J7619" t="s">
        <v>18892</v>
      </c>
      <c r="K7619">
        <v>10459</v>
      </c>
      <c r="L7619" t="s">
        <v>18958</v>
      </c>
      <c r="M7619" t="s">
        <v>18958</v>
      </c>
      <c r="N7619" t="s">
        <v>24386</v>
      </c>
      <c r="O7619" t="s">
        <v>26523</v>
      </c>
      <c r="P7619" t="s">
        <v>26560</v>
      </c>
      <c r="R7619" t="s">
        <v>26577</v>
      </c>
      <c r="S7619" t="s">
        <v>18959</v>
      </c>
      <c r="U7619" t="s">
        <v>26604</v>
      </c>
      <c r="V7619" t="s">
        <v>26612</v>
      </c>
      <c r="W7619" t="s">
        <v>767</v>
      </c>
      <c r="X7619">
        <v>2000</v>
      </c>
      <c r="Y7619" t="s">
        <v>26650</v>
      </c>
      <c r="Z7619" t="s">
        <v>26664</v>
      </c>
      <c r="AB7619" t="s">
        <v>31609</v>
      </c>
      <c r="AC7619" t="s">
        <v>36364</v>
      </c>
      <c r="AE7619">
        <v>0</v>
      </c>
      <c r="AF7619" t="s">
        <v>45547</v>
      </c>
      <c r="AG7619" t="s">
        <v>45562</v>
      </c>
      <c r="AH7619">
        <v>0</v>
      </c>
      <c r="AI7619">
        <v>3</v>
      </c>
      <c r="AJ7619">
        <v>2</v>
      </c>
      <c r="AK7619">
        <v>157.71</v>
      </c>
      <c r="AN7619" t="s">
        <v>45581</v>
      </c>
      <c r="AO7619">
        <v>47580</v>
      </c>
      <c r="AU7619">
        <v>2.75</v>
      </c>
      <c r="AV7619" t="s">
        <v>772</v>
      </c>
      <c r="AW7619" t="s">
        <v>334</v>
      </c>
      <c r="AX7619" t="s">
        <v>46898</v>
      </c>
    </row>
    <row r="7620" spans="1:50">
      <c r="A7620" s="1">
        <f>HYPERLINK("https://lsnyc.legalserver.org/matter/dynamic-profile/view/1898194","19-1898194")</f>
        <v>0</v>
      </c>
      <c r="B7620" t="s">
        <v>121</v>
      </c>
      <c r="C7620" t="s">
        <v>340</v>
      </c>
      <c r="D7620" t="s">
        <v>767</v>
      </c>
      <c r="F7620" t="s">
        <v>4006</v>
      </c>
      <c r="G7620" t="s">
        <v>8386</v>
      </c>
      <c r="H7620" t="s">
        <v>14857</v>
      </c>
      <c r="I7620" t="s">
        <v>17309</v>
      </c>
      <c r="J7620" t="s">
        <v>18892</v>
      </c>
      <c r="K7620">
        <v>10466</v>
      </c>
      <c r="L7620" t="s">
        <v>18958</v>
      </c>
      <c r="M7620" t="s">
        <v>18958</v>
      </c>
      <c r="N7620" t="s">
        <v>24387</v>
      </c>
      <c r="O7620" t="s">
        <v>26523</v>
      </c>
      <c r="P7620" t="s">
        <v>26560</v>
      </c>
      <c r="R7620" t="s">
        <v>26577</v>
      </c>
      <c r="S7620" t="s">
        <v>18959</v>
      </c>
      <c r="U7620" t="s">
        <v>26604</v>
      </c>
      <c r="V7620" t="s">
        <v>26611</v>
      </c>
      <c r="W7620" t="s">
        <v>767</v>
      </c>
      <c r="X7620">
        <v>1534</v>
      </c>
      <c r="Y7620" t="s">
        <v>26650</v>
      </c>
      <c r="AB7620" t="s">
        <v>32353</v>
      </c>
      <c r="AC7620" t="s">
        <v>36365</v>
      </c>
      <c r="AD7620" t="s">
        <v>42756</v>
      </c>
      <c r="AE7620">
        <v>0</v>
      </c>
      <c r="AF7620" t="s">
        <v>45541</v>
      </c>
      <c r="AG7620" t="s">
        <v>45557</v>
      </c>
      <c r="AH7620">
        <v>1</v>
      </c>
      <c r="AI7620">
        <v>1</v>
      </c>
      <c r="AJ7620">
        <v>3</v>
      </c>
      <c r="AK7620">
        <v>0</v>
      </c>
      <c r="AN7620" t="s">
        <v>7439</v>
      </c>
      <c r="AO7620">
        <v>0</v>
      </c>
      <c r="AU7620">
        <v>13.8</v>
      </c>
      <c r="AV7620" t="s">
        <v>838</v>
      </c>
      <c r="AW7620" t="s">
        <v>46871</v>
      </c>
      <c r="AX7620" t="s">
        <v>46898</v>
      </c>
    </row>
    <row r="7621" spans="1:50">
      <c r="A7621" s="1">
        <f>HYPERLINK("https://lsnyc.legalserver.org/matter/dynamic-profile/view/1898324","19-1898324")</f>
        <v>0</v>
      </c>
      <c r="B7621" t="s">
        <v>201</v>
      </c>
      <c r="C7621" t="s">
        <v>340</v>
      </c>
      <c r="D7621" t="s">
        <v>767</v>
      </c>
      <c r="F7621" t="s">
        <v>1320</v>
      </c>
      <c r="G7621" t="s">
        <v>6893</v>
      </c>
      <c r="H7621" t="s">
        <v>11766</v>
      </c>
      <c r="I7621" t="s">
        <v>18093</v>
      </c>
      <c r="J7621" t="s">
        <v>18894</v>
      </c>
      <c r="K7621">
        <v>11216</v>
      </c>
      <c r="L7621" t="s">
        <v>18958</v>
      </c>
      <c r="M7621" t="s">
        <v>18958</v>
      </c>
      <c r="N7621" t="s">
        <v>24388</v>
      </c>
      <c r="O7621" t="s">
        <v>26523</v>
      </c>
      <c r="P7621" t="s">
        <v>26560</v>
      </c>
      <c r="R7621" t="s">
        <v>26588</v>
      </c>
      <c r="U7621" t="s">
        <v>26604</v>
      </c>
      <c r="W7621" t="s">
        <v>767</v>
      </c>
      <c r="X7621">
        <v>1137</v>
      </c>
      <c r="Y7621" t="s">
        <v>26652</v>
      </c>
      <c r="Z7621" t="s">
        <v>26664</v>
      </c>
      <c r="AB7621" t="s">
        <v>32354</v>
      </c>
      <c r="AD7621" t="s">
        <v>42757</v>
      </c>
      <c r="AE7621">
        <v>6</v>
      </c>
      <c r="AF7621" t="s">
        <v>20460</v>
      </c>
      <c r="AG7621" t="s">
        <v>45556</v>
      </c>
      <c r="AH7621">
        <v>16</v>
      </c>
      <c r="AI7621">
        <v>1</v>
      </c>
      <c r="AJ7621">
        <v>0</v>
      </c>
      <c r="AK7621">
        <v>112.7</v>
      </c>
      <c r="AN7621" t="s">
        <v>7439</v>
      </c>
      <c r="AO7621">
        <v>14076</v>
      </c>
      <c r="AU7621">
        <v>6.75</v>
      </c>
      <c r="AV7621" t="s">
        <v>833</v>
      </c>
      <c r="AW7621" t="s">
        <v>46856</v>
      </c>
    </row>
    <row r="7622" spans="1:50">
      <c r="A7622" s="1">
        <f>HYPERLINK("https://lsnyc.legalserver.org/matter/dynamic-profile/view/1898328","19-1898328")</f>
        <v>0</v>
      </c>
      <c r="B7622" t="s">
        <v>122</v>
      </c>
      <c r="C7622" t="s">
        <v>340</v>
      </c>
      <c r="D7622" t="s">
        <v>767</v>
      </c>
      <c r="F7622" t="s">
        <v>3657</v>
      </c>
      <c r="G7622" t="s">
        <v>2749</v>
      </c>
      <c r="H7622" t="s">
        <v>14219</v>
      </c>
      <c r="I7622" t="s">
        <v>17397</v>
      </c>
      <c r="J7622" t="s">
        <v>18906</v>
      </c>
      <c r="K7622">
        <v>11373</v>
      </c>
      <c r="L7622" t="s">
        <v>18958</v>
      </c>
      <c r="M7622" t="s">
        <v>18958</v>
      </c>
      <c r="N7622" t="s">
        <v>19045</v>
      </c>
      <c r="O7622" t="s">
        <v>26523</v>
      </c>
      <c r="P7622" t="s">
        <v>26562</v>
      </c>
      <c r="R7622" t="s">
        <v>26592</v>
      </c>
      <c r="U7622" t="s">
        <v>26604</v>
      </c>
      <c r="W7622" t="s">
        <v>767</v>
      </c>
      <c r="X7622">
        <v>1257.2</v>
      </c>
      <c r="Y7622" t="s">
        <v>26653</v>
      </c>
      <c r="Z7622" t="s">
        <v>26655</v>
      </c>
      <c r="AB7622" t="s">
        <v>28756</v>
      </c>
      <c r="AD7622" t="s">
        <v>41873</v>
      </c>
      <c r="AE7622">
        <v>60</v>
      </c>
      <c r="AG7622" t="s">
        <v>19330</v>
      </c>
      <c r="AH7622">
        <v>20</v>
      </c>
      <c r="AI7622">
        <v>3</v>
      </c>
      <c r="AJ7622">
        <v>1</v>
      </c>
      <c r="AK7622">
        <v>67.48</v>
      </c>
      <c r="AN7622" t="s">
        <v>45581</v>
      </c>
      <c r="AO7622">
        <v>17376</v>
      </c>
      <c r="AU7622">
        <v>24.35</v>
      </c>
      <c r="AV7622" t="s">
        <v>829</v>
      </c>
      <c r="AW7622" t="s">
        <v>122</v>
      </c>
      <c r="AX7622" t="s">
        <v>46897</v>
      </c>
    </row>
    <row r="7623" spans="1:50">
      <c r="A7623" s="1">
        <f>HYPERLINK("https://lsnyc.legalserver.org/matter/dynamic-profile/view/1898568","19-1898568")</f>
        <v>0</v>
      </c>
      <c r="B7623" t="s">
        <v>90</v>
      </c>
      <c r="C7623" t="s">
        <v>340</v>
      </c>
      <c r="D7623" t="s">
        <v>810</v>
      </c>
      <c r="F7623" t="s">
        <v>980</v>
      </c>
      <c r="G7623" t="s">
        <v>8387</v>
      </c>
      <c r="H7623" t="s">
        <v>14717</v>
      </c>
      <c r="I7623" t="s">
        <v>17410</v>
      </c>
      <c r="J7623" t="s">
        <v>18893</v>
      </c>
      <c r="K7623">
        <v>10035</v>
      </c>
      <c r="L7623" t="s">
        <v>18958</v>
      </c>
      <c r="M7623" t="s">
        <v>18958</v>
      </c>
      <c r="O7623" t="s">
        <v>18997</v>
      </c>
      <c r="P7623" t="s">
        <v>26565</v>
      </c>
      <c r="R7623" t="s">
        <v>26578</v>
      </c>
      <c r="S7623" t="s">
        <v>18958</v>
      </c>
      <c r="U7623" t="s">
        <v>26604</v>
      </c>
      <c r="V7623" t="s">
        <v>26610</v>
      </c>
      <c r="W7623" t="s">
        <v>767</v>
      </c>
      <c r="X7623">
        <v>847</v>
      </c>
      <c r="Y7623" t="s">
        <v>26651</v>
      </c>
      <c r="Z7623" t="s">
        <v>26657</v>
      </c>
      <c r="AB7623" t="s">
        <v>30384</v>
      </c>
      <c r="AD7623" t="s">
        <v>42758</v>
      </c>
      <c r="AE7623">
        <v>60</v>
      </c>
      <c r="AF7623" t="s">
        <v>45541</v>
      </c>
      <c r="AG7623" t="s">
        <v>45556</v>
      </c>
      <c r="AH7623">
        <v>14</v>
      </c>
      <c r="AI7623">
        <v>1</v>
      </c>
      <c r="AJ7623">
        <v>2</v>
      </c>
      <c r="AK7623">
        <v>170.65</v>
      </c>
      <c r="AN7623" t="s">
        <v>7439</v>
      </c>
      <c r="AO7623">
        <v>36400</v>
      </c>
      <c r="AU7623">
        <v>17.5</v>
      </c>
      <c r="AV7623" t="s">
        <v>835</v>
      </c>
      <c r="AW7623" t="s">
        <v>46835</v>
      </c>
      <c r="AX7623" t="s">
        <v>46897</v>
      </c>
    </row>
    <row r="7624" spans="1:50">
      <c r="A7624" s="1">
        <f>HYPERLINK("https://lsnyc.legalserver.org/matter/dynamic-profile/view/1880606","18-1880606")</f>
        <v>0</v>
      </c>
      <c r="B7624" t="s">
        <v>100</v>
      </c>
      <c r="C7624" t="s">
        <v>340</v>
      </c>
      <c r="D7624" t="s">
        <v>623</v>
      </c>
      <c r="F7624" t="s">
        <v>4007</v>
      </c>
      <c r="G7624" t="s">
        <v>6856</v>
      </c>
      <c r="H7624" t="s">
        <v>10916</v>
      </c>
      <c r="I7624" t="s">
        <v>17388</v>
      </c>
      <c r="J7624" t="s">
        <v>18892</v>
      </c>
      <c r="K7624">
        <v>10456</v>
      </c>
      <c r="L7624" t="s">
        <v>18958</v>
      </c>
      <c r="M7624" t="s">
        <v>18958</v>
      </c>
      <c r="N7624" t="s">
        <v>22131</v>
      </c>
      <c r="O7624" t="s">
        <v>26534</v>
      </c>
      <c r="P7624" t="s">
        <v>26561</v>
      </c>
      <c r="R7624" t="s">
        <v>26578</v>
      </c>
      <c r="S7624" t="s">
        <v>18958</v>
      </c>
      <c r="U7624" t="s">
        <v>26604</v>
      </c>
      <c r="W7624" t="s">
        <v>768</v>
      </c>
      <c r="X7624">
        <v>998</v>
      </c>
      <c r="Y7624" t="s">
        <v>26650</v>
      </c>
      <c r="Z7624" t="s">
        <v>26663</v>
      </c>
      <c r="AB7624" t="s">
        <v>31112</v>
      </c>
      <c r="AD7624" t="s">
        <v>42759</v>
      </c>
      <c r="AE7624">
        <v>61</v>
      </c>
      <c r="AF7624" t="s">
        <v>45541</v>
      </c>
      <c r="AG7624" t="s">
        <v>45558</v>
      </c>
      <c r="AH7624">
        <v>12</v>
      </c>
      <c r="AI7624">
        <v>1</v>
      </c>
      <c r="AJ7624">
        <v>2</v>
      </c>
      <c r="AK7624">
        <v>84.87</v>
      </c>
      <c r="AN7624" t="s">
        <v>45581</v>
      </c>
      <c r="AO7624">
        <v>17636</v>
      </c>
      <c r="AU7624">
        <v>0</v>
      </c>
      <c r="AW7624" t="s">
        <v>46847</v>
      </c>
    </row>
    <row r="7625" spans="1:50">
      <c r="A7625" s="1">
        <f>HYPERLINK("https://lsnyc.legalserver.org/matter/dynamic-profile/view/1880627","18-1880627")</f>
        <v>0</v>
      </c>
      <c r="B7625" t="s">
        <v>100</v>
      </c>
      <c r="C7625" t="s">
        <v>340</v>
      </c>
      <c r="D7625" t="s">
        <v>623</v>
      </c>
      <c r="F7625" t="s">
        <v>1832</v>
      </c>
      <c r="G7625" t="s">
        <v>6014</v>
      </c>
      <c r="H7625" t="s">
        <v>10916</v>
      </c>
      <c r="I7625" t="s">
        <v>17292</v>
      </c>
      <c r="J7625" t="s">
        <v>18892</v>
      </c>
      <c r="K7625">
        <v>10456</v>
      </c>
      <c r="L7625" t="s">
        <v>18958</v>
      </c>
      <c r="M7625" t="s">
        <v>18958</v>
      </c>
      <c r="N7625" t="s">
        <v>22131</v>
      </c>
      <c r="O7625" t="s">
        <v>26534</v>
      </c>
      <c r="P7625" t="s">
        <v>26561</v>
      </c>
      <c r="R7625" t="s">
        <v>26578</v>
      </c>
      <c r="S7625" t="s">
        <v>18958</v>
      </c>
      <c r="U7625" t="s">
        <v>26604</v>
      </c>
      <c r="W7625" t="s">
        <v>768</v>
      </c>
      <c r="X7625">
        <v>1245</v>
      </c>
      <c r="Y7625" t="s">
        <v>26650</v>
      </c>
      <c r="Z7625" t="s">
        <v>26663</v>
      </c>
      <c r="AB7625" t="s">
        <v>28092</v>
      </c>
      <c r="AD7625" t="s">
        <v>38145</v>
      </c>
      <c r="AE7625">
        <v>61</v>
      </c>
      <c r="AF7625" t="s">
        <v>45541</v>
      </c>
      <c r="AG7625" t="s">
        <v>45558</v>
      </c>
      <c r="AH7625">
        <v>21</v>
      </c>
      <c r="AI7625">
        <v>1</v>
      </c>
      <c r="AJ7625">
        <v>1</v>
      </c>
      <c r="AK7625">
        <v>212.64</v>
      </c>
      <c r="AN7625" t="s">
        <v>7439</v>
      </c>
      <c r="AO7625">
        <v>35000</v>
      </c>
      <c r="AU7625">
        <v>0</v>
      </c>
      <c r="AW7625" t="s">
        <v>46847</v>
      </c>
    </row>
    <row r="7626" spans="1:50">
      <c r="A7626" s="1">
        <f>HYPERLINK("https://lsnyc.legalserver.org/matter/dynamic-profile/view/1886622","18-1886622")</f>
        <v>0</v>
      </c>
      <c r="B7626" t="s">
        <v>100</v>
      </c>
      <c r="C7626" t="s">
        <v>340</v>
      </c>
      <c r="D7626" t="s">
        <v>699</v>
      </c>
      <c r="F7626" t="s">
        <v>3823</v>
      </c>
      <c r="G7626" t="s">
        <v>6151</v>
      </c>
      <c r="H7626" t="s">
        <v>13798</v>
      </c>
      <c r="I7626" t="s">
        <v>17538</v>
      </c>
      <c r="J7626" t="s">
        <v>18892</v>
      </c>
      <c r="K7626">
        <v>10453</v>
      </c>
      <c r="L7626" t="s">
        <v>18958</v>
      </c>
      <c r="M7626" t="s">
        <v>18958</v>
      </c>
      <c r="O7626" t="s">
        <v>26529</v>
      </c>
      <c r="P7626" t="s">
        <v>26565</v>
      </c>
      <c r="R7626" t="s">
        <v>26578</v>
      </c>
      <c r="S7626" t="s">
        <v>18958</v>
      </c>
      <c r="U7626" t="s">
        <v>26608</v>
      </c>
      <c r="W7626" t="s">
        <v>768</v>
      </c>
      <c r="X7626">
        <v>0</v>
      </c>
      <c r="Y7626" t="s">
        <v>26650</v>
      </c>
      <c r="Z7626" t="s">
        <v>26659</v>
      </c>
      <c r="AB7626" t="s">
        <v>31988</v>
      </c>
      <c r="AD7626" t="s">
        <v>42303</v>
      </c>
      <c r="AE7626">
        <v>170</v>
      </c>
      <c r="AF7626" t="s">
        <v>45541</v>
      </c>
      <c r="AH7626">
        <v>0</v>
      </c>
      <c r="AI7626">
        <v>1</v>
      </c>
      <c r="AJ7626">
        <v>0</v>
      </c>
      <c r="AK7626">
        <v>177.53</v>
      </c>
      <c r="AN7626" t="s">
        <v>7439</v>
      </c>
      <c r="AO7626">
        <v>21552</v>
      </c>
      <c r="AU7626">
        <v>46</v>
      </c>
      <c r="AV7626" t="s">
        <v>660</v>
      </c>
      <c r="AW7626" t="s">
        <v>100</v>
      </c>
      <c r="AX7626" t="s">
        <v>46897</v>
      </c>
    </row>
    <row r="7627" spans="1:50">
      <c r="A7627" s="1">
        <f>HYPERLINK("https://lsnyc.legalserver.org/matter/dynamic-profile/view/1887365","19-1887365")</f>
        <v>0</v>
      </c>
      <c r="B7627" t="s">
        <v>108</v>
      </c>
      <c r="C7627" t="s">
        <v>341</v>
      </c>
      <c r="D7627" t="s">
        <v>704</v>
      </c>
      <c r="E7627" t="s">
        <v>820</v>
      </c>
      <c r="F7627" t="s">
        <v>4008</v>
      </c>
      <c r="G7627" t="s">
        <v>7573</v>
      </c>
      <c r="H7627" t="s">
        <v>14858</v>
      </c>
      <c r="I7627" t="s">
        <v>17867</v>
      </c>
      <c r="J7627" t="s">
        <v>18901</v>
      </c>
      <c r="K7627">
        <v>11434</v>
      </c>
      <c r="L7627" t="s">
        <v>18958</v>
      </c>
      <c r="M7627" t="s">
        <v>18958</v>
      </c>
      <c r="N7627" t="s">
        <v>24389</v>
      </c>
      <c r="O7627" t="s">
        <v>26523</v>
      </c>
      <c r="P7627" t="s">
        <v>26560</v>
      </c>
      <c r="Q7627" t="s">
        <v>26568</v>
      </c>
      <c r="R7627" t="s">
        <v>26585</v>
      </c>
      <c r="S7627" t="s">
        <v>18959</v>
      </c>
      <c r="U7627" t="s">
        <v>26604</v>
      </c>
      <c r="V7627" t="s">
        <v>26610</v>
      </c>
      <c r="W7627" t="s">
        <v>768</v>
      </c>
      <c r="X7627">
        <v>743</v>
      </c>
      <c r="Y7627" t="s">
        <v>26653</v>
      </c>
      <c r="Z7627" t="s">
        <v>26664</v>
      </c>
      <c r="AA7627" t="s">
        <v>26678</v>
      </c>
      <c r="AB7627" t="s">
        <v>32355</v>
      </c>
      <c r="AD7627" t="s">
        <v>42760</v>
      </c>
      <c r="AE7627">
        <v>5860</v>
      </c>
      <c r="AF7627" t="s">
        <v>20460</v>
      </c>
      <c r="AG7627" t="s">
        <v>19330</v>
      </c>
      <c r="AH7627">
        <v>14</v>
      </c>
      <c r="AI7627">
        <v>1</v>
      </c>
      <c r="AJ7627">
        <v>0</v>
      </c>
      <c r="AK7627">
        <v>0</v>
      </c>
      <c r="AN7627" t="s">
        <v>7439</v>
      </c>
      <c r="AO7627">
        <v>0</v>
      </c>
      <c r="AQ7627" t="s">
        <v>46359</v>
      </c>
      <c r="AR7627" t="s">
        <v>46383</v>
      </c>
      <c r="AS7627" t="s">
        <v>46499</v>
      </c>
      <c r="AT7627" t="s">
        <v>46641</v>
      </c>
      <c r="AU7627">
        <v>13.9</v>
      </c>
      <c r="AV7627" t="s">
        <v>814</v>
      </c>
      <c r="AW7627" t="s">
        <v>208</v>
      </c>
      <c r="AX7627" t="s">
        <v>46897</v>
      </c>
    </row>
    <row r="7628" spans="1:50">
      <c r="A7628" s="1">
        <f>HYPERLINK("https://lsnyc.legalserver.org/matter/dynamic-profile/view/1889508","19-1889508")</f>
        <v>0</v>
      </c>
      <c r="B7628" t="s">
        <v>200</v>
      </c>
      <c r="C7628" t="s">
        <v>341</v>
      </c>
      <c r="D7628" t="s">
        <v>677</v>
      </c>
      <c r="E7628" t="s">
        <v>818</v>
      </c>
      <c r="F7628" t="s">
        <v>1614</v>
      </c>
      <c r="G7628" t="s">
        <v>8388</v>
      </c>
      <c r="H7628" t="s">
        <v>14859</v>
      </c>
      <c r="I7628" t="s">
        <v>17272</v>
      </c>
      <c r="J7628" t="s">
        <v>18894</v>
      </c>
      <c r="K7628">
        <v>11239</v>
      </c>
      <c r="L7628" t="s">
        <v>18959</v>
      </c>
      <c r="M7628" t="s">
        <v>18958</v>
      </c>
      <c r="N7628" t="s">
        <v>24390</v>
      </c>
      <c r="O7628" t="s">
        <v>26523</v>
      </c>
      <c r="P7628" t="s">
        <v>26560</v>
      </c>
      <c r="Q7628" t="s">
        <v>26573</v>
      </c>
      <c r="R7628" t="s">
        <v>26578</v>
      </c>
      <c r="S7628" t="s">
        <v>18959</v>
      </c>
      <c r="U7628" t="s">
        <v>26604</v>
      </c>
      <c r="V7628" t="s">
        <v>26609</v>
      </c>
      <c r="W7628" t="s">
        <v>768</v>
      </c>
      <c r="X7628">
        <v>808.13</v>
      </c>
      <c r="Y7628" t="s">
        <v>26652</v>
      </c>
      <c r="Z7628" t="s">
        <v>26659</v>
      </c>
      <c r="AA7628" t="s">
        <v>26678</v>
      </c>
      <c r="AB7628" t="s">
        <v>32356</v>
      </c>
      <c r="AC7628" t="s">
        <v>19330</v>
      </c>
      <c r="AD7628" t="s">
        <v>42761</v>
      </c>
      <c r="AE7628">
        <v>51</v>
      </c>
      <c r="AF7628" t="s">
        <v>45541</v>
      </c>
      <c r="AG7628" t="s">
        <v>45556</v>
      </c>
      <c r="AH7628">
        <v>6</v>
      </c>
      <c r="AI7628">
        <v>1</v>
      </c>
      <c r="AJ7628">
        <v>0</v>
      </c>
      <c r="AK7628">
        <v>177.74</v>
      </c>
      <c r="AN7628" t="s">
        <v>7439</v>
      </c>
      <c r="AO7628">
        <v>22200</v>
      </c>
      <c r="AP7628" t="s">
        <v>46065</v>
      </c>
      <c r="AU7628">
        <v>9.199999999999999</v>
      </c>
      <c r="AV7628" t="s">
        <v>818</v>
      </c>
      <c r="AW7628" t="s">
        <v>279</v>
      </c>
      <c r="AX7628" t="s">
        <v>46897</v>
      </c>
    </row>
    <row r="7629" spans="1:50">
      <c r="A7629" s="1">
        <f>HYPERLINK("https://lsnyc.legalserver.org/matter/dynamic-profile/view/1890008","19-1890008")</f>
        <v>0</v>
      </c>
      <c r="B7629" t="s">
        <v>100</v>
      </c>
      <c r="C7629" t="s">
        <v>340</v>
      </c>
      <c r="D7629" t="s">
        <v>744</v>
      </c>
      <c r="F7629" t="s">
        <v>979</v>
      </c>
      <c r="G7629" t="s">
        <v>5345</v>
      </c>
      <c r="H7629" t="s">
        <v>13798</v>
      </c>
      <c r="I7629" t="s">
        <v>18122</v>
      </c>
      <c r="J7629" t="s">
        <v>18892</v>
      </c>
      <c r="K7629">
        <v>10453</v>
      </c>
      <c r="L7629" t="s">
        <v>18958</v>
      </c>
      <c r="M7629" t="s">
        <v>18958</v>
      </c>
      <c r="O7629" t="s">
        <v>18997</v>
      </c>
      <c r="P7629" t="s">
        <v>26564</v>
      </c>
      <c r="R7629" t="s">
        <v>26578</v>
      </c>
      <c r="S7629" t="s">
        <v>18958</v>
      </c>
      <c r="U7629" t="s">
        <v>26604</v>
      </c>
      <c r="W7629" t="s">
        <v>768</v>
      </c>
      <c r="X7629">
        <v>1091</v>
      </c>
      <c r="Y7629" t="s">
        <v>26650</v>
      </c>
      <c r="Z7629" t="s">
        <v>26663</v>
      </c>
      <c r="AB7629" t="s">
        <v>30429</v>
      </c>
      <c r="AD7629" t="s">
        <v>42290</v>
      </c>
      <c r="AE7629">
        <v>167</v>
      </c>
      <c r="AF7629" t="s">
        <v>45541</v>
      </c>
      <c r="AG7629" t="s">
        <v>45557</v>
      </c>
      <c r="AH7629">
        <v>12</v>
      </c>
      <c r="AI7629">
        <v>1</v>
      </c>
      <c r="AJ7629">
        <v>2</v>
      </c>
      <c r="AK7629">
        <v>41.63</v>
      </c>
      <c r="AN7629" t="s">
        <v>45581</v>
      </c>
      <c r="AO7629">
        <v>8880</v>
      </c>
      <c r="AU7629">
        <v>0</v>
      </c>
      <c r="AW7629" t="s">
        <v>46847</v>
      </c>
      <c r="AX7629" t="s">
        <v>46897</v>
      </c>
    </row>
    <row r="7630" spans="1:50">
      <c r="A7630" s="1">
        <f>HYPERLINK("https://lsnyc.legalserver.org/matter/dynamic-profile/view/1891037","19-1891037")</f>
        <v>0</v>
      </c>
      <c r="B7630" t="s">
        <v>52</v>
      </c>
      <c r="C7630" t="s">
        <v>340</v>
      </c>
      <c r="D7630" t="s">
        <v>740</v>
      </c>
      <c r="F7630" t="s">
        <v>4009</v>
      </c>
      <c r="G7630" t="s">
        <v>5515</v>
      </c>
      <c r="H7630" t="s">
        <v>14848</v>
      </c>
      <c r="I7630" t="s">
        <v>17354</v>
      </c>
      <c r="J7630" t="s">
        <v>18892</v>
      </c>
      <c r="K7630">
        <v>10461</v>
      </c>
      <c r="L7630" t="s">
        <v>18958</v>
      </c>
      <c r="M7630" t="s">
        <v>18958</v>
      </c>
      <c r="O7630" t="s">
        <v>26534</v>
      </c>
      <c r="P7630" t="s">
        <v>26565</v>
      </c>
      <c r="R7630" t="s">
        <v>26578</v>
      </c>
      <c r="S7630" t="s">
        <v>18959</v>
      </c>
      <c r="U7630" t="s">
        <v>26604</v>
      </c>
      <c r="W7630" t="s">
        <v>768</v>
      </c>
      <c r="X7630">
        <v>1265</v>
      </c>
      <c r="Y7630" t="s">
        <v>26650</v>
      </c>
      <c r="Z7630" t="s">
        <v>26663</v>
      </c>
      <c r="AB7630" t="s">
        <v>32234</v>
      </c>
      <c r="AE7630">
        <v>125</v>
      </c>
      <c r="AF7630" t="s">
        <v>45547</v>
      </c>
      <c r="AG7630" t="s">
        <v>19330</v>
      </c>
      <c r="AH7630">
        <v>4</v>
      </c>
      <c r="AI7630">
        <v>1</v>
      </c>
      <c r="AJ7630">
        <v>0</v>
      </c>
      <c r="AK7630">
        <v>320.26</v>
      </c>
      <c r="AN7630" t="s">
        <v>7439</v>
      </c>
      <c r="AO7630">
        <v>40000</v>
      </c>
      <c r="AP7630" t="s">
        <v>46066</v>
      </c>
      <c r="AU7630">
        <v>0</v>
      </c>
      <c r="AW7630" t="s">
        <v>46847</v>
      </c>
    </row>
    <row r="7631" spans="1:50">
      <c r="A7631" s="1">
        <f>HYPERLINK("https://lsnyc.legalserver.org/matter/dynamic-profile/view/1891154","19-1891154")</f>
        <v>0</v>
      </c>
      <c r="B7631" t="s">
        <v>52</v>
      </c>
      <c r="C7631" t="s">
        <v>340</v>
      </c>
      <c r="D7631" t="s">
        <v>756</v>
      </c>
      <c r="F7631" t="s">
        <v>1069</v>
      </c>
      <c r="G7631" t="s">
        <v>5252</v>
      </c>
      <c r="H7631" t="s">
        <v>9841</v>
      </c>
      <c r="I7631" t="s">
        <v>17348</v>
      </c>
      <c r="J7631" t="s">
        <v>18892</v>
      </c>
      <c r="K7631">
        <v>10461</v>
      </c>
      <c r="L7631" t="s">
        <v>18958</v>
      </c>
      <c r="M7631" t="s">
        <v>18958</v>
      </c>
      <c r="O7631" t="s">
        <v>26534</v>
      </c>
      <c r="P7631" t="s">
        <v>26565</v>
      </c>
      <c r="R7631" t="s">
        <v>26578</v>
      </c>
      <c r="S7631" t="s">
        <v>18958</v>
      </c>
      <c r="U7631" t="s">
        <v>26604</v>
      </c>
      <c r="W7631" t="s">
        <v>768</v>
      </c>
      <c r="X7631">
        <v>800</v>
      </c>
      <c r="Y7631" t="s">
        <v>26650</v>
      </c>
      <c r="Z7631" t="s">
        <v>26663</v>
      </c>
      <c r="AB7631" t="s">
        <v>26927</v>
      </c>
      <c r="AC7631" t="s">
        <v>34556</v>
      </c>
      <c r="AD7631" t="s">
        <v>37020</v>
      </c>
      <c r="AE7631">
        <v>125</v>
      </c>
      <c r="AF7631" t="s">
        <v>20460</v>
      </c>
      <c r="AG7631" t="s">
        <v>19330</v>
      </c>
      <c r="AH7631">
        <v>14</v>
      </c>
      <c r="AI7631">
        <v>1</v>
      </c>
      <c r="AJ7631">
        <v>0</v>
      </c>
      <c r="AK7631">
        <v>79.55</v>
      </c>
      <c r="AN7631" t="s">
        <v>7439</v>
      </c>
      <c r="AO7631">
        <v>9936</v>
      </c>
      <c r="AU7631">
        <v>0</v>
      </c>
      <c r="AW7631" t="s">
        <v>46847</v>
      </c>
    </row>
    <row r="7632" spans="1:50">
      <c r="A7632" s="1">
        <f>HYPERLINK("https://lsnyc.legalserver.org/matter/dynamic-profile/view/1891145","19-1891145")</f>
        <v>0</v>
      </c>
      <c r="B7632" t="s">
        <v>52</v>
      </c>
      <c r="C7632" t="s">
        <v>340</v>
      </c>
      <c r="D7632" t="s">
        <v>756</v>
      </c>
      <c r="F7632" t="s">
        <v>1162</v>
      </c>
      <c r="G7632" t="s">
        <v>8389</v>
      </c>
      <c r="H7632" t="s">
        <v>9841</v>
      </c>
      <c r="I7632" t="s">
        <v>17278</v>
      </c>
      <c r="J7632" t="s">
        <v>18892</v>
      </c>
      <c r="K7632">
        <v>10461</v>
      </c>
      <c r="L7632" t="s">
        <v>18958</v>
      </c>
      <c r="M7632" t="s">
        <v>18958</v>
      </c>
      <c r="O7632" t="s">
        <v>26534</v>
      </c>
      <c r="P7632" t="s">
        <v>26565</v>
      </c>
      <c r="R7632" t="s">
        <v>26578</v>
      </c>
      <c r="S7632" t="s">
        <v>18958</v>
      </c>
      <c r="U7632" t="s">
        <v>26604</v>
      </c>
      <c r="W7632" t="s">
        <v>768</v>
      </c>
      <c r="X7632">
        <v>1350</v>
      </c>
      <c r="Y7632" t="s">
        <v>26650</v>
      </c>
      <c r="Z7632" t="s">
        <v>26663</v>
      </c>
      <c r="AB7632" t="s">
        <v>32357</v>
      </c>
      <c r="AD7632" t="s">
        <v>42762</v>
      </c>
      <c r="AE7632">
        <v>125</v>
      </c>
      <c r="AF7632" t="s">
        <v>45541</v>
      </c>
      <c r="AG7632" t="s">
        <v>19330</v>
      </c>
      <c r="AH7632">
        <v>1</v>
      </c>
      <c r="AI7632">
        <v>2</v>
      </c>
      <c r="AJ7632">
        <v>0</v>
      </c>
      <c r="AK7632">
        <v>382.61</v>
      </c>
      <c r="AN7632" t="s">
        <v>7439</v>
      </c>
      <c r="AO7632">
        <v>64700</v>
      </c>
      <c r="AU7632">
        <v>0</v>
      </c>
      <c r="AW7632" t="s">
        <v>46847</v>
      </c>
    </row>
    <row r="7633" spans="1:50">
      <c r="A7633" s="1">
        <f>HYPERLINK("https://lsnyc.legalserver.org/matter/dynamic-profile/view/1894206","19-1894206")</f>
        <v>0</v>
      </c>
      <c r="B7633" t="s">
        <v>97</v>
      </c>
      <c r="C7633" t="s">
        <v>340</v>
      </c>
      <c r="D7633" t="s">
        <v>775</v>
      </c>
      <c r="F7633" t="s">
        <v>1687</v>
      </c>
      <c r="G7633" t="s">
        <v>5100</v>
      </c>
      <c r="H7633" t="s">
        <v>14860</v>
      </c>
      <c r="I7633">
        <v>47</v>
      </c>
      <c r="J7633" t="s">
        <v>18892</v>
      </c>
      <c r="K7633">
        <v>10468</v>
      </c>
      <c r="L7633" t="s">
        <v>18958</v>
      </c>
      <c r="M7633" t="s">
        <v>18958</v>
      </c>
      <c r="N7633" t="s">
        <v>24391</v>
      </c>
      <c r="O7633" t="s">
        <v>26523</v>
      </c>
      <c r="P7633" t="s">
        <v>26560</v>
      </c>
      <c r="R7633" t="s">
        <v>26579</v>
      </c>
      <c r="U7633" t="s">
        <v>26604</v>
      </c>
      <c r="V7633" t="s">
        <v>26610</v>
      </c>
      <c r="W7633" t="s">
        <v>768</v>
      </c>
      <c r="X7633">
        <v>1130.48</v>
      </c>
      <c r="Y7633" t="s">
        <v>26650</v>
      </c>
      <c r="Z7633" t="s">
        <v>26664</v>
      </c>
      <c r="AB7633" t="s">
        <v>32358</v>
      </c>
      <c r="AC7633" t="s">
        <v>36366</v>
      </c>
      <c r="AD7633" t="s">
        <v>42763</v>
      </c>
      <c r="AE7633">
        <v>38</v>
      </c>
      <c r="AF7633" t="s">
        <v>45541</v>
      </c>
      <c r="AG7633" t="s">
        <v>19330</v>
      </c>
      <c r="AH7633">
        <v>19</v>
      </c>
      <c r="AI7633">
        <v>1</v>
      </c>
      <c r="AJ7633">
        <v>2</v>
      </c>
      <c r="AK7633">
        <v>49.11</v>
      </c>
      <c r="AN7633" t="s">
        <v>7439</v>
      </c>
      <c r="AO7633">
        <v>10476</v>
      </c>
      <c r="AU7633">
        <v>5.2</v>
      </c>
      <c r="AV7633" t="s">
        <v>729</v>
      </c>
      <c r="AW7633" t="s">
        <v>334</v>
      </c>
      <c r="AX7633" t="s">
        <v>46898</v>
      </c>
    </row>
    <row r="7634" spans="1:50">
      <c r="A7634" s="1">
        <f>HYPERLINK("https://lsnyc.legalserver.org/matter/dynamic-profile/view/1895006","19-1895006")</f>
        <v>0</v>
      </c>
      <c r="B7634" t="s">
        <v>70</v>
      </c>
      <c r="C7634" t="s">
        <v>340</v>
      </c>
      <c r="D7634" t="s">
        <v>695</v>
      </c>
      <c r="F7634" t="s">
        <v>4010</v>
      </c>
      <c r="G7634" t="s">
        <v>1725</v>
      </c>
      <c r="H7634" t="s">
        <v>14861</v>
      </c>
      <c r="I7634">
        <v>50</v>
      </c>
      <c r="J7634" t="s">
        <v>18892</v>
      </c>
      <c r="K7634">
        <v>10467</v>
      </c>
      <c r="L7634" t="s">
        <v>18958</v>
      </c>
      <c r="M7634" t="s">
        <v>18958</v>
      </c>
      <c r="N7634" t="s">
        <v>24392</v>
      </c>
      <c r="O7634" t="s">
        <v>26523</v>
      </c>
      <c r="P7634" t="s">
        <v>26560</v>
      </c>
      <c r="R7634" t="s">
        <v>26579</v>
      </c>
      <c r="S7634" t="s">
        <v>18959</v>
      </c>
      <c r="U7634" t="s">
        <v>26604</v>
      </c>
      <c r="V7634" t="s">
        <v>26610</v>
      </c>
      <c r="W7634" t="s">
        <v>768</v>
      </c>
      <c r="X7634">
        <v>1476</v>
      </c>
      <c r="Y7634" t="s">
        <v>26650</v>
      </c>
      <c r="Z7634" t="s">
        <v>26664</v>
      </c>
      <c r="AB7634" t="s">
        <v>29200</v>
      </c>
      <c r="AD7634" t="s">
        <v>42764</v>
      </c>
      <c r="AE7634">
        <v>108</v>
      </c>
      <c r="AF7634" t="s">
        <v>45541</v>
      </c>
      <c r="AG7634" t="s">
        <v>19330</v>
      </c>
      <c r="AH7634">
        <v>8</v>
      </c>
      <c r="AI7634">
        <v>1</v>
      </c>
      <c r="AJ7634">
        <v>0</v>
      </c>
      <c r="AK7634">
        <v>143.15</v>
      </c>
      <c r="AN7634" t="s">
        <v>7439</v>
      </c>
      <c r="AO7634">
        <v>17880</v>
      </c>
      <c r="AU7634">
        <v>5.6</v>
      </c>
      <c r="AV7634" t="s">
        <v>838</v>
      </c>
      <c r="AW7634" t="s">
        <v>46870</v>
      </c>
    </row>
    <row r="7635" spans="1:50">
      <c r="A7635" s="1">
        <f>HYPERLINK("https://lsnyc.legalserver.org/matter/dynamic-profile/view/1895472","19-1895472")</f>
        <v>0</v>
      </c>
      <c r="B7635" t="s">
        <v>52</v>
      </c>
      <c r="C7635" t="s">
        <v>340</v>
      </c>
      <c r="D7635" t="s">
        <v>781</v>
      </c>
      <c r="F7635" t="s">
        <v>1022</v>
      </c>
      <c r="G7635" t="s">
        <v>2975</v>
      </c>
      <c r="H7635" t="s">
        <v>12910</v>
      </c>
      <c r="I7635" t="s">
        <v>17272</v>
      </c>
      <c r="J7635" t="s">
        <v>18892</v>
      </c>
      <c r="K7635">
        <v>10452</v>
      </c>
      <c r="L7635" t="s">
        <v>18958</v>
      </c>
      <c r="M7635" t="s">
        <v>18958</v>
      </c>
      <c r="O7635" t="s">
        <v>26539</v>
      </c>
      <c r="P7635" t="s">
        <v>26562</v>
      </c>
      <c r="R7635" t="s">
        <v>26578</v>
      </c>
      <c r="S7635" t="s">
        <v>18959</v>
      </c>
      <c r="U7635" t="s">
        <v>26607</v>
      </c>
      <c r="W7635" t="s">
        <v>768</v>
      </c>
      <c r="X7635">
        <v>987</v>
      </c>
      <c r="Y7635" t="s">
        <v>26650</v>
      </c>
      <c r="Z7635" t="s">
        <v>26667</v>
      </c>
      <c r="AB7635" t="s">
        <v>30246</v>
      </c>
      <c r="AD7635" t="s">
        <v>40387</v>
      </c>
      <c r="AE7635">
        <v>41</v>
      </c>
      <c r="AF7635" t="s">
        <v>45541</v>
      </c>
      <c r="AG7635" t="s">
        <v>45559</v>
      </c>
      <c r="AH7635">
        <v>32</v>
      </c>
      <c r="AI7635">
        <v>1</v>
      </c>
      <c r="AJ7635">
        <v>0</v>
      </c>
      <c r="AK7635">
        <v>225.49</v>
      </c>
      <c r="AN7635" t="s">
        <v>7439</v>
      </c>
      <c r="AO7635">
        <v>28164</v>
      </c>
      <c r="AU7635">
        <v>4</v>
      </c>
      <c r="AV7635" t="s">
        <v>797</v>
      </c>
      <c r="AW7635" t="s">
        <v>46847</v>
      </c>
    </row>
    <row r="7636" spans="1:50">
      <c r="A7636" s="1">
        <f>HYPERLINK("https://lsnyc.legalserver.org/matter/dynamic-profile/view/1896715","19-1896715")</f>
        <v>0</v>
      </c>
      <c r="B7636" t="s">
        <v>71</v>
      </c>
      <c r="C7636" t="s">
        <v>341</v>
      </c>
      <c r="D7636" t="s">
        <v>671</v>
      </c>
      <c r="E7636" t="s">
        <v>729</v>
      </c>
      <c r="F7636" t="s">
        <v>900</v>
      </c>
      <c r="G7636" t="s">
        <v>8208</v>
      </c>
      <c r="H7636" t="s">
        <v>12220</v>
      </c>
      <c r="I7636" t="s">
        <v>17390</v>
      </c>
      <c r="J7636" t="s">
        <v>18892</v>
      </c>
      <c r="K7636">
        <v>10459</v>
      </c>
      <c r="L7636" t="s">
        <v>18958</v>
      </c>
      <c r="M7636" t="s">
        <v>18958</v>
      </c>
      <c r="N7636" t="s">
        <v>24393</v>
      </c>
      <c r="O7636" t="s">
        <v>26524</v>
      </c>
      <c r="P7636" t="s">
        <v>26564</v>
      </c>
      <c r="Q7636" t="s">
        <v>26570</v>
      </c>
      <c r="R7636" t="s">
        <v>26577</v>
      </c>
      <c r="S7636" t="s">
        <v>18959</v>
      </c>
      <c r="U7636" t="s">
        <v>26604</v>
      </c>
      <c r="V7636" t="s">
        <v>26610</v>
      </c>
      <c r="W7636" t="s">
        <v>768</v>
      </c>
      <c r="X7636">
        <v>190</v>
      </c>
      <c r="Y7636" t="s">
        <v>26650</v>
      </c>
      <c r="Z7636" t="s">
        <v>26668</v>
      </c>
      <c r="AA7636" t="s">
        <v>26683</v>
      </c>
      <c r="AB7636" t="s">
        <v>31687</v>
      </c>
      <c r="AC7636" t="s">
        <v>36367</v>
      </c>
      <c r="AD7636" t="s">
        <v>42765</v>
      </c>
      <c r="AE7636">
        <v>39</v>
      </c>
      <c r="AF7636" t="s">
        <v>45541</v>
      </c>
      <c r="AG7636" t="s">
        <v>45556</v>
      </c>
      <c r="AH7636">
        <v>17</v>
      </c>
      <c r="AI7636">
        <v>1</v>
      </c>
      <c r="AJ7636">
        <v>0</v>
      </c>
      <c r="AK7636">
        <v>128.1</v>
      </c>
      <c r="AN7636" t="s">
        <v>45581</v>
      </c>
      <c r="AO7636">
        <v>16000</v>
      </c>
      <c r="AU7636">
        <v>5.8</v>
      </c>
      <c r="AV7636" t="s">
        <v>729</v>
      </c>
      <c r="AW7636" t="s">
        <v>334</v>
      </c>
      <c r="AX7636" t="s">
        <v>46898</v>
      </c>
    </row>
    <row r="7637" spans="1:50">
      <c r="A7637" s="1">
        <f>HYPERLINK("https://lsnyc.legalserver.org/matter/dynamic-profile/view/1896804","19-1896804")</f>
        <v>0</v>
      </c>
      <c r="B7637" t="s">
        <v>81</v>
      </c>
      <c r="C7637" t="s">
        <v>340</v>
      </c>
      <c r="D7637" t="s">
        <v>672</v>
      </c>
      <c r="F7637" t="s">
        <v>1773</v>
      </c>
      <c r="G7637" t="s">
        <v>6428</v>
      </c>
      <c r="H7637" t="s">
        <v>14862</v>
      </c>
      <c r="I7637">
        <v>3</v>
      </c>
      <c r="J7637" t="s">
        <v>18892</v>
      </c>
      <c r="K7637">
        <v>10467</v>
      </c>
      <c r="L7637" t="s">
        <v>18958</v>
      </c>
      <c r="M7637" t="s">
        <v>18958</v>
      </c>
      <c r="N7637" t="s">
        <v>24394</v>
      </c>
      <c r="O7637" t="s">
        <v>26523</v>
      </c>
      <c r="P7637" t="s">
        <v>26560</v>
      </c>
      <c r="R7637" t="s">
        <v>26579</v>
      </c>
      <c r="S7637" t="s">
        <v>18959</v>
      </c>
      <c r="U7637" t="s">
        <v>26604</v>
      </c>
      <c r="W7637" t="s">
        <v>768</v>
      </c>
      <c r="X7637">
        <v>1800</v>
      </c>
      <c r="Y7637" t="s">
        <v>26650</v>
      </c>
      <c r="Z7637" t="s">
        <v>26664</v>
      </c>
      <c r="AB7637" t="s">
        <v>32359</v>
      </c>
      <c r="AD7637" t="s">
        <v>42766</v>
      </c>
      <c r="AE7637">
        <v>0</v>
      </c>
      <c r="AG7637" t="s">
        <v>19330</v>
      </c>
      <c r="AH7637">
        <v>3</v>
      </c>
      <c r="AI7637">
        <v>1</v>
      </c>
      <c r="AJ7637">
        <v>3</v>
      </c>
      <c r="AK7637">
        <v>121.17</v>
      </c>
      <c r="AN7637" t="s">
        <v>7439</v>
      </c>
      <c r="AO7637">
        <v>31200</v>
      </c>
      <c r="AU7637">
        <v>5.05</v>
      </c>
      <c r="AV7637" t="s">
        <v>834</v>
      </c>
      <c r="AW7637" t="s">
        <v>329</v>
      </c>
      <c r="AX7637" t="s">
        <v>46897</v>
      </c>
    </row>
    <row r="7638" spans="1:50">
      <c r="A7638" s="1">
        <f>HYPERLINK("https://lsnyc.legalserver.org/matter/dynamic-profile/view/1896953","19-1896953")</f>
        <v>0</v>
      </c>
      <c r="B7638" t="s">
        <v>54</v>
      </c>
      <c r="C7638" t="s">
        <v>341</v>
      </c>
      <c r="D7638" t="s">
        <v>803</v>
      </c>
      <c r="E7638" t="s">
        <v>771</v>
      </c>
      <c r="F7638" t="s">
        <v>4011</v>
      </c>
      <c r="G7638" t="s">
        <v>8390</v>
      </c>
      <c r="H7638" t="s">
        <v>12829</v>
      </c>
      <c r="I7638">
        <v>51</v>
      </c>
      <c r="J7638" t="s">
        <v>18892</v>
      </c>
      <c r="K7638">
        <v>10457</v>
      </c>
      <c r="L7638" t="s">
        <v>18958</v>
      </c>
      <c r="M7638" t="s">
        <v>18958</v>
      </c>
      <c r="N7638" t="s">
        <v>24395</v>
      </c>
      <c r="O7638" t="s">
        <v>26523</v>
      </c>
      <c r="P7638" t="s">
        <v>26560</v>
      </c>
      <c r="Q7638" t="s">
        <v>26575</v>
      </c>
      <c r="R7638" t="s">
        <v>26579</v>
      </c>
      <c r="S7638" t="s">
        <v>18959</v>
      </c>
      <c r="U7638" t="s">
        <v>26604</v>
      </c>
      <c r="V7638" t="s">
        <v>26612</v>
      </c>
      <c r="W7638" t="s">
        <v>768</v>
      </c>
      <c r="X7638">
        <v>1565</v>
      </c>
      <c r="Y7638" t="s">
        <v>26650</v>
      </c>
      <c r="Z7638" t="s">
        <v>26664</v>
      </c>
      <c r="AA7638" t="s">
        <v>26679</v>
      </c>
      <c r="AB7638" t="s">
        <v>32360</v>
      </c>
      <c r="AD7638" t="s">
        <v>42767</v>
      </c>
      <c r="AE7638">
        <v>25</v>
      </c>
      <c r="AF7638" t="s">
        <v>45541</v>
      </c>
      <c r="AG7638" t="s">
        <v>19330</v>
      </c>
      <c r="AH7638">
        <v>1</v>
      </c>
      <c r="AI7638">
        <v>3</v>
      </c>
      <c r="AJ7638">
        <v>0</v>
      </c>
      <c r="AK7638">
        <v>0</v>
      </c>
      <c r="AN7638" t="s">
        <v>7439</v>
      </c>
      <c r="AO7638">
        <v>0</v>
      </c>
      <c r="AQ7638" t="s">
        <v>46365</v>
      </c>
      <c r="AR7638" t="s">
        <v>26530</v>
      </c>
      <c r="AS7638" t="s">
        <v>46502</v>
      </c>
      <c r="AT7638" t="s">
        <v>46732</v>
      </c>
      <c r="AU7638">
        <v>11.8</v>
      </c>
      <c r="AV7638" t="s">
        <v>771</v>
      </c>
      <c r="AW7638" t="s">
        <v>46867</v>
      </c>
      <c r="AX7638" t="s">
        <v>46897</v>
      </c>
    </row>
    <row r="7639" spans="1:50">
      <c r="A7639" s="1">
        <f>HYPERLINK("https://lsnyc.legalserver.org/matter/dynamic-profile/view/1897152","19-1897152")</f>
        <v>0</v>
      </c>
      <c r="B7639" t="s">
        <v>213</v>
      </c>
      <c r="C7639" t="s">
        <v>340</v>
      </c>
      <c r="D7639" t="s">
        <v>760</v>
      </c>
      <c r="F7639" t="s">
        <v>4012</v>
      </c>
      <c r="G7639" t="s">
        <v>3540</v>
      </c>
      <c r="H7639" t="s">
        <v>10157</v>
      </c>
      <c r="I7639" t="s">
        <v>17312</v>
      </c>
      <c r="J7639" t="s">
        <v>18892</v>
      </c>
      <c r="K7639">
        <v>10468</v>
      </c>
      <c r="L7639" t="s">
        <v>18958</v>
      </c>
      <c r="M7639" t="s">
        <v>18958</v>
      </c>
      <c r="N7639" t="s">
        <v>24396</v>
      </c>
      <c r="O7639" t="s">
        <v>26523</v>
      </c>
      <c r="P7639" t="s">
        <v>26560</v>
      </c>
      <c r="R7639" t="s">
        <v>26579</v>
      </c>
      <c r="S7639" t="s">
        <v>18959</v>
      </c>
      <c r="U7639" t="s">
        <v>26604</v>
      </c>
      <c r="V7639" t="s">
        <v>26611</v>
      </c>
      <c r="W7639" t="s">
        <v>768</v>
      </c>
      <c r="X7639">
        <v>1986.2</v>
      </c>
      <c r="Y7639" t="s">
        <v>26650</v>
      </c>
      <c r="Z7639" t="s">
        <v>26668</v>
      </c>
      <c r="AB7639" t="s">
        <v>32361</v>
      </c>
      <c r="AE7639">
        <v>0</v>
      </c>
      <c r="AF7639" t="s">
        <v>45541</v>
      </c>
      <c r="AG7639" t="s">
        <v>45556</v>
      </c>
      <c r="AH7639">
        <v>18</v>
      </c>
      <c r="AI7639">
        <v>1</v>
      </c>
      <c r="AJ7639">
        <v>3</v>
      </c>
      <c r="AK7639">
        <v>147.68</v>
      </c>
      <c r="AN7639" t="s">
        <v>7439</v>
      </c>
      <c r="AO7639">
        <v>38028</v>
      </c>
      <c r="AU7639">
        <v>19.3</v>
      </c>
      <c r="AV7639" t="s">
        <v>835</v>
      </c>
      <c r="AW7639" t="s">
        <v>329</v>
      </c>
      <c r="AX7639" t="s">
        <v>46897</v>
      </c>
    </row>
    <row r="7640" spans="1:50">
      <c r="A7640" s="1">
        <f>HYPERLINK("https://lsnyc.legalserver.org/matter/dynamic-profile/view/1897835","19-1897835")</f>
        <v>0</v>
      </c>
      <c r="B7640" t="s">
        <v>149</v>
      </c>
      <c r="C7640" t="s">
        <v>340</v>
      </c>
      <c r="D7640" t="s">
        <v>765</v>
      </c>
      <c r="F7640" t="s">
        <v>4013</v>
      </c>
      <c r="G7640" t="s">
        <v>2975</v>
      </c>
      <c r="H7640" t="s">
        <v>10409</v>
      </c>
      <c r="I7640" t="s">
        <v>17273</v>
      </c>
      <c r="J7640" t="s">
        <v>18892</v>
      </c>
      <c r="K7640">
        <v>10468</v>
      </c>
      <c r="L7640" t="s">
        <v>18958</v>
      </c>
      <c r="M7640" t="s">
        <v>18958</v>
      </c>
      <c r="N7640" t="s">
        <v>24397</v>
      </c>
      <c r="O7640" t="s">
        <v>26523</v>
      </c>
      <c r="P7640" t="s">
        <v>26560</v>
      </c>
      <c r="R7640" t="s">
        <v>26579</v>
      </c>
      <c r="S7640" t="s">
        <v>18959</v>
      </c>
      <c r="U7640" t="s">
        <v>26604</v>
      </c>
      <c r="V7640" t="s">
        <v>26611</v>
      </c>
      <c r="W7640" t="s">
        <v>768</v>
      </c>
      <c r="X7640">
        <v>1258.91</v>
      </c>
      <c r="Y7640" t="s">
        <v>26650</v>
      </c>
      <c r="Z7640" t="s">
        <v>26664</v>
      </c>
      <c r="AB7640" t="s">
        <v>27049</v>
      </c>
      <c r="AC7640" t="s">
        <v>36368</v>
      </c>
      <c r="AD7640" t="s">
        <v>42768</v>
      </c>
      <c r="AE7640">
        <v>47</v>
      </c>
      <c r="AF7640" t="s">
        <v>45541</v>
      </c>
      <c r="AG7640" t="s">
        <v>45560</v>
      </c>
      <c r="AH7640">
        <v>4</v>
      </c>
      <c r="AI7640">
        <v>2</v>
      </c>
      <c r="AJ7640">
        <v>0</v>
      </c>
      <c r="AK7640">
        <v>60.04</v>
      </c>
      <c r="AN7640" t="s">
        <v>7439</v>
      </c>
      <c r="AO7640">
        <v>10152</v>
      </c>
      <c r="AU7640">
        <v>17.9</v>
      </c>
      <c r="AV7640" t="s">
        <v>839</v>
      </c>
      <c r="AW7640" t="s">
        <v>336</v>
      </c>
      <c r="AX7640" t="s">
        <v>46897</v>
      </c>
    </row>
    <row r="7641" spans="1:50">
      <c r="A7641" s="1">
        <f>HYPERLINK("https://lsnyc.legalserver.org/matter/dynamic-profile/view/1898218","19-1898218")</f>
        <v>0</v>
      </c>
      <c r="B7641" t="s">
        <v>234</v>
      </c>
      <c r="C7641" t="s">
        <v>341</v>
      </c>
      <c r="D7641" t="s">
        <v>767</v>
      </c>
      <c r="E7641" t="s">
        <v>806</v>
      </c>
      <c r="F7641" t="s">
        <v>2058</v>
      </c>
      <c r="G7641" t="s">
        <v>5891</v>
      </c>
      <c r="H7641" t="s">
        <v>14799</v>
      </c>
      <c r="I7641" t="s">
        <v>18329</v>
      </c>
      <c r="J7641" t="s">
        <v>18893</v>
      </c>
      <c r="K7641">
        <v>10031</v>
      </c>
      <c r="L7641" t="s">
        <v>18958</v>
      </c>
      <c r="M7641" t="s">
        <v>18958</v>
      </c>
      <c r="N7641" t="s">
        <v>24398</v>
      </c>
      <c r="O7641" t="s">
        <v>26523</v>
      </c>
      <c r="P7641" t="s">
        <v>26564</v>
      </c>
      <c r="Q7641" t="s">
        <v>26570</v>
      </c>
      <c r="R7641" t="s">
        <v>26580</v>
      </c>
      <c r="S7641" t="s">
        <v>18959</v>
      </c>
      <c r="U7641" t="s">
        <v>26604</v>
      </c>
      <c r="V7641" t="s">
        <v>26610</v>
      </c>
      <c r="W7641" t="s">
        <v>768</v>
      </c>
      <c r="X7641">
        <v>998</v>
      </c>
      <c r="Y7641" t="s">
        <v>26651</v>
      </c>
      <c r="Z7641" t="s">
        <v>26664</v>
      </c>
      <c r="AA7641" t="s">
        <v>26683</v>
      </c>
      <c r="AB7641" t="s">
        <v>30602</v>
      </c>
      <c r="AD7641" t="s">
        <v>42769</v>
      </c>
      <c r="AE7641">
        <v>0</v>
      </c>
      <c r="AF7641" t="s">
        <v>45541</v>
      </c>
      <c r="AG7641" t="s">
        <v>19330</v>
      </c>
      <c r="AH7641">
        <v>34</v>
      </c>
      <c r="AI7641">
        <v>2</v>
      </c>
      <c r="AJ7641">
        <v>0</v>
      </c>
      <c r="AK7641">
        <v>14.15</v>
      </c>
      <c r="AN7641" t="s">
        <v>7439</v>
      </c>
      <c r="AO7641">
        <v>2392</v>
      </c>
      <c r="AU7641">
        <v>2.75</v>
      </c>
      <c r="AV7641" t="s">
        <v>823</v>
      </c>
      <c r="AW7641" t="s">
        <v>46835</v>
      </c>
      <c r="AX7641" t="s">
        <v>46897</v>
      </c>
    </row>
    <row r="7642" spans="1:50">
      <c r="A7642" s="1">
        <f>HYPERLINK("https://lsnyc.legalserver.org/matter/dynamic-profile/view/1898307","19-1898307")</f>
        <v>0</v>
      </c>
      <c r="B7642" t="s">
        <v>234</v>
      </c>
      <c r="C7642" t="s">
        <v>341</v>
      </c>
      <c r="D7642" t="s">
        <v>767</v>
      </c>
      <c r="E7642" t="s">
        <v>769</v>
      </c>
      <c r="F7642" t="s">
        <v>1076</v>
      </c>
      <c r="G7642" t="s">
        <v>7458</v>
      </c>
      <c r="H7642" t="s">
        <v>14863</v>
      </c>
      <c r="I7642" t="s">
        <v>17355</v>
      </c>
      <c r="J7642" t="s">
        <v>18893</v>
      </c>
      <c r="K7642">
        <v>10031</v>
      </c>
      <c r="L7642" t="s">
        <v>18958</v>
      </c>
      <c r="M7642" t="s">
        <v>18958</v>
      </c>
      <c r="N7642" t="s">
        <v>24399</v>
      </c>
      <c r="O7642" t="s">
        <v>26524</v>
      </c>
      <c r="P7642" t="s">
        <v>26564</v>
      </c>
      <c r="Q7642" t="s">
        <v>26570</v>
      </c>
      <c r="R7642" t="s">
        <v>26580</v>
      </c>
      <c r="S7642" t="s">
        <v>18959</v>
      </c>
      <c r="U7642" t="s">
        <v>26604</v>
      </c>
      <c r="V7642" t="s">
        <v>26610</v>
      </c>
      <c r="W7642" t="s">
        <v>768</v>
      </c>
      <c r="X7642">
        <v>800</v>
      </c>
      <c r="Y7642" t="s">
        <v>26651</v>
      </c>
      <c r="Z7642" t="s">
        <v>26664</v>
      </c>
      <c r="AA7642" t="s">
        <v>26683</v>
      </c>
      <c r="AB7642" t="s">
        <v>32362</v>
      </c>
      <c r="AD7642" t="s">
        <v>42770</v>
      </c>
      <c r="AE7642">
        <v>0</v>
      </c>
      <c r="AF7642" t="s">
        <v>20460</v>
      </c>
      <c r="AG7642" t="s">
        <v>19330</v>
      </c>
      <c r="AH7642">
        <v>1</v>
      </c>
      <c r="AI7642">
        <v>2</v>
      </c>
      <c r="AJ7642">
        <v>0</v>
      </c>
      <c r="AK7642">
        <v>108.01</v>
      </c>
      <c r="AN7642" t="s">
        <v>7439</v>
      </c>
      <c r="AO7642">
        <v>18264</v>
      </c>
      <c r="AU7642">
        <v>1</v>
      </c>
      <c r="AV7642" t="s">
        <v>767</v>
      </c>
      <c r="AW7642" t="s">
        <v>46835</v>
      </c>
    </row>
    <row r="7643" spans="1:50">
      <c r="A7643" s="1">
        <f>HYPERLINK("https://lsnyc.legalserver.org/matter/dynamic-profile/view/1898206","19-1898206")</f>
        <v>0</v>
      </c>
      <c r="B7643" t="s">
        <v>234</v>
      </c>
      <c r="C7643" t="s">
        <v>341</v>
      </c>
      <c r="D7643" t="s">
        <v>767</v>
      </c>
      <c r="E7643" t="s">
        <v>769</v>
      </c>
      <c r="F7643" t="s">
        <v>1626</v>
      </c>
      <c r="G7643" t="s">
        <v>8391</v>
      </c>
      <c r="H7643" t="s">
        <v>12926</v>
      </c>
      <c r="I7643" t="s">
        <v>18097</v>
      </c>
      <c r="J7643" t="s">
        <v>18893</v>
      </c>
      <c r="K7643">
        <v>10025</v>
      </c>
      <c r="L7643" t="s">
        <v>18958</v>
      </c>
      <c r="M7643" t="s">
        <v>18958</v>
      </c>
      <c r="N7643" t="s">
        <v>24400</v>
      </c>
      <c r="O7643" t="s">
        <v>26523</v>
      </c>
      <c r="P7643" t="s">
        <v>26564</v>
      </c>
      <c r="Q7643" t="s">
        <v>26570</v>
      </c>
      <c r="R7643" t="s">
        <v>26580</v>
      </c>
      <c r="S7643" t="s">
        <v>18959</v>
      </c>
      <c r="U7643" t="s">
        <v>26604</v>
      </c>
      <c r="V7643" t="s">
        <v>26610</v>
      </c>
      <c r="W7643" t="s">
        <v>768</v>
      </c>
      <c r="X7643">
        <v>1200</v>
      </c>
      <c r="Y7643" t="s">
        <v>26651</v>
      </c>
      <c r="Z7643" t="s">
        <v>26664</v>
      </c>
      <c r="AA7643" t="s">
        <v>26683</v>
      </c>
      <c r="AB7643" t="s">
        <v>32363</v>
      </c>
      <c r="AC7643" t="s">
        <v>35752</v>
      </c>
      <c r="AD7643" t="s">
        <v>42771</v>
      </c>
      <c r="AE7643">
        <v>0</v>
      </c>
      <c r="AF7643" t="s">
        <v>45541</v>
      </c>
      <c r="AG7643" t="s">
        <v>19330</v>
      </c>
      <c r="AH7643">
        <v>16</v>
      </c>
      <c r="AI7643">
        <v>1</v>
      </c>
      <c r="AJ7643">
        <v>2</v>
      </c>
      <c r="AK7643">
        <v>140.65</v>
      </c>
      <c r="AN7643" t="s">
        <v>7439</v>
      </c>
      <c r="AO7643">
        <v>30000</v>
      </c>
      <c r="AU7643">
        <v>0.5</v>
      </c>
      <c r="AV7643" t="s">
        <v>767</v>
      </c>
      <c r="AW7643" t="s">
        <v>46835</v>
      </c>
    </row>
    <row r="7644" spans="1:50">
      <c r="A7644" s="1">
        <f>HYPERLINK("https://lsnyc.legalserver.org/matter/dynamic-profile/view/1898231","19-1898231")</f>
        <v>0</v>
      </c>
      <c r="B7644" t="s">
        <v>84</v>
      </c>
      <c r="C7644" t="s">
        <v>340</v>
      </c>
      <c r="D7644" t="s">
        <v>767</v>
      </c>
      <c r="F7644" t="s">
        <v>868</v>
      </c>
      <c r="G7644" t="s">
        <v>8392</v>
      </c>
      <c r="H7644" t="s">
        <v>14864</v>
      </c>
      <c r="I7644" t="s">
        <v>17278</v>
      </c>
      <c r="J7644" t="s">
        <v>18893</v>
      </c>
      <c r="K7644">
        <v>10025</v>
      </c>
      <c r="L7644" t="s">
        <v>18958</v>
      </c>
      <c r="M7644" t="s">
        <v>18959</v>
      </c>
      <c r="N7644" t="s">
        <v>24401</v>
      </c>
      <c r="O7644" t="s">
        <v>26523</v>
      </c>
      <c r="P7644" t="s">
        <v>26560</v>
      </c>
      <c r="R7644" t="s">
        <v>26580</v>
      </c>
      <c r="S7644" t="s">
        <v>18959</v>
      </c>
      <c r="U7644" t="s">
        <v>26604</v>
      </c>
      <c r="V7644" t="s">
        <v>26610</v>
      </c>
      <c r="W7644" t="s">
        <v>768</v>
      </c>
      <c r="X7644">
        <v>2000</v>
      </c>
      <c r="Y7644" t="s">
        <v>26651</v>
      </c>
      <c r="AB7644" t="s">
        <v>32364</v>
      </c>
      <c r="AD7644" t="s">
        <v>42772</v>
      </c>
      <c r="AE7644">
        <v>0</v>
      </c>
      <c r="AF7644" t="s">
        <v>45541</v>
      </c>
      <c r="AG7644" t="s">
        <v>45561</v>
      </c>
      <c r="AH7644">
        <v>34</v>
      </c>
      <c r="AI7644">
        <v>1</v>
      </c>
      <c r="AJ7644">
        <v>0</v>
      </c>
      <c r="AK7644">
        <v>12.01</v>
      </c>
      <c r="AN7644" t="s">
        <v>7439</v>
      </c>
      <c r="AO7644">
        <v>1500</v>
      </c>
      <c r="AU7644">
        <v>5.86</v>
      </c>
      <c r="AV7644" t="s">
        <v>835</v>
      </c>
      <c r="AW7644" t="s">
        <v>46835</v>
      </c>
    </row>
    <row r="7645" spans="1:50">
      <c r="A7645" s="1">
        <f>HYPERLINK("https://lsnyc.legalserver.org/matter/dynamic-profile/view/1898623","19-1898623")</f>
        <v>0</v>
      </c>
      <c r="B7645" t="s">
        <v>262</v>
      </c>
      <c r="C7645" t="s">
        <v>341</v>
      </c>
      <c r="D7645" t="s">
        <v>768</v>
      </c>
      <c r="E7645" t="s">
        <v>836</v>
      </c>
      <c r="F7645" t="s">
        <v>1555</v>
      </c>
      <c r="G7645" t="s">
        <v>8393</v>
      </c>
      <c r="H7645" t="s">
        <v>11262</v>
      </c>
      <c r="I7645" t="s">
        <v>17325</v>
      </c>
      <c r="J7645" t="s">
        <v>18892</v>
      </c>
      <c r="K7645">
        <v>10467</v>
      </c>
      <c r="L7645" t="s">
        <v>18958</v>
      </c>
      <c r="M7645" t="s">
        <v>18958</v>
      </c>
      <c r="N7645" t="s">
        <v>24402</v>
      </c>
      <c r="O7645" t="s">
        <v>26523</v>
      </c>
      <c r="P7645" t="s">
        <v>26560</v>
      </c>
      <c r="Q7645" t="s">
        <v>26568</v>
      </c>
      <c r="R7645" t="s">
        <v>26579</v>
      </c>
      <c r="S7645" t="s">
        <v>18959</v>
      </c>
      <c r="U7645" t="s">
        <v>26605</v>
      </c>
      <c r="V7645" t="s">
        <v>26610</v>
      </c>
      <c r="W7645" t="s">
        <v>768</v>
      </c>
      <c r="X7645">
        <v>298</v>
      </c>
      <c r="Y7645" t="s">
        <v>26650</v>
      </c>
      <c r="Z7645" t="s">
        <v>26668</v>
      </c>
      <c r="AA7645" t="s">
        <v>26680</v>
      </c>
      <c r="AB7645" t="s">
        <v>32365</v>
      </c>
      <c r="AD7645" t="s">
        <v>42773</v>
      </c>
      <c r="AE7645">
        <v>9669</v>
      </c>
      <c r="AF7645" t="s">
        <v>45549</v>
      </c>
      <c r="AG7645" t="s">
        <v>19330</v>
      </c>
      <c r="AH7645">
        <v>1</v>
      </c>
      <c r="AI7645">
        <v>1</v>
      </c>
      <c r="AJ7645">
        <v>1</v>
      </c>
      <c r="AK7645">
        <v>21.68</v>
      </c>
      <c r="AN7645" t="s">
        <v>7439</v>
      </c>
      <c r="AO7645">
        <v>3666</v>
      </c>
      <c r="AQ7645" t="s">
        <v>46359</v>
      </c>
      <c r="AR7645" t="s">
        <v>46379</v>
      </c>
      <c r="AS7645" t="s">
        <v>46499</v>
      </c>
      <c r="AT7645" t="s">
        <v>46641</v>
      </c>
      <c r="AU7645">
        <v>4.3</v>
      </c>
      <c r="AV7645" t="s">
        <v>836</v>
      </c>
      <c r="AW7645" t="s">
        <v>46832</v>
      </c>
      <c r="AX7645" t="s">
        <v>46897</v>
      </c>
    </row>
    <row r="7646" spans="1:50">
      <c r="A7646" s="1">
        <f>HYPERLINK("https://lsnyc.legalserver.org/matter/dynamic-profile/view/1897658","19-1897658")</f>
        <v>0</v>
      </c>
      <c r="B7646" t="s">
        <v>131</v>
      </c>
      <c r="C7646" t="s">
        <v>341</v>
      </c>
      <c r="D7646" t="s">
        <v>768</v>
      </c>
      <c r="E7646" t="s">
        <v>835</v>
      </c>
      <c r="F7646" t="s">
        <v>2922</v>
      </c>
      <c r="G7646" t="s">
        <v>8394</v>
      </c>
      <c r="H7646" t="s">
        <v>12535</v>
      </c>
      <c r="I7646" t="s">
        <v>17322</v>
      </c>
      <c r="J7646" t="s">
        <v>18902</v>
      </c>
      <c r="K7646">
        <v>10304</v>
      </c>
      <c r="L7646" t="s">
        <v>18958</v>
      </c>
      <c r="M7646" t="s">
        <v>18960</v>
      </c>
      <c r="O7646" t="s">
        <v>26552</v>
      </c>
      <c r="P7646" t="s">
        <v>26562</v>
      </c>
      <c r="Q7646" t="s">
        <v>26571</v>
      </c>
      <c r="R7646" t="s">
        <v>26578</v>
      </c>
      <c r="S7646" t="s">
        <v>18959</v>
      </c>
      <c r="U7646" t="s">
        <v>26607</v>
      </c>
      <c r="W7646" t="s">
        <v>768</v>
      </c>
      <c r="X7646">
        <v>800</v>
      </c>
      <c r="Y7646" t="s">
        <v>26654</v>
      </c>
      <c r="Z7646" t="s">
        <v>26659</v>
      </c>
      <c r="AA7646" t="s">
        <v>26681</v>
      </c>
      <c r="AB7646" t="s">
        <v>32366</v>
      </c>
      <c r="AD7646" t="s">
        <v>42774</v>
      </c>
      <c r="AE7646">
        <v>6</v>
      </c>
      <c r="AF7646" t="s">
        <v>20460</v>
      </c>
      <c r="AG7646" t="s">
        <v>45562</v>
      </c>
      <c r="AH7646">
        <v>4</v>
      </c>
      <c r="AI7646">
        <v>2</v>
      </c>
      <c r="AJ7646">
        <v>0</v>
      </c>
      <c r="AK7646">
        <v>73.94</v>
      </c>
      <c r="AN7646" t="s">
        <v>7439</v>
      </c>
      <c r="AO7646">
        <v>12504</v>
      </c>
      <c r="AU7646">
        <v>2.7</v>
      </c>
      <c r="AV7646" t="s">
        <v>835</v>
      </c>
      <c r="AW7646" t="s">
        <v>46883</v>
      </c>
      <c r="AX7646" t="s">
        <v>46897</v>
      </c>
    </row>
    <row r="7647" spans="1:50">
      <c r="A7647" s="1">
        <f>HYPERLINK("https://lsnyc.legalserver.org/matter/dynamic-profile/view/1898398","19-1898398")</f>
        <v>0</v>
      </c>
      <c r="B7647" t="s">
        <v>72</v>
      </c>
      <c r="C7647" t="s">
        <v>341</v>
      </c>
      <c r="D7647" t="s">
        <v>768</v>
      </c>
      <c r="E7647" t="s">
        <v>768</v>
      </c>
      <c r="F7647" t="s">
        <v>999</v>
      </c>
      <c r="G7647" t="s">
        <v>7223</v>
      </c>
      <c r="H7647" t="s">
        <v>14865</v>
      </c>
      <c r="I7647" t="s">
        <v>17325</v>
      </c>
      <c r="J7647" t="s">
        <v>18892</v>
      </c>
      <c r="K7647">
        <v>10467</v>
      </c>
      <c r="L7647" t="s">
        <v>18958</v>
      </c>
      <c r="M7647" t="s">
        <v>18958</v>
      </c>
      <c r="O7647" t="s">
        <v>26529</v>
      </c>
      <c r="P7647" t="s">
        <v>26564</v>
      </c>
      <c r="Q7647" t="s">
        <v>26570</v>
      </c>
      <c r="R7647" t="s">
        <v>26578</v>
      </c>
      <c r="S7647" t="s">
        <v>18959</v>
      </c>
      <c r="U7647" t="s">
        <v>26604</v>
      </c>
      <c r="W7647" t="s">
        <v>768</v>
      </c>
      <c r="X7647">
        <v>1050</v>
      </c>
      <c r="Y7647" t="s">
        <v>26651</v>
      </c>
      <c r="Z7647" t="s">
        <v>26661</v>
      </c>
      <c r="AA7647" t="s">
        <v>26683</v>
      </c>
      <c r="AB7647" t="s">
        <v>32367</v>
      </c>
      <c r="AD7647" t="s">
        <v>42775</v>
      </c>
      <c r="AE7647">
        <v>67</v>
      </c>
      <c r="AF7647" t="s">
        <v>45541</v>
      </c>
      <c r="AG7647" t="s">
        <v>45556</v>
      </c>
      <c r="AH7647">
        <v>5</v>
      </c>
      <c r="AI7647">
        <v>2</v>
      </c>
      <c r="AJ7647">
        <v>1</v>
      </c>
      <c r="AK7647">
        <v>78.2</v>
      </c>
      <c r="AN7647" t="s">
        <v>45581</v>
      </c>
      <c r="AO7647">
        <v>16680</v>
      </c>
      <c r="AU7647">
        <v>0.05</v>
      </c>
      <c r="AV7647" t="s">
        <v>768</v>
      </c>
      <c r="AW7647" t="s">
        <v>46840</v>
      </c>
    </row>
    <row r="7648" spans="1:50">
      <c r="A7648" s="1">
        <f>HYPERLINK("https://lsnyc.legalserver.org/matter/dynamic-profile/view/1898480","19-1898480")</f>
        <v>0</v>
      </c>
      <c r="B7648" t="s">
        <v>141</v>
      </c>
      <c r="C7648" t="s">
        <v>341</v>
      </c>
      <c r="D7648" t="s">
        <v>768</v>
      </c>
      <c r="E7648" t="s">
        <v>805</v>
      </c>
      <c r="F7648" t="s">
        <v>4014</v>
      </c>
      <c r="G7648" t="s">
        <v>8395</v>
      </c>
      <c r="H7648" t="s">
        <v>14866</v>
      </c>
      <c r="I7648" t="s">
        <v>17430</v>
      </c>
      <c r="J7648" t="s">
        <v>18939</v>
      </c>
      <c r="K7648">
        <v>11423</v>
      </c>
      <c r="L7648" t="s">
        <v>18958</v>
      </c>
      <c r="M7648" t="s">
        <v>18958</v>
      </c>
      <c r="N7648" t="s">
        <v>18993</v>
      </c>
      <c r="O7648" t="s">
        <v>18997</v>
      </c>
      <c r="P7648" t="s">
        <v>26564</v>
      </c>
      <c r="Q7648" t="s">
        <v>26570</v>
      </c>
      <c r="R7648" t="s">
        <v>26589</v>
      </c>
      <c r="S7648" t="s">
        <v>18959</v>
      </c>
      <c r="U7648" t="s">
        <v>26604</v>
      </c>
      <c r="V7648" t="s">
        <v>26610</v>
      </c>
      <c r="W7648" t="s">
        <v>768</v>
      </c>
      <c r="X7648">
        <v>1900</v>
      </c>
      <c r="Y7648" t="s">
        <v>26653</v>
      </c>
      <c r="Z7648" t="s">
        <v>26671</v>
      </c>
      <c r="AA7648" t="s">
        <v>26683</v>
      </c>
      <c r="AB7648" t="s">
        <v>30544</v>
      </c>
      <c r="AC7648" t="s">
        <v>34738</v>
      </c>
      <c r="AD7648" t="s">
        <v>34738</v>
      </c>
      <c r="AE7648">
        <v>2</v>
      </c>
      <c r="AF7648" t="s">
        <v>45547</v>
      </c>
      <c r="AG7648" t="s">
        <v>19330</v>
      </c>
      <c r="AH7648">
        <v>1</v>
      </c>
      <c r="AI7648">
        <v>1</v>
      </c>
      <c r="AJ7648">
        <v>1</v>
      </c>
      <c r="AK7648">
        <v>0</v>
      </c>
      <c r="AL7648" t="s">
        <v>45567</v>
      </c>
      <c r="AM7648" t="s">
        <v>45577</v>
      </c>
      <c r="AN7648" t="s">
        <v>45592</v>
      </c>
      <c r="AO7648">
        <v>0</v>
      </c>
      <c r="AU7648">
        <v>1.3</v>
      </c>
      <c r="AV7648" t="s">
        <v>813</v>
      </c>
      <c r="AW7648" t="s">
        <v>141</v>
      </c>
      <c r="AX7648" t="s">
        <v>46897</v>
      </c>
    </row>
    <row r="7649" spans="1:50">
      <c r="A7649" s="1">
        <f>HYPERLINK("https://lsnyc.legalserver.org/matter/dynamic-profile/view/1898372","19-1898372")</f>
        <v>0</v>
      </c>
      <c r="B7649" t="s">
        <v>141</v>
      </c>
      <c r="C7649" t="s">
        <v>341</v>
      </c>
      <c r="D7649" t="s">
        <v>768</v>
      </c>
      <c r="E7649" t="s">
        <v>816</v>
      </c>
      <c r="F7649" t="s">
        <v>2646</v>
      </c>
      <c r="G7649" t="s">
        <v>8396</v>
      </c>
      <c r="H7649" t="s">
        <v>14867</v>
      </c>
      <c r="I7649" t="s">
        <v>18483</v>
      </c>
      <c r="J7649" t="s">
        <v>18907</v>
      </c>
      <c r="K7649">
        <v>11377</v>
      </c>
      <c r="L7649" t="s">
        <v>18958</v>
      </c>
      <c r="M7649" t="s">
        <v>18958</v>
      </c>
      <c r="N7649" t="s">
        <v>18993</v>
      </c>
      <c r="O7649" t="s">
        <v>18997</v>
      </c>
      <c r="P7649" t="s">
        <v>26564</v>
      </c>
      <c r="Q7649" t="s">
        <v>26570</v>
      </c>
      <c r="R7649" t="s">
        <v>26589</v>
      </c>
      <c r="S7649" t="s">
        <v>18959</v>
      </c>
      <c r="U7649" t="s">
        <v>26604</v>
      </c>
      <c r="V7649" t="s">
        <v>26610</v>
      </c>
      <c r="W7649" t="s">
        <v>768</v>
      </c>
      <c r="X7649">
        <v>1160</v>
      </c>
      <c r="Y7649" t="s">
        <v>26653</v>
      </c>
      <c r="Z7649" t="s">
        <v>26671</v>
      </c>
      <c r="AA7649" t="s">
        <v>26683</v>
      </c>
      <c r="AB7649" t="s">
        <v>32368</v>
      </c>
      <c r="AD7649" t="s">
        <v>42776</v>
      </c>
      <c r="AE7649">
        <v>40</v>
      </c>
      <c r="AF7649" t="s">
        <v>45541</v>
      </c>
      <c r="AG7649" t="s">
        <v>19330</v>
      </c>
      <c r="AH7649">
        <v>7</v>
      </c>
      <c r="AI7649">
        <v>2</v>
      </c>
      <c r="AJ7649">
        <v>0</v>
      </c>
      <c r="AK7649">
        <v>199.88</v>
      </c>
      <c r="AL7649" t="s">
        <v>45567</v>
      </c>
      <c r="AM7649" t="s">
        <v>45577</v>
      </c>
      <c r="AN7649" t="s">
        <v>7439</v>
      </c>
      <c r="AO7649">
        <v>33800</v>
      </c>
      <c r="AU7649">
        <v>1.1</v>
      </c>
      <c r="AV7649" t="s">
        <v>771</v>
      </c>
      <c r="AW7649" t="s">
        <v>141</v>
      </c>
    </row>
    <row r="7650" spans="1:50">
      <c r="A7650" s="1">
        <f>HYPERLINK("https://lsnyc.legalserver.org/matter/dynamic-profile/view/1900031","19-1900031")</f>
        <v>0</v>
      </c>
      <c r="B7650" t="s">
        <v>136</v>
      </c>
      <c r="C7650" t="s">
        <v>340</v>
      </c>
      <c r="D7650" t="s">
        <v>768</v>
      </c>
      <c r="F7650" t="s">
        <v>1303</v>
      </c>
      <c r="G7650" t="s">
        <v>6056</v>
      </c>
      <c r="H7650" t="s">
        <v>10990</v>
      </c>
      <c r="I7650" t="s">
        <v>17277</v>
      </c>
      <c r="J7650" t="s">
        <v>18892</v>
      </c>
      <c r="K7650">
        <v>10468</v>
      </c>
      <c r="L7650" t="s">
        <v>18958</v>
      </c>
      <c r="M7650" t="s">
        <v>18960</v>
      </c>
      <c r="N7650" t="s">
        <v>24403</v>
      </c>
      <c r="O7650" t="s">
        <v>26523</v>
      </c>
      <c r="P7650" t="s">
        <v>26560</v>
      </c>
      <c r="R7650" t="s">
        <v>26579</v>
      </c>
      <c r="S7650" t="s">
        <v>18959</v>
      </c>
      <c r="U7650" t="s">
        <v>26604</v>
      </c>
      <c r="V7650" t="s">
        <v>26610</v>
      </c>
      <c r="W7650" t="s">
        <v>768</v>
      </c>
      <c r="X7650">
        <v>896.21</v>
      </c>
      <c r="Y7650" t="s">
        <v>26650</v>
      </c>
      <c r="Z7650" t="s">
        <v>26659</v>
      </c>
      <c r="AB7650" t="s">
        <v>28165</v>
      </c>
      <c r="AC7650" t="s">
        <v>36369</v>
      </c>
      <c r="AD7650" t="s">
        <v>38215</v>
      </c>
      <c r="AE7650">
        <v>50</v>
      </c>
      <c r="AF7650" t="s">
        <v>45541</v>
      </c>
      <c r="AG7650" t="s">
        <v>45557</v>
      </c>
      <c r="AH7650">
        <v>18</v>
      </c>
      <c r="AI7650">
        <v>1</v>
      </c>
      <c r="AJ7650">
        <v>1</v>
      </c>
      <c r="AK7650">
        <v>20.69</v>
      </c>
      <c r="AO7650">
        <v>3498</v>
      </c>
      <c r="AU7650">
        <v>0</v>
      </c>
      <c r="AW7650" t="s">
        <v>136</v>
      </c>
      <c r="AX7650" t="s">
        <v>46898</v>
      </c>
    </row>
    <row r="7651" spans="1:50">
      <c r="A7651" s="1">
        <f>HYPERLINK("https://lsnyc.legalserver.org/matter/dynamic-profile/view/1898355","19-1898355")</f>
        <v>0</v>
      </c>
      <c r="B7651" t="s">
        <v>107</v>
      </c>
      <c r="C7651" t="s">
        <v>340</v>
      </c>
      <c r="D7651" t="s">
        <v>768</v>
      </c>
      <c r="F7651" t="s">
        <v>4015</v>
      </c>
      <c r="G7651" t="s">
        <v>8397</v>
      </c>
      <c r="H7651" t="s">
        <v>14226</v>
      </c>
      <c r="I7651" t="s">
        <v>18154</v>
      </c>
      <c r="J7651" t="s">
        <v>18901</v>
      </c>
      <c r="K7651">
        <v>11435</v>
      </c>
      <c r="L7651" t="s">
        <v>18958</v>
      </c>
      <c r="M7651" t="s">
        <v>18958</v>
      </c>
      <c r="N7651" t="s">
        <v>24404</v>
      </c>
      <c r="O7651" t="s">
        <v>26523</v>
      </c>
      <c r="P7651" t="s">
        <v>26560</v>
      </c>
      <c r="R7651" t="s">
        <v>26584</v>
      </c>
      <c r="S7651" t="s">
        <v>18959</v>
      </c>
      <c r="U7651" t="s">
        <v>26604</v>
      </c>
      <c r="V7651" t="s">
        <v>26610</v>
      </c>
      <c r="W7651" t="s">
        <v>768</v>
      </c>
      <c r="X7651">
        <v>1648.23</v>
      </c>
      <c r="Y7651" t="s">
        <v>26653</v>
      </c>
      <c r="Z7651" t="s">
        <v>26659</v>
      </c>
      <c r="AB7651" t="s">
        <v>32369</v>
      </c>
      <c r="AD7651" t="s">
        <v>42777</v>
      </c>
      <c r="AE7651">
        <v>0</v>
      </c>
      <c r="AF7651" t="s">
        <v>45541</v>
      </c>
      <c r="AG7651" t="s">
        <v>45557</v>
      </c>
      <c r="AH7651">
        <v>9</v>
      </c>
      <c r="AI7651">
        <v>2</v>
      </c>
      <c r="AJ7651">
        <v>4</v>
      </c>
      <c r="AK7651">
        <v>60.25</v>
      </c>
      <c r="AN7651" t="s">
        <v>26530</v>
      </c>
      <c r="AO7651">
        <v>20840.8</v>
      </c>
      <c r="AU7651">
        <v>0.2</v>
      </c>
      <c r="AV7651" t="s">
        <v>771</v>
      </c>
      <c r="AW7651" t="s">
        <v>107</v>
      </c>
    </row>
    <row r="7652" spans="1:50">
      <c r="A7652" s="1">
        <f>HYPERLINK("https://lsnyc.legalserver.org/matter/dynamic-profile/view/1898360","19-1898360")</f>
        <v>0</v>
      </c>
      <c r="B7652" t="s">
        <v>149</v>
      </c>
      <c r="C7652" t="s">
        <v>340</v>
      </c>
      <c r="D7652" t="s">
        <v>768</v>
      </c>
      <c r="F7652" t="s">
        <v>1256</v>
      </c>
      <c r="G7652" t="s">
        <v>3599</v>
      </c>
      <c r="H7652" t="s">
        <v>14868</v>
      </c>
      <c r="I7652" t="s">
        <v>17496</v>
      </c>
      <c r="J7652" t="s">
        <v>18892</v>
      </c>
      <c r="K7652">
        <v>10455</v>
      </c>
      <c r="L7652" t="s">
        <v>18958</v>
      </c>
      <c r="M7652" t="s">
        <v>18958</v>
      </c>
      <c r="N7652" t="s">
        <v>24405</v>
      </c>
      <c r="O7652" t="s">
        <v>26523</v>
      </c>
      <c r="P7652" t="s">
        <v>26564</v>
      </c>
      <c r="R7652" t="s">
        <v>26577</v>
      </c>
      <c r="S7652" t="s">
        <v>18959</v>
      </c>
      <c r="U7652" t="s">
        <v>26604</v>
      </c>
      <c r="V7652" t="s">
        <v>26610</v>
      </c>
      <c r="W7652" t="s">
        <v>768</v>
      </c>
      <c r="X7652">
        <v>1154</v>
      </c>
      <c r="Y7652" t="s">
        <v>26650</v>
      </c>
      <c r="Z7652" t="s">
        <v>26530</v>
      </c>
      <c r="AB7652" t="s">
        <v>30577</v>
      </c>
      <c r="AD7652" t="s">
        <v>42778</v>
      </c>
      <c r="AE7652">
        <v>59</v>
      </c>
      <c r="AF7652" t="s">
        <v>45541</v>
      </c>
      <c r="AG7652" t="s">
        <v>45556</v>
      </c>
      <c r="AH7652">
        <v>10</v>
      </c>
      <c r="AI7652">
        <v>1</v>
      </c>
      <c r="AJ7652">
        <v>1</v>
      </c>
      <c r="AK7652">
        <v>171.5</v>
      </c>
      <c r="AN7652" t="s">
        <v>7439</v>
      </c>
      <c r="AO7652">
        <v>29000</v>
      </c>
      <c r="AP7652" t="s">
        <v>46067</v>
      </c>
      <c r="AU7652">
        <v>0.3</v>
      </c>
      <c r="AV7652" t="s">
        <v>813</v>
      </c>
      <c r="AW7652" t="s">
        <v>284</v>
      </c>
      <c r="AX7652" t="s">
        <v>46897</v>
      </c>
    </row>
    <row r="7653" spans="1:50">
      <c r="A7653" s="1">
        <f>HYPERLINK("https://lsnyc.legalserver.org/matter/dynamic-profile/view/1898477","19-1898477")</f>
        <v>0</v>
      </c>
      <c r="B7653" t="s">
        <v>251</v>
      </c>
      <c r="C7653" t="s">
        <v>340</v>
      </c>
      <c r="D7653" t="s">
        <v>768</v>
      </c>
      <c r="F7653" t="s">
        <v>2868</v>
      </c>
      <c r="G7653" t="s">
        <v>8398</v>
      </c>
      <c r="H7653" t="s">
        <v>14869</v>
      </c>
      <c r="I7653" t="s">
        <v>18484</v>
      </c>
      <c r="J7653" t="s">
        <v>18892</v>
      </c>
      <c r="K7653">
        <v>10458</v>
      </c>
      <c r="L7653" t="s">
        <v>18958</v>
      </c>
      <c r="M7653" t="s">
        <v>18958</v>
      </c>
      <c r="N7653" t="s">
        <v>24406</v>
      </c>
      <c r="O7653" t="s">
        <v>26523</v>
      </c>
      <c r="P7653" t="s">
        <v>26560</v>
      </c>
      <c r="R7653" t="s">
        <v>26577</v>
      </c>
      <c r="U7653" t="s">
        <v>26604</v>
      </c>
      <c r="V7653" t="s">
        <v>26612</v>
      </c>
      <c r="W7653" t="s">
        <v>768</v>
      </c>
      <c r="X7653">
        <v>1632</v>
      </c>
      <c r="Y7653" t="s">
        <v>26650</v>
      </c>
      <c r="Z7653" t="s">
        <v>26664</v>
      </c>
      <c r="AB7653" t="s">
        <v>32370</v>
      </c>
      <c r="AC7653" t="s">
        <v>36370</v>
      </c>
      <c r="AE7653">
        <v>0</v>
      </c>
      <c r="AF7653" t="s">
        <v>45543</v>
      </c>
      <c r="AG7653" t="s">
        <v>45556</v>
      </c>
      <c r="AH7653">
        <v>22</v>
      </c>
      <c r="AI7653">
        <v>2</v>
      </c>
      <c r="AJ7653">
        <v>3</v>
      </c>
      <c r="AK7653">
        <v>43.62</v>
      </c>
      <c r="AN7653" t="s">
        <v>7439</v>
      </c>
      <c r="AO7653">
        <v>13160</v>
      </c>
      <c r="AU7653">
        <v>8</v>
      </c>
      <c r="AV7653" t="s">
        <v>825</v>
      </c>
      <c r="AW7653" t="s">
        <v>46867</v>
      </c>
      <c r="AX7653" t="s">
        <v>46898</v>
      </c>
    </row>
    <row r="7654" spans="1:50">
      <c r="A7654" s="1">
        <f>HYPERLINK("https://lsnyc.legalserver.org/matter/dynamic-profile/view/1898437","19-1898437")</f>
        <v>0</v>
      </c>
      <c r="B7654" t="s">
        <v>74</v>
      </c>
      <c r="C7654" t="s">
        <v>340</v>
      </c>
      <c r="D7654" t="s">
        <v>768</v>
      </c>
      <c r="F7654" t="s">
        <v>3287</v>
      </c>
      <c r="G7654" t="s">
        <v>2749</v>
      </c>
      <c r="H7654" t="s">
        <v>14870</v>
      </c>
      <c r="I7654" t="s">
        <v>17282</v>
      </c>
      <c r="J7654" t="s">
        <v>18893</v>
      </c>
      <c r="K7654">
        <v>10040</v>
      </c>
      <c r="L7654" t="s">
        <v>18958</v>
      </c>
      <c r="M7654" t="s">
        <v>18958</v>
      </c>
      <c r="P7654" t="s">
        <v>26564</v>
      </c>
      <c r="R7654" t="s">
        <v>26578</v>
      </c>
      <c r="S7654" t="s">
        <v>18959</v>
      </c>
      <c r="U7654" t="s">
        <v>26604</v>
      </c>
      <c r="W7654" t="s">
        <v>768</v>
      </c>
      <c r="X7654">
        <v>1045.94</v>
      </c>
      <c r="Y7654" t="s">
        <v>26651</v>
      </c>
      <c r="Z7654" t="s">
        <v>26659</v>
      </c>
      <c r="AB7654" t="s">
        <v>32371</v>
      </c>
      <c r="AD7654" t="s">
        <v>42779</v>
      </c>
      <c r="AE7654">
        <v>44</v>
      </c>
      <c r="AF7654" t="s">
        <v>45541</v>
      </c>
      <c r="AG7654" t="s">
        <v>19330</v>
      </c>
      <c r="AH7654">
        <v>36</v>
      </c>
      <c r="AI7654">
        <v>3</v>
      </c>
      <c r="AJ7654">
        <v>0</v>
      </c>
      <c r="AK7654">
        <v>89.84999999999999</v>
      </c>
      <c r="AN7654" t="s">
        <v>45581</v>
      </c>
      <c r="AO7654">
        <v>19164</v>
      </c>
      <c r="AU7654">
        <v>15.45</v>
      </c>
      <c r="AV7654" t="s">
        <v>809</v>
      </c>
      <c r="AW7654" t="s">
        <v>46840</v>
      </c>
    </row>
    <row r="7655" spans="1:50">
      <c r="A7655" s="1">
        <f>HYPERLINK("https://lsnyc.legalserver.org/matter/dynamic-profile/view/1898369","19-1898369")</f>
        <v>0</v>
      </c>
      <c r="B7655" t="s">
        <v>218</v>
      </c>
      <c r="C7655" t="s">
        <v>340</v>
      </c>
      <c r="D7655" t="s">
        <v>768</v>
      </c>
      <c r="F7655" t="s">
        <v>4016</v>
      </c>
      <c r="G7655" t="s">
        <v>6103</v>
      </c>
      <c r="H7655" t="s">
        <v>14871</v>
      </c>
      <c r="I7655">
        <v>67</v>
      </c>
      <c r="J7655" t="s">
        <v>18893</v>
      </c>
      <c r="K7655">
        <v>10032</v>
      </c>
      <c r="L7655" t="s">
        <v>18958</v>
      </c>
      <c r="M7655" t="s">
        <v>18958</v>
      </c>
      <c r="O7655" t="s">
        <v>26529</v>
      </c>
      <c r="P7655" t="s">
        <v>26565</v>
      </c>
      <c r="R7655" t="s">
        <v>26578</v>
      </c>
      <c r="S7655" t="s">
        <v>18959</v>
      </c>
      <c r="U7655" t="s">
        <v>26604</v>
      </c>
      <c r="W7655" t="s">
        <v>768</v>
      </c>
      <c r="X7655">
        <v>1550</v>
      </c>
      <c r="Y7655" t="s">
        <v>26651</v>
      </c>
      <c r="Z7655" t="s">
        <v>26661</v>
      </c>
      <c r="AB7655" t="s">
        <v>32372</v>
      </c>
      <c r="AD7655" t="s">
        <v>42780</v>
      </c>
      <c r="AE7655">
        <v>55</v>
      </c>
      <c r="AF7655" t="s">
        <v>45541</v>
      </c>
      <c r="AG7655" t="s">
        <v>45561</v>
      </c>
      <c r="AH7655">
        <v>7</v>
      </c>
      <c r="AI7655">
        <v>2</v>
      </c>
      <c r="AJ7655">
        <v>0</v>
      </c>
      <c r="AK7655">
        <v>56.35</v>
      </c>
      <c r="AN7655" t="s">
        <v>45581</v>
      </c>
      <c r="AO7655">
        <v>9528</v>
      </c>
      <c r="AU7655">
        <v>1.8</v>
      </c>
      <c r="AV7655" t="s">
        <v>830</v>
      </c>
      <c r="AW7655" t="s">
        <v>46840</v>
      </c>
    </row>
    <row r="7656" spans="1:50">
      <c r="A7656" s="1">
        <f>HYPERLINK("https://lsnyc.legalserver.org/matter/dynamic-profile/view/1898403","19-1898403")</f>
        <v>0</v>
      </c>
      <c r="B7656" t="s">
        <v>121</v>
      </c>
      <c r="C7656" t="s">
        <v>340</v>
      </c>
      <c r="D7656" t="s">
        <v>768</v>
      </c>
      <c r="F7656" t="s">
        <v>2533</v>
      </c>
      <c r="G7656" t="s">
        <v>8378</v>
      </c>
      <c r="H7656" t="s">
        <v>14849</v>
      </c>
      <c r="I7656" t="s">
        <v>17349</v>
      </c>
      <c r="J7656" t="s">
        <v>18892</v>
      </c>
      <c r="K7656">
        <v>10451</v>
      </c>
      <c r="L7656" t="s">
        <v>18958</v>
      </c>
      <c r="M7656" t="s">
        <v>18959</v>
      </c>
      <c r="N7656" t="s">
        <v>24407</v>
      </c>
      <c r="O7656" t="s">
        <v>26524</v>
      </c>
      <c r="P7656" t="s">
        <v>26560</v>
      </c>
      <c r="R7656" t="s">
        <v>26577</v>
      </c>
      <c r="S7656" t="s">
        <v>18959</v>
      </c>
      <c r="U7656" t="s">
        <v>26604</v>
      </c>
      <c r="V7656" t="s">
        <v>26610</v>
      </c>
      <c r="W7656" t="s">
        <v>768</v>
      </c>
      <c r="X7656">
        <v>1235.84</v>
      </c>
      <c r="Y7656" t="s">
        <v>26650</v>
      </c>
      <c r="Z7656" t="s">
        <v>26668</v>
      </c>
      <c r="AB7656" t="s">
        <v>32346</v>
      </c>
      <c r="AC7656" t="s">
        <v>36362</v>
      </c>
      <c r="AD7656" t="s">
        <v>42746</v>
      </c>
      <c r="AE7656">
        <v>77</v>
      </c>
      <c r="AF7656" t="s">
        <v>45541</v>
      </c>
      <c r="AG7656" t="s">
        <v>45556</v>
      </c>
      <c r="AH7656">
        <v>3</v>
      </c>
      <c r="AI7656">
        <v>1</v>
      </c>
      <c r="AJ7656">
        <v>1</v>
      </c>
      <c r="AK7656">
        <v>6.19</v>
      </c>
      <c r="AN7656" t="s">
        <v>7439</v>
      </c>
      <c r="AO7656">
        <v>1047</v>
      </c>
      <c r="AU7656">
        <v>5.3</v>
      </c>
      <c r="AV7656" t="s">
        <v>797</v>
      </c>
      <c r="AW7656" t="s">
        <v>46870</v>
      </c>
      <c r="AX7656" t="s">
        <v>46898</v>
      </c>
    </row>
    <row r="7657" spans="1:50">
      <c r="A7657" s="1">
        <f>HYPERLINK("https://lsnyc.legalserver.org/matter/dynamic-profile/view/1898439","19-1898439")</f>
        <v>0</v>
      </c>
      <c r="B7657" t="s">
        <v>273</v>
      </c>
      <c r="C7657" t="s">
        <v>340</v>
      </c>
      <c r="D7657" t="s">
        <v>768</v>
      </c>
      <c r="F7657" t="s">
        <v>2979</v>
      </c>
      <c r="G7657" t="s">
        <v>7084</v>
      </c>
      <c r="H7657" t="s">
        <v>14872</v>
      </c>
      <c r="I7657" t="s">
        <v>17322</v>
      </c>
      <c r="J7657" t="s">
        <v>18893</v>
      </c>
      <c r="K7657">
        <v>10031</v>
      </c>
      <c r="L7657" t="s">
        <v>18958</v>
      </c>
      <c r="M7657" t="s">
        <v>18958</v>
      </c>
      <c r="P7657" t="s">
        <v>26564</v>
      </c>
      <c r="R7657" t="s">
        <v>26578</v>
      </c>
      <c r="S7657" t="s">
        <v>18959</v>
      </c>
      <c r="U7657" t="s">
        <v>26604</v>
      </c>
      <c r="W7657" t="s">
        <v>768</v>
      </c>
      <c r="X7657">
        <v>995</v>
      </c>
      <c r="Y7657" t="s">
        <v>26651</v>
      </c>
      <c r="Z7657" t="s">
        <v>26664</v>
      </c>
      <c r="AB7657" t="s">
        <v>32373</v>
      </c>
      <c r="AD7657" t="s">
        <v>42781</v>
      </c>
      <c r="AE7657">
        <v>0</v>
      </c>
      <c r="AF7657" t="s">
        <v>45541</v>
      </c>
      <c r="AG7657" t="s">
        <v>19330</v>
      </c>
      <c r="AH7657">
        <v>25</v>
      </c>
      <c r="AI7657">
        <v>1</v>
      </c>
      <c r="AJ7657">
        <v>0</v>
      </c>
      <c r="AK7657">
        <v>0</v>
      </c>
      <c r="AN7657" t="s">
        <v>7439</v>
      </c>
      <c r="AO7657">
        <v>0</v>
      </c>
      <c r="AU7657">
        <v>1.5</v>
      </c>
      <c r="AV7657" t="s">
        <v>823</v>
      </c>
      <c r="AW7657" t="s">
        <v>46840</v>
      </c>
    </row>
    <row r="7658" spans="1:50">
      <c r="A7658" s="1">
        <f>HYPERLINK("https://lsnyc.legalserver.org/matter/dynamic-profile/view/1898442","19-1898442")</f>
        <v>0</v>
      </c>
      <c r="B7658" t="s">
        <v>273</v>
      </c>
      <c r="C7658" t="s">
        <v>340</v>
      </c>
      <c r="D7658" t="s">
        <v>768</v>
      </c>
      <c r="F7658" t="s">
        <v>1081</v>
      </c>
      <c r="G7658" t="s">
        <v>8399</v>
      </c>
      <c r="H7658" t="s">
        <v>14873</v>
      </c>
      <c r="I7658" t="s">
        <v>17287</v>
      </c>
      <c r="J7658" t="s">
        <v>18893</v>
      </c>
      <c r="K7658">
        <v>10040</v>
      </c>
      <c r="L7658" t="s">
        <v>18958</v>
      </c>
      <c r="M7658" t="s">
        <v>18958</v>
      </c>
      <c r="P7658" t="s">
        <v>26564</v>
      </c>
      <c r="R7658" t="s">
        <v>26578</v>
      </c>
      <c r="S7658" t="s">
        <v>18959</v>
      </c>
      <c r="U7658" t="s">
        <v>26604</v>
      </c>
      <c r="W7658" t="s">
        <v>768</v>
      </c>
      <c r="X7658">
        <v>1153.74</v>
      </c>
      <c r="Y7658" t="s">
        <v>26651</v>
      </c>
      <c r="Z7658" t="s">
        <v>26661</v>
      </c>
      <c r="AB7658" t="s">
        <v>32374</v>
      </c>
      <c r="AD7658" t="s">
        <v>42782</v>
      </c>
      <c r="AE7658">
        <v>112</v>
      </c>
      <c r="AF7658" t="s">
        <v>45541</v>
      </c>
      <c r="AG7658" t="s">
        <v>19330</v>
      </c>
      <c r="AH7658">
        <v>43</v>
      </c>
      <c r="AI7658">
        <v>1</v>
      </c>
      <c r="AJ7658">
        <v>0</v>
      </c>
      <c r="AK7658">
        <v>93.48</v>
      </c>
      <c r="AN7658" t="s">
        <v>7439</v>
      </c>
      <c r="AO7658">
        <v>11676</v>
      </c>
      <c r="AU7658">
        <v>5</v>
      </c>
      <c r="AV7658" t="s">
        <v>823</v>
      </c>
      <c r="AW7658" t="s">
        <v>46840</v>
      </c>
    </row>
    <row r="7659" spans="1:50">
      <c r="A7659" s="1">
        <f>HYPERLINK("https://lsnyc.legalserver.org/matter/dynamic-profile/view/1899419","19-1899419")</f>
        <v>0</v>
      </c>
      <c r="B7659" t="s">
        <v>54</v>
      </c>
      <c r="C7659" t="s">
        <v>340</v>
      </c>
      <c r="D7659" t="s">
        <v>768</v>
      </c>
      <c r="F7659" t="s">
        <v>4017</v>
      </c>
      <c r="G7659" t="s">
        <v>8400</v>
      </c>
      <c r="H7659" t="s">
        <v>14874</v>
      </c>
      <c r="I7659" t="s">
        <v>17388</v>
      </c>
      <c r="J7659" t="s">
        <v>18892</v>
      </c>
      <c r="K7659">
        <v>10467</v>
      </c>
      <c r="L7659" t="s">
        <v>18958</v>
      </c>
      <c r="M7659" t="s">
        <v>18960</v>
      </c>
      <c r="N7659" t="s">
        <v>24408</v>
      </c>
      <c r="O7659" t="s">
        <v>26523</v>
      </c>
      <c r="P7659" t="s">
        <v>26560</v>
      </c>
      <c r="R7659" t="s">
        <v>26579</v>
      </c>
      <c r="S7659" t="s">
        <v>18959</v>
      </c>
      <c r="U7659" t="s">
        <v>26605</v>
      </c>
      <c r="V7659" t="s">
        <v>26610</v>
      </c>
      <c r="W7659" t="s">
        <v>768</v>
      </c>
      <c r="X7659">
        <v>792</v>
      </c>
      <c r="Y7659" t="s">
        <v>26650</v>
      </c>
      <c r="Z7659" t="s">
        <v>26668</v>
      </c>
      <c r="AB7659" t="s">
        <v>32375</v>
      </c>
      <c r="AD7659" t="s">
        <v>42783</v>
      </c>
      <c r="AE7659">
        <v>450</v>
      </c>
      <c r="AF7659" t="s">
        <v>45549</v>
      </c>
      <c r="AG7659" t="s">
        <v>19330</v>
      </c>
      <c r="AH7659">
        <v>5</v>
      </c>
      <c r="AI7659">
        <v>1</v>
      </c>
      <c r="AJ7659">
        <v>2</v>
      </c>
      <c r="AK7659">
        <v>156.02</v>
      </c>
      <c r="AN7659" t="s">
        <v>7439</v>
      </c>
      <c r="AO7659">
        <v>33280</v>
      </c>
      <c r="AR7659" t="s">
        <v>46380</v>
      </c>
      <c r="AS7659" t="s">
        <v>46499</v>
      </c>
      <c r="AT7659" t="s">
        <v>46665</v>
      </c>
      <c r="AU7659">
        <v>3.2</v>
      </c>
      <c r="AV7659" t="s">
        <v>729</v>
      </c>
      <c r="AW7659" t="s">
        <v>46832</v>
      </c>
      <c r="AX7659" t="s">
        <v>46897</v>
      </c>
    </row>
    <row r="7660" spans="1:50">
      <c r="A7660" s="1">
        <f>HYPERLINK("https://lsnyc.legalserver.org/matter/dynamic-profile/view/1899115","19-1899115")</f>
        <v>0</v>
      </c>
      <c r="B7660" t="s">
        <v>52</v>
      </c>
      <c r="C7660" t="s">
        <v>340</v>
      </c>
      <c r="D7660" t="s">
        <v>811</v>
      </c>
      <c r="F7660" t="s">
        <v>2980</v>
      </c>
      <c r="G7660" t="s">
        <v>5199</v>
      </c>
      <c r="H7660" t="s">
        <v>12910</v>
      </c>
      <c r="I7660" t="s">
        <v>17307</v>
      </c>
      <c r="J7660" t="s">
        <v>18892</v>
      </c>
      <c r="K7660">
        <v>10452</v>
      </c>
      <c r="L7660" t="s">
        <v>18958</v>
      </c>
      <c r="M7660" t="s">
        <v>18960</v>
      </c>
      <c r="O7660" t="s">
        <v>26534</v>
      </c>
      <c r="P7660" t="s">
        <v>26565</v>
      </c>
      <c r="R7660" t="s">
        <v>26578</v>
      </c>
      <c r="S7660" t="s">
        <v>18958</v>
      </c>
      <c r="U7660" t="s">
        <v>26604</v>
      </c>
      <c r="W7660" t="s">
        <v>768</v>
      </c>
      <c r="X7660">
        <v>1000</v>
      </c>
      <c r="Y7660" t="s">
        <v>26650</v>
      </c>
      <c r="Z7660" t="s">
        <v>26663</v>
      </c>
      <c r="AB7660" t="s">
        <v>29377</v>
      </c>
      <c r="AC7660" t="s">
        <v>35745</v>
      </c>
      <c r="AD7660" t="s">
        <v>40383</v>
      </c>
      <c r="AE7660">
        <v>41</v>
      </c>
      <c r="AF7660" t="s">
        <v>45541</v>
      </c>
      <c r="AG7660" t="s">
        <v>45558</v>
      </c>
      <c r="AH7660">
        <v>7</v>
      </c>
      <c r="AI7660">
        <v>1</v>
      </c>
      <c r="AJ7660">
        <v>2</v>
      </c>
      <c r="AK7660">
        <v>17.44</v>
      </c>
      <c r="AN7660" t="s">
        <v>7439</v>
      </c>
      <c r="AO7660">
        <v>3720</v>
      </c>
      <c r="AU7660">
        <v>0</v>
      </c>
      <c r="AW7660" t="s">
        <v>46847</v>
      </c>
      <c r="AX7660" t="s">
        <v>46897</v>
      </c>
    </row>
    <row r="7661" spans="1:50">
      <c r="A7661" s="1">
        <f>HYPERLINK("https://lsnyc.legalserver.org/matter/dynamic-profile/view/1899158","19-1899158")</f>
        <v>0</v>
      </c>
      <c r="B7661" t="s">
        <v>52</v>
      </c>
      <c r="C7661" t="s">
        <v>340</v>
      </c>
      <c r="D7661" t="s">
        <v>811</v>
      </c>
      <c r="F7661" t="s">
        <v>964</v>
      </c>
      <c r="G7661" t="s">
        <v>4811</v>
      </c>
      <c r="H7661" t="s">
        <v>12911</v>
      </c>
      <c r="I7661" t="s">
        <v>17343</v>
      </c>
      <c r="J7661" t="s">
        <v>18892</v>
      </c>
      <c r="K7661">
        <v>10452</v>
      </c>
      <c r="L7661" t="s">
        <v>18958</v>
      </c>
      <c r="M7661" t="s">
        <v>18960</v>
      </c>
      <c r="O7661" t="s">
        <v>26534</v>
      </c>
      <c r="P7661" t="s">
        <v>26565</v>
      </c>
      <c r="R7661" t="s">
        <v>26578</v>
      </c>
      <c r="S7661" t="s">
        <v>18958</v>
      </c>
      <c r="U7661" t="s">
        <v>26604</v>
      </c>
      <c r="W7661" t="s">
        <v>768</v>
      </c>
      <c r="X7661">
        <v>1400</v>
      </c>
      <c r="Y7661" t="s">
        <v>26650</v>
      </c>
      <c r="Z7661" t="s">
        <v>26663</v>
      </c>
      <c r="AB7661" t="s">
        <v>32376</v>
      </c>
      <c r="AE7661">
        <v>41</v>
      </c>
      <c r="AF7661" t="s">
        <v>45541</v>
      </c>
      <c r="AG7661" t="s">
        <v>19330</v>
      </c>
      <c r="AH7661">
        <v>1</v>
      </c>
      <c r="AI7661">
        <v>1</v>
      </c>
      <c r="AJ7661">
        <v>2</v>
      </c>
      <c r="AK7661">
        <v>28.13</v>
      </c>
      <c r="AN7661" t="s">
        <v>8151</v>
      </c>
      <c r="AO7661">
        <v>6000</v>
      </c>
      <c r="AU7661">
        <v>0</v>
      </c>
      <c r="AW7661" t="s">
        <v>46847</v>
      </c>
      <c r="AX7661" t="s">
        <v>46897</v>
      </c>
    </row>
    <row r="7662" spans="1:50">
      <c r="A7662" s="1">
        <f>HYPERLINK("https://lsnyc.legalserver.org/matter/dynamic-profile/view/1899117","19-1899117")</f>
        <v>0</v>
      </c>
      <c r="B7662" t="s">
        <v>52</v>
      </c>
      <c r="C7662" t="s">
        <v>340</v>
      </c>
      <c r="D7662" t="s">
        <v>811</v>
      </c>
      <c r="F7662" t="s">
        <v>2342</v>
      </c>
      <c r="G7662" t="s">
        <v>7234</v>
      </c>
      <c r="H7662" t="s">
        <v>12910</v>
      </c>
      <c r="I7662" t="s">
        <v>17349</v>
      </c>
      <c r="J7662" t="s">
        <v>18892</v>
      </c>
      <c r="K7662">
        <v>10452</v>
      </c>
      <c r="L7662" t="s">
        <v>18958</v>
      </c>
      <c r="M7662" t="s">
        <v>18960</v>
      </c>
      <c r="O7662" t="s">
        <v>26534</v>
      </c>
      <c r="P7662" t="s">
        <v>26565</v>
      </c>
      <c r="R7662" t="s">
        <v>26578</v>
      </c>
      <c r="S7662" t="s">
        <v>18958</v>
      </c>
      <c r="U7662" t="s">
        <v>26604</v>
      </c>
      <c r="W7662" t="s">
        <v>768</v>
      </c>
      <c r="X7662">
        <v>1500</v>
      </c>
      <c r="Y7662" t="s">
        <v>26650</v>
      </c>
      <c r="Z7662" t="s">
        <v>26667</v>
      </c>
      <c r="AB7662" t="s">
        <v>30243</v>
      </c>
      <c r="AD7662" t="s">
        <v>40384</v>
      </c>
      <c r="AE7662">
        <v>41</v>
      </c>
      <c r="AF7662" t="s">
        <v>45547</v>
      </c>
      <c r="AG7662" t="s">
        <v>19330</v>
      </c>
      <c r="AH7662">
        <v>4</v>
      </c>
      <c r="AI7662">
        <v>2</v>
      </c>
      <c r="AJ7662">
        <v>2</v>
      </c>
      <c r="AK7662">
        <v>77.67</v>
      </c>
      <c r="AN7662" t="s">
        <v>45581</v>
      </c>
      <c r="AO7662">
        <v>20000</v>
      </c>
      <c r="AU7662">
        <v>0</v>
      </c>
      <c r="AW7662" t="s">
        <v>46847</v>
      </c>
      <c r="AX7662" t="s">
        <v>46897</v>
      </c>
    </row>
    <row r="7663" spans="1:50">
      <c r="A7663" s="1">
        <f>HYPERLINK("https://lsnyc.legalserver.org/matter/dynamic-profile/view/1899153","19-1899153")</f>
        <v>0</v>
      </c>
      <c r="B7663" t="s">
        <v>52</v>
      </c>
      <c r="C7663" t="s">
        <v>340</v>
      </c>
      <c r="D7663" t="s">
        <v>811</v>
      </c>
      <c r="F7663" t="s">
        <v>2984</v>
      </c>
      <c r="G7663" t="s">
        <v>6528</v>
      </c>
      <c r="H7663" t="s">
        <v>12910</v>
      </c>
      <c r="I7663" t="s">
        <v>17283</v>
      </c>
      <c r="J7663" t="s">
        <v>18892</v>
      </c>
      <c r="K7663">
        <v>10452</v>
      </c>
      <c r="L7663" t="s">
        <v>18958</v>
      </c>
      <c r="M7663" t="s">
        <v>18960</v>
      </c>
      <c r="O7663" t="s">
        <v>26534</v>
      </c>
      <c r="P7663" t="s">
        <v>26565</v>
      </c>
      <c r="R7663" t="s">
        <v>26578</v>
      </c>
      <c r="S7663" t="s">
        <v>18958</v>
      </c>
      <c r="U7663" t="s">
        <v>26604</v>
      </c>
      <c r="W7663" t="s">
        <v>768</v>
      </c>
      <c r="X7663">
        <v>1024.89</v>
      </c>
      <c r="Y7663" t="s">
        <v>26650</v>
      </c>
      <c r="Z7663" t="s">
        <v>26663</v>
      </c>
      <c r="AB7663" t="s">
        <v>30254</v>
      </c>
      <c r="AE7663">
        <v>41</v>
      </c>
      <c r="AF7663" t="s">
        <v>45541</v>
      </c>
      <c r="AG7663" t="s">
        <v>26530</v>
      </c>
      <c r="AH7663">
        <v>12</v>
      </c>
      <c r="AI7663">
        <v>1</v>
      </c>
      <c r="AJ7663">
        <v>0</v>
      </c>
      <c r="AK7663">
        <v>92.91</v>
      </c>
      <c r="AN7663" t="s">
        <v>45581</v>
      </c>
      <c r="AO7663">
        <v>11604</v>
      </c>
      <c r="AU7663">
        <v>0</v>
      </c>
      <c r="AW7663" t="s">
        <v>46847</v>
      </c>
      <c r="AX7663" t="s">
        <v>46897</v>
      </c>
    </row>
    <row r="7664" spans="1:50">
      <c r="A7664" s="1">
        <f>HYPERLINK("https://lsnyc.legalserver.org/matter/dynamic-profile/view/1899120","19-1899120")</f>
        <v>0</v>
      </c>
      <c r="B7664" t="s">
        <v>52</v>
      </c>
      <c r="C7664" t="s">
        <v>340</v>
      </c>
      <c r="D7664" t="s">
        <v>811</v>
      </c>
      <c r="F7664" t="s">
        <v>887</v>
      </c>
      <c r="G7664" t="s">
        <v>5089</v>
      </c>
      <c r="H7664" t="s">
        <v>12910</v>
      </c>
      <c r="I7664" t="s">
        <v>17410</v>
      </c>
      <c r="J7664" t="s">
        <v>18892</v>
      </c>
      <c r="K7664">
        <v>10452</v>
      </c>
      <c r="L7664" t="s">
        <v>18958</v>
      </c>
      <c r="M7664" t="s">
        <v>18960</v>
      </c>
      <c r="O7664" t="s">
        <v>26534</v>
      </c>
      <c r="P7664" t="s">
        <v>26565</v>
      </c>
      <c r="R7664" t="s">
        <v>26578</v>
      </c>
      <c r="S7664" t="s">
        <v>18958</v>
      </c>
      <c r="U7664" t="s">
        <v>26604</v>
      </c>
      <c r="W7664" t="s">
        <v>768</v>
      </c>
      <c r="X7664">
        <v>1481</v>
      </c>
      <c r="Y7664" t="s">
        <v>26650</v>
      </c>
      <c r="Z7664" t="s">
        <v>26667</v>
      </c>
      <c r="AB7664" t="s">
        <v>30244</v>
      </c>
      <c r="AD7664" t="s">
        <v>40385</v>
      </c>
      <c r="AE7664">
        <v>41</v>
      </c>
      <c r="AF7664" t="s">
        <v>20460</v>
      </c>
      <c r="AG7664" t="s">
        <v>19330</v>
      </c>
      <c r="AH7664">
        <v>10</v>
      </c>
      <c r="AI7664">
        <v>1</v>
      </c>
      <c r="AJ7664">
        <v>0</v>
      </c>
      <c r="AK7664">
        <v>108.18</v>
      </c>
      <c r="AN7664" t="s">
        <v>7439</v>
      </c>
      <c r="AO7664">
        <v>13512</v>
      </c>
      <c r="AU7664">
        <v>0</v>
      </c>
      <c r="AW7664" t="s">
        <v>46847</v>
      </c>
      <c r="AX7664" t="s">
        <v>46897</v>
      </c>
    </row>
    <row r="7665" spans="1:50">
      <c r="A7665" s="1">
        <f>HYPERLINK("https://lsnyc.legalserver.org/matter/dynamic-profile/view/1899145","19-1899145")</f>
        <v>0</v>
      </c>
      <c r="B7665" t="s">
        <v>52</v>
      </c>
      <c r="C7665" t="s">
        <v>340</v>
      </c>
      <c r="D7665" t="s">
        <v>811</v>
      </c>
      <c r="F7665" t="s">
        <v>2981</v>
      </c>
      <c r="G7665" t="s">
        <v>7235</v>
      </c>
      <c r="H7665" t="s">
        <v>12910</v>
      </c>
      <c r="I7665" t="s">
        <v>17362</v>
      </c>
      <c r="J7665" t="s">
        <v>18892</v>
      </c>
      <c r="K7665">
        <v>10452</v>
      </c>
      <c r="L7665" t="s">
        <v>18958</v>
      </c>
      <c r="M7665" t="s">
        <v>18960</v>
      </c>
      <c r="O7665" t="s">
        <v>26534</v>
      </c>
      <c r="P7665" t="s">
        <v>26565</v>
      </c>
      <c r="R7665" t="s">
        <v>26578</v>
      </c>
      <c r="S7665" t="s">
        <v>18958</v>
      </c>
      <c r="U7665" t="s">
        <v>26604</v>
      </c>
      <c r="W7665" t="s">
        <v>768</v>
      </c>
      <c r="X7665">
        <v>1087.54</v>
      </c>
      <c r="Y7665" t="s">
        <v>26650</v>
      </c>
      <c r="Z7665" t="s">
        <v>26663</v>
      </c>
      <c r="AB7665" t="s">
        <v>30245</v>
      </c>
      <c r="AD7665" t="s">
        <v>40386</v>
      </c>
      <c r="AE7665">
        <v>41</v>
      </c>
      <c r="AF7665" t="s">
        <v>45541</v>
      </c>
      <c r="AG7665" t="s">
        <v>19330</v>
      </c>
      <c r="AH7665">
        <v>15</v>
      </c>
      <c r="AI7665">
        <v>1</v>
      </c>
      <c r="AJ7665">
        <v>2</v>
      </c>
      <c r="AK7665">
        <v>140.65</v>
      </c>
      <c r="AN7665" t="s">
        <v>7439</v>
      </c>
      <c r="AO7665">
        <v>30000</v>
      </c>
      <c r="AU7665">
        <v>0</v>
      </c>
      <c r="AW7665" t="s">
        <v>46847</v>
      </c>
      <c r="AX7665" t="s">
        <v>46897</v>
      </c>
    </row>
    <row r="7666" spans="1:50">
      <c r="A7666" s="1">
        <f>HYPERLINK("https://lsnyc.legalserver.org/matter/dynamic-profile/view/1899149","19-1899149")</f>
        <v>0</v>
      </c>
      <c r="B7666" t="s">
        <v>52</v>
      </c>
      <c r="C7666" t="s">
        <v>340</v>
      </c>
      <c r="D7666" t="s">
        <v>811</v>
      </c>
      <c r="F7666" t="s">
        <v>1022</v>
      </c>
      <c r="G7666" t="s">
        <v>2975</v>
      </c>
      <c r="H7666" t="s">
        <v>12910</v>
      </c>
      <c r="I7666" t="s">
        <v>17272</v>
      </c>
      <c r="J7666" t="s">
        <v>18892</v>
      </c>
      <c r="K7666">
        <v>10452</v>
      </c>
      <c r="L7666" t="s">
        <v>18958</v>
      </c>
      <c r="M7666" t="s">
        <v>18960</v>
      </c>
      <c r="O7666" t="s">
        <v>26534</v>
      </c>
      <c r="P7666" t="s">
        <v>26565</v>
      </c>
      <c r="R7666" t="s">
        <v>26578</v>
      </c>
      <c r="S7666" t="s">
        <v>18958</v>
      </c>
      <c r="U7666" t="s">
        <v>26604</v>
      </c>
      <c r="W7666" t="s">
        <v>768</v>
      </c>
      <c r="X7666">
        <v>987</v>
      </c>
      <c r="Y7666" t="s">
        <v>26650</v>
      </c>
      <c r="Z7666" t="s">
        <v>26663</v>
      </c>
      <c r="AB7666" t="s">
        <v>30246</v>
      </c>
      <c r="AD7666" t="s">
        <v>40387</v>
      </c>
      <c r="AE7666">
        <v>41</v>
      </c>
      <c r="AF7666" t="s">
        <v>20460</v>
      </c>
      <c r="AG7666" t="s">
        <v>45559</v>
      </c>
      <c r="AH7666">
        <v>32</v>
      </c>
      <c r="AI7666">
        <v>1</v>
      </c>
      <c r="AJ7666">
        <v>0</v>
      </c>
      <c r="AK7666">
        <v>225.49</v>
      </c>
      <c r="AN7666" t="s">
        <v>7439</v>
      </c>
      <c r="AO7666">
        <v>28164</v>
      </c>
      <c r="AU7666">
        <v>1</v>
      </c>
      <c r="AV7666" t="s">
        <v>830</v>
      </c>
      <c r="AW7666" t="s">
        <v>46847</v>
      </c>
      <c r="AX7666" t="s">
        <v>46897</v>
      </c>
    </row>
    <row r="7667" spans="1:50">
      <c r="A7667" s="1">
        <f>HYPERLINK("https://lsnyc.legalserver.org/matter/dynamic-profile/view/1899122","19-1899122")</f>
        <v>0</v>
      </c>
      <c r="B7667" t="s">
        <v>52</v>
      </c>
      <c r="C7667" t="s">
        <v>340</v>
      </c>
      <c r="D7667" t="s">
        <v>811</v>
      </c>
      <c r="F7667" t="s">
        <v>2982</v>
      </c>
      <c r="G7667" t="s">
        <v>7236</v>
      </c>
      <c r="H7667" t="s">
        <v>12910</v>
      </c>
      <c r="I7667" t="s">
        <v>17436</v>
      </c>
      <c r="J7667" t="s">
        <v>18892</v>
      </c>
      <c r="K7667">
        <v>10452</v>
      </c>
      <c r="L7667" t="s">
        <v>18958</v>
      </c>
      <c r="M7667" t="s">
        <v>18960</v>
      </c>
      <c r="O7667" t="s">
        <v>26534</v>
      </c>
      <c r="P7667" t="s">
        <v>26565</v>
      </c>
      <c r="R7667" t="s">
        <v>26578</v>
      </c>
      <c r="S7667" t="s">
        <v>18958</v>
      </c>
      <c r="U7667" t="s">
        <v>26604</v>
      </c>
      <c r="W7667" t="s">
        <v>768</v>
      </c>
      <c r="X7667">
        <v>1800</v>
      </c>
      <c r="Y7667" t="s">
        <v>26650</v>
      </c>
      <c r="Z7667" t="s">
        <v>26667</v>
      </c>
      <c r="AB7667" t="s">
        <v>30247</v>
      </c>
      <c r="AD7667" t="s">
        <v>40388</v>
      </c>
      <c r="AE7667">
        <v>41</v>
      </c>
      <c r="AF7667" t="s">
        <v>20460</v>
      </c>
      <c r="AG7667" t="s">
        <v>19330</v>
      </c>
      <c r="AH7667">
        <v>6</v>
      </c>
      <c r="AI7667">
        <v>3</v>
      </c>
      <c r="AJ7667">
        <v>0</v>
      </c>
      <c r="AK7667">
        <v>270.04</v>
      </c>
      <c r="AN7667" t="s">
        <v>45581</v>
      </c>
      <c r="AO7667">
        <v>57600</v>
      </c>
      <c r="AU7667">
        <v>0</v>
      </c>
      <c r="AW7667" t="s">
        <v>46847</v>
      </c>
      <c r="AX7667" t="s">
        <v>46897</v>
      </c>
    </row>
    <row r="7668" spans="1:50">
      <c r="A7668" s="1">
        <f>HYPERLINK("https://lsnyc.legalserver.org/matter/dynamic-profile/view/1899106","19-1899106")</f>
        <v>0</v>
      </c>
      <c r="B7668" t="s">
        <v>52</v>
      </c>
      <c r="C7668" t="s">
        <v>340</v>
      </c>
      <c r="D7668" t="s">
        <v>811</v>
      </c>
      <c r="F7668" t="s">
        <v>1266</v>
      </c>
      <c r="G7668" t="s">
        <v>4588</v>
      </c>
      <c r="H7668" t="s">
        <v>12911</v>
      </c>
      <c r="I7668" t="s">
        <v>17360</v>
      </c>
      <c r="J7668" t="s">
        <v>18892</v>
      </c>
      <c r="K7668">
        <v>10452</v>
      </c>
      <c r="L7668" t="s">
        <v>18958</v>
      </c>
      <c r="M7668" t="s">
        <v>18960</v>
      </c>
      <c r="O7668" t="s">
        <v>26534</v>
      </c>
      <c r="P7668" t="s">
        <v>26565</v>
      </c>
      <c r="R7668" t="s">
        <v>26578</v>
      </c>
      <c r="S7668" t="s">
        <v>18959</v>
      </c>
      <c r="U7668" t="s">
        <v>26604</v>
      </c>
      <c r="W7668" t="s">
        <v>768</v>
      </c>
      <c r="X7668">
        <v>1164.24</v>
      </c>
      <c r="Y7668" t="s">
        <v>26650</v>
      </c>
      <c r="Z7668" t="s">
        <v>26663</v>
      </c>
      <c r="AB7668" t="s">
        <v>30248</v>
      </c>
      <c r="AD7668" t="s">
        <v>40389</v>
      </c>
      <c r="AE7668">
        <v>41</v>
      </c>
      <c r="AF7668" t="s">
        <v>45545</v>
      </c>
      <c r="AG7668" t="s">
        <v>19330</v>
      </c>
      <c r="AH7668">
        <v>6</v>
      </c>
      <c r="AI7668">
        <v>1</v>
      </c>
      <c r="AJ7668">
        <v>0</v>
      </c>
      <c r="AK7668">
        <v>400.32</v>
      </c>
      <c r="AN7668" t="s">
        <v>7439</v>
      </c>
      <c r="AO7668">
        <v>50000</v>
      </c>
      <c r="AU7668">
        <v>0</v>
      </c>
      <c r="AW7668" t="s">
        <v>46847</v>
      </c>
      <c r="AX7668" t="s">
        <v>46897</v>
      </c>
    </row>
    <row r="7669" spans="1:50">
      <c r="A7669" s="1">
        <f>HYPERLINK("https://lsnyc.legalserver.org/matter/dynamic-profile/view/1899152","19-1899152")</f>
        <v>0</v>
      </c>
      <c r="B7669" t="s">
        <v>52</v>
      </c>
      <c r="C7669" t="s">
        <v>340</v>
      </c>
      <c r="D7669" t="s">
        <v>811</v>
      </c>
      <c r="F7669" t="s">
        <v>2983</v>
      </c>
      <c r="G7669" t="s">
        <v>1165</v>
      </c>
      <c r="H7669" t="s">
        <v>12910</v>
      </c>
      <c r="I7669" t="s">
        <v>17322</v>
      </c>
      <c r="J7669" t="s">
        <v>18892</v>
      </c>
      <c r="K7669">
        <v>10452</v>
      </c>
      <c r="L7669" t="s">
        <v>18958</v>
      </c>
      <c r="M7669" t="s">
        <v>18960</v>
      </c>
      <c r="O7669" t="s">
        <v>26534</v>
      </c>
      <c r="P7669" t="s">
        <v>26565</v>
      </c>
      <c r="R7669" t="s">
        <v>26578</v>
      </c>
      <c r="S7669" t="s">
        <v>18958</v>
      </c>
      <c r="U7669" t="s">
        <v>26604</v>
      </c>
      <c r="W7669" t="s">
        <v>768</v>
      </c>
      <c r="X7669">
        <v>1477.27</v>
      </c>
      <c r="Y7669" t="s">
        <v>26650</v>
      </c>
      <c r="Z7669" t="s">
        <v>26663</v>
      </c>
      <c r="AB7669" t="s">
        <v>30249</v>
      </c>
      <c r="AD7669" t="s">
        <v>40390</v>
      </c>
      <c r="AE7669">
        <v>41</v>
      </c>
      <c r="AF7669" t="s">
        <v>45541</v>
      </c>
      <c r="AG7669" t="s">
        <v>19330</v>
      </c>
      <c r="AH7669">
        <v>12</v>
      </c>
      <c r="AI7669">
        <v>1</v>
      </c>
      <c r="AJ7669">
        <v>0</v>
      </c>
      <c r="AK7669">
        <v>536.4299999999999</v>
      </c>
      <c r="AN7669" t="s">
        <v>7439</v>
      </c>
      <c r="AO7669">
        <v>67000</v>
      </c>
      <c r="AU7669">
        <v>0</v>
      </c>
      <c r="AW7669" t="s">
        <v>46847</v>
      </c>
      <c r="AX7669" t="s">
        <v>46897</v>
      </c>
    </row>
    <row r="7670" spans="1:50">
      <c r="A7670" s="1">
        <f>HYPERLINK("https://lsnyc.legalserver.org/matter/dynamic-profile/view/1899107","19-1899107")</f>
        <v>0</v>
      </c>
      <c r="B7670" t="s">
        <v>52</v>
      </c>
      <c r="C7670" t="s">
        <v>340</v>
      </c>
      <c r="D7670" t="s">
        <v>811</v>
      </c>
      <c r="F7670" t="s">
        <v>871</v>
      </c>
      <c r="G7670" t="s">
        <v>6816</v>
      </c>
      <c r="H7670" t="s">
        <v>12910</v>
      </c>
      <c r="I7670" t="s">
        <v>17316</v>
      </c>
      <c r="J7670" t="s">
        <v>18892</v>
      </c>
      <c r="K7670">
        <v>10452</v>
      </c>
      <c r="L7670" t="s">
        <v>18958</v>
      </c>
      <c r="M7670" t="s">
        <v>18960</v>
      </c>
      <c r="O7670" t="s">
        <v>26534</v>
      </c>
      <c r="P7670" t="s">
        <v>26565</v>
      </c>
      <c r="R7670" t="s">
        <v>26578</v>
      </c>
      <c r="S7670" t="s">
        <v>18958</v>
      </c>
      <c r="U7670" t="s">
        <v>26604</v>
      </c>
      <c r="W7670" t="s">
        <v>768</v>
      </c>
      <c r="X7670">
        <v>1677</v>
      </c>
      <c r="Y7670" t="s">
        <v>26650</v>
      </c>
      <c r="Z7670" t="s">
        <v>26663</v>
      </c>
      <c r="AB7670" t="s">
        <v>30250</v>
      </c>
      <c r="AE7670">
        <v>41</v>
      </c>
      <c r="AF7670" t="s">
        <v>45547</v>
      </c>
      <c r="AG7670" t="s">
        <v>19330</v>
      </c>
      <c r="AH7670">
        <v>4</v>
      </c>
      <c r="AI7670">
        <v>2</v>
      </c>
      <c r="AJ7670">
        <v>1</v>
      </c>
      <c r="AK7670">
        <v>656.35</v>
      </c>
      <c r="AN7670" t="s">
        <v>45581</v>
      </c>
      <c r="AO7670">
        <v>140000</v>
      </c>
      <c r="AU7670">
        <v>0</v>
      </c>
      <c r="AW7670" t="s">
        <v>46847</v>
      </c>
      <c r="AX7670" t="s">
        <v>46897</v>
      </c>
    </row>
    <row r="7671" spans="1:50">
      <c r="A7671" s="1">
        <f>HYPERLINK("https://lsnyc.legalserver.org/matter/dynamic-profile/view/1836478","17-1836478")</f>
        <v>0</v>
      </c>
      <c r="B7671" t="s">
        <v>123</v>
      </c>
      <c r="C7671" t="s">
        <v>341</v>
      </c>
      <c r="D7671" t="s">
        <v>812</v>
      </c>
      <c r="E7671" t="s">
        <v>858</v>
      </c>
      <c r="F7671" t="s">
        <v>4018</v>
      </c>
      <c r="G7671" t="s">
        <v>8401</v>
      </c>
      <c r="H7671" t="s">
        <v>14875</v>
      </c>
      <c r="I7671" t="s">
        <v>18485</v>
      </c>
      <c r="J7671" t="s">
        <v>18894</v>
      </c>
      <c r="K7671">
        <v>11217</v>
      </c>
      <c r="L7671" t="s">
        <v>18958</v>
      </c>
      <c r="M7671" t="s">
        <v>18960</v>
      </c>
      <c r="N7671" t="s">
        <v>24409</v>
      </c>
      <c r="O7671" t="s">
        <v>18997</v>
      </c>
      <c r="P7671" t="s">
        <v>26560</v>
      </c>
      <c r="Q7671" t="s">
        <v>26574</v>
      </c>
      <c r="R7671" t="s">
        <v>26594</v>
      </c>
      <c r="S7671" t="s">
        <v>18959</v>
      </c>
      <c r="U7671" t="s">
        <v>26607</v>
      </c>
      <c r="W7671" t="s">
        <v>810</v>
      </c>
      <c r="X7671">
        <v>805</v>
      </c>
      <c r="Y7671" t="s">
        <v>26652</v>
      </c>
      <c r="Z7671" t="s">
        <v>26670</v>
      </c>
      <c r="AA7671" t="s">
        <v>26678</v>
      </c>
      <c r="AB7671" t="s">
        <v>32377</v>
      </c>
      <c r="AD7671" t="s">
        <v>42784</v>
      </c>
      <c r="AE7671">
        <v>226</v>
      </c>
      <c r="AF7671" t="s">
        <v>45541</v>
      </c>
      <c r="AG7671" t="s">
        <v>19330</v>
      </c>
      <c r="AH7671">
        <v>3</v>
      </c>
      <c r="AI7671">
        <v>1</v>
      </c>
      <c r="AJ7671">
        <v>0</v>
      </c>
      <c r="AK7671">
        <v>85.37</v>
      </c>
      <c r="AN7671" t="s">
        <v>7439</v>
      </c>
      <c r="AO7671">
        <v>10296</v>
      </c>
      <c r="AP7671">
        <v>4100</v>
      </c>
      <c r="AQ7671" t="s">
        <v>46361</v>
      </c>
      <c r="AR7671" t="s">
        <v>46380</v>
      </c>
      <c r="AS7671" t="s">
        <v>46499</v>
      </c>
      <c r="AT7671" t="s">
        <v>46760</v>
      </c>
      <c r="AU7671">
        <v>105.19</v>
      </c>
      <c r="AV7671" t="s">
        <v>521</v>
      </c>
      <c r="AW7671" t="s">
        <v>46853</v>
      </c>
      <c r="AX7671" t="s">
        <v>46897</v>
      </c>
    </row>
    <row r="7672" spans="1:50">
      <c r="A7672" s="1">
        <f>HYPERLINK("https://lsnyc.legalserver.org/matter/dynamic-profile/view/1873427","18-1873427")</f>
        <v>0</v>
      </c>
      <c r="B7672" t="s">
        <v>101</v>
      </c>
      <c r="C7672" t="s">
        <v>340</v>
      </c>
      <c r="D7672" t="s">
        <v>464</v>
      </c>
      <c r="F7672" t="s">
        <v>964</v>
      </c>
      <c r="G7672" t="s">
        <v>5370</v>
      </c>
      <c r="H7672" t="s">
        <v>9995</v>
      </c>
      <c r="I7672" t="s">
        <v>17437</v>
      </c>
      <c r="J7672" t="s">
        <v>18894</v>
      </c>
      <c r="K7672">
        <v>11203</v>
      </c>
      <c r="L7672" t="s">
        <v>18958</v>
      </c>
      <c r="M7672" t="s">
        <v>18960</v>
      </c>
      <c r="P7672" t="s">
        <v>26561</v>
      </c>
      <c r="R7672" t="s">
        <v>26586</v>
      </c>
      <c r="U7672" t="s">
        <v>26604</v>
      </c>
      <c r="W7672" t="s">
        <v>810</v>
      </c>
      <c r="X7672">
        <v>0</v>
      </c>
      <c r="Y7672" t="s">
        <v>26652</v>
      </c>
      <c r="AB7672" t="s">
        <v>26761</v>
      </c>
      <c r="AD7672" t="s">
        <v>37163</v>
      </c>
      <c r="AE7672">
        <v>0</v>
      </c>
      <c r="AH7672">
        <v>0</v>
      </c>
      <c r="AI7672">
        <v>2</v>
      </c>
      <c r="AJ7672">
        <v>1</v>
      </c>
      <c r="AK7672">
        <v>56.19</v>
      </c>
      <c r="AN7672" t="s">
        <v>45587</v>
      </c>
      <c r="AO7672">
        <v>11676</v>
      </c>
      <c r="AU7672">
        <v>0</v>
      </c>
      <c r="AW7672" t="s">
        <v>46851</v>
      </c>
      <c r="AX7672" t="s">
        <v>46897</v>
      </c>
    </row>
    <row r="7673" spans="1:50">
      <c r="A7673" s="1">
        <f>HYPERLINK("https://lsnyc.legalserver.org/matter/dynamic-profile/view/1881659","18-1881659")</f>
        <v>0</v>
      </c>
      <c r="B7673" t="s">
        <v>123</v>
      </c>
      <c r="C7673" t="s">
        <v>341</v>
      </c>
      <c r="D7673" t="s">
        <v>618</v>
      </c>
      <c r="E7673" t="s">
        <v>813</v>
      </c>
      <c r="F7673" t="s">
        <v>4019</v>
      </c>
      <c r="G7673" t="s">
        <v>8402</v>
      </c>
      <c r="H7673" t="s">
        <v>14876</v>
      </c>
      <c r="I7673" t="s">
        <v>17342</v>
      </c>
      <c r="J7673" t="s">
        <v>18894</v>
      </c>
      <c r="K7673">
        <v>11216</v>
      </c>
      <c r="L7673" t="s">
        <v>18958</v>
      </c>
      <c r="M7673" t="s">
        <v>18958</v>
      </c>
      <c r="N7673" t="s">
        <v>24410</v>
      </c>
      <c r="O7673" t="s">
        <v>26523</v>
      </c>
      <c r="P7673" t="s">
        <v>26560</v>
      </c>
      <c r="Q7673" t="s">
        <v>26568</v>
      </c>
      <c r="R7673" t="s">
        <v>26583</v>
      </c>
      <c r="U7673" t="s">
        <v>26604</v>
      </c>
      <c r="W7673" t="s">
        <v>810</v>
      </c>
      <c r="X7673">
        <v>0</v>
      </c>
      <c r="Y7673" t="s">
        <v>26652</v>
      </c>
      <c r="Z7673" t="s">
        <v>26669</v>
      </c>
      <c r="AA7673" t="s">
        <v>26678</v>
      </c>
      <c r="AB7673" t="s">
        <v>32378</v>
      </c>
      <c r="AE7673">
        <v>8</v>
      </c>
      <c r="AG7673" t="s">
        <v>19330</v>
      </c>
      <c r="AH7673">
        <v>5</v>
      </c>
      <c r="AI7673">
        <v>2</v>
      </c>
      <c r="AJ7673">
        <v>2</v>
      </c>
      <c r="AK7673">
        <v>239.04</v>
      </c>
      <c r="AN7673" t="s">
        <v>7439</v>
      </c>
      <c r="AO7673">
        <v>60000</v>
      </c>
      <c r="AQ7673" t="s">
        <v>46365</v>
      </c>
      <c r="AR7673" t="s">
        <v>46379</v>
      </c>
      <c r="AS7673" t="s">
        <v>46499</v>
      </c>
      <c r="AT7673" t="s">
        <v>46805</v>
      </c>
      <c r="AU7673">
        <v>10.1</v>
      </c>
      <c r="AV7673" t="s">
        <v>747</v>
      </c>
      <c r="AW7673" t="s">
        <v>46862</v>
      </c>
      <c r="AX7673" t="s">
        <v>46897</v>
      </c>
    </row>
    <row r="7674" spans="1:50">
      <c r="A7674" s="1">
        <f>HYPERLINK("https://lsnyc.legalserver.org/matter/dynamic-profile/view/1883892","18-1883892")</f>
        <v>0</v>
      </c>
      <c r="B7674" t="s">
        <v>128</v>
      </c>
      <c r="C7674" t="s">
        <v>340</v>
      </c>
      <c r="D7674" t="s">
        <v>669</v>
      </c>
      <c r="F7674" t="s">
        <v>4020</v>
      </c>
      <c r="G7674" t="s">
        <v>8403</v>
      </c>
      <c r="H7674" t="s">
        <v>14877</v>
      </c>
      <c r="I7674" t="s">
        <v>17388</v>
      </c>
      <c r="J7674" t="s">
        <v>18894</v>
      </c>
      <c r="K7674">
        <v>11207</v>
      </c>
      <c r="L7674" t="s">
        <v>18958</v>
      </c>
      <c r="M7674" t="s">
        <v>18960</v>
      </c>
      <c r="O7674" t="s">
        <v>26526</v>
      </c>
      <c r="P7674" t="s">
        <v>26563</v>
      </c>
      <c r="R7674" t="s">
        <v>26586</v>
      </c>
      <c r="S7674" t="s">
        <v>18959</v>
      </c>
      <c r="U7674" t="s">
        <v>26605</v>
      </c>
      <c r="V7674" t="s">
        <v>26610</v>
      </c>
      <c r="W7674" t="s">
        <v>810</v>
      </c>
      <c r="X7674">
        <v>0</v>
      </c>
      <c r="Y7674" t="s">
        <v>26652</v>
      </c>
      <c r="Z7674" t="s">
        <v>26659</v>
      </c>
      <c r="AB7674" t="s">
        <v>32379</v>
      </c>
      <c r="AD7674" t="s">
        <v>42785</v>
      </c>
      <c r="AE7674">
        <v>0</v>
      </c>
      <c r="AH7674">
        <v>0</v>
      </c>
      <c r="AI7674">
        <v>1</v>
      </c>
      <c r="AJ7674">
        <v>1</v>
      </c>
      <c r="AK7674">
        <v>30.84</v>
      </c>
      <c r="AN7674" t="s">
        <v>45587</v>
      </c>
      <c r="AO7674">
        <v>5076</v>
      </c>
      <c r="AU7674">
        <v>5.3</v>
      </c>
      <c r="AV7674" t="s">
        <v>804</v>
      </c>
      <c r="AW7674" t="s">
        <v>46862</v>
      </c>
      <c r="AX7674" t="s">
        <v>46897</v>
      </c>
    </row>
    <row r="7675" spans="1:50">
      <c r="A7675" s="1">
        <f>HYPERLINK("https://lsnyc.legalserver.org/matter/dynamic-profile/view/1884360","18-1884360")</f>
        <v>0</v>
      </c>
      <c r="B7675" t="s">
        <v>238</v>
      </c>
      <c r="C7675" t="s">
        <v>340</v>
      </c>
      <c r="D7675" t="s">
        <v>667</v>
      </c>
      <c r="F7675" t="s">
        <v>2151</v>
      </c>
      <c r="G7675" t="s">
        <v>5706</v>
      </c>
      <c r="H7675" t="s">
        <v>14878</v>
      </c>
      <c r="I7675" t="s">
        <v>17648</v>
      </c>
      <c r="J7675" t="s">
        <v>18894</v>
      </c>
      <c r="K7675">
        <v>11237</v>
      </c>
      <c r="L7675" t="s">
        <v>18958</v>
      </c>
      <c r="M7675" t="s">
        <v>18960</v>
      </c>
      <c r="O7675" t="s">
        <v>26528</v>
      </c>
      <c r="P7675" t="s">
        <v>26563</v>
      </c>
      <c r="R7675" t="s">
        <v>26586</v>
      </c>
      <c r="U7675" t="s">
        <v>26604</v>
      </c>
      <c r="W7675" t="s">
        <v>810</v>
      </c>
      <c r="X7675">
        <v>350</v>
      </c>
      <c r="Y7675" t="s">
        <v>26652</v>
      </c>
      <c r="Z7675" t="s">
        <v>26659</v>
      </c>
      <c r="AB7675" t="s">
        <v>32380</v>
      </c>
      <c r="AD7675" t="s">
        <v>42786</v>
      </c>
      <c r="AE7675">
        <v>6</v>
      </c>
      <c r="AF7675" t="s">
        <v>45541</v>
      </c>
      <c r="AH7675">
        <v>23</v>
      </c>
      <c r="AI7675">
        <v>1</v>
      </c>
      <c r="AJ7675">
        <v>0</v>
      </c>
      <c r="AK7675">
        <v>23.72</v>
      </c>
      <c r="AN7675" t="s">
        <v>7439</v>
      </c>
      <c r="AO7675">
        <v>2880</v>
      </c>
      <c r="AU7675">
        <v>1.5</v>
      </c>
      <c r="AV7675" t="s">
        <v>677</v>
      </c>
      <c r="AW7675" t="s">
        <v>46862</v>
      </c>
      <c r="AX7675" t="s">
        <v>46897</v>
      </c>
    </row>
    <row r="7676" spans="1:50">
      <c r="A7676" s="1">
        <f>HYPERLINK("https://lsnyc.legalserver.org/matter/dynamic-profile/view/1887858","19-1887858")</f>
        <v>0</v>
      </c>
      <c r="B7676" t="s">
        <v>296</v>
      </c>
      <c r="C7676" t="s">
        <v>340</v>
      </c>
      <c r="D7676" t="s">
        <v>573</v>
      </c>
      <c r="F7676" t="s">
        <v>3711</v>
      </c>
      <c r="G7676" t="s">
        <v>5563</v>
      </c>
      <c r="H7676" t="s">
        <v>14879</v>
      </c>
      <c r="I7676" t="s">
        <v>17469</v>
      </c>
      <c r="J7676" t="s">
        <v>18894</v>
      </c>
      <c r="K7676">
        <v>11213</v>
      </c>
      <c r="L7676" t="s">
        <v>18958</v>
      </c>
      <c r="M7676" t="s">
        <v>18960</v>
      </c>
      <c r="O7676" t="s">
        <v>18997</v>
      </c>
      <c r="P7676" t="s">
        <v>26565</v>
      </c>
      <c r="R7676" t="s">
        <v>26586</v>
      </c>
      <c r="U7676" t="s">
        <v>26605</v>
      </c>
      <c r="W7676" t="s">
        <v>810</v>
      </c>
      <c r="X7676">
        <v>1925</v>
      </c>
      <c r="Y7676" t="s">
        <v>26652</v>
      </c>
      <c r="Z7676" t="s">
        <v>26659</v>
      </c>
      <c r="AB7676" t="s">
        <v>32381</v>
      </c>
      <c r="AD7676" t="s">
        <v>42787</v>
      </c>
      <c r="AE7676">
        <v>0</v>
      </c>
      <c r="AH7676">
        <v>0</v>
      </c>
      <c r="AI7676">
        <v>1</v>
      </c>
      <c r="AJ7676">
        <v>3</v>
      </c>
      <c r="AK7676">
        <v>110.38</v>
      </c>
      <c r="AN7676" t="s">
        <v>7439</v>
      </c>
      <c r="AO7676">
        <v>27704.4</v>
      </c>
      <c r="AU7676">
        <v>0.5</v>
      </c>
      <c r="AV7676" t="s">
        <v>795</v>
      </c>
      <c r="AW7676" t="s">
        <v>46862</v>
      </c>
      <c r="AX7676" t="s">
        <v>46897</v>
      </c>
    </row>
    <row r="7677" spans="1:50">
      <c r="A7677" s="1">
        <f>HYPERLINK("https://lsnyc.legalserver.org/matter/dynamic-profile/view/1892126","19-1892126")</f>
        <v>0</v>
      </c>
      <c r="B7677" t="s">
        <v>123</v>
      </c>
      <c r="C7677" t="s">
        <v>341</v>
      </c>
      <c r="D7677" t="s">
        <v>758</v>
      </c>
      <c r="E7677" t="s">
        <v>813</v>
      </c>
      <c r="F7677" t="s">
        <v>2997</v>
      </c>
      <c r="G7677" t="s">
        <v>6893</v>
      </c>
      <c r="H7677" t="s">
        <v>12928</v>
      </c>
      <c r="I7677" t="s">
        <v>18099</v>
      </c>
      <c r="J7677" t="s">
        <v>18894</v>
      </c>
      <c r="K7677">
        <v>11225</v>
      </c>
      <c r="L7677" t="s">
        <v>18958</v>
      </c>
      <c r="M7677" t="s">
        <v>18960</v>
      </c>
      <c r="N7677" t="s">
        <v>24411</v>
      </c>
      <c r="O7677" t="s">
        <v>26524</v>
      </c>
      <c r="P7677" t="s">
        <v>26560</v>
      </c>
      <c r="Q7677" t="s">
        <v>26568</v>
      </c>
      <c r="R7677" t="s">
        <v>26588</v>
      </c>
      <c r="U7677" t="s">
        <v>26604</v>
      </c>
      <c r="V7677" t="s">
        <v>26610</v>
      </c>
      <c r="W7677" t="s">
        <v>810</v>
      </c>
      <c r="X7677">
        <v>896</v>
      </c>
      <c r="Y7677" t="s">
        <v>26652</v>
      </c>
      <c r="Z7677" t="s">
        <v>26659</v>
      </c>
      <c r="AA7677" t="s">
        <v>26678</v>
      </c>
      <c r="AB7677" t="s">
        <v>30283</v>
      </c>
      <c r="AD7677" t="s">
        <v>40421</v>
      </c>
      <c r="AE7677">
        <v>0</v>
      </c>
      <c r="AF7677" t="s">
        <v>45541</v>
      </c>
      <c r="AH7677">
        <v>8</v>
      </c>
      <c r="AI7677">
        <v>1</v>
      </c>
      <c r="AJ7677">
        <v>0</v>
      </c>
      <c r="AK7677">
        <v>111.05</v>
      </c>
      <c r="AN7677" t="s">
        <v>7439</v>
      </c>
      <c r="AO7677">
        <v>13869.6</v>
      </c>
      <c r="AR7677" t="s">
        <v>46380</v>
      </c>
      <c r="AS7677" t="s">
        <v>46499</v>
      </c>
      <c r="AT7677" t="s">
        <v>46556</v>
      </c>
      <c r="AU7677">
        <v>5.2</v>
      </c>
      <c r="AV7677" t="s">
        <v>761</v>
      </c>
      <c r="AW7677" t="s">
        <v>46862</v>
      </c>
      <c r="AX7677" t="s">
        <v>46897</v>
      </c>
    </row>
    <row r="7678" spans="1:50">
      <c r="A7678" s="1">
        <f>HYPERLINK("https://lsnyc.legalserver.org/matter/dynamic-profile/view/1892823","19-1892823")</f>
        <v>0</v>
      </c>
      <c r="B7678" t="s">
        <v>130</v>
      </c>
      <c r="C7678" t="s">
        <v>341</v>
      </c>
      <c r="D7678" t="s">
        <v>753</v>
      </c>
      <c r="E7678" t="s">
        <v>805</v>
      </c>
      <c r="F7678" t="s">
        <v>940</v>
      </c>
      <c r="G7678" t="s">
        <v>6001</v>
      </c>
      <c r="H7678" t="s">
        <v>14880</v>
      </c>
      <c r="I7678" t="s">
        <v>17299</v>
      </c>
      <c r="J7678" t="s">
        <v>18906</v>
      </c>
      <c r="K7678">
        <v>11373</v>
      </c>
      <c r="L7678" t="s">
        <v>18958</v>
      </c>
      <c r="M7678" t="s">
        <v>18958</v>
      </c>
      <c r="N7678" t="s">
        <v>24412</v>
      </c>
      <c r="O7678" t="s">
        <v>26523</v>
      </c>
      <c r="P7678" t="s">
        <v>26560</v>
      </c>
      <c r="Q7678" t="s">
        <v>26568</v>
      </c>
      <c r="R7678" t="s">
        <v>26585</v>
      </c>
      <c r="S7678" t="s">
        <v>18959</v>
      </c>
      <c r="U7678" t="s">
        <v>26604</v>
      </c>
      <c r="V7678" t="s">
        <v>26609</v>
      </c>
      <c r="W7678" t="s">
        <v>810</v>
      </c>
      <c r="X7678">
        <v>1674.79</v>
      </c>
      <c r="Y7678" t="s">
        <v>26653</v>
      </c>
      <c r="Z7678" t="s">
        <v>26670</v>
      </c>
      <c r="AA7678" t="s">
        <v>26678</v>
      </c>
      <c r="AB7678" t="s">
        <v>32382</v>
      </c>
      <c r="AD7678" t="s">
        <v>42788</v>
      </c>
      <c r="AE7678">
        <v>112</v>
      </c>
      <c r="AF7678" t="s">
        <v>45541</v>
      </c>
      <c r="AG7678" t="s">
        <v>19330</v>
      </c>
      <c r="AH7678">
        <v>21</v>
      </c>
      <c r="AI7678">
        <v>2</v>
      </c>
      <c r="AJ7678">
        <v>2</v>
      </c>
      <c r="AK7678">
        <v>178.64</v>
      </c>
      <c r="AN7678" t="s">
        <v>45581</v>
      </c>
      <c r="AO7678">
        <v>46000</v>
      </c>
      <c r="AQ7678" t="s">
        <v>46362</v>
      </c>
      <c r="AR7678" t="s">
        <v>46379</v>
      </c>
      <c r="AS7678" t="s">
        <v>46499</v>
      </c>
      <c r="AT7678" t="s">
        <v>46781</v>
      </c>
      <c r="AU7678">
        <v>6.8</v>
      </c>
      <c r="AV7678" t="s">
        <v>816</v>
      </c>
      <c r="AW7678" t="s">
        <v>130</v>
      </c>
      <c r="AX7678" t="s">
        <v>46897</v>
      </c>
    </row>
    <row r="7679" spans="1:50">
      <c r="A7679" s="1">
        <f>HYPERLINK("https://lsnyc.legalserver.org/matter/dynamic-profile/view/1893185","19-1893185")</f>
        <v>0</v>
      </c>
      <c r="B7679" t="s">
        <v>101</v>
      </c>
      <c r="C7679" t="s">
        <v>340</v>
      </c>
      <c r="D7679" t="s">
        <v>759</v>
      </c>
      <c r="F7679" t="s">
        <v>1706</v>
      </c>
      <c r="G7679" t="s">
        <v>7275</v>
      </c>
      <c r="H7679" t="s">
        <v>12972</v>
      </c>
      <c r="I7679" t="s">
        <v>17347</v>
      </c>
      <c r="J7679" t="s">
        <v>18894</v>
      </c>
      <c r="K7679">
        <v>11230</v>
      </c>
      <c r="L7679" t="s">
        <v>18958</v>
      </c>
      <c r="M7679" t="s">
        <v>18958</v>
      </c>
      <c r="N7679" t="s">
        <v>22219</v>
      </c>
      <c r="O7679" t="s">
        <v>26526</v>
      </c>
      <c r="P7679" t="s">
        <v>26560</v>
      </c>
      <c r="R7679" t="s">
        <v>26586</v>
      </c>
      <c r="U7679" t="s">
        <v>26604</v>
      </c>
      <c r="W7679" t="s">
        <v>810</v>
      </c>
      <c r="X7679">
        <v>865.78</v>
      </c>
      <c r="Y7679" t="s">
        <v>26652</v>
      </c>
      <c r="Z7679" t="s">
        <v>26659</v>
      </c>
      <c r="AB7679" t="s">
        <v>30322</v>
      </c>
      <c r="AD7679" t="s">
        <v>40469</v>
      </c>
      <c r="AE7679">
        <v>34</v>
      </c>
      <c r="AG7679" t="s">
        <v>45559</v>
      </c>
      <c r="AH7679">
        <v>30</v>
      </c>
      <c r="AI7679">
        <v>2</v>
      </c>
      <c r="AJ7679">
        <v>0</v>
      </c>
      <c r="AK7679">
        <v>36.62</v>
      </c>
      <c r="AN7679" t="s">
        <v>7439</v>
      </c>
      <c r="AO7679">
        <v>6192</v>
      </c>
      <c r="AU7679">
        <v>7.9</v>
      </c>
      <c r="AV7679" t="s">
        <v>814</v>
      </c>
      <c r="AW7679" t="s">
        <v>46862</v>
      </c>
      <c r="AX7679" t="s">
        <v>46897</v>
      </c>
    </row>
    <row r="7680" spans="1:50">
      <c r="A7680" s="1">
        <f>HYPERLINK("https://lsnyc.legalserver.org/matter/dynamic-profile/view/1893401","19-1893401")</f>
        <v>0</v>
      </c>
      <c r="B7680" t="s">
        <v>283</v>
      </c>
      <c r="C7680" t="s">
        <v>340</v>
      </c>
      <c r="D7680" t="s">
        <v>657</v>
      </c>
      <c r="F7680" t="s">
        <v>4021</v>
      </c>
      <c r="G7680" t="s">
        <v>8404</v>
      </c>
      <c r="H7680" t="s">
        <v>14881</v>
      </c>
      <c r="I7680" t="s">
        <v>17466</v>
      </c>
      <c r="J7680" t="s">
        <v>18894</v>
      </c>
      <c r="K7680">
        <v>11219</v>
      </c>
      <c r="L7680" t="s">
        <v>18958</v>
      </c>
      <c r="M7680" t="s">
        <v>18958</v>
      </c>
      <c r="O7680" t="s">
        <v>26526</v>
      </c>
      <c r="P7680" t="s">
        <v>26564</v>
      </c>
      <c r="R7680" t="s">
        <v>26586</v>
      </c>
      <c r="U7680" t="s">
        <v>26607</v>
      </c>
      <c r="W7680" t="s">
        <v>810</v>
      </c>
      <c r="X7680">
        <v>796</v>
      </c>
      <c r="Y7680" t="s">
        <v>26652</v>
      </c>
      <c r="Z7680" t="s">
        <v>26664</v>
      </c>
      <c r="AB7680" t="s">
        <v>32383</v>
      </c>
      <c r="AD7680" t="s">
        <v>42789</v>
      </c>
      <c r="AE7680">
        <v>36</v>
      </c>
      <c r="AH7680">
        <v>0</v>
      </c>
      <c r="AI7680">
        <v>1</v>
      </c>
      <c r="AJ7680">
        <v>0</v>
      </c>
      <c r="AK7680">
        <v>0</v>
      </c>
      <c r="AN7680" t="s">
        <v>7439</v>
      </c>
      <c r="AO7680">
        <v>0</v>
      </c>
      <c r="AU7680">
        <v>0</v>
      </c>
      <c r="AW7680" t="s">
        <v>46853</v>
      </c>
      <c r="AX7680" t="s">
        <v>46897</v>
      </c>
    </row>
    <row r="7681" spans="1:50">
      <c r="A7681" s="1">
        <f>HYPERLINK("https://lsnyc.legalserver.org/matter/dynamic-profile/view/1893036","19-1893036")</f>
        <v>0</v>
      </c>
      <c r="B7681" t="s">
        <v>140</v>
      </c>
      <c r="C7681" t="s">
        <v>340</v>
      </c>
      <c r="D7681" t="s">
        <v>657</v>
      </c>
      <c r="F7681" t="s">
        <v>4022</v>
      </c>
      <c r="G7681" t="s">
        <v>8405</v>
      </c>
      <c r="H7681" t="s">
        <v>14882</v>
      </c>
      <c r="I7681" t="s">
        <v>17288</v>
      </c>
      <c r="J7681" t="s">
        <v>18894</v>
      </c>
      <c r="K7681">
        <v>11203</v>
      </c>
      <c r="L7681" t="s">
        <v>18958</v>
      </c>
      <c r="M7681" t="s">
        <v>18958</v>
      </c>
      <c r="N7681" t="s">
        <v>24413</v>
      </c>
      <c r="O7681" t="s">
        <v>26523</v>
      </c>
      <c r="P7681" t="s">
        <v>26560</v>
      </c>
      <c r="R7681" t="s">
        <v>26586</v>
      </c>
      <c r="S7681" t="s">
        <v>18959</v>
      </c>
      <c r="U7681" t="s">
        <v>26604</v>
      </c>
      <c r="V7681" t="s">
        <v>26610</v>
      </c>
      <c r="W7681" t="s">
        <v>810</v>
      </c>
      <c r="X7681">
        <v>1300.14</v>
      </c>
      <c r="Y7681" t="s">
        <v>26652</v>
      </c>
      <c r="Z7681" t="s">
        <v>26659</v>
      </c>
      <c r="AB7681" t="s">
        <v>32384</v>
      </c>
      <c r="AD7681" t="s">
        <v>42790</v>
      </c>
      <c r="AE7681">
        <v>108</v>
      </c>
      <c r="AF7681" t="s">
        <v>45541</v>
      </c>
      <c r="AG7681" t="s">
        <v>19330</v>
      </c>
      <c r="AH7681">
        <v>16</v>
      </c>
      <c r="AI7681">
        <v>1</v>
      </c>
      <c r="AJ7681">
        <v>0</v>
      </c>
      <c r="AK7681">
        <v>168.13</v>
      </c>
      <c r="AN7681" t="s">
        <v>7439</v>
      </c>
      <c r="AO7681">
        <v>21000</v>
      </c>
      <c r="AU7681">
        <v>12.7</v>
      </c>
      <c r="AV7681" t="s">
        <v>830</v>
      </c>
      <c r="AW7681" t="s">
        <v>140</v>
      </c>
      <c r="AX7681" t="s">
        <v>46897</v>
      </c>
    </row>
    <row r="7682" spans="1:50">
      <c r="A7682" s="1">
        <f>HYPERLINK("https://lsnyc.legalserver.org/matter/dynamic-profile/view/1894415","19-1894415")</f>
        <v>0</v>
      </c>
      <c r="B7682" t="s">
        <v>101</v>
      </c>
      <c r="C7682" t="s">
        <v>340</v>
      </c>
      <c r="D7682" t="s">
        <v>775</v>
      </c>
      <c r="F7682" t="s">
        <v>902</v>
      </c>
      <c r="G7682" t="s">
        <v>7582</v>
      </c>
      <c r="H7682" t="s">
        <v>13538</v>
      </c>
      <c r="I7682" t="s">
        <v>17331</v>
      </c>
      <c r="J7682" t="s">
        <v>18894</v>
      </c>
      <c r="K7682">
        <v>11223</v>
      </c>
      <c r="L7682" t="s">
        <v>18958</v>
      </c>
      <c r="M7682" t="s">
        <v>18958</v>
      </c>
      <c r="N7682" t="s">
        <v>22869</v>
      </c>
      <c r="O7682" t="s">
        <v>26534</v>
      </c>
      <c r="P7682" t="s">
        <v>26561</v>
      </c>
      <c r="R7682" t="s">
        <v>26586</v>
      </c>
      <c r="U7682" t="s">
        <v>26604</v>
      </c>
      <c r="W7682" t="s">
        <v>810</v>
      </c>
      <c r="X7682">
        <v>1208.92</v>
      </c>
      <c r="Y7682" t="s">
        <v>26652</v>
      </c>
      <c r="Z7682" t="s">
        <v>26659</v>
      </c>
      <c r="AB7682" t="s">
        <v>30899</v>
      </c>
      <c r="AD7682" t="s">
        <v>41132</v>
      </c>
      <c r="AE7682">
        <v>6</v>
      </c>
      <c r="AG7682" t="s">
        <v>19330</v>
      </c>
      <c r="AH7682">
        <v>11</v>
      </c>
      <c r="AI7682">
        <v>2</v>
      </c>
      <c r="AJ7682">
        <v>0</v>
      </c>
      <c r="AK7682">
        <v>177.41</v>
      </c>
      <c r="AO7682">
        <v>30000</v>
      </c>
      <c r="AU7682">
        <v>11.7</v>
      </c>
      <c r="AV7682" t="s">
        <v>807</v>
      </c>
      <c r="AW7682" t="s">
        <v>46862</v>
      </c>
      <c r="AX7682" t="s">
        <v>46897</v>
      </c>
    </row>
    <row r="7683" spans="1:50">
      <c r="A7683" s="1">
        <f>HYPERLINK("https://lsnyc.legalserver.org/matter/dynamic-profile/view/1895086","19-1895086")</f>
        <v>0</v>
      </c>
      <c r="B7683" t="s">
        <v>180</v>
      </c>
      <c r="C7683" t="s">
        <v>340</v>
      </c>
      <c r="D7683" t="s">
        <v>695</v>
      </c>
      <c r="F7683" t="s">
        <v>964</v>
      </c>
      <c r="G7683" t="s">
        <v>8406</v>
      </c>
      <c r="H7683" t="s">
        <v>12604</v>
      </c>
      <c r="I7683" t="s">
        <v>18329</v>
      </c>
      <c r="J7683" t="s">
        <v>18894</v>
      </c>
      <c r="K7683">
        <v>11225</v>
      </c>
      <c r="L7683" t="s">
        <v>18958</v>
      </c>
      <c r="M7683" t="s">
        <v>18958</v>
      </c>
      <c r="N7683" t="s">
        <v>24414</v>
      </c>
      <c r="P7683" t="s">
        <v>26560</v>
      </c>
      <c r="R7683" t="s">
        <v>26586</v>
      </c>
      <c r="U7683" t="s">
        <v>26604</v>
      </c>
      <c r="W7683" t="s">
        <v>810</v>
      </c>
      <c r="X7683">
        <v>1074</v>
      </c>
      <c r="Y7683" t="s">
        <v>26652</v>
      </c>
      <c r="Z7683" t="s">
        <v>26659</v>
      </c>
      <c r="AB7683" t="s">
        <v>32385</v>
      </c>
      <c r="AD7683" t="s">
        <v>42791</v>
      </c>
      <c r="AE7683">
        <v>55</v>
      </c>
      <c r="AF7683" t="s">
        <v>45541</v>
      </c>
      <c r="AH7683">
        <v>22</v>
      </c>
      <c r="AI7683">
        <v>2</v>
      </c>
      <c r="AJ7683">
        <v>0</v>
      </c>
      <c r="AK7683">
        <v>235.36</v>
      </c>
      <c r="AN7683" t="s">
        <v>7439</v>
      </c>
      <c r="AO7683">
        <v>39800</v>
      </c>
      <c r="AU7683">
        <v>0.7</v>
      </c>
      <c r="AV7683" t="s">
        <v>695</v>
      </c>
      <c r="AW7683" t="s">
        <v>46862</v>
      </c>
      <c r="AX7683" t="s">
        <v>46897</v>
      </c>
    </row>
    <row r="7684" spans="1:50">
      <c r="A7684" s="1">
        <f>HYPERLINK("https://lsnyc.legalserver.org/matter/dynamic-profile/view/1895096","19-1895096")</f>
        <v>0</v>
      </c>
      <c r="B7684" t="s">
        <v>129</v>
      </c>
      <c r="C7684" t="s">
        <v>340</v>
      </c>
      <c r="D7684" t="s">
        <v>695</v>
      </c>
      <c r="F7684" t="s">
        <v>1300</v>
      </c>
      <c r="G7684" t="s">
        <v>5720</v>
      </c>
      <c r="H7684" t="s">
        <v>14883</v>
      </c>
      <c r="I7684" t="s">
        <v>17574</v>
      </c>
      <c r="J7684" t="s">
        <v>18894</v>
      </c>
      <c r="K7684">
        <v>11238</v>
      </c>
      <c r="L7684" t="s">
        <v>18958</v>
      </c>
      <c r="M7684" t="s">
        <v>18958</v>
      </c>
      <c r="P7684" t="s">
        <v>26564</v>
      </c>
      <c r="R7684" t="s">
        <v>26586</v>
      </c>
      <c r="U7684" t="s">
        <v>26604</v>
      </c>
      <c r="W7684" t="s">
        <v>810</v>
      </c>
      <c r="X7684">
        <v>935.79</v>
      </c>
      <c r="Y7684" t="s">
        <v>26652</v>
      </c>
      <c r="AB7684" t="s">
        <v>32386</v>
      </c>
      <c r="AE7684">
        <v>38</v>
      </c>
      <c r="AH7684">
        <v>-9</v>
      </c>
      <c r="AI7684">
        <v>1</v>
      </c>
      <c r="AJ7684">
        <v>0</v>
      </c>
      <c r="AK7684">
        <v>112.09</v>
      </c>
      <c r="AN7684" t="s">
        <v>7439</v>
      </c>
      <c r="AO7684">
        <v>14000</v>
      </c>
      <c r="AU7684">
        <v>2.55</v>
      </c>
      <c r="AV7684" t="s">
        <v>793</v>
      </c>
      <c r="AW7684" t="s">
        <v>46862</v>
      </c>
      <c r="AX7684" t="s">
        <v>46897</v>
      </c>
    </row>
    <row r="7685" spans="1:50">
      <c r="A7685" s="1">
        <f>HYPERLINK("https://lsnyc.legalserver.org/matter/dynamic-profile/view/1895107","19-1895107")</f>
        <v>0</v>
      </c>
      <c r="B7685" t="s">
        <v>172</v>
      </c>
      <c r="C7685" t="s">
        <v>340</v>
      </c>
      <c r="D7685" t="s">
        <v>695</v>
      </c>
      <c r="F7685" t="s">
        <v>876</v>
      </c>
      <c r="G7685" t="s">
        <v>5147</v>
      </c>
      <c r="H7685" t="s">
        <v>13497</v>
      </c>
      <c r="I7685" t="s">
        <v>18187</v>
      </c>
      <c r="J7685" t="s">
        <v>18894</v>
      </c>
      <c r="K7685">
        <v>11230</v>
      </c>
      <c r="L7685" t="s">
        <v>18958</v>
      </c>
      <c r="M7685" t="s">
        <v>18958</v>
      </c>
      <c r="N7685" t="s">
        <v>24415</v>
      </c>
      <c r="O7685" t="s">
        <v>26557</v>
      </c>
      <c r="P7685" t="s">
        <v>26560</v>
      </c>
      <c r="R7685" t="s">
        <v>26586</v>
      </c>
      <c r="U7685" t="s">
        <v>26604</v>
      </c>
      <c r="W7685" t="s">
        <v>810</v>
      </c>
      <c r="X7685">
        <v>1065</v>
      </c>
      <c r="Y7685" t="s">
        <v>26652</v>
      </c>
      <c r="Z7685" t="s">
        <v>26659</v>
      </c>
      <c r="AB7685" t="s">
        <v>30851</v>
      </c>
      <c r="AD7685" t="s">
        <v>41080</v>
      </c>
      <c r="AE7685">
        <v>0</v>
      </c>
      <c r="AG7685" t="s">
        <v>19330</v>
      </c>
      <c r="AH7685">
        <v>32</v>
      </c>
      <c r="AI7685">
        <v>1</v>
      </c>
      <c r="AJ7685">
        <v>2</v>
      </c>
      <c r="AK7685">
        <v>57.38</v>
      </c>
      <c r="AN7685" t="s">
        <v>7439</v>
      </c>
      <c r="AO7685">
        <v>12240</v>
      </c>
      <c r="AU7685">
        <v>5</v>
      </c>
      <c r="AV7685" t="s">
        <v>781</v>
      </c>
      <c r="AW7685" t="s">
        <v>46862</v>
      </c>
      <c r="AX7685" t="s">
        <v>46897</v>
      </c>
    </row>
    <row r="7686" spans="1:50">
      <c r="A7686" s="1">
        <f>HYPERLINK("https://lsnyc.legalserver.org/matter/dynamic-profile/view/1895327","19-1895327")</f>
        <v>0</v>
      </c>
      <c r="B7686" t="s">
        <v>180</v>
      </c>
      <c r="C7686" t="s">
        <v>340</v>
      </c>
      <c r="D7686" t="s">
        <v>779</v>
      </c>
      <c r="F7686" t="s">
        <v>4023</v>
      </c>
      <c r="G7686" t="s">
        <v>8407</v>
      </c>
      <c r="H7686" t="s">
        <v>14884</v>
      </c>
      <c r="I7686" t="s">
        <v>18486</v>
      </c>
      <c r="J7686" t="s">
        <v>18894</v>
      </c>
      <c r="K7686">
        <v>11225</v>
      </c>
      <c r="L7686" t="s">
        <v>18958</v>
      </c>
      <c r="M7686" t="s">
        <v>18958</v>
      </c>
      <c r="N7686" t="s">
        <v>24416</v>
      </c>
      <c r="O7686" t="s">
        <v>26523</v>
      </c>
      <c r="P7686" t="s">
        <v>26560</v>
      </c>
      <c r="R7686" t="s">
        <v>26588</v>
      </c>
      <c r="S7686" t="s">
        <v>18959</v>
      </c>
      <c r="U7686" t="s">
        <v>26604</v>
      </c>
      <c r="W7686" t="s">
        <v>810</v>
      </c>
      <c r="X7686">
        <v>862</v>
      </c>
      <c r="Y7686" t="s">
        <v>26652</v>
      </c>
      <c r="Z7686" t="s">
        <v>26669</v>
      </c>
      <c r="AB7686" t="s">
        <v>32387</v>
      </c>
      <c r="AD7686" t="s">
        <v>42792</v>
      </c>
      <c r="AE7686">
        <v>96</v>
      </c>
      <c r="AH7686">
        <v>30</v>
      </c>
      <c r="AI7686">
        <v>2</v>
      </c>
      <c r="AJ7686">
        <v>0</v>
      </c>
      <c r="AK7686">
        <v>161.8</v>
      </c>
      <c r="AN7686" t="s">
        <v>7439</v>
      </c>
      <c r="AO7686">
        <v>27360</v>
      </c>
      <c r="AU7686">
        <v>6</v>
      </c>
      <c r="AV7686" t="s">
        <v>828</v>
      </c>
      <c r="AW7686" t="s">
        <v>281</v>
      </c>
      <c r="AX7686" t="s">
        <v>46897</v>
      </c>
    </row>
    <row r="7687" spans="1:50">
      <c r="A7687" s="1">
        <f>HYPERLINK("https://lsnyc.legalserver.org/matter/dynamic-profile/view/1895425","19-1895425")</f>
        <v>0</v>
      </c>
      <c r="B7687" t="s">
        <v>53</v>
      </c>
      <c r="C7687" t="s">
        <v>341</v>
      </c>
      <c r="D7687" t="s">
        <v>781</v>
      </c>
      <c r="E7687" t="s">
        <v>808</v>
      </c>
      <c r="F7687" t="s">
        <v>1367</v>
      </c>
      <c r="G7687" t="s">
        <v>5047</v>
      </c>
      <c r="H7687" t="s">
        <v>14885</v>
      </c>
      <c r="I7687" t="s">
        <v>17366</v>
      </c>
      <c r="J7687" t="s">
        <v>18892</v>
      </c>
      <c r="K7687">
        <v>10469</v>
      </c>
      <c r="L7687" t="s">
        <v>18958</v>
      </c>
      <c r="M7687" t="s">
        <v>18958</v>
      </c>
      <c r="N7687" t="s">
        <v>24417</v>
      </c>
      <c r="O7687" t="s">
        <v>26523</v>
      </c>
      <c r="P7687" t="s">
        <v>26564</v>
      </c>
      <c r="Q7687" t="s">
        <v>26570</v>
      </c>
      <c r="R7687" t="s">
        <v>26577</v>
      </c>
      <c r="S7687" t="s">
        <v>18959</v>
      </c>
      <c r="U7687" t="s">
        <v>26605</v>
      </c>
      <c r="V7687" t="s">
        <v>26612</v>
      </c>
      <c r="W7687" t="s">
        <v>810</v>
      </c>
      <c r="X7687">
        <v>991</v>
      </c>
      <c r="Y7687" t="s">
        <v>26650</v>
      </c>
      <c r="Z7687" t="s">
        <v>26668</v>
      </c>
      <c r="AA7687" t="s">
        <v>26683</v>
      </c>
      <c r="AB7687" t="s">
        <v>31689</v>
      </c>
      <c r="AD7687" t="s">
        <v>42793</v>
      </c>
      <c r="AE7687">
        <v>528</v>
      </c>
      <c r="AF7687" t="s">
        <v>45549</v>
      </c>
      <c r="AG7687" t="s">
        <v>19330</v>
      </c>
      <c r="AH7687">
        <v>15</v>
      </c>
      <c r="AI7687">
        <v>2</v>
      </c>
      <c r="AJ7687">
        <v>2</v>
      </c>
      <c r="AK7687">
        <v>196.89</v>
      </c>
      <c r="AN7687" t="s">
        <v>7439</v>
      </c>
      <c r="AO7687">
        <v>50700</v>
      </c>
      <c r="AU7687">
        <v>4.35</v>
      </c>
      <c r="AV7687" t="s">
        <v>808</v>
      </c>
      <c r="AW7687" t="s">
        <v>334</v>
      </c>
      <c r="AX7687" t="s">
        <v>46897</v>
      </c>
    </row>
    <row r="7688" spans="1:50">
      <c r="A7688" s="1">
        <f>HYPERLINK("https://lsnyc.legalserver.org/matter/dynamic-profile/view/1895499","19-1895499")</f>
        <v>0</v>
      </c>
      <c r="B7688" t="s">
        <v>202</v>
      </c>
      <c r="C7688" t="s">
        <v>340</v>
      </c>
      <c r="D7688" t="s">
        <v>781</v>
      </c>
      <c r="F7688" t="s">
        <v>3811</v>
      </c>
      <c r="G7688" t="s">
        <v>7893</v>
      </c>
      <c r="H7688" t="s">
        <v>12411</v>
      </c>
      <c r="I7688" t="s">
        <v>17496</v>
      </c>
      <c r="J7688" t="s">
        <v>18894</v>
      </c>
      <c r="K7688">
        <v>11225</v>
      </c>
      <c r="L7688" t="s">
        <v>18958</v>
      </c>
      <c r="M7688" t="s">
        <v>18958</v>
      </c>
      <c r="N7688" t="s">
        <v>24418</v>
      </c>
      <c r="O7688" t="s">
        <v>26523</v>
      </c>
      <c r="P7688" t="s">
        <v>26563</v>
      </c>
      <c r="R7688" t="s">
        <v>26588</v>
      </c>
      <c r="U7688" t="s">
        <v>26604</v>
      </c>
      <c r="W7688" t="s">
        <v>810</v>
      </c>
      <c r="X7688">
        <v>868</v>
      </c>
      <c r="Y7688" t="s">
        <v>26652</v>
      </c>
      <c r="Z7688" t="s">
        <v>26669</v>
      </c>
      <c r="AB7688" t="s">
        <v>32388</v>
      </c>
      <c r="AE7688">
        <v>73</v>
      </c>
      <c r="AG7688" t="s">
        <v>45556</v>
      </c>
      <c r="AH7688">
        <v>40</v>
      </c>
      <c r="AI7688">
        <v>3</v>
      </c>
      <c r="AJ7688">
        <v>0</v>
      </c>
      <c r="AK7688">
        <v>88.09999999999999</v>
      </c>
      <c r="AN7688" t="s">
        <v>7439</v>
      </c>
      <c r="AO7688">
        <v>18792</v>
      </c>
      <c r="AU7688">
        <v>9.550000000000001</v>
      </c>
      <c r="AV7688" t="s">
        <v>814</v>
      </c>
      <c r="AW7688" t="s">
        <v>46862</v>
      </c>
      <c r="AX7688" t="s">
        <v>46897</v>
      </c>
    </row>
    <row r="7689" spans="1:50">
      <c r="A7689" s="1">
        <f>HYPERLINK("https://lsnyc.legalserver.org/matter/dynamic-profile/view/1895487","19-1895487")</f>
        <v>0</v>
      </c>
      <c r="B7689" t="s">
        <v>283</v>
      </c>
      <c r="C7689" t="s">
        <v>340</v>
      </c>
      <c r="D7689" t="s">
        <v>781</v>
      </c>
      <c r="F7689" t="s">
        <v>4024</v>
      </c>
      <c r="G7689" t="s">
        <v>5177</v>
      </c>
      <c r="H7689" t="s">
        <v>14886</v>
      </c>
      <c r="I7689">
        <v>2</v>
      </c>
      <c r="J7689" t="s">
        <v>18894</v>
      </c>
      <c r="K7689">
        <v>11212</v>
      </c>
      <c r="L7689" t="s">
        <v>18958</v>
      </c>
      <c r="M7689" t="s">
        <v>18958</v>
      </c>
      <c r="N7689" t="s">
        <v>24419</v>
      </c>
      <c r="O7689" t="s">
        <v>26523</v>
      </c>
      <c r="P7689" t="s">
        <v>26560</v>
      </c>
      <c r="R7689" t="s">
        <v>26586</v>
      </c>
      <c r="U7689" t="s">
        <v>26604</v>
      </c>
      <c r="W7689" t="s">
        <v>810</v>
      </c>
      <c r="X7689">
        <v>22002</v>
      </c>
      <c r="Y7689" t="s">
        <v>26652</v>
      </c>
      <c r="Z7689" t="s">
        <v>26664</v>
      </c>
      <c r="AB7689" t="s">
        <v>32389</v>
      </c>
      <c r="AC7689" t="s">
        <v>36371</v>
      </c>
      <c r="AD7689" t="s">
        <v>42794</v>
      </c>
      <c r="AE7689">
        <v>2</v>
      </c>
      <c r="AH7689">
        <v>-1</v>
      </c>
      <c r="AI7689">
        <v>1</v>
      </c>
      <c r="AJ7689">
        <v>0</v>
      </c>
      <c r="AK7689">
        <v>0</v>
      </c>
      <c r="AN7689" t="s">
        <v>7439</v>
      </c>
      <c r="AO7689">
        <v>0</v>
      </c>
      <c r="AU7689">
        <v>0</v>
      </c>
      <c r="AW7689" t="s">
        <v>46853</v>
      </c>
      <c r="AX7689" t="s">
        <v>46897</v>
      </c>
    </row>
    <row r="7690" spans="1:50">
      <c r="A7690" s="1">
        <f>HYPERLINK("https://lsnyc.legalserver.org/matter/dynamic-profile/view/1895510","19-1895510")</f>
        <v>0</v>
      </c>
      <c r="B7690" t="s">
        <v>283</v>
      </c>
      <c r="C7690" t="s">
        <v>340</v>
      </c>
      <c r="D7690" t="s">
        <v>781</v>
      </c>
      <c r="F7690" t="s">
        <v>1221</v>
      </c>
      <c r="G7690" t="s">
        <v>2975</v>
      </c>
      <c r="H7690" t="s">
        <v>14887</v>
      </c>
      <c r="J7690" t="s">
        <v>18894</v>
      </c>
      <c r="K7690">
        <v>11204</v>
      </c>
      <c r="L7690" t="s">
        <v>18958</v>
      </c>
      <c r="M7690" t="s">
        <v>18958</v>
      </c>
      <c r="N7690" t="s">
        <v>24420</v>
      </c>
      <c r="O7690" t="s">
        <v>18997</v>
      </c>
      <c r="P7690" t="s">
        <v>26560</v>
      </c>
      <c r="R7690" t="s">
        <v>26586</v>
      </c>
      <c r="U7690" t="s">
        <v>26607</v>
      </c>
      <c r="W7690" t="s">
        <v>810</v>
      </c>
      <c r="X7690">
        <v>1350</v>
      </c>
      <c r="Y7690" t="s">
        <v>26652</v>
      </c>
      <c r="Z7690" t="s">
        <v>26664</v>
      </c>
      <c r="AB7690" t="s">
        <v>32390</v>
      </c>
      <c r="AD7690" t="s">
        <v>42795</v>
      </c>
      <c r="AE7690">
        <v>3</v>
      </c>
      <c r="AG7690" t="s">
        <v>19330</v>
      </c>
      <c r="AH7690">
        <v>2</v>
      </c>
      <c r="AI7690">
        <v>2</v>
      </c>
      <c r="AJ7690">
        <v>0</v>
      </c>
      <c r="AK7690">
        <v>56.84</v>
      </c>
      <c r="AN7690" t="s">
        <v>7439</v>
      </c>
      <c r="AO7690">
        <v>9612</v>
      </c>
      <c r="AU7690">
        <v>0</v>
      </c>
      <c r="AW7690" t="s">
        <v>46853</v>
      </c>
      <c r="AX7690" t="s">
        <v>46897</v>
      </c>
    </row>
    <row r="7691" spans="1:50">
      <c r="A7691" s="1">
        <f>HYPERLINK("https://lsnyc.legalserver.org/matter/dynamic-profile/view/1895504","19-1895504")</f>
        <v>0</v>
      </c>
      <c r="B7691" t="s">
        <v>283</v>
      </c>
      <c r="C7691" t="s">
        <v>340</v>
      </c>
      <c r="D7691" t="s">
        <v>781</v>
      </c>
      <c r="F7691" t="s">
        <v>4025</v>
      </c>
      <c r="G7691" t="s">
        <v>8408</v>
      </c>
      <c r="H7691" t="s">
        <v>14888</v>
      </c>
      <c r="I7691" t="s">
        <v>18317</v>
      </c>
      <c r="J7691" t="s">
        <v>18894</v>
      </c>
      <c r="K7691">
        <v>11213</v>
      </c>
      <c r="L7691" t="s">
        <v>18958</v>
      </c>
      <c r="M7691" t="s">
        <v>18958</v>
      </c>
      <c r="N7691" t="s">
        <v>24421</v>
      </c>
      <c r="O7691" t="s">
        <v>26523</v>
      </c>
      <c r="P7691" t="s">
        <v>26560</v>
      </c>
      <c r="R7691" t="s">
        <v>26586</v>
      </c>
      <c r="U7691" t="s">
        <v>26604</v>
      </c>
      <c r="W7691" t="s">
        <v>810</v>
      </c>
      <c r="X7691">
        <v>1123</v>
      </c>
      <c r="Y7691" t="s">
        <v>26652</v>
      </c>
      <c r="Z7691" t="s">
        <v>26664</v>
      </c>
      <c r="AB7691" t="s">
        <v>32391</v>
      </c>
      <c r="AD7691" t="s">
        <v>42796</v>
      </c>
      <c r="AE7691">
        <v>8</v>
      </c>
      <c r="AG7691" t="s">
        <v>19330</v>
      </c>
      <c r="AH7691">
        <v>-1</v>
      </c>
      <c r="AI7691">
        <v>1</v>
      </c>
      <c r="AJ7691">
        <v>0</v>
      </c>
      <c r="AK7691">
        <v>96.08</v>
      </c>
      <c r="AN7691" t="s">
        <v>7439</v>
      </c>
      <c r="AO7691">
        <v>12000</v>
      </c>
      <c r="AU7691">
        <v>0</v>
      </c>
      <c r="AW7691" t="s">
        <v>46853</v>
      </c>
      <c r="AX7691" t="s">
        <v>46897</v>
      </c>
    </row>
    <row r="7692" spans="1:50">
      <c r="A7692" s="1">
        <f>HYPERLINK("https://lsnyc.legalserver.org/matter/dynamic-profile/view/1895482","19-1895482")</f>
        <v>0</v>
      </c>
      <c r="B7692" t="s">
        <v>283</v>
      </c>
      <c r="C7692" t="s">
        <v>340</v>
      </c>
      <c r="D7692" t="s">
        <v>781</v>
      </c>
      <c r="F7692" t="s">
        <v>2757</v>
      </c>
      <c r="G7692" t="s">
        <v>5410</v>
      </c>
      <c r="H7692" t="s">
        <v>14889</v>
      </c>
      <c r="I7692" t="s">
        <v>18176</v>
      </c>
      <c r="J7692" t="s">
        <v>18894</v>
      </c>
      <c r="K7692">
        <v>11238</v>
      </c>
      <c r="L7692" t="s">
        <v>18958</v>
      </c>
      <c r="M7692" t="s">
        <v>18958</v>
      </c>
      <c r="N7692" t="s">
        <v>24422</v>
      </c>
      <c r="O7692" t="s">
        <v>26523</v>
      </c>
      <c r="P7692" t="s">
        <v>26560</v>
      </c>
      <c r="R7692" t="s">
        <v>26586</v>
      </c>
      <c r="U7692" t="s">
        <v>26604</v>
      </c>
      <c r="W7692" t="s">
        <v>810</v>
      </c>
      <c r="X7692">
        <v>1074.98</v>
      </c>
      <c r="Y7692" t="s">
        <v>26652</v>
      </c>
      <c r="Z7692" t="s">
        <v>26664</v>
      </c>
      <c r="AB7692" t="s">
        <v>32392</v>
      </c>
      <c r="AD7692" t="s">
        <v>42797</v>
      </c>
      <c r="AE7692">
        <v>10</v>
      </c>
      <c r="AG7692" t="s">
        <v>19330</v>
      </c>
      <c r="AH7692">
        <v>20</v>
      </c>
      <c r="AI7692">
        <v>1</v>
      </c>
      <c r="AJ7692">
        <v>0</v>
      </c>
      <c r="AK7692">
        <v>184.15</v>
      </c>
      <c r="AN7692" t="s">
        <v>7439</v>
      </c>
      <c r="AO7692">
        <v>23000</v>
      </c>
      <c r="AU7692">
        <v>0</v>
      </c>
      <c r="AW7692" t="s">
        <v>46853</v>
      </c>
      <c r="AX7692" t="s">
        <v>46897</v>
      </c>
    </row>
    <row r="7693" spans="1:50">
      <c r="A7693" s="1">
        <f>HYPERLINK("https://lsnyc.legalserver.org/matter/dynamic-profile/view/1895493","19-1895493")</f>
        <v>0</v>
      </c>
      <c r="B7693" t="s">
        <v>283</v>
      </c>
      <c r="C7693" t="s">
        <v>340</v>
      </c>
      <c r="D7693" t="s">
        <v>781</v>
      </c>
      <c r="F7693" t="s">
        <v>4026</v>
      </c>
      <c r="G7693" t="s">
        <v>6647</v>
      </c>
      <c r="H7693" t="s">
        <v>14890</v>
      </c>
      <c r="I7693" t="s">
        <v>18487</v>
      </c>
      <c r="J7693" t="s">
        <v>18894</v>
      </c>
      <c r="K7693">
        <v>11205</v>
      </c>
      <c r="L7693" t="s">
        <v>18958</v>
      </c>
      <c r="M7693" t="s">
        <v>18958</v>
      </c>
      <c r="N7693" t="s">
        <v>24423</v>
      </c>
      <c r="O7693" t="s">
        <v>26524</v>
      </c>
      <c r="P7693" t="s">
        <v>26560</v>
      </c>
      <c r="R7693" t="s">
        <v>26586</v>
      </c>
      <c r="U7693" t="s">
        <v>26605</v>
      </c>
      <c r="W7693" t="s">
        <v>810</v>
      </c>
      <c r="X7693">
        <v>250</v>
      </c>
      <c r="Y7693" t="s">
        <v>26652</v>
      </c>
      <c r="Z7693" t="s">
        <v>26664</v>
      </c>
      <c r="AB7693" t="s">
        <v>32393</v>
      </c>
      <c r="AD7693" t="s">
        <v>42798</v>
      </c>
      <c r="AE7693">
        <v>2</v>
      </c>
      <c r="AH7693">
        <v>15</v>
      </c>
      <c r="AI7693">
        <v>1</v>
      </c>
      <c r="AJ7693">
        <v>0</v>
      </c>
      <c r="AK7693">
        <v>256.2</v>
      </c>
      <c r="AL7693" t="s">
        <v>770</v>
      </c>
      <c r="AM7693" t="s">
        <v>45575</v>
      </c>
      <c r="AN7693" t="s">
        <v>7439</v>
      </c>
      <c r="AO7693">
        <v>32000</v>
      </c>
      <c r="AU7693">
        <v>0</v>
      </c>
      <c r="AW7693" t="s">
        <v>46853</v>
      </c>
      <c r="AX7693" t="s">
        <v>46897</v>
      </c>
    </row>
    <row r="7694" spans="1:50">
      <c r="A7694" s="1">
        <f>HYPERLINK("https://lsnyc.legalserver.org/matter/dynamic-profile/view/1895464","19-1895464")</f>
        <v>0</v>
      </c>
      <c r="B7694" t="s">
        <v>238</v>
      </c>
      <c r="C7694" t="s">
        <v>340</v>
      </c>
      <c r="D7694" t="s">
        <v>781</v>
      </c>
      <c r="F7694" t="s">
        <v>4027</v>
      </c>
      <c r="G7694" t="s">
        <v>8409</v>
      </c>
      <c r="H7694" t="s">
        <v>14891</v>
      </c>
      <c r="I7694" t="s">
        <v>17283</v>
      </c>
      <c r="J7694" t="s">
        <v>18894</v>
      </c>
      <c r="K7694">
        <v>11226</v>
      </c>
      <c r="L7694" t="s">
        <v>18958</v>
      </c>
      <c r="M7694" t="s">
        <v>18958</v>
      </c>
      <c r="N7694" t="s">
        <v>24424</v>
      </c>
      <c r="O7694" t="s">
        <v>26523</v>
      </c>
      <c r="P7694" t="s">
        <v>26563</v>
      </c>
      <c r="R7694" t="s">
        <v>26588</v>
      </c>
      <c r="U7694" t="s">
        <v>26604</v>
      </c>
      <c r="W7694" t="s">
        <v>810</v>
      </c>
      <c r="X7694">
        <v>1335</v>
      </c>
      <c r="Y7694" t="s">
        <v>26652</v>
      </c>
      <c r="Z7694" t="s">
        <v>26664</v>
      </c>
      <c r="AB7694" t="s">
        <v>32394</v>
      </c>
      <c r="AD7694" t="s">
        <v>42799</v>
      </c>
      <c r="AE7694">
        <v>10</v>
      </c>
      <c r="AG7694" t="s">
        <v>19330</v>
      </c>
      <c r="AH7694">
        <v>3</v>
      </c>
      <c r="AI7694">
        <v>1</v>
      </c>
      <c r="AJ7694">
        <v>1</v>
      </c>
      <c r="AK7694">
        <v>147.84</v>
      </c>
      <c r="AN7694" t="s">
        <v>7439</v>
      </c>
      <c r="AO7694">
        <v>25000</v>
      </c>
      <c r="AU7694">
        <v>1</v>
      </c>
      <c r="AV7694" t="s">
        <v>781</v>
      </c>
      <c r="AW7694" t="s">
        <v>46862</v>
      </c>
      <c r="AX7694" t="s">
        <v>46897</v>
      </c>
    </row>
    <row r="7695" spans="1:50">
      <c r="A7695" s="1">
        <f>HYPERLINK("https://lsnyc.legalserver.org/matter/dynamic-profile/view/1895430","19-1895430")</f>
        <v>0</v>
      </c>
      <c r="B7695" t="s">
        <v>238</v>
      </c>
      <c r="C7695" t="s">
        <v>340</v>
      </c>
      <c r="D7695" t="s">
        <v>781</v>
      </c>
      <c r="F7695" t="s">
        <v>1076</v>
      </c>
      <c r="G7695" t="s">
        <v>2196</v>
      </c>
      <c r="H7695" t="s">
        <v>11233</v>
      </c>
      <c r="I7695" t="s">
        <v>17360</v>
      </c>
      <c r="J7695" t="s">
        <v>18894</v>
      </c>
      <c r="K7695">
        <v>11226</v>
      </c>
      <c r="L7695" t="s">
        <v>18958</v>
      </c>
      <c r="M7695" t="s">
        <v>18958</v>
      </c>
      <c r="N7695" t="s">
        <v>24425</v>
      </c>
      <c r="O7695" t="s">
        <v>26523</v>
      </c>
      <c r="P7695" t="s">
        <v>26563</v>
      </c>
      <c r="R7695" t="s">
        <v>26588</v>
      </c>
      <c r="U7695" t="s">
        <v>26604</v>
      </c>
      <c r="W7695" t="s">
        <v>810</v>
      </c>
      <c r="X7695">
        <v>950</v>
      </c>
      <c r="Y7695" t="s">
        <v>26652</v>
      </c>
      <c r="Z7695" t="s">
        <v>26664</v>
      </c>
      <c r="AB7695" t="s">
        <v>32378</v>
      </c>
      <c r="AD7695" t="s">
        <v>42800</v>
      </c>
      <c r="AE7695">
        <v>24</v>
      </c>
      <c r="AG7695" t="s">
        <v>19330</v>
      </c>
      <c r="AH7695">
        <v>25</v>
      </c>
      <c r="AI7695">
        <v>1</v>
      </c>
      <c r="AJ7695">
        <v>2</v>
      </c>
      <c r="AK7695">
        <v>192.22</v>
      </c>
      <c r="AN7695" t="s">
        <v>7439</v>
      </c>
      <c r="AO7695">
        <v>41000</v>
      </c>
      <c r="AU7695">
        <v>1</v>
      </c>
      <c r="AV7695" t="s">
        <v>781</v>
      </c>
      <c r="AW7695" t="s">
        <v>46862</v>
      </c>
      <c r="AX7695" t="s">
        <v>46897</v>
      </c>
    </row>
    <row r="7696" spans="1:50">
      <c r="A7696" s="1">
        <f>HYPERLINK("https://lsnyc.legalserver.org/matter/dynamic-profile/view/1895588","19-1895588")</f>
        <v>0</v>
      </c>
      <c r="B7696" t="s">
        <v>188</v>
      </c>
      <c r="C7696" t="s">
        <v>340</v>
      </c>
      <c r="D7696" t="s">
        <v>794</v>
      </c>
      <c r="F7696" t="s">
        <v>3817</v>
      </c>
      <c r="G7696" t="s">
        <v>7236</v>
      </c>
      <c r="H7696" t="s">
        <v>13798</v>
      </c>
      <c r="I7696" t="s">
        <v>17362</v>
      </c>
      <c r="J7696" t="s">
        <v>18892</v>
      </c>
      <c r="K7696">
        <v>10453</v>
      </c>
      <c r="L7696" t="s">
        <v>18958</v>
      </c>
      <c r="M7696" t="s">
        <v>18958</v>
      </c>
      <c r="N7696" t="s">
        <v>24426</v>
      </c>
      <c r="O7696" t="s">
        <v>26523</v>
      </c>
      <c r="P7696" t="s">
        <v>26560</v>
      </c>
      <c r="R7696" t="s">
        <v>26578</v>
      </c>
      <c r="S7696" t="s">
        <v>18958</v>
      </c>
      <c r="U7696" t="s">
        <v>26604</v>
      </c>
      <c r="V7696" t="s">
        <v>26610</v>
      </c>
      <c r="W7696" t="s">
        <v>810</v>
      </c>
      <c r="X7696">
        <v>1273</v>
      </c>
      <c r="Y7696" t="s">
        <v>26650</v>
      </c>
      <c r="Z7696" t="s">
        <v>26663</v>
      </c>
      <c r="AB7696" t="s">
        <v>27997</v>
      </c>
      <c r="AE7696">
        <v>167</v>
      </c>
      <c r="AF7696" t="s">
        <v>45541</v>
      </c>
      <c r="AG7696" t="s">
        <v>19330</v>
      </c>
      <c r="AH7696">
        <v>11</v>
      </c>
      <c r="AI7696">
        <v>2</v>
      </c>
      <c r="AJ7696">
        <v>0</v>
      </c>
      <c r="AK7696">
        <v>0</v>
      </c>
      <c r="AN7696" t="s">
        <v>45581</v>
      </c>
      <c r="AO7696">
        <v>0</v>
      </c>
      <c r="AU7696">
        <v>16</v>
      </c>
      <c r="AV7696" t="s">
        <v>821</v>
      </c>
      <c r="AW7696" t="s">
        <v>329</v>
      </c>
      <c r="AX7696" t="s">
        <v>46897</v>
      </c>
    </row>
    <row r="7697" spans="1:50">
      <c r="A7697" s="1">
        <f>HYPERLINK("https://lsnyc.legalserver.org/matter/dynamic-profile/view/1895695","19-1895695")</f>
        <v>0</v>
      </c>
      <c r="B7697" t="s">
        <v>172</v>
      </c>
      <c r="C7697" t="s">
        <v>340</v>
      </c>
      <c r="D7697" t="s">
        <v>794</v>
      </c>
      <c r="F7697" t="s">
        <v>876</v>
      </c>
      <c r="G7697" t="s">
        <v>5147</v>
      </c>
      <c r="H7697" t="s">
        <v>13497</v>
      </c>
      <c r="I7697" t="s">
        <v>18187</v>
      </c>
      <c r="J7697" t="s">
        <v>18894</v>
      </c>
      <c r="K7697">
        <v>11230</v>
      </c>
      <c r="L7697" t="s">
        <v>18958</v>
      </c>
      <c r="M7697" t="s">
        <v>18958</v>
      </c>
      <c r="N7697" t="s">
        <v>24427</v>
      </c>
      <c r="O7697" t="s">
        <v>26524</v>
      </c>
      <c r="P7697" t="s">
        <v>26560</v>
      </c>
      <c r="R7697" t="s">
        <v>26586</v>
      </c>
      <c r="U7697" t="s">
        <v>26604</v>
      </c>
      <c r="W7697" t="s">
        <v>810</v>
      </c>
      <c r="X7697">
        <v>1065</v>
      </c>
      <c r="Y7697" t="s">
        <v>26652</v>
      </c>
      <c r="Z7697" t="s">
        <v>26659</v>
      </c>
      <c r="AB7697" t="s">
        <v>30851</v>
      </c>
      <c r="AD7697" t="s">
        <v>41080</v>
      </c>
      <c r="AE7697">
        <v>0</v>
      </c>
      <c r="AG7697" t="s">
        <v>19330</v>
      </c>
      <c r="AH7697">
        <v>32</v>
      </c>
      <c r="AI7697">
        <v>1</v>
      </c>
      <c r="AJ7697">
        <v>2</v>
      </c>
      <c r="AK7697">
        <v>57.38</v>
      </c>
      <c r="AN7697" t="s">
        <v>7439</v>
      </c>
      <c r="AO7697">
        <v>12240</v>
      </c>
      <c r="AU7697">
        <v>10.8</v>
      </c>
      <c r="AV7697" t="s">
        <v>809</v>
      </c>
      <c r="AW7697" t="s">
        <v>46862</v>
      </c>
      <c r="AX7697" t="s">
        <v>46897</v>
      </c>
    </row>
    <row r="7698" spans="1:50">
      <c r="A7698" s="1">
        <f>HYPERLINK("https://lsnyc.legalserver.org/matter/dynamic-profile/view/1895488","19-1895488")</f>
        <v>0</v>
      </c>
      <c r="B7698" t="s">
        <v>172</v>
      </c>
      <c r="C7698" t="s">
        <v>340</v>
      </c>
      <c r="D7698" t="s">
        <v>794</v>
      </c>
      <c r="F7698" t="s">
        <v>1975</v>
      </c>
      <c r="G7698" t="s">
        <v>8410</v>
      </c>
      <c r="H7698" t="s">
        <v>14892</v>
      </c>
      <c r="I7698">
        <v>2</v>
      </c>
      <c r="J7698" t="s">
        <v>18894</v>
      </c>
      <c r="K7698">
        <v>11234</v>
      </c>
      <c r="L7698" t="s">
        <v>18958</v>
      </c>
      <c r="M7698" t="s">
        <v>18958</v>
      </c>
      <c r="N7698" t="s">
        <v>24428</v>
      </c>
      <c r="O7698" t="s">
        <v>26524</v>
      </c>
      <c r="P7698" t="s">
        <v>26563</v>
      </c>
      <c r="R7698" t="s">
        <v>26586</v>
      </c>
      <c r="U7698" t="s">
        <v>26604</v>
      </c>
      <c r="V7698" t="s">
        <v>26610</v>
      </c>
      <c r="W7698" t="s">
        <v>810</v>
      </c>
      <c r="X7698">
        <v>0</v>
      </c>
      <c r="Y7698" t="s">
        <v>26652</v>
      </c>
      <c r="Z7698" t="s">
        <v>26664</v>
      </c>
      <c r="AB7698" t="s">
        <v>30969</v>
      </c>
      <c r="AD7698" t="s">
        <v>42801</v>
      </c>
      <c r="AE7698">
        <v>3</v>
      </c>
      <c r="AG7698" t="s">
        <v>45556</v>
      </c>
      <c r="AH7698">
        <v>11</v>
      </c>
      <c r="AI7698">
        <v>2</v>
      </c>
      <c r="AJ7698">
        <v>0</v>
      </c>
      <c r="AK7698">
        <v>76.5</v>
      </c>
      <c r="AN7698" t="s">
        <v>7439</v>
      </c>
      <c r="AO7698">
        <v>12936</v>
      </c>
      <c r="AU7698">
        <v>8.6</v>
      </c>
      <c r="AV7698" t="s">
        <v>828</v>
      </c>
      <c r="AW7698" t="s">
        <v>46862</v>
      </c>
      <c r="AX7698" t="s">
        <v>46897</v>
      </c>
    </row>
    <row r="7699" spans="1:50">
      <c r="A7699" s="1">
        <f>HYPERLINK("https://lsnyc.legalserver.org/matter/dynamic-profile/view/1896600","19-1896600")</f>
        <v>0</v>
      </c>
      <c r="B7699" t="s">
        <v>187</v>
      </c>
      <c r="C7699" t="s">
        <v>341</v>
      </c>
      <c r="D7699" t="s">
        <v>795</v>
      </c>
      <c r="E7699" t="s">
        <v>806</v>
      </c>
      <c r="F7699" t="s">
        <v>4028</v>
      </c>
      <c r="G7699" t="s">
        <v>8411</v>
      </c>
      <c r="H7699" t="s">
        <v>14893</v>
      </c>
      <c r="I7699" t="s">
        <v>17414</v>
      </c>
      <c r="J7699" t="s">
        <v>18892</v>
      </c>
      <c r="K7699">
        <v>10458</v>
      </c>
      <c r="L7699" t="s">
        <v>18958</v>
      </c>
      <c r="M7699" t="s">
        <v>18958</v>
      </c>
      <c r="N7699" t="s">
        <v>24429</v>
      </c>
      <c r="O7699" t="s">
        <v>26523</v>
      </c>
      <c r="P7699" t="s">
        <v>26564</v>
      </c>
      <c r="Q7699" t="s">
        <v>26570</v>
      </c>
      <c r="R7699" t="s">
        <v>26577</v>
      </c>
      <c r="S7699" t="s">
        <v>18959</v>
      </c>
      <c r="U7699" t="s">
        <v>26604</v>
      </c>
      <c r="W7699" t="s">
        <v>810</v>
      </c>
      <c r="X7699">
        <v>1674</v>
      </c>
      <c r="Y7699" t="s">
        <v>26650</v>
      </c>
      <c r="Z7699" t="s">
        <v>26668</v>
      </c>
      <c r="AA7699" t="s">
        <v>26683</v>
      </c>
      <c r="AB7699" t="s">
        <v>27262</v>
      </c>
      <c r="AE7699">
        <v>49</v>
      </c>
      <c r="AF7699" t="s">
        <v>20460</v>
      </c>
      <c r="AG7699" t="s">
        <v>45556</v>
      </c>
      <c r="AH7699">
        <v>24</v>
      </c>
      <c r="AI7699">
        <v>3</v>
      </c>
      <c r="AJ7699">
        <v>3</v>
      </c>
      <c r="AK7699">
        <v>98.55</v>
      </c>
      <c r="AN7699" t="s">
        <v>7439</v>
      </c>
      <c r="AO7699">
        <v>34088</v>
      </c>
      <c r="AT7699" t="s">
        <v>46668</v>
      </c>
      <c r="AU7699">
        <v>0.7</v>
      </c>
      <c r="AV7699" t="s">
        <v>810</v>
      </c>
      <c r="AW7699" t="s">
        <v>336</v>
      </c>
      <c r="AX7699" t="s">
        <v>46897</v>
      </c>
    </row>
    <row r="7700" spans="1:50">
      <c r="A7700" s="1">
        <f>HYPERLINK("https://lsnyc.legalserver.org/matter/dynamic-profile/view/1895943","19-1895943")</f>
        <v>0</v>
      </c>
      <c r="B7700" t="s">
        <v>162</v>
      </c>
      <c r="C7700" t="s">
        <v>340</v>
      </c>
      <c r="D7700" t="s">
        <v>791</v>
      </c>
      <c r="F7700" t="s">
        <v>1877</v>
      </c>
      <c r="G7700" t="s">
        <v>5627</v>
      </c>
      <c r="H7700" t="s">
        <v>14894</v>
      </c>
      <c r="I7700" t="s">
        <v>18197</v>
      </c>
      <c r="J7700" t="s">
        <v>18894</v>
      </c>
      <c r="K7700">
        <v>11221</v>
      </c>
      <c r="L7700" t="s">
        <v>18958</v>
      </c>
      <c r="M7700" t="s">
        <v>18958</v>
      </c>
      <c r="N7700" t="s">
        <v>24430</v>
      </c>
      <c r="O7700" t="s">
        <v>26523</v>
      </c>
      <c r="P7700" t="s">
        <v>26560</v>
      </c>
      <c r="R7700" t="s">
        <v>26588</v>
      </c>
      <c r="U7700" t="s">
        <v>26604</v>
      </c>
      <c r="W7700" t="s">
        <v>810</v>
      </c>
      <c r="X7700">
        <v>1097.36</v>
      </c>
      <c r="Y7700" t="s">
        <v>26652</v>
      </c>
      <c r="Z7700" t="s">
        <v>26669</v>
      </c>
      <c r="AB7700" t="s">
        <v>32395</v>
      </c>
      <c r="AD7700" t="s">
        <v>42802</v>
      </c>
      <c r="AE7700">
        <v>8</v>
      </c>
      <c r="AG7700" t="s">
        <v>19330</v>
      </c>
      <c r="AH7700">
        <v>9</v>
      </c>
      <c r="AI7700">
        <v>1</v>
      </c>
      <c r="AJ7700">
        <v>3</v>
      </c>
      <c r="AK7700">
        <v>52.82</v>
      </c>
      <c r="AN7700" t="s">
        <v>7439</v>
      </c>
      <c r="AO7700">
        <v>13600</v>
      </c>
      <c r="AU7700">
        <v>10.1</v>
      </c>
      <c r="AV7700" t="s">
        <v>820</v>
      </c>
      <c r="AW7700" t="s">
        <v>46853</v>
      </c>
      <c r="AX7700" t="s">
        <v>46897</v>
      </c>
    </row>
    <row r="7701" spans="1:50">
      <c r="A7701" s="1">
        <f>HYPERLINK("https://lsnyc.legalserver.org/matter/dynamic-profile/view/1895885","19-1895885")</f>
        <v>0</v>
      </c>
      <c r="B7701" t="s">
        <v>162</v>
      </c>
      <c r="C7701" t="s">
        <v>340</v>
      </c>
      <c r="D7701" t="s">
        <v>791</v>
      </c>
      <c r="F7701" t="s">
        <v>1974</v>
      </c>
      <c r="G7701" t="s">
        <v>5121</v>
      </c>
      <c r="H7701" t="s">
        <v>14895</v>
      </c>
      <c r="I7701" t="s">
        <v>18045</v>
      </c>
      <c r="J7701" t="s">
        <v>18894</v>
      </c>
      <c r="K7701">
        <v>11216</v>
      </c>
      <c r="L7701" t="s">
        <v>18958</v>
      </c>
      <c r="M7701" t="s">
        <v>18958</v>
      </c>
      <c r="N7701" t="s">
        <v>24431</v>
      </c>
      <c r="O7701" t="s">
        <v>26523</v>
      </c>
      <c r="P7701" t="s">
        <v>26563</v>
      </c>
      <c r="R7701" t="s">
        <v>26588</v>
      </c>
      <c r="U7701" t="s">
        <v>26604</v>
      </c>
      <c r="W7701" t="s">
        <v>810</v>
      </c>
      <c r="X7701">
        <v>989</v>
      </c>
      <c r="Y7701" t="s">
        <v>26652</v>
      </c>
      <c r="Z7701" t="s">
        <v>26669</v>
      </c>
      <c r="AB7701" t="s">
        <v>32396</v>
      </c>
      <c r="AD7701" t="s">
        <v>42803</v>
      </c>
      <c r="AE7701">
        <v>10</v>
      </c>
      <c r="AG7701" t="s">
        <v>19330</v>
      </c>
      <c r="AH7701">
        <v>14</v>
      </c>
      <c r="AI7701">
        <v>1</v>
      </c>
      <c r="AJ7701">
        <v>0</v>
      </c>
      <c r="AK7701">
        <v>72.15000000000001</v>
      </c>
      <c r="AN7701" t="s">
        <v>45581</v>
      </c>
      <c r="AO7701">
        <v>9012</v>
      </c>
      <c r="AU7701">
        <v>8.4</v>
      </c>
      <c r="AV7701" t="s">
        <v>814</v>
      </c>
      <c r="AW7701" t="s">
        <v>46853</v>
      </c>
      <c r="AX7701" t="s">
        <v>46897</v>
      </c>
    </row>
    <row r="7702" spans="1:50">
      <c r="A7702" s="1">
        <f>HYPERLINK("https://lsnyc.legalserver.org/matter/dynamic-profile/view/1895992","19-1895992")</f>
        <v>0</v>
      </c>
      <c r="B7702" t="s">
        <v>253</v>
      </c>
      <c r="C7702" t="s">
        <v>340</v>
      </c>
      <c r="D7702" t="s">
        <v>791</v>
      </c>
      <c r="F7702" t="s">
        <v>4029</v>
      </c>
      <c r="G7702" t="s">
        <v>8412</v>
      </c>
      <c r="H7702" t="s">
        <v>13078</v>
      </c>
      <c r="I7702" t="s">
        <v>17349</v>
      </c>
      <c r="J7702" t="s">
        <v>18892</v>
      </c>
      <c r="K7702">
        <v>10472</v>
      </c>
      <c r="L7702" t="s">
        <v>18958</v>
      </c>
      <c r="M7702" t="s">
        <v>18958</v>
      </c>
      <c r="N7702" t="s">
        <v>24432</v>
      </c>
      <c r="O7702" t="s">
        <v>26523</v>
      </c>
      <c r="P7702" t="s">
        <v>26560</v>
      </c>
      <c r="R7702" t="s">
        <v>26577</v>
      </c>
      <c r="S7702" t="s">
        <v>18959</v>
      </c>
      <c r="U7702" t="s">
        <v>26604</v>
      </c>
      <c r="V7702" t="s">
        <v>26610</v>
      </c>
      <c r="W7702" t="s">
        <v>810</v>
      </c>
      <c r="X7702">
        <v>2000</v>
      </c>
      <c r="Y7702" t="s">
        <v>26650</v>
      </c>
      <c r="Z7702" t="s">
        <v>26668</v>
      </c>
      <c r="AB7702" t="s">
        <v>29189</v>
      </c>
      <c r="AC7702" t="s">
        <v>36372</v>
      </c>
      <c r="AD7702" t="s">
        <v>42804</v>
      </c>
      <c r="AE7702">
        <v>0</v>
      </c>
      <c r="AF7702" t="s">
        <v>45541</v>
      </c>
      <c r="AG7702" t="s">
        <v>19330</v>
      </c>
      <c r="AH7702">
        <v>2</v>
      </c>
      <c r="AI7702">
        <v>3</v>
      </c>
      <c r="AJ7702">
        <v>3</v>
      </c>
      <c r="AK7702">
        <v>31.4</v>
      </c>
      <c r="AN7702" t="s">
        <v>7439</v>
      </c>
      <c r="AO7702">
        <v>10860</v>
      </c>
      <c r="AU7702">
        <v>15.85</v>
      </c>
      <c r="AV7702" t="s">
        <v>828</v>
      </c>
      <c r="AW7702" t="s">
        <v>329</v>
      </c>
      <c r="AX7702" t="s">
        <v>46898</v>
      </c>
    </row>
    <row r="7703" spans="1:50">
      <c r="A7703" s="1">
        <f>HYPERLINK("https://lsnyc.legalserver.org/matter/dynamic-profile/view/1895921","19-1895921")</f>
        <v>0</v>
      </c>
      <c r="B7703" t="s">
        <v>155</v>
      </c>
      <c r="C7703" t="s">
        <v>340</v>
      </c>
      <c r="D7703" t="s">
        <v>791</v>
      </c>
      <c r="F7703" t="s">
        <v>4030</v>
      </c>
      <c r="G7703" t="s">
        <v>7043</v>
      </c>
      <c r="H7703" t="s">
        <v>14896</v>
      </c>
      <c r="I7703" t="s">
        <v>18488</v>
      </c>
      <c r="J7703" t="s">
        <v>18894</v>
      </c>
      <c r="K7703">
        <v>11239</v>
      </c>
      <c r="L7703" t="s">
        <v>18958</v>
      </c>
      <c r="M7703" t="s">
        <v>18958</v>
      </c>
      <c r="N7703" t="s">
        <v>24433</v>
      </c>
      <c r="O7703" t="s">
        <v>26523</v>
      </c>
      <c r="P7703" t="s">
        <v>26560</v>
      </c>
      <c r="R7703" t="s">
        <v>26586</v>
      </c>
      <c r="U7703" t="s">
        <v>26604</v>
      </c>
      <c r="W7703" t="s">
        <v>810</v>
      </c>
      <c r="X7703">
        <v>3000</v>
      </c>
      <c r="Y7703" t="s">
        <v>26652</v>
      </c>
      <c r="Z7703" t="s">
        <v>26664</v>
      </c>
      <c r="AB7703" t="s">
        <v>30684</v>
      </c>
      <c r="AD7703" t="s">
        <v>42805</v>
      </c>
      <c r="AE7703">
        <v>33</v>
      </c>
      <c r="AG7703" t="s">
        <v>45563</v>
      </c>
      <c r="AH7703">
        <v>5</v>
      </c>
      <c r="AI7703">
        <v>1</v>
      </c>
      <c r="AJ7703">
        <v>2</v>
      </c>
      <c r="AK7703">
        <v>77.37</v>
      </c>
      <c r="AN7703" t="s">
        <v>7439</v>
      </c>
      <c r="AO7703">
        <v>16502</v>
      </c>
      <c r="AU7703">
        <v>4.8</v>
      </c>
      <c r="AV7703" t="s">
        <v>815</v>
      </c>
      <c r="AW7703" t="s">
        <v>46853</v>
      </c>
      <c r="AX7703" t="s">
        <v>46897</v>
      </c>
    </row>
    <row r="7704" spans="1:50">
      <c r="A7704" s="1">
        <f>HYPERLINK("https://lsnyc.legalserver.org/matter/dynamic-profile/view/1896107","19-1896107")</f>
        <v>0</v>
      </c>
      <c r="B7704" t="s">
        <v>140</v>
      </c>
      <c r="C7704" t="s">
        <v>341</v>
      </c>
      <c r="D7704" t="s">
        <v>800</v>
      </c>
      <c r="E7704" t="s">
        <v>830</v>
      </c>
      <c r="F7704" t="s">
        <v>4031</v>
      </c>
      <c r="G7704" t="s">
        <v>1263</v>
      </c>
      <c r="H7704" t="s">
        <v>10238</v>
      </c>
      <c r="I7704" t="s">
        <v>17516</v>
      </c>
      <c r="J7704" t="s">
        <v>18894</v>
      </c>
      <c r="K7704">
        <v>11225</v>
      </c>
      <c r="L7704" t="s">
        <v>18958</v>
      </c>
      <c r="M7704" t="s">
        <v>18958</v>
      </c>
      <c r="N7704" t="s">
        <v>24434</v>
      </c>
      <c r="O7704" t="s">
        <v>26523</v>
      </c>
      <c r="P7704" t="s">
        <v>26560</v>
      </c>
      <c r="Q7704" t="s">
        <v>26568</v>
      </c>
      <c r="R7704" t="s">
        <v>26588</v>
      </c>
      <c r="S7704" t="s">
        <v>18959</v>
      </c>
      <c r="U7704" t="s">
        <v>26604</v>
      </c>
      <c r="V7704" t="s">
        <v>26610</v>
      </c>
      <c r="W7704" t="s">
        <v>810</v>
      </c>
      <c r="X7704">
        <v>1333.06</v>
      </c>
      <c r="Y7704" t="s">
        <v>26652</v>
      </c>
      <c r="Z7704" t="s">
        <v>26669</v>
      </c>
      <c r="AA7704" t="s">
        <v>26678</v>
      </c>
      <c r="AB7704" t="s">
        <v>30112</v>
      </c>
      <c r="AD7704" t="s">
        <v>42806</v>
      </c>
      <c r="AE7704">
        <v>156</v>
      </c>
      <c r="AF7704" t="s">
        <v>45541</v>
      </c>
      <c r="AG7704" t="s">
        <v>26530</v>
      </c>
      <c r="AH7704">
        <v>7</v>
      </c>
      <c r="AI7704">
        <v>1</v>
      </c>
      <c r="AJ7704">
        <v>0</v>
      </c>
      <c r="AK7704">
        <v>118.65</v>
      </c>
      <c r="AN7704" t="s">
        <v>7439</v>
      </c>
      <c r="AO7704">
        <v>14820</v>
      </c>
      <c r="AS7704" t="s">
        <v>46499</v>
      </c>
      <c r="AU7704">
        <v>11</v>
      </c>
      <c r="AV7704" t="s">
        <v>826</v>
      </c>
      <c r="AW7704" t="s">
        <v>281</v>
      </c>
      <c r="AX7704" t="s">
        <v>46897</v>
      </c>
    </row>
    <row r="7705" spans="1:50">
      <c r="A7705" s="1">
        <f>HYPERLINK("https://lsnyc.legalserver.org/matter/dynamic-profile/view/1896038","19-1896038")</f>
        <v>0</v>
      </c>
      <c r="B7705" t="s">
        <v>140</v>
      </c>
      <c r="C7705" t="s">
        <v>341</v>
      </c>
      <c r="D7705" t="s">
        <v>800</v>
      </c>
      <c r="E7705" t="s">
        <v>830</v>
      </c>
      <c r="F7705" t="s">
        <v>4032</v>
      </c>
      <c r="G7705" t="s">
        <v>8413</v>
      </c>
      <c r="H7705" t="s">
        <v>14897</v>
      </c>
      <c r="I7705" t="s">
        <v>17380</v>
      </c>
      <c r="J7705" t="s">
        <v>18894</v>
      </c>
      <c r="K7705">
        <v>11221</v>
      </c>
      <c r="L7705" t="s">
        <v>18958</v>
      </c>
      <c r="M7705" t="s">
        <v>18958</v>
      </c>
      <c r="N7705" t="s">
        <v>24435</v>
      </c>
      <c r="O7705" t="s">
        <v>26523</v>
      </c>
      <c r="P7705" t="s">
        <v>26560</v>
      </c>
      <c r="Q7705" t="s">
        <v>26568</v>
      </c>
      <c r="R7705" t="s">
        <v>26588</v>
      </c>
      <c r="S7705" t="s">
        <v>18959</v>
      </c>
      <c r="U7705" t="s">
        <v>26604</v>
      </c>
      <c r="V7705" t="s">
        <v>26610</v>
      </c>
      <c r="W7705" t="s">
        <v>810</v>
      </c>
      <c r="X7705">
        <v>2250</v>
      </c>
      <c r="Y7705" t="s">
        <v>26652</v>
      </c>
      <c r="Z7705" t="s">
        <v>26669</v>
      </c>
      <c r="AA7705" t="s">
        <v>26679</v>
      </c>
      <c r="AB7705" t="s">
        <v>32397</v>
      </c>
      <c r="AD7705" t="s">
        <v>42807</v>
      </c>
      <c r="AE7705">
        <v>48</v>
      </c>
      <c r="AF7705" t="s">
        <v>45541</v>
      </c>
      <c r="AH7705">
        <v>1</v>
      </c>
      <c r="AI7705">
        <v>1</v>
      </c>
      <c r="AJ7705">
        <v>0</v>
      </c>
      <c r="AK7705">
        <v>176.3</v>
      </c>
      <c r="AN7705" t="s">
        <v>7439</v>
      </c>
      <c r="AO7705">
        <v>22020</v>
      </c>
      <c r="AU7705">
        <v>3.6</v>
      </c>
      <c r="AV7705" t="s">
        <v>830</v>
      </c>
      <c r="AW7705" t="s">
        <v>281</v>
      </c>
      <c r="AX7705" t="s">
        <v>46897</v>
      </c>
    </row>
    <row r="7706" spans="1:50">
      <c r="A7706" s="1">
        <f>HYPERLINK("https://lsnyc.legalserver.org/matter/dynamic-profile/view/1896018","19-1896018")</f>
        <v>0</v>
      </c>
      <c r="B7706" t="s">
        <v>230</v>
      </c>
      <c r="C7706" t="s">
        <v>340</v>
      </c>
      <c r="D7706" t="s">
        <v>800</v>
      </c>
      <c r="F7706" t="s">
        <v>2272</v>
      </c>
      <c r="G7706" t="s">
        <v>8414</v>
      </c>
      <c r="H7706" t="s">
        <v>14898</v>
      </c>
      <c r="I7706" t="s">
        <v>17352</v>
      </c>
      <c r="J7706" t="s">
        <v>18894</v>
      </c>
      <c r="K7706">
        <v>11226</v>
      </c>
      <c r="L7706" t="s">
        <v>18958</v>
      </c>
      <c r="M7706" t="s">
        <v>18958</v>
      </c>
      <c r="N7706" t="s">
        <v>24436</v>
      </c>
      <c r="O7706" t="s">
        <v>26523</v>
      </c>
      <c r="P7706" t="s">
        <v>26560</v>
      </c>
      <c r="R7706" t="s">
        <v>26588</v>
      </c>
      <c r="S7706" t="s">
        <v>18959</v>
      </c>
      <c r="U7706" t="s">
        <v>26604</v>
      </c>
      <c r="W7706" t="s">
        <v>810</v>
      </c>
      <c r="X7706">
        <v>0</v>
      </c>
      <c r="Y7706" t="s">
        <v>26652</v>
      </c>
      <c r="Z7706" t="s">
        <v>26669</v>
      </c>
      <c r="AB7706" t="s">
        <v>31973</v>
      </c>
      <c r="AD7706" t="s">
        <v>42808</v>
      </c>
      <c r="AE7706">
        <v>0</v>
      </c>
      <c r="AH7706">
        <v>0</v>
      </c>
      <c r="AI7706">
        <v>1</v>
      </c>
      <c r="AJ7706">
        <v>1</v>
      </c>
      <c r="AK7706">
        <v>47.33</v>
      </c>
      <c r="AN7706" t="s">
        <v>7439</v>
      </c>
      <c r="AO7706">
        <v>8004</v>
      </c>
      <c r="AU7706">
        <v>15.9</v>
      </c>
      <c r="AV7706" t="s">
        <v>822</v>
      </c>
      <c r="AW7706" t="s">
        <v>281</v>
      </c>
      <c r="AX7706" t="s">
        <v>46897</v>
      </c>
    </row>
    <row r="7707" spans="1:50">
      <c r="A7707" s="1">
        <f>HYPERLINK("https://lsnyc.legalserver.org/matter/dynamic-profile/view/1896022","19-1896022")</f>
        <v>0</v>
      </c>
      <c r="B7707" t="s">
        <v>242</v>
      </c>
      <c r="C7707" t="s">
        <v>340</v>
      </c>
      <c r="D7707" t="s">
        <v>800</v>
      </c>
      <c r="F7707" t="s">
        <v>4033</v>
      </c>
      <c r="G7707" t="s">
        <v>3255</v>
      </c>
      <c r="H7707" t="s">
        <v>14899</v>
      </c>
      <c r="I7707" t="s">
        <v>17468</v>
      </c>
      <c r="J7707" t="s">
        <v>18894</v>
      </c>
      <c r="K7707">
        <v>11225</v>
      </c>
      <c r="L7707" t="s">
        <v>18958</v>
      </c>
      <c r="M7707" t="s">
        <v>18958</v>
      </c>
      <c r="N7707" t="s">
        <v>24437</v>
      </c>
      <c r="O7707" t="s">
        <v>26524</v>
      </c>
      <c r="P7707" t="s">
        <v>26560</v>
      </c>
      <c r="R7707" t="s">
        <v>26588</v>
      </c>
      <c r="S7707" t="s">
        <v>18959</v>
      </c>
      <c r="U7707" t="s">
        <v>26604</v>
      </c>
      <c r="W7707" t="s">
        <v>810</v>
      </c>
      <c r="X7707">
        <v>0</v>
      </c>
      <c r="Y7707" t="s">
        <v>26652</v>
      </c>
      <c r="Z7707" t="s">
        <v>26669</v>
      </c>
      <c r="AB7707" t="s">
        <v>32398</v>
      </c>
      <c r="AD7707" t="s">
        <v>42809</v>
      </c>
      <c r="AE7707">
        <v>0</v>
      </c>
      <c r="AH7707">
        <v>0</v>
      </c>
      <c r="AI7707">
        <v>2</v>
      </c>
      <c r="AJ7707">
        <v>0</v>
      </c>
      <c r="AK7707">
        <v>127.74</v>
      </c>
      <c r="AN7707" t="s">
        <v>7439</v>
      </c>
      <c r="AO7707">
        <v>21600</v>
      </c>
      <c r="AU7707">
        <v>10.3</v>
      </c>
      <c r="AV7707" t="s">
        <v>773</v>
      </c>
      <c r="AW7707" t="s">
        <v>281</v>
      </c>
      <c r="AX7707" t="s">
        <v>46897</v>
      </c>
    </row>
    <row r="7708" spans="1:50">
      <c r="A7708" s="1">
        <f>HYPERLINK("https://lsnyc.legalserver.org/matter/dynamic-profile/view/1896112","19-1896112")</f>
        <v>0</v>
      </c>
      <c r="B7708" t="s">
        <v>158</v>
      </c>
      <c r="C7708" t="s">
        <v>340</v>
      </c>
      <c r="D7708" t="s">
        <v>800</v>
      </c>
      <c r="F7708" t="s">
        <v>4034</v>
      </c>
      <c r="G7708" t="s">
        <v>8415</v>
      </c>
      <c r="H7708" t="s">
        <v>14900</v>
      </c>
      <c r="I7708" t="s">
        <v>17312</v>
      </c>
      <c r="J7708" t="s">
        <v>18894</v>
      </c>
      <c r="K7708">
        <v>11203</v>
      </c>
      <c r="L7708" t="s">
        <v>18958</v>
      </c>
      <c r="M7708" t="s">
        <v>18958</v>
      </c>
      <c r="N7708" t="s">
        <v>24438</v>
      </c>
      <c r="O7708" t="s">
        <v>26524</v>
      </c>
      <c r="P7708" t="s">
        <v>26564</v>
      </c>
      <c r="R7708" t="s">
        <v>26586</v>
      </c>
      <c r="U7708" t="s">
        <v>26604</v>
      </c>
      <c r="W7708" t="s">
        <v>810</v>
      </c>
      <c r="X7708">
        <v>0</v>
      </c>
      <c r="Y7708" t="s">
        <v>26652</v>
      </c>
      <c r="Z7708" t="s">
        <v>26664</v>
      </c>
      <c r="AB7708" t="s">
        <v>32399</v>
      </c>
      <c r="AD7708" t="s">
        <v>42810</v>
      </c>
      <c r="AE7708">
        <v>48</v>
      </c>
      <c r="AH7708">
        <v>0</v>
      </c>
      <c r="AI7708">
        <v>3</v>
      </c>
      <c r="AJ7708">
        <v>2</v>
      </c>
      <c r="AK7708">
        <v>56.08</v>
      </c>
      <c r="AN7708" t="s">
        <v>7439</v>
      </c>
      <c r="AO7708">
        <v>16920</v>
      </c>
      <c r="AU7708">
        <v>3</v>
      </c>
      <c r="AV7708" t="s">
        <v>763</v>
      </c>
      <c r="AW7708" t="s">
        <v>46862</v>
      </c>
      <c r="AX7708" t="s">
        <v>46897</v>
      </c>
    </row>
    <row r="7709" spans="1:50">
      <c r="A7709" s="1">
        <f>HYPERLINK("https://lsnyc.legalserver.org/matter/dynamic-profile/view/1896059","19-1896059")</f>
        <v>0</v>
      </c>
      <c r="B7709" t="s">
        <v>158</v>
      </c>
      <c r="C7709" t="s">
        <v>340</v>
      </c>
      <c r="D7709" t="s">
        <v>800</v>
      </c>
      <c r="F7709" t="s">
        <v>1144</v>
      </c>
      <c r="G7709" t="s">
        <v>5300</v>
      </c>
      <c r="H7709" t="s">
        <v>14181</v>
      </c>
      <c r="I7709" t="s">
        <v>17292</v>
      </c>
      <c r="J7709" t="s">
        <v>18894</v>
      </c>
      <c r="K7709">
        <v>11203</v>
      </c>
      <c r="L7709" t="s">
        <v>18958</v>
      </c>
      <c r="M7709" t="s">
        <v>18958</v>
      </c>
      <c r="N7709" t="s">
        <v>24439</v>
      </c>
      <c r="O7709" t="s">
        <v>26523</v>
      </c>
      <c r="P7709" t="s">
        <v>26564</v>
      </c>
      <c r="R7709" t="s">
        <v>26586</v>
      </c>
      <c r="U7709" t="s">
        <v>26604</v>
      </c>
      <c r="W7709" t="s">
        <v>810</v>
      </c>
      <c r="X7709">
        <v>0</v>
      </c>
      <c r="Y7709" t="s">
        <v>26652</v>
      </c>
      <c r="Z7709" t="s">
        <v>26664</v>
      </c>
      <c r="AB7709" t="s">
        <v>32400</v>
      </c>
      <c r="AD7709" t="s">
        <v>42811</v>
      </c>
      <c r="AE7709">
        <v>95</v>
      </c>
      <c r="AH7709">
        <v>0</v>
      </c>
      <c r="AI7709">
        <v>1</v>
      </c>
      <c r="AJ7709">
        <v>0</v>
      </c>
      <c r="AK7709">
        <v>192.15</v>
      </c>
      <c r="AN7709" t="s">
        <v>7439</v>
      </c>
      <c r="AO7709">
        <v>24000</v>
      </c>
      <c r="AU7709">
        <v>2.7</v>
      </c>
      <c r="AV7709" t="s">
        <v>802</v>
      </c>
      <c r="AW7709" t="s">
        <v>46862</v>
      </c>
      <c r="AX7709" t="s">
        <v>46897</v>
      </c>
    </row>
    <row r="7710" spans="1:50">
      <c r="A7710" s="1">
        <f>HYPERLINK("https://lsnyc.legalserver.org/matter/dynamic-profile/view/1896102","19-1896102")</f>
        <v>0</v>
      </c>
      <c r="B7710" t="s">
        <v>158</v>
      </c>
      <c r="C7710" t="s">
        <v>340</v>
      </c>
      <c r="D7710" t="s">
        <v>800</v>
      </c>
      <c r="F7710" t="s">
        <v>4035</v>
      </c>
      <c r="G7710" t="s">
        <v>8416</v>
      </c>
      <c r="H7710" t="s">
        <v>14901</v>
      </c>
      <c r="I7710" t="s">
        <v>17577</v>
      </c>
      <c r="J7710" t="s">
        <v>18894</v>
      </c>
      <c r="K7710">
        <v>11212</v>
      </c>
      <c r="L7710" t="s">
        <v>18958</v>
      </c>
      <c r="M7710" t="s">
        <v>18958</v>
      </c>
      <c r="N7710" t="s">
        <v>24440</v>
      </c>
      <c r="O7710" t="s">
        <v>26524</v>
      </c>
      <c r="P7710" t="s">
        <v>26565</v>
      </c>
      <c r="R7710" t="s">
        <v>26586</v>
      </c>
      <c r="U7710" t="s">
        <v>26604</v>
      </c>
      <c r="V7710" t="s">
        <v>26610</v>
      </c>
      <c r="W7710" t="s">
        <v>810</v>
      </c>
      <c r="X7710">
        <v>0</v>
      </c>
      <c r="Y7710" t="s">
        <v>26652</v>
      </c>
      <c r="Z7710" t="s">
        <v>26664</v>
      </c>
      <c r="AB7710" t="s">
        <v>30339</v>
      </c>
      <c r="AD7710" t="s">
        <v>42812</v>
      </c>
      <c r="AE7710">
        <v>46</v>
      </c>
      <c r="AF7710" t="s">
        <v>45541</v>
      </c>
      <c r="AH7710">
        <v>0</v>
      </c>
      <c r="AI7710">
        <v>1</v>
      </c>
      <c r="AJ7710">
        <v>0</v>
      </c>
      <c r="AK7710">
        <v>208.17</v>
      </c>
      <c r="AL7710" t="s">
        <v>770</v>
      </c>
      <c r="AM7710" t="s">
        <v>45575</v>
      </c>
      <c r="AN7710" t="s">
        <v>7439</v>
      </c>
      <c r="AO7710">
        <v>26000</v>
      </c>
      <c r="AU7710">
        <v>16</v>
      </c>
      <c r="AV7710" t="s">
        <v>729</v>
      </c>
      <c r="AW7710" t="s">
        <v>46862</v>
      </c>
      <c r="AX7710" t="s">
        <v>46897</v>
      </c>
    </row>
    <row r="7711" spans="1:50">
      <c r="A7711" s="1">
        <f>HYPERLINK("https://lsnyc.legalserver.org/matter/dynamic-profile/view/1896082","19-1896082")</f>
        <v>0</v>
      </c>
      <c r="B7711" t="s">
        <v>140</v>
      </c>
      <c r="C7711" t="s">
        <v>340</v>
      </c>
      <c r="D7711" t="s">
        <v>800</v>
      </c>
      <c r="F7711" t="s">
        <v>2132</v>
      </c>
      <c r="G7711" t="s">
        <v>1092</v>
      </c>
      <c r="H7711" t="s">
        <v>14902</v>
      </c>
      <c r="I7711">
        <v>3</v>
      </c>
      <c r="J7711" t="s">
        <v>18894</v>
      </c>
      <c r="K7711">
        <v>11216</v>
      </c>
      <c r="L7711" t="s">
        <v>18958</v>
      </c>
      <c r="M7711" t="s">
        <v>18958</v>
      </c>
      <c r="N7711" t="s">
        <v>24441</v>
      </c>
      <c r="O7711" t="s">
        <v>26523</v>
      </c>
      <c r="P7711" t="s">
        <v>26560</v>
      </c>
      <c r="R7711" t="s">
        <v>26588</v>
      </c>
      <c r="U7711" t="s">
        <v>26604</v>
      </c>
      <c r="W7711" t="s">
        <v>810</v>
      </c>
      <c r="X7711">
        <v>0</v>
      </c>
      <c r="Y7711" t="s">
        <v>26652</v>
      </c>
      <c r="Z7711" t="s">
        <v>26669</v>
      </c>
      <c r="AB7711" t="s">
        <v>32401</v>
      </c>
      <c r="AD7711" t="s">
        <v>42813</v>
      </c>
      <c r="AE7711">
        <v>4</v>
      </c>
      <c r="AH7711">
        <v>0</v>
      </c>
      <c r="AI7711">
        <v>3</v>
      </c>
      <c r="AJ7711">
        <v>0</v>
      </c>
      <c r="AK7711">
        <v>16.88</v>
      </c>
      <c r="AN7711" t="s">
        <v>7439</v>
      </c>
      <c r="AO7711">
        <v>3600</v>
      </c>
      <c r="AU7711">
        <v>15.65</v>
      </c>
      <c r="AV7711" t="s">
        <v>814</v>
      </c>
      <c r="AW7711" t="s">
        <v>46862</v>
      </c>
      <c r="AX7711" t="s">
        <v>46897</v>
      </c>
    </row>
    <row r="7712" spans="1:50">
      <c r="A7712" s="1">
        <f>HYPERLINK("https://lsnyc.legalserver.org/matter/dynamic-profile/view/1896280","19-1896280")</f>
        <v>0</v>
      </c>
      <c r="B7712" t="s">
        <v>230</v>
      </c>
      <c r="C7712" t="s">
        <v>341</v>
      </c>
      <c r="D7712" t="s">
        <v>792</v>
      </c>
      <c r="E7712" t="s">
        <v>830</v>
      </c>
      <c r="F7712" t="s">
        <v>1313</v>
      </c>
      <c r="G7712" t="s">
        <v>6494</v>
      </c>
      <c r="H7712" t="s">
        <v>14903</v>
      </c>
      <c r="I7712" t="s">
        <v>17293</v>
      </c>
      <c r="J7712" t="s">
        <v>18894</v>
      </c>
      <c r="K7712">
        <v>11205</v>
      </c>
      <c r="L7712" t="s">
        <v>18958</v>
      </c>
      <c r="M7712" t="s">
        <v>18958</v>
      </c>
      <c r="N7712" t="s">
        <v>24442</v>
      </c>
      <c r="O7712" t="s">
        <v>26523</v>
      </c>
      <c r="P7712" t="s">
        <v>26563</v>
      </c>
      <c r="Q7712" t="s">
        <v>26570</v>
      </c>
      <c r="R7712" t="s">
        <v>26586</v>
      </c>
      <c r="U7712" t="s">
        <v>26605</v>
      </c>
      <c r="W7712" t="s">
        <v>810</v>
      </c>
      <c r="X7712">
        <v>416</v>
      </c>
      <c r="Y7712" t="s">
        <v>26652</v>
      </c>
      <c r="Z7712" t="s">
        <v>26664</v>
      </c>
      <c r="AA7712" t="s">
        <v>26683</v>
      </c>
      <c r="AB7712" t="s">
        <v>32402</v>
      </c>
      <c r="AC7712" t="s">
        <v>36373</v>
      </c>
      <c r="AD7712" t="s">
        <v>42814</v>
      </c>
      <c r="AE7712">
        <v>204</v>
      </c>
      <c r="AH7712">
        <v>0</v>
      </c>
      <c r="AI7712">
        <v>1</v>
      </c>
      <c r="AJ7712">
        <v>2</v>
      </c>
      <c r="AK7712">
        <v>35.44</v>
      </c>
      <c r="AN7712" t="s">
        <v>7439</v>
      </c>
      <c r="AO7712">
        <v>7560</v>
      </c>
      <c r="AU7712">
        <v>2.1</v>
      </c>
      <c r="AV7712" t="s">
        <v>760</v>
      </c>
      <c r="AW7712" t="s">
        <v>46862</v>
      </c>
      <c r="AX7712" t="s">
        <v>46897</v>
      </c>
    </row>
    <row r="7713" spans="1:50">
      <c r="A7713" s="1">
        <f>HYPERLINK("https://lsnyc.legalserver.org/matter/dynamic-profile/view/1896127","19-1896127")</f>
        <v>0</v>
      </c>
      <c r="B7713" t="s">
        <v>230</v>
      </c>
      <c r="C7713" t="s">
        <v>341</v>
      </c>
      <c r="D7713" t="s">
        <v>792</v>
      </c>
      <c r="E7713" t="s">
        <v>830</v>
      </c>
      <c r="F7713" t="s">
        <v>1352</v>
      </c>
      <c r="G7713" t="s">
        <v>5266</v>
      </c>
      <c r="H7713" t="s">
        <v>10258</v>
      </c>
      <c r="I7713" t="s">
        <v>18489</v>
      </c>
      <c r="J7713" t="s">
        <v>18894</v>
      </c>
      <c r="K7713">
        <v>11221</v>
      </c>
      <c r="L7713" t="s">
        <v>18958</v>
      </c>
      <c r="M7713" t="s">
        <v>18958</v>
      </c>
      <c r="N7713" t="s">
        <v>24443</v>
      </c>
      <c r="O7713" t="s">
        <v>26523</v>
      </c>
      <c r="P7713" t="s">
        <v>26560</v>
      </c>
      <c r="Q7713" t="s">
        <v>26568</v>
      </c>
      <c r="R7713" t="s">
        <v>26588</v>
      </c>
      <c r="S7713" t="s">
        <v>18959</v>
      </c>
      <c r="U7713" t="s">
        <v>26604</v>
      </c>
      <c r="W7713" t="s">
        <v>810</v>
      </c>
      <c r="X7713">
        <v>0</v>
      </c>
      <c r="Y7713" t="s">
        <v>26652</v>
      </c>
      <c r="Z7713" t="s">
        <v>26669</v>
      </c>
      <c r="AA7713" t="s">
        <v>26677</v>
      </c>
      <c r="AB7713" t="s">
        <v>32403</v>
      </c>
      <c r="AD7713" t="s">
        <v>42815</v>
      </c>
      <c r="AE7713">
        <v>0</v>
      </c>
      <c r="AH7713">
        <v>0</v>
      </c>
      <c r="AI7713">
        <v>1</v>
      </c>
      <c r="AJ7713">
        <v>0</v>
      </c>
      <c r="AK7713">
        <v>131.14</v>
      </c>
      <c r="AN7713" t="s">
        <v>7439</v>
      </c>
      <c r="AO7713">
        <v>16380</v>
      </c>
      <c r="AS7713" t="s">
        <v>46499</v>
      </c>
      <c r="AU7713">
        <v>0.3</v>
      </c>
      <c r="AV7713" t="s">
        <v>830</v>
      </c>
      <c r="AW7713" t="s">
        <v>281</v>
      </c>
      <c r="AX7713" t="s">
        <v>46897</v>
      </c>
    </row>
    <row r="7714" spans="1:50">
      <c r="A7714" s="1">
        <f>HYPERLINK("https://lsnyc.legalserver.org/matter/dynamic-profile/view/1896166","19-1896166")</f>
        <v>0</v>
      </c>
      <c r="B7714" t="s">
        <v>230</v>
      </c>
      <c r="C7714" t="s">
        <v>340</v>
      </c>
      <c r="D7714" t="s">
        <v>792</v>
      </c>
      <c r="F7714" t="s">
        <v>4036</v>
      </c>
      <c r="G7714" t="s">
        <v>8417</v>
      </c>
      <c r="H7714" t="s">
        <v>14904</v>
      </c>
      <c r="I7714" t="s">
        <v>17312</v>
      </c>
      <c r="J7714" t="s">
        <v>18894</v>
      </c>
      <c r="K7714">
        <v>11225</v>
      </c>
      <c r="L7714" t="s">
        <v>18958</v>
      </c>
      <c r="M7714" t="s">
        <v>18958</v>
      </c>
      <c r="N7714" t="s">
        <v>24444</v>
      </c>
      <c r="O7714" t="s">
        <v>26524</v>
      </c>
      <c r="P7714" t="s">
        <v>26563</v>
      </c>
      <c r="R7714" t="s">
        <v>26588</v>
      </c>
      <c r="S7714" t="s">
        <v>18959</v>
      </c>
      <c r="U7714" t="s">
        <v>26604</v>
      </c>
      <c r="W7714" t="s">
        <v>810</v>
      </c>
      <c r="X7714">
        <v>0</v>
      </c>
      <c r="Y7714" t="s">
        <v>26652</v>
      </c>
      <c r="Z7714" t="s">
        <v>26669</v>
      </c>
      <c r="AB7714" t="s">
        <v>27547</v>
      </c>
      <c r="AD7714" t="s">
        <v>42816</v>
      </c>
      <c r="AE7714">
        <v>0</v>
      </c>
      <c r="AH7714">
        <v>0</v>
      </c>
      <c r="AI7714">
        <v>1</v>
      </c>
      <c r="AJ7714">
        <v>3</v>
      </c>
      <c r="AK7714">
        <v>39.66</v>
      </c>
      <c r="AN7714" t="s">
        <v>7439</v>
      </c>
      <c r="AO7714">
        <v>10212</v>
      </c>
      <c r="AU7714">
        <v>40.5</v>
      </c>
      <c r="AV7714" t="s">
        <v>773</v>
      </c>
      <c r="AW7714" t="s">
        <v>281</v>
      </c>
      <c r="AX7714" t="s">
        <v>46897</v>
      </c>
    </row>
    <row r="7715" spans="1:50">
      <c r="A7715" s="1">
        <f>HYPERLINK("https://lsnyc.legalserver.org/matter/dynamic-profile/view/1896187","19-1896187")</f>
        <v>0</v>
      </c>
      <c r="B7715" t="s">
        <v>158</v>
      </c>
      <c r="C7715" t="s">
        <v>340</v>
      </c>
      <c r="D7715" t="s">
        <v>792</v>
      </c>
      <c r="F7715" t="s">
        <v>1562</v>
      </c>
      <c r="G7715" t="s">
        <v>5147</v>
      </c>
      <c r="H7715" t="s">
        <v>14905</v>
      </c>
      <c r="I7715" t="s">
        <v>18490</v>
      </c>
      <c r="J7715" t="s">
        <v>18894</v>
      </c>
      <c r="K7715">
        <v>11217</v>
      </c>
      <c r="L7715" t="s">
        <v>18958</v>
      </c>
      <c r="M7715" t="s">
        <v>18958</v>
      </c>
      <c r="N7715" t="s">
        <v>24445</v>
      </c>
      <c r="O7715" t="s">
        <v>26524</v>
      </c>
      <c r="P7715" t="s">
        <v>26560</v>
      </c>
      <c r="R7715" t="s">
        <v>26586</v>
      </c>
      <c r="U7715" t="s">
        <v>26604</v>
      </c>
      <c r="V7715" t="s">
        <v>26610</v>
      </c>
      <c r="W7715" t="s">
        <v>810</v>
      </c>
      <c r="X7715">
        <v>0</v>
      </c>
      <c r="Y7715" t="s">
        <v>26652</v>
      </c>
      <c r="Z7715" t="s">
        <v>26664</v>
      </c>
      <c r="AB7715" t="s">
        <v>32404</v>
      </c>
      <c r="AC7715" t="s">
        <v>36374</v>
      </c>
      <c r="AD7715" t="s">
        <v>42817</v>
      </c>
      <c r="AE7715">
        <v>750</v>
      </c>
      <c r="AF7715" t="s">
        <v>45541</v>
      </c>
      <c r="AG7715" t="s">
        <v>45562</v>
      </c>
      <c r="AH7715">
        <v>0</v>
      </c>
      <c r="AI7715">
        <v>1</v>
      </c>
      <c r="AJ7715">
        <v>2</v>
      </c>
      <c r="AK7715">
        <v>0</v>
      </c>
      <c r="AN7715" t="s">
        <v>7439</v>
      </c>
      <c r="AO7715">
        <v>0</v>
      </c>
      <c r="AU7715">
        <v>47.3</v>
      </c>
      <c r="AV7715" t="s">
        <v>829</v>
      </c>
      <c r="AW7715" t="s">
        <v>46862</v>
      </c>
      <c r="AX7715" t="s">
        <v>46897</v>
      </c>
    </row>
    <row r="7716" spans="1:50">
      <c r="A7716" s="1">
        <f>HYPERLINK("https://lsnyc.legalserver.org/matter/dynamic-profile/view/1896207","19-1896207")</f>
        <v>0</v>
      </c>
      <c r="B7716" t="s">
        <v>158</v>
      </c>
      <c r="C7716" t="s">
        <v>340</v>
      </c>
      <c r="D7716" t="s">
        <v>792</v>
      </c>
      <c r="F7716" t="s">
        <v>1638</v>
      </c>
      <c r="G7716" t="s">
        <v>5266</v>
      </c>
      <c r="H7716" t="s">
        <v>14906</v>
      </c>
      <c r="I7716" t="s">
        <v>17288</v>
      </c>
      <c r="J7716" t="s">
        <v>18894</v>
      </c>
      <c r="K7716">
        <v>11229</v>
      </c>
      <c r="L7716" t="s">
        <v>18958</v>
      </c>
      <c r="M7716" t="s">
        <v>18958</v>
      </c>
      <c r="N7716" t="s">
        <v>24446</v>
      </c>
      <c r="O7716" t="s">
        <v>26523</v>
      </c>
      <c r="P7716" t="s">
        <v>26560</v>
      </c>
      <c r="R7716" t="s">
        <v>26586</v>
      </c>
      <c r="U7716" t="s">
        <v>26604</v>
      </c>
      <c r="V7716" t="s">
        <v>26610</v>
      </c>
      <c r="W7716" t="s">
        <v>810</v>
      </c>
      <c r="X7716">
        <v>1300</v>
      </c>
      <c r="Y7716" t="s">
        <v>26652</v>
      </c>
      <c r="Z7716" t="s">
        <v>26664</v>
      </c>
      <c r="AB7716" t="s">
        <v>30184</v>
      </c>
      <c r="AD7716" t="s">
        <v>42818</v>
      </c>
      <c r="AE7716">
        <v>69</v>
      </c>
      <c r="AF7716" t="s">
        <v>45553</v>
      </c>
      <c r="AH7716">
        <v>0</v>
      </c>
      <c r="AI7716">
        <v>1</v>
      </c>
      <c r="AJ7716">
        <v>0</v>
      </c>
      <c r="AK7716">
        <v>249.8</v>
      </c>
      <c r="AL7716" t="s">
        <v>770</v>
      </c>
      <c r="AM7716" t="s">
        <v>45575</v>
      </c>
      <c r="AN7716" t="s">
        <v>7439</v>
      </c>
      <c r="AO7716">
        <v>31200</v>
      </c>
      <c r="AU7716">
        <v>13.6</v>
      </c>
      <c r="AV7716" t="s">
        <v>829</v>
      </c>
      <c r="AW7716" t="s">
        <v>46862</v>
      </c>
      <c r="AX7716" t="s">
        <v>46897</v>
      </c>
    </row>
    <row r="7717" spans="1:50">
      <c r="A7717" s="1">
        <f>HYPERLINK("https://lsnyc.legalserver.org/matter/dynamic-profile/view/1896143","19-1896143")</f>
        <v>0</v>
      </c>
      <c r="B7717" t="s">
        <v>140</v>
      </c>
      <c r="C7717" t="s">
        <v>340</v>
      </c>
      <c r="D7717" t="s">
        <v>792</v>
      </c>
      <c r="F7717" t="s">
        <v>969</v>
      </c>
      <c r="G7717" t="s">
        <v>3879</v>
      </c>
      <c r="H7717" t="s">
        <v>13988</v>
      </c>
      <c r="I7717" t="s">
        <v>17312</v>
      </c>
      <c r="J7717" t="s">
        <v>18894</v>
      </c>
      <c r="K7717">
        <v>11225</v>
      </c>
      <c r="L7717" t="s">
        <v>18958</v>
      </c>
      <c r="M7717" t="s">
        <v>18958</v>
      </c>
      <c r="N7717" t="s">
        <v>24447</v>
      </c>
      <c r="O7717" t="s">
        <v>26524</v>
      </c>
      <c r="P7717" t="s">
        <v>26563</v>
      </c>
      <c r="R7717" t="s">
        <v>26588</v>
      </c>
      <c r="U7717" t="s">
        <v>26604</v>
      </c>
      <c r="W7717" t="s">
        <v>810</v>
      </c>
      <c r="X7717">
        <v>0</v>
      </c>
      <c r="Y7717" t="s">
        <v>26652</v>
      </c>
      <c r="Z7717" t="s">
        <v>26669</v>
      </c>
      <c r="AB7717" t="s">
        <v>29017</v>
      </c>
      <c r="AD7717" t="s">
        <v>42819</v>
      </c>
      <c r="AE7717">
        <v>56</v>
      </c>
      <c r="AH7717">
        <v>0</v>
      </c>
      <c r="AI7717">
        <v>1</v>
      </c>
      <c r="AJ7717">
        <v>0</v>
      </c>
      <c r="AK7717">
        <v>192.15</v>
      </c>
      <c r="AN7717" t="s">
        <v>7439</v>
      </c>
      <c r="AO7717">
        <v>24000</v>
      </c>
      <c r="AU7717">
        <v>6.8</v>
      </c>
      <c r="AV7717" t="s">
        <v>729</v>
      </c>
      <c r="AW7717" t="s">
        <v>46862</v>
      </c>
      <c r="AX7717" t="s">
        <v>46897</v>
      </c>
    </row>
    <row r="7718" spans="1:50">
      <c r="A7718" s="1">
        <f>HYPERLINK("https://lsnyc.legalserver.org/matter/dynamic-profile/view/1896273","19-1896273")</f>
        <v>0</v>
      </c>
      <c r="B7718" t="s">
        <v>106</v>
      </c>
      <c r="C7718" t="s">
        <v>340</v>
      </c>
      <c r="D7718" t="s">
        <v>792</v>
      </c>
      <c r="F7718" t="s">
        <v>1116</v>
      </c>
      <c r="G7718" t="s">
        <v>8418</v>
      </c>
      <c r="H7718" t="s">
        <v>14907</v>
      </c>
      <c r="I7718" t="s">
        <v>18491</v>
      </c>
      <c r="J7718" t="s">
        <v>18894</v>
      </c>
      <c r="K7718">
        <v>11222</v>
      </c>
      <c r="L7718" t="s">
        <v>18958</v>
      </c>
      <c r="M7718" t="s">
        <v>18958</v>
      </c>
      <c r="N7718" t="s">
        <v>24448</v>
      </c>
      <c r="O7718" t="s">
        <v>26523</v>
      </c>
      <c r="P7718" t="s">
        <v>26563</v>
      </c>
      <c r="R7718" t="s">
        <v>26586</v>
      </c>
      <c r="U7718" t="s">
        <v>26604</v>
      </c>
      <c r="W7718" t="s">
        <v>810</v>
      </c>
      <c r="X7718">
        <v>752</v>
      </c>
      <c r="Y7718" t="s">
        <v>26652</v>
      </c>
      <c r="Z7718" t="s">
        <v>26664</v>
      </c>
      <c r="AB7718" t="s">
        <v>32405</v>
      </c>
      <c r="AC7718" t="s">
        <v>36375</v>
      </c>
      <c r="AE7718">
        <v>0</v>
      </c>
      <c r="AH7718">
        <v>0</v>
      </c>
      <c r="AI7718">
        <v>1</v>
      </c>
      <c r="AJ7718">
        <v>0</v>
      </c>
      <c r="AK7718">
        <v>74.08</v>
      </c>
      <c r="AN7718" t="s">
        <v>7439</v>
      </c>
      <c r="AO7718">
        <v>9252</v>
      </c>
      <c r="AU7718">
        <v>9.6</v>
      </c>
      <c r="AV7718" t="s">
        <v>830</v>
      </c>
      <c r="AW7718" t="s">
        <v>46853</v>
      </c>
      <c r="AX7718" t="s">
        <v>46897</v>
      </c>
    </row>
    <row r="7719" spans="1:50">
      <c r="A7719" s="1">
        <f>HYPERLINK("https://lsnyc.legalserver.org/matter/dynamic-profile/view/1896244","19-1896244")</f>
        <v>0</v>
      </c>
      <c r="B7719" t="s">
        <v>106</v>
      </c>
      <c r="C7719" t="s">
        <v>340</v>
      </c>
      <c r="D7719" t="s">
        <v>792</v>
      </c>
      <c r="F7719" t="s">
        <v>4037</v>
      </c>
      <c r="G7719" t="s">
        <v>8419</v>
      </c>
      <c r="H7719" t="s">
        <v>14908</v>
      </c>
      <c r="I7719" t="s">
        <v>18492</v>
      </c>
      <c r="J7719" t="s">
        <v>18894</v>
      </c>
      <c r="K7719">
        <v>11206</v>
      </c>
      <c r="L7719" t="s">
        <v>18958</v>
      </c>
      <c r="M7719" t="s">
        <v>18960</v>
      </c>
      <c r="N7719" t="s">
        <v>24449</v>
      </c>
      <c r="O7719" t="s">
        <v>26523</v>
      </c>
      <c r="P7719" t="s">
        <v>26560</v>
      </c>
      <c r="R7719" t="s">
        <v>26586</v>
      </c>
      <c r="U7719" t="s">
        <v>26604</v>
      </c>
      <c r="W7719" t="s">
        <v>810</v>
      </c>
      <c r="X7719">
        <v>1534</v>
      </c>
      <c r="Y7719" t="s">
        <v>26652</v>
      </c>
      <c r="Z7719" t="s">
        <v>26664</v>
      </c>
      <c r="AB7719" t="s">
        <v>32406</v>
      </c>
      <c r="AD7719" t="s">
        <v>42820</v>
      </c>
      <c r="AE7719">
        <v>0</v>
      </c>
      <c r="AG7719" t="s">
        <v>45562</v>
      </c>
      <c r="AH7719">
        <v>0</v>
      </c>
      <c r="AI7719">
        <v>2</v>
      </c>
      <c r="AJ7719">
        <v>2</v>
      </c>
      <c r="AK7719">
        <v>89.31999999999999</v>
      </c>
      <c r="AN7719" t="s">
        <v>7439</v>
      </c>
      <c r="AO7719">
        <v>23000</v>
      </c>
      <c r="AU7719">
        <v>5</v>
      </c>
      <c r="AV7719" t="s">
        <v>821</v>
      </c>
      <c r="AW7719" t="s">
        <v>46853</v>
      </c>
      <c r="AX7719" t="s">
        <v>46897</v>
      </c>
    </row>
    <row r="7720" spans="1:50">
      <c r="A7720" s="1">
        <f>HYPERLINK("https://lsnyc.legalserver.org/matter/dynamic-profile/view/1896256","19-1896256")</f>
        <v>0</v>
      </c>
      <c r="B7720" t="s">
        <v>106</v>
      </c>
      <c r="C7720" t="s">
        <v>340</v>
      </c>
      <c r="D7720" t="s">
        <v>792</v>
      </c>
      <c r="F7720" t="s">
        <v>945</v>
      </c>
      <c r="G7720" t="s">
        <v>1165</v>
      </c>
      <c r="H7720" t="s">
        <v>14909</v>
      </c>
      <c r="I7720" t="s">
        <v>17466</v>
      </c>
      <c r="J7720" t="s">
        <v>18894</v>
      </c>
      <c r="K7720">
        <v>11230</v>
      </c>
      <c r="L7720" t="s">
        <v>18958</v>
      </c>
      <c r="M7720" t="s">
        <v>18958</v>
      </c>
      <c r="N7720" t="s">
        <v>24450</v>
      </c>
      <c r="O7720" t="s">
        <v>26524</v>
      </c>
      <c r="P7720" t="s">
        <v>26563</v>
      </c>
      <c r="R7720" t="s">
        <v>26586</v>
      </c>
      <c r="U7720" t="s">
        <v>26604</v>
      </c>
      <c r="W7720" t="s">
        <v>810</v>
      </c>
      <c r="X7720">
        <v>1400</v>
      </c>
      <c r="Y7720" t="s">
        <v>26652</v>
      </c>
      <c r="Z7720" t="s">
        <v>26664</v>
      </c>
      <c r="AB7720" t="s">
        <v>32407</v>
      </c>
      <c r="AC7720" t="s">
        <v>36376</v>
      </c>
      <c r="AD7720" t="s">
        <v>42821</v>
      </c>
      <c r="AE7720">
        <v>0</v>
      </c>
      <c r="AH7720">
        <v>0</v>
      </c>
      <c r="AI7720">
        <v>1</v>
      </c>
      <c r="AJ7720">
        <v>0</v>
      </c>
      <c r="AK7720">
        <v>99.81999999999999</v>
      </c>
      <c r="AN7720" t="s">
        <v>7439</v>
      </c>
      <c r="AO7720">
        <v>12468</v>
      </c>
      <c r="AU7720">
        <v>36.7</v>
      </c>
      <c r="AV7720" t="s">
        <v>838</v>
      </c>
      <c r="AW7720" t="s">
        <v>46853</v>
      </c>
      <c r="AX7720" t="s">
        <v>46897</v>
      </c>
    </row>
    <row r="7721" spans="1:50">
      <c r="A7721" s="1">
        <f>HYPERLINK("https://lsnyc.legalserver.org/matter/dynamic-profile/view/1896451","19-1896451")</f>
        <v>0</v>
      </c>
      <c r="B7721" t="s">
        <v>126</v>
      </c>
      <c r="C7721" t="s">
        <v>340</v>
      </c>
      <c r="D7721" t="s">
        <v>724</v>
      </c>
      <c r="F7721" t="s">
        <v>3261</v>
      </c>
      <c r="G7721" t="s">
        <v>5229</v>
      </c>
      <c r="H7721" t="s">
        <v>14910</v>
      </c>
      <c r="I7721">
        <v>3</v>
      </c>
      <c r="J7721" t="s">
        <v>18894</v>
      </c>
      <c r="K7721">
        <v>11208</v>
      </c>
      <c r="L7721" t="s">
        <v>18958</v>
      </c>
      <c r="M7721" t="s">
        <v>18959</v>
      </c>
      <c r="N7721" t="s">
        <v>24451</v>
      </c>
      <c r="O7721" t="s">
        <v>26524</v>
      </c>
      <c r="P7721" t="s">
        <v>26560</v>
      </c>
      <c r="R7721" t="s">
        <v>26578</v>
      </c>
      <c r="S7721" t="s">
        <v>18959</v>
      </c>
      <c r="U7721" t="s">
        <v>26604</v>
      </c>
      <c r="V7721" t="s">
        <v>26610</v>
      </c>
      <c r="W7721" t="s">
        <v>810</v>
      </c>
      <c r="X7721">
        <v>900</v>
      </c>
      <c r="Y7721" t="s">
        <v>26652</v>
      </c>
      <c r="Z7721" t="s">
        <v>26660</v>
      </c>
      <c r="AB7721" t="s">
        <v>27237</v>
      </c>
      <c r="AD7721" t="s">
        <v>40998</v>
      </c>
      <c r="AE7721">
        <v>3</v>
      </c>
      <c r="AF7721" t="s">
        <v>45547</v>
      </c>
      <c r="AG7721" t="s">
        <v>19330</v>
      </c>
      <c r="AH7721">
        <v>0</v>
      </c>
      <c r="AI7721">
        <v>2</v>
      </c>
      <c r="AJ7721">
        <v>1</v>
      </c>
      <c r="AK7721">
        <v>221.28</v>
      </c>
      <c r="AN7721" t="s">
        <v>7439</v>
      </c>
      <c r="AO7721">
        <v>47200</v>
      </c>
      <c r="AU7721">
        <v>25.5</v>
      </c>
      <c r="AV7721" t="s">
        <v>835</v>
      </c>
      <c r="AW7721" t="s">
        <v>279</v>
      </c>
      <c r="AX7721" t="s">
        <v>46897</v>
      </c>
    </row>
    <row r="7722" spans="1:50">
      <c r="A7722" s="1">
        <f>HYPERLINK("https://lsnyc.legalserver.org/matter/dynamic-profile/view/1896409","19-1896409")</f>
        <v>0</v>
      </c>
      <c r="B7722" t="s">
        <v>172</v>
      </c>
      <c r="C7722" t="s">
        <v>340</v>
      </c>
      <c r="D7722" t="s">
        <v>724</v>
      </c>
      <c r="F7722" t="s">
        <v>4038</v>
      </c>
      <c r="G7722" t="s">
        <v>8420</v>
      </c>
      <c r="H7722" t="s">
        <v>14911</v>
      </c>
      <c r="I7722" t="s">
        <v>18493</v>
      </c>
      <c r="J7722" t="s">
        <v>18894</v>
      </c>
      <c r="K7722">
        <v>11220</v>
      </c>
      <c r="L7722" t="s">
        <v>18958</v>
      </c>
      <c r="M7722" t="s">
        <v>18958</v>
      </c>
      <c r="N7722" t="s">
        <v>24452</v>
      </c>
      <c r="O7722" t="s">
        <v>26553</v>
      </c>
      <c r="P7722" t="s">
        <v>26560</v>
      </c>
      <c r="R7722" t="s">
        <v>26586</v>
      </c>
      <c r="U7722" t="s">
        <v>26604</v>
      </c>
      <c r="W7722" t="s">
        <v>810</v>
      </c>
      <c r="X7722">
        <v>0</v>
      </c>
      <c r="Y7722" t="s">
        <v>26652</v>
      </c>
      <c r="Z7722" t="s">
        <v>26659</v>
      </c>
      <c r="AB7722" t="s">
        <v>32408</v>
      </c>
      <c r="AD7722" t="s">
        <v>42822</v>
      </c>
      <c r="AE7722">
        <v>391</v>
      </c>
      <c r="AF7722" t="s">
        <v>45550</v>
      </c>
      <c r="AH7722">
        <v>10</v>
      </c>
      <c r="AI7722">
        <v>1</v>
      </c>
      <c r="AJ7722">
        <v>0</v>
      </c>
      <c r="AK7722">
        <v>76.56999999999999</v>
      </c>
      <c r="AN7722" t="s">
        <v>45586</v>
      </c>
      <c r="AO7722">
        <v>9564</v>
      </c>
      <c r="AU7722">
        <v>3.6</v>
      </c>
      <c r="AV7722" t="s">
        <v>821</v>
      </c>
      <c r="AW7722" t="s">
        <v>46862</v>
      </c>
      <c r="AX7722" t="s">
        <v>46897</v>
      </c>
    </row>
    <row r="7723" spans="1:50">
      <c r="A7723" s="1">
        <f>HYPERLINK("https://lsnyc.legalserver.org/matter/dynamic-profile/view/1896485","19-1896485")</f>
        <v>0</v>
      </c>
      <c r="B7723" t="s">
        <v>288</v>
      </c>
      <c r="C7723" t="s">
        <v>341</v>
      </c>
      <c r="D7723" t="s">
        <v>802</v>
      </c>
      <c r="E7723" t="s">
        <v>821</v>
      </c>
      <c r="F7723" t="s">
        <v>3904</v>
      </c>
      <c r="G7723" t="s">
        <v>8261</v>
      </c>
      <c r="H7723" t="s">
        <v>14648</v>
      </c>
      <c r="I7723" t="s">
        <v>18445</v>
      </c>
      <c r="J7723" t="s">
        <v>18894</v>
      </c>
      <c r="K7723">
        <v>11221</v>
      </c>
      <c r="L7723" t="s">
        <v>18958</v>
      </c>
      <c r="M7723" t="s">
        <v>18958</v>
      </c>
      <c r="N7723" t="s">
        <v>24453</v>
      </c>
      <c r="O7723" t="s">
        <v>26523</v>
      </c>
      <c r="P7723" t="s">
        <v>26560</v>
      </c>
      <c r="Q7723" t="s">
        <v>26568</v>
      </c>
      <c r="R7723" t="s">
        <v>26588</v>
      </c>
      <c r="S7723" t="s">
        <v>18959</v>
      </c>
      <c r="U7723" t="s">
        <v>26605</v>
      </c>
      <c r="V7723" t="s">
        <v>26610</v>
      </c>
      <c r="W7723" t="s">
        <v>810</v>
      </c>
      <c r="X7723">
        <v>153</v>
      </c>
      <c r="Y7723" t="s">
        <v>26652</v>
      </c>
      <c r="Z7723" t="s">
        <v>26664</v>
      </c>
      <c r="AA7723" t="s">
        <v>26680</v>
      </c>
      <c r="AB7723" t="s">
        <v>32146</v>
      </c>
      <c r="AD7723" t="s">
        <v>37505</v>
      </c>
      <c r="AE7723">
        <v>100</v>
      </c>
      <c r="AF7723" t="s">
        <v>45549</v>
      </c>
      <c r="AG7723" t="s">
        <v>19330</v>
      </c>
      <c r="AH7723">
        <v>25</v>
      </c>
      <c r="AI7723">
        <v>1</v>
      </c>
      <c r="AJ7723">
        <v>0</v>
      </c>
      <c r="AK7723">
        <v>71.09999999999999</v>
      </c>
      <c r="AN7723" t="s">
        <v>45581</v>
      </c>
      <c r="AO7723">
        <v>8880</v>
      </c>
      <c r="AQ7723" t="s">
        <v>46359</v>
      </c>
      <c r="AR7723" t="s">
        <v>46381</v>
      </c>
      <c r="AS7723" t="s">
        <v>46499</v>
      </c>
      <c r="AT7723" t="s">
        <v>46655</v>
      </c>
      <c r="AU7723">
        <v>1.9</v>
      </c>
      <c r="AV7723" t="s">
        <v>772</v>
      </c>
      <c r="AW7723" t="s">
        <v>46853</v>
      </c>
      <c r="AX7723" t="s">
        <v>46897</v>
      </c>
    </row>
    <row r="7724" spans="1:50">
      <c r="A7724" s="1">
        <f>HYPERLINK("https://lsnyc.legalserver.org/matter/dynamic-profile/view/1896676","19-1896676")</f>
        <v>0</v>
      </c>
      <c r="B7724" t="s">
        <v>172</v>
      </c>
      <c r="C7724" t="s">
        <v>341</v>
      </c>
      <c r="D7724" t="s">
        <v>671</v>
      </c>
      <c r="E7724" t="s">
        <v>803</v>
      </c>
      <c r="F7724" t="s">
        <v>1197</v>
      </c>
      <c r="G7724" t="s">
        <v>8421</v>
      </c>
      <c r="H7724" t="s">
        <v>14912</v>
      </c>
      <c r="I7724" t="s">
        <v>17274</v>
      </c>
      <c r="J7724" t="s">
        <v>18894</v>
      </c>
      <c r="K7724">
        <v>11226</v>
      </c>
      <c r="L7724" t="s">
        <v>18958</v>
      </c>
      <c r="M7724" t="s">
        <v>18958</v>
      </c>
      <c r="N7724" t="s">
        <v>24454</v>
      </c>
      <c r="O7724" t="s">
        <v>26523</v>
      </c>
      <c r="P7724" t="s">
        <v>26564</v>
      </c>
      <c r="Q7724" t="s">
        <v>26570</v>
      </c>
      <c r="R7724" t="s">
        <v>26588</v>
      </c>
      <c r="S7724" t="s">
        <v>18959</v>
      </c>
      <c r="U7724" t="s">
        <v>26604</v>
      </c>
      <c r="V7724" t="s">
        <v>26612</v>
      </c>
      <c r="W7724" t="s">
        <v>810</v>
      </c>
      <c r="X7724">
        <v>1278.26</v>
      </c>
      <c r="Y7724" t="s">
        <v>26652</v>
      </c>
      <c r="Z7724" t="s">
        <v>26663</v>
      </c>
      <c r="AA7724" t="s">
        <v>26678</v>
      </c>
      <c r="AB7724" t="s">
        <v>32409</v>
      </c>
      <c r="AD7724" t="s">
        <v>42823</v>
      </c>
      <c r="AE7724">
        <v>0</v>
      </c>
      <c r="AF7724" t="s">
        <v>45541</v>
      </c>
      <c r="AH7724">
        <v>8</v>
      </c>
      <c r="AI7724">
        <v>3</v>
      </c>
      <c r="AJ7724">
        <v>0</v>
      </c>
      <c r="AK7724">
        <v>85.33</v>
      </c>
      <c r="AO7724">
        <v>18200</v>
      </c>
      <c r="AS7724" t="s">
        <v>46499</v>
      </c>
      <c r="AT7724" t="s">
        <v>46674</v>
      </c>
      <c r="AU7724">
        <v>1.1</v>
      </c>
      <c r="AV7724" t="s">
        <v>803</v>
      </c>
      <c r="AW7724" t="s">
        <v>289</v>
      </c>
      <c r="AX7724" t="s">
        <v>46897</v>
      </c>
    </row>
    <row r="7725" spans="1:50">
      <c r="A7725" s="1">
        <f>HYPERLINK("https://lsnyc.legalserver.org/matter/dynamic-profile/view/1896683","19-1896683")</f>
        <v>0</v>
      </c>
      <c r="B7725" t="s">
        <v>71</v>
      </c>
      <c r="C7725" t="s">
        <v>340</v>
      </c>
      <c r="D7725" t="s">
        <v>671</v>
      </c>
      <c r="F7725" t="s">
        <v>1457</v>
      </c>
      <c r="G7725" t="s">
        <v>5082</v>
      </c>
      <c r="H7725" t="s">
        <v>11774</v>
      </c>
      <c r="J7725" t="s">
        <v>18892</v>
      </c>
      <c r="K7725">
        <v>10455</v>
      </c>
      <c r="L7725" t="s">
        <v>18958</v>
      </c>
      <c r="M7725" t="s">
        <v>18958</v>
      </c>
      <c r="N7725" t="s">
        <v>24455</v>
      </c>
      <c r="O7725" t="s">
        <v>26524</v>
      </c>
      <c r="P7725" t="s">
        <v>26560</v>
      </c>
      <c r="R7725" t="s">
        <v>26577</v>
      </c>
      <c r="S7725" t="s">
        <v>18959</v>
      </c>
      <c r="U7725" t="s">
        <v>26604</v>
      </c>
      <c r="V7725" t="s">
        <v>26610</v>
      </c>
      <c r="W7725" t="s">
        <v>810</v>
      </c>
      <c r="X7725">
        <v>1664</v>
      </c>
      <c r="Y7725" t="s">
        <v>26650</v>
      </c>
      <c r="Z7725" t="s">
        <v>26664</v>
      </c>
      <c r="AB7725" t="s">
        <v>32410</v>
      </c>
      <c r="AC7725" t="s">
        <v>36377</v>
      </c>
      <c r="AD7725" t="s">
        <v>42824</v>
      </c>
      <c r="AE7725">
        <v>209</v>
      </c>
      <c r="AF7725" t="s">
        <v>45552</v>
      </c>
      <c r="AG7725" t="s">
        <v>45556</v>
      </c>
      <c r="AH7725">
        <v>20</v>
      </c>
      <c r="AI7725">
        <v>1</v>
      </c>
      <c r="AJ7725">
        <v>0</v>
      </c>
      <c r="AK7725">
        <v>82.63</v>
      </c>
      <c r="AN7725" t="s">
        <v>45581</v>
      </c>
      <c r="AO7725">
        <v>10320</v>
      </c>
      <c r="AU7725">
        <v>12.3</v>
      </c>
      <c r="AV7725" t="s">
        <v>826</v>
      </c>
      <c r="AW7725" t="s">
        <v>334</v>
      </c>
      <c r="AX7725" t="s">
        <v>46898</v>
      </c>
    </row>
    <row r="7726" spans="1:50">
      <c r="A7726" s="1">
        <f>HYPERLINK("https://lsnyc.legalserver.org/matter/dynamic-profile/view/1896755","19-1896755")</f>
        <v>0</v>
      </c>
      <c r="B7726" t="s">
        <v>242</v>
      </c>
      <c r="C7726" t="s">
        <v>341</v>
      </c>
      <c r="D7726" t="s">
        <v>672</v>
      </c>
      <c r="E7726" t="s">
        <v>805</v>
      </c>
      <c r="F7726" t="s">
        <v>1178</v>
      </c>
      <c r="G7726" t="s">
        <v>8422</v>
      </c>
      <c r="H7726" t="s">
        <v>12991</v>
      </c>
      <c r="I7726" t="s">
        <v>18494</v>
      </c>
      <c r="J7726" t="s">
        <v>18894</v>
      </c>
      <c r="K7726">
        <v>11226</v>
      </c>
      <c r="L7726" t="s">
        <v>18958</v>
      </c>
      <c r="M7726" t="s">
        <v>18958</v>
      </c>
      <c r="N7726" t="s">
        <v>24456</v>
      </c>
      <c r="O7726" t="s">
        <v>26523</v>
      </c>
      <c r="P7726" t="s">
        <v>26560</v>
      </c>
      <c r="Q7726" t="s">
        <v>26568</v>
      </c>
      <c r="R7726" t="s">
        <v>26588</v>
      </c>
      <c r="S7726" t="s">
        <v>18959</v>
      </c>
      <c r="U7726" t="s">
        <v>26604</v>
      </c>
      <c r="W7726" t="s">
        <v>810</v>
      </c>
      <c r="X7726">
        <v>642.3200000000001</v>
      </c>
      <c r="Y7726" t="s">
        <v>26652</v>
      </c>
      <c r="Z7726" t="s">
        <v>26664</v>
      </c>
      <c r="AA7726" t="s">
        <v>26678</v>
      </c>
      <c r="AB7726" t="s">
        <v>32411</v>
      </c>
      <c r="AD7726" t="s">
        <v>42825</v>
      </c>
      <c r="AE7726">
        <v>80</v>
      </c>
      <c r="AF7726" t="s">
        <v>45541</v>
      </c>
      <c r="AH7726">
        <v>22</v>
      </c>
      <c r="AI7726">
        <v>1</v>
      </c>
      <c r="AJ7726">
        <v>0</v>
      </c>
      <c r="AK7726">
        <v>17.29</v>
      </c>
      <c r="AN7726" t="s">
        <v>7439</v>
      </c>
      <c r="AO7726">
        <v>2160</v>
      </c>
      <c r="AQ7726" t="s">
        <v>46359</v>
      </c>
      <c r="AR7726" t="s">
        <v>46379</v>
      </c>
      <c r="AS7726" t="s">
        <v>46499</v>
      </c>
      <c r="AT7726" t="s">
        <v>46806</v>
      </c>
      <c r="AU7726">
        <v>4.5</v>
      </c>
      <c r="AV7726" t="s">
        <v>809</v>
      </c>
      <c r="AW7726" t="s">
        <v>46853</v>
      </c>
      <c r="AX7726" t="s">
        <v>46897</v>
      </c>
    </row>
    <row r="7727" spans="1:50">
      <c r="A7727" s="1">
        <f>HYPERLINK("https://lsnyc.legalserver.org/matter/dynamic-profile/view/1896806","19-1896806")</f>
        <v>0</v>
      </c>
      <c r="B7727" t="s">
        <v>242</v>
      </c>
      <c r="C7727" t="s">
        <v>340</v>
      </c>
      <c r="D7727" t="s">
        <v>672</v>
      </c>
      <c r="F7727" t="s">
        <v>4039</v>
      </c>
      <c r="G7727" t="s">
        <v>8423</v>
      </c>
      <c r="H7727" t="s">
        <v>14913</v>
      </c>
      <c r="I7727" t="s">
        <v>18495</v>
      </c>
      <c r="J7727" t="s">
        <v>18894</v>
      </c>
      <c r="K7727">
        <v>11232</v>
      </c>
      <c r="L7727" t="s">
        <v>18958</v>
      </c>
      <c r="M7727" t="s">
        <v>18958</v>
      </c>
      <c r="N7727" t="s">
        <v>24457</v>
      </c>
      <c r="O7727" t="s">
        <v>26523</v>
      </c>
      <c r="P7727" t="s">
        <v>26560</v>
      </c>
      <c r="R7727" t="s">
        <v>26586</v>
      </c>
      <c r="U7727" t="s">
        <v>26604</v>
      </c>
      <c r="W7727" t="s">
        <v>810</v>
      </c>
      <c r="X7727">
        <v>1214</v>
      </c>
      <c r="Y7727" t="s">
        <v>26652</v>
      </c>
      <c r="Z7727" t="s">
        <v>26664</v>
      </c>
      <c r="AB7727" t="s">
        <v>32412</v>
      </c>
      <c r="AD7727" t="s">
        <v>42826</v>
      </c>
      <c r="AE7727">
        <v>0</v>
      </c>
      <c r="AH7727">
        <v>0</v>
      </c>
      <c r="AI7727">
        <v>2</v>
      </c>
      <c r="AJ7727">
        <v>0</v>
      </c>
      <c r="AK7727">
        <v>0</v>
      </c>
      <c r="AN7727" t="s">
        <v>7439</v>
      </c>
      <c r="AO7727">
        <v>0</v>
      </c>
      <c r="AU7727">
        <v>3.8</v>
      </c>
      <c r="AV7727" t="s">
        <v>773</v>
      </c>
      <c r="AW7727" t="s">
        <v>46853</v>
      </c>
      <c r="AX7727" t="s">
        <v>46897</v>
      </c>
    </row>
    <row r="7728" spans="1:50">
      <c r="A7728" s="1">
        <f>HYPERLINK("https://lsnyc.legalserver.org/matter/dynamic-profile/view/1896789","19-1896789")</f>
        <v>0</v>
      </c>
      <c r="B7728" t="s">
        <v>242</v>
      </c>
      <c r="C7728" t="s">
        <v>340</v>
      </c>
      <c r="D7728" t="s">
        <v>672</v>
      </c>
      <c r="F7728" t="s">
        <v>4040</v>
      </c>
      <c r="G7728" t="s">
        <v>1031</v>
      </c>
      <c r="H7728" t="s">
        <v>14914</v>
      </c>
      <c r="I7728" t="s">
        <v>17371</v>
      </c>
      <c r="J7728" t="s">
        <v>18894</v>
      </c>
      <c r="K7728">
        <v>11203</v>
      </c>
      <c r="L7728" t="s">
        <v>18958</v>
      </c>
      <c r="M7728" t="s">
        <v>18958</v>
      </c>
      <c r="N7728" t="s">
        <v>24458</v>
      </c>
      <c r="O7728" t="s">
        <v>26524</v>
      </c>
      <c r="P7728" t="s">
        <v>26560</v>
      </c>
      <c r="R7728" t="s">
        <v>26586</v>
      </c>
      <c r="U7728" t="s">
        <v>26604</v>
      </c>
      <c r="W7728" t="s">
        <v>810</v>
      </c>
      <c r="X7728">
        <v>0</v>
      </c>
      <c r="Y7728" t="s">
        <v>26652</v>
      </c>
      <c r="Z7728" t="s">
        <v>26664</v>
      </c>
      <c r="AB7728" t="s">
        <v>32413</v>
      </c>
      <c r="AD7728" t="s">
        <v>42827</v>
      </c>
      <c r="AE7728">
        <v>0</v>
      </c>
      <c r="AH7728">
        <v>0</v>
      </c>
      <c r="AI7728">
        <v>2</v>
      </c>
      <c r="AJ7728">
        <v>2</v>
      </c>
      <c r="AK7728">
        <v>37.28</v>
      </c>
      <c r="AN7728" t="s">
        <v>7439</v>
      </c>
      <c r="AO7728">
        <v>9600</v>
      </c>
      <c r="AU7728">
        <v>13.65</v>
      </c>
      <c r="AV7728" t="s">
        <v>833</v>
      </c>
      <c r="AW7728" t="s">
        <v>46853</v>
      </c>
      <c r="AX7728" t="s">
        <v>46897</v>
      </c>
    </row>
    <row r="7729" spans="1:50">
      <c r="A7729" s="1">
        <f>HYPERLINK("https://lsnyc.legalserver.org/matter/dynamic-profile/view/1896836","19-1896836")</f>
        <v>0</v>
      </c>
      <c r="B7729" t="s">
        <v>283</v>
      </c>
      <c r="C7729" t="s">
        <v>340</v>
      </c>
      <c r="D7729" t="s">
        <v>672</v>
      </c>
      <c r="F7729" t="s">
        <v>4041</v>
      </c>
      <c r="G7729" t="s">
        <v>5177</v>
      </c>
      <c r="H7729" t="s">
        <v>14915</v>
      </c>
      <c r="I7729">
        <v>1</v>
      </c>
      <c r="J7729" t="s">
        <v>18894</v>
      </c>
      <c r="K7729">
        <v>11221</v>
      </c>
      <c r="L7729" t="s">
        <v>18958</v>
      </c>
      <c r="M7729" t="s">
        <v>18958</v>
      </c>
      <c r="N7729" t="s">
        <v>24459</v>
      </c>
      <c r="O7729" t="s">
        <v>26523</v>
      </c>
      <c r="P7729" t="s">
        <v>26563</v>
      </c>
      <c r="R7729" t="s">
        <v>26588</v>
      </c>
      <c r="U7729" t="s">
        <v>26604</v>
      </c>
      <c r="W7729" t="s">
        <v>810</v>
      </c>
      <c r="X7729">
        <v>0</v>
      </c>
      <c r="Y7729" t="s">
        <v>26652</v>
      </c>
      <c r="Z7729" t="s">
        <v>26664</v>
      </c>
      <c r="AB7729" t="s">
        <v>27664</v>
      </c>
      <c r="AD7729" t="s">
        <v>42828</v>
      </c>
      <c r="AE7729">
        <v>3</v>
      </c>
      <c r="AH7729">
        <v>0</v>
      </c>
      <c r="AI7729">
        <v>3</v>
      </c>
      <c r="AJ7729">
        <v>1</v>
      </c>
      <c r="AK7729">
        <v>143.69</v>
      </c>
      <c r="AN7729" t="s">
        <v>7439</v>
      </c>
      <c r="AO7729">
        <v>37000</v>
      </c>
      <c r="AU7729">
        <v>1</v>
      </c>
      <c r="AV7729" t="s">
        <v>672</v>
      </c>
      <c r="AW7729" t="s">
        <v>46862</v>
      </c>
      <c r="AX7729" t="s">
        <v>46897</v>
      </c>
    </row>
    <row r="7730" spans="1:50">
      <c r="A7730" s="1">
        <f>HYPERLINK("https://lsnyc.legalserver.org/matter/dynamic-profile/view/1896754","19-1896754")</f>
        <v>0</v>
      </c>
      <c r="B7730" t="s">
        <v>123</v>
      </c>
      <c r="C7730" t="s">
        <v>340</v>
      </c>
      <c r="D7730" t="s">
        <v>672</v>
      </c>
      <c r="F7730" t="s">
        <v>4042</v>
      </c>
      <c r="G7730" t="s">
        <v>8424</v>
      </c>
      <c r="H7730" t="s">
        <v>14916</v>
      </c>
      <c r="I7730" t="s">
        <v>17360</v>
      </c>
      <c r="J7730" t="s">
        <v>18894</v>
      </c>
      <c r="K7730">
        <v>11216</v>
      </c>
      <c r="L7730" t="s">
        <v>18958</v>
      </c>
      <c r="M7730" t="s">
        <v>18958</v>
      </c>
      <c r="N7730" t="s">
        <v>24460</v>
      </c>
      <c r="O7730" t="s">
        <v>26523</v>
      </c>
      <c r="P7730" t="s">
        <v>26560</v>
      </c>
      <c r="R7730" t="s">
        <v>26588</v>
      </c>
      <c r="S7730" t="s">
        <v>18959</v>
      </c>
      <c r="U7730" t="s">
        <v>26604</v>
      </c>
      <c r="W7730" t="s">
        <v>810</v>
      </c>
      <c r="X7730">
        <v>1430</v>
      </c>
      <c r="Y7730" t="s">
        <v>26652</v>
      </c>
      <c r="Z7730" t="s">
        <v>26669</v>
      </c>
      <c r="AA7730" t="s">
        <v>26682</v>
      </c>
      <c r="AB7730" t="s">
        <v>32414</v>
      </c>
      <c r="AC7730" t="s">
        <v>36378</v>
      </c>
      <c r="AD7730" t="s">
        <v>42829</v>
      </c>
      <c r="AE7730">
        <v>0</v>
      </c>
      <c r="AG7730" t="s">
        <v>45556</v>
      </c>
      <c r="AH7730">
        <v>5</v>
      </c>
      <c r="AI7730">
        <v>1</v>
      </c>
      <c r="AJ7730">
        <v>3</v>
      </c>
      <c r="AK7730">
        <v>85.31999999999999</v>
      </c>
      <c r="AN7730" t="s">
        <v>7439</v>
      </c>
      <c r="AO7730">
        <v>21970</v>
      </c>
      <c r="AU7730">
        <v>4.8</v>
      </c>
      <c r="AV7730" t="s">
        <v>828</v>
      </c>
      <c r="AW7730" t="s">
        <v>281</v>
      </c>
      <c r="AX7730" t="s">
        <v>46897</v>
      </c>
    </row>
    <row r="7731" spans="1:50">
      <c r="A7731" s="1">
        <f>HYPERLINK("https://lsnyc.legalserver.org/matter/dynamic-profile/view/1896785","19-1896785")</f>
        <v>0</v>
      </c>
      <c r="B7731" t="s">
        <v>125</v>
      </c>
      <c r="C7731" t="s">
        <v>340</v>
      </c>
      <c r="D7731" t="s">
        <v>672</v>
      </c>
      <c r="F7731" t="s">
        <v>969</v>
      </c>
      <c r="G7731" t="s">
        <v>5266</v>
      </c>
      <c r="H7731" t="s">
        <v>14917</v>
      </c>
      <c r="I7731" t="s">
        <v>17388</v>
      </c>
      <c r="J7731" t="s">
        <v>18894</v>
      </c>
      <c r="K7731">
        <v>11212</v>
      </c>
      <c r="L7731" t="s">
        <v>18958</v>
      </c>
      <c r="M7731" t="s">
        <v>18960</v>
      </c>
      <c r="N7731" t="s">
        <v>24461</v>
      </c>
      <c r="O7731" t="s">
        <v>26523</v>
      </c>
      <c r="P7731" t="s">
        <v>26560</v>
      </c>
      <c r="R7731" t="s">
        <v>26578</v>
      </c>
      <c r="S7731" t="s">
        <v>18959</v>
      </c>
      <c r="U7731" t="s">
        <v>26604</v>
      </c>
      <c r="W7731" t="s">
        <v>810</v>
      </c>
      <c r="X7731">
        <v>1135.26</v>
      </c>
      <c r="Y7731" t="s">
        <v>26652</v>
      </c>
      <c r="Z7731" t="s">
        <v>26663</v>
      </c>
      <c r="AB7731" t="s">
        <v>32415</v>
      </c>
      <c r="AD7731" t="s">
        <v>42830</v>
      </c>
      <c r="AE7731">
        <v>44</v>
      </c>
      <c r="AF7731" t="s">
        <v>20460</v>
      </c>
      <c r="AG7731" t="s">
        <v>45560</v>
      </c>
      <c r="AH7731">
        <v>2</v>
      </c>
      <c r="AI7731">
        <v>1</v>
      </c>
      <c r="AJ7731">
        <v>0</v>
      </c>
      <c r="AK7731">
        <v>99.34</v>
      </c>
      <c r="AN7731" t="s">
        <v>7439</v>
      </c>
      <c r="AO7731">
        <v>12408</v>
      </c>
      <c r="AU7731">
        <v>10.55</v>
      </c>
      <c r="AV7731" t="s">
        <v>819</v>
      </c>
      <c r="AW7731" t="s">
        <v>46841</v>
      </c>
      <c r="AX7731" t="s">
        <v>46897</v>
      </c>
    </row>
    <row r="7732" spans="1:50">
      <c r="A7732" s="1">
        <f>HYPERLINK("https://lsnyc.legalserver.org/matter/dynamic-profile/view/1896884","19-1896884")</f>
        <v>0</v>
      </c>
      <c r="B7732" t="s">
        <v>128</v>
      </c>
      <c r="C7732" t="s">
        <v>341</v>
      </c>
      <c r="D7732" t="s">
        <v>803</v>
      </c>
      <c r="E7732" t="s">
        <v>835</v>
      </c>
      <c r="F7732" t="s">
        <v>979</v>
      </c>
      <c r="G7732" t="s">
        <v>4588</v>
      </c>
      <c r="H7732" t="s">
        <v>14918</v>
      </c>
      <c r="I7732">
        <v>14</v>
      </c>
      <c r="J7732" t="s">
        <v>18894</v>
      </c>
      <c r="K7732">
        <v>11226</v>
      </c>
      <c r="L7732" t="s">
        <v>18958</v>
      </c>
      <c r="M7732" t="s">
        <v>18958</v>
      </c>
      <c r="N7732" t="s">
        <v>24462</v>
      </c>
      <c r="O7732" t="s">
        <v>26523</v>
      </c>
      <c r="P7732" t="s">
        <v>26560</v>
      </c>
      <c r="Q7732" t="s">
        <v>26568</v>
      </c>
      <c r="R7732" t="s">
        <v>26588</v>
      </c>
      <c r="S7732" t="s">
        <v>18959</v>
      </c>
      <c r="U7732" t="s">
        <v>26604</v>
      </c>
      <c r="V7732" t="s">
        <v>26610</v>
      </c>
      <c r="W7732" t="s">
        <v>810</v>
      </c>
      <c r="X7732">
        <v>2044.62</v>
      </c>
      <c r="Y7732" t="s">
        <v>26652</v>
      </c>
      <c r="Z7732" t="s">
        <v>26664</v>
      </c>
      <c r="AA7732" t="s">
        <v>26678</v>
      </c>
      <c r="AB7732" t="s">
        <v>32416</v>
      </c>
      <c r="AD7732" t="s">
        <v>42831</v>
      </c>
      <c r="AE7732">
        <v>16</v>
      </c>
      <c r="AF7732" t="s">
        <v>45541</v>
      </c>
      <c r="AG7732" t="s">
        <v>45556</v>
      </c>
      <c r="AH7732">
        <v>3</v>
      </c>
      <c r="AI7732">
        <v>1</v>
      </c>
      <c r="AJ7732">
        <v>2</v>
      </c>
      <c r="AK7732">
        <v>210.97</v>
      </c>
      <c r="AN7732" t="s">
        <v>7439</v>
      </c>
      <c r="AO7732">
        <v>45000</v>
      </c>
      <c r="AR7732" t="s">
        <v>46379</v>
      </c>
      <c r="AS7732" t="s">
        <v>46499</v>
      </c>
      <c r="AT7732" t="s">
        <v>46790</v>
      </c>
      <c r="AU7732">
        <v>2.8</v>
      </c>
      <c r="AV7732" t="s">
        <v>835</v>
      </c>
      <c r="AW7732" t="s">
        <v>46862</v>
      </c>
      <c r="AX7732" t="s">
        <v>46897</v>
      </c>
    </row>
    <row r="7733" spans="1:50">
      <c r="A7733" s="1">
        <f>HYPERLINK("https://lsnyc.legalserver.org/matter/dynamic-profile/view/1896898","19-1896898")</f>
        <v>0</v>
      </c>
      <c r="B7733" t="s">
        <v>123</v>
      </c>
      <c r="C7733" t="s">
        <v>341</v>
      </c>
      <c r="D7733" t="s">
        <v>803</v>
      </c>
      <c r="E7733" t="s">
        <v>813</v>
      </c>
      <c r="F7733" t="s">
        <v>4043</v>
      </c>
      <c r="G7733" t="s">
        <v>4160</v>
      </c>
      <c r="H7733" t="s">
        <v>12395</v>
      </c>
      <c r="J7733" t="s">
        <v>18894</v>
      </c>
      <c r="K7733">
        <v>11216</v>
      </c>
      <c r="L7733" t="s">
        <v>18958</v>
      </c>
      <c r="M7733" t="s">
        <v>18958</v>
      </c>
      <c r="N7733" t="s">
        <v>24463</v>
      </c>
      <c r="O7733" t="s">
        <v>26523</v>
      </c>
      <c r="P7733" t="s">
        <v>26560</v>
      </c>
      <c r="Q7733" t="s">
        <v>26568</v>
      </c>
      <c r="R7733" t="s">
        <v>26588</v>
      </c>
      <c r="S7733" t="s">
        <v>18959</v>
      </c>
      <c r="U7733" t="s">
        <v>26604</v>
      </c>
      <c r="V7733" t="s">
        <v>26614</v>
      </c>
      <c r="W7733" t="s">
        <v>810</v>
      </c>
      <c r="X7733">
        <v>0</v>
      </c>
      <c r="Y7733" t="s">
        <v>26652</v>
      </c>
      <c r="Z7733" t="s">
        <v>26669</v>
      </c>
      <c r="AA7733" t="s">
        <v>26678</v>
      </c>
      <c r="AB7733" t="s">
        <v>32417</v>
      </c>
      <c r="AC7733" t="s">
        <v>36379</v>
      </c>
      <c r="AE7733">
        <v>0</v>
      </c>
      <c r="AH7733">
        <v>0</v>
      </c>
      <c r="AI7733">
        <v>1</v>
      </c>
      <c r="AJ7733">
        <v>0</v>
      </c>
      <c r="AK7733">
        <v>143.63</v>
      </c>
      <c r="AN7733" t="s">
        <v>7439</v>
      </c>
      <c r="AO7733">
        <v>17940</v>
      </c>
      <c r="AQ7733" t="s">
        <v>46359</v>
      </c>
      <c r="AR7733" t="s">
        <v>46379</v>
      </c>
      <c r="AS7733" t="s">
        <v>46499</v>
      </c>
      <c r="AT7733" t="s">
        <v>46601</v>
      </c>
      <c r="AU7733">
        <v>8.9</v>
      </c>
      <c r="AV7733" t="s">
        <v>815</v>
      </c>
      <c r="AW7733" t="s">
        <v>281</v>
      </c>
      <c r="AX7733" t="s">
        <v>46897</v>
      </c>
    </row>
    <row r="7734" spans="1:50">
      <c r="A7734" s="1">
        <f>HYPERLINK("https://lsnyc.legalserver.org/matter/dynamic-profile/view/1896926","19-1896926")</f>
        <v>0</v>
      </c>
      <c r="B7734" t="s">
        <v>283</v>
      </c>
      <c r="C7734" t="s">
        <v>340</v>
      </c>
      <c r="D7734" t="s">
        <v>803</v>
      </c>
      <c r="F7734" t="s">
        <v>1367</v>
      </c>
      <c r="G7734" t="s">
        <v>4693</v>
      </c>
      <c r="H7734" t="s">
        <v>14919</v>
      </c>
      <c r="I7734" t="s">
        <v>17306</v>
      </c>
      <c r="J7734" t="s">
        <v>18894</v>
      </c>
      <c r="K7734">
        <v>11210</v>
      </c>
      <c r="L7734" t="s">
        <v>18958</v>
      </c>
      <c r="M7734" t="s">
        <v>18958</v>
      </c>
      <c r="N7734" t="s">
        <v>24464</v>
      </c>
      <c r="O7734" t="s">
        <v>26523</v>
      </c>
      <c r="P7734" t="s">
        <v>26564</v>
      </c>
      <c r="R7734" t="s">
        <v>26586</v>
      </c>
      <c r="U7734" t="s">
        <v>26604</v>
      </c>
      <c r="W7734" t="s">
        <v>810</v>
      </c>
      <c r="X7734">
        <v>0</v>
      </c>
      <c r="Y7734" t="s">
        <v>26652</v>
      </c>
      <c r="Z7734" t="s">
        <v>26664</v>
      </c>
      <c r="AB7734" t="s">
        <v>32418</v>
      </c>
      <c r="AC7734" t="s">
        <v>36380</v>
      </c>
      <c r="AD7734" t="s">
        <v>42832</v>
      </c>
      <c r="AE7734">
        <v>47</v>
      </c>
      <c r="AH7734">
        <v>0</v>
      </c>
      <c r="AI7734">
        <v>2</v>
      </c>
      <c r="AJ7734">
        <v>1</v>
      </c>
      <c r="AK7734">
        <v>50.63</v>
      </c>
      <c r="AN7734" t="s">
        <v>7439</v>
      </c>
      <c r="AO7734">
        <v>10800</v>
      </c>
      <c r="AU7734">
        <v>0.9</v>
      </c>
      <c r="AV7734" t="s">
        <v>803</v>
      </c>
      <c r="AW7734" t="s">
        <v>46862</v>
      </c>
      <c r="AX7734" t="s">
        <v>46897</v>
      </c>
    </row>
    <row r="7735" spans="1:50">
      <c r="A7735" s="1">
        <f>HYPERLINK("https://lsnyc.legalserver.org/matter/dynamic-profile/view/1896879","19-1896879")</f>
        <v>0</v>
      </c>
      <c r="B7735" t="s">
        <v>123</v>
      </c>
      <c r="C7735" t="s">
        <v>340</v>
      </c>
      <c r="D7735" t="s">
        <v>803</v>
      </c>
      <c r="F7735" t="s">
        <v>1182</v>
      </c>
      <c r="G7735" t="s">
        <v>8425</v>
      </c>
      <c r="H7735" t="s">
        <v>14920</v>
      </c>
      <c r="I7735" t="s">
        <v>18329</v>
      </c>
      <c r="J7735" t="s">
        <v>18894</v>
      </c>
      <c r="K7735">
        <v>11225</v>
      </c>
      <c r="L7735" t="s">
        <v>18958</v>
      </c>
      <c r="M7735" t="s">
        <v>18958</v>
      </c>
      <c r="N7735" t="s">
        <v>24465</v>
      </c>
      <c r="O7735" t="s">
        <v>26523</v>
      </c>
      <c r="P7735" t="s">
        <v>26560</v>
      </c>
      <c r="R7735" t="s">
        <v>26588</v>
      </c>
      <c r="S7735" t="s">
        <v>18959</v>
      </c>
      <c r="U7735" t="s">
        <v>26604</v>
      </c>
      <c r="W7735" t="s">
        <v>810</v>
      </c>
      <c r="X7735">
        <v>1340</v>
      </c>
      <c r="Y7735" t="s">
        <v>26652</v>
      </c>
      <c r="Z7735" t="s">
        <v>26669</v>
      </c>
      <c r="AB7735" t="s">
        <v>32419</v>
      </c>
      <c r="AD7735" t="s">
        <v>42833</v>
      </c>
      <c r="AE7735">
        <v>0</v>
      </c>
      <c r="AH7735">
        <v>5</v>
      </c>
      <c r="AI7735">
        <v>2</v>
      </c>
      <c r="AJ7735">
        <v>1</v>
      </c>
      <c r="AK7735">
        <v>69.39</v>
      </c>
      <c r="AN7735" t="s">
        <v>7439</v>
      </c>
      <c r="AO7735">
        <v>14800</v>
      </c>
      <c r="AU7735">
        <v>6.87</v>
      </c>
      <c r="AV7735" t="s">
        <v>828</v>
      </c>
      <c r="AW7735" t="s">
        <v>281</v>
      </c>
      <c r="AX7735" t="s">
        <v>46897</v>
      </c>
    </row>
    <row r="7736" spans="1:50">
      <c r="A7736" s="1">
        <f>HYPERLINK("https://lsnyc.legalserver.org/matter/dynamic-profile/view/1896849","19-1896849")</f>
        <v>0</v>
      </c>
      <c r="B7736" t="s">
        <v>123</v>
      </c>
      <c r="C7736" t="s">
        <v>340</v>
      </c>
      <c r="D7736" t="s">
        <v>803</v>
      </c>
      <c r="F7736" t="s">
        <v>1258</v>
      </c>
      <c r="G7736" t="s">
        <v>7443</v>
      </c>
      <c r="H7736" t="s">
        <v>14921</v>
      </c>
      <c r="J7736" t="s">
        <v>18894</v>
      </c>
      <c r="K7736">
        <v>11216</v>
      </c>
      <c r="L7736" t="s">
        <v>18958</v>
      </c>
      <c r="M7736" t="s">
        <v>18958</v>
      </c>
      <c r="N7736" t="s">
        <v>24466</v>
      </c>
      <c r="O7736" t="s">
        <v>26524</v>
      </c>
      <c r="P7736" t="s">
        <v>26560</v>
      </c>
      <c r="R7736" t="s">
        <v>26588</v>
      </c>
      <c r="U7736" t="s">
        <v>26604</v>
      </c>
      <c r="W7736" t="s">
        <v>810</v>
      </c>
      <c r="X7736">
        <v>2300</v>
      </c>
      <c r="Y7736" t="s">
        <v>26652</v>
      </c>
      <c r="Z7736" t="s">
        <v>26669</v>
      </c>
      <c r="AB7736" t="s">
        <v>27736</v>
      </c>
      <c r="AD7736" t="s">
        <v>42834</v>
      </c>
      <c r="AE7736">
        <v>0</v>
      </c>
      <c r="AG7736" t="s">
        <v>19330</v>
      </c>
      <c r="AH7736">
        <v>1</v>
      </c>
      <c r="AI7736">
        <v>2</v>
      </c>
      <c r="AJ7736">
        <v>1</v>
      </c>
      <c r="AK7736">
        <v>243.79</v>
      </c>
      <c r="AL7736" t="s">
        <v>770</v>
      </c>
      <c r="AM7736" t="s">
        <v>45575</v>
      </c>
      <c r="AN7736" t="s">
        <v>7439</v>
      </c>
      <c r="AO7736">
        <v>52000</v>
      </c>
      <c r="AU7736">
        <v>5.38</v>
      </c>
      <c r="AV7736" t="s">
        <v>805</v>
      </c>
      <c r="AW7736" t="s">
        <v>281</v>
      </c>
      <c r="AX7736" t="s">
        <v>46897</v>
      </c>
    </row>
    <row r="7737" spans="1:50">
      <c r="A7737" s="1">
        <f>HYPERLINK("https://lsnyc.legalserver.org/matter/dynamic-profile/view/1897040","19-1897040")</f>
        <v>0</v>
      </c>
      <c r="B7737" t="s">
        <v>283</v>
      </c>
      <c r="C7737" t="s">
        <v>340</v>
      </c>
      <c r="D7737" t="s">
        <v>780</v>
      </c>
      <c r="F7737" t="s">
        <v>1165</v>
      </c>
      <c r="G7737" t="s">
        <v>8426</v>
      </c>
      <c r="H7737" t="s">
        <v>14922</v>
      </c>
      <c r="I7737" t="s">
        <v>18496</v>
      </c>
      <c r="J7737" t="s">
        <v>18894</v>
      </c>
      <c r="K7737">
        <v>11219</v>
      </c>
      <c r="L7737" t="s">
        <v>18958</v>
      </c>
      <c r="M7737" t="s">
        <v>18958</v>
      </c>
      <c r="N7737" t="s">
        <v>24467</v>
      </c>
      <c r="O7737" t="s">
        <v>26523</v>
      </c>
      <c r="P7737" t="s">
        <v>26560</v>
      </c>
      <c r="R7737" t="s">
        <v>26586</v>
      </c>
      <c r="U7737" t="s">
        <v>26604</v>
      </c>
      <c r="W7737" t="s">
        <v>810</v>
      </c>
      <c r="X7737">
        <v>1254</v>
      </c>
      <c r="Y7737" t="s">
        <v>26652</v>
      </c>
      <c r="Z7737" t="s">
        <v>26664</v>
      </c>
      <c r="AB7737" t="s">
        <v>32420</v>
      </c>
      <c r="AC7737" t="s">
        <v>36381</v>
      </c>
      <c r="AD7737" t="s">
        <v>42835</v>
      </c>
      <c r="AE7737">
        <v>0</v>
      </c>
      <c r="AH7737">
        <v>0</v>
      </c>
      <c r="AI7737">
        <v>2</v>
      </c>
      <c r="AJ7737">
        <v>2</v>
      </c>
      <c r="AK7737">
        <v>61.36</v>
      </c>
      <c r="AN7737" t="s">
        <v>7439</v>
      </c>
      <c r="AO7737">
        <v>15800</v>
      </c>
      <c r="AU7737">
        <v>0.8</v>
      </c>
      <c r="AV7737" t="s">
        <v>797</v>
      </c>
      <c r="AW7737" t="s">
        <v>46853</v>
      </c>
      <c r="AX7737" t="s">
        <v>46897</v>
      </c>
    </row>
    <row r="7738" spans="1:50">
      <c r="A7738" s="1">
        <f>HYPERLINK("https://lsnyc.legalserver.org/matter/dynamic-profile/view/1897049","19-1897049")</f>
        <v>0</v>
      </c>
      <c r="B7738" t="s">
        <v>283</v>
      </c>
      <c r="C7738" t="s">
        <v>340</v>
      </c>
      <c r="D7738" t="s">
        <v>780</v>
      </c>
      <c r="F7738" t="s">
        <v>990</v>
      </c>
      <c r="G7738" t="s">
        <v>8183</v>
      </c>
      <c r="H7738" t="s">
        <v>11472</v>
      </c>
      <c r="I7738" t="s">
        <v>18176</v>
      </c>
      <c r="J7738" t="s">
        <v>18894</v>
      </c>
      <c r="K7738">
        <v>11226</v>
      </c>
      <c r="L7738" t="s">
        <v>18958</v>
      </c>
      <c r="M7738" t="s">
        <v>18958</v>
      </c>
      <c r="N7738" t="s">
        <v>24468</v>
      </c>
      <c r="O7738" t="s">
        <v>26523</v>
      </c>
      <c r="P7738" t="s">
        <v>26560</v>
      </c>
      <c r="R7738" t="s">
        <v>26588</v>
      </c>
      <c r="U7738" t="s">
        <v>26604</v>
      </c>
      <c r="W7738" t="s">
        <v>810</v>
      </c>
      <c r="X7738">
        <v>1623</v>
      </c>
      <c r="Y7738" t="s">
        <v>26652</v>
      </c>
      <c r="Z7738" t="s">
        <v>26664</v>
      </c>
      <c r="AB7738" t="s">
        <v>32421</v>
      </c>
      <c r="AC7738" t="s">
        <v>36382</v>
      </c>
      <c r="AD7738" t="s">
        <v>42836</v>
      </c>
      <c r="AE7738">
        <v>0</v>
      </c>
      <c r="AH7738">
        <v>0</v>
      </c>
      <c r="AI7738">
        <v>1</v>
      </c>
      <c r="AJ7738">
        <v>1</v>
      </c>
      <c r="AK7738">
        <v>141.93</v>
      </c>
      <c r="AN7738" t="s">
        <v>45596</v>
      </c>
      <c r="AO7738">
        <v>24000</v>
      </c>
      <c r="AU7738">
        <v>0</v>
      </c>
      <c r="AW7738" t="s">
        <v>46853</v>
      </c>
      <c r="AX7738" t="s">
        <v>46897</v>
      </c>
    </row>
    <row r="7739" spans="1:50">
      <c r="A7739" s="1">
        <f>HYPERLINK("https://lsnyc.legalserver.org/matter/dynamic-profile/view/1897012","19-1897012")</f>
        <v>0</v>
      </c>
      <c r="B7739" t="s">
        <v>162</v>
      </c>
      <c r="C7739" t="s">
        <v>340</v>
      </c>
      <c r="D7739" t="s">
        <v>780</v>
      </c>
      <c r="F7739" t="s">
        <v>1320</v>
      </c>
      <c r="G7739" t="s">
        <v>7691</v>
      </c>
      <c r="H7739" t="s">
        <v>14923</v>
      </c>
      <c r="I7739" t="s">
        <v>18197</v>
      </c>
      <c r="J7739" t="s">
        <v>18894</v>
      </c>
      <c r="K7739">
        <v>11221</v>
      </c>
      <c r="L7739" t="s">
        <v>18958</v>
      </c>
      <c r="M7739" t="s">
        <v>18958</v>
      </c>
      <c r="N7739" t="s">
        <v>24469</v>
      </c>
      <c r="O7739" t="s">
        <v>26523</v>
      </c>
      <c r="P7739" t="s">
        <v>26563</v>
      </c>
      <c r="R7739" t="s">
        <v>26588</v>
      </c>
      <c r="U7739" t="s">
        <v>26604</v>
      </c>
      <c r="W7739" t="s">
        <v>810</v>
      </c>
      <c r="X7739">
        <v>454</v>
      </c>
      <c r="Y7739" t="s">
        <v>26652</v>
      </c>
      <c r="Z7739" t="s">
        <v>26669</v>
      </c>
      <c r="AB7739" t="s">
        <v>29594</v>
      </c>
      <c r="AD7739" t="s">
        <v>42837</v>
      </c>
      <c r="AE7739">
        <v>0</v>
      </c>
      <c r="AG7739" t="s">
        <v>19330</v>
      </c>
      <c r="AH7739">
        <v>18</v>
      </c>
      <c r="AI7739">
        <v>2</v>
      </c>
      <c r="AJ7739">
        <v>3</v>
      </c>
      <c r="AK7739">
        <v>132.58</v>
      </c>
      <c r="AN7739" t="s">
        <v>7439</v>
      </c>
      <c r="AO7739">
        <v>40000</v>
      </c>
      <c r="AU7739">
        <v>5.5</v>
      </c>
      <c r="AV7739" t="s">
        <v>819</v>
      </c>
      <c r="AW7739" t="s">
        <v>46853</v>
      </c>
      <c r="AX7739" t="s">
        <v>46897</v>
      </c>
    </row>
    <row r="7740" spans="1:50">
      <c r="A7740" s="1">
        <f>HYPERLINK("https://lsnyc.legalserver.org/matter/dynamic-profile/view/1897117","19-1897117")</f>
        <v>0</v>
      </c>
      <c r="B7740" t="s">
        <v>283</v>
      </c>
      <c r="C7740" t="s">
        <v>340</v>
      </c>
      <c r="D7740" t="s">
        <v>760</v>
      </c>
      <c r="F7740" t="s">
        <v>1010</v>
      </c>
      <c r="G7740" t="s">
        <v>8427</v>
      </c>
      <c r="H7740" t="s">
        <v>14924</v>
      </c>
      <c r="I7740" t="s">
        <v>17333</v>
      </c>
      <c r="J7740" t="s">
        <v>18894</v>
      </c>
      <c r="K7740">
        <v>11209</v>
      </c>
      <c r="L7740" t="s">
        <v>18958</v>
      </c>
      <c r="M7740" t="s">
        <v>18958</v>
      </c>
      <c r="N7740" t="s">
        <v>24470</v>
      </c>
      <c r="O7740" t="s">
        <v>26524</v>
      </c>
      <c r="P7740" t="s">
        <v>26564</v>
      </c>
      <c r="R7740" t="s">
        <v>26586</v>
      </c>
      <c r="S7740" t="s">
        <v>18959</v>
      </c>
      <c r="U7740" t="s">
        <v>26604</v>
      </c>
      <c r="W7740" t="s">
        <v>810</v>
      </c>
      <c r="X7740">
        <v>1213</v>
      </c>
      <c r="Y7740" t="s">
        <v>26652</v>
      </c>
      <c r="Z7740" t="s">
        <v>26664</v>
      </c>
      <c r="AB7740" t="s">
        <v>26790</v>
      </c>
      <c r="AD7740" t="s">
        <v>42838</v>
      </c>
      <c r="AE7740">
        <v>0</v>
      </c>
      <c r="AH7740">
        <v>0</v>
      </c>
      <c r="AI7740">
        <v>1</v>
      </c>
      <c r="AJ7740">
        <v>0</v>
      </c>
      <c r="AK7740">
        <v>75.90000000000001</v>
      </c>
      <c r="AN7740" t="s">
        <v>7439</v>
      </c>
      <c r="AO7740">
        <v>9480</v>
      </c>
      <c r="AU7740">
        <v>0</v>
      </c>
      <c r="AW7740" t="s">
        <v>281</v>
      </c>
      <c r="AX7740" t="s">
        <v>46897</v>
      </c>
    </row>
    <row r="7741" spans="1:50">
      <c r="A7741" s="1">
        <f>HYPERLINK("https://lsnyc.legalserver.org/matter/dynamic-profile/view/1897125","19-1897125")</f>
        <v>0</v>
      </c>
      <c r="B7741" t="s">
        <v>283</v>
      </c>
      <c r="C7741" t="s">
        <v>340</v>
      </c>
      <c r="D7741" t="s">
        <v>760</v>
      </c>
      <c r="F7741" t="s">
        <v>4044</v>
      </c>
      <c r="G7741" t="s">
        <v>7061</v>
      </c>
      <c r="H7741" t="s">
        <v>14925</v>
      </c>
      <c r="I7741" t="s">
        <v>18394</v>
      </c>
      <c r="J7741" t="s">
        <v>18894</v>
      </c>
      <c r="K7741">
        <v>11201</v>
      </c>
      <c r="L7741" t="s">
        <v>18958</v>
      </c>
      <c r="M7741" t="s">
        <v>18958</v>
      </c>
      <c r="N7741" t="s">
        <v>24471</v>
      </c>
      <c r="O7741" t="s">
        <v>26523</v>
      </c>
      <c r="P7741" t="s">
        <v>26564</v>
      </c>
      <c r="R7741" t="s">
        <v>26588</v>
      </c>
      <c r="S7741" t="s">
        <v>18959</v>
      </c>
      <c r="U7741" t="s">
        <v>26604</v>
      </c>
      <c r="W7741" t="s">
        <v>810</v>
      </c>
      <c r="X7741">
        <v>900</v>
      </c>
      <c r="Y7741" t="s">
        <v>26652</v>
      </c>
      <c r="Z7741" t="s">
        <v>26669</v>
      </c>
      <c r="AB7741" t="s">
        <v>31104</v>
      </c>
      <c r="AD7741" t="s">
        <v>42839</v>
      </c>
      <c r="AE7741">
        <v>0</v>
      </c>
      <c r="AH7741">
        <v>0</v>
      </c>
      <c r="AI7741">
        <v>1</v>
      </c>
      <c r="AJ7741">
        <v>0</v>
      </c>
      <c r="AK7741">
        <v>67.25</v>
      </c>
      <c r="AN7741" t="s">
        <v>7439</v>
      </c>
      <c r="AO7741">
        <v>8400</v>
      </c>
      <c r="AU7741">
        <v>0</v>
      </c>
      <c r="AW7741" t="s">
        <v>281</v>
      </c>
      <c r="AX7741" t="s">
        <v>46897</v>
      </c>
    </row>
    <row r="7742" spans="1:50">
      <c r="A7742" s="1">
        <f>HYPERLINK("https://lsnyc.legalserver.org/matter/dynamic-profile/view/1897164","19-1897164")</f>
        <v>0</v>
      </c>
      <c r="B7742" t="s">
        <v>238</v>
      </c>
      <c r="C7742" t="s">
        <v>340</v>
      </c>
      <c r="D7742" t="s">
        <v>760</v>
      </c>
      <c r="F7742" t="s">
        <v>1241</v>
      </c>
      <c r="G7742" t="s">
        <v>8428</v>
      </c>
      <c r="H7742" t="s">
        <v>14926</v>
      </c>
      <c r="I7742">
        <v>2</v>
      </c>
      <c r="J7742" t="s">
        <v>18894</v>
      </c>
      <c r="K7742">
        <v>11221</v>
      </c>
      <c r="L7742" t="s">
        <v>18958</v>
      </c>
      <c r="M7742" t="s">
        <v>18958</v>
      </c>
      <c r="N7742" t="s">
        <v>24472</v>
      </c>
      <c r="O7742" t="s">
        <v>26524</v>
      </c>
      <c r="P7742" t="s">
        <v>26560</v>
      </c>
      <c r="R7742" t="s">
        <v>26588</v>
      </c>
      <c r="S7742" t="s">
        <v>18959</v>
      </c>
      <c r="U7742" t="s">
        <v>26604</v>
      </c>
      <c r="W7742" t="s">
        <v>810</v>
      </c>
      <c r="X7742">
        <v>800</v>
      </c>
      <c r="Y7742" t="s">
        <v>26652</v>
      </c>
      <c r="Z7742" t="s">
        <v>26669</v>
      </c>
      <c r="AB7742" t="s">
        <v>28557</v>
      </c>
      <c r="AE7742">
        <v>0</v>
      </c>
      <c r="AH7742">
        <v>-1</v>
      </c>
      <c r="AI7742">
        <v>3</v>
      </c>
      <c r="AJ7742">
        <v>0</v>
      </c>
      <c r="AK7742">
        <v>74.54000000000001</v>
      </c>
      <c r="AN7742" t="s">
        <v>45581</v>
      </c>
      <c r="AO7742">
        <v>15900</v>
      </c>
      <c r="AU7742">
        <v>0</v>
      </c>
      <c r="AW7742" t="s">
        <v>281</v>
      </c>
      <c r="AX7742" t="s">
        <v>46897</v>
      </c>
    </row>
    <row r="7743" spans="1:50">
      <c r="A7743" s="1">
        <f>HYPERLINK("https://lsnyc.legalserver.org/matter/dynamic-profile/view/1897234","19-1897234")</f>
        <v>0</v>
      </c>
      <c r="B7743" t="s">
        <v>126</v>
      </c>
      <c r="C7743" t="s">
        <v>340</v>
      </c>
      <c r="D7743" t="s">
        <v>760</v>
      </c>
      <c r="F7743" t="s">
        <v>886</v>
      </c>
      <c r="G7743" t="s">
        <v>1263</v>
      </c>
      <c r="H7743" t="s">
        <v>14346</v>
      </c>
      <c r="I7743" t="s">
        <v>17639</v>
      </c>
      <c r="J7743" t="s">
        <v>18894</v>
      </c>
      <c r="K7743">
        <v>11212</v>
      </c>
      <c r="L7743" t="s">
        <v>18958</v>
      </c>
      <c r="M7743" t="s">
        <v>18958</v>
      </c>
      <c r="N7743" t="s">
        <v>24473</v>
      </c>
      <c r="O7743" t="s">
        <v>26524</v>
      </c>
      <c r="P7743" t="s">
        <v>26560</v>
      </c>
      <c r="R7743" t="s">
        <v>26578</v>
      </c>
      <c r="S7743" t="s">
        <v>18959</v>
      </c>
      <c r="U7743" t="s">
        <v>26604</v>
      </c>
      <c r="V7743" t="s">
        <v>26610</v>
      </c>
      <c r="W7743" t="s">
        <v>810</v>
      </c>
      <c r="X7743">
        <v>1154.67</v>
      </c>
      <c r="Y7743" t="s">
        <v>26652</v>
      </c>
      <c r="Z7743" t="s">
        <v>26530</v>
      </c>
      <c r="AB7743" t="s">
        <v>27701</v>
      </c>
      <c r="AD7743" t="s">
        <v>42840</v>
      </c>
      <c r="AE7743">
        <v>172</v>
      </c>
      <c r="AF7743" t="s">
        <v>45541</v>
      </c>
      <c r="AG7743" t="s">
        <v>19330</v>
      </c>
      <c r="AH7743">
        <v>11</v>
      </c>
      <c r="AI7743">
        <v>4</v>
      </c>
      <c r="AJ7743">
        <v>0</v>
      </c>
      <c r="AK7743">
        <v>355.11</v>
      </c>
      <c r="AN7743" t="s">
        <v>7439</v>
      </c>
      <c r="AO7743">
        <v>91440</v>
      </c>
      <c r="AU7743">
        <v>18.5</v>
      </c>
      <c r="AV7743" t="s">
        <v>827</v>
      </c>
      <c r="AW7743" t="s">
        <v>286</v>
      </c>
      <c r="AX7743" t="s">
        <v>46897</v>
      </c>
    </row>
    <row r="7744" spans="1:50">
      <c r="A7744" s="1">
        <f>HYPERLINK("https://lsnyc.legalserver.org/matter/dynamic-profile/view/1897166","19-1897166")</f>
        <v>0</v>
      </c>
      <c r="B7744" t="s">
        <v>106</v>
      </c>
      <c r="C7744" t="s">
        <v>340</v>
      </c>
      <c r="D7744" t="s">
        <v>760</v>
      </c>
      <c r="F7744" t="s">
        <v>3319</v>
      </c>
      <c r="G7744" t="s">
        <v>5300</v>
      </c>
      <c r="H7744" t="s">
        <v>10903</v>
      </c>
      <c r="I7744" t="s">
        <v>18497</v>
      </c>
      <c r="J7744" t="s">
        <v>18894</v>
      </c>
      <c r="K7744">
        <v>11236</v>
      </c>
      <c r="L7744" t="s">
        <v>18958</v>
      </c>
      <c r="M7744" t="s">
        <v>18958</v>
      </c>
      <c r="N7744" t="s">
        <v>24474</v>
      </c>
      <c r="O7744" t="s">
        <v>26523</v>
      </c>
      <c r="P7744" t="s">
        <v>26560</v>
      </c>
      <c r="R7744" t="s">
        <v>26586</v>
      </c>
      <c r="U7744" t="s">
        <v>26605</v>
      </c>
      <c r="W7744" t="s">
        <v>810</v>
      </c>
      <c r="X7744">
        <v>1849</v>
      </c>
      <c r="Y7744" t="s">
        <v>26652</v>
      </c>
      <c r="Z7744" t="s">
        <v>26664</v>
      </c>
      <c r="AB7744" t="s">
        <v>32422</v>
      </c>
      <c r="AD7744" t="s">
        <v>42841</v>
      </c>
      <c r="AE7744">
        <v>100</v>
      </c>
      <c r="AG7744" t="s">
        <v>45556</v>
      </c>
      <c r="AH7744">
        <v>4</v>
      </c>
      <c r="AI7744">
        <v>2</v>
      </c>
      <c r="AJ7744">
        <v>2</v>
      </c>
      <c r="AK7744">
        <v>124.27</v>
      </c>
      <c r="AN7744" t="s">
        <v>7439</v>
      </c>
      <c r="AO7744">
        <v>32000</v>
      </c>
      <c r="AU7744">
        <v>10</v>
      </c>
      <c r="AV7744" t="s">
        <v>833</v>
      </c>
      <c r="AW7744" t="s">
        <v>46853</v>
      </c>
      <c r="AX7744" t="s">
        <v>46897</v>
      </c>
    </row>
    <row r="7745" spans="1:50">
      <c r="A7745" s="1">
        <f>HYPERLINK("https://lsnyc.legalserver.org/matter/dynamic-profile/view/1897116","19-1897116")</f>
        <v>0</v>
      </c>
      <c r="B7745" t="s">
        <v>172</v>
      </c>
      <c r="C7745" t="s">
        <v>340</v>
      </c>
      <c r="D7745" t="s">
        <v>760</v>
      </c>
      <c r="F7745" t="s">
        <v>1079</v>
      </c>
      <c r="G7745" t="s">
        <v>8429</v>
      </c>
      <c r="H7745" t="s">
        <v>14927</v>
      </c>
      <c r="J7745" t="s">
        <v>18894</v>
      </c>
      <c r="K7745">
        <v>11221</v>
      </c>
      <c r="L7745" t="s">
        <v>18958</v>
      </c>
      <c r="M7745" t="s">
        <v>18958</v>
      </c>
      <c r="N7745" t="s">
        <v>24475</v>
      </c>
      <c r="O7745" t="s">
        <v>26524</v>
      </c>
      <c r="P7745" t="s">
        <v>26560</v>
      </c>
      <c r="R7745" t="s">
        <v>26588</v>
      </c>
      <c r="S7745" t="s">
        <v>18959</v>
      </c>
      <c r="U7745" t="s">
        <v>26604</v>
      </c>
      <c r="W7745" t="s">
        <v>810</v>
      </c>
      <c r="X7745">
        <v>2770</v>
      </c>
      <c r="Y7745" t="s">
        <v>26652</v>
      </c>
      <c r="Z7745" t="s">
        <v>26669</v>
      </c>
      <c r="AB7745" t="s">
        <v>32423</v>
      </c>
      <c r="AD7745" t="s">
        <v>42842</v>
      </c>
      <c r="AE7745">
        <v>3</v>
      </c>
      <c r="AH7745">
        <v>2</v>
      </c>
      <c r="AI7745">
        <v>1</v>
      </c>
      <c r="AJ7745">
        <v>0</v>
      </c>
      <c r="AK7745">
        <v>0</v>
      </c>
      <c r="AN7745" t="s">
        <v>7439</v>
      </c>
      <c r="AO7745">
        <v>0</v>
      </c>
      <c r="AU7745">
        <v>1</v>
      </c>
      <c r="AV7745" t="s">
        <v>817</v>
      </c>
      <c r="AW7745" t="s">
        <v>281</v>
      </c>
      <c r="AX7745" t="s">
        <v>46897</v>
      </c>
    </row>
    <row r="7746" spans="1:50">
      <c r="A7746" s="1">
        <f>HYPERLINK("https://lsnyc.legalserver.org/matter/dynamic-profile/view/1897477","19-1897477")</f>
        <v>0</v>
      </c>
      <c r="B7746" t="s">
        <v>101</v>
      </c>
      <c r="C7746" t="s">
        <v>340</v>
      </c>
      <c r="D7746" t="s">
        <v>761</v>
      </c>
      <c r="F7746" t="s">
        <v>4045</v>
      </c>
      <c r="G7746" t="s">
        <v>5199</v>
      </c>
      <c r="H7746" t="s">
        <v>14928</v>
      </c>
      <c r="I7746" t="s">
        <v>18498</v>
      </c>
      <c r="J7746" t="s">
        <v>18894</v>
      </c>
      <c r="K7746">
        <v>11226</v>
      </c>
      <c r="L7746" t="s">
        <v>18958</v>
      </c>
      <c r="M7746" t="s">
        <v>18958</v>
      </c>
      <c r="N7746" t="s">
        <v>24476</v>
      </c>
      <c r="O7746" t="s">
        <v>26523</v>
      </c>
      <c r="P7746" t="s">
        <v>26560</v>
      </c>
      <c r="R7746" t="s">
        <v>26588</v>
      </c>
      <c r="U7746" t="s">
        <v>26604</v>
      </c>
      <c r="W7746" t="s">
        <v>810</v>
      </c>
      <c r="X7746">
        <v>831</v>
      </c>
      <c r="Y7746" t="s">
        <v>26652</v>
      </c>
      <c r="Z7746" t="s">
        <v>26664</v>
      </c>
      <c r="AB7746" t="s">
        <v>32424</v>
      </c>
      <c r="AC7746" t="s">
        <v>36383</v>
      </c>
      <c r="AD7746" t="s">
        <v>42843</v>
      </c>
      <c r="AE7746">
        <v>53</v>
      </c>
      <c r="AH7746">
        <v>41</v>
      </c>
      <c r="AI7746">
        <v>2</v>
      </c>
      <c r="AJ7746">
        <v>0</v>
      </c>
      <c r="AK7746">
        <v>26.68</v>
      </c>
      <c r="AN7746" t="s">
        <v>7439</v>
      </c>
      <c r="AO7746">
        <v>4512</v>
      </c>
      <c r="AU7746">
        <v>8.5</v>
      </c>
      <c r="AV7746" t="s">
        <v>772</v>
      </c>
      <c r="AW7746" t="s">
        <v>46862</v>
      </c>
      <c r="AX7746" t="s">
        <v>46897</v>
      </c>
    </row>
    <row r="7747" spans="1:50">
      <c r="A7747" s="1">
        <f>HYPERLINK("https://lsnyc.legalserver.org/matter/dynamic-profile/view/1897455","19-1897455")</f>
        <v>0</v>
      </c>
      <c r="B7747" t="s">
        <v>101</v>
      </c>
      <c r="C7747" t="s">
        <v>340</v>
      </c>
      <c r="D7747" t="s">
        <v>761</v>
      </c>
      <c r="F7747" t="s">
        <v>4046</v>
      </c>
      <c r="G7747" t="s">
        <v>8195</v>
      </c>
      <c r="H7747" t="s">
        <v>14929</v>
      </c>
      <c r="I7747">
        <v>16</v>
      </c>
      <c r="J7747" t="s">
        <v>18894</v>
      </c>
      <c r="K7747">
        <v>11226</v>
      </c>
      <c r="L7747" t="s">
        <v>18958</v>
      </c>
      <c r="M7747" t="s">
        <v>18958</v>
      </c>
      <c r="N7747" t="s">
        <v>24477</v>
      </c>
      <c r="O7747" t="s">
        <v>26523</v>
      </c>
      <c r="P7747" t="s">
        <v>26560</v>
      </c>
      <c r="R7747" t="s">
        <v>26588</v>
      </c>
      <c r="U7747" t="s">
        <v>26604</v>
      </c>
      <c r="W7747" t="s">
        <v>810</v>
      </c>
      <c r="X7747">
        <v>0</v>
      </c>
      <c r="Y7747" t="s">
        <v>26652</v>
      </c>
      <c r="Z7747" t="s">
        <v>26664</v>
      </c>
      <c r="AB7747" t="s">
        <v>32425</v>
      </c>
      <c r="AD7747" t="s">
        <v>42844</v>
      </c>
      <c r="AE7747">
        <v>16</v>
      </c>
      <c r="AH7747">
        <v>0</v>
      </c>
      <c r="AI7747">
        <v>2</v>
      </c>
      <c r="AJ7747">
        <v>0</v>
      </c>
      <c r="AK7747">
        <v>67.7</v>
      </c>
      <c r="AN7747" t="s">
        <v>7439</v>
      </c>
      <c r="AO7747">
        <v>11448</v>
      </c>
      <c r="AU7747">
        <v>18.1</v>
      </c>
      <c r="AV7747" t="s">
        <v>839</v>
      </c>
      <c r="AW7747" t="s">
        <v>46862</v>
      </c>
      <c r="AX7747" t="s">
        <v>46897</v>
      </c>
    </row>
    <row r="7748" spans="1:50">
      <c r="A7748" s="1">
        <f>HYPERLINK("https://lsnyc.legalserver.org/matter/dynamic-profile/view/1897564","19-1897564")</f>
        <v>0</v>
      </c>
      <c r="B7748" t="s">
        <v>101</v>
      </c>
      <c r="C7748" t="s">
        <v>340</v>
      </c>
      <c r="D7748" t="s">
        <v>761</v>
      </c>
      <c r="F7748" t="s">
        <v>2495</v>
      </c>
      <c r="G7748" t="s">
        <v>5553</v>
      </c>
      <c r="H7748" t="s">
        <v>11629</v>
      </c>
      <c r="I7748" t="s">
        <v>17277</v>
      </c>
      <c r="J7748" t="s">
        <v>18894</v>
      </c>
      <c r="K7748">
        <v>11225</v>
      </c>
      <c r="L7748" t="s">
        <v>18958</v>
      </c>
      <c r="M7748" t="s">
        <v>18958</v>
      </c>
      <c r="N7748" t="s">
        <v>24478</v>
      </c>
      <c r="O7748" t="s">
        <v>26523</v>
      </c>
      <c r="P7748" t="s">
        <v>26563</v>
      </c>
      <c r="R7748" t="s">
        <v>26588</v>
      </c>
      <c r="U7748" t="s">
        <v>26604</v>
      </c>
      <c r="W7748" t="s">
        <v>810</v>
      </c>
      <c r="X7748">
        <v>0</v>
      </c>
      <c r="Y7748" t="s">
        <v>26652</v>
      </c>
      <c r="Z7748" t="s">
        <v>26669</v>
      </c>
      <c r="AB7748" t="s">
        <v>32426</v>
      </c>
      <c r="AD7748" t="s">
        <v>42845</v>
      </c>
      <c r="AE7748">
        <v>46</v>
      </c>
      <c r="AH7748">
        <v>0</v>
      </c>
      <c r="AI7748">
        <v>3</v>
      </c>
      <c r="AJ7748">
        <v>1</v>
      </c>
      <c r="AK7748">
        <v>108.74</v>
      </c>
      <c r="AN7748" t="s">
        <v>7439</v>
      </c>
      <c r="AO7748">
        <v>28000</v>
      </c>
      <c r="AU7748">
        <v>2</v>
      </c>
      <c r="AV7748" t="s">
        <v>763</v>
      </c>
      <c r="AW7748" t="s">
        <v>46862</v>
      </c>
      <c r="AX7748" t="s">
        <v>46897</v>
      </c>
    </row>
    <row r="7749" spans="1:50">
      <c r="A7749" s="1">
        <f>HYPERLINK("https://lsnyc.legalserver.org/matter/dynamic-profile/view/1897418","19-1897418")</f>
        <v>0</v>
      </c>
      <c r="B7749" t="s">
        <v>227</v>
      </c>
      <c r="C7749" t="s">
        <v>340</v>
      </c>
      <c r="D7749" t="s">
        <v>762</v>
      </c>
      <c r="F7749" t="s">
        <v>4047</v>
      </c>
      <c r="G7749" t="s">
        <v>8430</v>
      </c>
      <c r="H7749" t="s">
        <v>12367</v>
      </c>
      <c r="I7749" t="s">
        <v>17378</v>
      </c>
      <c r="J7749" t="s">
        <v>18894</v>
      </c>
      <c r="K7749">
        <v>11221</v>
      </c>
      <c r="L7749" t="s">
        <v>18958</v>
      </c>
      <c r="M7749" t="s">
        <v>18958</v>
      </c>
      <c r="N7749" t="s">
        <v>24479</v>
      </c>
      <c r="O7749" t="s">
        <v>26523</v>
      </c>
      <c r="P7749" t="s">
        <v>26560</v>
      </c>
      <c r="R7749" t="s">
        <v>26588</v>
      </c>
      <c r="S7749" t="s">
        <v>18959</v>
      </c>
      <c r="U7749" t="s">
        <v>26604</v>
      </c>
      <c r="W7749" t="s">
        <v>810</v>
      </c>
      <c r="X7749">
        <v>0</v>
      </c>
      <c r="Y7749" t="s">
        <v>26652</v>
      </c>
      <c r="Z7749" t="s">
        <v>26669</v>
      </c>
      <c r="AB7749" t="s">
        <v>32427</v>
      </c>
      <c r="AD7749" t="s">
        <v>42846</v>
      </c>
      <c r="AE7749">
        <v>97</v>
      </c>
      <c r="AH7749">
        <v>0</v>
      </c>
      <c r="AI7749">
        <v>1</v>
      </c>
      <c r="AJ7749">
        <v>1</v>
      </c>
      <c r="AK7749">
        <v>212.89</v>
      </c>
      <c r="AL7749" t="s">
        <v>770</v>
      </c>
      <c r="AM7749" t="s">
        <v>45575</v>
      </c>
      <c r="AN7749" t="s">
        <v>7439</v>
      </c>
      <c r="AO7749">
        <v>36000</v>
      </c>
      <c r="AU7749">
        <v>5.8</v>
      </c>
      <c r="AV7749" t="s">
        <v>830</v>
      </c>
      <c r="AW7749" t="s">
        <v>281</v>
      </c>
      <c r="AX7749" t="s">
        <v>46897</v>
      </c>
    </row>
    <row r="7750" spans="1:50">
      <c r="A7750" s="1">
        <f>HYPERLINK("https://lsnyc.legalserver.org/matter/dynamic-profile/view/1897433","19-1897433")</f>
        <v>0</v>
      </c>
      <c r="B7750" t="s">
        <v>193</v>
      </c>
      <c r="C7750" t="s">
        <v>340</v>
      </c>
      <c r="D7750" t="s">
        <v>762</v>
      </c>
      <c r="F7750" t="s">
        <v>1976</v>
      </c>
      <c r="G7750" t="s">
        <v>5471</v>
      </c>
      <c r="H7750" t="s">
        <v>12447</v>
      </c>
      <c r="I7750" t="s">
        <v>17272</v>
      </c>
      <c r="J7750" t="s">
        <v>18894</v>
      </c>
      <c r="K7750">
        <v>11216</v>
      </c>
      <c r="L7750" t="s">
        <v>18958</v>
      </c>
      <c r="M7750" t="s">
        <v>18958</v>
      </c>
      <c r="N7750" t="s">
        <v>24480</v>
      </c>
      <c r="O7750" t="s">
        <v>26523</v>
      </c>
      <c r="P7750" t="s">
        <v>26560</v>
      </c>
      <c r="R7750" t="s">
        <v>26588</v>
      </c>
      <c r="S7750" t="s">
        <v>18959</v>
      </c>
      <c r="U7750" t="s">
        <v>26604</v>
      </c>
      <c r="W7750" t="s">
        <v>810</v>
      </c>
      <c r="X7750">
        <v>0</v>
      </c>
      <c r="Y7750" t="s">
        <v>26652</v>
      </c>
      <c r="Z7750" t="s">
        <v>26669</v>
      </c>
      <c r="AB7750" t="s">
        <v>32428</v>
      </c>
      <c r="AD7750" t="s">
        <v>42847</v>
      </c>
      <c r="AE7750">
        <v>0</v>
      </c>
      <c r="AH7750">
        <v>0</v>
      </c>
      <c r="AI7750">
        <v>1</v>
      </c>
      <c r="AJ7750">
        <v>2</v>
      </c>
      <c r="AK7750">
        <v>55.3</v>
      </c>
      <c r="AN7750" t="s">
        <v>7439</v>
      </c>
      <c r="AO7750">
        <v>11795</v>
      </c>
      <c r="AU7750">
        <v>8.9</v>
      </c>
      <c r="AV7750" t="s">
        <v>835</v>
      </c>
      <c r="AW7750" t="s">
        <v>281</v>
      </c>
      <c r="AX7750" t="s">
        <v>46897</v>
      </c>
    </row>
    <row r="7751" spans="1:50">
      <c r="A7751" s="1">
        <f>HYPERLINK("https://lsnyc.legalserver.org/matter/dynamic-profile/view/1897593","19-1897593")</f>
        <v>0</v>
      </c>
      <c r="B7751" t="s">
        <v>99</v>
      </c>
      <c r="C7751" t="s">
        <v>340</v>
      </c>
      <c r="D7751" t="s">
        <v>763</v>
      </c>
      <c r="F7751" t="s">
        <v>4048</v>
      </c>
      <c r="G7751" t="s">
        <v>968</v>
      </c>
      <c r="H7751" t="s">
        <v>14930</v>
      </c>
      <c r="I7751" t="s">
        <v>17306</v>
      </c>
      <c r="J7751" t="s">
        <v>18894</v>
      </c>
      <c r="K7751">
        <v>11226</v>
      </c>
      <c r="L7751" t="s">
        <v>18958</v>
      </c>
      <c r="M7751" t="s">
        <v>18958</v>
      </c>
      <c r="N7751" t="s">
        <v>24481</v>
      </c>
      <c r="O7751" t="s">
        <v>26523</v>
      </c>
      <c r="P7751" t="s">
        <v>26560</v>
      </c>
      <c r="R7751" t="s">
        <v>26588</v>
      </c>
      <c r="U7751" t="s">
        <v>26604</v>
      </c>
      <c r="W7751" t="s">
        <v>810</v>
      </c>
      <c r="X7751">
        <v>1115.53</v>
      </c>
      <c r="Y7751" t="s">
        <v>26652</v>
      </c>
      <c r="Z7751" t="s">
        <v>26668</v>
      </c>
      <c r="AB7751" t="s">
        <v>32429</v>
      </c>
      <c r="AD7751" t="s">
        <v>42848</v>
      </c>
      <c r="AE7751">
        <v>16</v>
      </c>
      <c r="AG7751" t="s">
        <v>19330</v>
      </c>
      <c r="AH7751">
        <v>20</v>
      </c>
      <c r="AI7751">
        <v>6</v>
      </c>
      <c r="AJ7751">
        <v>1</v>
      </c>
      <c r="AK7751">
        <v>58.85</v>
      </c>
      <c r="AN7751" t="s">
        <v>7439</v>
      </c>
      <c r="AO7751">
        <v>22958</v>
      </c>
      <c r="AU7751">
        <v>8.699999999999999</v>
      </c>
      <c r="AV7751" t="s">
        <v>839</v>
      </c>
      <c r="AW7751" t="s">
        <v>46862</v>
      </c>
      <c r="AX7751" t="s">
        <v>46897</v>
      </c>
    </row>
    <row r="7752" spans="1:50">
      <c r="A7752" s="1">
        <f>HYPERLINK("https://lsnyc.legalserver.org/matter/dynamic-profile/view/1897651","19-1897651")</f>
        <v>0</v>
      </c>
      <c r="B7752" t="s">
        <v>257</v>
      </c>
      <c r="C7752" t="s">
        <v>340</v>
      </c>
      <c r="D7752" t="s">
        <v>763</v>
      </c>
      <c r="F7752" t="s">
        <v>4049</v>
      </c>
      <c r="G7752" t="s">
        <v>5147</v>
      </c>
      <c r="H7752" t="s">
        <v>14931</v>
      </c>
      <c r="I7752" t="s">
        <v>17274</v>
      </c>
      <c r="J7752" t="s">
        <v>18894</v>
      </c>
      <c r="K7752">
        <v>11206</v>
      </c>
      <c r="L7752" t="s">
        <v>18958</v>
      </c>
      <c r="M7752" t="s">
        <v>18958</v>
      </c>
      <c r="N7752" t="s">
        <v>24482</v>
      </c>
      <c r="O7752" t="s">
        <v>26524</v>
      </c>
      <c r="P7752" t="s">
        <v>26563</v>
      </c>
      <c r="R7752" t="s">
        <v>26586</v>
      </c>
      <c r="U7752" t="s">
        <v>26605</v>
      </c>
      <c r="W7752" t="s">
        <v>810</v>
      </c>
      <c r="X7752">
        <v>261</v>
      </c>
      <c r="Y7752" t="s">
        <v>26652</v>
      </c>
      <c r="Z7752" t="s">
        <v>26664</v>
      </c>
      <c r="AB7752" t="s">
        <v>32430</v>
      </c>
      <c r="AD7752" t="s">
        <v>42849</v>
      </c>
      <c r="AE7752">
        <v>0</v>
      </c>
      <c r="AH7752">
        <v>20</v>
      </c>
      <c r="AI7752">
        <v>1</v>
      </c>
      <c r="AJ7752">
        <v>0</v>
      </c>
      <c r="AK7752">
        <v>0</v>
      </c>
      <c r="AN7752" t="s">
        <v>7439</v>
      </c>
      <c r="AO7752">
        <v>0</v>
      </c>
      <c r="AU7752">
        <v>33.6</v>
      </c>
      <c r="AV7752" t="s">
        <v>836</v>
      </c>
      <c r="AW7752" t="s">
        <v>46862</v>
      </c>
      <c r="AX7752" t="s">
        <v>46897</v>
      </c>
    </row>
    <row r="7753" spans="1:50">
      <c r="A7753" s="1">
        <f>HYPERLINK("https://lsnyc.legalserver.org/matter/dynamic-profile/view/1897555","19-1897555")</f>
        <v>0</v>
      </c>
      <c r="B7753" t="s">
        <v>283</v>
      </c>
      <c r="C7753" t="s">
        <v>340</v>
      </c>
      <c r="D7753" t="s">
        <v>763</v>
      </c>
      <c r="F7753" t="s">
        <v>1972</v>
      </c>
      <c r="G7753" t="s">
        <v>8431</v>
      </c>
      <c r="H7753" t="s">
        <v>14932</v>
      </c>
      <c r="I7753">
        <v>207</v>
      </c>
      <c r="J7753" t="s">
        <v>18894</v>
      </c>
      <c r="K7753">
        <v>11221</v>
      </c>
      <c r="L7753" t="s">
        <v>18958</v>
      </c>
      <c r="M7753" t="s">
        <v>18958</v>
      </c>
      <c r="N7753" t="s">
        <v>24483</v>
      </c>
      <c r="O7753" t="s">
        <v>26523</v>
      </c>
      <c r="P7753" t="s">
        <v>26560</v>
      </c>
      <c r="R7753" t="s">
        <v>26588</v>
      </c>
      <c r="S7753" t="s">
        <v>18959</v>
      </c>
      <c r="U7753" t="s">
        <v>26604</v>
      </c>
      <c r="V7753" t="s">
        <v>26610</v>
      </c>
      <c r="W7753" t="s">
        <v>810</v>
      </c>
      <c r="X7753">
        <v>0</v>
      </c>
      <c r="Y7753" t="s">
        <v>26652</v>
      </c>
      <c r="Z7753" t="s">
        <v>26669</v>
      </c>
      <c r="AB7753" t="s">
        <v>29207</v>
      </c>
      <c r="AD7753" t="s">
        <v>42850</v>
      </c>
      <c r="AE7753">
        <v>0</v>
      </c>
      <c r="AF7753" t="s">
        <v>45543</v>
      </c>
      <c r="AH7753">
        <v>0</v>
      </c>
      <c r="AI7753">
        <v>3</v>
      </c>
      <c r="AJ7753">
        <v>1</v>
      </c>
      <c r="AK7753">
        <v>160.54</v>
      </c>
      <c r="AN7753" t="s">
        <v>7439</v>
      </c>
      <c r="AO7753">
        <v>41340</v>
      </c>
      <c r="AU7753">
        <v>9.199999999999999</v>
      </c>
      <c r="AV7753" t="s">
        <v>797</v>
      </c>
      <c r="AW7753" t="s">
        <v>281</v>
      </c>
      <c r="AX7753" t="s">
        <v>46897</v>
      </c>
    </row>
    <row r="7754" spans="1:50">
      <c r="A7754" s="1">
        <f>HYPERLINK("https://lsnyc.legalserver.org/matter/dynamic-profile/view/1897649","19-1897649")</f>
        <v>0</v>
      </c>
      <c r="B7754" t="s">
        <v>140</v>
      </c>
      <c r="C7754" t="s">
        <v>340</v>
      </c>
      <c r="D7754" t="s">
        <v>763</v>
      </c>
      <c r="F7754" t="s">
        <v>3589</v>
      </c>
      <c r="G7754" t="s">
        <v>7917</v>
      </c>
      <c r="H7754" t="s">
        <v>10938</v>
      </c>
      <c r="I7754" t="s">
        <v>18332</v>
      </c>
      <c r="J7754" t="s">
        <v>18894</v>
      </c>
      <c r="K7754">
        <v>11225</v>
      </c>
      <c r="L7754" t="s">
        <v>18958</v>
      </c>
      <c r="M7754" t="s">
        <v>18958</v>
      </c>
      <c r="N7754" t="s">
        <v>24484</v>
      </c>
      <c r="O7754" t="s">
        <v>26526</v>
      </c>
      <c r="P7754" t="s">
        <v>26560</v>
      </c>
      <c r="R7754" t="s">
        <v>26586</v>
      </c>
      <c r="S7754" t="s">
        <v>18959</v>
      </c>
      <c r="U7754" t="s">
        <v>26604</v>
      </c>
      <c r="V7754" t="s">
        <v>26610</v>
      </c>
      <c r="W7754" t="s">
        <v>810</v>
      </c>
      <c r="X7754">
        <v>1123</v>
      </c>
      <c r="Y7754" t="s">
        <v>26652</v>
      </c>
      <c r="Z7754" t="s">
        <v>26669</v>
      </c>
      <c r="AB7754" t="s">
        <v>31488</v>
      </c>
      <c r="AD7754" t="s">
        <v>41711</v>
      </c>
      <c r="AE7754">
        <v>103</v>
      </c>
      <c r="AF7754" t="s">
        <v>45541</v>
      </c>
      <c r="AG7754" t="s">
        <v>45559</v>
      </c>
      <c r="AH7754">
        <v>44</v>
      </c>
      <c r="AI7754">
        <v>1</v>
      </c>
      <c r="AJ7754">
        <v>1</v>
      </c>
      <c r="AK7754">
        <v>53.86</v>
      </c>
      <c r="AN7754" t="s">
        <v>7439</v>
      </c>
      <c r="AO7754">
        <v>9108</v>
      </c>
      <c r="AU7754">
        <v>2</v>
      </c>
      <c r="AV7754" t="s">
        <v>829</v>
      </c>
      <c r="AW7754" t="s">
        <v>140</v>
      </c>
      <c r="AX7754" t="s">
        <v>46897</v>
      </c>
    </row>
    <row r="7755" spans="1:50">
      <c r="A7755" s="1">
        <f>HYPERLINK("https://lsnyc.legalserver.org/matter/dynamic-profile/view/1897665","19-1897665")</f>
        <v>0</v>
      </c>
      <c r="B7755" t="s">
        <v>227</v>
      </c>
      <c r="C7755" t="s">
        <v>340</v>
      </c>
      <c r="D7755" t="s">
        <v>763</v>
      </c>
      <c r="F7755" t="s">
        <v>4050</v>
      </c>
      <c r="G7755" t="s">
        <v>5243</v>
      </c>
      <c r="H7755" t="s">
        <v>10128</v>
      </c>
      <c r="I7755" t="s">
        <v>17735</v>
      </c>
      <c r="J7755" t="s">
        <v>18894</v>
      </c>
      <c r="K7755">
        <v>11213</v>
      </c>
      <c r="L7755" t="s">
        <v>18958</v>
      </c>
      <c r="M7755" t="s">
        <v>18958</v>
      </c>
      <c r="N7755" t="s">
        <v>24485</v>
      </c>
      <c r="O7755" t="s">
        <v>26523</v>
      </c>
      <c r="P7755" t="s">
        <v>26564</v>
      </c>
      <c r="R7755" t="s">
        <v>26586</v>
      </c>
      <c r="S7755" t="s">
        <v>18959</v>
      </c>
      <c r="U7755" t="s">
        <v>26604</v>
      </c>
      <c r="W7755" t="s">
        <v>810</v>
      </c>
      <c r="X7755">
        <v>0</v>
      </c>
      <c r="Y7755" t="s">
        <v>26652</v>
      </c>
      <c r="Z7755" t="s">
        <v>26664</v>
      </c>
      <c r="AB7755" t="s">
        <v>31816</v>
      </c>
      <c r="AD7755" t="s">
        <v>42851</v>
      </c>
      <c r="AE7755">
        <v>27</v>
      </c>
      <c r="AH7755">
        <v>0</v>
      </c>
      <c r="AI7755">
        <v>2</v>
      </c>
      <c r="AJ7755">
        <v>0</v>
      </c>
      <c r="AK7755">
        <v>109.43</v>
      </c>
      <c r="AN7755" t="s">
        <v>7439</v>
      </c>
      <c r="AO7755">
        <v>18504</v>
      </c>
      <c r="AU7755">
        <v>16.6</v>
      </c>
      <c r="AV7755" t="s">
        <v>773</v>
      </c>
      <c r="AW7755" t="s">
        <v>46862</v>
      </c>
      <c r="AX7755" t="s">
        <v>46897</v>
      </c>
    </row>
    <row r="7756" spans="1:50">
      <c r="A7756" s="1">
        <f>HYPERLINK("https://lsnyc.legalserver.org/matter/dynamic-profile/view/1897541","19-1897541")</f>
        <v>0</v>
      </c>
      <c r="B7756" t="s">
        <v>227</v>
      </c>
      <c r="C7756" t="s">
        <v>340</v>
      </c>
      <c r="D7756" t="s">
        <v>763</v>
      </c>
      <c r="F7756" t="s">
        <v>4051</v>
      </c>
      <c r="G7756" t="s">
        <v>8432</v>
      </c>
      <c r="H7756" t="s">
        <v>14933</v>
      </c>
      <c r="I7756" t="s">
        <v>17334</v>
      </c>
      <c r="J7756" t="s">
        <v>18894</v>
      </c>
      <c r="K7756">
        <v>11221</v>
      </c>
      <c r="L7756" t="s">
        <v>18958</v>
      </c>
      <c r="M7756" t="s">
        <v>18958</v>
      </c>
      <c r="N7756" t="s">
        <v>24486</v>
      </c>
      <c r="O7756" t="s">
        <v>26523</v>
      </c>
      <c r="P7756" t="s">
        <v>26560</v>
      </c>
      <c r="R7756" t="s">
        <v>26588</v>
      </c>
      <c r="U7756" t="s">
        <v>26604</v>
      </c>
      <c r="W7756" t="s">
        <v>810</v>
      </c>
      <c r="X7756">
        <v>0</v>
      </c>
      <c r="Y7756" t="s">
        <v>26652</v>
      </c>
      <c r="Z7756" t="s">
        <v>26669</v>
      </c>
      <c r="AB7756" t="s">
        <v>32431</v>
      </c>
      <c r="AD7756" t="s">
        <v>42852</v>
      </c>
      <c r="AE7756">
        <v>0</v>
      </c>
      <c r="AH7756">
        <v>0</v>
      </c>
      <c r="AI7756">
        <v>1</v>
      </c>
      <c r="AJ7756">
        <v>1</v>
      </c>
      <c r="AK7756">
        <v>76.88</v>
      </c>
      <c r="AN7756" t="s">
        <v>7439</v>
      </c>
      <c r="AO7756">
        <v>13000</v>
      </c>
      <c r="AU7756">
        <v>7.1</v>
      </c>
      <c r="AV7756" t="s">
        <v>838</v>
      </c>
      <c r="AW7756" t="s">
        <v>281</v>
      </c>
      <c r="AX7756" t="s">
        <v>46897</v>
      </c>
    </row>
    <row r="7757" spans="1:50">
      <c r="A7757" s="1">
        <f>HYPERLINK("https://lsnyc.legalserver.org/matter/dynamic-profile/view/1897547","19-1897547")</f>
        <v>0</v>
      </c>
      <c r="B7757" t="s">
        <v>227</v>
      </c>
      <c r="C7757" t="s">
        <v>340</v>
      </c>
      <c r="D7757" t="s">
        <v>763</v>
      </c>
      <c r="F7757" t="s">
        <v>4052</v>
      </c>
      <c r="G7757" t="s">
        <v>8433</v>
      </c>
      <c r="H7757" t="s">
        <v>14934</v>
      </c>
      <c r="I7757" t="s">
        <v>17322</v>
      </c>
      <c r="J7757" t="s">
        <v>18894</v>
      </c>
      <c r="K7757">
        <v>11225</v>
      </c>
      <c r="L7757" t="s">
        <v>18958</v>
      </c>
      <c r="M7757" t="s">
        <v>18958</v>
      </c>
      <c r="N7757" t="s">
        <v>24487</v>
      </c>
      <c r="O7757" t="s">
        <v>26523</v>
      </c>
      <c r="P7757" t="s">
        <v>26560</v>
      </c>
      <c r="R7757" t="s">
        <v>26588</v>
      </c>
      <c r="U7757" t="s">
        <v>26604</v>
      </c>
      <c r="W7757" t="s">
        <v>810</v>
      </c>
      <c r="X7757">
        <v>0</v>
      </c>
      <c r="Y7757" t="s">
        <v>26652</v>
      </c>
      <c r="Z7757" t="s">
        <v>26669</v>
      </c>
      <c r="AB7757" t="s">
        <v>32432</v>
      </c>
      <c r="AD7757" t="s">
        <v>42853</v>
      </c>
      <c r="AE7757">
        <v>0</v>
      </c>
      <c r="AH7757">
        <v>0</v>
      </c>
      <c r="AI7757">
        <v>1</v>
      </c>
      <c r="AJ7757">
        <v>0</v>
      </c>
      <c r="AK7757">
        <v>104.08</v>
      </c>
      <c r="AN7757" t="s">
        <v>7439</v>
      </c>
      <c r="AO7757">
        <v>13000</v>
      </c>
      <c r="AU7757">
        <v>5</v>
      </c>
      <c r="AV7757" t="s">
        <v>814</v>
      </c>
      <c r="AW7757" t="s">
        <v>281</v>
      </c>
      <c r="AX7757" t="s">
        <v>46897</v>
      </c>
    </row>
    <row r="7758" spans="1:50">
      <c r="A7758" s="1">
        <f>HYPERLINK("https://lsnyc.legalserver.org/matter/dynamic-profile/view/1897543","19-1897543")</f>
        <v>0</v>
      </c>
      <c r="B7758" t="s">
        <v>227</v>
      </c>
      <c r="C7758" t="s">
        <v>340</v>
      </c>
      <c r="D7758" t="s">
        <v>763</v>
      </c>
      <c r="F7758" t="s">
        <v>4053</v>
      </c>
      <c r="G7758" t="s">
        <v>5405</v>
      </c>
      <c r="H7758" t="s">
        <v>11761</v>
      </c>
      <c r="I7758" t="s">
        <v>17618</v>
      </c>
      <c r="J7758" t="s">
        <v>18894</v>
      </c>
      <c r="K7758">
        <v>11225</v>
      </c>
      <c r="L7758" t="s">
        <v>18958</v>
      </c>
      <c r="M7758" t="s">
        <v>18958</v>
      </c>
      <c r="N7758" t="s">
        <v>24488</v>
      </c>
      <c r="O7758" t="s">
        <v>26523</v>
      </c>
      <c r="P7758" t="s">
        <v>26560</v>
      </c>
      <c r="R7758" t="s">
        <v>26588</v>
      </c>
      <c r="U7758" t="s">
        <v>26604</v>
      </c>
      <c r="W7758" t="s">
        <v>810</v>
      </c>
      <c r="X7758">
        <v>1550</v>
      </c>
      <c r="Y7758" t="s">
        <v>26652</v>
      </c>
      <c r="Z7758" t="s">
        <v>26669</v>
      </c>
      <c r="AB7758" t="s">
        <v>32433</v>
      </c>
      <c r="AE7758">
        <v>0</v>
      </c>
      <c r="AH7758">
        <v>9</v>
      </c>
      <c r="AI7758">
        <v>2</v>
      </c>
      <c r="AJ7758">
        <v>0</v>
      </c>
      <c r="AK7758">
        <v>120.57</v>
      </c>
      <c r="AN7758" t="s">
        <v>7439</v>
      </c>
      <c r="AO7758">
        <v>20388</v>
      </c>
      <c r="AU7758">
        <v>2.5</v>
      </c>
      <c r="AV7758" t="s">
        <v>770</v>
      </c>
      <c r="AW7758" t="s">
        <v>281</v>
      </c>
      <c r="AX7758" t="s">
        <v>46897</v>
      </c>
    </row>
    <row r="7759" spans="1:50">
      <c r="A7759" s="1">
        <f>HYPERLINK("https://lsnyc.legalserver.org/matter/dynamic-profile/view/1897551","19-1897551")</f>
        <v>0</v>
      </c>
      <c r="B7759" t="s">
        <v>193</v>
      </c>
      <c r="C7759" t="s">
        <v>340</v>
      </c>
      <c r="D7759" t="s">
        <v>763</v>
      </c>
      <c r="F7759" t="s">
        <v>1253</v>
      </c>
      <c r="G7759" t="s">
        <v>7601</v>
      </c>
      <c r="H7759" t="s">
        <v>14935</v>
      </c>
      <c r="I7759">
        <v>4</v>
      </c>
      <c r="J7759" t="s">
        <v>18894</v>
      </c>
      <c r="K7759">
        <v>11221</v>
      </c>
      <c r="L7759" t="s">
        <v>18958</v>
      </c>
      <c r="M7759" t="s">
        <v>18958</v>
      </c>
      <c r="N7759" t="s">
        <v>24489</v>
      </c>
      <c r="O7759" t="s">
        <v>26524</v>
      </c>
      <c r="P7759" t="s">
        <v>26560</v>
      </c>
      <c r="R7759" t="s">
        <v>26588</v>
      </c>
      <c r="S7759" t="s">
        <v>18959</v>
      </c>
      <c r="U7759" t="s">
        <v>26604</v>
      </c>
      <c r="W7759" t="s">
        <v>810</v>
      </c>
      <c r="X7759">
        <v>0</v>
      </c>
      <c r="Y7759" t="s">
        <v>26652</v>
      </c>
      <c r="Z7759" t="s">
        <v>26669</v>
      </c>
      <c r="AB7759" t="s">
        <v>32434</v>
      </c>
      <c r="AD7759" t="s">
        <v>42854</v>
      </c>
      <c r="AE7759">
        <v>0</v>
      </c>
      <c r="AH7759">
        <v>0</v>
      </c>
      <c r="AI7759">
        <v>1</v>
      </c>
      <c r="AJ7759">
        <v>0</v>
      </c>
      <c r="AK7759">
        <v>39.34</v>
      </c>
      <c r="AN7759" t="s">
        <v>7439</v>
      </c>
      <c r="AO7759">
        <v>4914</v>
      </c>
      <c r="AU7759">
        <v>9.199999999999999</v>
      </c>
      <c r="AV7759" t="s">
        <v>835</v>
      </c>
      <c r="AW7759" t="s">
        <v>281</v>
      </c>
      <c r="AX7759" t="s">
        <v>46897</v>
      </c>
    </row>
    <row r="7760" spans="1:50">
      <c r="A7760" s="1">
        <f>HYPERLINK("https://lsnyc.legalserver.org/matter/dynamic-profile/view/1897567","19-1897567")</f>
        <v>0</v>
      </c>
      <c r="B7760" t="s">
        <v>193</v>
      </c>
      <c r="C7760" t="s">
        <v>340</v>
      </c>
      <c r="D7760" t="s">
        <v>763</v>
      </c>
      <c r="F7760" t="s">
        <v>2495</v>
      </c>
      <c r="G7760" t="s">
        <v>8434</v>
      </c>
      <c r="H7760" t="s">
        <v>14936</v>
      </c>
      <c r="I7760" t="s">
        <v>17574</v>
      </c>
      <c r="J7760" t="s">
        <v>18894</v>
      </c>
      <c r="K7760">
        <v>11225</v>
      </c>
      <c r="L7760" t="s">
        <v>18958</v>
      </c>
      <c r="M7760" t="s">
        <v>18958</v>
      </c>
      <c r="N7760" t="s">
        <v>24490</v>
      </c>
      <c r="O7760" t="s">
        <v>26523</v>
      </c>
      <c r="P7760" t="s">
        <v>26560</v>
      </c>
      <c r="R7760" t="s">
        <v>26588</v>
      </c>
      <c r="S7760" t="s">
        <v>18959</v>
      </c>
      <c r="U7760" t="s">
        <v>26604</v>
      </c>
      <c r="W7760" t="s">
        <v>810</v>
      </c>
      <c r="X7760">
        <v>1300</v>
      </c>
      <c r="Y7760" t="s">
        <v>26652</v>
      </c>
      <c r="Z7760" t="s">
        <v>26669</v>
      </c>
      <c r="AB7760" t="s">
        <v>32435</v>
      </c>
      <c r="AD7760" t="s">
        <v>42855</v>
      </c>
      <c r="AE7760">
        <v>0</v>
      </c>
      <c r="AH7760">
        <v>12</v>
      </c>
      <c r="AI7760">
        <v>2</v>
      </c>
      <c r="AJ7760">
        <v>0</v>
      </c>
      <c r="AK7760">
        <v>253.6</v>
      </c>
      <c r="AL7760" t="s">
        <v>770</v>
      </c>
      <c r="AM7760" t="s">
        <v>45575</v>
      </c>
      <c r="AN7760" t="s">
        <v>7439</v>
      </c>
      <c r="AO7760">
        <v>42884</v>
      </c>
      <c r="AU7760">
        <v>20.1</v>
      </c>
      <c r="AV7760" t="s">
        <v>772</v>
      </c>
      <c r="AW7760" t="s">
        <v>281</v>
      </c>
      <c r="AX7760" t="s">
        <v>46897</v>
      </c>
    </row>
    <row r="7761" spans="1:50">
      <c r="A7761" s="1">
        <f>HYPERLINK("https://lsnyc.legalserver.org/matter/dynamic-profile/view/1897782","19-1897782")</f>
        <v>0</v>
      </c>
      <c r="B7761" t="s">
        <v>238</v>
      </c>
      <c r="C7761" t="s">
        <v>340</v>
      </c>
      <c r="D7761" t="s">
        <v>764</v>
      </c>
      <c r="F7761" t="s">
        <v>4002</v>
      </c>
      <c r="G7761" t="s">
        <v>5785</v>
      </c>
      <c r="H7761" t="s">
        <v>12994</v>
      </c>
      <c r="I7761" t="s">
        <v>17757</v>
      </c>
      <c r="J7761" t="s">
        <v>18894</v>
      </c>
      <c r="K7761">
        <v>11225</v>
      </c>
      <c r="L7761" t="s">
        <v>18958</v>
      </c>
      <c r="M7761" t="s">
        <v>18958</v>
      </c>
      <c r="N7761" t="s">
        <v>24491</v>
      </c>
      <c r="O7761" t="s">
        <v>26524</v>
      </c>
      <c r="P7761" t="s">
        <v>26564</v>
      </c>
      <c r="R7761" t="s">
        <v>26588</v>
      </c>
      <c r="U7761" t="s">
        <v>26604</v>
      </c>
      <c r="W7761" t="s">
        <v>810</v>
      </c>
      <c r="X7761">
        <v>0</v>
      </c>
      <c r="Y7761" t="s">
        <v>26652</v>
      </c>
      <c r="Z7761" t="s">
        <v>26669</v>
      </c>
      <c r="AB7761" t="s">
        <v>32436</v>
      </c>
      <c r="AD7761" t="s">
        <v>40332</v>
      </c>
      <c r="AE7761">
        <v>57</v>
      </c>
      <c r="AH7761">
        <v>0</v>
      </c>
      <c r="AI7761">
        <v>2</v>
      </c>
      <c r="AJ7761">
        <v>4</v>
      </c>
      <c r="AK7761">
        <v>45.1</v>
      </c>
      <c r="AN7761" t="s">
        <v>7439</v>
      </c>
      <c r="AO7761">
        <v>15600</v>
      </c>
      <c r="AU7761">
        <v>1</v>
      </c>
      <c r="AV7761" t="s">
        <v>764</v>
      </c>
      <c r="AW7761" t="s">
        <v>46862</v>
      </c>
      <c r="AX7761" t="s">
        <v>46897</v>
      </c>
    </row>
    <row r="7762" spans="1:50">
      <c r="A7762" s="1">
        <f>HYPERLINK("https://lsnyc.legalserver.org/matter/dynamic-profile/view/1897687","19-1897687")</f>
        <v>0</v>
      </c>
      <c r="B7762" t="s">
        <v>238</v>
      </c>
      <c r="C7762" t="s">
        <v>340</v>
      </c>
      <c r="D7762" t="s">
        <v>764</v>
      </c>
      <c r="F7762" t="s">
        <v>1046</v>
      </c>
      <c r="G7762" t="s">
        <v>5187</v>
      </c>
      <c r="H7762" t="s">
        <v>14937</v>
      </c>
      <c r="I7762" t="s">
        <v>18499</v>
      </c>
      <c r="J7762" t="s">
        <v>18894</v>
      </c>
      <c r="K7762">
        <v>11221</v>
      </c>
      <c r="L7762" t="s">
        <v>18958</v>
      </c>
      <c r="M7762" t="s">
        <v>18958</v>
      </c>
      <c r="N7762" t="s">
        <v>24492</v>
      </c>
      <c r="O7762" t="s">
        <v>26524</v>
      </c>
      <c r="P7762" t="s">
        <v>26564</v>
      </c>
      <c r="R7762" t="s">
        <v>26588</v>
      </c>
      <c r="U7762" t="s">
        <v>26604</v>
      </c>
      <c r="W7762" t="s">
        <v>810</v>
      </c>
      <c r="X7762">
        <v>0</v>
      </c>
      <c r="Y7762" t="s">
        <v>26652</v>
      </c>
      <c r="Z7762" t="s">
        <v>26669</v>
      </c>
      <c r="AB7762" t="s">
        <v>32437</v>
      </c>
      <c r="AD7762" t="s">
        <v>42856</v>
      </c>
      <c r="AE7762">
        <v>0</v>
      </c>
      <c r="AH7762">
        <v>0</v>
      </c>
      <c r="AI7762">
        <v>1</v>
      </c>
      <c r="AJ7762">
        <v>0</v>
      </c>
      <c r="AK7762">
        <v>62.45</v>
      </c>
      <c r="AN7762" t="s">
        <v>7439</v>
      </c>
      <c r="AO7762">
        <v>7800</v>
      </c>
      <c r="AU7762">
        <v>0.9</v>
      </c>
      <c r="AV7762" t="s">
        <v>764</v>
      </c>
      <c r="AW7762" t="s">
        <v>46862</v>
      </c>
      <c r="AX7762" t="s">
        <v>46897</v>
      </c>
    </row>
    <row r="7763" spans="1:50">
      <c r="A7763" s="1">
        <f>HYPERLINK("https://lsnyc.legalserver.org/matter/dynamic-profile/view/1897733","19-1897733")</f>
        <v>0</v>
      </c>
      <c r="B7763" t="s">
        <v>238</v>
      </c>
      <c r="C7763" t="s">
        <v>340</v>
      </c>
      <c r="D7763" t="s">
        <v>764</v>
      </c>
      <c r="F7763" t="s">
        <v>868</v>
      </c>
      <c r="G7763" t="s">
        <v>7337</v>
      </c>
      <c r="H7763" t="s">
        <v>12928</v>
      </c>
      <c r="I7763" t="s">
        <v>18500</v>
      </c>
      <c r="J7763" t="s">
        <v>18894</v>
      </c>
      <c r="K7763">
        <v>11225</v>
      </c>
      <c r="L7763" t="s">
        <v>18958</v>
      </c>
      <c r="M7763" t="s">
        <v>18958</v>
      </c>
      <c r="N7763" t="s">
        <v>24493</v>
      </c>
      <c r="O7763" t="s">
        <v>26524</v>
      </c>
      <c r="P7763" t="s">
        <v>26563</v>
      </c>
      <c r="R7763" t="s">
        <v>26588</v>
      </c>
      <c r="U7763" t="s">
        <v>26604</v>
      </c>
      <c r="W7763" t="s">
        <v>810</v>
      </c>
      <c r="X7763">
        <v>855.72</v>
      </c>
      <c r="Y7763" t="s">
        <v>26652</v>
      </c>
      <c r="Z7763" t="s">
        <v>26669</v>
      </c>
      <c r="AB7763" t="s">
        <v>32438</v>
      </c>
      <c r="AD7763" t="s">
        <v>42857</v>
      </c>
      <c r="AE7763">
        <v>124</v>
      </c>
      <c r="AG7763" t="s">
        <v>19330</v>
      </c>
      <c r="AH7763">
        <v>8</v>
      </c>
      <c r="AI7763">
        <v>2</v>
      </c>
      <c r="AJ7763">
        <v>0</v>
      </c>
      <c r="AK7763">
        <v>290.95</v>
      </c>
      <c r="AL7763" t="s">
        <v>770</v>
      </c>
      <c r="AM7763" t="s">
        <v>45575</v>
      </c>
      <c r="AN7763" t="s">
        <v>7439</v>
      </c>
      <c r="AO7763">
        <v>49200</v>
      </c>
      <c r="AU7763">
        <v>4</v>
      </c>
      <c r="AV7763" t="s">
        <v>805</v>
      </c>
      <c r="AW7763" t="s">
        <v>46862</v>
      </c>
      <c r="AX7763" t="s">
        <v>46897</v>
      </c>
    </row>
    <row r="7764" spans="1:50">
      <c r="A7764" s="1">
        <f>HYPERLINK("https://lsnyc.legalserver.org/matter/dynamic-profile/view/1897760","19-1897760")</f>
        <v>0</v>
      </c>
      <c r="B7764" t="s">
        <v>155</v>
      </c>
      <c r="C7764" t="s">
        <v>340</v>
      </c>
      <c r="D7764" t="s">
        <v>764</v>
      </c>
      <c r="F7764" t="s">
        <v>4054</v>
      </c>
      <c r="G7764" t="s">
        <v>8435</v>
      </c>
      <c r="H7764" t="s">
        <v>14938</v>
      </c>
      <c r="I7764" t="s">
        <v>18004</v>
      </c>
      <c r="J7764" t="s">
        <v>18894</v>
      </c>
      <c r="K7764">
        <v>11223</v>
      </c>
      <c r="L7764" t="s">
        <v>18958</v>
      </c>
      <c r="M7764" t="s">
        <v>18958</v>
      </c>
      <c r="N7764" t="s">
        <v>24494</v>
      </c>
      <c r="O7764" t="s">
        <v>26523</v>
      </c>
      <c r="P7764" t="s">
        <v>26560</v>
      </c>
      <c r="R7764" t="s">
        <v>26586</v>
      </c>
      <c r="U7764" t="s">
        <v>26604</v>
      </c>
      <c r="W7764" t="s">
        <v>810</v>
      </c>
      <c r="X7764">
        <v>2227</v>
      </c>
      <c r="Y7764" t="s">
        <v>26652</v>
      </c>
      <c r="Z7764" t="s">
        <v>26664</v>
      </c>
      <c r="AB7764" t="s">
        <v>32439</v>
      </c>
      <c r="AD7764" t="s">
        <v>42858</v>
      </c>
      <c r="AE7764">
        <v>0</v>
      </c>
      <c r="AH7764">
        <v>0</v>
      </c>
      <c r="AI7764">
        <v>1</v>
      </c>
      <c r="AJ7764">
        <v>1</v>
      </c>
      <c r="AK7764">
        <v>138.38</v>
      </c>
      <c r="AN7764" t="s">
        <v>7439</v>
      </c>
      <c r="AO7764">
        <v>23400</v>
      </c>
      <c r="AU7764">
        <v>6.4</v>
      </c>
      <c r="AV7764" t="s">
        <v>825</v>
      </c>
      <c r="AW7764" t="s">
        <v>46853</v>
      </c>
      <c r="AX7764" t="s">
        <v>46897</v>
      </c>
    </row>
    <row r="7765" spans="1:50">
      <c r="A7765" s="1">
        <f>HYPERLINK("https://lsnyc.legalserver.org/matter/dynamic-profile/view/1897748","19-1897748")</f>
        <v>0</v>
      </c>
      <c r="B7765" t="s">
        <v>155</v>
      </c>
      <c r="C7765" t="s">
        <v>340</v>
      </c>
      <c r="D7765" t="s">
        <v>764</v>
      </c>
      <c r="F7765" t="s">
        <v>1191</v>
      </c>
      <c r="G7765" t="s">
        <v>4549</v>
      </c>
      <c r="H7765" t="s">
        <v>14939</v>
      </c>
      <c r="I7765" t="s">
        <v>18501</v>
      </c>
      <c r="J7765" t="s">
        <v>18894</v>
      </c>
      <c r="K7765">
        <v>11210</v>
      </c>
      <c r="L7765" t="s">
        <v>18958</v>
      </c>
      <c r="M7765" t="s">
        <v>18958</v>
      </c>
      <c r="N7765" t="s">
        <v>24495</v>
      </c>
      <c r="O7765" t="s">
        <v>26523</v>
      </c>
      <c r="P7765" t="s">
        <v>26560</v>
      </c>
      <c r="R7765" t="s">
        <v>26586</v>
      </c>
      <c r="U7765" t="s">
        <v>26604</v>
      </c>
      <c r="W7765" t="s">
        <v>810</v>
      </c>
      <c r="X7765">
        <v>0</v>
      </c>
      <c r="Y7765" t="s">
        <v>26652</v>
      </c>
      <c r="Z7765" t="s">
        <v>26664</v>
      </c>
      <c r="AB7765" t="s">
        <v>32440</v>
      </c>
      <c r="AD7765" t="s">
        <v>42859</v>
      </c>
      <c r="AE7765">
        <v>0</v>
      </c>
      <c r="AH7765">
        <v>0</v>
      </c>
      <c r="AI7765">
        <v>1</v>
      </c>
      <c r="AJ7765">
        <v>0</v>
      </c>
      <c r="AK7765">
        <v>160.13</v>
      </c>
      <c r="AN7765" t="s">
        <v>7439</v>
      </c>
      <c r="AO7765">
        <v>20000</v>
      </c>
      <c r="AU7765">
        <v>1.9</v>
      </c>
      <c r="AV7765" t="s">
        <v>797</v>
      </c>
      <c r="AW7765" t="s">
        <v>46853</v>
      </c>
      <c r="AX7765" t="s">
        <v>46897</v>
      </c>
    </row>
    <row r="7766" spans="1:50">
      <c r="A7766" s="1">
        <f>HYPERLINK("https://lsnyc.legalserver.org/matter/dynamic-profile/view/1897811","19-1897811")</f>
        <v>0</v>
      </c>
      <c r="B7766" t="s">
        <v>230</v>
      </c>
      <c r="C7766" t="s">
        <v>340</v>
      </c>
      <c r="D7766" t="s">
        <v>765</v>
      </c>
      <c r="F7766" t="s">
        <v>4055</v>
      </c>
      <c r="G7766" t="s">
        <v>8436</v>
      </c>
      <c r="H7766" t="s">
        <v>14909</v>
      </c>
      <c r="I7766" t="s">
        <v>18502</v>
      </c>
      <c r="J7766" t="s">
        <v>18894</v>
      </c>
      <c r="K7766">
        <v>11230</v>
      </c>
      <c r="L7766" t="s">
        <v>18958</v>
      </c>
      <c r="M7766" t="s">
        <v>18958</v>
      </c>
      <c r="N7766" t="s">
        <v>24496</v>
      </c>
      <c r="O7766" t="s">
        <v>26524</v>
      </c>
      <c r="R7766" t="s">
        <v>26586</v>
      </c>
      <c r="U7766" t="s">
        <v>26604</v>
      </c>
      <c r="W7766" t="s">
        <v>810</v>
      </c>
      <c r="X7766">
        <v>1400</v>
      </c>
      <c r="Y7766" t="s">
        <v>26652</v>
      </c>
      <c r="Z7766" t="s">
        <v>26664</v>
      </c>
      <c r="AB7766" t="s">
        <v>32441</v>
      </c>
      <c r="AC7766" t="s">
        <v>36384</v>
      </c>
      <c r="AD7766" t="s">
        <v>42860</v>
      </c>
      <c r="AE7766">
        <v>0</v>
      </c>
      <c r="AH7766">
        <v>0</v>
      </c>
      <c r="AI7766">
        <v>1</v>
      </c>
      <c r="AJ7766">
        <v>0</v>
      </c>
      <c r="AK7766">
        <v>97.23</v>
      </c>
      <c r="AN7766" t="s">
        <v>7439</v>
      </c>
      <c r="AO7766">
        <v>12144</v>
      </c>
      <c r="AU7766">
        <v>49.1</v>
      </c>
      <c r="AV7766" t="s">
        <v>821</v>
      </c>
      <c r="AW7766" t="s">
        <v>46853</v>
      </c>
      <c r="AX7766" t="s">
        <v>46897</v>
      </c>
    </row>
    <row r="7767" spans="1:50">
      <c r="A7767" s="1">
        <f>HYPERLINK("https://lsnyc.legalserver.org/matter/dynamic-profile/view/1897864","19-1897864")</f>
        <v>0</v>
      </c>
      <c r="B7767" t="s">
        <v>99</v>
      </c>
      <c r="C7767" t="s">
        <v>340</v>
      </c>
      <c r="D7767" t="s">
        <v>765</v>
      </c>
      <c r="F7767" t="s">
        <v>4056</v>
      </c>
      <c r="G7767" t="s">
        <v>8437</v>
      </c>
      <c r="H7767" t="s">
        <v>14940</v>
      </c>
      <c r="I7767" t="s">
        <v>17345</v>
      </c>
      <c r="J7767" t="s">
        <v>18894</v>
      </c>
      <c r="K7767">
        <v>11226</v>
      </c>
      <c r="L7767" t="s">
        <v>18958</v>
      </c>
      <c r="M7767" t="s">
        <v>18958</v>
      </c>
      <c r="N7767" t="s">
        <v>24497</v>
      </c>
      <c r="O7767" t="s">
        <v>26523</v>
      </c>
      <c r="R7767" t="s">
        <v>26588</v>
      </c>
      <c r="U7767" t="s">
        <v>26604</v>
      </c>
      <c r="W7767" t="s">
        <v>810</v>
      </c>
      <c r="X7767">
        <v>1063.97</v>
      </c>
      <c r="Y7767" t="s">
        <v>26652</v>
      </c>
      <c r="Z7767" t="s">
        <v>26664</v>
      </c>
      <c r="AB7767" t="s">
        <v>32442</v>
      </c>
      <c r="AD7767" t="s">
        <v>42861</v>
      </c>
      <c r="AE7767">
        <v>0</v>
      </c>
      <c r="AH7767">
        <v>12</v>
      </c>
      <c r="AI7767">
        <v>1</v>
      </c>
      <c r="AJ7767">
        <v>0</v>
      </c>
      <c r="AK7767">
        <v>0</v>
      </c>
      <c r="AN7767" t="s">
        <v>45581</v>
      </c>
      <c r="AO7767">
        <v>0</v>
      </c>
      <c r="AU7767">
        <v>6.5</v>
      </c>
      <c r="AV7767" t="s">
        <v>839</v>
      </c>
      <c r="AW7767" t="s">
        <v>46853</v>
      </c>
      <c r="AX7767" t="s">
        <v>46897</v>
      </c>
    </row>
    <row r="7768" spans="1:50">
      <c r="A7768" s="1">
        <f>HYPERLINK("https://lsnyc.legalserver.org/matter/dynamic-profile/view/1898092","19-1898092")</f>
        <v>0</v>
      </c>
      <c r="B7768" t="s">
        <v>120</v>
      </c>
      <c r="C7768" t="s">
        <v>340</v>
      </c>
      <c r="D7768" t="s">
        <v>765</v>
      </c>
      <c r="F7768" t="s">
        <v>916</v>
      </c>
      <c r="G7768" t="s">
        <v>8438</v>
      </c>
      <c r="H7768" t="s">
        <v>14941</v>
      </c>
      <c r="I7768" t="s">
        <v>17355</v>
      </c>
      <c r="J7768" t="s">
        <v>18892</v>
      </c>
      <c r="K7768">
        <v>10468</v>
      </c>
      <c r="L7768" t="s">
        <v>18958</v>
      </c>
      <c r="M7768" t="s">
        <v>18958</v>
      </c>
      <c r="N7768" t="s">
        <v>24498</v>
      </c>
      <c r="O7768" t="s">
        <v>26523</v>
      </c>
      <c r="P7768" t="s">
        <v>26560</v>
      </c>
      <c r="R7768" t="s">
        <v>26579</v>
      </c>
      <c r="S7768" t="s">
        <v>18959</v>
      </c>
      <c r="U7768" t="s">
        <v>26604</v>
      </c>
      <c r="V7768" t="s">
        <v>26610</v>
      </c>
      <c r="W7768" t="s">
        <v>810</v>
      </c>
      <c r="X7768">
        <v>1150</v>
      </c>
      <c r="Y7768" t="s">
        <v>26650</v>
      </c>
      <c r="Z7768" t="s">
        <v>26668</v>
      </c>
      <c r="AB7768" t="s">
        <v>32443</v>
      </c>
      <c r="AD7768" t="s">
        <v>42862</v>
      </c>
      <c r="AE7768">
        <v>43</v>
      </c>
      <c r="AF7768" t="s">
        <v>45541</v>
      </c>
      <c r="AG7768" t="s">
        <v>19330</v>
      </c>
      <c r="AH7768">
        <v>9</v>
      </c>
      <c r="AI7768">
        <v>1</v>
      </c>
      <c r="AJ7768">
        <v>0</v>
      </c>
      <c r="AK7768">
        <v>81.76000000000001</v>
      </c>
      <c r="AN7768" t="s">
        <v>45581</v>
      </c>
      <c r="AO7768">
        <v>10212</v>
      </c>
      <c r="AU7768">
        <v>6.6</v>
      </c>
      <c r="AV7768" t="s">
        <v>821</v>
      </c>
      <c r="AW7768" t="s">
        <v>46832</v>
      </c>
      <c r="AX7768" t="s">
        <v>46897</v>
      </c>
    </row>
    <row r="7769" spans="1:50">
      <c r="A7769" s="1">
        <f>HYPERLINK("https://lsnyc.legalserver.org/matter/dynamic-profile/view/1898054","19-1898054")</f>
        <v>0</v>
      </c>
      <c r="B7769" t="s">
        <v>58</v>
      </c>
      <c r="C7769" t="s">
        <v>341</v>
      </c>
      <c r="D7769" t="s">
        <v>801</v>
      </c>
      <c r="E7769" t="s">
        <v>833</v>
      </c>
      <c r="F7769" t="s">
        <v>2497</v>
      </c>
      <c r="G7769" t="s">
        <v>8439</v>
      </c>
      <c r="H7769" t="s">
        <v>14857</v>
      </c>
      <c r="I7769" t="s">
        <v>17325</v>
      </c>
      <c r="J7769" t="s">
        <v>18892</v>
      </c>
      <c r="K7769">
        <v>10466</v>
      </c>
      <c r="L7769" t="s">
        <v>18958</v>
      </c>
      <c r="M7769" t="s">
        <v>18958</v>
      </c>
      <c r="N7769" t="s">
        <v>24499</v>
      </c>
      <c r="O7769" t="s">
        <v>26523</v>
      </c>
      <c r="P7769" t="s">
        <v>26564</v>
      </c>
      <c r="Q7769" t="s">
        <v>26570</v>
      </c>
      <c r="R7769" t="s">
        <v>26577</v>
      </c>
      <c r="S7769" t="s">
        <v>18959</v>
      </c>
      <c r="U7769" t="s">
        <v>26604</v>
      </c>
      <c r="V7769" t="s">
        <v>26609</v>
      </c>
      <c r="W7769" t="s">
        <v>810</v>
      </c>
      <c r="X7769">
        <v>1721</v>
      </c>
      <c r="Y7769" t="s">
        <v>26650</v>
      </c>
      <c r="Z7769" t="s">
        <v>26530</v>
      </c>
      <c r="AA7769" t="s">
        <v>26683</v>
      </c>
      <c r="AB7769" t="s">
        <v>32444</v>
      </c>
      <c r="AD7769" t="s">
        <v>42863</v>
      </c>
      <c r="AE7769">
        <v>57</v>
      </c>
      <c r="AF7769" t="s">
        <v>45541</v>
      </c>
      <c r="AG7769" t="s">
        <v>45558</v>
      </c>
      <c r="AH7769">
        <v>2</v>
      </c>
      <c r="AI7769">
        <v>2</v>
      </c>
      <c r="AJ7769">
        <v>2</v>
      </c>
      <c r="AK7769">
        <v>43.95</v>
      </c>
      <c r="AN7769" t="s">
        <v>7439</v>
      </c>
      <c r="AO7769">
        <v>11316</v>
      </c>
      <c r="AP7769" t="s">
        <v>46068</v>
      </c>
      <c r="AU7769">
        <v>1.3</v>
      </c>
      <c r="AV7769" t="s">
        <v>797</v>
      </c>
      <c r="AW7769" t="s">
        <v>284</v>
      </c>
      <c r="AX7769" t="s">
        <v>46897</v>
      </c>
    </row>
    <row r="7770" spans="1:50">
      <c r="A7770" s="1">
        <f>HYPERLINK("https://lsnyc.legalserver.org/matter/dynamic-profile/view/1898180","19-1898180")</f>
        <v>0</v>
      </c>
      <c r="B7770" t="s">
        <v>106</v>
      </c>
      <c r="C7770" t="s">
        <v>341</v>
      </c>
      <c r="D7770" t="s">
        <v>801</v>
      </c>
      <c r="E7770" t="s">
        <v>827</v>
      </c>
      <c r="F7770" t="s">
        <v>1638</v>
      </c>
      <c r="G7770" t="s">
        <v>6381</v>
      </c>
      <c r="H7770" t="s">
        <v>14942</v>
      </c>
      <c r="I7770" t="s">
        <v>17466</v>
      </c>
      <c r="J7770" t="s">
        <v>18894</v>
      </c>
      <c r="K7770">
        <v>11213</v>
      </c>
      <c r="L7770" t="s">
        <v>18958</v>
      </c>
      <c r="M7770" t="s">
        <v>18958</v>
      </c>
      <c r="N7770" t="s">
        <v>24500</v>
      </c>
      <c r="O7770" t="s">
        <v>26523</v>
      </c>
      <c r="P7770" t="s">
        <v>26560</v>
      </c>
      <c r="Q7770" t="s">
        <v>26573</v>
      </c>
      <c r="R7770" t="s">
        <v>26586</v>
      </c>
      <c r="U7770" t="s">
        <v>26604</v>
      </c>
      <c r="W7770" t="s">
        <v>810</v>
      </c>
      <c r="X7770">
        <v>247</v>
      </c>
      <c r="Y7770" t="s">
        <v>26652</v>
      </c>
      <c r="Z7770" t="s">
        <v>26664</v>
      </c>
      <c r="AA7770" t="s">
        <v>26678</v>
      </c>
      <c r="AB7770" t="s">
        <v>32445</v>
      </c>
      <c r="AC7770" t="s">
        <v>36385</v>
      </c>
      <c r="AD7770" t="s">
        <v>42864</v>
      </c>
      <c r="AE7770">
        <v>0</v>
      </c>
      <c r="AH7770">
        <v>0</v>
      </c>
      <c r="AI7770">
        <v>1</v>
      </c>
      <c r="AJ7770">
        <v>0</v>
      </c>
      <c r="AK7770">
        <v>82.81999999999999</v>
      </c>
      <c r="AN7770" t="s">
        <v>7439</v>
      </c>
      <c r="AO7770">
        <v>10344</v>
      </c>
      <c r="AS7770" t="s">
        <v>46499</v>
      </c>
      <c r="AT7770" t="s">
        <v>46767</v>
      </c>
      <c r="AU7770">
        <v>7</v>
      </c>
      <c r="AV7770" t="s">
        <v>825</v>
      </c>
      <c r="AW7770" t="s">
        <v>46853</v>
      </c>
      <c r="AX7770" t="s">
        <v>46897</v>
      </c>
    </row>
    <row r="7771" spans="1:50">
      <c r="A7771" s="1">
        <f>HYPERLINK("https://lsnyc.legalserver.org/matter/dynamic-profile/view/1898070","19-1898070")</f>
        <v>0</v>
      </c>
      <c r="B7771" t="s">
        <v>106</v>
      </c>
      <c r="C7771" t="s">
        <v>341</v>
      </c>
      <c r="D7771" t="s">
        <v>801</v>
      </c>
      <c r="E7771" t="s">
        <v>827</v>
      </c>
      <c r="F7771" t="s">
        <v>4057</v>
      </c>
      <c r="G7771" t="s">
        <v>8440</v>
      </c>
      <c r="H7771" t="s">
        <v>10956</v>
      </c>
      <c r="I7771" t="s">
        <v>17570</v>
      </c>
      <c r="J7771" t="s">
        <v>18894</v>
      </c>
      <c r="K7771">
        <v>11225</v>
      </c>
      <c r="L7771" t="s">
        <v>18958</v>
      </c>
      <c r="M7771" t="s">
        <v>18958</v>
      </c>
      <c r="N7771" t="s">
        <v>24501</v>
      </c>
      <c r="O7771" t="s">
        <v>26523</v>
      </c>
      <c r="P7771" t="s">
        <v>26565</v>
      </c>
      <c r="Q7771" t="s">
        <v>26571</v>
      </c>
      <c r="R7771" t="s">
        <v>26588</v>
      </c>
      <c r="S7771" t="s">
        <v>18959</v>
      </c>
      <c r="U7771" t="s">
        <v>26604</v>
      </c>
      <c r="W7771" t="s">
        <v>810</v>
      </c>
      <c r="X7771">
        <v>0</v>
      </c>
      <c r="Y7771" t="s">
        <v>26652</v>
      </c>
      <c r="Z7771" t="s">
        <v>26669</v>
      </c>
      <c r="AA7771" t="s">
        <v>26683</v>
      </c>
      <c r="AB7771" t="s">
        <v>32446</v>
      </c>
      <c r="AD7771" t="s">
        <v>42865</v>
      </c>
      <c r="AE7771">
        <v>380</v>
      </c>
      <c r="AF7771" t="s">
        <v>45541</v>
      </c>
      <c r="AH7771">
        <v>39</v>
      </c>
      <c r="AI7771">
        <v>1</v>
      </c>
      <c r="AJ7771">
        <v>0</v>
      </c>
      <c r="AK7771">
        <v>176.14</v>
      </c>
      <c r="AN7771" t="s">
        <v>7439</v>
      </c>
      <c r="AO7771">
        <v>22000</v>
      </c>
      <c r="AU7771">
        <v>3.7</v>
      </c>
      <c r="AV7771" t="s">
        <v>827</v>
      </c>
      <c r="AW7771" t="s">
        <v>281</v>
      </c>
      <c r="AX7771" t="s">
        <v>46897</v>
      </c>
    </row>
    <row r="7772" spans="1:50">
      <c r="A7772" s="1">
        <f>HYPERLINK("https://lsnyc.legalserver.org/matter/dynamic-profile/view/1898168","19-1898168")</f>
        <v>0</v>
      </c>
      <c r="B7772" t="s">
        <v>145</v>
      </c>
      <c r="C7772" t="s">
        <v>340</v>
      </c>
      <c r="D7772" t="s">
        <v>801</v>
      </c>
      <c r="F7772" t="s">
        <v>4058</v>
      </c>
      <c r="G7772" t="s">
        <v>5308</v>
      </c>
      <c r="H7772" t="s">
        <v>14943</v>
      </c>
      <c r="I7772" t="s">
        <v>17283</v>
      </c>
      <c r="J7772" t="s">
        <v>18894</v>
      </c>
      <c r="K7772">
        <v>11226</v>
      </c>
      <c r="L7772" t="s">
        <v>18958</v>
      </c>
      <c r="M7772" t="s">
        <v>18958</v>
      </c>
      <c r="N7772" t="s">
        <v>24502</v>
      </c>
      <c r="O7772" t="s">
        <v>26523</v>
      </c>
      <c r="P7772" t="s">
        <v>26560</v>
      </c>
      <c r="R7772" t="s">
        <v>26588</v>
      </c>
      <c r="U7772" t="s">
        <v>26604</v>
      </c>
      <c r="W7772" t="s">
        <v>810</v>
      </c>
      <c r="X7772">
        <v>678.2</v>
      </c>
      <c r="Y7772" t="s">
        <v>26652</v>
      </c>
      <c r="Z7772" t="s">
        <v>26664</v>
      </c>
      <c r="AB7772" t="s">
        <v>30938</v>
      </c>
      <c r="AD7772" t="s">
        <v>42866</v>
      </c>
      <c r="AE7772">
        <v>36</v>
      </c>
      <c r="AG7772" t="s">
        <v>19330</v>
      </c>
      <c r="AH7772">
        <v>39</v>
      </c>
      <c r="AI7772">
        <v>2</v>
      </c>
      <c r="AJ7772">
        <v>1</v>
      </c>
      <c r="AK7772">
        <v>106.89</v>
      </c>
      <c r="AN7772" t="s">
        <v>7439</v>
      </c>
      <c r="AO7772">
        <v>22800</v>
      </c>
      <c r="AU7772">
        <v>4.6</v>
      </c>
      <c r="AV7772" t="s">
        <v>839</v>
      </c>
      <c r="AW7772" t="s">
        <v>46862</v>
      </c>
      <c r="AX7772" t="s">
        <v>46897</v>
      </c>
    </row>
    <row r="7773" spans="1:50">
      <c r="A7773" s="1">
        <f>HYPERLINK("https://lsnyc.legalserver.org/matter/dynamic-profile/view/1898126","19-1898126")</f>
        <v>0</v>
      </c>
      <c r="B7773" t="s">
        <v>145</v>
      </c>
      <c r="C7773" t="s">
        <v>340</v>
      </c>
      <c r="D7773" t="s">
        <v>801</v>
      </c>
      <c r="F7773" t="s">
        <v>4059</v>
      </c>
      <c r="G7773" t="s">
        <v>8441</v>
      </c>
      <c r="H7773" t="s">
        <v>14944</v>
      </c>
      <c r="I7773" t="s">
        <v>18503</v>
      </c>
      <c r="J7773" t="s">
        <v>18894</v>
      </c>
      <c r="K7773">
        <v>11226</v>
      </c>
      <c r="L7773" t="s">
        <v>18958</v>
      </c>
      <c r="M7773" t="s">
        <v>18958</v>
      </c>
      <c r="N7773" t="s">
        <v>24503</v>
      </c>
      <c r="O7773" t="s">
        <v>26523</v>
      </c>
      <c r="P7773" t="s">
        <v>26560</v>
      </c>
      <c r="R7773" t="s">
        <v>26588</v>
      </c>
      <c r="U7773" t="s">
        <v>26604</v>
      </c>
      <c r="W7773" t="s">
        <v>810</v>
      </c>
      <c r="X7773">
        <v>1060.86</v>
      </c>
      <c r="Y7773" t="s">
        <v>26652</v>
      </c>
      <c r="Z7773" t="s">
        <v>26664</v>
      </c>
      <c r="AB7773" t="s">
        <v>32447</v>
      </c>
      <c r="AD7773" t="s">
        <v>42867</v>
      </c>
      <c r="AE7773">
        <v>36</v>
      </c>
      <c r="AH7773">
        <v>10</v>
      </c>
      <c r="AI7773">
        <v>1</v>
      </c>
      <c r="AJ7773">
        <v>0</v>
      </c>
      <c r="AK7773">
        <v>137.58</v>
      </c>
      <c r="AN7773" t="s">
        <v>7439</v>
      </c>
      <c r="AO7773">
        <v>17184</v>
      </c>
      <c r="AU7773">
        <v>3.2</v>
      </c>
      <c r="AV7773" t="s">
        <v>809</v>
      </c>
      <c r="AW7773" t="s">
        <v>46862</v>
      </c>
      <c r="AX7773" t="s">
        <v>46897</v>
      </c>
    </row>
    <row r="7774" spans="1:50">
      <c r="A7774" s="1">
        <f>HYPERLINK("https://lsnyc.legalserver.org/matter/dynamic-profile/view/1898157","19-1898157")</f>
        <v>0</v>
      </c>
      <c r="B7774" t="s">
        <v>203</v>
      </c>
      <c r="C7774" t="s">
        <v>340</v>
      </c>
      <c r="D7774" t="s">
        <v>801</v>
      </c>
      <c r="F7774" t="s">
        <v>1235</v>
      </c>
      <c r="G7774" t="s">
        <v>7200</v>
      </c>
      <c r="H7774" t="s">
        <v>14945</v>
      </c>
      <c r="I7774" t="s">
        <v>17306</v>
      </c>
      <c r="J7774" t="s">
        <v>18894</v>
      </c>
      <c r="K7774">
        <v>11221</v>
      </c>
      <c r="L7774" t="s">
        <v>18958</v>
      </c>
      <c r="M7774" t="s">
        <v>18958</v>
      </c>
      <c r="N7774" t="s">
        <v>24504</v>
      </c>
      <c r="O7774" t="s">
        <v>26523</v>
      </c>
      <c r="P7774" t="s">
        <v>26560</v>
      </c>
      <c r="R7774" t="s">
        <v>26588</v>
      </c>
      <c r="S7774" t="s">
        <v>18959</v>
      </c>
      <c r="U7774" t="s">
        <v>26604</v>
      </c>
      <c r="W7774" t="s">
        <v>810</v>
      </c>
      <c r="X7774">
        <v>0</v>
      </c>
      <c r="Y7774" t="s">
        <v>26652</v>
      </c>
      <c r="Z7774" t="s">
        <v>26669</v>
      </c>
      <c r="AB7774" t="s">
        <v>31200</v>
      </c>
      <c r="AD7774" t="s">
        <v>42868</v>
      </c>
      <c r="AE7774">
        <v>0</v>
      </c>
      <c r="AH7774">
        <v>0</v>
      </c>
      <c r="AI7774">
        <v>2</v>
      </c>
      <c r="AJ7774">
        <v>2</v>
      </c>
      <c r="AK7774">
        <v>177.71</v>
      </c>
      <c r="AN7774" t="s">
        <v>7439</v>
      </c>
      <c r="AO7774">
        <v>45760</v>
      </c>
      <c r="AU7774">
        <v>2.3</v>
      </c>
      <c r="AV7774" t="s">
        <v>835</v>
      </c>
      <c r="AW7774" t="s">
        <v>281</v>
      </c>
      <c r="AX7774" t="s">
        <v>46897</v>
      </c>
    </row>
    <row r="7775" spans="1:50">
      <c r="A7775" s="1">
        <f>HYPERLINK("https://lsnyc.legalserver.org/matter/dynamic-profile/view/1898334","19-1898334")</f>
        <v>0</v>
      </c>
      <c r="B7775" t="s">
        <v>134</v>
      </c>
      <c r="C7775" t="s">
        <v>340</v>
      </c>
      <c r="D7775" t="s">
        <v>767</v>
      </c>
      <c r="F7775" t="s">
        <v>1985</v>
      </c>
      <c r="G7775" t="s">
        <v>8383</v>
      </c>
      <c r="H7775" t="s">
        <v>10439</v>
      </c>
      <c r="I7775" t="s">
        <v>17306</v>
      </c>
      <c r="J7775" t="s">
        <v>18894</v>
      </c>
      <c r="K7775">
        <v>11216</v>
      </c>
      <c r="L7775" t="s">
        <v>18958</v>
      </c>
      <c r="M7775" t="s">
        <v>18958</v>
      </c>
      <c r="N7775" t="s">
        <v>24360</v>
      </c>
      <c r="O7775" t="s">
        <v>26528</v>
      </c>
      <c r="P7775" t="s">
        <v>26560</v>
      </c>
      <c r="R7775" t="s">
        <v>26578</v>
      </c>
      <c r="S7775" t="s">
        <v>18958</v>
      </c>
      <c r="U7775" t="s">
        <v>26604</v>
      </c>
      <c r="V7775" t="s">
        <v>26610</v>
      </c>
      <c r="W7775" t="s">
        <v>810</v>
      </c>
      <c r="X7775">
        <v>2075</v>
      </c>
      <c r="Y7775" t="s">
        <v>26652</v>
      </c>
      <c r="Z7775" t="s">
        <v>26667</v>
      </c>
      <c r="AB7775" t="s">
        <v>27037</v>
      </c>
      <c r="AD7775" t="s">
        <v>42753</v>
      </c>
      <c r="AE7775">
        <v>82</v>
      </c>
      <c r="AF7775" t="s">
        <v>45541</v>
      </c>
      <c r="AG7775" t="s">
        <v>19330</v>
      </c>
      <c r="AH7775">
        <v>2</v>
      </c>
      <c r="AI7775">
        <v>2</v>
      </c>
      <c r="AJ7775">
        <v>0</v>
      </c>
      <c r="AK7775">
        <v>324.01</v>
      </c>
      <c r="AN7775" t="s">
        <v>7439</v>
      </c>
      <c r="AO7775">
        <v>54790.06</v>
      </c>
      <c r="AP7775" t="s">
        <v>46069</v>
      </c>
      <c r="AU7775">
        <v>0</v>
      </c>
      <c r="AW7775" t="s">
        <v>279</v>
      </c>
      <c r="AX7775" t="s">
        <v>46897</v>
      </c>
    </row>
    <row r="7776" spans="1:50">
      <c r="A7776" s="1">
        <f>HYPERLINK("https://lsnyc.legalserver.org/matter/dynamic-profile/view/1898189","19-1898189")</f>
        <v>0</v>
      </c>
      <c r="B7776" t="s">
        <v>123</v>
      </c>
      <c r="C7776" t="s">
        <v>340</v>
      </c>
      <c r="D7776" t="s">
        <v>767</v>
      </c>
      <c r="F7776" t="s">
        <v>4060</v>
      </c>
      <c r="G7776" t="s">
        <v>5715</v>
      </c>
      <c r="H7776" t="s">
        <v>14946</v>
      </c>
      <c r="I7776">
        <v>9</v>
      </c>
      <c r="J7776" t="s">
        <v>18894</v>
      </c>
      <c r="K7776">
        <v>11221</v>
      </c>
      <c r="L7776" t="s">
        <v>18958</v>
      </c>
      <c r="M7776" t="s">
        <v>18958</v>
      </c>
      <c r="N7776" t="s">
        <v>24505</v>
      </c>
      <c r="O7776" t="s">
        <v>26523</v>
      </c>
      <c r="P7776" t="s">
        <v>26560</v>
      </c>
      <c r="R7776" t="s">
        <v>26588</v>
      </c>
      <c r="S7776" t="s">
        <v>18959</v>
      </c>
      <c r="U7776" t="s">
        <v>26604</v>
      </c>
      <c r="W7776" t="s">
        <v>810</v>
      </c>
      <c r="X7776">
        <v>0</v>
      </c>
      <c r="Y7776" t="s">
        <v>26652</v>
      </c>
      <c r="Z7776" t="s">
        <v>26669</v>
      </c>
      <c r="AB7776" t="s">
        <v>32448</v>
      </c>
      <c r="AD7776" t="s">
        <v>42869</v>
      </c>
      <c r="AE7776">
        <v>0</v>
      </c>
      <c r="AH7776">
        <v>0</v>
      </c>
      <c r="AI7776">
        <v>3</v>
      </c>
      <c r="AJ7776">
        <v>1</v>
      </c>
      <c r="AK7776">
        <v>104.85</v>
      </c>
      <c r="AN7776" t="s">
        <v>7439</v>
      </c>
      <c r="AO7776">
        <v>27000</v>
      </c>
      <c r="AU7776">
        <v>2.2</v>
      </c>
      <c r="AV7776" t="s">
        <v>821</v>
      </c>
      <c r="AW7776" t="s">
        <v>281</v>
      </c>
      <c r="AX7776" t="s">
        <v>46897</v>
      </c>
    </row>
    <row r="7777" spans="1:50">
      <c r="A7777" s="1">
        <f>HYPERLINK("https://lsnyc.legalserver.org/matter/dynamic-profile/view/1898365","19-1898365")</f>
        <v>0</v>
      </c>
      <c r="B7777" t="s">
        <v>203</v>
      </c>
      <c r="C7777" t="s">
        <v>341</v>
      </c>
      <c r="D7777" t="s">
        <v>768</v>
      </c>
      <c r="E7777" t="s">
        <v>821</v>
      </c>
      <c r="F7777" t="s">
        <v>4061</v>
      </c>
      <c r="G7777" t="s">
        <v>7915</v>
      </c>
      <c r="H7777" t="s">
        <v>14947</v>
      </c>
      <c r="I7777" t="s">
        <v>17316</v>
      </c>
      <c r="J7777" t="s">
        <v>18894</v>
      </c>
      <c r="K7777">
        <v>11221</v>
      </c>
      <c r="L7777" t="s">
        <v>18958</v>
      </c>
      <c r="M7777" t="s">
        <v>18958</v>
      </c>
      <c r="N7777" t="s">
        <v>24506</v>
      </c>
      <c r="O7777" t="s">
        <v>26523</v>
      </c>
      <c r="P7777" t="s">
        <v>26560</v>
      </c>
      <c r="Q7777" t="s">
        <v>26568</v>
      </c>
      <c r="R7777" t="s">
        <v>26588</v>
      </c>
      <c r="U7777" t="s">
        <v>26604</v>
      </c>
      <c r="W7777" t="s">
        <v>810</v>
      </c>
      <c r="X7777">
        <v>0</v>
      </c>
      <c r="Y7777" t="s">
        <v>26652</v>
      </c>
      <c r="Z7777" t="s">
        <v>26669</v>
      </c>
      <c r="AA7777" t="s">
        <v>26678</v>
      </c>
      <c r="AB7777" t="s">
        <v>30302</v>
      </c>
      <c r="AD7777" t="s">
        <v>42870</v>
      </c>
      <c r="AE7777">
        <v>0</v>
      </c>
      <c r="AH7777">
        <v>0</v>
      </c>
      <c r="AI7777">
        <v>2</v>
      </c>
      <c r="AJ7777">
        <v>1</v>
      </c>
      <c r="AK7777">
        <v>17.43</v>
      </c>
      <c r="AN7777" t="s">
        <v>7439</v>
      </c>
      <c r="AO7777">
        <v>3718</v>
      </c>
      <c r="AS7777" t="s">
        <v>46499</v>
      </c>
      <c r="AU7777">
        <v>1.3</v>
      </c>
      <c r="AV7777" t="s">
        <v>821</v>
      </c>
      <c r="AW7777" t="s">
        <v>281</v>
      </c>
      <c r="AX7777" t="s">
        <v>46897</v>
      </c>
    </row>
    <row r="7778" spans="1:50">
      <c r="A7778" s="1">
        <f>HYPERLINK("https://lsnyc.legalserver.org/matter/dynamic-profile/view/1898408","19-1898408")</f>
        <v>0</v>
      </c>
      <c r="B7778" t="s">
        <v>128</v>
      </c>
      <c r="C7778" t="s">
        <v>340</v>
      </c>
      <c r="D7778" t="s">
        <v>768</v>
      </c>
      <c r="F7778" t="s">
        <v>4062</v>
      </c>
      <c r="G7778" t="s">
        <v>8442</v>
      </c>
      <c r="H7778" t="s">
        <v>14948</v>
      </c>
      <c r="I7778">
        <v>4</v>
      </c>
      <c r="J7778" t="s">
        <v>18894</v>
      </c>
      <c r="K7778">
        <v>11216</v>
      </c>
      <c r="L7778" t="s">
        <v>18958</v>
      </c>
      <c r="M7778" t="s">
        <v>18958</v>
      </c>
      <c r="N7778" t="s">
        <v>24507</v>
      </c>
      <c r="O7778" t="s">
        <v>26523</v>
      </c>
      <c r="P7778" t="s">
        <v>26560</v>
      </c>
      <c r="R7778" t="s">
        <v>26588</v>
      </c>
      <c r="S7778" t="s">
        <v>18959</v>
      </c>
      <c r="U7778" t="s">
        <v>26604</v>
      </c>
      <c r="V7778" t="s">
        <v>26611</v>
      </c>
      <c r="W7778" t="s">
        <v>810</v>
      </c>
      <c r="X7778">
        <v>950</v>
      </c>
      <c r="Y7778" t="s">
        <v>26652</v>
      </c>
      <c r="Z7778" t="s">
        <v>26669</v>
      </c>
      <c r="AB7778" t="s">
        <v>32449</v>
      </c>
      <c r="AD7778" t="s">
        <v>42871</v>
      </c>
      <c r="AE7778">
        <v>9</v>
      </c>
      <c r="AF7778" t="s">
        <v>45541</v>
      </c>
      <c r="AG7778" t="s">
        <v>19330</v>
      </c>
      <c r="AH7778">
        <v>4</v>
      </c>
      <c r="AI7778">
        <v>1</v>
      </c>
      <c r="AJ7778">
        <v>0</v>
      </c>
      <c r="AK7778">
        <v>136.11</v>
      </c>
      <c r="AN7778" t="s">
        <v>7439</v>
      </c>
      <c r="AO7778">
        <v>17000</v>
      </c>
      <c r="AR7778" t="s">
        <v>46406</v>
      </c>
      <c r="AS7778" t="s">
        <v>46500</v>
      </c>
      <c r="AU7778">
        <v>14.6</v>
      </c>
      <c r="AV7778" t="s">
        <v>839</v>
      </c>
      <c r="AW7778" t="s">
        <v>46862</v>
      </c>
      <c r="AX7778" t="s">
        <v>46897</v>
      </c>
    </row>
    <row r="7779" spans="1:50">
      <c r="A7779" s="1">
        <f>HYPERLINK("https://lsnyc.legalserver.org/matter/dynamic-profile/view/1898395","19-1898395")</f>
        <v>0</v>
      </c>
      <c r="B7779" t="s">
        <v>99</v>
      </c>
      <c r="C7779" t="s">
        <v>340</v>
      </c>
      <c r="D7779" t="s">
        <v>768</v>
      </c>
      <c r="F7779" t="s">
        <v>928</v>
      </c>
      <c r="G7779" t="s">
        <v>8443</v>
      </c>
      <c r="H7779" t="s">
        <v>14949</v>
      </c>
      <c r="I7779" t="s">
        <v>17293</v>
      </c>
      <c r="J7779" t="s">
        <v>18894</v>
      </c>
      <c r="K7779">
        <v>11225</v>
      </c>
      <c r="L7779" t="s">
        <v>18958</v>
      </c>
      <c r="M7779" t="s">
        <v>18958</v>
      </c>
      <c r="N7779" t="s">
        <v>24508</v>
      </c>
      <c r="O7779" t="s">
        <v>26523</v>
      </c>
      <c r="P7779" t="s">
        <v>26560</v>
      </c>
      <c r="R7779" t="s">
        <v>26588</v>
      </c>
      <c r="S7779" t="s">
        <v>18959</v>
      </c>
      <c r="U7779" t="s">
        <v>26604</v>
      </c>
      <c r="W7779" t="s">
        <v>810</v>
      </c>
      <c r="X7779">
        <v>671.33</v>
      </c>
      <c r="Y7779" t="s">
        <v>26652</v>
      </c>
      <c r="Z7779" t="s">
        <v>26669</v>
      </c>
      <c r="AB7779" t="s">
        <v>27434</v>
      </c>
      <c r="AC7779" t="s">
        <v>19330</v>
      </c>
      <c r="AD7779" t="s">
        <v>42872</v>
      </c>
      <c r="AE7779">
        <v>28</v>
      </c>
      <c r="AF7779" t="s">
        <v>45541</v>
      </c>
      <c r="AG7779" t="s">
        <v>45559</v>
      </c>
      <c r="AH7779">
        <v>0</v>
      </c>
      <c r="AI7779">
        <v>1</v>
      </c>
      <c r="AJ7779">
        <v>0</v>
      </c>
      <c r="AK7779">
        <v>124.9</v>
      </c>
      <c r="AN7779" t="s">
        <v>7439</v>
      </c>
      <c r="AO7779">
        <v>15600</v>
      </c>
      <c r="AU7779">
        <v>7.1</v>
      </c>
      <c r="AV7779" t="s">
        <v>838</v>
      </c>
      <c r="AW7779" t="s">
        <v>281</v>
      </c>
      <c r="AX7779" t="s">
        <v>46897</v>
      </c>
    </row>
    <row r="7780" spans="1:50">
      <c r="A7780" s="1">
        <f>HYPERLINK("https://lsnyc.legalserver.org/matter/dynamic-profile/view/1898454","19-1898454")</f>
        <v>0</v>
      </c>
      <c r="B7780" t="s">
        <v>283</v>
      </c>
      <c r="C7780" t="s">
        <v>340</v>
      </c>
      <c r="D7780" t="s">
        <v>768</v>
      </c>
      <c r="F7780" t="s">
        <v>3273</v>
      </c>
      <c r="G7780" t="s">
        <v>8444</v>
      </c>
      <c r="H7780" t="s">
        <v>14950</v>
      </c>
      <c r="I7780" t="s">
        <v>17307</v>
      </c>
      <c r="J7780" t="s">
        <v>18894</v>
      </c>
      <c r="K7780">
        <v>11216</v>
      </c>
      <c r="L7780" t="s">
        <v>18958</v>
      </c>
      <c r="M7780" t="s">
        <v>18958</v>
      </c>
      <c r="N7780" t="s">
        <v>24509</v>
      </c>
      <c r="O7780" t="s">
        <v>26523</v>
      </c>
      <c r="P7780" t="s">
        <v>26560</v>
      </c>
      <c r="R7780" t="s">
        <v>26588</v>
      </c>
      <c r="U7780" t="s">
        <v>26604</v>
      </c>
      <c r="W7780" t="s">
        <v>810</v>
      </c>
      <c r="X7780">
        <v>1280</v>
      </c>
      <c r="Y7780" t="s">
        <v>26652</v>
      </c>
      <c r="Z7780" t="s">
        <v>26669</v>
      </c>
      <c r="AB7780" t="s">
        <v>29729</v>
      </c>
      <c r="AD7780" t="s">
        <v>42873</v>
      </c>
      <c r="AE7780">
        <v>23</v>
      </c>
      <c r="AH7780">
        <v>3</v>
      </c>
      <c r="AI7780">
        <v>2</v>
      </c>
      <c r="AJ7780">
        <v>0</v>
      </c>
      <c r="AK7780">
        <v>60.1</v>
      </c>
      <c r="AN7780" t="s">
        <v>7439</v>
      </c>
      <c r="AO7780">
        <v>10163.18</v>
      </c>
      <c r="AU7780">
        <v>16.9</v>
      </c>
      <c r="AV7780" t="s">
        <v>835</v>
      </c>
      <c r="AW7780" t="s">
        <v>46862</v>
      </c>
      <c r="AX7780" t="s">
        <v>46897</v>
      </c>
    </row>
    <row r="7781" spans="1:50">
      <c r="A7781" s="1">
        <f>HYPERLINK("https://lsnyc.legalserver.org/matter/dynamic-profile/view/1898367","19-1898367")</f>
        <v>0</v>
      </c>
      <c r="B7781" t="s">
        <v>238</v>
      </c>
      <c r="C7781" t="s">
        <v>340</v>
      </c>
      <c r="D7781" t="s">
        <v>768</v>
      </c>
      <c r="F7781" t="s">
        <v>4063</v>
      </c>
      <c r="G7781" t="s">
        <v>8445</v>
      </c>
      <c r="H7781" t="s">
        <v>14920</v>
      </c>
      <c r="I7781" t="s">
        <v>18290</v>
      </c>
      <c r="J7781" t="s">
        <v>18894</v>
      </c>
      <c r="K7781">
        <v>11225</v>
      </c>
      <c r="L7781" t="s">
        <v>18958</v>
      </c>
      <c r="M7781" t="s">
        <v>18958</v>
      </c>
      <c r="N7781" t="s">
        <v>24510</v>
      </c>
      <c r="O7781" t="s">
        <v>26523</v>
      </c>
      <c r="P7781" t="s">
        <v>26563</v>
      </c>
      <c r="R7781" t="s">
        <v>26588</v>
      </c>
      <c r="U7781" t="s">
        <v>26604</v>
      </c>
      <c r="W7781" t="s">
        <v>810</v>
      </c>
      <c r="X7781">
        <v>1696</v>
      </c>
      <c r="Y7781" t="s">
        <v>26652</v>
      </c>
      <c r="Z7781" t="s">
        <v>26669</v>
      </c>
      <c r="AB7781" t="s">
        <v>32450</v>
      </c>
      <c r="AD7781" t="s">
        <v>42874</v>
      </c>
      <c r="AE7781">
        <v>2</v>
      </c>
      <c r="AG7781" t="s">
        <v>19330</v>
      </c>
      <c r="AH7781">
        <v>2</v>
      </c>
      <c r="AI7781">
        <v>2</v>
      </c>
      <c r="AJ7781">
        <v>2</v>
      </c>
      <c r="AK7781">
        <v>60.58</v>
      </c>
      <c r="AN7781" t="s">
        <v>7439</v>
      </c>
      <c r="AO7781">
        <v>15600</v>
      </c>
      <c r="AU7781">
        <v>0.9</v>
      </c>
      <c r="AV7781" t="s">
        <v>768</v>
      </c>
      <c r="AW7781" t="s">
        <v>46862</v>
      </c>
      <c r="AX7781" t="s">
        <v>46897</v>
      </c>
    </row>
    <row r="7782" spans="1:50">
      <c r="A7782" s="1">
        <f>HYPERLINK("https://lsnyc.legalserver.org/matter/dynamic-profile/view/1898485","19-1898485")</f>
        <v>0</v>
      </c>
      <c r="B7782" t="s">
        <v>193</v>
      </c>
      <c r="C7782" t="s">
        <v>340</v>
      </c>
      <c r="D7782" t="s">
        <v>768</v>
      </c>
      <c r="F7782" t="s">
        <v>4064</v>
      </c>
      <c r="G7782" t="s">
        <v>8446</v>
      </c>
      <c r="H7782" t="s">
        <v>14951</v>
      </c>
      <c r="I7782" t="s">
        <v>18049</v>
      </c>
      <c r="J7782" t="s">
        <v>18894</v>
      </c>
      <c r="K7782">
        <v>11225</v>
      </c>
      <c r="L7782" t="s">
        <v>18958</v>
      </c>
      <c r="M7782" t="s">
        <v>18958</v>
      </c>
      <c r="N7782" t="s">
        <v>24511</v>
      </c>
      <c r="O7782" t="s">
        <v>26524</v>
      </c>
      <c r="P7782" t="s">
        <v>26560</v>
      </c>
      <c r="R7782" t="s">
        <v>26588</v>
      </c>
      <c r="U7782" t="s">
        <v>26604</v>
      </c>
      <c r="W7782" t="s">
        <v>810</v>
      </c>
      <c r="X7782">
        <v>1259.72</v>
      </c>
      <c r="Y7782" t="s">
        <v>26652</v>
      </c>
      <c r="Z7782" t="s">
        <v>26669</v>
      </c>
      <c r="AB7782" t="s">
        <v>32451</v>
      </c>
      <c r="AD7782" t="s">
        <v>42875</v>
      </c>
      <c r="AE7782">
        <v>123</v>
      </c>
      <c r="AH7782">
        <v>7</v>
      </c>
      <c r="AI7782">
        <v>3</v>
      </c>
      <c r="AJ7782">
        <v>2</v>
      </c>
      <c r="AK7782">
        <v>16.98</v>
      </c>
      <c r="AN7782" t="s">
        <v>7439</v>
      </c>
      <c r="AO7782">
        <v>5122</v>
      </c>
      <c r="AU7782">
        <v>10.75</v>
      </c>
      <c r="AV7782" t="s">
        <v>773</v>
      </c>
      <c r="AW7782" t="s">
        <v>46862</v>
      </c>
      <c r="AX7782" t="s">
        <v>46897</v>
      </c>
    </row>
    <row r="7783" spans="1:50">
      <c r="A7783" s="1">
        <f>HYPERLINK("https://lsnyc.legalserver.org/matter/dynamic-profile/view/1898511","19-1898511")</f>
        <v>0</v>
      </c>
      <c r="B7783" t="s">
        <v>159</v>
      </c>
      <c r="C7783" t="s">
        <v>341</v>
      </c>
      <c r="D7783" t="s">
        <v>810</v>
      </c>
      <c r="E7783" t="s">
        <v>769</v>
      </c>
      <c r="F7783" t="s">
        <v>3833</v>
      </c>
      <c r="G7783" t="s">
        <v>8447</v>
      </c>
      <c r="H7783" t="s">
        <v>11131</v>
      </c>
      <c r="I7783" t="s">
        <v>17375</v>
      </c>
      <c r="J7783" t="s">
        <v>18923</v>
      </c>
      <c r="K7783">
        <v>11418</v>
      </c>
      <c r="L7783" t="s">
        <v>18958</v>
      </c>
      <c r="M7783" t="s">
        <v>18958</v>
      </c>
      <c r="N7783" t="s">
        <v>24512</v>
      </c>
      <c r="O7783" t="s">
        <v>26524</v>
      </c>
      <c r="P7783" t="s">
        <v>26564</v>
      </c>
      <c r="Q7783" t="s">
        <v>26570</v>
      </c>
      <c r="R7783" t="s">
        <v>26584</v>
      </c>
      <c r="S7783" t="s">
        <v>18959</v>
      </c>
      <c r="U7783" t="s">
        <v>26604</v>
      </c>
      <c r="V7783" t="s">
        <v>26610</v>
      </c>
      <c r="W7783" t="s">
        <v>810</v>
      </c>
      <c r="X7783">
        <v>2350</v>
      </c>
      <c r="Y7783" t="s">
        <v>26653</v>
      </c>
      <c r="Z7783" t="s">
        <v>26664</v>
      </c>
      <c r="AA7783" t="s">
        <v>26683</v>
      </c>
      <c r="AB7783" t="s">
        <v>27336</v>
      </c>
      <c r="AC7783" t="s">
        <v>19045</v>
      </c>
      <c r="AD7783" t="s">
        <v>42876</v>
      </c>
      <c r="AE7783">
        <v>2</v>
      </c>
      <c r="AF7783" t="s">
        <v>45547</v>
      </c>
      <c r="AG7783" t="s">
        <v>19330</v>
      </c>
      <c r="AH7783">
        <v>2</v>
      </c>
      <c r="AI7783">
        <v>2</v>
      </c>
      <c r="AJ7783">
        <v>3</v>
      </c>
      <c r="AK7783">
        <v>43.09</v>
      </c>
      <c r="AN7783" t="s">
        <v>45581</v>
      </c>
      <c r="AO7783">
        <v>13000</v>
      </c>
      <c r="AU7783">
        <v>1.6</v>
      </c>
      <c r="AV7783" t="s">
        <v>810</v>
      </c>
      <c r="AW7783" t="s">
        <v>208</v>
      </c>
    </row>
    <row r="7784" spans="1:50">
      <c r="A7784" s="1">
        <f>HYPERLINK("https://lsnyc.legalserver.org/matter/dynamic-profile/view/1898522","19-1898522")</f>
        <v>0</v>
      </c>
      <c r="B7784" t="s">
        <v>183</v>
      </c>
      <c r="C7784" t="s">
        <v>340</v>
      </c>
      <c r="D7784" t="s">
        <v>810</v>
      </c>
      <c r="F7784" t="s">
        <v>1577</v>
      </c>
      <c r="G7784" t="s">
        <v>5097</v>
      </c>
      <c r="H7784" t="s">
        <v>14952</v>
      </c>
      <c r="I7784">
        <v>43</v>
      </c>
      <c r="J7784" t="s">
        <v>18893</v>
      </c>
      <c r="K7784">
        <v>10027</v>
      </c>
      <c r="L7784" t="s">
        <v>18958</v>
      </c>
      <c r="M7784" t="s">
        <v>18958</v>
      </c>
      <c r="N7784" t="s">
        <v>24513</v>
      </c>
      <c r="O7784" t="s">
        <v>26523</v>
      </c>
      <c r="P7784" t="s">
        <v>26560</v>
      </c>
      <c r="R7784" t="s">
        <v>26580</v>
      </c>
      <c r="S7784" t="s">
        <v>18959</v>
      </c>
      <c r="U7784" t="s">
        <v>26604</v>
      </c>
      <c r="W7784" t="s">
        <v>810</v>
      </c>
      <c r="X7784">
        <v>657</v>
      </c>
      <c r="Y7784" t="s">
        <v>26651</v>
      </c>
      <c r="Z7784" t="s">
        <v>26668</v>
      </c>
      <c r="AB7784" t="s">
        <v>32452</v>
      </c>
      <c r="AD7784" t="s">
        <v>42877</v>
      </c>
      <c r="AE7784">
        <v>0</v>
      </c>
      <c r="AF7784" t="s">
        <v>45541</v>
      </c>
      <c r="AG7784" t="s">
        <v>19330</v>
      </c>
      <c r="AH7784">
        <v>38</v>
      </c>
      <c r="AI7784">
        <v>1</v>
      </c>
      <c r="AJ7784">
        <v>0</v>
      </c>
      <c r="AK7784">
        <v>0</v>
      </c>
      <c r="AN7784" t="s">
        <v>7439</v>
      </c>
      <c r="AO7784">
        <v>0</v>
      </c>
      <c r="AU7784">
        <v>6.8</v>
      </c>
      <c r="AV7784" t="s">
        <v>773</v>
      </c>
      <c r="AW7784" t="s">
        <v>46875</v>
      </c>
    </row>
    <row r="7785" spans="1:50">
      <c r="A7785" s="1">
        <f>HYPERLINK("https://lsnyc.legalserver.org/matter/dynamic-profile/view/1898569","19-1898569")</f>
        <v>0</v>
      </c>
      <c r="B7785" t="s">
        <v>128</v>
      </c>
      <c r="C7785" t="s">
        <v>340</v>
      </c>
      <c r="D7785" t="s">
        <v>810</v>
      </c>
      <c r="F7785" t="s">
        <v>1228</v>
      </c>
      <c r="G7785" t="s">
        <v>5949</v>
      </c>
      <c r="H7785" t="s">
        <v>14953</v>
      </c>
      <c r="J7785" t="s">
        <v>18894</v>
      </c>
      <c r="K7785">
        <v>11220</v>
      </c>
      <c r="L7785" t="s">
        <v>18958</v>
      </c>
      <c r="M7785" t="s">
        <v>18959</v>
      </c>
      <c r="N7785" t="s">
        <v>24514</v>
      </c>
      <c r="O7785" t="s">
        <v>26524</v>
      </c>
      <c r="P7785" t="s">
        <v>26560</v>
      </c>
      <c r="R7785" t="s">
        <v>26586</v>
      </c>
      <c r="S7785" t="s">
        <v>18959</v>
      </c>
      <c r="U7785" t="s">
        <v>26604</v>
      </c>
      <c r="V7785" t="s">
        <v>26610</v>
      </c>
      <c r="W7785" t="s">
        <v>810</v>
      </c>
      <c r="X7785">
        <v>500</v>
      </c>
      <c r="Y7785" t="s">
        <v>26652</v>
      </c>
      <c r="Z7785" t="s">
        <v>26664</v>
      </c>
      <c r="AB7785" t="s">
        <v>27628</v>
      </c>
      <c r="AC7785" t="s">
        <v>36386</v>
      </c>
      <c r="AD7785" t="s">
        <v>42878</v>
      </c>
      <c r="AE7785">
        <v>5</v>
      </c>
      <c r="AF7785" t="s">
        <v>45547</v>
      </c>
      <c r="AH7785">
        <v>8</v>
      </c>
      <c r="AI7785">
        <v>1</v>
      </c>
      <c r="AJ7785">
        <v>0</v>
      </c>
      <c r="AK7785">
        <v>0</v>
      </c>
      <c r="AN7785" t="s">
        <v>7439</v>
      </c>
      <c r="AO7785">
        <v>0</v>
      </c>
      <c r="AQ7785" t="s">
        <v>46362</v>
      </c>
      <c r="AU7785">
        <v>4.7</v>
      </c>
      <c r="AV7785" t="s">
        <v>831</v>
      </c>
      <c r="AW7785" t="s">
        <v>46853</v>
      </c>
      <c r="AX7785" t="s">
        <v>46897</v>
      </c>
    </row>
    <row r="7786" spans="1:50">
      <c r="A7786" s="1">
        <f>HYPERLINK("https://lsnyc.legalserver.org/matter/dynamic-profile/view/1898529","19-1898529")</f>
        <v>0</v>
      </c>
      <c r="B7786" t="s">
        <v>107</v>
      </c>
      <c r="C7786" t="s">
        <v>340</v>
      </c>
      <c r="D7786" t="s">
        <v>810</v>
      </c>
      <c r="F7786" t="s">
        <v>4065</v>
      </c>
      <c r="G7786" t="s">
        <v>8448</v>
      </c>
      <c r="H7786" t="s">
        <v>14954</v>
      </c>
      <c r="I7786" t="s">
        <v>18504</v>
      </c>
      <c r="J7786" t="s">
        <v>18911</v>
      </c>
      <c r="K7786">
        <v>11375</v>
      </c>
      <c r="L7786" t="s">
        <v>18958</v>
      </c>
      <c r="M7786" t="s">
        <v>18958</v>
      </c>
      <c r="N7786" t="s">
        <v>24515</v>
      </c>
      <c r="O7786" t="s">
        <v>26524</v>
      </c>
      <c r="P7786" t="s">
        <v>26563</v>
      </c>
      <c r="R7786" t="s">
        <v>26584</v>
      </c>
      <c r="S7786" t="s">
        <v>18959</v>
      </c>
      <c r="U7786" t="s">
        <v>26604</v>
      </c>
      <c r="W7786" t="s">
        <v>810</v>
      </c>
      <c r="X7786">
        <v>1172.65</v>
      </c>
      <c r="Y7786" t="s">
        <v>26653</v>
      </c>
      <c r="Z7786" t="s">
        <v>26664</v>
      </c>
      <c r="AB7786" t="s">
        <v>32453</v>
      </c>
      <c r="AD7786" t="s">
        <v>42879</v>
      </c>
      <c r="AE7786">
        <v>70</v>
      </c>
      <c r="AF7786" t="s">
        <v>45548</v>
      </c>
      <c r="AG7786" t="s">
        <v>19330</v>
      </c>
      <c r="AH7786">
        <v>16</v>
      </c>
      <c r="AI7786">
        <v>1</v>
      </c>
      <c r="AJ7786">
        <v>3</v>
      </c>
      <c r="AK7786">
        <v>120.84</v>
      </c>
      <c r="AN7786" t="s">
        <v>8633</v>
      </c>
      <c r="AO7786">
        <v>31116</v>
      </c>
      <c r="AU7786">
        <v>2.3</v>
      </c>
      <c r="AV7786" t="s">
        <v>807</v>
      </c>
      <c r="AW7786" t="s">
        <v>208</v>
      </c>
    </row>
    <row r="7787" spans="1:50">
      <c r="A7787" s="1">
        <f>HYPERLINK("https://lsnyc.legalserver.org/matter/dynamic-profile/view/1898613","19-1898613")</f>
        <v>0</v>
      </c>
      <c r="B7787" t="s">
        <v>145</v>
      </c>
      <c r="C7787" t="s">
        <v>340</v>
      </c>
      <c r="D7787" t="s">
        <v>810</v>
      </c>
      <c r="F7787" t="s">
        <v>4066</v>
      </c>
      <c r="G7787" t="s">
        <v>3599</v>
      </c>
      <c r="H7787" t="s">
        <v>14955</v>
      </c>
      <c r="I7787" t="s">
        <v>18366</v>
      </c>
      <c r="J7787" t="s">
        <v>18894</v>
      </c>
      <c r="K7787">
        <v>11226</v>
      </c>
      <c r="L7787" t="s">
        <v>18958</v>
      </c>
      <c r="M7787" t="s">
        <v>18958</v>
      </c>
      <c r="N7787" t="s">
        <v>24516</v>
      </c>
      <c r="O7787" t="s">
        <v>26555</v>
      </c>
      <c r="P7787" t="s">
        <v>26560</v>
      </c>
      <c r="R7787" t="s">
        <v>26586</v>
      </c>
      <c r="S7787" t="s">
        <v>18959</v>
      </c>
      <c r="U7787" t="s">
        <v>26604</v>
      </c>
      <c r="W7787" t="s">
        <v>810</v>
      </c>
      <c r="X7787">
        <v>833</v>
      </c>
      <c r="Y7787" t="s">
        <v>26652</v>
      </c>
      <c r="Z7787" t="s">
        <v>26659</v>
      </c>
      <c r="AB7787" t="s">
        <v>32454</v>
      </c>
      <c r="AD7787" t="s">
        <v>42880</v>
      </c>
      <c r="AE7787">
        <v>36</v>
      </c>
      <c r="AF7787" t="s">
        <v>45541</v>
      </c>
      <c r="AH7787">
        <v>27</v>
      </c>
      <c r="AI7787">
        <v>2</v>
      </c>
      <c r="AJ7787">
        <v>3</v>
      </c>
      <c r="AK7787">
        <v>152.47</v>
      </c>
      <c r="AN7787" t="s">
        <v>7439</v>
      </c>
      <c r="AO7787">
        <v>46000</v>
      </c>
      <c r="AU7787">
        <v>6.3</v>
      </c>
      <c r="AV7787" t="s">
        <v>833</v>
      </c>
      <c r="AW7787" t="s">
        <v>46853</v>
      </c>
      <c r="AX7787" t="s">
        <v>46897</v>
      </c>
    </row>
    <row r="7788" spans="1:50">
      <c r="A7788" s="1">
        <f>HYPERLINK("https://lsnyc.legalserver.org/matter/dynamic-profile/view/1898538","19-1898538")</f>
        <v>0</v>
      </c>
      <c r="B7788" t="s">
        <v>151</v>
      </c>
      <c r="C7788" t="s">
        <v>340</v>
      </c>
      <c r="D7788" t="s">
        <v>810</v>
      </c>
      <c r="F7788" t="s">
        <v>4067</v>
      </c>
      <c r="G7788" t="s">
        <v>7431</v>
      </c>
      <c r="H7788" t="s">
        <v>14956</v>
      </c>
      <c r="I7788" t="s">
        <v>17641</v>
      </c>
      <c r="J7788" t="s">
        <v>18893</v>
      </c>
      <c r="K7788">
        <v>10026</v>
      </c>
      <c r="L7788" t="s">
        <v>18958</v>
      </c>
      <c r="M7788" t="s">
        <v>18958</v>
      </c>
      <c r="N7788" t="s">
        <v>24517</v>
      </c>
      <c r="O7788" t="s">
        <v>26523</v>
      </c>
      <c r="P7788" t="s">
        <v>26560</v>
      </c>
      <c r="R7788" t="s">
        <v>26580</v>
      </c>
      <c r="S7788" t="s">
        <v>18959</v>
      </c>
      <c r="U7788" t="s">
        <v>26604</v>
      </c>
      <c r="W7788" t="s">
        <v>810</v>
      </c>
      <c r="X7788">
        <v>421</v>
      </c>
      <c r="Y7788" t="s">
        <v>26651</v>
      </c>
      <c r="Z7788" t="s">
        <v>26668</v>
      </c>
      <c r="AB7788" t="s">
        <v>32455</v>
      </c>
      <c r="AD7788" t="s">
        <v>42881</v>
      </c>
      <c r="AE7788">
        <v>0</v>
      </c>
      <c r="AF7788" t="s">
        <v>20460</v>
      </c>
      <c r="AG7788" t="s">
        <v>19330</v>
      </c>
      <c r="AH7788">
        <v>31</v>
      </c>
      <c r="AI7788">
        <v>1</v>
      </c>
      <c r="AJ7788">
        <v>0</v>
      </c>
      <c r="AK7788">
        <v>9.32</v>
      </c>
      <c r="AN7788" t="s">
        <v>7439</v>
      </c>
      <c r="AO7788">
        <v>1164</v>
      </c>
      <c r="AU7788">
        <v>18.5</v>
      </c>
      <c r="AV7788" t="s">
        <v>831</v>
      </c>
      <c r="AW7788" t="s">
        <v>46875</v>
      </c>
    </row>
    <row r="7789" spans="1:50">
      <c r="A7789" s="1">
        <f>HYPERLINK("https://lsnyc.legalserver.org/matter/dynamic-profile/view/1899112","19-1899112")</f>
        <v>0</v>
      </c>
      <c r="B7789" t="s">
        <v>262</v>
      </c>
      <c r="C7789" t="s">
        <v>340</v>
      </c>
      <c r="D7789" t="s">
        <v>810</v>
      </c>
      <c r="F7789" t="s">
        <v>1113</v>
      </c>
      <c r="G7789" t="s">
        <v>8449</v>
      </c>
      <c r="H7789" t="s">
        <v>14957</v>
      </c>
      <c r="I7789" t="s">
        <v>17307</v>
      </c>
      <c r="J7789" t="s">
        <v>18892</v>
      </c>
      <c r="K7789">
        <v>10467</v>
      </c>
      <c r="L7789" t="s">
        <v>18958</v>
      </c>
      <c r="M7789" t="s">
        <v>18960</v>
      </c>
      <c r="N7789" t="s">
        <v>24518</v>
      </c>
      <c r="O7789" t="s">
        <v>26523</v>
      </c>
      <c r="P7789" t="s">
        <v>26560</v>
      </c>
      <c r="R7789" t="s">
        <v>26579</v>
      </c>
      <c r="S7789" t="s">
        <v>18959</v>
      </c>
      <c r="U7789" t="s">
        <v>26604</v>
      </c>
      <c r="V7789" t="s">
        <v>26610</v>
      </c>
      <c r="W7789" t="s">
        <v>810</v>
      </c>
      <c r="X7789">
        <v>1211</v>
      </c>
      <c r="Y7789" t="s">
        <v>26650</v>
      </c>
      <c r="Z7789" t="s">
        <v>26664</v>
      </c>
      <c r="AB7789" t="s">
        <v>32456</v>
      </c>
      <c r="AD7789" t="s">
        <v>42882</v>
      </c>
      <c r="AE7789">
        <v>8</v>
      </c>
      <c r="AF7789" t="s">
        <v>45552</v>
      </c>
      <c r="AG7789" t="s">
        <v>45556</v>
      </c>
      <c r="AH7789">
        <v>4</v>
      </c>
      <c r="AI7789">
        <v>1</v>
      </c>
      <c r="AJ7789">
        <v>0</v>
      </c>
      <c r="AK7789">
        <v>48.04</v>
      </c>
      <c r="AN7789" t="s">
        <v>45596</v>
      </c>
      <c r="AO7789">
        <v>6000</v>
      </c>
      <c r="AU7789">
        <v>11.8</v>
      </c>
      <c r="AV7789" t="s">
        <v>836</v>
      </c>
      <c r="AW7789" t="s">
        <v>336</v>
      </c>
      <c r="AX7789" t="s">
        <v>46897</v>
      </c>
    </row>
    <row r="7790" spans="1:50">
      <c r="A7790" s="1">
        <f>HYPERLINK("https://lsnyc.legalserver.org/matter/dynamic-profile/view/1898512","19-1898512")</f>
        <v>0</v>
      </c>
      <c r="B7790" t="s">
        <v>283</v>
      </c>
      <c r="C7790" t="s">
        <v>340</v>
      </c>
      <c r="D7790" t="s">
        <v>810</v>
      </c>
      <c r="F7790" t="s">
        <v>887</v>
      </c>
      <c r="G7790" t="s">
        <v>5125</v>
      </c>
      <c r="H7790" t="s">
        <v>14958</v>
      </c>
      <c r="I7790" t="s">
        <v>17275</v>
      </c>
      <c r="J7790" t="s">
        <v>18894</v>
      </c>
      <c r="K7790">
        <v>11221</v>
      </c>
      <c r="L7790" t="s">
        <v>18958</v>
      </c>
      <c r="M7790" t="s">
        <v>18958</v>
      </c>
      <c r="N7790" t="s">
        <v>24519</v>
      </c>
      <c r="O7790" t="s">
        <v>26523</v>
      </c>
      <c r="P7790" t="s">
        <v>26560</v>
      </c>
      <c r="R7790" t="s">
        <v>26588</v>
      </c>
      <c r="S7790" t="s">
        <v>18959</v>
      </c>
      <c r="U7790" t="s">
        <v>26604</v>
      </c>
      <c r="W7790" t="s">
        <v>810</v>
      </c>
      <c r="X7790">
        <v>465</v>
      </c>
      <c r="Y7790" t="s">
        <v>26652</v>
      </c>
      <c r="Z7790" t="s">
        <v>26669</v>
      </c>
      <c r="AB7790" t="s">
        <v>31065</v>
      </c>
      <c r="AD7790" t="s">
        <v>42883</v>
      </c>
      <c r="AE7790">
        <v>0</v>
      </c>
      <c r="AH7790">
        <v>12</v>
      </c>
      <c r="AI7790">
        <v>2</v>
      </c>
      <c r="AJ7790">
        <v>4</v>
      </c>
      <c r="AK7790">
        <v>25.98</v>
      </c>
      <c r="AN7790" t="s">
        <v>45581</v>
      </c>
      <c r="AO7790">
        <v>8988</v>
      </c>
      <c r="AU7790">
        <v>28.75</v>
      </c>
      <c r="AV7790" t="s">
        <v>836</v>
      </c>
      <c r="AW7790" t="s">
        <v>281</v>
      </c>
      <c r="AX7790" t="s">
        <v>46897</v>
      </c>
    </row>
    <row r="7791" spans="1:50">
      <c r="A7791" s="1">
        <f>HYPERLINK("https://lsnyc.legalserver.org/matter/dynamic-profile/view/1898584","19-1898584")</f>
        <v>0</v>
      </c>
      <c r="B7791" t="s">
        <v>158</v>
      </c>
      <c r="C7791" t="s">
        <v>340</v>
      </c>
      <c r="D7791" t="s">
        <v>810</v>
      </c>
      <c r="F7791" t="s">
        <v>4068</v>
      </c>
      <c r="G7791" t="s">
        <v>8450</v>
      </c>
      <c r="H7791" t="s">
        <v>10258</v>
      </c>
      <c r="I7791" t="s">
        <v>17274</v>
      </c>
      <c r="J7791" t="s">
        <v>18894</v>
      </c>
      <c r="K7791">
        <v>11221</v>
      </c>
      <c r="L7791" t="s">
        <v>18958</v>
      </c>
      <c r="M7791" t="s">
        <v>18958</v>
      </c>
      <c r="N7791" t="s">
        <v>24520</v>
      </c>
      <c r="O7791" t="s">
        <v>26523</v>
      </c>
      <c r="P7791" t="s">
        <v>26560</v>
      </c>
      <c r="R7791" t="s">
        <v>26588</v>
      </c>
      <c r="U7791" t="s">
        <v>26604</v>
      </c>
      <c r="V7791" t="s">
        <v>26611</v>
      </c>
      <c r="W7791" t="s">
        <v>810</v>
      </c>
      <c r="X7791">
        <v>0</v>
      </c>
      <c r="Y7791" t="s">
        <v>26652</v>
      </c>
      <c r="Z7791" t="s">
        <v>26669</v>
      </c>
      <c r="AB7791" t="s">
        <v>28471</v>
      </c>
      <c r="AD7791" t="s">
        <v>42884</v>
      </c>
      <c r="AE7791">
        <v>0</v>
      </c>
      <c r="AF7791" t="s">
        <v>45541</v>
      </c>
      <c r="AG7791" t="s">
        <v>45556</v>
      </c>
      <c r="AH7791">
        <v>0</v>
      </c>
      <c r="AI7791">
        <v>1</v>
      </c>
      <c r="AJ7791">
        <v>0</v>
      </c>
      <c r="AK7791">
        <v>14.99</v>
      </c>
      <c r="AN7791" t="s">
        <v>7439</v>
      </c>
      <c r="AO7791">
        <v>1872</v>
      </c>
      <c r="AU7791">
        <v>8.1</v>
      </c>
      <c r="AV7791" t="s">
        <v>828</v>
      </c>
      <c r="AW7791" t="s">
        <v>46862</v>
      </c>
      <c r="AX7791" t="s">
        <v>46897</v>
      </c>
    </row>
    <row r="7792" spans="1:50">
      <c r="A7792" s="1">
        <f>HYPERLINK("https://lsnyc.legalserver.org/matter/dynamic-profile/view/1898540","19-1898540")</f>
        <v>0</v>
      </c>
      <c r="B7792" t="s">
        <v>158</v>
      </c>
      <c r="C7792" t="s">
        <v>340</v>
      </c>
      <c r="D7792" t="s">
        <v>810</v>
      </c>
      <c r="F7792" t="s">
        <v>4069</v>
      </c>
      <c r="G7792" t="s">
        <v>5788</v>
      </c>
      <c r="H7792" t="s">
        <v>14959</v>
      </c>
      <c r="I7792" t="s">
        <v>17283</v>
      </c>
      <c r="J7792" t="s">
        <v>18894</v>
      </c>
      <c r="K7792">
        <v>11216</v>
      </c>
      <c r="L7792" t="s">
        <v>18958</v>
      </c>
      <c r="M7792" t="s">
        <v>18958</v>
      </c>
      <c r="N7792" t="s">
        <v>24521</v>
      </c>
      <c r="O7792" t="s">
        <v>26523</v>
      </c>
      <c r="P7792" t="s">
        <v>26560</v>
      </c>
      <c r="R7792" t="s">
        <v>26588</v>
      </c>
      <c r="U7792" t="s">
        <v>26604</v>
      </c>
      <c r="V7792" t="s">
        <v>26610</v>
      </c>
      <c r="W7792" t="s">
        <v>810</v>
      </c>
      <c r="X7792">
        <v>1014</v>
      </c>
      <c r="Y7792" t="s">
        <v>26652</v>
      </c>
      <c r="Z7792" t="s">
        <v>26669</v>
      </c>
      <c r="AB7792" t="s">
        <v>27394</v>
      </c>
      <c r="AD7792" t="s">
        <v>42885</v>
      </c>
      <c r="AE7792">
        <v>21</v>
      </c>
      <c r="AF7792" t="s">
        <v>45543</v>
      </c>
      <c r="AH7792">
        <v>30</v>
      </c>
      <c r="AI7792">
        <v>3</v>
      </c>
      <c r="AJ7792">
        <v>3</v>
      </c>
      <c r="AK7792">
        <v>116.06</v>
      </c>
      <c r="AN7792" t="s">
        <v>7439</v>
      </c>
      <c r="AO7792">
        <v>40144</v>
      </c>
      <c r="AU7792">
        <v>8</v>
      </c>
      <c r="AV7792" t="s">
        <v>828</v>
      </c>
      <c r="AW7792" t="s">
        <v>46862</v>
      </c>
      <c r="AX7792" t="s">
        <v>46897</v>
      </c>
    </row>
    <row r="7793" spans="1:50">
      <c r="A7793" s="1">
        <f>HYPERLINK("https://lsnyc.legalserver.org/matter/dynamic-profile/view/1898626","19-1898626")</f>
        <v>0</v>
      </c>
      <c r="B7793" t="s">
        <v>158</v>
      </c>
      <c r="C7793" t="s">
        <v>340</v>
      </c>
      <c r="D7793" t="s">
        <v>810</v>
      </c>
      <c r="F7793" t="s">
        <v>3962</v>
      </c>
      <c r="G7793" t="s">
        <v>8451</v>
      </c>
      <c r="H7793" t="s">
        <v>14960</v>
      </c>
      <c r="I7793" t="s">
        <v>18366</v>
      </c>
      <c r="J7793" t="s">
        <v>18894</v>
      </c>
      <c r="K7793">
        <v>11226</v>
      </c>
      <c r="L7793" t="s">
        <v>18958</v>
      </c>
      <c r="M7793" t="s">
        <v>18958</v>
      </c>
      <c r="N7793" t="s">
        <v>24522</v>
      </c>
      <c r="O7793" t="s">
        <v>26524</v>
      </c>
      <c r="P7793" t="s">
        <v>26560</v>
      </c>
      <c r="R7793" t="s">
        <v>26588</v>
      </c>
      <c r="U7793" t="s">
        <v>26604</v>
      </c>
      <c r="V7793" t="s">
        <v>26610</v>
      </c>
      <c r="W7793" t="s">
        <v>810</v>
      </c>
      <c r="X7793">
        <v>1468</v>
      </c>
      <c r="Y7793" t="s">
        <v>26652</v>
      </c>
      <c r="Z7793" t="s">
        <v>26664</v>
      </c>
      <c r="AB7793" t="s">
        <v>27874</v>
      </c>
      <c r="AD7793" t="s">
        <v>42886</v>
      </c>
      <c r="AE7793">
        <v>0</v>
      </c>
      <c r="AF7793" t="s">
        <v>45541</v>
      </c>
      <c r="AH7793">
        <v>4</v>
      </c>
      <c r="AI7793">
        <v>2</v>
      </c>
      <c r="AJ7793">
        <v>2</v>
      </c>
      <c r="AK7793">
        <v>141.36</v>
      </c>
      <c r="AN7793" t="s">
        <v>7439</v>
      </c>
      <c r="AO7793">
        <v>36400</v>
      </c>
      <c r="AU7793">
        <v>6.1</v>
      </c>
      <c r="AV7793" t="s">
        <v>809</v>
      </c>
      <c r="AW7793" t="s">
        <v>46853</v>
      </c>
      <c r="AX7793" t="s">
        <v>46897</v>
      </c>
    </row>
    <row r="7794" spans="1:50">
      <c r="A7794" s="1">
        <f>HYPERLINK("https://lsnyc.legalserver.org/matter/dynamic-profile/view/1898510","19-1898510")</f>
        <v>0</v>
      </c>
      <c r="B7794" t="s">
        <v>251</v>
      </c>
      <c r="C7794" t="s">
        <v>340</v>
      </c>
      <c r="D7794" t="s">
        <v>810</v>
      </c>
      <c r="F7794" t="s">
        <v>1056</v>
      </c>
      <c r="G7794" t="s">
        <v>5173</v>
      </c>
      <c r="H7794" t="s">
        <v>14961</v>
      </c>
      <c r="I7794" t="s">
        <v>18505</v>
      </c>
      <c r="J7794" t="s">
        <v>18892</v>
      </c>
      <c r="K7794">
        <v>10462</v>
      </c>
      <c r="L7794" t="s">
        <v>18958</v>
      </c>
      <c r="M7794" t="s">
        <v>18958</v>
      </c>
      <c r="N7794" t="s">
        <v>24523</v>
      </c>
      <c r="O7794" t="s">
        <v>26523</v>
      </c>
      <c r="P7794" t="s">
        <v>26560</v>
      </c>
      <c r="R7794" t="s">
        <v>26579</v>
      </c>
      <c r="U7794" t="s">
        <v>26604</v>
      </c>
      <c r="W7794" t="s">
        <v>810</v>
      </c>
      <c r="X7794">
        <v>1313.73</v>
      </c>
      <c r="Y7794" t="s">
        <v>26650</v>
      </c>
      <c r="Z7794" t="s">
        <v>26664</v>
      </c>
      <c r="AB7794" t="s">
        <v>32457</v>
      </c>
      <c r="AD7794" t="s">
        <v>42887</v>
      </c>
      <c r="AE7794">
        <v>8</v>
      </c>
      <c r="AF7794" t="s">
        <v>45541</v>
      </c>
      <c r="AG7794" t="s">
        <v>19330</v>
      </c>
      <c r="AH7794">
        <v>27</v>
      </c>
      <c r="AI7794">
        <v>1</v>
      </c>
      <c r="AJ7794">
        <v>0</v>
      </c>
      <c r="AK7794">
        <v>83.27</v>
      </c>
      <c r="AN7794" t="s">
        <v>7439</v>
      </c>
      <c r="AO7794">
        <v>10400</v>
      </c>
      <c r="AU7794">
        <v>7.9</v>
      </c>
      <c r="AV7794" t="s">
        <v>835</v>
      </c>
      <c r="AW7794" t="s">
        <v>46867</v>
      </c>
      <c r="AX7794" t="s">
        <v>46897</v>
      </c>
    </row>
    <row r="7795" spans="1:50">
      <c r="A7795" s="1">
        <f>HYPERLINK("https://lsnyc.legalserver.org/matter/dynamic-profile/view/1898503","19-1898503")</f>
        <v>0</v>
      </c>
      <c r="B7795" t="s">
        <v>294</v>
      </c>
      <c r="C7795" t="s">
        <v>340</v>
      </c>
      <c r="D7795" t="s">
        <v>810</v>
      </c>
      <c r="F7795" t="s">
        <v>1021</v>
      </c>
      <c r="G7795" t="s">
        <v>8452</v>
      </c>
      <c r="H7795" t="s">
        <v>14962</v>
      </c>
      <c r="I7795" t="s">
        <v>17331</v>
      </c>
      <c r="J7795" t="s">
        <v>18909</v>
      </c>
      <c r="K7795">
        <v>11101</v>
      </c>
      <c r="L7795" t="s">
        <v>18958</v>
      </c>
      <c r="M7795" t="s">
        <v>18958</v>
      </c>
      <c r="N7795" t="s">
        <v>24524</v>
      </c>
      <c r="O7795" t="s">
        <v>26523</v>
      </c>
      <c r="P7795" t="s">
        <v>26560</v>
      </c>
      <c r="R7795" t="s">
        <v>26578</v>
      </c>
      <c r="S7795" t="s">
        <v>18959</v>
      </c>
      <c r="U7795" t="s">
        <v>26604</v>
      </c>
      <c r="V7795" t="s">
        <v>26610</v>
      </c>
      <c r="W7795" t="s">
        <v>810</v>
      </c>
      <c r="X7795">
        <v>2400</v>
      </c>
      <c r="Y7795" t="s">
        <v>26653</v>
      </c>
      <c r="Z7795" t="s">
        <v>26670</v>
      </c>
      <c r="AB7795" t="s">
        <v>32458</v>
      </c>
      <c r="AD7795" t="s">
        <v>42888</v>
      </c>
      <c r="AE7795">
        <v>6</v>
      </c>
      <c r="AF7795" t="s">
        <v>20460</v>
      </c>
      <c r="AG7795" t="s">
        <v>19330</v>
      </c>
      <c r="AH7795">
        <v>3</v>
      </c>
      <c r="AI7795">
        <v>2</v>
      </c>
      <c r="AJ7795">
        <v>0</v>
      </c>
      <c r="AK7795">
        <v>378.47</v>
      </c>
      <c r="AL7795" t="s">
        <v>808</v>
      </c>
      <c r="AM7795" t="s">
        <v>45575</v>
      </c>
      <c r="AN7795" t="s">
        <v>7439</v>
      </c>
      <c r="AO7795">
        <v>64000</v>
      </c>
      <c r="AU7795">
        <v>4.35</v>
      </c>
      <c r="AV7795" t="s">
        <v>773</v>
      </c>
      <c r="AW7795" t="s">
        <v>280</v>
      </c>
    </row>
    <row r="7796" spans="1:50">
      <c r="A7796" s="1">
        <f>HYPERLINK("https://lsnyc.legalserver.org/matter/dynamic-profile/view/1898595","19-1898595")</f>
        <v>0</v>
      </c>
      <c r="B7796" t="s">
        <v>203</v>
      </c>
      <c r="C7796" t="s">
        <v>340</v>
      </c>
      <c r="D7796" t="s">
        <v>810</v>
      </c>
      <c r="F7796" t="s">
        <v>1900</v>
      </c>
      <c r="G7796" t="s">
        <v>2504</v>
      </c>
      <c r="H7796" t="s">
        <v>14963</v>
      </c>
      <c r="I7796" t="s">
        <v>17307</v>
      </c>
      <c r="J7796" t="s">
        <v>18894</v>
      </c>
      <c r="K7796">
        <v>11216</v>
      </c>
      <c r="L7796" t="s">
        <v>18958</v>
      </c>
      <c r="M7796" t="s">
        <v>18958</v>
      </c>
      <c r="N7796" t="s">
        <v>24525</v>
      </c>
      <c r="O7796" t="s">
        <v>26523</v>
      </c>
      <c r="P7796" t="s">
        <v>26560</v>
      </c>
      <c r="R7796" t="s">
        <v>26588</v>
      </c>
      <c r="S7796" t="s">
        <v>18959</v>
      </c>
      <c r="U7796" t="s">
        <v>26604</v>
      </c>
      <c r="W7796" t="s">
        <v>810</v>
      </c>
      <c r="X7796">
        <v>996.17</v>
      </c>
      <c r="Y7796" t="s">
        <v>26652</v>
      </c>
      <c r="Z7796" t="s">
        <v>26669</v>
      </c>
      <c r="AB7796" t="s">
        <v>27597</v>
      </c>
      <c r="AD7796" t="s">
        <v>42889</v>
      </c>
      <c r="AE7796">
        <v>0</v>
      </c>
      <c r="AH7796">
        <v>15</v>
      </c>
      <c r="AI7796">
        <v>1</v>
      </c>
      <c r="AJ7796">
        <v>2</v>
      </c>
      <c r="AK7796">
        <v>43.38</v>
      </c>
      <c r="AN7796" t="s">
        <v>7439</v>
      </c>
      <c r="AO7796">
        <v>9252</v>
      </c>
      <c r="AU7796">
        <v>2.2</v>
      </c>
      <c r="AV7796" t="s">
        <v>821</v>
      </c>
      <c r="AW7796" t="s">
        <v>281</v>
      </c>
      <c r="AX7796" t="s">
        <v>46897</v>
      </c>
    </row>
    <row r="7797" spans="1:50">
      <c r="A7797" s="1">
        <f>HYPERLINK("https://lsnyc.legalserver.org/matter/dynamic-profile/view/1899586","19-1899586")</f>
        <v>0</v>
      </c>
      <c r="B7797" t="s">
        <v>68</v>
      </c>
      <c r="C7797" t="s">
        <v>340</v>
      </c>
      <c r="D7797" t="s">
        <v>810</v>
      </c>
      <c r="F7797" t="s">
        <v>4070</v>
      </c>
      <c r="G7797" t="s">
        <v>5481</v>
      </c>
      <c r="H7797" t="s">
        <v>9655</v>
      </c>
      <c r="I7797" t="s">
        <v>18506</v>
      </c>
      <c r="J7797" t="s">
        <v>18892</v>
      </c>
      <c r="K7797">
        <v>10457</v>
      </c>
      <c r="L7797" t="s">
        <v>18958</v>
      </c>
      <c r="M7797" t="s">
        <v>18960</v>
      </c>
      <c r="N7797" t="s">
        <v>24526</v>
      </c>
      <c r="O7797" t="s">
        <v>26523</v>
      </c>
      <c r="P7797" t="s">
        <v>26560</v>
      </c>
      <c r="R7797" t="s">
        <v>26579</v>
      </c>
      <c r="S7797" t="s">
        <v>18959</v>
      </c>
      <c r="U7797" t="s">
        <v>26604</v>
      </c>
      <c r="V7797" t="s">
        <v>26610</v>
      </c>
      <c r="W7797" t="s">
        <v>810</v>
      </c>
      <c r="X7797">
        <v>1017</v>
      </c>
      <c r="Y7797" t="s">
        <v>26650</v>
      </c>
      <c r="Z7797" t="s">
        <v>26666</v>
      </c>
      <c r="AB7797" t="s">
        <v>32459</v>
      </c>
      <c r="AC7797" t="s">
        <v>36387</v>
      </c>
      <c r="AD7797" t="s">
        <v>42890</v>
      </c>
      <c r="AE7797">
        <v>108</v>
      </c>
      <c r="AF7797" t="s">
        <v>45548</v>
      </c>
      <c r="AH7797">
        <v>19</v>
      </c>
      <c r="AI7797">
        <v>1</v>
      </c>
      <c r="AJ7797">
        <v>2</v>
      </c>
      <c r="AK7797">
        <v>10.69</v>
      </c>
      <c r="AN7797" t="s">
        <v>45581</v>
      </c>
      <c r="AO7797">
        <v>2280</v>
      </c>
      <c r="AP7797" t="s">
        <v>46070</v>
      </c>
      <c r="AU7797">
        <v>8.9</v>
      </c>
      <c r="AV7797" t="s">
        <v>833</v>
      </c>
      <c r="AW7797" t="s">
        <v>336</v>
      </c>
      <c r="AX7797" t="s">
        <v>46897</v>
      </c>
    </row>
    <row r="7798" spans="1:50">
      <c r="A7798" s="1">
        <f>HYPERLINK("https://lsnyc.legalserver.org/matter/dynamic-profile/view/1898545","19-1898545")</f>
        <v>0</v>
      </c>
      <c r="B7798" t="s">
        <v>288</v>
      </c>
      <c r="C7798" t="s">
        <v>340</v>
      </c>
      <c r="D7798" t="s">
        <v>810</v>
      </c>
      <c r="F7798" t="s">
        <v>1043</v>
      </c>
      <c r="G7798" t="s">
        <v>7156</v>
      </c>
      <c r="H7798" t="s">
        <v>14964</v>
      </c>
      <c r="I7798" t="s">
        <v>17641</v>
      </c>
      <c r="J7798" t="s">
        <v>18894</v>
      </c>
      <c r="K7798">
        <v>11225</v>
      </c>
      <c r="L7798" t="s">
        <v>18958</v>
      </c>
      <c r="M7798" t="s">
        <v>18958</v>
      </c>
      <c r="N7798" t="s">
        <v>24527</v>
      </c>
      <c r="O7798" t="s">
        <v>26523</v>
      </c>
      <c r="P7798" t="s">
        <v>26560</v>
      </c>
      <c r="R7798" t="s">
        <v>26588</v>
      </c>
      <c r="S7798" t="s">
        <v>18959</v>
      </c>
      <c r="U7798" t="s">
        <v>26604</v>
      </c>
      <c r="W7798" t="s">
        <v>810</v>
      </c>
      <c r="X7798">
        <v>0</v>
      </c>
      <c r="Y7798" t="s">
        <v>26652</v>
      </c>
      <c r="Z7798" t="s">
        <v>26669</v>
      </c>
      <c r="AB7798" t="s">
        <v>32460</v>
      </c>
      <c r="AD7798" t="s">
        <v>42891</v>
      </c>
      <c r="AE7798">
        <v>0</v>
      </c>
      <c r="AH7798">
        <v>0</v>
      </c>
      <c r="AI7798">
        <v>1</v>
      </c>
      <c r="AJ7798">
        <v>0</v>
      </c>
      <c r="AK7798">
        <v>192.15</v>
      </c>
      <c r="AN7798" t="s">
        <v>7439</v>
      </c>
      <c r="AO7798">
        <v>24000</v>
      </c>
      <c r="AU7798">
        <v>5</v>
      </c>
      <c r="AV7798" t="s">
        <v>836</v>
      </c>
      <c r="AW7798" t="s">
        <v>281</v>
      </c>
      <c r="AX7798" t="s">
        <v>46897</v>
      </c>
    </row>
    <row r="7799" spans="1:50">
      <c r="A7799" s="1">
        <f>HYPERLINK("https://lsnyc.legalserver.org/matter/dynamic-profile/view/1899179","19-1899179")</f>
        <v>0</v>
      </c>
      <c r="B7799" t="s">
        <v>253</v>
      </c>
      <c r="C7799" t="s">
        <v>340</v>
      </c>
      <c r="D7799" t="s">
        <v>810</v>
      </c>
      <c r="F7799" t="s">
        <v>4027</v>
      </c>
      <c r="G7799" t="s">
        <v>5199</v>
      </c>
      <c r="H7799" t="s">
        <v>14860</v>
      </c>
      <c r="I7799">
        <v>54</v>
      </c>
      <c r="J7799" t="s">
        <v>18892</v>
      </c>
      <c r="K7799">
        <v>10468</v>
      </c>
      <c r="L7799" t="s">
        <v>18958</v>
      </c>
      <c r="M7799" t="s">
        <v>18960</v>
      </c>
      <c r="N7799" t="s">
        <v>24528</v>
      </c>
      <c r="O7799" t="s">
        <v>26523</v>
      </c>
      <c r="P7799" t="s">
        <v>26560</v>
      </c>
      <c r="R7799" t="s">
        <v>26579</v>
      </c>
      <c r="S7799" t="s">
        <v>18959</v>
      </c>
      <c r="U7799" t="s">
        <v>26604</v>
      </c>
      <c r="V7799" t="s">
        <v>26610</v>
      </c>
      <c r="W7799" t="s">
        <v>810</v>
      </c>
      <c r="X7799">
        <v>929</v>
      </c>
      <c r="Y7799" t="s">
        <v>26650</v>
      </c>
      <c r="Z7799" t="s">
        <v>26668</v>
      </c>
      <c r="AB7799" t="s">
        <v>30111</v>
      </c>
      <c r="AC7799" t="s">
        <v>36388</v>
      </c>
      <c r="AD7799" t="s">
        <v>42892</v>
      </c>
      <c r="AE7799">
        <v>0</v>
      </c>
      <c r="AF7799" t="s">
        <v>20460</v>
      </c>
      <c r="AG7799" t="s">
        <v>19330</v>
      </c>
      <c r="AH7799">
        <v>12</v>
      </c>
      <c r="AI7799">
        <v>2</v>
      </c>
      <c r="AJ7799">
        <v>1</v>
      </c>
      <c r="AK7799">
        <v>60.01</v>
      </c>
      <c r="AN7799" t="s">
        <v>45581</v>
      </c>
      <c r="AO7799">
        <v>12800</v>
      </c>
      <c r="AU7799">
        <v>6.75</v>
      </c>
      <c r="AV7799" t="s">
        <v>830</v>
      </c>
      <c r="AW7799" t="s">
        <v>46832</v>
      </c>
      <c r="AX7799" t="s">
        <v>46898</v>
      </c>
    </row>
    <row r="7800" spans="1:50">
      <c r="A7800" s="1">
        <f>HYPERLINK("https://lsnyc.legalserver.org/matter/dynamic-profile/view/1898591","19-1898591")</f>
        <v>0</v>
      </c>
      <c r="B7800" t="s">
        <v>200</v>
      </c>
      <c r="C7800" t="s">
        <v>340</v>
      </c>
      <c r="D7800" t="s">
        <v>810</v>
      </c>
      <c r="F7800" t="s">
        <v>1984</v>
      </c>
      <c r="G7800" t="s">
        <v>8453</v>
      </c>
      <c r="H7800" t="s">
        <v>14965</v>
      </c>
      <c r="I7800">
        <v>1</v>
      </c>
      <c r="J7800" t="s">
        <v>18894</v>
      </c>
      <c r="K7800">
        <v>11207</v>
      </c>
      <c r="L7800" t="s">
        <v>18958</v>
      </c>
      <c r="M7800" t="s">
        <v>18958</v>
      </c>
      <c r="N7800" t="s">
        <v>18997</v>
      </c>
      <c r="O7800" t="s">
        <v>18997</v>
      </c>
      <c r="P7800" t="s">
        <v>26565</v>
      </c>
      <c r="R7800" t="s">
        <v>26578</v>
      </c>
      <c r="S7800" t="s">
        <v>18959</v>
      </c>
      <c r="U7800" t="s">
        <v>26604</v>
      </c>
      <c r="V7800" t="s">
        <v>26610</v>
      </c>
      <c r="W7800" t="s">
        <v>810</v>
      </c>
      <c r="X7800">
        <v>1487.41</v>
      </c>
      <c r="Y7800" t="s">
        <v>26652</v>
      </c>
      <c r="Z7800" t="s">
        <v>26659</v>
      </c>
      <c r="AB7800" t="s">
        <v>32461</v>
      </c>
      <c r="AC7800" t="s">
        <v>20460</v>
      </c>
      <c r="AD7800" t="s">
        <v>42893</v>
      </c>
      <c r="AE7800">
        <v>6</v>
      </c>
      <c r="AF7800" t="s">
        <v>45541</v>
      </c>
      <c r="AH7800">
        <v>8</v>
      </c>
      <c r="AI7800">
        <v>2</v>
      </c>
      <c r="AJ7800">
        <v>0</v>
      </c>
      <c r="AK7800">
        <v>156.12</v>
      </c>
      <c r="AN7800" t="s">
        <v>7439</v>
      </c>
      <c r="AO7800">
        <v>26400</v>
      </c>
      <c r="AU7800">
        <v>5.6</v>
      </c>
      <c r="AV7800" t="s">
        <v>833</v>
      </c>
      <c r="AW7800" t="s">
        <v>279</v>
      </c>
      <c r="AX7800" t="s">
        <v>46897</v>
      </c>
    </row>
    <row r="7801" spans="1:50">
      <c r="A7801" s="1">
        <f>HYPERLINK("https://lsnyc.legalserver.org/matter/dynamic-profile/view/1898553","19-1898553")</f>
        <v>0</v>
      </c>
      <c r="B7801" t="s">
        <v>50</v>
      </c>
      <c r="C7801" t="s">
        <v>340</v>
      </c>
      <c r="D7801" t="s">
        <v>810</v>
      </c>
      <c r="F7801" t="s">
        <v>2109</v>
      </c>
      <c r="G7801" t="s">
        <v>8306</v>
      </c>
      <c r="H7801" t="s">
        <v>14728</v>
      </c>
      <c r="I7801" t="s">
        <v>17342</v>
      </c>
      <c r="J7801" t="s">
        <v>18892</v>
      </c>
      <c r="K7801">
        <v>10468</v>
      </c>
      <c r="L7801" t="s">
        <v>18958</v>
      </c>
      <c r="M7801" t="s">
        <v>18958</v>
      </c>
      <c r="O7801" t="s">
        <v>26537</v>
      </c>
      <c r="P7801" t="s">
        <v>26562</v>
      </c>
      <c r="R7801" t="s">
        <v>26578</v>
      </c>
      <c r="U7801" t="s">
        <v>26606</v>
      </c>
      <c r="W7801" t="s">
        <v>810</v>
      </c>
      <c r="X7801">
        <v>832</v>
      </c>
      <c r="Y7801" t="s">
        <v>26650</v>
      </c>
      <c r="Z7801" t="s">
        <v>26664</v>
      </c>
      <c r="AB7801" t="s">
        <v>32233</v>
      </c>
      <c r="AC7801" t="s">
        <v>36325</v>
      </c>
      <c r="AD7801" t="s">
        <v>42601</v>
      </c>
      <c r="AE7801">
        <v>74</v>
      </c>
      <c r="AF7801" t="s">
        <v>45553</v>
      </c>
      <c r="AH7801">
        <v>20</v>
      </c>
      <c r="AI7801">
        <v>2</v>
      </c>
      <c r="AJ7801">
        <v>0</v>
      </c>
      <c r="AK7801">
        <v>92.25</v>
      </c>
      <c r="AN7801" t="s">
        <v>7439</v>
      </c>
      <c r="AO7801">
        <v>15600</v>
      </c>
      <c r="AU7801">
        <v>1.5</v>
      </c>
      <c r="AV7801" t="s">
        <v>818</v>
      </c>
      <c r="AW7801" t="s">
        <v>46870</v>
      </c>
      <c r="AX7801" t="s">
        <v>46897</v>
      </c>
    </row>
    <row r="7802" spans="1:50">
      <c r="A7802" s="1">
        <f>HYPERLINK("https://lsnyc.legalserver.org/matter/dynamic-profile/view/1898617","19-1898617")</f>
        <v>0</v>
      </c>
      <c r="B7802" t="s">
        <v>50</v>
      </c>
      <c r="C7802" t="s">
        <v>340</v>
      </c>
      <c r="D7802" t="s">
        <v>810</v>
      </c>
      <c r="F7802" t="s">
        <v>1905</v>
      </c>
      <c r="G7802" t="s">
        <v>3718</v>
      </c>
      <c r="H7802" t="s">
        <v>14966</v>
      </c>
      <c r="I7802">
        <v>3</v>
      </c>
      <c r="J7802" t="s">
        <v>18892</v>
      </c>
      <c r="K7802">
        <v>10457</v>
      </c>
      <c r="L7802" t="s">
        <v>18958</v>
      </c>
      <c r="M7802" t="s">
        <v>18958</v>
      </c>
      <c r="N7802" t="s">
        <v>24529</v>
      </c>
      <c r="O7802" t="s">
        <v>26524</v>
      </c>
      <c r="P7802" t="s">
        <v>26560</v>
      </c>
      <c r="R7802" t="s">
        <v>26579</v>
      </c>
      <c r="S7802" t="s">
        <v>18959</v>
      </c>
      <c r="U7802" t="s">
        <v>26604</v>
      </c>
      <c r="W7802" t="s">
        <v>810</v>
      </c>
      <c r="X7802">
        <v>650</v>
      </c>
      <c r="Y7802" t="s">
        <v>26650</v>
      </c>
      <c r="Z7802" t="s">
        <v>26664</v>
      </c>
      <c r="AB7802" t="s">
        <v>30481</v>
      </c>
      <c r="AD7802" t="s">
        <v>42894</v>
      </c>
      <c r="AE7802">
        <v>4</v>
      </c>
      <c r="AF7802" t="s">
        <v>45553</v>
      </c>
      <c r="AG7802" t="s">
        <v>19330</v>
      </c>
      <c r="AH7802">
        <v>3</v>
      </c>
      <c r="AI7802">
        <v>2</v>
      </c>
      <c r="AJ7802">
        <v>0</v>
      </c>
      <c r="AK7802">
        <v>183.32</v>
      </c>
      <c r="AN7802" t="s">
        <v>7439</v>
      </c>
      <c r="AO7802">
        <v>31000</v>
      </c>
      <c r="AU7802">
        <v>18.5</v>
      </c>
      <c r="AV7802" t="s">
        <v>828</v>
      </c>
      <c r="AW7802" t="s">
        <v>46870</v>
      </c>
      <c r="AX7802" t="s">
        <v>46897</v>
      </c>
    </row>
    <row r="7803" spans="1:50">
      <c r="A7803" s="1">
        <f>HYPERLINK("https://lsnyc.legalserver.org/matter/dynamic-profile/view/1899298","19-1899298")</f>
        <v>0</v>
      </c>
      <c r="B7803" t="s">
        <v>120</v>
      </c>
      <c r="C7803" t="s">
        <v>340</v>
      </c>
      <c r="D7803" t="s">
        <v>810</v>
      </c>
      <c r="F7803" t="s">
        <v>2145</v>
      </c>
      <c r="G7803" t="s">
        <v>8454</v>
      </c>
      <c r="H7803" t="s">
        <v>14967</v>
      </c>
      <c r="I7803" t="s">
        <v>17360</v>
      </c>
      <c r="J7803" t="s">
        <v>18892</v>
      </c>
      <c r="K7803">
        <v>10457</v>
      </c>
      <c r="L7803" t="s">
        <v>18958</v>
      </c>
      <c r="M7803" t="s">
        <v>18960</v>
      </c>
      <c r="N7803" t="s">
        <v>24530</v>
      </c>
      <c r="O7803" t="s">
        <v>26523</v>
      </c>
      <c r="P7803" t="s">
        <v>26560</v>
      </c>
      <c r="R7803" t="s">
        <v>26579</v>
      </c>
      <c r="S7803" t="s">
        <v>18959</v>
      </c>
      <c r="U7803" t="s">
        <v>26604</v>
      </c>
      <c r="V7803" t="s">
        <v>26610</v>
      </c>
      <c r="W7803" t="s">
        <v>810</v>
      </c>
      <c r="X7803">
        <v>1091</v>
      </c>
      <c r="Y7803" t="s">
        <v>26650</v>
      </c>
      <c r="Z7803" t="s">
        <v>26668</v>
      </c>
      <c r="AB7803" t="s">
        <v>32462</v>
      </c>
      <c r="AC7803" t="s">
        <v>36389</v>
      </c>
      <c r="AD7803" t="s">
        <v>42895</v>
      </c>
      <c r="AE7803">
        <v>0</v>
      </c>
      <c r="AF7803" t="s">
        <v>45541</v>
      </c>
      <c r="AH7803">
        <v>4</v>
      </c>
      <c r="AI7803">
        <v>1</v>
      </c>
      <c r="AJ7803">
        <v>2</v>
      </c>
      <c r="AK7803">
        <v>63.38</v>
      </c>
      <c r="AN7803" t="s">
        <v>45581</v>
      </c>
      <c r="AO7803">
        <v>13520</v>
      </c>
      <c r="AU7803">
        <v>6.8</v>
      </c>
      <c r="AV7803" t="s">
        <v>830</v>
      </c>
      <c r="AW7803" t="s">
        <v>46832</v>
      </c>
      <c r="AX7803" t="s">
        <v>46898</v>
      </c>
    </row>
    <row r="7804" spans="1:50">
      <c r="A7804" s="1">
        <f>HYPERLINK("https://lsnyc.legalserver.org/matter/dynamic-profile/view/1898583","19-1898583")</f>
        <v>0</v>
      </c>
      <c r="B7804" t="s">
        <v>170</v>
      </c>
      <c r="C7804" t="s">
        <v>340</v>
      </c>
      <c r="D7804" t="s">
        <v>810</v>
      </c>
      <c r="F7804" t="s">
        <v>954</v>
      </c>
      <c r="G7804" t="s">
        <v>3283</v>
      </c>
      <c r="H7804" t="s">
        <v>14920</v>
      </c>
      <c r="I7804" t="s">
        <v>17944</v>
      </c>
      <c r="J7804" t="s">
        <v>18894</v>
      </c>
      <c r="K7804">
        <v>11225</v>
      </c>
      <c r="L7804" t="s">
        <v>18958</v>
      </c>
      <c r="M7804" t="s">
        <v>18958</v>
      </c>
      <c r="N7804" t="s">
        <v>24531</v>
      </c>
      <c r="O7804" t="s">
        <v>26523</v>
      </c>
      <c r="P7804" t="s">
        <v>26560</v>
      </c>
      <c r="R7804" t="s">
        <v>26588</v>
      </c>
      <c r="S7804" t="s">
        <v>18959</v>
      </c>
      <c r="U7804" t="s">
        <v>26604</v>
      </c>
      <c r="W7804" t="s">
        <v>810</v>
      </c>
      <c r="X7804">
        <v>804.54</v>
      </c>
      <c r="Y7804" t="s">
        <v>26652</v>
      </c>
      <c r="Z7804" t="s">
        <v>26669</v>
      </c>
      <c r="AB7804" t="s">
        <v>29257</v>
      </c>
      <c r="AD7804" t="s">
        <v>42896</v>
      </c>
      <c r="AE7804">
        <v>0</v>
      </c>
      <c r="AH7804">
        <v>28</v>
      </c>
      <c r="AI7804">
        <v>1</v>
      </c>
      <c r="AJ7804">
        <v>2</v>
      </c>
      <c r="AK7804">
        <v>119.21</v>
      </c>
      <c r="AN7804" t="s">
        <v>7439</v>
      </c>
      <c r="AO7804">
        <v>25428</v>
      </c>
      <c r="AU7804">
        <v>3.5</v>
      </c>
      <c r="AV7804" t="s">
        <v>821</v>
      </c>
      <c r="AW7804" t="s">
        <v>281</v>
      </c>
      <c r="AX7804" t="s">
        <v>46897</v>
      </c>
    </row>
    <row r="7805" spans="1:50">
      <c r="A7805" s="1">
        <f>HYPERLINK("https://lsnyc.legalserver.org/matter/dynamic-profile/view/1898606","19-1898606")</f>
        <v>0</v>
      </c>
      <c r="B7805" t="s">
        <v>273</v>
      </c>
      <c r="C7805" t="s">
        <v>340</v>
      </c>
      <c r="D7805" t="s">
        <v>810</v>
      </c>
      <c r="F7805" t="s">
        <v>2536</v>
      </c>
      <c r="G7805" t="s">
        <v>8455</v>
      </c>
      <c r="H7805" t="s">
        <v>9749</v>
      </c>
      <c r="I7805" t="s">
        <v>17424</v>
      </c>
      <c r="J7805" t="s">
        <v>18893</v>
      </c>
      <c r="K7805">
        <v>10034</v>
      </c>
      <c r="L7805" t="s">
        <v>18958</v>
      </c>
      <c r="M7805" t="s">
        <v>18958</v>
      </c>
      <c r="P7805" t="s">
        <v>26564</v>
      </c>
      <c r="R7805" t="s">
        <v>26578</v>
      </c>
      <c r="S7805" t="s">
        <v>18959</v>
      </c>
      <c r="U7805" t="s">
        <v>26604</v>
      </c>
      <c r="W7805" t="s">
        <v>810</v>
      </c>
      <c r="X7805">
        <v>4200</v>
      </c>
      <c r="Y7805" t="s">
        <v>26651</v>
      </c>
      <c r="Z7805" t="s">
        <v>26661</v>
      </c>
      <c r="AB7805" t="s">
        <v>29956</v>
      </c>
      <c r="AD7805" t="s">
        <v>42897</v>
      </c>
      <c r="AE7805">
        <v>0</v>
      </c>
      <c r="AF7805" t="s">
        <v>45541</v>
      </c>
      <c r="AG7805" t="s">
        <v>19330</v>
      </c>
      <c r="AH7805">
        <v>1</v>
      </c>
      <c r="AI7805">
        <v>1</v>
      </c>
      <c r="AJ7805">
        <v>3</v>
      </c>
      <c r="AK7805">
        <v>271.84</v>
      </c>
      <c r="AN7805" t="s">
        <v>7439</v>
      </c>
      <c r="AO7805">
        <v>70000</v>
      </c>
      <c r="AU7805">
        <v>2.65</v>
      </c>
      <c r="AV7805" t="s">
        <v>819</v>
      </c>
      <c r="AW7805" t="s">
        <v>46840</v>
      </c>
    </row>
    <row r="7806" spans="1:50">
      <c r="A7806" s="1">
        <f>HYPERLINK("https://lsnyc.legalserver.org/matter/dynamic-profile/view/1898817","19-1898817")</f>
        <v>0</v>
      </c>
      <c r="B7806" t="s">
        <v>269</v>
      </c>
      <c r="C7806" t="s">
        <v>340</v>
      </c>
      <c r="D7806" t="s">
        <v>810</v>
      </c>
      <c r="F7806" t="s">
        <v>4071</v>
      </c>
      <c r="G7806" t="s">
        <v>8456</v>
      </c>
      <c r="H7806" t="s">
        <v>9686</v>
      </c>
      <c r="I7806" t="s">
        <v>17585</v>
      </c>
      <c r="J7806" t="s">
        <v>18892</v>
      </c>
      <c r="K7806">
        <v>10468</v>
      </c>
      <c r="L7806" t="s">
        <v>18958</v>
      </c>
      <c r="M7806" t="s">
        <v>18958</v>
      </c>
      <c r="N7806" t="s">
        <v>24532</v>
      </c>
      <c r="O7806" t="s">
        <v>26523</v>
      </c>
      <c r="P7806" t="s">
        <v>26560</v>
      </c>
      <c r="R7806" t="s">
        <v>26579</v>
      </c>
      <c r="S7806" t="s">
        <v>18959</v>
      </c>
      <c r="U7806" t="s">
        <v>26604</v>
      </c>
      <c r="V7806" t="s">
        <v>26610</v>
      </c>
      <c r="W7806" t="s">
        <v>810</v>
      </c>
      <c r="X7806">
        <v>863</v>
      </c>
      <c r="Y7806" t="s">
        <v>26650</v>
      </c>
      <c r="Z7806" t="s">
        <v>26668</v>
      </c>
      <c r="AB7806" t="s">
        <v>32463</v>
      </c>
      <c r="AC7806" t="s">
        <v>36390</v>
      </c>
      <c r="AD7806" t="s">
        <v>42898</v>
      </c>
      <c r="AE7806">
        <v>120</v>
      </c>
      <c r="AF7806" t="s">
        <v>45541</v>
      </c>
      <c r="AG7806" t="s">
        <v>45561</v>
      </c>
      <c r="AH7806">
        <v>6</v>
      </c>
      <c r="AI7806">
        <v>1</v>
      </c>
      <c r="AJ7806">
        <v>0</v>
      </c>
      <c r="AK7806">
        <v>36.12</v>
      </c>
      <c r="AN7806" t="s">
        <v>7439</v>
      </c>
      <c r="AO7806">
        <v>4512</v>
      </c>
      <c r="AU7806">
        <v>6.7</v>
      </c>
      <c r="AV7806" t="s">
        <v>838</v>
      </c>
      <c r="AW7806" t="s">
        <v>46847</v>
      </c>
      <c r="AX7806" t="s">
        <v>46898</v>
      </c>
    </row>
    <row r="7807" spans="1:50">
      <c r="A7807" s="1">
        <f>HYPERLINK("https://lsnyc.legalserver.org/matter/dynamic-profile/view/1899511","19-1899511")</f>
        <v>0</v>
      </c>
      <c r="B7807" t="s">
        <v>188</v>
      </c>
      <c r="C7807" t="s">
        <v>340</v>
      </c>
      <c r="D7807" t="s">
        <v>810</v>
      </c>
      <c r="F7807" t="s">
        <v>1708</v>
      </c>
      <c r="G7807" t="s">
        <v>5873</v>
      </c>
      <c r="H7807" t="s">
        <v>14968</v>
      </c>
      <c r="I7807">
        <v>2</v>
      </c>
      <c r="J7807" t="s">
        <v>18892</v>
      </c>
      <c r="K7807">
        <v>10466</v>
      </c>
      <c r="L7807" t="s">
        <v>18958</v>
      </c>
      <c r="M7807" t="s">
        <v>18960</v>
      </c>
      <c r="N7807" t="s">
        <v>24533</v>
      </c>
      <c r="O7807" t="s">
        <v>26523</v>
      </c>
      <c r="P7807" t="s">
        <v>26560</v>
      </c>
      <c r="R7807" t="s">
        <v>26578</v>
      </c>
      <c r="S7807" t="s">
        <v>18959</v>
      </c>
      <c r="U7807" t="s">
        <v>26604</v>
      </c>
      <c r="V7807" t="s">
        <v>26614</v>
      </c>
      <c r="W7807" t="s">
        <v>810</v>
      </c>
      <c r="X7807">
        <v>1678</v>
      </c>
      <c r="Y7807" t="s">
        <v>26650</v>
      </c>
      <c r="Z7807" t="s">
        <v>26668</v>
      </c>
      <c r="AB7807" t="s">
        <v>29704</v>
      </c>
      <c r="AC7807" t="s">
        <v>36391</v>
      </c>
      <c r="AD7807" t="s">
        <v>42899</v>
      </c>
      <c r="AE7807">
        <v>0</v>
      </c>
      <c r="AF7807" t="s">
        <v>20460</v>
      </c>
      <c r="AG7807" t="s">
        <v>45557</v>
      </c>
      <c r="AH7807">
        <v>0</v>
      </c>
      <c r="AI7807">
        <v>2</v>
      </c>
      <c r="AJ7807">
        <v>5</v>
      </c>
      <c r="AK7807">
        <v>22.46</v>
      </c>
      <c r="AN7807" t="s">
        <v>7439</v>
      </c>
      <c r="AO7807">
        <v>8762</v>
      </c>
      <c r="AU7807">
        <v>2.8</v>
      </c>
      <c r="AV7807" t="s">
        <v>821</v>
      </c>
      <c r="AW7807" t="s">
        <v>188</v>
      </c>
      <c r="AX7807" t="s">
        <v>46898</v>
      </c>
    </row>
    <row r="7808" spans="1:50">
      <c r="A7808" s="1">
        <f>HYPERLINK("https://lsnyc.legalserver.org/matter/dynamic-profile/view/1898561","19-1898561")</f>
        <v>0</v>
      </c>
      <c r="B7808" t="s">
        <v>194</v>
      </c>
      <c r="C7808" t="s">
        <v>340</v>
      </c>
      <c r="D7808" t="s">
        <v>810</v>
      </c>
      <c r="F7808" t="s">
        <v>4072</v>
      </c>
      <c r="G7808" t="s">
        <v>8457</v>
      </c>
      <c r="H7808" t="s">
        <v>14969</v>
      </c>
      <c r="I7808" t="s">
        <v>17293</v>
      </c>
      <c r="J7808" t="s">
        <v>18893</v>
      </c>
      <c r="K7808">
        <v>10031</v>
      </c>
      <c r="L7808" t="s">
        <v>18958</v>
      </c>
      <c r="M7808" t="s">
        <v>18960</v>
      </c>
      <c r="N7808" t="s">
        <v>24534</v>
      </c>
      <c r="O7808" t="s">
        <v>26523</v>
      </c>
      <c r="P7808" t="s">
        <v>26560</v>
      </c>
      <c r="R7808" t="s">
        <v>26580</v>
      </c>
      <c r="S7808" t="s">
        <v>18959</v>
      </c>
      <c r="U7808" t="s">
        <v>26604</v>
      </c>
      <c r="W7808" t="s">
        <v>810</v>
      </c>
      <c r="X7808">
        <v>1638</v>
      </c>
      <c r="Y7808" t="s">
        <v>26651</v>
      </c>
      <c r="Z7808" t="s">
        <v>26668</v>
      </c>
      <c r="AB7808" t="s">
        <v>32464</v>
      </c>
      <c r="AC7808" t="s">
        <v>36392</v>
      </c>
      <c r="AD7808" t="s">
        <v>42900</v>
      </c>
      <c r="AE7808">
        <v>0</v>
      </c>
      <c r="AF7808" t="s">
        <v>45541</v>
      </c>
      <c r="AG7808" t="s">
        <v>45559</v>
      </c>
      <c r="AH7808">
        <v>15</v>
      </c>
      <c r="AI7808">
        <v>1</v>
      </c>
      <c r="AJ7808">
        <v>0</v>
      </c>
      <c r="AK7808">
        <v>115.29</v>
      </c>
      <c r="AN7808" t="s">
        <v>7439</v>
      </c>
      <c r="AO7808">
        <v>14400</v>
      </c>
      <c r="AU7808">
        <v>10.5</v>
      </c>
      <c r="AV7808" t="s">
        <v>839</v>
      </c>
      <c r="AW7808" t="s">
        <v>46875</v>
      </c>
    </row>
    <row r="7809" spans="1:50">
      <c r="A7809" s="1">
        <f>HYPERLINK("https://lsnyc.legalserver.org/matter/dynamic-profile/view/1898554","19-1898554")</f>
        <v>0</v>
      </c>
      <c r="B7809" t="s">
        <v>173</v>
      </c>
      <c r="C7809" t="s">
        <v>340</v>
      </c>
      <c r="D7809" t="s">
        <v>810</v>
      </c>
      <c r="F7809" t="s">
        <v>4073</v>
      </c>
      <c r="G7809" t="s">
        <v>7482</v>
      </c>
      <c r="H7809" t="s">
        <v>10255</v>
      </c>
      <c r="I7809" t="s">
        <v>18507</v>
      </c>
      <c r="J7809" t="s">
        <v>18893</v>
      </c>
      <c r="K7809">
        <v>10027</v>
      </c>
      <c r="L7809" t="s">
        <v>18958</v>
      </c>
      <c r="M7809" t="s">
        <v>18958</v>
      </c>
      <c r="N7809" t="s">
        <v>24535</v>
      </c>
      <c r="O7809" t="s">
        <v>26523</v>
      </c>
      <c r="P7809" t="s">
        <v>26560</v>
      </c>
      <c r="R7809" t="s">
        <v>26580</v>
      </c>
      <c r="S7809" t="s">
        <v>18959</v>
      </c>
      <c r="U7809" t="s">
        <v>26605</v>
      </c>
      <c r="W7809" t="s">
        <v>810</v>
      </c>
      <c r="X7809">
        <v>339</v>
      </c>
      <c r="Y7809" t="s">
        <v>26651</v>
      </c>
      <c r="Z7809" t="s">
        <v>26664</v>
      </c>
      <c r="AB7809" t="s">
        <v>32465</v>
      </c>
      <c r="AC7809" t="s">
        <v>36393</v>
      </c>
      <c r="AD7809" t="s">
        <v>42901</v>
      </c>
      <c r="AE7809">
        <v>0</v>
      </c>
      <c r="AF7809" t="s">
        <v>45549</v>
      </c>
      <c r="AG7809" t="s">
        <v>19330</v>
      </c>
      <c r="AH7809">
        <v>4</v>
      </c>
      <c r="AI7809">
        <v>1</v>
      </c>
      <c r="AJ7809">
        <v>1</v>
      </c>
      <c r="AK7809">
        <v>63.67</v>
      </c>
      <c r="AN7809" t="s">
        <v>7439</v>
      </c>
      <c r="AO7809">
        <v>10766</v>
      </c>
      <c r="AU7809">
        <v>0.3</v>
      </c>
      <c r="AV7809" t="s">
        <v>797</v>
      </c>
      <c r="AW7809" t="s">
        <v>46875</v>
      </c>
    </row>
    <row r="7810" spans="1:50">
      <c r="A7810" s="1">
        <f>HYPERLINK("https://lsnyc.legalserver.org/matter/dynamic-profile/view/1898664","19-1898664")</f>
        <v>0</v>
      </c>
      <c r="B7810" t="s">
        <v>180</v>
      </c>
      <c r="C7810" t="s">
        <v>340</v>
      </c>
      <c r="D7810" t="s">
        <v>769</v>
      </c>
      <c r="F7810" t="s">
        <v>1602</v>
      </c>
      <c r="G7810" t="s">
        <v>8458</v>
      </c>
      <c r="H7810" t="s">
        <v>14970</v>
      </c>
      <c r="I7810" t="s">
        <v>17307</v>
      </c>
      <c r="J7810" t="s">
        <v>18894</v>
      </c>
      <c r="K7810">
        <v>11221</v>
      </c>
      <c r="L7810" t="s">
        <v>18958</v>
      </c>
      <c r="M7810" t="s">
        <v>18958</v>
      </c>
      <c r="N7810" t="s">
        <v>24536</v>
      </c>
      <c r="O7810" t="s">
        <v>26523</v>
      </c>
      <c r="P7810" t="s">
        <v>26560</v>
      </c>
      <c r="R7810" t="s">
        <v>26588</v>
      </c>
      <c r="S7810" t="s">
        <v>18959</v>
      </c>
      <c r="U7810" t="s">
        <v>26604</v>
      </c>
      <c r="W7810" t="s">
        <v>810</v>
      </c>
      <c r="X7810">
        <v>0</v>
      </c>
      <c r="Y7810" t="s">
        <v>26652</v>
      </c>
      <c r="Z7810" t="s">
        <v>26669</v>
      </c>
      <c r="AB7810" t="s">
        <v>32466</v>
      </c>
      <c r="AD7810" t="s">
        <v>42902</v>
      </c>
      <c r="AE7810">
        <v>0</v>
      </c>
      <c r="AH7810">
        <v>3</v>
      </c>
      <c r="AI7810">
        <v>2</v>
      </c>
      <c r="AJ7810">
        <v>0</v>
      </c>
      <c r="AK7810">
        <v>331.16</v>
      </c>
      <c r="AN7810" t="s">
        <v>7439</v>
      </c>
      <c r="AO7810">
        <v>56000</v>
      </c>
      <c r="AU7810">
        <v>0.8</v>
      </c>
      <c r="AV7810" t="s">
        <v>805</v>
      </c>
      <c r="AW7810" t="s">
        <v>281</v>
      </c>
      <c r="AX7810" t="s">
        <v>46897</v>
      </c>
    </row>
    <row r="7811" spans="1:50">
      <c r="A7811" s="1">
        <f>HYPERLINK("https://lsnyc.legalserver.org/matter/dynamic-profile/view/1898919","19-1898919")</f>
        <v>0</v>
      </c>
      <c r="B7811" t="s">
        <v>242</v>
      </c>
      <c r="C7811" t="s">
        <v>341</v>
      </c>
      <c r="D7811" t="s">
        <v>770</v>
      </c>
      <c r="E7811" t="s">
        <v>805</v>
      </c>
      <c r="F7811" t="s">
        <v>4074</v>
      </c>
      <c r="G7811" t="s">
        <v>4612</v>
      </c>
      <c r="H7811" t="s">
        <v>14971</v>
      </c>
      <c r="I7811" t="s">
        <v>18508</v>
      </c>
      <c r="J7811" t="s">
        <v>18894</v>
      </c>
      <c r="K7811">
        <v>11213</v>
      </c>
      <c r="L7811" t="s">
        <v>18958</v>
      </c>
      <c r="M7811" t="s">
        <v>18958</v>
      </c>
      <c r="N7811" t="s">
        <v>24537</v>
      </c>
      <c r="O7811" t="s">
        <v>26523</v>
      </c>
      <c r="P7811" t="s">
        <v>26564</v>
      </c>
      <c r="Q7811" t="s">
        <v>26570</v>
      </c>
      <c r="R7811" t="s">
        <v>26586</v>
      </c>
      <c r="S7811" t="s">
        <v>18959</v>
      </c>
      <c r="U7811" t="s">
        <v>26604</v>
      </c>
      <c r="W7811" t="s">
        <v>810</v>
      </c>
      <c r="X7811">
        <v>1324</v>
      </c>
      <c r="Y7811" t="s">
        <v>26652</v>
      </c>
      <c r="Z7811" t="s">
        <v>26664</v>
      </c>
      <c r="AA7811" t="s">
        <v>26683</v>
      </c>
      <c r="AB7811" t="s">
        <v>27275</v>
      </c>
      <c r="AD7811" t="s">
        <v>42903</v>
      </c>
      <c r="AE7811">
        <v>8</v>
      </c>
      <c r="AF7811" t="s">
        <v>45541</v>
      </c>
      <c r="AH7811">
        <v>3</v>
      </c>
      <c r="AI7811">
        <v>1</v>
      </c>
      <c r="AJ7811">
        <v>0</v>
      </c>
      <c r="AK7811">
        <v>152.12</v>
      </c>
      <c r="AN7811" t="s">
        <v>7439</v>
      </c>
      <c r="AO7811">
        <v>19000</v>
      </c>
      <c r="AU7811">
        <v>0.4</v>
      </c>
      <c r="AV7811" t="s">
        <v>809</v>
      </c>
      <c r="AW7811" t="s">
        <v>46853</v>
      </c>
      <c r="AX7811" t="s">
        <v>46897</v>
      </c>
    </row>
    <row r="7812" spans="1:50">
      <c r="A7812" s="1">
        <f>HYPERLINK("https://lsnyc.legalserver.org/matter/dynamic-profile/view/1898892","19-1898892")</f>
        <v>0</v>
      </c>
      <c r="B7812" t="s">
        <v>230</v>
      </c>
      <c r="C7812" t="s">
        <v>340</v>
      </c>
      <c r="D7812" t="s">
        <v>770</v>
      </c>
      <c r="F7812" t="s">
        <v>2585</v>
      </c>
      <c r="G7812" t="s">
        <v>8459</v>
      </c>
      <c r="H7812" t="s">
        <v>14972</v>
      </c>
      <c r="I7812" t="s">
        <v>17343</v>
      </c>
      <c r="J7812" t="s">
        <v>18894</v>
      </c>
      <c r="K7812">
        <v>11226</v>
      </c>
      <c r="L7812" t="s">
        <v>18958</v>
      </c>
      <c r="M7812" t="s">
        <v>18958</v>
      </c>
      <c r="N7812" t="s">
        <v>24538</v>
      </c>
      <c r="O7812" t="s">
        <v>26523</v>
      </c>
      <c r="P7812" t="s">
        <v>26563</v>
      </c>
      <c r="R7812" t="s">
        <v>26588</v>
      </c>
      <c r="U7812" t="s">
        <v>26604</v>
      </c>
      <c r="W7812" t="s">
        <v>810</v>
      </c>
      <c r="X7812">
        <v>1028</v>
      </c>
      <c r="Y7812" t="s">
        <v>26652</v>
      </c>
      <c r="Z7812" t="s">
        <v>26664</v>
      </c>
      <c r="AB7812" t="s">
        <v>29657</v>
      </c>
      <c r="AD7812" t="s">
        <v>42904</v>
      </c>
      <c r="AE7812">
        <v>95</v>
      </c>
      <c r="AG7812" t="s">
        <v>19330</v>
      </c>
      <c r="AH7812">
        <v>21</v>
      </c>
      <c r="AI7812">
        <v>4</v>
      </c>
      <c r="AJ7812">
        <v>1</v>
      </c>
      <c r="AK7812">
        <v>165.73</v>
      </c>
      <c r="AN7812" t="s">
        <v>7439</v>
      </c>
      <c r="AO7812">
        <v>50000</v>
      </c>
      <c r="AU7812">
        <v>12.9</v>
      </c>
      <c r="AV7812" t="s">
        <v>835</v>
      </c>
      <c r="AW7812" t="s">
        <v>46862</v>
      </c>
      <c r="AX7812" t="s">
        <v>46897</v>
      </c>
    </row>
    <row r="7813" spans="1:50">
      <c r="A7813" s="1">
        <f>HYPERLINK("https://lsnyc.legalserver.org/matter/dynamic-profile/view/1898897","19-1898897")</f>
        <v>0</v>
      </c>
      <c r="B7813" t="s">
        <v>117</v>
      </c>
      <c r="C7813" t="s">
        <v>340</v>
      </c>
      <c r="D7813" t="s">
        <v>770</v>
      </c>
      <c r="F7813" t="s">
        <v>2372</v>
      </c>
      <c r="G7813" t="s">
        <v>3036</v>
      </c>
      <c r="H7813" t="s">
        <v>10369</v>
      </c>
      <c r="I7813" t="s">
        <v>18317</v>
      </c>
      <c r="J7813" t="s">
        <v>18894</v>
      </c>
      <c r="K7813">
        <v>11233</v>
      </c>
      <c r="L7813" t="s">
        <v>18958</v>
      </c>
      <c r="M7813" t="s">
        <v>18958</v>
      </c>
      <c r="N7813" t="s">
        <v>24539</v>
      </c>
      <c r="O7813" t="s">
        <v>26523</v>
      </c>
      <c r="P7813" t="s">
        <v>26560</v>
      </c>
      <c r="R7813" t="s">
        <v>26578</v>
      </c>
      <c r="S7813" t="s">
        <v>18959</v>
      </c>
      <c r="U7813" t="s">
        <v>26604</v>
      </c>
      <c r="W7813" t="s">
        <v>810</v>
      </c>
      <c r="X7813">
        <v>850</v>
      </c>
      <c r="Y7813" t="s">
        <v>26652</v>
      </c>
      <c r="Z7813" t="s">
        <v>26664</v>
      </c>
      <c r="AB7813" t="s">
        <v>32467</v>
      </c>
      <c r="AC7813" t="s">
        <v>36394</v>
      </c>
      <c r="AE7813">
        <v>107</v>
      </c>
      <c r="AF7813" t="s">
        <v>45551</v>
      </c>
      <c r="AH7813">
        <v>0</v>
      </c>
      <c r="AI7813">
        <v>1</v>
      </c>
      <c r="AJ7813">
        <v>3</v>
      </c>
      <c r="AK7813">
        <v>57.18</v>
      </c>
      <c r="AN7813" t="s">
        <v>7439</v>
      </c>
      <c r="AO7813">
        <v>14724</v>
      </c>
      <c r="AU7813">
        <v>5.3</v>
      </c>
      <c r="AV7813" t="s">
        <v>829</v>
      </c>
      <c r="AW7813" t="s">
        <v>46853</v>
      </c>
      <c r="AX7813" t="s">
        <v>46897</v>
      </c>
    </row>
    <row r="7814" spans="1:50">
      <c r="A7814" s="1">
        <f>HYPERLINK("https://lsnyc.legalserver.org/matter/dynamic-profile/view/1898887","19-1898887")</f>
        <v>0</v>
      </c>
      <c r="B7814" t="s">
        <v>180</v>
      </c>
      <c r="C7814" t="s">
        <v>340</v>
      </c>
      <c r="D7814" t="s">
        <v>770</v>
      </c>
      <c r="F7814" t="s">
        <v>995</v>
      </c>
      <c r="G7814" t="s">
        <v>7842</v>
      </c>
      <c r="H7814" t="s">
        <v>14973</v>
      </c>
      <c r="I7814" t="s">
        <v>17344</v>
      </c>
      <c r="J7814" t="s">
        <v>18894</v>
      </c>
      <c r="K7814">
        <v>11218</v>
      </c>
      <c r="L7814" t="s">
        <v>18958</v>
      </c>
      <c r="M7814" t="s">
        <v>18958</v>
      </c>
      <c r="N7814" t="s">
        <v>24540</v>
      </c>
      <c r="O7814" t="s">
        <v>26523</v>
      </c>
      <c r="P7814" t="s">
        <v>26560</v>
      </c>
      <c r="R7814" t="s">
        <v>26586</v>
      </c>
      <c r="S7814" t="s">
        <v>18959</v>
      </c>
      <c r="U7814" t="s">
        <v>26604</v>
      </c>
      <c r="W7814" t="s">
        <v>810</v>
      </c>
      <c r="X7814">
        <v>1070</v>
      </c>
      <c r="Y7814" t="s">
        <v>26652</v>
      </c>
      <c r="Z7814" t="s">
        <v>26664</v>
      </c>
      <c r="AB7814" t="s">
        <v>32468</v>
      </c>
      <c r="AD7814" t="s">
        <v>42905</v>
      </c>
      <c r="AE7814">
        <v>0</v>
      </c>
      <c r="AH7814">
        <v>0</v>
      </c>
      <c r="AI7814">
        <v>2</v>
      </c>
      <c r="AJ7814">
        <v>0</v>
      </c>
      <c r="AK7814">
        <v>83.95</v>
      </c>
      <c r="AN7814" t="s">
        <v>7439</v>
      </c>
      <c r="AO7814">
        <v>14196</v>
      </c>
      <c r="AU7814">
        <v>18.3</v>
      </c>
      <c r="AV7814" t="s">
        <v>833</v>
      </c>
      <c r="AW7814" t="s">
        <v>281</v>
      </c>
      <c r="AX7814" t="s">
        <v>46897</v>
      </c>
    </row>
    <row r="7815" spans="1:50">
      <c r="A7815" s="1">
        <f>HYPERLINK("https://lsnyc.legalserver.org/matter/dynamic-profile/view/1898837","19-1898837")</f>
        <v>0</v>
      </c>
      <c r="B7815" t="s">
        <v>180</v>
      </c>
      <c r="C7815" t="s">
        <v>340</v>
      </c>
      <c r="D7815" t="s">
        <v>770</v>
      </c>
      <c r="F7815" t="s">
        <v>4075</v>
      </c>
      <c r="G7815" t="s">
        <v>7694</v>
      </c>
      <c r="H7815" t="s">
        <v>14974</v>
      </c>
      <c r="I7815" t="s">
        <v>17327</v>
      </c>
      <c r="J7815" t="s">
        <v>18894</v>
      </c>
      <c r="K7815">
        <v>11230</v>
      </c>
      <c r="L7815" t="s">
        <v>18958</v>
      </c>
      <c r="M7815" t="s">
        <v>18958</v>
      </c>
      <c r="N7815" t="s">
        <v>24541</v>
      </c>
      <c r="O7815" t="s">
        <v>26523</v>
      </c>
      <c r="P7815" t="s">
        <v>26560</v>
      </c>
      <c r="R7815" t="s">
        <v>26586</v>
      </c>
      <c r="U7815" t="s">
        <v>26604</v>
      </c>
      <c r="W7815" t="s">
        <v>810</v>
      </c>
      <c r="X7815">
        <v>0</v>
      </c>
      <c r="Y7815" t="s">
        <v>26652</v>
      </c>
      <c r="AB7815" t="s">
        <v>32469</v>
      </c>
      <c r="AC7815" t="s">
        <v>36395</v>
      </c>
      <c r="AD7815" t="s">
        <v>42906</v>
      </c>
      <c r="AE7815">
        <v>0</v>
      </c>
      <c r="AH7815">
        <v>0</v>
      </c>
      <c r="AI7815">
        <v>2</v>
      </c>
      <c r="AJ7815">
        <v>1</v>
      </c>
      <c r="AK7815">
        <v>121.89</v>
      </c>
      <c r="AN7815" t="s">
        <v>7439</v>
      </c>
      <c r="AO7815">
        <v>26000</v>
      </c>
      <c r="AU7815">
        <v>8.800000000000001</v>
      </c>
      <c r="AV7815" t="s">
        <v>835</v>
      </c>
      <c r="AW7815" t="s">
        <v>46862</v>
      </c>
      <c r="AX7815" t="s">
        <v>46897</v>
      </c>
    </row>
    <row r="7816" spans="1:50">
      <c r="A7816" s="1">
        <f>HYPERLINK("https://lsnyc.legalserver.org/matter/dynamic-profile/view/1898893","19-1898893")</f>
        <v>0</v>
      </c>
      <c r="B7816" t="s">
        <v>180</v>
      </c>
      <c r="C7816" t="s">
        <v>340</v>
      </c>
      <c r="D7816" t="s">
        <v>770</v>
      </c>
      <c r="F7816" t="s">
        <v>4076</v>
      </c>
      <c r="G7816" t="s">
        <v>3283</v>
      </c>
      <c r="H7816" t="s">
        <v>14975</v>
      </c>
      <c r="I7816" t="s">
        <v>17284</v>
      </c>
      <c r="J7816" t="s">
        <v>18894</v>
      </c>
      <c r="K7816">
        <v>11207</v>
      </c>
      <c r="L7816" t="s">
        <v>18958</v>
      </c>
      <c r="M7816" t="s">
        <v>18958</v>
      </c>
      <c r="N7816" t="s">
        <v>24542</v>
      </c>
      <c r="O7816" t="s">
        <v>26523</v>
      </c>
      <c r="P7816" t="s">
        <v>26563</v>
      </c>
      <c r="R7816" t="s">
        <v>26586</v>
      </c>
      <c r="S7816" t="s">
        <v>18959</v>
      </c>
      <c r="U7816" t="s">
        <v>26605</v>
      </c>
      <c r="W7816" t="s">
        <v>810</v>
      </c>
      <c r="X7816">
        <v>581</v>
      </c>
      <c r="Y7816" t="s">
        <v>26652</v>
      </c>
      <c r="AB7816" t="s">
        <v>32470</v>
      </c>
      <c r="AD7816" t="s">
        <v>42907</v>
      </c>
      <c r="AE7816">
        <v>0</v>
      </c>
      <c r="AF7816" t="s">
        <v>45549</v>
      </c>
      <c r="AH7816">
        <v>0</v>
      </c>
      <c r="AI7816">
        <v>2</v>
      </c>
      <c r="AJ7816">
        <v>0</v>
      </c>
      <c r="AK7816">
        <v>184.51</v>
      </c>
      <c r="AN7816" t="s">
        <v>7439</v>
      </c>
      <c r="AO7816">
        <v>31200</v>
      </c>
      <c r="AU7816">
        <v>0.2</v>
      </c>
      <c r="AV7816" t="s">
        <v>823</v>
      </c>
      <c r="AW7816" t="s">
        <v>281</v>
      </c>
      <c r="AX7816" t="s">
        <v>46897</v>
      </c>
    </row>
    <row r="7817" spans="1:50">
      <c r="A7817" s="1">
        <f>HYPERLINK("https://lsnyc.legalserver.org/matter/dynamic-profile/view/1898872","19-1898872")</f>
        <v>0</v>
      </c>
      <c r="B7817" t="s">
        <v>180</v>
      </c>
      <c r="C7817" t="s">
        <v>340</v>
      </c>
      <c r="D7817" t="s">
        <v>770</v>
      </c>
      <c r="F7817" t="s">
        <v>1964</v>
      </c>
      <c r="G7817" t="s">
        <v>7682</v>
      </c>
      <c r="H7817" t="s">
        <v>14976</v>
      </c>
      <c r="I7817" t="s">
        <v>17362</v>
      </c>
      <c r="J7817" t="s">
        <v>18894</v>
      </c>
      <c r="K7817">
        <v>11225</v>
      </c>
      <c r="L7817" t="s">
        <v>18958</v>
      </c>
      <c r="M7817" t="s">
        <v>18958</v>
      </c>
      <c r="N7817" t="s">
        <v>24543</v>
      </c>
      <c r="O7817" t="s">
        <v>26523</v>
      </c>
      <c r="P7817" t="s">
        <v>26560</v>
      </c>
      <c r="R7817" t="s">
        <v>26588</v>
      </c>
      <c r="S7817" t="s">
        <v>18959</v>
      </c>
      <c r="U7817" t="s">
        <v>26604</v>
      </c>
      <c r="W7817" t="s">
        <v>810</v>
      </c>
      <c r="X7817">
        <v>841.1900000000001</v>
      </c>
      <c r="Y7817" t="s">
        <v>26652</v>
      </c>
      <c r="Z7817" t="s">
        <v>26669</v>
      </c>
      <c r="AB7817" t="s">
        <v>32471</v>
      </c>
      <c r="AE7817">
        <v>0</v>
      </c>
      <c r="AH7817">
        <v>0</v>
      </c>
      <c r="AI7817">
        <v>1</v>
      </c>
      <c r="AJ7817">
        <v>0</v>
      </c>
      <c r="AK7817">
        <v>57.65</v>
      </c>
      <c r="AN7817" t="s">
        <v>7439</v>
      </c>
      <c r="AO7817">
        <v>7200</v>
      </c>
      <c r="AU7817">
        <v>3.9</v>
      </c>
      <c r="AV7817" t="s">
        <v>839</v>
      </c>
      <c r="AW7817" t="s">
        <v>281</v>
      </c>
      <c r="AX7817" t="s">
        <v>46897</v>
      </c>
    </row>
    <row r="7818" spans="1:50">
      <c r="A7818" s="1">
        <f>HYPERLINK("https://lsnyc.legalserver.org/matter/dynamic-profile/view/1898878","19-1898878")</f>
        <v>0</v>
      </c>
      <c r="B7818" t="s">
        <v>242</v>
      </c>
      <c r="C7818" t="s">
        <v>340</v>
      </c>
      <c r="D7818" t="s">
        <v>770</v>
      </c>
      <c r="F7818" t="s">
        <v>891</v>
      </c>
      <c r="G7818" t="s">
        <v>5313</v>
      </c>
      <c r="H7818" t="s">
        <v>14977</v>
      </c>
      <c r="I7818" t="s">
        <v>18509</v>
      </c>
      <c r="J7818" t="s">
        <v>18894</v>
      </c>
      <c r="K7818">
        <v>11221</v>
      </c>
      <c r="L7818" t="s">
        <v>18958</v>
      </c>
      <c r="M7818" t="s">
        <v>18958</v>
      </c>
      <c r="N7818" t="s">
        <v>24544</v>
      </c>
      <c r="O7818" t="s">
        <v>26524</v>
      </c>
      <c r="R7818" t="s">
        <v>26588</v>
      </c>
      <c r="U7818" t="s">
        <v>26604</v>
      </c>
      <c r="W7818" t="s">
        <v>810</v>
      </c>
      <c r="X7818">
        <v>0</v>
      </c>
      <c r="Y7818" t="s">
        <v>26652</v>
      </c>
      <c r="Z7818" t="s">
        <v>26669</v>
      </c>
      <c r="AB7818" t="s">
        <v>32472</v>
      </c>
      <c r="AD7818" t="s">
        <v>42908</v>
      </c>
      <c r="AE7818">
        <v>0</v>
      </c>
      <c r="AH7818">
        <v>0</v>
      </c>
      <c r="AI7818">
        <v>2</v>
      </c>
      <c r="AJ7818">
        <v>3</v>
      </c>
      <c r="AK7818">
        <v>50.94</v>
      </c>
      <c r="AN7818" t="s">
        <v>7439</v>
      </c>
      <c r="AO7818">
        <v>15370</v>
      </c>
      <c r="AU7818">
        <v>5.3</v>
      </c>
      <c r="AV7818" t="s">
        <v>773</v>
      </c>
      <c r="AW7818" t="s">
        <v>46853</v>
      </c>
      <c r="AX7818" t="s">
        <v>46897</v>
      </c>
    </row>
    <row r="7819" spans="1:50">
      <c r="A7819" s="1">
        <f>HYPERLINK("https://lsnyc.legalserver.org/matter/dynamic-profile/view/1898870","19-1898870")</f>
        <v>0</v>
      </c>
      <c r="B7819" t="s">
        <v>257</v>
      </c>
      <c r="C7819" t="s">
        <v>340</v>
      </c>
      <c r="D7819" t="s">
        <v>770</v>
      </c>
      <c r="F7819" t="s">
        <v>1495</v>
      </c>
      <c r="G7819" t="s">
        <v>8460</v>
      </c>
      <c r="H7819" t="s">
        <v>14978</v>
      </c>
      <c r="I7819" t="s">
        <v>18365</v>
      </c>
      <c r="J7819" t="s">
        <v>18894</v>
      </c>
      <c r="K7819">
        <v>11235</v>
      </c>
      <c r="L7819" t="s">
        <v>18958</v>
      </c>
      <c r="M7819" t="s">
        <v>18958</v>
      </c>
      <c r="N7819" t="s">
        <v>24545</v>
      </c>
      <c r="O7819" t="s">
        <v>26523</v>
      </c>
      <c r="P7819" t="s">
        <v>26560</v>
      </c>
      <c r="R7819" t="s">
        <v>26586</v>
      </c>
      <c r="U7819" t="s">
        <v>26604</v>
      </c>
      <c r="W7819" t="s">
        <v>810</v>
      </c>
      <c r="X7819">
        <v>550</v>
      </c>
      <c r="Y7819" t="s">
        <v>26652</v>
      </c>
      <c r="Z7819" t="s">
        <v>26664</v>
      </c>
      <c r="AB7819" t="s">
        <v>27011</v>
      </c>
      <c r="AC7819" t="s">
        <v>36396</v>
      </c>
      <c r="AD7819" t="s">
        <v>42909</v>
      </c>
      <c r="AE7819">
        <v>0</v>
      </c>
      <c r="AH7819">
        <v>0</v>
      </c>
      <c r="AI7819">
        <v>2</v>
      </c>
      <c r="AJ7819">
        <v>0</v>
      </c>
      <c r="AK7819">
        <v>54.71</v>
      </c>
      <c r="AN7819" t="s">
        <v>7439</v>
      </c>
      <c r="AO7819">
        <v>9252</v>
      </c>
      <c r="AU7819">
        <v>13.2</v>
      </c>
      <c r="AV7819" t="s">
        <v>821</v>
      </c>
      <c r="AW7819" t="s">
        <v>46853</v>
      </c>
      <c r="AX7819" t="s">
        <v>46897</v>
      </c>
    </row>
    <row r="7820" spans="1:50">
      <c r="A7820" s="1">
        <f>HYPERLINK("https://lsnyc.legalserver.org/matter/dynamic-profile/view/1898866","19-1898866")</f>
        <v>0</v>
      </c>
      <c r="B7820" t="s">
        <v>158</v>
      </c>
      <c r="C7820" t="s">
        <v>340</v>
      </c>
      <c r="D7820" t="s">
        <v>770</v>
      </c>
      <c r="F7820" t="s">
        <v>2456</v>
      </c>
      <c r="G7820" t="s">
        <v>8461</v>
      </c>
      <c r="H7820" t="s">
        <v>14979</v>
      </c>
      <c r="I7820">
        <v>1</v>
      </c>
      <c r="J7820" t="s">
        <v>18894</v>
      </c>
      <c r="K7820">
        <v>11209</v>
      </c>
      <c r="L7820" t="s">
        <v>18958</v>
      </c>
      <c r="M7820" t="s">
        <v>18958</v>
      </c>
      <c r="N7820" t="s">
        <v>24546</v>
      </c>
      <c r="O7820" t="s">
        <v>26523</v>
      </c>
      <c r="P7820" t="s">
        <v>26564</v>
      </c>
      <c r="R7820" t="s">
        <v>26586</v>
      </c>
      <c r="S7820" t="s">
        <v>18959</v>
      </c>
      <c r="U7820" t="s">
        <v>26604</v>
      </c>
      <c r="W7820" t="s">
        <v>810</v>
      </c>
      <c r="X7820">
        <v>0</v>
      </c>
      <c r="Y7820" t="s">
        <v>26652</v>
      </c>
      <c r="Z7820" t="s">
        <v>26664</v>
      </c>
      <c r="AB7820" t="s">
        <v>32473</v>
      </c>
      <c r="AD7820" t="s">
        <v>42910</v>
      </c>
      <c r="AE7820">
        <v>0</v>
      </c>
      <c r="AH7820">
        <v>0</v>
      </c>
      <c r="AI7820">
        <v>1</v>
      </c>
      <c r="AJ7820">
        <v>0</v>
      </c>
      <c r="AK7820">
        <v>133.07</v>
      </c>
      <c r="AN7820" t="s">
        <v>7439</v>
      </c>
      <c r="AO7820">
        <v>16620</v>
      </c>
      <c r="AU7820">
        <v>4.8</v>
      </c>
      <c r="AV7820" t="s">
        <v>820</v>
      </c>
      <c r="AW7820" t="s">
        <v>281</v>
      </c>
      <c r="AX7820" t="s">
        <v>46897</v>
      </c>
    </row>
    <row r="7821" spans="1:50">
      <c r="A7821" s="1">
        <f>HYPERLINK("https://lsnyc.legalserver.org/matter/dynamic-profile/view/1898881","19-1898881")</f>
        <v>0</v>
      </c>
      <c r="B7821" t="s">
        <v>158</v>
      </c>
      <c r="C7821" t="s">
        <v>340</v>
      </c>
      <c r="D7821" t="s">
        <v>770</v>
      </c>
      <c r="F7821" t="s">
        <v>887</v>
      </c>
      <c r="G7821" t="s">
        <v>5121</v>
      </c>
      <c r="H7821" t="s">
        <v>14980</v>
      </c>
      <c r="J7821" t="s">
        <v>18894</v>
      </c>
      <c r="K7821">
        <v>11208</v>
      </c>
      <c r="L7821" t="s">
        <v>18958</v>
      </c>
      <c r="M7821" t="s">
        <v>18958</v>
      </c>
      <c r="N7821" t="s">
        <v>24547</v>
      </c>
      <c r="O7821" t="s">
        <v>26524</v>
      </c>
      <c r="P7821" t="s">
        <v>26564</v>
      </c>
      <c r="R7821" t="s">
        <v>26586</v>
      </c>
      <c r="S7821" t="s">
        <v>18959</v>
      </c>
      <c r="U7821" t="s">
        <v>26604</v>
      </c>
      <c r="V7821" t="s">
        <v>26612</v>
      </c>
      <c r="W7821" t="s">
        <v>810</v>
      </c>
      <c r="X7821">
        <v>1300</v>
      </c>
      <c r="Y7821" t="s">
        <v>26652</v>
      </c>
      <c r="Z7821" t="s">
        <v>26664</v>
      </c>
      <c r="AB7821" t="s">
        <v>32474</v>
      </c>
      <c r="AD7821" t="s">
        <v>42911</v>
      </c>
      <c r="AE7821">
        <v>3</v>
      </c>
      <c r="AF7821" t="s">
        <v>45547</v>
      </c>
      <c r="AH7821">
        <v>0</v>
      </c>
      <c r="AI7821">
        <v>2</v>
      </c>
      <c r="AJ7821">
        <v>0</v>
      </c>
      <c r="AK7821">
        <v>147.25</v>
      </c>
      <c r="AN7821" t="s">
        <v>7439</v>
      </c>
      <c r="AO7821">
        <v>24900</v>
      </c>
      <c r="AU7821">
        <v>1.5</v>
      </c>
      <c r="AV7821" t="s">
        <v>769</v>
      </c>
      <c r="AW7821" t="s">
        <v>281</v>
      </c>
      <c r="AX7821" t="s">
        <v>46897</v>
      </c>
    </row>
    <row r="7822" spans="1:50">
      <c r="A7822" s="1">
        <f>HYPERLINK("https://lsnyc.legalserver.org/matter/dynamic-profile/view/1898862","19-1898862")</f>
        <v>0</v>
      </c>
      <c r="B7822" t="s">
        <v>232</v>
      </c>
      <c r="C7822" t="s">
        <v>340</v>
      </c>
      <c r="D7822" t="s">
        <v>770</v>
      </c>
      <c r="F7822" t="s">
        <v>2523</v>
      </c>
      <c r="G7822" t="s">
        <v>8462</v>
      </c>
      <c r="H7822" t="s">
        <v>11236</v>
      </c>
      <c r="I7822" t="s">
        <v>18510</v>
      </c>
      <c r="J7822" t="s">
        <v>18894</v>
      </c>
      <c r="K7822">
        <v>11203</v>
      </c>
      <c r="L7822" t="s">
        <v>18958</v>
      </c>
      <c r="M7822" t="s">
        <v>18958</v>
      </c>
      <c r="N7822" t="s">
        <v>24548</v>
      </c>
      <c r="O7822" t="s">
        <v>26524</v>
      </c>
      <c r="P7822" t="s">
        <v>26560</v>
      </c>
      <c r="R7822" t="s">
        <v>26586</v>
      </c>
      <c r="U7822" t="s">
        <v>26604</v>
      </c>
      <c r="W7822" t="s">
        <v>810</v>
      </c>
      <c r="X7822">
        <v>215</v>
      </c>
      <c r="Y7822" t="s">
        <v>26652</v>
      </c>
      <c r="Z7822" t="s">
        <v>26664</v>
      </c>
      <c r="AB7822" t="s">
        <v>27512</v>
      </c>
      <c r="AC7822" t="s">
        <v>36397</v>
      </c>
      <c r="AD7822" t="s">
        <v>42912</v>
      </c>
      <c r="AE7822">
        <v>0</v>
      </c>
      <c r="AH7822">
        <v>0</v>
      </c>
      <c r="AI7822">
        <v>1</v>
      </c>
      <c r="AJ7822">
        <v>2</v>
      </c>
      <c r="AK7822">
        <v>19.69</v>
      </c>
      <c r="AN7822" t="s">
        <v>7439</v>
      </c>
      <c r="AO7822">
        <v>4200</v>
      </c>
      <c r="AU7822">
        <v>12.4</v>
      </c>
      <c r="AV7822" t="s">
        <v>835</v>
      </c>
      <c r="AW7822" t="s">
        <v>46853</v>
      </c>
      <c r="AX7822" t="s">
        <v>46897</v>
      </c>
    </row>
    <row r="7823" spans="1:50">
      <c r="A7823" s="1">
        <f>HYPERLINK("https://lsnyc.legalserver.org/matter/dynamic-profile/view/1898861","19-1898861")</f>
        <v>0</v>
      </c>
      <c r="B7823" t="s">
        <v>129</v>
      </c>
      <c r="C7823" t="s">
        <v>340</v>
      </c>
      <c r="D7823" t="s">
        <v>770</v>
      </c>
      <c r="F7823" t="s">
        <v>891</v>
      </c>
      <c r="G7823" t="s">
        <v>5419</v>
      </c>
      <c r="H7823" t="s">
        <v>14981</v>
      </c>
      <c r="I7823" t="s">
        <v>17312</v>
      </c>
      <c r="J7823" t="s">
        <v>18894</v>
      </c>
      <c r="K7823">
        <v>11233</v>
      </c>
      <c r="L7823" t="s">
        <v>18958</v>
      </c>
      <c r="M7823" t="s">
        <v>18958</v>
      </c>
      <c r="N7823" t="s">
        <v>24549</v>
      </c>
      <c r="O7823" t="s">
        <v>26523</v>
      </c>
      <c r="P7823" t="s">
        <v>26560</v>
      </c>
      <c r="R7823" t="s">
        <v>26586</v>
      </c>
      <c r="S7823" t="s">
        <v>18959</v>
      </c>
      <c r="U7823" t="s">
        <v>26604</v>
      </c>
      <c r="V7823" t="s">
        <v>26612</v>
      </c>
      <c r="W7823" t="s">
        <v>810</v>
      </c>
      <c r="X7823">
        <v>2250</v>
      </c>
      <c r="Y7823" t="s">
        <v>26652</v>
      </c>
      <c r="Z7823" t="s">
        <v>26664</v>
      </c>
      <c r="AB7823" t="s">
        <v>32426</v>
      </c>
      <c r="AC7823" t="s">
        <v>36398</v>
      </c>
      <c r="AD7823" t="s">
        <v>42913</v>
      </c>
      <c r="AE7823">
        <v>46</v>
      </c>
      <c r="AF7823" t="s">
        <v>45543</v>
      </c>
      <c r="AG7823" t="s">
        <v>45556</v>
      </c>
      <c r="AH7823">
        <v>0</v>
      </c>
      <c r="AI7823">
        <v>3</v>
      </c>
      <c r="AJ7823">
        <v>2</v>
      </c>
      <c r="AK7823">
        <v>9.01</v>
      </c>
      <c r="AN7823" t="s">
        <v>7439</v>
      </c>
      <c r="AO7823">
        <v>2717</v>
      </c>
      <c r="AU7823">
        <v>10.1</v>
      </c>
      <c r="AV7823" t="s">
        <v>720</v>
      </c>
      <c r="AW7823" t="s">
        <v>46862</v>
      </c>
      <c r="AX7823" t="s">
        <v>46897</v>
      </c>
    </row>
    <row r="7824" spans="1:50">
      <c r="A7824" s="1">
        <f>HYPERLINK("https://lsnyc.legalserver.org/matter/dynamic-profile/view/1899564","19-1899564")</f>
        <v>0</v>
      </c>
      <c r="B7824" t="s">
        <v>123</v>
      </c>
      <c r="C7824" t="s">
        <v>340</v>
      </c>
      <c r="D7824" t="s">
        <v>813</v>
      </c>
      <c r="F7824" t="s">
        <v>4077</v>
      </c>
      <c r="G7824" t="s">
        <v>8463</v>
      </c>
      <c r="H7824" t="s">
        <v>13012</v>
      </c>
      <c r="I7824" t="s">
        <v>17322</v>
      </c>
      <c r="J7824" t="s">
        <v>18894</v>
      </c>
      <c r="K7824">
        <v>11226</v>
      </c>
      <c r="L7824" t="s">
        <v>18958</v>
      </c>
      <c r="M7824" t="s">
        <v>18960</v>
      </c>
      <c r="N7824" t="s">
        <v>24550</v>
      </c>
      <c r="O7824" t="s">
        <v>26523</v>
      </c>
      <c r="P7824" t="s">
        <v>26560</v>
      </c>
      <c r="R7824" t="s">
        <v>26588</v>
      </c>
      <c r="S7824" t="s">
        <v>18959</v>
      </c>
      <c r="U7824" t="s">
        <v>26604</v>
      </c>
      <c r="V7824" t="s">
        <v>26611</v>
      </c>
      <c r="W7824" t="s">
        <v>810</v>
      </c>
      <c r="X7824">
        <v>1048.24</v>
      </c>
      <c r="Y7824" t="s">
        <v>26652</v>
      </c>
      <c r="Z7824" t="s">
        <v>26664</v>
      </c>
      <c r="AB7824" t="s">
        <v>32475</v>
      </c>
      <c r="AD7824" t="s">
        <v>42914</v>
      </c>
      <c r="AE7824">
        <v>36</v>
      </c>
      <c r="AF7824" t="s">
        <v>45541</v>
      </c>
      <c r="AH7824">
        <v>4</v>
      </c>
      <c r="AI7824">
        <v>1</v>
      </c>
      <c r="AJ7824">
        <v>0</v>
      </c>
      <c r="AK7824">
        <v>176.14</v>
      </c>
      <c r="AN7824" t="s">
        <v>7439</v>
      </c>
      <c r="AO7824">
        <v>22000</v>
      </c>
      <c r="AQ7824" t="s">
        <v>46359</v>
      </c>
      <c r="AS7824" t="s">
        <v>46499</v>
      </c>
      <c r="AT7824" t="s">
        <v>46762</v>
      </c>
      <c r="AU7824">
        <v>12.75</v>
      </c>
      <c r="AV7824" t="s">
        <v>839</v>
      </c>
      <c r="AW7824" t="s">
        <v>46862</v>
      </c>
      <c r="AX7824" t="s">
        <v>46897</v>
      </c>
    </row>
    <row r="7825" spans="1:50">
      <c r="A7825" s="1">
        <f>HYPERLINK("https://lsnyc.legalserver.org/matter/dynamic-profile/view/1900651","19-1900651")</f>
        <v>0</v>
      </c>
      <c r="B7825" t="s">
        <v>205</v>
      </c>
      <c r="C7825" t="s">
        <v>340</v>
      </c>
      <c r="D7825" t="s">
        <v>806</v>
      </c>
      <c r="F7825" t="s">
        <v>1641</v>
      </c>
      <c r="G7825" t="s">
        <v>5717</v>
      </c>
      <c r="H7825" t="s">
        <v>10516</v>
      </c>
      <c r="I7825" t="s">
        <v>17388</v>
      </c>
      <c r="J7825" t="s">
        <v>18894</v>
      </c>
      <c r="K7825">
        <v>11213</v>
      </c>
      <c r="L7825" t="s">
        <v>18958</v>
      </c>
      <c r="M7825" t="s">
        <v>18960</v>
      </c>
      <c r="N7825" t="s">
        <v>24551</v>
      </c>
      <c r="O7825" t="s">
        <v>26523</v>
      </c>
      <c r="P7825" t="s">
        <v>26560</v>
      </c>
      <c r="R7825" t="s">
        <v>26578</v>
      </c>
      <c r="S7825" t="s">
        <v>18958</v>
      </c>
      <c r="U7825" t="s">
        <v>26604</v>
      </c>
      <c r="V7825" t="s">
        <v>26610</v>
      </c>
      <c r="W7825" t="s">
        <v>810</v>
      </c>
      <c r="X7825">
        <v>951</v>
      </c>
      <c r="Y7825" t="s">
        <v>26652</v>
      </c>
      <c r="Z7825" t="s">
        <v>26665</v>
      </c>
      <c r="AB7825" t="s">
        <v>27781</v>
      </c>
      <c r="AD7825" t="s">
        <v>37832</v>
      </c>
      <c r="AE7825">
        <v>19</v>
      </c>
      <c r="AF7825" t="s">
        <v>45541</v>
      </c>
      <c r="AG7825" t="s">
        <v>45559</v>
      </c>
      <c r="AH7825">
        <v>16</v>
      </c>
      <c r="AI7825">
        <v>3</v>
      </c>
      <c r="AJ7825">
        <v>3</v>
      </c>
      <c r="AK7825">
        <v>52.62</v>
      </c>
      <c r="AN7825" t="s">
        <v>7439</v>
      </c>
      <c r="AO7825">
        <v>18200</v>
      </c>
      <c r="AP7825" t="s">
        <v>45694</v>
      </c>
      <c r="AU7825">
        <v>1</v>
      </c>
      <c r="AV7825" t="s">
        <v>815</v>
      </c>
      <c r="AW7825" t="s">
        <v>279</v>
      </c>
      <c r="AX7825" t="s">
        <v>46897</v>
      </c>
    </row>
    <row r="7826" spans="1:50">
      <c r="A7826" s="1">
        <f>HYPERLINK("https://lsnyc.legalserver.org/matter/dynamic-profile/view/1900641","19-1900641")</f>
        <v>0</v>
      </c>
      <c r="B7826" t="s">
        <v>205</v>
      </c>
      <c r="C7826" t="s">
        <v>340</v>
      </c>
      <c r="D7826" t="s">
        <v>806</v>
      </c>
      <c r="F7826" t="s">
        <v>1552</v>
      </c>
      <c r="G7826" t="s">
        <v>5735</v>
      </c>
      <c r="H7826" t="s">
        <v>10516</v>
      </c>
      <c r="I7826" t="s">
        <v>17284</v>
      </c>
      <c r="J7826" t="s">
        <v>18894</v>
      </c>
      <c r="K7826">
        <v>11213</v>
      </c>
      <c r="L7826" t="s">
        <v>18958</v>
      </c>
      <c r="M7826" t="s">
        <v>18960</v>
      </c>
      <c r="N7826" t="s">
        <v>24551</v>
      </c>
      <c r="O7826" t="s">
        <v>26523</v>
      </c>
      <c r="P7826" t="s">
        <v>26560</v>
      </c>
      <c r="R7826" t="s">
        <v>26578</v>
      </c>
      <c r="S7826" t="s">
        <v>18958</v>
      </c>
      <c r="U7826" t="s">
        <v>26604</v>
      </c>
      <c r="V7826" t="s">
        <v>26610</v>
      </c>
      <c r="W7826" t="s">
        <v>810</v>
      </c>
      <c r="X7826">
        <v>1507.16</v>
      </c>
      <c r="Y7826" t="s">
        <v>26652</v>
      </c>
      <c r="Z7826" t="s">
        <v>26665</v>
      </c>
      <c r="AB7826" t="s">
        <v>27639</v>
      </c>
      <c r="AC7826" t="s">
        <v>34807</v>
      </c>
      <c r="AD7826" t="s">
        <v>37688</v>
      </c>
      <c r="AE7826">
        <v>19</v>
      </c>
      <c r="AF7826" t="s">
        <v>45541</v>
      </c>
      <c r="AG7826" t="s">
        <v>45556</v>
      </c>
      <c r="AH7826">
        <v>22</v>
      </c>
      <c r="AI7826">
        <v>4</v>
      </c>
      <c r="AJ7826">
        <v>0</v>
      </c>
      <c r="AK7826">
        <v>186.06</v>
      </c>
      <c r="AN7826" t="s">
        <v>7439</v>
      </c>
      <c r="AO7826">
        <v>47909.8</v>
      </c>
      <c r="AP7826" t="s">
        <v>46071</v>
      </c>
      <c r="AU7826">
        <v>1.45</v>
      </c>
      <c r="AV7826" t="s">
        <v>797</v>
      </c>
      <c r="AW7826" t="s">
        <v>279</v>
      </c>
      <c r="AX7826" t="s">
        <v>19330</v>
      </c>
    </row>
    <row r="7827" spans="1:50">
      <c r="A7827" s="1">
        <f>HYPERLINK("https://lsnyc.legalserver.org/matter/dynamic-profile/view/1900658","19-1900658")</f>
        <v>0</v>
      </c>
      <c r="B7827" t="s">
        <v>205</v>
      </c>
      <c r="C7827" t="s">
        <v>340</v>
      </c>
      <c r="D7827" t="s">
        <v>806</v>
      </c>
      <c r="F7827" t="s">
        <v>1673</v>
      </c>
      <c r="G7827" t="s">
        <v>5867</v>
      </c>
      <c r="H7827" t="s">
        <v>10516</v>
      </c>
      <c r="I7827" t="s">
        <v>17436</v>
      </c>
      <c r="J7827" t="s">
        <v>18894</v>
      </c>
      <c r="K7827">
        <v>11213</v>
      </c>
      <c r="L7827" t="s">
        <v>18958</v>
      </c>
      <c r="M7827" t="s">
        <v>18960</v>
      </c>
      <c r="N7827" t="s">
        <v>24551</v>
      </c>
      <c r="O7827" t="s">
        <v>26523</v>
      </c>
      <c r="P7827" t="s">
        <v>26560</v>
      </c>
      <c r="R7827" t="s">
        <v>26578</v>
      </c>
      <c r="U7827" t="s">
        <v>26604</v>
      </c>
      <c r="V7827" t="s">
        <v>26610</v>
      </c>
      <c r="W7827" t="s">
        <v>810</v>
      </c>
      <c r="X7827">
        <v>693</v>
      </c>
      <c r="Y7827" t="s">
        <v>26652</v>
      </c>
      <c r="Z7827" t="s">
        <v>26665</v>
      </c>
      <c r="AB7827" t="s">
        <v>27834</v>
      </c>
      <c r="AD7827" t="s">
        <v>37886</v>
      </c>
      <c r="AE7827">
        <v>19</v>
      </c>
      <c r="AF7827" t="s">
        <v>45541</v>
      </c>
      <c r="AG7827" t="s">
        <v>19330</v>
      </c>
      <c r="AH7827">
        <v>20</v>
      </c>
      <c r="AI7827">
        <v>2</v>
      </c>
      <c r="AJ7827">
        <v>1</v>
      </c>
      <c r="AK7827">
        <v>234.41</v>
      </c>
      <c r="AN7827" t="s">
        <v>7439</v>
      </c>
      <c r="AO7827">
        <v>50000</v>
      </c>
      <c r="AP7827" t="s">
        <v>46072</v>
      </c>
      <c r="AU7827">
        <v>4.8</v>
      </c>
      <c r="AV7827" t="s">
        <v>772</v>
      </c>
      <c r="AW7827" t="s">
        <v>279</v>
      </c>
      <c r="AX7827" t="s">
        <v>46897</v>
      </c>
    </row>
    <row r="7828" spans="1:50">
      <c r="A7828" s="1">
        <f>HYPERLINK("https://lsnyc.legalserver.org/matter/dynamic-profile/view/1896007","19-1896007")</f>
        <v>0</v>
      </c>
      <c r="B7828" t="s">
        <v>56</v>
      </c>
      <c r="C7828" t="s">
        <v>340</v>
      </c>
      <c r="D7828" t="s">
        <v>791</v>
      </c>
      <c r="F7828" t="s">
        <v>2946</v>
      </c>
      <c r="G7828" t="s">
        <v>8464</v>
      </c>
      <c r="H7828" t="s">
        <v>12043</v>
      </c>
      <c r="J7828" t="s">
        <v>18892</v>
      </c>
      <c r="K7828">
        <v>10456</v>
      </c>
      <c r="L7828" t="s">
        <v>18958</v>
      </c>
      <c r="M7828" t="s">
        <v>18958</v>
      </c>
      <c r="N7828" t="s">
        <v>24552</v>
      </c>
      <c r="O7828" t="s">
        <v>26523</v>
      </c>
      <c r="P7828" t="s">
        <v>26560</v>
      </c>
      <c r="R7828" t="s">
        <v>26577</v>
      </c>
      <c r="U7828" t="s">
        <v>26604</v>
      </c>
      <c r="W7828" t="s">
        <v>769</v>
      </c>
      <c r="X7828">
        <v>1515</v>
      </c>
      <c r="Y7828" t="s">
        <v>26650</v>
      </c>
      <c r="Z7828" t="s">
        <v>26659</v>
      </c>
      <c r="AB7828" t="s">
        <v>32476</v>
      </c>
      <c r="AD7828" t="s">
        <v>42915</v>
      </c>
      <c r="AE7828">
        <v>0</v>
      </c>
      <c r="AH7828">
        <v>0</v>
      </c>
      <c r="AI7828">
        <v>1</v>
      </c>
      <c r="AJ7828">
        <v>2</v>
      </c>
      <c r="AK7828">
        <v>5.63</v>
      </c>
      <c r="AN7828" t="s">
        <v>7439</v>
      </c>
      <c r="AO7828">
        <v>1200</v>
      </c>
      <c r="AU7828">
        <v>12</v>
      </c>
      <c r="AV7828" t="s">
        <v>829</v>
      </c>
      <c r="AW7828" t="s">
        <v>46867</v>
      </c>
      <c r="AX7828" t="s">
        <v>46897</v>
      </c>
    </row>
    <row r="7829" spans="1:50">
      <c r="A7829" s="1">
        <f>HYPERLINK("https://lsnyc.legalserver.org/matter/dynamic-profile/view/1898629","19-1898629")</f>
        <v>0</v>
      </c>
      <c r="B7829" t="s">
        <v>122</v>
      </c>
      <c r="C7829" t="s">
        <v>341</v>
      </c>
      <c r="D7829" t="s">
        <v>810</v>
      </c>
      <c r="E7829" t="s">
        <v>769</v>
      </c>
      <c r="F7829" t="s">
        <v>1374</v>
      </c>
      <c r="G7829" t="s">
        <v>5704</v>
      </c>
      <c r="H7829" t="s">
        <v>14982</v>
      </c>
      <c r="I7829" t="s">
        <v>17439</v>
      </c>
      <c r="J7829" t="s">
        <v>18913</v>
      </c>
      <c r="K7829">
        <v>11105</v>
      </c>
      <c r="L7829" t="s">
        <v>18958</v>
      </c>
      <c r="M7829" t="s">
        <v>18958</v>
      </c>
      <c r="N7829" t="s">
        <v>24553</v>
      </c>
      <c r="O7829" t="s">
        <v>26524</v>
      </c>
      <c r="P7829" t="s">
        <v>26564</v>
      </c>
      <c r="Q7829" t="s">
        <v>26570</v>
      </c>
      <c r="R7829" t="s">
        <v>26584</v>
      </c>
      <c r="U7829" t="s">
        <v>26604</v>
      </c>
      <c r="W7829" t="s">
        <v>769</v>
      </c>
      <c r="X7829">
        <v>1450</v>
      </c>
      <c r="Y7829" t="s">
        <v>26653</v>
      </c>
      <c r="AA7829" t="s">
        <v>26683</v>
      </c>
      <c r="AB7829" t="s">
        <v>27803</v>
      </c>
      <c r="AD7829" t="s">
        <v>42916</v>
      </c>
      <c r="AE7829">
        <v>24</v>
      </c>
      <c r="AG7829" t="s">
        <v>19330</v>
      </c>
      <c r="AH7829">
        <v>4</v>
      </c>
      <c r="AI7829">
        <v>1</v>
      </c>
      <c r="AJ7829">
        <v>0</v>
      </c>
      <c r="AK7829">
        <v>124.9</v>
      </c>
      <c r="AO7829">
        <v>15600</v>
      </c>
      <c r="AU7829">
        <v>1.5</v>
      </c>
      <c r="AV7829" t="s">
        <v>769</v>
      </c>
      <c r="AW7829" t="s">
        <v>122</v>
      </c>
    </row>
    <row r="7830" spans="1:50">
      <c r="A7830" s="1">
        <f>HYPERLINK("https://lsnyc.legalserver.org/matter/dynamic-profile/view/1898537","19-1898537")</f>
        <v>0</v>
      </c>
      <c r="B7830" t="s">
        <v>182</v>
      </c>
      <c r="C7830" t="s">
        <v>340</v>
      </c>
      <c r="D7830" t="s">
        <v>810</v>
      </c>
      <c r="F7830" t="s">
        <v>1562</v>
      </c>
      <c r="G7830" t="s">
        <v>8465</v>
      </c>
      <c r="H7830" t="s">
        <v>11763</v>
      </c>
      <c r="I7830" t="s">
        <v>17322</v>
      </c>
      <c r="J7830" t="s">
        <v>18892</v>
      </c>
      <c r="K7830">
        <v>10468</v>
      </c>
      <c r="L7830" t="s">
        <v>18958</v>
      </c>
      <c r="M7830" t="s">
        <v>18958</v>
      </c>
      <c r="N7830" t="s">
        <v>24554</v>
      </c>
      <c r="O7830" t="s">
        <v>26523</v>
      </c>
      <c r="P7830" t="s">
        <v>26560</v>
      </c>
      <c r="R7830" t="s">
        <v>26579</v>
      </c>
      <c r="U7830" t="s">
        <v>26604</v>
      </c>
      <c r="V7830" t="s">
        <v>26610</v>
      </c>
      <c r="W7830" t="s">
        <v>769</v>
      </c>
      <c r="X7830">
        <v>2257</v>
      </c>
      <c r="Y7830" t="s">
        <v>26650</v>
      </c>
      <c r="AB7830" t="s">
        <v>32477</v>
      </c>
      <c r="AC7830" t="s">
        <v>36399</v>
      </c>
      <c r="AD7830" t="s">
        <v>42917</v>
      </c>
      <c r="AE7830">
        <v>0</v>
      </c>
      <c r="AF7830" t="s">
        <v>45541</v>
      </c>
      <c r="AG7830" t="s">
        <v>45558</v>
      </c>
      <c r="AH7830">
        <v>0</v>
      </c>
      <c r="AI7830">
        <v>1</v>
      </c>
      <c r="AJ7830">
        <v>6</v>
      </c>
      <c r="AK7830">
        <v>24.92</v>
      </c>
      <c r="AN7830" t="s">
        <v>7439</v>
      </c>
      <c r="AO7830">
        <v>9720</v>
      </c>
      <c r="AU7830">
        <v>3.5</v>
      </c>
      <c r="AV7830" t="s">
        <v>819</v>
      </c>
      <c r="AW7830" t="s">
        <v>46867</v>
      </c>
      <c r="AX7830" t="s">
        <v>46898</v>
      </c>
    </row>
    <row r="7831" spans="1:50">
      <c r="A7831" s="1">
        <f>HYPERLINK("https://lsnyc.legalserver.org/matter/dynamic-profile/view/1898653","19-1898653")</f>
        <v>0</v>
      </c>
      <c r="B7831" t="s">
        <v>247</v>
      </c>
      <c r="C7831" t="s">
        <v>341</v>
      </c>
      <c r="D7831" t="s">
        <v>769</v>
      </c>
      <c r="E7831" t="s">
        <v>820</v>
      </c>
      <c r="F7831" t="s">
        <v>886</v>
      </c>
      <c r="G7831" t="s">
        <v>8466</v>
      </c>
      <c r="H7831" t="s">
        <v>14983</v>
      </c>
      <c r="I7831" t="s">
        <v>17312</v>
      </c>
      <c r="J7831" t="s">
        <v>18939</v>
      </c>
      <c r="K7831">
        <v>11423</v>
      </c>
      <c r="L7831" t="s">
        <v>18958</v>
      </c>
      <c r="M7831" t="s">
        <v>18958</v>
      </c>
      <c r="N7831" t="s">
        <v>24555</v>
      </c>
      <c r="O7831" t="s">
        <v>26524</v>
      </c>
      <c r="P7831" t="s">
        <v>26564</v>
      </c>
      <c r="Q7831" t="s">
        <v>26570</v>
      </c>
      <c r="R7831" t="s">
        <v>26584</v>
      </c>
      <c r="S7831" t="s">
        <v>18959</v>
      </c>
      <c r="U7831" t="s">
        <v>26604</v>
      </c>
      <c r="W7831" t="s">
        <v>769</v>
      </c>
      <c r="X7831">
        <v>700</v>
      </c>
      <c r="Y7831" t="s">
        <v>26653</v>
      </c>
      <c r="Z7831" t="s">
        <v>26664</v>
      </c>
      <c r="AA7831" t="s">
        <v>26683</v>
      </c>
      <c r="AB7831" t="s">
        <v>26961</v>
      </c>
      <c r="AC7831" t="s">
        <v>36400</v>
      </c>
      <c r="AD7831" t="s">
        <v>42918</v>
      </c>
      <c r="AE7831">
        <v>2</v>
      </c>
      <c r="AF7831" t="s">
        <v>20460</v>
      </c>
      <c r="AG7831" t="s">
        <v>19330</v>
      </c>
      <c r="AH7831">
        <v>11</v>
      </c>
      <c r="AI7831">
        <v>1</v>
      </c>
      <c r="AJ7831">
        <v>0</v>
      </c>
      <c r="AK7831">
        <v>50.82</v>
      </c>
      <c r="AN7831" t="s">
        <v>7439</v>
      </c>
      <c r="AO7831">
        <v>6348</v>
      </c>
      <c r="AU7831">
        <v>1.78</v>
      </c>
      <c r="AV7831" t="s">
        <v>770</v>
      </c>
      <c r="AW7831" t="s">
        <v>208</v>
      </c>
    </row>
    <row r="7832" spans="1:50">
      <c r="A7832" s="1">
        <f>HYPERLINK("https://lsnyc.legalserver.org/matter/dynamic-profile/view/1898693","19-1898693")</f>
        <v>0</v>
      </c>
      <c r="B7832" t="s">
        <v>247</v>
      </c>
      <c r="C7832" t="s">
        <v>341</v>
      </c>
      <c r="D7832" t="s">
        <v>769</v>
      </c>
      <c r="E7832" t="s">
        <v>820</v>
      </c>
      <c r="F7832" t="s">
        <v>868</v>
      </c>
      <c r="G7832" t="s">
        <v>8467</v>
      </c>
      <c r="H7832" t="s">
        <v>14984</v>
      </c>
      <c r="I7832">
        <v>203</v>
      </c>
      <c r="J7832" t="s">
        <v>7026</v>
      </c>
      <c r="K7832">
        <v>11368</v>
      </c>
      <c r="L7832" t="s">
        <v>18958</v>
      </c>
      <c r="M7832" t="s">
        <v>18958</v>
      </c>
      <c r="N7832" t="s">
        <v>24556</v>
      </c>
      <c r="O7832" t="s">
        <v>26523</v>
      </c>
      <c r="P7832" t="s">
        <v>26564</v>
      </c>
      <c r="Q7832" t="s">
        <v>26570</v>
      </c>
      <c r="R7832" t="s">
        <v>26584</v>
      </c>
      <c r="S7832" t="s">
        <v>18959</v>
      </c>
      <c r="U7832" t="s">
        <v>26604</v>
      </c>
      <c r="W7832" t="s">
        <v>769</v>
      </c>
      <c r="X7832">
        <v>1402.18</v>
      </c>
      <c r="Y7832" t="s">
        <v>26653</v>
      </c>
      <c r="Z7832" t="s">
        <v>26664</v>
      </c>
      <c r="AA7832" t="s">
        <v>26683</v>
      </c>
      <c r="AB7832" t="s">
        <v>29705</v>
      </c>
      <c r="AD7832" t="s">
        <v>42919</v>
      </c>
      <c r="AE7832">
        <v>96</v>
      </c>
      <c r="AF7832" t="s">
        <v>20460</v>
      </c>
      <c r="AG7832" t="s">
        <v>19330</v>
      </c>
      <c r="AH7832">
        <v>8</v>
      </c>
      <c r="AI7832">
        <v>3</v>
      </c>
      <c r="AJ7832">
        <v>1</v>
      </c>
      <c r="AK7832">
        <v>123.66</v>
      </c>
      <c r="AN7832" t="s">
        <v>7439</v>
      </c>
      <c r="AO7832">
        <v>31842</v>
      </c>
      <c r="AU7832">
        <v>0.72</v>
      </c>
      <c r="AV7832" t="s">
        <v>769</v>
      </c>
      <c r="AW7832" t="s">
        <v>208</v>
      </c>
      <c r="AX7832" t="s">
        <v>46897</v>
      </c>
    </row>
    <row r="7833" spans="1:50">
      <c r="A7833" s="1">
        <f>HYPERLINK("https://lsnyc.legalserver.org/matter/dynamic-profile/view/1898713","19-1898713")</f>
        <v>0</v>
      </c>
      <c r="B7833" t="s">
        <v>225</v>
      </c>
      <c r="C7833" t="s">
        <v>341</v>
      </c>
      <c r="D7833" t="s">
        <v>769</v>
      </c>
      <c r="E7833" t="s">
        <v>804</v>
      </c>
      <c r="F7833" t="s">
        <v>4078</v>
      </c>
      <c r="G7833" t="s">
        <v>5121</v>
      </c>
      <c r="H7833" t="s">
        <v>11345</v>
      </c>
      <c r="I7833" t="s">
        <v>18097</v>
      </c>
      <c r="J7833" t="s">
        <v>18893</v>
      </c>
      <c r="K7833">
        <v>10029</v>
      </c>
      <c r="L7833" t="s">
        <v>18958</v>
      </c>
      <c r="M7833" t="s">
        <v>18958</v>
      </c>
      <c r="O7833" t="s">
        <v>18997</v>
      </c>
      <c r="P7833" t="s">
        <v>26564</v>
      </c>
      <c r="Q7833" t="s">
        <v>26570</v>
      </c>
      <c r="R7833" t="s">
        <v>26578</v>
      </c>
      <c r="S7833" t="s">
        <v>18959</v>
      </c>
      <c r="U7833" t="s">
        <v>26604</v>
      </c>
      <c r="V7833" t="s">
        <v>26610</v>
      </c>
      <c r="W7833" t="s">
        <v>769</v>
      </c>
      <c r="X7833">
        <v>480</v>
      </c>
      <c r="Y7833" t="s">
        <v>26651</v>
      </c>
      <c r="Z7833" t="s">
        <v>26667</v>
      </c>
      <c r="AA7833" t="s">
        <v>26683</v>
      </c>
      <c r="AB7833" t="s">
        <v>31164</v>
      </c>
      <c r="AE7833">
        <v>1267</v>
      </c>
      <c r="AF7833" t="s">
        <v>45550</v>
      </c>
      <c r="AG7833" t="s">
        <v>45556</v>
      </c>
      <c r="AH7833">
        <v>37</v>
      </c>
      <c r="AI7833">
        <v>2</v>
      </c>
      <c r="AJ7833">
        <v>1</v>
      </c>
      <c r="AK7833">
        <v>75.89</v>
      </c>
      <c r="AN7833" t="s">
        <v>7439</v>
      </c>
      <c r="AO7833">
        <v>16188</v>
      </c>
      <c r="AU7833">
        <v>0.1</v>
      </c>
      <c r="AV7833" t="s">
        <v>804</v>
      </c>
      <c r="AW7833" t="s">
        <v>46875</v>
      </c>
      <c r="AX7833" t="s">
        <v>46897</v>
      </c>
    </row>
    <row r="7834" spans="1:50">
      <c r="A7834" s="1">
        <f>HYPERLINK("https://lsnyc.legalserver.org/matter/dynamic-profile/view/1898198","19-1898198")</f>
        <v>0</v>
      </c>
      <c r="B7834" t="s">
        <v>136</v>
      </c>
      <c r="C7834" t="s">
        <v>340</v>
      </c>
      <c r="D7834" t="s">
        <v>769</v>
      </c>
      <c r="F7834" t="s">
        <v>1355</v>
      </c>
      <c r="G7834" t="s">
        <v>8468</v>
      </c>
      <c r="H7834" t="s">
        <v>14985</v>
      </c>
      <c r="I7834" t="s">
        <v>17293</v>
      </c>
      <c r="J7834" t="s">
        <v>18892</v>
      </c>
      <c r="K7834">
        <v>10460</v>
      </c>
      <c r="L7834" t="s">
        <v>18958</v>
      </c>
      <c r="M7834" t="s">
        <v>18958</v>
      </c>
      <c r="N7834" t="s">
        <v>24557</v>
      </c>
      <c r="O7834" t="s">
        <v>26524</v>
      </c>
      <c r="P7834" t="s">
        <v>26560</v>
      </c>
      <c r="R7834" t="s">
        <v>26577</v>
      </c>
      <c r="S7834" t="s">
        <v>18959</v>
      </c>
      <c r="U7834" t="s">
        <v>26604</v>
      </c>
      <c r="V7834" t="s">
        <v>26610</v>
      </c>
      <c r="W7834" t="s">
        <v>769</v>
      </c>
      <c r="X7834">
        <v>1350</v>
      </c>
      <c r="Y7834" t="s">
        <v>26650</v>
      </c>
      <c r="Z7834" t="s">
        <v>26668</v>
      </c>
      <c r="AB7834" t="s">
        <v>32178</v>
      </c>
      <c r="AC7834" t="s">
        <v>36401</v>
      </c>
      <c r="AD7834" t="s">
        <v>42920</v>
      </c>
      <c r="AE7834">
        <v>20</v>
      </c>
      <c r="AF7834" t="s">
        <v>45541</v>
      </c>
      <c r="AG7834" t="s">
        <v>19330</v>
      </c>
      <c r="AH7834">
        <v>6</v>
      </c>
      <c r="AI7834">
        <v>1</v>
      </c>
      <c r="AJ7834">
        <v>5</v>
      </c>
      <c r="AK7834">
        <v>32.26</v>
      </c>
      <c r="AN7834" t="s">
        <v>7439</v>
      </c>
      <c r="AO7834">
        <v>11160</v>
      </c>
      <c r="AU7834">
        <v>5.75</v>
      </c>
      <c r="AV7834" t="s">
        <v>814</v>
      </c>
      <c r="AW7834" t="s">
        <v>334</v>
      </c>
      <c r="AX7834" t="s">
        <v>46898</v>
      </c>
    </row>
    <row r="7835" spans="1:50">
      <c r="A7835" s="1">
        <f>HYPERLINK("https://lsnyc.legalserver.org/matter/dynamic-profile/view/1898682","19-1898682")</f>
        <v>0</v>
      </c>
      <c r="B7835" t="s">
        <v>136</v>
      </c>
      <c r="C7835" t="s">
        <v>340</v>
      </c>
      <c r="D7835" t="s">
        <v>769</v>
      </c>
      <c r="F7835" t="s">
        <v>4079</v>
      </c>
      <c r="G7835" t="s">
        <v>5330</v>
      </c>
      <c r="H7835" t="s">
        <v>14986</v>
      </c>
      <c r="I7835" t="s">
        <v>17274</v>
      </c>
      <c r="J7835" t="s">
        <v>18892</v>
      </c>
      <c r="K7835">
        <v>10458</v>
      </c>
      <c r="L7835" t="s">
        <v>18958</v>
      </c>
      <c r="M7835" t="s">
        <v>18960</v>
      </c>
      <c r="N7835" t="s">
        <v>24558</v>
      </c>
      <c r="O7835" t="s">
        <v>26523</v>
      </c>
      <c r="P7835" t="s">
        <v>26560</v>
      </c>
      <c r="R7835" t="s">
        <v>26577</v>
      </c>
      <c r="U7835" t="s">
        <v>26604</v>
      </c>
      <c r="V7835" t="s">
        <v>26610</v>
      </c>
      <c r="W7835" t="s">
        <v>769</v>
      </c>
      <c r="X7835">
        <v>1467.27</v>
      </c>
      <c r="Y7835" t="s">
        <v>26650</v>
      </c>
      <c r="Z7835" t="s">
        <v>26664</v>
      </c>
      <c r="AB7835" t="s">
        <v>32478</v>
      </c>
      <c r="AE7835">
        <v>0</v>
      </c>
      <c r="AF7835" t="s">
        <v>45541</v>
      </c>
      <c r="AG7835" t="s">
        <v>45558</v>
      </c>
      <c r="AH7835">
        <v>2</v>
      </c>
      <c r="AI7835">
        <v>4</v>
      </c>
      <c r="AJ7835">
        <v>3</v>
      </c>
      <c r="AK7835">
        <v>39.99</v>
      </c>
      <c r="AN7835" t="s">
        <v>7439</v>
      </c>
      <c r="AO7835">
        <v>15598.8</v>
      </c>
      <c r="AU7835">
        <v>4</v>
      </c>
      <c r="AV7835" t="s">
        <v>832</v>
      </c>
      <c r="AW7835" t="s">
        <v>46836</v>
      </c>
      <c r="AX7835" t="s">
        <v>46897</v>
      </c>
    </row>
    <row r="7836" spans="1:50">
      <c r="A7836" s="1">
        <f>HYPERLINK("https://lsnyc.legalserver.org/matter/dynamic-profile/view/1898799","19-1898799")</f>
        <v>0</v>
      </c>
      <c r="B7836" t="s">
        <v>105</v>
      </c>
      <c r="C7836" t="s">
        <v>340</v>
      </c>
      <c r="D7836" t="s">
        <v>769</v>
      </c>
      <c r="F7836" t="s">
        <v>891</v>
      </c>
      <c r="G7836" t="s">
        <v>8469</v>
      </c>
      <c r="H7836" t="s">
        <v>14987</v>
      </c>
      <c r="I7836" t="s">
        <v>17925</v>
      </c>
      <c r="J7836" t="s">
        <v>18909</v>
      </c>
      <c r="K7836">
        <v>11101</v>
      </c>
      <c r="L7836" t="s">
        <v>18958</v>
      </c>
      <c r="M7836" t="s">
        <v>18958</v>
      </c>
      <c r="N7836" t="s">
        <v>24559</v>
      </c>
      <c r="O7836" t="s">
        <v>26523</v>
      </c>
      <c r="P7836" t="s">
        <v>26560</v>
      </c>
      <c r="R7836" t="s">
        <v>26584</v>
      </c>
      <c r="S7836" t="s">
        <v>18958</v>
      </c>
      <c r="U7836" t="s">
        <v>26604</v>
      </c>
      <c r="W7836" t="s">
        <v>769</v>
      </c>
      <c r="X7836">
        <v>297.6</v>
      </c>
      <c r="Y7836" t="s">
        <v>26653</v>
      </c>
      <c r="Z7836" t="s">
        <v>26664</v>
      </c>
      <c r="AB7836" t="s">
        <v>32479</v>
      </c>
      <c r="AC7836" t="s">
        <v>36402</v>
      </c>
      <c r="AD7836" t="s">
        <v>42921</v>
      </c>
      <c r="AE7836">
        <v>0</v>
      </c>
      <c r="AF7836" t="s">
        <v>45549</v>
      </c>
      <c r="AH7836">
        <v>25</v>
      </c>
      <c r="AI7836">
        <v>1</v>
      </c>
      <c r="AJ7836">
        <v>1</v>
      </c>
      <c r="AK7836">
        <v>11.01</v>
      </c>
      <c r="AN7836" t="s">
        <v>7439</v>
      </c>
      <c r="AO7836">
        <v>1861.6</v>
      </c>
      <c r="AU7836">
        <v>3.5</v>
      </c>
      <c r="AV7836" t="s">
        <v>821</v>
      </c>
      <c r="AW7836" t="s">
        <v>46884</v>
      </c>
      <c r="AX7836" t="s">
        <v>46897</v>
      </c>
    </row>
    <row r="7837" spans="1:50">
      <c r="A7837" s="1">
        <f>HYPERLINK("https://lsnyc.legalserver.org/matter/dynamic-profile/view/1898785","19-1898785")</f>
        <v>0</v>
      </c>
      <c r="B7837" t="s">
        <v>70</v>
      </c>
      <c r="C7837" t="s">
        <v>340</v>
      </c>
      <c r="D7837" t="s">
        <v>769</v>
      </c>
      <c r="F7837" t="s">
        <v>887</v>
      </c>
      <c r="G7837" t="s">
        <v>5244</v>
      </c>
      <c r="H7837" t="s">
        <v>11571</v>
      </c>
      <c r="I7837" t="s">
        <v>17436</v>
      </c>
      <c r="J7837" t="s">
        <v>18892</v>
      </c>
      <c r="K7837">
        <v>10461</v>
      </c>
      <c r="L7837" t="s">
        <v>18958</v>
      </c>
      <c r="M7837" t="s">
        <v>18958</v>
      </c>
      <c r="N7837" t="s">
        <v>24560</v>
      </c>
      <c r="O7837" t="s">
        <v>26524</v>
      </c>
      <c r="P7837" t="s">
        <v>26560</v>
      </c>
      <c r="R7837" t="s">
        <v>26577</v>
      </c>
      <c r="S7837" t="s">
        <v>18959</v>
      </c>
      <c r="U7837" t="s">
        <v>26604</v>
      </c>
      <c r="V7837" t="s">
        <v>26610</v>
      </c>
      <c r="W7837" t="s">
        <v>769</v>
      </c>
      <c r="X7837">
        <v>0</v>
      </c>
      <c r="Y7837" t="s">
        <v>26650</v>
      </c>
      <c r="Z7837" t="s">
        <v>26659</v>
      </c>
      <c r="AB7837" t="s">
        <v>28780</v>
      </c>
      <c r="AE7837">
        <v>22</v>
      </c>
      <c r="AF7837" t="s">
        <v>45541</v>
      </c>
      <c r="AH7837">
        <v>4</v>
      </c>
      <c r="AI7837">
        <v>2</v>
      </c>
      <c r="AJ7837">
        <v>2</v>
      </c>
      <c r="AK7837">
        <v>236.55</v>
      </c>
      <c r="AL7837" t="s">
        <v>813</v>
      </c>
      <c r="AM7837" t="s">
        <v>45575</v>
      </c>
      <c r="AN7837" t="s">
        <v>45581</v>
      </c>
      <c r="AO7837">
        <v>60911.6</v>
      </c>
      <c r="AU7837">
        <v>8.6</v>
      </c>
      <c r="AV7837" t="s">
        <v>720</v>
      </c>
      <c r="AW7837" t="s">
        <v>70</v>
      </c>
      <c r="AX7837" t="s">
        <v>46897</v>
      </c>
    </row>
    <row r="7838" spans="1:50">
      <c r="A7838" s="1">
        <f>HYPERLINK("https://lsnyc.legalserver.org/matter/dynamic-profile/view/1898667","19-1898667")</f>
        <v>0</v>
      </c>
      <c r="B7838" t="s">
        <v>147</v>
      </c>
      <c r="C7838" t="s">
        <v>340</v>
      </c>
      <c r="D7838" t="s">
        <v>769</v>
      </c>
      <c r="F7838" t="s">
        <v>1428</v>
      </c>
      <c r="G7838" t="s">
        <v>5208</v>
      </c>
      <c r="H7838" t="s">
        <v>12128</v>
      </c>
      <c r="J7838" t="s">
        <v>18894</v>
      </c>
      <c r="K7838">
        <v>11231</v>
      </c>
      <c r="L7838" t="s">
        <v>18958</v>
      </c>
      <c r="M7838" t="s">
        <v>18958</v>
      </c>
      <c r="P7838" t="s">
        <v>26561</v>
      </c>
      <c r="R7838" t="s">
        <v>26578</v>
      </c>
      <c r="U7838" t="s">
        <v>26604</v>
      </c>
      <c r="W7838" t="s">
        <v>769</v>
      </c>
      <c r="X7838">
        <v>0</v>
      </c>
      <c r="Y7838" t="s">
        <v>26652</v>
      </c>
      <c r="AB7838" t="s">
        <v>29410</v>
      </c>
      <c r="AD7838" t="s">
        <v>39469</v>
      </c>
      <c r="AE7838">
        <v>0</v>
      </c>
      <c r="AH7838">
        <v>0</v>
      </c>
      <c r="AI7838">
        <v>2</v>
      </c>
      <c r="AJ7838">
        <v>0</v>
      </c>
      <c r="AK7838">
        <v>97.76000000000001</v>
      </c>
      <c r="AN7838" t="s">
        <v>7439</v>
      </c>
      <c r="AO7838">
        <v>16532</v>
      </c>
      <c r="AU7838">
        <v>0</v>
      </c>
      <c r="AW7838" t="s">
        <v>219</v>
      </c>
    </row>
    <row r="7839" spans="1:50">
      <c r="A7839" s="1">
        <f>HYPERLINK("https://lsnyc.legalserver.org/matter/dynamic-profile/view/1898686","19-1898686")</f>
        <v>0</v>
      </c>
      <c r="B7839" t="s">
        <v>53</v>
      </c>
      <c r="C7839" t="s">
        <v>340</v>
      </c>
      <c r="D7839" t="s">
        <v>769</v>
      </c>
      <c r="F7839" t="s">
        <v>4080</v>
      </c>
      <c r="G7839" t="s">
        <v>954</v>
      </c>
      <c r="H7839" t="s">
        <v>10636</v>
      </c>
      <c r="I7839" t="s">
        <v>17315</v>
      </c>
      <c r="J7839" t="s">
        <v>18892</v>
      </c>
      <c r="K7839">
        <v>10467</v>
      </c>
      <c r="L7839" t="s">
        <v>18958</v>
      </c>
      <c r="M7839" t="s">
        <v>18958</v>
      </c>
      <c r="N7839" t="s">
        <v>24561</v>
      </c>
      <c r="O7839" t="s">
        <v>26523</v>
      </c>
      <c r="P7839" t="s">
        <v>26560</v>
      </c>
      <c r="R7839" t="s">
        <v>26579</v>
      </c>
      <c r="S7839" t="s">
        <v>18959</v>
      </c>
      <c r="U7839" t="s">
        <v>26604</v>
      </c>
      <c r="V7839" t="s">
        <v>26610</v>
      </c>
      <c r="W7839" t="s">
        <v>769</v>
      </c>
      <c r="X7839">
        <v>1400</v>
      </c>
      <c r="Y7839" t="s">
        <v>26650</v>
      </c>
      <c r="Z7839" t="s">
        <v>26664</v>
      </c>
      <c r="AB7839" t="s">
        <v>32480</v>
      </c>
      <c r="AC7839" t="s">
        <v>36403</v>
      </c>
      <c r="AD7839" t="s">
        <v>42922</v>
      </c>
      <c r="AE7839">
        <v>60</v>
      </c>
      <c r="AF7839" t="s">
        <v>45541</v>
      </c>
      <c r="AH7839">
        <v>5</v>
      </c>
      <c r="AI7839">
        <v>1</v>
      </c>
      <c r="AJ7839">
        <v>2</v>
      </c>
      <c r="AK7839">
        <v>112.87</v>
      </c>
      <c r="AN7839" t="s">
        <v>7439</v>
      </c>
      <c r="AO7839">
        <v>24076</v>
      </c>
      <c r="AU7839">
        <v>3.3</v>
      </c>
      <c r="AV7839" t="s">
        <v>835</v>
      </c>
      <c r="AW7839" t="s">
        <v>284</v>
      </c>
      <c r="AX7839" t="s">
        <v>46897</v>
      </c>
    </row>
    <row r="7840" spans="1:50">
      <c r="A7840" s="1">
        <f>HYPERLINK("https://lsnyc.legalserver.org/matter/dynamic-profile/view/1898681","19-1898681")</f>
        <v>0</v>
      </c>
      <c r="B7840" t="s">
        <v>294</v>
      </c>
      <c r="C7840" t="s">
        <v>340</v>
      </c>
      <c r="D7840" t="s">
        <v>769</v>
      </c>
      <c r="F7840" t="s">
        <v>4081</v>
      </c>
      <c r="G7840" t="s">
        <v>8470</v>
      </c>
      <c r="H7840" t="s">
        <v>14988</v>
      </c>
      <c r="I7840" t="s">
        <v>17325</v>
      </c>
      <c r="J7840" t="s">
        <v>18901</v>
      </c>
      <c r="K7840">
        <v>11432</v>
      </c>
      <c r="L7840" t="s">
        <v>18958</v>
      </c>
      <c r="M7840" t="s">
        <v>18958</v>
      </c>
      <c r="N7840" t="s">
        <v>24562</v>
      </c>
      <c r="O7840" t="s">
        <v>26523</v>
      </c>
      <c r="P7840" t="s">
        <v>26560</v>
      </c>
      <c r="R7840" t="s">
        <v>26578</v>
      </c>
      <c r="S7840" t="s">
        <v>18959</v>
      </c>
      <c r="U7840" t="s">
        <v>26604</v>
      </c>
      <c r="W7840" t="s">
        <v>769</v>
      </c>
      <c r="X7840">
        <v>1486</v>
      </c>
      <c r="Y7840" t="s">
        <v>26653</v>
      </c>
      <c r="Z7840" t="s">
        <v>26664</v>
      </c>
      <c r="AB7840" t="s">
        <v>32192</v>
      </c>
      <c r="AD7840" t="s">
        <v>42923</v>
      </c>
      <c r="AE7840">
        <v>7</v>
      </c>
      <c r="AG7840" t="s">
        <v>19330</v>
      </c>
      <c r="AH7840">
        <v>6</v>
      </c>
      <c r="AI7840">
        <v>1</v>
      </c>
      <c r="AJ7840">
        <v>3</v>
      </c>
      <c r="AK7840">
        <v>107.18</v>
      </c>
      <c r="AN7840" t="s">
        <v>7439</v>
      </c>
      <c r="AO7840">
        <v>27600</v>
      </c>
      <c r="AU7840">
        <v>3.25</v>
      </c>
      <c r="AV7840" t="s">
        <v>838</v>
      </c>
      <c r="AW7840" t="s">
        <v>208</v>
      </c>
      <c r="AX7840" t="s">
        <v>46897</v>
      </c>
    </row>
    <row r="7841" spans="1:50">
      <c r="A7841" s="1">
        <f>HYPERLINK("https://lsnyc.legalserver.org/matter/dynamic-profile/view/1898658","19-1898658")</f>
        <v>0</v>
      </c>
      <c r="B7841" t="s">
        <v>212</v>
      </c>
      <c r="C7841" t="s">
        <v>340</v>
      </c>
      <c r="D7841" t="s">
        <v>769</v>
      </c>
      <c r="F7841" t="s">
        <v>4082</v>
      </c>
      <c r="G7841" t="s">
        <v>1165</v>
      </c>
      <c r="H7841" t="s">
        <v>14989</v>
      </c>
      <c r="J7841" t="s">
        <v>18900</v>
      </c>
      <c r="K7841">
        <v>11355</v>
      </c>
      <c r="L7841" t="s">
        <v>18958</v>
      </c>
      <c r="M7841" t="s">
        <v>18958</v>
      </c>
      <c r="N7841" t="s">
        <v>24563</v>
      </c>
      <c r="O7841" t="s">
        <v>26524</v>
      </c>
      <c r="P7841" t="s">
        <v>26560</v>
      </c>
      <c r="R7841" t="s">
        <v>26578</v>
      </c>
      <c r="S7841" t="s">
        <v>18959</v>
      </c>
      <c r="U7841" t="s">
        <v>26604</v>
      </c>
      <c r="W7841" t="s">
        <v>769</v>
      </c>
      <c r="X7841">
        <v>0</v>
      </c>
      <c r="Y7841" t="s">
        <v>26653</v>
      </c>
      <c r="Z7841" t="s">
        <v>26664</v>
      </c>
      <c r="AB7841" t="s">
        <v>32481</v>
      </c>
      <c r="AC7841" t="s">
        <v>36404</v>
      </c>
      <c r="AD7841" t="s">
        <v>42924</v>
      </c>
      <c r="AE7841">
        <v>0</v>
      </c>
      <c r="AF7841" t="s">
        <v>45554</v>
      </c>
      <c r="AG7841" t="s">
        <v>19330</v>
      </c>
      <c r="AH7841">
        <v>1</v>
      </c>
      <c r="AI7841">
        <v>1</v>
      </c>
      <c r="AJ7841">
        <v>0</v>
      </c>
      <c r="AK7841">
        <v>19.05</v>
      </c>
      <c r="AN7841" t="s">
        <v>7439</v>
      </c>
      <c r="AO7841">
        <v>2379</v>
      </c>
      <c r="AU7841">
        <v>8.4</v>
      </c>
      <c r="AV7841" t="s">
        <v>773</v>
      </c>
      <c r="AW7841" t="s">
        <v>208</v>
      </c>
    </row>
    <row r="7842" spans="1:50">
      <c r="A7842" s="1">
        <f>HYPERLINK("https://lsnyc.legalserver.org/matter/dynamic-profile/view/1898722","19-1898722")</f>
        <v>0</v>
      </c>
      <c r="B7842" t="s">
        <v>212</v>
      </c>
      <c r="C7842" t="s">
        <v>340</v>
      </c>
      <c r="D7842" t="s">
        <v>769</v>
      </c>
      <c r="F7842" t="s">
        <v>887</v>
      </c>
      <c r="G7842" t="s">
        <v>2749</v>
      </c>
      <c r="H7842" t="s">
        <v>14990</v>
      </c>
      <c r="I7842" t="s">
        <v>17520</v>
      </c>
      <c r="J7842" t="s">
        <v>18915</v>
      </c>
      <c r="K7842">
        <v>11372</v>
      </c>
      <c r="L7842" t="s">
        <v>18958</v>
      </c>
      <c r="M7842" t="s">
        <v>18958</v>
      </c>
      <c r="N7842" t="s">
        <v>24564</v>
      </c>
      <c r="O7842" t="s">
        <v>26523</v>
      </c>
      <c r="P7842" t="s">
        <v>26560</v>
      </c>
      <c r="R7842" t="s">
        <v>26578</v>
      </c>
      <c r="S7842" t="s">
        <v>18959</v>
      </c>
      <c r="U7842" t="s">
        <v>26604</v>
      </c>
      <c r="W7842" t="s">
        <v>769</v>
      </c>
      <c r="X7842">
        <v>1010.12</v>
      </c>
      <c r="Y7842" t="s">
        <v>26653</v>
      </c>
      <c r="Z7842" t="s">
        <v>26664</v>
      </c>
      <c r="AB7842" t="s">
        <v>32482</v>
      </c>
      <c r="AD7842" t="s">
        <v>42925</v>
      </c>
      <c r="AE7842">
        <v>0</v>
      </c>
      <c r="AF7842" t="s">
        <v>20460</v>
      </c>
      <c r="AG7842" t="s">
        <v>19330</v>
      </c>
      <c r="AH7842">
        <v>25</v>
      </c>
      <c r="AI7842">
        <v>3</v>
      </c>
      <c r="AJ7842">
        <v>0</v>
      </c>
      <c r="AK7842">
        <v>57.83</v>
      </c>
      <c r="AN7842" t="s">
        <v>45581</v>
      </c>
      <c r="AO7842">
        <v>12336</v>
      </c>
      <c r="AU7842">
        <v>6.75</v>
      </c>
      <c r="AV7842" t="s">
        <v>797</v>
      </c>
      <c r="AW7842" t="s">
        <v>208</v>
      </c>
    </row>
    <row r="7843" spans="1:50">
      <c r="A7843" s="1">
        <f>HYPERLINK("https://lsnyc.legalserver.org/matter/dynamic-profile/view/1898763","19-1898763")</f>
        <v>0</v>
      </c>
      <c r="B7843" t="s">
        <v>204</v>
      </c>
      <c r="C7843" t="s">
        <v>340</v>
      </c>
      <c r="D7843" t="s">
        <v>769</v>
      </c>
      <c r="F7843" t="s">
        <v>3806</v>
      </c>
      <c r="G7843" t="s">
        <v>5636</v>
      </c>
      <c r="H7843" t="s">
        <v>12901</v>
      </c>
      <c r="I7843" t="s">
        <v>17366</v>
      </c>
      <c r="J7843" t="s">
        <v>18894</v>
      </c>
      <c r="K7843">
        <v>11236</v>
      </c>
      <c r="L7843" t="s">
        <v>18958</v>
      </c>
      <c r="M7843" t="s">
        <v>18958</v>
      </c>
      <c r="N7843" t="s">
        <v>24565</v>
      </c>
      <c r="O7843" t="s">
        <v>26524</v>
      </c>
      <c r="P7843" t="s">
        <v>26563</v>
      </c>
      <c r="R7843" t="s">
        <v>26583</v>
      </c>
      <c r="U7843" t="s">
        <v>26604</v>
      </c>
      <c r="W7843" t="s">
        <v>769</v>
      </c>
      <c r="X7843">
        <v>899</v>
      </c>
      <c r="Y7843" t="s">
        <v>26652</v>
      </c>
      <c r="Z7843" t="s">
        <v>26663</v>
      </c>
      <c r="AB7843" t="s">
        <v>32483</v>
      </c>
      <c r="AD7843" t="s">
        <v>42926</v>
      </c>
      <c r="AE7843">
        <v>12</v>
      </c>
      <c r="AF7843" t="s">
        <v>45541</v>
      </c>
      <c r="AH7843">
        <v>18</v>
      </c>
      <c r="AI7843">
        <v>1</v>
      </c>
      <c r="AJ7843">
        <v>0</v>
      </c>
      <c r="AK7843">
        <v>233.15</v>
      </c>
      <c r="AN7843" t="s">
        <v>7439</v>
      </c>
      <c r="AO7843">
        <v>29120</v>
      </c>
      <c r="AU7843">
        <v>0</v>
      </c>
      <c r="AW7843" t="s">
        <v>46856</v>
      </c>
    </row>
    <row r="7844" spans="1:50">
      <c r="A7844" s="1">
        <f>HYPERLINK("https://lsnyc.legalserver.org/matter/dynamic-profile/view/1898755","19-1898755")</f>
        <v>0</v>
      </c>
      <c r="B7844" t="s">
        <v>204</v>
      </c>
      <c r="C7844" t="s">
        <v>340</v>
      </c>
      <c r="D7844" t="s">
        <v>769</v>
      </c>
      <c r="F7844" t="s">
        <v>2173</v>
      </c>
      <c r="G7844" t="s">
        <v>8471</v>
      </c>
      <c r="H7844" t="s">
        <v>14991</v>
      </c>
      <c r="I7844" t="s">
        <v>17293</v>
      </c>
      <c r="J7844" t="s">
        <v>18894</v>
      </c>
      <c r="K7844">
        <v>11204</v>
      </c>
      <c r="L7844" t="s">
        <v>18958</v>
      </c>
      <c r="M7844" t="s">
        <v>18958</v>
      </c>
      <c r="N7844" t="s">
        <v>24566</v>
      </c>
      <c r="O7844" t="s">
        <v>26523</v>
      </c>
      <c r="P7844" t="s">
        <v>26563</v>
      </c>
      <c r="R7844" t="s">
        <v>26586</v>
      </c>
      <c r="U7844" t="s">
        <v>26604</v>
      </c>
      <c r="W7844" t="s">
        <v>769</v>
      </c>
      <c r="X7844">
        <v>953.4400000000001</v>
      </c>
      <c r="Y7844" t="s">
        <v>26652</v>
      </c>
      <c r="Z7844" t="s">
        <v>26664</v>
      </c>
      <c r="AB7844" t="s">
        <v>32484</v>
      </c>
      <c r="AD7844" t="s">
        <v>42927</v>
      </c>
      <c r="AE7844">
        <v>12</v>
      </c>
      <c r="AF7844" t="s">
        <v>45541</v>
      </c>
      <c r="AH7844">
        <v>49</v>
      </c>
      <c r="AI7844">
        <v>1</v>
      </c>
      <c r="AJ7844">
        <v>0</v>
      </c>
      <c r="AK7844">
        <v>192.15</v>
      </c>
      <c r="AN7844" t="s">
        <v>7439</v>
      </c>
      <c r="AO7844">
        <v>24000</v>
      </c>
      <c r="AU7844">
        <v>0</v>
      </c>
      <c r="AW7844" t="s">
        <v>46856</v>
      </c>
    </row>
    <row r="7845" spans="1:50">
      <c r="A7845" s="1">
        <f>HYPERLINK("https://lsnyc.legalserver.org/matter/dynamic-profile/view/1898783","19-1898783")</f>
        <v>0</v>
      </c>
      <c r="B7845" t="s">
        <v>204</v>
      </c>
      <c r="C7845" t="s">
        <v>340</v>
      </c>
      <c r="D7845" t="s">
        <v>769</v>
      </c>
      <c r="F7845" t="s">
        <v>4083</v>
      </c>
      <c r="G7845" t="s">
        <v>6432</v>
      </c>
      <c r="H7845" t="s">
        <v>14992</v>
      </c>
      <c r="I7845" t="s">
        <v>17596</v>
      </c>
      <c r="J7845" t="s">
        <v>18894</v>
      </c>
      <c r="K7845">
        <v>11213</v>
      </c>
      <c r="L7845" t="s">
        <v>18958</v>
      </c>
      <c r="M7845" t="s">
        <v>18958</v>
      </c>
      <c r="N7845" t="s">
        <v>24567</v>
      </c>
      <c r="O7845" t="s">
        <v>26523</v>
      </c>
      <c r="P7845" t="s">
        <v>26560</v>
      </c>
      <c r="R7845" t="s">
        <v>26586</v>
      </c>
      <c r="U7845" t="s">
        <v>26604</v>
      </c>
      <c r="W7845" t="s">
        <v>769</v>
      </c>
      <c r="X7845">
        <v>1032.49</v>
      </c>
      <c r="Y7845" t="s">
        <v>26652</v>
      </c>
      <c r="Z7845" t="s">
        <v>26659</v>
      </c>
      <c r="AB7845" t="s">
        <v>32485</v>
      </c>
      <c r="AD7845" t="s">
        <v>42928</v>
      </c>
      <c r="AE7845">
        <v>6</v>
      </c>
      <c r="AF7845" t="s">
        <v>45541</v>
      </c>
      <c r="AH7845">
        <v>26</v>
      </c>
      <c r="AI7845">
        <v>1</v>
      </c>
      <c r="AJ7845">
        <v>0</v>
      </c>
      <c r="AK7845">
        <v>249.8</v>
      </c>
      <c r="AL7845" t="s">
        <v>835</v>
      </c>
      <c r="AM7845" t="s">
        <v>45575</v>
      </c>
      <c r="AN7845" t="s">
        <v>7439</v>
      </c>
      <c r="AO7845">
        <v>31200</v>
      </c>
      <c r="AU7845">
        <v>14.6</v>
      </c>
      <c r="AV7845" t="s">
        <v>827</v>
      </c>
      <c r="AW7845" t="s">
        <v>46856</v>
      </c>
    </row>
    <row r="7846" spans="1:50">
      <c r="A7846" s="1">
        <f>HYPERLINK("https://lsnyc.legalserver.org/matter/dynamic-profile/view/1898768","19-1898768")</f>
        <v>0</v>
      </c>
      <c r="B7846" t="s">
        <v>182</v>
      </c>
      <c r="C7846" t="s">
        <v>340</v>
      </c>
      <c r="D7846" t="s">
        <v>769</v>
      </c>
      <c r="F7846" t="s">
        <v>4084</v>
      </c>
      <c r="G7846" t="s">
        <v>5174</v>
      </c>
      <c r="H7846" t="s">
        <v>14993</v>
      </c>
      <c r="I7846" t="s">
        <v>17360</v>
      </c>
      <c r="J7846" t="s">
        <v>18892</v>
      </c>
      <c r="K7846">
        <v>10467</v>
      </c>
      <c r="L7846" t="s">
        <v>18958</v>
      </c>
      <c r="M7846" t="s">
        <v>18958</v>
      </c>
      <c r="N7846" t="s">
        <v>24568</v>
      </c>
      <c r="O7846" t="s">
        <v>26523</v>
      </c>
      <c r="P7846" t="s">
        <v>26560</v>
      </c>
      <c r="R7846" t="s">
        <v>26579</v>
      </c>
      <c r="U7846" t="s">
        <v>26604</v>
      </c>
      <c r="V7846" t="s">
        <v>26611</v>
      </c>
      <c r="W7846" t="s">
        <v>769</v>
      </c>
      <c r="X7846">
        <v>1268.19</v>
      </c>
      <c r="Y7846" t="s">
        <v>26650</v>
      </c>
      <c r="Z7846" t="s">
        <v>26664</v>
      </c>
      <c r="AB7846" t="s">
        <v>32486</v>
      </c>
      <c r="AE7846">
        <v>0</v>
      </c>
      <c r="AF7846" t="s">
        <v>45541</v>
      </c>
      <c r="AG7846" t="s">
        <v>45560</v>
      </c>
      <c r="AH7846">
        <v>5</v>
      </c>
      <c r="AI7846">
        <v>1</v>
      </c>
      <c r="AJ7846">
        <v>0</v>
      </c>
      <c r="AK7846">
        <v>54.96</v>
      </c>
      <c r="AN7846" t="s">
        <v>7439</v>
      </c>
      <c r="AO7846">
        <v>6864</v>
      </c>
      <c r="AP7846" t="s">
        <v>46073</v>
      </c>
      <c r="AU7846">
        <v>5.7</v>
      </c>
      <c r="AV7846" t="s">
        <v>806</v>
      </c>
      <c r="AW7846" t="s">
        <v>46867</v>
      </c>
      <c r="AX7846" t="s">
        <v>46897</v>
      </c>
    </row>
    <row r="7847" spans="1:50">
      <c r="A7847" s="1">
        <f>HYPERLINK("https://lsnyc.legalserver.org/matter/dynamic-profile/view/1898644","19-1898644")</f>
        <v>0</v>
      </c>
      <c r="B7847" t="s">
        <v>182</v>
      </c>
      <c r="C7847" t="s">
        <v>340</v>
      </c>
      <c r="D7847" t="s">
        <v>769</v>
      </c>
      <c r="F7847" t="s">
        <v>1946</v>
      </c>
      <c r="G7847" t="s">
        <v>6730</v>
      </c>
      <c r="H7847" t="s">
        <v>14994</v>
      </c>
      <c r="I7847" t="s">
        <v>17351</v>
      </c>
      <c r="J7847" t="s">
        <v>18892</v>
      </c>
      <c r="K7847">
        <v>10462</v>
      </c>
      <c r="L7847" t="s">
        <v>18958</v>
      </c>
      <c r="M7847" t="s">
        <v>18960</v>
      </c>
      <c r="N7847" t="s">
        <v>24569</v>
      </c>
      <c r="O7847" t="s">
        <v>26524</v>
      </c>
      <c r="P7847" t="s">
        <v>26564</v>
      </c>
      <c r="R7847" t="s">
        <v>26579</v>
      </c>
      <c r="U7847" t="s">
        <v>26604</v>
      </c>
      <c r="V7847" t="s">
        <v>26610</v>
      </c>
      <c r="W7847" t="s">
        <v>769</v>
      </c>
      <c r="X7847">
        <v>0</v>
      </c>
      <c r="Y7847" t="s">
        <v>26650</v>
      </c>
      <c r="AB7847" t="s">
        <v>32487</v>
      </c>
      <c r="AC7847" t="s">
        <v>36405</v>
      </c>
      <c r="AD7847" t="s">
        <v>42929</v>
      </c>
      <c r="AE7847">
        <v>0</v>
      </c>
      <c r="AH7847">
        <v>0</v>
      </c>
      <c r="AI7847">
        <v>1</v>
      </c>
      <c r="AJ7847">
        <v>0</v>
      </c>
      <c r="AK7847">
        <v>74.56</v>
      </c>
      <c r="AN7847" t="s">
        <v>7439</v>
      </c>
      <c r="AO7847">
        <v>9312</v>
      </c>
      <c r="AP7847" t="s">
        <v>46074</v>
      </c>
      <c r="AU7847">
        <v>3.3</v>
      </c>
      <c r="AV7847" t="s">
        <v>820</v>
      </c>
      <c r="AW7847" t="s">
        <v>46867</v>
      </c>
      <c r="AX7847" t="s">
        <v>46898</v>
      </c>
    </row>
    <row r="7848" spans="1:50">
      <c r="A7848" s="1">
        <f>HYPERLINK("https://lsnyc.legalserver.org/matter/dynamic-profile/view/1898672","19-1898672")</f>
        <v>0</v>
      </c>
      <c r="B7848" t="s">
        <v>142</v>
      </c>
      <c r="C7848" t="s">
        <v>340</v>
      </c>
      <c r="D7848" t="s">
        <v>769</v>
      </c>
      <c r="F7848" t="s">
        <v>1092</v>
      </c>
      <c r="G7848" t="s">
        <v>8472</v>
      </c>
      <c r="H7848" t="s">
        <v>14995</v>
      </c>
      <c r="J7848" t="s">
        <v>18901</v>
      </c>
      <c r="K7848">
        <v>11434</v>
      </c>
      <c r="L7848" t="s">
        <v>18958</v>
      </c>
      <c r="M7848" t="s">
        <v>18958</v>
      </c>
      <c r="N7848" t="s">
        <v>24570</v>
      </c>
      <c r="O7848" t="s">
        <v>26524</v>
      </c>
      <c r="P7848" t="s">
        <v>26563</v>
      </c>
      <c r="R7848" t="s">
        <v>26585</v>
      </c>
      <c r="S7848" t="s">
        <v>18959</v>
      </c>
      <c r="U7848" t="s">
        <v>26604</v>
      </c>
      <c r="W7848" t="s">
        <v>769</v>
      </c>
      <c r="X7848">
        <v>1050</v>
      </c>
      <c r="Y7848" t="s">
        <v>26653</v>
      </c>
      <c r="Z7848" t="s">
        <v>26664</v>
      </c>
      <c r="AB7848" t="s">
        <v>32488</v>
      </c>
      <c r="AD7848" t="s">
        <v>42930</v>
      </c>
      <c r="AE7848">
        <v>0</v>
      </c>
      <c r="AF7848" t="s">
        <v>20460</v>
      </c>
      <c r="AG7848" t="s">
        <v>19330</v>
      </c>
      <c r="AH7848">
        <v>5</v>
      </c>
      <c r="AI7848">
        <v>1</v>
      </c>
      <c r="AJ7848">
        <v>0</v>
      </c>
      <c r="AK7848">
        <v>118.37</v>
      </c>
      <c r="AN7848" t="s">
        <v>7439</v>
      </c>
      <c r="AO7848">
        <v>14784</v>
      </c>
      <c r="AU7848">
        <v>4.64</v>
      </c>
      <c r="AV7848" t="s">
        <v>836</v>
      </c>
      <c r="AW7848" t="s">
        <v>208</v>
      </c>
    </row>
    <row r="7849" spans="1:50">
      <c r="A7849" s="1">
        <f>HYPERLINK("https://lsnyc.legalserver.org/matter/dynamic-profile/view/1898673","19-1898673")</f>
        <v>0</v>
      </c>
      <c r="B7849" t="s">
        <v>233</v>
      </c>
      <c r="C7849" t="s">
        <v>340</v>
      </c>
      <c r="D7849" t="s">
        <v>769</v>
      </c>
      <c r="F7849" t="s">
        <v>4085</v>
      </c>
      <c r="G7849" t="s">
        <v>8473</v>
      </c>
      <c r="H7849" t="s">
        <v>14996</v>
      </c>
      <c r="I7849">
        <v>17</v>
      </c>
      <c r="J7849" t="s">
        <v>18892</v>
      </c>
      <c r="K7849">
        <v>10456</v>
      </c>
      <c r="L7849" t="s">
        <v>18958</v>
      </c>
      <c r="M7849" t="s">
        <v>18958</v>
      </c>
      <c r="N7849" t="s">
        <v>24571</v>
      </c>
      <c r="O7849" t="s">
        <v>26523</v>
      </c>
      <c r="P7849" t="s">
        <v>26560</v>
      </c>
      <c r="R7849" t="s">
        <v>26577</v>
      </c>
      <c r="S7849" t="s">
        <v>18959</v>
      </c>
      <c r="U7849" t="s">
        <v>26604</v>
      </c>
      <c r="V7849" t="s">
        <v>26612</v>
      </c>
      <c r="W7849" t="s">
        <v>769</v>
      </c>
      <c r="X7849">
        <v>798</v>
      </c>
      <c r="Y7849" t="s">
        <v>26650</v>
      </c>
      <c r="Z7849" t="s">
        <v>26661</v>
      </c>
      <c r="AB7849" t="s">
        <v>32489</v>
      </c>
      <c r="AC7849" t="s">
        <v>36406</v>
      </c>
      <c r="AD7849" t="s">
        <v>42931</v>
      </c>
      <c r="AE7849">
        <v>21</v>
      </c>
      <c r="AF7849" t="s">
        <v>45553</v>
      </c>
      <c r="AH7849">
        <v>25</v>
      </c>
      <c r="AI7849">
        <v>3</v>
      </c>
      <c r="AJ7849">
        <v>3</v>
      </c>
      <c r="AK7849">
        <v>0</v>
      </c>
      <c r="AN7849" t="s">
        <v>7439</v>
      </c>
      <c r="AO7849">
        <v>0</v>
      </c>
      <c r="AU7849">
        <v>8.85</v>
      </c>
      <c r="AV7849" t="s">
        <v>809</v>
      </c>
      <c r="AW7849" t="s">
        <v>46867</v>
      </c>
      <c r="AX7849" t="s">
        <v>46897</v>
      </c>
    </row>
    <row r="7850" spans="1:50">
      <c r="A7850" s="1">
        <f>HYPERLINK("https://lsnyc.legalserver.org/matter/dynamic-profile/view/1898645","19-1898645")</f>
        <v>0</v>
      </c>
      <c r="B7850" t="s">
        <v>233</v>
      </c>
      <c r="C7850" t="s">
        <v>340</v>
      </c>
      <c r="D7850" t="s">
        <v>769</v>
      </c>
      <c r="F7850" t="s">
        <v>1083</v>
      </c>
      <c r="G7850" t="s">
        <v>6174</v>
      </c>
      <c r="H7850" t="s">
        <v>14997</v>
      </c>
      <c r="I7850" t="s">
        <v>17322</v>
      </c>
      <c r="J7850" t="s">
        <v>18892</v>
      </c>
      <c r="K7850">
        <v>10468</v>
      </c>
      <c r="L7850" t="s">
        <v>18958</v>
      </c>
      <c r="M7850" t="s">
        <v>18958</v>
      </c>
      <c r="N7850" t="s">
        <v>24572</v>
      </c>
      <c r="O7850" t="s">
        <v>26524</v>
      </c>
      <c r="P7850" t="s">
        <v>26560</v>
      </c>
      <c r="R7850" t="s">
        <v>26579</v>
      </c>
      <c r="S7850" t="s">
        <v>18959</v>
      </c>
      <c r="U7850" t="s">
        <v>26604</v>
      </c>
      <c r="W7850" t="s">
        <v>769</v>
      </c>
      <c r="X7850">
        <v>1621</v>
      </c>
      <c r="Y7850" t="s">
        <v>26650</v>
      </c>
      <c r="Z7850" t="s">
        <v>26668</v>
      </c>
      <c r="AB7850" t="s">
        <v>32490</v>
      </c>
      <c r="AC7850" t="s">
        <v>36407</v>
      </c>
      <c r="AD7850" t="s">
        <v>42932</v>
      </c>
      <c r="AE7850">
        <v>0</v>
      </c>
      <c r="AF7850" t="s">
        <v>45543</v>
      </c>
      <c r="AG7850" t="s">
        <v>45556</v>
      </c>
      <c r="AH7850">
        <v>11</v>
      </c>
      <c r="AI7850">
        <v>3</v>
      </c>
      <c r="AJ7850">
        <v>0</v>
      </c>
      <c r="AK7850">
        <v>38.99</v>
      </c>
      <c r="AN7850" t="s">
        <v>7439</v>
      </c>
      <c r="AO7850">
        <v>8316</v>
      </c>
      <c r="AU7850">
        <v>27.15</v>
      </c>
      <c r="AV7850" t="s">
        <v>833</v>
      </c>
      <c r="AW7850" t="s">
        <v>46871</v>
      </c>
      <c r="AX7850" t="s">
        <v>46898</v>
      </c>
    </row>
    <row r="7851" spans="1:50">
      <c r="A7851" s="1">
        <f>HYPERLINK("https://lsnyc.legalserver.org/matter/dynamic-profile/view/1898773","19-1898773")</f>
        <v>0</v>
      </c>
      <c r="B7851" t="s">
        <v>198</v>
      </c>
      <c r="C7851" t="s">
        <v>340</v>
      </c>
      <c r="D7851" t="s">
        <v>769</v>
      </c>
      <c r="F7851" t="s">
        <v>2480</v>
      </c>
      <c r="G7851" t="s">
        <v>8474</v>
      </c>
      <c r="H7851" t="s">
        <v>14493</v>
      </c>
      <c r="I7851" t="s">
        <v>18252</v>
      </c>
      <c r="J7851" t="s">
        <v>18894</v>
      </c>
      <c r="K7851">
        <v>11226</v>
      </c>
      <c r="L7851" t="s">
        <v>18958</v>
      </c>
      <c r="M7851" t="s">
        <v>18958</v>
      </c>
      <c r="P7851" t="s">
        <v>26562</v>
      </c>
      <c r="R7851" t="s">
        <v>26578</v>
      </c>
      <c r="U7851" t="s">
        <v>26604</v>
      </c>
      <c r="W7851" t="s">
        <v>769</v>
      </c>
      <c r="X7851">
        <v>1290.86</v>
      </c>
      <c r="Y7851" t="s">
        <v>26652</v>
      </c>
      <c r="AB7851" t="s">
        <v>28239</v>
      </c>
      <c r="AE7851">
        <v>0</v>
      </c>
      <c r="AH7851">
        <v>0</v>
      </c>
      <c r="AI7851">
        <v>1</v>
      </c>
      <c r="AJ7851">
        <v>0</v>
      </c>
      <c r="AK7851">
        <v>0</v>
      </c>
      <c r="AN7851" t="s">
        <v>7439</v>
      </c>
      <c r="AO7851">
        <v>0</v>
      </c>
      <c r="AU7851">
        <v>6.9</v>
      </c>
      <c r="AV7851" t="s">
        <v>809</v>
      </c>
      <c r="AW7851" t="s">
        <v>198</v>
      </c>
    </row>
    <row r="7852" spans="1:50">
      <c r="A7852" s="1">
        <f>HYPERLINK("https://lsnyc.legalserver.org/matter/dynamic-profile/view/1898695","19-1898695")</f>
        <v>0</v>
      </c>
      <c r="B7852" t="s">
        <v>198</v>
      </c>
      <c r="C7852" t="s">
        <v>340</v>
      </c>
      <c r="D7852" t="s">
        <v>769</v>
      </c>
      <c r="F7852" t="s">
        <v>4086</v>
      </c>
      <c r="G7852" t="s">
        <v>8475</v>
      </c>
      <c r="H7852" t="s">
        <v>10474</v>
      </c>
      <c r="I7852" t="s">
        <v>17885</v>
      </c>
      <c r="J7852" t="s">
        <v>18894</v>
      </c>
      <c r="K7852">
        <v>11225</v>
      </c>
      <c r="L7852" t="s">
        <v>18960</v>
      </c>
      <c r="M7852" t="s">
        <v>18960</v>
      </c>
      <c r="P7852" t="s">
        <v>26565</v>
      </c>
      <c r="R7852" t="s">
        <v>26578</v>
      </c>
      <c r="U7852" t="s">
        <v>26604</v>
      </c>
      <c r="W7852" t="s">
        <v>769</v>
      </c>
      <c r="X7852">
        <v>0</v>
      </c>
      <c r="Y7852" t="s">
        <v>26652</v>
      </c>
      <c r="AB7852" t="s">
        <v>32491</v>
      </c>
      <c r="AE7852">
        <v>0</v>
      </c>
      <c r="AH7852">
        <v>0</v>
      </c>
      <c r="AI7852">
        <v>3</v>
      </c>
      <c r="AJ7852">
        <v>6</v>
      </c>
      <c r="AK7852">
        <v>30.43</v>
      </c>
      <c r="AN7852" t="s">
        <v>7439</v>
      </c>
      <c r="AO7852">
        <v>14560</v>
      </c>
      <c r="AU7852">
        <v>1.1</v>
      </c>
      <c r="AV7852" t="s">
        <v>806</v>
      </c>
      <c r="AW7852" t="s">
        <v>198</v>
      </c>
    </row>
    <row r="7853" spans="1:50">
      <c r="A7853" s="1">
        <f>HYPERLINK("https://lsnyc.legalserver.org/matter/dynamic-profile/view/1898780","19-1898780")</f>
        <v>0</v>
      </c>
      <c r="B7853" t="s">
        <v>198</v>
      </c>
      <c r="C7853" t="s">
        <v>340</v>
      </c>
      <c r="D7853" t="s">
        <v>769</v>
      </c>
      <c r="F7853" t="s">
        <v>3879</v>
      </c>
      <c r="G7853" t="s">
        <v>5208</v>
      </c>
      <c r="H7853" t="s">
        <v>14998</v>
      </c>
      <c r="I7853" t="s">
        <v>17569</v>
      </c>
      <c r="J7853" t="s">
        <v>18894</v>
      </c>
      <c r="K7853">
        <v>11225</v>
      </c>
      <c r="L7853" t="s">
        <v>18960</v>
      </c>
      <c r="M7853" t="s">
        <v>18960</v>
      </c>
      <c r="R7853" t="s">
        <v>26578</v>
      </c>
      <c r="U7853" t="s">
        <v>26604</v>
      </c>
      <c r="W7853" t="s">
        <v>769</v>
      </c>
      <c r="X7853">
        <v>0</v>
      </c>
      <c r="Y7853" t="s">
        <v>26652</v>
      </c>
      <c r="AB7853" t="s">
        <v>31570</v>
      </c>
      <c r="AD7853" t="s">
        <v>42933</v>
      </c>
      <c r="AE7853">
        <v>0</v>
      </c>
      <c r="AH7853">
        <v>0</v>
      </c>
      <c r="AI7853">
        <v>1</v>
      </c>
      <c r="AJ7853">
        <v>0</v>
      </c>
      <c r="AK7853">
        <v>163.33</v>
      </c>
      <c r="AN7853" t="s">
        <v>7439</v>
      </c>
      <c r="AO7853">
        <v>20400</v>
      </c>
      <c r="AU7853">
        <v>1</v>
      </c>
      <c r="AV7853" t="s">
        <v>805</v>
      </c>
      <c r="AW7853" t="s">
        <v>198</v>
      </c>
    </row>
    <row r="7854" spans="1:50">
      <c r="A7854" s="1">
        <f>HYPERLINK("https://lsnyc.legalserver.org/matter/dynamic-profile/view/1898728","19-1898728")</f>
        <v>0</v>
      </c>
      <c r="B7854" t="s">
        <v>220</v>
      </c>
      <c r="C7854" t="s">
        <v>340</v>
      </c>
      <c r="D7854" t="s">
        <v>769</v>
      </c>
      <c r="F7854" t="s">
        <v>974</v>
      </c>
      <c r="G7854" t="s">
        <v>8476</v>
      </c>
      <c r="H7854" t="s">
        <v>14999</v>
      </c>
      <c r="I7854" t="s">
        <v>17344</v>
      </c>
      <c r="J7854" t="s">
        <v>18939</v>
      </c>
      <c r="K7854">
        <v>11423</v>
      </c>
      <c r="L7854" t="s">
        <v>18958</v>
      </c>
      <c r="M7854" t="s">
        <v>18958</v>
      </c>
      <c r="N7854" t="s">
        <v>24573</v>
      </c>
      <c r="O7854" t="s">
        <v>26524</v>
      </c>
      <c r="P7854" t="s">
        <v>26560</v>
      </c>
      <c r="R7854" t="s">
        <v>26584</v>
      </c>
      <c r="S7854" t="s">
        <v>18959</v>
      </c>
      <c r="U7854" t="s">
        <v>26604</v>
      </c>
      <c r="W7854" t="s">
        <v>769</v>
      </c>
      <c r="X7854">
        <v>713</v>
      </c>
      <c r="Y7854" t="s">
        <v>26653</v>
      </c>
      <c r="Z7854" t="s">
        <v>26664</v>
      </c>
      <c r="AB7854" t="s">
        <v>29023</v>
      </c>
      <c r="AC7854" t="s">
        <v>36408</v>
      </c>
      <c r="AD7854" t="s">
        <v>42934</v>
      </c>
      <c r="AE7854">
        <v>36</v>
      </c>
      <c r="AF7854" t="s">
        <v>20460</v>
      </c>
      <c r="AG7854" t="s">
        <v>45559</v>
      </c>
      <c r="AH7854">
        <v>44</v>
      </c>
      <c r="AI7854">
        <v>4</v>
      </c>
      <c r="AJ7854">
        <v>0</v>
      </c>
      <c r="AK7854">
        <v>71.3</v>
      </c>
      <c r="AN7854" t="s">
        <v>7439</v>
      </c>
      <c r="AO7854">
        <v>18360</v>
      </c>
      <c r="AU7854">
        <v>10.13</v>
      </c>
      <c r="AV7854" t="s">
        <v>720</v>
      </c>
      <c r="AW7854" t="s">
        <v>208</v>
      </c>
    </row>
    <row r="7855" spans="1:50">
      <c r="A7855" s="1">
        <f>HYPERLINK("https://lsnyc.legalserver.org/matter/dynamic-profile/view/1898775","19-1898775")</f>
        <v>0</v>
      </c>
      <c r="B7855" t="s">
        <v>91</v>
      </c>
      <c r="C7855" t="s">
        <v>340</v>
      </c>
      <c r="D7855" t="s">
        <v>769</v>
      </c>
      <c r="F7855" t="s">
        <v>887</v>
      </c>
      <c r="G7855" t="s">
        <v>5147</v>
      </c>
      <c r="H7855" t="s">
        <v>11560</v>
      </c>
      <c r="I7855" t="s">
        <v>18511</v>
      </c>
      <c r="J7855" t="s">
        <v>18920</v>
      </c>
      <c r="K7855">
        <v>11369</v>
      </c>
      <c r="L7855" t="s">
        <v>18958</v>
      </c>
      <c r="M7855" t="s">
        <v>18958</v>
      </c>
      <c r="N7855" t="s">
        <v>24574</v>
      </c>
      <c r="O7855" t="s">
        <v>26524</v>
      </c>
      <c r="P7855" t="s">
        <v>26560</v>
      </c>
      <c r="R7855" t="s">
        <v>26584</v>
      </c>
      <c r="S7855" t="s">
        <v>18959</v>
      </c>
      <c r="U7855" t="s">
        <v>26604</v>
      </c>
      <c r="W7855" t="s">
        <v>769</v>
      </c>
      <c r="X7855">
        <v>1396</v>
      </c>
      <c r="Y7855" t="s">
        <v>26653</v>
      </c>
      <c r="Z7855" t="s">
        <v>26664</v>
      </c>
      <c r="AB7855" t="s">
        <v>29488</v>
      </c>
      <c r="AD7855" t="s">
        <v>42935</v>
      </c>
      <c r="AE7855">
        <v>2</v>
      </c>
      <c r="AH7855">
        <v>11</v>
      </c>
      <c r="AI7855">
        <v>3</v>
      </c>
      <c r="AJ7855">
        <v>0</v>
      </c>
      <c r="AK7855">
        <v>84.89</v>
      </c>
      <c r="AN7855" t="s">
        <v>45581</v>
      </c>
      <c r="AO7855">
        <v>18108</v>
      </c>
      <c r="AU7855">
        <v>7.1</v>
      </c>
      <c r="AV7855" t="s">
        <v>839</v>
      </c>
      <c r="AW7855" t="s">
        <v>46884</v>
      </c>
    </row>
    <row r="7856" spans="1:50">
      <c r="A7856" s="1">
        <f>HYPERLINK("https://lsnyc.legalserver.org/matter/dynamic-profile/view/1898784","19-1898784")</f>
        <v>0</v>
      </c>
      <c r="B7856" t="s">
        <v>91</v>
      </c>
      <c r="C7856" t="s">
        <v>340</v>
      </c>
      <c r="D7856" t="s">
        <v>769</v>
      </c>
      <c r="F7856" t="s">
        <v>3365</v>
      </c>
      <c r="G7856" t="s">
        <v>8477</v>
      </c>
      <c r="H7856" t="s">
        <v>15000</v>
      </c>
      <c r="I7856" t="s">
        <v>18429</v>
      </c>
      <c r="J7856" t="s">
        <v>18901</v>
      </c>
      <c r="K7856">
        <v>11433</v>
      </c>
      <c r="L7856" t="s">
        <v>18958</v>
      </c>
      <c r="M7856" t="s">
        <v>18958</v>
      </c>
      <c r="N7856" t="s">
        <v>24575</v>
      </c>
      <c r="O7856" t="s">
        <v>26523</v>
      </c>
      <c r="P7856" t="s">
        <v>26560</v>
      </c>
      <c r="R7856" t="s">
        <v>26585</v>
      </c>
      <c r="S7856" t="s">
        <v>18958</v>
      </c>
      <c r="U7856" t="s">
        <v>26604</v>
      </c>
      <c r="W7856" t="s">
        <v>769</v>
      </c>
      <c r="X7856">
        <v>1303</v>
      </c>
      <c r="Y7856" t="s">
        <v>26653</v>
      </c>
      <c r="AB7856" t="s">
        <v>30703</v>
      </c>
      <c r="AD7856" t="s">
        <v>42936</v>
      </c>
      <c r="AE7856">
        <v>50</v>
      </c>
      <c r="AF7856" t="s">
        <v>45541</v>
      </c>
      <c r="AH7856">
        <v>3</v>
      </c>
      <c r="AI7856">
        <v>2</v>
      </c>
      <c r="AJ7856">
        <v>0</v>
      </c>
      <c r="AK7856">
        <v>40.24</v>
      </c>
      <c r="AO7856">
        <v>6804</v>
      </c>
      <c r="AU7856">
        <v>14.1</v>
      </c>
      <c r="AV7856" t="s">
        <v>839</v>
      </c>
      <c r="AW7856" t="s">
        <v>46884</v>
      </c>
    </row>
    <row r="7857" spans="1:50">
      <c r="A7857" s="1">
        <f>HYPERLINK("https://lsnyc.legalserver.org/matter/dynamic-profile/view/1898687","19-1898687")</f>
        <v>0</v>
      </c>
      <c r="B7857" t="s">
        <v>235</v>
      </c>
      <c r="C7857" t="s">
        <v>340</v>
      </c>
      <c r="D7857" t="s">
        <v>769</v>
      </c>
      <c r="F7857" t="s">
        <v>2298</v>
      </c>
      <c r="G7857" t="s">
        <v>8478</v>
      </c>
      <c r="H7857" t="s">
        <v>15001</v>
      </c>
      <c r="I7857">
        <v>1</v>
      </c>
      <c r="J7857" t="s">
        <v>18918</v>
      </c>
      <c r="K7857">
        <v>11417</v>
      </c>
      <c r="L7857" t="s">
        <v>18958</v>
      </c>
      <c r="M7857" t="s">
        <v>18958</v>
      </c>
      <c r="N7857" t="s">
        <v>24576</v>
      </c>
      <c r="O7857" t="s">
        <v>26524</v>
      </c>
      <c r="P7857" t="s">
        <v>26563</v>
      </c>
      <c r="R7857" t="s">
        <v>26584</v>
      </c>
      <c r="S7857" t="s">
        <v>18959</v>
      </c>
      <c r="U7857" t="s">
        <v>26604</v>
      </c>
      <c r="W7857" t="s">
        <v>769</v>
      </c>
      <c r="X7857">
        <v>2068</v>
      </c>
      <c r="Y7857" t="s">
        <v>26653</v>
      </c>
      <c r="Z7857" t="s">
        <v>26664</v>
      </c>
      <c r="AB7857" t="s">
        <v>32492</v>
      </c>
      <c r="AD7857" t="s">
        <v>42937</v>
      </c>
      <c r="AE7857">
        <v>0</v>
      </c>
      <c r="AF7857" t="s">
        <v>20460</v>
      </c>
      <c r="AG7857" t="s">
        <v>45556</v>
      </c>
      <c r="AH7857">
        <v>5</v>
      </c>
      <c r="AI7857">
        <v>1</v>
      </c>
      <c r="AJ7857">
        <v>3</v>
      </c>
      <c r="AK7857">
        <v>119.07</v>
      </c>
      <c r="AN7857" t="s">
        <v>7439</v>
      </c>
      <c r="AO7857">
        <v>30660</v>
      </c>
      <c r="AU7857">
        <v>0.3</v>
      </c>
      <c r="AV7857" t="s">
        <v>769</v>
      </c>
      <c r="AW7857" t="s">
        <v>208</v>
      </c>
    </row>
    <row r="7858" spans="1:50">
      <c r="A7858" s="1">
        <f>HYPERLINK("https://lsnyc.legalserver.org/matter/dynamic-profile/view/1895117","19-1895117")</f>
        <v>0</v>
      </c>
      <c r="B7858" t="s">
        <v>297</v>
      </c>
      <c r="C7858" t="s">
        <v>340</v>
      </c>
      <c r="D7858" t="s">
        <v>695</v>
      </c>
      <c r="F7858" t="s">
        <v>1923</v>
      </c>
      <c r="G7858" t="s">
        <v>6098</v>
      </c>
      <c r="H7858" t="s">
        <v>11071</v>
      </c>
      <c r="I7858" t="s">
        <v>17347</v>
      </c>
      <c r="J7858" t="s">
        <v>18892</v>
      </c>
      <c r="K7858">
        <v>10459</v>
      </c>
      <c r="L7858" t="s">
        <v>18958</v>
      </c>
      <c r="M7858" t="s">
        <v>18958</v>
      </c>
      <c r="N7858" t="s">
        <v>24577</v>
      </c>
      <c r="O7858" t="s">
        <v>26523</v>
      </c>
      <c r="P7858" t="s">
        <v>26560</v>
      </c>
      <c r="R7858" t="s">
        <v>26577</v>
      </c>
      <c r="S7858" t="s">
        <v>18959</v>
      </c>
      <c r="U7858" t="s">
        <v>26604</v>
      </c>
      <c r="V7858" t="s">
        <v>26610</v>
      </c>
      <c r="W7858" t="s">
        <v>770</v>
      </c>
      <c r="X7858">
        <v>1550</v>
      </c>
      <c r="Y7858" t="s">
        <v>26650</v>
      </c>
      <c r="Z7858" t="s">
        <v>26664</v>
      </c>
      <c r="AB7858" t="s">
        <v>30799</v>
      </c>
      <c r="AD7858" t="s">
        <v>42938</v>
      </c>
      <c r="AE7858">
        <v>29</v>
      </c>
      <c r="AF7858" t="s">
        <v>45541</v>
      </c>
      <c r="AG7858" t="s">
        <v>26530</v>
      </c>
      <c r="AH7858">
        <v>0</v>
      </c>
      <c r="AI7858">
        <v>1</v>
      </c>
      <c r="AJ7858">
        <v>1</v>
      </c>
      <c r="AK7858">
        <v>54.64</v>
      </c>
      <c r="AN7858" t="s">
        <v>7439</v>
      </c>
      <c r="AO7858">
        <v>9240</v>
      </c>
      <c r="AU7858">
        <v>27.6</v>
      </c>
      <c r="AV7858" t="s">
        <v>836</v>
      </c>
      <c r="AW7858" t="s">
        <v>336</v>
      </c>
    </row>
    <row r="7859" spans="1:50">
      <c r="A7859" s="1">
        <f>HYPERLINK("https://lsnyc.legalserver.org/matter/dynamic-profile/view/1896219","19-1896219")</f>
        <v>0</v>
      </c>
      <c r="B7859" t="s">
        <v>158</v>
      </c>
      <c r="C7859" t="s">
        <v>340</v>
      </c>
      <c r="D7859" t="s">
        <v>792</v>
      </c>
      <c r="F7859" t="s">
        <v>4087</v>
      </c>
      <c r="G7859" t="s">
        <v>8479</v>
      </c>
      <c r="H7859" t="s">
        <v>15002</v>
      </c>
      <c r="I7859" t="s">
        <v>17358</v>
      </c>
      <c r="J7859" t="s">
        <v>18894</v>
      </c>
      <c r="K7859">
        <v>11209</v>
      </c>
      <c r="L7859" t="s">
        <v>18958</v>
      </c>
      <c r="M7859" t="s">
        <v>18958</v>
      </c>
      <c r="N7859" t="s">
        <v>24578</v>
      </c>
      <c r="O7859" t="s">
        <v>26523</v>
      </c>
      <c r="P7859" t="s">
        <v>26560</v>
      </c>
      <c r="R7859" t="s">
        <v>26586</v>
      </c>
      <c r="U7859" t="s">
        <v>26604</v>
      </c>
      <c r="V7859" t="s">
        <v>26610</v>
      </c>
      <c r="W7859" t="s">
        <v>770</v>
      </c>
      <c r="X7859">
        <v>1170</v>
      </c>
      <c r="Y7859" t="s">
        <v>26652</v>
      </c>
      <c r="Z7859" t="s">
        <v>26664</v>
      </c>
      <c r="AB7859" t="s">
        <v>30634</v>
      </c>
      <c r="AC7859" t="s">
        <v>36409</v>
      </c>
      <c r="AD7859" t="s">
        <v>42939</v>
      </c>
      <c r="AE7859">
        <v>62</v>
      </c>
      <c r="AF7859" t="s">
        <v>45541</v>
      </c>
      <c r="AH7859">
        <v>6</v>
      </c>
      <c r="AI7859">
        <v>1</v>
      </c>
      <c r="AJ7859">
        <v>1</v>
      </c>
      <c r="AK7859">
        <v>70.95999999999999</v>
      </c>
      <c r="AO7859">
        <v>12000</v>
      </c>
      <c r="AU7859">
        <v>14.3</v>
      </c>
      <c r="AV7859" t="s">
        <v>829</v>
      </c>
      <c r="AW7859" t="s">
        <v>46862</v>
      </c>
    </row>
    <row r="7860" spans="1:50">
      <c r="A7860" s="1">
        <f>HYPERLINK("https://lsnyc.legalserver.org/matter/dynamic-profile/view/1896253","19-1896253")</f>
        <v>0</v>
      </c>
      <c r="B7860" t="s">
        <v>68</v>
      </c>
      <c r="C7860" t="s">
        <v>340</v>
      </c>
      <c r="D7860" t="s">
        <v>792</v>
      </c>
      <c r="F7860" t="s">
        <v>1046</v>
      </c>
      <c r="G7860" t="s">
        <v>5916</v>
      </c>
      <c r="H7860" t="s">
        <v>11265</v>
      </c>
      <c r="I7860" t="s">
        <v>17369</v>
      </c>
      <c r="J7860" t="s">
        <v>18892</v>
      </c>
      <c r="K7860">
        <v>10467</v>
      </c>
      <c r="L7860" t="s">
        <v>18958</v>
      </c>
      <c r="M7860" t="s">
        <v>18958</v>
      </c>
      <c r="N7860" t="s">
        <v>24579</v>
      </c>
      <c r="O7860" t="s">
        <v>26523</v>
      </c>
      <c r="P7860" t="s">
        <v>26560</v>
      </c>
      <c r="R7860" t="s">
        <v>26579</v>
      </c>
      <c r="S7860" t="s">
        <v>18959</v>
      </c>
      <c r="U7860" t="s">
        <v>26604</v>
      </c>
      <c r="V7860" t="s">
        <v>26612</v>
      </c>
      <c r="W7860" t="s">
        <v>770</v>
      </c>
      <c r="X7860">
        <v>1508.63</v>
      </c>
      <c r="Y7860" t="s">
        <v>26650</v>
      </c>
      <c r="AB7860" t="s">
        <v>28621</v>
      </c>
      <c r="AC7860" t="s">
        <v>36410</v>
      </c>
      <c r="AD7860" t="s">
        <v>42940</v>
      </c>
      <c r="AE7860">
        <v>59</v>
      </c>
      <c r="AF7860" t="s">
        <v>45541</v>
      </c>
      <c r="AG7860" t="s">
        <v>45561</v>
      </c>
      <c r="AH7860">
        <v>5</v>
      </c>
      <c r="AI7860">
        <v>1</v>
      </c>
      <c r="AJ7860">
        <v>0</v>
      </c>
      <c r="AK7860">
        <v>28.44</v>
      </c>
      <c r="AN7860" t="s">
        <v>7439</v>
      </c>
      <c r="AO7860">
        <v>3552</v>
      </c>
      <c r="AU7860">
        <v>9.199999999999999</v>
      </c>
      <c r="AV7860" t="s">
        <v>834</v>
      </c>
      <c r="AW7860" t="s">
        <v>46867</v>
      </c>
      <c r="AX7860" t="s">
        <v>46898</v>
      </c>
    </row>
    <row r="7861" spans="1:50">
      <c r="A7861" s="1">
        <f>HYPERLINK("https://lsnyc.legalserver.org/matter/dynamic-profile/view/1898707","19-1898707")</f>
        <v>0</v>
      </c>
      <c r="B7861" t="s">
        <v>225</v>
      </c>
      <c r="C7861" t="s">
        <v>341</v>
      </c>
      <c r="D7861" t="s">
        <v>769</v>
      </c>
      <c r="E7861" t="s">
        <v>805</v>
      </c>
      <c r="F7861" t="s">
        <v>1128</v>
      </c>
      <c r="G7861" t="s">
        <v>8480</v>
      </c>
      <c r="H7861" t="s">
        <v>15003</v>
      </c>
      <c r="I7861" t="s">
        <v>17516</v>
      </c>
      <c r="J7861" t="s">
        <v>18893</v>
      </c>
      <c r="K7861">
        <v>10035</v>
      </c>
      <c r="L7861" t="s">
        <v>18958</v>
      </c>
      <c r="M7861" t="s">
        <v>18958</v>
      </c>
      <c r="O7861" t="s">
        <v>26531</v>
      </c>
      <c r="P7861" t="s">
        <v>26564</v>
      </c>
      <c r="Q7861" t="s">
        <v>26570</v>
      </c>
      <c r="R7861" t="s">
        <v>26578</v>
      </c>
      <c r="S7861" t="s">
        <v>18959</v>
      </c>
      <c r="U7861" t="s">
        <v>26604</v>
      </c>
      <c r="V7861" t="s">
        <v>26610</v>
      </c>
      <c r="W7861" t="s">
        <v>770</v>
      </c>
      <c r="X7861">
        <v>677.1</v>
      </c>
      <c r="Y7861" t="s">
        <v>26651</v>
      </c>
      <c r="Z7861" t="s">
        <v>26667</v>
      </c>
      <c r="AA7861" t="s">
        <v>26683</v>
      </c>
      <c r="AB7861" t="s">
        <v>32493</v>
      </c>
      <c r="AD7861" t="s">
        <v>42941</v>
      </c>
      <c r="AE7861">
        <v>185</v>
      </c>
      <c r="AF7861" t="s">
        <v>45541</v>
      </c>
      <c r="AG7861" t="s">
        <v>19330</v>
      </c>
      <c r="AH7861">
        <v>10</v>
      </c>
      <c r="AI7861">
        <v>1</v>
      </c>
      <c r="AJ7861">
        <v>0</v>
      </c>
      <c r="AK7861">
        <v>111.45</v>
      </c>
      <c r="AN7861" t="s">
        <v>7439</v>
      </c>
      <c r="AO7861">
        <v>13920</v>
      </c>
      <c r="AU7861">
        <v>1</v>
      </c>
      <c r="AV7861" t="s">
        <v>770</v>
      </c>
      <c r="AW7861" t="s">
        <v>46875</v>
      </c>
    </row>
    <row r="7862" spans="1:50">
      <c r="A7862" s="1">
        <f>HYPERLINK("https://lsnyc.legalserver.org/matter/dynamic-profile/view/1898710","19-1898710")</f>
        <v>0</v>
      </c>
      <c r="B7862" t="s">
        <v>50</v>
      </c>
      <c r="C7862" t="s">
        <v>341</v>
      </c>
      <c r="D7862" t="s">
        <v>769</v>
      </c>
      <c r="E7862" t="s">
        <v>770</v>
      </c>
      <c r="F7862" t="s">
        <v>1096</v>
      </c>
      <c r="G7862" t="s">
        <v>6860</v>
      </c>
      <c r="H7862" t="s">
        <v>15004</v>
      </c>
      <c r="I7862" t="s">
        <v>17348</v>
      </c>
      <c r="J7862" t="s">
        <v>18892</v>
      </c>
      <c r="K7862">
        <v>10462</v>
      </c>
      <c r="L7862" t="s">
        <v>18958</v>
      </c>
      <c r="M7862" t="s">
        <v>18958</v>
      </c>
      <c r="N7862" t="s">
        <v>24580</v>
      </c>
      <c r="O7862" t="s">
        <v>26523</v>
      </c>
      <c r="P7862" t="s">
        <v>26560</v>
      </c>
      <c r="Q7862" t="s">
        <v>26568</v>
      </c>
      <c r="R7862" t="s">
        <v>26579</v>
      </c>
      <c r="S7862" t="s">
        <v>18959</v>
      </c>
      <c r="U7862" t="s">
        <v>26604</v>
      </c>
      <c r="W7862" t="s">
        <v>770</v>
      </c>
      <c r="X7862">
        <v>1436</v>
      </c>
      <c r="Y7862" t="s">
        <v>26650</v>
      </c>
      <c r="Z7862" t="s">
        <v>26668</v>
      </c>
      <c r="AA7862" t="s">
        <v>26678</v>
      </c>
      <c r="AB7862" t="s">
        <v>32494</v>
      </c>
      <c r="AE7862">
        <v>60</v>
      </c>
      <c r="AF7862" t="s">
        <v>45549</v>
      </c>
      <c r="AG7862" t="s">
        <v>45556</v>
      </c>
      <c r="AH7862">
        <v>26</v>
      </c>
      <c r="AI7862">
        <v>3</v>
      </c>
      <c r="AJ7862">
        <v>0</v>
      </c>
      <c r="AK7862">
        <v>12.07</v>
      </c>
      <c r="AN7862" t="s">
        <v>7439</v>
      </c>
      <c r="AO7862">
        <v>2574</v>
      </c>
      <c r="AR7862" t="s">
        <v>46413</v>
      </c>
      <c r="AS7862" t="s">
        <v>46499</v>
      </c>
      <c r="AT7862" t="s">
        <v>46732</v>
      </c>
      <c r="AU7862">
        <v>5.25</v>
      </c>
      <c r="AV7862" t="s">
        <v>770</v>
      </c>
      <c r="AW7862" t="s">
        <v>46870</v>
      </c>
      <c r="AX7862" t="s">
        <v>46897</v>
      </c>
    </row>
    <row r="7863" spans="1:50">
      <c r="A7863" s="1">
        <f>HYPERLINK("https://lsnyc.legalserver.org/matter/dynamic-profile/view/1898860","19-1898860")</f>
        <v>0</v>
      </c>
      <c r="B7863" t="s">
        <v>165</v>
      </c>
      <c r="C7863" t="s">
        <v>341</v>
      </c>
      <c r="D7863" t="s">
        <v>770</v>
      </c>
      <c r="E7863" t="s">
        <v>832</v>
      </c>
      <c r="F7863" t="s">
        <v>928</v>
      </c>
      <c r="G7863" t="s">
        <v>8481</v>
      </c>
      <c r="H7863" t="s">
        <v>9850</v>
      </c>
      <c r="I7863" t="s">
        <v>17422</v>
      </c>
      <c r="J7863" t="s">
        <v>18893</v>
      </c>
      <c r="K7863">
        <v>10011</v>
      </c>
      <c r="L7863" t="s">
        <v>18958</v>
      </c>
      <c r="M7863" t="s">
        <v>18958</v>
      </c>
      <c r="N7863" t="s">
        <v>24581</v>
      </c>
      <c r="O7863" t="s">
        <v>26524</v>
      </c>
      <c r="P7863" t="s">
        <v>26564</v>
      </c>
      <c r="Q7863" t="s">
        <v>26570</v>
      </c>
      <c r="R7863" t="s">
        <v>26582</v>
      </c>
      <c r="S7863" t="s">
        <v>18959</v>
      </c>
      <c r="U7863" t="s">
        <v>26604</v>
      </c>
      <c r="W7863" t="s">
        <v>770</v>
      </c>
      <c r="X7863">
        <v>500</v>
      </c>
      <c r="Y7863" t="s">
        <v>26651</v>
      </c>
      <c r="Z7863" t="s">
        <v>26664</v>
      </c>
      <c r="AA7863" t="s">
        <v>26683</v>
      </c>
      <c r="AB7863" t="s">
        <v>32495</v>
      </c>
      <c r="AC7863" t="s">
        <v>36411</v>
      </c>
      <c r="AD7863" t="s">
        <v>42942</v>
      </c>
      <c r="AE7863">
        <v>113</v>
      </c>
      <c r="AF7863" t="s">
        <v>45548</v>
      </c>
      <c r="AG7863" t="s">
        <v>19330</v>
      </c>
      <c r="AH7863">
        <v>10</v>
      </c>
      <c r="AI7863">
        <v>1</v>
      </c>
      <c r="AJ7863">
        <v>0</v>
      </c>
      <c r="AK7863">
        <v>89.45</v>
      </c>
      <c r="AN7863" t="s">
        <v>7439</v>
      </c>
      <c r="AO7863">
        <v>11172</v>
      </c>
      <c r="AU7863">
        <v>0.6</v>
      </c>
      <c r="AV7863" t="s">
        <v>808</v>
      </c>
      <c r="AW7863" t="s">
        <v>46875</v>
      </c>
    </row>
    <row r="7864" spans="1:50">
      <c r="A7864" s="1">
        <f>HYPERLINK("https://lsnyc.legalserver.org/matter/dynamic-profile/view/1898839","19-1898839")</f>
        <v>0</v>
      </c>
      <c r="B7864" t="s">
        <v>165</v>
      </c>
      <c r="C7864" t="s">
        <v>341</v>
      </c>
      <c r="D7864" t="s">
        <v>770</v>
      </c>
      <c r="E7864" t="s">
        <v>832</v>
      </c>
      <c r="F7864" t="s">
        <v>3413</v>
      </c>
      <c r="G7864" t="s">
        <v>5258</v>
      </c>
      <c r="H7864" t="s">
        <v>15005</v>
      </c>
      <c r="I7864" t="s">
        <v>17307</v>
      </c>
      <c r="J7864" t="s">
        <v>18893</v>
      </c>
      <c r="K7864">
        <v>10030</v>
      </c>
      <c r="L7864" t="s">
        <v>18958</v>
      </c>
      <c r="M7864" t="s">
        <v>18958</v>
      </c>
      <c r="N7864" t="s">
        <v>24582</v>
      </c>
      <c r="O7864" t="s">
        <v>26523</v>
      </c>
      <c r="P7864" t="s">
        <v>26564</v>
      </c>
      <c r="Q7864" t="s">
        <v>26570</v>
      </c>
      <c r="R7864" t="s">
        <v>26582</v>
      </c>
      <c r="S7864" t="s">
        <v>18959</v>
      </c>
      <c r="U7864" t="s">
        <v>26604</v>
      </c>
      <c r="W7864" t="s">
        <v>770</v>
      </c>
      <c r="X7864">
        <v>750.34</v>
      </c>
      <c r="Y7864" t="s">
        <v>26651</v>
      </c>
      <c r="Z7864" t="s">
        <v>26655</v>
      </c>
      <c r="AA7864" t="s">
        <v>26683</v>
      </c>
      <c r="AB7864" t="s">
        <v>32496</v>
      </c>
      <c r="AD7864" t="s">
        <v>42943</v>
      </c>
      <c r="AE7864">
        <v>13</v>
      </c>
      <c r="AF7864" t="s">
        <v>45541</v>
      </c>
      <c r="AG7864" t="s">
        <v>45559</v>
      </c>
      <c r="AH7864">
        <v>21</v>
      </c>
      <c r="AI7864">
        <v>2</v>
      </c>
      <c r="AJ7864">
        <v>1</v>
      </c>
      <c r="AK7864">
        <v>135.47</v>
      </c>
      <c r="AN7864" t="s">
        <v>7439</v>
      </c>
      <c r="AO7864">
        <v>28896</v>
      </c>
      <c r="AU7864">
        <v>1</v>
      </c>
      <c r="AV7864" t="s">
        <v>770</v>
      </c>
      <c r="AW7864" t="s">
        <v>46875</v>
      </c>
      <c r="AX7864" t="s">
        <v>46897</v>
      </c>
    </row>
    <row r="7865" spans="1:50">
      <c r="A7865" s="1">
        <f>HYPERLINK("https://lsnyc.legalserver.org/matter/dynamic-profile/view/1898814","19-1898814")</f>
        <v>0</v>
      </c>
      <c r="B7865" t="s">
        <v>165</v>
      </c>
      <c r="C7865" t="s">
        <v>341</v>
      </c>
      <c r="D7865" t="s">
        <v>770</v>
      </c>
      <c r="E7865" t="s">
        <v>832</v>
      </c>
      <c r="F7865" t="s">
        <v>1283</v>
      </c>
      <c r="G7865" t="s">
        <v>6008</v>
      </c>
      <c r="H7865" t="s">
        <v>15006</v>
      </c>
      <c r="I7865" t="s">
        <v>17322</v>
      </c>
      <c r="J7865" t="s">
        <v>18893</v>
      </c>
      <c r="K7865">
        <v>10039</v>
      </c>
      <c r="L7865" t="s">
        <v>18958</v>
      </c>
      <c r="M7865" t="s">
        <v>18958</v>
      </c>
      <c r="N7865" t="s">
        <v>24583</v>
      </c>
      <c r="O7865" t="s">
        <v>26523</v>
      </c>
      <c r="P7865" t="s">
        <v>26564</v>
      </c>
      <c r="Q7865" t="s">
        <v>26570</v>
      </c>
      <c r="R7865" t="s">
        <v>26582</v>
      </c>
      <c r="S7865" t="s">
        <v>18959</v>
      </c>
      <c r="U7865" t="s">
        <v>26604</v>
      </c>
      <c r="W7865" t="s">
        <v>770</v>
      </c>
      <c r="X7865">
        <v>595</v>
      </c>
      <c r="Y7865" t="s">
        <v>26651</v>
      </c>
      <c r="Z7865" t="s">
        <v>26664</v>
      </c>
      <c r="AA7865" t="s">
        <v>26683</v>
      </c>
      <c r="AB7865" t="s">
        <v>32037</v>
      </c>
      <c r="AD7865" t="s">
        <v>42944</v>
      </c>
      <c r="AE7865">
        <v>117</v>
      </c>
      <c r="AF7865" t="s">
        <v>20460</v>
      </c>
      <c r="AG7865" t="s">
        <v>26530</v>
      </c>
      <c r="AH7865">
        <v>21</v>
      </c>
      <c r="AI7865">
        <v>2</v>
      </c>
      <c r="AJ7865">
        <v>0</v>
      </c>
      <c r="AK7865">
        <v>159.67</v>
      </c>
      <c r="AN7865" t="s">
        <v>7439</v>
      </c>
      <c r="AO7865">
        <v>27000</v>
      </c>
      <c r="AU7865">
        <v>0.5</v>
      </c>
      <c r="AV7865" t="s">
        <v>808</v>
      </c>
      <c r="AW7865" t="s">
        <v>46875</v>
      </c>
      <c r="AX7865" t="s">
        <v>46897</v>
      </c>
    </row>
    <row r="7866" spans="1:50">
      <c r="A7866" s="1">
        <f>HYPERLINK("https://lsnyc.legalserver.org/matter/dynamic-profile/view/1898807","19-1898807")</f>
        <v>0</v>
      </c>
      <c r="B7866" t="s">
        <v>165</v>
      </c>
      <c r="C7866" t="s">
        <v>341</v>
      </c>
      <c r="D7866" t="s">
        <v>770</v>
      </c>
      <c r="E7866" t="s">
        <v>832</v>
      </c>
      <c r="F7866" t="s">
        <v>979</v>
      </c>
      <c r="G7866" t="s">
        <v>5402</v>
      </c>
      <c r="H7866" t="s">
        <v>15007</v>
      </c>
      <c r="I7866" t="s">
        <v>17305</v>
      </c>
      <c r="J7866" t="s">
        <v>18893</v>
      </c>
      <c r="K7866">
        <v>10010</v>
      </c>
      <c r="L7866" t="s">
        <v>18958</v>
      </c>
      <c r="M7866" t="s">
        <v>18958</v>
      </c>
      <c r="N7866" t="s">
        <v>24584</v>
      </c>
      <c r="O7866" t="s">
        <v>26523</v>
      </c>
      <c r="P7866" t="s">
        <v>26564</v>
      </c>
      <c r="Q7866" t="s">
        <v>26570</v>
      </c>
      <c r="R7866" t="s">
        <v>26582</v>
      </c>
      <c r="S7866" t="s">
        <v>18959</v>
      </c>
      <c r="U7866" t="s">
        <v>26604</v>
      </c>
      <c r="W7866" t="s">
        <v>770</v>
      </c>
      <c r="X7866">
        <v>1322</v>
      </c>
      <c r="Y7866" t="s">
        <v>26651</v>
      </c>
      <c r="Z7866" t="s">
        <v>26664</v>
      </c>
      <c r="AA7866" t="s">
        <v>26683</v>
      </c>
      <c r="AB7866" t="s">
        <v>31924</v>
      </c>
      <c r="AD7866" t="s">
        <v>42945</v>
      </c>
      <c r="AE7866">
        <v>408</v>
      </c>
      <c r="AF7866" t="s">
        <v>45541</v>
      </c>
      <c r="AG7866" t="s">
        <v>45556</v>
      </c>
      <c r="AH7866">
        <v>14</v>
      </c>
      <c r="AI7866">
        <v>3</v>
      </c>
      <c r="AJ7866">
        <v>0</v>
      </c>
      <c r="AK7866">
        <v>164.13</v>
      </c>
      <c r="AN7866" t="s">
        <v>7439</v>
      </c>
      <c r="AO7866">
        <v>35008</v>
      </c>
      <c r="AU7866">
        <v>1</v>
      </c>
      <c r="AV7866" t="s">
        <v>770</v>
      </c>
      <c r="AW7866" t="s">
        <v>46875</v>
      </c>
    </row>
    <row r="7867" spans="1:50">
      <c r="A7867" s="1">
        <f>HYPERLINK("https://lsnyc.legalserver.org/matter/dynamic-profile/view/1898876","19-1898876")</f>
        <v>0</v>
      </c>
      <c r="B7867" t="s">
        <v>165</v>
      </c>
      <c r="C7867" t="s">
        <v>341</v>
      </c>
      <c r="D7867" t="s">
        <v>770</v>
      </c>
      <c r="E7867" t="s">
        <v>832</v>
      </c>
      <c r="F7867" t="s">
        <v>4088</v>
      </c>
      <c r="G7867" t="s">
        <v>1725</v>
      </c>
      <c r="H7867" t="s">
        <v>15008</v>
      </c>
      <c r="I7867" t="s">
        <v>17277</v>
      </c>
      <c r="J7867" t="s">
        <v>18893</v>
      </c>
      <c r="K7867">
        <v>10040</v>
      </c>
      <c r="L7867" t="s">
        <v>18958</v>
      </c>
      <c r="M7867" t="s">
        <v>18958</v>
      </c>
      <c r="N7867" t="s">
        <v>24585</v>
      </c>
      <c r="O7867" t="s">
        <v>26523</v>
      </c>
      <c r="P7867" t="s">
        <v>26564</v>
      </c>
      <c r="Q7867" t="s">
        <v>26570</v>
      </c>
      <c r="R7867" t="s">
        <v>26582</v>
      </c>
      <c r="S7867" t="s">
        <v>18959</v>
      </c>
      <c r="U7867" t="s">
        <v>26604</v>
      </c>
      <c r="W7867" t="s">
        <v>770</v>
      </c>
      <c r="X7867">
        <v>995</v>
      </c>
      <c r="Y7867" t="s">
        <v>26651</v>
      </c>
      <c r="Z7867" t="s">
        <v>26664</v>
      </c>
      <c r="AA7867" t="s">
        <v>26683</v>
      </c>
      <c r="AB7867" t="s">
        <v>32497</v>
      </c>
      <c r="AC7867" t="s">
        <v>36412</v>
      </c>
      <c r="AD7867" t="s">
        <v>42946</v>
      </c>
      <c r="AE7867">
        <v>0</v>
      </c>
      <c r="AF7867" t="s">
        <v>45541</v>
      </c>
      <c r="AG7867" t="s">
        <v>19330</v>
      </c>
      <c r="AH7867">
        <v>13</v>
      </c>
      <c r="AI7867">
        <v>2</v>
      </c>
      <c r="AJ7867">
        <v>2</v>
      </c>
      <c r="AK7867">
        <v>171.65</v>
      </c>
      <c r="AN7867" t="s">
        <v>7439</v>
      </c>
      <c r="AO7867">
        <v>44200</v>
      </c>
      <c r="AU7867">
        <v>0.1</v>
      </c>
      <c r="AV7867" t="s">
        <v>805</v>
      </c>
      <c r="AW7867" t="s">
        <v>46875</v>
      </c>
    </row>
    <row r="7868" spans="1:50">
      <c r="A7868" s="1">
        <f>HYPERLINK("https://lsnyc.legalserver.org/matter/dynamic-profile/view/1898815","19-1898815")</f>
        <v>0</v>
      </c>
      <c r="B7868" t="s">
        <v>66</v>
      </c>
      <c r="C7868" t="s">
        <v>341</v>
      </c>
      <c r="D7868" t="s">
        <v>770</v>
      </c>
      <c r="E7868" t="s">
        <v>835</v>
      </c>
      <c r="F7868" t="s">
        <v>4089</v>
      </c>
      <c r="G7868" t="s">
        <v>7407</v>
      </c>
      <c r="H7868" t="s">
        <v>15009</v>
      </c>
      <c r="I7868">
        <v>51</v>
      </c>
      <c r="J7868" t="s">
        <v>18893</v>
      </c>
      <c r="K7868">
        <v>10026</v>
      </c>
      <c r="L7868" t="s">
        <v>18958</v>
      </c>
      <c r="M7868" t="s">
        <v>18958</v>
      </c>
      <c r="N7868" t="s">
        <v>24586</v>
      </c>
      <c r="O7868" t="s">
        <v>26524</v>
      </c>
      <c r="P7868" t="s">
        <v>26560</v>
      </c>
      <c r="Q7868" t="s">
        <v>26570</v>
      </c>
      <c r="R7868" t="s">
        <v>26580</v>
      </c>
      <c r="S7868" t="s">
        <v>18959</v>
      </c>
      <c r="U7868" t="s">
        <v>26606</v>
      </c>
      <c r="W7868" t="s">
        <v>770</v>
      </c>
      <c r="X7868">
        <v>247</v>
      </c>
      <c r="Y7868" t="s">
        <v>26651</v>
      </c>
      <c r="Z7868" t="s">
        <v>26664</v>
      </c>
      <c r="AA7868" t="s">
        <v>26683</v>
      </c>
      <c r="AB7868" t="s">
        <v>27502</v>
      </c>
      <c r="AC7868" t="s">
        <v>36413</v>
      </c>
      <c r="AD7868" t="s">
        <v>42947</v>
      </c>
      <c r="AE7868">
        <v>0</v>
      </c>
      <c r="AF7868" t="s">
        <v>45552</v>
      </c>
      <c r="AG7868" t="s">
        <v>19330</v>
      </c>
      <c r="AH7868">
        <v>6</v>
      </c>
      <c r="AI7868">
        <v>2</v>
      </c>
      <c r="AJ7868">
        <v>2</v>
      </c>
      <c r="AK7868">
        <v>8.31</v>
      </c>
      <c r="AN7868" t="s">
        <v>7439</v>
      </c>
      <c r="AO7868">
        <v>2141.1</v>
      </c>
      <c r="AU7868">
        <v>0.75</v>
      </c>
      <c r="AV7868" t="s">
        <v>820</v>
      </c>
      <c r="AW7868" t="s">
        <v>314</v>
      </c>
    </row>
    <row r="7869" spans="1:50">
      <c r="A7869" s="1">
        <f>HYPERLINK("https://lsnyc.legalserver.org/matter/dynamic-profile/view/1898805","19-1898805")</f>
        <v>0</v>
      </c>
      <c r="B7869" t="s">
        <v>74</v>
      </c>
      <c r="C7869" t="s">
        <v>341</v>
      </c>
      <c r="D7869" t="s">
        <v>770</v>
      </c>
      <c r="E7869" t="s">
        <v>831</v>
      </c>
      <c r="F7869" t="s">
        <v>1036</v>
      </c>
      <c r="G7869" t="s">
        <v>5401</v>
      </c>
      <c r="H7869" t="s">
        <v>10454</v>
      </c>
      <c r="I7869" t="s">
        <v>17309</v>
      </c>
      <c r="J7869" t="s">
        <v>18893</v>
      </c>
      <c r="K7869">
        <v>10034</v>
      </c>
      <c r="L7869" t="s">
        <v>18958</v>
      </c>
      <c r="M7869" t="s">
        <v>18958</v>
      </c>
      <c r="N7869" t="s">
        <v>24587</v>
      </c>
      <c r="O7869" t="s">
        <v>26523</v>
      </c>
      <c r="P7869" t="s">
        <v>26564</v>
      </c>
      <c r="Q7869" t="s">
        <v>26570</v>
      </c>
      <c r="R7869" t="s">
        <v>26578</v>
      </c>
      <c r="S7869" t="s">
        <v>18959</v>
      </c>
      <c r="U7869" t="s">
        <v>26604</v>
      </c>
      <c r="W7869" t="s">
        <v>770</v>
      </c>
      <c r="X7869">
        <v>1241</v>
      </c>
      <c r="Y7869" t="s">
        <v>26651</v>
      </c>
      <c r="Z7869" t="s">
        <v>26664</v>
      </c>
      <c r="AA7869" t="s">
        <v>26683</v>
      </c>
      <c r="AB7869" t="s">
        <v>28208</v>
      </c>
      <c r="AC7869" t="s">
        <v>36414</v>
      </c>
      <c r="AD7869" t="s">
        <v>42948</v>
      </c>
      <c r="AE7869">
        <v>73</v>
      </c>
      <c r="AF7869" t="s">
        <v>45541</v>
      </c>
      <c r="AG7869" t="s">
        <v>45559</v>
      </c>
      <c r="AH7869">
        <v>14</v>
      </c>
      <c r="AI7869">
        <v>3</v>
      </c>
      <c r="AJ7869">
        <v>0</v>
      </c>
      <c r="AK7869">
        <v>180.84</v>
      </c>
      <c r="AN7869" t="s">
        <v>45581</v>
      </c>
      <c r="AO7869">
        <v>38573.08</v>
      </c>
      <c r="AU7869">
        <v>2.8</v>
      </c>
      <c r="AV7869" t="s">
        <v>823</v>
      </c>
      <c r="AW7869" t="s">
        <v>46875</v>
      </c>
      <c r="AX7869" t="s">
        <v>46897</v>
      </c>
    </row>
    <row r="7870" spans="1:50">
      <c r="A7870" s="1">
        <f>HYPERLINK("https://lsnyc.legalserver.org/matter/dynamic-profile/view/1898849","19-1898849")</f>
        <v>0</v>
      </c>
      <c r="B7870" t="s">
        <v>263</v>
      </c>
      <c r="C7870" t="s">
        <v>341</v>
      </c>
      <c r="D7870" t="s">
        <v>770</v>
      </c>
      <c r="E7870" t="s">
        <v>828</v>
      </c>
      <c r="F7870" t="s">
        <v>4090</v>
      </c>
      <c r="G7870" t="s">
        <v>5987</v>
      </c>
      <c r="H7870" t="s">
        <v>15010</v>
      </c>
      <c r="I7870" t="s">
        <v>17380</v>
      </c>
      <c r="J7870" t="s">
        <v>18892</v>
      </c>
      <c r="K7870">
        <v>10452</v>
      </c>
      <c r="L7870" t="s">
        <v>18958</v>
      </c>
      <c r="M7870" t="s">
        <v>18958</v>
      </c>
      <c r="O7870" t="s">
        <v>18997</v>
      </c>
      <c r="P7870" t="s">
        <v>26564</v>
      </c>
      <c r="Q7870" t="s">
        <v>26570</v>
      </c>
      <c r="R7870" t="s">
        <v>26578</v>
      </c>
      <c r="S7870" t="s">
        <v>18959</v>
      </c>
      <c r="U7870" t="s">
        <v>26604</v>
      </c>
      <c r="W7870" t="s">
        <v>770</v>
      </c>
      <c r="X7870">
        <v>874</v>
      </c>
      <c r="Y7870" t="s">
        <v>26650</v>
      </c>
      <c r="AA7870" t="s">
        <v>26683</v>
      </c>
      <c r="AB7870" t="s">
        <v>32498</v>
      </c>
      <c r="AD7870" t="s">
        <v>42949</v>
      </c>
      <c r="AE7870">
        <v>0</v>
      </c>
      <c r="AF7870" t="s">
        <v>45541</v>
      </c>
      <c r="AH7870">
        <v>35</v>
      </c>
      <c r="AI7870">
        <v>1</v>
      </c>
      <c r="AJ7870">
        <v>0</v>
      </c>
      <c r="AK7870">
        <v>38.43</v>
      </c>
      <c r="AN7870" t="s">
        <v>7439</v>
      </c>
      <c r="AO7870">
        <v>4800</v>
      </c>
      <c r="AU7870">
        <v>0.5</v>
      </c>
      <c r="AV7870" t="s">
        <v>771</v>
      </c>
      <c r="AW7870" t="s">
        <v>263</v>
      </c>
      <c r="AX7870" t="s">
        <v>46897</v>
      </c>
    </row>
    <row r="7871" spans="1:50">
      <c r="A7871" s="1">
        <f>HYPERLINK("https://lsnyc.legalserver.org/matter/dynamic-profile/view/1898865","19-1898865")</f>
        <v>0</v>
      </c>
      <c r="B7871" t="s">
        <v>263</v>
      </c>
      <c r="C7871" t="s">
        <v>341</v>
      </c>
      <c r="D7871" t="s">
        <v>770</v>
      </c>
      <c r="E7871" t="s">
        <v>828</v>
      </c>
      <c r="F7871" t="s">
        <v>887</v>
      </c>
      <c r="G7871" t="s">
        <v>8482</v>
      </c>
      <c r="H7871" t="s">
        <v>15011</v>
      </c>
      <c r="I7871">
        <v>1</v>
      </c>
      <c r="J7871" t="s">
        <v>18892</v>
      </c>
      <c r="K7871">
        <v>10455</v>
      </c>
      <c r="L7871" t="s">
        <v>18958</v>
      </c>
      <c r="M7871" t="s">
        <v>18958</v>
      </c>
      <c r="O7871" t="s">
        <v>18997</v>
      </c>
      <c r="P7871" t="s">
        <v>26565</v>
      </c>
      <c r="Q7871" t="s">
        <v>26571</v>
      </c>
      <c r="R7871" t="s">
        <v>26578</v>
      </c>
      <c r="S7871" t="s">
        <v>18959</v>
      </c>
      <c r="U7871" t="s">
        <v>26604</v>
      </c>
      <c r="W7871" t="s">
        <v>770</v>
      </c>
      <c r="X7871">
        <v>900</v>
      </c>
      <c r="Y7871" t="s">
        <v>26650</v>
      </c>
      <c r="Z7871" t="s">
        <v>26663</v>
      </c>
      <c r="AA7871" t="s">
        <v>26683</v>
      </c>
      <c r="AB7871" t="s">
        <v>31625</v>
      </c>
      <c r="AD7871" t="s">
        <v>42950</v>
      </c>
      <c r="AE7871">
        <v>2</v>
      </c>
      <c r="AF7871" t="s">
        <v>45547</v>
      </c>
      <c r="AH7871">
        <v>10</v>
      </c>
      <c r="AI7871">
        <v>2</v>
      </c>
      <c r="AJ7871">
        <v>0</v>
      </c>
      <c r="AK7871">
        <v>56.77</v>
      </c>
      <c r="AN7871" t="s">
        <v>45581</v>
      </c>
      <c r="AO7871">
        <v>9600</v>
      </c>
      <c r="AU7871">
        <v>0.5</v>
      </c>
      <c r="AV7871" t="s">
        <v>771</v>
      </c>
      <c r="AW7871" t="s">
        <v>263</v>
      </c>
      <c r="AX7871" t="s">
        <v>46897</v>
      </c>
    </row>
    <row r="7872" spans="1:50">
      <c r="A7872" s="1">
        <f>HYPERLINK("https://lsnyc.legalserver.org/matter/dynamic-profile/view/1898883","19-1898883")</f>
        <v>0</v>
      </c>
      <c r="B7872" t="s">
        <v>165</v>
      </c>
      <c r="C7872" t="s">
        <v>340</v>
      </c>
      <c r="D7872" t="s">
        <v>770</v>
      </c>
      <c r="F7872" t="s">
        <v>2248</v>
      </c>
      <c r="G7872" t="s">
        <v>5161</v>
      </c>
      <c r="H7872" t="s">
        <v>15012</v>
      </c>
      <c r="I7872" t="s">
        <v>17600</v>
      </c>
      <c r="J7872" t="s">
        <v>18893</v>
      </c>
      <c r="K7872">
        <v>10036</v>
      </c>
      <c r="L7872" t="s">
        <v>18958</v>
      </c>
      <c r="M7872" t="s">
        <v>18958</v>
      </c>
      <c r="N7872" t="s">
        <v>24588</v>
      </c>
      <c r="O7872" t="s">
        <v>26523</v>
      </c>
      <c r="P7872" t="s">
        <v>26563</v>
      </c>
      <c r="R7872" t="s">
        <v>26582</v>
      </c>
      <c r="S7872" t="s">
        <v>18959</v>
      </c>
      <c r="U7872" t="s">
        <v>26604</v>
      </c>
      <c r="W7872" t="s">
        <v>770</v>
      </c>
      <c r="X7872">
        <v>800</v>
      </c>
      <c r="Y7872" t="s">
        <v>26651</v>
      </c>
      <c r="Z7872" t="s">
        <v>26664</v>
      </c>
      <c r="AB7872" t="s">
        <v>32499</v>
      </c>
      <c r="AD7872" t="s">
        <v>42951</v>
      </c>
      <c r="AE7872">
        <v>0</v>
      </c>
      <c r="AF7872" t="s">
        <v>45541</v>
      </c>
      <c r="AG7872" t="s">
        <v>45556</v>
      </c>
      <c r="AH7872">
        <v>15</v>
      </c>
      <c r="AI7872">
        <v>1</v>
      </c>
      <c r="AJ7872">
        <v>0</v>
      </c>
      <c r="AK7872">
        <v>59.09</v>
      </c>
      <c r="AN7872" t="s">
        <v>45581</v>
      </c>
      <c r="AO7872">
        <v>7380</v>
      </c>
      <c r="AU7872">
        <v>0.2</v>
      </c>
      <c r="AV7872" t="s">
        <v>805</v>
      </c>
      <c r="AW7872" t="s">
        <v>46875</v>
      </c>
    </row>
    <row r="7873" spans="1:50">
      <c r="A7873" s="1">
        <f>HYPERLINK("https://lsnyc.legalserver.org/matter/dynamic-profile/view/1898818","19-1898818")</f>
        <v>0</v>
      </c>
      <c r="B7873" t="s">
        <v>61</v>
      </c>
      <c r="C7873" t="s">
        <v>340</v>
      </c>
      <c r="D7873" t="s">
        <v>770</v>
      </c>
      <c r="F7873" t="s">
        <v>868</v>
      </c>
      <c r="G7873" t="s">
        <v>8483</v>
      </c>
      <c r="H7873" t="s">
        <v>14259</v>
      </c>
      <c r="I7873" t="s">
        <v>17283</v>
      </c>
      <c r="J7873" t="s">
        <v>18893</v>
      </c>
      <c r="K7873">
        <v>10034</v>
      </c>
      <c r="L7873" t="s">
        <v>18958</v>
      </c>
      <c r="M7873" t="s">
        <v>18958</v>
      </c>
      <c r="P7873" t="s">
        <v>26563</v>
      </c>
      <c r="R7873" t="s">
        <v>26578</v>
      </c>
      <c r="S7873" t="s">
        <v>18959</v>
      </c>
      <c r="U7873" t="s">
        <v>26604</v>
      </c>
      <c r="W7873" t="s">
        <v>770</v>
      </c>
      <c r="X7873">
        <v>1565</v>
      </c>
      <c r="Y7873" t="s">
        <v>26651</v>
      </c>
      <c r="Z7873" t="s">
        <v>26661</v>
      </c>
      <c r="AB7873" t="s">
        <v>31669</v>
      </c>
      <c r="AD7873" t="s">
        <v>41920</v>
      </c>
      <c r="AE7873">
        <v>48</v>
      </c>
      <c r="AF7873" t="s">
        <v>45541</v>
      </c>
      <c r="AG7873" t="s">
        <v>45559</v>
      </c>
      <c r="AH7873">
        <v>2</v>
      </c>
      <c r="AI7873">
        <v>1</v>
      </c>
      <c r="AJ7873">
        <v>0</v>
      </c>
      <c r="AK7873">
        <v>176.88</v>
      </c>
      <c r="AN7873" t="s">
        <v>7439</v>
      </c>
      <c r="AO7873">
        <v>22092</v>
      </c>
      <c r="AU7873">
        <v>1.2</v>
      </c>
      <c r="AV7873" t="s">
        <v>769</v>
      </c>
      <c r="AW7873" t="s">
        <v>46840</v>
      </c>
    </row>
    <row r="7874" spans="1:50">
      <c r="A7874" s="1">
        <f>HYPERLINK("https://lsnyc.legalserver.org/matter/dynamic-profile/view/1898855","19-1898855")</f>
        <v>0</v>
      </c>
      <c r="B7874" t="s">
        <v>61</v>
      </c>
      <c r="C7874" t="s">
        <v>340</v>
      </c>
      <c r="D7874" t="s">
        <v>770</v>
      </c>
      <c r="F7874" t="s">
        <v>979</v>
      </c>
      <c r="G7874" t="s">
        <v>2097</v>
      </c>
      <c r="H7874" t="s">
        <v>15013</v>
      </c>
      <c r="I7874" t="s">
        <v>17352</v>
      </c>
      <c r="J7874" t="s">
        <v>18893</v>
      </c>
      <c r="K7874">
        <v>10040</v>
      </c>
      <c r="L7874" t="s">
        <v>18958</v>
      </c>
      <c r="M7874" t="s">
        <v>18958</v>
      </c>
      <c r="O7874" t="s">
        <v>26529</v>
      </c>
      <c r="P7874" t="s">
        <v>26564</v>
      </c>
      <c r="R7874" t="s">
        <v>26578</v>
      </c>
      <c r="S7874" t="s">
        <v>18959</v>
      </c>
      <c r="U7874" t="s">
        <v>26604</v>
      </c>
      <c r="W7874" t="s">
        <v>770</v>
      </c>
      <c r="X7874">
        <v>1065</v>
      </c>
      <c r="Y7874" t="s">
        <v>26651</v>
      </c>
      <c r="Z7874" t="s">
        <v>26661</v>
      </c>
      <c r="AB7874" t="s">
        <v>32500</v>
      </c>
      <c r="AD7874" t="s">
        <v>42952</v>
      </c>
      <c r="AE7874">
        <v>30</v>
      </c>
      <c r="AF7874" t="s">
        <v>45541</v>
      </c>
      <c r="AG7874" t="s">
        <v>19330</v>
      </c>
      <c r="AH7874">
        <v>21</v>
      </c>
      <c r="AI7874">
        <v>3</v>
      </c>
      <c r="AJ7874">
        <v>0</v>
      </c>
      <c r="AK7874">
        <v>557.9</v>
      </c>
      <c r="AN7874" t="s">
        <v>7439</v>
      </c>
      <c r="AO7874">
        <v>119000</v>
      </c>
      <c r="AU7874">
        <v>1.5</v>
      </c>
      <c r="AV7874" t="s">
        <v>769</v>
      </c>
      <c r="AW7874" t="s">
        <v>46840</v>
      </c>
    </row>
    <row r="7875" spans="1:50">
      <c r="A7875" s="1">
        <f>HYPERLINK("https://lsnyc.legalserver.org/matter/dynamic-profile/view/1898867","19-1898867")</f>
        <v>0</v>
      </c>
      <c r="B7875" t="s">
        <v>276</v>
      </c>
      <c r="C7875" t="s">
        <v>340</v>
      </c>
      <c r="D7875" t="s">
        <v>770</v>
      </c>
      <c r="F7875" t="s">
        <v>994</v>
      </c>
      <c r="G7875" t="s">
        <v>5418</v>
      </c>
      <c r="H7875" t="s">
        <v>13765</v>
      </c>
      <c r="I7875">
        <v>4</v>
      </c>
      <c r="J7875" t="s">
        <v>18894</v>
      </c>
      <c r="K7875">
        <v>11232</v>
      </c>
      <c r="L7875" t="s">
        <v>18958</v>
      </c>
      <c r="M7875" t="s">
        <v>18958</v>
      </c>
      <c r="P7875" t="s">
        <v>26560</v>
      </c>
      <c r="R7875" t="s">
        <v>26578</v>
      </c>
      <c r="S7875" t="s">
        <v>18959</v>
      </c>
      <c r="U7875" t="s">
        <v>26604</v>
      </c>
      <c r="W7875" t="s">
        <v>770</v>
      </c>
      <c r="X7875">
        <v>0</v>
      </c>
      <c r="Y7875" t="s">
        <v>26652</v>
      </c>
      <c r="AB7875" t="s">
        <v>30541</v>
      </c>
      <c r="AD7875" t="s">
        <v>41387</v>
      </c>
      <c r="AE7875">
        <v>0</v>
      </c>
      <c r="AH7875">
        <v>0</v>
      </c>
      <c r="AI7875">
        <v>1</v>
      </c>
      <c r="AJ7875">
        <v>0</v>
      </c>
      <c r="AK7875">
        <v>73.02</v>
      </c>
      <c r="AN7875" t="s">
        <v>7439</v>
      </c>
      <c r="AO7875">
        <v>9120</v>
      </c>
      <c r="AU7875">
        <v>1.3</v>
      </c>
      <c r="AV7875" t="s">
        <v>828</v>
      </c>
      <c r="AW7875" t="s">
        <v>219</v>
      </c>
    </row>
    <row r="7876" spans="1:50">
      <c r="A7876" s="1">
        <f>HYPERLINK("https://lsnyc.legalserver.org/matter/dynamic-profile/view/1898830","19-1898830")</f>
        <v>0</v>
      </c>
      <c r="B7876" t="s">
        <v>66</v>
      </c>
      <c r="C7876" t="s">
        <v>340</v>
      </c>
      <c r="D7876" t="s">
        <v>770</v>
      </c>
      <c r="F7876" t="s">
        <v>1253</v>
      </c>
      <c r="G7876" t="s">
        <v>6260</v>
      </c>
      <c r="H7876" t="s">
        <v>15014</v>
      </c>
      <c r="I7876" t="s">
        <v>17425</v>
      </c>
      <c r="J7876" t="s">
        <v>18893</v>
      </c>
      <c r="K7876">
        <v>10033</v>
      </c>
      <c r="L7876" t="s">
        <v>18958</v>
      </c>
      <c r="M7876" t="s">
        <v>18958</v>
      </c>
      <c r="N7876" t="s">
        <v>24589</v>
      </c>
      <c r="O7876" t="s">
        <v>26524</v>
      </c>
      <c r="P7876" t="s">
        <v>26564</v>
      </c>
      <c r="R7876" t="s">
        <v>26582</v>
      </c>
      <c r="S7876" t="s">
        <v>18959</v>
      </c>
      <c r="U7876" t="s">
        <v>26604</v>
      </c>
      <c r="W7876" t="s">
        <v>770</v>
      </c>
      <c r="X7876">
        <v>1378.19</v>
      </c>
      <c r="Y7876" t="s">
        <v>26651</v>
      </c>
      <c r="Z7876" t="s">
        <v>26664</v>
      </c>
      <c r="AB7876" t="s">
        <v>32501</v>
      </c>
      <c r="AD7876" t="s">
        <v>42953</v>
      </c>
      <c r="AE7876">
        <v>0</v>
      </c>
      <c r="AF7876" t="s">
        <v>45541</v>
      </c>
      <c r="AG7876" t="s">
        <v>19330</v>
      </c>
      <c r="AH7876">
        <v>37</v>
      </c>
      <c r="AI7876">
        <v>1</v>
      </c>
      <c r="AJ7876">
        <v>0</v>
      </c>
      <c r="AK7876">
        <v>41.63</v>
      </c>
      <c r="AN7876" t="s">
        <v>7439</v>
      </c>
      <c r="AO7876">
        <v>5199.6</v>
      </c>
      <c r="AU7876">
        <v>1.75</v>
      </c>
      <c r="AV7876" t="s">
        <v>804</v>
      </c>
      <c r="AW7876" t="s">
        <v>46875</v>
      </c>
    </row>
    <row r="7877" spans="1:50">
      <c r="A7877" s="1">
        <f>HYPERLINK("https://lsnyc.legalserver.org/matter/dynamic-profile/view/1898884","19-1898884")</f>
        <v>0</v>
      </c>
      <c r="B7877" t="s">
        <v>66</v>
      </c>
      <c r="C7877" t="s">
        <v>340</v>
      </c>
      <c r="D7877" t="s">
        <v>770</v>
      </c>
      <c r="F7877" t="s">
        <v>4091</v>
      </c>
      <c r="G7877" t="s">
        <v>8484</v>
      </c>
      <c r="H7877" t="s">
        <v>15015</v>
      </c>
      <c r="I7877" t="s">
        <v>17356</v>
      </c>
      <c r="J7877" t="s">
        <v>18893</v>
      </c>
      <c r="K7877">
        <v>10037</v>
      </c>
      <c r="L7877" t="s">
        <v>18958</v>
      </c>
      <c r="M7877" t="s">
        <v>18958</v>
      </c>
      <c r="N7877" t="s">
        <v>24590</v>
      </c>
      <c r="O7877" t="s">
        <v>26523</v>
      </c>
      <c r="P7877" t="s">
        <v>26560</v>
      </c>
      <c r="R7877" t="s">
        <v>26582</v>
      </c>
      <c r="S7877" t="s">
        <v>18959</v>
      </c>
      <c r="U7877" t="s">
        <v>26604</v>
      </c>
      <c r="V7877" t="s">
        <v>26612</v>
      </c>
      <c r="W7877" t="s">
        <v>770</v>
      </c>
      <c r="X7877">
        <v>1119.1</v>
      </c>
      <c r="Y7877" t="s">
        <v>26651</v>
      </c>
      <c r="Z7877" t="s">
        <v>26655</v>
      </c>
      <c r="AB7877" t="s">
        <v>30591</v>
      </c>
      <c r="AD7877" t="s">
        <v>42954</v>
      </c>
      <c r="AE7877">
        <v>0</v>
      </c>
      <c r="AF7877" t="s">
        <v>45541</v>
      </c>
      <c r="AG7877" t="s">
        <v>19330</v>
      </c>
      <c r="AH7877">
        <v>28</v>
      </c>
      <c r="AI7877">
        <v>1</v>
      </c>
      <c r="AJ7877">
        <v>0</v>
      </c>
      <c r="AK7877">
        <v>161.67</v>
      </c>
      <c r="AN7877" t="s">
        <v>7439</v>
      </c>
      <c r="AO7877">
        <v>20192</v>
      </c>
      <c r="AU7877">
        <v>8.25</v>
      </c>
      <c r="AV7877" t="s">
        <v>839</v>
      </c>
      <c r="AW7877" t="s">
        <v>314</v>
      </c>
    </row>
    <row r="7878" spans="1:50">
      <c r="A7878" s="1">
        <f>HYPERLINK("https://lsnyc.legalserver.org/matter/dynamic-profile/view/1898869","19-1898869")</f>
        <v>0</v>
      </c>
      <c r="B7878" t="s">
        <v>84</v>
      </c>
      <c r="C7878" t="s">
        <v>340</v>
      </c>
      <c r="D7878" t="s">
        <v>770</v>
      </c>
      <c r="F7878" t="s">
        <v>4092</v>
      </c>
      <c r="G7878" t="s">
        <v>7640</v>
      </c>
      <c r="H7878" t="s">
        <v>15016</v>
      </c>
      <c r="I7878" t="s">
        <v>17366</v>
      </c>
      <c r="J7878" t="s">
        <v>18893</v>
      </c>
      <c r="K7878">
        <v>10035</v>
      </c>
      <c r="L7878" t="s">
        <v>18958</v>
      </c>
      <c r="M7878" t="s">
        <v>18958</v>
      </c>
      <c r="N7878" t="s">
        <v>24591</v>
      </c>
      <c r="O7878" t="s">
        <v>26524</v>
      </c>
      <c r="P7878" t="s">
        <v>26564</v>
      </c>
      <c r="R7878" t="s">
        <v>26582</v>
      </c>
      <c r="S7878" t="s">
        <v>18959</v>
      </c>
      <c r="U7878" t="s">
        <v>26604</v>
      </c>
      <c r="W7878" t="s">
        <v>770</v>
      </c>
      <c r="X7878">
        <v>1133.6</v>
      </c>
      <c r="Y7878" t="s">
        <v>26651</v>
      </c>
      <c r="Z7878" t="s">
        <v>26663</v>
      </c>
      <c r="AB7878" t="s">
        <v>32502</v>
      </c>
      <c r="AD7878" t="s">
        <v>42955</v>
      </c>
      <c r="AE7878">
        <v>0</v>
      </c>
      <c r="AF7878" t="s">
        <v>45541</v>
      </c>
      <c r="AG7878" t="s">
        <v>19330</v>
      </c>
      <c r="AH7878">
        <v>6</v>
      </c>
      <c r="AI7878">
        <v>2</v>
      </c>
      <c r="AJ7878">
        <v>0</v>
      </c>
      <c r="AK7878">
        <v>94.62</v>
      </c>
      <c r="AN7878" t="s">
        <v>7439</v>
      </c>
      <c r="AO7878">
        <v>16000</v>
      </c>
      <c r="AU7878">
        <v>4</v>
      </c>
      <c r="AV7878" t="s">
        <v>813</v>
      </c>
      <c r="AW7878" t="s">
        <v>46875</v>
      </c>
    </row>
    <row r="7879" spans="1:50">
      <c r="A7879" s="1">
        <f>HYPERLINK("https://lsnyc.legalserver.org/matter/dynamic-profile/view/1898806","19-1898806")</f>
        <v>0</v>
      </c>
      <c r="B7879" t="s">
        <v>84</v>
      </c>
      <c r="C7879" t="s">
        <v>340</v>
      </c>
      <c r="D7879" t="s">
        <v>770</v>
      </c>
      <c r="F7879" t="s">
        <v>4093</v>
      </c>
      <c r="G7879" t="s">
        <v>8485</v>
      </c>
      <c r="H7879" t="s">
        <v>15017</v>
      </c>
      <c r="I7879" t="s">
        <v>17424</v>
      </c>
      <c r="J7879" t="s">
        <v>18893</v>
      </c>
      <c r="K7879">
        <v>10011</v>
      </c>
      <c r="L7879" t="s">
        <v>18958</v>
      </c>
      <c r="M7879" t="s">
        <v>18958</v>
      </c>
      <c r="N7879" t="s">
        <v>24592</v>
      </c>
      <c r="O7879" t="s">
        <v>26523</v>
      </c>
      <c r="P7879" t="s">
        <v>26564</v>
      </c>
      <c r="R7879" t="s">
        <v>26582</v>
      </c>
      <c r="S7879" t="s">
        <v>18959</v>
      </c>
      <c r="U7879" t="s">
        <v>26604</v>
      </c>
      <c r="W7879" t="s">
        <v>770</v>
      </c>
      <c r="X7879">
        <v>1305.1</v>
      </c>
      <c r="Y7879" t="s">
        <v>26651</v>
      </c>
      <c r="Z7879" t="s">
        <v>26664</v>
      </c>
      <c r="AB7879" t="s">
        <v>32503</v>
      </c>
      <c r="AC7879" t="s">
        <v>36415</v>
      </c>
      <c r="AD7879" t="s">
        <v>42956</v>
      </c>
      <c r="AE7879">
        <v>0</v>
      </c>
      <c r="AG7879" t="s">
        <v>45559</v>
      </c>
      <c r="AH7879">
        <v>26</v>
      </c>
      <c r="AI7879">
        <v>1</v>
      </c>
      <c r="AJ7879">
        <v>0</v>
      </c>
      <c r="AK7879">
        <v>111.26</v>
      </c>
      <c r="AN7879" t="s">
        <v>7439</v>
      </c>
      <c r="AO7879">
        <v>13896</v>
      </c>
      <c r="AU7879">
        <v>2</v>
      </c>
      <c r="AV7879" t="s">
        <v>772</v>
      </c>
      <c r="AW7879" t="s">
        <v>314</v>
      </c>
    </row>
    <row r="7880" spans="1:50">
      <c r="A7880" s="1">
        <f>HYPERLINK("https://lsnyc.legalserver.org/matter/dynamic-profile/view/1898864","19-1898864")</f>
        <v>0</v>
      </c>
      <c r="B7880" t="s">
        <v>84</v>
      </c>
      <c r="C7880" t="s">
        <v>340</v>
      </c>
      <c r="D7880" t="s">
        <v>770</v>
      </c>
      <c r="F7880" t="s">
        <v>2023</v>
      </c>
      <c r="G7880" t="s">
        <v>5177</v>
      </c>
      <c r="H7880" t="s">
        <v>15018</v>
      </c>
      <c r="I7880" t="s">
        <v>17390</v>
      </c>
      <c r="J7880" t="s">
        <v>18893</v>
      </c>
      <c r="K7880">
        <v>10016</v>
      </c>
      <c r="L7880" t="s">
        <v>18958</v>
      </c>
      <c r="M7880" t="s">
        <v>18958</v>
      </c>
      <c r="N7880" t="s">
        <v>24593</v>
      </c>
      <c r="O7880" t="s">
        <v>26523</v>
      </c>
      <c r="P7880" t="s">
        <v>26560</v>
      </c>
      <c r="R7880" t="s">
        <v>26582</v>
      </c>
      <c r="S7880" t="s">
        <v>18959</v>
      </c>
      <c r="U7880" t="s">
        <v>26604</v>
      </c>
      <c r="W7880" t="s">
        <v>770</v>
      </c>
      <c r="X7880">
        <v>1182</v>
      </c>
      <c r="Y7880" t="s">
        <v>26651</v>
      </c>
      <c r="Z7880" t="s">
        <v>26664</v>
      </c>
      <c r="AB7880" t="s">
        <v>32504</v>
      </c>
      <c r="AD7880" t="s">
        <v>42957</v>
      </c>
      <c r="AE7880">
        <v>0</v>
      </c>
      <c r="AF7880" t="s">
        <v>45541</v>
      </c>
      <c r="AG7880" t="s">
        <v>45558</v>
      </c>
      <c r="AH7880">
        <v>2</v>
      </c>
      <c r="AI7880">
        <v>2</v>
      </c>
      <c r="AJ7880">
        <v>0</v>
      </c>
      <c r="AK7880">
        <v>111.91</v>
      </c>
      <c r="AN7880" t="s">
        <v>7439</v>
      </c>
      <c r="AO7880">
        <v>18924</v>
      </c>
      <c r="AU7880">
        <v>3</v>
      </c>
      <c r="AV7880" t="s">
        <v>773</v>
      </c>
      <c r="AW7880" t="s">
        <v>314</v>
      </c>
    </row>
    <row r="7881" spans="1:50">
      <c r="A7881" s="1">
        <f>HYPERLINK("https://lsnyc.legalserver.org/matter/dynamic-profile/view/1898890","19-1898890")</f>
        <v>0</v>
      </c>
      <c r="B7881" t="s">
        <v>84</v>
      </c>
      <c r="C7881" t="s">
        <v>340</v>
      </c>
      <c r="D7881" t="s">
        <v>770</v>
      </c>
      <c r="F7881" t="s">
        <v>4094</v>
      </c>
      <c r="G7881" t="s">
        <v>5748</v>
      </c>
      <c r="H7881" t="s">
        <v>15019</v>
      </c>
      <c r="I7881" t="s">
        <v>17390</v>
      </c>
      <c r="J7881" t="s">
        <v>18893</v>
      </c>
      <c r="K7881">
        <v>10029</v>
      </c>
      <c r="L7881" t="s">
        <v>18958</v>
      </c>
      <c r="M7881" t="s">
        <v>18958</v>
      </c>
      <c r="N7881" t="s">
        <v>24594</v>
      </c>
      <c r="O7881" t="s">
        <v>26523</v>
      </c>
      <c r="P7881" t="s">
        <v>26564</v>
      </c>
      <c r="R7881" t="s">
        <v>26582</v>
      </c>
      <c r="S7881" t="s">
        <v>18959</v>
      </c>
      <c r="U7881" t="s">
        <v>26605</v>
      </c>
      <c r="W7881" t="s">
        <v>770</v>
      </c>
      <c r="X7881">
        <v>1026</v>
      </c>
      <c r="Y7881" t="s">
        <v>26651</v>
      </c>
      <c r="AB7881" t="s">
        <v>32505</v>
      </c>
      <c r="AD7881" t="s">
        <v>42958</v>
      </c>
      <c r="AE7881">
        <v>0</v>
      </c>
      <c r="AF7881" t="s">
        <v>45549</v>
      </c>
      <c r="AG7881" t="s">
        <v>19330</v>
      </c>
      <c r="AH7881">
        <v>8</v>
      </c>
      <c r="AI7881">
        <v>1</v>
      </c>
      <c r="AJ7881">
        <v>2</v>
      </c>
      <c r="AK7881">
        <v>168.78</v>
      </c>
      <c r="AN7881" t="s">
        <v>7439</v>
      </c>
      <c r="AO7881">
        <v>36000</v>
      </c>
      <c r="AU7881">
        <v>1.8</v>
      </c>
      <c r="AV7881" t="s">
        <v>772</v>
      </c>
      <c r="AW7881" t="s">
        <v>314</v>
      </c>
    </row>
    <row r="7882" spans="1:50">
      <c r="A7882" s="1">
        <f>HYPERLINK("https://lsnyc.legalserver.org/matter/dynamic-profile/view/1898882","19-1898882")</f>
        <v>0</v>
      </c>
      <c r="B7882" t="s">
        <v>64</v>
      </c>
      <c r="C7882" t="s">
        <v>340</v>
      </c>
      <c r="D7882" t="s">
        <v>770</v>
      </c>
      <c r="F7882" t="s">
        <v>4095</v>
      </c>
      <c r="G7882" t="s">
        <v>8322</v>
      </c>
      <c r="H7882" t="s">
        <v>15020</v>
      </c>
      <c r="I7882" t="s">
        <v>18512</v>
      </c>
      <c r="J7882" t="s">
        <v>18892</v>
      </c>
      <c r="K7882">
        <v>10467</v>
      </c>
      <c r="L7882" t="s">
        <v>18958</v>
      </c>
      <c r="M7882" t="s">
        <v>18958</v>
      </c>
      <c r="N7882" t="s">
        <v>24595</v>
      </c>
      <c r="O7882" t="s">
        <v>26524</v>
      </c>
      <c r="P7882" t="s">
        <v>26560</v>
      </c>
      <c r="R7882" t="s">
        <v>26579</v>
      </c>
      <c r="S7882" t="s">
        <v>18959</v>
      </c>
      <c r="U7882" t="s">
        <v>26604</v>
      </c>
      <c r="V7882" t="s">
        <v>26613</v>
      </c>
      <c r="W7882" t="s">
        <v>770</v>
      </c>
      <c r="X7882">
        <v>1185</v>
      </c>
      <c r="Y7882" t="s">
        <v>26650</v>
      </c>
      <c r="Z7882" t="s">
        <v>26668</v>
      </c>
      <c r="AB7882" t="s">
        <v>32506</v>
      </c>
      <c r="AC7882" t="s">
        <v>36416</v>
      </c>
      <c r="AD7882" t="s">
        <v>42959</v>
      </c>
      <c r="AE7882">
        <v>0</v>
      </c>
      <c r="AF7882" t="s">
        <v>45541</v>
      </c>
      <c r="AG7882" t="s">
        <v>45556</v>
      </c>
      <c r="AH7882">
        <v>4</v>
      </c>
      <c r="AI7882">
        <v>2</v>
      </c>
      <c r="AJ7882">
        <v>3</v>
      </c>
      <c r="AK7882">
        <v>65.31999999999999</v>
      </c>
      <c r="AN7882" t="s">
        <v>7439</v>
      </c>
      <c r="AO7882">
        <v>19708</v>
      </c>
      <c r="AU7882">
        <v>2.2</v>
      </c>
      <c r="AV7882" t="s">
        <v>808</v>
      </c>
      <c r="AW7882" t="s">
        <v>46870</v>
      </c>
      <c r="AX7882" t="s">
        <v>46898</v>
      </c>
    </row>
    <row r="7883" spans="1:50">
      <c r="A7883" s="1">
        <f>HYPERLINK("https://lsnyc.legalserver.org/matter/dynamic-profile/view/1898856","19-1898856")</f>
        <v>0</v>
      </c>
      <c r="B7883" t="s">
        <v>64</v>
      </c>
      <c r="C7883" t="s">
        <v>340</v>
      </c>
      <c r="D7883" t="s">
        <v>770</v>
      </c>
      <c r="F7883" t="s">
        <v>1736</v>
      </c>
      <c r="G7883" t="s">
        <v>5850</v>
      </c>
      <c r="H7883" t="s">
        <v>15021</v>
      </c>
      <c r="I7883" t="s">
        <v>17316</v>
      </c>
      <c r="J7883" t="s">
        <v>18892</v>
      </c>
      <c r="K7883">
        <v>10468</v>
      </c>
      <c r="L7883" t="s">
        <v>18958</v>
      </c>
      <c r="M7883" t="s">
        <v>18958</v>
      </c>
      <c r="N7883" t="s">
        <v>24596</v>
      </c>
      <c r="O7883" t="s">
        <v>26523</v>
      </c>
      <c r="P7883" t="s">
        <v>26560</v>
      </c>
      <c r="R7883" t="s">
        <v>26579</v>
      </c>
      <c r="S7883" t="s">
        <v>18959</v>
      </c>
      <c r="U7883" t="s">
        <v>26604</v>
      </c>
      <c r="V7883" t="s">
        <v>26610</v>
      </c>
      <c r="W7883" t="s">
        <v>770</v>
      </c>
      <c r="X7883">
        <v>1290</v>
      </c>
      <c r="Y7883" t="s">
        <v>26650</v>
      </c>
      <c r="Z7883" t="s">
        <v>26664</v>
      </c>
      <c r="AB7883" t="s">
        <v>32507</v>
      </c>
      <c r="AC7883" t="s">
        <v>36417</v>
      </c>
      <c r="AD7883" t="s">
        <v>42960</v>
      </c>
      <c r="AE7883">
        <v>30</v>
      </c>
      <c r="AF7883" t="s">
        <v>45541</v>
      </c>
      <c r="AG7883" t="s">
        <v>19330</v>
      </c>
      <c r="AH7883">
        <v>6</v>
      </c>
      <c r="AI7883">
        <v>2</v>
      </c>
      <c r="AJ7883">
        <v>0</v>
      </c>
      <c r="AK7883">
        <v>156.9</v>
      </c>
      <c r="AN7883" t="s">
        <v>7439</v>
      </c>
      <c r="AO7883">
        <v>26532</v>
      </c>
      <c r="AU7883">
        <v>5.85</v>
      </c>
      <c r="AV7883" t="s">
        <v>826</v>
      </c>
      <c r="AW7883" t="s">
        <v>46870</v>
      </c>
      <c r="AX7883" t="s">
        <v>46898</v>
      </c>
    </row>
    <row r="7884" spans="1:50">
      <c r="A7884" s="1">
        <f>HYPERLINK("https://lsnyc.legalserver.org/matter/dynamic-profile/view/1898843","19-1898843")</f>
        <v>0</v>
      </c>
      <c r="B7884" t="s">
        <v>218</v>
      </c>
      <c r="C7884" t="s">
        <v>340</v>
      </c>
      <c r="D7884" t="s">
        <v>770</v>
      </c>
      <c r="F7884" t="s">
        <v>875</v>
      </c>
      <c r="G7884" t="s">
        <v>8486</v>
      </c>
      <c r="H7884" t="s">
        <v>15022</v>
      </c>
      <c r="I7884" t="s">
        <v>17390</v>
      </c>
      <c r="J7884" t="s">
        <v>18893</v>
      </c>
      <c r="K7884">
        <v>10033</v>
      </c>
      <c r="L7884" t="s">
        <v>18958</v>
      </c>
      <c r="M7884" t="s">
        <v>18958</v>
      </c>
      <c r="O7884" t="s">
        <v>26529</v>
      </c>
      <c r="P7884" t="s">
        <v>26560</v>
      </c>
      <c r="R7884" t="s">
        <v>26578</v>
      </c>
      <c r="S7884" t="s">
        <v>18959</v>
      </c>
      <c r="U7884" t="s">
        <v>26604</v>
      </c>
      <c r="W7884" t="s">
        <v>770</v>
      </c>
      <c r="X7884">
        <v>740</v>
      </c>
      <c r="Y7884" t="s">
        <v>26651</v>
      </c>
      <c r="Z7884" t="s">
        <v>26661</v>
      </c>
      <c r="AB7884" t="s">
        <v>32508</v>
      </c>
      <c r="AD7884" t="s">
        <v>42961</v>
      </c>
      <c r="AE7884">
        <v>29</v>
      </c>
      <c r="AF7884" t="s">
        <v>45541</v>
      </c>
      <c r="AG7884" t="s">
        <v>19330</v>
      </c>
      <c r="AH7884">
        <v>24</v>
      </c>
      <c r="AI7884">
        <v>3</v>
      </c>
      <c r="AJ7884">
        <v>0</v>
      </c>
      <c r="AK7884">
        <v>42.42</v>
      </c>
      <c r="AN7884" t="s">
        <v>45581</v>
      </c>
      <c r="AO7884">
        <v>9048</v>
      </c>
      <c r="AU7884">
        <v>2.7</v>
      </c>
      <c r="AV7884" t="s">
        <v>830</v>
      </c>
      <c r="AW7884" t="s">
        <v>46840</v>
      </c>
    </row>
    <row r="7885" spans="1:50">
      <c r="A7885" s="1">
        <f>HYPERLINK("https://lsnyc.legalserver.org/matter/dynamic-profile/view/1898899","19-1898899")</f>
        <v>0</v>
      </c>
      <c r="B7885" t="s">
        <v>218</v>
      </c>
      <c r="C7885" t="s">
        <v>340</v>
      </c>
      <c r="D7885" t="s">
        <v>770</v>
      </c>
      <c r="F7885" t="s">
        <v>1873</v>
      </c>
      <c r="G7885" t="s">
        <v>5413</v>
      </c>
      <c r="H7885" t="s">
        <v>15023</v>
      </c>
      <c r="I7885">
        <v>32</v>
      </c>
      <c r="J7885" t="s">
        <v>18893</v>
      </c>
      <c r="K7885">
        <v>10034</v>
      </c>
      <c r="L7885" t="s">
        <v>18958</v>
      </c>
      <c r="M7885" t="s">
        <v>18958</v>
      </c>
      <c r="P7885" t="s">
        <v>26560</v>
      </c>
      <c r="R7885" t="s">
        <v>26578</v>
      </c>
      <c r="S7885" t="s">
        <v>18959</v>
      </c>
      <c r="U7885" t="s">
        <v>26604</v>
      </c>
      <c r="W7885" t="s">
        <v>770</v>
      </c>
      <c r="X7885">
        <v>0</v>
      </c>
      <c r="Y7885" t="s">
        <v>26651</v>
      </c>
      <c r="Z7885" t="s">
        <v>26661</v>
      </c>
      <c r="AB7885" t="s">
        <v>32509</v>
      </c>
      <c r="AD7885" t="s">
        <v>42962</v>
      </c>
      <c r="AE7885">
        <v>0</v>
      </c>
      <c r="AF7885" t="s">
        <v>45541</v>
      </c>
      <c r="AG7885" t="s">
        <v>19330</v>
      </c>
      <c r="AH7885">
        <v>0</v>
      </c>
      <c r="AI7885">
        <v>1</v>
      </c>
      <c r="AJ7885">
        <v>0</v>
      </c>
      <c r="AK7885">
        <v>86.47</v>
      </c>
      <c r="AN7885" t="s">
        <v>7439</v>
      </c>
      <c r="AO7885">
        <v>10800</v>
      </c>
      <c r="AU7885">
        <v>2.7</v>
      </c>
      <c r="AV7885" t="s">
        <v>808</v>
      </c>
      <c r="AW7885" t="s">
        <v>46840</v>
      </c>
    </row>
    <row r="7886" spans="1:50">
      <c r="A7886" s="1">
        <f>HYPERLINK("https://lsnyc.legalserver.org/matter/dynamic-profile/view/1898822","19-1898822")</f>
        <v>0</v>
      </c>
      <c r="B7886" t="s">
        <v>218</v>
      </c>
      <c r="C7886" t="s">
        <v>340</v>
      </c>
      <c r="D7886" t="s">
        <v>770</v>
      </c>
      <c r="F7886" t="s">
        <v>4096</v>
      </c>
      <c r="G7886" t="s">
        <v>8487</v>
      </c>
      <c r="H7886" t="s">
        <v>15024</v>
      </c>
      <c r="I7886">
        <v>41</v>
      </c>
      <c r="J7886" t="s">
        <v>18893</v>
      </c>
      <c r="K7886">
        <v>10033</v>
      </c>
      <c r="L7886" t="s">
        <v>18958</v>
      </c>
      <c r="M7886" t="s">
        <v>18958</v>
      </c>
      <c r="P7886" t="s">
        <v>26564</v>
      </c>
      <c r="R7886" t="s">
        <v>26578</v>
      </c>
      <c r="S7886" t="s">
        <v>18959</v>
      </c>
      <c r="U7886" t="s">
        <v>26604</v>
      </c>
      <c r="W7886" t="s">
        <v>770</v>
      </c>
      <c r="X7886">
        <v>796.84</v>
      </c>
      <c r="Y7886" t="s">
        <v>26651</v>
      </c>
      <c r="Z7886" t="s">
        <v>26661</v>
      </c>
      <c r="AB7886" t="s">
        <v>32510</v>
      </c>
      <c r="AD7886" t="s">
        <v>42963</v>
      </c>
      <c r="AE7886">
        <v>25</v>
      </c>
      <c r="AF7886" t="s">
        <v>45541</v>
      </c>
      <c r="AG7886" t="s">
        <v>19330</v>
      </c>
      <c r="AH7886">
        <v>38</v>
      </c>
      <c r="AI7886">
        <v>1</v>
      </c>
      <c r="AJ7886">
        <v>0</v>
      </c>
      <c r="AK7886">
        <v>134.32</v>
      </c>
      <c r="AN7886" t="s">
        <v>7439</v>
      </c>
      <c r="AO7886">
        <v>16776</v>
      </c>
      <c r="AU7886">
        <v>3.1</v>
      </c>
      <c r="AV7886" t="s">
        <v>830</v>
      </c>
      <c r="AW7886" t="s">
        <v>46840</v>
      </c>
    </row>
    <row r="7887" spans="1:50">
      <c r="A7887" s="1">
        <f>HYPERLINK("https://lsnyc.legalserver.org/matter/dynamic-profile/view/1898813","19-1898813")</f>
        <v>0</v>
      </c>
      <c r="B7887" t="s">
        <v>121</v>
      </c>
      <c r="C7887" t="s">
        <v>340</v>
      </c>
      <c r="D7887" t="s">
        <v>770</v>
      </c>
      <c r="F7887" t="s">
        <v>871</v>
      </c>
      <c r="G7887" t="s">
        <v>1725</v>
      </c>
      <c r="H7887" t="s">
        <v>15025</v>
      </c>
      <c r="J7887" t="s">
        <v>18892</v>
      </c>
      <c r="K7887">
        <v>10467</v>
      </c>
      <c r="L7887" t="s">
        <v>18958</v>
      </c>
      <c r="M7887" t="s">
        <v>18958</v>
      </c>
      <c r="N7887" t="s">
        <v>24597</v>
      </c>
      <c r="O7887" t="s">
        <v>26523</v>
      </c>
      <c r="P7887" t="s">
        <v>26560</v>
      </c>
      <c r="R7887" t="s">
        <v>26579</v>
      </c>
      <c r="U7887" t="s">
        <v>26604</v>
      </c>
      <c r="V7887" t="s">
        <v>26610</v>
      </c>
      <c r="W7887" t="s">
        <v>770</v>
      </c>
      <c r="X7887">
        <v>0</v>
      </c>
      <c r="Y7887" t="s">
        <v>26650</v>
      </c>
      <c r="AB7887" t="s">
        <v>32511</v>
      </c>
      <c r="AE7887">
        <v>27</v>
      </c>
      <c r="AF7887" t="s">
        <v>45541</v>
      </c>
      <c r="AG7887" t="s">
        <v>19330</v>
      </c>
      <c r="AH7887">
        <v>0</v>
      </c>
      <c r="AI7887">
        <v>1</v>
      </c>
      <c r="AJ7887">
        <v>0</v>
      </c>
      <c r="AK7887">
        <v>193.88</v>
      </c>
      <c r="AM7887" t="s">
        <v>45577</v>
      </c>
      <c r="AN7887" t="s">
        <v>7439</v>
      </c>
      <c r="AO7887">
        <v>24216</v>
      </c>
      <c r="AU7887">
        <v>3.9</v>
      </c>
      <c r="AV7887" t="s">
        <v>835</v>
      </c>
      <c r="AW7887" t="s">
        <v>335</v>
      </c>
      <c r="AX7887" t="s">
        <v>46897</v>
      </c>
    </row>
    <row r="7888" spans="1:50">
      <c r="A7888" s="1">
        <f>HYPERLINK("https://lsnyc.legalserver.org/matter/dynamic-profile/view/1898875","19-1898875")</f>
        <v>0</v>
      </c>
      <c r="B7888" t="s">
        <v>69</v>
      </c>
      <c r="C7888" t="s">
        <v>340</v>
      </c>
      <c r="D7888" t="s">
        <v>770</v>
      </c>
      <c r="F7888" t="s">
        <v>4097</v>
      </c>
      <c r="G7888" t="s">
        <v>5760</v>
      </c>
      <c r="H7888" t="s">
        <v>15026</v>
      </c>
      <c r="I7888" t="s">
        <v>17307</v>
      </c>
      <c r="J7888" t="s">
        <v>18892</v>
      </c>
      <c r="K7888">
        <v>10467</v>
      </c>
      <c r="L7888" t="s">
        <v>18958</v>
      </c>
      <c r="M7888" t="s">
        <v>18958</v>
      </c>
      <c r="N7888" t="s">
        <v>24598</v>
      </c>
      <c r="O7888" t="s">
        <v>26523</v>
      </c>
      <c r="P7888" t="s">
        <v>26560</v>
      </c>
      <c r="R7888" t="s">
        <v>26579</v>
      </c>
      <c r="S7888" t="s">
        <v>18959</v>
      </c>
      <c r="U7888" t="s">
        <v>26604</v>
      </c>
      <c r="W7888" t="s">
        <v>770</v>
      </c>
      <c r="X7888">
        <v>1125.25</v>
      </c>
      <c r="Y7888" t="s">
        <v>26650</v>
      </c>
      <c r="AB7888" t="s">
        <v>32512</v>
      </c>
      <c r="AD7888" t="s">
        <v>42964</v>
      </c>
      <c r="AE7888">
        <v>53</v>
      </c>
      <c r="AF7888" t="s">
        <v>45541</v>
      </c>
      <c r="AH7888">
        <v>0</v>
      </c>
      <c r="AI7888">
        <v>2</v>
      </c>
      <c r="AJ7888">
        <v>2</v>
      </c>
      <c r="AK7888">
        <v>139.81</v>
      </c>
      <c r="AN7888" t="s">
        <v>7439</v>
      </c>
      <c r="AO7888">
        <v>36000</v>
      </c>
      <c r="AU7888">
        <v>2.7</v>
      </c>
      <c r="AV7888" t="s">
        <v>835</v>
      </c>
      <c r="AW7888" t="s">
        <v>335</v>
      </c>
      <c r="AX7888" t="s">
        <v>46897</v>
      </c>
    </row>
    <row r="7889" spans="1:50">
      <c r="A7889" s="1">
        <f>HYPERLINK("https://lsnyc.legalserver.org/matter/dynamic-profile/view/1888844","19-1888844")</f>
        <v>0</v>
      </c>
      <c r="B7889" t="s">
        <v>64</v>
      </c>
      <c r="C7889" t="s">
        <v>340</v>
      </c>
      <c r="D7889" t="s">
        <v>732</v>
      </c>
      <c r="F7889" t="s">
        <v>3156</v>
      </c>
      <c r="G7889" t="s">
        <v>7408</v>
      </c>
      <c r="H7889" t="s">
        <v>13210</v>
      </c>
      <c r="I7889" t="s">
        <v>17347</v>
      </c>
      <c r="J7889" t="s">
        <v>18903</v>
      </c>
      <c r="K7889">
        <v>10459</v>
      </c>
      <c r="L7889" t="s">
        <v>18958</v>
      </c>
      <c r="M7889" t="s">
        <v>18958</v>
      </c>
      <c r="N7889" t="s">
        <v>24599</v>
      </c>
      <c r="O7889" t="s">
        <v>26524</v>
      </c>
      <c r="P7889" t="s">
        <v>26560</v>
      </c>
      <c r="R7889" t="s">
        <v>26577</v>
      </c>
      <c r="S7889" t="s">
        <v>18959</v>
      </c>
      <c r="U7889" t="s">
        <v>26604</v>
      </c>
      <c r="V7889" t="s">
        <v>26610</v>
      </c>
      <c r="W7889" t="s">
        <v>771</v>
      </c>
      <c r="X7889">
        <v>435</v>
      </c>
      <c r="Y7889" t="s">
        <v>26650</v>
      </c>
      <c r="Z7889" t="s">
        <v>26659</v>
      </c>
      <c r="AB7889" t="s">
        <v>30568</v>
      </c>
      <c r="AC7889" t="s">
        <v>35840</v>
      </c>
      <c r="AD7889" t="s">
        <v>40758</v>
      </c>
      <c r="AE7889">
        <v>24</v>
      </c>
      <c r="AF7889" t="s">
        <v>45541</v>
      </c>
      <c r="AG7889" t="s">
        <v>26530</v>
      </c>
      <c r="AH7889">
        <v>18</v>
      </c>
      <c r="AI7889">
        <v>1</v>
      </c>
      <c r="AJ7889">
        <v>1</v>
      </c>
      <c r="AK7889">
        <v>28.39</v>
      </c>
      <c r="AN7889" t="s">
        <v>7439</v>
      </c>
      <c r="AO7889">
        <v>4800</v>
      </c>
      <c r="AU7889">
        <v>6.7</v>
      </c>
      <c r="AV7889" t="s">
        <v>773</v>
      </c>
      <c r="AW7889" t="s">
        <v>46847</v>
      </c>
    </row>
    <row r="7890" spans="1:50">
      <c r="A7890" s="1">
        <f>HYPERLINK("https://lsnyc.legalserver.org/matter/dynamic-profile/view/1894801","19-1894801")</f>
        <v>0</v>
      </c>
      <c r="B7890" t="s">
        <v>70</v>
      </c>
      <c r="C7890" t="s">
        <v>340</v>
      </c>
      <c r="D7890" t="s">
        <v>788</v>
      </c>
      <c r="F7890" t="s">
        <v>969</v>
      </c>
      <c r="G7890" t="s">
        <v>5042</v>
      </c>
      <c r="H7890" t="s">
        <v>10159</v>
      </c>
      <c r="I7890" t="s">
        <v>17274</v>
      </c>
      <c r="J7890" t="s">
        <v>18892</v>
      </c>
      <c r="K7890">
        <v>10468</v>
      </c>
      <c r="L7890" t="s">
        <v>18958</v>
      </c>
      <c r="M7890" t="s">
        <v>18958</v>
      </c>
      <c r="N7890" t="s">
        <v>24600</v>
      </c>
      <c r="O7890" t="s">
        <v>26523</v>
      </c>
      <c r="P7890" t="s">
        <v>26560</v>
      </c>
      <c r="R7890" t="s">
        <v>26579</v>
      </c>
      <c r="S7890" t="s">
        <v>18959</v>
      </c>
      <c r="U7890" t="s">
        <v>26604</v>
      </c>
      <c r="V7890" t="s">
        <v>26610</v>
      </c>
      <c r="W7890" t="s">
        <v>771</v>
      </c>
      <c r="X7890">
        <v>1350</v>
      </c>
      <c r="Y7890" t="s">
        <v>26650</v>
      </c>
      <c r="Z7890" t="s">
        <v>26664</v>
      </c>
      <c r="AB7890" t="s">
        <v>31113</v>
      </c>
      <c r="AC7890" t="s">
        <v>36418</v>
      </c>
      <c r="AD7890" t="s">
        <v>42965</v>
      </c>
      <c r="AE7890">
        <v>49</v>
      </c>
      <c r="AF7890" t="s">
        <v>45541</v>
      </c>
      <c r="AG7890" t="s">
        <v>45558</v>
      </c>
      <c r="AH7890">
        <v>3</v>
      </c>
      <c r="AI7890">
        <v>1</v>
      </c>
      <c r="AJ7890">
        <v>2</v>
      </c>
      <c r="AK7890">
        <v>30.89</v>
      </c>
      <c r="AN7890" t="s">
        <v>7439</v>
      </c>
      <c r="AO7890">
        <v>6588</v>
      </c>
      <c r="AU7890">
        <v>10.1</v>
      </c>
      <c r="AV7890" t="s">
        <v>720</v>
      </c>
      <c r="AW7890" t="s">
        <v>334</v>
      </c>
      <c r="AX7890" t="s">
        <v>46898</v>
      </c>
    </row>
    <row r="7891" spans="1:50">
      <c r="A7891" s="1">
        <f>HYPERLINK("https://lsnyc.legalserver.org/matter/dynamic-profile/view/1895639","19-1895639")</f>
        <v>0</v>
      </c>
      <c r="B7891" t="s">
        <v>126</v>
      </c>
      <c r="C7891" t="s">
        <v>340</v>
      </c>
      <c r="D7891" t="s">
        <v>794</v>
      </c>
      <c r="F7891" t="s">
        <v>2360</v>
      </c>
      <c r="G7891" t="s">
        <v>8488</v>
      </c>
      <c r="H7891" t="s">
        <v>15027</v>
      </c>
      <c r="I7891" t="s">
        <v>17306</v>
      </c>
      <c r="J7891" t="s">
        <v>18894</v>
      </c>
      <c r="K7891">
        <v>11233</v>
      </c>
      <c r="L7891" t="s">
        <v>18958</v>
      </c>
      <c r="M7891" t="s">
        <v>18959</v>
      </c>
      <c r="N7891" t="s">
        <v>24601</v>
      </c>
      <c r="O7891" t="s">
        <v>26523</v>
      </c>
      <c r="P7891" t="s">
        <v>26560</v>
      </c>
      <c r="R7891" t="s">
        <v>26578</v>
      </c>
      <c r="S7891" t="s">
        <v>18959</v>
      </c>
      <c r="U7891" t="s">
        <v>26604</v>
      </c>
      <c r="V7891" t="s">
        <v>26611</v>
      </c>
      <c r="W7891" t="s">
        <v>771</v>
      </c>
      <c r="X7891">
        <v>1300</v>
      </c>
      <c r="Y7891" t="s">
        <v>26652</v>
      </c>
      <c r="Z7891" t="s">
        <v>26667</v>
      </c>
      <c r="AB7891" t="s">
        <v>32513</v>
      </c>
      <c r="AD7891" t="s">
        <v>42966</v>
      </c>
      <c r="AE7891">
        <v>16</v>
      </c>
      <c r="AF7891" t="s">
        <v>45541</v>
      </c>
      <c r="AG7891" t="s">
        <v>19330</v>
      </c>
      <c r="AH7891">
        <v>0</v>
      </c>
      <c r="AI7891">
        <v>1</v>
      </c>
      <c r="AJ7891">
        <v>0</v>
      </c>
      <c r="AK7891">
        <v>291.22</v>
      </c>
      <c r="AN7891" t="s">
        <v>7439</v>
      </c>
      <c r="AO7891">
        <v>36374</v>
      </c>
      <c r="AU7891">
        <v>13.8</v>
      </c>
      <c r="AV7891" t="s">
        <v>839</v>
      </c>
      <c r="AW7891" t="s">
        <v>286</v>
      </c>
      <c r="AX7891" t="s">
        <v>46897</v>
      </c>
    </row>
    <row r="7892" spans="1:50">
      <c r="A7892" s="1">
        <f>HYPERLINK("https://lsnyc.legalserver.org/matter/dynamic-profile/view/1895869","19-1895869")</f>
        <v>0</v>
      </c>
      <c r="B7892" t="s">
        <v>97</v>
      </c>
      <c r="C7892" t="s">
        <v>340</v>
      </c>
      <c r="D7892" t="s">
        <v>791</v>
      </c>
      <c r="F7892" t="s">
        <v>4098</v>
      </c>
      <c r="G7892" t="s">
        <v>5008</v>
      </c>
      <c r="H7892" t="s">
        <v>15028</v>
      </c>
      <c r="I7892" t="s">
        <v>17334</v>
      </c>
      <c r="J7892" t="s">
        <v>18892</v>
      </c>
      <c r="K7892">
        <v>10472</v>
      </c>
      <c r="L7892" t="s">
        <v>18958</v>
      </c>
      <c r="M7892" t="s">
        <v>18960</v>
      </c>
      <c r="N7892" t="s">
        <v>24602</v>
      </c>
      <c r="O7892" t="s">
        <v>26524</v>
      </c>
      <c r="P7892" t="s">
        <v>26560</v>
      </c>
      <c r="R7892" t="s">
        <v>26577</v>
      </c>
      <c r="U7892" t="s">
        <v>26604</v>
      </c>
      <c r="W7892" t="s">
        <v>771</v>
      </c>
      <c r="X7892">
        <v>1268</v>
      </c>
      <c r="Y7892" t="s">
        <v>26650</v>
      </c>
      <c r="AB7892" t="s">
        <v>32514</v>
      </c>
      <c r="AD7892" t="s">
        <v>42967</v>
      </c>
      <c r="AE7892">
        <v>4</v>
      </c>
      <c r="AF7892" t="s">
        <v>45547</v>
      </c>
      <c r="AG7892" t="s">
        <v>45562</v>
      </c>
      <c r="AH7892">
        <v>0</v>
      </c>
      <c r="AI7892">
        <v>2</v>
      </c>
      <c r="AJ7892">
        <v>0</v>
      </c>
      <c r="AK7892">
        <v>54.71</v>
      </c>
      <c r="AN7892" t="s">
        <v>7439</v>
      </c>
      <c r="AO7892">
        <v>9252</v>
      </c>
      <c r="AU7892">
        <v>11.2</v>
      </c>
      <c r="AV7892" t="s">
        <v>836</v>
      </c>
      <c r="AW7892" t="s">
        <v>46836</v>
      </c>
      <c r="AX7892" t="s">
        <v>46897</v>
      </c>
    </row>
    <row r="7893" spans="1:50">
      <c r="A7893" s="1">
        <f>HYPERLINK("https://lsnyc.legalserver.org/matter/dynamic-profile/view/1896526","19-1896526")</f>
        <v>0</v>
      </c>
      <c r="B7893" t="s">
        <v>169</v>
      </c>
      <c r="C7893" t="s">
        <v>340</v>
      </c>
      <c r="D7893" t="s">
        <v>802</v>
      </c>
      <c r="F7893" t="s">
        <v>4099</v>
      </c>
      <c r="G7893" t="s">
        <v>992</v>
      </c>
      <c r="H7893" t="s">
        <v>15029</v>
      </c>
      <c r="I7893" t="s">
        <v>17316</v>
      </c>
      <c r="J7893" t="s">
        <v>18892</v>
      </c>
      <c r="K7893">
        <v>10460</v>
      </c>
      <c r="L7893" t="s">
        <v>18958</v>
      </c>
      <c r="M7893" t="s">
        <v>18958</v>
      </c>
      <c r="N7893" t="s">
        <v>24603</v>
      </c>
      <c r="O7893" t="s">
        <v>26523</v>
      </c>
      <c r="P7893" t="s">
        <v>26560</v>
      </c>
      <c r="R7893" t="s">
        <v>26578</v>
      </c>
      <c r="S7893" t="s">
        <v>18959</v>
      </c>
      <c r="U7893" t="s">
        <v>26604</v>
      </c>
      <c r="V7893" t="s">
        <v>26609</v>
      </c>
      <c r="W7893" t="s">
        <v>771</v>
      </c>
      <c r="X7893">
        <v>1980.45</v>
      </c>
      <c r="Y7893" t="s">
        <v>26650</v>
      </c>
      <c r="Z7893" t="s">
        <v>26659</v>
      </c>
      <c r="AB7893" t="s">
        <v>32515</v>
      </c>
      <c r="AC7893" t="s">
        <v>36419</v>
      </c>
      <c r="AD7893" t="s">
        <v>42968</v>
      </c>
      <c r="AE7893">
        <v>0</v>
      </c>
      <c r="AF7893" t="s">
        <v>45541</v>
      </c>
      <c r="AG7893" t="s">
        <v>45558</v>
      </c>
      <c r="AH7893">
        <v>2</v>
      </c>
      <c r="AI7893">
        <v>4</v>
      </c>
      <c r="AJ7893">
        <v>1</v>
      </c>
      <c r="AK7893">
        <v>27.47</v>
      </c>
      <c r="AN7893" t="s">
        <v>7439</v>
      </c>
      <c r="AO7893">
        <v>8288.799999999999</v>
      </c>
      <c r="AU7893">
        <v>15.2</v>
      </c>
      <c r="AV7893" t="s">
        <v>833</v>
      </c>
      <c r="AW7893" t="s">
        <v>329</v>
      </c>
      <c r="AX7893" t="s">
        <v>46898</v>
      </c>
    </row>
    <row r="7894" spans="1:50">
      <c r="A7894" s="1">
        <f>HYPERLINK("https://lsnyc.legalserver.org/matter/dynamic-profile/view/1896514","19-1896514")</f>
        <v>0</v>
      </c>
      <c r="B7894" t="s">
        <v>174</v>
      </c>
      <c r="C7894" t="s">
        <v>340</v>
      </c>
      <c r="D7894" t="s">
        <v>802</v>
      </c>
      <c r="F7894" t="s">
        <v>4100</v>
      </c>
      <c r="G7894" t="s">
        <v>8489</v>
      </c>
      <c r="H7894" t="s">
        <v>15030</v>
      </c>
      <c r="I7894" t="s">
        <v>17416</v>
      </c>
      <c r="J7894" t="s">
        <v>18894</v>
      </c>
      <c r="K7894">
        <v>11208</v>
      </c>
      <c r="L7894" t="s">
        <v>18958</v>
      </c>
      <c r="M7894" t="s">
        <v>18959</v>
      </c>
      <c r="N7894" t="s">
        <v>24604</v>
      </c>
      <c r="O7894" t="s">
        <v>26523</v>
      </c>
      <c r="P7894" t="s">
        <v>26560</v>
      </c>
      <c r="R7894" t="s">
        <v>26578</v>
      </c>
      <c r="S7894" t="s">
        <v>18959</v>
      </c>
      <c r="U7894" t="s">
        <v>26604</v>
      </c>
      <c r="W7894" t="s">
        <v>771</v>
      </c>
      <c r="X7894">
        <v>951</v>
      </c>
      <c r="Y7894" t="s">
        <v>26652</v>
      </c>
      <c r="AB7894" t="s">
        <v>29071</v>
      </c>
      <c r="AD7894" t="s">
        <v>42969</v>
      </c>
      <c r="AE7894">
        <v>3</v>
      </c>
      <c r="AF7894" t="s">
        <v>45547</v>
      </c>
      <c r="AG7894" t="s">
        <v>19330</v>
      </c>
      <c r="AH7894">
        <v>4</v>
      </c>
      <c r="AI7894">
        <v>2</v>
      </c>
      <c r="AJ7894">
        <v>2</v>
      </c>
      <c r="AK7894">
        <v>213.59</v>
      </c>
      <c r="AN7894" t="s">
        <v>7439</v>
      </c>
      <c r="AO7894">
        <v>55000</v>
      </c>
      <c r="AU7894">
        <v>13.6</v>
      </c>
      <c r="AV7894" t="s">
        <v>835</v>
      </c>
      <c r="AW7894" t="s">
        <v>286</v>
      </c>
      <c r="AX7894" t="s">
        <v>46897</v>
      </c>
    </row>
    <row r="7895" spans="1:50">
      <c r="A7895" s="1">
        <f>HYPERLINK("https://lsnyc.legalserver.org/matter/dynamic-profile/view/1896734","19-1896734")</f>
        <v>0</v>
      </c>
      <c r="B7895" t="s">
        <v>213</v>
      </c>
      <c r="C7895" t="s">
        <v>340</v>
      </c>
      <c r="D7895" t="s">
        <v>672</v>
      </c>
      <c r="F7895" t="s">
        <v>4101</v>
      </c>
      <c r="G7895" t="s">
        <v>5496</v>
      </c>
      <c r="H7895" t="s">
        <v>15031</v>
      </c>
      <c r="I7895" t="s">
        <v>18513</v>
      </c>
      <c r="J7895" t="s">
        <v>18892</v>
      </c>
      <c r="K7895">
        <v>10456</v>
      </c>
      <c r="L7895" t="s">
        <v>18958</v>
      </c>
      <c r="M7895" t="s">
        <v>18958</v>
      </c>
      <c r="N7895" t="s">
        <v>24605</v>
      </c>
      <c r="O7895" t="s">
        <v>26523</v>
      </c>
      <c r="P7895" t="s">
        <v>26560</v>
      </c>
      <c r="R7895" t="s">
        <v>26577</v>
      </c>
      <c r="S7895" t="s">
        <v>18959</v>
      </c>
      <c r="U7895" t="s">
        <v>26604</v>
      </c>
      <c r="V7895" t="s">
        <v>26611</v>
      </c>
      <c r="W7895" t="s">
        <v>771</v>
      </c>
      <c r="X7895">
        <v>1700</v>
      </c>
      <c r="Y7895" t="s">
        <v>26650</v>
      </c>
      <c r="Z7895" t="s">
        <v>26661</v>
      </c>
      <c r="AB7895" t="s">
        <v>30007</v>
      </c>
      <c r="AD7895" t="s">
        <v>42970</v>
      </c>
      <c r="AE7895">
        <v>0</v>
      </c>
      <c r="AF7895" t="s">
        <v>45541</v>
      </c>
      <c r="AG7895" t="s">
        <v>45558</v>
      </c>
      <c r="AH7895">
        <v>4</v>
      </c>
      <c r="AI7895">
        <v>2</v>
      </c>
      <c r="AJ7895">
        <v>0</v>
      </c>
      <c r="AK7895">
        <v>41.05</v>
      </c>
      <c r="AN7895" t="s">
        <v>7439</v>
      </c>
      <c r="AO7895">
        <v>6942</v>
      </c>
      <c r="AU7895">
        <v>54.3</v>
      </c>
      <c r="AV7895" t="s">
        <v>729</v>
      </c>
      <c r="AW7895" t="s">
        <v>329</v>
      </c>
      <c r="AX7895" t="s">
        <v>46897</v>
      </c>
    </row>
    <row r="7896" spans="1:50">
      <c r="A7896" s="1">
        <f>HYPERLINK("https://lsnyc.legalserver.org/matter/dynamic-profile/view/1897182","19-1897182")</f>
        <v>0</v>
      </c>
      <c r="B7896" t="s">
        <v>50</v>
      </c>
      <c r="C7896" t="s">
        <v>340</v>
      </c>
      <c r="D7896" t="s">
        <v>760</v>
      </c>
      <c r="F7896" t="s">
        <v>4102</v>
      </c>
      <c r="G7896" t="s">
        <v>8490</v>
      </c>
      <c r="H7896" t="s">
        <v>10815</v>
      </c>
      <c r="I7896" t="s">
        <v>17441</v>
      </c>
      <c r="J7896" t="s">
        <v>18892</v>
      </c>
      <c r="K7896">
        <v>10453</v>
      </c>
      <c r="L7896" t="s">
        <v>18958</v>
      </c>
      <c r="M7896" t="s">
        <v>18958</v>
      </c>
      <c r="N7896" t="s">
        <v>24606</v>
      </c>
      <c r="O7896" t="s">
        <v>26523</v>
      </c>
      <c r="P7896" t="s">
        <v>26560</v>
      </c>
      <c r="R7896" t="s">
        <v>26577</v>
      </c>
      <c r="U7896" t="s">
        <v>26604</v>
      </c>
      <c r="V7896" t="s">
        <v>26610</v>
      </c>
      <c r="W7896" t="s">
        <v>771</v>
      </c>
      <c r="X7896">
        <v>1074</v>
      </c>
      <c r="Y7896" t="s">
        <v>26650</v>
      </c>
      <c r="Z7896" t="s">
        <v>26668</v>
      </c>
      <c r="AB7896" t="s">
        <v>32516</v>
      </c>
      <c r="AC7896" t="s">
        <v>36420</v>
      </c>
      <c r="AD7896" t="s">
        <v>42971</v>
      </c>
      <c r="AE7896">
        <v>439</v>
      </c>
      <c r="AF7896" t="s">
        <v>20460</v>
      </c>
      <c r="AG7896" t="s">
        <v>45556</v>
      </c>
      <c r="AH7896">
        <v>4</v>
      </c>
      <c r="AI7896">
        <v>1</v>
      </c>
      <c r="AJ7896">
        <v>0</v>
      </c>
      <c r="AK7896">
        <v>60.72</v>
      </c>
      <c r="AN7896" t="s">
        <v>7439</v>
      </c>
      <c r="AO7896">
        <v>7584</v>
      </c>
      <c r="AU7896">
        <v>11.75</v>
      </c>
      <c r="AV7896" t="s">
        <v>839</v>
      </c>
      <c r="AW7896" t="s">
        <v>334</v>
      </c>
      <c r="AX7896" t="s">
        <v>46898</v>
      </c>
    </row>
    <row r="7897" spans="1:50">
      <c r="A7897" s="1">
        <f>HYPERLINK("https://lsnyc.legalserver.org/matter/dynamic-profile/view/1898926","19-1898926")</f>
        <v>0</v>
      </c>
      <c r="B7897" t="s">
        <v>180</v>
      </c>
      <c r="C7897" t="s">
        <v>341</v>
      </c>
      <c r="D7897" t="s">
        <v>771</v>
      </c>
      <c r="E7897" t="s">
        <v>771</v>
      </c>
      <c r="F7897" t="s">
        <v>4103</v>
      </c>
      <c r="G7897" t="s">
        <v>8491</v>
      </c>
      <c r="H7897" t="s">
        <v>15032</v>
      </c>
      <c r="I7897" t="s">
        <v>17416</v>
      </c>
      <c r="J7897" t="s">
        <v>18894</v>
      </c>
      <c r="K7897">
        <v>11236</v>
      </c>
      <c r="L7897" t="s">
        <v>18958</v>
      </c>
      <c r="M7897" t="s">
        <v>18958</v>
      </c>
      <c r="N7897" t="s">
        <v>24607</v>
      </c>
      <c r="O7897" t="s">
        <v>26524</v>
      </c>
      <c r="P7897" t="s">
        <v>26564</v>
      </c>
      <c r="Q7897" t="s">
        <v>26570</v>
      </c>
      <c r="R7897" t="s">
        <v>26586</v>
      </c>
      <c r="U7897" t="s">
        <v>26604</v>
      </c>
      <c r="W7897" t="s">
        <v>771</v>
      </c>
      <c r="X7897">
        <v>0</v>
      </c>
      <c r="Y7897" t="s">
        <v>26652</v>
      </c>
      <c r="Z7897" t="s">
        <v>26664</v>
      </c>
      <c r="AA7897" t="s">
        <v>26683</v>
      </c>
      <c r="AB7897" t="s">
        <v>32517</v>
      </c>
      <c r="AD7897" t="s">
        <v>42972</v>
      </c>
      <c r="AE7897">
        <v>2</v>
      </c>
      <c r="AH7897">
        <v>0</v>
      </c>
      <c r="AI7897">
        <v>2</v>
      </c>
      <c r="AJ7897">
        <v>1</v>
      </c>
      <c r="AK7897">
        <v>84.39</v>
      </c>
      <c r="AN7897" t="s">
        <v>7439</v>
      </c>
      <c r="AO7897">
        <v>18000</v>
      </c>
      <c r="AU7897">
        <v>0.9</v>
      </c>
      <c r="AV7897" t="s">
        <v>771</v>
      </c>
      <c r="AW7897" t="s">
        <v>46862</v>
      </c>
      <c r="AX7897" t="s">
        <v>46897</v>
      </c>
    </row>
    <row r="7898" spans="1:50">
      <c r="A7898" s="1">
        <f>HYPERLINK("https://lsnyc.legalserver.org/matter/dynamic-profile/view/1898967","19-1898967")</f>
        <v>0</v>
      </c>
      <c r="B7898" t="s">
        <v>122</v>
      </c>
      <c r="C7898" t="s">
        <v>341</v>
      </c>
      <c r="D7898" t="s">
        <v>771</v>
      </c>
      <c r="E7898" t="s">
        <v>805</v>
      </c>
      <c r="F7898" t="s">
        <v>1087</v>
      </c>
      <c r="G7898" t="s">
        <v>8492</v>
      </c>
      <c r="H7898" t="s">
        <v>15033</v>
      </c>
      <c r="I7898" t="s">
        <v>17491</v>
      </c>
      <c r="J7898" t="s">
        <v>18901</v>
      </c>
      <c r="K7898">
        <v>11434</v>
      </c>
      <c r="L7898" t="s">
        <v>18958</v>
      </c>
      <c r="M7898" t="s">
        <v>18960</v>
      </c>
      <c r="N7898" t="s">
        <v>24608</v>
      </c>
      <c r="O7898" t="s">
        <v>26526</v>
      </c>
      <c r="P7898" t="s">
        <v>26564</v>
      </c>
      <c r="Q7898" t="s">
        <v>26570</v>
      </c>
      <c r="R7898" t="s">
        <v>26578</v>
      </c>
      <c r="S7898" t="s">
        <v>18959</v>
      </c>
      <c r="U7898" t="s">
        <v>26604</v>
      </c>
      <c r="V7898" t="s">
        <v>26610</v>
      </c>
      <c r="W7898" t="s">
        <v>771</v>
      </c>
      <c r="X7898">
        <v>2175</v>
      </c>
      <c r="Y7898" t="s">
        <v>26653</v>
      </c>
      <c r="Z7898" t="s">
        <v>26664</v>
      </c>
      <c r="AA7898" t="s">
        <v>26683</v>
      </c>
      <c r="AB7898" t="s">
        <v>28535</v>
      </c>
      <c r="AC7898" t="s">
        <v>36421</v>
      </c>
      <c r="AD7898" t="s">
        <v>42973</v>
      </c>
      <c r="AE7898">
        <v>2</v>
      </c>
      <c r="AF7898" t="s">
        <v>45547</v>
      </c>
      <c r="AG7898" t="s">
        <v>19330</v>
      </c>
      <c r="AH7898">
        <v>2</v>
      </c>
      <c r="AI7898">
        <v>3</v>
      </c>
      <c r="AJ7898">
        <v>0</v>
      </c>
      <c r="AK7898">
        <v>112.52</v>
      </c>
      <c r="AO7898">
        <v>24000</v>
      </c>
      <c r="AU7898">
        <v>0.5</v>
      </c>
      <c r="AV7898" t="s">
        <v>805</v>
      </c>
      <c r="AW7898" t="s">
        <v>122</v>
      </c>
      <c r="AX7898" t="s">
        <v>46897</v>
      </c>
    </row>
    <row r="7899" spans="1:50">
      <c r="A7899" s="1">
        <f>HYPERLINK("https://lsnyc.legalserver.org/matter/dynamic-profile/view/1898927","19-1898927")</f>
        <v>0</v>
      </c>
      <c r="B7899" t="s">
        <v>202</v>
      </c>
      <c r="C7899" t="s">
        <v>340</v>
      </c>
      <c r="D7899" t="s">
        <v>771</v>
      </c>
      <c r="F7899" t="s">
        <v>1072</v>
      </c>
      <c r="G7899" t="s">
        <v>8493</v>
      </c>
      <c r="H7899" t="s">
        <v>12478</v>
      </c>
      <c r="I7899" t="s">
        <v>17349</v>
      </c>
      <c r="J7899" t="s">
        <v>18894</v>
      </c>
      <c r="K7899">
        <v>11221</v>
      </c>
      <c r="L7899" t="s">
        <v>18958</v>
      </c>
      <c r="M7899" t="s">
        <v>18958</v>
      </c>
      <c r="N7899" t="s">
        <v>21681</v>
      </c>
      <c r="O7899" t="s">
        <v>26523</v>
      </c>
      <c r="P7899" t="s">
        <v>26560</v>
      </c>
      <c r="R7899" t="s">
        <v>26588</v>
      </c>
      <c r="U7899" t="s">
        <v>26604</v>
      </c>
      <c r="W7899" t="s">
        <v>771</v>
      </c>
      <c r="X7899">
        <v>1293</v>
      </c>
      <c r="Y7899" t="s">
        <v>26652</v>
      </c>
      <c r="AB7899" t="s">
        <v>32518</v>
      </c>
      <c r="AD7899" t="s">
        <v>42974</v>
      </c>
      <c r="AE7899">
        <v>6</v>
      </c>
      <c r="AF7899" t="s">
        <v>45541</v>
      </c>
      <c r="AH7899">
        <v>8</v>
      </c>
      <c r="AI7899">
        <v>1</v>
      </c>
      <c r="AJ7899">
        <v>0</v>
      </c>
      <c r="AK7899">
        <v>124.9</v>
      </c>
      <c r="AN7899" t="s">
        <v>7439</v>
      </c>
      <c r="AO7899">
        <v>15600</v>
      </c>
      <c r="AU7899">
        <v>7.65</v>
      </c>
      <c r="AV7899" t="s">
        <v>839</v>
      </c>
      <c r="AW7899" t="s">
        <v>46856</v>
      </c>
    </row>
    <row r="7900" spans="1:50">
      <c r="A7900" s="1">
        <f>HYPERLINK("https://lsnyc.legalserver.org/matter/dynamic-profile/view/1898973","19-1898973")</f>
        <v>0</v>
      </c>
      <c r="B7900" t="s">
        <v>74</v>
      </c>
      <c r="C7900" t="s">
        <v>340</v>
      </c>
      <c r="D7900" t="s">
        <v>771</v>
      </c>
      <c r="F7900" t="s">
        <v>1243</v>
      </c>
      <c r="G7900" t="s">
        <v>5191</v>
      </c>
      <c r="H7900" t="s">
        <v>14870</v>
      </c>
      <c r="J7900" t="s">
        <v>18893</v>
      </c>
      <c r="K7900">
        <v>10040</v>
      </c>
      <c r="L7900" t="s">
        <v>18958</v>
      </c>
      <c r="M7900" t="s">
        <v>18960</v>
      </c>
      <c r="O7900" t="s">
        <v>26523</v>
      </c>
      <c r="P7900" t="s">
        <v>26560</v>
      </c>
      <c r="R7900" t="s">
        <v>26578</v>
      </c>
      <c r="S7900" t="s">
        <v>18958</v>
      </c>
      <c r="U7900" t="s">
        <v>26604</v>
      </c>
      <c r="W7900" t="s">
        <v>771</v>
      </c>
      <c r="X7900">
        <v>1147</v>
      </c>
      <c r="Y7900" t="s">
        <v>26651</v>
      </c>
      <c r="Z7900" t="s">
        <v>26659</v>
      </c>
      <c r="AB7900" t="s">
        <v>32519</v>
      </c>
      <c r="AD7900" t="s">
        <v>42975</v>
      </c>
      <c r="AE7900">
        <v>44</v>
      </c>
      <c r="AF7900" t="s">
        <v>45541</v>
      </c>
      <c r="AG7900" t="s">
        <v>19330</v>
      </c>
      <c r="AH7900">
        <v>8</v>
      </c>
      <c r="AI7900">
        <v>3</v>
      </c>
      <c r="AJ7900">
        <v>0</v>
      </c>
      <c r="AK7900">
        <v>184.87</v>
      </c>
      <c r="AN7900" t="s">
        <v>45581</v>
      </c>
      <c r="AO7900">
        <v>39432</v>
      </c>
      <c r="AU7900">
        <v>14.6</v>
      </c>
      <c r="AV7900" t="s">
        <v>839</v>
      </c>
      <c r="AW7900" t="s">
        <v>46840</v>
      </c>
      <c r="AX7900" t="s">
        <v>46897</v>
      </c>
    </row>
    <row r="7901" spans="1:50">
      <c r="A7901" s="1">
        <f>HYPERLINK("https://lsnyc.legalserver.org/matter/dynamic-profile/view/1898991","19-1898991")</f>
        <v>0</v>
      </c>
      <c r="B7901" t="s">
        <v>74</v>
      </c>
      <c r="C7901" t="s">
        <v>340</v>
      </c>
      <c r="D7901" t="s">
        <v>771</v>
      </c>
      <c r="F7901" t="s">
        <v>1827</v>
      </c>
      <c r="G7901" t="s">
        <v>6789</v>
      </c>
      <c r="H7901" t="s">
        <v>14870</v>
      </c>
      <c r="I7901" t="s">
        <v>17344</v>
      </c>
      <c r="J7901" t="s">
        <v>18893</v>
      </c>
      <c r="K7901">
        <v>10040</v>
      </c>
      <c r="L7901" t="s">
        <v>18958</v>
      </c>
      <c r="M7901" t="s">
        <v>18960</v>
      </c>
      <c r="O7901" t="s">
        <v>26523</v>
      </c>
      <c r="P7901" t="s">
        <v>26560</v>
      </c>
      <c r="R7901" t="s">
        <v>26578</v>
      </c>
      <c r="S7901" t="s">
        <v>18958</v>
      </c>
      <c r="U7901" t="s">
        <v>26604</v>
      </c>
      <c r="W7901" t="s">
        <v>771</v>
      </c>
      <c r="X7901">
        <v>1231.45</v>
      </c>
      <c r="Y7901" t="s">
        <v>26651</v>
      </c>
      <c r="Z7901" t="s">
        <v>26659</v>
      </c>
      <c r="AB7901" t="s">
        <v>32520</v>
      </c>
      <c r="AD7901" t="s">
        <v>42976</v>
      </c>
      <c r="AE7901">
        <v>44</v>
      </c>
      <c r="AF7901" t="s">
        <v>45541</v>
      </c>
      <c r="AG7901" t="s">
        <v>19330</v>
      </c>
      <c r="AH7901">
        <v>13</v>
      </c>
      <c r="AI7901">
        <v>2</v>
      </c>
      <c r="AJ7901">
        <v>0</v>
      </c>
      <c r="AK7901">
        <v>226.64</v>
      </c>
      <c r="AN7901" t="s">
        <v>45581</v>
      </c>
      <c r="AO7901">
        <v>38324</v>
      </c>
      <c r="AU7901">
        <v>13.45</v>
      </c>
      <c r="AV7901" t="s">
        <v>836</v>
      </c>
      <c r="AW7901" t="s">
        <v>46840</v>
      </c>
      <c r="AX7901" t="s">
        <v>46897</v>
      </c>
    </row>
    <row r="7902" spans="1:50">
      <c r="A7902" s="1">
        <f>HYPERLINK("https://lsnyc.legalserver.org/matter/dynamic-profile/view/1898947","19-1898947")</f>
        <v>0</v>
      </c>
      <c r="B7902" t="s">
        <v>121</v>
      </c>
      <c r="C7902" t="s">
        <v>340</v>
      </c>
      <c r="D7902" t="s">
        <v>771</v>
      </c>
      <c r="F7902" t="s">
        <v>1123</v>
      </c>
      <c r="G7902" t="s">
        <v>8159</v>
      </c>
      <c r="H7902" t="s">
        <v>15034</v>
      </c>
      <c r="I7902" t="s">
        <v>17293</v>
      </c>
      <c r="J7902" t="s">
        <v>18892</v>
      </c>
      <c r="K7902">
        <v>10467</v>
      </c>
      <c r="L7902" t="s">
        <v>18958</v>
      </c>
      <c r="M7902" t="s">
        <v>18960</v>
      </c>
      <c r="N7902" t="s">
        <v>24609</v>
      </c>
      <c r="O7902" t="s">
        <v>26523</v>
      </c>
      <c r="P7902" t="s">
        <v>26560</v>
      </c>
      <c r="R7902" t="s">
        <v>26579</v>
      </c>
      <c r="U7902" t="s">
        <v>26604</v>
      </c>
      <c r="V7902" t="s">
        <v>26610</v>
      </c>
      <c r="W7902" t="s">
        <v>771</v>
      </c>
      <c r="X7902">
        <v>1063.77</v>
      </c>
      <c r="Y7902" t="s">
        <v>26650</v>
      </c>
      <c r="Z7902" t="s">
        <v>26659</v>
      </c>
      <c r="AB7902" t="s">
        <v>32521</v>
      </c>
      <c r="AD7902" t="s">
        <v>42977</v>
      </c>
      <c r="AE7902">
        <v>0</v>
      </c>
      <c r="AF7902" t="s">
        <v>45541</v>
      </c>
      <c r="AG7902" t="s">
        <v>19330</v>
      </c>
      <c r="AH7902">
        <v>7</v>
      </c>
      <c r="AI7902">
        <v>1</v>
      </c>
      <c r="AJ7902">
        <v>3</v>
      </c>
      <c r="AK7902">
        <v>102.52</v>
      </c>
      <c r="AN7902" t="s">
        <v>7439</v>
      </c>
      <c r="AO7902">
        <v>26400</v>
      </c>
      <c r="AU7902">
        <v>4.5</v>
      </c>
      <c r="AV7902" t="s">
        <v>826</v>
      </c>
      <c r="AW7902" t="s">
        <v>46836</v>
      </c>
      <c r="AX7902" t="s">
        <v>46897</v>
      </c>
    </row>
    <row r="7903" spans="1:50">
      <c r="A7903" s="1">
        <f>HYPERLINK("https://lsnyc.legalserver.org/matter/dynamic-profile/view/1899041","19-1899041")</f>
        <v>0</v>
      </c>
      <c r="B7903" t="s">
        <v>199</v>
      </c>
      <c r="C7903" t="s">
        <v>340</v>
      </c>
      <c r="D7903" t="s">
        <v>771</v>
      </c>
      <c r="F7903" t="s">
        <v>1087</v>
      </c>
      <c r="G7903" t="s">
        <v>5376</v>
      </c>
      <c r="H7903" t="s">
        <v>14883</v>
      </c>
      <c r="I7903" t="s">
        <v>17853</v>
      </c>
      <c r="J7903" t="s">
        <v>18894</v>
      </c>
      <c r="K7903">
        <v>11238</v>
      </c>
      <c r="L7903" t="s">
        <v>18958</v>
      </c>
      <c r="M7903" t="s">
        <v>18960</v>
      </c>
      <c r="O7903" t="s">
        <v>26529</v>
      </c>
      <c r="P7903" t="s">
        <v>26562</v>
      </c>
      <c r="R7903" t="s">
        <v>26578</v>
      </c>
      <c r="S7903" t="s">
        <v>18959</v>
      </c>
      <c r="U7903" t="s">
        <v>26604</v>
      </c>
      <c r="V7903" t="s">
        <v>26610</v>
      </c>
      <c r="W7903" t="s">
        <v>771</v>
      </c>
      <c r="X7903">
        <v>608.28</v>
      </c>
      <c r="Y7903" t="s">
        <v>26652</v>
      </c>
      <c r="Z7903" t="s">
        <v>26659</v>
      </c>
      <c r="AB7903" t="s">
        <v>32522</v>
      </c>
      <c r="AD7903" t="s">
        <v>42978</v>
      </c>
      <c r="AE7903">
        <v>38</v>
      </c>
      <c r="AF7903" t="s">
        <v>45541</v>
      </c>
      <c r="AG7903" t="s">
        <v>26530</v>
      </c>
      <c r="AH7903">
        <v>30</v>
      </c>
      <c r="AI7903">
        <v>3</v>
      </c>
      <c r="AJ7903">
        <v>0</v>
      </c>
      <c r="AK7903">
        <v>0</v>
      </c>
      <c r="AN7903" t="s">
        <v>7439</v>
      </c>
      <c r="AO7903">
        <v>0</v>
      </c>
      <c r="AU7903">
        <v>7.8</v>
      </c>
      <c r="AV7903" t="s">
        <v>773</v>
      </c>
      <c r="AW7903" t="s">
        <v>199</v>
      </c>
    </row>
    <row r="7904" spans="1:50">
      <c r="A7904" s="1">
        <f>HYPERLINK("https://lsnyc.legalserver.org/matter/dynamic-profile/view/1896688","19-1896688")</f>
        <v>0</v>
      </c>
      <c r="B7904" t="s">
        <v>103</v>
      </c>
      <c r="C7904" t="s">
        <v>340</v>
      </c>
      <c r="D7904" t="s">
        <v>771</v>
      </c>
      <c r="F7904" t="s">
        <v>1510</v>
      </c>
      <c r="G7904" t="s">
        <v>5008</v>
      </c>
      <c r="H7904" t="s">
        <v>14124</v>
      </c>
      <c r="I7904" t="s">
        <v>17361</v>
      </c>
      <c r="J7904" t="s">
        <v>18902</v>
      </c>
      <c r="K7904">
        <v>10310</v>
      </c>
      <c r="L7904" t="s">
        <v>18958</v>
      </c>
      <c r="M7904" t="s">
        <v>18960</v>
      </c>
      <c r="N7904" t="s">
        <v>24610</v>
      </c>
      <c r="O7904" t="s">
        <v>26523</v>
      </c>
      <c r="P7904" t="s">
        <v>26560</v>
      </c>
      <c r="R7904" t="s">
        <v>26590</v>
      </c>
      <c r="S7904" t="s">
        <v>18959</v>
      </c>
      <c r="U7904" t="s">
        <v>26606</v>
      </c>
      <c r="V7904" t="s">
        <v>26610</v>
      </c>
      <c r="W7904" t="s">
        <v>771</v>
      </c>
      <c r="X7904">
        <v>272</v>
      </c>
      <c r="Y7904" t="s">
        <v>26654</v>
      </c>
      <c r="Z7904" t="s">
        <v>26660</v>
      </c>
      <c r="AB7904" t="s">
        <v>32523</v>
      </c>
      <c r="AD7904" t="s">
        <v>42979</v>
      </c>
      <c r="AE7904">
        <v>56</v>
      </c>
      <c r="AF7904" t="s">
        <v>45542</v>
      </c>
      <c r="AG7904" t="s">
        <v>19330</v>
      </c>
      <c r="AH7904">
        <v>25</v>
      </c>
      <c r="AI7904">
        <v>2</v>
      </c>
      <c r="AJ7904">
        <v>1</v>
      </c>
      <c r="AK7904">
        <v>79.23</v>
      </c>
      <c r="AN7904" t="s">
        <v>7439</v>
      </c>
      <c r="AO7904">
        <v>16899.96</v>
      </c>
      <c r="AU7904">
        <v>4.6</v>
      </c>
      <c r="AV7904" t="s">
        <v>773</v>
      </c>
      <c r="AW7904" t="s">
        <v>46883</v>
      </c>
      <c r="AX7904" t="s">
        <v>46897</v>
      </c>
    </row>
    <row r="7905" spans="1:50">
      <c r="A7905" s="1">
        <f>HYPERLINK("https://lsnyc.legalserver.org/matter/dynamic-profile/view/1898932","19-1898932")</f>
        <v>0</v>
      </c>
      <c r="B7905" t="s">
        <v>123</v>
      </c>
      <c r="C7905" t="s">
        <v>340</v>
      </c>
      <c r="D7905" t="s">
        <v>771</v>
      </c>
      <c r="F7905" t="s">
        <v>1165</v>
      </c>
      <c r="G7905" t="s">
        <v>1263</v>
      </c>
      <c r="H7905" t="s">
        <v>10474</v>
      </c>
      <c r="I7905" t="s">
        <v>17451</v>
      </c>
      <c r="J7905" t="s">
        <v>18894</v>
      </c>
      <c r="K7905">
        <v>11225</v>
      </c>
      <c r="L7905" t="s">
        <v>18958</v>
      </c>
      <c r="M7905" t="s">
        <v>18958</v>
      </c>
      <c r="N7905" t="s">
        <v>24611</v>
      </c>
      <c r="O7905" t="s">
        <v>26523</v>
      </c>
      <c r="P7905" t="s">
        <v>26560</v>
      </c>
      <c r="R7905" t="s">
        <v>26588</v>
      </c>
      <c r="S7905" t="s">
        <v>18958</v>
      </c>
      <c r="U7905" t="s">
        <v>26604</v>
      </c>
      <c r="V7905" t="s">
        <v>26610</v>
      </c>
      <c r="W7905" t="s">
        <v>771</v>
      </c>
      <c r="X7905">
        <v>978.0700000000001</v>
      </c>
      <c r="Y7905" t="s">
        <v>26652</v>
      </c>
      <c r="Z7905" t="s">
        <v>26659</v>
      </c>
      <c r="AB7905" t="s">
        <v>27590</v>
      </c>
      <c r="AC7905" t="s">
        <v>36422</v>
      </c>
      <c r="AD7905" t="s">
        <v>37647</v>
      </c>
      <c r="AE7905">
        <v>69</v>
      </c>
      <c r="AF7905" t="s">
        <v>45541</v>
      </c>
      <c r="AH7905">
        <v>28</v>
      </c>
      <c r="AI7905">
        <v>1</v>
      </c>
      <c r="AJ7905">
        <v>0</v>
      </c>
      <c r="AK7905">
        <v>0</v>
      </c>
      <c r="AN7905" t="s">
        <v>7439</v>
      </c>
      <c r="AO7905">
        <v>0</v>
      </c>
      <c r="AU7905">
        <v>5.35</v>
      </c>
      <c r="AV7905" t="s">
        <v>819</v>
      </c>
      <c r="AW7905" t="s">
        <v>46856</v>
      </c>
      <c r="AX7905" t="s">
        <v>46897</v>
      </c>
    </row>
    <row r="7906" spans="1:50">
      <c r="A7906" s="1">
        <f>HYPERLINK("https://lsnyc.legalserver.org/matter/dynamic-profile/view/1899074","19-1899074")</f>
        <v>0</v>
      </c>
      <c r="B7906" t="s">
        <v>205</v>
      </c>
      <c r="C7906" t="s">
        <v>340</v>
      </c>
      <c r="D7906" t="s">
        <v>811</v>
      </c>
      <c r="F7906" t="s">
        <v>4104</v>
      </c>
      <c r="G7906" t="s">
        <v>5761</v>
      </c>
      <c r="H7906" t="s">
        <v>10516</v>
      </c>
      <c r="I7906" t="s">
        <v>17360</v>
      </c>
      <c r="J7906" t="s">
        <v>18894</v>
      </c>
      <c r="K7906">
        <v>11213</v>
      </c>
      <c r="L7906" t="s">
        <v>18958</v>
      </c>
      <c r="M7906" t="s">
        <v>18960</v>
      </c>
      <c r="N7906" t="s">
        <v>24612</v>
      </c>
      <c r="O7906" t="s">
        <v>26523</v>
      </c>
      <c r="P7906" t="s">
        <v>26560</v>
      </c>
      <c r="R7906" t="s">
        <v>26578</v>
      </c>
      <c r="S7906" t="s">
        <v>18959</v>
      </c>
      <c r="U7906" t="s">
        <v>26604</v>
      </c>
      <c r="W7906" t="s">
        <v>771</v>
      </c>
      <c r="X7906">
        <v>560</v>
      </c>
      <c r="Y7906" t="s">
        <v>26652</v>
      </c>
      <c r="AB7906" t="s">
        <v>32524</v>
      </c>
      <c r="AD7906" t="s">
        <v>42980</v>
      </c>
      <c r="AE7906">
        <v>19</v>
      </c>
      <c r="AF7906" t="s">
        <v>45541</v>
      </c>
      <c r="AG7906" t="s">
        <v>19330</v>
      </c>
      <c r="AH7906">
        <v>18</v>
      </c>
      <c r="AI7906">
        <v>2</v>
      </c>
      <c r="AJ7906">
        <v>1</v>
      </c>
      <c r="AK7906">
        <v>118.97</v>
      </c>
      <c r="AN7906" t="s">
        <v>7439</v>
      </c>
      <c r="AO7906">
        <v>25376</v>
      </c>
      <c r="AU7906">
        <v>1.95</v>
      </c>
      <c r="AV7906" t="s">
        <v>773</v>
      </c>
      <c r="AW7906" t="s">
        <v>286</v>
      </c>
      <c r="AX7906" t="s">
        <v>46897</v>
      </c>
    </row>
    <row r="7907" spans="1:50">
      <c r="A7907" s="1">
        <f>HYPERLINK("https://lsnyc.legalserver.org/matter/dynamic-profile/view/1901804","19-1901804")</f>
        <v>0</v>
      </c>
      <c r="B7907" t="s">
        <v>235</v>
      </c>
      <c r="C7907" t="s">
        <v>340</v>
      </c>
      <c r="D7907" t="s">
        <v>814</v>
      </c>
      <c r="F7907" t="s">
        <v>1228</v>
      </c>
      <c r="G7907" t="s">
        <v>8494</v>
      </c>
      <c r="H7907" t="s">
        <v>14384</v>
      </c>
      <c r="I7907" t="s">
        <v>17313</v>
      </c>
      <c r="J7907" t="s">
        <v>18906</v>
      </c>
      <c r="K7907">
        <v>11373</v>
      </c>
      <c r="L7907" t="s">
        <v>18958</v>
      </c>
      <c r="M7907" t="s">
        <v>18960</v>
      </c>
      <c r="N7907" t="s">
        <v>24613</v>
      </c>
      <c r="O7907" t="s">
        <v>26524</v>
      </c>
      <c r="P7907" t="s">
        <v>26563</v>
      </c>
      <c r="R7907" t="s">
        <v>26585</v>
      </c>
      <c r="S7907" t="s">
        <v>18958</v>
      </c>
      <c r="U7907" t="s">
        <v>26604</v>
      </c>
      <c r="W7907" t="s">
        <v>771</v>
      </c>
      <c r="X7907">
        <v>1590</v>
      </c>
      <c r="Y7907" t="s">
        <v>26653</v>
      </c>
      <c r="Z7907" t="s">
        <v>26664</v>
      </c>
      <c r="AB7907" t="s">
        <v>27022</v>
      </c>
      <c r="AC7907" t="s">
        <v>20460</v>
      </c>
      <c r="AD7907" t="s">
        <v>42981</v>
      </c>
      <c r="AE7907">
        <v>90</v>
      </c>
      <c r="AF7907" t="s">
        <v>45548</v>
      </c>
      <c r="AG7907" t="s">
        <v>19330</v>
      </c>
      <c r="AH7907">
        <v>-1</v>
      </c>
      <c r="AI7907">
        <v>4</v>
      </c>
      <c r="AJ7907">
        <v>2</v>
      </c>
      <c r="AK7907">
        <v>108.45</v>
      </c>
      <c r="AN7907" t="s">
        <v>45581</v>
      </c>
      <c r="AO7907">
        <v>37512</v>
      </c>
      <c r="AU7907">
        <v>0.33</v>
      </c>
      <c r="AV7907" t="s">
        <v>814</v>
      </c>
      <c r="AW7907" t="s">
        <v>46846</v>
      </c>
      <c r="AX7907" t="s">
        <v>46898</v>
      </c>
    </row>
    <row r="7908" spans="1:50">
      <c r="A7908" s="1">
        <f>HYPERLINK("https://lsnyc.legalserver.org/matter/dynamic-profile/view/1888561","19-1888561")</f>
        <v>0</v>
      </c>
      <c r="B7908" t="s">
        <v>130</v>
      </c>
      <c r="C7908" t="s">
        <v>340</v>
      </c>
      <c r="D7908" t="s">
        <v>707</v>
      </c>
      <c r="F7908" t="s">
        <v>952</v>
      </c>
      <c r="G7908" t="s">
        <v>8495</v>
      </c>
      <c r="H7908" t="s">
        <v>15035</v>
      </c>
      <c r="I7908">
        <v>1</v>
      </c>
      <c r="J7908" t="s">
        <v>18932</v>
      </c>
      <c r="K7908">
        <v>11385</v>
      </c>
      <c r="L7908" t="s">
        <v>18958</v>
      </c>
      <c r="M7908" t="s">
        <v>18958</v>
      </c>
      <c r="N7908" t="s">
        <v>24614</v>
      </c>
      <c r="O7908" t="s">
        <v>26524</v>
      </c>
      <c r="P7908" t="s">
        <v>26560</v>
      </c>
      <c r="R7908" t="s">
        <v>26585</v>
      </c>
      <c r="S7908" t="s">
        <v>18959</v>
      </c>
      <c r="U7908" t="s">
        <v>26604</v>
      </c>
      <c r="V7908" t="s">
        <v>26610</v>
      </c>
      <c r="W7908" t="s">
        <v>811</v>
      </c>
      <c r="X7908">
        <v>1200</v>
      </c>
      <c r="Y7908" t="s">
        <v>26653</v>
      </c>
      <c r="Z7908" t="s">
        <v>26664</v>
      </c>
      <c r="AB7908" t="s">
        <v>30454</v>
      </c>
      <c r="AD7908" t="s">
        <v>42982</v>
      </c>
      <c r="AE7908">
        <v>2</v>
      </c>
      <c r="AF7908" t="s">
        <v>45547</v>
      </c>
      <c r="AG7908" t="s">
        <v>19330</v>
      </c>
      <c r="AH7908">
        <v>19</v>
      </c>
      <c r="AI7908">
        <v>2</v>
      </c>
      <c r="AJ7908">
        <v>0</v>
      </c>
      <c r="AK7908">
        <v>295.68</v>
      </c>
      <c r="AL7908" t="s">
        <v>800</v>
      </c>
      <c r="AM7908" t="s">
        <v>45575</v>
      </c>
      <c r="AN7908" t="s">
        <v>7439</v>
      </c>
      <c r="AO7908">
        <v>50000</v>
      </c>
      <c r="AQ7908" t="s">
        <v>46359</v>
      </c>
      <c r="AR7908" t="s">
        <v>26530</v>
      </c>
      <c r="AS7908" t="s">
        <v>46500</v>
      </c>
      <c r="AT7908" t="s">
        <v>46801</v>
      </c>
      <c r="AU7908">
        <v>24.75</v>
      </c>
      <c r="AV7908" t="s">
        <v>833</v>
      </c>
      <c r="AW7908" t="s">
        <v>208</v>
      </c>
      <c r="AX7908" t="s">
        <v>46897</v>
      </c>
    </row>
    <row r="7909" spans="1:50">
      <c r="A7909" s="1">
        <f>HYPERLINK("https://lsnyc.legalserver.org/matter/dynamic-profile/view/1892789","19-1892789")</f>
        <v>0</v>
      </c>
      <c r="B7909" t="s">
        <v>130</v>
      </c>
      <c r="C7909" t="s">
        <v>340</v>
      </c>
      <c r="D7909" t="s">
        <v>752</v>
      </c>
      <c r="F7909" t="s">
        <v>1602</v>
      </c>
      <c r="G7909" t="s">
        <v>5466</v>
      </c>
      <c r="H7909" t="s">
        <v>14132</v>
      </c>
      <c r="I7909" t="s">
        <v>17375</v>
      </c>
      <c r="J7909" t="s">
        <v>18901</v>
      </c>
      <c r="K7909">
        <v>11433</v>
      </c>
      <c r="L7909" t="s">
        <v>18958</v>
      </c>
      <c r="M7909" t="s">
        <v>18958</v>
      </c>
      <c r="N7909" t="s">
        <v>24615</v>
      </c>
      <c r="O7909" t="s">
        <v>26524</v>
      </c>
      <c r="P7909" t="s">
        <v>26560</v>
      </c>
      <c r="R7909" t="s">
        <v>26585</v>
      </c>
      <c r="S7909" t="s">
        <v>18959</v>
      </c>
      <c r="U7909" t="s">
        <v>26604</v>
      </c>
      <c r="V7909" t="s">
        <v>26610</v>
      </c>
      <c r="W7909" t="s">
        <v>811</v>
      </c>
      <c r="X7909">
        <v>1227</v>
      </c>
      <c r="Y7909" t="s">
        <v>26653</v>
      </c>
      <c r="Z7909" t="s">
        <v>26668</v>
      </c>
      <c r="AB7909" t="s">
        <v>32525</v>
      </c>
      <c r="AC7909" t="s">
        <v>36423</v>
      </c>
      <c r="AD7909" t="s">
        <v>42983</v>
      </c>
      <c r="AE7909">
        <v>2</v>
      </c>
      <c r="AF7909" t="s">
        <v>45547</v>
      </c>
      <c r="AG7909" t="s">
        <v>45556</v>
      </c>
      <c r="AH7909">
        <v>18</v>
      </c>
      <c r="AI7909">
        <v>2</v>
      </c>
      <c r="AJ7909">
        <v>0</v>
      </c>
      <c r="AK7909">
        <v>106.45</v>
      </c>
      <c r="AN7909" t="s">
        <v>45581</v>
      </c>
      <c r="AO7909">
        <v>18000</v>
      </c>
      <c r="AU7909">
        <v>26.45</v>
      </c>
      <c r="AV7909" t="s">
        <v>827</v>
      </c>
      <c r="AW7909" t="s">
        <v>208</v>
      </c>
      <c r="AX7909" t="s">
        <v>46897</v>
      </c>
    </row>
    <row r="7910" spans="1:50">
      <c r="A7910" s="1">
        <f>HYPERLINK("https://lsnyc.legalserver.org/matter/dynamic-profile/view/1894342","19-1894342")</f>
        <v>0</v>
      </c>
      <c r="B7910" t="s">
        <v>130</v>
      </c>
      <c r="C7910" t="s">
        <v>340</v>
      </c>
      <c r="D7910" t="s">
        <v>741</v>
      </c>
      <c r="F7910" t="s">
        <v>887</v>
      </c>
      <c r="G7910" t="s">
        <v>5478</v>
      </c>
      <c r="H7910" t="s">
        <v>15036</v>
      </c>
      <c r="I7910">
        <v>1</v>
      </c>
      <c r="J7910" t="s">
        <v>18899</v>
      </c>
      <c r="K7910">
        <v>11385</v>
      </c>
      <c r="L7910" t="s">
        <v>18958</v>
      </c>
      <c r="M7910" t="s">
        <v>18958</v>
      </c>
      <c r="N7910" t="s">
        <v>24616</v>
      </c>
      <c r="O7910" t="s">
        <v>26524</v>
      </c>
      <c r="P7910" t="s">
        <v>26560</v>
      </c>
      <c r="R7910" t="s">
        <v>26585</v>
      </c>
      <c r="S7910" t="s">
        <v>18959</v>
      </c>
      <c r="U7910" t="s">
        <v>26604</v>
      </c>
      <c r="V7910" t="s">
        <v>26610</v>
      </c>
      <c r="W7910" t="s">
        <v>811</v>
      </c>
      <c r="X7910">
        <v>1750</v>
      </c>
      <c r="Y7910" t="s">
        <v>26653</v>
      </c>
      <c r="Z7910" t="s">
        <v>26668</v>
      </c>
      <c r="AB7910" t="s">
        <v>32526</v>
      </c>
      <c r="AD7910" t="s">
        <v>42984</v>
      </c>
      <c r="AE7910">
        <v>2</v>
      </c>
      <c r="AF7910" t="s">
        <v>45547</v>
      </c>
      <c r="AG7910" t="s">
        <v>19330</v>
      </c>
      <c r="AH7910">
        <v>2</v>
      </c>
      <c r="AI7910">
        <v>2</v>
      </c>
      <c r="AJ7910">
        <v>3</v>
      </c>
      <c r="AK7910">
        <v>33.15</v>
      </c>
      <c r="AN7910" t="s">
        <v>45581</v>
      </c>
      <c r="AO7910">
        <v>10000</v>
      </c>
      <c r="AU7910">
        <v>3.45</v>
      </c>
      <c r="AV7910" t="s">
        <v>811</v>
      </c>
      <c r="AW7910" t="s">
        <v>208</v>
      </c>
      <c r="AX7910" t="s">
        <v>46897</v>
      </c>
    </row>
    <row r="7911" spans="1:50">
      <c r="A7911" s="1">
        <f>HYPERLINK("https://lsnyc.legalserver.org/matter/dynamic-profile/view/1896031","19-1896031")</f>
        <v>0</v>
      </c>
      <c r="B7911" t="s">
        <v>219</v>
      </c>
      <c r="C7911" t="s">
        <v>341</v>
      </c>
      <c r="D7911" t="s">
        <v>811</v>
      </c>
      <c r="E7911" t="s">
        <v>806</v>
      </c>
      <c r="F7911" t="s">
        <v>4105</v>
      </c>
      <c r="G7911" t="s">
        <v>916</v>
      </c>
      <c r="H7911" t="s">
        <v>15037</v>
      </c>
      <c r="I7911">
        <v>9</v>
      </c>
      <c r="J7911" t="s">
        <v>18894</v>
      </c>
      <c r="K7911">
        <v>11215</v>
      </c>
      <c r="L7911" t="s">
        <v>18958</v>
      </c>
      <c r="M7911" t="s">
        <v>18960</v>
      </c>
      <c r="P7911" t="s">
        <v>26564</v>
      </c>
      <c r="Q7911" t="s">
        <v>26570</v>
      </c>
      <c r="R7911" t="s">
        <v>26578</v>
      </c>
      <c r="U7911" t="s">
        <v>26604</v>
      </c>
      <c r="W7911" t="s">
        <v>811</v>
      </c>
      <c r="X7911">
        <v>0</v>
      </c>
      <c r="Y7911" t="s">
        <v>26652</v>
      </c>
      <c r="AA7911" t="s">
        <v>26683</v>
      </c>
      <c r="AB7911" t="s">
        <v>32527</v>
      </c>
      <c r="AD7911" t="s">
        <v>42985</v>
      </c>
      <c r="AE7911">
        <v>0</v>
      </c>
      <c r="AH7911">
        <v>0</v>
      </c>
      <c r="AI7911">
        <v>1</v>
      </c>
      <c r="AJ7911">
        <v>0</v>
      </c>
      <c r="AK7911">
        <v>0</v>
      </c>
      <c r="AN7911" t="s">
        <v>45581</v>
      </c>
      <c r="AO7911">
        <v>0</v>
      </c>
      <c r="AU7911">
        <v>0.5</v>
      </c>
      <c r="AV7911" t="s">
        <v>806</v>
      </c>
      <c r="AW7911" t="s">
        <v>219</v>
      </c>
      <c r="AX7911" t="s">
        <v>46897</v>
      </c>
    </row>
    <row r="7912" spans="1:50">
      <c r="A7912" s="1">
        <f>HYPERLINK("https://lsnyc.legalserver.org/matter/dynamic-profile/view/1898059","19-1898059")</f>
        <v>0</v>
      </c>
      <c r="B7912" t="s">
        <v>153</v>
      </c>
      <c r="C7912" t="s">
        <v>341</v>
      </c>
      <c r="D7912" t="s">
        <v>811</v>
      </c>
      <c r="E7912" t="s">
        <v>806</v>
      </c>
      <c r="F7912" t="s">
        <v>1594</v>
      </c>
      <c r="G7912" t="s">
        <v>8496</v>
      </c>
      <c r="H7912" t="s">
        <v>15038</v>
      </c>
      <c r="J7912" t="s">
        <v>18902</v>
      </c>
      <c r="K7912">
        <v>10309</v>
      </c>
      <c r="L7912" t="s">
        <v>18958</v>
      </c>
      <c r="M7912" t="s">
        <v>18960</v>
      </c>
      <c r="N7912" t="s">
        <v>24617</v>
      </c>
      <c r="O7912" t="s">
        <v>26524</v>
      </c>
      <c r="P7912" t="s">
        <v>26560</v>
      </c>
      <c r="Q7912" t="s">
        <v>26575</v>
      </c>
      <c r="R7912" t="s">
        <v>26587</v>
      </c>
      <c r="S7912" t="s">
        <v>18959</v>
      </c>
      <c r="U7912" t="s">
        <v>26604</v>
      </c>
      <c r="V7912" t="s">
        <v>26610</v>
      </c>
      <c r="W7912" t="s">
        <v>811</v>
      </c>
      <c r="X7912">
        <v>0</v>
      </c>
      <c r="Y7912" t="s">
        <v>26654</v>
      </c>
      <c r="Z7912" t="s">
        <v>26664</v>
      </c>
      <c r="AA7912" t="s">
        <v>26678</v>
      </c>
      <c r="AB7912" t="s">
        <v>32440</v>
      </c>
      <c r="AD7912" t="s">
        <v>42986</v>
      </c>
      <c r="AE7912">
        <v>1</v>
      </c>
      <c r="AF7912" t="s">
        <v>45547</v>
      </c>
      <c r="AG7912" t="s">
        <v>19330</v>
      </c>
      <c r="AH7912">
        <v>11</v>
      </c>
      <c r="AI7912">
        <v>1</v>
      </c>
      <c r="AJ7912">
        <v>1</v>
      </c>
      <c r="AK7912">
        <v>44.96</v>
      </c>
      <c r="AN7912" t="s">
        <v>7439</v>
      </c>
      <c r="AO7912">
        <v>7602</v>
      </c>
      <c r="AS7912" t="s">
        <v>46499</v>
      </c>
      <c r="AT7912" t="s">
        <v>46619</v>
      </c>
      <c r="AU7912">
        <v>1.1</v>
      </c>
      <c r="AV7912" t="s">
        <v>805</v>
      </c>
      <c r="AW7912" t="s">
        <v>46883</v>
      </c>
    </row>
    <row r="7913" spans="1:50">
      <c r="A7913" s="1">
        <f>HYPERLINK("https://lsnyc.legalserver.org/matter/dynamic-profile/view/1899083","19-1899083")</f>
        <v>0</v>
      </c>
      <c r="B7913" t="s">
        <v>122</v>
      </c>
      <c r="C7913" t="s">
        <v>341</v>
      </c>
      <c r="D7913" t="s">
        <v>811</v>
      </c>
      <c r="E7913" t="s">
        <v>811</v>
      </c>
      <c r="F7913" t="s">
        <v>4106</v>
      </c>
      <c r="G7913" t="s">
        <v>8497</v>
      </c>
      <c r="H7913" t="s">
        <v>15039</v>
      </c>
      <c r="I7913" t="s">
        <v>17291</v>
      </c>
      <c r="J7913" t="s">
        <v>18919</v>
      </c>
      <c r="K7913">
        <v>11428</v>
      </c>
      <c r="L7913" t="s">
        <v>18958</v>
      </c>
      <c r="M7913" t="s">
        <v>18960</v>
      </c>
      <c r="N7913" t="s">
        <v>19045</v>
      </c>
      <c r="O7913" t="s">
        <v>18997</v>
      </c>
      <c r="P7913" t="s">
        <v>26564</v>
      </c>
      <c r="Q7913" t="s">
        <v>26570</v>
      </c>
      <c r="R7913" t="s">
        <v>26589</v>
      </c>
      <c r="S7913" t="s">
        <v>18959</v>
      </c>
      <c r="U7913" t="s">
        <v>26604</v>
      </c>
      <c r="V7913" t="s">
        <v>26610</v>
      </c>
      <c r="W7913" t="s">
        <v>811</v>
      </c>
      <c r="X7913">
        <v>1250</v>
      </c>
      <c r="Y7913" t="s">
        <v>26653</v>
      </c>
      <c r="Z7913" t="s">
        <v>26671</v>
      </c>
      <c r="AA7913" t="s">
        <v>26683</v>
      </c>
      <c r="AB7913" t="s">
        <v>32363</v>
      </c>
      <c r="AD7913" t="s">
        <v>34738</v>
      </c>
      <c r="AE7913">
        <v>3</v>
      </c>
      <c r="AF7913" t="s">
        <v>45547</v>
      </c>
      <c r="AG7913" t="s">
        <v>19330</v>
      </c>
      <c r="AH7913">
        <v>2</v>
      </c>
      <c r="AI7913">
        <v>3</v>
      </c>
      <c r="AJ7913">
        <v>2</v>
      </c>
      <c r="AK7913">
        <v>0</v>
      </c>
      <c r="AN7913" t="s">
        <v>7439</v>
      </c>
      <c r="AO7913">
        <v>0</v>
      </c>
      <c r="AU7913">
        <v>1.6</v>
      </c>
      <c r="AV7913" t="s">
        <v>823</v>
      </c>
      <c r="AW7913" t="s">
        <v>122</v>
      </c>
      <c r="AX7913" t="s">
        <v>19330</v>
      </c>
    </row>
    <row r="7914" spans="1:50">
      <c r="A7914" s="1">
        <f>HYPERLINK("https://lsnyc.legalserver.org/matter/dynamic-profile/view/1899124","19-1899124")</f>
        <v>0</v>
      </c>
      <c r="B7914" t="s">
        <v>122</v>
      </c>
      <c r="C7914" t="s">
        <v>341</v>
      </c>
      <c r="D7914" t="s">
        <v>811</v>
      </c>
      <c r="E7914" t="s">
        <v>811</v>
      </c>
      <c r="F7914" t="s">
        <v>4107</v>
      </c>
      <c r="G7914" t="s">
        <v>8498</v>
      </c>
      <c r="H7914" t="s">
        <v>15040</v>
      </c>
      <c r="J7914" t="s">
        <v>18950</v>
      </c>
      <c r="K7914">
        <v>11520</v>
      </c>
      <c r="L7914" t="s">
        <v>18958</v>
      </c>
      <c r="M7914" t="s">
        <v>18960</v>
      </c>
      <c r="N7914" t="s">
        <v>24618</v>
      </c>
      <c r="O7914" t="s">
        <v>18997</v>
      </c>
      <c r="P7914" t="s">
        <v>26564</v>
      </c>
      <c r="Q7914" t="s">
        <v>26570</v>
      </c>
      <c r="R7914" t="s">
        <v>26589</v>
      </c>
      <c r="S7914" t="s">
        <v>18959</v>
      </c>
      <c r="U7914" t="s">
        <v>26604</v>
      </c>
      <c r="V7914" t="s">
        <v>26610</v>
      </c>
      <c r="W7914" t="s">
        <v>811</v>
      </c>
      <c r="X7914">
        <v>2300</v>
      </c>
      <c r="Y7914" t="s">
        <v>26653</v>
      </c>
      <c r="Z7914" t="s">
        <v>26671</v>
      </c>
      <c r="AA7914" t="s">
        <v>26683</v>
      </c>
      <c r="AB7914" t="s">
        <v>32528</v>
      </c>
      <c r="AD7914" t="s">
        <v>42987</v>
      </c>
      <c r="AE7914">
        <v>1</v>
      </c>
      <c r="AF7914" t="s">
        <v>45547</v>
      </c>
      <c r="AG7914" t="s">
        <v>19330</v>
      </c>
      <c r="AH7914">
        <v>18</v>
      </c>
      <c r="AI7914">
        <v>1</v>
      </c>
      <c r="AJ7914">
        <v>3</v>
      </c>
      <c r="AK7914">
        <v>25.24</v>
      </c>
      <c r="AL7914" t="s">
        <v>45567</v>
      </c>
      <c r="AM7914" t="s">
        <v>45577</v>
      </c>
      <c r="AN7914" t="s">
        <v>45581</v>
      </c>
      <c r="AO7914">
        <v>6500</v>
      </c>
      <c r="AU7914">
        <v>1.5</v>
      </c>
      <c r="AV7914" t="s">
        <v>811</v>
      </c>
      <c r="AW7914" t="s">
        <v>122</v>
      </c>
      <c r="AX7914" t="s">
        <v>46897</v>
      </c>
    </row>
    <row r="7915" spans="1:50">
      <c r="A7915" s="1">
        <f>HYPERLINK("https://lsnyc.legalserver.org/matter/dynamic-profile/view/1899062","19-1899062")</f>
        <v>0</v>
      </c>
      <c r="B7915" t="s">
        <v>122</v>
      </c>
      <c r="C7915" t="s">
        <v>341</v>
      </c>
      <c r="D7915" t="s">
        <v>811</v>
      </c>
      <c r="E7915" t="s">
        <v>815</v>
      </c>
      <c r="F7915" t="s">
        <v>2087</v>
      </c>
      <c r="G7915" t="s">
        <v>8499</v>
      </c>
      <c r="H7915" t="s">
        <v>15041</v>
      </c>
      <c r="I7915" t="s">
        <v>18514</v>
      </c>
      <c r="J7915" t="s">
        <v>18907</v>
      </c>
      <c r="K7915">
        <v>11377</v>
      </c>
      <c r="L7915" t="s">
        <v>18958</v>
      </c>
      <c r="M7915" t="s">
        <v>18960</v>
      </c>
      <c r="N7915" t="s">
        <v>24619</v>
      </c>
      <c r="O7915" t="s">
        <v>26524</v>
      </c>
      <c r="P7915" t="s">
        <v>26565</v>
      </c>
      <c r="Q7915" t="s">
        <v>26571</v>
      </c>
      <c r="R7915" t="s">
        <v>26589</v>
      </c>
      <c r="S7915" t="s">
        <v>18959</v>
      </c>
      <c r="U7915" t="s">
        <v>26604</v>
      </c>
      <c r="W7915" t="s">
        <v>811</v>
      </c>
      <c r="X7915">
        <v>300</v>
      </c>
      <c r="Y7915" t="s">
        <v>26653</v>
      </c>
      <c r="Z7915" t="s">
        <v>26671</v>
      </c>
      <c r="AA7915" t="s">
        <v>26683</v>
      </c>
      <c r="AB7915" t="s">
        <v>32529</v>
      </c>
      <c r="AD7915" t="s">
        <v>42988</v>
      </c>
      <c r="AE7915">
        <v>4</v>
      </c>
      <c r="AG7915" t="s">
        <v>19330</v>
      </c>
      <c r="AH7915">
        <v>1</v>
      </c>
      <c r="AI7915">
        <v>1</v>
      </c>
      <c r="AJ7915">
        <v>0</v>
      </c>
      <c r="AK7915">
        <v>400.32</v>
      </c>
      <c r="AL7915" t="s">
        <v>45567</v>
      </c>
      <c r="AM7915" t="s">
        <v>45577</v>
      </c>
      <c r="AO7915">
        <v>50000</v>
      </c>
      <c r="AU7915">
        <v>2.5</v>
      </c>
      <c r="AV7915" t="s">
        <v>816</v>
      </c>
      <c r="AW7915" t="s">
        <v>122</v>
      </c>
      <c r="AX7915" t="s">
        <v>46897</v>
      </c>
    </row>
    <row r="7916" spans="1:50">
      <c r="A7916" s="1">
        <f>HYPERLINK("https://lsnyc.legalserver.org/matter/dynamic-profile/view/1899054","19-1899054")</f>
        <v>0</v>
      </c>
      <c r="B7916" t="s">
        <v>245</v>
      </c>
      <c r="C7916" t="s">
        <v>340</v>
      </c>
      <c r="D7916" t="s">
        <v>811</v>
      </c>
      <c r="F7916" t="s">
        <v>2087</v>
      </c>
      <c r="G7916" t="s">
        <v>8500</v>
      </c>
      <c r="H7916" t="s">
        <v>11826</v>
      </c>
      <c r="I7916" t="s">
        <v>17455</v>
      </c>
      <c r="J7916" t="s">
        <v>18892</v>
      </c>
      <c r="K7916">
        <v>10467</v>
      </c>
      <c r="L7916" t="s">
        <v>18958</v>
      </c>
      <c r="M7916" t="s">
        <v>18960</v>
      </c>
      <c r="N7916" t="s">
        <v>24620</v>
      </c>
      <c r="O7916" t="s">
        <v>26523</v>
      </c>
      <c r="P7916" t="s">
        <v>26560</v>
      </c>
      <c r="R7916" t="s">
        <v>26579</v>
      </c>
      <c r="S7916" t="s">
        <v>18959</v>
      </c>
      <c r="U7916" t="s">
        <v>26604</v>
      </c>
      <c r="W7916" t="s">
        <v>811</v>
      </c>
      <c r="X7916">
        <v>0</v>
      </c>
      <c r="Y7916" t="s">
        <v>26650</v>
      </c>
      <c r="Z7916" t="s">
        <v>26664</v>
      </c>
      <c r="AB7916" t="s">
        <v>32530</v>
      </c>
      <c r="AC7916" t="s">
        <v>36424</v>
      </c>
      <c r="AD7916" t="s">
        <v>42989</v>
      </c>
      <c r="AE7916">
        <v>0</v>
      </c>
      <c r="AF7916" t="s">
        <v>45549</v>
      </c>
      <c r="AG7916" t="s">
        <v>45556</v>
      </c>
      <c r="AH7916">
        <v>0</v>
      </c>
      <c r="AI7916">
        <v>1</v>
      </c>
      <c r="AJ7916">
        <v>1</v>
      </c>
      <c r="AK7916">
        <v>86.09999999999999</v>
      </c>
      <c r="AN7916" t="s">
        <v>7439</v>
      </c>
      <c r="AO7916">
        <v>14560</v>
      </c>
      <c r="AU7916">
        <v>10.5</v>
      </c>
      <c r="AV7916" t="s">
        <v>838</v>
      </c>
      <c r="AW7916" t="s">
        <v>46870</v>
      </c>
      <c r="AX7916" t="s">
        <v>46898</v>
      </c>
    </row>
    <row r="7917" spans="1:50">
      <c r="A7917" s="1">
        <f>HYPERLINK("https://lsnyc.legalserver.org/matter/dynamic-profile/view/1899095","19-1899095")</f>
        <v>0</v>
      </c>
      <c r="B7917" t="s">
        <v>278</v>
      </c>
      <c r="C7917" t="s">
        <v>340</v>
      </c>
      <c r="D7917" t="s">
        <v>811</v>
      </c>
      <c r="F7917" t="s">
        <v>4108</v>
      </c>
      <c r="G7917" t="s">
        <v>5626</v>
      </c>
      <c r="H7917" t="s">
        <v>15042</v>
      </c>
      <c r="I7917" t="s">
        <v>17275</v>
      </c>
      <c r="J7917" t="s">
        <v>18902</v>
      </c>
      <c r="K7917">
        <v>10314</v>
      </c>
      <c r="L7917" t="s">
        <v>18958</v>
      </c>
      <c r="M7917" t="s">
        <v>18960</v>
      </c>
      <c r="N7917" t="s">
        <v>24621</v>
      </c>
      <c r="O7917" t="s">
        <v>26523</v>
      </c>
      <c r="P7917" t="s">
        <v>26560</v>
      </c>
      <c r="R7917" t="s">
        <v>26590</v>
      </c>
      <c r="S7917" t="s">
        <v>18959</v>
      </c>
      <c r="U7917" t="s">
        <v>26605</v>
      </c>
      <c r="V7917" t="s">
        <v>26610</v>
      </c>
      <c r="W7917" t="s">
        <v>811</v>
      </c>
      <c r="X7917">
        <v>548</v>
      </c>
      <c r="Y7917" t="s">
        <v>26654</v>
      </c>
      <c r="Z7917" t="s">
        <v>26668</v>
      </c>
      <c r="AB7917" t="s">
        <v>29717</v>
      </c>
      <c r="AD7917" t="s">
        <v>42990</v>
      </c>
      <c r="AE7917">
        <v>0</v>
      </c>
      <c r="AF7917" t="s">
        <v>45549</v>
      </c>
      <c r="AG7917" t="s">
        <v>45556</v>
      </c>
      <c r="AH7917">
        <v>4</v>
      </c>
      <c r="AI7917">
        <v>2</v>
      </c>
      <c r="AJ7917">
        <v>2</v>
      </c>
      <c r="AK7917">
        <v>0</v>
      </c>
      <c r="AN7917" t="s">
        <v>7439</v>
      </c>
      <c r="AO7917">
        <v>0</v>
      </c>
      <c r="AU7917">
        <v>5.1</v>
      </c>
      <c r="AV7917" t="s">
        <v>832</v>
      </c>
      <c r="AW7917" t="s">
        <v>210</v>
      </c>
      <c r="AX7917" t="s">
        <v>46897</v>
      </c>
    </row>
    <row r="7918" spans="1:50">
      <c r="A7918" s="1">
        <f>HYPERLINK("https://lsnyc.legalserver.org/matter/dynamic-profile/view/1899144","19-1899144")</f>
        <v>0</v>
      </c>
      <c r="B7918" t="s">
        <v>99</v>
      </c>
      <c r="C7918" t="s">
        <v>340</v>
      </c>
      <c r="D7918" t="s">
        <v>811</v>
      </c>
      <c r="F7918" t="s">
        <v>2495</v>
      </c>
      <c r="G7918" t="s">
        <v>5835</v>
      </c>
      <c r="H7918" t="s">
        <v>15043</v>
      </c>
      <c r="I7918" t="s">
        <v>17366</v>
      </c>
      <c r="J7918" t="s">
        <v>18894</v>
      </c>
      <c r="K7918">
        <v>11238</v>
      </c>
      <c r="L7918" t="s">
        <v>18958</v>
      </c>
      <c r="M7918" t="s">
        <v>18960</v>
      </c>
      <c r="N7918" t="s">
        <v>24622</v>
      </c>
      <c r="O7918" t="s">
        <v>26523</v>
      </c>
      <c r="P7918" t="s">
        <v>26563</v>
      </c>
      <c r="R7918" t="s">
        <v>26586</v>
      </c>
      <c r="S7918" t="s">
        <v>18959</v>
      </c>
      <c r="U7918" t="s">
        <v>26604</v>
      </c>
      <c r="V7918" t="s">
        <v>26612</v>
      </c>
      <c r="W7918" t="s">
        <v>811</v>
      </c>
      <c r="X7918">
        <v>1423.39</v>
      </c>
      <c r="Y7918" t="s">
        <v>26652</v>
      </c>
      <c r="Z7918" t="s">
        <v>26663</v>
      </c>
      <c r="AB7918" t="s">
        <v>32531</v>
      </c>
      <c r="AC7918" t="s">
        <v>19330</v>
      </c>
      <c r="AD7918" t="s">
        <v>42991</v>
      </c>
      <c r="AE7918">
        <v>41</v>
      </c>
      <c r="AF7918" t="s">
        <v>45541</v>
      </c>
      <c r="AG7918" t="s">
        <v>19330</v>
      </c>
      <c r="AH7918">
        <v>12</v>
      </c>
      <c r="AI7918">
        <v>1</v>
      </c>
      <c r="AJ7918">
        <v>0</v>
      </c>
      <c r="AK7918">
        <v>187.35</v>
      </c>
      <c r="AN7918" t="s">
        <v>7439</v>
      </c>
      <c r="AO7918">
        <v>23400</v>
      </c>
      <c r="AU7918">
        <v>13.2</v>
      </c>
      <c r="AV7918" t="s">
        <v>836</v>
      </c>
      <c r="AW7918" t="s">
        <v>99</v>
      </c>
    </row>
    <row r="7919" spans="1:50">
      <c r="A7919" s="1">
        <f>HYPERLINK("https://lsnyc.legalserver.org/matter/dynamic-profile/view/1899142","19-1899142")</f>
        <v>0</v>
      </c>
      <c r="B7919" t="s">
        <v>81</v>
      </c>
      <c r="C7919" t="s">
        <v>340</v>
      </c>
      <c r="D7919" t="s">
        <v>811</v>
      </c>
      <c r="F7919" t="s">
        <v>4109</v>
      </c>
      <c r="G7919" t="s">
        <v>5812</v>
      </c>
      <c r="H7919" t="s">
        <v>9686</v>
      </c>
      <c r="J7919" t="s">
        <v>18892</v>
      </c>
      <c r="K7919">
        <v>10468</v>
      </c>
      <c r="L7919" t="s">
        <v>18958</v>
      </c>
      <c r="M7919" t="s">
        <v>18960</v>
      </c>
      <c r="N7919" t="s">
        <v>24623</v>
      </c>
      <c r="O7919" t="s">
        <v>26523</v>
      </c>
      <c r="P7919" t="s">
        <v>26560</v>
      </c>
      <c r="R7919" t="s">
        <v>26579</v>
      </c>
      <c r="S7919" t="s">
        <v>18959</v>
      </c>
      <c r="U7919" t="s">
        <v>26604</v>
      </c>
      <c r="V7919" t="s">
        <v>26610</v>
      </c>
      <c r="W7919" t="s">
        <v>811</v>
      </c>
      <c r="X7919">
        <v>1428</v>
      </c>
      <c r="Y7919" t="s">
        <v>26650</v>
      </c>
      <c r="Z7919" t="s">
        <v>26668</v>
      </c>
      <c r="AB7919" t="s">
        <v>32532</v>
      </c>
      <c r="AD7919" t="s">
        <v>42992</v>
      </c>
      <c r="AE7919">
        <v>111</v>
      </c>
      <c r="AF7919" t="s">
        <v>45541</v>
      </c>
      <c r="AG7919" t="s">
        <v>19330</v>
      </c>
      <c r="AH7919">
        <v>1</v>
      </c>
      <c r="AI7919">
        <v>1</v>
      </c>
      <c r="AJ7919">
        <v>0</v>
      </c>
      <c r="AK7919">
        <v>0</v>
      </c>
      <c r="AN7919" t="s">
        <v>7439</v>
      </c>
      <c r="AO7919">
        <v>0</v>
      </c>
      <c r="AP7919" t="s">
        <v>46075</v>
      </c>
      <c r="AU7919">
        <v>2</v>
      </c>
      <c r="AV7919" t="s">
        <v>830</v>
      </c>
      <c r="AW7919" t="s">
        <v>329</v>
      </c>
      <c r="AX7919" t="s">
        <v>46897</v>
      </c>
    </row>
    <row r="7920" spans="1:50">
      <c r="A7920" s="1">
        <f>HYPERLINK("https://lsnyc.legalserver.org/matter/dynamic-profile/view/1899055","19-1899055")</f>
        <v>0</v>
      </c>
      <c r="B7920" t="s">
        <v>153</v>
      </c>
      <c r="C7920" t="s">
        <v>340</v>
      </c>
      <c r="D7920" t="s">
        <v>811</v>
      </c>
      <c r="F7920" t="s">
        <v>2946</v>
      </c>
      <c r="G7920" t="s">
        <v>1203</v>
      </c>
      <c r="H7920" t="s">
        <v>15044</v>
      </c>
      <c r="J7920" t="s">
        <v>18902</v>
      </c>
      <c r="K7920">
        <v>10310</v>
      </c>
      <c r="L7920" t="s">
        <v>18958</v>
      </c>
      <c r="M7920" t="s">
        <v>18960</v>
      </c>
      <c r="N7920" t="s">
        <v>24624</v>
      </c>
      <c r="O7920" t="s">
        <v>26523</v>
      </c>
      <c r="P7920" t="s">
        <v>26560</v>
      </c>
      <c r="R7920" t="s">
        <v>26590</v>
      </c>
      <c r="S7920" t="s">
        <v>18959</v>
      </c>
      <c r="U7920" t="s">
        <v>26604</v>
      </c>
      <c r="V7920" t="s">
        <v>26610</v>
      </c>
      <c r="W7920" t="s">
        <v>811</v>
      </c>
      <c r="X7920">
        <v>1220</v>
      </c>
      <c r="Y7920" t="s">
        <v>26654</v>
      </c>
      <c r="Z7920" t="s">
        <v>26668</v>
      </c>
      <c r="AB7920" t="s">
        <v>27798</v>
      </c>
      <c r="AD7920" t="s">
        <v>42993</v>
      </c>
      <c r="AE7920">
        <v>0</v>
      </c>
      <c r="AF7920" t="s">
        <v>45541</v>
      </c>
      <c r="AH7920">
        <v>8</v>
      </c>
      <c r="AI7920">
        <v>1</v>
      </c>
      <c r="AJ7920">
        <v>1</v>
      </c>
      <c r="AK7920">
        <v>92.25</v>
      </c>
      <c r="AN7920" t="s">
        <v>7439</v>
      </c>
      <c r="AO7920">
        <v>15600</v>
      </c>
      <c r="AU7920">
        <v>7.5</v>
      </c>
      <c r="AV7920" t="s">
        <v>836</v>
      </c>
      <c r="AW7920" t="s">
        <v>210</v>
      </c>
      <c r="AX7920" t="s">
        <v>46897</v>
      </c>
    </row>
    <row r="7921" spans="1:50">
      <c r="A7921" s="1">
        <f>HYPERLINK("https://lsnyc.legalserver.org/matter/dynamic-profile/view/1899087","19-1899087")</f>
        <v>0</v>
      </c>
      <c r="B7921" t="s">
        <v>153</v>
      </c>
      <c r="C7921" t="s">
        <v>340</v>
      </c>
      <c r="D7921" t="s">
        <v>811</v>
      </c>
      <c r="F7921" t="s">
        <v>1616</v>
      </c>
      <c r="G7921" t="s">
        <v>3798</v>
      </c>
      <c r="H7921" t="s">
        <v>15045</v>
      </c>
      <c r="I7921" t="s">
        <v>17356</v>
      </c>
      <c r="J7921" t="s">
        <v>18902</v>
      </c>
      <c r="K7921">
        <v>10310</v>
      </c>
      <c r="L7921" t="s">
        <v>18958</v>
      </c>
      <c r="M7921" t="s">
        <v>18960</v>
      </c>
      <c r="N7921" t="s">
        <v>24625</v>
      </c>
      <c r="O7921" t="s">
        <v>26523</v>
      </c>
      <c r="P7921" t="s">
        <v>26560</v>
      </c>
      <c r="R7921" t="s">
        <v>26590</v>
      </c>
      <c r="S7921" t="s">
        <v>18959</v>
      </c>
      <c r="U7921" t="s">
        <v>26604</v>
      </c>
      <c r="V7921" t="s">
        <v>26610</v>
      </c>
      <c r="W7921" t="s">
        <v>811</v>
      </c>
      <c r="X7921">
        <v>1050</v>
      </c>
      <c r="Y7921" t="s">
        <v>26654</v>
      </c>
      <c r="Z7921" t="s">
        <v>26668</v>
      </c>
      <c r="AB7921" t="s">
        <v>27748</v>
      </c>
      <c r="AD7921" t="s">
        <v>42994</v>
      </c>
      <c r="AE7921">
        <v>0</v>
      </c>
      <c r="AF7921" t="s">
        <v>45541</v>
      </c>
      <c r="AH7921">
        <v>2</v>
      </c>
      <c r="AI7921">
        <v>2</v>
      </c>
      <c r="AJ7921">
        <v>2</v>
      </c>
      <c r="AK7921">
        <v>96.93000000000001</v>
      </c>
      <c r="AN7921" t="s">
        <v>7439</v>
      </c>
      <c r="AO7921">
        <v>24960</v>
      </c>
      <c r="AU7921">
        <v>3</v>
      </c>
      <c r="AV7921" t="s">
        <v>729</v>
      </c>
      <c r="AW7921" t="s">
        <v>210</v>
      </c>
      <c r="AX7921" t="s">
        <v>46897</v>
      </c>
    </row>
    <row r="7922" spans="1:50">
      <c r="A7922" s="1">
        <f>HYPERLINK("https://lsnyc.legalserver.org/matter/dynamic-profile/view/1899126","19-1899126")</f>
        <v>0</v>
      </c>
      <c r="B7922" t="s">
        <v>74</v>
      </c>
      <c r="C7922" t="s">
        <v>340</v>
      </c>
      <c r="D7922" t="s">
        <v>811</v>
      </c>
      <c r="F7922" t="s">
        <v>4110</v>
      </c>
      <c r="G7922" t="s">
        <v>8501</v>
      </c>
      <c r="H7922" t="s">
        <v>15046</v>
      </c>
      <c r="I7922" t="s">
        <v>18049</v>
      </c>
      <c r="J7922" t="s">
        <v>18893</v>
      </c>
      <c r="K7922">
        <v>10128</v>
      </c>
      <c r="L7922" t="s">
        <v>18959</v>
      </c>
      <c r="M7922" t="s">
        <v>18960</v>
      </c>
      <c r="O7922" t="s">
        <v>26529</v>
      </c>
      <c r="P7922" t="s">
        <v>26564</v>
      </c>
      <c r="R7922" t="s">
        <v>26589</v>
      </c>
      <c r="S7922" t="s">
        <v>18959</v>
      </c>
      <c r="U7922" t="s">
        <v>26604</v>
      </c>
      <c r="W7922" t="s">
        <v>811</v>
      </c>
      <c r="X7922">
        <v>0</v>
      </c>
      <c r="Y7922" t="s">
        <v>26651</v>
      </c>
      <c r="Z7922" t="s">
        <v>26671</v>
      </c>
      <c r="AB7922" t="s">
        <v>32533</v>
      </c>
      <c r="AE7922">
        <v>0</v>
      </c>
      <c r="AF7922" t="s">
        <v>45541</v>
      </c>
      <c r="AG7922" t="s">
        <v>26530</v>
      </c>
      <c r="AH7922">
        <v>0</v>
      </c>
      <c r="AI7922">
        <v>1</v>
      </c>
      <c r="AJ7922">
        <v>1</v>
      </c>
      <c r="AK7922">
        <v>201.06</v>
      </c>
      <c r="AL7922" t="s">
        <v>45567</v>
      </c>
      <c r="AM7922" t="s">
        <v>45577</v>
      </c>
      <c r="AN7922" t="s">
        <v>7439</v>
      </c>
      <c r="AO7922">
        <v>34000</v>
      </c>
      <c r="AU7922">
        <v>6.95</v>
      </c>
      <c r="AV7922" t="s">
        <v>836</v>
      </c>
      <c r="AW7922" t="s">
        <v>46840</v>
      </c>
      <c r="AX7922" t="s">
        <v>19330</v>
      </c>
    </row>
    <row r="7923" spans="1:50">
      <c r="A7923" s="1">
        <f>HYPERLINK("https://lsnyc.legalserver.org/matter/dynamic-profile/view/1899051","19-1899051")</f>
        <v>0</v>
      </c>
      <c r="B7923" t="s">
        <v>227</v>
      </c>
      <c r="C7923" t="s">
        <v>340</v>
      </c>
      <c r="D7923" t="s">
        <v>811</v>
      </c>
      <c r="F7923" t="s">
        <v>1821</v>
      </c>
      <c r="G7923" t="s">
        <v>6006</v>
      </c>
      <c r="H7923" t="s">
        <v>10912</v>
      </c>
      <c r="I7923" t="s">
        <v>17332</v>
      </c>
      <c r="J7923" t="s">
        <v>18894</v>
      </c>
      <c r="K7923">
        <v>11217</v>
      </c>
      <c r="L7923" t="s">
        <v>18960</v>
      </c>
      <c r="M7923" t="s">
        <v>18960</v>
      </c>
      <c r="N7923" t="s">
        <v>24626</v>
      </c>
      <c r="O7923" t="s">
        <v>26523</v>
      </c>
      <c r="P7923" t="s">
        <v>26560</v>
      </c>
      <c r="R7923" t="s">
        <v>26586</v>
      </c>
      <c r="U7923" t="s">
        <v>26604</v>
      </c>
      <c r="W7923" t="s">
        <v>811</v>
      </c>
      <c r="X7923">
        <v>845</v>
      </c>
      <c r="Y7923" t="s">
        <v>26652</v>
      </c>
      <c r="Z7923" t="s">
        <v>26659</v>
      </c>
      <c r="AB7923" t="s">
        <v>28072</v>
      </c>
      <c r="AD7923" t="s">
        <v>38122</v>
      </c>
      <c r="AE7923">
        <v>0</v>
      </c>
      <c r="AF7923" t="s">
        <v>20460</v>
      </c>
      <c r="AH7923">
        <v>12</v>
      </c>
      <c r="AI7923">
        <v>1</v>
      </c>
      <c r="AJ7923">
        <v>0</v>
      </c>
      <c r="AK7923">
        <v>81.18000000000001</v>
      </c>
      <c r="AN7923" t="s">
        <v>7439</v>
      </c>
      <c r="AO7923">
        <v>10140</v>
      </c>
      <c r="AU7923">
        <v>19.8</v>
      </c>
      <c r="AV7923" t="s">
        <v>839</v>
      </c>
      <c r="AW7923" t="s">
        <v>46856</v>
      </c>
    </row>
    <row r="7924" spans="1:50">
      <c r="A7924" s="1">
        <f>HYPERLINK("https://lsnyc.legalserver.org/matter/dynamic-profile/view/1899059","19-1899059")</f>
        <v>0</v>
      </c>
      <c r="B7924" t="s">
        <v>227</v>
      </c>
      <c r="C7924" t="s">
        <v>340</v>
      </c>
      <c r="D7924" t="s">
        <v>811</v>
      </c>
      <c r="F7924" t="s">
        <v>1944</v>
      </c>
      <c r="G7924" t="s">
        <v>6676</v>
      </c>
      <c r="H7924" t="s">
        <v>15047</v>
      </c>
      <c r="I7924" t="s">
        <v>17331</v>
      </c>
      <c r="J7924" t="s">
        <v>18894</v>
      </c>
      <c r="K7924">
        <v>11220</v>
      </c>
      <c r="L7924" t="s">
        <v>18960</v>
      </c>
      <c r="M7924" t="s">
        <v>18960</v>
      </c>
      <c r="P7924" t="s">
        <v>26563</v>
      </c>
      <c r="R7924" t="s">
        <v>26586</v>
      </c>
      <c r="U7924" t="s">
        <v>26604</v>
      </c>
      <c r="W7924" t="s">
        <v>811</v>
      </c>
      <c r="X7924">
        <v>759.45</v>
      </c>
      <c r="Y7924" t="s">
        <v>26652</v>
      </c>
      <c r="Z7924" t="s">
        <v>26659</v>
      </c>
      <c r="AB7924" t="s">
        <v>32534</v>
      </c>
      <c r="AD7924" t="s">
        <v>42995</v>
      </c>
      <c r="AE7924">
        <v>6</v>
      </c>
      <c r="AF7924" t="s">
        <v>45541</v>
      </c>
      <c r="AH7924">
        <v>23</v>
      </c>
      <c r="AI7924">
        <v>2</v>
      </c>
      <c r="AJ7924">
        <v>0</v>
      </c>
      <c r="AK7924">
        <v>82.53</v>
      </c>
      <c r="AN7924" t="s">
        <v>7439</v>
      </c>
      <c r="AO7924">
        <v>13956</v>
      </c>
      <c r="AU7924">
        <v>25.1</v>
      </c>
      <c r="AV7924" t="s">
        <v>836</v>
      </c>
      <c r="AW7924" t="s">
        <v>46856</v>
      </c>
    </row>
    <row r="7925" spans="1:50">
      <c r="A7925" s="1">
        <f>HYPERLINK("https://lsnyc.legalserver.org/matter/dynamic-profile/view/1899063","19-1899063")</f>
        <v>0</v>
      </c>
      <c r="B7925" t="s">
        <v>102</v>
      </c>
      <c r="C7925" t="s">
        <v>340</v>
      </c>
      <c r="D7925" t="s">
        <v>811</v>
      </c>
      <c r="F7925" t="s">
        <v>3790</v>
      </c>
      <c r="G7925" t="s">
        <v>5191</v>
      </c>
      <c r="H7925" t="s">
        <v>15048</v>
      </c>
      <c r="I7925" t="s">
        <v>17429</v>
      </c>
      <c r="J7925" t="s">
        <v>18902</v>
      </c>
      <c r="K7925">
        <v>10302</v>
      </c>
      <c r="L7925" t="s">
        <v>18958</v>
      </c>
      <c r="M7925" t="s">
        <v>18960</v>
      </c>
      <c r="N7925" t="s">
        <v>24627</v>
      </c>
      <c r="O7925" t="s">
        <v>26523</v>
      </c>
      <c r="P7925" t="s">
        <v>26560</v>
      </c>
      <c r="R7925" t="s">
        <v>26590</v>
      </c>
      <c r="S7925" t="s">
        <v>18959</v>
      </c>
      <c r="U7925" t="s">
        <v>26604</v>
      </c>
      <c r="V7925" t="s">
        <v>26610</v>
      </c>
      <c r="W7925" t="s">
        <v>811</v>
      </c>
      <c r="X7925">
        <v>1750</v>
      </c>
      <c r="Y7925" t="s">
        <v>26654</v>
      </c>
      <c r="Z7925" t="s">
        <v>26668</v>
      </c>
      <c r="AB7925" t="s">
        <v>27429</v>
      </c>
      <c r="AC7925" t="s">
        <v>36425</v>
      </c>
      <c r="AD7925" t="s">
        <v>42996</v>
      </c>
      <c r="AE7925">
        <v>4</v>
      </c>
      <c r="AH7925">
        <v>8</v>
      </c>
      <c r="AI7925">
        <v>1</v>
      </c>
      <c r="AJ7925">
        <v>2</v>
      </c>
      <c r="AK7925">
        <v>46.13</v>
      </c>
      <c r="AN7925" t="s">
        <v>45581</v>
      </c>
      <c r="AO7925">
        <v>9840</v>
      </c>
      <c r="AU7925">
        <v>10</v>
      </c>
      <c r="AV7925" t="s">
        <v>836</v>
      </c>
      <c r="AW7925" t="s">
        <v>210</v>
      </c>
      <c r="AX7925" t="s">
        <v>46898</v>
      </c>
    </row>
    <row r="7926" spans="1:50">
      <c r="A7926" s="1">
        <f>HYPERLINK("https://lsnyc.legalserver.org/matter/dynamic-profile/view/1899088","19-1899088")</f>
        <v>0</v>
      </c>
      <c r="B7926" t="s">
        <v>218</v>
      </c>
      <c r="C7926" t="s">
        <v>340</v>
      </c>
      <c r="D7926" t="s">
        <v>811</v>
      </c>
      <c r="F7926" t="s">
        <v>1827</v>
      </c>
      <c r="G7926" t="s">
        <v>4092</v>
      </c>
      <c r="H7926" t="s">
        <v>11844</v>
      </c>
      <c r="I7926" t="s">
        <v>18288</v>
      </c>
      <c r="J7926" t="s">
        <v>18893</v>
      </c>
      <c r="K7926">
        <v>10040</v>
      </c>
      <c r="L7926" t="s">
        <v>18958</v>
      </c>
      <c r="M7926" t="s">
        <v>18960</v>
      </c>
      <c r="O7926" t="s">
        <v>18997</v>
      </c>
      <c r="P7926" t="s">
        <v>26560</v>
      </c>
      <c r="R7926" t="s">
        <v>26578</v>
      </c>
      <c r="S7926" t="s">
        <v>18959</v>
      </c>
      <c r="U7926" t="s">
        <v>26604</v>
      </c>
      <c r="V7926" t="s">
        <v>26610</v>
      </c>
      <c r="W7926" t="s">
        <v>811</v>
      </c>
      <c r="X7926">
        <v>2100</v>
      </c>
      <c r="Y7926" t="s">
        <v>26651</v>
      </c>
      <c r="Z7926" t="s">
        <v>26661</v>
      </c>
      <c r="AB7926" t="s">
        <v>32535</v>
      </c>
      <c r="AD7926" t="s">
        <v>42997</v>
      </c>
      <c r="AE7926">
        <v>72</v>
      </c>
      <c r="AF7926" t="s">
        <v>45541</v>
      </c>
      <c r="AG7926" t="s">
        <v>19330</v>
      </c>
      <c r="AH7926">
        <v>7</v>
      </c>
      <c r="AI7926">
        <v>3</v>
      </c>
      <c r="AJ7926">
        <v>1</v>
      </c>
      <c r="AK7926">
        <v>194.17</v>
      </c>
      <c r="AN7926" t="s">
        <v>45581</v>
      </c>
      <c r="AO7926">
        <v>50000</v>
      </c>
      <c r="AU7926">
        <v>2.5</v>
      </c>
      <c r="AV7926" t="s">
        <v>828</v>
      </c>
      <c r="AW7926" t="s">
        <v>46840</v>
      </c>
      <c r="AX7926" t="s">
        <v>46897</v>
      </c>
    </row>
    <row r="7927" spans="1:50">
      <c r="A7927" s="1">
        <f>HYPERLINK("https://lsnyc.legalserver.org/matter/dynamic-profile/view/1899127","19-1899127")</f>
        <v>0</v>
      </c>
      <c r="B7927" t="s">
        <v>218</v>
      </c>
      <c r="C7927" t="s">
        <v>340</v>
      </c>
      <c r="D7927" t="s">
        <v>811</v>
      </c>
      <c r="F7927" t="s">
        <v>999</v>
      </c>
      <c r="G7927" t="s">
        <v>8502</v>
      </c>
      <c r="H7927" t="s">
        <v>15049</v>
      </c>
      <c r="I7927" t="s">
        <v>17307</v>
      </c>
      <c r="J7927" t="s">
        <v>18893</v>
      </c>
      <c r="K7927">
        <v>10034</v>
      </c>
      <c r="L7927" t="s">
        <v>18958</v>
      </c>
      <c r="M7927" t="s">
        <v>18960</v>
      </c>
      <c r="O7927" t="s">
        <v>18997</v>
      </c>
      <c r="P7927" t="s">
        <v>26565</v>
      </c>
      <c r="R7927" t="s">
        <v>26578</v>
      </c>
      <c r="S7927" t="s">
        <v>18959</v>
      </c>
      <c r="U7927" t="s">
        <v>26604</v>
      </c>
      <c r="W7927" t="s">
        <v>811</v>
      </c>
      <c r="X7927">
        <v>1625</v>
      </c>
      <c r="Y7927" t="s">
        <v>26651</v>
      </c>
      <c r="Z7927" t="s">
        <v>26661</v>
      </c>
      <c r="AB7927" t="s">
        <v>32536</v>
      </c>
      <c r="AD7927" t="s">
        <v>42998</v>
      </c>
      <c r="AE7927">
        <v>28</v>
      </c>
      <c r="AF7927" t="s">
        <v>45541</v>
      </c>
      <c r="AG7927" t="s">
        <v>19330</v>
      </c>
      <c r="AH7927">
        <v>1</v>
      </c>
      <c r="AI7927">
        <v>1</v>
      </c>
      <c r="AJ7927">
        <v>0</v>
      </c>
      <c r="AK7927">
        <v>440.35</v>
      </c>
      <c r="AN7927" t="s">
        <v>7439</v>
      </c>
      <c r="AO7927">
        <v>55000</v>
      </c>
      <c r="AU7927">
        <v>1.3</v>
      </c>
      <c r="AV7927" t="s">
        <v>814</v>
      </c>
      <c r="AW7927" t="s">
        <v>46840</v>
      </c>
      <c r="AX7927" t="s">
        <v>46897</v>
      </c>
    </row>
    <row r="7928" spans="1:50">
      <c r="A7928" s="1">
        <f>HYPERLINK("https://lsnyc.legalserver.org/matter/dynamic-profile/view/1899172","19-1899172")</f>
        <v>0</v>
      </c>
      <c r="B7928" t="s">
        <v>65</v>
      </c>
      <c r="C7928" t="s">
        <v>340</v>
      </c>
      <c r="D7928" t="s">
        <v>811</v>
      </c>
      <c r="F7928" t="s">
        <v>1352</v>
      </c>
      <c r="G7928" t="s">
        <v>1660</v>
      </c>
      <c r="H7928" t="s">
        <v>15050</v>
      </c>
      <c r="I7928" t="s">
        <v>17803</v>
      </c>
      <c r="J7928" t="s">
        <v>18892</v>
      </c>
      <c r="K7928">
        <v>10462</v>
      </c>
      <c r="L7928" t="s">
        <v>18958</v>
      </c>
      <c r="M7928" t="s">
        <v>18960</v>
      </c>
      <c r="N7928" t="s">
        <v>24628</v>
      </c>
      <c r="O7928" t="s">
        <v>26523</v>
      </c>
      <c r="P7928" t="s">
        <v>26560</v>
      </c>
      <c r="R7928" t="s">
        <v>26579</v>
      </c>
      <c r="S7928" t="s">
        <v>18959</v>
      </c>
      <c r="U7928" t="s">
        <v>26604</v>
      </c>
      <c r="V7928" t="s">
        <v>26610</v>
      </c>
      <c r="W7928" t="s">
        <v>811</v>
      </c>
      <c r="X7928">
        <v>1440</v>
      </c>
      <c r="Y7928" t="s">
        <v>26650</v>
      </c>
      <c r="Z7928" t="s">
        <v>26668</v>
      </c>
      <c r="AB7928" t="s">
        <v>27364</v>
      </c>
      <c r="AD7928" t="s">
        <v>42999</v>
      </c>
      <c r="AE7928">
        <v>60</v>
      </c>
      <c r="AF7928" t="s">
        <v>45541</v>
      </c>
      <c r="AG7928" t="s">
        <v>19330</v>
      </c>
      <c r="AH7928">
        <v>13</v>
      </c>
      <c r="AI7928">
        <v>1</v>
      </c>
      <c r="AJ7928">
        <v>0</v>
      </c>
      <c r="AK7928">
        <v>0</v>
      </c>
      <c r="AN7928" t="s">
        <v>7439</v>
      </c>
      <c r="AO7928">
        <v>0</v>
      </c>
      <c r="AU7928">
        <v>5.4</v>
      </c>
      <c r="AV7928" t="s">
        <v>772</v>
      </c>
      <c r="AW7928" t="s">
        <v>46871</v>
      </c>
      <c r="AX7928" t="s">
        <v>46897</v>
      </c>
    </row>
    <row r="7929" spans="1:50">
      <c r="A7929" s="1">
        <f>HYPERLINK("https://lsnyc.legalserver.org/matter/dynamic-profile/view/1899097","19-1899097")</f>
        <v>0</v>
      </c>
      <c r="B7929" t="s">
        <v>199</v>
      </c>
      <c r="C7929" t="s">
        <v>340</v>
      </c>
      <c r="D7929" t="s">
        <v>811</v>
      </c>
      <c r="F7929" t="s">
        <v>3434</v>
      </c>
      <c r="G7929" t="s">
        <v>8142</v>
      </c>
      <c r="H7929" t="s">
        <v>10230</v>
      </c>
      <c r="I7929" t="s">
        <v>17891</v>
      </c>
      <c r="J7929" t="s">
        <v>18894</v>
      </c>
      <c r="K7929">
        <v>11226</v>
      </c>
      <c r="L7929" t="s">
        <v>18958</v>
      </c>
      <c r="M7929" t="s">
        <v>18960</v>
      </c>
      <c r="O7929" t="s">
        <v>26531</v>
      </c>
      <c r="P7929" t="s">
        <v>26562</v>
      </c>
      <c r="R7929" t="s">
        <v>26578</v>
      </c>
      <c r="S7929" t="s">
        <v>18958</v>
      </c>
      <c r="U7929" t="s">
        <v>26604</v>
      </c>
      <c r="V7929" t="s">
        <v>26610</v>
      </c>
      <c r="W7929" t="s">
        <v>811</v>
      </c>
      <c r="X7929">
        <v>0</v>
      </c>
      <c r="Y7929" t="s">
        <v>26652</v>
      </c>
      <c r="Z7929" t="s">
        <v>26659</v>
      </c>
      <c r="AB7929" t="s">
        <v>29557</v>
      </c>
      <c r="AD7929" t="s">
        <v>42214</v>
      </c>
      <c r="AE7929">
        <v>32</v>
      </c>
      <c r="AF7929" t="s">
        <v>45541</v>
      </c>
      <c r="AH7929">
        <v>0</v>
      </c>
      <c r="AI7929">
        <v>2</v>
      </c>
      <c r="AJ7929">
        <v>0</v>
      </c>
      <c r="AK7929">
        <v>390.3</v>
      </c>
      <c r="AN7929" t="s">
        <v>7439</v>
      </c>
      <c r="AO7929">
        <v>66000</v>
      </c>
      <c r="AU7929">
        <v>7.5</v>
      </c>
      <c r="AV7929" t="s">
        <v>805</v>
      </c>
      <c r="AW7929" t="s">
        <v>219</v>
      </c>
      <c r="AX7929" t="s">
        <v>46897</v>
      </c>
    </row>
    <row r="7930" spans="1:50">
      <c r="A7930" s="1">
        <f>HYPERLINK("https://lsnyc.legalserver.org/matter/dynamic-profile/view/1898486","19-1898486")</f>
        <v>0</v>
      </c>
      <c r="B7930" t="s">
        <v>103</v>
      </c>
      <c r="C7930" t="s">
        <v>340</v>
      </c>
      <c r="D7930" t="s">
        <v>811</v>
      </c>
      <c r="F7930" t="s">
        <v>995</v>
      </c>
      <c r="G7930" t="s">
        <v>4309</v>
      </c>
      <c r="H7930" t="s">
        <v>15051</v>
      </c>
      <c r="I7930" t="s">
        <v>18437</v>
      </c>
      <c r="J7930" t="s">
        <v>18902</v>
      </c>
      <c r="K7930">
        <v>10301</v>
      </c>
      <c r="L7930" t="s">
        <v>18958</v>
      </c>
      <c r="M7930" t="s">
        <v>18958</v>
      </c>
      <c r="N7930" t="s">
        <v>24629</v>
      </c>
      <c r="O7930" t="s">
        <v>26523</v>
      </c>
      <c r="P7930" t="s">
        <v>26560</v>
      </c>
      <c r="R7930" t="s">
        <v>26578</v>
      </c>
      <c r="S7930" t="s">
        <v>18959</v>
      </c>
      <c r="U7930" t="s">
        <v>26604</v>
      </c>
      <c r="V7930" t="s">
        <v>26612</v>
      </c>
      <c r="W7930" t="s">
        <v>811</v>
      </c>
      <c r="X7930">
        <v>1300</v>
      </c>
      <c r="Y7930" t="s">
        <v>26654</v>
      </c>
      <c r="Z7930" t="s">
        <v>26674</v>
      </c>
      <c r="AB7930" t="s">
        <v>27857</v>
      </c>
      <c r="AD7930" t="s">
        <v>43000</v>
      </c>
      <c r="AE7930">
        <v>4</v>
      </c>
      <c r="AF7930" t="s">
        <v>45541</v>
      </c>
      <c r="AG7930" t="s">
        <v>19330</v>
      </c>
      <c r="AH7930">
        <v>4</v>
      </c>
      <c r="AI7930">
        <v>1</v>
      </c>
      <c r="AJ7930">
        <v>0</v>
      </c>
      <c r="AK7930">
        <v>0</v>
      </c>
      <c r="AN7930" t="s">
        <v>7439</v>
      </c>
      <c r="AO7930">
        <v>0</v>
      </c>
      <c r="AU7930">
        <v>2.9</v>
      </c>
      <c r="AV7930" t="s">
        <v>839</v>
      </c>
      <c r="AW7930" t="s">
        <v>46883</v>
      </c>
    </row>
    <row r="7931" spans="1:50">
      <c r="A7931" s="1">
        <f>HYPERLINK("https://lsnyc.legalserver.org/matter/dynamic-profile/view/1898506","19-1898506")</f>
        <v>0</v>
      </c>
      <c r="B7931" t="s">
        <v>103</v>
      </c>
      <c r="C7931" t="s">
        <v>340</v>
      </c>
      <c r="D7931" t="s">
        <v>811</v>
      </c>
      <c r="F7931" t="s">
        <v>1087</v>
      </c>
      <c r="G7931" t="s">
        <v>5266</v>
      </c>
      <c r="H7931" t="s">
        <v>15052</v>
      </c>
      <c r="J7931" t="s">
        <v>18902</v>
      </c>
      <c r="K7931">
        <v>10303</v>
      </c>
      <c r="L7931" t="s">
        <v>18958</v>
      </c>
      <c r="M7931" t="s">
        <v>18960</v>
      </c>
      <c r="N7931" t="s">
        <v>24630</v>
      </c>
      <c r="O7931" t="s">
        <v>26523</v>
      </c>
      <c r="P7931" t="s">
        <v>26560</v>
      </c>
      <c r="R7931" t="s">
        <v>26590</v>
      </c>
      <c r="S7931" t="s">
        <v>18959</v>
      </c>
      <c r="U7931" t="s">
        <v>26604</v>
      </c>
      <c r="V7931" t="s">
        <v>26610</v>
      </c>
      <c r="W7931" t="s">
        <v>811</v>
      </c>
      <c r="X7931">
        <v>1579</v>
      </c>
      <c r="Y7931" t="s">
        <v>26654</v>
      </c>
      <c r="Z7931" t="s">
        <v>26668</v>
      </c>
      <c r="AB7931" t="s">
        <v>26848</v>
      </c>
      <c r="AD7931" t="s">
        <v>43001</v>
      </c>
      <c r="AE7931">
        <v>1</v>
      </c>
      <c r="AF7931" t="s">
        <v>45547</v>
      </c>
      <c r="AG7931" t="s">
        <v>45556</v>
      </c>
      <c r="AH7931">
        <v>9</v>
      </c>
      <c r="AI7931">
        <v>3</v>
      </c>
      <c r="AJ7931">
        <v>1</v>
      </c>
      <c r="AK7931">
        <v>72.02</v>
      </c>
      <c r="AN7931" t="s">
        <v>7439</v>
      </c>
      <c r="AO7931">
        <v>18544</v>
      </c>
      <c r="AU7931">
        <v>6.3</v>
      </c>
      <c r="AV7931" t="s">
        <v>772</v>
      </c>
      <c r="AW7931" t="s">
        <v>46883</v>
      </c>
    </row>
    <row r="7932" spans="1:50">
      <c r="A7932" s="1">
        <f>HYPERLINK("https://lsnyc.legalserver.org/matter/dynamic-profile/view/1899079","19-1899079")</f>
        <v>0</v>
      </c>
      <c r="B7932" t="s">
        <v>104</v>
      </c>
      <c r="C7932" t="s">
        <v>340</v>
      </c>
      <c r="D7932" t="s">
        <v>811</v>
      </c>
      <c r="F7932" t="s">
        <v>4111</v>
      </c>
      <c r="G7932" t="s">
        <v>6818</v>
      </c>
      <c r="H7932" t="s">
        <v>15053</v>
      </c>
      <c r="I7932" t="s">
        <v>17283</v>
      </c>
      <c r="J7932" t="s">
        <v>18902</v>
      </c>
      <c r="K7932">
        <v>10310</v>
      </c>
      <c r="L7932" t="s">
        <v>18958</v>
      </c>
      <c r="M7932" t="s">
        <v>18960</v>
      </c>
      <c r="N7932" t="s">
        <v>24631</v>
      </c>
      <c r="O7932" t="s">
        <v>26523</v>
      </c>
      <c r="P7932" t="s">
        <v>26560</v>
      </c>
      <c r="R7932" t="s">
        <v>26590</v>
      </c>
      <c r="S7932" t="s">
        <v>18959</v>
      </c>
      <c r="U7932" t="s">
        <v>26604</v>
      </c>
      <c r="V7932" t="s">
        <v>26610</v>
      </c>
      <c r="W7932" t="s">
        <v>811</v>
      </c>
      <c r="X7932">
        <v>1037.81</v>
      </c>
      <c r="Y7932" t="s">
        <v>26654</v>
      </c>
      <c r="Z7932" t="s">
        <v>26668</v>
      </c>
      <c r="AB7932" t="s">
        <v>32537</v>
      </c>
      <c r="AD7932" t="s">
        <v>43002</v>
      </c>
      <c r="AE7932">
        <v>0</v>
      </c>
      <c r="AF7932" t="s">
        <v>45541</v>
      </c>
      <c r="AH7932">
        <v>4</v>
      </c>
      <c r="AI7932">
        <v>1</v>
      </c>
      <c r="AJ7932">
        <v>3</v>
      </c>
      <c r="AK7932">
        <v>141.58</v>
      </c>
      <c r="AN7932" t="s">
        <v>7439</v>
      </c>
      <c r="AO7932">
        <v>36456</v>
      </c>
      <c r="AU7932">
        <v>6.2</v>
      </c>
      <c r="AV7932" t="s">
        <v>832</v>
      </c>
      <c r="AW7932" t="s">
        <v>210</v>
      </c>
      <c r="AX7932" t="s">
        <v>46897</v>
      </c>
    </row>
    <row r="7933" spans="1:50">
      <c r="A7933" s="1">
        <f>HYPERLINK("https://lsnyc.legalserver.org/matter/dynamic-profile/view/1892251","19-1892251")</f>
        <v>0</v>
      </c>
      <c r="B7933" t="s">
        <v>280</v>
      </c>
      <c r="C7933" t="s">
        <v>341</v>
      </c>
      <c r="D7933" t="s">
        <v>659</v>
      </c>
      <c r="E7933" t="s">
        <v>815</v>
      </c>
      <c r="F7933" t="s">
        <v>875</v>
      </c>
      <c r="G7933" t="s">
        <v>6394</v>
      </c>
      <c r="H7933" t="s">
        <v>15054</v>
      </c>
      <c r="I7933" t="s">
        <v>17282</v>
      </c>
      <c r="J7933" t="s">
        <v>18905</v>
      </c>
      <c r="K7933">
        <v>11692</v>
      </c>
      <c r="L7933" t="s">
        <v>18958</v>
      </c>
      <c r="M7933" t="s">
        <v>18960</v>
      </c>
      <c r="N7933" t="s">
        <v>24632</v>
      </c>
      <c r="O7933" t="s">
        <v>26523</v>
      </c>
      <c r="P7933" t="s">
        <v>26564</v>
      </c>
      <c r="Q7933" t="s">
        <v>26570</v>
      </c>
      <c r="R7933" t="s">
        <v>26578</v>
      </c>
      <c r="S7933" t="s">
        <v>18959</v>
      </c>
      <c r="U7933" t="s">
        <v>26604</v>
      </c>
      <c r="V7933" t="s">
        <v>26610</v>
      </c>
      <c r="W7933" t="s">
        <v>815</v>
      </c>
      <c r="X7933">
        <v>1106</v>
      </c>
      <c r="Y7933" t="s">
        <v>26653</v>
      </c>
      <c r="Z7933" t="s">
        <v>26664</v>
      </c>
      <c r="AA7933" t="s">
        <v>26683</v>
      </c>
      <c r="AB7933" t="s">
        <v>28784</v>
      </c>
      <c r="AC7933" t="s">
        <v>34738</v>
      </c>
      <c r="AD7933" t="s">
        <v>43003</v>
      </c>
      <c r="AE7933">
        <v>42</v>
      </c>
      <c r="AF7933" t="s">
        <v>45541</v>
      </c>
      <c r="AG7933" t="s">
        <v>19330</v>
      </c>
      <c r="AH7933">
        <v>25</v>
      </c>
      <c r="AI7933">
        <v>4</v>
      </c>
      <c r="AJ7933">
        <v>0</v>
      </c>
      <c r="AK7933">
        <v>106.02</v>
      </c>
      <c r="AN7933" t="s">
        <v>45581</v>
      </c>
      <c r="AO7933">
        <v>27300</v>
      </c>
      <c r="AU7933">
        <v>0.95</v>
      </c>
      <c r="AV7933" t="s">
        <v>815</v>
      </c>
      <c r="AW7933" t="s">
        <v>122</v>
      </c>
      <c r="AX7933" t="s">
        <v>46897</v>
      </c>
    </row>
    <row r="7934" spans="1:50">
      <c r="A7934" s="1">
        <f>HYPERLINK("https://lsnyc.legalserver.org/matter/dynamic-profile/view/1893556","19-1893556")</f>
        <v>0</v>
      </c>
      <c r="B7934" t="s">
        <v>82</v>
      </c>
      <c r="C7934" t="s">
        <v>340</v>
      </c>
      <c r="D7934" t="s">
        <v>784</v>
      </c>
      <c r="F7934" t="s">
        <v>887</v>
      </c>
      <c r="G7934" t="s">
        <v>7386</v>
      </c>
      <c r="H7934" t="s">
        <v>15055</v>
      </c>
      <c r="I7934" t="s">
        <v>17273</v>
      </c>
      <c r="J7934" t="s">
        <v>18892</v>
      </c>
      <c r="K7934">
        <v>10458</v>
      </c>
      <c r="L7934" t="s">
        <v>18958</v>
      </c>
      <c r="M7934" t="s">
        <v>18958</v>
      </c>
      <c r="N7934" t="s">
        <v>24633</v>
      </c>
      <c r="O7934" t="s">
        <v>26524</v>
      </c>
      <c r="P7934" t="s">
        <v>26560</v>
      </c>
      <c r="R7934" t="s">
        <v>26577</v>
      </c>
      <c r="S7934" t="s">
        <v>18959</v>
      </c>
      <c r="U7934" t="s">
        <v>26604</v>
      </c>
      <c r="W7934" t="s">
        <v>815</v>
      </c>
      <c r="X7934">
        <v>1180</v>
      </c>
      <c r="Y7934" t="s">
        <v>26650</v>
      </c>
      <c r="Z7934" t="s">
        <v>26664</v>
      </c>
      <c r="AB7934" t="s">
        <v>32538</v>
      </c>
      <c r="AD7934" t="s">
        <v>43004</v>
      </c>
      <c r="AE7934">
        <v>0</v>
      </c>
      <c r="AF7934" t="s">
        <v>20460</v>
      </c>
      <c r="AH7934">
        <v>30</v>
      </c>
      <c r="AI7934">
        <v>3</v>
      </c>
      <c r="AJ7934">
        <v>0</v>
      </c>
      <c r="AK7934">
        <v>185.65</v>
      </c>
      <c r="AN7934" t="s">
        <v>45581</v>
      </c>
      <c r="AO7934">
        <v>39600</v>
      </c>
      <c r="AU7934">
        <v>4.6</v>
      </c>
      <c r="AV7934" t="s">
        <v>830</v>
      </c>
      <c r="AW7934" t="s">
        <v>46871</v>
      </c>
      <c r="AX7934" t="s">
        <v>46897</v>
      </c>
    </row>
    <row r="7935" spans="1:50">
      <c r="A7935" s="1">
        <f>HYPERLINK("https://lsnyc.legalserver.org/matter/dynamic-profile/view/1893633","19-1893633")</f>
        <v>0</v>
      </c>
      <c r="B7935" t="s">
        <v>199</v>
      </c>
      <c r="C7935" t="s">
        <v>340</v>
      </c>
      <c r="D7935" t="s">
        <v>785</v>
      </c>
      <c r="F7935" t="s">
        <v>3599</v>
      </c>
      <c r="G7935" t="s">
        <v>8503</v>
      </c>
      <c r="H7935" t="s">
        <v>15056</v>
      </c>
      <c r="I7935" t="s">
        <v>17436</v>
      </c>
      <c r="J7935" t="s">
        <v>18894</v>
      </c>
      <c r="K7935">
        <v>11214</v>
      </c>
      <c r="L7935" t="s">
        <v>18960</v>
      </c>
      <c r="M7935" t="s">
        <v>18960</v>
      </c>
      <c r="N7935" t="s">
        <v>24634</v>
      </c>
      <c r="O7935" t="s">
        <v>26524</v>
      </c>
      <c r="P7935" t="s">
        <v>26560</v>
      </c>
      <c r="R7935" t="s">
        <v>26591</v>
      </c>
      <c r="S7935" t="s">
        <v>18959</v>
      </c>
      <c r="U7935" t="s">
        <v>26604</v>
      </c>
      <c r="V7935" t="s">
        <v>26610</v>
      </c>
      <c r="W7935" t="s">
        <v>815</v>
      </c>
      <c r="X7935">
        <v>332</v>
      </c>
      <c r="Y7935" t="s">
        <v>26652</v>
      </c>
      <c r="Z7935" t="s">
        <v>26670</v>
      </c>
      <c r="AB7935" t="s">
        <v>28731</v>
      </c>
      <c r="AD7935" t="s">
        <v>43005</v>
      </c>
      <c r="AE7935">
        <v>41</v>
      </c>
      <c r="AF7935" t="s">
        <v>45541</v>
      </c>
      <c r="AG7935" t="s">
        <v>19330</v>
      </c>
      <c r="AH7935">
        <v>42</v>
      </c>
      <c r="AI7935">
        <v>1</v>
      </c>
      <c r="AJ7935">
        <v>0</v>
      </c>
      <c r="AK7935">
        <v>126.82</v>
      </c>
      <c r="AN7935" t="s">
        <v>7439</v>
      </c>
      <c r="AO7935">
        <v>15840</v>
      </c>
      <c r="AU7935">
        <v>35.6</v>
      </c>
      <c r="AV7935" t="s">
        <v>826</v>
      </c>
      <c r="AW7935" t="s">
        <v>46842</v>
      </c>
    </row>
    <row r="7936" spans="1:50">
      <c r="A7936" s="1">
        <f>HYPERLINK("https://lsnyc.legalserver.org/matter/dynamic-profile/view/1896316","19-1896316")</f>
        <v>0</v>
      </c>
      <c r="B7936" t="s">
        <v>151</v>
      </c>
      <c r="C7936" t="s">
        <v>340</v>
      </c>
      <c r="D7936" t="s">
        <v>724</v>
      </c>
      <c r="F7936" t="s">
        <v>2352</v>
      </c>
      <c r="G7936" t="s">
        <v>5882</v>
      </c>
      <c r="H7936" t="s">
        <v>15057</v>
      </c>
      <c r="I7936" t="s">
        <v>18515</v>
      </c>
      <c r="J7936" t="s">
        <v>18893</v>
      </c>
      <c r="K7936">
        <v>10021</v>
      </c>
      <c r="L7936" t="s">
        <v>18958</v>
      </c>
      <c r="M7936" t="s">
        <v>18959</v>
      </c>
      <c r="O7936" t="s">
        <v>26553</v>
      </c>
      <c r="P7936" t="s">
        <v>26560</v>
      </c>
      <c r="R7936" t="s">
        <v>26582</v>
      </c>
      <c r="S7936" t="s">
        <v>18959</v>
      </c>
      <c r="U7936" t="s">
        <v>26604</v>
      </c>
      <c r="W7936" t="s">
        <v>815</v>
      </c>
      <c r="X7936">
        <v>711.11</v>
      </c>
      <c r="Y7936" t="s">
        <v>26651</v>
      </c>
      <c r="Z7936" t="s">
        <v>26659</v>
      </c>
      <c r="AB7936" t="s">
        <v>30641</v>
      </c>
      <c r="AD7936" t="s">
        <v>43006</v>
      </c>
      <c r="AE7936">
        <v>0</v>
      </c>
      <c r="AG7936" t="s">
        <v>19330</v>
      </c>
      <c r="AH7936">
        <v>5</v>
      </c>
      <c r="AI7936">
        <v>1</v>
      </c>
      <c r="AJ7936">
        <v>0</v>
      </c>
      <c r="AK7936">
        <v>88.06999999999999</v>
      </c>
      <c r="AN7936" t="s">
        <v>7439</v>
      </c>
      <c r="AO7936">
        <v>11000</v>
      </c>
      <c r="AU7936">
        <v>35.45</v>
      </c>
      <c r="AV7936" t="s">
        <v>826</v>
      </c>
      <c r="AW7936" t="s">
        <v>314</v>
      </c>
      <c r="AX7936" t="s">
        <v>46897</v>
      </c>
    </row>
    <row r="7937" spans="1:50">
      <c r="A7937" s="1">
        <f>HYPERLINK("https://lsnyc.legalserver.org/matter/dynamic-profile/view/1897956","19-1897956")</f>
        <v>0</v>
      </c>
      <c r="B7937" t="s">
        <v>200</v>
      </c>
      <c r="C7937" t="s">
        <v>341</v>
      </c>
      <c r="D7937" t="s">
        <v>766</v>
      </c>
      <c r="E7937" t="s">
        <v>813</v>
      </c>
      <c r="F7937" t="s">
        <v>3134</v>
      </c>
      <c r="G7937" t="s">
        <v>5147</v>
      </c>
      <c r="H7937" t="s">
        <v>10514</v>
      </c>
      <c r="I7937" t="s">
        <v>18516</v>
      </c>
      <c r="J7937" t="s">
        <v>18894</v>
      </c>
      <c r="K7937">
        <v>11233</v>
      </c>
      <c r="L7937" t="s">
        <v>18959</v>
      </c>
      <c r="M7937" t="s">
        <v>18959</v>
      </c>
      <c r="N7937" t="s">
        <v>24635</v>
      </c>
      <c r="O7937" t="s">
        <v>26523</v>
      </c>
      <c r="P7937" t="s">
        <v>26564</v>
      </c>
      <c r="Q7937" t="s">
        <v>26570</v>
      </c>
      <c r="R7937" t="s">
        <v>26578</v>
      </c>
      <c r="S7937" t="s">
        <v>18959</v>
      </c>
      <c r="U7937" t="s">
        <v>26604</v>
      </c>
      <c r="V7937" t="s">
        <v>26610</v>
      </c>
      <c r="W7937" t="s">
        <v>815</v>
      </c>
      <c r="X7937">
        <v>1090</v>
      </c>
      <c r="Y7937" t="s">
        <v>26652</v>
      </c>
      <c r="Z7937" t="s">
        <v>26664</v>
      </c>
      <c r="AA7937" t="s">
        <v>26683</v>
      </c>
      <c r="AB7937" t="s">
        <v>32539</v>
      </c>
      <c r="AC7937">
        <v>176531211</v>
      </c>
      <c r="AD7937" t="s">
        <v>43007</v>
      </c>
      <c r="AE7937">
        <v>101</v>
      </c>
      <c r="AF7937" t="s">
        <v>20460</v>
      </c>
      <c r="AH7937">
        <v>2</v>
      </c>
      <c r="AI7937">
        <v>4</v>
      </c>
      <c r="AJ7937">
        <v>0</v>
      </c>
      <c r="AK7937">
        <v>139.81</v>
      </c>
      <c r="AN7937" t="s">
        <v>45581</v>
      </c>
      <c r="AO7937">
        <v>36000</v>
      </c>
      <c r="AU7937">
        <v>1.2</v>
      </c>
      <c r="AV7937" t="s">
        <v>816</v>
      </c>
      <c r="AW7937" t="s">
        <v>46853</v>
      </c>
    </row>
    <row r="7938" spans="1:50">
      <c r="A7938" s="1">
        <f>HYPERLINK("https://lsnyc.legalserver.org/matter/dynamic-profile/view/1898544","19-1898544")</f>
        <v>0</v>
      </c>
      <c r="B7938" t="s">
        <v>114</v>
      </c>
      <c r="C7938" t="s">
        <v>340</v>
      </c>
      <c r="D7938" t="s">
        <v>810</v>
      </c>
      <c r="F7938" t="s">
        <v>948</v>
      </c>
      <c r="G7938" t="s">
        <v>5313</v>
      </c>
      <c r="H7938" t="s">
        <v>15058</v>
      </c>
      <c r="J7938" t="s">
        <v>18906</v>
      </c>
      <c r="K7938">
        <v>11373</v>
      </c>
      <c r="L7938" t="s">
        <v>18958</v>
      </c>
      <c r="M7938" t="s">
        <v>18960</v>
      </c>
      <c r="N7938" t="s">
        <v>24636</v>
      </c>
      <c r="O7938" t="s">
        <v>26524</v>
      </c>
      <c r="P7938" t="s">
        <v>26560</v>
      </c>
      <c r="R7938" t="s">
        <v>26585</v>
      </c>
      <c r="S7938" t="s">
        <v>18959</v>
      </c>
      <c r="T7938" t="s">
        <v>26603</v>
      </c>
      <c r="U7938" t="s">
        <v>26604</v>
      </c>
      <c r="W7938" t="s">
        <v>815</v>
      </c>
      <c r="X7938">
        <v>700</v>
      </c>
      <c r="Y7938" t="s">
        <v>26653</v>
      </c>
      <c r="AB7938" t="s">
        <v>29515</v>
      </c>
      <c r="AE7938">
        <v>3</v>
      </c>
      <c r="AF7938" t="s">
        <v>45547</v>
      </c>
      <c r="AH7938">
        <v>8</v>
      </c>
      <c r="AI7938">
        <v>2</v>
      </c>
      <c r="AJ7938">
        <v>1</v>
      </c>
      <c r="AK7938">
        <v>97.89</v>
      </c>
      <c r="AN7938" t="s">
        <v>7439</v>
      </c>
      <c r="AO7938">
        <v>20880</v>
      </c>
      <c r="AU7938">
        <v>2.85</v>
      </c>
      <c r="AV7938" t="s">
        <v>843</v>
      </c>
      <c r="AW7938" t="s">
        <v>337</v>
      </c>
    </row>
    <row r="7939" spans="1:50">
      <c r="A7939" s="1">
        <f>HYPERLINK("https://lsnyc.legalserver.org/matter/dynamic-profile/view/1898929","19-1898929")</f>
        <v>0</v>
      </c>
      <c r="B7939" t="s">
        <v>133</v>
      </c>
      <c r="C7939" t="s">
        <v>340</v>
      </c>
      <c r="D7939" t="s">
        <v>771</v>
      </c>
      <c r="F7939" t="s">
        <v>1095</v>
      </c>
      <c r="G7939" t="s">
        <v>6822</v>
      </c>
      <c r="H7939" t="s">
        <v>15059</v>
      </c>
      <c r="I7939" t="s">
        <v>17353</v>
      </c>
      <c r="J7939" t="s">
        <v>18892</v>
      </c>
      <c r="K7939">
        <v>10460</v>
      </c>
      <c r="L7939" t="s">
        <v>18958</v>
      </c>
      <c r="M7939" t="s">
        <v>18958</v>
      </c>
      <c r="N7939" t="s">
        <v>24637</v>
      </c>
      <c r="O7939" t="s">
        <v>26523</v>
      </c>
      <c r="P7939" t="s">
        <v>26560</v>
      </c>
      <c r="R7939" t="s">
        <v>26577</v>
      </c>
      <c r="S7939" t="s">
        <v>18959</v>
      </c>
      <c r="U7939" t="s">
        <v>26604</v>
      </c>
      <c r="V7939" t="s">
        <v>26612</v>
      </c>
      <c r="W7939" t="s">
        <v>815</v>
      </c>
      <c r="X7939">
        <v>1334</v>
      </c>
      <c r="Y7939" t="s">
        <v>26650</v>
      </c>
      <c r="Z7939" t="s">
        <v>26668</v>
      </c>
      <c r="AB7939" t="s">
        <v>30925</v>
      </c>
      <c r="AC7939" t="s">
        <v>36426</v>
      </c>
      <c r="AD7939" t="s">
        <v>43008</v>
      </c>
      <c r="AE7939">
        <v>237</v>
      </c>
      <c r="AF7939" t="s">
        <v>45543</v>
      </c>
      <c r="AG7939" t="s">
        <v>19330</v>
      </c>
      <c r="AH7939">
        <v>8</v>
      </c>
      <c r="AI7939">
        <v>1</v>
      </c>
      <c r="AJ7939">
        <v>0</v>
      </c>
      <c r="AK7939">
        <v>17.58</v>
      </c>
      <c r="AO7939">
        <v>2196</v>
      </c>
      <c r="AU7939">
        <v>17.75</v>
      </c>
      <c r="AV7939" t="s">
        <v>835</v>
      </c>
      <c r="AW7939" t="s">
        <v>46871</v>
      </c>
      <c r="AX7939" t="s">
        <v>46897</v>
      </c>
    </row>
    <row r="7940" spans="1:50">
      <c r="A7940" s="1">
        <f>HYPERLINK("https://lsnyc.legalserver.org/matter/dynamic-profile/view/1899226","19-1899226")</f>
        <v>0</v>
      </c>
      <c r="B7940" t="s">
        <v>280</v>
      </c>
      <c r="C7940" t="s">
        <v>341</v>
      </c>
      <c r="D7940" t="s">
        <v>815</v>
      </c>
      <c r="E7940" t="s">
        <v>805</v>
      </c>
      <c r="F7940" t="s">
        <v>4112</v>
      </c>
      <c r="G7940" t="s">
        <v>8504</v>
      </c>
      <c r="H7940" t="s">
        <v>15060</v>
      </c>
      <c r="I7940" t="s">
        <v>17491</v>
      </c>
      <c r="J7940" t="s">
        <v>18907</v>
      </c>
      <c r="K7940">
        <v>11377</v>
      </c>
      <c r="L7940" t="s">
        <v>18958</v>
      </c>
      <c r="M7940" t="s">
        <v>18960</v>
      </c>
      <c r="N7940" t="s">
        <v>24638</v>
      </c>
      <c r="O7940" t="s">
        <v>26524</v>
      </c>
      <c r="P7940" t="s">
        <v>26560</v>
      </c>
      <c r="Q7940" t="s">
        <v>26568</v>
      </c>
      <c r="R7940" t="s">
        <v>26578</v>
      </c>
      <c r="S7940" t="s">
        <v>18959</v>
      </c>
      <c r="U7940" t="s">
        <v>26604</v>
      </c>
      <c r="V7940" t="s">
        <v>26610</v>
      </c>
      <c r="W7940" t="s">
        <v>815</v>
      </c>
      <c r="X7940">
        <v>1600</v>
      </c>
      <c r="Y7940" t="s">
        <v>26653</v>
      </c>
      <c r="Z7940" t="s">
        <v>26664</v>
      </c>
      <c r="AA7940" t="s">
        <v>26690</v>
      </c>
      <c r="AB7940" t="s">
        <v>32540</v>
      </c>
      <c r="AC7940" t="s">
        <v>34738</v>
      </c>
      <c r="AD7940" t="s">
        <v>43009</v>
      </c>
      <c r="AE7940">
        <v>2</v>
      </c>
      <c r="AF7940" t="s">
        <v>20460</v>
      </c>
      <c r="AG7940" t="s">
        <v>19330</v>
      </c>
      <c r="AH7940">
        <v>2</v>
      </c>
      <c r="AI7940">
        <v>2</v>
      </c>
      <c r="AJ7940">
        <v>1</v>
      </c>
      <c r="AK7940">
        <v>117.29</v>
      </c>
      <c r="AN7940" t="s">
        <v>7439</v>
      </c>
      <c r="AO7940">
        <v>25019</v>
      </c>
      <c r="AQ7940" t="s">
        <v>46362</v>
      </c>
      <c r="AR7940" t="s">
        <v>46495</v>
      </c>
      <c r="AS7940" t="s">
        <v>46500</v>
      </c>
      <c r="AT7940" t="s">
        <v>46780</v>
      </c>
      <c r="AU7940">
        <v>2.3</v>
      </c>
      <c r="AV7940" t="s">
        <v>805</v>
      </c>
      <c r="AW7940" t="s">
        <v>208</v>
      </c>
      <c r="AX7940" t="s">
        <v>46897</v>
      </c>
    </row>
    <row r="7941" spans="1:50">
      <c r="A7941" s="1">
        <f>HYPERLINK("https://lsnyc.legalserver.org/matter/dynamic-profile/view/1899257","19-1899257")</f>
        <v>0</v>
      </c>
      <c r="B7941" t="s">
        <v>247</v>
      </c>
      <c r="C7941" t="s">
        <v>341</v>
      </c>
      <c r="D7941" t="s">
        <v>815</v>
      </c>
      <c r="E7941" t="s">
        <v>805</v>
      </c>
      <c r="F7941" t="s">
        <v>4113</v>
      </c>
      <c r="G7941" t="s">
        <v>8505</v>
      </c>
      <c r="H7941" t="s">
        <v>11453</v>
      </c>
      <c r="I7941" t="s">
        <v>17630</v>
      </c>
      <c r="J7941" t="s">
        <v>7026</v>
      </c>
      <c r="K7941">
        <v>11368</v>
      </c>
      <c r="L7941" t="s">
        <v>18958</v>
      </c>
      <c r="M7941" t="s">
        <v>18960</v>
      </c>
      <c r="N7941" t="s">
        <v>24639</v>
      </c>
      <c r="O7941" t="s">
        <v>26523</v>
      </c>
      <c r="P7941" t="s">
        <v>26564</v>
      </c>
      <c r="Q7941" t="s">
        <v>26570</v>
      </c>
      <c r="R7941" t="s">
        <v>26584</v>
      </c>
      <c r="U7941" t="s">
        <v>26604</v>
      </c>
      <c r="W7941" t="s">
        <v>815</v>
      </c>
      <c r="X7941">
        <v>1905</v>
      </c>
      <c r="Y7941" t="s">
        <v>26653</v>
      </c>
      <c r="Z7941" t="s">
        <v>26664</v>
      </c>
      <c r="AA7941" t="s">
        <v>26679</v>
      </c>
      <c r="AB7941" t="s">
        <v>32541</v>
      </c>
      <c r="AC7941" t="s">
        <v>36427</v>
      </c>
      <c r="AD7941" t="s">
        <v>43010</v>
      </c>
      <c r="AE7941">
        <v>100</v>
      </c>
      <c r="AF7941" t="s">
        <v>45541</v>
      </c>
      <c r="AG7941" t="s">
        <v>19330</v>
      </c>
      <c r="AH7941">
        <v>1</v>
      </c>
      <c r="AI7941">
        <v>1</v>
      </c>
      <c r="AJ7941">
        <v>2</v>
      </c>
      <c r="AK7941">
        <v>0</v>
      </c>
      <c r="AN7941" t="s">
        <v>45582</v>
      </c>
      <c r="AO7941">
        <v>0</v>
      </c>
      <c r="AU7941">
        <v>2.61</v>
      </c>
      <c r="AV7941" t="s">
        <v>818</v>
      </c>
      <c r="AW7941" t="s">
        <v>122</v>
      </c>
      <c r="AX7941" t="s">
        <v>46898</v>
      </c>
    </row>
    <row r="7942" spans="1:50">
      <c r="A7942" s="1">
        <f>HYPERLINK("https://lsnyc.legalserver.org/matter/dynamic-profile/view/1899283","19-1899283")</f>
        <v>0</v>
      </c>
      <c r="B7942" t="s">
        <v>294</v>
      </c>
      <c r="C7942" t="s">
        <v>341</v>
      </c>
      <c r="D7942" t="s">
        <v>815</v>
      </c>
      <c r="E7942" t="s">
        <v>817</v>
      </c>
      <c r="F7942" t="s">
        <v>4114</v>
      </c>
      <c r="G7942" t="s">
        <v>8506</v>
      </c>
      <c r="J7942" t="s">
        <v>18927</v>
      </c>
      <c r="K7942">
        <v>11419</v>
      </c>
      <c r="L7942" t="s">
        <v>18958</v>
      </c>
      <c r="M7942" t="s">
        <v>18960</v>
      </c>
      <c r="N7942" t="s">
        <v>24640</v>
      </c>
      <c r="O7942" t="s">
        <v>26523</v>
      </c>
      <c r="P7942" t="s">
        <v>26564</v>
      </c>
      <c r="Q7942" t="s">
        <v>26570</v>
      </c>
      <c r="R7942" t="s">
        <v>26584</v>
      </c>
      <c r="S7942" t="s">
        <v>18959</v>
      </c>
      <c r="U7942" t="s">
        <v>26604</v>
      </c>
      <c r="V7942" t="s">
        <v>26610</v>
      </c>
      <c r="W7942" t="s">
        <v>815</v>
      </c>
      <c r="X7942">
        <v>1600</v>
      </c>
      <c r="Y7942" t="s">
        <v>26653</v>
      </c>
      <c r="Z7942" t="s">
        <v>26664</v>
      </c>
      <c r="AA7942" t="s">
        <v>26683</v>
      </c>
      <c r="AB7942" t="s">
        <v>32542</v>
      </c>
      <c r="AD7942" t="s">
        <v>43011</v>
      </c>
      <c r="AE7942">
        <v>10</v>
      </c>
      <c r="AF7942" t="s">
        <v>45541</v>
      </c>
      <c r="AG7942" t="s">
        <v>19330</v>
      </c>
      <c r="AH7942">
        <v>1</v>
      </c>
      <c r="AI7942">
        <v>2</v>
      </c>
      <c r="AJ7942">
        <v>0</v>
      </c>
      <c r="AK7942">
        <v>107.63</v>
      </c>
      <c r="AO7942">
        <v>18200</v>
      </c>
      <c r="AU7942">
        <v>1.8</v>
      </c>
      <c r="AV7942" t="s">
        <v>817</v>
      </c>
      <c r="AW7942" t="s">
        <v>122</v>
      </c>
      <c r="AX7942" t="s">
        <v>46897</v>
      </c>
    </row>
    <row r="7943" spans="1:50">
      <c r="A7943" s="1">
        <f>HYPERLINK("https://lsnyc.legalserver.org/matter/dynamic-profile/view/1899215","19-1899215")</f>
        <v>0</v>
      </c>
      <c r="B7943" t="s">
        <v>234</v>
      </c>
      <c r="C7943" t="s">
        <v>341</v>
      </c>
      <c r="D7943" t="s">
        <v>815</v>
      </c>
      <c r="E7943" t="s">
        <v>836</v>
      </c>
      <c r="F7943" t="s">
        <v>4115</v>
      </c>
      <c r="G7943" t="s">
        <v>1495</v>
      </c>
      <c r="H7943" t="s">
        <v>15061</v>
      </c>
      <c r="I7943" t="s">
        <v>18255</v>
      </c>
      <c r="J7943" t="s">
        <v>18893</v>
      </c>
      <c r="K7943">
        <v>10025</v>
      </c>
      <c r="L7943" t="s">
        <v>18958</v>
      </c>
      <c r="M7943" t="s">
        <v>18960</v>
      </c>
      <c r="N7943" t="s">
        <v>24641</v>
      </c>
      <c r="O7943" t="s">
        <v>26523</v>
      </c>
      <c r="P7943" t="s">
        <v>26560</v>
      </c>
      <c r="Q7943" t="s">
        <v>26568</v>
      </c>
      <c r="R7943" t="s">
        <v>26580</v>
      </c>
      <c r="S7943" t="s">
        <v>18959</v>
      </c>
      <c r="U7943" t="s">
        <v>26605</v>
      </c>
      <c r="V7943" t="s">
        <v>26610</v>
      </c>
      <c r="W7943" t="s">
        <v>815</v>
      </c>
      <c r="X7943">
        <v>971</v>
      </c>
      <c r="Y7943" t="s">
        <v>26651</v>
      </c>
      <c r="Z7943" t="s">
        <v>26664</v>
      </c>
      <c r="AA7943" t="s">
        <v>26680</v>
      </c>
      <c r="AB7943" t="s">
        <v>32543</v>
      </c>
      <c r="AD7943" t="s">
        <v>43012</v>
      </c>
      <c r="AE7943">
        <v>0</v>
      </c>
      <c r="AF7943" t="s">
        <v>45543</v>
      </c>
      <c r="AG7943" t="s">
        <v>19330</v>
      </c>
      <c r="AH7943">
        <v>34</v>
      </c>
      <c r="AI7943">
        <v>1</v>
      </c>
      <c r="AJ7943">
        <v>0</v>
      </c>
      <c r="AK7943">
        <v>114.33</v>
      </c>
      <c r="AN7943" t="s">
        <v>7439</v>
      </c>
      <c r="AO7943">
        <v>14280</v>
      </c>
      <c r="AU7943">
        <v>5.6</v>
      </c>
      <c r="AV7943" t="s">
        <v>839</v>
      </c>
      <c r="AW7943" t="s">
        <v>314</v>
      </c>
      <c r="AX7943" t="s">
        <v>46897</v>
      </c>
    </row>
    <row r="7944" spans="1:50">
      <c r="A7944" s="1">
        <f>HYPERLINK("https://lsnyc.legalserver.org/matter/dynamic-profile/view/1899272","19-1899272")</f>
        <v>0</v>
      </c>
      <c r="B7944" t="s">
        <v>258</v>
      </c>
      <c r="C7944" t="s">
        <v>341</v>
      </c>
      <c r="D7944" t="s">
        <v>815</v>
      </c>
      <c r="E7944" t="s">
        <v>824</v>
      </c>
      <c r="F7944" t="s">
        <v>4116</v>
      </c>
      <c r="G7944" t="s">
        <v>8507</v>
      </c>
      <c r="H7944" t="s">
        <v>15062</v>
      </c>
      <c r="J7944" t="s">
        <v>18919</v>
      </c>
      <c r="K7944">
        <v>11428</v>
      </c>
      <c r="L7944" t="s">
        <v>18958</v>
      </c>
      <c r="M7944" t="s">
        <v>18960</v>
      </c>
      <c r="N7944" t="s">
        <v>24642</v>
      </c>
      <c r="O7944" t="s">
        <v>26533</v>
      </c>
      <c r="P7944" t="s">
        <v>26564</v>
      </c>
      <c r="Q7944" t="s">
        <v>26570</v>
      </c>
      <c r="R7944" t="s">
        <v>26578</v>
      </c>
      <c r="S7944" t="s">
        <v>18959</v>
      </c>
      <c r="U7944" t="s">
        <v>26604</v>
      </c>
      <c r="W7944" t="s">
        <v>815</v>
      </c>
      <c r="X7944">
        <v>0</v>
      </c>
      <c r="Y7944" t="s">
        <v>26653</v>
      </c>
      <c r="Z7944" t="s">
        <v>26664</v>
      </c>
      <c r="AA7944" t="s">
        <v>26683</v>
      </c>
      <c r="AB7944" t="s">
        <v>30536</v>
      </c>
      <c r="AD7944" t="s">
        <v>43013</v>
      </c>
      <c r="AE7944">
        <v>1</v>
      </c>
      <c r="AF7944" t="s">
        <v>45547</v>
      </c>
      <c r="AG7944" t="s">
        <v>19330</v>
      </c>
      <c r="AH7944">
        <v>2</v>
      </c>
      <c r="AI7944">
        <v>1</v>
      </c>
      <c r="AJ7944">
        <v>0</v>
      </c>
      <c r="AK7944">
        <v>86.47</v>
      </c>
      <c r="AN7944" t="s">
        <v>7439</v>
      </c>
      <c r="AO7944">
        <v>10800</v>
      </c>
      <c r="AU7944">
        <v>0.8</v>
      </c>
      <c r="AV7944" t="s">
        <v>822</v>
      </c>
      <c r="AW7944" t="s">
        <v>258</v>
      </c>
      <c r="AX7944" t="s">
        <v>46897</v>
      </c>
    </row>
    <row r="7945" spans="1:50">
      <c r="A7945" s="1">
        <f>HYPERLINK("https://lsnyc.legalserver.org/matter/dynamic-profile/view/1899297","19-1899297")</f>
        <v>0</v>
      </c>
      <c r="B7945" t="s">
        <v>258</v>
      </c>
      <c r="C7945" t="s">
        <v>341</v>
      </c>
      <c r="D7945" t="s">
        <v>815</v>
      </c>
      <c r="E7945" t="s">
        <v>824</v>
      </c>
      <c r="F7945" t="s">
        <v>4117</v>
      </c>
      <c r="G7945" t="s">
        <v>6401</v>
      </c>
      <c r="H7945" t="s">
        <v>14674</v>
      </c>
      <c r="J7945" t="s">
        <v>18904</v>
      </c>
      <c r="K7945">
        <v>11421</v>
      </c>
      <c r="L7945" t="s">
        <v>18958</v>
      </c>
      <c r="M7945" t="s">
        <v>18960</v>
      </c>
      <c r="N7945" t="s">
        <v>24643</v>
      </c>
      <c r="O7945" t="s">
        <v>26524</v>
      </c>
      <c r="P7945" t="s">
        <v>26564</v>
      </c>
      <c r="Q7945" t="s">
        <v>26570</v>
      </c>
      <c r="R7945" t="s">
        <v>26578</v>
      </c>
      <c r="S7945" t="s">
        <v>18959</v>
      </c>
      <c r="U7945" t="s">
        <v>26604</v>
      </c>
      <c r="V7945" t="s">
        <v>26610</v>
      </c>
      <c r="W7945" t="s">
        <v>815</v>
      </c>
      <c r="X7945">
        <v>1350</v>
      </c>
      <c r="Y7945" t="s">
        <v>26653</v>
      </c>
      <c r="Z7945" t="s">
        <v>26664</v>
      </c>
      <c r="AA7945" t="s">
        <v>26683</v>
      </c>
      <c r="AB7945" t="s">
        <v>32544</v>
      </c>
      <c r="AD7945" t="s">
        <v>43014</v>
      </c>
      <c r="AE7945">
        <v>3</v>
      </c>
      <c r="AF7945" t="s">
        <v>45547</v>
      </c>
      <c r="AG7945" t="s">
        <v>19330</v>
      </c>
      <c r="AH7945">
        <v>1</v>
      </c>
      <c r="AI7945">
        <v>3</v>
      </c>
      <c r="AJ7945">
        <v>0</v>
      </c>
      <c r="AK7945">
        <v>164.09</v>
      </c>
      <c r="AN7945" t="s">
        <v>45581</v>
      </c>
      <c r="AO7945">
        <v>35000</v>
      </c>
      <c r="AU7945">
        <v>1.05</v>
      </c>
      <c r="AV7945" t="s">
        <v>822</v>
      </c>
      <c r="AW7945" t="s">
        <v>258</v>
      </c>
      <c r="AX7945" t="s">
        <v>46897</v>
      </c>
    </row>
    <row r="7946" spans="1:50">
      <c r="A7946" s="1">
        <f>HYPERLINK("https://lsnyc.legalserver.org/matter/dynamic-profile/view/1899195","19-1899195")</f>
        <v>0</v>
      </c>
      <c r="B7946" t="s">
        <v>122</v>
      </c>
      <c r="C7946" t="s">
        <v>341</v>
      </c>
      <c r="D7946" t="s">
        <v>815</v>
      </c>
      <c r="E7946" t="s">
        <v>815</v>
      </c>
      <c r="F7946" t="s">
        <v>4118</v>
      </c>
      <c r="G7946" t="s">
        <v>5367</v>
      </c>
      <c r="H7946" t="s">
        <v>15063</v>
      </c>
      <c r="I7946" t="s">
        <v>18517</v>
      </c>
      <c r="J7946" t="s">
        <v>18900</v>
      </c>
      <c r="K7946">
        <v>11367</v>
      </c>
      <c r="L7946" t="s">
        <v>18958</v>
      </c>
      <c r="M7946" t="s">
        <v>18960</v>
      </c>
      <c r="N7946" t="s">
        <v>24644</v>
      </c>
      <c r="O7946" t="s">
        <v>26526</v>
      </c>
      <c r="P7946" t="s">
        <v>26564</v>
      </c>
      <c r="Q7946" t="s">
        <v>26570</v>
      </c>
      <c r="R7946" t="s">
        <v>26578</v>
      </c>
      <c r="U7946" t="s">
        <v>26604</v>
      </c>
      <c r="V7946" t="s">
        <v>26610</v>
      </c>
      <c r="W7946" t="s">
        <v>815</v>
      </c>
      <c r="X7946">
        <v>362</v>
      </c>
      <c r="Y7946" t="s">
        <v>26653</v>
      </c>
      <c r="Z7946" t="s">
        <v>26664</v>
      </c>
      <c r="AA7946" t="s">
        <v>26683</v>
      </c>
      <c r="AB7946" t="s">
        <v>32545</v>
      </c>
      <c r="AC7946" t="s">
        <v>36428</v>
      </c>
      <c r="AD7946" t="s">
        <v>43015</v>
      </c>
      <c r="AE7946">
        <v>28</v>
      </c>
      <c r="AF7946" t="s">
        <v>45549</v>
      </c>
      <c r="AG7946" t="s">
        <v>19330</v>
      </c>
      <c r="AH7946">
        <v>30</v>
      </c>
      <c r="AI7946">
        <v>1</v>
      </c>
      <c r="AJ7946">
        <v>0</v>
      </c>
      <c r="AK7946">
        <v>115.08</v>
      </c>
      <c r="AN7946" t="s">
        <v>7439</v>
      </c>
      <c r="AO7946">
        <v>14373</v>
      </c>
      <c r="AU7946">
        <v>1</v>
      </c>
      <c r="AV7946" t="s">
        <v>815</v>
      </c>
      <c r="AW7946" t="s">
        <v>122</v>
      </c>
      <c r="AX7946" t="s">
        <v>46897</v>
      </c>
    </row>
    <row r="7947" spans="1:50">
      <c r="A7947" s="1">
        <f>HYPERLINK("https://lsnyc.legalserver.org/matter/dynamic-profile/view/1899245","19-1899245")</f>
        <v>0</v>
      </c>
      <c r="B7947" t="s">
        <v>235</v>
      </c>
      <c r="C7947" t="s">
        <v>341</v>
      </c>
      <c r="D7947" t="s">
        <v>815</v>
      </c>
      <c r="E7947" t="s">
        <v>839</v>
      </c>
      <c r="F7947" t="s">
        <v>962</v>
      </c>
      <c r="G7947" t="s">
        <v>8508</v>
      </c>
      <c r="H7947" t="s">
        <v>15064</v>
      </c>
      <c r="I7947" t="s">
        <v>17331</v>
      </c>
      <c r="J7947" t="s">
        <v>18901</v>
      </c>
      <c r="K7947">
        <v>11434</v>
      </c>
      <c r="L7947" t="s">
        <v>18958</v>
      </c>
      <c r="M7947" t="s">
        <v>18960</v>
      </c>
      <c r="N7947" t="s">
        <v>24645</v>
      </c>
      <c r="O7947" t="s">
        <v>26523</v>
      </c>
      <c r="P7947" t="s">
        <v>26560</v>
      </c>
      <c r="Q7947" t="s">
        <v>26568</v>
      </c>
      <c r="R7947" t="s">
        <v>26585</v>
      </c>
      <c r="S7947" t="s">
        <v>18959</v>
      </c>
      <c r="U7947" t="s">
        <v>26604</v>
      </c>
      <c r="V7947" t="s">
        <v>26610</v>
      </c>
      <c r="W7947" t="s">
        <v>815</v>
      </c>
      <c r="X7947">
        <v>1300</v>
      </c>
      <c r="Y7947" t="s">
        <v>26653</v>
      </c>
      <c r="Z7947" t="s">
        <v>26664</v>
      </c>
      <c r="AA7947" t="s">
        <v>26678</v>
      </c>
      <c r="AB7947" t="s">
        <v>32546</v>
      </c>
      <c r="AC7947" t="s">
        <v>36429</v>
      </c>
      <c r="AD7947" t="s">
        <v>43016</v>
      </c>
      <c r="AE7947">
        <v>4</v>
      </c>
      <c r="AF7947" t="s">
        <v>20460</v>
      </c>
      <c r="AG7947" t="s">
        <v>45560</v>
      </c>
      <c r="AH7947">
        <v>3</v>
      </c>
      <c r="AI7947">
        <v>1</v>
      </c>
      <c r="AJ7947">
        <v>1</v>
      </c>
      <c r="AK7947">
        <v>55.35</v>
      </c>
      <c r="AN7947" t="s">
        <v>7439</v>
      </c>
      <c r="AO7947">
        <v>9360</v>
      </c>
      <c r="AQ7947" t="s">
        <v>46359</v>
      </c>
      <c r="AR7947" t="s">
        <v>46379</v>
      </c>
      <c r="AS7947" t="s">
        <v>46499</v>
      </c>
      <c r="AT7947" t="s">
        <v>46807</v>
      </c>
      <c r="AU7947">
        <v>12.15</v>
      </c>
      <c r="AV7947" t="s">
        <v>839</v>
      </c>
      <c r="AW7947" t="s">
        <v>208</v>
      </c>
      <c r="AX7947" t="s">
        <v>46898</v>
      </c>
    </row>
    <row r="7948" spans="1:50">
      <c r="A7948" s="1">
        <f>HYPERLINK("https://lsnyc.legalserver.org/matter/dynamic-profile/view/1899274","19-1899274")</f>
        <v>0</v>
      </c>
      <c r="B7948" t="s">
        <v>136</v>
      </c>
      <c r="C7948" t="s">
        <v>340</v>
      </c>
      <c r="D7948" t="s">
        <v>815</v>
      </c>
      <c r="F7948" t="s">
        <v>2140</v>
      </c>
      <c r="G7948" t="s">
        <v>7792</v>
      </c>
      <c r="H7948" t="s">
        <v>15065</v>
      </c>
      <c r="I7948" t="s">
        <v>17293</v>
      </c>
      <c r="J7948" t="s">
        <v>18892</v>
      </c>
      <c r="K7948">
        <v>10467</v>
      </c>
      <c r="L7948" t="s">
        <v>18958</v>
      </c>
      <c r="M7948" t="s">
        <v>18960</v>
      </c>
      <c r="N7948" t="s">
        <v>24646</v>
      </c>
      <c r="O7948" t="s">
        <v>26523</v>
      </c>
      <c r="P7948" t="s">
        <v>26560</v>
      </c>
      <c r="R7948" t="s">
        <v>26579</v>
      </c>
      <c r="S7948" t="s">
        <v>18959</v>
      </c>
      <c r="U7948" t="s">
        <v>26604</v>
      </c>
      <c r="V7948" t="s">
        <v>26614</v>
      </c>
      <c r="W7948" t="s">
        <v>815</v>
      </c>
      <c r="X7948">
        <v>1362.97</v>
      </c>
      <c r="Y7948" t="s">
        <v>26650</v>
      </c>
      <c r="Z7948" t="s">
        <v>26668</v>
      </c>
      <c r="AB7948" t="s">
        <v>26971</v>
      </c>
      <c r="AC7948" t="s">
        <v>36430</v>
      </c>
      <c r="AD7948" t="s">
        <v>43017</v>
      </c>
      <c r="AE7948">
        <v>92</v>
      </c>
      <c r="AF7948" t="s">
        <v>45541</v>
      </c>
      <c r="AG7948" t="s">
        <v>19330</v>
      </c>
      <c r="AH7948">
        <v>15</v>
      </c>
      <c r="AI7948">
        <v>2</v>
      </c>
      <c r="AJ7948">
        <v>2</v>
      </c>
      <c r="AK7948">
        <v>95.31999999999999</v>
      </c>
      <c r="AN7948" t="s">
        <v>7439</v>
      </c>
      <c r="AO7948">
        <v>24544</v>
      </c>
      <c r="AP7948" t="s">
        <v>46076</v>
      </c>
      <c r="AQ7948" t="s">
        <v>46365</v>
      </c>
      <c r="AR7948" t="s">
        <v>46496</v>
      </c>
      <c r="AS7948" t="s">
        <v>46499</v>
      </c>
      <c r="AT7948" t="s">
        <v>46780</v>
      </c>
      <c r="AU7948">
        <v>4.75</v>
      </c>
      <c r="AV7948" t="s">
        <v>804</v>
      </c>
      <c r="AW7948" t="s">
        <v>46836</v>
      </c>
      <c r="AX7948" t="s">
        <v>46897</v>
      </c>
    </row>
    <row r="7949" spans="1:50">
      <c r="A7949" s="1">
        <f>HYPERLINK("https://lsnyc.legalserver.org/matter/dynamic-profile/view/1900908","19-1900908")</f>
        <v>0</v>
      </c>
      <c r="B7949" t="s">
        <v>149</v>
      </c>
      <c r="C7949" t="s">
        <v>340</v>
      </c>
      <c r="D7949" t="s">
        <v>815</v>
      </c>
      <c r="F7949" t="s">
        <v>1639</v>
      </c>
      <c r="G7949" t="s">
        <v>8509</v>
      </c>
      <c r="H7949" t="s">
        <v>15066</v>
      </c>
      <c r="I7949">
        <v>3</v>
      </c>
      <c r="J7949" t="s">
        <v>18892</v>
      </c>
      <c r="K7949">
        <v>10457</v>
      </c>
      <c r="L7949" t="s">
        <v>18958</v>
      </c>
      <c r="M7949" t="s">
        <v>18960</v>
      </c>
      <c r="N7949" t="s">
        <v>24647</v>
      </c>
      <c r="O7949" t="s">
        <v>26523</v>
      </c>
      <c r="P7949" t="s">
        <v>26560</v>
      </c>
      <c r="R7949" t="s">
        <v>26579</v>
      </c>
      <c r="S7949" t="s">
        <v>18959</v>
      </c>
      <c r="U7949" t="s">
        <v>26604</v>
      </c>
      <c r="V7949" t="s">
        <v>26610</v>
      </c>
      <c r="W7949" t="s">
        <v>815</v>
      </c>
      <c r="X7949">
        <v>1308</v>
      </c>
      <c r="Y7949" t="s">
        <v>26650</v>
      </c>
      <c r="Z7949" t="s">
        <v>26664</v>
      </c>
      <c r="AB7949" t="s">
        <v>27539</v>
      </c>
      <c r="AC7949" t="s">
        <v>36431</v>
      </c>
      <c r="AD7949" t="s">
        <v>43018</v>
      </c>
      <c r="AE7949">
        <v>3</v>
      </c>
      <c r="AF7949" t="s">
        <v>45541</v>
      </c>
      <c r="AG7949" t="s">
        <v>45557</v>
      </c>
      <c r="AH7949">
        <v>1</v>
      </c>
      <c r="AI7949">
        <v>1</v>
      </c>
      <c r="AJ7949">
        <v>2</v>
      </c>
      <c r="AK7949">
        <v>21.83</v>
      </c>
      <c r="AN7949" t="s">
        <v>45581</v>
      </c>
      <c r="AO7949">
        <v>4656</v>
      </c>
      <c r="AS7949" t="s">
        <v>46499</v>
      </c>
      <c r="AT7949" t="s">
        <v>46754</v>
      </c>
      <c r="AU7949">
        <v>3.75</v>
      </c>
      <c r="AV7949" t="s">
        <v>832</v>
      </c>
      <c r="AW7949" t="s">
        <v>336</v>
      </c>
      <c r="AX7949" t="s">
        <v>46897</v>
      </c>
    </row>
    <row r="7950" spans="1:50">
      <c r="A7950" s="1">
        <f>HYPERLINK("https://lsnyc.legalserver.org/matter/dynamic-profile/view/1899207","19-1899207")</f>
        <v>0</v>
      </c>
      <c r="B7950" t="s">
        <v>277</v>
      </c>
      <c r="C7950" t="s">
        <v>340</v>
      </c>
      <c r="D7950" t="s">
        <v>815</v>
      </c>
      <c r="F7950" t="s">
        <v>4119</v>
      </c>
      <c r="G7950" t="s">
        <v>8510</v>
      </c>
      <c r="H7950" t="s">
        <v>15067</v>
      </c>
      <c r="I7950" t="s">
        <v>17299</v>
      </c>
      <c r="J7950" t="s">
        <v>18901</v>
      </c>
      <c r="K7950">
        <v>11433</v>
      </c>
      <c r="L7950" t="s">
        <v>18958</v>
      </c>
      <c r="M7950" t="s">
        <v>18960</v>
      </c>
      <c r="N7950" t="s">
        <v>24648</v>
      </c>
      <c r="O7950" t="s">
        <v>26523</v>
      </c>
      <c r="P7950" t="s">
        <v>26560</v>
      </c>
      <c r="R7950" t="s">
        <v>26585</v>
      </c>
      <c r="S7950" t="s">
        <v>18959</v>
      </c>
      <c r="U7950" t="s">
        <v>26605</v>
      </c>
      <c r="W7950" t="s">
        <v>815</v>
      </c>
      <c r="X7950">
        <v>662</v>
      </c>
      <c r="Y7950" t="s">
        <v>26653</v>
      </c>
      <c r="Z7950" t="s">
        <v>26664</v>
      </c>
      <c r="AB7950" t="s">
        <v>32547</v>
      </c>
      <c r="AC7950" t="s">
        <v>36432</v>
      </c>
      <c r="AD7950" t="s">
        <v>43019</v>
      </c>
      <c r="AE7950">
        <v>12</v>
      </c>
      <c r="AF7950" t="s">
        <v>45549</v>
      </c>
      <c r="AG7950" t="s">
        <v>19330</v>
      </c>
      <c r="AH7950">
        <v>33</v>
      </c>
      <c r="AI7950">
        <v>1</v>
      </c>
      <c r="AJ7950">
        <v>0</v>
      </c>
      <c r="AK7950">
        <v>0</v>
      </c>
      <c r="AN7950" t="s">
        <v>7439</v>
      </c>
      <c r="AO7950">
        <v>0</v>
      </c>
      <c r="AU7950">
        <v>3.4</v>
      </c>
      <c r="AV7950" t="s">
        <v>720</v>
      </c>
      <c r="AW7950" t="s">
        <v>208</v>
      </c>
      <c r="AX7950" t="s">
        <v>46897</v>
      </c>
    </row>
    <row r="7951" spans="1:50">
      <c r="A7951" s="1">
        <f>HYPERLINK("https://lsnyc.legalserver.org/matter/dynamic-profile/view/1899277","19-1899277")</f>
        <v>0</v>
      </c>
      <c r="B7951" t="s">
        <v>108</v>
      </c>
      <c r="C7951" t="s">
        <v>340</v>
      </c>
      <c r="D7951" t="s">
        <v>815</v>
      </c>
      <c r="F7951" t="s">
        <v>938</v>
      </c>
      <c r="G7951" t="s">
        <v>8511</v>
      </c>
      <c r="H7951" t="s">
        <v>15068</v>
      </c>
      <c r="I7951" t="s">
        <v>17393</v>
      </c>
      <c r="J7951" t="s">
        <v>18951</v>
      </c>
      <c r="K7951">
        <v>11433</v>
      </c>
      <c r="L7951" t="s">
        <v>18958</v>
      </c>
      <c r="M7951" t="s">
        <v>18960</v>
      </c>
      <c r="N7951" t="s">
        <v>24649</v>
      </c>
      <c r="O7951" t="s">
        <v>26524</v>
      </c>
      <c r="P7951" t="s">
        <v>26560</v>
      </c>
      <c r="R7951" t="s">
        <v>26585</v>
      </c>
      <c r="S7951" t="s">
        <v>18959</v>
      </c>
      <c r="U7951" t="s">
        <v>26604</v>
      </c>
      <c r="W7951" t="s">
        <v>815</v>
      </c>
      <c r="X7951">
        <v>1600</v>
      </c>
      <c r="Y7951" t="s">
        <v>26653</v>
      </c>
      <c r="Z7951" t="s">
        <v>26664</v>
      </c>
      <c r="AB7951" t="s">
        <v>29037</v>
      </c>
      <c r="AC7951" t="s">
        <v>36433</v>
      </c>
      <c r="AD7951" t="s">
        <v>43020</v>
      </c>
      <c r="AE7951">
        <v>460</v>
      </c>
      <c r="AF7951" t="s">
        <v>45547</v>
      </c>
      <c r="AG7951" t="s">
        <v>45556</v>
      </c>
      <c r="AH7951">
        <v>8</v>
      </c>
      <c r="AI7951">
        <v>2</v>
      </c>
      <c r="AJ7951">
        <v>1</v>
      </c>
      <c r="AK7951">
        <v>133.46</v>
      </c>
      <c r="AN7951" t="s">
        <v>7439</v>
      </c>
      <c r="AO7951">
        <v>28468</v>
      </c>
      <c r="AQ7951" t="s">
        <v>46361</v>
      </c>
      <c r="AS7951" t="s">
        <v>46499</v>
      </c>
      <c r="AT7951" t="s">
        <v>46665</v>
      </c>
      <c r="AU7951">
        <v>8.07</v>
      </c>
      <c r="AV7951" t="s">
        <v>835</v>
      </c>
      <c r="AW7951" t="s">
        <v>122</v>
      </c>
      <c r="AX7951" t="s">
        <v>46897</v>
      </c>
    </row>
    <row r="7952" spans="1:50">
      <c r="A7952" s="1">
        <f>HYPERLINK("https://lsnyc.legalserver.org/matter/dynamic-profile/view/1899209","19-1899209")</f>
        <v>0</v>
      </c>
      <c r="B7952" t="s">
        <v>94</v>
      </c>
      <c r="C7952" t="s">
        <v>340</v>
      </c>
      <c r="D7952" t="s">
        <v>815</v>
      </c>
      <c r="F7952" t="s">
        <v>1631</v>
      </c>
      <c r="G7952" t="s">
        <v>5186</v>
      </c>
      <c r="H7952" t="s">
        <v>15069</v>
      </c>
      <c r="I7952" t="s">
        <v>18184</v>
      </c>
      <c r="J7952" t="s">
        <v>18893</v>
      </c>
      <c r="K7952">
        <v>10031</v>
      </c>
      <c r="L7952" t="s">
        <v>18958</v>
      </c>
      <c r="M7952" t="s">
        <v>18960</v>
      </c>
      <c r="N7952" t="s">
        <v>24650</v>
      </c>
      <c r="O7952" t="s">
        <v>26523</v>
      </c>
      <c r="R7952" t="s">
        <v>26580</v>
      </c>
      <c r="S7952" t="s">
        <v>18959</v>
      </c>
      <c r="U7952" t="s">
        <v>26604</v>
      </c>
      <c r="W7952" t="s">
        <v>815</v>
      </c>
      <c r="X7952">
        <v>2500</v>
      </c>
      <c r="Y7952" t="s">
        <v>26651</v>
      </c>
      <c r="Z7952" t="s">
        <v>26664</v>
      </c>
      <c r="AB7952" t="s">
        <v>28363</v>
      </c>
      <c r="AD7952" t="s">
        <v>43021</v>
      </c>
      <c r="AE7952">
        <v>6</v>
      </c>
      <c r="AF7952" t="s">
        <v>20460</v>
      </c>
      <c r="AG7952" t="s">
        <v>26530</v>
      </c>
      <c r="AH7952">
        <v>7</v>
      </c>
      <c r="AI7952">
        <v>1</v>
      </c>
      <c r="AJ7952">
        <v>0</v>
      </c>
      <c r="AK7952">
        <v>36.32</v>
      </c>
      <c r="AN7952" t="s">
        <v>7439</v>
      </c>
      <c r="AO7952">
        <v>4536</v>
      </c>
      <c r="AU7952">
        <v>5.1</v>
      </c>
      <c r="AV7952" t="s">
        <v>838</v>
      </c>
      <c r="AW7952" t="s">
        <v>46879</v>
      </c>
      <c r="AX7952" t="s">
        <v>46897</v>
      </c>
    </row>
    <row r="7953" spans="1:50">
      <c r="A7953" s="1">
        <f>HYPERLINK("https://lsnyc.legalserver.org/matter/dynamic-profile/view/1899194","19-1899194")</f>
        <v>0</v>
      </c>
      <c r="B7953" t="s">
        <v>94</v>
      </c>
      <c r="C7953" t="s">
        <v>340</v>
      </c>
      <c r="D7953" t="s">
        <v>815</v>
      </c>
      <c r="F7953" t="s">
        <v>1016</v>
      </c>
      <c r="G7953" t="s">
        <v>5955</v>
      </c>
      <c r="H7953" t="s">
        <v>10255</v>
      </c>
      <c r="I7953" t="s">
        <v>18518</v>
      </c>
      <c r="J7953" t="s">
        <v>18893</v>
      </c>
      <c r="K7953">
        <v>10027</v>
      </c>
      <c r="L7953" t="s">
        <v>18958</v>
      </c>
      <c r="M7953" t="s">
        <v>18960</v>
      </c>
      <c r="N7953" t="s">
        <v>24651</v>
      </c>
      <c r="O7953" t="s">
        <v>26523</v>
      </c>
      <c r="R7953" t="s">
        <v>26580</v>
      </c>
      <c r="S7953" t="s">
        <v>18958</v>
      </c>
      <c r="U7953" t="s">
        <v>26605</v>
      </c>
      <c r="W7953" t="s">
        <v>815</v>
      </c>
      <c r="X7953">
        <v>293</v>
      </c>
      <c r="Y7953" t="s">
        <v>26651</v>
      </c>
      <c r="Z7953" t="s">
        <v>26664</v>
      </c>
      <c r="AB7953" t="s">
        <v>32548</v>
      </c>
      <c r="AC7953" t="s">
        <v>36434</v>
      </c>
      <c r="AD7953" t="s">
        <v>43022</v>
      </c>
      <c r="AE7953">
        <v>0</v>
      </c>
      <c r="AF7953" t="s">
        <v>45542</v>
      </c>
      <c r="AH7953">
        <v>4</v>
      </c>
      <c r="AI7953">
        <v>1</v>
      </c>
      <c r="AJ7953">
        <v>1</v>
      </c>
      <c r="AK7953">
        <v>44.99</v>
      </c>
      <c r="AN7953" t="s">
        <v>7439</v>
      </c>
      <c r="AO7953">
        <v>7608</v>
      </c>
      <c r="AU7953">
        <v>4.2</v>
      </c>
      <c r="AV7953" t="s">
        <v>825</v>
      </c>
      <c r="AW7953" t="s">
        <v>46879</v>
      </c>
      <c r="AX7953" t="s">
        <v>46898</v>
      </c>
    </row>
    <row r="7954" spans="1:50">
      <c r="A7954" s="1">
        <f>HYPERLINK("https://lsnyc.legalserver.org/matter/dynamic-profile/view/1899239","19-1899239")</f>
        <v>0</v>
      </c>
      <c r="B7954" t="s">
        <v>94</v>
      </c>
      <c r="C7954" t="s">
        <v>340</v>
      </c>
      <c r="D7954" t="s">
        <v>815</v>
      </c>
      <c r="F7954" t="s">
        <v>1000</v>
      </c>
      <c r="G7954" t="s">
        <v>8512</v>
      </c>
      <c r="H7954" t="s">
        <v>12139</v>
      </c>
      <c r="I7954" t="s">
        <v>17364</v>
      </c>
      <c r="J7954" t="s">
        <v>18893</v>
      </c>
      <c r="K7954">
        <v>10027</v>
      </c>
      <c r="L7954" t="s">
        <v>18958</v>
      </c>
      <c r="M7954" t="s">
        <v>18960</v>
      </c>
      <c r="N7954" t="s">
        <v>24652</v>
      </c>
      <c r="O7954" t="s">
        <v>26523</v>
      </c>
      <c r="R7954" t="s">
        <v>26580</v>
      </c>
      <c r="S7954" t="s">
        <v>18958</v>
      </c>
      <c r="U7954" t="s">
        <v>26604</v>
      </c>
      <c r="W7954" t="s">
        <v>815</v>
      </c>
      <c r="X7954">
        <v>1451.86</v>
      </c>
      <c r="Y7954" t="s">
        <v>26651</v>
      </c>
      <c r="Z7954" t="s">
        <v>26664</v>
      </c>
      <c r="AB7954" t="s">
        <v>29434</v>
      </c>
      <c r="AD7954" t="s">
        <v>43023</v>
      </c>
      <c r="AE7954">
        <v>16</v>
      </c>
      <c r="AF7954" t="s">
        <v>45541</v>
      </c>
      <c r="AH7954">
        <v>17</v>
      </c>
      <c r="AI7954">
        <v>1</v>
      </c>
      <c r="AJ7954">
        <v>0</v>
      </c>
      <c r="AK7954">
        <v>211.37</v>
      </c>
      <c r="AL7954" t="s">
        <v>720</v>
      </c>
      <c r="AM7954" t="s">
        <v>45575</v>
      </c>
      <c r="AN7954" t="s">
        <v>7439</v>
      </c>
      <c r="AO7954">
        <v>26400</v>
      </c>
      <c r="AU7954">
        <v>8.5</v>
      </c>
      <c r="AV7954" t="s">
        <v>830</v>
      </c>
      <c r="AW7954" t="s">
        <v>46879</v>
      </c>
      <c r="AX7954" t="s">
        <v>46897</v>
      </c>
    </row>
    <row r="7955" spans="1:50">
      <c r="A7955" s="1">
        <f>HYPERLINK("https://lsnyc.legalserver.org/matter/dynamic-profile/view/1899442","19-1899442")</f>
        <v>0</v>
      </c>
      <c r="B7955" t="s">
        <v>262</v>
      </c>
      <c r="C7955" t="s">
        <v>340</v>
      </c>
      <c r="D7955" t="s">
        <v>815</v>
      </c>
      <c r="F7955" t="s">
        <v>1139</v>
      </c>
      <c r="G7955" t="s">
        <v>8513</v>
      </c>
      <c r="H7955" t="s">
        <v>15070</v>
      </c>
      <c r="I7955" t="s">
        <v>17440</v>
      </c>
      <c r="J7955" t="s">
        <v>18892</v>
      </c>
      <c r="K7955">
        <v>10453</v>
      </c>
      <c r="L7955" t="s">
        <v>18958</v>
      </c>
      <c r="M7955" t="s">
        <v>18960</v>
      </c>
      <c r="N7955" t="s">
        <v>24653</v>
      </c>
      <c r="O7955" t="s">
        <v>26523</v>
      </c>
      <c r="P7955" t="s">
        <v>26560</v>
      </c>
      <c r="R7955" t="s">
        <v>26577</v>
      </c>
      <c r="S7955" t="s">
        <v>18959</v>
      </c>
      <c r="U7955" t="s">
        <v>26604</v>
      </c>
      <c r="W7955" t="s">
        <v>815</v>
      </c>
      <c r="X7955">
        <v>1297.27</v>
      </c>
      <c r="Y7955" t="s">
        <v>26650</v>
      </c>
      <c r="Z7955" t="s">
        <v>26668</v>
      </c>
      <c r="AB7955" t="s">
        <v>32549</v>
      </c>
      <c r="AC7955" t="s">
        <v>36435</v>
      </c>
      <c r="AD7955" t="s">
        <v>43024</v>
      </c>
      <c r="AE7955">
        <v>51</v>
      </c>
      <c r="AG7955" t="s">
        <v>45557</v>
      </c>
      <c r="AH7955">
        <v>4</v>
      </c>
      <c r="AI7955">
        <v>1</v>
      </c>
      <c r="AJ7955">
        <v>3</v>
      </c>
      <c r="AK7955">
        <v>9.32</v>
      </c>
      <c r="AN7955" t="s">
        <v>45581</v>
      </c>
      <c r="AO7955">
        <v>2400</v>
      </c>
      <c r="AU7955">
        <v>12.8</v>
      </c>
      <c r="AV7955" t="s">
        <v>835</v>
      </c>
      <c r="AW7955" t="s">
        <v>336</v>
      </c>
      <c r="AX7955" t="s">
        <v>46897</v>
      </c>
    </row>
    <row r="7956" spans="1:50">
      <c r="A7956" s="1">
        <f>HYPERLINK("https://lsnyc.legalserver.org/matter/dynamic-profile/view/1899296","19-1899296")</f>
        <v>0</v>
      </c>
      <c r="B7956" t="s">
        <v>84</v>
      </c>
      <c r="C7956" t="s">
        <v>340</v>
      </c>
      <c r="D7956" t="s">
        <v>815</v>
      </c>
      <c r="F7956" t="s">
        <v>1237</v>
      </c>
      <c r="G7956" t="s">
        <v>8514</v>
      </c>
      <c r="H7956" t="s">
        <v>12268</v>
      </c>
      <c r="I7956" t="s">
        <v>18519</v>
      </c>
      <c r="J7956" t="s">
        <v>18893</v>
      </c>
      <c r="K7956">
        <v>10025</v>
      </c>
      <c r="L7956" t="s">
        <v>18958</v>
      </c>
      <c r="M7956" t="s">
        <v>18960</v>
      </c>
      <c r="N7956" t="s">
        <v>24654</v>
      </c>
      <c r="O7956" t="s">
        <v>26524</v>
      </c>
      <c r="R7956" t="s">
        <v>26580</v>
      </c>
      <c r="S7956" t="s">
        <v>26598</v>
      </c>
      <c r="U7956" t="s">
        <v>26605</v>
      </c>
      <c r="W7956" t="s">
        <v>815</v>
      </c>
      <c r="X7956">
        <v>236</v>
      </c>
      <c r="Y7956" t="s">
        <v>26651</v>
      </c>
      <c r="Z7956" t="s">
        <v>26664</v>
      </c>
      <c r="AB7956" t="s">
        <v>32550</v>
      </c>
      <c r="AD7956" t="s">
        <v>43025</v>
      </c>
      <c r="AE7956">
        <v>0</v>
      </c>
      <c r="AG7956" t="s">
        <v>45563</v>
      </c>
      <c r="AH7956">
        <v>40</v>
      </c>
      <c r="AI7956">
        <v>1</v>
      </c>
      <c r="AJ7956">
        <v>0</v>
      </c>
      <c r="AK7956">
        <v>72.44</v>
      </c>
      <c r="AN7956" t="s">
        <v>7439</v>
      </c>
      <c r="AO7956">
        <v>9048</v>
      </c>
      <c r="AU7956">
        <v>5.1</v>
      </c>
      <c r="AV7956" t="s">
        <v>720</v>
      </c>
      <c r="AW7956" t="s">
        <v>46879</v>
      </c>
      <c r="AX7956" t="s">
        <v>46897</v>
      </c>
    </row>
    <row r="7957" spans="1:50">
      <c r="A7957" s="1">
        <f>HYPERLINK("https://lsnyc.legalserver.org/matter/dynamic-profile/view/1899244","19-1899244")</f>
        <v>0</v>
      </c>
      <c r="B7957" t="s">
        <v>84</v>
      </c>
      <c r="C7957" t="s">
        <v>340</v>
      </c>
      <c r="D7957" t="s">
        <v>815</v>
      </c>
      <c r="F7957" t="s">
        <v>1092</v>
      </c>
      <c r="G7957" t="s">
        <v>5173</v>
      </c>
      <c r="H7957" t="s">
        <v>12541</v>
      </c>
      <c r="I7957" t="s">
        <v>17274</v>
      </c>
      <c r="J7957" t="s">
        <v>18893</v>
      </c>
      <c r="K7957">
        <v>10026</v>
      </c>
      <c r="L7957" t="s">
        <v>18958</v>
      </c>
      <c r="M7957" t="s">
        <v>18960</v>
      </c>
      <c r="N7957" t="s">
        <v>24655</v>
      </c>
      <c r="O7957" t="s">
        <v>26523</v>
      </c>
      <c r="P7957" t="s">
        <v>26560</v>
      </c>
      <c r="R7957" t="s">
        <v>26580</v>
      </c>
      <c r="S7957" t="s">
        <v>18959</v>
      </c>
      <c r="U7957" t="s">
        <v>26604</v>
      </c>
      <c r="V7957" t="s">
        <v>26610</v>
      </c>
      <c r="W7957" t="s">
        <v>815</v>
      </c>
      <c r="X7957">
        <v>824</v>
      </c>
      <c r="Y7957" t="s">
        <v>26651</v>
      </c>
      <c r="Z7957" t="s">
        <v>26668</v>
      </c>
      <c r="AB7957" t="s">
        <v>32551</v>
      </c>
      <c r="AD7957" t="s">
        <v>43026</v>
      </c>
      <c r="AE7957">
        <v>0</v>
      </c>
      <c r="AF7957" t="s">
        <v>45541</v>
      </c>
      <c r="AG7957" t="s">
        <v>19330</v>
      </c>
      <c r="AH7957">
        <v>20</v>
      </c>
      <c r="AI7957">
        <v>2</v>
      </c>
      <c r="AJ7957">
        <v>2</v>
      </c>
      <c r="AK7957">
        <v>155.34</v>
      </c>
      <c r="AN7957" t="s">
        <v>7439</v>
      </c>
      <c r="AO7957">
        <v>40000</v>
      </c>
      <c r="AU7957">
        <v>3.2</v>
      </c>
      <c r="AV7957" t="s">
        <v>838</v>
      </c>
      <c r="AW7957" t="s">
        <v>314</v>
      </c>
    </row>
    <row r="7958" spans="1:50">
      <c r="A7958" s="1">
        <f>HYPERLINK("https://lsnyc.legalserver.org/matter/dynamic-profile/view/1899273","19-1899273")</f>
        <v>0</v>
      </c>
      <c r="B7958" t="s">
        <v>191</v>
      </c>
      <c r="C7958" t="s">
        <v>340</v>
      </c>
      <c r="D7958" t="s">
        <v>815</v>
      </c>
      <c r="F7958" t="s">
        <v>2086</v>
      </c>
      <c r="G7958" t="s">
        <v>2749</v>
      </c>
      <c r="H7958" t="s">
        <v>12779</v>
      </c>
      <c r="I7958">
        <v>20</v>
      </c>
      <c r="J7958" t="s">
        <v>18893</v>
      </c>
      <c r="K7958">
        <v>10027</v>
      </c>
      <c r="L7958" t="s">
        <v>18960</v>
      </c>
      <c r="M7958" t="s">
        <v>18960</v>
      </c>
      <c r="N7958" t="s">
        <v>24656</v>
      </c>
      <c r="O7958" t="s">
        <v>26523</v>
      </c>
      <c r="R7958" t="s">
        <v>26580</v>
      </c>
      <c r="S7958" t="s">
        <v>18959</v>
      </c>
      <c r="U7958" t="s">
        <v>26604</v>
      </c>
      <c r="W7958" t="s">
        <v>815</v>
      </c>
      <c r="X7958">
        <v>1020</v>
      </c>
      <c r="Y7958" t="s">
        <v>26651</v>
      </c>
      <c r="Z7958" t="s">
        <v>26664</v>
      </c>
      <c r="AB7958" t="s">
        <v>29518</v>
      </c>
      <c r="AD7958" t="s">
        <v>43027</v>
      </c>
      <c r="AE7958">
        <v>22</v>
      </c>
      <c r="AF7958" t="s">
        <v>20460</v>
      </c>
      <c r="AH7958">
        <v>15</v>
      </c>
      <c r="AI7958">
        <v>3</v>
      </c>
      <c r="AJ7958">
        <v>0</v>
      </c>
      <c r="AK7958">
        <v>292.55</v>
      </c>
      <c r="AN7958" t="s">
        <v>45581</v>
      </c>
      <c r="AO7958">
        <v>62400</v>
      </c>
      <c r="AU7958">
        <v>3</v>
      </c>
      <c r="AV7958" t="s">
        <v>835</v>
      </c>
      <c r="AW7958" t="s">
        <v>46879</v>
      </c>
      <c r="AX7958" t="s">
        <v>46897</v>
      </c>
    </row>
    <row r="7959" spans="1:50">
      <c r="A7959" s="1">
        <f>HYPERLINK("https://lsnyc.legalserver.org/matter/dynamic-profile/view/1899237","19-1899237")</f>
        <v>0</v>
      </c>
      <c r="B7959" t="s">
        <v>214</v>
      </c>
      <c r="C7959" t="s">
        <v>340</v>
      </c>
      <c r="D7959" t="s">
        <v>815</v>
      </c>
      <c r="F7959" t="s">
        <v>4120</v>
      </c>
      <c r="G7959" t="s">
        <v>8515</v>
      </c>
      <c r="H7959" t="s">
        <v>15071</v>
      </c>
      <c r="I7959" t="s">
        <v>17331</v>
      </c>
      <c r="J7959" t="s">
        <v>18899</v>
      </c>
      <c r="K7959">
        <v>11385</v>
      </c>
      <c r="L7959" t="s">
        <v>18958</v>
      </c>
      <c r="M7959" t="s">
        <v>18960</v>
      </c>
      <c r="N7959" t="s">
        <v>24657</v>
      </c>
      <c r="O7959" t="s">
        <v>26523</v>
      </c>
      <c r="P7959" t="s">
        <v>26560</v>
      </c>
      <c r="R7959" t="s">
        <v>26585</v>
      </c>
      <c r="S7959" t="s">
        <v>18959</v>
      </c>
      <c r="U7959" t="s">
        <v>26604</v>
      </c>
      <c r="V7959" t="s">
        <v>26610</v>
      </c>
      <c r="W7959" t="s">
        <v>815</v>
      </c>
      <c r="X7959">
        <v>2004</v>
      </c>
      <c r="Y7959" t="s">
        <v>26653</v>
      </c>
      <c r="Z7959" t="s">
        <v>26668</v>
      </c>
      <c r="AB7959" t="s">
        <v>32552</v>
      </c>
      <c r="AC7959" t="s">
        <v>35263</v>
      </c>
      <c r="AD7959" t="s">
        <v>43028</v>
      </c>
      <c r="AE7959">
        <v>8</v>
      </c>
      <c r="AF7959" t="s">
        <v>45541</v>
      </c>
      <c r="AG7959" t="s">
        <v>19330</v>
      </c>
      <c r="AH7959">
        <v>2</v>
      </c>
      <c r="AI7959">
        <v>1</v>
      </c>
      <c r="AJ7959">
        <v>0</v>
      </c>
      <c r="AK7959">
        <v>92.43000000000001</v>
      </c>
      <c r="AN7959" t="s">
        <v>7439</v>
      </c>
      <c r="AO7959">
        <v>11544</v>
      </c>
      <c r="AU7959">
        <v>13.55</v>
      </c>
      <c r="AV7959" t="s">
        <v>839</v>
      </c>
      <c r="AW7959" t="s">
        <v>46841</v>
      </c>
      <c r="AX7959" t="s">
        <v>46897</v>
      </c>
    </row>
    <row r="7960" spans="1:50">
      <c r="A7960" s="1">
        <f>HYPERLINK("https://lsnyc.legalserver.org/matter/dynamic-profile/view/1899275","19-1899275")</f>
        <v>0</v>
      </c>
      <c r="B7960" t="s">
        <v>103</v>
      </c>
      <c r="C7960" t="s">
        <v>340</v>
      </c>
      <c r="D7960" t="s">
        <v>815</v>
      </c>
      <c r="F7960" t="s">
        <v>2151</v>
      </c>
      <c r="G7960" t="s">
        <v>4593</v>
      </c>
      <c r="H7960" t="s">
        <v>15072</v>
      </c>
      <c r="I7960" t="s">
        <v>17416</v>
      </c>
      <c r="J7960" t="s">
        <v>18902</v>
      </c>
      <c r="K7960">
        <v>10304</v>
      </c>
      <c r="L7960" t="s">
        <v>18958</v>
      </c>
      <c r="M7960" t="s">
        <v>18960</v>
      </c>
      <c r="N7960" t="s">
        <v>24658</v>
      </c>
      <c r="O7960" t="s">
        <v>26524</v>
      </c>
      <c r="P7960" t="s">
        <v>26560</v>
      </c>
      <c r="R7960" t="s">
        <v>26589</v>
      </c>
      <c r="S7960" t="s">
        <v>18959</v>
      </c>
      <c r="U7960" t="s">
        <v>26604</v>
      </c>
      <c r="V7960" t="s">
        <v>26610</v>
      </c>
      <c r="W7960" t="s">
        <v>815</v>
      </c>
      <c r="X7960">
        <v>430</v>
      </c>
      <c r="Y7960" t="s">
        <v>26654</v>
      </c>
      <c r="Z7960" t="s">
        <v>26671</v>
      </c>
      <c r="AB7960" t="s">
        <v>32553</v>
      </c>
      <c r="AD7960" t="s">
        <v>43029</v>
      </c>
      <c r="AE7960">
        <v>2</v>
      </c>
      <c r="AF7960" t="s">
        <v>45547</v>
      </c>
      <c r="AG7960" t="s">
        <v>19330</v>
      </c>
      <c r="AH7960">
        <v>0</v>
      </c>
      <c r="AI7960">
        <v>1</v>
      </c>
      <c r="AJ7960">
        <v>1</v>
      </c>
      <c r="AK7960">
        <v>0</v>
      </c>
      <c r="AL7960" t="s">
        <v>45567</v>
      </c>
      <c r="AM7960" t="s">
        <v>45577</v>
      </c>
      <c r="AN7960" t="s">
        <v>7439</v>
      </c>
      <c r="AO7960">
        <v>0</v>
      </c>
      <c r="AU7960">
        <v>3.4</v>
      </c>
      <c r="AV7960" t="s">
        <v>832</v>
      </c>
      <c r="AW7960" t="s">
        <v>103</v>
      </c>
      <c r="AX7960" t="s">
        <v>46897</v>
      </c>
    </row>
    <row r="7961" spans="1:50">
      <c r="A7961" s="1">
        <f>HYPERLINK("https://lsnyc.legalserver.org/matter/dynamic-profile/view/1899235","19-1899235")</f>
        <v>0</v>
      </c>
      <c r="B7961" t="s">
        <v>86</v>
      </c>
      <c r="C7961" t="s">
        <v>340</v>
      </c>
      <c r="D7961" t="s">
        <v>815</v>
      </c>
      <c r="F7961" t="s">
        <v>1228</v>
      </c>
      <c r="G7961" t="s">
        <v>7176</v>
      </c>
      <c r="H7961" t="s">
        <v>9713</v>
      </c>
      <c r="I7961">
        <v>34</v>
      </c>
      <c r="J7961" t="s">
        <v>18893</v>
      </c>
      <c r="K7961">
        <v>10031</v>
      </c>
      <c r="L7961" t="s">
        <v>18958</v>
      </c>
      <c r="M7961" t="s">
        <v>18960</v>
      </c>
      <c r="N7961" t="s">
        <v>24659</v>
      </c>
      <c r="O7961" t="s">
        <v>26523</v>
      </c>
      <c r="P7961" t="s">
        <v>26560</v>
      </c>
      <c r="R7961" t="s">
        <v>26580</v>
      </c>
      <c r="S7961" t="s">
        <v>18958</v>
      </c>
      <c r="U7961" t="s">
        <v>26604</v>
      </c>
      <c r="W7961" t="s">
        <v>815</v>
      </c>
      <c r="X7961">
        <v>922</v>
      </c>
      <c r="Y7961" t="s">
        <v>26651</v>
      </c>
      <c r="Z7961" t="s">
        <v>26664</v>
      </c>
      <c r="AB7961" t="s">
        <v>27550</v>
      </c>
      <c r="AD7961" t="s">
        <v>42035</v>
      </c>
      <c r="AE7961">
        <v>39</v>
      </c>
      <c r="AF7961" t="s">
        <v>20460</v>
      </c>
      <c r="AH7961">
        <v>35</v>
      </c>
      <c r="AI7961">
        <v>4</v>
      </c>
      <c r="AJ7961">
        <v>1</v>
      </c>
      <c r="AK7961">
        <v>99.98999999999999</v>
      </c>
      <c r="AN7961" t="s">
        <v>45581</v>
      </c>
      <c r="AO7961">
        <v>30168</v>
      </c>
      <c r="AU7961">
        <v>3.7</v>
      </c>
      <c r="AV7961" t="s">
        <v>836</v>
      </c>
      <c r="AW7961" t="s">
        <v>46879</v>
      </c>
      <c r="AX7961" t="s">
        <v>46897</v>
      </c>
    </row>
    <row r="7962" spans="1:50">
      <c r="A7962" s="1">
        <f>HYPERLINK("https://lsnyc.legalserver.org/matter/dynamic-profile/view/1899292","19-1899292")</f>
        <v>0</v>
      </c>
      <c r="B7962" t="s">
        <v>59</v>
      </c>
      <c r="C7962" t="s">
        <v>340</v>
      </c>
      <c r="D7962" t="s">
        <v>815</v>
      </c>
      <c r="F7962" t="s">
        <v>1527</v>
      </c>
      <c r="G7962" t="s">
        <v>6885</v>
      </c>
      <c r="H7962" t="s">
        <v>14766</v>
      </c>
      <c r="I7962" t="s">
        <v>18520</v>
      </c>
      <c r="J7962" t="s">
        <v>18893</v>
      </c>
      <c r="K7962">
        <v>10027</v>
      </c>
      <c r="L7962" t="s">
        <v>18958</v>
      </c>
      <c r="M7962" t="s">
        <v>18960</v>
      </c>
      <c r="N7962" t="s">
        <v>24660</v>
      </c>
      <c r="O7962" t="s">
        <v>26523</v>
      </c>
      <c r="P7962" t="s">
        <v>26560</v>
      </c>
      <c r="R7962" t="s">
        <v>26580</v>
      </c>
      <c r="S7962" t="s">
        <v>18959</v>
      </c>
      <c r="U7962" t="s">
        <v>26605</v>
      </c>
      <c r="W7962" t="s">
        <v>815</v>
      </c>
      <c r="X7962">
        <v>246</v>
      </c>
      <c r="Y7962" t="s">
        <v>26651</v>
      </c>
      <c r="Z7962" t="s">
        <v>26664</v>
      </c>
      <c r="AB7962" t="s">
        <v>32554</v>
      </c>
      <c r="AC7962" t="s">
        <v>36436</v>
      </c>
      <c r="AD7962" t="s">
        <v>43030</v>
      </c>
      <c r="AE7962">
        <v>132</v>
      </c>
      <c r="AF7962" t="s">
        <v>45549</v>
      </c>
      <c r="AH7962">
        <v>22</v>
      </c>
      <c r="AI7962">
        <v>1</v>
      </c>
      <c r="AJ7962">
        <v>0</v>
      </c>
      <c r="AK7962">
        <v>81.86</v>
      </c>
      <c r="AN7962" t="s">
        <v>7439</v>
      </c>
      <c r="AO7962">
        <v>10224</v>
      </c>
      <c r="AU7962">
        <v>5.1</v>
      </c>
      <c r="AV7962" t="s">
        <v>838</v>
      </c>
      <c r="AW7962" t="s">
        <v>46879</v>
      </c>
      <c r="AX7962" t="s">
        <v>46897</v>
      </c>
    </row>
    <row r="7963" spans="1:50">
      <c r="A7963" s="1">
        <f>HYPERLINK("https://lsnyc.legalserver.org/matter/dynamic-profile/view/1899227","19-1899227")</f>
        <v>0</v>
      </c>
      <c r="B7963" t="s">
        <v>59</v>
      </c>
      <c r="C7963" t="s">
        <v>340</v>
      </c>
      <c r="D7963" t="s">
        <v>815</v>
      </c>
      <c r="F7963" t="s">
        <v>1858</v>
      </c>
      <c r="G7963" t="s">
        <v>8516</v>
      </c>
      <c r="H7963" t="s">
        <v>10977</v>
      </c>
      <c r="I7963" t="s">
        <v>18521</v>
      </c>
      <c r="J7963" t="s">
        <v>18893</v>
      </c>
      <c r="K7963">
        <v>10027</v>
      </c>
      <c r="L7963" t="s">
        <v>18960</v>
      </c>
      <c r="M7963" t="s">
        <v>18960</v>
      </c>
      <c r="N7963" t="s">
        <v>24661</v>
      </c>
      <c r="O7963" t="s">
        <v>26523</v>
      </c>
      <c r="P7963" t="s">
        <v>26560</v>
      </c>
      <c r="R7963" t="s">
        <v>26580</v>
      </c>
      <c r="S7963" t="s">
        <v>18958</v>
      </c>
      <c r="U7963" t="s">
        <v>26604</v>
      </c>
      <c r="W7963" t="s">
        <v>815</v>
      </c>
      <c r="X7963">
        <v>712.1799999999999</v>
      </c>
      <c r="Y7963" t="s">
        <v>26651</v>
      </c>
      <c r="Z7963" t="s">
        <v>26664</v>
      </c>
      <c r="AB7963" t="s">
        <v>29970</v>
      </c>
      <c r="AD7963" t="s">
        <v>43031</v>
      </c>
      <c r="AE7963">
        <v>0</v>
      </c>
      <c r="AF7963" t="s">
        <v>20460</v>
      </c>
      <c r="AH7963">
        <v>3</v>
      </c>
      <c r="AI7963">
        <v>1</v>
      </c>
      <c r="AJ7963">
        <v>0</v>
      </c>
      <c r="AK7963">
        <v>141.04</v>
      </c>
      <c r="AN7963" t="s">
        <v>7439</v>
      </c>
      <c r="AO7963">
        <v>17616</v>
      </c>
      <c r="AU7963">
        <v>3.55</v>
      </c>
      <c r="AV7963" t="s">
        <v>836</v>
      </c>
      <c r="AW7963" t="s">
        <v>46879</v>
      </c>
      <c r="AX7963" t="s">
        <v>46897</v>
      </c>
    </row>
    <row r="7964" spans="1:50">
      <c r="A7964" s="1">
        <f>HYPERLINK("https://lsnyc.legalserver.org/matter/dynamic-profile/view/1899192","19-1899192")</f>
        <v>0</v>
      </c>
      <c r="B7964" t="s">
        <v>59</v>
      </c>
      <c r="C7964" t="s">
        <v>340</v>
      </c>
      <c r="D7964" t="s">
        <v>815</v>
      </c>
      <c r="F7964" t="s">
        <v>4121</v>
      </c>
      <c r="G7964" t="s">
        <v>1725</v>
      </c>
      <c r="H7964" t="s">
        <v>15073</v>
      </c>
      <c r="I7964" t="s">
        <v>17301</v>
      </c>
      <c r="J7964" t="s">
        <v>18893</v>
      </c>
      <c r="K7964">
        <v>10031</v>
      </c>
      <c r="L7964" t="s">
        <v>18958</v>
      </c>
      <c r="M7964" t="s">
        <v>18960</v>
      </c>
      <c r="N7964" t="s">
        <v>24662</v>
      </c>
      <c r="O7964" t="s">
        <v>26524</v>
      </c>
      <c r="P7964" t="s">
        <v>26560</v>
      </c>
      <c r="R7964" t="s">
        <v>26580</v>
      </c>
      <c r="S7964" t="s">
        <v>18959</v>
      </c>
      <c r="U7964" t="s">
        <v>26604</v>
      </c>
      <c r="V7964" t="s">
        <v>26610</v>
      </c>
      <c r="W7964" t="s">
        <v>815</v>
      </c>
      <c r="X7964">
        <v>600</v>
      </c>
      <c r="Y7964" t="s">
        <v>26651</v>
      </c>
      <c r="Z7964" t="s">
        <v>26664</v>
      </c>
      <c r="AB7964" t="s">
        <v>32555</v>
      </c>
      <c r="AD7964" t="s">
        <v>43032</v>
      </c>
      <c r="AE7964">
        <v>0</v>
      </c>
      <c r="AF7964" t="s">
        <v>20460</v>
      </c>
      <c r="AG7964" t="s">
        <v>19330</v>
      </c>
      <c r="AH7964">
        <v>7</v>
      </c>
      <c r="AI7964">
        <v>3</v>
      </c>
      <c r="AJ7964">
        <v>0</v>
      </c>
      <c r="AK7964">
        <v>191.75</v>
      </c>
      <c r="AN7964" t="s">
        <v>45581</v>
      </c>
      <c r="AO7964">
        <v>40900</v>
      </c>
      <c r="AU7964">
        <v>0.35</v>
      </c>
      <c r="AV7964" t="s">
        <v>830</v>
      </c>
      <c r="AW7964" t="s">
        <v>314</v>
      </c>
    </row>
    <row r="7965" spans="1:50">
      <c r="A7965" s="1">
        <f>HYPERLINK("https://lsnyc.legalserver.org/matter/dynamic-profile/view/1899421","19-1899421")</f>
        <v>0</v>
      </c>
      <c r="B7965" t="s">
        <v>275</v>
      </c>
      <c r="C7965" t="s">
        <v>340</v>
      </c>
      <c r="D7965" t="s">
        <v>815</v>
      </c>
      <c r="F7965" t="s">
        <v>895</v>
      </c>
      <c r="G7965" t="s">
        <v>5244</v>
      </c>
      <c r="H7965" t="s">
        <v>15074</v>
      </c>
      <c r="I7965" t="s">
        <v>17282</v>
      </c>
      <c r="J7965" t="s">
        <v>18892</v>
      </c>
      <c r="K7965">
        <v>10468</v>
      </c>
      <c r="L7965" t="s">
        <v>18958</v>
      </c>
      <c r="M7965" t="s">
        <v>18960</v>
      </c>
      <c r="N7965" t="s">
        <v>24663</v>
      </c>
      <c r="O7965" t="s">
        <v>26524</v>
      </c>
      <c r="P7965" t="s">
        <v>26560</v>
      </c>
      <c r="R7965" t="s">
        <v>26579</v>
      </c>
      <c r="S7965" t="s">
        <v>18959</v>
      </c>
      <c r="U7965" t="s">
        <v>26604</v>
      </c>
      <c r="W7965" t="s">
        <v>815</v>
      </c>
      <c r="X7965">
        <v>1370</v>
      </c>
      <c r="Y7965" t="s">
        <v>26650</v>
      </c>
      <c r="Z7965" t="s">
        <v>26664</v>
      </c>
      <c r="AB7965" t="s">
        <v>32556</v>
      </c>
      <c r="AD7965" t="s">
        <v>43033</v>
      </c>
      <c r="AE7965">
        <v>56</v>
      </c>
      <c r="AF7965" t="s">
        <v>45541</v>
      </c>
      <c r="AG7965" t="s">
        <v>19330</v>
      </c>
      <c r="AH7965">
        <v>1</v>
      </c>
      <c r="AI7965">
        <v>1</v>
      </c>
      <c r="AJ7965">
        <v>3</v>
      </c>
      <c r="AK7965">
        <v>57.88</v>
      </c>
      <c r="AN7965" t="s">
        <v>7439</v>
      </c>
      <c r="AO7965">
        <v>14904</v>
      </c>
      <c r="AU7965">
        <v>8.5</v>
      </c>
      <c r="AV7965" t="s">
        <v>826</v>
      </c>
      <c r="AW7965" t="s">
        <v>336</v>
      </c>
      <c r="AX7965" t="s">
        <v>46897</v>
      </c>
    </row>
    <row r="7966" spans="1:50">
      <c r="A7966" s="1">
        <f>HYPERLINK("https://lsnyc.legalserver.org/matter/dynamic-profile/view/1899309","19-1899309")</f>
        <v>0</v>
      </c>
      <c r="B7966" t="s">
        <v>133</v>
      </c>
      <c r="C7966" t="s">
        <v>340</v>
      </c>
      <c r="D7966" t="s">
        <v>816</v>
      </c>
      <c r="F7966" t="s">
        <v>1288</v>
      </c>
      <c r="G7966" t="s">
        <v>8517</v>
      </c>
      <c r="H7966" t="s">
        <v>10762</v>
      </c>
      <c r="I7966" t="s">
        <v>17410</v>
      </c>
      <c r="J7966" t="s">
        <v>18892</v>
      </c>
      <c r="K7966">
        <v>10467</v>
      </c>
      <c r="L7966" t="s">
        <v>18958</v>
      </c>
      <c r="M7966" t="s">
        <v>18960</v>
      </c>
      <c r="N7966" t="s">
        <v>24664</v>
      </c>
      <c r="O7966" t="s">
        <v>26523</v>
      </c>
      <c r="P7966" t="s">
        <v>26560</v>
      </c>
      <c r="R7966" t="s">
        <v>26579</v>
      </c>
      <c r="S7966" t="s">
        <v>18959</v>
      </c>
      <c r="U7966" t="s">
        <v>26604</v>
      </c>
      <c r="V7966" t="s">
        <v>26610</v>
      </c>
      <c r="W7966" t="s">
        <v>815</v>
      </c>
      <c r="X7966">
        <v>1307</v>
      </c>
      <c r="Y7966" t="s">
        <v>26650</v>
      </c>
      <c r="Z7966" t="s">
        <v>26664</v>
      </c>
      <c r="AB7966" t="s">
        <v>32557</v>
      </c>
      <c r="AD7966" t="s">
        <v>43034</v>
      </c>
      <c r="AE7966">
        <v>135</v>
      </c>
      <c r="AF7966" t="s">
        <v>45541</v>
      </c>
      <c r="AG7966" t="s">
        <v>45556</v>
      </c>
      <c r="AH7966">
        <v>3</v>
      </c>
      <c r="AI7966">
        <v>3</v>
      </c>
      <c r="AJ7966">
        <v>0</v>
      </c>
      <c r="AK7966">
        <v>43.38</v>
      </c>
      <c r="AN7966" t="s">
        <v>7439</v>
      </c>
      <c r="AO7966">
        <v>9252</v>
      </c>
      <c r="AU7966">
        <v>5.5</v>
      </c>
      <c r="AV7966" t="s">
        <v>832</v>
      </c>
      <c r="AW7966" t="s">
        <v>335</v>
      </c>
      <c r="AX7966" t="s">
        <v>46897</v>
      </c>
    </row>
    <row r="7967" spans="1:50">
      <c r="A7967" s="1">
        <f>HYPERLINK("https://lsnyc.legalserver.org/matter/dynamic-profile/view/1899529","19-1899529")</f>
        <v>0</v>
      </c>
      <c r="B7967" t="s">
        <v>282</v>
      </c>
      <c r="C7967" t="s">
        <v>340</v>
      </c>
      <c r="D7967" t="s">
        <v>817</v>
      </c>
      <c r="F7967" t="s">
        <v>1256</v>
      </c>
      <c r="G7967" t="s">
        <v>7788</v>
      </c>
      <c r="H7967" t="s">
        <v>15075</v>
      </c>
      <c r="I7967">
        <v>3</v>
      </c>
      <c r="J7967" t="s">
        <v>18932</v>
      </c>
      <c r="K7967">
        <v>11385</v>
      </c>
      <c r="L7967" t="s">
        <v>18958</v>
      </c>
      <c r="M7967" t="s">
        <v>18960</v>
      </c>
      <c r="N7967" t="s">
        <v>24665</v>
      </c>
      <c r="O7967" t="s">
        <v>26524</v>
      </c>
      <c r="P7967" t="s">
        <v>26560</v>
      </c>
      <c r="R7967" t="s">
        <v>26585</v>
      </c>
      <c r="S7967" t="s">
        <v>18959</v>
      </c>
      <c r="U7967" t="s">
        <v>26604</v>
      </c>
      <c r="V7967" t="s">
        <v>26610</v>
      </c>
      <c r="W7967" t="s">
        <v>815</v>
      </c>
      <c r="X7967">
        <v>1268</v>
      </c>
      <c r="Y7967" t="s">
        <v>26653</v>
      </c>
      <c r="Z7967" t="s">
        <v>26668</v>
      </c>
      <c r="AB7967" t="s">
        <v>27463</v>
      </c>
      <c r="AE7967">
        <v>3</v>
      </c>
      <c r="AF7967" t="s">
        <v>45547</v>
      </c>
      <c r="AH7967">
        <v>3</v>
      </c>
      <c r="AI7967">
        <v>1</v>
      </c>
      <c r="AJ7967">
        <v>1</v>
      </c>
      <c r="AK7967">
        <v>0</v>
      </c>
      <c r="AN7967" t="s">
        <v>7439</v>
      </c>
      <c r="AO7967">
        <v>0</v>
      </c>
      <c r="AU7967">
        <v>16.07</v>
      </c>
      <c r="AV7967" t="s">
        <v>836</v>
      </c>
      <c r="AW7967" t="s">
        <v>282</v>
      </c>
      <c r="AX7967" t="s">
        <v>46897</v>
      </c>
    </row>
    <row r="7968" spans="1:50">
      <c r="A7968" s="1">
        <f>HYPERLINK("https://lsnyc.legalserver.org/matter/dynamic-profile/view/1899532","19-1899532")</f>
        <v>0</v>
      </c>
      <c r="B7968" t="s">
        <v>282</v>
      </c>
      <c r="C7968" t="s">
        <v>340</v>
      </c>
      <c r="D7968" t="s">
        <v>817</v>
      </c>
      <c r="F7968" t="s">
        <v>4122</v>
      </c>
      <c r="G7968" t="s">
        <v>8518</v>
      </c>
      <c r="H7968" t="s">
        <v>15076</v>
      </c>
      <c r="J7968" t="s">
        <v>18932</v>
      </c>
      <c r="K7968">
        <v>11385</v>
      </c>
      <c r="L7968" t="s">
        <v>18958</v>
      </c>
      <c r="M7968" t="s">
        <v>18960</v>
      </c>
      <c r="N7968" t="s">
        <v>24666</v>
      </c>
      <c r="O7968" t="s">
        <v>26523</v>
      </c>
      <c r="P7968" t="s">
        <v>26560</v>
      </c>
      <c r="R7968" t="s">
        <v>26585</v>
      </c>
      <c r="S7968" t="s">
        <v>18959</v>
      </c>
      <c r="U7968" t="s">
        <v>26604</v>
      </c>
      <c r="V7968" t="s">
        <v>26610</v>
      </c>
      <c r="W7968" t="s">
        <v>815</v>
      </c>
      <c r="X7968">
        <v>0</v>
      </c>
      <c r="Y7968" t="s">
        <v>26653</v>
      </c>
      <c r="Z7968" t="s">
        <v>26668</v>
      </c>
      <c r="AB7968" t="s">
        <v>32558</v>
      </c>
      <c r="AE7968">
        <v>6</v>
      </c>
      <c r="AF7968" t="s">
        <v>45541</v>
      </c>
      <c r="AG7968" t="s">
        <v>45559</v>
      </c>
      <c r="AH7968">
        <v>10</v>
      </c>
      <c r="AI7968">
        <v>1</v>
      </c>
      <c r="AJ7968">
        <v>0</v>
      </c>
      <c r="AK7968">
        <v>0</v>
      </c>
      <c r="AN7968" t="s">
        <v>7439</v>
      </c>
      <c r="AO7968">
        <v>0</v>
      </c>
      <c r="AR7968" t="s">
        <v>46379</v>
      </c>
      <c r="AS7968" t="s">
        <v>46499</v>
      </c>
      <c r="AT7968" t="s">
        <v>46808</v>
      </c>
      <c r="AU7968">
        <v>8.9</v>
      </c>
      <c r="AV7968" t="s">
        <v>836</v>
      </c>
      <c r="AW7968" t="s">
        <v>282</v>
      </c>
      <c r="AX7968" t="s">
        <v>46897</v>
      </c>
    </row>
    <row r="7969" spans="1:50">
      <c r="A7969" s="1">
        <f>HYPERLINK("https://lsnyc.legalserver.org/matter/dynamic-profile/view/1899466","19-1899466")</f>
        <v>0</v>
      </c>
      <c r="B7969" t="s">
        <v>122</v>
      </c>
      <c r="C7969" t="s">
        <v>340</v>
      </c>
      <c r="D7969" t="s">
        <v>817</v>
      </c>
      <c r="F7969" t="s">
        <v>1049</v>
      </c>
      <c r="G7969" t="s">
        <v>7916</v>
      </c>
      <c r="H7969" t="s">
        <v>15064</v>
      </c>
      <c r="I7969" t="s">
        <v>17334</v>
      </c>
      <c r="J7969" t="s">
        <v>18901</v>
      </c>
      <c r="K7969">
        <v>11434</v>
      </c>
      <c r="L7969" t="s">
        <v>18958</v>
      </c>
      <c r="M7969" t="s">
        <v>18960</v>
      </c>
      <c r="N7969" t="s">
        <v>24667</v>
      </c>
      <c r="O7969" t="s">
        <v>26523</v>
      </c>
      <c r="R7969" t="s">
        <v>26585</v>
      </c>
      <c r="S7969" t="s">
        <v>18959</v>
      </c>
      <c r="U7969" t="s">
        <v>26604</v>
      </c>
      <c r="W7969" t="s">
        <v>815</v>
      </c>
      <c r="X7969">
        <v>1500</v>
      </c>
      <c r="Y7969" t="s">
        <v>26653</v>
      </c>
      <c r="AB7969" t="s">
        <v>32559</v>
      </c>
      <c r="AC7969" t="s">
        <v>36437</v>
      </c>
      <c r="AD7969" t="s">
        <v>43035</v>
      </c>
      <c r="AE7969">
        <v>4</v>
      </c>
      <c r="AF7969" t="s">
        <v>45547</v>
      </c>
      <c r="AH7969">
        <v>2</v>
      </c>
      <c r="AI7969">
        <v>1</v>
      </c>
      <c r="AJ7969">
        <v>2</v>
      </c>
      <c r="AK7969">
        <v>0</v>
      </c>
      <c r="AN7969" t="s">
        <v>7439</v>
      </c>
      <c r="AO7969">
        <v>0</v>
      </c>
      <c r="AU7969">
        <v>20.6</v>
      </c>
      <c r="AV7969" t="s">
        <v>821</v>
      </c>
      <c r="AW7969" t="s">
        <v>122</v>
      </c>
      <c r="AX7969" t="s">
        <v>46897</v>
      </c>
    </row>
    <row r="7970" spans="1:50">
      <c r="A7970" s="1">
        <f>HYPERLINK("https://lsnyc.legalserver.org/matter/dynamic-profile/view/1899481","19-1899481")</f>
        <v>0</v>
      </c>
      <c r="B7970" t="s">
        <v>122</v>
      </c>
      <c r="C7970" t="s">
        <v>340</v>
      </c>
      <c r="D7970" t="s">
        <v>817</v>
      </c>
      <c r="F7970" t="s">
        <v>4123</v>
      </c>
      <c r="G7970" t="s">
        <v>5173</v>
      </c>
      <c r="H7970" t="s">
        <v>14353</v>
      </c>
      <c r="I7970">
        <v>510</v>
      </c>
      <c r="J7970" t="s">
        <v>18906</v>
      </c>
      <c r="K7970">
        <v>11373</v>
      </c>
      <c r="L7970" t="s">
        <v>18958</v>
      </c>
      <c r="M7970" t="s">
        <v>18960</v>
      </c>
      <c r="N7970" t="s">
        <v>24668</v>
      </c>
      <c r="O7970" t="s">
        <v>26523</v>
      </c>
      <c r="P7970" t="s">
        <v>26560</v>
      </c>
      <c r="R7970" t="s">
        <v>26585</v>
      </c>
      <c r="S7970" t="s">
        <v>18959</v>
      </c>
      <c r="U7970" t="s">
        <v>26604</v>
      </c>
      <c r="V7970" t="s">
        <v>26610</v>
      </c>
      <c r="W7970" t="s">
        <v>815</v>
      </c>
      <c r="X7970">
        <v>1783.45</v>
      </c>
      <c r="Y7970" t="s">
        <v>26653</v>
      </c>
      <c r="AB7970" t="s">
        <v>31173</v>
      </c>
      <c r="AD7970" t="s">
        <v>43036</v>
      </c>
      <c r="AE7970">
        <v>200</v>
      </c>
      <c r="AG7970" t="s">
        <v>19330</v>
      </c>
      <c r="AH7970">
        <v>4</v>
      </c>
      <c r="AI7970">
        <v>1</v>
      </c>
      <c r="AJ7970">
        <v>0</v>
      </c>
      <c r="AK7970">
        <v>208.17</v>
      </c>
      <c r="AN7970" t="s">
        <v>7439</v>
      </c>
      <c r="AO7970">
        <v>26000</v>
      </c>
      <c r="AU7970">
        <v>13.3</v>
      </c>
      <c r="AV7970" t="s">
        <v>772</v>
      </c>
      <c r="AW7970" t="s">
        <v>122</v>
      </c>
      <c r="AX7970" t="s">
        <v>46897</v>
      </c>
    </row>
    <row r="7971" spans="1:50">
      <c r="A7971" s="1">
        <f>HYPERLINK("https://lsnyc.legalserver.org/matter/dynamic-profile/view/1900516","19-1900516")</f>
        <v>0</v>
      </c>
      <c r="B7971" t="s">
        <v>119</v>
      </c>
      <c r="C7971" t="s">
        <v>341</v>
      </c>
      <c r="D7971" t="s">
        <v>806</v>
      </c>
      <c r="E7971" t="s">
        <v>832</v>
      </c>
      <c r="F7971" t="s">
        <v>4124</v>
      </c>
      <c r="G7971" t="s">
        <v>8519</v>
      </c>
      <c r="H7971" t="s">
        <v>9838</v>
      </c>
      <c r="I7971" t="s">
        <v>17355</v>
      </c>
      <c r="J7971" t="s">
        <v>18893</v>
      </c>
      <c r="K7971">
        <v>10035</v>
      </c>
      <c r="L7971" t="s">
        <v>18958</v>
      </c>
      <c r="M7971" t="s">
        <v>18960</v>
      </c>
      <c r="N7971" t="s">
        <v>24669</v>
      </c>
      <c r="O7971" t="s">
        <v>26523</v>
      </c>
      <c r="P7971" t="s">
        <v>26560</v>
      </c>
      <c r="Q7971" t="s">
        <v>26568</v>
      </c>
      <c r="R7971" t="s">
        <v>26578</v>
      </c>
      <c r="S7971" t="s">
        <v>18959</v>
      </c>
      <c r="U7971" t="s">
        <v>26604</v>
      </c>
      <c r="V7971" t="s">
        <v>26610</v>
      </c>
      <c r="W7971" t="s">
        <v>815</v>
      </c>
      <c r="X7971">
        <v>1574.13</v>
      </c>
      <c r="Y7971" t="s">
        <v>26651</v>
      </c>
      <c r="Z7971" t="s">
        <v>26659</v>
      </c>
      <c r="AA7971" t="s">
        <v>26678</v>
      </c>
      <c r="AB7971" t="s">
        <v>32560</v>
      </c>
      <c r="AE7971">
        <v>25</v>
      </c>
      <c r="AF7971" t="s">
        <v>45541</v>
      </c>
      <c r="AG7971" t="s">
        <v>19330</v>
      </c>
      <c r="AH7971">
        <v>19</v>
      </c>
      <c r="AI7971">
        <v>4</v>
      </c>
      <c r="AJ7971">
        <v>0</v>
      </c>
      <c r="AK7971">
        <v>419.42</v>
      </c>
      <c r="AN7971" t="s">
        <v>7439</v>
      </c>
      <c r="AO7971">
        <v>108000</v>
      </c>
      <c r="AQ7971" t="s">
        <v>46362</v>
      </c>
      <c r="AR7971" t="s">
        <v>46400</v>
      </c>
      <c r="AS7971" t="s">
        <v>46499</v>
      </c>
      <c r="AT7971" t="s">
        <v>46800</v>
      </c>
      <c r="AU7971">
        <v>13.75</v>
      </c>
      <c r="AV7971" t="s">
        <v>831</v>
      </c>
      <c r="AW7971" t="s">
        <v>46835</v>
      </c>
      <c r="AX7971" t="s">
        <v>46897</v>
      </c>
    </row>
    <row r="7972" spans="1:50">
      <c r="A7972" s="1">
        <f>HYPERLINK("https://lsnyc.legalserver.org/matter/dynamic-profile/view/1900563","19-1900563")</f>
        <v>0</v>
      </c>
      <c r="B7972" t="s">
        <v>119</v>
      </c>
      <c r="C7972" t="s">
        <v>340</v>
      </c>
      <c r="D7972" t="s">
        <v>806</v>
      </c>
      <c r="F7972" t="s">
        <v>1944</v>
      </c>
      <c r="G7972" t="s">
        <v>5208</v>
      </c>
      <c r="H7972" t="s">
        <v>12891</v>
      </c>
      <c r="I7972" t="s">
        <v>18346</v>
      </c>
      <c r="J7972" t="s">
        <v>18893</v>
      </c>
      <c r="K7972">
        <v>10029</v>
      </c>
      <c r="L7972" t="s">
        <v>18958</v>
      </c>
      <c r="M7972" t="s">
        <v>18960</v>
      </c>
      <c r="O7972" t="s">
        <v>26526</v>
      </c>
      <c r="P7972" t="s">
        <v>26563</v>
      </c>
      <c r="R7972" t="s">
        <v>26578</v>
      </c>
      <c r="S7972" t="s">
        <v>18959</v>
      </c>
      <c r="U7972" t="s">
        <v>26604</v>
      </c>
      <c r="V7972" t="s">
        <v>26610</v>
      </c>
      <c r="W7972" t="s">
        <v>815</v>
      </c>
      <c r="X7972">
        <v>1085</v>
      </c>
      <c r="Y7972" t="s">
        <v>26651</v>
      </c>
      <c r="Z7972" t="s">
        <v>26667</v>
      </c>
      <c r="AB7972" t="s">
        <v>32561</v>
      </c>
      <c r="AE7972">
        <v>10</v>
      </c>
      <c r="AF7972" t="s">
        <v>45541</v>
      </c>
      <c r="AG7972" t="s">
        <v>19330</v>
      </c>
      <c r="AH7972">
        <v>21</v>
      </c>
      <c r="AI7972">
        <v>4</v>
      </c>
      <c r="AJ7972">
        <v>1</v>
      </c>
      <c r="AK7972">
        <v>68.94</v>
      </c>
      <c r="AN7972" t="s">
        <v>45581</v>
      </c>
      <c r="AO7972">
        <v>20800</v>
      </c>
      <c r="AU7972">
        <v>14.5</v>
      </c>
      <c r="AV7972" t="s">
        <v>826</v>
      </c>
      <c r="AW7972" t="s">
        <v>46835</v>
      </c>
      <c r="AX7972" t="s">
        <v>46897</v>
      </c>
    </row>
    <row r="7973" spans="1:50">
      <c r="A7973" s="1">
        <f>HYPERLINK("https://lsnyc.legalserver.org/matter/dynamic-profile/view/1897450","19-1897450")</f>
        <v>0</v>
      </c>
      <c r="B7973" t="s">
        <v>174</v>
      </c>
      <c r="C7973" t="s">
        <v>340</v>
      </c>
      <c r="D7973" t="s">
        <v>762</v>
      </c>
      <c r="F7973" t="s">
        <v>952</v>
      </c>
      <c r="G7973" t="s">
        <v>5177</v>
      </c>
      <c r="H7973" t="s">
        <v>15077</v>
      </c>
      <c r="I7973" t="s">
        <v>17387</v>
      </c>
      <c r="J7973" t="s">
        <v>18894</v>
      </c>
      <c r="K7973">
        <v>11208</v>
      </c>
      <c r="L7973" t="s">
        <v>18958</v>
      </c>
      <c r="M7973" t="s">
        <v>18959</v>
      </c>
      <c r="N7973" t="s">
        <v>24670</v>
      </c>
      <c r="O7973" t="s">
        <v>26524</v>
      </c>
      <c r="P7973" t="s">
        <v>26560</v>
      </c>
      <c r="R7973" t="s">
        <v>26578</v>
      </c>
      <c r="S7973" t="s">
        <v>18959</v>
      </c>
      <c r="U7973" t="s">
        <v>26604</v>
      </c>
      <c r="V7973" t="s">
        <v>26610</v>
      </c>
      <c r="W7973" t="s">
        <v>816</v>
      </c>
      <c r="X7973">
        <v>1956</v>
      </c>
      <c r="Y7973" t="s">
        <v>26652</v>
      </c>
      <c r="Z7973" t="s">
        <v>26530</v>
      </c>
      <c r="AB7973" t="s">
        <v>32562</v>
      </c>
      <c r="AC7973" t="s">
        <v>34805</v>
      </c>
      <c r="AD7973" t="s">
        <v>43037</v>
      </c>
      <c r="AE7973">
        <v>3</v>
      </c>
      <c r="AF7973" t="s">
        <v>45547</v>
      </c>
      <c r="AG7973" t="s">
        <v>45562</v>
      </c>
      <c r="AH7973">
        <v>4</v>
      </c>
      <c r="AI7973">
        <v>1</v>
      </c>
      <c r="AJ7973">
        <v>3</v>
      </c>
      <c r="AK7973">
        <v>133.28</v>
      </c>
      <c r="AN7973" t="s">
        <v>7439</v>
      </c>
      <c r="AO7973">
        <v>34320</v>
      </c>
      <c r="AU7973">
        <v>18.85</v>
      </c>
      <c r="AV7973" t="s">
        <v>835</v>
      </c>
      <c r="AW7973" t="s">
        <v>46850</v>
      </c>
      <c r="AX7973" t="s">
        <v>46897</v>
      </c>
    </row>
    <row r="7974" spans="1:50">
      <c r="A7974" s="1">
        <f>HYPERLINK("https://lsnyc.legalserver.org/matter/dynamic-profile/view/1898081","19-1898081")</f>
        <v>0</v>
      </c>
      <c r="B7974" t="s">
        <v>65</v>
      </c>
      <c r="C7974" t="s">
        <v>340</v>
      </c>
      <c r="D7974" t="s">
        <v>801</v>
      </c>
      <c r="F7974" t="s">
        <v>887</v>
      </c>
      <c r="G7974" t="s">
        <v>5087</v>
      </c>
      <c r="H7974" t="s">
        <v>9655</v>
      </c>
      <c r="I7974" t="s">
        <v>17889</v>
      </c>
      <c r="J7974" t="s">
        <v>18892</v>
      </c>
      <c r="K7974">
        <v>10457</v>
      </c>
      <c r="L7974" t="s">
        <v>18958</v>
      </c>
      <c r="M7974" t="s">
        <v>18960</v>
      </c>
      <c r="N7974" t="s">
        <v>24671</v>
      </c>
      <c r="O7974" t="s">
        <v>26523</v>
      </c>
      <c r="P7974" t="s">
        <v>26560</v>
      </c>
      <c r="R7974" t="s">
        <v>26579</v>
      </c>
      <c r="S7974" t="s">
        <v>18959</v>
      </c>
      <c r="U7974" t="s">
        <v>26604</v>
      </c>
      <c r="V7974" t="s">
        <v>26609</v>
      </c>
      <c r="W7974" t="s">
        <v>816</v>
      </c>
      <c r="X7974">
        <v>1123.05</v>
      </c>
      <c r="Y7974" t="s">
        <v>26650</v>
      </c>
      <c r="Z7974" t="s">
        <v>26668</v>
      </c>
      <c r="AB7974" t="s">
        <v>26715</v>
      </c>
      <c r="AD7974" t="s">
        <v>36830</v>
      </c>
      <c r="AE7974">
        <v>108</v>
      </c>
      <c r="AG7974" t="s">
        <v>19330</v>
      </c>
      <c r="AH7974">
        <v>20</v>
      </c>
      <c r="AI7974">
        <v>2</v>
      </c>
      <c r="AJ7974">
        <v>0</v>
      </c>
      <c r="AK7974">
        <v>69.19</v>
      </c>
      <c r="AN7974" t="s">
        <v>45581</v>
      </c>
      <c r="AO7974">
        <v>11700</v>
      </c>
      <c r="AU7974">
        <v>5.9</v>
      </c>
      <c r="AV7974" t="s">
        <v>834</v>
      </c>
      <c r="AW7974" t="s">
        <v>46850</v>
      </c>
      <c r="AX7974" t="s">
        <v>46897</v>
      </c>
    </row>
    <row r="7975" spans="1:50">
      <c r="A7975" s="1">
        <f>HYPERLINK("https://lsnyc.legalserver.org/matter/dynamic-profile/view/1898451","19-1898451")</f>
        <v>0</v>
      </c>
      <c r="B7975" t="s">
        <v>126</v>
      </c>
      <c r="C7975" t="s">
        <v>341</v>
      </c>
      <c r="D7975" t="s">
        <v>768</v>
      </c>
      <c r="E7975" t="s">
        <v>835</v>
      </c>
      <c r="F7975" t="s">
        <v>4125</v>
      </c>
      <c r="G7975" t="s">
        <v>8520</v>
      </c>
      <c r="H7975" t="s">
        <v>15078</v>
      </c>
      <c r="I7975" t="s">
        <v>17333</v>
      </c>
      <c r="J7975" t="s">
        <v>18894</v>
      </c>
      <c r="K7975">
        <v>11208</v>
      </c>
      <c r="L7975" t="s">
        <v>18958</v>
      </c>
      <c r="M7975" t="s">
        <v>18959</v>
      </c>
      <c r="N7975" t="s">
        <v>24672</v>
      </c>
      <c r="O7975" t="s">
        <v>26523</v>
      </c>
      <c r="P7975" t="s">
        <v>26560</v>
      </c>
      <c r="Q7975" t="s">
        <v>26568</v>
      </c>
      <c r="R7975" t="s">
        <v>26578</v>
      </c>
      <c r="S7975" t="s">
        <v>18959</v>
      </c>
      <c r="U7975" t="s">
        <v>26604</v>
      </c>
      <c r="V7975" t="s">
        <v>26610</v>
      </c>
      <c r="W7975" t="s">
        <v>816</v>
      </c>
      <c r="X7975">
        <v>867</v>
      </c>
      <c r="Y7975" t="s">
        <v>26652</v>
      </c>
      <c r="Z7975" t="s">
        <v>26530</v>
      </c>
      <c r="AA7975" t="s">
        <v>26683</v>
      </c>
      <c r="AB7975" t="s">
        <v>32563</v>
      </c>
      <c r="AD7975" t="s">
        <v>43038</v>
      </c>
      <c r="AE7975">
        <v>0</v>
      </c>
      <c r="AF7975" t="s">
        <v>45541</v>
      </c>
      <c r="AG7975" t="s">
        <v>19330</v>
      </c>
      <c r="AH7975">
        <v>23</v>
      </c>
      <c r="AI7975">
        <v>1</v>
      </c>
      <c r="AJ7975">
        <v>0</v>
      </c>
      <c r="AK7975">
        <v>200.16</v>
      </c>
      <c r="AN7975" t="s">
        <v>7439</v>
      </c>
      <c r="AO7975">
        <v>25000</v>
      </c>
      <c r="AU7975">
        <v>4.9</v>
      </c>
      <c r="AV7975" t="s">
        <v>807</v>
      </c>
      <c r="AW7975" t="s">
        <v>286</v>
      </c>
      <c r="AX7975" t="s">
        <v>46897</v>
      </c>
    </row>
    <row r="7976" spans="1:50">
      <c r="A7976" s="1">
        <f>HYPERLINK("https://lsnyc.legalserver.org/matter/dynamic-profile/view/1899178","19-1899178")</f>
        <v>0</v>
      </c>
      <c r="B7976" t="s">
        <v>65</v>
      </c>
      <c r="C7976" t="s">
        <v>340</v>
      </c>
      <c r="D7976" t="s">
        <v>811</v>
      </c>
      <c r="F7976" t="s">
        <v>1463</v>
      </c>
      <c r="G7976" t="s">
        <v>8187</v>
      </c>
      <c r="H7976" t="s">
        <v>15079</v>
      </c>
      <c r="I7976" t="s">
        <v>17275</v>
      </c>
      <c r="J7976" t="s">
        <v>18892</v>
      </c>
      <c r="K7976">
        <v>10457</v>
      </c>
      <c r="L7976" t="s">
        <v>18958</v>
      </c>
      <c r="M7976" t="s">
        <v>18960</v>
      </c>
      <c r="N7976" t="s">
        <v>24673</v>
      </c>
      <c r="O7976" t="s">
        <v>26523</v>
      </c>
      <c r="P7976" t="s">
        <v>26560</v>
      </c>
      <c r="R7976" t="s">
        <v>26579</v>
      </c>
      <c r="S7976" t="s">
        <v>18959</v>
      </c>
      <c r="U7976" t="s">
        <v>26604</v>
      </c>
      <c r="V7976" t="s">
        <v>26609</v>
      </c>
      <c r="W7976" t="s">
        <v>816</v>
      </c>
      <c r="X7976">
        <v>1081.71</v>
      </c>
      <c r="Y7976" t="s">
        <v>26650</v>
      </c>
      <c r="Z7976" t="s">
        <v>26668</v>
      </c>
      <c r="AB7976" t="s">
        <v>32564</v>
      </c>
      <c r="AE7976">
        <v>25</v>
      </c>
      <c r="AF7976" t="s">
        <v>20460</v>
      </c>
      <c r="AG7976" t="s">
        <v>19330</v>
      </c>
      <c r="AH7976">
        <v>5</v>
      </c>
      <c r="AI7976">
        <v>1</v>
      </c>
      <c r="AJ7976">
        <v>2</v>
      </c>
      <c r="AK7976">
        <v>15.92</v>
      </c>
      <c r="AN7976" t="s">
        <v>45581</v>
      </c>
      <c r="AO7976">
        <v>3396</v>
      </c>
      <c r="AU7976">
        <v>5.65</v>
      </c>
      <c r="AV7976" t="s">
        <v>839</v>
      </c>
      <c r="AW7976" t="s">
        <v>46871</v>
      </c>
      <c r="AX7976" t="s">
        <v>46897</v>
      </c>
    </row>
    <row r="7977" spans="1:50">
      <c r="A7977" s="1">
        <f>HYPERLINK("https://lsnyc.legalserver.org/matter/dynamic-profile/view/1899400","19-1899400")</f>
        <v>0</v>
      </c>
      <c r="B7977" t="s">
        <v>99</v>
      </c>
      <c r="C7977" t="s">
        <v>341</v>
      </c>
      <c r="D7977" t="s">
        <v>816</v>
      </c>
      <c r="E7977" t="s">
        <v>836</v>
      </c>
      <c r="F7977" t="s">
        <v>4126</v>
      </c>
      <c r="G7977" t="s">
        <v>8521</v>
      </c>
      <c r="H7977" t="s">
        <v>15080</v>
      </c>
      <c r="I7977" t="s">
        <v>17349</v>
      </c>
      <c r="J7977" t="s">
        <v>18894</v>
      </c>
      <c r="K7977">
        <v>11225</v>
      </c>
      <c r="L7977" t="s">
        <v>18958</v>
      </c>
      <c r="M7977" t="s">
        <v>18960</v>
      </c>
      <c r="N7977" t="s">
        <v>24674</v>
      </c>
      <c r="O7977" t="s">
        <v>26523</v>
      </c>
      <c r="P7977" t="s">
        <v>26560</v>
      </c>
      <c r="Q7977" t="s">
        <v>26568</v>
      </c>
      <c r="R7977" t="s">
        <v>26588</v>
      </c>
      <c r="S7977" t="s">
        <v>18959</v>
      </c>
      <c r="U7977" t="s">
        <v>26604</v>
      </c>
      <c r="V7977" t="s">
        <v>26614</v>
      </c>
      <c r="W7977" t="s">
        <v>816</v>
      </c>
      <c r="X7977">
        <v>1125</v>
      </c>
      <c r="Y7977" t="s">
        <v>26652</v>
      </c>
      <c r="Z7977" t="s">
        <v>26664</v>
      </c>
      <c r="AA7977" t="s">
        <v>26678</v>
      </c>
      <c r="AB7977" t="s">
        <v>31699</v>
      </c>
      <c r="AC7977" t="s">
        <v>36438</v>
      </c>
      <c r="AD7977" t="s">
        <v>43039</v>
      </c>
      <c r="AE7977">
        <v>30</v>
      </c>
      <c r="AF7977" t="s">
        <v>45541</v>
      </c>
      <c r="AH7977">
        <v>21</v>
      </c>
      <c r="AI7977">
        <v>2</v>
      </c>
      <c r="AJ7977">
        <v>0</v>
      </c>
      <c r="AK7977">
        <v>206.98</v>
      </c>
      <c r="AL7977" t="s">
        <v>835</v>
      </c>
      <c r="AM7977" t="s">
        <v>45575</v>
      </c>
      <c r="AN7977" t="s">
        <v>45596</v>
      </c>
      <c r="AO7977">
        <v>35000</v>
      </c>
      <c r="AQ7977" t="s">
        <v>46359</v>
      </c>
      <c r="AR7977" t="s">
        <v>46417</v>
      </c>
      <c r="AS7977" t="s">
        <v>46499</v>
      </c>
      <c r="AT7977" t="s">
        <v>46731</v>
      </c>
      <c r="AU7977">
        <v>6.9</v>
      </c>
      <c r="AV7977" t="s">
        <v>836</v>
      </c>
      <c r="AW7977" t="s">
        <v>46856</v>
      </c>
      <c r="AX7977" t="s">
        <v>46897</v>
      </c>
    </row>
    <row r="7978" spans="1:50">
      <c r="A7978" s="1">
        <f>HYPERLINK("https://lsnyc.legalserver.org/matter/dynamic-profile/view/1899318","19-1899318")</f>
        <v>0</v>
      </c>
      <c r="B7978" t="s">
        <v>235</v>
      </c>
      <c r="C7978" t="s">
        <v>341</v>
      </c>
      <c r="D7978" t="s">
        <v>816</v>
      </c>
      <c r="E7978" t="s">
        <v>817</v>
      </c>
      <c r="F7978" t="s">
        <v>2282</v>
      </c>
      <c r="G7978" t="s">
        <v>5121</v>
      </c>
      <c r="H7978" t="s">
        <v>12769</v>
      </c>
      <c r="I7978" t="s">
        <v>17543</v>
      </c>
      <c r="J7978" t="s">
        <v>7026</v>
      </c>
      <c r="K7978">
        <v>11368</v>
      </c>
      <c r="L7978" t="s">
        <v>18958</v>
      </c>
      <c r="M7978" t="s">
        <v>18960</v>
      </c>
      <c r="N7978" t="s">
        <v>24675</v>
      </c>
      <c r="O7978" t="s">
        <v>26523</v>
      </c>
      <c r="P7978" t="s">
        <v>26564</v>
      </c>
      <c r="Q7978" t="s">
        <v>26570</v>
      </c>
      <c r="R7978" t="s">
        <v>26584</v>
      </c>
      <c r="S7978" t="s">
        <v>18959</v>
      </c>
      <c r="U7978" t="s">
        <v>26604</v>
      </c>
      <c r="W7978" t="s">
        <v>816</v>
      </c>
      <c r="X7978">
        <v>1872</v>
      </c>
      <c r="Y7978" t="s">
        <v>26653</v>
      </c>
      <c r="Z7978" t="s">
        <v>26661</v>
      </c>
      <c r="AA7978" t="s">
        <v>26683</v>
      </c>
      <c r="AB7978" t="s">
        <v>32565</v>
      </c>
      <c r="AD7978" t="s">
        <v>43040</v>
      </c>
      <c r="AE7978">
        <v>0</v>
      </c>
      <c r="AF7978" t="s">
        <v>20460</v>
      </c>
      <c r="AG7978" t="s">
        <v>19330</v>
      </c>
      <c r="AH7978">
        <v>13</v>
      </c>
      <c r="AI7978">
        <v>3</v>
      </c>
      <c r="AJ7978">
        <v>0</v>
      </c>
      <c r="AK7978">
        <v>146.27</v>
      </c>
      <c r="AN7978" t="s">
        <v>45581</v>
      </c>
      <c r="AO7978">
        <v>31200</v>
      </c>
      <c r="AU7978">
        <v>2.4</v>
      </c>
      <c r="AV7978" t="s">
        <v>817</v>
      </c>
      <c r="AW7978" t="s">
        <v>208</v>
      </c>
      <c r="AX7978" t="s">
        <v>46897</v>
      </c>
    </row>
    <row r="7979" spans="1:50">
      <c r="A7979" s="1">
        <f>HYPERLINK("https://lsnyc.legalserver.org/matter/dynamic-profile/view/1899359","19-1899359")</f>
        <v>0</v>
      </c>
      <c r="B7979" t="s">
        <v>105</v>
      </c>
      <c r="C7979" t="s">
        <v>340</v>
      </c>
      <c r="D7979" t="s">
        <v>816</v>
      </c>
      <c r="F7979" t="s">
        <v>868</v>
      </c>
      <c r="G7979" t="s">
        <v>1680</v>
      </c>
      <c r="H7979" t="s">
        <v>15081</v>
      </c>
      <c r="J7979" t="s">
        <v>18901</v>
      </c>
      <c r="K7979">
        <v>11434</v>
      </c>
      <c r="L7979" t="s">
        <v>18958</v>
      </c>
      <c r="M7979" t="s">
        <v>18960</v>
      </c>
      <c r="N7979" t="s">
        <v>24676</v>
      </c>
      <c r="O7979" t="s">
        <v>26524</v>
      </c>
      <c r="P7979" t="s">
        <v>26563</v>
      </c>
      <c r="R7979" t="s">
        <v>26585</v>
      </c>
      <c r="U7979" t="s">
        <v>26604</v>
      </c>
      <c r="W7979" t="s">
        <v>816</v>
      </c>
      <c r="X7979">
        <v>15000</v>
      </c>
      <c r="Y7979" t="s">
        <v>26653</v>
      </c>
      <c r="Z7979" t="s">
        <v>26664</v>
      </c>
      <c r="AB7979" t="s">
        <v>32566</v>
      </c>
      <c r="AD7979" t="s">
        <v>43041</v>
      </c>
      <c r="AE7979">
        <v>0</v>
      </c>
      <c r="AH7979">
        <v>8</v>
      </c>
      <c r="AI7979">
        <v>3</v>
      </c>
      <c r="AJ7979">
        <v>0</v>
      </c>
      <c r="AK7979">
        <v>187.53</v>
      </c>
      <c r="AN7979" t="s">
        <v>7439</v>
      </c>
      <c r="AO7979">
        <v>40000</v>
      </c>
      <c r="AU7979">
        <v>0.55</v>
      </c>
      <c r="AV7979" t="s">
        <v>817</v>
      </c>
      <c r="AW7979" t="s">
        <v>46884</v>
      </c>
    </row>
    <row r="7980" spans="1:50">
      <c r="A7980" s="1">
        <f>HYPERLINK("https://lsnyc.legalserver.org/matter/dynamic-profile/view/1899384","19-1899384")</f>
        <v>0</v>
      </c>
      <c r="B7980" t="s">
        <v>107</v>
      </c>
      <c r="C7980" t="s">
        <v>340</v>
      </c>
      <c r="D7980" t="s">
        <v>816</v>
      </c>
      <c r="F7980" t="s">
        <v>4127</v>
      </c>
      <c r="G7980" t="s">
        <v>7587</v>
      </c>
      <c r="H7980" t="s">
        <v>15082</v>
      </c>
      <c r="J7980" t="s">
        <v>18934</v>
      </c>
      <c r="K7980">
        <v>11413</v>
      </c>
      <c r="L7980" t="s">
        <v>18958</v>
      </c>
      <c r="M7980" t="s">
        <v>18960</v>
      </c>
      <c r="N7980" t="s">
        <v>24677</v>
      </c>
      <c r="O7980" t="s">
        <v>26523</v>
      </c>
      <c r="P7980" t="s">
        <v>26560</v>
      </c>
      <c r="R7980" t="s">
        <v>26578</v>
      </c>
      <c r="S7980" t="s">
        <v>18959</v>
      </c>
      <c r="U7980" t="s">
        <v>26604</v>
      </c>
      <c r="W7980" t="s">
        <v>816</v>
      </c>
      <c r="X7980">
        <v>1250</v>
      </c>
      <c r="Y7980" t="s">
        <v>26653</v>
      </c>
      <c r="Z7980" t="s">
        <v>26664</v>
      </c>
      <c r="AB7980" t="s">
        <v>30003</v>
      </c>
      <c r="AC7980" t="s">
        <v>36439</v>
      </c>
      <c r="AD7980" t="s">
        <v>43042</v>
      </c>
      <c r="AE7980">
        <v>0</v>
      </c>
      <c r="AH7980">
        <v>1</v>
      </c>
      <c r="AI7980">
        <v>1</v>
      </c>
      <c r="AJ7980">
        <v>1</v>
      </c>
      <c r="AK7980">
        <v>21.68</v>
      </c>
      <c r="AN7980" t="s">
        <v>7439</v>
      </c>
      <c r="AO7980">
        <v>3666</v>
      </c>
      <c r="AU7980">
        <v>9.300000000000001</v>
      </c>
      <c r="AV7980" t="s">
        <v>773</v>
      </c>
      <c r="AW7980" t="s">
        <v>46884</v>
      </c>
      <c r="AX7980" t="s">
        <v>46897</v>
      </c>
    </row>
    <row r="7981" spans="1:50">
      <c r="A7981" s="1">
        <f>HYPERLINK("https://lsnyc.legalserver.org/matter/dynamic-profile/view/1899398","19-1899398")</f>
        <v>0</v>
      </c>
      <c r="B7981" t="s">
        <v>230</v>
      </c>
      <c r="C7981" t="s">
        <v>340</v>
      </c>
      <c r="D7981" t="s">
        <v>816</v>
      </c>
      <c r="F7981" t="s">
        <v>4128</v>
      </c>
      <c r="G7981" t="s">
        <v>8522</v>
      </c>
      <c r="H7981" t="s">
        <v>15083</v>
      </c>
      <c r="I7981" t="s">
        <v>17410</v>
      </c>
      <c r="J7981" t="s">
        <v>18894</v>
      </c>
      <c r="K7981">
        <v>11225</v>
      </c>
      <c r="L7981" t="s">
        <v>18960</v>
      </c>
      <c r="M7981" t="s">
        <v>18960</v>
      </c>
      <c r="P7981" t="s">
        <v>26563</v>
      </c>
      <c r="R7981" t="s">
        <v>26583</v>
      </c>
      <c r="U7981" t="s">
        <v>26604</v>
      </c>
      <c r="W7981" t="s">
        <v>816</v>
      </c>
      <c r="X7981">
        <v>1500</v>
      </c>
      <c r="Y7981" t="s">
        <v>26652</v>
      </c>
      <c r="Z7981" t="s">
        <v>26663</v>
      </c>
      <c r="AB7981" t="s">
        <v>32567</v>
      </c>
      <c r="AD7981" t="s">
        <v>43043</v>
      </c>
      <c r="AE7981">
        <v>7</v>
      </c>
      <c r="AH7981">
        <v>3</v>
      </c>
      <c r="AI7981">
        <v>3</v>
      </c>
      <c r="AJ7981">
        <v>0</v>
      </c>
      <c r="AK7981">
        <v>304.74</v>
      </c>
      <c r="AL7981" t="s">
        <v>835</v>
      </c>
      <c r="AM7981" t="s">
        <v>45575</v>
      </c>
      <c r="AN7981" t="s">
        <v>7439</v>
      </c>
      <c r="AO7981">
        <v>65000</v>
      </c>
      <c r="AU7981">
        <v>18</v>
      </c>
      <c r="AV7981" t="s">
        <v>772</v>
      </c>
      <c r="AW7981" t="s">
        <v>46856</v>
      </c>
    </row>
    <row r="7982" spans="1:50">
      <c r="A7982" s="1">
        <f>HYPERLINK("https://lsnyc.legalserver.org/matter/dynamic-profile/view/1899371","19-1899371")</f>
        <v>0</v>
      </c>
      <c r="B7982" t="s">
        <v>97</v>
      </c>
      <c r="C7982" t="s">
        <v>340</v>
      </c>
      <c r="D7982" t="s">
        <v>816</v>
      </c>
      <c r="F7982" t="s">
        <v>4129</v>
      </c>
      <c r="G7982" t="s">
        <v>8523</v>
      </c>
      <c r="H7982" t="s">
        <v>14382</v>
      </c>
      <c r="I7982" t="s">
        <v>18522</v>
      </c>
      <c r="J7982" t="s">
        <v>18892</v>
      </c>
      <c r="K7982">
        <v>10457</v>
      </c>
      <c r="L7982" t="s">
        <v>18958</v>
      </c>
      <c r="M7982" t="s">
        <v>18960</v>
      </c>
      <c r="N7982" t="s">
        <v>24678</v>
      </c>
      <c r="O7982" t="s">
        <v>26523</v>
      </c>
      <c r="P7982" t="s">
        <v>26560</v>
      </c>
      <c r="R7982" t="s">
        <v>26579</v>
      </c>
      <c r="S7982" t="s">
        <v>18959</v>
      </c>
      <c r="U7982" t="s">
        <v>26604</v>
      </c>
      <c r="W7982" t="s">
        <v>816</v>
      </c>
      <c r="X7982">
        <v>310</v>
      </c>
      <c r="Y7982" t="s">
        <v>26650</v>
      </c>
      <c r="AB7982" t="s">
        <v>26899</v>
      </c>
      <c r="AD7982" t="s">
        <v>43044</v>
      </c>
      <c r="AE7982">
        <v>312</v>
      </c>
      <c r="AF7982" t="s">
        <v>45552</v>
      </c>
      <c r="AH7982">
        <v>14</v>
      </c>
      <c r="AI7982">
        <v>2</v>
      </c>
      <c r="AJ7982">
        <v>1</v>
      </c>
      <c r="AK7982">
        <v>94.51000000000001</v>
      </c>
      <c r="AN7982" t="s">
        <v>7439</v>
      </c>
      <c r="AO7982">
        <v>20160</v>
      </c>
      <c r="AU7982">
        <v>6.1</v>
      </c>
      <c r="AV7982" t="s">
        <v>832</v>
      </c>
      <c r="AW7982" t="s">
        <v>335</v>
      </c>
      <c r="AX7982" t="s">
        <v>46897</v>
      </c>
    </row>
    <row r="7983" spans="1:50">
      <c r="A7983" s="1">
        <f>HYPERLINK("https://lsnyc.legalserver.org/matter/dynamic-profile/view/1899342","19-1899342")</f>
        <v>0</v>
      </c>
      <c r="B7983" t="s">
        <v>50</v>
      </c>
      <c r="C7983" t="s">
        <v>340</v>
      </c>
      <c r="D7983" t="s">
        <v>816</v>
      </c>
      <c r="F7983" t="s">
        <v>4130</v>
      </c>
      <c r="G7983" t="s">
        <v>8524</v>
      </c>
      <c r="H7983" t="s">
        <v>15084</v>
      </c>
      <c r="I7983" t="s">
        <v>17967</v>
      </c>
      <c r="J7983" t="s">
        <v>18892</v>
      </c>
      <c r="K7983">
        <v>10457</v>
      </c>
      <c r="L7983" t="s">
        <v>18958</v>
      </c>
      <c r="M7983" t="s">
        <v>18960</v>
      </c>
      <c r="N7983" t="s">
        <v>24679</v>
      </c>
      <c r="O7983" t="s">
        <v>26523</v>
      </c>
      <c r="P7983" t="s">
        <v>26560</v>
      </c>
      <c r="R7983" t="s">
        <v>26579</v>
      </c>
      <c r="U7983" t="s">
        <v>26604</v>
      </c>
      <c r="W7983" t="s">
        <v>816</v>
      </c>
      <c r="X7983">
        <v>1400</v>
      </c>
      <c r="Y7983" t="s">
        <v>26650</v>
      </c>
      <c r="AB7983" t="s">
        <v>32568</v>
      </c>
      <c r="AD7983" t="s">
        <v>43045</v>
      </c>
      <c r="AE7983">
        <v>72</v>
      </c>
      <c r="AF7983" t="s">
        <v>45541</v>
      </c>
      <c r="AH7983">
        <v>1</v>
      </c>
      <c r="AI7983">
        <v>2</v>
      </c>
      <c r="AJ7983">
        <v>2</v>
      </c>
      <c r="AK7983">
        <v>267.96</v>
      </c>
      <c r="AL7983" t="s">
        <v>808</v>
      </c>
      <c r="AM7983" t="s">
        <v>45575</v>
      </c>
      <c r="AN7983" t="s">
        <v>7439</v>
      </c>
      <c r="AO7983">
        <v>69000</v>
      </c>
      <c r="AU7983">
        <v>6</v>
      </c>
      <c r="AV7983" t="s">
        <v>834</v>
      </c>
      <c r="AW7983" t="s">
        <v>335</v>
      </c>
      <c r="AX7983" t="s">
        <v>46897</v>
      </c>
    </row>
    <row r="7984" spans="1:50">
      <c r="A7984" s="1">
        <f>HYPERLINK("https://lsnyc.legalserver.org/matter/dynamic-profile/view/1899402","19-1899402")</f>
        <v>0</v>
      </c>
      <c r="B7984" t="s">
        <v>91</v>
      </c>
      <c r="C7984" t="s">
        <v>340</v>
      </c>
      <c r="D7984" t="s">
        <v>816</v>
      </c>
      <c r="F7984" t="s">
        <v>4131</v>
      </c>
      <c r="G7984" t="s">
        <v>8525</v>
      </c>
      <c r="H7984" t="s">
        <v>15085</v>
      </c>
      <c r="J7984" t="s">
        <v>18901</v>
      </c>
      <c r="K7984">
        <v>11436</v>
      </c>
      <c r="L7984" t="s">
        <v>18958</v>
      </c>
      <c r="M7984" t="s">
        <v>18960</v>
      </c>
      <c r="N7984" t="s">
        <v>24680</v>
      </c>
      <c r="O7984" t="s">
        <v>26524</v>
      </c>
      <c r="P7984" t="s">
        <v>26563</v>
      </c>
      <c r="R7984" t="s">
        <v>26578</v>
      </c>
      <c r="U7984" t="s">
        <v>26604</v>
      </c>
      <c r="W7984" t="s">
        <v>816</v>
      </c>
      <c r="X7984">
        <v>900</v>
      </c>
      <c r="Y7984" t="s">
        <v>26653</v>
      </c>
      <c r="Z7984" t="s">
        <v>26664</v>
      </c>
      <c r="AB7984" t="s">
        <v>32569</v>
      </c>
      <c r="AD7984" t="s">
        <v>43046</v>
      </c>
      <c r="AE7984">
        <v>0</v>
      </c>
      <c r="AH7984">
        <v>1</v>
      </c>
      <c r="AI7984">
        <v>1</v>
      </c>
      <c r="AJ7984">
        <v>0</v>
      </c>
      <c r="AK7984">
        <v>22.1</v>
      </c>
      <c r="AN7984" t="s">
        <v>7439</v>
      </c>
      <c r="AO7984">
        <v>2760</v>
      </c>
      <c r="AU7984">
        <v>1.3</v>
      </c>
      <c r="AV7984" t="s">
        <v>834</v>
      </c>
      <c r="AW7984" t="s">
        <v>46884</v>
      </c>
    </row>
    <row r="7985" spans="1:50">
      <c r="A7985" s="1">
        <f>HYPERLINK("https://lsnyc.legalserver.org/matter/dynamic-profile/view/1899389","19-1899389")</f>
        <v>0</v>
      </c>
      <c r="B7985" t="s">
        <v>114</v>
      </c>
      <c r="C7985" t="s">
        <v>340</v>
      </c>
      <c r="D7985" t="s">
        <v>816</v>
      </c>
      <c r="F7985" t="s">
        <v>1211</v>
      </c>
      <c r="G7985" t="s">
        <v>8526</v>
      </c>
      <c r="H7985" t="s">
        <v>15086</v>
      </c>
      <c r="J7985" t="s">
        <v>18918</v>
      </c>
      <c r="K7985">
        <v>11416</v>
      </c>
      <c r="L7985" t="s">
        <v>18958</v>
      </c>
      <c r="M7985" t="s">
        <v>18960</v>
      </c>
      <c r="N7985" t="s">
        <v>24681</v>
      </c>
      <c r="O7985" t="s">
        <v>26524</v>
      </c>
      <c r="P7985" t="s">
        <v>26563</v>
      </c>
      <c r="R7985" t="s">
        <v>26578</v>
      </c>
      <c r="S7985" t="s">
        <v>18959</v>
      </c>
      <c r="U7985" t="s">
        <v>26604</v>
      </c>
      <c r="W7985" t="s">
        <v>816</v>
      </c>
      <c r="X7985">
        <v>1350</v>
      </c>
      <c r="Y7985" t="s">
        <v>26653</v>
      </c>
      <c r="AB7985" t="s">
        <v>32570</v>
      </c>
      <c r="AE7985">
        <v>0</v>
      </c>
      <c r="AH7985">
        <v>10</v>
      </c>
      <c r="AI7985">
        <v>1</v>
      </c>
      <c r="AJ7985">
        <v>0</v>
      </c>
      <c r="AK7985">
        <v>118.65</v>
      </c>
      <c r="AN7985" t="s">
        <v>7439</v>
      </c>
      <c r="AO7985">
        <v>14820</v>
      </c>
      <c r="AU7985">
        <v>1</v>
      </c>
      <c r="AV7985" t="s">
        <v>813</v>
      </c>
      <c r="AW7985" t="s">
        <v>46884</v>
      </c>
    </row>
    <row r="7986" spans="1:50">
      <c r="A7986" s="1">
        <f>HYPERLINK("https://lsnyc.legalserver.org/matter/dynamic-profile/view/1899353","19-1899353")</f>
        <v>0</v>
      </c>
      <c r="B7986" t="s">
        <v>114</v>
      </c>
      <c r="C7986" t="s">
        <v>340</v>
      </c>
      <c r="D7986" t="s">
        <v>816</v>
      </c>
      <c r="F7986" t="s">
        <v>4132</v>
      </c>
      <c r="G7986" t="s">
        <v>8527</v>
      </c>
      <c r="H7986" t="s">
        <v>15087</v>
      </c>
      <c r="I7986" t="s">
        <v>17375</v>
      </c>
      <c r="J7986" t="s">
        <v>18918</v>
      </c>
      <c r="K7986">
        <v>11417</v>
      </c>
      <c r="L7986" t="s">
        <v>18958</v>
      </c>
      <c r="M7986" t="s">
        <v>18960</v>
      </c>
      <c r="N7986" t="s">
        <v>24682</v>
      </c>
      <c r="O7986" t="s">
        <v>26524</v>
      </c>
      <c r="P7986" t="s">
        <v>26563</v>
      </c>
      <c r="R7986" t="s">
        <v>26584</v>
      </c>
      <c r="S7986" t="s">
        <v>18959</v>
      </c>
      <c r="U7986" t="s">
        <v>26604</v>
      </c>
      <c r="W7986" t="s">
        <v>816</v>
      </c>
      <c r="X7986">
        <v>1300</v>
      </c>
      <c r="Y7986" t="s">
        <v>26653</v>
      </c>
      <c r="Z7986" t="s">
        <v>26664</v>
      </c>
      <c r="AB7986" t="s">
        <v>32571</v>
      </c>
      <c r="AD7986" t="s">
        <v>43047</v>
      </c>
      <c r="AE7986">
        <v>2</v>
      </c>
      <c r="AF7986" t="s">
        <v>20460</v>
      </c>
      <c r="AG7986" t="s">
        <v>19330</v>
      </c>
      <c r="AH7986">
        <v>3</v>
      </c>
      <c r="AI7986">
        <v>4</v>
      </c>
      <c r="AJ7986">
        <v>0</v>
      </c>
      <c r="AK7986">
        <v>116.5</v>
      </c>
      <c r="AN7986" t="s">
        <v>7439</v>
      </c>
      <c r="AO7986">
        <v>30000</v>
      </c>
      <c r="AU7986">
        <v>0.3</v>
      </c>
      <c r="AV7986" t="s">
        <v>813</v>
      </c>
      <c r="AW7986" t="s">
        <v>208</v>
      </c>
      <c r="AX7986" t="s">
        <v>46897</v>
      </c>
    </row>
    <row r="7987" spans="1:50">
      <c r="A7987" s="1">
        <f>HYPERLINK("https://lsnyc.legalserver.org/matter/dynamic-profile/view/1899324","19-1899324")</f>
        <v>0</v>
      </c>
      <c r="B7987" t="s">
        <v>235</v>
      </c>
      <c r="C7987" t="s">
        <v>340</v>
      </c>
      <c r="D7987" t="s">
        <v>816</v>
      </c>
      <c r="F7987" t="s">
        <v>4133</v>
      </c>
      <c r="G7987" t="s">
        <v>8528</v>
      </c>
      <c r="H7987" t="s">
        <v>15088</v>
      </c>
      <c r="I7987" t="s">
        <v>17316</v>
      </c>
      <c r="J7987" t="s">
        <v>18896</v>
      </c>
      <c r="K7987">
        <v>11419</v>
      </c>
      <c r="L7987" t="s">
        <v>18958</v>
      </c>
      <c r="M7987" t="s">
        <v>18960</v>
      </c>
      <c r="N7987" t="s">
        <v>24683</v>
      </c>
      <c r="O7987" t="s">
        <v>26524</v>
      </c>
      <c r="P7987" t="s">
        <v>26563</v>
      </c>
      <c r="R7987" t="s">
        <v>26584</v>
      </c>
      <c r="S7987" t="s">
        <v>18959</v>
      </c>
      <c r="U7987" t="s">
        <v>26604</v>
      </c>
      <c r="W7987" t="s">
        <v>816</v>
      </c>
      <c r="X7987">
        <v>1300</v>
      </c>
      <c r="Y7987" t="s">
        <v>26653</v>
      </c>
      <c r="Z7987" t="s">
        <v>26664</v>
      </c>
      <c r="AB7987" t="s">
        <v>32572</v>
      </c>
      <c r="AD7987" t="s">
        <v>43048</v>
      </c>
      <c r="AE7987">
        <v>5</v>
      </c>
      <c r="AF7987" t="s">
        <v>20460</v>
      </c>
      <c r="AG7987" t="s">
        <v>19330</v>
      </c>
      <c r="AH7987">
        <v>3</v>
      </c>
      <c r="AI7987">
        <v>1</v>
      </c>
      <c r="AJ7987">
        <v>1</v>
      </c>
      <c r="AK7987">
        <v>28.39</v>
      </c>
      <c r="AN7987" t="s">
        <v>7439</v>
      </c>
      <c r="AO7987">
        <v>4800</v>
      </c>
      <c r="AU7987">
        <v>4.9</v>
      </c>
      <c r="AV7987" t="s">
        <v>830</v>
      </c>
      <c r="AW7987" t="s">
        <v>208</v>
      </c>
      <c r="AX7987" t="s">
        <v>46897</v>
      </c>
    </row>
    <row r="7988" spans="1:50">
      <c r="A7988" s="1">
        <f>HYPERLINK("https://lsnyc.legalserver.org/matter/dynamic-profile/view/1899348","19-1899348")</f>
        <v>0</v>
      </c>
      <c r="B7988" t="s">
        <v>235</v>
      </c>
      <c r="C7988" t="s">
        <v>340</v>
      </c>
      <c r="D7988" t="s">
        <v>816</v>
      </c>
      <c r="F7988" t="s">
        <v>4134</v>
      </c>
      <c r="G7988" t="s">
        <v>1011</v>
      </c>
      <c r="H7988" t="s">
        <v>15089</v>
      </c>
      <c r="I7988" t="s">
        <v>17375</v>
      </c>
      <c r="J7988" t="s">
        <v>18901</v>
      </c>
      <c r="K7988">
        <v>11435</v>
      </c>
      <c r="L7988" t="s">
        <v>18958</v>
      </c>
      <c r="M7988" t="s">
        <v>18960</v>
      </c>
      <c r="N7988" t="s">
        <v>24684</v>
      </c>
      <c r="O7988" t="s">
        <v>26524</v>
      </c>
      <c r="P7988" t="s">
        <v>26563</v>
      </c>
      <c r="R7988" t="s">
        <v>26584</v>
      </c>
      <c r="S7988" t="s">
        <v>18959</v>
      </c>
      <c r="U7988" t="s">
        <v>26604</v>
      </c>
      <c r="W7988" t="s">
        <v>816</v>
      </c>
      <c r="X7988">
        <v>700</v>
      </c>
      <c r="Y7988" t="s">
        <v>26653</v>
      </c>
      <c r="Z7988" t="s">
        <v>26664</v>
      </c>
      <c r="AB7988" t="s">
        <v>29037</v>
      </c>
      <c r="AD7988" t="s">
        <v>43049</v>
      </c>
      <c r="AE7988">
        <v>1</v>
      </c>
      <c r="AF7988" t="s">
        <v>20460</v>
      </c>
      <c r="AG7988" t="s">
        <v>19330</v>
      </c>
      <c r="AH7988">
        <v>5</v>
      </c>
      <c r="AI7988">
        <v>1</v>
      </c>
      <c r="AJ7988">
        <v>1</v>
      </c>
      <c r="AK7988">
        <v>177.41</v>
      </c>
      <c r="AN7988" t="s">
        <v>7439</v>
      </c>
      <c r="AO7988">
        <v>30000</v>
      </c>
      <c r="AU7988">
        <v>1.05</v>
      </c>
      <c r="AV7988" t="s">
        <v>806</v>
      </c>
      <c r="AW7988" t="s">
        <v>208</v>
      </c>
      <c r="AX7988" t="s">
        <v>46897</v>
      </c>
    </row>
    <row r="7989" spans="1:50">
      <c r="A7989" s="1">
        <f>HYPERLINK("https://lsnyc.legalserver.org/matter/dynamic-profile/view/1897592","19-1897592")</f>
        <v>0</v>
      </c>
      <c r="B7989" t="s">
        <v>149</v>
      </c>
      <c r="C7989" t="s">
        <v>340</v>
      </c>
      <c r="D7989" t="s">
        <v>802</v>
      </c>
      <c r="F7989" t="s">
        <v>4135</v>
      </c>
      <c r="G7989" t="s">
        <v>1725</v>
      </c>
      <c r="H7989" t="s">
        <v>15090</v>
      </c>
      <c r="I7989" t="s">
        <v>17306</v>
      </c>
      <c r="J7989" t="s">
        <v>18892</v>
      </c>
      <c r="K7989">
        <v>10455</v>
      </c>
      <c r="L7989" t="s">
        <v>18958</v>
      </c>
      <c r="M7989" t="s">
        <v>18958</v>
      </c>
      <c r="N7989" t="s">
        <v>24685</v>
      </c>
      <c r="O7989" t="s">
        <v>26523</v>
      </c>
      <c r="P7989" t="s">
        <v>26560</v>
      </c>
      <c r="R7989" t="s">
        <v>26577</v>
      </c>
      <c r="S7989" t="s">
        <v>18959</v>
      </c>
      <c r="U7989" t="s">
        <v>26604</v>
      </c>
      <c r="W7989" t="s">
        <v>817</v>
      </c>
      <c r="X7989">
        <v>733</v>
      </c>
      <c r="Y7989" t="s">
        <v>26650</v>
      </c>
      <c r="Z7989" t="s">
        <v>26668</v>
      </c>
      <c r="AB7989" t="s">
        <v>28548</v>
      </c>
      <c r="AE7989">
        <v>6</v>
      </c>
      <c r="AF7989" t="s">
        <v>20460</v>
      </c>
      <c r="AG7989" t="s">
        <v>19330</v>
      </c>
      <c r="AH7989">
        <v>18</v>
      </c>
      <c r="AI7989">
        <v>1</v>
      </c>
      <c r="AJ7989">
        <v>0</v>
      </c>
      <c r="AK7989">
        <v>160.13</v>
      </c>
      <c r="AN7989" t="s">
        <v>45581</v>
      </c>
      <c r="AO7989">
        <v>20000</v>
      </c>
      <c r="AU7989">
        <v>25.65</v>
      </c>
      <c r="AV7989" t="s">
        <v>832</v>
      </c>
      <c r="AW7989" t="s">
        <v>336</v>
      </c>
      <c r="AX7989" t="s">
        <v>46897</v>
      </c>
    </row>
    <row r="7990" spans="1:50">
      <c r="A7990" s="1">
        <f>HYPERLINK("https://lsnyc.legalserver.org/matter/dynamic-profile/view/1897147","19-1897147")</f>
        <v>0</v>
      </c>
      <c r="B7990" t="s">
        <v>251</v>
      </c>
      <c r="C7990" t="s">
        <v>340</v>
      </c>
      <c r="D7990" t="s">
        <v>760</v>
      </c>
      <c r="F7990" t="s">
        <v>4136</v>
      </c>
      <c r="G7990" t="s">
        <v>5672</v>
      </c>
      <c r="H7990" t="s">
        <v>14263</v>
      </c>
      <c r="I7990" t="s">
        <v>17354</v>
      </c>
      <c r="J7990" t="s">
        <v>18892</v>
      </c>
      <c r="K7990">
        <v>10456</v>
      </c>
      <c r="L7990" t="s">
        <v>18958</v>
      </c>
      <c r="M7990" t="s">
        <v>18958</v>
      </c>
      <c r="N7990" t="s">
        <v>24686</v>
      </c>
      <c r="O7990" t="s">
        <v>26523</v>
      </c>
      <c r="P7990" t="s">
        <v>26560</v>
      </c>
      <c r="R7990" t="s">
        <v>26577</v>
      </c>
      <c r="S7990" t="s">
        <v>18959</v>
      </c>
      <c r="U7990" t="s">
        <v>26604</v>
      </c>
      <c r="V7990" t="s">
        <v>26610</v>
      </c>
      <c r="W7990" t="s">
        <v>817</v>
      </c>
      <c r="X7990">
        <v>0</v>
      </c>
      <c r="Y7990" t="s">
        <v>26650</v>
      </c>
      <c r="Z7990" t="s">
        <v>26668</v>
      </c>
      <c r="AB7990" t="s">
        <v>32573</v>
      </c>
      <c r="AC7990" t="s">
        <v>36440</v>
      </c>
      <c r="AD7990" t="s">
        <v>43050</v>
      </c>
      <c r="AE7990">
        <v>0</v>
      </c>
      <c r="AF7990" t="s">
        <v>45541</v>
      </c>
      <c r="AG7990" t="s">
        <v>19330</v>
      </c>
      <c r="AH7990">
        <v>0</v>
      </c>
      <c r="AI7990">
        <v>1</v>
      </c>
      <c r="AJ7990">
        <v>1</v>
      </c>
      <c r="AK7990">
        <v>0</v>
      </c>
      <c r="AN7990" t="s">
        <v>7439</v>
      </c>
      <c r="AO7990">
        <v>0</v>
      </c>
      <c r="AU7990">
        <v>12.25</v>
      </c>
      <c r="AV7990" t="s">
        <v>833</v>
      </c>
      <c r="AW7990" t="s">
        <v>46870</v>
      </c>
      <c r="AX7990" t="s">
        <v>46898</v>
      </c>
    </row>
    <row r="7991" spans="1:50">
      <c r="A7991" s="1">
        <f>HYPERLINK("https://lsnyc.legalserver.org/matter/dynamic-profile/view/1899363","19-1899363")</f>
        <v>0</v>
      </c>
      <c r="B7991" t="s">
        <v>136</v>
      </c>
      <c r="C7991" t="s">
        <v>340</v>
      </c>
      <c r="D7991" t="s">
        <v>816</v>
      </c>
      <c r="F7991" t="s">
        <v>4137</v>
      </c>
      <c r="G7991" t="s">
        <v>8529</v>
      </c>
      <c r="H7991" t="s">
        <v>15091</v>
      </c>
      <c r="I7991" t="s">
        <v>17298</v>
      </c>
      <c r="J7991" t="s">
        <v>18892</v>
      </c>
      <c r="K7991">
        <v>10456</v>
      </c>
      <c r="L7991" t="s">
        <v>18958</v>
      </c>
      <c r="M7991" t="s">
        <v>18960</v>
      </c>
      <c r="N7991" t="s">
        <v>24687</v>
      </c>
      <c r="O7991" t="s">
        <v>26523</v>
      </c>
      <c r="P7991" t="s">
        <v>26560</v>
      </c>
      <c r="R7991" t="s">
        <v>26577</v>
      </c>
      <c r="S7991" t="s">
        <v>18959</v>
      </c>
      <c r="U7991" t="s">
        <v>26604</v>
      </c>
      <c r="V7991" t="s">
        <v>26614</v>
      </c>
      <c r="W7991" t="s">
        <v>817</v>
      </c>
      <c r="X7991">
        <v>417</v>
      </c>
      <c r="Y7991" t="s">
        <v>26650</v>
      </c>
      <c r="Z7991" t="s">
        <v>26530</v>
      </c>
      <c r="AB7991" t="s">
        <v>32574</v>
      </c>
      <c r="AD7991" t="s">
        <v>43051</v>
      </c>
      <c r="AE7991">
        <v>0</v>
      </c>
      <c r="AF7991" t="s">
        <v>20460</v>
      </c>
      <c r="AG7991" t="s">
        <v>19330</v>
      </c>
      <c r="AH7991">
        <v>13</v>
      </c>
      <c r="AI7991">
        <v>3</v>
      </c>
      <c r="AJ7991">
        <v>2</v>
      </c>
      <c r="AK7991">
        <v>129.27</v>
      </c>
      <c r="AN7991" t="s">
        <v>7439</v>
      </c>
      <c r="AO7991">
        <v>39000</v>
      </c>
      <c r="AU7991">
        <v>7.75</v>
      </c>
      <c r="AV7991" t="s">
        <v>829</v>
      </c>
      <c r="AW7991" t="s">
        <v>46870</v>
      </c>
      <c r="AX7991" t="s">
        <v>46897</v>
      </c>
    </row>
    <row r="7992" spans="1:50">
      <c r="A7992" s="1">
        <f>HYPERLINK("https://lsnyc.legalserver.org/matter/dynamic-profile/view/1899464","19-1899464")</f>
        <v>0</v>
      </c>
      <c r="B7992" t="s">
        <v>130</v>
      </c>
      <c r="C7992" t="s">
        <v>341</v>
      </c>
      <c r="D7992" t="s">
        <v>817</v>
      </c>
      <c r="E7992" t="s">
        <v>827</v>
      </c>
      <c r="F7992" t="s">
        <v>4138</v>
      </c>
      <c r="G7992" t="s">
        <v>8530</v>
      </c>
      <c r="H7992" t="s">
        <v>15092</v>
      </c>
      <c r="I7992" t="s">
        <v>17291</v>
      </c>
      <c r="J7992" t="s">
        <v>18899</v>
      </c>
      <c r="K7992">
        <v>11385</v>
      </c>
      <c r="L7992" t="s">
        <v>18958</v>
      </c>
      <c r="M7992" t="s">
        <v>18960</v>
      </c>
      <c r="N7992" t="s">
        <v>24688</v>
      </c>
      <c r="O7992" t="s">
        <v>26523</v>
      </c>
      <c r="P7992" t="s">
        <v>26564</v>
      </c>
      <c r="Q7992" t="s">
        <v>26570</v>
      </c>
      <c r="R7992" t="s">
        <v>26585</v>
      </c>
      <c r="S7992" t="s">
        <v>18959</v>
      </c>
      <c r="U7992" t="s">
        <v>26604</v>
      </c>
      <c r="V7992" t="s">
        <v>26610</v>
      </c>
      <c r="W7992" t="s">
        <v>817</v>
      </c>
      <c r="X7992">
        <v>1073</v>
      </c>
      <c r="Y7992" t="s">
        <v>26653</v>
      </c>
      <c r="Z7992" t="s">
        <v>26668</v>
      </c>
      <c r="AA7992" t="s">
        <v>26683</v>
      </c>
      <c r="AB7992" t="s">
        <v>32575</v>
      </c>
      <c r="AD7992" t="s">
        <v>43052</v>
      </c>
      <c r="AE7992">
        <v>6</v>
      </c>
      <c r="AF7992" t="s">
        <v>45541</v>
      </c>
      <c r="AG7992" t="s">
        <v>19330</v>
      </c>
      <c r="AH7992">
        <v>18</v>
      </c>
      <c r="AI7992">
        <v>1</v>
      </c>
      <c r="AJ7992">
        <v>1</v>
      </c>
      <c r="AK7992">
        <v>48.97</v>
      </c>
      <c r="AN7992" t="s">
        <v>45616</v>
      </c>
      <c r="AO7992">
        <v>8280</v>
      </c>
      <c r="AU7992">
        <v>2.4</v>
      </c>
      <c r="AV7992" t="s">
        <v>827</v>
      </c>
      <c r="AW7992" t="s">
        <v>208</v>
      </c>
      <c r="AX7992" t="s">
        <v>46897</v>
      </c>
    </row>
    <row r="7993" spans="1:50">
      <c r="A7993" s="1">
        <f>HYPERLINK("https://lsnyc.legalserver.org/matter/dynamic-profile/view/1899415","19-1899415")</f>
        <v>0</v>
      </c>
      <c r="B7993" t="s">
        <v>136</v>
      </c>
      <c r="C7993" t="s">
        <v>340</v>
      </c>
      <c r="D7993" t="s">
        <v>817</v>
      </c>
      <c r="F7993" t="s">
        <v>4139</v>
      </c>
      <c r="G7993" t="s">
        <v>8531</v>
      </c>
      <c r="H7993" t="s">
        <v>15093</v>
      </c>
      <c r="I7993" t="s">
        <v>17347</v>
      </c>
      <c r="J7993" t="s">
        <v>18892</v>
      </c>
      <c r="K7993">
        <v>10467</v>
      </c>
      <c r="L7993" t="s">
        <v>18958</v>
      </c>
      <c r="M7993" t="s">
        <v>18960</v>
      </c>
      <c r="N7993" t="s">
        <v>24689</v>
      </c>
      <c r="O7993" t="s">
        <v>26523</v>
      </c>
      <c r="P7993" t="s">
        <v>26560</v>
      </c>
      <c r="R7993" t="s">
        <v>26579</v>
      </c>
      <c r="S7993" t="s">
        <v>18959</v>
      </c>
      <c r="U7993" t="s">
        <v>26604</v>
      </c>
      <c r="V7993" t="s">
        <v>26610</v>
      </c>
      <c r="W7993" t="s">
        <v>817</v>
      </c>
      <c r="X7993">
        <v>1428</v>
      </c>
      <c r="Y7993" t="s">
        <v>26650</v>
      </c>
      <c r="Z7993" t="s">
        <v>26664</v>
      </c>
      <c r="AB7993" t="s">
        <v>32576</v>
      </c>
      <c r="AD7993" t="s">
        <v>43053</v>
      </c>
      <c r="AE7993">
        <v>0</v>
      </c>
      <c r="AF7993" t="s">
        <v>45541</v>
      </c>
      <c r="AG7993" t="s">
        <v>45561</v>
      </c>
      <c r="AH7993">
        <v>1</v>
      </c>
      <c r="AI7993">
        <v>1</v>
      </c>
      <c r="AJ7993">
        <v>0</v>
      </c>
      <c r="AK7993">
        <v>0</v>
      </c>
      <c r="AN7993" t="s">
        <v>7439</v>
      </c>
      <c r="AO7993">
        <v>0</v>
      </c>
      <c r="AU7993">
        <v>1.75</v>
      </c>
      <c r="AV7993" t="s">
        <v>832</v>
      </c>
      <c r="AW7993" t="s">
        <v>335</v>
      </c>
      <c r="AX7993" t="s">
        <v>46897</v>
      </c>
    </row>
    <row r="7994" spans="1:50">
      <c r="A7994" s="1">
        <f>HYPERLINK("https://lsnyc.legalserver.org/matter/dynamic-profile/view/1899485","19-1899485")</f>
        <v>0</v>
      </c>
      <c r="B7994" t="s">
        <v>136</v>
      </c>
      <c r="C7994" t="s">
        <v>340</v>
      </c>
      <c r="D7994" t="s">
        <v>817</v>
      </c>
      <c r="F7994" t="s">
        <v>4140</v>
      </c>
      <c r="G7994" t="s">
        <v>5121</v>
      </c>
      <c r="H7994" t="s">
        <v>15094</v>
      </c>
      <c r="I7994" t="s">
        <v>17275</v>
      </c>
      <c r="J7994" t="s">
        <v>18892</v>
      </c>
      <c r="K7994">
        <v>10467</v>
      </c>
      <c r="L7994" t="s">
        <v>18958</v>
      </c>
      <c r="M7994" t="s">
        <v>18960</v>
      </c>
      <c r="N7994" t="s">
        <v>24690</v>
      </c>
      <c r="O7994" t="s">
        <v>26523</v>
      </c>
      <c r="P7994" t="s">
        <v>26560</v>
      </c>
      <c r="R7994" t="s">
        <v>26579</v>
      </c>
      <c r="S7994" t="s">
        <v>18959</v>
      </c>
      <c r="U7994" t="s">
        <v>26604</v>
      </c>
      <c r="V7994" t="s">
        <v>26610</v>
      </c>
      <c r="W7994" t="s">
        <v>817</v>
      </c>
      <c r="X7994">
        <v>1515</v>
      </c>
      <c r="Y7994" t="s">
        <v>26650</v>
      </c>
      <c r="Z7994" t="s">
        <v>26664</v>
      </c>
      <c r="AB7994" t="s">
        <v>32577</v>
      </c>
      <c r="AD7994" t="s">
        <v>43054</v>
      </c>
      <c r="AE7994">
        <v>27</v>
      </c>
      <c r="AF7994" t="s">
        <v>45541</v>
      </c>
      <c r="AG7994" t="s">
        <v>45562</v>
      </c>
      <c r="AH7994">
        <v>1</v>
      </c>
      <c r="AI7994">
        <v>1</v>
      </c>
      <c r="AJ7994">
        <v>2</v>
      </c>
      <c r="AK7994">
        <v>0</v>
      </c>
      <c r="AN7994" t="s">
        <v>45581</v>
      </c>
      <c r="AO7994">
        <v>0</v>
      </c>
      <c r="AU7994">
        <v>6.5</v>
      </c>
      <c r="AV7994" t="s">
        <v>807</v>
      </c>
      <c r="AW7994" t="s">
        <v>335</v>
      </c>
      <c r="AX7994" t="s">
        <v>46897</v>
      </c>
    </row>
    <row r="7995" spans="1:50">
      <c r="A7995" s="1">
        <f>HYPERLINK("https://lsnyc.legalserver.org/matter/dynamic-profile/view/1899459","19-1899459")</f>
        <v>0</v>
      </c>
      <c r="B7995" t="s">
        <v>107</v>
      </c>
      <c r="C7995" t="s">
        <v>340</v>
      </c>
      <c r="D7995" t="s">
        <v>817</v>
      </c>
      <c r="F7995" t="s">
        <v>4141</v>
      </c>
      <c r="G7995" t="s">
        <v>4309</v>
      </c>
      <c r="H7995" t="s">
        <v>15095</v>
      </c>
      <c r="I7995" t="s">
        <v>17491</v>
      </c>
      <c r="J7995" t="s">
        <v>18901</v>
      </c>
      <c r="K7995">
        <v>11433</v>
      </c>
      <c r="L7995" t="s">
        <v>18958</v>
      </c>
      <c r="M7995" t="s">
        <v>18960</v>
      </c>
      <c r="N7995" t="s">
        <v>24691</v>
      </c>
      <c r="O7995" t="s">
        <v>26524</v>
      </c>
      <c r="P7995" t="s">
        <v>26564</v>
      </c>
      <c r="R7995" t="s">
        <v>26585</v>
      </c>
      <c r="S7995" t="s">
        <v>18959</v>
      </c>
      <c r="U7995" t="s">
        <v>26604</v>
      </c>
      <c r="V7995" t="s">
        <v>26610</v>
      </c>
      <c r="W7995" t="s">
        <v>817</v>
      </c>
      <c r="X7995">
        <v>800</v>
      </c>
      <c r="Y7995" t="s">
        <v>26653</v>
      </c>
      <c r="Z7995" t="s">
        <v>26668</v>
      </c>
      <c r="AB7995" t="s">
        <v>32578</v>
      </c>
      <c r="AC7995" t="s">
        <v>19045</v>
      </c>
      <c r="AD7995" t="s">
        <v>43055</v>
      </c>
      <c r="AE7995">
        <v>2</v>
      </c>
      <c r="AF7995" t="s">
        <v>45547</v>
      </c>
      <c r="AG7995" t="s">
        <v>26530</v>
      </c>
      <c r="AH7995">
        <v>2</v>
      </c>
      <c r="AI7995">
        <v>1</v>
      </c>
      <c r="AJ7995">
        <v>0</v>
      </c>
      <c r="AK7995">
        <v>41.12</v>
      </c>
      <c r="AN7995" t="s">
        <v>7439</v>
      </c>
      <c r="AO7995">
        <v>5136</v>
      </c>
      <c r="AQ7995" t="s">
        <v>46362</v>
      </c>
      <c r="AR7995" t="s">
        <v>46497</v>
      </c>
      <c r="AS7995" t="s">
        <v>46500</v>
      </c>
      <c r="AT7995" t="s">
        <v>46808</v>
      </c>
      <c r="AU7995">
        <v>6.55</v>
      </c>
      <c r="AV7995" t="s">
        <v>830</v>
      </c>
      <c r="AW7995" t="s">
        <v>208</v>
      </c>
      <c r="AX7995" t="s">
        <v>46897</v>
      </c>
    </row>
    <row r="7996" spans="1:50">
      <c r="A7996" s="1">
        <f>HYPERLINK("https://lsnyc.legalserver.org/matter/dynamic-profile/view/1899539","19-1899539")</f>
        <v>0</v>
      </c>
      <c r="B7996" t="s">
        <v>70</v>
      </c>
      <c r="C7996" t="s">
        <v>340</v>
      </c>
      <c r="D7996" t="s">
        <v>817</v>
      </c>
      <c r="F7996" t="s">
        <v>4142</v>
      </c>
      <c r="G7996" t="s">
        <v>8532</v>
      </c>
      <c r="H7996" t="s">
        <v>15096</v>
      </c>
      <c r="I7996" t="s">
        <v>18443</v>
      </c>
      <c r="J7996" t="s">
        <v>18892</v>
      </c>
      <c r="K7996">
        <v>10473</v>
      </c>
      <c r="L7996" t="s">
        <v>18958</v>
      </c>
      <c r="M7996" t="s">
        <v>18960</v>
      </c>
      <c r="N7996" t="s">
        <v>24692</v>
      </c>
      <c r="O7996" t="s">
        <v>26523</v>
      </c>
      <c r="P7996" t="s">
        <v>26560</v>
      </c>
      <c r="R7996" t="s">
        <v>26577</v>
      </c>
      <c r="S7996" t="s">
        <v>18959</v>
      </c>
      <c r="U7996" t="s">
        <v>26604</v>
      </c>
      <c r="W7996" t="s">
        <v>817</v>
      </c>
      <c r="X7996">
        <v>838.6</v>
      </c>
      <c r="Y7996" t="s">
        <v>26650</v>
      </c>
      <c r="AB7996" t="s">
        <v>32579</v>
      </c>
      <c r="AC7996" t="s">
        <v>36441</v>
      </c>
      <c r="AD7996" t="s">
        <v>43056</v>
      </c>
      <c r="AE7996">
        <v>0</v>
      </c>
      <c r="AH7996">
        <v>15</v>
      </c>
      <c r="AI7996">
        <v>2</v>
      </c>
      <c r="AJ7996">
        <v>1</v>
      </c>
      <c r="AK7996">
        <v>47.82</v>
      </c>
      <c r="AN7996" t="s">
        <v>7439</v>
      </c>
      <c r="AO7996">
        <v>10200</v>
      </c>
      <c r="AU7996">
        <v>2.8</v>
      </c>
      <c r="AV7996" t="s">
        <v>839</v>
      </c>
      <c r="AW7996" t="s">
        <v>335</v>
      </c>
      <c r="AX7996" t="s">
        <v>46898</v>
      </c>
    </row>
    <row r="7997" spans="1:50">
      <c r="A7997" s="1">
        <f>HYPERLINK("https://lsnyc.legalserver.org/matter/dynamic-profile/view/1899507","19-1899507")</f>
        <v>0</v>
      </c>
      <c r="B7997" t="s">
        <v>143</v>
      </c>
      <c r="C7997" t="s">
        <v>340</v>
      </c>
      <c r="D7997" t="s">
        <v>817</v>
      </c>
      <c r="F7997" t="s">
        <v>1045</v>
      </c>
      <c r="G7997" t="s">
        <v>5337</v>
      </c>
      <c r="H7997" t="s">
        <v>9950</v>
      </c>
      <c r="I7997" t="s">
        <v>17420</v>
      </c>
      <c r="J7997" t="s">
        <v>18892</v>
      </c>
      <c r="K7997">
        <v>10457</v>
      </c>
      <c r="L7997" t="s">
        <v>18958</v>
      </c>
      <c r="M7997" t="s">
        <v>18960</v>
      </c>
      <c r="N7997" t="s">
        <v>24693</v>
      </c>
      <c r="O7997" t="s">
        <v>26524</v>
      </c>
      <c r="P7997" t="s">
        <v>26560</v>
      </c>
      <c r="R7997" t="s">
        <v>26579</v>
      </c>
      <c r="S7997" t="s">
        <v>18959</v>
      </c>
      <c r="U7997" t="s">
        <v>26604</v>
      </c>
      <c r="V7997" t="s">
        <v>26610</v>
      </c>
      <c r="W7997" t="s">
        <v>817</v>
      </c>
      <c r="X7997">
        <v>1574.36</v>
      </c>
      <c r="Y7997" t="s">
        <v>26650</v>
      </c>
      <c r="Z7997" t="s">
        <v>26659</v>
      </c>
      <c r="AB7997" t="s">
        <v>27037</v>
      </c>
      <c r="AC7997" t="s">
        <v>34590</v>
      </c>
      <c r="AD7997" t="s">
        <v>37122</v>
      </c>
      <c r="AE7997">
        <v>54</v>
      </c>
      <c r="AF7997" t="s">
        <v>45541</v>
      </c>
      <c r="AG7997" t="s">
        <v>45556</v>
      </c>
      <c r="AH7997">
        <v>10</v>
      </c>
      <c r="AI7997">
        <v>1</v>
      </c>
      <c r="AJ7997">
        <v>0</v>
      </c>
      <c r="AK7997">
        <v>79.55</v>
      </c>
      <c r="AN7997" t="s">
        <v>7439</v>
      </c>
      <c r="AO7997">
        <v>9936</v>
      </c>
      <c r="AU7997">
        <v>9.1</v>
      </c>
      <c r="AV7997" t="s">
        <v>839</v>
      </c>
      <c r="AW7997" t="s">
        <v>46832</v>
      </c>
      <c r="AX7997" t="s">
        <v>46898</v>
      </c>
    </row>
    <row r="7998" spans="1:50">
      <c r="A7998" s="1">
        <f>HYPERLINK("https://lsnyc.legalserver.org/matter/dynamic-profile/view/1899416","19-1899416")</f>
        <v>0</v>
      </c>
      <c r="B7998" t="s">
        <v>131</v>
      </c>
      <c r="C7998" t="s">
        <v>340</v>
      </c>
      <c r="D7998" t="s">
        <v>817</v>
      </c>
      <c r="F7998" t="s">
        <v>1527</v>
      </c>
      <c r="G7998" t="s">
        <v>5740</v>
      </c>
      <c r="H7998" t="s">
        <v>15097</v>
      </c>
      <c r="J7998" t="s">
        <v>18902</v>
      </c>
      <c r="K7998">
        <v>10314</v>
      </c>
      <c r="L7998" t="s">
        <v>18958</v>
      </c>
      <c r="M7998" t="s">
        <v>18960</v>
      </c>
      <c r="N7998" t="s">
        <v>24694</v>
      </c>
      <c r="O7998" t="s">
        <v>26524</v>
      </c>
      <c r="R7998" t="s">
        <v>26590</v>
      </c>
      <c r="S7998" t="s">
        <v>18959</v>
      </c>
      <c r="U7998" t="s">
        <v>26604</v>
      </c>
      <c r="V7998" t="s">
        <v>26610</v>
      </c>
      <c r="W7998" t="s">
        <v>817</v>
      </c>
      <c r="X7998">
        <v>4600</v>
      </c>
      <c r="Y7998" t="s">
        <v>26654</v>
      </c>
      <c r="Z7998" t="s">
        <v>26668</v>
      </c>
      <c r="AB7998" t="s">
        <v>28052</v>
      </c>
      <c r="AD7998" t="s">
        <v>43057</v>
      </c>
      <c r="AE7998">
        <v>0</v>
      </c>
      <c r="AF7998" t="s">
        <v>45547</v>
      </c>
      <c r="AG7998" t="s">
        <v>19330</v>
      </c>
      <c r="AH7998">
        <v>11</v>
      </c>
      <c r="AI7998">
        <v>1</v>
      </c>
      <c r="AJ7998">
        <v>1</v>
      </c>
      <c r="AK7998">
        <v>24.13</v>
      </c>
      <c r="AN7998" t="s">
        <v>7439</v>
      </c>
      <c r="AO7998">
        <v>4080</v>
      </c>
      <c r="AU7998">
        <v>27.85</v>
      </c>
      <c r="AV7998" t="s">
        <v>838</v>
      </c>
      <c r="AW7998" t="s">
        <v>46883</v>
      </c>
      <c r="AX7998" t="s">
        <v>46897</v>
      </c>
    </row>
    <row r="7999" spans="1:50">
      <c r="A7999" s="1">
        <f>HYPERLINK("https://lsnyc.legalserver.org/matter/dynamic-profile/view/1899505","19-1899505")</f>
        <v>0</v>
      </c>
      <c r="B7999" t="s">
        <v>81</v>
      </c>
      <c r="C7999" t="s">
        <v>340</v>
      </c>
      <c r="D7999" t="s">
        <v>817</v>
      </c>
      <c r="F7999" t="s">
        <v>1009</v>
      </c>
      <c r="G7999" t="s">
        <v>5785</v>
      </c>
      <c r="H7999" t="s">
        <v>15098</v>
      </c>
      <c r="I7999" t="s">
        <v>17600</v>
      </c>
      <c r="J7999" t="s">
        <v>18892</v>
      </c>
      <c r="K7999">
        <v>10453</v>
      </c>
      <c r="L7999" t="s">
        <v>18958</v>
      </c>
      <c r="M7999" t="s">
        <v>18960</v>
      </c>
      <c r="N7999" t="s">
        <v>24695</v>
      </c>
      <c r="O7999" t="s">
        <v>26523</v>
      </c>
      <c r="P7999" t="s">
        <v>26560</v>
      </c>
      <c r="R7999" t="s">
        <v>26577</v>
      </c>
      <c r="S7999" t="s">
        <v>18959</v>
      </c>
      <c r="U7999" t="s">
        <v>26604</v>
      </c>
      <c r="V7999" t="s">
        <v>26610</v>
      </c>
      <c r="W7999" t="s">
        <v>817</v>
      </c>
      <c r="X7999">
        <v>2026.06</v>
      </c>
      <c r="Y7999" t="s">
        <v>26650</v>
      </c>
      <c r="Z7999" t="s">
        <v>26668</v>
      </c>
      <c r="AB7999" t="s">
        <v>32580</v>
      </c>
      <c r="AC7999" t="s">
        <v>36442</v>
      </c>
      <c r="AD7999" t="s">
        <v>43058</v>
      </c>
      <c r="AE7999">
        <v>150</v>
      </c>
      <c r="AF7999" t="s">
        <v>45547</v>
      </c>
      <c r="AG7999" t="s">
        <v>45557</v>
      </c>
      <c r="AH7999">
        <v>5</v>
      </c>
      <c r="AI7999">
        <v>1</v>
      </c>
      <c r="AJ7999">
        <v>6</v>
      </c>
      <c r="AK7999">
        <v>80.18000000000001</v>
      </c>
      <c r="AN7999" t="s">
        <v>7439</v>
      </c>
      <c r="AO7999">
        <v>31280</v>
      </c>
      <c r="AP7999" t="s">
        <v>46059</v>
      </c>
      <c r="AU7999">
        <v>4.3</v>
      </c>
      <c r="AV7999" t="s">
        <v>833</v>
      </c>
      <c r="AW7999" t="s">
        <v>329</v>
      </c>
      <c r="AX7999" t="s">
        <v>46898</v>
      </c>
    </row>
    <row r="8000" spans="1:50">
      <c r="A8000" s="1">
        <f>HYPERLINK("https://lsnyc.legalserver.org/matter/dynamic-profile/view/1899428","19-1899428")</f>
        <v>0</v>
      </c>
      <c r="B8000" t="s">
        <v>153</v>
      </c>
      <c r="C8000" t="s">
        <v>340</v>
      </c>
      <c r="D8000" t="s">
        <v>817</v>
      </c>
      <c r="F8000" t="s">
        <v>887</v>
      </c>
      <c r="G8000" t="s">
        <v>8533</v>
      </c>
      <c r="H8000" t="s">
        <v>15099</v>
      </c>
      <c r="J8000" t="s">
        <v>18902</v>
      </c>
      <c r="K8000">
        <v>10314</v>
      </c>
      <c r="L8000" t="s">
        <v>18958</v>
      </c>
      <c r="M8000" t="s">
        <v>18960</v>
      </c>
      <c r="N8000" t="s">
        <v>24696</v>
      </c>
      <c r="O8000" t="s">
        <v>26524</v>
      </c>
      <c r="R8000" t="s">
        <v>26590</v>
      </c>
      <c r="S8000" t="s">
        <v>18959</v>
      </c>
      <c r="U8000" t="s">
        <v>26604</v>
      </c>
      <c r="V8000" t="s">
        <v>26610</v>
      </c>
      <c r="W8000" t="s">
        <v>817</v>
      </c>
      <c r="X8000">
        <v>1900</v>
      </c>
      <c r="Y8000" t="s">
        <v>26654</v>
      </c>
      <c r="Z8000" t="s">
        <v>26668</v>
      </c>
      <c r="AB8000" t="s">
        <v>32581</v>
      </c>
      <c r="AD8000" t="s">
        <v>43059</v>
      </c>
      <c r="AE8000">
        <v>1</v>
      </c>
      <c r="AF8000" t="s">
        <v>45547</v>
      </c>
      <c r="AG8000" t="s">
        <v>19330</v>
      </c>
      <c r="AH8000">
        <v>12</v>
      </c>
      <c r="AI8000">
        <v>4</v>
      </c>
      <c r="AJ8000">
        <v>2</v>
      </c>
      <c r="AK8000">
        <v>290.84</v>
      </c>
      <c r="AN8000" t="s">
        <v>7439</v>
      </c>
      <c r="AO8000">
        <v>100600</v>
      </c>
      <c r="AU8000">
        <v>3.95</v>
      </c>
      <c r="AV8000" t="s">
        <v>831</v>
      </c>
      <c r="AW8000" t="s">
        <v>46883</v>
      </c>
      <c r="AX8000" t="s">
        <v>46897</v>
      </c>
    </row>
    <row r="8001" spans="1:50">
      <c r="A8001" s="1">
        <f>HYPERLINK("https://lsnyc.legalserver.org/matter/dynamic-profile/view/1899410","19-1899410")</f>
        <v>0</v>
      </c>
      <c r="B8001" t="s">
        <v>253</v>
      </c>
      <c r="C8001" t="s">
        <v>340</v>
      </c>
      <c r="D8001" t="s">
        <v>817</v>
      </c>
      <c r="F8001" t="s">
        <v>4143</v>
      </c>
      <c r="G8001" t="s">
        <v>5100</v>
      </c>
      <c r="H8001" t="s">
        <v>15100</v>
      </c>
      <c r="I8001">
        <v>401</v>
      </c>
      <c r="J8001" t="s">
        <v>18892</v>
      </c>
      <c r="K8001">
        <v>10468</v>
      </c>
      <c r="L8001" t="s">
        <v>18958</v>
      </c>
      <c r="M8001" t="s">
        <v>18960</v>
      </c>
      <c r="N8001" t="s">
        <v>24697</v>
      </c>
      <c r="O8001" t="s">
        <v>26523</v>
      </c>
      <c r="P8001" t="s">
        <v>26560</v>
      </c>
      <c r="R8001" t="s">
        <v>26579</v>
      </c>
      <c r="S8001" t="s">
        <v>18959</v>
      </c>
      <c r="U8001" t="s">
        <v>26604</v>
      </c>
      <c r="V8001" t="s">
        <v>26610</v>
      </c>
      <c r="W8001" t="s">
        <v>817</v>
      </c>
      <c r="X8001">
        <v>796</v>
      </c>
      <c r="Y8001" t="s">
        <v>26650</v>
      </c>
      <c r="AB8001" t="s">
        <v>32582</v>
      </c>
      <c r="AC8001" t="s">
        <v>36443</v>
      </c>
      <c r="AD8001" t="s">
        <v>43060</v>
      </c>
      <c r="AE8001">
        <v>0</v>
      </c>
      <c r="AF8001" t="s">
        <v>45542</v>
      </c>
      <c r="AG8001" t="s">
        <v>19330</v>
      </c>
      <c r="AH8001">
        <v>6</v>
      </c>
      <c r="AI8001">
        <v>1</v>
      </c>
      <c r="AJ8001">
        <v>0</v>
      </c>
      <c r="AK8001">
        <v>265.27</v>
      </c>
      <c r="AN8001" t="s">
        <v>45581</v>
      </c>
      <c r="AO8001">
        <v>33132</v>
      </c>
      <c r="AU8001">
        <v>4.7</v>
      </c>
      <c r="AV8001" t="s">
        <v>834</v>
      </c>
      <c r="AW8001" t="s">
        <v>329</v>
      </c>
      <c r="AX8001" t="s">
        <v>46898</v>
      </c>
    </row>
    <row r="8002" spans="1:50">
      <c r="A8002" s="1">
        <f>HYPERLINK("https://lsnyc.legalserver.org/matter/dynamic-profile/view/1899526","19-1899526")</f>
        <v>0</v>
      </c>
      <c r="B8002" t="s">
        <v>159</v>
      </c>
      <c r="C8002" t="s">
        <v>340</v>
      </c>
      <c r="D8002" t="s">
        <v>817</v>
      </c>
      <c r="F8002" t="s">
        <v>4144</v>
      </c>
      <c r="G8002" t="s">
        <v>8534</v>
      </c>
      <c r="H8002" t="s">
        <v>15101</v>
      </c>
      <c r="J8002" t="s">
        <v>18901</v>
      </c>
      <c r="K8002">
        <v>11434</v>
      </c>
      <c r="L8002" t="s">
        <v>18958</v>
      </c>
      <c r="M8002" t="s">
        <v>18960</v>
      </c>
      <c r="N8002" t="s">
        <v>24698</v>
      </c>
      <c r="P8002" t="s">
        <v>26560</v>
      </c>
      <c r="R8002" t="s">
        <v>26584</v>
      </c>
      <c r="S8002" t="s">
        <v>18959</v>
      </c>
      <c r="U8002" t="s">
        <v>26604</v>
      </c>
      <c r="V8002" t="s">
        <v>26610</v>
      </c>
      <c r="W8002" t="s">
        <v>817</v>
      </c>
      <c r="X8002">
        <v>2300</v>
      </c>
      <c r="Y8002" t="s">
        <v>26653</v>
      </c>
      <c r="Z8002" t="s">
        <v>26668</v>
      </c>
      <c r="AB8002" t="s">
        <v>32583</v>
      </c>
      <c r="AC8002" t="s">
        <v>36444</v>
      </c>
      <c r="AD8002" t="s">
        <v>43061</v>
      </c>
      <c r="AE8002">
        <v>2</v>
      </c>
      <c r="AF8002" t="s">
        <v>45547</v>
      </c>
      <c r="AG8002" t="s">
        <v>45556</v>
      </c>
      <c r="AH8002">
        <v>1</v>
      </c>
      <c r="AI8002">
        <v>3</v>
      </c>
      <c r="AJ8002">
        <v>0</v>
      </c>
      <c r="AK8002">
        <v>212.71</v>
      </c>
      <c r="AL8002" t="s">
        <v>808</v>
      </c>
      <c r="AM8002" t="s">
        <v>45575</v>
      </c>
      <c r="AN8002" t="s">
        <v>7439</v>
      </c>
      <c r="AO8002">
        <v>45371.51</v>
      </c>
      <c r="AU8002">
        <v>20.9</v>
      </c>
      <c r="AV8002" t="s">
        <v>834</v>
      </c>
      <c r="AW8002" t="s">
        <v>282</v>
      </c>
    </row>
    <row r="8003" spans="1:50">
      <c r="A8003" s="1">
        <f>HYPERLINK("https://lsnyc.legalserver.org/matter/dynamic-profile/view/1899525","19-1899525")</f>
        <v>0</v>
      </c>
      <c r="B8003" t="s">
        <v>82</v>
      </c>
      <c r="C8003" t="s">
        <v>340</v>
      </c>
      <c r="D8003" t="s">
        <v>817</v>
      </c>
      <c r="F8003" t="s">
        <v>1734</v>
      </c>
      <c r="G8003" t="s">
        <v>8535</v>
      </c>
      <c r="H8003" t="s">
        <v>11876</v>
      </c>
      <c r="I8003" t="s">
        <v>17277</v>
      </c>
      <c r="J8003" t="s">
        <v>18892</v>
      </c>
      <c r="K8003">
        <v>10457</v>
      </c>
      <c r="L8003" t="s">
        <v>18958</v>
      </c>
      <c r="M8003" t="s">
        <v>18960</v>
      </c>
      <c r="N8003" t="s">
        <v>24699</v>
      </c>
      <c r="O8003" t="s">
        <v>26523</v>
      </c>
      <c r="P8003" t="s">
        <v>26560</v>
      </c>
      <c r="R8003" t="s">
        <v>26579</v>
      </c>
      <c r="S8003" t="s">
        <v>18959</v>
      </c>
      <c r="U8003" t="s">
        <v>26604</v>
      </c>
      <c r="W8003" t="s">
        <v>817</v>
      </c>
      <c r="X8003">
        <v>1601</v>
      </c>
      <c r="Y8003" t="s">
        <v>26650</v>
      </c>
      <c r="AB8003" t="s">
        <v>30022</v>
      </c>
      <c r="AE8003">
        <v>0</v>
      </c>
      <c r="AF8003" t="s">
        <v>45541</v>
      </c>
      <c r="AG8003" t="s">
        <v>45556</v>
      </c>
      <c r="AH8003">
        <v>17</v>
      </c>
      <c r="AI8003">
        <v>5</v>
      </c>
      <c r="AJ8003">
        <v>0</v>
      </c>
      <c r="AK8003">
        <v>123.73</v>
      </c>
      <c r="AN8003" t="s">
        <v>45581</v>
      </c>
      <c r="AO8003">
        <v>37330.36</v>
      </c>
      <c r="AU8003">
        <v>2.5</v>
      </c>
      <c r="AV8003" t="s">
        <v>773</v>
      </c>
      <c r="AW8003" t="s">
        <v>335</v>
      </c>
      <c r="AX8003" t="s">
        <v>46897</v>
      </c>
    </row>
    <row r="8004" spans="1:50">
      <c r="A8004" s="1">
        <f>HYPERLINK("https://lsnyc.legalserver.org/matter/dynamic-profile/view/1899492","19-1899492")</f>
        <v>0</v>
      </c>
      <c r="B8004" t="s">
        <v>82</v>
      </c>
      <c r="C8004" t="s">
        <v>340</v>
      </c>
      <c r="D8004" t="s">
        <v>817</v>
      </c>
      <c r="F8004" t="s">
        <v>4145</v>
      </c>
      <c r="G8004" t="s">
        <v>8536</v>
      </c>
      <c r="H8004" t="s">
        <v>10536</v>
      </c>
      <c r="I8004" t="s">
        <v>17440</v>
      </c>
      <c r="J8004" t="s">
        <v>18892</v>
      </c>
      <c r="K8004">
        <v>10467</v>
      </c>
      <c r="L8004" t="s">
        <v>18958</v>
      </c>
      <c r="M8004" t="s">
        <v>18960</v>
      </c>
      <c r="N8004" t="s">
        <v>24700</v>
      </c>
      <c r="O8004" t="s">
        <v>26523</v>
      </c>
      <c r="P8004" t="s">
        <v>26560</v>
      </c>
      <c r="R8004" t="s">
        <v>26579</v>
      </c>
      <c r="S8004" t="s">
        <v>18959</v>
      </c>
      <c r="U8004" t="s">
        <v>26604</v>
      </c>
      <c r="V8004" t="s">
        <v>26610</v>
      </c>
      <c r="W8004" t="s">
        <v>817</v>
      </c>
      <c r="X8004">
        <v>1614.75</v>
      </c>
      <c r="Y8004" t="s">
        <v>26650</v>
      </c>
      <c r="Z8004" t="s">
        <v>26664</v>
      </c>
      <c r="AB8004" t="s">
        <v>32584</v>
      </c>
      <c r="AE8004">
        <v>62</v>
      </c>
      <c r="AF8004" t="s">
        <v>45541</v>
      </c>
      <c r="AG8004" t="s">
        <v>19330</v>
      </c>
      <c r="AH8004">
        <v>13</v>
      </c>
      <c r="AI8004">
        <v>2</v>
      </c>
      <c r="AJ8004">
        <v>1</v>
      </c>
      <c r="AK8004">
        <v>134.08</v>
      </c>
      <c r="AN8004" t="s">
        <v>45581</v>
      </c>
      <c r="AO8004">
        <v>28600</v>
      </c>
      <c r="AU8004">
        <v>2.5</v>
      </c>
      <c r="AV8004" t="s">
        <v>827</v>
      </c>
      <c r="AW8004" t="s">
        <v>335</v>
      </c>
      <c r="AX8004" t="s">
        <v>46897</v>
      </c>
    </row>
    <row r="8005" spans="1:50">
      <c r="A8005" s="1">
        <f>HYPERLINK("https://lsnyc.legalserver.org/matter/dynamic-profile/view/1899474","19-1899474")</f>
        <v>0</v>
      </c>
      <c r="B8005" t="s">
        <v>102</v>
      </c>
      <c r="C8005" t="s">
        <v>340</v>
      </c>
      <c r="D8005" t="s">
        <v>817</v>
      </c>
      <c r="F8005" t="s">
        <v>1417</v>
      </c>
      <c r="G8005" t="s">
        <v>2975</v>
      </c>
      <c r="H8005" t="s">
        <v>12727</v>
      </c>
      <c r="I8005" t="s">
        <v>18523</v>
      </c>
      <c r="J8005" t="s">
        <v>18902</v>
      </c>
      <c r="K8005">
        <v>10302</v>
      </c>
      <c r="L8005" t="s">
        <v>18960</v>
      </c>
      <c r="M8005" t="s">
        <v>18960</v>
      </c>
      <c r="N8005" t="s">
        <v>24701</v>
      </c>
      <c r="O8005" t="s">
        <v>26524</v>
      </c>
      <c r="R8005" t="s">
        <v>26590</v>
      </c>
      <c r="S8005" t="s">
        <v>18959</v>
      </c>
      <c r="U8005" t="s">
        <v>26604</v>
      </c>
      <c r="V8005" t="s">
        <v>26610</v>
      </c>
      <c r="W8005" t="s">
        <v>817</v>
      </c>
      <c r="X8005">
        <v>1250</v>
      </c>
      <c r="Y8005" t="s">
        <v>26654</v>
      </c>
      <c r="Z8005" t="s">
        <v>26659</v>
      </c>
      <c r="AB8005" t="s">
        <v>29998</v>
      </c>
      <c r="AC8005" t="s">
        <v>35660</v>
      </c>
      <c r="AD8005" t="s">
        <v>40124</v>
      </c>
      <c r="AE8005">
        <v>3</v>
      </c>
      <c r="AG8005" t="s">
        <v>45557</v>
      </c>
      <c r="AH8005">
        <v>5</v>
      </c>
      <c r="AI8005">
        <v>1</v>
      </c>
      <c r="AJ8005">
        <v>1</v>
      </c>
      <c r="AK8005">
        <v>64.44</v>
      </c>
      <c r="AO8005">
        <v>10896</v>
      </c>
      <c r="AU8005">
        <v>6</v>
      </c>
      <c r="AV8005" t="s">
        <v>827</v>
      </c>
      <c r="AW8005" t="s">
        <v>46883</v>
      </c>
    </row>
    <row r="8006" spans="1:50">
      <c r="A8006" s="1">
        <f>HYPERLINK("https://lsnyc.legalserver.org/matter/dynamic-profile/view/1899523","19-1899523")</f>
        <v>0</v>
      </c>
      <c r="B8006" t="s">
        <v>199</v>
      </c>
      <c r="C8006" t="s">
        <v>340</v>
      </c>
      <c r="D8006" t="s">
        <v>817</v>
      </c>
      <c r="F8006" t="s">
        <v>2264</v>
      </c>
      <c r="G8006" t="s">
        <v>6456</v>
      </c>
      <c r="H8006" t="s">
        <v>11648</v>
      </c>
      <c r="I8006" t="s">
        <v>17490</v>
      </c>
      <c r="J8006" t="s">
        <v>18894</v>
      </c>
      <c r="K8006">
        <v>11238</v>
      </c>
      <c r="L8006" t="s">
        <v>18958</v>
      </c>
      <c r="M8006" t="s">
        <v>18960</v>
      </c>
      <c r="O8006" t="s">
        <v>18997</v>
      </c>
      <c r="P8006" t="s">
        <v>26562</v>
      </c>
      <c r="R8006" t="s">
        <v>26578</v>
      </c>
      <c r="S8006" t="s">
        <v>18959</v>
      </c>
      <c r="U8006" t="s">
        <v>26604</v>
      </c>
      <c r="V8006" t="s">
        <v>26610</v>
      </c>
      <c r="W8006" t="s">
        <v>817</v>
      </c>
      <c r="X8006">
        <v>993.77</v>
      </c>
      <c r="Y8006" t="s">
        <v>26652</v>
      </c>
      <c r="Z8006" t="s">
        <v>26659</v>
      </c>
      <c r="AB8006" t="s">
        <v>28855</v>
      </c>
      <c r="AD8006" t="s">
        <v>38915</v>
      </c>
      <c r="AE8006">
        <v>20</v>
      </c>
      <c r="AF8006" t="s">
        <v>45541</v>
      </c>
      <c r="AG8006" t="s">
        <v>19330</v>
      </c>
      <c r="AH8006">
        <v>35</v>
      </c>
      <c r="AI8006">
        <v>2</v>
      </c>
      <c r="AJ8006">
        <v>0</v>
      </c>
      <c r="AK8006">
        <v>210.48</v>
      </c>
      <c r="AL8006" t="s">
        <v>820</v>
      </c>
      <c r="AM8006" t="s">
        <v>45575</v>
      </c>
      <c r="AN8006" t="s">
        <v>7439</v>
      </c>
      <c r="AO8006">
        <v>35592</v>
      </c>
      <c r="AU8006">
        <v>2.8</v>
      </c>
      <c r="AV8006" t="s">
        <v>807</v>
      </c>
      <c r="AW8006" t="s">
        <v>199</v>
      </c>
      <c r="AX8006" t="s">
        <v>46897</v>
      </c>
    </row>
    <row r="8007" spans="1:50">
      <c r="A8007" s="1">
        <f>HYPERLINK("https://lsnyc.legalserver.org/matter/dynamic-profile/view/1899456","19-1899456")</f>
        <v>0</v>
      </c>
      <c r="B8007" t="s">
        <v>103</v>
      </c>
      <c r="C8007" t="s">
        <v>340</v>
      </c>
      <c r="D8007" t="s">
        <v>817</v>
      </c>
      <c r="F8007" t="s">
        <v>1029</v>
      </c>
      <c r="G8007" t="s">
        <v>8537</v>
      </c>
      <c r="H8007" t="s">
        <v>15102</v>
      </c>
      <c r="I8007" t="s">
        <v>18188</v>
      </c>
      <c r="J8007" t="s">
        <v>18902</v>
      </c>
      <c r="K8007">
        <v>10310</v>
      </c>
      <c r="L8007" t="s">
        <v>18958</v>
      </c>
      <c r="M8007" t="s">
        <v>18960</v>
      </c>
      <c r="N8007" t="s">
        <v>24702</v>
      </c>
      <c r="O8007" t="s">
        <v>26523</v>
      </c>
      <c r="P8007" t="s">
        <v>26560</v>
      </c>
      <c r="R8007" t="s">
        <v>26590</v>
      </c>
      <c r="S8007" t="s">
        <v>18959</v>
      </c>
      <c r="U8007" t="s">
        <v>26604</v>
      </c>
      <c r="V8007" t="s">
        <v>26610</v>
      </c>
      <c r="W8007" t="s">
        <v>817</v>
      </c>
      <c r="X8007">
        <v>1515</v>
      </c>
      <c r="Y8007" t="s">
        <v>26654</v>
      </c>
      <c r="Z8007" t="s">
        <v>26668</v>
      </c>
      <c r="AB8007" t="s">
        <v>32585</v>
      </c>
      <c r="AD8007" t="s">
        <v>43062</v>
      </c>
      <c r="AE8007">
        <v>4</v>
      </c>
      <c r="AF8007" t="s">
        <v>20460</v>
      </c>
      <c r="AH8007">
        <v>3</v>
      </c>
      <c r="AI8007">
        <v>2</v>
      </c>
      <c r="AJ8007">
        <v>2</v>
      </c>
      <c r="AK8007">
        <v>139.81</v>
      </c>
      <c r="AN8007" t="s">
        <v>7439</v>
      </c>
      <c r="AO8007">
        <v>36000</v>
      </c>
      <c r="AU8007">
        <v>2.2</v>
      </c>
      <c r="AV8007" t="s">
        <v>827</v>
      </c>
      <c r="AW8007" t="s">
        <v>46883</v>
      </c>
      <c r="AX8007" t="s">
        <v>46897</v>
      </c>
    </row>
    <row r="8008" spans="1:50">
      <c r="A8008" s="1">
        <f>HYPERLINK("https://lsnyc.legalserver.org/matter/dynamic-profile/view/1899441","19-1899441")</f>
        <v>0</v>
      </c>
      <c r="B8008" t="s">
        <v>112</v>
      </c>
      <c r="C8008" t="s">
        <v>340</v>
      </c>
      <c r="D8008" t="s">
        <v>817</v>
      </c>
      <c r="F8008" t="s">
        <v>3180</v>
      </c>
      <c r="G8008" t="s">
        <v>8538</v>
      </c>
      <c r="H8008" t="s">
        <v>15103</v>
      </c>
      <c r="J8008" t="s">
        <v>18932</v>
      </c>
      <c r="K8008">
        <v>11385</v>
      </c>
      <c r="L8008" t="s">
        <v>18958</v>
      </c>
      <c r="M8008" t="s">
        <v>18960</v>
      </c>
      <c r="N8008" t="s">
        <v>24703</v>
      </c>
      <c r="O8008" t="s">
        <v>26524</v>
      </c>
      <c r="P8008" t="s">
        <v>26560</v>
      </c>
      <c r="R8008" t="s">
        <v>26585</v>
      </c>
      <c r="S8008" t="s">
        <v>18959</v>
      </c>
      <c r="U8008" t="s">
        <v>26604</v>
      </c>
      <c r="V8008" t="s">
        <v>26610</v>
      </c>
      <c r="W8008" t="s">
        <v>817</v>
      </c>
      <c r="X8008">
        <v>1030</v>
      </c>
      <c r="Y8008" t="s">
        <v>26653</v>
      </c>
      <c r="Z8008" t="s">
        <v>26668</v>
      </c>
      <c r="AB8008" t="s">
        <v>32586</v>
      </c>
      <c r="AD8008" t="s">
        <v>43063</v>
      </c>
      <c r="AE8008">
        <v>0</v>
      </c>
      <c r="AF8008" t="s">
        <v>20460</v>
      </c>
      <c r="AG8008" t="s">
        <v>19330</v>
      </c>
      <c r="AH8008">
        <v>14</v>
      </c>
      <c r="AI8008">
        <v>1</v>
      </c>
      <c r="AJ8008">
        <v>0</v>
      </c>
      <c r="AK8008">
        <v>156.12</v>
      </c>
      <c r="AN8008" t="s">
        <v>7439</v>
      </c>
      <c r="AO8008">
        <v>19500</v>
      </c>
      <c r="AU8008">
        <v>20.1</v>
      </c>
      <c r="AV8008" t="s">
        <v>834</v>
      </c>
      <c r="AW8008" t="s">
        <v>208</v>
      </c>
      <c r="AX8008" t="s">
        <v>46897</v>
      </c>
    </row>
    <row r="8009" spans="1:50">
      <c r="A8009" s="1">
        <f>HYPERLINK("https://lsnyc.legalserver.org/matter/dynamic-profile/view/1899426","19-1899426")</f>
        <v>0</v>
      </c>
      <c r="B8009" t="s">
        <v>298</v>
      </c>
      <c r="C8009" t="s">
        <v>341</v>
      </c>
      <c r="D8009" t="s">
        <v>817</v>
      </c>
      <c r="E8009" t="s">
        <v>829</v>
      </c>
      <c r="F8009" t="s">
        <v>1551</v>
      </c>
      <c r="G8009" t="s">
        <v>7079</v>
      </c>
      <c r="H8009" t="s">
        <v>15104</v>
      </c>
      <c r="I8009" t="s">
        <v>18524</v>
      </c>
      <c r="J8009" t="s">
        <v>18894</v>
      </c>
      <c r="K8009">
        <v>11225</v>
      </c>
      <c r="L8009" t="s">
        <v>18960</v>
      </c>
      <c r="M8009" t="s">
        <v>18960</v>
      </c>
      <c r="O8009" t="s">
        <v>26523</v>
      </c>
      <c r="P8009" t="s">
        <v>26560</v>
      </c>
      <c r="Q8009" t="s">
        <v>26568</v>
      </c>
      <c r="R8009" t="s">
        <v>26588</v>
      </c>
      <c r="S8009" t="s">
        <v>18959</v>
      </c>
      <c r="U8009" t="s">
        <v>26604</v>
      </c>
      <c r="V8009" t="s">
        <v>26610</v>
      </c>
      <c r="W8009" t="s">
        <v>26641</v>
      </c>
      <c r="X8009">
        <v>787</v>
      </c>
      <c r="Y8009" t="s">
        <v>26652</v>
      </c>
      <c r="AA8009" t="s">
        <v>26678</v>
      </c>
      <c r="AB8009" t="s">
        <v>32587</v>
      </c>
      <c r="AD8009" t="s">
        <v>43064</v>
      </c>
      <c r="AE8009">
        <v>0</v>
      </c>
      <c r="AF8009" t="s">
        <v>45541</v>
      </c>
      <c r="AH8009">
        <v>0</v>
      </c>
      <c r="AI8009">
        <v>1</v>
      </c>
      <c r="AJ8009">
        <v>0</v>
      </c>
      <c r="AK8009">
        <v>96.08</v>
      </c>
      <c r="AN8009" t="s">
        <v>7439</v>
      </c>
      <c r="AO8009">
        <v>12000</v>
      </c>
      <c r="AS8009" t="s">
        <v>46499</v>
      </c>
      <c r="AU8009">
        <v>0.25</v>
      </c>
      <c r="AV8009" t="s">
        <v>817</v>
      </c>
      <c r="AW8009" t="s">
        <v>298</v>
      </c>
    </row>
    <row r="8010" spans="1:50">
      <c r="A8010" s="1">
        <f>HYPERLINK("https://lsnyc.legalserver.org/matter/dynamic-profile/view/1896383","19-1896383")</f>
        <v>0</v>
      </c>
      <c r="B8010" t="s">
        <v>65</v>
      </c>
      <c r="C8010" t="s">
        <v>340</v>
      </c>
      <c r="D8010" t="s">
        <v>724</v>
      </c>
      <c r="F8010" t="s">
        <v>4146</v>
      </c>
      <c r="G8010" t="s">
        <v>5761</v>
      </c>
      <c r="H8010" t="s">
        <v>15105</v>
      </c>
      <c r="I8010" t="s">
        <v>17312</v>
      </c>
      <c r="J8010" t="s">
        <v>18892</v>
      </c>
      <c r="K8010">
        <v>10453</v>
      </c>
      <c r="L8010" t="s">
        <v>18958</v>
      </c>
      <c r="M8010" t="s">
        <v>18958</v>
      </c>
      <c r="N8010" t="s">
        <v>24704</v>
      </c>
      <c r="O8010" t="s">
        <v>26523</v>
      </c>
      <c r="P8010" t="s">
        <v>26560</v>
      </c>
      <c r="R8010" t="s">
        <v>26577</v>
      </c>
      <c r="U8010" t="s">
        <v>26604</v>
      </c>
      <c r="V8010" t="s">
        <v>26610</v>
      </c>
      <c r="W8010" t="s">
        <v>813</v>
      </c>
      <c r="X8010">
        <v>1225</v>
      </c>
      <c r="Y8010" t="s">
        <v>26650</v>
      </c>
      <c r="Z8010" t="s">
        <v>26668</v>
      </c>
      <c r="AB8010" t="s">
        <v>30427</v>
      </c>
      <c r="AD8010" t="s">
        <v>43065</v>
      </c>
      <c r="AE8010">
        <v>3</v>
      </c>
      <c r="AF8010" t="s">
        <v>45541</v>
      </c>
      <c r="AG8010" t="s">
        <v>19330</v>
      </c>
      <c r="AH8010">
        <v>3</v>
      </c>
      <c r="AI8010">
        <v>1</v>
      </c>
      <c r="AJ8010">
        <v>0</v>
      </c>
      <c r="AK8010">
        <v>288.23</v>
      </c>
      <c r="AL8010" t="s">
        <v>813</v>
      </c>
      <c r="AM8010" t="s">
        <v>45575</v>
      </c>
      <c r="AN8010" t="s">
        <v>7439</v>
      </c>
      <c r="AO8010">
        <v>36000</v>
      </c>
      <c r="AU8010">
        <v>9.199999999999999</v>
      </c>
      <c r="AV8010" t="s">
        <v>834</v>
      </c>
      <c r="AW8010" t="s">
        <v>46859</v>
      </c>
      <c r="AX8010" t="s">
        <v>46897</v>
      </c>
    </row>
    <row r="8011" spans="1:50">
      <c r="A8011" s="1">
        <f>HYPERLINK("https://lsnyc.legalserver.org/matter/dynamic-profile/view/1898795","19-1898795")</f>
        <v>0</v>
      </c>
      <c r="B8011" t="s">
        <v>120</v>
      </c>
      <c r="C8011" t="s">
        <v>340</v>
      </c>
      <c r="D8011" t="s">
        <v>810</v>
      </c>
      <c r="F8011" t="s">
        <v>871</v>
      </c>
      <c r="G8011" t="s">
        <v>5751</v>
      </c>
      <c r="H8011" t="s">
        <v>15106</v>
      </c>
      <c r="I8011" t="s">
        <v>18344</v>
      </c>
      <c r="J8011" t="s">
        <v>18892</v>
      </c>
      <c r="K8011">
        <v>10468</v>
      </c>
      <c r="L8011" t="s">
        <v>18958</v>
      </c>
      <c r="M8011" t="s">
        <v>18958</v>
      </c>
      <c r="N8011" t="s">
        <v>24705</v>
      </c>
      <c r="O8011" t="s">
        <v>26523</v>
      </c>
      <c r="P8011" t="s">
        <v>26560</v>
      </c>
      <c r="R8011" t="s">
        <v>26579</v>
      </c>
      <c r="S8011" t="s">
        <v>18959</v>
      </c>
      <c r="U8011" t="s">
        <v>26604</v>
      </c>
      <c r="V8011" t="s">
        <v>26610</v>
      </c>
      <c r="W8011" t="s">
        <v>813</v>
      </c>
      <c r="X8011">
        <v>1880</v>
      </c>
      <c r="Y8011" t="s">
        <v>26650</v>
      </c>
      <c r="Z8011" t="s">
        <v>26668</v>
      </c>
      <c r="AB8011" t="s">
        <v>29205</v>
      </c>
      <c r="AC8011" t="s">
        <v>36445</v>
      </c>
      <c r="AD8011" t="s">
        <v>43066</v>
      </c>
      <c r="AE8011">
        <v>60</v>
      </c>
      <c r="AF8011" t="s">
        <v>45541</v>
      </c>
      <c r="AG8011" t="s">
        <v>19330</v>
      </c>
      <c r="AH8011">
        <v>6</v>
      </c>
      <c r="AI8011">
        <v>2</v>
      </c>
      <c r="AJ8011">
        <v>0</v>
      </c>
      <c r="AK8011">
        <v>82.95999999999999</v>
      </c>
      <c r="AN8011" t="s">
        <v>45581</v>
      </c>
      <c r="AO8011">
        <v>14028</v>
      </c>
      <c r="AU8011">
        <v>4</v>
      </c>
      <c r="AV8011" t="s">
        <v>834</v>
      </c>
      <c r="AW8011" t="s">
        <v>46832</v>
      </c>
      <c r="AX8011" t="s">
        <v>46898</v>
      </c>
    </row>
    <row r="8012" spans="1:50">
      <c r="A8012" s="1">
        <f>HYPERLINK("https://lsnyc.legalserver.org/matter/dynamic-profile/view/1898970","19-1898970")</f>
        <v>0</v>
      </c>
      <c r="B8012" t="s">
        <v>120</v>
      </c>
      <c r="C8012" t="s">
        <v>340</v>
      </c>
      <c r="D8012" t="s">
        <v>771</v>
      </c>
      <c r="F8012" t="s">
        <v>989</v>
      </c>
      <c r="G8012" t="s">
        <v>8539</v>
      </c>
      <c r="H8012" t="s">
        <v>15107</v>
      </c>
      <c r="I8012" t="s">
        <v>17362</v>
      </c>
      <c r="J8012" t="s">
        <v>18892</v>
      </c>
      <c r="K8012">
        <v>10462</v>
      </c>
      <c r="L8012" t="s">
        <v>18958</v>
      </c>
      <c r="M8012" t="s">
        <v>18960</v>
      </c>
      <c r="N8012" t="s">
        <v>24706</v>
      </c>
      <c r="O8012" t="s">
        <v>26523</v>
      </c>
      <c r="P8012" t="s">
        <v>26560</v>
      </c>
      <c r="R8012" t="s">
        <v>26579</v>
      </c>
      <c r="S8012" t="s">
        <v>18959</v>
      </c>
      <c r="U8012" t="s">
        <v>26604</v>
      </c>
      <c r="V8012" t="s">
        <v>26610</v>
      </c>
      <c r="W8012" t="s">
        <v>813</v>
      </c>
      <c r="X8012">
        <v>1254.64</v>
      </c>
      <c r="Y8012" t="s">
        <v>26650</v>
      </c>
      <c r="Z8012" t="s">
        <v>26669</v>
      </c>
      <c r="AB8012" t="s">
        <v>27640</v>
      </c>
      <c r="AD8012" t="s">
        <v>43067</v>
      </c>
      <c r="AE8012">
        <v>85</v>
      </c>
      <c r="AF8012" t="s">
        <v>45541</v>
      </c>
      <c r="AG8012" t="s">
        <v>19330</v>
      </c>
      <c r="AH8012">
        <v>6</v>
      </c>
      <c r="AI8012">
        <v>1</v>
      </c>
      <c r="AJ8012">
        <v>0</v>
      </c>
      <c r="AK8012">
        <v>145.72</v>
      </c>
      <c r="AN8012" t="s">
        <v>45581</v>
      </c>
      <c r="AO8012">
        <v>18200</v>
      </c>
      <c r="AU8012">
        <v>4.5</v>
      </c>
      <c r="AV8012" t="s">
        <v>821</v>
      </c>
      <c r="AW8012" t="s">
        <v>46832</v>
      </c>
    </row>
    <row r="8013" spans="1:50">
      <c r="A8013" s="1">
        <f>HYPERLINK("https://lsnyc.legalserver.org/matter/dynamic-profile/view/1899222","19-1899222")</f>
        <v>0</v>
      </c>
      <c r="B8013" t="s">
        <v>141</v>
      </c>
      <c r="C8013" t="s">
        <v>340</v>
      </c>
      <c r="D8013" t="s">
        <v>815</v>
      </c>
      <c r="F8013" t="s">
        <v>4147</v>
      </c>
      <c r="G8013" t="s">
        <v>6504</v>
      </c>
      <c r="H8013" t="s">
        <v>15108</v>
      </c>
      <c r="I8013" t="s">
        <v>17578</v>
      </c>
      <c r="J8013" t="s">
        <v>18898</v>
      </c>
      <c r="K8013">
        <v>11691</v>
      </c>
      <c r="L8013" t="s">
        <v>18958</v>
      </c>
      <c r="M8013" t="s">
        <v>18960</v>
      </c>
      <c r="N8013" t="s">
        <v>24707</v>
      </c>
      <c r="O8013" t="s">
        <v>26524</v>
      </c>
      <c r="P8013" t="s">
        <v>26565</v>
      </c>
      <c r="R8013" t="s">
        <v>26578</v>
      </c>
      <c r="S8013" t="s">
        <v>18959</v>
      </c>
      <c r="U8013" t="s">
        <v>26604</v>
      </c>
      <c r="V8013" t="s">
        <v>26610</v>
      </c>
      <c r="W8013" t="s">
        <v>813</v>
      </c>
      <c r="X8013">
        <v>0</v>
      </c>
      <c r="Y8013" t="s">
        <v>26653</v>
      </c>
      <c r="Z8013" t="s">
        <v>26668</v>
      </c>
      <c r="AB8013" t="s">
        <v>32588</v>
      </c>
      <c r="AD8013" t="s">
        <v>43068</v>
      </c>
      <c r="AE8013">
        <v>3</v>
      </c>
      <c r="AF8013" t="s">
        <v>45547</v>
      </c>
      <c r="AG8013" t="s">
        <v>19330</v>
      </c>
      <c r="AH8013">
        <v>4</v>
      </c>
      <c r="AI8013">
        <v>1</v>
      </c>
      <c r="AJ8013">
        <v>0</v>
      </c>
      <c r="AK8013">
        <v>24.02</v>
      </c>
      <c r="AN8013" t="s">
        <v>7439</v>
      </c>
      <c r="AO8013">
        <v>3000</v>
      </c>
      <c r="AR8013" t="s">
        <v>26530</v>
      </c>
      <c r="AS8013" t="s">
        <v>46502</v>
      </c>
      <c r="AT8013" t="s">
        <v>46764</v>
      </c>
      <c r="AU8013">
        <v>6</v>
      </c>
      <c r="AV8013" t="s">
        <v>808</v>
      </c>
      <c r="AW8013" t="s">
        <v>46858</v>
      </c>
      <c r="AX8013" t="s">
        <v>46897</v>
      </c>
    </row>
    <row r="8014" spans="1:50">
      <c r="A8014" s="1">
        <f>HYPERLINK("https://lsnyc.legalserver.org/matter/dynamic-profile/view/1899610","19-1899610")</f>
        <v>0</v>
      </c>
      <c r="B8014" t="s">
        <v>96</v>
      </c>
      <c r="C8014" t="s">
        <v>341</v>
      </c>
      <c r="D8014" t="s">
        <v>813</v>
      </c>
      <c r="E8014" t="s">
        <v>807</v>
      </c>
      <c r="F8014" t="s">
        <v>893</v>
      </c>
      <c r="G8014" t="s">
        <v>8540</v>
      </c>
      <c r="H8014" t="s">
        <v>11968</v>
      </c>
      <c r="I8014" t="s">
        <v>18343</v>
      </c>
      <c r="J8014" t="s">
        <v>18892</v>
      </c>
      <c r="K8014">
        <v>10467</v>
      </c>
      <c r="L8014" t="s">
        <v>18958</v>
      </c>
      <c r="M8014" t="s">
        <v>18960</v>
      </c>
      <c r="N8014" t="s">
        <v>24708</v>
      </c>
      <c r="O8014" t="s">
        <v>26524</v>
      </c>
      <c r="P8014" t="s">
        <v>26564</v>
      </c>
      <c r="Q8014" t="s">
        <v>26570</v>
      </c>
      <c r="R8014" t="s">
        <v>26579</v>
      </c>
      <c r="U8014" t="s">
        <v>26604</v>
      </c>
      <c r="V8014" t="s">
        <v>26611</v>
      </c>
      <c r="W8014" t="s">
        <v>813</v>
      </c>
      <c r="X8014">
        <v>1000</v>
      </c>
      <c r="Y8014" t="s">
        <v>26650</v>
      </c>
      <c r="Z8014" t="s">
        <v>26668</v>
      </c>
      <c r="AA8014" t="s">
        <v>26683</v>
      </c>
      <c r="AB8014" t="s">
        <v>32589</v>
      </c>
      <c r="AD8014" t="s">
        <v>43069</v>
      </c>
      <c r="AE8014">
        <v>0</v>
      </c>
      <c r="AF8014" t="s">
        <v>45541</v>
      </c>
      <c r="AH8014">
        <v>1</v>
      </c>
      <c r="AI8014">
        <v>1</v>
      </c>
      <c r="AJ8014">
        <v>0</v>
      </c>
      <c r="AK8014">
        <v>218.57</v>
      </c>
      <c r="AN8014" t="s">
        <v>7439</v>
      </c>
      <c r="AO8014">
        <v>27300</v>
      </c>
      <c r="AP8014" t="s">
        <v>45658</v>
      </c>
      <c r="AU8014">
        <v>0.5</v>
      </c>
      <c r="AV8014" t="s">
        <v>807</v>
      </c>
      <c r="AW8014" t="s">
        <v>335</v>
      </c>
      <c r="AX8014" t="s">
        <v>46897</v>
      </c>
    </row>
    <row r="8015" spans="1:50">
      <c r="A8015" s="1">
        <f>HYPERLINK("https://lsnyc.legalserver.org/matter/dynamic-profile/view/1899661","19-1899661")</f>
        <v>0</v>
      </c>
      <c r="B8015" t="s">
        <v>198</v>
      </c>
      <c r="C8015" t="s">
        <v>341</v>
      </c>
      <c r="D8015" t="s">
        <v>813</v>
      </c>
      <c r="E8015" t="s">
        <v>805</v>
      </c>
      <c r="F8015" t="s">
        <v>1328</v>
      </c>
      <c r="G8015" t="s">
        <v>5812</v>
      </c>
      <c r="H8015" t="s">
        <v>15109</v>
      </c>
      <c r="I8015" t="s">
        <v>17322</v>
      </c>
      <c r="J8015" t="s">
        <v>18894</v>
      </c>
      <c r="K8015">
        <v>11206</v>
      </c>
      <c r="L8015" t="s">
        <v>18958</v>
      </c>
      <c r="M8015" t="s">
        <v>18960</v>
      </c>
      <c r="P8015" t="s">
        <v>26564</v>
      </c>
      <c r="Q8015" t="s">
        <v>26570</v>
      </c>
      <c r="R8015" t="s">
        <v>26578</v>
      </c>
      <c r="U8015" t="s">
        <v>26604</v>
      </c>
      <c r="W8015" t="s">
        <v>813</v>
      </c>
      <c r="X8015">
        <v>0</v>
      </c>
      <c r="Y8015" t="s">
        <v>26652</v>
      </c>
      <c r="AA8015" t="s">
        <v>26689</v>
      </c>
      <c r="AB8015" t="s">
        <v>32590</v>
      </c>
      <c r="AD8015" t="s">
        <v>43070</v>
      </c>
      <c r="AE8015">
        <v>0</v>
      </c>
      <c r="AH8015">
        <v>0</v>
      </c>
      <c r="AI8015">
        <v>1</v>
      </c>
      <c r="AJ8015">
        <v>0</v>
      </c>
      <c r="AK8015">
        <v>184.15</v>
      </c>
      <c r="AN8015" t="s">
        <v>7439</v>
      </c>
      <c r="AO8015">
        <v>23000</v>
      </c>
      <c r="AU8015">
        <v>0.5</v>
      </c>
      <c r="AV8015" t="s">
        <v>805</v>
      </c>
      <c r="AW8015" t="s">
        <v>198</v>
      </c>
    </row>
    <row r="8016" spans="1:50">
      <c r="A8016" s="1">
        <f>HYPERLINK("https://lsnyc.legalserver.org/matter/dynamic-profile/view/1899596","19-1899596")</f>
        <v>0</v>
      </c>
      <c r="B8016" t="s">
        <v>136</v>
      </c>
      <c r="C8016" t="s">
        <v>340</v>
      </c>
      <c r="D8016" t="s">
        <v>813</v>
      </c>
      <c r="F8016" t="s">
        <v>1032</v>
      </c>
      <c r="G8016" t="s">
        <v>6658</v>
      </c>
      <c r="H8016" t="s">
        <v>10755</v>
      </c>
      <c r="I8016" t="s">
        <v>17316</v>
      </c>
      <c r="J8016" t="s">
        <v>18892</v>
      </c>
      <c r="K8016">
        <v>10457</v>
      </c>
      <c r="L8016" t="s">
        <v>18958</v>
      </c>
      <c r="M8016" t="s">
        <v>18960</v>
      </c>
      <c r="N8016" t="s">
        <v>24709</v>
      </c>
      <c r="O8016" t="s">
        <v>26523</v>
      </c>
      <c r="P8016" t="s">
        <v>26560</v>
      </c>
      <c r="R8016" t="s">
        <v>26579</v>
      </c>
      <c r="S8016" t="s">
        <v>18959</v>
      </c>
      <c r="U8016" t="s">
        <v>26604</v>
      </c>
      <c r="V8016" t="s">
        <v>26610</v>
      </c>
      <c r="W8016" t="s">
        <v>813</v>
      </c>
      <c r="X8016">
        <v>1240</v>
      </c>
      <c r="Y8016" t="s">
        <v>26650</v>
      </c>
      <c r="AB8016" t="s">
        <v>32591</v>
      </c>
      <c r="AD8016" t="s">
        <v>43071</v>
      </c>
      <c r="AE8016">
        <v>24</v>
      </c>
      <c r="AF8016" t="s">
        <v>45544</v>
      </c>
      <c r="AG8016" t="s">
        <v>45556</v>
      </c>
      <c r="AH8016">
        <v>39</v>
      </c>
      <c r="AI8016">
        <v>2</v>
      </c>
      <c r="AJ8016">
        <v>1</v>
      </c>
      <c r="AK8016">
        <v>59.35</v>
      </c>
      <c r="AN8016" t="s">
        <v>7439</v>
      </c>
      <c r="AO8016">
        <v>12660</v>
      </c>
      <c r="AU8016">
        <v>3.5</v>
      </c>
      <c r="AV8016" t="s">
        <v>832</v>
      </c>
      <c r="AW8016" t="s">
        <v>335</v>
      </c>
      <c r="AX8016" t="s">
        <v>46897</v>
      </c>
    </row>
    <row r="8017" spans="1:50">
      <c r="A8017" s="1">
        <f>HYPERLINK("https://lsnyc.legalserver.org/matter/dynamic-profile/view/1899675","19-1899675")</f>
        <v>0</v>
      </c>
      <c r="B8017" t="s">
        <v>147</v>
      </c>
      <c r="C8017" t="s">
        <v>340</v>
      </c>
      <c r="D8017" t="s">
        <v>813</v>
      </c>
      <c r="F8017" t="s">
        <v>916</v>
      </c>
      <c r="G8017" t="s">
        <v>2975</v>
      </c>
      <c r="H8017" t="s">
        <v>15110</v>
      </c>
      <c r="I8017" t="s">
        <v>17360</v>
      </c>
      <c r="J8017" t="s">
        <v>18894</v>
      </c>
      <c r="K8017">
        <v>11214</v>
      </c>
      <c r="L8017" t="s">
        <v>18958</v>
      </c>
      <c r="M8017" t="s">
        <v>18960</v>
      </c>
      <c r="N8017" t="s">
        <v>19330</v>
      </c>
      <c r="O8017" t="s">
        <v>18997</v>
      </c>
      <c r="P8017" t="s">
        <v>26560</v>
      </c>
      <c r="R8017" t="s">
        <v>26578</v>
      </c>
      <c r="S8017" t="s">
        <v>18959</v>
      </c>
      <c r="U8017" t="s">
        <v>26604</v>
      </c>
      <c r="V8017" t="s">
        <v>26610</v>
      </c>
      <c r="W8017" t="s">
        <v>813</v>
      </c>
      <c r="X8017">
        <v>1997.8</v>
      </c>
      <c r="Y8017" t="s">
        <v>26652</v>
      </c>
      <c r="Z8017" t="s">
        <v>26663</v>
      </c>
      <c r="AB8017" t="s">
        <v>32183</v>
      </c>
      <c r="AD8017" t="s">
        <v>43072</v>
      </c>
      <c r="AE8017">
        <v>0</v>
      </c>
      <c r="AF8017" t="s">
        <v>45541</v>
      </c>
      <c r="AH8017">
        <v>7</v>
      </c>
      <c r="AI8017">
        <v>2</v>
      </c>
      <c r="AJ8017">
        <v>0</v>
      </c>
      <c r="AK8017">
        <v>130.27</v>
      </c>
      <c r="AN8017" t="s">
        <v>7439</v>
      </c>
      <c r="AO8017">
        <v>22029.13</v>
      </c>
      <c r="AU8017">
        <v>2.4</v>
      </c>
      <c r="AV8017" t="s">
        <v>720</v>
      </c>
      <c r="AW8017" t="s">
        <v>219</v>
      </c>
    </row>
    <row r="8018" spans="1:50">
      <c r="A8018" s="1">
        <f>HYPERLINK("https://lsnyc.legalserver.org/matter/dynamic-profile/view/1899544","19-1899544")</f>
        <v>0</v>
      </c>
      <c r="B8018" t="s">
        <v>262</v>
      </c>
      <c r="C8018" t="s">
        <v>340</v>
      </c>
      <c r="D8018" t="s">
        <v>813</v>
      </c>
      <c r="F8018" t="s">
        <v>4148</v>
      </c>
      <c r="G8018" t="s">
        <v>5639</v>
      </c>
      <c r="H8018" t="s">
        <v>12018</v>
      </c>
      <c r="I8018" t="s">
        <v>17307</v>
      </c>
      <c r="J8018" t="s">
        <v>18892</v>
      </c>
      <c r="K8018">
        <v>10457</v>
      </c>
      <c r="L8018" t="s">
        <v>18958</v>
      </c>
      <c r="M8018" t="s">
        <v>18960</v>
      </c>
      <c r="N8018" t="s">
        <v>24710</v>
      </c>
      <c r="O8018" t="s">
        <v>26523</v>
      </c>
      <c r="P8018" t="s">
        <v>26560</v>
      </c>
      <c r="R8018" t="s">
        <v>26579</v>
      </c>
      <c r="S8018" t="s">
        <v>18959</v>
      </c>
      <c r="U8018" t="s">
        <v>26604</v>
      </c>
      <c r="W8018" t="s">
        <v>813</v>
      </c>
      <c r="X8018">
        <v>1268</v>
      </c>
      <c r="Y8018" t="s">
        <v>26650</v>
      </c>
      <c r="Z8018" t="s">
        <v>26668</v>
      </c>
      <c r="AB8018" t="s">
        <v>32592</v>
      </c>
      <c r="AC8018" t="s">
        <v>36446</v>
      </c>
      <c r="AD8018" t="s">
        <v>43073</v>
      </c>
      <c r="AE8018">
        <v>0</v>
      </c>
      <c r="AH8018">
        <v>1</v>
      </c>
      <c r="AI8018">
        <v>1</v>
      </c>
      <c r="AJ8018">
        <v>1</v>
      </c>
      <c r="AK8018">
        <v>141.93</v>
      </c>
      <c r="AN8018" t="s">
        <v>7439</v>
      </c>
      <c r="AO8018">
        <v>24000</v>
      </c>
      <c r="AU8018">
        <v>7.6</v>
      </c>
      <c r="AV8018" t="s">
        <v>26644</v>
      </c>
      <c r="AW8018" t="s">
        <v>329</v>
      </c>
      <c r="AX8018" t="s">
        <v>46898</v>
      </c>
    </row>
    <row r="8019" spans="1:50">
      <c r="A8019" s="1">
        <f>HYPERLINK("https://lsnyc.legalserver.org/matter/dynamic-profile/view/1899647","19-1899647")</f>
        <v>0</v>
      </c>
      <c r="B8019" t="s">
        <v>187</v>
      </c>
      <c r="C8019" t="s">
        <v>340</v>
      </c>
      <c r="D8019" t="s">
        <v>813</v>
      </c>
      <c r="F8019" t="s">
        <v>918</v>
      </c>
      <c r="G8019" t="s">
        <v>5265</v>
      </c>
      <c r="H8019" t="s">
        <v>12199</v>
      </c>
      <c r="I8019" t="s">
        <v>17349</v>
      </c>
      <c r="J8019" t="s">
        <v>18892</v>
      </c>
      <c r="K8019">
        <v>10460</v>
      </c>
      <c r="L8019" t="s">
        <v>18958</v>
      </c>
      <c r="M8019" t="s">
        <v>18960</v>
      </c>
      <c r="N8019" t="s">
        <v>24711</v>
      </c>
      <c r="O8019" t="s">
        <v>26523</v>
      </c>
      <c r="P8019" t="s">
        <v>26560</v>
      </c>
      <c r="R8019" t="s">
        <v>26577</v>
      </c>
      <c r="S8019" t="s">
        <v>18959</v>
      </c>
      <c r="U8019" t="s">
        <v>26604</v>
      </c>
      <c r="V8019" t="s">
        <v>26611</v>
      </c>
      <c r="W8019" t="s">
        <v>813</v>
      </c>
      <c r="X8019">
        <v>1583</v>
      </c>
      <c r="Y8019" t="s">
        <v>26650</v>
      </c>
      <c r="Z8019" t="s">
        <v>26530</v>
      </c>
      <c r="AB8019" t="s">
        <v>31956</v>
      </c>
      <c r="AC8019" t="s">
        <v>36447</v>
      </c>
      <c r="AD8019" t="s">
        <v>42256</v>
      </c>
      <c r="AE8019">
        <v>247</v>
      </c>
      <c r="AF8019" t="s">
        <v>45543</v>
      </c>
      <c r="AG8019" t="s">
        <v>45556</v>
      </c>
      <c r="AH8019">
        <v>3</v>
      </c>
      <c r="AI8019">
        <v>1</v>
      </c>
      <c r="AJ8019">
        <v>0</v>
      </c>
      <c r="AK8019">
        <v>74.08</v>
      </c>
      <c r="AN8019" t="s">
        <v>7439</v>
      </c>
      <c r="AO8019">
        <v>9252</v>
      </c>
      <c r="AU8019">
        <v>8.6</v>
      </c>
      <c r="AV8019" t="s">
        <v>825</v>
      </c>
      <c r="AW8019" t="s">
        <v>46870</v>
      </c>
      <c r="AX8019" t="s">
        <v>46897</v>
      </c>
    </row>
    <row r="8020" spans="1:50">
      <c r="A8020" s="1">
        <f>HYPERLINK("https://lsnyc.legalserver.org/matter/dynamic-profile/view/1899578","19-1899578")</f>
        <v>0</v>
      </c>
      <c r="B8020" t="s">
        <v>87</v>
      </c>
      <c r="C8020" t="s">
        <v>340</v>
      </c>
      <c r="D8020" t="s">
        <v>813</v>
      </c>
      <c r="F8020" t="s">
        <v>1024</v>
      </c>
      <c r="G8020" t="s">
        <v>8541</v>
      </c>
      <c r="H8020" t="s">
        <v>15111</v>
      </c>
      <c r="I8020">
        <v>6</v>
      </c>
      <c r="J8020" t="s">
        <v>18892</v>
      </c>
      <c r="K8020">
        <v>10454</v>
      </c>
      <c r="L8020" t="s">
        <v>18958</v>
      </c>
      <c r="M8020" t="s">
        <v>18960</v>
      </c>
      <c r="N8020" t="s">
        <v>24712</v>
      </c>
      <c r="O8020" t="s">
        <v>26523</v>
      </c>
      <c r="P8020" t="s">
        <v>26560</v>
      </c>
      <c r="R8020" t="s">
        <v>26577</v>
      </c>
      <c r="S8020" t="s">
        <v>18959</v>
      </c>
      <c r="U8020" t="s">
        <v>26604</v>
      </c>
      <c r="W8020" t="s">
        <v>813</v>
      </c>
      <c r="X8020">
        <v>1335.99</v>
      </c>
      <c r="Y8020" t="s">
        <v>26650</v>
      </c>
      <c r="AB8020" t="s">
        <v>28554</v>
      </c>
      <c r="AD8020" t="s">
        <v>43074</v>
      </c>
      <c r="AE8020">
        <v>0</v>
      </c>
      <c r="AH8020">
        <v>4</v>
      </c>
      <c r="AI8020">
        <v>1</v>
      </c>
      <c r="AJ8020">
        <v>2</v>
      </c>
      <c r="AK8020">
        <v>60.08</v>
      </c>
      <c r="AN8020" t="s">
        <v>7439</v>
      </c>
      <c r="AO8020">
        <v>12816</v>
      </c>
      <c r="AU8020">
        <v>5</v>
      </c>
      <c r="AV8020" t="s">
        <v>828</v>
      </c>
      <c r="AW8020" t="s">
        <v>335</v>
      </c>
      <c r="AX8020" t="s">
        <v>46897</v>
      </c>
    </row>
    <row r="8021" spans="1:50">
      <c r="A8021" s="1">
        <f>HYPERLINK("https://lsnyc.legalserver.org/matter/dynamic-profile/view/1899652","19-1899652")</f>
        <v>0</v>
      </c>
      <c r="B8021" t="s">
        <v>194</v>
      </c>
      <c r="C8021" t="s">
        <v>340</v>
      </c>
      <c r="D8021" t="s">
        <v>813</v>
      </c>
      <c r="F8021" t="s">
        <v>2241</v>
      </c>
      <c r="G8021" t="s">
        <v>6428</v>
      </c>
      <c r="H8021" t="s">
        <v>11605</v>
      </c>
      <c r="I8021">
        <v>512</v>
      </c>
      <c r="J8021" t="s">
        <v>18893</v>
      </c>
      <c r="K8021">
        <v>10027</v>
      </c>
      <c r="L8021" t="s">
        <v>18958</v>
      </c>
      <c r="M8021" t="s">
        <v>18960</v>
      </c>
      <c r="N8021" t="s">
        <v>24713</v>
      </c>
      <c r="O8021" t="s">
        <v>26523</v>
      </c>
      <c r="P8021" t="s">
        <v>26560</v>
      </c>
      <c r="R8021" t="s">
        <v>26580</v>
      </c>
      <c r="S8021" t="s">
        <v>18959</v>
      </c>
      <c r="U8021" t="s">
        <v>26604</v>
      </c>
      <c r="V8021" t="s">
        <v>26610</v>
      </c>
      <c r="W8021" t="s">
        <v>813</v>
      </c>
      <c r="X8021">
        <v>887.4</v>
      </c>
      <c r="Y8021" t="s">
        <v>26651</v>
      </c>
      <c r="Z8021" t="s">
        <v>26659</v>
      </c>
      <c r="AB8021" t="s">
        <v>27165</v>
      </c>
      <c r="AD8021" t="s">
        <v>38866</v>
      </c>
      <c r="AE8021">
        <v>0</v>
      </c>
      <c r="AF8021" t="s">
        <v>45541</v>
      </c>
      <c r="AG8021" t="s">
        <v>19330</v>
      </c>
      <c r="AH8021">
        <v>7</v>
      </c>
      <c r="AI8021">
        <v>1</v>
      </c>
      <c r="AJ8021">
        <v>1</v>
      </c>
      <c r="AK8021">
        <v>79.65000000000001</v>
      </c>
      <c r="AN8021" t="s">
        <v>7439</v>
      </c>
      <c r="AO8021">
        <v>13468</v>
      </c>
      <c r="AU8021">
        <v>3.1</v>
      </c>
      <c r="AV8021" t="s">
        <v>720</v>
      </c>
      <c r="AW8021" t="s">
        <v>314</v>
      </c>
      <c r="AX8021" t="s">
        <v>46897</v>
      </c>
    </row>
    <row r="8022" spans="1:50">
      <c r="A8022" s="1">
        <f>HYPERLINK("https://lsnyc.legalserver.org/matter/dynamic-profile/view/1896654","19-1896654")</f>
        <v>0</v>
      </c>
      <c r="B8022" t="s">
        <v>126</v>
      </c>
      <c r="C8022" t="s">
        <v>341</v>
      </c>
      <c r="D8022" t="s">
        <v>671</v>
      </c>
      <c r="E8022" t="s">
        <v>818</v>
      </c>
      <c r="F8022" t="s">
        <v>4149</v>
      </c>
      <c r="G8022" t="s">
        <v>8542</v>
      </c>
      <c r="H8022" t="s">
        <v>15112</v>
      </c>
      <c r="I8022" t="s">
        <v>17707</v>
      </c>
      <c r="J8022" t="s">
        <v>18894</v>
      </c>
      <c r="K8022">
        <v>11212</v>
      </c>
      <c r="L8022" t="s">
        <v>18958</v>
      </c>
      <c r="M8022" t="s">
        <v>18958</v>
      </c>
      <c r="N8022" t="s">
        <v>24714</v>
      </c>
      <c r="O8022" t="s">
        <v>26523</v>
      </c>
      <c r="P8022" t="s">
        <v>26560</v>
      </c>
      <c r="Q8022" t="s">
        <v>26573</v>
      </c>
      <c r="R8022" t="s">
        <v>26578</v>
      </c>
      <c r="S8022" t="s">
        <v>18959</v>
      </c>
      <c r="U8022" t="s">
        <v>26604</v>
      </c>
      <c r="V8022" t="s">
        <v>26614</v>
      </c>
      <c r="W8022" t="s">
        <v>818</v>
      </c>
      <c r="X8022">
        <v>911</v>
      </c>
      <c r="Y8022" t="s">
        <v>26652</v>
      </c>
      <c r="Z8022" t="s">
        <v>26664</v>
      </c>
      <c r="AA8022" t="s">
        <v>26678</v>
      </c>
      <c r="AB8022" t="s">
        <v>28144</v>
      </c>
      <c r="AD8022" t="s">
        <v>43075</v>
      </c>
      <c r="AE8022">
        <v>0</v>
      </c>
      <c r="AF8022" t="s">
        <v>45541</v>
      </c>
      <c r="AH8022">
        <v>9</v>
      </c>
      <c r="AI8022">
        <v>1</v>
      </c>
      <c r="AJ8022">
        <v>2</v>
      </c>
      <c r="AK8022">
        <v>23.65</v>
      </c>
      <c r="AN8022" t="s">
        <v>7439</v>
      </c>
      <c r="AO8022">
        <v>5044</v>
      </c>
      <c r="AU8022">
        <v>28</v>
      </c>
      <c r="AV8022" t="s">
        <v>818</v>
      </c>
      <c r="AW8022" t="s">
        <v>289</v>
      </c>
      <c r="AX8022" t="s">
        <v>46897</v>
      </c>
    </row>
    <row r="8023" spans="1:50">
      <c r="A8023" s="1">
        <f>HYPERLINK("https://lsnyc.legalserver.org/matter/dynamic-profile/view/1896992","19-1896992")</f>
        <v>0</v>
      </c>
      <c r="B8023" t="s">
        <v>69</v>
      </c>
      <c r="C8023" t="s">
        <v>340</v>
      </c>
      <c r="D8023" t="s">
        <v>780</v>
      </c>
      <c r="F8023" t="s">
        <v>953</v>
      </c>
      <c r="G8023" t="s">
        <v>5269</v>
      </c>
      <c r="H8023" t="s">
        <v>15113</v>
      </c>
      <c r="I8023">
        <v>2</v>
      </c>
      <c r="J8023" t="s">
        <v>18892</v>
      </c>
      <c r="K8023">
        <v>10467</v>
      </c>
      <c r="L8023" t="s">
        <v>18958</v>
      </c>
      <c r="M8023" t="s">
        <v>18960</v>
      </c>
      <c r="N8023" t="s">
        <v>24715</v>
      </c>
      <c r="O8023" t="s">
        <v>26523</v>
      </c>
      <c r="P8023" t="s">
        <v>26560</v>
      </c>
      <c r="R8023" t="s">
        <v>26579</v>
      </c>
      <c r="U8023" t="s">
        <v>26604</v>
      </c>
      <c r="W8023" t="s">
        <v>818</v>
      </c>
      <c r="X8023">
        <v>1750</v>
      </c>
      <c r="Y8023" t="s">
        <v>26650</v>
      </c>
      <c r="Z8023" t="s">
        <v>26673</v>
      </c>
      <c r="AB8023" t="s">
        <v>30981</v>
      </c>
      <c r="AD8023" t="s">
        <v>43076</v>
      </c>
      <c r="AE8023">
        <v>3</v>
      </c>
      <c r="AH8023">
        <v>7</v>
      </c>
      <c r="AI8023">
        <v>1</v>
      </c>
      <c r="AJ8023">
        <v>0</v>
      </c>
      <c r="AK8023">
        <v>0</v>
      </c>
      <c r="AN8023" t="s">
        <v>7439</v>
      </c>
      <c r="AO8023">
        <v>0</v>
      </c>
      <c r="AU8023">
        <v>5.5</v>
      </c>
      <c r="AV8023" t="s">
        <v>834</v>
      </c>
      <c r="AW8023" t="s">
        <v>46861</v>
      </c>
      <c r="AX8023" t="s">
        <v>46897</v>
      </c>
    </row>
    <row r="8024" spans="1:50">
      <c r="A8024" s="1">
        <f>HYPERLINK("https://lsnyc.legalserver.org/matter/dynamic-profile/view/1897157","19-1897157")</f>
        <v>0</v>
      </c>
      <c r="B8024" t="s">
        <v>214</v>
      </c>
      <c r="C8024" t="s">
        <v>340</v>
      </c>
      <c r="D8024" t="s">
        <v>760</v>
      </c>
      <c r="F8024" t="s">
        <v>4150</v>
      </c>
      <c r="G8024" t="s">
        <v>1876</v>
      </c>
      <c r="H8024" t="s">
        <v>15114</v>
      </c>
      <c r="I8024" t="s">
        <v>17702</v>
      </c>
      <c r="J8024" t="s">
        <v>18907</v>
      </c>
      <c r="K8024">
        <v>11377</v>
      </c>
      <c r="L8024" t="s">
        <v>18958</v>
      </c>
      <c r="M8024" t="s">
        <v>18960</v>
      </c>
      <c r="N8024" t="s">
        <v>24716</v>
      </c>
      <c r="O8024" t="s">
        <v>26524</v>
      </c>
      <c r="P8024" t="s">
        <v>26560</v>
      </c>
      <c r="R8024" t="s">
        <v>26584</v>
      </c>
      <c r="S8024" t="s">
        <v>18959</v>
      </c>
      <c r="U8024" t="s">
        <v>26604</v>
      </c>
      <c r="V8024" t="s">
        <v>26610</v>
      </c>
      <c r="W8024" t="s">
        <v>818</v>
      </c>
      <c r="X8024">
        <v>0</v>
      </c>
      <c r="Y8024" t="s">
        <v>26653</v>
      </c>
      <c r="Z8024" t="s">
        <v>26668</v>
      </c>
      <c r="AB8024" t="s">
        <v>32593</v>
      </c>
      <c r="AD8024" t="s">
        <v>43077</v>
      </c>
      <c r="AE8024">
        <v>16</v>
      </c>
      <c r="AF8024" t="s">
        <v>45553</v>
      </c>
      <c r="AG8024" t="s">
        <v>19330</v>
      </c>
      <c r="AH8024">
        <v>10</v>
      </c>
      <c r="AI8024">
        <v>1</v>
      </c>
      <c r="AJ8024">
        <v>0</v>
      </c>
      <c r="AK8024">
        <v>0</v>
      </c>
      <c r="AN8024" t="s">
        <v>45583</v>
      </c>
      <c r="AO8024">
        <v>0</v>
      </c>
      <c r="AU8024">
        <v>10.15</v>
      </c>
      <c r="AV8024" t="s">
        <v>806</v>
      </c>
      <c r="AW8024" t="s">
        <v>46842</v>
      </c>
      <c r="AX8024" t="s">
        <v>46897</v>
      </c>
    </row>
    <row r="8025" spans="1:50">
      <c r="A8025" s="1">
        <f>HYPERLINK("https://lsnyc.legalserver.org/matter/dynamic-profile/view/1897361","19-1897361")</f>
        <v>0</v>
      </c>
      <c r="B8025" t="s">
        <v>213</v>
      </c>
      <c r="C8025" t="s">
        <v>340</v>
      </c>
      <c r="D8025" t="s">
        <v>761</v>
      </c>
      <c r="F8025" t="s">
        <v>1548</v>
      </c>
      <c r="G8025" t="s">
        <v>8065</v>
      </c>
      <c r="H8025" t="s">
        <v>15115</v>
      </c>
      <c r="I8025" t="s">
        <v>17301</v>
      </c>
      <c r="J8025" t="s">
        <v>18892</v>
      </c>
      <c r="K8025">
        <v>10459</v>
      </c>
      <c r="L8025" t="s">
        <v>18958</v>
      </c>
      <c r="M8025" t="s">
        <v>18958</v>
      </c>
      <c r="N8025" t="s">
        <v>24717</v>
      </c>
      <c r="O8025" t="s">
        <v>26523</v>
      </c>
      <c r="P8025" t="s">
        <v>26560</v>
      </c>
      <c r="R8025" t="s">
        <v>26577</v>
      </c>
      <c r="S8025" t="s">
        <v>18959</v>
      </c>
      <c r="U8025" t="s">
        <v>26604</v>
      </c>
      <c r="W8025" t="s">
        <v>818</v>
      </c>
      <c r="X8025">
        <v>558</v>
      </c>
      <c r="Y8025" t="s">
        <v>26650</v>
      </c>
      <c r="Z8025" t="s">
        <v>26668</v>
      </c>
      <c r="AB8025" t="s">
        <v>32594</v>
      </c>
      <c r="AC8025" t="s">
        <v>36448</v>
      </c>
      <c r="AD8025" t="s">
        <v>43078</v>
      </c>
      <c r="AE8025">
        <v>35</v>
      </c>
      <c r="AF8025" t="s">
        <v>45543</v>
      </c>
      <c r="AG8025" t="s">
        <v>19330</v>
      </c>
      <c r="AH8025">
        <v>20</v>
      </c>
      <c r="AI8025">
        <v>3</v>
      </c>
      <c r="AJ8025">
        <v>1</v>
      </c>
      <c r="AK8025">
        <v>135.43</v>
      </c>
      <c r="AN8025" t="s">
        <v>7439</v>
      </c>
      <c r="AO8025">
        <v>34874</v>
      </c>
      <c r="AU8025">
        <v>19.7</v>
      </c>
      <c r="AV8025" t="s">
        <v>821</v>
      </c>
      <c r="AW8025" t="s">
        <v>329</v>
      </c>
      <c r="AX8025" t="s">
        <v>46898</v>
      </c>
    </row>
    <row r="8026" spans="1:50">
      <c r="A8026" s="1">
        <f>HYPERLINK("https://lsnyc.legalserver.org/matter/dynamic-profile/view/1898858","19-1898858")</f>
        <v>0</v>
      </c>
      <c r="B8026" t="s">
        <v>269</v>
      </c>
      <c r="C8026" t="s">
        <v>340</v>
      </c>
      <c r="D8026" t="s">
        <v>810</v>
      </c>
      <c r="F8026" t="s">
        <v>4151</v>
      </c>
      <c r="G8026" t="s">
        <v>5788</v>
      </c>
      <c r="H8026" t="s">
        <v>13807</v>
      </c>
      <c r="I8026" t="s">
        <v>17307</v>
      </c>
      <c r="J8026" t="s">
        <v>18892</v>
      </c>
      <c r="K8026">
        <v>10467</v>
      </c>
      <c r="L8026" t="s">
        <v>18958</v>
      </c>
      <c r="M8026" t="s">
        <v>18958</v>
      </c>
      <c r="N8026" t="s">
        <v>24718</v>
      </c>
      <c r="O8026" t="s">
        <v>26523</v>
      </c>
      <c r="P8026" t="s">
        <v>26560</v>
      </c>
      <c r="R8026" t="s">
        <v>26579</v>
      </c>
      <c r="S8026" t="s">
        <v>18959</v>
      </c>
      <c r="U8026" t="s">
        <v>26604</v>
      </c>
      <c r="V8026" t="s">
        <v>26610</v>
      </c>
      <c r="W8026" t="s">
        <v>818</v>
      </c>
      <c r="X8026">
        <v>955</v>
      </c>
      <c r="Y8026" t="s">
        <v>26650</v>
      </c>
      <c r="Z8026" t="s">
        <v>26668</v>
      </c>
      <c r="AB8026" t="s">
        <v>32595</v>
      </c>
      <c r="AD8026" t="s">
        <v>43079</v>
      </c>
      <c r="AE8026">
        <v>451</v>
      </c>
      <c r="AF8026" t="s">
        <v>45549</v>
      </c>
      <c r="AG8026" t="s">
        <v>19330</v>
      </c>
      <c r="AH8026">
        <v>15</v>
      </c>
      <c r="AI8026">
        <v>2</v>
      </c>
      <c r="AJ8026">
        <v>0</v>
      </c>
      <c r="AK8026">
        <v>252.87</v>
      </c>
      <c r="AL8026" t="s">
        <v>820</v>
      </c>
      <c r="AM8026" t="s">
        <v>45575</v>
      </c>
      <c r="AO8026">
        <v>42760.12</v>
      </c>
      <c r="AU8026">
        <v>18.85</v>
      </c>
      <c r="AV8026" t="s">
        <v>834</v>
      </c>
      <c r="AW8026" t="s">
        <v>46847</v>
      </c>
      <c r="AX8026" t="s">
        <v>46897</v>
      </c>
    </row>
    <row r="8027" spans="1:50">
      <c r="A8027" s="1">
        <f>HYPERLINK("https://lsnyc.legalserver.org/matter/dynamic-profile/view/1899313","19-1899313")</f>
        <v>0</v>
      </c>
      <c r="B8027" t="s">
        <v>130</v>
      </c>
      <c r="C8027" t="s">
        <v>341</v>
      </c>
      <c r="D8027" t="s">
        <v>816</v>
      </c>
      <c r="E8027" t="s">
        <v>806</v>
      </c>
      <c r="F8027" t="s">
        <v>938</v>
      </c>
      <c r="G8027" t="s">
        <v>8338</v>
      </c>
      <c r="H8027" t="s">
        <v>15116</v>
      </c>
      <c r="I8027" t="s">
        <v>18027</v>
      </c>
      <c r="J8027" t="s">
        <v>18901</v>
      </c>
      <c r="K8027">
        <v>11434</v>
      </c>
      <c r="L8027" t="s">
        <v>18958</v>
      </c>
      <c r="M8027" t="s">
        <v>18960</v>
      </c>
      <c r="N8027" t="s">
        <v>24719</v>
      </c>
      <c r="O8027" t="s">
        <v>26523</v>
      </c>
      <c r="P8027" t="s">
        <v>26560</v>
      </c>
      <c r="Q8027" t="s">
        <v>26568</v>
      </c>
      <c r="R8027" t="s">
        <v>26585</v>
      </c>
      <c r="S8027" t="s">
        <v>18959</v>
      </c>
      <c r="U8027" t="s">
        <v>26604</v>
      </c>
      <c r="V8027" t="s">
        <v>26611</v>
      </c>
      <c r="W8027" t="s">
        <v>818</v>
      </c>
      <c r="X8027">
        <v>1087</v>
      </c>
      <c r="Y8027" t="s">
        <v>26653</v>
      </c>
      <c r="Z8027" t="s">
        <v>26668</v>
      </c>
      <c r="AA8027" t="s">
        <v>26678</v>
      </c>
      <c r="AB8027" t="s">
        <v>30776</v>
      </c>
      <c r="AD8027" t="s">
        <v>43080</v>
      </c>
      <c r="AE8027">
        <v>12</v>
      </c>
      <c r="AF8027" t="s">
        <v>45550</v>
      </c>
      <c r="AG8027" t="s">
        <v>19330</v>
      </c>
      <c r="AH8027">
        <v>12</v>
      </c>
      <c r="AI8027">
        <v>2</v>
      </c>
      <c r="AJ8027">
        <v>1</v>
      </c>
      <c r="AK8027">
        <v>220.35</v>
      </c>
      <c r="AL8027" t="s">
        <v>813</v>
      </c>
      <c r="AM8027" t="s">
        <v>45575</v>
      </c>
      <c r="AN8027" t="s">
        <v>7439</v>
      </c>
      <c r="AO8027">
        <v>47000</v>
      </c>
      <c r="AQ8027" t="s">
        <v>46359</v>
      </c>
      <c r="AR8027" t="s">
        <v>46379</v>
      </c>
      <c r="AS8027" t="s">
        <v>46499</v>
      </c>
      <c r="AT8027" t="s">
        <v>46743</v>
      </c>
      <c r="AU8027">
        <v>2.2</v>
      </c>
      <c r="AV8027" t="s">
        <v>806</v>
      </c>
      <c r="AW8027" t="s">
        <v>130</v>
      </c>
      <c r="AX8027" t="s">
        <v>46897</v>
      </c>
    </row>
    <row r="8028" spans="1:50">
      <c r="A8028" s="1">
        <f>HYPERLINK("https://lsnyc.legalserver.org/matter/dynamic-profile/view/1899313","19-1899313")</f>
        <v>0</v>
      </c>
      <c r="B8028" t="s">
        <v>130</v>
      </c>
      <c r="C8028" t="s">
        <v>341</v>
      </c>
      <c r="D8028" t="s">
        <v>816</v>
      </c>
      <c r="E8028" t="s">
        <v>806</v>
      </c>
      <c r="F8028" t="s">
        <v>938</v>
      </c>
      <c r="G8028" t="s">
        <v>8338</v>
      </c>
      <c r="H8028" t="s">
        <v>15116</v>
      </c>
      <c r="I8028" t="s">
        <v>18027</v>
      </c>
      <c r="J8028" t="s">
        <v>18901</v>
      </c>
      <c r="K8028">
        <v>11434</v>
      </c>
      <c r="L8028" t="s">
        <v>18958</v>
      </c>
      <c r="M8028" t="s">
        <v>18960</v>
      </c>
      <c r="N8028" t="s">
        <v>24719</v>
      </c>
      <c r="O8028" t="s">
        <v>26523</v>
      </c>
      <c r="P8028" t="s">
        <v>26560</v>
      </c>
      <c r="Q8028" t="s">
        <v>26568</v>
      </c>
      <c r="R8028" t="s">
        <v>26585</v>
      </c>
      <c r="S8028" t="s">
        <v>18959</v>
      </c>
      <c r="U8028" t="s">
        <v>26604</v>
      </c>
      <c r="V8028" t="s">
        <v>26611</v>
      </c>
      <c r="W8028" t="s">
        <v>818</v>
      </c>
      <c r="X8028">
        <v>1087</v>
      </c>
      <c r="Y8028" t="s">
        <v>26653</v>
      </c>
      <c r="Z8028" t="s">
        <v>26668</v>
      </c>
      <c r="AA8028" t="s">
        <v>26679</v>
      </c>
      <c r="AB8028" t="s">
        <v>30776</v>
      </c>
      <c r="AD8028" t="s">
        <v>43080</v>
      </c>
      <c r="AE8028">
        <v>12</v>
      </c>
      <c r="AF8028" t="s">
        <v>45550</v>
      </c>
      <c r="AG8028" t="s">
        <v>19330</v>
      </c>
      <c r="AH8028">
        <v>12</v>
      </c>
      <c r="AI8028">
        <v>2</v>
      </c>
      <c r="AJ8028">
        <v>1</v>
      </c>
      <c r="AK8028">
        <v>220.35</v>
      </c>
      <c r="AL8028" t="s">
        <v>813</v>
      </c>
      <c r="AM8028" t="s">
        <v>45575</v>
      </c>
      <c r="AN8028" t="s">
        <v>7439</v>
      </c>
      <c r="AO8028">
        <v>47000</v>
      </c>
      <c r="AQ8028" t="s">
        <v>46359</v>
      </c>
      <c r="AR8028" t="s">
        <v>46379</v>
      </c>
      <c r="AS8028" t="s">
        <v>46499</v>
      </c>
      <c r="AT8028" t="s">
        <v>46743</v>
      </c>
      <c r="AU8028">
        <v>2.2</v>
      </c>
      <c r="AV8028" t="s">
        <v>806</v>
      </c>
      <c r="AW8028" t="s">
        <v>130</v>
      </c>
      <c r="AX8028" t="s">
        <v>46897</v>
      </c>
    </row>
    <row r="8029" spans="1:50">
      <c r="A8029" s="1">
        <f>HYPERLINK("https://lsnyc.legalserver.org/matter/dynamic-profile/view/1899594","19-1899594")</f>
        <v>0</v>
      </c>
      <c r="B8029" t="s">
        <v>270</v>
      </c>
      <c r="C8029" t="s">
        <v>341</v>
      </c>
      <c r="D8029" t="s">
        <v>813</v>
      </c>
      <c r="E8029" t="s">
        <v>825</v>
      </c>
      <c r="F8029" t="s">
        <v>4152</v>
      </c>
      <c r="G8029" t="s">
        <v>5447</v>
      </c>
      <c r="H8029" t="s">
        <v>15117</v>
      </c>
      <c r="I8029" t="s">
        <v>17354</v>
      </c>
      <c r="J8029" t="s">
        <v>18892</v>
      </c>
      <c r="K8029">
        <v>10457</v>
      </c>
      <c r="L8029" t="s">
        <v>18958</v>
      </c>
      <c r="M8029" t="s">
        <v>18960</v>
      </c>
      <c r="O8029" t="s">
        <v>26537</v>
      </c>
      <c r="P8029" t="s">
        <v>26564</v>
      </c>
      <c r="Q8029" t="s">
        <v>26570</v>
      </c>
      <c r="R8029" t="s">
        <v>26578</v>
      </c>
      <c r="S8029" t="s">
        <v>18959</v>
      </c>
      <c r="U8029" t="s">
        <v>26604</v>
      </c>
      <c r="W8029" t="s">
        <v>818</v>
      </c>
      <c r="X8029">
        <v>1975</v>
      </c>
      <c r="Y8029" t="s">
        <v>26650</v>
      </c>
      <c r="AA8029" t="s">
        <v>26683</v>
      </c>
      <c r="AB8029" t="s">
        <v>32596</v>
      </c>
      <c r="AD8029" t="s">
        <v>43081</v>
      </c>
      <c r="AE8029">
        <v>12</v>
      </c>
      <c r="AF8029" t="s">
        <v>45541</v>
      </c>
      <c r="AG8029" t="s">
        <v>45556</v>
      </c>
      <c r="AH8029">
        <v>7</v>
      </c>
      <c r="AI8029">
        <v>1</v>
      </c>
      <c r="AJ8029">
        <v>4</v>
      </c>
      <c r="AK8029">
        <v>76.76000000000001</v>
      </c>
      <c r="AN8029" t="s">
        <v>7439</v>
      </c>
      <c r="AO8029">
        <v>23160</v>
      </c>
      <c r="AU8029">
        <v>2.6</v>
      </c>
      <c r="AV8029" t="s">
        <v>825</v>
      </c>
      <c r="AW8029" t="s">
        <v>336</v>
      </c>
      <c r="AX8029" t="s">
        <v>46897</v>
      </c>
    </row>
    <row r="8030" spans="1:50">
      <c r="A8030" s="1">
        <f>HYPERLINK("https://lsnyc.legalserver.org/matter/dynamic-profile/view/1899775","19-1899775")</f>
        <v>0</v>
      </c>
      <c r="B8030" t="s">
        <v>276</v>
      </c>
      <c r="C8030" t="s">
        <v>340</v>
      </c>
      <c r="D8030" t="s">
        <v>818</v>
      </c>
      <c r="F8030" t="s">
        <v>1708</v>
      </c>
      <c r="G8030" t="s">
        <v>8202</v>
      </c>
      <c r="H8030" t="s">
        <v>14194</v>
      </c>
      <c r="I8030" t="s">
        <v>17410</v>
      </c>
      <c r="J8030" t="s">
        <v>18894</v>
      </c>
      <c r="K8030">
        <v>11217</v>
      </c>
      <c r="L8030" t="s">
        <v>18958</v>
      </c>
      <c r="M8030" t="s">
        <v>18960</v>
      </c>
      <c r="P8030" t="s">
        <v>26560</v>
      </c>
      <c r="R8030" t="s">
        <v>26578</v>
      </c>
      <c r="U8030" t="s">
        <v>26604</v>
      </c>
      <c r="W8030" t="s">
        <v>818</v>
      </c>
      <c r="X8030">
        <v>1133.28</v>
      </c>
      <c r="Y8030" t="s">
        <v>26652</v>
      </c>
      <c r="AB8030" t="s">
        <v>30925</v>
      </c>
      <c r="AD8030" t="s">
        <v>42355</v>
      </c>
      <c r="AE8030">
        <v>0</v>
      </c>
      <c r="AH8030">
        <v>4</v>
      </c>
      <c r="AI8030">
        <v>1</v>
      </c>
      <c r="AJ8030">
        <v>0</v>
      </c>
      <c r="AK8030">
        <v>0</v>
      </c>
      <c r="AN8030" t="s">
        <v>7439</v>
      </c>
      <c r="AO8030">
        <v>0</v>
      </c>
      <c r="AU8030">
        <v>1.7</v>
      </c>
      <c r="AV8030" t="s">
        <v>831</v>
      </c>
      <c r="AW8030" t="s">
        <v>219</v>
      </c>
    </row>
    <row r="8031" spans="1:50">
      <c r="A8031" s="1">
        <f>HYPERLINK("https://lsnyc.legalserver.org/matter/dynamic-profile/view/1899781","19-1899781")</f>
        <v>0</v>
      </c>
      <c r="B8031" t="s">
        <v>276</v>
      </c>
      <c r="C8031" t="s">
        <v>340</v>
      </c>
      <c r="D8031" t="s">
        <v>818</v>
      </c>
      <c r="F8031" t="s">
        <v>1708</v>
      </c>
      <c r="G8031" t="s">
        <v>8202</v>
      </c>
      <c r="H8031" t="s">
        <v>14194</v>
      </c>
      <c r="I8031" t="s">
        <v>17410</v>
      </c>
      <c r="J8031" t="s">
        <v>18894</v>
      </c>
      <c r="K8031">
        <v>11217</v>
      </c>
      <c r="L8031" t="s">
        <v>18958</v>
      </c>
      <c r="M8031" t="s">
        <v>18960</v>
      </c>
      <c r="P8031" t="s">
        <v>26560</v>
      </c>
      <c r="R8031" t="s">
        <v>26578</v>
      </c>
      <c r="S8031" t="s">
        <v>18958</v>
      </c>
      <c r="U8031" t="s">
        <v>26604</v>
      </c>
      <c r="W8031" t="s">
        <v>818</v>
      </c>
      <c r="X8031">
        <v>1133.28</v>
      </c>
      <c r="Y8031" t="s">
        <v>26652</v>
      </c>
      <c r="AB8031" t="s">
        <v>30925</v>
      </c>
      <c r="AD8031" t="s">
        <v>42355</v>
      </c>
      <c r="AE8031">
        <v>0</v>
      </c>
      <c r="AH8031">
        <v>4</v>
      </c>
      <c r="AI8031">
        <v>1</v>
      </c>
      <c r="AJ8031">
        <v>0</v>
      </c>
      <c r="AK8031">
        <v>0</v>
      </c>
      <c r="AN8031" t="s">
        <v>7439</v>
      </c>
      <c r="AO8031">
        <v>0</v>
      </c>
      <c r="AU8031">
        <v>0</v>
      </c>
      <c r="AW8031" t="s">
        <v>219</v>
      </c>
    </row>
    <row r="8032" spans="1:50">
      <c r="A8032" s="1">
        <f>HYPERLINK("https://lsnyc.legalserver.org/matter/dynamic-profile/view/1899784","19-1899784")</f>
        <v>0</v>
      </c>
      <c r="B8032" t="s">
        <v>276</v>
      </c>
      <c r="C8032" t="s">
        <v>340</v>
      </c>
      <c r="D8032" t="s">
        <v>818</v>
      </c>
      <c r="F8032" t="s">
        <v>3640</v>
      </c>
      <c r="G8032" t="s">
        <v>5173</v>
      </c>
      <c r="H8032" t="s">
        <v>14194</v>
      </c>
      <c r="I8032" t="s">
        <v>17331</v>
      </c>
      <c r="J8032" t="s">
        <v>18894</v>
      </c>
      <c r="K8032">
        <v>11217</v>
      </c>
      <c r="L8032" t="s">
        <v>18958</v>
      </c>
      <c r="M8032" t="s">
        <v>18960</v>
      </c>
      <c r="P8032" t="s">
        <v>26560</v>
      </c>
      <c r="R8032" t="s">
        <v>26578</v>
      </c>
      <c r="U8032" t="s">
        <v>26604</v>
      </c>
      <c r="W8032" t="s">
        <v>818</v>
      </c>
      <c r="X8032">
        <v>626.29</v>
      </c>
      <c r="Y8032" t="s">
        <v>26652</v>
      </c>
      <c r="AB8032" t="s">
        <v>31599</v>
      </c>
      <c r="AD8032" t="s">
        <v>41844</v>
      </c>
      <c r="AE8032">
        <v>0</v>
      </c>
      <c r="AH8032">
        <v>0</v>
      </c>
      <c r="AI8032">
        <v>1</v>
      </c>
      <c r="AJ8032">
        <v>0</v>
      </c>
      <c r="AK8032">
        <v>0</v>
      </c>
      <c r="AN8032" t="s">
        <v>7439</v>
      </c>
      <c r="AO8032">
        <v>0</v>
      </c>
      <c r="AU8032">
        <v>22.1</v>
      </c>
      <c r="AV8032" t="s">
        <v>832</v>
      </c>
      <c r="AW8032" t="s">
        <v>219</v>
      </c>
    </row>
    <row r="8033" spans="1:50">
      <c r="A8033" s="1">
        <f>HYPERLINK("https://lsnyc.legalserver.org/matter/dynamic-profile/view/1899785","19-1899785")</f>
        <v>0</v>
      </c>
      <c r="B8033" t="s">
        <v>276</v>
      </c>
      <c r="C8033" t="s">
        <v>340</v>
      </c>
      <c r="D8033" t="s">
        <v>818</v>
      </c>
      <c r="F8033" t="s">
        <v>3640</v>
      </c>
      <c r="G8033" t="s">
        <v>5173</v>
      </c>
      <c r="H8033" t="s">
        <v>14194</v>
      </c>
      <c r="I8033" t="s">
        <v>17331</v>
      </c>
      <c r="J8033" t="s">
        <v>18894</v>
      </c>
      <c r="K8033">
        <v>11217</v>
      </c>
      <c r="L8033" t="s">
        <v>18958</v>
      </c>
      <c r="M8033" t="s">
        <v>18960</v>
      </c>
      <c r="P8033" t="s">
        <v>26560</v>
      </c>
      <c r="R8033" t="s">
        <v>26578</v>
      </c>
      <c r="S8033" t="s">
        <v>18958</v>
      </c>
      <c r="U8033" t="s">
        <v>26604</v>
      </c>
      <c r="W8033" t="s">
        <v>818</v>
      </c>
      <c r="X8033">
        <v>626.29</v>
      </c>
      <c r="Y8033" t="s">
        <v>26652</v>
      </c>
      <c r="AB8033" t="s">
        <v>31599</v>
      </c>
      <c r="AD8033" t="s">
        <v>41844</v>
      </c>
      <c r="AE8033">
        <v>0</v>
      </c>
      <c r="AH8033">
        <v>0</v>
      </c>
      <c r="AI8033">
        <v>1</v>
      </c>
      <c r="AJ8033">
        <v>0</v>
      </c>
      <c r="AK8033">
        <v>0</v>
      </c>
      <c r="AN8033" t="s">
        <v>7439</v>
      </c>
      <c r="AO8033">
        <v>0</v>
      </c>
      <c r="AU8033">
        <v>1</v>
      </c>
      <c r="AV8033" t="s">
        <v>829</v>
      </c>
      <c r="AW8033" t="s">
        <v>219</v>
      </c>
    </row>
    <row r="8034" spans="1:50">
      <c r="A8034" s="1">
        <f>HYPERLINK("https://lsnyc.legalserver.org/matter/dynamic-profile/view/1899746","19-1899746")</f>
        <v>0</v>
      </c>
      <c r="B8034" t="s">
        <v>74</v>
      </c>
      <c r="C8034" t="s">
        <v>340</v>
      </c>
      <c r="D8034" t="s">
        <v>818</v>
      </c>
      <c r="F8034" t="s">
        <v>3365</v>
      </c>
      <c r="G8034" t="s">
        <v>8543</v>
      </c>
      <c r="H8034" t="s">
        <v>15118</v>
      </c>
      <c r="I8034" t="s">
        <v>18525</v>
      </c>
      <c r="J8034" t="s">
        <v>18893</v>
      </c>
      <c r="K8034">
        <v>10034</v>
      </c>
      <c r="L8034" t="s">
        <v>18958</v>
      </c>
      <c r="M8034" t="s">
        <v>18960</v>
      </c>
      <c r="O8034" t="s">
        <v>26523</v>
      </c>
      <c r="P8034" t="s">
        <v>26563</v>
      </c>
      <c r="R8034" t="s">
        <v>26578</v>
      </c>
      <c r="S8034" t="s">
        <v>18958</v>
      </c>
      <c r="U8034" t="s">
        <v>26604</v>
      </c>
      <c r="W8034" t="s">
        <v>818</v>
      </c>
      <c r="X8034">
        <v>2200</v>
      </c>
      <c r="Y8034" t="s">
        <v>26651</v>
      </c>
      <c r="Z8034" t="s">
        <v>26659</v>
      </c>
      <c r="AB8034" t="s">
        <v>27022</v>
      </c>
      <c r="AD8034" t="s">
        <v>43082</v>
      </c>
      <c r="AE8034">
        <v>44</v>
      </c>
      <c r="AF8034" t="s">
        <v>45541</v>
      </c>
      <c r="AG8034" t="s">
        <v>19330</v>
      </c>
      <c r="AH8034">
        <v>2</v>
      </c>
      <c r="AI8034">
        <v>2</v>
      </c>
      <c r="AJ8034">
        <v>0</v>
      </c>
      <c r="AK8034">
        <v>54.71</v>
      </c>
      <c r="AN8034" t="s">
        <v>7439</v>
      </c>
      <c r="AO8034">
        <v>9252</v>
      </c>
      <c r="AU8034">
        <v>0.01</v>
      </c>
      <c r="AV8034" t="s">
        <v>773</v>
      </c>
      <c r="AW8034" t="s">
        <v>46840</v>
      </c>
      <c r="AX8034" t="s">
        <v>46897</v>
      </c>
    </row>
    <row r="8035" spans="1:50">
      <c r="A8035" s="1">
        <f>HYPERLINK("https://lsnyc.legalserver.org/matter/dynamic-profile/view/1899749","19-1899749")</f>
        <v>0</v>
      </c>
      <c r="B8035" t="s">
        <v>74</v>
      </c>
      <c r="C8035" t="s">
        <v>340</v>
      </c>
      <c r="D8035" t="s">
        <v>818</v>
      </c>
      <c r="F8035" t="s">
        <v>893</v>
      </c>
      <c r="G8035" t="s">
        <v>8544</v>
      </c>
      <c r="H8035" t="s">
        <v>15118</v>
      </c>
      <c r="I8035" t="s">
        <v>17355</v>
      </c>
      <c r="J8035" t="s">
        <v>18893</v>
      </c>
      <c r="K8035">
        <v>10034</v>
      </c>
      <c r="L8035" t="s">
        <v>18958</v>
      </c>
      <c r="M8035" t="s">
        <v>18960</v>
      </c>
      <c r="O8035" t="s">
        <v>26523</v>
      </c>
      <c r="P8035" t="s">
        <v>26563</v>
      </c>
      <c r="R8035" t="s">
        <v>26578</v>
      </c>
      <c r="S8035" t="s">
        <v>18958</v>
      </c>
      <c r="U8035" t="s">
        <v>26604</v>
      </c>
      <c r="W8035" t="s">
        <v>818</v>
      </c>
      <c r="X8035">
        <v>1270</v>
      </c>
      <c r="Y8035" t="s">
        <v>26651</v>
      </c>
      <c r="Z8035" t="s">
        <v>26661</v>
      </c>
      <c r="AB8035" t="s">
        <v>32597</v>
      </c>
      <c r="AC8035" t="s">
        <v>36449</v>
      </c>
      <c r="AD8035" t="s">
        <v>43083</v>
      </c>
      <c r="AE8035">
        <v>44</v>
      </c>
      <c r="AF8035" t="s">
        <v>45541</v>
      </c>
      <c r="AG8035" t="s">
        <v>19330</v>
      </c>
      <c r="AH8035">
        <v>5</v>
      </c>
      <c r="AI8035">
        <v>1</v>
      </c>
      <c r="AJ8035">
        <v>0</v>
      </c>
      <c r="AK8035">
        <v>80.06</v>
      </c>
      <c r="AN8035" t="s">
        <v>7439</v>
      </c>
      <c r="AO8035">
        <v>10000</v>
      </c>
      <c r="AU8035">
        <v>0.5</v>
      </c>
      <c r="AV8035" t="s">
        <v>720</v>
      </c>
      <c r="AW8035" t="s">
        <v>46840</v>
      </c>
      <c r="AX8035" t="s">
        <v>46897</v>
      </c>
    </row>
    <row r="8036" spans="1:50">
      <c r="A8036" s="1">
        <f>HYPERLINK("https://lsnyc.legalserver.org/matter/dynamic-profile/view/1899751","19-1899751")</f>
        <v>0</v>
      </c>
      <c r="B8036" t="s">
        <v>74</v>
      </c>
      <c r="C8036" t="s">
        <v>340</v>
      </c>
      <c r="D8036" t="s">
        <v>818</v>
      </c>
      <c r="F8036" t="s">
        <v>875</v>
      </c>
      <c r="G8036" t="s">
        <v>6582</v>
      </c>
      <c r="H8036" t="s">
        <v>15119</v>
      </c>
      <c r="I8036" t="s">
        <v>17928</v>
      </c>
      <c r="J8036" t="s">
        <v>18893</v>
      </c>
      <c r="K8036">
        <v>10034</v>
      </c>
      <c r="L8036" t="s">
        <v>18958</v>
      </c>
      <c r="M8036" t="s">
        <v>18960</v>
      </c>
      <c r="O8036" t="s">
        <v>26523</v>
      </c>
      <c r="P8036" t="s">
        <v>26564</v>
      </c>
      <c r="R8036" t="s">
        <v>26578</v>
      </c>
      <c r="S8036" t="s">
        <v>18958</v>
      </c>
      <c r="U8036" t="s">
        <v>26604</v>
      </c>
      <c r="W8036" t="s">
        <v>818</v>
      </c>
      <c r="X8036">
        <v>856</v>
      </c>
      <c r="Y8036" t="s">
        <v>26651</v>
      </c>
      <c r="Z8036" t="s">
        <v>26661</v>
      </c>
      <c r="AB8036" t="s">
        <v>32598</v>
      </c>
      <c r="AD8036" t="s">
        <v>43084</v>
      </c>
      <c r="AE8036">
        <v>44</v>
      </c>
      <c r="AF8036" t="s">
        <v>45541</v>
      </c>
      <c r="AG8036" t="s">
        <v>45556</v>
      </c>
      <c r="AH8036">
        <v>44</v>
      </c>
      <c r="AI8036">
        <v>1</v>
      </c>
      <c r="AJ8036">
        <v>0</v>
      </c>
      <c r="AK8036">
        <v>82.23999999999999</v>
      </c>
      <c r="AN8036" t="s">
        <v>7439</v>
      </c>
      <c r="AO8036">
        <v>10272</v>
      </c>
      <c r="AU8036">
        <v>0.01</v>
      </c>
      <c r="AV8036" t="s">
        <v>773</v>
      </c>
      <c r="AW8036" t="s">
        <v>46840</v>
      </c>
      <c r="AX8036" t="s">
        <v>46897</v>
      </c>
    </row>
    <row r="8037" spans="1:50">
      <c r="A8037" s="1">
        <f>HYPERLINK("https://lsnyc.legalserver.org/matter/dynamic-profile/view/1899612","19-1899612")</f>
        <v>0</v>
      </c>
      <c r="B8037" t="s">
        <v>213</v>
      </c>
      <c r="C8037" t="s">
        <v>340</v>
      </c>
      <c r="D8037" t="s">
        <v>818</v>
      </c>
      <c r="F8037" t="s">
        <v>1944</v>
      </c>
      <c r="G8037" t="s">
        <v>8545</v>
      </c>
      <c r="H8037" t="s">
        <v>15120</v>
      </c>
      <c r="I8037" t="s">
        <v>17333</v>
      </c>
      <c r="J8037" t="s">
        <v>18892</v>
      </c>
      <c r="K8037">
        <v>10467</v>
      </c>
      <c r="L8037" t="s">
        <v>18958</v>
      </c>
      <c r="M8037" t="s">
        <v>18960</v>
      </c>
      <c r="N8037" t="s">
        <v>24695</v>
      </c>
      <c r="O8037" t="s">
        <v>26523</v>
      </c>
      <c r="P8037" t="s">
        <v>26560</v>
      </c>
      <c r="R8037" t="s">
        <v>26579</v>
      </c>
      <c r="S8037" t="s">
        <v>18959</v>
      </c>
      <c r="U8037" t="s">
        <v>26604</v>
      </c>
      <c r="V8037" t="s">
        <v>26610</v>
      </c>
      <c r="W8037" t="s">
        <v>818</v>
      </c>
      <c r="X8037">
        <v>1550</v>
      </c>
      <c r="Y8037" t="s">
        <v>26650</v>
      </c>
      <c r="Z8037" t="s">
        <v>26668</v>
      </c>
      <c r="AB8037" t="s">
        <v>32599</v>
      </c>
      <c r="AC8037" t="s">
        <v>36450</v>
      </c>
      <c r="AD8037" t="s">
        <v>43085</v>
      </c>
      <c r="AE8037">
        <v>0</v>
      </c>
      <c r="AG8037" t="s">
        <v>45558</v>
      </c>
      <c r="AH8037">
        <v>2</v>
      </c>
      <c r="AI8037">
        <v>1</v>
      </c>
      <c r="AJ8037">
        <v>2</v>
      </c>
      <c r="AK8037">
        <v>73.14</v>
      </c>
      <c r="AN8037" t="s">
        <v>45581</v>
      </c>
      <c r="AO8037">
        <v>15600</v>
      </c>
      <c r="AU8037">
        <v>4</v>
      </c>
      <c r="AV8037" t="s">
        <v>833</v>
      </c>
      <c r="AW8037" t="s">
        <v>329</v>
      </c>
      <c r="AX8037" t="s">
        <v>46898</v>
      </c>
    </row>
    <row r="8038" spans="1:50">
      <c r="A8038" s="1">
        <f>HYPERLINK("https://lsnyc.legalserver.org/matter/dynamic-profile/view/1899724","19-1899724")</f>
        <v>0</v>
      </c>
      <c r="B8038" t="s">
        <v>218</v>
      </c>
      <c r="C8038" t="s">
        <v>340</v>
      </c>
      <c r="D8038" t="s">
        <v>818</v>
      </c>
      <c r="F8038" t="s">
        <v>2247</v>
      </c>
      <c r="G8038" t="s">
        <v>5863</v>
      </c>
      <c r="H8038" t="s">
        <v>14452</v>
      </c>
      <c r="I8038" t="s">
        <v>17288</v>
      </c>
      <c r="J8038" t="s">
        <v>18893</v>
      </c>
      <c r="K8038">
        <v>10034</v>
      </c>
      <c r="L8038" t="s">
        <v>18958</v>
      </c>
      <c r="M8038" t="s">
        <v>18960</v>
      </c>
      <c r="P8038" t="s">
        <v>26565</v>
      </c>
      <c r="R8038" t="s">
        <v>26578</v>
      </c>
      <c r="S8038" t="s">
        <v>18959</v>
      </c>
      <c r="U8038" t="s">
        <v>26604</v>
      </c>
      <c r="W8038" t="s">
        <v>818</v>
      </c>
      <c r="X8038">
        <v>149</v>
      </c>
      <c r="Y8038" t="s">
        <v>26651</v>
      </c>
      <c r="Z8038" t="s">
        <v>26659</v>
      </c>
      <c r="AB8038" t="s">
        <v>31859</v>
      </c>
      <c r="AD8038" t="s">
        <v>42145</v>
      </c>
      <c r="AE8038">
        <v>95</v>
      </c>
      <c r="AF8038" t="s">
        <v>45541</v>
      </c>
      <c r="AG8038" t="s">
        <v>19330</v>
      </c>
      <c r="AH8038">
        <v>5</v>
      </c>
      <c r="AI8038">
        <v>2</v>
      </c>
      <c r="AJ8038">
        <v>0</v>
      </c>
      <c r="AK8038">
        <v>47.31</v>
      </c>
      <c r="AN8038" t="s">
        <v>45581</v>
      </c>
      <c r="AO8038">
        <v>8000</v>
      </c>
      <c r="AU8038">
        <v>2.3</v>
      </c>
      <c r="AV8038" t="s">
        <v>829</v>
      </c>
      <c r="AW8038" t="s">
        <v>46840</v>
      </c>
    </row>
    <row r="8039" spans="1:50">
      <c r="A8039" s="1">
        <f>HYPERLINK("https://lsnyc.legalserver.org/matter/dynamic-profile/view/1899738","19-1899738")</f>
        <v>0</v>
      </c>
      <c r="B8039" t="s">
        <v>218</v>
      </c>
      <c r="C8039" t="s">
        <v>340</v>
      </c>
      <c r="D8039" t="s">
        <v>818</v>
      </c>
      <c r="F8039" t="s">
        <v>4153</v>
      </c>
      <c r="G8039" t="s">
        <v>8546</v>
      </c>
      <c r="H8039" t="s">
        <v>15121</v>
      </c>
      <c r="I8039" t="s">
        <v>17301</v>
      </c>
      <c r="J8039" t="s">
        <v>18893</v>
      </c>
      <c r="K8039">
        <v>10034</v>
      </c>
      <c r="L8039" t="s">
        <v>18958</v>
      </c>
      <c r="M8039" t="s">
        <v>18960</v>
      </c>
      <c r="N8039" t="s">
        <v>24720</v>
      </c>
      <c r="O8039" t="s">
        <v>26523</v>
      </c>
      <c r="P8039" t="s">
        <v>26564</v>
      </c>
      <c r="R8039" t="s">
        <v>26578</v>
      </c>
      <c r="S8039" t="s">
        <v>18959</v>
      </c>
      <c r="U8039" t="s">
        <v>26604</v>
      </c>
      <c r="W8039" t="s">
        <v>818</v>
      </c>
      <c r="X8039">
        <v>1505.94</v>
      </c>
      <c r="Y8039" t="s">
        <v>26651</v>
      </c>
      <c r="Z8039" t="s">
        <v>26661</v>
      </c>
      <c r="AB8039" t="s">
        <v>32600</v>
      </c>
      <c r="AE8039">
        <v>52</v>
      </c>
      <c r="AF8039" t="s">
        <v>45541</v>
      </c>
      <c r="AG8039" t="s">
        <v>19330</v>
      </c>
      <c r="AH8039">
        <v>29</v>
      </c>
      <c r="AI8039">
        <v>2</v>
      </c>
      <c r="AJ8039">
        <v>0</v>
      </c>
      <c r="AK8039">
        <v>295.68</v>
      </c>
      <c r="AN8039" t="s">
        <v>7439</v>
      </c>
      <c r="AO8039">
        <v>50000</v>
      </c>
      <c r="AU8039">
        <v>0.5</v>
      </c>
      <c r="AV8039" t="s">
        <v>822</v>
      </c>
      <c r="AW8039" t="s">
        <v>46840</v>
      </c>
      <c r="AX8039" t="s">
        <v>46897</v>
      </c>
    </row>
    <row r="8040" spans="1:50">
      <c r="A8040" s="1">
        <f>HYPERLINK("https://lsnyc.legalserver.org/matter/dynamic-profile/view/1899697","19-1899697")</f>
        <v>0</v>
      </c>
      <c r="B8040" t="s">
        <v>199</v>
      </c>
      <c r="C8040" t="s">
        <v>340</v>
      </c>
      <c r="D8040" t="s">
        <v>818</v>
      </c>
      <c r="F8040" t="s">
        <v>1352</v>
      </c>
      <c r="G8040" t="s">
        <v>5608</v>
      </c>
      <c r="H8040" t="s">
        <v>15122</v>
      </c>
      <c r="I8040" t="s">
        <v>17306</v>
      </c>
      <c r="J8040" t="s">
        <v>18894</v>
      </c>
      <c r="K8040">
        <v>11206</v>
      </c>
      <c r="L8040" t="s">
        <v>18958</v>
      </c>
      <c r="M8040" t="s">
        <v>18960</v>
      </c>
      <c r="N8040" t="s">
        <v>24721</v>
      </c>
      <c r="O8040" t="s">
        <v>26523</v>
      </c>
      <c r="P8040" t="s">
        <v>26560</v>
      </c>
      <c r="R8040" t="s">
        <v>26578</v>
      </c>
      <c r="S8040" t="s">
        <v>18959</v>
      </c>
      <c r="U8040" t="s">
        <v>26604</v>
      </c>
      <c r="V8040" t="s">
        <v>26612</v>
      </c>
      <c r="W8040" t="s">
        <v>818</v>
      </c>
      <c r="X8040">
        <v>0</v>
      </c>
      <c r="Y8040" t="s">
        <v>26652</v>
      </c>
      <c r="AB8040" t="s">
        <v>32601</v>
      </c>
      <c r="AE8040">
        <v>0</v>
      </c>
      <c r="AH8040">
        <v>3</v>
      </c>
      <c r="AI8040">
        <v>1</v>
      </c>
      <c r="AJ8040">
        <v>2</v>
      </c>
      <c r="AK8040">
        <v>0</v>
      </c>
      <c r="AN8040" t="s">
        <v>7439</v>
      </c>
      <c r="AO8040">
        <v>0</v>
      </c>
      <c r="AU8040">
        <v>2.8</v>
      </c>
      <c r="AV8040" t="s">
        <v>829</v>
      </c>
      <c r="AW8040" t="s">
        <v>198</v>
      </c>
      <c r="AX8040" t="s">
        <v>46897</v>
      </c>
    </row>
    <row r="8041" spans="1:50">
      <c r="A8041" s="1">
        <f>HYPERLINK("https://lsnyc.legalserver.org/matter/dynamic-profile/view/1899686","19-1899686")</f>
        <v>0</v>
      </c>
      <c r="B8041" t="s">
        <v>69</v>
      </c>
      <c r="C8041" t="s">
        <v>340</v>
      </c>
      <c r="D8041" t="s">
        <v>818</v>
      </c>
      <c r="F8041" t="s">
        <v>2722</v>
      </c>
      <c r="G8041" t="s">
        <v>5187</v>
      </c>
      <c r="H8041" t="s">
        <v>10591</v>
      </c>
      <c r="I8041">
        <v>612</v>
      </c>
      <c r="J8041" t="s">
        <v>18892</v>
      </c>
      <c r="K8041">
        <v>10457</v>
      </c>
      <c r="L8041" t="s">
        <v>18958</v>
      </c>
      <c r="M8041" t="s">
        <v>18960</v>
      </c>
      <c r="N8041" t="s">
        <v>24722</v>
      </c>
      <c r="O8041" t="s">
        <v>26524</v>
      </c>
      <c r="P8041" t="s">
        <v>26560</v>
      </c>
      <c r="R8041" t="s">
        <v>26579</v>
      </c>
      <c r="S8041" t="s">
        <v>18959</v>
      </c>
      <c r="U8041" t="s">
        <v>26604</v>
      </c>
      <c r="W8041" t="s">
        <v>818</v>
      </c>
      <c r="X8041">
        <v>770.12</v>
      </c>
      <c r="Y8041" t="s">
        <v>26650</v>
      </c>
      <c r="Z8041" t="s">
        <v>26659</v>
      </c>
      <c r="AB8041" t="s">
        <v>29757</v>
      </c>
      <c r="AC8041" t="s">
        <v>35566</v>
      </c>
      <c r="AD8041" t="s">
        <v>39860</v>
      </c>
      <c r="AE8041">
        <v>119</v>
      </c>
      <c r="AF8041" t="s">
        <v>45541</v>
      </c>
      <c r="AG8041" t="s">
        <v>19330</v>
      </c>
      <c r="AH8041">
        <v>20</v>
      </c>
      <c r="AI8041">
        <v>1</v>
      </c>
      <c r="AJ8041">
        <v>2</v>
      </c>
      <c r="AK8041">
        <v>33.76</v>
      </c>
      <c r="AN8041" t="s">
        <v>45581</v>
      </c>
      <c r="AO8041">
        <v>7200</v>
      </c>
      <c r="AU8041">
        <v>23.7</v>
      </c>
      <c r="AV8041" t="s">
        <v>773</v>
      </c>
      <c r="AW8041" t="s">
        <v>46847</v>
      </c>
      <c r="AX8041" t="s">
        <v>46897</v>
      </c>
    </row>
    <row r="8042" spans="1:50">
      <c r="A8042" s="1">
        <f>HYPERLINK("https://lsnyc.legalserver.org/matter/dynamic-profile/view/1899912","19-1899912")</f>
        <v>0</v>
      </c>
      <c r="B8042" t="s">
        <v>134</v>
      </c>
      <c r="C8042" t="s">
        <v>340</v>
      </c>
      <c r="D8042" t="s">
        <v>805</v>
      </c>
      <c r="F8042" t="s">
        <v>1510</v>
      </c>
      <c r="G8042" t="s">
        <v>5717</v>
      </c>
      <c r="H8042" t="s">
        <v>10024</v>
      </c>
      <c r="I8042" t="s">
        <v>17283</v>
      </c>
      <c r="J8042" t="s">
        <v>18894</v>
      </c>
      <c r="K8042">
        <v>11221</v>
      </c>
      <c r="L8042" t="s">
        <v>18958</v>
      </c>
      <c r="M8042" t="s">
        <v>18960</v>
      </c>
      <c r="N8042" t="s">
        <v>24723</v>
      </c>
      <c r="O8042" t="s">
        <v>26523</v>
      </c>
      <c r="P8042" t="s">
        <v>26560</v>
      </c>
      <c r="R8042" t="s">
        <v>26578</v>
      </c>
      <c r="S8042" t="s">
        <v>18958</v>
      </c>
      <c r="U8042" t="s">
        <v>26604</v>
      </c>
      <c r="V8042" t="s">
        <v>26610</v>
      </c>
      <c r="W8042" t="s">
        <v>818</v>
      </c>
      <c r="X8042">
        <v>1091.82</v>
      </c>
      <c r="Y8042" t="s">
        <v>26652</v>
      </c>
      <c r="Z8042" t="s">
        <v>26663</v>
      </c>
      <c r="AB8042" t="s">
        <v>27607</v>
      </c>
      <c r="AC8042" t="s">
        <v>34508</v>
      </c>
      <c r="AD8042" t="s">
        <v>37663</v>
      </c>
      <c r="AE8042">
        <v>12</v>
      </c>
      <c r="AF8042" t="s">
        <v>45541</v>
      </c>
      <c r="AG8042" t="s">
        <v>45556</v>
      </c>
      <c r="AH8042">
        <v>12</v>
      </c>
      <c r="AI8042">
        <v>1</v>
      </c>
      <c r="AJ8042">
        <v>0</v>
      </c>
      <c r="AK8042">
        <v>147.93</v>
      </c>
      <c r="AN8042" t="s">
        <v>7439</v>
      </c>
      <c r="AO8042">
        <v>18476.9</v>
      </c>
      <c r="AU8042">
        <v>2</v>
      </c>
      <c r="AV8042" t="s">
        <v>768</v>
      </c>
      <c r="AW8042" t="s">
        <v>286</v>
      </c>
      <c r="AX8042" t="s">
        <v>46897</v>
      </c>
    </row>
    <row r="8043" spans="1:50">
      <c r="A8043" s="1">
        <f>HYPERLINK("https://lsnyc.legalserver.org/matter/dynamic-profile/view/1890631","19-1890631")</f>
        <v>0</v>
      </c>
      <c r="B8043" t="s">
        <v>108</v>
      </c>
      <c r="C8043" t="s">
        <v>340</v>
      </c>
      <c r="D8043" t="s">
        <v>745</v>
      </c>
      <c r="F8043" t="s">
        <v>1081</v>
      </c>
      <c r="G8043" t="s">
        <v>7640</v>
      </c>
      <c r="H8043" t="s">
        <v>15123</v>
      </c>
      <c r="J8043" t="s">
        <v>18901</v>
      </c>
      <c r="K8043">
        <v>11434</v>
      </c>
      <c r="L8043" t="s">
        <v>18958</v>
      </c>
      <c r="M8043" t="s">
        <v>18958</v>
      </c>
      <c r="N8043" t="s">
        <v>24724</v>
      </c>
      <c r="O8043" t="s">
        <v>26523</v>
      </c>
      <c r="P8043" t="s">
        <v>26560</v>
      </c>
      <c r="R8043" t="s">
        <v>26585</v>
      </c>
      <c r="S8043" t="s">
        <v>18959</v>
      </c>
      <c r="U8043" t="s">
        <v>26604</v>
      </c>
      <c r="V8043" t="s">
        <v>26610</v>
      </c>
      <c r="W8043" t="s">
        <v>805</v>
      </c>
      <c r="X8043">
        <v>1089</v>
      </c>
      <c r="Y8043" t="s">
        <v>26653</v>
      </c>
      <c r="Z8043" t="s">
        <v>26668</v>
      </c>
      <c r="AB8043" t="s">
        <v>32602</v>
      </c>
      <c r="AD8043" t="s">
        <v>43086</v>
      </c>
      <c r="AE8043">
        <v>5000</v>
      </c>
      <c r="AF8043" t="s">
        <v>45550</v>
      </c>
      <c r="AG8043" t="s">
        <v>19330</v>
      </c>
      <c r="AH8043">
        <v>33</v>
      </c>
      <c r="AI8043">
        <v>2</v>
      </c>
      <c r="AJ8043">
        <v>0</v>
      </c>
      <c r="AK8043">
        <v>260.2</v>
      </c>
      <c r="AL8043" t="s">
        <v>747</v>
      </c>
      <c r="AM8043" t="s">
        <v>45575</v>
      </c>
      <c r="AN8043" t="s">
        <v>7439</v>
      </c>
      <c r="AO8043">
        <v>44000</v>
      </c>
      <c r="AQ8043" t="s">
        <v>46361</v>
      </c>
      <c r="AR8043" t="s">
        <v>46380</v>
      </c>
      <c r="AS8043" t="s">
        <v>46499</v>
      </c>
      <c r="AT8043" t="s">
        <v>46639</v>
      </c>
      <c r="AU8043">
        <v>16.72</v>
      </c>
      <c r="AV8043" t="s">
        <v>830</v>
      </c>
      <c r="AW8043" t="s">
        <v>208</v>
      </c>
      <c r="AX8043" t="s">
        <v>46897</v>
      </c>
    </row>
    <row r="8044" spans="1:50">
      <c r="A8044" s="1">
        <f>HYPERLINK("https://lsnyc.legalserver.org/matter/dynamic-profile/view/1890777","19-1890777")</f>
        <v>0</v>
      </c>
      <c r="B8044" t="s">
        <v>199</v>
      </c>
      <c r="C8044" t="s">
        <v>340</v>
      </c>
      <c r="D8044" t="s">
        <v>737</v>
      </c>
      <c r="F8044" t="s">
        <v>2533</v>
      </c>
      <c r="G8044" t="s">
        <v>8547</v>
      </c>
      <c r="H8044" t="s">
        <v>15124</v>
      </c>
      <c r="I8044" t="s">
        <v>17942</v>
      </c>
      <c r="J8044" t="s">
        <v>18894</v>
      </c>
      <c r="K8044">
        <v>11226</v>
      </c>
      <c r="L8044" t="s">
        <v>18958</v>
      </c>
      <c r="M8044" t="s">
        <v>18960</v>
      </c>
      <c r="O8044" t="s">
        <v>18997</v>
      </c>
      <c r="P8044" t="s">
        <v>26562</v>
      </c>
      <c r="R8044" t="s">
        <v>26578</v>
      </c>
      <c r="S8044" t="s">
        <v>18959</v>
      </c>
      <c r="U8044" t="s">
        <v>26604</v>
      </c>
      <c r="W8044" t="s">
        <v>805</v>
      </c>
      <c r="X8044">
        <v>1158.36</v>
      </c>
      <c r="Y8044" t="s">
        <v>26652</v>
      </c>
      <c r="AB8044" t="s">
        <v>32603</v>
      </c>
      <c r="AD8044" t="s">
        <v>43087</v>
      </c>
      <c r="AE8044">
        <v>80</v>
      </c>
      <c r="AF8044" t="s">
        <v>45541</v>
      </c>
      <c r="AH8044">
        <v>25</v>
      </c>
      <c r="AI8044">
        <v>3</v>
      </c>
      <c r="AJ8044">
        <v>0</v>
      </c>
      <c r="AK8044">
        <v>22.62</v>
      </c>
      <c r="AO8044">
        <v>4824</v>
      </c>
      <c r="AU8044">
        <v>21</v>
      </c>
      <c r="AV8044" t="s">
        <v>831</v>
      </c>
      <c r="AW8044" t="s">
        <v>154</v>
      </c>
      <c r="AX8044" t="s">
        <v>46897</v>
      </c>
    </row>
    <row r="8045" spans="1:50">
      <c r="A8045" s="1">
        <f>HYPERLINK("https://lsnyc.legalserver.org/matter/dynamic-profile/view/1898325","19-1898325")</f>
        <v>0</v>
      </c>
      <c r="B8045" t="s">
        <v>200</v>
      </c>
      <c r="C8045" t="s">
        <v>341</v>
      </c>
      <c r="D8045" t="s">
        <v>767</v>
      </c>
      <c r="E8045" t="s">
        <v>819</v>
      </c>
      <c r="F8045" t="s">
        <v>948</v>
      </c>
      <c r="G8045" t="s">
        <v>3372</v>
      </c>
      <c r="H8045" t="s">
        <v>15125</v>
      </c>
      <c r="I8045" t="s">
        <v>17440</v>
      </c>
      <c r="J8045" t="s">
        <v>18894</v>
      </c>
      <c r="K8045">
        <v>11233</v>
      </c>
      <c r="L8045" t="s">
        <v>18958</v>
      </c>
      <c r="M8045" t="s">
        <v>18959</v>
      </c>
      <c r="N8045" t="s">
        <v>18997</v>
      </c>
      <c r="O8045" t="s">
        <v>26542</v>
      </c>
      <c r="P8045" t="s">
        <v>26564</v>
      </c>
      <c r="Q8045" t="s">
        <v>26570</v>
      </c>
      <c r="R8045" t="s">
        <v>26578</v>
      </c>
      <c r="S8045" t="s">
        <v>18959</v>
      </c>
      <c r="U8045" t="s">
        <v>26604</v>
      </c>
      <c r="V8045" t="s">
        <v>26610</v>
      </c>
      <c r="W8045" t="s">
        <v>805</v>
      </c>
      <c r="X8045">
        <v>77</v>
      </c>
      <c r="Y8045" t="s">
        <v>26652</v>
      </c>
      <c r="Z8045" t="s">
        <v>26668</v>
      </c>
      <c r="AA8045" t="s">
        <v>26683</v>
      </c>
      <c r="AB8045" t="s">
        <v>31545</v>
      </c>
      <c r="AD8045" t="s">
        <v>43088</v>
      </c>
      <c r="AE8045">
        <v>32</v>
      </c>
      <c r="AF8045" t="s">
        <v>45541</v>
      </c>
      <c r="AG8045" t="s">
        <v>45556</v>
      </c>
      <c r="AH8045">
        <v>1</v>
      </c>
      <c r="AI8045">
        <v>1</v>
      </c>
      <c r="AJ8045">
        <v>0</v>
      </c>
      <c r="AK8045">
        <v>145.72</v>
      </c>
      <c r="AN8045" t="s">
        <v>7439</v>
      </c>
      <c r="AO8045">
        <v>18200</v>
      </c>
      <c r="AU8045">
        <v>4.4</v>
      </c>
      <c r="AV8045" t="s">
        <v>805</v>
      </c>
      <c r="AW8045" t="s">
        <v>46858</v>
      </c>
      <c r="AX8045" t="s">
        <v>46897</v>
      </c>
    </row>
    <row r="8046" spans="1:50">
      <c r="A8046" s="1">
        <f>HYPERLINK("https://lsnyc.legalserver.org/matter/dynamic-profile/view/1899845","19-1899845")</f>
        <v>0</v>
      </c>
      <c r="B8046" t="s">
        <v>105</v>
      </c>
      <c r="C8046" t="s">
        <v>341</v>
      </c>
      <c r="D8046" t="s">
        <v>805</v>
      </c>
      <c r="E8046" t="s">
        <v>823</v>
      </c>
      <c r="F8046" t="s">
        <v>4154</v>
      </c>
      <c r="G8046" t="s">
        <v>5147</v>
      </c>
      <c r="H8046" t="s">
        <v>15126</v>
      </c>
      <c r="I8046" t="s">
        <v>17313</v>
      </c>
      <c r="J8046" t="s">
        <v>18901</v>
      </c>
      <c r="K8046">
        <v>11432</v>
      </c>
      <c r="L8046" t="s">
        <v>18958</v>
      </c>
      <c r="M8046" t="s">
        <v>18960</v>
      </c>
      <c r="N8046" t="s">
        <v>24725</v>
      </c>
      <c r="O8046" t="s">
        <v>26523</v>
      </c>
      <c r="P8046" t="s">
        <v>26564</v>
      </c>
      <c r="Q8046" t="s">
        <v>26570</v>
      </c>
      <c r="R8046" t="s">
        <v>26584</v>
      </c>
      <c r="S8046" t="s">
        <v>18959</v>
      </c>
      <c r="U8046" t="s">
        <v>26604</v>
      </c>
      <c r="V8046" t="s">
        <v>26610</v>
      </c>
      <c r="W8046" t="s">
        <v>805</v>
      </c>
      <c r="X8046">
        <v>1149.42</v>
      </c>
      <c r="Y8046" t="s">
        <v>26653</v>
      </c>
      <c r="Z8046" t="s">
        <v>26664</v>
      </c>
      <c r="AA8046" t="s">
        <v>26683</v>
      </c>
      <c r="AB8046" t="s">
        <v>26991</v>
      </c>
      <c r="AC8046" t="s">
        <v>36451</v>
      </c>
      <c r="AD8046" t="s">
        <v>43089</v>
      </c>
      <c r="AE8046">
        <v>66</v>
      </c>
      <c r="AF8046" t="s">
        <v>45541</v>
      </c>
      <c r="AG8046" t="s">
        <v>19330</v>
      </c>
      <c r="AH8046">
        <v>22</v>
      </c>
      <c r="AI8046">
        <v>2</v>
      </c>
      <c r="AJ8046">
        <v>1</v>
      </c>
      <c r="AK8046">
        <v>44.5</v>
      </c>
      <c r="AN8046" t="s">
        <v>45581</v>
      </c>
      <c r="AO8046">
        <v>9492</v>
      </c>
      <c r="AU8046">
        <v>2.55</v>
      </c>
      <c r="AV8046" t="s">
        <v>809</v>
      </c>
      <c r="AW8046" t="s">
        <v>208</v>
      </c>
      <c r="AX8046" t="s">
        <v>46898</v>
      </c>
    </row>
    <row r="8047" spans="1:50">
      <c r="A8047" s="1">
        <f>HYPERLINK("https://lsnyc.legalserver.org/matter/dynamic-profile/view/1899833","19-1899833")</f>
        <v>0</v>
      </c>
      <c r="B8047" t="s">
        <v>247</v>
      </c>
      <c r="C8047" t="s">
        <v>341</v>
      </c>
      <c r="D8047" t="s">
        <v>805</v>
      </c>
      <c r="E8047" t="s">
        <v>797</v>
      </c>
      <c r="F8047" t="s">
        <v>1002</v>
      </c>
      <c r="G8047" t="s">
        <v>6675</v>
      </c>
      <c r="H8047" t="s">
        <v>15127</v>
      </c>
      <c r="I8047">
        <v>604</v>
      </c>
      <c r="J8047" t="s">
        <v>18911</v>
      </c>
      <c r="K8047">
        <v>11375</v>
      </c>
      <c r="L8047" t="s">
        <v>18958</v>
      </c>
      <c r="M8047" t="s">
        <v>18960</v>
      </c>
      <c r="N8047" t="s">
        <v>24726</v>
      </c>
      <c r="O8047" t="s">
        <v>26523</v>
      </c>
      <c r="P8047" t="s">
        <v>26564</v>
      </c>
      <c r="Q8047" t="s">
        <v>26570</v>
      </c>
      <c r="R8047" t="s">
        <v>26584</v>
      </c>
      <c r="S8047" t="s">
        <v>18959</v>
      </c>
      <c r="U8047" t="s">
        <v>26604</v>
      </c>
      <c r="W8047" t="s">
        <v>805</v>
      </c>
      <c r="X8047">
        <v>1872.6</v>
      </c>
      <c r="Y8047" t="s">
        <v>26653</v>
      </c>
      <c r="Z8047" t="s">
        <v>26664</v>
      </c>
      <c r="AA8047" t="s">
        <v>26683</v>
      </c>
      <c r="AB8047" t="s">
        <v>32604</v>
      </c>
      <c r="AC8047" t="s">
        <v>36452</v>
      </c>
      <c r="AD8047" t="s">
        <v>43090</v>
      </c>
      <c r="AE8047">
        <v>99</v>
      </c>
      <c r="AF8047" t="s">
        <v>20460</v>
      </c>
      <c r="AG8047" t="s">
        <v>45559</v>
      </c>
      <c r="AH8047">
        <v>18</v>
      </c>
      <c r="AI8047">
        <v>1</v>
      </c>
      <c r="AJ8047">
        <v>0</v>
      </c>
      <c r="AK8047">
        <v>144.12</v>
      </c>
      <c r="AN8047" t="s">
        <v>7439</v>
      </c>
      <c r="AO8047">
        <v>18000</v>
      </c>
      <c r="AU8047">
        <v>1.98</v>
      </c>
      <c r="AV8047" t="s">
        <v>820</v>
      </c>
      <c r="AW8047" t="s">
        <v>208</v>
      </c>
      <c r="AX8047" t="s">
        <v>46898</v>
      </c>
    </row>
    <row r="8048" spans="1:50">
      <c r="A8048" s="1">
        <f>HYPERLINK("https://lsnyc.legalserver.org/matter/dynamic-profile/view/1899866","19-1899866")</f>
        <v>0</v>
      </c>
      <c r="B8048" t="s">
        <v>130</v>
      </c>
      <c r="C8048" t="s">
        <v>341</v>
      </c>
      <c r="D8048" t="s">
        <v>805</v>
      </c>
      <c r="E8048" t="s">
        <v>805</v>
      </c>
      <c r="F8048" t="s">
        <v>4155</v>
      </c>
      <c r="G8048" t="s">
        <v>8548</v>
      </c>
      <c r="H8048" t="s">
        <v>15128</v>
      </c>
      <c r="J8048" t="s">
        <v>18923</v>
      </c>
      <c r="K8048">
        <v>11418</v>
      </c>
      <c r="L8048" t="s">
        <v>18958</v>
      </c>
      <c r="M8048" t="s">
        <v>18960</v>
      </c>
      <c r="N8048" t="s">
        <v>24727</v>
      </c>
      <c r="O8048" t="s">
        <v>26524</v>
      </c>
      <c r="P8048" t="s">
        <v>26564</v>
      </c>
      <c r="Q8048" t="s">
        <v>26570</v>
      </c>
      <c r="R8048" t="s">
        <v>26584</v>
      </c>
      <c r="S8048" t="s">
        <v>18959</v>
      </c>
      <c r="U8048" t="s">
        <v>26604</v>
      </c>
      <c r="V8048" t="s">
        <v>26610</v>
      </c>
      <c r="W8048" t="s">
        <v>805</v>
      </c>
      <c r="X8048">
        <v>1450</v>
      </c>
      <c r="Y8048" t="s">
        <v>26653</v>
      </c>
      <c r="Z8048" t="s">
        <v>26664</v>
      </c>
      <c r="AA8048" t="s">
        <v>26683</v>
      </c>
      <c r="AB8048" t="s">
        <v>32605</v>
      </c>
      <c r="AD8048" t="s">
        <v>43091</v>
      </c>
      <c r="AE8048">
        <v>4</v>
      </c>
      <c r="AF8048" t="s">
        <v>45547</v>
      </c>
      <c r="AG8048" t="s">
        <v>19330</v>
      </c>
      <c r="AH8048">
        <v>1</v>
      </c>
      <c r="AI8048">
        <v>1</v>
      </c>
      <c r="AJ8048">
        <v>3</v>
      </c>
      <c r="AK8048">
        <v>37.28</v>
      </c>
      <c r="AN8048" t="s">
        <v>7439</v>
      </c>
      <c r="AO8048">
        <v>9600</v>
      </c>
      <c r="AU8048">
        <v>1.65</v>
      </c>
      <c r="AV8048" t="s">
        <v>805</v>
      </c>
      <c r="AW8048" t="s">
        <v>208</v>
      </c>
      <c r="AX8048" t="s">
        <v>46897</v>
      </c>
    </row>
    <row r="8049" spans="1:50">
      <c r="A8049" s="1">
        <f>HYPERLINK("https://lsnyc.legalserver.org/matter/dynamic-profile/view/1899792","19-1899792")</f>
        <v>0</v>
      </c>
      <c r="B8049" t="s">
        <v>151</v>
      </c>
      <c r="C8049" t="s">
        <v>341</v>
      </c>
      <c r="D8049" t="s">
        <v>805</v>
      </c>
      <c r="E8049" t="s">
        <v>833</v>
      </c>
      <c r="F8049" t="s">
        <v>1107</v>
      </c>
      <c r="G8049" t="s">
        <v>5403</v>
      </c>
      <c r="H8049" t="s">
        <v>15129</v>
      </c>
      <c r="I8049" t="s">
        <v>17275</v>
      </c>
      <c r="J8049" t="s">
        <v>18893</v>
      </c>
      <c r="K8049">
        <v>10031</v>
      </c>
      <c r="L8049" t="s">
        <v>18958</v>
      </c>
      <c r="M8049" t="s">
        <v>18960</v>
      </c>
      <c r="N8049" t="s">
        <v>24728</v>
      </c>
      <c r="O8049" t="s">
        <v>26524</v>
      </c>
      <c r="P8049" t="s">
        <v>26564</v>
      </c>
      <c r="Q8049" t="s">
        <v>26570</v>
      </c>
      <c r="R8049" t="s">
        <v>26580</v>
      </c>
      <c r="S8049" t="s">
        <v>18959</v>
      </c>
      <c r="U8049" t="s">
        <v>26604</v>
      </c>
      <c r="W8049" t="s">
        <v>805</v>
      </c>
      <c r="X8049">
        <v>430</v>
      </c>
      <c r="Y8049" t="s">
        <v>26651</v>
      </c>
      <c r="Z8049" t="s">
        <v>26668</v>
      </c>
      <c r="AA8049" t="s">
        <v>26683</v>
      </c>
      <c r="AB8049" t="s">
        <v>32606</v>
      </c>
      <c r="AD8049" t="s">
        <v>43092</v>
      </c>
      <c r="AE8049">
        <v>0</v>
      </c>
      <c r="AF8049" t="s">
        <v>45544</v>
      </c>
      <c r="AH8049">
        <v>3</v>
      </c>
      <c r="AI8049">
        <v>4</v>
      </c>
      <c r="AJ8049">
        <v>0</v>
      </c>
      <c r="AK8049">
        <v>0.84</v>
      </c>
      <c r="AO8049">
        <v>216</v>
      </c>
      <c r="AU8049">
        <v>1</v>
      </c>
      <c r="AV8049" t="s">
        <v>805</v>
      </c>
      <c r="AW8049" t="s">
        <v>317</v>
      </c>
      <c r="AX8049" t="s">
        <v>46897</v>
      </c>
    </row>
    <row r="8050" spans="1:50">
      <c r="A8050" s="1">
        <f>HYPERLINK("https://lsnyc.legalserver.org/matter/dynamic-profile/view/1899872","19-1899872")</f>
        <v>0</v>
      </c>
      <c r="B8050" t="s">
        <v>213</v>
      </c>
      <c r="C8050" t="s">
        <v>341</v>
      </c>
      <c r="D8050" t="s">
        <v>805</v>
      </c>
      <c r="E8050" t="s">
        <v>838</v>
      </c>
      <c r="F8050" t="s">
        <v>4156</v>
      </c>
      <c r="G8050" t="s">
        <v>8549</v>
      </c>
      <c r="H8050" t="s">
        <v>15130</v>
      </c>
      <c r="I8050">
        <v>1</v>
      </c>
      <c r="J8050" t="s">
        <v>18892</v>
      </c>
      <c r="K8050">
        <v>10466</v>
      </c>
      <c r="L8050" t="s">
        <v>18958</v>
      </c>
      <c r="M8050" t="s">
        <v>18960</v>
      </c>
      <c r="N8050" t="s">
        <v>24729</v>
      </c>
      <c r="O8050" t="s">
        <v>26524</v>
      </c>
      <c r="P8050" t="s">
        <v>26564</v>
      </c>
      <c r="Q8050" t="s">
        <v>26570</v>
      </c>
      <c r="R8050" t="s">
        <v>26577</v>
      </c>
      <c r="S8050" t="s">
        <v>18959</v>
      </c>
      <c r="U8050" t="s">
        <v>26604</v>
      </c>
      <c r="W8050" t="s">
        <v>805</v>
      </c>
      <c r="X8050">
        <v>0</v>
      </c>
      <c r="Y8050" t="s">
        <v>26650</v>
      </c>
      <c r="Z8050" t="s">
        <v>26668</v>
      </c>
      <c r="AA8050" t="s">
        <v>26683</v>
      </c>
      <c r="AB8050" t="s">
        <v>32607</v>
      </c>
      <c r="AD8050" t="s">
        <v>43093</v>
      </c>
      <c r="AE8050">
        <v>0</v>
      </c>
      <c r="AH8050">
        <v>6</v>
      </c>
      <c r="AI8050">
        <v>2</v>
      </c>
      <c r="AJ8050">
        <v>4</v>
      </c>
      <c r="AK8050">
        <v>37.58</v>
      </c>
      <c r="AN8050" t="s">
        <v>7439</v>
      </c>
      <c r="AO8050">
        <v>13000</v>
      </c>
      <c r="AU8050">
        <v>1.7</v>
      </c>
      <c r="AV8050" t="s">
        <v>822</v>
      </c>
      <c r="AW8050" t="s">
        <v>329</v>
      </c>
      <c r="AX8050" t="s">
        <v>46897</v>
      </c>
    </row>
    <row r="8051" spans="1:50">
      <c r="A8051" s="1">
        <f>HYPERLINK("https://lsnyc.legalserver.org/matter/dynamic-profile/view/1899864","19-1899864")</f>
        <v>0</v>
      </c>
      <c r="B8051" t="s">
        <v>165</v>
      </c>
      <c r="C8051" t="s">
        <v>340</v>
      </c>
      <c r="D8051" t="s">
        <v>805</v>
      </c>
      <c r="F8051" t="s">
        <v>913</v>
      </c>
      <c r="G8051" t="s">
        <v>5147</v>
      </c>
      <c r="H8051" t="s">
        <v>11965</v>
      </c>
      <c r="I8051" t="s">
        <v>17798</v>
      </c>
      <c r="J8051" t="s">
        <v>18893</v>
      </c>
      <c r="K8051">
        <v>10027</v>
      </c>
      <c r="L8051" t="s">
        <v>18958</v>
      </c>
      <c r="M8051" t="s">
        <v>18960</v>
      </c>
      <c r="N8051" t="s">
        <v>24730</v>
      </c>
      <c r="O8051" t="s">
        <v>26523</v>
      </c>
      <c r="P8051" t="s">
        <v>26560</v>
      </c>
      <c r="R8051" t="s">
        <v>26580</v>
      </c>
      <c r="S8051" t="s">
        <v>18959</v>
      </c>
      <c r="U8051" t="s">
        <v>26604</v>
      </c>
      <c r="W8051" t="s">
        <v>805</v>
      </c>
      <c r="X8051">
        <v>1291</v>
      </c>
      <c r="Y8051" t="s">
        <v>26651</v>
      </c>
      <c r="Z8051" t="s">
        <v>26664</v>
      </c>
      <c r="AB8051" t="s">
        <v>29244</v>
      </c>
      <c r="AC8051" t="s">
        <v>36453</v>
      </c>
      <c r="AD8051" t="s">
        <v>39297</v>
      </c>
      <c r="AE8051">
        <v>0</v>
      </c>
      <c r="AG8051" t="s">
        <v>45556</v>
      </c>
      <c r="AH8051">
        <v>13</v>
      </c>
      <c r="AI8051">
        <v>1</v>
      </c>
      <c r="AJ8051">
        <v>0</v>
      </c>
      <c r="AK8051">
        <v>72.15000000000001</v>
      </c>
      <c r="AN8051" t="s">
        <v>7439</v>
      </c>
      <c r="AO8051">
        <v>9012</v>
      </c>
      <c r="AU8051">
        <v>1</v>
      </c>
      <c r="AV8051" t="s">
        <v>805</v>
      </c>
      <c r="AW8051" t="s">
        <v>317</v>
      </c>
      <c r="AX8051" t="s">
        <v>46898</v>
      </c>
    </row>
    <row r="8052" spans="1:50">
      <c r="A8052" s="1">
        <f>HYPERLINK("https://lsnyc.legalserver.org/matter/dynamic-profile/view/1899835","19-1899835")</f>
        <v>0</v>
      </c>
      <c r="B8052" t="s">
        <v>276</v>
      </c>
      <c r="C8052" t="s">
        <v>340</v>
      </c>
      <c r="D8052" t="s">
        <v>805</v>
      </c>
      <c r="F8052" t="s">
        <v>1128</v>
      </c>
      <c r="G8052" t="s">
        <v>8201</v>
      </c>
      <c r="H8052" t="s">
        <v>14194</v>
      </c>
      <c r="I8052" t="s">
        <v>17278</v>
      </c>
      <c r="J8052" t="s">
        <v>18894</v>
      </c>
      <c r="K8052">
        <v>11217</v>
      </c>
      <c r="L8052" t="s">
        <v>18958</v>
      </c>
      <c r="M8052" t="s">
        <v>18960</v>
      </c>
      <c r="P8052" t="s">
        <v>26560</v>
      </c>
      <c r="R8052" t="s">
        <v>26578</v>
      </c>
      <c r="S8052" t="s">
        <v>18958</v>
      </c>
      <c r="U8052" t="s">
        <v>26604</v>
      </c>
      <c r="W8052" t="s">
        <v>805</v>
      </c>
      <c r="X8052">
        <v>869.85</v>
      </c>
      <c r="Y8052" t="s">
        <v>26652</v>
      </c>
      <c r="AB8052" t="s">
        <v>32041</v>
      </c>
      <c r="AD8052" t="s">
        <v>42354</v>
      </c>
      <c r="AE8052">
        <v>0</v>
      </c>
      <c r="AH8052">
        <v>10</v>
      </c>
      <c r="AI8052">
        <v>1</v>
      </c>
      <c r="AJ8052">
        <v>0</v>
      </c>
      <c r="AK8052">
        <v>0</v>
      </c>
      <c r="AN8052" t="s">
        <v>7439</v>
      </c>
      <c r="AO8052">
        <v>0</v>
      </c>
      <c r="AU8052">
        <v>3.1</v>
      </c>
      <c r="AV8052" t="s">
        <v>831</v>
      </c>
      <c r="AW8052" t="s">
        <v>219</v>
      </c>
    </row>
    <row r="8053" spans="1:50">
      <c r="A8053" s="1">
        <f>HYPERLINK("https://lsnyc.legalserver.org/matter/dynamic-profile/view/1899861","19-1899861")</f>
        <v>0</v>
      </c>
      <c r="B8053" t="s">
        <v>276</v>
      </c>
      <c r="C8053" t="s">
        <v>340</v>
      </c>
      <c r="D8053" t="s">
        <v>805</v>
      </c>
      <c r="F8053" t="s">
        <v>1128</v>
      </c>
      <c r="G8053" t="s">
        <v>8201</v>
      </c>
      <c r="H8053" t="s">
        <v>14194</v>
      </c>
      <c r="I8053" t="s">
        <v>17278</v>
      </c>
      <c r="J8053" t="s">
        <v>18894</v>
      </c>
      <c r="K8053">
        <v>11217</v>
      </c>
      <c r="L8053" t="s">
        <v>18958</v>
      </c>
      <c r="M8053" t="s">
        <v>18960</v>
      </c>
      <c r="P8053" t="s">
        <v>26560</v>
      </c>
      <c r="R8053" t="s">
        <v>26578</v>
      </c>
      <c r="S8053" t="s">
        <v>18958</v>
      </c>
      <c r="U8053" t="s">
        <v>26604</v>
      </c>
      <c r="W8053" t="s">
        <v>805</v>
      </c>
      <c r="X8053">
        <v>869.85</v>
      </c>
      <c r="Y8053" t="s">
        <v>26652</v>
      </c>
      <c r="AB8053" t="s">
        <v>32041</v>
      </c>
      <c r="AD8053" t="s">
        <v>42354</v>
      </c>
      <c r="AE8053">
        <v>0</v>
      </c>
      <c r="AH8053">
        <v>10</v>
      </c>
      <c r="AI8053">
        <v>1</v>
      </c>
      <c r="AJ8053">
        <v>0</v>
      </c>
      <c r="AK8053">
        <v>0</v>
      </c>
      <c r="AN8053" t="s">
        <v>7439</v>
      </c>
      <c r="AO8053">
        <v>0</v>
      </c>
      <c r="AU8053">
        <v>0</v>
      </c>
      <c r="AW8053" t="s">
        <v>219</v>
      </c>
    </row>
    <row r="8054" spans="1:50">
      <c r="A8054" s="1">
        <f>HYPERLINK("https://lsnyc.legalserver.org/matter/dynamic-profile/view/1899910","19-1899910")</f>
        <v>0</v>
      </c>
      <c r="B8054" t="s">
        <v>60</v>
      </c>
      <c r="C8054" t="s">
        <v>340</v>
      </c>
      <c r="D8054" t="s">
        <v>805</v>
      </c>
      <c r="F8054" t="s">
        <v>4157</v>
      </c>
      <c r="G8054" t="s">
        <v>5199</v>
      </c>
      <c r="H8054" t="s">
        <v>10082</v>
      </c>
      <c r="I8054" t="s">
        <v>17302</v>
      </c>
      <c r="J8054" t="s">
        <v>18892</v>
      </c>
      <c r="K8054">
        <v>10467</v>
      </c>
      <c r="L8054" t="s">
        <v>18958</v>
      </c>
      <c r="M8054" t="s">
        <v>18960</v>
      </c>
      <c r="N8054" t="s">
        <v>24731</v>
      </c>
      <c r="O8054" t="s">
        <v>26542</v>
      </c>
      <c r="P8054" t="s">
        <v>26561</v>
      </c>
      <c r="R8054" t="s">
        <v>26578</v>
      </c>
      <c r="S8054" t="s">
        <v>18959</v>
      </c>
      <c r="U8054" t="s">
        <v>26606</v>
      </c>
      <c r="W8054" t="s">
        <v>805</v>
      </c>
      <c r="X8054">
        <v>1350</v>
      </c>
      <c r="Y8054" t="s">
        <v>26650</v>
      </c>
      <c r="Z8054" t="s">
        <v>26661</v>
      </c>
      <c r="AB8054" t="s">
        <v>32608</v>
      </c>
      <c r="AD8054" t="s">
        <v>43094</v>
      </c>
      <c r="AE8054">
        <v>0</v>
      </c>
      <c r="AF8054" t="s">
        <v>45547</v>
      </c>
      <c r="AG8054" t="s">
        <v>45556</v>
      </c>
      <c r="AH8054">
        <v>18</v>
      </c>
      <c r="AI8054">
        <v>1</v>
      </c>
      <c r="AJ8054">
        <v>0</v>
      </c>
      <c r="AK8054">
        <v>340.83</v>
      </c>
      <c r="AN8054" t="s">
        <v>7439</v>
      </c>
      <c r="AO8054">
        <v>42570</v>
      </c>
      <c r="AP8054" t="s">
        <v>46077</v>
      </c>
      <c r="AU8054">
        <v>1.6</v>
      </c>
      <c r="AV8054" t="s">
        <v>814</v>
      </c>
      <c r="AW8054" t="s">
        <v>60</v>
      </c>
      <c r="AX8054" t="s">
        <v>46897</v>
      </c>
    </row>
    <row r="8055" spans="1:50">
      <c r="A8055" s="1">
        <f>HYPERLINK("https://lsnyc.legalserver.org/matter/dynamic-profile/view/1899807","19-1899807")</f>
        <v>0</v>
      </c>
      <c r="B8055" t="s">
        <v>179</v>
      </c>
      <c r="C8055" t="s">
        <v>340</v>
      </c>
      <c r="D8055" t="s">
        <v>805</v>
      </c>
      <c r="F8055" t="s">
        <v>1005</v>
      </c>
      <c r="G8055" t="s">
        <v>4668</v>
      </c>
      <c r="H8055" t="s">
        <v>15131</v>
      </c>
      <c r="I8055">
        <v>24</v>
      </c>
      <c r="J8055" t="s">
        <v>18894</v>
      </c>
      <c r="K8055">
        <v>11232</v>
      </c>
      <c r="L8055" t="s">
        <v>18958</v>
      </c>
      <c r="M8055" t="s">
        <v>18960</v>
      </c>
      <c r="N8055" t="s">
        <v>24732</v>
      </c>
      <c r="O8055" t="s">
        <v>26524</v>
      </c>
      <c r="P8055" t="s">
        <v>26560</v>
      </c>
      <c r="R8055" t="s">
        <v>26586</v>
      </c>
      <c r="S8055" t="s">
        <v>18959</v>
      </c>
      <c r="U8055" t="s">
        <v>26604</v>
      </c>
      <c r="V8055" t="s">
        <v>26610</v>
      </c>
      <c r="W8055" t="s">
        <v>805</v>
      </c>
      <c r="X8055">
        <v>1000</v>
      </c>
      <c r="Y8055" t="s">
        <v>26652</v>
      </c>
      <c r="Z8055" t="s">
        <v>26659</v>
      </c>
      <c r="AB8055" t="s">
        <v>27549</v>
      </c>
      <c r="AD8055" t="s">
        <v>34738</v>
      </c>
      <c r="AE8055">
        <v>0</v>
      </c>
      <c r="AF8055" t="s">
        <v>45541</v>
      </c>
      <c r="AH8055">
        <v>20</v>
      </c>
      <c r="AI8055">
        <v>2</v>
      </c>
      <c r="AJ8055">
        <v>4</v>
      </c>
      <c r="AK8055">
        <v>6.94</v>
      </c>
      <c r="AN8055" t="s">
        <v>7439</v>
      </c>
      <c r="AO8055">
        <v>2400</v>
      </c>
      <c r="AU8055">
        <v>21.2</v>
      </c>
      <c r="AV8055" t="s">
        <v>836</v>
      </c>
      <c r="AW8055" t="s">
        <v>179</v>
      </c>
    </row>
    <row r="8056" spans="1:50">
      <c r="A8056" s="1">
        <f>HYPERLINK("https://lsnyc.legalserver.org/matter/dynamic-profile/view/1899853","19-1899853")</f>
        <v>0</v>
      </c>
      <c r="B8056" t="s">
        <v>282</v>
      </c>
      <c r="C8056" t="s">
        <v>340</v>
      </c>
      <c r="D8056" t="s">
        <v>805</v>
      </c>
      <c r="F8056" t="s">
        <v>2860</v>
      </c>
      <c r="G8056" t="s">
        <v>5086</v>
      </c>
      <c r="H8056" t="s">
        <v>15132</v>
      </c>
      <c r="J8056" t="s">
        <v>18934</v>
      </c>
      <c r="K8056">
        <v>11413</v>
      </c>
      <c r="L8056" t="s">
        <v>18958</v>
      </c>
      <c r="M8056" t="s">
        <v>18960</v>
      </c>
      <c r="N8056" t="s">
        <v>24733</v>
      </c>
      <c r="O8056" t="s">
        <v>26524</v>
      </c>
      <c r="P8056" t="s">
        <v>26564</v>
      </c>
      <c r="R8056" t="s">
        <v>26584</v>
      </c>
      <c r="S8056" t="s">
        <v>18959</v>
      </c>
      <c r="U8056" t="s">
        <v>26604</v>
      </c>
      <c r="V8056" t="s">
        <v>26610</v>
      </c>
      <c r="W8056" t="s">
        <v>805</v>
      </c>
      <c r="X8056">
        <v>0</v>
      </c>
      <c r="Y8056" t="s">
        <v>26653</v>
      </c>
      <c r="Z8056" t="s">
        <v>26664</v>
      </c>
      <c r="AB8056" t="s">
        <v>32609</v>
      </c>
      <c r="AD8056" t="s">
        <v>43095</v>
      </c>
      <c r="AE8056">
        <v>2</v>
      </c>
      <c r="AF8056" t="s">
        <v>20460</v>
      </c>
      <c r="AG8056" t="s">
        <v>19330</v>
      </c>
      <c r="AH8056">
        <v>9</v>
      </c>
      <c r="AI8056">
        <v>1</v>
      </c>
      <c r="AJ8056">
        <v>2</v>
      </c>
      <c r="AK8056">
        <v>101.27</v>
      </c>
      <c r="AN8056" t="s">
        <v>7439</v>
      </c>
      <c r="AO8056">
        <v>21600</v>
      </c>
      <c r="AU8056">
        <v>1.7</v>
      </c>
      <c r="AV8056" t="s">
        <v>826</v>
      </c>
      <c r="AW8056" t="s">
        <v>208</v>
      </c>
      <c r="AX8056" t="s">
        <v>46897</v>
      </c>
    </row>
    <row r="8057" spans="1:50">
      <c r="A8057" s="1">
        <f>HYPERLINK("https://lsnyc.legalserver.org/matter/dynamic-profile/view/1899794","19-1899794")</f>
        <v>0</v>
      </c>
      <c r="B8057" t="s">
        <v>131</v>
      </c>
      <c r="C8057" t="s">
        <v>340</v>
      </c>
      <c r="D8057" t="s">
        <v>805</v>
      </c>
      <c r="F8057" t="s">
        <v>2946</v>
      </c>
      <c r="G8057" t="s">
        <v>5147</v>
      </c>
      <c r="H8057" t="s">
        <v>11310</v>
      </c>
      <c r="I8057" t="s">
        <v>17540</v>
      </c>
      <c r="J8057" t="s">
        <v>18902</v>
      </c>
      <c r="K8057">
        <v>10303</v>
      </c>
      <c r="L8057" t="s">
        <v>18958</v>
      </c>
      <c r="M8057" t="s">
        <v>18960</v>
      </c>
      <c r="N8057" t="s">
        <v>24734</v>
      </c>
      <c r="O8057" t="s">
        <v>26523</v>
      </c>
      <c r="R8057" t="s">
        <v>26590</v>
      </c>
      <c r="S8057" t="s">
        <v>18959</v>
      </c>
      <c r="U8057" t="s">
        <v>26604</v>
      </c>
      <c r="V8057" t="s">
        <v>26610</v>
      </c>
      <c r="W8057" t="s">
        <v>805</v>
      </c>
      <c r="X8057">
        <v>1001</v>
      </c>
      <c r="Y8057" t="s">
        <v>26654</v>
      </c>
      <c r="Z8057" t="s">
        <v>26661</v>
      </c>
      <c r="AB8057" t="s">
        <v>27814</v>
      </c>
      <c r="AD8057" t="s">
        <v>43096</v>
      </c>
      <c r="AE8057">
        <v>0</v>
      </c>
      <c r="AF8057" t="s">
        <v>45543</v>
      </c>
      <c r="AG8057" t="s">
        <v>45556</v>
      </c>
      <c r="AH8057">
        <v>8</v>
      </c>
      <c r="AI8057">
        <v>1</v>
      </c>
      <c r="AJ8057">
        <v>3</v>
      </c>
      <c r="AK8057">
        <v>0</v>
      </c>
      <c r="AN8057" t="s">
        <v>7439</v>
      </c>
      <c r="AO8057">
        <v>0</v>
      </c>
      <c r="AU8057">
        <v>5.7</v>
      </c>
      <c r="AV8057" t="s">
        <v>773</v>
      </c>
      <c r="AW8057" t="s">
        <v>46883</v>
      </c>
      <c r="AX8057" t="s">
        <v>46897</v>
      </c>
    </row>
    <row r="8058" spans="1:50">
      <c r="A8058" s="1">
        <f>HYPERLINK("https://lsnyc.legalserver.org/matter/dynamic-profile/view/1899876","19-1899876")</f>
        <v>0</v>
      </c>
      <c r="B8058" t="s">
        <v>159</v>
      </c>
      <c r="C8058" t="s">
        <v>340</v>
      </c>
      <c r="D8058" t="s">
        <v>805</v>
      </c>
      <c r="F8058" t="s">
        <v>4158</v>
      </c>
      <c r="G8058" t="s">
        <v>7303</v>
      </c>
      <c r="H8058" t="s">
        <v>15133</v>
      </c>
      <c r="I8058" t="s">
        <v>17439</v>
      </c>
      <c r="J8058" t="s">
        <v>18900</v>
      </c>
      <c r="K8058">
        <v>11355</v>
      </c>
      <c r="L8058" t="s">
        <v>18958</v>
      </c>
      <c r="M8058" t="s">
        <v>18960</v>
      </c>
      <c r="N8058" t="s">
        <v>24735</v>
      </c>
      <c r="O8058" t="s">
        <v>26524</v>
      </c>
      <c r="P8058" t="s">
        <v>26564</v>
      </c>
      <c r="R8058" t="s">
        <v>26584</v>
      </c>
      <c r="S8058" t="s">
        <v>18959</v>
      </c>
      <c r="U8058" t="s">
        <v>26604</v>
      </c>
      <c r="V8058" t="s">
        <v>26610</v>
      </c>
      <c r="W8058" t="s">
        <v>805</v>
      </c>
      <c r="X8058">
        <v>1500</v>
      </c>
      <c r="Y8058" t="s">
        <v>26653</v>
      </c>
      <c r="Z8058" t="s">
        <v>26664</v>
      </c>
      <c r="AB8058" t="s">
        <v>32610</v>
      </c>
      <c r="AD8058" t="s">
        <v>43097</v>
      </c>
      <c r="AE8058">
        <v>3</v>
      </c>
      <c r="AF8058" t="s">
        <v>45547</v>
      </c>
      <c r="AG8058" t="s">
        <v>19330</v>
      </c>
      <c r="AH8058">
        <v>8</v>
      </c>
      <c r="AI8058">
        <v>2</v>
      </c>
      <c r="AJ8058">
        <v>0</v>
      </c>
      <c r="AK8058">
        <v>150.8</v>
      </c>
      <c r="AN8058" t="s">
        <v>45593</v>
      </c>
      <c r="AO8058">
        <v>25500</v>
      </c>
      <c r="AU8058">
        <v>1.2</v>
      </c>
      <c r="AV8058" t="s">
        <v>729</v>
      </c>
      <c r="AW8058" t="s">
        <v>122</v>
      </c>
      <c r="AX8058" t="s">
        <v>46897</v>
      </c>
    </row>
    <row r="8059" spans="1:50">
      <c r="A8059" s="1">
        <f>HYPERLINK("https://lsnyc.legalserver.org/matter/dynamic-profile/view/1899907","19-1899907")</f>
        <v>0</v>
      </c>
      <c r="B8059" t="s">
        <v>50</v>
      </c>
      <c r="C8059" t="s">
        <v>340</v>
      </c>
      <c r="D8059" t="s">
        <v>805</v>
      </c>
      <c r="F8059" t="s">
        <v>1905</v>
      </c>
      <c r="G8059" t="s">
        <v>3718</v>
      </c>
      <c r="H8059" t="s">
        <v>14966</v>
      </c>
      <c r="I8059">
        <v>3</v>
      </c>
      <c r="J8059" t="s">
        <v>18892</v>
      </c>
      <c r="K8059">
        <v>10457</v>
      </c>
      <c r="L8059" t="s">
        <v>18958</v>
      </c>
      <c r="M8059" t="s">
        <v>18960</v>
      </c>
      <c r="N8059" t="s">
        <v>24736</v>
      </c>
      <c r="O8059" t="s">
        <v>26526</v>
      </c>
      <c r="P8059" t="s">
        <v>26560</v>
      </c>
      <c r="R8059" t="s">
        <v>26577</v>
      </c>
      <c r="S8059" t="s">
        <v>18959</v>
      </c>
      <c r="U8059" t="s">
        <v>26604</v>
      </c>
      <c r="W8059" t="s">
        <v>805</v>
      </c>
      <c r="X8059">
        <v>650</v>
      </c>
      <c r="Y8059" t="s">
        <v>26650</v>
      </c>
      <c r="Z8059" t="s">
        <v>26664</v>
      </c>
      <c r="AB8059" t="s">
        <v>30481</v>
      </c>
      <c r="AD8059" t="s">
        <v>42894</v>
      </c>
      <c r="AE8059">
        <v>4</v>
      </c>
      <c r="AF8059" t="s">
        <v>45553</v>
      </c>
      <c r="AG8059" t="s">
        <v>19330</v>
      </c>
      <c r="AH8059">
        <v>3</v>
      </c>
      <c r="AI8059">
        <v>2</v>
      </c>
      <c r="AJ8059">
        <v>0</v>
      </c>
      <c r="AK8059">
        <v>183.32</v>
      </c>
      <c r="AN8059" t="s">
        <v>7439</v>
      </c>
      <c r="AO8059">
        <v>31000</v>
      </c>
      <c r="AU8059">
        <v>2.75</v>
      </c>
      <c r="AV8059" t="s">
        <v>821</v>
      </c>
      <c r="AW8059" t="s">
        <v>46870</v>
      </c>
      <c r="AX8059" t="s">
        <v>46897</v>
      </c>
    </row>
    <row r="8060" spans="1:50">
      <c r="A8060" s="1">
        <f>HYPERLINK("https://lsnyc.legalserver.org/matter/dynamic-profile/view/1899918","19-1899918")</f>
        <v>0</v>
      </c>
      <c r="B8060" t="s">
        <v>50</v>
      </c>
      <c r="C8060" t="s">
        <v>340</v>
      </c>
      <c r="D8060" t="s">
        <v>805</v>
      </c>
      <c r="F8060" t="s">
        <v>2403</v>
      </c>
      <c r="G8060" t="s">
        <v>5515</v>
      </c>
      <c r="H8060" t="s">
        <v>15134</v>
      </c>
      <c r="I8060" t="s">
        <v>17349</v>
      </c>
      <c r="J8060" t="s">
        <v>18892</v>
      </c>
      <c r="K8060">
        <v>10467</v>
      </c>
      <c r="L8060" t="s">
        <v>18958</v>
      </c>
      <c r="M8060" t="s">
        <v>18960</v>
      </c>
      <c r="N8060" t="s">
        <v>24737</v>
      </c>
      <c r="O8060" t="s">
        <v>26523</v>
      </c>
      <c r="P8060" t="s">
        <v>26560</v>
      </c>
      <c r="R8060" t="s">
        <v>26579</v>
      </c>
      <c r="S8060" t="s">
        <v>18959</v>
      </c>
      <c r="U8060" t="s">
        <v>26604</v>
      </c>
      <c r="W8060" t="s">
        <v>805</v>
      </c>
      <c r="X8060">
        <v>342</v>
      </c>
      <c r="Y8060" t="s">
        <v>26650</v>
      </c>
      <c r="Z8060" t="s">
        <v>26664</v>
      </c>
      <c r="AB8060" t="s">
        <v>32611</v>
      </c>
      <c r="AD8060" t="s">
        <v>43098</v>
      </c>
      <c r="AE8060">
        <v>0</v>
      </c>
      <c r="AF8060" t="s">
        <v>45549</v>
      </c>
      <c r="AH8060">
        <v>6</v>
      </c>
      <c r="AI8060">
        <v>3</v>
      </c>
      <c r="AJ8060">
        <v>0</v>
      </c>
      <c r="AK8060">
        <v>0</v>
      </c>
      <c r="AO8060">
        <v>0</v>
      </c>
      <c r="AU8060">
        <v>5.25</v>
      </c>
      <c r="AV8060" t="s">
        <v>839</v>
      </c>
      <c r="AW8060" t="s">
        <v>46870</v>
      </c>
      <c r="AX8060" t="s">
        <v>46897</v>
      </c>
    </row>
    <row r="8061" spans="1:50">
      <c r="A8061" s="1">
        <f>HYPERLINK("https://lsnyc.legalserver.org/matter/dynamic-profile/view/1899826","19-1899826")</f>
        <v>0</v>
      </c>
      <c r="B8061" t="s">
        <v>295</v>
      </c>
      <c r="C8061" t="s">
        <v>340</v>
      </c>
      <c r="D8061" t="s">
        <v>805</v>
      </c>
      <c r="F8061" t="s">
        <v>1369</v>
      </c>
      <c r="G8061" t="s">
        <v>5308</v>
      </c>
      <c r="H8061" t="s">
        <v>10516</v>
      </c>
      <c r="I8061" t="s">
        <v>17327</v>
      </c>
      <c r="J8061" t="s">
        <v>18894</v>
      </c>
      <c r="K8061">
        <v>11213</v>
      </c>
      <c r="L8061" t="s">
        <v>18958</v>
      </c>
      <c r="M8061" t="s">
        <v>18960</v>
      </c>
      <c r="N8061" t="s">
        <v>24738</v>
      </c>
      <c r="O8061" t="s">
        <v>26523</v>
      </c>
      <c r="P8061" t="s">
        <v>26560</v>
      </c>
      <c r="R8061" t="s">
        <v>26578</v>
      </c>
      <c r="S8061" t="s">
        <v>18959</v>
      </c>
      <c r="U8061" t="s">
        <v>26604</v>
      </c>
      <c r="V8061" t="s">
        <v>26610</v>
      </c>
      <c r="W8061" t="s">
        <v>805</v>
      </c>
      <c r="X8061">
        <v>380.62</v>
      </c>
      <c r="Y8061" t="s">
        <v>26652</v>
      </c>
      <c r="Z8061" t="s">
        <v>26667</v>
      </c>
      <c r="AB8061" t="s">
        <v>29928</v>
      </c>
      <c r="AD8061" t="s">
        <v>43099</v>
      </c>
      <c r="AE8061">
        <v>19</v>
      </c>
      <c r="AF8061" t="s">
        <v>45541</v>
      </c>
      <c r="AH8061">
        <v>8</v>
      </c>
      <c r="AI8061">
        <v>1</v>
      </c>
      <c r="AJ8061">
        <v>0</v>
      </c>
      <c r="AK8061">
        <v>86.47</v>
      </c>
      <c r="AN8061" t="s">
        <v>7439</v>
      </c>
      <c r="AO8061">
        <v>10800</v>
      </c>
      <c r="AU8061">
        <v>3.5</v>
      </c>
      <c r="AV8061" t="s">
        <v>772</v>
      </c>
      <c r="AW8061" t="s">
        <v>295</v>
      </c>
      <c r="AX8061" t="s">
        <v>46897</v>
      </c>
    </row>
    <row r="8062" spans="1:50">
      <c r="A8062" s="1">
        <f>HYPERLINK("https://lsnyc.legalserver.org/matter/dynamic-profile/view/1899824","19-1899824")</f>
        <v>0</v>
      </c>
      <c r="B8062" t="s">
        <v>295</v>
      </c>
      <c r="C8062" t="s">
        <v>340</v>
      </c>
      <c r="D8062" t="s">
        <v>805</v>
      </c>
      <c r="F8062" t="s">
        <v>1756</v>
      </c>
      <c r="G8062" t="s">
        <v>8550</v>
      </c>
      <c r="H8062" t="s">
        <v>15135</v>
      </c>
      <c r="I8062" t="s">
        <v>17272</v>
      </c>
      <c r="J8062" t="s">
        <v>18894</v>
      </c>
      <c r="K8062">
        <v>11233</v>
      </c>
      <c r="L8062" t="s">
        <v>18958</v>
      </c>
      <c r="M8062" t="s">
        <v>18960</v>
      </c>
      <c r="N8062" t="s">
        <v>24739</v>
      </c>
      <c r="O8062" t="s">
        <v>26523</v>
      </c>
      <c r="P8062" t="s">
        <v>26560</v>
      </c>
      <c r="R8062" t="s">
        <v>26578</v>
      </c>
      <c r="S8062" t="s">
        <v>18959</v>
      </c>
      <c r="U8062" t="s">
        <v>26604</v>
      </c>
      <c r="V8062" t="s">
        <v>26610</v>
      </c>
      <c r="W8062" t="s">
        <v>805</v>
      </c>
      <c r="X8062">
        <v>1275.64</v>
      </c>
      <c r="Y8062" t="s">
        <v>26652</v>
      </c>
      <c r="AB8062" t="s">
        <v>32612</v>
      </c>
      <c r="AD8062" t="s">
        <v>34738</v>
      </c>
      <c r="AE8062">
        <v>6</v>
      </c>
      <c r="AF8062" t="s">
        <v>45541</v>
      </c>
      <c r="AH8062">
        <v>16</v>
      </c>
      <c r="AI8062">
        <v>3</v>
      </c>
      <c r="AJ8062">
        <v>0</v>
      </c>
      <c r="AK8062">
        <v>103.14</v>
      </c>
      <c r="AO8062">
        <v>22000</v>
      </c>
      <c r="AP8062" t="s">
        <v>46078</v>
      </c>
      <c r="AU8062">
        <v>6.5</v>
      </c>
      <c r="AV8062" t="s">
        <v>827</v>
      </c>
      <c r="AW8062" t="s">
        <v>73</v>
      </c>
      <c r="AX8062" t="s">
        <v>46897</v>
      </c>
    </row>
    <row r="8063" spans="1:50">
      <c r="A8063" s="1">
        <f>HYPERLINK("https://lsnyc.legalserver.org/matter/dynamic-profile/view/1899805","19-1899805")</f>
        <v>0</v>
      </c>
      <c r="B8063" t="s">
        <v>86</v>
      </c>
      <c r="C8063" t="s">
        <v>340</v>
      </c>
      <c r="D8063" t="s">
        <v>805</v>
      </c>
      <c r="F8063" t="s">
        <v>1983</v>
      </c>
      <c r="G8063" t="s">
        <v>8551</v>
      </c>
      <c r="H8063" t="s">
        <v>15136</v>
      </c>
      <c r="I8063" t="s">
        <v>18526</v>
      </c>
      <c r="J8063" t="s">
        <v>18893</v>
      </c>
      <c r="K8063">
        <v>10021</v>
      </c>
      <c r="L8063" t="s">
        <v>18958</v>
      </c>
      <c r="M8063" t="s">
        <v>18960</v>
      </c>
      <c r="N8063" t="s">
        <v>24740</v>
      </c>
      <c r="O8063" t="s">
        <v>26523</v>
      </c>
      <c r="P8063" t="s">
        <v>26560</v>
      </c>
      <c r="R8063" t="s">
        <v>26582</v>
      </c>
      <c r="U8063" t="s">
        <v>26604</v>
      </c>
      <c r="V8063" t="s">
        <v>26614</v>
      </c>
      <c r="W8063" t="s">
        <v>805</v>
      </c>
      <c r="X8063">
        <v>836.52</v>
      </c>
      <c r="Y8063" t="s">
        <v>26651</v>
      </c>
      <c r="AB8063" t="s">
        <v>29342</v>
      </c>
      <c r="AC8063" t="s">
        <v>36454</v>
      </c>
      <c r="AD8063" t="s">
        <v>43100</v>
      </c>
      <c r="AE8063">
        <v>0</v>
      </c>
      <c r="AF8063" t="s">
        <v>45548</v>
      </c>
      <c r="AH8063">
        <v>40</v>
      </c>
      <c r="AI8063">
        <v>2</v>
      </c>
      <c r="AJ8063">
        <v>1</v>
      </c>
      <c r="AK8063">
        <v>51.2</v>
      </c>
      <c r="AN8063" t="s">
        <v>7439</v>
      </c>
      <c r="AO8063">
        <v>10920</v>
      </c>
      <c r="AU8063">
        <v>32.4</v>
      </c>
      <c r="AV8063" t="s">
        <v>836</v>
      </c>
      <c r="AW8063" t="s">
        <v>46838</v>
      </c>
      <c r="AX8063" t="s">
        <v>46898</v>
      </c>
    </row>
    <row r="8064" spans="1:50">
      <c r="A8064" s="1">
        <f>HYPERLINK("https://lsnyc.legalserver.org/matter/dynamic-profile/view/1899900","19-1899900")</f>
        <v>0</v>
      </c>
      <c r="B8064" t="s">
        <v>59</v>
      </c>
      <c r="C8064" t="s">
        <v>340</v>
      </c>
      <c r="D8064" t="s">
        <v>805</v>
      </c>
      <c r="F8064" t="s">
        <v>881</v>
      </c>
      <c r="G8064" t="s">
        <v>8519</v>
      </c>
      <c r="H8064" t="s">
        <v>15137</v>
      </c>
      <c r="I8064">
        <v>25</v>
      </c>
      <c r="J8064" t="s">
        <v>18893</v>
      </c>
      <c r="K8064">
        <v>10027</v>
      </c>
      <c r="L8064" t="s">
        <v>18958</v>
      </c>
      <c r="M8064" t="s">
        <v>18960</v>
      </c>
      <c r="N8064" t="s">
        <v>24741</v>
      </c>
      <c r="O8064" t="s">
        <v>26523</v>
      </c>
      <c r="P8064" t="s">
        <v>26560</v>
      </c>
      <c r="R8064" t="s">
        <v>26580</v>
      </c>
      <c r="S8064" t="s">
        <v>18959</v>
      </c>
      <c r="U8064" t="s">
        <v>26604</v>
      </c>
      <c r="V8064" t="s">
        <v>26610</v>
      </c>
      <c r="W8064" t="s">
        <v>805</v>
      </c>
      <c r="X8064">
        <v>1927</v>
      </c>
      <c r="Y8064" t="s">
        <v>26651</v>
      </c>
      <c r="Z8064" t="s">
        <v>26664</v>
      </c>
      <c r="AB8064" t="s">
        <v>32613</v>
      </c>
      <c r="AD8064" t="s">
        <v>43101</v>
      </c>
      <c r="AE8064">
        <v>0</v>
      </c>
      <c r="AF8064" t="s">
        <v>45541</v>
      </c>
      <c r="AG8064" t="s">
        <v>19330</v>
      </c>
      <c r="AH8064">
        <v>12</v>
      </c>
      <c r="AI8064">
        <v>2</v>
      </c>
      <c r="AJ8064">
        <v>4</v>
      </c>
      <c r="AK8064">
        <v>186.14</v>
      </c>
      <c r="AN8064" t="s">
        <v>7439</v>
      </c>
      <c r="AO8064">
        <v>64385</v>
      </c>
      <c r="AU8064">
        <v>4.2</v>
      </c>
      <c r="AV8064" t="s">
        <v>836</v>
      </c>
      <c r="AW8064" t="s">
        <v>314</v>
      </c>
      <c r="AX8064" t="s">
        <v>46897</v>
      </c>
    </row>
    <row r="8065" spans="1:50">
      <c r="A8065" s="1">
        <f>HYPERLINK("https://lsnyc.legalserver.org/matter/dynamic-profile/view/1899896","19-1899896")</f>
        <v>0</v>
      </c>
      <c r="B8065" t="s">
        <v>240</v>
      </c>
      <c r="C8065" t="s">
        <v>340</v>
      </c>
      <c r="D8065" t="s">
        <v>805</v>
      </c>
      <c r="F8065" t="s">
        <v>2302</v>
      </c>
      <c r="G8065" t="s">
        <v>5026</v>
      </c>
      <c r="H8065" t="s">
        <v>11711</v>
      </c>
      <c r="I8065" t="s">
        <v>17476</v>
      </c>
      <c r="J8065" t="s">
        <v>18894</v>
      </c>
      <c r="K8065">
        <v>11226</v>
      </c>
      <c r="L8065" t="s">
        <v>18958</v>
      </c>
      <c r="M8065" t="s">
        <v>18960</v>
      </c>
      <c r="P8065" t="s">
        <v>26562</v>
      </c>
      <c r="R8065" t="s">
        <v>26578</v>
      </c>
      <c r="U8065" t="s">
        <v>26604</v>
      </c>
      <c r="W8065" t="s">
        <v>805</v>
      </c>
      <c r="X8065">
        <v>0</v>
      </c>
      <c r="Y8065" t="s">
        <v>26652</v>
      </c>
      <c r="AB8065" t="s">
        <v>28942</v>
      </c>
      <c r="AD8065" t="s">
        <v>39002</v>
      </c>
      <c r="AE8065">
        <v>0</v>
      </c>
      <c r="AH8065">
        <v>0</v>
      </c>
      <c r="AI8065">
        <v>1</v>
      </c>
      <c r="AJ8065">
        <v>0</v>
      </c>
      <c r="AK8065">
        <v>200.16</v>
      </c>
      <c r="AN8065" t="s">
        <v>7439</v>
      </c>
      <c r="AO8065">
        <v>25000</v>
      </c>
      <c r="AU8065">
        <v>34</v>
      </c>
      <c r="AV8065" t="s">
        <v>839</v>
      </c>
      <c r="AW8065" t="s">
        <v>219</v>
      </c>
      <c r="AX8065" t="s">
        <v>46897</v>
      </c>
    </row>
    <row r="8066" spans="1:50">
      <c r="A8066" s="1">
        <f>HYPERLINK("https://lsnyc.legalserver.org/matter/dynamic-profile/view/1900034","19-1900034")</f>
        <v>0</v>
      </c>
      <c r="B8066" t="s">
        <v>174</v>
      </c>
      <c r="C8066" t="s">
        <v>340</v>
      </c>
      <c r="D8066" t="s">
        <v>819</v>
      </c>
      <c r="F8066" t="s">
        <v>4159</v>
      </c>
      <c r="G8066" t="s">
        <v>8552</v>
      </c>
      <c r="H8066" t="s">
        <v>12614</v>
      </c>
      <c r="I8066" t="s">
        <v>18527</v>
      </c>
      <c r="J8066" t="s">
        <v>18894</v>
      </c>
      <c r="K8066">
        <v>11206</v>
      </c>
      <c r="L8066" t="s">
        <v>18958</v>
      </c>
      <c r="M8066" t="s">
        <v>18960</v>
      </c>
      <c r="N8066" t="s">
        <v>24742</v>
      </c>
      <c r="O8066" t="s">
        <v>26524</v>
      </c>
      <c r="P8066" t="s">
        <v>26560</v>
      </c>
      <c r="R8066" t="s">
        <v>26583</v>
      </c>
      <c r="S8066" t="s">
        <v>18959</v>
      </c>
      <c r="U8066" t="s">
        <v>26604</v>
      </c>
      <c r="V8066" t="s">
        <v>26613</v>
      </c>
      <c r="W8066" t="s">
        <v>805</v>
      </c>
      <c r="X8066">
        <v>2135</v>
      </c>
      <c r="Y8066" t="s">
        <v>26652</v>
      </c>
      <c r="Z8066" t="s">
        <v>26659</v>
      </c>
      <c r="AB8066" t="s">
        <v>26804</v>
      </c>
      <c r="AC8066" t="s">
        <v>36455</v>
      </c>
      <c r="AD8066" t="s">
        <v>43102</v>
      </c>
      <c r="AE8066">
        <v>200</v>
      </c>
      <c r="AF8066" t="s">
        <v>45543</v>
      </c>
      <c r="AG8066" t="s">
        <v>45563</v>
      </c>
      <c r="AH8066">
        <v>11</v>
      </c>
      <c r="AI8066">
        <v>1</v>
      </c>
      <c r="AJ8066">
        <v>1</v>
      </c>
      <c r="AK8066">
        <v>162.67</v>
      </c>
      <c r="AN8066" t="s">
        <v>7439</v>
      </c>
      <c r="AO8066">
        <v>27508</v>
      </c>
      <c r="AP8066" t="s">
        <v>46079</v>
      </c>
      <c r="AU8066">
        <v>34.7</v>
      </c>
      <c r="AV8066" t="s">
        <v>835</v>
      </c>
      <c r="AW8066" t="s">
        <v>279</v>
      </c>
      <c r="AX8066" t="s">
        <v>46897</v>
      </c>
    </row>
    <row r="8067" spans="1:50">
      <c r="A8067" s="1">
        <f>HYPERLINK("https://lsnyc.legalserver.org/matter/dynamic-profile/view/1900103","19-1900103")</f>
        <v>0</v>
      </c>
      <c r="B8067" t="s">
        <v>295</v>
      </c>
      <c r="C8067" t="s">
        <v>340</v>
      </c>
      <c r="D8067" t="s">
        <v>820</v>
      </c>
      <c r="F8067" t="s">
        <v>2688</v>
      </c>
      <c r="G8067" t="s">
        <v>4377</v>
      </c>
      <c r="H8067" t="s">
        <v>10516</v>
      </c>
      <c r="I8067" t="s">
        <v>17299</v>
      </c>
      <c r="J8067" t="s">
        <v>18894</v>
      </c>
      <c r="K8067">
        <v>11213</v>
      </c>
      <c r="L8067" t="s">
        <v>18958</v>
      </c>
      <c r="M8067" t="s">
        <v>18960</v>
      </c>
      <c r="O8067" t="s">
        <v>26523</v>
      </c>
      <c r="P8067" t="s">
        <v>26560</v>
      </c>
      <c r="R8067" t="s">
        <v>26578</v>
      </c>
      <c r="S8067" t="s">
        <v>18959</v>
      </c>
      <c r="U8067" t="s">
        <v>26604</v>
      </c>
      <c r="W8067" t="s">
        <v>805</v>
      </c>
      <c r="X8067">
        <v>0</v>
      </c>
      <c r="Y8067" t="s">
        <v>26652</v>
      </c>
      <c r="AB8067" t="s">
        <v>32614</v>
      </c>
      <c r="AE8067">
        <v>0</v>
      </c>
      <c r="AH8067">
        <v>0</v>
      </c>
      <c r="AI8067">
        <v>1</v>
      </c>
      <c r="AJ8067">
        <v>0</v>
      </c>
      <c r="AK8067">
        <v>172.94</v>
      </c>
      <c r="AN8067" t="s">
        <v>7439</v>
      </c>
      <c r="AO8067">
        <v>21600</v>
      </c>
      <c r="AP8067" t="s">
        <v>46080</v>
      </c>
      <c r="AU8067">
        <v>4.5</v>
      </c>
      <c r="AV8067" t="s">
        <v>720</v>
      </c>
      <c r="AW8067" t="s">
        <v>279</v>
      </c>
      <c r="AX8067" t="s">
        <v>46897</v>
      </c>
    </row>
    <row r="8068" spans="1:50">
      <c r="A8068" s="1">
        <f>HYPERLINK("https://lsnyc.legalserver.org/matter/dynamic-profile/view/1903267","19-1903267")</f>
        <v>0</v>
      </c>
      <c r="B8068" t="s">
        <v>95</v>
      </c>
      <c r="C8068" t="s">
        <v>340</v>
      </c>
      <c r="D8068" t="s">
        <v>821</v>
      </c>
      <c r="F8068" t="s">
        <v>1471</v>
      </c>
      <c r="G8068" t="s">
        <v>5681</v>
      </c>
      <c r="H8068" t="s">
        <v>11000</v>
      </c>
      <c r="I8068" t="s">
        <v>17697</v>
      </c>
      <c r="J8068" t="s">
        <v>18894</v>
      </c>
      <c r="K8068">
        <v>11239</v>
      </c>
      <c r="L8068" t="s">
        <v>18960</v>
      </c>
      <c r="M8068" t="s">
        <v>18960</v>
      </c>
      <c r="N8068" t="s">
        <v>24743</v>
      </c>
      <c r="O8068" t="s">
        <v>26523</v>
      </c>
      <c r="P8068" t="s">
        <v>26560</v>
      </c>
      <c r="R8068" t="s">
        <v>26578</v>
      </c>
      <c r="S8068" t="s">
        <v>18959</v>
      </c>
      <c r="U8068" t="s">
        <v>26604</v>
      </c>
      <c r="V8068" t="s">
        <v>26610</v>
      </c>
      <c r="W8068" t="s">
        <v>805</v>
      </c>
      <c r="X8068">
        <v>986</v>
      </c>
      <c r="Y8068" t="s">
        <v>26652</v>
      </c>
      <c r="Z8068" t="s">
        <v>26659</v>
      </c>
      <c r="AB8068" t="s">
        <v>28177</v>
      </c>
      <c r="AD8068" t="s">
        <v>38227</v>
      </c>
      <c r="AE8068">
        <v>0</v>
      </c>
      <c r="AF8068" t="s">
        <v>45543</v>
      </c>
      <c r="AH8068">
        <v>5</v>
      </c>
      <c r="AI8068">
        <v>1</v>
      </c>
      <c r="AJ8068">
        <v>2</v>
      </c>
      <c r="AK8068">
        <v>180.5</v>
      </c>
      <c r="AN8068" t="s">
        <v>7439</v>
      </c>
      <c r="AO8068">
        <v>38500</v>
      </c>
      <c r="AU8068">
        <v>1.7</v>
      </c>
      <c r="AV8068" t="s">
        <v>839</v>
      </c>
      <c r="AW8068" t="s">
        <v>95</v>
      </c>
    </row>
    <row r="8069" spans="1:50">
      <c r="A8069" s="1">
        <f>HYPERLINK("https://lsnyc.legalserver.org/matter/dynamic-profile/view/1896937","19-1896937")</f>
        <v>0</v>
      </c>
      <c r="B8069" t="s">
        <v>74</v>
      </c>
      <c r="C8069" t="s">
        <v>341</v>
      </c>
      <c r="D8069" t="s">
        <v>803</v>
      </c>
      <c r="E8069" t="s">
        <v>808</v>
      </c>
      <c r="F8069" t="s">
        <v>1597</v>
      </c>
      <c r="G8069" t="s">
        <v>5079</v>
      </c>
      <c r="H8069" t="s">
        <v>15138</v>
      </c>
      <c r="I8069" t="s">
        <v>17312</v>
      </c>
      <c r="J8069" t="s">
        <v>18893</v>
      </c>
      <c r="K8069">
        <v>10019</v>
      </c>
      <c r="L8069" t="s">
        <v>18958</v>
      </c>
      <c r="M8069" t="s">
        <v>18960</v>
      </c>
      <c r="O8069" t="s">
        <v>26526</v>
      </c>
      <c r="P8069" t="s">
        <v>26565</v>
      </c>
      <c r="Q8069" t="s">
        <v>26571</v>
      </c>
      <c r="R8069" t="s">
        <v>26591</v>
      </c>
      <c r="S8069" t="s">
        <v>18959</v>
      </c>
      <c r="U8069" t="s">
        <v>26604</v>
      </c>
      <c r="W8069" t="s">
        <v>819</v>
      </c>
      <c r="X8069">
        <v>545.5599999999999</v>
      </c>
      <c r="Y8069" t="s">
        <v>26651</v>
      </c>
      <c r="Z8069" t="s">
        <v>26663</v>
      </c>
      <c r="AA8069" t="s">
        <v>26682</v>
      </c>
      <c r="AB8069" t="s">
        <v>32615</v>
      </c>
      <c r="AD8069" t="s">
        <v>43103</v>
      </c>
      <c r="AE8069">
        <v>25</v>
      </c>
      <c r="AF8069" t="s">
        <v>45541</v>
      </c>
      <c r="AG8069" t="s">
        <v>45559</v>
      </c>
      <c r="AH8069">
        <v>49</v>
      </c>
      <c r="AI8069">
        <v>1</v>
      </c>
      <c r="AJ8069">
        <v>0</v>
      </c>
      <c r="AK8069">
        <v>120.38</v>
      </c>
      <c r="AN8069" t="s">
        <v>7439</v>
      </c>
      <c r="AO8069">
        <v>15036</v>
      </c>
      <c r="AU8069">
        <v>0.7</v>
      </c>
      <c r="AV8069" t="s">
        <v>803</v>
      </c>
      <c r="AW8069" t="s">
        <v>46841</v>
      </c>
      <c r="AX8069" t="s">
        <v>46897</v>
      </c>
    </row>
    <row r="8070" spans="1:50">
      <c r="A8070" s="1">
        <f>HYPERLINK("https://lsnyc.legalserver.org/matter/dynamic-profile/view/1897056","19-1897056")</f>
        <v>0</v>
      </c>
      <c r="B8070" t="s">
        <v>74</v>
      </c>
      <c r="C8070" t="s">
        <v>341</v>
      </c>
      <c r="D8070" t="s">
        <v>780</v>
      </c>
      <c r="E8070" t="s">
        <v>808</v>
      </c>
      <c r="F8070" t="s">
        <v>4160</v>
      </c>
      <c r="G8070" t="s">
        <v>2276</v>
      </c>
      <c r="H8070" t="s">
        <v>15139</v>
      </c>
      <c r="I8070" t="s">
        <v>18528</v>
      </c>
      <c r="J8070" t="s">
        <v>18893</v>
      </c>
      <c r="K8070">
        <v>10128</v>
      </c>
      <c r="L8070" t="s">
        <v>18958</v>
      </c>
      <c r="M8070" t="s">
        <v>18960</v>
      </c>
      <c r="O8070" t="s">
        <v>26526</v>
      </c>
      <c r="P8070" t="s">
        <v>26565</v>
      </c>
      <c r="Q8070" t="s">
        <v>26571</v>
      </c>
      <c r="R8070" t="s">
        <v>26582</v>
      </c>
      <c r="S8070" t="s">
        <v>18959</v>
      </c>
      <c r="U8070" t="s">
        <v>26604</v>
      </c>
      <c r="W8070" t="s">
        <v>819</v>
      </c>
      <c r="X8070">
        <v>1345.79</v>
      </c>
      <c r="Y8070" t="s">
        <v>26651</v>
      </c>
      <c r="Z8070" t="s">
        <v>26530</v>
      </c>
      <c r="AA8070" t="s">
        <v>26682</v>
      </c>
      <c r="AB8070" t="s">
        <v>32616</v>
      </c>
      <c r="AD8070" t="s">
        <v>43104</v>
      </c>
      <c r="AE8070">
        <v>432</v>
      </c>
      <c r="AF8070" t="s">
        <v>20460</v>
      </c>
      <c r="AG8070" t="s">
        <v>45559</v>
      </c>
      <c r="AH8070">
        <v>21</v>
      </c>
      <c r="AI8070">
        <v>1</v>
      </c>
      <c r="AJ8070">
        <v>0</v>
      </c>
      <c r="AK8070">
        <v>247.88</v>
      </c>
      <c r="AN8070" t="s">
        <v>7439</v>
      </c>
      <c r="AO8070">
        <v>30960</v>
      </c>
      <c r="AU8070">
        <v>0.5</v>
      </c>
      <c r="AV8070" t="s">
        <v>780</v>
      </c>
      <c r="AW8070" t="s">
        <v>46841</v>
      </c>
      <c r="AX8070" t="s">
        <v>46897</v>
      </c>
    </row>
    <row r="8071" spans="1:50">
      <c r="A8071" s="1">
        <f>HYPERLINK("https://lsnyc.legalserver.org/matter/dynamic-profile/view/1897403","19-1897403")</f>
        <v>0</v>
      </c>
      <c r="B8071" t="s">
        <v>74</v>
      </c>
      <c r="C8071" t="s">
        <v>341</v>
      </c>
      <c r="D8071" t="s">
        <v>761</v>
      </c>
      <c r="E8071" t="s">
        <v>808</v>
      </c>
      <c r="F8071" t="s">
        <v>939</v>
      </c>
      <c r="G8071" t="s">
        <v>1725</v>
      </c>
      <c r="H8071" t="s">
        <v>15140</v>
      </c>
      <c r="I8071" t="s">
        <v>18529</v>
      </c>
      <c r="J8071" t="s">
        <v>18893</v>
      </c>
      <c r="K8071">
        <v>10036</v>
      </c>
      <c r="L8071" t="s">
        <v>18958</v>
      </c>
      <c r="M8071" t="s">
        <v>18960</v>
      </c>
      <c r="O8071" t="s">
        <v>18997</v>
      </c>
      <c r="P8071" t="s">
        <v>26565</v>
      </c>
      <c r="Q8071" t="s">
        <v>26571</v>
      </c>
      <c r="R8071" t="s">
        <v>26591</v>
      </c>
      <c r="S8071" t="s">
        <v>18959</v>
      </c>
      <c r="U8071" t="s">
        <v>26604</v>
      </c>
      <c r="W8071" t="s">
        <v>819</v>
      </c>
      <c r="X8071">
        <v>0</v>
      </c>
      <c r="Y8071" t="s">
        <v>26651</v>
      </c>
      <c r="Z8071" t="s">
        <v>26667</v>
      </c>
      <c r="AA8071" t="s">
        <v>26682</v>
      </c>
      <c r="AB8071" t="s">
        <v>29272</v>
      </c>
      <c r="AD8071" t="s">
        <v>34738</v>
      </c>
      <c r="AE8071">
        <v>10</v>
      </c>
      <c r="AF8071" t="s">
        <v>45541</v>
      </c>
      <c r="AG8071" t="s">
        <v>19330</v>
      </c>
      <c r="AH8071">
        <v>48</v>
      </c>
      <c r="AI8071">
        <v>2</v>
      </c>
      <c r="AJ8071">
        <v>0</v>
      </c>
      <c r="AK8071">
        <v>70.95999999999999</v>
      </c>
      <c r="AN8071" t="s">
        <v>7439</v>
      </c>
      <c r="AO8071">
        <v>12000</v>
      </c>
      <c r="AU8071">
        <v>0.5</v>
      </c>
      <c r="AV8071" t="s">
        <v>761</v>
      </c>
      <c r="AW8071" t="s">
        <v>46850</v>
      </c>
      <c r="AX8071" t="s">
        <v>46897</v>
      </c>
    </row>
    <row r="8072" spans="1:50">
      <c r="A8072" s="1">
        <f>HYPERLINK("https://lsnyc.legalserver.org/matter/dynamic-profile/view/1897727","19-1897727")</f>
        <v>0</v>
      </c>
      <c r="B8072" t="s">
        <v>72</v>
      </c>
      <c r="C8072" t="s">
        <v>340</v>
      </c>
      <c r="D8072" t="s">
        <v>764</v>
      </c>
      <c r="F8072" t="s">
        <v>3894</v>
      </c>
      <c r="G8072" t="s">
        <v>5330</v>
      </c>
      <c r="H8072" t="s">
        <v>15141</v>
      </c>
      <c r="I8072" t="s">
        <v>18530</v>
      </c>
      <c r="J8072" t="s">
        <v>18893</v>
      </c>
      <c r="K8072">
        <v>10034</v>
      </c>
      <c r="L8072" t="s">
        <v>18958</v>
      </c>
      <c r="M8072" t="s">
        <v>18960</v>
      </c>
      <c r="O8072" t="s">
        <v>18997</v>
      </c>
      <c r="P8072" t="s">
        <v>26564</v>
      </c>
      <c r="R8072" t="s">
        <v>26578</v>
      </c>
      <c r="S8072" t="s">
        <v>18959</v>
      </c>
      <c r="U8072" t="s">
        <v>26604</v>
      </c>
      <c r="W8072" t="s">
        <v>819</v>
      </c>
      <c r="X8072">
        <v>908.41</v>
      </c>
      <c r="Y8072" t="s">
        <v>26651</v>
      </c>
      <c r="Z8072" t="s">
        <v>26666</v>
      </c>
      <c r="AB8072" t="s">
        <v>32617</v>
      </c>
      <c r="AD8072" t="s">
        <v>43105</v>
      </c>
      <c r="AE8072">
        <v>80</v>
      </c>
      <c r="AF8072" t="s">
        <v>45541</v>
      </c>
      <c r="AG8072" t="s">
        <v>19330</v>
      </c>
      <c r="AH8072">
        <v>22</v>
      </c>
      <c r="AI8072">
        <v>1</v>
      </c>
      <c r="AJ8072">
        <v>0</v>
      </c>
      <c r="AK8072">
        <v>199.01</v>
      </c>
      <c r="AN8072" t="s">
        <v>45581</v>
      </c>
      <c r="AO8072">
        <v>24856</v>
      </c>
      <c r="AU8072">
        <v>0.6</v>
      </c>
      <c r="AV8072" t="s">
        <v>801</v>
      </c>
      <c r="AW8072" t="s">
        <v>46850</v>
      </c>
      <c r="AX8072" t="s">
        <v>46897</v>
      </c>
    </row>
    <row r="8073" spans="1:50">
      <c r="A8073" s="1">
        <f>HYPERLINK("https://lsnyc.legalserver.org/matter/dynamic-profile/view/1897877","19-1897877")</f>
        <v>0</v>
      </c>
      <c r="B8073" t="s">
        <v>130</v>
      </c>
      <c r="C8073" t="s">
        <v>341</v>
      </c>
      <c r="D8073" t="s">
        <v>765</v>
      </c>
      <c r="E8073" t="s">
        <v>819</v>
      </c>
      <c r="F8073" t="s">
        <v>1087</v>
      </c>
      <c r="G8073" t="s">
        <v>2348</v>
      </c>
      <c r="H8073" t="s">
        <v>12136</v>
      </c>
      <c r="I8073" t="s">
        <v>17348</v>
      </c>
      <c r="J8073" t="s">
        <v>18901</v>
      </c>
      <c r="K8073">
        <v>11434</v>
      </c>
      <c r="L8073" t="s">
        <v>18958</v>
      </c>
      <c r="M8073" t="s">
        <v>18958</v>
      </c>
      <c r="N8073" t="s">
        <v>24744</v>
      </c>
      <c r="O8073" t="s">
        <v>26523</v>
      </c>
      <c r="P8073" t="s">
        <v>26564</v>
      </c>
      <c r="Q8073" t="s">
        <v>26570</v>
      </c>
      <c r="R8073" t="s">
        <v>26585</v>
      </c>
      <c r="S8073" t="s">
        <v>18959</v>
      </c>
      <c r="U8073" t="s">
        <v>26604</v>
      </c>
      <c r="V8073" t="s">
        <v>26610</v>
      </c>
      <c r="W8073" t="s">
        <v>819</v>
      </c>
      <c r="X8073">
        <v>957</v>
      </c>
      <c r="Y8073" t="s">
        <v>26653</v>
      </c>
      <c r="Z8073" t="s">
        <v>26668</v>
      </c>
      <c r="AA8073" t="s">
        <v>26683</v>
      </c>
      <c r="AB8073" t="s">
        <v>32618</v>
      </c>
      <c r="AC8073" t="s">
        <v>36456</v>
      </c>
      <c r="AD8073" t="s">
        <v>43106</v>
      </c>
      <c r="AE8073">
        <v>293</v>
      </c>
      <c r="AF8073" t="s">
        <v>45550</v>
      </c>
      <c r="AG8073" t="s">
        <v>45559</v>
      </c>
      <c r="AH8073">
        <v>6</v>
      </c>
      <c r="AI8073">
        <v>1</v>
      </c>
      <c r="AJ8073">
        <v>0</v>
      </c>
      <c r="AK8073">
        <v>113.18</v>
      </c>
      <c r="AN8073" t="s">
        <v>7439</v>
      </c>
      <c r="AO8073">
        <v>14136</v>
      </c>
      <c r="AU8073">
        <v>2.4</v>
      </c>
      <c r="AV8073" t="s">
        <v>819</v>
      </c>
      <c r="AW8073" t="s">
        <v>130</v>
      </c>
      <c r="AX8073" t="s">
        <v>46898</v>
      </c>
    </row>
    <row r="8074" spans="1:50">
      <c r="A8074" s="1">
        <f>HYPERLINK("https://lsnyc.legalserver.org/matter/dynamic-profile/view/1897853","19-1897853")</f>
        <v>0</v>
      </c>
      <c r="B8074" t="s">
        <v>70</v>
      </c>
      <c r="C8074" t="s">
        <v>340</v>
      </c>
      <c r="D8074" t="s">
        <v>765</v>
      </c>
      <c r="F8074" t="s">
        <v>887</v>
      </c>
      <c r="G8074" t="s">
        <v>5244</v>
      </c>
      <c r="H8074" t="s">
        <v>11571</v>
      </c>
      <c r="I8074" t="s">
        <v>17436</v>
      </c>
      <c r="J8074" t="s">
        <v>18892</v>
      </c>
      <c r="K8074">
        <v>10461</v>
      </c>
      <c r="L8074" t="s">
        <v>18958</v>
      </c>
      <c r="M8074" t="s">
        <v>18958</v>
      </c>
      <c r="N8074" t="s">
        <v>24745</v>
      </c>
      <c r="O8074" t="s">
        <v>26523</v>
      </c>
      <c r="P8074" t="s">
        <v>26560</v>
      </c>
      <c r="R8074" t="s">
        <v>26577</v>
      </c>
      <c r="S8074" t="s">
        <v>18959</v>
      </c>
      <c r="U8074" t="s">
        <v>26604</v>
      </c>
      <c r="V8074" t="s">
        <v>26609</v>
      </c>
      <c r="W8074" t="s">
        <v>819</v>
      </c>
      <c r="X8074">
        <v>1800</v>
      </c>
      <c r="Y8074" t="s">
        <v>26650</v>
      </c>
      <c r="Z8074" t="s">
        <v>26659</v>
      </c>
      <c r="AB8074" t="s">
        <v>28780</v>
      </c>
      <c r="AC8074" t="s">
        <v>36457</v>
      </c>
      <c r="AE8074">
        <v>22</v>
      </c>
      <c r="AF8074" t="s">
        <v>45541</v>
      </c>
      <c r="AG8074" t="s">
        <v>19330</v>
      </c>
      <c r="AH8074">
        <v>4</v>
      </c>
      <c r="AI8074">
        <v>2</v>
      </c>
      <c r="AJ8074">
        <v>2</v>
      </c>
      <c r="AK8074">
        <v>236.55</v>
      </c>
      <c r="AL8074" t="s">
        <v>813</v>
      </c>
      <c r="AM8074" t="s">
        <v>45575</v>
      </c>
      <c r="AN8074" t="s">
        <v>45581</v>
      </c>
      <c r="AO8074">
        <v>60911.6</v>
      </c>
      <c r="AU8074">
        <v>6.7</v>
      </c>
      <c r="AV8074" t="s">
        <v>829</v>
      </c>
      <c r="AW8074" t="s">
        <v>46870</v>
      </c>
    </row>
    <row r="8075" spans="1:50">
      <c r="A8075" s="1">
        <f>HYPERLINK("https://lsnyc.legalserver.org/matter/dynamic-profile/view/1899643","19-1899643")</f>
        <v>0</v>
      </c>
      <c r="B8075" t="s">
        <v>134</v>
      </c>
      <c r="C8075" t="s">
        <v>340</v>
      </c>
      <c r="D8075" t="s">
        <v>813</v>
      </c>
      <c r="F8075" t="s">
        <v>1594</v>
      </c>
      <c r="G8075" t="s">
        <v>8553</v>
      </c>
      <c r="H8075" t="s">
        <v>14512</v>
      </c>
      <c r="I8075" t="s">
        <v>17293</v>
      </c>
      <c r="J8075" t="s">
        <v>18894</v>
      </c>
      <c r="K8075">
        <v>11212</v>
      </c>
      <c r="L8075" t="s">
        <v>18958</v>
      </c>
      <c r="M8075" t="s">
        <v>18960</v>
      </c>
      <c r="N8075" t="s">
        <v>24746</v>
      </c>
      <c r="O8075" t="s">
        <v>26523</v>
      </c>
      <c r="P8075" t="s">
        <v>26560</v>
      </c>
      <c r="R8075" t="s">
        <v>26578</v>
      </c>
      <c r="S8075" t="s">
        <v>18959</v>
      </c>
      <c r="U8075" t="s">
        <v>26604</v>
      </c>
      <c r="V8075" t="s">
        <v>26610</v>
      </c>
      <c r="W8075" t="s">
        <v>819</v>
      </c>
      <c r="X8075">
        <v>966</v>
      </c>
      <c r="Y8075" t="s">
        <v>26652</v>
      </c>
      <c r="Z8075" t="s">
        <v>26659</v>
      </c>
      <c r="AB8075" t="s">
        <v>32619</v>
      </c>
      <c r="AD8075" t="s">
        <v>43107</v>
      </c>
      <c r="AE8075">
        <v>16</v>
      </c>
      <c r="AF8075" t="s">
        <v>45541</v>
      </c>
      <c r="AG8075" t="s">
        <v>19330</v>
      </c>
      <c r="AH8075">
        <v>16</v>
      </c>
      <c r="AI8075">
        <v>3</v>
      </c>
      <c r="AJ8075">
        <v>0</v>
      </c>
      <c r="AK8075">
        <v>468.82</v>
      </c>
      <c r="AN8075" t="s">
        <v>7439</v>
      </c>
      <c r="AO8075">
        <v>100000</v>
      </c>
      <c r="AU8075">
        <v>6.6</v>
      </c>
      <c r="AV8075" t="s">
        <v>833</v>
      </c>
      <c r="AW8075" t="s">
        <v>279</v>
      </c>
      <c r="AX8075" t="s">
        <v>46897</v>
      </c>
    </row>
    <row r="8076" spans="1:50">
      <c r="A8076" s="1">
        <f>HYPERLINK("https://lsnyc.legalserver.org/matter/dynamic-profile/view/1899779","19-1899779")</f>
        <v>0</v>
      </c>
      <c r="B8076" t="s">
        <v>62</v>
      </c>
      <c r="C8076" t="s">
        <v>340</v>
      </c>
      <c r="D8076" t="s">
        <v>818</v>
      </c>
      <c r="F8076" t="s">
        <v>1136</v>
      </c>
      <c r="G8076" t="s">
        <v>8554</v>
      </c>
      <c r="H8076" t="s">
        <v>15142</v>
      </c>
      <c r="I8076" t="s">
        <v>18427</v>
      </c>
      <c r="J8076" t="s">
        <v>18893</v>
      </c>
      <c r="K8076">
        <v>10026</v>
      </c>
      <c r="L8076" t="s">
        <v>18958</v>
      </c>
      <c r="M8076" t="s">
        <v>18960</v>
      </c>
      <c r="N8076" t="s">
        <v>24747</v>
      </c>
      <c r="O8076" t="s">
        <v>26524</v>
      </c>
      <c r="P8076" t="s">
        <v>26563</v>
      </c>
      <c r="R8076" t="s">
        <v>26580</v>
      </c>
      <c r="S8076" t="s">
        <v>18959</v>
      </c>
      <c r="U8076" t="s">
        <v>26604</v>
      </c>
      <c r="W8076" t="s">
        <v>819</v>
      </c>
      <c r="X8076">
        <v>357.5</v>
      </c>
      <c r="Y8076" t="s">
        <v>26651</v>
      </c>
      <c r="Z8076" t="s">
        <v>26664</v>
      </c>
      <c r="AB8076" t="s">
        <v>32620</v>
      </c>
      <c r="AD8076" t="s">
        <v>43108</v>
      </c>
      <c r="AE8076">
        <v>0</v>
      </c>
      <c r="AF8076" t="s">
        <v>45541</v>
      </c>
      <c r="AG8076" t="s">
        <v>19330</v>
      </c>
      <c r="AH8076">
        <v>21</v>
      </c>
      <c r="AI8076">
        <v>3</v>
      </c>
      <c r="AJ8076">
        <v>0</v>
      </c>
      <c r="AK8076">
        <v>0</v>
      </c>
      <c r="AN8076" t="s">
        <v>7439</v>
      </c>
      <c r="AO8076">
        <v>0</v>
      </c>
      <c r="AU8076">
        <v>0.5</v>
      </c>
      <c r="AV8076" t="s">
        <v>805</v>
      </c>
      <c r="AW8076" t="s">
        <v>46875</v>
      </c>
      <c r="AX8076" t="s">
        <v>19330</v>
      </c>
    </row>
    <row r="8077" spans="1:50">
      <c r="A8077" s="1">
        <f>HYPERLINK("https://lsnyc.legalserver.org/matter/dynamic-profile/view/1900013","19-1900013")</f>
        <v>0</v>
      </c>
      <c r="B8077" t="s">
        <v>105</v>
      </c>
      <c r="C8077" t="s">
        <v>341</v>
      </c>
      <c r="D8077" t="s">
        <v>819</v>
      </c>
      <c r="E8077" t="s">
        <v>806</v>
      </c>
      <c r="F8077" t="s">
        <v>4161</v>
      </c>
      <c r="G8077" t="s">
        <v>8555</v>
      </c>
      <c r="H8077" t="s">
        <v>11293</v>
      </c>
      <c r="J8077" t="s">
        <v>18901</v>
      </c>
      <c r="K8077">
        <v>11433</v>
      </c>
      <c r="L8077" t="s">
        <v>18958</v>
      </c>
      <c r="M8077" t="s">
        <v>18960</v>
      </c>
      <c r="N8077" t="s">
        <v>24748</v>
      </c>
      <c r="O8077" t="s">
        <v>26524</v>
      </c>
      <c r="P8077" t="s">
        <v>26564</v>
      </c>
      <c r="Q8077" t="s">
        <v>26570</v>
      </c>
      <c r="R8077" t="s">
        <v>26585</v>
      </c>
      <c r="S8077" t="s">
        <v>18959</v>
      </c>
      <c r="U8077" t="s">
        <v>26604</v>
      </c>
      <c r="W8077" t="s">
        <v>819</v>
      </c>
      <c r="X8077">
        <v>650</v>
      </c>
      <c r="Y8077" t="s">
        <v>26653</v>
      </c>
      <c r="AA8077" t="s">
        <v>26683</v>
      </c>
      <c r="AB8077" t="s">
        <v>32621</v>
      </c>
      <c r="AE8077">
        <v>0</v>
      </c>
      <c r="AF8077" t="s">
        <v>45547</v>
      </c>
      <c r="AH8077">
        <v>3</v>
      </c>
      <c r="AI8077">
        <v>1</v>
      </c>
      <c r="AJ8077">
        <v>1</v>
      </c>
      <c r="AK8077">
        <v>70.95999999999999</v>
      </c>
      <c r="AN8077" t="s">
        <v>45581</v>
      </c>
      <c r="AO8077">
        <v>12000</v>
      </c>
      <c r="AU8077">
        <v>0.75</v>
      </c>
      <c r="AV8077" t="s">
        <v>806</v>
      </c>
      <c r="AW8077" t="s">
        <v>46884</v>
      </c>
      <c r="AX8077" t="s">
        <v>46897</v>
      </c>
    </row>
    <row r="8078" spans="1:50">
      <c r="A8078" s="1">
        <f>HYPERLINK("https://lsnyc.legalserver.org/matter/dynamic-profile/view/1899983","19-1899983")</f>
        <v>0</v>
      </c>
      <c r="B8078" t="s">
        <v>130</v>
      </c>
      <c r="C8078" t="s">
        <v>341</v>
      </c>
      <c r="D8078" t="s">
        <v>819</v>
      </c>
      <c r="E8078" t="s">
        <v>808</v>
      </c>
      <c r="F8078" t="s">
        <v>4162</v>
      </c>
      <c r="G8078" t="s">
        <v>8556</v>
      </c>
      <c r="H8078" t="s">
        <v>15143</v>
      </c>
      <c r="J8078" t="s">
        <v>18904</v>
      </c>
      <c r="K8078">
        <v>11421</v>
      </c>
      <c r="L8078" t="s">
        <v>18958</v>
      </c>
      <c r="M8078" t="s">
        <v>18960</v>
      </c>
      <c r="N8078" t="s">
        <v>24749</v>
      </c>
      <c r="O8078" t="s">
        <v>26524</v>
      </c>
      <c r="P8078" t="s">
        <v>26564</v>
      </c>
      <c r="Q8078" t="s">
        <v>26570</v>
      </c>
      <c r="R8078" t="s">
        <v>26584</v>
      </c>
      <c r="S8078" t="s">
        <v>18959</v>
      </c>
      <c r="U8078" t="s">
        <v>26604</v>
      </c>
      <c r="V8078" t="s">
        <v>26610</v>
      </c>
      <c r="W8078" t="s">
        <v>819</v>
      </c>
      <c r="X8078">
        <v>600</v>
      </c>
      <c r="Y8078" t="s">
        <v>26653</v>
      </c>
      <c r="Z8078" t="s">
        <v>26664</v>
      </c>
      <c r="AA8078" t="s">
        <v>26683</v>
      </c>
      <c r="AB8078" t="s">
        <v>32622</v>
      </c>
      <c r="AC8078" t="s">
        <v>36458</v>
      </c>
      <c r="AD8078" t="s">
        <v>43109</v>
      </c>
      <c r="AE8078">
        <v>5</v>
      </c>
      <c r="AF8078" t="s">
        <v>45547</v>
      </c>
      <c r="AG8078" t="s">
        <v>19330</v>
      </c>
      <c r="AH8078">
        <v>-1</v>
      </c>
      <c r="AI8078">
        <v>1</v>
      </c>
      <c r="AJ8078">
        <v>0</v>
      </c>
      <c r="AK8078">
        <v>0</v>
      </c>
      <c r="AN8078" t="s">
        <v>7439</v>
      </c>
      <c r="AO8078">
        <v>0</v>
      </c>
      <c r="AU8078">
        <v>1.5</v>
      </c>
      <c r="AV8078" t="s">
        <v>808</v>
      </c>
      <c r="AW8078" t="s">
        <v>46846</v>
      </c>
      <c r="AX8078" t="s">
        <v>46898</v>
      </c>
    </row>
    <row r="8079" spans="1:50">
      <c r="A8079" s="1">
        <f>HYPERLINK("https://lsnyc.legalserver.org/matter/dynamic-profile/view/1899802","19-1899802")</f>
        <v>0</v>
      </c>
      <c r="B8079" t="s">
        <v>251</v>
      </c>
      <c r="C8079" t="s">
        <v>341</v>
      </c>
      <c r="D8079" t="s">
        <v>819</v>
      </c>
      <c r="E8079" t="s">
        <v>829</v>
      </c>
      <c r="F8079" t="s">
        <v>4163</v>
      </c>
      <c r="G8079" t="s">
        <v>5008</v>
      </c>
      <c r="H8079" t="s">
        <v>15144</v>
      </c>
      <c r="I8079" t="s">
        <v>17274</v>
      </c>
      <c r="J8079" t="s">
        <v>18892</v>
      </c>
      <c r="K8079">
        <v>10458</v>
      </c>
      <c r="L8079" t="s">
        <v>18958</v>
      </c>
      <c r="M8079" t="s">
        <v>18960</v>
      </c>
      <c r="N8079" t="s">
        <v>24750</v>
      </c>
      <c r="O8079" t="s">
        <v>26524</v>
      </c>
      <c r="P8079" t="s">
        <v>26564</v>
      </c>
      <c r="Q8079" t="s">
        <v>26570</v>
      </c>
      <c r="R8079" t="s">
        <v>26577</v>
      </c>
      <c r="U8079" t="s">
        <v>26604</v>
      </c>
      <c r="W8079" t="s">
        <v>819</v>
      </c>
      <c r="X8079">
        <v>1295</v>
      </c>
      <c r="Y8079" t="s">
        <v>26650</v>
      </c>
      <c r="Z8079" t="s">
        <v>26668</v>
      </c>
      <c r="AA8079" t="s">
        <v>26683</v>
      </c>
      <c r="AB8079" t="s">
        <v>32623</v>
      </c>
      <c r="AD8079" t="s">
        <v>43110</v>
      </c>
      <c r="AE8079">
        <v>0</v>
      </c>
      <c r="AF8079" t="s">
        <v>45549</v>
      </c>
      <c r="AG8079" t="s">
        <v>45556</v>
      </c>
      <c r="AH8079">
        <v>11</v>
      </c>
      <c r="AI8079">
        <v>1</v>
      </c>
      <c r="AJ8079">
        <v>1</v>
      </c>
      <c r="AK8079">
        <v>31.22</v>
      </c>
      <c r="AN8079" t="s">
        <v>7439</v>
      </c>
      <c r="AO8079">
        <v>5280</v>
      </c>
      <c r="AP8079" t="s">
        <v>46081</v>
      </c>
      <c r="AU8079">
        <v>0.25</v>
      </c>
      <c r="AV8079" t="s">
        <v>806</v>
      </c>
      <c r="AW8079" t="s">
        <v>46836</v>
      </c>
      <c r="AX8079" t="s">
        <v>46897</v>
      </c>
    </row>
    <row r="8080" spans="1:50">
      <c r="A8080" s="1">
        <f>HYPERLINK("https://lsnyc.legalserver.org/matter/dynamic-profile/view/1900043","19-1900043")</f>
        <v>0</v>
      </c>
      <c r="B8080" t="s">
        <v>245</v>
      </c>
      <c r="C8080" t="s">
        <v>340</v>
      </c>
      <c r="D8080" t="s">
        <v>819</v>
      </c>
      <c r="F8080" t="s">
        <v>1082</v>
      </c>
      <c r="G8080" t="s">
        <v>5138</v>
      </c>
      <c r="H8080" t="s">
        <v>15145</v>
      </c>
      <c r="I8080" t="s">
        <v>17327</v>
      </c>
      <c r="J8080" t="s">
        <v>18892</v>
      </c>
      <c r="K8080">
        <v>10457</v>
      </c>
      <c r="L8080" t="s">
        <v>18958</v>
      </c>
      <c r="M8080" t="s">
        <v>18960</v>
      </c>
      <c r="N8080" t="s">
        <v>24751</v>
      </c>
      <c r="O8080" t="s">
        <v>26523</v>
      </c>
      <c r="P8080" t="s">
        <v>26560</v>
      </c>
      <c r="R8080" t="s">
        <v>26579</v>
      </c>
      <c r="U8080" t="s">
        <v>26604</v>
      </c>
      <c r="W8080" t="s">
        <v>819</v>
      </c>
      <c r="X8080">
        <v>972</v>
      </c>
      <c r="Y8080" t="s">
        <v>26650</v>
      </c>
      <c r="AB8080" t="s">
        <v>32624</v>
      </c>
      <c r="AC8080" t="s">
        <v>36459</v>
      </c>
      <c r="AD8080" t="s">
        <v>43111</v>
      </c>
      <c r="AE8080">
        <v>0</v>
      </c>
      <c r="AF8080" t="s">
        <v>45541</v>
      </c>
      <c r="AH8080">
        <v>5</v>
      </c>
      <c r="AI8080">
        <v>1</v>
      </c>
      <c r="AJ8080">
        <v>2</v>
      </c>
      <c r="AK8080">
        <v>140.18</v>
      </c>
      <c r="AN8080" t="s">
        <v>7439</v>
      </c>
      <c r="AO8080">
        <v>29900</v>
      </c>
      <c r="AU8080">
        <v>7.7</v>
      </c>
      <c r="AV8080" t="s">
        <v>839</v>
      </c>
      <c r="AW8080" t="s">
        <v>335</v>
      </c>
      <c r="AX8080" t="s">
        <v>46897</v>
      </c>
    </row>
    <row r="8081" spans="1:50">
      <c r="A8081" s="1">
        <f>HYPERLINK("https://lsnyc.legalserver.org/matter/dynamic-profile/view/1900016","19-1900016")</f>
        <v>0</v>
      </c>
      <c r="B8081" t="s">
        <v>107</v>
      </c>
      <c r="C8081" t="s">
        <v>340</v>
      </c>
      <c r="D8081" t="s">
        <v>819</v>
      </c>
      <c r="F8081" t="s">
        <v>2104</v>
      </c>
      <c r="G8081" t="s">
        <v>8557</v>
      </c>
      <c r="H8081" t="s">
        <v>15146</v>
      </c>
      <c r="J8081" t="s">
        <v>18923</v>
      </c>
      <c r="K8081">
        <v>11418</v>
      </c>
      <c r="L8081" t="s">
        <v>18958</v>
      </c>
      <c r="M8081" t="s">
        <v>18960</v>
      </c>
      <c r="N8081" t="s">
        <v>24752</v>
      </c>
      <c r="O8081" t="s">
        <v>26523</v>
      </c>
      <c r="P8081" t="s">
        <v>26563</v>
      </c>
      <c r="R8081" t="s">
        <v>26578</v>
      </c>
      <c r="S8081" t="s">
        <v>18958</v>
      </c>
      <c r="U8081" t="s">
        <v>26604</v>
      </c>
      <c r="W8081" t="s">
        <v>819</v>
      </c>
      <c r="X8081">
        <v>1213</v>
      </c>
      <c r="Y8081" t="s">
        <v>26653</v>
      </c>
      <c r="Z8081" t="s">
        <v>26664</v>
      </c>
      <c r="AB8081" t="s">
        <v>32625</v>
      </c>
      <c r="AD8081" t="s">
        <v>43112</v>
      </c>
      <c r="AE8081">
        <v>60</v>
      </c>
      <c r="AH8081">
        <v>3</v>
      </c>
      <c r="AI8081">
        <v>1</v>
      </c>
      <c r="AJ8081">
        <v>0</v>
      </c>
      <c r="AK8081">
        <v>72.44</v>
      </c>
      <c r="AN8081" t="s">
        <v>7439</v>
      </c>
      <c r="AO8081">
        <v>9048</v>
      </c>
      <c r="AU8081">
        <v>5.3</v>
      </c>
      <c r="AV8081" t="s">
        <v>831</v>
      </c>
      <c r="AW8081" t="s">
        <v>46884</v>
      </c>
    </row>
    <row r="8082" spans="1:50">
      <c r="A8082" s="1">
        <f>HYPERLINK("https://lsnyc.legalserver.org/matter/dynamic-profile/view/1900058","19-1900058")</f>
        <v>0</v>
      </c>
      <c r="B8082" t="s">
        <v>107</v>
      </c>
      <c r="C8082" t="s">
        <v>340</v>
      </c>
      <c r="D8082" t="s">
        <v>819</v>
      </c>
      <c r="F8082" t="s">
        <v>1251</v>
      </c>
      <c r="G8082" t="s">
        <v>8558</v>
      </c>
      <c r="H8082" t="s">
        <v>15147</v>
      </c>
      <c r="J8082" t="s">
        <v>18931</v>
      </c>
      <c r="K8082">
        <v>11412</v>
      </c>
      <c r="L8082" t="s">
        <v>18958</v>
      </c>
      <c r="M8082" t="s">
        <v>18960</v>
      </c>
      <c r="N8082" t="s">
        <v>24753</v>
      </c>
      <c r="O8082" t="s">
        <v>26524</v>
      </c>
      <c r="P8082" t="s">
        <v>26563</v>
      </c>
      <c r="R8082" t="s">
        <v>26578</v>
      </c>
      <c r="S8082" t="s">
        <v>18959</v>
      </c>
      <c r="U8082" t="s">
        <v>26604</v>
      </c>
      <c r="W8082" t="s">
        <v>819</v>
      </c>
      <c r="X8082">
        <v>0</v>
      </c>
      <c r="Y8082" t="s">
        <v>26653</v>
      </c>
      <c r="Z8082" t="s">
        <v>26664</v>
      </c>
      <c r="AB8082" t="s">
        <v>32626</v>
      </c>
      <c r="AD8082" t="s">
        <v>43113</v>
      </c>
      <c r="AE8082">
        <v>0</v>
      </c>
      <c r="AH8082">
        <v>3</v>
      </c>
      <c r="AI8082">
        <v>1</v>
      </c>
      <c r="AJ8082">
        <v>0</v>
      </c>
      <c r="AK8082">
        <v>89.83</v>
      </c>
      <c r="AN8082" t="s">
        <v>7439</v>
      </c>
      <c r="AO8082">
        <v>11220</v>
      </c>
      <c r="AU8082">
        <v>1</v>
      </c>
      <c r="AV8082" t="s">
        <v>819</v>
      </c>
      <c r="AW8082" t="s">
        <v>46884</v>
      </c>
    </row>
    <row r="8083" spans="1:50">
      <c r="A8083" s="1">
        <f>HYPERLINK("https://lsnyc.legalserver.org/matter/dynamic-profile/view/1900070","19-1900070")</f>
        <v>0</v>
      </c>
      <c r="B8083" t="s">
        <v>280</v>
      </c>
      <c r="C8083" t="s">
        <v>340</v>
      </c>
      <c r="D8083" t="s">
        <v>819</v>
      </c>
      <c r="F8083" t="s">
        <v>4164</v>
      </c>
      <c r="G8083" t="s">
        <v>6585</v>
      </c>
      <c r="H8083" t="s">
        <v>10494</v>
      </c>
      <c r="I8083" t="s">
        <v>17348</v>
      </c>
      <c r="J8083" t="s">
        <v>18900</v>
      </c>
      <c r="K8083">
        <v>11354</v>
      </c>
      <c r="L8083" t="s">
        <v>18958</v>
      </c>
      <c r="M8083" t="s">
        <v>18960</v>
      </c>
      <c r="N8083" t="s">
        <v>24754</v>
      </c>
      <c r="O8083" t="s">
        <v>26524</v>
      </c>
      <c r="P8083" t="s">
        <v>26560</v>
      </c>
      <c r="R8083" t="s">
        <v>26578</v>
      </c>
      <c r="S8083" t="s">
        <v>18959</v>
      </c>
      <c r="U8083" t="s">
        <v>26604</v>
      </c>
      <c r="V8083" t="s">
        <v>26610</v>
      </c>
      <c r="W8083" t="s">
        <v>819</v>
      </c>
      <c r="X8083">
        <v>500</v>
      </c>
      <c r="Y8083" t="s">
        <v>26653</v>
      </c>
      <c r="Z8083" t="s">
        <v>26664</v>
      </c>
      <c r="AB8083" t="s">
        <v>29711</v>
      </c>
      <c r="AD8083" t="s">
        <v>43114</v>
      </c>
      <c r="AE8083">
        <v>175</v>
      </c>
      <c r="AF8083" t="s">
        <v>45541</v>
      </c>
      <c r="AH8083">
        <v>0</v>
      </c>
      <c r="AI8083">
        <v>1</v>
      </c>
      <c r="AJ8083">
        <v>0</v>
      </c>
      <c r="AK8083">
        <v>74.08</v>
      </c>
      <c r="AN8083" t="s">
        <v>7439</v>
      </c>
      <c r="AO8083">
        <v>9252</v>
      </c>
      <c r="AU8083">
        <v>8.75</v>
      </c>
      <c r="AV8083" t="s">
        <v>860</v>
      </c>
      <c r="AW8083" t="s">
        <v>280</v>
      </c>
      <c r="AX8083" t="s">
        <v>46897</v>
      </c>
    </row>
    <row r="8084" spans="1:50">
      <c r="A8084" s="1">
        <f>HYPERLINK("https://lsnyc.legalserver.org/matter/dynamic-profile/view/1899996","19-1899996")</f>
        <v>0</v>
      </c>
      <c r="B8084" t="s">
        <v>147</v>
      </c>
      <c r="C8084" t="s">
        <v>340</v>
      </c>
      <c r="D8084" t="s">
        <v>819</v>
      </c>
      <c r="F8084" t="s">
        <v>901</v>
      </c>
      <c r="G8084" t="s">
        <v>5147</v>
      </c>
      <c r="H8084" t="s">
        <v>15148</v>
      </c>
      <c r="I8084">
        <v>31</v>
      </c>
      <c r="J8084" t="s">
        <v>18894</v>
      </c>
      <c r="K8084">
        <v>11220</v>
      </c>
      <c r="L8084" t="s">
        <v>18958</v>
      </c>
      <c r="M8084" t="s">
        <v>18960</v>
      </c>
      <c r="N8084" t="s">
        <v>19330</v>
      </c>
      <c r="O8084" t="s">
        <v>26529</v>
      </c>
      <c r="P8084" t="s">
        <v>26565</v>
      </c>
      <c r="R8084" t="s">
        <v>26578</v>
      </c>
      <c r="S8084" t="s">
        <v>18959</v>
      </c>
      <c r="U8084" t="s">
        <v>26604</v>
      </c>
      <c r="V8084" t="s">
        <v>26610</v>
      </c>
      <c r="W8084" t="s">
        <v>819</v>
      </c>
      <c r="X8084">
        <v>0</v>
      </c>
      <c r="Y8084" t="s">
        <v>26652</v>
      </c>
      <c r="Z8084" t="s">
        <v>26663</v>
      </c>
      <c r="AB8084" t="s">
        <v>32627</v>
      </c>
      <c r="AC8084" t="s">
        <v>19330</v>
      </c>
      <c r="AE8084">
        <v>84</v>
      </c>
      <c r="AF8084" t="s">
        <v>45541</v>
      </c>
      <c r="AG8084" t="s">
        <v>19330</v>
      </c>
      <c r="AH8084">
        <v>25</v>
      </c>
      <c r="AI8084">
        <v>3</v>
      </c>
      <c r="AJ8084">
        <v>0</v>
      </c>
      <c r="AK8084">
        <v>0</v>
      </c>
      <c r="AN8084" t="s">
        <v>45581</v>
      </c>
      <c r="AO8084">
        <v>0</v>
      </c>
      <c r="AU8084">
        <v>0.8</v>
      </c>
      <c r="AV8084" t="s">
        <v>819</v>
      </c>
      <c r="AW8084" t="s">
        <v>198</v>
      </c>
    </row>
    <row r="8085" spans="1:50">
      <c r="A8085" s="1">
        <f>HYPERLINK("https://lsnyc.legalserver.org/matter/dynamic-profile/view/1900065","19-1900065")</f>
        <v>0</v>
      </c>
      <c r="B8085" t="s">
        <v>294</v>
      </c>
      <c r="C8085" t="s">
        <v>340</v>
      </c>
      <c r="D8085" t="s">
        <v>819</v>
      </c>
      <c r="F8085" t="s">
        <v>1494</v>
      </c>
      <c r="G8085" t="s">
        <v>5138</v>
      </c>
      <c r="H8085" t="s">
        <v>15149</v>
      </c>
      <c r="I8085" t="s">
        <v>17906</v>
      </c>
      <c r="J8085" t="s">
        <v>18915</v>
      </c>
      <c r="K8085">
        <v>11372</v>
      </c>
      <c r="L8085" t="s">
        <v>18958</v>
      </c>
      <c r="M8085" t="s">
        <v>18960</v>
      </c>
      <c r="N8085" t="s">
        <v>24755</v>
      </c>
      <c r="O8085" t="s">
        <v>26523</v>
      </c>
      <c r="P8085" t="s">
        <v>26560</v>
      </c>
      <c r="R8085" t="s">
        <v>26578</v>
      </c>
      <c r="S8085" t="s">
        <v>18959</v>
      </c>
      <c r="U8085" t="s">
        <v>26604</v>
      </c>
      <c r="W8085" t="s">
        <v>819</v>
      </c>
      <c r="X8085">
        <v>750</v>
      </c>
      <c r="Y8085" t="s">
        <v>26653</v>
      </c>
      <c r="Z8085" t="s">
        <v>26659</v>
      </c>
      <c r="AB8085" t="s">
        <v>32628</v>
      </c>
      <c r="AD8085" t="s">
        <v>43115</v>
      </c>
      <c r="AE8085">
        <v>0</v>
      </c>
      <c r="AH8085">
        <v>46</v>
      </c>
      <c r="AI8085">
        <v>1</v>
      </c>
      <c r="AJ8085">
        <v>0</v>
      </c>
      <c r="AK8085">
        <v>0</v>
      </c>
      <c r="AO8085">
        <v>0</v>
      </c>
      <c r="AU8085">
        <v>16.25</v>
      </c>
      <c r="AV8085" t="s">
        <v>773</v>
      </c>
      <c r="AW8085" t="s">
        <v>294</v>
      </c>
    </row>
    <row r="8086" spans="1:50">
      <c r="A8086" s="1">
        <f>HYPERLINK("https://lsnyc.legalserver.org/matter/dynamic-profile/view/1899984","19-1899984")</f>
        <v>0</v>
      </c>
      <c r="B8086" t="s">
        <v>294</v>
      </c>
      <c r="C8086" t="s">
        <v>340</v>
      </c>
      <c r="D8086" t="s">
        <v>819</v>
      </c>
      <c r="F8086" t="s">
        <v>1044</v>
      </c>
      <c r="G8086" t="s">
        <v>5121</v>
      </c>
      <c r="H8086" t="s">
        <v>15150</v>
      </c>
      <c r="I8086" t="s">
        <v>17330</v>
      </c>
      <c r="J8086" t="s">
        <v>18899</v>
      </c>
      <c r="K8086">
        <v>11385</v>
      </c>
      <c r="L8086" t="s">
        <v>18958</v>
      </c>
      <c r="M8086" t="s">
        <v>18960</v>
      </c>
      <c r="N8086" t="s">
        <v>24756</v>
      </c>
      <c r="O8086" t="s">
        <v>26524</v>
      </c>
      <c r="P8086" t="s">
        <v>26560</v>
      </c>
      <c r="R8086" t="s">
        <v>26585</v>
      </c>
      <c r="S8086" t="s">
        <v>18959</v>
      </c>
      <c r="U8086" t="s">
        <v>26604</v>
      </c>
      <c r="V8086" t="s">
        <v>26610</v>
      </c>
      <c r="W8086" t="s">
        <v>819</v>
      </c>
      <c r="X8086">
        <v>1212.53</v>
      </c>
      <c r="Y8086" t="s">
        <v>26653</v>
      </c>
      <c r="Z8086" t="s">
        <v>26664</v>
      </c>
      <c r="AB8086" t="s">
        <v>32629</v>
      </c>
      <c r="AC8086" t="s">
        <v>36460</v>
      </c>
      <c r="AD8086" t="s">
        <v>43116</v>
      </c>
      <c r="AE8086">
        <v>4</v>
      </c>
      <c r="AF8086" t="s">
        <v>20460</v>
      </c>
      <c r="AG8086" t="s">
        <v>45561</v>
      </c>
      <c r="AH8086">
        <v>16</v>
      </c>
      <c r="AI8086">
        <v>1</v>
      </c>
      <c r="AJ8086">
        <v>0</v>
      </c>
      <c r="AK8086">
        <v>82.34</v>
      </c>
      <c r="AN8086" t="s">
        <v>7439</v>
      </c>
      <c r="AO8086">
        <v>10284</v>
      </c>
      <c r="AU8086">
        <v>4.25</v>
      </c>
      <c r="AV8086" t="s">
        <v>835</v>
      </c>
      <c r="AW8086" t="s">
        <v>208</v>
      </c>
      <c r="AX8086" t="s">
        <v>46898</v>
      </c>
    </row>
    <row r="8087" spans="1:50">
      <c r="A8087" s="1">
        <f>HYPERLINK("https://lsnyc.legalserver.org/matter/dynamic-profile/view/1899974","19-1899974")</f>
        <v>0</v>
      </c>
      <c r="B8087" t="s">
        <v>56</v>
      </c>
      <c r="C8087" t="s">
        <v>340</v>
      </c>
      <c r="D8087" t="s">
        <v>819</v>
      </c>
      <c r="F8087" t="s">
        <v>1956</v>
      </c>
      <c r="G8087" t="s">
        <v>8559</v>
      </c>
      <c r="H8087" t="s">
        <v>15151</v>
      </c>
      <c r="I8087" t="s">
        <v>17344</v>
      </c>
      <c r="J8087" t="s">
        <v>18892</v>
      </c>
      <c r="K8087">
        <v>10467</v>
      </c>
      <c r="L8087" t="s">
        <v>18958</v>
      </c>
      <c r="M8087" t="s">
        <v>18960</v>
      </c>
      <c r="N8087" t="s">
        <v>24757</v>
      </c>
      <c r="O8087" t="s">
        <v>26523</v>
      </c>
      <c r="P8087" t="s">
        <v>26560</v>
      </c>
      <c r="R8087" t="s">
        <v>26579</v>
      </c>
      <c r="S8087" t="s">
        <v>18959</v>
      </c>
      <c r="U8087" t="s">
        <v>26604</v>
      </c>
      <c r="W8087" t="s">
        <v>819</v>
      </c>
      <c r="X8087">
        <v>0</v>
      </c>
      <c r="Y8087" t="s">
        <v>26650</v>
      </c>
      <c r="Z8087" t="s">
        <v>26668</v>
      </c>
      <c r="AB8087" t="s">
        <v>32630</v>
      </c>
      <c r="AD8087" t="s">
        <v>43117</v>
      </c>
      <c r="AE8087">
        <v>0</v>
      </c>
      <c r="AH8087">
        <v>0</v>
      </c>
      <c r="AI8087">
        <v>2</v>
      </c>
      <c r="AJ8087">
        <v>3</v>
      </c>
      <c r="AK8087">
        <v>198.74</v>
      </c>
      <c r="AN8087" t="s">
        <v>45581</v>
      </c>
      <c r="AO8087">
        <v>59960</v>
      </c>
      <c r="AU8087">
        <v>3</v>
      </c>
      <c r="AV8087" t="s">
        <v>729</v>
      </c>
      <c r="AW8087" t="s">
        <v>46870</v>
      </c>
      <c r="AX8087" t="s">
        <v>46897</v>
      </c>
    </row>
    <row r="8088" spans="1:50">
      <c r="A8088" s="1">
        <f>HYPERLINK("https://lsnyc.legalserver.org/matter/dynamic-profile/view/1900061","19-1900061")</f>
        <v>0</v>
      </c>
      <c r="B8088" t="s">
        <v>258</v>
      </c>
      <c r="C8088" t="s">
        <v>340</v>
      </c>
      <c r="D8088" t="s">
        <v>819</v>
      </c>
      <c r="F8088" t="s">
        <v>2040</v>
      </c>
      <c r="G8088" t="s">
        <v>7151</v>
      </c>
      <c r="H8088" t="s">
        <v>15152</v>
      </c>
      <c r="I8088" t="s">
        <v>17513</v>
      </c>
      <c r="J8088" t="s">
        <v>18900</v>
      </c>
      <c r="K8088">
        <v>11367</v>
      </c>
      <c r="L8088" t="s">
        <v>18958</v>
      </c>
      <c r="M8088" t="s">
        <v>18960</v>
      </c>
      <c r="N8088" t="s">
        <v>24758</v>
      </c>
      <c r="O8088" t="s">
        <v>26523</v>
      </c>
      <c r="P8088" t="s">
        <v>26560</v>
      </c>
      <c r="R8088" t="s">
        <v>26578</v>
      </c>
      <c r="S8088" t="s">
        <v>18958</v>
      </c>
      <c r="U8088" t="s">
        <v>26604</v>
      </c>
      <c r="V8088" t="s">
        <v>26610</v>
      </c>
      <c r="W8088" t="s">
        <v>819</v>
      </c>
      <c r="X8088">
        <v>1358</v>
      </c>
      <c r="Y8088" t="s">
        <v>26653</v>
      </c>
      <c r="Z8088" t="s">
        <v>26664</v>
      </c>
      <c r="AB8088" t="s">
        <v>32631</v>
      </c>
      <c r="AD8088" t="s">
        <v>43118</v>
      </c>
      <c r="AE8088">
        <v>12</v>
      </c>
      <c r="AF8088" t="s">
        <v>45541</v>
      </c>
      <c r="AH8088">
        <v>8</v>
      </c>
      <c r="AI8088">
        <v>1</v>
      </c>
      <c r="AJ8088">
        <v>0</v>
      </c>
      <c r="AK8088">
        <v>0</v>
      </c>
      <c r="AN8088" t="s">
        <v>7439</v>
      </c>
      <c r="AO8088">
        <v>0</v>
      </c>
      <c r="AU8088">
        <v>4.65</v>
      </c>
      <c r="AV8088" t="s">
        <v>838</v>
      </c>
      <c r="AW8088" t="s">
        <v>46884</v>
      </c>
      <c r="AX8088" t="s">
        <v>46897</v>
      </c>
    </row>
    <row r="8089" spans="1:50">
      <c r="A8089" s="1">
        <f>HYPERLINK("https://lsnyc.legalserver.org/matter/dynamic-profile/view/1899975","19-1899975")</f>
        <v>0</v>
      </c>
      <c r="B8089" t="s">
        <v>258</v>
      </c>
      <c r="C8089" t="s">
        <v>340</v>
      </c>
      <c r="D8089" t="s">
        <v>819</v>
      </c>
      <c r="F8089" t="s">
        <v>4165</v>
      </c>
      <c r="G8089" t="s">
        <v>6065</v>
      </c>
      <c r="H8089" t="s">
        <v>15153</v>
      </c>
      <c r="I8089" t="s">
        <v>17328</v>
      </c>
      <c r="J8089" t="s">
        <v>18904</v>
      </c>
      <c r="K8089">
        <v>11421</v>
      </c>
      <c r="L8089" t="s">
        <v>18958</v>
      </c>
      <c r="M8089" t="s">
        <v>18960</v>
      </c>
      <c r="N8089" t="s">
        <v>24759</v>
      </c>
      <c r="O8089" t="s">
        <v>26524</v>
      </c>
      <c r="P8089" t="s">
        <v>26564</v>
      </c>
      <c r="R8089" t="s">
        <v>26578</v>
      </c>
      <c r="S8089" t="s">
        <v>18959</v>
      </c>
      <c r="U8089" t="s">
        <v>26604</v>
      </c>
      <c r="V8089" t="s">
        <v>26610</v>
      </c>
      <c r="W8089" t="s">
        <v>819</v>
      </c>
      <c r="X8089">
        <v>1500</v>
      </c>
      <c r="Y8089" t="s">
        <v>26653</v>
      </c>
      <c r="Z8089" t="s">
        <v>26664</v>
      </c>
      <c r="AB8089" t="s">
        <v>32632</v>
      </c>
      <c r="AC8089" t="s">
        <v>36461</v>
      </c>
      <c r="AD8089" t="s">
        <v>43119</v>
      </c>
      <c r="AE8089">
        <v>2</v>
      </c>
      <c r="AF8089" t="s">
        <v>45547</v>
      </c>
      <c r="AG8089" t="s">
        <v>19330</v>
      </c>
      <c r="AH8089">
        <v>-1</v>
      </c>
      <c r="AI8089">
        <v>1</v>
      </c>
      <c r="AJ8089">
        <v>2</v>
      </c>
      <c r="AK8089">
        <v>21.1</v>
      </c>
      <c r="AN8089" t="s">
        <v>7439</v>
      </c>
      <c r="AO8089">
        <v>4500</v>
      </c>
      <c r="AU8089">
        <v>2.75</v>
      </c>
      <c r="AV8089" t="s">
        <v>826</v>
      </c>
      <c r="AW8089" t="s">
        <v>208</v>
      </c>
      <c r="AX8089" t="s">
        <v>46897</v>
      </c>
    </row>
    <row r="8090" spans="1:50">
      <c r="A8090" s="1">
        <f>HYPERLINK("https://lsnyc.legalserver.org/matter/dynamic-profile/view/1899992","19-1899992")</f>
        <v>0</v>
      </c>
      <c r="B8090" t="s">
        <v>258</v>
      </c>
      <c r="C8090" t="s">
        <v>340</v>
      </c>
      <c r="D8090" t="s">
        <v>819</v>
      </c>
      <c r="F8090" t="s">
        <v>4166</v>
      </c>
      <c r="G8090" t="s">
        <v>7063</v>
      </c>
      <c r="H8090" t="s">
        <v>15154</v>
      </c>
      <c r="I8090" t="s">
        <v>17360</v>
      </c>
      <c r="J8090" t="s">
        <v>18914</v>
      </c>
      <c r="K8090">
        <v>11104</v>
      </c>
      <c r="L8090" t="s">
        <v>18958</v>
      </c>
      <c r="M8090" t="s">
        <v>18960</v>
      </c>
      <c r="N8090" t="s">
        <v>24760</v>
      </c>
      <c r="O8090" t="s">
        <v>26524</v>
      </c>
      <c r="P8090" t="s">
        <v>26560</v>
      </c>
      <c r="R8090" t="s">
        <v>26578</v>
      </c>
      <c r="S8090" t="s">
        <v>18959</v>
      </c>
      <c r="U8090" t="s">
        <v>26604</v>
      </c>
      <c r="V8090" t="s">
        <v>26615</v>
      </c>
      <c r="W8090" t="s">
        <v>819</v>
      </c>
      <c r="X8090">
        <v>1621</v>
      </c>
      <c r="Y8090" t="s">
        <v>26653</v>
      </c>
      <c r="Z8090" t="s">
        <v>26664</v>
      </c>
      <c r="AB8090" t="s">
        <v>32625</v>
      </c>
      <c r="AD8090" t="s">
        <v>43120</v>
      </c>
      <c r="AE8090">
        <v>96</v>
      </c>
      <c r="AF8090" t="s">
        <v>45541</v>
      </c>
      <c r="AG8090" t="s">
        <v>19330</v>
      </c>
      <c r="AH8090">
        <v>13</v>
      </c>
      <c r="AI8090">
        <v>2</v>
      </c>
      <c r="AJ8090">
        <v>1</v>
      </c>
      <c r="AK8090">
        <v>195.03</v>
      </c>
      <c r="AN8090" t="s">
        <v>7439</v>
      </c>
      <c r="AO8090">
        <v>41600</v>
      </c>
      <c r="AU8090">
        <v>22.9</v>
      </c>
      <c r="AV8090" t="s">
        <v>838</v>
      </c>
      <c r="AW8090" t="s">
        <v>208</v>
      </c>
      <c r="AX8090" t="s">
        <v>46897</v>
      </c>
    </row>
    <row r="8091" spans="1:50">
      <c r="A8091" s="1">
        <f>HYPERLINK("https://lsnyc.legalserver.org/matter/dynamic-profile/view/1899950","19-1899950")</f>
        <v>0</v>
      </c>
      <c r="B8091" t="s">
        <v>141</v>
      </c>
      <c r="C8091" t="s">
        <v>340</v>
      </c>
      <c r="D8091" t="s">
        <v>819</v>
      </c>
      <c r="F8091" t="s">
        <v>1452</v>
      </c>
      <c r="G8091" t="s">
        <v>5624</v>
      </c>
      <c r="H8091" t="s">
        <v>15155</v>
      </c>
      <c r="I8091" t="s">
        <v>17531</v>
      </c>
      <c r="J8091" t="s">
        <v>18900</v>
      </c>
      <c r="K8091">
        <v>11354</v>
      </c>
      <c r="L8091" t="s">
        <v>18958</v>
      </c>
      <c r="M8091" t="s">
        <v>18960</v>
      </c>
      <c r="N8091" t="s">
        <v>19599</v>
      </c>
      <c r="O8091" t="s">
        <v>26526</v>
      </c>
      <c r="P8091" t="s">
        <v>26560</v>
      </c>
      <c r="R8091" t="s">
        <v>26578</v>
      </c>
      <c r="S8091" t="s">
        <v>18959</v>
      </c>
      <c r="U8091" t="s">
        <v>26604</v>
      </c>
      <c r="V8091" t="s">
        <v>26610</v>
      </c>
      <c r="W8091" t="s">
        <v>819</v>
      </c>
      <c r="X8091">
        <v>1100</v>
      </c>
      <c r="Y8091" t="s">
        <v>26653</v>
      </c>
      <c r="Z8091" t="s">
        <v>26664</v>
      </c>
      <c r="AB8091" t="s">
        <v>27466</v>
      </c>
      <c r="AC8091" t="s">
        <v>34754</v>
      </c>
      <c r="AD8091" t="s">
        <v>37526</v>
      </c>
      <c r="AE8091">
        <v>200</v>
      </c>
      <c r="AF8091" t="s">
        <v>45541</v>
      </c>
      <c r="AG8091" t="s">
        <v>45559</v>
      </c>
      <c r="AH8091">
        <v>58</v>
      </c>
      <c r="AI8091">
        <v>1</v>
      </c>
      <c r="AJ8091">
        <v>0</v>
      </c>
      <c r="AK8091">
        <v>61.3</v>
      </c>
      <c r="AN8091" t="s">
        <v>45581</v>
      </c>
      <c r="AO8091">
        <v>7656</v>
      </c>
      <c r="AU8091">
        <v>2.65</v>
      </c>
      <c r="AV8091" t="s">
        <v>833</v>
      </c>
      <c r="AW8091" t="s">
        <v>46889</v>
      </c>
      <c r="AX8091" t="s">
        <v>46897</v>
      </c>
    </row>
    <row r="8092" spans="1:50">
      <c r="A8092" s="1">
        <f>HYPERLINK("https://lsnyc.legalserver.org/matter/dynamic-profile/view/1899991","19-1899991")</f>
        <v>0</v>
      </c>
      <c r="B8092" t="s">
        <v>233</v>
      </c>
      <c r="C8092" t="s">
        <v>340</v>
      </c>
      <c r="D8092" t="s">
        <v>819</v>
      </c>
      <c r="F8092" t="s">
        <v>1615</v>
      </c>
      <c r="G8092" t="s">
        <v>5706</v>
      </c>
      <c r="H8092" t="s">
        <v>15156</v>
      </c>
      <c r="I8092" t="s">
        <v>17301</v>
      </c>
      <c r="J8092" t="s">
        <v>18892</v>
      </c>
      <c r="K8092">
        <v>10460</v>
      </c>
      <c r="L8092" t="s">
        <v>18958</v>
      </c>
      <c r="M8092" t="s">
        <v>18960</v>
      </c>
      <c r="N8092" t="s">
        <v>24761</v>
      </c>
      <c r="O8092" t="s">
        <v>26523</v>
      </c>
      <c r="P8092" t="s">
        <v>26564</v>
      </c>
      <c r="R8092" t="s">
        <v>26577</v>
      </c>
      <c r="U8092" t="s">
        <v>26604</v>
      </c>
      <c r="V8092" t="s">
        <v>26609</v>
      </c>
      <c r="W8092" t="s">
        <v>819</v>
      </c>
      <c r="X8092">
        <v>0</v>
      </c>
      <c r="Y8092" t="s">
        <v>26650</v>
      </c>
      <c r="Z8092" t="s">
        <v>26668</v>
      </c>
      <c r="AB8092" t="s">
        <v>32633</v>
      </c>
      <c r="AD8092" t="s">
        <v>43121</v>
      </c>
      <c r="AE8092">
        <v>0</v>
      </c>
      <c r="AG8092" t="s">
        <v>45556</v>
      </c>
      <c r="AH8092">
        <v>0</v>
      </c>
      <c r="AI8092">
        <v>3</v>
      </c>
      <c r="AJ8092">
        <v>0</v>
      </c>
      <c r="AK8092">
        <v>150.02</v>
      </c>
      <c r="AN8092" t="s">
        <v>45581</v>
      </c>
      <c r="AO8092">
        <v>32000</v>
      </c>
      <c r="AP8092" t="s">
        <v>46082</v>
      </c>
      <c r="AU8092">
        <v>2</v>
      </c>
      <c r="AV8092" t="s">
        <v>829</v>
      </c>
      <c r="AW8092" t="s">
        <v>46836</v>
      </c>
      <c r="AX8092" t="s">
        <v>46897</v>
      </c>
    </row>
    <row r="8093" spans="1:50">
      <c r="A8093" s="1">
        <f>HYPERLINK("https://lsnyc.legalserver.org/matter/dynamic-profile/view/1900006","19-1900006")</f>
        <v>0</v>
      </c>
      <c r="B8093" t="s">
        <v>233</v>
      </c>
      <c r="C8093" t="s">
        <v>340</v>
      </c>
      <c r="D8093" t="s">
        <v>819</v>
      </c>
      <c r="F8093" t="s">
        <v>4167</v>
      </c>
      <c r="G8093" t="s">
        <v>5691</v>
      </c>
      <c r="H8093" t="s">
        <v>14156</v>
      </c>
      <c r="I8093" t="s">
        <v>17307</v>
      </c>
      <c r="J8093" t="s">
        <v>18892</v>
      </c>
      <c r="K8093">
        <v>10457</v>
      </c>
      <c r="L8093" t="s">
        <v>18958</v>
      </c>
      <c r="M8093" t="s">
        <v>18960</v>
      </c>
      <c r="N8093" t="s">
        <v>24762</v>
      </c>
      <c r="O8093" t="s">
        <v>26523</v>
      </c>
      <c r="P8093" t="s">
        <v>26560</v>
      </c>
      <c r="R8093" t="s">
        <v>26579</v>
      </c>
      <c r="S8093" t="s">
        <v>18959</v>
      </c>
      <c r="U8093" t="s">
        <v>26604</v>
      </c>
      <c r="W8093" t="s">
        <v>819</v>
      </c>
      <c r="X8093">
        <v>1232.1</v>
      </c>
      <c r="Y8093" t="s">
        <v>26650</v>
      </c>
      <c r="AB8093" t="s">
        <v>29096</v>
      </c>
      <c r="AC8093" t="s">
        <v>36462</v>
      </c>
      <c r="AD8093" t="s">
        <v>43122</v>
      </c>
      <c r="AE8093">
        <v>0</v>
      </c>
      <c r="AF8093" t="s">
        <v>45541</v>
      </c>
      <c r="AH8093">
        <v>10</v>
      </c>
      <c r="AI8093">
        <v>1</v>
      </c>
      <c r="AJ8093">
        <v>3</v>
      </c>
      <c r="AK8093">
        <v>74.11</v>
      </c>
      <c r="AN8093" t="s">
        <v>7439</v>
      </c>
      <c r="AO8093">
        <v>19082.53</v>
      </c>
      <c r="AU8093">
        <v>3</v>
      </c>
      <c r="AV8093" t="s">
        <v>808</v>
      </c>
      <c r="AW8093" t="s">
        <v>335</v>
      </c>
      <c r="AX8093" t="s">
        <v>46898</v>
      </c>
    </row>
    <row r="8094" spans="1:50">
      <c r="A8094" s="1">
        <f>HYPERLINK("https://lsnyc.legalserver.org/matter/dynamic-profile/view/1900055","19-1900055")</f>
        <v>0</v>
      </c>
      <c r="B8094" t="s">
        <v>87</v>
      </c>
      <c r="C8094" t="s">
        <v>340</v>
      </c>
      <c r="D8094" t="s">
        <v>819</v>
      </c>
      <c r="F8094" t="s">
        <v>1228</v>
      </c>
      <c r="G8094" t="s">
        <v>2749</v>
      </c>
      <c r="H8094" t="s">
        <v>15157</v>
      </c>
      <c r="I8094">
        <v>1</v>
      </c>
      <c r="J8094" t="s">
        <v>18892</v>
      </c>
      <c r="K8094">
        <v>10467</v>
      </c>
      <c r="L8094" t="s">
        <v>18958</v>
      </c>
      <c r="M8094" t="s">
        <v>18960</v>
      </c>
      <c r="N8094" t="s">
        <v>24763</v>
      </c>
      <c r="O8094" t="s">
        <v>26524</v>
      </c>
      <c r="P8094" t="s">
        <v>26560</v>
      </c>
      <c r="R8094" t="s">
        <v>26579</v>
      </c>
      <c r="U8094" t="s">
        <v>26604</v>
      </c>
      <c r="W8094" t="s">
        <v>819</v>
      </c>
      <c r="X8094">
        <v>800</v>
      </c>
      <c r="Y8094" t="s">
        <v>26650</v>
      </c>
      <c r="AB8094" t="s">
        <v>32634</v>
      </c>
      <c r="AC8094" t="s">
        <v>36463</v>
      </c>
      <c r="AD8094" t="s">
        <v>43123</v>
      </c>
      <c r="AE8094">
        <v>0</v>
      </c>
      <c r="AF8094" t="s">
        <v>45545</v>
      </c>
      <c r="AG8094" t="s">
        <v>45562</v>
      </c>
      <c r="AH8094">
        <v>2</v>
      </c>
      <c r="AI8094">
        <v>1</v>
      </c>
      <c r="AJ8094">
        <v>0</v>
      </c>
      <c r="AK8094">
        <v>80.7</v>
      </c>
      <c r="AN8094" t="s">
        <v>7439</v>
      </c>
      <c r="AO8094">
        <v>10080</v>
      </c>
      <c r="AU8094">
        <v>7</v>
      </c>
      <c r="AV8094" t="s">
        <v>773</v>
      </c>
      <c r="AW8094" t="s">
        <v>335</v>
      </c>
      <c r="AX8094" t="s">
        <v>46898</v>
      </c>
    </row>
    <row r="8095" spans="1:50">
      <c r="A8095" s="1">
        <f>HYPERLINK("https://lsnyc.legalserver.org/matter/dynamic-profile/view/1900057","19-1900057")</f>
        <v>0</v>
      </c>
      <c r="B8095" t="s">
        <v>235</v>
      </c>
      <c r="C8095" t="s">
        <v>340</v>
      </c>
      <c r="D8095" t="s">
        <v>819</v>
      </c>
      <c r="F8095" t="s">
        <v>1228</v>
      </c>
      <c r="G8095" t="s">
        <v>8494</v>
      </c>
      <c r="H8095" t="s">
        <v>14384</v>
      </c>
      <c r="I8095" t="s">
        <v>17313</v>
      </c>
      <c r="J8095" t="s">
        <v>18906</v>
      </c>
      <c r="K8095">
        <v>11373</v>
      </c>
      <c r="L8095" t="s">
        <v>18958</v>
      </c>
      <c r="M8095" t="s">
        <v>18960</v>
      </c>
      <c r="N8095" t="s">
        <v>24764</v>
      </c>
      <c r="P8095" t="s">
        <v>26560</v>
      </c>
      <c r="R8095" t="s">
        <v>26584</v>
      </c>
      <c r="S8095" t="s">
        <v>18959</v>
      </c>
      <c r="U8095" t="s">
        <v>26604</v>
      </c>
      <c r="W8095" t="s">
        <v>819</v>
      </c>
      <c r="X8095">
        <v>1590</v>
      </c>
      <c r="Y8095" t="s">
        <v>26653</v>
      </c>
      <c r="Z8095" t="s">
        <v>26664</v>
      </c>
      <c r="AB8095" t="s">
        <v>27022</v>
      </c>
      <c r="AD8095" t="s">
        <v>42981</v>
      </c>
      <c r="AE8095">
        <v>90</v>
      </c>
      <c r="AF8095" t="s">
        <v>45541</v>
      </c>
      <c r="AG8095" t="s">
        <v>19330</v>
      </c>
      <c r="AH8095">
        <v>15</v>
      </c>
      <c r="AI8095">
        <v>4</v>
      </c>
      <c r="AJ8095">
        <v>2</v>
      </c>
      <c r="AK8095">
        <v>105.04</v>
      </c>
      <c r="AN8095" t="s">
        <v>45581</v>
      </c>
      <c r="AO8095">
        <v>36332</v>
      </c>
      <c r="AU8095">
        <v>5</v>
      </c>
      <c r="AV8095" t="s">
        <v>828</v>
      </c>
      <c r="AW8095" t="s">
        <v>46846</v>
      </c>
      <c r="AX8095" t="s">
        <v>46897</v>
      </c>
    </row>
    <row r="8096" spans="1:50">
      <c r="A8096" s="1">
        <f>HYPERLINK("https://lsnyc.legalserver.org/matter/dynamic-profile/view/1900019","19-1900019")</f>
        <v>0</v>
      </c>
      <c r="B8096" t="s">
        <v>172</v>
      </c>
      <c r="C8096" t="s">
        <v>340</v>
      </c>
      <c r="D8096" t="s">
        <v>819</v>
      </c>
      <c r="F8096" t="s">
        <v>990</v>
      </c>
      <c r="G8096" t="s">
        <v>8183</v>
      </c>
      <c r="H8096" t="s">
        <v>15158</v>
      </c>
      <c r="I8096">
        <v>141</v>
      </c>
      <c r="J8096" t="s">
        <v>18894</v>
      </c>
      <c r="K8096">
        <v>11236</v>
      </c>
      <c r="L8096" t="s">
        <v>18958</v>
      </c>
      <c r="M8096" t="s">
        <v>18960</v>
      </c>
      <c r="N8096" t="s">
        <v>24765</v>
      </c>
      <c r="O8096" t="s">
        <v>26524</v>
      </c>
      <c r="P8096" t="s">
        <v>26560</v>
      </c>
      <c r="R8096" t="s">
        <v>26586</v>
      </c>
      <c r="U8096" t="s">
        <v>26604</v>
      </c>
      <c r="W8096" t="s">
        <v>819</v>
      </c>
      <c r="X8096">
        <v>1515</v>
      </c>
      <c r="Y8096" t="s">
        <v>26652</v>
      </c>
      <c r="Z8096" t="s">
        <v>26664</v>
      </c>
      <c r="AB8096" t="s">
        <v>27499</v>
      </c>
      <c r="AD8096" t="s">
        <v>43124</v>
      </c>
      <c r="AE8096">
        <v>4</v>
      </c>
      <c r="AF8096" t="s">
        <v>20460</v>
      </c>
      <c r="AH8096">
        <v>2</v>
      </c>
      <c r="AI8096">
        <v>1</v>
      </c>
      <c r="AJ8096">
        <v>2</v>
      </c>
      <c r="AK8096">
        <v>79.23</v>
      </c>
      <c r="AN8096" t="s">
        <v>45596</v>
      </c>
      <c r="AO8096">
        <v>16900</v>
      </c>
      <c r="AU8096">
        <v>6.4</v>
      </c>
      <c r="AV8096" t="s">
        <v>821</v>
      </c>
      <c r="AW8096" t="s">
        <v>46856</v>
      </c>
      <c r="AX8096" t="s">
        <v>46897</v>
      </c>
    </row>
    <row r="8097" spans="1:50">
      <c r="A8097" s="1">
        <f>HYPERLINK("https://lsnyc.legalserver.org/matter/dynamic-profile/view/1899978","19-1899978")</f>
        <v>0</v>
      </c>
      <c r="B8097" t="s">
        <v>125</v>
      </c>
      <c r="C8097" t="s">
        <v>340</v>
      </c>
      <c r="D8097" t="s">
        <v>819</v>
      </c>
      <c r="F8097" t="s">
        <v>1256</v>
      </c>
      <c r="G8097" t="s">
        <v>5752</v>
      </c>
      <c r="H8097" t="s">
        <v>15159</v>
      </c>
      <c r="I8097" t="s">
        <v>17355</v>
      </c>
      <c r="J8097" t="s">
        <v>18894</v>
      </c>
      <c r="K8097">
        <v>11233</v>
      </c>
      <c r="L8097" t="s">
        <v>18958</v>
      </c>
      <c r="M8097" t="s">
        <v>18960</v>
      </c>
      <c r="N8097" t="s">
        <v>24766</v>
      </c>
      <c r="O8097" t="s">
        <v>26523</v>
      </c>
      <c r="P8097" t="s">
        <v>26560</v>
      </c>
      <c r="R8097" t="s">
        <v>26578</v>
      </c>
      <c r="S8097" t="s">
        <v>18959</v>
      </c>
      <c r="U8097" t="s">
        <v>26604</v>
      </c>
      <c r="V8097" t="s">
        <v>26614</v>
      </c>
      <c r="W8097" t="s">
        <v>819</v>
      </c>
      <c r="X8097">
        <v>917</v>
      </c>
      <c r="Y8097" t="s">
        <v>26652</v>
      </c>
      <c r="Z8097" t="s">
        <v>26530</v>
      </c>
      <c r="AB8097" t="s">
        <v>32328</v>
      </c>
      <c r="AD8097" t="s">
        <v>43125</v>
      </c>
      <c r="AE8097">
        <v>36</v>
      </c>
      <c r="AF8097" t="s">
        <v>45551</v>
      </c>
      <c r="AG8097" t="s">
        <v>45558</v>
      </c>
      <c r="AH8097">
        <v>10</v>
      </c>
      <c r="AI8097">
        <v>1</v>
      </c>
      <c r="AJ8097">
        <v>1</v>
      </c>
      <c r="AK8097">
        <v>92.25</v>
      </c>
      <c r="AN8097" t="s">
        <v>7439</v>
      </c>
      <c r="AO8097">
        <v>15600</v>
      </c>
      <c r="AU8097">
        <v>12.35</v>
      </c>
      <c r="AV8097" t="s">
        <v>797</v>
      </c>
      <c r="AW8097" t="s">
        <v>198</v>
      </c>
      <c r="AX8097" t="s">
        <v>46897</v>
      </c>
    </row>
    <row r="8098" spans="1:50">
      <c r="A8098" s="1">
        <f>HYPERLINK("https://lsnyc.legalserver.org/matter/dynamic-profile/view/1900163","19-1900163")</f>
        <v>0</v>
      </c>
      <c r="B8098" t="s">
        <v>99</v>
      </c>
      <c r="C8098" t="s">
        <v>341</v>
      </c>
      <c r="D8098" t="s">
        <v>820</v>
      </c>
      <c r="E8098" t="s">
        <v>838</v>
      </c>
      <c r="F8098" t="s">
        <v>1161</v>
      </c>
      <c r="G8098" t="s">
        <v>5681</v>
      </c>
      <c r="H8098" t="s">
        <v>12740</v>
      </c>
      <c r="I8098" t="s">
        <v>17306</v>
      </c>
      <c r="J8098" t="s">
        <v>18894</v>
      </c>
      <c r="K8098">
        <v>11233</v>
      </c>
      <c r="L8098" t="s">
        <v>18958</v>
      </c>
      <c r="M8098" t="s">
        <v>18960</v>
      </c>
      <c r="N8098" t="s">
        <v>24767</v>
      </c>
      <c r="O8098" t="s">
        <v>26524</v>
      </c>
      <c r="P8098" t="s">
        <v>26560</v>
      </c>
      <c r="Q8098" t="s">
        <v>26568</v>
      </c>
      <c r="R8098" t="s">
        <v>26586</v>
      </c>
      <c r="S8098" t="s">
        <v>18959</v>
      </c>
      <c r="U8098" t="s">
        <v>26604</v>
      </c>
      <c r="V8098" t="s">
        <v>26610</v>
      </c>
      <c r="W8098" t="s">
        <v>819</v>
      </c>
      <c r="X8098">
        <v>1700</v>
      </c>
      <c r="Y8098" t="s">
        <v>26652</v>
      </c>
      <c r="Z8098" t="s">
        <v>26664</v>
      </c>
      <c r="AA8098" t="s">
        <v>26678</v>
      </c>
      <c r="AB8098" t="s">
        <v>28785</v>
      </c>
      <c r="AC8098" t="s">
        <v>36464</v>
      </c>
      <c r="AD8098" t="s">
        <v>43126</v>
      </c>
      <c r="AE8098">
        <v>2</v>
      </c>
      <c r="AF8098" t="s">
        <v>45547</v>
      </c>
      <c r="AG8098" t="s">
        <v>45557</v>
      </c>
      <c r="AH8098">
        <v>3</v>
      </c>
      <c r="AI8098">
        <v>2</v>
      </c>
      <c r="AJ8098">
        <v>1</v>
      </c>
      <c r="AK8098">
        <v>0</v>
      </c>
      <c r="AN8098" t="s">
        <v>7439</v>
      </c>
      <c r="AO8098">
        <v>0</v>
      </c>
      <c r="AR8098" t="s">
        <v>46379</v>
      </c>
      <c r="AS8098" t="s">
        <v>46499</v>
      </c>
      <c r="AT8098" t="s">
        <v>46694</v>
      </c>
      <c r="AU8098">
        <v>1.9</v>
      </c>
      <c r="AV8098" t="s">
        <v>838</v>
      </c>
      <c r="AW8098" t="s">
        <v>99</v>
      </c>
      <c r="AX8098" t="s">
        <v>46897</v>
      </c>
    </row>
    <row r="8099" spans="1:50">
      <c r="A8099" s="1">
        <f>HYPERLINK("https://lsnyc.legalserver.org/matter/dynamic-profile/view/1900304","19-1900304")</f>
        <v>0</v>
      </c>
      <c r="B8099" t="s">
        <v>99</v>
      </c>
      <c r="C8099" t="s">
        <v>341</v>
      </c>
      <c r="D8099" t="s">
        <v>822</v>
      </c>
      <c r="E8099" t="s">
        <v>830</v>
      </c>
      <c r="F8099" t="s">
        <v>1119</v>
      </c>
      <c r="G8099" t="s">
        <v>6500</v>
      </c>
      <c r="H8099" t="s">
        <v>15160</v>
      </c>
      <c r="I8099" t="s">
        <v>17306</v>
      </c>
      <c r="J8099" t="s">
        <v>18894</v>
      </c>
      <c r="K8099">
        <v>11206</v>
      </c>
      <c r="L8099" t="s">
        <v>18958</v>
      </c>
      <c r="M8099" t="s">
        <v>18960</v>
      </c>
      <c r="N8099" t="s">
        <v>24768</v>
      </c>
      <c r="O8099" t="s">
        <v>26524</v>
      </c>
      <c r="P8099" t="s">
        <v>26564</v>
      </c>
      <c r="Q8099" t="s">
        <v>26570</v>
      </c>
      <c r="R8099" t="s">
        <v>26586</v>
      </c>
      <c r="S8099" t="s">
        <v>18959</v>
      </c>
      <c r="U8099" t="s">
        <v>26605</v>
      </c>
      <c r="V8099" t="s">
        <v>26610</v>
      </c>
      <c r="W8099" t="s">
        <v>819</v>
      </c>
      <c r="X8099">
        <v>248</v>
      </c>
      <c r="Y8099" t="s">
        <v>26652</v>
      </c>
      <c r="Z8099" t="s">
        <v>26664</v>
      </c>
      <c r="AA8099" t="s">
        <v>26683</v>
      </c>
      <c r="AB8099" t="s">
        <v>32635</v>
      </c>
      <c r="AD8099" t="s">
        <v>43127</v>
      </c>
      <c r="AE8099">
        <v>96</v>
      </c>
      <c r="AF8099" t="s">
        <v>45549</v>
      </c>
      <c r="AG8099" t="s">
        <v>19330</v>
      </c>
      <c r="AH8099">
        <v>0</v>
      </c>
      <c r="AI8099">
        <v>1</v>
      </c>
      <c r="AJ8099">
        <v>0</v>
      </c>
      <c r="AK8099">
        <v>92.09</v>
      </c>
      <c r="AN8099" t="s">
        <v>7439</v>
      </c>
      <c r="AO8099">
        <v>11502</v>
      </c>
      <c r="AR8099" t="s">
        <v>26530</v>
      </c>
      <c r="AS8099" t="s">
        <v>46501</v>
      </c>
      <c r="AT8099" t="s">
        <v>46755</v>
      </c>
      <c r="AU8099">
        <v>0.6</v>
      </c>
      <c r="AV8099" t="s">
        <v>830</v>
      </c>
      <c r="AW8099" t="s">
        <v>281</v>
      </c>
      <c r="AX8099" t="s">
        <v>46897</v>
      </c>
    </row>
    <row r="8100" spans="1:50">
      <c r="A8100" s="1">
        <f>HYPERLINK("https://lsnyc.legalserver.org/matter/dynamic-profile/view/1900465","19-1900465")</f>
        <v>0</v>
      </c>
      <c r="B8100" t="s">
        <v>99</v>
      </c>
      <c r="C8100" t="s">
        <v>341</v>
      </c>
      <c r="D8100" t="s">
        <v>804</v>
      </c>
      <c r="E8100" t="s">
        <v>830</v>
      </c>
      <c r="F8100" t="s">
        <v>2551</v>
      </c>
      <c r="G8100" t="s">
        <v>3036</v>
      </c>
      <c r="H8100" t="s">
        <v>15161</v>
      </c>
      <c r="I8100" t="s">
        <v>17416</v>
      </c>
      <c r="J8100" t="s">
        <v>18894</v>
      </c>
      <c r="K8100">
        <v>11211</v>
      </c>
      <c r="L8100" t="s">
        <v>18958</v>
      </c>
      <c r="M8100" t="s">
        <v>18960</v>
      </c>
      <c r="N8100" t="s">
        <v>24769</v>
      </c>
      <c r="O8100" t="s">
        <v>26524</v>
      </c>
      <c r="P8100" t="s">
        <v>26564</v>
      </c>
      <c r="Q8100" t="s">
        <v>26570</v>
      </c>
      <c r="R8100" t="s">
        <v>26586</v>
      </c>
      <c r="U8100" t="s">
        <v>26604</v>
      </c>
      <c r="W8100" t="s">
        <v>819</v>
      </c>
      <c r="X8100">
        <v>200</v>
      </c>
      <c r="Y8100" t="s">
        <v>26652</v>
      </c>
      <c r="Z8100" t="s">
        <v>26664</v>
      </c>
      <c r="AA8100" t="s">
        <v>26683</v>
      </c>
      <c r="AB8100" t="s">
        <v>32636</v>
      </c>
      <c r="AD8100" t="s">
        <v>43128</v>
      </c>
      <c r="AE8100">
        <v>1</v>
      </c>
      <c r="AH8100">
        <v>1</v>
      </c>
      <c r="AI8100">
        <v>4</v>
      </c>
      <c r="AJ8100">
        <v>0</v>
      </c>
      <c r="AK8100">
        <v>0</v>
      </c>
      <c r="AN8100" t="s">
        <v>7439</v>
      </c>
      <c r="AO8100">
        <v>0</v>
      </c>
      <c r="AR8100" t="s">
        <v>26530</v>
      </c>
      <c r="AS8100" t="s">
        <v>46501</v>
      </c>
      <c r="AT8100" t="s">
        <v>46755</v>
      </c>
      <c r="AU8100">
        <v>1.6</v>
      </c>
      <c r="AV8100" t="s">
        <v>830</v>
      </c>
      <c r="AW8100" t="s">
        <v>46862</v>
      </c>
      <c r="AX8100" t="s">
        <v>46897</v>
      </c>
    </row>
    <row r="8101" spans="1:50">
      <c r="A8101" s="1">
        <f>HYPERLINK("https://lsnyc.legalserver.org/matter/dynamic-profile/view/1900601","19-1900601")</f>
        <v>0</v>
      </c>
      <c r="B8101" t="s">
        <v>99</v>
      </c>
      <c r="C8101" t="s">
        <v>341</v>
      </c>
      <c r="D8101" t="s">
        <v>806</v>
      </c>
      <c r="E8101" t="s">
        <v>830</v>
      </c>
      <c r="F8101" t="s">
        <v>4168</v>
      </c>
      <c r="G8101" t="s">
        <v>5200</v>
      </c>
      <c r="H8101" t="s">
        <v>15162</v>
      </c>
      <c r="I8101" t="s">
        <v>17416</v>
      </c>
      <c r="J8101" t="s">
        <v>18894</v>
      </c>
      <c r="K8101">
        <v>11236</v>
      </c>
      <c r="L8101" t="s">
        <v>18958</v>
      </c>
      <c r="M8101" t="s">
        <v>18960</v>
      </c>
      <c r="N8101" t="s">
        <v>24770</v>
      </c>
      <c r="O8101" t="s">
        <v>26524</v>
      </c>
      <c r="P8101" t="s">
        <v>26560</v>
      </c>
      <c r="Q8101" t="s">
        <v>26570</v>
      </c>
      <c r="R8101" t="s">
        <v>26586</v>
      </c>
      <c r="U8101" t="s">
        <v>26604</v>
      </c>
      <c r="W8101" t="s">
        <v>819</v>
      </c>
      <c r="X8101">
        <v>500</v>
      </c>
      <c r="Y8101" t="s">
        <v>26652</v>
      </c>
      <c r="Z8101" t="s">
        <v>26664</v>
      </c>
      <c r="AA8101" t="s">
        <v>26683</v>
      </c>
      <c r="AB8101" t="s">
        <v>32637</v>
      </c>
      <c r="AD8101" t="s">
        <v>43129</v>
      </c>
      <c r="AE8101">
        <v>0</v>
      </c>
      <c r="AF8101" t="s">
        <v>45547</v>
      </c>
      <c r="AG8101" t="s">
        <v>19330</v>
      </c>
      <c r="AH8101">
        <v>-1</v>
      </c>
      <c r="AI8101">
        <v>3</v>
      </c>
      <c r="AJ8101">
        <v>0</v>
      </c>
      <c r="AK8101">
        <v>64.47</v>
      </c>
      <c r="AN8101" t="s">
        <v>7439</v>
      </c>
      <c r="AO8101">
        <v>13752</v>
      </c>
      <c r="AS8101" t="s">
        <v>46501</v>
      </c>
      <c r="AT8101" t="s">
        <v>46755</v>
      </c>
      <c r="AU8101">
        <v>0.8</v>
      </c>
      <c r="AV8101" t="s">
        <v>830</v>
      </c>
      <c r="AW8101" t="s">
        <v>46853</v>
      </c>
      <c r="AX8101" t="s">
        <v>46897</v>
      </c>
    </row>
    <row r="8102" spans="1:50">
      <c r="A8102" s="1">
        <f>HYPERLINK("https://lsnyc.legalserver.org/matter/dynamic-profile/view/1896637","19-1896637")</f>
        <v>0</v>
      </c>
      <c r="B8102" t="s">
        <v>126</v>
      </c>
      <c r="C8102" t="s">
        <v>340</v>
      </c>
      <c r="D8102" t="s">
        <v>671</v>
      </c>
      <c r="F8102" t="s">
        <v>1299</v>
      </c>
      <c r="G8102" t="s">
        <v>8560</v>
      </c>
      <c r="H8102" t="s">
        <v>12132</v>
      </c>
      <c r="I8102">
        <v>4</v>
      </c>
      <c r="J8102" t="s">
        <v>18894</v>
      </c>
      <c r="K8102">
        <v>11233</v>
      </c>
      <c r="L8102" t="s">
        <v>18958</v>
      </c>
      <c r="M8102" t="s">
        <v>18959</v>
      </c>
      <c r="N8102" t="s">
        <v>24771</v>
      </c>
      <c r="O8102" t="s">
        <v>26523</v>
      </c>
      <c r="P8102" t="s">
        <v>26560</v>
      </c>
      <c r="R8102" t="s">
        <v>26578</v>
      </c>
      <c r="S8102" t="s">
        <v>18959</v>
      </c>
      <c r="U8102" t="s">
        <v>26604</v>
      </c>
      <c r="V8102" t="s">
        <v>26610</v>
      </c>
      <c r="W8102" t="s">
        <v>820</v>
      </c>
      <c r="X8102">
        <v>1477</v>
      </c>
      <c r="Y8102" t="s">
        <v>26652</v>
      </c>
      <c r="Z8102" t="s">
        <v>26659</v>
      </c>
      <c r="AB8102" t="s">
        <v>32638</v>
      </c>
      <c r="AC8102" t="s">
        <v>36465</v>
      </c>
      <c r="AD8102" t="s">
        <v>43130</v>
      </c>
      <c r="AE8102">
        <v>8</v>
      </c>
      <c r="AF8102" t="s">
        <v>45541</v>
      </c>
      <c r="AG8102" t="s">
        <v>45556</v>
      </c>
      <c r="AH8102">
        <v>4</v>
      </c>
      <c r="AI8102">
        <v>3</v>
      </c>
      <c r="AJ8102">
        <v>1</v>
      </c>
      <c r="AK8102">
        <v>15.45</v>
      </c>
      <c r="AN8102" t="s">
        <v>7439</v>
      </c>
      <c r="AO8102">
        <v>3978</v>
      </c>
      <c r="AU8102">
        <v>6</v>
      </c>
      <c r="AV8102" t="s">
        <v>835</v>
      </c>
      <c r="AW8102" t="s">
        <v>279</v>
      </c>
      <c r="AX8102" t="s">
        <v>46898</v>
      </c>
    </row>
    <row r="8103" spans="1:50">
      <c r="A8103" s="1">
        <f>HYPERLINK("https://lsnyc.legalserver.org/matter/dynamic-profile/view/1900143","19-1900143")</f>
        <v>0</v>
      </c>
      <c r="B8103" t="s">
        <v>169</v>
      </c>
      <c r="C8103" t="s">
        <v>341</v>
      </c>
      <c r="D8103" t="s">
        <v>761</v>
      </c>
      <c r="E8103" t="s">
        <v>820</v>
      </c>
      <c r="F8103" t="s">
        <v>1893</v>
      </c>
      <c r="G8103" t="s">
        <v>8561</v>
      </c>
      <c r="H8103" t="s">
        <v>12085</v>
      </c>
      <c r="I8103" t="s">
        <v>17355</v>
      </c>
      <c r="J8103" t="s">
        <v>18892</v>
      </c>
      <c r="K8103">
        <v>10468</v>
      </c>
      <c r="L8103" t="s">
        <v>18958</v>
      </c>
      <c r="M8103" t="s">
        <v>18960</v>
      </c>
      <c r="N8103" t="s">
        <v>24772</v>
      </c>
      <c r="O8103" t="s">
        <v>26534</v>
      </c>
      <c r="P8103" t="s">
        <v>26564</v>
      </c>
      <c r="Q8103" t="s">
        <v>26570</v>
      </c>
      <c r="R8103" t="s">
        <v>26578</v>
      </c>
      <c r="S8103" t="s">
        <v>18959</v>
      </c>
      <c r="U8103" t="s">
        <v>26604</v>
      </c>
      <c r="W8103" t="s">
        <v>820</v>
      </c>
      <c r="X8103">
        <v>834.53</v>
      </c>
      <c r="Y8103" t="s">
        <v>26650</v>
      </c>
      <c r="Z8103" t="s">
        <v>26668</v>
      </c>
      <c r="AA8103" t="s">
        <v>26683</v>
      </c>
      <c r="AB8103" t="s">
        <v>29602</v>
      </c>
      <c r="AE8103">
        <v>0</v>
      </c>
      <c r="AF8103" t="s">
        <v>20460</v>
      </c>
      <c r="AH8103">
        <v>43</v>
      </c>
      <c r="AI8103">
        <v>1</v>
      </c>
      <c r="AJ8103">
        <v>0</v>
      </c>
      <c r="AK8103">
        <v>520.42</v>
      </c>
      <c r="AN8103" t="s">
        <v>7439</v>
      </c>
      <c r="AO8103">
        <v>65000</v>
      </c>
      <c r="AU8103">
        <v>0.5</v>
      </c>
      <c r="AV8103" t="s">
        <v>820</v>
      </c>
      <c r="AW8103" t="s">
        <v>169</v>
      </c>
      <c r="AX8103" t="s">
        <v>46897</v>
      </c>
    </row>
    <row r="8104" spans="1:50">
      <c r="A8104" s="1">
        <f>HYPERLINK("https://lsnyc.legalserver.org/matter/dynamic-profile/view/1899554","19-1899554")</f>
        <v>0</v>
      </c>
      <c r="B8104" t="s">
        <v>174</v>
      </c>
      <c r="C8104" t="s">
        <v>340</v>
      </c>
      <c r="D8104" t="s">
        <v>813</v>
      </c>
      <c r="F8104" t="s">
        <v>4169</v>
      </c>
      <c r="G8104" t="s">
        <v>5266</v>
      </c>
      <c r="H8104" t="s">
        <v>15163</v>
      </c>
      <c r="I8104" t="s">
        <v>17312</v>
      </c>
      <c r="J8104" t="s">
        <v>18894</v>
      </c>
      <c r="K8104">
        <v>11212</v>
      </c>
      <c r="L8104" t="s">
        <v>18958</v>
      </c>
      <c r="M8104" t="s">
        <v>18960</v>
      </c>
      <c r="N8104" t="s">
        <v>24773</v>
      </c>
      <c r="O8104" t="s">
        <v>26523</v>
      </c>
      <c r="P8104" t="s">
        <v>26560</v>
      </c>
      <c r="R8104" t="s">
        <v>26578</v>
      </c>
      <c r="S8104" t="s">
        <v>18959</v>
      </c>
      <c r="U8104" t="s">
        <v>26604</v>
      </c>
      <c r="V8104" t="s">
        <v>26610</v>
      </c>
      <c r="W8104" t="s">
        <v>820</v>
      </c>
      <c r="X8104">
        <v>1984.35</v>
      </c>
      <c r="Y8104" t="s">
        <v>26652</v>
      </c>
      <c r="Z8104" t="s">
        <v>26674</v>
      </c>
      <c r="AB8104" t="s">
        <v>32639</v>
      </c>
      <c r="AC8104">
        <v>17011970</v>
      </c>
      <c r="AD8104" t="s">
        <v>43131</v>
      </c>
      <c r="AE8104">
        <v>4</v>
      </c>
      <c r="AF8104" t="s">
        <v>45547</v>
      </c>
      <c r="AG8104" t="s">
        <v>45562</v>
      </c>
      <c r="AH8104">
        <v>3</v>
      </c>
      <c r="AI8104">
        <v>1</v>
      </c>
      <c r="AJ8104">
        <v>4</v>
      </c>
      <c r="AK8104">
        <v>39.77</v>
      </c>
      <c r="AN8104" t="s">
        <v>7439</v>
      </c>
      <c r="AO8104">
        <v>12000</v>
      </c>
      <c r="AU8104">
        <v>24.8</v>
      </c>
      <c r="AV8104" t="s">
        <v>834</v>
      </c>
      <c r="AW8104" t="s">
        <v>46842</v>
      </c>
      <c r="AX8104" t="s">
        <v>46897</v>
      </c>
    </row>
    <row r="8105" spans="1:50">
      <c r="A8105" s="1">
        <f>HYPERLINK("https://lsnyc.legalserver.org/matter/dynamic-profile/view/1900149","19-1900149")</f>
        <v>0</v>
      </c>
      <c r="B8105" t="s">
        <v>169</v>
      </c>
      <c r="C8105" t="s">
        <v>341</v>
      </c>
      <c r="D8105" t="s">
        <v>820</v>
      </c>
      <c r="E8105" t="s">
        <v>820</v>
      </c>
      <c r="F8105" t="s">
        <v>1551</v>
      </c>
      <c r="G8105" t="s">
        <v>5086</v>
      </c>
      <c r="H8105" t="s">
        <v>15164</v>
      </c>
      <c r="I8105" t="s">
        <v>17355</v>
      </c>
      <c r="J8105" t="s">
        <v>18892</v>
      </c>
      <c r="K8105">
        <v>10453</v>
      </c>
      <c r="L8105" t="s">
        <v>18958</v>
      </c>
      <c r="M8105" t="s">
        <v>18960</v>
      </c>
      <c r="N8105" t="s">
        <v>19045</v>
      </c>
      <c r="O8105" t="s">
        <v>18997</v>
      </c>
      <c r="P8105" t="s">
        <v>26564</v>
      </c>
      <c r="Q8105" t="s">
        <v>26570</v>
      </c>
      <c r="R8105" t="s">
        <v>26578</v>
      </c>
      <c r="S8105" t="s">
        <v>18959</v>
      </c>
      <c r="U8105" t="s">
        <v>26604</v>
      </c>
      <c r="W8105" t="s">
        <v>820</v>
      </c>
      <c r="X8105">
        <v>0</v>
      </c>
      <c r="Y8105" t="s">
        <v>26650</v>
      </c>
      <c r="Z8105" t="s">
        <v>26663</v>
      </c>
      <c r="AA8105" t="s">
        <v>26683</v>
      </c>
      <c r="AB8105" t="s">
        <v>29970</v>
      </c>
      <c r="AE8105">
        <v>30</v>
      </c>
      <c r="AG8105" t="s">
        <v>19330</v>
      </c>
      <c r="AH8105">
        <v>0</v>
      </c>
      <c r="AI8105">
        <v>1</v>
      </c>
      <c r="AJ8105">
        <v>0</v>
      </c>
      <c r="AK8105">
        <v>228.98</v>
      </c>
      <c r="AN8105" t="s">
        <v>7439</v>
      </c>
      <c r="AO8105">
        <v>28600</v>
      </c>
      <c r="AP8105" t="s">
        <v>46083</v>
      </c>
      <c r="AU8105">
        <v>0.6</v>
      </c>
      <c r="AV8105" t="s">
        <v>820</v>
      </c>
      <c r="AW8105" t="s">
        <v>169</v>
      </c>
      <c r="AX8105" t="s">
        <v>46897</v>
      </c>
    </row>
    <row r="8106" spans="1:50">
      <c r="A8106" s="1">
        <f>HYPERLINK("https://lsnyc.legalserver.org/matter/dynamic-profile/view/1900078","19-1900078")</f>
        <v>0</v>
      </c>
      <c r="B8106" t="s">
        <v>109</v>
      </c>
      <c r="C8106" t="s">
        <v>340</v>
      </c>
      <c r="D8106" t="s">
        <v>820</v>
      </c>
      <c r="F8106" t="s">
        <v>4170</v>
      </c>
      <c r="G8106" t="s">
        <v>8562</v>
      </c>
      <c r="H8106" t="s">
        <v>15165</v>
      </c>
      <c r="J8106" t="s">
        <v>18902</v>
      </c>
      <c r="K8106">
        <v>10314</v>
      </c>
      <c r="L8106" t="s">
        <v>18958</v>
      </c>
      <c r="M8106" t="s">
        <v>18960</v>
      </c>
      <c r="N8106" t="s">
        <v>24774</v>
      </c>
      <c r="O8106" t="s">
        <v>26524</v>
      </c>
      <c r="P8106" t="s">
        <v>26560</v>
      </c>
      <c r="R8106" t="s">
        <v>26590</v>
      </c>
      <c r="S8106" t="s">
        <v>18959</v>
      </c>
      <c r="U8106" t="s">
        <v>26604</v>
      </c>
      <c r="V8106" t="s">
        <v>26610</v>
      </c>
      <c r="W8106" t="s">
        <v>820</v>
      </c>
      <c r="X8106">
        <v>1400</v>
      </c>
      <c r="Y8106" t="s">
        <v>26654</v>
      </c>
      <c r="Z8106" t="s">
        <v>26668</v>
      </c>
      <c r="AB8106" t="s">
        <v>32640</v>
      </c>
      <c r="AD8106" t="s">
        <v>43132</v>
      </c>
      <c r="AE8106">
        <v>0</v>
      </c>
      <c r="AF8106" t="s">
        <v>45547</v>
      </c>
      <c r="AH8106">
        <v>3</v>
      </c>
      <c r="AI8106">
        <v>1</v>
      </c>
      <c r="AJ8106">
        <v>1</v>
      </c>
      <c r="AK8106">
        <v>165.58</v>
      </c>
      <c r="AN8106" t="s">
        <v>7439</v>
      </c>
      <c r="AO8106">
        <v>28000</v>
      </c>
      <c r="AQ8106" t="s">
        <v>46362</v>
      </c>
      <c r="AR8106" t="s">
        <v>26530</v>
      </c>
      <c r="AU8106">
        <v>1</v>
      </c>
      <c r="AV8106" t="s">
        <v>820</v>
      </c>
      <c r="AW8106" t="s">
        <v>46883</v>
      </c>
      <c r="AX8106" t="s">
        <v>46897</v>
      </c>
    </row>
    <row r="8107" spans="1:50">
      <c r="A8107" s="1">
        <f>HYPERLINK("https://lsnyc.legalserver.org/matter/dynamic-profile/view/1900133","19-1900133")</f>
        <v>0</v>
      </c>
      <c r="B8107" t="s">
        <v>64</v>
      </c>
      <c r="C8107" t="s">
        <v>340</v>
      </c>
      <c r="D8107" t="s">
        <v>820</v>
      </c>
      <c r="F8107" t="s">
        <v>3437</v>
      </c>
      <c r="G8107" t="s">
        <v>7711</v>
      </c>
      <c r="H8107" t="s">
        <v>9662</v>
      </c>
      <c r="I8107">
        <v>1106</v>
      </c>
      <c r="J8107" t="s">
        <v>18892</v>
      </c>
      <c r="K8107">
        <v>10457</v>
      </c>
      <c r="L8107" t="s">
        <v>18958</v>
      </c>
      <c r="M8107" t="s">
        <v>18960</v>
      </c>
      <c r="N8107" t="s">
        <v>24775</v>
      </c>
      <c r="O8107" t="s">
        <v>26523</v>
      </c>
      <c r="P8107" t="s">
        <v>26560</v>
      </c>
      <c r="R8107" t="s">
        <v>26579</v>
      </c>
      <c r="S8107" t="s">
        <v>18959</v>
      </c>
      <c r="U8107" t="s">
        <v>26604</v>
      </c>
      <c r="V8107" t="s">
        <v>26610</v>
      </c>
      <c r="W8107" t="s">
        <v>820</v>
      </c>
      <c r="X8107">
        <v>0</v>
      </c>
      <c r="Y8107" t="s">
        <v>26650</v>
      </c>
      <c r="AB8107" t="s">
        <v>31128</v>
      </c>
      <c r="AC8107" t="s">
        <v>36466</v>
      </c>
      <c r="AD8107" t="s">
        <v>41298</v>
      </c>
      <c r="AE8107">
        <v>0</v>
      </c>
      <c r="AG8107" t="s">
        <v>45556</v>
      </c>
      <c r="AH8107">
        <v>7</v>
      </c>
      <c r="AI8107">
        <v>1</v>
      </c>
      <c r="AJ8107">
        <v>0</v>
      </c>
      <c r="AK8107">
        <v>80.22</v>
      </c>
      <c r="AO8107">
        <v>10020</v>
      </c>
      <c r="AU8107">
        <v>2.45</v>
      </c>
      <c r="AV8107" t="s">
        <v>804</v>
      </c>
      <c r="AW8107" t="s">
        <v>284</v>
      </c>
      <c r="AX8107" t="s">
        <v>46898</v>
      </c>
    </row>
    <row r="8108" spans="1:50">
      <c r="A8108" s="1">
        <f>HYPERLINK("https://lsnyc.legalserver.org/matter/dynamic-profile/view/1900120","19-1900120")</f>
        <v>0</v>
      </c>
      <c r="B8108" t="s">
        <v>64</v>
      </c>
      <c r="C8108" t="s">
        <v>340</v>
      </c>
      <c r="D8108" t="s">
        <v>820</v>
      </c>
      <c r="F8108" t="s">
        <v>4171</v>
      </c>
      <c r="G8108" t="s">
        <v>8563</v>
      </c>
      <c r="H8108" t="s">
        <v>15166</v>
      </c>
      <c r="J8108" t="s">
        <v>18892</v>
      </c>
      <c r="K8108">
        <v>10468</v>
      </c>
      <c r="L8108" t="s">
        <v>18958</v>
      </c>
      <c r="M8108" t="s">
        <v>18960</v>
      </c>
      <c r="N8108" t="s">
        <v>24776</v>
      </c>
      <c r="O8108" t="s">
        <v>26523</v>
      </c>
      <c r="P8108" t="s">
        <v>26560</v>
      </c>
      <c r="R8108" t="s">
        <v>26579</v>
      </c>
      <c r="U8108" t="s">
        <v>26604</v>
      </c>
      <c r="V8108" t="s">
        <v>26610</v>
      </c>
      <c r="W8108" t="s">
        <v>820</v>
      </c>
      <c r="X8108">
        <v>1190</v>
      </c>
      <c r="Y8108" t="s">
        <v>26650</v>
      </c>
      <c r="AB8108" t="s">
        <v>32501</v>
      </c>
      <c r="AD8108" t="s">
        <v>43133</v>
      </c>
      <c r="AE8108">
        <v>0</v>
      </c>
      <c r="AF8108" t="s">
        <v>45541</v>
      </c>
      <c r="AG8108" t="s">
        <v>45556</v>
      </c>
      <c r="AH8108">
        <v>12</v>
      </c>
      <c r="AI8108">
        <v>2</v>
      </c>
      <c r="AJ8108">
        <v>1</v>
      </c>
      <c r="AK8108">
        <v>187.53</v>
      </c>
      <c r="AN8108" t="s">
        <v>7439</v>
      </c>
      <c r="AO8108">
        <v>40000</v>
      </c>
      <c r="AU8108">
        <v>1</v>
      </c>
      <c r="AV8108" t="s">
        <v>827</v>
      </c>
      <c r="AW8108" t="s">
        <v>335</v>
      </c>
      <c r="AX8108" t="s">
        <v>46897</v>
      </c>
    </row>
    <row r="8109" spans="1:50">
      <c r="A8109" s="1">
        <f>HYPERLINK("https://lsnyc.legalserver.org/matter/dynamic-profile/view/1900111","19-1900111")</f>
        <v>0</v>
      </c>
      <c r="B8109" t="s">
        <v>121</v>
      </c>
      <c r="C8109" t="s">
        <v>340</v>
      </c>
      <c r="D8109" t="s">
        <v>820</v>
      </c>
      <c r="F8109" t="s">
        <v>4172</v>
      </c>
      <c r="G8109" t="s">
        <v>5075</v>
      </c>
      <c r="H8109" t="s">
        <v>15167</v>
      </c>
      <c r="I8109" t="s">
        <v>17274</v>
      </c>
      <c r="J8109" t="s">
        <v>18892</v>
      </c>
      <c r="K8109">
        <v>10452</v>
      </c>
      <c r="L8109" t="s">
        <v>18958</v>
      </c>
      <c r="M8109" t="s">
        <v>18960</v>
      </c>
      <c r="N8109" t="s">
        <v>24777</v>
      </c>
      <c r="O8109" t="s">
        <v>26523</v>
      </c>
      <c r="P8109" t="s">
        <v>26560</v>
      </c>
      <c r="R8109" t="s">
        <v>26577</v>
      </c>
      <c r="U8109" t="s">
        <v>26604</v>
      </c>
      <c r="W8109" t="s">
        <v>820</v>
      </c>
      <c r="X8109">
        <v>1202</v>
      </c>
      <c r="Y8109" t="s">
        <v>26650</v>
      </c>
      <c r="AB8109" t="s">
        <v>32641</v>
      </c>
      <c r="AC8109" t="s">
        <v>36467</v>
      </c>
      <c r="AD8109" t="s">
        <v>43134</v>
      </c>
      <c r="AE8109">
        <v>0</v>
      </c>
      <c r="AF8109" t="s">
        <v>45541</v>
      </c>
      <c r="AG8109" t="s">
        <v>45558</v>
      </c>
      <c r="AH8109">
        <v>5</v>
      </c>
      <c r="AI8109">
        <v>2</v>
      </c>
      <c r="AJ8109">
        <v>2</v>
      </c>
      <c r="AK8109">
        <v>40.78</v>
      </c>
      <c r="AN8109" t="s">
        <v>7439</v>
      </c>
      <c r="AO8109">
        <v>10500</v>
      </c>
      <c r="AU8109">
        <v>4.9</v>
      </c>
      <c r="AV8109" t="s">
        <v>773</v>
      </c>
      <c r="AW8109" t="s">
        <v>335</v>
      </c>
      <c r="AX8109" t="s">
        <v>46897</v>
      </c>
    </row>
    <row r="8110" spans="1:50">
      <c r="A8110" s="1">
        <f>HYPERLINK("https://lsnyc.legalserver.org/matter/dynamic-profile/view/1900030","19-1900030")</f>
        <v>0</v>
      </c>
      <c r="B8110" t="s">
        <v>104</v>
      </c>
      <c r="C8110" t="s">
        <v>341</v>
      </c>
      <c r="D8110" t="s">
        <v>823</v>
      </c>
      <c r="E8110" t="s">
        <v>772</v>
      </c>
      <c r="F8110" t="s">
        <v>4173</v>
      </c>
      <c r="G8110" t="s">
        <v>8564</v>
      </c>
      <c r="H8110" t="s">
        <v>15168</v>
      </c>
      <c r="I8110">
        <v>1</v>
      </c>
      <c r="J8110" t="s">
        <v>18902</v>
      </c>
      <c r="K8110">
        <v>10305</v>
      </c>
      <c r="L8110" t="s">
        <v>18958</v>
      </c>
      <c r="M8110" t="s">
        <v>18960</v>
      </c>
      <c r="N8110" t="s">
        <v>24778</v>
      </c>
      <c r="O8110" t="s">
        <v>18997</v>
      </c>
      <c r="P8110" t="s">
        <v>26564</v>
      </c>
      <c r="Q8110" t="s">
        <v>26570</v>
      </c>
      <c r="R8110" t="s">
        <v>26587</v>
      </c>
      <c r="S8110" t="s">
        <v>18959</v>
      </c>
      <c r="U8110" t="s">
        <v>26604</v>
      </c>
      <c r="V8110" t="s">
        <v>26612</v>
      </c>
      <c r="W8110" t="s">
        <v>820</v>
      </c>
      <c r="X8110">
        <v>1000</v>
      </c>
      <c r="Y8110" t="s">
        <v>26654</v>
      </c>
      <c r="Z8110" t="s">
        <v>26674</v>
      </c>
      <c r="AA8110" t="s">
        <v>26683</v>
      </c>
      <c r="AB8110" t="s">
        <v>31714</v>
      </c>
      <c r="AD8110" t="s">
        <v>43135</v>
      </c>
      <c r="AE8110">
        <v>3</v>
      </c>
      <c r="AG8110" t="s">
        <v>45557</v>
      </c>
      <c r="AH8110">
        <v>6</v>
      </c>
      <c r="AI8110">
        <v>1</v>
      </c>
      <c r="AJ8110">
        <v>1</v>
      </c>
      <c r="AK8110">
        <v>113.78</v>
      </c>
      <c r="AN8110" t="s">
        <v>7439</v>
      </c>
      <c r="AO8110">
        <v>19239.96</v>
      </c>
      <c r="AR8110" t="s">
        <v>26530</v>
      </c>
      <c r="AU8110">
        <v>0.5</v>
      </c>
      <c r="AV8110" t="s">
        <v>823</v>
      </c>
      <c r="AW8110" t="s">
        <v>46883</v>
      </c>
      <c r="AX8110" t="s">
        <v>46897</v>
      </c>
    </row>
    <row r="8111" spans="1:50">
      <c r="A8111" s="1">
        <f>HYPERLINK("https://lsnyc.legalserver.org/matter/dynamic-profile/view/1899846","19-1899846")</f>
        <v>0</v>
      </c>
      <c r="B8111" t="s">
        <v>55</v>
      </c>
      <c r="C8111" t="s">
        <v>340</v>
      </c>
      <c r="D8111" t="s">
        <v>805</v>
      </c>
      <c r="F8111" t="s">
        <v>1244</v>
      </c>
      <c r="G8111" t="s">
        <v>8151</v>
      </c>
      <c r="H8111" t="s">
        <v>12199</v>
      </c>
      <c r="I8111" t="s">
        <v>17299</v>
      </c>
      <c r="J8111" t="s">
        <v>18892</v>
      </c>
      <c r="K8111">
        <v>10460</v>
      </c>
      <c r="L8111" t="s">
        <v>18958</v>
      </c>
      <c r="M8111" t="s">
        <v>18960</v>
      </c>
      <c r="N8111" t="s">
        <v>19045</v>
      </c>
      <c r="O8111" t="s">
        <v>18997</v>
      </c>
      <c r="P8111" t="s">
        <v>26562</v>
      </c>
      <c r="R8111" t="s">
        <v>26578</v>
      </c>
      <c r="S8111" t="s">
        <v>18959</v>
      </c>
      <c r="U8111" t="s">
        <v>26604</v>
      </c>
      <c r="W8111" t="s">
        <v>865</v>
      </c>
      <c r="X8111">
        <v>1100</v>
      </c>
      <c r="Y8111" t="s">
        <v>26650</v>
      </c>
      <c r="Z8111" t="s">
        <v>26663</v>
      </c>
      <c r="AB8111" t="s">
        <v>31940</v>
      </c>
      <c r="AD8111" t="s">
        <v>42237</v>
      </c>
      <c r="AE8111">
        <v>168</v>
      </c>
      <c r="AF8111" t="s">
        <v>45541</v>
      </c>
      <c r="AG8111" t="s">
        <v>45556</v>
      </c>
      <c r="AH8111">
        <v>3</v>
      </c>
      <c r="AI8111">
        <v>2</v>
      </c>
      <c r="AJ8111">
        <v>0</v>
      </c>
      <c r="AK8111">
        <v>175.35</v>
      </c>
      <c r="AN8111" t="s">
        <v>7439</v>
      </c>
      <c r="AO8111">
        <v>29652</v>
      </c>
      <c r="AU8111">
        <v>0</v>
      </c>
      <c r="AW8111" t="s">
        <v>336</v>
      </c>
      <c r="AX8111" t="s">
        <v>46897</v>
      </c>
    </row>
    <row r="8112" spans="1:50">
      <c r="A8112" s="1">
        <f>HYPERLINK("https://lsnyc.legalserver.org/matter/dynamic-profile/view/1896403","19-1896403")</f>
        <v>0</v>
      </c>
      <c r="B8112" t="s">
        <v>200</v>
      </c>
      <c r="C8112" t="s">
        <v>340</v>
      </c>
      <c r="D8112" t="s">
        <v>724</v>
      </c>
      <c r="F8112" t="s">
        <v>3806</v>
      </c>
      <c r="G8112" t="s">
        <v>8565</v>
      </c>
      <c r="H8112" t="s">
        <v>15169</v>
      </c>
      <c r="I8112" t="s">
        <v>17449</v>
      </c>
      <c r="J8112" t="s">
        <v>18894</v>
      </c>
      <c r="K8112">
        <v>11207</v>
      </c>
      <c r="L8112" t="s">
        <v>18958</v>
      </c>
      <c r="M8112" t="s">
        <v>18958</v>
      </c>
      <c r="N8112" t="s">
        <v>24779</v>
      </c>
      <c r="O8112" t="s">
        <v>26523</v>
      </c>
      <c r="P8112" t="s">
        <v>26560</v>
      </c>
      <c r="R8112" t="s">
        <v>26578</v>
      </c>
      <c r="S8112" t="s">
        <v>18959</v>
      </c>
      <c r="U8112" t="s">
        <v>26604</v>
      </c>
      <c r="W8112" t="s">
        <v>823</v>
      </c>
      <c r="X8112">
        <v>1699</v>
      </c>
      <c r="Y8112" t="s">
        <v>26652</v>
      </c>
      <c r="Z8112" t="s">
        <v>26668</v>
      </c>
      <c r="AB8112" t="s">
        <v>32642</v>
      </c>
      <c r="AD8112" t="s">
        <v>43136</v>
      </c>
      <c r="AE8112">
        <v>168</v>
      </c>
      <c r="AF8112" t="s">
        <v>45552</v>
      </c>
      <c r="AG8112" t="s">
        <v>45563</v>
      </c>
      <c r="AH8112">
        <v>23</v>
      </c>
      <c r="AI8112">
        <v>1</v>
      </c>
      <c r="AJ8112">
        <v>0</v>
      </c>
      <c r="AK8112">
        <v>0</v>
      </c>
      <c r="AN8112" t="s">
        <v>7439</v>
      </c>
      <c r="AO8112">
        <v>0</v>
      </c>
      <c r="AU8112">
        <v>10.5</v>
      </c>
      <c r="AV8112" t="s">
        <v>839</v>
      </c>
      <c r="AW8112" t="s">
        <v>46841</v>
      </c>
      <c r="AX8112" t="s">
        <v>46897</v>
      </c>
    </row>
    <row r="8113" spans="1:50">
      <c r="A8113" s="1">
        <f>HYPERLINK("https://lsnyc.legalserver.org/matter/dynamic-profile/view/1897241","19-1897241")</f>
        <v>0</v>
      </c>
      <c r="B8113" t="s">
        <v>262</v>
      </c>
      <c r="C8113" t="s">
        <v>341</v>
      </c>
      <c r="D8113" t="s">
        <v>760</v>
      </c>
      <c r="E8113" t="s">
        <v>833</v>
      </c>
      <c r="F8113" t="s">
        <v>1253</v>
      </c>
      <c r="G8113" t="s">
        <v>8566</v>
      </c>
      <c r="H8113" t="s">
        <v>15170</v>
      </c>
      <c r="I8113" t="s">
        <v>17275</v>
      </c>
      <c r="J8113" t="s">
        <v>18892</v>
      </c>
      <c r="K8113">
        <v>10458</v>
      </c>
      <c r="L8113" t="s">
        <v>18958</v>
      </c>
      <c r="M8113" t="s">
        <v>18958</v>
      </c>
      <c r="N8113" t="s">
        <v>24780</v>
      </c>
      <c r="O8113" t="s">
        <v>26524</v>
      </c>
      <c r="P8113" t="s">
        <v>26564</v>
      </c>
      <c r="Q8113" t="s">
        <v>26570</v>
      </c>
      <c r="R8113" t="s">
        <v>26577</v>
      </c>
      <c r="S8113" t="s">
        <v>18959</v>
      </c>
      <c r="U8113" t="s">
        <v>26604</v>
      </c>
      <c r="V8113" t="s">
        <v>26609</v>
      </c>
      <c r="W8113" t="s">
        <v>823</v>
      </c>
      <c r="X8113">
        <v>569</v>
      </c>
      <c r="Y8113" t="s">
        <v>26650</v>
      </c>
      <c r="Z8113" t="s">
        <v>26668</v>
      </c>
      <c r="AA8113" t="s">
        <v>26679</v>
      </c>
      <c r="AB8113" t="s">
        <v>32643</v>
      </c>
      <c r="AD8113" t="s">
        <v>43137</v>
      </c>
      <c r="AE8113">
        <v>28</v>
      </c>
      <c r="AF8113" t="s">
        <v>45547</v>
      </c>
      <c r="AG8113" t="s">
        <v>19330</v>
      </c>
      <c r="AH8113">
        <v>3</v>
      </c>
      <c r="AI8113">
        <v>2</v>
      </c>
      <c r="AJ8113">
        <v>0</v>
      </c>
      <c r="AK8113">
        <v>277.94</v>
      </c>
      <c r="AN8113" t="s">
        <v>7439</v>
      </c>
      <c r="AO8113">
        <v>47000</v>
      </c>
      <c r="AU8113">
        <v>1.9</v>
      </c>
      <c r="AV8113" t="s">
        <v>833</v>
      </c>
      <c r="AW8113" t="s">
        <v>46870</v>
      </c>
      <c r="AX8113" t="s">
        <v>46897</v>
      </c>
    </row>
    <row r="8114" spans="1:50">
      <c r="A8114" s="1">
        <f>HYPERLINK("https://lsnyc.legalserver.org/matter/dynamic-profile/view/1897962","19-1897962")</f>
        <v>0</v>
      </c>
      <c r="B8114" t="s">
        <v>130</v>
      </c>
      <c r="C8114" t="s">
        <v>341</v>
      </c>
      <c r="D8114" t="s">
        <v>766</v>
      </c>
      <c r="E8114" t="s">
        <v>808</v>
      </c>
      <c r="F8114" t="s">
        <v>1145</v>
      </c>
      <c r="G8114" t="s">
        <v>5514</v>
      </c>
      <c r="H8114" t="s">
        <v>15171</v>
      </c>
      <c r="J8114" t="s">
        <v>18923</v>
      </c>
      <c r="K8114">
        <v>11418</v>
      </c>
      <c r="L8114" t="s">
        <v>18958</v>
      </c>
      <c r="M8114" t="s">
        <v>18958</v>
      </c>
      <c r="N8114" t="s">
        <v>24346</v>
      </c>
      <c r="O8114" t="s">
        <v>26524</v>
      </c>
      <c r="P8114" t="s">
        <v>26564</v>
      </c>
      <c r="Q8114" t="s">
        <v>26570</v>
      </c>
      <c r="R8114" t="s">
        <v>26584</v>
      </c>
      <c r="S8114" t="s">
        <v>18959</v>
      </c>
      <c r="U8114" t="s">
        <v>26604</v>
      </c>
      <c r="V8114" t="s">
        <v>26610</v>
      </c>
      <c r="W8114" t="s">
        <v>823</v>
      </c>
      <c r="X8114">
        <v>400</v>
      </c>
      <c r="Y8114" t="s">
        <v>26653</v>
      </c>
      <c r="Z8114" t="s">
        <v>26664</v>
      </c>
      <c r="AA8114" t="s">
        <v>26683</v>
      </c>
      <c r="AB8114" t="s">
        <v>32644</v>
      </c>
      <c r="AD8114" t="s">
        <v>43138</v>
      </c>
      <c r="AE8114">
        <v>3</v>
      </c>
      <c r="AF8114" t="s">
        <v>45547</v>
      </c>
      <c r="AG8114" t="s">
        <v>19330</v>
      </c>
      <c r="AH8114">
        <v>1</v>
      </c>
      <c r="AI8114">
        <v>1</v>
      </c>
      <c r="AJ8114">
        <v>1</v>
      </c>
      <c r="AK8114">
        <v>60.82</v>
      </c>
      <c r="AN8114" t="s">
        <v>7439</v>
      </c>
      <c r="AO8114">
        <v>10284</v>
      </c>
      <c r="AU8114">
        <v>1.95</v>
      </c>
      <c r="AV8114" t="s">
        <v>808</v>
      </c>
      <c r="AW8114" t="s">
        <v>130</v>
      </c>
      <c r="AX8114" t="s">
        <v>46897</v>
      </c>
    </row>
    <row r="8115" spans="1:50">
      <c r="A8115" s="1">
        <f>HYPERLINK("https://lsnyc.legalserver.org/matter/dynamic-profile/view/1895154","19-1895154")</f>
        <v>0</v>
      </c>
      <c r="B8115" t="s">
        <v>105</v>
      </c>
      <c r="C8115" t="s">
        <v>341</v>
      </c>
      <c r="D8115" t="s">
        <v>823</v>
      </c>
      <c r="E8115" t="s">
        <v>823</v>
      </c>
      <c r="F8115" t="s">
        <v>4174</v>
      </c>
      <c r="G8115" t="s">
        <v>8567</v>
      </c>
      <c r="J8115" t="s">
        <v>18948</v>
      </c>
      <c r="K8115">
        <v>11362</v>
      </c>
      <c r="L8115" t="s">
        <v>18958</v>
      </c>
      <c r="M8115" t="s">
        <v>18960</v>
      </c>
      <c r="N8115" t="s">
        <v>24781</v>
      </c>
      <c r="O8115" t="s">
        <v>26524</v>
      </c>
      <c r="P8115" t="s">
        <v>26564</v>
      </c>
      <c r="Q8115" t="s">
        <v>26570</v>
      </c>
      <c r="R8115" t="s">
        <v>26584</v>
      </c>
      <c r="S8115" t="s">
        <v>18959</v>
      </c>
      <c r="U8115" t="s">
        <v>26604</v>
      </c>
      <c r="V8115" t="s">
        <v>26610</v>
      </c>
      <c r="W8115" t="s">
        <v>823</v>
      </c>
      <c r="X8115">
        <v>1050</v>
      </c>
      <c r="Y8115" t="s">
        <v>26653</v>
      </c>
      <c r="Z8115" t="s">
        <v>26664</v>
      </c>
      <c r="AA8115" t="s">
        <v>26683</v>
      </c>
      <c r="AB8115" t="s">
        <v>29882</v>
      </c>
      <c r="AC8115" t="s">
        <v>36468</v>
      </c>
      <c r="AD8115" t="s">
        <v>43139</v>
      </c>
      <c r="AE8115">
        <v>3</v>
      </c>
      <c r="AF8115" t="s">
        <v>45547</v>
      </c>
      <c r="AG8115" t="s">
        <v>26530</v>
      </c>
      <c r="AH8115">
        <v>19</v>
      </c>
      <c r="AI8115">
        <v>1</v>
      </c>
      <c r="AJ8115">
        <v>0</v>
      </c>
      <c r="AK8115">
        <v>0</v>
      </c>
      <c r="AO8115">
        <v>0</v>
      </c>
      <c r="AU8115">
        <v>1.01</v>
      </c>
      <c r="AV8115" t="s">
        <v>724</v>
      </c>
      <c r="AW8115" t="s">
        <v>247</v>
      </c>
      <c r="AX8115" t="s">
        <v>46897</v>
      </c>
    </row>
    <row r="8116" spans="1:50">
      <c r="A8116" s="1">
        <f>HYPERLINK("https://lsnyc.legalserver.org/matter/dynamic-profile/view/1895164","19-1895164")</f>
        <v>0</v>
      </c>
      <c r="B8116" t="s">
        <v>105</v>
      </c>
      <c r="C8116" t="s">
        <v>341</v>
      </c>
      <c r="D8116" t="s">
        <v>823</v>
      </c>
      <c r="E8116" t="s">
        <v>823</v>
      </c>
      <c r="F8116" t="s">
        <v>1244</v>
      </c>
      <c r="G8116" t="s">
        <v>5125</v>
      </c>
      <c r="J8116" t="s">
        <v>18918</v>
      </c>
      <c r="K8116">
        <v>11417</v>
      </c>
      <c r="L8116" t="s">
        <v>18958</v>
      </c>
      <c r="M8116" t="s">
        <v>18960</v>
      </c>
      <c r="N8116" t="s">
        <v>24782</v>
      </c>
      <c r="O8116" t="s">
        <v>26524</v>
      </c>
      <c r="P8116" t="s">
        <v>26564</v>
      </c>
      <c r="Q8116" t="s">
        <v>26570</v>
      </c>
      <c r="R8116" t="s">
        <v>26584</v>
      </c>
      <c r="S8116" t="s">
        <v>18959</v>
      </c>
      <c r="U8116" t="s">
        <v>26604</v>
      </c>
      <c r="W8116" t="s">
        <v>823</v>
      </c>
      <c r="X8116">
        <v>1690</v>
      </c>
      <c r="Y8116" t="s">
        <v>26653</v>
      </c>
      <c r="Z8116" t="s">
        <v>26664</v>
      </c>
      <c r="AA8116" t="s">
        <v>26683</v>
      </c>
      <c r="AB8116" t="s">
        <v>32645</v>
      </c>
      <c r="AC8116" t="s">
        <v>19045</v>
      </c>
      <c r="AD8116" t="s">
        <v>43140</v>
      </c>
      <c r="AE8116">
        <v>3</v>
      </c>
      <c r="AF8116" t="s">
        <v>45547</v>
      </c>
      <c r="AG8116" t="s">
        <v>19330</v>
      </c>
      <c r="AH8116">
        <v>24</v>
      </c>
      <c r="AI8116">
        <v>2</v>
      </c>
      <c r="AJ8116">
        <v>1</v>
      </c>
      <c r="AK8116">
        <v>112.52</v>
      </c>
      <c r="AO8116">
        <v>24000</v>
      </c>
      <c r="AU8116">
        <v>2.75</v>
      </c>
      <c r="AV8116" t="s">
        <v>813</v>
      </c>
      <c r="AW8116" t="s">
        <v>247</v>
      </c>
      <c r="AX8116" t="s">
        <v>46897</v>
      </c>
    </row>
    <row r="8117" spans="1:50">
      <c r="A8117" s="1">
        <f>HYPERLINK("https://lsnyc.legalserver.org/matter/dynamic-profile/view/1900209","19-1900209")</f>
        <v>0</v>
      </c>
      <c r="B8117" t="s">
        <v>122</v>
      </c>
      <c r="C8117" t="s">
        <v>341</v>
      </c>
      <c r="D8117" t="s">
        <v>823</v>
      </c>
      <c r="E8117" t="s">
        <v>804</v>
      </c>
      <c r="F8117" t="s">
        <v>953</v>
      </c>
      <c r="G8117" t="s">
        <v>8568</v>
      </c>
      <c r="H8117" t="s">
        <v>15172</v>
      </c>
      <c r="I8117" t="s">
        <v>17334</v>
      </c>
      <c r="J8117" t="s">
        <v>18901</v>
      </c>
      <c r="K8117">
        <v>11435</v>
      </c>
      <c r="L8117" t="s">
        <v>18958</v>
      </c>
      <c r="M8117" t="s">
        <v>18960</v>
      </c>
      <c r="N8117" t="s">
        <v>24783</v>
      </c>
      <c r="O8117" t="s">
        <v>26526</v>
      </c>
      <c r="P8117" t="s">
        <v>26565</v>
      </c>
      <c r="Q8117" t="s">
        <v>26571</v>
      </c>
      <c r="R8117" t="s">
        <v>26578</v>
      </c>
      <c r="S8117" t="s">
        <v>18959</v>
      </c>
      <c r="U8117" t="s">
        <v>26604</v>
      </c>
      <c r="W8117" t="s">
        <v>823</v>
      </c>
      <c r="X8117">
        <v>1600</v>
      </c>
      <c r="Y8117" t="s">
        <v>26653</v>
      </c>
      <c r="Z8117" t="s">
        <v>26664</v>
      </c>
      <c r="AA8117" t="s">
        <v>26683</v>
      </c>
      <c r="AB8117" t="s">
        <v>29910</v>
      </c>
      <c r="AC8117" t="s">
        <v>36469</v>
      </c>
      <c r="AD8117" t="s">
        <v>43141</v>
      </c>
      <c r="AE8117">
        <v>8</v>
      </c>
      <c r="AF8117" t="s">
        <v>20460</v>
      </c>
      <c r="AG8117" t="s">
        <v>19330</v>
      </c>
      <c r="AH8117">
        <v>1</v>
      </c>
      <c r="AI8117">
        <v>2</v>
      </c>
      <c r="AJ8117">
        <v>0</v>
      </c>
      <c r="AK8117">
        <v>39.57</v>
      </c>
      <c r="AN8117" t="s">
        <v>7439</v>
      </c>
      <c r="AO8117">
        <v>6692</v>
      </c>
      <c r="AU8117">
        <v>3.3</v>
      </c>
      <c r="AV8117" t="s">
        <v>825</v>
      </c>
      <c r="AW8117" t="s">
        <v>122</v>
      </c>
      <c r="AX8117" t="s">
        <v>46897</v>
      </c>
    </row>
    <row r="8118" spans="1:50">
      <c r="A8118" s="1">
        <f>HYPERLINK("https://lsnyc.legalserver.org/matter/dynamic-profile/view/1900277","19-1900277")</f>
        <v>0</v>
      </c>
      <c r="B8118" t="s">
        <v>106</v>
      </c>
      <c r="C8118" t="s">
        <v>341</v>
      </c>
      <c r="D8118" t="s">
        <v>823</v>
      </c>
      <c r="E8118" t="s">
        <v>797</v>
      </c>
      <c r="F8118" t="s">
        <v>3692</v>
      </c>
      <c r="G8118" t="s">
        <v>5295</v>
      </c>
      <c r="H8118" t="s">
        <v>14296</v>
      </c>
      <c r="I8118" t="s">
        <v>17420</v>
      </c>
      <c r="J8118" t="s">
        <v>18894</v>
      </c>
      <c r="K8118">
        <v>11212</v>
      </c>
      <c r="L8118" t="s">
        <v>18958</v>
      </c>
      <c r="M8118" t="s">
        <v>18960</v>
      </c>
      <c r="N8118" t="s">
        <v>24784</v>
      </c>
      <c r="O8118" t="s">
        <v>26523</v>
      </c>
      <c r="P8118" t="s">
        <v>26560</v>
      </c>
      <c r="Q8118" t="s">
        <v>26573</v>
      </c>
      <c r="R8118" t="s">
        <v>26586</v>
      </c>
      <c r="S8118" t="s">
        <v>18959</v>
      </c>
      <c r="U8118" t="s">
        <v>26605</v>
      </c>
      <c r="V8118" t="s">
        <v>26610</v>
      </c>
      <c r="W8118" t="s">
        <v>823</v>
      </c>
      <c r="X8118">
        <v>473</v>
      </c>
      <c r="Y8118" t="s">
        <v>26652</v>
      </c>
      <c r="Z8118" t="s">
        <v>26659</v>
      </c>
      <c r="AA8118" t="s">
        <v>26680</v>
      </c>
      <c r="AB8118" t="s">
        <v>31710</v>
      </c>
      <c r="AD8118" t="s">
        <v>41963</v>
      </c>
      <c r="AE8118">
        <v>0</v>
      </c>
      <c r="AF8118" t="s">
        <v>45549</v>
      </c>
      <c r="AH8118">
        <v>0</v>
      </c>
      <c r="AI8118">
        <v>2</v>
      </c>
      <c r="AJ8118">
        <v>4</v>
      </c>
      <c r="AK8118">
        <v>13.88</v>
      </c>
      <c r="AN8118" t="s">
        <v>7439</v>
      </c>
      <c r="AO8118">
        <v>4800</v>
      </c>
      <c r="AS8118" t="s">
        <v>46499</v>
      </c>
      <c r="AT8118" t="s">
        <v>46793</v>
      </c>
      <c r="AU8118">
        <v>1.8</v>
      </c>
      <c r="AV8118" t="s">
        <v>797</v>
      </c>
      <c r="AW8118" t="s">
        <v>106</v>
      </c>
    </row>
    <row r="8119" spans="1:50">
      <c r="A8119" s="1">
        <f>HYPERLINK("https://lsnyc.legalserver.org/matter/dynamic-profile/view/1900197","19-1900197")</f>
        <v>0</v>
      </c>
      <c r="B8119" t="s">
        <v>136</v>
      </c>
      <c r="C8119" t="s">
        <v>340</v>
      </c>
      <c r="D8119" t="s">
        <v>823</v>
      </c>
      <c r="F8119" t="s">
        <v>4175</v>
      </c>
      <c r="G8119" t="s">
        <v>5189</v>
      </c>
      <c r="H8119" t="s">
        <v>15173</v>
      </c>
      <c r="I8119" t="s">
        <v>17277</v>
      </c>
      <c r="J8119" t="s">
        <v>18892</v>
      </c>
      <c r="K8119">
        <v>10457</v>
      </c>
      <c r="L8119" t="s">
        <v>18958</v>
      </c>
      <c r="M8119" t="s">
        <v>18960</v>
      </c>
      <c r="N8119" t="s">
        <v>24785</v>
      </c>
      <c r="O8119" t="s">
        <v>26523</v>
      </c>
      <c r="P8119" t="s">
        <v>26560</v>
      </c>
      <c r="R8119" t="s">
        <v>26579</v>
      </c>
      <c r="S8119" t="s">
        <v>18959</v>
      </c>
      <c r="U8119" t="s">
        <v>26604</v>
      </c>
      <c r="V8119" t="s">
        <v>26610</v>
      </c>
      <c r="W8119" t="s">
        <v>823</v>
      </c>
      <c r="X8119">
        <v>1750</v>
      </c>
      <c r="Y8119" t="s">
        <v>26650</v>
      </c>
      <c r="Z8119" t="s">
        <v>26659</v>
      </c>
      <c r="AB8119" t="s">
        <v>32646</v>
      </c>
      <c r="AC8119" t="s">
        <v>36470</v>
      </c>
      <c r="AD8119" t="s">
        <v>43142</v>
      </c>
      <c r="AE8119">
        <v>45</v>
      </c>
      <c r="AF8119" t="s">
        <v>20460</v>
      </c>
      <c r="AG8119" t="s">
        <v>45558</v>
      </c>
      <c r="AH8119">
        <v>6</v>
      </c>
      <c r="AI8119">
        <v>1</v>
      </c>
      <c r="AJ8119">
        <v>3</v>
      </c>
      <c r="AK8119">
        <v>19.18</v>
      </c>
      <c r="AO8119">
        <v>4940</v>
      </c>
      <c r="AU8119">
        <v>1.5</v>
      </c>
      <c r="AV8119" t="s">
        <v>823</v>
      </c>
      <c r="AW8119" t="s">
        <v>335</v>
      </c>
      <c r="AX8119" t="s">
        <v>46898</v>
      </c>
    </row>
    <row r="8120" spans="1:50">
      <c r="A8120" s="1">
        <f>HYPERLINK("https://lsnyc.legalserver.org/matter/dynamic-profile/view/1900185","19-1900185")</f>
        <v>0</v>
      </c>
      <c r="B8120" t="s">
        <v>131</v>
      </c>
      <c r="C8120" t="s">
        <v>340</v>
      </c>
      <c r="D8120" t="s">
        <v>823</v>
      </c>
      <c r="F8120" t="s">
        <v>4176</v>
      </c>
      <c r="G8120" t="s">
        <v>7605</v>
      </c>
      <c r="H8120" t="s">
        <v>15174</v>
      </c>
      <c r="I8120" t="s">
        <v>17374</v>
      </c>
      <c r="J8120" t="s">
        <v>18902</v>
      </c>
      <c r="K8120">
        <v>10303</v>
      </c>
      <c r="L8120" t="s">
        <v>18958</v>
      </c>
      <c r="M8120" t="s">
        <v>18960</v>
      </c>
      <c r="N8120" t="s">
        <v>24786</v>
      </c>
      <c r="O8120" t="s">
        <v>26533</v>
      </c>
      <c r="R8120" t="s">
        <v>26590</v>
      </c>
      <c r="S8120" t="s">
        <v>18959</v>
      </c>
      <c r="U8120" t="s">
        <v>26604</v>
      </c>
      <c r="V8120" t="s">
        <v>26610</v>
      </c>
      <c r="W8120" t="s">
        <v>823</v>
      </c>
      <c r="X8120">
        <v>1500</v>
      </c>
      <c r="Y8120" t="s">
        <v>26654</v>
      </c>
      <c r="Z8120" t="s">
        <v>26668</v>
      </c>
      <c r="AB8120" t="s">
        <v>32647</v>
      </c>
      <c r="AD8120" t="s">
        <v>43143</v>
      </c>
      <c r="AE8120">
        <v>2</v>
      </c>
      <c r="AF8120" t="s">
        <v>45547</v>
      </c>
      <c r="AG8120" t="s">
        <v>26530</v>
      </c>
      <c r="AH8120">
        <v>-1</v>
      </c>
      <c r="AI8120">
        <v>1</v>
      </c>
      <c r="AJ8120">
        <v>0</v>
      </c>
      <c r="AK8120">
        <v>98.95999999999999</v>
      </c>
      <c r="AN8120" t="s">
        <v>7439</v>
      </c>
      <c r="AO8120">
        <v>12360</v>
      </c>
      <c r="AU8120">
        <v>3.4</v>
      </c>
      <c r="AV8120" t="s">
        <v>835</v>
      </c>
      <c r="AW8120" t="s">
        <v>46883</v>
      </c>
      <c r="AX8120" t="s">
        <v>46897</v>
      </c>
    </row>
    <row r="8121" spans="1:50">
      <c r="A8121" s="1">
        <f>HYPERLINK("https://lsnyc.legalserver.org/matter/dynamic-profile/view/1900176","19-1900176")</f>
        <v>0</v>
      </c>
      <c r="B8121" t="s">
        <v>103</v>
      </c>
      <c r="C8121" t="s">
        <v>340</v>
      </c>
      <c r="D8121" t="s">
        <v>823</v>
      </c>
      <c r="F8121" t="s">
        <v>991</v>
      </c>
      <c r="G8121" t="s">
        <v>8569</v>
      </c>
      <c r="H8121" t="s">
        <v>15175</v>
      </c>
      <c r="I8121" t="s">
        <v>18531</v>
      </c>
      <c r="J8121" t="s">
        <v>18902</v>
      </c>
      <c r="K8121">
        <v>10303</v>
      </c>
      <c r="L8121" t="s">
        <v>18958</v>
      </c>
      <c r="M8121" t="s">
        <v>18960</v>
      </c>
      <c r="N8121" t="s">
        <v>24787</v>
      </c>
      <c r="O8121" t="s">
        <v>26523</v>
      </c>
      <c r="P8121" t="s">
        <v>26560</v>
      </c>
      <c r="R8121" t="s">
        <v>26590</v>
      </c>
      <c r="S8121" t="s">
        <v>18959</v>
      </c>
      <c r="U8121" t="s">
        <v>26604</v>
      </c>
      <c r="V8121" t="s">
        <v>26610</v>
      </c>
      <c r="W8121" t="s">
        <v>823</v>
      </c>
      <c r="X8121">
        <v>950</v>
      </c>
      <c r="Y8121" t="s">
        <v>26654</v>
      </c>
      <c r="Z8121" t="s">
        <v>26668</v>
      </c>
      <c r="AB8121" t="s">
        <v>31738</v>
      </c>
      <c r="AD8121" t="s">
        <v>43144</v>
      </c>
      <c r="AE8121">
        <v>1</v>
      </c>
      <c r="AF8121" t="s">
        <v>45547</v>
      </c>
      <c r="AG8121" t="s">
        <v>19330</v>
      </c>
      <c r="AH8121">
        <v>5</v>
      </c>
      <c r="AI8121">
        <v>2</v>
      </c>
      <c r="AJ8121">
        <v>0</v>
      </c>
      <c r="AK8121">
        <v>92.25</v>
      </c>
      <c r="AN8121" t="s">
        <v>7439</v>
      </c>
      <c r="AO8121">
        <v>15600</v>
      </c>
      <c r="AU8121">
        <v>4.1</v>
      </c>
      <c r="AV8121" t="s">
        <v>835</v>
      </c>
      <c r="AW8121" t="s">
        <v>46883</v>
      </c>
      <c r="AX8121" t="s">
        <v>46897</v>
      </c>
    </row>
    <row r="8122" spans="1:50">
      <c r="A8122" s="1">
        <f>HYPERLINK("https://lsnyc.legalserver.org/matter/dynamic-profile/view/1900201","19-1900201")</f>
        <v>0</v>
      </c>
      <c r="B8122" t="s">
        <v>103</v>
      </c>
      <c r="C8122" t="s">
        <v>340</v>
      </c>
      <c r="D8122" t="s">
        <v>823</v>
      </c>
      <c r="F8122" t="s">
        <v>1679</v>
      </c>
      <c r="G8122" t="s">
        <v>5376</v>
      </c>
      <c r="H8122" t="s">
        <v>10700</v>
      </c>
      <c r="I8122" t="s">
        <v>17299</v>
      </c>
      <c r="J8122" t="s">
        <v>18902</v>
      </c>
      <c r="K8122">
        <v>10302</v>
      </c>
      <c r="L8122" t="s">
        <v>18958</v>
      </c>
      <c r="M8122" t="s">
        <v>18960</v>
      </c>
      <c r="N8122" t="s">
        <v>24788</v>
      </c>
      <c r="O8122" t="s">
        <v>26523</v>
      </c>
      <c r="P8122" t="s">
        <v>26560</v>
      </c>
      <c r="R8122" t="s">
        <v>26590</v>
      </c>
      <c r="S8122" t="s">
        <v>18959</v>
      </c>
      <c r="U8122" t="s">
        <v>26604</v>
      </c>
      <c r="V8122" t="s">
        <v>26610</v>
      </c>
      <c r="W8122" t="s">
        <v>823</v>
      </c>
      <c r="X8122">
        <v>1500</v>
      </c>
      <c r="Y8122" t="s">
        <v>26654</v>
      </c>
      <c r="Z8122" t="s">
        <v>26659</v>
      </c>
      <c r="AB8122" t="s">
        <v>27842</v>
      </c>
      <c r="AD8122" t="s">
        <v>37893</v>
      </c>
      <c r="AE8122">
        <v>12</v>
      </c>
      <c r="AG8122" t="s">
        <v>19330</v>
      </c>
      <c r="AH8122">
        <v>2</v>
      </c>
      <c r="AI8122">
        <v>1</v>
      </c>
      <c r="AJ8122">
        <v>0</v>
      </c>
      <c r="AK8122">
        <v>283.11</v>
      </c>
      <c r="AN8122" t="s">
        <v>7439</v>
      </c>
      <c r="AO8122">
        <v>35360.04</v>
      </c>
      <c r="AU8122">
        <v>3</v>
      </c>
      <c r="AV8122" t="s">
        <v>772</v>
      </c>
      <c r="AW8122" t="s">
        <v>46883</v>
      </c>
      <c r="AX8122" t="s">
        <v>46897</v>
      </c>
    </row>
    <row r="8123" spans="1:50">
      <c r="A8123" s="1">
        <f>HYPERLINK("https://lsnyc.legalserver.org/matter/dynamic-profile/view/1900191","19-1900191")</f>
        <v>0</v>
      </c>
      <c r="B8123" t="s">
        <v>104</v>
      </c>
      <c r="C8123" t="s">
        <v>340</v>
      </c>
      <c r="D8123" t="s">
        <v>823</v>
      </c>
      <c r="F8123" t="s">
        <v>4177</v>
      </c>
      <c r="G8123" t="s">
        <v>8570</v>
      </c>
      <c r="H8123" t="s">
        <v>15176</v>
      </c>
      <c r="I8123">
        <v>8</v>
      </c>
      <c r="J8123" t="s">
        <v>18902</v>
      </c>
      <c r="K8123">
        <v>10302</v>
      </c>
      <c r="L8123" t="s">
        <v>18958</v>
      </c>
      <c r="M8123" t="s">
        <v>18960</v>
      </c>
      <c r="N8123" t="s">
        <v>24789</v>
      </c>
      <c r="O8123" t="s">
        <v>26523</v>
      </c>
      <c r="R8123" t="s">
        <v>26590</v>
      </c>
      <c r="S8123" t="s">
        <v>18959</v>
      </c>
      <c r="U8123" t="s">
        <v>26604</v>
      </c>
      <c r="V8123" t="s">
        <v>26610</v>
      </c>
      <c r="W8123" t="s">
        <v>823</v>
      </c>
      <c r="X8123">
        <v>800</v>
      </c>
      <c r="Y8123" t="s">
        <v>26654</v>
      </c>
      <c r="Z8123" t="s">
        <v>26668</v>
      </c>
      <c r="AB8123" t="s">
        <v>32648</v>
      </c>
      <c r="AD8123" t="s">
        <v>43145</v>
      </c>
      <c r="AE8123">
        <v>21</v>
      </c>
      <c r="AG8123" t="s">
        <v>45560</v>
      </c>
      <c r="AH8123">
        <v>2</v>
      </c>
      <c r="AI8123">
        <v>1</v>
      </c>
      <c r="AJ8123">
        <v>0</v>
      </c>
      <c r="AK8123">
        <v>166.53</v>
      </c>
      <c r="AN8123" t="s">
        <v>7439</v>
      </c>
      <c r="AO8123">
        <v>20799.96</v>
      </c>
      <c r="AU8123">
        <v>6.4</v>
      </c>
      <c r="AV8123" t="s">
        <v>839</v>
      </c>
      <c r="AW8123" t="s">
        <v>46883</v>
      </c>
    </row>
    <row r="8124" spans="1:50">
      <c r="A8124" s="1">
        <f>HYPERLINK("https://lsnyc.legalserver.org/matter/dynamic-profile/view/1900487","19-1900487")</f>
        <v>0</v>
      </c>
      <c r="B8124" t="s">
        <v>214</v>
      </c>
      <c r="C8124" t="s">
        <v>340</v>
      </c>
      <c r="D8124" t="s">
        <v>804</v>
      </c>
      <c r="F8124" t="s">
        <v>1587</v>
      </c>
      <c r="G8124" t="s">
        <v>5086</v>
      </c>
      <c r="H8124" t="s">
        <v>13405</v>
      </c>
      <c r="I8124" t="s">
        <v>17299</v>
      </c>
      <c r="J8124" t="s">
        <v>18901</v>
      </c>
      <c r="K8124">
        <v>11434</v>
      </c>
      <c r="L8124" t="s">
        <v>18958</v>
      </c>
      <c r="M8124" t="s">
        <v>18960</v>
      </c>
      <c r="N8124" t="s">
        <v>24790</v>
      </c>
      <c r="O8124" t="s">
        <v>26524</v>
      </c>
      <c r="P8124" t="s">
        <v>26560</v>
      </c>
      <c r="R8124" t="s">
        <v>26585</v>
      </c>
      <c r="S8124" t="s">
        <v>18959</v>
      </c>
      <c r="U8124" t="s">
        <v>26604</v>
      </c>
      <c r="V8124" t="s">
        <v>26610</v>
      </c>
      <c r="W8124" t="s">
        <v>823</v>
      </c>
      <c r="X8124">
        <v>841</v>
      </c>
      <c r="Y8124" t="s">
        <v>26653</v>
      </c>
      <c r="Z8124" t="s">
        <v>26668</v>
      </c>
      <c r="AB8124" t="s">
        <v>27570</v>
      </c>
      <c r="AC8124" t="s">
        <v>35263</v>
      </c>
      <c r="AD8124" t="s">
        <v>43146</v>
      </c>
      <c r="AE8124">
        <v>5860</v>
      </c>
      <c r="AF8124" t="s">
        <v>45550</v>
      </c>
      <c r="AG8124" t="s">
        <v>19330</v>
      </c>
      <c r="AH8124">
        <v>43</v>
      </c>
      <c r="AI8124">
        <v>1</v>
      </c>
      <c r="AJ8124">
        <v>2</v>
      </c>
      <c r="AK8124">
        <v>223.37</v>
      </c>
      <c r="AL8124" t="s">
        <v>808</v>
      </c>
      <c r="AM8124" t="s">
        <v>45575</v>
      </c>
      <c r="AN8124" t="s">
        <v>7439</v>
      </c>
      <c r="AO8124">
        <v>47644</v>
      </c>
      <c r="AU8124">
        <v>6.05</v>
      </c>
      <c r="AV8124" t="s">
        <v>839</v>
      </c>
      <c r="AW8124" t="s">
        <v>214</v>
      </c>
    </row>
    <row r="8125" spans="1:50">
      <c r="A8125" s="1">
        <f>HYPERLINK("https://lsnyc.legalserver.org/matter/dynamic-profile/view/1900251","19-1900251")</f>
        <v>0</v>
      </c>
      <c r="B8125" t="s">
        <v>214</v>
      </c>
      <c r="C8125" t="s">
        <v>340</v>
      </c>
      <c r="D8125" t="s">
        <v>809</v>
      </c>
      <c r="F8125" t="s">
        <v>1587</v>
      </c>
      <c r="G8125" t="s">
        <v>5086</v>
      </c>
      <c r="H8125" t="s">
        <v>13405</v>
      </c>
      <c r="I8125" t="s">
        <v>17299</v>
      </c>
      <c r="J8125" t="s">
        <v>18901</v>
      </c>
      <c r="K8125">
        <v>11434</v>
      </c>
      <c r="L8125" t="s">
        <v>18958</v>
      </c>
      <c r="M8125" t="s">
        <v>18960</v>
      </c>
      <c r="N8125" t="s">
        <v>24791</v>
      </c>
      <c r="O8125" t="s">
        <v>26524</v>
      </c>
      <c r="P8125" t="s">
        <v>26560</v>
      </c>
      <c r="R8125" t="s">
        <v>26585</v>
      </c>
      <c r="S8125" t="s">
        <v>18959</v>
      </c>
      <c r="U8125" t="s">
        <v>26604</v>
      </c>
      <c r="V8125" t="s">
        <v>26610</v>
      </c>
      <c r="W8125" t="s">
        <v>823</v>
      </c>
      <c r="X8125">
        <v>841</v>
      </c>
      <c r="Y8125" t="s">
        <v>26653</v>
      </c>
      <c r="Z8125" t="s">
        <v>26668</v>
      </c>
      <c r="AB8125" t="s">
        <v>27570</v>
      </c>
      <c r="AC8125" t="s">
        <v>35263</v>
      </c>
      <c r="AD8125" t="s">
        <v>43146</v>
      </c>
      <c r="AE8125">
        <v>5860</v>
      </c>
      <c r="AF8125" t="s">
        <v>45550</v>
      </c>
      <c r="AG8125" t="s">
        <v>19330</v>
      </c>
      <c r="AH8125">
        <v>43</v>
      </c>
      <c r="AI8125">
        <v>1</v>
      </c>
      <c r="AJ8125">
        <v>2</v>
      </c>
      <c r="AK8125">
        <v>223.37</v>
      </c>
      <c r="AN8125" t="s">
        <v>7439</v>
      </c>
      <c r="AO8125">
        <v>47644</v>
      </c>
      <c r="AR8125" t="s">
        <v>46380</v>
      </c>
      <c r="AS8125" t="s">
        <v>46499</v>
      </c>
      <c r="AT8125" t="s">
        <v>46751</v>
      </c>
      <c r="AU8125">
        <v>3.5</v>
      </c>
      <c r="AV8125" t="s">
        <v>833</v>
      </c>
      <c r="AW8125" t="s">
        <v>214</v>
      </c>
      <c r="AX8125" t="s">
        <v>46897</v>
      </c>
    </row>
    <row r="8126" spans="1:50">
      <c r="A8126" s="1">
        <f>HYPERLINK("https://lsnyc.legalserver.org/matter/dynamic-profile/view/1890324","19-1890324")</f>
        <v>0</v>
      </c>
      <c r="B8126" t="s">
        <v>68</v>
      </c>
      <c r="C8126" t="s">
        <v>340</v>
      </c>
      <c r="D8126" t="s">
        <v>702</v>
      </c>
      <c r="F8126" t="s">
        <v>1371</v>
      </c>
      <c r="G8126" t="s">
        <v>5545</v>
      </c>
      <c r="H8126" t="s">
        <v>10236</v>
      </c>
      <c r="I8126" t="s">
        <v>17436</v>
      </c>
      <c r="J8126" t="s">
        <v>18892</v>
      </c>
      <c r="K8126">
        <v>10454</v>
      </c>
      <c r="L8126" t="s">
        <v>18958</v>
      </c>
      <c r="M8126" t="s">
        <v>18958</v>
      </c>
      <c r="N8126" t="s">
        <v>24792</v>
      </c>
      <c r="O8126" t="s">
        <v>26523</v>
      </c>
      <c r="P8126" t="s">
        <v>26560</v>
      </c>
      <c r="R8126" t="s">
        <v>26577</v>
      </c>
      <c r="S8126" t="s">
        <v>18959</v>
      </c>
      <c r="U8126" t="s">
        <v>26605</v>
      </c>
      <c r="V8126" t="s">
        <v>26610</v>
      </c>
      <c r="W8126" t="s">
        <v>822</v>
      </c>
      <c r="X8126">
        <v>635</v>
      </c>
      <c r="Y8126" t="s">
        <v>26650</v>
      </c>
      <c r="Z8126" t="s">
        <v>26659</v>
      </c>
      <c r="AB8126" t="s">
        <v>27343</v>
      </c>
      <c r="AD8126" t="s">
        <v>37409</v>
      </c>
      <c r="AE8126">
        <v>17</v>
      </c>
      <c r="AF8126" t="s">
        <v>45542</v>
      </c>
      <c r="AG8126" t="s">
        <v>45556</v>
      </c>
      <c r="AH8126">
        <v>22</v>
      </c>
      <c r="AI8126">
        <v>3</v>
      </c>
      <c r="AJ8126">
        <v>3</v>
      </c>
      <c r="AK8126">
        <v>110.11</v>
      </c>
      <c r="AN8126" t="s">
        <v>45581</v>
      </c>
      <c r="AO8126">
        <v>38088</v>
      </c>
      <c r="AU8126">
        <v>9</v>
      </c>
      <c r="AV8126" t="s">
        <v>839</v>
      </c>
      <c r="AW8126" t="s">
        <v>46836</v>
      </c>
      <c r="AX8126" t="s">
        <v>46897</v>
      </c>
    </row>
    <row r="8127" spans="1:50">
      <c r="A8127" s="1">
        <f>HYPERLINK("https://lsnyc.legalserver.org/matter/dynamic-profile/view/1899551","19-1899551")</f>
        <v>0</v>
      </c>
      <c r="B8127" t="s">
        <v>249</v>
      </c>
      <c r="C8127" t="s">
        <v>341</v>
      </c>
      <c r="D8127" t="s">
        <v>813</v>
      </c>
      <c r="E8127" t="s">
        <v>833</v>
      </c>
      <c r="F8127" t="s">
        <v>3510</v>
      </c>
      <c r="G8127" t="s">
        <v>8571</v>
      </c>
      <c r="H8127" t="s">
        <v>15177</v>
      </c>
      <c r="I8127" t="s">
        <v>17300</v>
      </c>
      <c r="J8127" t="s">
        <v>18894</v>
      </c>
      <c r="K8127">
        <v>11233</v>
      </c>
      <c r="L8127" t="s">
        <v>18958</v>
      </c>
      <c r="M8127" t="s">
        <v>18960</v>
      </c>
      <c r="N8127" t="s">
        <v>19045</v>
      </c>
      <c r="O8127" t="s">
        <v>18997</v>
      </c>
      <c r="P8127" t="s">
        <v>26564</v>
      </c>
      <c r="Q8127" t="s">
        <v>26570</v>
      </c>
      <c r="R8127" t="s">
        <v>26578</v>
      </c>
      <c r="S8127" t="s">
        <v>18959</v>
      </c>
      <c r="U8127" t="s">
        <v>26604</v>
      </c>
      <c r="V8127" t="s">
        <v>26610</v>
      </c>
      <c r="W8127" t="s">
        <v>822</v>
      </c>
      <c r="X8127">
        <v>2150</v>
      </c>
      <c r="Y8127" t="s">
        <v>26652</v>
      </c>
      <c r="Z8127" t="s">
        <v>26666</v>
      </c>
      <c r="AA8127" t="s">
        <v>26683</v>
      </c>
      <c r="AB8127" t="s">
        <v>32649</v>
      </c>
      <c r="AC8127" t="s">
        <v>19045</v>
      </c>
      <c r="AD8127" t="s">
        <v>43147</v>
      </c>
      <c r="AE8127">
        <v>2</v>
      </c>
      <c r="AF8127" t="s">
        <v>45547</v>
      </c>
      <c r="AG8127" t="s">
        <v>19330</v>
      </c>
      <c r="AH8127">
        <v>1</v>
      </c>
      <c r="AI8127">
        <v>2</v>
      </c>
      <c r="AJ8127">
        <v>0</v>
      </c>
      <c r="AK8127">
        <v>206.98</v>
      </c>
      <c r="AN8127" t="s">
        <v>7439</v>
      </c>
      <c r="AO8127">
        <v>35000</v>
      </c>
      <c r="AU8127">
        <v>3.5</v>
      </c>
      <c r="AV8127" t="s">
        <v>833</v>
      </c>
      <c r="AW8127" t="s">
        <v>46857</v>
      </c>
      <c r="AX8127" t="s">
        <v>46897</v>
      </c>
    </row>
    <row r="8128" spans="1:50">
      <c r="A8128" s="1">
        <f>HYPERLINK("https://lsnyc.legalserver.org/matter/dynamic-profile/view/1900283","19-1900283")</f>
        <v>0</v>
      </c>
      <c r="B8128" t="s">
        <v>103</v>
      </c>
      <c r="C8128" t="s">
        <v>341</v>
      </c>
      <c r="D8128" t="s">
        <v>822</v>
      </c>
      <c r="E8128" t="s">
        <v>834</v>
      </c>
      <c r="F8128" t="s">
        <v>4178</v>
      </c>
      <c r="G8128" t="s">
        <v>8572</v>
      </c>
      <c r="H8128" t="s">
        <v>15178</v>
      </c>
      <c r="I8128" t="s">
        <v>17322</v>
      </c>
      <c r="J8128" t="s">
        <v>18902</v>
      </c>
      <c r="K8128">
        <v>10310</v>
      </c>
      <c r="L8128" t="s">
        <v>18958</v>
      </c>
      <c r="M8128" t="s">
        <v>18960</v>
      </c>
      <c r="N8128" t="s">
        <v>24793</v>
      </c>
      <c r="O8128" t="s">
        <v>26523</v>
      </c>
      <c r="P8128" t="s">
        <v>26560</v>
      </c>
      <c r="Q8128" t="s">
        <v>26568</v>
      </c>
      <c r="R8128" t="s">
        <v>26590</v>
      </c>
      <c r="S8128" t="s">
        <v>18959</v>
      </c>
      <c r="U8128" t="s">
        <v>26605</v>
      </c>
      <c r="V8128" t="s">
        <v>26610</v>
      </c>
      <c r="W8128" t="s">
        <v>822</v>
      </c>
      <c r="X8128">
        <v>469</v>
      </c>
      <c r="Y8128" t="s">
        <v>26654</v>
      </c>
      <c r="Z8128" t="s">
        <v>26668</v>
      </c>
      <c r="AA8128" t="s">
        <v>26680</v>
      </c>
      <c r="AB8128" t="s">
        <v>32650</v>
      </c>
      <c r="AD8128" t="s">
        <v>43148</v>
      </c>
      <c r="AE8128">
        <v>62</v>
      </c>
      <c r="AF8128" t="s">
        <v>45549</v>
      </c>
      <c r="AG8128" t="s">
        <v>45556</v>
      </c>
      <c r="AH8128">
        <v>9</v>
      </c>
      <c r="AI8128">
        <v>2</v>
      </c>
      <c r="AJ8128">
        <v>0</v>
      </c>
      <c r="AK8128">
        <v>100.72</v>
      </c>
      <c r="AN8128" t="s">
        <v>7439</v>
      </c>
      <c r="AO8128">
        <v>17031.96</v>
      </c>
      <c r="AQ8128" t="s">
        <v>46362</v>
      </c>
      <c r="AR8128" t="s">
        <v>46380</v>
      </c>
      <c r="AS8128" t="s">
        <v>46499</v>
      </c>
      <c r="AT8128" t="s">
        <v>46754</v>
      </c>
      <c r="AU8128">
        <v>2.9</v>
      </c>
      <c r="AV8128" t="s">
        <v>834</v>
      </c>
      <c r="AW8128" t="s">
        <v>210</v>
      </c>
      <c r="AX8128" t="s">
        <v>46897</v>
      </c>
    </row>
    <row r="8129" spans="1:50">
      <c r="A8129" s="1">
        <f>HYPERLINK("https://lsnyc.legalserver.org/matter/dynamic-profile/view/1900311","19-1900311")</f>
        <v>0</v>
      </c>
      <c r="B8129" t="s">
        <v>96</v>
      </c>
      <c r="C8129" t="s">
        <v>340</v>
      </c>
      <c r="D8129" t="s">
        <v>822</v>
      </c>
      <c r="F8129" t="s">
        <v>1021</v>
      </c>
      <c r="G8129" t="s">
        <v>5664</v>
      </c>
      <c r="H8129" t="s">
        <v>15179</v>
      </c>
      <c r="I8129" t="s">
        <v>17301</v>
      </c>
      <c r="J8129" t="s">
        <v>18892</v>
      </c>
      <c r="K8129">
        <v>10457</v>
      </c>
      <c r="L8129" t="s">
        <v>18958</v>
      </c>
      <c r="M8129" t="s">
        <v>18960</v>
      </c>
      <c r="N8129" t="s">
        <v>24794</v>
      </c>
      <c r="O8129" t="s">
        <v>26523</v>
      </c>
      <c r="P8129" t="s">
        <v>26560</v>
      </c>
      <c r="R8129" t="s">
        <v>26579</v>
      </c>
      <c r="S8129" t="s">
        <v>18959</v>
      </c>
      <c r="U8129" t="s">
        <v>26604</v>
      </c>
      <c r="V8129" t="s">
        <v>26614</v>
      </c>
      <c r="W8129" t="s">
        <v>822</v>
      </c>
      <c r="X8129">
        <v>1333</v>
      </c>
      <c r="Y8129" t="s">
        <v>26650</v>
      </c>
      <c r="Z8129" t="s">
        <v>26668</v>
      </c>
      <c r="AB8129" t="s">
        <v>31164</v>
      </c>
      <c r="AC8129">
        <v>37630204</v>
      </c>
      <c r="AD8129" t="s">
        <v>43149</v>
      </c>
      <c r="AE8129">
        <v>42</v>
      </c>
      <c r="AF8129" t="s">
        <v>45541</v>
      </c>
      <c r="AG8129" t="s">
        <v>45563</v>
      </c>
      <c r="AH8129">
        <v>7</v>
      </c>
      <c r="AI8129">
        <v>1</v>
      </c>
      <c r="AJ8129">
        <v>1</v>
      </c>
      <c r="AK8129">
        <v>12.42</v>
      </c>
      <c r="AN8129" t="s">
        <v>7439</v>
      </c>
      <c r="AO8129">
        <v>2100</v>
      </c>
      <c r="AQ8129" t="s">
        <v>46366</v>
      </c>
      <c r="AS8129" t="s">
        <v>46499</v>
      </c>
      <c r="AT8129" t="s">
        <v>46764</v>
      </c>
      <c r="AU8129">
        <v>8.1</v>
      </c>
      <c r="AV8129" t="s">
        <v>808</v>
      </c>
      <c r="AW8129" t="s">
        <v>284</v>
      </c>
      <c r="AX8129" t="s">
        <v>46897</v>
      </c>
    </row>
    <row r="8130" spans="1:50">
      <c r="A8130" s="1">
        <f>HYPERLINK("https://lsnyc.legalserver.org/matter/dynamic-profile/view/1900301","19-1900301")</f>
        <v>0</v>
      </c>
      <c r="B8130" t="s">
        <v>278</v>
      </c>
      <c r="C8130" t="s">
        <v>340</v>
      </c>
      <c r="D8130" t="s">
        <v>822</v>
      </c>
      <c r="F8130" t="s">
        <v>4179</v>
      </c>
      <c r="G8130" t="s">
        <v>7664</v>
      </c>
      <c r="H8130" t="s">
        <v>9908</v>
      </c>
      <c r="I8130" t="s">
        <v>17299</v>
      </c>
      <c r="J8130" t="s">
        <v>18902</v>
      </c>
      <c r="K8130">
        <v>10303</v>
      </c>
      <c r="L8130" t="s">
        <v>18958</v>
      </c>
      <c r="M8130" t="s">
        <v>18960</v>
      </c>
      <c r="N8130" t="s">
        <v>24795</v>
      </c>
      <c r="O8130" t="s">
        <v>26523</v>
      </c>
      <c r="P8130" t="s">
        <v>26560</v>
      </c>
      <c r="R8130" t="s">
        <v>26590</v>
      </c>
      <c r="S8130" t="s">
        <v>18959</v>
      </c>
      <c r="U8130" t="s">
        <v>26605</v>
      </c>
      <c r="V8130" t="s">
        <v>26610</v>
      </c>
      <c r="W8130" t="s">
        <v>822</v>
      </c>
      <c r="X8130">
        <v>268</v>
      </c>
      <c r="Y8130" t="s">
        <v>26654</v>
      </c>
      <c r="Z8130" t="s">
        <v>26668</v>
      </c>
      <c r="AB8130" t="s">
        <v>32651</v>
      </c>
      <c r="AD8130" t="s">
        <v>43150</v>
      </c>
      <c r="AE8130">
        <v>0</v>
      </c>
      <c r="AF8130" t="s">
        <v>45549</v>
      </c>
      <c r="AG8130" t="s">
        <v>45556</v>
      </c>
      <c r="AH8130">
        <v>3</v>
      </c>
      <c r="AI8130">
        <v>1</v>
      </c>
      <c r="AJ8130">
        <v>5</v>
      </c>
      <c r="AK8130">
        <v>90.2</v>
      </c>
      <c r="AN8130" t="s">
        <v>7439</v>
      </c>
      <c r="AO8130">
        <v>31200</v>
      </c>
      <c r="AU8130">
        <v>2.3</v>
      </c>
      <c r="AV8130" t="s">
        <v>832</v>
      </c>
      <c r="AW8130" t="s">
        <v>210</v>
      </c>
      <c r="AX8130" t="s">
        <v>46897</v>
      </c>
    </row>
    <row r="8131" spans="1:50">
      <c r="A8131" s="1">
        <f>HYPERLINK("https://lsnyc.legalserver.org/matter/dynamic-profile/view/1900298","19-1900298")</f>
        <v>0</v>
      </c>
      <c r="B8131" t="s">
        <v>66</v>
      </c>
      <c r="C8131" t="s">
        <v>340</v>
      </c>
      <c r="D8131" t="s">
        <v>822</v>
      </c>
      <c r="F8131" t="s">
        <v>1046</v>
      </c>
      <c r="G8131" t="s">
        <v>5008</v>
      </c>
      <c r="H8131" t="s">
        <v>11366</v>
      </c>
      <c r="I8131" t="s">
        <v>17422</v>
      </c>
      <c r="J8131" t="s">
        <v>18893</v>
      </c>
      <c r="K8131">
        <v>10026</v>
      </c>
      <c r="L8131" t="s">
        <v>18958</v>
      </c>
      <c r="M8131" t="s">
        <v>18960</v>
      </c>
      <c r="N8131" t="s">
        <v>24796</v>
      </c>
      <c r="O8131" t="s">
        <v>26523</v>
      </c>
      <c r="P8131" t="s">
        <v>26560</v>
      </c>
      <c r="R8131" t="s">
        <v>26580</v>
      </c>
      <c r="S8131" t="s">
        <v>18959</v>
      </c>
      <c r="U8131" t="s">
        <v>26604</v>
      </c>
      <c r="W8131" t="s">
        <v>822</v>
      </c>
      <c r="X8131">
        <v>648</v>
      </c>
      <c r="Y8131" t="s">
        <v>26651</v>
      </c>
      <c r="Z8131" t="s">
        <v>26661</v>
      </c>
      <c r="AB8131" t="s">
        <v>32652</v>
      </c>
      <c r="AD8131" t="s">
        <v>43151</v>
      </c>
      <c r="AE8131">
        <v>527</v>
      </c>
      <c r="AF8131" t="s">
        <v>45541</v>
      </c>
      <c r="AG8131" t="s">
        <v>19330</v>
      </c>
      <c r="AH8131">
        <v>2</v>
      </c>
      <c r="AI8131">
        <v>1</v>
      </c>
      <c r="AJ8131">
        <v>0</v>
      </c>
      <c r="AK8131">
        <v>208.17</v>
      </c>
      <c r="AL8131" t="s">
        <v>808</v>
      </c>
      <c r="AM8131" t="s">
        <v>45575</v>
      </c>
      <c r="AN8131" t="s">
        <v>7439</v>
      </c>
      <c r="AO8131">
        <v>26000</v>
      </c>
      <c r="AU8131">
        <v>1.25</v>
      </c>
      <c r="AV8131" t="s">
        <v>808</v>
      </c>
      <c r="AW8131" t="s">
        <v>46840</v>
      </c>
      <c r="AX8131" t="s">
        <v>46897</v>
      </c>
    </row>
    <row r="8132" spans="1:50">
      <c r="A8132" s="1">
        <f>HYPERLINK("https://lsnyc.legalserver.org/matter/dynamic-profile/view/1900319","19-1900319")</f>
        <v>0</v>
      </c>
      <c r="B8132" t="s">
        <v>66</v>
      </c>
      <c r="C8132" t="s">
        <v>340</v>
      </c>
      <c r="D8132" t="s">
        <v>822</v>
      </c>
      <c r="F8132" t="s">
        <v>4180</v>
      </c>
      <c r="G8132" t="s">
        <v>6171</v>
      </c>
      <c r="H8132" t="s">
        <v>10930</v>
      </c>
      <c r="I8132" t="s">
        <v>17461</v>
      </c>
      <c r="J8132" t="s">
        <v>18893</v>
      </c>
      <c r="K8132">
        <v>10025</v>
      </c>
      <c r="L8132" t="s">
        <v>18958</v>
      </c>
      <c r="M8132" t="s">
        <v>18960</v>
      </c>
      <c r="N8132" t="s">
        <v>24797</v>
      </c>
      <c r="O8132" t="s">
        <v>26523</v>
      </c>
      <c r="P8132" t="s">
        <v>26564</v>
      </c>
      <c r="R8132" t="s">
        <v>26580</v>
      </c>
      <c r="S8132" t="s">
        <v>18959</v>
      </c>
      <c r="U8132" t="s">
        <v>26605</v>
      </c>
      <c r="W8132" t="s">
        <v>822</v>
      </c>
      <c r="X8132">
        <v>1850</v>
      </c>
      <c r="Y8132" t="s">
        <v>26651</v>
      </c>
      <c r="Z8132" t="s">
        <v>26668</v>
      </c>
      <c r="AB8132" t="s">
        <v>26901</v>
      </c>
      <c r="AD8132" t="s">
        <v>43152</v>
      </c>
      <c r="AE8132">
        <v>0</v>
      </c>
      <c r="AF8132" t="s">
        <v>45549</v>
      </c>
      <c r="AH8132">
        <v>14</v>
      </c>
      <c r="AI8132">
        <v>2</v>
      </c>
      <c r="AJ8132">
        <v>0</v>
      </c>
      <c r="AK8132">
        <v>561.8</v>
      </c>
      <c r="AN8132" t="s">
        <v>7439</v>
      </c>
      <c r="AO8132">
        <v>95000</v>
      </c>
      <c r="AU8132">
        <v>0.25</v>
      </c>
      <c r="AV8132" t="s">
        <v>807</v>
      </c>
      <c r="AW8132" t="s">
        <v>46875</v>
      </c>
      <c r="AX8132" t="s">
        <v>46897</v>
      </c>
    </row>
    <row r="8133" spans="1:50">
      <c r="A8133" s="1">
        <f>HYPERLINK("https://lsnyc.legalserver.org/matter/dynamic-profile/view/1900344","19-1900344")</f>
        <v>0</v>
      </c>
      <c r="B8133" t="s">
        <v>262</v>
      </c>
      <c r="C8133" t="s">
        <v>340</v>
      </c>
      <c r="D8133" t="s">
        <v>822</v>
      </c>
      <c r="F8133" t="s">
        <v>2185</v>
      </c>
      <c r="G8133" t="s">
        <v>8573</v>
      </c>
      <c r="H8133" t="s">
        <v>15180</v>
      </c>
      <c r="I8133" t="s">
        <v>17274</v>
      </c>
      <c r="J8133" t="s">
        <v>18892</v>
      </c>
      <c r="K8133">
        <v>10461</v>
      </c>
      <c r="L8133" t="s">
        <v>18958</v>
      </c>
      <c r="M8133" t="s">
        <v>18960</v>
      </c>
      <c r="N8133" t="s">
        <v>24798</v>
      </c>
      <c r="O8133" t="s">
        <v>26524</v>
      </c>
      <c r="P8133" t="s">
        <v>26560</v>
      </c>
      <c r="R8133" t="s">
        <v>26577</v>
      </c>
      <c r="S8133" t="s">
        <v>18959</v>
      </c>
      <c r="U8133" t="s">
        <v>26604</v>
      </c>
      <c r="W8133" t="s">
        <v>822</v>
      </c>
      <c r="X8133">
        <v>849</v>
      </c>
      <c r="Y8133" t="s">
        <v>26650</v>
      </c>
      <c r="Z8133" t="s">
        <v>26668</v>
      </c>
      <c r="AB8133" t="s">
        <v>32653</v>
      </c>
      <c r="AE8133">
        <v>57</v>
      </c>
      <c r="AF8133" t="s">
        <v>20460</v>
      </c>
      <c r="AG8133" t="s">
        <v>19330</v>
      </c>
      <c r="AH8133">
        <v>21</v>
      </c>
      <c r="AI8133">
        <v>2</v>
      </c>
      <c r="AJ8133">
        <v>2</v>
      </c>
      <c r="AK8133">
        <v>155.34</v>
      </c>
      <c r="AN8133" t="s">
        <v>45581</v>
      </c>
      <c r="AO8133">
        <v>40000</v>
      </c>
      <c r="AU8133">
        <v>35.3</v>
      </c>
      <c r="AV8133" t="s">
        <v>836</v>
      </c>
      <c r="AW8133" t="s">
        <v>336</v>
      </c>
      <c r="AX8133" t="s">
        <v>46897</v>
      </c>
    </row>
    <row r="8134" spans="1:50">
      <c r="A8134" s="1">
        <f>HYPERLINK("https://lsnyc.legalserver.org/matter/dynamic-profile/view/1900364","19-1900364")</f>
        <v>0</v>
      </c>
      <c r="B8134" t="s">
        <v>234</v>
      </c>
      <c r="C8134" t="s">
        <v>340</v>
      </c>
      <c r="D8134" t="s">
        <v>822</v>
      </c>
      <c r="F8134" t="s">
        <v>2403</v>
      </c>
      <c r="G8134" t="s">
        <v>8574</v>
      </c>
      <c r="H8134" t="s">
        <v>12468</v>
      </c>
      <c r="I8134" t="s">
        <v>18532</v>
      </c>
      <c r="J8134" t="s">
        <v>18893</v>
      </c>
      <c r="K8134">
        <v>10026</v>
      </c>
      <c r="L8134" t="s">
        <v>18958</v>
      </c>
      <c r="M8134" t="s">
        <v>18960</v>
      </c>
      <c r="N8134" t="s">
        <v>24799</v>
      </c>
      <c r="O8134" t="s">
        <v>26523</v>
      </c>
      <c r="P8134" t="s">
        <v>26560</v>
      </c>
      <c r="R8134" t="s">
        <v>26580</v>
      </c>
      <c r="S8134" t="s">
        <v>18959</v>
      </c>
      <c r="U8134" t="s">
        <v>26604</v>
      </c>
      <c r="W8134" t="s">
        <v>822</v>
      </c>
      <c r="X8134">
        <v>436</v>
      </c>
      <c r="Y8134" t="s">
        <v>26651</v>
      </c>
      <c r="Z8134" t="s">
        <v>26661</v>
      </c>
      <c r="AB8134" t="s">
        <v>32654</v>
      </c>
      <c r="AD8134" t="s">
        <v>43153</v>
      </c>
      <c r="AE8134">
        <v>527</v>
      </c>
      <c r="AF8134" t="s">
        <v>45541</v>
      </c>
      <c r="AG8134" t="s">
        <v>19330</v>
      </c>
      <c r="AH8134">
        <v>9</v>
      </c>
      <c r="AI8134">
        <v>2</v>
      </c>
      <c r="AJ8134">
        <v>1</v>
      </c>
      <c r="AK8134">
        <v>40.51</v>
      </c>
      <c r="AN8134" t="s">
        <v>45581</v>
      </c>
      <c r="AO8134">
        <v>8640</v>
      </c>
      <c r="AU8134">
        <v>16.1</v>
      </c>
      <c r="AV8134" t="s">
        <v>826</v>
      </c>
      <c r="AW8134" t="s">
        <v>46840</v>
      </c>
      <c r="AX8134" t="s">
        <v>46897</v>
      </c>
    </row>
    <row r="8135" spans="1:50">
      <c r="A8135" s="1">
        <f>HYPERLINK("https://lsnyc.legalserver.org/matter/dynamic-profile/view/1900362","19-1900362")</f>
        <v>0</v>
      </c>
      <c r="B8135" t="s">
        <v>234</v>
      </c>
      <c r="C8135" t="s">
        <v>340</v>
      </c>
      <c r="D8135" t="s">
        <v>822</v>
      </c>
      <c r="F8135" t="s">
        <v>962</v>
      </c>
      <c r="G8135" t="s">
        <v>5752</v>
      </c>
      <c r="H8135" t="s">
        <v>15181</v>
      </c>
      <c r="I8135" t="s">
        <v>17299</v>
      </c>
      <c r="J8135" t="s">
        <v>18893</v>
      </c>
      <c r="K8135">
        <v>10027</v>
      </c>
      <c r="L8135" t="s">
        <v>18958</v>
      </c>
      <c r="M8135" t="s">
        <v>18960</v>
      </c>
      <c r="N8135" t="s">
        <v>24800</v>
      </c>
      <c r="O8135" t="s">
        <v>26523</v>
      </c>
      <c r="P8135" t="s">
        <v>26560</v>
      </c>
      <c r="R8135" t="s">
        <v>26580</v>
      </c>
      <c r="S8135" t="s">
        <v>18959</v>
      </c>
      <c r="U8135" t="s">
        <v>26605</v>
      </c>
      <c r="W8135" t="s">
        <v>822</v>
      </c>
      <c r="X8135">
        <v>1382</v>
      </c>
      <c r="Y8135" t="s">
        <v>26651</v>
      </c>
      <c r="Z8135" t="s">
        <v>26668</v>
      </c>
      <c r="AB8135" t="s">
        <v>32655</v>
      </c>
      <c r="AD8135" t="s">
        <v>43154</v>
      </c>
      <c r="AE8135">
        <v>0</v>
      </c>
      <c r="AF8135" t="s">
        <v>45549</v>
      </c>
      <c r="AG8135" t="s">
        <v>19330</v>
      </c>
      <c r="AH8135">
        <v>18</v>
      </c>
      <c r="AI8135">
        <v>2</v>
      </c>
      <c r="AJ8135">
        <v>0</v>
      </c>
      <c r="AK8135">
        <v>120.7</v>
      </c>
      <c r="AN8135" t="s">
        <v>7439</v>
      </c>
      <c r="AO8135">
        <v>20410</v>
      </c>
      <c r="AU8135">
        <v>6.3</v>
      </c>
      <c r="AV8135" t="s">
        <v>836</v>
      </c>
      <c r="AW8135" t="s">
        <v>46875</v>
      </c>
      <c r="AX8135" t="s">
        <v>46897</v>
      </c>
    </row>
    <row r="8136" spans="1:50">
      <c r="A8136" s="1">
        <f>HYPERLINK("https://lsnyc.legalserver.org/matter/dynamic-profile/view/1900330","19-1900330")</f>
        <v>0</v>
      </c>
      <c r="B8136" t="s">
        <v>56</v>
      </c>
      <c r="C8136" t="s">
        <v>340</v>
      </c>
      <c r="D8136" t="s">
        <v>822</v>
      </c>
      <c r="F8136" t="s">
        <v>1426</v>
      </c>
      <c r="G8136" t="s">
        <v>5625</v>
      </c>
      <c r="H8136" t="s">
        <v>15182</v>
      </c>
      <c r="I8136" t="s">
        <v>17390</v>
      </c>
      <c r="J8136" t="s">
        <v>18892</v>
      </c>
      <c r="K8136">
        <v>10467</v>
      </c>
      <c r="L8136" t="s">
        <v>18958</v>
      </c>
      <c r="M8136" t="s">
        <v>18960</v>
      </c>
      <c r="N8136" t="s">
        <v>24801</v>
      </c>
      <c r="O8136" t="s">
        <v>26523</v>
      </c>
      <c r="P8136" t="s">
        <v>26560</v>
      </c>
      <c r="R8136" t="s">
        <v>26577</v>
      </c>
      <c r="U8136" t="s">
        <v>26604</v>
      </c>
      <c r="V8136" t="s">
        <v>26609</v>
      </c>
      <c r="W8136" t="s">
        <v>822</v>
      </c>
      <c r="X8136">
        <v>1235</v>
      </c>
      <c r="Y8136" t="s">
        <v>26650</v>
      </c>
      <c r="Z8136" t="s">
        <v>26659</v>
      </c>
      <c r="AB8136" t="s">
        <v>32656</v>
      </c>
      <c r="AD8136" t="s">
        <v>43155</v>
      </c>
      <c r="AE8136">
        <v>42</v>
      </c>
      <c r="AF8136" t="s">
        <v>45541</v>
      </c>
      <c r="AH8136">
        <v>14</v>
      </c>
      <c r="AI8136">
        <v>2</v>
      </c>
      <c r="AJ8136">
        <v>2</v>
      </c>
      <c r="AK8136">
        <v>0</v>
      </c>
      <c r="AN8136" t="s">
        <v>7439</v>
      </c>
      <c r="AO8136">
        <v>0</v>
      </c>
      <c r="AU8136">
        <v>1</v>
      </c>
      <c r="AV8136" t="s">
        <v>828</v>
      </c>
      <c r="AW8136" t="s">
        <v>46836</v>
      </c>
      <c r="AX8136" t="s">
        <v>46897</v>
      </c>
    </row>
    <row r="8137" spans="1:50">
      <c r="A8137" s="1">
        <f>HYPERLINK("https://lsnyc.legalserver.org/matter/dynamic-profile/view/1900293","19-1900293")</f>
        <v>0</v>
      </c>
      <c r="B8137" t="s">
        <v>153</v>
      </c>
      <c r="C8137" t="s">
        <v>340</v>
      </c>
      <c r="D8137" t="s">
        <v>822</v>
      </c>
      <c r="F8137" t="s">
        <v>1703</v>
      </c>
      <c r="G8137" t="s">
        <v>8575</v>
      </c>
      <c r="H8137" t="s">
        <v>9903</v>
      </c>
      <c r="I8137" t="s">
        <v>17283</v>
      </c>
      <c r="J8137" t="s">
        <v>18902</v>
      </c>
      <c r="K8137">
        <v>10314</v>
      </c>
      <c r="L8137" t="s">
        <v>18958</v>
      </c>
      <c r="M8137" t="s">
        <v>18960</v>
      </c>
      <c r="N8137" t="s">
        <v>24802</v>
      </c>
      <c r="O8137" t="s">
        <v>26523</v>
      </c>
      <c r="P8137" t="s">
        <v>26560</v>
      </c>
      <c r="R8137" t="s">
        <v>26590</v>
      </c>
      <c r="S8137" t="s">
        <v>18959</v>
      </c>
      <c r="U8137" t="s">
        <v>26605</v>
      </c>
      <c r="V8137" t="s">
        <v>26610</v>
      </c>
      <c r="W8137" t="s">
        <v>822</v>
      </c>
      <c r="X8137">
        <v>617</v>
      </c>
      <c r="Y8137" t="s">
        <v>26654</v>
      </c>
      <c r="Z8137" t="s">
        <v>26668</v>
      </c>
      <c r="AB8137" t="s">
        <v>30577</v>
      </c>
      <c r="AD8137" t="s">
        <v>43156</v>
      </c>
      <c r="AE8137">
        <v>0</v>
      </c>
      <c r="AF8137" t="s">
        <v>45549</v>
      </c>
      <c r="AG8137" t="s">
        <v>45556</v>
      </c>
      <c r="AH8137">
        <v>13</v>
      </c>
      <c r="AI8137">
        <v>1</v>
      </c>
      <c r="AJ8137">
        <v>2</v>
      </c>
      <c r="AK8137">
        <v>0</v>
      </c>
      <c r="AN8137" t="s">
        <v>7439</v>
      </c>
      <c r="AO8137">
        <v>0</v>
      </c>
      <c r="AU8137">
        <v>3.65</v>
      </c>
      <c r="AV8137" t="s">
        <v>832</v>
      </c>
      <c r="AW8137" t="s">
        <v>210</v>
      </c>
      <c r="AX8137" t="s">
        <v>46897</v>
      </c>
    </row>
    <row r="8138" spans="1:50">
      <c r="A8138" s="1">
        <f>HYPERLINK("https://lsnyc.legalserver.org/matter/dynamic-profile/view/1900281","19-1900281")</f>
        <v>0</v>
      </c>
      <c r="B8138" t="s">
        <v>153</v>
      </c>
      <c r="C8138" t="s">
        <v>340</v>
      </c>
      <c r="D8138" t="s">
        <v>822</v>
      </c>
      <c r="F8138" t="s">
        <v>1510</v>
      </c>
      <c r="G8138" t="s">
        <v>8576</v>
      </c>
      <c r="H8138" t="s">
        <v>15183</v>
      </c>
      <c r="I8138">
        <v>1</v>
      </c>
      <c r="J8138" t="s">
        <v>18902</v>
      </c>
      <c r="K8138">
        <v>10303</v>
      </c>
      <c r="L8138" t="s">
        <v>18958</v>
      </c>
      <c r="M8138" t="s">
        <v>18960</v>
      </c>
      <c r="N8138" t="s">
        <v>24803</v>
      </c>
      <c r="O8138" t="s">
        <v>26524</v>
      </c>
      <c r="R8138" t="s">
        <v>26590</v>
      </c>
      <c r="S8138" t="s">
        <v>18959</v>
      </c>
      <c r="U8138" t="s">
        <v>26604</v>
      </c>
      <c r="V8138" t="s">
        <v>26610</v>
      </c>
      <c r="W8138" t="s">
        <v>822</v>
      </c>
      <c r="X8138">
        <v>2100</v>
      </c>
      <c r="Y8138" t="s">
        <v>26654</v>
      </c>
      <c r="Z8138" t="s">
        <v>26668</v>
      </c>
      <c r="AB8138" t="s">
        <v>32657</v>
      </c>
      <c r="AD8138" t="s">
        <v>43157</v>
      </c>
      <c r="AE8138">
        <v>0</v>
      </c>
      <c r="AG8138" t="s">
        <v>45561</v>
      </c>
      <c r="AH8138">
        <v>1</v>
      </c>
      <c r="AI8138">
        <v>3</v>
      </c>
      <c r="AJ8138">
        <v>0</v>
      </c>
      <c r="AK8138">
        <v>167.48</v>
      </c>
      <c r="AN8138" t="s">
        <v>7439</v>
      </c>
      <c r="AO8138">
        <v>35724</v>
      </c>
      <c r="AU8138">
        <v>5.3</v>
      </c>
      <c r="AV8138" t="s">
        <v>829</v>
      </c>
      <c r="AW8138" t="s">
        <v>46883</v>
      </c>
      <c r="AX8138" t="s">
        <v>46897</v>
      </c>
    </row>
    <row r="8139" spans="1:50">
      <c r="A8139" s="1">
        <f>HYPERLINK("https://lsnyc.legalserver.org/matter/dynamic-profile/view/1899922","19-1899922")</f>
        <v>0</v>
      </c>
      <c r="B8139" t="s">
        <v>103</v>
      </c>
      <c r="C8139" t="s">
        <v>340</v>
      </c>
      <c r="D8139" t="s">
        <v>822</v>
      </c>
      <c r="F8139" t="s">
        <v>4181</v>
      </c>
      <c r="G8139" t="s">
        <v>8577</v>
      </c>
      <c r="H8139" t="s">
        <v>15184</v>
      </c>
      <c r="I8139" t="s">
        <v>17300</v>
      </c>
      <c r="J8139" t="s">
        <v>18902</v>
      </c>
      <c r="K8139">
        <v>10301</v>
      </c>
      <c r="L8139" t="s">
        <v>18958</v>
      </c>
      <c r="M8139" t="s">
        <v>18960</v>
      </c>
      <c r="N8139" t="s">
        <v>24804</v>
      </c>
      <c r="O8139" t="s">
        <v>26524</v>
      </c>
      <c r="P8139" t="s">
        <v>26560</v>
      </c>
      <c r="R8139" t="s">
        <v>26578</v>
      </c>
      <c r="S8139" t="s">
        <v>18959</v>
      </c>
      <c r="U8139" t="s">
        <v>26604</v>
      </c>
      <c r="V8139" t="s">
        <v>26610</v>
      </c>
      <c r="W8139" t="s">
        <v>822</v>
      </c>
      <c r="X8139">
        <v>3200</v>
      </c>
      <c r="Y8139" t="s">
        <v>26654</v>
      </c>
      <c r="Z8139" t="s">
        <v>26668</v>
      </c>
      <c r="AB8139" t="s">
        <v>27703</v>
      </c>
      <c r="AD8139" t="s">
        <v>43158</v>
      </c>
      <c r="AE8139">
        <v>2</v>
      </c>
      <c r="AF8139" t="s">
        <v>45547</v>
      </c>
      <c r="AG8139" t="s">
        <v>19330</v>
      </c>
      <c r="AH8139">
        <v>2</v>
      </c>
      <c r="AI8139">
        <v>5</v>
      </c>
      <c r="AJ8139">
        <v>2</v>
      </c>
      <c r="AK8139">
        <v>95.98</v>
      </c>
      <c r="AN8139" t="s">
        <v>7439</v>
      </c>
      <c r="AO8139">
        <v>37440</v>
      </c>
      <c r="AU8139">
        <v>4.4</v>
      </c>
      <c r="AV8139" t="s">
        <v>839</v>
      </c>
      <c r="AW8139" t="s">
        <v>46883</v>
      </c>
      <c r="AX8139" t="s">
        <v>46897</v>
      </c>
    </row>
    <row r="8140" spans="1:50">
      <c r="A8140" s="1">
        <f>HYPERLINK("https://lsnyc.legalserver.org/matter/dynamic-profile/view/1900152","19-1900152")</f>
        <v>0</v>
      </c>
      <c r="B8140" t="s">
        <v>103</v>
      </c>
      <c r="C8140" t="s">
        <v>340</v>
      </c>
      <c r="D8140" t="s">
        <v>822</v>
      </c>
      <c r="F8140" t="s">
        <v>1397</v>
      </c>
      <c r="G8140" t="s">
        <v>8311</v>
      </c>
      <c r="H8140" t="s">
        <v>15185</v>
      </c>
      <c r="I8140" t="s">
        <v>17946</v>
      </c>
      <c r="J8140" t="s">
        <v>18902</v>
      </c>
      <c r="K8140">
        <v>10304</v>
      </c>
      <c r="L8140" t="s">
        <v>18958</v>
      </c>
      <c r="M8140" t="s">
        <v>18960</v>
      </c>
      <c r="N8140" t="s">
        <v>24805</v>
      </c>
      <c r="O8140" t="s">
        <v>26524</v>
      </c>
      <c r="P8140" t="s">
        <v>26560</v>
      </c>
      <c r="R8140" t="s">
        <v>26578</v>
      </c>
      <c r="S8140" t="s">
        <v>18959</v>
      </c>
      <c r="U8140" t="s">
        <v>26604</v>
      </c>
      <c r="V8140" t="s">
        <v>26610</v>
      </c>
      <c r="W8140" t="s">
        <v>822</v>
      </c>
      <c r="X8140">
        <v>2000</v>
      </c>
      <c r="Y8140" t="s">
        <v>26654</v>
      </c>
      <c r="Z8140" t="s">
        <v>26660</v>
      </c>
      <c r="AB8140" t="s">
        <v>32658</v>
      </c>
      <c r="AD8140" t="s">
        <v>43159</v>
      </c>
      <c r="AE8140">
        <v>5</v>
      </c>
      <c r="AF8140" t="s">
        <v>45547</v>
      </c>
      <c r="AG8140" t="s">
        <v>19330</v>
      </c>
      <c r="AH8140">
        <v>-1</v>
      </c>
      <c r="AI8140">
        <v>2</v>
      </c>
      <c r="AJ8140">
        <v>0</v>
      </c>
      <c r="AK8140">
        <v>129.15</v>
      </c>
      <c r="AN8140" t="s">
        <v>7439</v>
      </c>
      <c r="AO8140">
        <v>21840</v>
      </c>
      <c r="AU8140">
        <v>7.9</v>
      </c>
      <c r="AV8140" t="s">
        <v>836</v>
      </c>
      <c r="AW8140" t="s">
        <v>46883</v>
      </c>
      <c r="AX8140" t="s">
        <v>46897</v>
      </c>
    </row>
    <row r="8141" spans="1:50">
      <c r="A8141" s="1">
        <f>HYPERLINK("https://lsnyc.legalserver.org/matter/dynamic-profile/view/1900299","19-1900299")</f>
        <v>0</v>
      </c>
      <c r="B8141" t="s">
        <v>103</v>
      </c>
      <c r="C8141" t="s">
        <v>340</v>
      </c>
      <c r="D8141" t="s">
        <v>822</v>
      </c>
      <c r="F8141" t="s">
        <v>4182</v>
      </c>
      <c r="G8141" t="s">
        <v>3798</v>
      </c>
      <c r="H8141" t="s">
        <v>14116</v>
      </c>
      <c r="I8141" t="s">
        <v>17380</v>
      </c>
      <c r="J8141" t="s">
        <v>18902</v>
      </c>
      <c r="K8141">
        <v>10310</v>
      </c>
      <c r="L8141" t="s">
        <v>18958</v>
      </c>
      <c r="M8141" t="s">
        <v>18960</v>
      </c>
      <c r="N8141" t="s">
        <v>24806</v>
      </c>
      <c r="O8141" t="s">
        <v>26523</v>
      </c>
      <c r="P8141" t="s">
        <v>26560</v>
      </c>
      <c r="R8141" t="s">
        <v>26590</v>
      </c>
      <c r="S8141" t="s">
        <v>18959</v>
      </c>
      <c r="U8141" t="s">
        <v>26605</v>
      </c>
      <c r="V8141" t="s">
        <v>26610</v>
      </c>
      <c r="W8141" t="s">
        <v>822</v>
      </c>
      <c r="X8141">
        <v>1492.6</v>
      </c>
      <c r="Y8141" t="s">
        <v>26654</v>
      </c>
      <c r="Z8141" t="s">
        <v>26668</v>
      </c>
      <c r="AB8141" t="s">
        <v>32659</v>
      </c>
      <c r="AD8141" t="s">
        <v>43160</v>
      </c>
      <c r="AE8141">
        <v>0</v>
      </c>
      <c r="AF8141" t="s">
        <v>45543</v>
      </c>
      <c r="AG8141" t="s">
        <v>19330</v>
      </c>
      <c r="AH8141">
        <v>13</v>
      </c>
      <c r="AI8141">
        <v>3</v>
      </c>
      <c r="AJ8141">
        <v>0</v>
      </c>
      <c r="AK8141">
        <v>141.44</v>
      </c>
      <c r="AN8141" t="s">
        <v>7439</v>
      </c>
      <c r="AO8141">
        <v>30168.36</v>
      </c>
      <c r="AU8141">
        <v>2.4</v>
      </c>
      <c r="AV8141" t="s">
        <v>832</v>
      </c>
      <c r="AW8141" t="s">
        <v>46883</v>
      </c>
      <c r="AX8141" t="s">
        <v>46897</v>
      </c>
    </row>
    <row r="8142" spans="1:50">
      <c r="A8142" s="1">
        <f>HYPERLINK("https://lsnyc.legalserver.org/matter/dynamic-profile/view/1900295","19-1900295")</f>
        <v>0</v>
      </c>
      <c r="B8142" t="s">
        <v>59</v>
      </c>
      <c r="C8142" t="s">
        <v>340</v>
      </c>
      <c r="D8142" t="s">
        <v>822</v>
      </c>
      <c r="F8142" t="s">
        <v>1442</v>
      </c>
      <c r="G8142" t="s">
        <v>8578</v>
      </c>
      <c r="H8142" t="s">
        <v>15186</v>
      </c>
      <c r="I8142" t="s">
        <v>18228</v>
      </c>
      <c r="J8142" t="s">
        <v>18893</v>
      </c>
      <c r="K8142">
        <v>10025</v>
      </c>
      <c r="L8142" t="s">
        <v>18958</v>
      </c>
      <c r="M8142" t="s">
        <v>18960</v>
      </c>
      <c r="N8142" t="s">
        <v>24807</v>
      </c>
      <c r="O8142" t="s">
        <v>26523</v>
      </c>
      <c r="P8142" t="s">
        <v>26560</v>
      </c>
      <c r="R8142" t="s">
        <v>26580</v>
      </c>
      <c r="S8142" t="s">
        <v>18959</v>
      </c>
      <c r="U8142" t="s">
        <v>26605</v>
      </c>
      <c r="W8142" t="s">
        <v>822</v>
      </c>
      <c r="X8142">
        <v>1365</v>
      </c>
      <c r="Y8142" t="s">
        <v>26651</v>
      </c>
      <c r="Z8142" t="s">
        <v>26668</v>
      </c>
      <c r="AB8142" t="s">
        <v>32660</v>
      </c>
      <c r="AD8142" t="s">
        <v>43161</v>
      </c>
      <c r="AE8142">
        <v>0</v>
      </c>
      <c r="AF8142" t="s">
        <v>45549</v>
      </c>
      <c r="AG8142" t="s">
        <v>19330</v>
      </c>
      <c r="AH8142">
        <v>42</v>
      </c>
      <c r="AI8142">
        <v>2</v>
      </c>
      <c r="AJ8142">
        <v>1</v>
      </c>
      <c r="AK8142">
        <v>139.3</v>
      </c>
      <c r="AN8142" t="s">
        <v>7439</v>
      </c>
      <c r="AO8142">
        <v>29712</v>
      </c>
      <c r="AU8142">
        <v>0.5</v>
      </c>
      <c r="AV8142" t="s">
        <v>822</v>
      </c>
      <c r="AW8142" t="s">
        <v>46875</v>
      </c>
      <c r="AX8142" t="s">
        <v>46897</v>
      </c>
    </row>
    <row r="8143" spans="1:50">
      <c r="A8143" s="1">
        <f>HYPERLINK("https://lsnyc.legalserver.org/matter/dynamic-profile/view/1900363","19-1900363")</f>
        <v>0</v>
      </c>
      <c r="B8143" t="s">
        <v>59</v>
      </c>
      <c r="C8143" t="s">
        <v>340</v>
      </c>
      <c r="D8143" t="s">
        <v>822</v>
      </c>
      <c r="F8143" t="s">
        <v>4183</v>
      </c>
      <c r="G8143" t="s">
        <v>8579</v>
      </c>
      <c r="H8143" t="s">
        <v>15187</v>
      </c>
      <c r="I8143" t="s">
        <v>18533</v>
      </c>
      <c r="J8143" t="s">
        <v>18893</v>
      </c>
      <c r="K8143">
        <v>10025</v>
      </c>
      <c r="L8143" t="s">
        <v>18958</v>
      </c>
      <c r="M8143" t="s">
        <v>18960</v>
      </c>
      <c r="N8143" t="s">
        <v>24808</v>
      </c>
      <c r="O8143" t="s">
        <v>26523</v>
      </c>
      <c r="P8143" t="s">
        <v>26564</v>
      </c>
      <c r="R8143" t="s">
        <v>26580</v>
      </c>
      <c r="S8143" t="s">
        <v>18959</v>
      </c>
      <c r="U8143" t="s">
        <v>26604</v>
      </c>
      <c r="W8143" t="s">
        <v>822</v>
      </c>
      <c r="X8143">
        <v>463</v>
      </c>
      <c r="Y8143" t="s">
        <v>26651</v>
      </c>
      <c r="Z8143" t="s">
        <v>26661</v>
      </c>
      <c r="AB8143" t="s">
        <v>27182</v>
      </c>
      <c r="AD8143" t="s">
        <v>43162</v>
      </c>
      <c r="AE8143">
        <v>24</v>
      </c>
      <c r="AF8143" t="s">
        <v>45541</v>
      </c>
      <c r="AG8143" t="s">
        <v>19330</v>
      </c>
      <c r="AH8143">
        <v>5</v>
      </c>
      <c r="AI8143">
        <v>1</v>
      </c>
      <c r="AJ8143">
        <v>1</v>
      </c>
      <c r="AK8143">
        <v>165.13</v>
      </c>
      <c r="AN8143" t="s">
        <v>7439</v>
      </c>
      <c r="AO8143">
        <v>27924</v>
      </c>
      <c r="AU8143">
        <v>1</v>
      </c>
      <c r="AV8143" t="s">
        <v>822</v>
      </c>
      <c r="AW8143" t="s">
        <v>46840</v>
      </c>
      <c r="AX8143" t="s">
        <v>46897</v>
      </c>
    </row>
    <row r="8144" spans="1:50">
      <c r="A8144" s="1">
        <f>HYPERLINK("https://lsnyc.legalserver.org/matter/dynamic-profile/view/1896078","19-1896078")</f>
        <v>0</v>
      </c>
      <c r="B8144" t="s">
        <v>221</v>
      </c>
      <c r="C8144" t="s">
        <v>340</v>
      </c>
      <c r="D8144" t="s">
        <v>822</v>
      </c>
      <c r="F8144" t="s">
        <v>4184</v>
      </c>
      <c r="G8144" t="s">
        <v>8580</v>
      </c>
      <c r="H8144" t="s">
        <v>15116</v>
      </c>
      <c r="J8144" t="s">
        <v>18901</v>
      </c>
      <c r="K8144">
        <v>11434</v>
      </c>
      <c r="L8144" t="s">
        <v>18959</v>
      </c>
      <c r="M8144" t="s">
        <v>18960</v>
      </c>
      <c r="N8144" t="s">
        <v>24809</v>
      </c>
      <c r="O8144" t="s">
        <v>26523</v>
      </c>
      <c r="P8144" t="s">
        <v>26560</v>
      </c>
      <c r="R8144" t="s">
        <v>26585</v>
      </c>
      <c r="S8144" t="s">
        <v>18959</v>
      </c>
      <c r="U8144" t="s">
        <v>26604</v>
      </c>
      <c r="V8144" t="s">
        <v>26610</v>
      </c>
      <c r="W8144" t="s">
        <v>822</v>
      </c>
      <c r="X8144">
        <v>1313.83</v>
      </c>
      <c r="Y8144" t="s">
        <v>26653</v>
      </c>
      <c r="Z8144" t="s">
        <v>26668</v>
      </c>
      <c r="AB8144" t="s">
        <v>30926</v>
      </c>
      <c r="AD8144" t="s">
        <v>43163</v>
      </c>
      <c r="AE8144">
        <v>200</v>
      </c>
      <c r="AG8144" t="s">
        <v>19330</v>
      </c>
      <c r="AH8144">
        <v>32</v>
      </c>
      <c r="AI8144">
        <v>2</v>
      </c>
      <c r="AJ8144">
        <v>0</v>
      </c>
      <c r="AK8144">
        <v>92.25</v>
      </c>
      <c r="AN8144" t="s">
        <v>45585</v>
      </c>
      <c r="AO8144">
        <v>15600</v>
      </c>
      <c r="AU8144">
        <v>19.65</v>
      </c>
      <c r="AV8144" t="s">
        <v>838</v>
      </c>
      <c r="AW8144" t="s">
        <v>208</v>
      </c>
    </row>
    <row r="8145" spans="1:50">
      <c r="A8145" s="1">
        <f>HYPERLINK("https://lsnyc.legalserver.org/matter/dynamic-profile/view/1896190","19-1896190")</f>
        <v>0</v>
      </c>
      <c r="B8145" t="s">
        <v>125</v>
      </c>
      <c r="C8145" t="s">
        <v>340</v>
      </c>
      <c r="D8145" t="s">
        <v>792</v>
      </c>
      <c r="F8145" t="s">
        <v>4185</v>
      </c>
      <c r="G8145" t="s">
        <v>8581</v>
      </c>
      <c r="H8145" t="s">
        <v>15188</v>
      </c>
      <c r="I8145">
        <v>1</v>
      </c>
      <c r="J8145" t="s">
        <v>18894</v>
      </c>
      <c r="K8145">
        <v>11233</v>
      </c>
      <c r="L8145" t="s">
        <v>18958</v>
      </c>
      <c r="M8145" t="s">
        <v>18959</v>
      </c>
      <c r="N8145" t="s">
        <v>24810</v>
      </c>
      <c r="O8145" t="s">
        <v>26523</v>
      </c>
      <c r="P8145" t="s">
        <v>26560</v>
      </c>
      <c r="R8145" t="s">
        <v>26578</v>
      </c>
      <c r="S8145" t="s">
        <v>18959</v>
      </c>
      <c r="U8145" t="s">
        <v>26604</v>
      </c>
      <c r="V8145" t="s">
        <v>26610</v>
      </c>
      <c r="W8145" t="s">
        <v>804</v>
      </c>
      <c r="X8145">
        <v>1640</v>
      </c>
      <c r="Y8145" t="s">
        <v>26652</v>
      </c>
      <c r="AB8145" t="s">
        <v>32661</v>
      </c>
      <c r="AD8145" t="s">
        <v>43164</v>
      </c>
      <c r="AE8145">
        <v>8</v>
      </c>
      <c r="AF8145" t="s">
        <v>45541</v>
      </c>
      <c r="AG8145" t="s">
        <v>45556</v>
      </c>
      <c r="AH8145">
        <v>11</v>
      </c>
      <c r="AI8145">
        <v>1</v>
      </c>
      <c r="AJ8145">
        <v>1</v>
      </c>
      <c r="AK8145">
        <v>57.04</v>
      </c>
      <c r="AN8145" t="s">
        <v>7439</v>
      </c>
      <c r="AO8145">
        <v>9646</v>
      </c>
      <c r="AU8145">
        <v>5.25</v>
      </c>
      <c r="AV8145" t="s">
        <v>833</v>
      </c>
      <c r="AW8145" t="s">
        <v>286</v>
      </c>
      <c r="AX8145" t="s">
        <v>46897</v>
      </c>
    </row>
    <row r="8146" spans="1:50">
      <c r="A8146" s="1">
        <f>HYPERLINK("https://lsnyc.legalserver.org/matter/dynamic-profile/view/1899366","19-1899366")</f>
        <v>0</v>
      </c>
      <c r="B8146" t="s">
        <v>125</v>
      </c>
      <c r="C8146" t="s">
        <v>340</v>
      </c>
      <c r="D8146" t="s">
        <v>816</v>
      </c>
      <c r="F8146" t="s">
        <v>2383</v>
      </c>
      <c r="G8146" t="s">
        <v>8582</v>
      </c>
      <c r="H8146" t="s">
        <v>10369</v>
      </c>
      <c r="I8146" t="s">
        <v>17347</v>
      </c>
      <c r="J8146" t="s">
        <v>18894</v>
      </c>
      <c r="K8146">
        <v>11233</v>
      </c>
      <c r="L8146" t="s">
        <v>18958</v>
      </c>
      <c r="M8146" t="s">
        <v>18960</v>
      </c>
      <c r="N8146" t="s">
        <v>24811</v>
      </c>
      <c r="O8146" t="s">
        <v>26523</v>
      </c>
      <c r="P8146" t="s">
        <v>26564</v>
      </c>
      <c r="R8146" t="s">
        <v>26578</v>
      </c>
      <c r="S8146" t="s">
        <v>18959</v>
      </c>
      <c r="U8146" t="s">
        <v>26604</v>
      </c>
      <c r="V8146" t="s">
        <v>26610</v>
      </c>
      <c r="W8146" t="s">
        <v>804</v>
      </c>
      <c r="X8146">
        <v>1000</v>
      </c>
      <c r="Y8146" t="s">
        <v>26652</v>
      </c>
      <c r="Z8146" t="s">
        <v>26665</v>
      </c>
      <c r="AB8146" t="s">
        <v>32662</v>
      </c>
      <c r="AD8146" t="s">
        <v>43165</v>
      </c>
      <c r="AE8146">
        <v>30</v>
      </c>
      <c r="AF8146" t="s">
        <v>20460</v>
      </c>
      <c r="AG8146" t="s">
        <v>19330</v>
      </c>
      <c r="AH8146">
        <v>4</v>
      </c>
      <c r="AI8146">
        <v>1</v>
      </c>
      <c r="AJ8146">
        <v>0</v>
      </c>
      <c r="AK8146">
        <v>187.35</v>
      </c>
      <c r="AN8146" t="s">
        <v>7439</v>
      </c>
      <c r="AO8146">
        <v>23400</v>
      </c>
      <c r="AU8146">
        <v>4.5</v>
      </c>
      <c r="AV8146" t="s">
        <v>838</v>
      </c>
      <c r="AW8146" t="s">
        <v>46861</v>
      </c>
      <c r="AX8146" t="s">
        <v>46897</v>
      </c>
    </row>
    <row r="8147" spans="1:50">
      <c r="A8147" s="1">
        <f>HYPERLINK("https://lsnyc.legalserver.org/matter/dynamic-profile/view/1899260","19-1899260")</f>
        <v>0</v>
      </c>
      <c r="B8147" t="s">
        <v>130</v>
      </c>
      <c r="C8147" t="s">
        <v>341</v>
      </c>
      <c r="D8147" t="s">
        <v>817</v>
      </c>
      <c r="E8147" t="s">
        <v>806</v>
      </c>
      <c r="F8147" t="s">
        <v>1087</v>
      </c>
      <c r="G8147" t="s">
        <v>2348</v>
      </c>
      <c r="H8147" t="s">
        <v>12136</v>
      </c>
      <c r="I8147" t="s">
        <v>17348</v>
      </c>
      <c r="J8147" t="s">
        <v>18901</v>
      </c>
      <c r="K8147">
        <v>11434</v>
      </c>
      <c r="L8147" t="s">
        <v>18958</v>
      </c>
      <c r="M8147" t="s">
        <v>18960</v>
      </c>
      <c r="N8147" t="s">
        <v>24812</v>
      </c>
      <c r="O8147" t="s">
        <v>26523</v>
      </c>
      <c r="P8147" t="s">
        <v>26560</v>
      </c>
      <c r="Q8147" t="s">
        <v>26568</v>
      </c>
      <c r="R8147" t="s">
        <v>26585</v>
      </c>
      <c r="S8147" t="s">
        <v>18959</v>
      </c>
      <c r="U8147" t="s">
        <v>26604</v>
      </c>
      <c r="V8147" t="s">
        <v>26610</v>
      </c>
      <c r="W8147" t="s">
        <v>804</v>
      </c>
      <c r="X8147">
        <v>0</v>
      </c>
      <c r="Y8147" t="s">
        <v>26653</v>
      </c>
      <c r="Z8147" t="s">
        <v>26668</v>
      </c>
      <c r="AA8147" t="s">
        <v>26678</v>
      </c>
      <c r="AB8147" t="s">
        <v>32618</v>
      </c>
      <c r="AC8147" t="s">
        <v>36456</v>
      </c>
      <c r="AD8147" t="s">
        <v>43106</v>
      </c>
      <c r="AE8147">
        <v>293</v>
      </c>
      <c r="AF8147" t="s">
        <v>45550</v>
      </c>
      <c r="AG8147" t="s">
        <v>45559</v>
      </c>
      <c r="AH8147">
        <v>6</v>
      </c>
      <c r="AI8147">
        <v>1</v>
      </c>
      <c r="AJ8147">
        <v>0</v>
      </c>
      <c r="AK8147">
        <v>113.18</v>
      </c>
      <c r="AN8147" t="s">
        <v>7439</v>
      </c>
      <c r="AO8147">
        <v>14136</v>
      </c>
      <c r="AR8147" t="s">
        <v>46379</v>
      </c>
      <c r="AS8147" t="s">
        <v>46499</v>
      </c>
      <c r="AT8147" t="s">
        <v>46786</v>
      </c>
      <c r="AU8147">
        <v>2.1</v>
      </c>
      <c r="AV8147" t="s">
        <v>806</v>
      </c>
      <c r="AW8147" t="s">
        <v>130</v>
      </c>
      <c r="AX8147" t="s">
        <v>46898</v>
      </c>
    </row>
    <row r="8148" spans="1:50">
      <c r="A8148" s="1">
        <f>HYPERLINK("https://lsnyc.legalserver.org/matter/dynamic-profile/view/1899562","19-1899562")</f>
        <v>0</v>
      </c>
      <c r="B8148" t="s">
        <v>70</v>
      </c>
      <c r="C8148" t="s">
        <v>340</v>
      </c>
      <c r="D8148" t="s">
        <v>813</v>
      </c>
      <c r="F8148" t="s">
        <v>2897</v>
      </c>
      <c r="G8148" t="s">
        <v>5265</v>
      </c>
      <c r="H8148" t="s">
        <v>15189</v>
      </c>
      <c r="I8148" t="s">
        <v>18534</v>
      </c>
      <c r="J8148" t="s">
        <v>18892</v>
      </c>
      <c r="K8148">
        <v>10467</v>
      </c>
      <c r="L8148" t="s">
        <v>18958</v>
      </c>
      <c r="M8148" t="s">
        <v>18960</v>
      </c>
      <c r="N8148" t="s">
        <v>24813</v>
      </c>
      <c r="O8148" t="s">
        <v>26523</v>
      </c>
      <c r="P8148" t="s">
        <v>26560</v>
      </c>
      <c r="R8148" t="s">
        <v>26579</v>
      </c>
      <c r="S8148" t="s">
        <v>18959</v>
      </c>
      <c r="U8148" t="s">
        <v>26604</v>
      </c>
      <c r="W8148" t="s">
        <v>804</v>
      </c>
      <c r="X8148">
        <v>970</v>
      </c>
      <c r="Y8148" t="s">
        <v>26650</v>
      </c>
      <c r="AB8148" t="s">
        <v>28166</v>
      </c>
      <c r="AD8148" t="s">
        <v>43166</v>
      </c>
      <c r="AE8148">
        <v>0</v>
      </c>
      <c r="AH8148">
        <v>0</v>
      </c>
      <c r="AI8148">
        <v>1</v>
      </c>
      <c r="AJ8148">
        <v>0</v>
      </c>
      <c r="AK8148">
        <v>115.29</v>
      </c>
      <c r="AN8148" t="s">
        <v>7439</v>
      </c>
      <c r="AO8148">
        <v>14400</v>
      </c>
      <c r="AU8148">
        <v>3.3</v>
      </c>
      <c r="AV8148" t="s">
        <v>830</v>
      </c>
      <c r="AW8148" t="s">
        <v>335</v>
      </c>
      <c r="AX8148" t="s">
        <v>46897</v>
      </c>
    </row>
    <row r="8149" spans="1:50">
      <c r="A8149" s="1">
        <f>HYPERLINK("https://lsnyc.legalserver.org/matter/dynamic-profile/view/1899822","19-1899822")</f>
        <v>0</v>
      </c>
      <c r="B8149" t="s">
        <v>61</v>
      </c>
      <c r="C8149" t="s">
        <v>340</v>
      </c>
      <c r="D8149" t="s">
        <v>805</v>
      </c>
      <c r="F8149" t="s">
        <v>2277</v>
      </c>
      <c r="G8149" t="s">
        <v>5147</v>
      </c>
      <c r="H8149" t="s">
        <v>11676</v>
      </c>
      <c r="I8149" t="s">
        <v>18535</v>
      </c>
      <c r="J8149" t="s">
        <v>18893</v>
      </c>
      <c r="K8149">
        <v>10034</v>
      </c>
      <c r="L8149" t="s">
        <v>18958</v>
      </c>
      <c r="M8149" t="s">
        <v>18960</v>
      </c>
      <c r="P8149" t="s">
        <v>26562</v>
      </c>
      <c r="R8149" t="s">
        <v>26578</v>
      </c>
      <c r="S8149" t="s">
        <v>18959</v>
      </c>
      <c r="T8149" t="s">
        <v>26578</v>
      </c>
      <c r="U8149" t="s">
        <v>26604</v>
      </c>
      <c r="W8149" t="s">
        <v>804</v>
      </c>
      <c r="X8149">
        <v>1287</v>
      </c>
      <c r="Y8149" t="s">
        <v>26651</v>
      </c>
      <c r="Z8149" t="s">
        <v>26659</v>
      </c>
      <c r="AB8149" t="s">
        <v>28893</v>
      </c>
      <c r="AC8149" t="s">
        <v>35253</v>
      </c>
      <c r="AD8149" t="s">
        <v>38951</v>
      </c>
      <c r="AE8149">
        <v>57</v>
      </c>
      <c r="AF8149" t="s">
        <v>45541</v>
      </c>
      <c r="AG8149" t="s">
        <v>19330</v>
      </c>
      <c r="AH8149">
        <v>5</v>
      </c>
      <c r="AI8149">
        <v>2</v>
      </c>
      <c r="AJ8149">
        <v>2</v>
      </c>
      <c r="AK8149">
        <v>106.02</v>
      </c>
      <c r="AN8149" t="s">
        <v>45581</v>
      </c>
      <c r="AO8149">
        <v>27300</v>
      </c>
      <c r="AU8149">
        <v>4</v>
      </c>
      <c r="AV8149" t="s">
        <v>720</v>
      </c>
      <c r="AW8149" t="s">
        <v>46850</v>
      </c>
      <c r="AX8149" t="s">
        <v>46897</v>
      </c>
    </row>
    <row r="8150" spans="1:50">
      <c r="A8150" s="1">
        <f>HYPERLINK("https://lsnyc.legalserver.org/matter/dynamic-profile/view/1900394","19-1900394")</f>
        <v>0</v>
      </c>
      <c r="B8150" t="s">
        <v>64</v>
      </c>
      <c r="C8150" t="s">
        <v>341</v>
      </c>
      <c r="D8150" t="s">
        <v>804</v>
      </c>
      <c r="E8150" t="s">
        <v>806</v>
      </c>
      <c r="F8150" t="s">
        <v>4186</v>
      </c>
      <c r="G8150" t="s">
        <v>8583</v>
      </c>
      <c r="H8150" t="s">
        <v>15190</v>
      </c>
      <c r="I8150" t="s">
        <v>17352</v>
      </c>
      <c r="J8150" t="s">
        <v>18892</v>
      </c>
      <c r="K8150">
        <v>10451</v>
      </c>
      <c r="L8150" t="s">
        <v>18958</v>
      </c>
      <c r="M8150" t="s">
        <v>18960</v>
      </c>
      <c r="N8150" t="s">
        <v>24814</v>
      </c>
      <c r="O8150" t="s">
        <v>26523</v>
      </c>
      <c r="P8150" t="s">
        <v>26560</v>
      </c>
      <c r="Q8150" t="s">
        <v>26568</v>
      </c>
      <c r="R8150" t="s">
        <v>26577</v>
      </c>
      <c r="U8150" t="s">
        <v>26604</v>
      </c>
      <c r="V8150" t="s">
        <v>26614</v>
      </c>
      <c r="W8150" t="s">
        <v>804</v>
      </c>
      <c r="X8150">
        <v>567</v>
      </c>
      <c r="Y8150" t="s">
        <v>26650</v>
      </c>
      <c r="Z8150" t="s">
        <v>26660</v>
      </c>
      <c r="AA8150" t="s">
        <v>26678</v>
      </c>
      <c r="AB8150" t="s">
        <v>29245</v>
      </c>
      <c r="AD8150" t="s">
        <v>43167</v>
      </c>
      <c r="AE8150">
        <v>0</v>
      </c>
      <c r="AF8150" t="s">
        <v>45543</v>
      </c>
      <c r="AH8150">
        <v>10</v>
      </c>
      <c r="AI8150">
        <v>2</v>
      </c>
      <c r="AJ8150">
        <v>0</v>
      </c>
      <c r="AK8150">
        <v>0</v>
      </c>
      <c r="AN8150" t="s">
        <v>45581</v>
      </c>
      <c r="AO8150">
        <v>0</v>
      </c>
      <c r="AQ8150" t="s">
        <v>46366</v>
      </c>
      <c r="AR8150" t="s">
        <v>46498</v>
      </c>
      <c r="AS8150" t="s">
        <v>46499</v>
      </c>
      <c r="AT8150" t="s">
        <v>46619</v>
      </c>
      <c r="AU8150">
        <v>7.5</v>
      </c>
      <c r="AV8150" t="s">
        <v>806</v>
      </c>
      <c r="AW8150" t="s">
        <v>46836</v>
      </c>
      <c r="AX8150" t="s">
        <v>46897</v>
      </c>
    </row>
    <row r="8151" spans="1:50">
      <c r="A8151" s="1">
        <f>HYPERLINK("https://lsnyc.legalserver.org/matter/dynamic-profile/view/1900484","19-1900484")</f>
        <v>0</v>
      </c>
      <c r="B8151" t="s">
        <v>144</v>
      </c>
      <c r="C8151" t="s">
        <v>340</v>
      </c>
      <c r="D8151" t="s">
        <v>804</v>
      </c>
      <c r="F8151" t="s">
        <v>3019</v>
      </c>
      <c r="G8151" t="s">
        <v>879</v>
      </c>
      <c r="H8151" t="s">
        <v>15191</v>
      </c>
      <c r="I8151" t="s">
        <v>17283</v>
      </c>
      <c r="J8151" t="s">
        <v>18893</v>
      </c>
      <c r="K8151">
        <v>10027</v>
      </c>
      <c r="L8151" t="s">
        <v>18958</v>
      </c>
      <c r="M8151" t="s">
        <v>18960</v>
      </c>
      <c r="N8151" t="s">
        <v>24815</v>
      </c>
      <c r="O8151" t="s">
        <v>26524</v>
      </c>
      <c r="P8151" t="s">
        <v>26560</v>
      </c>
      <c r="R8151" t="s">
        <v>26580</v>
      </c>
      <c r="S8151" t="s">
        <v>18959</v>
      </c>
      <c r="U8151" t="s">
        <v>26604</v>
      </c>
      <c r="W8151" t="s">
        <v>804</v>
      </c>
      <c r="X8151">
        <v>587.46</v>
      </c>
      <c r="Y8151" t="s">
        <v>26651</v>
      </c>
      <c r="Z8151" t="s">
        <v>26668</v>
      </c>
      <c r="AB8151" t="s">
        <v>32663</v>
      </c>
      <c r="AC8151" t="s">
        <v>36471</v>
      </c>
      <c r="AD8151" t="s">
        <v>43168</v>
      </c>
      <c r="AE8151">
        <v>0</v>
      </c>
      <c r="AF8151" t="s">
        <v>45541</v>
      </c>
      <c r="AG8151" t="s">
        <v>19330</v>
      </c>
      <c r="AH8151">
        <v>27</v>
      </c>
      <c r="AI8151">
        <v>1</v>
      </c>
      <c r="AJ8151">
        <v>0</v>
      </c>
      <c r="AK8151">
        <v>0</v>
      </c>
      <c r="AN8151" t="s">
        <v>7439</v>
      </c>
      <c r="AO8151">
        <v>0</v>
      </c>
      <c r="AU8151">
        <v>19.25</v>
      </c>
      <c r="AV8151" t="s">
        <v>839</v>
      </c>
      <c r="AW8151" t="s">
        <v>46875</v>
      </c>
      <c r="AX8151" t="s">
        <v>46898</v>
      </c>
    </row>
    <row r="8152" spans="1:50">
      <c r="A8152" s="1">
        <f>HYPERLINK("https://lsnyc.legalserver.org/matter/dynamic-profile/view/1900408","19-1900408")</f>
        <v>0</v>
      </c>
      <c r="B8152" t="s">
        <v>144</v>
      </c>
      <c r="C8152" t="s">
        <v>340</v>
      </c>
      <c r="D8152" t="s">
        <v>804</v>
      </c>
      <c r="F8152" t="s">
        <v>4187</v>
      </c>
      <c r="G8152" t="s">
        <v>6071</v>
      </c>
      <c r="H8152" t="s">
        <v>15192</v>
      </c>
      <c r="I8152" t="s">
        <v>18536</v>
      </c>
      <c r="J8152" t="s">
        <v>18893</v>
      </c>
      <c r="K8152">
        <v>10025</v>
      </c>
      <c r="L8152" t="s">
        <v>18958</v>
      </c>
      <c r="M8152" t="s">
        <v>18960</v>
      </c>
      <c r="N8152" t="s">
        <v>24816</v>
      </c>
      <c r="O8152" t="s">
        <v>26523</v>
      </c>
      <c r="P8152" t="s">
        <v>26560</v>
      </c>
      <c r="R8152" t="s">
        <v>26580</v>
      </c>
      <c r="S8152" t="s">
        <v>18958</v>
      </c>
      <c r="U8152" t="s">
        <v>26604</v>
      </c>
      <c r="W8152" t="s">
        <v>804</v>
      </c>
      <c r="X8152">
        <v>797</v>
      </c>
      <c r="Y8152" t="s">
        <v>26651</v>
      </c>
      <c r="Z8152" t="s">
        <v>26664</v>
      </c>
      <c r="AB8152" t="s">
        <v>32664</v>
      </c>
      <c r="AD8152" t="s">
        <v>43169</v>
      </c>
      <c r="AE8152">
        <v>0</v>
      </c>
      <c r="AH8152">
        <v>3</v>
      </c>
      <c r="AI8152">
        <v>1</v>
      </c>
      <c r="AJ8152">
        <v>4</v>
      </c>
      <c r="AK8152">
        <v>39.77</v>
      </c>
      <c r="AN8152" t="s">
        <v>7439</v>
      </c>
      <c r="AO8152">
        <v>12000</v>
      </c>
      <c r="AU8152">
        <v>1</v>
      </c>
      <c r="AV8152" t="s">
        <v>804</v>
      </c>
      <c r="AW8152" t="s">
        <v>46879</v>
      </c>
      <c r="AX8152" t="s">
        <v>46897</v>
      </c>
    </row>
    <row r="8153" spans="1:50">
      <c r="A8153" s="1">
        <f>HYPERLINK("https://lsnyc.legalserver.org/matter/dynamic-profile/view/1900474","19-1900474")</f>
        <v>0</v>
      </c>
      <c r="B8153" t="s">
        <v>61</v>
      </c>
      <c r="C8153" t="s">
        <v>340</v>
      </c>
      <c r="D8153" t="s">
        <v>804</v>
      </c>
      <c r="F8153" t="s">
        <v>2497</v>
      </c>
      <c r="G8153" t="s">
        <v>5513</v>
      </c>
      <c r="H8153" t="s">
        <v>15193</v>
      </c>
      <c r="I8153" t="s">
        <v>17781</v>
      </c>
      <c r="J8153" t="s">
        <v>18893</v>
      </c>
      <c r="K8153">
        <v>10034</v>
      </c>
      <c r="L8153" t="s">
        <v>18958</v>
      </c>
      <c r="M8153" t="s">
        <v>18960</v>
      </c>
      <c r="P8153" t="s">
        <v>26564</v>
      </c>
      <c r="R8153" t="s">
        <v>26578</v>
      </c>
      <c r="S8153" t="s">
        <v>18959</v>
      </c>
      <c r="U8153" t="s">
        <v>26604</v>
      </c>
      <c r="W8153" t="s">
        <v>804</v>
      </c>
      <c r="X8153">
        <v>215.56</v>
      </c>
      <c r="Y8153" t="s">
        <v>26651</v>
      </c>
      <c r="Z8153" t="s">
        <v>26659</v>
      </c>
      <c r="AB8153" t="s">
        <v>32665</v>
      </c>
      <c r="AD8153" t="s">
        <v>43170</v>
      </c>
      <c r="AE8153">
        <v>21</v>
      </c>
      <c r="AF8153" t="s">
        <v>45541</v>
      </c>
      <c r="AG8153" t="s">
        <v>45559</v>
      </c>
      <c r="AH8153">
        <v>25</v>
      </c>
      <c r="AI8153">
        <v>1</v>
      </c>
      <c r="AJ8153">
        <v>0</v>
      </c>
      <c r="AK8153">
        <v>80.22</v>
      </c>
      <c r="AN8153" t="s">
        <v>45581</v>
      </c>
      <c r="AO8153">
        <v>10020</v>
      </c>
      <c r="AU8153">
        <v>3.2</v>
      </c>
      <c r="AV8153" t="s">
        <v>822</v>
      </c>
      <c r="AW8153" t="s">
        <v>46840</v>
      </c>
      <c r="AX8153" t="s">
        <v>46897</v>
      </c>
    </row>
    <row r="8154" spans="1:50">
      <c r="A8154" s="1">
        <f>HYPERLINK("https://lsnyc.legalserver.org/matter/dynamic-profile/view/1900478","19-1900478")</f>
        <v>0</v>
      </c>
      <c r="B8154" t="s">
        <v>61</v>
      </c>
      <c r="C8154" t="s">
        <v>340</v>
      </c>
      <c r="D8154" t="s">
        <v>804</v>
      </c>
      <c r="F8154" t="s">
        <v>1219</v>
      </c>
      <c r="G8154" t="s">
        <v>5692</v>
      </c>
      <c r="H8154" t="s">
        <v>15194</v>
      </c>
      <c r="I8154" t="s">
        <v>17301</v>
      </c>
      <c r="J8154" t="s">
        <v>18893</v>
      </c>
      <c r="K8154">
        <v>10040</v>
      </c>
      <c r="L8154" t="s">
        <v>18958</v>
      </c>
      <c r="M8154" t="s">
        <v>18960</v>
      </c>
      <c r="P8154" t="s">
        <v>26564</v>
      </c>
      <c r="R8154" t="s">
        <v>26578</v>
      </c>
      <c r="S8154" t="s">
        <v>18959</v>
      </c>
      <c r="U8154" t="s">
        <v>26604</v>
      </c>
      <c r="W8154" t="s">
        <v>804</v>
      </c>
      <c r="X8154">
        <v>1491.4</v>
      </c>
      <c r="Y8154" t="s">
        <v>26651</v>
      </c>
      <c r="AB8154" t="s">
        <v>32666</v>
      </c>
      <c r="AD8154" t="s">
        <v>43171</v>
      </c>
      <c r="AE8154">
        <v>80</v>
      </c>
      <c r="AF8154" t="s">
        <v>45541</v>
      </c>
      <c r="AG8154" t="s">
        <v>19330</v>
      </c>
      <c r="AH8154">
        <v>24</v>
      </c>
      <c r="AI8154">
        <v>3</v>
      </c>
      <c r="AJ8154">
        <v>1</v>
      </c>
      <c r="AK8154">
        <v>232.25</v>
      </c>
      <c r="AN8154" t="s">
        <v>45581</v>
      </c>
      <c r="AO8154">
        <v>59804</v>
      </c>
      <c r="AU8154">
        <v>1.3</v>
      </c>
      <c r="AV8154" t="s">
        <v>822</v>
      </c>
      <c r="AW8154" t="s">
        <v>46840</v>
      </c>
      <c r="AX8154" t="s">
        <v>46897</v>
      </c>
    </row>
    <row r="8155" spans="1:50">
      <c r="A8155" s="1">
        <f>HYPERLINK("https://lsnyc.legalserver.org/matter/dynamic-profile/view/1900480","19-1900480")</f>
        <v>0</v>
      </c>
      <c r="B8155" t="s">
        <v>61</v>
      </c>
      <c r="C8155" t="s">
        <v>340</v>
      </c>
      <c r="D8155" t="s">
        <v>804</v>
      </c>
      <c r="F8155" t="s">
        <v>974</v>
      </c>
      <c r="G8155" t="s">
        <v>5916</v>
      </c>
      <c r="H8155" t="s">
        <v>15195</v>
      </c>
      <c r="I8155" t="s">
        <v>18229</v>
      </c>
      <c r="J8155" t="s">
        <v>18893</v>
      </c>
      <c r="K8155">
        <v>10032</v>
      </c>
      <c r="L8155" t="s">
        <v>18958</v>
      </c>
      <c r="M8155" t="s">
        <v>18960</v>
      </c>
      <c r="N8155" t="s">
        <v>24817</v>
      </c>
      <c r="O8155" t="s">
        <v>26523</v>
      </c>
      <c r="P8155" t="s">
        <v>26564</v>
      </c>
      <c r="R8155" t="s">
        <v>26582</v>
      </c>
      <c r="S8155" t="s">
        <v>18959</v>
      </c>
      <c r="U8155" t="s">
        <v>26607</v>
      </c>
      <c r="W8155" t="s">
        <v>804</v>
      </c>
      <c r="X8155">
        <v>194</v>
      </c>
      <c r="Y8155" t="s">
        <v>26651</v>
      </c>
      <c r="Z8155" t="s">
        <v>26661</v>
      </c>
      <c r="AB8155" t="s">
        <v>32667</v>
      </c>
      <c r="AD8155" t="s">
        <v>43172</v>
      </c>
      <c r="AE8155">
        <v>0</v>
      </c>
      <c r="AF8155" t="s">
        <v>45541</v>
      </c>
      <c r="AG8155" t="s">
        <v>19330</v>
      </c>
      <c r="AH8155">
        <v>8</v>
      </c>
      <c r="AI8155">
        <v>1</v>
      </c>
      <c r="AJ8155">
        <v>0</v>
      </c>
      <c r="AK8155">
        <v>84.93000000000001</v>
      </c>
      <c r="AN8155" t="s">
        <v>7439</v>
      </c>
      <c r="AO8155">
        <v>10608</v>
      </c>
      <c r="AU8155">
        <v>1.5</v>
      </c>
      <c r="AV8155" t="s">
        <v>720</v>
      </c>
      <c r="AW8155" t="s">
        <v>46840</v>
      </c>
      <c r="AX8155" t="s">
        <v>46897</v>
      </c>
    </row>
    <row r="8156" spans="1:50">
      <c r="A8156" s="1">
        <f>HYPERLINK("https://lsnyc.legalserver.org/matter/dynamic-profile/view/1900437","19-1900437")</f>
        <v>0</v>
      </c>
      <c r="B8156" t="s">
        <v>147</v>
      </c>
      <c r="C8156" t="s">
        <v>340</v>
      </c>
      <c r="D8156" t="s">
        <v>804</v>
      </c>
      <c r="F8156" t="s">
        <v>4188</v>
      </c>
      <c r="G8156" t="s">
        <v>8403</v>
      </c>
      <c r="H8156" t="s">
        <v>15196</v>
      </c>
      <c r="I8156" t="s">
        <v>17388</v>
      </c>
      <c r="J8156" t="s">
        <v>18894</v>
      </c>
      <c r="K8156">
        <v>11226</v>
      </c>
      <c r="L8156" t="s">
        <v>18958</v>
      </c>
      <c r="M8156" t="s">
        <v>18960</v>
      </c>
      <c r="N8156" t="s">
        <v>24818</v>
      </c>
      <c r="O8156" t="s">
        <v>26526</v>
      </c>
      <c r="P8156" t="s">
        <v>26560</v>
      </c>
      <c r="R8156" t="s">
        <v>26578</v>
      </c>
      <c r="S8156" t="s">
        <v>18958</v>
      </c>
      <c r="U8156" t="s">
        <v>26604</v>
      </c>
      <c r="V8156" t="s">
        <v>26610</v>
      </c>
      <c r="W8156" t="s">
        <v>804</v>
      </c>
      <c r="X8156">
        <v>1038.57</v>
      </c>
      <c r="Y8156" t="s">
        <v>26652</v>
      </c>
      <c r="Z8156" t="s">
        <v>26667</v>
      </c>
      <c r="AB8156" t="s">
        <v>32668</v>
      </c>
      <c r="AD8156" t="s">
        <v>43173</v>
      </c>
      <c r="AE8156">
        <v>36</v>
      </c>
      <c r="AF8156" t="s">
        <v>45541</v>
      </c>
      <c r="AH8156">
        <v>0</v>
      </c>
      <c r="AI8156">
        <v>2</v>
      </c>
      <c r="AJ8156">
        <v>0</v>
      </c>
      <c r="AK8156">
        <v>56.77</v>
      </c>
      <c r="AN8156" t="s">
        <v>45585</v>
      </c>
      <c r="AO8156">
        <v>9600</v>
      </c>
      <c r="AU8156">
        <v>0.2</v>
      </c>
      <c r="AV8156" t="s">
        <v>804</v>
      </c>
      <c r="AW8156" t="s">
        <v>198</v>
      </c>
    </row>
    <row r="8157" spans="1:50">
      <c r="A8157" s="1">
        <f>HYPERLINK("https://lsnyc.legalserver.org/matter/dynamic-profile/view/1900433","19-1900433")</f>
        <v>0</v>
      </c>
      <c r="B8157" t="s">
        <v>147</v>
      </c>
      <c r="C8157" t="s">
        <v>340</v>
      </c>
      <c r="D8157" t="s">
        <v>804</v>
      </c>
      <c r="F8157" t="s">
        <v>4189</v>
      </c>
      <c r="G8157" t="s">
        <v>8584</v>
      </c>
      <c r="H8157" t="s">
        <v>15196</v>
      </c>
      <c r="I8157" t="s">
        <v>17349</v>
      </c>
      <c r="J8157" t="s">
        <v>18894</v>
      </c>
      <c r="K8157">
        <v>11226</v>
      </c>
      <c r="L8157" t="s">
        <v>18958</v>
      </c>
      <c r="M8157" t="s">
        <v>18960</v>
      </c>
      <c r="N8157" t="s">
        <v>24818</v>
      </c>
      <c r="O8157" t="s">
        <v>26526</v>
      </c>
      <c r="P8157" t="s">
        <v>26560</v>
      </c>
      <c r="R8157" t="s">
        <v>26578</v>
      </c>
      <c r="S8157" t="s">
        <v>18958</v>
      </c>
      <c r="U8157" t="s">
        <v>26604</v>
      </c>
      <c r="V8157" t="s">
        <v>26610</v>
      </c>
      <c r="W8157" t="s">
        <v>804</v>
      </c>
      <c r="X8157">
        <v>773.6</v>
      </c>
      <c r="Y8157" t="s">
        <v>26652</v>
      </c>
      <c r="Z8157" t="s">
        <v>26667</v>
      </c>
      <c r="AB8157" t="s">
        <v>32669</v>
      </c>
      <c r="AD8157" t="s">
        <v>43174</v>
      </c>
      <c r="AE8157">
        <v>36</v>
      </c>
      <c r="AF8157" t="s">
        <v>45541</v>
      </c>
      <c r="AH8157">
        <v>65</v>
      </c>
      <c r="AI8157">
        <v>2</v>
      </c>
      <c r="AJ8157">
        <v>0</v>
      </c>
      <c r="AK8157">
        <v>85.16</v>
      </c>
      <c r="AN8157" t="s">
        <v>7439</v>
      </c>
      <c r="AO8157">
        <v>14400</v>
      </c>
      <c r="AU8157">
        <v>15.9</v>
      </c>
      <c r="AV8157" t="s">
        <v>839</v>
      </c>
      <c r="AW8157" t="s">
        <v>198</v>
      </c>
    </row>
    <row r="8158" spans="1:50">
      <c r="A8158" s="1">
        <f>HYPERLINK("https://lsnyc.legalserver.org/matter/dynamic-profile/view/1900452","19-1900452")</f>
        <v>0</v>
      </c>
      <c r="B8158" t="s">
        <v>147</v>
      </c>
      <c r="C8158" t="s">
        <v>340</v>
      </c>
      <c r="D8158" t="s">
        <v>804</v>
      </c>
      <c r="F8158" t="s">
        <v>964</v>
      </c>
      <c r="G8158" t="s">
        <v>8585</v>
      </c>
      <c r="H8158" t="s">
        <v>15196</v>
      </c>
      <c r="I8158" t="s">
        <v>17355</v>
      </c>
      <c r="J8158" t="s">
        <v>18894</v>
      </c>
      <c r="K8158">
        <v>11226</v>
      </c>
      <c r="L8158" t="s">
        <v>18958</v>
      </c>
      <c r="M8158" t="s">
        <v>18960</v>
      </c>
      <c r="N8158" t="s">
        <v>24818</v>
      </c>
      <c r="O8158" t="s">
        <v>26526</v>
      </c>
      <c r="P8158" t="s">
        <v>26560</v>
      </c>
      <c r="R8158" t="s">
        <v>26578</v>
      </c>
      <c r="S8158" t="s">
        <v>18958</v>
      </c>
      <c r="U8158" t="s">
        <v>26604</v>
      </c>
      <c r="V8158" t="s">
        <v>26610</v>
      </c>
      <c r="W8158" t="s">
        <v>804</v>
      </c>
      <c r="X8158">
        <v>965</v>
      </c>
      <c r="Y8158" t="s">
        <v>26652</v>
      </c>
      <c r="Z8158" t="s">
        <v>26667</v>
      </c>
      <c r="AB8158" t="s">
        <v>32670</v>
      </c>
      <c r="AD8158" t="s">
        <v>43175</v>
      </c>
      <c r="AE8158">
        <v>36</v>
      </c>
      <c r="AF8158" t="s">
        <v>45541</v>
      </c>
      <c r="AH8158">
        <v>1</v>
      </c>
      <c r="AI8158">
        <v>1</v>
      </c>
      <c r="AJ8158">
        <v>0</v>
      </c>
      <c r="AK8158">
        <v>124.9</v>
      </c>
      <c r="AN8158" t="s">
        <v>45587</v>
      </c>
      <c r="AO8158">
        <v>15600</v>
      </c>
      <c r="AU8158">
        <v>0.3</v>
      </c>
      <c r="AV8158" t="s">
        <v>804</v>
      </c>
      <c r="AW8158" t="s">
        <v>198</v>
      </c>
    </row>
    <row r="8159" spans="1:50">
      <c r="A8159" s="1">
        <f>HYPERLINK("https://lsnyc.legalserver.org/matter/dynamic-profile/view/1900440","19-1900440")</f>
        <v>0</v>
      </c>
      <c r="B8159" t="s">
        <v>147</v>
      </c>
      <c r="C8159" t="s">
        <v>340</v>
      </c>
      <c r="D8159" t="s">
        <v>804</v>
      </c>
      <c r="F8159" t="s">
        <v>4190</v>
      </c>
      <c r="G8159" t="s">
        <v>968</v>
      </c>
      <c r="H8159" t="s">
        <v>15196</v>
      </c>
      <c r="I8159" t="s">
        <v>17327</v>
      </c>
      <c r="J8159" t="s">
        <v>18894</v>
      </c>
      <c r="K8159">
        <v>11226</v>
      </c>
      <c r="L8159" t="s">
        <v>18958</v>
      </c>
      <c r="M8159" t="s">
        <v>18960</v>
      </c>
      <c r="N8159" t="s">
        <v>24818</v>
      </c>
      <c r="O8159" t="s">
        <v>26526</v>
      </c>
      <c r="P8159" t="s">
        <v>26560</v>
      </c>
      <c r="R8159" t="s">
        <v>26578</v>
      </c>
      <c r="S8159" t="s">
        <v>18958</v>
      </c>
      <c r="U8159" t="s">
        <v>26604</v>
      </c>
      <c r="V8159" t="s">
        <v>26610</v>
      </c>
      <c r="W8159" t="s">
        <v>804</v>
      </c>
      <c r="X8159">
        <v>1150</v>
      </c>
      <c r="Y8159" t="s">
        <v>26652</v>
      </c>
      <c r="Z8159" t="s">
        <v>26667</v>
      </c>
      <c r="AB8159" t="s">
        <v>32671</v>
      </c>
      <c r="AD8159" t="s">
        <v>43176</v>
      </c>
      <c r="AE8159">
        <v>36</v>
      </c>
      <c r="AF8159" t="s">
        <v>45541</v>
      </c>
      <c r="AH8159">
        <v>13</v>
      </c>
      <c r="AI8159">
        <v>3</v>
      </c>
      <c r="AJ8159">
        <v>0</v>
      </c>
      <c r="AK8159">
        <v>158.46</v>
      </c>
      <c r="AN8159" t="s">
        <v>45587</v>
      </c>
      <c r="AO8159">
        <v>33800</v>
      </c>
      <c r="AU8159">
        <v>0.2</v>
      </c>
      <c r="AV8159" t="s">
        <v>804</v>
      </c>
      <c r="AW8159" t="s">
        <v>198</v>
      </c>
    </row>
    <row r="8160" spans="1:50">
      <c r="A8160" s="1">
        <f>HYPERLINK("https://lsnyc.legalserver.org/matter/dynamic-profile/view/1900420","19-1900420")</f>
        <v>0</v>
      </c>
      <c r="B8160" t="s">
        <v>147</v>
      </c>
      <c r="C8160" t="s">
        <v>340</v>
      </c>
      <c r="D8160" t="s">
        <v>804</v>
      </c>
      <c r="F8160" t="s">
        <v>1377</v>
      </c>
      <c r="G8160" t="s">
        <v>1279</v>
      </c>
      <c r="H8160" t="s">
        <v>15196</v>
      </c>
      <c r="I8160" t="s">
        <v>17436</v>
      </c>
      <c r="J8160" t="s">
        <v>18894</v>
      </c>
      <c r="K8160">
        <v>11226</v>
      </c>
      <c r="L8160" t="s">
        <v>18958</v>
      </c>
      <c r="M8160" t="s">
        <v>18960</v>
      </c>
      <c r="N8160" t="s">
        <v>24818</v>
      </c>
      <c r="O8160" t="s">
        <v>26526</v>
      </c>
      <c r="P8160" t="s">
        <v>26560</v>
      </c>
      <c r="R8160" t="s">
        <v>26578</v>
      </c>
      <c r="S8160" t="s">
        <v>18958</v>
      </c>
      <c r="U8160" t="s">
        <v>26604</v>
      </c>
      <c r="W8160" t="s">
        <v>804</v>
      </c>
      <c r="X8160">
        <v>1107</v>
      </c>
      <c r="Y8160" t="s">
        <v>26652</v>
      </c>
      <c r="Z8160" t="s">
        <v>26667</v>
      </c>
      <c r="AB8160" t="s">
        <v>32672</v>
      </c>
      <c r="AD8160" t="s">
        <v>43177</v>
      </c>
      <c r="AE8160">
        <v>36</v>
      </c>
      <c r="AF8160" t="s">
        <v>45541</v>
      </c>
      <c r="AH8160">
        <v>18</v>
      </c>
      <c r="AI8160">
        <v>2</v>
      </c>
      <c r="AJ8160">
        <v>0</v>
      </c>
      <c r="AK8160">
        <v>162.67</v>
      </c>
      <c r="AN8160" t="s">
        <v>45585</v>
      </c>
      <c r="AO8160">
        <v>27508</v>
      </c>
      <c r="AU8160">
        <v>0</v>
      </c>
      <c r="AW8160" t="s">
        <v>219</v>
      </c>
    </row>
    <row r="8161" spans="1:50">
      <c r="A8161" s="1">
        <f>HYPERLINK("https://lsnyc.legalserver.org/matter/dynamic-profile/view/1900428","19-1900428")</f>
        <v>0</v>
      </c>
      <c r="B8161" t="s">
        <v>147</v>
      </c>
      <c r="C8161" t="s">
        <v>340</v>
      </c>
      <c r="D8161" t="s">
        <v>804</v>
      </c>
      <c r="F8161" t="s">
        <v>900</v>
      </c>
      <c r="G8161" t="s">
        <v>8586</v>
      </c>
      <c r="H8161" t="s">
        <v>15196</v>
      </c>
      <c r="I8161" t="s">
        <v>17273</v>
      </c>
      <c r="J8161" t="s">
        <v>18894</v>
      </c>
      <c r="K8161">
        <v>11226</v>
      </c>
      <c r="L8161" t="s">
        <v>18958</v>
      </c>
      <c r="M8161" t="s">
        <v>18960</v>
      </c>
      <c r="N8161" t="s">
        <v>24818</v>
      </c>
      <c r="O8161" t="s">
        <v>26526</v>
      </c>
      <c r="P8161" t="s">
        <v>26560</v>
      </c>
      <c r="R8161" t="s">
        <v>26578</v>
      </c>
      <c r="S8161" t="s">
        <v>18958</v>
      </c>
      <c r="U8161" t="s">
        <v>26604</v>
      </c>
      <c r="V8161" t="s">
        <v>26610</v>
      </c>
      <c r="W8161" t="s">
        <v>804</v>
      </c>
      <c r="X8161">
        <v>2125</v>
      </c>
      <c r="Y8161" t="s">
        <v>26652</v>
      </c>
      <c r="Z8161" t="s">
        <v>26667</v>
      </c>
      <c r="AB8161" t="s">
        <v>29752</v>
      </c>
      <c r="AE8161">
        <v>36</v>
      </c>
      <c r="AF8161" t="s">
        <v>45541</v>
      </c>
      <c r="AH8161">
        <v>-1</v>
      </c>
      <c r="AI8161">
        <v>3</v>
      </c>
      <c r="AJ8161">
        <v>1</v>
      </c>
      <c r="AK8161">
        <v>388.35</v>
      </c>
      <c r="AN8161" t="s">
        <v>7439</v>
      </c>
      <c r="AO8161">
        <v>100000</v>
      </c>
      <c r="AU8161">
        <v>0.2</v>
      </c>
      <c r="AV8161" t="s">
        <v>804</v>
      </c>
      <c r="AW8161" t="s">
        <v>198</v>
      </c>
      <c r="AX8161" t="s">
        <v>46897</v>
      </c>
    </row>
    <row r="8162" spans="1:50">
      <c r="A8162" s="1">
        <f>HYPERLINK("https://lsnyc.legalserver.org/matter/dynamic-profile/view/1900387","19-1900387")</f>
        <v>0</v>
      </c>
      <c r="B8162" t="s">
        <v>94</v>
      </c>
      <c r="C8162" t="s">
        <v>340</v>
      </c>
      <c r="D8162" t="s">
        <v>804</v>
      </c>
      <c r="F8162" t="s">
        <v>952</v>
      </c>
      <c r="G8162" t="s">
        <v>5502</v>
      </c>
      <c r="H8162" t="s">
        <v>15192</v>
      </c>
      <c r="I8162" t="s">
        <v>18537</v>
      </c>
      <c r="J8162" t="s">
        <v>18893</v>
      </c>
      <c r="K8162">
        <v>10025</v>
      </c>
      <c r="L8162" t="s">
        <v>18958</v>
      </c>
      <c r="M8162" t="s">
        <v>18960</v>
      </c>
      <c r="N8162" t="s">
        <v>24819</v>
      </c>
      <c r="O8162" t="s">
        <v>26523</v>
      </c>
      <c r="R8162" t="s">
        <v>26580</v>
      </c>
      <c r="S8162" t="s">
        <v>18958</v>
      </c>
      <c r="U8162" t="s">
        <v>26604</v>
      </c>
      <c r="W8162" t="s">
        <v>804</v>
      </c>
      <c r="X8162">
        <v>1561</v>
      </c>
      <c r="Y8162" t="s">
        <v>26651</v>
      </c>
      <c r="Z8162" t="s">
        <v>26664</v>
      </c>
      <c r="AB8162" t="s">
        <v>32673</v>
      </c>
      <c r="AD8162" t="s">
        <v>43178</v>
      </c>
      <c r="AE8162">
        <v>0</v>
      </c>
      <c r="AF8162" t="s">
        <v>45543</v>
      </c>
      <c r="AG8162" t="s">
        <v>45556</v>
      </c>
      <c r="AH8162">
        <v>2</v>
      </c>
      <c r="AI8162">
        <v>1</v>
      </c>
      <c r="AJ8162">
        <v>2</v>
      </c>
      <c r="AK8162">
        <v>0</v>
      </c>
      <c r="AN8162" t="s">
        <v>7439</v>
      </c>
      <c r="AO8162">
        <v>0</v>
      </c>
      <c r="AU8162">
        <v>2</v>
      </c>
      <c r="AV8162" t="s">
        <v>835</v>
      </c>
      <c r="AW8162" t="s">
        <v>46879</v>
      </c>
    </row>
    <row r="8163" spans="1:50">
      <c r="A8163" s="1">
        <f>HYPERLINK("https://lsnyc.legalserver.org/matter/dynamic-profile/view/1900431","19-1900431")</f>
        <v>0</v>
      </c>
      <c r="B8163" t="s">
        <v>294</v>
      </c>
      <c r="C8163" t="s">
        <v>340</v>
      </c>
      <c r="D8163" t="s">
        <v>804</v>
      </c>
      <c r="F8163" t="s">
        <v>4191</v>
      </c>
      <c r="G8163" t="s">
        <v>8587</v>
      </c>
      <c r="H8163" t="s">
        <v>15197</v>
      </c>
      <c r="I8163" t="s">
        <v>17390</v>
      </c>
      <c r="J8163" t="s">
        <v>18901</v>
      </c>
      <c r="K8163">
        <v>11432</v>
      </c>
      <c r="L8163" t="s">
        <v>18958</v>
      </c>
      <c r="M8163" t="s">
        <v>18960</v>
      </c>
      <c r="N8163" t="s">
        <v>24820</v>
      </c>
      <c r="O8163" t="s">
        <v>26524</v>
      </c>
      <c r="P8163" t="s">
        <v>26564</v>
      </c>
      <c r="R8163" t="s">
        <v>26584</v>
      </c>
      <c r="S8163" t="s">
        <v>18959</v>
      </c>
      <c r="U8163" t="s">
        <v>26604</v>
      </c>
      <c r="V8163" t="s">
        <v>26610</v>
      </c>
      <c r="W8163" t="s">
        <v>804</v>
      </c>
      <c r="X8163">
        <v>2200</v>
      </c>
      <c r="Y8163" t="s">
        <v>26653</v>
      </c>
      <c r="Z8163" t="s">
        <v>26661</v>
      </c>
      <c r="AB8163" t="s">
        <v>32674</v>
      </c>
      <c r="AD8163" t="s">
        <v>43179</v>
      </c>
      <c r="AE8163">
        <v>20</v>
      </c>
      <c r="AF8163" t="s">
        <v>20460</v>
      </c>
      <c r="AG8163" t="s">
        <v>19330</v>
      </c>
      <c r="AH8163">
        <v>3</v>
      </c>
      <c r="AI8163">
        <v>1</v>
      </c>
      <c r="AJ8163">
        <v>2</v>
      </c>
      <c r="AK8163">
        <v>0</v>
      </c>
      <c r="AN8163" t="s">
        <v>7439</v>
      </c>
      <c r="AO8163">
        <v>0</v>
      </c>
      <c r="AU8163">
        <v>1.4</v>
      </c>
      <c r="AV8163" t="s">
        <v>804</v>
      </c>
      <c r="AW8163" t="s">
        <v>208</v>
      </c>
      <c r="AX8163" t="s">
        <v>46897</v>
      </c>
    </row>
    <row r="8164" spans="1:50">
      <c r="A8164" s="1">
        <f>HYPERLINK("https://lsnyc.legalserver.org/matter/dynamic-profile/view/1900410","19-1900410")</f>
        <v>0</v>
      </c>
      <c r="B8164" t="s">
        <v>294</v>
      </c>
      <c r="C8164" t="s">
        <v>340</v>
      </c>
      <c r="D8164" t="s">
        <v>804</v>
      </c>
      <c r="F8164" t="s">
        <v>4192</v>
      </c>
      <c r="G8164" t="s">
        <v>8588</v>
      </c>
      <c r="H8164" t="s">
        <v>15198</v>
      </c>
      <c r="I8164" t="s">
        <v>17375</v>
      </c>
      <c r="J8164" t="s">
        <v>18933</v>
      </c>
      <c r="K8164">
        <v>11422</v>
      </c>
      <c r="L8164" t="s">
        <v>18958</v>
      </c>
      <c r="M8164" t="s">
        <v>18960</v>
      </c>
      <c r="N8164" t="s">
        <v>24821</v>
      </c>
      <c r="O8164" t="s">
        <v>26524</v>
      </c>
      <c r="P8164" t="s">
        <v>26564</v>
      </c>
      <c r="R8164" t="s">
        <v>26584</v>
      </c>
      <c r="S8164" t="s">
        <v>18959</v>
      </c>
      <c r="U8164" t="s">
        <v>26604</v>
      </c>
      <c r="V8164" t="s">
        <v>26610</v>
      </c>
      <c r="W8164" t="s">
        <v>804</v>
      </c>
      <c r="X8164">
        <v>1750</v>
      </c>
      <c r="Y8164" t="s">
        <v>26653</v>
      </c>
      <c r="Z8164" t="s">
        <v>26661</v>
      </c>
      <c r="AB8164" t="s">
        <v>32675</v>
      </c>
      <c r="AD8164" t="s">
        <v>43180</v>
      </c>
      <c r="AE8164">
        <v>2</v>
      </c>
      <c r="AF8164" t="s">
        <v>20460</v>
      </c>
      <c r="AG8164" t="s">
        <v>19330</v>
      </c>
      <c r="AH8164">
        <v>11</v>
      </c>
      <c r="AI8164">
        <v>3</v>
      </c>
      <c r="AJ8164">
        <v>3</v>
      </c>
      <c r="AK8164">
        <v>0</v>
      </c>
      <c r="AN8164" t="s">
        <v>7439</v>
      </c>
      <c r="AO8164">
        <v>0</v>
      </c>
      <c r="AU8164">
        <v>1.3</v>
      </c>
      <c r="AV8164" t="s">
        <v>804</v>
      </c>
      <c r="AW8164" t="s">
        <v>208</v>
      </c>
      <c r="AX8164" t="s">
        <v>46897</v>
      </c>
    </row>
    <row r="8165" spans="1:50">
      <c r="A8165" s="1">
        <f>HYPERLINK("https://lsnyc.legalserver.org/matter/dynamic-profile/view/1900400","19-1900400")</f>
        <v>0</v>
      </c>
      <c r="B8165" t="s">
        <v>258</v>
      </c>
      <c r="C8165" t="s">
        <v>340</v>
      </c>
      <c r="D8165" t="s">
        <v>804</v>
      </c>
      <c r="F8165" t="s">
        <v>4193</v>
      </c>
      <c r="G8165" t="s">
        <v>3741</v>
      </c>
      <c r="H8165" t="s">
        <v>15199</v>
      </c>
      <c r="I8165" t="s">
        <v>18538</v>
      </c>
      <c r="J8165" t="s">
        <v>18900</v>
      </c>
      <c r="K8165">
        <v>11355</v>
      </c>
      <c r="L8165" t="s">
        <v>18958</v>
      </c>
      <c r="M8165" t="s">
        <v>18960</v>
      </c>
      <c r="N8165" t="s">
        <v>24822</v>
      </c>
      <c r="O8165" t="s">
        <v>26524</v>
      </c>
      <c r="P8165" t="s">
        <v>26564</v>
      </c>
      <c r="R8165" t="s">
        <v>26578</v>
      </c>
      <c r="S8165" t="s">
        <v>18959</v>
      </c>
      <c r="U8165" t="s">
        <v>26604</v>
      </c>
      <c r="V8165" t="s">
        <v>26610</v>
      </c>
      <c r="W8165" t="s">
        <v>804</v>
      </c>
      <c r="X8165">
        <v>1257.22</v>
      </c>
      <c r="Y8165" t="s">
        <v>26653</v>
      </c>
      <c r="Z8165" t="s">
        <v>26661</v>
      </c>
      <c r="AB8165" t="s">
        <v>32676</v>
      </c>
      <c r="AD8165" t="s">
        <v>43181</v>
      </c>
      <c r="AE8165">
        <v>144</v>
      </c>
      <c r="AF8165" t="s">
        <v>20460</v>
      </c>
      <c r="AG8165" t="s">
        <v>19330</v>
      </c>
      <c r="AH8165">
        <v>11</v>
      </c>
      <c r="AI8165">
        <v>1</v>
      </c>
      <c r="AJ8165">
        <v>0</v>
      </c>
      <c r="AK8165">
        <v>19.05</v>
      </c>
      <c r="AN8165" t="s">
        <v>45595</v>
      </c>
      <c r="AO8165">
        <v>2379</v>
      </c>
      <c r="AU8165">
        <v>2.05</v>
      </c>
      <c r="AV8165" t="s">
        <v>826</v>
      </c>
      <c r="AW8165" t="s">
        <v>208</v>
      </c>
      <c r="AX8165" t="s">
        <v>46897</v>
      </c>
    </row>
    <row r="8166" spans="1:50">
      <c r="A8166" s="1">
        <f>HYPERLINK("https://lsnyc.legalserver.org/matter/dynamic-profile/view/1900421","19-1900421")</f>
        <v>0</v>
      </c>
      <c r="B8166" t="s">
        <v>258</v>
      </c>
      <c r="C8166" t="s">
        <v>340</v>
      </c>
      <c r="D8166" t="s">
        <v>804</v>
      </c>
      <c r="F8166" t="s">
        <v>1008</v>
      </c>
      <c r="G8166" t="s">
        <v>1725</v>
      </c>
      <c r="H8166" t="s">
        <v>15200</v>
      </c>
      <c r="I8166">
        <v>1</v>
      </c>
      <c r="J8166" t="s">
        <v>18923</v>
      </c>
      <c r="K8166">
        <v>11418</v>
      </c>
      <c r="L8166" t="s">
        <v>18958</v>
      </c>
      <c r="M8166" t="s">
        <v>18960</v>
      </c>
      <c r="N8166" t="s">
        <v>24823</v>
      </c>
      <c r="O8166" t="s">
        <v>26523</v>
      </c>
      <c r="P8166" t="s">
        <v>26564</v>
      </c>
      <c r="R8166" t="s">
        <v>26584</v>
      </c>
      <c r="S8166" t="s">
        <v>18959</v>
      </c>
      <c r="U8166" t="s">
        <v>26604</v>
      </c>
      <c r="W8166" t="s">
        <v>804</v>
      </c>
      <c r="X8166">
        <v>2010</v>
      </c>
      <c r="Y8166" t="s">
        <v>26653</v>
      </c>
      <c r="Z8166" t="s">
        <v>26661</v>
      </c>
      <c r="AA8166" t="s">
        <v>26683</v>
      </c>
      <c r="AB8166" t="s">
        <v>32677</v>
      </c>
      <c r="AD8166" t="s">
        <v>43182</v>
      </c>
      <c r="AE8166">
        <v>2</v>
      </c>
      <c r="AF8166" t="s">
        <v>20460</v>
      </c>
      <c r="AG8166" t="s">
        <v>45557</v>
      </c>
      <c r="AH8166">
        <v>7</v>
      </c>
      <c r="AI8166">
        <v>1</v>
      </c>
      <c r="AJ8166">
        <v>4</v>
      </c>
      <c r="AK8166">
        <v>28.29</v>
      </c>
      <c r="AN8166" t="s">
        <v>7439</v>
      </c>
      <c r="AO8166">
        <v>8536</v>
      </c>
      <c r="AU8166">
        <v>0.4</v>
      </c>
      <c r="AV8166" t="s">
        <v>804</v>
      </c>
      <c r="AW8166" t="s">
        <v>208</v>
      </c>
      <c r="AX8166" t="s">
        <v>46897</v>
      </c>
    </row>
    <row r="8167" spans="1:50">
      <c r="A8167" s="1">
        <f>HYPERLINK("https://lsnyc.legalserver.org/matter/dynamic-profile/view/1900393","19-1900393")</f>
        <v>0</v>
      </c>
      <c r="B8167" t="s">
        <v>212</v>
      </c>
      <c r="C8167" t="s">
        <v>340</v>
      </c>
      <c r="D8167" t="s">
        <v>804</v>
      </c>
      <c r="F8167" t="s">
        <v>948</v>
      </c>
      <c r="G8167" t="s">
        <v>8589</v>
      </c>
      <c r="H8167" t="s">
        <v>15201</v>
      </c>
      <c r="I8167" t="s">
        <v>17440</v>
      </c>
      <c r="J8167" t="s">
        <v>18946</v>
      </c>
      <c r="K8167">
        <v>11372</v>
      </c>
      <c r="L8167" t="s">
        <v>18958</v>
      </c>
      <c r="M8167" t="s">
        <v>18960</v>
      </c>
      <c r="N8167" t="s">
        <v>24824</v>
      </c>
      <c r="O8167" t="s">
        <v>26524</v>
      </c>
      <c r="P8167" t="s">
        <v>26563</v>
      </c>
      <c r="R8167" t="s">
        <v>26578</v>
      </c>
      <c r="S8167" t="s">
        <v>18959</v>
      </c>
      <c r="U8167" t="s">
        <v>26604</v>
      </c>
      <c r="W8167" t="s">
        <v>804</v>
      </c>
      <c r="X8167">
        <v>725</v>
      </c>
      <c r="Y8167" t="s">
        <v>26653</v>
      </c>
      <c r="Z8167" t="s">
        <v>26661</v>
      </c>
      <c r="AB8167" t="s">
        <v>32678</v>
      </c>
      <c r="AD8167" t="s">
        <v>34738</v>
      </c>
      <c r="AE8167">
        <v>60</v>
      </c>
      <c r="AF8167" t="s">
        <v>20460</v>
      </c>
      <c r="AG8167" t="s">
        <v>19330</v>
      </c>
      <c r="AH8167">
        <v>50</v>
      </c>
      <c r="AI8167">
        <v>2</v>
      </c>
      <c r="AJ8167">
        <v>1</v>
      </c>
      <c r="AK8167">
        <v>56.26</v>
      </c>
      <c r="AN8167" t="s">
        <v>7439</v>
      </c>
      <c r="AO8167">
        <v>12000</v>
      </c>
      <c r="AU8167">
        <v>1.45</v>
      </c>
      <c r="AV8167" t="s">
        <v>804</v>
      </c>
      <c r="AW8167" t="s">
        <v>208</v>
      </c>
      <c r="AX8167" t="s">
        <v>46897</v>
      </c>
    </row>
    <row r="8168" spans="1:50">
      <c r="A8168" s="1">
        <f>HYPERLINK("https://lsnyc.legalserver.org/matter/dynamic-profile/view/1900483","19-1900483")</f>
        <v>0</v>
      </c>
      <c r="B8168" t="s">
        <v>299</v>
      </c>
      <c r="C8168" t="s">
        <v>340</v>
      </c>
      <c r="D8168" t="s">
        <v>804</v>
      </c>
      <c r="F8168" t="s">
        <v>3361</v>
      </c>
      <c r="G8168" t="s">
        <v>5026</v>
      </c>
      <c r="H8168" t="s">
        <v>15202</v>
      </c>
      <c r="I8168">
        <v>14</v>
      </c>
      <c r="J8168" t="s">
        <v>18892</v>
      </c>
      <c r="K8168">
        <v>10457</v>
      </c>
      <c r="L8168" t="s">
        <v>18958</v>
      </c>
      <c r="M8168" t="s">
        <v>18960</v>
      </c>
      <c r="N8168" t="s">
        <v>24825</v>
      </c>
      <c r="O8168" t="s">
        <v>26523</v>
      </c>
      <c r="P8168" t="s">
        <v>26560</v>
      </c>
      <c r="R8168" t="s">
        <v>26579</v>
      </c>
      <c r="U8168" t="s">
        <v>26604</v>
      </c>
      <c r="W8168" t="s">
        <v>804</v>
      </c>
      <c r="X8168">
        <v>1336</v>
      </c>
      <c r="Y8168" t="s">
        <v>26650</v>
      </c>
      <c r="AB8168" t="s">
        <v>32679</v>
      </c>
      <c r="AC8168" t="s">
        <v>36472</v>
      </c>
      <c r="AD8168" t="s">
        <v>43183</v>
      </c>
      <c r="AE8168">
        <v>0</v>
      </c>
      <c r="AH8168">
        <v>4</v>
      </c>
      <c r="AI8168">
        <v>1</v>
      </c>
      <c r="AJ8168">
        <v>1</v>
      </c>
      <c r="AK8168">
        <v>183.28</v>
      </c>
      <c r="AN8168" t="s">
        <v>7439</v>
      </c>
      <c r="AO8168">
        <v>30992</v>
      </c>
      <c r="AU8168">
        <v>1</v>
      </c>
      <c r="AV8168" t="s">
        <v>838</v>
      </c>
      <c r="AW8168" t="s">
        <v>284</v>
      </c>
      <c r="AX8168" t="s">
        <v>46898</v>
      </c>
    </row>
    <row r="8169" spans="1:50">
      <c r="A8169" s="1">
        <f>HYPERLINK("https://lsnyc.legalserver.org/matter/dynamic-profile/view/1900499","19-1900499")</f>
        <v>0</v>
      </c>
      <c r="B8169" t="s">
        <v>141</v>
      </c>
      <c r="C8169" t="s">
        <v>340</v>
      </c>
      <c r="D8169" t="s">
        <v>804</v>
      </c>
      <c r="F8169" t="s">
        <v>990</v>
      </c>
      <c r="G8169" t="s">
        <v>945</v>
      </c>
      <c r="H8169" t="s">
        <v>15203</v>
      </c>
      <c r="I8169" t="s">
        <v>18539</v>
      </c>
      <c r="J8169" t="s">
        <v>18942</v>
      </c>
      <c r="K8169">
        <v>11101</v>
      </c>
      <c r="L8169" t="s">
        <v>18958</v>
      </c>
      <c r="M8169" t="s">
        <v>18960</v>
      </c>
      <c r="N8169" t="s">
        <v>24826</v>
      </c>
      <c r="O8169" t="s">
        <v>26523</v>
      </c>
      <c r="P8169" t="s">
        <v>26560</v>
      </c>
      <c r="R8169" t="s">
        <v>26578</v>
      </c>
      <c r="S8169" t="s">
        <v>18959</v>
      </c>
      <c r="U8169" t="s">
        <v>26604</v>
      </c>
      <c r="V8169" t="s">
        <v>26611</v>
      </c>
      <c r="W8169" t="s">
        <v>804</v>
      </c>
      <c r="X8169">
        <v>1193.64</v>
      </c>
      <c r="Y8169" t="s">
        <v>26653</v>
      </c>
      <c r="Z8169" t="s">
        <v>26664</v>
      </c>
      <c r="AB8169" t="s">
        <v>31972</v>
      </c>
      <c r="AD8169" t="s">
        <v>43184</v>
      </c>
      <c r="AE8169">
        <v>140</v>
      </c>
      <c r="AF8169" t="s">
        <v>45541</v>
      </c>
      <c r="AG8169" t="s">
        <v>45562</v>
      </c>
      <c r="AH8169">
        <v>1</v>
      </c>
      <c r="AI8169">
        <v>2</v>
      </c>
      <c r="AJ8169">
        <v>0</v>
      </c>
      <c r="AK8169">
        <v>0</v>
      </c>
      <c r="AN8169" t="s">
        <v>7439</v>
      </c>
      <c r="AO8169">
        <v>0</v>
      </c>
      <c r="AU8169">
        <v>19.05</v>
      </c>
      <c r="AV8169" t="s">
        <v>836</v>
      </c>
      <c r="AW8169" t="s">
        <v>114</v>
      </c>
      <c r="AX8169" t="s">
        <v>46897</v>
      </c>
    </row>
    <row r="8170" spans="1:50">
      <c r="A8170" s="1">
        <f>HYPERLINK("https://lsnyc.legalserver.org/matter/dynamic-profile/view/1900493","19-1900493")</f>
        <v>0</v>
      </c>
      <c r="B8170" t="s">
        <v>159</v>
      </c>
      <c r="C8170" t="s">
        <v>340</v>
      </c>
      <c r="D8170" t="s">
        <v>804</v>
      </c>
      <c r="F8170" t="s">
        <v>881</v>
      </c>
      <c r="G8170" t="s">
        <v>5147</v>
      </c>
      <c r="H8170" t="s">
        <v>15204</v>
      </c>
      <c r="I8170" t="s">
        <v>17300</v>
      </c>
      <c r="J8170" t="s">
        <v>18932</v>
      </c>
      <c r="K8170">
        <v>11385</v>
      </c>
      <c r="L8170" t="s">
        <v>18958</v>
      </c>
      <c r="M8170" t="s">
        <v>18960</v>
      </c>
      <c r="N8170" t="s">
        <v>24827</v>
      </c>
      <c r="O8170" t="s">
        <v>26523</v>
      </c>
      <c r="P8170" t="s">
        <v>26563</v>
      </c>
      <c r="R8170" t="s">
        <v>26585</v>
      </c>
      <c r="S8170" t="s">
        <v>18959</v>
      </c>
      <c r="U8170" t="s">
        <v>26604</v>
      </c>
      <c r="V8170" t="s">
        <v>26612</v>
      </c>
      <c r="W8170" t="s">
        <v>804</v>
      </c>
      <c r="X8170">
        <v>2050</v>
      </c>
      <c r="Y8170" t="s">
        <v>26653</v>
      </c>
      <c r="Z8170" t="s">
        <v>26664</v>
      </c>
      <c r="AB8170" t="s">
        <v>32680</v>
      </c>
      <c r="AD8170" t="s">
        <v>43185</v>
      </c>
      <c r="AE8170">
        <v>52</v>
      </c>
      <c r="AF8170" t="s">
        <v>45541</v>
      </c>
      <c r="AG8170" t="s">
        <v>19330</v>
      </c>
      <c r="AH8170">
        <v>5</v>
      </c>
      <c r="AI8170">
        <v>3</v>
      </c>
      <c r="AJ8170">
        <v>0</v>
      </c>
      <c r="AK8170">
        <v>150.02</v>
      </c>
      <c r="AN8170" t="s">
        <v>7439</v>
      </c>
      <c r="AO8170">
        <v>32000</v>
      </c>
      <c r="AU8170">
        <v>4</v>
      </c>
      <c r="AV8170" t="s">
        <v>835</v>
      </c>
      <c r="AW8170" t="s">
        <v>142</v>
      </c>
    </row>
    <row r="8171" spans="1:50">
      <c r="A8171" s="1">
        <f>HYPERLINK("https://lsnyc.legalserver.org/matter/dynamic-profile/view/1900463","19-1900463")</f>
        <v>0</v>
      </c>
      <c r="B8171" t="s">
        <v>218</v>
      </c>
      <c r="C8171" t="s">
        <v>340</v>
      </c>
      <c r="D8171" t="s">
        <v>804</v>
      </c>
      <c r="F8171" t="s">
        <v>947</v>
      </c>
      <c r="G8171" t="s">
        <v>5295</v>
      </c>
      <c r="H8171" t="s">
        <v>12597</v>
      </c>
      <c r="I8171" t="s">
        <v>17277</v>
      </c>
      <c r="J8171" t="s">
        <v>18893</v>
      </c>
      <c r="K8171">
        <v>10032</v>
      </c>
      <c r="L8171" t="s">
        <v>18958</v>
      </c>
      <c r="M8171" t="s">
        <v>18960</v>
      </c>
      <c r="P8171" t="s">
        <v>26560</v>
      </c>
      <c r="R8171" t="s">
        <v>26578</v>
      </c>
      <c r="S8171" t="s">
        <v>18959</v>
      </c>
      <c r="U8171" t="s">
        <v>26604</v>
      </c>
      <c r="W8171" t="s">
        <v>804</v>
      </c>
      <c r="X8171">
        <v>775</v>
      </c>
      <c r="Y8171" t="s">
        <v>26651</v>
      </c>
      <c r="Z8171" t="s">
        <v>26661</v>
      </c>
      <c r="AB8171" t="s">
        <v>29863</v>
      </c>
      <c r="AD8171" t="s">
        <v>39985</v>
      </c>
      <c r="AE8171">
        <v>48</v>
      </c>
      <c r="AF8171" t="s">
        <v>45541</v>
      </c>
      <c r="AG8171" t="s">
        <v>19330</v>
      </c>
      <c r="AH8171">
        <v>21</v>
      </c>
      <c r="AI8171">
        <v>3</v>
      </c>
      <c r="AJ8171">
        <v>0</v>
      </c>
      <c r="AK8171">
        <v>140.65</v>
      </c>
      <c r="AN8171" t="s">
        <v>7439</v>
      </c>
      <c r="AO8171">
        <v>30000</v>
      </c>
      <c r="AU8171">
        <v>0.65</v>
      </c>
      <c r="AV8171" t="s">
        <v>829</v>
      </c>
      <c r="AW8171" t="s">
        <v>46840</v>
      </c>
      <c r="AX8171" t="s">
        <v>46897</v>
      </c>
    </row>
    <row r="8172" spans="1:50">
      <c r="A8172" s="1">
        <f>HYPERLINK("https://lsnyc.legalserver.org/matter/dynamic-profile/view/1900399","19-1900399")</f>
        <v>0</v>
      </c>
      <c r="B8172" t="s">
        <v>194</v>
      </c>
      <c r="C8172" t="s">
        <v>340</v>
      </c>
      <c r="D8172" t="s">
        <v>804</v>
      </c>
      <c r="F8172" t="s">
        <v>3137</v>
      </c>
      <c r="G8172" t="s">
        <v>5619</v>
      </c>
      <c r="H8172" t="s">
        <v>15205</v>
      </c>
      <c r="I8172" t="s">
        <v>18521</v>
      </c>
      <c r="J8172" t="s">
        <v>18893</v>
      </c>
      <c r="K8172">
        <v>10025</v>
      </c>
      <c r="L8172" t="s">
        <v>18958</v>
      </c>
      <c r="M8172" t="s">
        <v>18960</v>
      </c>
      <c r="N8172" t="s">
        <v>24828</v>
      </c>
      <c r="O8172" t="s">
        <v>26523</v>
      </c>
      <c r="R8172" t="s">
        <v>26580</v>
      </c>
      <c r="S8172" t="s">
        <v>18958</v>
      </c>
      <c r="U8172" t="s">
        <v>26604</v>
      </c>
      <c r="W8172" t="s">
        <v>804</v>
      </c>
      <c r="X8172">
        <v>1190.31</v>
      </c>
      <c r="Y8172" t="s">
        <v>26651</v>
      </c>
      <c r="Z8172" t="s">
        <v>26664</v>
      </c>
      <c r="AB8172" t="s">
        <v>28084</v>
      </c>
      <c r="AD8172" t="s">
        <v>43186</v>
      </c>
      <c r="AE8172">
        <v>0</v>
      </c>
      <c r="AF8172" t="s">
        <v>45541</v>
      </c>
      <c r="AG8172" t="s">
        <v>19330</v>
      </c>
      <c r="AH8172">
        <v>5</v>
      </c>
      <c r="AI8172">
        <v>1</v>
      </c>
      <c r="AJ8172">
        <v>0</v>
      </c>
      <c r="AK8172">
        <v>400.32</v>
      </c>
      <c r="AN8172" t="s">
        <v>7439</v>
      </c>
      <c r="AO8172">
        <v>50000</v>
      </c>
      <c r="AU8172">
        <v>0</v>
      </c>
      <c r="AW8172" t="s">
        <v>46879</v>
      </c>
      <c r="AX8172" t="s">
        <v>46897</v>
      </c>
    </row>
    <row r="8173" spans="1:50">
      <c r="A8173" s="1">
        <f>HYPERLINK("https://lsnyc.legalserver.org/matter/dynamic-profile/view/1900415","19-1900415")</f>
        <v>0</v>
      </c>
      <c r="B8173" t="s">
        <v>235</v>
      </c>
      <c r="C8173" t="s">
        <v>340</v>
      </c>
      <c r="D8173" t="s">
        <v>804</v>
      </c>
      <c r="F8173" t="s">
        <v>1641</v>
      </c>
      <c r="G8173" t="s">
        <v>7575</v>
      </c>
      <c r="H8173" t="s">
        <v>10051</v>
      </c>
      <c r="I8173">
        <v>206</v>
      </c>
      <c r="J8173" t="s">
        <v>18905</v>
      </c>
      <c r="K8173">
        <v>11692</v>
      </c>
      <c r="L8173" t="s">
        <v>18958</v>
      </c>
      <c r="M8173" t="s">
        <v>18960</v>
      </c>
      <c r="N8173" t="s">
        <v>24829</v>
      </c>
      <c r="O8173" t="s">
        <v>26523</v>
      </c>
      <c r="P8173" t="s">
        <v>26564</v>
      </c>
      <c r="R8173" t="s">
        <v>26578</v>
      </c>
      <c r="S8173" t="s">
        <v>18959</v>
      </c>
      <c r="U8173" t="s">
        <v>26604</v>
      </c>
      <c r="V8173" t="s">
        <v>26610</v>
      </c>
      <c r="W8173" t="s">
        <v>804</v>
      </c>
      <c r="X8173">
        <v>1673</v>
      </c>
      <c r="Y8173" t="s">
        <v>26653</v>
      </c>
      <c r="Z8173" t="s">
        <v>26661</v>
      </c>
      <c r="AB8173" t="s">
        <v>30768</v>
      </c>
      <c r="AD8173" t="s">
        <v>43187</v>
      </c>
      <c r="AE8173">
        <v>0</v>
      </c>
      <c r="AF8173" t="s">
        <v>45547</v>
      </c>
      <c r="AG8173" t="s">
        <v>45556</v>
      </c>
      <c r="AH8173">
        <v>6</v>
      </c>
      <c r="AI8173">
        <v>1</v>
      </c>
      <c r="AJ8173">
        <v>0</v>
      </c>
      <c r="AK8173">
        <v>0</v>
      </c>
      <c r="AN8173" t="s">
        <v>7439</v>
      </c>
      <c r="AO8173">
        <v>0</v>
      </c>
      <c r="AU8173">
        <v>2</v>
      </c>
      <c r="AV8173" t="s">
        <v>804</v>
      </c>
      <c r="AW8173" t="s">
        <v>208</v>
      </c>
      <c r="AX8173" t="s">
        <v>46897</v>
      </c>
    </row>
    <row r="8174" spans="1:50">
      <c r="A8174" s="1">
        <f>HYPERLINK("https://lsnyc.legalserver.org/matter/dynamic-profile/view/1900385","19-1900385")</f>
        <v>0</v>
      </c>
      <c r="B8174" t="s">
        <v>235</v>
      </c>
      <c r="C8174" t="s">
        <v>340</v>
      </c>
      <c r="D8174" t="s">
        <v>804</v>
      </c>
      <c r="F8174" t="s">
        <v>4194</v>
      </c>
      <c r="G8174" t="s">
        <v>5170</v>
      </c>
      <c r="H8174" t="s">
        <v>15206</v>
      </c>
      <c r="I8174" t="s">
        <v>17637</v>
      </c>
      <c r="J8174" t="s">
        <v>18946</v>
      </c>
      <c r="K8174">
        <v>11372</v>
      </c>
      <c r="L8174" t="s">
        <v>18958</v>
      </c>
      <c r="M8174" t="s">
        <v>18960</v>
      </c>
      <c r="N8174" t="s">
        <v>24830</v>
      </c>
      <c r="O8174" t="s">
        <v>26524</v>
      </c>
      <c r="P8174" t="s">
        <v>26564</v>
      </c>
      <c r="R8174" t="s">
        <v>26584</v>
      </c>
      <c r="S8174" t="s">
        <v>18959</v>
      </c>
      <c r="U8174" t="s">
        <v>26604</v>
      </c>
      <c r="V8174" t="s">
        <v>26610</v>
      </c>
      <c r="W8174" t="s">
        <v>804</v>
      </c>
      <c r="X8174">
        <v>0</v>
      </c>
      <c r="Y8174" t="s">
        <v>26653</v>
      </c>
      <c r="Z8174" t="s">
        <v>26661</v>
      </c>
      <c r="AB8174" t="s">
        <v>32681</v>
      </c>
      <c r="AD8174" t="s">
        <v>43188</v>
      </c>
      <c r="AE8174">
        <v>0</v>
      </c>
      <c r="AF8174" t="s">
        <v>20460</v>
      </c>
      <c r="AG8174" t="s">
        <v>19330</v>
      </c>
      <c r="AH8174">
        <v>0</v>
      </c>
      <c r="AI8174">
        <v>2</v>
      </c>
      <c r="AJ8174">
        <v>1</v>
      </c>
      <c r="AK8174">
        <v>46.88</v>
      </c>
      <c r="AN8174" t="s">
        <v>7439</v>
      </c>
      <c r="AO8174">
        <v>10000</v>
      </c>
      <c r="AU8174">
        <v>2.4</v>
      </c>
      <c r="AV8174" t="s">
        <v>828</v>
      </c>
      <c r="AW8174" t="s">
        <v>208</v>
      </c>
      <c r="AX8174" t="s">
        <v>46897</v>
      </c>
    </row>
    <row r="8175" spans="1:50">
      <c r="A8175" s="1">
        <f>HYPERLINK("https://lsnyc.legalserver.org/matter/dynamic-profile/view/1892166","19-1892166")</f>
        <v>0</v>
      </c>
      <c r="B8175" t="s">
        <v>96</v>
      </c>
      <c r="C8175" t="s">
        <v>341</v>
      </c>
      <c r="D8175" t="s">
        <v>758</v>
      </c>
      <c r="E8175" t="s">
        <v>807</v>
      </c>
      <c r="F8175" t="s">
        <v>887</v>
      </c>
      <c r="G8175" t="s">
        <v>7148</v>
      </c>
      <c r="H8175" t="s">
        <v>12790</v>
      </c>
      <c r="I8175" t="s">
        <v>17464</v>
      </c>
      <c r="J8175" t="s">
        <v>18892</v>
      </c>
      <c r="K8175">
        <v>10452</v>
      </c>
      <c r="L8175" t="s">
        <v>18958</v>
      </c>
      <c r="M8175" t="s">
        <v>18958</v>
      </c>
      <c r="N8175" t="s">
        <v>19045</v>
      </c>
      <c r="O8175" t="s">
        <v>26526</v>
      </c>
      <c r="P8175" t="s">
        <v>26564</v>
      </c>
      <c r="Q8175" t="s">
        <v>26570</v>
      </c>
      <c r="R8175" t="s">
        <v>26578</v>
      </c>
      <c r="U8175" t="s">
        <v>26604</v>
      </c>
      <c r="V8175" t="s">
        <v>26610</v>
      </c>
      <c r="W8175" t="s">
        <v>806</v>
      </c>
      <c r="X8175">
        <v>1130</v>
      </c>
      <c r="Y8175" t="s">
        <v>26650</v>
      </c>
      <c r="AA8175" t="s">
        <v>26683</v>
      </c>
      <c r="AB8175" t="s">
        <v>30067</v>
      </c>
      <c r="AD8175" t="s">
        <v>40197</v>
      </c>
      <c r="AE8175">
        <v>0</v>
      </c>
      <c r="AH8175">
        <v>5</v>
      </c>
      <c r="AI8175">
        <v>1</v>
      </c>
      <c r="AJ8175">
        <v>0</v>
      </c>
      <c r="AK8175">
        <v>160.7</v>
      </c>
      <c r="AN8175" t="s">
        <v>7439</v>
      </c>
      <c r="AO8175">
        <v>20072</v>
      </c>
      <c r="AP8175" t="s">
        <v>46084</v>
      </c>
      <c r="AU8175">
        <v>1.5</v>
      </c>
      <c r="AV8175" t="s">
        <v>758</v>
      </c>
      <c r="AW8175" t="s">
        <v>46870</v>
      </c>
      <c r="AX8175" t="s">
        <v>46897</v>
      </c>
    </row>
    <row r="8176" spans="1:50">
      <c r="A8176" s="1">
        <f>HYPERLINK("https://lsnyc.legalserver.org/matter/dynamic-profile/view/1896395","19-1896395")</f>
        <v>0</v>
      </c>
      <c r="B8176" t="s">
        <v>141</v>
      </c>
      <c r="C8176" t="s">
        <v>340</v>
      </c>
      <c r="D8176" t="s">
        <v>724</v>
      </c>
      <c r="F8176" t="s">
        <v>1646</v>
      </c>
      <c r="G8176" t="s">
        <v>5112</v>
      </c>
      <c r="H8176" t="s">
        <v>15207</v>
      </c>
      <c r="I8176" t="s">
        <v>17582</v>
      </c>
      <c r="J8176" t="s">
        <v>18898</v>
      </c>
      <c r="K8176">
        <v>11691</v>
      </c>
      <c r="L8176" t="s">
        <v>18958</v>
      </c>
      <c r="M8176" t="s">
        <v>18960</v>
      </c>
      <c r="N8176" t="s">
        <v>24831</v>
      </c>
      <c r="O8176" t="s">
        <v>26524</v>
      </c>
      <c r="P8176" t="s">
        <v>26560</v>
      </c>
      <c r="R8176" t="s">
        <v>26578</v>
      </c>
      <c r="S8176" t="s">
        <v>18959</v>
      </c>
      <c r="U8176" t="s">
        <v>26604</v>
      </c>
      <c r="V8176" t="s">
        <v>26610</v>
      </c>
      <c r="W8176" t="s">
        <v>806</v>
      </c>
      <c r="X8176">
        <v>1100</v>
      </c>
      <c r="Y8176" t="s">
        <v>26653</v>
      </c>
      <c r="Z8176" t="s">
        <v>26672</v>
      </c>
      <c r="AB8176" t="s">
        <v>32682</v>
      </c>
      <c r="AC8176" t="s">
        <v>19330</v>
      </c>
      <c r="AD8176" t="s">
        <v>43189</v>
      </c>
      <c r="AE8176">
        <v>1</v>
      </c>
      <c r="AF8176" t="s">
        <v>45547</v>
      </c>
      <c r="AG8176" t="s">
        <v>19330</v>
      </c>
      <c r="AH8176">
        <v>-1</v>
      </c>
      <c r="AI8176">
        <v>2</v>
      </c>
      <c r="AJ8176">
        <v>0</v>
      </c>
      <c r="AK8176">
        <v>354.82</v>
      </c>
      <c r="AM8176" t="s">
        <v>45575</v>
      </c>
      <c r="AN8176" t="s">
        <v>7439</v>
      </c>
      <c r="AO8176">
        <v>60000</v>
      </c>
      <c r="AU8176">
        <v>9.35</v>
      </c>
      <c r="AV8176" t="s">
        <v>834</v>
      </c>
      <c r="AW8176" t="s">
        <v>46849</v>
      </c>
      <c r="AX8176" t="s">
        <v>46897</v>
      </c>
    </row>
    <row r="8177" spans="1:50">
      <c r="A8177" s="1">
        <f>HYPERLINK("https://lsnyc.legalserver.org/matter/dynamic-profile/view/1898528","19-1898528")</f>
        <v>0</v>
      </c>
      <c r="B8177" t="s">
        <v>174</v>
      </c>
      <c r="C8177" t="s">
        <v>341</v>
      </c>
      <c r="D8177" t="s">
        <v>810</v>
      </c>
      <c r="E8177" t="s">
        <v>826</v>
      </c>
      <c r="F8177" t="s">
        <v>1329</v>
      </c>
      <c r="G8177" t="s">
        <v>5212</v>
      </c>
      <c r="H8177" t="s">
        <v>15208</v>
      </c>
      <c r="I8177" t="s">
        <v>17375</v>
      </c>
      <c r="J8177" t="s">
        <v>18894</v>
      </c>
      <c r="K8177">
        <v>11208</v>
      </c>
      <c r="L8177" t="s">
        <v>18958</v>
      </c>
      <c r="M8177" t="s">
        <v>18959</v>
      </c>
      <c r="N8177" t="s">
        <v>24832</v>
      </c>
      <c r="O8177" t="s">
        <v>26524</v>
      </c>
      <c r="P8177" t="s">
        <v>26565</v>
      </c>
      <c r="Q8177" t="s">
        <v>26569</v>
      </c>
      <c r="R8177" t="s">
        <v>26578</v>
      </c>
      <c r="S8177" t="s">
        <v>18959</v>
      </c>
      <c r="U8177" t="s">
        <v>26604</v>
      </c>
      <c r="V8177" t="s">
        <v>26610</v>
      </c>
      <c r="W8177" t="s">
        <v>806</v>
      </c>
      <c r="X8177">
        <v>1600</v>
      </c>
      <c r="Y8177" t="s">
        <v>26652</v>
      </c>
      <c r="AA8177" t="s">
        <v>26683</v>
      </c>
      <c r="AB8177" t="s">
        <v>32683</v>
      </c>
      <c r="AD8177" t="s">
        <v>43190</v>
      </c>
      <c r="AE8177">
        <v>2</v>
      </c>
      <c r="AF8177" t="s">
        <v>45547</v>
      </c>
      <c r="AG8177" t="s">
        <v>19330</v>
      </c>
      <c r="AH8177">
        <v>11</v>
      </c>
      <c r="AI8177">
        <v>2</v>
      </c>
      <c r="AJ8177">
        <v>1</v>
      </c>
      <c r="AK8177">
        <v>234.41</v>
      </c>
      <c r="AN8177" t="s">
        <v>7439</v>
      </c>
      <c r="AO8177">
        <v>50000</v>
      </c>
      <c r="AP8177" t="s">
        <v>46085</v>
      </c>
      <c r="AU8177">
        <v>2</v>
      </c>
      <c r="AV8177" t="s">
        <v>804</v>
      </c>
      <c r="AW8177" t="s">
        <v>279</v>
      </c>
      <c r="AX8177" t="s">
        <v>46897</v>
      </c>
    </row>
    <row r="8178" spans="1:50">
      <c r="A8178" s="1">
        <f>HYPERLINK("https://lsnyc.legalserver.org/matter/dynamic-profile/view/1898906","19-1898906")</f>
        <v>0</v>
      </c>
      <c r="B8178" t="s">
        <v>95</v>
      </c>
      <c r="C8178" t="s">
        <v>341</v>
      </c>
      <c r="D8178" t="s">
        <v>770</v>
      </c>
      <c r="E8178" t="s">
        <v>826</v>
      </c>
      <c r="F8178" t="s">
        <v>1402</v>
      </c>
      <c r="G8178" t="s">
        <v>1759</v>
      </c>
      <c r="H8178" t="s">
        <v>15209</v>
      </c>
      <c r="I8178" t="s">
        <v>17393</v>
      </c>
      <c r="J8178" t="s">
        <v>18894</v>
      </c>
      <c r="K8178">
        <v>11233</v>
      </c>
      <c r="L8178" t="s">
        <v>18958</v>
      </c>
      <c r="M8178" t="s">
        <v>18958</v>
      </c>
      <c r="N8178" t="s">
        <v>24833</v>
      </c>
      <c r="O8178" t="s">
        <v>26524</v>
      </c>
      <c r="P8178" t="s">
        <v>26565</v>
      </c>
      <c r="Q8178" t="s">
        <v>26571</v>
      </c>
      <c r="R8178" t="s">
        <v>26578</v>
      </c>
      <c r="U8178" t="s">
        <v>26604</v>
      </c>
      <c r="W8178" t="s">
        <v>806</v>
      </c>
      <c r="X8178">
        <v>0</v>
      </c>
      <c r="Y8178" t="s">
        <v>26652</v>
      </c>
      <c r="Z8178" t="s">
        <v>26664</v>
      </c>
      <c r="AA8178" t="s">
        <v>26681</v>
      </c>
      <c r="AB8178" t="s">
        <v>32684</v>
      </c>
      <c r="AD8178" t="s">
        <v>43191</v>
      </c>
      <c r="AE8178">
        <v>0</v>
      </c>
      <c r="AH8178">
        <v>0</v>
      </c>
      <c r="AI8178">
        <v>3</v>
      </c>
      <c r="AJ8178">
        <v>2</v>
      </c>
      <c r="AK8178">
        <v>132.05</v>
      </c>
      <c r="AN8178" t="s">
        <v>7439</v>
      </c>
      <c r="AO8178">
        <v>39840</v>
      </c>
      <c r="AU8178">
        <v>2.3</v>
      </c>
      <c r="AV8178" t="s">
        <v>806</v>
      </c>
      <c r="AW8178" t="s">
        <v>46853</v>
      </c>
      <c r="AX8178" t="s">
        <v>46897</v>
      </c>
    </row>
    <row r="8179" spans="1:50">
      <c r="A8179" s="1">
        <f>HYPERLINK("https://lsnyc.legalserver.org/matter/dynamic-profile/view/1899572","19-1899572")</f>
        <v>0</v>
      </c>
      <c r="B8179" t="s">
        <v>95</v>
      </c>
      <c r="C8179" t="s">
        <v>341</v>
      </c>
      <c r="D8179" t="s">
        <v>813</v>
      </c>
      <c r="E8179" t="s">
        <v>826</v>
      </c>
      <c r="F8179" t="s">
        <v>4195</v>
      </c>
      <c r="G8179" t="s">
        <v>1993</v>
      </c>
      <c r="H8179" t="s">
        <v>15210</v>
      </c>
      <c r="I8179" t="s">
        <v>17374</v>
      </c>
      <c r="J8179" t="s">
        <v>18894</v>
      </c>
      <c r="K8179">
        <v>11207</v>
      </c>
      <c r="L8179" t="s">
        <v>18959</v>
      </c>
      <c r="M8179" t="s">
        <v>18960</v>
      </c>
      <c r="N8179" t="s">
        <v>24834</v>
      </c>
      <c r="O8179" t="s">
        <v>26524</v>
      </c>
      <c r="P8179" t="s">
        <v>26565</v>
      </c>
      <c r="Q8179" t="s">
        <v>26571</v>
      </c>
      <c r="R8179" t="s">
        <v>26578</v>
      </c>
      <c r="S8179" t="s">
        <v>18959</v>
      </c>
      <c r="U8179" t="s">
        <v>26604</v>
      </c>
      <c r="W8179" t="s">
        <v>806</v>
      </c>
      <c r="X8179">
        <v>750</v>
      </c>
      <c r="Y8179" t="s">
        <v>26652</v>
      </c>
      <c r="Z8179" t="s">
        <v>26530</v>
      </c>
      <c r="AA8179" t="s">
        <v>26681</v>
      </c>
      <c r="AB8179" t="s">
        <v>32685</v>
      </c>
      <c r="AD8179" t="s">
        <v>43192</v>
      </c>
      <c r="AE8179">
        <v>3</v>
      </c>
      <c r="AF8179" t="s">
        <v>45547</v>
      </c>
      <c r="AG8179" t="s">
        <v>19330</v>
      </c>
      <c r="AH8179">
        <v>3</v>
      </c>
      <c r="AI8179">
        <v>2</v>
      </c>
      <c r="AJ8179">
        <v>2</v>
      </c>
      <c r="AK8179">
        <v>97.34999999999999</v>
      </c>
      <c r="AN8179" t="s">
        <v>7439</v>
      </c>
      <c r="AO8179">
        <v>25068</v>
      </c>
      <c r="AU8179">
        <v>3</v>
      </c>
      <c r="AV8179" t="s">
        <v>806</v>
      </c>
      <c r="AW8179" t="s">
        <v>286</v>
      </c>
      <c r="AX8179" t="s">
        <v>19330</v>
      </c>
    </row>
    <row r="8180" spans="1:50">
      <c r="A8180" s="1">
        <f>HYPERLINK("https://lsnyc.legalserver.org/matter/dynamic-profile/view/1899955","19-1899955")</f>
        <v>0</v>
      </c>
      <c r="B8180" t="s">
        <v>211</v>
      </c>
      <c r="C8180" t="s">
        <v>341</v>
      </c>
      <c r="D8180" t="s">
        <v>819</v>
      </c>
      <c r="E8180" t="s">
        <v>808</v>
      </c>
      <c r="F8180" t="s">
        <v>1021</v>
      </c>
      <c r="G8180" t="s">
        <v>5189</v>
      </c>
      <c r="H8180" t="s">
        <v>15211</v>
      </c>
      <c r="I8180">
        <v>3</v>
      </c>
      <c r="J8180" t="s">
        <v>18894</v>
      </c>
      <c r="K8180">
        <v>11208</v>
      </c>
      <c r="L8180" t="s">
        <v>18959</v>
      </c>
      <c r="M8180" t="s">
        <v>18960</v>
      </c>
      <c r="N8180" t="s">
        <v>24835</v>
      </c>
      <c r="O8180" t="s">
        <v>26524</v>
      </c>
      <c r="P8180" t="s">
        <v>26565</v>
      </c>
      <c r="Q8180" t="s">
        <v>26571</v>
      </c>
      <c r="R8180" t="s">
        <v>26583</v>
      </c>
      <c r="S8180" t="s">
        <v>18959</v>
      </c>
      <c r="U8180" t="s">
        <v>26604</v>
      </c>
      <c r="V8180" t="s">
        <v>26610</v>
      </c>
      <c r="W8180" t="s">
        <v>806</v>
      </c>
      <c r="X8180">
        <v>900</v>
      </c>
      <c r="Y8180" t="s">
        <v>26652</v>
      </c>
      <c r="Z8180" t="s">
        <v>26661</v>
      </c>
      <c r="AA8180" t="s">
        <v>26681</v>
      </c>
      <c r="AB8180" t="s">
        <v>29865</v>
      </c>
      <c r="AC8180" t="s">
        <v>19330</v>
      </c>
      <c r="AD8180" t="s">
        <v>43193</v>
      </c>
      <c r="AE8180">
        <v>4</v>
      </c>
      <c r="AF8180" t="s">
        <v>45547</v>
      </c>
      <c r="AG8180" t="s">
        <v>19330</v>
      </c>
      <c r="AH8180">
        <v>6</v>
      </c>
      <c r="AI8180">
        <v>2</v>
      </c>
      <c r="AJ8180">
        <v>0</v>
      </c>
      <c r="AK8180">
        <v>413.96</v>
      </c>
      <c r="AN8180" t="s">
        <v>7439</v>
      </c>
      <c r="AO8180">
        <v>70000</v>
      </c>
      <c r="AU8180">
        <v>4</v>
      </c>
      <c r="AV8180" t="s">
        <v>806</v>
      </c>
      <c r="AW8180" t="s">
        <v>279</v>
      </c>
      <c r="AX8180" t="s">
        <v>19330</v>
      </c>
    </row>
    <row r="8181" spans="1:50">
      <c r="A8181" s="1">
        <f>HYPERLINK("https://lsnyc.legalserver.org/matter/dynamic-profile/view/1900309","19-1900309")</f>
        <v>0</v>
      </c>
      <c r="B8181" t="s">
        <v>280</v>
      </c>
      <c r="C8181" t="s">
        <v>340</v>
      </c>
      <c r="D8181" t="s">
        <v>822</v>
      </c>
      <c r="F8181" t="s">
        <v>4196</v>
      </c>
      <c r="G8181" t="s">
        <v>5537</v>
      </c>
      <c r="H8181" t="s">
        <v>15212</v>
      </c>
      <c r="I8181" t="s">
        <v>17430</v>
      </c>
      <c r="J8181" t="s">
        <v>18900</v>
      </c>
      <c r="K8181">
        <v>11358</v>
      </c>
      <c r="L8181" t="s">
        <v>18958</v>
      </c>
      <c r="M8181" t="s">
        <v>18960</v>
      </c>
      <c r="N8181" t="s">
        <v>24836</v>
      </c>
      <c r="O8181" t="s">
        <v>26523</v>
      </c>
      <c r="P8181" t="s">
        <v>26560</v>
      </c>
      <c r="R8181" t="s">
        <v>26578</v>
      </c>
      <c r="S8181" t="s">
        <v>18959</v>
      </c>
      <c r="U8181" t="s">
        <v>26604</v>
      </c>
      <c r="W8181" t="s">
        <v>806</v>
      </c>
      <c r="X8181">
        <v>2300</v>
      </c>
      <c r="Y8181" t="s">
        <v>26653</v>
      </c>
      <c r="Z8181" t="s">
        <v>26530</v>
      </c>
      <c r="AB8181" t="s">
        <v>32686</v>
      </c>
      <c r="AC8181" t="s">
        <v>34738</v>
      </c>
      <c r="AD8181" t="s">
        <v>43194</v>
      </c>
      <c r="AE8181">
        <v>2</v>
      </c>
      <c r="AF8181" t="s">
        <v>45545</v>
      </c>
      <c r="AG8181" t="s">
        <v>19330</v>
      </c>
      <c r="AH8181">
        <v>1</v>
      </c>
      <c r="AI8181">
        <v>3</v>
      </c>
      <c r="AJ8181">
        <v>1</v>
      </c>
      <c r="AK8181">
        <v>137.86</v>
      </c>
      <c r="AN8181" t="s">
        <v>7439</v>
      </c>
      <c r="AO8181">
        <v>35500</v>
      </c>
      <c r="AU8181">
        <v>14.6</v>
      </c>
      <c r="AV8181" t="s">
        <v>797</v>
      </c>
      <c r="AW8181" t="s">
        <v>46860</v>
      </c>
      <c r="AX8181" t="s">
        <v>46897</v>
      </c>
    </row>
    <row r="8182" spans="1:50">
      <c r="A8182" s="1">
        <f>HYPERLINK("https://lsnyc.legalserver.org/matter/dynamic-profile/view/1900620","19-1900620")</f>
        <v>0</v>
      </c>
      <c r="B8182" t="s">
        <v>230</v>
      </c>
      <c r="C8182" t="s">
        <v>341</v>
      </c>
      <c r="D8182" t="s">
        <v>806</v>
      </c>
      <c r="E8182" t="s">
        <v>830</v>
      </c>
      <c r="F8182" t="s">
        <v>2620</v>
      </c>
      <c r="G8182" t="s">
        <v>5121</v>
      </c>
      <c r="H8182" t="s">
        <v>15213</v>
      </c>
      <c r="I8182" t="s">
        <v>17334</v>
      </c>
      <c r="J8182" t="s">
        <v>18894</v>
      </c>
      <c r="K8182">
        <v>11228</v>
      </c>
      <c r="L8182" t="s">
        <v>18958</v>
      </c>
      <c r="M8182" t="s">
        <v>18960</v>
      </c>
      <c r="N8182" t="s">
        <v>24837</v>
      </c>
      <c r="O8182" t="s">
        <v>26524</v>
      </c>
      <c r="P8182" t="s">
        <v>26563</v>
      </c>
      <c r="Q8182" t="s">
        <v>26571</v>
      </c>
      <c r="R8182" t="s">
        <v>26586</v>
      </c>
      <c r="U8182" t="s">
        <v>26604</v>
      </c>
      <c r="W8182" t="s">
        <v>806</v>
      </c>
      <c r="X8182">
        <v>950</v>
      </c>
      <c r="Y8182" t="s">
        <v>26652</v>
      </c>
      <c r="Z8182" t="s">
        <v>26664</v>
      </c>
      <c r="AA8182" t="s">
        <v>26683</v>
      </c>
      <c r="AB8182" t="s">
        <v>29387</v>
      </c>
      <c r="AD8182" t="s">
        <v>43195</v>
      </c>
      <c r="AE8182">
        <v>4</v>
      </c>
      <c r="AF8182" t="s">
        <v>45547</v>
      </c>
      <c r="AH8182">
        <v>3</v>
      </c>
      <c r="AI8182">
        <v>2</v>
      </c>
      <c r="AJ8182">
        <v>1</v>
      </c>
      <c r="AK8182">
        <v>12.74</v>
      </c>
      <c r="AN8182" t="s">
        <v>45596</v>
      </c>
      <c r="AO8182">
        <v>2717</v>
      </c>
      <c r="AU8182">
        <v>3</v>
      </c>
      <c r="AV8182" t="s">
        <v>806</v>
      </c>
      <c r="AW8182" t="s">
        <v>46856</v>
      </c>
      <c r="AX8182" t="s">
        <v>46897</v>
      </c>
    </row>
    <row r="8183" spans="1:50">
      <c r="A8183" s="1">
        <f>HYPERLINK("https://lsnyc.legalserver.org/matter/dynamic-profile/view/1900518","19-1900518")</f>
        <v>0</v>
      </c>
      <c r="B8183" t="s">
        <v>262</v>
      </c>
      <c r="C8183" t="s">
        <v>341</v>
      </c>
      <c r="D8183" t="s">
        <v>806</v>
      </c>
      <c r="E8183" t="s">
        <v>729</v>
      </c>
      <c r="F8183" t="s">
        <v>4197</v>
      </c>
      <c r="G8183" t="s">
        <v>8590</v>
      </c>
      <c r="H8183" t="s">
        <v>15214</v>
      </c>
      <c r="I8183">
        <v>301</v>
      </c>
      <c r="J8183" t="s">
        <v>18892</v>
      </c>
      <c r="K8183">
        <v>10458</v>
      </c>
      <c r="L8183" t="s">
        <v>18958</v>
      </c>
      <c r="M8183" t="s">
        <v>18960</v>
      </c>
      <c r="N8183" t="s">
        <v>24838</v>
      </c>
      <c r="O8183" t="s">
        <v>26523</v>
      </c>
      <c r="P8183" t="s">
        <v>26564</v>
      </c>
      <c r="Q8183" t="s">
        <v>26570</v>
      </c>
      <c r="R8183" t="s">
        <v>26577</v>
      </c>
      <c r="S8183" t="s">
        <v>18959</v>
      </c>
      <c r="U8183" t="s">
        <v>26604</v>
      </c>
      <c r="V8183" t="s">
        <v>26614</v>
      </c>
      <c r="W8183" t="s">
        <v>806</v>
      </c>
      <c r="X8183">
        <v>1300</v>
      </c>
      <c r="Y8183" t="s">
        <v>26650</v>
      </c>
      <c r="Z8183" t="s">
        <v>26666</v>
      </c>
      <c r="AA8183" t="s">
        <v>26683</v>
      </c>
      <c r="AB8183" t="s">
        <v>31124</v>
      </c>
      <c r="AD8183" t="s">
        <v>43196</v>
      </c>
      <c r="AE8183">
        <v>50</v>
      </c>
      <c r="AF8183" t="s">
        <v>45541</v>
      </c>
      <c r="AG8183" t="s">
        <v>19330</v>
      </c>
      <c r="AH8183">
        <v>5</v>
      </c>
      <c r="AI8183">
        <v>1</v>
      </c>
      <c r="AJ8183">
        <v>0</v>
      </c>
      <c r="AK8183">
        <v>124.9</v>
      </c>
      <c r="AN8183" t="s">
        <v>45581</v>
      </c>
      <c r="AO8183">
        <v>15600</v>
      </c>
      <c r="AU8183">
        <v>12.35</v>
      </c>
      <c r="AV8183" t="s">
        <v>729</v>
      </c>
      <c r="AW8183" t="s">
        <v>335</v>
      </c>
      <c r="AX8183" t="s">
        <v>46897</v>
      </c>
    </row>
    <row r="8184" spans="1:50">
      <c r="A8184" s="1">
        <f>HYPERLINK("https://lsnyc.legalserver.org/matter/dynamic-profile/view/1900547","19-1900547")</f>
        <v>0</v>
      </c>
      <c r="B8184" t="s">
        <v>225</v>
      </c>
      <c r="C8184" t="s">
        <v>341</v>
      </c>
      <c r="D8184" t="s">
        <v>806</v>
      </c>
      <c r="E8184" t="s">
        <v>825</v>
      </c>
      <c r="F8184" t="s">
        <v>4198</v>
      </c>
      <c r="G8184" t="s">
        <v>8591</v>
      </c>
      <c r="H8184" t="s">
        <v>15215</v>
      </c>
      <c r="I8184" t="s">
        <v>17283</v>
      </c>
      <c r="J8184" t="s">
        <v>18893</v>
      </c>
      <c r="K8184">
        <v>10065</v>
      </c>
      <c r="L8184" t="s">
        <v>18958</v>
      </c>
      <c r="M8184" t="s">
        <v>18960</v>
      </c>
      <c r="O8184" t="s">
        <v>18997</v>
      </c>
      <c r="P8184" t="s">
        <v>26564</v>
      </c>
      <c r="Q8184" t="s">
        <v>26570</v>
      </c>
      <c r="R8184" t="s">
        <v>26578</v>
      </c>
      <c r="S8184" t="s">
        <v>18959</v>
      </c>
      <c r="U8184" t="s">
        <v>26604</v>
      </c>
      <c r="V8184" t="s">
        <v>26610</v>
      </c>
      <c r="W8184" t="s">
        <v>806</v>
      </c>
      <c r="X8184">
        <v>1500</v>
      </c>
      <c r="Y8184" t="s">
        <v>26651</v>
      </c>
      <c r="Z8184" t="s">
        <v>26667</v>
      </c>
      <c r="AA8184" t="s">
        <v>26683</v>
      </c>
      <c r="AB8184" t="s">
        <v>30015</v>
      </c>
      <c r="AD8184" t="s">
        <v>43197</v>
      </c>
      <c r="AE8184">
        <v>131</v>
      </c>
      <c r="AF8184" t="s">
        <v>45541</v>
      </c>
      <c r="AG8184" t="s">
        <v>19330</v>
      </c>
      <c r="AH8184">
        <v>20</v>
      </c>
      <c r="AI8184">
        <v>1</v>
      </c>
      <c r="AJ8184">
        <v>0</v>
      </c>
      <c r="AK8184">
        <v>144.12</v>
      </c>
      <c r="AN8184" t="s">
        <v>7439</v>
      </c>
      <c r="AO8184">
        <v>18000</v>
      </c>
      <c r="AU8184">
        <v>3.4</v>
      </c>
      <c r="AV8184" t="s">
        <v>825</v>
      </c>
      <c r="AW8184" t="s">
        <v>46875</v>
      </c>
      <c r="AX8184" t="s">
        <v>46897</v>
      </c>
    </row>
    <row r="8185" spans="1:50">
      <c r="A8185" s="1">
        <f>HYPERLINK("https://lsnyc.legalserver.org/matter/dynamic-profile/view/1900573","19-1900573")</f>
        <v>0</v>
      </c>
      <c r="B8185" t="s">
        <v>288</v>
      </c>
      <c r="C8185" t="s">
        <v>341</v>
      </c>
      <c r="D8185" t="s">
        <v>806</v>
      </c>
      <c r="E8185" t="s">
        <v>828</v>
      </c>
      <c r="F8185" t="s">
        <v>3358</v>
      </c>
      <c r="G8185" t="s">
        <v>8592</v>
      </c>
      <c r="H8185" t="s">
        <v>15216</v>
      </c>
      <c r="I8185" t="s">
        <v>17332</v>
      </c>
      <c r="J8185" t="s">
        <v>18894</v>
      </c>
      <c r="K8185">
        <v>11204</v>
      </c>
      <c r="L8185" t="s">
        <v>18958</v>
      </c>
      <c r="M8185" t="s">
        <v>18960</v>
      </c>
      <c r="N8185" t="s">
        <v>24839</v>
      </c>
      <c r="O8185" t="s">
        <v>26524</v>
      </c>
      <c r="P8185" t="s">
        <v>26564</v>
      </c>
      <c r="Q8185" t="s">
        <v>26570</v>
      </c>
      <c r="R8185" t="s">
        <v>26586</v>
      </c>
      <c r="S8185" t="s">
        <v>18959</v>
      </c>
      <c r="U8185" t="s">
        <v>26604</v>
      </c>
      <c r="V8185" t="s">
        <v>26610</v>
      </c>
      <c r="W8185" t="s">
        <v>806</v>
      </c>
      <c r="X8185">
        <v>2300</v>
      </c>
      <c r="Y8185" t="s">
        <v>26652</v>
      </c>
      <c r="Z8185" t="s">
        <v>26664</v>
      </c>
      <c r="AA8185" t="s">
        <v>26683</v>
      </c>
      <c r="AB8185" t="s">
        <v>32687</v>
      </c>
      <c r="AD8185" t="s">
        <v>43198</v>
      </c>
      <c r="AE8185">
        <v>4</v>
      </c>
      <c r="AF8185" t="s">
        <v>45547</v>
      </c>
      <c r="AG8185" t="s">
        <v>45557</v>
      </c>
      <c r="AH8185">
        <v>1</v>
      </c>
      <c r="AI8185">
        <v>2</v>
      </c>
      <c r="AJ8185">
        <v>2</v>
      </c>
      <c r="AK8185">
        <v>16.31</v>
      </c>
      <c r="AN8185" t="s">
        <v>7439</v>
      </c>
      <c r="AO8185">
        <v>4200</v>
      </c>
      <c r="AU8185">
        <v>1.25</v>
      </c>
      <c r="AV8185" t="s">
        <v>827</v>
      </c>
      <c r="AW8185" t="s">
        <v>46829</v>
      </c>
      <c r="AX8185" t="s">
        <v>46897</v>
      </c>
    </row>
    <row r="8186" spans="1:50">
      <c r="A8186" s="1">
        <f>HYPERLINK("https://lsnyc.legalserver.org/matter/dynamic-profile/view/1900592","19-1900592")</f>
        <v>0</v>
      </c>
      <c r="B8186" t="s">
        <v>288</v>
      </c>
      <c r="C8186" t="s">
        <v>341</v>
      </c>
      <c r="D8186" t="s">
        <v>806</v>
      </c>
      <c r="E8186" t="s">
        <v>772</v>
      </c>
      <c r="F8186" t="s">
        <v>4199</v>
      </c>
      <c r="G8186" t="s">
        <v>8593</v>
      </c>
      <c r="H8186" t="s">
        <v>15217</v>
      </c>
      <c r="I8186" t="s">
        <v>17416</v>
      </c>
      <c r="J8186" t="s">
        <v>18894</v>
      </c>
      <c r="K8186">
        <v>11203</v>
      </c>
      <c r="L8186" t="s">
        <v>18958</v>
      </c>
      <c r="M8186" t="s">
        <v>18960</v>
      </c>
      <c r="N8186" t="s">
        <v>24840</v>
      </c>
      <c r="O8186" t="s">
        <v>26526</v>
      </c>
      <c r="Q8186" t="s">
        <v>26570</v>
      </c>
      <c r="R8186" t="s">
        <v>26586</v>
      </c>
      <c r="S8186" t="s">
        <v>18959</v>
      </c>
      <c r="U8186" t="s">
        <v>26605</v>
      </c>
      <c r="V8186" t="s">
        <v>26610</v>
      </c>
      <c r="W8186" t="s">
        <v>806</v>
      </c>
      <c r="X8186">
        <v>1900</v>
      </c>
      <c r="Y8186" t="s">
        <v>26652</v>
      </c>
      <c r="Z8186" t="s">
        <v>26664</v>
      </c>
      <c r="AA8186" t="s">
        <v>26682</v>
      </c>
      <c r="AB8186" t="s">
        <v>32688</v>
      </c>
      <c r="AC8186" t="s">
        <v>36473</v>
      </c>
      <c r="AD8186" t="s">
        <v>43199</v>
      </c>
      <c r="AE8186">
        <v>3</v>
      </c>
      <c r="AF8186" t="s">
        <v>45547</v>
      </c>
      <c r="AG8186" t="s">
        <v>45566</v>
      </c>
      <c r="AH8186">
        <v>1</v>
      </c>
      <c r="AI8186">
        <v>1</v>
      </c>
      <c r="AJ8186">
        <v>3</v>
      </c>
      <c r="AK8186">
        <v>39.61</v>
      </c>
      <c r="AN8186" t="s">
        <v>7439</v>
      </c>
      <c r="AO8186">
        <v>10200</v>
      </c>
      <c r="AU8186">
        <v>0.4</v>
      </c>
      <c r="AV8186" t="s">
        <v>772</v>
      </c>
      <c r="AW8186" t="s">
        <v>46864</v>
      </c>
      <c r="AX8186" t="s">
        <v>46897</v>
      </c>
    </row>
    <row r="8187" spans="1:50">
      <c r="A8187" s="1">
        <f>HYPERLINK("https://lsnyc.legalserver.org/matter/dynamic-profile/view/1900531","19-1900531")</f>
        <v>0</v>
      </c>
      <c r="B8187" t="s">
        <v>87</v>
      </c>
      <c r="C8187" t="s">
        <v>341</v>
      </c>
      <c r="D8187" t="s">
        <v>806</v>
      </c>
      <c r="E8187" t="s">
        <v>806</v>
      </c>
      <c r="F8187" t="s">
        <v>4200</v>
      </c>
      <c r="G8187" t="s">
        <v>8594</v>
      </c>
      <c r="H8187" t="s">
        <v>15218</v>
      </c>
      <c r="I8187">
        <v>1</v>
      </c>
      <c r="J8187" t="s">
        <v>18892</v>
      </c>
      <c r="K8187">
        <v>10466</v>
      </c>
      <c r="L8187" t="s">
        <v>18958</v>
      </c>
      <c r="M8187" t="s">
        <v>18960</v>
      </c>
      <c r="N8187" t="s">
        <v>24841</v>
      </c>
      <c r="O8187" t="s">
        <v>26524</v>
      </c>
      <c r="P8187" t="s">
        <v>26564</v>
      </c>
      <c r="Q8187" t="s">
        <v>26570</v>
      </c>
      <c r="R8187" t="s">
        <v>26577</v>
      </c>
      <c r="S8187" t="s">
        <v>18959</v>
      </c>
      <c r="U8187" t="s">
        <v>26604</v>
      </c>
      <c r="V8187" t="s">
        <v>26610</v>
      </c>
      <c r="W8187" t="s">
        <v>806</v>
      </c>
      <c r="X8187">
        <v>1050</v>
      </c>
      <c r="Y8187" t="s">
        <v>26650</v>
      </c>
      <c r="Z8187" t="s">
        <v>26668</v>
      </c>
      <c r="AA8187" t="s">
        <v>26679</v>
      </c>
      <c r="AB8187" t="s">
        <v>29364</v>
      </c>
      <c r="AD8187" t="s">
        <v>43200</v>
      </c>
      <c r="AE8187">
        <v>3</v>
      </c>
      <c r="AF8187" t="s">
        <v>45547</v>
      </c>
      <c r="AG8187" t="s">
        <v>45556</v>
      </c>
      <c r="AH8187">
        <v>11</v>
      </c>
      <c r="AI8187">
        <v>2</v>
      </c>
      <c r="AJ8187">
        <v>1</v>
      </c>
      <c r="AK8187">
        <v>101.04</v>
      </c>
      <c r="AN8187" t="s">
        <v>7439</v>
      </c>
      <c r="AO8187">
        <v>21552</v>
      </c>
      <c r="AP8187" t="s">
        <v>46086</v>
      </c>
      <c r="AU8187">
        <v>1</v>
      </c>
      <c r="AV8187" t="s">
        <v>806</v>
      </c>
      <c r="AW8187" t="s">
        <v>46870</v>
      </c>
      <c r="AX8187" t="s">
        <v>46897</v>
      </c>
    </row>
    <row r="8188" spans="1:50">
      <c r="A8188" s="1">
        <f>HYPERLINK("https://lsnyc.legalserver.org/matter/dynamic-profile/view/1900574","19-1900574")</f>
        <v>0</v>
      </c>
      <c r="B8188" t="s">
        <v>260</v>
      </c>
      <c r="C8188" t="s">
        <v>340</v>
      </c>
      <c r="D8188" t="s">
        <v>806</v>
      </c>
      <c r="F8188" t="s">
        <v>1429</v>
      </c>
      <c r="G8188" t="s">
        <v>5385</v>
      </c>
      <c r="H8188" t="s">
        <v>14870</v>
      </c>
      <c r="I8188" t="s">
        <v>17344</v>
      </c>
      <c r="J8188" t="s">
        <v>18893</v>
      </c>
      <c r="K8188">
        <v>10040</v>
      </c>
      <c r="L8188" t="s">
        <v>18958</v>
      </c>
      <c r="M8188" t="s">
        <v>18960</v>
      </c>
      <c r="O8188" t="s">
        <v>18997</v>
      </c>
      <c r="P8188" t="s">
        <v>26562</v>
      </c>
      <c r="R8188" t="s">
        <v>26578</v>
      </c>
      <c r="S8188" t="s">
        <v>18959</v>
      </c>
      <c r="U8188" t="s">
        <v>26604</v>
      </c>
      <c r="W8188" t="s">
        <v>806</v>
      </c>
      <c r="X8188">
        <v>1230.2</v>
      </c>
      <c r="Y8188" t="s">
        <v>26651</v>
      </c>
      <c r="Z8188" t="s">
        <v>26659</v>
      </c>
      <c r="AB8188" t="s">
        <v>32689</v>
      </c>
      <c r="AD8188" t="s">
        <v>43201</v>
      </c>
      <c r="AE8188">
        <v>44</v>
      </c>
      <c r="AF8188" t="s">
        <v>45541</v>
      </c>
      <c r="AG8188" t="s">
        <v>45556</v>
      </c>
      <c r="AH8188">
        <v>23</v>
      </c>
      <c r="AI8188">
        <v>1</v>
      </c>
      <c r="AJ8188">
        <v>0</v>
      </c>
      <c r="AK8188">
        <v>109.14</v>
      </c>
      <c r="AN8188" t="s">
        <v>45581</v>
      </c>
      <c r="AO8188">
        <v>13632</v>
      </c>
      <c r="AU8188">
        <v>0.7</v>
      </c>
      <c r="AV8188" t="s">
        <v>823</v>
      </c>
      <c r="AW8188" t="s">
        <v>46840</v>
      </c>
      <c r="AX8188" t="s">
        <v>46897</v>
      </c>
    </row>
    <row r="8189" spans="1:50">
      <c r="A8189" s="1">
        <f>HYPERLINK("https://lsnyc.legalserver.org/matter/dynamic-profile/view/1900668","19-1900668")</f>
        <v>0</v>
      </c>
      <c r="B8189" t="s">
        <v>105</v>
      </c>
      <c r="C8189" t="s">
        <v>340</v>
      </c>
      <c r="D8189" t="s">
        <v>806</v>
      </c>
      <c r="F8189" t="s">
        <v>4201</v>
      </c>
      <c r="G8189" t="s">
        <v>8595</v>
      </c>
      <c r="H8189" t="s">
        <v>15219</v>
      </c>
      <c r="J8189" t="s">
        <v>18927</v>
      </c>
      <c r="K8189">
        <v>11419</v>
      </c>
      <c r="L8189" t="s">
        <v>18958</v>
      </c>
      <c r="M8189" t="s">
        <v>18960</v>
      </c>
      <c r="N8189" t="s">
        <v>24842</v>
      </c>
      <c r="O8189" t="s">
        <v>26524</v>
      </c>
      <c r="P8189" t="s">
        <v>26564</v>
      </c>
      <c r="R8189" t="s">
        <v>26578</v>
      </c>
      <c r="S8189" t="s">
        <v>18959</v>
      </c>
      <c r="U8189" t="s">
        <v>26604</v>
      </c>
      <c r="V8189" t="s">
        <v>26610</v>
      </c>
      <c r="W8189" t="s">
        <v>806</v>
      </c>
      <c r="X8189">
        <v>750</v>
      </c>
      <c r="Y8189" t="s">
        <v>26653</v>
      </c>
      <c r="AB8189" t="s">
        <v>32690</v>
      </c>
      <c r="AD8189" t="s">
        <v>43202</v>
      </c>
      <c r="AE8189">
        <v>0</v>
      </c>
      <c r="AH8189">
        <v>5</v>
      </c>
      <c r="AI8189">
        <v>1</v>
      </c>
      <c r="AJ8189">
        <v>0</v>
      </c>
      <c r="AK8189">
        <v>0</v>
      </c>
      <c r="AN8189" t="s">
        <v>7439</v>
      </c>
      <c r="AO8189">
        <v>0</v>
      </c>
      <c r="AU8189">
        <v>1.5</v>
      </c>
      <c r="AV8189" t="s">
        <v>772</v>
      </c>
      <c r="AW8189" t="s">
        <v>46884</v>
      </c>
    </row>
    <row r="8190" spans="1:50">
      <c r="A8190" s="1">
        <f>HYPERLINK("https://lsnyc.legalserver.org/matter/dynamic-profile/view/1900664","19-1900664")</f>
        <v>0</v>
      </c>
      <c r="B8190" t="s">
        <v>105</v>
      </c>
      <c r="C8190" t="s">
        <v>340</v>
      </c>
      <c r="D8190" t="s">
        <v>806</v>
      </c>
      <c r="F8190" t="s">
        <v>1063</v>
      </c>
      <c r="G8190" t="s">
        <v>8596</v>
      </c>
      <c r="H8190" t="s">
        <v>15220</v>
      </c>
      <c r="I8190">
        <v>1</v>
      </c>
      <c r="J8190" t="s">
        <v>18930</v>
      </c>
      <c r="K8190">
        <v>11413</v>
      </c>
      <c r="L8190" t="s">
        <v>18958</v>
      </c>
      <c r="M8190" t="s">
        <v>18960</v>
      </c>
      <c r="N8190" t="s">
        <v>24843</v>
      </c>
      <c r="O8190" t="s">
        <v>26524</v>
      </c>
      <c r="P8190" t="s">
        <v>26563</v>
      </c>
      <c r="R8190" t="s">
        <v>26578</v>
      </c>
      <c r="S8190" t="s">
        <v>18959</v>
      </c>
      <c r="U8190" t="s">
        <v>26604</v>
      </c>
      <c r="W8190" t="s">
        <v>806</v>
      </c>
      <c r="X8190">
        <v>1487</v>
      </c>
      <c r="Y8190" t="s">
        <v>26653</v>
      </c>
      <c r="Z8190" t="s">
        <v>26664</v>
      </c>
      <c r="AB8190" t="s">
        <v>32691</v>
      </c>
      <c r="AD8190" t="s">
        <v>43203</v>
      </c>
      <c r="AE8190">
        <v>0</v>
      </c>
      <c r="AH8190">
        <v>10</v>
      </c>
      <c r="AI8190">
        <v>1</v>
      </c>
      <c r="AJ8190">
        <v>0</v>
      </c>
      <c r="AK8190">
        <v>148.92</v>
      </c>
      <c r="AN8190" t="s">
        <v>7439</v>
      </c>
      <c r="AO8190">
        <v>18600</v>
      </c>
      <c r="AU8190">
        <v>1.1</v>
      </c>
      <c r="AV8190" t="s">
        <v>831</v>
      </c>
      <c r="AW8190" t="s">
        <v>46884</v>
      </c>
    </row>
    <row r="8191" spans="1:50">
      <c r="A8191" s="1">
        <f>HYPERLINK("https://lsnyc.legalserver.org/matter/dynamic-profile/view/1900558","19-1900558")</f>
        <v>0</v>
      </c>
      <c r="B8191" t="s">
        <v>98</v>
      </c>
      <c r="C8191" t="s">
        <v>340</v>
      </c>
      <c r="D8191" t="s">
        <v>806</v>
      </c>
      <c r="F8191" t="s">
        <v>999</v>
      </c>
      <c r="G8191" t="s">
        <v>5476</v>
      </c>
      <c r="H8191" t="s">
        <v>11364</v>
      </c>
      <c r="I8191" t="s">
        <v>18521</v>
      </c>
      <c r="J8191" t="s">
        <v>18892</v>
      </c>
      <c r="K8191">
        <v>10468</v>
      </c>
      <c r="L8191" t="s">
        <v>18958</v>
      </c>
      <c r="M8191" t="s">
        <v>18960</v>
      </c>
      <c r="N8191" t="s">
        <v>19045</v>
      </c>
      <c r="O8191" t="s">
        <v>18997</v>
      </c>
      <c r="P8191" t="s">
        <v>26564</v>
      </c>
      <c r="R8191" t="s">
        <v>26578</v>
      </c>
      <c r="S8191" t="s">
        <v>18959</v>
      </c>
      <c r="U8191" t="s">
        <v>26604</v>
      </c>
      <c r="W8191" t="s">
        <v>806</v>
      </c>
      <c r="X8191">
        <v>360</v>
      </c>
      <c r="Y8191" t="s">
        <v>26650</v>
      </c>
      <c r="Z8191" t="s">
        <v>26663</v>
      </c>
      <c r="AB8191" t="s">
        <v>32692</v>
      </c>
      <c r="AD8191" t="s">
        <v>43204</v>
      </c>
      <c r="AE8191">
        <v>51</v>
      </c>
      <c r="AF8191" t="s">
        <v>45541</v>
      </c>
      <c r="AG8191" t="s">
        <v>45556</v>
      </c>
      <c r="AH8191">
        <v>2</v>
      </c>
      <c r="AI8191">
        <v>1</v>
      </c>
      <c r="AJ8191">
        <v>0</v>
      </c>
      <c r="AK8191">
        <v>72.06</v>
      </c>
      <c r="AN8191" t="s">
        <v>45581</v>
      </c>
      <c r="AO8191">
        <v>9000</v>
      </c>
      <c r="AU8191">
        <v>1</v>
      </c>
      <c r="AV8191" t="s">
        <v>806</v>
      </c>
      <c r="AW8191" t="s">
        <v>98</v>
      </c>
      <c r="AX8191" t="s">
        <v>46897</v>
      </c>
    </row>
    <row r="8192" spans="1:50">
      <c r="A8192" s="1">
        <f>HYPERLINK("https://lsnyc.legalserver.org/matter/dynamic-profile/view/1900643","19-1900643")</f>
        <v>0</v>
      </c>
      <c r="B8192" t="s">
        <v>98</v>
      </c>
      <c r="C8192" t="s">
        <v>340</v>
      </c>
      <c r="D8192" t="s">
        <v>806</v>
      </c>
      <c r="F8192" t="s">
        <v>1463</v>
      </c>
      <c r="G8192" t="s">
        <v>1725</v>
      </c>
      <c r="H8192" t="s">
        <v>12169</v>
      </c>
      <c r="I8192" t="s">
        <v>17274</v>
      </c>
      <c r="J8192" t="s">
        <v>18892</v>
      </c>
      <c r="K8192">
        <v>10453</v>
      </c>
      <c r="L8192" t="s">
        <v>18958</v>
      </c>
      <c r="M8192" t="s">
        <v>18960</v>
      </c>
      <c r="N8192" t="s">
        <v>19045</v>
      </c>
      <c r="O8192" t="s">
        <v>18997</v>
      </c>
      <c r="P8192" t="s">
        <v>26564</v>
      </c>
      <c r="R8192" t="s">
        <v>26578</v>
      </c>
      <c r="S8192" t="s">
        <v>18959</v>
      </c>
      <c r="U8192" t="s">
        <v>26604</v>
      </c>
      <c r="W8192" t="s">
        <v>806</v>
      </c>
      <c r="X8192">
        <v>1495.91</v>
      </c>
      <c r="Y8192" t="s">
        <v>26650</v>
      </c>
      <c r="Z8192" t="s">
        <v>26663</v>
      </c>
      <c r="AB8192" t="s">
        <v>32238</v>
      </c>
      <c r="AE8192">
        <v>49</v>
      </c>
      <c r="AF8192" t="s">
        <v>45541</v>
      </c>
      <c r="AG8192" t="s">
        <v>45556</v>
      </c>
      <c r="AH8192">
        <v>16</v>
      </c>
      <c r="AI8192">
        <v>1</v>
      </c>
      <c r="AJ8192">
        <v>0</v>
      </c>
      <c r="AK8192">
        <v>76</v>
      </c>
      <c r="AN8192" t="s">
        <v>45581</v>
      </c>
      <c r="AO8192">
        <v>9492</v>
      </c>
      <c r="AU8192">
        <v>1</v>
      </c>
      <c r="AV8192" t="s">
        <v>806</v>
      </c>
      <c r="AW8192" t="s">
        <v>98</v>
      </c>
      <c r="AX8192" t="s">
        <v>46897</v>
      </c>
    </row>
    <row r="8193" spans="1:50">
      <c r="A8193" s="1">
        <f>HYPERLINK("https://lsnyc.legalserver.org/matter/dynamic-profile/view/1900613","19-1900613")</f>
        <v>0</v>
      </c>
      <c r="B8193" t="s">
        <v>98</v>
      </c>
      <c r="C8193" t="s">
        <v>340</v>
      </c>
      <c r="D8193" t="s">
        <v>806</v>
      </c>
      <c r="F8193" t="s">
        <v>3217</v>
      </c>
      <c r="G8193" t="s">
        <v>5785</v>
      </c>
      <c r="H8193" t="s">
        <v>15221</v>
      </c>
      <c r="I8193" t="s">
        <v>17360</v>
      </c>
      <c r="J8193" t="s">
        <v>18892</v>
      </c>
      <c r="K8193">
        <v>10454</v>
      </c>
      <c r="L8193" t="s">
        <v>18958</v>
      </c>
      <c r="M8193" t="s">
        <v>18960</v>
      </c>
      <c r="N8193" t="s">
        <v>19045</v>
      </c>
      <c r="O8193" t="s">
        <v>18997</v>
      </c>
      <c r="P8193" t="s">
        <v>26564</v>
      </c>
      <c r="R8193" t="s">
        <v>26578</v>
      </c>
      <c r="S8193" t="s">
        <v>18959</v>
      </c>
      <c r="U8193" t="s">
        <v>26604</v>
      </c>
      <c r="W8193" t="s">
        <v>806</v>
      </c>
      <c r="X8193">
        <v>1880.95</v>
      </c>
      <c r="Y8193" t="s">
        <v>26650</v>
      </c>
      <c r="Z8193" t="s">
        <v>26663</v>
      </c>
      <c r="AB8193" t="s">
        <v>32693</v>
      </c>
      <c r="AE8193">
        <v>20</v>
      </c>
      <c r="AF8193" t="s">
        <v>45541</v>
      </c>
      <c r="AH8193">
        <v>23</v>
      </c>
      <c r="AI8193">
        <v>3</v>
      </c>
      <c r="AJ8193">
        <v>0</v>
      </c>
      <c r="AK8193">
        <v>136.26</v>
      </c>
      <c r="AN8193" t="s">
        <v>45581</v>
      </c>
      <c r="AO8193">
        <v>29064</v>
      </c>
      <c r="AU8193">
        <v>2</v>
      </c>
      <c r="AV8193" t="s">
        <v>806</v>
      </c>
      <c r="AW8193" t="s">
        <v>98</v>
      </c>
      <c r="AX8193" t="s">
        <v>46897</v>
      </c>
    </row>
    <row r="8194" spans="1:50">
      <c r="A8194" s="1">
        <f>HYPERLINK("https://lsnyc.legalserver.org/matter/dynamic-profile/view/1900548","19-1900548")</f>
        <v>0</v>
      </c>
      <c r="B8194" t="s">
        <v>99</v>
      </c>
      <c r="C8194" t="s">
        <v>340</v>
      </c>
      <c r="D8194" t="s">
        <v>806</v>
      </c>
      <c r="F8194" t="s">
        <v>2755</v>
      </c>
      <c r="G8194" t="s">
        <v>3879</v>
      </c>
      <c r="H8194" t="s">
        <v>15222</v>
      </c>
      <c r="I8194" t="s">
        <v>18540</v>
      </c>
      <c r="J8194" t="s">
        <v>18894</v>
      </c>
      <c r="K8194">
        <v>11226</v>
      </c>
      <c r="L8194" t="s">
        <v>18958</v>
      </c>
      <c r="M8194" t="s">
        <v>18960</v>
      </c>
      <c r="N8194" t="s">
        <v>24844</v>
      </c>
      <c r="O8194" t="s">
        <v>26524</v>
      </c>
      <c r="P8194" t="s">
        <v>26560</v>
      </c>
      <c r="R8194" t="s">
        <v>26588</v>
      </c>
      <c r="S8194" t="s">
        <v>18959</v>
      </c>
      <c r="U8194" t="s">
        <v>26604</v>
      </c>
      <c r="V8194" t="s">
        <v>26610</v>
      </c>
      <c r="W8194" t="s">
        <v>806</v>
      </c>
      <c r="X8194">
        <v>1290.59</v>
      </c>
      <c r="Y8194" t="s">
        <v>26652</v>
      </c>
      <c r="Z8194" t="s">
        <v>26664</v>
      </c>
      <c r="AB8194" t="s">
        <v>32694</v>
      </c>
      <c r="AC8194" t="s">
        <v>19330</v>
      </c>
      <c r="AE8194">
        <v>0</v>
      </c>
      <c r="AF8194" t="s">
        <v>45541</v>
      </c>
      <c r="AG8194" t="s">
        <v>19330</v>
      </c>
      <c r="AH8194">
        <v>11</v>
      </c>
      <c r="AI8194">
        <v>1</v>
      </c>
      <c r="AJ8194">
        <v>2</v>
      </c>
      <c r="AK8194">
        <v>179.18</v>
      </c>
      <c r="AN8194" t="s">
        <v>7439</v>
      </c>
      <c r="AO8194">
        <v>38220</v>
      </c>
      <c r="AU8194">
        <v>3.8</v>
      </c>
      <c r="AV8194" t="s">
        <v>831</v>
      </c>
      <c r="AW8194" t="s">
        <v>46853</v>
      </c>
      <c r="AX8194" t="s">
        <v>46897</v>
      </c>
    </row>
    <row r="8195" spans="1:50">
      <c r="A8195" s="1">
        <f>HYPERLINK("https://lsnyc.legalserver.org/matter/dynamic-profile/view/1900617","19-1900617")</f>
        <v>0</v>
      </c>
      <c r="B8195" t="s">
        <v>147</v>
      </c>
      <c r="C8195" t="s">
        <v>340</v>
      </c>
      <c r="D8195" t="s">
        <v>806</v>
      </c>
      <c r="F8195" t="s">
        <v>3287</v>
      </c>
      <c r="G8195" t="s">
        <v>5748</v>
      </c>
      <c r="H8195" t="s">
        <v>15196</v>
      </c>
      <c r="I8195" t="s">
        <v>17390</v>
      </c>
      <c r="J8195" t="s">
        <v>18894</v>
      </c>
      <c r="K8195">
        <v>11226</v>
      </c>
      <c r="L8195" t="s">
        <v>18958</v>
      </c>
      <c r="M8195" t="s">
        <v>18960</v>
      </c>
      <c r="N8195" t="s">
        <v>24818</v>
      </c>
      <c r="O8195" t="s">
        <v>26526</v>
      </c>
      <c r="P8195" t="s">
        <v>26560</v>
      </c>
      <c r="R8195" t="s">
        <v>26578</v>
      </c>
      <c r="S8195" t="s">
        <v>18958</v>
      </c>
      <c r="U8195" t="s">
        <v>26604</v>
      </c>
      <c r="V8195" t="s">
        <v>26610</v>
      </c>
      <c r="W8195" t="s">
        <v>806</v>
      </c>
      <c r="X8195">
        <v>763.1799999999999</v>
      </c>
      <c r="Y8195" t="s">
        <v>26652</v>
      </c>
      <c r="Z8195" t="s">
        <v>26667</v>
      </c>
      <c r="AB8195" t="s">
        <v>31125</v>
      </c>
      <c r="AD8195" t="s">
        <v>43205</v>
      </c>
      <c r="AE8195">
        <v>36</v>
      </c>
      <c r="AF8195" t="s">
        <v>45541</v>
      </c>
      <c r="AG8195" t="s">
        <v>45559</v>
      </c>
      <c r="AH8195">
        <v>30</v>
      </c>
      <c r="AI8195">
        <v>4</v>
      </c>
      <c r="AJ8195">
        <v>0</v>
      </c>
      <c r="AK8195">
        <v>192.65</v>
      </c>
      <c r="AN8195" t="s">
        <v>45581</v>
      </c>
      <c r="AO8195">
        <v>49608</v>
      </c>
      <c r="AU8195">
        <v>0.3</v>
      </c>
      <c r="AV8195" t="s">
        <v>806</v>
      </c>
      <c r="AW8195" t="s">
        <v>198</v>
      </c>
    </row>
    <row r="8196" spans="1:50">
      <c r="A8196" s="1">
        <f>HYPERLINK("https://lsnyc.legalserver.org/matter/dynamic-profile/view/1900598","19-1900598")</f>
        <v>0</v>
      </c>
      <c r="B8196" t="s">
        <v>147</v>
      </c>
      <c r="C8196" t="s">
        <v>340</v>
      </c>
      <c r="D8196" t="s">
        <v>806</v>
      </c>
      <c r="F8196" t="s">
        <v>1189</v>
      </c>
      <c r="G8196" t="s">
        <v>8597</v>
      </c>
      <c r="H8196" t="s">
        <v>15196</v>
      </c>
      <c r="I8196" t="s">
        <v>17348</v>
      </c>
      <c r="J8196" t="s">
        <v>18894</v>
      </c>
      <c r="K8196">
        <v>11226</v>
      </c>
      <c r="L8196" t="s">
        <v>18958</v>
      </c>
      <c r="M8196" t="s">
        <v>18960</v>
      </c>
      <c r="N8196" t="s">
        <v>24818</v>
      </c>
      <c r="O8196" t="s">
        <v>26526</v>
      </c>
      <c r="P8196" t="s">
        <v>26560</v>
      </c>
      <c r="R8196" t="s">
        <v>26578</v>
      </c>
      <c r="S8196" t="s">
        <v>18958</v>
      </c>
      <c r="U8196" t="s">
        <v>26604</v>
      </c>
      <c r="V8196" t="s">
        <v>26610</v>
      </c>
      <c r="W8196" t="s">
        <v>806</v>
      </c>
      <c r="X8196">
        <v>1670</v>
      </c>
      <c r="Y8196" t="s">
        <v>26652</v>
      </c>
      <c r="Z8196" t="s">
        <v>26667</v>
      </c>
      <c r="AB8196" t="s">
        <v>32695</v>
      </c>
      <c r="AD8196" t="s">
        <v>43206</v>
      </c>
      <c r="AE8196">
        <v>36</v>
      </c>
      <c r="AF8196" t="s">
        <v>45541</v>
      </c>
      <c r="AH8196">
        <v>4</v>
      </c>
      <c r="AI8196">
        <v>2</v>
      </c>
      <c r="AJ8196">
        <v>0</v>
      </c>
      <c r="AK8196">
        <v>603.1900000000001</v>
      </c>
      <c r="AN8196" t="s">
        <v>7439</v>
      </c>
      <c r="AO8196">
        <v>102000</v>
      </c>
      <c r="AU8196">
        <v>0.3</v>
      </c>
      <c r="AV8196" t="s">
        <v>806</v>
      </c>
      <c r="AW8196" t="s">
        <v>198</v>
      </c>
    </row>
    <row r="8197" spans="1:50">
      <c r="A8197" s="1">
        <f>HYPERLINK("https://lsnyc.legalserver.org/matter/dynamic-profile/view/1900525","19-1900525")</f>
        <v>0</v>
      </c>
      <c r="B8197" t="s">
        <v>282</v>
      </c>
      <c r="C8197" t="s">
        <v>340</v>
      </c>
      <c r="D8197" t="s">
        <v>806</v>
      </c>
      <c r="F8197" t="s">
        <v>2273</v>
      </c>
      <c r="G8197" t="s">
        <v>5097</v>
      </c>
      <c r="H8197" t="s">
        <v>15223</v>
      </c>
      <c r="I8197" t="s">
        <v>17274</v>
      </c>
      <c r="J8197" t="s">
        <v>18907</v>
      </c>
      <c r="K8197">
        <v>11377</v>
      </c>
      <c r="L8197" t="s">
        <v>18958</v>
      </c>
      <c r="M8197" t="s">
        <v>18960</v>
      </c>
      <c r="N8197" t="s">
        <v>24845</v>
      </c>
      <c r="O8197" t="s">
        <v>26523</v>
      </c>
      <c r="P8197" t="s">
        <v>26560</v>
      </c>
      <c r="R8197" t="s">
        <v>26584</v>
      </c>
      <c r="S8197" t="s">
        <v>18959</v>
      </c>
      <c r="U8197" t="s">
        <v>26605</v>
      </c>
      <c r="V8197" t="s">
        <v>26610</v>
      </c>
      <c r="W8197" t="s">
        <v>806</v>
      </c>
      <c r="X8197">
        <v>145</v>
      </c>
      <c r="Y8197" t="s">
        <v>26653</v>
      </c>
      <c r="Z8197" t="s">
        <v>26664</v>
      </c>
      <c r="AB8197" t="s">
        <v>32696</v>
      </c>
      <c r="AC8197" t="s">
        <v>36474</v>
      </c>
      <c r="AD8197" t="s">
        <v>43207</v>
      </c>
      <c r="AE8197">
        <v>24</v>
      </c>
      <c r="AF8197" t="s">
        <v>45549</v>
      </c>
      <c r="AG8197" t="s">
        <v>19330</v>
      </c>
      <c r="AH8197">
        <v>43</v>
      </c>
      <c r="AI8197">
        <v>1</v>
      </c>
      <c r="AJ8197">
        <v>0</v>
      </c>
      <c r="AK8197">
        <v>46.89</v>
      </c>
      <c r="AN8197" t="s">
        <v>45581</v>
      </c>
      <c r="AO8197">
        <v>5856</v>
      </c>
      <c r="AU8197">
        <v>5.5</v>
      </c>
      <c r="AV8197" t="s">
        <v>797</v>
      </c>
      <c r="AW8197" t="s">
        <v>208</v>
      </c>
      <c r="AX8197" t="s">
        <v>46898</v>
      </c>
    </row>
    <row r="8198" spans="1:50">
      <c r="A8198" s="1">
        <f>HYPERLINK("https://lsnyc.legalserver.org/matter/dynamic-profile/view/1900582","19-1900582")</f>
        <v>0</v>
      </c>
      <c r="B8198" t="s">
        <v>282</v>
      </c>
      <c r="C8198" t="s">
        <v>340</v>
      </c>
      <c r="D8198" t="s">
        <v>806</v>
      </c>
      <c r="F8198" t="s">
        <v>1090</v>
      </c>
      <c r="G8198" t="s">
        <v>5026</v>
      </c>
      <c r="H8198" t="s">
        <v>15224</v>
      </c>
      <c r="I8198">
        <v>2</v>
      </c>
      <c r="J8198" t="s">
        <v>18933</v>
      </c>
      <c r="K8198">
        <v>11422</v>
      </c>
      <c r="L8198" t="s">
        <v>18958</v>
      </c>
      <c r="M8198" t="s">
        <v>18960</v>
      </c>
      <c r="N8198" t="s">
        <v>24846</v>
      </c>
      <c r="O8198" t="s">
        <v>26524</v>
      </c>
      <c r="P8198" t="s">
        <v>26564</v>
      </c>
      <c r="R8198" t="s">
        <v>26584</v>
      </c>
      <c r="S8198" t="s">
        <v>18959</v>
      </c>
      <c r="U8198" t="s">
        <v>26604</v>
      </c>
      <c r="V8198" t="s">
        <v>26612</v>
      </c>
      <c r="W8198" t="s">
        <v>806</v>
      </c>
      <c r="X8198">
        <v>1150</v>
      </c>
      <c r="Y8198" t="s">
        <v>26653</v>
      </c>
      <c r="Z8198" t="s">
        <v>26664</v>
      </c>
      <c r="AB8198" t="s">
        <v>32697</v>
      </c>
      <c r="AC8198" t="s">
        <v>36475</v>
      </c>
      <c r="AD8198" t="s">
        <v>43208</v>
      </c>
      <c r="AE8198">
        <v>2</v>
      </c>
      <c r="AF8198" t="s">
        <v>20460</v>
      </c>
      <c r="AG8198" t="s">
        <v>19330</v>
      </c>
      <c r="AH8198">
        <v>5</v>
      </c>
      <c r="AI8198">
        <v>2</v>
      </c>
      <c r="AJ8198">
        <v>0</v>
      </c>
      <c r="AK8198">
        <v>106.45</v>
      </c>
      <c r="AN8198" t="s">
        <v>7439</v>
      </c>
      <c r="AO8198">
        <v>18000</v>
      </c>
      <c r="AU8198">
        <v>14.6</v>
      </c>
      <c r="AV8198" t="s">
        <v>839</v>
      </c>
      <c r="AW8198" t="s">
        <v>208</v>
      </c>
      <c r="AX8198" t="s">
        <v>46897</v>
      </c>
    </row>
    <row r="8199" spans="1:50">
      <c r="A8199" s="1">
        <f>HYPERLINK("https://lsnyc.legalserver.org/matter/dynamic-profile/view/1900557","19-1900557")</f>
        <v>0</v>
      </c>
      <c r="B8199" t="s">
        <v>282</v>
      </c>
      <c r="C8199" t="s">
        <v>340</v>
      </c>
      <c r="D8199" t="s">
        <v>806</v>
      </c>
      <c r="F8199" t="s">
        <v>1834</v>
      </c>
      <c r="G8199" t="s">
        <v>8598</v>
      </c>
      <c r="H8199" t="s">
        <v>15225</v>
      </c>
      <c r="I8199" t="s">
        <v>17312</v>
      </c>
      <c r="J8199" t="s">
        <v>18904</v>
      </c>
      <c r="K8199">
        <v>11421</v>
      </c>
      <c r="L8199" t="s">
        <v>18958</v>
      </c>
      <c r="M8199" t="s">
        <v>18960</v>
      </c>
      <c r="N8199" t="s">
        <v>24847</v>
      </c>
      <c r="O8199" t="s">
        <v>26523</v>
      </c>
      <c r="P8199" t="s">
        <v>26564</v>
      </c>
      <c r="R8199" t="s">
        <v>26584</v>
      </c>
      <c r="S8199" t="s">
        <v>18959</v>
      </c>
      <c r="U8199" t="s">
        <v>26604</v>
      </c>
      <c r="V8199" t="s">
        <v>26610</v>
      </c>
      <c r="W8199" t="s">
        <v>806</v>
      </c>
      <c r="X8199">
        <v>1698</v>
      </c>
      <c r="Y8199" t="s">
        <v>26653</v>
      </c>
      <c r="Z8199" t="s">
        <v>26664</v>
      </c>
      <c r="AB8199" t="s">
        <v>30866</v>
      </c>
      <c r="AD8199" t="s">
        <v>43209</v>
      </c>
      <c r="AE8199">
        <v>3</v>
      </c>
      <c r="AF8199" t="s">
        <v>20460</v>
      </c>
      <c r="AG8199" t="s">
        <v>45556</v>
      </c>
      <c r="AH8199">
        <v>1</v>
      </c>
      <c r="AI8199">
        <v>1</v>
      </c>
      <c r="AJ8199">
        <v>2</v>
      </c>
      <c r="AK8199">
        <v>173.46</v>
      </c>
      <c r="AN8199" t="s">
        <v>7439</v>
      </c>
      <c r="AO8199">
        <v>37000</v>
      </c>
      <c r="AU8199">
        <v>1.3</v>
      </c>
      <c r="AV8199" t="s">
        <v>806</v>
      </c>
      <c r="AW8199" t="s">
        <v>208</v>
      </c>
      <c r="AX8199" t="s">
        <v>46897</v>
      </c>
    </row>
    <row r="8200" spans="1:50">
      <c r="A8200" s="1">
        <f>HYPERLINK("https://lsnyc.legalserver.org/matter/dynamic-profile/view/1900546","19-1900546")</f>
        <v>0</v>
      </c>
      <c r="B8200" t="s">
        <v>191</v>
      </c>
      <c r="C8200" t="s">
        <v>340</v>
      </c>
      <c r="D8200" t="s">
        <v>806</v>
      </c>
      <c r="F8200" t="s">
        <v>4202</v>
      </c>
      <c r="G8200" t="s">
        <v>8599</v>
      </c>
      <c r="H8200" t="s">
        <v>15226</v>
      </c>
      <c r="J8200" t="s">
        <v>18894</v>
      </c>
      <c r="K8200">
        <v>11229</v>
      </c>
      <c r="L8200" t="s">
        <v>18958</v>
      </c>
      <c r="M8200" t="s">
        <v>18960</v>
      </c>
      <c r="O8200" t="s">
        <v>18997</v>
      </c>
      <c r="P8200" t="s">
        <v>26565</v>
      </c>
      <c r="R8200" t="s">
        <v>26578</v>
      </c>
      <c r="S8200" t="s">
        <v>18959</v>
      </c>
      <c r="U8200" t="s">
        <v>26604</v>
      </c>
      <c r="W8200" t="s">
        <v>806</v>
      </c>
      <c r="X8200">
        <v>0</v>
      </c>
      <c r="Y8200" t="s">
        <v>26651</v>
      </c>
      <c r="Z8200" t="s">
        <v>26667</v>
      </c>
      <c r="AB8200" t="s">
        <v>31993</v>
      </c>
      <c r="AE8200">
        <v>0</v>
      </c>
      <c r="AF8200" t="s">
        <v>20460</v>
      </c>
      <c r="AG8200" t="s">
        <v>19330</v>
      </c>
      <c r="AH8200">
        <v>0</v>
      </c>
      <c r="AI8200">
        <v>2</v>
      </c>
      <c r="AJ8200">
        <v>0</v>
      </c>
      <c r="AK8200">
        <v>49.67</v>
      </c>
      <c r="AN8200" t="s">
        <v>45599</v>
      </c>
      <c r="AO8200">
        <v>8400</v>
      </c>
      <c r="AU8200">
        <v>0</v>
      </c>
      <c r="AW8200" t="s">
        <v>314</v>
      </c>
      <c r="AX8200" t="s">
        <v>46897</v>
      </c>
    </row>
    <row r="8201" spans="1:50">
      <c r="A8201" s="1">
        <f>HYPERLINK("https://lsnyc.legalserver.org/matter/dynamic-profile/view/1900646","19-1900646")</f>
        <v>0</v>
      </c>
      <c r="B8201" t="s">
        <v>258</v>
      </c>
      <c r="C8201" t="s">
        <v>340</v>
      </c>
      <c r="D8201" t="s">
        <v>806</v>
      </c>
      <c r="F8201" t="s">
        <v>4203</v>
      </c>
      <c r="G8201" t="s">
        <v>8600</v>
      </c>
      <c r="H8201" t="s">
        <v>11797</v>
      </c>
      <c r="I8201" t="s">
        <v>18541</v>
      </c>
      <c r="J8201" t="s">
        <v>18909</v>
      </c>
      <c r="K8201">
        <v>11101</v>
      </c>
      <c r="L8201" t="s">
        <v>18958</v>
      </c>
      <c r="M8201" t="s">
        <v>18960</v>
      </c>
      <c r="N8201" t="s">
        <v>24848</v>
      </c>
      <c r="O8201" t="s">
        <v>26523</v>
      </c>
      <c r="P8201" t="s">
        <v>26560</v>
      </c>
      <c r="R8201" t="s">
        <v>26578</v>
      </c>
      <c r="S8201" t="s">
        <v>18958</v>
      </c>
      <c r="U8201" t="s">
        <v>26604</v>
      </c>
      <c r="V8201" t="s">
        <v>26610</v>
      </c>
      <c r="W8201" t="s">
        <v>806</v>
      </c>
      <c r="X8201">
        <v>1268</v>
      </c>
      <c r="Y8201" t="s">
        <v>26653</v>
      </c>
      <c r="Z8201" t="s">
        <v>26664</v>
      </c>
      <c r="AB8201" t="s">
        <v>29280</v>
      </c>
      <c r="AD8201" t="s">
        <v>43210</v>
      </c>
      <c r="AE8201">
        <v>200</v>
      </c>
      <c r="AF8201" t="s">
        <v>45541</v>
      </c>
      <c r="AG8201" t="s">
        <v>45562</v>
      </c>
      <c r="AH8201">
        <v>2</v>
      </c>
      <c r="AI8201">
        <v>1</v>
      </c>
      <c r="AJ8201">
        <v>0</v>
      </c>
      <c r="AK8201">
        <v>76.86</v>
      </c>
      <c r="AN8201" t="s">
        <v>45581</v>
      </c>
      <c r="AO8201">
        <v>9600</v>
      </c>
      <c r="AU8201">
        <v>3.2</v>
      </c>
      <c r="AV8201" t="s">
        <v>839</v>
      </c>
      <c r="AW8201" t="s">
        <v>46884</v>
      </c>
      <c r="AX8201" t="s">
        <v>46897</v>
      </c>
    </row>
    <row r="8202" spans="1:50">
      <c r="A8202" s="1">
        <f>HYPERLINK("https://lsnyc.legalserver.org/matter/dynamic-profile/view/1900583","19-1900583")</f>
        <v>0</v>
      </c>
      <c r="B8202" t="s">
        <v>74</v>
      </c>
      <c r="C8202" t="s">
        <v>340</v>
      </c>
      <c r="D8202" t="s">
        <v>806</v>
      </c>
      <c r="F8202" t="s">
        <v>3137</v>
      </c>
      <c r="G8202" t="s">
        <v>8601</v>
      </c>
      <c r="H8202" t="s">
        <v>15119</v>
      </c>
      <c r="I8202" t="s">
        <v>18002</v>
      </c>
      <c r="J8202" t="s">
        <v>18893</v>
      </c>
      <c r="K8202">
        <v>10034</v>
      </c>
      <c r="L8202" t="s">
        <v>18958</v>
      </c>
      <c r="M8202" t="s">
        <v>18960</v>
      </c>
      <c r="P8202" t="s">
        <v>26564</v>
      </c>
      <c r="R8202" t="s">
        <v>26578</v>
      </c>
      <c r="S8202" t="s">
        <v>18958</v>
      </c>
      <c r="U8202" t="s">
        <v>26604</v>
      </c>
      <c r="W8202" t="s">
        <v>806</v>
      </c>
      <c r="X8202">
        <v>1178.65</v>
      </c>
      <c r="Y8202" t="s">
        <v>26651</v>
      </c>
      <c r="Z8202" t="s">
        <v>26661</v>
      </c>
      <c r="AB8202" t="s">
        <v>32698</v>
      </c>
      <c r="AD8202" t="s">
        <v>43211</v>
      </c>
      <c r="AE8202">
        <v>43</v>
      </c>
      <c r="AF8202" t="s">
        <v>45541</v>
      </c>
      <c r="AG8202" t="s">
        <v>19330</v>
      </c>
      <c r="AH8202">
        <v>12</v>
      </c>
      <c r="AI8202">
        <v>5</v>
      </c>
      <c r="AJ8202">
        <v>1</v>
      </c>
      <c r="AK8202">
        <v>64.2</v>
      </c>
      <c r="AN8202" t="s">
        <v>45581</v>
      </c>
      <c r="AO8202">
        <v>22208</v>
      </c>
      <c r="AU8202">
        <v>0.01</v>
      </c>
      <c r="AV8202" t="s">
        <v>773</v>
      </c>
      <c r="AW8202" t="s">
        <v>46840</v>
      </c>
      <c r="AX8202" t="s">
        <v>46897</v>
      </c>
    </row>
    <row r="8203" spans="1:50">
      <c r="A8203" s="1">
        <f>HYPERLINK("https://lsnyc.legalserver.org/matter/dynamic-profile/view/1900521","19-1900521")</f>
        <v>0</v>
      </c>
      <c r="B8203" t="s">
        <v>225</v>
      </c>
      <c r="C8203" t="s">
        <v>340</v>
      </c>
      <c r="D8203" t="s">
        <v>806</v>
      </c>
      <c r="F8203" t="s">
        <v>2745</v>
      </c>
      <c r="G8203" t="s">
        <v>8602</v>
      </c>
      <c r="H8203" t="s">
        <v>15227</v>
      </c>
      <c r="I8203" t="s">
        <v>17339</v>
      </c>
      <c r="J8203" t="s">
        <v>18893</v>
      </c>
      <c r="K8203">
        <v>10035</v>
      </c>
      <c r="L8203" t="s">
        <v>18958</v>
      </c>
      <c r="M8203" t="s">
        <v>18960</v>
      </c>
      <c r="N8203" t="s">
        <v>24849</v>
      </c>
      <c r="O8203" t="s">
        <v>26524</v>
      </c>
      <c r="P8203" t="s">
        <v>26560</v>
      </c>
      <c r="R8203" t="s">
        <v>26578</v>
      </c>
      <c r="S8203" t="s">
        <v>18959</v>
      </c>
      <c r="U8203" t="s">
        <v>26604</v>
      </c>
      <c r="V8203" t="s">
        <v>26611</v>
      </c>
      <c r="W8203" t="s">
        <v>806</v>
      </c>
      <c r="X8203">
        <v>1390</v>
      </c>
      <c r="Y8203" t="s">
        <v>26651</v>
      </c>
      <c r="Z8203" t="s">
        <v>26667</v>
      </c>
      <c r="AB8203" t="s">
        <v>26848</v>
      </c>
      <c r="AC8203">
        <v>230649601</v>
      </c>
      <c r="AD8203" t="s">
        <v>43212</v>
      </c>
      <c r="AE8203">
        <v>96</v>
      </c>
      <c r="AF8203" t="s">
        <v>45541</v>
      </c>
      <c r="AG8203" t="s">
        <v>26530</v>
      </c>
      <c r="AH8203">
        <v>19</v>
      </c>
      <c r="AI8203">
        <v>1</v>
      </c>
      <c r="AJ8203">
        <v>0</v>
      </c>
      <c r="AK8203">
        <v>12.49</v>
      </c>
      <c r="AN8203" t="s">
        <v>7439</v>
      </c>
      <c r="AO8203">
        <v>1560</v>
      </c>
      <c r="AU8203">
        <v>16.65</v>
      </c>
      <c r="AV8203" t="s">
        <v>833</v>
      </c>
      <c r="AW8203" t="s">
        <v>46875</v>
      </c>
      <c r="AX8203" t="s">
        <v>46898</v>
      </c>
    </row>
    <row r="8204" spans="1:50">
      <c r="A8204" s="1">
        <f>HYPERLINK("https://lsnyc.legalserver.org/matter/dynamic-profile/view/1900589","19-1900589")</f>
        <v>0</v>
      </c>
      <c r="B8204" t="s">
        <v>214</v>
      </c>
      <c r="C8204" t="s">
        <v>340</v>
      </c>
      <c r="D8204" t="s">
        <v>806</v>
      </c>
      <c r="F8204" t="s">
        <v>4204</v>
      </c>
      <c r="G8204" t="s">
        <v>1876</v>
      </c>
      <c r="H8204" t="s">
        <v>13274</v>
      </c>
      <c r="I8204" t="s">
        <v>18542</v>
      </c>
      <c r="J8204" t="s">
        <v>18906</v>
      </c>
      <c r="K8204">
        <v>11373</v>
      </c>
      <c r="L8204" t="s">
        <v>18958</v>
      </c>
      <c r="M8204" t="s">
        <v>18960</v>
      </c>
      <c r="N8204" t="s">
        <v>24850</v>
      </c>
      <c r="O8204" t="s">
        <v>26523</v>
      </c>
      <c r="P8204" t="s">
        <v>26560</v>
      </c>
      <c r="R8204" t="s">
        <v>26585</v>
      </c>
      <c r="S8204" t="s">
        <v>18958</v>
      </c>
      <c r="U8204" t="s">
        <v>26604</v>
      </c>
      <c r="V8204" t="s">
        <v>26610</v>
      </c>
      <c r="W8204" t="s">
        <v>806</v>
      </c>
      <c r="X8204">
        <v>946.73</v>
      </c>
      <c r="Y8204" t="s">
        <v>26653</v>
      </c>
      <c r="Z8204" t="s">
        <v>26668</v>
      </c>
      <c r="AB8204" t="s">
        <v>32699</v>
      </c>
      <c r="AC8204" t="s">
        <v>36476</v>
      </c>
      <c r="AD8204" t="s">
        <v>43213</v>
      </c>
      <c r="AE8204">
        <v>353</v>
      </c>
      <c r="AF8204" t="s">
        <v>45541</v>
      </c>
      <c r="AG8204" t="s">
        <v>45559</v>
      </c>
      <c r="AH8204">
        <v>25</v>
      </c>
      <c r="AI8204">
        <v>2</v>
      </c>
      <c r="AJ8204">
        <v>0</v>
      </c>
      <c r="AK8204">
        <v>85.16</v>
      </c>
      <c r="AN8204" t="s">
        <v>45583</v>
      </c>
      <c r="AO8204">
        <v>14400</v>
      </c>
      <c r="AU8204">
        <v>4.65</v>
      </c>
      <c r="AV8204" t="s">
        <v>833</v>
      </c>
      <c r="AW8204" t="s">
        <v>85</v>
      </c>
      <c r="AX8204" t="s">
        <v>46897</v>
      </c>
    </row>
    <row r="8205" spans="1:50">
      <c r="A8205" s="1">
        <f>HYPERLINK("https://lsnyc.legalserver.org/matter/dynamic-profile/view/1900540","19-1900540")</f>
        <v>0</v>
      </c>
      <c r="B8205" t="s">
        <v>253</v>
      </c>
      <c r="C8205" t="s">
        <v>340</v>
      </c>
      <c r="D8205" t="s">
        <v>806</v>
      </c>
      <c r="F8205" t="s">
        <v>1923</v>
      </c>
      <c r="G8205" t="s">
        <v>6772</v>
      </c>
      <c r="H8205" t="s">
        <v>11762</v>
      </c>
      <c r="I8205" t="s">
        <v>18543</v>
      </c>
      <c r="J8205" t="s">
        <v>18892</v>
      </c>
      <c r="K8205">
        <v>10457</v>
      </c>
      <c r="L8205" t="s">
        <v>18958</v>
      </c>
      <c r="M8205" t="s">
        <v>18960</v>
      </c>
      <c r="N8205" t="s">
        <v>24851</v>
      </c>
      <c r="O8205" t="s">
        <v>26523</v>
      </c>
      <c r="P8205" t="s">
        <v>26560</v>
      </c>
      <c r="R8205" t="s">
        <v>26578</v>
      </c>
      <c r="S8205" t="s">
        <v>18959</v>
      </c>
      <c r="U8205" t="s">
        <v>26604</v>
      </c>
      <c r="W8205" t="s">
        <v>806</v>
      </c>
      <c r="X8205">
        <v>3519</v>
      </c>
      <c r="Y8205" t="s">
        <v>26650</v>
      </c>
      <c r="Z8205" t="s">
        <v>26668</v>
      </c>
      <c r="AB8205" t="s">
        <v>32700</v>
      </c>
      <c r="AD8205" t="s">
        <v>43214</v>
      </c>
      <c r="AE8205">
        <v>84</v>
      </c>
      <c r="AF8205" t="s">
        <v>45541</v>
      </c>
      <c r="AG8205" t="s">
        <v>45556</v>
      </c>
      <c r="AH8205">
        <v>31</v>
      </c>
      <c r="AI8205">
        <v>1</v>
      </c>
      <c r="AJ8205">
        <v>0</v>
      </c>
      <c r="AK8205">
        <v>124.9</v>
      </c>
      <c r="AN8205" t="s">
        <v>7439</v>
      </c>
      <c r="AO8205">
        <v>15600</v>
      </c>
      <c r="AU8205">
        <v>1.6</v>
      </c>
      <c r="AV8205" t="s">
        <v>831</v>
      </c>
      <c r="AW8205" t="s">
        <v>329</v>
      </c>
      <c r="AX8205" t="s">
        <v>46897</v>
      </c>
    </row>
    <row r="8206" spans="1:50">
      <c r="A8206" s="1">
        <f>HYPERLINK("https://lsnyc.legalserver.org/matter/dynamic-profile/view/1900515","19-1900515")</f>
        <v>0</v>
      </c>
      <c r="B8206" t="s">
        <v>253</v>
      </c>
      <c r="C8206" t="s">
        <v>340</v>
      </c>
      <c r="D8206" t="s">
        <v>806</v>
      </c>
      <c r="F8206" t="s">
        <v>2284</v>
      </c>
      <c r="G8206" t="s">
        <v>8603</v>
      </c>
      <c r="H8206" t="s">
        <v>15228</v>
      </c>
      <c r="I8206" t="s">
        <v>17306</v>
      </c>
      <c r="J8206" t="s">
        <v>18892</v>
      </c>
      <c r="K8206">
        <v>10466</v>
      </c>
      <c r="L8206" t="s">
        <v>18958</v>
      </c>
      <c r="M8206" t="s">
        <v>18960</v>
      </c>
      <c r="N8206" t="s">
        <v>24852</v>
      </c>
      <c r="O8206" t="s">
        <v>26523</v>
      </c>
      <c r="P8206" t="s">
        <v>26560</v>
      </c>
      <c r="R8206" t="s">
        <v>26577</v>
      </c>
      <c r="S8206" t="s">
        <v>18959</v>
      </c>
      <c r="U8206" t="s">
        <v>26604</v>
      </c>
      <c r="W8206" t="s">
        <v>806</v>
      </c>
      <c r="X8206">
        <v>1145.57</v>
      </c>
      <c r="Y8206" t="s">
        <v>26650</v>
      </c>
      <c r="Z8206" t="s">
        <v>26668</v>
      </c>
      <c r="AB8206" t="s">
        <v>32701</v>
      </c>
      <c r="AE8206">
        <v>0</v>
      </c>
      <c r="AF8206" t="s">
        <v>45541</v>
      </c>
      <c r="AG8206" t="s">
        <v>19330</v>
      </c>
      <c r="AH8206">
        <v>11</v>
      </c>
      <c r="AI8206">
        <v>1</v>
      </c>
      <c r="AJ8206">
        <v>0</v>
      </c>
      <c r="AK8206">
        <v>74.08</v>
      </c>
      <c r="AN8206" t="s">
        <v>7439</v>
      </c>
      <c r="AO8206">
        <v>9252</v>
      </c>
      <c r="AU8206">
        <v>17.55</v>
      </c>
      <c r="AV8206" t="s">
        <v>831</v>
      </c>
      <c r="AW8206" t="s">
        <v>46871</v>
      </c>
      <c r="AX8206" t="s">
        <v>46897</v>
      </c>
    </row>
    <row r="8207" spans="1:50">
      <c r="A8207" s="1">
        <f>HYPERLINK("https://lsnyc.legalserver.org/matter/dynamic-profile/view/1900674","19-1900674")</f>
        <v>0</v>
      </c>
      <c r="B8207" t="s">
        <v>182</v>
      </c>
      <c r="C8207" t="s">
        <v>340</v>
      </c>
      <c r="D8207" t="s">
        <v>806</v>
      </c>
      <c r="F8207" t="s">
        <v>1222</v>
      </c>
      <c r="G8207" t="s">
        <v>8154</v>
      </c>
      <c r="H8207" t="s">
        <v>15229</v>
      </c>
      <c r="I8207" t="s">
        <v>17585</v>
      </c>
      <c r="J8207" t="s">
        <v>18892</v>
      </c>
      <c r="K8207">
        <v>10473</v>
      </c>
      <c r="L8207" t="s">
        <v>18958</v>
      </c>
      <c r="M8207" t="s">
        <v>18960</v>
      </c>
      <c r="N8207" t="s">
        <v>24853</v>
      </c>
      <c r="O8207" t="s">
        <v>26524</v>
      </c>
      <c r="P8207" t="s">
        <v>26560</v>
      </c>
      <c r="R8207" t="s">
        <v>26577</v>
      </c>
      <c r="U8207" t="s">
        <v>26604</v>
      </c>
      <c r="V8207" t="s">
        <v>26610</v>
      </c>
      <c r="W8207" t="s">
        <v>806</v>
      </c>
      <c r="X8207">
        <v>682</v>
      </c>
      <c r="Y8207" t="s">
        <v>26650</v>
      </c>
      <c r="Z8207" t="s">
        <v>26664</v>
      </c>
      <c r="AB8207" t="s">
        <v>31230</v>
      </c>
      <c r="AD8207" t="s">
        <v>43215</v>
      </c>
      <c r="AE8207">
        <v>0</v>
      </c>
      <c r="AF8207" t="s">
        <v>45541</v>
      </c>
      <c r="AG8207" t="s">
        <v>19330</v>
      </c>
      <c r="AH8207">
        <v>15</v>
      </c>
      <c r="AI8207">
        <v>1</v>
      </c>
      <c r="AJ8207">
        <v>0</v>
      </c>
      <c r="AK8207">
        <v>536.4299999999999</v>
      </c>
      <c r="AL8207" t="s">
        <v>818</v>
      </c>
      <c r="AM8207" t="s">
        <v>45575</v>
      </c>
      <c r="AN8207" t="s">
        <v>7439</v>
      </c>
      <c r="AO8207">
        <v>67000</v>
      </c>
      <c r="AU8207">
        <v>16.5</v>
      </c>
      <c r="AV8207" t="s">
        <v>814</v>
      </c>
      <c r="AW8207" t="s">
        <v>284</v>
      </c>
      <c r="AX8207" t="s">
        <v>46897</v>
      </c>
    </row>
    <row r="8208" spans="1:50">
      <c r="A8208" s="1">
        <f>HYPERLINK("https://lsnyc.legalserver.org/matter/dynamic-profile/view/1900670","19-1900670")</f>
        <v>0</v>
      </c>
      <c r="B8208" t="s">
        <v>142</v>
      </c>
      <c r="C8208" t="s">
        <v>340</v>
      </c>
      <c r="D8208" t="s">
        <v>806</v>
      </c>
      <c r="F8208" t="s">
        <v>1663</v>
      </c>
      <c r="G8208" t="s">
        <v>8604</v>
      </c>
      <c r="H8208" t="s">
        <v>15230</v>
      </c>
      <c r="J8208" t="s">
        <v>18924</v>
      </c>
      <c r="K8208">
        <v>11411</v>
      </c>
      <c r="L8208" t="s">
        <v>18958</v>
      </c>
      <c r="M8208" t="s">
        <v>18960</v>
      </c>
      <c r="N8208" t="s">
        <v>24854</v>
      </c>
      <c r="O8208" t="s">
        <v>26524</v>
      </c>
      <c r="P8208" t="s">
        <v>26564</v>
      </c>
      <c r="R8208" t="s">
        <v>26578</v>
      </c>
      <c r="S8208" t="s">
        <v>18959</v>
      </c>
      <c r="U8208" t="s">
        <v>26604</v>
      </c>
      <c r="W8208" t="s">
        <v>806</v>
      </c>
      <c r="X8208">
        <v>1500</v>
      </c>
      <c r="Y8208" t="s">
        <v>26653</v>
      </c>
      <c r="AB8208" t="s">
        <v>32702</v>
      </c>
      <c r="AD8208" t="s">
        <v>43216</v>
      </c>
      <c r="AE8208">
        <v>0</v>
      </c>
      <c r="AH8208">
        <v>2</v>
      </c>
      <c r="AI8208">
        <v>5</v>
      </c>
      <c r="AJ8208">
        <v>1</v>
      </c>
      <c r="AK8208">
        <v>144.55</v>
      </c>
      <c r="AN8208" t="s">
        <v>7439</v>
      </c>
      <c r="AO8208">
        <v>50000</v>
      </c>
      <c r="AU8208">
        <v>1.1</v>
      </c>
      <c r="AV8208" t="s">
        <v>720</v>
      </c>
      <c r="AW8208" t="s">
        <v>46884</v>
      </c>
    </row>
    <row r="8209" spans="1:50">
      <c r="A8209" s="1">
        <f>HYPERLINK("https://lsnyc.legalserver.org/matter/dynamic-profile/view/1900654","19-1900654")</f>
        <v>0</v>
      </c>
      <c r="B8209" t="s">
        <v>233</v>
      </c>
      <c r="C8209" t="s">
        <v>340</v>
      </c>
      <c r="D8209" t="s">
        <v>806</v>
      </c>
      <c r="F8209" t="s">
        <v>1081</v>
      </c>
      <c r="G8209" t="s">
        <v>989</v>
      </c>
      <c r="H8209" t="s">
        <v>15231</v>
      </c>
      <c r="I8209" t="s">
        <v>17306</v>
      </c>
      <c r="J8209" t="s">
        <v>18892</v>
      </c>
      <c r="K8209">
        <v>10452</v>
      </c>
      <c r="L8209" t="s">
        <v>18958</v>
      </c>
      <c r="M8209" t="s">
        <v>18960</v>
      </c>
      <c r="N8209" t="s">
        <v>24855</v>
      </c>
      <c r="O8209" t="s">
        <v>26523</v>
      </c>
      <c r="P8209" t="s">
        <v>26560</v>
      </c>
      <c r="R8209" t="s">
        <v>26577</v>
      </c>
      <c r="S8209" t="s">
        <v>18959</v>
      </c>
      <c r="U8209" t="s">
        <v>26604</v>
      </c>
      <c r="W8209" t="s">
        <v>806</v>
      </c>
      <c r="X8209">
        <v>1237.21</v>
      </c>
      <c r="Y8209" t="s">
        <v>26650</v>
      </c>
      <c r="AB8209" t="s">
        <v>29514</v>
      </c>
      <c r="AC8209" t="s">
        <v>36477</v>
      </c>
      <c r="AD8209" t="s">
        <v>43217</v>
      </c>
      <c r="AE8209">
        <v>0</v>
      </c>
      <c r="AG8209" t="s">
        <v>45558</v>
      </c>
      <c r="AH8209">
        <v>14</v>
      </c>
      <c r="AI8209">
        <v>1</v>
      </c>
      <c r="AJ8209">
        <v>0</v>
      </c>
      <c r="AK8209">
        <v>14.78</v>
      </c>
      <c r="AN8209" t="s">
        <v>7439</v>
      </c>
      <c r="AO8209">
        <v>1846</v>
      </c>
      <c r="AU8209">
        <v>0.75</v>
      </c>
      <c r="AV8209" t="s">
        <v>807</v>
      </c>
      <c r="AW8209" t="s">
        <v>335</v>
      </c>
      <c r="AX8209" t="s">
        <v>46898</v>
      </c>
    </row>
    <row r="8210" spans="1:50">
      <c r="A8210" s="1">
        <f>HYPERLINK("https://lsnyc.legalserver.org/matter/dynamic-profile/view/1900568","19-1900568")</f>
        <v>0</v>
      </c>
      <c r="B8210" t="s">
        <v>129</v>
      </c>
      <c r="C8210" t="s">
        <v>340</v>
      </c>
      <c r="D8210" t="s">
        <v>806</v>
      </c>
      <c r="F8210" t="s">
        <v>1366</v>
      </c>
      <c r="G8210" t="s">
        <v>8605</v>
      </c>
      <c r="H8210" t="s">
        <v>15232</v>
      </c>
      <c r="I8210" t="s">
        <v>17423</v>
      </c>
      <c r="J8210" t="s">
        <v>18894</v>
      </c>
      <c r="K8210">
        <v>11221</v>
      </c>
      <c r="L8210" t="s">
        <v>18958</v>
      </c>
      <c r="M8210" t="s">
        <v>18960</v>
      </c>
      <c r="N8210" t="s">
        <v>24856</v>
      </c>
      <c r="O8210" t="s">
        <v>26524</v>
      </c>
      <c r="P8210" t="s">
        <v>26560</v>
      </c>
      <c r="R8210" t="s">
        <v>26588</v>
      </c>
      <c r="S8210" t="s">
        <v>18959</v>
      </c>
      <c r="U8210" t="s">
        <v>26604</v>
      </c>
      <c r="V8210" t="s">
        <v>26610</v>
      </c>
      <c r="W8210" t="s">
        <v>806</v>
      </c>
      <c r="X8210">
        <v>675</v>
      </c>
      <c r="Y8210" t="s">
        <v>26652</v>
      </c>
      <c r="Z8210" t="s">
        <v>26669</v>
      </c>
      <c r="AB8210" t="s">
        <v>32703</v>
      </c>
      <c r="AD8210" t="s">
        <v>43218</v>
      </c>
      <c r="AE8210">
        <v>2</v>
      </c>
      <c r="AF8210" t="s">
        <v>45547</v>
      </c>
      <c r="AG8210" t="s">
        <v>19330</v>
      </c>
      <c r="AH8210">
        <v>1</v>
      </c>
      <c r="AI8210">
        <v>1</v>
      </c>
      <c r="AJ8210">
        <v>0</v>
      </c>
      <c r="AK8210">
        <v>18.73</v>
      </c>
      <c r="AN8210" t="s">
        <v>7439</v>
      </c>
      <c r="AO8210">
        <v>2340</v>
      </c>
      <c r="AU8210">
        <v>5.15</v>
      </c>
      <c r="AV8210" t="s">
        <v>838</v>
      </c>
      <c r="AW8210" t="s">
        <v>46841</v>
      </c>
      <c r="AX8210" t="s">
        <v>46897</v>
      </c>
    </row>
    <row r="8211" spans="1:50">
      <c r="A8211" s="1">
        <f>HYPERLINK("https://lsnyc.legalserver.org/matter/dynamic-profile/view/1900677","19-1900677")</f>
        <v>0</v>
      </c>
      <c r="B8211" t="s">
        <v>78</v>
      </c>
      <c r="C8211" t="s">
        <v>340</v>
      </c>
      <c r="D8211" t="s">
        <v>806</v>
      </c>
      <c r="F8211" t="s">
        <v>2778</v>
      </c>
      <c r="G8211" t="s">
        <v>2620</v>
      </c>
      <c r="H8211" t="s">
        <v>10750</v>
      </c>
      <c r="I8211">
        <v>7</v>
      </c>
      <c r="J8211" t="s">
        <v>18894</v>
      </c>
      <c r="K8211">
        <v>11213</v>
      </c>
      <c r="L8211" t="s">
        <v>18958</v>
      </c>
      <c r="M8211" t="s">
        <v>18960</v>
      </c>
      <c r="O8211" t="s">
        <v>18997</v>
      </c>
      <c r="P8211" t="s">
        <v>26562</v>
      </c>
      <c r="R8211" t="s">
        <v>26578</v>
      </c>
      <c r="S8211" t="s">
        <v>18958</v>
      </c>
      <c r="U8211" t="s">
        <v>26604</v>
      </c>
      <c r="V8211" t="s">
        <v>26610</v>
      </c>
      <c r="W8211" t="s">
        <v>806</v>
      </c>
      <c r="X8211">
        <v>931.36</v>
      </c>
      <c r="Y8211" t="s">
        <v>26652</v>
      </c>
      <c r="Z8211" t="s">
        <v>26663</v>
      </c>
      <c r="AB8211" t="s">
        <v>29872</v>
      </c>
      <c r="AC8211" t="s">
        <v>19330</v>
      </c>
      <c r="AE8211">
        <v>31</v>
      </c>
      <c r="AF8211" t="s">
        <v>45541</v>
      </c>
      <c r="AG8211" t="s">
        <v>19330</v>
      </c>
      <c r="AH8211">
        <v>35</v>
      </c>
      <c r="AI8211">
        <v>2</v>
      </c>
      <c r="AJ8211">
        <v>0</v>
      </c>
      <c r="AK8211">
        <v>189.24</v>
      </c>
      <c r="AN8211" t="s">
        <v>7439</v>
      </c>
      <c r="AO8211">
        <v>32000</v>
      </c>
      <c r="AP8211" t="s">
        <v>46087</v>
      </c>
      <c r="AU8211">
        <v>0</v>
      </c>
      <c r="AW8211" t="s">
        <v>279</v>
      </c>
      <c r="AX8211" t="s">
        <v>46897</v>
      </c>
    </row>
    <row r="8212" spans="1:50">
      <c r="A8212" s="1">
        <f>HYPERLINK("https://lsnyc.legalserver.org/matter/dynamic-profile/view/1900576","19-1900576")</f>
        <v>0</v>
      </c>
      <c r="B8212" t="s">
        <v>126</v>
      </c>
      <c r="C8212" t="s">
        <v>340</v>
      </c>
      <c r="D8212" t="s">
        <v>806</v>
      </c>
      <c r="F8212" t="s">
        <v>4205</v>
      </c>
      <c r="G8212" t="s">
        <v>8606</v>
      </c>
      <c r="H8212" t="s">
        <v>13259</v>
      </c>
      <c r="I8212" t="s">
        <v>17330</v>
      </c>
      <c r="J8212" t="s">
        <v>18894</v>
      </c>
      <c r="K8212">
        <v>11208</v>
      </c>
      <c r="L8212" t="s">
        <v>18958</v>
      </c>
      <c r="M8212" t="s">
        <v>18960</v>
      </c>
      <c r="N8212" t="s">
        <v>24857</v>
      </c>
      <c r="O8212" t="s">
        <v>26524</v>
      </c>
      <c r="P8212" t="s">
        <v>26563</v>
      </c>
      <c r="R8212" t="s">
        <v>26578</v>
      </c>
      <c r="S8212" t="s">
        <v>18959</v>
      </c>
      <c r="U8212" t="s">
        <v>26604</v>
      </c>
      <c r="W8212" t="s">
        <v>806</v>
      </c>
      <c r="X8212">
        <v>1350</v>
      </c>
      <c r="Y8212" t="s">
        <v>26652</v>
      </c>
      <c r="Z8212" t="s">
        <v>26664</v>
      </c>
      <c r="AB8212" t="s">
        <v>27179</v>
      </c>
      <c r="AC8212" t="s">
        <v>36478</v>
      </c>
      <c r="AD8212" t="s">
        <v>43219</v>
      </c>
      <c r="AE8212">
        <v>4</v>
      </c>
      <c r="AF8212" t="s">
        <v>45547</v>
      </c>
      <c r="AG8212" t="s">
        <v>19330</v>
      </c>
      <c r="AH8212">
        <v>6</v>
      </c>
      <c r="AI8212">
        <v>3</v>
      </c>
      <c r="AJ8212">
        <v>2</v>
      </c>
      <c r="AK8212">
        <v>135.62</v>
      </c>
      <c r="AN8212" t="s">
        <v>7439</v>
      </c>
      <c r="AO8212">
        <v>40916</v>
      </c>
      <c r="AU8212">
        <v>1.6</v>
      </c>
      <c r="AV8212" t="s">
        <v>825</v>
      </c>
      <c r="AW8212" t="s">
        <v>46887</v>
      </c>
      <c r="AX8212" t="s">
        <v>46897</v>
      </c>
    </row>
    <row r="8213" spans="1:50">
      <c r="A8213" s="1">
        <f>HYPERLINK("https://lsnyc.legalserver.org/matter/dynamic-profile/view/1900602","19-1900602")</f>
        <v>0</v>
      </c>
      <c r="B8213" t="s">
        <v>91</v>
      </c>
      <c r="C8213" t="s">
        <v>340</v>
      </c>
      <c r="D8213" t="s">
        <v>806</v>
      </c>
      <c r="F8213" t="s">
        <v>4206</v>
      </c>
      <c r="G8213" t="s">
        <v>4311</v>
      </c>
      <c r="H8213" t="s">
        <v>10422</v>
      </c>
      <c r="I8213" t="s">
        <v>18544</v>
      </c>
      <c r="J8213" t="s">
        <v>7026</v>
      </c>
      <c r="K8213">
        <v>11368</v>
      </c>
      <c r="L8213" t="s">
        <v>18958</v>
      </c>
      <c r="M8213" t="s">
        <v>18960</v>
      </c>
      <c r="N8213" t="s">
        <v>24858</v>
      </c>
      <c r="O8213" t="s">
        <v>26523</v>
      </c>
      <c r="P8213" t="s">
        <v>26563</v>
      </c>
      <c r="R8213" t="s">
        <v>26578</v>
      </c>
      <c r="S8213" t="s">
        <v>18958</v>
      </c>
      <c r="U8213" t="s">
        <v>26604</v>
      </c>
      <c r="W8213" t="s">
        <v>806</v>
      </c>
      <c r="X8213">
        <v>975</v>
      </c>
      <c r="Y8213" t="s">
        <v>26653</v>
      </c>
      <c r="Z8213" t="s">
        <v>26664</v>
      </c>
      <c r="AB8213" t="s">
        <v>29747</v>
      </c>
      <c r="AD8213" t="s">
        <v>43220</v>
      </c>
      <c r="AE8213">
        <v>0</v>
      </c>
      <c r="AH8213">
        <v>27</v>
      </c>
      <c r="AI8213">
        <v>1</v>
      </c>
      <c r="AJ8213">
        <v>0</v>
      </c>
      <c r="AK8213">
        <v>171.98</v>
      </c>
      <c r="AN8213" t="s">
        <v>7439</v>
      </c>
      <c r="AO8213">
        <v>21480</v>
      </c>
      <c r="AU8213">
        <v>7.35</v>
      </c>
      <c r="AV8213" t="s">
        <v>836</v>
      </c>
      <c r="AW8213" t="s">
        <v>46884</v>
      </c>
    </row>
    <row r="8214" spans="1:50">
      <c r="A8214" s="1">
        <f>HYPERLINK("https://lsnyc.legalserver.org/matter/dynamic-profile/view/1900565","19-1900565")</f>
        <v>0</v>
      </c>
      <c r="B8214" t="s">
        <v>91</v>
      </c>
      <c r="C8214" t="s">
        <v>340</v>
      </c>
      <c r="D8214" t="s">
        <v>806</v>
      </c>
      <c r="F8214" t="s">
        <v>871</v>
      </c>
      <c r="G8214" t="s">
        <v>7019</v>
      </c>
      <c r="H8214" t="s">
        <v>12769</v>
      </c>
      <c r="I8214" t="s">
        <v>17569</v>
      </c>
      <c r="J8214" t="s">
        <v>7026</v>
      </c>
      <c r="K8214">
        <v>11368</v>
      </c>
      <c r="L8214" t="s">
        <v>18958</v>
      </c>
      <c r="M8214" t="s">
        <v>18960</v>
      </c>
      <c r="N8214" t="s">
        <v>24859</v>
      </c>
      <c r="O8214" t="s">
        <v>26523</v>
      </c>
      <c r="P8214" t="s">
        <v>26560</v>
      </c>
      <c r="R8214" t="s">
        <v>26584</v>
      </c>
      <c r="S8214" t="s">
        <v>18959</v>
      </c>
      <c r="U8214" t="s">
        <v>26604</v>
      </c>
      <c r="W8214" t="s">
        <v>806</v>
      </c>
      <c r="X8214">
        <v>288</v>
      </c>
      <c r="Y8214" t="s">
        <v>26653</v>
      </c>
      <c r="Z8214" t="s">
        <v>26664</v>
      </c>
      <c r="AB8214" t="s">
        <v>30841</v>
      </c>
      <c r="AC8214" t="s">
        <v>36479</v>
      </c>
      <c r="AD8214" t="s">
        <v>43221</v>
      </c>
      <c r="AE8214">
        <v>250</v>
      </c>
      <c r="AF8214" t="s">
        <v>20460</v>
      </c>
      <c r="AG8214" t="s">
        <v>45556</v>
      </c>
      <c r="AH8214">
        <v>14</v>
      </c>
      <c r="AI8214">
        <v>2</v>
      </c>
      <c r="AJ8214">
        <v>0</v>
      </c>
      <c r="AK8214">
        <v>44</v>
      </c>
      <c r="AN8214" t="s">
        <v>45581</v>
      </c>
      <c r="AO8214">
        <v>7440</v>
      </c>
      <c r="AU8214">
        <v>2.5</v>
      </c>
      <c r="AV8214" t="s">
        <v>46824</v>
      </c>
      <c r="AW8214" t="s">
        <v>208</v>
      </c>
      <c r="AX8214" t="s">
        <v>46898</v>
      </c>
    </row>
    <row r="8215" spans="1:50">
      <c r="A8215" s="1">
        <f>HYPERLINK("https://lsnyc.legalserver.org/matter/dynamic-profile/view/1900541","19-1900541")</f>
        <v>0</v>
      </c>
      <c r="B8215" t="s">
        <v>91</v>
      </c>
      <c r="C8215" t="s">
        <v>340</v>
      </c>
      <c r="D8215" t="s">
        <v>806</v>
      </c>
      <c r="F8215" t="s">
        <v>913</v>
      </c>
      <c r="G8215" t="s">
        <v>3353</v>
      </c>
      <c r="H8215" t="s">
        <v>15233</v>
      </c>
      <c r="I8215" t="s">
        <v>17274</v>
      </c>
      <c r="J8215" t="s">
        <v>18899</v>
      </c>
      <c r="K8215">
        <v>11385</v>
      </c>
      <c r="L8215" t="s">
        <v>18958</v>
      </c>
      <c r="M8215" t="s">
        <v>18960</v>
      </c>
      <c r="N8215" t="s">
        <v>24860</v>
      </c>
      <c r="O8215" t="s">
        <v>26523</v>
      </c>
      <c r="P8215" t="s">
        <v>26560</v>
      </c>
      <c r="R8215" t="s">
        <v>26585</v>
      </c>
      <c r="S8215" t="s">
        <v>18959</v>
      </c>
      <c r="U8215" t="s">
        <v>26604</v>
      </c>
      <c r="W8215" t="s">
        <v>806</v>
      </c>
      <c r="X8215">
        <v>0</v>
      </c>
      <c r="Y8215" t="s">
        <v>26653</v>
      </c>
      <c r="Z8215" t="s">
        <v>26664</v>
      </c>
      <c r="AB8215" t="s">
        <v>31862</v>
      </c>
      <c r="AC8215" t="s">
        <v>36480</v>
      </c>
      <c r="AD8215" t="s">
        <v>43222</v>
      </c>
      <c r="AE8215">
        <v>6</v>
      </c>
      <c r="AF8215" t="s">
        <v>20460</v>
      </c>
      <c r="AG8215" t="s">
        <v>45556</v>
      </c>
      <c r="AH8215">
        <v>18</v>
      </c>
      <c r="AI8215">
        <v>1</v>
      </c>
      <c r="AJ8215">
        <v>1</v>
      </c>
      <c r="AK8215">
        <v>107.3</v>
      </c>
      <c r="AN8215" t="s">
        <v>7439</v>
      </c>
      <c r="AO8215">
        <v>18144</v>
      </c>
      <c r="AU8215">
        <v>15.2</v>
      </c>
      <c r="AV8215" t="s">
        <v>838</v>
      </c>
      <c r="AW8215" t="s">
        <v>208</v>
      </c>
      <c r="AX8215" t="s">
        <v>46898</v>
      </c>
    </row>
    <row r="8216" spans="1:50">
      <c r="A8216" s="1">
        <f>HYPERLINK("https://lsnyc.legalserver.org/matter/dynamic-profile/view/1900659","19-1900659")</f>
        <v>0</v>
      </c>
      <c r="B8216" t="s">
        <v>69</v>
      </c>
      <c r="C8216" t="s">
        <v>340</v>
      </c>
      <c r="D8216" t="s">
        <v>806</v>
      </c>
      <c r="F8216" t="s">
        <v>2078</v>
      </c>
      <c r="G8216" t="s">
        <v>8607</v>
      </c>
      <c r="H8216" t="s">
        <v>15234</v>
      </c>
      <c r="I8216">
        <v>15</v>
      </c>
      <c r="J8216" t="s">
        <v>18892</v>
      </c>
      <c r="K8216">
        <v>10457</v>
      </c>
      <c r="L8216" t="s">
        <v>18958</v>
      </c>
      <c r="M8216" t="s">
        <v>18960</v>
      </c>
      <c r="N8216" t="s">
        <v>24861</v>
      </c>
      <c r="O8216" t="s">
        <v>26523</v>
      </c>
      <c r="P8216" t="s">
        <v>26560</v>
      </c>
      <c r="R8216" t="s">
        <v>26577</v>
      </c>
      <c r="U8216" t="s">
        <v>26604</v>
      </c>
      <c r="W8216" t="s">
        <v>806</v>
      </c>
      <c r="X8216">
        <v>1158</v>
      </c>
      <c r="Y8216" t="s">
        <v>26650</v>
      </c>
      <c r="AB8216" t="s">
        <v>28225</v>
      </c>
      <c r="AD8216" t="s">
        <v>43223</v>
      </c>
      <c r="AE8216">
        <v>0</v>
      </c>
      <c r="AF8216" t="s">
        <v>45541</v>
      </c>
      <c r="AH8216">
        <v>4</v>
      </c>
      <c r="AI8216">
        <v>1</v>
      </c>
      <c r="AJ8216">
        <v>1</v>
      </c>
      <c r="AK8216">
        <v>55</v>
      </c>
      <c r="AN8216" t="s">
        <v>7439</v>
      </c>
      <c r="AO8216">
        <v>9300</v>
      </c>
      <c r="AU8216">
        <v>2.4</v>
      </c>
      <c r="AV8216" t="s">
        <v>833</v>
      </c>
      <c r="AW8216" t="s">
        <v>46836</v>
      </c>
      <c r="AX8216" t="s">
        <v>46897</v>
      </c>
    </row>
    <row r="8217" spans="1:50">
      <c r="A8217" s="1">
        <f>HYPERLINK("https://lsnyc.legalserver.org/matter/dynamic-profile/view/1900572","19-1900572")</f>
        <v>0</v>
      </c>
      <c r="B8217" t="s">
        <v>221</v>
      </c>
      <c r="C8217" t="s">
        <v>340</v>
      </c>
      <c r="D8217" t="s">
        <v>806</v>
      </c>
      <c r="F8217" t="s">
        <v>2358</v>
      </c>
      <c r="G8217" t="s">
        <v>5199</v>
      </c>
      <c r="H8217" t="s">
        <v>15235</v>
      </c>
      <c r="I8217" t="s">
        <v>17742</v>
      </c>
      <c r="J8217" t="s">
        <v>18900</v>
      </c>
      <c r="K8217">
        <v>11367</v>
      </c>
      <c r="L8217" t="s">
        <v>18958</v>
      </c>
      <c r="M8217" t="s">
        <v>18960</v>
      </c>
      <c r="N8217" t="s">
        <v>24862</v>
      </c>
      <c r="O8217" t="s">
        <v>26524</v>
      </c>
      <c r="P8217" t="s">
        <v>26563</v>
      </c>
      <c r="R8217" t="s">
        <v>26584</v>
      </c>
      <c r="S8217" t="s">
        <v>18959</v>
      </c>
      <c r="U8217" t="s">
        <v>26604</v>
      </c>
      <c r="W8217" t="s">
        <v>806</v>
      </c>
      <c r="X8217">
        <v>0</v>
      </c>
      <c r="Y8217" t="s">
        <v>26653</v>
      </c>
      <c r="Z8217" t="s">
        <v>26664</v>
      </c>
      <c r="AB8217" t="s">
        <v>31993</v>
      </c>
      <c r="AD8217" t="s">
        <v>43224</v>
      </c>
      <c r="AE8217">
        <v>45</v>
      </c>
      <c r="AF8217" t="s">
        <v>20460</v>
      </c>
      <c r="AG8217" t="s">
        <v>19330</v>
      </c>
      <c r="AH8217">
        <v>4</v>
      </c>
      <c r="AI8217">
        <v>2</v>
      </c>
      <c r="AJ8217">
        <v>0</v>
      </c>
      <c r="AK8217">
        <v>0</v>
      </c>
      <c r="AN8217" t="s">
        <v>7439</v>
      </c>
      <c r="AO8217">
        <v>0</v>
      </c>
      <c r="AU8217">
        <v>1.1</v>
      </c>
      <c r="AV8217" t="s">
        <v>806</v>
      </c>
      <c r="AW8217" t="s">
        <v>208</v>
      </c>
      <c r="AX8217" t="s">
        <v>46897</v>
      </c>
    </row>
    <row r="8218" spans="1:50">
      <c r="A8218" s="1">
        <f>HYPERLINK("https://lsnyc.legalserver.org/matter/dynamic-profile/view/1900590","19-1900590")</f>
        <v>0</v>
      </c>
      <c r="B8218" t="s">
        <v>221</v>
      </c>
      <c r="C8218" t="s">
        <v>340</v>
      </c>
      <c r="D8218" t="s">
        <v>806</v>
      </c>
      <c r="F8218" t="s">
        <v>3931</v>
      </c>
      <c r="G8218" t="s">
        <v>1748</v>
      </c>
      <c r="H8218" t="s">
        <v>15236</v>
      </c>
      <c r="I8218" t="s">
        <v>17491</v>
      </c>
      <c r="J8218" t="s">
        <v>18904</v>
      </c>
      <c r="K8218">
        <v>11421</v>
      </c>
      <c r="L8218" t="s">
        <v>18958</v>
      </c>
      <c r="M8218" t="s">
        <v>18960</v>
      </c>
      <c r="N8218" t="s">
        <v>24846</v>
      </c>
      <c r="O8218" t="s">
        <v>26524</v>
      </c>
      <c r="P8218" t="s">
        <v>26563</v>
      </c>
      <c r="R8218" t="s">
        <v>26584</v>
      </c>
      <c r="S8218" t="s">
        <v>18959</v>
      </c>
      <c r="U8218" t="s">
        <v>26604</v>
      </c>
      <c r="W8218" t="s">
        <v>806</v>
      </c>
      <c r="X8218">
        <v>3000</v>
      </c>
      <c r="Y8218" t="s">
        <v>26653</v>
      </c>
      <c r="Z8218" t="s">
        <v>26664</v>
      </c>
      <c r="AB8218" t="s">
        <v>32704</v>
      </c>
      <c r="AC8218" t="s">
        <v>36481</v>
      </c>
      <c r="AD8218" t="s">
        <v>43225</v>
      </c>
      <c r="AE8218">
        <v>1</v>
      </c>
      <c r="AF8218" t="s">
        <v>20460</v>
      </c>
      <c r="AG8218" t="s">
        <v>19330</v>
      </c>
      <c r="AH8218">
        <v>4</v>
      </c>
      <c r="AI8218">
        <v>3</v>
      </c>
      <c r="AJ8218">
        <v>3</v>
      </c>
      <c r="AK8218">
        <v>167.68</v>
      </c>
      <c r="AN8218" t="s">
        <v>7439</v>
      </c>
      <c r="AO8218">
        <v>58000</v>
      </c>
      <c r="AU8218">
        <v>0.3</v>
      </c>
      <c r="AV8218" t="s">
        <v>806</v>
      </c>
      <c r="AW8218" t="s">
        <v>208</v>
      </c>
      <c r="AX8218" t="s">
        <v>46897</v>
      </c>
    </row>
    <row r="8219" spans="1:50">
      <c r="A8219" s="1">
        <f>HYPERLINK("https://lsnyc.legalserver.org/matter/dynamic-profile/view/1900864","19-1900864")</f>
        <v>0</v>
      </c>
      <c r="B8219" t="s">
        <v>126</v>
      </c>
      <c r="C8219" t="s">
        <v>340</v>
      </c>
      <c r="D8219" t="s">
        <v>809</v>
      </c>
      <c r="F8219" t="s">
        <v>1153</v>
      </c>
      <c r="G8219" t="s">
        <v>5322</v>
      </c>
      <c r="H8219" t="s">
        <v>15237</v>
      </c>
      <c r="I8219" t="s">
        <v>17301</v>
      </c>
      <c r="J8219" t="s">
        <v>18894</v>
      </c>
      <c r="K8219">
        <v>11233</v>
      </c>
      <c r="L8219" t="s">
        <v>18958</v>
      </c>
      <c r="M8219" t="s">
        <v>18960</v>
      </c>
      <c r="N8219" t="s">
        <v>24863</v>
      </c>
      <c r="O8219" t="s">
        <v>26523</v>
      </c>
      <c r="P8219" t="s">
        <v>26560</v>
      </c>
      <c r="R8219" t="s">
        <v>26578</v>
      </c>
      <c r="S8219" t="s">
        <v>18959</v>
      </c>
      <c r="U8219" t="s">
        <v>26604</v>
      </c>
      <c r="W8219" t="s">
        <v>806</v>
      </c>
      <c r="X8219">
        <v>904</v>
      </c>
      <c r="Y8219" t="s">
        <v>26652</v>
      </c>
      <c r="Z8219" t="s">
        <v>26530</v>
      </c>
      <c r="AB8219" t="s">
        <v>32705</v>
      </c>
      <c r="AC8219" t="s">
        <v>36482</v>
      </c>
      <c r="AD8219" t="s">
        <v>43226</v>
      </c>
      <c r="AE8219">
        <v>0</v>
      </c>
      <c r="AF8219" t="s">
        <v>45541</v>
      </c>
      <c r="AG8219" t="s">
        <v>45558</v>
      </c>
      <c r="AH8219">
        <v>10</v>
      </c>
      <c r="AI8219">
        <v>1</v>
      </c>
      <c r="AJ8219">
        <v>2</v>
      </c>
      <c r="AK8219">
        <v>23.16</v>
      </c>
      <c r="AN8219" t="s">
        <v>7439</v>
      </c>
      <c r="AO8219">
        <v>4940</v>
      </c>
      <c r="AU8219">
        <v>7.7</v>
      </c>
      <c r="AV8219" t="s">
        <v>839</v>
      </c>
      <c r="AW8219" t="s">
        <v>286</v>
      </c>
      <c r="AX8219" t="s">
        <v>46897</v>
      </c>
    </row>
    <row r="8220" spans="1:50">
      <c r="A8220" s="1">
        <f>HYPERLINK("https://lsnyc.legalserver.org/matter/dynamic-profile/view/1898060","19-1898060")</f>
        <v>0</v>
      </c>
      <c r="B8220" t="s">
        <v>211</v>
      </c>
      <c r="C8220" t="s">
        <v>340</v>
      </c>
      <c r="D8220" t="s">
        <v>766</v>
      </c>
      <c r="F8220" t="s">
        <v>1946</v>
      </c>
      <c r="G8220" t="s">
        <v>8608</v>
      </c>
      <c r="H8220" t="s">
        <v>15238</v>
      </c>
      <c r="I8220" t="s">
        <v>17312</v>
      </c>
      <c r="J8220" t="s">
        <v>18894</v>
      </c>
      <c r="K8220">
        <v>11212</v>
      </c>
      <c r="L8220" t="s">
        <v>18958</v>
      </c>
      <c r="M8220" t="s">
        <v>18959</v>
      </c>
      <c r="N8220" t="s">
        <v>24864</v>
      </c>
      <c r="O8220" t="s">
        <v>26524</v>
      </c>
      <c r="P8220" t="s">
        <v>26565</v>
      </c>
      <c r="R8220" t="s">
        <v>26583</v>
      </c>
      <c r="S8220" t="s">
        <v>18959</v>
      </c>
      <c r="U8220" t="s">
        <v>26604</v>
      </c>
      <c r="W8220" t="s">
        <v>808</v>
      </c>
      <c r="X8220">
        <v>700</v>
      </c>
      <c r="Y8220" t="s">
        <v>26652</v>
      </c>
      <c r="Z8220" t="s">
        <v>26668</v>
      </c>
      <c r="AB8220" t="s">
        <v>27787</v>
      </c>
      <c r="AD8220" t="s">
        <v>43227</v>
      </c>
      <c r="AE8220">
        <v>4</v>
      </c>
      <c r="AF8220" t="s">
        <v>45547</v>
      </c>
      <c r="AG8220" t="s">
        <v>19330</v>
      </c>
      <c r="AH8220">
        <v>26</v>
      </c>
      <c r="AI8220">
        <v>1</v>
      </c>
      <c r="AJ8220">
        <v>0</v>
      </c>
      <c r="AK8220">
        <v>419.54</v>
      </c>
      <c r="AN8220" t="s">
        <v>7439</v>
      </c>
      <c r="AO8220">
        <v>52400</v>
      </c>
      <c r="AP8220" t="s">
        <v>46088</v>
      </c>
      <c r="AU8220">
        <v>5.7</v>
      </c>
      <c r="AV8220" t="s">
        <v>797</v>
      </c>
      <c r="AW8220" t="s">
        <v>286</v>
      </c>
      <c r="AX8220" t="s">
        <v>46897</v>
      </c>
    </row>
    <row r="8221" spans="1:50">
      <c r="A8221" s="1">
        <f>HYPERLINK("https://lsnyc.legalserver.org/matter/dynamic-profile/view/1900713","19-1900713")</f>
        <v>0</v>
      </c>
      <c r="B8221" t="s">
        <v>107</v>
      </c>
      <c r="C8221" t="s">
        <v>340</v>
      </c>
      <c r="D8221" t="s">
        <v>808</v>
      </c>
      <c r="F8221" t="s">
        <v>3350</v>
      </c>
      <c r="G8221" t="s">
        <v>8609</v>
      </c>
      <c r="H8221" t="s">
        <v>15239</v>
      </c>
      <c r="I8221" t="s">
        <v>17306</v>
      </c>
      <c r="J8221" t="s">
        <v>18906</v>
      </c>
      <c r="K8221">
        <v>11373</v>
      </c>
      <c r="L8221" t="s">
        <v>18958</v>
      </c>
      <c r="M8221" t="s">
        <v>18960</v>
      </c>
      <c r="N8221" t="s">
        <v>24865</v>
      </c>
      <c r="O8221" t="s">
        <v>26523</v>
      </c>
      <c r="P8221" t="s">
        <v>26560</v>
      </c>
      <c r="R8221" t="s">
        <v>26585</v>
      </c>
      <c r="S8221" t="s">
        <v>18959</v>
      </c>
      <c r="U8221" t="s">
        <v>26604</v>
      </c>
      <c r="W8221" t="s">
        <v>808</v>
      </c>
      <c r="X8221">
        <v>1319.5</v>
      </c>
      <c r="Y8221" t="s">
        <v>26653</v>
      </c>
      <c r="Z8221" t="s">
        <v>26668</v>
      </c>
      <c r="AB8221" t="s">
        <v>32706</v>
      </c>
      <c r="AD8221" t="s">
        <v>43228</v>
      </c>
      <c r="AE8221">
        <v>0</v>
      </c>
      <c r="AF8221" t="s">
        <v>45541</v>
      </c>
      <c r="AG8221" t="s">
        <v>45557</v>
      </c>
      <c r="AH8221">
        <v>2</v>
      </c>
      <c r="AI8221">
        <v>1</v>
      </c>
      <c r="AJ8221">
        <v>1</v>
      </c>
      <c r="AK8221">
        <v>15.38</v>
      </c>
      <c r="AN8221" t="s">
        <v>7439</v>
      </c>
      <c r="AO8221">
        <v>2600</v>
      </c>
      <c r="AU8221">
        <v>17.7</v>
      </c>
      <c r="AV8221" t="s">
        <v>821</v>
      </c>
      <c r="AW8221" t="s">
        <v>208</v>
      </c>
      <c r="AX8221" t="s">
        <v>46897</v>
      </c>
    </row>
    <row r="8222" spans="1:50">
      <c r="A8222" s="1">
        <f>HYPERLINK("https://lsnyc.legalserver.org/matter/dynamic-profile/view/1900710","19-1900710")</f>
        <v>0</v>
      </c>
      <c r="B8222" t="s">
        <v>107</v>
      </c>
      <c r="C8222" t="s">
        <v>340</v>
      </c>
      <c r="D8222" t="s">
        <v>808</v>
      </c>
      <c r="F8222" t="s">
        <v>994</v>
      </c>
      <c r="G8222" t="s">
        <v>8610</v>
      </c>
      <c r="H8222" t="s">
        <v>15240</v>
      </c>
      <c r="I8222" t="s">
        <v>17334</v>
      </c>
      <c r="J8222" t="s">
        <v>18899</v>
      </c>
      <c r="K8222">
        <v>11385</v>
      </c>
      <c r="L8222" t="s">
        <v>18958</v>
      </c>
      <c r="M8222" t="s">
        <v>18960</v>
      </c>
      <c r="N8222" t="s">
        <v>24866</v>
      </c>
      <c r="O8222" t="s">
        <v>26523</v>
      </c>
      <c r="P8222" t="s">
        <v>26560</v>
      </c>
      <c r="R8222" t="s">
        <v>26585</v>
      </c>
      <c r="S8222" t="s">
        <v>18959</v>
      </c>
      <c r="U8222" t="s">
        <v>26604</v>
      </c>
      <c r="W8222" t="s">
        <v>808</v>
      </c>
      <c r="X8222">
        <v>950</v>
      </c>
      <c r="Y8222" t="s">
        <v>26653</v>
      </c>
      <c r="Z8222" t="s">
        <v>26668</v>
      </c>
      <c r="AB8222" t="s">
        <v>32707</v>
      </c>
      <c r="AD8222" t="s">
        <v>43229</v>
      </c>
      <c r="AE8222">
        <v>6</v>
      </c>
      <c r="AF8222" t="s">
        <v>20460</v>
      </c>
      <c r="AG8222" t="s">
        <v>19330</v>
      </c>
      <c r="AH8222">
        <v>1</v>
      </c>
      <c r="AI8222">
        <v>1</v>
      </c>
      <c r="AJ8222">
        <v>0</v>
      </c>
      <c r="AK8222">
        <v>228.98</v>
      </c>
      <c r="AN8222" t="s">
        <v>7439</v>
      </c>
      <c r="AO8222">
        <v>28600</v>
      </c>
      <c r="AU8222">
        <v>9.5</v>
      </c>
      <c r="AV8222" t="s">
        <v>821</v>
      </c>
      <c r="AW8222" t="s">
        <v>208</v>
      </c>
      <c r="AX8222" t="s">
        <v>46897</v>
      </c>
    </row>
    <row r="8223" spans="1:50">
      <c r="A8223" s="1">
        <f>HYPERLINK("https://lsnyc.legalserver.org/matter/dynamic-profile/view/1900735","19-1900735")</f>
        <v>0</v>
      </c>
      <c r="B8223" t="s">
        <v>276</v>
      </c>
      <c r="C8223" t="s">
        <v>340</v>
      </c>
      <c r="D8223" t="s">
        <v>808</v>
      </c>
      <c r="F8223" t="s">
        <v>2581</v>
      </c>
      <c r="G8223" t="s">
        <v>6996</v>
      </c>
      <c r="H8223" t="s">
        <v>12547</v>
      </c>
      <c r="I8223">
        <v>8</v>
      </c>
      <c r="J8223" t="s">
        <v>18894</v>
      </c>
      <c r="K8223">
        <v>11226</v>
      </c>
      <c r="L8223" t="s">
        <v>18958</v>
      </c>
      <c r="M8223" t="s">
        <v>18960</v>
      </c>
      <c r="P8223" t="s">
        <v>26560</v>
      </c>
      <c r="R8223" t="s">
        <v>26578</v>
      </c>
      <c r="S8223" t="s">
        <v>18958</v>
      </c>
      <c r="U8223" t="s">
        <v>26604</v>
      </c>
      <c r="W8223" t="s">
        <v>808</v>
      </c>
      <c r="X8223">
        <v>763.86</v>
      </c>
      <c r="Y8223" t="s">
        <v>26652</v>
      </c>
      <c r="AB8223" t="s">
        <v>29807</v>
      </c>
      <c r="AD8223" t="s">
        <v>39927</v>
      </c>
      <c r="AE8223">
        <v>0</v>
      </c>
      <c r="AH8223">
        <v>18</v>
      </c>
      <c r="AI8223">
        <v>4</v>
      </c>
      <c r="AJ8223">
        <v>1</v>
      </c>
      <c r="AK8223">
        <v>130.99</v>
      </c>
      <c r="AN8223" t="s">
        <v>7439</v>
      </c>
      <c r="AO8223">
        <v>39520</v>
      </c>
      <c r="AU8223">
        <v>0</v>
      </c>
      <c r="AW8223" t="s">
        <v>219</v>
      </c>
    </row>
    <row r="8224" spans="1:50">
      <c r="A8224" s="1">
        <f>HYPERLINK("https://lsnyc.legalserver.org/matter/dynamic-profile/view/1900745","19-1900745")</f>
        <v>0</v>
      </c>
      <c r="B8224" t="s">
        <v>276</v>
      </c>
      <c r="C8224" t="s">
        <v>340</v>
      </c>
      <c r="D8224" t="s">
        <v>808</v>
      </c>
      <c r="F8224" t="s">
        <v>1328</v>
      </c>
      <c r="G8224" t="s">
        <v>2267</v>
      </c>
      <c r="H8224" t="s">
        <v>14686</v>
      </c>
      <c r="I8224" t="s">
        <v>17306</v>
      </c>
      <c r="J8224" t="s">
        <v>18894</v>
      </c>
      <c r="K8224">
        <v>11226</v>
      </c>
      <c r="L8224" t="s">
        <v>18958</v>
      </c>
      <c r="M8224" t="s">
        <v>18960</v>
      </c>
      <c r="P8224" t="s">
        <v>26560</v>
      </c>
      <c r="R8224" t="s">
        <v>26578</v>
      </c>
      <c r="S8224" t="s">
        <v>18958</v>
      </c>
      <c r="U8224" t="s">
        <v>26604</v>
      </c>
      <c r="W8224" t="s">
        <v>808</v>
      </c>
      <c r="X8224">
        <v>0</v>
      </c>
      <c r="Y8224" t="s">
        <v>26652</v>
      </c>
      <c r="AB8224" t="s">
        <v>32214</v>
      </c>
      <c r="AE8224">
        <v>0</v>
      </c>
      <c r="AH8224">
        <v>0</v>
      </c>
      <c r="AI8224">
        <v>2</v>
      </c>
      <c r="AJ8224">
        <v>0</v>
      </c>
      <c r="AK8224">
        <v>236.55</v>
      </c>
      <c r="AN8224" t="s">
        <v>7439</v>
      </c>
      <c r="AO8224">
        <v>40000</v>
      </c>
      <c r="AU8224">
        <v>24</v>
      </c>
      <c r="AV8224" t="s">
        <v>831</v>
      </c>
      <c r="AW8224" t="s">
        <v>219</v>
      </c>
      <c r="AX8224" t="s">
        <v>46897</v>
      </c>
    </row>
    <row r="8225" spans="1:50">
      <c r="A8225" s="1">
        <f>HYPERLINK("https://lsnyc.legalserver.org/matter/dynamic-profile/view/1900727","19-1900727")</f>
        <v>0</v>
      </c>
      <c r="B8225" t="s">
        <v>276</v>
      </c>
      <c r="C8225" t="s">
        <v>340</v>
      </c>
      <c r="D8225" t="s">
        <v>808</v>
      </c>
      <c r="F8225" t="s">
        <v>1594</v>
      </c>
      <c r="G8225" t="s">
        <v>8277</v>
      </c>
      <c r="H8225" t="s">
        <v>12547</v>
      </c>
      <c r="I8225">
        <v>10</v>
      </c>
      <c r="J8225" t="s">
        <v>18894</v>
      </c>
      <c r="K8225">
        <v>11226</v>
      </c>
      <c r="L8225" t="s">
        <v>18958</v>
      </c>
      <c r="M8225" t="s">
        <v>18960</v>
      </c>
      <c r="P8225" t="s">
        <v>26560</v>
      </c>
      <c r="R8225" t="s">
        <v>26578</v>
      </c>
      <c r="S8225" t="s">
        <v>18958</v>
      </c>
      <c r="U8225" t="s">
        <v>26604</v>
      </c>
      <c r="W8225" t="s">
        <v>808</v>
      </c>
      <c r="X8225">
        <v>1230</v>
      </c>
      <c r="Y8225" t="s">
        <v>26652</v>
      </c>
      <c r="AB8225" t="s">
        <v>30668</v>
      </c>
      <c r="AE8225">
        <v>0</v>
      </c>
      <c r="AH8225">
        <v>7</v>
      </c>
      <c r="AI8225">
        <v>2</v>
      </c>
      <c r="AJ8225">
        <v>0</v>
      </c>
      <c r="AK8225">
        <v>407.45</v>
      </c>
      <c r="AN8225" t="s">
        <v>7439</v>
      </c>
      <c r="AO8225">
        <v>68900</v>
      </c>
      <c r="AU8225">
        <v>0</v>
      </c>
      <c r="AW8225" t="s">
        <v>219</v>
      </c>
    </row>
    <row r="8226" spans="1:50">
      <c r="A8226" s="1">
        <f>HYPERLINK("https://lsnyc.legalserver.org/matter/dynamic-profile/view/1900746","19-1900746")</f>
        <v>0</v>
      </c>
      <c r="B8226" t="s">
        <v>108</v>
      </c>
      <c r="C8226" t="s">
        <v>340</v>
      </c>
      <c r="D8226" t="s">
        <v>808</v>
      </c>
      <c r="F8226" t="s">
        <v>996</v>
      </c>
      <c r="G8226" t="s">
        <v>5569</v>
      </c>
      <c r="H8226" t="s">
        <v>15241</v>
      </c>
      <c r="J8226" t="s">
        <v>18901</v>
      </c>
      <c r="K8226">
        <v>11433</v>
      </c>
      <c r="L8226" t="s">
        <v>18958</v>
      </c>
      <c r="M8226" t="s">
        <v>18960</v>
      </c>
      <c r="N8226" t="s">
        <v>24867</v>
      </c>
      <c r="O8226" t="s">
        <v>26524</v>
      </c>
      <c r="P8226" t="s">
        <v>26560</v>
      </c>
      <c r="R8226" t="s">
        <v>26585</v>
      </c>
      <c r="S8226" t="s">
        <v>18959</v>
      </c>
      <c r="U8226" t="s">
        <v>26604</v>
      </c>
      <c r="W8226" t="s">
        <v>808</v>
      </c>
      <c r="X8226">
        <v>800</v>
      </c>
      <c r="Y8226" t="s">
        <v>26653</v>
      </c>
      <c r="Z8226" t="s">
        <v>26668</v>
      </c>
      <c r="AB8226" t="s">
        <v>32708</v>
      </c>
      <c r="AD8226" t="s">
        <v>43230</v>
      </c>
      <c r="AE8226">
        <v>2</v>
      </c>
      <c r="AF8226" t="s">
        <v>20460</v>
      </c>
      <c r="AG8226" t="s">
        <v>19330</v>
      </c>
      <c r="AH8226">
        <v>13</v>
      </c>
      <c r="AI8226">
        <v>1</v>
      </c>
      <c r="AJ8226">
        <v>0</v>
      </c>
      <c r="AK8226">
        <v>0</v>
      </c>
      <c r="AN8226" t="s">
        <v>7439</v>
      </c>
      <c r="AO8226">
        <v>0</v>
      </c>
      <c r="AU8226">
        <v>9.9</v>
      </c>
      <c r="AV8226" t="s">
        <v>833</v>
      </c>
      <c r="AW8226" t="s">
        <v>208</v>
      </c>
      <c r="AX8226" t="s">
        <v>46897</v>
      </c>
    </row>
    <row r="8227" spans="1:50">
      <c r="A8227" s="1">
        <f>HYPERLINK("https://lsnyc.legalserver.org/matter/dynamic-profile/view/1900738","19-1900738")</f>
        <v>0</v>
      </c>
      <c r="B8227" t="s">
        <v>108</v>
      </c>
      <c r="C8227" t="s">
        <v>340</v>
      </c>
      <c r="D8227" t="s">
        <v>808</v>
      </c>
      <c r="F8227" t="s">
        <v>4207</v>
      </c>
      <c r="G8227" t="s">
        <v>8611</v>
      </c>
      <c r="H8227" t="s">
        <v>15241</v>
      </c>
      <c r="J8227" t="s">
        <v>18901</v>
      </c>
      <c r="K8227">
        <v>11433</v>
      </c>
      <c r="L8227" t="s">
        <v>18958</v>
      </c>
      <c r="M8227" t="s">
        <v>18960</v>
      </c>
      <c r="N8227" t="s">
        <v>24868</v>
      </c>
      <c r="O8227" t="s">
        <v>26524</v>
      </c>
      <c r="P8227" t="s">
        <v>26560</v>
      </c>
      <c r="R8227" t="s">
        <v>26585</v>
      </c>
      <c r="S8227" t="s">
        <v>18959</v>
      </c>
      <c r="U8227" t="s">
        <v>26604</v>
      </c>
      <c r="V8227" t="s">
        <v>26610</v>
      </c>
      <c r="W8227" t="s">
        <v>808</v>
      </c>
      <c r="X8227">
        <v>1000</v>
      </c>
      <c r="Y8227" t="s">
        <v>26653</v>
      </c>
      <c r="Z8227" t="s">
        <v>26668</v>
      </c>
      <c r="AB8227" t="s">
        <v>32709</v>
      </c>
      <c r="AD8227" t="s">
        <v>34738</v>
      </c>
      <c r="AE8227">
        <v>2</v>
      </c>
      <c r="AF8227" t="s">
        <v>45547</v>
      </c>
      <c r="AG8227" t="s">
        <v>45557</v>
      </c>
      <c r="AH8227">
        <v>12</v>
      </c>
      <c r="AI8227">
        <v>3</v>
      </c>
      <c r="AJ8227">
        <v>1</v>
      </c>
      <c r="AK8227">
        <v>85.44</v>
      </c>
      <c r="AN8227" t="s">
        <v>7439</v>
      </c>
      <c r="AO8227">
        <v>22000</v>
      </c>
      <c r="AU8227">
        <v>8.6</v>
      </c>
      <c r="AV8227" t="s">
        <v>821</v>
      </c>
      <c r="AW8227" t="s">
        <v>208</v>
      </c>
      <c r="AX8227" t="s">
        <v>46897</v>
      </c>
    </row>
    <row r="8228" spans="1:50">
      <c r="A8228" s="1">
        <f>HYPERLINK("https://lsnyc.legalserver.org/matter/dynamic-profile/view/1900692","19-1900692")</f>
        <v>0</v>
      </c>
      <c r="B8228" t="s">
        <v>77</v>
      </c>
      <c r="C8228" t="s">
        <v>340</v>
      </c>
      <c r="D8228" t="s">
        <v>808</v>
      </c>
      <c r="F8228" t="s">
        <v>4208</v>
      </c>
      <c r="G8228" t="s">
        <v>5199</v>
      </c>
      <c r="H8228" t="s">
        <v>15242</v>
      </c>
      <c r="I8228">
        <v>45</v>
      </c>
      <c r="J8228" t="s">
        <v>18893</v>
      </c>
      <c r="K8228">
        <v>10031</v>
      </c>
      <c r="L8228" t="s">
        <v>18958</v>
      </c>
      <c r="M8228" t="s">
        <v>18960</v>
      </c>
      <c r="O8228" t="s">
        <v>26531</v>
      </c>
      <c r="P8228" t="s">
        <v>26565</v>
      </c>
      <c r="R8228" t="s">
        <v>26582</v>
      </c>
      <c r="S8228" t="s">
        <v>18959</v>
      </c>
      <c r="U8228" t="s">
        <v>26604</v>
      </c>
      <c r="V8228" t="s">
        <v>26610</v>
      </c>
      <c r="W8228" t="s">
        <v>808</v>
      </c>
      <c r="X8228">
        <v>1146</v>
      </c>
      <c r="Y8228" t="s">
        <v>26651</v>
      </c>
      <c r="Z8228" t="s">
        <v>26661</v>
      </c>
      <c r="AB8228" t="s">
        <v>32710</v>
      </c>
      <c r="AD8228" t="s">
        <v>43231</v>
      </c>
      <c r="AE8228">
        <v>0</v>
      </c>
      <c r="AF8228" t="s">
        <v>45541</v>
      </c>
      <c r="AH8228">
        <v>23</v>
      </c>
      <c r="AI8228">
        <v>1</v>
      </c>
      <c r="AJ8228">
        <v>0</v>
      </c>
      <c r="AK8228">
        <v>81.67</v>
      </c>
      <c r="AN8228" t="s">
        <v>45581</v>
      </c>
      <c r="AO8228">
        <v>10200</v>
      </c>
      <c r="AU8228">
        <v>0.5</v>
      </c>
      <c r="AV8228" t="s">
        <v>808</v>
      </c>
      <c r="AW8228" t="s">
        <v>77</v>
      </c>
      <c r="AX8228" t="s">
        <v>46897</v>
      </c>
    </row>
    <row r="8229" spans="1:50">
      <c r="A8229" s="1">
        <f>HYPERLINK("https://lsnyc.legalserver.org/matter/dynamic-profile/view/1900701","19-1900701")</f>
        <v>0</v>
      </c>
      <c r="B8229" t="s">
        <v>159</v>
      </c>
      <c r="C8229" t="s">
        <v>340</v>
      </c>
      <c r="D8229" t="s">
        <v>808</v>
      </c>
      <c r="F8229" t="s">
        <v>1540</v>
      </c>
      <c r="G8229" t="s">
        <v>8612</v>
      </c>
      <c r="H8229" t="s">
        <v>15243</v>
      </c>
      <c r="I8229" t="s">
        <v>17375</v>
      </c>
      <c r="J8229" t="s">
        <v>18932</v>
      </c>
      <c r="K8229">
        <v>11385</v>
      </c>
      <c r="L8229" t="s">
        <v>18958</v>
      </c>
      <c r="M8229" t="s">
        <v>18960</v>
      </c>
      <c r="N8229" t="s">
        <v>24869</v>
      </c>
      <c r="O8229" t="s">
        <v>26524</v>
      </c>
      <c r="P8229" t="s">
        <v>26563</v>
      </c>
      <c r="R8229" t="s">
        <v>26585</v>
      </c>
      <c r="S8229" t="s">
        <v>18959</v>
      </c>
      <c r="U8229" t="s">
        <v>26604</v>
      </c>
      <c r="V8229" t="s">
        <v>26610</v>
      </c>
      <c r="W8229" t="s">
        <v>808</v>
      </c>
      <c r="X8229">
        <v>1600</v>
      </c>
      <c r="Y8229" t="s">
        <v>26653</v>
      </c>
      <c r="Z8229" t="s">
        <v>26668</v>
      </c>
      <c r="AB8229" t="s">
        <v>32711</v>
      </c>
      <c r="AD8229" t="s">
        <v>43232</v>
      </c>
      <c r="AE8229">
        <v>3</v>
      </c>
      <c r="AF8229" t="s">
        <v>45547</v>
      </c>
      <c r="AG8229" t="s">
        <v>19330</v>
      </c>
      <c r="AH8229">
        <v>9</v>
      </c>
      <c r="AI8229">
        <v>1</v>
      </c>
      <c r="AJ8229">
        <v>2</v>
      </c>
      <c r="AK8229">
        <v>94.12</v>
      </c>
      <c r="AN8229" t="s">
        <v>7439</v>
      </c>
      <c r="AO8229">
        <v>20076</v>
      </c>
      <c r="AU8229">
        <v>1.75</v>
      </c>
      <c r="AV8229" t="s">
        <v>836</v>
      </c>
      <c r="AW8229" t="s">
        <v>208</v>
      </c>
      <c r="AX8229" t="s">
        <v>46897</v>
      </c>
    </row>
    <row r="8230" spans="1:50">
      <c r="A8230" s="1">
        <f>HYPERLINK("https://lsnyc.legalserver.org/matter/dynamic-profile/view/1899880","19-1899880")</f>
        <v>0</v>
      </c>
      <c r="B8230" t="s">
        <v>102</v>
      </c>
      <c r="C8230" t="s">
        <v>340</v>
      </c>
      <c r="D8230" t="s">
        <v>808</v>
      </c>
      <c r="F8230" t="s">
        <v>1108</v>
      </c>
      <c r="G8230" t="s">
        <v>8613</v>
      </c>
      <c r="H8230" t="s">
        <v>12726</v>
      </c>
      <c r="I8230" t="s">
        <v>18545</v>
      </c>
      <c r="J8230" t="s">
        <v>18902</v>
      </c>
      <c r="K8230">
        <v>10310</v>
      </c>
      <c r="L8230" t="s">
        <v>18958</v>
      </c>
      <c r="M8230" t="s">
        <v>18960</v>
      </c>
      <c r="N8230" t="s">
        <v>24870</v>
      </c>
      <c r="O8230" t="s">
        <v>26523</v>
      </c>
      <c r="P8230" t="s">
        <v>26560</v>
      </c>
      <c r="R8230" t="s">
        <v>26587</v>
      </c>
      <c r="S8230" t="s">
        <v>18959</v>
      </c>
      <c r="U8230" t="s">
        <v>26604</v>
      </c>
      <c r="V8230" t="s">
        <v>26610</v>
      </c>
      <c r="W8230" t="s">
        <v>808</v>
      </c>
      <c r="X8230">
        <v>1350</v>
      </c>
      <c r="Y8230" t="s">
        <v>26654</v>
      </c>
      <c r="Z8230" t="s">
        <v>26659</v>
      </c>
      <c r="AB8230" t="s">
        <v>32712</v>
      </c>
      <c r="AC8230">
        <v>1941973</v>
      </c>
      <c r="AD8230" t="s">
        <v>43233</v>
      </c>
      <c r="AE8230">
        <v>2</v>
      </c>
      <c r="AG8230" t="s">
        <v>45558</v>
      </c>
      <c r="AH8230">
        <v>4</v>
      </c>
      <c r="AI8230">
        <v>1</v>
      </c>
      <c r="AJ8230">
        <v>4</v>
      </c>
      <c r="AK8230">
        <v>24.66</v>
      </c>
      <c r="AN8230" t="s">
        <v>7439</v>
      </c>
      <c r="AO8230">
        <v>7440</v>
      </c>
      <c r="AU8230">
        <v>3.4</v>
      </c>
      <c r="AV8230" t="s">
        <v>772</v>
      </c>
      <c r="AW8230" t="s">
        <v>46883</v>
      </c>
      <c r="AX8230" t="s">
        <v>46898</v>
      </c>
    </row>
    <row r="8231" spans="1:50">
      <c r="A8231" s="1">
        <f>HYPERLINK("https://lsnyc.legalserver.org/matter/dynamic-profile/view/1900732","19-1900732")</f>
        <v>0</v>
      </c>
      <c r="B8231" t="s">
        <v>218</v>
      </c>
      <c r="C8231" t="s">
        <v>340</v>
      </c>
      <c r="D8231" t="s">
        <v>808</v>
      </c>
      <c r="F8231" t="s">
        <v>4209</v>
      </c>
      <c r="G8231" t="s">
        <v>8614</v>
      </c>
      <c r="H8231" t="s">
        <v>13326</v>
      </c>
      <c r="I8231">
        <v>62</v>
      </c>
      <c r="J8231" t="s">
        <v>18893</v>
      </c>
      <c r="K8231">
        <v>10032</v>
      </c>
      <c r="L8231" t="s">
        <v>18958</v>
      </c>
      <c r="M8231" t="s">
        <v>18960</v>
      </c>
      <c r="P8231" t="s">
        <v>26565</v>
      </c>
      <c r="R8231" t="s">
        <v>26578</v>
      </c>
      <c r="S8231" t="s">
        <v>18959</v>
      </c>
      <c r="U8231" t="s">
        <v>26604</v>
      </c>
      <c r="W8231" t="s">
        <v>808</v>
      </c>
      <c r="X8231">
        <v>3990</v>
      </c>
      <c r="Y8231" t="s">
        <v>26651</v>
      </c>
      <c r="Z8231" t="s">
        <v>26661</v>
      </c>
      <c r="AB8231" t="s">
        <v>32713</v>
      </c>
      <c r="AD8231" t="s">
        <v>43234</v>
      </c>
      <c r="AE8231">
        <v>35</v>
      </c>
      <c r="AF8231" t="s">
        <v>45541</v>
      </c>
      <c r="AG8231" t="s">
        <v>19330</v>
      </c>
      <c r="AH8231">
        <v>1</v>
      </c>
      <c r="AI8231">
        <v>2</v>
      </c>
      <c r="AJ8231">
        <v>0</v>
      </c>
      <c r="AK8231">
        <v>0</v>
      </c>
      <c r="AN8231" t="s">
        <v>7439</v>
      </c>
      <c r="AO8231">
        <v>0</v>
      </c>
      <c r="AU8231">
        <v>1.6</v>
      </c>
      <c r="AV8231" t="s">
        <v>729</v>
      </c>
      <c r="AW8231" t="s">
        <v>46840</v>
      </c>
      <c r="AX8231" t="s">
        <v>46897</v>
      </c>
    </row>
    <row r="8232" spans="1:50">
      <c r="A8232" s="1">
        <f>HYPERLINK("https://lsnyc.legalserver.org/matter/dynamic-profile/view/1900716","19-1900716")</f>
        <v>0</v>
      </c>
      <c r="B8232" t="s">
        <v>218</v>
      </c>
      <c r="C8232" t="s">
        <v>340</v>
      </c>
      <c r="D8232" t="s">
        <v>808</v>
      </c>
      <c r="F8232" t="s">
        <v>1785</v>
      </c>
      <c r="G8232" t="s">
        <v>5109</v>
      </c>
      <c r="H8232" t="s">
        <v>15244</v>
      </c>
      <c r="I8232">
        <v>27</v>
      </c>
      <c r="J8232" t="s">
        <v>18893</v>
      </c>
      <c r="K8232">
        <v>10033</v>
      </c>
      <c r="L8232" t="s">
        <v>18958</v>
      </c>
      <c r="M8232" t="s">
        <v>18960</v>
      </c>
      <c r="P8232" t="s">
        <v>26564</v>
      </c>
      <c r="R8232" t="s">
        <v>26578</v>
      </c>
      <c r="S8232" t="s">
        <v>18959</v>
      </c>
      <c r="U8232" t="s">
        <v>26604</v>
      </c>
      <c r="W8232" t="s">
        <v>808</v>
      </c>
      <c r="X8232">
        <v>2176.5</v>
      </c>
      <c r="Y8232" t="s">
        <v>26651</v>
      </c>
      <c r="Z8232" t="s">
        <v>26661</v>
      </c>
      <c r="AB8232" t="s">
        <v>32714</v>
      </c>
      <c r="AD8232" t="s">
        <v>43235</v>
      </c>
      <c r="AE8232">
        <v>40</v>
      </c>
      <c r="AF8232" t="s">
        <v>45541</v>
      </c>
      <c r="AG8232" t="s">
        <v>45559</v>
      </c>
      <c r="AH8232">
        <v>18</v>
      </c>
      <c r="AI8232">
        <v>2</v>
      </c>
      <c r="AJ8232">
        <v>0</v>
      </c>
      <c r="AK8232">
        <v>70.95999999999999</v>
      </c>
      <c r="AN8232" t="s">
        <v>45581</v>
      </c>
      <c r="AO8232">
        <v>12000</v>
      </c>
      <c r="AU8232">
        <v>1.2</v>
      </c>
      <c r="AV8232" t="s">
        <v>808</v>
      </c>
      <c r="AW8232" t="s">
        <v>46840</v>
      </c>
      <c r="AX8232" t="s">
        <v>46897</v>
      </c>
    </row>
    <row r="8233" spans="1:50">
      <c r="A8233" s="1">
        <f>HYPERLINK("https://lsnyc.legalserver.org/matter/dynamic-profile/view/1900734","19-1900734")</f>
        <v>0</v>
      </c>
      <c r="B8233" t="s">
        <v>142</v>
      </c>
      <c r="C8233" t="s">
        <v>340</v>
      </c>
      <c r="D8233" t="s">
        <v>808</v>
      </c>
      <c r="F8233" t="s">
        <v>4210</v>
      </c>
      <c r="G8233" t="s">
        <v>5655</v>
      </c>
      <c r="H8233" t="s">
        <v>15245</v>
      </c>
      <c r="I8233" t="s">
        <v>18546</v>
      </c>
      <c r="J8233" t="s">
        <v>18901</v>
      </c>
      <c r="K8233">
        <v>11436</v>
      </c>
      <c r="L8233" t="s">
        <v>18958</v>
      </c>
      <c r="M8233" t="s">
        <v>18960</v>
      </c>
      <c r="N8233" t="s">
        <v>24871</v>
      </c>
      <c r="O8233" t="s">
        <v>26523</v>
      </c>
      <c r="P8233" t="s">
        <v>26560</v>
      </c>
      <c r="R8233" t="s">
        <v>26584</v>
      </c>
      <c r="S8233" t="s">
        <v>18959</v>
      </c>
      <c r="U8233" t="s">
        <v>26604</v>
      </c>
      <c r="W8233" t="s">
        <v>808</v>
      </c>
      <c r="X8233">
        <v>2337</v>
      </c>
      <c r="Y8233" t="s">
        <v>26653</v>
      </c>
      <c r="Z8233" t="s">
        <v>26668</v>
      </c>
      <c r="AB8233" t="s">
        <v>32715</v>
      </c>
      <c r="AD8233" t="s">
        <v>43236</v>
      </c>
      <c r="AE8233">
        <v>0</v>
      </c>
      <c r="AF8233" t="s">
        <v>45541</v>
      </c>
      <c r="AG8233" t="s">
        <v>26530</v>
      </c>
      <c r="AH8233">
        <v>20</v>
      </c>
      <c r="AI8233">
        <v>1</v>
      </c>
      <c r="AJ8233">
        <v>7</v>
      </c>
      <c r="AK8233">
        <v>69.08</v>
      </c>
      <c r="AN8233" t="s">
        <v>7439</v>
      </c>
      <c r="AO8233">
        <v>30000</v>
      </c>
      <c r="AU8233">
        <v>11.6</v>
      </c>
      <c r="AV8233" t="s">
        <v>773</v>
      </c>
      <c r="AW8233" t="s">
        <v>208</v>
      </c>
      <c r="AX8233" t="s">
        <v>46897</v>
      </c>
    </row>
    <row r="8234" spans="1:50">
      <c r="A8234" s="1">
        <f>HYPERLINK("https://lsnyc.legalserver.org/matter/dynamic-profile/view/1901472","19-1901472")</f>
        <v>0</v>
      </c>
      <c r="B8234" t="s">
        <v>187</v>
      </c>
      <c r="C8234" t="s">
        <v>340</v>
      </c>
      <c r="D8234" t="s">
        <v>808</v>
      </c>
      <c r="F8234" t="s">
        <v>2825</v>
      </c>
      <c r="G8234" t="s">
        <v>5678</v>
      </c>
      <c r="H8234" t="s">
        <v>15246</v>
      </c>
      <c r="I8234">
        <v>2</v>
      </c>
      <c r="J8234" t="s">
        <v>18892</v>
      </c>
      <c r="K8234">
        <v>10467</v>
      </c>
      <c r="L8234" t="s">
        <v>18958</v>
      </c>
      <c r="M8234" t="s">
        <v>18960</v>
      </c>
      <c r="N8234" t="s">
        <v>24872</v>
      </c>
      <c r="O8234" t="s">
        <v>26524</v>
      </c>
      <c r="P8234" t="s">
        <v>26560</v>
      </c>
      <c r="R8234" t="s">
        <v>26579</v>
      </c>
      <c r="S8234" t="s">
        <v>18959</v>
      </c>
      <c r="U8234" t="s">
        <v>26604</v>
      </c>
      <c r="W8234" t="s">
        <v>808</v>
      </c>
      <c r="X8234">
        <v>750</v>
      </c>
      <c r="Y8234" t="s">
        <v>26650</v>
      </c>
      <c r="Z8234" t="s">
        <v>26668</v>
      </c>
      <c r="AB8234" t="s">
        <v>32716</v>
      </c>
      <c r="AC8234" t="s">
        <v>36483</v>
      </c>
      <c r="AD8234" t="s">
        <v>43237</v>
      </c>
      <c r="AE8234">
        <v>2</v>
      </c>
      <c r="AF8234" t="s">
        <v>20460</v>
      </c>
      <c r="AH8234">
        <v>6</v>
      </c>
      <c r="AI8234">
        <v>2</v>
      </c>
      <c r="AJ8234">
        <v>0</v>
      </c>
      <c r="AK8234">
        <v>0</v>
      </c>
      <c r="AN8234" t="s">
        <v>45581</v>
      </c>
      <c r="AO8234">
        <v>0</v>
      </c>
      <c r="AU8234">
        <v>1</v>
      </c>
      <c r="AV8234" t="s">
        <v>814</v>
      </c>
      <c r="AW8234" t="s">
        <v>46832</v>
      </c>
      <c r="AX8234" t="s">
        <v>46898</v>
      </c>
    </row>
    <row r="8235" spans="1:50">
      <c r="A8235" s="1">
        <f>HYPERLINK("https://lsnyc.legalserver.org/matter/dynamic-profile/view/1900717","19-1900717")</f>
        <v>0</v>
      </c>
      <c r="B8235" t="s">
        <v>221</v>
      </c>
      <c r="C8235" t="s">
        <v>340</v>
      </c>
      <c r="D8235" t="s">
        <v>808</v>
      </c>
      <c r="F8235" t="s">
        <v>3410</v>
      </c>
      <c r="G8235" t="s">
        <v>8615</v>
      </c>
      <c r="H8235" t="s">
        <v>15247</v>
      </c>
      <c r="I8235" t="s">
        <v>17375</v>
      </c>
      <c r="J8235" t="s">
        <v>18899</v>
      </c>
      <c r="K8235">
        <v>11385</v>
      </c>
      <c r="L8235" t="s">
        <v>18958</v>
      </c>
      <c r="M8235" t="s">
        <v>18960</v>
      </c>
      <c r="N8235" t="s">
        <v>24873</v>
      </c>
      <c r="O8235" t="s">
        <v>26524</v>
      </c>
      <c r="P8235" t="s">
        <v>26560</v>
      </c>
      <c r="R8235" t="s">
        <v>26585</v>
      </c>
      <c r="S8235" t="s">
        <v>18959</v>
      </c>
      <c r="U8235" t="s">
        <v>26604</v>
      </c>
      <c r="W8235" t="s">
        <v>808</v>
      </c>
      <c r="X8235">
        <v>2200</v>
      </c>
      <c r="Y8235" t="s">
        <v>26653</v>
      </c>
      <c r="Z8235" t="s">
        <v>26668</v>
      </c>
      <c r="AB8235" t="s">
        <v>32717</v>
      </c>
      <c r="AD8235" t="s">
        <v>43238</v>
      </c>
      <c r="AE8235">
        <v>2</v>
      </c>
      <c r="AF8235" t="s">
        <v>45547</v>
      </c>
      <c r="AG8235" t="s">
        <v>19330</v>
      </c>
      <c r="AH8235">
        <v>2</v>
      </c>
      <c r="AI8235">
        <v>2</v>
      </c>
      <c r="AJ8235">
        <v>2</v>
      </c>
      <c r="AK8235">
        <v>193.86</v>
      </c>
      <c r="AN8235" t="s">
        <v>7439</v>
      </c>
      <c r="AO8235">
        <v>49920</v>
      </c>
      <c r="AU8235">
        <v>10.3</v>
      </c>
      <c r="AV8235" t="s">
        <v>821</v>
      </c>
      <c r="AW8235" t="s">
        <v>208</v>
      </c>
      <c r="AX8235" t="s">
        <v>46897</v>
      </c>
    </row>
    <row r="8236" spans="1:50">
      <c r="A8236" s="1">
        <f>HYPERLINK("https://lsnyc.legalserver.org/matter/dynamic-profile/view/1900776","19-1900776")</f>
        <v>0</v>
      </c>
      <c r="B8236" t="s">
        <v>280</v>
      </c>
      <c r="C8236" t="s">
        <v>341</v>
      </c>
      <c r="D8236" t="s">
        <v>824</v>
      </c>
      <c r="E8236" t="s">
        <v>824</v>
      </c>
      <c r="F8236" t="s">
        <v>3486</v>
      </c>
      <c r="G8236" t="s">
        <v>5518</v>
      </c>
      <c r="H8236" t="s">
        <v>10299</v>
      </c>
      <c r="I8236" t="s">
        <v>17395</v>
      </c>
      <c r="J8236" t="s">
        <v>18909</v>
      </c>
      <c r="K8236">
        <v>11101</v>
      </c>
      <c r="L8236" t="s">
        <v>18958</v>
      </c>
      <c r="M8236" t="s">
        <v>18960</v>
      </c>
      <c r="P8236" t="s">
        <v>26565</v>
      </c>
      <c r="Q8236" t="s">
        <v>26571</v>
      </c>
      <c r="R8236" t="s">
        <v>26578</v>
      </c>
      <c r="S8236" t="s">
        <v>18959</v>
      </c>
      <c r="U8236" t="s">
        <v>26604</v>
      </c>
      <c r="V8236" t="s">
        <v>26610</v>
      </c>
      <c r="W8236" t="s">
        <v>824</v>
      </c>
      <c r="X8236">
        <v>336</v>
      </c>
      <c r="Y8236" t="s">
        <v>26653</v>
      </c>
      <c r="Z8236" t="s">
        <v>26659</v>
      </c>
      <c r="AA8236" t="s">
        <v>26682</v>
      </c>
      <c r="AB8236" t="s">
        <v>31248</v>
      </c>
      <c r="AC8236" t="s">
        <v>36039</v>
      </c>
      <c r="AD8236" t="s">
        <v>41431</v>
      </c>
      <c r="AE8236">
        <v>306</v>
      </c>
      <c r="AF8236" t="s">
        <v>45551</v>
      </c>
      <c r="AG8236" t="s">
        <v>45556</v>
      </c>
      <c r="AH8236">
        <v>3</v>
      </c>
      <c r="AI8236">
        <v>1</v>
      </c>
      <c r="AJ8236">
        <v>1</v>
      </c>
      <c r="AK8236">
        <v>59.14</v>
      </c>
      <c r="AN8236" t="s">
        <v>7439</v>
      </c>
      <c r="AO8236">
        <v>10000</v>
      </c>
      <c r="AU8236">
        <v>0.7</v>
      </c>
      <c r="AV8236" t="s">
        <v>835</v>
      </c>
      <c r="AW8236" t="s">
        <v>280</v>
      </c>
      <c r="AX8236" t="s">
        <v>46897</v>
      </c>
    </row>
    <row r="8237" spans="1:50">
      <c r="A8237" s="1">
        <f>HYPERLINK("https://lsnyc.legalserver.org/matter/dynamic-profile/view/1884883","18-1884883")</f>
        <v>0</v>
      </c>
      <c r="B8237" t="s">
        <v>108</v>
      </c>
      <c r="C8237" t="s">
        <v>341</v>
      </c>
      <c r="D8237" t="s">
        <v>682</v>
      </c>
      <c r="E8237" t="s">
        <v>825</v>
      </c>
      <c r="F8237" t="s">
        <v>868</v>
      </c>
      <c r="G8237" t="s">
        <v>5086</v>
      </c>
      <c r="H8237" t="s">
        <v>15248</v>
      </c>
      <c r="I8237" t="s">
        <v>17582</v>
      </c>
      <c r="J8237" t="s">
        <v>18901</v>
      </c>
      <c r="K8237">
        <v>11434</v>
      </c>
      <c r="L8237" t="s">
        <v>18958</v>
      </c>
      <c r="M8237" t="s">
        <v>18960</v>
      </c>
      <c r="N8237" t="s">
        <v>24874</v>
      </c>
      <c r="O8237" t="s">
        <v>26524</v>
      </c>
      <c r="P8237" t="s">
        <v>26560</v>
      </c>
      <c r="Q8237" t="s">
        <v>26568</v>
      </c>
      <c r="R8237" t="s">
        <v>26585</v>
      </c>
      <c r="S8237" t="s">
        <v>18959</v>
      </c>
      <c r="U8237" t="s">
        <v>26604</v>
      </c>
      <c r="V8237" t="s">
        <v>26612</v>
      </c>
      <c r="W8237" t="s">
        <v>809</v>
      </c>
      <c r="X8237">
        <v>1100</v>
      </c>
      <c r="Y8237" t="s">
        <v>26653</v>
      </c>
      <c r="Z8237" t="s">
        <v>26668</v>
      </c>
      <c r="AA8237" t="s">
        <v>26679</v>
      </c>
      <c r="AB8237" t="s">
        <v>29778</v>
      </c>
      <c r="AD8237" t="s">
        <v>43239</v>
      </c>
      <c r="AE8237">
        <v>2</v>
      </c>
      <c r="AF8237" t="s">
        <v>45547</v>
      </c>
      <c r="AG8237" t="s">
        <v>19330</v>
      </c>
      <c r="AH8237">
        <v>4</v>
      </c>
      <c r="AI8237">
        <v>2</v>
      </c>
      <c r="AJ8237">
        <v>4</v>
      </c>
      <c r="AK8237">
        <v>109.66</v>
      </c>
      <c r="AN8237" t="s">
        <v>7439</v>
      </c>
      <c r="AO8237">
        <v>37000</v>
      </c>
      <c r="AQ8237" t="s">
        <v>46368</v>
      </c>
      <c r="AR8237" t="s">
        <v>26530</v>
      </c>
      <c r="AS8237" t="s">
        <v>46500</v>
      </c>
      <c r="AT8237" t="s">
        <v>46740</v>
      </c>
      <c r="AU8237">
        <v>11.6</v>
      </c>
      <c r="AV8237" t="s">
        <v>794</v>
      </c>
      <c r="AW8237" t="s">
        <v>85</v>
      </c>
      <c r="AX8237" t="s">
        <v>46897</v>
      </c>
    </row>
    <row r="8238" spans="1:50">
      <c r="A8238" s="1">
        <f>HYPERLINK("https://lsnyc.legalserver.org/matter/dynamic-profile/view/1897143","19-1897143")</f>
        <v>0</v>
      </c>
      <c r="B8238" t="s">
        <v>108</v>
      </c>
      <c r="C8238" t="s">
        <v>341</v>
      </c>
      <c r="D8238" t="s">
        <v>760</v>
      </c>
      <c r="E8238" t="s">
        <v>825</v>
      </c>
      <c r="F8238" t="s">
        <v>2815</v>
      </c>
      <c r="G8238" t="s">
        <v>8616</v>
      </c>
      <c r="H8238" t="s">
        <v>15249</v>
      </c>
      <c r="I8238" t="s">
        <v>17423</v>
      </c>
      <c r="J8238" t="s">
        <v>18932</v>
      </c>
      <c r="K8238">
        <v>11385</v>
      </c>
      <c r="L8238" t="s">
        <v>18958</v>
      </c>
      <c r="M8238" t="s">
        <v>18960</v>
      </c>
      <c r="N8238" t="s">
        <v>24875</v>
      </c>
      <c r="O8238" t="s">
        <v>26524</v>
      </c>
      <c r="P8238" t="s">
        <v>26560</v>
      </c>
      <c r="Q8238" t="s">
        <v>26568</v>
      </c>
      <c r="R8238" t="s">
        <v>26591</v>
      </c>
      <c r="S8238" t="s">
        <v>18959</v>
      </c>
      <c r="U8238" t="s">
        <v>26604</v>
      </c>
      <c r="V8238" t="s">
        <v>26610</v>
      </c>
      <c r="W8238" t="s">
        <v>809</v>
      </c>
      <c r="X8238">
        <v>2175</v>
      </c>
      <c r="Y8238" t="s">
        <v>26653</v>
      </c>
      <c r="Z8238" t="s">
        <v>26668</v>
      </c>
      <c r="AA8238" t="s">
        <v>26679</v>
      </c>
      <c r="AB8238" t="s">
        <v>32718</v>
      </c>
      <c r="AD8238" t="s">
        <v>43240</v>
      </c>
      <c r="AE8238">
        <v>2</v>
      </c>
      <c r="AF8238" t="s">
        <v>45547</v>
      </c>
      <c r="AG8238" t="s">
        <v>19330</v>
      </c>
      <c r="AH8238">
        <v>2</v>
      </c>
      <c r="AI8238">
        <v>2</v>
      </c>
      <c r="AJ8238">
        <v>0</v>
      </c>
      <c r="AK8238">
        <v>184.51</v>
      </c>
      <c r="AN8238" t="s">
        <v>7439</v>
      </c>
      <c r="AO8238">
        <v>31200</v>
      </c>
      <c r="AQ8238" t="s">
        <v>46362</v>
      </c>
      <c r="AR8238" t="s">
        <v>46420</v>
      </c>
      <c r="AS8238" t="s">
        <v>46500</v>
      </c>
      <c r="AT8238" t="s">
        <v>46786</v>
      </c>
      <c r="AU8238">
        <v>4</v>
      </c>
      <c r="AV8238" t="s">
        <v>809</v>
      </c>
      <c r="AW8238" t="s">
        <v>46858</v>
      </c>
      <c r="AX8238" t="s">
        <v>46897</v>
      </c>
    </row>
    <row r="8239" spans="1:50">
      <c r="A8239" s="1">
        <f>HYPERLINK("https://lsnyc.legalserver.org/matter/dynamic-profile/view/1899223","19-1899223")</f>
        <v>0</v>
      </c>
      <c r="B8239" t="s">
        <v>70</v>
      </c>
      <c r="C8239" t="s">
        <v>340</v>
      </c>
      <c r="D8239" t="s">
        <v>815</v>
      </c>
      <c r="F8239" t="s">
        <v>1087</v>
      </c>
      <c r="G8239" t="s">
        <v>8617</v>
      </c>
      <c r="H8239" t="s">
        <v>14365</v>
      </c>
      <c r="I8239" t="s">
        <v>17436</v>
      </c>
      <c r="J8239" t="s">
        <v>18892</v>
      </c>
      <c r="K8239">
        <v>10467</v>
      </c>
      <c r="L8239" t="s">
        <v>18958</v>
      </c>
      <c r="M8239" t="s">
        <v>18960</v>
      </c>
      <c r="N8239" t="s">
        <v>24876</v>
      </c>
      <c r="O8239" t="s">
        <v>26523</v>
      </c>
      <c r="P8239" t="s">
        <v>26560</v>
      </c>
      <c r="R8239" t="s">
        <v>26579</v>
      </c>
      <c r="S8239" t="s">
        <v>18959</v>
      </c>
      <c r="U8239" t="s">
        <v>26604</v>
      </c>
      <c r="W8239" t="s">
        <v>809</v>
      </c>
      <c r="X8239">
        <v>0</v>
      </c>
      <c r="Y8239" t="s">
        <v>26650</v>
      </c>
      <c r="Z8239" t="s">
        <v>26664</v>
      </c>
      <c r="AB8239" t="s">
        <v>32719</v>
      </c>
      <c r="AE8239">
        <v>0</v>
      </c>
      <c r="AH8239">
        <v>0</v>
      </c>
      <c r="AI8239">
        <v>1</v>
      </c>
      <c r="AJ8239">
        <v>0</v>
      </c>
      <c r="AK8239">
        <v>156.12</v>
      </c>
      <c r="AN8239" t="s">
        <v>7439</v>
      </c>
      <c r="AO8239">
        <v>19500</v>
      </c>
      <c r="AU8239">
        <v>3.8</v>
      </c>
      <c r="AV8239" t="s">
        <v>797</v>
      </c>
      <c r="AW8239" t="s">
        <v>46870</v>
      </c>
      <c r="AX8239" t="s">
        <v>46897</v>
      </c>
    </row>
    <row r="8240" spans="1:50">
      <c r="A8240" s="1">
        <f>HYPERLINK("https://lsnyc.legalserver.org/matter/dynamic-profile/view/1900836","19-1900836")</f>
        <v>0</v>
      </c>
      <c r="B8240" t="s">
        <v>288</v>
      </c>
      <c r="C8240" t="s">
        <v>341</v>
      </c>
      <c r="D8240" t="s">
        <v>809</v>
      </c>
      <c r="E8240" t="s">
        <v>809</v>
      </c>
      <c r="F8240" t="s">
        <v>4211</v>
      </c>
      <c r="G8240" t="s">
        <v>3190</v>
      </c>
      <c r="H8240" t="s">
        <v>15250</v>
      </c>
      <c r="I8240" t="s">
        <v>17430</v>
      </c>
      <c r="J8240" t="s">
        <v>18894</v>
      </c>
      <c r="K8240">
        <v>11236</v>
      </c>
      <c r="L8240" t="s">
        <v>18958</v>
      </c>
      <c r="M8240" t="s">
        <v>18960</v>
      </c>
      <c r="N8240" t="s">
        <v>24877</v>
      </c>
      <c r="O8240" t="s">
        <v>26524</v>
      </c>
      <c r="P8240" t="s">
        <v>26560</v>
      </c>
      <c r="Q8240" t="s">
        <v>26570</v>
      </c>
      <c r="R8240" t="s">
        <v>26586</v>
      </c>
      <c r="U8240" t="s">
        <v>26604</v>
      </c>
      <c r="W8240" t="s">
        <v>809</v>
      </c>
      <c r="X8240">
        <v>2300</v>
      </c>
      <c r="Y8240" t="s">
        <v>26652</v>
      </c>
      <c r="Z8240" t="s">
        <v>26664</v>
      </c>
      <c r="AA8240" t="s">
        <v>26683</v>
      </c>
      <c r="AB8240" t="s">
        <v>32720</v>
      </c>
      <c r="AE8240">
        <v>0</v>
      </c>
      <c r="AH8240">
        <v>0</v>
      </c>
      <c r="AI8240">
        <v>1</v>
      </c>
      <c r="AJ8240">
        <v>0</v>
      </c>
      <c r="AK8240">
        <v>182.55</v>
      </c>
      <c r="AO8240">
        <v>22800</v>
      </c>
      <c r="AU8240">
        <v>3.05</v>
      </c>
      <c r="AV8240" t="s">
        <v>807</v>
      </c>
      <c r="AW8240" t="s">
        <v>46853</v>
      </c>
      <c r="AX8240" t="s">
        <v>46897</v>
      </c>
    </row>
    <row r="8241" spans="1:50">
      <c r="A8241" s="1">
        <f>HYPERLINK("https://lsnyc.legalserver.org/matter/dynamic-profile/view/1900879","19-1900879")</f>
        <v>0</v>
      </c>
      <c r="B8241" t="s">
        <v>122</v>
      </c>
      <c r="C8241" t="s">
        <v>341</v>
      </c>
      <c r="D8241" t="s">
        <v>809</v>
      </c>
      <c r="E8241" t="s">
        <v>772</v>
      </c>
      <c r="F8241" t="s">
        <v>1225</v>
      </c>
      <c r="G8241" t="s">
        <v>5047</v>
      </c>
      <c r="H8241" t="s">
        <v>13284</v>
      </c>
      <c r="I8241" t="s">
        <v>18547</v>
      </c>
      <c r="J8241" t="s">
        <v>18901</v>
      </c>
      <c r="K8241">
        <v>11434</v>
      </c>
      <c r="L8241" t="s">
        <v>18958</v>
      </c>
      <c r="M8241" t="s">
        <v>18960</v>
      </c>
      <c r="N8241" t="s">
        <v>24878</v>
      </c>
      <c r="O8241" t="s">
        <v>26526</v>
      </c>
      <c r="P8241" t="s">
        <v>26565</v>
      </c>
      <c r="Q8241" t="s">
        <v>26570</v>
      </c>
      <c r="R8241" t="s">
        <v>26578</v>
      </c>
      <c r="U8241" t="s">
        <v>26604</v>
      </c>
      <c r="W8241" t="s">
        <v>809</v>
      </c>
      <c r="X8241">
        <v>800</v>
      </c>
      <c r="Y8241" t="s">
        <v>26653</v>
      </c>
      <c r="Z8241" t="s">
        <v>26664</v>
      </c>
      <c r="AA8241" t="s">
        <v>26683</v>
      </c>
      <c r="AB8241" t="s">
        <v>32721</v>
      </c>
      <c r="AD8241" t="s">
        <v>43241</v>
      </c>
      <c r="AE8241">
        <v>40</v>
      </c>
      <c r="AF8241" t="s">
        <v>45541</v>
      </c>
      <c r="AG8241" t="s">
        <v>26530</v>
      </c>
      <c r="AH8241">
        <v>10</v>
      </c>
      <c r="AI8241">
        <v>3</v>
      </c>
      <c r="AJ8241">
        <v>1</v>
      </c>
      <c r="AK8241">
        <v>112.62</v>
      </c>
      <c r="AN8241" t="s">
        <v>7439</v>
      </c>
      <c r="AO8241">
        <v>29000</v>
      </c>
      <c r="AU8241">
        <v>1</v>
      </c>
      <c r="AV8241" t="s">
        <v>772</v>
      </c>
      <c r="AW8241" t="s">
        <v>122</v>
      </c>
    </row>
    <row r="8242" spans="1:50">
      <c r="A8242" s="1">
        <f>HYPERLINK("https://lsnyc.legalserver.org/matter/dynamic-profile/view/1900887","19-1900887")</f>
        <v>0</v>
      </c>
      <c r="B8242" t="s">
        <v>183</v>
      </c>
      <c r="C8242" t="s">
        <v>340</v>
      </c>
      <c r="D8242" t="s">
        <v>809</v>
      </c>
      <c r="F8242" t="s">
        <v>1792</v>
      </c>
      <c r="G8242" t="s">
        <v>5385</v>
      </c>
      <c r="H8242" t="s">
        <v>15251</v>
      </c>
      <c r="I8242" t="s">
        <v>17352</v>
      </c>
      <c r="J8242" t="s">
        <v>18893</v>
      </c>
      <c r="K8242">
        <v>10011</v>
      </c>
      <c r="L8242" t="s">
        <v>18958</v>
      </c>
      <c r="M8242" t="s">
        <v>18960</v>
      </c>
      <c r="N8242" t="s">
        <v>24879</v>
      </c>
      <c r="O8242" t="s">
        <v>26523</v>
      </c>
      <c r="P8242" t="s">
        <v>26560</v>
      </c>
      <c r="R8242" t="s">
        <v>26582</v>
      </c>
      <c r="S8242" t="s">
        <v>18959</v>
      </c>
      <c r="U8242" t="s">
        <v>26605</v>
      </c>
      <c r="W8242" t="s">
        <v>809</v>
      </c>
      <c r="X8242">
        <v>458</v>
      </c>
      <c r="Y8242" t="s">
        <v>26651</v>
      </c>
      <c r="Z8242" t="s">
        <v>26664</v>
      </c>
      <c r="AB8242" t="s">
        <v>32722</v>
      </c>
      <c r="AD8242" t="s">
        <v>43242</v>
      </c>
      <c r="AE8242">
        <v>0</v>
      </c>
      <c r="AF8242" t="s">
        <v>45549</v>
      </c>
      <c r="AG8242" t="s">
        <v>26530</v>
      </c>
      <c r="AH8242">
        <v>2</v>
      </c>
      <c r="AI8242">
        <v>3</v>
      </c>
      <c r="AJ8242">
        <v>1</v>
      </c>
      <c r="AK8242">
        <v>57.65</v>
      </c>
      <c r="AN8242" t="s">
        <v>7439</v>
      </c>
      <c r="AO8242">
        <v>14844</v>
      </c>
      <c r="AU8242">
        <v>0.5</v>
      </c>
      <c r="AV8242" t="s">
        <v>827</v>
      </c>
      <c r="AW8242" t="s">
        <v>46875</v>
      </c>
      <c r="AX8242" t="s">
        <v>46897</v>
      </c>
    </row>
    <row r="8243" spans="1:50">
      <c r="A8243" s="1">
        <f>HYPERLINK("https://lsnyc.legalserver.org/matter/dynamic-profile/view/1900930","19-1900930")</f>
        <v>0</v>
      </c>
      <c r="B8243" t="s">
        <v>280</v>
      </c>
      <c r="C8243" t="s">
        <v>340</v>
      </c>
      <c r="D8243" t="s">
        <v>809</v>
      </c>
      <c r="F8243" t="s">
        <v>875</v>
      </c>
      <c r="G8243" t="s">
        <v>5434</v>
      </c>
      <c r="H8243" t="s">
        <v>15252</v>
      </c>
      <c r="I8243" t="s">
        <v>17728</v>
      </c>
      <c r="J8243" t="s">
        <v>18900</v>
      </c>
      <c r="K8243">
        <v>11354</v>
      </c>
      <c r="L8243" t="s">
        <v>18958</v>
      </c>
      <c r="M8243" t="s">
        <v>18960</v>
      </c>
      <c r="N8243" t="s">
        <v>24880</v>
      </c>
      <c r="O8243" t="s">
        <v>26534</v>
      </c>
      <c r="P8243" t="s">
        <v>26561</v>
      </c>
      <c r="R8243" t="s">
        <v>26578</v>
      </c>
      <c r="S8243" t="s">
        <v>18958</v>
      </c>
      <c r="U8243" t="s">
        <v>26604</v>
      </c>
      <c r="V8243" t="s">
        <v>26610</v>
      </c>
      <c r="W8243" t="s">
        <v>809</v>
      </c>
      <c r="X8243">
        <v>0</v>
      </c>
      <c r="Y8243" t="s">
        <v>26653</v>
      </c>
      <c r="Z8243" t="s">
        <v>26670</v>
      </c>
      <c r="AB8243" t="s">
        <v>32723</v>
      </c>
      <c r="AE8243">
        <v>91</v>
      </c>
      <c r="AF8243" t="s">
        <v>45541</v>
      </c>
      <c r="AG8243" t="s">
        <v>19330</v>
      </c>
      <c r="AH8243">
        <v>25</v>
      </c>
      <c r="AI8243">
        <v>2</v>
      </c>
      <c r="AJ8243">
        <v>0</v>
      </c>
      <c r="AK8243">
        <v>141.93</v>
      </c>
      <c r="AN8243" t="s">
        <v>45581</v>
      </c>
      <c r="AO8243">
        <v>24000</v>
      </c>
      <c r="AU8243">
        <v>15.45</v>
      </c>
      <c r="AV8243" t="s">
        <v>839</v>
      </c>
      <c r="AW8243" t="s">
        <v>280</v>
      </c>
      <c r="AX8243" t="s">
        <v>46897</v>
      </c>
    </row>
    <row r="8244" spans="1:50">
      <c r="A8244" s="1">
        <f>HYPERLINK("https://lsnyc.legalserver.org/matter/dynamic-profile/view/1900801","19-1900801")</f>
        <v>0</v>
      </c>
      <c r="B8244" t="s">
        <v>278</v>
      </c>
      <c r="C8244" t="s">
        <v>340</v>
      </c>
      <c r="D8244" t="s">
        <v>809</v>
      </c>
      <c r="F8244" t="s">
        <v>3979</v>
      </c>
      <c r="G8244" t="s">
        <v>8613</v>
      </c>
      <c r="H8244" t="s">
        <v>15253</v>
      </c>
      <c r="I8244" t="s">
        <v>17322</v>
      </c>
      <c r="J8244" t="s">
        <v>18902</v>
      </c>
      <c r="K8244">
        <v>10310</v>
      </c>
      <c r="L8244" t="s">
        <v>18958</v>
      </c>
      <c r="M8244" t="s">
        <v>18960</v>
      </c>
      <c r="N8244" t="s">
        <v>24881</v>
      </c>
      <c r="O8244" t="s">
        <v>26523</v>
      </c>
      <c r="R8244" t="s">
        <v>26590</v>
      </c>
      <c r="S8244" t="s">
        <v>18959</v>
      </c>
      <c r="U8244" t="s">
        <v>26604</v>
      </c>
      <c r="V8244" t="s">
        <v>26610</v>
      </c>
      <c r="W8244" t="s">
        <v>809</v>
      </c>
      <c r="X8244">
        <v>1946.36</v>
      </c>
      <c r="Y8244" t="s">
        <v>26654</v>
      </c>
      <c r="Z8244" t="s">
        <v>26668</v>
      </c>
      <c r="AB8244" t="s">
        <v>30979</v>
      </c>
      <c r="AC8244" t="s">
        <v>36484</v>
      </c>
      <c r="AD8244" t="s">
        <v>43243</v>
      </c>
      <c r="AE8244">
        <v>0</v>
      </c>
      <c r="AF8244" t="s">
        <v>45541</v>
      </c>
      <c r="AG8244" t="s">
        <v>45556</v>
      </c>
      <c r="AH8244">
        <v>4</v>
      </c>
      <c r="AI8244">
        <v>2</v>
      </c>
      <c r="AJ8244">
        <v>3</v>
      </c>
      <c r="AK8244">
        <v>38.93</v>
      </c>
      <c r="AN8244" t="s">
        <v>7439</v>
      </c>
      <c r="AO8244">
        <v>11744</v>
      </c>
      <c r="AU8244">
        <v>7.2</v>
      </c>
      <c r="AV8244" t="s">
        <v>773</v>
      </c>
      <c r="AW8244" t="s">
        <v>46883</v>
      </c>
      <c r="AX8244" t="s">
        <v>46897</v>
      </c>
    </row>
    <row r="8245" spans="1:50">
      <c r="A8245" s="1">
        <f>HYPERLINK("https://lsnyc.legalserver.org/matter/dynamic-profile/view/1900806","19-1900806")</f>
        <v>0</v>
      </c>
      <c r="B8245" t="s">
        <v>108</v>
      </c>
      <c r="C8245" t="s">
        <v>340</v>
      </c>
      <c r="D8245" t="s">
        <v>809</v>
      </c>
      <c r="F8245" t="s">
        <v>4044</v>
      </c>
      <c r="G8245" t="s">
        <v>8618</v>
      </c>
      <c r="H8245" t="s">
        <v>15254</v>
      </c>
      <c r="J8245" t="s">
        <v>18901</v>
      </c>
      <c r="K8245">
        <v>11433</v>
      </c>
      <c r="L8245" t="s">
        <v>18958</v>
      </c>
      <c r="M8245" t="s">
        <v>18960</v>
      </c>
      <c r="N8245" t="s">
        <v>24882</v>
      </c>
      <c r="O8245" t="s">
        <v>26524</v>
      </c>
      <c r="P8245" t="s">
        <v>26560</v>
      </c>
      <c r="R8245" t="s">
        <v>26585</v>
      </c>
      <c r="S8245" t="s">
        <v>18959</v>
      </c>
      <c r="U8245" t="s">
        <v>26604</v>
      </c>
      <c r="W8245" t="s">
        <v>809</v>
      </c>
      <c r="X8245">
        <v>0</v>
      </c>
      <c r="Y8245" t="s">
        <v>26653</v>
      </c>
      <c r="Z8245" t="s">
        <v>26668</v>
      </c>
      <c r="AB8245" t="s">
        <v>32724</v>
      </c>
      <c r="AD8245" t="s">
        <v>43244</v>
      </c>
      <c r="AE8245">
        <v>1</v>
      </c>
      <c r="AF8245" t="s">
        <v>20460</v>
      </c>
      <c r="AG8245" t="s">
        <v>19330</v>
      </c>
      <c r="AH8245">
        <v>8</v>
      </c>
      <c r="AI8245">
        <v>1</v>
      </c>
      <c r="AJ8245">
        <v>2</v>
      </c>
      <c r="AK8245">
        <v>117.21</v>
      </c>
      <c r="AN8245" t="s">
        <v>7439</v>
      </c>
      <c r="AO8245">
        <v>25000</v>
      </c>
      <c r="AU8245">
        <v>8.6</v>
      </c>
      <c r="AV8245" t="s">
        <v>773</v>
      </c>
      <c r="AW8245" t="s">
        <v>208</v>
      </c>
      <c r="AX8245" t="s">
        <v>46897</v>
      </c>
    </row>
    <row r="8246" spans="1:50">
      <c r="A8246" s="1">
        <f>HYPERLINK("https://lsnyc.legalserver.org/matter/dynamic-profile/view/1900789","19-1900789")</f>
        <v>0</v>
      </c>
      <c r="B8246" t="s">
        <v>108</v>
      </c>
      <c r="C8246" t="s">
        <v>340</v>
      </c>
      <c r="D8246" t="s">
        <v>809</v>
      </c>
      <c r="F8246" t="s">
        <v>4212</v>
      </c>
      <c r="G8246" t="s">
        <v>5813</v>
      </c>
      <c r="H8246" t="s">
        <v>15255</v>
      </c>
      <c r="J8246" t="s">
        <v>18901</v>
      </c>
      <c r="K8246">
        <v>11434</v>
      </c>
      <c r="L8246" t="s">
        <v>18958</v>
      </c>
      <c r="M8246" t="s">
        <v>18960</v>
      </c>
      <c r="N8246" t="s">
        <v>24883</v>
      </c>
      <c r="O8246" t="s">
        <v>26524</v>
      </c>
      <c r="P8246" t="s">
        <v>26560</v>
      </c>
      <c r="R8246" t="s">
        <v>26585</v>
      </c>
      <c r="S8246" t="s">
        <v>18959</v>
      </c>
      <c r="U8246" t="s">
        <v>26604</v>
      </c>
      <c r="W8246" t="s">
        <v>809</v>
      </c>
      <c r="X8246">
        <v>0</v>
      </c>
      <c r="Y8246" t="s">
        <v>26653</v>
      </c>
      <c r="Z8246" t="s">
        <v>26668</v>
      </c>
      <c r="AB8246" t="s">
        <v>32725</v>
      </c>
      <c r="AD8246" t="s">
        <v>43245</v>
      </c>
      <c r="AE8246">
        <v>0</v>
      </c>
      <c r="AG8246" t="s">
        <v>19330</v>
      </c>
      <c r="AH8246">
        <v>29</v>
      </c>
      <c r="AI8246">
        <v>8</v>
      </c>
      <c r="AJ8246">
        <v>1</v>
      </c>
      <c r="AK8246">
        <v>200.63</v>
      </c>
      <c r="AN8246" t="s">
        <v>7439</v>
      </c>
      <c r="AO8246">
        <v>96000</v>
      </c>
      <c r="AU8246">
        <v>7.5</v>
      </c>
      <c r="AV8246" t="s">
        <v>821</v>
      </c>
      <c r="AW8246" t="s">
        <v>208</v>
      </c>
      <c r="AX8246" t="s">
        <v>46897</v>
      </c>
    </row>
    <row r="8247" spans="1:50">
      <c r="A8247" s="1">
        <f>HYPERLINK("https://lsnyc.legalserver.org/matter/dynamic-profile/view/1900824","19-1900824")</f>
        <v>0</v>
      </c>
      <c r="B8247" t="s">
        <v>282</v>
      </c>
      <c r="C8247" t="s">
        <v>340</v>
      </c>
      <c r="D8247" t="s">
        <v>809</v>
      </c>
      <c r="F8247" t="s">
        <v>4213</v>
      </c>
      <c r="G8247" t="s">
        <v>8619</v>
      </c>
      <c r="H8247" t="s">
        <v>15256</v>
      </c>
      <c r="J8247" t="s">
        <v>18911</v>
      </c>
      <c r="K8247">
        <v>11375</v>
      </c>
      <c r="L8247" t="s">
        <v>18958</v>
      </c>
      <c r="M8247" t="s">
        <v>18960</v>
      </c>
      <c r="N8247" t="s">
        <v>24884</v>
      </c>
      <c r="O8247" t="s">
        <v>26523</v>
      </c>
      <c r="P8247" t="s">
        <v>26560</v>
      </c>
      <c r="R8247" t="s">
        <v>26584</v>
      </c>
      <c r="S8247" t="s">
        <v>18959</v>
      </c>
      <c r="U8247" t="s">
        <v>26604</v>
      </c>
      <c r="V8247" t="s">
        <v>26610</v>
      </c>
      <c r="W8247" t="s">
        <v>809</v>
      </c>
      <c r="X8247">
        <v>0</v>
      </c>
      <c r="Y8247" t="s">
        <v>26653</v>
      </c>
      <c r="Z8247" t="s">
        <v>26668</v>
      </c>
      <c r="AB8247" t="s">
        <v>32726</v>
      </c>
      <c r="AD8247" t="s">
        <v>43246</v>
      </c>
      <c r="AE8247">
        <v>1</v>
      </c>
      <c r="AF8247" t="s">
        <v>45541</v>
      </c>
      <c r="AG8247" t="s">
        <v>45557</v>
      </c>
      <c r="AH8247">
        <v>10</v>
      </c>
      <c r="AI8247">
        <v>1</v>
      </c>
      <c r="AJ8247">
        <v>2</v>
      </c>
      <c r="AK8247">
        <v>65.04000000000001</v>
      </c>
      <c r="AN8247" t="s">
        <v>7439</v>
      </c>
      <c r="AO8247">
        <v>13872</v>
      </c>
      <c r="AU8247">
        <v>5.98</v>
      </c>
      <c r="AV8247" t="s">
        <v>833</v>
      </c>
      <c r="AW8247" t="s">
        <v>208</v>
      </c>
      <c r="AX8247" t="s">
        <v>46897</v>
      </c>
    </row>
    <row r="8248" spans="1:50">
      <c r="A8248" s="1">
        <f>HYPERLINK("https://lsnyc.legalserver.org/matter/dynamic-profile/view/1900812","19-1900812")</f>
        <v>0</v>
      </c>
      <c r="B8248" t="s">
        <v>282</v>
      </c>
      <c r="C8248" t="s">
        <v>340</v>
      </c>
      <c r="D8248" t="s">
        <v>809</v>
      </c>
      <c r="F8248" t="s">
        <v>900</v>
      </c>
      <c r="G8248" t="s">
        <v>8620</v>
      </c>
      <c r="H8248" t="s">
        <v>15257</v>
      </c>
      <c r="I8248" t="s">
        <v>17306</v>
      </c>
      <c r="J8248" t="s">
        <v>18928</v>
      </c>
      <c r="K8248">
        <v>11365</v>
      </c>
      <c r="L8248" t="s">
        <v>18958</v>
      </c>
      <c r="M8248" t="s">
        <v>18960</v>
      </c>
      <c r="N8248" t="s">
        <v>24885</v>
      </c>
      <c r="O8248" t="s">
        <v>26523</v>
      </c>
      <c r="P8248" t="s">
        <v>26560</v>
      </c>
      <c r="R8248" t="s">
        <v>26584</v>
      </c>
      <c r="S8248" t="s">
        <v>18959</v>
      </c>
      <c r="U8248" t="s">
        <v>26604</v>
      </c>
      <c r="W8248" t="s">
        <v>809</v>
      </c>
      <c r="X8248">
        <v>1737</v>
      </c>
      <c r="Y8248" t="s">
        <v>26653</v>
      </c>
      <c r="Z8248" t="s">
        <v>26664</v>
      </c>
      <c r="AB8248" t="s">
        <v>32727</v>
      </c>
      <c r="AD8248" t="s">
        <v>43247</v>
      </c>
      <c r="AE8248">
        <v>9</v>
      </c>
      <c r="AG8248" t="s">
        <v>19330</v>
      </c>
      <c r="AH8248">
        <v>7</v>
      </c>
      <c r="AI8248">
        <v>2</v>
      </c>
      <c r="AJ8248">
        <v>0</v>
      </c>
      <c r="AK8248">
        <v>91.66</v>
      </c>
      <c r="AN8248" t="s">
        <v>45581</v>
      </c>
      <c r="AO8248">
        <v>15500</v>
      </c>
      <c r="AU8248">
        <v>11.25</v>
      </c>
      <c r="AV8248" t="s">
        <v>836</v>
      </c>
      <c r="AW8248" t="s">
        <v>208</v>
      </c>
      <c r="AX8248" t="s">
        <v>46897</v>
      </c>
    </row>
    <row r="8249" spans="1:50">
      <c r="A8249" s="1">
        <f>HYPERLINK("https://lsnyc.legalserver.org/matter/dynamic-profile/view/1900917","19-1900917")</f>
        <v>0</v>
      </c>
      <c r="B8249" t="s">
        <v>81</v>
      </c>
      <c r="C8249" t="s">
        <v>340</v>
      </c>
      <c r="D8249" t="s">
        <v>809</v>
      </c>
      <c r="F8249" t="s">
        <v>2123</v>
      </c>
      <c r="G8249" t="s">
        <v>8621</v>
      </c>
      <c r="H8249" t="s">
        <v>15258</v>
      </c>
      <c r="I8249" t="s">
        <v>17274</v>
      </c>
      <c r="J8249" t="s">
        <v>18892</v>
      </c>
      <c r="K8249">
        <v>10467</v>
      </c>
      <c r="L8249" t="s">
        <v>18958</v>
      </c>
      <c r="M8249" t="s">
        <v>18960</v>
      </c>
      <c r="N8249" t="s">
        <v>24886</v>
      </c>
      <c r="O8249" t="s">
        <v>26523</v>
      </c>
      <c r="P8249" t="s">
        <v>26560</v>
      </c>
      <c r="R8249" t="s">
        <v>26579</v>
      </c>
      <c r="S8249" t="s">
        <v>18959</v>
      </c>
      <c r="U8249" t="s">
        <v>26604</v>
      </c>
      <c r="V8249" t="s">
        <v>26610</v>
      </c>
      <c r="W8249" t="s">
        <v>809</v>
      </c>
      <c r="X8249">
        <v>1390.77</v>
      </c>
      <c r="Y8249" t="s">
        <v>26650</v>
      </c>
      <c r="Z8249" t="s">
        <v>26668</v>
      </c>
      <c r="AB8249" t="s">
        <v>32728</v>
      </c>
      <c r="AC8249" t="s">
        <v>36485</v>
      </c>
      <c r="AD8249" t="s">
        <v>43248</v>
      </c>
      <c r="AE8249">
        <v>25</v>
      </c>
      <c r="AF8249" t="s">
        <v>45541</v>
      </c>
      <c r="AH8249">
        <v>5</v>
      </c>
      <c r="AI8249">
        <v>3</v>
      </c>
      <c r="AJ8249">
        <v>0</v>
      </c>
      <c r="AK8249">
        <v>43.88</v>
      </c>
      <c r="AN8249" t="s">
        <v>7439</v>
      </c>
      <c r="AO8249">
        <v>9360</v>
      </c>
      <c r="AU8249">
        <v>1.55</v>
      </c>
      <c r="AV8249" t="s">
        <v>831</v>
      </c>
      <c r="AW8249" t="s">
        <v>329</v>
      </c>
      <c r="AX8249" t="s">
        <v>46898</v>
      </c>
    </row>
    <row r="8250" spans="1:50">
      <c r="A8250" s="1">
        <f>HYPERLINK("https://lsnyc.legalserver.org/matter/dynamic-profile/view/1900858","19-1900858")</f>
        <v>0</v>
      </c>
      <c r="B8250" t="s">
        <v>81</v>
      </c>
      <c r="C8250" t="s">
        <v>340</v>
      </c>
      <c r="D8250" t="s">
        <v>809</v>
      </c>
      <c r="F8250" t="s">
        <v>1817</v>
      </c>
      <c r="G8250" t="s">
        <v>5078</v>
      </c>
      <c r="H8250" t="s">
        <v>15259</v>
      </c>
      <c r="I8250">
        <v>32</v>
      </c>
      <c r="J8250" t="s">
        <v>18892</v>
      </c>
      <c r="K8250">
        <v>10468</v>
      </c>
      <c r="L8250" t="s">
        <v>18958</v>
      </c>
      <c r="M8250" t="s">
        <v>18960</v>
      </c>
      <c r="N8250" t="s">
        <v>24887</v>
      </c>
      <c r="O8250" t="s">
        <v>26524</v>
      </c>
      <c r="P8250" t="s">
        <v>26560</v>
      </c>
      <c r="R8250" t="s">
        <v>26579</v>
      </c>
      <c r="S8250" t="s">
        <v>18959</v>
      </c>
      <c r="U8250" t="s">
        <v>26604</v>
      </c>
      <c r="V8250" t="s">
        <v>26610</v>
      </c>
      <c r="W8250" t="s">
        <v>809</v>
      </c>
      <c r="X8250">
        <v>1000</v>
      </c>
      <c r="Y8250" t="s">
        <v>26650</v>
      </c>
      <c r="Z8250" t="s">
        <v>26668</v>
      </c>
      <c r="AB8250" t="s">
        <v>32729</v>
      </c>
      <c r="AD8250" t="s">
        <v>43249</v>
      </c>
      <c r="AE8250">
        <v>0</v>
      </c>
      <c r="AF8250" t="s">
        <v>20460</v>
      </c>
      <c r="AG8250" t="s">
        <v>19330</v>
      </c>
      <c r="AH8250">
        <v>31</v>
      </c>
      <c r="AI8250">
        <v>3</v>
      </c>
      <c r="AJ8250">
        <v>0</v>
      </c>
      <c r="AK8250">
        <v>195.03</v>
      </c>
      <c r="AN8250" t="s">
        <v>7439</v>
      </c>
      <c r="AO8250">
        <v>41600</v>
      </c>
      <c r="AU8250">
        <v>1.75</v>
      </c>
      <c r="AV8250" t="s">
        <v>807</v>
      </c>
      <c r="AW8250" t="s">
        <v>329</v>
      </c>
      <c r="AX8250" t="s">
        <v>46897</v>
      </c>
    </row>
    <row r="8251" spans="1:50">
      <c r="A8251" s="1">
        <f>HYPERLINK("https://lsnyc.legalserver.org/matter/dynamic-profile/view/1900885","19-1900885")</f>
        <v>0</v>
      </c>
      <c r="B8251" t="s">
        <v>71</v>
      </c>
      <c r="C8251" t="s">
        <v>340</v>
      </c>
      <c r="D8251" t="s">
        <v>809</v>
      </c>
      <c r="F8251" t="s">
        <v>948</v>
      </c>
      <c r="G8251" t="s">
        <v>8622</v>
      </c>
      <c r="H8251" t="s">
        <v>12649</v>
      </c>
      <c r="I8251" t="s">
        <v>17355</v>
      </c>
      <c r="J8251" t="s">
        <v>18892</v>
      </c>
      <c r="K8251">
        <v>10460</v>
      </c>
      <c r="L8251" t="s">
        <v>18958</v>
      </c>
      <c r="M8251" t="s">
        <v>18960</v>
      </c>
      <c r="N8251" t="s">
        <v>24888</v>
      </c>
      <c r="O8251" t="s">
        <v>26524</v>
      </c>
      <c r="P8251" t="s">
        <v>26560</v>
      </c>
      <c r="R8251" t="s">
        <v>26577</v>
      </c>
      <c r="S8251" t="s">
        <v>18959</v>
      </c>
      <c r="U8251" t="s">
        <v>26604</v>
      </c>
      <c r="V8251" t="s">
        <v>26611</v>
      </c>
      <c r="W8251" t="s">
        <v>809</v>
      </c>
      <c r="X8251">
        <v>0</v>
      </c>
      <c r="Y8251" t="s">
        <v>26650</v>
      </c>
      <c r="AB8251" t="s">
        <v>32730</v>
      </c>
      <c r="AD8251" t="s">
        <v>43250</v>
      </c>
      <c r="AE8251">
        <v>16</v>
      </c>
      <c r="AH8251">
        <v>39</v>
      </c>
      <c r="AI8251">
        <v>1</v>
      </c>
      <c r="AJ8251">
        <v>1</v>
      </c>
      <c r="AK8251">
        <v>53.22</v>
      </c>
      <c r="AN8251" t="s">
        <v>7439</v>
      </c>
      <c r="AO8251">
        <v>9000</v>
      </c>
      <c r="AU8251">
        <v>2.3</v>
      </c>
      <c r="AV8251" t="s">
        <v>832</v>
      </c>
      <c r="AW8251" t="s">
        <v>46867</v>
      </c>
      <c r="AX8251" t="s">
        <v>46897</v>
      </c>
    </row>
    <row r="8252" spans="1:50">
      <c r="A8252" s="1">
        <f>HYPERLINK("https://lsnyc.legalserver.org/matter/dynamic-profile/view/1900815","19-1900815")</f>
        <v>0</v>
      </c>
      <c r="B8252" t="s">
        <v>253</v>
      </c>
      <c r="C8252" t="s">
        <v>340</v>
      </c>
      <c r="D8252" t="s">
        <v>809</v>
      </c>
      <c r="F8252" t="s">
        <v>972</v>
      </c>
      <c r="G8252" t="s">
        <v>5785</v>
      </c>
      <c r="H8252" t="s">
        <v>13688</v>
      </c>
      <c r="I8252" t="s">
        <v>17344</v>
      </c>
      <c r="J8252" t="s">
        <v>18892</v>
      </c>
      <c r="K8252">
        <v>10467</v>
      </c>
      <c r="L8252" t="s">
        <v>18958</v>
      </c>
      <c r="M8252" t="s">
        <v>18960</v>
      </c>
      <c r="N8252" t="s">
        <v>24889</v>
      </c>
      <c r="O8252" t="s">
        <v>26523</v>
      </c>
      <c r="P8252" t="s">
        <v>26560</v>
      </c>
      <c r="R8252" t="s">
        <v>26579</v>
      </c>
      <c r="S8252" t="s">
        <v>18959</v>
      </c>
      <c r="U8252" t="s">
        <v>26604</v>
      </c>
      <c r="W8252" t="s">
        <v>809</v>
      </c>
      <c r="X8252">
        <v>701.4299999999999</v>
      </c>
      <c r="Y8252" t="s">
        <v>26650</v>
      </c>
      <c r="Z8252" t="s">
        <v>26668</v>
      </c>
      <c r="AB8252" t="s">
        <v>32731</v>
      </c>
      <c r="AD8252" t="s">
        <v>43251</v>
      </c>
      <c r="AE8252">
        <v>0</v>
      </c>
      <c r="AF8252" t="s">
        <v>20460</v>
      </c>
      <c r="AH8252">
        <v>40</v>
      </c>
      <c r="AI8252">
        <v>2</v>
      </c>
      <c r="AJ8252">
        <v>0</v>
      </c>
      <c r="AK8252">
        <v>79.34</v>
      </c>
      <c r="AN8252" t="s">
        <v>7439</v>
      </c>
      <c r="AO8252">
        <v>13416</v>
      </c>
      <c r="AU8252">
        <v>1.7</v>
      </c>
      <c r="AV8252" t="s">
        <v>836</v>
      </c>
      <c r="AW8252" t="s">
        <v>329</v>
      </c>
      <c r="AX8252" t="s">
        <v>46897</v>
      </c>
    </row>
    <row r="8253" spans="1:50">
      <c r="A8253" s="1">
        <f>HYPERLINK("https://lsnyc.legalserver.org/matter/dynamic-profile/view/1900782","19-1900782")</f>
        <v>0</v>
      </c>
      <c r="B8253" t="s">
        <v>253</v>
      </c>
      <c r="C8253" t="s">
        <v>340</v>
      </c>
      <c r="D8253" t="s">
        <v>809</v>
      </c>
      <c r="F8253" t="s">
        <v>2949</v>
      </c>
      <c r="G8253" t="s">
        <v>5973</v>
      </c>
      <c r="H8253" t="s">
        <v>9882</v>
      </c>
      <c r="I8253" t="s">
        <v>17807</v>
      </c>
      <c r="J8253" t="s">
        <v>18892</v>
      </c>
      <c r="K8253">
        <v>10467</v>
      </c>
      <c r="L8253" t="s">
        <v>18958</v>
      </c>
      <c r="M8253" t="s">
        <v>18960</v>
      </c>
      <c r="N8253" t="s">
        <v>24890</v>
      </c>
      <c r="O8253" t="s">
        <v>26523</v>
      </c>
      <c r="P8253" t="s">
        <v>26560</v>
      </c>
      <c r="R8253" t="s">
        <v>26579</v>
      </c>
      <c r="S8253" t="s">
        <v>18959</v>
      </c>
      <c r="U8253" t="s">
        <v>26604</v>
      </c>
      <c r="W8253" t="s">
        <v>809</v>
      </c>
      <c r="X8253">
        <v>1284</v>
      </c>
      <c r="Y8253" t="s">
        <v>26650</v>
      </c>
      <c r="Z8253" t="s">
        <v>26668</v>
      </c>
      <c r="AB8253" t="s">
        <v>32732</v>
      </c>
      <c r="AC8253" t="s">
        <v>36486</v>
      </c>
      <c r="AD8253" t="s">
        <v>43252</v>
      </c>
      <c r="AE8253">
        <v>0</v>
      </c>
      <c r="AF8253" t="s">
        <v>45541</v>
      </c>
      <c r="AG8253" t="s">
        <v>45558</v>
      </c>
      <c r="AH8253">
        <v>25</v>
      </c>
      <c r="AI8253">
        <v>1</v>
      </c>
      <c r="AJ8253">
        <v>0</v>
      </c>
      <c r="AK8253">
        <v>89.83</v>
      </c>
      <c r="AN8253" t="s">
        <v>7439</v>
      </c>
      <c r="AO8253">
        <v>11220</v>
      </c>
      <c r="AU8253">
        <v>6.65</v>
      </c>
      <c r="AV8253" t="s">
        <v>831</v>
      </c>
      <c r="AW8253" t="s">
        <v>329</v>
      </c>
      <c r="AX8253" t="s">
        <v>46898</v>
      </c>
    </row>
    <row r="8254" spans="1:50">
      <c r="A8254" s="1">
        <f>HYPERLINK("https://lsnyc.legalserver.org/matter/dynamic-profile/view/1900797","19-1900797")</f>
        <v>0</v>
      </c>
      <c r="B8254" t="s">
        <v>159</v>
      </c>
      <c r="C8254" t="s">
        <v>340</v>
      </c>
      <c r="D8254" t="s">
        <v>809</v>
      </c>
      <c r="F8254" t="s">
        <v>1265</v>
      </c>
      <c r="G8254" t="s">
        <v>8483</v>
      </c>
      <c r="H8254" t="s">
        <v>15260</v>
      </c>
      <c r="I8254" t="s">
        <v>17491</v>
      </c>
      <c r="J8254" t="s">
        <v>18932</v>
      </c>
      <c r="K8254">
        <v>11385</v>
      </c>
      <c r="L8254" t="s">
        <v>18958</v>
      </c>
      <c r="M8254" t="s">
        <v>18960</v>
      </c>
      <c r="N8254" t="s">
        <v>24891</v>
      </c>
      <c r="O8254" t="s">
        <v>26524</v>
      </c>
      <c r="P8254" t="s">
        <v>26560</v>
      </c>
      <c r="R8254" t="s">
        <v>26585</v>
      </c>
      <c r="S8254" t="s">
        <v>18959</v>
      </c>
      <c r="U8254" t="s">
        <v>26604</v>
      </c>
      <c r="W8254" t="s">
        <v>809</v>
      </c>
      <c r="X8254">
        <v>1500</v>
      </c>
      <c r="Y8254" t="s">
        <v>26653</v>
      </c>
      <c r="Z8254" t="s">
        <v>26668</v>
      </c>
      <c r="AB8254" t="s">
        <v>30450</v>
      </c>
      <c r="AD8254" t="s">
        <v>43253</v>
      </c>
      <c r="AE8254">
        <v>2</v>
      </c>
      <c r="AF8254" t="s">
        <v>20460</v>
      </c>
      <c r="AG8254" t="s">
        <v>19330</v>
      </c>
      <c r="AH8254">
        <v>3</v>
      </c>
      <c r="AI8254">
        <v>2</v>
      </c>
      <c r="AJ8254">
        <v>0</v>
      </c>
      <c r="AK8254">
        <v>135.68</v>
      </c>
      <c r="AN8254" t="s">
        <v>7439</v>
      </c>
      <c r="AO8254">
        <v>22944</v>
      </c>
      <c r="AU8254">
        <v>3.3</v>
      </c>
      <c r="AV8254" t="s">
        <v>838</v>
      </c>
      <c r="AW8254" t="s">
        <v>208</v>
      </c>
      <c r="AX8254" t="s">
        <v>46897</v>
      </c>
    </row>
    <row r="8255" spans="1:50">
      <c r="A8255" s="1">
        <f>HYPERLINK("https://lsnyc.legalserver.org/matter/dynamic-profile/view/1900785","19-1900785")</f>
        <v>0</v>
      </c>
      <c r="B8255" t="s">
        <v>102</v>
      </c>
      <c r="C8255" t="s">
        <v>340</v>
      </c>
      <c r="D8255" t="s">
        <v>809</v>
      </c>
      <c r="F8255" t="s">
        <v>4214</v>
      </c>
      <c r="G8255" t="s">
        <v>7645</v>
      </c>
      <c r="H8255" t="s">
        <v>15261</v>
      </c>
      <c r="J8255" t="s">
        <v>18902</v>
      </c>
      <c r="K8255">
        <v>10303</v>
      </c>
      <c r="L8255" t="s">
        <v>18958</v>
      </c>
      <c r="M8255" t="s">
        <v>18960</v>
      </c>
      <c r="N8255" t="s">
        <v>24892</v>
      </c>
      <c r="O8255" t="s">
        <v>26523</v>
      </c>
      <c r="R8255" t="s">
        <v>26590</v>
      </c>
      <c r="S8255" t="s">
        <v>18959</v>
      </c>
      <c r="U8255" t="s">
        <v>26604</v>
      </c>
      <c r="V8255" t="s">
        <v>26610</v>
      </c>
      <c r="W8255" t="s">
        <v>809</v>
      </c>
      <c r="X8255">
        <v>2010</v>
      </c>
      <c r="Y8255" t="s">
        <v>26654</v>
      </c>
      <c r="Z8255" t="s">
        <v>26668</v>
      </c>
      <c r="AB8255" t="s">
        <v>32733</v>
      </c>
      <c r="AD8255" t="s">
        <v>43254</v>
      </c>
      <c r="AE8255">
        <v>1</v>
      </c>
      <c r="AG8255" t="s">
        <v>45558</v>
      </c>
      <c r="AH8255">
        <v>2</v>
      </c>
      <c r="AI8255">
        <v>2</v>
      </c>
      <c r="AJ8255">
        <v>3</v>
      </c>
      <c r="AK8255">
        <v>155.28</v>
      </c>
      <c r="AN8255" t="s">
        <v>7439</v>
      </c>
      <c r="AO8255">
        <v>46846.8</v>
      </c>
      <c r="AU8255">
        <v>2</v>
      </c>
      <c r="AV8255" t="s">
        <v>831</v>
      </c>
      <c r="AW8255" t="s">
        <v>46883</v>
      </c>
      <c r="AX8255" t="s">
        <v>46897</v>
      </c>
    </row>
    <row r="8256" spans="1:50">
      <c r="A8256" s="1">
        <f>HYPERLINK("https://lsnyc.legalserver.org/matter/dynamic-profile/view/1900814","19-1900814")</f>
        <v>0</v>
      </c>
      <c r="B8256" t="s">
        <v>104</v>
      </c>
      <c r="C8256" t="s">
        <v>340</v>
      </c>
      <c r="D8256" t="s">
        <v>809</v>
      </c>
      <c r="F8256" t="s">
        <v>1806</v>
      </c>
      <c r="G8256" t="s">
        <v>8623</v>
      </c>
      <c r="H8256" t="s">
        <v>15262</v>
      </c>
      <c r="I8256" t="s">
        <v>18548</v>
      </c>
      <c r="J8256" t="s">
        <v>18902</v>
      </c>
      <c r="K8256">
        <v>10310</v>
      </c>
      <c r="L8256" t="s">
        <v>18958</v>
      </c>
      <c r="M8256" t="s">
        <v>18960</v>
      </c>
      <c r="N8256" t="s">
        <v>24893</v>
      </c>
      <c r="O8256" t="s">
        <v>26523</v>
      </c>
      <c r="R8256" t="s">
        <v>26590</v>
      </c>
      <c r="S8256" t="s">
        <v>18959</v>
      </c>
      <c r="U8256" t="s">
        <v>26605</v>
      </c>
      <c r="V8256" t="s">
        <v>26610</v>
      </c>
      <c r="W8256" t="s">
        <v>809</v>
      </c>
      <c r="X8256">
        <v>505.5</v>
      </c>
      <c r="Y8256" t="s">
        <v>26654</v>
      </c>
      <c r="Z8256" t="s">
        <v>26668</v>
      </c>
      <c r="AB8256" t="s">
        <v>32734</v>
      </c>
      <c r="AD8256" t="s">
        <v>43255</v>
      </c>
      <c r="AE8256">
        <v>0</v>
      </c>
      <c r="AF8256" t="s">
        <v>45543</v>
      </c>
      <c r="AG8256" t="s">
        <v>19330</v>
      </c>
      <c r="AH8256">
        <v>18</v>
      </c>
      <c r="AI8256">
        <v>2</v>
      </c>
      <c r="AJ8256">
        <v>2</v>
      </c>
      <c r="AK8256">
        <v>13.51</v>
      </c>
      <c r="AN8256" t="s">
        <v>7439</v>
      </c>
      <c r="AO8256">
        <v>3480</v>
      </c>
      <c r="AU8256">
        <v>1.2</v>
      </c>
      <c r="AV8256" t="s">
        <v>835</v>
      </c>
      <c r="AW8256" t="s">
        <v>46883</v>
      </c>
      <c r="AX8256" t="s">
        <v>46897</v>
      </c>
    </row>
    <row r="8257" spans="1:50">
      <c r="A8257" s="1">
        <f>HYPERLINK("https://lsnyc.legalserver.org/matter/dynamic-profile/view/1900818","19-1900818")</f>
        <v>0</v>
      </c>
      <c r="B8257" t="s">
        <v>112</v>
      </c>
      <c r="C8257" t="s">
        <v>340</v>
      </c>
      <c r="D8257" t="s">
        <v>809</v>
      </c>
      <c r="F8257" t="s">
        <v>2722</v>
      </c>
      <c r="G8257" t="s">
        <v>5169</v>
      </c>
      <c r="H8257" t="s">
        <v>15263</v>
      </c>
      <c r="I8257">
        <v>105</v>
      </c>
      <c r="J8257" t="s">
        <v>18900</v>
      </c>
      <c r="K8257">
        <v>11355</v>
      </c>
      <c r="L8257" t="s">
        <v>18958</v>
      </c>
      <c r="M8257" t="s">
        <v>18960</v>
      </c>
      <c r="N8257" t="s">
        <v>24894</v>
      </c>
      <c r="O8257" t="s">
        <v>26524</v>
      </c>
      <c r="P8257" t="s">
        <v>26560</v>
      </c>
      <c r="R8257" t="s">
        <v>26584</v>
      </c>
      <c r="S8257" t="s">
        <v>18959</v>
      </c>
      <c r="U8257" t="s">
        <v>26604</v>
      </c>
      <c r="W8257" t="s">
        <v>809</v>
      </c>
      <c r="X8257">
        <v>1130</v>
      </c>
      <c r="Y8257" t="s">
        <v>26653</v>
      </c>
      <c r="Z8257" t="s">
        <v>26668</v>
      </c>
      <c r="AB8257" t="s">
        <v>32735</v>
      </c>
      <c r="AD8257" t="s">
        <v>43256</v>
      </c>
      <c r="AE8257">
        <v>20</v>
      </c>
      <c r="AG8257" t="s">
        <v>45559</v>
      </c>
      <c r="AH8257">
        <v>35</v>
      </c>
      <c r="AI8257">
        <v>1</v>
      </c>
      <c r="AJ8257">
        <v>0</v>
      </c>
      <c r="AK8257">
        <v>77.44</v>
      </c>
      <c r="AN8257" t="s">
        <v>7439</v>
      </c>
      <c r="AO8257">
        <v>9672</v>
      </c>
      <c r="AU8257">
        <v>16</v>
      </c>
      <c r="AV8257" t="s">
        <v>835</v>
      </c>
      <c r="AW8257" t="s">
        <v>208</v>
      </c>
      <c r="AX8257" t="s">
        <v>46897</v>
      </c>
    </row>
    <row r="8258" spans="1:50">
      <c r="A8258" s="1">
        <f>HYPERLINK("https://lsnyc.legalserver.org/matter/dynamic-profile/view/1900802","19-1900802")</f>
        <v>0</v>
      </c>
      <c r="B8258" t="s">
        <v>112</v>
      </c>
      <c r="C8258" t="s">
        <v>340</v>
      </c>
      <c r="D8258" t="s">
        <v>809</v>
      </c>
      <c r="F8258" t="s">
        <v>1182</v>
      </c>
      <c r="G8258" t="s">
        <v>7708</v>
      </c>
      <c r="H8258" t="s">
        <v>15264</v>
      </c>
      <c r="J8258" t="s">
        <v>18901</v>
      </c>
      <c r="K8258">
        <v>11434</v>
      </c>
      <c r="L8258" t="s">
        <v>18958</v>
      </c>
      <c r="M8258" t="s">
        <v>18960</v>
      </c>
      <c r="N8258" t="s">
        <v>24895</v>
      </c>
      <c r="O8258" t="s">
        <v>26524</v>
      </c>
      <c r="P8258" t="s">
        <v>26560</v>
      </c>
      <c r="R8258" t="s">
        <v>26585</v>
      </c>
      <c r="S8258" t="s">
        <v>18959</v>
      </c>
      <c r="U8258" t="s">
        <v>26604</v>
      </c>
      <c r="V8258" t="s">
        <v>26610</v>
      </c>
      <c r="W8258" t="s">
        <v>809</v>
      </c>
      <c r="X8258">
        <v>1400</v>
      </c>
      <c r="Y8258" t="s">
        <v>26653</v>
      </c>
      <c r="Z8258" t="s">
        <v>26668</v>
      </c>
      <c r="AB8258" t="s">
        <v>32736</v>
      </c>
      <c r="AD8258" t="s">
        <v>43257</v>
      </c>
      <c r="AE8258">
        <v>3</v>
      </c>
      <c r="AF8258" t="s">
        <v>20460</v>
      </c>
      <c r="AG8258" t="s">
        <v>45558</v>
      </c>
      <c r="AH8258">
        <v>7</v>
      </c>
      <c r="AI8258">
        <v>1</v>
      </c>
      <c r="AJ8258">
        <v>1</v>
      </c>
      <c r="AK8258">
        <v>65.05</v>
      </c>
      <c r="AN8258" t="s">
        <v>7439</v>
      </c>
      <c r="AO8258">
        <v>11000</v>
      </c>
      <c r="AU8258">
        <v>2.2</v>
      </c>
      <c r="AV8258" t="s">
        <v>832</v>
      </c>
      <c r="AW8258" t="s">
        <v>208</v>
      </c>
      <c r="AX8258" t="s">
        <v>46897</v>
      </c>
    </row>
    <row r="8259" spans="1:50">
      <c r="A8259" s="1">
        <f>HYPERLINK("https://lsnyc.legalserver.org/matter/dynamic-profile/view/1895623","19-1895623")</f>
        <v>0</v>
      </c>
      <c r="B8259" t="s">
        <v>130</v>
      </c>
      <c r="C8259" t="s">
        <v>341</v>
      </c>
      <c r="D8259" t="s">
        <v>763</v>
      </c>
      <c r="E8259" t="s">
        <v>843</v>
      </c>
      <c r="F8259" t="s">
        <v>3722</v>
      </c>
      <c r="G8259" t="s">
        <v>5901</v>
      </c>
      <c r="H8259" t="s">
        <v>15265</v>
      </c>
      <c r="I8259" t="s">
        <v>17416</v>
      </c>
      <c r="J8259" t="s">
        <v>18901</v>
      </c>
      <c r="K8259">
        <v>11434</v>
      </c>
      <c r="L8259" t="s">
        <v>18958</v>
      </c>
      <c r="M8259" t="s">
        <v>18958</v>
      </c>
      <c r="N8259" t="s">
        <v>24896</v>
      </c>
      <c r="O8259" t="s">
        <v>26524</v>
      </c>
      <c r="P8259" t="s">
        <v>26564</v>
      </c>
      <c r="Q8259" t="s">
        <v>26570</v>
      </c>
      <c r="R8259" t="s">
        <v>26585</v>
      </c>
      <c r="S8259" t="s">
        <v>18959</v>
      </c>
      <c r="U8259" t="s">
        <v>26604</v>
      </c>
      <c r="V8259" t="s">
        <v>26610</v>
      </c>
      <c r="W8259" t="s">
        <v>825</v>
      </c>
      <c r="X8259">
        <v>600</v>
      </c>
      <c r="Y8259" t="s">
        <v>26653</v>
      </c>
      <c r="Z8259" t="s">
        <v>26668</v>
      </c>
      <c r="AA8259" t="s">
        <v>26683</v>
      </c>
      <c r="AB8259" t="s">
        <v>32737</v>
      </c>
      <c r="AC8259" t="s">
        <v>36487</v>
      </c>
      <c r="AD8259" t="s">
        <v>43258</v>
      </c>
      <c r="AE8259">
        <v>3</v>
      </c>
      <c r="AF8259" t="s">
        <v>45547</v>
      </c>
      <c r="AG8259" t="s">
        <v>19330</v>
      </c>
      <c r="AH8259">
        <v>12</v>
      </c>
      <c r="AI8259">
        <v>2</v>
      </c>
      <c r="AJ8259">
        <v>1</v>
      </c>
      <c r="AK8259">
        <v>93</v>
      </c>
      <c r="AN8259" t="s">
        <v>7439</v>
      </c>
      <c r="AO8259">
        <v>19836</v>
      </c>
      <c r="AU8259">
        <v>2.35</v>
      </c>
      <c r="AV8259" t="s">
        <v>843</v>
      </c>
      <c r="AW8259" t="s">
        <v>130</v>
      </c>
      <c r="AX8259" t="s">
        <v>46897</v>
      </c>
    </row>
    <row r="8260" spans="1:50">
      <c r="A8260" s="1">
        <f>HYPERLINK("https://lsnyc.legalserver.org/matter/dynamic-profile/view/1897569","19-1897569")</f>
        <v>0</v>
      </c>
      <c r="B8260" t="s">
        <v>130</v>
      </c>
      <c r="C8260" t="s">
        <v>341</v>
      </c>
      <c r="D8260" t="s">
        <v>763</v>
      </c>
      <c r="E8260" t="s">
        <v>825</v>
      </c>
      <c r="F8260" t="s">
        <v>3799</v>
      </c>
      <c r="G8260" t="s">
        <v>1627</v>
      </c>
      <c r="H8260" t="s">
        <v>15266</v>
      </c>
      <c r="J8260" t="s">
        <v>18901</v>
      </c>
      <c r="K8260">
        <v>11434</v>
      </c>
      <c r="L8260" t="s">
        <v>18958</v>
      </c>
      <c r="M8260" t="s">
        <v>18958</v>
      </c>
      <c r="N8260" t="s">
        <v>24897</v>
      </c>
      <c r="O8260" t="s">
        <v>26524</v>
      </c>
      <c r="P8260" t="s">
        <v>26564</v>
      </c>
      <c r="Q8260" t="s">
        <v>26570</v>
      </c>
      <c r="R8260" t="s">
        <v>26585</v>
      </c>
      <c r="S8260" t="s">
        <v>18959</v>
      </c>
      <c r="U8260" t="s">
        <v>26604</v>
      </c>
      <c r="V8260" t="s">
        <v>26610</v>
      </c>
      <c r="W8260" t="s">
        <v>825</v>
      </c>
      <c r="X8260">
        <v>1100</v>
      </c>
      <c r="Y8260" t="s">
        <v>26653</v>
      </c>
      <c r="Z8260" t="s">
        <v>26668</v>
      </c>
      <c r="AA8260" t="s">
        <v>26683</v>
      </c>
      <c r="AB8260" t="s">
        <v>32738</v>
      </c>
      <c r="AD8260" t="s">
        <v>43259</v>
      </c>
      <c r="AE8260">
        <v>2</v>
      </c>
      <c r="AF8260" t="s">
        <v>45547</v>
      </c>
      <c r="AG8260" t="s">
        <v>19330</v>
      </c>
      <c r="AH8260">
        <v>3</v>
      </c>
      <c r="AI8260">
        <v>1</v>
      </c>
      <c r="AJ8260">
        <v>3</v>
      </c>
      <c r="AK8260">
        <v>161.55</v>
      </c>
      <c r="AN8260" t="s">
        <v>45581</v>
      </c>
      <c r="AO8260">
        <v>41600</v>
      </c>
      <c r="AU8260">
        <v>2.4</v>
      </c>
      <c r="AV8260" t="s">
        <v>825</v>
      </c>
      <c r="AW8260" t="s">
        <v>130</v>
      </c>
      <c r="AX8260" t="s">
        <v>46897</v>
      </c>
    </row>
    <row r="8261" spans="1:50">
      <c r="A8261" s="1">
        <f>HYPERLINK("https://lsnyc.legalserver.org/matter/dynamic-profile/view/1898063","19-1898063")</f>
        <v>0</v>
      </c>
      <c r="B8261" t="s">
        <v>130</v>
      </c>
      <c r="C8261" t="s">
        <v>341</v>
      </c>
      <c r="D8261" t="s">
        <v>766</v>
      </c>
      <c r="E8261" t="s">
        <v>825</v>
      </c>
      <c r="F8261" t="s">
        <v>906</v>
      </c>
      <c r="G8261" t="s">
        <v>8624</v>
      </c>
      <c r="H8261" t="s">
        <v>15267</v>
      </c>
      <c r="I8261" t="s">
        <v>17430</v>
      </c>
      <c r="J8261" t="s">
        <v>18915</v>
      </c>
      <c r="K8261">
        <v>11372</v>
      </c>
      <c r="L8261" t="s">
        <v>18958</v>
      </c>
      <c r="M8261" t="s">
        <v>18958</v>
      </c>
      <c r="N8261" t="s">
        <v>24898</v>
      </c>
      <c r="O8261" t="s">
        <v>26524</v>
      </c>
      <c r="P8261" t="s">
        <v>26564</v>
      </c>
      <c r="Q8261" t="s">
        <v>26570</v>
      </c>
      <c r="R8261" t="s">
        <v>26584</v>
      </c>
      <c r="S8261" t="s">
        <v>18959</v>
      </c>
      <c r="U8261" t="s">
        <v>26604</v>
      </c>
      <c r="V8261" t="s">
        <v>26610</v>
      </c>
      <c r="W8261" t="s">
        <v>825</v>
      </c>
      <c r="X8261">
        <v>1550</v>
      </c>
      <c r="Y8261" t="s">
        <v>26653</v>
      </c>
      <c r="Z8261" t="s">
        <v>26664</v>
      </c>
      <c r="AA8261" t="s">
        <v>26683</v>
      </c>
      <c r="AB8261" t="s">
        <v>32739</v>
      </c>
      <c r="AD8261" t="s">
        <v>34738</v>
      </c>
      <c r="AE8261">
        <v>3</v>
      </c>
      <c r="AF8261" t="s">
        <v>45547</v>
      </c>
      <c r="AG8261" t="s">
        <v>19330</v>
      </c>
      <c r="AH8261">
        <v>1</v>
      </c>
      <c r="AI8261">
        <v>3</v>
      </c>
      <c r="AJ8261">
        <v>0</v>
      </c>
      <c r="AK8261">
        <v>34.13</v>
      </c>
      <c r="AN8261" t="s">
        <v>45581</v>
      </c>
      <c r="AO8261">
        <v>7280</v>
      </c>
      <c r="AU8261">
        <v>2.05</v>
      </c>
      <c r="AV8261" t="s">
        <v>825</v>
      </c>
      <c r="AW8261" t="s">
        <v>130</v>
      </c>
      <c r="AX8261" t="s">
        <v>46897</v>
      </c>
    </row>
    <row r="8262" spans="1:50">
      <c r="A8262" s="1">
        <f>HYPERLINK("https://lsnyc.legalserver.org/matter/dynamic-profile/view/1899680","19-1899680")</f>
        <v>0</v>
      </c>
      <c r="B8262" t="s">
        <v>120</v>
      </c>
      <c r="C8262" t="s">
        <v>340</v>
      </c>
      <c r="D8262" t="s">
        <v>815</v>
      </c>
      <c r="F8262" t="s">
        <v>1785</v>
      </c>
      <c r="G8262" t="s">
        <v>2749</v>
      </c>
      <c r="H8262" t="s">
        <v>15268</v>
      </c>
      <c r="I8262" t="s">
        <v>17361</v>
      </c>
      <c r="J8262" t="s">
        <v>18892</v>
      </c>
      <c r="K8262">
        <v>10467</v>
      </c>
      <c r="L8262" t="s">
        <v>18958</v>
      </c>
      <c r="M8262" t="s">
        <v>18960</v>
      </c>
      <c r="N8262" t="s">
        <v>24899</v>
      </c>
      <c r="O8262" t="s">
        <v>26523</v>
      </c>
      <c r="P8262" t="s">
        <v>26560</v>
      </c>
      <c r="R8262" t="s">
        <v>26579</v>
      </c>
      <c r="U8262" t="s">
        <v>26604</v>
      </c>
      <c r="V8262" t="s">
        <v>26610</v>
      </c>
      <c r="W8262" t="s">
        <v>825</v>
      </c>
      <c r="X8262">
        <v>960</v>
      </c>
      <c r="Y8262" t="s">
        <v>26650</v>
      </c>
      <c r="Z8262" t="s">
        <v>26668</v>
      </c>
      <c r="AB8262" t="s">
        <v>32740</v>
      </c>
      <c r="AC8262" t="s">
        <v>36488</v>
      </c>
      <c r="AD8262" t="s">
        <v>43260</v>
      </c>
      <c r="AE8262">
        <v>25</v>
      </c>
      <c r="AF8262" t="s">
        <v>45541</v>
      </c>
      <c r="AG8262" t="s">
        <v>45557</v>
      </c>
      <c r="AH8262">
        <v>7</v>
      </c>
      <c r="AI8262">
        <v>1</v>
      </c>
      <c r="AJ8262">
        <v>2</v>
      </c>
      <c r="AK8262">
        <v>77.28</v>
      </c>
      <c r="AN8262" t="s">
        <v>45581</v>
      </c>
      <c r="AO8262">
        <v>16484</v>
      </c>
      <c r="AP8262" t="s">
        <v>46059</v>
      </c>
      <c r="AU8262">
        <v>8.9</v>
      </c>
      <c r="AV8262" t="s">
        <v>835</v>
      </c>
      <c r="AW8262" t="s">
        <v>46832</v>
      </c>
      <c r="AX8262" t="s">
        <v>46898</v>
      </c>
    </row>
    <row r="8263" spans="1:50">
      <c r="A8263" s="1">
        <f>HYPERLINK("https://lsnyc.legalserver.org/matter/dynamic-profile/view/1899946","19-1899946")</f>
        <v>0</v>
      </c>
      <c r="B8263" t="s">
        <v>130</v>
      </c>
      <c r="C8263" t="s">
        <v>341</v>
      </c>
      <c r="D8263" t="s">
        <v>819</v>
      </c>
      <c r="E8263" t="s">
        <v>825</v>
      </c>
      <c r="F8263" t="s">
        <v>1162</v>
      </c>
      <c r="G8263" t="s">
        <v>8625</v>
      </c>
      <c r="H8263" t="s">
        <v>15269</v>
      </c>
      <c r="I8263" t="s">
        <v>18549</v>
      </c>
      <c r="J8263" t="s">
        <v>7026</v>
      </c>
      <c r="K8263">
        <v>11368</v>
      </c>
      <c r="L8263" t="s">
        <v>18958</v>
      </c>
      <c r="M8263" t="s">
        <v>18960</v>
      </c>
      <c r="N8263" t="s">
        <v>24900</v>
      </c>
      <c r="O8263" t="s">
        <v>26523</v>
      </c>
      <c r="P8263" t="s">
        <v>26564</v>
      </c>
      <c r="Q8263" t="s">
        <v>26570</v>
      </c>
      <c r="R8263" t="s">
        <v>26584</v>
      </c>
      <c r="S8263" t="s">
        <v>18959</v>
      </c>
      <c r="U8263" t="s">
        <v>26604</v>
      </c>
      <c r="V8263" t="s">
        <v>26610</v>
      </c>
      <c r="W8263" t="s">
        <v>825</v>
      </c>
      <c r="X8263">
        <v>1063.16</v>
      </c>
      <c r="Y8263" t="s">
        <v>26653</v>
      </c>
      <c r="Z8263" t="s">
        <v>26664</v>
      </c>
      <c r="AA8263" t="s">
        <v>26683</v>
      </c>
      <c r="AB8263" t="s">
        <v>32741</v>
      </c>
      <c r="AC8263" t="s">
        <v>36489</v>
      </c>
      <c r="AD8263" t="s">
        <v>43261</v>
      </c>
      <c r="AE8263">
        <v>180</v>
      </c>
      <c r="AF8263" t="s">
        <v>45541</v>
      </c>
      <c r="AG8263" t="s">
        <v>19330</v>
      </c>
      <c r="AH8263">
        <v>33</v>
      </c>
      <c r="AI8263">
        <v>1</v>
      </c>
      <c r="AJ8263">
        <v>0</v>
      </c>
      <c r="AK8263">
        <v>99.92</v>
      </c>
      <c r="AN8263" t="s">
        <v>7439</v>
      </c>
      <c r="AO8263">
        <v>12480</v>
      </c>
      <c r="AU8263">
        <v>1.55</v>
      </c>
      <c r="AV8263" t="s">
        <v>825</v>
      </c>
      <c r="AW8263" t="s">
        <v>208</v>
      </c>
      <c r="AX8263" t="s">
        <v>46898</v>
      </c>
    </row>
    <row r="8264" spans="1:50">
      <c r="A8264" s="1">
        <f>HYPERLINK("https://lsnyc.legalserver.org/matter/dynamic-profile/view/1899963","19-1899963")</f>
        <v>0</v>
      </c>
      <c r="B8264" t="s">
        <v>130</v>
      </c>
      <c r="C8264" t="s">
        <v>341</v>
      </c>
      <c r="D8264" t="s">
        <v>819</v>
      </c>
      <c r="E8264" t="s">
        <v>825</v>
      </c>
      <c r="F8264" t="s">
        <v>4215</v>
      </c>
      <c r="G8264" t="s">
        <v>8626</v>
      </c>
      <c r="H8264" t="s">
        <v>15270</v>
      </c>
      <c r="I8264" t="s">
        <v>17886</v>
      </c>
      <c r="J8264" t="s">
        <v>18933</v>
      </c>
      <c r="K8264">
        <v>11422</v>
      </c>
      <c r="L8264" t="s">
        <v>18958</v>
      </c>
      <c r="M8264" t="s">
        <v>18960</v>
      </c>
      <c r="N8264" t="s">
        <v>24901</v>
      </c>
      <c r="O8264" t="s">
        <v>26524</v>
      </c>
      <c r="P8264" t="s">
        <v>26564</v>
      </c>
      <c r="Q8264" t="s">
        <v>26570</v>
      </c>
      <c r="R8264" t="s">
        <v>26584</v>
      </c>
      <c r="S8264" t="s">
        <v>18959</v>
      </c>
      <c r="U8264" t="s">
        <v>26604</v>
      </c>
      <c r="V8264" t="s">
        <v>26610</v>
      </c>
      <c r="W8264" t="s">
        <v>825</v>
      </c>
      <c r="X8264">
        <v>1700</v>
      </c>
      <c r="Y8264" t="s">
        <v>26653</v>
      </c>
      <c r="Z8264" t="s">
        <v>26664</v>
      </c>
      <c r="AA8264" t="s">
        <v>26683</v>
      </c>
      <c r="AB8264" t="s">
        <v>32742</v>
      </c>
      <c r="AD8264" t="s">
        <v>43262</v>
      </c>
      <c r="AE8264">
        <v>2</v>
      </c>
      <c r="AF8264" t="s">
        <v>45547</v>
      </c>
      <c r="AG8264" t="s">
        <v>19330</v>
      </c>
      <c r="AH8264">
        <v>7</v>
      </c>
      <c r="AI8264">
        <v>2</v>
      </c>
      <c r="AJ8264">
        <v>2</v>
      </c>
      <c r="AK8264">
        <v>118.28</v>
      </c>
      <c r="AN8264" t="s">
        <v>7439</v>
      </c>
      <c r="AO8264">
        <v>30456</v>
      </c>
      <c r="AU8264">
        <v>1.5</v>
      </c>
      <c r="AV8264" t="s">
        <v>825</v>
      </c>
      <c r="AW8264" t="s">
        <v>46846</v>
      </c>
      <c r="AX8264" t="s">
        <v>46897</v>
      </c>
    </row>
    <row r="8265" spans="1:50">
      <c r="A8265" s="1">
        <f>HYPERLINK("https://lsnyc.legalserver.org/matter/dynamic-profile/view/1900187","19-1900187")</f>
        <v>0</v>
      </c>
      <c r="B8265" t="s">
        <v>96</v>
      </c>
      <c r="C8265" t="s">
        <v>340</v>
      </c>
      <c r="D8265" t="s">
        <v>823</v>
      </c>
      <c r="F8265" t="s">
        <v>1858</v>
      </c>
      <c r="G8265" t="s">
        <v>5109</v>
      </c>
      <c r="H8265" t="s">
        <v>15271</v>
      </c>
      <c r="I8265">
        <v>555</v>
      </c>
      <c r="J8265" t="s">
        <v>18892</v>
      </c>
      <c r="K8265">
        <v>10462</v>
      </c>
      <c r="L8265" t="s">
        <v>18958</v>
      </c>
      <c r="M8265" t="s">
        <v>18960</v>
      </c>
      <c r="N8265" t="s">
        <v>24902</v>
      </c>
      <c r="O8265" t="s">
        <v>26523</v>
      </c>
      <c r="P8265" t="s">
        <v>26560</v>
      </c>
      <c r="R8265" t="s">
        <v>26579</v>
      </c>
      <c r="U8265" t="s">
        <v>26604</v>
      </c>
      <c r="W8265" t="s">
        <v>825</v>
      </c>
      <c r="X8265">
        <v>846.4299999999999</v>
      </c>
      <c r="Y8265" t="s">
        <v>26650</v>
      </c>
      <c r="AB8265" t="s">
        <v>28955</v>
      </c>
      <c r="AD8265" t="s">
        <v>43263</v>
      </c>
      <c r="AE8265">
        <v>0</v>
      </c>
      <c r="AH8265">
        <v>27</v>
      </c>
      <c r="AI8265">
        <v>1</v>
      </c>
      <c r="AJ8265">
        <v>0</v>
      </c>
      <c r="AK8265">
        <v>520.42</v>
      </c>
      <c r="AL8265" t="s">
        <v>825</v>
      </c>
      <c r="AM8265" t="s">
        <v>45575</v>
      </c>
      <c r="AN8265" t="s">
        <v>7439</v>
      </c>
      <c r="AO8265">
        <v>65000</v>
      </c>
      <c r="AU8265">
        <v>6.4</v>
      </c>
      <c r="AV8265" t="s">
        <v>832</v>
      </c>
      <c r="AW8265" t="s">
        <v>284</v>
      </c>
      <c r="AX8265" t="s">
        <v>46897</v>
      </c>
    </row>
    <row r="8266" spans="1:50">
      <c r="A8266" s="1">
        <f>HYPERLINK("https://lsnyc.legalserver.org/matter/dynamic-profile/view/1900402","19-1900402")</f>
        <v>0</v>
      </c>
      <c r="B8266" t="s">
        <v>199</v>
      </c>
      <c r="C8266" t="s">
        <v>340</v>
      </c>
      <c r="D8266" t="s">
        <v>804</v>
      </c>
      <c r="F8266" t="s">
        <v>2769</v>
      </c>
      <c r="G8266" t="s">
        <v>5881</v>
      </c>
      <c r="H8266" t="s">
        <v>15272</v>
      </c>
      <c r="I8266" t="s">
        <v>18550</v>
      </c>
      <c r="J8266" t="s">
        <v>18894</v>
      </c>
      <c r="K8266">
        <v>11225</v>
      </c>
      <c r="L8266" t="s">
        <v>18958</v>
      </c>
      <c r="M8266" t="s">
        <v>18960</v>
      </c>
      <c r="O8266" t="s">
        <v>26526</v>
      </c>
      <c r="P8266" t="s">
        <v>26560</v>
      </c>
      <c r="R8266" t="s">
        <v>26578</v>
      </c>
      <c r="U8266" t="s">
        <v>26604</v>
      </c>
      <c r="V8266" t="s">
        <v>26610</v>
      </c>
      <c r="W8266" t="s">
        <v>825</v>
      </c>
      <c r="X8266">
        <v>0</v>
      </c>
      <c r="Y8266" t="s">
        <v>26652</v>
      </c>
      <c r="AB8266" t="s">
        <v>32743</v>
      </c>
      <c r="AD8266" t="s">
        <v>43264</v>
      </c>
      <c r="AE8266">
        <v>21</v>
      </c>
      <c r="AH8266">
        <v>0</v>
      </c>
      <c r="AI8266">
        <v>2</v>
      </c>
      <c r="AJ8266">
        <v>0</v>
      </c>
      <c r="AK8266">
        <v>214.67</v>
      </c>
      <c r="AN8266" t="s">
        <v>7439</v>
      </c>
      <c r="AO8266">
        <v>36300</v>
      </c>
      <c r="AU8266">
        <v>4.6</v>
      </c>
      <c r="AV8266" t="s">
        <v>797</v>
      </c>
      <c r="AW8266" t="s">
        <v>198</v>
      </c>
    </row>
    <row r="8267" spans="1:50">
      <c r="A8267" s="1">
        <f>HYPERLINK("https://lsnyc.legalserver.org/matter/dynamic-profile/view/1900999","19-1900999")</f>
        <v>0</v>
      </c>
      <c r="B8267" t="s">
        <v>262</v>
      </c>
      <c r="C8267" t="s">
        <v>341</v>
      </c>
      <c r="D8267" t="s">
        <v>825</v>
      </c>
      <c r="E8267" t="s">
        <v>729</v>
      </c>
      <c r="F8267" t="s">
        <v>4216</v>
      </c>
      <c r="G8267" t="s">
        <v>6910</v>
      </c>
      <c r="H8267" t="s">
        <v>11554</v>
      </c>
      <c r="I8267" t="s">
        <v>17307</v>
      </c>
      <c r="J8267" t="s">
        <v>18892</v>
      </c>
      <c r="K8267">
        <v>10459</v>
      </c>
      <c r="L8267" t="s">
        <v>18958</v>
      </c>
      <c r="M8267" t="s">
        <v>18960</v>
      </c>
      <c r="N8267" t="s">
        <v>24903</v>
      </c>
      <c r="O8267" t="s">
        <v>26524</v>
      </c>
      <c r="P8267" t="s">
        <v>26564</v>
      </c>
      <c r="Q8267" t="s">
        <v>26570</v>
      </c>
      <c r="R8267" t="s">
        <v>26577</v>
      </c>
      <c r="S8267" t="s">
        <v>18959</v>
      </c>
      <c r="U8267" t="s">
        <v>26604</v>
      </c>
      <c r="V8267" t="s">
        <v>26610</v>
      </c>
      <c r="W8267" t="s">
        <v>825</v>
      </c>
      <c r="X8267">
        <v>469</v>
      </c>
      <c r="Y8267" t="s">
        <v>26650</v>
      </c>
      <c r="Z8267" t="s">
        <v>26530</v>
      </c>
      <c r="AA8267" t="s">
        <v>26683</v>
      </c>
      <c r="AB8267" t="s">
        <v>27026</v>
      </c>
      <c r="AD8267" t="s">
        <v>43265</v>
      </c>
      <c r="AE8267">
        <v>26</v>
      </c>
      <c r="AF8267" t="s">
        <v>45552</v>
      </c>
      <c r="AG8267" t="s">
        <v>19330</v>
      </c>
      <c r="AH8267">
        <v>7</v>
      </c>
      <c r="AI8267">
        <v>1</v>
      </c>
      <c r="AJ8267">
        <v>2</v>
      </c>
      <c r="AK8267">
        <v>94.51000000000001</v>
      </c>
      <c r="AN8267" t="s">
        <v>7439</v>
      </c>
      <c r="AO8267">
        <v>20160</v>
      </c>
      <c r="AP8267" t="s">
        <v>46089</v>
      </c>
      <c r="AU8267">
        <v>3.5</v>
      </c>
      <c r="AV8267" t="s">
        <v>729</v>
      </c>
      <c r="AW8267" t="s">
        <v>46870</v>
      </c>
      <c r="AX8267" t="s">
        <v>46897</v>
      </c>
    </row>
    <row r="8268" spans="1:50">
      <c r="A8268" s="1">
        <f>HYPERLINK("https://lsnyc.legalserver.org/matter/dynamic-profile/view/1901068","19-1901068")</f>
        <v>0</v>
      </c>
      <c r="B8268" t="s">
        <v>283</v>
      </c>
      <c r="C8268" t="s">
        <v>341</v>
      </c>
      <c r="D8268" t="s">
        <v>825</v>
      </c>
      <c r="E8268" t="s">
        <v>825</v>
      </c>
      <c r="F8268" t="s">
        <v>4217</v>
      </c>
      <c r="G8268" t="s">
        <v>8627</v>
      </c>
      <c r="H8268" t="s">
        <v>15273</v>
      </c>
      <c r="I8268" t="s">
        <v>17307</v>
      </c>
      <c r="J8268" t="s">
        <v>18894</v>
      </c>
      <c r="K8268">
        <v>11230</v>
      </c>
      <c r="L8268" t="s">
        <v>18958</v>
      </c>
      <c r="M8268" t="s">
        <v>18960</v>
      </c>
      <c r="N8268" t="s">
        <v>24904</v>
      </c>
      <c r="O8268" t="s">
        <v>26526</v>
      </c>
      <c r="P8268" t="s">
        <v>26565</v>
      </c>
      <c r="Q8268" t="s">
        <v>26571</v>
      </c>
      <c r="R8268" t="s">
        <v>26586</v>
      </c>
      <c r="S8268" t="s">
        <v>18959</v>
      </c>
      <c r="U8268" t="s">
        <v>26604</v>
      </c>
      <c r="V8268" t="s">
        <v>26610</v>
      </c>
      <c r="W8268" t="s">
        <v>825</v>
      </c>
      <c r="X8268">
        <v>1450</v>
      </c>
      <c r="Y8268" t="s">
        <v>26652</v>
      </c>
      <c r="Z8268" t="s">
        <v>26664</v>
      </c>
      <c r="AA8268" t="s">
        <v>26683</v>
      </c>
      <c r="AB8268" t="s">
        <v>32744</v>
      </c>
      <c r="AD8268" t="s">
        <v>43266</v>
      </c>
      <c r="AE8268">
        <v>41</v>
      </c>
      <c r="AF8268" t="s">
        <v>45541</v>
      </c>
      <c r="AG8268" t="s">
        <v>19330</v>
      </c>
      <c r="AH8268">
        <v>-1</v>
      </c>
      <c r="AI8268">
        <v>2</v>
      </c>
      <c r="AJ8268">
        <v>0</v>
      </c>
      <c r="AK8268">
        <v>171.5</v>
      </c>
      <c r="AN8268" t="s">
        <v>7439</v>
      </c>
      <c r="AO8268">
        <v>29000</v>
      </c>
      <c r="AU8268">
        <v>0.5</v>
      </c>
      <c r="AV8268" t="s">
        <v>825</v>
      </c>
      <c r="AW8268" t="s">
        <v>46862</v>
      </c>
      <c r="AX8268" t="s">
        <v>46897</v>
      </c>
    </row>
    <row r="8269" spans="1:50">
      <c r="A8269" s="1">
        <f>HYPERLINK("https://lsnyc.legalserver.org/matter/dynamic-profile/view/1900989","19-1900989")</f>
        <v>0</v>
      </c>
      <c r="B8269" t="s">
        <v>153</v>
      </c>
      <c r="C8269" t="s">
        <v>341</v>
      </c>
      <c r="D8269" t="s">
        <v>825</v>
      </c>
      <c r="E8269" t="s">
        <v>830</v>
      </c>
      <c r="F8269" t="s">
        <v>1300</v>
      </c>
      <c r="G8269" t="s">
        <v>8628</v>
      </c>
      <c r="H8269" t="s">
        <v>15274</v>
      </c>
      <c r="J8269" t="s">
        <v>18902</v>
      </c>
      <c r="K8269">
        <v>10314</v>
      </c>
      <c r="L8269" t="s">
        <v>18958</v>
      </c>
      <c r="M8269" t="s">
        <v>18960</v>
      </c>
      <c r="O8269" t="s">
        <v>18997</v>
      </c>
      <c r="P8269" t="s">
        <v>26564</v>
      </c>
      <c r="Q8269" t="s">
        <v>26570</v>
      </c>
      <c r="R8269" t="s">
        <v>26589</v>
      </c>
      <c r="S8269" t="s">
        <v>18959</v>
      </c>
      <c r="U8269" t="s">
        <v>26604</v>
      </c>
      <c r="V8269" t="s">
        <v>26610</v>
      </c>
      <c r="W8269" t="s">
        <v>825</v>
      </c>
      <c r="X8269">
        <v>0</v>
      </c>
      <c r="Y8269" t="s">
        <v>26654</v>
      </c>
      <c r="Z8269" t="s">
        <v>26671</v>
      </c>
      <c r="AA8269" t="s">
        <v>26683</v>
      </c>
      <c r="AB8269" t="s">
        <v>30704</v>
      </c>
      <c r="AD8269" t="s">
        <v>43267</v>
      </c>
      <c r="AE8269">
        <v>0</v>
      </c>
      <c r="AH8269">
        <v>3</v>
      </c>
      <c r="AI8269">
        <v>1</v>
      </c>
      <c r="AJ8269">
        <v>2</v>
      </c>
      <c r="AK8269">
        <v>95.81</v>
      </c>
      <c r="AL8269" t="s">
        <v>45567</v>
      </c>
      <c r="AM8269" t="s">
        <v>45577</v>
      </c>
      <c r="AN8269" t="s">
        <v>7439</v>
      </c>
      <c r="AO8269">
        <v>20436</v>
      </c>
      <c r="AU8269">
        <v>2</v>
      </c>
      <c r="AV8269" t="s">
        <v>825</v>
      </c>
      <c r="AW8269" t="s">
        <v>153</v>
      </c>
    </row>
    <row r="8270" spans="1:50">
      <c r="A8270" s="1">
        <f>HYPERLINK("https://lsnyc.legalserver.org/matter/dynamic-profile/view/1900980","19-1900980")</f>
        <v>0</v>
      </c>
      <c r="B8270" t="s">
        <v>157</v>
      </c>
      <c r="C8270" t="s">
        <v>341</v>
      </c>
      <c r="D8270" t="s">
        <v>825</v>
      </c>
      <c r="E8270" t="s">
        <v>797</v>
      </c>
      <c r="F8270" t="s">
        <v>1092</v>
      </c>
      <c r="G8270" t="s">
        <v>8629</v>
      </c>
      <c r="H8270" t="s">
        <v>15275</v>
      </c>
      <c r="I8270">
        <v>7</v>
      </c>
      <c r="J8270" t="s">
        <v>18893</v>
      </c>
      <c r="K8270">
        <v>10032</v>
      </c>
      <c r="L8270" t="s">
        <v>18958</v>
      </c>
      <c r="M8270" t="s">
        <v>18960</v>
      </c>
      <c r="P8270" t="s">
        <v>26564</v>
      </c>
      <c r="Q8270" t="s">
        <v>26570</v>
      </c>
      <c r="R8270" t="s">
        <v>26578</v>
      </c>
      <c r="S8270" t="s">
        <v>18959</v>
      </c>
      <c r="U8270" t="s">
        <v>26604</v>
      </c>
      <c r="W8270" t="s">
        <v>825</v>
      </c>
      <c r="X8270">
        <v>871</v>
      </c>
      <c r="Y8270" t="s">
        <v>26651</v>
      </c>
      <c r="Z8270" t="s">
        <v>26661</v>
      </c>
      <c r="AA8270" t="s">
        <v>26683</v>
      </c>
      <c r="AB8270" t="s">
        <v>32745</v>
      </c>
      <c r="AD8270" t="s">
        <v>43268</v>
      </c>
      <c r="AE8270">
        <v>41</v>
      </c>
      <c r="AF8270" t="s">
        <v>45541</v>
      </c>
      <c r="AG8270" t="s">
        <v>19330</v>
      </c>
      <c r="AH8270">
        <v>10</v>
      </c>
      <c r="AI8270">
        <v>2</v>
      </c>
      <c r="AJ8270">
        <v>0</v>
      </c>
      <c r="AK8270">
        <v>0</v>
      </c>
      <c r="AN8270" t="s">
        <v>7439</v>
      </c>
      <c r="AO8270">
        <v>0</v>
      </c>
      <c r="AU8270">
        <v>1</v>
      </c>
      <c r="AV8270" t="s">
        <v>809</v>
      </c>
      <c r="AW8270" t="s">
        <v>46840</v>
      </c>
      <c r="AX8270" t="s">
        <v>46897</v>
      </c>
    </row>
    <row r="8271" spans="1:50">
      <c r="A8271" s="1">
        <f>HYPERLINK("https://lsnyc.legalserver.org/matter/dynamic-profile/view/1900983","19-1900983")</f>
        <v>0</v>
      </c>
      <c r="B8271" t="s">
        <v>157</v>
      </c>
      <c r="C8271" t="s">
        <v>341</v>
      </c>
      <c r="D8271" t="s">
        <v>825</v>
      </c>
      <c r="E8271" t="s">
        <v>797</v>
      </c>
      <c r="F8271" t="s">
        <v>871</v>
      </c>
      <c r="G8271" t="s">
        <v>7480</v>
      </c>
      <c r="H8271" t="s">
        <v>15276</v>
      </c>
      <c r="I8271" t="s">
        <v>17939</v>
      </c>
      <c r="J8271" t="s">
        <v>18893</v>
      </c>
      <c r="K8271">
        <v>10032</v>
      </c>
      <c r="L8271" t="s">
        <v>18958</v>
      </c>
      <c r="M8271" t="s">
        <v>18960</v>
      </c>
      <c r="P8271" t="s">
        <v>26564</v>
      </c>
      <c r="Q8271" t="s">
        <v>26570</v>
      </c>
      <c r="R8271" t="s">
        <v>26578</v>
      </c>
      <c r="S8271" t="s">
        <v>18959</v>
      </c>
      <c r="U8271" t="s">
        <v>26604</v>
      </c>
      <c r="W8271" t="s">
        <v>825</v>
      </c>
      <c r="X8271">
        <v>750.87</v>
      </c>
      <c r="Y8271" t="s">
        <v>26651</v>
      </c>
      <c r="Z8271" t="s">
        <v>26661</v>
      </c>
      <c r="AA8271" t="s">
        <v>26683</v>
      </c>
      <c r="AB8271" t="s">
        <v>29976</v>
      </c>
      <c r="AD8271" t="s">
        <v>43269</v>
      </c>
      <c r="AE8271">
        <v>219</v>
      </c>
      <c r="AF8271" t="s">
        <v>45541</v>
      </c>
      <c r="AG8271" t="s">
        <v>19330</v>
      </c>
      <c r="AH8271">
        <v>8</v>
      </c>
      <c r="AI8271">
        <v>2</v>
      </c>
      <c r="AJ8271">
        <v>0</v>
      </c>
      <c r="AK8271">
        <v>189.24</v>
      </c>
      <c r="AN8271" t="s">
        <v>45581</v>
      </c>
      <c r="AO8271">
        <v>32000</v>
      </c>
      <c r="AU8271">
        <v>1</v>
      </c>
      <c r="AV8271" t="s">
        <v>809</v>
      </c>
      <c r="AW8271" t="s">
        <v>46840</v>
      </c>
      <c r="AX8271" t="s">
        <v>46897</v>
      </c>
    </row>
    <row r="8272" spans="1:50">
      <c r="A8272" s="1">
        <f>HYPERLINK("https://lsnyc.legalserver.org/matter/dynamic-profile/view/1900977","19-1900977")</f>
        <v>0</v>
      </c>
      <c r="B8272" t="s">
        <v>157</v>
      </c>
      <c r="C8272" t="s">
        <v>341</v>
      </c>
      <c r="D8272" t="s">
        <v>825</v>
      </c>
      <c r="E8272" t="s">
        <v>797</v>
      </c>
      <c r="F8272" t="s">
        <v>4218</v>
      </c>
      <c r="G8272" t="s">
        <v>5385</v>
      </c>
      <c r="H8272" t="s">
        <v>10467</v>
      </c>
      <c r="I8272" t="s">
        <v>17301</v>
      </c>
      <c r="J8272" t="s">
        <v>18893</v>
      </c>
      <c r="K8272">
        <v>10032</v>
      </c>
      <c r="L8272" t="s">
        <v>18958</v>
      </c>
      <c r="M8272" t="s">
        <v>18960</v>
      </c>
      <c r="P8272" t="s">
        <v>26564</v>
      </c>
      <c r="Q8272" t="s">
        <v>26570</v>
      </c>
      <c r="R8272" t="s">
        <v>26578</v>
      </c>
      <c r="S8272" t="s">
        <v>18959</v>
      </c>
      <c r="U8272" t="s">
        <v>26604</v>
      </c>
      <c r="W8272" t="s">
        <v>825</v>
      </c>
      <c r="X8272">
        <v>1381.42</v>
      </c>
      <c r="Y8272" t="s">
        <v>26651</v>
      </c>
      <c r="Z8272" t="s">
        <v>26661</v>
      </c>
      <c r="AA8272" t="s">
        <v>26683</v>
      </c>
      <c r="AB8272" t="s">
        <v>32746</v>
      </c>
      <c r="AD8272" t="s">
        <v>43270</v>
      </c>
      <c r="AE8272">
        <v>54</v>
      </c>
      <c r="AF8272" t="s">
        <v>45541</v>
      </c>
      <c r="AG8272" t="s">
        <v>19330</v>
      </c>
      <c r="AH8272">
        <v>35</v>
      </c>
      <c r="AI8272">
        <v>1</v>
      </c>
      <c r="AJ8272">
        <v>0</v>
      </c>
      <c r="AK8272">
        <v>360.29</v>
      </c>
      <c r="AN8272" t="s">
        <v>45581</v>
      </c>
      <c r="AO8272">
        <v>45000</v>
      </c>
      <c r="AU8272">
        <v>1</v>
      </c>
      <c r="AV8272" t="s">
        <v>809</v>
      </c>
      <c r="AW8272" t="s">
        <v>46840</v>
      </c>
      <c r="AX8272" t="s">
        <v>46897</v>
      </c>
    </row>
    <row r="8273" spans="1:50">
      <c r="A8273" s="1">
        <f>HYPERLINK("https://lsnyc.legalserver.org/matter/dynamic-profile/view/1901004","19-1901004")</f>
        <v>0</v>
      </c>
      <c r="B8273" t="s">
        <v>260</v>
      </c>
      <c r="C8273" t="s">
        <v>340</v>
      </c>
      <c r="D8273" t="s">
        <v>825</v>
      </c>
      <c r="F8273" t="s">
        <v>992</v>
      </c>
      <c r="G8273" t="s">
        <v>5179</v>
      </c>
      <c r="H8273" t="s">
        <v>9757</v>
      </c>
      <c r="I8273" t="s">
        <v>17355</v>
      </c>
      <c r="J8273" t="s">
        <v>18893</v>
      </c>
      <c r="K8273">
        <v>10034</v>
      </c>
      <c r="L8273" t="s">
        <v>18958</v>
      </c>
      <c r="M8273" t="s">
        <v>18960</v>
      </c>
      <c r="P8273" t="s">
        <v>26565</v>
      </c>
      <c r="R8273" t="s">
        <v>26578</v>
      </c>
      <c r="S8273" t="s">
        <v>18959</v>
      </c>
      <c r="U8273" t="s">
        <v>26604</v>
      </c>
      <c r="W8273" t="s">
        <v>825</v>
      </c>
      <c r="X8273">
        <v>703.4</v>
      </c>
      <c r="Y8273" t="s">
        <v>26651</v>
      </c>
      <c r="Z8273" t="s">
        <v>26661</v>
      </c>
      <c r="AB8273" t="s">
        <v>26835</v>
      </c>
      <c r="AC8273" t="s">
        <v>36490</v>
      </c>
      <c r="AD8273" t="s">
        <v>43271</v>
      </c>
      <c r="AE8273">
        <v>67</v>
      </c>
      <c r="AF8273" t="s">
        <v>45541</v>
      </c>
      <c r="AG8273" t="s">
        <v>19330</v>
      </c>
      <c r="AH8273">
        <v>19</v>
      </c>
      <c r="AI8273">
        <v>1</v>
      </c>
      <c r="AJ8273">
        <v>0</v>
      </c>
      <c r="AK8273">
        <v>160.13</v>
      </c>
      <c r="AN8273" t="s">
        <v>7439</v>
      </c>
      <c r="AO8273">
        <v>20000</v>
      </c>
      <c r="AU8273">
        <v>2.4</v>
      </c>
      <c r="AV8273" t="s">
        <v>838</v>
      </c>
      <c r="AW8273" t="s">
        <v>46840</v>
      </c>
      <c r="AX8273" t="s">
        <v>46897</v>
      </c>
    </row>
    <row r="8274" spans="1:50">
      <c r="A8274" s="1">
        <f>HYPERLINK("https://lsnyc.legalserver.org/matter/dynamic-profile/view/1901030","19-1901030")</f>
        <v>0</v>
      </c>
      <c r="B8274" t="s">
        <v>165</v>
      </c>
      <c r="C8274" t="s">
        <v>340</v>
      </c>
      <c r="D8274" t="s">
        <v>825</v>
      </c>
      <c r="F8274" t="s">
        <v>3436</v>
      </c>
      <c r="G8274" t="s">
        <v>8630</v>
      </c>
      <c r="H8274" t="s">
        <v>15277</v>
      </c>
      <c r="I8274" t="s">
        <v>17352</v>
      </c>
      <c r="J8274" t="s">
        <v>18893</v>
      </c>
      <c r="K8274">
        <v>10026</v>
      </c>
      <c r="L8274" t="s">
        <v>18958</v>
      </c>
      <c r="M8274" t="s">
        <v>18960</v>
      </c>
      <c r="N8274" t="s">
        <v>24905</v>
      </c>
      <c r="O8274" t="s">
        <v>26523</v>
      </c>
      <c r="P8274" t="s">
        <v>26560</v>
      </c>
      <c r="R8274" t="s">
        <v>26580</v>
      </c>
      <c r="S8274" t="s">
        <v>18959</v>
      </c>
      <c r="U8274" t="s">
        <v>26604</v>
      </c>
      <c r="W8274" t="s">
        <v>825</v>
      </c>
      <c r="X8274">
        <v>780.3200000000001</v>
      </c>
      <c r="Y8274" t="s">
        <v>26651</v>
      </c>
      <c r="Z8274" t="s">
        <v>26668</v>
      </c>
      <c r="AB8274" t="s">
        <v>32747</v>
      </c>
      <c r="AD8274" t="s">
        <v>43272</v>
      </c>
      <c r="AE8274">
        <v>0</v>
      </c>
      <c r="AF8274" t="s">
        <v>45541</v>
      </c>
      <c r="AG8274" t="s">
        <v>45559</v>
      </c>
      <c r="AH8274">
        <v>11</v>
      </c>
      <c r="AI8274">
        <v>1</v>
      </c>
      <c r="AJ8274">
        <v>0</v>
      </c>
      <c r="AK8274">
        <v>262.64</v>
      </c>
      <c r="AL8274" t="s">
        <v>720</v>
      </c>
      <c r="AM8274" t="s">
        <v>45575</v>
      </c>
      <c r="AN8274" t="s">
        <v>7439</v>
      </c>
      <c r="AO8274">
        <v>32804.28</v>
      </c>
      <c r="AU8274">
        <v>2.2</v>
      </c>
      <c r="AV8274" t="s">
        <v>828</v>
      </c>
      <c r="AW8274" t="s">
        <v>46875</v>
      </c>
      <c r="AX8274" t="s">
        <v>46897</v>
      </c>
    </row>
    <row r="8275" spans="1:50">
      <c r="A8275" s="1">
        <f>HYPERLINK("https://lsnyc.legalserver.org/matter/dynamic-profile/view/1900949","19-1900949")</f>
        <v>0</v>
      </c>
      <c r="B8275" t="s">
        <v>77</v>
      </c>
      <c r="C8275" t="s">
        <v>340</v>
      </c>
      <c r="D8275" t="s">
        <v>825</v>
      </c>
      <c r="F8275" t="s">
        <v>2812</v>
      </c>
      <c r="G8275" t="s">
        <v>1000</v>
      </c>
      <c r="H8275" t="s">
        <v>15278</v>
      </c>
      <c r="I8275" t="s">
        <v>17277</v>
      </c>
      <c r="J8275" t="s">
        <v>18893</v>
      </c>
      <c r="K8275">
        <v>10027</v>
      </c>
      <c r="L8275" t="s">
        <v>18958</v>
      </c>
      <c r="M8275" t="s">
        <v>18960</v>
      </c>
      <c r="N8275" t="s">
        <v>24906</v>
      </c>
      <c r="O8275" t="s">
        <v>26524</v>
      </c>
      <c r="P8275" t="s">
        <v>26560</v>
      </c>
      <c r="R8275" t="s">
        <v>26580</v>
      </c>
      <c r="S8275" t="s">
        <v>18959</v>
      </c>
      <c r="U8275" t="s">
        <v>26604</v>
      </c>
      <c r="W8275" t="s">
        <v>825</v>
      </c>
      <c r="X8275">
        <v>798.42</v>
      </c>
      <c r="Y8275" t="s">
        <v>26651</v>
      </c>
      <c r="Z8275" t="s">
        <v>26668</v>
      </c>
      <c r="AB8275" t="s">
        <v>32748</v>
      </c>
      <c r="AD8275" t="s">
        <v>43273</v>
      </c>
      <c r="AE8275">
        <v>0</v>
      </c>
      <c r="AF8275" t="s">
        <v>45541</v>
      </c>
      <c r="AG8275" t="s">
        <v>26530</v>
      </c>
      <c r="AH8275">
        <v>1</v>
      </c>
      <c r="AI8275">
        <v>1</v>
      </c>
      <c r="AJ8275">
        <v>0</v>
      </c>
      <c r="AK8275">
        <v>0</v>
      </c>
      <c r="AN8275" t="s">
        <v>7439</v>
      </c>
      <c r="AO8275">
        <v>0</v>
      </c>
      <c r="AU8275">
        <v>4.2</v>
      </c>
      <c r="AV8275" t="s">
        <v>831</v>
      </c>
      <c r="AW8275" t="s">
        <v>46875</v>
      </c>
      <c r="AX8275" t="s">
        <v>46897</v>
      </c>
    </row>
    <row r="8276" spans="1:50">
      <c r="A8276" s="1">
        <f>HYPERLINK("https://lsnyc.legalserver.org/matter/dynamic-profile/view/1900958","19-1900958")</f>
        <v>0</v>
      </c>
      <c r="B8276" t="s">
        <v>109</v>
      </c>
      <c r="C8276" t="s">
        <v>340</v>
      </c>
      <c r="D8276" t="s">
        <v>825</v>
      </c>
      <c r="F8276" t="s">
        <v>1261</v>
      </c>
      <c r="G8276" t="s">
        <v>5446</v>
      </c>
      <c r="H8276" t="s">
        <v>15279</v>
      </c>
      <c r="J8276" t="s">
        <v>18902</v>
      </c>
      <c r="K8276">
        <v>10303</v>
      </c>
      <c r="L8276" t="s">
        <v>18958</v>
      </c>
      <c r="M8276" t="s">
        <v>18960</v>
      </c>
      <c r="N8276" t="s">
        <v>24907</v>
      </c>
      <c r="O8276" t="s">
        <v>26524</v>
      </c>
      <c r="R8276" t="s">
        <v>26590</v>
      </c>
      <c r="U8276" t="s">
        <v>26604</v>
      </c>
      <c r="V8276" t="s">
        <v>26610</v>
      </c>
      <c r="W8276" t="s">
        <v>825</v>
      </c>
      <c r="X8276">
        <v>1800</v>
      </c>
      <c r="Y8276" t="s">
        <v>26654</v>
      </c>
      <c r="Z8276" t="s">
        <v>26659</v>
      </c>
      <c r="AB8276" t="s">
        <v>27177</v>
      </c>
      <c r="AD8276" t="s">
        <v>37254</v>
      </c>
      <c r="AE8276">
        <v>0</v>
      </c>
      <c r="AG8276" t="s">
        <v>19330</v>
      </c>
      <c r="AH8276">
        <v>27</v>
      </c>
      <c r="AI8276">
        <v>1</v>
      </c>
      <c r="AJ8276">
        <v>0</v>
      </c>
      <c r="AK8276">
        <v>33.63</v>
      </c>
      <c r="AN8276" t="s">
        <v>7439</v>
      </c>
      <c r="AO8276">
        <v>4200</v>
      </c>
      <c r="AU8276">
        <v>0</v>
      </c>
      <c r="AW8276" t="s">
        <v>46883</v>
      </c>
      <c r="AX8276" t="s">
        <v>46897</v>
      </c>
    </row>
    <row r="8277" spans="1:50">
      <c r="A8277" s="1">
        <f>HYPERLINK("https://lsnyc.legalserver.org/matter/dynamic-profile/view/1901042","19-1901042")</f>
        <v>0</v>
      </c>
      <c r="B8277" t="s">
        <v>84</v>
      </c>
      <c r="C8277" t="s">
        <v>340</v>
      </c>
      <c r="D8277" t="s">
        <v>825</v>
      </c>
      <c r="F8277" t="s">
        <v>4219</v>
      </c>
      <c r="G8277" t="s">
        <v>8631</v>
      </c>
      <c r="H8277" t="s">
        <v>14704</v>
      </c>
      <c r="I8277" t="s">
        <v>17442</v>
      </c>
      <c r="J8277" t="s">
        <v>18893</v>
      </c>
      <c r="K8277">
        <v>10026</v>
      </c>
      <c r="L8277" t="s">
        <v>18958</v>
      </c>
      <c r="M8277" t="s">
        <v>18960</v>
      </c>
      <c r="N8277" t="s">
        <v>24908</v>
      </c>
      <c r="O8277" t="s">
        <v>26523</v>
      </c>
      <c r="P8277" t="s">
        <v>26560</v>
      </c>
      <c r="R8277" t="s">
        <v>26580</v>
      </c>
      <c r="S8277" t="s">
        <v>18959</v>
      </c>
      <c r="U8277" t="s">
        <v>26605</v>
      </c>
      <c r="W8277" t="s">
        <v>825</v>
      </c>
      <c r="X8277">
        <v>400</v>
      </c>
      <c r="Y8277" t="s">
        <v>26651</v>
      </c>
      <c r="Z8277" t="s">
        <v>26664</v>
      </c>
      <c r="AB8277" t="s">
        <v>28907</v>
      </c>
      <c r="AD8277" t="s">
        <v>43274</v>
      </c>
      <c r="AE8277">
        <v>0</v>
      </c>
      <c r="AF8277" t="s">
        <v>45549</v>
      </c>
      <c r="AG8277" t="s">
        <v>19330</v>
      </c>
      <c r="AH8277">
        <v>5</v>
      </c>
      <c r="AI8277">
        <v>1</v>
      </c>
      <c r="AJ8277">
        <v>3</v>
      </c>
      <c r="AK8277">
        <v>38.83</v>
      </c>
      <c r="AN8277" t="s">
        <v>7439</v>
      </c>
      <c r="AO8277">
        <v>10000</v>
      </c>
      <c r="AU8277">
        <v>3.2</v>
      </c>
      <c r="AV8277" t="s">
        <v>834</v>
      </c>
      <c r="AW8277" t="s">
        <v>46875</v>
      </c>
      <c r="AX8277" t="s">
        <v>46897</v>
      </c>
    </row>
    <row r="8278" spans="1:50">
      <c r="A8278" s="1">
        <f>HYPERLINK("https://lsnyc.legalserver.org/matter/dynamic-profile/view/1901019","19-1901019")</f>
        <v>0</v>
      </c>
      <c r="B8278" t="s">
        <v>72</v>
      </c>
      <c r="C8278" t="s">
        <v>340</v>
      </c>
      <c r="D8278" t="s">
        <v>825</v>
      </c>
      <c r="F8278" t="s">
        <v>4220</v>
      </c>
      <c r="G8278" t="s">
        <v>5208</v>
      </c>
      <c r="H8278" t="s">
        <v>12042</v>
      </c>
      <c r="I8278" t="s">
        <v>17424</v>
      </c>
      <c r="J8278" t="s">
        <v>18893</v>
      </c>
      <c r="K8278">
        <v>10034</v>
      </c>
      <c r="L8278" t="s">
        <v>18958</v>
      </c>
      <c r="M8278" t="s">
        <v>18960</v>
      </c>
      <c r="P8278" t="s">
        <v>26562</v>
      </c>
      <c r="R8278" t="s">
        <v>26578</v>
      </c>
      <c r="S8278" t="s">
        <v>18959</v>
      </c>
      <c r="U8278" t="s">
        <v>26604</v>
      </c>
      <c r="W8278" t="s">
        <v>825</v>
      </c>
      <c r="X8278">
        <v>1695</v>
      </c>
      <c r="Y8278" t="s">
        <v>26651</v>
      </c>
      <c r="Z8278" t="s">
        <v>26659</v>
      </c>
      <c r="AB8278" t="s">
        <v>29770</v>
      </c>
      <c r="AE8278">
        <v>44</v>
      </c>
      <c r="AF8278" t="s">
        <v>45541</v>
      </c>
      <c r="AG8278" t="s">
        <v>19330</v>
      </c>
      <c r="AH8278">
        <v>7</v>
      </c>
      <c r="AI8278">
        <v>1</v>
      </c>
      <c r="AJ8278">
        <v>0</v>
      </c>
      <c r="AK8278">
        <v>179.18</v>
      </c>
      <c r="AN8278" t="s">
        <v>45581</v>
      </c>
      <c r="AO8278">
        <v>22380</v>
      </c>
      <c r="AU8278">
        <v>13</v>
      </c>
      <c r="AV8278" t="s">
        <v>838</v>
      </c>
      <c r="AW8278" t="s">
        <v>46840</v>
      </c>
      <c r="AX8278" t="s">
        <v>46897</v>
      </c>
    </row>
    <row r="8279" spans="1:50">
      <c r="A8279" s="1">
        <f>HYPERLINK("https://lsnyc.legalserver.org/matter/dynamic-profile/view/1900968","19-1900968")</f>
        <v>0</v>
      </c>
      <c r="B8279" t="s">
        <v>214</v>
      </c>
      <c r="C8279" t="s">
        <v>340</v>
      </c>
      <c r="D8279" t="s">
        <v>825</v>
      </c>
      <c r="F8279" t="s">
        <v>1081</v>
      </c>
      <c r="G8279" t="s">
        <v>8632</v>
      </c>
      <c r="H8279" t="s">
        <v>15280</v>
      </c>
      <c r="I8279" t="s">
        <v>17331</v>
      </c>
      <c r="J8279" t="s">
        <v>18899</v>
      </c>
      <c r="K8279">
        <v>11385</v>
      </c>
      <c r="L8279" t="s">
        <v>18958</v>
      </c>
      <c r="M8279" t="s">
        <v>18960</v>
      </c>
      <c r="N8279" t="s">
        <v>24909</v>
      </c>
      <c r="O8279" t="s">
        <v>26524</v>
      </c>
      <c r="P8279" t="s">
        <v>26560</v>
      </c>
      <c r="R8279" t="s">
        <v>26585</v>
      </c>
      <c r="S8279" t="s">
        <v>18959</v>
      </c>
      <c r="U8279" t="s">
        <v>26604</v>
      </c>
      <c r="V8279" t="s">
        <v>26611</v>
      </c>
      <c r="W8279" t="s">
        <v>825</v>
      </c>
      <c r="X8279">
        <v>550</v>
      </c>
      <c r="Y8279" t="s">
        <v>26653</v>
      </c>
      <c r="Z8279" t="s">
        <v>26664</v>
      </c>
      <c r="AB8279" t="s">
        <v>32749</v>
      </c>
      <c r="AC8279" t="s">
        <v>36491</v>
      </c>
      <c r="AD8279" t="s">
        <v>43275</v>
      </c>
      <c r="AE8279">
        <v>5</v>
      </c>
      <c r="AF8279" t="s">
        <v>45547</v>
      </c>
      <c r="AG8279" t="s">
        <v>19330</v>
      </c>
      <c r="AH8279">
        <v>35</v>
      </c>
      <c r="AI8279">
        <v>1</v>
      </c>
      <c r="AJ8279">
        <v>0</v>
      </c>
      <c r="AK8279">
        <v>52.84</v>
      </c>
      <c r="AN8279" t="s">
        <v>7439</v>
      </c>
      <c r="AO8279">
        <v>6600</v>
      </c>
      <c r="AU8279">
        <v>5.3</v>
      </c>
      <c r="AV8279" t="s">
        <v>836</v>
      </c>
      <c r="AW8279" t="s">
        <v>208</v>
      </c>
      <c r="AX8279" t="s">
        <v>46897</v>
      </c>
    </row>
    <row r="8280" spans="1:50">
      <c r="A8280" s="1">
        <f>HYPERLINK("https://lsnyc.legalserver.org/matter/dynamic-profile/view/1900991","19-1900991")</f>
        <v>0</v>
      </c>
      <c r="B8280" t="s">
        <v>159</v>
      </c>
      <c r="C8280" t="s">
        <v>340</v>
      </c>
      <c r="D8280" t="s">
        <v>825</v>
      </c>
      <c r="F8280" t="s">
        <v>4221</v>
      </c>
      <c r="G8280" t="s">
        <v>8633</v>
      </c>
      <c r="H8280" t="s">
        <v>15281</v>
      </c>
      <c r="I8280" t="s">
        <v>18051</v>
      </c>
      <c r="J8280" t="s">
        <v>18900</v>
      </c>
      <c r="K8280">
        <v>11367</v>
      </c>
      <c r="L8280" t="s">
        <v>18958</v>
      </c>
      <c r="M8280" t="s">
        <v>18960</v>
      </c>
      <c r="N8280" t="s">
        <v>24910</v>
      </c>
      <c r="O8280" t="s">
        <v>26524</v>
      </c>
      <c r="P8280" t="s">
        <v>26564</v>
      </c>
      <c r="R8280" t="s">
        <v>26584</v>
      </c>
      <c r="S8280" t="s">
        <v>18959</v>
      </c>
      <c r="U8280" t="s">
        <v>26604</v>
      </c>
      <c r="V8280" t="s">
        <v>26610</v>
      </c>
      <c r="W8280" t="s">
        <v>825</v>
      </c>
      <c r="X8280">
        <v>1600</v>
      </c>
      <c r="Y8280" t="s">
        <v>26653</v>
      </c>
      <c r="Z8280" t="s">
        <v>26664</v>
      </c>
      <c r="AB8280" t="s">
        <v>29592</v>
      </c>
      <c r="AC8280" t="s">
        <v>36492</v>
      </c>
      <c r="AD8280" t="s">
        <v>43276</v>
      </c>
      <c r="AE8280">
        <v>2</v>
      </c>
      <c r="AF8280" t="s">
        <v>45547</v>
      </c>
      <c r="AG8280" t="s">
        <v>45557</v>
      </c>
      <c r="AH8280">
        <v>6</v>
      </c>
      <c r="AI8280">
        <v>1</v>
      </c>
      <c r="AJ8280">
        <v>2</v>
      </c>
      <c r="AK8280">
        <v>89.08</v>
      </c>
      <c r="AN8280" t="s">
        <v>45593</v>
      </c>
      <c r="AO8280">
        <v>19000</v>
      </c>
      <c r="AU8280">
        <v>1.2</v>
      </c>
      <c r="AV8280" t="s">
        <v>825</v>
      </c>
      <c r="AW8280" t="s">
        <v>159</v>
      </c>
      <c r="AX8280" t="s">
        <v>46897</v>
      </c>
    </row>
    <row r="8281" spans="1:50">
      <c r="A8281" s="1">
        <f>HYPERLINK("https://lsnyc.legalserver.org/matter/dynamic-profile/view/1901055","19-1901055")</f>
        <v>0</v>
      </c>
      <c r="B8281" t="s">
        <v>213</v>
      </c>
      <c r="C8281" t="s">
        <v>340</v>
      </c>
      <c r="D8281" t="s">
        <v>825</v>
      </c>
      <c r="F8281" t="s">
        <v>1450</v>
      </c>
      <c r="G8281" t="s">
        <v>5100</v>
      </c>
      <c r="H8281" t="s">
        <v>15282</v>
      </c>
      <c r="I8281">
        <v>110</v>
      </c>
      <c r="J8281" t="s">
        <v>18892</v>
      </c>
      <c r="K8281">
        <v>10467</v>
      </c>
      <c r="L8281" t="s">
        <v>18958</v>
      </c>
      <c r="M8281" t="s">
        <v>18960</v>
      </c>
      <c r="N8281" t="s">
        <v>24048</v>
      </c>
      <c r="O8281" t="s">
        <v>26523</v>
      </c>
      <c r="P8281" t="s">
        <v>26560</v>
      </c>
      <c r="R8281" t="s">
        <v>26579</v>
      </c>
      <c r="S8281" t="s">
        <v>18959</v>
      </c>
      <c r="U8281" t="s">
        <v>26604</v>
      </c>
      <c r="V8281" t="s">
        <v>26610</v>
      </c>
      <c r="W8281" t="s">
        <v>825</v>
      </c>
      <c r="X8281">
        <v>1560</v>
      </c>
      <c r="Y8281" t="s">
        <v>26650</v>
      </c>
      <c r="Z8281" t="s">
        <v>26668</v>
      </c>
      <c r="AB8281" t="s">
        <v>27218</v>
      </c>
      <c r="AC8281" t="s">
        <v>36493</v>
      </c>
      <c r="AD8281" t="s">
        <v>43277</v>
      </c>
      <c r="AE8281">
        <v>92</v>
      </c>
      <c r="AF8281" t="s">
        <v>45541</v>
      </c>
      <c r="AG8281" t="s">
        <v>45561</v>
      </c>
      <c r="AH8281">
        <v>10</v>
      </c>
      <c r="AI8281">
        <v>2</v>
      </c>
      <c r="AJ8281">
        <v>0</v>
      </c>
      <c r="AK8281">
        <v>90.89</v>
      </c>
      <c r="AN8281" t="s">
        <v>7439</v>
      </c>
      <c r="AO8281">
        <v>15370</v>
      </c>
      <c r="AU8281">
        <v>2</v>
      </c>
      <c r="AV8281" t="s">
        <v>839</v>
      </c>
      <c r="AW8281" t="s">
        <v>329</v>
      </c>
      <c r="AX8281" t="s">
        <v>46898</v>
      </c>
    </row>
    <row r="8282" spans="1:50">
      <c r="A8282" s="1">
        <f>HYPERLINK("https://lsnyc.legalserver.org/matter/dynamic-profile/view/1900995","19-1900995")</f>
        <v>0</v>
      </c>
      <c r="B8282" t="s">
        <v>142</v>
      </c>
      <c r="C8282" t="s">
        <v>340</v>
      </c>
      <c r="D8282" t="s">
        <v>825</v>
      </c>
      <c r="F8282" t="s">
        <v>4222</v>
      </c>
      <c r="G8282" t="s">
        <v>8634</v>
      </c>
      <c r="H8282" t="s">
        <v>15283</v>
      </c>
      <c r="I8282" t="s">
        <v>17491</v>
      </c>
      <c r="J8282" t="s">
        <v>18920</v>
      </c>
      <c r="K8282">
        <v>11370</v>
      </c>
      <c r="L8282" t="s">
        <v>18958</v>
      </c>
      <c r="M8282" t="s">
        <v>18960</v>
      </c>
      <c r="N8282" t="s">
        <v>24911</v>
      </c>
      <c r="O8282" t="s">
        <v>26524</v>
      </c>
      <c r="P8282" t="s">
        <v>26563</v>
      </c>
      <c r="R8282" t="s">
        <v>26584</v>
      </c>
      <c r="S8282" t="s">
        <v>18959</v>
      </c>
      <c r="U8282" t="s">
        <v>26604</v>
      </c>
      <c r="V8282" t="s">
        <v>26610</v>
      </c>
      <c r="W8282" t="s">
        <v>825</v>
      </c>
      <c r="X8282">
        <v>1500</v>
      </c>
      <c r="Y8282" t="s">
        <v>26653</v>
      </c>
      <c r="Z8282" t="s">
        <v>26664</v>
      </c>
      <c r="AB8282" t="s">
        <v>27090</v>
      </c>
      <c r="AC8282" t="s">
        <v>36494</v>
      </c>
      <c r="AD8282" t="s">
        <v>43278</v>
      </c>
      <c r="AE8282">
        <v>3</v>
      </c>
      <c r="AF8282" t="s">
        <v>20460</v>
      </c>
      <c r="AG8282" t="s">
        <v>19330</v>
      </c>
      <c r="AH8282">
        <v>-1</v>
      </c>
      <c r="AI8282">
        <v>1</v>
      </c>
      <c r="AJ8282">
        <v>3</v>
      </c>
      <c r="AK8282">
        <v>13.98</v>
      </c>
      <c r="AN8282" t="s">
        <v>45603</v>
      </c>
      <c r="AO8282">
        <v>3600</v>
      </c>
      <c r="AU8282">
        <v>1.5</v>
      </c>
      <c r="AV8282" t="s">
        <v>826</v>
      </c>
      <c r="AW8282" t="s">
        <v>208</v>
      </c>
      <c r="AX8282" t="s">
        <v>46897</v>
      </c>
    </row>
    <row r="8283" spans="1:50">
      <c r="A8283" s="1">
        <f>HYPERLINK("https://lsnyc.legalserver.org/matter/dynamic-profile/view/1901001","19-1901001")</f>
        <v>0</v>
      </c>
      <c r="B8283" t="s">
        <v>142</v>
      </c>
      <c r="C8283" t="s">
        <v>340</v>
      </c>
      <c r="D8283" t="s">
        <v>825</v>
      </c>
      <c r="F8283" t="s">
        <v>2111</v>
      </c>
      <c r="G8283" t="s">
        <v>2267</v>
      </c>
      <c r="H8283" t="s">
        <v>15284</v>
      </c>
      <c r="I8283" t="s">
        <v>17299</v>
      </c>
      <c r="J8283" t="s">
        <v>18900</v>
      </c>
      <c r="K8283">
        <v>11355</v>
      </c>
      <c r="L8283" t="s">
        <v>18958</v>
      </c>
      <c r="M8283" t="s">
        <v>18960</v>
      </c>
      <c r="N8283" t="s">
        <v>24912</v>
      </c>
      <c r="O8283" t="s">
        <v>26523</v>
      </c>
      <c r="P8283" t="s">
        <v>26560</v>
      </c>
      <c r="R8283" t="s">
        <v>26584</v>
      </c>
      <c r="S8283" t="s">
        <v>18959</v>
      </c>
      <c r="U8283" t="s">
        <v>26604</v>
      </c>
      <c r="V8283" t="s">
        <v>26612</v>
      </c>
      <c r="W8283" t="s">
        <v>825</v>
      </c>
      <c r="X8283">
        <v>1085.21</v>
      </c>
      <c r="Y8283" t="s">
        <v>26653</v>
      </c>
      <c r="Z8283" t="s">
        <v>26664</v>
      </c>
      <c r="AB8283" t="s">
        <v>32750</v>
      </c>
      <c r="AC8283" t="s">
        <v>36495</v>
      </c>
      <c r="AD8283" t="s">
        <v>43279</v>
      </c>
      <c r="AE8283">
        <v>126</v>
      </c>
      <c r="AF8283" t="s">
        <v>45541</v>
      </c>
      <c r="AG8283" t="s">
        <v>45559</v>
      </c>
      <c r="AH8283">
        <v>41</v>
      </c>
      <c r="AI8283">
        <v>3</v>
      </c>
      <c r="AJ8283">
        <v>1</v>
      </c>
      <c r="AK8283">
        <v>72.11</v>
      </c>
      <c r="AN8283" t="s">
        <v>7439</v>
      </c>
      <c r="AO8283">
        <v>18567.6</v>
      </c>
      <c r="AU8283">
        <v>1.6</v>
      </c>
      <c r="AV8283" t="s">
        <v>825</v>
      </c>
      <c r="AW8283" t="s">
        <v>46846</v>
      </c>
      <c r="AX8283" t="s">
        <v>46897</v>
      </c>
    </row>
    <row r="8284" spans="1:50">
      <c r="A8284" s="1">
        <f>HYPERLINK("https://lsnyc.legalserver.org/matter/dynamic-profile/view/1900963","19-1900963")</f>
        <v>0</v>
      </c>
      <c r="B8284" t="s">
        <v>59</v>
      </c>
      <c r="C8284" t="s">
        <v>340</v>
      </c>
      <c r="D8284" t="s">
        <v>825</v>
      </c>
      <c r="F8284" t="s">
        <v>3016</v>
      </c>
      <c r="G8284" t="s">
        <v>1397</v>
      </c>
      <c r="H8284" t="s">
        <v>15285</v>
      </c>
      <c r="I8284" t="s">
        <v>18239</v>
      </c>
      <c r="J8284" t="s">
        <v>18893</v>
      </c>
      <c r="K8284">
        <v>10025</v>
      </c>
      <c r="L8284" t="s">
        <v>18958</v>
      </c>
      <c r="M8284" t="s">
        <v>18960</v>
      </c>
      <c r="N8284" t="s">
        <v>24913</v>
      </c>
      <c r="O8284" t="s">
        <v>26523</v>
      </c>
      <c r="P8284" t="s">
        <v>26560</v>
      </c>
      <c r="R8284" t="s">
        <v>26580</v>
      </c>
      <c r="S8284" t="s">
        <v>18959</v>
      </c>
      <c r="U8284" t="s">
        <v>26604</v>
      </c>
      <c r="W8284" t="s">
        <v>825</v>
      </c>
      <c r="X8284">
        <v>826</v>
      </c>
      <c r="Y8284" t="s">
        <v>26651</v>
      </c>
      <c r="Z8284" t="s">
        <v>26668</v>
      </c>
      <c r="AB8284" t="s">
        <v>32751</v>
      </c>
      <c r="AC8284" t="s">
        <v>36496</v>
      </c>
      <c r="AD8284" t="s">
        <v>43280</v>
      </c>
      <c r="AE8284">
        <v>0</v>
      </c>
      <c r="AF8284" t="s">
        <v>45541</v>
      </c>
      <c r="AG8284" t="s">
        <v>45556</v>
      </c>
      <c r="AH8284">
        <v>37</v>
      </c>
      <c r="AI8284">
        <v>1</v>
      </c>
      <c r="AJ8284">
        <v>0</v>
      </c>
      <c r="AK8284">
        <v>143.15</v>
      </c>
      <c r="AN8284" t="s">
        <v>7439</v>
      </c>
      <c r="AO8284">
        <v>17880</v>
      </c>
      <c r="AU8284">
        <v>1</v>
      </c>
      <c r="AV8284" t="s">
        <v>825</v>
      </c>
      <c r="AW8284" t="s">
        <v>46875</v>
      </c>
      <c r="AX8284" t="s">
        <v>46898</v>
      </c>
    </row>
    <row r="8285" spans="1:50">
      <c r="A8285" s="1">
        <f>HYPERLINK("https://lsnyc.legalserver.org/matter/dynamic-profile/view/1900987","19-1900987")</f>
        <v>0</v>
      </c>
      <c r="B8285" t="s">
        <v>157</v>
      </c>
      <c r="C8285" t="s">
        <v>340</v>
      </c>
      <c r="D8285" t="s">
        <v>825</v>
      </c>
      <c r="F8285" t="s">
        <v>945</v>
      </c>
      <c r="G8285" t="s">
        <v>8635</v>
      </c>
      <c r="H8285" t="s">
        <v>15286</v>
      </c>
      <c r="I8285" t="s">
        <v>18551</v>
      </c>
      <c r="J8285" t="s">
        <v>18893</v>
      </c>
      <c r="K8285">
        <v>10040</v>
      </c>
      <c r="L8285" t="s">
        <v>18958</v>
      </c>
      <c r="M8285" t="s">
        <v>18960</v>
      </c>
      <c r="N8285" t="s">
        <v>24914</v>
      </c>
      <c r="O8285" t="s">
        <v>26535</v>
      </c>
      <c r="P8285" t="s">
        <v>26564</v>
      </c>
      <c r="R8285" t="s">
        <v>26578</v>
      </c>
      <c r="S8285" t="s">
        <v>18959</v>
      </c>
      <c r="U8285" t="s">
        <v>26604</v>
      </c>
      <c r="W8285" t="s">
        <v>825</v>
      </c>
      <c r="X8285">
        <v>771</v>
      </c>
      <c r="Y8285" t="s">
        <v>26651</v>
      </c>
      <c r="Z8285" t="s">
        <v>26661</v>
      </c>
      <c r="AB8285" t="s">
        <v>32752</v>
      </c>
      <c r="AD8285" t="s">
        <v>43281</v>
      </c>
      <c r="AE8285">
        <v>169</v>
      </c>
      <c r="AF8285" t="s">
        <v>45550</v>
      </c>
      <c r="AG8285" t="s">
        <v>19330</v>
      </c>
      <c r="AH8285">
        <v>15</v>
      </c>
      <c r="AI8285">
        <v>1</v>
      </c>
      <c r="AJ8285">
        <v>0</v>
      </c>
      <c r="AK8285">
        <v>74.08</v>
      </c>
      <c r="AN8285" t="s">
        <v>7439</v>
      </c>
      <c r="AO8285">
        <v>9252</v>
      </c>
      <c r="AU8285">
        <v>1.8</v>
      </c>
      <c r="AV8285" t="s">
        <v>829</v>
      </c>
      <c r="AW8285" t="s">
        <v>46840</v>
      </c>
      <c r="AX8285" t="s">
        <v>46897</v>
      </c>
    </row>
    <row r="8286" spans="1:50">
      <c r="A8286" s="1">
        <f>HYPERLINK("https://lsnyc.legalserver.org/matter/dynamic-profile/view/1900993","19-1900993")</f>
        <v>0</v>
      </c>
      <c r="B8286" t="s">
        <v>157</v>
      </c>
      <c r="C8286" t="s">
        <v>340</v>
      </c>
      <c r="D8286" t="s">
        <v>825</v>
      </c>
      <c r="F8286" t="s">
        <v>1226</v>
      </c>
      <c r="G8286" t="s">
        <v>6816</v>
      </c>
      <c r="H8286" t="s">
        <v>12216</v>
      </c>
      <c r="I8286">
        <v>6</v>
      </c>
      <c r="J8286" t="s">
        <v>18893</v>
      </c>
      <c r="K8286">
        <v>10033</v>
      </c>
      <c r="L8286" t="s">
        <v>18958</v>
      </c>
      <c r="M8286" t="s">
        <v>18960</v>
      </c>
      <c r="N8286" t="s">
        <v>24915</v>
      </c>
      <c r="P8286" t="s">
        <v>26560</v>
      </c>
      <c r="R8286" t="s">
        <v>26578</v>
      </c>
      <c r="S8286" t="s">
        <v>18959</v>
      </c>
      <c r="U8286" t="s">
        <v>26604</v>
      </c>
      <c r="W8286" t="s">
        <v>825</v>
      </c>
      <c r="X8286">
        <v>163</v>
      </c>
      <c r="Y8286" t="s">
        <v>26651</v>
      </c>
      <c r="Z8286" t="s">
        <v>26661</v>
      </c>
      <c r="AB8286" t="s">
        <v>29496</v>
      </c>
      <c r="AD8286" t="s">
        <v>39563</v>
      </c>
      <c r="AE8286">
        <v>36</v>
      </c>
      <c r="AF8286" t="s">
        <v>45541</v>
      </c>
      <c r="AG8286" t="s">
        <v>19330</v>
      </c>
      <c r="AH8286">
        <v>22</v>
      </c>
      <c r="AI8286">
        <v>1</v>
      </c>
      <c r="AJ8286">
        <v>0</v>
      </c>
      <c r="AK8286">
        <v>79.55</v>
      </c>
      <c r="AN8286" t="s">
        <v>45581</v>
      </c>
      <c r="AO8286">
        <v>9936</v>
      </c>
      <c r="AU8286">
        <v>12.2</v>
      </c>
      <c r="AV8286" t="s">
        <v>821</v>
      </c>
      <c r="AW8286" t="s">
        <v>46840</v>
      </c>
      <c r="AX8286" t="s">
        <v>46897</v>
      </c>
    </row>
    <row r="8287" spans="1:50">
      <c r="A8287" s="1">
        <f>HYPERLINK("https://lsnyc.legalserver.org/matter/dynamic-profile/view/1883581","18-1883581")</f>
        <v>0</v>
      </c>
      <c r="B8287" t="s">
        <v>117</v>
      </c>
      <c r="C8287" t="s">
        <v>340</v>
      </c>
      <c r="D8287" t="s">
        <v>603</v>
      </c>
      <c r="F8287" t="s">
        <v>990</v>
      </c>
      <c r="G8287" t="s">
        <v>6185</v>
      </c>
      <c r="H8287" t="s">
        <v>12289</v>
      </c>
      <c r="I8287">
        <v>212</v>
      </c>
      <c r="J8287" t="s">
        <v>18894</v>
      </c>
      <c r="K8287">
        <v>11239</v>
      </c>
      <c r="L8287" t="s">
        <v>18958</v>
      </c>
      <c r="M8287" t="s">
        <v>18959</v>
      </c>
      <c r="N8287" t="s">
        <v>24916</v>
      </c>
      <c r="O8287" t="s">
        <v>26524</v>
      </c>
      <c r="P8287" t="s">
        <v>26560</v>
      </c>
      <c r="R8287" t="s">
        <v>26578</v>
      </c>
      <c r="S8287" t="s">
        <v>18959</v>
      </c>
      <c r="U8287" t="s">
        <v>26604</v>
      </c>
      <c r="V8287" t="s">
        <v>26610</v>
      </c>
      <c r="W8287" t="s">
        <v>797</v>
      </c>
      <c r="X8287">
        <v>745</v>
      </c>
      <c r="Y8287" t="s">
        <v>26652</v>
      </c>
      <c r="Z8287" t="s">
        <v>26661</v>
      </c>
      <c r="AB8287" t="s">
        <v>31545</v>
      </c>
      <c r="AC8287" t="s">
        <v>19330</v>
      </c>
      <c r="AD8287" t="s">
        <v>43282</v>
      </c>
      <c r="AE8287">
        <v>529</v>
      </c>
      <c r="AF8287" t="s">
        <v>45541</v>
      </c>
      <c r="AG8287" t="s">
        <v>19330</v>
      </c>
      <c r="AH8287">
        <v>1</v>
      </c>
      <c r="AI8287">
        <v>3</v>
      </c>
      <c r="AJ8287">
        <v>1</v>
      </c>
      <c r="AK8287">
        <v>120.72</v>
      </c>
      <c r="AN8287" t="s">
        <v>7439</v>
      </c>
      <c r="AO8287">
        <v>30300</v>
      </c>
      <c r="AU8287">
        <v>34.5</v>
      </c>
      <c r="AV8287" t="s">
        <v>831</v>
      </c>
      <c r="AW8287" t="s">
        <v>279</v>
      </c>
      <c r="AX8287" t="s">
        <v>46897</v>
      </c>
    </row>
    <row r="8288" spans="1:50">
      <c r="A8288" s="1">
        <f>HYPERLINK("https://lsnyc.legalserver.org/matter/dynamic-profile/view/1884304","18-1884304")</f>
        <v>0</v>
      </c>
      <c r="B8288" t="s">
        <v>200</v>
      </c>
      <c r="C8288" t="s">
        <v>340</v>
      </c>
      <c r="D8288" t="s">
        <v>675</v>
      </c>
      <c r="F8288" t="s">
        <v>3799</v>
      </c>
      <c r="G8288" t="s">
        <v>5086</v>
      </c>
      <c r="H8288" t="s">
        <v>15287</v>
      </c>
      <c r="I8288" t="s">
        <v>17478</v>
      </c>
      <c r="J8288" t="s">
        <v>18894</v>
      </c>
      <c r="K8288">
        <v>11212</v>
      </c>
      <c r="L8288" t="s">
        <v>18958</v>
      </c>
      <c r="M8288" t="s">
        <v>18958</v>
      </c>
      <c r="N8288" t="s">
        <v>18997</v>
      </c>
      <c r="O8288" t="s">
        <v>26529</v>
      </c>
      <c r="P8288" t="s">
        <v>26560</v>
      </c>
      <c r="R8288" t="s">
        <v>26578</v>
      </c>
      <c r="S8288" t="s">
        <v>18959</v>
      </c>
      <c r="U8288" t="s">
        <v>26604</v>
      </c>
      <c r="V8288" t="s">
        <v>26610</v>
      </c>
      <c r="W8288" t="s">
        <v>797</v>
      </c>
      <c r="X8288">
        <v>254</v>
      </c>
      <c r="Y8288" t="s">
        <v>26652</v>
      </c>
      <c r="Z8288" t="s">
        <v>26670</v>
      </c>
      <c r="AB8288" t="s">
        <v>27133</v>
      </c>
      <c r="AC8288" t="s">
        <v>36497</v>
      </c>
      <c r="AD8288" t="s">
        <v>43283</v>
      </c>
      <c r="AE8288">
        <v>162</v>
      </c>
      <c r="AF8288" t="s">
        <v>45544</v>
      </c>
      <c r="AG8288" t="s">
        <v>45563</v>
      </c>
      <c r="AH8288">
        <v>32</v>
      </c>
      <c r="AI8288">
        <v>1</v>
      </c>
      <c r="AJ8288">
        <v>2</v>
      </c>
      <c r="AK8288">
        <v>49.03</v>
      </c>
      <c r="AN8288" t="s">
        <v>7439</v>
      </c>
      <c r="AO8288">
        <v>10188</v>
      </c>
      <c r="AU8288">
        <v>34.4</v>
      </c>
      <c r="AV8288" t="s">
        <v>773</v>
      </c>
      <c r="AW8288" t="s">
        <v>279</v>
      </c>
      <c r="AX8288" t="s">
        <v>46897</v>
      </c>
    </row>
    <row r="8289" spans="1:50">
      <c r="A8289" s="1">
        <f>HYPERLINK("https://lsnyc.legalserver.org/matter/dynamic-profile/view/1887657","19-1887657")</f>
        <v>0</v>
      </c>
      <c r="B8289" t="s">
        <v>117</v>
      </c>
      <c r="C8289" t="s">
        <v>340</v>
      </c>
      <c r="D8289" t="s">
        <v>415</v>
      </c>
      <c r="F8289" t="s">
        <v>1072</v>
      </c>
      <c r="G8289" t="s">
        <v>8636</v>
      </c>
      <c r="H8289" t="s">
        <v>15288</v>
      </c>
      <c r="I8289" t="s">
        <v>17324</v>
      </c>
      <c r="J8289" t="s">
        <v>18894</v>
      </c>
      <c r="K8289">
        <v>11207</v>
      </c>
      <c r="L8289" t="s">
        <v>18959</v>
      </c>
      <c r="M8289" t="s">
        <v>18959</v>
      </c>
      <c r="N8289" t="s">
        <v>24917</v>
      </c>
      <c r="O8289" t="s">
        <v>26523</v>
      </c>
      <c r="P8289" t="s">
        <v>26560</v>
      </c>
      <c r="R8289" t="s">
        <v>26578</v>
      </c>
      <c r="S8289" t="s">
        <v>18959</v>
      </c>
      <c r="U8289" t="s">
        <v>26604</v>
      </c>
      <c r="V8289" t="s">
        <v>26612</v>
      </c>
      <c r="W8289" t="s">
        <v>797</v>
      </c>
      <c r="X8289">
        <v>1200</v>
      </c>
      <c r="Y8289" t="s">
        <v>26652</v>
      </c>
      <c r="Z8289" t="s">
        <v>26664</v>
      </c>
      <c r="AB8289" t="s">
        <v>32753</v>
      </c>
      <c r="AC8289" t="s">
        <v>36498</v>
      </c>
      <c r="AD8289" t="s">
        <v>43284</v>
      </c>
      <c r="AE8289">
        <v>2</v>
      </c>
      <c r="AF8289" t="s">
        <v>45547</v>
      </c>
      <c r="AG8289" t="s">
        <v>45560</v>
      </c>
      <c r="AH8289">
        <v>4</v>
      </c>
      <c r="AI8289">
        <v>1</v>
      </c>
      <c r="AJ8289">
        <v>0</v>
      </c>
      <c r="AK8289">
        <v>82.34</v>
      </c>
      <c r="AN8289" t="s">
        <v>7439</v>
      </c>
      <c r="AO8289">
        <v>9996</v>
      </c>
      <c r="AU8289">
        <v>10.9</v>
      </c>
      <c r="AV8289" t="s">
        <v>809</v>
      </c>
      <c r="AW8289" t="s">
        <v>279</v>
      </c>
    </row>
    <row r="8290" spans="1:50">
      <c r="A8290" s="1">
        <f>HYPERLINK("https://lsnyc.legalserver.org/matter/dynamic-profile/view/1887641","19-1887641")</f>
        <v>0</v>
      </c>
      <c r="B8290" t="s">
        <v>200</v>
      </c>
      <c r="C8290" t="s">
        <v>340</v>
      </c>
      <c r="D8290" t="s">
        <v>415</v>
      </c>
      <c r="F8290" t="s">
        <v>879</v>
      </c>
      <c r="G8290" t="s">
        <v>8637</v>
      </c>
      <c r="H8290" t="s">
        <v>15289</v>
      </c>
      <c r="I8290" t="s">
        <v>17348</v>
      </c>
      <c r="J8290" t="s">
        <v>18894</v>
      </c>
      <c r="K8290">
        <v>11233</v>
      </c>
      <c r="L8290" t="s">
        <v>18958</v>
      </c>
      <c r="M8290" t="s">
        <v>18958</v>
      </c>
      <c r="N8290" t="s">
        <v>24918</v>
      </c>
      <c r="O8290" t="s">
        <v>26523</v>
      </c>
      <c r="P8290" t="s">
        <v>26560</v>
      </c>
      <c r="R8290" t="s">
        <v>26578</v>
      </c>
      <c r="S8290" t="s">
        <v>18959</v>
      </c>
      <c r="U8290" t="s">
        <v>26604</v>
      </c>
      <c r="V8290" t="s">
        <v>26610</v>
      </c>
      <c r="W8290" t="s">
        <v>797</v>
      </c>
      <c r="X8290">
        <v>1132</v>
      </c>
      <c r="Y8290" t="s">
        <v>26652</v>
      </c>
      <c r="Z8290" t="s">
        <v>26659</v>
      </c>
      <c r="AB8290" t="s">
        <v>28340</v>
      </c>
      <c r="AC8290" t="s">
        <v>36499</v>
      </c>
      <c r="AD8290" t="s">
        <v>43285</v>
      </c>
      <c r="AE8290">
        <v>40</v>
      </c>
      <c r="AF8290" t="s">
        <v>45541</v>
      </c>
      <c r="AG8290" t="s">
        <v>45561</v>
      </c>
      <c r="AH8290">
        <v>13</v>
      </c>
      <c r="AI8290">
        <v>2</v>
      </c>
      <c r="AJ8290">
        <v>0</v>
      </c>
      <c r="AK8290">
        <v>30.96</v>
      </c>
      <c r="AN8290" t="s">
        <v>7439</v>
      </c>
      <c r="AO8290">
        <v>5096</v>
      </c>
      <c r="AU8290">
        <v>6</v>
      </c>
      <c r="AV8290" t="s">
        <v>784</v>
      </c>
      <c r="AW8290" t="s">
        <v>279</v>
      </c>
      <c r="AX8290" t="s">
        <v>46897</v>
      </c>
    </row>
    <row r="8291" spans="1:50">
      <c r="A8291" s="1">
        <f>HYPERLINK("https://lsnyc.legalserver.org/matter/dynamic-profile/view/1888613","19-1888613")</f>
        <v>0</v>
      </c>
      <c r="B8291" t="s">
        <v>200</v>
      </c>
      <c r="C8291" t="s">
        <v>341</v>
      </c>
      <c r="D8291" t="s">
        <v>707</v>
      </c>
      <c r="E8291" t="s">
        <v>830</v>
      </c>
      <c r="F8291" t="s">
        <v>1191</v>
      </c>
      <c r="G8291" t="s">
        <v>948</v>
      </c>
      <c r="H8291" t="s">
        <v>15290</v>
      </c>
      <c r="I8291" t="s">
        <v>17307</v>
      </c>
      <c r="J8291" t="s">
        <v>18894</v>
      </c>
      <c r="K8291">
        <v>11233</v>
      </c>
      <c r="L8291" t="s">
        <v>18958</v>
      </c>
      <c r="M8291" t="s">
        <v>18959</v>
      </c>
      <c r="N8291" t="s">
        <v>24919</v>
      </c>
      <c r="O8291" t="s">
        <v>26524</v>
      </c>
      <c r="P8291" t="s">
        <v>26560</v>
      </c>
      <c r="Q8291" t="s">
        <v>26568</v>
      </c>
      <c r="R8291" t="s">
        <v>26578</v>
      </c>
      <c r="S8291" t="s">
        <v>18959</v>
      </c>
      <c r="U8291" t="s">
        <v>26604</v>
      </c>
      <c r="V8291" t="s">
        <v>26610</v>
      </c>
      <c r="W8291" t="s">
        <v>797</v>
      </c>
      <c r="X8291">
        <v>860.1900000000001</v>
      </c>
      <c r="Y8291" t="s">
        <v>26652</v>
      </c>
      <c r="Z8291" t="s">
        <v>26673</v>
      </c>
      <c r="AA8291" t="s">
        <v>26678</v>
      </c>
      <c r="AB8291" t="s">
        <v>29488</v>
      </c>
      <c r="AC8291" t="s">
        <v>19045</v>
      </c>
      <c r="AD8291" t="s">
        <v>43286</v>
      </c>
      <c r="AE8291">
        <v>36</v>
      </c>
      <c r="AF8291" t="s">
        <v>45541</v>
      </c>
      <c r="AG8291" t="s">
        <v>19330</v>
      </c>
      <c r="AH8291">
        <v>15</v>
      </c>
      <c r="AI8291">
        <v>2</v>
      </c>
      <c r="AJ8291">
        <v>1</v>
      </c>
      <c r="AK8291">
        <v>138.66</v>
      </c>
      <c r="AN8291" t="s">
        <v>7439</v>
      </c>
      <c r="AO8291">
        <v>29575.68</v>
      </c>
      <c r="AS8291" t="s">
        <v>46499</v>
      </c>
      <c r="AU8291">
        <v>4</v>
      </c>
      <c r="AV8291" t="s">
        <v>794</v>
      </c>
      <c r="AW8291" t="s">
        <v>286</v>
      </c>
      <c r="AX8291" t="s">
        <v>46897</v>
      </c>
    </row>
    <row r="8292" spans="1:50">
      <c r="A8292" s="1">
        <f>HYPERLINK("https://lsnyc.legalserver.org/matter/dynamic-profile/view/1889626","19-1889626")</f>
        <v>0</v>
      </c>
      <c r="B8292" t="s">
        <v>117</v>
      </c>
      <c r="C8292" t="s">
        <v>340</v>
      </c>
      <c r="D8292" t="s">
        <v>735</v>
      </c>
      <c r="F8292" t="s">
        <v>4223</v>
      </c>
      <c r="G8292" t="s">
        <v>5454</v>
      </c>
      <c r="H8292" t="s">
        <v>11185</v>
      </c>
      <c r="I8292" t="s">
        <v>17312</v>
      </c>
      <c r="J8292" t="s">
        <v>18894</v>
      </c>
      <c r="K8292">
        <v>11207</v>
      </c>
      <c r="L8292" t="s">
        <v>18958</v>
      </c>
      <c r="M8292" t="s">
        <v>18959</v>
      </c>
      <c r="N8292" t="s">
        <v>24920</v>
      </c>
      <c r="O8292" t="s">
        <v>26523</v>
      </c>
      <c r="P8292" t="s">
        <v>26560</v>
      </c>
      <c r="R8292" t="s">
        <v>26578</v>
      </c>
      <c r="S8292" t="s">
        <v>18959</v>
      </c>
      <c r="U8292" t="s">
        <v>26604</v>
      </c>
      <c r="V8292" t="s">
        <v>26610</v>
      </c>
      <c r="W8292" t="s">
        <v>797</v>
      </c>
      <c r="X8292">
        <v>1250</v>
      </c>
      <c r="Y8292" t="s">
        <v>26652</v>
      </c>
      <c r="Z8292" t="s">
        <v>26659</v>
      </c>
      <c r="AB8292" t="s">
        <v>32754</v>
      </c>
      <c r="AC8292" t="s">
        <v>36500</v>
      </c>
      <c r="AD8292" t="s">
        <v>43287</v>
      </c>
      <c r="AE8292">
        <v>6</v>
      </c>
      <c r="AF8292" t="s">
        <v>45541</v>
      </c>
      <c r="AG8292" t="s">
        <v>19330</v>
      </c>
      <c r="AH8292">
        <v>5</v>
      </c>
      <c r="AI8292">
        <v>1</v>
      </c>
      <c r="AJ8292">
        <v>5</v>
      </c>
      <c r="AK8292">
        <v>8.33</v>
      </c>
      <c r="AN8292" t="s">
        <v>7439</v>
      </c>
      <c r="AO8292">
        <v>2880</v>
      </c>
      <c r="AU8292">
        <v>9.1</v>
      </c>
      <c r="AV8292" t="s">
        <v>765</v>
      </c>
      <c r="AW8292" t="s">
        <v>279</v>
      </c>
      <c r="AX8292" t="s">
        <v>46897</v>
      </c>
    </row>
    <row r="8293" spans="1:50">
      <c r="A8293" s="1">
        <f>HYPERLINK("https://lsnyc.legalserver.org/matter/dynamic-profile/view/1891056","19-1891056")</f>
        <v>0</v>
      </c>
      <c r="B8293" t="s">
        <v>117</v>
      </c>
      <c r="C8293" t="s">
        <v>340</v>
      </c>
      <c r="D8293" t="s">
        <v>740</v>
      </c>
      <c r="F8293" t="s">
        <v>2819</v>
      </c>
      <c r="G8293" t="s">
        <v>1128</v>
      </c>
      <c r="H8293" t="s">
        <v>15291</v>
      </c>
      <c r="J8293" t="s">
        <v>18894</v>
      </c>
      <c r="K8293">
        <v>11208</v>
      </c>
      <c r="L8293" t="s">
        <v>18958</v>
      </c>
      <c r="M8293" t="s">
        <v>18959</v>
      </c>
      <c r="N8293" t="s">
        <v>24921</v>
      </c>
      <c r="O8293" t="s">
        <v>26524</v>
      </c>
      <c r="P8293" t="s">
        <v>26560</v>
      </c>
      <c r="R8293" t="s">
        <v>26578</v>
      </c>
      <c r="S8293" t="s">
        <v>18959</v>
      </c>
      <c r="U8293" t="s">
        <v>26604</v>
      </c>
      <c r="V8293" t="s">
        <v>26611</v>
      </c>
      <c r="W8293" t="s">
        <v>797</v>
      </c>
      <c r="X8293">
        <v>1234</v>
      </c>
      <c r="Y8293" t="s">
        <v>26652</v>
      </c>
      <c r="Z8293" t="s">
        <v>26673</v>
      </c>
      <c r="AB8293" t="s">
        <v>32755</v>
      </c>
      <c r="AD8293" t="s">
        <v>43288</v>
      </c>
      <c r="AE8293">
        <v>210</v>
      </c>
      <c r="AG8293" t="s">
        <v>19330</v>
      </c>
      <c r="AH8293">
        <v>5</v>
      </c>
      <c r="AI8293">
        <v>1</v>
      </c>
      <c r="AJ8293">
        <v>0</v>
      </c>
      <c r="AK8293">
        <v>81.67</v>
      </c>
      <c r="AN8293" t="s">
        <v>7439</v>
      </c>
      <c r="AO8293">
        <v>10200</v>
      </c>
      <c r="AU8293">
        <v>15.7</v>
      </c>
      <c r="AV8293" t="s">
        <v>720</v>
      </c>
      <c r="AW8293" t="s">
        <v>286</v>
      </c>
      <c r="AX8293" t="s">
        <v>46897</v>
      </c>
    </row>
    <row r="8294" spans="1:50">
      <c r="A8294" s="1">
        <f>HYPERLINK("https://lsnyc.legalserver.org/matter/dynamic-profile/view/1892752","19-1892752")</f>
        <v>0</v>
      </c>
      <c r="B8294" t="s">
        <v>117</v>
      </c>
      <c r="C8294" t="s">
        <v>340</v>
      </c>
      <c r="D8294" t="s">
        <v>752</v>
      </c>
      <c r="F8294" t="s">
        <v>4224</v>
      </c>
      <c r="G8294" t="s">
        <v>1052</v>
      </c>
      <c r="H8294" t="s">
        <v>15292</v>
      </c>
      <c r="I8294" t="s">
        <v>17312</v>
      </c>
      <c r="J8294" t="s">
        <v>18894</v>
      </c>
      <c r="K8294">
        <v>11207</v>
      </c>
      <c r="L8294" t="s">
        <v>18958</v>
      </c>
      <c r="M8294" t="s">
        <v>18960</v>
      </c>
      <c r="N8294" t="s">
        <v>24922</v>
      </c>
      <c r="O8294" t="s">
        <v>26523</v>
      </c>
      <c r="P8294" t="s">
        <v>26565</v>
      </c>
      <c r="R8294" t="s">
        <v>26578</v>
      </c>
      <c r="S8294" t="s">
        <v>18959</v>
      </c>
      <c r="U8294" t="s">
        <v>26604</v>
      </c>
      <c r="W8294" t="s">
        <v>797</v>
      </c>
      <c r="X8294">
        <v>1900</v>
      </c>
      <c r="Y8294" t="s">
        <v>26652</v>
      </c>
      <c r="Z8294" t="s">
        <v>26661</v>
      </c>
      <c r="AA8294" t="s">
        <v>26683</v>
      </c>
      <c r="AB8294" t="s">
        <v>32756</v>
      </c>
      <c r="AD8294" t="s">
        <v>43289</v>
      </c>
      <c r="AE8294">
        <v>4</v>
      </c>
      <c r="AF8294" t="s">
        <v>45543</v>
      </c>
      <c r="AG8294" t="s">
        <v>45556</v>
      </c>
      <c r="AH8294">
        <v>4</v>
      </c>
      <c r="AI8294">
        <v>1</v>
      </c>
      <c r="AJ8294">
        <v>2</v>
      </c>
      <c r="AK8294">
        <v>14.29</v>
      </c>
      <c r="AN8294" t="s">
        <v>45582</v>
      </c>
      <c r="AO8294">
        <v>3048</v>
      </c>
      <c r="AU8294">
        <v>2</v>
      </c>
      <c r="AV8294" t="s">
        <v>797</v>
      </c>
      <c r="AW8294" t="s">
        <v>46858</v>
      </c>
      <c r="AX8294" t="s">
        <v>46897</v>
      </c>
    </row>
    <row r="8295" spans="1:50">
      <c r="A8295" s="1">
        <f>HYPERLINK("https://lsnyc.legalserver.org/matter/dynamic-profile/view/1893768","19-1893768")</f>
        <v>0</v>
      </c>
      <c r="B8295" t="s">
        <v>117</v>
      </c>
      <c r="C8295" t="s">
        <v>340</v>
      </c>
      <c r="D8295" t="s">
        <v>660</v>
      </c>
      <c r="F8295" t="s">
        <v>2701</v>
      </c>
      <c r="G8295" t="s">
        <v>5266</v>
      </c>
      <c r="H8295" t="s">
        <v>12450</v>
      </c>
      <c r="I8295">
        <v>1</v>
      </c>
      <c r="J8295" t="s">
        <v>18894</v>
      </c>
      <c r="K8295">
        <v>11208</v>
      </c>
      <c r="L8295" t="s">
        <v>18958</v>
      </c>
      <c r="M8295" t="s">
        <v>18959</v>
      </c>
      <c r="N8295" t="s">
        <v>24923</v>
      </c>
      <c r="O8295" t="s">
        <v>26524</v>
      </c>
      <c r="P8295" t="s">
        <v>26560</v>
      </c>
      <c r="R8295" t="s">
        <v>26578</v>
      </c>
      <c r="S8295" t="s">
        <v>18959</v>
      </c>
      <c r="U8295" t="s">
        <v>26604</v>
      </c>
      <c r="W8295" t="s">
        <v>797</v>
      </c>
      <c r="X8295">
        <v>1956</v>
      </c>
      <c r="Y8295" t="s">
        <v>26652</v>
      </c>
      <c r="Z8295" t="s">
        <v>26659</v>
      </c>
      <c r="AB8295" t="s">
        <v>29717</v>
      </c>
      <c r="AC8295" t="s">
        <v>35553</v>
      </c>
      <c r="AD8295" t="s">
        <v>39808</v>
      </c>
      <c r="AE8295">
        <v>4</v>
      </c>
      <c r="AF8295" t="s">
        <v>45547</v>
      </c>
      <c r="AG8295" t="s">
        <v>45562</v>
      </c>
      <c r="AH8295">
        <v>3</v>
      </c>
      <c r="AI8295">
        <v>2</v>
      </c>
      <c r="AJ8295">
        <v>3</v>
      </c>
      <c r="AK8295">
        <v>72.39</v>
      </c>
      <c r="AN8295" t="s">
        <v>7439</v>
      </c>
      <c r="AO8295">
        <v>21840</v>
      </c>
      <c r="AU8295">
        <v>19.3</v>
      </c>
      <c r="AV8295" t="s">
        <v>832</v>
      </c>
      <c r="AW8295" t="s">
        <v>286</v>
      </c>
      <c r="AX8295" t="s">
        <v>46898</v>
      </c>
    </row>
    <row r="8296" spans="1:50">
      <c r="A8296" s="1">
        <f>HYPERLINK("https://lsnyc.legalserver.org/matter/dynamic-profile/view/1893742","19-1893742")</f>
        <v>0</v>
      </c>
      <c r="B8296" t="s">
        <v>117</v>
      </c>
      <c r="C8296" t="s">
        <v>340</v>
      </c>
      <c r="D8296" t="s">
        <v>660</v>
      </c>
      <c r="F8296" t="s">
        <v>1447</v>
      </c>
      <c r="G8296" t="s">
        <v>5859</v>
      </c>
      <c r="H8296" t="s">
        <v>10681</v>
      </c>
      <c r="I8296" t="s">
        <v>17306</v>
      </c>
      <c r="J8296" t="s">
        <v>18894</v>
      </c>
      <c r="K8296">
        <v>11239</v>
      </c>
      <c r="L8296" t="s">
        <v>18958</v>
      </c>
      <c r="M8296" t="s">
        <v>18959</v>
      </c>
      <c r="N8296" t="s">
        <v>24924</v>
      </c>
      <c r="O8296" t="s">
        <v>26524</v>
      </c>
      <c r="P8296" t="s">
        <v>26565</v>
      </c>
      <c r="R8296" t="s">
        <v>26578</v>
      </c>
      <c r="S8296" t="s">
        <v>18959</v>
      </c>
      <c r="U8296" t="s">
        <v>26604</v>
      </c>
      <c r="V8296" t="s">
        <v>26610</v>
      </c>
      <c r="W8296" t="s">
        <v>797</v>
      </c>
      <c r="X8296">
        <v>968</v>
      </c>
      <c r="Y8296" t="s">
        <v>26652</v>
      </c>
      <c r="Z8296" t="s">
        <v>26659</v>
      </c>
      <c r="AB8296" t="s">
        <v>27821</v>
      </c>
      <c r="AD8296" t="s">
        <v>37873</v>
      </c>
      <c r="AE8296">
        <v>2229</v>
      </c>
      <c r="AF8296" t="s">
        <v>45541</v>
      </c>
      <c r="AG8296" t="s">
        <v>19330</v>
      </c>
      <c r="AH8296">
        <v>2</v>
      </c>
      <c r="AI8296">
        <v>1</v>
      </c>
      <c r="AJ8296">
        <v>0</v>
      </c>
      <c r="AK8296">
        <v>150.24</v>
      </c>
      <c r="AN8296" t="s">
        <v>45581</v>
      </c>
      <c r="AO8296">
        <v>18765.24</v>
      </c>
      <c r="AU8296">
        <v>1.5</v>
      </c>
      <c r="AV8296" t="s">
        <v>777</v>
      </c>
      <c r="AW8296" t="s">
        <v>286</v>
      </c>
      <c r="AX8296" t="s">
        <v>46897</v>
      </c>
    </row>
    <row r="8297" spans="1:50">
      <c r="A8297" s="1">
        <f>HYPERLINK("https://lsnyc.legalserver.org/matter/dynamic-profile/view/1893854","19-1893854")</f>
        <v>0</v>
      </c>
      <c r="B8297" t="s">
        <v>117</v>
      </c>
      <c r="C8297" t="s">
        <v>340</v>
      </c>
      <c r="D8297" t="s">
        <v>755</v>
      </c>
      <c r="F8297" t="s">
        <v>4225</v>
      </c>
      <c r="G8297" t="s">
        <v>8638</v>
      </c>
      <c r="H8297" t="s">
        <v>15293</v>
      </c>
      <c r="I8297" t="s">
        <v>17416</v>
      </c>
      <c r="J8297" t="s">
        <v>18894</v>
      </c>
      <c r="K8297">
        <v>11208</v>
      </c>
      <c r="L8297" t="s">
        <v>18958</v>
      </c>
      <c r="M8297" t="s">
        <v>18959</v>
      </c>
      <c r="N8297" t="s">
        <v>24925</v>
      </c>
      <c r="O8297" t="s">
        <v>26523</v>
      </c>
      <c r="P8297" t="s">
        <v>26564</v>
      </c>
      <c r="R8297" t="s">
        <v>26578</v>
      </c>
      <c r="S8297" t="s">
        <v>18959</v>
      </c>
      <c r="U8297" t="s">
        <v>26604</v>
      </c>
      <c r="W8297" t="s">
        <v>797</v>
      </c>
      <c r="X8297">
        <v>1550</v>
      </c>
      <c r="Y8297" t="s">
        <v>26652</v>
      </c>
      <c r="AB8297" t="s">
        <v>28088</v>
      </c>
      <c r="AD8297" t="s">
        <v>43290</v>
      </c>
      <c r="AE8297">
        <v>2</v>
      </c>
      <c r="AF8297" t="s">
        <v>45547</v>
      </c>
      <c r="AG8297" t="s">
        <v>19330</v>
      </c>
      <c r="AH8297">
        <v>5</v>
      </c>
      <c r="AI8297">
        <v>1</v>
      </c>
      <c r="AJ8297">
        <v>2</v>
      </c>
      <c r="AK8297">
        <v>135.96</v>
      </c>
      <c r="AN8297" t="s">
        <v>7439</v>
      </c>
      <c r="AO8297">
        <v>29000</v>
      </c>
      <c r="AU8297">
        <v>1.3</v>
      </c>
      <c r="AV8297" t="s">
        <v>764</v>
      </c>
      <c r="AW8297" t="s">
        <v>286</v>
      </c>
      <c r="AX8297" t="s">
        <v>46897</v>
      </c>
    </row>
    <row r="8298" spans="1:50">
      <c r="A8298" s="1">
        <f>HYPERLINK("https://lsnyc.legalserver.org/matter/dynamic-profile/view/1894446","19-1894446")</f>
        <v>0</v>
      </c>
      <c r="B8298" t="s">
        <v>200</v>
      </c>
      <c r="C8298" t="s">
        <v>340</v>
      </c>
      <c r="D8298" t="s">
        <v>741</v>
      </c>
      <c r="F8298" t="s">
        <v>2005</v>
      </c>
      <c r="G8298" t="s">
        <v>5125</v>
      </c>
      <c r="H8298" t="s">
        <v>15294</v>
      </c>
      <c r="I8298" t="s">
        <v>18483</v>
      </c>
      <c r="J8298" t="s">
        <v>18894</v>
      </c>
      <c r="K8298">
        <v>11233</v>
      </c>
      <c r="L8298" t="s">
        <v>18958</v>
      </c>
      <c r="M8298" t="s">
        <v>18959</v>
      </c>
      <c r="N8298" t="s">
        <v>24926</v>
      </c>
      <c r="O8298" t="s">
        <v>26524</v>
      </c>
      <c r="P8298" t="s">
        <v>26560</v>
      </c>
      <c r="R8298" t="s">
        <v>26578</v>
      </c>
      <c r="S8298" t="s">
        <v>18959</v>
      </c>
      <c r="U8298" t="s">
        <v>26604</v>
      </c>
      <c r="W8298" t="s">
        <v>797</v>
      </c>
      <c r="X8298">
        <v>1365</v>
      </c>
      <c r="Y8298" t="s">
        <v>26652</v>
      </c>
      <c r="Z8298" t="s">
        <v>26530</v>
      </c>
      <c r="AB8298" t="s">
        <v>32757</v>
      </c>
      <c r="AD8298" t="s">
        <v>43291</v>
      </c>
      <c r="AE8298">
        <v>8</v>
      </c>
      <c r="AF8298" t="s">
        <v>45541</v>
      </c>
      <c r="AG8298" t="s">
        <v>45556</v>
      </c>
      <c r="AH8298">
        <v>23</v>
      </c>
      <c r="AI8298">
        <v>2</v>
      </c>
      <c r="AJ8298">
        <v>0</v>
      </c>
      <c r="AK8298">
        <v>153.76</v>
      </c>
      <c r="AN8298" t="s">
        <v>45581</v>
      </c>
      <c r="AO8298">
        <v>26000</v>
      </c>
      <c r="AU8298">
        <v>7.7</v>
      </c>
      <c r="AV8298" t="s">
        <v>826</v>
      </c>
      <c r="AW8298" t="s">
        <v>286</v>
      </c>
      <c r="AX8298" t="s">
        <v>46897</v>
      </c>
    </row>
    <row r="8299" spans="1:50">
      <c r="A8299" s="1">
        <f>HYPERLINK("https://lsnyc.legalserver.org/matter/dynamic-profile/view/1894526","19-1894526")</f>
        <v>0</v>
      </c>
      <c r="B8299" t="s">
        <v>117</v>
      </c>
      <c r="C8299" t="s">
        <v>340</v>
      </c>
      <c r="D8299" t="s">
        <v>777</v>
      </c>
      <c r="F8299" t="s">
        <v>4226</v>
      </c>
      <c r="G8299" t="s">
        <v>8639</v>
      </c>
      <c r="H8299" t="s">
        <v>15295</v>
      </c>
      <c r="I8299" t="s">
        <v>17348</v>
      </c>
      <c r="J8299" t="s">
        <v>18894</v>
      </c>
      <c r="K8299">
        <v>11207</v>
      </c>
      <c r="L8299" t="s">
        <v>18958</v>
      </c>
      <c r="M8299" t="s">
        <v>18958</v>
      </c>
      <c r="N8299" t="s">
        <v>24927</v>
      </c>
      <c r="O8299" t="s">
        <v>26523</v>
      </c>
      <c r="P8299" t="s">
        <v>26564</v>
      </c>
      <c r="R8299" t="s">
        <v>26578</v>
      </c>
      <c r="S8299" t="s">
        <v>18959</v>
      </c>
      <c r="U8299" t="s">
        <v>26604</v>
      </c>
      <c r="W8299" t="s">
        <v>797</v>
      </c>
      <c r="X8299">
        <v>1400</v>
      </c>
      <c r="Y8299" t="s">
        <v>26652</v>
      </c>
      <c r="AB8299" t="s">
        <v>32758</v>
      </c>
      <c r="AD8299" t="s">
        <v>43292</v>
      </c>
      <c r="AE8299">
        <v>0</v>
      </c>
      <c r="AF8299" t="s">
        <v>45541</v>
      </c>
      <c r="AG8299" t="s">
        <v>19330</v>
      </c>
      <c r="AH8299">
        <v>1</v>
      </c>
      <c r="AI8299">
        <v>1</v>
      </c>
      <c r="AJ8299">
        <v>0</v>
      </c>
      <c r="AK8299">
        <v>296.24</v>
      </c>
      <c r="AN8299" t="s">
        <v>7439</v>
      </c>
      <c r="AO8299">
        <v>37000</v>
      </c>
      <c r="AU8299">
        <v>1</v>
      </c>
      <c r="AV8299" t="s">
        <v>794</v>
      </c>
      <c r="AW8299" t="s">
        <v>286</v>
      </c>
    </row>
    <row r="8300" spans="1:50">
      <c r="A8300" s="1">
        <f>HYPERLINK("https://lsnyc.legalserver.org/matter/dynamic-profile/view/1895077","19-1895077")</f>
        <v>0</v>
      </c>
      <c r="B8300" t="s">
        <v>200</v>
      </c>
      <c r="C8300" t="s">
        <v>340</v>
      </c>
      <c r="D8300" t="s">
        <v>695</v>
      </c>
      <c r="F8300" t="s">
        <v>4227</v>
      </c>
      <c r="G8300" t="s">
        <v>3283</v>
      </c>
      <c r="H8300" t="s">
        <v>14536</v>
      </c>
      <c r="I8300">
        <v>426</v>
      </c>
      <c r="J8300" t="s">
        <v>18894</v>
      </c>
      <c r="K8300">
        <v>11208</v>
      </c>
      <c r="L8300" t="s">
        <v>18958</v>
      </c>
      <c r="M8300" t="s">
        <v>18960</v>
      </c>
      <c r="N8300" t="s">
        <v>24928</v>
      </c>
      <c r="O8300" t="s">
        <v>26523</v>
      </c>
      <c r="P8300" t="s">
        <v>26560</v>
      </c>
      <c r="R8300" t="s">
        <v>26578</v>
      </c>
      <c r="S8300" t="s">
        <v>18959</v>
      </c>
      <c r="U8300" t="s">
        <v>26604</v>
      </c>
      <c r="V8300" t="s">
        <v>26610</v>
      </c>
      <c r="W8300" t="s">
        <v>797</v>
      </c>
      <c r="X8300">
        <v>208</v>
      </c>
      <c r="Y8300" t="s">
        <v>26652</v>
      </c>
      <c r="Z8300" t="s">
        <v>26673</v>
      </c>
      <c r="AB8300" t="s">
        <v>32759</v>
      </c>
      <c r="AD8300" t="s">
        <v>43293</v>
      </c>
      <c r="AE8300">
        <v>40</v>
      </c>
      <c r="AF8300" t="s">
        <v>45543</v>
      </c>
      <c r="AG8300" t="s">
        <v>45556</v>
      </c>
      <c r="AH8300">
        <v>11</v>
      </c>
      <c r="AI8300">
        <v>1</v>
      </c>
      <c r="AJ8300">
        <v>0</v>
      </c>
      <c r="AK8300">
        <v>83.2</v>
      </c>
      <c r="AN8300" t="s">
        <v>7439</v>
      </c>
      <c r="AO8300">
        <v>10392</v>
      </c>
      <c r="AU8300">
        <v>8.199999999999999</v>
      </c>
      <c r="AV8300" t="s">
        <v>826</v>
      </c>
      <c r="AW8300" t="s">
        <v>46861</v>
      </c>
      <c r="AX8300" t="s">
        <v>46897</v>
      </c>
    </row>
    <row r="8301" spans="1:50">
      <c r="A8301" s="1">
        <f>HYPERLINK("https://lsnyc.legalserver.org/matter/dynamic-profile/view/1895929","19-1895929")</f>
        <v>0</v>
      </c>
      <c r="B8301" t="s">
        <v>113</v>
      </c>
      <c r="C8301" t="s">
        <v>341</v>
      </c>
      <c r="D8301" t="s">
        <v>791</v>
      </c>
      <c r="E8301" t="s">
        <v>797</v>
      </c>
      <c r="F8301" t="s">
        <v>1281</v>
      </c>
      <c r="G8301" t="s">
        <v>8214</v>
      </c>
      <c r="H8301" t="s">
        <v>11980</v>
      </c>
      <c r="I8301" t="s">
        <v>17366</v>
      </c>
      <c r="J8301" t="s">
        <v>18892</v>
      </c>
      <c r="K8301">
        <v>10459</v>
      </c>
      <c r="L8301" t="s">
        <v>18958</v>
      </c>
      <c r="M8301" t="s">
        <v>18958</v>
      </c>
      <c r="O8301" t="s">
        <v>18997</v>
      </c>
      <c r="P8301" t="s">
        <v>26565</v>
      </c>
      <c r="Q8301" t="s">
        <v>26571</v>
      </c>
      <c r="R8301" t="s">
        <v>26578</v>
      </c>
      <c r="S8301" t="s">
        <v>18959</v>
      </c>
      <c r="U8301" t="s">
        <v>26604</v>
      </c>
      <c r="W8301" t="s">
        <v>797</v>
      </c>
      <c r="X8301">
        <v>865</v>
      </c>
      <c r="Y8301" t="s">
        <v>26650</v>
      </c>
      <c r="AA8301" t="s">
        <v>26682</v>
      </c>
      <c r="AB8301" t="s">
        <v>32760</v>
      </c>
      <c r="AD8301" t="s">
        <v>43294</v>
      </c>
      <c r="AE8301">
        <v>0</v>
      </c>
      <c r="AH8301">
        <v>12</v>
      </c>
      <c r="AI8301">
        <v>1</v>
      </c>
      <c r="AJ8301">
        <v>0</v>
      </c>
      <c r="AK8301">
        <v>173.9</v>
      </c>
      <c r="AN8301" t="s">
        <v>7439</v>
      </c>
      <c r="AO8301">
        <v>21720</v>
      </c>
      <c r="AU8301">
        <v>0.6</v>
      </c>
      <c r="AV8301" t="s">
        <v>791</v>
      </c>
      <c r="AW8301" t="s">
        <v>113</v>
      </c>
      <c r="AX8301" t="s">
        <v>46897</v>
      </c>
    </row>
    <row r="8302" spans="1:50">
      <c r="A8302" s="1">
        <f>HYPERLINK("https://lsnyc.legalserver.org/matter/dynamic-profile/view/1896120","19-1896120")</f>
        <v>0</v>
      </c>
      <c r="B8302" t="s">
        <v>117</v>
      </c>
      <c r="C8302" t="s">
        <v>340</v>
      </c>
      <c r="D8302" t="s">
        <v>800</v>
      </c>
      <c r="F8302" t="s">
        <v>3765</v>
      </c>
      <c r="G8302" t="s">
        <v>8109</v>
      </c>
      <c r="H8302" t="s">
        <v>14447</v>
      </c>
      <c r="I8302" t="s">
        <v>17477</v>
      </c>
      <c r="J8302" t="s">
        <v>18894</v>
      </c>
      <c r="K8302">
        <v>11208</v>
      </c>
      <c r="L8302" t="s">
        <v>18958</v>
      </c>
      <c r="M8302" t="s">
        <v>18959</v>
      </c>
      <c r="N8302" t="s">
        <v>24929</v>
      </c>
      <c r="O8302" t="s">
        <v>26523</v>
      </c>
      <c r="P8302" t="s">
        <v>26560</v>
      </c>
      <c r="R8302" t="s">
        <v>26578</v>
      </c>
      <c r="S8302" t="s">
        <v>18959</v>
      </c>
      <c r="U8302" t="s">
        <v>26604</v>
      </c>
      <c r="V8302" t="s">
        <v>26610</v>
      </c>
      <c r="W8302" t="s">
        <v>797</v>
      </c>
      <c r="X8302">
        <v>859</v>
      </c>
      <c r="Y8302" t="s">
        <v>26652</v>
      </c>
      <c r="Z8302" t="s">
        <v>26657</v>
      </c>
      <c r="AB8302" t="s">
        <v>29167</v>
      </c>
      <c r="AD8302" t="s">
        <v>42140</v>
      </c>
      <c r="AE8302">
        <v>1276</v>
      </c>
      <c r="AF8302" t="s">
        <v>45541</v>
      </c>
      <c r="AG8302" t="s">
        <v>45556</v>
      </c>
      <c r="AH8302">
        <v>2</v>
      </c>
      <c r="AI8302">
        <v>1</v>
      </c>
      <c r="AJ8302">
        <v>0</v>
      </c>
      <c r="AK8302">
        <v>176.11</v>
      </c>
      <c r="AN8302" t="s">
        <v>7439</v>
      </c>
      <c r="AO8302">
        <v>21996</v>
      </c>
      <c r="AU8302">
        <v>5.65</v>
      </c>
      <c r="AV8302" t="s">
        <v>808</v>
      </c>
      <c r="AW8302" t="s">
        <v>286</v>
      </c>
      <c r="AX8302" t="s">
        <v>46897</v>
      </c>
    </row>
    <row r="8303" spans="1:50">
      <c r="A8303" s="1">
        <f>HYPERLINK("https://lsnyc.legalserver.org/matter/dynamic-profile/view/1896032","19-1896032")</f>
        <v>0</v>
      </c>
      <c r="B8303" t="s">
        <v>200</v>
      </c>
      <c r="C8303" t="s">
        <v>340</v>
      </c>
      <c r="D8303" t="s">
        <v>800</v>
      </c>
      <c r="F8303" t="s">
        <v>2694</v>
      </c>
      <c r="G8303" t="s">
        <v>8640</v>
      </c>
      <c r="H8303" t="s">
        <v>15296</v>
      </c>
      <c r="I8303" t="s">
        <v>17352</v>
      </c>
      <c r="J8303" t="s">
        <v>18894</v>
      </c>
      <c r="K8303">
        <v>11212</v>
      </c>
      <c r="L8303" t="s">
        <v>18958</v>
      </c>
      <c r="M8303" t="s">
        <v>18959</v>
      </c>
      <c r="N8303" t="s">
        <v>24930</v>
      </c>
      <c r="O8303" t="s">
        <v>26523</v>
      </c>
      <c r="P8303" t="s">
        <v>26560</v>
      </c>
      <c r="R8303" t="s">
        <v>26578</v>
      </c>
      <c r="S8303" t="s">
        <v>18959</v>
      </c>
      <c r="U8303" t="s">
        <v>26604</v>
      </c>
      <c r="V8303" t="s">
        <v>26610</v>
      </c>
      <c r="W8303" t="s">
        <v>797</v>
      </c>
      <c r="X8303">
        <v>668.4</v>
      </c>
      <c r="Y8303" t="s">
        <v>26652</v>
      </c>
      <c r="Z8303" t="s">
        <v>26659</v>
      </c>
      <c r="AB8303" t="s">
        <v>32761</v>
      </c>
      <c r="AD8303" t="s">
        <v>43295</v>
      </c>
      <c r="AE8303">
        <v>40</v>
      </c>
      <c r="AF8303" t="s">
        <v>45541</v>
      </c>
      <c r="AG8303" t="s">
        <v>45559</v>
      </c>
      <c r="AH8303">
        <v>34</v>
      </c>
      <c r="AI8303">
        <v>1</v>
      </c>
      <c r="AJ8303">
        <v>1</v>
      </c>
      <c r="AK8303">
        <v>56.13</v>
      </c>
      <c r="AN8303" t="s">
        <v>7439</v>
      </c>
      <c r="AO8303">
        <v>9492</v>
      </c>
      <c r="AU8303">
        <v>4.3</v>
      </c>
      <c r="AV8303" t="s">
        <v>830</v>
      </c>
      <c r="AW8303" t="s">
        <v>286</v>
      </c>
      <c r="AX8303" t="s">
        <v>46897</v>
      </c>
    </row>
    <row r="8304" spans="1:50">
      <c r="A8304" s="1">
        <f>HYPERLINK("https://lsnyc.legalserver.org/matter/dynamic-profile/view/1896358","19-1896358")</f>
        <v>0</v>
      </c>
      <c r="B8304" t="s">
        <v>125</v>
      </c>
      <c r="C8304" t="s">
        <v>340</v>
      </c>
      <c r="D8304" t="s">
        <v>724</v>
      </c>
      <c r="F8304" t="s">
        <v>4228</v>
      </c>
      <c r="G8304" t="s">
        <v>8641</v>
      </c>
      <c r="H8304" t="s">
        <v>15297</v>
      </c>
      <c r="I8304">
        <v>226</v>
      </c>
      <c r="J8304" t="s">
        <v>18894</v>
      </c>
      <c r="K8304">
        <v>11233</v>
      </c>
      <c r="L8304" t="s">
        <v>18958</v>
      </c>
      <c r="M8304" t="s">
        <v>18959</v>
      </c>
      <c r="N8304" t="s">
        <v>24931</v>
      </c>
      <c r="O8304" t="s">
        <v>26523</v>
      </c>
      <c r="P8304" t="s">
        <v>26560</v>
      </c>
      <c r="R8304" t="s">
        <v>26578</v>
      </c>
      <c r="S8304" t="s">
        <v>18959</v>
      </c>
      <c r="U8304" t="s">
        <v>26604</v>
      </c>
      <c r="V8304" t="s">
        <v>26610</v>
      </c>
      <c r="W8304" t="s">
        <v>797</v>
      </c>
      <c r="X8304">
        <v>1208</v>
      </c>
      <c r="Y8304" t="s">
        <v>26652</v>
      </c>
      <c r="AB8304" t="s">
        <v>32762</v>
      </c>
      <c r="AC8304" t="s">
        <v>36501</v>
      </c>
      <c r="AD8304" t="s">
        <v>43296</v>
      </c>
      <c r="AE8304">
        <v>137</v>
      </c>
      <c r="AF8304" t="s">
        <v>45541</v>
      </c>
      <c r="AG8304" t="s">
        <v>45558</v>
      </c>
      <c r="AH8304">
        <v>1</v>
      </c>
      <c r="AI8304">
        <v>1</v>
      </c>
      <c r="AJ8304">
        <v>1</v>
      </c>
      <c r="AK8304">
        <v>14.07</v>
      </c>
      <c r="AN8304" t="s">
        <v>7439</v>
      </c>
      <c r="AO8304">
        <v>2379</v>
      </c>
      <c r="AU8304">
        <v>3.25</v>
      </c>
      <c r="AV8304" t="s">
        <v>767</v>
      </c>
      <c r="AW8304" t="s">
        <v>286</v>
      </c>
      <c r="AX8304" t="s">
        <v>46897</v>
      </c>
    </row>
    <row r="8305" spans="1:50">
      <c r="A8305" s="1">
        <f>HYPERLINK("https://lsnyc.legalserver.org/matter/dynamic-profile/view/1896462","19-1896462")</f>
        <v>0</v>
      </c>
      <c r="B8305" t="s">
        <v>200</v>
      </c>
      <c r="C8305" t="s">
        <v>340</v>
      </c>
      <c r="D8305" t="s">
        <v>802</v>
      </c>
      <c r="F8305" t="s">
        <v>4229</v>
      </c>
      <c r="G8305" t="s">
        <v>5266</v>
      </c>
      <c r="H8305" t="s">
        <v>15298</v>
      </c>
      <c r="I8305" t="s">
        <v>17272</v>
      </c>
      <c r="J8305" t="s">
        <v>18894</v>
      </c>
      <c r="K8305">
        <v>11208</v>
      </c>
      <c r="L8305" t="s">
        <v>18958</v>
      </c>
      <c r="M8305" t="s">
        <v>18958</v>
      </c>
      <c r="N8305" t="s">
        <v>24932</v>
      </c>
      <c r="O8305" t="s">
        <v>26524</v>
      </c>
      <c r="P8305" t="s">
        <v>26560</v>
      </c>
      <c r="R8305" t="s">
        <v>26578</v>
      </c>
      <c r="S8305" t="s">
        <v>18959</v>
      </c>
      <c r="U8305" t="s">
        <v>26604</v>
      </c>
      <c r="V8305" t="s">
        <v>26610</v>
      </c>
      <c r="W8305" t="s">
        <v>797</v>
      </c>
      <c r="X8305">
        <v>1550</v>
      </c>
      <c r="Y8305" t="s">
        <v>26652</v>
      </c>
      <c r="Z8305" t="s">
        <v>26664</v>
      </c>
      <c r="AB8305" t="s">
        <v>28104</v>
      </c>
      <c r="AC8305" t="s">
        <v>36502</v>
      </c>
      <c r="AD8305" t="s">
        <v>43297</v>
      </c>
      <c r="AE8305">
        <v>4</v>
      </c>
      <c r="AF8305" t="s">
        <v>45547</v>
      </c>
      <c r="AG8305" t="s">
        <v>45562</v>
      </c>
      <c r="AH8305">
        <v>4</v>
      </c>
      <c r="AI8305">
        <v>2</v>
      </c>
      <c r="AJ8305">
        <v>1</v>
      </c>
      <c r="AK8305">
        <v>146.27</v>
      </c>
      <c r="AN8305" t="s">
        <v>7439</v>
      </c>
      <c r="AO8305">
        <v>31200</v>
      </c>
      <c r="AU8305">
        <v>13.5</v>
      </c>
      <c r="AV8305" t="s">
        <v>833</v>
      </c>
      <c r="AW8305" t="s">
        <v>279</v>
      </c>
      <c r="AX8305" t="s">
        <v>46897</v>
      </c>
    </row>
    <row r="8306" spans="1:50">
      <c r="A8306" s="1">
        <f>HYPERLINK("https://lsnyc.legalserver.org/matter/dynamic-profile/view/1896712","19-1896712")</f>
        <v>0</v>
      </c>
      <c r="B8306" t="s">
        <v>117</v>
      </c>
      <c r="C8306" t="s">
        <v>340</v>
      </c>
      <c r="D8306" t="s">
        <v>671</v>
      </c>
      <c r="F8306" t="s">
        <v>1096</v>
      </c>
      <c r="G8306" t="s">
        <v>2749</v>
      </c>
      <c r="H8306" t="s">
        <v>14412</v>
      </c>
      <c r="I8306">
        <v>1</v>
      </c>
      <c r="J8306" t="s">
        <v>18894</v>
      </c>
      <c r="K8306">
        <v>11208</v>
      </c>
      <c r="L8306" t="s">
        <v>18958</v>
      </c>
      <c r="M8306" t="s">
        <v>18958</v>
      </c>
      <c r="N8306" t="s">
        <v>24933</v>
      </c>
      <c r="O8306" t="s">
        <v>26526</v>
      </c>
      <c r="P8306" t="s">
        <v>26560</v>
      </c>
      <c r="R8306" t="s">
        <v>26578</v>
      </c>
      <c r="S8306" t="s">
        <v>18959</v>
      </c>
      <c r="U8306" t="s">
        <v>26604</v>
      </c>
      <c r="V8306" t="s">
        <v>26610</v>
      </c>
      <c r="W8306" t="s">
        <v>797</v>
      </c>
      <c r="X8306">
        <v>1100</v>
      </c>
      <c r="Y8306" t="s">
        <v>26652</v>
      </c>
      <c r="Z8306" t="s">
        <v>26664</v>
      </c>
      <c r="AB8306" t="s">
        <v>29274</v>
      </c>
      <c r="AC8306" t="s">
        <v>36212</v>
      </c>
      <c r="AD8306" t="s">
        <v>42097</v>
      </c>
      <c r="AE8306">
        <v>3</v>
      </c>
      <c r="AF8306" t="s">
        <v>45547</v>
      </c>
      <c r="AG8306" t="s">
        <v>26530</v>
      </c>
      <c r="AH8306">
        <v>21</v>
      </c>
      <c r="AI8306">
        <v>4</v>
      </c>
      <c r="AJ8306">
        <v>6</v>
      </c>
      <c r="AK8306">
        <v>92.89</v>
      </c>
      <c r="AN8306" t="s">
        <v>7439</v>
      </c>
      <c r="AO8306">
        <v>48556</v>
      </c>
      <c r="AP8306" t="s">
        <v>46090</v>
      </c>
      <c r="AU8306">
        <v>7</v>
      </c>
      <c r="AV8306" t="s">
        <v>807</v>
      </c>
      <c r="AW8306" t="s">
        <v>279</v>
      </c>
      <c r="AX8306" t="s">
        <v>46897</v>
      </c>
    </row>
    <row r="8307" spans="1:50">
      <c r="A8307" s="1">
        <f>HYPERLINK("https://lsnyc.legalserver.org/matter/dynamic-profile/view/1897342","19-1897342")</f>
        <v>0</v>
      </c>
      <c r="B8307" t="s">
        <v>113</v>
      </c>
      <c r="C8307" t="s">
        <v>341</v>
      </c>
      <c r="D8307" t="s">
        <v>761</v>
      </c>
      <c r="E8307" t="s">
        <v>797</v>
      </c>
      <c r="F8307" t="s">
        <v>1637</v>
      </c>
      <c r="G8307" t="s">
        <v>8642</v>
      </c>
      <c r="H8307" t="s">
        <v>15299</v>
      </c>
      <c r="I8307" t="s">
        <v>17322</v>
      </c>
      <c r="J8307" t="s">
        <v>18892</v>
      </c>
      <c r="K8307">
        <v>10469</v>
      </c>
      <c r="L8307" t="s">
        <v>18958</v>
      </c>
      <c r="M8307" t="s">
        <v>18958</v>
      </c>
      <c r="N8307" t="s">
        <v>18997</v>
      </c>
      <c r="P8307" t="s">
        <v>26564</v>
      </c>
      <c r="Q8307" t="s">
        <v>26570</v>
      </c>
      <c r="R8307" t="s">
        <v>26591</v>
      </c>
      <c r="U8307" t="s">
        <v>26604</v>
      </c>
      <c r="W8307" t="s">
        <v>797</v>
      </c>
      <c r="X8307">
        <v>218</v>
      </c>
      <c r="Y8307" t="s">
        <v>26650</v>
      </c>
      <c r="Z8307" t="s">
        <v>26661</v>
      </c>
      <c r="AA8307" t="s">
        <v>26683</v>
      </c>
      <c r="AB8307" t="s">
        <v>29191</v>
      </c>
      <c r="AE8307">
        <v>0</v>
      </c>
      <c r="AF8307" t="s">
        <v>45549</v>
      </c>
      <c r="AH8307">
        <v>3</v>
      </c>
      <c r="AI8307">
        <v>1</v>
      </c>
      <c r="AJ8307">
        <v>2</v>
      </c>
      <c r="AK8307">
        <v>0</v>
      </c>
      <c r="AN8307" t="s">
        <v>7439</v>
      </c>
      <c r="AO8307">
        <v>0</v>
      </c>
      <c r="AU8307">
        <v>0.5</v>
      </c>
      <c r="AV8307" t="s">
        <v>761</v>
      </c>
      <c r="AW8307" t="s">
        <v>113</v>
      </c>
      <c r="AX8307" t="s">
        <v>46897</v>
      </c>
    </row>
    <row r="8308" spans="1:50">
      <c r="A8308" s="1">
        <f>HYPERLINK("https://lsnyc.legalserver.org/matter/dynamic-profile/view/1898032","19-1898032")</f>
        <v>0</v>
      </c>
      <c r="B8308" t="s">
        <v>125</v>
      </c>
      <c r="C8308" t="s">
        <v>340</v>
      </c>
      <c r="D8308" t="s">
        <v>766</v>
      </c>
      <c r="F8308" t="s">
        <v>893</v>
      </c>
      <c r="G8308" t="s">
        <v>5514</v>
      </c>
      <c r="H8308" t="s">
        <v>15300</v>
      </c>
      <c r="I8308" t="s">
        <v>17283</v>
      </c>
      <c r="J8308" t="s">
        <v>18894</v>
      </c>
      <c r="K8308">
        <v>11233</v>
      </c>
      <c r="L8308" t="s">
        <v>18958</v>
      </c>
      <c r="M8308" t="s">
        <v>18958</v>
      </c>
      <c r="N8308" t="s">
        <v>24934</v>
      </c>
      <c r="O8308" t="s">
        <v>26523</v>
      </c>
      <c r="P8308" t="s">
        <v>26564</v>
      </c>
      <c r="R8308" t="s">
        <v>26578</v>
      </c>
      <c r="S8308" t="s">
        <v>18959</v>
      </c>
      <c r="U8308" t="s">
        <v>26604</v>
      </c>
      <c r="V8308" t="s">
        <v>26610</v>
      </c>
      <c r="W8308" t="s">
        <v>797</v>
      </c>
      <c r="X8308">
        <v>1303</v>
      </c>
      <c r="Y8308" t="s">
        <v>26652</v>
      </c>
      <c r="Z8308" t="s">
        <v>26659</v>
      </c>
      <c r="AB8308" t="s">
        <v>29638</v>
      </c>
      <c r="AC8308" t="s">
        <v>36503</v>
      </c>
      <c r="AD8308" t="s">
        <v>43298</v>
      </c>
      <c r="AE8308">
        <v>19</v>
      </c>
      <c r="AF8308" t="s">
        <v>45541</v>
      </c>
      <c r="AG8308" t="s">
        <v>19330</v>
      </c>
      <c r="AH8308">
        <v>7</v>
      </c>
      <c r="AI8308">
        <v>2</v>
      </c>
      <c r="AJ8308">
        <v>1</v>
      </c>
      <c r="AK8308">
        <v>168.78</v>
      </c>
      <c r="AN8308" t="s">
        <v>7439</v>
      </c>
      <c r="AO8308">
        <v>36000</v>
      </c>
      <c r="AU8308">
        <v>4.5</v>
      </c>
      <c r="AV8308" t="s">
        <v>821</v>
      </c>
      <c r="AW8308" t="s">
        <v>279</v>
      </c>
      <c r="AX8308" t="s">
        <v>46897</v>
      </c>
    </row>
    <row r="8309" spans="1:50">
      <c r="A8309" s="1">
        <f>HYPERLINK("https://lsnyc.legalserver.org/matter/dynamic-profile/view/1898488","19-1898488")</f>
        <v>0</v>
      </c>
      <c r="B8309" t="s">
        <v>200</v>
      </c>
      <c r="C8309" t="s">
        <v>340</v>
      </c>
      <c r="D8309" t="s">
        <v>768</v>
      </c>
      <c r="F8309" t="s">
        <v>1562</v>
      </c>
      <c r="G8309" t="s">
        <v>8643</v>
      </c>
      <c r="H8309" t="s">
        <v>15301</v>
      </c>
      <c r="I8309" t="s">
        <v>17272</v>
      </c>
      <c r="J8309" t="s">
        <v>18894</v>
      </c>
      <c r="K8309">
        <v>11233</v>
      </c>
      <c r="L8309" t="s">
        <v>18958</v>
      </c>
      <c r="M8309" t="s">
        <v>18959</v>
      </c>
      <c r="N8309" t="s">
        <v>24935</v>
      </c>
      <c r="O8309" t="s">
        <v>26523</v>
      </c>
      <c r="P8309" t="s">
        <v>26560</v>
      </c>
      <c r="R8309" t="s">
        <v>26578</v>
      </c>
      <c r="S8309" t="s">
        <v>18959</v>
      </c>
      <c r="U8309" t="s">
        <v>26604</v>
      </c>
      <c r="V8309" t="s">
        <v>26610</v>
      </c>
      <c r="W8309" t="s">
        <v>797</v>
      </c>
      <c r="X8309">
        <v>901</v>
      </c>
      <c r="Y8309" t="s">
        <v>26652</v>
      </c>
      <c r="Z8309" t="s">
        <v>26660</v>
      </c>
      <c r="AB8309" t="s">
        <v>29223</v>
      </c>
      <c r="AD8309" t="s">
        <v>43299</v>
      </c>
      <c r="AE8309">
        <v>16</v>
      </c>
      <c r="AF8309" t="s">
        <v>45544</v>
      </c>
      <c r="AG8309" t="s">
        <v>19330</v>
      </c>
      <c r="AH8309">
        <v>9</v>
      </c>
      <c r="AI8309">
        <v>1</v>
      </c>
      <c r="AJ8309">
        <v>2</v>
      </c>
      <c r="AK8309">
        <v>121.46</v>
      </c>
      <c r="AN8309" t="s">
        <v>7439</v>
      </c>
      <c r="AO8309">
        <v>25908</v>
      </c>
      <c r="AU8309">
        <v>7.5</v>
      </c>
      <c r="AV8309" t="s">
        <v>832</v>
      </c>
      <c r="AW8309" t="s">
        <v>286</v>
      </c>
      <c r="AX8309" t="s">
        <v>46897</v>
      </c>
    </row>
    <row r="8310" spans="1:50">
      <c r="A8310" s="1">
        <f>HYPERLINK("https://lsnyc.legalserver.org/matter/dynamic-profile/view/1898772","19-1898772")</f>
        <v>0</v>
      </c>
      <c r="B8310" t="s">
        <v>117</v>
      </c>
      <c r="C8310" t="s">
        <v>340</v>
      </c>
      <c r="D8310" t="s">
        <v>770</v>
      </c>
      <c r="F8310" t="s">
        <v>4230</v>
      </c>
      <c r="G8310" t="s">
        <v>5136</v>
      </c>
      <c r="H8310" t="s">
        <v>15302</v>
      </c>
      <c r="I8310" t="s">
        <v>17355</v>
      </c>
      <c r="J8310" t="s">
        <v>18894</v>
      </c>
      <c r="K8310">
        <v>11233</v>
      </c>
      <c r="L8310" t="s">
        <v>18958</v>
      </c>
      <c r="M8310" t="s">
        <v>18959</v>
      </c>
      <c r="N8310" t="s">
        <v>24936</v>
      </c>
      <c r="O8310" t="s">
        <v>26523</v>
      </c>
      <c r="P8310" t="s">
        <v>26560</v>
      </c>
      <c r="R8310" t="s">
        <v>26578</v>
      </c>
      <c r="S8310" t="s">
        <v>18958</v>
      </c>
      <c r="T8310" t="s">
        <v>26578</v>
      </c>
      <c r="U8310" t="s">
        <v>26604</v>
      </c>
      <c r="V8310" t="s">
        <v>26610</v>
      </c>
      <c r="W8310" t="s">
        <v>797</v>
      </c>
      <c r="X8310">
        <v>944</v>
      </c>
      <c r="Y8310" t="s">
        <v>26652</v>
      </c>
      <c r="Z8310" t="s">
        <v>26674</v>
      </c>
      <c r="AB8310" t="s">
        <v>32763</v>
      </c>
      <c r="AC8310" t="s">
        <v>36504</v>
      </c>
      <c r="AD8310" t="s">
        <v>43300</v>
      </c>
      <c r="AE8310">
        <v>20</v>
      </c>
      <c r="AF8310" t="s">
        <v>45541</v>
      </c>
      <c r="AG8310" t="s">
        <v>26530</v>
      </c>
      <c r="AH8310">
        <v>3</v>
      </c>
      <c r="AI8310">
        <v>1</v>
      </c>
      <c r="AJ8310">
        <v>1</v>
      </c>
      <c r="AK8310">
        <v>67.42</v>
      </c>
      <c r="AN8310" t="s">
        <v>7439</v>
      </c>
      <c r="AO8310">
        <v>11400</v>
      </c>
      <c r="AU8310">
        <v>2.25</v>
      </c>
      <c r="AV8310" t="s">
        <v>807</v>
      </c>
      <c r="AW8310" t="s">
        <v>279</v>
      </c>
      <c r="AX8310" t="s">
        <v>46897</v>
      </c>
    </row>
    <row r="8311" spans="1:50">
      <c r="A8311" s="1">
        <f>HYPERLINK("https://lsnyc.legalserver.org/matter/dynamic-profile/view/1899657","19-1899657")</f>
        <v>0</v>
      </c>
      <c r="B8311" t="s">
        <v>117</v>
      </c>
      <c r="C8311" t="s">
        <v>340</v>
      </c>
      <c r="D8311" t="s">
        <v>813</v>
      </c>
      <c r="F8311" t="s">
        <v>1603</v>
      </c>
      <c r="G8311" t="s">
        <v>5300</v>
      </c>
      <c r="H8311" t="s">
        <v>15303</v>
      </c>
      <c r="I8311" t="s">
        <v>17347</v>
      </c>
      <c r="J8311" t="s">
        <v>18894</v>
      </c>
      <c r="K8311">
        <v>11212</v>
      </c>
      <c r="L8311" t="s">
        <v>18958</v>
      </c>
      <c r="M8311" t="s">
        <v>18960</v>
      </c>
      <c r="N8311" t="s">
        <v>24937</v>
      </c>
      <c r="O8311" t="s">
        <v>26523</v>
      </c>
      <c r="P8311" t="s">
        <v>26560</v>
      </c>
      <c r="R8311" t="s">
        <v>26578</v>
      </c>
      <c r="S8311" t="s">
        <v>18959</v>
      </c>
      <c r="U8311" t="s">
        <v>26604</v>
      </c>
      <c r="V8311" t="s">
        <v>26610</v>
      </c>
      <c r="W8311" t="s">
        <v>797</v>
      </c>
      <c r="X8311">
        <v>1025</v>
      </c>
      <c r="Y8311" t="s">
        <v>26652</v>
      </c>
      <c r="Z8311" t="s">
        <v>26530</v>
      </c>
      <c r="AB8311" t="s">
        <v>32764</v>
      </c>
      <c r="AD8311" t="s">
        <v>43301</v>
      </c>
      <c r="AE8311">
        <v>82</v>
      </c>
      <c r="AG8311" t="s">
        <v>45556</v>
      </c>
      <c r="AH8311">
        <v>12</v>
      </c>
      <c r="AI8311">
        <v>2</v>
      </c>
      <c r="AJ8311">
        <v>0</v>
      </c>
      <c r="AK8311">
        <v>260.2</v>
      </c>
      <c r="AN8311" t="s">
        <v>7439</v>
      </c>
      <c r="AO8311">
        <v>44000</v>
      </c>
      <c r="AP8311" t="s">
        <v>46091</v>
      </c>
      <c r="AU8311">
        <v>1.5</v>
      </c>
      <c r="AV8311" t="s">
        <v>843</v>
      </c>
      <c r="AW8311" t="s">
        <v>286</v>
      </c>
      <c r="AX8311" t="s">
        <v>46897</v>
      </c>
    </row>
    <row r="8312" spans="1:50">
      <c r="A8312" s="1">
        <f>HYPERLINK("https://lsnyc.legalserver.org/matter/dynamic-profile/view/1899732","19-1899732")</f>
        <v>0</v>
      </c>
      <c r="B8312" t="s">
        <v>200</v>
      </c>
      <c r="C8312" t="s">
        <v>340</v>
      </c>
      <c r="D8312" t="s">
        <v>818</v>
      </c>
      <c r="F8312" t="s">
        <v>1576</v>
      </c>
      <c r="G8312" t="s">
        <v>8644</v>
      </c>
      <c r="H8312" t="s">
        <v>15304</v>
      </c>
      <c r="I8312" t="s">
        <v>17277</v>
      </c>
      <c r="J8312" t="s">
        <v>18894</v>
      </c>
      <c r="K8312">
        <v>11233</v>
      </c>
      <c r="L8312" t="s">
        <v>18958</v>
      </c>
      <c r="M8312" t="s">
        <v>18960</v>
      </c>
      <c r="N8312" t="s">
        <v>24938</v>
      </c>
      <c r="O8312" t="s">
        <v>26523</v>
      </c>
      <c r="P8312" t="s">
        <v>26560</v>
      </c>
      <c r="R8312" t="s">
        <v>26578</v>
      </c>
      <c r="S8312" t="s">
        <v>18959</v>
      </c>
      <c r="U8312" t="s">
        <v>26604</v>
      </c>
      <c r="V8312" t="s">
        <v>26612</v>
      </c>
      <c r="W8312" t="s">
        <v>797</v>
      </c>
      <c r="X8312">
        <v>1322</v>
      </c>
      <c r="Y8312" t="s">
        <v>26652</v>
      </c>
      <c r="Z8312" t="s">
        <v>26657</v>
      </c>
      <c r="AB8312" t="s">
        <v>32765</v>
      </c>
      <c r="AC8312" t="s">
        <v>36505</v>
      </c>
      <c r="AD8312" t="s">
        <v>43302</v>
      </c>
      <c r="AE8312">
        <v>48</v>
      </c>
      <c r="AF8312" t="s">
        <v>45541</v>
      </c>
      <c r="AG8312" t="s">
        <v>45557</v>
      </c>
      <c r="AH8312">
        <v>3</v>
      </c>
      <c r="AI8312">
        <v>1</v>
      </c>
      <c r="AJ8312">
        <v>0</v>
      </c>
      <c r="AK8312">
        <v>53.77</v>
      </c>
      <c r="AN8312" t="s">
        <v>7439</v>
      </c>
      <c r="AO8312">
        <v>6715.8</v>
      </c>
      <c r="AU8312">
        <v>5.9</v>
      </c>
      <c r="AV8312" t="s">
        <v>839</v>
      </c>
      <c r="AW8312" t="s">
        <v>279</v>
      </c>
      <c r="AX8312" t="s">
        <v>46897</v>
      </c>
    </row>
    <row r="8313" spans="1:50">
      <c r="A8313" s="1">
        <f>HYPERLINK("https://lsnyc.legalserver.org/matter/dynamic-profile/view/1899962","19-1899962")</f>
        <v>0</v>
      </c>
      <c r="B8313" t="s">
        <v>200</v>
      </c>
      <c r="C8313" t="s">
        <v>340</v>
      </c>
      <c r="D8313" t="s">
        <v>819</v>
      </c>
      <c r="F8313" t="s">
        <v>2262</v>
      </c>
      <c r="G8313" t="s">
        <v>6890</v>
      </c>
      <c r="H8313" t="s">
        <v>15305</v>
      </c>
      <c r="I8313">
        <v>413</v>
      </c>
      <c r="J8313" t="s">
        <v>18894</v>
      </c>
      <c r="K8313">
        <v>11207</v>
      </c>
      <c r="L8313" t="s">
        <v>18958</v>
      </c>
      <c r="M8313" t="s">
        <v>18960</v>
      </c>
      <c r="N8313" t="s">
        <v>24939</v>
      </c>
      <c r="O8313" t="s">
        <v>26523</v>
      </c>
      <c r="P8313" t="s">
        <v>26560</v>
      </c>
      <c r="R8313" t="s">
        <v>26578</v>
      </c>
      <c r="S8313" t="s">
        <v>18959</v>
      </c>
      <c r="U8313" t="s">
        <v>26604</v>
      </c>
      <c r="V8313" t="s">
        <v>26610</v>
      </c>
      <c r="W8313" t="s">
        <v>797</v>
      </c>
      <c r="X8313">
        <v>906</v>
      </c>
      <c r="Y8313" t="s">
        <v>26652</v>
      </c>
      <c r="AB8313" t="s">
        <v>32766</v>
      </c>
      <c r="AD8313" t="s">
        <v>43303</v>
      </c>
      <c r="AE8313">
        <v>98</v>
      </c>
      <c r="AH8313">
        <v>8</v>
      </c>
      <c r="AI8313">
        <v>1</v>
      </c>
      <c r="AJ8313">
        <v>1</v>
      </c>
      <c r="AK8313">
        <v>0</v>
      </c>
      <c r="AN8313" t="s">
        <v>7439</v>
      </c>
      <c r="AO8313">
        <v>0</v>
      </c>
      <c r="AU8313">
        <v>4.9</v>
      </c>
      <c r="AV8313" t="s">
        <v>838</v>
      </c>
      <c r="AW8313" t="s">
        <v>286</v>
      </c>
      <c r="AX8313" t="s">
        <v>46897</v>
      </c>
    </row>
    <row r="8314" spans="1:50">
      <c r="A8314" s="1">
        <f>HYPERLINK("https://lsnyc.legalserver.org/matter/dynamic-profile/view/1900011","19-1900011")</f>
        <v>0</v>
      </c>
      <c r="B8314" t="s">
        <v>295</v>
      </c>
      <c r="C8314" t="s">
        <v>340</v>
      </c>
      <c r="D8314" t="s">
        <v>819</v>
      </c>
      <c r="F8314" t="s">
        <v>1082</v>
      </c>
      <c r="G8314" t="s">
        <v>5657</v>
      </c>
      <c r="H8314" t="s">
        <v>10516</v>
      </c>
      <c r="I8314" t="s">
        <v>17283</v>
      </c>
      <c r="J8314" t="s">
        <v>18894</v>
      </c>
      <c r="K8314">
        <v>11213</v>
      </c>
      <c r="L8314" t="s">
        <v>18958</v>
      </c>
      <c r="M8314" t="s">
        <v>18960</v>
      </c>
      <c r="N8314" t="s">
        <v>24940</v>
      </c>
      <c r="O8314" t="s">
        <v>26523</v>
      </c>
      <c r="P8314" t="s">
        <v>26560</v>
      </c>
      <c r="R8314" t="s">
        <v>26578</v>
      </c>
      <c r="S8314" t="s">
        <v>18959</v>
      </c>
      <c r="U8314" t="s">
        <v>26604</v>
      </c>
      <c r="W8314" t="s">
        <v>797</v>
      </c>
      <c r="X8314">
        <v>412</v>
      </c>
      <c r="Y8314" t="s">
        <v>26652</v>
      </c>
      <c r="Z8314" t="s">
        <v>26665</v>
      </c>
      <c r="AB8314" t="s">
        <v>27638</v>
      </c>
      <c r="AC8314" t="s">
        <v>34805</v>
      </c>
      <c r="AD8314" t="s">
        <v>37692</v>
      </c>
      <c r="AE8314">
        <v>19</v>
      </c>
      <c r="AF8314" t="s">
        <v>45541</v>
      </c>
      <c r="AH8314">
        <v>12</v>
      </c>
      <c r="AI8314">
        <v>3</v>
      </c>
      <c r="AJ8314">
        <v>0</v>
      </c>
      <c r="AK8314">
        <v>48.76</v>
      </c>
      <c r="AN8314" t="s">
        <v>7439</v>
      </c>
      <c r="AO8314">
        <v>10400</v>
      </c>
      <c r="AU8314">
        <v>2</v>
      </c>
      <c r="AV8314" t="s">
        <v>827</v>
      </c>
      <c r="AW8314" t="s">
        <v>279</v>
      </c>
      <c r="AX8314" t="s">
        <v>46897</v>
      </c>
    </row>
    <row r="8315" spans="1:50">
      <c r="A8315" s="1">
        <f>HYPERLINK("https://lsnyc.legalserver.org/matter/dynamic-profile/view/1900382","19-1900382")</f>
        <v>0</v>
      </c>
      <c r="B8315" t="s">
        <v>200</v>
      </c>
      <c r="C8315" t="s">
        <v>340</v>
      </c>
      <c r="D8315" t="s">
        <v>804</v>
      </c>
      <c r="F8315" t="s">
        <v>1010</v>
      </c>
      <c r="G8315" t="s">
        <v>8645</v>
      </c>
      <c r="H8315" t="s">
        <v>15306</v>
      </c>
      <c r="I8315" t="s">
        <v>17309</v>
      </c>
      <c r="J8315" t="s">
        <v>18894</v>
      </c>
      <c r="K8315">
        <v>11212</v>
      </c>
      <c r="L8315" t="s">
        <v>18958</v>
      </c>
      <c r="M8315" t="s">
        <v>18960</v>
      </c>
      <c r="N8315" t="s">
        <v>19330</v>
      </c>
      <c r="O8315" t="s">
        <v>26524</v>
      </c>
      <c r="P8315" t="s">
        <v>26565</v>
      </c>
      <c r="R8315" t="s">
        <v>26578</v>
      </c>
      <c r="S8315" t="s">
        <v>18959</v>
      </c>
      <c r="U8315" t="s">
        <v>26604</v>
      </c>
      <c r="V8315" t="s">
        <v>26610</v>
      </c>
      <c r="W8315" t="s">
        <v>797</v>
      </c>
      <c r="X8315">
        <v>1400</v>
      </c>
      <c r="Y8315" t="s">
        <v>26652</v>
      </c>
      <c r="Z8315" t="s">
        <v>26664</v>
      </c>
      <c r="AB8315" t="s">
        <v>32767</v>
      </c>
      <c r="AC8315" t="s">
        <v>19330</v>
      </c>
      <c r="AD8315" t="s">
        <v>43304</v>
      </c>
      <c r="AE8315">
        <v>4</v>
      </c>
      <c r="AF8315" t="s">
        <v>45547</v>
      </c>
      <c r="AG8315" t="s">
        <v>19330</v>
      </c>
      <c r="AH8315">
        <v>16</v>
      </c>
      <c r="AI8315">
        <v>1</v>
      </c>
      <c r="AJ8315">
        <v>0</v>
      </c>
      <c r="AK8315">
        <v>156.41</v>
      </c>
      <c r="AN8315" t="s">
        <v>7439</v>
      </c>
      <c r="AO8315">
        <v>19536</v>
      </c>
      <c r="AU8315">
        <v>2.1</v>
      </c>
      <c r="AV8315" t="s">
        <v>729</v>
      </c>
      <c r="AW8315" t="s">
        <v>279</v>
      </c>
      <c r="AX8315" t="s">
        <v>46897</v>
      </c>
    </row>
    <row r="8316" spans="1:50">
      <c r="A8316" s="1">
        <f>HYPERLINK("https://lsnyc.legalserver.org/matter/dynamic-profile/view/1901066","19-1901066")</f>
        <v>0</v>
      </c>
      <c r="B8316" t="s">
        <v>288</v>
      </c>
      <c r="C8316" t="s">
        <v>341</v>
      </c>
      <c r="D8316" t="s">
        <v>825</v>
      </c>
      <c r="E8316" t="s">
        <v>797</v>
      </c>
      <c r="F8316" t="s">
        <v>893</v>
      </c>
      <c r="G8316" t="s">
        <v>8057</v>
      </c>
      <c r="H8316" t="s">
        <v>15307</v>
      </c>
      <c r="I8316" t="s">
        <v>17711</v>
      </c>
      <c r="J8316" t="s">
        <v>18894</v>
      </c>
      <c r="K8316">
        <v>11236</v>
      </c>
      <c r="L8316" t="s">
        <v>18958</v>
      </c>
      <c r="M8316" t="s">
        <v>18960</v>
      </c>
      <c r="N8316" t="s">
        <v>24941</v>
      </c>
      <c r="O8316" t="s">
        <v>26523</v>
      </c>
      <c r="P8316" t="s">
        <v>26563</v>
      </c>
      <c r="Q8316" t="s">
        <v>26570</v>
      </c>
      <c r="R8316" t="s">
        <v>26586</v>
      </c>
      <c r="U8316" t="s">
        <v>26604</v>
      </c>
      <c r="W8316" t="s">
        <v>797</v>
      </c>
      <c r="X8316">
        <v>1515</v>
      </c>
      <c r="Y8316" t="s">
        <v>26652</v>
      </c>
      <c r="Z8316" t="s">
        <v>26664</v>
      </c>
      <c r="AA8316" t="s">
        <v>26683</v>
      </c>
      <c r="AB8316" t="s">
        <v>28477</v>
      </c>
      <c r="AD8316" t="s">
        <v>43305</v>
      </c>
      <c r="AE8316">
        <v>3</v>
      </c>
      <c r="AG8316" t="s">
        <v>45557</v>
      </c>
      <c r="AH8316">
        <v>0</v>
      </c>
      <c r="AI8316">
        <v>2</v>
      </c>
      <c r="AJ8316">
        <v>2</v>
      </c>
      <c r="AK8316">
        <v>0</v>
      </c>
      <c r="AN8316" t="s">
        <v>7439</v>
      </c>
      <c r="AO8316">
        <v>0</v>
      </c>
      <c r="AU8316">
        <v>1.4</v>
      </c>
      <c r="AV8316" t="s">
        <v>797</v>
      </c>
      <c r="AW8316" t="s">
        <v>46862</v>
      </c>
      <c r="AX8316" t="s">
        <v>46897</v>
      </c>
    </row>
    <row r="8317" spans="1:50">
      <c r="A8317" s="1">
        <f>HYPERLINK("https://lsnyc.legalserver.org/matter/dynamic-profile/view/1901128","19-1901128")</f>
        <v>0</v>
      </c>
      <c r="B8317" t="s">
        <v>174</v>
      </c>
      <c r="C8317" t="s">
        <v>341</v>
      </c>
      <c r="D8317" t="s">
        <v>797</v>
      </c>
      <c r="E8317" t="s">
        <v>797</v>
      </c>
      <c r="F8317" t="s">
        <v>4231</v>
      </c>
      <c r="G8317" t="s">
        <v>5220</v>
      </c>
      <c r="H8317" t="s">
        <v>15308</v>
      </c>
      <c r="I8317">
        <v>1</v>
      </c>
      <c r="J8317" t="s">
        <v>18894</v>
      </c>
      <c r="K8317">
        <v>11207</v>
      </c>
      <c r="L8317" t="s">
        <v>18958</v>
      </c>
      <c r="M8317" t="s">
        <v>18960</v>
      </c>
      <c r="N8317" t="s">
        <v>24942</v>
      </c>
      <c r="O8317" t="s">
        <v>26524</v>
      </c>
      <c r="P8317" t="s">
        <v>26564</v>
      </c>
      <c r="Q8317" t="s">
        <v>26570</v>
      </c>
      <c r="R8317" t="s">
        <v>26578</v>
      </c>
      <c r="U8317" t="s">
        <v>26604</v>
      </c>
      <c r="W8317" t="s">
        <v>797</v>
      </c>
      <c r="X8317">
        <v>557</v>
      </c>
      <c r="Y8317" t="s">
        <v>26652</v>
      </c>
      <c r="Z8317" t="s">
        <v>26668</v>
      </c>
      <c r="AA8317" t="s">
        <v>26683</v>
      </c>
      <c r="AB8317" t="s">
        <v>32768</v>
      </c>
      <c r="AC8317">
        <v>7956478</v>
      </c>
      <c r="AD8317" t="s">
        <v>43306</v>
      </c>
      <c r="AE8317">
        <v>3</v>
      </c>
      <c r="AF8317" t="s">
        <v>20460</v>
      </c>
      <c r="AG8317" t="s">
        <v>45556</v>
      </c>
      <c r="AH8317">
        <v>10</v>
      </c>
      <c r="AI8317">
        <v>3</v>
      </c>
      <c r="AJ8317">
        <v>0</v>
      </c>
      <c r="AK8317">
        <v>90.12</v>
      </c>
      <c r="AN8317" t="s">
        <v>7439</v>
      </c>
      <c r="AO8317">
        <v>19222</v>
      </c>
      <c r="AU8317">
        <v>1</v>
      </c>
      <c r="AV8317" t="s">
        <v>797</v>
      </c>
      <c r="AW8317" t="s">
        <v>46856</v>
      </c>
      <c r="AX8317" t="s">
        <v>46897</v>
      </c>
    </row>
    <row r="8318" spans="1:50">
      <c r="A8318" s="1">
        <f>HYPERLINK("https://lsnyc.legalserver.org/matter/dynamic-profile/view/1901171","19-1901171")</f>
        <v>0</v>
      </c>
      <c r="B8318" t="s">
        <v>72</v>
      </c>
      <c r="C8318" t="s">
        <v>341</v>
      </c>
      <c r="D8318" t="s">
        <v>797</v>
      </c>
      <c r="E8318" t="s">
        <v>834</v>
      </c>
      <c r="F8318" t="s">
        <v>1076</v>
      </c>
      <c r="G8318" t="s">
        <v>6270</v>
      </c>
      <c r="H8318" t="s">
        <v>15309</v>
      </c>
      <c r="I8318" t="s">
        <v>17349</v>
      </c>
      <c r="J8318" t="s">
        <v>18893</v>
      </c>
      <c r="K8318">
        <v>10033</v>
      </c>
      <c r="L8318" t="s">
        <v>18958</v>
      </c>
      <c r="M8318" t="s">
        <v>18960</v>
      </c>
      <c r="P8318" t="s">
        <v>26565</v>
      </c>
      <c r="Q8318" t="s">
        <v>26571</v>
      </c>
      <c r="R8318" t="s">
        <v>26578</v>
      </c>
      <c r="S8318" t="s">
        <v>18959</v>
      </c>
      <c r="U8318" t="s">
        <v>26604</v>
      </c>
      <c r="W8318" t="s">
        <v>797</v>
      </c>
      <c r="X8318">
        <v>1800</v>
      </c>
      <c r="Y8318" t="s">
        <v>26651</v>
      </c>
      <c r="Z8318" t="s">
        <v>26661</v>
      </c>
      <c r="AA8318" t="s">
        <v>26681</v>
      </c>
      <c r="AB8318" t="s">
        <v>32769</v>
      </c>
      <c r="AD8318" t="s">
        <v>43307</v>
      </c>
      <c r="AE8318">
        <v>95</v>
      </c>
      <c r="AF8318" t="s">
        <v>45541</v>
      </c>
      <c r="AG8318" t="s">
        <v>19330</v>
      </c>
      <c r="AH8318">
        <v>9</v>
      </c>
      <c r="AI8318">
        <v>1</v>
      </c>
      <c r="AJ8318">
        <v>0</v>
      </c>
      <c r="AK8318">
        <v>272.22</v>
      </c>
      <c r="AN8318" t="s">
        <v>7439</v>
      </c>
      <c r="AO8318">
        <v>34000</v>
      </c>
      <c r="AU8318">
        <v>0.1</v>
      </c>
      <c r="AV8318" t="s">
        <v>834</v>
      </c>
      <c r="AW8318" t="s">
        <v>46840</v>
      </c>
      <c r="AX8318" t="s">
        <v>46897</v>
      </c>
    </row>
    <row r="8319" spans="1:50">
      <c r="A8319" s="1">
        <f>HYPERLINK("https://lsnyc.legalserver.org/matter/dynamic-profile/view/1901164","19-1901164")</f>
        <v>0</v>
      </c>
      <c r="B8319" t="s">
        <v>72</v>
      </c>
      <c r="C8319" t="s">
        <v>341</v>
      </c>
      <c r="D8319" t="s">
        <v>797</v>
      </c>
      <c r="E8319" t="s">
        <v>834</v>
      </c>
      <c r="F8319" t="s">
        <v>3766</v>
      </c>
      <c r="G8319" t="s">
        <v>6849</v>
      </c>
      <c r="H8319" t="s">
        <v>15310</v>
      </c>
      <c r="I8319" t="s">
        <v>17356</v>
      </c>
      <c r="J8319" t="s">
        <v>18893</v>
      </c>
      <c r="K8319">
        <v>10034</v>
      </c>
      <c r="L8319" t="s">
        <v>18958</v>
      </c>
      <c r="M8319" t="s">
        <v>18960</v>
      </c>
      <c r="O8319" t="s">
        <v>26534</v>
      </c>
      <c r="P8319" t="s">
        <v>26563</v>
      </c>
      <c r="Q8319" t="s">
        <v>26571</v>
      </c>
      <c r="R8319" t="s">
        <v>26578</v>
      </c>
      <c r="S8319" t="s">
        <v>18959</v>
      </c>
      <c r="U8319" t="s">
        <v>26604</v>
      </c>
      <c r="W8319" t="s">
        <v>797</v>
      </c>
      <c r="X8319">
        <v>1670</v>
      </c>
      <c r="Y8319" t="s">
        <v>26651</v>
      </c>
      <c r="Z8319" t="s">
        <v>26661</v>
      </c>
      <c r="AA8319" t="s">
        <v>26681</v>
      </c>
      <c r="AB8319" t="s">
        <v>28079</v>
      </c>
      <c r="AD8319" t="s">
        <v>43308</v>
      </c>
      <c r="AE8319">
        <v>60</v>
      </c>
      <c r="AF8319" t="s">
        <v>45541</v>
      </c>
      <c r="AG8319" t="s">
        <v>19330</v>
      </c>
      <c r="AH8319">
        <v>6</v>
      </c>
      <c r="AI8319">
        <v>1</v>
      </c>
      <c r="AJ8319">
        <v>0</v>
      </c>
      <c r="AK8319">
        <v>960.77</v>
      </c>
      <c r="AN8319" t="s">
        <v>7439</v>
      </c>
      <c r="AO8319">
        <v>120000</v>
      </c>
      <c r="AU8319">
        <v>0.1</v>
      </c>
      <c r="AV8319" t="s">
        <v>834</v>
      </c>
      <c r="AW8319" t="s">
        <v>46840</v>
      </c>
      <c r="AX8319" t="s">
        <v>46897</v>
      </c>
    </row>
    <row r="8320" spans="1:50">
      <c r="A8320" s="1">
        <f>HYPERLINK("https://lsnyc.legalserver.org/matter/dynamic-profile/view/1901178","19-1901178")</f>
        <v>0</v>
      </c>
      <c r="B8320" t="s">
        <v>72</v>
      </c>
      <c r="C8320" t="s">
        <v>341</v>
      </c>
      <c r="D8320" t="s">
        <v>797</v>
      </c>
      <c r="E8320" t="s">
        <v>834</v>
      </c>
      <c r="F8320" t="s">
        <v>1189</v>
      </c>
      <c r="G8320" t="s">
        <v>7450</v>
      </c>
      <c r="H8320" t="s">
        <v>15309</v>
      </c>
      <c r="I8320" t="s">
        <v>17600</v>
      </c>
      <c r="J8320" t="s">
        <v>18893</v>
      </c>
      <c r="K8320">
        <v>10033</v>
      </c>
      <c r="L8320" t="s">
        <v>18958</v>
      </c>
      <c r="M8320" t="s">
        <v>18960</v>
      </c>
      <c r="O8320" t="s">
        <v>26529</v>
      </c>
      <c r="P8320" t="s">
        <v>26565</v>
      </c>
      <c r="Q8320" t="s">
        <v>26571</v>
      </c>
      <c r="R8320" t="s">
        <v>26578</v>
      </c>
      <c r="S8320" t="s">
        <v>18959</v>
      </c>
      <c r="U8320" t="s">
        <v>26604</v>
      </c>
      <c r="W8320" t="s">
        <v>797</v>
      </c>
      <c r="X8320">
        <v>1900</v>
      </c>
      <c r="Y8320" t="s">
        <v>26651</v>
      </c>
      <c r="Z8320" t="s">
        <v>26661</v>
      </c>
      <c r="AA8320" t="s">
        <v>26681</v>
      </c>
      <c r="AB8320" t="s">
        <v>27309</v>
      </c>
      <c r="AD8320" t="s">
        <v>43309</v>
      </c>
      <c r="AE8320">
        <v>95</v>
      </c>
      <c r="AF8320" t="s">
        <v>45541</v>
      </c>
      <c r="AG8320" t="s">
        <v>19330</v>
      </c>
      <c r="AH8320">
        <v>2</v>
      </c>
      <c r="AI8320">
        <v>2</v>
      </c>
      <c r="AJ8320">
        <v>0</v>
      </c>
      <c r="AK8320">
        <v>1094.03</v>
      </c>
      <c r="AN8320" t="s">
        <v>7439</v>
      </c>
      <c r="AO8320">
        <v>185000</v>
      </c>
      <c r="AU8320">
        <v>0.1</v>
      </c>
      <c r="AV8320" t="s">
        <v>834</v>
      </c>
      <c r="AW8320" t="s">
        <v>46840</v>
      </c>
      <c r="AX8320" t="s">
        <v>46897</v>
      </c>
    </row>
    <row r="8321" spans="1:50">
      <c r="A8321" s="1">
        <f>HYPERLINK("https://lsnyc.legalserver.org/matter/dynamic-profile/view/1901614","19-1901614")</f>
        <v>0</v>
      </c>
      <c r="B8321" t="s">
        <v>75</v>
      </c>
      <c r="C8321" t="s">
        <v>341</v>
      </c>
      <c r="D8321" t="s">
        <v>797</v>
      </c>
      <c r="E8321" t="s">
        <v>814</v>
      </c>
      <c r="F8321" t="s">
        <v>887</v>
      </c>
      <c r="G8321" t="s">
        <v>5100</v>
      </c>
      <c r="H8321" t="s">
        <v>15311</v>
      </c>
      <c r="I8321" t="s">
        <v>17298</v>
      </c>
      <c r="J8321" t="s">
        <v>18892</v>
      </c>
      <c r="K8321">
        <v>10452</v>
      </c>
      <c r="L8321" t="s">
        <v>18958</v>
      </c>
      <c r="M8321" t="s">
        <v>18960</v>
      </c>
      <c r="N8321" t="s">
        <v>19045</v>
      </c>
      <c r="O8321" t="s">
        <v>26523</v>
      </c>
      <c r="P8321" t="s">
        <v>26564</v>
      </c>
      <c r="Q8321" t="s">
        <v>26570</v>
      </c>
      <c r="R8321" t="s">
        <v>26578</v>
      </c>
      <c r="S8321" t="s">
        <v>18959</v>
      </c>
      <c r="U8321" t="s">
        <v>26604</v>
      </c>
      <c r="W8321" t="s">
        <v>797</v>
      </c>
      <c r="X8321">
        <v>1750</v>
      </c>
      <c r="Y8321" t="s">
        <v>26650</v>
      </c>
      <c r="Z8321" t="s">
        <v>26663</v>
      </c>
      <c r="AA8321" t="s">
        <v>26683</v>
      </c>
      <c r="AB8321" t="s">
        <v>32770</v>
      </c>
      <c r="AD8321" t="s">
        <v>43310</v>
      </c>
      <c r="AE8321">
        <v>34</v>
      </c>
      <c r="AF8321" t="s">
        <v>45541</v>
      </c>
      <c r="AG8321" t="s">
        <v>19330</v>
      </c>
      <c r="AH8321">
        <v>1</v>
      </c>
      <c r="AI8321">
        <v>2</v>
      </c>
      <c r="AJ8321">
        <v>1</v>
      </c>
      <c r="AK8321">
        <v>48.76</v>
      </c>
      <c r="AN8321" t="s">
        <v>7439</v>
      </c>
      <c r="AO8321">
        <v>10400</v>
      </c>
      <c r="AU8321">
        <v>0.5</v>
      </c>
      <c r="AV8321" t="s">
        <v>797</v>
      </c>
      <c r="AW8321" t="s">
        <v>336</v>
      </c>
      <c r="AX8321" t="s">
        <v>46897</v>
      </c>
    </row>
    <row r="8322" spans="1:50">
      <c r="A8322" s="1">
        <f>HYPERLINK("https://lsnyc.legalserver.org/matter/dynamic-profile/view/1901153","19-1901153")</f>
        <v>0</v>
      </c>
      <c r="B8322" t="s">
        <v>235</v>
      </c>
      <c r="C8322" t="s">
        <v>341</v>
      </c>
      <c r="D8322" t="s">
        <v>797</v>
      </c>
      <c r="E8322" t="s">
        <v>729</v>
      </c>
      <c r="F8322" t="s">
        <v>939</v>
      </c>
      <c r="G8322" t="s">
        <v>5300</v>
      </c>
      <c r="H8322" t="s">
        <v>15312</v>
      </c>
      <c r="I8322" t="s">
        <v>18159</v>
      </c>
      <c r="J8322" t="s">
        <v>18905</v>
      </c>
      <c r="K8322">
        <v>11692</v>
      </c>
      <c r="L8322" t="s">
        <v>18958</v>
      </c>
      <c r="M8322" t="s">
        <v>18960</v>
      </c>
      <c r="N8322" t="s">
        <v>24943</v>
      </c>
      <c r="O8322" t="s">
        <v>26523</v>
      </c>
      <c r="P8322" t="s">
        <v>26560</v>
      </c>
      <c r="Q8322" t="s">
        <v>26568</v>
      </c>
      <c r="R8322" t="s">
        <v>26578</v>
      </c>
      <c r="S8322" t="s">
        <v>18958</v>
      </c>
      <c r="U8322" t="s">
        <v>26604</v>
      </c>
      <c r="W8322" t="s">
        <v>797</v>
      </c>
      <c r="X8322">
        <v>519</v>
      </c>
      <c r="Y8322" t="s">
        <v>26653</v>
      </c>
      <c r="Z8322" t="s">
        <v>26664</v>
      </c>
      <c r="AA8322" t="s">
        <v>26678</v>
      </c>
      <c r="AB8322" t="s">
        <v>32771</v>
      </c>
      <c r="AC8322" t="s">
        <v>36506</v>
      </c>
      <c r="AD8322" t="s">
        <v>43311</v>
      </c>
      <c r="AE8322">
        <v>18</v>
      </c>
      <c r="AG8322" t="s">
        <v>45556</v>
      </c>
      <c r="AH8322">
        <v>2</v>
      </c>
      <c r="AI8322">
        <v>2</v>
      </c>
      <c r="AJ8322">
        <v>0</v>
      </c>
      <c r="AK8322">
        <v>63.87</v>
      </c>
      <c r="AN8322" t="s">
        <v>7439</v>
      </c>
      <c r="AO8322">
        <v>10800</v>
      </c>
      <c r="AQ8322" t="s">
        <v>46365</v>
      </c>
      <c r="AR8322" t="s">
        <v>46379</v>
      </c>
      <c r="AS8322" t="s">
        <v>46499</v>
      </c>
      <c r="AT8322" t="s">
        <v>46727</v>
      </c>
      <c r="AU8322">
        <v>11.1</v>
      </c>
      <c r="AV8322" t="s">
        <v>729</v>
      </c>
      <c r="AW8322" t="s">
        <v>46884</v>
      </c>
      <c r="AX8322" t="s">
        <v>46897</v>
      </c>
    </row>
    <row r="8323" spans="1:50">
      <c r="A8323" s="1">
        <f>HYPERLINK("https://lsnyc.legalserver.org/matter/dynamic-profile/view/1901145","19-1901145")</f>
        <v>0</v>
      </c>
      <c r="B8323" t="s">
        <v>105</v>
      </c>
      <c r="C8323" t="s">
        <v>340</v>
      </c>
      <c r="D8323" t="s">
        <v>797</v>
      </c>
      <c r="F8323" t="s">
        <v>1087</v>
      </c>
      <c r="G8323" t="s">
        <v>8646</v>
      </c>
      <c r="H8323" t="s">
        <v>15313</v>
      </c>
      <c r="I8323" t="s">
        <v>18552</v>
      </c>
      <c r="J8323" t="s">
        <v>18928</v>
      </c>
      <c r="K8323">
        <v>11366</v>
      </c>
      <c r="L8323" t="s">
        <v>18958</v>
      </c>
      <c r="M8323" t="s">
        <v>18960</v>
      </c>
      <c r="N8323" t="s">
        <v>24944</v>
      </c>
      <c r="O8323" t="s">
        <v>26524</v>
      </c>
      <c r="P8323" t="s">
        <v>26563</v>
      </c>
      <c r="R8323" t="s">
        <v>26584</v>
      </c>
      <c r="S8323" t="s">
        <v>18959</v>
      </c>
      <c r="U8323" t="s">
        <v>26604</v>
      </c>
      <c r="W8323" t="s">
        <v>797</v>
      </c>
      <c r="X8323">
        <v>2290</v>
      </c>
      <c r="Y8323" t="s">
        <v>26653</v>
      </c>
      <c r="Z8323" t="s">
        <v>26664</v>
      </c>
      <c r="AB8323" t="s">
        <v>32772</v>
      </c>
      <c r="AD8323" t="s">
        <v>43312</v>
      </c>
      <c r="AE8323">
        <v>0</v>
      </c>
      <c r="AH8323">
        <v>0</v>
      </c>
      <c r="AI8323">
        <v>1</v>
      </c>
      <c r="AJ8323">
        <v>3</v>
      </c>
      <c r="AK8323">
        <v>0</v>
      </c>
      <c r="AN8323" t="s">
        <v>45581</v>
      </c>
      <c r="AO8323">
        <v>0</v>
      </c>
      <c r="AU8323">
        <v>0.1</v>
      </c>
      <c r="AV8323" t="s">
        <v>729</v>
      </c>
      <c r="AW8323" t="s">
        <v>46884</v>
      </c>
    </row>
    <row r="8324" spans="1:50">
      <c r="A8324" s="1">
        <f>HYPERLINK("https://lsnyc.legalserver.org/matter/dynamic-profile/view/1901175","19-1901175")</f>
        <v>0</v>
      </c>
      <c r="B8324" t="s">
        <v>61</v>
      </c>
      <c r="C8324" t="s">
        <v>340</v>
      </c>
      <c r="D8324" t="s">
        <v>797</v>
      </c>
      <c r="F8324" t="s">
        <v>4232</v>
      </c>
      <c r="G8324" t="s">
        <v>5879</v>
      </c>
      <c r="H8324" t="s">
        <v>15314</v>
      </c>
      <c r="I8324" t="s">
        <v>17496</v>
      </c>
      <c r="J8324" t="s">
        <v>18893</v>
      </c>
      <c r="K8324">
        <v>10033</v>
      </c>
      <c r="L8324" t="s">
        <v>18958</v>
      </c>
      <c r="M8324" t="s">
        <v>18960</v>
      </c>
      <c r="O8324" t="s">
        <v>26529</v>
      </c>
      <c r="P8324" t="s">
        <v>26564</v>
      </c>
      <c r="R8324" t="s">
        <v>26578</v>
      </c>
      <c r="S8324" t="s">
        <v>18959</v>
      </c>
      <c r="U8324" t="s">
        <v>26604</v>
      </c>
      <c r="W8324" t="s">
        <v>797</v>
      </c>
      <c r="X8324">
        <v>1850</v>
      </c>
      <c r="Y8324" t="s">
        <v>26651</v>
      </c>
      <c r="Z8324" t="s">
        <v>26661</v>
      </c>
      <c r="AB8324" t="s">
        <v>32773</v>
      </c>
      <c r="AE8324">
        <v>53</v>
      </c>
      <c r="AF8324" t="s">
        <v>45541</v>
      </c>
      <c r="AG8324" t="s">
        <v>19330</v>
      </c>
      <c r="AH8324">
        <v>4</v>
      </c>
      <c r="AI8324">
        <v>2</v>
      </c>
      <c r="AJ8324">
        <v>1</v>
      </c>
      <c r="AK8324">
        <v>334.23</v>
      </c>
      <c r="AN8324" t="s">
        <v>45581</v>
      </c>
      <c r="AO8324">
        <v>71292</v>
      </c>
      <c r="AU8324">
        <v>1</v>
      </c>
      <c r="AV8324" t="s">
        <v>825</v>
      </c>
      <c r="AW8324" t="s">
        <v>46840</v>
      </c>
      <c r="AX8324" t="s">
        <v>46897</v>
      </c>
    </row>
    <row r="8325" spans="1:50">
      <c r="A8325" s="1">
        <f>HYPERLINK("https://lsnyc.legalserver.org/matter/dynamic-profile/view/1901143","19-1901143")</f>
        <v>0</v>
      </c>
      <c r="B8325" t="s">
        <v>70</v>
      </c>
      <c r="C8325" t="s">
        <v>340</v>
      </c>
      <c r="D8325" t="s">
        <v>797</v>
      </c>
      <c r="F8325" t="s">
        <v>4233</v>
      </c>
      <c r="G8325" t="s">
        <v>5762</v>
      </c>
      <c r="H8325" t="s">
        <v>15315</v>
      </c>
      <c r="I8325">
        <v>4</v>
      </c>
      <c r="J8325" t="s">
        <v>18892</v>
      </c>
      <c r="K8325">
        <v>10467</v>
      </c>
      <c r="L8325" t="s">
        <v>18958</v>
      </c>
      <c r="M8325" t="s">
        <v>18960</v>
      </c>
      <c r="N8325" t="s">
        <v>24945</v>
      </c>
      <c r="O8325" t="s">
        <v>26523</v>
      </c>
      <c r="P8325" t="s">
        <v>26560</v>
      </c>
      <c r="R8325" t="s">
        <v>26579</v>
      </c>
      <c r="S8325" t="s">
        <v>18959</v>
      </c>
      <c r="U8325" t="s">
        <v>26604</v>
      </c>
      <c r="V8325" t="s">
        <v>26609</v>
      </c>
      <c r="W8325" t="s">
        <v>797</v>
      </c>
      <c r="X8325">
        <v>1318.91</v>
      </c>
      <c r="Y8325" t="s">
        <v>26650</v>
      </c>
      <c r="Z8325" t="s">
        <v>26664</v>
      </c>
      <c r="AB8325" t="s">
        <v>32774</v>
      </c>
      <c r="AD8325" t="s">
        <v>43313</v>
      </c>
      <c r="AE8325">
        <v>13</v>
      </c>
      <c r="AF8325" t="s">
        <v>20460</v>
      </c>
      <c r="AH8325">
        <v>9</v>
      </c>
      <c r="AI8325">
        <v>1</v>
      </c>
      <c r="AJ8325">
        <v>2</v>
      </c>
      <c r="AK8325">
        <v>158.46</v>
      </c>
      <c r="AO8325">
        <v>33800</v>
      </c>
      <c r="AU8325">
        <v>3.9</v>
      </c>
      <c r="AV8325" t="s">
        <v>839</v>
      </c>
      <c r="AW8325" t="s">
        <v>335</v>
      </c>
      <c r="AX8325" t="s">
        <v>46897</v>
      </c>
    </row>
    <row r="8326" spans="1:50">
      <c r="A8326" s="1">
        <f>HYPERLINK("https://lsnyc.legalserver.org/matter/dynamic-profile/view/1901071","19-1901071")</f>
        <v>0</v>
      </c>
      <c r="B8326" t="s">
        <v>230</v>
      </c>
      <c r="C8326" t="s">
        <v>340</v>
      </c>
      <c r="D8326" t="s">
        <v>797</v>
      </c>
      <c r="F8326" t="s">
        <v>2023</v>
      </c>
      <c r="G8326" t="s">
        <v>8647</v>
      </c>
      <c r="H8326" t="s">
        <v>15316</v>
      </c>
      <c r="I8326" t="s">
        <v>17436</v>
      </c>
      <c r="J8326" t="s">
        <v>18894</v>
      </c>
      <c r="K8326">
        <v>11203</v>
      </c>
      <c r="L8326" t="s">
        <v>18958</v>
      </c>
      <c r="M8326" t="s">
        <v>18960</v>
      </c>
      <c r="N8326" t="s">
        <v>24946</v>
      </c>
      <c r="O8326" t="s">
        <v>26523</v>
      </c>
      <c r="P8326" t="s">
        <v>26560</v>
      </c>
      <c r="R8326" t="s">
        <v>26586</v>
      </c>
      <c r="U8326" t="s">
        <v>26604</v>
      </c>
      <c r="W8326" t="s">
        <v>797</v>
      </c>
      <c r="X8326">
        <v>1071</v>
      </c>
      <c r="Y8326" t="s">
        <v>26652</v>
      </c>
      <c r="Z8326" t="s">
        <v>26664</v>
      </c>
      <c r="AB8326" t="s">
        <v>32775</v>
      </c>
      <c r="AC8326" t="s">
        <v>36507</v>
      </c>
      <c r="AD8326" t="s">
        <v>43314</v>
      </c>
      <c r="AE8326">
        <v>20</v>
      </c>
      <c r="AF8326" t="s">
        <v>45541</v>
      </c>
      <c r="AG8326" t="s">
        <v>19330</v>
      </c>
      <c r="AH8326">
        <v>3</v>
      </c>
      <c r="AI8326">
        <v>1</v>
      </c>
      <c r="AJ8326">
        <v>2</v>
      </c>
      <c r="AK8326">
        <v>17.67</v>
      </c>
      <c r="AN8326" t="s">
        <v>7439</v>
      </c>
      <c r="AO8326">
        <v>3770</v>
      </c>
      <c r="AU8326">
        <v>4.2</v>
      </c>
      <c r="AV8326" t="s">
        <v>835</v>
      </c>
      <c r="AW8326" t="s">
        <v>46861</v>
      </c>
      <c r="AX8326" t="s">
        <v>46897</v>
      </c>
    </row>
    <row r="8327" spans="1:50">
      <c r="A8327" s="1">
        <f>HYPERLINK("https://lsnyc.legalserver.org/matter/dynamic-profile/view/1901076","19-1901076")</f>
        <v>0</v>
      </c>
      <c r="B8327" t="s">
        <v>99</v>
      </c>
      <c r="C8327" t="s">
        <v>340</v>
      </c>
      <c r="D8327" t="s">
        <v>797</v>
      </c>
      <c r="F8327" t="s">
        <v>4234</v>
      </c>
      <c r="G8327" t="s">
        <v>5177</v>
      </c>
      <c r="H8327" t="s">
        <v>11995</v>
      </c>
      <c r="I8327" t="s">
        <v>18553</v>
      </c>
      <c r="J8327" t="s">
        <v>18894</v>
      </c>
      <c r="K8327">
        <v>11226</v>
      </c>
      <c r="L8327" t="s">
        <v>18958</v>
      </c>
      <c r="M8327" t="s">
        <v>18960</v>
      </c>
      <c r="N8327" t="s">
        <v>24947</v>
      </c>
      <c r="O8327" t="s">
        <v>26523</v>
      </c>
      <c r="P8327" t="s">
        <v>26560</v>
      </c>
      <c r="R8327" t="s">
        <v>26588</v>
      </c>
      <c r="S8327" t="s">
        <v>18959</v>
      </c>
      <c r="U8327" t="s">
        <v>26604</v>
      </c>
      <c r="W8327" t="s">
        <v>797</v>
      </c>
      <c r="X8327">
        <v>1475</v>
      </c>
      <c r="Y8327" t="s">
        <v>26652</v>
      </c>
      <c r="Z8327" t="s">
        <v>26664</v>
      </c>
      <c r="AB8327" t="s">
        <v>32776</v>
      </c>
      <c r="AD8327" t="s">
        <v>43315</v>
      </c>
      <c r="AE8327">
        <v>0</v>
      </c>
      <c r="AF8327" t="s">
        <v>45541</v>
      </c>
      <c r="AG8327" t="s">
        <v>19330</v>
      </c>
      <c r="AH8327">
        <v>1</v>
      </c>
      <c r="AI8327">
        <v>1</v>
      </c>
      <c r="AJ8327">
        <v>2</v>
      </c>
      <c r="AK8327">
        <v>37.69</v>
      </c>
      <c r="AN8327" t="s">
        <v>7439</v>
      </c>
      <c r="AO8327">
        <v>8040</v>
      </c>
      <c r="AU8327">
        <v>4.1</v>
      </c>
      <c r="AV8327" t="s">
        <v>835</v>
      </c>
      <c r="AW8327" t="s">
        <v>46858</v>
      </c>
      <c r="AX8327" t="s">
        <v>46897</v>
      </c>
    </row>
    <row r="8328" spans="1:50">
      <c r="A8328" s="1">
        <f>HYPERLINK("https://lsnyc.legalserver.org/matter/dynamic-profile/view/1901083","19-1901083")</f>
        <v>0</v>
      </c>
      <c r="B8328" t="s">
        <v>134</v>
      </c>
      <c r="C8328" t="s">
        <v>340</v>
      </c>
      <c r="D8328" t="s">
        <v>797</v>
      </c>
      <c r="F8328" t="s">
        <v>3792</v>
      </c>
      <c r="G8328" t="s">
        <v>5241</v>
      </c>
      <c r="H8328" t="s">
        <v>14512</v>
      </c>
      <c r="I8328" t="s">
        <v>17299</v>
      </c>
      <c r="J8328" t="s">
        <v>18894</v>
      </c>
      <c r="K8328">
        <v>11212</v>
      </c>
      <c r="L8328" t="s">
        <v>18958</v>
      </c>
      <c r="M8328" t="s">
        <v>18960</v>
      </c>
      <c r="N8328" t="s">
        <v>24948</v>
      </c>
      <c r="O8328" t="s">
        <v>26523</v>
      </c>
      <c r="P8328" t="s">
        <v>26560</v>
      </c>
      <c r="R8328" t="s">
        <v>26578</v>
      </c>
      <c r="S8328" t="s">
        <v>18959</v>
      </c>
      <c r="U8328" t="s">
        <v>26604</v>
      </c>
      <c r="V8328" t="s">
        <v>26610</v>
      </c>
      <c r="W8328" t="s">
        <v>797</v>
      </c>
      <c r="X8328">
        <v>1326</v>
      </c>
      <c r="Y8328" t="s">
        <v>26652</v>
      </c>
      <c r="Z8328" t="s">
        <v>26530</v>
      </c>
      <c r="AB8328" t="s">
        <v>31921</v>
      </c>
      <c r="AC8328" t="s">
        <v>34805</v>
      </c>
      <c r="AE8328">
        <v>16</v>
      </c>
      <c r="AF8328" t="s">
        <v>45541</v>
      </c>
      <c r="AG8328" t="s">
        <v>45558</v>
      </c>
      <c r="AH8328">
        <v>3</v>
      </c>
      <c r="AI8328">
        <v>1</v>
      </c>
      <c r="AJ8328">
        <v>1</v>
      </c>
      <c r="AK8328">
        <v>116.88</v>
      </c>
      <c r="AN8328" t="s">
        <v>7439</v>
      </c>
      <c r="AO8328">
        <v>19764</v>
      </c>
      <c r="AP8328" t="s">
        <v>46031</v>
      </c>
      <c r="AU8328">
        <v>2.6</v>
      </c>
      <c r="AV8328" t="s">
        <v>833</v>
      </c>
      <c r="AW8328" t="s">
        <v>279</v>
      </c>
      <c r="AX8328" t="s">
        <v>46897</v>
      </c>
    </row>
    <row r="8329" spans="1:50">
      <c r="A8329" s="1">
        <f>HYPERLINK("https://lsnyc.legalserver.org/matter/dynamic-profile/view/1901082","19-1901082")</f>
        <v>0</v>
      </c>
      <c r="B8329" t="s">
        <v>158</v>
      </c>
      <c r="C8329" t="s">
        <v>340</v>
      </c>
      <c r="D8329" t="s">
        <v>797</v>
      </c>
      <c r="F8329" t="s">
        <v>2724</v>
      </c>
      <c r="G8329" t="s">
        <v>8648</v>
      </c>
      <c r="H8329" t="s">
        <v>15317</v>
      </c>
      <c r="I8329" t="s">
        <v>18554</v>
      </c>
      <c r="J8329" t="s">
        <v>18894</v>
      </c>
      <c r="K8329">
        <v>11225</v>
      </c>
      <c r="L8329" t="s">
        <v>18958</v>
      </c>
      <c r="M8329" t="s">
        <v>18960</v>
      </c>
      <c r="N8329" t="s">
        <v>24949</v>
      </c>
      <c r="O8329" t="s">
        <v>26524</v>
      </c>
      <c r="P8329" t="s">
        <v>26560</v>
      </c>
      <c r="R8329" t="s">
        <v>26588</v>
      </c>
      <c r="S8329" t="s">
        <v>18959</v>
      </c>
      <c r="U8329" t="s">
        <v>26604</v>
      </c>
      <c r="W8329" t="s">
        <v>797</v>
      </c>
      <c r="X8329">
        <v>930.26</v>
      </c>
      <c r="Y8329" t="s">
        <v>26652</v>
      </c>
      <c r="Z8329" t="s">
        <v>26669</v>
      </c>
      <c r="AB8329" t="s">
        <v>32777</v>
      </c>
      <c r="AD8329" t="s">
        <v>43316</v>
      </c>
      <c r="AE8329">
        <v>60</v>
      </c>
      <c r="AF8329" t="s">
        <v>45541</v>
      </c>
      <c r="AH8329">
        <v>10</v>
      </c>
      <c r="AI8329">
        <v>1</v>
      </c>
      <c r="AJ8329">
        <v>0</v>
      </c>
      <c r="AK8329">
        <v>299.76</v>
      </c>
      <c r="AN8329" t="s">
        <v>7439</v>
      </c>
      <c r="AO8329">
        <v>37440</v>
      </c>
      <c r="AU8329">
        <v>3</v>
      </c>
      <c r="AV8329" t="s">
        <v>797</v>
      </c>
      <c r="AW8329" t="s">
        <v>46850</v>
      </c>
    </row>
    <row r="8330" spans="1:50">
      <c r="A8330" s="1">
        <f>HYPERLINK("https://lsnyc.legalserver.org/matter/dynamic-profile/view/1901179","19-1901179")</f>
        <v>0</v>
      </c>
      <c r="B8330" t="s">
        <v>72</v>
      </c>
      <c r="C8330" t="s">
        <v>340</v>
      </c>
      <c r="D8330" t="s">
        <v>797</v>
      </c>
      <c r="F8330" t="s">
        <v>1729</v>
      </c>
      <c r="G8330" t="s">
        <v>5311</v>
      </c>
      <c r="H8330" t="s">
        <v>15318</v>
      </c>
      <c r="I8330">
        <v>68</v>
      </c>
      <c r="J8330" t="s">
        <v>18893</v>
      </c>
      <c r="K8330">
        <v>10033</v>
      </c>
      <c r="L8330" t="s">
        <v>18958</v>
      </c>
      <c r="M8330" t="s">
        <v>18960</v>
      </c>
      <c r="O8330" t="s">
        <v>26529</v>
      </c>
      <c r="P8330" t="s">
        <v>26563</v>
      </c>
      <c r="R8330" t="s">
        <v>26578</v>
      </c>
      <c r="S8330" t="s">
        <v>18959</v>
      </c>
      <c r="U8330" t="s">
        <v>26604</v>
      </c>
      <c r="W8330" t="s">
        <v>797</v>
      </c>
      <c r="X8330">
        <v>3400</v>
      </c>
      <c r="Y8330" t="s">
        <v>26651</v>
      </c>
      <c r="Z8330" t="s">
        <v>26661</v>
      </c>
      <c r="AB8330" t="s">
        <v>32778</v>
      </c>
      <c r="AE8330">
        <v>67</v>
      </c>
      <c r="AF8330" t="s">
        <v>45541</v>
      </c>
      <c r="AG8330" t="s">
        <v>19330</v>
      </c>
      <c r="AH8330">
        <v>4</v>
      </c>
      <c r="AI8330">
        <v>2</v>
      </c>
      <c r="AJ8330">
        <v>3</v>
      </c>
      <c r="AK8330">
        <v>397.75</v>
      </c>
      <c r="AN8330" t="s">
        <v>7439</v>
      </c>
      <c r="AO8330">
        <v>120000</v>
      </c>
      <c r="AU8330">
        <v>0</v>
      </c>
      <c r="AW8330" t="s">
        <v>46840</v>
      </c>
      <c r="AX8330" t="s">
        <v>46897</v>
      </c>
    </row>
    <row r="8331" spans="1:50">
      <c r="A8331" s="1">
        <f>HYPERLINK("https://lsnyc.legalserver.org/matter/dynamic-profile/view/1901101","19-1901101")</f>
        <v>0</v>
      </c>
      <c r="B8331" t="s">
        <v>213</v>
      </c>
      <c r="C8331" t="s">
        <v>340</v>
      </c>
      <c r="D8331" t="s">
        <v>797</v>
      </c>
      <c r="F8331" t="s">
        <v>1139</v>
      </c>
      <c r="G8331" t="s">
        <v>5147</v>
      </c>
      <c r="H8331" t="s">
        <v>9938</v>
      </c>
      <c r="I8331" t="s">
        <v>17417</v>
      </c>
      <c r="J8331" t="s">
        <v>18892</v>
      </c>
      <c r="K8331">
        <v>10453</v>
      </c>
      <c r="L8331" t="s">
        <v>18958</v>
      </c>
      <c r="M8331" t="s">
        <v>18960</v>
      </c>
      <c r="N8331" t="s">
        <v>24950</v>
      </c>
      <c r="O8331" t="s">
        <v>26523</v>
      </c>
      <c r="P8331" t="s">
        <v>26560</v>
      </c>
      <c r="R8331" t="s">
        <v>26577</v>
      </c>
      <c r="S8331" t="s">
        <v>18959</v>
      </c>
      <c r="U8331" t="s">
        <v>26604</v>
      </c>
      <c r="W8331" t="s">
        <v>797</v>
      </c>
      <c r="X8331">
        <v>1109.83</v>
      </c>
      <c r="Y8331" t="s">
        <v>26650</v>
      </c>
      <c r="Z8331" t="s">
        <v>26668</v>
      </c>
      <c r="AB8331" t="s">
        <v>27025</v>
      </c>
      <c r="AC8331" t="s">
        <v>34585</v>
      </c>
      <c r="AD8331" t="s">
        <v>37110</v>
      </c>
      <c r="AE8331">
        <v>0</v>
      </c>
      <c r="AF8331" t="s">
        <v>45541</v>
      </c>
      <c r="AG8331" t="s">
        <v>45557</v>
      </c>
      <c r="AH8331">
        <v>12</v>
      </c>
      <c r="AI8331">
        <v>2</v>
      </c>
      <c r="AJ8331">
        <v>0</v>
      </c>
      <c r="AK8331">
        <v>64.58</v>
      </c>
      <c r="AN8331" t="s">
        <v>45581</v>
      </c>
      <c r="AO8331">
        <v>10920</v>
      </c>
      <c r="AU8331">
        <v>12.1</v>
      </c>
      <c r="AV8331" t="s">
        <v>821</v>
      </c>
      <c r="AW8331" t="s">
        <v>46870</v>
      </c>
      <c r="AX8331" t="s">
        <v>46898</v>
      </c>
    </row>
    <row r="8332" spans="1:50">
      <c r="A8332" s="1">
        <f>HYPERLINK("https://lsnyc.legalserver.org/matter/dynamic-profile/view/1901172","19-1901172")</f>
        <v>0</v>
      </c>
      <c r="B8332" t="s">
        <v>200</v>
      </c>
      <c r="C8332" t="s">
        <v>340</v>
      </c>
      <c r="D8332" t="s">
        <v>797</v>
      </c>
      <c r="F8332" t="s">
        <v>4235</v>
      </c>
      <c r="G8332" t="s">
        <v>6172</v>
      </c>
      <c r="H8332" t="s">
        <v>15319</v>
      </c>
      <c r="I8332" t="s">
        <v>17624</v>
      </c>
      <c r="J8332" t="s">
        <v>18894</v>
      </c>
      <c r="K8332">
        <v>11212</v>
      </c>
      <c r="L8332" t="s">
        <v>18958</v>
      </c>
      <c r="M8332" t="s">
        <v>18960</v>
      </c>
      <c r="N8332" t="s">
        <v>19330</v>
      </c>
      <c r="O8332" t="s">
        <v>26526</v>
      </c>
      <c r="P8332" t="s">
        <v>26563</v>
      </c>
      <c r="R8332" t="s">
        <v>26578</v>
      </c>
      <c r="S8332" t="s">
        <v>18959</v>
      </c>
      <c r="U8332" t="s">
        <v>26604</v>
      </c>
      <c r="W8332" t="s">
        <v>797</v>
      </c>
      <c r="X8332">
        <v>1640</v>
      </c>
      <c r="Y8332" t="s">
        <v>26652</v>
      </c>
      <c r="Z8332" t="s">
        <v>26530</v>
      </c>
      <c r="AB8332" t="s">
        <v>32779</v>
      </c>
      <c r="AD8332" t="s">
        <v>43317</v>
      </c>
      <c r="AE8332">
        <v>3</v>
      </c>
      <c r="AF8332" t="s">
        <v>45547</v>
      </c>
      <c r="AG8332" t="s">
        <v>26530</v>
      </c>
      <c r="AH8332">
        <v>5</v>
      </c>
      <c r="AI8332">
        <v>2</v>
      </c>
      <c r="AJ8332">
        <v>0</v>
      </c>
      <c r="AK8332">
        <v>54.71</v>
      </c>
      <c r="AN8332" t="s">
        <v>7439</v>
      </c>
      <c r="AO8332">
        <v>9252</v>
      </c>
      <c r="AU8332">
        <v>1.3</v>
      </c>
      <c r="AV8332" t="s">
        <v>729</v>
      </c>
      <c r="AW8332" t="s">
        <v>286</v>
      </c>
      <c r="AX8332" t="s">
        <v>46897</v>
      </c>
    </row>
    <row r="8333" spans="1:50">
      <c r="A8333" s="1">
        <f>HYPERLINK("https://lsnyc.legalserver.org/matter/dynamic-profile/view/1901157","19-1901157")</f>
        <v>0</v>
      </c>
      <c r="B8333" t="s">
        <v>65</v>
      </c>
      <c r="C8333" t="s">
        <v>340</v>
      </c>
      <c r="D8333" t="s">
        <v>797</v>
      </c>
      <c r="F8333" t="s">
        <v>4236</v>
      </c>
      <c r="G8333" t="s">
        <v>5190</v>
      </c>
      <c r="H8333" t="s">
        <v>15320</v>
      </c>
      <c r="I8333">
        <v>2</v>
      </c>
      <c r="J8333" t="s">
        <v>18892</v>
      </c>
      <c r="K8333">
        <v>10462</v>
      </c>
      <c r="L8333" t="s">
        <v>18958</v>
      </c>
      <c r="M8333" t="s">
        <v>18960</v>
      </c>
      <c r="N8333" t="s">
        <v>24951</v>
      </c>
      <c r="O8333" t="s">
        <v>26523</v>
      </c>
      <c r="P8333" t="s">
        <v>26560</v>
      </c>
      <c r="R8333" t="s">
        <v>26579</v>
      </c>
      <c r="U8333" t="s">
        <v>26604</v>
      </c>
      <c r="V8333" t="s">
        <v>26611</v>
      </c>
      <c r="W8333" t="s">
        <v>797</v>
      </c>
      <c r="X8333">
        <v>1550</v>
      </c>
      <c r="Y8333" t="s">
        <v>26650</v>
      </c>
      <c r="Z8333" t="s">
        <v>26664</v>
      </c>
      <c r="AB8333" t="s">
        <v>31003</v>
      </c>
      <c r="AC8333" t="s">
        <v>36508</v>
      </c>
      <c r="AD8333" t="s">
        <v>43318</v>
      </c>
      <c r="AE8333">
        <v>0</v>
      </c>
      <c r="AF8333" t="s">
        <v>45541</v>
      </c>
      <c r="AG8333" t="s">
        <v>19330</v>
      </c>
      <c r="AH8333">
        <v>6</v>
      </c>
      <c r="AI8333">
        <v>2</v>
      </c>
      <c r="AJ8333">
        <v>1</v>
      </c>
      <c r="AK8333">
        <v>0</v>
      </c>
      <c r="AN8333" t="s">
        <v>45581</v>
      </c>
      <c r="AO8333">
        <v>0</v>
      </c>
      <c r="AU8333">
        <v>1.5</v>
      </c>
      <c r="AV8333" t="s">
        <v>814</v>
      </c>
      <c r="AW8333" t="s">
        <v>335</v>
      </c>
      <c r="AX8333" t="s">
        <v>46898</v>
      </c>
    </row>
    <row r="8334" spans="1:50">
      <c r="A8334" s="1">
        <f>HYPERLINK("https://lsnyc.legalserver.org/matter/dynamic-profile/view/1901169","19-1901169")</f>
        <v>0</v>
      </c>
      <c r="B8334" t="s">
        <v>65</v>
      </c>
      <c r="C8334" t="s">
        <v>340</v>
      </c>
      <c r="D8334" t="s">
        <v>797</v>
      </c>
      <c r="F8334" t="s">
        <v>1592</v>
      </c>
      <c r="G8334" t="s">
        <v>5341</v>
      </c>
      <c r="H8334" t="s">
        <v>15321</v>
      </c>
      <c r="I8334" t="s">
        <v>17306</v>
      </c>
      <c r="J8334" t="s">
        <v>18892</v>
      </c>
      <c r="K8334">
        <v>10468</v>
      </c>
      <c r="L8334" t="s">
        <v>18958</v>
      </c>
      <c r="M8334" t="s">
        <v>18960</v>
      </c>
      <c r="N8334" t="s">
        <v>24952</v>
      </c>
      <c r="O8334" t="s">
        <v>26523</v>
      </c>
      <c r="P8334" t="s">
        <v>26560</v>
      </c>
      <c r="R8334" t="s">
        <v>26579</v>
      </c>
      <c r="S8334" t="s">
        <v>18959</v>
      </c>
      <c r="U8334" t="s">
        <v>26604</v>
      </c>
      <c r="V8334" t="s">
        <v>26610</v>
      </c>
      <c r="W8334" t="s">
        <v>797</v>
      </c>
      <c r="X8334">
        <v>338</v>
      </c>
      <c r="Y8334" t="s">
        <v>26650</v>
      </c>
      <c r="AB8334" t="s">
        <v>27004</v>
      </c>
      <c r="AC8334" t="s">
        <v>36509</v>
      </c>
      <c r="AD8334" t="s">
        <v>43319</v>
      </c>
      <c r="AE8334">
        <v>0</v>
      </c>
      <c r="AF8334" t="s">
        <v>45541</v>
      </c>
      <c r="AG8334" t="s">
        <v>45556</v>
      </c>
      <c r="AH8334">
        <v>3</v>
      </c>
      <c r="AI8334">
        <v>2</v>
      </c>
      <c r="AJ8334">
        <v>0</v>
      </c>
      <c r="AK8334">
        <v>99.56</v>
      </c>
      <c r="AN8334" t="s">
        <v>7439</v>
      </c>
      <c r="AO8334">
        <v>16836</v>
      </c>
      <c r="AU8334">
        <v>1.9</v>
      </c>
      <c r="AV8334" t="s">
        <v>834</v>
      </c>
      <c r="AW8334" t="s">
        <v>335</v>
      </c>
      <c r="AX8334" t="s">
        <v>46898</v>
      </c>
    </row>
    <row r="8335" spans="1:50">
      <c r="A8335" s="1">
        <f>HYPERLINK("https://lsnyc.legalserver.org/matter/dynamic-profile/view/1901163","19-1901163")</f>
        <v>0</v>
      </c>
      <c r="B8335" t="s">
        <v>269</v>
      </c>
      <c r="C8335" t="s">
        <v>340</v>
      </c>
      <c r="D8335" t="s">
        <v>797</v>
      </c>
      <c r="F8335" t="s">
        <v>4237</v>
      </c>
      <c r="G8335" t="s">
        <v>8649</v>
      </c>
      <c r="H8335" t="s">
        <v>15322</v>
      </c>
      <c r="I8335" t="s">
        <v>17374</v>
      </c>
      <c r="J8335" t="s">
        <v>18892</v>
      </c>
      <c r="K8335">
        <v>10467</v>
      </c>
      <c r="L8335" t="s">
        <v>18958</v>
      </c>
      <c r="M8335" t="s">
        <v>18960</v>
      </c>
      <c r="N8335" t="s">
        <v>24953</v>
      </c>
      <c r="O8335" t="s">
        <v>26524</v>
      </c>
      <c r="P8335" t="s">
        <v>26560</v>
      </c>
      <c r="R8335" t="s">
        <v>26579</v>
      </c>
      <c r="S8335" t="s">
        <v>18959</v>
      </c>
      <c r="U8335" t="s">
        <v>26604</v>
      </c>
      <c r="W8335" t="s">
        <v>797</v>
      </c>
      <c r="X8335">
        <v>900</v>
      </c>
      <c r="Y8335" t="s">
        <v>26650</v>
      </c>
      <c r="Z8335" t="s">
        <v>26664</v>
      </c>
      <c r="AB8335" t="s">
        <v>29209</v>
      </c>
      <c r="AD8335" t="s">
        <v>43320</v>
      </c>
      <c r="AE8335">
        <v>2</v>
      </c>
      <c r="AF8335" t="s">
        <v>45545</v>
      </c>
      <c r="AG8335" t="s">
        <v>19330</v>
      </c>
      <c r="AH8335">
        <v>7</v>
      </c>
      <c r="AI8335">
        <v>2</v>
      </c>
      <c r="AJ8335">
        <v>0</v>
      </c>
      <c r="AK8335">
        <v>100.84</v>
      </c>
      <c r="AO8335">
        <v>17052</v>
      </c>
      <c r="AU8335">
        <v>4.95</v>
      </c>
      <c r="AV8335" t="s">
        <v>835</v>
      </c>
      <c r="AW8335" t="s">
        <v>46847</v>
      </c>
      <c r="AX8335" t="s">
        <v>46897</v>
      </c>
    </row>
    <row r="8336" spans="1:50">
      <c r="A8336" s="1">
        <f>HYPERLINK("https://lsnyc.legalserver.org/matter/dynamic-profile/view/1901148","19-1901148")</f>
        <v>0</v>
      </c>
      <c r="B8336" t="s">
        <v>269</v>
      </c>
      <c r="C8336" t="s">
        <v>340</v>
      </c>
      <c r="D8336" t="s">
        <v>797</v>
      </c>
      <c r="F8336" t="s">
        <v>4238</v>
      </c>
      <c r="G8336" t="s">
        <v>5461</v>
      </c>
      <c r="H8336" t="s">
        <v>11594</v>
      </c>
      <c r="I8336" t="s">
        <v>17803</v>
      </c>
      <c r="J8336" t="s">
        <v>18892</v>
      </c>
      <c r="K8336">
        <v>10467</v>
      </c>
      <c r="L8336" t="s">
        <v>18958</v>
      </c>
      <c r="M8336" t="s">
        <v>18960</v>
      </c>
      <c r="N8336" t="s">
        <v>24954</v>
      </c>
      <c r="O8336" t="s">
        <v>26523</v>
      </c>
      <c r="P8336" t="s">
        <v>26560</v>
      </c>
      <c r="R8336" t="s">
        <v>26579</v>
      </c>
      <c r="S8336" t="s">
        <v>18959</v>
      </c>
      <c r="U8336" t="s">
        <v>26604</v>
      </c>
      <c r="W8336" t="s">
        <v>797</v>
      </c>
      <c r="X8336">
        <v>1450</v>
      </c>
      <c r="Y8336" t="s">
        <v>26650</v>
      </c>
      <c r="Z8336" t="s">
        <v>26668</v>
      </c>
      <c r="AB8336" t="s">
        <v>32780</v>
      </c>
      <c r="AE8336">
        <v>49</v>
      </c>
      <c r="AF8336" t="s">
        <v>45541</v>
      </c>
      <c r="AG8336" t="s">
        <v>19330</v>
      </c>
      <c r="AH8336">
        <v>12</v>
      </c>
      <c r="AI8336">
        <v>1</v>
      </c>
      <c r="AJ8336">
        <v>0</v>
      </c>
      <c r="AK8336">
        <v>187.35</v>
      </c>
      <c r="AO8336">
        <v>23400</v>
      </c>
      <c r="AU8336">
        <v>4.45</v>
      </c>
      <c r="AV8336" t="s">
        <v>829</v>
      </c>
      <c r="AW8336" t="s">
        <v>46847</v>
      </c>
      <c r="AX8336" t="s">
        <v>46897</v>
      </c>
    </row>
    <row r="8337" spans="1:50">
      <c r="A8337" s="1">
        <f>HYPERLINK("https://lsnyc.legalserver.org/matter/dynamic-profile/view/1901087","19-1901087")</f>
        <v>0</v>
      </c>
      <c r="B8337" t="s">
        <v>87</v>
      </c>
      <c r="C8337" t="s">
        <v>340</v>
      </c>
      <c r="D8337" t="s">
        <v>797</v>
      </c>
      <c r="F8337" t="s">
        <v>1339</v>
      </c>
      <c r="G8337" t="s">
        <v>5673</v>
      </c>
      <c r="H8337" t="s">
        <v>15323</v>
      </c>
      <c r="I8337" t="s">
        <v>17389</v>
      </c>
      <c r="J8337" t="s">
        <v>18892</v>
      </c>
      <c r="K8337">
        <v>10457</v>
      </c>
      <c r="L8337" t="s">
        <v>18958</v>
      </c>
      <c r="M8337" t="s">
        <v>18960</v>
      </c>
      <c r="N8337" t="s">
        <v>24955</v>
      </c>
      <c r="O8337" t="s">
        <v>26523</v>
      </c>
      <c r="P8337" t="s">
        <v>26560</v>
      </c>
      <c r="R8337" t="s">
        <v>26579</v>
      </c>
      <c r="S8337" t="s">
        <v>18959</v>
      </c>
      <c r="U8337" t="s">
        <v>26604</v>
      </c>
      <c r="W8337" t="s">
        <v>797</v>
      </c>
      <c r="X8337">
        <v>0</v>
      </c>
      <c r="Y8337" t="s">
        <v>26650</v>
      </c>
      <c r="AB8337" t="s">
        <v>32084</v>
      </c>
      <c r="AC8337" t="s">
        <v>36510</v>
      </c>
      <c r="AD8337" t="s">
        <v>43321</v>
      </c>
      <c r="AE8337">
        <v>0</v>
      </c>
      <c r="AH8337">
        <v>1</v>
      </c>
      <c r="AI8337">
        <v>2</v>
      </c>
      <c r="AJ8337">
        <v>0</v>
      </c>
      <c r="AK8337">
        <v>78.06</v>
      </c>
      <c r="AN8337" t="s">
        <v>7439</v>
      </c>
      <c r="AO8337">
        <v>13200</v>
      </c>
      <c r="AU8337">
        <v>1.5</v>
      </c>
      <c r="AV8337" t="s">
        <v>772</v>
      </c>
      <c r="AW8337" t="s">
        <v>335</v>
      </c>
      <c r="AX8337" t="s">
        <v>46898</v>
      </c>
    </row>
    <row r="8338" spans="1:50">
      <c r="A8338" s="1">
        <f>HYPERLINK("https://lsnyc.legalserver.org/matter/dynamic-profile/view/1901300","19-1901300")</f>
        <v>0</v>
      </c>
      <c r="B8338" t="s">
        <v>295</v>
      </c>
      <c r="C8338" t="s">
        <v>340</v>
      </c>
      <c r="D8338" t="s">
        <v>807</v>
      </c>
      <c r="F8338" t="s">
        <v>1756</v>
      </c>
      <c r="G8338" t="s">
        <v>8335</v>
      </c>
      <c r="H8338" t="s">
        <v>14774</v>
      </c>
      <c r="I8338" t="s">
        <v>17309</v>
      </c>
      <c r="J8338" t="s">
        <v>18894</v>
      </c>
      <c r="K8338">
        <v>11212</v>
      </c>
      <c r="L8338" t="s">
        <v>18958</v>
      </c>
      <c r="M8338" t="s">
        <v>18960</v>
      </c>
      <c r="N8338" t="s">
        <v>24956</v>
      </c>
      <c r="O8338" t="s">
        <v>26528</v>
      </c>
      <c r="P8338" t="s">
        <v>26560</v>
      </c>
      <c r="R8338" t="s">
        <v>26578</v>
      </c>
      <c r="U8338" t="s">
        <v>26604</v>
      </c>
      <c r="V8338" t="s">
        <v>26610</v>
      </c>
      <c r="W8338" t="s">
        <v>797</v>
      </c>
      <c r="X8338">
        <v>1500</v>
      </c>
      <c r="Y8338" t="s">
        <v>26652</v>
      </c>
      <c r="Z8338" t="s">
        <v>26659</v>
      </c>
      <c r="AB8338" t="s">
        <v>32275</v>
      </c>
      <c r="AD8338" t="s">
        <v>42656</v>
      </c>
      <c r="AE8338">
        <v>6</v>
      </c>
      <c r="AF8338" t="s">
        <v>45541</v>
      </c>
      <c r="AH8338">
        <v>2</v>
      </c>
      <c r="AI8338">
        <v>2</v>
      </c>
      <c r="AJ8338">
        <v>0</v>
      </c>
      <c r="AK8338">
        <v>49.67</v>
      </c>
      <c r="AN8338" t="s">
        <v>7439</v>
      </c>
      <c r="AO8338">
        <v>8400</v>
      </c>
      <c r="AU8338">
        <v>0.5</v>
      </c>
      <c r="AV8338" t="s">
        <v>828</v>
      </c>
      <c r="AW8338" t="s">
        <v>279</v>
      </c>
      <c r="AX8338" t="s">
        <v>46897</v>
      </c>
    </row>
    <row r="8339" spans="1:50">
      <c r="A8339" s="1">
        <f>HYPERLINK("https://lsnyc.legalserver.org/matter/dynamic-profile/view/1901313","19-1901313")</f>
        <v>0</v>
      </c>
      <c r="B8339" t="s">
        <v>295</v>
      </c>
      <c r="C8339" t="s">
        <v>340</v>
      </c>
      <c r="D8339" t="s">
        <v>807</v>
      </c>
      <c r="F8339" t="s">
        <v>3962</v>
      </c>
      <c r="G8339" t="s">
        <v>8336</v>
      </c>
      <c r="H8339" t="s">
        <v>14774</v>
      </c>
      <c r="I8339" t="s">
        <v>17331</v>
      </c>
      <c r="J8339" t="s">
        <v>18894</v>
      </c>
      <c r="K8339">
        <v>11212</v>
      </c>
      <c r="L8339" t="s">
        <v>18958</v>
      </c>
      <c r="M8339" t="s">
        <v>18960</v>
      </c>
      <c r="N8339" t="s">
        <v>24956</v>
      </c>
      <c r="O8339" t="s">
        <v>26528</v>
      </c>
      <c r="P8339" t="s">
        <v>26560</v>
      </c>
      <c r="R8339" t="s">
        <v>26578</v>
      </c>
      <c r="S8339" t="s">
        <v>18958</v>
      </c>
      <c r="U8339" t="s">
        <v>26604</v>
      </c>
      <c r="V8339" t="s">
        <v>26610</v>
      </c>
      <c r="W8339" t="s">
        <v>797</v>
      </c>
      <c r="X8339">
        <v>1326</v>
      </c>
      <c r="Y8339" t="s">
        <v>26652</v>
      </c>
      <c r="Z8339" t="s">
        <v>26659</v>
      </c>
      <c r="AB8339" t="s">
        <v>32276</v>
      </c>
      <c r="AD8339" t="s">
        <v>42657</v>
      </c>
      <c r="AE8339">
        <v>4</v>
      </c>
      <c r="AF8339" t="s">
        <v>45547</v>
      </c>
      <c r="AG8339" t="s">
        <v>19330</v>
      </c>
      <c r="AH8339">
        <v>6</v>
      </c>
      <c r="AI8339">
        <v>2</v>
      </c>
      <c r="AJ8339">
        <v>0</v>
      </c>
      <c r="AK8339">
        <v>127.74</v>
      </c>
      <c r="AN8339" t="s">
        <v>7439</v>
      </c>
      <c r="AO8339">
        <v>21600</v>
      </c>
      <c r="AU8339">
        <v>0.5</v>
      </c>
      <c r="AV8339" t="s">
        <v>828</v>
      </c>
      <c r="AW8339" t="s">
        <v>279</v>
      </c>
      <c r="AX8339" t="s">
        <v>46897</v>
      </c>
    </row>
    <row r="8340" spans="1:50">
      <c r="A8340" s="1">
        <f>HYPERLINK("https://lsnyc.legalserver.org/matter/dynamic-profile/view/1902327","19-1902327")</f>
        <v>0</v>
      </c>
      <c r="B8340" t="s">
        <v>200</v>
      </c>
      <c r="C8340" t="s">
        <v>340</v>
      </c>
      <c r="D8340" t="s">
        <v>826</v>
      </c>
      <c r="F8340" t="s">
        <v>2005</v>
      </c>
      <c r="G8340" t="s">
        <v>5125</v>
      </c>
      <c r="H8340" t="s">
        <v>15294</v>
      </c>
      <c r="I8340" t="s">
        <v>18483</v>
      </c>
      <c r="J8340" t="s">
        <v>18894</v>
      </c>
      <c r="K8340">
        <v>11233</v>
      </c>
      <c r="L8340" t="s">
        <v>18958</v>
      </c>
      <c r="M8340" t="s">
        <v>18960</v>
      </c>
      <c r="O8340" t="s">
        <v>26523</v>
      </c>
      <c r="P8340" t="s">
        <v>26560</v>
      </c>
      <c r="R8340" t="s">
        <v>26578</v>
      </c>
      <c r="S8340" t="s">
        <v>18959</v>
      </c>
      <c r="U8340" t="s">
        <v>26604</v>
      </c>
      <c r="V8340" t="s">
        <v>26610</v>
      </c>
      <c r="W8340" t="s">
        <v>797</v>
      </c>
      <c r="X8340">
        <v>1365</v>
      </c>
      <c r="Y8340" t="s">
        <v>26652</v>
      </c>
      <c r="Z8340" t="s">
        <v>26530</v>
      </c>
      <c r="AB8340" t="s">
        <v>32757</v>
      </c>
      <c r="AC8340" t="s">
        <v>19330</v>
      </c>
      <c r="AD8340" t="s">
        <v>43291</v>
      </c>
      <c r="AE8340">
        <v>8</v>
      </c>
      <c r="AF8340" t="s">
        <v>45541</v>
      </c>
      <c r="AG8340" t="s">
        <v>45556</v>
      </c>
      <c r="AH8340">
        <v>23</v>
      </c>
      <c r="AI8340">
        <v>2</v>
      </c>
      <c r="AJ8340">
        <v>0</v>
      </c>
      <c r="AK8340">
        <v>331.16</v>
      </c>
      <c r="AN8340" t="s">
        <v>45581</v>
      </c>
      <c r="AO8340">
        <v>56000</v>
      </c>
      <c r="AP8340" t="s">
        <v>46008</v>
      </c>
      <c r="AU8340">
        <v>0</v>
      </c>
      <c r="AW8340" t="s">
        <v>279</v>
      </c>
      <c r="AX8340" t="s">
        <v>46897</v>
      </c>
    </row>
    <row r="8341" spans="1:50">
      <c r="A8341" s="1">
        <f>HYPERLINK("https://lsnyc.legalserver.org/matter/dynamic-profile/view/1896903","19-1896903")</f>
        <v>0</v>
      </c>
      <c r="B8341" t="s">
        <v>270</v>
      </c>
      <c r="C8341" t="s">
        <v>341</v>
      </c>
      <c r="D8341" t="s">
        <v>803</v>
      </c>
      <c r="E8341" t="s">
        <v>807</v>
      </c>
      <c r="F8341" t="s">
        <v>4239</v>
      </c>
      <c r="G8341" t="s">
        <v>5147</v>
      </c>
      <c r="H8341" t="s">
        <v>15324</v>
      </c>
      <c r="I8341" t="s">
        <v>17428</v>
      </c>
      <c r="J8341" t="s">
        <v>18892</v>
      </c>
      <c r="K8341">
        <v>10456</v>
      </c>
      <c r="L8341" t="s">
        <v>18958</v>
      </c>
      <c r="M8341" t="s">
        <v>18958</v>
      </c>
      <c r="N8341" t="s">
        <v>24957</v>
      </c>
      <c r="O8341" t="s">
        <v>26524</v>
      </c>
      <c r="P8341" t="s">
        <v>26564</v>
      </c>
      <c r="Q8341" t="s">
        <v>26570</v>
      </c>
      <c r="R8341" t="s">
        <v>26577</v>
      </c>
      <c r="U8341" t="s">
        <v>26604</v>
      </c>
      <c r="W8341" t="s">
        <v>827</v>
      </c>
      <c r="X8341">
        <v>365</v>
      </c>
      <c r="Y8341" t="s">
        <v>26650</v>
      </c>
      <c r="AA8341" t="s">
        <v>26683</v>
      </c>
      <c r="AB8341" t="s">
        <v>32781</v>
      </c>
      <c r="AD8341" t="s">
        <v>43322</v>
      </c>
      <c r="AE8341">
        <v>0</v>
      </c>
      <c r="AF8341" t="s">
        <v>45549</v>
      </c>
      <c r="AH8341">
        <v>2</v>
      </c>
      <c r="AI8341">
        <v>1</v>
      </c>
      <c r="AJ8341">
        <v>0</v>
      </c>
      <c r="AK8341">
        <v>175.85</v>
      </c>
      <c r="AN8341" t="s">
        <v>7439</v>
      </c>
      <c r="AO8341">
        <v>21964.1</v>
      </c>
      <c r="AP8341" t="s">
        <v>46092</v>
      </c>
      <c r="AU8341">
        <v>1.2</v>
      </c>
      <c r="AV8341" t="s">
        <v>720</v>
      </c>
      <c r="AW8341" t="s">
        <v>46867</v>
      </c>
      <c r="AX8341" t="s">
        <v>46897</v>
      </c>
    </row>
    <row r="8342" spans="1:50">
      <c r="A8342" s="1">
        <f>HYPERLINK("https://lsnyc.legalserver.org/matter/dynamic-profile/view/1899599","19-1899599")</f>
        <v>0</v>
      </c>
      <c r="B8342" t="s">
        <v>200</v>
      </c>
      <c r="C8342" t="s">
        <v>340</v>
      </c>
      <c r="D8342" t="s">
        <v>813</v>
      </c>
      <c r="F8342" t="s">
        <v>4240</v>
      </c>
      <c r="G8342" t="s">
        <v>8650</v>
      </c>
      <c r="H8342" t="s">
        <v>15325</v>
      </c>
      <c r="I8342" t="s">
        <v>17416</v>
      </c>
      <c r="J8342" t="s">
        <v>18894</v>
      </c>
      <c r="K8342">
        <v>11207</v>
      </c>
      <c r="L8342" t="s">
        <v>18958</v>
      </c>
      <c r="M8342" t="s">
        <v>18960</v>
      </c>
      <c r="N8342" t="s">
        <v>24958</v>
      </c>
      <c r="O8342" t="s">
        <v>26524</v>
      </c>
      <c r="P8342" t="s">
        <v>26560</v>
      </c>
      <c r="R8342" t="s">
        <v>26578</v>
      </c>
      <c r="S8342" t="s">
        <v>18959</v>
      </c>
      <c r="U8342" t="s">
        <v>26604</v>
      </c>
      <c r="V8342" t="s">
        <v>26610</v>
      </c>
      <c r="W8342" t="s">
        <v>827</v>
      </c>
      <c r="X8342">
        <v>600</v>
      </c>
      <c r="Y8342" t="s">
        <v>26652</v>
      </c>
      <c r="AB8342" t="s">
        <v>32782</v>
      </c>
      <c r="AD8342" t="s">
        <v>43323</v>
      </c>
      <c r="AE8342">
        <v>2</v>
      </c>
      <c r="AF8342" t="s">
        <v>45547</v>
      </c>
      <c r="AG8342" t="s">
        <v>26530</v>
      </c>
      <c r="AH8342">
        <v>10</v>
      </c>
      <c r="AI8342">
        <v>1</v>
      </c>
      <c r="AJ8342">
        <v>1</v>
      </c>
      <c r="AK8342">
        <v>147.84</v>
      </c>
      <c r="AN8342" t="s">
        <v>7439</v>
      </c>
      <c r="AO8342">
        <v>25000</v>
      </c>
      <c r="AU8342">
        <v>11.4</v>
      </c>
      <c r="AV8342" t="s">
        <v>839</v>
      </c>
      <c r="AW8342" t="s">
        <v>286</v>
      </c>
      <c r="AX8342" t="s">
        <v>46897</v>
      </c>
    </row>
    <row r="8343" spans="1:50">
      <c r="A8343" s="1">
        <f>HYPERLINK("https://lsnyc.legalserver.org/matter/dynamic-profile/view/1901242","19-1901242")</f>
        <v>0</v>
      </c>
      <c r="B8343" t="s">
        <v>183</v>
      </c>
      <c r="C8343" t="s">
        <v>341</v>
      </c>
      <c r="D8343" t="s">
        <v>827</v>
      </c>
      <c r="E8343" t="s">
        <v>821</v>
      </c>
      <c r="F8343" t="s">
        <v>1235</v>
      </c>
      <c r="G8343" t="s">
        <v>5692</v>
      </c>
      <c r="H8343" t="s">
        <v>15326</v>
      </c>
      <c r="I8343" t="s">
        <v>17603</v>
      </c>
      <c r="J8343" t="s">
        <v>18893</v>
      </c>
      <c r="K8343">
        <v>10033</v>
      </c>
      <c r="L8343" t="s">
        <v>18958</v>
      </c>
      <c r="M8343" t="s">
        <v>18960</v>
      </c>
      <c r="N8343" t="s">
        <v>24959</v>
      </c>
      <c r="O8343" t="s">
        <v>26523</v>
      </c>
      <c r="P8343" t="s">
        <v>26564</v>
      </c>
      <c r="Q8343" t="s">
        <v>26570</v>
      </c>
      <c r="R8343" t="s">
        <v>26578</v>
      </c>
      <c r="S8343" t="s">
        <v>18959</v>
      </c>
      <c r="U8343" t="s">
        <v>26604</v>
      </c>
      <c r="V8343" t="s">
        <v>26610</v>
      </c>
      <c r="W8343" t="s">
        <v>827</v>
      </c>
      <c r="X8343">
        <v>1807.17</v>
      </c>
      <c r="Y8343" t="s">
        <v>26651</v>
      </c>
      <c r="Z8343" t="s">
        <v>26664</v>
      </c>
      <c r="AA8343" t="s">
        <v>26683</v>
      </c>
      <c r="AB8343" t="s">
        <v>32783</v>
      </c>
      <c r="AC8343" t="s">
        <v>36511</v>
      </c>
      <c r="AD8343" t="s">
        <v>43324</v>
      </c>
      <c r="AE8343">
        <v>0</v>
      </c>
      <c r="AF8343" t="s">
        <v>45541</v>
      </c>
      <c r="AG8343" t="s">
        <v>19330</v>
      </c>
      <c r="AH8343">
        <v>6</v>
      </c>
      <c r="AI8343">
        <v>2</v>
      </c>
      <c r="AJ8343">
        <v>0</v>
      </c>
      <c r="AK8343">
        <v>138.38</v>
      </c>
      <c r="AN8343" t="s">
        <v>45581</v>
      </c>
      <c r="AO8343">
        <v>23400</v>
      </c>
      <c r="AU8343">
        <v>1.4</v>
      </c>
      <c r="AV8343" t="s">
        <v>834</v>
      </c>
      <c r="AW8343" t="s">
        <v>46875</v>
      </c>
      <c r="AX8343" t="s">
        <v>46898</v>
      </c>
    </row>
    <row r="8344" spans="1:50">
      <c r="A8344" s="1">
        <f>HYPERLINK("https://lsnyc.legalserver.org/matter/dynamic-profile/view/1901181","19-1901181")</f>
        <v>0</v>
      </c>
      <c r="B8344" t="s">
        <v>183</v>
      </c>
      <c r="C8344" t="s">
        <v>341</v>
      </c>
      <c r="D8344" t="s">
        <v>827</v>
      </c>
      <c r="E8344" t="s">
        <v>821</v>
      </c>
      <c r="F8344" t="s">
        <v>871</v>
      </c>
      <c r="G8344" t="s">
        <v>5602</v>
      </c>
      <c r="H8344" t="s">
        <v>15327</v>
      </c>
      <c r="I8344" t="s">
        <v>17352</v>
      </c>
      <c r="J8344" t="s">
        <v>18893</v>
      </c>
      <c r="K8344">
        <v>10033</v>
      </c>
      <c r="L8344" t="s">
        <v>18958</v>
      </c>
      <c r="M8344" t="s">
        <v>18960</v>
      </c>
      <c r="N8344" t="s">
        <v>24960</v>
      </c>
      <c r="O8344" t="s">
        <v>26524</v>
      </c>
      <c r="P8344" t="s">
        <v>26564</v>
      </c>
      <c r="Q8344" t="s">
        <v>26570</v>
      </c>
      <c r="R8344" t="s">
        <v>26578</v>
      </c>
      <c r="S8344" t="s">
        <v>18959</v>
      </c>
      <c r="U8344" t="s">
        <v>26604</v>
      </c>
      <c r="V8344" t="s">
        <v>26610</v>
      </c>
      <c r="W8344" t="s">
        <v>827</v>
      </c>
      <c r="X8344">
        <v>825</v>
      </c>
      <c r="Y8344" t="s">
        <v>26651</v>
      </c>
      <c r="Z8344" t="s">
        <v>26664</v>
      </c>
      <c r="AA8344" t="s">
        <v>26683</v>
      </c>
      <c r="AB8344" t="s">
        <v>32784</v>
      </c>
      <c r="AC8344" t="s">
        <v>36512</v>
      </c>
      <c r="AD8344" t="s">
        <v>43325</v>
      </c>
      <c r="AE8344">
        <v>50</v>
      </c>
      <c r="AF8344" t="s">
        <v>45548</v>
      </c>
      <c r="AG8344" t="s">
        <v>19330</v>
      </c>
      <c r="AH8344">
        <v>15</v>
      </c>
      <c r="AI8344">
        <v>2</v>
      </c>
      <c r="AJ8344">
        <v>0</v>
      </c>
      <c r="AK8344">
        <v>180.7</v>
      </c>
      <c r="AN8344" t="s">
        <v>45581</v>
      </c>
      <c r="AO8344">
        <v>30556</v>
      </c>
      <c r="AU8344">
        <v>2.7</v>
      </c>
      <c r="AV8344" t="s">
        <v>829</v>
      </c>
      <c r="AW8344" t="s">
        <v>46835</v>
      </c>
      <c r="AX8344" t="s">
        <v>46897</v>
      </c>
    </row>
    <row r="8345" spans="1:50">
      <c r="A8345" s="1">
        <f>HYPERLINK("https://lsnyc.legalserver.org/matter/dynamic-profile/view/1901231","19-1901231")</f>
        <v>0</v>
      </c>
      <c r="B8345" t="s">
        <v>183</v>
      </c>
      <c r="C8345" t="s">
        <v>341</v>
      </c>
      <c r="D8345" t="s">
        <v>827</v>
      </c>
      <c r="E8345" t="s">
        <v>832</v>
      </c>
      <c r="F8345" t="s">
        <v>4241</v>
      </c>
      <c r="G8345" t="s">
        <v>5990</v>
      </c>
      <c r="H8345" t="s">
        <v>15328</v>
      </c>
      <c r="I8345">
        <v>6</v>
      </c>
      <c r="J8345" t="s">
        <v>18893</v>
      </c>
      <c r="K8345">
        <v>10012</v>
      </c>
      <c r="L8345" t="s">
        <v>18958</v>
      </c>
      <c r="M8345" t="s">
        <v>18960</v>
      </c>
      <c r="N8345" t="s">
        <v>24961</v>
      </c>
      <c r="O8345" t="s">
        <v>26523</v>
      </c>
      <c r="P8345" t="s">
        <v>26564</v>
      </c>
      <c r="Q8345" t="s">
        <v>26570</v>
      </c>
      <c r="R8345" t="s">
        <v>26578</v>
      </c>
      <c r="S8345" t="s">
        <v>18959</v>
      </c>
      <c r="U8345" t="s">
        <v>26604</v>
      </c>
      <c r="W8345" t="s">
        <v>827</v>
      </c>
      <c r="X8345">
        <v>2933.14</v>
      </c>
      <c r="Y8345" t="s">
        <v>26651</v>
      </c>
      <c r="Z8345" t="s">
        <v>26663</v>
      </c>
      <c r="AA8345" t="s">
        <v>26683</v>
      </c>
      <c r="AB8345" t="s">
        <v>30017</v>
      </c>
      <c r="AD8345" t="s">
        <v>43326</v>
      </c>
      <c r="AE8345">
        <v>9</v>
      </c>
      <c r="AF8345" t="s">
        <v>45541</v>
      </c>
      <c r="AG8345" t="s">
        <v>19330</v>
      </c>
      <c r="AH8345">
        <v>22</v>
      </c>
      <c r="AI8345">
        <v>1</v>
      </c>
      <c r="AJ8345">
        <v>0</v>
      </c>
      <c r="AK8345">
        <v>304.24</v>
      </c>
      <c r="AN8345" t="s">
        <v>7439</v>
      </c>
      <c r="AO8345">
        <v>38000</v>
      </c>
      <c r="AU8345">
        <v>1</v>
      </c>
      <c r="AV8345" t="s">
        <v>827</v>
      </c>
      <c r="AW8345" t="s">
        <v>46875</v>
      </c>
      <c r="AX8345" t="s">
        <v>46897</v>
      </c>
    </row>
    <row r="8346" spans="1:50">
      <c r="A8346" s="1">
        <f>HYPERLINK("https://lsnyc.legalserver.org/matter/dynamic-profile/view/1901228","19-1901228")</f>
        <v>0</v>
      </c>
      <c r="B8346" t="s">
        <v>300</v>
      </c>
      <c r="C8346" t="s">
        <v>341</v>
      </c>
      <c r="D8346" t="s">
        <v>827</v>
      </c>
      <c r="E8346" t="s">
        <v>773</v>
      </c>
      <c r="F8346" t="s">
        <v>1416</v>
      </c>
      <c r="G8346" t="s">
        <v>8651</v>
      </c>
      <c r="H8346" t="s">
        <v>15014</v>
      </c>
      <c r="I8346">
        <v>2014</v>
      </c>
      <c r="J8346" t="s">
        <v>18893</v>
      </c>
      <c r="K8346">
        <v>10033</v>
      </c>
      <c r="L8346" t="s">
        <v>18958</v>
      </c>
      <c r="M8346" t="s">
        <v>18960</v>
      </c>
      <c r="O8346" t="s">
        <v>26529</v>
      </c>
      <c r="P8346" t="s">
        <v>26565</v>
      </c>
      <c r="Q8346" t="s">
        <v>26571</v>
      </c>
      <c r="R8346" t="s">
        <v>26578</v>
      </c>
      <c r="S8346" t="s">
        <v>18959</v>
      </c>
      <c r="U8346" t="s">
        <v>26604</v>
      </c>
      <c r="W8346" t="s">
        <v>827</v>
      </c>
      <c r="X8346">
        <v>1500</v>
      </c>
      <c r="Y8346" t="s">
        <v>26651</v>
      </c>
      <c r="Z8346" t="s">
        <v>26661</v>
      </c>
      <c r="AA8346" t="s">
        <v>26682</v>
      </c>
      <c r="AB8346" t="s">
        <v>32785</v>
      </c>
      <c r="AE8346">
        <v>480</v>
      </c>
      <c r="AF8346" t="s">
        <v>45541</v>
      </c>
      <c r="AG8346" t="s">
        <v>19330</v>
      </c>
      <c r="AH8346">
        <v>0</v>
      </c>
      <c r="AI8346">
        <v>1</v>
      </c>
      <c r="AJ8346">
        <v>0</v>
      </c>
      <c r="AK8346">
        <v>292.36</v>
      </c>
      <c r="AN8346" t="s">
        <v>7439</v>
      </c>
      <c r="AO8346">
        <v>36516</v>
      </c>
      <c r="AU8346">
        <v>0.75</v>
      </c>
      <c r="AV8346" t="s">
        <v>827</v>
      </c>
      <c r="AW8346" t="s">
        <v>46840</v>
      </c>
      <c r="AX8346" t="s">
        <v>46897</v>
      </c>
    </row>
    <row r="8347" spans="1:50">
      <c r="A8347" s="1">
        <f>HYPERLINK("https://lsnyc.legalserver.org/matter/dynamic-profile/view/1901211","19-1901211")</f>
        <v>0</v>
      </c>
      <c r="B8347" t="s">
        <v>165</v>
      </c>
      <c r="C8347" t="s">
        <v>341</v>
      </c>
      <c r="D8347" t="s">
        <v>827</v>
      </c>
      <c r="E8347" t="s">
        <v>832</v>
      </c>
      <c r="F8347" t="s">
        <v>1402</v>
      </c>
      <c r="G8347" t="s">
        <v>8652</v>
      </c>
      <c r="H8347" t="s">
        <v>15329</v>
      </c>
      <c r="I8347" t="s">
        <v>17349</v>
      </c>
      <c r="J8347" t="s">
        <v>18893</v>
      </c>
      <c r="K8347">
        <v>10025</v>
      </c>
      <c r="L8347" t="s">
        <v>18958</v>
      </c>
      <c r="M8347" t="s">
        <v>18960</v>
      </c>
      <c r="O8347" t="s">
        <v>18997</v>
      </c>
      <c r="P8347" t="s">
        <v>26564</v>
      </c>
      <c r="Q8347" t="s">
        <v>26570</v>
      </c>
      <c r="R8347" t="s">
        <v>26578</v>
      </c>
      <c r="S8347" t="s">
        <v>18959</v>
      </c>
      <c r="U8347" t="s">
        <v>26604</v>
      </c>
      <c r="V8347" t="s">
        <v>26610</v>
      </c>
      <c r="W8347" t="s">
        <v>827</v>
      </c>
      <c r="X8347">
        <v>1650</v>
      </c>
      <c r="Y8347" t="s">
        <v>26651</v>
      </c>
      <c r="Z8347" t="s">
        <v>26657</v>
      </c>
      <c r="AA8347" t="s">
        <v>26683</v>
      </c>
      <c r="AB8347" t="s">
        <v>32786</v>
      </c>
      <c r="AD8347" t="s">
        <v>43327</v>
      </c>
      <c r="AE8347">
        <v>18</v>
      </c>
      <c r="AF8347" t="s">
        <v>20460</v>
      </c>
      <c r="AG8347" t="s">
        <v>19330</v>
      </c>
      <c r="AH8347">
        <v>2</v>
      </c>
      <c r="AI8347">
        <v>1</v>
      </c>
      <c r="AJ8347">
        <v>0</v>
      </c>
      <c r="AK8347">
        <v>160.13</v>
      </c>
      <c r="AN8347" t="s">
        <v>7439</v>
      </c>
      <c r="AO8347">
        <v>20000</v>
      </c>
      <c r="AU8347">
        <v>1.4</v>
      </c>
      <c r="AV8347" t="s">
        <v>831</v>
      </c>
      <c r="AW8347" t="s">
        <v>46835</v>
      </c>
      <c r="AX8347" t="s">
        <v>46897</v>
      </c>
    </row>
    <row r="8348" spans="1:50">
      <c r="A8348" s="1">
        <f>HYPERLINK("https://lsnyc.legalserver.org/matter/dynamic-profile/view/1901226","19-1901226")</f>
        <v>0</v>
      </c>
      <c r="B8348" t="s">
        <v>72</v>
      </c>
      <c r="C8348" t="s">
        <v>341</v>
      </c>
      <c r="D8348" t="s">
        <v>827</v>
      </c>
      <c r="E8348" t="s">
        <v>834</v>
      </c>
      <c r="F8348" t="s">
        <v>1081</v>
      </c>
      <c r="G8348" t="s">
        <v>7923</v>
      </c>
      <c r="H8348" t="s">
        <v>15330</v>
      </c>
      <c r="I8348" t="s">
        <v>17390</v>
      </c>
      <c r="J8348" t="s">
        <v>18893</v>
      </c>
      <c r="K8348">
        <v>10032</v>
      </c>
      <c r="L8348" t="s">
        <v>18958</v>
      </c>
      <c r="M8348" t="s">
        <v>18960</v>
      </c>
      <c r="O8348" t="s">
        <v>26529</v>
      </c>
      <c r="P8348" t="s">
        <v>26565</v>
      </c>
      <c r="Q8348" t="s">
        <v>26571</v>
      </c>
      <c r="R8348" t="s">
        <v>26578</v>
      </c>
      <c r="S8348" t="s">
        <v>18959</v>
      </c>
      <c r="U8348" t="s">
        <v>26604</v>
      </c>
      <c r="W8348" t="s">
        <v>827</v>
      </c>
      <c r="X8348">
        <v>2036.46</v>
      </c>
      <c r="Y8348" t="s">
        <v>26651</v>
      </c>
      <c r="Z8348" t="s">
        <v>26661</v>
      </c>
      <c r="AA8348" t="s">
        <v>26681</v>
      </c>
      <c r="AB8348" t="s">
        <v>32787</v>
      </c>
      <c r="AE8348">
        <v>14</v>
      </c>
      <c r="AF8348" t="s">
        <v>45541</v>
      </c>
      <c r="AG8348" t="s">
        <v>19330</v>
      </c>
      <c r="AH8348">
        <v>2</v>
      </c>
      <c r="AI8348">
        <v>1</v>
      </c>
      <c r="AJ8348">
        <v>0</v>
      </c>
      <c r="AK8348">
        <v>456.37</v>
      </c>
      <c r="AN8348" t="s">
        <v>7439</v>
      </c>
      <c r="AO8348">
        <v>57000</v>
      </c>
      <c r="AU8348">
        <v>0.1</v>
      </c>
      <c r="AV8348" t="s">
        <v>834</v>
      </c>
      <c r="AW8348" t="s">
        <v>46840</v>
      </c>
      <c r="AX8348" t="s">
        <v>46897</v>
      </c>
    </row>
    <row r="8349" spans="1:50">
      <c r="A8349" s="1">
        <f>HYPERLINK("https://lsnyc.legalserver.org/matter/dynamic-profile/view/1901257","19-1901257")</f>
        <v>0</v>
      </c>
      <c r="B8349" t="s">
        <v>183</v>
      </c>
      <c r="C8349" t="s">
        <v>340</v>
      </c>
      <c r="D8349" t="s">
        <v>827</v>
      </c>
      <c r="F8349" t="s">
        <v>1827</v>
      </c>
      <c r="G8349" t="s">
        <v>7709</v>
      </c>
      <c r="H8349" t="s">
        <v>15331</v>
      </c>
      <c r="I8349" t="s">
        <v>17334</v>
      </c>
      <c r="J8349" t="s">
        <v>18893</v>
      </c>
      <c r="K8349">
        <v>10023</v>
      </c>
      <c r="L8349" t="s">
        <v>18958</v>
      </c>
      <c r="M8349" t="s">
        <v>18960</v>
      </c>
      <c r="N8349" t="s">
        <v>24962</v>
      </c>
      <c r="O8349" t="s">
        <v>26523</v>
      </c>
      <c r="P8349" t="s">
        <v>26563</v>
      </c>
      <c r="R8349" t="s">
        <v>26578</v>
      </c>
      <c r="S8349" t="s">
        <v>18959</v>
      </c>
      <c r="U8349" t="s">
        <v>26604</v>
      </c>
      <c r="V8349" t="s">
        <v>26610</v>
      </c>
      <c r="W8349" t="s">
        <v>827</v>
      </c>
      <c r="X8349">
        <v>364.74</v>
      </c>
      <c r="Y8349" t="s">
        <v>26651</v>
      </c>
      <c r="Z8349" t="s">
        <v>26657</v>
      </c>
      <c r="AB8349" t="s">
        <v>32788</v>
      </c>
      <c r="AD8349" t="s">
        <v>43328</v>
      </c>
      <c r="AE8349">
        <v>0</v>
      </c>
      <c r="AF8349" t="s">
        <v>45541</v>
      </c>
      <c r="AG8349" t="s">
        <v>19330</v>
      </c>
      <c r="AH8349">
        <v>44</v>
      </c>
      <c r="AI8349">
        <v>1</v>
      </c>
      <c r="AJ8349">
        <v>0</v>
      </c>
      <c r="AK8349">
        <v>84.64</v>
      </c>
      <c r="AN8349" t="s">
        <v>7439</v>
      </c>
      <c r="AO8349">
        <v>10572</v>
      </c>
      <c r="AU8349">
        <v>0.6</v>
      </c>
      <c r="AV8349" t="s">
        <v>827</v>
      </c>
      <c r="AW8349" t="s">
        <v>46835</v>
      </c>
      <c r="AX8349" t="s">
        <v>46897</v>
      </c>
    </row>
    <row r="8350" spans="1:50">
      <c r="A8350" s="1">
        <f>HYPERLINK("https://lsnyc.legalserver.org/matter/dynamic-profile/view/1901265","19-1901265")</f>
        <v>0</v>
      </c>
      <c r="B8350" t="s">
        <v>183</v>
      </c>
      <c r="C8350" t="s">
        <v>340</v>
      </c>
      <c r="D8350" t="s">
        <v>827</v>
      </c>
      <c r="F8350" t="s">
        <v>4242</v>
      </c>
      <c r="G8350" t="s">
        <v>8653</v>
      </c>
      <c r="H8350" t="s">
        <v>15332</v>
      </c>
      <c r="I8350">
        <v>8</v>
      </c>
      <c r="J8350" t="s">
        <v>18893</v>
      </c>
      <c r="K8350">
        <v>10128</v>
      </c>
      <c r="L8350" t="s">
        <v>18958</v>
      </c>
      <c r="M8350" t="s">
        <v>18960</v>
      </c>
      <c r="N8350" t="s">
        <v>24963</v>
      </c>
      <c r="O8350" t="s">
        <v>26523</v>
      </c>
      <c r="P8350" t="s">
        <v>26563</v>
      </c>
      <c r="R8350" t="s">
        <v>26578</v>
      </c>
      <c r="S8350" t="s">
        <v>18959</v>
      </c>
      <c r="U8350" t="s">
        <v>26604</v>
      </c>
      <c r="V8350" t="s">
        <v>26609</v>
      </c>
      <c r="W8350" t="s">
        <v>827</v>
      </c>
      <c r="X8350">
        <v>1138.34</v>
      </c>
      <c r="Y8350" t="s">
        <v>26651</v>
      </c>
      <c r="Z8350" t="s">
        <v>26664</v>
      </c>
      <c r="AB8350" t="s">
        <v>27962</v>
      </c>
      <c r="AE8350">
        <v>20</v>
      </c>
      <c r="AG8350" t="s">
        <v>19330</v>
      </c>
      <c r="AH8350">
        <v>20</v>
      </c>
      <c r="AI8350">
        <v>1</v>
      </c>
      <c r="AJ8350">
        <v>0</v>
      </c>
      <c r="AK8350">
        <v>124.9</v>
      </c>
      <c r="AN8350" t="s">
        <v>7439</v>
      </c>
      <c r="AO8350">
        <v>15600</v>
      </c>
      <c r="AU8350">
        <v>1</v>
      </c>
      <c r="AV8350" t="s">
        <v>827</v>
      </c>
      <c r="AW8350" t="s">
        <v>46835</v>
      </c>
      <c r="AX8350" t="s">
        <v>46897</v>
      </c>
    </row>
    <row r="8351" spans="1:50">
      <c r="A8351" s="1">
        <f>HYPERLINK("https://lsnyc.legalserver.org/matter/dynamic-profile/view/1901186","19-1901186")</f>
        <v>0</v>
      </c>
      <c r="B8351" t="s">
        <v>165</v>
      </c>
      <c r="C8351" t="s">
        <v>340</v>
      </c>
      <c r="D8351" t="s">
        <v>827</v>
      </c>
      <c r="F8351" t="s">
        <v>1333</v>
      </c>
      <c r="G8351" t="s">
        <v>5515</v>
      </c>
      <c r="H8351" t="s">
        <v>15333</v>
      </c>
      <c r="I8351" t="s">
        <v>17277</v>
      </c>
      <c r="J8351" t="s">
        <v>18893</v>
      </c>
      <c r="K8351">
        <v>10036</v>
      </c>
      <c r="L8351" t="s">
        <v>18958</v>
      </c>
      <c r="M8351" t="s">
        <v>18960</v>
      </c>
      <c r="N8351" t="s">
        <v>24964</v>
      </c>
      <c r="O8351" t="s">
        <v>26523</v>
      </c>
      <c r="P8351" t="s">
        <v>26563</v>
      </c>
      <c r="R8351" t="s">
        <v>26578</v>
      </c>
      <c r="S8351" t="s">
        <v>18959</v>
      </c>
      <c r="U8351" t="s">
        <v>26604</v>
      </c>
      <c r="W8351" t="s">
        <v>827</v>
      </c>
      <c r="X8351">
        <v>898</v>
      </c>
      <c r="Y8351" t="s">
        <v>26651</v>
      </c>
      <c r="Z8351" t="s">
        <v>26664</v>
      </c>
      <c r="AB8351" t="s">
        <v>32789</v>
      </c>
      <c r="AD8351" t="s">
        <v>43329</v>
      </c>
      <c r="AE8351">
        <v>0</v>
      </c>
      <c r="AF8351" t="s">
        <v>45552</v>
      </c>
      <c r="AG8351" t="s">
        <v>45556</v>
      </c>
      <c r="AH8351">
        <v>39</v>
      </c>
      <c r="AI8351">
        <v>3</v>
      </c>
      <c r="AJ8351">
        <v>1</v>
      </c>
      <c r="AK8351">
        <v>169.92</v>
      </c>
      <c r="AN8351" t="s">
        <v>7439</v>
      </c>
      <c r="AO8351">
        <v>43754</v>
      </c>
      <c r="AU8351">
        <v>1</v>
      </c>
      <c r="AV8351" t="s">
        <v>827</v>
      </c>
      <c r="AW8351" t="s">
        <v>46875</v>
      </c>
      <c r="AX8351" t="s">
        <v>46897</v>
      </c>
    </row>
    <row r="8352" spans="1:50">
      <c r="A8352" s="1">
        <f>HYPERLINK("https://lsnyc.legalserver.org/matter/dynamic-profile/view/1901191","19-1901191")</f>
        <v>0</v>
      </c>
      <c r="B8352" t="s">
        <v>165</v>
      </c>
      <c r="C8352" t="s">
        <v>340</v>
      </c>
      <c r="D8352" t="s">
        <v>827</v>
      </c>
      <c r="F8352" t="s">
        <v>1494</v>
      </c>
      <c r="G8352" t="s">
        <v>3402</v>
      </c>
      <c r="H8352" t="s">
        <v>15334</v>
      </c>
      <c r="I8352" t="s">
        <v>17724</v>
      </c>
      <c r="J8352" t="s">
        <v>18893</v>
      </c>
      <c r="K8352">
        <v>10030</v>
      </c>
      <c r="L8352" t="s">
        <v>18958</v>
      </c>
      <c r="M8352" t="s">
        <v>18960</v>
      </c>
      <c r="N8352" t="s">
        <v>24965</v>
      </c>
      <c r="O8352" t="s">
        <v>26524</v>
      </c>
      <c r="P8352" t="s">
        <v>26564</v>
      </c>
      <c r="R8352" t="s">
        <v>26582</v>
      </c>
      <c r="S8352" t="s">
        <v>18959</v>
      </c>
      <c r="U8352" t="s">
        <v>26605</v>
      </c>
      <c r="V8352" t="s">
        <v>26610</v>
      </c>
      <c r="W8352" t="s">
        <v>827</v>
      </c>
      <c r="X8352">
        <v>187</v>
      </c>
      <c r="Y8352" t="s">
        <v>26651</v>
      </c>
      <c r="Z8352" t="s">
        <v>26664</v>
      </c>
      <c r="AB8352" t="s">
        <v>32790</v>
      </c>
      <c r="AD8352" t="s">
        <v>43330</v>
      </c>
      <c r="AE8352">
        <v>0</v>
      </c>
      <c r="AF8352" t="s">
        <v>45542</v>
      </c>
      <c r="AG8352" t="s">
        <v>19330</v>
      </c>
      <c r="AH8352">
        <v>3</v>
      </c>
      <c r="AI8352">
        <v>1</v>
      </c>
      <c r="AJ8352">
        <v>0</v>
      </c>
      <c r="AK8352">
        <v>76.86</v>
      </c>
      <c r="AN8352" t="s">
        <v>7439</v>
      </c>
      <c r="AO8352">
        <v>9600</v>
      </c>
      <c r="AU8352">
        <v>1.1</v>
      </c>
      <c r="AV8352" t="s">
        <v>831</v>
      </c>
      <c r="AW8352" t="s">
        <v>46835</v>
      </c>
      <c r="AX8352" t="s">
        <v>46897</v>
      </c>
    </row>
    <row r="8353" spans="1:50">
      <c r="A8353" s="1">
        <f>HYPERLINK("https://lsnyc.legalserver.org/matter/dynamic-profile/view/1901201","19-1901201")</f>
        <v>0</v>
      </c>
      <c r="B8353" t="s">
        <v>165</v>
      </c>
      <c r="C8353" t="s">
        <v>340</v>
      </c>
      <c r="D8353" t="s">
        <v>827</v>
      </c>
      <c r="F8353" t="s">
        <v>881</v>
      </c>
      <c r="G8353" t="s">
        <v>5340</v>
      </c>
      <c r="H8353" t="s">
        <v>15335</v>
      </c>
      <c r="I8353" t="s">
        <v>17378</v>
      </c>
      <c r="J8353" t="s">
        <v>18893</v>
      </c>
      <c r="K8353">
        <v>10029</v>
      </c>
      <c r="L8353" t="s">
        <v>18958</v>
      </c>
      <c r="M8353" t="s">
        <v>18960</v>
      </c>
      <c r="N8353" t="s">
        <v>24966</v>
      </c>
      <c r="O8353" t="s">
        <v>26523</v>
      </c>
      <c r="P8353" t="s">
        <v>26564</v>
      </c>
      <c r="R8353" t="s">
        <v>26582</v>
      </c>
      <c r="S8353" t="s">
        <v>18959</v>
      </c>
      <c r="U8353" t="s">
        <v>26605</v>
      </c>
      <c r="W8353" t="s">
        <v>827</v>
      </c>
      <c r="X8353">
        <v>429</v>
      </c>
      <c r="Y8353" t="s">
        <v>26651</v>
      </c>
      <c r="Z8353" t="s">
        <v>26663</v>
      </c>
      <c r="AB8353" t="s">
        <v>28442</v>
      </c>
      <c r="AD8353" t="s">
        <v>43331</v>
      </c>
      <c r="AE8353">
        <v>724</v>
      </c>
      <c r="AF8353" t="s">
        <v>45549</v>
      </c>
      <c r="AG8353" t="s">
        <v>19330</v>
      </c>
      <c r="AH8353">
        <v>10</v>
      </c>
      <c r="AI8353">
        <v>1</v>
      </c>
      <c r="AJ8353">
        <v>0</v>
      </c>
      <c r="AK8353">
        <v>124.9</v>
      </c>
      <c r="AN8353" t="s">
        <v>45581</v>
      </c>
      <c r="AO8353">
        <v>15600</v>
      </c>
      <c r="AU8353">
        <v>0.3</v>
      </c>
      <c r="AV8353" t="s">
        <v>772</v>
      </c>
      <c r="AW8353" t="s">
        <v>46875</v>
      </c>
      <c r="AX8353" t="s">
        <v>46897</v>
      </c>
    </row>
    <row r="8354" spans="1:50">
      <c r="A8354" s="1">
        <f>HYPERLINK("https://lsnyc.legalserver.org/matter/dynamic-profile/view/1901214","19-1901214")</f>
        <v>0</v>
      </c>
      <c r="B8354" t="s">
        <v>61</v>
      </c>
      <c r="C8354" t="s">
        <v>340</v>
      </c>
      <c r="D8354" t="s">
        <v>827</v>
      </c>
      <c r="F8354" t="s">
        <v>4243</v>
      </c>
      <c r="G8354" t="s">
        <v>8654</v>
      </c>
      <c r="H8354" t="s">
        <v>15336</v>
      </c>
      <c r="I8354" t="s">
        <v>17436</v>
      </c>
      <c r="J8354" t="s">
        <v>18893</v>
      </c>
      <c r="K8354">
        <v>10032</v>
      </c>
      <c r="L8354" t="s">
        <v>18958</v>
      </c>
      <c r="M8354" t="s">
        <v>18960</v>
      </c>
      <c r="O8354" t="s">
        <v>26529</v>
      </c>
      <c r="P8354" t="s">
        <v>26564</v>
      </c>
      <c r="R8354" t="s">
        <v>26578</v>
      </c>
      <c r="S8354" t="s">
        <v>18959</v>
      </c>
      <c r="U8354" t="s">
        <v>26604</v>
      </c>
      <c r="W8354" t="s">
        <v>827</v>
      </c>
      <c r="X8354">
        <v>3445</v>
      </c>
      <c r="Y8354" t="s">
        <v>26651</v>
      </c>
      <c r="Z8354" t="s">
        <v>26661</v>
      </c>
      <c r="AB8354" t="s">
        <v>27741</v>
      </c>
      <c r="AE8354">
        <v>48</v>
      </c>
      <c r="AF8354" t="s">
        <v>45541</v>
      </c>
      <c r="AG8354" t="s">
        <v>19330</v>
      </c>
      <c r="AH8354">
        <v>2</v>
      </c>
      <c r="AI8354">
        <v>2</v>
      </c>
      <c r="AJ8354">
        <v>0</v>
      </c>
      <c r="AK8354">
        <v>330.1</v>
      </c>
      <c r="AN8354" t="s">
        <v>7439</v>
      </c>
      <c r="AO8354">
        <v>55820</v>
      </c>
      <c r="AU8354">
        <v>1</v>
      </c>
      <c r="AV8354" t="s">
        <v>825</v>
      </c>
      <c r="AW8354" t="s">
        <v>46840</v>
      </c>
      <c r="AX8354" t="s">
        <v>46897</v>
      </c>
    </row>
    <row r="8355" spans="1:50">
      <c r="A8355" s="1">
        <f>HYPERLINK("https://lsnyc.legalserver.org/matter/dynamic-profile/view/1901259","19-1901259")</f>
        <v>0</v>
      </c>
      <c r="B8355" t="s">
        <v>276</v>
      </c>
      <c r="C8355" t="s">
        <v>340</v>
      </c>
      <c r="D8355" t="s">
        <v>827</v>
      </c>
      <c r="F8355" t="s">
        <v>1328</v>
      </c>
      <c r="G8355" t="s">
        <v>2267</v>
      </c>
      <c r="H8355" t="s">
        <v>14686</v>
      </c>
      <c r="I8355" t="s">
        <v>17306</v>
      </c>
      <c r="J8355" t="s">
        <v>18894</v>
      </c>
      <c r="K8355">
        <v>11226</v>
      </c>
      <c r="L8355" t="s">
        <v>18958</v>
      </c>
      <c r="M8355" t="s">
        <v>18960</v>
      </c>
      <c r="P8355" t="s">
        <v>26562</v>
      </c>
      <c r="R8355" t="s">
        <v>26578</v>
      </c>
      <c r="S8355" t="s">
        <v>18958</v>
      </c>
      <c r="U8355" t="s">
        <v>26604</v>
      </c>
      <c r="W8355" t="s">
        <v>827</v>
      </c>
      <c r="X8355">
        <v>916</v>
      </c>
      <c r="Y8355" t="s">
        <v>26652</v>
      </c>
      <c r="AB8355" t="s">
        <v>32214</v>
      </c>
      <c r="AE8355">
        <v>0</v>
      </c>
      <c r="AH8355">
        <v>0</v>
      </c>
      <c r="AI8355">
        <v>2</v>
      </c>
      <c r="AJ8355">
        <v>0</v>
      </c>
      <c r="AK8355">
        <v>236.55</v>
      </c>
      <c r="AN8355" t="s">
        <v>7439</v>
      </c>
      <c r="AO8355">
        <v>40000</v>
      </c>
      <c r="AU8355">
        <v>0</v>
      </c>
      <c r="AW8355" t="s">
        <v>219</v>
      </c>
      <c r="AX8355" t="s">
        <v>46897</v>
      </c>
    </row>
    <row r="8356" spans="1:50">
      <c r="A8356" s="1">
        <f>HYPERLINK("https://lsnyc.legalserver.org/matter/dynamic-profile/view/1901229","19-1901229")</f>
        <v>0</v>
      </c>
      <c r="B8356" t="s">
        <v>84</v>
      </c>
      <c r="C8356" t="s">
        <v>340</v>
      </c>
      <c r="D8356" t="s">
        <v>827</v>
      </c>
      <c r="F8356" t="s">
        <v>4244</v>
      </c>
      <c r="G8356" t="s">
        <v>8655</v>
      </c>
      <c r="H8356" t="s">
        <v>15337</v>
      </c>
      <c r="I8356" t="s">
        <v>17360</v>
      </c>
      <c r="J8356" t="s">
        <v>18893</v>
      </c>
      <c r="K8356">
        <v>10003</v>
      </c>
      <c r="L8356" t="s">
        <v>18958</v>
      </c>
      <c r="M8356" t="s">
        <v>18960</v>
      </c>
      <c r="N8356" t="s">
        <v>24967</v>
      </c>
      <c r="O8356" t="s">
        <v>26524</v>
      </c>
      <c r="P8356" t="s">
        <v>26563</v>
      </c>
      <c r="R8356" t="s">
        <v>26578</v>
      </c>
      <c r="S8356" t="s">
        <v>18959</v>
      </c>
      <c r="U8356" t="s">
        <v>26604</v>
      </c>
      <c r="V8356" t="s">
        <v>26610</v>
      </c>
      <c r="W8356" t="s">
        <v>827</v>
      </c>
      <c r="X8356">
        <v>910</v>
      </c>
      <c r="Y8356" t="s">
        <v>26651</v>
      </c>
      <c r="Z8356" t="s">
        <v>26664</v>
      </c>
      <c r="AB8356" t="s">
        <v>30935</v>
      </c>
      <c r="AD8356" t="s">
        <v>43332</v>
      </c>
      <c r="AE8356">
        <v>50</v>
      </c>
      <c r="AF8356" t="s">
        <v>45541</v>
      </c>
      <c r="AG8356" t="s">
        <v>45559</v>
      </c>
      <c r="AH8356">
        <v>41</v>
      </c>
      <c r="AI8356">
        <v>1</v>
      </c>
      <c r="AJ8356">
        <v>0</v>
      </c>
      <c r="AK8356">
        <v>82.63</v>
      </c>
      <c r="AN8356" t="s">
        <v>7439</v>
      </c>
      <c r="AO8356">
        <v>10320</v>
      </c>
      <c r="AU8356">
        <v>0.9</v>
      </c>
      <c r="AV8356" t="s">
        <v>729</v>
      </c>
      <c r="AW8356" t="s">
        <v>46835</v>
      </c>
      <c r="AX8356" t="s">
        <v>46897</v>
      </c>
    </row>
    <row r="8357" spans="1:50">
      <c r="A8357" s="1">
        <f>HYPERLINK("https://lsnyc.legalserver.org/matter/dynamic-profile/view/1901246","19-1901246")</f>
        <v>0</v>
      </c>
      <c r="B8357" t="s">
        <v>84</v>
      </c>
      <c r="C8357" t="s">
        <v>340</v>
      </c>
      <c r="D8357" t="s">
        <v>827</v>
      </c>
      <c r="F8357" t="s">
        <v>1923</v>
      </c>
      <c r="G8357" t="s">
        <v>8656</v>
      </c>
      <c r="H8357" t="s">
        <v>15338</v>
      </c>
      <c r="I8357" t="s">
        <v>17356</v>
      </c>
      <c r="J8357" t="s">
        <v>18893</v>
      </c>
      <c r="K8357">
        <v>10039</v>
      </c>
      <c r="L8357" t="s">
        <v>18958</v>
      </c>
      <c r="M8357" t="s">
        <v>18960</v>
      </c>
      <c r="N8357" t="s">
        <v>24968</v>
      </c>
      <c r="O8357" t="s">
        <v>26523</v>
      </c>
      <c r="P8357" t="s">
        <v>26563</v>
      </c>
      <c r="R8357" t="s">
        <v>26578</v>
      </c>
      <c r="S8357" t="s">
        <v>18959</v>
      </c>
      <c r="U8357" t="s">
        <v>26604</v>
      </c>
      <c r="W8357" t="s">
        <v>827</v>
      </c>
      <c r="X8357">
        <v>798</v>
      </c>
      <c r="Y8357" t="s">
        <v>26651</v>
      </c>
      <c r="Z8357" t="s">
        <v>26664</v>
      </c>
      <c r="AB8357" t="s">
        <v>32791</v>
      </c>
      <c r="AC8357" t="s">
        <v>36513</v>
      </c>
      <c r="AD8357" t="s">
        <v>43333</v>
      </c>
      <c r="AE8357">
        <v>0</v>
      </c>
      <c r="AF8357" t="s">
        <v>45541</v>
      </c>
      <c r="AG8357" t="s">
        <v>45559</v>
      </c>
      <c r="AH8357">
        <v>25</v>
      </c>
      <c r="AI8357">
        <v>1</v>
      </c>
      <c r="AJ8357">
        <v>0</v>
      </c>
      <c r="AK8357">
        <v>116.83</v>
      </c>
      <c r="AN8357" t="s">
        <v>7439</v>
      </c>
      <c r="AO8357">
        <v>14592</v>
      </c>
      <c r="AU8357">
        <v>0.5</v>
      </c>
      <c r="AV8357" t="s">
        <v>827</v>
      </c>
      <c r="AW8357" t="s">
        <v>46875</v>
      </c>
      <c r="AX8357" t="s">
        <v>46898</v>
      </c>
    </row>
    <row r="8358" spans="1:50">
      <c r="A8358" s="1">
        <f>HYPERLINK("https://lsnyc.legalserver.org/matter/dynamic-profile/view/1901217","19-1901217")</f>
        <v>0</v>
      </c>
      <c r="B8358" t="s">
        <v>84</v>
      </c>
      <c r="C8358" t="s">
        <v>340</v>
      </c>
      <c r="D8358" t="s">
        <v>827</v>
      </c>
      <c r="F8358" t="s">
        <v>4245</v>
      </c>
      <c r="G8358" t="s">
        <v>8657</v>
      </c>
      <c r="H8358" t="s">
        <v>15339</v>
      </c>
      <c r="I8358">
        <v>11</v>
      </c>
      <c r="J8358" t="s">
        <v>18893</v>
      </c>
      <c r="K8358">
        <v>10002</v>
      </c>
      <c r="L8358" t="s">
        <v>18958</v>
      </c>
      <c r="M8358" t="s">
        <v>18960</v>
      </c>
      <c r="N8358" t="s">
        <v>24969</v>
      </c>
      <c r="O8358" t="s">
        <v>26524</v>
      </c>
      <c r="P8358" t="s">
        <v>26563</v>
      </c>
      <c r="R8358" t="s">
        <v>26578</v>
      </c>
      <c r="S8358" t="s">
        <v>18959</v>
      </c>
      <c r="U8358" t="s">
        <v>26604</v>
      </c>
      <c r="V8358" t="s">
        <v>26610</v>
      </c>
      <c r="W8358" t="s">
        <v>827</v>
      </c>
      <c r="X8358">
        <v>252</v>
      </c>
      <c r="Y8358" t="s">
        <v>26651</v>
      </c>
      <c r="Z8358" t="s">
        <v>26664</v>
      </c>
      <c r="AB8358" t="s">
        <v>32792</v>
      </c>
      <c r="AD8358" t="s">
        <v>43334</v>
      </c>
      <c r="AE8358">
        <v>20</v>
      </c>
      <c r="AF8358" t="s">
        <v>45548</v>
      </c>
      <c r="AG8358" t="s">
        <v>19330</v>
      </c>
      <c r="AH8358">
        <v>39</v>
      </c>
      <c r="AI8358">
        <v>1</v>
      </c>
      <c r="AJ8358">
        <v>0</v>
      </c>
      <c r="AK8358">
        <v>173.23</v>
      </c>
      <c r="AN8358" t="s">
        <v>45594</v>
      </c>
      <c r="AO8358">
        <v>21636</v>
      </c>
      <c r="AU8358">
        <v>1.5</v>
      </c>
      <c r="AV8358" t="s">
        <v>827</v>
      </c>
      <c r="AW8358" t="s">
        <v>46835</v>
      </c>
      <c r="AX8358" t="s">
        <v>46897</v>
      </c>
    </row>
    <row r="8359" spans="1:50">
      <c r="A8359" s="1">
        <f>HYPERLINK("https://lsnyc.legalserver.org/matter/dynamic-profile/view/1901185","19-1901185")</f>
        <v>0</v>
      </c>
      <c r="B8359" t="s">
        <v>84</v>
      </c>
      <c r="C8359" t="s">
        <v>340</v>
      </c>
      <c r="D8359" t="s">
        <v>827</v>
      </c>
      <c r="F8359" t="s">
        <v>1182</v>
      </c>
      <c r="G8359" t="s">
        <v>5177</v>
      </c>
      <c r="H8359" t="s">
        <v>14436</v>
      </c>
      <c r="I8359" t="s">
        <v>17421</v>
      </c>
      <c r="J8359" t="s">
        <v>18893</v>
      </c>
      <c r="K8359">
        <v>10039</v>
      </c>
      <c r="L8359" t="s">
        <v>18958</v>
      </c>
      <c r="M8359" t="s">
        <v>18960</v>
      </c>
      <c r="N8359" t="s">
        <v>24970</v>
      </c>
      <c r="O8359" t="s">
        <v>26523</v>
      </c>
      <c r="P8359" t="s">
        <v>26563</v>
      </c>
      <c r="R8359" t="s">
        <v>26578</v>
      </c>
      <c r="S8359" t="s">
        <v>18959</v>
      </c>
      <c r="U8359" t="s">
        <v>26604</v>
      </c>
      <c r="V8359" t="s">
        <v>26610</v>
      </c>
      <c r="W8359" t="s">
        <v>827</v>
      </c>
      <c r="X8359">
        <v>1100.48</v>
      </c>
      <c r="Y8359" t="s">
        <v>26651</v>
      </c>
      <c r="Z8359" t="s">
        <v>26664</v>
      </c>
      <c r="AB8359" t="s">
        <v>32793</v>
      </c>
      <c r="AD8359" t="s">
        <v>43335</v>
      </c>
      <c r="AE8359">
        <v>96</v>
      </c>
      <c r="AF8359" t="s">
        <v>45541</v>
      </c>
      <c r="AG8359" t="s">
        <v>19330</v>
      </c>
      <c r="AH8359">
        <v>42</v>
      </c>
      <c r="AI8359">
        <v>4</v>
      </c>
      <c r="AJ8359">
        <v>0</v>
      </c>
      <c r="AK8359">
        <v>195.31</v>
      </c>
      <c r="AN8359" t="s">
        <v>7439</v>
      </c>
      <c r="AO8359">
        <v>50292</v>
      </c>
      <c r="AU8359">
        <v>0.7</v>
      </c>
      <c r="AV8359" t="s">
        <v>827</v>
      </c>
      <c r="AW8359" t="s">
        <v>46835</v>
      </c>
      <c r="AX8359" t="s">
        <v>46897</v>
      </c>
    </row>
    <row r="8360" spans="1:50">
      <c r="A8360" s="1">
        <f>HYPERLINK("https://lsnyc.legalserver.org/matter/dynamic-profile/view/1901251","19-1901251")</f>
        <v>0</v>
      </c>
      <c r="B8360" t="s">
        <v>84</v>
      </c>
      <c r="C8360" t="s">
        <v>340</v>
      </c>
      <c r="D8360" t="s">
        <v>827</v>
      </c>
      <c r="F8360" t="s">
        <v>2523</v>
      </c>
      <c r="G8360" t="s">
        <v>8658</v>
      </c>
      <c r="H8360" t="s">
        <v>15340</v>
      </c>
      <c r="I8360" t="s">
        <v>17370</v>
      </c>
      <c r="J8360" t="s">
        <v>18893</v>
      </c>
      <c r="K8360">
        <v>10035</v>
      </c>
      <c r="L8360" t="s">
        <v>18958</v>
      </c>
      <c r="M8360" t="s">
        <v>18960</v>
      </c>
      <c r="N8360" t="s">
        <v>24971</v>
      </c>
      <c r="O8360" t="s">
        <v>26523</v>
      </c>
      <c r="P8360" t="s">
        <v>26563</v>
      </c>
      <c r="R8360" t="s">
        <v>26578</v>
      </c>
      <c r="S8360" t="s">
        <v>18959</v>
      </c>
      <c r="U8360" t="s">
        <v>26604</v>
      </c>
      <c r="V8360" t="s">
        <v>26610</v>
      </c>
      <c r="W8360" t="s">
        <v>827</v>
      </c>
      <c r="X8360">
        <v>2900</v>
      </c>
      <c r="Y8360" t="s">
        <v>26651</v>
      </c>
      <c r="Z8360" t="s">
        <v>26657</v>
      </c>
      <c r="AB8360" t="s">
        <v>32794</v>
      </c>
      <c r="AD8360" t="s">
        <v>43336</v>
      </c>
      <c r="AE8360">
        <v>45</v>
      </c>
      <c r="AF8360" t="s">
        <v>20460</v>
      </c>
      <c r="AG8360" t="s">
        <v>19330</v>
      </c>
      <c r="AH8360">
        <v>10</v>
      </c>
      <c r="AI8360">
        <v>1</v>
      </c>
      <c r="AJ8360">
        <v>0</v>
      </c>
      <c r="AK8360">
        <v>240.19</v>
      </c>
      <c r="AN8360" t="s">
        <v>7439</v>
      </c>
      <c r="AO8360">
        <v>30000</v>
      </c>
      <c r="AU8360">
        <v>0</v>
      </c>
      <c r="AW8360" t="s">
        <v>46835</v>
      </c>
      <c r="AX8360" t="s">
        <v>46897</v>
      </c>
    </row>
    <row r="8361" spans="1:50">
      <c r="A8361" s="1">
        <f>HYPERLINK("https://lsnyc.legalserver.org/matter/dynamic-profile/view/1901198","19-1901198")</f>
        <v>0</v>
      </c>
      <c r="B8361" t="s">
        <v>84</v>
      </c>
      <c r="C8361" t="s">
        <v>340</v>
      </c>
      <c r="D8361" t="s">
        <v>827</v>
      </c>
      <c r="F8361" t="s">
        <v>2913</v>
      </c>
      <c r="G8361" t="s">
        <v>5465</v>
      </c>
      <c r="H8361" t="s">
        <v>15341</v>
      </c>
      <c r="I8361" t="s">
        <v>17461</v>
      </c>
      <c r="J8361" t="s">
        <v>18893</v>
      </c>
      <c r="K8361">
        <v>10029</v>
      </c>
      <c r="L8361" t="s">
        <v>18958</v>
      </c>
      <c r="M8361" t="s">
        <v>18960</v>
      </c>
      <c r="N8361" t="s">
        <v>24972</v>
      </c>
      <c r="O8361" t="s">
        <v>26523</v>
      </c>
      <c r="P8361" t="s">
        <v>26564</v>
      </c>
      <c r="R8361" t="s">
        <v>26582</v>
      </c>
      <c r="S8361" t="s">
        <v>18959</v>
      </c>
      <c r="U8361" t="s">
        <v>26605</v>
      </c>
      <c r="V8361" t="s">
        <v>26610</v>
      </c>
      <c r="W8361" t="s">
        <v>827</v>
      </c>
      <c r="X8361">
        <v>879</v>
      </c>
      <c r="Y8361" t="s">
        <v>26651</v>
      </c>
      <c r="Z8361" t="s">
        <v>26657</v>
      </c>
      <c r="AB8361" t="s">
        <v>29123</v>
      </c>
      <c r="AD8361" t="s">
        <v>43337</v>
      </c>
      <c r="AE8361">
        <v>0</v>
      </c>
      <c r="AF8361" t="s">
        <v>45542</v>
      </c>
      <c r="AG8361" t="s">
        <v>19330</v>
      </c>
      <c r="AH8361">
        <v>20</v>
      </c>
      <c r="AI8361">
        <v>1</v>
      </c>
      <c r="AJ8361">
        <v>0</v>
      </c>
      <c r="AK8361">
        <v>520.42</v>
      </c>
      <c r="AN8361" t="s">
        <v>7439</v>
      </c>
      <c r="AO8361">
        <v>65000</v>
      </c>
      <c r="AU8361">
        <v>0.5</v>
      </c>
      <c r="AV8361" t="s">
        <v>828</v>
      </c>
      <c r="AW8361" t="s">
        <v>46835</v>
      </c>
      <c r="AX8361" t="s">
        <v>46897</v>
      </c>
    </row>
    <row r="8362" spans="1:50">
      <c r="A8362" s="1">
        <f>HYPERLINK("https://lsnyc.legalserver.org/matter/dynamic-profile/view/1901253","19-1901253")</f>
        <v>0</v>
      </c>
      <c r="B8362" t="s">
        <v>123</v>
      </c>
      <c r="C8362" t="s">
        <v>340</v>
      </c>
      <c r="D8362" t="s">
        <v>827</v>
      </c>
      <c r="F8362" t="s">
        <v>1377</v>
      </c>
      <c r="G8362" t="s">
        <v>968</v>
      </c>
      <c r="H8362" t="s">
        <v>13541</v>
      </c>
      <c r="I8362" t="s">
        <v>17273</v>
      </c>
      <c r="J8362" t="s">
        <v>18894</v>
      </c>
      <c r="K8362">
        <v>11226</v>
      </c>
      <c r="L8362" t="s">
        <v>18958</v>
      </c>
      <c r="M8362" t="s">
        <v>18960</v>
      </c>
      <c r="N8362" t="s">
        <v>22873</v>
      </c>
      <c r="O8362" t="s">
        <v>26524</v>
      </c>
      <c r="P8362" t="s">
        <v>26560</v>
      </c>
      <c r="R8362" t="s">
        <v>26588</v>
      </c>
      <c r="S8362" t="s">
        <v>18959</v>
      </c>
      <c r="U8362" t="s">
        <v>26604</v>
      </c>
      <c r="V8362" t="s">
        <v>26610</v>
      </c>
      <c r="W8362" t="s">
        <v>827</v>
      </c>
      <c r="X8362">
        <v>875</v>
      </c>
      <c r="Y8362" t="s">
        <v>26652</v>
      </c>
      <c r="Z8362" t="s">
        <v>26655</v>
      </c>
      <c r="AB8362" t="s">
        <v>32616</v>
      </c>
      <c r="AD8362" t="s">
        <v>43338</v>
      </c>
      <c r="AE8362">
        <v>40</v>
      </c>
      <c r="AF8362" t="s">
        <v>20460</v>
      </c>
      <c r="AG8362" t="s">
        <v>19330</v>
      </c>
      <c r="AH8362">
        <v>33</v>
      </c>
      <c r="AI8362">
        <v>2</v>
      </c>
      <c r="AJ8362">
        <v>0</v>
      </c>
      <c r="AK8362">
        <v>241.28</v>
      </c>
      <c r="AL8362" t="s">
        <v>835</v>
      </c>
      <c r="AM8362" t="s">
        <v>45575</v>
      </c>
      <c r="AN8362" t="s">
        <v>7439</v>
      </c>
      <c r="AO8362">
        <v>40800</v>
      </c>
      <c r="AU8362">
        <v>4</v>
      </c>
      <c r="AV8362" t="s">
        <v>772</v>
      </c>
      <c r="AW8362" t="s">
        <v>271</v>
      </c>
      <c r="AX8362" t="s">
        <v>46897</v>
      </c>
    </row>
    <row r="8363" spans="1:50">
      <c r="A8363" s="1">
        <f>HYPERLINK("https://lsnyc.legalserver.org/matter/dynamic-profile/view/1901238","19-1901238")</f>
        <v>0</v>
      </c>
      <c r="B8363" t="s">
        <v>157</v>
      </c>
      <c r="C8363" t="s">
        <v>340</v>
      </c>
      <c r="D8363" t="s">
        <v>827</v>
      </c>
      <c r="F8363" t="s">
        <v>1162</v>
      </c>
      <c r="G8363" t="s">
        <v>1685</v>
      </c>
      <c r="H8363" t="s">
        <v>15342</v>
      </c>
      <c r="I8363">
        <v>35</v>
      </c>
      <c r="J8363" t="s">
        <v>18893</v>
      </c>
      <c r="K8363">
        <v>10032</v>
      </c>
      <c r="L8363" t="s">
        <v>18958</v>
      </c>
      <c r="M8363" t="s">
        <v>18960</v>
      </c>
      <c r="O8363" t="s">
        <v>26529</v>
      </c>
      <c r="P8363" t="s">
        <v>26565</v>
      </c>
      <c r="R8363" t="s">
        <v>26578</v>
      </c>
      <c r="S8363" t="s">
        <v>18959</v>
      </c>
      <c r="U8363" t="s">
        <v>26604</v>
      </c>
      <c r="W8363" t="s">
        <v>827</v>
      </c>
      <c r="X8363">
        <v>1147.19</v>
      </c>
      <c r="Y8363" t="s">
        <v>26651</v>
      </c>
      <c r="Z8363" t="s">
        <v>26661</v>
      </c>
      <c r="AB8363" t="s">
        <v>32795</v>
      </c>
      <c r="AD8363" t="s">
        <v>43339</v>
      </c>
      <c r="AE8363">
        <v>30</v>
      </c>
      <c r="AF8363" t="s">
        <v>45541</v>
      </c>
      <c r="AG8363" t="s">
        <v>45559</v>
      </c>
      <c r="AH8363">
        <v>27</v>
      </c>
      <c r="AI8363">
        <v>3</v>
      </c>
      <c r="AJ8363">
        <v>0</v>
      </c>
      <c r="AK8363">
        <v>83.83</v>
      </c>
      <c r="AN8363" t="s">
        <v>45581</v>
      </c>
      <c r="AO8363">
        <v>17880</v>
      </c>
      <c r="AU8363">
        <v>3.13</v>
      </c>
      <c r="AV8363" t="s">
        <v>839</v>
      </c>
      <c r="AW8363" t="s">
        <v>46840</v>
      </c>
      <c r="AX8363" t="s">
        <v>46897</v>
      </c>
    </row>
    <row r="8364" spans="1:50">
      <c r="A8364" s="1">
        <f>HYPERLINK("https://lsnyc.legalserver.org/matter/dynamic-profile/view/1901243","19-1901243")</f>
        <v>0</v>
      </c>
      <c r="B8364" t="s">
        <v>157</v>
      </c>
      <c r="C8364" t="s">
        <v>340</v>
      </c>
      <c r="D8364" t="s">
        <v>827</v>
      </c>
      <c r="F8364" t="s">
        <v>1250</v>
      </c>
      <c r="G8364" t="s">
        <v>6485</v>
      </c>
      <c r="H8364" t="s">
        <v>15342</v>
      </c>
      <c r="I8364">
        <v>45</v>
      </c>
      <c r="J8364" t="s">
        <v>18893</v>
      </c>
      <c r="K8364">
        <v>10032</v>
      </c>
      <c r="L8364" t="s">
        <v>18958</v>
      </c>
      <c r="M8364" t="s">
        <v>18960</v>
      </c>
      <c r="O8364" t="s">
        <v>26529</v>
      </c>
      <c r="P8364" t="s">
        <v>26565</v>
      </c>
      <c r="R8364" t="s">
        <v>26578</v>
      </c>
      <c r="S8364" t="s">
        <v>18959</v>
      </c>
      <c r="U8364" t="s">
        <v>26604</v>
      </c>
      <c r="W8364" t="s">
        <v>827</v>
      </c>
      <c r="X8364">
        <v>0</v>
      </c>
      <c r="Y8364" t="s">
        <v>26651</v>
      </c>
      <c r="Z8364" t="s">
        <v>26661</v>
      </c>
      <c r="AB8364" t="s">
        <v>29447</v>
      </c>
      <c r="AE8364">
        <v>30</v>
      </c>
      <c r="AF8364" t="s">
        <v>45541</v>
      </c>
      <c r="AG8364" t="s">
        <v>19330</v>
      </c>
      <c r="AH8364">
        <v>22</v>
      </c>
      <c r="AI8364">
        <v>6</v>
      </c>
      <c r="AJ8364">
        <v>0</v>
      </c>
      <c r="AK8364">
        <v>120.27</v>
      </c>
      <c r="AN8364" t="s">
        <v>45581</v>
      </c>
      <c r="AO8364">
        <v>41600</v>
      </c>
      <c r="AU8364">
        <v>0</v>
      </c>
      <c r="AW8364" t="s">
        <v>46840</v>
      </c>
      <c r="AX8364" t="s">
        <v>46897</v>
      </c>
    </row>
    <row r="8365" spans="1:50">
      <c r="A8365" s="1">
        <f>HYPERLINK("https://lsnyc.legalserver.org/matter/dynamic-profile/view/1866294","18-1866294")</f>
        <v>0</v>
      </c>
      <c r="B8365" t="s">
        <v>109</v>
      </c>
      <c r="C8365" t="s">
        <v>340</v>
      </c>
      <c r="D8365" t="s">
        <v>491</v>
      </c>
      <c r="F8365" t="s">
        <v>1197</v>
      </c>
      <c r="G8365" t="s">
        <v>8659</v>
      </c>
      <c r="H8365" t="s">
        <v>15343</v>
      </c>
      <c r="I8365" t="s">
        <v>17703</v>
      </c>
      <c r="J8365" t="s">
        <v>18902</v>
      </c>
      <c r="K8365">
        <v>10308</v>
      </c>
      <c r="L8365" t="s">
        <v>18958</v>
      </c>
      <c r="M8365" t="s">
        <v>18960</v>
      </c>
      <c r="N8365" t="s">
        <v>24973</v>
      </c>
      <c r="O8365" t="s">
        <v>26524</v>
      </c>
      <c r="P8365" t="s">
        <v>26560</v>
      </c>
      <c r="R8365" t="s">
        <v>26587</v>
      </c>
      <c r="S8365" t="s">
        <v>18959</v>
      </c>
      <c r="U8365" t="s">
        <v>26604</v>
      </c>
      <c r="V8365" t="s">
        <v>26610</v>
      </c>
      <c r="W8365" t="s">
        <v>26642</v>
      </c>
      <c r="X8365">
        <v>1000</v>
      </c>
      <c r="Y8365" t="s">
        <v>26654</v>
      </c>
      <c r="Z8365" t="s">
        <v>26668</v>
      </c>
      <c r="AB8365" t="s">
        <v>32796</v>
      </c>
      <c r="AD8365" t="s">
        <v>43340</v>
      </c>
      <c r="AE8365">
        <v>2</v>
      </c>
      <c r="AF8365" t="s">
        <v>45547</v>
      </c>
      <c r="AH8365">
        <v>2</v>
      </c>
      <c r="AI8365">
        <v>2</v>
      </c>
      <c r="AJ8365">
        <v>0</v>
      </c>
      <c r="AK8365">
        <v>116.65</v>
      </c>
      <c r="AN8365" t="s">
        <v>7439</v>
      </c>
      <c r="AO8365">
        <v>19200</v>
      </c>
      <c r="AQ8365" t="s">
        <v>46365</v>
      </c>
      <c r="AR8365" t="s">
        <v>46410</v>
      </c>
      <c r="AS8365" t="s">
        <v>46500</v>
      </c>
      <c r="AT8365" t="s">
        <v>46758</v>
      </c>
      <c r="AU8365">
        <v>21.8</v>
      </c>
      <c r="AV8365" t="s">
        <v>26644</v>
      </c>
      <c r="AW8365" t="s">
        <v>46852</v>
      </c>
      <c r="AX8365" t="s">
        <v>46897</v>
      </c>
    </row>
    <row r="8366" spans="1:50">
      <c r="A8366" s="1">
        <f>HYPERLINK("https://lsnyc.legalserver.org/matter/dynamic-profile/view/1877288","18-1877288")</f>
        <v>0</v>
      </c>
      <c r="B8366" t="s">
        <v>101</v>
      </c>
      <c r="C8366" t="s">
        <v>340</v>
      </c>
      <c r="D8366" t="s">
        <v>531</v>
      </c>
      <c r="F8366" t="s">
        <v>964</v>
      </c>
      <c r="G8366" t="s">
        <v>5370</v>
      </c>
      <c r="H8366" t="s">
        <v>9995</v>
      </c>
      <c r="I8366" t="s">
        <v>17437</v>
      </c>
      <c r="J8366" t="s">
        <v>18894</v>
      </c>
      <c r="K8366">
        <v>11203</v>
      </c>
      <c r="L8366" t="s">
        <v>18958</v>
      </c>
      <c r="M8366" t="s">
        <v>18960</v>
      </c>
      <c r="O8366" t="s">
        <v>26553</v>
      </c>
      <c r="P8366" t="s">
        <v>26560</v>
      </c>
      <c r="R8366" t="s">
        <v>26586</v>
      </c>
      <c r="S8366" t="s">
        <v>18959</v>
      </c>
      <c r="U8366" t="s">
        <v>26604</v>
      </c>
      <c r="W8366" t="s">
        <v>26642</v>
      </c>
      <c r="X8366">
        <v>0</v>
      </c>
      <c r="Y8366" t="s">
        <v>26652</v>
      </c>
      <c r="AB8366" t="s">
        <v>26761</v>
      </c>
      <c r="AD8366" t="s">
        <v>37163</v>
      </c>
      <c r="AE8366">
        <v>0</v>
      </c>
      <c r="AH8366">
        <v>27</v>
      </c>
      <c r="AI8366">
        <v>3</v>
      </c>
      <c r="AJ8366">
        <v>1</v>
      </c>
      <c r="AK8366">
        <v>34.57</v>
      </c>
      <c r="AN8366" t="s">
        <v>45587</v>
      </c>
      <c r="AO8366">
        <v>8676</v>
      </c>
      <c r="AU8366">
        <v>2.2</v>
      </c>
      <c r="AV8366" t="s">
        <v>596</v>
      </c>
      <c r="AW8366" t="s">
        <v>101</v>
      </c>
      <c r="AX8366" t="s">
        <v>46897</v>
      </c>
    </row>
    <row r="8367" spans="1:50">
      <c r="A8367" s="1">
        <f>HYPERLINK("https://lsnyc.legalserver.org/matter/dynamic-profile/view/1880078","18-1880078")</f>
        <v>0</v>
      </c>
      <c r="B8367" t="s">
        <v>243</v>
      </c>
      <c r="C8367" t="s">
        <v>340</v>
      </c>
      <c r="D8367" t="s">
        <v>413</v>
      </c>
      <c r="F8367" t="s">
        <v>1283</v>
      </c>
      <c r="G8367" t="s">
        <v>6119</v>
      </c>
      <c r="H8367" t="s">
        <v>13612</v>
      </c>
      <c r="I8367" t="s">
        <v>17299</v>
      </c>
      <c r="J8367" t="s">
        <v>18894</v>
      </c>
      <c r="K8367">
        <v>11225</v>
      </c>
      <c r="L8367" t="s">
        <v>18958</v>
      </c>
      <c r="M8367" t="s">
        <v>18958</v>
      </c>
      <c r="R8367" t="s">
        <v>26578</v>
      </c>
      <c r="U8367" t="s">
        <v>26604</v>
      </c>
      <c r="W8367" t="s">
        <v>26642</v>
      </c>
      <c r="X8367">
        <v>813.54</v>
      </c>
      <c r="Y8367" t="s">
        <v>26652</v>
      </c>
      <c r="AB8367" t="s">
        <v>30978</v>
      </c>
      <c r="AD8367" t="s">
        <v>41216</v>
      </c>
      <c r="AE8367">
        <v>8</v>
      </c>
      <c r="AH8367">
        <v>26</v>
      </c>
      <c r="AI8367">
        <v>3</v>
      </c>
      <c r="AJ8367">
        <v>0</v>
      </c>
      <c r="AK8367">
        <v>153.99</v>
      </c>
      <c r="AN8367" t="s">
        <v>7439</v>
      </c>
      <c r="AO8367">
        <v>32000</v>
      </c>
      <c r="AU8367">
        <v>2.3</v>
      </c>
      <c r="AV8367" t="s">
        <v>739</v>
      </c>
      <c r="AW8367" t="s">
        <v>281</v>
      </c>
      <c r="AX8367" t="s">
        <v>46897</v>
      </c>
    </row>
    <row r="8368" spans="1:50">
      <c r="A8368" s="1">
        <f>HYPERLINK("https://lsnyc.legalserver.org/matter/dynamic-profile/view/1894734","19-1894734")</f>
        <v>0</v>
      </c>
      <c r="B8368" t="s">
        <v>81</v>
      </c>
      <c r="C8368" t="s">
        <v>340</v>
      </c>
      <c r="D8368" t="s">
        <v>788</v>
      </c>
      <c r="F8368" t="s">
        <v>901</v>
      </c>
      <c r="G8368" t="s">
        <v>8660</v>
      </c>
      <c r="H8368" t="s">
        <v>15344</v>
      </c>
      <c r="I8368" t="s">
        <v>17863</v>
      </c>
      <c r="J8368" t="s">
        <v>18892</v>
      </c>
      <c r="K8368">
        <v>10474</v>
      </c>
      <c r="L8368" t="s">
        <v>18958</v>
      </c>
      <c r="M8368" t="s">
        <v>18958</v>
      </c>
      <c r="N8368" t="s">
        <v>24974</v>
      </c>
      <c r="O8368" t="s">
        <v>26523</v>
      </c>
      <c r="P8368" t="s">
        <v>26560</v>
      </c>
      <c r="R8368" t="s">
        <v>26577</v>
      </c>
      <c r="S8368" t="s">
        <v>18959</v>
      </c>
      <c r="U8368" t="s">
        <v>26604</v>
      </c>
      <c r="V8368" t="s">
        <v>26610</v>
      </c>
      <c r="W8368" t="s">
        <v>26642</v>
      </c>
      <c r="X8368">
        <v>1750</v>
      </c>
      <c r="Y8368" t="s">
        <v>26650</v>
      </c>
      <c r="Z8368" t="s">
        <v>26672</v>
      </c>
      <c r="AB8368" t="s">
        <v>32797</v>
      </c>
      <c r="AD8368" t="s">
        <v>43341</v>
      </c>
      <c r="AE8368">
        <v>62</v>
      </c>
      <c r="AF8368" t="s">
        <v>45541</v>
      </c>
      <c r="AG8368" t="s">
        <v>19330</v>
      </c>
      <c r="AH8368">
        <v>3</v>
      </c>
      <c r="AI8368">
        <v>1</v>
      </c>
      <c r="AJ8368">
        <v>0</v>
      </c>
      <c r="AK8368">
        <v>312.73</v>
      </c>
      <c r="AN8368" t="s">
        <v>7439</v>
      </c>
      <c r="AO8368">
        <v>39060</v>
      </c>
      <c r="AU8368">
        <v>8.1</v>
      </c>
      <c r="AV8368" t="s">
        <v>833</v>
      </c>
      <c r="AW8368" t="s">
        <v>329</v>
      </c>
      <c r="AX8368" t="s">
        <v>46897</v>
      </c>
    </row>
    <row r="8369" spans="1:50">
      <c r="A8369" s="1">
        <f>HYPERLINK("https://lsnyc.legalserver.org/matter/dynamic-profile/view/1894872","19-1894872")</f>
        <v>0</v>
      </c>
      <c r="B8369" t="s">
        <v>259</v>
      </c>
      <c r="C8369" t="s">
        <v>340</v>
      </c>
      <c r="D8369" t="s">
        <v>789</v>
      </c>
      <c r="F8369" t="s">
        <v>4246</v>
      </c>
      <c r="G8369" t="s">
        <v>4368</v>
      </c>
      <c r="H8369" t="s">
        <v>15345</v>
      </c>
      <c r="I8369" t="s">
        <v>18366</v>
      </c>
      <c r="J8369" t="s">
        <v>18894</v>
      </c>
      <c r="K8369">
        <v>11220</v>
      </c>
      <c r="L8369" t="s">
        <v>18958</v>
      </c>
      <c r="M8369" t="s">
        <v>18958</v>
      </c>
      <c r="N8369" t="s">
        <v>24975</v>
      </c>
      <c r="O8369" t="s">
        <v>26526</v>
      </c>
      <c r="P8369" t="s">
        <v>26560</v>
      </c>
      <c r="R8369" t="s">
        <v>26586</v>
      </c>
      <c r="U8369" t="s">
        <v>26607</v>
      </c>
      <c r="W8369" t="s">
        <v>26642</v>
      </c>
      <c r="X8369">
        <v>1200</v>
      </c>
      <c r="Y8369" t="s">
        <v>26652</v>
      </c>
      <c r="Z8369" t="s">
        <v>26664</v>
      </c>
      <c r="AB8369" t="s">
        <v>32798</v>
      </c>
      <c r="AD8369" t="s">
        <v>43342</v>
      </c>
      <c r="AE8369">
        <v>6</v>
      </c>
      <c r="AG8369" t="s">
        <v>26530</v>
      </c>
      <c r="AH8369">
        <v>10</v>
      </c>
      <c r="AI8369">
        <v>1</v>
      </c>
      <c r="AJ8369">
        <v>4</v>
      </c>
      <c r="AK8369">
        <v>24.1</v>
      </c>
      <c r="AO8369">
        <v>7272</v>
      </c>
      <c r="AU8369">
        <v>0</v>
      </c>
      <c r="AW8369" t="s">
        <v>46853</v>
      </c>
      <c r="AX8369" t="s">
        <v>46897</v>
      </c>
    </row>
    <row r="8370" spans="1:50">
      <c r="A8370" s="1">
        <f>HYPERLINK("https://lsnyc.legalserver.org/matter/dynamic-profile/view/1895440","19-1895440")</f>
        <v>0</v>
      </c>
      <c r="B8370" t="s">
        <v>52</v>
      </c>
      <c r="C8370" t="s">
        <v>340</v>
      </c>
      <c r="D8370" t="s">
        <v>781</v>
      </c>
      <c r="F8370" t="s">
        <v>1283</v>
      </c>
      <c r="G8370" t="s">
        <v>5147</v>
      </c>
      <c r="H8370" t="s">
        <v>10837</v>
      </c>
      <c r="I8370">
        <v>2</v>
      </c>
      <c r="J8370" t="s">
        <v>18892</v>
      </c>
      <c r="K8370">
        <v>10457</v>
      </c>
      <c r="L8370" t="s">
        <v>18958</v>
      </c>
      <c r="M8370" t="s">
        <v>18960</v>
      </c>
      <c r="N8370" t="s">
        <v>24976</v>
      </c>
      <c r="O8370" t="s">
        <v>26532</v>
      </c>
      <c r="P8370" t="s">
        <v>26561</v>
      </c>
      <c r="R8370" t="s">
        <v>26578</v>
      </c>
      <c r="S8370" t="s">
        <v>18959</v>
      </c>
      <c r="U8370" t="s">
        <v>26608</v>
      </c>
      <c r="V8370" t="s">
        <v>26610</v>
      </c>
      <c r="W8370" t="s">
        <v>26642</v>
      </c>
      <c r="X8370">
        <v>0.01</v>
      </c>
      <c r="Y8370" t="s">
        <v>26650</v>
      </c>
      <c r="Z8370" t="s">
        <v>26659</v>
      </c>
      <c r="AB8370" t="s">
        <v>27994</v>
      </c>
      <c r="AD8370" t="s">
        <v>38044</v>
      </c>
      <c r="AE8370">
        <v>1</v>
      </c>
      <c r="AF8370" t="s">
        <v>20460</v>
      </c>
      <c r="AG8370" t="s">
        <v>45556</v>
      </c>
      <c r="AH8370">
        <v>0</v>
      </c>
      <c r="AI8370">
        <v>1</v>
      </c>
      <c r="AJ8370">
        <v>1</v>
      </c>
      <c r="AK8370">
        <v>127.74</v>
      </c>
      <c r="AN8370" t="s">
        <v>7439</v>
      </c>
      <c r="AO8370">
        <v>21600</v>
      </c>
      <c r="AU8370">
        <v>8</v>
      </c>
      <c r="AV8370" t="s">
        <v>833</v>
      </c>
      <c r="AW8370" t="s">
        <v>46847</v>
      </c>
      <c r="AX8370" t="s">
        <v>46897</v>
      </c>
    </row>
    <row r="8371" spans="1:50">
      <c r="A8371" s="1">
        <f>HYPERLINK("https://lsnyc.legalserver.org/matter/dynamic-profile/view/1897289","19-1897289")</f>
        <v>0</v>
      </c>
      <c r="B8371" t="s">
        <v>179</v>
      </c>
      <c r="C8371" t="s">
        <v>340</v>
      </c>
      <c r="D8371" t="s">
        <v>761</v>
      </c>
      <c r="F8371" t="s">
        <v>1730</v>
      </c>
      <c r="G8371" t="s">
        <v>1000</v>
      </c>
      <c r="H8371" t="s">
        <v>15346</v>
      </c>
      <c r="J8371" t="s">
        <v>18894</v>
      </c>
      <c r="K8371">
        <v>11236</v>
      </c>
      <c r="L8371" t="s">
        <v>18958</v>
      </c>
      <c r="M8371" t="s">
        <v>18958</v>
      </c>
      <c r="N8371" t="s">
        <v>24977</v>
      </c>
      <c r="O8371" t="s">
        <v>26524</v>
      </c>
      <c r="P8371" t="s">
        <v>26560</v>
      </c>
      <c r="R8371" t="s">
        <v>26586</v>
      </c>
      <c r="U8371" t="s">
        <v>26604</v>
      </c>
      <c r="W8371" t="s">
        <v>26642</v>
      </c>
      <c r="X8371">
        <v>0</v>
      </c>
      <c r="Y8371" t="s">
        <v>26652</v>
      </c>
      <c r="Z8371" t="s">
        <v>26664</v>
      </c>
      <c r="AB8371" t="s">
        <v>32799</v>
      </c>
      <c r="AC8371" t="s">
        <v>36514</v>
      </c>
      <c r="AD8371" t="s">
        <v>34738</v>
      </c>
      <c r="AE8371">
        <v>4</v>
      </c>
      <c r="AH8371">
        <v>0</v>
      </c>
      <c r="AI8371">
        <v>2</v>
      </c>
      <c r="AJ8371">
        <v>2</v>
      </c>
      <c r="AK8371">
        <v>0</v>
      </c>
      <c r="AN8371" t="s">
        <v>7439</v>
      </c>
      <c r="AO8371">
        <v>0</v>
      </c>
      <c r="AU8371">
        <v>27.5</v>
      </c>
      <c r="AV8371" t="s">
        <v>832</v>
      </c>
      <c r="AW8371" t="s">
        <v>46850</v>
      </c>
      <c r="AX8371" t="s">
        <v>46897</v>
      </c>
    </row>
    <row r="8372" spans="1:50">
      <c r="A8372" s="1">
        <f>HYPERLINK("https://lsnyc.legalserver.org/matter/dynamic-profile/view/1897955","19-1897955")</f>
        <v>0</v>
      </c>
      <c r="B8372" t="s">
        <v>213</v>
      </c>
      <c r="C8372" t="s">
        <v>340</v>
      </c>
      <c r="D8372" t="s">
        <v>765</v>
      </c>
      <c r="F8372" t="s">
        <v>3391</v>
      </c>
      <c r="G8372" t="s">
        <v>5639</v>
      </c>
      <c r="H8372" t="s">
        <v>15347</v>
      </c>
      <c r="I8372" t="s">
        <v>17352</v>
      </c>
      <c r="J8372" t="s">
        <v>18892</v>
      </c>
      <c r="K8372">
        <v>10456</v>
      </c>
      <c r="L8372" t="s">
        <v>18958</v>
      </c>
      <c r="M8372" t="s">
        <v>18958</v>
      </c>
      <c r="N8372" t="s">
        <v>24978</v>
      </c>
      <c r="O8372" t="s">
        <v>26524</v>
      </c>
      <c r="P8372" t="s">
        <v>26560</v>
      </c>
      <c r="R8372" t="s">
        <v>26577</v>
      </c>
      <c r="S8372" t="s">
        <v>18959</v>
      </c>
      <c r="U8372" t="s">
        <v>26604</v>
      </c>
      <c r="V8372" t="s">
        <v>26610</v>
      </c>
      <c r="W8372" t="s">
        <v>26642</v>
      </c>
      <c r="X8372">
        <v>1460</v>
      </c>
      <c r="Y8372" t="s">
        <v>26650</v>
      </c>
      <c r="Z8372" t="s">
        <v>26668</v>
      </c>
      <c r="AB8372" t="s">
        <v>30094</v>
      </c>
      <c r="AD8372" t="s">
        <v>43343</v>
      </c>
      <c r="AE8372">
        <v>70</v>
      </c>
      <c r="AF8372" t="s">
        <v>20460</v>
      </c>
      <c r="AG8372" t="s">
        <v>45563</v>
      </c>
      <c r="AH8372">
        <v>1</v>
      </c>
      <c r="AI8372">
        <v>1</v>
      </c>
      <c r="AJ8372">
        <v>1</v>
      </c>
      <c r="AK8372">
        <v>69.19</v>
      </c>
      <c r="AO8372">
        <v>11700</v>
      </c>
      <c r="AU8372">
        <v>9.5</v>
      </c>
      <c r="AV8372" t="s">
        <v>839</v>
      </c>
      <c r="AW8372" t="s">
        <v>46847</v>
      </c>
      <c r="AX8372" t="s">
        <v>46897</v>
      </c>
    </row>
    <row r="8373" spans="1:50">
      <c r="A8373" s="1">
        <f>HYPERLINK("https://lsnyc.legalserver.org/matter/dynamic-profile/view/1897823","19-1897823")</f>
        <v>0</v>
      </c>
      <c r="B8373" t="s">
        <v>65</v>
      </c>
      <c r="C8373" t="s">
        <v>340</v>
      </c>
      <c r="D8373" t="s">
        <v>765</v>
      </c>
      <c r="F8373" t="s">
        <v>4247</v>
      </c>
      <c r="G8373" t="s">
        <v>6514</v>
      </c>
      <c r="H8373" t="s">
        <v>15348</v>
      </c>
      <c r="I8373" t="s">
        <v>18555</v>
      </c>
      <c r="J8373" t="s">
        <v>18892</v>
      </c>
      <c r="K8373">
        <v>10462</v>
      </c>
      <c r="L8373" t="s">
        <v>18958</v>
      </c>
      <c r="M8373" t="s">
        <v>18958</v>
      </c>
      <c r="N8373" t="s">
        <v>24979</v>
      </c>
      <c r="O8373" t="s">
        <v>26524</v>
      </c>
      <c r="P8373" t="s">
        <v>26560</v>
      </c>
      <c r="R8373" t="s">
        <v>26579</v>
      </c>
      <c r="S8373" t="s">
        <v>18959</v>
      </c>
      <c r="U8373" t="s">
        <v>26604</v>
      </c>
      <c r="V8373" t="s">
        <v>26610</v>
      </c>
      <c r="W8373" t="s">
        <v>26642</v>
      </c>
      <c r="X8373">
        <v>800</v>
      </c>
      <c r="Y8373" t="s">
        <v>26650</v>
      </c>
      <c r="Z8373" t="s">
        <v>26664</v>
      </c>
      <c r="AB8373" t="s">
        <v>32800</v>
      </c>
      <c r="AD8373" t="s">
        <v>43344</v>
      </c>
      <c r="AE8373">
        <v>3857</v>
      </c>
      <c r="AF8373" t="s">
        <v>45545</v>
      </c>
      <c r="AG8373" t="s">
        <v>19330</v>
      </c>
      <c r="AH8373">
        <v>3</v>
      </c>
      <c r="AI8373">
        <v>3</v>
      </c>
      <c r="AJ8373">
        <v>0</v>
      </c>
      <c r="AK8373">
        <v>36.57</v>
      </c>
      <c r="AN8373" t="s">
        <v>7439</v>
      </c>
      <c r="AO8373">
        <v>7800</v>
      </c>
      <c r="AU8373">
        <v>7.3</v>
      </c>
      <c r="AV8373" t="s">
        <v>839</v>
      </c>
      <c r="AW8373" t="s">
        <v>336</v>
      </c>
      <c r="AX8373" t="s">
        <v>46897</v>
      </c>
    </row>
    <row r="8374" spans="1:50">
      <c r="A8374" s="1">
        <f>HYPERLINK("https://lsnyc.legalserver.org/matter/dynamic-profile/view/1898600","19-1898600")</f>
        <v>0</v>
      </c>
      <c r="B8374" t="s">
        <v>202</v>
      </c>
      <c r="C8374" t="s">
        <v>340</v>
      </c>
      <c r="D8374" t="s">
        <v>810</v>
      </c>
      <c r="F8374" t="s">
        <v>1092</v>
      </c>
      <c r="G8374" t="s">
        <v>5562</v>
      </c>
      <c r="H8374" t="s">
        <v>14022</v>
      </c>
      <c r="I8374" t="s">
        <v>18556</v>
      </c>
      <c r="J8374" t="s">
        <v>18894</v>
      </c>
      <c r="K8374">
        <v>11226</v>
      </c>
      <c r="L8374" t="s">
        <v>18958</v>
      </c>
      <c r="M8374" t="s">
        <v>18958</v>
      </c>
      <c r="N8374" t="s">
        <v>24980</v>
      </c>
      <c r="O8374" t="s">
        <v>26523</v>
      </c>
      <c r="R8374" t="s">
        <v>26588</v>
      </c>
      <c r="U8374" t="s">
        <v>26604</v>
      </c>
      <c r="W8374" t="s">
        <v>26642</v>
      </c>
      <c r="X8374">
        <v>1024</v>
      </c>
      <c r="Y8374" t="s">
        <v>26652</v>
      </c>
      <c r="Z8374" t="s">
        <v>26664</v>
      </c>
      <c r="AB8374" t="s">
        <v>26827</v>
      </c>
      <c r="AD8374" t="s">
        <v>43345</v>
      </c>
      <c r="AE8374">
        <v>0</v>
      </c>
      <c r="AH8374">
        <v>10</v>
      </c>
      <c r="AI8374">
        <v>2</v>
      </c>
      <c r="AJ8374">
        <v>0</v>
      </c>
      <c r="AK8374">
        <v>181.5</v>
      </c>
      <c r="AN8374" t="s">
        <v>7439</v>
      </c>
      <c r="AO8374">
        <v>30692</v>
      </c>
      <c r="AU8374">
        <v>5.8</v>
      </c>
      <c r="AV8374" t="s">
        <v>839</v>
      </c>
      <c r="AW8374" t="s">
        <v>46853</v>
      </c>
      <c r="AX8374" t="s">
        <v>46897</v>
      </c>
    </row>
    <row r="8375" spans="1:50">
      <c r="A8375" s="1">
        <f>HYPERLINK("https://lsnyc.legalserver.org/matter/dynamic-profile/view/1898640","19-1898640")</f>
        <v>0</v>
      </c>
      <c r="B8375" t="s">
        <v>204</v>
      </c>
      <c r="C8375" t="s">
        <v>340</v>
      </c>
      <c r="D8375" t="s">
        <v>769</v>
      </c>
      <c r="F8375" t="s">
        <v>1706</v>
      </c>
      <c r="G8375" t="s">
        <v>8661</v>
      </c>
      <c r="H8375" t="s">
        <v>11761</v>
      </c>
      <c r="I8375" t="s">
        <v>18557</v>
      </c>
      <c r="J8375" t="s">
        <v>18894</v>
      </c>
      <c r="K8375">
        <v>11225</v>
      </c>
      <c r="L8375" t="s">
        <v>18958</v>
      </c>
      <c r="M8375" t="s">
        <v>18958</v>
      </c>
      <c r="N8375" t="s">
        <v>24981</v>
      </c>
      <c r="O8375" t="s">
        <v>26523</v>
      </c>
      <c r="P8375" t="s">
        <v>26560</v>
      </c>
      <c r="R8375" t="s">
        <v>26588</v>
      </c>
      <c r="U8375" t="s">
        <v>26604</v>
      </c>
      <c r="W8375" t="s">
        <v>26642</v>
      </c>
      <c r="X8375">
        <v>1650</v>
      </c>
      <c r="Y8375" t="s">
        <v>26652</v>
      </c>
      <c r="Z8375" t="s">
        <v>26669</v>
      </c>
      <c r="AB8375" t="s">
        <v>32801</v>
      </c>
      <c r="AD8375" t="s">
        <v>43346</v>
      </c>
      <c r="AE8375">
        <v>0</v>
      </c>
      <c r="AH8375">
        <v>10</v>
      </c>
      <c r="AI8375">
        <v>2</v>
      </c>
      <c r="AJ8375">
        <v>0</v>
      </c>
      <c r="AK8375">
        <v>162.51</v>
      </c>
      <c r="AN8375" t="s">
        <v>7439</v>
      </c>
      <c r="AO8375">
        <v>27480</v>
      </c>
      <c r="AU8375">
        <v>0.6</v>
      </c>
      <c r="AV8375" t="s">
        <v>729</v>
      </c>
      <c r="AW8375" t="s">
        <v>46853</v>
      </c>
      <c r="AX8375" t="s">
        <v>46897</v>
      </c>
    </row>
    <row r="8376" spans="1:50">
      <c r="A8376" s="1">
        <f>HYPERLINK("https://lsnyc.legalserver.org/matter/dynamic-profile/view/1898988","19-1898988")</f>
        <v>0</v>
      </c>
      <c r="B8376" t="s">
        <v>230</v>
      </c>
      <c r="C8376" t="s">
        <v>340</v>
      </c>
      <c r="D8376" t="s">
        <v>771</v>
      </c>
      <c r="F8376" t="s">
        <v>4192</v>
      </c>
      <c r="G8376" t="s">
        <v>8662</v>
      </c>
      <c r="H8376" t="s">
        <v>15349</v>
      </c>
      <c r="I8376" t="s">
        <v>17275</v>
      </c>
      <c r="J8376" t="s">
        <v>18894</v>
      </c>
      <c r="K8376">
        <v>11226</v>
      </c>
      <c r="L8376" t="s">
        <v>18958</v>
      </c>
      <c r="M8376" t="s">
        <v>18960</v>
      </c>
      <c r="N8376" t="s">
        <v>24982</v>
      </c>
      <c r="O8376" t="s">
        <v>26523</v>
      </c>
      <c r="P8376" t="s">
        <v>26563</v>
      </c>
      <c r="R8376" t="s">
        <v>26588</v>
      </c>
      <c r="U8376" t="s">
        <v>26604</v>
      </c>
      <c r="W8376" t="s">
        <v>26642</v>
      </c>
      <c r="X8376">
        <v>751.25</v>
      </c>
      <c r="Y8376" t="s">
        <v>26652</v>
      </c>
      <c r="Z8376" t="s">
        <v>26664</v>
      </c>
      <c r="AB8376" t="s">
        <v>31531</v>
      </c>
      <c r="AD8376" t="s">
        <v>43347</v>
      </c>
      <c r="AE8376">
        <v>23</v>
      </c>
      <c r="AH8376">
        <v>12</v>
      </c>
      <c r="AI8376">
        <v>1</v>
      </c>
      <c r="AJ8376">
        <v>1</v>
      </c>
      <c r="AK8376">
        <v>115.01</v>
      </c>
      <c r="AN8376" t="s">
        <v>7439</v>
      </c>
      <c r="AO8376">
        <v>19448</v>
      </c>
      <c r="AU8376">
        <v>17.9</v>
      </c>
      <c r="AV8376" t="s">
        <v>829</v>
      </c>
      <c r="AW8376" t="s">
        <v>46862</v>
      </c>
      <c r="AX8376" t="s">
        <v>46897</v>
      </c>
    </row>
    <row r="8377" spans="1:50">
      <c r="A8377" s="1">
        <f>HYPERLINK("https://lsnyc.legalserver.org/matter/dynamic-profile/view/1898981","19-1898981")</f>
        <v>0</v>
      </c>
      <c r="B8377" t="s">
        <v>158</v>
      </c>
      <c r="C8377" t="s">
        <v>340</v>
      </c>
      <c r="D8377" t="s">
        <v>771</v>
      </c>
      <c r="F8377" t="s">
        <v>939</v>
      </c>
      <c r="G8377" t="s">
        <v>3604</v>
      </c>
      <c r="H8377" t="s">
        <v>15350</v>
      </c>
      <c r="I8377">
        <v>2</v>
      </c>
      <c r="J8377" t="s">
        <v>18894</v>
      </c>
      <c r="K8377">
        <v>11210</v>
      </c>
      <c r="L8377" t="s">
        <v>18958</v>
      </c>
      <c r="M8377" t="s">
        <v>18960</v>
      </c>
      <c r="N8377" t="s">
        <v>24983</v>
      </c>
      <c r="O8377" t="s">
        <v>26524</v>
      </c>
      <c r="P8377" t="s">
        <v>26564</v>
      </c>
      <c r="R8377" t="s">
        <v>26586</v>
      </c>
      <c r="S8377" t="s">
        <v>18959</v>
      </c>
      <c r="U8377" t="s">
        <v>26604</v>
      </c>
      <c r="V8377" t="s">
        <v>26610</v>
      </c>
      <c r="W8377" t="s">
        <v>26642</v>
      </c>
      <c r="X8377">
        <v>0</v>
      </c>
      <c r="Y8377" t="s">
        <v>26652</v>
      </c>
      <c r="Z8377" t="s">
        <v>26664</v>
      </c>
      <c r="AB8377" t="s">
        <v>32802</v>
      </c>
      <c r="AD8377" t="s">
        <v>43348</v>
      </c>
      <c r="AE8377">
        <v>3</v>
      </c>
      <c r="AF8377" t="s">
        <v>45547</v>
      </c>
      <c r="AG8377" t="s">
        <v>45556</v>
      </c>
      <c r="AH8377">
        <v>12</v>
      </c>
      <c r="AI8377">
        <v>1</v>
      </c>
      <c r="AJ8377">
        <v>0</v>
      </c>
      <c r="AK8377">
        <v>17.13</v>
      </c>
      <c r="AN8377" t="s">
        <v>7439</v>
      </c>
      <c r="AO8377">
        <v>2139.8</v>
      </c>
      <c r="AU8377">
        <v>1.5</v>
      </c>
      <c r="AV8377" t="s">
        <v>769</v>
      </c>
      <c r="AW8377" t="s">
        <v>281</v>
      </c>
      <c r="AX8377" t="s">
        <v>46897</v>
      </c>
    </row>
    <row r="8378" spans="1:50">
      <c r="A8378" s="1">
        <f>HYPERLINK("https://lsnyc.legalserver.org/matter/dynamic-profile/view/1898946","19-1898946")</f>
        <v>0</v>
      </c>
      <c r="B8378" t="s">
        <v>129</v>
      </c>
      <c r="C8378" t="s">
        <v>340</v>
      </c>
      <c r="D8378" t="s">
        <v>771</v>
      </c>
      <c r="F8378" t="s">
        <v>1795</v>
      </c>
      <c r="G8378" t="s">
        <v>6858</v>
      </c>
      <c r="H8378" t="s">
        <v>15351</v>
      </c>
      <c r="I8378" t="s">
        <v>17285</v>
      </c>
      <c r="J8378" t="s">
        <v>18894</v>
      </c>
      <c r="K8378">
        <v>11201</v>
      </c>
      <c r="L8378" t="s">
        <v>18958</v>
      </c>
      <c r="M8378" t="s">
        <v>18960</v>
      </c>
      <c r="N8378" t="s">
        <v>24984</v>
      </c>
      <c r="O8378" t="s">
        <v>26523</v>
      </c>
      <c r="P8378" t="s">
        <v>26560</v>
      </c>
      <c r="R8378" t="s">
        <v>26586</v>
      </c>
      <c r="S8378" t="s">
        <v>18959</v>
      </c>
      <c r="U8378" t="s">
        <v>26604</v>
      </c>
      <c r="V8378" t="s">
        <v>26610</v>
      </c>
      <c r="W8378" t="s">
        <v>26642</v>
      </c>
      <c r="X8378">
        <v>1358</v>
      </c>
      <c r="Y8378" t="s">
        <v>26652</v>
      </c>
      <c r="Z8378" t="s">
        <v>26664</v>
      </c>
      <c r="AB8378" t="s">
        <v>32803</v>
      </c>
      <c r="AD8378" t="s">
        <v>43349</v>
      </c>
      <c r="AE8378">
        <v>183</v>
      </c>
      <c r="AF8378" t="s">
        <v>45541</v>
      </c>
      <c r="AG8378" t="s">
        <v>19330</v>
      </c>
      <c r="AH8378">
        <v>27</v>
      </c>
      <c r="AI8378">
        <v>1</v>
      </c>
      <c r="AJ8378">
        <v>0</v>
      </c>
      <c r="AK8378">
        <v>133.45</v>
      </c>
      <c r="AN8378" t="s">
        <v>7439</v>
      </c>
      <c r="AO8378">
        <v>16668</v>
      </c>
      <c r="AU8378">
        <v>6.15</v>
      </c>
      <c r="AV8378" t="s">
        <v>720</v>
      </c>
      <c r="AW8378" t="s">
        <v>46862</v>
      </c>
      <c r="AX8378" t="s">
        <v>46897</v>
      </c>
    </row>
    <row r="8379" spans="1:50">
      <c r="A8379" s="1">
        <f>HYPERLINK("https://lsnyc.legalserver.org/matter/dynamic-profile/view/1898909","19-1898909")</f>
        <v>0</v>
      </c>
      <c r="B8379" t="s">
        <v>129</v>
      </c>
      <c r="C8379" t="s">
        <v>340</v>
      </c>
      <c r="D8379" t="s">
        <v>811</v>
      </c>
      <c r="F8379" t="s">
        <v>4248</v>
      </c>
      <c r="G8379" t="s">
        <v>8663</v>
      </c>
      <c r="H8379" t="s">
        <v>12547</v>
      </c>
      <c r="I8379">
        <v>3</v>
      </c>
      <c r="J8379" t="s">
        <v>18894</v>
      </c>
      <c r="K8379">
        <v>11226</v>
      </c>
      <c r="L8379" t="s">
        <v>18958</v>
      </c>
      <c r="M8379" t="s">
        <v>18960</v>
      </c>
      <c r="N8379" t="s">
        <v>24985</v>
      </c>
      <c r="O8379" t="s">
        <v>26523</v>
      </c>
      <c r="P8379" t="s">
        <v>26560</v>
      </c>
      <c r="R8379" t="s">
        <v>26588</v>
      </c>
      <c r="S8379" t="s">
        <v>18959</v>
      </c>
      <c r="U8379" t="s">
        <v>26604</v>
      </c>
      <c r="V8379" t="s">
        <v>26610</v>
      </c>
      <c r="W8379" t="s">
        <v>26642</v>
      </c>
      <c r="X8379">
        <v>1486.2</v>
      </c>
      <c r="Y8379" t="s">
        <v>26652</v>
      </c>
      <c r="Z8379" t="s">
        <v>26664</v>
      </c>
      <c r="AB8379" t="s">
        <v>32804</v>
      </c>
      <c r="AC8379" t="s">
        <v>36515</v>
      </c>
      <c r="AD8379" t="s">
        <v>43350</v>
      </c>
      <c r="AE8379">
        <v>16</v>
      </c>
      <c r="AG8379" t="s">
        <v>45559</v>
      </c>
      <c r="AH8379">
        <v>6</v>
      </c>
      <c r="AI8379">
        <v>3</v>
      </c>
      <c r="AJ8379">
        <v>0</v>
      </c>
      <c r="AK8379">
        <v>78.76000000000001</v>
      </c>
      <c r="AN8379" t="s">
        <v>7439</v>
      </c>
      <c r="AO8379">
        <v>16800</v>
      </c>
      <c r="AU8379">
        <v>11.1</v>
      </c>
      <c r="AV8379" t="s">
        <v>797</v>
      </c>
      <c r="AW8379" t="s">
        <v>46862</v>
      </c>
      <c r="AX8379" t="s">
        <v>46897</v>
      </c>
    </row>
    <row r="8380" spans="1:50">
      <c r="A8380" s="1">
        <f>HYPERLINK("https://lsnyc.legalserver.org/matter/dynamic-profile/view/1900685","19-1900685")</f>
        <v>0</v>
      </c>
      <c r="B8380" t="s">
        <v>101</v>
      </c>
      <c r="C8380" t="s">
        <v>340</v>
      </c>
      <c r="D8380" t="s">
        <v>815</v>
      </c>
      <c r="F8380" t="s">
        <v>2271</v>
      </c>
      <c r="G8380" t="s">
        <v>6467</v>
      </c>
      <c r="H8380" t="s">
        <v>10407</v>
      </c>
      <c r="I8380" t="s">
        <v>17312</v>
      </c>
      <c r="J8380" t="s">
        <v>18894</v>
      </c>
      <c r="K8380">
        <v>11221</v>
      </c>
      <c r="L8380" t="s">
        <v>18958</v>
      </c>
      <c r="M8380" t="s">
        <v>18960</v>
      </c>
      <c r="N8380" t="s">
        <v>24986</v>
      </c>
      <c r="O8380" t="s">
        <v>26524</v>
      </c>
      <c r="P8380" t="s">
        <v>26563</v>
      </c>
      <c r="R8380" t="s">
        <v>26588</v>
      </c>
      <c r="U8380" t="s">
        <v>26604</v>
      </c>
      <c r="W8380" t="s">
        <v>26642</v>
      </c>
      <c r="X8380">
        <v>206</v>
      </c>
      <c r="Y8380" t="s">
        <v>26652</v>
      </c>
      <c r="Z8380" t="s">
        <v>26659</v>
      </c>
      <c r="AB8380" t="s">
        <v>28874</v>
      </c>
      <c r="AD8380" t="s">
        <v>38934</v>
      </c>
      <c r="AE8380">
        <v>64</v>
      </c>
      <c r="AH8380">
        <v>15</v>
      </c>
      <c r="AI8380">
        <v>1</v>
      </c>
      <c r="AJ8380">
        <v>0</v>
      </c>
      <c r="AK8380">
        <v>80.42</v>
      </c>
      <c r="AN8380" t="s">
        <v>7439</v>
      </c>
      <c r="AO8380">
        <v>10044</v>
      </c>
      <c r="AU8380">
        <v>0.9</v>
      </c>
      <c r="AV8380" t="s">
        <v>828</v>
      </c>
      <c r="AW8380" t="s">
        <v>46862</v>
      </c>
      <c r="AX8380" t="s">
        <v>46897</v>
      </c>
    </row>
    <row r="8381" spans="1:50">
      <c r="A8381" s="1">
        <f>HYPERLINK("https://lsnyc.legalserver.org/matter/dynamic-profile/view/1899406","19-1899406")</f>
        <v>0</v>
      </c>
      <c r="B8381" t="s">
        <v>167</v>
      </c>
      <c r="C8381" t="s">
        <v>340</v>
      </c>
      <c r="D8381" t="s">
        <v>817</v>
      </c>
      <c r="F8381" t="s">
        <v>964</v>
      </c>
      <c r="G8381" t="s">
        <v>8664</v>
      </c>
      <c r="H8381" t="s">
        <v>15352</v>
      </c>
      <c r="I8381" t="s">
        <v>17274</v>
      </c>
      <c r="J8381" t="s">
        <v>18894</v>
      </c>
      <c r="K8381">
        <v>11225</v>
      </c>
      <c r="L8381" t="s">
        <v>18958</v>
      </c>
      <c r="M8381" t="s">
        <v>18960</v>
      </c>
      <c r="N8381" t="s">
        <v>24987</v>
      </c>
      <c r="O8381" t="s">
        <v>26524</v>
      </c>
      <c r="P8381" t="s">
        <v>26560</v>
      </c>
      <c r="R8381" t="s">
        <v>26588</v>
      </c>
      <c r="S8381" t="s">
        <v>18959</v>
      </c>
      <c r="U8381" t="s">
        <v>26604</v>
      </c>
      <c r="W8381" t="s">
        <v>26642</v>
      </c>
      <c r="X8381">
        <v>0</v>
      </c>
      <c r="Y8381" t="s">
        <v>26652</v>
      </c>
      <c r="Z8381" t="s">
        <v>26669</v>
      </c>
      <c r="AB8381" t="s">
        <v>32805</v>
      </c>
      <c r="AD8381" t="s">
        <v>43351</v>
      </c>
      <c r="AE8381">
        <v>0</v>
      </c>
      <c r="AH8381">
        <v>0</v>
      </c>
      <c r="AI8381">
        <v>1</v>
      </c>
      <c r="AJ8381">
        <v>0</v>
      </c>
      <c r="AK8381">
        <v>0</v>
      </c>
      <c r="AN8381" t="s">
        <v>45585</v>
      </c>
      <c r="AO8381">
        <v>0</v>
      </c>
      <c r="AU8381">
        <v>3.5</v>
      </c>
      <c r="AV8381" t="s">
        <v>834</v>
      </c>
      <c r="AW8381" t="s">
        <v>281</v>
      </c>
      <c r="AX8381" t="s">
        <v>46897</v>
      </c>
    </row>
    <row r="8382" spans="1:50">
      <c r="A8382" s="1">
        <f>HYPERLINK("https://lsnyc.legalserver.org/matter/dynamic-profile/view/1899405","19-1899405")</f>
        <v>0</v>
      </c>
      <c r="B8382" t="s">
        <v>167</v>
      </c>
      <c r="C8382" t="s">
        <v>340</v>
      </c>
      <c r="D8382" t="s">
        <v>817</v>
      </c>
      <c r="F8382" t="s">
        <v>3358</v>
      </c>
      <c r="G8382" t="s">
        <v>8665</v>
      </c>
      <c r="H8382" t="s">
        <v>15353</v>
      </c>
      <c r="I8382">
        <v>2</v>
      </c>
      <c r="J8382" t="s">
        <v>18894</v>
      </c>
      <c r="K8382">
        <v>11221</v>
      </c>
      <c r="L8382" t="s">
        <v>18958</v>
      </c>
      <c r="M8382" t="s">
        <v>18960</v>
      </c>
      <c r="N8382" t="s">
        <v>24988</v>
      </c>
      <c r="O8382" t="s">
        <v>26524</v>
      </c>
      <c r="P8382" t="s">
        <v>26560</v>
      </c>
      <c r="R8382" t="s">
        <v>26588</v>
      </c>
      <c r="U8382" t="s">
        <v>26604</v>
      </c>
      <c r="W8382" t="s">
        <v>26642</v>
      </c>
      <c r="X8382">
        <v>509</v>
      </c>
      <c r="Y8382" t="s">
        <v>26652</v>
      </c>
      <c r="Z8382" t="s">
        <v>26669</v>
      </c>
      <c r="AB8382" t="s">
        <v>32806</v>
      </c>
      <c r="AD8382" t="s">
        <v>43352</v>
      </c>
      <c r="AE8382">
        <v>0</v>
      </c>
      <c r="AH8382">
        <v>3</v>
      </c>
      <c r="AI8382">
        <v>1</v>
      </c>
      <c r="AJ8382">
        <v>0</v>
      </c>
      <c r="AK8382">
        <v>0</v>
      </c>
      <c r="AN8382" t="s">
        <v>7439</v>
      </c>
      <c r="AO8382">
        <v>0</v>
      </c>
      <c r="AU8382">
        <v>2.3</v>
      </c>
      <c r="AV8382" t="s">
        <v>834</v>
      </c>
      <c r="AW8382" t="s">
        <v>281</v>
      </c>
      <c r="AX8382" t="s">
        <v>46897</v>
      </c>
    </row>
    <row r="8383" spans="1:50">
      <c r="A8383" s="1">
        <f>HYPERLINK("https://lsnyc.legalserver.org/matter/dynamic-profile/view/1899407","19-1899407")</f>
        <v>0</v>
      </c>
      <c r="B8383" t="s">
        <v>167</v>
      </c>
      <c r="C8383" t="s">
        <v>340</v>
      </c>
      <c r="D8383" t="s">
        <v>817</v>
      </c>
      <c r="F8383" t="s">
        <v>1211</v>
      </c>
      <c r="G8383" t="s">
        <v>3273</v>
      </c>
      <c r="H8383" t="s">
        <v>15354</v>
      </c>
      <c r="I8383" t="s">
        <v>17283</v>
      </c>
      <c r="J8383" t="s">
        <v>18894</v>
      </c>
      <c r="K8383">
        <v>11221</v>
      </c>
      <c r="L8383" t="s">
        <v>18958</v>
      </c>
      <c r="M8383" t="s">
        <v>18960</v>
      </c>
      <c r="N8383" t="s">
        <v>24989</v>
      </c>
      <c r="O8383" t="s">
        <v>26523</v>
      </c>
      <c r="P8383" t="s">
        <v>26560</v>
      </c>
      <c r="R8383" t="s">
        <v>26588</v>
      </c>
      <c r="S8383" t="s">
        <v>18959</v>
      </c>
      <c r="U8383" t="s">
        <v>26604</v>
      </c>
      <c r="W8383" t="s">
        <v>26642</v>
      </c>
      <c r="X8383">
        <v>0</v>
      </c>
      <c r="Y8383" t="s">
        <v>26652</v>
      </c>
      <c r="Z8383" t="s">
        <v>26669</v>
      </c>
      <c r="AB8383" t="s">
        <v>32807</v>
      </c>
      <c r="AD8383" t="s">
        <v>43353</v>
      </c>
      <c r="AE8383">
        <v>0</v>
      </c>
      <c r="AF8383" t="s">
        <v>45544</v>
      </c>
      <c r="AH8383">
        <v>0</v>
      </c>
      <c r="AI8383">
        <v>2</v>
      </c>
      <c r="AJ8383">
        <v>0</v>
      </c>
      <c r="AK8383">
        <v>48.28</v>
      </c>
      <c r="AN8383" t="s">
        <v>7439</v>
      </c>
      <c r="AO8383">
        <v>8163.96</v>
      </c>
      <c r="AU8383">
        <v>7.6</v>
      </c>
      <c r="AV8383" t="s">
        <v>839</v>
      </c>
      <c r="AW8383" t="s">
        <v>281</v>
      </c>
      <c r="AX8383" t="s">
        <v>46897</v>
      </c>
    </row>
    <row r="8384" spans="1:50">
      <c r="A8384" s="1">
        <f>HYPERLINK("https://lsnyc.legalserver.org/matter/dynamic-profile/view/1899412","19-1899412")</f>
        <v>0</v>
      </c>
      <c r="B8384" t="s">
        <v>167</v>
      </c>
      <c r="C8384" t="s">
        <v>340</v>
      </c>
      <c r="D8384" t="s">
        <v>817</v>
      </c>
      <c r="F8384" t="s">
        <v>1894</v>
      </c>
      <c r="G8384" t="s">
        <v>8666</v>
      </c>
      <c r="H8384" t="s">
        <v>15355</v>
      </c>
      <c r="I8384" t="s">
        <v>17307</v>
      </c>
      <c r="J8384" t="s">
        <v>18894</v>
      </c>
      <c r="K8384">
        <v>11221</v>
      </c>
      <c r="L8384" t="s">
        <v>18958</v>
      </c>
      <c r="M8384" t="s">
        <v>18960</v>
      </c>
      <c r="N8384" t="s">
        <v>24990</v>
      </c>
      <c r="O8384" t="s">
        <v>26523</v>
      </c>
      <c r="P8384" t="s">
        <v>26560</v>
      </c>
      <c r="R8384" t="s">
        <v>26588</v>
      </c>
      <c r="S8384" t="s">
        <v>18959</v>
      </c>
      <c r="U8384" t="s">
        <v>26604</v>
      </c>
      <c r="W8384" t="s">
        <v>26642</v>
      </c>
      <c r="X8384">
        <v>1800</v>
      </c>
      <c r="Y8384" t="s">
        <v>26652</v>
      </c>
      <c r="Z8384" t="s">
        <v>26669</v>
      </c>
      <c r="AB8384" t="s">
        <v>32381</v>
      </c>
      <c r="AD8384" t="s">
        <v>43354</v>
      </c>
      <c r="AE8384">
        <v>0</v>
      </c>
      <c r="AH8384">
        <v>10</v>
      </c>
      <c r="AI8384">
        <v>2</v>
      </c>
      <c r="AJ8384">
        <v>0</v>
      </c>
      <c r="AK8384">
        <v>224.72</v>
      </c>
      <c r="AL8384" t="s">
        <v>835</v>
      </c>
      <c r="AM8384" t="s">
        <v>45575</v>
      </c>
      <c r="AN8384" t="s">
        <v>7439</v>
      </c>
      <c r="AO8384">
        <v>38000</v>
      </c>
      <c r="AU8384">
        <v>6.9</v>
      </c>
      <c r="AV8384" t="s">
        <v>838</v>
      </c>
      <c r="AW8384" t="s">
        <v>281</v>
      </c>
      <c r="AX8384" t="s">
        <v>46897</v>
      </c>
    </row>
    <row r="8385" spans="1:50">
      <c r="A8385" s="1">
        <f>HYPERLINK("https://lsnyc.legalserver.org/matter/dynamic-profile/view/1899418","19-1899418")</f>
        <v>0</v>
      </c>
      <c r="B8385" t="s">
        <v>232</v>
      </c>
      <c r="C8385" t="s">
        <v>340</v>
      </c>
      <c r="D8385" t="s">
        <v>817</v>
      </c>
      <c r="F8385" t="s">
        <v>4249</v>
      </c>
      <c r="G8385" t="s">
        <v>8667</v>
      </c>
      <c r="H8385" t="s">
        <v>13515</v>
      </c>
      <c r="I8385" t="s">
        <v>17424</v>
      </c>
      <c r="J8385" t="s">
        <v>18894</v>
      </c>
      <c r="K8385">
        <v>11226</v>
      </c>
      <c r="L8385" t="s">
        <v>18958</v>
      </c>
      <c r="M8385" t="s">
        <v>18960</v>
      </c>
      <c r="N8385" t="s">
        <v>24991</v>
      </c>
      <c r="O8385" t="s">
        <v>26523</v>
      </c>
      <c r="P8385" t="s">
        <v>26560</v>
      </c>
      <c r="R8385" t="s">
        <v>26588</v>
      </c>
      <c r="S8385" t="s">
        <v>18959</v>
      </c>
      <c r="U8385" t="s">
        <v>26604</v>
      </c>
      <c r="W8385" t="s">
        <v>26642</v>
      </c>
      <c r="X8385">
        <v>0</v>
      </c>
      <c r="Y8385" t="s">
        <v>26652</v>
      </c>
      <c r="Z8385" t="s">
        <v>26669</v>
      </c>
      <c r="AB8385" t="s">
        <v>32808</v>
      </c>
      <c r="AD8385" t="s">
        <v>43355</v>
      </c>
      <c r="AE8385">
        <v>0</v>
      </c>
      <c r="AH8385">
        <v>0</v>
      </c>
      <c r="AI8385">
        <v>1</v>
      </c>
      <c r="AJ8385">
        <v>1</v>
      </c>
      <c r="AK8385">
        <v>212.89</v>
      </c>
      <c r="AL8385" t="s">
        <v>835</v>
      </c>
      <c r="AM8385" t="s">
        <v>45575</v>
      </c>
      <c r="AN8385" t="s">
        <v>7439</v>
      </c>
      <c r="AO8385">
        <v>36000</v>
      </c>
      <c r="AU8385">
        <v>5.35</v>
      </c>
      <c r="AV8385" t="s">
        <v>834</v>
      </c>
      <c r="AW8385" t="s">
        <v>281</v>
      </c>
      <c r="AX8385" t="s">
        <v>46897</v>
      </c>
    </row>
    <row r="8386" spans="1:50">
      <c r="A8386" s="1">
        <f>HYPERLINK("https://lsnyc.legalserver.org/matter/dynamic-profile/view/1899547","19-1899547")</f>
        <v>0</v>
      </c>
      <c r="B8386" t="s">
        <v>271</v>
      </c>
      <c r="C8386" t="s">
        <v>340</v>
      </c>
      <c r="D8386" t="s">
        <v>813</v>
      </c>
      <c r="F8386" t="s">
        <v>886</v>
      </c>
      <c r="G8386" t="s">
        <v>6986</v>
      </c>
      <c r="H8386" t="s">
        <v>15356</v>
      </c>
      <c r="I8386" t="s">
        <v>17309</v>
      </c>
      <c r="J8386" t="s">
        <v>18894</v>
      </c>
      <c r="K8386">
        <v>11226</v>
      </c>
      <c r="L8386" t="s">
        <v>18958</v>
      </c>
      <c r="M8386" t="s">
        <v>18960</v>
      </c>
      <c r="N8386" t="s">
        <v>24992</v>
      </c>
      <c r="O8386" t="s">
        <v>26523</v>
      </c>
      <c r="P8386" t="s">
        <v>26563</v>
      </c>
      <c r="R8386" t="s">
        <v>26588</v>
      </c>
      <c r="U8386" t="s">
        <v>26604</v>
      </c>
      <c r="W8386" t="s">
        <v>26642</v>
      </c>
      <c r="X8386">
        <v>1475</v>
      </c>
      <c r="Y8386" t="s">
        <v>26652</v>
      </c>
      <c r="Z8386" t="s">
        <v>26664</v>
      </c>
      <c r="AB8386" t="s">
        <v>32809</v>
      </c>
      <c r="AD8386" t="s">
        <v>43356</v>
      </c>
      <c r="AE8386">
        <v>27</v>
      </c>
      <c r="AG8386" t="s">
        <v>19330</v>
      </c>
      <c r="AH8386">
        <v>-6</v>
      </c>
      <c r="AI8386">
        <v>1</v>
      </c>
      <c r="AJ8386">
        <v>1</v>
      </c>
      <c r="AK8386">
        <v>138.38</v>
      </c>
      <c r="AN8386" t="s">
        <v>7439</v>
      </c>
      <c r="AO8386">
        <v>23400</v>
      </c>
      <c r="AU8386">
        <v>17.5</v>
      </c>
      <c r="AV8386" t="s">
        <v>836</v>
      </c>
      <c r="AW8386" t="s">
        <v>46862</v>
      </c>
      <c r="AX8386" t="s">
        <v>46897</v>
      </c>
    </row>
    <row r="8387" spans="1:50">
      <c r="A8387" s="1">
        <f>HYPERLINK("https://lsnyc.legalserver.org/matter/dynamic-profile/view/1899601","19-1899601")</f>
        <v>0</v>
      </c>
      <c r="B8387" t="s">
        <v>179</v>
      </c>
      <c r="C8387" t="s">
        <v>340</v>
      </c>
      <c r="D8387" t="s">
        <v>813</v>
      </c>
      <c r="F8387" t="s">
        <v>1789</v>
      </c>
      <c r="G8387" t="s">
        <v>1685</v>
      </c>
      <c r="H8387" t="s">
        <v>10834</v>
      </c>
      <c r="I8387" t="s">
        <v>17288</v>
      </c>
      <c r="J8387" t="s">
        <v>18894</v>
      </c>
      <c r="K8387">
        <v>11216</v>
      </c>
      <c r="L8387" t="s">
        <v>18958</v>
      </c>
      <c r="M8387" t="s">
        <v>18960</v>
      </c>
      <c r="N8387" t="s">
        <v>24993</v>
      </c>
      <c r="O8387" t="s">
        <v>26523</v>
      </c>
      <c r="P8387" t="s">
        <v>26563</v>
      </c>
      <c r="R8387" t="s">
        <v>26588</v>
      </c>
      <c r="U8387" t="s">
        <v>26604</v>
      </c>
      <c r="W8387" t="s">
        <v>26642</v>
      </c>
      <c r="X8387">
        <v>1936</v>
      </c>
      <c r="Y8387" t="s">
        <v>26652</v>
      </c>
      <c r="Z8387" t="s">
        <v>26669</v>
      </c>
      <c r="AB8387" t="s">
        <v>32810</v>
      </c>
      <c r="AD8387" t="s">
        <v>43357</v>
      </c>
      <c r="AE8387">
        <v>52</v>
      </c>
      <c r="AH8387">
        <v>18</v>
      </c>
      <c r="AI8387">
        <v>2</v>
      </c>
      <c r="AJ8387">
        <v>0</v>
      </c>
      <c r="AK8387">
        <v>156.12</v>
      </c>
      <c r="AN8387" t="s">
        <v>7439</v>
      </c>
      <c r="AO8387">
        <v>26400</v>
      </c>
      <c r="AU8387">
        <v>10.9</v>
      </c>
      <c r="AV8387" t="s">
        <v>838</v>
      </c>
      <c r="AW8387" t="s">
        <v>46862</v>
      </c>
      <c r="AX8387" t="s">
        <v>46897</v>
      </c>
    </row>
    <row r="8388" spans="1:50">
      <c r="A8388" s="1">
        <f>HYPERLINK("https://lsnyc.legalserver.org/matter/dynamic-profile/view/1899656","19-1899656")</f>
        <v>0</v>
      </c>
      <c r="B8388" t="s">
        <v>232</v>
      </c>
      <c r="C8388" t="s">
        <v>340</v>
      </c>
      <c r="D8388" t="s">
        <v>813</v>
      </c>
      <c r="F8388" t="s">
        <v>4250</v>
      </c>
      <c r="G8388" t="s">
        <v>5419</v>
      </c>
      <c r="H8388" t="s">
        <v>13540</v>
      </c>
      <c r="I8388" t="s">
        <v>17293</v>
      </c>
      <c r="J8388" t="s">
        <v>18894</v>
      </c>
      <c r="K8388">
        <v>11225</v>
      </c>
      <c r="L8388" t="s">
        <v>18958</v>
      </c>
      <c r="M8388" t="s">
        <v>18960</v>
      </c>
      <c r="N8388" t="s">
        <v>24994</v>
      </c>
      <c r="O8388" t="s">
        <v>26523</v>
      </c>
      <c r="P8388" t="s">
        <v>26563</v>
      </c>
      <c r="R8388" t="s">
        <v>26588</v>
      </c>
      <c r="U8388" t="s">
        <v>26604</v>
      </c>
      <c r="W8388" t="s">
        <v>26642</v>
      </c>
      <c r="X8388">
        <v>1081</v>
      </c>
      <c r="Y8388" t="s">
        <v>26652</v>
      </c>
      <c r="Z8388" t="s">
        <v>26669</v>
      </c>
      <c r="AB8388" t="s">
        <v>32811</v>
      </c>
      <c r="AD8388" t="s">
        <v>43358</v>
      </c>
      <c r="AE8388">
        <v>61</v>
      </c>
      <c r="AH8388">
        <v>20</v>
      </c>
      <c r="AI8388">
        <v>1</v>
      </c>
      <c r="AJ8388">
        <v>0</v>
      </c>
      <c r="AK8388">
        <v>36.03</v>
      </c>
      <c r="AN8388" t="s">
        <v>7439</v>
      </c>
      <c r="AO8388">
        <v>4500</v>
      </c>
      <c r="AU8388">
        <v>5.15</v>
      </c>
      <c r="AV8388" t="s">
        <v>838</v>
      </c>
      <c r="AW8388" t="s">
        <v>46862</v>
      </c>
      <c r="AX8388" t="s">
        <v>46897</v>
      </c>
    </row>
    <row r="8389" spans="1:50">
      <c r="A8389" s="1">
        <f>HYPERLINK("https://lsnyc.legalserver.org/matter/dynamic-profile/view/1899682","19-1899682")</f>
        <v>0</v>
      </c>
      <c r="B8389" t="s">
        <v>232</v>
      </c>
      <c r="C8389" t="s">
        <v>340</v>
      </c>
      <c r="D8389" t="s">
        <v>818</v>
      </c>
      <c r="F8389" t="s">
        <v>4251</v>
      </c>
      <c r="G8389" t="s">
        <v>8668</v>
      </c>
      <c r="H8389" t="s">
        <v>15357</v>
      </c>
      <c r="I8389" t="s">
        <v>18483</v>
      </c>
      <c r="J8389" t="s">
        <v>18894</v>
      </c>
      <c r="K8389">
        <v>11221</v>
      </c>
      <c r="L8389" t="s">
        <v>18958</v>
      </c>
      <c r="M8389" t="s">
        <v>18960</v>
      </c>
      <c r="N8389" t="s">
        <v>24995</v>
      </c>
      <c r="O8389" t="s">
        <v>26523</v>
      </c>
      <c r="P8389" t="s">
        <v>26563</v>
      </c>
      <c r="R8389" t="s">
        <v>26588</v>
      </c>
      <c r="U8389" t="s">
        <v>26604</v>
      </c>
      <c r="W8389" t="s">
        <v>26642</v>
      </c>
      <c r="X8389">
        <v>0</v>
      </c>
      <c r="Y8389" t="s">
        <v>26652</v>
      </c>
      <c r="Z8389" t="s">
        <v>26669</v>
      </c>
      <c r="AB8389" t="s">
        <v>28952</v>
      </c>
      <c r="AD8389" t="s">
        <v>43359</v>
      </c>
      <c r="AE8389">
        <v>0</v>
      </c>
      <c r="AH8389">
        <v>0</v>
      </c>
      <c r="AI8389">
        <v>1</v>
      </c>
      <c r="AJ8389">
        <v>0</v>
      </c>
      <c r="AK8389">
        <v>80.06</v>
      </c>
      <c r="AN8389" t="s">
        <v>8151</v>
      </c>
      <c r="AO8389">
        <v>10000</v>
      </c>
      <c r="AU8389">
        <v>5.1</v>
      </c>
      <c r="AV8389" t="s">
        <v>834</v>
      </c>
      <c r="AW8389" t="s">
        <v>46862</v>
      </c>
      <c r="AX8389" t="s">
        <v>46897</v>
      </c>
    </row>
    <row r="8390" spans="1:50">
      <c r="A8390" s="1">
        <f>HYPERLINK("https://lsnyc.legalserver.org/matter/dynamic-profile/view/1899859","19-1899859")</f>
        <v>0</v>
      </c>
      <c r="B8390" t="s">
        <v>140</v>
      </c>
      <c r="C8390" t="s">
        <v>340</v>
      </c>
      <c r="D8390" t="s">
        <v>805</v>
      </c>
      <c r="F8390" t="s">
        <v>1251</v>
      </c>
      <c r="G8390" t="s">
        <v>8669</v>
      </c>
      <c r="H8390" t="s">
        <v>15358</v>
      </c>
      <c r="I8390" t="s">
        <v>17990</v>
      </c>
      <c r="J8390" t="s">
        <v>18894</v>
      </c>
      <c r="K8390">
        <v>11216</v>
      </c>
      <c r="L8390" t="s">
        <v>18958</v>
      </c>
      <c r="M8390" t="s">
        <v>18960</v>
      </c>
      <c r="N8390" t="s">
        <v>24996</v>
      </c>
      <c r="O8390" t="s">
        <v>26523</v>
      </c>
      <c r="R8390" t="s">
        <v>26588</v>
      </c>
      <c r="U8390" t="s">
        <v>26605</v>
      </c>
      <c r="W8390" t="s">
        <v>26642</v>
      </c>
      <c r="X8390">
        <v>490</v>
      </c>
      <c r="Y8390" t="s">
        <v>26652</v>
      </c>
      <c r="AB8390" t="s">
        <v>32812</v>
      </c>
      <c r="AD8390" t="s">
        <v>43360</v>
      </c>
      <c r="AE8390">
        <v>0</v>
      </c>
      <c r="AH8390">
        <v>10</v>
      </c>
      <c r="AI8390">
        <v>3</v>
      </c>
      <c r="AJ8390">
        <v>2</v>
      </c>
      <c r="AK8390">
        <v>65.34999999999999</v>
      </c>
      <c r="AN8390" t="s">
        <v>7439</v>
      </c>
      <c r="AO8390">
        <v>19716</v>
      </c>
      <c r="AU8390">
        <v>1.1</v>
      </c>
      <c r="AV8390" t="s">
        <v>819</v>
      </c>
      <c r="AW8390" t="s">
        <v>46853</v>
      </c>
      <c r="AX8390" t="s">
        <v>46897</v>
      </c>
    </row>
    <row r="8391" spans="1:50">
      <c r="A8391" s="1">
        <f>HYPERLINK("https://lsnyc.legalserver.org/matter/dynamic-profile/view/1899797","19-1899797")</f>
        <v>0</v>
      </c>
      <c r="B8391" t="s">
        <v>140</v>
      </c>
      <c r="C8391" t="s">
        <v>340</v>
      </c>
      <c r="D8391" t="s">
        <v>805</v>
      </c>
      <c r="F8391" t="s">
        <v>1282</v>
      </c>
      <c r="G8391" t="s">
        <v>4311</v>
      </c>
      <c r="H8391" t="s">
        <v>12981</v>
      </c>
      <c r="I8391" t="s">
        <v>18558</v>
      </c>
      <c r="J8391" t="s">
        <v>18894</v>
      </c>
      <c r="K8391">
        <v>11216</v>
      </c>
      <c r="L8391" t="s">
        <v>18958</v>
      </c>
      <c r="M8391" t="s">
        <v>18960</v>
      </c>
      <c r="N8391" t="s">
        <v>24997</v>
      </c>
      <c r="O8391" t="s">
        <v>26523</v>
      </c>
      <c r="R8391" t="s">
        <v>26588</v>
      </c>
      <c r="U8391" t="s">
        <v>26605</v>
      </c>
      <c r="W8391" t="s">
        <v>26642</v>
      </c>
      <c r="X8391">
        <v>648</v>
      </c>
      <c r="Y8391" t="s">
        <v>26652</v>
      </c>
      <c r="Z8391" t="s">
        <v>26664</v>
      </c>
      <c r="AB8391" t="s">
        <v>32813</v>
      </c>
      <c r="AD8391" t="s">
        <v>43361</v>
      </c>
      <c r="AE8391">
        <v>0</v>
      </c>
      <c r="AH8391">
        <v>0</v>
      </c>
      <c r="AI8391">
        <v>2</v>
      </c>
      <c r="AJ8391">
        <v>2</v>
      </c>
      <c r="AK8391">
        <v>100.66</v>
      </c>
      <c r="AN8391" t="s">
        <v>7439</v>
      </c>
      <c r="AO8391">
        <v>25920</v>
      </c>
      <c r="AU8391">
        <v>1.3</v>
      </c>
      <c r="AV8391" t="s">
        <v>830</v>
      </c>
      <c r="AW8391" t="s">
        <v>46853</v>
      </c>
      <c r="AX8391" t="s">
        <v>46897</v>
      </c>
    </row>
    <row r="8392" spans="1:50">
      <c r="A8392" s="1">
        <f>HYPERLINK("https://lsnyc.legalserver.org/matter/dynamic-profile/view/1899808","19-1899808")</f>
        <v>0</v>
      </c>
      <c r="B8392" t="s">
        <v>288</v>
      </c>
      <c r="C8392" t="s">
        <v>340</v>
      </c>
      <c r="D8392" t="s">
        <v>805</v>
      </c>
      <c r="F8392" t="s">
        <v>953</v>
      </c>
      <c r="G8392" t="s">
        <v>7921</v>
      </c>
      <c r="H8392" t="s">
        <v>12981</v>
      </c>
      <c r="I8392" t="s">
        <v>18508</v>
      </c>
      <c r="J8392" t="s">
        <v>18894</v>
      </c>
      <c r="K8392">
        <v>11216</v>
      </c>
      <c r="L8392" t="s">
        <v>18958</v>
      </c>
      <c r="M8392" t="s">
        <v>18960</v>
      </c>
      <c r="N8392" t="s">
        <v>24998</v>
      </c>
      <c r="O8392" t="s">
        <v>26523</v>
      </c>
      <c r="R8392" t="s">
        <v>26588</v>
      </c>
      <c r="U8392" t="s">
        <v>26605</v>
      </c>
      <c r="W8392" t="s">
        <v>26642</v>
      </c>
      <c r="X8392">
        <v>215</v>
      </c>
      <c r="Y8392" t="s">
        <v>26652</v>
      </c>
      <c r="Z8392" t="s">
        <v>26664</v>
      </c>
      <c r="AB8392" t="s">
        <v>32814</v>
      </c>
      <c r="AD8392" t="s">
        <v>43362</v>
      </c>
      <c r="AE8392">
        <v>0</v>
      </c>
      <c r="AH8392">
        <v>48</v>
      </c>
      <c r="AI8392">
        <v>2</v>
      </c>
      <c r="AJ8392">
        <v>1</v>
      </c>
      <c r="AK8392">
        <v>68.81999999999999</v>
      </c>
      <c r="AO8392">
        <v>14680</v>
      </c>
      <c r="AU8392">
        <v>2.5</v>
      </c>
      <c r="AV8392" t="s">
        <v>832</v>
      </c>
      <c r="AW8392" t="s">
        <v>46853</v>
      </c>
      <c r="AX8392" t="s">
        <v>46897</v>
      </c>
    </row>
    <row r="8393" spans="1:50">
      <c r="A8393" s="1">
        <f>HYPERLINK("https://lsnyc.legalserver.org/matter/dynamic-profile/view/1899847","19-1899847")</f>
        <v>0</v>
      </c>
      <c r="B8393" t="s">
        <v>101</v>
      </c>
      <c r="C8393" t="s">
        <v>340</v>
      </c>
      <c r="D8393" t="s">
        <v>805</v>
      </c>
      <c r="F8393" t="s">
        <v>887</v>
      </c>
      <c r="G8393" t="s">
        <v>8670</v>
      </c>
      <c r="H8393" t="s">
        <v>14285</v>
      </c>
      <c r="I8393" t="s">
        <v>18004</v>
      </c>
      <c r="J8393" t="s">
        <v>18894</v>
      </c>
      <c r="K8393">
        <v>11221</v>
      </c>
      <c r="L8393" t="s">
        <v>18958</v>
      </c>
      <c r="M8393" t="s">
        <v>18960</v>
      </c>
      <c r="N8393" t="s">
        <v>24999</v>
      </c>
      <c r="O8393" t="s">
        <v>26523</v>
      </c>
      <c r="P8393" t="s">
        <v>26560</v>
      </c>
      <c r="R8393" t="s">
        <v>26588</v>
      </c>
      <c r="U8393" t="s">
        <v>26605</v>
      </c>
      <c r="W8393" t="s">
        <v>26642</v>
      </c>
      <c r="X8393">
        <v>1303.6</v>
      </c>
      <c r="Y8393" t="s">
        <v>26652</v>
      </c>
      <c r="Z8393" t="s">
        <v>26664</v>
      </c>
      <c r="AB8393" t="s">
        <v>32815</v>
      </c>
      <c r="AD8393" t="s">
        <v>43363</v>
      </c>
      <c r="AE8393">
        <v>0</v>
      </c>
      <c r="AH8393">
        <v>15</v>
      </c>
      <c r="AI8393">
        <v>3</v>
      </c>
      <c r="AJ8393">
        <v>0</v>
      </c>
      <c r="AK8393">
        <v>236.47</v>
      </c>
      <c r="AL8393" t="s">
        <v>835</v>
      </c>
      <c r="AM8393" t="s">
        <v>45575</v>
      </c>
      <c r="AN8393" t="s">
        <v>7439</v>
      </c>
      <c r="AO8393">
        <v>50440</v>
      </c>
      <c r="AU8393">
        <v>7.7</v>
      </c>
      <c r="AV8393" t="s">
        <v>826</v>
      </c>
      <c r="AW8393" t="s">
        <v>46853</v>
      </c>
      <c r="AX8393" t="s">
        <v>46897</v>
      </c>
    </row>
    <row r="8394" spans="1:50">
      <c r="A8394" s="1">
        <f>HYPERLINK("https://lsnyc.legalserver.org/matter/dynamic-profile/view/1899870","19-1899870")</f>
        <v>0</v>
      </c>
      <c r="B8394" t="s">
        <v>106</v>
      </c>
      <c r="C8394" t="s">
        <v>340</v>
      </c>
      <c r="D8394" t="s">
        <v>805</v>
      </c>
      <c r="F8394" t="s">
        <v>4252</v>
      </c>
      <c r="G8394" t="s">
        <v>8671</v>
      </c>
      <c r="H8394" t="s">
        <v>15359</v>
      </c>
      <c r="I8394" t="s">
        <v>17399</v>
      </c>
      <c r="J8394" t="s">
        <v>18894</v>
      </c>
      <c r="K8394">
        <v>11210</v>
      </c>
      <c r="L8394" t="s">
        <v>18958</v>
      </c>
      <c r="M8394" t="s">
        <v>18960</v>
      </c>
      <c r="N8394" t="s">
        <v>25000</v>
      </c>
      <c r="O8394" t="s">
        <v>26523</v>
      </c>
      <c r="R8394" t="s">
        <v>26586</v>
      </c>
      <c r="U8394" t="s">
        <v>26604</v>
      </c>
      <c r="W8394" t="s">
        <v>26642</v>
      </c>
      <c r="X8394">
        <v>1204.57</v>
      </c>
      <c r="Y8394" t="s">
        <v>26652</v>
      </c>
      <c r="Z8394" t="s">
        <v>26664</v>
      </c>
      <c r="AB8394" t="s">
        <v>32816</v>
      </c>
      <c r="AD8394" t="s">
        <v>43364</v>
      </c>
      <c r="AE8394">
        <v>0</v>
      </c>
      <c r="AH8394">
        <v>8</v>
      </c>
      <c r="AI8394">
        <v>1</v>
      </c>
      <c r="AJ8394">
        <v>1</v>
      </c>
      <c r="AK8394">
        <v>28.39</v>
      </c>
      <c r="AO8394">
        <v>4800</v>
      </c>
      <c r="AU8394">
        <v>4.5</v>
      </c>
      <c r="AV8394" t="s">
        <v>826</v>
      </c>
      <c r="AW8394" t="s">
        <v>46853</v>
      </c>
      <c r="AX8394" t="s">
        <v>46897</v>
      </c>
    </row>
    <row r="8395" spans="1:50">
      <c r="A8395" s="1">
        <f>HYPERLINK("https://lsnyc.legalserver.org/matter/dynamic-profile/view/1899973","19-1899973")</f>
        <v>0</v>
      </c>
      <c r="B8395" t="s">
        <v>213</v>
      </c>
      <c r="C8395" t="s">
        <v>341</v>
      </c>
      <c r="D8395" t="s">
        <v>819</v>
      </c>
      <c r="E8395" t="s">
        <v>838</v>
      </c>
      <c r="F8395" t="s">
        <v>1562</v>
      </c>
      <c r="G8395" t="s">
        <v>6436</v>
      </c>
      <c r="H8395" t="s">
        <v>15360</v>
      </c>
      <c r="I8395" t="s">
        <v>18559</v>
      </c>
      <c r="J8395" t="s">
        <v>18892</v>
      </c>
      <c r="K8395">
        <v>10467</v>
      </c>
      <c r="L8395" t="s">
        <v>18958</v>
      </c>
      <c r="M8395" t="s">
        <v>18960</v>
      </c>
      <c r="N8395" t="s">
        <v>25001</v>
      </c>
      <c r="O8395" t="s">
        <v>26523</v>
      </c>
      <c r="P8395" t="s">
        <v>26564</v>
      </c>
      <c r="Q8395" t="s">
        <v>26570</v>
      </c>
      <c r="R8395" t="s">
        <v>26579</v>
      </c>
      <c r="S8395" t="s">
        <v>18959</v>
      </c>
      <c r="U8395" t="s">
        <v>26604</v>
      </c>
      <c r="V8395" t="s">
        <v>26610</v>
      </c>
      <c r="W8395" t="s">
        <v>26642</v>
      </c>
      <c r="X8395">
        <v>900</v>
      </c>
      <c r="Y8395" t="s">
        <v>26650</v>
      </c>
      <c r="Z8395" t="s">
        <v>26530</v>
      </c>
      <c r="AA8395" t="s">
        <v>26683</v>
      </c>
      <c r="AB8395" t="s">
        <v>32817</v>
      </c>
      <c r="AD8395" t="s">
        <v>43365</v>
      </c>
      <c r="AE8395">
        <v>0</v>
      </c>
      <c r="AF8395" t="s">
        <v>20460</v>
      </c>
      <c r="AG8395" t="s">
        <v>19330</v>
      </c>
      <c r="AH8395">
        <v>5</v>
      </c>
      <c r="AI8395">
        <v>1</v>
      </c>
      <c r="AJ8395">
        <v>1</v>
      </c>
      <c r="AK8395">
        <v>0</v>
      </c>
      <c r="AN8395" t="s">
        <v>7439</v>
      </c>
      <c r="AO8395">
        <v>0</v>
      </c>
      <c r="AP8395" t="s">
        <v>46093</v>
      </c>
      <c r="AU8395">
        <v>0.5</v>
      </c>
      <c r="AV8395" t="s">
        <v>830</v>
      </c>
      <c r="AW8395" t="s">
        <v>335</v>
      </c>
      <c r="AX8395" t="s">
        <v>46897</v>
      </c>
    </row>
    <row r="8396" spans="1:50">
      <c r="A8396" s="1">
        <f>HYPERLINK("https://lsnyc.legalserver.org/matter/dynamic-profile/view/1900312","19-1900312")</f>
        <v>0</v>
      </c>
      <c r="B8396" t="s">
        <v>101</v>
      </c>
      <c r="C8396" t="s">
        <v>340</v>
      </c>
      <c r="D8396" t="s">
        <v>819</v>
      </c>
      <c r="F8396" t="s">
        <v>4253</v>
      </c>
      <c r="G8396" t="s">
        <v>8672</v>
      </c>
      <c r="H8396" t="s">
        <v>14075</v>
      </c>
      <c r="I8396" t="s">
        <v>17355</v>
      </c>
      <c r="J8396" t="s">
        <v>18894</v>
      </c>
      <c r="K8396">
        <v>11226</v>
      </c>
      <c r="L8396" t="s">
        <v>18958</v>
      </c>
      <c r="M8396" t="s">
        <v>18960</v>
      </c>
      <c r="N8396" t="s">
        <v>25002</v>
      </c>
      <c r="O8396" t="s">
        <v>26524</v>
      </c>
      <c r="P8396" t="s">
        <v>26563</v>
      </c>
      <c r="R8396" t="s">
        <v>26588</v>
      </c>
      <c r="U8396" t="s">
        <v>26604</v>
      </c>
      <c r="W8396" t="s">
        <v>26642</v>
      </c>
      <c r="X8396">
        <v>1604</v>
      </c>
      <c r="Y8396" t="s">
        <v>26652</v>
      </c>
      <c r="Z8396" t="s">
        <v>26664</v>
      </c>
      <c r="AB8396" t="s">
        <v>32818</v>
      </c>
      <c r="AD8396" t="s">
        <v>43366</v>
      </c>
      <c r="AE8396">
        <v>54</v>
      </c>
      <c r="AG8396" t="s">
        <v>19330</v>
      </c>
      <c r="AH8396">
        <v>28</v>
      </c>
      <c r="AI8396">
        <v>4</v>
      </c>
      <c r="AJ8396">
        <v>1</v>
      </c>
      <c r="AK8396">
        <v>151.14</v>
      </c>
      <c r="AN8396" t="s">
        <v>7439</v>
      </c>
      <c r="AO8396">
        <v>45600</v>
      </c>
      <c r="AU8396">
        <v>8.6</v>
      </c>
      <c r="AV8396" t="s">
        <v>821</v>
      </c>
      <c r="AW8396" t="s">
        <v>46862</v>
      </c>
      <c r="AX8396" t="s">
        <v>46897</v>
      </c>
    </row>
    <row r="8397" spans="1:50">
      <c r="A8397" s="1">
        <f>HYPERLINK("https://lsnyc.legalserver.org/matter/dynamic-profile/view/1900095","19-1900095")</f>
        <v>0</v>
      </c>
      <c r="B8397" t="s">
        <v>140</v>
      </c>
      <c r="C8397" t="s">
        <v>340</v>
      </c>
      <c r="D8397" t="s">
        <v>820</v>
      </c>
      <c r="F8397" t="s">
        <v>1626</v>
      </c>
      <c r="G8397" t="s">
        <v>3540</v>
      </c>
      <c r="H8397" t="s">
        <v>14193</v>
      </c>
      <c r="I8397" t="s">
        <v>17346</v>
      </c>
      <c r="J8397" t="s">
        <v>18894</v>
      </c>
      <c r="K8397">
        <v>11221</v>
      </c>
      <c r="L8397" t="s">
        <v>18958</v>
      </c>
      <c r="M8397" t="s">
        <v>18960</v>
      </c>
      <c r="N8397" t="s">
        <v>25003</v>
      </c>
      <c r="O8397" t="s">
        <v>26524</v>
      </c>
      <c r="P8397" t="s">
        <v>26560</v>
      </c>
      <c r="R8397" t="s">
        <v>26588</v>
      </c>
      <c r="S8397" t="s">
        <v>18959</v>
      </c>
      <c r="U8397" t="s">
        <v>26604</v>
      </c>
      <c r="W8397" t="s">
        <v>26642</v>
      </c>
      <c r="X8397">
        <v>1970</v>
      </c>
      <c r="Y8397" t="s">
        <v>26652</v>
      </c>
      <c r="Z8397" t="s">
        <v>26669</v>
      </c>
      <c r="AB8397" t="s">
        <v>32819</v>
      </c>
      <c r="AD8397" t="s">
        <v>43367</v>
      </c>
      <c r="AE8397">
        <v>0</v>
      </c>
      <c r="AG8397" t="s">
        <v>45556</v>
      </c>
      <c r="AH8397">
        <v>35</v>
      </c>
      <c r="AI8397">
        <v>1</v>
      </c>
      <c r="AJ8397">
        <v>1</v>
      </c>
      <c r="AK8397">
        <v>61.03</v>
      </c>
      <c r="AN8397" t="s">
        <v>7439</v>
      </c>
      <c r="AO8397">
        <v>10320</v>
      </c>
      <c r="AU8397">
        <v>10.5</v>
      </c>
      <c r="AV8397" t="s">
        <v>821</v>
      </c>
      <c r="AW8397" t="s">
        <v>281</v>
      </c>
      <c r="AX8397" t="s">
        <v>46897</v>
      </c>
    </row>
    <row r="8398" spans="1:50">
      <c r="A8398" s="1">
        <f>HYPERLINK("https://lsnyc.legalserver.org/matter/dynamic-profile/view/1900075","19-1900075")</f>
        <v>0</v>
      </c>
      <c r="B8398" t="s">
        <v>193</v>
      </c>
      <c r="C8398" t="s">
        <v>340</v>
      </c>
      <c r="D8398" t="s">
        <v>820</v>
      </c>
      <c r="F8398" t="s">
        <v>1155</v>
      </c>
      <c r="G8398" t="s">
        <v>8673</v>
      </c>
      <c r="H8398" t="s">
        <v>15361</v>
      </c>
      <c r="I8398" t="s">
        <v>17299</v>
      </c>
      <c r="J8398" t="s">
        <v>18894</v>
      </c>
      <c r="K8398">
        <v>11216</v>
      </c>
      <c r="L8398" t="s">
        <v>18958</v>
      </c>
      <c r="M8398" t="s">
        <v>18960</v>
      </c>
      <c r="N8398" t="s">
        <v>25004</v>
      </c>
      <c r="O8398" t="s">
        <v>26523</v>
      </c>
      <c r="P8398" t="s">
        <v>26560</v>
      </c>
      <c r="R8398" t="s">
        <v>26588</v>
      </c>
      <c r="S8398" t="s">
        <v>18959</v>
      </c>
      <c r="U8398" t="s">
        <v>26604</v>
      </c>
      <c r="W8398" t="s">
        <v>26642</v>
      </c>
      <c r="X8398">
        <v>1290</v>
      </c>
      <c r="Y8398" t="s">
        <v>26652</v>
      </c>
      <c r="Z8398" t="s">
        <v>26669</v>
      </c>
      <c r="AB8398" t="s">
        <v>32820</v>
      </c>
      <c r="AD8398" t="s">
        <v>43368</v>
      </c>
      <c r="AE8398">
        <v>0</v>
      </c>
      <c r="AG8398" t="s">
        <v>45556</v>
      </c>
      <c r="AH8398">
        <v>30</v>
      </c>
      <c r="AI8398">
        <v>3</v>
      </c>
      <c r="AJ8398">
        <v>1</v>
      </c>
      <c r="AK8398">
        <v>47.95</v>
      </c>
      <c r="AN8398" t="s">
        <v>7439</v>
      </c>
      <c r="AO8398">
        <v>12348</v>
      </c>
      <c r="AU8398">
        <v>3.2</v>
      </c>
      <c r="AV8398" t="s">
        <v>862</v>
      </c>
      <c r="AW8398" t="s">
        <v>281</v>
      </c>
      <c r="AX8398" t="s">
        <v>46897</v>
      </c>
    </row>
    <row r="8399" spans="1:50">
      <c r="A8399" s="1">
        <f>HYPERLINK("https://lsnyc.legalserver.org/matter/dynamic-profile/view/1900173","19-1900173")</f>
        <v>0</v>
      </c>
      <c r="B8399" t="s">
        <v>145</v>
      </c>
      <c r="C8399" t="s">
        <v>340</v>
      </c>
      <c r="D8399" t="s">
        <v>823</v>
      </c>
      <c r="F8399" t="s">
        <v>1235</v>
      </c>
      <c r="G8399" t="s">
        <v>5873</v>
      </c>
      <c r="H8399" t="s">
        <v>15362</v>
      </c>
      <c r="I8399" t="s">
        <v>17322</v>
      </c>
      <c r="J8399" t="s">
        <v>18894</v>
      </c>
      <c r="K8399">
        <v>11221</v>
      </c>
      <c r="L8399" t="s">
        <v>18958</v>
      </c>
      <c r="M8399" t="s">
        <v>18960</v>
      </c>
      <c r="N8399" t="s">
        <v>25005</v>
      </c>
      <c r="O8399" t="s">
        <v>26523</v>
      </c>
      <c r="P8399" t="s">
        <v>26560</v>
      </c>
      <c r="R8399" t="s">
        <v>26588</v>
      </c>
      <c r="S8399" t="s">
        <v>18959</v>
      </c>
      <c r="U8399" t="s">
        <v>26604</v>
      </c>
      <c r="W8399" t="s">
        <v>26642</v>
      </c>
      <c r="X8399">
        <v>375</v>
      </c>
      <c r="Y8399" t="s">
        <v>26652</v>
      </c>
      <c r="Z8399" t="s">
        <v>26669</v>
      </c>
      <c r="AB8399" t="s">
        <v>30186</v>
      </c>
      <c r="AD8399" t="s">
        <v>43369</v>
      </c>
      <c r="AE8399">
        <v>0</v>
      </c>
      <c r="AF8399" t="s">
        <v>45544</v>
      </c>
      <c r="AH8399">
        <v>12</v>
      </c>
      <c r="AI8399">
        <v>1</v>
      </c>
      <c r="AJ8399">
        <v>0</v>
      </c>
      <c r="AK8399">
        <v>96.08</v>
      </c>
      <c r="AN8399" t="s">
        <v>7439</v>
      </c>
      <c r="AO8399">
        <v>12000</v>
      </c>
      <c r="AU8399">
        <v>3.8</v>
      </c>
      <c r="AV8399" t="s">
        <v>834</v>
      </c>
      <c r="AW8399" t="s">
        <v>281</v>
      </c>
      <c r="AX8399" t="s">
        <v>46897</v>
      </c>
    </row>
    <row r="8400" spans="1:50">
      <c r="A8400" s="1">
        <f>HYPERLINK("https://lsnyc.legalserver.org/matter/dynamic-profile/view/1900368","19-1900368")</f>
        <v>0</v>
      </c>
      <c r="B8400" t="s">
        <v>257</v>
      </c>
      <c r="C8400" t="s">
        <v>340</v>
      </c>
      <c r="D8400" t="s">
        <v>822</v>
      </c>
      <c r="F8400" t="s">
        <v>1018</v>
      </c>
      <c r="G8400" t="s">
        <v>1000</v>
      </c>
      <c r="H8400" t="s">
        <v>15363</v>
      </c>
      <c r="J8400" t="s">
        <v>18894</v>
      </c>
      <c r="K8400">
        <v>11226</v>
      </c>
      <c r="L8400" t="s">
        <v>18958</v>
      </c>
      <c r="M8400" t="s">
        <v>18960</v>
      </c>
      <c r="N8400" t="s">
        <v>25006</v>
      </c>
      <c r="O8400" t="s">
        <v>26524</v>
      </c>
      <c r="P8400" t="s">
        <v>26563</v>
      </c>
      <c r="R8400" t="s">
        <v>26588</v>
      </c>
      <c r="U8400" t="s">
        <v>26604</v>
      </c>
      <c r="W8400" t="s">
        <v>26642</v>
      </c>
      <c r="X8400">
        <v>1850</v>
      </c>
      <c r="Y8400" t="s">
        <v>26652</v>
      </c>
      <c r="Z8400" t="s">
        <v>26664</v>
      </c>
      <c r="AB8400" t="s">
        <v>32821</v>
      </c>
      <c r="AD8400" t="s">
        <v>43370</v>
      </c>
      <c r="AE8400">
        <v>2</v>
      </c>
      <c r="AG8400" t="s">
        <v>19330</v>
      </c>
      <c r="AH8400">
        <v>1</v>
      </c>
      <c r="AI8400">
        <v>2</v>
      </c>
      <c r="AJ8400">
        <v>3</v>
      </c>
      <c r="AK8400">
        <v>136.56</v>
      </c>
      <c r="AN8400" t="s">
        <v>7439</v>
      </c>
      <c r="AO8400">
        <v>41200</v>
      </c>
      <c r="AU8400">
        <v>7.6</v>
      </c>
      <c r="AV8400" t="s">
        <v>839</v>
      </c>
      <c r="AW8400" t="s">
        <v>46862</v>
      </c>
      <c r="AX8400" t="s">
        <v>46897</v>
      </c>
    </row>
    <row r="8401" spans="1:50">
      <c r="A8401" s="1">
        <f>HYPERLINK("https://lsnyc.legalserver.org/matter/dynamic-profile/view/1900384","19-1900384")</f>
        <v>0</v>
      </c>
      <c r="B8401" t="s">
        <v>257</v>
      </c>
      <c r="C8401" t="s">
        <v>340</v>
      </c>
      <c r="D8401" t="s">
        <v>804</v>
      </c>
      <c r="F8401" t="s">
        <v>1901</v>
      </c>
      <c r="G8401" t="s">
        <v>8674</v>
      </c>
      <c r="H8401" t="s">
        <v>15364</v>
      </c>
      <c r="I8401" t="s">
        <v>17344</v>
      </c>
      <c r="J8401" t="s">
        <v>18894</v>
      </c>
      <c r="K8401">
        <v>11226</v>
      </c>
      <c r="L8401" t="s">
        <v>18958</v>
      </c>
      <c r="M8401" t="s">
        <v>18960</v>
      </c>
      <c r="N8401" t="s">
        <v>25007</v>
      </c>
      <c r="O8401" t="s">
        <v>26523</v>
      </c>
      <c r="P8401" t="s">
        <v>26563</v>
      </c>
      <c r="R8401" t="s">
        <v>26588</v>
      </c>
      <c r="U8401" t="s">
        <v>26604</v>
      </c>
      <c r="W8401" t="s">
        <v>26642</v>
      </c>
      <c r="X8401">
        <v>1750</v>
      </c>
      <c r="Y8401" t="s">
        <v>26652</v>
      </c>
      <c r="Z8401" t="s">
        <v>26664</v>
      </c>
      <c r="AB8401" t="s">
        <v>32822</v>
      </c>
      <c r="AD8401" t="s">
        <v>43371</v>
      </c>
      <c r="AE8401">
        <v>0</v>
      </c>
      <c r="AH8401">
        <v>7</v>
      </c>
      <c r="AI8401">
        <v>1</v>
      </c>
      <c r="AJ8401">
        <v>3</v>
      </c>
      <c r="AK8401">
        <v>104.85</v>
      </c>
      <c r="AN8401" t="s">
        <v>7439</v>
      </c>
      <c r="AO8401">
        <v>27000</v>
      </c>
      <c r="AU8401">
        <v>2.2</v>
      </c>
      <c r="AV8401" t="s">
        <v>831</v>
      </c>
      <c r="AW8401" t="s">
        <v>46862</v>
      </c>
      <c r="AX8401" t="s">
        <v>46897</v>
      </c>
    </row>
    <row r="8402" spans="1:50">
      <c r="A8402" s="1">
        <f>HYPERLINK("https://lsnyc.legalserver.org/matter/dynamic-profile/view/1900418","19-1900418")</f>
        <v>0</v>
      </c>
      <c r="B8402" t="s">
        <v>227</v>
      </c>
      <c r="C8402" t="s">
        <v>340</v>
      </c>
      <c r="D8402" t="s">
        <v>804</v>
      </c>
      <c r="F8402" t="s">
        <v>1248</v>
      </c>
      <c r="G8402" t="s">
        <v>8675</v>
      </c>
      <c r="H8402" t="s">
        <v>15365</v>
      </c>
      <c r="I8402" t="s">
        <v>17528</v>
      </c>
      <c r="J8402" t="s">
        <v>18894</v>
      </c>
      <c r="K8402">
        <v>11203</v>
      </c>
      <c r="L8402" t="s">
        <v>18958</v>
      </c>
      <c r="M8402" t="s">
        <v>18960</v>
      </c>
      <c r="N8402" t="s">
        <v>25008</v>
      </c>
      <c r="O8402" t="s">
        <v>26524</v>
      </c>
      <c r="P8402" t="s">
        <v>26563</v>
      </c>
      <c r="R8402" t="s">
        <v>26586</v>
      </c>
      <c r="U8402" t="s">
        <v>26604</v>
      </c>
      <c r="W8402" t="s">
        <v>26642</v>
      </c>
      <c r="X8402">
        <v>1028</v>
      </c>
      <c r="Y8402" t="s">
        <v>26652</v>
      </c>
      <c r="Z8402" t="s">
        <v>26664</v>
      </c>
      <c r="AB8402" t="s">
        <v>32823</v>
      </c>
      <c r="AD8402" t="s">
        <v>43372</v>
      </c>
      <c r="AE8402">
        <v>90</v>
      </c>
      <c r="AH8402">
        <v>0</v>
      </c>
      <c r="AI8402">
        <v>1</v>
      </c>
      <c r="AJ8402">
        <v>0</v>
      </c>
      <c r="AK8402">
        <v>124.9</v>
      </c>
      <c r="AN8402" t="s">
        <v>7439</v>
      </c>
      <c r="AO8402">
        <v>15600</v>
      </c>
      <c r="AU8402">
        <v>2.85</v>
      </c>
      <c r="AV8402" t="s">
        <v>832</v>
      </c>
      <c r="AW8402" t="s">
        <v>46862</v>
      </c>
      <c r="AX8402" t="s">
        <v>46897</v>
      </c>
    </row>
    <row r="8403" spans="1:50">
      <c r="A8403" s="1">
        <f>HYPERLINK("https://lsnyc.legalserver.org/matter/dynamic-profile/view/1900436","19-1900436")</f>
        <v>0</v>
      </c>
      <c r="B8403" t="s">
        <v>227</v>
      </c>
      <c r="C8403" t="s">
        <v>340</v>
      </c>
      <c r="D8403" t="s">
        <v>804</v>
      </c>
      <c r="F8403" t="s">
        <v>1602</v>
      </c>
      <c r="G8403" t="s">
        <v>6311</v>
      </c>
      <c r="H8403" t="s">
        <v>15366</v>
      </c>
      <c r="I8403" t="s">
        <v>17885</v>
      </c>
      <c r="J8403" t="s">
        <v>18894</v>
      </c>
      <c r="K8403">
        <v>11204</v>
      </c>
      <c r="L8403" t="s">
        <v>18958</v>
      </c>
      <c r="M8403" t="s">
        <v>18960</v>
      </c>
      <c r="N8403" t="s">
        <v>25009</v>
      </c>
      <c r="O8403" t="s">
        <v>26523</v>
      </c>
      <c r="P8403" t="s">
        <v>26563</v>
      </c>
      <c r="R8403" t="s">
        <v>26586</v>
      </c>
      <c r="U8403" t="s">
        <v>26604</v>
      </c>
      <c r="W8403" t="s">
        <v>26642</v>
      </c>
      <c r="X8403">
        <v>293</v>
      </c>
      <c r="Y8403" t="s">
        <v>26652</v>
      </c>
      <c r="Z8403" t="s">
        <v>26664</v>
      </c>
      <c r="AB8403" t="s">
        <v>32048</v>
      </c>
      <c r="AD8403" t="s">
        <v>43373</v>
      </c>
      <c r="AE8403">
        <v>14</v>
      </c>
      <c r="AG8403" t="s">
        <v>45557</v>
      </c>
      <c r="AH8403">
        <v>3</v>
      </c>
      <c r="AI8403">
        <v>2</v>
      </c>
      <c r="AJ8403">
        <v>0</v>
      </c>
      <c r="AK8403">
        <v>156.22</v>
      </c>
      <c r="AN8403" t="s">
        <v>7439</v>
      </c>
      <c r="AO8403">
        <v>26416</v>
      </c>
      <c r="AU8403">
        <v>7.6</v>
      </c>
      <c r="AV8403" t="s">
        <v>773</v>
      </c>
      <c r="AW8403" t="s">
        <v>46862</v>
      </c>
      <c r="AX8403" t="s">
        <v>46897</v>
      </c>
    </row>
    <row r="8404" spans="1:50">
      <c r="A8404" s="1">
        <f>HYPERLINK("https://lsnyc.legalserver.org/matter/dynamic-profile/view/1900567","19-1900567")</f>
        <v>0</v>
      </c>
      <c r="B8404" t="s">
        <v>162</v>
      </c>
      <c r="C8404" t="s">
        <v>341</v>
      </c>
      <c r="D8404" t="s">
        <v>806</v>
      </c>
      <c r="E8404" t="s">
        <v>839</v>
      </c>
      <c r="F8404" t="s">
        <v>999</v>
      </c>
      <c r="G8404" t="s">
        <v>5677</v>
      </c>
      <c r="H8404" t="s">
        <v>15367</v>
      </c>
      <c r="I8404" t="s">
        <v>17711</v>
      </c>
      <c r="J8404" t="s">
        <v>18894</v>
      </c>
      <c r="K8404">
        <v>11208</v>
      </c>
      <c r="L8404" t="s">
        <v>18958</v>
      </c>
      <c r="M8404" t="s">
        <v>18960</v>
      </c>
      <c r="N8404" t="s">
        <v>25010</v>
      </c>
      <c r="O8404" t="s">
        <v>26524</v>
      </c>
      <c r="P8404" t="s">
        <v>26560</v>
      </c>
      <c r="Q8404" t="s">
        <v>26570</v>
      </c>
      <c r="R8404" t="s">
        <v>26578</v>
      </c>
      <c r="U8404" t="s">
        <v>26604</v>
      </c>
      <c r="W8404" t="s">
        <v>26642</v>
      </c>
      <c r="X8404">
        <v>0</v>
      </c>
      <c r="Y8404" t="s">
        <v>26652</v>
      </c>
      <c r="AA8404" t="s">
        <v>26683</v>
      </c>
      <c r="AB8404" t="s">
        <v>28475</v>
      </c>
      <c r="AD8404" t="s">
        <v>43374</v>
      </c>
      <c r="AE8404">
        <v>0</v>
      </c>
      <c r="AH8404">
        <v>0</v>
      </c>
      <c r="AI8404">
        <v>1</v>
      </c>
      <c r="AJ8404">
        <v>0</v>
      </c>
      <c r="AK8404">
        <v>166.53</v>
      </c>
      <c r="AN8404" t="s">
        <v>7439</v>
      </c>
      <c r="AO8404">
        <v>20800</v>
      </c>
      <c r="AU8404">
        <v>1</v>
      </c>
      <c r="AV8404" t="s">
        <v>806</v>
      </c>
      <c r="AW8404" t="s">
        <v>46850</v>
      </c>
      <c r="AX8404" t="s">
        <v>46897</v>
      </c>
    </row>
    <row r="8405" spans="1:50">
      <c r="A8405" s="1">
        <f>HYPERLINK("https://lsnyc.legalserver.org/matter/dynamic-profile/view/1900648","19-1900648")</f>
        <v>0</v>
      </c>
      <c r="B8405" t="s">
        <v>202</v>
      </c>
      <c r="C8405" t="s">
        <v>340</v>
      </c>
      <c r="D8405" t="s">
        <v>806</v>
      </c>
      <c r="F8405" t="s">
        <v>4254</v>
      </c>
      <c r="G8405" t="s">
        <v>5197</v>
      </c>
      <c r="H8405" t="s">
        <v>15368</v>
      </c>
      <c r="I8405" t="s">
        <v>17307</v>
      </c>
      <c r="J8405" t="s">
        <v>18894</v>
      </c>
      <c r="K8405">
        <v>11221</v>
      </c>
      <c r="L8405" t="s">
        <v>18958</v>
      </c>
      <c r="M8405" t="s">
        <v>18960</v>
      </c>
      <c r="N8405" t="s">
        <v>25011</v>
      </c>
      <c r="O8405" t="s">
        <v>26523</v>
      </c>
      <c r="P8405" t="s">
        <v>26560</v>
      </c>
      <c r="R8405" t="s">
        <v>26588</v>
      </c>
      <c r="S8405" t="s">
        <v>18959</v>
      </c>
      <c r="U8405" t="s">
        <v>26604</v>
      </c>
      <c r="W8405" t="s">
        <v>26642</v>
      </c>
      <c r="X8405">
        <v>973</v>
      </c>
      <c r="Y8405" t="s">
        <v>26652</v>
      </c>
      <c r="Z8405" t="s">
        <v>26669</v>
      </c>
      <c r="AB8405" t="s">
        <v>32824</v>
      </c>
      <c r="AD8405" t="s">
        <v>43375</v>
      </c>
      <c r="AE8405">
        <v>0</v>
      </c>
      <c r="AH8405">
        <v>13</v>
      </c>
      <c r="AI8405">
        <v>1</v>
      </c>
      <c r="AJ8405">
        <v>2</v>
      </c>
      <c r="AK8405">
        <v>85.08</v>
      </c>
      <c r="AN8405" t="s">
        <v>7439</v>
      </c>
      <c r="AO8405">
        <v>18148</v>
      </c>
      <c r="AU8405">
        <v>2.4</v>
      </c>
      <c r="AV8405" t="s">
        <v>826</v>
      </c>
      <c r="AW8405" t="s">
        <v>281</v>
      </c>
      <c r="AX8405" t="s">
        <v>46897</v>
      </c>
    </row>
    <row r="8406" spans="1:50">
      <c r="A8406" s="1">
        <f>HYPERLINK("https://lsnyc.legalserver.org/matter/dynamic-profile/view/1900626","19-1900626")</f>
        <v>0</v>
      </c>
      <c r="B8406" t="s">
        <v>202</v>
      </c>
      <c r="C8406" t="s">
        <v>340</v>
      </c>
      <c r="D8406" t="s">
        <v>806</v>
      </c>
      <c r="F8406" t="s">
        <v>4255</v>
      </c>
      <c r="G8406" t="s">
        <v>8676</v>
      </c>
      <c r="H8406" t="s">
        <v>15369</v>
      </c>
      <c r="I8406" t="s">
        <v>17313</v>
      </c>
      <c r="J8406" t="s">
        <v>18894</v>
      </c>
      <c r="K8406">
        <v>11216</v>
      </c>
      <c r="L8406" t="s">
        <v>18958</v>
      </c>
      <c r="M8406" t="s">
        <v>18960</v>
      </c>
      <c r="N8406" t="s">
        <v>25012</v>
      </c>
      <c r="O8406" t="s">
        <v>26523</v>
      </c>
      <c r="P8406" t="s">
        <v>26560</v>
      </c>
      <c r="R8406" t="s">
        <v>26588</v>
      </c>
      <c r="S8406" t="s">
        <v>18959</v>
      </c>
      <c r="U8406" t="s">
        <v>26604</v>
      </c>
      <c r="W8406" t="s">
        <v>26642</v>
      </c>
      <c r="X8406">
        <v>1123</v>
      </c>
      <c r="Y8406" t="s">
        <v>26652</v>
      </c>
      <c r="Z8406" t="s">
        <v>26669</v>
      </c>
      <c r="AB8406" t="s">
        <v>32825</v>
      </c>
      <c r="AD8406" t="s">
        <v>43376</v>
      </c>
      <c r="AE8406">
        <v>0</v>
      </c>
      <c r="AG8406" t="s">
        <v>45556</v>
      </c>
      <c r="AH8406">
        <v>30</v>
      </c>
      <c r="AI8406">
        <v>2</v>
      </c>
      <c r="AJ8406">
        <v>0</v>
      </c>
      <c r="AK8406">
        <v>139.12</v>
      </c>
      <c r="AN8406" t="s">
        <v>7439</v>
      </c>
      <c r="AO8406">
        <v>23524.8</v>
      </c>
      <c r="AU8406">
        <v>5.9</v>
      </c>
      <c r="AV8406" t="s">
        <v>836</v>
      </c>
      <c r="AW8406" t="s">
        <v>281</v>
      </c>
      <c r="AX8406" t="s">
        <v>46897</v>
      </c>
    </row>
    <row r="8407" spans="1:50">
      <c r="A8407" s="1">
        <f>HYPERLINK("https://lsnyc.legalserver.org/matter/dynamic-profile/view/1900638","19-1900638")</f>
        <v>0</v>
      </c>
      <c r="B8407" t="s">
        <v>202</v>
      </c>
      <c r="C8407" t="s">
        <v>340</v>
      </c>
      <c r="D8407" t="s">
        <v>806</v>
      </c>
      <c r="F8407" t="s">
        <v>2168</v>
      </c>
      <c r="G8407" t="s">
        <v>5363</v>
      </c>
      <c r="H8407" t="s">
        <v>13559</v>
      </c>
      <c r="I8407">
        <v>401</v>
      </c>
      <c r="J8407" t="s">
        <v>18894</v>
      </c>
      <c r="K8407">
        <v>11216</v>
      </c>
      <c r="L8407" t="s">
        <v>18958</v>
      </c>
      <c r="M8407" t="s">
        <v>18960</v>
      </c>
      <c r="N8407" t="s">
        <v>25013</v>
      </c>
      <c r="O8407" t="s">
        <v>26524</v>
      </c>
      <c r="P8407" t="s">
        <v>26560</v>
      </c>
      <c r="R8407" t="s">
        <v>26588</v>
      </c>
      <c r="S8407" t="s">
        <v>18959</v>
      </c>
      <c r="U8407" t="s">
        <v>26604</v>
      </c>
      <c r="W8407" t="s">
        <v>26642</v>
      </c>
      <c r="X8407">
        <v>769.48</v>
      </c>
      <c r="Y8407" t="s">
        <v>26652</v>
      </c>
      <c r="Z8407" t="s">
        <v>26669</v>
      </c>
      <c r="AB8407" t="s">
        <v>32826</v>
      </c>
      <c r="AD8407" t="s">
        <v>43377</v>
      </c>
      <c r="AE8407">
        <v>0</v>
      </c>
      <c r="AH8407">
        <v>23</v>
      </c>
      <c r="AI8407">
        <v>1</v>
      </c>
      <c r="AJ8407">
        <v>0</v>
      </c>
      <c r="AK8407">
        <v>200.74</v>
      </c>
      <c r="AL8407" t="s">
        <v>835</v>
      </c>
      <c r="AM8407" t="s">
        <v>45575</v>
      </c>
      <c r="AN8407" t="s">
        <v>7439</v>
      </c>
      <c r="AO8407">
        <v>25072.6</v>
      </c>
      <c r="AU8407">
        <v>2.5</v>
      </c>
      <c r="AV8407" t="s">
        <v>826</v>
      </c>
      <c r="AW8407" t="s">
        <v>281</v>
      </c>
      <c r="AX8407" t="s">
        <v>46897</v>
      </c>
    </row>
    <row r="8408" spans="1:50">
      <c r="A8408" s="1">
        <f>HYPERLINK("https://lsnyc.legalserver.org/matter/dynamic-profile/view/1900577","19-1900577")</f>
        <v>0</v>
      </c>
      <c r="B8408" t="s">
        <v>99</v>
      </c>
      <c r="C8408" t="s">
        <v>340</v>
      </c>
      <c r="D8408" t="s">
        <v>806</v>
      </c>
      <c r="F8408" t="s">
        <v>4256</v>
      </c>
      <c r="G8408" t="s">
        <v>968</v>
      </c>
      <c r="H8408" t="s">
        <v>15370</v>
      </c>
      <c r="I8408" t="s">
        <v>18560</v>
      </c>
      <c r="J8408" t="s">
        <v>18894</v>
      </c>
      <c r="K8408">
        <v>11213</v>
      </c>
      <c r="L8408" t="s">
        <v>18958</v>
      </c>
      <c r="M8408" t="s">
        <v>18960</v>
      </c>
      <c r="N8408" t="s">
        <v>25014</v>
      </c>
      <c r="O8408" t="s">
        <v>26523</v>
      </c>
      <c r="P8408" t="s">
        <v>26560</v>
      </c>
      <c r="R8408" t="s">
        <v>26586</v>
      </c>
      <c r="U8408" t="s">
        <v>26604</v>
      </c>
      <c r="W8408" t="s">
        <v>26642</v>
      </c>
      <c r="X8408">
        <v>1032</v>
      </c>
      <c r="Y8408" t="s">
        <v>26652</v>
      </c>
      <c r="Z8408" t="s">
        <v>26664</v>
      </c>
      <c r="AB8408" t="s">
        <v>32827</v>
      </c>
      <c r="AD8408" t="s">
        <v>43378</v>
      </c>
      <c r="AE8408">
        <v>20</v>
      </c>
      <c r="AH8408">
        <v>0</v>
      </c>
      <c r="AI8408">
        <v>2</v>
      </c>
      <c r="AJ8408">
        <v>0</v>
      </c>
      <c r="AK8408">
        <v>133.2</v>
      </c>
      <c r="AN8408" t="s">
        <v>7439</v>
      </c>
      <c r="AO8408">
        <v>22524</v>
      </c>
      <c r="AU8408">
        <v>5.2</v>
      </c>
      <c r="AV8408" t="s">
        <v>826</v>
      </c>
      <c r="AW8408" t="s">
        <v>46850</v>
      </c>
      <c r="AX8408" t="s">
        <v>46897</v>
      </c>
    </row>
    <row r="8409" spans="1:50">
      <c r="A8409" s="1">
        <f>HYPERLINK("https://lsnyc.legalserver.org/matter/dynamic-profile/view/1900612","19-1900612")</f>
        <v>0</v>
      </c>
      <c r="B8409" t="s">
        <v>129</v>
      </c>
      <c r="C8409" t="s">
        <v>340</v>
      </c>
      <c r="D8409" t="s">
        <v>806</v>
      </c>
      <c r="F8409" t="s">
        <v>4257</v>
      </c>
      <c r="G8409" t="s">
        <v>6773</v>
      </c>
      <c r="H8409" t="s">
        <v>15371</v>
      </c>
      <c r="I8409" t="s">
        <v>18561</v>
      </c>
      <c r="J8409" t="s">
        <v>18894</v>
      </c>
      <c r="K8409">
        <v>11235</v>
      </c>
      <c r="L8409" t="s">
        <v>18958</v>
      </c>
      <c r="M8409" t="s">
        <v>18960</v>
      </c>
      <c r="N8409" t="s">
        <v>25015</v>
      </c>
      <c r="O8409" t="s">
        <v>26524</v>
      </c>
      <c r="P8409" t="s">
        <v>26563</v>
      </c>
      <c r="R8409" t="s">
        <v>26586</v>
      </c>
      <c r="U8409" t="s">
        <v>26604</v>
      </c>
      <c r="W8409" t="s">
        <v>26642</v>
      </c>
      <c r="X8409">
        <v>1332</v>
      </c>
      <c r="Y8409" t="s">
        <v>26652</v>
      </c>
      <c r="Z8409" t="s">
        <v>26664</v>
      </c>
      <c r="AB8409" t="s">
        <v>32828</v>
      </c>
      <c r="AD8409" t="s">
        <v>43379</v>
      </c>
      <c r="AE8409">
        <v>0</v>
      </c>
      <c r="AH8409">
        <v>0</v>
      </c>
      <c r="AI8409">
        <v>3</v>
      </c>
      <c r="AJ8409">
        <v>0</v>
      </c>
      <c r="AK8409">
        <v>103.14</v>
      </c>
      <c r="AN8409" t="s">
        <v>7439</v>
      </c>
      <c r="AO8409">
        <v>22000</v>
      </c>
      <c r="AU8409">
        <v>1.35</v>
      </c>
      <c r="AV8409" t="s">
        <v>834</v>
      </c>
      <c r="AW8409" t="s">
        <v>46853</v>
      </c>
      <c r="AX8409" t="s">
        <v>46897</v>
      </c>
    </row>
    <row r="8410" spans="1:50">
      <c r="A8410" s="1">
        <f>HYPERLINK("https://lsnyc.legalserver.org/matter/dynamic-profile/view/1900579","19-1900579")</f>
        <v>0</v>
      </c>
      <c r="B8410" t="s">
        <v>155</v>
      </c>
      <c r="C8410" t="s">
        <v>340</v>
      </c>
      <c r="D8410" t="s">
        <v>806</v>
      </c>
      <c r="F8410" t="s">
        <v>4258</v>
      </c>
      <c r="G8410" t="s">
        <v>5330</v>
      </c>
      <c r="H8410" t="s">
        <v>15372</v>
      </c>
      <c r="I8410" t="s">
        <v>17275</v>
      </c>
      <c r="J8410" t="s">
        <v>18894</v>
      </c>
      <c r="K8410">
        <v>11239</v>
      </c>
      <c r="L8410" t="s">
        <v>18958</v>
      </c>
      <c r="M8410" t="s">
        <v>18960</v>
      </c>
      <c r="N8410" t="s">
        <v>25016</v>
      </c>
      <c r="O8410" t="s">
        <v>26523</v>
      </c>
      <c r="R8410" t="s">
        <v>26586</v>
      </c>
      <c r="U8410" t="s">
        <v>26604</v>
      </c>
      <c r="W8410" t="s">
        <v>26642</v>
      </c>
      <c r="X8410">
        <v>2400</v>
      </c>
      <c r="Y8410" t="s">
        <v>26652</v>
      </c>
      <c r="Z8410" t="s">
        <v>26664</v>
      </c>
      <c r="AB8410" t="s">
        <v>32829</v>
      </c>
      <c r="AC8410" t="s">
        <v>36516</v>
      </c>
      <c r="AD8410" t="s">
        <v>43380</v>
      </c>
      <c r="AE8410">
        <v>50</v>
      </c>
      <c r="AG8410" t="s">
        <v>45563</v>
      </c>
      <c r="AH8410">
        <v>1</v>
      </c>
      <c r="AI8410">
        <v>1</v>
      </c>
      <c r="AJ8410">
        <v>1</v>
      </c>
      <c r="AK8410">
        <v>56.35</v>
      </c>
      <c r="AN8410" t="s">
        <v>7439</v>
      </c>
      <c r="AO8410">
        <v>9528</v>
      </c>
      <c r="AU8410">
        <v>1.9</v>
      </c>
      <c r="AV8410" t="s">
        <v>806</v>
      </c>
      <c r="AW8410" t="s">
        <v>46857</v>
      </c>
      <c r="AX8410" t="s">
        <v>46897</v>
      </c>
    </row>
    <row r="8411" spans="1:50">
      <c r="A8411" s="1">
        <f>HYPERLINK("https://lsnyc.legalserver.org/matter/dynamic-profile/view/1900655","19-1900655")</f>
        <v>0</v>
      </c>
      <c r="B8411" t="s">
        <v>106</v>
      </c>
      <c r="C8411" t="s">
        <v>340</v>
      </c>
      <c r="D8411" t="s">
        <v>806</v>
      </c>
      <c r="F8411" t="s">
        <v>4259</v>
      </c>
      <c r="G8411" t="s">
        <v>3036</v>
      </c>
      <c r="H8411" t="s">
        <v>15373</v>
      </c>
      <c r="I8411" t="s">
        <v>17293</v>
      </c>
      <c r="J8411" t="s">
        <v>18894</v>
      </c>
      <c r="K8411">
        <v>11216</v>
      </c>
      <c r="L8411" t="s">
        <v>18958</v>
      </c>
      <c r="M8411" t="s">
        <v>18960</v>
      </c>
      <c r="N8411" t="s">
        <v>25017</v>
      </c>
      <c r="O8411" t="s">
        <v>26524</v>
      </c>
      <c r="P8411" t="s">
        <v>26560</v>
      </c>
      <c r="R8411" t="s">
        <v>26588</v>
      </c>
      <c r="S8411" t="s">
        <v>18959</v>
      </c>
      <c r="U8411" t="s">
        <v>26604</v>
      </c>
      <c r="W8411" t="s">
        <v>26642</v>
      </c>
      <c r="X8411">
        <v>1250</v>
      </c>
      <c r="Y8411" t="s">
        <v>26652</v>
      </c>
      <c r="Z8411" t="s">
        <v>26669</v>
      </c>
      <c r="AB8411" t="s">
        <v>32830</v>
      </c>
      <c r="AD8411" t="s">
        <v>43381</v>
      </c>
      <c r="AE8411">
        <v>0</v>
      </c>
      <c r="AH8411">
        <v>6</v>
      </c>
      <c r="AI8411">
        <v>2</v>
      </c>
      <c r="AJ8411">
        <v>0</v>
      </c>
      <c r="AK8411">
        <v>283.86</v>
      </c>
      <c r="AL8411" t="s">
        <v>835</v>
      </c>
      <c r="AM8411" t="s">
        <v>45575</v>
      </c>
      <c r="AN8411" t="s">
        <v>7439</v>
      </c>
      <c r="AO8411">
        <v>48000</v>
      </c>
      <c r="AU8411">
        <v>12</v>
      </c>
      <c r="AV8411" t="s">
        <v>773</v>
      </c>
      <c r="AW8411" t="s">
        <v>281</v>
      </c>
      <c r="AX8411" t="s">
        <v>46897</v>
      </c>
    </row>
    <row r="8412" spans="1:50">
      <c r="A8412" s="1">
        <f>HYPERLINK("https://lsnyc.legalserver.org/matter/dynamic-profile/view/1900731","19-1900731")</f>
        <v>0</v>
      </c>
      <c r="B8412" t="s">
        <v>203</v>
      </c>
      <c r="C8412" t="s">
        <v>341</v>
      </c>
      <c r="D8412" t="s">
        <v>808</v>
      </c>
      <c r="E8412" t="s">
        <v>836</v>
      </c>
      <c r="F8412" t="s">
        <v>2420</v>
      </c>
      <c r="G8412" t="s">
        <v>7111</v>
      </c>
      <c r="H8412" t="s">
        <v>15374</v>
      </c>
      <c r="I8412" t="s">
        <v>17525</v>
      </c>
      <c r="J8412" t="s">
        <v>18894</v>
      </c>
      <c r="K8412">
        <v>11221</v>
      </c>
      <c r="L8412" t="s">
        <v>18958</v>
      </c>
      <c r="M8412" t="s">
        <v>18960</v>
      </c>
      <c r="N8412" t="s">
        <v>25018</v>
      </c>
      <c r="O8412" t="s">
        <v>26523</v>
      </c>
      <c r="P8412" t="s">
        <v>26560</v>
      </c>
      <c r="Q8412" t="s">
        <v>26568</v>
      </c>
      <c r="R8412" t="s">
        <v>26588</v>
      </c>
      <c r="U8412" t="s">
        <v>26604</v>
      </c>
      <c r="W8412" t="s">
        <v>26642</v>
      </c>
      <c r="X8412">
        <v>1500</v>
      </c>
      <c r="Y8412" t="s">
        <v>26652</v>
      </c>
      <c r="Z8412" t="s">
        <v>26669</v>
      </c>
      <c r="AA8412" t="s">
        <v>26678</v>
      </c>
      <c r="AB8412" t="s">
        <v>28159</v>
      </c>
      <c r="AD8412" t="s">
        <v>43382</v>
      </c>
      <c r="AE8412">
        <v>8</v>
      </c>
      <c r="AG8412" t="s">
        <v>45556</v>
      </c>
      <c r="AH8412">
        <v>9</v>
      </c>
      <c r="AI8412">
        <v>2</v>
      </c>
      <c r="AJ8412">
        <v>2</v>
      </c>
      <c r="AK8412">
        <v>116.5</v>
      </c>
      <c r="AO8412">
        <v>30000</v>
      </c>
      <c r="AU8412">
        <v>1</v>
      </c>
      <c r="AV8412" t="s">
        <v>835</v>
      </c>
      <c r="AW8412" t="s">
        <v>46853</v>
      </c>
      <c r="AX8412" t="s">
        <v>46897</v>
      </c>
    </row>
    <row r="8413" spans="1:50">
      <c r="A8413" s="1">
        <f>HYPERLINK("https://lsnyc.legalserver.org/matter/dynamic-profile/view/1900744","19-1900744")</f>
        <v>0</v>
      </c>
      <c r="B8413" t="s">
        <v>203</v>
      </c>
      <c r="C8413" t="s">
        <v>340</v>
      </c>
      <c r="D8413" t="s">
        <v>808</v>
      </c>
      <c r="F8413" t="s">
        <v>1021</v>
      </c>
      <c r="G8413" t="s">
        <v>6363</v>
      </c>
      <c r="H8413" t="s">
        <v>15375</v>
      </c>
      <c r="I8413" t="s">
        <v>18176</v>
      </c>
      <c r="J8413" t="s">
        <v>18894</v>
      </c>
      <c r="K8413">
        <v>11225</v>
      </c>
      <c r="L8413" t="s">
        <v>18958</v>
      </c>
      <c r="M8413" t="s">
        <v>18960</v>
      </c>
      <c r="N8413" t="s">
        <v>25019</v>
      </c>
      <c r="O8413" t="s">
        <v>26523</v>
      </c>
      <c r="P8413" t="s">
        <v>26560</v>
      </c>
      <c r="R8413" t="s">
        <v>26588</v>
      </c>
      <c r="U8413" t="s">
        <v>26604</v>
      </c>
      <c r="W8413" t="s">
        <v>26642</v>
      </c>
      <c r="X8413">
        <v>1285.72</v>
      </c>
      <c r="Y8413" t="s">
        <v>26652</v>
      </c>
      <c r="Z8413" t="s">
        <v>26669</v>
      </c>
      <c r="AB8413" t="s">
        <v>31223</v>
      </c>
      <c r="AD8413" t="s">
        <v>43383</v>
      </c>
      <c r="AE8413">
        <v>0</v>
      </c>
      <c r="AH8413">
        <v>0</v>
      </c>
      <c r="AI8413">
        <v>2</v>
      </c>
      <c r="AJ8413">
        <v>1</v>
      </c>
      <c r="AK8413">
        <v>229.72</v>
      </c>
      <c r="AL8413" t="s">
        <v>835</v>
      </c>
      <c r="AM8413" t="s">
        <v>45575</v>
      </c>
      <c r="AN8413" t="s">
        <v>7439</v>
      </c>
      <c r="AO8413">
        <v>49000</v>
      </c>
      <c r="AU8413">
        <v>1.3</v>
      </c>
      <c r="AV8413" t="s">
        <v>821</v>
      </c>
      <c r="AW8413" t="s">
        <v>46853</v>
      </c>
      <c r="AX8413" t="s">
        <v>46897</v>
      </c>
    </row>
    <row r="8414" spans="1:50">
      <c r="A8414" s="1">
        <f>HYPERLINK("https://lsnyc.legalserver.org/matter/dynamic-profile/view/1900737","19-1900737")</f>
        <v>0</v>
      </c>
      <c r="B8414" t="s">
        <v>123</v>
      </c>
      <c r="C8414" t="s">
        <v>340</v>
      </c>
      <c r="D8414" t="s">
        <v>808</v>
      </c>
      <c r="F8414" t="s">
        <v>1251</v>
      </c>
      <c r="G8414" t="s">
        <v>6151</v>
      </c>
      <c r="H8414" t="s">
        <v>12403</v>
      </c>
      <c r="I8414" t="s">
        <v>18562</v>
      </c>
      <c r="J8414" t="s">
        <v>18894</v>
      </c>
      <c r="K8414">
        <v>11225</v>
      </c>
      <c r="L8414" t="s">
        <v>18958</v>
      </c>
      <c r="M8414" t="s">
        <v>18960</v>
      </c>
      <c r="N8414" t="s">
        <v>25020</v>
      </c>
      <c r="O8414" t="s">
        <v>26523</v>
      </c>
      <c r="P8414" t="s">
        <v>26560</v>
      </c>
      <c r="R8414" t="s">
        <v>26588</v>
      </c>
      <c r="U8414" t="s">
        <v>26604</v>
      </c>
      <c r="W8414" t="s">
        <v>26642</v>
      </c>
      <c r="X8414">
        <v>1266.12</v>
      </c>
      <c r="Y8414" t="s">
        <v>26652</v>
      </c>
      <c r="Z8414" t="s">
        <v>26669</v>
      </c>
      <c r="AB8414" t="s">
        <v>32831</v>
      </c>
      <c r="AD8414" t="s">
        <v>43384</v>
      </c>
      <c r="AE8414">
        <v>20</v>
      </c>
      <c r="AG8414" t="s">
        <v>45559</v>
      </c>
      <c r="AH8414">
        <v>39</v>
      </c>
      <c r="AI8414">
        <v>1</v>
      </c>
      <c r="AJ8414">
        <v>0</v>
      </c>
      <c r="AK8414">
        <v>65.52</v>
      </c>
      <c r="AN8414" t="s">
        <v>7439</v>
      </c>
      <c r="AO8414">
        <v>8184</v>
      </c>
      <c r="AU8414">
        <v>0.6</v>
      </c>
      <c r="AV8414" t="s">
        <v>836</v>
      </c>
      <c r="AW8414" t="s">
        <v>46853</v>
      </c>
      <c r="AX8414" t="s">
        <v>46897</v>
      </c>
    </row>
    <row r="8415" spans="1:50">
      <c r="A8415" s="1">
        <f>HYPERLINK("https://lsnyc.legalserver.org/matter/dynamic-profile/view/1900843","19-1900843")</f>
        <v>0</v>
      </c>
      <c r="B8415" t="s">
        <v>106</v>
      </c>
      <c r="C8415" t="s">
        <v>341</v>
      </c>
      <c r="D8415" t="s">
        <v>809</v>
      </c>
      <c r="E8415" t="s">
        <v>839</v>
      </c>
      <c r="F8415" t="s">
        <v>1376</v>
      </c>
      <c r="G8415" t="s">
        <v>8677</v>
      </c>
      <c r="H8415" t="s">
        <v>15376</v>
      </c>
      <c r="I8415" t="s">
        <v>17282</v>
      </c>
      <c r="J8415" t="s">
        <v>18894</v>
      </c>
      <c r="K8415">
        <v>11225</v>
      </c>
      <c r="L8415" t="s">
        <v>18958</v>
      </c>
      <c r="M8415" t="s">
        <v>18960</v>
      </c>
      <c r="N8415" t="s">
        <v>25021</v>
      </c>
      <c r="O8415" t="s">
        <v>26523</v>
      </c>
      <c r="P8415" t="s">
        <v>26560</v>
      </c>
      <c r="Q8415" t="s">
        <v>26573</v>
      </c>
      <c r="R8415" t="s">
        <v>26588</v>
      </c>
      <c r="S8415" t="s">
        <v>18959</v>
      </c>
      <c r="U8415" t="s">
        <v>26604</v>
      </c>
      <c r="W8415" t="s">
        <v>26642</v>
      </c>
      <c r="X8415">
        <v>554</v>
      </c>
      <c r="Y8415" t="s">
        <v>26652</v>
      </c>
      <c r="Z8415" t="s">
        <v>26669</v>
      </c>
      <c r="AA8415" t="s">
        <v>26678</v>
      </c>
      <c r="AB8415" t="s">
        <v>32832</v>
      </c>
      <c r="AE8415">
        <v>0</v>
      </c>
      <c r="AH8415">
        <v>10</v>
      </c>
      <c r="AI8415">
        <v>1</v>
      </c>
      <c r="AJ8415">
        <v>0</v>
      </c>
      <c r="AK8415">
        <v>236.19</v>
      </c>
      <c r="AL8415" t="s">
        <v>835</v>
      </c>
      <c r="AM8415" t="s">
        <v>45575</v>
      </c>
      <c r="AN8415" t="s">
        <v>7439</v>
      </c>
      <c r="AO8415">
        <v>29500</v>
      </c>
      <c r="AS8415" t="s">
        <v>46499</v>
      </c>
      <c r="AU8415">
        <v>3.2</v>
      </c>
      <c r="AV8415" t="s">
        <v>839</v>
      </c>
      <c r="AW8415" t="s">
        <v>281</v>
      </c>
      <c r="AX8415" t="s">
        <v>46897</v>
      </c>
    </row>
    <row r="8416" spans="1:50">
      <c r="A8416" s="1">
        <f>HYPERLINK("https://lsnyc.legalserver.org/matter/dynamic-profile/view/1900808","19-1900808")</f>
        <v>0</v>
      </c>
      <c r="B8416" t="s">
        <v>230</v>
      </c>
      <c r="C8416" t="s">
        <v>340</v>
      </c>
      <c r="D8416" t="s">
        <v>809</v>
      </c>
      <c r="F8416" t="s">
        <v>4260</v>
      </c>
      <c r="G8416" t="s">
        <v>6654</v>
      </c>
      <c r="H8416" t="s">
        <v>15377</v>
      </c>
      <c r="I8416" t="s">
        <v>18368</v>
      </c>
      <c r="J8416" t="s">
        <v>18894</v>
      </c>
      <c r="K8416">
        <v>11216</v>
      </c>
      <c r="L8416" t="s">
        <v>18958</v>
      </c>
      <c r="M8416" t="s">
        <v>18960</v>
      </c>
      <c r="N8416" t="s">
        <v>25022</v>
      </c>
      <c r="O8416" t="s">
        <v>26523</v>
      </c>
      <c r="P8416" t="s">
        <v>26563</v>
      </c>
      <c r="R8416" t="s">
        <v>26588</v>
      </c>
      <c r="U8416" t="s">
        <v>26604</v>
      </c>
      <c r="W8416" t="s">
        <v>26642</v>
      </c>
      <c r="X8416">
        <v>602</v>
      </c>
      <c r="Y8416" t="s">
        <v>26652</v>
      </c>
      <c r="Z8416" t="s">
        <v>26669</v>
      </c>
      <c r="AB8416" t="s">
        <v>32833</v>
      </c>
      <c r="AC8416" t="s">
        <v>36517</v>
      </c>
      <c r="AD8416" t="s">
        <v>43385</v>
      </c>
      <c r="AE8416">
        <v>0</v>
      </c>
      <c r="AH8416">
        <v>24</v>
      </c>
      <c r="AI8416">
        <v>2</v>
      </c>
      <c r="AJ8416">
        <v>0</v>
      </c>
      <c r="AK8416">
        <v>153.76</v>
      </c>
      <c r="AN8416" t="s">
        <v>7439</v>
      </c>
      <c r="AO8416">
        <v>26000</v>
      </c>
      <c r="AU8416">
        <v>5.6</v>
      </c>
      <c r="AV8416" t="s">
        <v>834</v>
      </c>
      <c r="AW8416" t="s">
        <v>46853</v>
      </c>
      <c r="AX8416" t="s">
        <v>46897</v>
      </c>
    </row>
    <row r="8417" spans="1:50">
      <c r="A8417" s="1">
        <f>HYPERLINK("https://lsnyc.legalserver.org/matter/dynamic-profile/view/1900878","19-1900878")</f>
        <v>0</v>
      </c>
      <c r="B8417" t="s">
        <v>230</v>
      </c>
      <c r="C8417" t="s">
        <v>340</v>
      </c>
      <c r="D8417" t="s">
        <v>809</v>
      </c>
      <c r="F8417" t="s">
        <v>1243</v>
      </c>
      <c r="G8417" t="s">
        <v>5608</v>
      </c>
      <c r="H8417" t="s">
        <v>12446</v>
      </c>
      <c r="I8417" t="s">
        <v>17371</v>
      </c>
      <c r="J8417" t="s">
        <v>18894</v>
      </c>
      <c r="K8417">
        <v>11225</v>
      </c>
      <c r="L8417" t="s">
        <v>18958</v>
      </c>
      <c r="M8417" t="s">
        <v>18960</v>
      </c>
      <c r="N8417" t="s">
        <v>25023</v>
      </c>
      <c r="O8417" t="s">
        <v>26523</v>
      </c>
      <c r="P8417" t="s">
        <v>26563</v>
      </c>
      <c r="R8417" t="s">
        <v>26588</v>
      </c>
      <c r="U8417" t="s">
        <v>26604</v>
      </c>
      <c r="W8417" t="s">
        <v>26642</v>
      </c>
      <c r="X8417">
        <v>825</v>
      </c>
      <c r="Y8417" t="s">
        <v>26652</v>
      </c>
      <c r="Z8417" t="s">
        <v>26669</v>
      </c>
      <c r="AB8417" t="s">
        <v>32834</v>
      </c>
      <c r="AD8417" t="s">
        <v>43386</v>
      </c>
      <c r="AE8417">
        <v>0</v>
      </c>
      <c r="AH8417">
        <v>12</v>
      </c>
      <c r="AI8417">
        <v>2</v>
      </c>
      <c r="AJ8417">
        <v>1</v>
      </c>
      <c r="AK8417">
        <v>187.53</v>
      </c>
      <c r="AN8417" t="s">
        <v>45581</v>
      </c>
      <c r="AO8417">
        <v>40000</v>
      </c>
      <c r="AU8417">
        <v>6.8</v>
      </c>
      <c r="AV8417" t="s">
        <v>826</v>
      </c>
      <c r="AW8417" t="s">
        <v>46853</v>
      </c>
      <c r="AX8417" t="s">
        <v>46897</v>
      </c>
    </row>
    <row r="8418" spans="1:50">
      <c r="A8418" s="1">
        <f>HYPERLINK("https://lsnyc.legalserver.org/matter/dynamic-profile/view/1900788","19-1900788")</f>
        <v>0</v>
      </c>
      <c r="B8418" t="s">
        <v>203</v>
      </c>
      <c r="C8418" t="s">
        <v>340</v>
      </c>
      <c r="D8418" t="s">
        <v>809</v>
      </c>
      <c r="F8418" t="s">
        <v>1092</v>
      </c>
      <c r="G8418" t="s">
        <v>8678</v>
      </c>
      <c r="H8418" t="s">
        <v>15378</v>
      </c>
      <c r="I8418" t="s">
        <v>17371</v>
      </c>
      <c r="J8418" t="s">
        <v>18894</v>
      </c>
      <c r="K8418">
        <v>11221</v>
      </c>
      <c r="L8418" t="s">
        <v>18958</v>
      </c>
      <c r="M8418" t="s">
        <v>18960</v>
      </c>
      <c r="N8418" t="s">
        <v>25024</v>
      </c>
      <c r="O8418" t="s">
        <v>26524</v>
      </c>
      <c r="P8418" t="s">
        <v>26560</v>
      </c>
      <c r="R8418" t="s">
        <v>26588</v>
      </c>
      <c r="U8418" t="s">
        <v>26604</v>
      </c>
      <c r="W8418" t="s">
        <v>26642</v>
      </c>
      <c r="X8418">
        <v>1364.11</v>
      </c>
      <c r="Y8418" t="s">
        <v>26652</v>
      </c>
      <c r="Z8418" t="s">
        <v>26669</v>
      </c>
      <c r="AB8418" t="s">
        <v>28777</v>
      </c>
      <c r="AD8418" t="s">
        <v>43387</v>
      </c>
      <c r="AE8418">
        <v>4</v>
      </c>
      <c r="AG8418" t="s">
        <v>45556</v>
      </c>
      <c r="AH8418">
        <v>6</v>
      </c>
      <c r="AI8418">
        <v>1</v>
      </c>
      <c r="AJ8418">
        <v>0</v>
      </c>
      <c r="AK8418">
        <v>80.7</v>
      </c>
      <c r="AN8418" t="s">
        <v>7439</v>
      </c>
      <c r="AO8418">
        <v>10080</v>
      </c>
      <c r="AU8418">
        <v>2</v>
      </c>
      <c r="AV8418" t="s">
        <v>826</v>
      </c>
      <c r="AW8418" t="s">
        <v>46853</v>
      </c>
      <c r="AX8418" t="s">
        <v>46897</v>
      </c>
    </row>
    <row r="8419" spans="1:50">
      <c r="A8419" s="1">
        <f>HYPERLINK("https://lsnyc.legalserver.org/matter/dynamic-profile/view/1900783","19-1900783")</f>
        <v>0</v>
      </c>
      <c r="B8419" t="s">
        <v>123</v>
      </c>
      <c r="C8419" t="s">
        <v>340</v>
      </c>
      <c r="D8419" t="s">
        <v>809</v>
      </c>
      <c r="F8419" t="s">
        <v>4261</v>
      </c>
      <c r="G8419" t="s">
        <v>5269</v>
      </c>
      <c r="H8419" t="s">
        <v>15379</v>
      </c>
      <c r="I8419" t="s">
        <v>18563</v>
      </c>
      <c r="J8419" t="s">
        <v>18894</v>
      </c>
      <c r="K8419">
        <v>11225</v>
      </c>
      <c r="L8419" t="s">
        <v>18958</v>
      </c>
      <c r="M8419" t="s">
        <v>18960</v>
      </c>
      <c r="N8419" t="s">
        <v>25025</v>
      </c>
      <c r="O8419" t="s">
        <v>26523</v>
      </c>
      <c r="P8419" t="s">
        <v>26560</v>
      </c>
      <c r="R8419" t="s">
        <v>26588</v>
      </c>
      <c r="U8419" t="s">
        <v>26604</v>
      </c>
      <c r="W8419" t="s">
        <v>26642</v>
      </c>
      <c r="X8419">
        <v>1153</v>
      </c>
      <c r="Y8419" t="s">
        <v>26652</v>
      </c>
      <c r="Z8419" t="s">
        <v>26669</v>
      </c>
      <c r="AB8419" t="s">
        <v>30046</v>
      </c>
      <c r="AD8419" t="s">
        <v>43388</v>
      </c>
      <c r="AE8419">
        <v>0</v>
      </c>
      <c r="AH8419">
        <v>1</v>
      </c>
      <c r="AI8419">
        <v>1</v>
      </c>
      <c r="AJ8419">
        <v>1</v>
      </c>
      <c r="AK8419">
        <v>299.82</v>
      </c>
      <c r="AL8419" t="s">
        <v>835</v>
      </c>
      <c r="AM8419" t="s">
        <v>45575</v>
      </c>
      <c r="AN8419" t="s">
        <v>7439</v>
      </c>
      <c r="AO8419">
        <v>50700</v>
      </c>
      <c r="AU8419">
        <v>0.1</v>
      </c>
      <c r="AV8419" t="s">
        <v>826</v>
      </c>
      <c r="AW8419" t="s">
        <v>46853</v>
      </c>
      <c r="AX8419" t="s">
        <v>46897</v>
      </c>
    </row>
    <row r="8420" spans="1:50">
      <c r="A8420" s="1">
        <f>HYPERLINK("https://lsnyc.legalserver.org/matter/dynamic-profile/view/1900856","19-1900856")</f>
        <v>0</v>
      </c>
      <c r="B8420" t="s">
        <v>106</v>
      </c>
      <c r="C8420" t="s">
        <v>340</v>
      </c>
      <c r="D8420" t="s">
        <v>809</v>
      </c>
      <c r="F8420" t="s">
        <v>4262</v>
      </c>
      <c r="G8420" t="s">
        <v>8679</v>
      </c>
      <c r="H8420" t="s">
        <v>15380</v>
      </c>
      <c r="I8420">
        <v>6</v>
      </c>
      <c r="J8420" t="s">
        <v>18894</v>
      </c>
      <c r="K8420">
        <v>11216</v>
      </c>
      <c r="L8420" t="s">
        <v>18958</v>
      </c>
      <c r="M8420" t="s">
        <v>18960</v>
      </c>
      <c r="N8420" t="s">
        <v>25026</v>
      </c>
      <c r="O8420" t="s">
        <v>26524</v>
      </c>
      <c r="P8420" t="s">
        <v>26560</v>
      </c>
      <c r="R8420" t="s">
        <v>26588</v>
      </c>
      <c r="S8420" t="s">
        <v>18959</v>
      </c>
      <c r="U8420" t="s">
        <v>26604</v>
      </c>
      <c r="W8420" t="s">
        <v>26642</v>
      </c>
      <c r="X8420">
        <v>1200</v>
      </c>
      <c r="Y8420" t="s">
        <v>26652</v>
      </c>
      <c r="Z8420" t="s">
        <v>26669</v>
      </c>
      <c r="AB8420" t="s">
        <v>32835</v>
      </c>
      <c r="AD8420" t="s">
        <v>43389</v>
      </c>
      <c r="AE8420">
        <v>0</v>
      </c>
      <c r="AF8420" t="s">
        <v>45544</v>
      </c>
      <c r="AG8420" t="s">
        <v>45556</v>
      </c>
      <c r="AH8420">
        <v>5</v>
      </c>
      <c r="AI8420">
        <v>1</v>
      </c>
      <c r="AJ8420">
        <v>0</v>
      </c>
      <c r="AK8420">
        <v>14.57</v>
      </c>
      <c r="AN8420" t="s">
        <v>7439</v>
      </c>
      <c r="AO8420">
        <v>1820</v>
      </c>
      <c r="AU8420">
        <v>4.1</v>
      </c>
      <c r="AV8420" t="s">
        <v>833</v>
      </c>
      <c r="AW8420" t="s">
        <v>281</v>
      </c>
      <c r="AX8420" t="s">
        <v>46897</v>
      </c>
    </row>
    <row r="8421" spans="1:50">
      <c r="A8421" s="1">
        <f>HYPERLINK("https://lsnyc.legalserver.org/matter/dynamic-profile/view/1900911","19-1900911")</f>
        <v>0</v>
      </c>
      <c r="B8421" t="s">
        <v>172</v>
      </c>
      <c r="C8421" t="s">
        <v>340</v>
      </c>
      <c r="D8421" t="s">
        <v>809</v>
      </c>
      <c r="F8421" t="s">
        <v>4263</v>
      </c>
      <c r="G8421" t="s">
        <v>8680</v>
      </c>
      <c r="H8421" t="s">
        <v>15381</v>
      </c>
      <c r="I8421" t="s">
        <v>17309</v>
      </c>
      <c r="J8421" t="s">
        <v>18894</v>
      </c>
      <c r="K8421">
        <v>11226</v>
      </c>
      <c r="L8421" t="s">
        <v>18958</v>
      </c>
      <c r="M8421" t="s">
        <v>18960</v>
      </c>
      <c r="N8421" t="s">
        <v>25027</v>
      </c>
      <c r="O8421" t="s">
        <v>26523</v>
      </c>
      <c r="P8421" t="s">
        <v>26563</v>
      </c>
      <c r="R8421" t="s">
        <v>26588</v>
      </c>
      <c r="U8421" t="s">
        <v>26604</v>
      </c>
      <c r="W8421" t="s">
        <v>26642</v>
      </c>
      <c r="X8421">
        <v>1890</v>
      </c>
      <c r="Y8421" t="s">
        <v>26652</v>
      </c>
      <c r="Z8421" t="s">
        <v>26664</v>
      </c>
      <c r="AB8421" t="s">
        <v>27403</v>
      </c>
      <c r="AD8421" t="s">
        <v>43390</v>
      </c>
      <c r="AE8421">
        <v>49</v>
      </c>
      <c r="AG8421" t="s">
        <v>19330</v>
      </c>
      <c r="AH8421">
        <v>10</v>
      </c>
      <c r="AI8421">
        <v>5</v>
      </c>
      <c r="AJ8421">
        <v>1</v>
      </c>
      <c r="AK8421">
        <v>159.01</v>
      </c>
      <c r="AN8421" t="s">
        <v>7439</v>
      </c>
      <c r="AO8421">
        <v>55000</v>
      </c>
      <c r="AU8421">
        <v>3.2</v>
      </c>
      <c r="AV8421" t="s">
        <v>821</v>
      </c>
      <c r="AW8421" t="s">
        <v>46862</v>
      </c>
      <c r="AX8421" t="s">
        <v>46897</v>
      </c>
    </row>
    <row r="8422" spans="1:50">
      <c r="A8422" s="1">
        <f>HYPERLINK("https://lsnyc.legalserver.org/matter/dynamic-profile/view/1900976","19-1900976")</f>
        <v>0</v>
      </c>
      <c r="B8422" t="s">
        <v>230</v>
      </c>
      <c r="C8422" t="s">
        <v>340</v>
      </c>
      <c r="D8422" t="s">
        <v>825</v>
      </c>
      <c r="F8422" t="s">
        <v>1010</v>
      </c>
      <c r="G8422" t="s">
        <v>6807</v>
      </c>
      <c r="H8422" t="s">
        <v>15382</v>
      </c>
      <c r="I8422">
        <v>502</v>
      </c>
      <c r="J8422" t="s">
        <v>18894</v>
      </c>
      <c r="K8422">
        <v>11226</v>
      </c>
      <c r="L8422" t="s">
        <v>18958</v>
      </c>
      <c r="M8422" t="s">
        <v>18960</v>
      </c>
      <c r="N8422" t="s">
        <v>25028</v>
      </c>
      <c r="O8422" t="s">
        <v>26523</v>
      </c>
      <c r="P8422" t="s">
        <v>26563</v>
      </c>
      <c r="R8422" t="s">
        <v>26588</v>
      </c>
      <c r="U8422" t="s">
        <v>26604</v>
      </c>
      <c r="W8422" t="s">
        <v>26642</v>
      </c>
      <c r="X8422">
        <v>900.84</v>
      </c>
      <c r="Y8422" t="s">
        <v>26652</v>
      </c>
      <c r="Z8422" t="s">
        <v>26664</v>
      </c>
      <c r="AB8422" t="s">
        <v>32836</v>
      </c>
      <c r="AD8422" t="s">
        <v>43391</v>
      </c>
      <c r="AE8422">
        <v>54</v>
      </c>
      <c r="AF8422" t="s">
        <v>45541</v>
      </c>
      <c r="AG8422" t="s">
        <v>45559</v>
      </c>
      <c r="AH8422">
        <v>14</v>
      </c>
      <c r="AI8422">
        <v>1</v>
      </c>
      <c r="AJ8422">
        <v>0</v>
      </c>
      <c r="AK8422">
        <v>145.72</v>
      </c>
      <c r="AN8422" t="s">
        <v>7439</v>
      </c>
      <c r="AO8422">
        <v>18200</v>
      </c>
      <c r="AU8422">
        <v>6.1</v>
      </c>
      <c r="AV8422" t="s">
        <v>833</v>
      </c>
      <c r="AW8422" t="s">
        <v>46862</v>
      </c>
      <c r="AX8422" t="s">
        <v>46897</v>
      </c>
    </row>
    <row r="8423" spans="1:50">
      <c r="A8423" s="1">
        <f>HYPERLINK("https://lsnyc.legalserver.org/matter/dynamic-profile/view/1900970","19-1900970")</f>
        <v>0</v>
      </c>
      <c r="B8423" t="s">
        <v>180</v>
      </c>
      <c r="C8423" t="s">
        <v>340</v>
      </c>
      <c r="D8423" t="s">
        <v>825</v>
      </c>
      <c r="F8423" t="s">
        <v>1121</v>
      </c>
      <c r="G8423" t="s">
        <v>8681</v>
      </c>
      <c r="H8423" t="s">
        <v>15383</v>
      </c>
      <c r="I8423" t="s">
        <v>18003</v>
      </c>
      <c r="J8423" t="s">
        <v>18894</v>
      </c>
      <c r="K8423">
        <v>11226</v>
      </c>
      <c r="L8423" t="s">
        <v>18958</v>
      </c>
      <c r="M8423" t="s">
        <v>18960</v>
      </c>
      <c r="N8423" t="s">
        <v>25029</v>
      </c>
      <c r="O8423" t="s">
        <v>26523</v>
      </c>
      <c r="P8423" t="s">
        <v>26560</v>
      </c>
      <c r="R8423" t="s">
        <v>26588</v>
      </c>
      <c r="U8423" t="s">
        <v>26604</v>
      </c>
      <c r="W8423" t="s">
        <v>26642</v>
      </c>
      <c r="X8423">
        <v>1161.49</v>
      </c>
      <c r="Y8423" t="s">
        <v>26652</v>
      </c>
      <c r="Z8423" t="s">
        <v>26664</v>
      </c>
      <c r="AB8423" t="s">
        <v>32837</v>
      </c>
      <c r="AD8423" t="s">
        <v>38658</v>
      </c>
      <c r="AE8423">
        <v>0</v>
      </c>
      <c r="AG8423" t="s">
        <v>19330</v>
      </c>
      <c r="AH8423">
        <v>18</v>
      </c>
      <c r="AI8423">
        <v>1</v>
      </c>
      <c r="AJ8423">
        <v>0</v>
      </c>
      <c r="AK8423">
        <v>108.04</v>
      </c>
      <c r="AN8423" t="s">
        <v>7439</v>
      </c>
      <c r="AO8423">
        <v>13494</v>
      </c>
      <c r="AU8423">
        <v>8.25</v>
      </c>
      <c r="AV8423" t="s">
        <v>836</v>
      </c>
      <c r="AW8423" t="s">
        <v>46862</v>
      </c>
    </row>
    <row r="8424" spans="1:50">
      <c r="A8424" s="1">
        <f>HYPERLINK("https://lsnyc.legalserver.org/matter/dynamic-profile/view/1900948","19-1900948")</f>
        <v>0</v>
      </c>
      <c r="B8424" t="s">
        <v>101</v>
      </c>
      <c r="C8424" t="s">
        <v>340</v>
      </c>
      <c r="D8424" t="s">
        <v>825</v>
      </c>
      <c r="F8424" t="s">
        <v>1730</v>
      </c>
      <c r="G8424" t="s">
        <v>8682</v>
      </c>
      <c r="H8424" t="s">
        <v>13069</v>
      </c>
      <c r="I8424" t="s">
        <v>17315</v>
      </c>
      <c r="J8424" t="s">
        <v>18894</v>
      </c>
      <c r="K8424">
        <v>11225</v>
      </c>
      <c r="L8424" t="s">
        <v>18958</v>
      </c>
      <c r="M8424" t="s">
        <v>18960</v>
      </c>
      <c r="N8424" t="s">
        <v>25030</v>
      </c>
      <c r="O8424" t="s">
        <v>26523</v>
      </c>
      <c r="P8424" t="s">
        <v>26560</v>
      </c>
      <c r="R8424" t="s">
        <v>26588</v>
      </c>
      <c r="U8424" t="s">
        <v>26604</v>
      </c>
      <c r="W8424" t="s">
        <v>26642</v>
      </c>
      <c r="X8424">
        <v>1115.68</v>
      </c>
      <c r="Y8424" t="s">
        <v>26652</v>
      </c>
      <c r="Z8424" t="s">
        <v>26669</v>
      </c>
      <c r="AB8424" t="s">
        <v>32838</v>
      </c>
      <c r="AD8424" t="s">
        <v>43392</v>
      </c>
      <c r="AE8424">
        <v>0</v>
      </c>
      <c r="AH8424">
        <v>21</v>
      </c>
      <c r="AI8424">
        <v>1</v>
      </c>
      <c r="AJ8424">
        <v>1</v>
      </c>
      <c r="AK8424">
        <v>116.44</v>
      </c>
      <c r="AN8424" t="s">
        <v>7439</v>
      </c>
      <c r="AO8424">
        <v>19690</v>
      </c>
      <c r="AU8424">
        <v>0.65</v>
      </c>
      <c r="AV8424" t="s">
        <v>838</v>
      </c>
      <c r="AW8424" t="s">
        <v>281</v>
      </c>
      <c r="AX8424" t="s">
        <v>46897</v>
      </c>
    </row>
    <row r="8425" spans="1:50">
      <c r="A8425" s="1">
        <f>HYPERLINK("https://lsnyc.legalserver.org/matter/dynamic-profile/view/1900934","19-1900934")</f>
        <v>0</v>
      </c>
      <c r="B8425" t="s">
        <v>172</v>
      </c>
      <c r="C8425" t="s">
        <v>340</v>
      </c>
      <c r="D8425" t="s">
        <v>825</v>
      </c>
      <c r="F8425" t="s">
        <v>4264</v>
      </c>
      <c r="G8425" t="s">
        <v>3103</v>
      </c>
      <c r="H8425" t="s">
        <v>15384</v>
      </c>
      <c r="I8425" t="s">
        <v>17282</v>
      </c>
      <c r="J8425" t="s">
        <v>18894</v>
      </c>
      <c r="K8425">
        <v>11226</v>
      </c>
      <c r="L8425" t="s">
        <v>18958</v>
      </c>
      <c r="M8425" t="s">
        <v>18960</v>
      </c>
      <c r="N8425" t="s">
        <v>25031</v>
      </c>
      <c r="O8425" t="s">
        <v>26524</v>
      </c>
      <c r="P8425" t="s">
        <v>26560</v>
      </c>
      <c r="R8425" t="s">
        <v>26588</v>
      </c>
      <c r="U8425" t="s">
        <v>26604</v>
      </c>
      <c r="W8425" t="s">
        <v>26642</v>
      </c>
      <c r="X8425">
        <v>1632</v>
      </c>
      <c r="Y8425" t="s">
        <v>26652</v>
      </c>
      <c r="Z8425" t="s">
        <v>26668</v>
      </c>
      <c r="AB8425" t="s">
        <v>32839</v>
      </c>
      <c r="AD8425" t="s">
        <v>43393</v>
      </c>
      <c r="AE8425">
        <v>60</v>
      </c>
      <c r="AG8425" t="s">
        <v>26530</v>
      </c>
      <c r="AH8425">
        <v>10</v>
      </c>
      <c r="AI8425">
        <v>2</v>
      </c>
      <c r="AJ8425">
        <v>0</v>
      </c>
      <c r="AK8425">
        <v>53.22</v>
      </c>
      <c r="AN8425" t="s">
        <v>7439</v>
      </c>
      <c r="AO8425">
        <v>9000</v>
      </c>
      <c r="AU8425">
        <v>2.2</v>
      </c>
      <c r="AV8425" t="s">
        <v>830</v>
      </c>
      <c r="AW8425" t="s">
        <v>46862</v>
      </c>
      <c r="AX8425" t="s">
        <v>46897</v>
      </c>
    </row>
    <row r="8426" spans="1:50">
      <c r="A8426" s="1">
        <f>HYPERLINK("https://lsnyc.legalserver.org/matter/dynamic-profile/view/1900938","19-1900938")</f>
        <v>0</v>
      </c>
      <c r="B8426" t="s">
        <v>172</v>
      </c>
      <c r="C8426" t="s">
        <v>340</v>
      </c>
      <c r="D8426" t="s">
        <v>825</v>
      </c>
      <c r="F8426" t="s">
        <v>1062</v>
      </c>
      <c r="G8426" t="s">
        <v>6648</v>
      </c>
      <c r="H8426" t="s">
        <v>15385</v>
      </c>
      <c r="I8426" t="s">
        <v>17324</v>
      </c>
      <c r="J8426" t="s">
        <v>18894</v>
      </c>
      <c r="K8426">
        <v>11226</v>
      </c>
      <c r="L8426" t="s">
        <v>18958</v>
      </c>
      <c r="M8426" t="s">
        <v>18960</v>
      </c>
      <c r="N8426" t="s">
        <v>25032</v>
      </c>
      <c r="O8426" t="s">
        <v>26524</v>
      </c>
      <c r="P8426" t="s">
        <v>26563</v>
      </c>
      <c r="R8426" t="s">
        <v>26588</v>
      </c>
      <c r="U8426" t="s">
        <v>26604</v>
      </c>
      <c r="W8426" t="s">
        <v>26642</v>
      </c>
      <c r="X8426">
        <v>1600</v>
      </c>
      <c r="Y8426" t="s">
        <v>26652</v>
      </c>
      <c r="Z8426" t="s">
        <v>26664</v>
      </c>
      <c r="AB8426" t="s">
        <v>32840</v>
      </c>
      <c r="AD8426" t="s">
        <v>43394</v>
      </c>
      <c r="AE8426">
        <v>2</v>
      </c>
      <c r="AG8426" t="s">
        <v>19330</v>
      </c>
      <c r="AH8426">
        <v>1</v>
      </c>
      <c r="AI8426">
        <v>3</v>
      </c>
      <c r="AJ8426">
        <v>1</v>
      </c>
      <c r="AK8426">
        <v>190.29</v>
      </c>
      <c r="AN8426" t="s">
        <v>7439</v>
      </c>
      <c r="AO8426">
        <v>49000</v>
      </c>
      <c r="AU8426">
        <v>0.9</v>
      </c>
      <c r="AV8426" t="s">
        <v>825</v>
      </c>
      <c r="AW8426" t="s">
        <v>46862</v>
      </c>
      <c r="AX8426" t="s">
        <v>46897</v>
      </c>
    </row>
    <row r="8427" spans="1:50">
      <c r="A8427" s="1">
        <f>HYPERLINK("https://lsnyc.legalserver.org/matter/dynamic-profile/view/1901099","19-1901099")</f>
        <v>0</v>
      </c>
      <c r="B8427" t="s">
        <v>180</v>
      </c>
      <c r="C8427" t="s">
        <v>341</v>
      </c>
      <c r="D8427" t="s">
        <v>797</v>
      </c>
      <c r="E8427" t="s">
        <v>832</v>
      </c>
      <c r="F8427" t="s">
        <v>4265</v>
      </c>
      <c r="G8427" t="s">
        <v>8683</v>
      </c>
      <c r="H8427" t="s">
        <v>15386</v>
      </c>
      <c r="I8427" t="s">
        <v>17277</v>
      </c>
      <c r="J8427" t="s">
        <v>18894</v>
      </c>
      <c r="K8427">
        <v>11225</v>
      </c>
      <c r="L8427" t="s">
        <v>18958</v>
      </c>
      <c r="M8427" t="s">
        <v>18960</v>
      </c>
      <c r="N8427" t="s">
        <v>25033</v>
      </c>
      <c r="O8427" t="s">
        <v>26523</v>
      </c>
      <c r="P8427" t="s">
        <v>26560</v>
      </c>
      <c r="Q8427" t="s">
        <v>26568</v>
      </c>
      <c r="R8427" t="s">
        <v>26588</v>
      </c>
      <c r="S8427" t="s">
        <v>18959</v>
      </c>
      <c r="U8427" t="s">
        <v>26604</v>
      </c>
      <c r="W8427" t="s">
        <v>26642</v>
      </c>
      <c r="X8427">
        <v>178</v>
      </c>
      <c r="Y8427" t="s">
        <v>26652</v>
      </c>
      <c r="Z8427" t="s">
        <v>26669</v>
      </c>
      <c r="AA8427" t="s">
        <v>26678</v>
      </c>
      <c r="AB8427" t="s">
        <v>26872</v>
      </c>
      <c r="AD8427" t="s">
        <v>43395</v>
      </c>
      <c r="AE8427">
        <v>0</v>
      </c>
      <c r="AH8427">
        <v>4</v>
      </c>
      <c r="AI8427">
        <v>1</v>
      </c>
      <c r="AJ8427">
        <v>0</v>
      </c>
      <c r="AK8427">
        <v>74.23999999999999</v>
      </c>
      <c r="AN8427" t="s">
        <v>7439</v>
      </c>
      <c r="AO8427">
        <v>9273</v>
      </c>
      <c r="AS8427" t="s">
        <v>46499</v>
      </c>
      <c r="AU8427">
        <v>0.5</v>
      </c>
      <c r="AV8427" t="s">
        <v>832</v>
      </c>
      <c r="AW8427" t="s">
        <v>281</v>
      </c>
      <c r="AX8427" t="s">
        <v>46897</v>
      </c>
    </row>
    <row r="8428" spans="1:50">
      <c r="A8428" s="1">
        <f>HYPERLINK("https://lsnyc.legalserver.org/matter/dynamic-profile/view/1901116","19-1901116")</f>
        <v>0</v>
      </c>
      <c r="B8428" t="s">
        <v>288</v>
      </c>
      <c r="C8428" t="s">
        <v>340</v>
      </c>
      <c r="D8428" t="s">
        <v>797</v>
      </c>
      <c r="F8428" t="s">
        <v>4266</v>
      </c>
      <c r="G8428" t="s">
        <v>6300</v>
      </c>
      <c r="H8428" t="s">
        <v>15387</v>
      </c>
      <c r="I8428" t="s">
        <v>17306</v>
      </c>
      <c r="J8428" t="s">
        <v>18894</v>
      </c>
      <c r="K8428">
        <v>11216</v>
      </c>
      <c r="L8428" t="s">
        <v>18958</v>
      </c>
      <c r="M8428" t="s">
        <v>18960</v>
      </c>
      <c r="N8428" t="s">
        <v>25034</v>
      </c>
      <c r="O8428" t="s">
        <v>26523</v>
      </c>
      <c r="P8428" t="s">
        <v>26560</v>
      </c>
      <c r="R8428" t="s">
        <v>26588</v>
      </c>
      <c r="S8428" t="s">
        <v>18959</v>
      </c>
      <c r="U8428" t="s">
        <v>26604</v>
      </c>
      <c r="W8428" t="s">
        <v>26642</v>
      </c>
      <c r="X8428">
        <v>654</v>
      </c>
      <c r="Y8428" t="s">
        <v>26652</v>
      </c>
      <c r="Z8428" t="s">
        <v>26669</v>
      </c>
      <c r="AB8428" t="s">
        <v>29632</v>
      </c>
      <c r="AD8428" t="s">
        <v>43396</v>
      </c>
      <c r="AE8428">
        <v>0</v>
      </c>
      <c r="AH8428">
        <v>6</v>
      </c>
      <c r="AI8428">
        <v>1</v>
      </c>
      <c r="AJ8428">
        <v>0</v>
      </c>
      <c r="AK8428">
        <v>208.17</v>
      </c>
      <c r="AL8428" t="s">
        <v>835</v>
      </c>
      <c r="AM8428" t="s">
        <v>45575</v>
      </c>
      <c r="AN8428" t="s">
        <v>7439</v>
      </c>
      <c r="AO8428">
        <v>26000</v>
      </c>
      <c r="AU8428">
        <v>4.6</v>
      </c>
      <c r="AV8428" t="s">
        <v>832</v>
      </c>
      <c r="AW8428" t="s">
        <v>281</v>
      </c>
      <c r="AX8428" t="s">
        <v>46897</v>
      </c>
    </row>
    <row r="8429" spans="1:50">
      <c r="A8429" s="1">
        <f>HYPERLINK("https://lsnyc.legalserver.org/matter/dynamic-profile/view/1901184","19-1901184")</f>
        <v>0</v>
      </c>
      <c r="B8429" t="s">
        <v>202</v>
      </c>
      <c r="C8429" t="s">
        <v>340</v>
      </c>
      <c r="D8429" t="s">
        <v>827</v>
      </c>
      <c r="F8429" t="s">
        <v>3024</v>
      </c>
      <c r="G8429" t="s">
        <v>7282</v>
      </c>
      <c r="H8429" t="s">
        <v>15388</v>
      </c>
      <c r="I8429" t="s">
        <v>17658</v>
      </c>
      <c r="J8429" t="s">
        <v>18894</v>
      </c>
      <c r="K8429">
        <v>11222</v>
      </c>
      <c r="L8429" t="s">
        <v>18958</v>
      </c>
      <c r="M8429" t="s">
        <v>18960</v>
      </c>
      <c r="N8429" t="s">
        <v>25035</v>
      </c>
      <c r="O8429" t="s">
        <v>26523</v>
      </c>
      <c r="P8429" t="s">
        <v>26560</v>
      </c>
      <c r="R8429" t="s">
        <v>26586</v>
      </c>
      <c r="U8429" t="s">
        <v>26605</v>
      </c>
      <c r="W8429" t="s">
        <v>26642</v>
      </c>
      <c r="X8429">
        <v>0</v>
      </c>
      <c r="Y8429" t="s">
        <v>26652</v>
      </c>
      <c r="Z8429" t="s">
        <v>26664</v>
      </c>
      <c r="AB8429" t="s">
        <v>28155</v>
      </c>
      <c r="AD8429" t="s">
        <v>40483</v>
      </c>
      <c r="AE8429">
        <v>0</v>
      </c>
      <c r="AH8429">
        <v>0</v>
      </c>
      <c r="AI8429">
        <v>2</v>
      </c>
      <c r="AJ8429">
        <v>1</v>
      </c>
      <c r="AK8429">
        <v>146.16</v>
      </c>
      <c r="AN8429" t="s">
        <v>7439</v>
      </c>
      <c r="AO8429">
        <v>31176</v>
      </c>
      <c r="AU8429">
        <v>0.5</v>
      </c>
      <c r="AV8429" t="s">
        <v>836</v>
      </c>
      <c r="AW8429" t="s">
        <v>46853</v>
      </c>
      <c r="AX8429" t="s">
        <v>46897</v>
      </c>
    </row>
    <row r="8430" spans="1:50">
      <c r="A8430" s="1">
        <f>HYPERLINK("https://lsnyc.legalserver.org/matter/dynamic-profile/view/1901108","19-1901108")</f>
        <v>0</v>
      </c>
      <c r="B8430" t="s">
        <v>180</v>
      </c>
      <c r="C8430" t="s">
        <v>340</v>
      </c>
      <c r="D8430" t="s">
        <v>827</v>
      </c>
      <c r="F8430" t="s">
        <v>1450</v>
      </c>
      <c r="G8430" t="s">
        <v>6426</v>
      </c>
      <c r="H8430" t="s">
        <v>12478</v>
      </c>
      <c r="I8430" t="s">
        <v>17288</v>
      </c>
      <c r="J8430" t="s">
        <v>18894</v>
      </c>
      <c r="K8430">
        <v>11221</v>
      </c>
      <c r="L8430" t="s">
        <v>18958</v>
      </c>
      <c r="M8430" t="s">
        <v>18960</v>
      </c>
      <c r="N8430" t="s">
        <v>25036</v>
      </c>
      <c r="O8430" t="s">
        <v>26523</v>
      </c>
      <c r="P8430" t="s">
        <v>26560</v>
      </c>
      <c r="R8430" t="s">
        <v>26588</v>
      </c>
      <c r="S8430" t="s">
        <v>18959</v>
      </c>
      <c r="U8430" t="s">
        <v>26604</v>
      </c>
      <c r="W8430" t="s">
        <v>26642</v>
      </c>
      <c r="X8430">
        <v>1178</v>
      </c>
      <c r="Y8430" t="s">
        <v>26652</v>
      </c>
      <c r="Z8430" t="s">
        <v>26669</v>
      </c>
      <c r="AB8430" t="s">
        <v>32841</v>
      </c>
      <c r="AC8430" t="s">
        <v>36518</v>
      </c>
      <c r="AD8430" t="s">
        <v>43397</v>
      </c>
      <c r="AE8430">
        <v>104</v>
      </c>
      <c r="AF8430" t="s">
        <v>45541</v>
      </c>
      <c r="AG8430" t="s">
        <v>45557</v>
      </c>
      <c r="AH8430">
        <v>7</v>
      </c>
      <c r="AI8430">
        <v>2</v>
      </c>
      <c r="AJ8430">
        <v>5</v>
      </c>
      <c r="AK8430">
        <v>37.64</v>
      </c>
      <c r="AN8430" t="s">
        <v>7439</v>
      </c>
      <c r="AO8430">
        <v>14683.24</v>
      </c>
      <c r="AU8430">
        <v>6.7</v>
      </c>
      <c r="AV8430" t="s">
        <v>834</v>
      </c>
      <c r="AW8430" t="s">
        <v>281</v>
      </c>
      <c r="AX8430" t="s">
        <v>46897</v>
      </c>
    </row>
    <row r="8431" spans="1:50">
      <c r="A8431" s="1">
        <f>HYPERLINK("https://lsnyc.legalserver.org/matter/dynamic-profile/view/1901193","19-1901193")</f>
        <v>0</v>
      </c>
      <c r="B8431" t="s">
        <v>148</v>
      </c>
      <c r="C8431" t="s">
        <v>340</v>
      </c>
      <c r="D8431" t="s">
        <v>827</v>
      </c>
      <c r="F8431" t="s">
        <v>1178</v>
      </c>
      <c r="G8431" t="s">
        <v>8684</v>
      </c>
      <c r="H8431" t="s">
        <v>15389</v>
      </c>
      <c r="I8431" t="s">
        <v>18564</v>
      </c>
      <c r="J8431" t="s">
        <v>18894</v>
      </c>
      <c r="K8431">
        <v>11233</v>
      </c>
      <c r="L8431" t="s">
        <v>18958</v>
      </c>
      <c r="M8431" t="s">
        <v>18960</v>
      </c>
      <c r="N8431" t="s">
        <v>25037</v>
      </c>
      <c r="O8431" t="s">
        <v>26524</v>
      </c>
      <c r="P8431" t="s">
        <v>26564</v>
      </c>
      <c r="R8431" t="s">
        <v>26586</v>
      </c>
      <c r="U8431" t="s">
        <v>26604</v>
      </c>
      <c r="W8431" t="s">
        <v>26642</v>
      </c>
      <c r="X8431">
        <v>1500</v>
      </c>
      <c r="Y8431" t="s">
        <v>26652</v>
      </c>
      <c r="Z8431" t="s">
        <v>26664</v>
      </c>
      <c r="AB8431" t="s">
        <v>26714</v>
      </c>
      <c r="AD8431" t="s">
        <v>43398</v>
      </c>
      <c r="AE8431">
        <v>3</v>
      </c>
      <c r="AG8431" t="s">
        <v>45556</v>
      </c>
      <c r="AH8431">
        <v>19</v>
      </c>
      <c r="AI8431">
        <v>2</v>
      </c>
      <c r="AJ8431">
        <v>0</v>
      </c>
      <c r="AK8431">
        <v>35.48</v>
      </c>
      <c r="AN8431" t="s">
        <v>7439</v>
      </c>
      <c r="AO8431">
        <v>6000</v>
      </c>
      <c r="AU8431">
        <v>0</v>
      </c>
      <c r="AW8431" t="s">
        <v>46853</v>
      </c>
      <c r="AX8431" t="s">
        <v>46897</v>
      </c>
    </row>
    <row r="8432" spans="1:50">
      <c r="A8432" s="1">
        <f>HYPERLINK("https://lsnyc.legalserver.org/matter/dynamic-profile/view/1901219","19-1901219")</f>
        <v>0</v>
      </c>
      <c r="B8432" t="s">
        <v>158</v>
      </c>
      <c r="C8432" t="s">
        <v>340</v>
      </c>
      <c r="D8432" t="s">
        <v>827</v>
      </c>
      <c r="F8432" t="s">
        <v>1768</v>
      </c>
      <c r="G8432" t="s">
        <v>5575</v>
      </c>
      <c r="H8432" t="s">
        <v>10828</v>
      </c>
      <c r="I8432" t="s">
        <v>17468</v>
      </c>
      <c r="J8432" t="s">
        <v>18894</v>
      </c>
      <c r="K8432">
        <v>11225</v>
      </c>
      <c r="L8432" t="s">
        <v>18958</v>
      </c>
      <c r="M8432" t="s">
        <v>18960</v>
      </c>
      <c r="N8432" t="s">
        <v>25038</v>
      </c>
      <c r="O8432" t="s">
        <v>26523</v>
      </c>
      <c r="P8432" t="s">
        <v>26560</v>
      </c>
      <c r="R8432" t="s">
        <v>26588</v>
      </c>
      <c r="S8432" t="s">
        <v>18959</v>
      </c>
      <c r="U8432" t="s">
        <v>26604</v>
      </c>
      <c r="W8432" t="s">
        <v>26642</v>
      </c>
      <c r="X8432">
        <v>1202.99</v>
      </c>
      <c r="Y8432" t="s">
        <v>26652</v>
      </c>
      <c r="Z8432" t="s">
        <v>26669</v>
      </c>
      <c r="AB8432" t="s">
        <v>32842</v>
      </c>
      <c r="AD8432" t="s">
        <v>43399</v>
      </c>
      <c r="AE8432">
        <v>0</v>
      </c>
      <c r="AF8432" t="s">
        <v>45541</v>
      </c>
      <c r="AH8432">
        <v>8</v>
      </c>
      <c r="AI8432">
        <v>1</v>
      </c>
      <c r="AJ8432">
        <v>1</v>
      </c>
      <c r="AK8432">
        <v>289.98</v>
      </c>
      <c r="AN8432" t="s">
        <v>7439</v>
      </c>
      <c r="AO8432">
        <v>49036</v>
      </c>
      <c r="AU8432">
        <v>3.6</v>
      </c>
      <c r="AV8432" t="s">
        <v>814</v>
      </c>
      <c r="AW8432" t="s">
        <v>281</v>
      </c>
      <c r="AX8432" t="s">
        <v>46897</v>
      </c>
    </row>
    <row r="8433" spans="1:50">
      <c r="A8433" s="1">
        <f>HYPERLINK("https://lsnyc.legalserver.org/matter/dynamic-profile/view/1901190","19-1901190")</f>
        <v>0</v>
      </c>
      <c r="B8433" t="s">
        <v>129</v>
      </c>
      <c r="C8433" t="s">
        <v>340</v>
      </c>
      <c r="D8433" t="s">
        <v>827</v>
      </c>
      <c r="F8433" t="s">
        <v>928</v>
      </c>
      <c r="G8433" t="s">
        <v>4309</v>
      </c>
      <c r="H8433" t="s">
        <v>15390</v>
      </c>
      <c r="I8433" t="s">
        <v>17307</v>
      </c>
      <c r="J8433" t="s">
        <v>18894</v>
      </c>
      <c r="K8433">
        <v>11216</v>
      </c>
      <c r="L8433" t="s">
        <v>18958</v>
      </c>
      <c r="M8433" t="s">
        <v>18960</v>
      </c>
      <c r="N8433" t="s">
        <v>25039</v>
      </c>
      <c r="O8433" t="s">
        <v>26523</v>
      </c>
      <c r="P8433" t="s">
        <v>26563</v>
      </c>
      <c r="R8433" t="s">
        <v>26588</v>
      </c>
      <c r="U8433" t="s">
        <v>26604</v>
      </c>
      <c r="W8433" t="s">
        <v>26642</v>
      </c>
      <c r="X8433">
        <v>159</v>
      </c>
      <c r="Y8433" t="s">
        <v>26652</v>
      </c>
      <c r="Z8433" t="s">
        <v>26669</v>
      </c>
      <c r="AB8433" t="s">
        <v>28311</v>
      </c>
      <c r="AD8433" t="s">
        <v>43400</v>
      </c>
      <c r="AE8433">
        <v>60</v>
      </c>
      <c r="AG8433" t="s">
        <v>45556</v>
      </c>
      <c r="AH8433">
        <v>16</v>
      </c>
      <c r="AI8433">
        <v>2</v>
      </c>
      <c r="AJ8433">
        <v>0</v>
      </c>
      <c r="AK8433">
        <v>49.6</v>
      </c>
      <c r="AN8433" t="s">
        <v>7439</v>
      </c>
      <c r="AO8433">
        <v>8388</v>
      </c>
      <c r="AU8433">
        <v>2.15</v>
      </c>
      <c r="AV8433" t="s">
        <v>830</v>
      </c>
      <c r="AW8433" t="s">
        <v>46862</v>
      </c>
      <c r="AX8433" t="s">
        <v>46897</v>
      </c>
    </row>
    <row r="8434" spans="1:50">
      <c r="A8434" s="1">
        <f>HYPERLINK("https://lsnyc.legalserver.org/matter/dynamic-profile/view/1901577","19-1901577")</f>
        <v>0</v>
      </c>
      <c r="B8434" t="s">
        <v>202</v>
      </c>
      <c r="C8434" t="s">
        <v>340</v>
      </c>
      <c r="D8434" t="s">
        <v>828</v>
      </c>
      <c r="F8434" t="s">
        <v>4267</v>
      </c>
      <c r="G8434" t="s">
        <v>3369</v>
      </c>
      <c r="H8434" t="s">
        <v>15391</v>
      </c>
      <c r="I8434">
        <v>11</v>
      </c>
      <c r="J8434" t="s">
        <v>18894</v>
      </c>
      <c r="K8434">
        <v>11225</v>
      </c>
      <c r="L8434" t="s">
        <v>18958</v>
      </c>
      <c r="M8434" t="s">
        <v>18960</v>
      </c>
      <c r="O8434" t="s">
        <v>18997</v>
      </c>
      <c r="P8434" t="s">
        <v>26560</v>
      </c>
      <c r="R8434" t="s">
        <v>26586</v>
      </c>
      <c r="U8434" t="s">
        <v>26604</v>
      </c>
      <c r="W8434" t="s">
        <v>26642</v>
      </c>
      <c r="X8434">
        <v>713.16</v>
      </c>
      <c r="Y8434" t="s">
        <v>26652</v>
      </c>
      <c r="AB8434" t="s">
        <v>31488</v>
      </c>
      <c r="AD8434" t="s">
        <v>43401</v>
      </c>
      <c r="AE8434">
        <v>16</v>
      </c>
      <c r="AF8434" t="s">
        <v>45541</v>
      </c>
      <c r="AH8434">
        <v>40</v>
      </c>
      <c r="AI8434">
        <v>3</v>
      </c>
      <c r="AJ8434">
        <v>0</v>
      </c>
      <c r="AK8434">
        <v>20.59</v>
      </c>
      <c r="AN8434" t="s">
        <v>7439</v>
      </c>
      <c r="AO8434">
        <v>4392</v>
      </c>
      <c r="AU8434">
        <v>6.9</v>
      </c>
      <c r="AV8434" t="s">
        <v>836</v>
      </c>
      <c r="AW8434" t="s">
        <v>46856</v>
      </c>
      <c r="AX8434" t="s">
        <v>46897</v>
      </c>
    </row>
    <row r="8435" spans="1:50">
      <c r="A8435" s="1">
        <f>HYPERLINK("https://lsnyc.legalserver.org/matter/dynamic-profile/view/1901632","19-1901632")</f>
        <v>0</v>
      </c>
      <c r="B8435" t="s">
        <v>129</v>
      </c>
      <c r="C8435" t="s">
        <v>340</v>
      </c>
      <c r="D8435" t="s">
        <v>828</v>
      </c>
      <c r="F8435" t="s">
        <v>2077</v>
      </c>
      <c r="G8435" t="s">
        <v>8685</v>
      </c>
      <c r="H8435" t="s">
        <v>15392</v>
      </c>
      <c r="J8435" t="s">
        <v>18894</v>
      </c>
      <c r="K8435">
        <v>11216</v>
      </c>
      <c r="L8435" t="s">
        <v>18958</v>
      </c>
      <c r="M8435" t="s">
        <v>18960</v>
      </c>
      <c r="P8435" t="s">
        <v>26564</v>
      </c>
      <c r="R8435" t="s">
        <v>26588</v>
      </c>
      <c r="U8435" t="s">
        <v>26604</v>
      </c>
      <c r="W8435" t="s">
        <v>26642</v>
      </c>
      <c r="X8435">
        <v>0</v>
      </c>
      <c r="Y8435" t="s">
        <v>26652</v>
      </c>
      <c r="AB8435" t="s">
        <v>26936</v>
      </c>
      <c r="AE8435">
        <v>0</v>
      </c>
      <c r="AH8435">
        <v>0</v>
      </c>
      <c r="AI8435">
        <v>4</v>
      </c>
      <c r="AJ8435">
        <v>0</v>
      </c>
      <c r="AK8435">
        <v>100.97</v>
      </c>
      <c r="AO8435">
        <v>26000</v>
      </c>
      <c r="AU8435">
        <v>0.8</v>
      </c>
      <c r="AV8435" t="s">
        <v>828</v>
      </c>
      <c r="AW8435" t="s">
        <v>46862</v>
      </c>
      <c r="AX8435" t="s">
        <v>46897</v>
      </c>
    </row>
    <row r="8436" spans="1:50">
      <c r="A8436" s="1">
        <f>HYPERLINK("https://lsnyc.legalserver.org/matter/dynamic-profile/view/1901816","19-1901816")</f>
        <v>0</v>
      </c>
      <c r="B8436" t="s">
        <v>158</v>
      </c>
      <c r="C8436" t="s">
        <v>340</v>
      </c>
      <c r="D8436" t="s">
        <v>814</v>
      </c>
      <c r="F8436" t="s">
        <v>2735</v>
      </c>
      <c r="G8436" t="s">
        <v>8686</v>
      </c>
      <c r="H8436" t="s">
        <v>15393</v>
      </c>
      <c r="I8436" t="s">
        <v>18565</v>
      </c>
      <c r="J8436" t="s">
        <v>18894</v>
      </c>
      <c r="K8436">
        <v>11224</v>
      </c>
      <c r="L8436" t="s">
        <v>18958</v>
      </c>
      <c r="M8436" t="s">
        <v>18960</v>
      </c>
      <c r="N8436" t="s">
        <v>25040</v>
      </c>
      <c r="O8436" t="s">
        <v>26523</v>
      </c>
      <c r="P8436" t="s">
        <v>26563</v>
      </c>
      <c r="R8436" t="s">
        <v>26586</v>
      </c>
      <c r="U8436" t="s">
        <v>26604</v>
      </c>
      <c r="V8436" t="s">
        <v>26614</v>
      </c>
      <c r="W8436" t="s">
        <v>26642</v>
      </c>
      <c r="X8436">
        <v>895.38</v>
      </c>
      <c r="Y8436" t="s">
        <v>26652</v>
      </c>
      <c r="Z8436" t="s">
        <v>26664</v>
      </c>
      <c r="AB8436" t="s">
        <v>30955</v>
      </c>
      <c r="AD8436" t="s">
        <v>43402</v>
      </c>
      <c r="AE8436">
        <v>184</v>
      </c>
      <c r="AF8436" t="s">
        <v>45553</v>
      </c>
      <c r="AH8436">
        <v>20</v>
      </c>
      <c r="AI8436">
        <v>1</v>
      </c>
      <c r="AJ8436">
        <v>0</v>
      </c>
      <c r="AK8436">
        <v>121.46</v>
      </c>
      <c r="AN8436" t="s">
        <v>7439</v>
      </c>
      <c r="AO8436">
        <v>15170.28</v>
      </c>
      <c r="AU8436">
        <v>3.2</v>
      </c>
      <c r="AV8436" t="s">
        <v>829</v>
      </c>
      <c r="AW8436" t="s">
        <v>46853</v>
      </c>
      <c r="AX8436" t="s">
        <v>46897</v>
      </c>
    </row>
    <row r="8437" spans="1:50">
      <c r="A8437" s="1">
        <f>HYPERLINK("https://lsnyc.legalserver.org/matter/dynamic-profile/view/1901884","19-1901884")</f>
        <v>0</v>
      </c>
      <c r="B8437" t="s">
        <v>242</v>
      </c>
      <c r="C8437" t="s">
        <v>340</v>
      </c>
      <c r="D8437" t="s">
        <v>829</v>
      </c>
      <c r="F8437" t="s">
        <v>2850</v>
      </c>
      <c r="G8437" t="s">
        <v>3599</v>
      </c>
      <c r="H8437" t="s">
        <v>15394</v>
      </c>
      <c r="I8437">
        <v>342</v>
      </c>
      <c r="J8437" t="s">
        <v>18894</v>
      </c>
      <c r="K8437">
        <v>11224</v>
      </c>
      <c r="L8437" t="s">
        <v>18958</v>
      </c>
      <c r="M8437" t="s">
        <v>18960</v>
      </c>
      <c r="N8437" t="s">
        <v>25041</v>
      </c>
      <c r="O8437" t="s">
        <v>26524</v>
      </c>
      <c r="P8437" t="s">
        <v>26563</v>
      </c>
      <c r="R8437" t="s">
        <v>26586</v>
      </c>
      <c r="U8437" t="s">
        <v>26604</v>
      </c>
      <c r="W8437" t="s">
        <v>26642</v>
      </c>
      <c r="X8437">
        <v>525</v>
      </c>
      <c r="Y8437" t="s">
        <v>26652</v>
      </c>
      <c r="Z8437" t="s">
        <v>26664</v>
      </c>
      <c r="AB8437" t="s">
        <v>32843</v>
      </c>
      <c r="AD8437" t="s">
        <v>43403</v>
      </c>
      <c r="AE8437">
        <v>134</v>
      </c>
      <c r="AH8437">
        <v>0</v>
      </c>
      <c r="AI8437">
        <v>2</v>
      </c>
      <c r="AJ8437">
        <v>0</v>
      </c>
      <c r="AK8437">
        <v>54.71</v>
      </c>
      <c r="AN8437" t="s">
        <v>7439</v>
      </c>
      <c r="AO8437">
        <v>9252</v>
      </c>
      <c r="AU8437">
        <v>6.2</v>
      </c>
      <c r="AV8437" t="s">
        <v>838</v>
      </c>
      <c r="AW8437" t="s">
        <v>46862</v>
      </c>
      <c r="AX8437" t="s">
        <v>46897</v>
      </c>
    </row>
    <row r="8438" spans="1:50">
      <c r="A8438" s="1">
        <f>HYPERLINK("https://lsnyc.legalserver.org/matter/dynamic-profile/view/1901859","19-1901859")</f>
        <v>0</v>
      </c>
      <c r="B8438" t="s">
        <v>167</v>
      </c>
      <c r="C8438" t="s">
        <v>340</v>
      </c>
      <c r="D8438" t="s">
        <v>829</v>
      </c>
      <c r="F8438" t="s">
        <v>1116</v>
      </c>
      <c r="G8438" t="s">
        <v>7852</v>
      </c>
      <c r="H8438" t="s">
        <v>11950</v>
      </c>
      <c r="I8438" t="s">
        <v>17272</v>
      </c>
      <c r="J8438" t="s">
        <v>18894</v>
      </c>
      <c r="K8438">
        <v>11206</v>
      </c>
      <c r="L8438" t="s">
        <v>18958</v>
      </c>
      <c r="M8438" t="s">
        <v>18960</v>
      </c>
      <c r="N8438" t="s">
        <v>25042</v>
      </c>
      <c r="O8438" t="s">
        <v>26523</v>
      </c>
      <c r="P8438" t="s">
        <v>26563</v>
      </c>
      <c r="R8438" t="s">
        <v>26586</v>
      </c>
      <c r="U8438" t="s">
        <v>26604</v>
      </c>
      <c r="W8438" t="s">
        <v>26642</v>
      </c>
      <c r="X8438">
        <v>781</v>
      </c>
      <c r="Y8438" t="s">
        <v>26652</v>
      </c>
      <c r="Z8438" t="s">
        <v>26664</v>
      </c>
      <c r="AB8438" t="s">
        <v>32844</v>
      </c>
      <c r="AD8438" t="s">
        <v>43404</v>
      </c>
      <c r="AE8438">
        <v>33</v>
      </c>
      <c r="AH8438">
        <v>0</v>
      </c>
      <c r="AI8438">
        <v>1</v>
      </c>
      <c r="AJ8438">
        <v>1</v>
      </c>
      <c r="AK8438">
        <v>77.84999999999999</v>
      </c>
      <c r="AN8438" t="s">
        <v>7439</v>
      </c>
      <c r="AO8438">
        <v>13164</v>
      </c>
      <c r="AU8438">
        <v>1.5</v>
      </c>
      <c r="AV8438" t="s">
        <v>772</v>
      </c>
      <c r="AW8438" t="s">
        <v>46862</v>
      </c>
      <c r="AX8438" t="s">
        <v>46897</v>
      </c>
    </row>
    <row r="8439" spans="1:50">
      <c r="A8439" s="1">
        <f>HYPERLINK("https://lsnyc.legalserver.org/matter/dynamic-profile/view/1901892","19-1901892")</f>
        <v>0</v>
      </c>
      <c r="B8439" t="s">
        <v>167</v>
      </c>
      <c r="C8439" t="s">
        <v>340</v>
      </c>
      <c r="D8439" t="s">
        <v>829</v>
      </c>
      <c r="F8439" t="s">
        <v>1283</v>
      </c>
      <c r="G8439" t="s">
        <v>7024</v>
      </c>
      <c r="H8439" t="s">
        <v>15395</v>
      </c>
      <c r="I8439" t="s">
        <v>17355</v>
      </c>
      <c r="J8439" t="s">
        <v>18894</v>
      </c>
      <c r="K8439">
        <v>11226</v>
      </c>
      <c r="L8439" t="s">
        <v>18958</v>
      </c>
      <c r="M8439" t="s">
        <v>18960</v>
      </c>
      <c r="N8439" t="s">
        <v>25043</v>
      </c>
      <c r="O8439" t="s">
        <v>26523</v>
      </c>
      <c r="P8439" t="s">
        <v>26560</v>
      </c>
      <c r="R8439" t="s">
        <v>26588</v>
      </c>
      <c r="U8439" t="s">
        <v>26604</v>
      </c>
      <c r="W8439" t="s">
        <v>26642</v>
      </c>
      <c r="X8439">
        <v>0</v>
      </c>
      <c r="Y8439" t="s">
        <v>26652</v>
      </c>
      <c r="Z8439" t="s">
        <v>26664</v>
      </c>
      <c r="AB8439" t="s">
        <v>32845</v>
      </c>
      <c r="AD8439" t="s">
        <v>43405</v>
      </c>
      <c r="AE8439">
        <v>46</v>
      </c>
      <c r="AH8439">
        <v>6</v>
      </c>
      <c r="AI8439">
        <v>1</v>
      </c>
      <c r="AJ8439">
        <v>0</v>
      </c>
      <c r="AK8439">
        <v>82.43000000000001</v>
      </c>
      <c r="AN8439" t="s">
        <v>7439</v>
      </c>
      <c r="AO8439">
        <v>10296</v>
      </c>
      <c r="AU8439">
        <v>5</v>
      </c>
      <c r="AV8439" t="s">
        <v>836</v>
      </c>
      <c r="AW8439" t="s">
        <v>46862</v>
      </c>
      <c r="AX8439" t="s">
        <v>46897</v>
      </c>
    </row>
    <row r="8440" spans="1:50">
      <c r="A8440" s="1">
        <f>HYPERLINK("https://lsnyc.legalserver.org/matter/dynamic-profile/view/1901855","19-1901855")</f>
        <v>0</v>
      </c>
      <c r="B8440" t="s">
        <v>167</v>
      </c>
      <c r="C8440" t="s">
        <v>340</v>
      </c>
      <c r="D8440" t="s">
        <v>829</v>
      </c>
      <c r="F8440" t="s">
        <v>1778</v>
      </c>
      <c r="G8440" t="s">
        <v>8687</v>
      </c>
      <c r="H8440" t="s">
        <v>14936</v>
      </c>
      <c r="I8440" t="s">
        <v>17976</v>
      </c>
      <c r="J8440" t="s">
        <v>18894</v>
      </c>
      <c r="K8440">
        <v>11225</v>
      </c>
      <c r="L8440" t="s">
        <v>18958</v>
      </c>
      <c r="M8440" t="s">
        <v>18960</v>
      </c>
      <c r="N8440" t="s">
        <v>25044</v>
      </c>
      <c r="O8440" t="s">
        <v>26523</v>
      </c>
      <c r="P8440" t="s">
        <v>26560</v>
      </c>
      <c r="R8440" t="s">
        <v>26588</v>
      </c>
      <c r="S8440" t="s">
        <v>18959</v>
      </c>
      <c r="U8440" t="s">
        <v>26604</v>
      </c>
      <c r="W8440" t="s">
        <v>26642</v>
      </c>
      <c r="X8440">
        <v>0</v>
      </c>
      <c r="Y8440" t="s">
        <v>26652</v>
      </c>
      <c r="Z8440" t="s">
        <v>26669</v>
      </c>
      <c r="AB8440" t="s">
        <v>32846</v>
      </c>
      <c r="AD8440" t="s">
        <v>43406</v>
      </c>
      <c r="AE8440">
        <v>0</v>
      </c>
      <c r="AH8440">
        <v>0</v>
      </c>
      <c r="AI8440">
        <v>2</v>
      </c>
      <c r="AJ8440">
        <v>0</v>
      </c>
      <c r="AK8440">
        <v>135.21</v>
      </c>
      <c r="AN8440" t="s">
        <v>7439</v>
      </c>
      <c r="AO8440">
        <v>22864</v>
      </c>
      <c r="AU8440">
        <v>0.1</v>
      </c>
      <c r="AV8440" t="s">
        <v>831</v>
      </c>
      <c r="AW8440" t="s">
        <v>281</v>
      </c>
      <c r="AX8440" t="s">
        <v>46897</v>
      </c>
    </row>
    <row r="8441" spans="1:50">
      <c r="A8441" s="1">
        <f>HYPERLINK("https://lsnyc.legalserver.org/matter/dynamic-profile/view/1901858","19-1901858")</f>
        <v>0</v>
      </c>
      <c r="B8441" t="s">
        <v>167</v>
      </c>
      <c r="C8441" t="s">
        <v>340</v>
      </c>
      <c r="D8441" t="s">
        <v>829</v>
      </c>
      <c r="F8441" t="s">
        <v>1111</v>
      </c>
      <c r="G8441" t="s">
        <v>8688</v>
      </c>
      <c r="H8441" t="s">
        <v>15396</v>
      </c>
      <c r="I8441" t="s">
        <v>18566</v>
      </c>
      <c r="J8441" t="s">
        <v>18894</v>
      </c>
      <c r="K8441">
        <v>11221</v>
      </c>
      <c r="L8441" t="s">
        <v>18958</v>
      </c>
      <c r="M8441" t="s">
        <v>18960</v>
      </c>
      <c r="N8441" t="s">
        <v>25045</v>
      </c>
      <c r="O8441" t="s">
        <v>26524</v>
      </c>
      <c r="P8441" t="s">
        <v>26560</v>
      </c>
      <c r="R8441" t="s">
        <v>26588</v>
      </c>
      <c r="S8441" t="s">
        <v>18959</v>
      </c>
      <c r="U8441" t="s">
        <v>26604</v>
      </c>
      <c r="W8441" t="s">
        <v>26642</v>
      </c>
      <c r="X8441">
        <v>900</v>
      </c>
      <c r="Y8441" t="s">
        <v>26652</v>
      </c>
      <c r="Z8441" t="s">
        <v>26669</v>
      </c>
      <c r="AB8441" t="s">
        <v>32847</v>
      </c>
      <c r="AD8441" t="s">
        <v>43407</v>
      </c>
      <c r="AE8441">
        <v>0</v>
      </c>
      <c r="AG8441" t="s">
        <v>19330</v>
      </c>
      <c r="AH8441">
        <v>1</v>
      </c>
      <c r="AI8441">
        <v>1</v>
      </c>
      <c r="AJ8441">
        <v>0</v>
      </c>
      <c r="AK8441">
        <v>192.15</v>
      </c>
      <c r="AN8441" t="s">
        <v>7439</v>
      </c>
      <c r="AO8441">
        <v>24000</v>
      </c>
      <c r="AU8441">
        <v>0</v>
      </c>
      <c r="AW8441" t="s">
        <v>281</v>
      </c>
      <c r="AX8441" t="s">
        <v>46897</v>
      </c>
    </row>
    <row r="8442" spans="1:50">
      <c r="A8442" s="1">
        <f>HYPERLINK("https://lsnyc.legalserver.org/matter/dynamic-profile/view/1901924","19-1901924")</f>
        <v>0</v>
      </c>
      <c r="B8442" t="s">
        <v>158</v>
      </c>
      <c r="C8442" t="s">
        <v>340</v>
      </c>
      <c r="D8442" t="s">
        <v>829</v>
      </c>
      <c r="F8442" t="s">
        <v>4268</v>
      </c>
      <c r="G8442" t="s">
        <v>5419</v>
      </c>
      <c r="H8442" t="s">
        <v>15397</v>
      </c>
      <c r="I8442" t="s">
        <v>17331</v>
      </c>
      <c r="J8442" t="s">
        <v>18894</v>
      </c>
      <c r="K8442">
        <v>11224</v>
      </c>
      <c r="L8442" t="s">
        <v>18958</v>
      </c>
      <c r="M8442" t="s">
        <v>18960</v>
      </c>
      <c r="N8442" t="s">
        <v>25046</v>
      </c>
      <c r="O8442" t="s">
        <v>26523</v>
      </c>
      <c r="P8442" t="s">
        <v>26560</v>
      </c>
      <c r="R8442" t="s">
        <v>26586</v>
      </c>
      <c r="U8442" t="s">
        <v>26604</v>
      </c>
      <c r="W8442" t="s">
        <v>26642</v>
      </c>
      <c r="X8442">
        <v>1515</v>
      </c>
      <c r="Y8442" t="s">
        <v>26652</v>
      </c>
      <c r="Z8442" t="s">
        <v>26664</v>
      </c>
      <c r="AB8442" t="s">
        <v>32848</v>
      </c>
      <c r="AD8442" t="s">
        <v>43408</v>
      </c>
      <c r="AE8442">
        <v>8</v>
      </c>
      <c r="AH8442">
        <v>0</v>
      </c>
      <c r="AI8442">
        <v>1</v>
      </c>
      <c r="AJ8442">
        <v>3</v>
      </c>
      <c r="AK8442">
        <v>0</v>
      </c>
      <c r="AN8442" t="s">
        <v>7439</v>
      </c>
      <c r="AO8442">
        <v>0</v>
      </c>
      <c r="AU8442">
        <v>1.6</v>
      </c>
      <c r="AV8442" t="s">
        <v>772</v>
      </c>
      <c r="AW8442" t="s">
        <v>46862</v>
      </c>
      <c r="AX8442" t="s">
        <v>46897</v>
      </c>
    </row>
    <row r="8443" spans="1:50">
      <c r="A8443" s="1">
        <f>HYPERLINK("https://lsnyc.legalserver.org/matter/dynamic-profile/view/1901898","19-1901898")</f>
        <v>0</v>
      </c>
      <c r="B8443" t="s">
        <v>232</v>
      </c>
      <c r="C8443" t="s">
        <v>340</v>
      </c>
      <c r="D8443" t="s">
        <v>829</v>
      </c>
      <c r="F8443" t="s">
        <v>969</v>
      </c>
      <c r="G8443" t="s">
        <v>1031</v>
      </c>
      <c r="H8443" t="s">
        <v>13069</v>
      </c>
      <c r="I8443" t="s">
        <v>17399</v>
      </c>
      <c r="J8443" t="s">
        <v>18894</v>
      </c>
      <c r="K8443">
        <v>11225</v>
      </c>
      <c r="L8443" t="s">
        <v>18958</v>
      </c>
      <c r="M8443" t="s">
        <v>18960</v>
      </c>
      <c r="N8443" t="s">
        <v>25047</v>
      </c>
      <c r="O8443" t="s">
        <v>26523</v>
      </c>
      <c r="P8443" t="s">
        <v>26563</v>
      </c>
      <c r="R8443" t="s">
        <v>26588</v>
      </c>
      <c r="U8443" t="s">
        <v>26604</v>
      </c>
      <c r="W8443" t="s">
        <v>26642</v>
      </c>
      <c r="X8443">
        <v>1307.87</v>
      </c>
      <c r="Y8443" t="s">
        <v>26652</v>
      </c>
      <c r="Z8443" t="s">
        <v>26669</v>
      </c>
      <c r="AB8443" t="s">
        <v>32849</v>
      </c>
      <c r="AD8443" t="s">
        <v>43409</v>
      </c>
      <c r="AE8443">
        <v>0</v>
      </c>
      <c r="AH8443">
        <v>17</v>
      </c>
      <c r="AI8443">
        <v>1</v>
      </c>
      <c r="AJ8443">
        <v>0</v>
      </c>
      <c r="AK8443">
        <v>66.77</v>
      </c>
      <c r="AN8443" t="s">
        <v>7439</v>
      </c>
      <c r="AO8443">
        <v>8340</v>
      </c>
      <c r="AU8443">
        <v>3.75</v>
      </c>
      <c r="AV8443" t="s">
        <v>836</v>
      </c>
      <c r="AW8443" t="s">
        <v>46853</v>
      </c>
      <c r="AX8443" t="s">
        <v>46897</v>
      </c>
    </row>
    <row r="8444" spans="1:50">
      <c r="A8444" s="1">
        <f>HYPERLINK("https://lsnyc.legalserver.org/matter/dynamic-profile/view/1901875","19-1901875")</f>
        <v>0</v>
      </c>
      <c r="B8444" t="s">
        <v>232</v>
      </c>
      <c r="C8444" t="s">
        <v>340</v>
      </c>
      <c r="D8444" t="s">
        <v>829</v>
      </c>
      <c r="F8444" t="s">
        <v>4269</v>
      </c>
      <c r="G8444" t="s">
        <v>6207</v>
      </c>
      <c r="H8444" t="s">
        <v>15398</v>
      </c>
      <c r="J8444" t="s">
        <v>18894</v>
      </c>
      <c r="K8444">
        <v>11225</v>
      </c>
      <c r="L8444" t="s">
        <v>18958</v>
      </c>
      <c r="M8444" t="s">
        <v>18960</v>
      </c>
      <c r="N8444" t="s">
        <v>25048</v>
      </c>
      <c r="O8444" t="s">
        <v>26523</v>
      </c>
      <c r="P8444" t="s">
        <v>26563</v>
      </c>
      <c r="R8444" t="s">
        <v>26588</v>
      </c>
      <c r="U8444" t="s">
        <v>26604</v>
      </c>
      <c r="W8444" t="s">
        <v>26642</v>
      </c>
      <c r="X8444">
        <v>0</v>
      </c>
      <c r="Y8444" t="s">
        <v>26652</v>
      </c>
      <c r="Z8444" t="s">
        <v>26669</v>
      </c>
      <c r="AB8444" t="s">
        <v>32850</v>
      </c>
      <c r="AD8444" t="s">
        <v>43410</v>
      </c>
      <c r="AE8444">
        <v>0</v>
      </c>
      <c r="AH8444">
        <v>0</v>
      </c>
      <c r="AI8444">
        <v>2</v>
      </c>
      <c r="AJ8444">
        <v>0</v>
      </c>
      <c r="AK8444">
        <v>217.72</v>
      </c>
      <c r="AN8444" t="s">
        <v>7439</v>
      </c>
      <c r="AO8444">
        <v>36816</v>
      </c>
      <c r="AU8444">
        <v>3.5</v>
      </c>
      <c r="AV8444" t="s">
        <v>836</v>
      </c>
      <c r="AW8444" t="s">
        <v>46853</v>
      </c>
      <c r="AX8444" t="s">
        <v>46897</v>
      </c>
    </row>
    <row r="8445" spans="1:50">
      <c r="A8445" s="1">
        <f>HYPERLINK("https://lsnyc.legalserver.org/matter/dynamic-profile/view/1901853","19-1901853")</f>
        <v>0</v>
      </c>
      <c r="B8445" t="s">
        <v>123</v>
      </c>
      <c r="C8445" t="s">
        <v>340</v>
      </c>
      <c r="D8445" t="s">
        <v>829</v>
      </c>
      <c r="F8445" t="s">
        <v>4270</v>
      </c>
      <c r="G8445" t="s">
        <v>8689</v>
      </c>
      <c r="H8445" t="s">
        <v>15399</v>
      </c>
      <c r="I8445" t="s">
        <v>17299</v>
      </c>
      <c r="J8445" t="s">
        <v>18894</v>
      </c>
      <c r="K8445">
        <v>11216</v>
      </c>
      <c r="L8445" t="s">
        <v>18958</v>
      </c>
      <c r="M8445" t="s">
        <v>18960</v>
      </c>
      <c r="N8445" t="s">
        <v>25049</v>
      </c>
      <c r="O8445" t="s">
        <v>26523</v>
      </c>
      <c r="P8445" t="s">
        <v>26560</v>
      </c>
      <c r="R8445" t="s">
        <v>26588</v>
      </c>
      <c r="S8445" t="s">
        <v>18959</v>
      </c>
      <c r="U8445" t="s">
        <v>26604</v>
      </c>
      <c r="W8445" t="s">
        <v>26642</v>
      </c>
      <c r="X8445">
        <v>1619</v>
      </c>
      <c r="Y8445" t="s">
        <v>26652</v>
      </c>
      <c r="Z8445" t="s">
        <v>26669</v>
      </c>
      <c r="AB8445" t="s">
        <v>32851</v>
      </c>
      <c r="AD8445" t="s">
        <v>43411</v>
      </c>
      <c r="AE8445">
        <v>0</v>
      </c>
      <c r="AG8445" t="s">
        <v>45558</v>
      </c>
      <c r="AH8445">
        <v>1</v>
      </c>
      <c r="AI8445">
        <v>2</v>
      </c>
      <c r="AJ8445">
        <v>4</v>
      </c>
      <c r="AK8445">
        <v>141.74</v>
      </c>
      <c r="AN8445" t="s">
        <v>7439</v>
      </c>
      <c r="AO8445">
        <v>49028</v>
      </c>
      <c r="AU8445">
        <v>0.55</v>
      </c>
      <c r="AV8445" t="s">
        <v>835</v>
      </c>
      <c r="AW8445" t="s">
        <v>281</v>
      </c>
      <c r="AX8445" t="s">
        <v>46897</v>
      </c>
    </row>
    <row r="8446" spans="1:50">
      <c r="A8446" s="1">
        <f>HYPERLINK("https://lsnyc.legalserver.org/matter/dynamic-profile/view/1901870","19-1901870")</f>
        <v>0</v>
      </c>
      <c r="B8446" t="s">
        <v>123</v>
      </c>
      <c r="C8446" t="s">
        <v>340</v>
      </c>
      <c r="D8446" t="s">
        <v>829</v>
      </c>
      <c r="F8446" t="s">
        <v>4271</v>
      </c>
      <c r="G8446" t="s">
        <v>8690</v>
      </c>
      <c r="H8446" t="s">
        <v>15400</v>
      </c>
      <c r="I8446">
        <v>2</v>
      </c>
      <c r="J8446" t="s">
        <v>18894</v>
      </c>
      <c r="K8446">
        <v>11221</v>
      </c>
      <c r="L8446" t="s">
        <v>18958</v>
      </c>
      <c r="M8446" t="s">
        <v>18960</v>
      </c>
      <c r="N8446" t="s">
        <v>25050</v>
      </c>
      <c r="O8446" t="s">
        <v>26524</v>
      </c>
      <c r="P8446" t="s">
        <v>26560</v>
      </c>
      <c r="R8446" t="s">
        <v>26588</v>
      </c>
      <c r="S8446" t="s">
        <v>18959</v>
      </c>
      <c r="U8446" t="s">
        <v>26604</v>
      </c>
      <c r="W8446" t="s">
        <v>26642</v>
      </c>
      <c r="X8446">
        <v>1519</v>
      </c>
      <c r="Y8446" t="s">
        <v>26652</v>
      </c>
      <c r="Z8446" t="s">
        <v>26669</v>
      </c>
      <c r="AB8446" t="s">
        <v>32852</v>
      </c>
      <c r="AD8446" t="s">
        <v>43412</v>
      </c>
      <c r="AE8446">
        <v>0</v>
      </c>
      <c r="AG8446" t="s">
        <v>45556</v>
      </c>
      <c r="AH8446">
        <v>6</v>
      </c>
      <c r="AI8446">
        <v>2</v>
      </c>
      <c r="AJ8446">
        <v>0</v>
      </c>
      <c r="AK8446">
        <v>177.41</v>
      </c>
      <c r="AN8446" t="s">
        <v>7439</v>
      </c>
      <c r="AO8446">
        <v>30000</v>
      </c>
      <c r="AU8446">
        <v>0.1</v>
      </c>
      <c r="AV8446" t="s">
        <v>772</v>
      </c>
      <c r="AW8446" t="s">
        <v>281</v>
      </c>
      <c r="AX8446" t="s">
        <v>46897</v>
      </c>
    </row>
    <row r="8447" spans="1:50">
      <c r="A8447" s="1">
        <f>HYPERLINK("https://lsnyc.legalserver.org/matter/dynamic-profile/view/1902046","19-1902046")</f>
        <v>0</v>
      </c>
      <c r="B8447" t="s">
        <v>232</v>
      </c>
      <c r="C8447" t="s">
        <v>341</v>
      </c>
      <c r="D8447" t="s">
        <v>720</v>
      </c>
      <c r="E8447" t="s">
        <v>836</v>
      </c>
      <c r="F8447" t="s">
        <v>4272</v>
      </c>
      <c r="G8447" t="s">
        <v>5419</v>
      </c>
      <c r="H8447" t="s">
        <v>15401</v>
      </c>
      <c r="I8447">
        <v>5</v>
      </c>
      <c r="J8447" t="s">
        <v>18894</v>
      </c>
      <c r="K8447">
        <v>11216</v>
      </c>
      <c r="L8447" t="s">
        <v>18958</v>
      </c>
      <c r="M8447" t="s">
        <v>18960</v>
      </c>
      <c r="N8447" t="s">
        <v>25051</v>
      </c>
      <c r="O8447" t="s">
        <v>26523</v>
      </c>
      <c r="P8447" t="s">
        <v>26560</v>
      </c>
      <c r="Q8447" t="s">
        <v>26568</v>
      </c>
      <c r="R8447" t="s">
        <v>26588</v>
      </c>
      <c r="S8447" t="s">
        <v>18959</v>
      </c>
      <c r="U8447" t="s">
        <v>26604</v>
      </c>
      <c r="W8447" t="s">
        <v>26642</v>
      </c>
      <c r="X8447">
        <v>790</v>
      </c>
      <c r="Y8447" t="s">
        <v>26652</v>
      </c>
      <c r="Z8447" t="s">
        <v>26669</v>
      </c>
      <c r="AA8447" t="s">
        <v>26678</v>
      </c>
      <c r="AB8447" t="s">
        <v>32853</v>
      </c>
      <c r="AD8447" t="s">
        <v>43413</v>
      </c>
      <c r="AE8447">
        <v>0</v>
      </c>
      <c r="AG8447" t="s">
        <v>45556</v>
      </c>
      <c r="AH8447">
        <v>2</v>
      </c>
      <c r="AI8447">
        <v>2</v>
      </c>
      <c r="AJ8447">
        <v>0</v>
      </c>
      <c r="AK8447">
        <v>189.24</v>
      </c>
      <c r="AN8447" t="s">
        <v>7439</v>
      </c>
      <c r="AO8447">
        <v>32000</v>
      </c>
      <c r="AU8447">
        <v>14.8</v>
      </c>
      <c r="AV8447" t="s">
        <v>836</v>
      </c>
      <c r="AW8447" t="s">
        <v>281</v>
      </c>
      <c r="AX8447" t="s">
        <v>46897</v>
      </c>
    </row>
    <row r="8448" spans="1:50">
      <c r="A8448" s="1">
        <f>HYPERLINK("https://lsnyc.legalserver.org/matter/dynamic-profile/view/1902008","19-1902008")</f>
        <v>0</v>
      </c>
      <c r="B8448" t="s">
        <v>99</v>
      </c>
      <c r="C8448" t="s">
        <v>340</v>
      </c>
      <c r="D8448" t="s">
        <v>720</v>
      </c>
      <c r="F8448" t="s">
        <v>868</v>
      </c>
      <c r="G8448" t="s">
        <v>6958</v>
      </c>
      <c r="H8448" t="s">
        <v>15402</v>
      </c>
      <c r="I8448" t="s">
        <v>17274</v>
      </c>
      <c r="J8448" t="s">
        <v>18894</v>
      </c>
      <c r="K8448">
        <v>11225</v>
      </c>
      <c r="L8448" t="s">
        <v>18958</v>
      </c>
      <c r="M8448" t="s">
        <v>18960</v>
      </c>
      <c r="N8448" t="s">
        <v>25052</v>
      </c>
      <c r="O8448" t="s">
        <v>26523</v>
      </c>
      <c r="P8448" t="s">
        <v>26563</v>
      </c>
      <c r="R8448" t="s">
        <v>26588</v>
      </c>
      <c r="U8448" t="s">
        <v>26604</v>
      </c>
      <c r="W8448" t="s">
        <v>26642</v>
      </c>
      <c r="X8448">
        <v>619.08</v>
      </c>
      <c r="Y8448" t="s">
        <v>26652</v>
      </c>
      <c r="Z8448" t="s">
        <v>26669</v>
      </c>
      <c r="AB8448" t="s">
        <v>32854</v>
      </c>
      <c r="AD8448" t="s">
        <v>43414</v>
      </c>
      <c r="AE8448">
        <v>9</v>
      </c>
      <c r="AH8448">
        <v>40</v>
      </c>
      <c r="AI8448">
        <v>2</v>
      </c>
      <c r="AJ8448">
        <v>0</v>
      </c>
      <c r="AK8448">
        <v>150.59</v>
      </c>
      <c r="AN8448" t="s">
        <v>7439</v>
      </c>
      <c r="AO8448">
        <v>25464</v>
      </c>
      <c r="AU8448">
        <v>1.9</v>
      </c>
      <c r="AV8448" t="s">
        <v>838</v>
      </c>
      <c r="AW8448" t="s">
        <v>46862</v>
      </c>
      <c r="AX8448" t="s">
        <v>46897</v>
      </c>
    </row>
    <row r="8449" spans="1:50">
      <c r="A8449" s="1">
        <f>HYPERLINK("https://lsnyc.legalserver.org/matter/dynamic-profile/view/1901974","19-1901974")</f>
        <v>0</v>
      </c>
      <c r="B8449" t="s">
        <v>167</v>
      </c>
      <c r="C8449" t="s">
        <v>340</v>
      </c>
      <c r="D8449" t="s">
        <v>720</v>
      </c>
      <c r="F8449" t="s">
        <v>4273</v>
      </c>
      <c r="G8449" t="s">
        <v>6494</v>
      </c>
      <c r="H8449" t="s">
        <v>15403</v>
      </c>
      <c r="I8449" t="s">
        <v>17570</v>
      </c>
      <c r="J8449" t="s">
        <v>18894</v>
      </c>
      <c r="K8449">
        <v>11212</v>
      </c>
      <c r="L8449" t="s">
        <v>18958</v>
      </c>
      <c r="M8449" t="s">
        <v>18960</v>
      </c>
      <c r="N8449" t="s">
        <v>25053</v>
      </c>
      <c r="O8449" t="s">
        <v>26524</v>
      </c>
      <c r="P8449" t="s">
        <v>26563</v>
      </c>
      <c r="R8449" t="s">
        <v>26586</v>
      </c>
      <c r="U8449" t="s">
        <v>26605</v>
      </c>
      <c r="W8449" t="s">
        <v>26642</v>
      </c>
      <c r="X8449">
        <v>426</v>
      </c>
      <c r="Y8449" t="s">
        <v>26652</v>
      </c>
      <c r="Z8449" t="s">
        <v>26664</v>
      </c>
      <c r="AB8449" t="s">
        <v>32855</v>
      </c>
      <c r="AD8449" t="s">
        <v>43415</v>
      </c>
      <c r="AE8449">
        <v>64</v>
      </c>
      <c r="AF8449" t="s">
        <v>45549</v>
      </c>
      <c r="AH8449">
        <v>8</v>
      </c>
      <c r="AI8449">
        <v>1</v>
      </c>
      <c r="AJ8449">
        <v>0</v>
      </c>
      <c r="AK8449">
        <v>151.96</v>
      </c>
      <c r="AN8449" t="s">
        <v>7439</v>
      </c>
      <c r="AO8449">
        <v>18980</v>
      </c>
      <c r="AU8449">
        <v>2.2</v>
      </c>
      <c r="AV8449" t="s">
        <v>831</v>
      </c>
      <c r="AW8449" t="s">
        <v>46862</v>
      </c>
      <c r="AX8449" t="s">
        <v>46897</v>
      </c>
    </row>
    <row r="8450" spans="1:50">
      <c r="A8450" s="1">
        <f>HYPERLINK("https://lsnyc.legalserver.org/matter/dynamic-profile/view/1901963","19-1901963")</f>
        <v>0</v>
      </c>
      <c r="B8450" t="s">
        <v>232</v>
      </c>
      <c r="C8450" t="s">
        <v>340</v>
      </c>
      <c r="D8450" t="s">
        <v>720</v>
      </c>
      <c r="F8450" t="s">
        <v>4274</v>
      </c>
      <c r="G8450" t="s">
        <v>1677</v>
      </c>
      <c r="H8450" t="s">
        <v>15404</v>
      </c>
      <c r="I8450" t="s">
        <v>18567</v>
      </c>
      <c r="J8450" t="s">
        <v>18894</v>
      </c>
      <c r="K8450">
        <v>11225</v>
      </c>
      <c r="L8450" t="s">
        <v>18958</v>
      </c>
      <c r="M8450" t="s">
        <v>18960</v>
      </c>
      <c r="N8450" t="s">
        <v>25054</v>
      </c>
      <c r="O8450" t="s">
        <v>26523</v>
      </c>
      <c r="P8450" t="s">
        <v>26563</v>
      </c>
      <c r="R8450" t="s">
        <v>26588</v>
      </c>
      <c r="U8450" t="s">
        <v>26604</v>
      </c>
      <c r="W8450" t="s">
        <v>26642</v>
      </c>
      <c r="X8450">
        <v>959</v>
      </c>
      <c r="Y8450" t="s">
        <v>26652</v>
      </c>
      <c r="Z8450" t="s">
        <v>26669</v>
      </c>
      <c r="AB8450" t="s">
        <v>32856</v>
      </c>
      <c r="AD8450" t="s">
        <v>43416</v>
      </c>
      <c r="AE8450">
        <v>0</v>
      </c>
      <c r="AH8450">
        <v>44</v>
      </c>
      <c r="AI8450">
        <v>1</v>
      </c>
      <c r="AJ8450">
        <v>0</v>
      </c>
      <c r="AK8450">
        <v>40.93</v>
      </c>
      <c r="AN8450" t="s">
        <v>7439</v>
      </c>
      <c r="AO8450">
        <v>5112</v>
      </c>
      <c r="AU8450">
        <v>0.1</v>
      </c>
      <c r="AV8450" t="s">
        <v>720</v>
      </c>
      <c r="AW8450" t="s">
        <v>46853</v>
      </c>
      <c r="AX8450" t="s">
        <v>46897</v>
      </c>
    </row>
    <row r="8451" spans="1:50">
      <c r="A8451" s="1">
        <f>HYPERLINK("https://lsnyc.legalserver.org/matter/dynamic-profile/view/1901973","19-1901973")</f>
        <v>0</v>
      </c>
      <c r="B8451" t="s">
        <v>123</v>
      </c>
      <c r="C8451" t="s">
        <v>340</v>
      </c>
      <c r="D8451" t="s">
        <v>720</v>
      </c>
      <c r="F8451" t="s">
        <v>1705</v>
      </c>
      <c r="G8451" t="s">
        <v>5088</v>
      </c>
      <c r="H8451" t="s">
        <v>12427</v>
      </c>
      <c r="I8451" t="s">
        <v>17343</v>
      </c>
      <c r="J8451" t="s">
        <v>18894</v>
      </c>
      <c r="K8451">
        <v>11216</v>
      </c>
      <c r="L8451" t="s">
        <v>18958</v>
      </c>
      <c r="M8451" t="s">
        <v>18960</v>
      </c>
      <c r="N8451" t="s">
        <v>25055</v>
      </c>
      <c r="O8451" t="s">
        <v>26523</v>
      </c>
      <c r="P8451" t="s">
        <v>26560</v>
      </c>
      <c r="R8451" t="s">
        <v>26588</v>
      </c>
      <c r="S8451" t="s">
        <v>18959</v>
      </c>
      <c r="U8451" t="s">
        <v>26604</v>
      </c>
      <c r="V8451" t="s">
        <v>26611</v>
      </c>
      <c r="W8451" t="s">
        <v>26642</v>
      </c>
      <c r="X8451">
        <v>3100</v>
      </c>
      <c r="Y8451" t="s">
        <v>26652</v>
      </c>
      <c r="Z8451" t="s">
        <v>26669</v>
      </c>
      <c r="AB8451" t="s">
        <v>31998</v>
      </c>
      <c r="AC8451" t="s">
        <v>36519</v>
      </c>
      <c r="AD8451" t="s">
        <v>43417</v>
      </c>
      <c r="AE8451">
        <v>0</v>
      </c>
      <c r="AF8451" t="s">
        <v>45551</v>
      </c>
      <c r="AG8451" t="s">
        <v>45563</v>
      </c>
      <c r="AH8451">
        <v>31</v>
      </c>
      <c r="AI8451">
        <v>1</v>
      </c>
      <c r="AJ8451">
        <v>1</v>
      </c>
      <c r="AK8451">
        <v>92.25</v>
      </c>
      <c r="AN8451" t="s">
        <v>7439</v>
      </c>
      <c r="AO8451">
        <v>15600</v>
      </c>
      <c r="AU8451">
        <v>0.8</v>
      </c>
      <c r="AV8451" t="s">
        <v>835</v>
      </c>
      <c r="AW8451" t="s">
        <v>281</v>
      </c>
      <c r="AX8451" t="s">
        <v>46897</v>
      </c>
    </row>
    <row r="8452" spans="1:50">
      <c r="A8452" s="1">
        <f>HYPERLINK("https://lsnyc.legalserver.org/matter/dynamic-profile/view/1902010","19-1902010")</f>
        <v>0</v>
      </c>
      <c r="B8452" t="s">
        <v>123</v>
      </c>
      <c r="C8452" t="s">
        <v>340</v>
      </c>
      <c r="D8452" t="s">
        <v>720</v>
      </c>
      <c r="F8452" t="s">
        <v>4275</v>
      </c>
      <c r="G8452" t="s">
        <v>2071</v>
      </c>
      <c r="H8452" t="s">
        <v>15405</v>
      </c>
      <c r="I8452" t="s">
        <v>18568</v>
      </c>
      <c r="J8452" t="s">
        <v>18894</v>
      </c>
      <c r="K8452">
        <v>11225</v>
      </c>
      <c r="L8452" t="s">
        <v>18958</v>
      </c>
      <c r="M8452" t="s">
        <v>18960</v>
      </c>
      <c r="N8452" t="s">
        <v>25056</v>
      </c>
      <c r="O8452" t="s">
        <v>26523</v>
      </c>
      <c r="P8452" t="s">
        <v>26560</v>
      </c>
      <c r="R8452" t="s">
        <v>26588</v>
      </c>
      <c r="S8452" t="s">
        <v>18959</v>
      </c>
      <c r="U8452" t="s">
        <v>26604</v>
      </c>
      <c r="V8452" t="s">
        <v>26610</v>
      </c>
      <c r="W8452" t="s">
        <v>26642</v>
      </c>
      <c r="X8452">
        <v>878</v>
      </c>
      <c r="Y8452" t="s">
        <v>26652</v>
      </c>
      <c r="Z8452" t="s">
        <v>26669</v>
      </c>
      <c r="AB8452" t="s">
        <v>32857</v>
      </c>
      <c r="AD8452" t="s">
        <v>43418</v>
      </c>
      <c r="AE8452">
        <v>0</v>
      </c>
      <c r="AF8452" t="s">
        <v>45541</v>
      </c>
      <c r="AH8452">
        <v>36</v>
      </c>
      <c r="AI8452">
        <v>2</v>
      </c>
      <c r="AJ8452">
        <v>2</v>
      </c>
      <c r="AK8452">
        <v>192.62</v>
      </c>
      <c r="AN8452" t="s">
        <v>7439</v>
      </c>
      <c r="AO8452">
        <v>49600</v>
      </c>
      <c r="AU8452">
        <v>1.4</v>
      </c>
      <c r="AV8452" t="s">
        <v>835</v>
      </c>
      <c r="AW8452" t="s">
        <v>281</v>
      </c>
      <c r="AX8452" t="s">
        <v>46897</v>
      </c>
    </row>
    <row r="8453" spans="1:50">
      <c r="A8453" s="1">
        <f>HYPERLINK("https://lsnyc.legalserver.org/matter/dynamic-profile/view/1902231","19-1902231")</f>
        <v>0</v>
      </c>
      <c r="B8453" t="s">
        <v>301</v>
      </c>
      <c r="C8453" t="s">
        <v>340</v>
      </c>
      <c r="D8453" t="s">
        <v>772</v>
      </c>
      <c r="F8453" t="s">
        <v>4276</v>
      </c>
      <c r="G8453" t="s">
        <v>1377</v>
      </c>
      <c r="H8453" t="s">
        <v>13323</v>
      </c>
      <c r="I8453" t="s">
        <v>17306</v>
      </c>
      <c r="J8453" t="s">
        <v>18894</v>
      </c>
      <c r="K8453">
        <v>11226</v>
      </c>
      <c r="L8453" t="s">
        <v>18958</v>
      </c>
      <c r="M8453" t="s">
        <v>18960</v>
      </c>
      <c r="P8453" t="s">
        <v>26562</v>
      </c>
      <c r="R8453" t="s">
        <v>26586</v>
      </c>
      <c r="U8453" t="s">
        <v>26607</v>
      </c>
      <c r="W8453" t="s">
        <v>26642</v>
      </c>
      <c r="X8453">
        <v>0</v>
      </c>
      <c r="Y8453" t="s">
        <v>26652</v>
      </c>
      <c r="Z8453" t="s">
        <v>26659</v>
      </c>
      <c r="AB8453" t="s">
        <v>32858</v>
      </c>
      <c r="AD8453" t="s">
        <v>43419</v>
      </c>
      <c r="AE8453">
        <v>7</v>
      </c>
      <c r="AF8453" t="s">
        <v>45541</v>
      </c>
      <c r="AH8453">
        <v>8</v>
      </c>
      <c r="AI8453">
        <v>1</v>
      </c>
      <c r="AJ8453">
        <v>1</v>
      </c>
      <c r="AK8453">
        <v>106.16</v>
      </c>
      <c r="AN8453" t="s">
        <v>7439</v>
      </c>
      <c r="AO8453">
        <v>17952</v>
      </c>
      <c r="AU8453">
        <v>2.3</v>
      </c>
      <c r="AV8453" t="s">
        <v>836</v>
      </c>
      <c r="AW8453" t="s">
        <v>46856</v>
      </c>
      <c r="AX8453" t="s">
        <v>46897</v>
      </c>
    </row>
    <row r="8454" spans="1:50">
      <c r="A8454" s="1">
        <f>HYPERLINK("https://lsnyc.legalserver.org/matter/dynamic-profile/view/1902375","19-1902375")</f>
        <v>0</v>
      </c>
      <c r="B8454" t="s">
        <v>162</v>
      </c>
      <c r="C8454" t="s">
        <v>341</v>
      </c>
      <c r="D8454" t="s">
        <v>826</v>
      </c>
      <c r="E8454" t="s">
        <v>839</v>
      </c>
      <c r="F8454" t="s">
        <v>875</v>
      </c>
      <c r="G8454" t="s">
        <v>8691</v>
      </c>
      <c r="H8454" t="s">
        <v>15406</v>
      </c>
      <c r="I8454" t="s">
        <v>18317</v>
      </c>
      <c r="J8454" t="s">
        <v>18894</v>
      </c>
      <c r="K8454">
        <v>11211</v>
      </c>
      <c r="L8454" t="s">
        <v>18958</v>
      </c>
      <c r="M8454" t="s">
        <v>18960</v>
      </c>
      <c r="N8454" t="s">
        <v>25057</v>
      </c>
      <c r="O8454" t="s">
        <v>26524</v>
      </c>
      <c r="P8454" t="s">
        <v>26563</v>
      </c>
      <c r="Q8454" t="s">
        <v>26570</v>
      </c>
      <c r="R8454" t="s">
        <v>26586</v>
      </c>
      <c r="U8454" t="s">
        <v>26605</v>
      </c>
      <c r="W8454" t="s">
        <v>26642</v>
      </c>
      <c r="X8454">
        <v>240</v>
      </c>
      <c r="Y8454" t="s">
        <v>26652</v>
      </c>
      <c r="Z8454" t="s">
        <v>26664</v>
      </c>
      <c r="AA8454" t="s">
        <v>26683</v>
      </c>
      <c r="AB8454" t="s">
        <v>31131</v>
      </c>
      <c r="AD8454" t="s">
        <v>43420</v>
      </c>
      <c r="AE8454">
        <v>0</v>
      </c>
      <c r="AH8454">
        <v>37</v>
      </c>
      <c r="AI8454">
        <v>1</v>
      </c>
      <c r="AJ8454">
        <v>0</v>
      </c>
      <c r="AK8454">
        <v>75.90000000000001</v>
      </c>
      <c r="AN8454" t="s">
        <v>7439</v>
      </c>
      <c r="AO8454">
        <v>9480</v>
      </c>
      <c r="AU8454">
        <v>1</v>
      </c>
      <c r="AV8454" t="s">
        <v>835</v>
      </c>
      <c r="AW8454" t="s">
        <v>46853</v>
      </c>
      <c r="AX8454" t="s">
        <v>46897</v>
      </c>
    </row>
    <row r="8455" spans="1:50">
      <c r="A8455" s="1">
        <f>HYPERLINK("https://lsnyc.legalserver.org/matter/dynamic-profile/view/1902374","19-1902374")</f>
        <v>0</v>
      </c>
      <c r="B8455" t="s">
        <v>202</v>
      </c>
      <c r="C8455" t="s">
        <v>340</v>
      </c>
      <c r="D8455" t="s">
        <v>826</v>
      </c>
      <c r="F8455" t="s">
        <v>1620</v>
      </c>
      <c r="G8455" t="s">
        <v>8692</v>
      </c>
      <c r="H8455" t="s">
        <v>15407</v>
      </c>
      <c r="I8455">
        <v>208</v>
      </c>
      <c r="J8455" t="s">
        <v>18894</v>
      </c>
      <c r="K8455">
        <v>11221</v>
      </c>
      <c r="L8455" t="s">
        <v>18958</v>
      </c>
      <c r="M8455" t="s">
        <v>18960</v>
      </c>
      <c r="N8455" t="s">
        <v>25058</v>
      </c>
      <c r="O8455" t="s">
        <v>26523</v>
      </c>
      <c r="P8455" t="s">
        <v>26560</v>
      </c>
      <c r="R8455" t="s">
        <v>26588</v>
      </c>
      <c r="S8455" t="s">
        <v>18959</v>
      </c>
      <c r="U8455" t="s">
        <v>26604</v>
      </c>
      <c r="V8455" t="s">
        <v>26610</v>
      </c>
      <c r="W8455" t="s">
        <v>26642</v>
      </c>
      <c r="X8455">
        <v>384</v>
      </c>
      <c r="Y8455" t="s">
        <v>26652</v>
      </c>
      <c r="Z8455" t="s">
        <v>26669</v>
      </c>
      <c r="AB8455" t="s">
        <v>32859</v>
      </c>
      <c r="AD8455" t="s">
        <v>43421</v>
      </c>
      <c r="AE8455">
        <v>0</v>
      </c>
      <c r="AF8455" t="s">
        <v>45544</v>
      </c>
      <c r="AH8455">
        <v>9</v>
      </c>
      <c r="AI8455">
        <v>1</v>
      </c>
      <c r="AJ8455">
        <v>0</v>
      </c>
      <c r="AK8455">
        <v>119.9</v>
      </c>
      <c r="AN8455" t="s">
        <v>7439</v>
      </c>
      <c r="AO8455">
        <v>14976</v>
      </c>
      <c r="AU8455">
        <v>3.8</v>
      </c>
      <c r="AV8455" t="s">
        <v>836</v>
      </c>
      <c r="AW8455" t="s">
        <v>281</v>
      </c>
      <c r="AX8455" t="s">
        <v>46897</v>
      </c>
    </row>
    <row r="8456" spans="1:50">
      <c r="A8456" s="1">
        <f>HYPERLINK("https://lsnyc.legalserver.org/matter/dynamic-profile/view/1902383","19-1902383")</f>
        <v>0</v>
      </c>
      <c r="B8456" t="s">
        <v>202</v>
      </c>
      <c r="C8456" t="s">
        <v>340</v>
      </c>
      <c r="D8456" t="s">
        <v>826</v>
      </c>
      <c r="F8456" t="s">
        <v>2309</v>
      </c>
      <c r="G8456" t="s">
        <v>8693</v>
      </c>
      <c r="H8456" t="s">
        <v>15408</v>
      </c>
      <c r="I8456" t="s">
        <v>17309</v>
      </c>
      <c r="J8456" t="s">
        <v>18894</v>
      </c>
      <c r="K8456">
        <v>11216</v>
      </c>
      <c r="L8456" t="s">
        <v>18958</v>
      </c>
      <c r="M8456" t="s">
        <v>18960</v>
      </c>
      <c r="N8456" t="s">
        <v>25059</v>
      </c>
      <c r="O8456" t="s">
        <v>26524</v>
      </c>
      <c r="P8456" t="s">
        <v>26560</v>
      </c>
      <c r="R8456" t="s">
        <v>26588</v>
      </c>
      <c r="S8456" t="s">
        <v>18959</v>
      </c>
      <c r="U8456" t="s">
        <v>26604</v>
      </c>
      <c r="W8456" t="s">
        <v>26642</v>
      </c>
      <c r="X8456">
        <v>850</v>
      </c>
      <c r="Y8456" t="s">
        <v>26652</v>
      </c>
      <c r="Z8456" t="s">
        <v>26669</v>
      </c>
      <c r="AB8456" t="s">
        <v>27972</v>
      </c>
      <c r="AD8456" t="s">
        <v>38300</v>
      </c>
      <c r="AE8456">
        <v>0</v>
      </c>
      <c r="AH8456">
        <v>4</v>
      </c>
      <c r="AI8456">
        <v>1</v>
      </c>
      <c r="AJ8456">
        <v>0</v>
      </c>
      <c r="AK8456">
        <v>208.17</v>
      </c>
      <c r="AN8456" t="s">
        <v>7439</v>
      </c>
      <c r="AO8456">
        <v>26000</v>
      </c>
      <c r="AU8456">
        <v>17.8</v>
      </c>
      <c r="AV8456" t="s">
        <v>839</v>
      </c>
      <c r="AW8456" t="s">
        <v>281</v>
      </c>
      <c r="AX8456" t="s">
        <v>46897</v>
      </c>
    </row>
    <row r="8457" spans="1:50">
      <c r="A8457" s="1">
        <f>HYPERLINK("https://lsnyc.legalserver.org/matter/dynamic-profile/view/1902369","19-1902369")</f>
        <v>0</v>
      </c>
      <c r="B8457" t="s">
        <v>227</v>
      </c>
      <c r="C8457" t="s">
        <v>340</v>
      </c>
      <c r="D8457" t="s">
        <v>826</v>
      </c>
      <c r="F8457" t="s">
        <v>4277</v>
      </c>
      <c r="G8457" t="s">
        <v>8694</v>
      </c>
      <c r="H8457" t="s">
        <v>15409</v>
      </c>
      <c r="I8457" t="s">
        <v>17277</v>
      </c>
      <c r="J8457" t="s">
        <v>18894</v>
      </c>
      <c r="K8457">
        <v>11221</v>
      </c>
      <c r="L8457" t="s">
        <v>18958</v>
      </c>
      <c r="M8457" t="s">
        <v>18960</v>
      </c>
      <c r="N8457" t="s">
        <v>25060</v>
      </c>
      <c r="O8457" t="s">
        <v>26523</v>
      </c>
      <c r="P8457" t="s">
        <v>26560</v>
      </c>
      <c r="R8457" t="s">
        <v>26588</v>
      </c>
      <c r="S8457" t="s">
        <v>18959</v>
      </c>
      <c r="U8457" t="s">
        <v>26604</v>
      </c>
      <c r="W8457" t="s">
        <v>26642</v>
      </c>
      <c r="X8457">
        <v>941.87</v>
      </c>
      <c r="Y8457" t="s">
        <v>26652</v>
      </c>
      <c r="AB8457" t="s">
        <v>32860</v>
      </c>
      <c r="AD8457" t="s">
        <v>43422</v>
      </c>
      <c r="AE8457">
        <v>0</v>
      </c>
      <c r="AH8457">
        <v>24</v>
      </c>
      <c r="AI8457">
        <v>1</v>
      </c>
      <c r="AJ8457">
        <v>1</v>
      </c>
      <c r="AK8457">
        <v>184.23</v>
      </c>
      <c r="AN8457" t="s">
        <v>7439</v>
      </c>
      <c r="AO8457">
        <v>31154</v>
      </c>
      <c r="AU8457">
        <v>1.5</v>
      </c>
      <c r="AV8457" t="s">
        <v>826</v>
      </c>
      <c r="AW8457" t="s">
        <v>281</v>
      </c>
      <c r="AX8457" t="s">
        <v>46897</v>
      </c>
    </row>
    <row r="8458" spans="1:50">
      <c r="A8458" s="1">
        <f>HYPERLINK("https://lsnyc.legalserver.org/matter/dynamic-profile/view/1902382","19-1902382")</f>
        <v>0</v>
      </c>
      <c r="B8458" t="s">
        <v>193</v>
      </c>
      <c r="C8458" t="s">
        <v>340</v>
      </c>
      <c r="D8458" t="s">
        <v>826</v>
      </c>
      <c r="F8458" t="s">
        <v>1706</v>
      </c>
      <c r="G8458" t="s">
        <v>5121</v>
      </c>
      <c r="H8458" t="s">
        <v>15410</v>
      </c>
      <c r="I8458" t="s">
        <v>17332</v>
      </c>
      <c r="J8458" t="s">
        <v>18894</v>
      </c>
      <c r="K8458">
        <v>11215</v>
      </c>
      <c r="L8458" t="s">
        <v>18958</v>
      </c>
      <c r="M8458" t="s">
        <v>18960</v>
      </c>
      <c r="P8458" t="s">
        <v>26564</v>
      </c>
      <c r="R8458" t="s">
        <v>26586</v>
      </c>
      <c r="T8458" t="s">
        <v>26599</v>
      </c>
      <c r="U8458" t="s">
        <v>26604</v>
      </c>
      <c r="W8458" t="s">
        <v>26642</v>
      </c>
      <c r="X8458">
        <v>1200</v>
      </c>
      <c r="Y8458" t="s">
        <v>26652</v>
      </c>
      <c r="Z8458" t="s">
        <v>26663</v>
      </c>
      <c r="AB8458" t="s">
        <v>32861</v>
      </c>
      <c r="AD8458" t="s">
        <v>43423</v>
      </c>
      <c r="AE8458">
        <v>0</v>
      </c>
      <c r="AH8458">
        <v>7</v>
      </c>
      <c r="AI8458">
        <v>1</v>
      </c>
      <c r="AJ8458">
        <v>3</v>
      </c>
      <c r="AK8458">
        <v>108.74</v>
      </c>
      <c r="AN8458" t="s">
        <v>7439</v>
      </c>
      <c r="AO8458">
        <v>28000</v>
      </c>
      <c r="AU8458">
        <v>0.6</v>
      </c>
      <c r="AV8458" t="s">
        <v>772</v>
      </c>
      <c r="AW8458" t="s">
        <v>46856</v>
      </c>
      <c r="AX8458" t="s">
        <v>46897</v>
      </c>
    </row>
    <row r="8459" spans="1:50">
      <c r="A8459" s="1">
        <f>HYPERLINK("https://lsnyc.legalserver.org/matter/dynamic-profile/view/1902494","19-1902494")</f>
        <v>0</v>
      </c>
      <c r="B8459" t="s">
        <v>227</v>
      </c>
      <c r="C8459" t="s">
        <v>340</v>
      </c>
      <c r="D8459" t="s">
        <v>830</v>
      </c>
      <c r="F8459" t="s">
        <v>1136</v>
      </c>
      <c r="G8459" t="s">
        <v>8695</v>
      </c>
      <c r="H8459" t="s">
        <v>15411</v>
      </c>
      <c r="I8459" t="s">
        <v>17331</v>
      </c>
      <c r="J8459" t="s">
        <v>18894</v>
      </c>
      <c r="K8459">
        <v>11211</v>
      </c>
      <c r="L8459" t="s">
        <v>18958</v>
      </c>
      <c r="M8459" t="s">
        <v>18960</v>
      </c>
      <c r="N8459" t="s">
        <v>25061</v>
      </c>
      <c r="O8459" t="s">
        <v>26523</v>
      </c>
      <c r="P8459" t="s">
        <v>26563</v>
      </c>
      <c r="R8459" t="s">
        <v>26586</v>
      </c>
      <c r="U8459" t="s">
        <v>26604</v>
      </c>
      <c r="W8459" t="s">
        <v>26642</v>
      </c>
      <c r="X8459">
        <v>1000</v>
      </c>
      <c r="Y8459" t="s">
        <v>26652</v>
      </c>
      <c r="Z8459" t="s">
        <v>26664</v>
      </c>
      <c r="AB8459" t="s">
        <v>31831</v>
      </c>
      <c r="AD8459" t="s">
        <v>43424</v>
      </c>
      <c r="AE8459">
        <v>4</v>
      </c>
      <c r="AG8459" t="s">
        <v>19330</v>
      </c>
      <c r="AH8459">
        <v>5</v>
      </c>
      <c r="AI8459">
        <v>1</v>
      </c>
      <c r="AJ8459">
        <v>0</v>
      </c>
      <c r="AK8459">
        <v>0</v>
      </c>
      <c r="AN8459" t="s">
        <v>7439</v>
      </c>
      <c r="AO8459">
        <v>0</v>
      </c>
      <c r="AU8459">
        <v>4.7</v>
      </c>
      <c r="AV8459" t="s">
        <v>834</v>
      </c>
      <c r="AW8459" t="s">
        <v>46862</v>
      </c>
      <c r="AX8459" t="s">
        <v>46897</v>
      </c>
    </row>
    <row r="8460" spans="1:50">
      <c r="A8460" s="1">
        <f>HYPERLINK("https://lsnyc.legalserver.org/matter/dynamic-profile/view/1902400","19-1902400")</f>
        <v>0</v>
      </c>
      <c r="B8460" t="s">
        <v>101</v>
      </c>
      <c r="C8460" t="s">
        <v>340</v>
      </c>
      <c r="D8460" t="s">
        <v>830</v>
      </c>
      <c r="F8460" t="s">
        <v>964</v>
      </c>
      <c r="G8460" t="s">
        <v>8696</v>
      </c>
      <c r="H8460" t="s">
        <v>15412</v>
      </c>
      <c r="I8460" t="s">
        <v>17280</v>
      </c>
      <c r="J8460" t="s">
        <v>18952</v>
      </c>
      <c r="K8460">
        <v>11226</v>
      </c>
      <c r="L8460" t="s">
        <v>18958</v>
      </c>
      <c r="M8460" t="s">
        <v>18960</v>
      </c>
      <c r="N8460" t="s">
        <v>25062</v>
      </c>
      <c r="O8460" t="s">
        <v>26524</v>
      </c>
      <c r="P8460" t="s">
        <v>26563</v>
      </c>
      <c r="R8460" t="s">
        <v>26588</v>
      </c>
      <c r="U8460" t="s">
        <v>26604</v>
      </c>
      <c r="W8460" t="s">
        <v>26642</v>
      </c>
      <c r="X8460">
        <v>1300.5</v>
      </c>
      <c r="Y8460" t="s">
        <v>26652</v>
      </c>
      <c r="Z8460" t="s">
        <v>26664</v>
      </c>
      <c r="AB8460" t="s">
        <v>32862</v>
      </c>
      <c r="AD8460" t="s">
        <v>43425</v>
      </c>
      <c r="AE8460">
        <v>53</v>
      </c>
      <c r="AG8460" t="s">
        <v>19330</v>
      </c>
      <c r="AH8460">
        <v>15</v>
      </c>
      <c r="AI8460">
        <v>3</v>
      </c>
      <c r="AJ8460">
        <v>2</v>
      </c>
      <c r="AK8460">
        <v>94.8</v>
      </c>
      <c r="AN8460" t="s">
        <v>7439</v>
      </c>
      <c r="AO8460">
        <v>28600</v>
      </c>
      <c r="AU8460">
        <v>1</v>
      </c>
      <c r="AV8460" t="s">
        <v>830</v>
      </c>
      <c r="AW8460" t="s">
        <v>46862</v>
      </c>
      <c r="AX8460" t="s">
        <v>46897</v>
      </c>
    </row>
    <row r="8461" spans="1:50">
      <c r="A8461" s="1">
        <f>HYPERLINK("https://lsnyc.legalserver.org/matter/dynamic-profile/view/1902462","19-1902462")</f>
        <v>0</v>
      </c>
      <c r="B8461" t="s">
        <v>101</v>
      </c>
      <c r="C8461" t="s">
        <v>340</v>
      </c>
      <c r="D8461" t="s">
        <v>830</v>
      </c>
      <c r="F8461" t="s">
        <v>4278</v>
      </c>
      <c r="G8461" t="s">
        <v>8697</v>
      </c>
      <c r="H8461" t="s">
        <v>15413</v>
      </c>
      <c r="I8461" t="s">
        <v>17436</v>
      </c>
      <c r="J8461" t="s">
        <v>18894</v>
      </c>
      <c r="K8461">
        <v>11226</v>
      </c>
      <c r="L8461" t="s">
        <v>18958</v>
      </c>
      <c r="M8461" t="s">
        <v>18960</v>
      </c>
      <c r="N8461" t="s">
        <v>25063</v>
      </c>
      <c r="O8461" t="s">
        <v>26524</v>
      </c>
      <c r="P8461" t="s">
        <v>26563</v>
      </c>
      <c r="R8461" t="s">
        <v>26588</v>
      </c>
      <c r="U8461" t="s">
        <v>26604</v>
      </c>
      <c r="W8461" t="s">
        <v>26642</v>
      </c>
      <c r="X8461">
        <v>1019</v>
      </c>
      <c r="Y8461" t="s">
        <v>26652</v>
      </c>
      <c r="AB8461" t="s">
        <v>32863</v>
      </c>
      <c r="AD8461" t="s">
        <v>43426</v>
      </c>
      <c r="AE8461">
        <v>41</v>
      </c>
      <c r="AG8461" t="s">
        <v>19330</v>
      </c>
      <c r="AH8461">
        <v>14</v>
      </c>
      <c r="AI8461">
        <v>3</v>
      </c>
      <c r="AJ8461">
        <v>2</v>
      </c>
      <c r="AK8461">
        <v>103.41</v>
      </c>
      <c r="AN8461" t="s">
        <v>45585</v>
      </c>
      <c r="AO8461">
        <v>31200</v>
      </c>
      <c r="AU8461">
        <v>1.2</v>
      </c>
      <c r="AV8461" t="s">
        <v>773</v>
      </c>
      <c r="AW8461" t="s">
        <v>46862</v>
      </c>
      <c r="AX8461" t="s">
        <v>46897</v>
      </c>
    </row>
    <row r="8462" spans="1:50">
      <c r="A8462" s="1">
        <f>HYPERLINK("https://lsnyc.legalserver.org/matter/dynamic-profile/view/1902444","19-1902444")</f>
        <v>0</v>
      </c>
      <c r="B8462" t="s">
        <v>193</v>
      </c>
      <c r="C8462" t="s">
        <v>340</v>
      </c>
      <c r="D8462" t="s">
        <v>830</v>
      </c>
      <c r="F8462" t="s">
        <v>4279</v>
      </c>
      <c r="G8462" t="s">
        <v>5929</v>
      </c>
      <c r="H8462" t="s">
        <v>15414</v>
      </c>
      <c r="I8462" t="s">
        <v>17331</v>
      </c>
      <c r="J8462" t="s">
        <v>18894</v>
      </c>
      <c r="K8462">
        <v>11221</v>
      </c>
      <c r="L8462" t="s">
        <v>18958</v>
      </c>
      <c r="M8462" t="s">
        <v>18960</v>
      </c>
      <c r="N8462" t="s">
        <v>25064</v>
      </c>
      <c r="O8462" t="s">
        <v>26523</v>
      </c>
      <c r="P8462" t="s">
        <v>26560</v>
      </c>
      <c r="R8462" t="s">
        <v>26588</v>
      </c>
      <c r="S8462" t="s">
        <v>18959</v>
      </c>
      <c r="U8462" t="s">
        <v>26604</v>
      </c>
      <c r="W8462" t="s">
        <v>26642</v>
      </c>
      <c r="X8462">
        <v>1324.87</v>
      </c>
      <c r="Y8462" t="s">
        <v>26652</v>
      </c>
      <c r="Z8462" t="s">
        <v>26669</v>
      </c>
      <c r="AB8462" t="s">
        <v>32864</v>
      </c>
      <c r="AE8462">
        <v>0</v>
      </c>
      <c r="AH8462">
        <v>12</v>
      </c>
      <c r="AI8462">
        <v>2</v>
      </c>
      <c r="AJ8462">
        <v>3</v>
      </c>
      <c r="AK8462">
        <v>99.44</v>
      </c>
      <c r="AN8462" t="s">
        <v>45581</v>
      </c>
      <c r="AO8462">
        <v>30000</v>
      </c>
      <c r="AU8462">
        <v>2.5</v>
      </c>
      <c r="AV8462" t="s">
        <v>835</v>
      </c>
      <c r="AW8462" t="s">
        <v>281</v>
      </c>
      <c r="AX8462" t="s">
        <v>46897</v>
      </c>
    </row>
    <row r="8463" spans="1:50">
      <c r="A8463" s="1">
        <f>HYPERLINK("https://lsnyc.legalserver.org/matter/dynamic-profile/view/1901373","19-1901373")</f>
        <v>0</v>
      </c>
      <c r="B8463" t="s">
        <v>50</v>
      </c>
      <c r="C8463" t="s">
        <v>341</v>
      </c>
      <c r="D8463" t="s">
        <v>807</v>
      </c>
      <c r="E8463" t="s">
        <v>828</v>
      </c>
      <c r="F8463" t="s">
        <v>953</v>
      </c>
      <c r="G8463" t="s">
        <v>5691</v>
      </c>
      <c r="H8463" t="s">
        <v>15415</v>
      </c>
      <c r="I8463" t="s">
        <v>17299</v>
      </c>
      <c r="J8463" t="s">
        <v>18892</v>
      </c>
      <c r="K8463">
        <v>10458</v>
      </c>
      <c r="L8463" t="s">
        <v>18958</v>
      </c>
      <c r="M8463" t="s">
        <v>18960</v>
      </c>
      <c r="N8463" t="s">
        <v>25065</v>
      </c>
      <c r="O8463" t="s">
        <v>26523</v>
      </c>
      <c r="P8463" t="s">
        <v>26564</v>
      </c>
      <c r="Q8463" t="s">
        <v>26570</v>
      </c>
      <c r="R8463" t="s">
        <v>26577</v>
      </c>
      <c r="S8463" t="s">
        <v>18959</v>
      </c>
      <c r="U8463" t="s">
        <v>26604</v>
      </c>
      <c r="V8463" t="s">
        <v>26610</v>
      </c>
      <c r="W8463" t="s">
        <v>807</v>
      </c>
      <c r="X8463">
        <v>1523</v>
      </c>
      <c r="Y8463" t="s">
        <v>26650</v>
      </c>
      <c r="AA8463" t="s">
        <v>26683</v>
      </c>
      <c r="AB8463" t="s">
        <v>32865</v>
      </c>
      <c r="AD8463" t="s">
        <v>43427</v>
      </c>
      <c r="AE8463">
        <v>8</v>
      </c>
      <c r="AF8463" t="s">
        <v>45545</v>
      </c>
      <c r="AG8463" t="s">
        <v>45556</v>
      </c>
      <c r="AH8463">
        <v>20</v>
      </c>
      <c r="AI8463">
        <v>1</v>
      </c>
      <c r="AJ8463">
        <v>3</v>
      </c>
      <c r="AK8463">
        <v>84.51000000000001</v>
      </c>
      <c r="AN8463" t="s">
        <v>7439</v>
      </c>
      <c r="AO8463">
        <v>21762</v>
      </c>
      <c r="AP8463" t="s">
        <v>46094</v>
      </c>
      <c r="AU8463">
        <v>1</v>
      </c>
      <c r="AV8463" t="s">
        <v>729</v>
      </c>
      <c r="AW8463" t="s">
        <v>46870</v>
      </c>
      <c r="AX8463" t="s">
        <v>46897</v>
      </c>
    </row>
    <row r="8464" spans="1:50">
      <c r="A8464" s="1">
        <f>HYPERLINK("https://lsnyc.legalserver.org/matter/dynamic-profile/view/1896478","19-1896478")</f>
        <v>0</v>
      </c>
      <c r="B8464" t="s">
        <v>122</v>
      </c>
      <c r="C8464" t="s">
        <v>341</v>
      </c>
      <c r="D8464" t="s">
        <v>807</v>
      </c>
      <c r="E8464" t="s">
        <v>772</v>
      </c>
      <c r="F8464" t="s">
        <v>4280</v>
      </c>
      <c r="G8464" t="s">
        <v>8698</v>
      </c>
      <c r="H8464" t="s">
        <v>14134</v>
      </c>
      <c r="I8464" t="s">
        <v>17291</v>
      </c>
      <c r="J8464" t="s">
        <v>18896</v>
      </c>
      <c r="K8464">
        <v>11419</v>
      </c>
      <c r="L8464" t="s">
        <v>18958</v>
      </c>
      <c r="M8464" t="s">
        <v>18960</v>
      </c>
      <c r="N8464" t="s">
        <v>25066</v>
      </c>
      <c r="P8464" t="s">
        <v>26564</v>
      </c>
      <c r="Q8464" t="s">
        <v>26570</v>
      </c>
      <c r="R8464" t="s">
        <v>26578</v>
      </c>
      <c r="U8464" t="s">
        <v>26604</v>
      </c>
      <c r="W8464" t="s">
        <v>807</v>
      </c>
      <c r="X8464">
        <v>2000</v>
      </c>
      <c r="Y8464" t="s">
        <v>26653</v>
      </c>
      <c r="Z8464" t="s">
        <v>26664</v>
      </c>
      <c r="AA8464" t="s">
        <v>26683</v>
      </c>
      <c r="AB8464" t="s">
        <v>32866</v>
      </c>
      <c r="AC8464" t="s">
        <v>36113</v>
      </c>
      <c r="AD8464" t="s">
        <v>43428</v>
      </c>
      <c r="AE8464">
        <v>4</v>
      </c>
      <c r="AF8464" t="s">
        <v>45547</v>
      </c>
      <c r="AG8464" t="s">
        <v>19330</v>
      </c>
      <c r="AH8464">
        <v>2</v>
      </c>
      <c r="AI8464">
        <v>4</v>
      </c>
      <c r="AJ8464">
        <v>1</v>
      </c>
      <c r="AK8464">
        <v>31.82</v>
      </c>
      <c r="AN8464" t="s">
        <v>7439</v>
      </c>
      <c r="AO8464">
        <v>9600</v>
      </c>
      <c r="AU8464">
        <v>1</v>
      </c>
      <c r="AV8464" t="s">
        <v>772</v>
      </c>
      <c r="AW8464" t="s">
        <v>208</v>
      </c>
      <c r="AX8464" t="s">
        <v>46898</v>
      </c>
    </row>
    <row r="8465" spans="1:50">
      <c r="A8465" s="1">
        <f>HYPERLINK("https://lsnyc.legalserver.org/matter/dynamic-profile/view/1901299","19-1901299")</f>
        <v>0</v>
      </c>
      <c r="B8465" t="s">
        <v>245</v>
      </c>
      <c r="C8465" t="s">
        <v>340</v>
      </c>
      <c r="D8465" t="s">
        <v>807</v>
      </c>
      <c r="F8465" t="s">
        <v>2111</v>
      </c>
      <c r="G8465" t="s">
        <v>7362</v>
      </c>
      <c r="H8465" t="s">
        <v>15416</v>
      </c>
      <c r="I8465" t="s">
        <v>17349</v>
      </c>
      <c r="J8465" t="s">
        <v>18892</v>
      </c>
      <c r="K8465">
        <v>10457</v>
      </c>
      <c r="L8465" t="s">
        <v>18958</v>
      </c>
      <c r="M8465" t="s">
        <v>18960</v>
      </c>
      <c r="N8465" t="s">
        <v>25067</v>
      </c>
      <c r="O8465" t="s">
        <v>26523</v>
      </c>
      <c r="P8465" t="s">
        <v>26560</v>
      </c>
      <c r="R8465" t="s">
        <v>26579</v>
      </c>
      <c r="S8465" t="s">
        <v>18959</v>
      </c>
      <c r="U8465" t="s">
        <v>26604</v>
      </c>
      <c r="W8465" t="s">
        <v>807</v>
      </c>
      <c r="X8465">
        <v>991</v>
      </c>
      <c r="Y8465" t="s">
        <v>26650</v>
      </c>
      <c r="AB8465" t="s">
        <v>32867</v>
      </c>
      <c r="AD8465" t="s">
        <v>43429</v>
      </c>
      <c r="AE8465">
        <v>64</v>
      </c>
      <c r="AF8465" t="s">
        <v>45541</v>
      </c>
      <c r="AG8465" t="s">
        <v>45559</v>
      </c>
      <c r="AH8465">
        <v>23</v>
      </c>
      <c r="AI8465">
        <v>1</v>
      </c>
      <c r="AJ8465">
        <v>0</v>
      </c>
      <c r="AK8465">
        <v>72.06</v>
      </c>
      <c r="AN8465" t="s">
        <v>7439</v>
      </c>
      <c r="AO8465">
        <v>9000</v>
      </c>
      <c r="AU8465">
        <v>1.2</v>
      </c>
      <c r="AV8465" t="s">
        <v>834</v>
      </c>
      <c r="AW8465" t="s">
        <v>46867</v>
      </c>
      <c r="AX8465" t="s">
        <v>46897</v>
      </c>
    </row>
    <row r="8466" spans="1:50">
      <c r="A8466" s="1">
        <f>HYPERLINK("https://lsnyc.legalserver.org/matter/dynamic-profile/view/1901330","19-1901330")</f>
        <v>0</v>
      </c>
      <c r="B8466" t="s">
        <v>276</v>
      </c>
      <c r="C8466" t="s">
        <v>340</v>
      </c>
      <c r="D8466" t="s">
        <v>807</v>
      </c>
      <c r="F8466" t="s">
        <v>1179</v>
      </c>
      <c r="G8466" t="s">
        <v>8277</v>
      </c>
      <c r="H8466" t="s">
        <v>14686</v>
      </c>
      <c r="I8466" t="s">
        <v>17299</v>
      </c>
      <c r="J8466" t="s">
        <v>18894</v>
      </c>
      <c r="K8466">
        <v>11226</v>
      </c>
      <c r="L8466" t="s">
        <v>18958</v>
      </c>
      <c r="M8466" t="s">
        <v>18960</v>
      </c>
      <c r="P8466" t="s">
        <v>26560</v>
      </c>
      <c r="R8466" t="s">
        <v>26578</v>
      </c>
      <c r="S8466" t="s">
        <v>18958</v>
      </c>
      <c r="U8466" t="s">
        <v>26604</v>
      </c>
      <c r="W8466" t="s">
        <v>807</v>
      </c>
      <c r="X8466">
        <v>988.01</v>
      </c>
      <c r="Y8466" t="s">
        <v>26652</v>
      </c>
      <c r="AB8466" t="s">
        <v>27329</v>
      </c>
      <c r="AE8466">
        <v>0</v>
      </c>
      <c r="AH8466">
        <v>30</v>
      </c>
      <c r="AI8466">
        <v>4</v>
      </c>
      <c r="AJ8466">
        <v>0</v>
      </c>
      <c r="AK8466">
        <v>248.54</v>
      </c>
      <c r="AN8466" t="s">
        <v>7439</v>
      </c>
      <c r="AO8466">
        <v>64000</v>
      </c>
      <c r="AU8466">
        <v>0.1</v>
      </c>
      <c r="AV8466" t="s">
        <v>826</v>
      </c>
      <c r="AW8466" t="s">
        <v>219</v>
      </c>
      <c r="AX8466" t="s">
        <v>46897</v>
      </c>
    </row>
    <row r="8467" spans="1:50">
      <c r="A8467" s="1">
        <f>HYPERLINK("https://lsnyc.legalserver.org/matter/dynamic-profile/view/1901403","19-1901403")</f>
        <v>0</v>
      </c>
      <c r="B8467" t="s">
        <v>56</v>
      </c>
      <c r="C8467" t="s">
        <v>340</v>
      </c>
      <c r="D8467" t="s">
        <v>807</v>
      </c>
      <c r="F8467" t="s">
        <v>4017</v>
      </c>
      <c r="G8467" t="s">
        <v>1227</v>
      </c>
      <c r="H8467" t="s">
        <v>15417</v>
      </c>
      <c r="I8467">
        <v>3</v>
      </c>
      <c r="J8467" t="s">
        <v>18892</v>
      </c>
      <c r="K8467">
        <v>10473</v>
      </c>
      <c r="L8467" t="s">
        <v>18958</v>
      </c>
      <c r="M8467" t="s">
        <v>18960</v>
      </c>
      <c r="N8467" t="s">
        <v>25068</v>
      </c>
      <c r="O8467" t="s">
        <v>26523</v>
      </c>
      <c r="P8467" t="s">
        <v>26560</v>
      </c>
      <c r="R8467" t="s">
        <v>26577</v>
      </c>
      <c r="U8467" t="s">
        <v>26604</v>
      </c>
      <c r="W8467" t="s">
        <v>807</v>
      </c>
      <c r="X8467">
        <v>1239</v>
      </c>
      <c r="Y8467" t="s">
        <v>26650</v>
      </c>
      <c r="Z8467" t="s">
        <v>26668</v>
      </c>
      <c r="AB8467" t="s">
        <v>32868</v>
      </c>
      <c r="AC8467" t="s">
        <v>36520</v>
      </c>
      <c r="AD8467" t="s">
        <v>43430</v>
      </c>
      <c r="AE8467">
        <v>0</v>
      </c>
      <c r="AF8467" t="s">
        <v>45541</v>
      </c>
      <c r="AH8467">
        <v>20</v>
      </c>
      <c r="AI8467">
        <v>2</v>
      </c>
      <c r="AJ8467">
        <v>0</v>
      </c>
      <c r="AK8467">
        <v>116.1</v>
      </c>
      <c r="AN8467" t="s">
        <v>7439</v>
      </c>
      <c r="AO8467">
        <v>19632</v>
      </c>
      <c r="AU8467">
        <v>4</v>
      </c>
      <c r="AV8467" t="s">
        <v>827</v>
      </c>
      <c r="AW8467" t="s">
        <v>46836</v>
      </c>
      <c r="AX8467" t="s">
        <v>46897</v>
      </c>
    </row>
    <row r="8468" spans="1:50">
      <c r="A8468" s="1">
        <f>HYPERLINK("https://lsnyc.legalserver.org/matter/dynamic-profile/view/1901339","19-1901339")</f>
        <v>0</v>
      </c>
      <c r="B8468" t="s">
        <v>212</v>
      </c>
      <c r="C8468" t="s">
        <v>340</v>
      </c>
      <c r="D8468" t="s">
        <v>807</v>
      </c>
      <c r="F8468" t="s">
        <v>1473</v>
      </c>
      <c r="G8468" t="s">
        <v>8466</v>
      </c>
      <c r="H8468" t="s">
        <v>14983</v>
      </c>
      <c r="J8468" t="s">
        <v>18939</v>
      </c>
      <c r="K8468">
        <v>11423</v>
      </c>
      <c r="L8468" t="s">
        <v>18958</v>
      </c>
      <c r="M8468" t="s">
        <v>18960</v>
      </c>
      <c r="N8468" t="s">
        <v>25069</v>
      </c>
      <c r="O8468" t="s">
        <v>26526</v>
      </c>
      <c r="P8468" t="s">
        <v>26565</v>
      </c>
      <c r="R8468" t="s">
        <v>26578</v>
      </c>
      <c r="S8468" t="s">
        <v>18959</v>
      </c>
      <c r="U8468" t="s">
        <v>26604</v>
      </c>
      <c r="W8468" t="s">
        <v>807</v>
      </c>
      <c r="X8468">
        <v>700</v>
      </c>
      <c r="Y8468" t="s">
        <v>26653</v>
      </c>
      <c r="Z8468" t="s">
        <v>26664</v>
      </c>
      <c r="AB8468" t="s">
        <v>31790</v>
      </c>
      <c r="AD8468" t="s">
        <v>43431</v>
      </c>
      <c r="AE8468">
        <v>0</v>
      </c>
      <c r="AF8468" t="s">
        <v>45547</v>
      </c>
      <c r="AH8468">
        <v>53</v>
      </c>
      <c r="AI8468">
        <v>2</v>
      </c>
      <c r="AJ8468">
        <v>0</v>
      </c>
      <c r="AK8468">
        <v>59.61</v>
      </c>
      <c r="AN8468" t="s">
        <v>7439</v>
      </c>
      <c r="AO8468">
        <v>10080</v>
      </c>
      <c r="AU8468">
        <v>0.5</v>
      </c>
      <c r="AV8468" t="s">
        <v>807</v>
      </c>
      <c r="AW8468" t="s">
        <v>212</v>
      </c>
    </row>
    <row r="8469" spans="1:50">
      <c r="A8469" s="1">
        <f>HYPERLINK("https://lsnyc.legalserver.org/matter/dynamic-profile/view/1901400","19-1901400")</f>
        <v>0</v>
      </c>
      <c r="B8469" t="s">
        <v>68</v>
      </c>
      <c r="C8469" t="s">
        <v>340</v>
      </c>
      <c r="D8469" t="s">
        <v>807</v>
      </c>
      <c r="F8469" t="s">
        <v>4281</v>
      </c>
      <c r="G8469" t="s">
        <v>8699</v>
      </c>
      <c r="H8469" t="s">
        <v>15418</v>
      </c>
      <c r="I8469" t="s">
        <v>17496</v>
      </c>
      <c r="J8469" t="s">
        <v>18892</v>
      </c>
      <c r="K8469">
        <v>10467</v>
      </c>
      <c r="L8469" t="s">
        <v>18958</v>
      </c>
      <c r="M8469" t="s">
        <v>18960</v>
      </c>
      <c r="N8469" t="s">
        <v>25070</v>
      </c>
      <c r="O8469" t="s">
        <v>26524</v>
      </c>
      <c r="P8469" t="s">
        <v>26560</v>
      </c>
      <c r="R8469" t="s">
        <v>26579</v>
      </c>
      <c r="S8469" t="s">
        <v>18959</v>
      </c>
      <c r="U8469" t="s">
        <v>26604</v>
      </c>
      <c r="V8469" t="s">
        <v>26610</v>
      </c>
      <c r="W8469" t="s">
        <v>807</v>
      </c>
      <c r="X8469">
        <v>2064.42</v>
      </c>
      <c r="Y8469" t="s">
        <v>26650</v>
      </c>
      <c r="Z8469" t="s">
        <v>26659</v>
      </c>
      <c r="AB8469" t="s">
        <v>30699</v>
      </c>
      <c r="AC8469" t="s">
        <v>36521</v>
      </c>
      <c r="AD8469" t="s">
        <v>43432</v>
      </c>
      <c r="AE8469">
        <v>61</v>
      </c>
      <c r="AF8469" t="s">
        <v>45541</v>
      </c>
      <c r="AG8469" t="s">
        <v>19330</v>
      </c>
      <c r="AH8469">
        <v>5</v>
      </c>
      <c r="AI8469">
        <v>4</v>
      </c>
      <c r="AJ8469">
        <v>0</v>
      </c>
      <c r="AK8469">
        <v>97.09</v>
      </c>
      <c r="AN8469" t="s">
        <v>45582</v>
      </c>
      <c r="AO8469">
        <v>25000</v>
      </c>
      <c r="AU8469">
        <v>0.5</v>
      </c>
      <c r="AV8469" t="s">
        <v>729</v>
      </c>
      <c r="AW8469" t="s">
        <v>46836</v>
      </c>
      <c r="AX8469" t="s">
        <v>46898</v>
      </c>
    </row>
    <row r="8470" spans="1:50">
      <c r="A8470" s="1">
        <f>HYPERLINK("https://lsnyc.legalserver.org/matter/dynamic-profile/view/1901295","19-1901295")</f>
        <v>0</v>
      </c>
      <c r="B8470" t="s">
        <v>82</v>
      </c>
      <c r="C8470" t="s">
        <v>340</v>
      </c>
      <c r="D8470" t="s">
        <v>807</v>
      </c>
      <c r="F8470" t="s">
        <v>2922</v>
      </c>
      <c r="G8470" t="s">
        <v>5295</v>
      </c>
      <c r="H8470" t="s">
        <v>15419</v>
      </c>
      <c r="I8470">
        <v>220</v>
      </c>
      <c r="J8470" t="s">
        <v>18892</v>
      </c>
      <c r="K8470">
        <v>10457</v>
      </c>
      <c r="L8470" t="s">
        <v>18958</v>
      </c>
      <c r="M8470" t="s">
        <v>18960</v>
      </c>
      <c r="N8470" t="s">
        <v>25071</v>
      </c>
      <c r="O8470" t="s">
        <v>26523</v>
      </c>
      <c r="P8470" t="s">
        <v>26560</v>
      </c>
      <c r="R8470" t="s">
        <v>26577</v>
      </c>
      <c r="S8470" t="s">
        <v>18959</v>
      </c>
      <c r="U8470" t="s">
        <v>26604</v>
      </c>
      <c r="V8470" t="s">
        <v>26610</v>
      </c>
      <c r="W8470" t="s">
        <v>807</v>
      </c>
      <c r="X8470">
        <v>641</v>
      </c>
      <c r="Y8470" t="s">
        <v>26650</v>
      </c>
      <c r="Z8470" t="s">
        <v>26659</v>
      </c>
      <c r="AB8470" t="s">
        <v>32869</v>
      </c>
      <c r="AD8470" t="s">
        <v>43433</v>
      </c>
      <c r="AE8470">
        <v>353</v>
      </c>
      <c r="AF8470" t="s">
        <v>45552</v>
      </c>
      <c r="AG8470" t="s">
        <v>45556</v>
      </c>
      <c r="AH8470">
        <v>10</v>
      </c>
      <c r="AI8470">
        <v>3</v>
      </c>
      <c r="AJ8470">
        <v>1</v>
      </c>
      <c r="AK8470">
        <v>94.88</v>
      </c>
      <c r="AN8470" t="s">
        <v>7439</v>
      </c>
      <c r="AO8470">
        <v>24432</v>
      </c>
      <c r="AU8470">
        <v>0.1</v>
      </c>
      <c r="AV8470" t="s">
        <v>836</v>
      </c>
      <c r="AW8470" t="s">
        <v>46836</v>
      </c>
      <c r="AX8470" t="s">
        <v>46897</v>
      </c>
    </row>
    <row r="8471" spans="1:50">
      <c r="A8471" s="1">
        <f>HYPERLINK("https://lsnyc.legalserver.org/matter/dynamic-profile/view/1901398","19-1901398")</f>
        <v>0</v>
      </c>
      <c r="B8471" t="s">
        <v>218</v>
      </c>
      <c r="C8471" t="s">
        <v>340</v>
      </c>
      <c r="D8471" t="s">
        <v>807</v>
      </c>
      <c r="F8471" t="s">
        <v>2828</v>
      </c>
      <c r="G8471" t="s">
        <v>7398</v>
      </c>
      <c r="H8471" t="s">
        <v>12597</v>
      </c>
      <c r="I8471" t="s">
        <v>17406</v>
      </c>
      <c r="J8471" t="s">
        <v>18893</v>
      </c>
      <c r="K8471">
        <v>10032</v>
      </c>
      <c r="L8471" t="s">
        <v>18958</v>
      </c>
      <c r="M8471" t="s">
        <v>18960</v>
      </c>
      <c r="P8471" t="s">
        <v>26562</v>
      </c>
      <c r="R8471" t="s">
        <v>26578</v>
      </c>
      <c r="S8471" t="s">
        <v>18959</v>
      </c>
      <c r="U8471" t="s">
        <v>26604</v>
      </c>
      <c r="W8471" t="s">
        <v>807</v>
      </c>
      <c r="X8471">
        <v>858.16</v>
      </c>
      <c r="Y8471" t="s">
        <v>26651</v>
      </c>
      <c r="AB8471" t="s">
        <v>30553</v>
      </c>
      <c r="AE8471">
        <v>42</v>
      </c>
      <c r="AF8471" t="s">
        <v>45541</v>
      </c>
      <c r="AG8471" t="s">
        <v>19330</v>
      </c>
      <c r="AH8471">
        <v>35</v>
      </c>
      <c r="AI8471">
        <v>1</v>
      </c>
      <c r="AJ8471">
        <v>1</v>
      </c>
      <c r="AK8471">
        <v>100.25</v>
      </c>
      <c r="AN8471" t="s">
        <v>45581</v>
      </c>
      <c r="AO8471">
        <v>16952</v>
      </c>
      <c r="AU8471">
        <v>9.6</v>
      </c>
      <c r="AV8471" t="s">
        <v>836</v>
      </c>
      <c r="AW8471" t="s">
        <v>46840</v>
      </c>
      <c r="AX8471" t="s">
        <v>46897</v>
      </c>
    </row>
    <row r="8472" spans="1:50">
      <c r="A8472" s="1">
        <f>HYPERLINK("https://lsnyc.legalserver.org/matter/dynamic-profile/view/1901368","19-1901368")</f>
        <v>0</v>
      </c>
      <c r="B8472" t="s">
        <v>198</v>
      </c>
      <c r="C8472" t="s">
        <v>340</v>
      </c>
      <c r="D8472" t="s">
        <v>807</v>
      </c>
      <c r="F8472" t="s">
        <v>4282</v>
      </c>
      <c r="G8472" t="s">
        <v>8700</v>
      </c>
      <c r="H8472" t="s">
        <v>15420</v>
      </c>
      <c r="I8472" t="s">
        <v>17312</v>
      </c>
      <c r="J8472" t="s">
        <v>18894</v>
      </c>
      <c r="K8472">
        <v>11218</v>
      </c>
      <c r="L8472" t="s">
        <v>18958</v>
      </c>
      <c r="M8472" t="s">
        <v>18960</v>
      </c>
      <c r="R8472" t="s">
        <v>26578</v>
      </c>
      <c r="S8472" t="s">
        <v>18958</v>
      </c>
      <c r="U8472" t="s">
        <v>26604</v>
      </c>
      <c r="W8472" t="s">
        <v>807</v>
      </c>
      <c r="X8472">
        <v>0</v>
      </c>
      <c r="Y8472" t="s">
        <v>26652</v>
      </c>
      <c r="AB8472" t="s">
        <v>29348</v>
      </c>
      <c r="AE8472">
        <v>0</v>
      </c>
      <c r="AH8472">
        <v>0</v>
      </c>
      <c r="AI8472">
        <v>3</v>
      </c>
      <c r="AJ8472">
        <v>2</v>
      </c>
      <c r="AK8472">
        <v>80.20999999999999</v>
      </c>
      <c r="AN8472" t="s">
        <v>7439</v>
      </c>
      <c r="AO8472">
        <v>24200</v>
      </c>
      <c r="AU8472">
        <v>0.5</v>
      </c>
      <c r="AV8472" t="s">
        <v>807</v>
      </c>
      <c r="AW8472" t="s">
        <v>198</v>
      </c>
    </row>
    <row r="8473" spans="1:50">
      <c r="A8473" s="1">
        <f>HYPERLINK("https://lsnyc.legalserver.org/matter/dynamic-profile/view/1898163","19-1898163")</f>
        <v>0</v>
      </c>
      <c r="B8473" t="s">
        <v>54</v>
      </c>
      <c r="C8473" t="s">
        <v>340</v>
      </c>
      <c r="D8473" t="s">
        <v>765</v>
      </c>
      <c r="F8473" t="s">
        <v>4283</v>
      </c>
      <c r="G8473" t="s">
        <v>1685</v>
      </c>
      <c r="H8473" t="s">
        <v>15421</v>
      </c>
      <c r="I8473">
        <v>1</v>
      </c>
      <c r="J8473" t="s">
        <v>18892</v>
      </c>
      <c r="K8473">
        <v>10468</v>
      </c>
      <c r="L8473" t="s">
        <v>18958</v>
      </c>
      <c r="M8473" t="s">
        <v>18958</v>
      </c>
      <c r="N8473" t="s">
        <v>25072</v>
      </c>
      <c r="O8473" t="s">
        <v>26523</v>
      </c>
      <c r="P8473" t="s">
        <v>26560</v>
      </c>
      <c r="R8473" t="s">
        <v>26579</v>
      </c>
      <c r="S8473" t="s">
        <v>18959</v>
      </c>
      <c r="U8473" t="s">
        <v>26604</v>
      </c>
      <c r="V8473" t="s">
        <v>26610</v>
      </c>
      <c r="W8473" t="s">
        <v>729</v>
      </c>
      <c r="X8473">
        <v>898</v>
      </c>
      <c r="Y8473" t="s">
        <v>26650</v>
      </c>
      <c r="Z8473" t="s">
        <v>26668</v>
      </c>
      <c r="AB8473" t="s">
        <v>32870</v>
      </c>
      <c r="AD8473" t="s">
        <v>43434</v>
      </c>
      <c r="AE8473">
        <v>5</v>
      </c>
      <c r="AF8473" t="s">
        <v>45542</v>
      </c>
      <c r="AG8473" t="s">
        <v>19330</v>
      </c>
      <c r="AH8473">
        <v>2</v>
      </c>
      <c r="AI8473">
        <v>2</v>
      </c>
      <c r="AJ8473">
        <v>2</v>
      </c>
      <c r="AK8473">
        <v>116.5</v>
      </c>
      <c r="AN8473" t="s">
        <v>7439</v>
      </c>
      <c r="AO8473">
        <v>30000</v>
      </c>
      <c r="AU8473">
        <v>4.7</v>
      </c>
      <c r="AV8473" t="s">
        <v>814</v>
      </c>
      <c r="AW8473" t="s">
        <v>46832</v>
      </c>
      <c r="AX8473" t="s">
        <v>46897</v>
      </c>
    </row>
    <row r="8474" spans="1:50">
      <c r="A8474" s="1">
        <f>HYPERLINK("https://lsnyc.legalserver.org/matter/dynamic-profile/view/1901437","19-1901437")</f>
        <v>0</v>
      </c>
      <c r="B8474" t="s">
        <v>300</v>
      </c>
      <c r="C8474" t="s">
        <v>341</v>
      </c>
      <c r="D8474" t="s">
        <v>729</v>
      </c>
      <c r="E8474" t="s">
        <v>832</v>
      </c>
      <c r="F8474" t="s">
        <v>4078</v>
      </c>
      <c r="G8474" t="s">
        <v>8701</v>
      </c>
      <c r="H8474" t="s">
        <v>15422</v>
      </c>
      <c r="I8474">
        <v>43</v>
      </c>
      <c r="J8474" t="s">
        <v>18893</v>
      </c>
      <c r="K8474">
        <v>10033</v>
      </c>
      <c r="L8474" t="s">
        <v>18958</v>
      </c>
      <c r="M8474" t="s">
        <v>18960</v>
      </c>
      <c r="O8474" t="s">
        <v>26529</v>
      </c>
      <c r="P8474" t="s">
        <v>26565</v>
      </c>
      <c r="Q8474" t="s">
        <v>26571</v>
      </c>
      <c r="R8474" t="s">
        <v>26578</v>
      </c>
      <c r="S8474" t="s">
        <v>18959</v>
      </c>
      <c r="U8474" t="s">
        <v>26604</v>
      </c>
      <c r="W8474" t="s">
        <v>729</v>
      </c>
      <c r="X8474">
        <v>2900</v>
      </c>
      <c r="Y8474" t="s">
        <v>26651</v>
      </c>
      <c r="Z8474" t="s">
        <v>26661</v>
      </c>
      <c r="AA8474" t="s">
        <v>26683</v>
      </c>
      <c r="AB8474" t="s">
        <v>32871</v>
      </c>
      <c r="AE8474">
        <v>54</v>
      </c>
      <c r="AF8474" t="s">
        <v>45541</v>
      </c>
      <c r="AG8474" t="s">
        <v>19330</v>
      </c>
      <c r="AH8474">
        <v>3</v>
      </c>
      <c r="AI8474">
        <v>1</v>
      </c>
      <c r="AJ8474">
        <v>0</v>
      </c>
      <c r="AK8474">
        <v>336.27</v>
      </c>
      <c r="AN8474" t="s">
        <v>7439</v>
      </c>
      <c r="AO8474">
        <v>42000</v>
      </c>
      <c r="AU8474">
        <v>0.25</v>
      </c>
      <c r="AV8474" t="s">
        <v>832</v>
      </c>
      <c r="AW8474" t="s">
        <v>46840</v>
      </c>
      <c r="AX8474" t="s">
        <v>46897</v>
      </c>
    </row>
    <row r="8475" spans="1:50">
      <c r="A8475" s="1">
        <f>HYPERLINK("https://lsnyc.legalserver.org/matter/dynamic-profile/view/1901452","19-1901452")</f>
        <v>0</v>
      </c>
      <c r="B8475" t="s">
        <v>300</v>
      </c>
      <c r="C8475" t="s">
        <v>341</v>
      </c>
      <c r="D8475" t="s">
        <v>729</v>
      </c>
      <c r="E8475" t="s">
        <v>833</v>
      </c>
      <c r="F8475" t="s">
        <v>1076</v>
      </c>
      <c r="G8475" t="s">
        <v>8702</v>
      </c>
      <c r="H8475" t="s">
        <v>9757</v>
      </c>
      <c r="I8475" t="s">
        <v>17356</v>
      </c>
      <c r="J8475" t="s">
        <v>18893</v>
      </c>
      <c r="K8475">
        <v>10034</v>
      </c>
      <c r="L8475" t="s">
        <v>18958</v>
      </c>
      <c r="M8475" t="s">
        <v>18960</v>
      </c>
      <c r="O8475" t="s">
        <v>26529</v>
      </c>
      <c r="P8475" t="s">
        <v>26565</v>
      </c>
      <c r="Q8475" t="s">
        <v>26571</v>
      </c>
      <c r="R8475" t="s">
        <v>26578</v>
      </c>
      <c r="S8475" t="s">
        <v>18959</v>
      </c>
      <c r="U8475" t="s">
        <v>26604</v>
      </c>
      <c r="W8475" t="s">
        <v>729</v>
      </c>
      <c r="X8475">
        <v>2300</v>
      </c>
      <c r="Y8475" t="s">
        <v>26651</v>
      </c>
      <c r="Z8475" t="s">
        <v>26661</v>
      </c>
      <c r="AA8475" t="s">
        <v>26682</v>
      </c>
      <c r="AB8475" t="s">
        <v>32872</v>
      </c>
      <c r="AD8475" t="s">
        <v>43435</v>
      </c>
      <c r="AE8475">
        <v>67</v>
      </c>
      <c r="AF8475" t="s">
        <v>45541</v>
      </c>
      <c r="AG8475" t="s">
        <v>19330</v>
      </c>
      <c r="AH8475">
        <v>1</v>
      </c>
      <c r="AI8475">
        <v>2</v>
      </c>
      <c r="AJ8475">
        <v>0</v>
      </c>
      <c r="AK8475">
        <v>810.17</v>
      </c>
      <c r="AN8475" t="s">
        <v>7439</v>
      </c>
      <c r="AO8475">
        <v>137000</v>
      </c>
      <c r="AU8475">
        <v>0.25</v>
      </c>
      <c r="AV8475" t="s">
        <v>832</v>
      </c>
      <c r="AW8475" t="s">
        <v>46840</v>
      </c>
      <c r="AX8475" t="s">
        <v>46897</v>
      </c>
    </row>
    <row r="8476" spans="1:50">
      <c r="A8476" s="1">
        <f>HYPERLINK("https://lsnyc.legalserver.org/matter/dynamic-profile/view/1901505","19-1901505")</f>
        <v>0</v>
      </c>
      <c r="B8476" t="s">
        <v>288</v>
      </c>
      <c r="C8476" t="s">
        <v>341</v>
      </c>
      <c r="D8476" t="s">
        <v>729</v>
      </c>
      <c r="E8476" t="s">
        <v>814</v>
      </c>
      <c r="F8476" t="s">
        <v>2002</v>
      </c>
      <c r="G8476" t="s">
        <v>8703</v>
      </c>
      <c r="H8476" t="s">
        <v>15423</v>
      </c>
      <c r="I8476" t="s">
        <v>17309</v>
      </c>
      <c r="J8476" t="s">
        <v>18894</v>
      </c>
      <c r="K8476">
        <v>11214</v>
      </c>
      <c r="L8476" t="s">
        <v>18959</v>
      </c>
      <c r="M8476" t="s">
        <v>18960</v>
      </c>
      <c r="N8476" t="s">
        <v>25073</v>
      </c>
      <c r="O8476" t="s">
        <v>26524</v>
      </c>
      <c r="P8476" t="s">
        <v>26560</v>
      </c>
      <c r="Q8476" t="s">
        <v>26571</v>
      </c>
      <c r="R8476" t="s">
        <v>26586</v>
      </c>
      <c r="U8476" t="s">
        <v>26604</v>
      </c>
      <c r="W8476" t="s">
        <v>729</v>
      </c>
      <c r="X8476">
        <v>1800</v>
      </c>
      <c r="Y8476" t="s">
        <v>26652</v>
      </c>
      <c r="Z8476" t="s">
        <v>26661</v>
      </c>
      <c r="AA8476" t="s">
        <v>26683</v>
      </c>
      <c r="AB8476" t="s">
        <v>32873</v>
      </c>
      <c r="AD8476" t="s">
        <v>43436</v>
      </c>
      <c r="AE8476">
        <v>3</v>
      </c>
      <c r="AF8476" t="s">
        <v>20460</v>
      </c>
      <c r="AH8476">
        <v>12</v>
      </c>
      <c r="AI8476">
        <v>3</v>
      </c>
      <c r="AJ8476">
        <v>1</v>
      </c>
      <c r="AK8476">
        <v>121.17</v>
      </c>
      <c r="AO8476">
        <v>31200</v>
      </c>
      <c r="AU8476">
        <v>0.6</v>
      </c>
      <c r="AV8476" t="s">
        <v>814</v>
      </c>
      <c r="AW8476" t="s">
        <v>46856</v>
      </c>
    </row>
    <row r="8477" spans="1:50">
      <c r="A8477" s="1">
        <f>HYPERLINK("https://lsnyc.legalserver.org/matter/dynamic-profile/view/1901322","19-1901322")</f>
        <v>0</v>
      </c>
      <c r="B8477" t="s">
        <v>300</v>
      </c>
      <c r="C8477" t="s">
        <v>340</v>
      </c>
      <c r="D8477" t="s">
        <v>729</v>
      </c>
      <c r="F8477" t="s">
        <v>1562</v>
      </c>
      <c r="G8477" t="s">
        <v>6908</v>
      </c>
      <c r="H8477" t="s">
        <v>15424</v>
      </c>
      <c r="I8477">
        <v>53</v>
      </c>
      <c r="J8477" t="s">
        <v>18893</v>
      </c>
      <c r="K8477">
        <v>10033</v>
      </c>
      <c r="L8477" t="s">
        <v>18958</v>
      </c>
      <c r="M8477" t="s">
        <v>18960</v>
      </c>
      <c r="O8477" t="s">
        <v>26529</v>
      </c>
      <c r="P8477" t="s">
        <v>26565</v>
      </c>
      <c r="R8477" t="s">
        <v>26578</v>
      </c>
      <c r="S8477" t="s">
        <v>18959</v>
      </c>
      <c r="U8477" t="s">
        <v>26604</v>
      </c>
      <c r="W8477" t="s">
        <v>729</v>
      </c>
      <c r="X8477">
        <v>2050</v>
      </c>
      <c r="Y8477" t="s">
        <v>26651</v>
      </c>
      <c r="Z8477" t="s">
        <v>26661</v>
      </c>
      <c r="AB8477" t="s">
        <v>32874</v>
      </c>
      <c r="AD8477" t="s">
        <v>43437</v>
      </c>
      <c r="AE8477">
        <v>58</v>
      </c>
      <c r="AF8477" t="s">
        <v>45541</v>
      </c>
      <c r="AG8477" t="s">
        <v>19330</v>
      </c>
      <c r="AH8477">
        <v>8</v>
      </c>
      <c r="AI8477">
        <v>1</v>
      </c>
      <c r="AJ8477">
        <v>0</v>
      </c>
      <c r="AK8477">
        <v>240.19</v>
      </c>
      <c r="AN8477" t="s">
        <v>7439</v>
      </c>
      <c r="AO8477">
        <v>30000</v>
      </c>
      <c r="AU8477">
        <v>0.25</v>
      </c>
      <c r="AV8477" t="s">
        <v>832</v>
      </c>
      <c r="AW8477" t="s">
        <v>46840</v>
      </c>
      <c r="AX8477" t="s">
        <v>46897</v>
      </c>
    </row>
    <row r="8478" spans="1:50">
      <c r="A8478" s="1">
        <f>HYPERLINK("https://lsnyc.legalserver.org/matter/dynamic-profile/view/1901446","19-1901446")</f>
        <v>0</v>
      </c>
      <c r="B8478" t="s">
        <v>300</v>
      </c>
      <c r="C8478" t="s">
        <v>340</v>
      </c>
      <c r="D8478" t="s">
        <v>729</v>
      </c>
      <c r="F8478" t="s">
        <v>1306</v>
      </c>
      <c r="G8478" t="s">
        <v>6270</v>
      </c>
      <c r="H8478" t="s">
        <v>15425</v>
      </c>
      <c r="I8478" t="s">
        <v>17349</v>
      </c>
      <c r="J8478" t="s">
        <v>18893</v>
      </c>
      <c r="K8478">
        <v>10040</v>
      </c>
      <c r="L8478" t="s">
        <v>18958</v>
      </c>
      <c r="M8478" t="s">
        <v>18960</v>
      </c>
      <c r="O8478" t="s">
        <v>26529</v>
      </c>
      <c r="P8478" t="s">
        <v>26565</v>
      </c>
      <c r="R8478" t="s">
        <v>26578</v>
      </c>
      <c r="S8478" t="s">
        <v>18959</v>
      </c>
      <c r="U8478" t="s">
        <v>26604</v>
      </c>
      <c r="W8478" t="s">
        <v>729</v>
      </c>
      <c r="X8478">
        <v>1775</v>
      </c>
      <c r="Y8478" t="s">
        <v>26651</v>
      </c>
      <c r="Z8478" t="s">
        <v>26661</v>
      </c>
      <c r="AB8478" t="s">
        <v>32875</v>
      </c>
      <c r="AE8478">
        <v>41</v>
      </c>
      <c r="AF8478" t="s">
        <v>45541</v>
      </c>
      <c r="AG8478" t="s">
        <v>19330</v>
      </c>
      <c r="AH8478">
        <v>4</v>
      </c>
      <c r="AI8478">
        <v>1</v>
      </c>
      <c r="AJ8478">
        <v>2</v>
      </c>
      <c r="AK8478">
        <v>262.54</v>
      </c>
      <c r="AN8478" t="s">
        <v>7439</v>
      </c>
      <c r="AO8478">
        <v>56000</v>
      </c>
      <c r="AU8478">
        <v>0.25</v>
      </c>
      <c r="AV8478" t="s">
        <v>832</v>
      </c>
      <c r="AW8478" t="s">
        <v>46840</v>
      </c>
      <c r="AX8478" t="s">
        <v>46897</v>
      </c>
    </row>
    <row r="8479" spans="1:50">
      <c r="A8479" s="1">
        <f>HYPERLINK("https://lsnyc.legalserver.org/matter/dynamic-profile/view/1901427","19-1901427")</f>
        <v>0</v>
      </c>
      <c r="B8479" t="s">
        <v>278</v>
      </c>
      <c r="C8479" t="s">
        <v>340</v>
      </c>
      <c r="D8479" t="s">
        <v>729</v>
      </c>
      <c r="F8479" t="s">
        <v>2576</v>
      </c>
      <c r="G8479" t="s">
        <v>879</v>
      </c>
      <c r="H8479" t="s">
        <v>12212</v>
      </c>
      <c r="I8479" t="s">
        <v>17274</v>
      </c>
      <c r="J8479" t="s">
        <v>18902</v>
      </c>
      <c r="K8479">
        <v>10310</v>
      </c>
      <c r="L8479" t="s">
        <v>18958</v>
      </c>
      <c r="M8479" t="s">
        <v>18960</v>
      </c>
      <c r="N8479" t="s">
        <v>25074</v>
      </c>
      <c r="O8479" t="s">
        <v>26523</v>
      </c>
      <c r="R8479" t="s">
        <v>26590</v>
      </c>
      <c r="S8479" t="s">
        <v>18959</v>
      </c>
      <c r="U8479" t="s">
        <v>26604</v>
      </c>
      <c r="V8479" t="s">
        <v>26610</v>
      </c>
      <c r="W8479" t="s">
        <v>729</v>
      </c>
      <c r="X8479">
        <v>860</v>
      </c>
      <c r="Y8479" t="s">
        <v>26654</v>
      </c>
      <c r="Z8479" t="s">
        <v>26668</v>
      </c>
      <c r="AB8479" t="s">
        <v>28430</v>
      </c>
      <c r="AD8479" t="s">
        <v>39559</v>
      </c>
      <c r="AE8479">
        <v>0</v>
      </c>
      <c r="AF8479" t="s">
        <v>45541</v>
      </c>
      <c r="AG8479" t="s">
        <v>19330</v>
      </c>
      <c r="AH8479">
        <v>5</v>
      </c>
      <c r="AI8479">
        <v>1</v>
      </c>
      <c r="AJ8479">
        <v>2</v>
      </c>
      <c r="AK8479">
        <v>169.47</v>
      </c>
      <c r="AN8479" t="s">
        <v>7439</v>
      </c>
      <c r="AO8479">
        <v>36148.32</v>
      </c>
      <c r="AU8479">
        <v>1</v>
      </c>
      <c r="AV8479" t="s">
        <v>831</v>
      </c>
      <c r="AW8479" t="s">
        <v>46883</v>
      </c>
      <c r="AX8479" t="s">
        <v>46897</v>
      </c>
    </row>
    <row r="8480" spans="1:50">
      <c r="A8480" s="1">
        <f>HYPERLINK("https://lsnyc.legalserver.org/matter/dynamic-profile/view/1901514","19-1901514")</f>
        <v>0</v>
      </c>
      <c r="B8480" t="s">
        <v>243</v>
      </c>
      <c r="C8480" t="s">
        <v>340</v>
      </c>
      <c r="D8480" t="s">
        <v>729</v>
      </c>
      <c r="F8480" t="s">
        <v>916</v>
      </c>
      <c r="G8480" t="s">
        <v>8704</v>
      </c>
      <c r="H8480" t="s">
        <v>11135</v>
      </c>
      <c r="I8480" t="s">
        <v>17293</v>
      </c>
      <c r="J8480" t="s">
        <v>18894</v>
      </c>
      <c r="K8480">
        <v>11225</v>
      </c>
      <c r="L8480" t="s">
        <v>18958</v>
      </c>
      <c r="M8480" t="s">
        <v>18960</v>
      </c>
      <c r="P8480" t="s">
        <v>26562</v>
      </c>
      <c r="R8480" t="s">
        <v>26578</v>
      </c>
      <c r="S8480" t="s">
        <v>18958</v>
      </c>
      <c r="U8480" t="s">
        <v>26604</v>
      </c>
      <c r="W8480" t="s">
        <v>729</v>
      </c>
      <c r="X8480">
        <v>0</v>
      </c>
      <c r="Y8480" t="s">
        <v>26652</v>
      </c>
      <c r="AB8480" t="s">
        <v>32876</v>
      </c>
      <c r="AD8480" t="s">
        <v>43438</v>
      </c>
      <c r="AE8480">
        <v>0</v>
      </c>
      <c r="AH8480">
        <v>0</v>
      </c>
      <c r="AI8480">
        <v>4</v>
      </c>
      <c r="AJ8480">
        <v>0</v>
      </c>
      <c r="AK8480">
        <v>36.25</v>
      </c>
      <c r="AN8480" t="s">
        <v>7439</v>
      </c>
      <c r="AO8480">
        <v>9335.16</v>
      </c>
      <c r="AU8480">
        <v>0</v>
      </c>
      <c r="AW8480" t="s">
        <v>219</v>
      </c>
      <c r="AX8480" t="s">
        <v>46897</v>
      </c>
    </row>
    <row r="8481" spans="1:50">
      <c r="A8481" s="1">
        <f>HYPERLINK("https://lsnyc.legalserver.org/matter/dynamic-profile/view/1901434","19-1901434")</f>
        <v>0</v>
      </c>
      <c r="B8481" t="s">
        <v>153</v>
      </c>
      <c r="C8481" t="s">
        <v>340</v>
      </c>
      <c r="D8481" t="s">
        <v>729</v>
      </c>
      <c r="F8481" t="s">
        <v>1191</v>
      </c>
      <c r="G8481" t="s">
        <v>5644</v>
      </c>
      <c r="H8481" t="s">
        <v>15262</v>
      </c>
      <c r="I8481" t="s">
        <v>17321</v>
      </c>
      <c r="J8481" t="s">
        <v>18902</v>
      </c>
      <c r="K8481">
        <v>10310</v>
      </c>
      <c r="L8481" t="s">
        <v>18958</v>
      </c>
      <c r="M8481" t="s">
        <v>18960</v>
      </c>
      <c r="N8481" t="s">
        <v>25075</v>
      </c>
      <c r="O8481" t="s">
        <v>26523</v>
      </c>
      <c r="R8481" t="s">
        <v>26590</v>
      </c>
      <c r="S8481" t="s">
        <v>18959</v>
      </c>
      <c r="U8481" t="s">
        <v>26605</v>
      </c>
      <c r="V8481" t="s">
        <v>26610</v>
      </c>
      <c r="W8481" t="s">
        <v>729</v>
      </c>
      <c r="X8481">
        <v>538</v>
      </c>
      <c r="Y8481" t="s">
        <v>26654</v>
      </c>
      <c r="Z8481" t="s">
        <v>26668</v>
      </c>
      <c r="AB8481" t="s">
        <v>32877</v>
      </c>
      <c r="AD8481" t="s">
        <v>43439</v>
      </c>
      <c r="AE8481">
        <v>0</v>
      </c>
      <c r="AF8481" t="s">
        <v>45543</v>
      </c>
      <c r="AG8481" t="s">
        <v>19330</v>
      </c>
      <c r="AH8481">
        <v>2</v>
      </c>
      <c r="AI8481">
        <v>1</v>
      </c>
      <c r="AJ8481">
        <v>3</v>
      </c>
      <c r="AK8481">
        <v>68.04000000000001</v>
      </c>
      <c r="AN8481" t="s">
        <v>7439</v>
      </c>
      <c r="AO8481">
        <v>17520</v>
      </c>
      <c r="AU8481">
        <v>2.2</v>
      </c>
      <c r="AV8481" t="s">
        <v>838</v>
      </c>
      <c r="AW8481" t="s">
        <v>46883</v>
      </c>
      <c r="AX8481" t="s">
        <v>46897</v>
      </c>
    </row>
    <row r="8482" spans="1:50">
      <c r="A8482" s="1">
        <f>HYPERLINK("https://lsnyc.legalserver.org/matter/dynamic-profile/view/1901524","19-1901524")</f>
        <v>0</v>
      </c>
      <c r="B8482" t="s">
        <v>199</v>
      </c>
      <c r="C8482" t="s">
        <v>340</v>
      </c>
      <c r="D8482" t="s">
        <v>729</v>
      </c>
      <c r="F8482" t="s">
        <v>2264</v>
      </c>
      <c r="G8482" t="s">
        <v>6456</v>
      </c>
      <c r="H8482" t="s">
        <v>11648</v>
      </c>
      <c r="I8482" t="s">
        <v>17490</v>
      </c>
      <c r="J8482" t="s">
        <v>18894</v>
      </c>
      <c r="K8482">
        <v>11238</v>
      </c>
      <c r="L8482" t="s">
        <v>18958</v>
      </c>
      <c r="M8482" t="s">
        <v>18960</v>
      </c>
      <c r="R8482" t="s">
        <v>26578</v>
      </c>
      <c r="U8482" t="s">
        <v>26604</v>
      </c>
      <c r="W8482" t="s">
        <v>729</v>
      </c>
      <c r="X8482">
        <v>0</v>
      </c>
      <c r="Y8482" t="s">
        <v>26652</v>
      </c>
      <c r="AB8482" t="s">
        <v>28855</v>
      </c>
      <c r="AD8482" t="s">
        <v>38915</v>
      </c>
      <c r="AE8482">
        <v>0</v>
      </c>
      <c r="AH8482">
        <v>0</v>
      </c>
      <c r="AI8482">
        <v>2</v>
      </c>
      <c r="AJ8482">
        <v>0</v>
      </c>
      <c r="AK8482">
        <v>396.83</v>
      </c>
      <c r="AN8482" t="s">
        <v>7439</v>
      </c>
      <c r="AO8482">
        <v>67104</v>
      </c>
      <c r="AU8482">
        <v>0.2</v>
      </c>
      <c r="AV8482" t="s">
        <v>729</v>
      </c>
      <c r="AW8482" t="s">
        <v>198</v>
      </c>
    </row>
    <row r="8483" spans="1:50">
      <c r="A8483" s="1">
        <f>HYPERLINK("https://lsnyc.legalserver.org/matter/dynamic-profile/view/1901526","19-1901526")</f>
        <v>0</v>
      </c>
      <c r="B8483" t="s">
        <v>199</v>
      </c>
      <c r="C8483" t="s">
        <v>340</v>
      </c>
      <c r="D8483" t="s">
        <v>729</v>
      </c>
      <c r="F8483" t="s">
        <v>2264</v>
      </c>
      <c r="G8483" t="s">
        <v>6456</v>
      </c>
      <c r="H8483" t="s">
        <v>11648</v>
      </c>
      <c r="I8483" t="s">
        <v>17490</v>
      </c>
      <c r="J8483" t="s">
        <v>18894</v>
      </c>
      <c r="K8483">
        <v>11238</v>
      </c>
      <c r="L8483" t="s">
        <v>18958</v>
      </c>
      <c r="M8483" t="s">
        <v>18960</v>
      </c>
      <c r="R8483" t="s">
        <v>26578</v>
      </c>
      <c r="U8483" t="s">
        <v>26604</v>
      </c>
      <c r="W8483" t="s">
        <v>729</v>
      </c>
      <c r="X8483">
        <v>0</v>
      </c>
      <c r="Y8483" t="s">
        <v>26652</v>
      </c>
      <c r="AB8483" t="s">
        <v>28855</v>
      </c>
      <c r="AD8483" t="s">
        <v>38915</v>
      </c>
      <c r="AE8483">
        <v>0</v>
      </c>
      <c r="AH8483">
        <v>0</v>
      </c>
      <c r="AI8483">
        <v>2</v>
      </c>
      <c r="AJ8483">
        <v>0</v>
      </c>
      <c r="AK8483">
        <v>396.83</v>
      </c>
      <c r="AN8483" t="s">
        <v>7439</v>
      </c>
      <c r="AO8483">
        <v>67104</v>
      </c>
      <c r="AU8483">
        <v>0.2</v>
      </c>
      <c r="AV8483" t="s">
        <v>729</v>
      </c>
      <c r="AW8483" t="s">
        <v>198</v>
      </c>
    </row>
    <row r="8484" spans="1:50">
      <c r="A8484" s="1">
        <f>HYPERLINK("https://lsnyc.legalserver.org/matter/dynamic-profile/view/1901527","19-1901527")</f>
        <v>0</v>
      </c>
      <c r="B8484" t="s">
        <v>199</v>
      </c>
      <c r="C8484" t="s">
        <v>340</v>
      </c>
      <c r="D8484" t="s">
        <v>729</v>
      </c>
      <c r="F8484" t="s">
        <v>2264</v>
      </c>
      <c r="G8484" t="s">
        <v>6456</v>
      </c>
      <c r="H8484" t="s">
        <v>11648</v>
      </c>
      <c r="I8484" t="s">
        <v>17490</v>
      </c>
      <c r="J8484" t="s">
        <v>18894</v>
      </c>
      <c r="K8484">
        <v>11238</v>
      </c>
      <c r="L8484" t="s">
        <v>18958</v>
      </c>
      <c r="M8484" t="s">
        <v>18960</v>
      </c>
      <c r="R8484" t="s">
        <v>26578</v>
      </c>
      <c r="U8484" t="s">
        <v>26604</v>
      </c>
      <c r="W8484" t="s">
        <v>729</v>
      </c>
      <c r="X8484">
        <v>0</v>
      </c>
      <c r="Y8484" t="s">
        <v>26652</v>
      </c>
      <c r="AB8484" t="s">
        <v>28855</v>
      </c>
      <c r="AD8484" t="s">
        <v>38915</v>
      </c>
      <c r="AE8484">
        <v>0</v>
      </c>
      <c r="AH8484">
        <v>0</v>
      </c>
      <c r="AI8484">
        <v>2</v>
      </c>
      <c r="AJ8484">
        <v>0</v>
      </c>
      <c r="AK8484">
        <v>396.83</v>
      </c>
      <c r="AN8484" t="s">
        <v>7439</v>
      </c>
      <c r="AO8484">
        <v>67104</v>
      </c>
      <c r="AU8484">
        <v>0.2</v>
      </c>
      <c r="AV8484" t="s">
        <v>729</v>
      </c>
      <c r="AW8484" t="s">
        <v>198</v>
      </c>
    </row>
    <row r="8485" spans="1:50">
      <c r="A8485" s="1">
        <f>HYPERLINK("https://lsnyc.legalserver.org/matter/dynamic-profile/view/1901519","19-1901519")</f>
        <v>0</v>
      </c>
      <c r="B8485" t="s">
        <v>273</v>
      </c>
      <c r="C8485" t="s">
        <v>340</v>
      </c>
      <c r="D8485" t="s">
        <v>729</v>
      </c>
      <c r="F8485" t="s">
        <v>2233</v>
      </c>
      <c r="G8485" t="s">
        <v>8705</v>
      </c>
      <c r="H8485" t="s">
        <v>15022</v>
      </c>
      <c r="I8485" t="s">
        <v>17275</v>
      </c>
      <c r="J8485" t="s">
        <v>18893</v>
      </c>
      <c r="K8485">
        <v>10033</v>
      </c>
      <c r="L8485" t="s">
        <v>18958</v>
      </c>
      <c r="M8485" t="s">
        <v>18960</v>
      </c>
      <c r="N8485" t="s">
        <v>25076</v>
      </c>
      <c r="O8485" t="s">
        <v>26529</v>
      </c>
      <c r="P8485" t="s">
        <v>26564</v>
      </c>
      <c r="R8485" t="s">
        <v>26578</v>
      </c>
      <c r="S8485" t="s">
        <v>18959</v>
      </c>
      <c r="U8485" t="s">
        <v>26604</v>
      </c>
      <c r="W8485" t="s">
        <v>729</v>
      </c>
      <c r="X8485">
        <v>848.29</v>
      </c>
      <c r="Y8485" t="s">
        <v>26651</v>
      </c>
      <c r="Z8485" t="s">
        <v>26661</v>
      </c>
      <c r="AB8485" t="s">
        <v>32878</v>
      </c>
      <c r="AD8485" t="s">
        <v>43440</v>
      </c>
      <c r="AE8485">
        <v>29</v>
      </c>
      <c r="AF8485" t="s">
        <v>45541</v>
      </c>
      <c r="AG8485" t="s">
        <v>19330</v>
      </c>
      <c r="AH8485">
        <v>24</v>
      </c>
      <c r="AI8485">
        <v>1</v>
      </c>
      <c r="AJ8485">
        <v>0</v>
      </c>
      <c r="AK8485">
        <v>71.09999999999999</v>
      </c>
      <c r="AN8485" t="s">
        <v>45581</v>
      </c>
      <c r="AO8485">
        <v>8880</v>
      </c>
      <c r="AU8485">
        <v>1.5</v>
      </c>
      <c r="AV8485" t="s">
        <v>830</v>
      </c>
      <c r="AW8485" t="s">
        <v>46840</v>
      </c>
      <c r="AX8485" t="s">
        <v>46897</v>
      </c>
    </row>
    <row r="8486" spans="1:50">
      <c r="A8486" s="1">
        <f>HYPERLINK("https://lsnyc.legalserver.org/matter/dynamic-profile/view/1901429","19-1901429")</f>
        <v>0</v>
      </c>
      <c r="B8486" t="s">
        <v>273</v>
      </c>
      <c r="C8486" t="s">
        <v>340</v>
      </c>
      <c r="D8486" t="s">
        <v>729</v>
      </c>
      <c r="F8486" t="s">
        <v>875</v>
      </c>
      <c r="G8486" t="s">
        <v>2925</v>
      </c>
      <c r="H8486" t="s">
        <v>10503</v>
      </c>
      <c r="I8486">
        <v>35</v>
      </c>
      <c r="J8486" t="s">
        <v>18893</v>
      </c>
      <c r="K8486">
        <v>10034</v>
      </c>
      <c r="L8486" t="s">
        <v>18958</v>
      </c>
      <c r="M8486" t="s">
        <v>18960</v>
      </c>
      <c r="O8486" t="s">
        <v>26529</v>
      </c>
      <c r="P8486" t="s">
        <v>26564</v>
      </c>
      <c r="R8486" t="s">
        <v>26578</v>
      </c>
      <c r="S8486" t="s">
        <v>18959</v>
      </c>
      <c r="U8486" t="s">
        <v>26604</v>
      </c>
      <c r="W8486" t="s">
        <v>729</v>
      </c>
      <c r="X8486">
        <v>0</v>
      </c>
      <c r="Y8486" t="s">
        <v>26651</v>
      </c>
      <c r="Z8486" t="s">
        <v>26661</v>
      </c>
      <c r="AB8486" t="s">
        <v>32879</v>
      </c>
      <c r="AD8486" t="s">
        <v>43441</v>
      </c>
      <c r="AE8486">
        <v>29</v>
      </c>
      <c r="AG8486" t="s">
        <v>45556</v>
      </c>
      <c r="AH8486">
        <v>38</v>
      </c>
      <c r="AI8486">
        <v>1</v>
      </c>
      <c r="AJ8486">
        <v>0</v>
      </c>
      <c r="AK8486">
        <v>72.06</v>
      </c>
      <c r="AN8486" t="s">
        <v>45581</v>
      </c>
      <c r="AO8486">
        <v>9000</v>
      </c>
      <c r="AU8486">
        <v>1.5</v>
      </c>
      <c r="AV8486" t="s">
        <v>830</v>
      </c>
      <c r="AW8486" t="s">
        <v>46840</v>
      </c>
      <c r="AX8486" t="s">
        <v>46897</v>
      </c>
    </row>
    <row r="8487" spans="1:50">
      <c r="A8487" s="1">
        <f>HYPERLINK("https://lsnyc.legalserver.org/matter/dynamic-profile/view/1901495","19-1901495")</f>
        <v>0</v>
      </c>
      <c r="B8487" t="s">
        <v>273</v>
      </c>
      <c r="C8487" t="s">
        <v>340</v>
      </c>
      <c r="D8487" t="s">
        <v>729</v>
      </c>
      <c r="F8487" t="s">
        <v>4284</v>
      </c>
      <c r="G8487" t="s">
        <v>5657</v>
      </c>
      <c r="H8487" t="s">
        <v>15426</v>
      </c>
      <c r="I8487">
        <v>31</v>
      </c>
      <c r="J8487" t="s">
        <v>18893</v>
      </c>
      <c r="K8487">
        <v>10033</v>
      </c>
      <c r="L8487" t="s">
        <v>18958</v>
      </c>
      <c r="M8487" t="s">
        <v>18960</v>
      </c>
      <c r="O8487" t="s">
        <v>26529</v>
      </c>
      <c r="P8487" t="s">
        <v>26560</v>
      </c>
      <c r="R8487" t="s">
        <v>26578</v>
      </c>
      <c r="S8487" t="s">
        <v>18959</v>
      </c>
      <c r="U8487" t="s">
        <v>26604</v>
      </c>
      <c r="W8487" t="s">
        <v>729</v>
      </c>
      <c r="X8487">
        <v>1251.22</v>
      </c>
      <c r="Y8487" t="s">
        <v>26651</v>
      </c>
      <c r="Z8487" t="s">
        <v>26661</v>
      </c>
      <c r="AB8487" t="s">
        <v>32880</v>
      </c>
      <c r="AD8487" t="s">
        <v>43442</v>
      </c>
      <c r="AE8487">
        <v>20</v>
      </c>
      <c r="AF8487" t="s">
        <v>45541</v>
      </c>
      <c r="AG8487" t="s">
        <v>45559</v>
      </c>
      <c r="AH8487">
        <v>19</v>
      </c>
      <c r="AI8487">
        <v>1</v>
      </c>
      <c r="AJ8487">
        <v>0</v>
      </c>
      <c r="AK8487">
        <v>99.70999999999999</v>
      </c>
      <c r="AN8487" t="s">
        <v>45581</v>
      </c>
      <c r="AO8487">
        <v>12454</v>
      </c>
      <c r="AU8487">
        <v>2.3</v>
      </c>
      <c r="AV8487" t="s">
        <v>773</v>
      </c>
      <c r="AW8487" t="s">
        <v>46840</v>
      </c>
      <c r="AX8487" t="s">
        <v>46897</v>
      </c>
    </row>
    <row r="8488" spans="1:50">
      <c r="A8488" s="1">
        <f>HYPERLINK("https://lsnyc.legalserver.org/matter/dynamic-profile/view/1901440","19-1901440")</f>
        <v>0</v>
      </c>
      <c r="B8488" t="s">
        <v>273</v>
      </c>
      <c r="C8488" t="s">
        <v>340</v>
      </c>
      <c r="D8488" t="s">
        <v>729</v>
      </c>
      <c r="F8488" t="s">
        <v>916</v>
      </c>
      <c r="G8488" t="s">
        <v>8706</v>
      </c>
      <c r="H8488" t="s">
        <v>15427</v>
      </c>
      <c r="I8488" t="s">
        <v>17436</v>
      </c>
      <c r="J8488" t="s">
        <v>18893</v>
      </c>
      <c r="K8488">
        <v>10034</v>
      </c>
      <c r="L8488" t="s">
        <v>18958</v>
      </c>
      <c r="M8488" t="s">
        <v>18960</v>
      </c>
      <c r="O8488" t="s">
        <v>26529</v>
      </c>
      <c r="P8488" t="s">
        <v>26563</v>
      </c>
      <c r="R8488" t="s">
        <v>26578</v>
      </c>
      <c r="S8488" t="s">
        <v>18959</v>
      </c>
      <c r="U8488" t="s">
        <v>26604</v>
      </c>
      <c r="W8488" t="s">
        <v>729</v>
      </c>
      <c r="X8488">
        <v>822.39</v>
      </c>
      <c r="Y8488" t="s">
        <v>26651</v>
      </c>
      <c r="Z8488" t="s">
        <v>26661</v>
      </c>
      <c r="AB8488" t="s">
        <v>32881</v>
      </c>
      <c r="AD8488" t="s">
        <v>43443</v>
      </c>
      <c r="AE8488">
        <v>43</v>
      </c>
      <c r="AF8488" t="s">
        <v>45541</v>
      </c>
      <c r="AG8488" t="s">
        <v>19330</v>
      </c>
      <c r="AH8488">
        <v>3</v>
      </c>
      <c r="AI8488">
        <v>1</v>
      </c>
      <c r="AJ8488">
        <v>0</v>
      </c>
      <c r="AK8488">
        <v>153.72</v>
      </c>
      <c r="AN8488" t="s">
        <v>45581</v>
      </c>
      <c r="AO8488">
        <v>19200</v>
      </c>
      <c r="AU8488">
        <v>1.65</v>
      </c>
      <c r="AV8488" t="s">
        <v>830</v>
      </c>
      <c r="AW8488" t="s">
        <v>46840</v>
      </c>
      <c r="AX8488" t="s">
        <v>46897</v>
      </c>
    </row>
    <row r="8489" spans="1:50">
      <c r="A8489" s="1">
        <f>HYPERLINK("https://lsnyc.legalserver.org/matter/dynamic-profile/view/1901445","19-1901445")</f>
        <v>0</v>
      </c>
      <c r="B8489" t="s">
        <v>104</v>
      </c>
      <c r="C8489" t="s">
        <v>340</v>
      </c>
      <c r="D8489" t="s">
        <v>729</v>
      </c>
      <c r="F8489" t="s">
        <v>876</v>
      </c>
      <c r="G8489" t="s">
        <v>8707</v>
      </c>
      <c r="H8489" t="s">
        <v>15428</v>
      </c>
      <c r="I8489" t="s">
        <v>17307</v>
      </c>
      <c r="J8489" t="s">
        <v>18902</v>
      </c>
      <c r="K8489">
        <v>10303</v>
      </c>
      <c r="L8489" t="s">
        <v>18958</v>
      </c>
      <c r="M8489" t="s">
        <v>18960</v>
      </c>
      <c r="N8489" t="s">
        <v>25075</v>
      </c>
      <c r="O8489" t="s">
        <v>26523</v>
      </c>
      <c r="R8489" t="s">
        <v>26590</v>
      </c>
      <c r="S8489" t="s">
        <v>18959</v>
      </c>
      <c r="U8489" t="s">
        <v>26605</v>
      </c>
      <c r="V8489" t="s">
        <v>26610</v>
      </c>
      <c r="W8489" t="s">
        <v>729</v>
      </c>
      <c r="X8489">
        <v>489</v>
      </c>
      <c r="Y8489" t="s">
        <v>26654</v>
      </c>
      <c r="Z8489" t="s">
        <v>26668</v>
      </c>
      <c r="AB8489" t="s">
        <v>32882</v>
      </c>
      <c r="AD8489" t="s">
        <v>43444</v>
      </c>
      <c r="AE8489">
        <v>0</v>
      </c>
      <c r="AF8489" t="s">
        <v>45543</v>
      </c>
      <c r="AG8489" t="s">
        <v>19330</v>
      </c>
      <c r="AH8489">
        <v>18</v>
      </c>
      <c r="AI8489">
        <v>3</v>
      </c>
      <c r="AJ8489">
        <v>0</v>
      </c>
      <c r="AK8489">
        <v>136.52</v>
      </c>
      <c r="AN8489" t="s">
        <v>7439</v>
      </c>
      <c r="AO8489">
        <v>29120</v>
      </c>
      <c r="AU8489">
        <v>0.9</v>
      </c>
      <c r="AV8489" t="s">
        <v>835</v>
      </c>
      <c r="AW8489" t="s">
        <v>46883</v>
      </c>
      <c r="AX8489" t="s">
        <v>46897</v>
      </c>
    </row>
    <row r="8490" spans="1:50">
      <c r="A8490" s="1">
        <f>HYPERLINK("https://lsnyc.legalserver.org/matter/dynamic-profile/view/1901444","19-1901444")</f>
        <v>0</v>
      </c>
      <c r="B8490" t="s">
        <v>198</v>
      </c>
      <c r="C8490" t="s">
        <v>340</v>
      </c>
      <c r="D8490" t="s">
        <v>729</v>
      </c>
      <c r="F8490" t="s">
        <v>1002</v>
      </c>
      <c r="G8490" t="s">
        <v>8708</v>
      </c>
      <c r="H8490" t="s">
        <v>15429</v>
      </c>
      <c r="I8490" t="s">
        <v>17347</v>
      </c>
      <c r="J8490" t="s">
        <v>18894</v>
      </c>
      <c r="K8490">
        <v>11206</v>
      </c>
      <c r="L8490" t="s">
        <v>18958</v>
      </c>
      <c r="M8490" t="s">
        <v>18960</v>
      </c>
      <c r="R8490" t="s">
        <v>26578</v>
      </c>
      <c r="U8490" t="s">
        <v>26604</v>
      </c>
      <c r="W8490" t="s">
        <v>729</v>
      </c>
      <c r="X8490">
        <v>0</v>
      </c>
      <c r="Y8490" t="s">
        <v>26652</v>
      </c>
      <c r="AB8490" t="s">
        <v>32883</v>
      </c>
      <c r="AE8490">
        <v>0</v>
      </c>
      <c r="AH8490">
        <v>0</v>
      </c>
      <c r="AI8490">
        <v>3</v>
      </c>
      <c r="AJ8490">
        <v>0</v>
      </c>
      <c r="AK8490">
        <v>70.31999999999999</v>
      </c>
      <c r="AN8490" t="s">
        <v>7439</v>
      </c>
      <c r="AO8490">
        <v>15000</v>
      </c>
      <c r="AU8490">
        <v>0.2</v>
      </c>
      <c r="AV8490" t="s">
        <v>729</v>
      </c>
      <c r="AW8490" t="s">
        <v>198</v>
      </c>
    </row>
    <row r="8491" spans="1:50">
      <c r="A8491" s="1">
        <f>HYPERLINK("https://lsnyc.legalserver.org/matter/dynamic-profile/view/1901450","19-1901450")</f>
        <v>0</v>
      </c>
      <c r="B8491" t="s">
        <v>198</v>
      </c>
      <c r="C8491" t="s">
        <v>340</v>
      </c>
      <c r="D8491" t="s">
        <v>729</v>
      </c>
      <c r="F8491" t="s">
        <v>1408</v>
      </c>
      <c r="G8491" t="s">
        <v>879</v>
      </c>
      <c r="H8491" t="s">
        <v>15429</v>
      </c>
      <c r="I8491" t="s">
        <v>17356</v>
      </c>
      <c r="J8491" t="s">
        <v>18894</v>
      </c>
      <c r="K8491">
        <v>11206</v>
      </c>
      <c r="L8491" t="s">
        <v>18958</v>
      </c>
      <c r="M8491" t="s">
        <v>18960</v>
      </c>
      <c r="R8491" t="s">
        <v>26578</v>
      </c>
      <c r="U8491" t="s">
        <v>26604</v>
      </c>
      <c r="W8491" t="s">
        <v>729</v>
      </c>
      <c r="X8491">
        <v>0</v>
      </c>
      <c r="Y8491" t="s">
        <v>26652</v>
      </c>
      <c r="AB8491" t="s">
        <v>32884</v>
      </c>
      <c r="AE8491">
        <v>0</v>
      </c>
      <c r="AH8491">
        <v>0</v>
      </c>
      <c r="AI8491">
        <v>2</v>
      </c>
      <c r="AJ8491">
        <v>1</v>
      </c>
      <c r="AK8491">
        <v>164.09</v>
      </c>
      <c r="AN8491" t="s">
        <v>7439</v>
      </c>
      <c r="AO8491">
        <v>35000</v>
      </c>
      <c r="AU8491">
        <v>0.2</v>
      </c>
      <c r="AV8491" t="s">
        <v>729</v>
      </c>
      <c r="AW8491" t="s">
        <v>198</v>
      </c>
    </row>
    <row r="8492" spans="1:50">
      <c r="A8492" s="1">
        <f>HYPERLINK("https://lsnyc.legalserver.org/matter/dynamic-profile/view/1901583","19-1901583")</f>
        <v>0</v>
      </c>
      <c r="B8492" t="s">
        <v>66</v>
      </c>
      <c r="C8492" t="s">
        <v>340</v>
      </c>
      <c r="D8492" t="s">
        <v>828</v>
      </c>
      <c r="F8492" t="s">
        <v>875</v>
      </c>
      <c r="G8492" t="s">
        <v>8709</v>
      </c>
      <c r="H8492" t="s">
        <v>15430</v>
      </c>
      <c r="I8492">
        <v>24</v>
      </c>
      <c r="J8492" t="s">
        <v>18893</v>
      </c>
      <c r="K8492">
        <v>10031</v>
      </c>
      <c r="L8492" t="s">
        <v>18958</v>
      </c>
      <c r="M8492" t="s">
        <v>18960</v>
      </c>
      <c r="O8492" t="s">
        <v>26535</v>
      </c>
      <c r="P8492" t="s">
        <v>26564</v>
      </c>
      <c r="R8492" t="s">
        <v>26580</v>
      </c>
      <c r="S8492" t="s">
        <v>18959</v>
      </c>
      <c r="U8492" t="s">
        <v>26604</v>
      </c>
      <c r="W8492" t="s">
        <v>729</v>
      </c>
      <c r="X8492">
        <v>0</v>
      </c>
      <c r="Y8492" t="s">
        <v>26651</v>
      </c>
      <c r="Z8492" t="s">
        <v>26664</v>
      </c>
      <c r="AB8492" t="s">
        <v>32885</v>
      </c>
      <c r="AD8492" t="s">
        <v>43445</v>
      </c>
      <c r="AE8492">
        <v>35</v>
      </c>
      <c r="AF8492" t="s">
        <v>45544</v>
      </c>
      <c r="AG8492" t="s">
        <v>19330</v>
      </c>
      <c r="AH8492">
        <v>0</v>
      </c>
      <c r="AI8492">
        <v>1</v>
      </c>
      <c r="AJ8492">
        <v>0</v>
      </c>
      <c r="AK8492">
        <v>151</v>
      </c>
      <c r="AN8492" t="s">
        <v>7439</v>
      </c>
      <c r="AO8492">
        <v>18860</v>
      </c>
      <c r="AU8492">
        <v>0.5</v>
      </c>
      <c r="AV8492" t="s">
        <v>828</v>
      </c>
      <c r="AW8492" t="s">
        <v>46840</v>
      </c>
      <c r="AX8492" t="s">
        <v>46897</v>
      </c>
    </row>
    <row r="8493" spans="1:50">
      <c r="A8493" s="1">
        <f>HYPERLINK("https://lsnyc.legalserver.org/matter/dynamic-profile/view/1901880","19-1901880")</f>
        <v>0</v>
      </c>
      <c r="B8493" t="s">
        <v>258</v>
      </c>
      <c r="C8493" t="s">
        <v>340</v>
      </c>
      <c r="D8493" t="s">
        <v>829</v>
      </c>
      <c r="F8493" t="s">
        <v>4285</v>
      </c>
      <c r="G8493" t="s">
        <v>8710</v>
      </c>
      <c r="H8493" t="s">
        <v>15431</v>
      </c>
      <c r="J8493" t="s">
        <v>18900</v>
      </c>
      <c r="K8493">
        <v>11367</v>
      </c>
      <c r="L8493" t="s">
        <v>18958</v>
      </c>
      <c r="M8493" t="s">
        <v>18960</v>
      </c>
      <c r="O8493" t="s">
        <v>18997</v>
      </c>
      <c r="P8493" t="s">
        <v>26564</v>
      </c>
      <c r="R8493" t="s">
        <v>26589</v>
      </c>
      <c r="S8493" t="s">
        <v>18959</v>
      </c>
      <c r="U8493" t="s">
        <v>26604</v>
      </c>
      <c r="W8493" t="s">
        <v>729</v>
      </c>
      <c r="X8493">
        <v>1900</v>
      </c>
      <c r="Y8493" t="s">
        <v>26653</v>
      </c>
      <c r="Z8493" t="s">
        <v>26671</v>
      </c>
      <c r="AB8493" t="s">
        <v>30706</v>
      </c>
      <c r="AE8493">
        <v>2</v>
      </c>
      <c r="AF8493" t="s">
        <v>45547</v>
      </c>
      <c r="AG8493" t="s">
        <v>19330</v>
      </c>
      <c r="AH8493">
        <v>4</v>
      </c>
      <c r="AI8493">
        <v>1</v>
      </c>
      <c r="AJ8493">
        <v>2</v>
      </c>
      <c r="AK8493">
        <v>0</v>
      </c>
      <c r="AL8493" t="s">
        <v>45567</v>
      </c>
      <c r="AM8493" t="s">
        <v>45577</v>
      </c>
      <c r="AN8493" t="s">
        <v>45594</v>
      </c>
      <c r="AO8493">
        <v>0</v>
      </c>
      <c r="AU8493">
        <v>3.6</v>
      </c>
      <c r="AV8493" t="s">
        <v>839</v>
      </c>
      <c r="AW8493" t="s">
        <v>258</v>
      </c>
    </row>
    <row r="8494" spans="1:50">
      <c r="A8494" s="1">
        <f>HYPERLINK("https://lsnyc.legalserver.org/matter/dynamic-profile/view/1900004","19-1900004")</f>
        <v>0</v>
      </c>
      <c r="B8494" t="s">
        <v>125</v>
      </c>
      <c r="C8494" t="s">
        <v>341</v>
      </c>
      <c r="D8494" t="s">
        <v>819</v>
      </c>
      <c r="E8494" t="s">
        <v>826</v>
      </c>
      <c r="F8494" t="s">
        <v>903</v>
      </c>
      <c r="G8494" t="s">
        <v>5092</v>
      </c>
      <c r="H8494" t="s">
        <v>14039</v>
      </c>
      <c r="I8494" t="s">
        <v>17574</v>
      </c>
      <c r="J8494" t="s">
        <v>18894</v>
      </c>
      <c r="K8494">
        <v>11208</v>
      </c>
      <c r="L8494" t="s">
        <v>18958</v>
      </c>
      <c r="M8494" t="s">
        <v>18960</v>
      </c>
      <c r="N8494" t="s">
        <v>25077</v>
      </c>
      <c r="O8494" t="s">
        <v>26524</v>
      </c>
      <c r="P8494" t="s">
        <v>26564</v>
      </c>
      <c r="Q8494" t="s">
        <v>26570</v>
      </c>
      <c r="R8494" t="s">
        <v>26578</v>
      </c>
      <c r="S8494" t="s">
        <v>18959</v>
      </c>
      <c r="U8494" t="s">
        <v>26604</v>
      </c>
      <c r="V8494" t="s">
        <v>26612</v>
      </c>
      <c r="W8494" t="s">
        <v>828</v>
      </c>
      <c r="X8494">
        <v>1557</v>
      </c>
      <c r="Y8494" t="s">
        <v>26652</v>
      </c>
      <c r="Z8494" t="s">
        <v>26530</v>
      </c>
      <c r="AA8494" t="s">
        <v>26683</v>
      </c>
      <c r="AB8494" t="s">
        <v>32886</v>
      </c>
      <c r="AD8494" t="s">
        <v>43446</v>
      </c>
      <c r="AE8494">
        <v>19</v>
      </c>
      <c r="AF8494" t="s">
        <v>45541</v>
      </c>
      <c r="AG8494" t="s">
        <v>45557</v>
      </c>
      <c r="AH8494">
        <v>3</v>
      </c>
      <c r="AI8494">
        <v>1</v>
      </c>
      <c r="AJ8494">
        <v>3</v>
      </c>
      <c r="AK8494">
        <v>18.64</v>
      </c>
      <c r="AN8494" t="s">
        <v>7439</v>
      </c>
      <c r="AO8494">
        <v>4800</v>
      </c>
      <c r="AU8494">
        <v>2.25</v>
      </c>
      <c r="AV8494" t="s">
        <v>828</v>
      </c>
      <c r="AW8494" t="s">
        <v>46859</v>
      </c>
      <c r="AX8494" t="s">
        <v>46897</v>
      </c>
    </row>
    <row r="8495" spans="1:50">
      <c r="A8495" s="1">
        <f>HYPERLINK("https://lsnyc.legalserver.org/matter/dynamic-profile/view/1900296","19-1900296")</f>
        <v>0</v>
      </c>
      <c r="B8495" t="s">
        <v>125</v>
      </c>
      <c r="C8495" t="s">
        <v>340</v>
      </c>
      <c r="D8495" t="s">
        <v>822</v>
      </c>
      <c r="F8495" t="s">
        <v>4286</v>
      </c>
      <c r="G8495" t="s">
        <v>5269</v>
      </c>
      <c r="H8495" t="s">
        <v>14447</v>
      </c>
      <c r="I8495" t="s">
        <v>17496</v>
      </c>
      <c r="J8495" t="s">
        <v>18894</v>
      </c>
      <c r="K8495">
        <v>11208</v>
      </c>
      <c r="L8495" t="s">
        <v>18958</v>
      </c>
      <c r="M8495" t="s">
        <v>18960</v>
      </c>
      <c r="N8495" t="s">
        <v>25078</v>
      </c>
      <c r="O8495" t="s">
        <v>26523</v>
      </c>
      <c r="P8495" t="s">
        <v>26560</v>
      </c>
      <c r="R8495" t="s">
        <v>26578</v>
      </c>
      <c r="S8495" t="s">
        <v>18959</v>
      </c>
      <c r="U8495" t="s">
        <v>26604</v>
      </c>
      <c r="W8495" t="s">
        <v>828</v>
      </c>
      <c r="X8495">
        <v>744.58</v>
      </c>
      <c r="Y8495" t="s">
        <v>26652</v>
      </c>
      <c r="AB8495" t="s">
        <v>31359</v>
      </c>
      <c r="AD8495" t="s">
        <v>43447</v>
      </c>
      <c r="AE8495">
        <v>0</v>
      </c>
      <c r="AF8495" t="s">
        <v>45541</v>
      </c>
      <c r="AG8495" t="s">
        <v>45556</v>
      </c>
      <c r="AH8495">
        <v>42</v>
      </c>
      <c r="AI8495">
        <v>1</v>
      </c>
      <c r="AJ8495">
        <v>0</v>
      </c>
      <c r="AK8495">
        <v>268.78</v>
      </c>
      <c r="AN8495" t="s">
        <v>7439</v>
      </c>
      <c r="AO8495">
        <v>33570</v>
      </c>
      <c r="AU8495">
        <v>7</v>
      </c>
      <c r="AV8495" t="s">
        <v>836</v>
      </c>
      <c r="AW8495" t="s">
        <v>286</v>
      </c>
      <c r="AX8495" t="s">
        <v>46897</v>
      </c>
    </row>
    <row r="8496" spans="1:50">
      <c r="A8496" s="1">
        <f>HYPERLINK("https://lsnyc.legalserver.org/matter/dynamic-profile/view/1900757","19-1900757")</f>
        <v>0</v>
      </c>
      <c r="B8496" t="s">
        <v>288</v>
      </c>
      <c r="C8496" t="s">
        <v>341</v>
      </c>
      <c r="D8496" t="s">
        <v>809</v>
      </c>
      <c r="E8496" t="s">
        <v>828</v>
      </c>
      <c r="F8496" t="s">
        <v>4287</v>
      </c>
      <c r="G8496" t="s">
        <v>8711</v>
      </c>
      <c r="H8496" t="s">
        <v>15432</v>
      </c>
      <c r="I8496" t="s">
        <v>17272</v>
      </c>
      <c r="J8496" t="s">
        <v>18894</v>
      </c>
      <c r="K8496">
        <v>11235</v>
      </c>
      <c r="L8496" t="s">
        <v>18958</v>
      </c>
      <c r="M8496" t="s">
        <v>18960</v>
      </c>
      <c r="N8496" t="s">
        <v>25079</v>
      </c>
      <c r="O8496" t="s">
        <v>26524</v>
      </c>
      <c r="P8496" t="s">
        <v>26563</v>
      </c>
      <c r="Q8496" t="s">
        <v>26570</v>
      </c>
      <c r="R8496" t="s">
        <v>26586</v>
      </c>
      <c r="U8496" t="s">
        <v>26604</v>
      </c>
      <c r="W8496" t="s">
        <v>828</v>
      </c>
      <c r="X8496">
        <v>2000</v>
      </c>
      <c r="Y8496" t="s">
        <v>26652</v>
      </c>
      <c r="Z8496" t="s">
        <v>26664</v>
      </c>
      <c r="AA8496" t="s">
        <v>26683</v>
      </c>
      <c r="AB8496" t="s">
        <v>31924</v>
      </c>
      <c r="AD8496" t="s">
        <v>43448</v>
      </c>
      <c r="AE8496">
        <v>2</v>
      </c>
      <c r="AH8496">
        <v>0</v>
      </c>
      <c r="AI8496">
        <v>2</v>
      </c>
      <c r="AJ8496">
        <v>0</v>
      </c>
      <c r="AK8496">
        <v>120.78</v>
      </c>
      <c r="AN8496" t="s">
        <v>45586</v>
      </c>
      <c r="AO8496">
        <v>20424</v>
      </c>
      <c r="AU8496">
        <v>1.7</v>
      </c>
      <c r="AV8496" t="s">
        <v>828</v>
      </c>
      <c r="AW8496" t="s">
        <v>46862</v>
      </c>
      <c r="AX8496" t="s">
        <v>46897</v>
      </c>
    </row>
    <row r="8497" spans="1:50">
      <c r="A8497" s="1">
        <f>HYPERLINK("https://lsnyc.legalserver.org/matter/dynamic-profile/view/1901489","19-1901489")</f>
        <v>0</v>
      </c>
      <c r="B8497" t="s">
        <v>288</v>
      </c>
      <c r="C8497" t="s">
        <v>341</v>
      </c>
      <c r="D8497" t="s">
        <v>729</v>
      </c>
      <c r="E8497" t="s">
        <v>828</v>
      </c>
      <c r="F8497" t="s">
        <v>1417</v>
      </c>
      <c r="G8497" t="s">
        <v>5706</v>
      </c>
      <c r="H8497" t="s">
        <v>15433</v>
      </c>
      <c r="I8497" t="s">
        <v>17416</v>
      </c>
      <c r="J8497" t="s">
        <v>18894</v>
      </c>
      <c r="K8497">
        <v>11223</v>
      </c>
      <c r="L8497" t="s">
        <v>18958</v>
      </c>
      <c r="M8497" t="s">
        <v>18960</v>
      </c>
      <c r="N8497" t="s">
        <v>25080</v>
      </c>
      <c r="O8497" t="s">
        <v>26524</v>
      </c>
      <c r="P8497" t="s">
        <v>26564</v>
      </c>
      <c r="Q8497" t="s">
        <v>26570</v>
      </c>
      <c r="R8497" t="s">
        <v>26586</v>
      </c>
      <c r="U8497" t="s">
        <v>26604</v>
      </c>
      <c r="W8497" t="s">
        <v>828</v>
      </c>
      <c r="X8497">
        <v>1750</v>
      </c>
      <c r="Y8497" t="s">
        <v>26652</v>
      </c>
      <c r="Z8497" t="s">
        <v>26664</v>
      </c>
      <c r="AA8497" t="s">
        <v>26683</v>
      </c>
      <c r="AB8497" t="s">
        <v>26760</v>
      </c>
      <c r="AE8497">
        <v>2</v>
      </c>
      <c r="AH8497">
        <v>0</v>
      </c>
      <c r="AI8497">
        <v>6</v>
      </c>
      <c r="AJ8497">
        <v>2</v>
      </c>
      <c r="AK8497">
        <v>122.04</v>
      </c>
      <c r="AN8497" t="s">
        <v>7439</v>
      </c>
      <c r="AO8497">
        <v>53000</v>
      </c>
      <c r="AU8497">
        <v>1.4</v>
      </c>
      <c r="AV8497" t="s">
        <v>828</v>
      </c>
      <c r="AW8497" t="s">
        <v>46862</v>
      </c>
      <c r="AX8497" t="s">
        <v>46897</v>
      </c>
    </row>
    <row r="8498" spans="1:50">
      <c r="A8498" s="1">
        <f>HYPERLINK("https://lsnyc.legalserver.org/matter/dynamic-profile/view/1901578","19-1901578")</f>
        <v>0</v>
      </c>
      <c r="B8498" t="s">
        <v>234</v>
      </c>
      <c r="C8498" t="s">
        <v>341</v>
      </c>
      <c r="D8498" t="s">
        <v>828</v>
      </c>
      <c r="E8498" t="s">
        <v>836</v>
      </c>
      <c r="F8498" t="s">
        <v>1021</v>
      </c>
      <c r="G8498" t="s">
        <v>5419</v>
      </c>
      <c r="H8498" t="s">
        <v>15434</v>
      </c>
      <c r="I8498">
        <v>2</v>
      </c>
      <c r="J8498" t="s">
        <v>18893</v>
      </c>
      <c r="K8498">
        <v>10026</v>
      </c>
      <c r="L8498" t="s">
        <v>18958</v>
      </c>
      <c r="M8498" t="s">
        <v>18960</v>
      </c>
      <c r="N8498" t="s">
        <v>25081</v>
      </c>
      <c r="O8498" t="s">
        <v>26523</v>
      </c>
      <c r="P8498" t="s">
        <v>26564</v>
      </c>
      <c r="Q8498" t="s">
        <v>26570</v>
      </c>
      <c r="R8498" t="s">
        <v>26582</v>
      </c>
      <c r="S8498" t="s">
        <v>18959</v>
      </c>
      <c r="U8498" t="s">
        <v>26604</v>
      </c>
      <c r="W8498" t="s">
        <v>828</v>
      </c>
      <c r="X8498">
        <v>1600</v>
      </c>
      <c r="Y8498" t="s">
        <v>26651</v>
      </c>
      <c r="Z8498" t="s">
        <v>26668</v>
      </c>
      <c r="AA8498" t="s">
        <v>26683</v>
      </c>
      <c r="AB8498" t="s">
        <v>26806</v>
      </c>
      <c r="AD8498" t="s">
        <v>43449</v>
      </c>
      <c r="AE8498">
        <v>0</v>
      </c>
      <c r="AF8498" t="s">
        <v>45541</v>
      </c>
      <c r="AG8498" t="s">
        <v>19330</v>
      </c>
      <c r="AH8498">
        <v>30</v>
      </c>
      <c r="AI8498">
        <v>1</v>
      </c>
      <c r="AJ8498">
        <v>0</v>
      </c>
      <c r="AK8498">
        <v>200.16</v>
      </c>
      <c r="AN8498" t="s">
        <v>7439</v>
      </c>
      <c r="AO8498">
        <v>25000</v>
      </c>
      <c r="AU8498">
        <v>1.15</v>
      </c>
      <c r="AV8498" t="s">
        <v>772</v>
      </c>
      <c r="AW8498" t="s">
        <v>46875</v>
      </c>
      <c r="AX8498" t="s">
        <v>46897</v>
      </c>
    </row>
    <row r="8499" spans="1:50">
      <c r="A8499" s="1">
        <f>HYPERLINK("https://lsnyc.legalserver.org/matter/dynamic-profile/view/1901612","19-1901612")</f>
        <v>0</v>
      </c>
      <c r="B8499" t="s">
        <v>234</v>
      </c>
      <c r="C8499" t="s">
        <v>341</v>
      </c>
      <c r="D8499" t="s">
        <v>828</v>
      </c>
      <c r="E8499" t="s">
        <v>826</v>
      </c>
      <c r="F8499" t="s">
        <v>4288</v>
      </c>
      <c r="G8499" t="s">
        <v>8712</v>
      </c>
      <c r="H8499" t="s">
        <v>15435</v>
      </c>
      <c r="I8499" t="s">
        <v>17307</v>
      </c>
      <c r="J8499" t="s">
        <v>18893</v>
      </c>
      <c r="K8499">
        <v>10027</v>
      </c>
      <c r="L8499" t="s">
        <v>18958</v>
      </c>
      <c r="M8499" t="s">
        <v>18960</v>
      </c>
      <c r="N8499" t="s">
        <v>25082</v>
      </c>
      <c r="O8499" t="s">
        <v>26524</v>
      </c>
      <c r="P8499" t="s">
        <v>26564</v>
      </c>
      <c r="Q8499" t="s">
        <v>26570</v>
      </c>
      <c r="R8499" t="s">
        <v>26580</v>
      </c>
      <c r="S8499" t="s">
        <v>18959</v>
      </c>
      <c r="U8499" t="s">
        <v>26604</v>
      </c>
      <c r="W8499" t="s">
        <v>828</v>
      </c>
      <c r="X8499">
        <v>889</v>
      </c>
      <c r="Y8499" t="s">
        <v>26651</v>
      </c>
      <c r="Z8499" t="s">
        <v>26664</v>
      </c>
      <c r="AA8499" t="s">
        <v>26683</v>
      </c>
      <c r="AB8499" t="s">
        <v>32887</v>
      </c>
      <c r="AC8499" t="s">
        <v>36522</v>
      </c>
      <c r="AD8499" t="s">
        <v>43450</v>
      </c>
      <c r="AE8499">
        <v>0</v>
      </c>
      <c r="AF8499" t="s">
        <v>45541</v>
      </c>
      <c r="AG8499" t="s">
        <v>45556</v>
      </c>
      <c r="AH8499">
        <v>20</v>
      </c>
      <c r="AI8499">
        <v>2</v>
      </c>
      <c r="AJ8499">
        <v>0</v>
      </c>
      <c r="AK8499">
        <v>0</v>
      </c>
      <c r="AN8499" t="s">
        <v>7439</v>
      </c>
      <c r="AO8499">
        <v>0</v>
      </c>
      <c r="AU8499">
        <v>1</v>
      </c>
      <c r="AV8499" t="s">
        <v>828</v>
      </c>
      <c r="AW8499" t="s">
        <v>46875</v>
      </c>
      <c r="AX8499" t="s">
        <v>46898</v>
      </c>
    </row>
    <row r="8500" spans="1:50">
      <c r="A8500" s="1">
        <f>HYPERLINK("https://lsnyc.legalserver.org/matter/dynamic-profile/view/1902188","19-1902188")</f>
        <v>0</v>
      </c>
      <c r="B8500" t="s">
        <v>149</v>
      </c>
      <c r="C8500" t="s">
        <v>340</v>
      </c>
      <c r="D8500" t="s">
        <v>828</v>
      </c>
      <c r="F8500" t="s">
        <v>1514</v>
      </c>
      <c r="G8500" t="s">
        <v>5402</v>
      </c>
      <c r="H8500" t="s">
        <v>15436</v>
      </c>
      <c r="I8500" t="s">
        <v>17300</v>
      </c>
      <c r="J8500" t="s">
        <v>18892</v>
      </c>
      <c r="K8500">
        <v>10468</v>
      </c>
      <c r="L8500" t="s">
        <v>18958</v>
      </c>
      <c r="M8500" t="s">
        <v>18960</v>
      </c>
      <c r="N8500" t="s">
        <v>25083</v>
      </c>
      <c r="O8500" t="s">
        <v>26523</v>
      </c>
      <c r="P8500" t="s">
        <v>26560</v>
      </c>
      <c r="R8500" t="s">
        <v>26579</v>
      </c>
      <c r="S8500" t="s">
        <v>18959</v>
      </c>
      <c r="U8500" t="s">
        <v>26604</v>
      </c>
      <c r="V8500" t="s">
        <v>26610</v>
      </c>
      <c r="W8500" t="s">
        <v>828</v>
      </c>
      <c r="X8500">
        <v>1947.59</v>
      </c>
      <c r="Y8500" t="s">
        <v>26650</v>
      </c>
      <c r="Z8500" t="s">
        <v>26668</v>
      </c>
      <c r="AB8500" t="s">
        <v>32888</v>
      </c>
      <c r="AD8500" t="s">
        <v>43451</v>
      </c>
      <c r="AE8500">
        <v>0</v>
      </c>
      <c r="AF8500" t="s">
        <v>20460</v>
      </c>
      <c r="AG8500" t="s">
        <v>45556</v>
      </c>
      <c r="AH8500">
        <v>14</v>
      </c>
      <c r="AI8500">
        <v>2</v>
      </c>
      <c r="AJ8500">
        <v>0</v>
      </c>
      <c r="AK8500">
        <v>109.99</v>
      </c>
      <c r="AN8500" t="s">
        <v>45581</v>
      </c>
      <c r="AO8500">
        <v>18600</v>
      </c>
      <c r="AU8500">
        <v>1</v>
      </c>
      <c r="AV8500" t="s">
        <v>772</v>
      </c>
      <c r="AW8500" t="s">
        <v>46832</v>
      </c>
      <c r="AX8500" t="s">
        <v>46897</v>
      </c>
    </row>
    <row r="8501" spans="1:50">
      <c r="A8501" s="1">
        <f>HYPERLINK("https://lsnyc.legalserver.org/matter/dynamic-profile/view/1901670","19-1901670")</f>
        <v>0</v>
      </c>
      <c r="B8501" t="s">
        <v>66</v>
      </c>
      <c r="C8501" t="s">
        <v>340</v>
      </c>
      <c r="D8501" t="s">
        <v>828</v>
      </c>
      <c r="F8501" t="s">
        <v>1376</v>
      </c>
      <c r="G8501" t="s">
        <v>8713</v>
      </c>
      <c r="H8501" t="s">
        <v>10216</v>
      </c>
      <c r="I8501" t="s">
        <v>18345</v>
      </c>
      <c r="J8501" t="s">
        <v>18893</v>
      </c>
      <c r="K8501">
        <v>10025</v>
      </c>
      <c r="L8501" t="s">
        <v>18958</v>
      </c>
      <c r="M8501" t="s">
        <v>18960</v>
      </c>
      <c r="N8501" t="s">
        <v>25084</v>
      </c>
      <c r="O8501" t="s">
        <v>26523</v>
      </c>
      <c r="P8501" t="s">
        <v>26560</v>
      </c>
      <c r="R8501" t="s">
        <v>26580</v>
      </c>
      <c r="S8501" t="s">
        <v>18959</v>
      </c>
      <c r="U8501" t="s">
        <v>26604</v>
      </c>
      <c r="W8501" t="s">
        <v>828</v>
      </c>
      <c r="X8501">
        <v>5750</v>
      </c>
      <c r="Y8501" t="s">
        <v>26651</v>
      </c>
      <c r="Z8501" t="s">
        <v>26668</v>
      </c>
      <c r="AB8501" t="s">
        <v>32889</v>
      </c>
      <c r="AD8501" t="s">
        <v>43452</v>
      </c>
      <c r="AE8501">
        <v>200</v>
      </c>
      <c r="AF8501" t="s">
        <v>45541</v>
      </c>
      <c r="AG8501" t="s">
        <v>19330</v>
      </c>
      <c r="AH8501">
        <v>5</v>
      </c>
      <c r="AI8501">
        <v>4</v>
      </c>
      <c r="AJ8501">
        <v>2</v>
      </c>
      <c r="AK8501">
        <v>86.15000000000001</v>
      </c>
      <c r="AN8501" t="s">
        <v>7439</v>
      </c>
      <c r="AO8501">
        <v>29800</v>
      </c>
      <c r="AU8501">
        <v>5</v>
      </c>
      <c r="AV8501" t="s">
        <v>830</v>
      </c>
      <c r="AW8501" t="s">
        <v>46840</v>
      </c>
      <c r="AX8501" t="s">
        <v>46897</v>
      </c>
    </row>
    <row r="8502" spans="1:50">
      <c r="A8502" s="1">
        <f>HYPERLINK("https://lsnyc.legalserver.org/matter/dynamic-profile/view/1901660","19-1901660")</f>
        <v>0</v>
      </c>
      <c r="B8502" t="s">
        <v>151</v>
      </c>
      <c r="C8502" t="s">
        <v>340</v>
      </c>
      <c r="D8502" t="s">
        <v>828</v>
      </c>
      <c r="F8502" t="s">
        <v>1352</v>
      </c>
      <c r="G8502" t="s">
        <v>6146</v>
      </c>
      <c r="H8502" t="s">
        <v>15437</v>
      </c>
      <c r="I8502" t="s">
        <v>17440</v>
      </c>
      <c r="J8502" t="s">
        <v>18893</v>
      </c>
      <c r="K8502">
        <v>10026</v>
      </c>
      <c r="L8502" t="s">
        <v>18958</v>
      </c>
      <c r="M8502" t="s">
        <v>18960</v>
      </c>
      <c r="N8502" t="s">
        <v>25085</v>
      </c>
      <c r="O8502" t="s">
        <v>26523</v>
      </c>
      <c r="P8502" t="s">
        <v>26560</v>
      </c>
      <c r="R8502" t="s">
        <v>26580</v>
      </c>
      <c r="S8502" t="s">
        <v>18959</v>
      </c>
      <c r="U8502" t="s">
        <v>26604</v>
      </c>
      <c r="W8502" t="s">
        <v>828</v>
      </c>
      <c r="X8502">
        <v>1915</v>
      </c>
      <c r="Y8502" t="s">
        <v>26651</v>
      </c>
      <c r="Z8502" t="s">
        <v>26664</v>
      </c>
      <c r="AB8502" t="s">
        <v>32890</v>
      </c>
      <c r="AC8502" t="s">
        <v>36523</v>
      </c>
      <c r="AD8502" t="s">
        <v>43453</v>
      </c>
      <c r="AE8502">
        <v>0</v>
      </c>
      <c r="AF8502" t="s">
        <v>45541</v>
      </c>
      <c r="AG8502" t="s">
        <v>19330</v>
      </c>
      <c r="AH8502">
        <v>19</v>
      </c>
      <c r="AI8502">
        <v>1</v>
      </c>
      <c r="AJ8502">
        <v>0</v>
      </c>
      <c r="AK8502">
        <v>82.43000000000001</v>
      </c>
      <c r="AN8502" t="s">
        <v>7439</v>
      </c>
      <c r="AO8502">
        <v>10296</v>
      </c>
      <c r="AU8502">
        <v>5.3</v>
      </c>
      <c r="AV8502" t="s">
        <v>831</v>
      </c>
      <c r="AW8502" t="s">
        <v>46875</v>
      </c>
      <c r="AX8502" t="s">
        <v>46898</v>
      </c>
    </row>
    <row r="8503" spans="1:50">
      <c r="A8503" s="1">
        <f>HYPERLINK("https://lsnyc.legalserver.org/matter/dynamic-profile/view/1901692","19-1901692")</f>
        <v>0</v>
      </c>
      <c r="B8503" t="s">
        <v>151</v>
      </c>
      <c r="C8503" t="s">
        <v>340</v>
      </c>
      <c r="D8503" t="s">
        <v>828</v>
      </c>
      <c r="F8503" t="s">
        <v>1081</v>
      </c>
      <c r="G8503" t="s">
        <v>1093</v>
      </c>
      <c r="H8503" t="s">
        <v>15438</v>
      </c>
      <c r="I8503" t="s">
        <v>18228</v>
      </c>
      <c r="J8503" t="s">
        <v>18893</v>
      </c>
      <c r="K8503">
        <v>10025</v>
      </c>
      <c r="L8503" t="s">
        <v>18958</v>
      </c>
      <c r="M8503" t="s">
        <v>18960</v>
      </c>
      <c r="N8503" t="s">
        <v>25086</v>
      </c>
      <c r="O8503" t="s">
        <v>26523</v>
      </c>
      <c r="P8503" t="s">
        <v>26560</v>
      </c>
      <c r="R8503" t="s">
        <v>26580</v>
      </c>
      <c r="S8503" t="s">
        <v>18959</v>
      </c>
      <c r="U8503" t="s">
        <v>26605</v>
      </c>
      <c r="W8503" t="s">
        <v>828</v>
      </c>
      <c r="X8503">
        <v>500</v>
      </c>
      <c r="Y8503" t="s">
        <v>26651</v>
      </c>
      <c r="Z8503" t="s">
        <v>26664</v>
      </c>
      <c r="AB8503" t="s">
        <v>32891</v>
      </c>
      <c r="AC8503" t="s">
        <v>36524</v>
      </c>
      <c r="AD8503" t="s">
        <v>43454</v>
      </c>
      <c r="AE8503">
        <v>0</v>
      </c>
      <c r="AF8503" t="s">
        <v>45549</v>
      </c>
      <c r="AG8503" t="s">
        <v>19330</v>
      </c>
      <c r="AH8503">
        <v>35</v>
      </c>
      <c r="AI8503">
        <v>2</v>
      </c>
      <c r="AJ8503">
        <v>1</v>
      </c>
      <c r="AK8503">
        <v>91.89</v>
      </c>
      <c r="AN8503" t="s">
        <v>7439</v>
      </c>
      <c r="AO8503">
        <v>19600</v>
      </c>
      <c r="AU8503">
        <v>1.5</v>
      </c>
      <c r="AV8503" t="s">
        <v>828</v>
      </c>
      <c r="AW8503" t="s">
        <v>46875</v>
      </c>
      <c r="AX8503" t="s">
        <v>46898</v>
      </c>
    </row>
    <row r="8504" spans="1:50">
      <c r="A8504" s="1">
        <f>HYPERLINK("https://lsnyc.legalserver.org/matter/dynamic-profile/view/1901699","19-1901699")</f>
        <v>0</v>
      </c>
      <c r="B8504" t="s">
        <v>234</v>
      </c>
      <c r="C8504" t="s">
        <v>340</v>
      </c>
      <c r="D8504" t="s">
        <v>828</v>
      </c>
      <c r="F8504" t="s">
        <v>998</v>
      </c>
      <c r="G8504" t="s">
        <v>2058</v>
      </c>
      <c r="H8504" t="s">
        <v>11804</v>
      </c>
      <c r="I8504" t="s">
        <v>17388</v>
      </c>
      <c r="J8504" t="s">
        <v>18893</v>
      </c>
      <c r="K8504">
        <v>10031</v>
      </c>
      <c r="L8504" t="s">
        <v>18958</v>
      </c>
      <c r="M8504" t="s">
        <v>18960</v>
      </c>
      <c r="N8504" t="s">
        <v>25087</v>
      </c>
      <c r="O8504" t="s">
        <v>26523</v>
      </c>
      <c r="P8504" t="s">
        <v>26560</v>
      </c>
      <c r="R8504" t="s">
        <v>26580</v>
      </c>
      <c r="S8504" t="s">
        <v>18959</v>
      </c>
      <c r="U8504" t="s">
        <v>26604</v>
      </c>
      <c r="W8504" t="s">
        <v>828</v>
      </c>
      <c r="X8504">
        <v>885</v>
      </c>
      <c r="Y8504" t="s">
        <v>26651</v>
      </c>
      <c r="Z8504" t="s">
        <v>26664</v>
      </c>
      <c r="AB8504" t="s">
        <v>32892</v>
      </c>
      <c r="AC8504" t="s">
        <v>36525</v>
      </c>
      <c r="AD8504" t="s">
        <v>43455</v>
      </c>
      <c r="AE8504">
        <v>0</v>
      </c>
      <c r="AF8504" t="s">
        <v>45541</v>
      </c>
      <c r="AG8504" t="s">
        <v>19330</v>
      </c>
      <c r="AH8504">
        <v>-3</v>
      </c>
      <c r="AI8504">
        <v>1</v>
      </c>
      <c r="AJ8504">
        <v>0</v>
      </c>
      <c r="AK8504">
        <v>18.06</v>
      </c>
      <c r="AN8504" t="s">
        <v>7439</v>
      </c>
      <c r="AO8504">
        <v>2256</v>
      </c>
      <c r="AU8504">
        <v>3</v>
      </c>
      <c r="AV8504" t="s">
        <v>839</v>
      </c>
      <c r="AW8504" t="s">
        <v>46875</v>
      </c>
      <c r="AX8504" t="s">
        <v>46898</v>
      </c>
    </row>
    <row r="8505" spans="1:50">
      <c r="A8505" s="1">
        <f>HYPERLINK("https://lsnyc.legalserver.org/matter/dynamic-profile/view/1901680","19-1901680")</f>
        <v>0</v>
      </c>
      <c r="B8505" t="s">
        <v>234</v>
      </c>
      <c r="C8505" t="s">
        <v>340</v>
      </c>
      <c r="D8505" t="s">
        <v>828</v>
      </c>
      <c r="F8505" t="s">
        <v>974</v>
      </c>
      <c r="G8505" t="s">
        <v>7062</v>
      </c>
      <c r="H8505" t="s">
        <v>14464</v>
      </c>
      <c r="I8505" t="s">
        <v>17362</v>
      </c>
      <c r="J8505" t="s">
        <v>18893</v>
      </c>
      <c r="K8505">
        <v>10027</v>
      </c>
      <c r="L8505" t="s">
        <v>18958</v>
      </c>
      <c r="M8505" t="s">
        <v>18960</v>
      </c>
      <c r="N8505" t="s">
        <v>25088</v>
      </c>
      <c r="O8505" t="s">
        <v>26523</v>
      </c>
      <c r="P8505" t="s">
        <v>26560</v>
      </c>
      <c r="R8505" t="s">
        <v>26580</v>
      </c>
      <c r="S8505" t="s">
        <v>18959</v>
      </c>
      <c r="U8505" t="s">
        <v>26605</v>
      </c>
      <c r="W8505" t="s">
        <v>828</v>
      </c>
      <c r="X8505">
        <v>256</v>
      </c>
      <c r="Y8505" t="s">
        <v>26651</v>
      </c>
      <c r="Z8505" t="s">
        <v>26664</v>
      </c>
      <c r="AB8505" t="s">
        <v>32893</v>
      </c>
      <c r="AC8505" t="s">
        <v>36526</v>
      </c>
      <c r="AD8505" t="s">
        <v>43456</v>
      </c>
      <c r="AE8505">
        <v>0</v>
      </c>
      <c r="AF8505" t="s">
        <v>45549</v>
      </c>
      <c r="AG8505" t="s">
        <v>19330</v>
      </c>
      <c r="AH8505">
        <v>12</v>
      </c>
      <c r="AI8505">
        <v>2</v>
      </c>
      <c r="AJ8505">
        <v>0</v>
      </c>
      <c r="AK8505">
        <v>57.13</v>
      </c>
      <c r="AN8505" t="s">
        <v>7439</v>
      </c>
      <c r="AO8505">
        <v>9660</v>
      </c>
      <c r="AU8505">
        <v>0.95</v>
      </c>
      <c r="AV8505" t="s">
        <v>834</v>
      </c>
      <c r="AW8505" t="s">
        <v>46875</v>
      </c>
      <c r="AX8505" t="s">
        <v>46898</v>
      </c>
    </row>
    <row r="8506" spans="1:50">
      <c r="A8506" s="1">
        <f>HYPERLINK("https://lsnyc.legalserver.org/matter/dynamic-profile/view/1901788","19-1901788")</f>
        <v>0</v>
      </c>
      <c r="B8506" t="s">
        <v>213</v>
      </c>
      <c r="C8506" t="s">
        <v>340</v>
      </c>
      <c r="D8506" t="s">
        <v>828</v>
      </c>
      <c r="F8506" t="s">
        <v>1162</v>
      </c>
      <c r="G8506" t="s">
        <v>5349</v>
      </c>
      <c r="H8506" t="s">
        <v>15439</v>
      </c>
      <c r="I8506" t="s">
        <v>18569</v>
      </c>
      <c r="J8506" t="s">
        <v>18892</v>
      </c>
      <c r="K8506">
        <v>10467</v>
      </c>
      <c r="L8506" t="s">
        <v>18958</v>
      </c>
      <c r="M8506" t="s">
        <v>18960</v>
      </c>
      <c r="N8506" t="s">
        <v>25089</v>
      </c>
      <c r="O8506" t="s">
        <v>26523</v>
      </c>
      <c r="P8506" t="s">
        <v>26560</v>
      </c>
      <c r="R8506" t="s">
        <v>26579</v>
      </c>
      <c r="S8506" t="s">
        <v>18959</v>
      </c>
      <c r="U8506" t="s">
        <v>26604</v>
      </c>
      <c r="V8506" t="s">
        <v>26610</v>
      </c>
      <c r="W8506" t="s">
        <v>828</v>
      </c>
      <c r="X8506">
        <v>1556.93</v>
      </c>
      <c r="Y8506" t="s">
        <v>26650</v>
      </c>
      <c r="Z8506" t="s">
        <v>26668</v>
      </c>
      <c r="AB8506" t="s">
        <v>32894</v>
      </c>
      <c r="AC8506" t="s">
        <v>36527</v>
      </c>
      <c r="AD8506" t="s">
        <v>43457</v>
      </c>
      <c r="AE8506">
        <v>81</v>
      </c>
      <c r="AF8506" t="s">
        <v>45545</v>
      </c>
      <c r="AG8506" t="s">
        <v>45562</v>
      </c>
      <c r="AH8506">
        <v>3</v>
      </c>
      <c r="AI8506">
        <v>2</v>
      </c>
      <c r="AJ8506">
        <v>3</v>
      </c>
      <c r="AK8506">
        <v>129.27</v>
      </c>
      <c r="AN8506" t="s">
        <v>45581</v>
      </c>
      <c r="AO8506">
        <v>39000</v>
      </c>
      <c r="AU8506">
        <v>2</v>
      </c>
      <c r="AV8506" t="s">
        <v>831</v>
      </c>
      <c r="AW8506" t="s">
        <v>46847</v>
      </c>
      <c r="AX8506" t="s">
        <v>46898</v>
      </c>
    </row>
    <row r="8507" spans="1:50">
      <c r="A8507" s="1">
        <f>HYPERLINK("https://lsnyc.legalserver.org/matter/dynamic-profile/view/1901686","19-1901686")</f>
        <v>0</v>
      </c>
      <c r="B8507" t="s">
        <v>122</v>
      </c>
      <c r="C8507" t="s">
        <v>340</v>
      </c>
      <c r="D8507" t="s">
        <v>828</v>
      </c>
      <c r="F8507" t="s">
        <v>4289</v>
      </c>
      <c r="G8507" t="s">
        <v>5094</v>
      </c>
      <c r="H8507" t="s">
        <v>15440</v>
      </c>
      <c r="I8507" t="s">
        <v>17582</v>
      </c>
      <c r="J8507" t="s">
        <v>18923</v>
      </c>
      <c r="K8507">
        <v>11418</v>
      </c>
      <c r="L8507" t="s">
        <v>18958</v>
      </c>
      <c r="M8507" t="s">
        <v>18960</v>
      </c>
      <c r="R8507" t="s">
        <v>26584</v>
      </c>
      <c r="U8507" t="s">
        <v>26604</v>
      </c>
      <c r="W8507" t="s">
        <v>828</v>
      </c>
      <c r="X8507">
        <v>1000</v>
      </c>
      <c r="Y8507" t="s">
        <v>26653</v>
      </c>
      <c r="AB8507" t="s">
        <v>27082</v>
      </c>
      <c r="AD8507" t="s">
        <v>43458</v>
      </c>
      <c r="AE8507">
        <v>2</v>
      </c>
      <c r="AF8507" t="s">
        <v>45547</v>
      </c>
      <c r="AG8507" t="s">
        <v>19330</v>
      </c>
      <c r="AH8507">
        <v>1</v>
      </c>
      <c r="AI8507">
        <v>2</v>
      </c>
      <c r="AJ8507">
        <v>1</v>
      </c>
      <c r="AK8507">
        <v>97.52</v>
      </c>
      <c r="AO8507">
        <v>20800</v>
      </c>
      <c r="AU8507">
        <v>0.5</v>
      </c>
      <c r="AV8507" t="s">
        <v>828</v>
      </c>
      <c r="AW8507" t="s">
        <v>122</v>
      </c>
      <c r="AX8507" t="s">
        <v>46897</v>
      </c>
    </row>
    <row r="8508" spans="1:50">
      <c r="A8508" s="1">
        <f>HYPERLINK("https://lsnyc.legalserver.org/matter/dynamic-profile/view/1901701","19-1901701")</f>
        <v>0</v>
      </c>
      <c r="B8508" t="s">
        <v>54</v>
      </c>
      <c r="C8508" t="s">
        <v>340</v>
      </c>
      <c r="D8508" t="s">
        <v>828</v>
      </c>
      <c r="F8508" t="s">
        <v>4290</v>
      </c>
      <c r="G8508" t="s">
        <v>8714</v>
      </c>
      <c r="H8508" t="s">
        <v>15441</v>
      </c>
      <c r="I8508">
        <v>2</v>
      </c>
      <c r="J8508" t="s">
        <v>18892</v>
      </c>
      <c r="K8508">
        <v>10467</v>
      </c>
      <c r="L8508" t="s">
        <v>18958</v>
      </c>
      <c r="M8508" t="s">
        <v>18960</v>
      </c>
      <c r="N8508" t="s">
        <v>25090</v>
      </c>
      <c r="O8508" t="s">
        <v>26524</v>
      </c>
      <c r="P8508" t="s">
        <v>26560</v>
      </c>
      <c r="R8508" t="s">
        <v>26579</v>
      </c>
      <c r="S8508" t="s">
        <v>18959</v>
      </c>
      <c r="U8508" t="s">
        <v>26604</v>
      </c>
      <c r="V8508" t="s">
        <v>26610</v>
      </c>
      <c r="W8508" t="s">
        <v>828</v>
      </c>
      <c r="X8508">
        <v>2000</v>
      </c>
      <c r="Y8508" t="s">
        <v>26650</v>
      </c>
      <c r="Z8508" t="s">
        <v>26668</v>
      </c>
      <c r="AB8508" t="s">
        <v>32895</v>
      </c>
      <c r="AC8508" t="s">
        <v>36528</v>
      </c>
      <c r="AD8508" t="s">
        <v>43459</v>
      </c>
      <c r="AE8508">
        <v>3</v>
      </c>
      <c r="AF8508" t="s">
        <v>20460</v>
      </c>
      <c r="AG8508" t="s">
        <v>19330</v>
      </c>
      <c r="AH8508">
        <v>1</v>
      </c>
      <c r="AI8508">
        <v>3</v>
      </c>
      <c r="AJ8508">
        <v>1</v>
      </c>
      <c r="AK8508">
        <v>95.92</v>
      </c>
      <c r="AN8508" t="s">
        <v>7439</v>
      </c>
      <c r="AO8508">
        <v>24700</v>
      </c>
      <c r="AU8508">
        <v>6.5</v>
      </c>
      <c r="AV8508" t="s">
        <v>839</v>
      </c>
      <c r="AW8508" t="s">
        <v>46832</v>
      </c>
      <c r="AX8508" t="s">
        <v>46898</v>
      </c>
    </row>
    <row r="8509" spans="1:50">
      <c r="A8509" s="1">
        <f>HYPERLINK("https://lsnyc.legalserver.org/matter/dynamic-profile/view/1901709","19-1901709")</f>
        <v>0</v>
      </c>
      <c r="B8509" t="s">
        <v>235</v>
      </c>
      <c r="C8509" t="s">
        <v>340</v>
      </c>
      <c r="D8509" t="s">
        <v>828</v>
      </c>
      <c r="F8509" t="s">
        <v>4291</v>
      </c>
      <c r="G8509" t="s">
        <v>8715</v>
      </c>
      <c r="H8509" t="s">
        <v>15442</v>
      </c>
      <c r="I8509" t="s">
        <v>17375</v>
      </c>
      <c r="J8509" t="s">
        <v>18931</v>
      </c>
      <c r="K8509">
        <v>11412</v>
      </c>
      <c r="L8509" t="s">
        <v>18958</v>
      </c>
      <c r="M8509" t="s">
        <v>18960</v>
      </c>
      <c r="N8509" t="s">
        <v>25091</v>
      </c>
      <c r="R8509" t="s">
        <v>26584</v>
      </c>
      <c r="U8509" t="s">
        <v>26604</v>
      </c>
      <c r="W8509" t="s">
        <v>828</v>
      </c>
      <c r="X8509">
        <v>1515</v>
      </c>
      <c r="Y8509" t="s">
        <v>26653</v>
      </c>
      <c r="Z8509" t="s">
        <v>26664</v>
      </c>
      <c r="AB8509" t="s">
        <v>27976</v>
      </c>
      <c r="AC8509" t="s">
        <v>36529</v>
      </c>
      <c r="AD8509" t="s">
        <v>43460</v>
      </c>
      <c r="AE8509">
        <v>2</v>
      </c>
      <c r="AF8509" t="s">
        <v>45547</v>
      </c>
      <c r="AG8509" t="s">
        <v>45557</v>
      </c>
      <c r="AH8509">
        <v>1</v>
      </c>
      <c r="AI8509">
        <v>2</v>
      </c>
      <c r="AJ8509">
        <v>2</v>
      </c>
      <c r="AK8509">
        <v>50.49</v>
      </c>
      <c r="AO8509">
        <v>13000</v>
      </c>
      <c r="AU8509">
        <v>1</v>
      </c>
      <c r="AV8509" t="s">
        <v>828</v>
      </c>
      <c r="AW8509" t="s">
        <v>122</v>
      </c>
      <c r="AX8509" t="s">
        <v>46897</v>
      </c>
    </row>
    <row r="8510" spans="1:50">
      <c r="A8510" s="1">
        <f>HYPERLINK("https://lsnyc.legalserver.org/matter/dynamic-profile/view/1901624","19-1901624")</f>
        <v>0</v>
      </c>
      <c r="B8510" t="s">
        <v>240</v>
      </c>
      <c r="C8510" t="s">
        <v>340</v>
      </c>
      <c r="D8510" t="s">
        <v>828</v>
      </c>
      <c r="F8510" t="s">
        <v>4292</v>
      </c>
      <c r="G8510" t="s">
        <v>5100</v>
      </c>
      <c r="H8510" t="s">
        <v>15443</v>
      </c>
      <c r="J8510" t="s">
        <v>18894</v>
      </c>
      <c r="K8510">
        <v>11213</v>
      </c>
      <c r="L8510" t="s">
        <v>18958</v>
      </c>
      <c r="M8510" t="s">
        <v>18960</v>
      </c>
      <c r="O8510" t="s">
        <v>26524</v>
      </c>
      <c r="P8510" t="s">
        <v>26560</v>
      </c>
      <c r="R8510" t="s">
        <v>26578</v>
      </c>
      <c r="S8510" t="s">
        <v>18959</v>
      </c>
      <c r="U8510" t="s">
        <v>26604</v>
      </c>
      <c r="W8510" t="s">
        <v>828</v>
      </c>
      <c r="X8510">
        <v>999.11</v>
      </c>
      <c r="Y8510" t="s">
        <v>26652</v>
      </c>
      <c r="AB8510" t="s">
        <v>29792</v>
      </c>
      <c r="AD8510" t="s">
        <v>43461</v>
      </c>
      <c r="AE8510">
        <v>0</v>
      </c>
      <c r="AH8510">
        <v>13</v>
      </c>
      <c r="AI8510">
        <v>2</v>
      </c>
      <c r="AJ8510">
        <v>0</v>
      </c>
      <c r="AK8510">
        <v>112.36</v>
      </c>
      <c r="AN8510" t="s">
        <v>7439</v>
      </c>
      <c r="AO8510">
        <v>19000</v>
      </c>
      <c r="AU8510">
        <v>0</v>
      </c>
      <c r="AW8510" t="s">
        <v>219</v>
      </c>
      <c r="AX8510" t="s">
        <v>46897</v>
      </c>
    </row>
    <row r="8511" spans="1:50">
      <c r="A8511" s="1">
        <f>HYPERLINK("https://lsnyc.legalserver.org/matter/dynamic-profile/view/1889415","19-1889415")</f>
        <v>0</v>
      </c>
      <c r="B8511" t="s">
        <v>174</v>
      </c>
      <c r="C8511" t="s">
        <v>341</v>
      </c>
      <c r="D8511" t="s">
        <v>677</v>
      </c>
      <c r="E8511" t="s">
        <v>832</v>
      </c>
      <c r="F8511" t="s">
        <v>4293</v>
      </c>
      <c r="G8511" t="s">
        <v>2702</v>
      </c>
      <c r="H8511" t="s">
        <v>14910</v>
      </c>
      <c r="I8511" t="s">
        <v>17430</v>
      </c>
      <c r="J8511" t="s">
        <v>18894</v>
      </c>
      <c r="K8511">
        <v>11208</v>
      </c>
      <c r="L8511" t="s">
        <v>18958</v>
      </c>
      <c r="M8511" t="s">
        <v>18959</v>
      </c>
      <c r="N8511" t="s">
        <v>25092</v>
      </c>
      <c r="O8511" t="s">
        <v>26524</v>
      </c>
      <c r="P8511" t="s">
        <v>26564</v>
      </c>
      <c r="Q8511" t="s">
        <v>26570</v>
      </c>
      <c r="R8511" t="s">
        <v>26578</v>
      </c>
      <c r="S8511" t="s">
        <v>18959</v>
      </c>
      <c r="U8511" t="s">
        <v>26604</v>
      </c>
      <c r="W8511" t="s">
        <v>814</v>
      </c>
      <c r="X8511">
        <v>0</v>
      </c>
      <c r="Y8511" t="s">
        <v>26652</v>
      </c>
      <c r="Z8511" t="s">
        <v>26668</v>
      </c>
      <c r="AA8511" t="s">
        <v>26683</v>
      </c>
      <c r="AB8511" t="s">
        <v>32896</v>
      </c>
      <c r="AD8511" t="s">
        <v>43462</v>
      </c>
      <c r="AE8511">
        <v>3</v>
      </c>
      <c r="AG8511" t="s">
        <v>19330</v>
      </c>
      <c r="AH8511">
        <v>1</v>
      </c>
      <c r="AI8511">
        <v>2</v>
      </c>
      <c r="AJ8511">
        <v>0</v>
      </c>
      <c r="AK8511">
        <v>2838.56</v>
      </c>
      <c r="AN8511" t="s">
        <v>7439</v>
      </c>
      <c r="AO8511">
        <v>480000</v>
      </c>
      <c r="AU8511">
        <v>1.1</v>
      </c>
      <c r="AV8511" t="s">
        <v>756</v>
      </c>
      <c r="AW8511" t="s">
        <v>286</v>
      </c>
      <c r="AX8511" t="s">
        <v>46897</v>
      </c>
    </row>
    <row r="8512" spans="1:50">
      <c r="A8512" s="1">
        <f>HYPERLINK("https://lsnyc.legalserver.org/matter/dynamic-profile/view/1899003","19-1899003")</f>
        <v>0</v>
      </c>
      <c r="B8512" t="s">
        <v>117</v>
      </c>
      <c r="C8512" t="s">
        <v>340</v>
      </c>
      <c r="D8512" t="s">
        <v>771</v>
      </c>
      <c r="F8512" t="s">
        <v>947</v>
      </c>
      <c r="G8512" t="s">
        <v>5103</v>
      </c>
      <c r="H8512" t="s">
        <v>15444</v>
      </c>
      <c r="I8512" t="s">
        <v>17416</v>
      </c>
      <c r="J8512" t="s">
        <v>18894</v>
      </c>
      <c r="K8512">
        <v>11208</v>
      </c>
      <c r="L8512" t="s">
        <v>18959</v>
      </c>
      <c r="M8512" t="s">
        <v>18960</v>
      </c>
      <c r="N8512" t="s">
        <v>25093</v>
      </c>
      <c r="O8512" t="s">
        <v>26524</v>
      </c>
      <c r="P8512" t="s">
        <v>26565</v>
      </c>
      <c r="R8512" t="s">
        <v>26578</v>
      </c>
      <c r="S8512" t="s">
        <v>18959</v>
      </c>
      <c r="U8512" t="s">
        <v>26604</v>
      </c>
      <c r="W8512" t="s">
        <v>814</v>
      </c>
      <c r="X8512">
        <v>1297</v>
      </c>
      <c r="Y8512" t="s">
        <v>26652</v>
      </c>
      <c r="AB8512" t="s">
        <v>32897</v>
      </c>
      <c r="AC8512">
        <v>4798867</v>
      </c>
      <c r="AD8512" t="s">
        <v>43463</v>
      </c>
      <c r="AE8512">
        <v>2</v>
      </c>
      <c r="AF8512" t="s">
        <v>45547</v>
      </c>
      <c r="AG8512" t="s">
        <v>45556</v>
      </c>
      <c r="AH8512">
        <v>12</v>
      </c>
      <c r="AI8512">
        <v>1</v>
      </c>
      <c r="AJ8512">
        <v>2</v>
      </c>
      <c r="AK8512">
        <v>14.18</v>
      </c>
      <c r="AN8512" t="s">
        <v>7439</v>
      </c>
      <c r="AO8512">
        <v>3024</v>
      </c>
      <c r="AU8512">
        <v>4</v>
      </c>
      <c r="AV8512" t="s">
        <v>806</v>
      </c>
      <c r="AW8512" t="s">
        <v>286</v>
      </c>
      <c r="AX8512" t="s">
        <v>46898</v>
      </c>
    </row>
    <row r="8513" spans="1:50">
      <c r="A8513" s="1">
        <f>HYPERLINK("https://lsnyc.legalserver.org/matter/dynamic-profile/view/1901553","19-1901553")</f>
        <v>0</v>
      </c>
      <c r="B8513" t="s">
        <v>187</v>
      </c>
      <c r="C8513" t="s">
        <v>340</v>
      </c>
      <c r="D8513" t="s">
        <v>808</v>
      </c>
      <c r="F8513" t="s">
        <v>887</v>
      </c>
      <c r="G8513" t="s">
        <v>8716</v>
      </c>
      <c r="H8513" t="s">
        <v>15445</v>
      </c>
      <c r="I8513" t="s">
        <v>17282</v>
      </c>
      <c r="J8513" t="s">
        <v>18892</v>
      </c>
      <c r="K8513">
        <v>10468</v>
      </c>
      <c r="L8513" t="s">
        <v>18958</v>
      </c>
      <c r="M8513" t="s">
        <v>18960</v>
      </c>
      <c r="N8513" t="s">
        <v>25094</v>
      </c>
      <c r="O8513" t="s">
        <v>26523</v>
      </c>
      <c r="P8513" t="s">
        <v>26560</v>
      </c>
      <c r="R8513" t="s">
        <v>26579</v>
      </c>
      <c r="S8513" t="s">
        <v>18959</v>
      </c>
      <c r="U8513" t="s">
        <v>26604</v>
      </c>
      <c r="V8513" t="s">
        <v>26611</v>
      </c>
      <c r="W8513" t="s">
        <v>814</v>
      </c>
      <c r="X8513">
        <v>1500</v>
      </c>
      <c r="Y8513" t="s">
        <v>26650</v>
      </c>
      <c r="Z8513" t="s">
        <v>26668</v>
      </c>
      <c r="AB8513" t="s">
        <v>27271</v>
      </c>
      <c r="AC8513" t="s">
        <v>36530</v>
      </c>
      <c r="AD8513" t="s">
        <v>43464</v>
      </c>
      <c r="AE8513">
        <v>0</v>
      </c>
      <c r="AF8513" t="s">
        <v>20460</v>
      </c>
      <c r="AG8513" t="s">
        <v>19330</v>
      </c>
      <c r="AH8513">
        <v>3</v>
      </c>
      <c r="AI8513">
        <v>2</v>
      </c>
      <c r="AJ8513">
        <v>1</v>
      </c>
      <c r="AK8513">
        <v>0</v>
      </c>
      <c r="AN8513" t="s">
        <v>45581</v>
      </c>
      <c r="AO8513">
        <v>0</v>
      </c>
      <c r="AU8513">
        <v>3.3</v>
      </c>
      <c r="AV8513" t="s">
        <v>838</v>
      </c>
      <c r="AW8513" t="s">
        <v>46832</v>
      </c>
      <c r="AX8513" t="s">
        <v>46898</v>
      </c>
    </row>
    <row r="8514" spans="1:50">
      <c r="A8514" s="1">
        <f>HYPERLINK("https://lsnyc.legalserver.org/matter/dynamic-profile/view/1901359","19-1901359")</f>
        <v>0</v>
      </c>
      <c r="B8514" t="s">
        <v>187</v>
      </c>
      <c r="C8514" t="s">
        <v>340</v>
      </c>
      <c r="D8514" t="s">
        <v>825</v>
      </c>
      <c r="F8514" t="s">
        <v>2959</v>
      </c>
      <c r="G8514" t="s">
        <v>2564</v>
      </c>
      <c r="H8514" t="s">
        <v>15446</v>
      </c>
      <c r="I8514" t="s">
        <v>17291</v>
      </c>
      <c r="J8514" t="s">
        <v>18892</v>
      </c>
      <c r="K8514">
        <v>10457</v>
      </c>
      <c r="L8514" t="s">
        <v>18958</v>
      </c>
      <c r="M8514" t="s">
        <v>18960</v>
      </c>
      <c r="N8514" t="s">
        <v>25095</v>
      </c>
      <c r="O8514" t="s">
        <v>26523</v>
      </c>
      <c r="P8514" t="s">
        <v>26560</v>
      </c>
      <c r="R8514" t="s">
        <v>26579</v>
      </c>
      <c r="S8514" t="s">
        <v>18959</v>
      </c>
      <c r="U8514" t="s">
        <v>26604</v>
      </c>
      <c r="V8514" t="s">
        <v>26610</v>
      </c>
      <c r="W8514" t="s">
        <v>814</v>
      </c>
      <c r="X8514">
        <v>700</v>
      </c>
      <c r="Y8514" t="s">
        <v>26650</v>
      </c>
      <c r="Z8514" t="s">
        <v>26668</v>
      </c>
      <c r="AB8514" t="s">
        <v>32898</v>
      </c>
      <c r="AD8514" t="s">
        <v>43465</v>
      </c>
      <c r="AE8514">
        <v>60</v>
      </c>
      <c r="AG8514" t="s">
        <v>19330</v>
      </c>
      <c r="AH8514">
        <v>49</v>
      </c>
      <c r="AI8514">
        <v>2</v>
      </c>
      <c r="AJ8514">
        <v>0</v>
      </c>
      <c r="AK8514">
        <v>107.63</v>
      </c>
      <c r="AN8514" t="s">
        <v>7439</v>
      </c>
      <c r="AO8514">
        <v>18200</v>
      </c>
      <c r="AU8514">
        <v>1</v>
      </c>
      <c r="AV8514" t="s">
        <v>814</v>
      </c>
      <c r="AW8514" t="s">
        <v>46832</v>
      </c>
      <c r="AX8514" t="s">
        <v>46897</v>
      </c>
    </row>
    <row r="8515" spans="1:50">
      <c r="A8515" s="1">
        <f>HYPERLINK("https://lsnyc.legalserver.org/matter/dynamic-profile/view/1901831","19-1901831")</f>
        <v>0</v>
      </c>
      <c r="B8515" t="s">
        <v>214</v>
      </c>
      <c r="C8515" t="s">
        <v>341</v>
      </c>
      <c r="D8515" t="s">
        <v>814</v>
      </c>
      <c r="E8515" t="s">
        <v>843</v>
      </c>
      <c r="F8515" t="s">
        <v>3357</v>
      </c>
      <c r="G8515" t="s">
        <v>8717</v>
      </c>
      <c r="H8515" t="s">
        <v>15447</v>
      </c>
      <c r="I8515" t="s">
        <v>17347</v>
      </c>
      <c r="J8515" t="s">
        <v>18946</v>
      </c>
      <c r="K8515">
        <v>11372</v>
      </c>
      <c r="L8515" t="s">
        <v>18958</v>
      </c>
      <c r="M8515" t="s">
        <v>18960</v>
      </c>
      <c r="N8515" t="s">
        <v>25096</v>
      </c>
      <c r="O8515" t="s">
        <v>26524</v>
      </c>
      <c r="P8515" t="s">
        <v>26564</v>
      </c>
      <c r="Q8515" t="s">
        <v>26570</v>
      </c>
      <c r="R8515" t="s">
        <v>26584</v>
      </c>
      <c r="S8515" t="s">
        <v>18958</v>
      </c>
      <c r="U8515" t="s">
        <v>26604</v>
      </c>
      <c r="V8515" t="s">
        <v>26610</v>
      </c>
      <c r="W8515" t="s">
        <v>814</v>
      </c>
      <c r="X8515">
        <v>650</v>
      </c>
      <c r="Y8515" t="s">
        <v>26653</v>
      </c>
      <c r="Z8515" t="s">
        <v>26664</v>
      </c>
      <c r="AA8515" t="s">
        <v>26683</v>
      </c>
      <c r="AB8515" t="s">
        <v>27255</v>
      </c>
      <c r="AC8515" t="s">
        <v>35263</v>
      </c>
      <c r="AE8515">
        <v>90</v>
      </c>
      <c r="AF8515" t="s">
        <v>45547</v>
      </c>
      <c r="AG8515" t="s">
        <v>19330</v>
      </c>
      <c r="AH8515">
        <v>-1</v>
      </c>
      <c r="AI8515">
        <v>1</v>
      </c>
      <c r="AJ8515">
        <v>0</v>
      </c>
      <c r="AK8515">
        <v>0</v>
      </c>
      <c r="AN8515" t="s">
        <v>45581</v>
      </c>
      <c r="AO8515">
        <v>0</v>
      </c>
      <c r="AU8515">
        <v>1.58</v>
      </c>
      <c r="AV8515" t="s">
        <v>843</v>
      </c>
      <c r="AW8515" t="s">
        <v>46846</v>
      </c>
      <c r="AX8515" t="s">
        <v>46897</v>
      </c>
    </row>
    <row r="8516" spans="1:50">
      <c r="A8516" s="1">
        <f>HYPERLINK("https://lsnyc.legalserver.org/matter/dynamic-profile/view/1901842","19-1901842")</f>
        <v>0</v>
      </c>
      <c r="B8516" t="s">
        <v>122</v>
      </c>
      <c r="C8516" t="s">
        <v>341</v>
      </c>
      <c r="D8516" t="s">
        <v>814</v>
      </c>
      <c r="E8516" t="s">
        <v>843</v>
      </c>
      <c r="F8516" t="s">
        <v>1745</v>
      </c>
      <c r="G8516" t="s">
        <v>7156</v>
      </c>
      <c r="H8516" t="s">
        <v>15448</v>
      </c>
      <c r="J8516" t="s">
        <v>18948</v>
      </c>
      <c r="K8516">
        <v>11363</v>
      </c>
      <c r="L8516" t="s">
        <v>18958</v>
      </c>
      <c r="M8516" t="s">
        <v>18960</v>
      </c>
      <c r="N8516" t="s">
        <v>25097</v>
      </c>
      <c r="O8516" t="s">
        <v>26524</v>
      </c>
      <c r="P8516" t="s">
        <v>26564</v>
      </c>
      <c r="Q8516" t="s">
        <v>26570</v>
      </c>
      <c r="R8516" t="s">
        <v>26584</v>
      </c>
      <c r="S8516" t="s">
        <v>18959</v>
      </c>
      <c r="U8516" t="s">
        <v>26604</v>
      </c>
      <c r="V8516" t="s">
        <v>26610</v>
      </c>
      <c r="W8516" t="s">
        <v>814</v>
      </c>
      <c r="X8516">
        <v>0</v>
      </c>
      <c r="Y8516" t="s">
        <v>26653</v>
      </c>
      <c r="Z8516" t="s">
        <v>26664</v>
      </c>
      <c r="AA8516" t="s">
        <v>26683</v>
      </c>
      <c r="AB8516" t="s">
        <v>32527</v>
      </c>
      <c r="AC8516" t="s">
        <v>35263</v>
      </c>
      <c r="AD8516" t="s">
        <v>43466</v>
      </c>
      <c r="AE8516">
        <v>1</v>
      </c>
      <c r="AF8516" t="s">
        <v>45547</v>
      </c>
      <c r="AG8516" t="s">
        <v>19330</v>
      </c>
      <c r="AH8516">
        <v>14</v>
      </c>
      <c r="AI8516">
        <v>3</v>
      </c>
      <c r="AJ8516">
        <v>0</v>
      </c>
      <c r="AK8516">
        <v>163.38</v>
      </c>
      <c r="AO8516">
        <v>34848</v>
      </c>
      <c r="AU8516">
        <v>1.05</v>
      </c>
      <c r="AV8516" t="s">
        <v>843</v>
      </c>
      <c r="AW8516" t="s">
        <v>122</v>
      </c>
      <c r="AX8516" t="s">
        <v>46897</v>
      </c>
    </row>
    <row r="8517" spans="1:50">
      <c r="A8517" s="1">
        <f>HYPERLINK("https://lsnyc.legalserver.org/matter/dynamic-profile/view/1901790","19-1901790")</f>
        <v>0</v>
      </c>
      <c r="B8517" t="s">
        <v>136</v>
      </c>
      <c r="C8517" t="s">
        <v>340</v>
      </c>
      <c r="D8517" t="s">
        <v>814</v>
      </c>
      <c r="F8517" t="s">
        <v>4294</v>
      </c>
      <c r="G8517" t="s">
        <v>6037</v>
      </c>
      <c r="H8517" t="s">
        <v>15449</v>
      </c>
      <c r="I8517" t="s">
        <v>17343</v>
      </c>
      <c r="J8517" t="s">
        <v>18892</v>
      </c>
      <c r="K8517">
        <v>10457</v>
      </c>
      <c r="L8517" t="s">
        <v>18958</v>
      </c>
      <c r="M8517" t="s">
        <v>18960</v>
      </c>
      <c r="N8517" t="s">
        <v>25098</v>
      </c>
      <c r="O8517" t="s">
        <v>26523</v>
      </c>
      <c r="P8517" t="s">
        <v>26560</v>
      </c>
      <c r="R8517" t="s">
        <v>26579</v>
      </c>
      <c r="S8517" t="s">
        <v>18959</v>
      </c>
      <c r="U8517" t="s">
        <v>26604</v>
      </c>
      <c r="V8517" t="s">
        <v>26610</v>
      </c>
      <c r="W8517" t="s">
        <v>814</v>
      </c>
      <c r="X8517">
        <v>1022.53</v>
      </c>
      <c r="Y8517" t="s">
        <v>26650</v>
      </c>
      <c r="Z8517" t="s">
        <v>26664</v>
      </c>
      <c r="AB8517" t="s">
        <v>32899</v>
      </c>
      <c r="AC8517" t="s">
        <v>36531</v>
      </c>
      <c r="AD8517" t="s">
        <v>43467</v>
      </c>
      <c r="AE8517">
        <v>60</v>
      </c>
      <c r="AF8517" t="s">
        <v>45541</v>
      </c>
      <c r="AH8517">
        <v>19</v>
      </c>
      <c r="AI8517">
        <v>1</v>
      </c>
      <c r="AJ8517">
        <v>1</v>
      </c>
      <c r="AK8517">
        <v>85.16</v>
      </c>
      <c r="AN8517" t="s">
        <v>7439</v>
      </c>
      <c r="AO8517">
        <v>14400</v>
      </c>
      <c r="AU8517">
        <v>1</v>
      </c>
      <c r="AV8517" t="s">
        <v>832</v>
      </c>
      <c r="AW8517" t="s">
        <v>335</v>
      </c>
      <c r="AX8517" t="s">
        <v>46898</v>
      </c>
    </row>
    <row r="8518" spans="1:50">
      <c r="A8518" s="1">
        <f>HYPERLINK("https://lsnyc.legalserver.org/matter/dynamic-profile/view/1901779","19-1901779")</f>
        <v>0</v>
      </c>
      <c r="B8518" t="s">
        <v>133</v>
      </c>
      <c r="C8518" t="s">
        <v>340</v>
      </c>
      <c r="D8518" t="s">
        <v>814</v>
      </c>
      <c r="F8518" t="s">
        <v>4295</v>
      </c>
      <c r="G8518" t="s">
        <v>5524</v>
      </c>
      <c r="H8518" t="s">
        <v>15450</v>
      </c>
      <c r="I8518" t="s">
        <v>17312</v>
      </c>
      <c r="J8518" t="s">
        <v>18892</v>
      </c>
      <c r="K8518">
        <v>10467</v>
      </c>
      <c r="L8518" t="s">
        <v>18958</v>
      </c>
      <c r="M8518" t="s">
        <v>18960</v>
      </c>
      <c r="N8518" t="s">
        <v>25099</v>
      </c>
      <c r="O8518" t="s">
        <v>26524</v>
      </c>
      <c r="P8518" t="s">
        <v>26560</v>
      </c>
      <c r="R8518" t="s">
        <v>26579</v>
      </c>
      <c r="S8518" t="s">
        <v>18959</v>
      </c>
      <c r="U8518" t="s">
        <v>26604</v>
      </c>
      <c r="V8518" t="s">
        <v>26610</v>
      </c>
      <c r="W8518" t="s">
        <v>814</v>
      </c>
      <c r="X8518">
        <v>1450</v>
      </c>
      <c r="Y8518" t="s">
        <v>26650</v>
      </c>
      <c r="AB8518" t="s">
        <v>32900</v>
      </c>
      <c r="AC8518" t="s">
        <v>36532</v>
      </c>
      <c r="AD8518" t="s">
        <v>43468</v>
      </c>
      <c r="AE8518">
        <v>4</v>
      </c>
      <c r="AF8518" t="s">
        <v>45547</v>
      </c>
      <c r="AH8518">
        <v>3</v>
      </c>
      <c r="AI8518">
        <v>2</v>
      </c>
      <c r="AJ8518">
        <v>2</v>
      </c>
      <c r="AK8518">
        <v>32.92</v>
      </c>
      <c r="AN8518" t="s">
        <v>7439</v>
      </c>
      <c r="AO8518">
        <v>8476</v>
      </c>
      <c r="AU8518">
        <v>1.3</v>
      </c>
      <c r="AV8518" t="s">
        <v>830</v>
      </c>
      <c r="AW8518" t="s">
        <v>335</v>
      </c>
      <c r="AX8518" t="s">
        <v>46898</v>
      </c>
    </row>
    <row r="8519" spans="1:50">
      <c r="A8519" s="1">
        <f>HYPERLINK("https://lsnyc.legalserver.org/matter/dynamic-profile/view/1901723","19-1901723")</f>
        <v>0</v>
      </c>
      <c r="B8519" t="s">
        <v>174</v>
      </c>
      <c r="C8519" t="s">
        <v>340</v>
      </c>
      <c r="D8519" t="s">
        <v>814</v>
      </c>
      <c r="F8519" t="s">
        <v>1192</v>
      </c>
      <c r="G8519" t="s">
        <v>8718</v>
      </c>
      <c r="H8519" t="s">
        <v>14411</v>
      </c>
      <c r="I8519" t="s">
        <v>18570</v>
      </c>
      <c r="J8519" t="s">
        <v>18894</v>
      </c>
      <c r="K8519">
        <v>11208</v>
      </c>
      <c r="L8519" t="s">
        <v>18958</v>
      </c>
      <c r="M8519" t="s">
        <v>18960</v>
      </c>
      <c r="N8519" t="s">
        <v>25100</v>
      </c>
      <c r="O8519" t="s">
        <v>26523</v>
      </c>
      <c r="P8519" t="s">
        <v>26560</v>
      </c>
      <c r="R8519" t="s">
        <v>26578</v>
      </c>
      <c r="S8519" t="s">
        <v>18959</v>
      </c>
      <c r="U8519" t="s">
        <v>26604</v>
      </c>
      <c r="V8519" t="s">
        <v>26610</v>
      </c>
      <c r="W8519" t="s">
        <v>814</v>
      </c>
      <c r="X8519">
        <v>875</v>
      </c>
      <c r="Y8519" t="s">
        <v>26652</v>
      </c>
      <c r="Z8519" t="s">
        <v>26659</v>
      </c>
      <c r="AB8519" t="s">
        <v>32901</v>
      </c>
      <c r="AD8519" t="s">
        <v>43469</v>
      </c>
      <c r="AE8519">
        <v>322</v>
      </c>
      <c r="AF8519" t="s">
        <v>45541</v>
      </c>
      <c r="AG8519" t="s">
        <v>19330</v>
      </c>
      <c r="AH8519">
        <v>6</v>
      </c>
      <c r="AI8519">
        <v>1</v>
      </c>
      <c r="AJ8519">
        <v>0</v>
      </c>
      <c r="AK8519">
        <v>162.37</v>
      </c>
      <c r="AN8519" t="s">
        <v>7439</v>
      </c>
      <c r="AO8519">
        <v>20280</v>
      </c>
      <c r="AU8519">
        <v>1.5</v>
      </c>
      <c r="AV8519" t="s">
        <v>821</v>
      </c>
      <c r="AW8519" t="s">
        <v>286</v>
      </c>
      <c r="AX8519" t="s">
        <v>46897</v>
      </c>
    </row>
    <row r="8520" spans="1:50">
      <c r="A8520" s="1">
        <f>HYPERLINK("https://lsnyc.legalserver.org/matter/dynamic-profile/view/1901764","19-1901764")</f>
        <v>0</v>
      </c>
      <c r="B8520" t="s">
        <v>81</v>
      </c>
      <c r="C8520" t="s">
        <v>340</v>
      </c>
      <c r="D8520" t="s">
        <v>814</v>
      </c>
      <c r="F8520" t="s">
        <v>1116</v>
      </c>
      <c r="G8520" t="s">
        <v>5720</v>
      </c>
      <c r="H8520" t="s">
        <v>11547</v>
      </c>
      <c r="I8520" t="s">
        <v>17306</v>
      </c>
      <c r="J8520" t="s">
        <v>18892</v>
      </c>
      <c r="K8520">
        <v>10467</v>
      </c>
      <c r="L8520" t="s">
        <v>18958</v>
      </c>
      <c r="M8520" t="s">
        <v>18960</v>
      </c>
      <c r="N8520" t="s">
        <v>25101</v>
      </c>
      <c r="O8520" t="s">
        <v>26523</v>
      </c>
      <c r="P8520" t="s">
        <v>26560</v>
      </c>
      <c r="R8520" t="s">
        <v>26579</v>
      </c>
      <c r="S8520" t="s">
        <v>18959</v>
      </c>
      <c r="U8520" t="s">
        <v>26604</v>
      </c>
      <c r="V8520" t="s">
        <v>26610</v>
      </c>
      <c r="W8520" t="s">
        <v>814</v>
      </c>
      <c r="X8520">
        <v>1295</v>
      </c>
      <c r="Y8520" t="s">
        <v>26650</v>
      </c>
      <c r="Z8520" t="s">
        <v>26668</v>
      </c>
      <c r="AB8520" t="s">
        <v>28375</v>
      </c>
      <c r="AC8520" t="s">
        <v>36533</v>
      </c>
      <c r="AD8520" t="s">
        <v>43470</v>
      </c>
      <c r="AE8520">
        <v>65</v>
      </c>
      <c r="AF8520" t="s">
        <v>45541</v>
      </c>
      <c r="AG8520" t="s">
        <v>45560</v>
      </c>
      <c r="AH8520">
        <v>3</v>
      </c>
      <c r="AI8520">
        <v>1</v>
      </c>
      <c r="AJ8520">
        <v>0</v>
      </c>
      <c r="AK8520">
        <v>89.73999999999999</v>
      </c>
      <c r="AO8520">
        <v>11208</v>
      </c>
      <c r="AU8520">
        <v>1</v>
      </c>
      <c r="AV8520" t="s">
        <v>831</v>
      </c>
      <c r="AW8520" t="s">
        <v>329</v>
      </c>
      <c r="AX8520" t="s">
        <v>46898</v>
      </c>
    </row>
    <row r="8521" spans="1:50">
      <c r="A8521" s="1">
        <f>HYPERLINK("https://lsnyc.legalserver.org/matter/dynamic-profile/view/1901785","19-1901785")</f>
        <v>0</v>
      </c>
      <c r="B8521" t="s">
        <v>294</v>
      </c>
      <c r="C8521" t="s">
        <v>340</v>
      </c>
      <c r="D8521" t="s">
        <v>814</v>
      </c>
      <c r="F8521" t="s">
        <v>4296</v>
      </c>
      <c r="G8521" t="s">
        <v>8719</v>
      </c>
      <c r="H8521" t="s">
        <v>15451</v>
      </c>
      <c r="I8521" t="s">
        <v>17322</v>
      </c>
      <c r="J8521" t="s">
        <v>18900</v>
      </c>
      <c r="K8521">
        <v>11354</v>
      </c>
      <c r="L8521" t="s">
        <v>18958</v>
      </c>
      <c r="M8521" t="s">
        <v>18960</v>
      </c>
      <c r="N8521" t="s">
        <v>25102</v>
      </c>
      <c r="O8521" t="s">
        <v>26523</v>
      </c>
      <c r="P8521" t="s">
        <v>26563</v>
      </c>
      <c r="R8521" t="s">
        <v>26578</v>
      </c>
      <c r="S8521" t="s">
        <v>18959</v>
      </c>
      <c r="U8521" t="s">
        <v>26604</v>
      </c>
      <c r="W8521" t="s">
        <v>814</v>
      </c>
      <c r="X8521">
        <v>939.65</v>
      </c>
      <c r="Y8521" t="s">
        <v>26653</v>
      </c>
      <c r="Z8521" t="s">
        <v>26664</v>
      </c>
      <c r="AB8521" t="s">
        <v>29597</v>
      </c>
      <c r="AD8521" t="s">
        <v>43471</v>
      </c>
      <c r="AE8521">
        <v>0</v>
      </c>
      <c r="AF8521" t="s">
        <v>45553</v>
      </c>
      <c r="AG8521" t="s">
        <v>19330</v>
      </c>
      <c r="AH8521">
        <v>30</v>
      </c>
      <c r="AI8521">
        <v>1</v>
      </c>
      <c r="AJ8521">
        <v>0</v>
      </c>
      <c r="AK8521">
        <v>78.78</v>
      </c>
      <c r="AN8521" t="s">
        <v>7439</v>
      </c>
      <c r="AO8521">
        <v>9840</v>
      </c>
      <c r="AU8521">
        <v>1.65</v>
      </c>
      <c r="AV8521" t="s">
        <v>834</v>
      </c>
      <c r="AW8521" t="s">
        <v>208</v>
      </c>
      <c r="AX8521" t="s">
        <v>46897</v>
      </c>
    </row>
    <row r="8522" spans="1:50">
      <c r="A8522" s="1">
        <f>HYPERLINK("https://lsnyc.legalserver.org/matter/dynamic-profile/view/1901834","19-1901834")</f>
        <v>0</v>
      </c>
      <c r="B8522" t="s">
        <v>258</v>
      </c>
      <c r="C8522" t="s">
        <v>340</v>
      </c>
      <c r="D8522" t="s">
        <v>814</v>
      </c>
      <c r="F8522" t="s">
        <v>4297</v>
      </c>
      <c r="G8522" t="s">
        <v>5468</v>
      </c>
      <c r="H8522" t="s">
        <v>15452</v>
      </c>
      <c r="I8522" t="s">
        <v>17362</v>
      </c>
      <c r="J8522" t="s">
        <v>18900</v>
      </c>
      <c r="K8522">
        <v>11355</v>
      </c>
      <c r="L8522" t="s">
        <v>18958</v>
      </c>
      <c r="M8522" t="s">
        <v>18960</v>
      </c>
      <c r="N8522" t="s">
        <v>25103</v>
      </c>
      <c r="O8522" t="s">
        <v>26523</v>
      </c>
      <c r="R8522" t="s">
        <v>26584</v>
      </c>
      <c r="U8522" t="s">
        <v>26604</v>
      </c>
      <c r="W8522" t="s">
        <v>814</v>
      </c>
      <c r="X8522">
        <v>1500</v>
      </c>
      <c r="Y8522" t="s">
        <v>26653</v>
      </c>
      <c r="Z8522" t="s">
        <v>26664</v>
      </c>
      <c r="AB8522" t="s">
        <v>32321</v>
      </c>
      <c r="AD8522" t="s">
        <v>43472</v>
      </c>
      <c r="AE8522">
        <v>0</v>
      </c>
      <c r="AF8522" t="s">
        <v>45541</v>
      </c>
      <c r="AG8522" t="s">
        <v>19330</v>
      </c>
      <c r="AH8522">
        <v>4</v>
      </c>
      <c r="AI8522">
        <v>1</v>
      </c>
      <c r="AJ8522">
        <v>0</v>
      </c>
      <c r="AK8522">
        <v>0</v>
      </c>
      <c r="AO8522">
        <v>0</v>
      </c>
      <c r="AU8522">
        <v>1</v>
      </c>
      <c r="AV8522" t="s">
        <v>826</v>
      </c>
      <c r="AW8522" t="s">
        <v>122</v>
      </c>
      <c r="AX8522" t="s">
        <v>46897</v>
      </c>
    </row>
    <row r="8523" spans="1:50">
      <c r="A8523" s="1">
        <f>HYPERLINK("https://lsnyc.legalserver.org/matter/dynamic-profile/view/1901772","19-1901772")</f>
        <v>0</v>
      </c>
      <c r="B8523" t="s">
        <v>214</v>
      </c>
      <c r="C8523" t="s">
        <v>340</v>
      </c>
      <c r="D8523" t="s">
        <v>814</v>
      </c>
      <c r="F8523" t="s">
        <v>2581</v>
      </c>
      <c r="G8523" t="s">
        <v>5220</v>
      </c>
      <c r="H8523" t="s">
        <v>15453</v>
      </c>
      <c r="J8523" t="s">
        <v>18901</v>
      </c>
      <c r="K8523">
        <v>11433</v>
      </c>
      <c r="L8523" t="s">
        <v>18958</v>
      </c>
      <c r="M8523" t="s">
        <v>18960</v>
      </c>
      <c r="N8523" t="s">
        <v>25104</v>
      </c>
      <c r="O8523" t="s">
        <v>26524</v>
      </c>
      <c r="P8523" t="s">
        <v>26560</v>
      </c>
      <c r="R8523" t="s">
        <v>26585</v>
      </c>
      <c r="S8523" t="s">
        <v>18959</v>
      </c>
      <c r="U8523" t="s">
        <v>26604</v>
      </c>
      <c r="V8523" t="s">
        <v>26612</v>
      </c>
      <c r="W8523" t="s">
        <v>814</v>
      </c>
      <c r="X8523">
        <v>0</v>
      </c>
      <c r="Y8523" t="s">
        <v>26653</v>
      </c>
      <c r="Z8523" t="s">
        <v>26664</v>
      </c>
      <c r="AB8523" t="s">
        <v>32902</v>
      </c>
      <c r="AD8523" t="s">
        <v>43473</v>
      </c>
      <c r="AE8523">
        <v>0</v>
      </c>
      <c r="AF8523" t="s">
        <v>20460</v>
      </c>
      <c r="AG8523" t="s">
        <v>19330</v>
      </c>
      <c r="AH8523">
        <v>30</v>
      </c>
      <c r="AI8523">
        <v>1</v>
      </c>
      <c r="AJ8523">
        <v>3</v>
      </c>
      <c r="AK8523">
        <v>69.90000000000001</v>
      </c>
      <c r="AN8523" t="s">
        <v>7439</v>
      </c>
      <c r="AO8523">
        <v>18000</v>
      </c>
      <c r="AU8523">
        <v>2.45</v>
      </c>
      <c r="AV8523" t="s">
        <v>839</v>
      </c>
      <c r="AW8523" t="s">
        <v>208</v>
      </c>
      <c r="AX8523" t="s">
        <v>46897</v>
      </c>
    </row>
    <row r="8524" spans="1:50">
      <c r="A8524" s="1">
        <f>HYPERLINK("https://lsnyc.legalserver.org/matter/dynamic-profile/view/1901762","19-1901762")</f>
        <v>0</v>
      </c>
      <c r="B8524" t="s">
        <v>142</v>
      </c>
      <c r="C8524" t="s">
        <v>340</v>
      </c>
      <c r="D8524" t="s">
        <v>814</v>
      </c>
      <c r="F8524" t="s">
        <v>4298</v>
      </c>
      <c r="G8524" t="s">
        <v>8720</v>
      </c>
      <c r="H8524" t="s">
        <v>15454</v>
      </c>
      <c r="I8524" t="s">
        <v>17375</v>
      </c>
      <c r="J8524" t="s">
        <v>18921</v>
      </c>
      <c r="K8524">
        <v>11426</v>
      </c>
      <c r="L8524" t="s">
        <v>18958</v>
      </c>
      <c r="M8524" t="s">
        <v>18960</v>
      </c>
      <c r="N8524" t="s">
        <v>25105</v>
      </c>
      <c r="O8524" t="s">
        <v>26524</v>
      </c>
      <c r="P8524" t="s">
        <v>26563</v>
      </c>
      <c r="R8524" t="s">
        <v>26584</v>
      </c>
      <c r="S8524" t="s">
        <v>18959</v>
      </c>
      <c r="U8524" t="s">
        <v>26604</v>
      </c>
      <c r="W8524" t="s">
        <v>814</v>
      </c>
      <c r="X8524">
        <v>1625</v>
      </c>
      <c r="Y8524" t="s">
        <v>26653</v>
      </c>
      <c r="Z8524" t="s">
        <v>26664</v>
      </c>
      <c r="AB8524" t="s">
        <v>32903</v>
      </c>
      <c r="AD8524" t="s">
        <v>43474</v>
      </c>
      <c r="AE8524">
        <v>2</v>
      </c>
      <c r="AF8524" t="s">
        <v>20460</v>
      </c>
      <c r="AG8524" t="s">
        <v>19330</v>
      </c>
      <c r="AH8524">
        <v>1</v>
      </c>
      <c r="AI8524">
        <v>1</v>
      </c>
      <c r="AJ8524">
        <v>1</v>
      </c>
      <c r="AK8524">
        <v>177.41</v>
      </c>
      <c r="AN8524" t="s">
        <v>7439</v>
      </c>
      <c r="AO8524">
        <v>30000</v>
      </c>
      <c r="AU8524">
        <v>1.4</v>
      </c>
      <c r="AV8524" t="s">
        <v>814</v>
      </c>
      <c r="AW8524" t="s">
        <v>208</v>
      </c>
      <c r="AX8524" t="s">
        <v>46897</v>
      </c>
    </row>
    <row r="8525" spans="1:50">
      <c r="A8525" s="1">
        <f>HYPERLINK("https://lsnyc.legalserver.org/matter/dynamic-profile/view/1901801","19-1901801")</f>
        <v>0</v>
      </c>
      <c r="B8525" t="s">
        <v>187</v>
      </c>
      <c r="C8525" t="s">
        <v>340</v>
      </c>
      <c r="D8525" t="s">
        <v>814</v>
      </c>
      <c r="F8525" t="s">
        <v>1545</v>
      </c>
      <c r="G8525" t="s">
        <v>5208</v>
      </c>
      <c r="H8525" t="s">
        <v>10507</v>
      </c>
      <c r="I8525" t="s">
        <v>17572</v>
      </c>
      <c r="J8525" t="s">
        <v>18892</v>
      </c>
      <c r="K8525">
        <v>10468</v>
      </c>
      <c r="L8525" t="s">
        <v>18958</v>
      </c>
      <c r="M8525" t="s">
        <v>18960</v>
      </c>
      <c r="N8525" t="s">
        <v>25106</v>
      </c>
      <c r="O8525" t="s">
        <v>26523</v>
      </c>
      <c r="P8525" t="s">
        <v>26560</v>
      </c>
      <c r="R8525" t="s">
        <v>26579</v>
      </c>
      <c r="S8525" t="s">
        <v>18959</v>
      </c>
      <c r="U8525" t="s">
        <v>26604</v>
      </c>
      <c r="V8525" t="s">
        <v>26610</v>
      </c>
      <c r="W8525" t="s">
        <v>814</v>
      </c>
      <c r="X8525">
        <v>1490.63</v>
      </c>
      <c r="Y8525" t="s">
        <v>26650</v>
      </c>
      <c r="Z8525" t="s">
        <v>26659</v>
      </c>
      <c r="AB8525" t="s">
        <v>27626</v>
      </c>
      <c r="AC8525" t="s">
        <v>36534</v>
      </c>
      <c r="AD8525" t="s">
        <v>37680</v>
      </c>
      <c r="AE8525">
        <v>0</v>
      </c>
      <c r="AF8525" t="s">
        <v>45549</v>
      </c>
      <c r="AG8525" t="s">
        <v>45556</v>
      </c>
      <c r="AH8525">
        <v>10</v>
      </c>
      <c r="AI8525">
        <v>1</v>
      </c>
      <c r="AJ8525">
        <v>2</v>
      </c>
      <c r="AK8525">
        <v>102.95</v>
      </c>
      <c r="AN8525" t="s">
        <v>7439</v>
      </c>
      <c r="AO8525">
        <v>21960</v>
      </c>
      <c r="AU8525">
        <v>5</v>
      </c>
      <c r="AV8525" t="s">
        <v>843</v>
      </c>
      <c r="AW8525" t="s">
        <v>46832</v>
      </c>
      <c r="AX8525" t="s">
        <v>46898</v>
      </c>
    </row>
    <row r="8526" spans="1:50">
      <c r="A8526" s="1">
        <f>HYPERLINK("https://lsnyc.legalserver.org/matter/dynamic-profile/view/1901769","19-1901769")</f>
        <v>0</v>
      </c>
      <c r="B8526" t="s">
        <v>112</v>
      </c>
      <c r="C8526" t="s">
        <v>340</v>
      </c>
      <c r="D8526" t="s">
        <v>814</v>
      </c>
      <c r="F8526" t="s">
        <v>4299</v>
      </c>
      <c r="G8526" t="s">
        <v>8721</v>
      </c>
      <c r="H8526" t="s">
        <v>15455</v>
      </c>
      <c r="I8526" t="s">
        <v>17491</v>
      </c>
      <c r="J8526" t="s">
        <v>18927</v>
      </c>
      <c r="K8526">
        <v>11419</v>
      </c>
      <c r="L8526" t="s">
        <v>18958</v>
      </c>
      <c r="M8526" t="s">
        <v>18960</v>
      </c>
      <c r="N8526" t="s">
        <v>25107</v>
      </c>
      <c r="O8526" t="s">
        <v>26524</v>
      </c>
      <c r="P8526" t="s">
        <v>26564</v>
      </c>
      <c r="R8526" t="s">
        <v>26584</v>
      </c>
      <c r="S8526" t="s">
        <v>18959</v>
      </c>
      <c r="U8526" t="s">
        <v>26604</v>
      </c>
      <c r="V8526" t="s">
        <v>26610</v>
      </c>
      <c r="W8526" t="s">
        <v>814</v>
      </c>
      <c r="X8526">
        <v>1600</v>
      </c>
      <c r="Y8526" t="s">
        <v>26653</v>
      </c>
      <c r="Z8526" t="s">
        <v>26664</v>
      </c>
      <c r="AB8526" t="s">
        <v>32904</v>
      </c>
      <c r="AD8526" t="s">
        <v>43475</v>
      </c>
      <c r="AE8526">
        <v>2</v>
      </c>
      <c r="AF8526" t="s">
        <v>20460</v>
      </c>
      <c r="AG8526" t="s">
        <v>19330</v>
      </c>
      <c r="AH8526">
        <v>3</v>
      </c>
      <c r="AI8526">
        <v>1</v>
      </c>
      <c r="AJ8526">
        <v>3</v>
      </c>
      <c r="AK8526">
        <v>59.84</v>
      </c>
      <c r="AN8526" t="s">
        <v>7439</v>
      </c>
      <c r="AO8526">
        <v>15408</v>
      </c>
      <c r="AU8526">
        <v>1.4</v>
      </c>
      <c r="AV8526" t="s">
        <v>814</v>
      </c>
      <c r="AW8526" t="s">
        <v>208</v>
      </c>
      <c r="AX8526" t="s">
        <v>46897</v>
      </c>
    </row>
    <row r="8527" spans="1:50">
      <c r="A8527" s="1">
        <f>HYPERLINK("https://lsnyc.legalserver.org/matter/dynamic-profile/view/1901783","19-1901783")</f>
        <v>0</v>
      </c>
      <c r="B8527" t="s">
        <v>112</v>
      </c>
      <c r="C8527" t="s">
        <v>340</v>
      </c>
      <c r="D8527" t="s">
        <v>814</v>
      </c>
      <c r="F8527" t="s">
        <v>887</v>
      </c>
      <c r="G8527" t="s">
        <v>8722</v>
      </c>
      <c r="H8527" t="s">
        <v>15456</v>
      </c>
      <c r="I8527" t="s">
        <v>17274</v>
      </c>
      <c r="J8527" t="s">
        <v>18946</v>
      </c>
      <c r="K8527">
        <v>11372</v>
      </c>
      <c r="L8527" t="s">
        <v>18958</v>
      </c>
      <c r="M8527" t="s">
        <v>18960</v>
      </c>
      <c r="N8527" t="s">
        <v>25108</v>
      </c>
      <c r="O8527" t="s">
        <v>26523</v>
      </c>
      <c r="P8527" t="s">
        <v>26563</v>
      </c>
      <c r="R8527" t="s">
        <v>26584</v>
      </c>
      <c r="U8527" t="s">
        <v>26604</v>
      </c>
      <c r="W8527" t="s">
        <v>814</v>
      </c>
      <c r="X8527">
        <v>1016</v>
      </c>
      <c r="Y8527" t="s">
        <v>26653</v>
      </c>
      <c r="Z8527" t="s">
        <v>26664</v>
      </c>
      <c r="AB8527" t="s">
        <v>32905</v>
      </c>
      <c r="AC8527" t="s">
        <v>36535</v>
      </c>
      <c r="AD8527" t="s">
        <v>43476</v>
      </c>
      <c r="AE8527">
        <v>54</v>
      </c>
      <c r="AG8527" t="s">
        <v>19330</v>
      </c>
      <c r="AH8527">
        <v>27</v>
      </c>
      <c r="AI8527">
        <v>3</v>
      </c>
      <c r="AJ8527">
        <v>0</v>
      </c>
      <c r="AK8527">
        <v>106.89</v>
      </c>
      <c r="AN8527" t="s">
        <v>7439</v>
      </c>
      <c r="AO8527">
        <v>22800</v>
      </c>
      <c r="AU8527">
        <v>1.4</v>
      </c>
      <c r="AV8527" t="s">
        <v>829</v>
      </c>
      <c r="AW8527" t="s">
        <v>208</v>
      </c>
      <c r="AX8527" t="s">
        <v>46897</v>
      </c>
    </row>
    <row r="8528" spans="1:50">
      <c r="A8528" s="1">
        <f>HYPERLINK("https://lsnyc.legalserver.org/matter/dynamic-profile/view/1901908","19-1901908")</f>
        <v>0</v>
      </c>
      <c r="B8528" t="s">
        <v>288</v>
      </c>
      <c r="C8528" t="s">
        <v>341</v>
      </c>
      <c r="D8528" t="s">
        <v>829</v>
      </c>
      <c r="E8528" t="s">
        <v>772</v>
      </c>
      <c r="F8528" t="s">
        <v>1876</v>
      </c>
      <c r="G8528" t="s">
        <v>8723</v>
      </c>
      <c r="H8528" t="s">
        <v>15457</v>
      </c>
      <c r="I8528" t="s">
        <v>17570</v>
      </c>
      <c r="J8528" t="s">
        <v>18894</v>
      </c>
      <c r="K8528">
        <v>11224</v>
      </c>
      <c r="L8528" t="s">
        <v>18958</v>
      </c>
      <c r="M8528" t="s">
        <v>18960</v>
      </c>
      <c r="N8528" t="s">
        <v>25109</v>
      </c>
      <c r="O8528" t="s">
        <v>26524</v>
      </c>
      <c r="P8528" t="s">
        <v>26564</v>
      </c>
      <c r="Q8528" t="s">
        <v>26570</v>
      </c>
      <c r="R8528" t="s">
        <v>26586</v>
      </c>
      <c r="S8528" t="s">
        <v>18959</v>
      </c>
      <c r="U8528" t="s">
        <v>26605</v>
      </c>
      <c r="V8528" t="s">
        <v>26610</v>
      </c>
      <c r="W8528" t="s">
        <v>814</v>
      </c>
      <c r="X8528">
        <v>260</v>
      </c>
      <c r="Y8528" t="s">
        <v>26652</v>
      </c>
      <c r="Z8528" t="s">
        <v>26664</v>
      </c>
      <c r="AA8528" t="s">
        <v>26683</v>
      </c>
      <c r="AB8528" t="s">
        <v>32906</v>
      </c>
      <c r="AC8528" t="s">
        <v>36536</v>
      </c>
      <c r="AD8528" t="s">
        <v>37469</v>
      </c>
      <c r="AE8528">
        <v>40</v>
      </c>
      <c r="AF8528" t="s">
        <v>45549</v>
      </c>
      <c r="AG8528" t="s">
        <v>19330</v>
      </c>
      <c r="AH8528">
        <v>4</v>
      </c>
      <c r="AI8528">
        <v>1</v>
      </c>
      <c r="AJ8528">
        <v>0</v>
      </c>
      <c r="AK8528">
        <v>70.62</v>
      </c>
      <c r="AN8528" t="s">
        <v>7439</v>
      </c>
      <c r="AO8528">
        <v>8820</v>
      </c>
      <c r="AU8528">
        <v>1.5</v>
      </c>
      <c r="AV8528" t="s">
        <v>772</v>
      </c>
      <c r="AW8528" t="s">
        <v>46862</v>
      </c>
      <c r="AX8528" t="s">
        <v>46897</v>
      </c>
    </row>
    <row r="8529" spans="1:50">
      <c r="A8529" s="1">
        <f>HYPERLINK("https://lsnyc.legalserver.org/matter/dynamic-profile/view/1900594","19-1900594")</f>
        <v>0</v>
      </c>
      <c r="B8529" t="s">
        <v>141</v>
      </c>
      <c r="C8529" t="s">
        <v>340</v>
      </c>
      <c r="D8529" t="s">
        <v>806</v>
      </c>
      <c r="F8529" t="s">
        <v>4300</v>
      </c>
      <c r="G8529" t="s">
        <v>8724</v>
      </c>
      <c r="H8529" t="s">
        <v>15458</v>
      </c>
      <c r="I8529" t="s">
        <v>17491</v>
      </c>
      <c r="J8529" t="s">
        <v>18920</v>
      </c>
      <c r="K8529">
        <v>11369</v>
      </c>
      <c r="L8529" t="s">
        <v>18958</v>
      </c>
      <c r="M8529" t="s">
        <v>18960</v>
      </c>
      <c r="N8529" t="s">
        <v>25110</v>
      </c>
      <c r="O8529" t="s">
        <v>26524</v>
      </c>
      <c r="P8529" t="s">
        <v>26560</v>
      </c>
      <c r="R8529" t="s">
        <v>26578</v>
      </c>
      <c r="S8529" t="s">
        <v>18959</v>
      </c>
      <c r="U8529" t="s">
        <v>26604</v>
      </c>
      <c r="V8529" t="s">
        <v>26610</v>
      </c>
      <c r="W8529" t="s">
        <v>829</v>
      </c>
      <c r="X8529">
        <v>1600</v>
      </c>
      <c r="Y8529" t="s">
        <v>26653</v>
      </c>
      <c r="Z8529" t="s">
        <v>26664</v>
      </c>
      <c r="AB8529" t="s">
        <v>32907</v>
      </c>
      <c r="AD8529" t="s">
        <v>43477</v>
      </c>
      <c r="AE8529">
        <v>2</v>
      </c>
      <c r="AF8529" t="s">
        <v>20460</v>
      </c>
      <c r="AG8529" t="s">
        <v>19330</v>
      </c>
      <c r="AH8529">
        <v>22</v>
      </c>
      <c r="AI8529">
        <v>3</v>
      </c>
      <c r="AJ8529">
        <v>0</v>
      </c>
      <c r="AK8529">
        <v>93.76000000000001</v>
      </c>
      <c r="AN8529" t="s">
        <v>7439</v>
      </c>
      <c r="AO8529">
        <v>20000</v>
      </c>
      <c r="AU8529">
        <v>3.05</v>
      </c>
      <c r="AV8529" t="s">
        <v>833</v>
      </c>
      <c r="AW8529" t="s">
        <v>208</v>
      </c>
      <c r="AX8529" t="s">
        <v>46897</v>
      </c>
    </row>
    <row r="8530" spans="1:50">
      <c r="A8530" s="1">
        <f>HYPERLINK("https://lsnyc.legalserver.org/matter/dynamic-profile/view/1901133","19-1901133")</f>
        <v>0</v>
      </c>
      <c r="B8530" t="s">
        <v>141</v>
      </c>
      <c r="C8530" t="s">
        <v>340</v>
      </c>
      <c r="D8530" t="s">
        <v>797</v>
      </c>
      <c r="F8530" t="s">
        <v>1471</v>
      </c>
      <c r="G8530" t="s">
        <v>6394</v>
      </c>
      <c r="H8530" t="s">
        <v>15459</v>
      </c>
      <c r="I8530">
        <v>3</v>
      </c>
      <c r="J8530" t="s">
        <v>18923</v>
      </c>
      <c r="K8530">
        <v>11418</v>
      </c>
      <c r="L8530" t="s">
        <v>18958</v>
      </c>
      <c r="M8530" t="s">
        <v>18960</v>
      </c>
      <c r="N8530" t="s">
        <v>25111</v>
      </c>
      <c r="O8530" t="s">
        <v>26523</v>
      </c>
      <c r="P8530" t="s">
        <v>26560</v>
      </c>
      <c r="R8530" t="s">
        <v>26578</v>
      </c>
      <c r="S8530" t="s">
        <v>18959</v>
      </c>
      <c r="U8530" t="s">
        <v>26604</v>
      </c>
      <c r="V8530" t="s">
        <v>26610</v>
      </c>
      <c r="W8530" t="s">
        <v>829</v>
      </c>
      <c r="X8530">
        <v>1500</v>
      </c>
      <c r="Y8530" t="s">
        <v>26653</v>
      </c>
      <c r="Z8530" t="s">
        <v>26664</v>
      </c>
      <c r="AB8530" t="s">
        <v>32908</v>
      </c>
      <c r="AD8530" t="s">
        <v>43478</v>
      </c>
      <c r="AE8530">
        <v>2</v>
      </c>
      <c r="AF8530" t="s">
        <v>45541</v>
      </c>
      <c r="AG8530" t="s">
        <v>19330</v>
      </c>
      <c r="AH8530">
        <v>6</v>
      </c>
      <c r="AI8530">
        <v>1</v>
      </c>
      <c r="AJ8530">
        <v>2</v>
      </c>
      <c r="AK8530">
        <v>187.23</v>
      </c>
      <c r="AN8530" t="s">
        <v>7439</v>
      </c>
      <c r="AO8530">
        <v>39936</v>
      </c>
      <c r="AU8530">
        <v>13.3</v>
      </c>
      <c r="AV8530" t="s">
        <v>839</v>
      </c>
      <c r="AW8530" t="s">
        <v>46846</v>
      </c>
      <c r="AX8530" t="s">
        <v>46897</v>
      </c>
    </row>
    <row r="8531" spans="1:50">
      <c r="A8531" s="1">
        <f>HYPERLINK("https://lsnyc.legalserver.org/matter/dynamic-profile/view/1901212","19-1901212")</f>
        <v>0</v>
      </c>
      <c r="B8531" t="s">
        <v>141</v>
      </c>
      <c r="C8531" t="s">
        <v>340</v>
      </c>
      <c r="D8531" t="s">
        <v>827</v>
      </c>
      <c r="F8531" t="s">
        <v>1810</v>
      </c>
      <c r="G8531" t="s">
        <v>8725</v>
      </c>
      <c r="H8531" t="s">
        <v>15460</v>
      </c>
      <c r="I8531" t="s">
        <v>17415</v>
      </c>
      <c r="J8531" t="s">
        <v>18905</v>
      </c>
      <c r="K8531">
        <v>11692</v>
      </c>
      <c r="L8531" t="s">
        <v>18958</v>
      </c>
      <c r="M8531" t="s">
        <v>18960</v>
      </c>
      <c r="N8531" t="s">
        <v>25112</v>
      </c>
      <c r="O8531" t="s">
        <v>26524</v>
      </c>
      <c r="P8531" t="s">
        <v>26560</v>
      </c>
      <c r="R8531" t="s">
        <v>26578</v>
      </c>
      <c r="S8531" t="s">
        <v>18959</v>
      </c>
      <c r="U8531" t="s">
        <v>26604</v>
      </c>
      <c r="V8531" t="s">
        <v>26609</v>
      </c>
      <c r="W8531" t="s">
        <v>829</v>
      </c>
      <c r="X8531">
        <v>2197</v>
      </c>
      <c r="Y8531" t="s">
        <v>26653</v>
      </c>
      <c r="Z8531" t="s">
        <v>26672</v>
      </c>
      <c r="AB8531" t="s">
        <v>32377</v>
      </c>
      <c r="AC8531">
        <v>30838634</v>
      </c>
      <c r="AD8531" t="s">
        <v>43479</v>
      </c>
      <c r="AE8531">
        <v>2</v>
      </c>
      <c r="AF8531" t="s">
        <v>45547</v>
      </c>
      <c r="AG8531" t="s">
        <v>45558</v>
      </c>
      <c r="AH8531">
        <v>3</v>
      </c>
      <c r="AI8531">
        <v>2</v>
      </c>
      <c r="AJ8531">
        <v>7</v>
      </c>
      <c r="AK8531">
        <v>19.06</v>
      </c>
      <c r="AN8531" t="s">
        <v>7439</v>
      </c>
      <c r="AO8531">
        <v>9120</v>
      </c>
      <c r="AU8531">
        <v>17.7</v>
      </c>
      <c r="AV8531" t="s">
        <v>836</v>
      </c>
      <c r="AW8531" t="s">
        <v>46887</v>
      </c>
      <c r="AX8531" t="s">
        <v>46897</v>
      </c>
    </row>
    <row r="8532" spans="1:50">
      <c r="A8532" s="1">
        <f>HYPERLINK("https://lsnyc.legalserver.org/matter/dynamic-profile/view/1901412","19-1901412")</f>
        <v>0</v>
      </c>
      <c r="B8532" t="s">
        <v>99</v>
      </c>
      <c r="C8532" t="s">
        <v>340</v>
      </c>
      <c r="D8532" t="s">
        <v>729</v>
      </c>
      <c r="F8532" t="s">
        <v>953</v>
      </c>
      <c r="G8532" t="s">
        <v>7921</v>
      </c>
      <c r="H8532" t="s">
        <v>12981</v>
      </c>
      <c r="I8532" t="s">
        <v>18508</v>
      </c>
      <c r="J8532" t="s">
        <v>18894</v>
      </c>
      <c r="K8532">
        <v>11216</v>
      </c>
      <c r="L8532" t="s">
        <v>18958</v>
      </c>
      <c r="M8532" t="s">
        <v>18960</v>
      </c>
      <c r="O8532" t="s">
        <v>26525</v>
      </c>
      <c r="P8532" t="s">
        <v>26563</v>
      </c>
      <c r="R8532" t="s">
        <v>26588</v>
      </c>
      <c r="S8532" t="s">
        <v>18959</v>
      </c>
      <c r="U8532" t="s">
        <v>26605</v>
      </c>
      <c r="W8532" t="s">
        <v>829</v>
      </c>
      <c r="X8532">
        <v>215</v>
      </c>
      <c r="Y8532" t="s">
        <v>26652</v>
      </c>
      <c r="Z8532" t="s">
        <v>26664</v>
      </c>
      <c r="AB8532" t="s">
        <v>32814</v>
      </c>
      <c r="AC8532" t="s">
        <v>36537</v>
      </c>
      <c r="AD8532" t="s">
        <v>43362</v>
      </c>
      <c r="AE8532">
        <v>8</v>
      </c>
      <c r="AF8532" t="s">
        <v>45542</v>
      </c>
      <c r="AG8532" t="s">
        <v>19330</v>
      </c>
      <c r="AH8532">
        <v>48</v>
      </c>
      <c r="AI8532">
        <v>2</v>
      </c>
      <c r="AJ8532">
        <v>1</v>
      </c>
      <c r="AK8532">
        <v>68.81999999999999</v>
      </c>
      <c r="AN8532" t="s">
        <v>7439</v>
      </c>
      <c r="AO8532">
        <v>14680</v>
      </c>
      <c r="AU8532">
        <v>1.7</v>
      </c>
      <c r="AV8532" t="s">
        <v>821</v>
      </c>
      <c r="AW8532" t="s">
        <v>46856</v>
      </c>
      <c r="AX8532" t="s">
        <v>46897</v>
      </c>
    </row>
    <row r="8533" spans="1:50">
      <c r="A8533" s="1">
        <f>HYPERLINK("https://lsnyc.legalserver.org/matter/dynamic-profile/view/1901741","19-1901741")</f>
        <v>0</v>
      </c>
      <c r="B8533" t="s">
        <v>193</v>
      </c>
      <c r="C8533" t="s">
        <v>340</v>
      </c>
      <c r="D8533" t="s">
        <v>814</v>
      </c>
      <c r="F8533" t="s">
        <v>4276</v>
      </c>
      <c r="G8533" t="s">
        <v>1377</v>
      </c>
      <c r="H8533" t="s">
        <v>13323</v>
      </c>
      <c r="I8533" t="s">
        <v>17306</v>
      </c>
      <c r="J8533" t="s">
        <v>18894</v>
      </c>
      <c r="K8533">
        <v>11226</v>
      </c>
      <c r="L8533" t="s">
        <v>18958</v>
      </c>
      <c r="M8533" t="s">
        <v>18960</v>
      </c>
      <c r="N8533" t="s">
        <v>25113</v>
      </c>
      <c r="O8533" t="s">
        <v>26523</v>
      </c>
      <c r="P8533" t="s">
        <v>26560</v>
      </c>
      <c r="R8533" t="s">
        <v>26588</v>
      </c>
      <c r="U8533" t="s">
        <v>26604</v>
      </c>
      <c r="W8533" t="s">
        <v>829</v>
      </c>
      <c r="X8533">
        <v>1315</v>
      </c>
      <c r="Y8533" t="s">
        <v>26652</v>
      </c>
      <c r="Z8533" t="s">
        <v>26664</v>
      </c>
      <c r="AB8533" t="s">
        <v>32858</v>
      </c>
      <c r="AD8533" t="s">
        <v>43419</v>
      </c>
      <c r="AE8533">
        <v>7</v>
      </c>
      <c r="AF8533" t="s">
        <v>20460</v>
      </c>
      <c r="AH8533">
        <v>8</v>
      </c>
      <c r="AI8533">
        <v>1</v>
      </c>
      <c r="AJ8533">
        <v>1</v>
      </c>
      <c r="AK8533">
        <v>106.16</v>
      </c>
      <c r="AN8533" t="s">
        <v>7439</v>
      </c>
      <c r="AO8533">
        <v>17952</v>
      </c>
      <c r="AU8533">
        <v>5.8</v>
      </c>
      <c r="AV8533" t="s">
        <v>835</v>
      </c>
      <c r="AW8533" t="s">
        <v>46856</v>
      </c>
      <c r="AX8533" t="s">
        <v>46897</v>
      </c>
    </row>
    <row r="8534" spans="1:50">
      <c r="A8534" s="1">
        <f>HYPERLINK("https://lsnyc.legalserver.org/matter/dynamic-profile/view/1901861","19-1901861")</f>
        <v>0</v>
      </c>
      <c r="B8534" t="s">
        <v>169</v>
      </c>
      <c r="C8534" t="s">
        <v>340</v>
      </c>
      <c r="D8534" t="s">
        <v>829</v>
      </c>
      <c r="F8534" t="s">
        <v>1013</v>
      </c>
      <c r="G8534" t="s">
        <v>8726</v>
      </c>
      <c r="H8534" t="s">
        <v>15461</v>
      </c>
      <c r="I8534">
        <v>220</v>
      </c>
      <c r="J8534" t="s">
        <v>18892</v>
      </c>
      <c r="K8534">
        <v>10459</v>
      </c>
      <c r="L8534" t="s">
        <v>18958</v>
      </c>
      <c r="M8534" t="s">
        <v>18960</v>
      </c>
      <c r="N8534" t="s">
        <v>25114</v>
      </c>
      <c r="O8534" t="s">
        <v>26523</v>
      </c>
      <c r="P8534" t="s">
        <v>26564</v>
      </c>
      <c r="R8534" t="s">
        <v>26578</v>
      </c>
      <c r="S8534" t="s">
        <v>18959</v>
      </c>
      <c r="U8534" t="s">
        <v>26604</v>
      </c>
      <c r="W8534" t="s">
        <v>829</v>
      </c>
      <c r="X8534">
        <v>1022</v>
      </c>
      <c r="Y8534" t="s">
        <v>26650</v>
      </c>
      <c r="Z8534" t="s">
        <v>26659</v>
      </c>
      <c r="AB8534" t="s">
        <v>32909</v>
      </c>
      <c r="AC8534" t="s">
        <v>36538</v>
      </c>
      <c r="AD8534" t="s">
        <v>43480</v>
      </c>
      <c r="AE8534">
        <v>144</v>
      </c>
      <c r="AF8534" t="s">
        <v>45541</v>
      </c>
      <c r="AG8534" t="s">
        <v>45557</v>
      </c>
      <c r="AH8534">
        <v>2</v>
      </c>
      <c r="AI8534">
        <v>2</v>
      </c>
      <c r="AJ8534">
        <v>2</v>
      </c>
      <c r="AK8534">
        <v>73</v>
      </c>
      <c r="AN8534" t="s">
        <v>45581</v>
      </c>
      <c r="AO8534">
        <v>18798</v>
      </c>
      <c r="AU8534">
        <v>3.85</v>
      </c>
      <c r="AV8534" t="s">
        <v>821</v>
      </c>
      <c r="AW8534" t="s">
        <v>329</v>
      </c>
      <c r="AX8534" t="s">
        <v>46898</v>
      </c>
    </row>
    <row r="8535" spans="1:50">
      <c r="A8535" s="1">
        <f>HYPERLINK("https://lsnyc.legalserver.org/matter/dynamic-profile/view/1901906","19-1901906")</f>
        <v>0</v>
      </c>
      <c r="B8535" t="s">
        <v>87</v>
      </c>
      <c r="C8535" t="s">
        <v>340</v>
      </c>
      <c r="D8535" t="s">
        <v>829</v>
      </c>
      <c r="F8535" t="s">
        <v>4301</v>
      </c>
      <c r="G8535" t="s">
        <v>8727</v>
      </c>
      <c r="H8535" t="s">
        <v>15462</v>
      </c>
      <c r="I8535">
        <v>1</v>
      </c>
      <c r="J8535" t="s">
        <v>18892</v>
      </c>
      <c r="K8535">
        <v>10465</v>
      </c>
      <c r="L8535" t="s">
        <v>18958</v>
      </c>
      <c r="M8535" t="s">
        <v>18960</v>
      </c>
      <c r="N8535" t="s">
        <v>25115</v>
      </c>
      <c r="O8535" t="s">
        <v>26523</v>
      </c>
      <c r="P8535" t="s">
        <v>26564</v>
      </c>
      <c r="R8535" t="s">
        <v>26577</v>
      </c>
      <c r="U8535" t="s">
        <v>26604</v>
      </c>
      <c r="V8535" t="s">
        <v>26610</v>
      </c>
      <c r="W8535" t="s">
        <v>829</v>
      </c>
      <c r="X8535">
        <v>1400</v>
      </c>
      <c r="Y8535" t="s">
        <v>26650</v>
      </c>
      <c r="AB8535" t="s">
        <v>32910</v>
      </c>
      <c r="AE8535">
        <v>0</v>
      </c>
      <c r="AH8535">
        <v>3</v>
      </c>
      <c r="AI8535">
        <v>1</v>
      </c>
      <c r="AJ8535">
        <v>1</v>
      </c>
      <c r="AK8535">
        <v>74.23</v>
      </c>
      <c r="AN8535" t="s">
        <v>7439</v>
      </c>
      <c r="AO8535">
        <v>12552</v>
      </c>
      <c r="AP8535" t="s">
        <v>46095</v>
      </c>
      <c r="AU8535">
        <v>0.5</v>
      </c>
      <c r="AV8535" t="s">
        <v>772</v>
      </c>
      <c r="AW8535" t="s">
        <v>284</v>
      </c>
      <c r="AX8535" t="s">
        <v>46897</v>
      </c>
    </row>
    <row r="8536" spans="1:50">
      <c r="A8536" s="1">
        <f>HYPERLINK("https://lsnyc.legalserver.org/matter/dynamic-profile/view/1901673","19-1901673")</f>
        <v>0</v>
      </c>
      <c r="B8536" t="s">
        <v>235</v>
      </c>
      <c r="C8536" t="s">
        <v>340</v>
      </c>
      <c r="D8536" t="s">
        <v>828</v>
      </c>
      <c r="F8536" t="s">
        <v>2190</v>
      </c>
      <c r="G8536" t="s">
        <v>8728</v>
      </c>
      <c r="H8536" t="s">
        <v>15463</v>
      </c>
      <c r="I8536" t="s">
        <v>17402</v>
      </c>
      <c r="J8536" t="s">
        <v>18901</v>
      </c>
      <c r="K8536">
        <v>11435</v>
      </c>
      <c r="L8536" t="s">
        <v>18958</v>
      </c>
      <c r="M8536" t="s">
        <v>18960</v>
      </c>
      <c r="N8536" t="s">
        <v>25116</v>
      </c>
      <c r="O8536" t="s">
        <v>26524</v>
      </c>
      <c r="R8536" t="s">
        <v>26584</v>
      </c>
      <c r="U8536" t="s">
        <v>26604</v>
      </c>
      <c r="W8536" t="s">
        <v>842</v>
      </c>
      <c r="X8536">
        <v>1450</v>
      </c>
      <c r="Y8536" t="s">
        <v>26653</v>
      </c>
      <c r="Z8536" t="s">
        <v>26664</v>
      </c>
      <c r="AB8536" t="s">
        <v>32911</v>
      </c>
      <c r="AD8536" t="s">
        <v>43481</v>
      </c>
      <c r="AE8536">
        <v>2</v>
      </c>
      <c r="AF8536" t="s">
        <v>45547</v>
      </c>
      <c r="AG8536" t="s">
        <v>45556</v>
      </c>
      <c r="AH8536">
        <v>22</v>
      </c>
      <c r="AI8536">
        <v>3</v>
      </c>
      <c r="AJ8536">
        <v>0</v>
      </c>
      <c r="AK8536">
        <v>78.76000000000001</v>
      </c>
      <c r="AO8536">
        <v>16800</v>
      </c>
      <c r="AU8536">
        <v>1</v>
      </c>
      <c r="AV8536" t="s">
        <v>828</v>
      </c>
      <c r="AW8536" t="s">
        <v>122</v>
      </c>
      <c r="AX8536" t="s">
        <v>46897</v>
      </c>
    </row>
    <row r="8537" spans="1:50">
      <c r="A8537" s="1">
        <f>HYPERLINK("https://lsnyc.legalserver.org/matter/dynamic-profile/view/1892294","19-1892294")</f>
        <v>0</v>
      </c>
      <c r="B8537" t="s">
        <v>69</v>
      </c>
      <c r="C8537" t="s">
        <v>340</v>
      </c>
      <c r="D8537" t="s">
        <v>659</v>
      </c>
      <c r="F8537" t="s">
        <v>1119</v>
      </c>
      <c r="G8537" t="s">
        <v>5138</v>
      </c>
      <c r="H8537" t="s">
        <v>15464</v>
      </c>
      <c r="I8537" t="s">
        <v>18571</v>
      </c>
      <c r="J8537" t="s">
        <v>18892</v>
      </c>
      <c r="K8537">
        <v>10472</v>
      </c>
      <c r="L8537" t="s">
        <v>18958</v>
      </c>
      <c r="M8537" t="s">
        <v>18958</v>
      </c>
      <c r="N8537" t="s">
        <v>25117</v>
      </c>
      <c r="O8537" t="s">
        <v>26523</v>
      </c>
      <c r="P8537" t="s">
        <v>26560</v>
      </c>
      <c r="R8537" t="s">
        <v>26577</v>
      </c>
      <c r="S8537" t="s">
        <v>18959</v>
      </c>
      <c r="U8537" t="s">
        <v>26604</v>
      </c>
      <c r="W8537" t="s">
        <v>720</v>
      </c>
      <c r="X8537">
        <v>1400</v>
      </c>
      <c r="Y8537" t="s">
        <v>26650</v>
      </c>
      <c r="Z8537" t="s">
        <v>26670</v>
      </c>
      <c r="AB8537" t="s">
        <v>32912</v>
      </c>
      <c r="AD8537" t="s">
        <v>43482</v>
      </c>
      <c r="AE8537">
        <v>0</v>
      </c>
      <c r="AH8537">
        <v>37</v>
      </c>
      <c r="AI8537">
        <v>1</v>
      </c>
      <c r="AJ8537">
        <v>0</v>
      </c>
      <c r="AK8537">
        <v>211.37</v>
      </c>
      <c r="AL8537" t="s">
        <v>720</v>
      </c>
      <c r="AM8537" t="s">
        <v>45575</v>
      </c>
      <c r="AN8537" t="s">
        <v>7439</v>
      </c>
      <c r="AO8537">
        <v>26400</v>
      </c>
      <c r="AU8537">
        <v>5.35</v>
      </c>
      <c r="AV8537" t="s">
        <v>828</v>
      </c>
      <c r="AW8537" t="s">
        <v>46870</v>
      </c>
      <c r="AX8537" t="s">
        <v>46897</v>
      </c>
    </row>
    <row r="8538" spans="1:50">
      <c r="A8538" s="1">
        <f>HYPERLINK("https://lsnyc.legalserver.org/matter/dynamic-profile/view/1897267","19-1897267")</f>
        <v>0</v>
      </c>
      <c r="B8538" t="s">
        <v>133</v>
      </c>
      <c r="C8538" t="s">
        <v>340</v>
      </c>
      <c r="D8538" t="s">
        <v>760</v>
      </c>
      <c r="F8538" t="s">
        <v>3238</v>
      </c>
      <c r="G8538" t="s">
        <v>945</v>
      </c>
      <c r="H8538" t="s">
        <v>15465</v>
      </c>
      <c r="I8538" t="s">
        <v>18112</v>
      </c>
      <c r="J8538" t="s">
        <v>18892</v>
      </c>
      <c r="K8538">
        <v>10468</v>
      </c>
      <c r="L8538" t="s">
        <v>18958</v>
      </c>
      <c r="M8538" t="s">
        <v>18958</v>
      </c>
      <c r="N8538" t="s">
        <v>25118</v>
      </c>
      <c r="O8538" t="s">
        <v>26523</v>
      </c>
      <c r="P8538" t="s">
        <v>26560</v>
      </c>
      <c r="R8538" t="s">
        <v>26579</v>
      </c>
      <c r="S8538" t="s">
        <v>18959</v>
      </c>
      <c r="U8538" t="s">
        <v>26604</v>
      </c>
      <c r="V8538" t="s">
        <v>26610</v>
      </c>
      <c r="W8538" t="s">
        <v>720</v>
      </c>
      <c r="X8538">
        <v>1675</v>
      </c>
      <c r="Y8538" t="s">
        <v>26650</v>
      </c>
      <c r="Z8538" t="s">
        <v>26664</v>
      </c>
      <c r="AB8538" t="s">
        <v>32913</v>
      </c>
      <c r="AD8538" t="s">
        <v>43483</v>
      </c>
      <c r="AE8538">
        <v>33</v>
      </c>
      <c r="AF8538" t="s">
        <v>45541</v>
      </c>
      <c r="AH8538">
        <v>2</v>
      </c>
      <c r="AI8538">
        <v>1</v>
      </c>
      <c r="AJ8538">
        <v>0</v>
      </c>
      <c r="AK8538">
        <v>216.17</v>
      </c>
      <c r="AL8538" t="s">
        <v>720</v>
      </c>
      <c r="AM8538" t="s">
        <v>45575</v>
      </c>
      <c r="AN8538" t="s">
        <v>7439</v>
      </c>
      <c r="AO8538">
        <v>27000</v>
      </c>
      <c r="AU8538">
        <v>8.800000000000001</v>
      </c>
      <c r="AV8538" t="s">
        <v>835</v>
      </c>
      <c r="AW8538" t="s">
        <v>46870</v>
      </c>
      <c r="AX8538" t="s">
        <v>46897</v>
      </c>
    </row>
    <row r="8539" spans="1:50">
      <c r="A8539" s="1">
        <f>HYPERLINK("https://lsnyc.legalserver.org/matter/dynamic-profile/view/1899515","19-1899515")</f>
        <v>0</v>
      </c>
      <c r="B8539" t="s">
        <v>130</v>
      </c>
      <c r="C8539" t="s">
        <v>341</v>
      </c>
      <c r="D8539" t="s">
        <v>817</v>
      </c>
      <c r="E8539" t="s">
        <v>843</v>
      </c>
      <c r="F8539" t="s">
        <v>4302</v>
      </c>
      <c r="G8539" t="s">
        <v>8729</v>
      </c>
      <c r="H8539" t="s">
        <v>15466</v>
      </c>
      <c r="I8539" t="s">
        <v>17306</v>
      </c>
      <c r="J8539" t="s">
        <v>18901</v>
      </c>
      <c r="K8539">
        <v>11433</v>
      </c>
      <c r="L8539" t="s">
        <v>18958</v>
      </c>
      <c r="M8539" t="s">
        <v>18960</v>
      </c>
      <c r="N8539" t="s">
        <v>25119</v>
      </c>
      <c r="O8539" t="s">
        <v>26524</v>
      </c>
      <c r="P8539" t="s">
        <v>26560</v>
      </c>
      <c r="Q8539" t="s">
        <v>26568</v>
      </c>
      <c r="R8539" t="s">
        <v>26585</v>
      </c>
      <c r="S8539" t="s">
        <v>18959</v>
      </c>
      <c r="U8539" t="s">
        <v>26604</v>
      </c>
      <c r="V8539" t="s">
        <v>26610</v>
      </c>
      <c r="W8539" t="s">
        <v>720</v>
      </c>
      <c r="X8539">
        <v>1200</v>
      </c>
      <c r="Y8539" t="s">
        <v>26653</v>
      </c>
      <c r="Z8539" t="s">
        <v>26668</v>
      </c>
      <c r="AA8539" t="s">
        <v>26678</v>
      </c>
      <c r="AB8539" t="s">
        <v>27878</v>
      </c>
      <c r="AC8539" t="s">
        <v>36539</v>
      </c>
      <c r="AD8539" t="s">
        <v>43484</v>
      </c>
      <c r="AE8539">
        <v>2</v>
      </c>
      <c r="AF8539" t="s">
        <v>45547</v>
      </c>
      <c r="AG8539" t="s">
        <v>19330</v>
      </c>
      <c r="AH8539">
        <v>11</v>
      </c>
      <c r="AI8539">
        <v>4</v>
      </c>
      <c r="AJ8539">
        <v>0</v>
      </c>
      <c r="AK8539">
        <v>120.04</v>
      </c>
      <c r="AN8539" t="s">
        <v>7439</v>
      </c>
      <c r="AO8539">
        <v>30910.8</v>
      </c>
      <c r="AR8539" t="s">
        <v>46379</v>
      </c>
      <c r="AS8539" t="s">
        <v>46499</v>
      </c>
      <c r="AT8539" t="s">
        <v>46808</v>
      </c>
      <c r="AU8539">
        <v>4.4</v>
      </c>
      <c r="AV8539" t="s">
        <v>843</v>
      </c>
      <c r="AW8539" t="s">
        <v>130</v>
      </c>
      <c r="AX8539" t="s">
        <v>46897</v>
      </c>
    </row>
    <row r="8540" spans="1:50">
      <c r="A8540" s="1">
        <f>HYPERLINK("https://lsnyc.legalserver.org/matter/dynamic-profile/view/1899817","19-1899817")</f>
        <v>0</v>
      </c>
      <c r="B8540" t="s">
        <v>130</v>
      </c>
      <c r="C8540" t="s">
        <v>340</v>
      </c>
      <c r="D8540" t="s">
        <v>805</v>
      </c>
      <c r="F8540" t="s">
        <v>1789</v>
      </c>
      <c r="G8540" t="s">
        <v>8730</v>
      </c>
      <c r="H8540" t="s">
        <v>15467</v>
      </c>
      <c r="I8540">
        <v>2</v>
      </c>
      <c r="J8540" t="s">
        <v>18920</v>
      </c>
      <c r="K8540">
        <v>11370</v>
      </c>
      <c r="L8540" t="s">
        <v>18958</v>
      </c>
      <c r="M8540" t="s">
        <v>18960</v>
      </c>
      <c r="N8540" t="s">
        <v>25120</v>
      </c>
      <c r="O8540" t="s">
        <v>26524</v>
      </c>
      <c r="P8540" t="s">
        <v>26560</v>
      </c>
      <c r="R8540" t="s">
        <v>26584</v>
      </c>
      <c r="S8540" t="s">
        <v>18959</v>
      </c>
      <c r="U8540" t="s">
        <v>26604</v>
      </c>
      <c r="V8540" t="s">
        <v>26610</v>
      </c>
      <c r="W8540" t="s">
        <v>720</v>
      </c>
      <c r="X8540">
        <v>2000</v>
      </c>
      <c r="Y8540" t="s">
        <v>26653</v>
      </c>
      <c r="Z8540" t="s">
        <v>26664</v>
      </c>
      <c r="AB8540" t="s">
        <v>32914</v>
      </c>
      <c r="AD8540" t="s">
        <v>43485</v>
      </c>
      <c r="AE8540">
        <v>3</v>
      </c>
      <c r="AF8540" t="s">
        <v>45547</v>
      </c>
      <c r="AG8540" t="s">
        <v>19330</v>
      </c>
      <c r="AH8540">
        <v>10</v>
      </c>
      <c r="AI8540">
        <v>4</v>
      </c>
      <c r="AJ8540">
        <v>4</v>
      </c>
      <c r="AK8540">
        <v>65.84999999999999</v>
      </c>
      <c r="AN8540" t="s">
        <v>7439</v>
      </c>
      <c r="AO8540">
        <v>28600</v>
      </c>
      <c r="AQ8540" t="s">
        <v>46359</v>
      </c>
      <c r="AR8540" t="s">
        <v>46379</v>
      </c>
      <c r="AS8540" t="s">
        <v>46499</v>
      </c>
      <c r="AT8540" t="s">
        <v>46779</v>
      </c>
      <c r="AU8540">
        <v>9.800000000000001</v>
      </c>
      <c r="AV8540" t="s">
        <v>833</v>
      </c>
      <c r="AW8540" t="s">
        <v>208</v>
      </c>
      <c r="AX8540" t="s">
        <v>46897</v>
      </c>
    </row>
    <row r="8541" spans="1:50">
      <c r="A8541" s="1">
        <f>HYPERLINK("https://lsnyc.legalserver.org/matter/dynamic-profile/view/1902016","19-1902016")</f>
        <v>0</v>
      </c>
      <c r="B8541" t="s">
        <v>120</v>
      </c>
      <c r="C8541" t="s">
        <v>340</v>
      </c>
      <c r="D8541" t="s">
        <v>825</v>
      </c>
      <c r="F8541" t="s">
        <v>941</v>
      </c>
      <c r="G8541" t="s">
        <v>1725</v>
      </c>
      <c r="H8541" t="s">
        <v>11653</v>
      </c>
      <c r="I8541" t="s">
        <v>17291</v>
      </c>
      <c r="J8541" t="s">
        <v>18892</v>
      </c>
      <c r="K8541">
        <v>10467</v>
      </c>
      <c r="L8541" t="s">
        <v>18958</v>
      </c>
      <c r="M8541" t="s">
        <v>18960</v>
      </c>
      <c r="N8541" t="s">
        <v>25121</v>
      </c>
      <c r="O8541" t="s">
        <v>26524</v>
      </c>
      <c r="P8541" t="s">
        <v>26560</v>
      </c>
      <c r="R8541" t="s">
        <v>26579</v>
      </c>
      <c r="S8541" t="s">
        <v>18959</v>
      </c>
      <c r="U8541" t="s">
        <v>26604</v>
      </c>
      <c r="V8541" t="s">
        <v>26610</v>
      </c>
      <c r="W8541" t="s">
        <v>720</v>
      </c>
      <c r="X8541">
        <v>0</v>
      </c>
      <c r="Y8541" t="s">
        <v>26650</v>
      </c>
      <c r="Z8541" t="s">
        <v>26668</v>
      </c>
      <c r="AB8541" t="s">
        <v>32063</v>
      </c>
      <c r="AC8541" t="s">
        <v>36540</v>
      </c>
      <c r="AD8541" t="s">
        <v>42388</v>
      </c>
      <c r="AE8541">
        <v>70</v>
      </c>
      <c r="AF8541" t="s">
        <v>45541</v>
      </c>
      <c r="AG8541" t="s">
        <v>19330</v>
      </c>
      <c r="AH8541">
        <v>5</v>
      </c>
      <c r="AI8541">
        <v>2</v>
      </c>
      <c r="AJ8541">
        <v>0</v>
      </c>
      <c r="AK8541">
        <v>173.86</v>
      </c>
      <c r="AN8541" t="s">
        <v>45581</v>
      </c>
      <c r="AO8541">
        <v>29400</v>
      </c>
      <c r="AU8541">
        <v>10</v>
      </c>
      <c r="AV8541" t="s">
        <v>833</v>
      </c>
      <c r="AW8541" t="s">
        <v>46832</v>
      </c>
      <c r="AX8541" t="s">
        <v>46898</v>
      </c>
    </row>
    <row r="8542" spans="1:50">
      <c r="A8542" s="1">
        <f>HYPERLINK("https://lsnyc.legalserver.org/matter/dynamic-profile/view/1901975","19-1901975")</f>
        <v>0</v>
      </c>
      <c r="B8542" t="s">
        <v>300</v>
      </c>
      <c r="C8542" t="s">
        <v>341</v>
      </c>
      <c r="D8542" t="s">
        <v>720</v>
      </c>
      <c r="E8542" t="s">
        <v>832</v>
      </c>
      <c r="F8542" t="s">
        <v>1116</v>
      </c>
      <c r="G8542" t="s">
        <v>2564</v>
      </c>
      <c r="H8542" t="s">
        <v>15468</v>
      </c>
      <c r="I8542" t="s">
        <v>17300</v>
      </c>
      <c r="J8542" t="s">
        <v>18893</v>
      </c>
      <c r="K8542">
        <v>10034</v>
      </c>
      <c r="L8542" t="s">
        <v>18958</v>
      </c>
      <c r="M8542" t="s">
        <v>18960</v>
      </c>
      <c r="O8542" t="s">
        <v>18997</v>
      </c>
      <c r="P8542" t="s">
        <v>26565</v>
      </c>
      <c r="Q8542" t="s">
        <v>26571</v>
      </c>
      <c r="R8542" t="s">
        <v>26578</v>
      </c>
      <c r="S8542" t="s">
        <v>18959</v>
      </c>
      <c r="U8542" t="s">
        <v>26604</v>
      </c>
      <c r="W8542" t="s">
        <v>720</v>
      </c>
      <c r="X8542">
        <v>2768.63</v>
      </c>
      <c r="Y8542" t="s">
        <v>26651</v>
      </c>
      <c r="Z8542" t="s">
        <v>26661</v>
      </c>
      <c r="AA8542" t="s">
        <v>26682</v>
      </c>
      <c r="AB8542" t="s">
        <v>27403</v>
      </c>
      <c r="AE8542">
        <v>74</v>
      </c>
      <c r="AF8542" t="s">
        <v>45541</v>
      </c>
      <c r="AG8542" t="s">
        <v>19330</v>
      </c>
      <c r="AH8542">
        <v>15</v>
      </c>
      <c r="AI8542">
        <v>2</v>
      </c>
      <c r="AJ8542">
        <v>0</v>
      </c>
      <c r="AK8542">
        <v>1005.32</v>
      </c>
      <c r="AN8542" t="s">
        <v>7439</v>
      </c>
      <c r="AO8542">
        <v>170000</v>
      </c>
      <c r="AU8542">
        <v>0.25</v>
      </c>
      <c r="AV8542" t="s">
        <v>832</v>
      </c>
      <c r="AW8542" t="s">
        <v>46840</v>
      </c>
      <c r="AX8542" t="s">
        <v>46897</v>
      </c>
    </row>
    <row r="8543" spans="1:50">
      <c r="A8543" s="1">
        <f>HYPERLINK("https://lsnyc.legalserver.org/matter/dynamic-profile/view/1901967","19-1901967")</f>
        <v>0</v>
      </c>
      <c r="B8543" t="s">
        <v>99</v>
      </c>
      <c r="C8543" t="s">
        <v>341</v>
      </c>
      <c r="D8543" t="s">
        <v>720</v>
      </c>
      <c r="E8543" t="s">
        <v>835</v>
      </c>
      <c r="F8543" t="s">
        <v>4303</v>
      </c>
      <c r="G8543" t="s">
        <v>8731</v>
      </c>
      <c r="H8543" t="s">
        <v>15469</v>
      </c>
      <c r="I8543" t="s">
        <v>18335</v>
      </c>
      <c r="J8543" t="s">
        <v>18894</v>
      </c>
      <c r="K8543">
        <v>11204</v>
      </c>
      <c r="L8543" t="s">
        <v>18958</v>
      </c>
      <c r="M8543" t="s">
        <v>18960</v>
      </c>
      <c r="N8543" t="s">
        <v>25122</v>
      </c>
      <c r="O8543" t="s">
        <v>26523</v>
      </c>
      <c r="P8543" t="s">
        <v>26564</v>
      </c>
      <c r="Q8543" t="s">
        <v>26570</v>
      </c>
      <c r="R8543" t="s">
        <v>26586</v>
      </c>
      <c r="S8543" t="s">
        <v>18959</v>
      </c>
      <c r="U8543" t="s">
        <v>26604</v>
      </c>
      <c r="V8543" t="s">
        <v>26611</v>
      </c>
      <c r="W8543" t="s">
        <v>720</v>
      </c>
      <c r="X8543">
        <v>1329.01</v>
      </c>
      <c r="Y8543" t="s">
        <v>26652</v>
      </c>
      <c r="Z8543" t="s">
        <v>26664</v>
      </c>
      <c r="AA8543" t="s">
        <v>26683</v>
      </c>
      <c r="AB8543" t="s">
        <v>27116</v>
      </c>
      <c r="AD8543" t="s">
        <v>43486</v>
      </c>
      <c r="AE8543">
        <v>60</v>
      </c>
      <c r="AH8543">
        <v>6</v>
      </c>
      <c r="AI8543">
        <v>3</v>
      </c>
      <c r="AJ8543">
        <v>0</v>
      </c>
      <c r="AK8543">
        <v>84.39</v>
      </c>
      <c r="AN8543" t="s">
        <v>7439</v>
      </c>
      <c r="AO8543">
        <v>18000</v>
      </c>
      <c r="AR8543" t="s">
        <v>26530</v>
      </c>
      <c r="AS8543" t="s">
        <v>46501</v>
      </c>
      <c r="AT8543" t="s">
        <v>46790</v>
      </c>
      <c r="AU8543">
        <v>1.5</v>
      </c>
      <c r="AV8543" t="s">
        <v>835</v>
      </c>
      <c r="AW8543" t="s">
        <v>46853</v>
      </c>
      <c r="AX8543" t="s">
        <v>46897</v>
      </c>
    </row>
    <row r="8544" spans="1:50">
      <c r="A8544" s="1">
        <f>HYPERLINK("https://lsnyc.legalserver.org/matter/dynamic-profile/view/1901968","19-1901968")</f>
        <v>0</v>
      </c>
      <c r="B8544" t="s">
        <v>260</v>
      </c>
      <c r="C8544" t="s">
        <v>340</v>
      </c>
      <c r="D8544" t="s">
        <v>720</v>
      </c>
      <c r="F8544" t="s">
        <v>2657</v>
      </c>
      <c r="G8544" t="s">
        <v>5078</v>
      </c>
      <c r="H8544" t="s">
        <v>15470</v>
      </c>
      <c r="I8544" t="s">
        <v>17348</v>
      </c>
      <c r="J8544" t="s">
        <v>18893</v>
      </c>
      <c r="K8544">
        <v>10034</v>
      </c>
      <c r="L8544" t="s">
        <v>18958</v>
      </c>
      <c r="M8544" t="s">
        <v>18960</v>
      </c>
      <c r="O8544" t="s">
        <v>26539</v>
      </c>
      <c r="P8544" t="s">
        <v>26565</v>
      </c>
      <c r="R8544" t="s">
        <v>26578</v>
      </c>
      <c r="S8544" t="s">
        <v>18959</v>
      </c>
      <c r="U8544" t="s">
        <v>26604</v>
      </c>
      <c r="W8544" t="s">
        <v>720</v>
      </c>
      <c r="X8544">
        <v>1194.97</v>
      </c>
      <c r="Y8544" t="s">
        <v>26651</v>
      </c>
      <c r="Z8544" t="s">
        <v>26661</v>
      </c>
      <c r="AB8544" t="s">
        <v>32915</v>
      </c>
      <c r="AD8544" t="s">
        <v>43487</v>
      </c>
      <c r="AE8544">
        <v>48</v>
      </c>
      <c r="AF8544" t="s">
        <v>45541</v>
      </c>
      <c r="AG8544" t="s">
        <v>45559</v>
      </c>
      <c r="AH8544">
        <v>24</v>
      </c>
      <c r="AI8544">
        <v>1</v>
      </c>
      <c r="AJ8544">
        <v>0</v>
      </c>
      <c r="AK8544">
        <v>168.07</v>
      </c>
      <c r="AN8544" t="s">
        <v>45581</v>
      </c>
      <c r="AO8544">
        <v>20991.6</v>
      </c>
      <c r="AU8544">
        <v>1.9</v>
      </c>
      <c r="AV8544" t="s">
        <v>835</v>
      </c>
      <c r="AW8544" t="s">
        <v>46840</v>
      </c>
      <c r="AX8544" t="s">
        <v>46897</v>
      </c>
    </row>
    <row r="8545" spans="1:50">
      <c r="A8545" s="1">
        <f>HYPERLINK("https://lsnyc.legalserver.org/matter/dynamic-profile/view/1901934","19-1901934")</f>
        <v>0</v>
      </c>
      <c r="B8545" t="s">
        <v>149</v>
      </c>
      <c r="C8545" t="s">
        <v>340</v>
      </c>
      <c r="D8545" t="s">
        <v>720</v>
      </c>
      <c r="F8545" t="s">
        <v>4304</v>
      </c>
      <c r="G8545" t="s">
        <v>7686</v>
      </c>
      <c r="H8545" t="s">
        <v>15471</v>
      </c>
      <c r="I8545" t="s">
        <v>17354</v>
      </c>
      <c r="J8545" t="s">
        <v>18892</v>
      </c>
      <c r="K8545">
        <v>10468</v>
      </c>
      <c r="L8545" t="s">
        <v>18958</v>
      </c>
      <c r="M8545" t="s">
        <v>18960</v>
      </c>
      <c r="N8545" t="s">
        <v>25123</v>
      </c>
      <c r="O8545" t="s">
        <v>26523</v>
      </c>
      <c r="P8545" t="s">
        <v>26560</v>
      </c>
      <c r="R8545" t="s">
        <v>26579</v>
      </c>
      <c r="U8545" t="s">
        <v>26604</v>
      </c>
      <c r="V8545" t="s">
        <v>26611</v>
      </c>
      <c r="W8545" t="s">
        <v>720</v>
      </c>
      <c r="X8545">
        <v>945.26</v>
      </c>
      <c r="Y8545" t="s">
        <v>26650</v>
      </c>
      <c r="Z8545" t="s">
        <v>26664</v>
      </c>
      <c r="AB8545" t="s">
        <v>32916</v>
      </c>
      <c r="AC8545" t="s">
        <v>36541</v>
      </c>
      <c r="AD8545" t="s">
        <v>43488</v>
      </c>
      <c r="AE8545">
        <v>0</v>
      </c>
      <c r="AF8545" t="s">
        <v>45541</v>
      </c>
      <c r="AG8545" t="s">
        <v>45559</v>
      </c>
      <c r="AH8545">
        <v>26</v>
      </c>
      <c r="AI8545">
        <v>2</v>
      </c>
      <c r="AJ8545">
        <v>0</v>
      </c>
      <c r="AK8545">
        <v>68.69</v>
      </c>
      <c r="AN8545" t="s">
        <v>45581</v>
      </c>
      <c r="AO8545">
        <v>11616</v>
      </c>
      <c r="AU8545">
        <v>1.75</v>
      </c>
      <c r="AV8545" t="s">
        <v>834</v>
      </c>
      <c r="AW8545" t="s">
        <v>335</v>
      </c>
      <c r="AX8545" t="s">
        <v>46898</v>
      </c>
    </row>
    <row r="8546" spans="1:50">
      <c r="A8546" s="1">
        <f>HYPERLINK("https://lsnyc.legalserver.org/matter/dynamic-profile/view/1901285","19-1901285")</f>
        <v>0</v>
      </c>
      <c r="B8546" t="s">
        <v>276</v>
      </c>
      <c r="C8546" t="s">
        <v>340</v>
      </c>
      <c r="D8546" t="s">
        <v>720</v>
      </c>
      <c r="F8546" t="s">
        <v>1179</v>
      </c>
      <c r="G8546" t="s">
        <v>8277</v>
      </c>
      <c r="H8546" t="s">
        <v>14686</v>
      </c>
      <c r="I8546" t="s">
        <v>17299</v>
      </c>
      <c r="J8546" t="s">
        <v>18894</v>
      </c>
      <c r="K8546">
        <v>11226</v>
      </c>
      <c r="L8546" t="s">
        <v>18958</v>
      </c>
      <c r="M8546" t="s">
        <v>18960</v>
      </c>
      <c r="P8546" t="s">
        <v>26560</v>
      </c>
      <c r="R8546" t="s">
        <v>26578</v>
      </c>
      <c r="S8546" t="s">
        <v>18958</v>
      </c>
      <c r="U8546" t="s">
        <v>26604</v>
      </c>
      <c r="W8546" t="s">
        <v>720</v>
      </c>
      <c r="X8546">
        <v>988.01</v>
      </c>
      <c r="Y8546" t="s">
        <v>26652</v>
      </c>
      <c r="AB8546" t="s">
        <v>27329</v>
      </c>
      <c r="AE8546">
        <v>0</v>
      </c>
      <c r="AH8546">
        <v>30</v>
      </c>
      <c r="AI8546">
        <v>4</v>
      </c>
      <c r="AJ8546">
        <v>0</v>
      </c>
      <c r="AK8546">
        <v>248.54</v>
      </c>
      <c r="AN8546" t="s">
        <v>7439</v>
      </c>
      <c r="AO8546">
        <v>64000</v>
      </c>
      <c r="AU8546">
        <v>0</v>
      </c>
      <c r="AW8546" t="s">
        <v>219</v>
      </c>
      <c r="AX8546" t="s">
        <v>46897</v>
      </c>
    </row>
    <row r="8547" spans="1:50">
      <c r="A8547" s="1">
        <f>HYPERLINK("https://lsnyc.legalserver.org/matter/dynamic-profile/view/1901972","19-1901972")</f>
        <v>0</v>
      </c>
      <c r="B8547" t="s">
        <v>57</v>
      </c>
      <c r="C8547" t="s">
        <v>340</v>
      </c>
      <c r="D8547" t="s">
        <v>720</v>
      </c>
      <c r="F8547" t="s">
        <v>4305</v>
      </c>
      <c r="G8547" t="s">
        <v>5313</v>
      </c>
      <c r="H8547" t="s">
        <v>15472</v>
      </c>
      <c r="I8547" t="s">
        <v>18572</v>
      </c>
      <c r="J8547" t="s">
        <v>18892</v>
      </c>
      <c r="K8547">
        <v>10468</v>
      </c>
      <c r="L8547" t="s">
        <v>18958</v>
      </c>
      <c r="M8547" t="s">
        <v>18960</v>
      </c>
      <c r="N8547" t="s">
        <v>25124</v>
      </c>
      <c r="O8547" t="s">
        <v>26523</v>
      </c>
      <c r="P8547" t="s">
        <v>26560</v>
      </c>
      <c r="R8547" t="s">
        <v>26579</v>
      </c>
      <c r="S8547" t="s">
        <v>18959</v>
      </c>
      <c r="U8547" t="s">
        <v>26604</v>
      </c>
      <c r="V8547" t="s">
        <v>26610</v>
      </c>
      <c r="W8547" t="s">
        <v>720</v>
      </c>
      <c r="X8547">
        <v>1380</v>
      </c>
      <c r="Y8547" t="s">
        <v>26650</v>
      </c>
      <c r="Z8547" t="s">
        <v>26664</v>
      </c>
      <c r="AB8547" t="s">
        <v>32917</v>
      </c>
      <c r="AC8547" t="s">
        <v>36542</v>
      </c>
      <c r="AD8547" t="s">
        <v>43489</v>
      </c>
      <c r="AE8547">
        <v>0</v>
      </c>
      <c r="AF8547" t="s">
        <v>45541</v>
      </c>
      <c r="AH8547">
        <v>2</v>
      </c>
      <c r="AI8547">
        <v>1</v>
      </c>
      <c r="AJ8547">
        <v>0</v>
      </c>
      <c r="AK8547">
        <v>71.09999999999999</v>
      </c>
      <c r="AN8547" t="s">
        <v>7439</v>
      </c>
      <c r="AO8547">
        <v>8880</v>
      </c>
      <c r="AU8547">
        <v>1.5</v>
      </c>
      <c r="AV8547" t="s">
        <v>830</v>
      </c>
      <c r="AW8547" t="s">
        <v>335</v>
      </c>
      <c r="AX8547" t="s">
        <v>46898</v>
      </c>
    </row>
    <row r="8548" spans="1:50">
      <c r="A8548" s="1">
        <f>HYPERLINK("https://lsnyc.legalserver.org/matter/dynamic-profile/view/1902063","19-1902063")</f>
        <v>0</v>
      </c>
      <c r="B8548" t="s">
        <v>138</v>
      </c>
      <c r="C8548" t="s">
        <v>340</v>
      </c>
      <c r="D8548" t="s">
        <v>720</v>
      </c>
      <c r="F8548" t="s">
        <v>1102</v>
      </c>
      <c r="G8548" t="s">
        <v>2749</v>
      </c>
      <c r="H8548" t="s">
        <v>15473</v>
      </c>
      <c r="I8548" t="s">
        <v>17272</v>
      </c>
      <c r="J8548" t="s">
        <v>18893</v>
      </c>
      <c r="K8548">
        <v>10024</v>
      </c>
      <c r="L8548" t="s">
        <v>18958</v>
      </c>
      <c r="M8548" t="s">
        <v>18960</v>
      </c>
      <c r="O8548" t="s">
        <v>18997</v>
      </c>
      <c r="P8548" t="s">
        <v>26563</v>
      </c>
      <c r="R8548" t="s">
        <v>26578</v>
      </c>
      <c r="S8548" t="s">
        <v>18958</v>
      </c>
      <c r="U8548" t="s">
        <v>26604</v>
      </c>
      <c r="V8548" t="s">
        <v>26610</v>
      </c>
      <c r="W8548" t="s">
        <v>720</v>
      </c>
      <c r="X8548">
        <v>437</v>
      </c>
      <c r="Y8548" t="s">
        <v>26651</v>
      </c>
      <c r="Z8548" t="s">
        <v>26530</v>
      </c>
      <c r="AB8548" t="s">
        <v>32918</v>
      </c>
      <c r="AD8548" t="s">
        <v>43490</v>
      </c>
      <c r="AE8548">
        <v>24</v>
      </c>
      <c r="AF8548" t="s">
        <v>45548</v>
      </c>
      <c r="AG8548" t="s">
        <v>19330</v>
      </c>
      <c r="AH8548">
        <v>53</v>
      </c>
      <c r="AI8548">
        <v>1</v>
      </c>
      <c r="AJ8548">
        <v>0</v>
      </c>
      <c r="AK8548">
        <v>85.89</v>
      </c>
      <c r="AN8548" t="s">
        <v>7439</v>
      </c>
      <c r="AO8548">
        <v>10728</v>
      </c>
      <c r="AU8548">
        <v>1.5</v>
      </c>
      <c r="AV8548" t="s">
        <v>720</v>
      </c>
      <c r="AW8548" t="s">
        <v>46835</v>
      </c>
      <c r="AX8548" t="s">
        <v>46897</v>
      </c>
    </row>
    <row r="8549" spans="1:50">
      <c r="A8549" s="1">
        <f>HYPERLINK("https://lsnyc.legalserver.org/matter/dynamic-profile/view/1902035","19-1902035")</f>
        <v>0</v>
      </c>
      <c r="B8549" t="s">
        <v>79</v>
      </c>
      <c r="C8549" t="s">
        <v>340</v>
      </c>
      <c r="D8549" t="s">
        <v>720</v>
      </c>
      <c r="F8549" t="s">
        <v>1826</v>
      </c>
      <c r="G8549" t="s">
        <v>7043</v>
      </c>
      <c r="H8549" t="s">
        <v>15474</v>
      </c>
      <c r="I8549">
        <v>304</v>
      </c>
      <c r="J8549" t="s">
        <v>18893</v>
      </c>
      <c r="K8549">
        <v>10034</v>
      </c>
      <c r="L8549" t="s">
        <v>18958</v>
      </c>
      <c r="M8549" t="s">
        <v>18960</v>
      </c>
      <c r="O8549" t="s">
        <v>18997</v>
      </c>
      <c r="P8549" t="s">
        <v>26565</v>
      </c>
      <c r="R8549" t="s">
        <v>26578</v>
      </c>
      <c r="S8549" t="s">
        <v>18959</v>
      </c>
      <c r="U8549" t="s">
        <v>26604</v>
      </c>
      <c r="W8549" t="s">
        <v>720</v>
      </c>
      <c r="X8549">
        <v>1248.72</v>
      </c>
      <c r="Y8549" t="s">
        <v>26651</v>
      </c>
      <c r="Z8549" t="s">
        <v>26661</v>
      </c>
      <c r="AB8549" t="s">
        <v>32919</v>
      </c>
      <c r="AD8549" t="s">
        <v>43491</v>
      </c>
      <c r="AE8549">
        <v>73</v>
      </c>
      <c r="AF8549" t="s">
        <v>45541</v>
      </c>
      <c r="AG8549" t="s">
        <v>45559</v>
      </c>
      <c r="AH8549">
        <v>45</v>
      </c>
      <c r="AI8549">
        <v>2</v>
      </c>
      <c r="AJ8549">
        <v>3</v>
      </c>
      <c r="AK8549">
        <v>0</v>
      </c>
      <c r="AN8549" t="s">
        <v>45581</v>
      </c>
      <c r="AO8549">
        <v>0</v>
      </c>
      <c r="AU8549">
        <v>1</v>
      </c>
      <c r="AV8549" t="s">
        <v>814</v>
      </c>
      <c r="AW8549" t="s">
        <v>46840</v>
      </c>
      <c r="AX8549" t="s">
        <v>19330</v>
      </c>
    </row>
    <row r="8550" spans="1:50">
      <c r="A8550" s="1">
        <f>HYPERLINK("https://lsnyc.legalserver.org/matter/dynamic-profile/view/1902038","19-1902038")</f>
        <v>0</v>
      </c>
      <c r="B8550" t="s">
        <v>79</v>
      </c>
      <c r="C8550" t="s">
        <v>340</v>
      </c>
      <c r="D8550" t="s">
        <v>720</v>
      </c>
      <c r="F8550" t="s">
        <v>1572</v>
      </c>
      <c r="G8550" t="s">
        <v>5147</v>
      </c>
      <c r="H8550" t="s">
        <v>15475</v>
      </c>
      <c r="I8550" t="s">
        <v>17440</v>
      </c>
      <c r="J8550" t="s">
        <v>18893</v>
      </c>
      <c r="K8550">
        <v>10034</v>
      </c>
      <c r="L8550" t="s">
        <v>18958</v>
      </c>
      <c r="M8550" t="s">
        <v>18960</v>
      </c>
      <c r="O8550" t="s">
        <v>18997</v>
      </c>
      <c r="P8550" t="s">
        <v>26565</v>
      </c>
      <c r="R8550" t="s">
        <v>26578</v>
      </c>
      <c r="S8550" t="s">
        <v>18959</v>
      </c>
      <c r="U8550" t="s">
        <v>26604</v>
      </c>
      <c r="W8550" t="s">
        <v>720</v>
      </c>
      <c r="X8550">
        <v>156</v>
      </c>
      <c r="Y8550" t="s">
        <v>26651</v>
      </c>
      <c r="Z8550" t="s">
        <v>26661</v>
      </c>
      <c r="AB8550" t="s">
        <v>28923</v>
      </c>
      <c r="AD8550" t="s">
        <v>43492</v>
      </c>
      <c r="AE8550">
        <v>126</v>
      </c>
      <c r="AF8550" t="s">
        <v>45541</v>
      </c>
      <c r="AG8550" t="s">
        <v>19330</v>
      </c>
      <c r="AH8550">
        <v>7</v>
      </c>
      <c r="AI8550">
        <v>2</v>
      </c>
      <c r="AJ8550">
        <v>1</v>
      </c>
      <c r="AK8550">
        <v>157.69</v>
      </c>
      <c r="AN8550" t="s">
        <v>7439</v>
      </c>
      <c r="AO8550">
        <v>33636</v>
      </c>
      <c r="AU8550">
        <v>1.6</v>
      </c>
      <c r="AV8550" t="s">
        <v>773</v>
      </c>
      <c r="AW8550" t="s">
        <v>46840</v>
      </c>
      <c r="AX8550" t="s">
        <v>46897</v>
      </c>
    </row>
    <row r="8551" spans="1:50">
      <c r="A8551" s="1">
        <f>HYPERLINK("https://lsnyc.legalserver.org/matter/dynamic-profile/view/1902014","19-1902014")</f>
        <v>0</v>
      </c>
      <c r="B8551" t="s">
        <v>79</v>
      </c>
      <c r="C8551" t="s">
        <v>340</v>
      </c>
      <c r="D8551" t="s">
        <v>720</v>
      </c>
      <c r="F8551" t="s">
        <v>958</v>
      </c>
      <c r="G8551" t="s">
        <v>5434</v>
      </c>
      <c r="H8551" t="s">
        <v>15476</v>
      </c>
      <c r="I8551" t="s">
        <v>17356</v>
      </c>
      <c r="J8551" t="s">
        <v>18893</v>
      </c>
      <c r="K8551">
        <v>10040</v>
      </c>
      <c r="L8551" t="s">
        <v>18958</v>
      </c>
      <c r="M8551" t="s">
        <v>18960</v>
      </c>
      <c r="P8551" t="s">
        <v>26565</v>
      </c>
      <c r="R8551" t="s">
        <v>26578</v>
      </c>
      <c r="S8551" t="s">
        <v>18959</v>
      </c>
      <c r="U8551" t="s">
        <v>26604</v>
      </c>
      <c r="W8551" t="s">
        <v>720</v>
      </c>
      <c r="X8551">
        <v>1164</v>
      </c>
      <c r="Y8551" t="s">
        <v>26651</v>
      </c>
      <c r="Z8551" t="s">
        <v>26661</v>
      </c>
      <c r="AB8551" t="s">
        <v>32920</v>
      </c>
      <c r="AD8551" t="s">
        <v>43493</v>
      </c>
      <c r="AE8551">
        <v>48</v>
      </c>
      <c r="AF8551" t="s">
        <v>45541</v>
      </c>
      <c r="AG8551" t="s">
        <v>45558</v>
      </c>
      <c r="AH8551">
        <v>24</v>
      </c>
      <c r="AI8551">
        <v>2</v>
      </c>
      <c r="AJ8551">
        <v>1</v>
      </c>
      <c r="AK8551">
        <v>185.28</v>
      </c>
      <c r="AN8551" t="s">
        <v>45581</v>
      </c>
      <c r="AO8551">
        <v>39520</v>
      </c>
      <c r="AU8551">
        <v>1</v>
      </c>
      <c r="AV8551" t="s">
        <v>814</v>
      </c>
      <c r="AW8551" t="s">
        <v>46840</v>
      </c>
      <c r="AX8551" t="s">
        <v>46897</v>
      </c>
    </row>
    <row r="8552" spans="1:50">
      <c r="A8552" s="1">
        <f>HYPERLINK("https://lsnyc.legalserver.org/matter/dynamic-profile/view/1901997","19-1901997")</f>
        <v>0</v>
      </c>
      <c r="B8552" t="s">
        <v>64</v>
      </c>
      <c r="C8552" t="s">
        <v>340</v>
      </c>
      <c r="D8552" t="s">
        <v>720</v>
      </c>
      <c r="F8552" t="s">
        <v>4306</v>
      </c>
      <c r="G8552" t="s">
        <v>8732</v>
      </c>
      <c r="H8552" t="s">
        <v>15477</v>
      </c>
      <c r="I8552" t="s">
        <v>17274</v>
      </c>
      <c r="J8552" t="s">
        <v>18892</v>
      </c>
      <c r="K8552">
        <v>10452</v>
      </c>
      <c r="L8552" t="s">
        <v>18958</v>
      </c>
      <c r="M8552" t="s">
        <v>18960</v>
      </c>
      <c r="N8552" t="s">
        <v>25125</v>
      </c>
      <c r="O8552" t="s">
        <v>26523</v>
      </c>
      <c r="P8552" t="s">
        <v>26560</v>
      </c>
      <c r="R8552" t="s">
        <v>26577</v>
      </c>
      <c r="S8552" t="s">
        <v>18959</v>
      </c>
      <c r="U8552" t="s">
        <v>26604</v>
      </c>
      <c r="V8552" t="s">
        <v>26610</v>
      </c>
      <c r="W8552" t="s">
        <v>720</v>
      </c>
      <c r="X8552">
        <v>408</v>
      </c>
      <c r="Y8552" t="s">
        <v>26650</v>
      </c>
      <c r="Z8552" t="s">
        <v>26659</v>
      </c>
      <c r="AB8552" t="s">
        <v>32921</v>
      </c>
      <c r="AC8552" t="s">
        <v>36543</v>
      </c>
      <c r="AD8552" t="s">
        <v>43494</v>
      </c>
      <c r="AE8552">
        <v>0</v>
      </c>
      <c r="AF8552" t="s">
        <v>45544</v>
      </c>
      <c r="AG8552" t="s">
        <v>45556</v>
      </c>
      <c r="AH8552">
        <v>40</v>
      </c>
      <c r="AI8552">
        <v>1</v>
      </c>
      <c r="AJ8552">
        <v>0</v>
      </c>
      <c r="AK8552">
        <v>82.43000000000001</v>
      </c>
      <c r="AN8552" t="s">
        <v>45581</v>
      </c>
      <c r="AO8552">
        <v>10296</v>
      </c>
      <c r="AU8552">
        <v>2.5</v>
      </c>
      <c r="AV8552" t="s">
        <v>720</v>
      </c>
      <c r="AW8552" t="s">
        <v>46870</v>
      </c>
      <c r="AX8552" t="s">
        <v>46898</v>
      </c>
    </row>
    <row r="8553" spans="1:50">
      <c r="A8553" s="1">
        <f>HYPERLINK("https://lsnyc.legalserver.org/matter/dynamic-profile/view/1902006","19-1902006")</f>
        <v>0</v>
      </c>
      <c r="B8553" t="s">
        <v>102</v>
      </c>
      <c r="C8553" t="s">
        <v>340</v>
      </c>
      <c r="D8553" t="s">
        <v>720</v>
      </c>
      <c r="F8553" t="s">
        <v>4307</v>
      </c>
      <c r="G8553" t="s">
        <v>5689</v>
      </c>
      <c r="H8553" t="s">
        <v>15478</v>
      </c>
      <c r="I8553" t="s">
        <v>17415</v>
      </c>
      <c r="J8553" t="s">
        <v>18902</v>
      </c>
      <c r="K8553">
        <v>10310</v>
      </c>
      <c r="L8553" t="s">
        <v>18958</v>
      </c>
      <c r="M8553" t="s">
        <v>18960</v>
      </c>
      <c r="N8553" t="s">
        <v>25126</v>
      </c>
      <c r="O8553" t="s">
        <v>26524</v>
      </c>
      <c r="P8553" t="s">
        <v>26560</v>
      </c>
      <c r="R8553" t="s">
        <v>26590</v>
      </c>
      <c r="S8553" t="s">
        <v>18959</v>
      </c>
      <c r="U8553" t="s">
        <v>26604</v>
      </c>
      <c r="W8553" t="s">
        <v>720</v>
      </c>
      <c r="X8553">
        <v>1200</v>
      </c>
      <c r="Y8553" t="s">
        <v>26654</v>
      </c>
      <c r="Z8553" t="s">
        <v>26668</v>
      </c>
      <c r="AB8553" t="s">
        <v>32922</v>
      </c>
      <c r="AD8553" t="s">
        <v>43495</v>
      </c>
      <c r="AE8553">
        <v>3</v>
      </c>
      <c r="AF8553" t="s">
        <v>45547</v>
      </c>
      <c r="AH8553">
        <v>13</v>
      </c>
      <c r="AI8553">
        <v>1</v>
      </c>
      <c r="AJ8553">
        <v>3</v>
      </c>
      <c r="AK8553">
        <v>70.68000000000001</v>
      </c>
      <c r="AN8553" t="s">
        <v>7439</v>
      </c>
      <c r="AO8553">
        <v>18200</v>
      </c>
      <c r="AU8553">
        <v>0.35</v>
      </c>
      <c r="AV8553" t="s">
        <v>772</v>
      </c>
      <c r="AW8553" t="s">
        <v>210</v>
      </c>
      <c r="AX8553" t="s">
        <v>46897</v>
      </c>
    </row>
    <row r="8554" spans="1:50">
      <c r="A8554" s="1">
        <f>HYPERLINK("https://lsnyc.legalserver.org/matter/dynamic-profile/view/1901994","19-1901994")</f>
        <v>0</v>
      </c>
      <c r="B8554" t="s">
        <v>102</v>
      </c>
      <c r="C8554" t="s">
        <v>340</v>
      </c>
      <c r="D8554" t="s">
        <v>720</v>
      </c>
      <c r="F8554" t="s">
        <v>2349</v>
      </c>
      <c r="G8554" t="s">
        <v>5100</v>
      </c>
      <c r="H8554" t="s">
        <v>15479</v>
      </c>
      <c r="I8554" t="s">
        <v>17374</v>
      </c>
      <c r="J8554" t="s">
        <v>18902</v>
      </c>
      <c r="K8554">
        <v>10310</v>
      </c>
      <c r="L8554" t="s">
        <v>18958</v>
      </c>
      <c r="M8554" t="s">
        <v>18960</v>
      </c>
      <c r="N8554" t="s">
        <v>25127</v>
      </c>
      <c r="O8554" t="s">
        <v>26524</v>
      </c>
      <c r="P8554" t="s">
        <v>26560</v>
      </c>
      <c r="R8554" t="s">
        <v>26590</v>
      </c>
      <c r="S8554" t="s">
        <v>18959</v>
      </c>
      <c r="U8554" t="s">
        <v>26604</v>
      </c>
      <c r="W8554" t="s">
        <v>720</v>
      </c>
      <c r="X8554">
        <v>850</v>
      </c>
      <c r="Y8554" t="s">
        <v>26654</v>
      </c>
      <c r="Z8554" t="s">
        <v>26668</v>
      </c>
      <c r="AB8554" t="s">
        <v>32923</v>
      </c>
      <c r="AD8554" t="s">
        <v>43496</v>
      </c>
      <c r="AE8554">
        <v>3</v>
      </c>
      <c r="AF8554" t="s">
        <v>45547</v>
      </c>
      <c r="AH8554">
        <v>14</v>
      </c>
      <c r="AI8554">
        <v>1</v>
      </c>
      <c r="AJ8554">
        <v>1</v>
      </c>
      <c r="AK8554">
        <v>100.86</v>
      </c>
      <c r="AN8554" t="s">
        <v>7439</v>
      </c>
      <c r="AO8554">
        <v>17056</v>
      </c>
      <c r="AU8554">
        <v>1.45</v>
      </c>
      <c r="AV8554" t="s">
        <v>832</v>
      </c>
      <c r="AW8554" t="s">
        <v>210</v>
      </c>
      <c r="AX8554" t="s">
        <v>46897</v>
      </c>
    </row>
    <row r="8555" spans="1:50">
      <c r="A8555" s="1">
        <f>HYPERLINK("https://lsnyc.legalserver.org/matter/dynamic-profile/view/1900371","19-1900371")</f>
        <v>0</v>
      </c>
      <c r="B8555" t="s">
        <v>103</v>
      </c>
      <c r="C8555" t="s">
        <v>340</v>
      </c>
      <c r="D8555" t="s">
        <v>720</v>
      </c>
      <c r="F8555" t="s">
        <v>4308</v>
      </c>
      <c r="G8555" t="s">
        <v>8733</v>
      </c>
      <c r="H8555" t="s">
        <v>15480</v>
      </c>
      <c r="I8555" t="s">
        <v>18573</v>
      </c>
      <c r="J8555" t="s">
        <v>18902</v>
      </c>
      <c r="K8555">
        <v>10306</v>
      </c>
      <c r="L8555" t="s">
        <v>18958</v>
      </c>
      <c r="M8555" t="s">
        <v>18960</v>
      </c>
      <c r="N8555" t="s">
        <v>25128</v>
      </c>
      <c r="O8555" t="s">
        <v>26523</v>
      </c>
      <c r="P8555" t="s">
        <v>26560</v>
      </c>
      <c r="R8555" t="s">
        <v>26587</v>
      </c>
      <c r="S8555" t="s">
        <v>18959</v>
      </c>
      <c r="U8555" t="s">
        <v>26604</v>
      </c>
      <c r="V8555" t="s">
        <v>26610</v>
      </c>
      <c r="W8555" t="s">
        <v>720</v>
      </c>
      <c r="X8555">
        <v>1425</v>
      </c>
      <c r="Y8555" t="s">
        <v>26654</v>
      </c>
      <c r="Z8555" t="s">
        <v>26659</v>
      </c>
      <c r="AB8555" t="s">
        <v>30334</v>
      </c>
      <c r="AD8555" t="s">
        <v>43497</v>
      </c>
      <c r="AE8555">
        <v>2</v>
      </c>
      <c r="AF8555" t="s">
        <v>45541</v>
      </c>
      <c r="AG8555" t="s">
        <v>19330</v>
      </c>
      <c r="AH8555">
        <v>2</v>
      </c>
      <c r="AI8555">
        <v>2</v>
      </c>
      <c r="AJ8555">
        <v>2</v>
      </c>
      <c r="AK8555">
        <v>88.51000000000001</v>
      </c>
      <c r="AN8555" t="s">
        <v>7439</v>
      </c>
      <c r="AO8555">
        <v>22791.72</v>
      </c>
      <c r="AU8555">
        <v>4.2</v>
      </c>
      <c r="AV8555" t="s">
        <v>839</v>
      </c>
      <c r="AW8555" t="s">
        <v>46883</v>
      </c>
      <c r="AX8555" t="s">
        <v>46897</v>
      </c>
    </row>
    <row r="8556" spans="1:50">
      <c r="A8556" s="1">
        <f>HYPERLINK("https://lsnyc.legalserver.org/matter/dynamic-profile/view/1902036","19-1902036")</f>
        <v>0</v>
      </c>
      <c r="B8556" t="s">
        <v>112</v>
      </c>
      <c r="C8556" t="s">
        <v>340</v>
      </c>
      <c r="D8556" t="s">
        <v>720</v>
      </c>
      <c r="F8556" t="s">
        <v>1062</v>
      </c>
      <c r="G8556" t="s">
        <v>5639</v>
      </c>
      <c r="H8556" t="s">
        <v>10398</v>
      </c>
      <c r="I8556" t="s">
        <v>17771</v>
      </c>
      <c r="J8556" t="s">
        <v>18901</v>
      </c>
      <c r="K8556">
        <v>11434</v>
      </c>
      <c r="L8556" t="s">
        <v>18960</v>
      </c>
      <c r="M8556" t="s">
        <v>18960</v>
      </c>
      <c r="N8556" t="s">
        <v>25129</v>
      </c>
      <c r="O8556" t="s">
        <v>26524</v>
      </c>
      <c r="P8556" t="s">
        <v>26560</v>
      </c>
      <c r="R8556" t="s">
        <v>26585</v>
      </c>
      <c r="S8556" t="s">
        <v>18958</v>
      </c>
      <c r="U8556" t="s">
        <v>26604</v>
      </c>
      <c r="W8556" t="s">
        <v>720</v>
      </c>
      <c r="X8556">
        <v>1800</v>
      </c>
      <c r="Y8556" t="s">
        <v>26653</v>
      </c>
      <c r="AB8556" t="s">
        <v>27509</v>
      </c>
      <c r="AD8556" t="s">
        <v>37567</v>
      </c>
      <c r="AE8556">
        <v>293</v>
      </c>
      <c r="AF8556" t="s">
        <v>45550</v>
      </c>
      <c r="AG8556" t="s">
        <v>19330</v>
      </c>
      <c r="AH8556">
        <v>3</v>
      </c>
      <c r="AI8556">
        <v>3</v>
      </c>
      <c r="AJ8556">
        <v>1</v>
      </c>
      <c r="AK8556">
        <v>155.34</v>
      </c>
      <c r="AN8556" t="s">
        <v>7439</v>
      </c>
      <c r="AO8556">
        <v>40000</v>
      </c>
      <c r="AU8556">
        <v>5.83</v>
      </c>
      <c r="AV8556" t="s">
        <v>832</v>
      </c>
      <c r="AW8556" t="s">
        <v>46846</v>
      </c>
      <c r="AX8556" t="s">
        <v>46897</v>
      </c>
    </row>
    <row r="8557" spans="1:50">
      <c r="A8557" s="1">
        <f>HYPERLINK("https://lsnyc.legalserver.org/matter/dynamic-profile/view/1902109","19-1902109")</f>
        <v>0</v>
      </c>
      <c r="B8557" t="s">
        <v>256</v>
      </c>
      <c r="C8557" t="s">
        <v>340</v>
      </c>
      <c r="D8557" t="s">
        <v>720</v>
      </c>
      <c r="F8557" t="s">
        <v>3061</v>
      </c>
      <c r="G8557" t="s">
        <v>7763</v>
      </c>
      <c r="H8557" t="s">
        <v>13771</v>
      </c>
      <c r="I8557" t="s">
        <v>17342</v>
      </c>
      <c r="J8557" t="s">
        <v>18894</v>
      </c>
      <c r="K8557">
        <v>11220</v>
      </c>
      <c r="L8557" t="s">
        <v>18958</v>
      </c>
      <c r="M8557" t="s">
        <v>18960</v>
      </c>
      <c r="P8557" t="s">
        <v>26562</v>
      </c>
      <c r="R8557" t="s">
        <v>26578</v>
      </c>
      <c r="U8557" t="s">
        <v>26604</v>
      </c>
      <c r="W8557" t="s">
        <v>720</v>
      </c>
      <c r="X8557">
        <v>0</v>
      </c>
      <c r="Y8557" t="s">
        <v>26652</v>
      </c>
      <c r="AB8557" t="s">
        <v>31217</v>
      </c>
      <c r="AE8557">
        <v>0</v>
      </c>
      <c r="AH8557">
        <v>0</v>
      </c>
      <c r="AI8557">
        <v>2</v>
      </c>
      <c r="AJ8557">
        <v>0</v>
      </c>
      <c r="AK8557">
        <v>277.94</v>
      </c>
      <c r="AN8557" t="s">
        <v>45581</v>
      </c>
      <c r="AO8557">
        <v>47000</v>
      </c>
      <c r="AU8557">
        <v>0</v>
      </c>
      <c r="AW8557" t="s">
        <v>219</v>
      </c>
      <c r="AX8557" t="s">
        <v>46897</v>
      </c>
    </row>
    <row r="8558" spans="1:50">
      <c r="A8558" s="1">
        <f>HYPERLINK("https://lsnyc.legalserver.org/matter/dynamic-profile/view/1902040","19-1902040")</f>
        <v>0</v>
      </c>
      <c r="B8558" t="s">
        <v>157</v>
      </c>
      <c r="C8558" t="s">
        <v>340</v>
      </c>
      <c r="D8558" t="s">
        <v>720</v>
      </c>
      <c r="F8558" t="s">
        <v>887</v>
      </c>
      <c r="G8558" t="s">
        <v>7089</v>
      </c>
      <c r="H8558" t="s">
        <v>15475</v>
      </c>
      <c r="I8558" t="s">
        <v>17299</v>
      </c>
      <c r="J8558" t="s">
        <v>18893</v>
      </c>
      <c r="K8558">
        <v>10034</v>
      </c>
      <c r="L8558" t="s">
        <v>18958</v>
      </c>
      <c r="M8558" t="s">
        <v>18960</v>
      </c>
      <c r="P8558" t="s">
        <v>26565</v>
      </c>
      <c r="R8558" t="s">
        <v>26578</v>
      </c>
      <c r="U8558" t="s">
        <v>26604</v>
      </c>
      <c r="W8558" t="s">
        <v>720</v>
      </c>
      <c r="X8558">
        <v>2084</v>
      </c>
      <c r="Y8558" t="s">
        <v>26651</v>
      </c>
      <c r="Z8558" t="s">
        <v>26661</v>
      </c>
      <c r="AB8558" t="s">
        <v>32924</v>
      </c>
      <c r="AD8558" t="s">
        <v>43498</v>
      </c>
      <c r="AE8558">
        <v>126</v>
      </c>
      <c r="AF8558" t="s">
        <v>45541</v>
      </c>
      <c r="AG8558" t="s">
        <v>45556</v>
      </c>
      <c r="AH8558">
        <v>38</v>
      </c>
      <c r="AI8558">
        <v>2</v>
      </c>
      <c r="AJ8558">
        <v>1</v>
      </c>
      <c r="AK8558">
        <v>227.85</v>
      </c>
      <c r="AN8558" t="s">
        <v>45581</v>
      </c>
      <c r="AO8558">
        <v>48600</v>
      </c>
      <c r="AU8558">
        <v>1.55</v>
      </c>
      <c r="AV8558" t="s">
        <v>839</v>
      </c>
      <c r="AW8558" t="s">
        <v>46840</v>
      </c>
      <c r="AX8558" t="s">
        <v>46897</v>
      </c>
    </row>
    <row r="8559" spans="1:50">
      <c r="A8559" s="1">
        <f>HYPERLINK("https://lsnyc.legalserver.org/matter/dynamic-profile/view/1901981","19-1901981")</f>
        <v>0</v>
      </c>
      <c r="B8559" t="s">
        <v>173</v>
      </c>
      <c r="C8559" t="s">
        <v>340</v>
      </c>
      <c r="D8559" t="s">
        <v>720</v>
      </c>
      <c r="F8559" t="s">
        <v>1638</v>
      </c>
      <c r="G8559" t="s">
        <v>8734</v>
      </c>
      <c r="H8559" t="s">
        <v>11576</v>
      </c>
      <c r="I8559" t="s">
        <v>17278</v>
      </c>
      <c r="J8559" t="s">
        <v>18893</v>
      </c>
      <c r="K8559">
        <v>10038</v>
      </c>
      <c r="L8559" t="s">
        <v>18958</v>
      </c>
      <c r="M8559" t="s">
        <v>18960</v>
      </c>
      <c r="N8559" t="s">
        <v>25130</v>
      </c>
      <c r="O8559" t="s">
        <v>26523</v>
      </c>
      <c r="P8559" t="s">
        <v>26563</v>
      </c>
      <c r="R8559" t="s">
        <v>26582</v>
      </c>
      <c r="S8559" t="s">
        <v>18959</v>
      </c>
      <c r="U8559" t="s">
        <v>26605</v>
      </c>
      <c r="W8559" t="s">
        <v>720</v>
      </c>
      <c r="X8559">
        <v>263</v>
      </c>
      <c r="Y8559" t="s">
        <v>26651</v>
      </c>
      <c r="Z8559" t="s">
        <v>26664</v>
      </c>
      <c r="AB8559" t="s">
        <v>32925</v>
      </c>
      <c r="AD8559" t="s">
        <v>43499</v>
      </c>
      <c r="AE8559">
        <v>0</v>
      </c>
      <c r="AF8559" t="s">
        <v>45549</v>
      </c>
      <c r="AG8559" t="s">
        <v>19330</v>
      </c>
      <c r="AH8559">
        <v>17</v>
      </c>
      <c r="AI8559">
        <v>1</v>
      </c>
      <c r="AJ8559">
        <v>0</v>
      </c>
      <c r="AK8559">
        <v>74.36</v>
      </c>
      <c r="AN8559" t="s">
        <v>7439</v>
      </c>
      <c r="AO8559">
        <v>9288</v>
      </c>
      <c r="AU8559">
        <v>0</v>
      </c>
      <c r="AW8559" t="s">
        <v>46875</v>
      </c>
      <c r="AX8559" t="s">
        <v>46897</v>
      </c>
    </row>
    <row r="8560" spans="1:50">
      <c r="A8560" s="1">
        <f>HYPERLINK("https://lsnyc.legalserver.org/matter/dynamic-profile/view/1902536","19-1902536")</f>
        <v>0</v>
      </c>
      <c r="B8560" t="s">
        <v>134</v>
      </c>
      <c r="C8560" t="s">
        <v>340</v>
      </c>
      <c r="D8560" t="s">
        <v>831</v>
      </c>
      <c r="F8560" t="s">
        <v>4309</v>
      </c>
      <c r="G8560" t="s">
        <v>8735</v>
      </c>
      <c r="H8560" t="s">
        <v>15481</v>
      </c>
      <c r="I8560" t="s">
        <v>17527</v>
      </c>
      <c r="J8560" t="s">
        <v>18894</v>
      </c>
      <c r="K8560">
        <v>11233</v>
      </c>
      <c r="L8560" t="s">
        <v>18958</v>
      </c>
      <c r="M8560" t="s">
        <v>18960</v>
      </c>
      <c r="N8560" t="s">
        <v>19037</v>
      </c>
      <c r="O8560" t="s">
        <v>18997</v>
      </c>
      <c r="P8560" t="s">
        <v>26564</v>
      </c>
      <c r="R8560" t="s">
        <v>26578</v>
      </c>
      <c r="S8560" t="s">
        <v>18959</v>
      </c>
      <c r="U8560" t="s">
        <v>26604</v>
      </c>
      <c r="V8560" t="s">
        <v>26610</v>
      </c>
      <c r="W8560" t="s">
        <v>720</v>
      </c>
      <c r="X8560">
        <v>1581</v>
      </c>
      <c r="Y8560" t="s">
        <v>26652</v>
      </c>
      <c r="Z8560" t="s">
        <v>26667</v>
      </c>
      <c r="AB8560" t="s">
        <v>32926</v>
      </c>
      <c r="AD8560" t="s">
        <v>43500</v>
      </c>
      <c r="AE8560">
        <v>8</v>
      </c>
      <c r="AF8560" t="s">
        <v>45541</v>
      </c>
      <c r="AG8560" t="s">
        <v>19330</v>
      </c>
      <c r="AH8560">
        <v>5</v>
      </c>
      <c r="AI8560">
        <v>1</v>
      </c>
      <c r="AJ8560">
        <v>0</v>
      </c>
      <c r="AK8560">
        <v>320.26</v>
      </c>
      <c r="AN8560" t="s">
        <v>7439</v>
      </c>
      <c r="AO8560">
        <v>40000</v>
      </c>
      <c r="AU8560">
        <v>2</v>
      </c>
      <c r="AV8560" t="s">
        <v>831</v>
      </c>
      <c r="AW8560" t="s">
        <v>134</v>
      </c>
      <c r="AX8560" t="s">
        <v>46897</v>
      </c>
    </row>
    <row r="8561" spans="1:50">
      <c r="A8561" s="1">
        <f>HYPERLINK("https://lsnyc.legalserver.org/matter/dynamic-profile/view/1901771","19-1901771")</f>
        <v>0</v>
      </c>
      <c r="B8561" t="s">
        <v>183</v>
      </c>
      <c r="C8561" t="s">
        <v>340</v>
      </c>
      <c r="D8561" t="s">
        <v>814</v>
      </c>
      <c r="F8561" t="s">
        <v>2087</v>
      </c>
      <c r="G8561" t="s">
        <v>8736</v>
      </c>
      <c r="H8561" t="s">
        <v>15482</v>
      </c>
      <c r="I8561" t="s">
        <v>17471</v>
      </c>
      <c r="J8561" t="s">
        <v>18893</v>
      </c>
      <c r="K8561">
        <v>10026</v>
      </c>
      <c r="L8561" t="s">
        <v>18958</v>
      </c>
      <c r="M8561" t="s">
        <v>18960</v>
      </c>
      <c r="N8561" t="s">
        <v>25131</v>
      </c>
      <c r="O8561" t="s">
        <v>26523</v>
      </c>
      <c r="P8561" t="s">
        <v>26563</v>
      </c>
      <c r="R8561" t="s">
        <v>26580</v>
      </c>
      <c r="S8561" t="s">
        <v>18959</v>
      </c>
      <c r="U8561" t="s">
        <v>26604</v>
      </c>
      <c r="W8561" t="s">
        <v>772</v>
      </c>
      <c r="X8561">
        <v>2400</v>
      </c>
      <c r="Y8561" t="s">
        <v>26651</v>
      </c>
      <c r="Z8561" t="s">
        <v>26664</v>
      </c>
      <c r="AB8561" t="s">
        <v>32927</v>
      </c>
      <c r="AD8561" t="s">
        <v>43501</v>
      </c>
      <c r="AE8561">
        <v>0</v>
      </c>
      <c r="AF8561" t="s">
        <v>20460</v>
      </c>
      <c r="AG8561" t="s">
        <v>19330</v>
      </c>
      <c r="AH8561">
        <v>5</v>
      </c>
      <c r="AI8561">
        <v>2</v>
      </c>
      <c r="AJ8561">
        <v>0</v>
      </c>
      <c r="AK8561">
        <v>0</v>
      </c>
      <c r="AN8561" t="s">
        <v>7439</v>
      </c>
      <c r="AO8561">
        <v>0</v>
      </c>
      <c r="AU8561">
        <v>2.3</v>
      </c>
      <c r="AV8561" t="s">
        <v>834</v>
      </c>
      <c r="AW8561" t="s">
        <v>46875</v>
      </c>
      <c r="AX8561" t="s">
        <v>46897</v>
      </c>
    </row>
    <row r="8562" spans="1:50">
      <c r="A8562" s="1">
        <f>HYPERLINK("https://lsnyc.legalserver.org/matter/dynamic-profile/view/1902208","19-1902208")</f>
        <v>0</v>
      </c>
      <c r="B8562" t="s">
        <v>260</v>
      </c>
      <c r="C8562" t="s">
        <v>341</v>
      </c>
      <c r="D8562" t="s">
        <v>772</v>
      </c>
      <c r="E8562" t="s">
        <v>821</v>
      </c>
      <c r="F8562" t="s">
        <v>1614</v>
      </c>
      <c r="G8562" t="s">
        <v>5089</v>
      </c>
      <c r="H8562" t="s">
        <v>9854</v>
      </c>
      <c r="I8562" t="s">
        <v>17428</v>
      </c>
      <c r="J8562" t="s">
        <v>18893</v>
      </c>
      <c r="K8562">
        <v>10033</v>
      </c>
      <c r="L8562" t="s">
        <v>18958</v>
      </c>
      <c r="M8562" t="s">
        <v>18960</v>
      </c>
      <c r="O8562" t="s">
        <v>26539</v>
      </c>
      <c r="P8562" t="s">
        <v>26565</v>
      </c>
      <c r="Q8562" t="s">
        <v>26570</v>
      </c>
      <c r="R8562" t="s">
        <v>26578</v>
      </c>
      <c r="S8562" t="s">
        <v>18959</v>
      </c>
      <c r="U8562" t="s">
        <v>26604</v>
      </c>
      <c r="W8562" t="s">
        <v>772</v>
      </c>
      <c r="X8562">
        <v>1478.3</v>
      </c>
      <c r="Y8562" t="s">
        <v>26651</v>
      </c>
      <c r="Z8562" t="s">
        <v>26659</v>
      </c>
      <c r="AA8562" t="s">
        <v>26683</v>
      </c>
      <c r="AB8562" t="s">
        <v>27894</v>
      </c>
      <c r="AD8562" t="s">
        <v>37945</v>
      </c>
      <c r="AE8562">
        <v>480</v>
      </c>
      <c r="AF8562" t="s">
        <v>45541</v>
      </c>
      <c r="AG8562" t="s">
        <v>19330</v>
      </c>
      <c r="AH8562">
        <v>19</v>
      </c>
      <c r="AI8562">
        <v>2</v>
      </c>
      <c r="AJ8562">
        <v>0</v>
      </c>
      <c r="AK8562">
        <v>85.58</v>
      </c>
      <c r="AN8562" t="s">
        <v>7439</v>
      </c>
      <c r="AO8562">
        <v>14472</v>
      </c>
      <c r="AU8562">
        <v>0.9</v>
      </c>
      <c r="AV8562" t="s">
        <v>821</v>
      </c>
      <c r="AW8562" t="s">
        <v>46840</v>
      </c>
      <c r="AX8562" t="s">
        <v>46897</v>
      </c>
    </row>
    <row r="8563" spans="1:50">
      <c r="A8563" s="1">
        <f>HYPERLINK("https://lsnyc.legalserver.org/matter/dynamic-profile/view/1902159","19-1902159")</f>
        <v>0</v>
      </c>
      <c r="B8563" t="s">
        <v>183</v>
      </c>
      <c r="C8563" t="s">
        <v>341</v>
      </c>
      <c r="D8563" t="s">
        <v>772</v>
      </c>
      <c r="E8563" t="s">
        <v>821</v>
      </c>
      <c r="F8563" t="s">
        <v>3866</v>
      </c>
      <c r="G8563" t="s">
        <v>1012</v>
      </c>
      <c r="H8563" t="s">
        <v>15483</v>
      </c>
      <c r="I8563" t="s">
        <v>17362</v>
      </c>
      <c r="J8563" t="s">
        <v>18893</v>
      </c>
      <c r="K8563">
        <v>10026</v>
      </c>
      <c r="L8563" t="s">
        <v>18958</v>
      </c>
      <c r="M8563" t="s">
        <v>18960</v>
      </c>
      <c r="N8563" t="s">
        <v>25132</v>
      </c>
      <c r="O8563" t="s">
        <v>26523</v>
      </c>
      <c r="P8563" t="s">
        <v>26564</v>
      </c>
      <c r="Q8563" t="s">
        <v>26570</v>
      </c>
      <c r="R8563" t="s">
        <v>26582</v>
      </c>
      <c r="S8563" t="s">
        <v>18959</v>
      </c>
      <c r="U8563" t="s">
        <v>26604</v>
      </c>
      <c r="V8563" t="s">
        <v>26610</v>
      </c>
      <c r="W8563" t="s">
        <v>772</v>
      </c>
      <c r="X8563">
        <v>885</v>
      </c>
      <c r="Y8563" t="s">
        <v>26651</v>
      </c>
      <c r="Z8563" t="s">
        <v>26668</v>
      </c>
      <c r="AA8563" t="s">
        <v>26683</v>
      </c>
      <c r="AB8563" t="s">
        <v>32928</v>
      </c>
      <c r="AD8563" t="s">
        <v>43502</v>
      </c>
      <c r="AE8563">
        <v>0</v>
      </c>
      <c r="AF8563" t="s">
        <v>45541</v>
      </c>
      <c r="AG8563" t="s">
        <v>26530</v>
      </c>
      <c r="AH8563">
        <v>6</v>
      </c>
      <c r="AI8563">
        <v>1</v>
      </c>
      <c r="AJ8563">
        <v>0</v>
      </c>
      <c r="AK8563">
        <v>299.76</v>
      </c>
      <c r="AN8563" t="s">
        <v>7439</v>
      </c>
      <c r="AO8563">
        <v>37440</v>
      </c>
      <c r="AU8563">
        <v>0.8</v>
      </c>
      <c r="AV8563" t="s">
        <v>772</v>
      </c>
      <c r="AW8563" t="s">
        <v>46875</v>
      </c>
      <c r="AX8563" t="s">
        <v>46897</v>
      </c>
    </row>
    <row r="8564" spans="1:50">
      <c r="A8564" s="1">
        <f>HYPERLINK("https://lsnyc.legalserver.org/matter/dynamic-profile/view/1902246","19-1902246")</f>
        <v>0</v>
      </c>
      <c r="B8564" t="s">
        <v>77</v>
      </c>
      <c r="C8564" t="s">
        <v>341</v>
      </c>
      <c r="D8564" t="s">
        <v>772</v>
      </c>
      <c r="E8564" t="s">
        <v>772</v>
      </c>
      <c r="F8564" t="s">
        <v>1206</v>
      </c>
      <c r="G8564" t="s">
        <v>2804</v>
      </c>
      <c r="H8564" t="s">
        <v>15484</v>
      </c>
      <c r="I8564">
        <v>23</v>
      </c>
      <c r="J8564" t="s">
        <v>18893</v>
      </c>
      <c r="K8564">
        <v>10032</v>
      </c>
      <c r="L8564" t="s">
        <v>18958</v>
      </c>
      <c r="M8564" t="s">
        <v>18960</v>
      </c>
      <c r="N8564" t="s">
        <v>25133</v>
      </c>
      <c r="O8564" t="s">
        <v>26523</v>
      </c>
      <c r="P8564" t="s">
        <v>26560</v>
      </c>
      <c r="Q8564" t="s">
        <v>26568</v>
      </c>
      <c r="R8564" t="s">
        <v>26582</v>
      </c>
      <c r="S8564" t="s">
        <v>18959</v>
      </c>
      <c r="U8564" t="s">
        <v>26604</v>
      </c>
      <c r="V8564" t="s">
        <v>26610</v>
      </c>
      <c r="W8564" t="s">
        <v>772</v>
      </c>
      <c r="X8564">
        <v>2249.96</v>
      </c>
      <c r="Y8564" t="s">
        <v>26651</v>
      </c>
      <c r="Z8564" t="s">
        <v>26664</v>
      </c>
      <c r="AA8564" t="s">
        <v>26678</v>
      </c>
      <c r="AB8564" t="s">
        <v>32929</v>
      </c>
      <c r="AD8564" t="s">
        <v>43503</v>
      </c>
      <c r="AE8564">
        <v>0</v>
      </c>
      <c r="AF8564" t="s">
        <v>45541</v>
      </c>
      <c r="AH8564">
        <v>6</v>
      </c>
      <c r="AI8564">
        <v>1</v>
      </c>
      <c r="AJ8564">
        <v>3</v>
      </c>
      <c r="AK8564">
        <v>70.68000000000001</v>
      </c>
      <c r="AN8564" t="s">
        <v>45581</v>
      </c>
      <c r="AO8564">
        <v>18200</v>
      </c>
      <c r="AS8564" t="s">
        <v>46499</v>
      </c>
      <c r="AU8564">
        <v>0.5</v>
      </c>
      <c r="AV8564" t="s">
        <v>772</v>
      </c>
      <c r="AW8564" t="s">
        <v>77</v>
      </c>
      <c r="AX8564" t="s">
        <v>46897</v>
      </c>
    </row>
    <row r="8565" spans="1:50">
      <c r="A8565" s="1">
        <f>HYPERLINK("https://lsnyc.legalserver.org/matter/dynamic-profile/view/1902235","19-1902235")</f>
        <v>0</v>
      </c>
      <c r="B8565" t="s">
        <v>183</v>
      </c>
      <c r="C8565" t="s">
        <v>340</v>
      </c>
      <c r="D8565" t="s">
        <v>772</v>
      </c>
      <c r="F8565" t="s">
        <v>4310</v>
      </c>
      <c r="G8565" t="s">
        <v>8737</v>
      </c>
      <c r="H8565" t="s">
        <v>15485</v>
      </c>
      <c r="I8565" t="s">
        <v>17870</v>
      </c>
      <c r="J8565" t="s">
        <v>18893</v>
      </c>
      <c r="K8565">
        <v>10026</v>
      </c>
      <c r="L8565" t="s">
        <v>18958</v>
      </c>
      <c r="M8565" t="s">
        <v>18960</v>
      </c>
      <c r="N8565" t="s">
        <v>25134</v>
      </c>
      <c r="O8565" t="s">
        <v>26523</v>
      </c>
      <c r="R8565" t="s">
        <v>26580</v>
      </c>
      <c r="S8565" t="s">
        <v>26598</v>
      </c>
      <c r="U8565" t="s">
        <v>26604</v>
      </c>
      <c r="W8565" t="s">
        <v>772</v>
      </c>
      <c r="X8565">
        <v>0</v>
      </c>
      <c r="Y8565" t="s">
        <v>26651</v>
      </c>
      <c r="Z8565" t="s">
        <v>26664</v>
      </c>
      <c r="AB8565" t="s">
        <v>32930</v>
      </c>
      <c r="AC8565">
        <v>87546636</v>
      </c>
      <c r="AD8565" t="s">
        <v>43504</v>
      </c>
      <c r="AE8565">
        <v>0</v>
      </c>
      <c r="AH8565">
        <v>0</v>
      </c>
      <c r="AI8565">
        <v>1</v>
      </c>
      <c r="AJ8565">
        <v>0</v>
      </c>
      <c r="AK8565">
        <v>28.82</v>
      </c>
      <c r="AN8565" t="s">
        <v>8151</v>
      </c>
      <c r="AO8565">
        <v>3600</v>
      </c>
      <c r="AU8565">
        <v>0</v>
      </c>
      <c r="AW8565" t="s">
        <v>46879</v>
      </c>
      <c r="AX8565" t="s">
        <v>46897</v>
      </c>
    </row>
    <row r="8566" spans="1:50">
      <c r="A8566" s="1">
        <f>HYPERLINK("https://lsnyc.legalserver.org/matter/dynamic-profile/view/1902192","19-1902192")</f>
        <v>0</v>
      </c>
      <c r="B8566" t="s">
        <v>165</v>
      </c>
      <c r="C8566" t="s">
        <v>340</v>
      </c>
      <c r="D8566" t="s">
        <v>772</v>
      </c>
      <c r="F8566" t="s">
        <v>4311</v>
      </c>
      <c r="G8566" t="s">
        <v>6187</v>
      </c>
      <c r="H8566" t="s">
        <v>15486</v>
      </c>
      <c r="I8566" t="s">
        <v>18574</v>
      </c>
      <c r="J8566" t="s">
        <v>18893</v>
      </c>
      <c r="K8566">
        <v>10031</v>
      </c>
      <c r="L8566" t="s">
        <v>18958</v>
      </c>
      <c r="M8566" t="s">
        <v>18960</v>
      </c>
      <c r="N8566" t="s">
        <v>25135</v>
      </c>
      <c r="O8566" t="s">
        <v>26524</v>
      </c>
      <c r="R8566" t="s">
        <v>26582</v>
      </c>
      <c r="S8566" t="s">
        <v>18958</v>
      </c>
      <c r="U8566" t="s">
        <v>26604</v>
      </c>
      <c r="W8566" t="s">
        <v>772</v>
      </c>
      <c r="X8566">
        <v>877</v>
      </c>
      <c r="Y8566" t="s">
        <v>26651</v>
      </c>
      <c r="Z8566" t="s">
        <v>26668</v>
      </c>
      <c r="AB8566" t="s">
        <v>32931</v>
      </c>
      <c r="AD8566" t="s">
        <v>43505</v>
      </c>
      <c r="AE8566">
        <v>0</v>
      </c>
      <c r="AF8566" t="s">
        <v>45541</v>
      </c>
      <c r="AH8566">
        <v>22</v>
      </c>
      <c r="AI8566">
        <v>2</v>
      </c>
      <c r="AJ8566">
        <v>1</v>
      </c>
      <c r="AK8566">
        <v>393.81</v>
      </c>
      <c r="AN8566" t="s">
        <v>7439</v>
      </c>
      <c r="AO8566">
        <v>84000</v>
      </c>
      <c r="AU8566">
        <v>1</v>
      </c>
      <c r="AV8566" t="s">
        <v>772</v>
      </c>
      <c r="AW8566" t="s">
        <v>46879</v>
      </c>
      <c r="AX8566" t="s">
        <v>46897</v>
      </c>
    </row>
    <row r="8567" spans="1:50">
      <c r="A8567" s="1">
        <f>HYPERLINK("https://lsnyc.legalserver.org/matter/dynamic-profile/view/1901689","19-1901689")</f>
        <v>0</v>
      </c>
      <c r="B8567" t="s">
        <v>165</v>
      </c>
      <c r="C8567" t="s">
        <v>340</v>
      </c>
      <c r="D8567" t="s">
        <v>772</v>
      </c>
      <c r="F8567" t="s">
        <v>4312</v>
      </c>
      <c r="G8567" t="s">
        <v>8738</v>
      </c>
      <c r="H8567" t="s">
        <v>15485</v>
      </c>
      <c r="I8567" t="s">
        <v>17306</v>
      </c>
      <c r="J8567" t="s">
        <v>18893</v>
      </c>
      <c r="K8567">
        <v>10026</v>
      </c>
      <c r="L8567" t="s">
        <v>18958</v>
      </c>
      <c r="M8567" t="s">
        <v>18960</v>
      </c>
      <c r="N8567" t="s">
        <v>25136</v>
      </c>
      <c r="O8567" t="s">
        <v>26523</v>
      </c>
      <c r="R8567" t="s">
        <v>26580</v>
      </c>
      <c r="S8567" t="s">
        <v>18958</v>
      </c>
      <c r="U8567" t="s">
        <v>26604</v>
      </c>
      <c r="W8567" t="s">
        <v>772</v>
      </c>
      <c r="X8567">
        <v>856.05</v>
      </c>
      <c r="Y8567" t="s">
        <v>26651</v>
      </c>
      <c r="Z8567" t="s">
        <v>26664</v>
      </c>
      <c r="AB8567" t="s">
        <v>32932</v>
      </c>
      <c r="AD8567" t="s">
        <v>43506</v>
      </c>
      <c r="AE8567">
        <v>10</v>
      </c>
      <c r="AF8567" t="s">
        <v>45548</v>
      </c>
      <c r="AH8567">
        <v>20</v>
      </c>
      <c r="AI8567">
        <v>2</v>
      </c>
      <c r="AJ8567">
        <v>5</v>
      </c>
      <c r="AK8567">
        <v>95.36</v>
      </c>
      <c r="AN8567" t="s">
        <v>7439</v>
      </c>
      <c r="AO8567">
        <v>37200</v>
      </c>
      <c r="AU8567">
        <v>3</v>
      </c>
      <c r="AV8567" t="s">
        <v>772</v>
      </c>
      <c r="AW8567" t="s">
        <v>46840</v>
      </c>
      <c r="AX8567" t="s">
        <v>46897</v>
      </c>
    </row>
    <row r="8568" spans="1:50">
      <c r="A8568" s="1">
        <f>HYPERLINK("https://lsnyc.legalserver.org/matter/dynamic-profile/view/1902240","19-1902240")</f>
        <v>0</v>
      </c>
      <c r="B8568" t="s">
        <v>77</v>
      </c>
      <c r="C8568" t="s">
        <v>340</v>
      </c>
      <c r="D8568" t="s">
        <v>772</v>
      </c>
      <c r="F8568" t="s">
        <v>2452</v>
      </c>
      <c r="G8568" t="s">
        <v>5147</v>
      </c>
      <c r="H8568" t="s">
        <v>15487</v>
      </c>
      <c r="I8568" t="s">
        <v>17637</v>
      </c>
      <c r="J8568" t="s">
        <v>18893</v>
      </c>
      <c r="K8568">
        <v>10031</v>
      </c>
      <c r="L8568" t="s">
        <v>18958</v>
      </c>
      <c r="M8568" t="s">
        <v>18960</v>
      </c>
      <c r="N8568" t="s">
        <v>25137</v>
      </c>
      <c r="O8568" t="s">
        <v>26523</v>
      </c>
      <c r="P8568" t="s">
        <v>26560</v>
      </c>
      <c r="R8568" t="s">
        <v>26580</v>
      </c>
      <c r="S8568" t="s">
        <v>18959</v>
      </c>
      <c r="U8568" t="s">
        <v>26604</v>
      </c>
      <c r="V8568" t="s">
        <v>26611</v>
      </c>
      <c r="W8568" t="s">
        <v>772</v>
      </c>
      <c r="X8568">
        <v>1051.47</v>
      </c>
      <c r="Y8568" t="s">
        <v>26651</v>
      </c>
      <c r="Z8568" t="s">
        <v>26664</v>
      </c>
      <c r="AB8568" t="s">
        <v>27706</v>
      </c>
      <c r="AD8568" t="s">
        <v>43507</v>
      </c>
      <c r="AE8568">
        <v>0</v>
      </c>
      <c r="AF8568" t="s">
        <v>45541</v>
      </c>
      <c r="AH8568">
        <v>10</v>
      </c>
      <c r="AI8568">
        <v>3</v>
      </c>
      <c r="AJ8568">
        <v>4</v>
      </c>
      <c r="AK8568">
        <v>22.86</v>
      </c>
      <c r="AN8568" t="s">
        <v>45581</v>
      </c>
      <c r="AO8568">
        <v>8916</v>
      </c>
      <c r="AU8568">
        <v>1.9</v>
      </c>
      <c r="AV8568" t="s">
        <v>836</v>
      </c>
      <c r="AW8568" t="s">
        <v>77</v>
      </c>
    </row>
    <row r="8569" spans="1:50">
      <c r="A8569" s="1">
        <f>HYPERLINK("https://lsnyc.legalserver.org/matter/dynamic-profile/view/1902177","19-1902177")</f>
        <v>0</v>
      </c>
      <c r="B8569" t="s">
        <v>282</v>
      </c>
      <c r="C8569" t="s">
        <v>340</v>
      </c>
      <c r="D8569" t="s">
        <v>772</v>
      </c>
      <c r="F8569" t="s">
        <v>2020</v>
      </c>
      <c r="G8569" t="s">
        <v>8739</v>
      </c>
      <c r="H8569" t="s">
        <v>9806</v>
      </c>
      <c r="I8569" t="s">
        <v>17288</v>
      </c>
      <c r="J8569" t="s">
        <v>18901</v>
      </c>
      <c r="K8569">
        <v>11434</v>
      </c>
      <c r="L8569" t="s">
        <v>18958</v>
      </c>
      <c r="M8569" t="s">
        <v>18960</v>
      </c>
      <c r="N8569" t="s">
        <v>25138</v>
      </c>
      <c r="O8569" t="s">
        <v>26524</v>
      </c>
      <c r="P8569" t="s">
        <v>26560</v>
      </c>
      <c r="R8569" t="s">
        <v>26585</v>
      </c>
      <c r="S8569" t="s">
        <v>18959</v>
      </c>
      <c r="U8569" t="s">
        <v>26604</v>
      </c>
      <c r="W8569" t="s">
        <v>772</v>
      </c>
      <c r="X8569">
        <v>1440</v>
      </c>
      <c r="Y8569" t="s">
        <v>26653</v>
      </c>
      <c r="Z8569" t="s">
        <v>26664</v>
      </c>
      <c r="AB8569" t="s">
        <v>32933</v>
      </c>
      <c r="AD8569" t="s">
        <v>43508</v>
      </c>
      <c r="AE8569">
        <v>270</v>
      </c>
      <c r="AF8569" t="s">
        <v>45550</v>
      </c>
      <c r="AG8569" t="s">
        <v>19330</v>
      </c>
      <c r="AH8569">
        <v>23</v>
      </c>
      <c r="AI8569">
        <v>2</v>
      </c>
      <c r="AJ8569">
        <v>0</v>
      </c>
      <c r="AK8569">
        <v>167.85</v>
      </c>
      <c r="AN8569" t="s">
        <v>7439</v>
      </c>
      <c r="AO8569">
        <v>28383</v>
      </c>
      <c r="AU8569">
        <v>6.77</v>
      </c>
      <c r="AV8569" t="s">
        <v>832</v>
      </c>
      <c r="AW8569" t="s">
        <v>208</v>
      </c>
      <c r="AX8569" t="s">
        <v>46897</v>
      </c>
    </row>
    <row r="8570" spans="1:50">
      <c r="A8570" s="1">
        <f>HYPERLINK("https://lsnyc.legalserver.org/matter/dynamic-profile/view/1902171","19-1902171")</f>
        <v>0</v>
      </c>
      <c r="B8570" t="s">
        <v>191</v>
      </c>
      <c r="C8570" t="s">
        <v>340</v>
      </c>
      <c r="D8570" t="s">
        <v>772</v>
      </c>
      <c r="F8570" t="s">
        <v>1902</v>
      </c>
      <c r="G8570" t="s">
        <v>5113</v>
      </c>
      <c r="H8570" t="s">
        <v>12774</v>
      </c>
      <c r="I8570" t="s">
        <v>17283</v>
      </c>
      <c r="J8570" t="s">
        <v>18893</v>
      </c>
      <c r="K8570">
        <v>10031</v>
      </c>
      <c r="L8570" t="s">
        <v>18958</v>
      </c>
      <c r="M8570" t="s">
        <v>18960</v>
      </c>
      <c r="N8570" t="s">
        <v>25139</v>
      </c>
      <c r="O8570" t="s">
        <v>26523</v>
      </c>
      <c r="P8570" t="s">
        <v>26560</v>
      </c>
      <c r="R8570" t="s">
        <v>26580</v>
      </c>
      <c r="S8570" t="s">
        <v>18959</v>
      </c>
      <c r="U8570" t="s">
        <v>26604</v>
      </c>
      <c r="W8570" t="s">
        <v>772</v>
      </c>
      <c r="X8570">
        <v>1052</v>
      </c>
      <c r="Y8570" t="s">
        <v>26651</v>
      </c>
      <c r="Z8570" t="s">
        <v>26668</v>
      </c>
      <c r="AB8570" t="s">
        <v>32934</v>
      </c>
      <c r="AD8570" t="s">
        <v>43509</v>
      </c>
      <c r="AE8570">
        <v>0</v>
      </c>
      <c r="AF8570" t="s">
        <v>45541</v>
      </c>
      <c r="AG8570" t="s">
        <v>45562</v>
      </c>
      <c r="AH8570">
        <v>21</v>
      </c>
      <c r="AI8570">
        <v>3</v>
      </c>
      <c r="AJ8570">
        <v>1</v>
      </c>
      <c r="AK8570">
        <v>74.56</v>
      </c>
      <c r="AN8570" t="s">
        <v>45581</v>
      </c>
      <c r="AO8570">
        <v>19200</v>
      </c>
      <c r="AU8570">
        <v>0.8</v>
      </c>
      <c r="AV8570" t="s">
        <v>772</v>
      </c>
      <c r="AW8570" t="s">
        <v>46875</v>
      </c>
      <c r="AX8570" t="s">
        <v>46897</v>
      </c>
    </row>
    <row r="8571" spans="1:50">
      <c r="A8571" s="1">
        <f>HYPERLINK("https://lsnyc.legalserver.org/matter/dynamic-profile/view/1902181","19-1902181")</f>
        <v>0</v>
      </c>
      <c r="B8571" t="s">
        <v>212</v>
      </c>
      <c r="C8571" t="s">
        <v>340</v>
      </c>
      <c r="D8571" t="s">
        <v>772</v>
      </c>
      <c r="F8571" t="s">
        <v>1096</v>
      </c>
      <c r="G8571" t="s">
        <v>6172</v>
      </c>
      <c r="H8571" t="s">
        <v>15488</v>
      </c>
      <c r="I8571" t="s">
        <v>17390</v>
      </c>
      <c r="J8571" t="s">
        <v>18913</v>
      </c>
      <c r="K8571">
        <v>11106</v>
      </c>
      <c r="L8571" t="s">
        <v>18958</v>
      </c>
      <c r="M8571" t="s">
        <v>18960</v>
      </c>
      <c r="N8571" t="s">
        <v>25140</v>
      </c>
      <c r="O8571" t="s">
        <v>26524</v>
      </c>
      <c r="P8571" t="s">
        <v>26563</v>
      </c>
      <c r="R8571" t="s">
        <v>26584</v>
      </c>
      <c r="S8571" t="s">
        <v>18959</v>
      </c>
      <c r="U8571" t="s">
        <v>26605</v>
      </c>
      <c r="W8571" t="s">
        <v>772</v>
      </c>
      <c r="X8571">
        <v>197</v>
      </c>
      <c r="Y8571" t="s">
        <v>26653</v>
      </c>
      <c r="Z8571" t="s">
        <v>26664</v>
      </c>
      <c r="AB8571" t="s">
        <v>32935</v>
      </c>
      <c r="AD8571" t="s">
        <v>43510</v>
      </c>
      <c r="AE8571">
        <v>0</v>
      </c>
      <c r="AF8571" t="s">
        <v>45549</v>
      </c>
      <c r="AG8571" t="s">
        <v>19330</v>
      </c>
      <c r="AH8571">
        <v>9</v>
      </c>
      <c r="AI8571">
        <v>1</v>
      </c>
      <c r="AJ8571">
        <v>0</v>
      </c>
      <c r="AK8571">
        <v>102.32</v>
      </c>
      <c r="AN8571" t="s">
        <v>7439</v>
      </c>
      <c r="AO8571">
        <v>12780</v>
      </c>
      <c r="AU8571">
        <v>1.1</v>
      </c>
      <c r="AV8571" t="s">
        <v>772</v>
      </c>
      <c r="AW8571" t="s">
        <v>208</v>
      </c>
      <c r="AX8571" t="s">
        <v>46897</v>
      </c>
    </row>
    <row r="8572" spans="1:50">
      <c r="A8572" s="1">
        <f>HYPERLINK("https://lsnyc.legalserver.org/matter/dynamic-profile/view/1902195","19-1902195")</f>
        <v>0</v>
      </c>
      <c r="B8572" t="s">
        <v>212</v>
      </c>
      <c r="C8572" t="s">
        <v>340</v>
      </c>
      <c r="D8572" t="s">
        <v>772</v>
      </c>
      <c r="F8572" t="s">
        <v>1010</v>
      </c>
      <c r="G8572" t="s">
        <v>4940</v>
      </c>
      <c r="H8572" t="s">
        <v>15489</v>
      </c>
      <c r="J8572" t="s">
        <v>18901</v>
      </c>
      <c r="K8572">
        <v>11433</v>
      </c>
      <c r="L8572" t="s">
        <v>18958</v>
      </c>
      <c r="M8572" t="s">
        <v>18960</v>
      </c>
      <c r="N8572" t="s">
        <v>25141</v>
      </c>
      <c r="O8572" t="s">
        <v>26523</v>
      </c>
      <c r="P8572" t="s">
        <v>26563</v>
      </c>
      <c r="R8572" t="s">
        <v>26585</v>
      </c>
      <c r="S8572" t="s">
        <v>18959</v>
      </c>
      <c r="U8572" t="s">
        <v>26604</v>
      </c>
      <c r="W8572" t="s">
        <v>772</v>
      </c>
      <c r="X8572">
        <v>1250</v>
      </c>
      <c r="Y8572" t="s">
        <v>26653</v>
      </c>
      <c r="Z8572" t="s">
        <v>26664</v>
      </c>
      <c r="AB8572" t="s">
        <v>29058</v>
      </c>
      <c r="AD8572" t="s">
        <v>34738</v>
      </c>
      <c r="AE8572">
        <v>2</v>
      </c>
      <c r="AF8572" t="s">
        <v>20460</v>
      </c>
      <c r="AG8572" t="s">
        <v>19330</v>
      </c>
      <c r="AH8572">
        <v>11</v>
      </c>
      <c r="AI8572">
        <v>1</v>
      </c>
      <c r="AJ8572">
        <v>0</v>
      </c>
      <c r="AK8572">
        <v>76.86</v>
      </c>
      <c r="AN8572" t="s">
        <v>7439</v>
      </c>
      <c r="AO8572">
        <v>9600</v>
      </c>
      <c r="AU8572">
        <v>0.9</v>
      </c>
      <c r="AV8572" t="s">
        <v>772</v>
      </c>
      <c r="AW8572" t="s">
        <v>208</v>
      </c>
      <c r="AX8572" t="s">
        <v>46897</v>
      </c>
    </row>
    <row r="8573" spans="1:50">
      <c r="A8573" s="1">
        <f>HYPERLINK("https://lsnyc.legalserver.org/matter/dynamic-profile/view/1902245","19-1902245")</f>
        <v>0</v>
      </c>
      <c r="B8573" t="s">
        <v>141</v>
      </c>
      <c r="C8573" t="s">
        <v>340</v>
      </c>
      <c r="D8573" t="s">
        <v>772</v>
      </c>
      <c r="F8573" t="s">
        <v>1136</v>
      </c>
      <c r="G8573" t="s">
        <v>8740</v>
      </c>
      <c r="H8573" t="s">
        <v>15490</v>
      </c>
      <c r="I8573" t="s">
        <v>17275</v>
      </c>
      <c r="J8573" t="s">
        <v>18942</v>
      </c>
      <c r="K8573">
        <v>11101</v>
      </c>
      <c r="L8573" t="s">
        <v>18958</v>
      </c>
      <c r="M8573" t="s">
        <v>18960</v>
      </c>
      <c r="N8573" t="s">
        <v>25142</v>
      </c>
      <c r="O8573" t="s">
        <v>26523</v>
      </c>
      <c r="P8573" t="s">
        <v>26563</v>
      </c>
      <c r="R8573" t="s">
        <v>26584</v>
      </c>
      <c r="S8573" t="s">
        <v>18959</v>
      </c>
      <c r="U8573" t="s">
        <v>26604</v>
      </c>
      <c r="V8573" t="s">
        <v>26610</v>
      </c>
      <c r="W8573" t="s">
        <v>772</v>
      </c>
      <c r="X8573">
        <v>283</v>
      </c>
      <c r="Y8573" t="s">
        <v>26653</v>
      </c>
      <c r="Z8573" t="s">
        <v>26664</v>
      </c>
      <c r="AB8573" t="s">
        <v>27330</v>
      </c>
      <c r="AC8573" t="s">
        <v>36544</v>
      </c>
      <c r="AD8573" t="s">
        <v>43511</v>
      </c>
      <c r="AE8573">
        <v>25</v>
      </c>
      <c r="AF8573" t="s">
        <v>45549</v>
      </c>
      <c r="AG8573" t="s">
        <v>19330</v>
      </c>
      <c r="AH8573">
        <v>2</v>
      </c>
      <c r="AI8573">
        <v>1</v>
      </c>
      <c r="AJ8573">
        <v>1</v>
      </c>
      <c r="AK8573">
        <v>0</v>
      </c>
      <c r="AO8573">
        <v>0</v>
      </c>
      <c r="AU8573">
        <v>1.5</v>
      </c>
      <c r="AV8573" t="s">
        <v>834</v>
      </c>
      <c r="AW8573" t="s">
        <v>122</v>
      </c>
      <c r="AX8573" t="s">
        <v>46897</v>
      </c>
    </row>
    <row r="8574" spans="1:50">
      <c r="A8574" s="1">
        <f>HYPERLINK("https://lsnyc.legalserver.org/matter/dynamic-profile/view/1902149","19-1902149")</f>
        <v>0</v>
      </c>
      <c r="B8574" t="s">
        <v>159</v>
      </c>
      <c r="C8574" t="s">
        <v>340</v>
      </c>
      <c r="D8574" t="s">
        <v>772</v>
      </c>
      <c r="F8574" t="s">
        <v>3661</v>
      </c>
      <c r="G8574" t="s">
        <v>5103</v>
      </c>
      <c r="H8574" t="s">
        <v>15491</v>
      </c>
      <c r="I8574" t="s">
        <v>17312</v>
      </c>
      <c r="J8574" t="s">
        <v>18899</v>
      </c>
      <c r="K8574">
        <v>11385</v>
      </c>
      <c r="L8574" t="s">
        <v>18958</v>
      </c>
      <c r="M8574" t="s">
        <v>18960</v>
      </c>
      <c r="N8574" t="s">
        <v>25143</v>
      </c>
      <c r="O8574" t="s">
        <v>26523</v>
      </c>
      <c r="P8574" t="s">
        <v>26563</v>
      </c>
      <c r="R8574" t="s">
        <v>26584</v>
      </c>
      <c r="S8574" t="s">
        <v>18959</v>
      </c>
      <c r="U8574" t="s">
        <v>26604</v>
      </c>
      <c r="W8574" t="s">
        <v>772</v>
      </c>
      <c r="X8574">
        <v>1600</v>
      </c>
      <c r="Y8574" t="s">
        <v>26653</v>
      </c>
      <c r="Z8574" t="s">
        <v>26664</v>
      </c>
      <c r="AB8574" t="s">
        <v>32936</v>
      </c>
      <c r="AC8574" t="s">
        <v>36545</v>
      </c>
      <c r="AD8574" t="s">
        <v>43512</v>
      </c>
      <c r="AE8574">
        <v>3</v>
      </c>
      <c r="AF8574" t="s">
        <v>45547</v>
      </c>
      <c r="AG8574" t="s">
        <v>19330</v>
      </c>
      <c r="AH8574">
        <v>8</v>
      </c>
      <c r="AI8574">
        <v>3</v>
      </c>
      <c r="AJ8574">
        <v>1</v>
      </c>
      <c r="AK8574">
        <v>56.54</v>
      </c>
      <c r="AN8574" t="s">
        <v>7439</v>
      </c>
      <c r="AO8574">
        <v>14560</v>
      </c>
      <c r="AU8574">
        <v>9.4</v>
      </c>
      <c r="AV8574" t="s">
        <v>836</v>
      </c>
      <c r="AW8574" t="s">
        <v>208</v>
      </c>
      <c r="AX8574" t="s">
        <v>46897</v>
      </c>
    </row>
    <row r="8575" spans="1:50">
      <c r="A8575" s="1">
        <f>HYPERLINK("https://lsnyc.legalserver.org/matter/dynamic-profile/view/1902148","19-1902148")</f>
        <v>0</v>
      </c>
      <c r="B8575" t="s">
        <v>64</v>
      </c>
      <c r="C8575" t="s">
        <v>340</v>
      </c>
      <c r="D8575" t="s">
        <v>772</v>
      </c>
      <c r="F8575" t="s">
        <v>4313</v>
      </c>
      <c r="G8575" t="s">
        <v>8741</v>
      </c>
      <c r="H8575" t="s">
        <v>15492</v>
      </c>
      <c r="I8575" t="s">
        <v>17284</v>
      </c>
      <c r="J8575" t="s">
        <v>18892</v>
      </c>
      <c r="K8575">
        <v>10457</v>
      </c>
      <c r="L8575" t="s">
        <v>18958</v>
      </c>
      <c r="M8575" t="s">
        <v>18960</v>
      </c>
      <c r="N8575" t="s">
        <v>25144</v>
      </c>
      <c r="O8575" t="s">
        <v>26524</v>
      </c>
      <c r="P8575" t="s">
        <v>26560</v>
      </c>
      <c r="R8575" t="s">
        <v>26577</v>
      </c>
      <c r="U8575" t="s">
        <v>26604</v>
      </c>
      <c r="V8575" t="s">
        <v>26610</v>
      </c>
      <c r="W8575" t="s">
        <v>772</v>
      </c>
      <c r="X8575">
        <v>700</v>
      </c>
      <c r="Y8575" t="s">
        <v>26650</v>
      </c>
      <c r="Z8575" t="s">
        <v>26664</v>
      </c>
      <c r="AB8575" t="s">
        <v>32578</v>
      </c>
      <c r="AD8575" t="s">
        <v>43513</v>
      </c>
      <c r="AE8575">
        <v>10</v>
      </c>
      <c r="AF8575" t="s">
        <v>45547</v>
      </c>
      <c r="AH8575">
        <v>-1</v>
      </c>
      <c r="AI8575">
        <v>1</v>
      </c>
      <c r="AJ8575">
        <v>0</v>
      </c>
      <c r="AK8575">
        <v>249.8</v>
      </c>
      <c r="AN8575" t="s">
        <v>7439</v>
      </c>
      <c r="AO8575">
        <v>31200</v>
      </c>
      <c r="AU8575">
        <v>1.5</v>
      </c>
      <c r="AV8575" t="s">
        <v>843</v>
      </c>
      <c r="AW8575" t="s">
        <v>284</v>
      </c>
      <c r="AX8575" t="s">
        <v>46897</v>
      </c>
    </row>
    <row r="8576" spans="1:50">
      <c r="A8576" s="1">
        <f>HYPERLINK("https://lsnyc.legalserver.org/matter/dynamic-profile/view/1902194","19-1902194")</f>
        <v>0</v>
      </c>
      <c r="B8576" t="s">
        <v>218</v>
      </c>
      <c r="C8576" t="s">
        <v>340</v>
      </c>
      <c r="D8576" t="s">
        <v>772</v>
      </c>
      <c r="F8576" t="s">
        <v>2020</v>
      </c>
      <c r="G8576" t="s">
        <v>8742</v>
      </c>
      <c r="H8576" t="s">
        <v>15493</v>
      </c>
      <c r="I8576">
        <v>33</v>
      </c>
      <c r="J8576" t="s">
        <v>18893</v>
      </c>
      <c r="K8576">
        <v>10033</v>
      </c>
      <c r="L8576" t="s">
        <v>18958</v>
      </c>
      <c r="M8576" t="s">
        <v>18960</v>
      </c>
      <c r="P8576" t="s">
        <v>26565</v>
      </c>
      <c r="R8576" t="s">
        <v>26578</v>
      </c>
      <c r="S8576" t="s">
        <v>18959</v>
      </c>
      <c r="U8576" t="s">
        <v>26604</v>
      </c>
      <c r="W8576" t="s">
        <v>772</v>
      </c>
      <c r="X8576">
        <v>1548.25</v>
      </c>
      <c r="Y8576" t="s">
        <v>26651</v>
      </c>
      <c r="Z8576" t="s">
        <v>26661</v>
      </c>
      <c r="AB8576" t="s">
        <v>32937</v>
      </c>
      <c r="AE8576">
        <v>55</v>
      </c>
      <c r="AF8576" t="s">
        <v>45541</v>
      </c>
      <c r="AG8576" t="s">
        <v>19330</v>
      </c>
      <c r="AH8576">
        <v>12</v>
      </c>
      <c r="AI8576">
        <v>2</v>
      </c>
      <c r="AJ8576">
        <v>0</v>
      </c>
      <c r="AK8576">
        <v>171.5</v>
      </c>
      <c r="AN8576" t="s">
        <v>7439</v>
      </c>
      <c r="AO8576">
        <v>29000</v>
      </c>
      <c r="AU8576">
        <v>0.4</v>
      </c>
      <c r="AV8576" t="s">
        <v>826</v>
      </c>
      <c r="AW8576" t="s">
        <v>46840</v>
      </c>
      <c r="AX8576" t="s">
        <v>46897</v>
      </c>
    </row>
    <row r="8577" spans="1:50">
      <c r="A8577" s="1">
        <f>HYPERLINK("https://lsnyc.legalserver.org/matter/dynamic-profile/view/1902199","19-1902199")</f>
        <v>0</v>
      </c>
      <c r="B8577" t="s">
        <v>218</v>
      </c>
      <c r="C8577" t="s">
        <v>340</v>
      </c>
      <c r="D8577" t="s">
        <v>772</v>
      </c>
      <c r="F8577" t="s">
        <v>1537</v>
      </c>
      <c r="G8577" t="s">
        <v>8743</v>
      </c>
      <c r="H8577" t="s">
        <v>15494</v>
      </c>
      <c r="I8577">
        <v>55</v>
      </c>
      <c r="J8577" t="s">
        <v>18893</v>
      </c>
      <c r="K8577">
        <v>10033</v>
      </c>
      <c r="L8577" t="s">
        <v>18958</v>
      </c>
      <c r="M8577" t="s">
        <v>18960</v>
      </c>
      <c r="P8577" t="s">
        <v>26565</v>
      </c>
      <c r="R8577" t="s">
        <v>26578</v>
      </c>
      <c r="S8577" t="s">
        <v>18959</v>
      </c>
      <c r="U8577" t="s">
        <v>26604</v>
      </c>
      <c r="W8577" t="s">
        <v>772</v>
      </c>
      <c r="X8577">
        <v>2275</v>
      </c>
      <c r="Y8577" t="s">
        <v>26651</v>
      </c>
      <c r="Z8577" t="s">
        <v>26661</v>
      </c>
      <c r="AB8577" t="s">
        <v>32938</v>
      </c>
      <c r="AE8577">
        <v>32</v>
      </c>
      <c r="AF8577" t="s">
        <v>45541</v>
      </c>
      <c r="AG8577" t="s">
        <v>19330</v>
      </c>
      <c r="AH8577">
        <v>5</v>
      </c>
      <c r="AI8577">
        <v>2</v>
      </c>
      <c r="AJ8577">
        <v>0</v>
      </c>
      <c r="AK8577">
        <v>177.41</v>
      </c>
      <c r="AN8577" t="s">
        <v>7439</v>
      </c>
      <c r="AO8577">
        <v>30000</v>
      </c>
      <c r="AU8577">
        <v>0.1</v>
      </c>
      <c r="AV8577" t="s">
        <v>826</v>
      </c>
      <c r="AW8577" t="s">
        <v>46840</v>
      </c>
      <c r="AX8577" t="s">
        <v>46897</v>
      </c>
    </row>
    <row r="8578" spans="1:50">
      <c r="A8578" s="1">
        <f>HYPERLINK("https://lsnyc.legalserver.org/matter/dynamic-profile/view/1902191","19-1902191")</f>
        <v>0</v>
      </c>
      <c r="B8578" t="s">
        <v>218</v>
      </c>
      <c r="C8578" t="s">
        <v>340</v>
      </c>
      <c r="D8578" t="s">
        <v>772</v>
      </c>
      <c r="F8578" t="s">
        <v>1972</v>
      </c>
      <c r="G8578" t="s">
        <v>8744</v>
      </c>
      <c r="H8578" t="s">
        <v>14254</v>
      </c>
      <c r="I8578" t="s">
        <v>18575</v>
      </c>
      <c r="J8578" t="s">
        <v>18893</v>
      </c>
      <c r="K8578">
        <v>10033</v>
      </c>
      <c r="L8578" t="s">
        <v>18958</v>
      </c>
      <c r="M8578" t="s">
        <v>18960</v>
      </c>
      <c r="P8578" t="s">
        <v>26563</v>
      </c>
      <c r="R8578" t="s">
        <v>26578</v>
      </c>
      <c r="S8578" t="s">
        <v>18959</v>
      </c>
      <c r="U8578" t="s">
        <v>26604</v>
      </c>
      <c r="W8578" t="s">
        <v>772</v>
      </c>
      <c r="X8578">
        <v>2070</v>
      </c>
      <c r="Y8578" t="s">
        <v>26651</v>
      </c>
      <c r="Z8578" t="s">
        <v>26661</v>
      </c>
      <c r="AB8578" t="s">
        <v>32939</v>
      </c>
      <c r="AD8578" t="s">
        <v>43514</v>
      </c>
      <c r="AE8578">
        <v>91</v>
      </c>
      <c r="AF8578" t="s">
        <v>45541</v>
      </c>
      <c r="AG8578" t="s">
        <v>19330</v>
      </c>
      <c r="AH8578">
        <v>7</v>
      </c>
      <c r="AI8578">
        <v>1</v>
      </c>
      <c r="AJ8578">
        <v>0</v>
      </c>
      <c r="AK8578">
        <v>498.83</v>
      </c>
      <c r="AN8578" t="s">
        <v>7439</v>
      </c>
      <c r="AO8578">
        <v>62304</v>
      </c>
      <c r="AU8578">
        <v>0</v>
      </c>
      <c r="AW8578" t="s">
        <v>46840</v>
      </c>
      <c r="AX8578" t="s">
        <v>46897</v>
      </c>
    </row>
    <row r="8579" spans="1:50">
      <c r="A8579" s="1">
        <f>HYPERLINK("https://lsnyc.legalserver.org/matter/dynamic-profile/view/1902165","19-1902165")</f>
        <v>0</v>
      </c>
      <c r="B8579" t="s">
        <v>103</v>
      </c>
      <c r="C8579" t="s">
        <v>340</v>
      </c>
      <c r="D8579" t="s">
        <v>772</v>
      </c>
      <c r="F8579" t="s">
        <v>1093</v>
      </c>
      <c r="G8579" t="s">
        <v>6311</v>
      </c>
      <c r="H8579" t="s">
        <v>15495</v>
      </c>
      <c r="I8579" t="s">
        <v>17807</v>
      </c>
      <c r="J8579" t="s">
        <v>18902</v>
      </c>
      <c r="K8579">
        <v>10302</v>
      </c>
      <c r="L8579" t="s">
        <v>18958</v>
      </c>
      <c r="M8579" t="s">
        <v>18960</v>
      </c>
      <c r="N8579" t="s">
        <v>25145</v>
      </c>
      <c r="O8579" t="s">
        <v>26523</v>
      </c>
      <c r="P8579" t="s">
        <v>26560</v>
      </c>
      <c r="R8579" t="s">
        <v>26590</v>
      </c>
      <c r="S8579" t="s">
        <v>18959</v>
      </c>
      <c r="U8579" t="s">
        <v>26604</v>
      </c>
      <c r="V8579" t="s">
        <v>26610</v>
      </c>
      <c r="W8579" t="s">
        <v>772</v>
      </c>
      <c r="X8579">
        <v>1274</v>
      </c>
      <c r="Y8579" t="s">
        <v>26654</v>
      </c>
      <c r="Z8579" t="s">
        <v>26668</v>
      </c>
      <c r="AB8579" t="s">
        <v>32940</v>
      </c>
      <c r="AD8579" t="s">
        <v>43515</v>
      </c>
      <c r="AE8579">
        <v>0</v>
      </c>
      <c r="AF8579" t="s">
        <v>20460</v>
      </c>
      <c r="AG8579" t="s">
        <v>45557</v>
      </c>
      <c r="AH8579">
        <v>10</v>
      </c>
      <c r="AI8579">
        <v>3</v>
      </c>
      <c r="AJ8579">
        <v>0</v>
      </c>
      <c r="AK8579">
        <v>28.13</v>
      </c>
      <c r="AN8579" t="s">
        <v>7439</v>
      </c>
      <c r="AO8579">
        <v>6000</v>
      </c>
      <c r="AU8579">
        <v>2.3</v>
      </c>
      <c r="AV8579" t="s">
        <v>839</v>
      </c>
      <c r="AW8579" t="s">
        <v>46883</v>
      </c>
      <c r="AX8579" t="s">
        <v>46897</v>
      </c>
    </row>
    <row r="8580" spans="1:50">
      <c r="A8580" s="1">
        <f>HYPERLINK("https://lsnyc.legalserver.org/matter/dynamic-profile/view/1902164","19-1902164")</f>
        <v>0</v>
      </c>
      <c r="B8580" t="s">
        <v>104</v>
      </c>
      <c r="C8580" t="s">
        <v>340</v>
      </c>
      <c r="D8580" t="s">
        <v>772</v>
      </c>
      <c r="F8580" t="s">
        <v>4314</v>
      </c>
      <c r="G8580" t="s">
        <v>8745</v>
      </c>
      <c r="H8580" t="s">
        <v>11697</v>
      </c>
      <c r="I8580" t="s">
        <v>17362</v>
      </c>
      <c r="J8580" t="s">
        <v>18902</v>
      </c>
      <c r="K8580">
        <v>10303</v>
      </c>
      <c r="L8580" t="s">
        <v>18958</v>
      </c>
      <c r="M8580" t="s">
        <v>18960</v>
      </c>
      <c r="N8580" t="s">
        <v>25146</v>
      </c>
      <c r="O8580" t="s">
        <v>26523</v>
      </c>
      <c r="R8580" t="s">
        <v>26590</v>
      </c>
      <c r="S8580" t="s">
        <v>18959</v>
      </c>
      <c r="U8580" t="s">
        <v>26604</v>
      </c>
      <c r="V8580" t="s">
        <v>26610</v>
      </c>
      <c r="W8580" t="s">
        <v>772</v>
      </c>
      <c r="X8580">
        <v>0</v>
      </c>
      <c r="Y8580" t="s">
        <v>26654</v>
      </c>
      <c r="AB8580" t="s">
        <v>32941</v>
      </c>
      <c r="AD8580" t="s">
        <v>43516</v>
      </c>
      <c r="AE8580">
        <v>0</v>
      </c>
      <c r="AH8580">
        <v>0</v>
      </c>
      <c r="AI8580">
        <v>2</v>
      </c>
      <c r="AJ8580">
        <v>0</v>
      </c>
      <c r="AK8580">
        <v>167.29</v>
      </c>
      <c r="AO8580">
        <v>28288</v>
      </c>
      <c r="AU8580">
        <v>0</v>
      </c>
      <c r="AW8580" t="s">
        <v>210</v>
      </c>
      <c r="AX8580" t="s">
        <v>46897</v>
      </c>
    </row>
    <row r="8581" spans="1:50">
      <c r="A8581" s="1">
        <f>HYPERLINK("https://lsnyc.legalserver.org/matter/dynamic-profile/view/1902200","19-1902200")</f>
        <v>0</v>
      </c>
      <c r="B8581" t="s">
        <v>114</v>
      </c>
      <c r="C8581" t="s">
        <v>340</v>
      </c>
      <c r="D8581" t="s">
        <v>772</v>
      </c>
      <c r="F8581" t="s">
        <v>4315</v>
      </c>
      <c r="G8581" t="s">
        <v>7358</v>
      </c>
      <c r="H8581" t="s">
        <v>15496</v>
      </c>
      <c r="I8581" t="s">
        <v>17274</v>
      </c>
      <c r="J8581" t="s">
        <v>18907</v>
      </c>
      <c r="K8581">
        <v>11377</v>
      </c>
      <c r="L8581" t="s">
        <v>18958</v>
      </c>
      <c r="M8581" t="s">
        <v>18960</v>
      </c>
      <c r="N8581" t="s">
        <v>25147</v>
      </c>
      <c r="O8581" t="s">
        <v>26523</v>
      </c>
      <c r="P8581" t="s">
        <v>26563</v>
      </c>
      <c r="R8581" t="s">
        <v>26584</v>
      </c>
      <c r="S8581" t="s">
        <v>18959</v>
      </c>
      <c r="U8581" t="s">
        <v>26605</v>
      </c>
      <c r="W8581" t="s">
        <v>772</v>
      </c>
      <c r="X8581">
        <v>574</v>
      </c>
      <c r="Y8581" t="s">
        <v>26653</v>
      </c>
      <c r="Z8581" t="s">
        <v>26664</v>
      </c>
      <c r="AB8581" t="s">
        <v>32942</v>
      </c>
      <c r="AD8581" t="s">
        <v>43517</v>
      </c>
      <c r="AE8581">
        <v>12</v>
      </c>
      <c r="AF8581" t="s">
        <v>45549</v>
      </c>
      <c r="AG8581" t="s">
        <v>19330</v>
      </c>
      <c r="AH8581">
        <v>15</v>
      </c>
      <c r="AI8581">
        <v>1</v>
      </c>
      <c r="AJ8581">
        <v>0</v>
      </c>
      <c r="AK8581">
        <v>189.43</v>
      </c>
      <c r="AN8581" t="s">
        <v>7439</v>
      </c>
      <c r="AO8581">
        <v>23660</v>
      </c>
      <c r="AU8581">
        <v>2.95</v>
      </c>
      <c r="AV8581" t="s">
        <v>835</v>
      </c>
      <c r="AW8581" t="s">
        <v>208</v>
      </c>
      <c r="AX8581" t="s">
        <v>46897</v>
      </c>
    </row>
    <row r="8582" spans="1:50">
      <c r="A8582" s="1">
        <f>HYPERLINK("https://lsnyc.legalserver.org/matter/dynamic-profile/view/1902205","19-1902205")</f>
        <v>0</v>
      </c>
      <c r="B8582" t="s">
        <v>54</v>
      </c>
      <c r="C8582" t="s">
        <v>340</v>
      </c>
      <c r="D8582" t="s">
        <v>772</v>
      </c>
      <c r="F8582" t="s">
        <v>4316</v>
      </c>
      <c r="G8582" t="s">
        <v>6148</v>
      </c>
      <c r="H8582" t="s">
        <v>15497</v>
      </c>
      <c r="I8582" t="s">
        <v>17277</v>
      </c>
      <c r="J8582" t="s">
        <v>18892</v>
      </c>
      <c r="K8582">
        <v>10456</v>
      </c>
      <c r="L8582" t="s">
        <v>18958</v>
      </c>
      <c r="M8582" t="s">
        <v>18960</v>
      </c>
      <c r="N8582" t="s">
        <v>25148</v>
      </c>
      <c r="O8582" t="s">
        <v>26523</v>
      </c>
      <c r="P8582" t="s">
        <v>26560</v>
      </c>
      <c r="R8582" t="s">
        <v>26577</v>
      </c>
      <c r="S8582" t="s">
        <v>18959</v>
      </c>
      <c r="U8582" t="s">
        <v>26604</v>
      </c>
      <c r="V8582" t="s">
        <v>26612</v>
      </c>
      <c r="W8582" t="s">
        <v>772</v>
      </c>
      <c r="X8582">
        <v>1294</v>
      </c>
      <c r="Y8582" t="s">
        <v>26650</v>
      </c>
      <c r="Z8582" t="s">
        <v>26664</v>
      </c>
      <c r="AB8582" t="s">
        <v>32943</v>
      </c>
      <c r="AC8582" t="s">
        <v>36546</v>
      </c>
      <c r="AD8582" t="s">
        <v>43518</v>
      </c>
      <c r="AE8582">
        <v>42</v>
      </c>
      <c r="AF8582" t="s">
        <v>45541</v>
      </c>
      <c r="AG8582" t="s">
        <v>45562</v>
      </c>
      <c r="AH8582">
        <v>2</v>
      </c>
      <c r="AI8582">
        <v>1</v>
      </c>
      <c r="AJ8582">
        <v>1</v>
      </c>
      <c r="AK8582">
        <v>33.21</v>
      </c>
      <c r="AN8582" t="s">
        <v>7439</v>
      </c>
      <c r="AO8582">
        <v>5616</v>
      </c>
      <c r="AU8582">
        <v>9.4</v>
      </c>
      <c r="AV8582" t="s">
        <v>821</v>
      </c>
      <c r="AW8582" t="s">
        <v>284</v>
      </c>
      <c r="AX8582" t="s">
        <v>46897</v>
      </c>
    </row>
    <row r="8583" spans="1:50">
      <c r="A8583" s="1">
        <f>HYPERLINK("https://lsnyc.legalserver.org/matter/dynamic-profile/view/1902144","19-1902144")</f>
        <v>0</v>
      </c>
      <c r="B8583" t="s">
        <v>59</v>
      </c>
      <c r="C8583" t="s">
        <v>340</v>
      </c>
      <c r="D8583" t="s">
        <v>772</v>
      </c>
      <c r="F8583" t="s">
        <v>2683</v>
      </c>
      <c r="G8583" t="s">
        <v>7450</v>
      </c>
      <c r="H8583" t="s">
        <v>15498</v>
      </c>
      <c r="I8583" t="s">
        <v>17299</v>
      </c>
      <c r="J8583" t="s">
        <v>18893</v>
      </c>
      <c r="K8583">
        <v>10031</v>
      </c>
      <c r="L8583" t="s">
        <v>18958</v>
      </c>
      <c r="M8583" t="s">
        <v>18960</v>
      </c>
      <c r="N8583" t="s">
        <v>25149</v>
      </c>
      <c r="O8583" t="s">
        <v>26523</v>
      </c>
      <c r="P8583" t="s">
        <v>26563</v>
      </c>
      <c r="R8583" t="s">
        <v>26582</v>
      </c>
      <c r="S8583" t="s">
        <v>18959</v>
      </c>
      <c r="U8583" t="s">
        <v>26604</v>
      </c>
      <c r="W8583" t="s">
        <v>772</v>
      </c>
      <c r="X8583">
        <v>862</v>
      </c>
      <c r="Y8583" t="s">
        <v>26651</v>
      </c>
      <c r="Z8583" t="s">
        <v>26668</v>
      </c>
      <c r="AB8583" t="s">
        <v>32944</v>
      </c>
      <c r="AD8583" t="s">
        <v>43519</v>
      </c>
      <c r="AE8583">
        <v>0</v>
      </c>
      <c r="AF8583" t="s">
        <v>20460</v>
      </c>
      <c r="AG8583" t="s">
        <v>19330</v>
      </c>
      <c r="AH8583">
        <v>10</v>
      </c>
      <c r="AI8583">
        <v>3</v>
      </c>
      <c r="AJ8583">
        <v>1</v>
      </c>
      <c r="AK8583">
        <v>274.95</v>
      </c>
      <c r="AN8583" t="s">
        <v>7439</v>
      </c>
      <c r="AO8583">
        <v>70800</v>
      </c>
      <c r="AU8583">
        <v>0.5</v>
      </c>
      <c r="AV8583" t="s">
        <v>772</v>
      </c>
      <c r="AW8583" t="s">
        <v>46875</v>
      </c>
      <c r="AX8583" t="s">
        <v>46897</v>
      </c>
    </row>
    <row r="8584" spans="1:50">
      <c r="A8584" s="1">
        <f>HYPERLINK("https://lsnyc.legalserver.org/matter/dynamic-profile/view/1902167","19-1902167")</f>
        <v>0</v>
      </c>
      <c r="B8584" t="s">
        <v>59</v>
      </c>
      <c r="C8584" t="s">
        <v>340</v>
      </c>
      <c r="D8584" t="s">
        <v>772</v>
      </c>
      <c r="F8584" t="s">
        <v>1119</v>
      </c>
      <c r="G8584" t="s">
        <v>5185</v>
      </c>
      <c r="H8584" t="s">
        <v>14864</v>
      </c>
      <c r="I8584" t="s">
        <v>17301</v>
      </c>
      <c r="J8584" t="s">
        <v>18893</v>
      </c>
      <c r="K8584">
        <v>10025</v>
      </c>
      <c r="L8584" t="s">
        <v>18958</v>
      </c>
      <c r="M8584" t="s">
        <v>18960</v>
      </c>
      <c r="N8584" t="s">
        <v>25150</v>
      </c>
      <c r="O8584" t="s">
        <v>26524</v>
      </c>
      <c r="P8584" t="s">
        <v>26560</v>
      </c>
      <c r="R8584" t="s">
        <v>26580</v>
      </c>
      <c r="S8584" t="s">
        <v>18959</v>
      </c>
      <c r="U8584" t="s">
        <v>26604</v>
      </c>
      <c r="W8584" t="s">
        <v>772</v>
      </c>
      <c r="X8584">
        <v>791</v>
      </c>
      <c r="Y8584" t="s">
        <v>26651</v>
      </c>
      <c r="Z8584" t="s">
        <v>26668</v>
      </c>
      <c r="AB8584" t="s">
        <v>32945</v>
      </c>
      <c r="AD8584" t="s">
        <v>43520</v>
      </c>
      <c r="AE8584">
        <v>0</v>
      </c>
      <c r="AF8584" t="s">
        <v>20460</v>
      </c>
      <c r="AH8584">
        <v>31</v>
      </c>
      <c r="AI8584">
        <v>2</v>
      </c>
      <c r="AJ8584">
        <v>1</v>
      </c>
      <c r="AK8584">
        <v>55.32</v>
      </c>
      <c r="AN8584" t="s">
        <v>7439</v>
      </c>
      <c r="AO8584">
        <v>11800</v>
      </c>
      <c r="AU8584">
        <v>1.2</v>
      </c>
      <c r="AV8584" t="s">
        <v>830</v>
      </c>
      <c r="AW8584" t="s">
        <v>46879</v>
      </c>
      <c r="AX8584" t="s">
        <v>46897</v>
      </c>
    </row>
    <row r="8585" spans="1:50">
      <c r="A8585" s="1">
        <f>HYPERLINK("https://lsnyc.legalserver.org/matter/dynamic-profile/view/1902182","19-1902182")</f>
        <v>0</v>
      </c>
      <c r="B8585" t="s">
        <v>59</v>
      </c>
      <c r="C8585" t="s">
        <v>340</v>
      </c>
      <c r="D8585" t="s">
        <v>772</v>
      </c>
      <c r="F8585" t="s">
        <v>2384</v>
      </c>
      <c r="G8585" t="s">
        <v>3138</v>
      </c>
      <c r="H8585" t="s">
        <v>11605</v>
      </c>
      <c r="I8585">
        <v>409</v>
      </c>
      <c r="J8585" t="s">
        <v>18893</v>
      </c>
      <c r="K8585">
        <v>10027</v>
      </c>
      <c r="L8585" t="s">
        <v>18958</v>
      </c>
      <c r="M8585" t="s">
        <v>18960</v>
      </c>
      <c r="N8585" t="s">
        <v>25151</v>
      </c>
      <c r="O8585" t="s">
        <v>26524</v>
      </c>
      <c r="P8585" t="s">
        <v>26560</v>
      </c>
      <c r="R8585" t="s">
        <v>26580</v>
      </c>
      <c r="S8585" t="s">
        <v>18959</v>
      </c>
      <c r="U8585" t="s">
        <v>26604</v>
      </c>
      <c r="W8585" t="s">
        <v>772</v>
      </c>
      <c r="X8585">
        <v>2700</v>
      </c>
      <c r="Y8585" t="s">
        <v>26651</v>
      </c>
      <c r="Z8585" t="s">
        <v>26664</v>
      </c>
      <c r="AB8585" t="s">
        <v>30357</v>
      </c>
      <c r="AD8585" t="s">
        <v>43521</v>
      </c>
      <c r="AE8585">
        <v>0</v>
      </c>
      <c r="AF8585" t="s">
        <v>45541</v>
      </c>
      <c r="AG8585" t="s">
        <v>19330</v>
      </c>
      <c r="AH8585">
        <v>2</v>
      </c>
      <c r="AI8585">
        <v>2</v>
      </c>
      <c r="AJ8585">
        <v>1</v>
      </c>
      <c r="AK8585">
        <v>98.45</v>
      </c>
      <c r="AN8585" t="s">
        <v>7439</v>
      </c>
      <c r="AO8585">
        <v>21000</v>
      </c>
      <c r="AU8585">
        <v>0.8</v>
      </c>
      <c r="AV8585" t="s">
        <v>830</v>
      </c>
      <c r="AW8585" t="s">
        <v>46875</v>
      </c>
      <c r="AX8585" t="s">
        <v>46897</v>
      </c>
    </row>
    <row r="8586" spans="1:50">
      <c r="A8586" s="1">
        <f>HYPERLINK("https://lsnyc.legalserver.org/matter/dynamic-profile/view/1902252","19-1902252")</f>
        <v>0</v>
      </c>
      <c r="B8586" t="s">
        <v>235</v>
      </c>
      <c r="C8586" t="s">
        <v>340</v>
      </c>
      <c r="D8586" t="s">
        <v>772</v>
      </c>
      <c r="F8586" t="s">
        <v>2207</v>
      </c>
      <c r="G8586" t="s">
        <v>5078</v>
      </c>
      <c r="H8586" t="s">
        <v>15499</v>
      </c>
      <c r="I8586" t="s">
        <v>17283</v>
      </c>
      <c r="J8586" t="s">
        <v>18901</v>
      </c>
      <c r="K8586">
        <v>11433</v>
      </c>
      <c r="L8586" t="s">
        <v>18960</v>
      </c>
      <c r="M8586" t="s">
        <v>18960</v>
      </c>
      <c r="N8586" t="s">
        <v>25152</v>
      </c>
      <c r="O8586" t="s">
        <v>26523</v>
      </c>
      <c r="R8586" t="s">
        <v>26584</v>
      </c>
      <c r="U8586" t="s">
        <v>26604</v>
      </c>
      <c r="W8586" t="s">
        <v>772</v>
      </c>
      <c r="X8586">
        <v>1666</v>
      </c>
      <c r="Y8586" t="s">
        <v>26653</v>
      </c>
      <c r="Z8586" t="s">
        <v>26664</v>
      </c>
      <c r="AB8586" t="s">
        <v>32946</v>
      </c>
      <c r="AC8586" t="s">
        <v>36547</v>
      </c>
      <c r="AD8586" t="s">
        <v>43522</v>
      </c>
      <c r="AE8586">
        <v>84</v>
      </c>
      <c r="AG8586" t="s">
        <v>45556</v>
      </c>
      <c r="AH8586">
        <v>1</v>
      </c>
      <c r="AI8586">
        <v>2</v>
      </c>
      <c r="AJ8586">
        <v>2</v>
      </c>
      <c r="AK8586">
        <v>77.67</v>
      </c>
      <c r="AO8586">
        <v>20000</v>
      </c>
      <c r="AU8586">
        <v>0.5</v>
      </c>
      <c r="AV8586" t="s">
        <v>772</v>
      </c>
      <c r="AW8586" t="s">
        <v>122</v>
      </c>
      <c r="AX8586" t="s">
        <v>46898</v>
      </c>
    </row>
    <row r="8587" spans="1:50">
      <c r="A8587" s="1">
        <f>HYPERLINK("https://lsnyc.legalserver.org/matter/dynamic-profile/view/1893132","19-1893132")</f>
        <v>0</v>
      </c>
      <c r="B8587" t="s">
        <v>60</v>
      </c>
      <c r="C8587" t="s">
        <v>340</v>
      </c>
      <c r="D8587" t="s">
        <v>754</v>
      </c>
      <c r="F8587" t="s">
        <v>4317</v>
      </c>
      <c r="G8587" t="s">
        <v>5300</v>
      </c>
      <c r="H8587" t="s">
        <v>15500</v>
      </c>
      <c r="I8587" t="s">
        <v>17330</v>
      </c>
      <c r="J8587" t="s">
        <v>18892</v>
      </c>
      <c r="K8587">
        <v>10455</v>
      </c>
      <c r="L8587" t="s">
        <v>18958</v>
      </c>
      <c r="M8587" t="s">
        <v>18960</v>
      </c>
      <c r="N8587" t="s">
        <v>25153</v>
      </c>
      <c r="O8587" t="s">
        <v>26523</v>
      </c>
      <c r="P8587" t="s">
        <v>26564</v>
      </c>
      <c r="R8587" t="s">
        <v>26578</v>
      </c>
      <c r="S8587" t="s">
        <v>18959</v>
      </c>
      <c r="U8587" t="s">
        <v>26604</v>
      </c>
      <c r="W8587" t="s">
        <v>826</v>
      </c>
      <c r="X8587">
        <v>0</v>
      </c>
      <c r="Y8587" t="s">
        <v>26650</v>
      </c>
      <c r="AB8587" t="s">
        <v>32947</v>
      </c>
      <c r="AD8587" t="s">
        <v>43523</v>
      </c>
      <c r="AE8587">
        <v>0</v>
      </c>
      <c r="AH8587">
        <v>0</v>
      </c>
      <c r="AI8587">
        <v>1</v>
      </c>
      <c r="AJ8587">
        <v>0</v>
      </c>
      <c r="AK8587">
        <v>320.26</v>
      </c>
      <c r="AN8587" t="s">
        <v>7439</v>
      </c>
      <c r="AO8587">
        <v>40000</v>
      </c>
      <c r="AU8587">
        <v>0.3</v>
      </c>
      <c r="AV8587" t="s">
        <v>793</v>
      </c>
      <c r="AW8587" t="s">
        <v>60</v>
      </c>
      <c r="AX8587" t="s">
        <v>46897</v>
      </c>
    </row>
    <row r="8588" spans="1:50">
      <c r="A8588" s="1">
        <f>HYPERLINK("https://lsnyc.legalserver.org/matter/dynamic-profile/view/1902091","19-1902091")</f>
        <v>0</v>
      </c>
      <c r="B8588" t="s">
        <v>133</v>
      </c>
      <c r="C8588" t="s">
        <v>340</v>
      </c>
      <c r="D8588" t="s">
        <v>826</v>
      </c>
      <c r="F8588" t="s">
        <v>2087</v>
      </c>
      <c r="G8588" t="s">
        <v>8746</v>
      </c>
      <c r="H8588" t="s">
        <v>15501</v>
      </c>
      <c r="I8588" t="s">
        <v>17273</v>
      </c>
      <c r="J8588" t="s">
        <v>18892</v>
      </c>
      <c r="K8588">
        <v>10453</v>
      </c>
      <c r="L8588" t="s">
        <v>18958</v>
      </c>
      <c r="M8588" t="s">
        <v>18960</v>
      </c>
      <c r="N8588" t="s">
        <v>25154</v>
      </c>
      <c r="O8588" t="s">
        <v>26523</v>
      </c>
      <c r="P8588" t="s">
        <v>26564</v>
      </c>
      <c r="R8588" t="s">
        <v>26577</v>
      </c>
      <c r="S8588" t="s">
        <v>18959</v>
      </c>
      <c r="U8588" t="s">
        <v>26604</v>
      </c>
      <c r="V8588" t="s">
        <v>26612</v>
      </c>
      <c r="W8588" t="s">
        <v>826</v>
      </c>
      <c r="X8588">
        <v>1950</v>
      </c>
      <c r="Y8588" t="s">
        <v>26650</v>
      </c>
      <c r="AB8588" t="s">
        <v>29892</v>
      </c>
      <c r="AD8588" t="s">
        <v>43524</v>
      </c>
      <c r="AE8588">
        <v>0</v>
      </c>
      <c r="AF8588" t="s">
        <v>45541</v>
      </c>
      <c r="AG8588" t="s">
        <v>45558</v>
      </c>
      <c r="AH8588">
        <v>3</v>
      </c>
      <c r="AI8588">
        <v>1</v>
      </c>
      <c r="AJ8588">
        <v>2</v>
      </c>
      <c r="AK8588">
        <v>60.95</v>
      </c>
      <c r="AN8588" t="s">
        <v>7439</v>
      </c>
      <c r="AO8588">
        <v>13000</v>
      </c>
      <c r="AP8588" t="s">
        <v>46096</v>
      </c>
      <c r="AU8588">
        <v>0.25</v>
      </c>
      <c r="AV8588" t="s">
        <v>833</v>
      </c>
      <c r="AW8588" t="s">
        <v>335</v>
      </c>
      <c r="AX8588" t="s">
        <v>46897</v>
      </c>
    </row>
    <row r="8589" spans="1:50">
      <c r="A8589" s="1">
        <f>HYPERLINK("https://lsnyc.legalserver.org/matter/dynamic-profile/view/1902285","19-1902285")</f>
        <v>0</v>
      </c>
      <c r="B8589" t="s">
        <v>278</v>
      </c>
      <c r="C8589" t="s">
        <v>340</v>
      </c>
      <c r="D8589" t="s">
        <v>826</v>
      </c>
      <c r="F8589" t="s">
        <v>3667</v>
      </c>
      <c r="G8589" t="s">
        <v>8747</v>
      </c>
      <c r="H8589" t="s">
        <v>15502</v>
      </c>
      <c r="I8589" t="s">
        <v>18576</v>
      </c>
      <c r="J8589" t="s">
        <v>18902</v>
      </c>
      <c r="K8589">
        <v>10314</v>
      </c>
      <c r="L8589" t="s">
        <v>18958</v>
      </c>
      <c r="M8589" t="s">
        <v>18960</v>
      </c>
      <c r="N8589" t="s">
        <v>25155</v>
      </c>
      <c r="O8589" t="s">
        <v>26523</v>
      </c>
      <c r="R8589" t="s">
        <v>26590</v>
      </c>
      <c r="S8589" t="s">
        <v>18959</v>
      </c>
      <c r="U8589" t="s">
        <v>26604</v>
      </c>
      <c r="V8589" t="s">
        <v>26610</v>
      </c>
      <c r="W8589" t="s">
        <v>826</v>
      </c>
      <c r="X8589">
        <v>1650</v>
      </c>
      <c r="Y8589" t="s">
        <v>26654</v>
      </c>
      <c r="Z8589" t="s">
        <v>26668</v>
      </c>
      <c r="AB8589" t="s">
        <v>30003</v>
      </c>
      <c r="AD8589" t="s">
        <v>43525</v>
      </c>
      <c r="AE8589">
        <v>1</v>
      </c>
      <c r="AF8589" t="s">
        <v>20460</v>
      </c>
      <c r="AG8589" t="s">
        <v>19330</v>
      </c>
      <c r="AH8589">
        <v>2</v>
      </c>
      <c r="AI8589">
        <v>2</v>
      </c>
      <c r="AJ8589">
        <v>2</v>
      </c>
      <c r="AK8589">
        <v>42.41</v>
      </c>
      <c r="AN8589" t="s">
        <v>7439</v>
      </c>
      <c r="AO8589">
        <v>10920</v>
      </c>
      <c r="AU8589">
        <v>1.25</v>
      </c>
      <c r="AV8589" t="s">
        <v>834</v>
      </c>
      <c r="AW8589" t="s">
        <v>46883</v>
      </c>
      <c r="AX8589" t="s">
        <v>46897</v>
      </c>
    </row>
    <row r="8590" spans="1:50">
      <c r="A8590" s="1">
        <f>HYPERLINK("https://lsnyc.legalserver.org/matter/dynamic-profile/view/1902306","19-1902306")</f>
        <v>0</v>
      </c>
      <c r="B8590" t="s">
        <v>276</v>
      </c>
      <c r="C8590" t="s">
        <v>340</v>
      </c>
      <c r="D8590" t="s">
        <v>826</v>
      </c>
      <c r="F8590" t="s">
        <v>948</v>
      </c>
      <c r="G8590" t="s">
        <v>5473</v>
      </c>
      <c r="H8590" t="s">
        <v>15503</v>
      </c>
      <c r="I8590">
        <v>6</v>
      </c>
      <c r="J8590" t="s">
        <v>18894</v>
      </c>
      <c r="K8590">
        <v>11231</v>
      </c>
      <c r="L8590" t="s">
        <v>18958</v>
      </c>
      <c r="M8590" t="s">
        <v>18960</v>
      </c>
      <c r="O8590" t="s">
        <v>26523</v>
      </c>
      <c r="P8590" t="s">
        <v>26560</v>
      </c>
      <c r="R8590" t="s">
        <v>26578</v>
      </c>
      <c r="S8590" t="s">
        <v>18959</v>
      </c>
      <c r="U8590" t="s">
        <v>26604</v>
      </c>
      <c r="W8590" t="s">
        <v>826</v>
      </c>
      <c r="X8590">
        <v>0</v>
      </c>
      <c r="Y8590" t="s">
        <v>26652</v>
      </c>
      <c r="AB8590" t="s">
        <v>26797</v>
      </c>
      <c r="AD8590" t="s">
        <v>43526</v>
      </c>
      <c r="AE8590">
        <v>0</v>
      </c>
      <c r="AH8590">
        <v>37</v>
      </c>
      <c r="AI8590">
        <v>1</v>
      </c>
      <c r="AJ8590">
        <v>0</v>
      </c>
      <c r="AK8590">
        <v>72.06</v>
      </c>
      <c r="AN8590" t="s">
        <v>7439</v>
      </c>
      <c r="AO8590">
        <v>9000</v>
      </c>
      <c r="AU8590">
        <v>2.1</v>
      </c>
      <c r="AV8590" t="s">
        <v>832</v>
      </c>
      <c r="AW8590" t="s">
        <v>219</v>
      </c>
      <c r="AX8590" t="s">
        <v>46897</v>
      </c>
    </row>
    <row r="8591" spans="1:50">
      <c r="A8591" s="1">
        <f>HYPERLINK("https://lsnyc.legalserver.org/matter/dynamic-profile/view/1902289","19-1902289")</f>
        <v>0</v>
      </c>
      <c r="B8591" t="s">
        <v>294</v>
      </c>
      <c r="C8591" t="s">
        <v>340</v>
      </c>
      <c r="D8591" t="s">
        <v>826</v>
      </c>
      <c r="F8591" t="s">
        <v>2838</v>
      </c>
      <c r="G8591" t="s">
        <v>6784</v>
      </c>
      <c r="H8591" t="s">
        <v>12705</v>
      </c>
      <c r="I8591" t="s">
        <v>17273</v>
      </c>
      <c r="J8591" t="s">
        <v>18901</v>
      </c>
      <c r="K8591">
        <v>11435</v>
      </c>
      <c r="L8591" t="s">
        <v>18958</v>
      </c>
      <c r="M8591" t="s">
        <v>18960</v>
      </c>
      <c r="N8591" t="s">
        <v>25156</v>
      </c>
      <c r="O8591" t="s">
        <v>26523</v>
      </c>
      <c r="P8591" t="s">
        <v>26560</v>
      </c>
      <c r="R8591" t="s">
        <v>26578</v>
      </c>
      <c r="S8591" t="s">
        <v>18959</v>
      </c>
      <c r="U8591" t="s">
        <v>26604</v>
      </c>
      <c r="W8591" t="s">
        <v>826</v>
      </c>
      <c r="X8591">
        <v>1145</v>
      </c>
      <c r="Y8591" t="s">
        <v>26653</v>
      </c>
      <c r="Z8591" t="s">
        <v>26664</v>
      </c>
      <c r="AB8591" t="s">
        <v>29978</v>
      </c>
      <c r="AC8591" t="s">
        <v>36548</v>
      </c>
      <c r="AD8591" t="s">
        <v>40099</v>
      </c>
      <c r="AE8591">
        <v>36</v>
      </c>
      <c r="AF8591" t="s">
        <v>20460</v>
      </c>
      <c r="AG8591" t="s">
        <v>19330</v>
      </c>
      <c r="AH8591">
        <v>7</v>
      </c>
      <c r="AI8591">
        <v>1</v>
      </c>
      <c r="AJ8591">
        <v>1</v>
      </c>
      <c r="AK8591">
        <v>54.29</v>
      </c>
      <c r="AN8591" t="s">
        <v>7439</v>
      </c>
      <c r="AO8591">
        <v>9180</v>
      </c>
      <c r="AU8591">
        <v>2.45</v>
      </c>
      <c r="AV8591" t="s">
        <v>821</v>
      </c>
      <c r="AW8591" t="s">
        <v>208</v>
      </c>
      <c r="AX8591" t="s">
        <v>46897</v>
      </c>
    </row>
    <row r="8592" spans="1:50">
      <c r="A8592" s="1">
        <f>HYPERLINK("https://lsnyc.legalserver.org/matter/dynamic-profile/view/1902312","19-1902312")</f>
        <v>0</v>
      </c>
      <c r="B8592" t="s">
        <v>294</v>
      </c>
      <c r="C8592" t="s">
        <v>340</v>
      </c>
      <c r="D8592" t="s">
        <v>826</v>
      </c>
      <c r="F8592" t="s">
        <v>2432</v>
      </c>
      <c r="G8592" t="s">
        <v>8748</v>
      </c>
      <c r="H8592" t="s">
        <v>15504</v>
      </c>
      <c r="I8592" t="s">
        <v>17375</v>
      </c>
      <c r="J8592" t="s">
        <v>18936</v>
      </c>
      <c r="K8592">
        <v>11361</v>
      </c>
      <c r="L8592" t="s">
        <v>18958</v>
      </c>
      <c r="M8592" t="s">
        <v>18960</v>
      </c>
      <c r="N8592" t="s">
        <v>25157</v>
      </c>
      <c r="O8592" t="s">
        <v>26524</v>
      </c>
      <c r="P8592" t="s">
        <v>26560</v>
      </c>
      <c r="R8592" t="s">
        <v>26578</v>
      </c>
      <c r="S8592" t="s">
        <v>18959</v>
      </c>
      <c r="U8592" t="s">
        <v>26604</v>
      </c>
      <c r="W8592" t="s">
        <v>826</v>
      </c>
      <c r="X8592">
        <v>2150</v>
      </c>
      <c r="Y8592" t="s">
        <v>26653</v>
      </c>
      <c r="Z8592" t="s">
        <v>26664</v>
      </c>
      <c r="AB8592" t="s">
        <v>32948</v>
      </c>
      <c r="AD8592" t="s">
        <v>43527</v>
      </c>
      <c r="AE8592">
        <v>26</v>
      </c>
      <c r="AF8592" t="s">
        <v>20460</v>
      </c>
      <c r="AG8592" t="s">
        <v>19330</v>
      </c>
      <c r="AH8592">
        <v>8</v>
      </c>
      <c r="AI8592">
        <v>1</v>
      </c>
      <c r="AJ8592">
        <v>1</v>
      </c>
      <c r="AK8592">
        <v>165.58</v>
      </c>
      <c r="AN8592" t="s">
        <v>7439</v>
      </c>
      <c r="AO8592">
        <v>28000</v>
      </c>
      <c r="AU8592">
        <v>1.55</v>
      </c>
      <c r="AV8592" t="s">
        <v>839</v>
      </c>
      <c r="AW8592" t="s">
        <v>208</v>
      </c>
      <c r="AX8592" t="s">
        <v>46897</v>
      </c>
    </row>
    <row r="8593" spans="1:50">
      <c r="A8593" s="1">
        <f>HYPERLINK("https://lsnyc.legalserver.org/matter/dynamic-profile/view/1902325","19-1902325")</f>
        <v>0</v>
      </c>
      <c r="B8593" t="s">
        <v>294</v>
      </c>
      <c r="C8593" t="s">
        <v>340</v>
      </c>
      <c r="D8593" t="s">
        <v>826</v>
      </c>
      <c r="F8593" t="s">
        <v>1107</v>
      </c>
      <c r="G8593" t="s">
        <v>7990</v>
      </c>
      <c r="H8593" t="s">
        <v>15505</v>
      </c>
      <c r="J8593" t="s">
        <v>18953</v>
      </c>
      <c r="K8593">
        <v>11004</v>
      </c>
      <c r="L8593" t="s">
        <v>18960</v>
      </c>
      <c r="M8593" t="s">
        <v>18960</v>
      </c>
      <c r="N8593" t="s">
        <v>25158</v>
      </c>
      <c r="O8593" t="s">
        <v>26524</v>
      </c>
      <c r="P8593" t="s">
        <v>26563</v>
      </c>
      <c r="R8593" t="s">
        <v>26584</v>
      </c>
      <c r="S8593" t="s">
        <v>18959</v>
      </c>
      <c r="U8593" t="s">
        <v>26604</v>
      </c>
      <c r="W8593" t="s">
        <v>826</v>
      </c>
      <c r="X8593">
        <v>1400</v>
      </c>
      <c r="Y8593" t="s">
        <v>26653</v>
      </c>
      <c r="Z8593" t="s">
        <v>26664</v>
      </c>
      <c r="AB8593" t="s">
        <v>28567</v>
      </c>
      <c r="AC8593" t="s">
        <v>36549</v>
      </c>
      <c r="AD8593" t="s">
        <v>43528</v>
      </c>
      <c r="AE8593">
        <v>1</v>
      </c>
      <c r="AF8593" t="s">
        <v>20460</v>
      </c>
      <c r="AG8593" t="s">
        <v>19330</v>
      </c>
      <c r="AH8593">
        <v>2</v>
      </c>
      <c r="AI8593">
        <v>3</v>
      </c>
      <c r="AJ8593">
        <v>1</v>
      </c>
      <c r="AK8593">
        <v>112.62</v>
      </c>
      <c r="AN8593" t="s">
        <v>26530</v>
      </c>
      <c r="AO8593">
        <v>29000</v>
      </c>
      <c r="AU8593">
        <v>1.3</v>
      </c>
      <c r="AV8593" t="s">
        <v>826</v>
      </c>
      <c r="AW8593" t="s">
        <v>208</v>
      </c>
      <c r="AX8593" t="s">
        <v>46897</v>
      </c>
    </row>
    <row r="8594" spans="1:50">
      <c r="A8594" s="1">
        <f>HYPERLINK("https://lsnyc.legalserver.org/matter/dynamic-profile/view/1902345","19-1902345")</f>
        <v>0</v>
      </c>
      <c r="B8594" t="s">
        <v>56</v>
      </c>
      <c r="C8594" t="s">
        <v>340</v>
      </c>
      <c r="D8594" t="s">
        <v>826</v>
      </c>
      <c r="F8594" t="s">
        <v>1381</v>
      </c>
      <c r="G8594" t="s">
        <v>5269</v>
      </c>
      <c r="H8594" t="s">
        <v>10256</v>
      </c>
      <c r="I8594" t="s">
        <v>17505</v>
      </c>
      <c r="J8594" t="s">
        <v>18892</v>
      </c>
      <c r="K8594">
        <v>10458</v>
      </c>
      <c r="L8594" t="s">
        <v>18958</v>
      </c>
      <c r="M8594" t="s">
        <v>18960</v>
      </c>
      <c r="N8594" t="s">
        <v>25159</v>
      </c>
      <c r="O8594" t="s">
        <v>26523</v>
      </c>
      <c r="P8594" t="s">
        <v>26560</v>
      </c>
      <c r="R8594" t="s">
        <v>26577</v>
      </c>
      <c r="U8594" t="s">
        <v>26604</v>
      </c>
      <c r="W8594" t="s">
        <v>826</v>
      </c>
      <c r="X8594">
        <v>1341</v>
      </c>
      <c r="Y8594" t="s">
        <v>26650</v>
      </c>
      <c r="Z8594" t="s">
        <v>26659</v>
      </c>
      <c r="AB8594" t="s">
        <v>27362</v>
      </c>
      <c r="AC8594" t="s">
        <v>34715</v>
      </c>
      <c r="AD8594" t="s">
        <v>37428</v>
      </c>
      <c r="AE8594">
        <v>0</v>
      </c>
      <c r="AF8594" t="s">
        <v>45541</v>
      </c>
      <c r="AH8594">
        <v>10</v>
      </c>
      <c r="AI8594">
        <v>1</v>
      </c>
      <c r="AJ8594">
        <v>2</v>
      </c>
      <c r="AK8594">
        <v>82.64</v>
      </c>
      <c r="AN8594" t="s">
        <v>7439</v>
      </c>
      <c r="AO8594">
        <v>17628</v>
      </c>
      <c r="AU8594">
        <v>0</v>
      </c>
      <c r="AW8594" t="s">
        <v>46836</v>
      </c>
      <c r="AX8594" t="s">
        <v>46898</v>
      </c>
    </row>
    <row r="8595" spans="1:50">
      <c r="A8595" s="1">
        <f>HYPERLINK("https://lsnyc.legalserver.org/matter/dynamic-profile/view/1902355","19-1902355")</f>
        <v>0</v>
      </c>
      <c r="B8595" t="s">
        <v>218</v>
      </c>
      <c r="C8595" t="s">
        <v>340</v>
      </c>
      <c r="D8595" t="s">
        <v>826</v>
      </c>
      <c r="F8595" t="s">
        <v>2188</v>
      </c>
      <c r="G8595" t="s">
        <v>7804</v>
      </c>
      <c r="H8595" t="s">
        <v>13853</v>
      </c>
      <c r="I8595">
        <v>1</v>
      </c>
      <c r="J8595" t="s">
        <v>18893</v>
      </c>
      <c r="K8595">
        <v>10032</v>
      </c>
      <c r="L8595" t="s">
        <v>18958</v>
      </c>
      <c r="M8595" t="s">
        <v>18960</v>
      </c>
      <c r="O8595" t="s">
        <v>18997</v>
      </c>
      <c r="P8595" t="s">
        <v>26564</v>
      </c>
      <c r="R8595" t="s">
        <v>26578</v>
      </c>
      <c r="S8595" t="s">
        <v>18959</v>
      </c>
      <c r="U8595" t="s">
        <v>26604</v>
      </c>
      <c r="W8595" t="s">
        <v>826</v>
      </c>
      <c r="X8595">
        <v>2500</v>
      </c>
      <c r="Y8595" t="s">
        <v>26651</v>
      </c>
      <c r="Z8595" t="s">
        <v>26659</v>
      </c>
      <c r="AB8595" t="s">
        <v>31295</v>
      </c>
      <c r="AD8595" t="s">
        <v>41487</v>
      </c>
      <c r="AE8595">
        <v>4</v>
      </c>
      <c r="AF8595" t="s">
        <v>45541</v>
      </c>
      <c r="AG8595" t="s">
        <v>19330</v>
      </c>
      <c r="AH8595">
        <v>2</v>
      </c>
      <c r="AI8595">
        <v>1</v>
      </c>
      <c r="AJ8595">
        <v>0</v>
      </c>
      <c r="AK8595">
        <v>0</v>
      </c>
      <c r="AN8595" t="s">
        <v>7439</v>
      </c>
      <c r="AO8595">
        <v>0</v>
      </c>
      <c r="AU8595">
        <v>1.5</v>
      </c>
      <c r="AV8595" t="s">
        <v>826</v>
      </c>
      <c r="AW8595" t="s">
        <v>46840</v>
      </c>
      <c r="AX8595" t="s">
        <v>46897</v>
      </c>
    </row>
    <row r="8596" spans="1:50">
      <c r="A8596" s="1">
        <f>HYPERLINK("https://lsnyc.legalserver.org/matter/dynamic-profile/view/1902350","19-1902350")</f>
        <v>0</v>
      </c>
      <c r="B8596" t="s">
        <v>218</v>
      </c>
      <c r="C8596" t="s">
        <v>340</v>
      </c>
      <c r="D8596" t="s">
        <v>826</v>
      </c>
      <c r="F8596" t="s">
        <v>4318</v>
      </c>
      <c r="G8596" t="s">
        <v>5385</v>
      </c>
      <c r="H8596" t="s">
        <v>13123</v>
      </c>
      <c r="I8596" t="s">
        <v>17278</v>
      </c>
      <c r="J8596" t="s">
        <v>18893</v>
      </c>
      <c r="K8596">
        <v>10034</v>
      </c>
      <c r="L8596" t="s">
        <v>18958</v>
      </c>
      <c r="M8596" t="s">
        <v>18960</v>
      </c>
      <c r="P8596" t="s">
        <v>26564</v>
      </c>
      <c r="R8596" t="s">
        <v>26578</v>
      </c>
      <c r="S8596" t="s">
        <v>18959</v>
      </c>
      <c r="U8596" t="s">
        <v>26604</v>
      </c>
      <c r="W8596" t="s">
        <v>826</v>
      </c>
      <c r="X8596">
        <v>865.75</v>
      </c>
      <c r="Y8596" t="s">
        <v>26651</v>
      </c>
      <c r="Z8596" t="s">
        <v>26661</v>
      </c>
      <c r="AB8596" t="s">
        <v>29842</v>
      </c>
      <c r="AD8596" t="s">
        <v>43529</v>
      </c>
      <c r="AE8596">
        <v>48</v>
      </c>
      <c r="AF8596" t="s">
        <v>45541</v>
      </c>
      <c r="AG8596" t="s">
        <v>19330</v>
      </c>
      <c r="AH8596">
        <v>39</v>
      </c>
      <c r="AI8596">
        <v>2</v>
      </c>
      <c r="AJ8596">
        <v>0</v>
      </c>
      <c r="AK8596">
        <v>83.81</v>
      </c>
      <c r="AN8596" t="s">
        <v>45581</v>
      </c>
      <c r="AO8596">
        <v>14172</v>
      </c>
      <c r="AU8596">
        <v>1</v>
      </c>
      <c r="AV8596" t="s">
        <v>826</v>
      </c>
      <c r="AW8596" t="s">
        <v>46840</v>
      </c>
      <c r="AX8596" t="s">
        <v>46897</v>
      </c>
    </row>
    <row r="8597" spans="1:50">
      <c r="A8597" s="1">
        <f>HYPERLINK("https://lsnyc.legalserver.org/matter/dynamic-profile/view/1902309","19-1902309")</f>
        <v>0</v>
      </c>
      <c r="B8597" t="s">
        <v>142</v>
      </c>
      <c r="C8597" t="s">
        <v>340</v>
      </c>
      <c r="D8597" t="s">
        <v>826</v>
      </c>
      <c r="F8597" t="s">
        <v>954</v>
      </c>
      <c r="G8597" t="s">
        <v>5266</v>
      </c>
      <c r="H8597" t="s">
        <v>15506</v>
      </c>
      <c r="J8597" t="s">
        <v>18917</v>
      </c>
      <c r="K8597">
        <v>11356</v>
      </c>
      <c r="L8597" t="s">
        <v>18958</v>
      </c>
      <c r="M8597" t="s">
        <v>18960</v>
      </c>
      <c r="N8597" t="s">
        <v>25160</v>
      </c>
      <c r="O8597" t="s">
        <v>26524</v>
      </c>
      <c r="P8597" t="s">
        <v>26564</v>
      </c>
      <c r="R8597" t="s">
        <v>26584</v>
      </c>
      <c r="S8597" t="s">
        <v>18959</v>
      </c>
      <c r="U8597" t="s">
        <v>26604</v>
      </c>
      <c r="V8597" t="s">
        <v>26610</v>
      </c>
      <c r="W8597" t="s">
        <v>826</v>
      </c>
      <c r="X8597">
        <v>1500</v>
      </c>
      <c r="Y8597" t="s">
        <v>26653</v>
      </c>
      <c r="Z8597" t="s">
        <v>26664</v>
      </c>
      <c r="AB8597" t="s">
        <v>28632</v>
      </c>
      <c r="AD8597" t="s">
        <v>43530</v>
      </c>
      <c r="AE8597">
        <v>4</v>
      </c>
      <c r="AF8597" t="s">
        <v>20460</v>
      </c>
      <c r="AG8597" t="s">
        <v>19330</v>
      </c>
      <c r="AH8597">
        <v>1</v>
      </c>
      <c r="AI8597">
        <v>1</v>
      </c>
      <c r="AJ8597">
        <v>1</v>
      </c>
      <c r="AK8597">
        <v>0</v>
      </c>
      <c r="AN8597" t="s">
        <v>7439</v>
      </c>
      <c r="AO8597">
        <v>0</v>
      </c>
      <c r="AU8597">
        <v>1.3</v>
      </c>
      <c r="AV8597" t="s">
        <v>826</v>
      </c>
      <c r="AW8597" t="s">
        <v>208</v>
      </c>
      <c r="AX8597" t="s">
        <v>46897</v>
      </c>
    </row>
    <row r="8598" spans="1:50">
      <c r="A8598" s="1">
        <f>HYPERLINK("https://lsnyc.legalserver.org/matter/dynamic-profile/view/1902316","19-1902316")</f>
        <v>0</v>
      </c>
      <c r="B8598" t="s">
        <v>142</v>
      </c>
      <c r="C8598" t="s">
        <v>340</v>
      </c>
      <c r="D8598" t="s">
        <v>826</v>
      </c>
      <c r="F8598" t="s">
        <v>2809</v>
      </c>
      <c r="G8598" t="s">
        <v>8749</v>
      </c>
      <c r="H8598" t="s">
        <v>15507</v>
      </c>
      <c r="I8598" t="s">
        <v>17491</v>
      </c>
      <c r="J8598" t="s">
        <v>18920</v>
      </c>
      <c r="K8598">
        <v>11370</v>
      </c>
      <c r="L8598" t="s">
        <v>18958</v>
      </c>
      <c r="M8598" t="s">
        <v>18960</v>
      </c>
      <c r="N8598" t="s">
        <v>25161</v>
      </c>
      <c r="O8598" t="s">
        <v>26524</v>
      </c>
      <c r="P8598" t="s">
        <v>26564</v>
      </c>
      <c r="R8598" t="s">
        <v>26584</v>
      </c>
      <c r="S8598" t="s">
        <v>18959</v>
      </c>
      <c r="U8598" t="s">
        <v>26604</v>
      </c>
      <c r="V8598" t="s">
        <v>26610</v>
      </c>
      <c r="W8598" t="s">
        <v>826</v>
      </c>
      <c r="X8598">
        <v>1300</v>
      </c>
      <c r="Y8598" t="s">
        <v>26653</v>
      </c>
      <c r="Z8598" t="s">
        <v>26664</v>
      </c>
      <c r="AB8598" t="s">
        <v>32949</v>
      </c>
      <c r="AD8598" t="s">
        <v>43531</v>
      </c>
      <c r="AE8598">
        <v>3</v>
      </c>
      <c r="AF8598" t="s">
        <v>45547</v>
      </c>
      <c r="AG8598" t="s">
        <v>19330</v>
      </c>
      <c r="AH8598">
        <v>11</v>
      </c>
      <c r="AI8598">
        <v>2</v>
      </c>
      <c r="AJ8598">
        <v>0</v>
      </c>
      <c r="AK8598">
        <v>198.7</v>
      </c>
      <c r="AN8598" t="s">
        <v>8151</v>
      </c>
      <c r="AO8598">
        <v>33600</v>
      </c>
      <c r="AU8598">
        <v>1.3</v>
      </c>
      <c r="AV8598" t="s">
        <v>826</v>
      </c>
      <c r="AW8598" t="s">
        <v>208</v>
      </c>
      <c r="AX8598" t="s">
        <v>46897</v>
      </c>
    </row>
    <row r="8599" spans="1:50">
      <c r="A8599" s="1">
        <f>HYPERLINK("https://lsnyc.legalserver.org/matter/dynamic-profile/view/1902299","19-1902299")</f>
        <v>0</v>
      </c>
      <c r="B8599" t="s">
        <v>122</v>
      </c>
      <c r="C8599" t="s">
        <v>340</v>
      </c>
      <c r="D8599" t="s">
        <v>826</v>
      </c>
      <c r="F8599" t="s">
        <v>4319</v>
      </c>
      <c r="G8599" t="s">
        <v>8119</v>
      </c>
      <c r="H8599" t="s">
        <v>15508</v>
      </c>
      <c r="I8599" t="s">
        <v>17322</v>
      </c>
      <c r="J8599" t="s">
        <v>18906</v>
      </c>
      <c r="K8599">
        <v>11373</v>
      </c>
      <c r="L8599" t="s">
        <v>18958</v>
      </c>
      <c r="M8599" t="s">
        <v>18960</v>
      </c>
      <c r="N8599" t="s">
        <v>19045</v>
      </c>
      <c r="O8599" t="s">
        <v>18997</v>
      </c>
      <c r="P8599" t="s">
        <v>26565</v>
      </c>
      <c r="R8599" t="s">
        <v>26584</v>
      </c>
      <c r="U8599" t="s">
        <v>26604</v>
      </c>
      <c r="W8599" t="s">
        <v>826</v>
      </c>
      <c r="X8599">
        <v>1014</v>
      </c>
      <c r="Y8599" t="s">
        <v>26653</v>
      </c>
      <c r="Z8599" t="s">
        <v>26670</v>
      </c>
      <c r="AB8599" t="s">
        <v>32950</v>
      </c>
      <c r="AD8599" t="s">
        <v>43532</v>
      </c>
      <c r="AE8599">
        <v>65</v>
      </c>
      <c r="AG8599" t="s">
        <v>45559</v>
      </c>
      <c r="AH8599">
        <v>30</v>
      </c>
      <c r="AI8599">
        <v>2</v>
      </c>
      <c r="AJ8599">
        <v>0</v>
      </c>
      <c r="AK8599">
        <v>40.09</v>
      </c>
      <c r="AN8599" t="s">
        <v>45581</v>
      </c>
      <c r="AO8599">
        <v>6780</v>
      </c>
      <c r="AU8599">
        <v>3</v>
      </c>
      <c r="AV8599" t="s">
        <v>826</v>
      </c>
      <c r="AW8599" t="s">
        <v>122</v>
      </c>
      <c r="AX8599" t="s">
        <v>19330</v>
      </c>
    </row>
    <row r="8600" spans="1:50">
      <c r="A8600" s="1">
        <f>HYPERLINK("https://lsnyc.legalserver.org/matter/dynamic-profile/view/1902273","19-1902273")</f>
        <v>0</v>
      </c>
      <c r="B8600" t="s">
        <v>103</v>
      </c>
      <c r="C8600" t="s">
        <v>340</v>
      </c>
      <c r="D8600" t="s">
        <v>826</v>
      </c>
      <c r="F8600" t="s">
        <v>3361</v>
      </c>
      <c r="G8600" t="s">
        <v>6366</v>
      </c>
      <c r="H8600" t="s">
        <v>15509</v>
      </c>
      <c r="I8600" t="s">
        <v>17415</v>
      </c>
      <c r="J8600" t="s">
        <v>18902</v>
      </c>
      <c r="K8600">
        <v>10303</v>
      </c>
      <c r="L8600" t="s">
        <v>18958</v>
      </c>
      <c r="M8600" t="s">
        <v>18960</v>
      </c>
      <c r="N8600" t="s">
        <v>25162</v>
      </c>
      <c r="O8600" t="s">
        <v>26524</v>
      </c>
      <c r="P8600" t="s">
        <v>26560</v>
      </c>
      <c r="R8600" t="s">
        <v>26578</v>
      </c>
      <c r="S8600" t="s">
        <v>18959</v>
      </c>
      <c r="U8600" t="s">
        <v>26604</v>
      </c>
      <c r="V8600" t="s">
        <v>26610</v>
      </c>
      <c r="W8600" t="s">
        <v>826</v>
      </c>
      <c r="X8600">
        <v>1800</v>
      </c>
      <c r="Y8600" t="s">
        <v>26654</v>
      </c>
      <c r="Z8600" t="s">
        <v>26668</v>
      </c>
      <c r="AB8600" t="s">
        <v>31849</v>
      </c>
      <c r="AD8600" t="s">
        <v>43533</v>
      </c>
      <c r="AE8600">
        <v>1</v>
      </c>
      <c r="AF8600" t="s">
        <v>45547</v>
      </c>
      <c r="AG8600" t="s">
        <v>19330</v>
      </c>
      <c r="AH8600">
        <v>1</v>
      </c>
      <c r="AI8600">
        <v>1</v>
      </c>
      <c r="AJ8600">
        <v>4</v>
      </c>
      <c r="AK8600">
        <v>0</v>
      </c>
      <c r="AN8600" t="s">
        <v>7439</v>
      </c>
      <c r="AO8600">
        <v>0</v>
      </c>
      <c r="AU8600">
        <v>3</v>
      </c>
      <c r="AV8600" t="s">
        <v>838</v>
      </c>
      <c r="AW8600" t="s">
        <v>46883</v>
      </c>
      <c r="AX8600" t="s">
        <v>46897</v>
      </c>
    </row>
    <row r="8601" spans="1:50">
      <c r="A8601" s="1">
        <f>HYPERLINK("https://lsnyc.legalserver.org/matter/dynamic-profile/view/1902291","19-1902291")</f>
        <v>0</v>
      </c>
      <c r="B8601" t="s">
        <v>103</v>
      </c>
      <c r="C8601" t="s">
        <v>340</v>
      </c>
      <c r="D8601" t="s">
        <v>826</v>
      </c>
      <c r="F8601" t="s">
        <v>4320</v>
      </c>
      <c r="G8601" t="s">
        <v>8750</v>
      </c>
      <c r="H8601" t="s">
        <v>15510</v>
      </c>
      <c r="I8601" t="s">
        <v>18577</v>
      </c>
      <c r="J8601" t="s">
        <v>18902</v>
      </c>
      <c r="K8601">
        <v>10303</v>
      </c>
      <c r="L8601" t="s">
        <v>18958</v>
      </c>
      <c r="M8601" t="s">
        <v>18960</v>
      </c>
      <c r="N8601" t="s">
        <v>25163</v>
      </c>
      <c r="O8601" t="s">
        <v>26523</v>
      </c>
      <c r="P8601" t="s">
        <v>26560</v>
      </c>
      <c r="R8601" t="s">
        <v>26590</v>
      </c>
      <c r="S8601" t="s">
        <v>18959</v>
      </c>
      <c r="U8601" t="s">
        <v>26604</v>
      </c>
      <c r="V8601" t="s">
        <v>26610</v>
      </c>
      <c r="W8601" t="s">
        <v>826</v>
      </c>
      <c r="X8601">
        <v>1029.66</v>
      </c>
      <c r="Y8601" t="s">
        <v>26654</v>
      </c>
      <c r="Z8601" t="s">
        <v>26668</v>
      </c>
      <c r="AB8601" t="s">
        <v>32951</v>
      </c>
      <c r="AD8601" t="s">
        <v>43534</v>
      </c>
      <c r="AE8601">
        <v>2</v>
      </c>
      <c r="AF8601" t="s">
        <v>45541</v>
      </c>
      <c r="AG8601" t="s">
        <v>45558</v>
      </c>
      <c r="AH8601">
        <v>5</v>
      </c>
      <c r="AI8601">
        <v>4</v>
      </c>
      <c r="AJ8601">
        <v>3</v>
      </c>
      <c r="AK8601">
        <v>128.57</v>
      </c>
      <c r="AN8601" t="s">
        <v>45603</v>
      </c>
      <c r="AO8601">
        <v>50154</v>
      </c>
      <c r="AU8601">
        <v>2</v>
      </c>
      <c r="AV8601" t="s">
        <v>838</v>
      </c>
      <c r="AW8601" t="s">
        <v>46883</v>
      </c>
      <c r="AX8601" t="s">
        <v>46897</v>
      </c>
    </row>
    <row r="8602" spans="1:50">
      <c r="A8602" s="1">
        <f>HYPERLINK("https://lsnyc.legalserver.org/matter/dynamic-profile/view/1902305","19-1902305")</f>
        <v>0</v>
      </c>
      <c r="B8602" t="s">
        <v>104</v>
      </c>
      <c r="C8602" t="s">
        <v>340</v>
      </c>
      <c r="D8602" t="s">
        <v>826</v>
      </c>
      <c r="F8602" t="s">
        <v>1471</v>
      </c>
      <c r="G8602" t="s">
        <v>8751</v>
      </c>
      <c r="H8602" t="s">
        <v>10352</v>
      </c>
      <c r="I8602" t="s">
        <v>17628</v>
      </c>
      <c r="J8602" t="s">
        <v>18902</v>
      </c>
      <c r="K8602">
        <v>10302</v>
      </c>
      <c r="L8602" t="s">
        <v>18958</v>
      </c>
      <c r="M8602" t="s">
        <v>18960</v>
      </c>
      <c r="N8602" t="s">
        <v>25164</v>
      </c>
      <c r="O8602" t="s">
        <v>26523</v>
      </c>
      <c r="R8602" t="s">
        <v>26590</v>
      </c>
      <c r="S8602" t="s">
        <v>18959</v>
      </c>
      <c r="U8602" t="s">
        <v>26604</v>
      </c>
      <c r="V8602" t="s">
        <v>26610</v>
      </c>
      <c r="W8602" t="s">
        <v>826</v>
      </c>
      <c r="X8602">
        <v>816</v>
      </c>
      <c r="Y8602" t="s">
        <v>26654</v>
      </c>
      <c r="Z8602" t="s">
        <v>26668</v>
      </c>
      <c r="AB8602" t="s">
        <v>32952</v>
      </c>
      <c r="AD8602" t="s">
        <v>43535</v>
      </c>
      <c r="AE8602">
        <v>0</v>
      </c>
      <c r="AF8602" t="s">
        <v>45541</v>
      </c>
      <c r="AG8602" t="s">
        <v>19330</v>
      </c>
      <c r="AH8602">
        <v>9</v>
      </c>
      <c r="AI8602">
        <v>1</v>
      </c>
      <c r="AJ8602">
        <v>2</v>
      </c>
      <c r="AK8602">
        <v>18.89</v>
      </c>
      <c r="AN8602" t="s">
        <v>7439</v>
      </c>
      <c r="AO8602">
        <v>4030</v>
      </c>
      <c r="AU8602">
        <v>0.8</v>
      </c>
      <c r="AV8602" t="s">
        <v>833</v>
      </c>
      <c r="AW8602" t="s">
        <v>46883</v>
      </c>
      <c r="AX8602" t="s">
        <v>46897</v>
      </c>
    </row>
    <row r="8603" spans="1:50">
      <c r="A8603" s="1">
        <f>HYPERLINK("https://lsnyc.legalserver.org/matter/dynamic-profile/view/1902776","19-1902776")</f>
        <v>0</v>
      </c>
      <c r="B8603" t="s">
        <v>125</v>
      </c>
      <c r="C8603" t="s">
        <v>340</v>
      </c>
      <c r="D8603" t="s">
        <v>773</v>
      </c>
      <c r="F8603" t="s">
        <v>2916</v>
      </c>
      <c r="G8603" t="s">
        <v>5700</v>
      </c>
      <c r="H8603" t="s">
        <v>15511</v>
      </c>
      <c r="I8603" t="s">
        <v>17939</v>
      </c>
      <c r="J8603" t="s">
        <v>18894</v>
      </c>
      <c r="K8603">
        <v>11239</v>
      </c>
      <c r="L8603" t="s">
        <v>18958</v>
      </c>
      <c r="M8603" t="s">
        <v>18960</v>
      </c>
      <c r="N8603" t="s">
        <v>25165</v>
      </c>
      <c r="O8603" t="s">
        <v>26524</v>
      </c>
      <c r="R8603" t="s">
        <v>26578</v>
      </c>
      <c r="S8603" t="s">
        <v>18959</v>
      </c>
      <c r="U8603" t="s">
        <v>26604</v>
      </c>
      <c r="V8603" t="s">
        <v>26610</v>
      </c>
      <c r="W8603" t="s">
        <v>826</v>
      </c>
      <c r="X8603">
        <v>254</v>
      </c>
      <c r="Y8603" t="s">
        <v>26652</v>
      </c>
      <c r="Z8603" t="s">
        <v>26664</v>
      </c>
      <c r="AB8603" t="s">
        <v>32953</v>
      </c>
      <c r="AC8603" t="s">
        <v>20460</v>
      </c>
      <c r="AE8603">
        <v>1463</v>
      </c>
      <c r="AF8603" t="s">
        <v>45543</v>
      </c>
      <c r="AG8603" t="s">
        <v>45563</v>
      </c>
      <c r="AH8603">
        <v>0</v>
      </c>
      <c r="AI8603">
        <v>3</v>
      </c>
      <c r="AJ8603">
        <v>0</v>
      </c>
      <c r="AK8603">
        <v>43.38</v>
      </c>
      <c r="AN8603" t="s">
        <v>7439</v>
      </c>
      <c r="AO8603">
        <v>9252</v>
      </c>
      <c r="AU8603">
        <v>0.25</v>
      </c>
      <c r="AV8603" t="s">
        <v>838</v>
      </c>
      <c r="AW8603" t="s">
        <v>279</v>
      </c>
      <c r="AX8603" t="s">
        <v>46897</v>
      </c>
    </row>
    <row r="8604" spans="1:50">
      <c r="A8604" s="1">
        <f>HYPERLINK("https://lsnyc.legalserver.org/matter/dynamic-profile/view/1900086","19-1900086")</f>
        <v>0</v>
      </c>
      <c r="B8604" t="s">
        <v>140</v>
      </c>
      <c r="C8604" t="s">
        <v>340</v>
      </c>
      <c r="D8604" t="s">
        <v>820</v>
      </c>
      <c r="F8604" t="s">
        <v>2306</v>
      </c>
      <c r="G8604" t="s">
        <v>6893</v>
      </c>
      <c r="H8604" t="s">
        <v>15512</v>
      </c>
      <c r="I8604" t="s">
        <v>18578</v>
      </c>
      <c r="J8604" t="s">
        <v>18894</v>
      </c>
      <c r="K8604">
        <v>11225</v>
      </c>
      <c r="L8604" t="s">
        <v>18958</v>
      </c>
      <c r="M8604" t="s">
        <v>18960</v>
      </c>
      <c r="N8604" t="s">
        <v>25166</v>
      </c>
      <c r="O8604" t="s">
        <v>26523</v>
      </c>
      <c r="P8604" t="s">
        <v>26560</v>
      </c>
      <c r="R8604" t="s">
        <v>26588</v>
      </c>
      <c r="S8604" t="s">
        <v>18959</v>
      </c>
      <c r="U8604" t="s">
        <v>26604</v>
      </c>
      <c r="V8604" t="s">
        <v>26610</v>
      </c>
      <c r="W8604" t="s">
        <v>830</v>
      </c>
      <c r="X8604">
        <v>837.46</v>
      </c>
      <c r="Y8604" t="s">
        <v>26652</v>
      </c>
      <c r="Z8604" t="s">
        <v>26669</v>
      </c>
      <c r="AA8604" t="s">
        <v>26679</v>
      </c>
      <c r="AB8604" t="s">
        <v>31703</v>
      </c>
      <c r="AD8604" t="s">
        <v>43536</v>
      </c>
      <c r="AE8604">
        <v>72</v>
      </c>
      <c r="AF8604" t="s">
        <v>45541</v>
      </c>
      <c r="AH8604">
        <v>30</v>
      </c>
      <c r="AI8604">
        <v>2</v>
      </c>
      <c r="AJ8604">
        <v>0</v>
      </c>
      <c r="AK8604">
        <v>92.54000000000001</v>
      </c>
      <c r="AN8604" t="s">
        <v>7439</v>
      </c>
      <c r="AO8604">
        <v>15648</v>
      </c>
      <c r="AU8604">
        <v>7.3</v>
      </c>
      <c r="AV8604" t="s">
        <v>830</v>
      </c>
      <c r="AW8604" t="s">
        <v>281</v>
      </c>
      <c r="AX8604" t="s">
        <v>46897</v>
      </c>
    </row>
    <row r="8605" spans="1:50">
      <c r="A8605" s="1">
        <f>HYPERLINK("https://lsnyc.legalserver.org/matter/dynamic-profile/view/1900331","19-1900331")</f>
        <v>0</v>
      </c>
      <c r="B8605" t="s">
        <v>227</v>
      </c>
      <c r="C8605" t="s">
        <v>341</v>
      </c>
      <c r="D8605" t="s">
        <v>822</v>
      </c>
      <c r="E8605" t="s">
        <v>830</v>
      </c>
      <c r="F8605" t="s">
        <v>968</v>
      </c>
      <c r="G8605" t="s">
        <v>8752</v>
      </c>
      <c r="H8605" t="s">
        <v>15513</v>
      </c>
      <c r="I8605" t="s">
        <v>18579</v>
      </c>
      <c r="J8605" t="s">
        <v>18894</v>
      </c>
      <c r="K8605">
        <v>11231</v>
      </c>
      <c r="L8605" t="s">
        <v>18958</v>
      </c>
      <c r="M8605" t="s">
        <v>18960</v>
      </c>
      <c r="N8605" t="s">
        <v>25167</v>
      </c>
      <c r="O8605" t="s">
        <v>26524</v>
      </c>
      <c r="P8605" t="s">
        <v>26563</v>
      </c>
      <c r="Q8605" t="s">
        <v>26570</v>
      </c>
      <c r="R8605" t="s">
        <v>26586</v>
      </c>
      <c r="U8605" t="s">
        <v>26604</v>
      </c>
      <c r="W8605" t="s">
        <v>830</v>
      </c>
      <c r="X8605">
        <v>0</v>
      </c>
      <c r="Y8605" t="s">
        <v>26652</v>
      </c>
      <c r="Z8605" t="s">
        <v>26664</v>
      </c>
      <c r="AA8605" t="s">
        <v>26683</v>
      </c>
      <c r="AB8605" t="s">
        <v>32954</v>
      </c>
      <c r="AD8605" t="s">
        <v>43537</v>
      </c>
      <c r="AE8605">
        <v>3</v>
      </c>
      <c r="AG8605" t="s">
        <v>19330</v>
      </c>
      <c r="AH8605">
        <v>50</v>
      </c>
      <c r="AI8605">
        <v>1</v>
      </c>
      <c r="AJ8605">
        <v>0</v>
      </c>
      <c r="AK8605">
        <v>0</v>
      </c>
      <c r="AN8605" t="s">
        <v>7439</v>
      </c>
      <c r="AO8605">
        <v>0</v>
      </c>
      <c r="AU8605">
        <v>3</v>
      </c>
      <c r="AV8605" t="s">
        <v>825</v>
      </c>
      <c r="AW8605" t="s">
        <v>46862</v>
      </c>
      <c r="AX8605" t="s">
        <v>46897</v>
      </c>
    </row>
    <row r="8606" spans="1:50">
      <c r="A8606" s="1">
        <f>HYPERLINK("https://lsnyc.legalserver.org/matter/dynamic-profile/view/1900562","19-1900562")</f>
        <v>0</v>
      </c>
      <c r="B8606" t="s">
        <v>106</v>
      </c>
      <c r="C8606" t="s">
        <v>341</v>
      </c>
      <c r="D8606" t="s">
        <v>806</v>
      </c>
      <c r="E8606" t="s">
        <v>830</v>
      </c>
      <c r="F8606" t="s">
        <v>4321</v>
      </c>
      <c r="G8606" t="s">
        <v>8753</v>
      </c>
      <c r="H8606" t="s">
        <v>15514</v>
      </c>
      <c r="I8606">
        <v>1</v>
      </c>
      <c r="J8606" t="s">
        <v>18894</v>
      </c>
      <c r="K8606">
        <v>11221</v>
      </c>
      <c r="L8606" t="s">
        <v>18958</v>
      </c>
      <c r="M8606" t="s">
        <v>18960</v>
      </c>
      <c r="N8606" t="s">
        <v>25168</v>
      </c>
      <c r="O8606" t="s">
        <v>26523</v>
      </c>
      <c r="P8606" t="s">
        <v>26560</v>
      </c>
      <c r="Q8606" t="s">
        <v>26568</v>
      </c>
      <c r="R8606" t="s">
        <v>26588</v>
      </c>
      <c r="U8606" t="s">
        <v>26604</v>
      </c>
      <c r="W8606" t="s">
        <v>830</v>
      </c>
      <c r="X8606">
        <v>1150</v>
      </c>
      <c r="Y8606" t="s">
        <v>26652</v>
      </c>
      <c r="AA8606" t="s">
        <v>26678</v>
      </c>
      <c r="AB8606" t="s">
        <v>32955</v>
      </c>
      <c r="AD8606" t="s">
        <v>43538</v>
      </c>
      <c r="AE8606">
        <v>0</v>
      </c>
      <c r="AH8606">
        <v>1</v>
      </c>
      <c r="AI8606">
        <v>1</v>
      </c>
      <c r="AJ8606">
        <v>0</v>
      </c>
      <c r="AK8606">
        <v>14.41</v>
      </c>
      <c r="AN8606" t="s">
        <v>7439</v>
      </c>
      <c r="AO8606">
        <v>1800</v>
      </c>
      <c r="AS8606" t="s">
        <v>46499</v>
      </c>
      <c r="AU8606">
        <v>11</v>
      </c>
      <c r="AV8606" t="s">
        <v>830</v>
      </c>
      <c r="AW8606" t="s">
        <v>46857</v>
      </c>
    </row>
    <row r="8607" spans="1:50">
      <c r="A8607" s="1">
        <f>HYPERLINK("https://lsnyc.legalserver.org/matter/dynamic-profile/view/1901682","19-1901682")</f>
        <v>0</v>
      </c>
      <c r="B8607" t="s">
        <v>235</v>
      </c>
      <c r="C8607" t="s">
        <v>340</v>
      </c>
      <c r="D8607" t="s">
        <v>828</v>
      </c>
      <c r="F8607" t="s">
        <v>3273</v>
      </c>
      <c r="G8607" t="s">
        <v>5105</v>
      </c>
      <c r="H8607" t="s">
        <v>15515</v>
      </c>
      <c r="I8607" t="s">
        <v>17416</v>
      </c>
      <c r="J8607" t="s">
        <v>18901</v>
      </c>
      <c r="K8607">
        <v>11433</v>
      </c>
      <c r="L8607" t="s">
        <v>18958</v>
      </c>
      <c r="M8607" t="s">
        <v>18960</v>
      </c>
      <c r="N8607" t="s">
        <v>25169</v>
      </c>
      <c r="O8607" t="s">
        <v>26524</v>
      </c>
      <c r="P8607" t="s">
        <v>26563</v>
      </c>
      <c r="R8607" t="s">
        <v>26584</v>
      </c>
      <c r="S8607" t="s">
        <v>18959</v>
      </c>
      <c r="U8607" t="s">
        <v>26604</v>
      </c>
      <c r="W8607" t="s">
        <v>830</v>
      </c>
      <c r="X8607">
        <v>1350</v>
      </c>
      <c r="Y8607" t="s">
        <v>26653</v>
      </c>
      <c r="Z8607" t="s">
        <v>26664</v>
      </c>
      <c r="AB8607" t="s">
        <v>32956</v>
      </c>
      <c r="AC8607" t="s">
        <v>36550</v>
      </c>
      <c r="AD8607" t="s">
        <v>43539</v>
      </c>
      <c r="AE8607">
        <v>2</v>
      </c>
      <c r="AF8607" t="s">
        <v>45547</v>
      </c>
      <c r="AG8607" t="s">
        <v>19330</v>
      </c>
      <c r="AH8607">
        <v>7</v>
      </c>
      <c r="AI8607">
        <v>2</v>
      </c>
      <c r="AJ8607">
        <v>0</v>
      </c>
      <c r="AK8607">
        <v>73.8</v>
      </c>
      <c r="AN8607" t="s">
        <v>7439</v>
      </c>
      <c r="AO8607">
        <v>12480</v>
      </c>
      <c r="AU8607">
        <v>1.33</v>
      </c>
      <c r="AV8607" t="s">
        <v>814</v>
      </c>
      <c r="AW8607" t="s">
        <v>46846</v>
      </c>
      <c r="AX8607" t="s">
        <v>46897</v>
      </c>
    </row>
    <row r="8608" spans="1:50">
      <c r="A8608" s="1">
        <f>HYPERLINK("https://lsnyc.legalserver.org/matter/dynamic-profile/view/1901914","19-1901914")</f>
        <v>0</v>
      </c>
      <c r="B8608" t="s">
        <v>235</v>
      </c>
      <c r="C8608" t="s">
        <v>340</v>
      </c>
      <c r="D8608" t="s">
        <v>829</v>
      </c>
      <c r="F8608" t="s">
        <v>1042</v>
      </c>
      <c r="G8608" t="s">
        <v>8754</v>
      </c>
      <c r="H8608" t="s">
        <v>15516</v>
      </c>
      <c r="I8608" t="s">
        <v>17430</v>
      </c>
      <c r="J8608" t="s">
        <v>18901</v>
      </c>
      <c r="K8608">
        <v>11434</v>
      </c>
      <c r="L8608" t="s">
        <v>18960</v>
      </c>
      <c r="M8608" t="s">
        <v>18960</v>
      </c>
      <c r="N8608" t="s">
        <v>25170</v>
      </c>
      <c r="O8608" t="s">
        <v>26524</v>
      </c>
      <c r="P8608" t="s">
        <v>26560</v>
      </c>
      <c r="R8608" t="s">
        <v>26585</v>
      </c>
      <c r="S8608" t="s">
        <v>18958</v>
      </c>
      <c r="U8608" t="s">
        <v>26604</v>
      </c>
      <c r="W8608" t="s">
        <v>830</v>
      </c>
      <c r="X8608">
        <v>0</v>
      </c>
      <c r="Y8608" t="s">
        <v>26653</v>
      </c>
      <c r="AB8608" t="s">
        <v>32957</v>
      </c>
      <c r="AE8608">
        <v>0</v>
      </c>
      <c r="AH8608">
        <v>0</v>
      </c>
      <c r="AI8608">
        <v>1</v>
      </c>
      <c r="AJ8608">
        <v>0</v>
      </c>
      <c r="AK8608">
        <v>81.67</v>
      </c>
      <c r="AN8608" t="s">
        <v>7439</v>
      </c>
      <c r="AO8608">
        <v>10200</v>
      </c>
      <c r="AU8608">
        <v>6.38</v>
      </c>
      <c r="AV8608" t="s">
        <v>838</v>
      </c>
      <c r="AW8608" t="s">
        <v>46846</v>
      </c>
    </row>
    <row r="8609" spans="1:50">
      <c r="A8609" s="1">
        <f>HYPERLINK("https://lsnyc.legalserver.org/matter/dynamic-profile/view/1902469","19-1902469")</f>
        <v>0</v>
      </c>
      <c r="B8609" t="s">
        <v>94</v>
      </c>
      <c r="C8609" t="s">
        <v>341</v>
      </c>
      <c r="D8609" t="s">
        <v>830</v>
      </c>
      <c r="E8609" t="s">
        <v>834</v>
      </c>
      <c r="F8609" t="s">
        <v>4322</v>
      </c>
      <c r="G8609" t="s">
        <v>8755</v>
      </c>
      <c r="H8609" t="s">
        <v>15517</v>
      </c>
      <c r="I8609">
        <v>152</v>
      </c>
      <c r="J8609" t="s">
        <v>18893</v>
      </c>
      <c r="K8609">
        <v>10044</v>
      </c>
      <c r="L8609" t="s">
        <v>18958</v>
      </c>
      <c r="M8609" t="s">
        <v>18960</v>
      </c>
      <c r="N8609" t="s">
        <v>25171</v>
      </c>
      <c r="O8609" t="s">
        <v>26523</v>
      </c>
      <c r="P8609" t="s">
        <v>26564</v>
      </c>
      <c r="Q8609" t="s">
        <v>26570</v>
      </c>
      <c r="R8609" t="s">
        <v>26578</v>
      </c>
      <c r="S8609" t="s">
        <v>18959</v>
      </c>
      <c r="U8609" t="s">
        <v>26604</v>
      </c>
      <c r="V8609" t="s">
        <v>26609</v>
      </c>
      <c r="W8609" t="s">
        <v>830</v>
      </c>
      <c r="X8609">
        <v>1127</v>
      </c>
      <c r="Y8609" t="s">
        <v>26651</v>
      </c>
      <c r="Z8609" t="s">
        <v>26664</v>
      </c>
      <c r="AA8609" t="s">
        <v>26683</v>
      </c>
      <c r="AB8609" t="s">
        <v>30184</v>
      </c>
      <c r="AD8609" t="s">
        <v>43540</v>
      </c>
      <c r="AE8609">
        <v>0</v>
      </c>
      <c r="AF8609" t="s">
        <v>20460</v>
      </c>
      <c r="AG8609" t="s">
        <v>45556</v>
      </c>
      <c r="AH8609">
        <v>10</v>
      </c>
      <c r="AI8609">
        <v>1</v>
      </c>
      <c r="AJ8609">
        <v>2</v>
      </c>
      <c r="AK8609">
        <v>153.25</v>
      </c>
      <c r="AN8609" t="s">
        <v>7439</v>
      </c>
      <c r="AO8609">
        <v>32688</v>
      </c>
      <c r="AU8609">
        <v>1</v>
      </c>
      <c r="AV8609" t="s">
        <v>830</v>
      </c>
      <c r="AW8609" t="s">
        <v>314</v>
      </c>
      <c r="AX8609" t="s">
        <v>46897</v>
      </c>
    </row>
    <row r="8610" spans="1:50">
      <c r="A8610" s="1">
        <f>HYPERLINK("https://lsnyc.legalserver.org/matter/dynamic-profile/view/1902478","19-1902478")</f>
        <v>0</v>
      </c>
      <c r="B8610" t="s">
        <v>94</v>
      </c>
      <c r="C8610" t="s">
        <v>341</v>
      </c>
      <c r="D8610" t="s">
        <v>830</v>
      </c>
      <c r="E8610" t="s">
        <v>834</v>
      </c>
      <c r="F8610" t="s">
        <v>4323</v>
      </c>
      <c r="G8610" t="s">
        <v>5447</v>
      </c>
      <c r="H8610" t="s">
        <v>9702</v>
      </c>
      <c r="I8610" t="s">
        <v>17584</v>
      </c>
      <c r="J8610" t="s">
        <v>18893</v>
      </c>
      <c r="K8610">
        <v>10009</v>
      </c>
      <c r="L8610" t="s">
        <v>18958</v>
      </c>
      <c r="M8610" t="s">
        <v>18960</v>
      </c>
      <c r="N8610" t="s">
        <v>25172</v>
      </c>
      <c r="O8610" t="s">
        <v>26523</v>
      </c>
      <c r="P8610" t="s">
        <v>26564</v>
      </c>
      <c r="Q8610" t="s">
        <v>26570</v>
      </c>
      <c r="R8610" t="s">
        <v>26582</v>
      </c>
      <c r="S8610" t="s">
        <v>18959</v>
      </c>
      <c r="U8610" t="s">
        <v>26605</v>
      </c>
      <c r="V8610" t="s">
        <v>26609</v>
      </c>
      <c r="W8610" t="s">
        <v>830</v>
      </c>
      <c r="X8610">
        <v>400</v>
      </c>
      <c r="Y8610" t="s">
        <v>26651</v>
      </c>
      <c r="Z8610" t="s">
        <v>26664</v>
      </c>
      <c r="AA8610" t="s">
        <v>26683</v>
      </c>
      <c r="AB8610" t="s">
        <v>30121</v>
      </c>
      <c r="AC8610" t="s">
        <v>36551</v>
      </c>
      <c r="AD8610" t="s">
        <v>43541</v>
      </c>
      <c r="AE8610">
        <v>461</v>
      </c>
      <c r="AF8610" t="s">
        <v>45549</v>
      </c>
      <c r="AG8610" t="s">
        <v>26530</v>
      </c>
      <c r="AH8610">
        <v>30</v>
      </c>
      <c r="AI8610">
        <v>1</v>
      </c>
      <c r="AJ8610">
        <v>1</v>
      </c>
      <c r="AK8610">
        <v>70.12</v>
      </c>
      <c r="AN8610" t="s">
        <v>7439</v>
      </c>
      <c r="AO8610">
        <v>11858</v>
      </c>
      <c r="AU8610">
        <v>1</v>
      </c>
      <c r="AV8610" t="s">
        <v>830</v>
      </c>
      <c r="AW8610" t="s">
        <v>314</v>
      </c>
      <c r="AX8610" t="s">
        <v>46898</v>
      </c>
    </row>
    <row r="8611" spans="1:50">
      <c r="A8611" s="1">
        <f>HYPERLINK("https://lsnyc.legalserver.org/matter/dynamic-profile/view/1902418","19-1902418")</f>
        <v>0</v>
      </c>
      <c r="B8611" t="s">
        <v>234</v>
      </c>
      <c r="C8611" t="s">
        <v>341</v>
      </c>
      <c r="D8611" t="s">
        <v>830</v>
      </c>
      <c r="E8611" t="s">
        <v>836</v>
      </c>
      <c r="F8611" t="s">
        <v>1072</v>
      </c>
      <c r="G8611" t="s">
        <v>7576</v>
      </c>
      <c r="H8611" t="s">
        <v>10124</v>
      </c>
      <c r="I8611" t="s">
        <v>17410</v>
      </c>
      <c r="J8611" t="s">
        <v>18893</v>
      </c>
      <c r="K8611">
        <v>10030</v>
      </c>
      <c r="L8611" t="s">
        <v>18958</v>
      </c>
      <c r="M8611" t="s">
        <v>18960</v>
      </c>
      <c r="N8611" t="s">
        <v>25173</v>
      </c>
      <c r="O8611" t="s">
        <v>26523</v>
      </c>
      <c r="P8611" t="s">
        <v>26564</v>
      </c>
      <c r="Q8611" t="s">
        <v>26570</v>
      </c>
      <c r="R8611" t="s">
        <v>26578</v>
      </c>
      <c r="S8611" t="s">
        <v>18959</v>
      </c>
      <c r="U8611" t="s">
        <v>26604</v>
      </c>
      <c r="W8611" t="s">
        <v>830</v>
      </c>
      <c r="X8611">
        <v>1415</v>
      </c>
      <c r="Y8611" t="s">
        <v>26651</v>
      </c>
      <c r="Z8611" t="s">
        <v>26664</v>
      </c>
      <c r="AA8611" t="s">
        <v>26683</v>
      </c>
      <c r="AB8611" t="s">
        <v>32958</v>
      </c>
      <c r="AC8611" t="s">
        <v>36552</v>
      </c>
      <c r="AD8611" t="s">
        <v>43542</v>
      </c>
      <c r="AE8611">
        <v>0</v>
      </c>
      <c r="AF8611" t="s">
        <v>45543</v>
      </c>
      <c r="AG8611" t="s">
        <v>45556</v>
      </c>
      <c r="AH8611">
        <v>25</v>
      </c>
      <c r="AI8611">
        <v>2</v>
      </c>
      <c r="AJ8611">
        <v>0</v>
      </c>
      <c r="AK8611">
        <v>61.74</v>
      </c>
      <c r="AN8611" t="s">
        <v>7439</v>
      </c>
      <c r="AO8611">
        <v>10440</v>
      </c>
      <c r="AU8611">
        <v>0.75</v>
      </c>
      <c r="AV8611" t="s">
        <v>830</v>
      </c>
      <c r="AW8611" t="s">
        <v>46875</v>
      </c>
      <c r="AX8611" t="s">
        <v>46898</v>
      </c>
    </row>
    <row r="8612" spans="1:50">
      <c r="A8612" s="1">
        <f>HYPERLINK("https://lsnyc.legalserver.org/matter/dynamic-profile/view/1902477","19-1902477")</f>
        <v>0</v>
      </c>
      <c r="B8612" t="s">
        <v>234</v>
      </c>
      <c r="C8612" t="s">
        <v>341</v>
      </c>
      <c r="D8612" t="s">
        <v>830</v>
      </c>
      <c r="E8612" t="s">
        <v>836</v>
      </c>
      <c r="F8612" t="s">
        <v>4324</v>
      </c>
      <c r="G8612" t="s">
        <v>8756</v>
      </c>
      <c r="H8612" t="s">
        <v>15518</v>
      </c>
      <c r="I8612" t="s">
        <v>17277</v>
      </c>
      <c r="J8612" t="s">
        <v>18893</v>
      </c>
      <c r="K8612">
        <v>10028</v>
      </c>
      <c r="L8612" t="s">
        <v>18958</v>
      </c>
      <c r="M8612" t="s">
        <v>18960</v>
      </c>
      <c r="N8612" t="s">
        <v>25174</v>
      </c>
      <c r="O8612" t="s">
        <v>26524</v>
      </c>
      <c r="P8612" t="s">
        <v>26564</v>
      </c>
      <c r="Q8612" t="s">
        <v>26570</v>
      </c>
      <c r="R8612" t="s">
        <v>26578</v>
      </c>
      <c r="S8612" t="s">
        <v>18959</v>
      </c>
      <c r="U8612" t="s">
        <v>26604</v>
      </c>
      <c r="W8612" t="s">
        <v>830</v>
      </c>
      <c r="X8612">
        <v>0</v>
      </c>
      <c r="Y8612" t="s">
        <v>26651</v>
      </c>
      <c r="Z8612" t="s">
        <v>26664</v>
      </c>
      <c r="AA8612" t="s">
        <v>26683</v>
      </c>
      <c r="AB8612" t="s">
        <v>31283</v>
      </c>
      <c r="AD8612" t="s">
        <v>43543</v>
      </c>
      <c r="AE8612">
        <v>0</v>
      </c>
      <c r="AF8612" t="s">
        <v>20460</v>
      </c>
      <c r="AG8612" t="s">
        <v>19330</v>
      </c>
      <c r="AH8612">
        <v>3</v>
      </c>
      <c r="AI8612">
        <v>2</v>
      </c>
      <c r="AJ8612">
        <v>2</v>
      </c>
      <c r="AK8612">
        <v>190.29</v>
      </c>
      <c r="AN8612" t="s">
        <v>45596</v>
      </c>
      <c r="AO8612">
        <v>49000</v>
      </c>
      <c r="AU8612">
        <v>1</v>
      </c>
      <c r="AV8612" t="s">
        <v>830</v>
      </c>
      <c r="AW8612" t="s">
        <v>46875</v>
      </c>
      <c r="AX8612" t="s">
        <v>46897</v>
      </c>
    </row>
    <row r="8613" spans="1:50">
      <c r="A8613" s="1">
        <f>HYPERLINK("https://lsnyc.legalserver.org/matter/dynamic-profile/view/1902452","19-1902452")</f>
        <v>0</v>
      </c>
      <c r="B8613" t="s">
        <v>234</v>
      </c>
      <c r="C8613" t="s">
        <v>341</v>
      </c>
      <c r="D8613" t="s">
        <v>830</v>
      </c>
      <c r="E8613" t="s">
        <v>836</v>
      </c>
      <c r="F8613" t="s">
        <v>2065</v>
      </c>
      <c r="G8613" t="s">
        <v>5569</v>
      </c>
      <c r="H8613" t="s">
        <v>15519</v>
      </c>
      <c r="I8613">
        <v>57</v>
      </c>
      <c r="J8613" t="s">
        <v>18893</v>
      </c>
      <c r="K8613">
        <v>10030</v>
      </c>
      <c r="L8613" t="s">
        <v>18958</v>
      </c>
      <c r="M8613" t="s">
        <v>18960</v>
      </c>
      <c r="N8613" t="s">
        <v>25175</v>
      </c>
      <c r="O8613" t="s">
        <v>26523</v>
      </c>
      <c r="P8613" t="s">
        <v>26564</v>
      </c>
      <c r="Q8613" t="s">
        <v>26570</v>
      </c>
      <c r="R8613" t="s">
        <v>26582</v>
      </c>
      <c r="S8613" t="s">
        <v>18959</v>
      </c>
      <c r="U8613" t="s">
        <v>26604</v>
      </c>
      <c r="W8613" t="s">
        <v>830</v>
      </c>
      <c r="X8613">
        <v>300</v>
      </c>
      <c r="Y8613" t="s">
        <v>26651</v>
      </c>
      <c r="Z8613" t="s">
        <v>26664</v>
      </c>
      <c r="AA8613" t="s">
        <v>26683</v>
      </c>
      <c r="AB8613" t="s">
        <v>31558</v>
      </c>
      <c r="AC8613" t="s">
        <v>36553</v>
      </c>
      <c r="AD8613" t="s">
        <v>43544</v>
      </c>
      <c r="AE8613">
        <v>0</v>
      </c>
      <c r="AF8613" t="s">
        <v>45541</v>
      </c>
      <c r="AG8613" t="s">
        <v>19330</v>
      </c>
      <c r="AH8613">
        <v>19</v>
      </c>
      <c r="AI8613">
        <v>1</v>
      </c>
      <c r="AJ8613">
        <v>0</v>
      </c>
      <c r="AK8613">
        <v>132.11</v>
      </c>
      <c r="AN8613" t="s">
        <v>7439</v>
      </c>
      <c r="AO8613">
        <v>16500</v>
      </c>
      <c r="AU8613">
        <v>1</v>
      </c>
      <c r="AV8613" t="s">
        <v>830</v>
      </c>
      <c r="AW8613" t="s">
        <v>46875</v>
      </c>
      <c r="AX8613" t="s">
        <v>46898</v>
      </c>
    </row>
    <row r="8614" spans="1:50">
      <c r="A8614" s="1">
        <f>HYPERLINK("https://lsnyc.legalserver.org/matter/dynamic-profile/view/1902437","19-1902437")</f>
        <v>0</v>
      </c>
      <c r="B8614" t="s">
        <v>234</v>
      </c>
      <c r="C8614" t="s">
        <v>341</v>
      </c>
      <c r="D8614" t="s">
        <v>830</v>
      </c>
      <c r="E8614" t="s">
        <v>836</v>
      </c>
      <c r="F8614" t="s">
        <v>871</v>
      </c>
      <c r="G8614" t="s">
        <v>6684</v>
      </c>
      <c r="H8614" t="s">
        <v>15520</v>
      </c>
      <c r="I8614" t="s">
        <v>17618</v>
      </c>
      <c r="J8614" t="s">
        <v>18893</v>
      </c>
      <c r="K8614">
        <v>10029</v>
      </c>
      <c r="L8614" t="s">
        <v>18958</v>
      </c>
      <c r="M8614" t="s">
        <v>18960</v>
      </c>
      <c r="N8614" t="s">
        <v>25176</v>
      </c>
      <c r="O8614" t="s">
        <v>26526</v>
      </c>
      <c r="P8614" t="s">
        <v>26564</v>
      </c>
      <c r="Q8614" t="s">
        <v>26570</v>
      </c>
      <c r="R8614" t="s">
        <v>26582</v>
      </c>
      <c r="S8614" t="s">
        <v>18959</v>
      </c>
      <c r="U8614" t="s">
        <v>26605</v>
      </c>
      <c r="W8614" t="s">
        <v>830</v>
      </c>
      <c r="X8614">
        <v>527.6</v>
      </c>
      <c r="Y8614" t="s">
        <v>26651</v>
      </c>
      <c r="Z8614" t="s">
        <v>26661</v>
      </c>
      <c r="AA8614" t="s">
        <v>26683</v>
      </c>
      <c r="AB8614" t="s">
        <v>30974</v>
      </c>
      <c r="AD8614" t="s">
        <v>43545</v>
      </c>
      <c r="AE8614">
        <v>0</v>
      </c>
      <c r="AF8614" t="s">
        <v>45542</v>
      </c>
      <c r="AG8614" t="s">
        <v>19330</v>
      </c>
      <c r="AH8614">
        <v>22</v>
      </c>
      <c r="AI8614">
        <v>1</v>
      </c>
      <c r="AJ8614">
        <v>0</v>
      </c>
      <c r="AK8614">
        <v>141.55</v>
      </c>
      <c r="AN8614" t="s">
        <v>45581</v>
      </c>
      <c r="AO8614">
        <v>17680</v>
      </c>
      <c r="AU8614">
        <v>1</v>
      </c>
      <c r="AV8614" t="s">
        <v>830</v>
      </c>
      <c r="AW8614" t="s">
        <v>314</v>
      </c>
      <c r="AX8614" t="s">
        <v>46897</v>
      </c>
    </row>
    <row r="8615" spans="1:50">
      <c r="A8615" s="1">
        <f>HYPERLINK("https://lsnyc.legalserver.org/matter/dynamic-profile/view/1902423","19-1902423")</f>
        <v>0</v>
      </c>
      <c r="B8615" t="s">
        <v>79</v>
      </c>
      <c r="C8615" t="s">
        <v>341</v>
      </c>
      <c r="D8615" t="s">
        <v>830</v>
      </c>
      <c r="E8615" t="s">
        <v>839</v>
      </c>
      <c r="F8615" t="s">
        <v>972</v>
      </c>
      <c r="G8615" t="s">
        <v>8757</v>
      </c>
      <c r="H8615" t="s">
        <v>15521</v>
      </c>
      <c r="I8615" t="s">
        <v>17388</v>
      </c>
      <c r="J8615" t="s">
        <v>18893</v>
      </c>
      <c r="K8615">
        <v>10034</v>
      </c>
      <c r="L8615" t="s">
        <v>18958</v>
      </c>
      <c r="M8615" t="s">
        <v>18960</v>
      </c>
      <c r="O8615" t="s">
        <v>26529</v>
      </c>
      <c r="P8615" t="s">
        <v>26564</v>
      </c>
      <c r="Q8615" t="s">
        <v>26570</v>
      </c>
      <c r="R8615" t="s">
        <v>26578</v>
      </c>
      <c r="S8615" t="s">
        <v>18959</v>
      </c>
      <c r="U8615" t="s">
        <v>26604</v>
      </c>
      <c r="W8615" t="s">
        <v>830</v>
      </c>
      <c r="X8615">
        <v>660</v>
      </c>
      <c r="Y8615" t="s">
        <v>26651</v>
      </c>
      <c r="Z8615" t="s">
        <v>26661</v>
      </c>
      <c r="AA8615" t="s">
        <v>26683</v>
      </c>
      <c r="AB8615" t="s">
        <v>32959</v>
      </c>
      <c r="AD8615" t="s">
        <v>43546</v>
      </c>
      <c r="AE8615">
        <v>47</v>
      </c>
      <c r="AF8615" t="s">
        <v>45541</v>
      </c>
      <c r="AG8615" t="s">
        <v>19330</v>
      </c>
      <c r="AH8615">
        <v>49</v>
      </c>
      <c r="AI8615">
        <v>2</v>
      </c>
      <c r="AJ8615">
        <v>0</v>
      </c>
      <c r="AK8615">
        <v>163.22</v>
      </c>
      <c r="AN8615" t="s">
        <v>7439</v>
      </c>
      <c r="AO8615">
        <v>27600</v>
      </c>
      <c r="AU8615">
        <v>0.6</v>
      </c>
      <c r="AV8615" t="s">
        <v>821</v>
      </c>
      <c r="AW8615" t="s">
        <v>46840</v>
      </c>
      <c r="AX8615" t="s">
        <v>46897</v>
      </c>
    </row>
    <row r="8616" spans="1:50">
      <c r="A8616" s="1">
        <f>HYPERLINK("https://lsnyc.legalserver.org/matter/dynamic-profile/view/1902431","19-1902431")</f>
        <v>0</v>
      </c>
      <c r="B8616" t="s">
        <v>108</v>
      </c>
      <c r="C8616" t="s">
        <v>340</v>
      </c>
      <c r="D8616" t="s">
        <v>830</v>
      </c>
      <c r="F8616" t="s">
        <v>2071</v>
      </c>
      <c r="G8616" t="s">
        <v>5141</v>
      </c>
      <c r="H8616" t="s">
        <v>12501</v>
      </c>
      <c r="I8616" t="s">
        <v>18306</v>
      </c>
      <c r="J8616" t="s">
        <v>18901</v>
      </c>
      <c r="K8616">
        <v>11434</v>
      </c>
      <c r="L8616" t="s">
        <v>18958</v>
      </c>
      <c r="M8616" t="s">
        <v>18960</v>
      </c>
      <c r="N8616" t="s">
        <v>25177</v>
      </c>
      <c r="O8616" t="s">
        <v>26523</v>
      </c>
      <c r="P8616" t="s">
        <v>26560</v>
      </c>
      <c r="R8616" t="s">
        <v>26585</v>
      </c>
      <c r="S8616" t="s">
        <v>18959</v>
      </c>
      <c r="U8616" t="s">
        <v>26605</v>
      </c>
      <c r="W8616" t="s">
        <v>830</v>
      </c>
      <c r="X8616">
        <v>450</v>
      </c>
      <c r="Y8616" t="s">
        <v>26653</v>
      </c>
      <c r="Z8616" t="s">
        <v>26668</v>
      </c>
      <c r="AB8616" t="s">
        <v>32960</v>
      </c>
      <c r="AC8616" t="s">
        <v>36554</v>
      </c>
      <c r="AD8616" t="s">
        <v>43547</v>
      </c>
      <c r="AE8616">
        <v>3</v>
      </c>
      <c r="AF8616" t="s">
        <v>45549</v>
      </c>
      <c r="AG8616" t="s">
        <v>19330</v>
      </c>
      <c r="AH8616">
        <v>1</v>
      </c>
      <c r="AI8616">
        <v>1</v>
      </c>
      <c r="AJ8616">
        <v>5</v>
      </c>
      <c r="AK8616">
        <v>26.83</v>
      </c>
      <c r="AN8616" t="s">
        <v>7439</v>
      </c>
      <c r="AO8616">
        <v>9282</v>
      </c>
      <c r="AU8616">
        <v>0</v>
      </c>
      <c r="AW8616" t="s">
        <v>208</v>
      </c>
      <c r="AX8616" t="s">
        <v>46898</v>
      </c>
    </row>
    <row r="8617" spans="1:50">
      <c r="A8617" s="1">
        <f>HYPERLINK("https://lsnyc.legalserver.org/matter/dynamic-profile/view/1902484","19-1902484")</f>
        <v>0</v>
      </c>
      <c r="B8617" t="s">
        <v>94</v>
      </c>
      <c r="C8617" t="s">
        <v>340</v>
      </c>
      <c r="D8617" t="s">
        <v>830</v>
      </c>
      <c r="F8617" t="s">
        <v>1197</v>
      </c>
      <c r="G8617" t="s">
        <v>8758</v>
      </c>
      <c r="H8617" t="s">
        <v>11504</v>
      </c>
      <c r="I8617" t="s">
        <v>17611</v>
      </c>
      <c r="J8617" t="s">
        <v>18893</v>
      </c>
      <c r="K8617">
        <v>10036</v>
      </c>
      <c r="L8617" t="s">
        <v>18958</v>
      </c>
      <c r="M8617" t="s">
        <v>18960</v>
      </c>
      <c r="N8617" t="s">
        <v>25178</v>
      </c>
      <c r="O8617" t="s">
        <v>26524</v>
      </c>
      <c r="P8617" t="s">
        <v>26560</v>
      </c>
      <c r="R8617" t="s">
        <v>26578</v>
      </c>
      <c r="S8617" t="s">
        <v>18959</v>
      </c>
      <c r="U8617" t="s">
        <v>26604</v>
      </c>
      <c r="W8617" t="s">
        <v>830</v>
      </c>
      <c r="X8617">
        <v>949.62</v>
      </c>
      <c r="Y8617" t="s">
        <v>26651</v>
      </c>
      <c r="Z8617" t="s">
        <v>26664</v>
      </c>
      <c r="AB8617" t="s">
        <v>28284</v>
      </c>
      <c r="AC8617" t="s">
        <v>36555</v>
      </c>
      <c r="AD8617" t="s">
        <v>43548</v>
      </c>
      <c r="AE8617">
        <v>0</v>
      </c>
      <c r="AF8617" t="s">
        <v>45541</v>
      </c>
      <c r="AG8617" t="s">
        <v>45561</v>
      </c>
      <c r="AH8617">
        <v>2</v>
      </c>
      <c r="AI8617">
        <v>2</v>
      </c>
      <c r="AJ8617">
        <v>0</v>
      </c>
      <c r="AK8617">
        <v>60.25</v>
      </c>
      <c r="AN8617" t="s">
        <v>7439</v>
      </c>
      <c r="AO8617">
        <v>10188</v>
      </c>
      <c r="AU8617">
        <v>1.5</v>
      </c>
      <c r="AV8617" t="s">
        <v>835</v>
      </c>
      <c r="AW8617" t="s">
        <v>46875</v>
      </c>
      <c r="AX8617" t="s">
        <v>46898</v>
      </c>
    </row>
    <row r="8618" spans="1:50">
      <c r="A8618" s="1">
        <f>HYPERLINK("https://lsnyc.legalserver.org/matter/dynamic-profile/view/1902448","19-1902448")</f>
        <v>0</v>
      </c>
      <c r="B8618" t="s">
        <v>94</v>
      </c>
      <c r="C8618" t="s">
        <v>340</v>
      </c>
      <c r="D8618" t="s">
        <v>830</v>
      </c>
      <c r="F8618" t="s">
        <v>1022</v>
      </c>
      <c r="G8618" t="s">
        <v>4085</v>
      </c>
      <c r="H8618" t="s">
        <v>15522</v>
      </c>
      <c r="I8618" t="s">
        <v>17274</v>
      </c>
      <c r="J8618" t="s">
        <v>18893</v>
      </c>
      <c r="K8618">
        <v>10029</v>
      </c>
      <c r="L8618" t="s">
        <v>18958</v>
      </c>
      <c r="M8618" t="s">
        <v>18960</v>
      </c>
      <c r="N8618" t="s">
        <v>25179</v>
      </c>
      <c r="O8618" t="s">
        <v>26523</v>
      </c>
      <c r="P8618" t="s">
        <v>26563</v>
      </c>
      <c r="R8618" t="s">
        <v>26582</v>
      </c>
      <c r="S8618" t="s">
        <v>18959</v>
      </c>
      <c r="U8618" t="s">
        <v>26605</v>
      </c>
      <c r="W8618" t="s">
        <v>830</v>
      </c>
      <c r="X8618">
        <v>650</v>
      </c>
      <c r="Y8618" t="s">
        <v>26651</v>
      </c>
      <c r="Z8618" t="s">
        <v>26664</v>
      </c>
      <c r="AB8618" t="s">
        <v>32961</v>
      </c>
      <c r="AC8618" t="s">
        <v>36556</v>
      </c>
      <c r="AD8618" t="s">
        <v>43549</v>
      </c>
      <c r="AE8618">
        <v>0</v>
      </c>
      <c r="AF8618" t="s">
        <v>45549</v>
      </c>
      <c r="AG8618" t="s">
        <v>19330</v>
      </c>
      <c r="AH8618">
        <v>26</v>
      </c>
      <c r="AI8618">
        <v>4</v>
      </c>
      <c r="AJ8618">
        <v>0</v>
      </c>
      <c r="AK8618">
        <v>136.43</v>
      </c>
      <c r="AN8618" t="s">
        <v>7439</v>
      </c>
      <c r="AO8618">
        <v>35132</v>
      </c>
      <c r="AU8618">
        <v>1</v>
      </c>
      <c r="AV8618" t="s">
        <v>839</v>
      </c>
      <c r="AW8618" t="s">
        <v>46875</v>
      </c>
      <c r="AX8618" t="s">
        <v>46898</v>
      </c>
    </row>
    <row r="8619" spans="1:50">
      <c r="A8619" s="1">
        <f>HYPERLINK("https://lsnyc.legalserver.org/matter/dynamic-profile/view/1902453","19-1902453")</f>
        <v>0</v>
      </c>
      <c r="B8619" t="s">
        <v>94</v>
      </c>
      <c r="C8619" t="s">
        <v>340</v>
      </c>
      <c r="D8619" t="s">
        <v>830</v>
      </c>
      <c r="F8619" t="s">
        <v>939</v>
      </c>
      <c r="G8619" t="s">
        <v>5008</v>
      </c>
      <c r="H8619" t="s">
        <v>15523</v>
      </c>
      <c r="I8619" t="s">
        <v>17277</v>
      </c>
      <c r="J8619" t="s">
        <v>18893</v>
      </c>
      <c r="K8619">
        <v>10030</v>
      </c>
      <c r="L8619" t="s">
        <v>18958</v>
      </c>
      <c r="M8619" t="s">
        <v>18960</v>
      </c>
      <c r="N8619" t="s">
        <v>25180</v>
      </c>
      <c r="O8619" t="s">
        <v>26523</v>
      </c>
      <c r="P8619" t="s">
        <v>26563</v>
      </c>
      <c r="R8619" t="s">
        <v>26582</v>
      </c>
      <c r="S8619" t="s">
        <v>18959</v>
      </c>
      <c r="U8619" t="s">
        <v>26605</v>
      </c>
      <c r="W8619" t="s">
        <v>830</v>
      </c>
      <c r="X8619">
        <v>1296</v>
      </c>
      <c r="Y8619" t="s">
        <v>26651</v>
      </c>
      <c r="Z8619" t="s">
        <v>26664</v>
      </c>
      <c r="AB8619" t="s">
        <v>32962</v>
      </c>
      <c r="AD8619" t="s">
        <v>43550</v>
      </c>
      <c r="AE8619">
        <v>0</v>
      </c>
      <c r="AF8619" t="s">
        <v>45549</v>
      </c>
      <c r="AG8619" t="s">
        <v>19330</v>
      </c>
      <c r="AH8619">
        <v>30</v>
      </c>
      <c r="AI8619">
        <v>5</v>
      </c>
      <c r="AJ8619">
        <v>0</v>
      </c>
      <c r="AK8619">
        <v>171.71</v>
      </c>
      <c r="AN8619" t="s">
        <v>7439</v>
      </c>
      <c r="AO8619">
        <v>51804.94</v>
      </c>
      <c r="AU8619">
        <v>0.25</v>
      </c>
      <c r="AV8619" t="s">
        <v>839</v>
      </c>
      <c r="AW8619" t="s">
        <v>314</v>
      </c>
      <c r="AX8619" t="s">
        <v>46897</v>
      </c>
    </row>
    <row r="8620" spans="1:50">
      <c r="A8620" s="1">
        <f>HYPERLINK("https://lsnyc.legalserver.org/matter/dynamic-profile/view/1902416","19-1902416")</f>
        <v>0</v>
      </c>
      <c r="B8620" t="s">
        <v>94</v>
      </c>
      <c r="C8620" t="s">
        <v>340</v>
      </c>
      <c r="D8620" t="s">
        <v>830</v>
      </c>
      <c r="F8620" t="s">
        <v>1429</v>
      </c>
      <c r="G8620" t="s">
        <v>5189</v>
      </c>
      <c r="H8620" t="s">
        <v>15524</v>
      </c>
      <c r="I8620" t="s">
        <v>17480</v>
      </c>
      <c r="J8620" t="s">
        <v>18893</v>
      </c>
      <c r="K8620">
        <v>10029</v>
      </c>
      <c r="L8620" t="s">
        <v>18958</v>
      </c>
      <c r="M8620" t="s">
        <v>18960</v>
      </c>
      <c r="N8620" t="s">
        <v>25181</v>
      </c>
      <c r="O8620" t="s">
        <v>26524</v>
      </c>
      <c r="P8620" t="s">
        <v>26563</v>
      </c>
      <c r="R8620" t="s">
        <v>26582</v>
      </c>
      <c r="S8620" t="s">
        <v>18959</v>
      </c>
      <c r="U8620" t="s">
        <v>26605</v>
      </c>
      <c r="W8620" t="s">
        <v>830</v>
      </c>
      <c r="X8620">
        <v>266</v>
      </c>
      <c r="Y8620" t="s">
        <v>26651</v>
      </c>
      <c r="Z8620" t="s">
        <v>26664</v>
      </c>
      <c r="AB8620" t="s">
        <v>32963</v>
      </c>
      <c r="AD8620" t="s">
        <v>43551</v>
      </c>
      <c r="AE8620">
        <v>0</v>
      </c>
      <c r="AF8620" t="s">
        <v>45549</v>
      </c>
      <c r="AG8620" t="s">
        <v>19330</v>
      </c>
      <c r="AH8620">
        <v>40</v>
      </c>
      <c r="AI8620">
        <v>1</v>
      </c>
      <c r="AJ8620">
        <v>0</v>
      </c>
      <c r="AK8620">
        <v>253.93</v>
      </c>
      <c r="AN8620" t="s">
        <v>7439</v>
      </c>
      <c r="AO8620">
        <v>31716</v>
      </c>
      <c r="AU8620">
        <v>1</v>
      </c>
      <c r="AV8620" t="s">
        <v>830</v>
      </c>
      <c r="AW8620" t="s">
        <v>46875</v>
      </c>
      <c r="AX8620" t="s">
        <v>46897</v>
      </c>
    </row>
    <row r="8621" spans="1:50">
      <c r="A8621" s="1">
        <f>HYPERLINK("https://lsnyc.legalserver.org/matter/dynamic-profile/view/1902442","19-1902442")</f>
        <v>0</v>
      </c>
      <c r="B8621" t="s">
        <v>282</v>
      </c>
      <c r="C8621" t="s">
        <v>340</v>
      </c>
      <c r="D8621" t="s">
        <v>830</v>
      </c>
      <c r="F8621" t="s">
        <v>4325</v>
      </c>
      <c r="G8621" t="s">
        <v>8759</v>
      </c>
      <c r="H8621" t="s">
        <v>15525</v>
      </c>
      <c r="I8621" t="s">
        <v>17491</v>
      </c>
      <c r="J8621" t="s">
        <v>18901</v>
      </c>
      <c r="K8621">
        <v>11433</v>
      </c>
      <c r="L8621" t="s">
        <v>18958</v>
      </c>
      <c r="M8621" t="s">
        <v>18960</v>
      </c>
      <c r="N8621" t="s">
        <v>25182</v>
      </c>
      <c r="O8621" t="s">
        <v>26524</v>
      </c>
      <c r="P8621" t="s">
        <v>26560</v>
      </c>
      <c r="R8621" t="s">
        <v>26585</v>
      </c>
      <c r="S8621" t="s">
        <v>18959</v>
      </c>
      <c r="U8621" t="s">
        <v>26604</v>
      </c>
      <c r="W8621" t="s">
        <v>830</v>
      </c>
      <c r="X8621">
        <v>0</v>
      </c>
      <c r="Y8621" t="s">
        <v>26653</v>
      </c>
      <c r="Z8621" t="s">
        <v>26668</v>
      </c>
      <c r="AB8621" t="s">
        <v>32308</v>
      </c>
      <c r="AD8621" t="s">
        <v>43552</v>
      </c>
      <c r="AE8621">
        <v>2</v>
      </c>
      <c r="AF8621" t="s">
        <v>20460</v>
      </c>
      <c r="AG8621" t="s">
        <v>45556</v>
      </c>
      <c r="AH8621">
        <v>14</v>
      </c>
      <c r="AI8621">
        <v>1</v>
      </c>
      <c r="AJ8621">
        <v>1</v>
      </c>
      <c r="AK8621">
        <v>85.16</v>
      </c>
      <c r="AN8621" t="s">
        <v>7439</v>
      </c>
      <c r="AO8621">
        <v>14400</v>
      </c>
      <c r="AU8621">
        <v>0.6</v>
      </c>
      <c r="AV8621" t="s">
        <v>834</v>
      </c>
      <c r="AW8621" t="s">
        <v>208</v>
      </c>
      <c r="AX8621" t="s">
        <v>46897</v>
      </c>
    </row>
    <row r="8622" spans="1:50">
      <c r="A8622" s="1">
        <f>HYPERLINK("https://lsnyc.legalserver.org/matter/dynamic-profile/view/1902507","19-1902507")</f>
        <v>0</v>
      </c>
      <c r="B8622" t="s">
        <v>191</v>
      </c>
      <c r="C8622" t="s">
        <v>340</v>
      </c>
      <c r="D8622" t="s">
        <v>830</v>
      </c>
      <c r="F8622" t="s">
        <v>970</v>
      </c>
      <c r="G8622" t="s">
        <v>8760</v>
      </c>
      <c r="H8622" t="s">
        <v>15526</v>
      </c>
      <c r="J8622" t="s">
        <v>18893</v>
      </c>
      <c r="K8622">
        <v>10027</v>
      </c>
      <c r="L8622" t="s">
        <v>18958</v>
      </c>
      <c r="M8622" t="s">
        <v>18960</v>
      </c>
      <c r="N8622" t="s">
        <v>25183</v>
      </c>
      <c r="O8622" t="s">
        <v>26523</v>
      </c>
      <c r="P8622" t="s">
        <v>26563</v>
      </c>
      <c r="R8622" t="s">
        <v>26580</v>
      </c>
      <c r="S8622" t="s">
        <v>18959</v>
      </c>
      <c r="U8622" t="s">
        <v>26604</v>
      </c>
      <c r="W8622" t="s">
        <v>830</v>
      </c>
      <c r="X8622">
        <v>790</v>
      </c>
      <c r="Y8622" t="s">
        <v>26651</v>
      </c>
      <c r="Z8622" t="s">
        <v>26668</v>
      </c>
      <c r="AB8622" t="s">
        <v>32964</v>
      </c>
      <c r="AC8622" t="s">
        <v>36557</v>
      </c>
      <c r="AD8622" t="s">
        <v>43553</v>
      </c>
      <c r="AE8622">
        <v>0</v>
      </c>
      <c r="AF8622" t="s">
        <v>45544</v>
      </c>
      <c r="AG8622" t="s">
        <v>45556</v>
      </c>
      <c r="AH8622">
        <v>15</v>
      </c>
      <c r="AI8622">
        <v>1</v>
      </c>
      <c r="AJ8622">
        <v>0</v>
      </c>
      <c r="AK8622">
        <v>82.43000000000001</v>
      </c>
      <c r="AN8622" t="s">
        <v>7439</v>
      </c>
      <c r="AO8622">
        <v>10296</v>
      </c>
      <c r="AU8622">
        <v>4.7</v>
      </c>
      <c r="AV8622" t="s">
        <v>833</v>
      </c>
      <c r="AW8622" t="s">
        <v>46875</v>
      </c>
      <c r="AX8622" t="s">
        <v>46898</v>
      </c>
    </row>
    <row r="8623" spans="1:50">
      <c r="A8623" s="1">
        <f>HYPERLINK("https://lsnyc.legalserver.org/matter/dynamic-profile/view/1902439","19-1902439")</f>
        <v>0</v>
      </c>
      <c r="B8623" t="s">
        <v>234</v>
      </c>
      <c r="C8623" t="s">
        <v>340</v>
      </c>
      <c r="D8623" t="s">
        <v>830</v>
      </c>
      <c r="F8623" t="s">
        <v>4326</v>
      </c>
      <c r="G8623" t="s">
        <v>8761</v>
      </c>
      <c r="H8623" t="s">
        <v>15527</v>
      </c>
      <c r="I8623">
        <v>1</v>
      </c>
      <c r="J8623" t="s">
        <v>18893</v>
      </c>
      <c r="K8623">
        <v>10032</v>
      </c>
      <c r="L8623" t="s">
        <v>18958</v>
      </c>
      <c r="M8623" t="s">
        <v>18960</v>
      </c>
      <c r="N8623" t="s">
        <v>25184</v>
      </c>
      <c r="O8623" t="s">
        <v>26523</v>
      </c>
      <c r="P8623" t="s">
        <v>26563</v>
      </c>
      <c r="R8623" t="s">
        <v>26578</v>
      </c>
      <c r="S8623" t="s">
        <v>18959</v>
      </c>
      <c r="U8623" t="s">
        <v>26604</v>
      </c>
      <c r="W8623" t="s">
        <v>830</v>
      </c>
      <c r="X8623">
        <v>1308</v>
      </c>
      <c r="Y8623" t="s">
        <v>26651</v>
      </c>
      <c r="Z8623" t="s">
        <v>26664</v>
      </c>
      <c r="AB8623" t="s">
        <v>31330</v>
      </c>
      <c r="AD8623" t="s">
        <v>43554</v>
      </c>
      <c r="AE8623">
        <v>0</v>
      </c>
      <c r="AF8623" t="s">
        <v>45541</v>
      </c>
      <c r="AG8623" t="s">
        <v>45556</v>
      </c>
      <c r="AH8623">
        <v>48</v>
      </c>
      <c r="AI8623">
        <v>1</v>
      </c>
      <c r="AJ8623">
        <v>0</v>
      </c>
      <c r="AK8623">
        <v>86.47</v>
      </c>
      <c r="AN8623" t="s">
        <v>7439</v>
      </c>
      <c r="AO8623">
        <v>10800</v>
      </c>
      <c r="AU8623">
        <v>2.9</v>
      </c>
      <c r="AV8623" t="s">
        <v>821</v>
      </c>
      <c r="AW8623" t="s">
        <v>46875</v>
      </c>
      <c r="AX8623" t="s">
        <v>46897</v>
      </c>
    </row>
    <row r="8624" spans="1:50">
      <c r="A8624" s="1">
        <f>HYPERLINK("https://lsnyc.legalserver.org/matter/dynamic-profile/view/1902483","19-1902483")</f>
        <v>0</v>
      </c>
      <c r="B8624" t="s">
        <v>234</v>
      </c>
      <c r="C8624" t="s">
        <v>340</v>
      </c>
      <c r="D8624" t="s">
        <v>830</v>
      </c>
      <c r="F8624" t="s">
        <v>1265</v>
      </c>
      <c r="G8624" t="s">
        <v>8762</v>
      </c>
      <c r="H8624" t="s">
        <v>15528</v>
      </c>
      <c r="I8624">
        <v>6</v>
      </c>
      <c r="J8624" t="s">
        <v>18893</v>
      </c>
      <c r="K8624">
        <v>10012</v>
      </c>
      <c r="L8624" t="s">
        <v>18958</v>
      </c>
      <c r="M8624" t="s">
        <v>18960</v>
      </c>
      <c r="N8624" t="s">
        <v>25185</v>
      </c>
      <c r="O8624" t="s">
        <v>26523</v>
      </c>
      <c r="P8624" t="s">
        <v>26563</v>
      </c>
      <c r="R8624" t="s">
        <v>26578</v>
      </c>
      <c r="S8624" t="s">
        <v>18959</v>
      </c>
      <c r="U8624" t="s">
        <v>26604</v>
      </c>
      <c r="W8624" t="s">
        <v>830</v>
      </c>
      <c r="X8624">
        <v>207.16</v>
      </c>
      <c r="Y8624" t="s">
        <v>26651</v>
      </c>
      <c r="AB8624" t="s">
        <v>32965</v>
      </c>
      <c r="AD8624" t="s">
        <v>43555</v>
      </c>
      <c r="AE8624">
        <v>0</v>
      </c>
      <c r="AF8624" t="s">
        <v>45541</v>
      </c>
      <c r="AG8624" t="s">
        <v>45559</v>
      </c>
      <c r="AH8624">
        <v>37</v>
      </c>
      <c r="AI8624">
        <v>1</v>
      </c>
      <c r="AJ8624">
        <v>0</v>
      </c>
      <c r="AK8624">
        <v>106.65</v>
      </c>
      <c r="AO8624">
        <v>13320</v>
      </c>
      <c r="AU8624">
        <v>1.8</v>
      </c>
      <c r="AV8624" t="s">
        <v>839</v>
      </c>
      <c r="AW8624" t="s">
        <v>314</v>
      </c>
    </row>
    <row r="8625" spans="1:50">
      <c r="A8625" s="1">
        <f>HYPERLINK("https://lsnyc.legalserver.org/matter/dynamic-profile/view/1902440","19-1902440")</f>
        <v>0</v>
      </c>
      <c r="B8625" t="s">
        <v>79</v>
      </c>
      <c r="C8625" t="s">
        <v>340</v>
      </c>
      <c r="D8625" t="s">
        <v>830</v>
      </c>
      <c r="F8625" t="s">
        <v>1323</v>
      </c>
      <c r="G8625" t="s">
        <v>1725</v>
      </c>
      <c r="H8625" t="s">
        <v>15529</v>
      </c>
      <c r="I8625" t="s">
        <v>17348</v>
      </c>
      <c r="J8625" t="s">
        <v>18893</v>
      </c>
      <c r="K8625">
        <v>10033</v>
      </c>
      <c r="L8625" t="s">
        <v>18958</v>
      </c>
      <c r="M8625" t="s">
        <v>18960</v>
      </c>
      <c r="O8625" t="s">
        <v>26529</v>
      </c>
      <c r="P8625" t="s">
        <v>26563</v>
      </c>
      <c r="R8625" t="s">
        <v>26578</v>
      </c>
      <c r="S8625" t="s">
        <v>18959</v>
      </c>
      <c r="U8625" t="s">
        <v>26604</v>
      </c>
      <c r="W8625" t="s">
        <v>830</v>
      </c>
      <c r="X8625">
        <v>1595</v>
      </c>
      <c r="Y8625" t="s">
        <v>26651</v>
      </c>
      <c r="Z8625" t="s">
        <v>26661</v>
      </c>
      <c r="AB8625" t="s">
        <v>31977</v>
      </c>
      <c r="AD8625" t="s">
        <v>43556</v>
      </c>
      <c r="AE8625">
        <v>43</v>
      </c>
      <c r="AF8625" t="s">
        <v>45541</v>
      </c>
      <c r="AG8625" t="s">
        <v>19330</v>
      </c>
      <c r="AH8625">
        <v>1</v>
      </c>
      <c r="AI8625">
        <v>1</v>
      </c>
      <c r="AJ8625">
        <v>0</v>
      </c>
      <c r="AK8625">
        <v>160.13</v>
      </c>
      <c r="AN8625" t="s">
        <v>7439</v>
      </c>
      <c r="AO8625">
        <v>20000</v>
      </c>
      <c r="AU8625">
        <v>1.5</v>
      </c>
      <c r="AV8625" t="s">
        <v>830</v>
      </c>
      <c r="AW8625" t="s">
        <v>46840</v>
      </c>
      <c r="AX8625" t="s">
        <v>46897</v>
      </c>
    </row>
    <row r="8626" spans="1:50">
      <c r="A8626" s="1">
        <f>HYPERLINK("https://lsnyc.legalserver.org/matter/dynamic-profile/view/1902459","19-1902459")</f>
        <v>0</v>
      </c>
      <c r="B8626" t="s">
        <v>65</v>
      </c>
      <c r="C8626" t="s">
        <v>340</v>
      </c>
      <c r="D8626" t="s">
        <v>830</v>
      </c>
      <c r="F8626" t="s">
        <v>1081</v>
      </c>
      <c r="G8626" t="s">
        <v>6102</v>
      </c>
      <c r="H8626" t="s">
        <v>15530</v>
      </c>
      <c r="I8626" t="s">
        <v>17344</v>
      </c>
      <c r="J8626" t="s">
        <v>18892</v>
      </c>
      <c r="K8626">
        <v>10462</v>
      </c>
      <c r="L8626" t="s">
        <v>18958</v>
      </c>
      <c r="M8626" t="s">
        <v>18960</v>
      </c>
      <c r="N8626" t="s">
        <v>25186</v>
      </c>
      <c r="O8626" t="s">
        <v>26523</v>
      </c>
      <c r="P8626" t="s">
        <v>26560</v>
      </c>
      <c r="R8626" t="s">
        <v>26579</v>
      </c>
      <c r="U8626" t="s">
        <v>26604</v>
      </c>
      <c r="V8626" t="s">
        <v>26609</v>
      </c>
      <c r="W8626" t="s">
        <v>830</v>
      </c>
      <c r="X8626">
        <v>1575</v>
      </c>
      <c r="Y8626" t="s">
        <v>26650</v>
      </c>
      <c r="AB8626" t="s">
        <v>32160</v>
      </c>
      <c r="AD8626" t="s">
        <v>43557</v>
      </c>
      <c r="AE8626">
        <v>0</v>
      </c>
      <c r="AF8626" t="s">
        <v>45541</v>
      </c>
      <c r="AG8626" t="s">
        <v>45561</v>
      </c>
      <c r="AH8626">
        <v>0</v>
      </c>
      <c r="AI8626">
        <v>1</v>
      </c>
      <c r="AJ8626">
        <v>0</v>
      </c>
      <c r="AK8626">
        <v>82.53</v>
      </c>
      <c r="AO8626">
        <v>10308</v>
      </c>
      <c r="AU8626">
        <v>0.3</v>
      </c>
      <c r="AV8626" t="s">
        <v>834</v>
      </c>
      <c r="AW8626" t="s">
        <v>335</v>
      </c>
      <c r="AX8626" t="s">
        <v>46898</v>
      </c>
    </row>
    <row r="8627" spans="1:50">
      <c r="A8627" s="1">
        <f>HYPERLINK("https://lsnyc.legalserver.org/matter/dynamic-profile/view/1902329","19-1902329")</f>
        <v>0</v>
      </c>
      <c r="B8627" t="s">
        <v>198</v>
      </c>
      <c r="C8627" t="s">
        <v>340</v>
      </c>
      <c r="D8627" t="s">
        <v>830</v>
      </c>
      <c r="F8627" t="s">
        <v>948</v>
      </c>
      <c r="G8627" t="s">
        <v>5473</v>
      </c>
      <c r="H8627" t="s">
        <v>15503</v>
      </c>
      <c r="I8627">
        <v>6</v>
      </c>
      <c r="J8627" t="s">
        <v>18894</v>
      </c>
      <c r="K8627">
        <v>11231</v>
      </c>
      <c r="L8627" t="s">
        <v>18958</v>
      </c>
      <c r="M8627" t="s">
        <v>18960</v>
      </c>
      <c r="P8627" t="s">
        <v>26560</v>
      </c>
      <c r="R8627" t="s">
        <v>26578</v>
      </c>
      <c r="S8627" t="s">
        <v>18959</v>
      </c>
      <c r="U8627" t="s">
        <v>26604</v>
      </c>
      <c r="W8627" t="s">
        <v>830</v>
      </c>
      <c r="X8627">
        <v>0</v>
      </c>
      <c r="Y8627" t="s">
        <v>26652</v>
      </c>
      <c r="AB8627" t="s">
        <v>26797</v>
      </c>
      <c r="AD8627" t="s">
        <v>43526</v>
      </c>
      <c r="AE8627">
        <v>0</v>
      </c>
      <c r="AH8627">
        <v>37</v>
      </c>
      <c r="AI8627">
        <v>1</v>
      </c>
      <c r="AJ8627">
        <v>0</v>
      </c>
      <c r="AK8627">
        <v>72.06</v>
      </c>
      <c r="AN8627" t="s">
        <v>7439</v>
      </c>
      <c r="AO8627">
        <v>9000</v>
      </c>
      <c r="AU8627">
        <v>0.5</v>
      </c>
      <c r="AV8627" t="s">
        <v>834</v>
      </c>
      <c r="AW8627" t="s">
        <v>219</v>
      </c>
      <c r="AX8627" t="s">
        <v>46897</v>
      </c>
    </row>
    <row r="8628" spans="1:50">
      <c r="A8628" s="1">
        <f>HYPERLINK("https://lsnyc.legalserver.org/matter/dynamic-profile/view/1902471","19-1902471")</f>
        <v>0</v>
      </c>
      <c r="B8628" t="s">
        <v>173</v>
      </c>
      <c r="C8628" t="s">
        <v>340</v>
      </c>
      <c r="D8628" t="s">
        <v>830</v>
      </c>
      <c r="F8628" t="s">
        <v>1299</v>
      </c>
      <c r="G8628" t="s">
        <v>8763</v>
      </c>
      <c r="H8628" t="s">
        <v>15531</v>
      </c>
      <c r="I8628">
        <v>11</v>
      </c>
      <c r="J8628" t="s">
        <v>18893</v>
      </c>
      <c r="K8628">
        <v>10009</v>
      </c>
      <c r="L8628" t="s">
        <v>18958</v>
      </c>
      <c r="M8628" t="s">
        <v>18960</v>
      </c>
      <c r="N8628" t="s">
        <v>25187</v>
      </c>
      <c r="O8628" t="s">
        <v>26524</v>
      </c>
      <c r="P8628" t="s">
        <v>26563</v>
      </c>
      <c r="R8628" t="s">
        <v>26578</v>
      </c>
      <c r="S8628" t="s">
        <v>18959</v>
      </c>
      <c r="U8628" t="s">
        <v>26604</v>
      </c>
      <c r="W8628" t="s">
        <v>830</v>
      </c>
      <c r="X8628">
        <v>2400</v>
      </c>
      <c r="Y8628" t="s">
        <v>26651</v>
      </c>
      <c r="Z8628" t="s">
        <v>26663</v>
      </c>
      <c r="AB8628" t="s">
        <v>30751</v>
      </c>
      <c r="AD8628" t="s">
        <v>43558</v>
      </c>
      <c r="AE8628">
        <v>0</v>
      </c>
      <c r="AF8628" t="s">
        <v>45555</v>
      </c>
      <c r="AG8628" t="s">
        <v>19330</v>
      </c>
      <c r="AH8628">
        <v>1</v>
      </c>
      <c r="AI8628">
        <v>1</v>
      </c>
      <c r="AJ8628">
        <v>0</v>
      </c>
      <c r="AK8628">
        <v>108.09</v>
      </c>
      <c r="AN8628" t="s">
        <v>7439</v>
      </c>
      <c r="AO8628">
        <v>13500</v>
      </c>
      <c r="AU8628">
        <v>0</v>
      </c>
      <c r="AW8628" t="s">
        <v>46875</v>
      </c>
      <c r="AX8628" t="s">
        <v>46897</v>
      </c>
    </row>
    <row r="8629" spans="1:50">
      <c r="A8629" s="1">
        <f>HYPERLINK("https://lsnyc.legalserver.org/matter/dynamic-profile/view/1902424","19-1902424")</f>
        <v>0</v>
      </c>
      <c r="B8629" t="s">
        <v>173</v>
      </c>
      <c r="C8629" t="s">
        <v>340</v>
      </c>
      <c r="D8629" t="s">
        <v>830</v>
      </c>
      <c r="F8629" t="s">
        <v>4327</v>
      </c>
      <c r="G8629" t="s">
        <v>1384</v>
      </c>
      <c r="H8629" t="s">
        <v>15532</v>
      </c>
      <c r="I8629" t="s">
        <v>18580</v>
      </c>
      <c r="J8629" t="s">
        <v>18893</v>
      </c>
      <c r="K8629">
        <v>10011</v>
      </c>
      <c r="L8629" t="s">
        <v>18958</v>
      </c>
      <c r="M8629" t="s">
        <v>18960</v>
      </c>
      <c r="N8629" t="s">
        <v>25188</v>
      </c>
      <c r="O8629" t="s">
        <v>26523</v>
      </c>
      <c r="P8629" t="s">
        <v>26563</v>
      </c>
      <c r="R8629" t="s">
        <v>26582</v>
      </c>
      <c r="S8629" t="s">
        <v>18958</v>
      </c>
      <c r="U8629" t="s">
        <v>26605</v>
      </c>
      <c r="W8629" t="s">
        <v>830</v>
      </c>
      <c r="X8629">
        <v>591</v>
      </c>
      <c r="Y8629" t="s">
        <v>26651</v>
      </c>
      <c r="Z8629" t="s">
        <v>26664</v>
      </c>
      <c r="AB8629" t="s">
        <v>26697</v>
      </c>
      <c r="AC8629" t="s">
        <v>36558</v>
      </c>
      <c r="AD8629" t="s">
        <v>43559</v>
      </c>
      <c r="AE8629">
        <v>0</v>
      </c>
      <c r="AF8629" t="s">
        <v>45549</v>
      </c>
      <c r="AG8629" t="s">
        <v>19330</v>
      </c>
      <c r="AH8629">
        <v>18</v>
      </c>
      <c r="AI8629">
        <v>1</v>
      </c>
      <c r="AJ8629">
        <v>1</v>
      </c>
      <c r="AK8629">
        <v>0</v>
      </c>
      <c r="AN8629" t="s">
        <v>7439</v>
      </c>
      <c r="AO8629">
        <v>0</v>
      </c>
      <c r="AU8629">
        <v>0.85</v>
      </c>
      <c r="AV8629" t="s">
        <v>839</v>
      </c>
      <c r="AW8629" t="s">
        <v>314</v>
      </c>
      <c r="AX8629" t="s">
        <v>46898</v>
      </c>
    </row>
    <row r="8630" spans="1:50">
      <c r="A8630" s="1">
        <f>HYPERLINK("https://lsnyc.legalserver.org/matter/dynamic-profile/view/1884481","18-1884481")</f>
        <v>0</v>
      </c>
      <c r="B8630" t="s">
        <v>135</v>
      </c>
      <c r="C8630" t="s">
        <v>340</v>
      </c>
      <c r="D8630" t="s">
        <v>667</v>
      </c>
      <c r="F8630" t="s">
        <v>1192</v>
      </c>
      <c r="G8630" t="s">
        <v>8764</v>
      </c>
      <c r="H8630" t="s">
        <v>12681</v>
      </c>
      <c r="I8630" t="s">
        <v>18581</v>
      </c>
      <c r="J8630" t="s">
        <v>18892</v>
      </c>
      <c r="K8630">
        <v>10452</v>
      </c>
      <c r="L8630" t="s">
        <v>18958</v>
      </c>
      <c r="M8630" t="s">
        <v>18960</v>
      </c>
      <c r="O8630" t="s">
        <v>26529</v>
      </c>
      <c r="P8630" t="s">
        <v>26564</v>
      </c>
      <c r="R8630" t="s">
        <v>26578</v>
      </c>
      <c r="S8630" t="s">
        <v>18959</v>
      </c>
      <c r="U8630" t="s">
        <v>26604</v>
      </c>
      <c r="W8630" t="s">
        <v>831</v>
      </c>
      <c r="X8630">
        <v>1300.04</v>
      </c>
      <c r="Y8630" t="s">
        <v>26650</v>
      </c>
      <c r="Z8630" t="s">
        <v>26663</v>
      </c>
      <c r="AB8630" t="s">
        <v>32966</v>
      </c>
      <c r="AD8630" t="s">
        <v>43560</v>
      </c>
      <c r="AE8630">
        <v>0</v>
      </c>
      <c r="AF8630" t="s">
        <v>45541</v>
      </c>
      <c r="AH8630">
        <v>0</v>
      </c>
      <c r="AI8630">
        <v>2</v>
      </c>
      <c r="AJ8630">
        <v>2</v>
      </c>
      <c r="AK8630">
        <v>119.52</v>
      </c>
      <c r="AN8630" t="s">
        <v>7439</v>
      </c>
      <c r="AO8630">
        <v>30000</v>
      </c>
      <c r="AU8630">
        <v>2.3</v>
      </c>
      <c r="AV8630" t="s">
        <v>684</v>
      </c>
      <c r="AW8630" t="s">
        <v>261</v>
      </c>
      <c r="AX8630" t="s">
        <v>46897</v>
      </c>
    </row>
    <row r="8631" spans="1:50">
      <c r="A8631" s="1">
        <f>HYPERLINK("https://lsnyc.legalserver.org/matter/dynamic-profile/view/1889826","19-1889826")</f>
        <v>0</v>
      </c>
      <c r="B8631" t="s">
        <v>100</v>
      </c>
      <c r="C8631" t="s">
        <v>340</v>
      </c>
      <c r="D8631" t="s">
        <v>743</v>
      </c>
      <c r="F8631" t="s">
        <v>1426</v>
      </c>
      <c r="G8631" t="s">
        <v>5208</v>
      </c>
      <c r="H8631" t="s">
        <v>13798</v>
      </c>
      <c r="I8631" t="s">
        <v>17422</v>
      </c>
      <c r="J8631" t="s">
        <v>18892</v>
      </c>
      <c r="K8631">
        <v>10453</v>
      </c>
      <c r="L8631" t="s">
        <v>18958</v>
      </c>
      <c r="M8631" t="s">
        <v>18958</v>
      </c>
      <c r="O8631" t="s">
        <v>26534</v>
      </c>
      <c r="P8631" t="s">
        <v>26561</v>
      </c>
      <c r="R8631" t="s">
        <v>26578</v>
      </c>
      <c r="S8631" t="s">
        <v>18958</v>
      </c>
      <c r="U8631" t="s">
        <v>26604</v>
      </c>
      <c r="W8631" t="s">
        <v>831</v>
      </c>
      <c r="X8631">
        <v>1193.81</v>
      </c>
      <c r="Y8631" t="s">
        <v>26650</v>
      </c>
      <c r="Z8631" t="s">
        <v>26663</v>
      </c>
      <c r="AB8631" t="s">
        <v>27983</v>
      </c>
      <c r="AD8631" t="s">
        <v>42277</v>
      </c>
      <c r="AE8631">
        <v>170</v>
      </c>
      <c r="AF8631" t="s">
        <v>45541</v>
      </c>
      <c r="AH8631">
        <v>12</v>
      </c>
      <c r="AI8631">
        <v>2</v>
      </c>
      <c r="AJ8631">
        <v>0</v>
      </c>
      <c r="AK8631">
        <v>37.11</v>
      </c>
      <c r="AN8631" t="s">
        <v>45581</v>
      </c>
      <c r="AO8631">
        <v>6276</v>
      </c>
      <c r="AU8631">
        <v>0</v>
      </c>
      <c r="AW8631" t="s">
        <v>292</v>
      </c>
      <c r="AX8631" t="s">
        <v>46897</v>
      </c>
    </row>
    <row r="8632" spans="1:50">
      <c r="A8632" s="1">
        <f>HYPERLINK("https://lsnyc.legalserver.org/matter/dynamic-profile/view/1891410","19-1891410")</f>
        <v>0</v>
      </c>
      <c r="B8632" t="s">
        <v>100</v>
      </c>
      <c r="C8632" t="s">
        <v>340</v>
      </c>
      <c r="D8632" t="s">
        <v>677</v>
      </c>
      <c r="F8632" t="s">
        <v>1190</v>
      </c>
      <c r="G8632" t="s">
        <v>8170</v>
      </c>
      <c r="H8632" t="s">
        <v>13798</v>
      </c>
      <c r="I8632" t="s">
        <v>17618</v>
      </c>
      <c r="J8632" t="s">
        <v>18892</v>
      </c>
      <c r="K8632">
        <v>10453</v>
      </c>
      <c r="L8632" t="s">
        <v>18958</v>
      </c>
      <c r="M8632" t="s">
        <v>18958</v>
      </c>
      <c r="O8632" t="s">
        <v>26534</v>
      </c>
      <c r="P8632" t="s">
        <v>26561</v>
      </c>
      <c r="R8632" t="s">
        <v>26578</v>
      </c>
      <c r="S8632" t="s">
        <v>18958</v>
      </c>
      <c r="U8632" t="s">
        <v>26604</v>
      </c>
      <c r="W8632" t="s">
        <v>831</v>
      </c>
      <c r="X8632">
        <v>97</v>
      </c>
      <c r="Y8632" t="s">
        <v>26650</v>
      </c>
      <c r="Z8632" t="s">
        <v>26663</v>
      </c>
      <c r="AB8632" t="s">
        <v>31975</v>
      </c>
      <c r="AD8632" t="s">
        <v>42282</v>
      </c>
      <c r="AE8632">
        <v>170</v>
      </c>
      <c r="AF8632" t="s">
        <v>45541</v>
      </c>
      <c r="AG8632" t="s">
        <v>45556</v>
      </c>
      <c r="AH8632">
        <v>35</v>
      </c>
      <c r="AI8632">
        <v>1</v>
      </c>
      <c r="AJ8632">
        <v>0</v>
      </c>
      <c r="AK8632">
        <v>81.67</v>
      </c>
      <c r="AN8632" t="s">
        <v>45581</v>
      </c>
      <c r="AO8632">
        <v>10200</v>
      </c>
      <c r="AU8632">
        <v>0</v>
      </c>
      <c r="AW8632" t="s">
        <v>336</v>
      </c>
      <c r="AX8632" t="s">
        <v>46897</v>
      </c>
    </row>
    <row r="8633" spans="1:50">
      <c r="A8633" s="1">
        <f>HYPERLINK("https://lsnyc.legalserver.org/matter/dynamic-profile/view/1890039","19-1890039")</f>
        <v>0</v>
      </c>
      <c r="B8633" t="s">
        <v>100</v>
      </c>
      <c r="C8633" t="s">
        <v>340</v>
      </c>
      <c r="D8633" t="s">
        <v>744</v>
      </c>
      <c r="F8633" t="s">
        <v>893</v>
      </c>
      <c r="G8633" t="s">
        <v>6151</v>
      </c>
      <c r="H8633" t="s">
        <v>13798</v>
      </c>
      <c r="I8633" t="s">
        <v>17349</v>
      </c>
      <c r="J8633" t="s">
        <v>18892</v>
      </c>
      <c r="K8633">
        <v>10453</v>
      </c>
      <c r="L8633" t="s">
        <v>18958</v>
      </c>
      <c r="M8633" t="s">
        <v>18958</v>
      </c>
      <c r="O8633" t="s">
        <v>26534</v>
      </c>
      <c r="P8633" t="s">
        <v>26561</v>
      </c>
      <c r="R8633" t="s">
        <v>26578</v>
      </c>
      <c r="S8633" t="s">
        <v>18958</v>
      </c>
      <c r="U8633" t="s">
        <v>26604</v>
      </c>
      <c r="W8633" t="s">
        <v>831</v>
      </c>
      <c r="X8633">
        <v>880.27</v>
      </c>
      <c r="Y8633" t="s">
        <v>26650</v>
      </c>
      <c r="Z8633" t="s">
        <v>26663</v>
      </c>
      <c r="AB8633" t="s">
        <v>28779</v>
      </c>
      <c r="AD8633" t="s">
        <v>42292</v>
      </c>
      <c r="AE8633">
        <v>170</v>
      </c>
      <c r="AF8633" t="s">
        <v>45541</v>
      </c>
      <c r="AG8633" t="s">
        <v>19330</v>
      </c>
      <c r="AH8633">
        <v>20</v>
      </c>
      <c r="AI8633">
        <v>2</v>
      </c>
      <c r="AJ8633">
        <v>4</v>
      </c>
      <c r="AK8633">
        <v>101.93</v>
      </c>
      <c r="AN8633" t="s">
        <v>7439</v>
      </c>
      <c r="AO8633">
        <v>34392</v>
      </c>
      <c r="AU8633">
        <v>0</v>
      </c>
      <c r="AW8633" t="s">
        <v>329</v>
      </c>
      <c r="AX8633" t="s">
        <v>46897</v>
      </c>
    </row>
    <row r="8634" spans="1:50">
      <c r="A8634" s="1">
        <f>HYPERLINK("https://lsnyc.legalserver.org/matter/dynamic-profile/view/1891269","19-1891269")</f>
        <v>0</v>
      </c>
      <c r="B8634" t="s">
        <v>75</v>
      </c>
      <c r="C8634" t="s">
        <v>340</v>
      </c>
      <c r="D8634" t="s">
        <v>756</v>
      </c>
      <c r="F8634" t="s">
        <v>1789</v>
      </c>
      <c r="G8634" t="s">
        <v>5330</v>
      </c>
      <c r="H8634" t="s">
        <v>13798</v>
      </c>
      <c r="I8634" t="s">
        <v>17833</v>
      </c>
      <c r="J8634" t="s">
        <v>18892</v>
      </c>
      <c r="K8634">
        <v>10453</v>
      </c>
      <c r="L8634" t="s">
        <v>18958</v>
      </c>
      <c r="M8634" t="s">
        <v>18959</v>
      </c>
      <c r="N8634" t="s">
        <v>25189</v>
      </c>
      <c r="O8634" t="s">
        <v>26523</v>
      </c>
      <c r="P8634" t="s">
        <v>26560</v>
      </c>
      <c r="R8634" t="s">
        <v>26578</v>
      </c>
      <c r="S8634" t="s">
        <v>18959</v>
      </c>
      <c r="U8634" t="s">
        <v>26604</v>
      </c>
      <c r="V8634" t="s">
        <v>26610</v>
      </c>
      <c r="W8634" t="s">
        <v>831</v>
      </c>
      <c r="X8634">
        <v>856.46</v>
      </c>
      <c r="Y8634" t="s">
        <v>26650</v>
      </c>
      <c r="Z8634" t="s">
        <v>26659</v>
      </c>
      <c r="AB8634" t="s">
        <v>32016</v>
      </c>
      <c r="AD8634" t="s">
        <v>42330</v>
      </c>
      <c r="AE8634">
        <v>167</v>
      </c>
      <c r="AF8634" t="s">
        <v>45541</v>
      </c>
      <c r="AG8634" t="s">
        <v>45557</v>
      </c>
      <c r="AH8634">
        <v>18</v>
      </c>
      <c r="AI8634">
        <v>2</v>
      </c>
      <c r="AJ8634">
        <v>2</v>
      </c>
      <c r="AK8634">
        <v>99.91</v>
      </c>
      <c r="AN8634" t="s">
        <v>45581</v>
      </c>
      <c r="AO8634">
        <v>25727</v>
      </c>
      <c r="AP8634" t="s">
        <v>46097</v>
      </c>
      <c r="AU8634">
        <v>11.55</v>
      </c>
      <c r="AV8634" t="s">
        <v>762</v>
      </c>
      <c r="AW8634" t="s">
        <v>46847</v>
      </c>
      <c r="AX8634" t="s">
        <v>46897</v>
      </c>
    </row>
    <row r="8635" spans="1:50">
      <c r="A8635" s="1">
        <f>HYPERLINK("https://lsnyc.legalserver.org/matter/dynamic-profile/view/1892367","19-1892367")</f>
        <v>0</v>
      </c>
      <c r="B8635" t="s">
        <v>100</v>
      </c>
      <c r="C8635" t="s">
        <v>340</v>
      </c>
      <c r="D8635" t="s">
        <v>416</v>
      </c>
      <c r="F8635" t="s">
        <v>3793</v>
      </c>
      <c r="G8635" t="s">
        <v>5191</v>
      </c>
      <c r="H8635" t="s">
        <v>14513</v>
      </c>
      <c r="I8635" t="s">
        <v>17378</v>
      </c>
      <c r="J8635" t="s">
        <v>18892</v>
      </c>
      <c r="K8635">
        <v>10453</v>
      </c>
      <c r="L8635" t="s">
        <v>18958</v>
      </c>
      <c r="M8635" t="s">
        <v>18958</v>
      </c>
      <c r="O8635" t="s">
        <v>26534</v>
      </c>
      <c r="P8635" t="s">
        <v>26561</v>
      </c>
      <c r="R8635" t="s">
        <v>26578</v>
      </c>
      <c r="S8635" t="s">
        <v>18958</v>
      </c>
      <c r="U8635" t="s">
        <v>26604</v>
      </c>
      <c r="W8635" t="s">
        <v>831</v>
      </c>
      <c r="X8635">
        <v>1026.68</v>
      </c>
      <c r="Y8635" t="s">
        <v>26650</v>
      </c>
      <c r="Z8635" t="s">
        <v>26667</v>
      </c>
      <c r="AB8635" t="s">
        <v>31922</v>
      </c>
      <c r="AE8635">
        <v>170</v>
      </c>
      <c r="AF8635" t="s">
        <v>45541</v>
      </c>
      <c r="AG8635" t="s">
        <v>19330</v>
      </c>
      <c r="AH8635">
        <v>9</v>
      </c>
      <c r="AI8635">
        <v>2</v>
      </c>
      <c r="AJ8635">
        <v>2</v>
      </c>
      <c r="AK8635">
        <v>100.97</v>
      </c>
      <c r="AN8635" t="s">
        <v>45581</v>
      </c>
      <c r="AO8635">
        <v>26000</v>
      </c>
      <c r="AU8635">
        <v>0</v>
      </c>
      <c r="AW8635" t="s">
        <v>329</v>
      </c>
      <c r="AX8635" t="s">
        <v>46897</v>
      </c>
    </row>
    <row r="8636" spans="1:50">
      <c r="A8636" s="1">
        <f>HYPERLINK("https://lsnyc.legalserver.org/matter/dynamic-profile/view/1892382","19-1892382")</f>
        <v>0</v>
      </c>
      <c r="B8636" t="s">
        <v>100</v>
      </c>
      <c r="C8636" t="s">
        <v>340</v>
      </c>
      <c r="D8636" t="s">
        <v>416</v>
      </c>
      <c r="F8636" t="s">
        <v>3826</v>
      </c>
      <c r="G8636" t="s">
        <v>5079</v>
      </c>
      <c r="H8636" t="s">
        <v>13798</v>
      </c>
      <c r="I8636" t="s">
        <v>18418</v>
      </c>
      <c r="J8636" t="s">
        <v>18892</v>
      </c>
      <c r="K8636">
        <v>10453</v>
      </c>
      <c r="L8636" t="s">
        <v>18958</v>
      </c>
      <c r="M8636" t="s">
        <v>18958</v>
      </c>
      <c r="O8636" t="s">
        <v>26534</v>
      </c>
      <c r="P8636" t="s">
        <v>26561</v>
      </c>
      <c r="R8636" t="s">
        <v>26578</v>
      </c>
      <c r="S8636" t="s">
        <v>18958</v>
      </c>
      <c r="U8636" t="s">
        <v>26604</v>
      </c>
      <c r="W8636" t="s">
        <v>831</v>
      </c>
      <c r="X8636">
        <v>1067.78</v>
      </c>
      <c r="Y8636" t="s">
        <v>26650</v>
      </c>
      <c r="Z8636" t="s">
        <v>26667</v>
      </c>
      <c r="AB8636" t="s">
        <v>31993</v>
      </c>
      <c r="AD8636" t="s">
        <v>42309</v>
      </c>
      <c r="AE8636">
        <v>170</v>
      </c>
      <c r="AF8636" t="s">
        <v>45541</v>
      </c>
      <c r="AG8636" t="s">
        <v>19330</v>
      </c>
      <c r="AH8636">
        <v>20</v>
      </c>
      <c r="AI8636">
        <v>2</v>
      </c>
      <c r="AJ8636">
        <v>0</v>
      </c>
      <c r="AK8636">
        <v>372.56</v>
      </c>
      <c r="AN8636" t="s">
        <v>7439</v>
      </c>
      <c r="AO8636">
        <v>63000</v>
      </c>
      <c r="AU8636">
        <v>0</v>
      </c>
      <c r="AW8636" t="s">
        <v>329</v>
      </c>
      <c r="AX8636" t="s">
        <v>46897</v>
      </c>
    </row>
    <row r="8637" spans="1:50">
      <c r="A8637" s="1">
        <f>HYPERLINK("https://lsnyc.legalserver.org/matter/dynamic-profile/view/1892621","19-1892621")</f>
        <v>0</v>
      </c>
      <c r="B8637" t="s">
        <v>100</v>
      </c>
      <c r="C8637" t="s">
        <v>340</v>
      </c>
      <c r="D8637" t="s">
        <v>751</v>
      </c>
      <c r="F8637" t="s">
        <v>4328</v>
      </c>
      <c r="G8637" t="s">
        <v>8765</v>
      </c>
      <c r="H8637" t="s">
        <v>13798</v>
      </c>
      <c r="I8637" t="s">
        <v>17425</v>
      </c>
      <c r="J8637" t="s">
        <v>18892</v>
      </c>
      <c r="K8637">
        <v>10453</v>
      </c>
      <c r="L8637" t="s">
        <v>18958</v>
      </c>
      <c r="M8637" t="s">
        <v>18958</v>
      </c>
      <c r="O8637" t="s">
        <v>26534</v>
      </c>
      <c r="P8637" t="s">
        <v>26561</v>
      </c>
      <c r="R8637" t="s">
        <v>26578</v>
      </c>
      <c r="S8637" t="s">
        <v>18958</v>
      </c>
      <c r="U8637" t="s">
        <v>26604</v>
      </c>
      <c r="W8637" t="s">
        <v>831</v>
      </c>
      <c r="X8637">
        <v>1317</v>
      </c>
      <c r="Y8637" t="s">
        <v>26650</v>
      </c>
      <c r="Z8637" t="s">
        <v>26663</v>
      </c>
      <c r="AB8637" t="s">
        <v>31337</v>
      </c>
      <c r="AE8637">
        <v>170</v>
      </c>
      <c r="AF8637" t="s">
        <v>45541</v>
      </c>
      <c r="AG8637" t="s">
        <v>19330</v>
      </c>
      <c r="AH8637">
        <v>3</v>
      </c>
      <c r="AI8637">
        <v>2</v>
      </c>
      <c r="AJ8637">
        <v>0</v>
      </c>
      <c r="AK8637">
        <v>223.54</v>
      </c>
      <c r="AN8637" t="s">
        <v>45581</v>
      </c>
      <c r="AO8637">
        <v>37800</v>
      </c>
      <c r="AU8637">
        <v>0</v>
      </c>
      <c r="AW8637" t="s">
        <v>46832</v>
      </c>
      <c r="AX8637" t="s">
        <v>46897</v>
      </c>
    </row>
    <row r="8638" spans="1:50">
      <c r="A8638" s="1">
        <f>HYPERLINK("https://lsnyc.legalserver.org/matter/dynamic-profile/view/1892615","19-1892615")</f>
        <v>0</v>
      </c>
      <c r="B8638" t="s">
        <v>100</v>
      </c>
      <c r="C8638" t="s">
        <v>340</v>
      </c>
      <c r="D8638" t="s">
        <v>751</v>
      </c>
      <c r="F8638" t="s">
        <v>4328</v>
      </c>
      <c r="G8638" t="s">
        <v>8765</v>
      </c>
      <c r="H8638" t="s">
        <v>13798</v>
      </c>
      <c r="I8638" t="s">
        <v>17425</v>
      </c>
      <c r="J8638" t="s">
        <v>18892</v>
      </c>
      <c r="K8638">
        <v>10453</v>
      </c>
      <c r="L8638" t="s">
        <v>18958</v>
      </c>
      <c r="M8638" t="s">
        <v>18958</v>
      </c>
      <c r="N8638" t="s">
        <v>23966</v>
      </c>
      <c r="O8638" t="s">
        <v>26526</v>
      </c>
      <c r="P8638" t="s">
        <v>26560</v>
      </c>
      <c r="R8638" t="s">
        <v>26578</v>
      </c>
      <c r="S8638" t="s">
        <v>18958</v>
      </c>
      <c r="U8638" t="s">
        <v>26604</v>
      </c>
      <c r="W8638" t="s">
        <v>831</v>
      </c>
      <c r="X8638">
        <v>1317</v>
      </c>
      <c r="Y8638" t="s">
        <v>26650</v>
      </c>
      <c r="Z8638" t="s">
        <v>26663</v>
      </c>
      <c r="AB8638" t="s">
        <v>31337</v>
      </c>
      <c r="AE8638">
        <v>170</v>
      </c>
      <c r="AF8638" t="s">
        <v>45541</v>
      </c>
      <c r="AG8638" t="s">
        <v>19330</v>
      </c>
      <c r="AH8638">
        <v>3</v>
      </c>
      <c r="AI8638">
        <v>2</v>
      </c>
      <c r="AJ8638">
        <v>0</v>
      </c>
      <c r="AK8638">
        <v>223.54</v>
      </c>
      <c r="AN8638" t="s">
        <v>45581</v>
      </c>
      <c r="AO8638">
        <v>37800</v>
      </c>
      <c r="AU8638">
        <v>0</v>
      </c>
      <c r="AW8638" t="s">
        <v>46832</v>
      </c>
      <c r="AX8638" t="s">
        <v>46897</v>
      </c>
    </row>
    <row r="8639" spans="1:50">
      <c r="A8639" s="1">
        <f>HYPERLINK("https://lsnyc.legalserver.org/matter/dynamic-profile/view/1894126","19-1894126")</f>
        <v>0</v>
      </c>
      <c r="B8639" t="s">
        <v>100</v>
      </c>
      <c r="C8639" t="s">
        <v>340</v>
      </c>
      <c r="D8639" t="s">
        <v>786</v>
      </c>
      <c r="F8639" t="s">
        <v>3710</v>
      </c>
      <c r="G8639" t="s">
        <v>6270</v>
      </c>
      <c r="H8639" t="s">
        <v>13798</v>
      </c>
      <c r="I8639" t="s">
        <v>17496</v>
      </c>
      <c r="J8639" t="s">
        <v>18892</v>
      </c>
      <c r="K8639">
        <v>10453</v>
      </c>
      <c r="L8639" t="s">
        <v>18958</v>
      </c>
      <c r="M8639" t="s">
        <v>18958</v>
      </c>
      <c r="O8639" t="s">
        <v>26534</v>
      </c>
      <c r="P8639" t="s">
        <v>26561</v>
      </c>
      <c r="R8639" t="s">
        <v>26578</v>
      </c>
      <c r="S8639" t="s">
        <v>18958</v>
      </c>
      <c r="U8639" t="s">
        <v>26604</v>
      </c>
      <c r="W8639" t="s">
        <v>831</v>
      </c>
      <c r="X8639">
        <v>506</v>
      </c>
      <c r="Y8639" t="s">
        <v>26650</v>
      </c>
      <c r="Z8639" t="s">
        <v>26663</v>
      </c>
      <c r="AB8639" t="s">
        <v>31743</v>
      </c>
      <c r="AD8639" t="s">
        <v>42006</v>
      </c>
      <c r="AE8639">
        <v>167</v>
      </c>
      <c r="AF8639" t="s">
        <v>45541</v>
      </c>
      <c r="AG8639" t="s">
        <v>45556</v>
      </c>
      <c r="AH8639">
        <v>10</v>
      </c>
      <c r="AI8639">
        <v>2</v>
      </c>
      <c r="AJ8639">
        <v>4</v>
      </c>
      <c r="AK8639">
        <v>58.98</v>
      </c>
      <c r="AN8639" t="s">
        <v>45581</v>
      </c>
      <c r="AO8639">
        <v>20400</v>
      </c>
      <c r="AU8639">
        <v>0</v>
      </c>
      <c r="AW8639" t="s">
        <v>46847</v>
      </c>
      <c r="AX8639" t="s">
        <v>46897</v>
      </c>
    </row>
    <row r="8640" spans="1:50">
      <c r="A8640" s="1">
        <f>HYPERLINK("https://lsnyc.legalserver.org/matter/dynamic-profile/view/1894525","19-1894525")</f>
        <v>0</v>
      </c>
      <c r="B8640" t="s">
        <v>100</v>
      </c>
      <c r="C8640" t="s">
        <v>340</v>
      </c>
      <c r="D8640" t="s">
        <v>777</v>
      </c>
      <c r="F8640" t="s">
        <v>4329</v>
      </c>
      <c r="G8640" t="s">
        <v>8766</v>
      </c>
      <c r="H8640" t="s">
        <v>13798</v>
      </c>
      <c r="I8640" t="s">
        <v>17522</v>
      </c>
      <c r="J8640" t="s">
        <v>18892</v>
      </c>
      <c r="K8640">
        <v>10453</v>
      </c>
      <c r="L8640" t="s">
        <v>18958</v>
      </c>
      <c r="M8640" t="s">
        <v>18958</v>
      </c>
      <c r="O8640" t="s">
        <v>26534</v>
      </c>
      <c r="P8640" t="s">
        <v>26561</v>
      </c>
      <c r="R8640" t="s">
        <v>26578</v>
      </c>
      <c r="S8640" t="s">
        <v>18958</v>
      </c>
      <c r="U8640" t="s">
        <v>26604</v>
      </c>
      <c r="W8640" t="s">
        <v>831</v>
      </c>
      <c r="X8640">
        <v>1500</v>
      </c>
      <c r="Y8640" t="s">
        <v>26650</v>
      </c>
      <c r="Z8640" t="s">
        <v>26667</v>
      </c>
      <c r="AB8640" t="s">
        <v>32967</v>
      </c>
      <c r="AD8640" t="s">
        <v>43561</v>
      </c>
      <c r="AE8640">
        <v>170</v>
      </c>
      <c r="AF8640" t="s">
        <v>45541</v>
      </c>
      <c r="AG8640" t="s">
        <v>19330</v>
      </c>
      <c r="AH8640">
        <v>2</v>
      </c>
      <c r="AI8640">
        <v>2</v>
      </c>
      <c r="AJ8640">
        <v>0</v>
      </c>
      <c r="AK8640">
        <v>514.49</v>
      </c>
      <c r="AO8640">
        <v>87000</v>
      </c>
      <c r="AU8640">
        <v>0</v>
      </c>
      <c r="AW8640" t="s">
        <v>329</v>
      </c>
    </row>
    <row r="8641" spans="1:50">
      <c r="A8641" s="1">
        <f>HYPERLINK("https://lsnyc.legalserver.org/matter/dynamic-profile/view/1894519","19-1894519")</f>
        <v>0</v>
      </c>
      <c r="B8641" t="s">
        <v>100</v>
      </c>
      <c r="C8641" t="s">
        <v>340</v>
      </c>
      <c r="D8641" t="s">
        <v>777</v>
      </c>
      <c r="F8641" t="s">
        <v>4329</v>
      </c>
      <c r="G8641" t="s">
        <v>8766</v>
      </c>
      <c r="H8641" t="s">
        <v>13798</v>
      </c>
      <c r="I8641" t="s">
        <v>17522</v>
      </c>
      <c r="J8641" t="s">
        <v>18892</v>
      </c>
      <c r="K8641">
        <v>10453</v>
      </c>
      <c r="L8641" t="s">
        <v>18958</v>
      </c>
      <c r="M8641" t="s">
        <v>18958</v>
      </c>
      <c r="N8641" t="s">
        <v>23966</v>
      </c>
      <c r="O8641" t="s">
        <v>26526</v>
      </c>
      <c r="P8641" t="s">
        <v>26560</v>
      </c>
      <c r="R8641" t="s">
        <v>26578</v>
      </c>
      <c r="S8641" t="s">
        <v>18958</v>
      </c>
      <c r="U8641" t="s">
        <v>26604</v>
      </c>
      <c r="W8641" t="s">
        <v>831</v>
      </c>
      <c r="X8641">
        <v>1500</v>
      </c>
      <c r="Y8641" t="s">
        <v>26650</v>
      </c>
      <c r="Z8641" t="s">
        <v>26667</v>
      </c>
      <c r="AB8641" t="s">
        <v>32967</v>
      </c>
      <c r="AD8641" t="s">
        <v>43561</v>
      </c>
      <c r="AE8641">
        <v>170</v>
      </c>
      <c r="AF8641" t="s">
        <v>45541</v>
      </c>
      <c r="AG8641" t="s">
        <v>19330</v>
      </c>
      <c r="AH8641">
        <v>2</v>
      </c>
      <c r="AI8641">
        <v>2</v>
      </c>
      <c r="AJ8641">
        <v>0</v>
      </c>
      <c r="AK8641">
        <v>514.49</v>
      </c>
      <c r="AO8641">
        <v>87000</v>
      </c>
      <c r="AU8641">
        <v>0</v>
      </c>
      <c r="AW8641" t="s">
        <v>329</v>
      </c>
    </row>
    <row r="8642" spans="1:50">
      <c r="A8642" s="1">
        <f>HYPERLINK("https://lsnyc.legalserver.org/matter/dynamic-profile/view/1894837","19-1894837")</f>
        <v>0</v>
      </c>
      <c r="B8642" t="s">
        <v>100</v>
      </c>
      <c r="C8642" t="s">
        <v>340</v>
      </c>
      <c r="D8642" t="s">
        <v>788</v>
      </c>
      <c r="F8642" t="s">
        <v>1610</v>
      </c>
      <c r="G8642" t="s">
        <v>5394</v>
      </c>
      <c r="H8642" t="s">
        <v>13798</v>
      </c>
      <c r="I8642" t="s">
        <v>17434</v>
      </c>
      <c r="J8642" t="s">
        <v>18892</v>
      </c>
      <c r="K8642">
        <v>10453</v>
      </c>
      <c r="L8642" t="s">
        <v>18958</v>
      </c>
      <c r="M8642" t="s">
        <v>18958</v>
      </c>
      <c r="O8642" t="s">
        <v>26534</v>
      </c>
      <c r="P8642" t="s">
        <v>26561</v>
      </c>
      <c r="R8642" t="s">
        <v>26578</v>
      </c>
      <c r="S8642" t="s">
        <v>18958</v>
      </c>
      <c r="U8642" t="s">
        <v>26604</v>
      </c>
      <c r="W8642" t="s">
        <v>831</v>
      </c>
      <c r="X8642">
        <v>1049.5</v>
      </c>
      <c r="Y8642" t="s">
        <v>26650</v>
      </c>
      <c r="Z8642" t="s">
        <v>26667</v>
      </c>
      <c r="AB8642" t="s">
        <v>32004</v>
      </c>
      <c r="AD8642" t="s">
        <v>42316</v>
      </c>
      <c r="AE8642">
        <v>170</v>
      </c>
      <c r="AF8642" t="s">
        <v>45541</v>
      </c>
      <c r="AG8642" t="s">
        <v>19330</v>
      </c>
      <c r="AH8642">
        <v>3</v>
      </c>
      <c r="AI8642">
        <v>2</v>
      </c>
      <c r="AJ8642">
        <v>2</v>
      </c>
      <c r="AK8642">
        <v>70.68000000000001</v>
      </c>
      <c r="AN8642" t="s">
        <v>45581</v>
      </c>
      <c r="AO8642">
        <v>18200</v>
      </c>
      <c r="AU8642">
        <v>0</v>
      </c>
      <c r="AW8642" t="s">
        <v>329</v>
      </c>
      <c r="AX8642" t="s">
        <v>46897</v>
      </c>
    </row>
    <row r="8643" spans="1:50">
      <c r="A8643" s="1">
        <f>HYPERLINK("https://lsnyc.legalserver.org/matter/dynamic-profile/view/1896516","19-1896516")</f>
        <v>0</v>
      </c>
      <c r="B8643" t="s">
        <v>63</v>
      </c>
      <c r="C8643" t="s">
        <v>340</v>
      </c>
      <c r="D8643" t="s">
        <v>802</v>
      </c>
      <c r="F8643" t="s">
        <v>3824</v>
      </c>
      <c r="G8643" t="s">
        <v>5147</v>
      </c>
      <c r="H8643" t="s">
        <v>13798</v>
      </c>
      <c r="I8643" t="s">
        <v>17320</v>
      </c>
      <c r="J8643" t="s">
        <v>18892</v>
      </c>
      <c r="K8643">
        <v>10453</v>
      </c>
      <c r="L8643" t="s">
        <v>18958</v>
      </c>
      <c r="M8643" t="s">
        <v>18958</v>
      </c>
      <c r="N8643" t="s">
        <v>25190</v>
      </c>
      <c r="O8643" t="s">
        <v>26523</v>
      </c>
      <c r="P8643" t="s">
        <v>26560</v>
      </c>
      <c r="R8643" t="s">
        <v>26578</v>
      </c>
      <c r="S8643" t="s">
        <v>18959</v>
      </c>
      <c r="U8643" t="s">
        <v>26604</v>
      </c>
      <c r="W8643" t="s">
        <v>831</v>
      </c>
      <c r="X8643">
        <v>1011.37</v>
      </c>
      <c r="Y8643" t="s">
        <v>26650</v>
      </c>
      <c r="Z8643" t="s">
        <v>26659</v>
      </c>
      <c r="AB8643" t="s">
        <v>31989</v>
      </c>
      <c r="AD8643" t="s">
        <v>42304</v>
      </c>
      <c r="AE8643">
        <v>0</v>
      </c>
      <c r="AF8643" t="s">
        <v>45541</v>
      </c>
      <c r="AG8643" t="s">
        <v>45557</v>
      </c>
      <c r="AH8643">
        <v>12</v>
      </c>
      <c r="AI8643">
        <v>3</v>
      </c>
      <c r="AJ8643">
        <v>3</v>
      </c>
      <c r="AK8643">
        <v>42.19</v>
      </c>
      <c r="AN8643" t="s">
        <v>45581</v>
      </c>
      <c r="AO8643">
        <v>14592</v>
      </c>
      <c r="AU8643">
        <v>10.75</v>
      </c>
      <c r="AV8643" t="s">
        <v>773</v>
      </c>
      <c r="AW8643" t="s">
        <v>336</v>
      </c>
      <c r="AX8643" t="s">
        <v>46897</v>
      </c>
    </row>
    <row r="8644" spans="1:50">
      <c r="A8644" s="1">
        <f>HYPERLINK("https://lsnyc.legalserver.org/matter/dynamic-profile/view/1902578","19-1902578")</f>
        <v>0</v>
      </c>
      <c r="B8644" t="s">
        <v>68</v>
      </c>
      <c r="C8644" t="s">
        <v>340</v>
      </c>
      <c r="D8644" t="s">
        <v>831</v>
      </c>
      <c r="F8644" t="s">
        <v>977</v>
      </c>
      <c r="G8644" t="s">
        <v>8767</v>
      </c>
      <c r="H8644" t="s">
        <v>15533</v>
      </c>
      <c r="I8644" t="s">
        <v>17378</v>
      </c>
      <c r="J8644" t="s">
        <v>18892</v>
      </c>
      <c r="K8644">
        <v>10452</v>
      </c>
      <c r="L8644" t="s">
        <v>18958</v>
      </c>
      <c r="M8644" t="s">
        <v>18960</v>
      </c>
      <c r="N8644" t="s">
        <v>25191</v>
      </c>
      <c r="O8644" t="s">
        <v>26523</v>
      </c>
      <c r="P8644" t="s">
        <v>26560</v>
      </c>
      <c r="R8644" t="s">
        <v>26577</v>
      </c>
      <c r="S8644" t="s">
        <v>18959</v>
      </c>
      <c r="U8644" t="s">
        <v>26604</v>
      </c>
      <c r="V8644" t="s">
        <v>26614</v>
      </c>
      <c r="W8644" t="s">
        <v>831</v>
      </c>
      <c r="X8644">
        <v>1193</v>
      </c>
      <c r="Y8644" t="s">
        <v>26650</v>
      </c>
      <c r="AB8644" t="s">
        <v>32968</v>
      </c>
      <c r="AC8644" t="s">
        <v>36559</v>
      </c>
      <c r="AD8644" t="s">
        <v>43562</v>
      </c>
      <c r="AE8644">
        <v>61</v>
      </c>
      <c r="AF8644" t="s">
        <v>45541</v>
      </c>
      <c r="AG8644" t="s">
        <v>19330</v>
      </c>
      <c r="AH8644">
        <v>7</v>
      </c>
      <c r="AI8644">
        <v>3</v>
      </c>
      <c r="AJ8644">
        <v>0</v>
      </c>
      <c r="AK8644">
        <v>232.71</v>
      </c>
      <c r="AN8644" t="s">
        <v>45581</v>
      </c>
      <c r="AO8644">
        <v>49636</v>
      </c>
      <c r="AU8644">
        <v>4.6</v>
      </c>
      <c r="AV8644" t="s">
        <v>838</v>
      </c>
      <c r="AW8644" t="s">
        <v>46836</v>
      </c>
      <c r="AX8644" t="s">
        <v>46898</v>
      </c>
    </row>
    <row r="8645" spans="1:50">
      <c r="A8645" s="1">
        <f>HYPERLINK("https://lsnyc.legalserver.org/matter/dynamic-profile/view/1896009","19-1896009")</f>
        <v>0</v>
      </c>
      <c r="B8645" t="s">
        <v>60</v>
      </c>
      <c r="C8645" t="s">
        <v>340</v>
      </c>
      <c r="D8645" t="s">
        <v>791</v>
      </c>
      <c r="F8645" t="s">
        <v>1153</v>
      </c>
      <c r="G8645" t="s">
        <v>8768</v>
      </c>
      <c r="H8645" t="s">
        <v>15534</v>
      </c>
      <c r="I8645">
        <v>502</v>
      </c>
      <c r="J8645" t="s">
        <v>18892</v>
      </c>
      <c r="K8645">
        <v>10466</v>
      </c>
      <c r="L8645" t="s">
        <v>18958</v>
      </c>
      <c r="M8645" t="s">
        <v>18958</v>
      </c>
      <c r="N8645" t="s">
        <v>19045</v>
      </c>
      <c r="O8645" t="s">
        <v>18997</v>
      </c>
      <c r="P8645" t="s">
        <v>26564</v>
      </c>
      <c r="R8645" t="s">
        <v>26578</v>
      </c>
      <c r="S8645" t="s">
        <v>18959</v>
      </c>
      <c r="U8645" t="s">
        <v>26604</v>
      </c>
      <c r="W8645" t="s">
        <v>832</v>
      </c>
      <c r="X8645">
        <v>202</v>
      </c>
      <c r="Y8645" t="s">
        <v>26650</v>
      </c>
      <c r="Z8645" t="s">
        <v>26661</v>
      </c>
      <c r="AB8645" t="s">
        <v>32969</v>
      </c>
      <c r="AE8645">
        <v>0</v>
      </c>
      <c r="AF8645" t="s">
        <v>45552</v>
      </c>
      <c r="AG8645" t="s">
        <v>26530</v>
      </c>
      <c r="AH8645">
        <v>7</v>
      </c>
      <c r="AI8645">
        <v>1</v>
      </c>
      <c r="AJ8645">
        <v>0</v>
      </c>
      <c r="AK8645">
        <v>79.26000000000001</v>
      </c>
      <c r="AN8645" t="s">
        <v>45581</v>
      </c>
      <c r="AO8645">
        <v>9900</v>
      </c>
      <c r="AU8645">
        <v>0.2</v>
      </c>
      <c r="AV8645" t="s">
        <v>802</v>
      </c>
      <c r="AW8645" t="s">
        <v>60</v>
      </c>
      <c r="AX8645" t="s">
        <v>46897</v>
      </c>
    </row>
    <row r="8646" spans="1:50">
      <c r="A8646" s="1">
        <f>HYPERLINK("https://lsnyc.legalserver.org/matter/dynamic-profile/view/1896017","19-1896017")</f>
        <v>0</v>
      </c>
      <c r="B8646" t="s">
        <v>60</v>
      </c>
      <c r="C8646" t="s">
        <v>340</v>
      </c>
      <c r="D8646" t="s">
        <v>761</v>
      </c>
      <c r="F8646" t="s">
        <v>1008</v>
      </c>
      <c r="G8646" t="s">
        <v>8294</v>
      </c>
      <c r="H8646" t="s">
        <v>15535</v>
      </c>
      <c r="I8646">
        <v>25</v>
      </c>
      <c r="J8646" t="s">
        <v>18892</v>
      </c>
      <c r="K8646">
        <v>10452</v>
      </c>
      <c r="L8646" t="s">
        <v>18958</v>
      </c>
      <c r="M8646" t="s">
        <v>18960</v>
      </c>
      <c r="P8646" t="s">
        <v>26565</v>
      </c>
      <c r="R8646" t="s">
        <v>26578</v>
      </c>
      <c r="U8646" t="s">
        <v>26608</v>
      </c>
      <c r="W8646" t="s">
        <v>832</v>
      </c>
      <c r="X8646">
        <v>0</v>
      </c>
      <c r="Y8646" t="s">
        <v>26650</v>
      </c>
      <c r="AB8646" t="s">
        <v>28903</v>
      </c>
      <c r="AD8646" t="s">
        <v>43563</v>
      </c>
      <c r="AE8646">
        <v>0</v>
      </c>
      <c r="AH8646">
        <v>0</v>
      </c>
      <c r="AI8646">
        <v>3</v>
      </c>
      <c r="AJ8646">
        <v>0</v>
      </c>
      <c r="AK8646">
        <v>400.09</v>
      </c>
      <c r="AN8646" t="s">
        <v>7439</v>
      </c>
      <c r="AO8646">
        <v>85340</v>
      </c>
      <c r="AU8646">
        <v>1.2</v>
      </c>
      <c r="AV8646" t="s">
        <v>763</v>
      </c>
      <c r="AW8646" t="s">
        <v>60</v>
      </c>
      <c r="AX8646" t="s">
        <v>46897</v>
      </c>
    </row>
    <row r="8647" spans="1:50">
      <c r="A8647" s="1">
        <f>HYPERLINK("https://lsnyc.legalserver.org/matter/dynamic-profile/view/1901677","19-1901677")</f>
        <v>0</v>
      </c>
      <c r="B8647" t="s">
        <v>200</v>
      </c>
      <c r="C8647" t="s">
        <v>340</v>
      </c>
      <c r="D8647" t="s">
        <v>814</v>
      </c>
      <c r="F8647" t="s">
        <v>1081</v>
      </c>
      <c r="G8647" t="s">
        <v>8769</v>
      </c>
      <c r="H8647" t="s">
        <v>15536</v>
      </c>
      <c r="I8647" t="s">
        <v>17440</v>
      </c>
      <c r="J8647" t="s">
        <v>18894</v>
      </c>
      <c r="K8647">
        <v>11207</v>
      </c>
      <c r="L8647" t="s">
        <v>18958</v>
      </c>
      <c r="M8647" t="s">
        <v>18960</v>
      </c>
      <c r="N8647" t="s">
        <v>19330</v>
      </c>
      <c r="O8647" t="s">
        <v>18997</v>
      </c>
      <c r="R8647" t="s">
        <v>26578</v>
      </c>
      <c r="S8647" t="s">
        <v>18959</v>
      </c>
      <c r="U8647" t="s">
        <v>26604</v>
      </c>
      <c r="V8647" t="s">
        <v>26610</v>
      </c>
      <c r="W8647" t="s">
        <v>832</v>
      </c>
      <c r="X8647">
        <v>846.5</v>
      </c>
      <c r="Y8647" t="s">
        <v>26652</v>
      </c>
      <c r="Z8647" t="s">
        <v>26657</v>
      </c>
      <c r="AB8647" t="s">
        <v>32970</v>
      </c>
      <c r="AC8647" t="s">
        <v>19330</v>
      </c>
      <c r="AD8647" t="s">
        <v>43564</v>
      </c>
      <c r="AE8647">
        <v>241</v>
      </c>
      <c r="AF8647" t="s">
        <v>45541</v>
      </c>
      <c r="AG8647" t="s">
        <v>19330</v>
      </c>
      <c r="AH8647">
        <v>1</v>
      </c>
      <c r="AI8647">
        <v>1</v>
      </c>
      <c r="AJ8647">
        <v>0</v>
      </c>
      <c r="AK8647">
        <v>201.76</v>
      </c>
      <c r="AM8647" t="s">
        <v>45575</v>
      </c>
      <c r="AN8647" t="s">
        <v>7439</v>
      </c>
      <c r="AO8647">
        <v>25200</v>
      </c>
      <c r="AP8647" t="s">
        <v>46098</v>
      </c>
      <c r="AU8647">
        <v>4.1</v>
      </c>
      <c r="AV8647" t="s">
        <v>834</v>
      </c>
      <c r="AW8647" t="s">
        <v>279</v>
      </c>
      <c r="AX8647" t="s">
        <v>46897</v>
      </c>
    </row>
    <row r="8648" spans="1:50">
      <c r="A8648" s="1">
        <f>HYPERLINK("https://lsnyc.legalserver.org/matter/dynamic-profile/view/1902695","19-1902695")</f>
        <v>0</v>
      </c>
      <c r="B8648" t="s">
        <v>209</v>
      </c>
      <c r="C8648" t="s">
        <v>341</v>
      </c>
      <c r="D8648" t="s">
        <v>832</v>
      </c>
      <c r="E8648" t="s">
        <v>839</v>
      </c>
      <c r="F8648" t="s">
        <v>1002</v>
      </c>
      <c r="G8648" t="s">
        <v>7009</v>
      </c>
      <c r="H8648" t="s">
        <v>15537</v>
      </c>
      <c r="I8648" t="s">
        <v>18582</v>
      </c>
      <c r="J8648" t="s">
        <v>18892</v>
      </c>
      <c r="K8648">
        <v>10466</v>
      </c>
      <c r="L8648" t="s">
        <v>18958</v>
      </c>
      <c r="M8648" t="s">
        <v>18960</v>
      </c>
      <c r="N8648" t="s">
        <v>25192</v>
      </c>
      <c r="O8648" t="s">
        <v>26523</v>
      </c>
      <c r="P8648" t="s">
        <v>26564</v>
      </c>
      <c r="Q8648" t="s">
        <v>26570</v>
      </c>
      <c r="R8648" t="s">
        <v>26577</v>
      </c>
      <c r="S8648" t="s">
        <v>18959</v>
      </c>
      <c r="U8648" t="s">
        <v>26604</v>
      </c>
      <c r="V8648" t="s">
        <v>26610</v>
      </c>
      <c r="W8648" t="s">
        <v>832</v>
      </c>
      <c r="X8648">
        <v>1325</v>
      </c>
      <c r="Y8648" t="s">
        <v>26650</v>
      </c>
      <c r="Z8648" t="s">
        <v>26664</v>
      </c>
      <c r="AA8648" t="s">
        <v>26683</v>
      </c>
      <c r="AB8648" t="s">
        <v>32971</v>
      </c>
      <c r="AD8648" t="s">
        <v>43565</v>
      </c>
      <c r="AE8648">
        <v>2</v>
      </c>
      <c r="AF8648" t="s">
        <v>20460</v>
      </c>
      <c r="AG8648" t="s">
        <v>19330</v>
      </c>
      <c r="AH8648">
        <v>1</v>
      </c>
      <c r="AI8648">
        <v>1</v>
      </c>
      <c r="AJ8648">
        <v>0</v>
      </c>
      <c r="AK8648">
        <v>195.88</v>
      </c>
      <c r="AN8648" t="s">
        <v>7439</v>
      </c>
      <c r="AO8648">
        <v>24466</v>
      </c>
      <c r="AU8648">
        <v>0.5</v>
      </c>
      <c r="AV8648" t="s">
        <v>838</v>
      </c>
      <c r="AW8648" t="s">
        <v>335</v>
      </c>
      <c r="AX8648" t="s">
        <v>46897</v>
      </c>
    </row>
    <row r="8649" spans="1:50">
      <c r="A8649" s="1">
        <f>HYPERLINK("https://lsnyc.legalserver.org/matter/dynamic-profile/view/1902616","19-1902616")</f>
        <v>0</v>
      </c>
      <c r="B8649" t="s">
        <v>147</v>
      </c>
      <c r="C8649" t="s">
        <v>340</v>
      </c>
      <c r="D8649" t="s">
        <v>832</v>
      </c>
      <c r="F8649" t="s">
        <v>1172</v>
      </c>
      <c r="G8649" t="s">
        <v>5385</v>
      </c>
      <c r="H8649" t="s">
        <v>15538</v>
      </c>
      <c r="I8649" t="s">
        <v>18552</v>
      </c>
      <c r="J8649" t="s">
        <v>18894</v>
      </c>
      <c r="K8649">
        <v>11220</v>
      </c>
      <c r="L8649" t="s">
        <v>18958</v>
      </c>
      <c r="M8649" t="s">
        <v>18960</v>
      </c>
      <c r="P8649" t="s">
        <v>26560</v>
      </c>
      <c r="R8649" t="s">
        <v>26578</v>
      </c>
      <c r="U8649" t="s">
        <v>26604</v>
      </c>
      <c r="W8649" t="s">
        <v>832</v>
      </c>
      <c r="X8649">
        <v>0</v>
      </c>
      <c r="Y8649" t="s">
        <v>26652</v>
      </c>
      <c r="Z8649" t="s">
        <v>26663</v>
      </c>
      <c r="AB8649" t="s">
        <v>32972</v>
      </c>
      <c r="AE8649">
        <v>0</v>
      </c>
      <c r="AF8649" t="s">
        <v>45543</v>
      </c>
      <c r="AH8649">
        <v>10</v>
      </c>
      <c r="AI8649">
        <v>3</v>
      </c>
      <c r="AJ8649">
        <v>0</v>
      </c>
      <c r="AK8649">
        <v>59.24</v>
      </c>
      <c r="AN8649" t="s">
        <v>45581</v>
      </c>
      <c r="AO8649">
        <v>12636</v>
      </c>
      <c r="AQ8649" t="s">
        <v>46359</v>
      </c>
      <c r="AR8649" t="s">
        <v>46381</v>
      </c>
      <c r="AS8649" t="s">
        <v>46499</v>
      </c>
      <c r="AT8649" t="s">
        <v>46592</v>
      </c>
      <c r="AU8649">
        <v>8.5</v>
      </c>
      <c r="AV8649" t="s">
        <v>838</v>
      </c>
      <c r="AW8649" t="s">
        <v>198</v>
      </c>
    </row>
    <row r="8650" spans="1:50">
      <c r="A8650" s="1">
        <f>HYPERLINK("https://lsnyc.legalserver.org/matter/dynamic-profile/view/1902708","19-1902708")</f>
        <v>0</v>
      </c>
      <c r="B8650" t="s">
        <v>77</v>
      </c>
      <c r="C8650" t="s">
        <v>340</v>
      </c>
      <c r="D8650" t="s">
        <v>832</v>
      </c>
      <c r="F8650" t="s">
        <v>939</v>
      </c>
      <c r="G8650" t="s">
        <v>5633</v>
      </c>
      <c r="H8650" t="s">
        <v>10651</v>
      </c>
      <c r="I8650" t="s">
        <v>18583</v>
      </c>
      <c r="J8650" t="s">
        <v>18893</v>
      </c>
      <c r="K8650">
        <v>10030</v>
      </c>
      <c r="L8650" t="s">
        <v>18959</v>
      </c>
      <c r="M8650" t="s">
        <v>18960</v>
      </c>
      <c r="O8650" t="s">
        <v>18997</v>
      </c>
      <c r="P8650" t="s">
        <v>26565</v>
      </c>
      <c r="R8650" t="s">
        <v>26582</v>
      </c>
      <c r="S8650" t="s">
        <v>18959</v>
      </c>
      <c r="U8650" t="s">
        <v>26604</v>
      </c>
      <c r="V8650" t="s">
        <v>26610</v>
      </c>
      <c r="W8650" t="s">
        <v>832</v>
      </c>
      <c r="X8650">
        <v>1023.63</v>
      </c>
      <c r="Y8650" t="s">
        <v>26651</v>
      </c>
      <c r="Z8650" t="s">
        <v>26659</v>
      </c>
      <c r="AB8650" t="s">
        <v>27789</v>
      </c>
      <c r="AD8650" t="s">
        <v>37840</v>
      </c>
      <c r="AE8650">
        <v>0</v>
      </c>
      <c r="AG8650" t="s">
        <v>45558</v>
      </c>
      <c r="AH8650">
        <v>10</v>
      </c>
      <c r="AI8650">
        <v>1</v>
      </c>
      <c r="AJ8650">
        <v>0</v>
      </c>
      <c r="AK8650">
        <v>18.35</v>
      </c>
      <c r="AN8650" t="s">
        <v>7439</v>
      </c>
      <c r="AO8650">
        <v>2292</v>
      </c>
      <c r="AU8650">
        <v>0.5</v>
      </c>
      <c r="AV8650" t="s">
        <v>832</v>
      </c>
      <c r="AW8650" t="s">
        <v>77</v>
      </c>
      <c r="AX8650" t="s">
        <v>46898</v>
      </c>
    </row>
    <row r="8651" spans="1:50">
      <c r="A8651" s="1">
        <f>HYPERLINK("https://lsnyc.legalserver.org/matter/dynamic-profile/view/1902651","19-1902651")</f>
        <v>0</v>
      </c>
      <c r="B8651" t="s">
        <v>72</v>
      </c>
      <c r="C8651" t="s">
        <v>340</v>
      </c>
      <c r="D8651" t="s">
        <v>832</v>
      </c>
      <c r="F8651" t="s">
        <v>982</v>
      </c>
      <c r="G8651" t="s">
        <v>5100</v>
      </c>
      <c r="H8651" t="s">
        <v>15539</v>
      </c>
      <c r="I8651" t="s">
        <v>17272</v>
      </c>
      <c r="J8651" t="s">
        <v>18893</v>
      </c>
      <c r="K8651">
        <v>10040</v>
      </c>
      <c r="L8651" t="s">
        <v>18958</v>
      </c>
      <c r="M8651" t="s">
        <v>18960</v>
      </c>
      <c r="N8651" t="s">
        <v>25193</v>
      </c>
      <c r="O8651" t="s">
        <v>26523</v>
      </c>
      <c r="P8651" t="s">
        <v>26560</v>
      </c>
      <c r="R8651" t="s">
        <v>26578</v>
      </c>
      <c r="S8651" t="s">
        <v>18958</v>
      </c>
      <c r="U8651" t="s">
        <v>26604</v>
      </c>
      <c r="V8651" t="s">
        <v>26610</v>
      </c>
      <c r="W8651" t="s">
        <v>832</v>
      </c>
      <c r="X8651">
        <v>1353.32</v>
      </c>
      <c r="Y8651" t="s">
        <v>26651</v>
      </c>
      <c r="Z8651" t="s">
        <v>26659</v>
      </c>
      <c r="AB8651" t="s">
        <v>32973</v>
      </c>
      <c r="AD8651" t="s">
        <v>43566</v>
      </c>
      <c r="AE8651">
        <v>45</v>
      </c>
      <c r="AF8651" t="s">
        <v>45541</v>
      </c>
      <c r="AH8651">
        <v>28</v>
      </c>
      <c r="AI8651">
        <v>4</v>
      </c>
      <c r="AJ8651">
        <v>0</v>
      </c>
      <c r="AK8651">
        <v>192.62</v>
      </c>
      <c r="AM8651" t="s">
        <v>45580</v>
      </c>
      <c r="AN8651" t="s">
        <v>45581</v>
      </c>
      <c r="AO8651">
        <v>49600</v>
      </c>
      <c r="AU8651">
        <v>3</v>
      </c>
      <c r="AV8651" t="s">
        <v>773</v>
      </c>
      <c r="AW8651" t="s">
        <v>72</v>
      </c>
      <c r="AX8651" t="s">
        <v>46897</v>
      </c>
    </row>
    <row r="8652" spans="1:50">
      <c r="A8652" s="1">
        <f>HYPERLINK("https://lsnyc.legalserver.org/matter/dynamic-profile/view/1902632","19-1902632")</f>
        <v>0</v>
      </c>
      <c r="B8652" t="s">
        <v>71</v>
      </c>
      <c r="C8652" t="s">
        <v>340</v>
      </c>
      <c r="D8652" t="s">
        <v>832</v>
      </c>
      <c r="F8652" t="s">
        <v>1424</v>
      </c>
      <c r="G8652" t="s">
        <v>7716</v>
      </c>
      <c r="H8652" t="s">
        <v>15540</v>
      </c>
      <c r="I8652" t="s">
        <v>17275</v>
      </c>
      <c r="J8652" t="s">
        <v>18892</v>
      </c>
      <c r="K8652">
        <v>10467</v>
      </c>
      <c r="L8652" t="s">
        <v>18958</v>
      </c>
      <c r="M8652" t="s">
        <v>18960</v>
      </c>
      <c r="N8652" t="s">
        <v>25194</v>
      </c>
      <c r="O8652" t="s">
        <v>26523</v>
      </c>
      <c r="P8652" t="s">
        <v>26560</v>
      </c>
      <c r="R8652" t="s">
        <v>26579</v>
      </c>
      <c r="U8652" t="s">
        <v>26604</v>
      </c>
      <c r="W8652" t="s">
        <v>832</v>
      </c>
      <c r="X8652">
        <v>1135.63</v>
      </c>
      <c r="Y8652" t="s">
        <v>26650</v>
      </c>
      <c r="AB8652" t="s">
        <v>32657</v>
      </c>
      <c r="AD8652" t="s">
        <v>43567</v>
      </c>
      <c r="AE8652">
        <v>2</v>
      </c>
      <c r="AF8652" t="s">
        <v>45543</v>
      </c>
      <c r="AG8652" t="s">
        <v>45556</v>
      </c>
      <c r="AH8652">
        <v>2</v>
      </c>
      <c r="AI8652">
        <v>1</v>
      </c>
      <c r="AJ8652">
        <v>2</v>
      </c>
      <c r="AK8652">
        <v>48.29</v>
      </c>
      <c r="AN8652" t="s">
        <v>7439</v>
      </c>
      <c r="AO8652">
        <v>10300</v>
      </c>
      <c r="AU8652">
        <v>1.5</v>
      </c>
      <c r="AV8652" t="s">
        <v>832</v>
      </c>
      <c r="AW8652" t="s">
        <v>46867</v>
      </c>
      <c r="AX8652" t="s">
        <v>46897</v>
      </c>
    </row>
    <row r="8653" spans="1:50">
      <c r="A8653" s="1">
        <f>HYPERLINK("https://lsnyc.legalserver.org/matter/dynamic-profile/view/1902626","19-1902626")</f>
        <v>0</v>
      </c>
      <c r="B8653" t="s">
        <v>103</v>
      </c>
      <c r="C8653" t="s">
        <v>340</v>
      </c>
      <c r="D8653" t="s">
        <v>832</v>
      </c>
      <c r="F8653" t="s">
        <v>1062</v>
      </c>
      <c r="G8653" t="s">
        <v>8770</v>
      </c>
      <c r="H8653" t="s">
        <v>15541</v>
      </c>
      <c r="I8653" t="s">
        <v>17299</v>
      </c>
      <c r="J8653" t="s">
        <v>18902</v>
      </c>
      <c r="K8653">
        <v>10303</v>
      </c>
      <c r="L8653" t="s">
        <v>18958</v>
      </c>
      <c r="M8653" t="s">
        <v>18960</v>
      </c>
      <c r="N8653" t="s">
        <v>25195</v>
      </c>
      <c r="O8653" t="s">
        <v>26523</v>
      </c>
      <c r="R8653" t="s">
        <v>26590</v>
      </c>
      <c r="S8653" t="s">
        <v>18959</v>
      </c>
      <c r="U8653" t="s">
        <v>26604</v>
      </c>
      <c r="V8653" t="s">
        <v>26610</v>
      </c>
      <c r="W8653" t="s">
        <v>832</v>
      </c>
      <c r="X8653">
        <v>337</v>
      </c>
      <c r="Y8653" t="s">
        <v>26654</v>
      </c>
      <c r="Z8653" t="s">
        <v>26668</v>
      </c>
      <c r="AB8653" t="s">
        <v>32974</v>
      </c>
      <c r="AD8653" t="s">
        <v>43568</v>
      </c>
      <c r="AE8653">
        <v>0</v>
      </c>
      <c r="AF8653" t="s">
        <v>45543</v>
      </c>
      <c r="AG8653" t="s">
        <v>19330</v>
      </c>
      <c r="AH8653">
        <v>7</v>
      </c>
      <c r="AI8653">
        <v>1</v>
      </c>
      <c r="AJ8653">
        <v>1</v>
      </c>
      <c r="AK8653">
        <v>0</v>
      </c>
      <c r="AN8653" t="s">
        <v>7439</v>
      </c>
      <c r="AO8653">
        <v>0</v>
      </c>
      <c r="AU8653">
        <v>0.5</v>
      </c>
      <c r="AV8653" t="s">
        <v>821</v>
      </c>
      <c r="AW8653" t="s">
        <v>46883</v>
      </c>
      <c r="AX8653" t="s">
        <v>46897</v>
      </c>
    </row>
    <row r="8654" spans="1:50">
      <c r="A8654" s="1">
        <f>HYPERLINK("https://lsnyc.legalserver.org/matter/dynamic-profile/view/1899187","19-1899187")</f>
        <v>0</v>
      </c>
      <c r="B8654" t="s">
        <v>67</v>
      </c>
      <c r="C8654" t="s">
        <v>340</v>
      </c>
      <c r="D8654" t="s">
        <v>671</v>
      </c>
      <c r="F8654" t="s">
        <v>2854</v>
      </c>
      <c r="G8654" t="s">
        <v>8771</v>
      </c>
      <c r="H8654" t="s">
        <v>15542</v>
      </c>
      <c r="I8654" t="s">
        <v>18584</v>
      </c>
      <c r="J8654" t="s">
        <v>18892</v>
      </c>
      <c r="K8654">
        <v>10458</v>
      </c>
      <c r="L8654" t="s">
        <v>18958</v>
      </c>
      <c r="M8654" t="s">
        <v>18960</v>
      </c>
      <c r="P8654" t="s">
        <v>26564</v>
      </c>
      <c r="R8654" t="s">
        <v>26578</v>
      </c>
      <c r="S8654" t="s">
        <v>18959</v>
      </c>
      <c r="U8654" t="s">
        <v>26604</v>
      </c>
      <c r="W8654" t="s">
        <v>773</v>
      </c>
      <c r="X8654">
        <v>1585.54</v>
      </c>
      <c r="Y8654" t="s">
        <v>26650</v>
      </c>
      <c r="Z8654" t="s">
        <v>26663</v>
      </c>
      <c r="AB8654" t="s">
        <v>29773</v>
      </c>
      <c r="AD8654" t="s">
        <v>43569</v>
      </c>
      <c r="AE8654">
        <v>53</v>
      </c>
      <c r="AF8654" t="s">
        <v>45541</v>
      </c>
      <c r="AG8654" t="s">
        <v>45557</v>
      </c>
      <c r="AH8654">
        <v>20</v>
      </c>
      <c r="AI8654">
        <v>1</v>
      </c>
      <c r="AJ8654">
        <v>0</v>
      </c>
      <c r="AK8654">
        <v>87.91</v>
      </c>
      <c r="AN8654" t="s">
        <v>45581</v>
      </c>
      <c r="AO8654">
        <v>10980</v>
      </c>
      <c r="AU8654">
        <v>0.5</v>
      </c>
      <c r="AV8654" t="s">
        <v>773</v>
      </c>
      <c r="AW8654" t="s">
        <v>336</v>
      </c>
      <c r="AX8654" t="s">
        <v>46897</v>
      </c>
    </row>
    <row r="8655" spans="1:50">
      <c r="A8655" s="1">
        <f>HYPERLINK("https://lsnyc.legalserver.org/matter/dynamic-profile/view/1897943","19-1897943")</f>
        <v>0</v>
      </c>
      <c r="B8655" t="s">
        <v>135</v>
      </c>
      <c r="C8655" t="s">
        <v>340</v>
      </c>
      <c r="D8655" t="s">
        <v>766</v>
      </c>
      <c r="F8655" t="s">
        <v>4330</v>
      </c>
      <c r="G8655" t="s">
        <v>6985</v>
      </c>
      <c r="H8655" t="s">
        <v>15543</v>
      </c>
      <c r="I8655" t="s">
        <v>17349</v>
      </c>
      <c r="J8655" t="s">
        <v>18892</v>
      </c>
      <c r="K8655">
        <v>10453</v>
      </c>
      <c r="L8655" t="s">
        <v>18958</v>
      </c>
      <c r="M8655" t="s">
        <v>18958</v>
      </c>
      <c r="P8655" t="s">
        <v>26564</v>
      </c>
      <c r="R8655" t="s">
        <v>26578</v>
      </c>
      <c r="S8655" t="s">
        <v>18959</v>
      </c>
      <c r="U8655" t="s">
        <v>26604</v>
      </c>
      <c r="W8655" t="s">
        <v>773</v>
      </c>
      <c r="X8655">
        <v>178</v>
      </c>
      <c r="Y8655" t="s">
        <v>26650</v>
      </c>
      <c r="Z8655" t="s">
        <v>26663</v>
      </c>
      <c r="AB8655" t="s">
        <v>32975</v>
      </c>
      <c r="AE8655">
        <v>56</v>
      </c>
      <c r="AF8655" t="s">
        <v>45549</v>
      </c>
      <c r="AG8655" t="s">
        <v>26530</v>
      </c>
      <c r="AH8655">
        <v>20</v>
      </c>
      <c r="AI8655">
        <v>1</v>
      </c>
      <c r="AJ8655">
        <v>1</v>
      </c>
      <c r="AK8655">
        <v>60.86</v>
      </c>
      <c r="AN8655" t="s">
        <v>7439</v>
      </c>
      <c r="AO8655">
        <v>10292</v>
      </c>
      <c r="AU8655">
        <v>1.2</v>
      </c>
      <c r="AV8655" t="s">
        <v>819</v>
      </c>
      <c r="AW8655" t="s">
        <v>46847</v>
      </c>
      <c r="AX8655" t="s">
        <v>46897</v>
      </c>
    </row>
    <row r="8656" spans="1:50">
      <c r="A8656" s="1">
        <f>HYPERLINK("https://lsnyc.legalserver.org/matter/dynamic-profile/view/1902286","19-1902286")</f>
        <v>0</v>
      </c>
      <c r="B8656" t="s">
        <v>107</v>
      </c>
      <c r="C8656" t="s">
        <v>340</v>
      </c>
      <c r="D8656" t="s">
        <v>826</v>
      </c>
      <c r="F8656" t="s">
        <v>993</v>
      </c>
      <c r="G8656" t="s">
        <v>5832</v>
      </c>
      <c r="H8656" t="s">
        <v>11829</v>
      </c>
      <c r="I8656" t="s">
        <v>17436</v>
      </c>
      <c r="J8656" t="s">
        <v>18892</v>
      </c>
      <c r="K8656">
        <v>10468</v>
      </c>
      <c r="L8656" t="s">
        <v>18958</v>
      </c>
      <c r="M8656" t="s">
        <v>18960</v>
      </c>
      <c r="N8656" t="s">
        <v>25196</v>
      </c>
      <c r="O8656" t="s">
        <v>26524</v>
      </c>
      <c r="P8656" t="s">
        <v>26560</v>
      </c>
      <c r="R8656" t="s">
        <v>26585</v>
      </c>
      <c r="S8656" t="s">
        <v>18959</v>
      </c>
      <c r="U8656" t="s">
        <v>26604</v>
      </c>
      <c r="V8656" t="s">
        <v>26610</v>
      </c>
      <c r="W8656" t="s">
        <v>773</v>
      </c>
      <c r="X8656">
        <v>1000</v>
      </c>
      <c r="Y8656" t="s">
        <v>26653</v>
      </c>
      <c r="Z8656" t="s">
        <v>26668</v>
      </c>
      <c r="AB8656" t="s">
        <v>27024</v>
      </c>
      <c r="AC8656" t="s">
        <v>19330</v>
      </c>
      <c r="AD8656" t="s">
        <v>43570</v>
      </c>
      <c r="AE8656">
        <v>2</v>
      </c>
      <c r="AF8656" t="s">
        <v>45547</v>
      </c>
      <c r="AG8656" t="s">
        <v>19330</v>
      </c>
      <c r="AH8656">
        <v>21</v>
      </c>
      <c r="AI8656">
        <v>3</v>
      </c>
      <c r="AJ8656">
        <v>1</v>
      </c>
      <c r="AK8656">
        <v>19.81</v>
      </c>
      <c r="AN8656" t="s">
        <v>7439</v>
      </c>
      <c r="AO8656">
        <v>5100</v>
      </c>
      <c r="AQ8656" t="s">
        <v>46362</v>
      </c>
      <c r="AR8656" t="s">
        <v>26530</v>
      </c>
      <c r="AS8656" t="s">
        <v>46500</v>
      </c>
      <c r="AT8656" t="s">
        <v>46754</v>
      </c>
      <c r="AU8656">
        <v>1.92</v>
      </c>
      <c r="AV8656" t="s">
        <v>832</v>
      </c>
      <c r="AW8656" t="s">
        <v>46846</v>
      </c>
      <c r="AX8656" t="s">
        <v>46897</v>
      </c>
    </row>
    <row r="8657" spans="1:50">
      <c r="A8657" s="1">
        <f>HYPERLINK("https://lsnyc.legalserver.org/matter/dynamic-profile/view/1902691","19-1902691")</f>
        <v>0</v>
      </c>
      <c r="B8657" t="s">
        <v>141</v>
      </c>
      <c r="C8657" t="s">
        <v>341</v>
      </c>
      <c r="D8657" t="s">
        <v>832</v>
      </c>
      <c r="E8657" t="s">
        <v>773</v>
      </c>
      <c r="F8657" t="s">
        <v>4331</v>
      </c>
      <c r="G8657" t="s">
        <v>8772</v>
      </c>
      <c r="H8657" t="s">
        <v>15544</v>
      </c>
      <c r="J8657" t="s">
        <v>18939</v>
      </c>
      <c r="K8657">
        <v>11423</v>
      </c>
      <c r="L8657" t="s">
        <v>18958</v>
      </c>
      <c r="M8657" t="s">
        <v>18960</v>
      </c>
      <c r="N8657" t="s">
        <v>18993</v>
      </c>
      <c r="O8657" t="s">
        <v>18997</v>
      </c>
      <c r="P8657" t="s">
        <v>26564</v>
      </c>
      <c r="Q8657" t="s">
        <v>26570</v>
      </c>
      <c r="R8657" t="s">
        <v>26589</v>
      </c>
      <c r="S8657" t="s">
        <v>18959</v>
      </c>
      <c r="U8657" t="s">
        <v>26607</v>
      </c>
      <c r="V8657" t="s">
        <v>26610</v>
      </c>
      <c r="W8657" t="s">
        <v>773</v>
      </c>
      <c r="X8657">
        <v>0</v>
      </c>
      <c r="Y8657" t="s">
        <v>26653</v>
      </c>
      <c r="Z8657" t="s">
        <v>26671</v>
      </c>
      <c r="AA8657" t="s">
        <v>26683</v>
      </c>
      <c r="AB8657" t="s">
        <v>32976</v>
      </c>
      <c r="AC8657" t="s">
        <v>19330</v>
      </c>
      <c r="AD8657" t="s">
        <v>43571</v>
      </c>
      <c r="AE8657">
        <v>1</v>
      </c>
      <c r="AF8657" t="s">
        <v>45547</v>
      </c>
      <c r="AG8657" t="s">
        <v>19330</v>
      </c>
      <c r="AH8657">
        <v>10</v>
      </c>
      <c r="AI8657">
        <v>2</v>
      </c>
      <c r="AJ8657">
        <v>1</v>
      </c>
      <c r="AK8657">
        <v>75.01000000000001</v>
      </c>
      <c r="AL8657" t="s">
        <v>45567</v>
      </c>
      <c r="AM8657" t="s">
        <v>45577</v>
      </c>
      <c r="AN8657" t="s">
        <v>7439</v>
      </c>
      <c r="AO8657">
        <v>16000</v>
      </c>
      <c r="AU8657">
        <v>1.2</v>
      </c>
      <c r="AV8657" t="s">
        <v>773</v>
      </c>
      <c r="AW8657" t="s">
        <v>141</v>
      </c>
      <c r="AX8657" t="s">
        <v>46897</v>
      </c>
    </row>
    <row r="8658" spans="1:50">
      <c r="A8658" s="1">
        <f>HYPERLINK("https://lsnyc.legalserver.org/matter/dynamic-profile/view/1902666","19-1902666")</f>
        <v>0</v>
      </c>
      <c r="B8658" t="s">
        <v>141</v>
      </c>
      <c r="C8658" t="s">
        <v>341</v>
      </c>
      <c r="D8658" t="s">
        <v>832</v>
      </c>
      <c r="E8658" t="s">
        <v>773</v>
      </c>
      <c r="F8658" t="s">
        <v>1241</v>
      </c>
      <c r="G8658" t="s">
        <v>8773</v>
      </c>
      <c r="H8658" t="s">
        <v>15545</v>
      </c>
      <c r="I8658" t="s">
        <v>17271</v>
      </c>
      <c r="J8658" t="s">
        <v>18914</v>
      </c>
      <c r="K8658">
        <v>11104</v>
      </c>
      <c r="L8658" t="s">
        <v>18958</v>
      </c>
      <c r="M8658" t="s">
        <v>18960</v>
      </c>
      <c r="N8658" t="s">
        <v>18993</v>
      </c>
      <c r="O8658" t="s">
        <v>18997</v>
      </c>
      <c r="P8658" t="s">
        <v>26564</v>
      </c>
      <c r="Q8658" t="s">
        <v>26570</v>
      </c>
      <c r="R8658" t="s">
        <v>26589</v>
      </c>
      <c r="S8658" t="s">
        <v>18959</v>
      </c>
      <c r="U8658" t="s">
        <v>26607</v>
      </c>
      <c r="V8658" t="s">
        <v>26610</v>
      </c>
      <c r="W8658" t="s">
        <v>773</v>
      </c>
      <c r="X8658">
        <v>1186.17</v>
      </c>
      <c r="Y8658" t="s">
        <v>26653</v>
      </c>
      <c r="Z8658" t="s">
        <v>26671</v>
      </c>
      <c r="AA8658" t="s">
        <v>26683</v>
      </c>
      <c r="AB8658" t="s">
        <v>32219</v>
      </c>
      <c r="AC8658" t="s">
        <v>19330</v>
      </c>
      <c r="AD8658" t="s">
        <v>43572</v>
      </c>
      <c r="AE8658">
        <v>79</v>
      </c>
      <c r="AF8658" t="s">
        <v>45541</v>
      </c>
      <c r="AG8658" t="s">
        <v>19330</v>
      </c>
      <c r="AH8658">
        <v>27</v>
      </c>
      <c r="AI8658">
        <v>1</v>
      </c>
      <c r="AJ8658">
        <v>0</v>
      </c>
      <c r="AK8658">
        <v>128.1</v>
      </c>
      <c r="AL8658" t="s">
        <v>45567</v>
      </c>
      <c r="AM8658" t="s">
        <v>45577</v>
      </c>
      <c r="AN8658" t="s">
        <v>7439</v>
      </c>
      <c r="AO8658">
        <v>16000</v>
      </c>
      <c r="AU8658">
        <v>1.2</v>
      </c>
      <c r="AV8658" t="s">
        <v>773</v>
      </c>
      <c r="AW8658" t="s">
        <v>141</v>
      </c>
      <c r="AX8658" t="s">
        <v>46897</v>
      </c>
    </row>
    <row r="8659" spans="1:50">
      <c r="A8659" s="1">
        <f>HYPERLINK("https://lsnyc.legalserver.org/matter/dynamic-profile/view/1902775","19-1902775")</f>
        <v>0</v>
      </c>
      <c r="B8659" t="s">
        <v>147</v>
      </c>
      <c r="C8659" t="s">
        <v>340</v>
      </c>
      <c r="D8659" t="s">
        <v>773</v>
      </c>
      <c r="F8659" t="s">
        <v>4332</v>
      </c>
      <c r="G8659" t="s">
        <v>7061</v>
      </c>
      <c r="H8659" t="s">
        <v>15546</v>
      </c>
      <c r="I8659" t="s">
        <v>18552</v>
      </c>
      <c r="J8659" t="s">
        <v>18894</v>
      </c>
      <c r="K8659">
        <v>11203</v>
      </c>
      <c r="L8659" t="s">
        <v>18958</v>
      </c>
      <c r="M8659" t="s">
        <v>18960</v>
      </c>
      <c r="R8659" t="s">
        <v>26578</v>
      </c>
      <c r="U8659" t="s">
        <v>26604</v>
      </c>
      <c r="W8659" t="s">
        <v>773</v>
      </c>
      <c r="X8659">
        <v>0</v>
      </c>
      <c r="Y8659" t="s">
        <v>26652</v>
      </c>
      <c r="AB8659" t="s">
        <v>32977</v>
      </c>
      <c r="AD8659" t="s">
        <v>43573</v>
      </c>
      <c r="AE8659">
        <v>0</v>
      </c>
      <c r="AH8659">
        <v>0</v>
      </c>
      <c r="AI8659">
        <v>2</v>
      </c>
      <c r="AJ8659">
        <v>0</v>
      </c>
      <c r="AK8659">
        <v>152.57</v>
      </c>
      <c r="AN8659" t="s">
        <v>7439</v>
      </c>
      <c r="AO8659">
        <v>25800</v>
      </c>
      <c r="AU8659">
        <v>0.4</v>
      </c>
      <c r="AV8659" t="s">
        <v>773</v>
      </c>
      <c r="AW8659" t="s">
        <v>198</v>
      </c>
    </row>
    <row r="8660" spans="1:50">
      <c r="A8660" s="1">
        <f>HYPERLINK("https://lsnyc.legalserver.org/matter/dynamic-profile/view/1902742","19-1902742")</f>
        <v>0</v>
      </c>
      <c r="B8660" t="s">
        <v>94</v>
      </c>
      <c r="C8660" t="s">
        <v>340</v>
      </c>
      <c r="D8660" t="s">
        <v>773</v>
      </c>
      <c r="F8660" t="s">
        <v>1058</v>
      </c>
      <c r="G8660" t="s">
        <v>7602</v>
      </c>
      <c r="H8660" t="s">
        <v>15547</v>
      </c>
      <c r="I8660" t="s">
        <v>17292</v>
      </c>
      <c r="J8660" t="s">
        <v>18893</v>
      </c>
      <c r="K8660">
        <v>10029</v>
      </c>
      <c r="L8660" t="s">
        <v>18958</v>
      </c>
      <c r="M8660" t="s">
        <v>18960</v>
      </c>
      <c r="N8660" t="s">
        <v>25197</v>
      </c>
      <c r="O8660" t="s">
        <v>26523</v>
      </c>
      <c r="P8660" t="s">
        <v>26563</v>
      </c>
      <c r="R8660" t="s">
        <v>26582</v>
      </c>
      <c r="S8660" t="s">
        <v>18959</v>
      </c>
      <c r="U8660" t="s">
        <v>26605</v>
      </c>
      <c r="V8660" t="s">
        <v>26614</v>
      </c>
      <c r="W8660" t="s">
        <v>773</v>
      </c>
      <c r="X8660">
        <v>350</v>
      </c>
      <c r="Y8660" t="s">
        <v>26651</v>
      </c>
      <c r="Z8660" t="s">
        <v>26664</v>
      </c>
      <c r="AB8660" t="s">
        <v>28369</v>
      </c>
      <c r="AD8660" t="s">
        <v>43574</v>
      </c>
      <c r="AE8660">
        <v>0</v>
      </c>
      <c r="AF8660" t="s">
        <v>45543</v>
      </c>
      <c r="AG8660" t="s">
        <v>19330</v>
      </c>
      <c r="AH8660">
        <v>13</v>
      </c>
      <c r="AI8660">
        <v>1</v>
      </c>
      <c r="AJ8660">
        <v>0</v>
      </c>
      <c r="AK8660">
        <v>160.13</v>
      </c>
      <c r="AN8660" t="s">
        <v>7439</v>
      </c>
      <c r="AO8660">
        <v>20000</v>
      </c>
      <c r="AU8660">
        <v>17.75</v>
      </c>
      <c r="AV8660" t="s">
        <v>821</v>
      </c>
      <c r="AW8660" t="s">
        <v>314</v>
      </c>
      <c r="AX8660" t="s">
        <v>46897</v>
      </c>
    </row>
    <row r="8661" spans="1:50">
      <c r="A8661" s="1">
        <f>HYPERLINK("https://lsnyc.legalserver.org/matter/dynamic-profile/view/1902722","19-1902722")</f>
        <v>0</v>
      </c>
      <c r="B8661" t="s">
        <v>94</v>
      </c>
      <c r="C8661" t="s">
        <v>340</v>
      </c>
      <c r="D8661" t="s">
        <v>773</v>
      </c>
      <c r="F8661" t="s">
        <v>4333</v>
      </c>
      <c r="G8661" t="s">
        <v>8774</v>
      </c>
      <c r="H8661" t="s">
        <v>15548</v>
      </c>
      <c r="I8661" t="s">
        <v>18585</v>
      </c>
      <c r="J8661" t="s">
        <v>18893</v>
      </c>
      <c r="K8661">
        <v>10025</v>
      </c>
      <c r="L8661" t="s">
        <v>18958</v>
      </c>
      <c r="M8661" t="s">
        <v>18960</v>
      </c>
      <c r="N8661" t="s">
        <v>25198</v>
      </c>
      <c r="O8661" t="s">
        <v>26524</v>
      </c>
      <c r="P8661" t="s">
        <v>26560</v>
      </c>
      <c r="R8661" t="s">
        <v>26580</v>
      </c>
      <c r="S8661" t="s">
        <v>18959</v>
      </c>
      <c r="U8661" t="s">
        <v>26604</v>
      </c>
      <c r="W8661" t="s">
        <v>773</v>
      </c>
      <c r="X8661">
        <v>0</v>
      </c>
      <c r="Y8661" t="s">
        <v>26651</v>
      </c>
      <c r="Z8661" t="s">
        <v>26668</v>
      </c>
      <c r="AB8661" t="s">
        <v>32978</v>
      </c>
      <c r="AD8661" t="s">
        <v>43575</v>
      </c>
      <c r="AE8661">
        <v>0</v>
      </c>
      <c r="AF8661" t="s">
        <v>20460</v>
      </c>
      <c r="AG8661" t="s">
        <v>19330</v>
      </c>
      <c r="AH8661">
        <v>1</v>
      </c>
      <c r="AI8661">
        <v>2</v>
      </c>
      <c r="AJ8661">
        <v>2</v>
      </c>
      <c r="AK8661">
        <v>161.55</v>
      </c>
      <c r="AN8661" t="s">
        <v>7439</v>
      </c>
      <c r="AO8661">
        <v>41600</v>
      </c>
      <c r="AU8661">
        <v>1.2</v>
      </c>
      <c r="AV8661" t="s">
        <v>834</v>
      </c>
      <c r="AW8661" t="s">
        <v>46875</v>
      </c>
      <c r="AX8661" t="s">
        <v>46898</v>
      </c>
    </row>
    <row r="8662" spans="1:50">
      <c r="A8662" s="1">
        <f>HYPERLINK("https://lsnyc.legalserver.org/matter/dynamic-profile/view/1903120","19-1903120")</f>
        <v>0</v>
      </c>
      <c r="B8662" t="s">
        <v>262</v>
      </c>
      <c r="C8662" t="s">
        <v>340</v>
      </c>
      <c r="D8662" t="s">
        <v>773</v>
      </c>
      <c r="F8662" t="s">
        <v>871</v>
      </c>
      <c r="G8662" t="s">
        <v>8775</v>
      </c>
      <c r="H8662" t="s">
        <v>15549</v>
      </c>
      <c r="I8662">
        <v>3</v>
      </c>
      <c r="J8662" t="s">
        <v>18892</v>
      </c>
      <c r="K8662">
        <v>10467</v>
      </c>
      <c r="L8662" t="s">
        <v>18958</v>
      </c>
      <c r="M8662" t="s">
        <v>18960</v>
      </c>
      <c r="N8662" t="s">
        <v>25199</v>
      </c>
      <c r="O8662" t="s">
        <v>26523</v>
      </c>
      <c r="P8662" t="s">
        <v>26560</v>
      </c>
      <c r="R8662" t="s">
        <v>26579</v>
      </c>
      <c r="S8662" t="s">
        <v>18959</v>
      </c>
      <c r="U8662" t="s">
        <v>26604</v>
      </c>
      <c r="V8662" t="s">
        <v>26611</v>
      </c>
      <c r="W8662" t="s">
        <v>773</v>
      </c>
      <c r="X8662">
        <v>1523.88</v>
      </c>
      <c r="Y8662" t="s">
        <v>26650</v>
      </c>
      <c r="Z8662" t="s">
        <v>26664</v>
      </c>
      <c r="AB8662" t="s">
        <v>32979</v>
      </c>
      <c r="AD8662" t="s">
        <v>43576</v>
      </c>
      <c r="AE8662">
        <v>3</v>
      </c>
      <c r="AF8662" t="s">
        <v>45547</v>
      </c>
      <c r="AG8662" t="s">
        <v>45556</v>
      </c>
      <c r="AH8662">
        <v>11</v>
      </c>
      <c r="AI8662">
        <v>4</v>
      </c>
      <c r="AJ8662">
        <v>1</v>
      </c>
      <c r="AK8662">
        <v>31.02</v>
      </c>
      <c r="AN8662" t="s">
        <v>45581</v>
      </c>
      <c r="AO8662">
        <v>9360</v>
      </c>
      <c r="AU8662">
        <v>2.9</v>
      </c>
      <c r="AV8662" t="s">
        <v>836</v>
      </c>
      <c r="AW8662" t="s">
        <v>336</v>
      </c>
      <c r="AX8662" t="s">
        <v>46897</v>
      </c>
    </row>
    <row r="8663" spans="1:50">
      <c r="A8663" s="1">
        <f>HYPERLINK("https://lsnyc.legalserver.org/matter/dynamic-profile/view/1902780","19-1902780")</f>
        <v>0</v>
      </c>
      <c r="B8663" t="s">
        <v>86</v>
      </c>
      <c r="C8663" t="s">
        <v>340</v>
      </c>
      <c r="D8663" t="s">
        <v>773</v>
      </c>
      <c r="F8663" t="s">
        <v>1830</v>
      </c>
      <c r="G8663" t="s">
        <v>8776</v>
      </c>
      <c r="H8663" t="s">
        <v>12662</v>
      </c>
      <c r="I8663" t="s">
        <v>18586</v>
      </c>
      <c r="J8663" t="s">
        <v>18893</v>
      </c>
      <c r="K8663">
        <v>10026</v>
      </c>
      <c r="L8663" t="s">
        <v>18958</v>
      </c>
      <c r="M8663" t="s">
        <v>18960</v>
      </c>
      <c r="N8663" t="s">
        <v>25200</v>
      </c>
      <c r="O8663" t="s">
        <v>26523</v>
      </c>
      <c r="P8663" t="s">
        <v>26560</v>
      </c>
      <c r="R8663" t="s">
        <v>26580</v>
      </c>
      <c r="S8663" t="s">
        <v>18959</v>
      </c>
      <c r="U8663" t="s">
        <v>26604</v>
      </c>
      <c r="W8663" t="s">
        <v>773</v>
      </c>
      <c r="X8663">
        <v>250</v>
      </c>
      <c r="Y8663" t="s">
        <v>26651</v>
      </c>
      <c r="Z8663" t="s">
        <v>26664</v>
      </c>
      <c r="AB8663" t="s">
        <v>27728</v>
      </c>
      <c r="AD8663" t="s">
        <v>43577</v>
      </c>
      <c r="AE8663">
        <v>0</v>
      </c>
      <c r="AF8663" t="s">
        <v>45541</v>
      </c>
      <c r="AG8663" t="s">
        <v>26530</v>
      </c>
      <c r="AH8663">
        <v>15</v>
      </c>
      <c r="AI8663">
        <v>1</v>
      </c>
      <c r="AJ8663">
        <v>0</v>
      </c>
      <c r="AK8663">
        <v>0</v>
      </c>
      <c r="AN8663" t="s">
        <v>7439</v>
      </c>
      <c r="AO8663">
        <v>0</v>
      </c>
      <c r="AU8663">
        <v>2.2</v>
      </c>
      <c r="AV8663" t="s">
        <v>838</v>
      </c>
      <c r="AW8663" t="s">
        <v>46875</v>
      </c>
      <c r="AX8663" t="s">
        <v>46897</v>
      </c>
    </row>
    <row r="8664" spans="1:50">
      <c r="A8664" s="1">
        <f>HYPERLINK("https://lsnyc.legalserver.org/matter/dynamic-profile/view/1902732","19-1902732")</f>
        <v>0</v>
      </c>
      <c r="B8664" t="s">
        <v>86</v>
      </c>
      <c r="C8664" t="s">
        <v>340</v>
      </c>
      <c r="D8664" t="s">
        <v>773</v>
      </c>
      <c r="F8664" t="s">
        <v>4334</v>
      </c>
      <c r="G8664" t="s">
        <v>8777</v>
      </c>
      <c r="H8664" t="s">
        <v>15550</v>
      </c>
      <c r="I8664" t="s">
        <v>17322</v>
      </c>
      <c r="J8664" t="s">
        <v>18893</v>
      </c>
      <c r="K8664">
        <v>10026</v>
      </c>
      <c r="L8664" t="s">
        <v>18958</v>
      </c>
      <c r="M8664" t="s">
        <v>18960</v>
      </c>
      <c r="N8664" t="s">
        <v>25201</v>
      </c>
      <c r="O8664" t="s">
        <v>26524</v>
      </c>
      <c r="P8664" t="s">
        <v>26560</v>
      </c>
      <c r="R8664" t="s">
        <v>26580</v>
      </c>
      <c r="S8664" t="s">
        <v>18959</v>
      </c>
      <c r="U8664" t="s">
        <v>26604</v>
      </c>
      <c r="V8664" t="s">
        <v>26614</v>
      </c>
      <c r="W8664" t="s">
        <v>773</v>
      </c>
      <c r="X8664">
        <v>910.74</v>
      </c>
      <c r="Y8664" t="s">
        <v>26651</v>
      </c>
      <c r="Z8664" t="s">
        <v>26664</v>
      </c>
      <c r="AB8664" t="s">
        <v>32980</v>
      </c>
      <c r="AD8664" t="s">
        <v>43578</v>
      </c>
      <c r="AE8664">
        <v>0</v>
      </c>
      <c r="AF8664" t="s">
        <v>45541</v>
      </c>
      <c r="AG8664" t="s">
        <v>19330</v>
      </c>
      <c r="AH8664">
        <v>13</v>
      </c>
      <c r="AI8664">
        <v>1</v>
      </c>
      <c r="AJ8664">
        <v>1</v>
      </c>
      <c r="AK8664">
        <v>106.45</v>
      </c>
      <c r="AN8664" t="s">
        <v>7439</v>
      </c>
      <c r="AO8664">
        <v>18000</v>
      </c>
      <c r="AU8664">
        <v>11</v>
      </c>
      <c r="AV8664" t="s">
        <v>839</v>
      </c>
      <c r="AW8664" t="s">
        <v>314</v>
      </c>
      <c r="AX8664" t="s">
        <v>46897</v>
      </c>
    </row>
    <row r="8665" spans="1:50">
      <c r="A8665" s="1">
        <f>HYPERLINK("https://lsnyc.legalserver.org/matter/dynamic-profile/view/1902802","19-1902802")</f>
        <v>0</v>
      </c>
      <c r="B8665" t="s">
        <v>62</v>
      </c>
      <c r="C8665" t="s">
        <v>340</v>
      </c>
      <c r="D8665" t="s">
        <v>773</v>
      </c>
      <c r="F8665" t="s">
        <v>968</v>
      </c>
      <c r="G8665" t="s">
        <v>8778</v>
      </c>
      <c r="H8665" t="s">
        <v>12534</v>
      </c>
      <c r="I8665" t="s">
        <v>17725</v>
      </c>
      <c r="J8665" t="s">
        <v>18893</v>
      </c>
      <c r="K8665">
        <v>10027</v>
      </c>
      <c r="L8665" t="s">
        <v>18958</v>
      </c>
      <c r="M8665" t="s">
        <v>18960</v>
      </c>
      <c r="N8665" t="s">
        <v>25202</v>
      </c>
      <c r="O8665" t="s">
        <v>26523</v>
      </c>
      <c r="P8665" t="s">
        <v>26560</v>
      </c>
      <c r="R8665" t="s">
        <v>26580</v>
      </c>
      <c r="S8665" t="s">
        <v>18959</v>
      </c>
      <c r="U8665" t="s">
        <v>26604</v>
      </c>
      <c r="W8665" t="s">
        <v>773</v>
      </c>
      <c r="X8665">
        <v>848</v>
      </c>
      <c r="Y8665" t="s">
        <v>26651</v>
      </c>
      <c r="Z8665" t="s">
        <v>26668</v>
      </c>
      <c r="AB8665" t="s">
        <v>32981</v>
      </c>
      <c r="AD8665" t="s">
        <v>43579</v>
      </c>
      <c r="AE8665">
        <v>0</v>
      </c>
      <c r="AF8665" t="s">
        <v>45541</v>
      </c>
      <c r="AG8665" t="s">
        <v>19330</v>
      </c>
      <c r="AH8665">
        <v>19</v>
      </c>
      <c r="AI8665">
        <v>1</v>
      </c>
      <c r="AJ8665">
        <v>0</v>
      </c>
      <c r="AK8665">
        <v>80.06</v>
      </c>
      <c r="AN8665" t="s">
        <v>7439</v>
      </c>
      <c r="AO8665">
        <v>10000</v>
      </c>
      <c r="AU8665">
        <v>0</v>
      </c>
      <c r="AW8665" t="s">
        <v>46875</v>
      </c>
      <c r="AX8665" t="s">
        <v>46897</v>
      </c>
    </row>
    <row r="8666" spans="1:50">
      <c r="A8666" s="1">
        <f>HYPERLINK("https://lsnyc.legalserver.org/matter/dynamic-profile/view/1902734","19-1902734")</f>
        <v>0</v>
      </c>
      <c r="B8666" t="s">
        <v>62</v>
      </c>
      <c r="C8666" t="s">
        <v>340</v>
      </c>
      <c r="D8666" t="s">
        <v>773</v>
      </c>
      <c r="F8666" t="s">
        <v>919</v>
      </c>
      <c r="G8666" t="s">
        <v>5079</v>
      </c>
      <c r="H8666" t="s">
        <v>15551</v>
      </c>
      <c r="I8666" t="s">
        <v>17603</v>
      </c>
      <c r="J8666" t="s">
        <v>18893</v>
      </c>
      <c r="K8666">
        <v>10027</v>
      </c>
      <c r="L8666" t="s">
        <v>18958</v>
      </c>
      <c r="M8666" t="s">
        <v>18960</v>
      </c>
      <c r="N8666" t="s">
        <v>25203</v>
      </c>
      <c r="O8666" t="s">
        <v>26523</v>
      </c>
      <c r="P8666" t="s">
        <v>26560</v>
      </c>
      <c r="R8666" t="s">
        <v>26580</v>
      </c>
      <c r="S8666" t="s">
        <v>18959</v>
      </c>
      <c r="U8666" t="s">
        <v>26604</v>
      </c>
      <c r="W8666" t="s">
        <v>773</v>
      </c>
      <c r="X8666">
        <v>398</v>
      </c>
      <c r="Y8666" t="s">
        <v>26651</v>
      </c>
      <c r="Z8666" t="s">
        <v>26668</v>
      </c>
      <c r="AB8666" t="s">
        <v>32982</v>
      </c>
      <c r="AD8666" t="s">
        <v>43580</v>
      </c>
      <c r="AE8666">
        <v>0</v>
      </c>
      <c r="AF8666" t="s">
        <v>45541</v>
      </c>
      <c r="AG8666" t="s">
        <v>45556</v>
      </c>
      <c r="AH8666">
        <v>1</v>
      </c>
      <c r="AI8666">
        <v>1</v>
      </c>
      <c r="AJ8666">
        <v>0</v>
      </c>
      <c r="AK8666">
        <v>151.13</v>
      </c>
      <c r="AN8666" t="s">
        <v>7439</v>
      </c>
      <c r="AO8666">
        <v>18876</v>
      </c>
      <c r="AU8666">
        <v>0</v>
      </c>
      <c r="AW8666" t="s">
        <v>46875</v>
      </c>
      <c r="AX8666" t="s">
        <v>46897</v>
      </c>
    </row>
    <row r="8667" spans="1:50">
      <c r="A8667" s="1">
        <f>HYPERLINK("https://lsnyc.legalserver.org/matter/dynamic-profile/view/1902990","19-1902990")</f>
        <v>0</v>
      </c>
      <c r="B8667" t="s">
        <v>141</v>
      </c>
      <c r="C8667" t="s">
        <v>340</v>
      </c>
      <c r="D8667" t="s">
        <v>833</v>
      </c>
      <c r="F8667" t="s">
        <v>3897</v>
      </c>
      <c r="G8667" t="s">
        <v>8251</v>
      </c>
      <c r="H8667" t="s">
        <v>14638</v>
      </c>
      <c r="I8667" t="s">
        <v>18441</v>
      </c>
      <c r="J8667" t="s">
        <v>18900</v>
      </c>
      <c r="K8667">
        <v>11354</v>
      </c>
      <c r="L8667" t="s">
        <v>18958</v>
      </c>
      <c r="M8667" t="s">
        <v>18960</v>
      </c>
      <c r="N8667" t="s">
        <v>19330</v>
      </c>
      <c r="O8667" t="s">
        <v>18997</v>
      </c>
      <c r="P8667" t="s">
        <v>26565</v>
      </c>
      <c r="R8667" t="s">
        <v>26578</v>
      </c>
      <c r="S8667" t="s">
        <v>18959</v>
      </c>
      <c r="U8667" t="s">
        <v>26604</v>
      </c>
      <c r="V8667" t="s">
        <v>26610</v>
      </c>
      <c r="W8667" t="s">
        <v>773</v>
      </c>
      <c r="X8667">
        <v>1658</v>
      </c>
      <c r="Y8667" t="s">
        <v>26653</v>
      </c>
      <c r="Z8667" t="s">
        <v>26664</v>
      </c>
      <c r="AB8667" t="s">
        <v>32127</v>
      </c>
      <c r="AC8667" t="s">
        <v>19330</v>
      </c>
      <c r="AD8667" t="s">
        <v>42470</v>
      </c>
      <c r="AE8667">
        <v>42</v>
      </c>
      <c r="AF8667" t="s">
        <v>45547</v>
      </c>
      <c r="AG8667" t="s">
        <v>19330</v>
      </c>
      <c r="AH8667">
        <v>2</v>
      </c>
      <c r="AI8667">
        <v>2</v>
      </c>
      <c r="AJ8667">
        <v>0</v>
      </c>
      <c r="AK8667">
        <v>156.12</v>
      </c>
      <c r="AN8667" t="s">
        <v>7439</v>
      </c>
      <c r="AO8667">
        <v>26400</v>
      </c>
      <c r="AR8667" t="s">
        <v>26530</v>
      </c>
      <c r="AS8667" t="s">
        <v>46499</v>
      </c>
      <c r="AT8667" t="s">
        <v>46592</v>
      </c>
      <c r="AU8667">
        <v>1.6</v>
      </c>
      <c r="AV8667" t="s">
        <v>835</v>
      </c>
      <c r="AW8667" t="s">
        <v>141</v>
      </c>
      <c r="AX8667" t="s">
        <v>46897</v>
      </c>
    </row>
    <row r="8668" spans="1:50">
      <c r="A8668" s="1">
        <f>HYPERLINK("https://lsnyc.legalserver.org/matter/dynamic-profile/view/1899475","19-1899475")</f>
        <v>0</v>
      </c>
      <c r="B8668" t="s">
        <v>67</v>
      </c>
      <c r="C8668" t="s">
        <v>340</v>
      </c>
      <c r="D8668" t="s">
        <v>671</v>
      </c>
      <c r="F8668" t="s">
        <v>871</v>
      </c>
      <c r="G8668" t="s">
        <v>6183</v>
      </c>
      <c r="H8668" t="s">
        <v>12096</v>
      </c>
      <c r="I8668" t="s">
        <v>17272</v>
      </c>
      <c r="J8668" t="s">
        <v>18892</v>
      </c>
      <c r="K8668">
        <v>10458</v>
      </c>
      <c r="L8668" t="s">
        <v>18958</v>
      </c>
      <c r="M8668" t="s">
        <v>18960</v>
      </c>
      <c r="P8668" t="s">
        <v>26564</v>
      </c>
      <c r="R8668" t="s">
        <v>26578</v>
      </c>
      <c r="S8668" t="s">
        <v>18959</v>
      </c>
      <c r="U8668" t="s">
        <v>26604</v>
      </c>
      <c r="W8668" t="s">
        <v>834</v>
      </c>
      <c r="X8668">
        <v>1360</v>
      </c>
      <c r="Y8668" t="s">
        <v>26650</v>
      </c>
      <c r="Z8668" t="s">
        <v>26663</v>
      </c>
      <c r="AB8668" t="s">
        <v>32983</v>
      </c>
      <c r="AD8668" t="s">
        <v>39437</v>
      </c>
      <c r="AE8668">
        <v>43</v>
      </c>
      <c r="AF8668" t="s">
        <v>20460</v>
      </c>
      <c r="AG8668" t="s">
        <v>19330</v>
      </c>
      <c r="AH8668">
        <v>6</v>
      </c>
      <c r="AI8668">
        <v>1</v>
      </c>
      <c r="AJ8668">
        <v>0</v>
      </c>
      <c r="AK8668">
        <v>52.84</v>
      </c>
      <c r="AN8668" t="s">
        <v>45581</v>
      </c>
      <c r="AO8668">
        <v>6600</v>
      </c>
      <c r="AU8668">
        <v>0.5</v>
      </c>
      <c r="AV8668" t="s">
        <v>773</v>
      </c>
      <c r="AW8668" t="s">
        <v>336</v>
      </c>
      <c r="AX8668" t="s">
        <v>46897</v>
      </c>
    </row>
    <row r="8669" spans="1:50">
      <c r="A8669" s="1">
        <f>HYPERLINK("https://lsnyc.legalserver.org/matter/dynamic-profile/view/1899191","19-1899191")</f>
        <v>0</v>
      </c>
      <c r="B8669" t="s">
        <v>67</v>
      </c>
      <c r="C8669" t="s">
        <v>340</v>
      </c>
      <c r="D8669" t="s">
        <v>671</v>
      </c>
      <c r="F8669" t="s">
        <v>901</v>
      </c>
      <c r="G8669" t="s">
        <v>6338</v>
      </c>
      <c r="H8669" t="s">
        <v>15552</v>
      </c>
      <c r="I8669" t="s">
        <v>17360</v>
      </c>
      <c r="J8669" t="s">
        <v>18892</v>
      </c>
      <c r="K8669">
        <v>10456</v>
      </c>
      <c r="L8669" t="s">
        <v>18958</v>
      </c>
      <c r="M8669" t="s">
        <v>18960</v>
      </c>
      <c r="P8669" t="s">
        <v>26565</v>
      </c>
      <c r="R8669" t="s">
        <v>26578</v>
      </c>
      <c r="S8669" t="s">
        <v>18959</v>
      </c>
      <c r="U8669" t="s">
        <v>26604</v>
      </c>
      <c r="W8669" t="s">
        <v>834</v>
      </c>
      <c r="X8669">
        <v>690.4</v>
      </c>
      <c r="Y8669" t="s">
        <v>26650</v>
      </c>
      <c r="Z8669" t="s">
        <v>26663</v>
      </c>
      <c r="AB8669" t="s">
        <v>32984</v>
      </c>
      <c r="AD8669" t="s">
        <v>43581</v>
      </c>
      <c r="AE8669">
        <v>30</v>
      </c>
      <c r="AF8669" t="s">
        <v>45548</v>
      </c>
      <c r="AG8669" t="s">
        <v>45559</v>
      </c>
      <c r="AH8669">
        <v>43</v>
      </c>
      <c r="AI8669">
        <v>2</v>
      </c>
      <c r="AJ8669">
        <v>0</v>
      </c>
      <c r="AK8669">
        <v>90.55</v>
      </c>
      <c r="AN8669" t="s">
        <v>45581</v>
      </c>
      <c r="AO8669">
        <v>15312</v>
      </c>
      <c r="AU8669">
        <v>0.5</v>
      </c>
      <c r="AV8669" t="s">
        <v>773</v>
      </c>
      <c r="AW8669" t="s">
        <v>336</v>
      </c>
      <c r="AX8669" t="s">
        <v>46897</v>
      </c>
    </row>
    <row r="8670" spans="1:50">
      <c r="A8670" s="1">
        <f>HYPERLINK("https://lsnyc.legalserver.org/matter/dynamic-profile/view/1899718","19-1899718")</f>
        <v>0</v>
      </c>
      <c r="B8670" t="s">
        <v>67</v>
      </c>
      <c r="C8670" t="s">
        <v>340</v>
      </c>
      <c r="D8670" t="s">
        <v>671</v>
      </c>
      <c r="F8670" t="s">
        <v>4335</v>
      </c>
      <c r="G8670" t="s">
        <v>5461</v>
      </c>
      <c r="H8670" t="s">
        <v>15553</v>
      </c>
      <c r="I8670" t="s">
        <v>17307</v>
      </c>
      <c r="J8670" t="s">
        <v>18892</v>
      </c>
      <c r="K8670">
        <v>10456</v>
      </c>
      <c r="L8670" t="s">
        <v>18958</v>
      </c>
      <c r="M8670" t="s">
        <v>18960</v>
      </c>
      <c r="P8670" t="s">
        <v>26564</v>
      </c>
      <c r="R8670" t="s">
        <v>26578</v>
      </c>
      <c r="S8670" t="s">
        <v>18959</v>
      </c>
      <c r="U8670" t="s">
        <v>26604</v>
      </c>
      <c r="W8670" t="s">
        <v>834</v>
      </c>
      <c r="X8670">
        <v>1511.88</v>
      </c>
      <c r="Y8670" t="s">
        <v>26650</v>
      </c>
      <c r="Z8670" t="s">
        <v>26663</v>
      </c>
      <c r="AB8670" t="s">
        <v>31526</v>
      </c>
      <c r="AD8670" t="s">
        <v>43582</v>
      </c>
      <c r="AE8670">
        <v>30</v>
      </c>
      <c r="AF8670" t="s">
        <v>45541</v>
      </c>
      <c r="AG8670" t="s">
        <v>19330</v>
      </c>
      <c r="AH8670">
        <v>0</v>
      </c>
      <c r="AI8670">
        <v>1</v>
      </c>
      <c r="AJ8670">
        <v>1</v>
      </c>
      <c r="AK8670">
        <v>113.59</v>
      </c>
      <c r="AN8670" t="s">
        <v>7439</v>
      </c>
      <c r="AO8670">
        <v>19208.28</v>
      </c>
      <c r="AU8670">
        <v>0.5</v>
      </c>
      <c r="AV8670" t="s">
        <v>834</v>
      </c>
      <c r="AW8670" t="s">
        <v>336</v>
      </c>
      <c r="AX8670" t="s">
        <v>46897</v>
      </c>
    </row>
    <row r="8671" spans="1:50">
      <c r="A8671" s="1">
        <f>HYPERLINK("https://lsnyc.legalserver.org/matter/dynamic-profile/view/1896860","19-1896860")</f>
        <v>0</v>
      </c>
      <c r="B8671" t="s">
        <v>100</v>
      </c>
      <c r="C8671" t="s">
        <v>341</v>
      </c>
      <c r="D8671" t="s">
        <v>803</v>
      </c>
      <c r="E8671" t="s">
        <v>767</v>
      </c>
      <c r="F8671" t="s">
        <v>990</v>
      </c>
      <c r="G8671" t="s">
        <v>8779</v>
      </c>
      <c r="H8671" t="s">
        <v>15554</v>
      </c>
      <c r="I8671" t="s">
        <v>17569</v>
      </c>
      <c r="J8671" t="s">
        <v>18892</v>
      </c>
      <c r="K8671">
        <v>10460</v>
      </c>
      <c r="L8671" t="s">
        <v>18958</v>
      </c>
      <c r="M8671" t="s">
        <v>18960</v>
      </c>
      <c r="N8671" t="s">
        <v>25204</v>
      </c>
      <c r="O8671" t="s">
        <v>26523</v>
      </c>
      <c r="P8671" t="s">
        <v>26564</v>
      </c>
      <c r="Q8671" t="s">
        <v>26570</v>
      </c>
      <c r="R8671" t="s">
        <v>26578</v>
      </c>
      <c r="S8671" t="s">
        <v>18959</v>
      </c>
      <c r="U8671" t="s">
        <v>26604</v>
      </c>
      <c r="V8671" t="s">
        <v>26615</v>
      </c>
      <c r="W8671" t="s">
        <v>834</v>
      </c>
      <c r="X8671">
        <v>600</v>
      </c>
      <c r="Y8671" t="s">
        <v>26650</v>
      </c>
      <c r="Z8671" t="s">
        <v>26661</v>
      </c>
      <c r="AA8671" t="s">
        <v>26683</v>
      </c>
      <c r="AB8671" t="s">
        <v>32985</v>
      </c>
      <c r="AD8671" t="s">
        <v>43583</v>
      </c>
      <c r="AE8671">
        <v>84</v>
      </c>
      <c r="AF8671" t="s">
        <v>45541</v>
      </c>
      <c r="AG8671" t="s">
        <v>19330</v>
      </c>
      <c r="AH8671">
        <v>28</v>
      </c>
      <c r="AI8671">
        <v>2</v>
      </c>
      <c r="AJ8671">
        <v>1</v>
      </c>
      <c r="AK8671">
        <v>127.39</v>
      </c>
      <c r="AN8671" t="s">
        <v>7439</v>
      </c>
      <c r="AO8671">
        <v>27172</v>
      </c>
      <c r="AU8671">
        <v>0.6</v>
      </c>
      <c r="AV8671" t="s">
        <v>767</v>
      </c>
      <c r="AW8671" t="s">
        <v>46829</v>
      </c>
      <c r="AX8671" t="s">
        <v>46897</v>
      </c>
    </row>
    <row r="8672" spans="1:50">
      <c r="A8672" s="1">
        <f>HYPERLINK("https://lsnyc.legalserver.org/matter/dynamic-profile/view/1900159","19-1900159")</f>
        <v>0</v>
      </c>
      <c r="B8672" t="s">
        <v>169</v>
      </c>
      <c r="C8672" t="s">
        <v>341</v>
      </c>
      <c r="D8672" t="s">
        <v>761</v>
      </c>
      <c r="E8672" t="s">
        <v>820</v>
      </c>
      <c r="F8672" t="s">
        <v>1333</v>
      </c>
      <c r="G8672" t="s">
        <v>8780</v>
      </c>
      <c r="H8672" t="s">
        <v>15555</v>
      </c>
      <c r="I8672" t="s">
        <v>18587</v>
      </c>
      <c r="J8672" t="s">
        <v>18892</v>
      </c>
      <c r="K8672">
        <v>10452</v>
      </c>
      <c r="L8672" t="s">
        <v>18958</v>
      </c>
      <c r="M8672" t="s">
        <v>18960</v>
      </c>
      <c r="O8672" t="s">
        <v>26526</v>
      </c>
      <c r="P8672" t="s">
        <v>26564</v>
      </c>
      <c r="Q8672" t="s">
        <v>26570</v>
      </c>
      <c r="R8672" t="s">
        <v>26578</v>
      </c>
      <c r="S8672" t="s">
        <v>18959</v>
      </c>
      <c r="U8672" t="s">
        <v>26604</v>
      </c>
      <c r="V8672" t="s">
        <v>26610</v>
      </c>
      <c r="W8672" t="s">
        <v>834</v>
      </c>
      <c r="X8672">
        <v>812.14</v>
      </c>
      <c r="Y8672" t="s">
        <v>26650</v>
      </c>
      <c r="Z8672" t="s">
        <v>26663</v>
      </c>
      <c r="AA8672" t="s">
        <v>26683</v>
      </c>
      <c r="AB8672" t="s">
        <v>32986</v>
      </c>
      <c r="AD8672" t="s">
        <v>43584</v>
      </c>
      <c r="AE8672">
        <v>0</v>
      </c>
      <c r="AF8672" t="s">
        <v>45541</v>
      </c>
      <c r="AG8672" t="s">
        <v>45559</v>
      </c>
      <c r="AH8672">
        <v>28</v>
      </c>
      <c r="AI8672">
        <v>1</v>
      </c>
      <c r="AJ8672">
        <v>0</v>
      </c>
      <c r="AK8672">
        <v>111.64</v>
      </c>
      <c r="AN8672" t="s">
        <v>7439</v>
      </c>
      <c r="AO8672">
        <v>13944</v>
      </c>
      <c r="AU8672">
        <v>1</v>
      </c>
      <c r="AV8672" t="s">
        <v>820</v>
      </c>
      <c r="AW8672" t="s">
        <v>169</v>
      </c>
      <c r="AX8672" t="s">
        <v>46897</v>
      </c>
    </row>
    <row r="8673" spans="1:50">
      <c r="A8673" s="1">
        <f>HYPERLINK("https://lsnyc.legalserver.org/matter/dynamic-profile/view/1897335","19-1897335")</f>
        <v>0</v>
      </c>
      <c r="B8673" t="s">
        <v>115</v>
      </c>
      <c r="C8673" t="s">
        <v>340</v>
      </c>
      <c r="D8673" t="s">
        <v>761</v>
      </c>
      <c r="F8673" t="s">
        <v>887</v>
      </c>
      <c r="G8673" t="s">
        <v>5147</v>
      </c>
      <c r="H8673" t="s">
        <v>15556</v>
      </c>
      <c r="I8673">
        <v>1</v>
      </c>
      <c r="J8673" t="s">
        <v>18892</v>
      </c>
      <c r="K8673">
        <v>10468</v>
      </c>
      <c r="L8673" t="s">
        <v>18958</v>
      </c>
      <c r="M8673" t="s">
        <v>18960</v>
      </c>
      <c r="R8673" t="s">
        <v>26578</v>
      </c>
      <c r="U8673" t="s">
        <v>26604</v>
      </c>
      <c r="W8673" t="s">
        <v>834</v>
      </c>
      <c r="X8673">
        <v>0</v>
      </c>
      <c r="Y8673" t="s">
        <v>26650</v>
      </c>
      <c r="AD8673" t="s">
        <v>43585</v>
      </c>
      <c r="AE8673">
        <v>0</v>
      </c>
      <c r="AH8673">
        <v>0</v>
      </c>
      <c r="AI8673">
        <v>3</v>
      </c>
      <c r="AJ8673">
        <v>2</v>
      </c>
      <c r="AK8673">
        <v>112.03</v>
      </c>
      <c r="AN8673" t="s">
        <v>45581</v>
      </c>
      <c r="AO8673">
        <v>33800</v>
      </c>
      <c r="AU8673">
        <v>3</v>
      </c>
      <c r="AV8673" t="s">
        <v>816</v>
      </c>
      <c r="AW8673" t="s">
        <v>115</v>
      </c>
      <c r="AX8673" t="s">
        <v>46897</v>
      </c>
    </row>
    <row r="8674" spans="1:50">
      <c r="A8674" s="1">
        <f>HYPERLINK("https://lsnyc.legalserver.org/matter/dynamic-profile/view/1898941","19-1898941")</f>
        <v>0</v>
      </c>
      <c r="B8674" t="s">
        <v>100</v>
      </c>
      <c r="C8674" t="s">
        <v>341</v>
      </c>
      <c r="D8674" t="s">
        <v>771</v>
      </c>
      <c r="E8674" t="s">
        <v>834</v>
      </c>
      <c r="F8674" t="s">
        <v>3778</v>
      </c>
      <c r="G8674" t="s">
        <v>8124</v>
      </c>
      <c r="H8674" t="s">
        <v>14471</v>
      </c>
      <c r="I8674" t="s">
        <v>17301</v>
      </c>
      <c r="J8674" t="s">
        <v>18892</v>
      </c>
      <c r="K8674">
        <v>10452</v>
      </c>
      <c r="L8674" t="s">
        <v>18958</v>
      </c>
      <c r="M8674" t="s">
        <v>18960</v>
      </c>
      <c r="P8674" t="s">
        <v>26564</v>
      </c>
      <c r="Q8674" t="s">
        <v>26570</v>
      </c>
      <c r="R8674" t="s">
        <v>26578</v>
      </c>
      <c r="S8674" t="s">
        <v>18959</v>
      </c>
      <c r="U8674" t="s">
        <v>26604</v>
      </c>
      <c r="W8674" t="s">
        <v>834</v>
      </c>
      <c r="X8674">
        <v>1375</v>
      </c>
      <c r="Y8674" t="s">
        <v>26650</v>
      </c>
      <c r="Z8674" t="s">
        <v>26663</v>
      </c>
      <c r="AA8674" t="s">
        <v>26683</v>
      </c>
      <c r="AB8674" t="s">
        <v>31884</v>
      </c>
      <c r="AD8674" t="s">
        <v>42172</v>
      </c>
      <c r="AE8674">
        <v>53</v>
      </c>
      <c r="AF8674" t="s">
        <v>20460</v>
      </c>
      <c r="AG8674" t="s">
        <v>19330</v>
      </c>
      <c r="AH8674">
        <v>4</v>
      </c>
      <c r="AI8674">
        <v>1</v>
      </c>
      <c r="AJ8674">
        <v>0</v>
      </c>
      <c r="AK8674">
        <v>145.72</v>
      </c>
      <c r="AN8674" t="s">
        <v>45581</v>
      </c>
      <c r="AO8674">
        <v>18200</v>
      </c>
      <c r="AU8674">
        <v>0.1</v>
      </c>
      <c r="AV8674" t="s">
        <v>834</v>
      </c>
      <c r="AW8674" t="s">
        <v>46847</v>
      </c>
      <c r="AX8674" t="s">
        <v>46897</v>
      </c>
    </row>
    <row r="8675" spans="1:50">
      <c r="A8675" s="1">
        <f>HYPERLINK("https://lsnyc.legalserver.org/matter/dynamic-profile/view/1898952","19-1898952")</f>
        <v>0</v>
      </c>
      <c r="B8675" t="s">
        <v>100</v>
      </c>
      <c r="C8675" t="s">
        <v>341</v>
      </c>
      <c r="D8675" t="s">
        <v>771</v>
      </c>
      <c r="E8675" t="s">
        <v>815</v>
      </c>
      <c r="F8675" t="s">
        <v>916</v>
      </c>
      <c r="G8675" t="s">
        <v>5121</v>
      </c>
      <c r="H8675" t="s">
        <v>15557</v>
      </c>
      <c r="I8675" t="s">
        <v>17360</v>
      </c>
      <c r="J8675" t="s">
        <v>18892</v>
      </c>
      <c r="K8675">
        <v>10453</v>
      </c>
      <c r="L8675" t="s">
        <v>18958</v>
      </c>
      <c r="M8675" t="s">
        <v>18960</v>
      </c>
      <c r="N8675" t="s">
        <v>25205</v>
      </c>
      <c r="O8675" t="s">
        <v>26524</v>
      </c>
      <c r="P8675" t="s">
        <v>26564</v>
      </c>
      <c r="Q8675" t="s">
        <v>26570</v>
      </c>
      <c r="R8675" t="s">
        <v>26578</v>
      </c>
      <c r="S8675" t="s">
        <v>18959</v>
      </c>
      <c r="U8675" t="s">
        <v>26604</v>
      </c>
      <c r="V8675" t="s">
        <v>26610</v>
      </c>
      <c r="W8675" t="s">
        <v>834</v>
      </c>
      <c r="X8675">
        <v>835</v>
      </c>
      <c r="Y8675" t="s">
        <v>26650</v>
      </c>
      <c r="Z8675" t="s">
        <v>26663</v>
      </c>
      <c r="AA8675" t="s">
        <v>26683</v>
      </c>
      <c r="AB8675" t="s">
        <v>32987</v>
      </c>
      <c r="AD8675" t="s">
        <v>43586</v>
      </c>
      <c r="AE8675">
        <v>42</v>
      </c>
      <c r="AF8675" t="s">
        <v>20460</v>
      </c>
      <c r="AG8675" t="s">
        <v>19330</v>
      </c>
      <c r="AH8675">
        <v>2</v>
      </c>
      <c r="AI8675">
        <v>1</v>
      </c>
      <c r="AJ8675">
        <v>0</v>
      </c>
      <c r="AK8675">
        <v>224.18</v>
      </c>
      <c r="AN8675" t="s">
        <v>7439</v>
      </c>
      <c r="AO8675">
        <v>28000</v>
      </c>
      <c r="AU8675">
        <v>0.6</v>
      </c>
      <c r="AV8675" t="s">
        <v>815</v>
      </c>
      <c r="AW8675" t="s">
        <v>46847</v>
      </c>
      <c r="AX8675" t="s">
        <v>46897</v>
      </c>
    </row>
    <row r="8676" spans="1:50">
      <c r="A8676" s="1">
        <f>HYPERLINK("https://lsnyc.legalserver.org/matter/dynamic-profile/view/1898945","19-1898945")</f>
        <v>0</v>
      </c>
      <c r="B8676" t="s">
        <v>100</v>
      </c>
      <c r="C8676" t="s">
        <v>341</v>
      </c>
      <c r="D8676" t="s">
        <v>771</v>
      </c>
      <c r="E8676" t="s">
        <v>834</v>
      </c>
      <c r="F8676" t="s">
        <v>4336</v>
      </c>
      <c r="G8676" t="s">
        <v>8781</v>
      </c>
      <c r="H8676" t="s">
        <v>15558</v>
      </c>
      <c r="I8676" t="s">
        <v>17298</v>
      </c>
      <c r="J8676" t="s">
        <v>18893</v>
      </c>
      <c r="K8676">
        <v>10034</v>
      </c>
      <c r="L8676" t="s">
        <v>18958</v>
      </c>
      <c r="M8676" t="s">
        <v>18960</v>
      </c>
      <c r="P8676" t="s">
        <v>26564</v>
      </c>
      <c r="Q8676" t="s">
        <v>26570</v>
      </c>
      <c r="R8676" t="s">
        <v>26578</v>
      </c>
      <c r="S8676" t="s">
        <v>18959</v>
      </c>
      <c r="U8676" t="s">
        <v>26604</v>
      </c>
      <c r="W8676" t="s">
        <v>834</v>
      </c>
      <c r="X8676">
        <v>816.63</v>
      </c>
      <c r="Y8676" t="s">
        <v>26650</v>
      </c>
      <c r="Z8676" t="s">
        <v>26663</v>
      </c>
      <c r="AA8676" t="s">
        <v>26683</v>
      </c>
      <c r="AB8676" t="s">
        <v>26859</v>
      </c>
      <c r="AD8676" t="s">
        <v>43587</v>
      </c>
      <c r="AE8676">
        <v>0</v>
      </c>
      <c r="AF8676" t="s">
        <v>20460</v>
      </c>
      <c r="AG8676" t="s">
        <v>19330</v>
      </c>
      <c r="AH8676">
        <v>20</v>
      </c>
      <c r="AI8676">
        <v>1</v>
      </c>
      <c r="AJ8676">
        <v>0</v>
      </c>
      <c r="AK8676">
        <v>520.42</v>
      </c>
      <c r="AN8676" t="s">
        <v>7439</v>
      </c>
      <c r="AO8676">
        <v>65000</v>
      </c>
      <c r="AU8676">
        <v>0.1</v>
      </c>
      <c r="AV8676" t="s">
        <v>834</v>
      </c>
      <c r="AW8676" t="s">
        <v>46847</v>
      </c>
      <c r="AX8676" t="s">
        <v>46897</v>
      </c>
    </row>
    <row r="8677" spans="1:50">
      <c r="A8677" s="1">
        <f>HYPERLINK("https://lsnyc.legalserver.org/matter/dynamic-profile/view/1902486","19-1902486")</f>
        <v>0</v>
      </c>
      <c r="B8677" t="s">
        <v>249</v>
      </c>
      <c r="C8677" t="s">
        <v>340</v>
      </c>
      <c r="D8677" t="s">
        <v>830</v>
      </c>
      <c r="F8677" t="s">
        <v>928</v>
      </c>
      <c r="G8677" t="s">
        <v>8782</v>
      </c>
      <c r="H8677" t="s">
        <v>15559</v>
      </c>
      <c r="I8677" t="s">
        <v>18588</v>
      </c>
      <c r="J8677" t="s">
        <v>18894</v>
      </c>
      <c r="K8677">
        <v>11239</v>
      </c>
      <c r="L8677" t="s">
        <v>18958</v>
      </c>
      <c r="M8677" t="s">
        <v>18960</v>
      </c>
      <c r="N8677" t="s">
        <v>18993</v>
      </c>
      <c r="O8677" t="s">
        <v>18997</v>
      </c>
      <c r="R8677" t="s">
        <v>26578</v>
      </c>
      <c r="S8677" t="s">
        <v>18959</v>
      </c>
      <c r="U8677" t="s">
        <v>26604</v>
      </c>
      <c r="V8677" t="s">
        <v>26610</v>
      </c>
      <c r="W8677" t="s">
        <v>834</v>
      </c>
      <c r="X8677">
        <v>898.5</v>
      </c>
      <c r="Y8677" t="s">
        <v>26652</v>
      </c>
      <c r="Z8677" t="s">
        <v>26668</v>
      </c>
      <c r="AB8677" t="s">
        <v>32988</v>
      </c>
      <c r="AC8677" t="s">
        <v>36560</v>
      </c>
      <c r="AD8677" t="s">
        <v>43588</v>
      </c>
      <c r="AE8677">
        <v>84</v>
      </c>
      <c r="AF8677" t="s">
        <v>45543</v>
      </c>
      <c r="AG8677" t="s">
        <v>19330</v>
      </c>
      <c r="AH8677">
        <v>1</v>
      </c>
      <c r="AI8677">
        <v>1</v>
      </c>
      <c r="AJ8677">
        <v>0</v>
      </c>
      <c r="AK8677">
        <v>93.19</v>
      </c>
      <c r="AN8677" t="s">
        <v>7439</v>
      </c>
      <c r="AO8677">
        <v>11640</v>
      </c>
      <c r="AU8677">
        <v>1.5</v>
      </c>
      <c r="AV8677" t="s">
        <v>821</v>
      </c>
      <c r="AW8677" t="s">
        <v>46850</v>
      </c>
      <c r="AX8677" t="s">
        <v>46897</v>
      </c>
    </row>
    <row r="8678" spans="1:50">
      <c r="A8678" s="1">
        <f>HYPERLINK("https://lsnyc.legalserver.org/matter/dynamic-profile/view/1902845","19-1902845")</f>
        <v>0</v>
      </c>
      <c r="B8678" t="s">
        <v>107</v>
      </c>
      <c r="C8678" t="s">
        <v>340</v>
      </c>
      <c r="D8678" t="s">
        <v>834</v>
      </c>
      <c r="F8678" t="s">
        <v>1122</v>
      </c>
      <c r="G8678" t="s">
        <v>7437</v>
      </c>
      <c r="H8678" t="s">
        <v>13267</v>
      </c>
      <c r="I8678" t="s">
        <v>17328</v>
      </c>
      <c r="J8678" t="s">
        <v>18933</v>
      </c>
      <c r="K8678">
        <v>11422</v>
      </c>
      <c r="L8678" t="s">
        <v>18958</v>
      </c>
      <c r="M8678" t="s">
        <v>18960</v>
      </c>
      <c r="N8678" t="s">
        <v>25206</v>
      </c>
      <c r="O8678" t="s">
        <v>26524</v>
      </c>
      <c r="P8678" t="s">
        <v>26564</v>
      </c>
      <c r="R8678" t="s">
        <v>26584</v>
      </c>
      <c r="S8678" t="s">
        <v>18959</v>
      </c>
      <c r="U8678" t="s">
        <v>26604</v>
      </c>
      <c r="V8678" t="s">
        <v>26610</v>
      </c>
      <c r="W8678" t="s">
        <v>834</v>
      </c>
      <c r="X8678">
        <v>1000</v>
      </c>
      <c r="Y8678" t="s">
        <v>26653</v>
      </c>
      <c r="Z8678" t="s">
        <v>26664</v>
      </c>
      <c r="AB8678" t="s">
        <v>30628</v>
      </c>
      <c r="AC8678" t="s">
        <v>36561</v>
      </c>
      <c r="AD8678" t="s">
        <v>40825</v>
      </c>
      <c r="AE8678">
        <v>1</v>
      </c>
      <c r="AF8678" t="s">
        <v>20460</v>
      </c>
      <c r="AG8678" t="s">
        <v>19330</v>
      </c>
      <c r="AH8678">
        <v>1</v>
      </c>
      <c r="AI8678">
        <v>1</v>
      </c>
      <c r="AJ8678">
        <v>1</v>
      </c>
      <c r="AK8678">
        <v>0</v>
      </c>
      <c r="AN8678" t="s">
        <v>7439</v>
      </c>
      <c r="AO8678">
        <v>0</v>
      </c>
      <c r="AQ8678" t="s">
        <v>46362</v>
      </c>
      <c r="AR8678" t="s">
        <v>26530</v>
      </c>
      <c r="AS8678" t="s">
        <v>46499</v>
      </c>
      <c r="AT8678" t="s">
        <v>46801</v>
      </c>
      <c r="AU8678">
        <v>1.6</v>
      </c>
      <c r="AV8678" t="s">
        <v>833</v>
      </c>
      <c r="AW8678" t="s">
        <v>208</v>
      </c>
      <c r="AX8678" t="s">
        <v>46897</v>
      </c>
    </row>
    <row r="8679" spans="1:50">
      <c r="A8679" s="1">
        <f>HYPERLINK("https://lsnyc.legalserver.org/matter/dynamic-profile/view/1902911","19-1902911")</f>
        <v>0</v>
      </c>
      <c r="B8679" t="s">
        <v>68</v>
      </c>
      <c r="C8679" t="s">
        <v>340</v>
      </c>
      <c r="D8679" t="s">
        <v>834</v>
      </c>
      <c r="F8679" t="s">
        <v>3203</v>
      </c>
      <c r="G8679" t="s">
        <v>8783</v>
      </c>
      <c r="H8679" t="s">
        <v>9866</v>
      </c>
      <c r="I8679">
        <v>502</v>
      </c>
      <c r="J8679" t="s">
        <v>18892</v>
      </c>
      <c r="K8679">
        <v>10457</v>
      </c>
      <c r="L8679" t="s">
        <v>18958</v>
      </c>
      <c r="M8679" t="s">
        <v>18960</v>
      </c>
      <c r="N8679" t="s">
        <v>25207</v>
      </c>
      <c r="O8679" t="s">
        <v>26523</v>
      </c>
      <c r="P8679" t="s">
        <v>26560</v>
      </c>
      <c r="R8679" t="s">
        <v>26579</v>
      </c>
      <c r="S8679" t="s">
        <v>18959</v>
      </c>
      <c r="U8679" t="s">
        <v>26604</v>
      </c>
      <c r="W8679" t="s">
        <v>834</v>
      </c>
      <c r="X8679">
        <v>1082</v>
      </c>
      <c r="Y8679" t="s">
        <v>26650</v>
      </c>
      <c r="AB8679" t="s">
        <v>32989</v>
      </c>
      <c r="AE8679">
        <v>0</v>
      </c>
      <c r="AH8679">
        <v>2</v>
      </c>
      <c r="AI8679">
        <v>1</v>
      </c>
      <c r="AJ8679">
        <v>1</v>
      </c>
      <c r="AK8679">
        <v>123</v>
      </c>
      <c r="AN8679" t="s">
        <v>7439</v>
      </c>
      <c r="AO8679">
        <v>20800</v>
      </c>
      <c r="AU8679">
        <v>0.2</v>
      </c>
      <c r="AV8679" t="s">
        <v>838</v>
      </c>
      <c r="AW8679" t="s">
        <v>335</v>
      </c>
      <c r="AX8679" t="s">
        <v>46897</v>
      </c>
    </row>
    <row r="8680" spans="1:50">
      <c r="A8680" s="1">
        <f>HYPERLINK("https://lsnyc.legalserver.org/matter/dynamic-profile/view/1902914","19-1902914")</f>
        <v>0</v>
      </c>
      <c r="B8680" t="s">
        <v>288</v>
      </c>
      <c r="C8680" t="s">
        <v>340</v>
      </c>
      <c r="D8680" t="s">
        <v>834</v>
      </c>
      <c r="F8680" t="s">
        <v>4337</v>
      </c>
      <c r="G8680" t="s">
        <v>3360</v>
      </c>
      <c r="H8680" t="s">
        <v>15560</v>
      </c>
      <c r="I8680" t="s">
        <v>18589</v>
      </c>
      <c r="J8680" t="s">
        <v>18894</v>
      </c>
      <c r="K8680">
        <v>11234</v>
      </c>
      <c r="L8680" t="s">
        <v>18958</v>
      </c>
      <c r="M8680" t="s">
        <v>18960</v>
      </c>
      <c r="N8680" t="s">
        <v>25208</v>
      </c>
      <c r="O8680" t="s">
        <v>26524</v>
      </c>
      <c r="P8680" t="s">
        <v>26563</v>
      </c>
      <c r="R8680" t="s">
        <v>26586</v>
      </c>
      <c r="S8680" t="s">
        <v>18959</v>
      </c>
      <c r="U8680" t="s">
        <v>26604</v>
      </c>
      <c r="V8680" t="s">
        <v>26610</v>
      </c>
      <c r="W8680" t="s">
        <v>834</v>
      </c>
      <c r="X8680">
        <v>1660</v>
      </c>
      <c r="Y8680" t="s">
        <v>26652</v>
      </c>
      <c r="Z8680" t="s">
        <v>26664</v>
      </c>
      <c r="AB8680" t="s">
        <v>28337</v>
      </c>
      <c r="AD8680" t="s">
        <v>43589</v>
      </c>
      <c r="AE8680">
        <v>140</v>
      </c>
      <c r="AF8680" t="s">
        <v>45553</v>
      </c>
      <c r="AG8680" t="s">
        <v>19330</v>
      </c>
      <c r="AH8680">
        <v>3</v>
      </c>
      <c r="AI8680">
        <v>3</v>
      </c>
      <c r="AJ8680">
        <v>0</v>
      </c>
      <c r="AK8680">
        <v>73.14</v>
      </c>
      <c r="AN8680" t="s">
        <v>7439</v>
      </c>
      <c r="AO8680">
        <v>15600</v>
      </c>
      <c r="AU8680">
        <v>0.5</v>
      </c>
      <c r="AV8680" t="s">
        <v>833</v>
      </c>
      <c r="AW8680" t="s">
        <v>46853</v>
      </c>
      <c r="AX8680" t="s">
        <v>46897</v>
      </c>
    </row>
    <row r="8681" spans="1:50">
      <c r="A8681" s="1">
        <f>HYPERLINK("https://lsnyc.legalserver.org/matter/dynamic-profile/view/1902877","19-1902877")</f>
        <v>0</v>
      </c>
      <c r="B8681" t="s">
        <v>253</v>
      </c>
      <c r="C8681" t="s">
        <v>340</v>
      </c>
      <c r="D8681" t="s">
        <v>834</v>
      </c>
      <c r="F8681" t="s">
        <v>4004</v>
      </c>
      <c r="G8681" t="s">
        <v>5173</v>
      </c>
      <c r="H8681" t="s">
        <v>15561</v>
      </c>
      <c r="I8681" t="s">
        <v>17275</v>
      </c>
      <c r="J8681" t="s">
        <v>18892</v>
      </c>
      <c r="K8681">
        <v>10467</v>
      </c>
      <c r="L8681" t="s">
        <v>18958</v>
      </c>
      <c r="M8681" t="s">
        <v>18960</v>
      </c>
      <c r="N8681" t="s">
        <v>25209</v>
      </c>
      <c r="O8681" t="s">
        <v>26523</v>
      </c>
      <c r="P8681" t="s">
        <v>26560</v>
      </c>
      <c r="R8681" t="s">
        <v>26579</v>
      </c>
      <c r="S8681" t="s">
        <v>18959</v>
      </c>
      <c r="U8681" t="s">
        <v>26604</v>
      </c>
      <c r="W8681" t="s">
        <v>834</v>
      </c>
      <c r="X8681">
        <v>1581.44</v>
      </c>
      <c r="Y8681" t="s">
        <v>26650</v>
      </c>
      <c r="Z8681" t="s">
        <v>26668</v>
      </c>
      <c r="AB8681" t="s">
        <v>32990</v>
      </c>
      <c r="AC8681" t="s">
        <v>36562</v>
      </c>
      <c r="AD8681" t="s">
        <v>43590</v>
      </c>
      <c r="AE8681">
        <v>0</v>
      </c>
      <c r="AF8681" t="s">
        <v>45552</v>
      </c>
      <c r="AG8681" t="s">
        <v>19330</v>
      </c>
      <c r="AH8681">
        <v>19</v>
      </c>
      <c r="AI8681">
        <v>1</v>
      </c>
      <c r="AJ8681">
        <v>0</v>
      </c>
      <c r="AK8681">
        <v>52.84</v>
      </c>
      <c r="AN8681" t="s">
        <v>7439</v>
      </c>
      <c r="AO8681">
        <v>6600</v>
      </c>
      <c r="AU8681">
        <v>0.95</v>
      </c>
      <c r="AV8681" t="s">
        <v>836</v>
      </c>
      <c r="AW8681" t="s">
        <v>329</v>
      </c>
      <c r="AX8681" t="s">
        <v>46898</v>
      </c>
    </row>
    <row r="8682" spans="1:50">
      <c r="A8682" s="1">
        <f>HYPERLINK("https://lsnyc.legalserver.org/matter/dynamic-profile/view/1902899","19-1902899")</f>
        <v>0</v>
      </c>
      <c r="B8682" t="s">
        <v>213</v>
      </c>
      <c r="C8682" t="s">
        <v>340</v>
      </c>
      <c r="D8682" t="s">
        <v>834</v>
      </c>
      <c r="F8682" t="s">
        <v>1925</v>
      </c>
      <c r="G8682" t="s">
        <v>5143</v>
      </c>
      <c r="H8682" t="s">
        <v>15562</v>
      </c>
      <c r="I8682" t="s">
        <v>17416</v>
      </c>
      <c r="J8682" t="s">
        <v>18892</v>
      </c>
      <c r="K8682">
        <v>10457</v>
      </c>
      <c r="L8682" t="s">
        <v>18958</v>
      </c>
      <c r="M8682" t="s">
        <v>18960</v>
      </c>
      <c r="N8682" t="s">
        <v>25210</v>
      </c>
      <c r="O8682" t="s">
        <v>26523</v>
      </c>
      <c r="P8682" t="s">
        <v>26560</v>
      </c>
      <c r="R8682" t="s">
        <v>26579</v>
      </c>
      <c r="S8682" t="s">
        <v>18959</v>
      </c>
      <c r="U8682" t="s">
        <v>26604</v>
      </c>
      <c r="W8682" t="s">
        <v>834</v>
      </c>
      <c r="X8682">
        <v>1400</v>
      </c>
      <c r="Y8682" t="s">
        <v>26650</v>
      </c>
      <c r="Z8682" t="s">
        <v>26668</v>
      </c>
      <c r="AB8682" t="s">
        <v>32991</v>
      </c>
      <c r="AC8682" t="s">
        <v>36563</v>
      </c>
      <c r="AD8682" t="s">
        <v>43591</v>
      </c>
      <c r="AE8682">
        <v>2</v>
      </c>
      <c r="AF8682" t="s">
        <v>45545</v>
      </c>
      <c r="AG8682" t="s">
        <v>19330</v>
      </c>
      <c r="AH8682">
        <v>1</v>
      </c>
      <c r="AI8682">
        <v>1</v>
      </c>
      <c r="AJ8682">
        <v>1</v>
      </c>
      <c r="AK8682">
        <v>59.14</v>
      </c>
      <c r="AN8682" t="s">
        <v>7439</v>
      </c>
      <c r="AO8682">
        <v>10000</v>
      </c>
      <c r="AU8682">
        <v>0</v>
      </c>
      <c r="AW8682" t="s">
        <v>46847</v>
      </c>
      <c r="AX8682" t="s">
        <v>46897</v>
      </c>
    </row>
    <row r="8683" spans="1:50">
      <c r="A8683" s="1">
        <f>HYPERLINK("https://lsnyc.legalserver.org/matter/dynamic-profile/view/1902852","19-1902852")</f>
        <v>0</v>
      </c>
      <c r="B8683" t="s">
        <v>142</v>
      </c>
      <c r="C8683" t="s">
        <v>340</v>
      </c>
      <c r="D8683" t="s">
        <v>834</v>
      </c>
      <c r="F8683" t="s">
        <v>1056</v>
      </c>
      <c r="G8683" t="s">
        <v>3599</v>
      </c>
      <c r="H8683" t="s">
        <v>12864</v>
      </c>
      <c r="I8683" t="s">
        <v>17389</v>
      </c>
      <c r="J8683" t="s">
        <v>18939</v>
      </c>
      <c r="K8683">
        <v>11423</v>
      </c>
      <c r="L8683" t="s">
        <v>18958</v>
      </c>
      <c r="M8683" t="s">
        <v>18960</v>
      </c>
      <c r="N8683" t="s">
        <v>25211</v>
      </c>
      <c r="O8683" t="s">
        <v>26523</v>
      </c>
      <c r="P8683" t="s">
        <v>26563</v>
      </c>
      <c r="R8683" t="s">
        <v>26584</v>
      </c>
      <c r="S8683" t="s">
        <v>18959</v>
      </c>
      <c r="U8683" t="s">
        <v>26604</v>
      </c>
      <c r="W8683" t="s">
        <v>834</v>
      </c>
      <c r="X8683">
        <v>1082</v>
      </c>
      <c r="Y8683" t="s">
        <v>26653</v>
      </c>
      <c r="Z8683" t="s">
        <v>26664</v>
      </c>
      <c r="AB8683" t="s">
        <v>31243</v>
      </c>
      <c r="AC8683" t="s">
        <v>36564</v>
      </c>
      <c r="AD8683" t="s">
        <v>43592</v>
      </c>
      <c r="AE8683">
        <v>48</v>
      </c>
      <c r="AF8683" t="s">
        <v>20460</v>
      </c>
      <c r="AG8683" t="s">
        <v>45557</v>
      </c>
      <c r="AH8683">
        <v>26</v>
      </c>
      <c r="AI8683">
        <v>1</v>
      </c>
      <c r="AJ8683">
        <v>1</v>
      </c>
      <c r="AK8683">
        <v>65.84999999999999</v>
      </c>
      <c r="AN8683" t="s">
        <v>7439</v>
      </c>
      <c r="AO8683">
        <v>11136</v>
      </c>
      <c r="AU8683">
        <v>1.3</v>
      </c>
      <c r="AV8683" t="s">
        <v>834</v>
      </c>
      <c r="AW8683" t="s">
        <v>208</v>
      </c>
      <c r="AX8683" t="s">
        <v>46897</v>
      </c>
    </row>
    <row r="8684" spans="1:50">
      <c r="A8684" s="1">
        <f>HYPERLINK("https://lsnyc.legalserver.org/matter/dynamic-profile/view/1902879","19-1902879")</f>
        <v>0</v>
      </c>
      <c r="B8684" t="s">
        <v>142</v>
      </c>
      <c r="C8684" t="s">
        <v>340</v>
      </c>
      <c r="D8684" t="s">
        <v>834</v>
      </c>
      <c r="F8684" t="s">
        <v>4338</v>
      </c>
      <c r="G8684" t="s">
        <v>8784</v>
      </c>
      <c r="H8684" t="s">
        <v>15563</v>
      </c>
      <c r="I8684" t="s">
        <v>17375</v>
      </c>
      <c r="J8684" t="s">
        <v>18941</v>
      </c>
      <c r="K8684">
        <v>11427</v>
      </c>
      <c r="L8684" t="s">
        <v>18958</v>
      </c>
      <c r="M8684" t="s">
        <v>18960</v>
      </c>
      <c r="N8684" t="s">
        <v>25212</v>
      </c>
      <c r="O8684" t="s">
        <v>26524</v>
      </c>
      <c r="P8684" t="s">
        <v>26564</v>
      </c>
      <c r="R8684" t="s">
        <v>26584</v>
      </c>
      <c r="S8684" t="s">
        <v>18959</v>
      </c>
      <c r="U8684" t="s">
        <v>26604</v>
      </c>
      <c r="V8684" t="s">
        <v>26610</v>
      </c>
      <c r="W8684" t="s">
        <v>834</v>
      </c>
      <c r="X8684">
        <v>1620</v>
      </c>
      <c r="Y8684" t="s">
        <v>26653</v>
      </c>
      <c r="Z8684" t="s">
        <v>26664</v>
      </c>
      <c r="AB8684" t="s">
        <v>32992</v>
      </c>
      <c r="AD8684" t="s">
        <v>43593</v>
      </c>
      <c r="AE8684">
        <v>1</v>
      </c>
      <c r="AF8684" t="s">
        <v>45547</v>
      </c>
      <c r="AG8684" t="s">
        <v>19330</v>
      </c>
      <c r="AH8684">
        <v>9</v>
      </c>
      <c r="AI8684">
        <v>2</v>
      </c>
      <c r="AJ8684">
        <v>3</v>
      </c>
      <c r="AK8684">
        <v>139.21</v>
      </c>
      <c r="AN8684" t="s">
        <v>7439</v>
      </c>
      <c r="AO8684">
        <v>42000</v>
      </c>
      <c r="AU8684">
        <v>1.4</v>
      </c>
      <c r="AV8684" t="s">
        <v>836</v>
      </c>
      <c r="AW8684" t="s">
        <v>208</v>
      </c>
      <c r="AX8684" t="s">
        <v>46897</v>
      </c>
    </row>
    <row r="8685" spans="1:50">
      <c r="A8685" s="1">
        <f>HYPERLINK("https://lsnyc.legalserver.org/matter/dynamic-profile/view/1902851","19-1902851")</f>
        <v>0</v>
      </c>
      <c r="B8685" t="s">
        <v>121</v>
      </c>
      <c r="C8685" t="s">
        <v>340</v>
      </c>
      <c r="D8685" t="s">
        <v>834</v>
      </c>
      <c r="F8685" t="s">
        <v>1123</v>
      </c>
      <c r="G8685" t="s">
        <v>8159</v>
      </c>
      <c r="H8685" t="s">
        <v>15034</v>
      </c>
      <c r="I8685" t="s">
        <v>17293</v>
      </c>
      <c r="J8685" t="s">
        <v>18892</v>
      </c>
      <c r="K8685">
        <v>10467</v>
      </c>
      <c r="L8685" t="s">
        <v>18958</v>
      </c>
      <c r="M8685" t="s">
        <v>18960</v>
      </c>
      <c r="N8685" t="s">
        <v>25213</v>
      </c>
      <c r="O8685" t="s">
        <v>26524</v>
      </c>
      <c r="P8685" t="s">
        <v>26560</v>
      </c>
      <c r="R8685" t="s">
        <v>26579</v>
      </c>
      <c r="U8685" t="s">
        <v>26604</v>
      </c>
      <c r="W8685" t="s">
        <v>834</v>
      </c>
      <c r="X8685">
        <v>1063.77</v>
      </c>
      <c r="Y8685" t="s">
        <v>26650</v>
      </c>
      <c r="Z8685" t="s">
        <v>26659</v>
      </c>
      <c r="AB8685" t="s">
        <v>32521</v>
      </c>
      <c r="AD8685" t="s">
        <v>42977</v>
      </c>
      <c r="AE8685">
        <v>0</v>
      </c>
      <c r="AF8685" t="s">
        <v>45541</v>
      </c>
      <c r="AH8685">
        <v>7</v>
      </c>
      <c r="AI8685">
        <v>1</v>
      </c>
      <c r="AJ8685">
        <v>3</v>
      </c>
      <c r="AK8685">
        <v>102.52</v>
      </c>
      <c r="AN8685" t="s">
        <v>7439</v>
      </c>
      <c r="AO8685">
        <v>26400</v>
      </c>
      <c r="AU8685">
        <v>0</v>
      </c>
      <c r="AW8685" t="s">
        <v>46836</v>
      </c>
      <c r="AX8685" t="s">
        <v>46897</v>
      </c>
    </row>
    <row r="8686" spans="1:50">
      <c r="A8686" s="1">
        <f>HYPERLINK("https://lsnyc.legalserver.org/matter/dynamic-profile/view/1902836","19-1902836")</f>
        <v>0</v>
      </c>
      <c r="B8686" t="s">
        <v>112</v>
      </c>
      <c r="C8686" t="s">
        <v>340</v>
      </c>
      <c r="D8686" t="s">
        <v>834</v>
      </c>
      <c r="F8686" t="s">
        <v>4339</v>
      </c>
      <c r="G8686" t="s">
        <v>8785</v>
      </c>
      <c r="H8686" t="s">
        <v>15564</v>
      </c>
      <c r="I8686" t="s">
        <v>18590</v>
      </c>
      <c r="J8686" t="s">
        <v>18946</v>
      </c>
      <c r="K8686">
        <v>11372</v>
      </c>
      <c r="L8686" t="s">
        <v>18958</v>
      </c>
      <c r="M8686" t="s">
        <v>18960</v>
      </c>
      <c r="N8686" t="s">
        <v>25214</v>
      </c>
      <c r="O8686" t="s">
        <v>26524</v>
      </c>
      <c r="P8686" t="s">
        <v>26563</v>
      </c>
      <c r="R8686" t="s">
        <v>26584</v>
      </c>
      <c r="S8686" t="s">
        <v>18959</v>
      </c>
      <c r="U8686" t="s">
        <v>26604</v>
      </c>
      <c r="V8686" t="s">
        <v>26610</v>
      </c>
      <c r="W8686" t="s">
        <v>834</v>
      </c>
      <c r="X8686">
        <v>2000</v>
      </c>
      <c r="Y8686" t="s">
        <v>26653</v>
      </c>
      <c r="Z8686" t="s">
        <v>26664</v>
      </c>
      <c r="AB8686" t="s">
        <v>32993</v>
      </c>
      <c r="AD8686" t="s">
        <v>43594</v>
      </c>
      <c r="AE8686">
        <v>24</v>
      </c>
      <c r="AF8686" t="s">
        <v>20460</v>
      </c>
      <c r="AG8686" t="s">
        <v>19330</v>
      </c>
      <c r="AH8686">
        <v>1</v>
      </c>
      <c r="AI8686">
        <v>2</v>
      </c>
      <c r="AJ8686">
        <v>3</v>
      </c>
      <c r="AK8686">
        <v>159.1</v>
      </c>
      <c r="AN8686" t="s">
        <v>7439</v>
      </c>
      <c r="AO8686">
        <v>48000</v>
      </c>
      <c r="AU8686">
        <v>1.3</v>
      </c>
      <c r="AV8686" t="s">
        <v>834</v>
      </c>
      <c r="AW8686" t="s">
        <v>208</v>
      </c>
      <c r="AX8686" t="s">
        <v>46897</v>
      </c>
    </row>
    <row r="8687" spans="1:50">
      <c r="A8687" s="1">
        <f>HYPERLINK("https://lsnyc.legalserver.org/matter/dynamic-profile/view/1902870","19-1902870")</f>
        <v>0</v>
      </c>
      <c r="B8687" t="s">
        <v>112</v>
      </c>
      <c r="C8687" t="s">
        <v>340</v>
      </c>
      <c r="D8687" t="s">
        <v>834</v>
      </c>
      <c r="F8687" t="s">
        <v>891</v>
      </c>
      <c r="G8687" t="s">
        <v>5901</v>
      </c>
      <c r="H8687" t="s">
        <v>15565</v>
      </c>
      <c r="I8687" t="s">
        <v>17274</v>
      </c>
      <c r="J8687" t="s">
        <v>18900</v>
      </c>
      <c r="K8687">
        <v>11367</v>
      </c>
      <c r="L8687" t="s">
        <v>18958</v>
      </c>
      <c r="M8687" t="s">
        <v>18960</v>
      </c>
      <c r="N8687" t="s">
        <v>25215</v>
      </c>
      <c r="O8687" t="s">
        <v>26523</v>
      </c>
      <c r="P8687" t="s">
        <v>26563</v>
      </c>
      <c r="R8687" t="s">
        <v>26584</v>
      </c>
      <c r="S8687" t="s">
        <v>18959</v>
      </c>
      <c r="U8687" t="s">
        <v>26605</v>
      </c>
      <c r="W8687" t="s">
        <v>834</v>
      </c>
      <c r="X8687">
        <v>700</v>
      </c>
      <c r="Y8687" t="s">
        <v>26653</v>
      </c>
      <c r="Z8687" t="s">
        <v>26664</v>
      </c>
      <c r="AB8687" t="s">
        <v>32994</v>
      </c>
      <c r="AD8687" t="s">
        <v>43595</v>
      </c>
      <c r="AE8687">
        <v>28</v>
      </c>
      <c r="AF8687" t="s">
        <v>45549</v>
      </c>
      <c r="AG8687" t="s">
        <v>19330</v>
      </c>
      <c r="AH8687">
        <v>25</v>
      </c>
      <c r="AI8687">
        <v>3</v>
      </c>
      <c r="AJ8687">
        <v>0</v>
      </c>
      <c r="AK8687">
        <v>168.78</v>
      </c>
      <c r="AN8687" t="s">
        <v>7439</v>
      </c>
      <c r="AO8687">
        <v>36000</v>
      </c>
      <c r="AU8687">
        <v>1.3</v>
      </c>
      <c r="AV8687" t="s">
        <v>834</v>
      </c>
      <c r="AW8687" t="s">
        <v>208</v>
      </c>
      <c r="AX8687" t="s">
        <v>46897</v>
      </c>
    </row>
    <row r="8688" spans="1:50">
      <c r="A8688" s="1">
        <f>HYPERLINK("https://lsnyc.legalserver.org/matter/dynamic-profile/view/1903017","19-1903017")</f>
        <v>0</v>
      </c>
      <c r="B8688" t="s">
        <v>90</v>
      </c>
      <c r="C8688" t="s">
        <v>340</v>
      </c>
      <c r="D8688" t="s">
        <v>833</v>
      </c>
      <c r="F8688" t="s">
        <v>887</v>
      </c>
      <c r="G8688" t="s">
        <v>8786</v>
      </c>
      <c r="H8688" t="s">
        <v>10174</v>
      </c>
      <c r="I8688">
        <v>409</v>
      </c>
      <c r="J8688" t="s">
        <v>18893</v>
      </c>
      <c r="K8688">
        <v>10029</v>
      </c>
      <c r="L8688" t="s">
        <v>18958</v>
      </c>
      <c r="M8688" t="s">
        <v>18960</v>
      </c>
      <c r="O8688" t="s">
        <v>26526</v>
      </c>
      <c r="P8688" t="s">
        <v>26560</v>
      </c>
      <c r="R8688" t="s">
        <v>26578</v>
      </c>
      <c r="S8688" t="s">
        <v>18958</v>
      </c>
      <c r="U8688" t="s">
        <v>26604</v>
      </c>
      <c r="V8688" t="s">
        <v>26610</v>
      </c>
      <c r="W8688" t="s">
        <v>834</v>
      </c>
      <c r="X8688">
        <v>271</v>
      </c>
      <c r="Y8688" t="s">
        <v>26651</v>
      </c>
      <c r="Z8688" t="s">
        <v>26659</v>
      </c>
      <c r="AB8688" t="s">
        <v>30482</v>
      </c>
      <c r="AD8688" t="s">
        <v>43596</v>
      </c>
      <c r="AE8688">
        <v>108</v>
      </c>
      <c r="AF8688" t="s">
        <v>45543</v>
      </c>
      <c r="AG8688" t="s">
        <v>45556</v>
      </c>
      <c r="AH8688">
        <v>30</v>
      </c>
      <c r="AI8688">
        <v>1</v>
      </c>
      <c r="AJ8688">
        <v>0</v>
      </c>
      <c r="AK8688">
        <v>88.39</v>
      </c>
      <c r="AN8688" t="s">
        <v>45581</v>
      </c>
      <c r="AO8688">
        <v>11040</v>
      </c>
      <c r="AU8688">
        <v>0</v>
      </c>
      <c r="AW8688" t="s">
        <v>46835</v>
      </c>
      <c r="AX8688" t="s">
        <v>46897</v>
      </c>
    </row>
    <row r="8689" spans="1:50">
      <c r="A8689" s="1">
        <f>HYPERLINK("https://lsnyc.legalserver.org/matter/dynamic-profile/view/1903020","19-1903020")</f>
        <v>0</v>
      </c>
      <c r="B8689" t="s">
        <v>90</v>
      </c>
      <c r="C8689" t="s">
        <v>340</v>
      </c>
      <c r="D8689" t="s">
        <v>833</v>
      </c>
      <c r="F8689" t="s">
        <v>4340</v>
      </c>
      <c r="G8689" t="s">
        <v>5966</v>
      </c>
      <c r="H8689" t="s">
        <v>10174</v>
      </c>
      <c r="I8689">
        <v>709</v>
      </c>
      <c r="J8689" t="s">
        <v>18893</v>
      </c>
      <c r="K8689">
        <v>10029</v>
      </c>
      <c r="L8689" t="s">
        <v>18958</v>
      </c>
      <c r="M8689" t="s">
        <v>18960</v>
      </c>
      <c r="O8689" t="s">
        <v>26526</v>
      </c>
      <c r="P8689" t="s">
        <v>26560</v>
      </c>
      <c r="R8689" t="s">
        <v>26578</v>
      </c>
      <c r="S8689" t="s">
        <v>18958</v>
      </c>
      <c r="U8689" t="s">
        <v>26604</v>
      </c>
      <c r="V8689" t="s">
        <v>26610</v>
      </c>
      <c r="W8689" t="s">
        <v>834</v>
      </c>
      <c r="X8689">
        <v>0</v>
      </c>
      <c r="Y8689" t="s">
        <v>26651</v>
      </c>
      <c r="Z8689" t="s">
        <v>26659</v>
      </c>
      <c r="AB8689" t="s">
        <v>32995</v>
      </c>
      <c r="AD8689" t="s">
        <v>43597</v>
      </c>
      <c r="AE8689">
        <v>108</v>
      </c>
      <c r="AF8689" t="s">
        <v>45543</v>
      </c>
      <c r="AG8689" t="s">
        <v>45556</v>
      </c>
      <c r="AH8689">
        <v>32</v>
      </c>
      <c r="AI8689">
        <v>2</v>
      </c>
      <c r="AJ8689">
        <v>0</v>
      </c>
      <c r="AK8689">
        <v>132.42</v>
      </c>
      <c r="AN8689" t="s">
        <v>45581</v>
      </c>
      <c r="AO8689">
        <v>22392</v>
      </c>
      <c r="AU8689">
        <v>0</v>
      </c>
      <c r="AW8689" t="s">
        <v>46835</v>
      </c>
      <c r="AX8689" t="s">
        <v>46897</v>
      </c>
    </row>
    <row r="8690" spans="1:50">
      <c r="A8690" s="1">
        <f>HYPERLINK("https://lsnyc.legalserver.org/matter/dynamic-profile/view/1903011","19-1903011")</f>
        <v>0</v>
      </c>
      <c r="B8690" t="s">
        <v>90</v>
      </c>
      <c r="C8690" t="s">
        <v>340</v>
      </c>
      <c r="D8690" t="s">
        <v>833</v>
      </c>
      <c r="F8690" t="s">
        <v>1062</v>
      </c>
      <c r="G8690" t="s">
        <v>5929</v>
      </c>
      <c r="H8690" t="s">
        <v>10174</v>
      </c>
      <c r="I8690">
        <v>509</v>
      </c>
      <c r="J8690" t="s">
        <v>18893</v>
      </c>
      <c r="K8690">
        <v>10029</v>
      </c>
      <c r="L8690" t="s">
        <v>18958</v>
      </c>
      <c r="M8690" t="s">
        <v>18960</v>
      </c>
      <c r="O8690" t="s">
        <v>26526</v>
      </c>
      <c r="P8690" t="s">
        <v>26560</v>
      </c>
      <c r="R8690" t="s">
        <v>26578</v>
      </c>
      <c r="S8690" t="s">
        <v>18958</v>
      </c>
      <c r="U8690" t="s">
        <v>26604</v>
      </c>
      <c r="V8690" t="s">
        <v>26610</v>
      </c>
      <c r="W8690" t="s">
        <v>834</v>
      </c>
      <c r="X8690">
        <v>905</v>
      </c>
      <c r="Y8690" t="s">
        <v>26651</v>
      </c>
      <c r="Z8690" t="s">
        <v>26659</v>
      </c>
      <c r="AB8690" t="s">
        <v>32996</v>
      </c>
      <c r="AD8690" t="s">
        <v>43598</v>
      </c>
      <c r="AE8690">
        <v>108</v>
      </c>
      <c r="AF8690" t="s">
        <v>45543</v>
      </c>
      <c r="AG8690" t="s">
        <v>45556</v>
      </c>
      <c r="AH8690">
        <v>7</v>
      </c>
      <c r="AI8690">
        <v>1</v>
      </c>
      <c r="AJ8690">
        <v>2</v>
      </c>
      <c r="AK8690">
        <v>192.22</v>
      </c>
      <c r="AN8690" t="s">
        <v>7439</v>
      </c>
      <c r="AO8690">
        <v>41000</v>
      </c>
      <c r="AU8690">
        <v>2</v>
      </c>
      <c r="AV8690" t="s">
        <v>833</v>
      </c>
      <c r="AW8690" t="s">
        <v>46835</v>
      </c>
      <c r="AX8690" t="s">
        <v>46897</v>
      </c>
    </row>
    <row r="8691" spans="1:50">
      <c r="A8691" s="1">
        <f>HYPERLINK("https://lsnyc.legalserver.org/matter/dynamic-profile/view/1857256","18-1857256")</f>
        <v>0</v>
      </c>
      <c r="B8691" t="s">
        <v>108</v>
      </c>
      <c r="C8691" t="s">
        <v>340</v>
      </c>
      <c r="D8691" t="s">
        <v>674</v>
      </c>
      <c r="F8691" t="s">
        <v>4341</v>
      </c>
      <c r="G8691" t="s">
        <v>5078</v>
      </c>
      <c r="H8691" t="s">
        <v>15566</v>
      </c>
      <c r="I8691" t="s">
        <v>17334</v>
      </c>
      <c r="J8691" t="s">
        <v>18907</v>
      </c>
      <c r="K8691">
        <v>11377</v>
      </c>
      <c r="L8691" t="s">
        <v>18958</v>
      </c>
      <c r="M8691" t="s">
        <v>18960</v>
      </c>
      <c r="N8691" t="s">
        <v>25216</v>
      </c>
      <c r="O8691" t="s">
        <v>26524</v>
      </c>
      <c r="P8691" t="s">
        <v>26560</v>
      </c>
      <c r="R8691" t="s">
        <v>26593</v>
      </c>
      <c r="S8691" t="s">
        <v>18959</v>
      </c>
      <c r="U8691" t="s">
        <v>26604</v>
      </c>
      <c r="W8691" t="s">
        <v>833</v>
      </c>
      <c r="X8691">
        <v>1174</v>
      </c>
      <c r="Y8691" t="s">
        <v>26653</v>
      </c>
      <c r="Z8691" t="s">
        <v>26667</v>
      </c>
      <c r="AB8691" t="s">
        <v>29171</v>
      </c>
      <c r="AD8691" t="s">
        <v>43599</v>
      </c>
      <c r="AE8691">
        <v>6</v>
      </c>
      <c r="AF8691" t="s">
        <v>45541</v>
      </c>
      <c r="AG8691" t="s">
        <v>19330</v>
      </c>
      <c r="AH8691">
        <v>23</v>
      </c>
      <c r="AI8691">
        <v>3</v>
      </c>
      <c r="AJ8691">
        <v>0</v>
      </c>
      <c r="AK8691">
        <v>283.93</v>
      </c>
      <c r="AN8691" t="s">
        <v>45581</v>
      </c>
      <c r="AO8691">
        <v>59000</v>
      </c>
      <c r="AQ8691" t="s">
        <v>46361</v>
      </c>
      <c r="AR8691" t="s">
        <v>46452</v>
      </c>
      <c r="AS8691" t="s">
        <v>46500</v>
      </c>
      <c r="AT8691" t="s">
        <v>46767</v>
      </c>
      <c r="AU8691">
        <v>115.25</v>
      </c>
      <c r="AV8691" t="s">
        <v>768</v>
      </c>
      <c r="AW8691" t="s">
        <v>108</v>
      </c>
      <c r="AX8691" t="s">
        <v>46897</v>
      </c>
    </row>
    <row r="8692" spans="1:50">
      <c r="A8692" s="1">
        <f>HYPERLINK("https://lsnyc.legalserver.org/matter/dynamic-profile/view/1883385","18-1883385")</f>
        <v>0</v>
      </c>
      <c r="B8692" t="s">
        <v>108</v>
      </c>
      <c r="C8692" t="s">
        <v>340</v>
      </c>
      <c r="D8692" t="s">
        <v>662</v>
      </c>
      <c r="F8692" t="s">
        <v>2153</v>
      </c>
      <c r="G8692" t="s">
        <v>8787</v>
      </c>
      <c r="H8692" t="s">
        <v>15567</v>
      </c>
      <c r="I8692" t="s">
        <v>17423</v>
      </c>
      <c r="J8692" t="s">
        <v>18901</v>
      </c>
      <c r="K8692">
        <v>11434</v>
      </c>
      <c r="L8692" t="s">
        <v>18958</v>
      </c>
      <c r="M8692" t="s">
        <v>18958</v>
      </c>
      <c r="N8692" t="s">
        <v>25217</v>
      </c>
      <c r="O8692" t="s">
        <v>26524</v>
      </c>
      <c r="P8692" t="s">
        <v>26560</v>
      </c>
      <c r="R8692" t="s">
        <v>26584</v>
      </c>
      <c r="S8692" t="s">
        <v>18959</v>
      </c>
      <c r="U8692" t="s">
        <v>26604</v>
      </c>
      <c r="V8692" t="s">
        <v>26614</v>
      </c>
      <c r="W8692" t="s">
        <v>833</v>
      </c>
      <c r="X8692">
        <v>569</v>
      </c>
      <c r="Y8692" t="s">
        <v>26653</v>
      </c>
      <c r="Z8692" t="s">
        <v>26668</v>
      </c>
      <c r="AB8692" t="s">
        <v>32997</v>
      </c>
      <c r="AD8692" t="s">
        <v>43600</v>
      </c>
      <c r="AE8692">
        <v>2</v>
      </c>
      <c r="AF8692" t="s">
        <v>45547</v>
      </c>
      <c r="AG8692" t="s">
        <v>45556</v>
      </c>
      <c r="AH8692">
        <v>1</v>
      </c>
      <c r="AI8692">
        <v>2</v>
      </c>
      <c r="AJ8692">
        <v>1</v>
      </c>
      <c r="AK8692">
        <v>45.04</v>
      </c>
      <c r="AN8692" t="s">
        <v>7439</v>
      </c>
      <c r="AO8692">
        <v>9360</v>
      </c>
      <c r="AQ8692" t="s">
        <v>46361</v>
      </c>
      <c r="AR8692" t="s">
        <v>26530</v>
      </c>
      <c r="AS8692" t="s">
        <v>46500</v>
      </c>
      <c r="AT8692" t="s">
        <v>46784</v>
      </c>
      <c r="AU8692">
        <v>0.27</v>
      </c>
      <c r="AV8692" t="s">
        <v>835</v>
      </c>
      <c r="AW8692" t="s">
        <v>208</v>
      </c>
      <c r="AX8692" t="s">
        <v>46897</v>
      </c>
    </row>
    <row r="8693" spans="1:50">
      <c r="A8693" s="1">
        <f>HYPERLINK("https://lsnyc.legalserver.org/matter/dynamic-profile/view/1899877","19-1899877")</f>
        <v>0</v>
      </c>
      <c r="B8693" t="s">
        <v>108</v>
      </c>
      <c r="C8693" t="s">
        <v>340</v>
      </c>
      <c r="D8693" t="s">
        <v>805</v>
      </c>
      <c r="F8693" t="s">
        <v>1878</v>
      </c>
      <c r="G8693" t="s">
        <v>5183</v>
      </c>
      <c r="H8693" t="s">
        <v>15568</v>
      </c>
      <c r="I8693">
        <v>3</v>
      </c>
      <c r="J8693" t="s">
        <v>18900</v>
      </c>
      <c r="K8693">
        <v>11355</v>
      </c>
      <c r="L8693" t="s">
        <v>18958</v>
      </c>
      <c r="M8693" t="s">
        <v>18960</v>
      </c>
      <c r="N8693" t="s">
        <v>25218</v>
      </c>
      <c r="O8693" t="s">
        <v>26524</v>
      </c>
      <c r="P8693" t="s">
        <v>26565</v>
      </c>
      <c r="R8693" t="s">
        <v>26584</v>
      </c>
      <c r="S8693" t="s">
        <v>18959</v>
      </c>
      <c r="U8693" t="s">
        <v>26604</v>
      </c>
      <c r="V8693" t="s">
        <v>26610</v>
      </c>
      <c r="W8693" t="s">
        <v>833</v>
      </c>
      <c r="X8693">
        <v>2000</v>
      </c>
      <c r="Y8693" t="s">
        <v>26653</v>
      </c>
      <c r="Z8693" t="s">
        <v>26664</v>
      </c>
      <c r="AB8693" t="s">
        <v>29644</v>
      </c>
      <c r="AD8693" t="s">
        <v>43601</v>
      </c>
      <c r="AE8693">
        <v>3</v>
      </c>
      <c r="AF8693" t="s">
        <v>45547</v>
      </c>
      <c r="AG8693" t="s">
        <v>19330</v>
      </c>
      <c r="AH8693">
        <v>5</v>
      </c>
      <c r="AI8693">
        <v>3</v>
      </c>
      <c r="AJ8693">
        <v>2</v>
      </c>
      <c r="AK8693">
        <v>60.32</v>
      </c>
      <c r="AN8693" t="s">
        <v>45581</v>
      </c>
      <c r="AO8693">
        <v>18200</v>
      </c>
      <c r="AU8693">
        <v>3.67</v>
      </c>
      <c r="AV8693" t="s">
        <v>835</v>
      </c>
      <c r="AW8693" t="s">
        <v>46846</v>
      </c>
      <c r="AX8693" t="s">
        <v>46897</v>
      </c>
    </row>
    <row r="8694" spans="1:50">
      <c r="A8694" s="1">
        <f>HYPERLINK("https://lsnyc.legalserver.org/matter/dynamic-profile/view/1900990","19-1900990")</f>
        <v>0</v>
      </c>
      <c r="B8694" t="s">
        <v>108</v>
      </c>
      <c r="C8694" t="s">
        <v>340</v>
      </c>
      <c r="D8694" t="s">
        <v>825</v>
      </c>
      <c r="F8694" t="s">
        <v>3569</v>
      </c>
      <c r="G8694" t="s">
        <v>8788</v>
      </c>
      <c r="H8694" t="s">
        <v>15569</v>
      </c>
      <c r="I8694" t="s">
        <v>18591</v>
      </c>
      <c r="J8694" t="s">
        <v>18901</v>
      </c>
      <c r="K8694">
        <v>11433</v>
      </c>
      <c r="L8694" t="s">
        <v>18958</v>
      </c>
      <c r="M8694" t="s">
        <v>18960</v>
      </c>
      <c r="N8694" t="s">
        <v>25219</v>
      </c>
      <c r="O8694" t="s">
        <v>26524</v>
      </c>
      <c r="P8694" t="s">
        <v>26564</v>
      </c>
      <c r="R8694" t="s">
        <v>26585</v>
      </c>
      <c r="S8694" t="s">
        <v>18959</v>
      </c>
      <c r="U8694" t="s">
        <v>26604</v>
      </c>
      <c r="W8694" t="s">
        <v>833</v>
      </c>
      <c r="X8694">
        <v>1700</v>
      </c>
      <c r="Y8694" t="s">
        <v>26653</v>
      </c>
      <c r="Z8694" t="s">
        <v>26664</v>
      </c>
      <c r="AB8694" t="s">
        <v>32998</v>
      </c>
      <c r="AC8694" t="s">
        <v>36565</v>
      </c>
      <c r="AD8694" t="s">
        <v>43602</v>
      </c>
      <c r="AE8694">
        <v>15</v>
      </c>
      <c r="AF8694" t="s">
        <v>45543</v>
      </c>
      <c r="AG8694" t="s">
        <v>45556</v>
      </c>
      <c r="AH8694">
        <v>6</v>
      </c>
      <c r="AI8694">
        <v>2</v>
      </c>
      <c r="AJ8694">
        <v>3</v>
      </c>
      <c r="AK8694">
        <v>81.86</v>
      </c>
      <c r="AN8694" t="s">
        <v>7439</v>
      </c>
      <c r="AO8694">
        <v>24696</v>
      </c>
      <c r="AU8694">
        <v>1.35</v>
      </c>
      <c r="AV8694" t="s">
        <v>835</v>
      </c>
      <c r="AW8694" t="s">
        <v>46846</v>
      </c>
      <c r="AX8694" t="s">
        <v>46897</v>
      </c>
    </row>
    <row r="8695" spans="1:50">
      <c r="A8695" s="1">
        <f>HYPERLINK("https://lsnyc.legalserver.org/matter/dynamic-profile/view/1902276","19-1902276")</f>
        <v>0</v>
      </c>
      <c r="B8695" t="s">
        <v>282</v>
      </c>
      <c r="C8695" t="s">
        <v>340</v>
      </c>
      <c r="D8695" t="s">
        <v>826</v>
      </c>
      <c r="F8695" t="s">
        <v>4342</v>
      </c>
      <c r="G8695" t="s">
        <v>5849</v>
      </c>
      <c r="H8695" t="s">
        <v>15570</v>
      </c>
      <c r="J8695" t="s">
        <v>18901</v>
      </c>
      <c r="K8695">
        <v>11433</v>
      </c>
      <c r="L8695" t="s">
        <v>18960</v>
      </c>
      <c r="M8695" t="s">
        <v>18960</v>
      </c>
      <c r="N8695" t="s">
        <v>25220</v>
      </c>
      <c r="O8695" t="s">
        <v>26524</v>
      </c>
      <c r="P8695" t="s">
        <v>26560</v>
      </c>
      <c r="R8695" t="s">
        <v>26585</v>
      </c>
      <c r="S8695" t="s">
        <v>18959</v>
      </c>
      <c r="U8695" t="s">
        <v>26604</v>
      </c>
      <c r="W8695" t="s">
        <v>833</v>
      </c>
      <c r="X8695">
        <v>950</v>
      </c>
      <c r="Y8695" t="s">
        <v>26653</v>
      </c>
      <c r="Z8695" t="s">
        <v>26664</v>
      </c>
      <c r="AB8695" t="s">
        <v>32999</v>
      </c>
      <c r="AC8695" t="s">
        <v>19330</v>
      </c>
      <c r="AD8695" t="s">
        <v>43603</v>
      </c>
      <c r="AE8695">
        <v>3</v>
      </c>
      <c r="AF8695" t="s">
        <v>45547</v>
      </c>
      <c r="AG8695" t="s">
        <v>19330</v>
      </c>
      <c r="AH8695">
        <v>6</v>
      </c>
      <c r="AI8695">
        <v>1</v>
      </c>
      <c r="AJ8695">
        <v>0</v>
      </c>
      <c r="AK8695">
        <v>0</v>
      </c>
      <c r="AN8695" t="s">
        <v>7439</v>
      </c>
      <c r="AO8695">
        <v>0</v>
      </c>
      <c r="AU8695">
        <v>2.52</v>
      </c>
      <c r="AV8695" t="s">
        <v>836</v>
      </c>
      <c r="AW8695" t="s">
        <v>46846</v>
      </c>
      <c r="AX8695" t="s">
        <v>46897</v>
      </c>
    </row>
    <row r="8696" spans="1:50">
      <c r="A8696" s="1">
        <f>HYPERLINK("https://lsnyc.legalserver.org/matter/dynamic-profile/view/1902900","19-1902900")</f>
        <v>0</v>
      </c>
      <c r="B8696" t="s">
        <v>108</v>
      </c>
      <c r="C8696" t="s">
        <v>340</v>
      </c>
      <c r="D8696" t="s">
        <v>834</v>
      </c>
      <c r="F8696" t="s">
        <v>939</v>
      </c>
      <c r="G8696" t="s">
        <v>8789</v>
      </c>
      <c r="H8696" t="s">
        <v>15571</v>
      </c>
      <c r="I8696" t="s">
        <v>17416</v>
      </c>
      <c r="J8696" t="s">
        <v>18913</v>
      </c>
      <c r="K8696">
        <v>11102</v>
      </c>
      <c r="L8696" t="s">
        <v>18958</v>
      </c>
      <c r="M8696" t="s">
        <v>18960</v>
      </c>
      <c r="N8696" t="s">
        <v>25221</v>
      </c>
      <c r="O8696" t="s">
        <v>26524</v>
      </c>
      <c r="P8696" t="s">
        <v>26564</v>
      </c>
      <c r="R8696" t="s">
        <v>26584</v>
      </c>
      <c r="S8696" t="s">
        <v>18959</v>
      </c>
      <c r="U8696" t="s">
        <v>26604</v>
      </c>
      <c r="V8696" t="s">
        <v>26612</v>
      </c>
      <c r="W8696" t="s">
        <v>833</v>
      </c>
      <c r="X8696">
        <v>1600</v>
      </c>
      <c r="Y8696" t="s">
        <v>26653</v>
      </c>
      <c r="Z8696" t="s">
        <v>26664</v>
      </c>
      <c r="AB8696" t="s">
        <v>33000</v>
      </c>
      <c r="AD8696" t="s">
        <v>43604</v>
      </c>
      <c r="AE8696">
        <v>2</v>
      </c>
      <c r="AF8696" t="s">
        <v>45547</v>
      </c>
      <c r="AG8696" t="s">
        <v>19330</v>
      </c>
      <c r="AH8696">
        <v>33</v>
      </c>
      <c r="AI8696">
        <v>2</v>
      </c>
      <c r="AJ8696">
        <v>0</v>
      </c>
      <c r="AK8696">
        <v>152.59</v>
      </c>
      <c r="AN8696" t="s">
        <v>7439</v>
      </c>
      <c r="AO8696">
        <v>25802.4</v>
      </c>
      <c r="AU8696">
        <v>1.27</v>
      </c>
      <c r="AV8696" t="s">
        <v>835</v>
      </c>
      <c r="AW8696" t="s">
        <v>46846</v>
      </c>
      <c r="AX8696" t="s">
        <v>46897</v>
      </c>
    </row>
    <row r="8697" spans="1:50">
      <c r="A8697" s="1">
        <f>HYPERLINK("https://lsnyc.legalserver.org/matter/dynamic-profile/view/1903053","19-1903053")</f>
        <v>0</v>
      </c>
      <c r="B8697" t="s">
        <v>135</v>
      </c>
      <c r="C8697" t="s">
        <v>340</v>
      </c>
      <c r="D8697" t="s">
        <v>833</v>
      </c>
      <c r="F8697" t="s">
        <v>1295</v>
      </c>
      <c r="G8697" t="s">
        <v>5125</v>
      </c>
      <c r="H8697" t="s">
        <v>10136</v>
      </c>
      <c r="I8697" t="s">
        <v>17273</v>
      </c>
      <c r="J8697" t="s">
        <v>18892</v>
      </c>
      <c r="K8697">
        <v>10463</v>
      </c>
      <c r="L8697" t="s">
        <v>18958</v>
      </c>
      <c r="M8697" t="s">
        <v>18960</v>
      </c>
      <c r="N8697" t="s">
        <v>25222</v>
      </c>
      <c r="O8697" t="s">
        <v>26523</v>
      </c>
      <c r="P8697" t="s">
        <v>26560</v>
      </c>
      <c r="R8697" t="s">
        <v>26577</v>
      </c>
      <c r="S8697" t="s">
        <v>18959</v>
      </c>
      <c r="U8697" t="s">
        <v>26604</v>
      </c>
      <c r="W8697" t="s">
        <v>833</v>
      </c>
      <c r="X8697">
        <v>948</v>
      </c>
      <c r="Y8697" t="s">
        <v>26650</v>
      </c>
      <c r="Z8697" t="s">
        <v>26663</v>
      </c>
      <c r="AB8697" t="s">
        <v>27226</v>
      </c>
      <c r="AD8697" t="s">
        <v>37300</v>
      </c>
      <c r="AE8697">
        <v>55</v>
      </c>
      <c r="AF8697" t="s">
        <v>45541</v>
      </c>
      <c r="AG8697" t="s">
        <v>19330</v>
      </c>
      <c r="AH8697">
        <v>10</v>
      </c>
      <c r="AI8697">
        <v>1</v>
      </c>
      <c r="AJ8697">
        <v>0</v>
      </c>
      <c r="AK8697">
        <v>208.17</v>
      </c>
      <c r="AN8697" t="s">
        <v>45581</v>
      </c>
      <c r="AO8697">
        <v>26000</v>
      </c>
      <c r="AP8697" t="s">
        <v>46099</v>
      </c>
      <c r="AU8697">
        <v>0</v>
      </c>
      <c r="AW8697" t="s">
        <v>329</v>
      </c>
      <c r="AX8697" t="s">
        <v>46897</v>
      </c>
    </row>
    <row r="8698" spans="1:50">
      <c r="A8698" s="1">
        <f>HYPERLINK("https://lsnyc.legalserver.org/matter/dynamic-profile/view/1902983","19-1902983")</f>
        <v>0</v>
      </c>
      <c r="B8698" t="s">
        <v>240</v>
      </c>
      <c r="C8698" t="s">
        <v>340</v>
      </c>
      <c r="D8698" t="s">
        <v>833</v>
      </c>
      <c r="F8698" t="s">
        <v>2020</v>
      </c>
      <c r="G8698" t="s">
        <v>5393</v>
      </c>
      <c r="H8698" t="s">
        <v>15572</v>
      </c>
      <c r="I8698" t="s">
        <v>17272</v>
      </c>
      <c r="J8698" t="s">
        <v>18894</v>
      </c>
      <c r="K8698">
        <v>11213</v>
      </c>
      <c r="L8698" t="s">
        <v>18958</v>
      </c>
      <c r="M8698" t="s">
        <v>18960</v>
      </c>
      <c r="O8698" t="s">
        <v>26523</v>
      </c>
      <c r="P8698" t="s">
        <v>26560</v>
      </c>
      <c r="R8698" t="s">
        <v>26578</v>
      </c>
      <c r="S8698" t="s">
        <v>18959</v>
      </c>
      <c r="U8698" t="s">
        <v>26604</v>
      </c>
      <c r="W8698" t="s">
        <v>833</v>
      </c>
      <c r="X8698">
        <v>0</v>
      </c>
      <c r="Y8698" t="s">
        <v>26652</v>
      </c>
      <c r="AB8698" t="s">
        <v>33001</v>
      </c>
      <c r="AD8698" t="s">
        <v>43605</v>
      </c>
      <c r="AE8698">
        <v>0</v>
      </c>
      <c r="AH8698">
        <v>0</v>
      </c>
      <c r="AI8698">
        <v>1</v>
      </c>
      <c r="AJ8698">
        <v>0</v>
      </c>
      <c r="AK8698">
        <v>541.23</v>
      </c>
      <c r="AO8698">
        <v>67600</v>
      </c>
      <c r="AU8698">
        <v>3</v>
      </c>
      <c r="AV8698" t="s">
        <v>834</v>
      </c>
      <c r="AW8698" t="s">
        <v>219</v>
      </c>
    </row>
    <row r="8699" spans="1:50">
      <c r="A8699" s="1">
        <f>HYPERLINK("https://lsnyc.legalserver.org/matter/dynamic-profile/view/1902232","19-1902232")</f>
        <v>0</v>
      </c>
      <c r="B8699" t="s">
        <v>122</v>
      </c>
      <c r="C8699" t="s">
        <v>340</v>
      </c>
      <c r="D8699" t="s">
        <v>772</v>
      </c>
      <c r="F8699" t="s">
        <v>3657</v>
      </c>
      <c r="G8699" t="s">
        <v>2749</v>
      </c>
      <c r="H8699" t="s">
        <v>14219</v>
      </c>
      <c r="I8699" t="s">
        <v>17397</v>
      </c>
      <c r="J8699" t="s">
        <v>18906</v>
      </c>
      <c r="K8699">
        <v>11373</v>
      </c>
      <c r="L8699" t="s">
        <v>18960</v>
      </c>
      <c r="M8699" t="s">
        <v>18960</v>
      </c>
      <c r="N8699" t="s">
        <v>19045</v>
      </c>
      <c r="O8699" t="s">
        <v>18997</v>
      </c>
      <c r="P8699" t="s">
        <v>26565</v>
      </c>
      <c r="R8699" t="s">
        <v>26592</v>
      </c>
      <c r="S8699" t="s">
        <v>18959</v>
      </c>
      <c r="U8699" t="s">
        <v>26604</v>
      </c>
      <c r="W8699" t="s">
        <v>26643</v>
      </c>
      <c r="X8699">
        <v>1257.2</v>
      </c>
      <c r="Y8699" t="s">
        <v>26653</v>
      </c>
      <c r="Z8699" t="s">
        <v>26659</v>
      </c>
      <c r="AB8699" t="s">
        <v>28756</v>
      </c>
      <c r="AC8699" t="s">
        <v>36566</v>
      </c>
      <c r="AD8699" t="s">
        <v>41873</v>
      </c>
      <c r="AE8699">
        <v>0</v>
      </c>
      <c r="AG8699" t="s">
        <v>45557</v>
      </c>
      <c r="AH8699">
        <v>0</v>
      </c>
      <c r="AI8699">
        <v>3</v>
      </c>
      <c r="AJ8699">
        <v>1</v>
      </c>
      <c r="AK8699">
        <v>35.93</v>
      </c>
      <c r="AN8699" t="s">
        <v>45581</v>
      </c>
      <c r="AO8699">
        <v>9252</v>
      </c>
      <c r="AU8699">
        <v>1.5</v>
      </c>
      <c r="AV8699" t="s">
        <v>826</v>
      </c>
      <c r="AW8699" t="s">
        <v>122</v>
      </c>
      <c r="AX8699" t="s">
        <v>46898</v>
      </c>
    </row>
    <row r="8700" spans="1:50">
      <c r="A8700" s="1">
        <f>HYPERLINK("https://lsnyc.legalserver.org/matter/dynamic-profile/view/1880605","18-1880605")</f>
        <v>0</v>
      </c>
      <c r="B8700" t="s">
        <v>100</v>
      </c>
      <c r="C8700" t="s">
        <v>340</v>
      </c>
      <c r="D8700" t="s">
        <v>623</v>
      </c>
      <c r="F8700" t="s">
        <v>933</v>
      </c>
      <c r="G8700" t="s">
        <v>5147</v>
      </c>
      <c r="H8700" t="s">
        <v>10916</v>
      </c>
      <c r="I8700" t="s">
        <v>17274</v>
      </c>
      <c r="J8700" t="s">
        <v>18892</v>
      </c>
      <c r="K8700">
        <v>10456</v>
      </c>
      <c r="L8700" t="s">
        <v>18958</v>
      </c>
      <c r="M8700" t="s">
        <v>18958</v>
      </c>
      <c r="N8700" t="s">
        <v>22131</v>
      </c>
      <c r="O8700" t="s">
        <v>26534</v>
      </c>
      <c r="P8700" t="s">
        <v>26561</v>
      </c>
      <c r="R8700" t="s">
        <v>26578</v>
      </c>
      <c r="S8700" t="s">
        <v>18958</v>
      </c>
      <c r="U8700" t="s">
        <v>26604</v>
      </c>
      <c r="W8700" t="s">
        <v>835</v>
      </c>
      <c r="X8700">
        <v>1165</v>
      </c>
      <c r="Y8700" t="s">
        <v>26650</v>
      </c>
      <c r="AB8700" t="s">
        <v>28260</v>
      </c>
      <c r="AD8700" t="s">
        <v>43606</v>
      </c>
      <c r="AE8700">
        <v>61</v>
      </c>
      <c r="AF8700" t="s">
        <v>45541</v>
      </c>
      <c r="AG8700" t="s">
        <v>45556</v>
      </c>
      <c r="AH8700">
        <v>22</v>
      </c>
      <c r="AI8700">
        <v>1</v>
      </c>
      <c r="AJ8700">
        <v>0</v>
      </c>
      <c r="AK8700">
        <v>70.08</v>
      </c>
      <c r="AN8700" t="s">
        <v>45581</v>
      </c>
      <c r="AO8700">
        <v>8508</v>
      </c>
      <c r="AP8700" t="s">
        <v>46100</v>
      </c>
      <c r="AU8700">
        <v>0</v>
      </c>
      <c r="AW8700" t="s">
        <v>46847</v>
      </c>
    </row>
    <row r="8701" spans="1:50">
      <c r="A8701" s="1">
        <f>HYPERLINK("https://lsnyc.legalserver.org/matter/dynamic-profile/view/1884394","18-1884394")</f>
        <v>0</v>
      </c>
      <c r="B8701" t="s">
        <v>72</v>
      </c>
      <c r="C8701" t="s">
        <v>341</v>
      </c>
      <c r="D8701" t="s">
        <v>667</v>
      </c>
      <c r="E8701" t="s">
        <v>835</v>
      </c>
      <c r="F8701" t="s">
        <v>1228</v>
      </c>
      <c r="G8701" t="s">
        <v>5147</v>
      </c>
      <c r="H8701" t="s">
        <v>11324</v>
      </c>
      <c r="I8701">
        <v>53</v>
      </c>
      <c r="J8701" t="s">
        <v>18893</v>
      </c>
      <c r="K8701">
        <v>10034</v>
      </c>
      <c r="L8701" t="s">
        <v>18958</v>
      </c>
      <c r="M8701" t="s">
        <v>18958</v>
      </c>
      <c r="O8701" t="s">
        <v>18997</v>
      </c>
      <c r="P8701" t="s">
        <v>26562</v>
      </c>
      <c r="Q8701" t="s">
        <v>26571</v>
      </c>
      <c r="R8701" t="s">
        <v>26578</v>
      </c>
      <c r="S8701" t="s">
        <v>18959</v>
      </c>
      <c r="T8701" t="s">
        <v>26578</v>
      </c>
      <c r="U8701" t="s">
        <v>26604</v>
      </c>
      <c r="W8701" t="s">
        <v>835</v>
      </c>
      <c r="X8701">
        <v>1100</v>
      </c>
      <c r="Y8701" t="s">
        <v>26651</v>
      </c>
      <c r="AA8701" t="s">
        <v>26678</v>
      </c>
      <c r="AB8701" t="s">
        <v>27233</v>
      </c>
      <c r="AD8701" t="s">
        <v>43607</v>
      </c>
      <c r="AE8701">
        <v>25</v>
      </c>
      <c r="AF8701" t="s">
        <v>45548</v>
      </c>
      <c r="AG8701" t="s">
        <v>19330</v>
      </c>
      <c r="AH8701">
        <v>11</v>
      </c>
      <c r="AI8701">
        <v>4</v>
      </c>
      <c r="AJ8701">
        <v>0</v>
      </c>
      <c r="AK8701">
        <v>275.54</v>
      </c>
      <c r="AN8701" t="s">
        <v>45581</v>
      </c>
      <c r="AO8701">
        <v>69160</v>
      </c>
      <c r="AU8701">
        <v>1.2</v>
      </c>
      <c r="AV8701" t="s">
        <v>797</v>
      </c>
      <c r="AW8701" t="s">
        <v>46829</v>
      </c>
      <c r="AX8701" t="s">
        <v>46897</v>
      </c>
    </row>
    <row r="8702" spans="1:50">
      <c r="A8702" s="1">
        <f>HYPERLINK("https://lsnyc.legalserver.org/matter/dynamic-profile/view/1888169","19-1888169")</f>
        <v>0</v>
      </c>
      <c r="B8702" t="s">
        <v>72</v>
      </c>
      <c r="C8702" t="s">
        <v>341</v>
      </c>
      <c r="D8702" t="s">
        <v>726</v>
      </c>
      <c r="E8702" t="s">
        <v>835</v>
      </c>
      <c r="F8702" t="s">
        <v>1283</v>
      </c>
      <c r="G8702" t="s">
        <v>6849</v>
      </c>
      <c r="H8702" t="s">
        <v>15573</v>
      </c>
      <c r="J8702" t="s">
        <v>18893</v>
      </c>
      <c r="K8702">
        <v>10023</v>
      </c>
      <c r="L8702" t="s">
        <v>18958</v>
      </c>
      <c r="M8702" t="s">
        <v>18959</v>
      </c>
      <c r="N8702" t="s">
        <v>25223</v>
      </c>
      <c r="O8702" t="s">
        <v>26553</v>
      </c>
      <c r="P8702" t="s">
        <v>26560</v>
      </c>
      <c r="Q8702" t="s">
        <v>26575</v>
      </c>
      <c r="R8702" t="s">
        <v>26578</v>
      </c>
      <c r="S8702" t="s">
        <v>18959</v>
      </c>
      <c r="U8702" t="s">
        <v>26604</v>
      </c>
      <c r="W8702" t="s">
        <v>835</v>
      </c>
      <c r="X8702">
        <v>3600</v>
      </c>
      <c r="Y8702" t="s">
        <v>26651</v>
      </c>
      <c r="Z8702" t="s">
        <v>26671</v>
      </c>
      <c r="AA8702" t="s">
        <v>26678</v>
      </c>
      <c r="AB8702" t="s">
        <v>26701</v>
      </c>
      <c r="AD8702" t="s">
        <v>43608</v>
      </c>
      <c r="AE8702">
        <v>0</v>
      </c>
      <c r="AF8702" t="s">
        <v>45541</v>
      </c>
      <c r="AG8702" t="s">
        <v>19330</v>
      </c>
      <c r="AH8702">
        <v>1</v>
      </c>
      <c r="AI8702">
        <v>1</v>
      </c>
      <c r="AJ8702">
        <v>0</v>
      </c>
      <c r="AK8702">
        <v>0</v>
      </c>
      <c r="AN8702" t="s">
        <v>7439</v>
      </c>
      <c r="AO8702">
        <v>0</v>
      </c>
      <c r="AU8702">
        <v>68.59999999999999</v>
      </c>
      <c r="AV8702" t="s">
        <v>835</v>
      </c>
      <c r="AW8702" t="s">
        <v>46840</v>
      </c>
      <c r="AX8702" t="s">
        <v>46897</v>
      </c>
    </row>
    <row r="8703" spans="1:50">
      <c r="A8703" s="1">
        <f>HYPERLINK("https://lsnyc.legalserver.org/matter/dynamic-profile/view/1888441","19-1888441")</f>
        <v>0</v>
      </c>
      <c r="B8703" t="s">
        <v>115</v>
      </c>
      <c r="C8703" t="s">
        <v>340</v>
      </c>
      <c r="D8703" t="s">
        <v>719</v>
      </c>
      <c r="F8703" t="s">
        <v>928</v>
      </c>
      <c r="G8703" t="s">
        <v>5473</v>
      </c>
      <c r="H8703" t="s">
        <v>9760</v>
      </c>
      <c r="I8703" t="s">
        <v>17299</v>
      </c>
      <c r="J8703" t="s">
        <v>18892</v>
      </c>
      <c r="K8703">
        <v>10452</v>
      </c>
      <c r="L8703" t="s">
        <v>18958</v>
      </c>
      <c r="M8703" t="s">
        <v>18958</v>
      </c>
      <c r="N8703" t="s">
        <v>25224</v>
      </c>
      <c r="O8703" t="s">
        <v>26529</v>
      </c>
      <c r="P8703" t="s">
        <v>26566</v>
      </c>
      <c r="R8703" t="s">
        <v>26578</v>
      </c>
      <c r="S8703" t="s">
        <v>18958</v>
      </c>
      <c r="U8703" t="s">
        <v>26604</v>
      </c>
      <c r="W8703" t="s">
        <v>835</v>
      </c>
      <c r="X8703">
        <v>828</v>
      </c>
      <c r="Y8703" t="s">
        <v>26650</v>
      </c>
      <c r="Z8703" t="s">
        <v>26663</v>
      </c>
      <c r="AB8703" t="s">
        <v>30211</v>
      </c>
      <c r="AC8703" t="s">
        <v>35738</v>
      </c>
      <c r="AE8703">
        <v>149</v>
      </c>
      <c r="AF8703" t="s">
        <v>45541</v>
      </c>
      <c r="AH8703">
        <v>2</v>
      </c>
      <c r="AI8703">
        <v>1</v>
      </c>
      <c r="AJ8703">
        <v>0</v>
      </c>
      <c r="AK8703">
        <v>81.84999999999999</v>
      </c>
      <c r="AN8703" t="s">
        <v>7439</v>
      </c>
      <c r="AO8703">
        <v>9936</v>
      </c>
      <c r="AU8703">
        <v>0</v>
      </c>
      <c r="AW8703" t="s">
        <v>46832</v>
      </c>
      <c r="AX8703" t="s">
        <v>46897</v>
      </c>
    </row>
    <row r="8704" spans="1:50">
      <c r="A8704" s="1">
        <f>HYPERLINK("https://lsnyc.legalserver.org/matter/dynamic-profile/view/1888489","19-1888489")</f>
        <v>0</v>
      </c>
      <c r="B8704" t="s">
        <v>115</v>
      </c>
      <c r="C8704" t="s">
        <v>340</v>
      </c>
      <c r="D8704" t="s">
        <v>719</v>
      </c>
      <c r="F8704" t="s">
        <v>1537</v>
      </c>
      <c r="G8704" t="s">
        <v>7211</v>
      </c>
      <c r="H8704" t="s">
        <v>9760</v>
      </c>
      <c r="I8704">
        <v>41</v>
      </c>
      <c r="J8704" t="s">
        <v>18892</v>
      </c>
      <c r="K8704">
        <v>10452</v>
      </c>
      <c r="L8704" t="s">
        <v>18958</v>
      </c>
      <c r="M8704" t="s">
        <v>18958</v>
      </c>
      <c r="N8704" t="s">
        <v>25224</v>
      </c>
      <c r="O8704" t="s">
        <v>26529</v>
      </c>
      <c r="P8704" t="s">
        <v>26566</v>
      </c>
      <c r="R8704" t="s">
        <v>26578</v>
      </c>
      <c r="S8704" t="s">
        <v>18958</v>
      </c>
      <c r="U8704" t="s">
        <v>26608</v>
      </c>
      <c r="W8704" t="s">
        <v>835</v>
      </c>
      <c r="X8704">
        <v>252</v>
      </c>
      <c r="Y8704" t="s">
        <v>26650</v>
      </c>
      <c r="Z8704" t="s">
        <v>26663</v>
      </c>
      <c r="AB8704" t="s">
        <v>30200</v>
      </c>
      <c r="AC8704" t="s">
        <v>36567</v>
      </c>
      <c r="AD8704" t="s">
        <v>40342</v>
      </c>
      <c r="AE8704">
        <v>149</v>
      </c>
      <c r="AF8704" t="s">
        <v>45541</v>
      </c>
      <c r="AG8704" t="s">
        <v>45561</v>
      </c>
      <c r="AH8704">
        <v>2</v>
      </c>
      <c r="AI8704">
        <v>1</v>
      </c>
      <c r="AJ8704">
        <v>0</v>
      </c>
      <c r="AK8704">
        <v>82.04000000000001</v>
      </c>
      <c r="AN8704" t="s">
        <v>7439</v>
      </c>
      <c r="AO8704">
        <v>9960</v>
      </c>
      <c r="AU8704">
        <v>0</v>
      </c>
      <c r="AW8704" t="s">
        <v>46832</v>
      </c>
      <c r="AX8704" t="s">
        <v>46897</v>
      </c>
    </row>
    <row r="8705" spans="1:50">
      <c r="A8705" s="1">
        <f>HYPERLINK("https://lsnyc.legalserver.org/matter/dynamic-profile/view/1894201","19-1894201")</f>
        <v>0</v>
      </c>
      <c r="B8705" t="s">
        <v>136</v>
      </c>
      <c r="C8705" t="s">
        <v>340</v>
      </c>
      <c r="D8705" t="s">
        <v>775</v>
      </c>
      <c r="F8705" t="s">
        <v>4343</v>
      </c>
      <c r="G8705" t="s">
        <v>5547</v>
      </c>
      <c r="H8705" t="s">
        <v>15574</v>
      </c>
      <c r="I8705" t="s">
        <v>17306</v>
      </c>
      <c r="J8705" t="s">
        <v>18892</v>
      </c>
      <c r="K8705">
        <v>10459</v>
      </c>
      <c r="L8705" t="s">
        <v>18958</v>
      </c>
      <c r="M8705" t="s">
        <v>18958</v>
      </c>
      <c r="N8705" t="s">
        <v>25225</v>
      </c>
      <c r="O8705" t="s">
        <v>26523</v>
      </c>
      <c r="P8705" t="s">
        <v>26560</v>
      </c>
      <c r="R8705" t="s">
        <v>26577</v>
      </c>
      <c r="U8705" t="s">
        <v>26604</v>
      </c>
      <c r="V8705" t="s">
        <v>26610</v>
      </c>
      <c r="W8705" t="s">
        <v>835</v>
      </c>
      <c r="X8705">
        <v>998</v>
      </c>
      <c r="Y8705" t="s">
        <v>26650</v>
      </c>
      <c r="Z8705" t="s">
        <v>26668</v>
      </c>
      <c r="AB8705" t="s">
        <v>33002</v>
      </c>
      <c r="AD8705" t="s">
        <v>43609</v>
      </c>
      <c r="AE8705">
        <v>15</v>
      </c>
      <c r="AF8705" t="s">
        <v>45541</v>
      </c>
      <c r="AH8705">
        <v>25</v>
      </c>
      <c r="AI8705">
        <v>2</v>
      </c>
      <c r="AJ8705">
        <v>0</v>
      </c>
      <c r="AK8705">
        <v>228.43</v>
      </c>
      <c r="AL8705" t="s">
        <v>835</v>
      </c>
      <c r="AM8705" t="s">
        <v>45575</v>
      </c>
      <c r="AN8705" t="s">
        <v>7439</v>
      </c>
      <c r="AO8705">
        <v>38628</v>
      </c>
      <c r="AU8705">
        <v>8.5</v>
      </c>
      <c r="AV8705" t="s">
        <v>819</v>
      </c>
      <c r="AW8705" t="s">
        <v>46836</v>
      </c>
      <c r="AX8705" t="s">
        <v>46897</v>
      </c>
    </row>
    <row r="8706" spans="1:50">
      <c r="A8706" s="1">
        <f>HYPERLINK("https://lsnyc.legalserver.org/matter/dynamic-profile/view/1898155","19-1898155")</f>
        <v>0</v>
      </c>
      <c r="B8706" t="s">
        <v>52</v>
      </c>
      <c r="C8706" t="s">
        <v>340</v>
      </c>
      <c r="D8706" t="s">
        <v>768</v>
      </c>
      <c r="F8706" t="s">
        <v>2880</v>
      </c>
      <c r="G8706" t="s">
        <v>5349</v>
      </c>
      <c r="H8706" t="s">
        <v>15575</v>
      </c>
      <c r="I8706" t="s">
        <v>17291</v>
      </c>
      <c r="J8706" t="s">
        <v>18892</v>
      </c>
      <c r="K8706">
        <v>10453</v>
      </c>
      <c r="L8706" t="s">
        <v>18958</v>
      </c>
      <c r="M8706" t="s">
        <v>18958</v>
      </c>
      <c r="N8706" t="s">
        <v>25226</v>
      </c>
      <c r="P8706" t="s">
        <v>26560</v>
      </c>
      <c r="R8706" t="s">
        <v>26578</v>
      </c>
      <c r="U8706" t="s">
        <v>26604</v>
      </c>
      <c r="V8706" t="s">
        <v>26610</v>
      </c>
      <c r="W8706" t="s">
        <v>835</v>
      </c>
      <c r="X8706">
        <v>1797</v>
      </c>
      <c r="Y8706" t="s">
        <v>26650</v>
      </c>
      <c r="Z8706" t="s">
        <v>26668</v>
      </c>
      <c r="AB8706" t="s">
        <v>30614</v>
      </c>
      <c r="AD8706" t="s">
        <v>43610</v>
      </c>
      <c r="AE8706">
        <v>0</v>
      </c>
      <c r="AF8706" t="s">
        <v>20460</v>
      </c>
      <c r="AG8706" t="s">
        <v>19330</v>
      </c>
      <c r="AH8706">
        <v>9</v>
      </c>
      <c r="AI8706">
        <v>2</v>
      </c>
      <c r="AJ8706">
        <v>2</v>
      </c>
      <c r="AK8706">
        <v>15.53</v>
      </c>
      <c r="AN8706" t="s">
        <v>7439</v>
      </c>
      <c r="AO8706">
        <v>4000</v>
      </c>
      <c r="AU8706">
        <v>1</v>
      </c>
      <c r="AV8706" t="s">
        <v>768</v>
      </c>
      <c r="AW8706" t="s">
        <v>334</v>
      </c>
      <c r="AX8706" t="s">
        <v>46897</v>
      </c>
    </row>
    <row r="8707" spans="1:50">
      <c r="A8707" s="1">
        <f>HYPERLINK("https://lsnyc.legalserver.org/matter/dynamic-profile/view/1899581","19-1899581")</f>
        <v>0</v>
      </c>
      <c r="B8707" t="s">
        <v>226</v>
      </c>
      <c r="C8707" t="s">
        <v>340</v>
      </c>
      <c r="D8707" t="s">
        <v>813</v>
      </c>
      <c r="F8707" t="s">
        <v>900</v>
      </c>
      <c r="G8707" t="s">
        <v>5199</v>
      </c>
      <c r="H8707" t="s">
        <v>15576</v>
      </c>
      <c r="I8707" t="s">
        <v>17536</v>
      </c>
      <c r="J8707" t="s">
        <v>18892</v>
      </c>
      <c r="K8707">
        <v>10454</v>
      </c>
      <c r="L8707" t="s">
        <v>18958</v>
      </c>
      <c r="M8707" t="s">
        <v>18960</v>
      </c>
      <c r="O8707" t="s">
        <v>18997</v>
      </c>
      <c r="P8707" t="s">
        <v>26565</v>
      </c>
      <c r="R8707" t="s">
        <v>26578</v>
      </c>
      <c r="S8707" t="s">
        <v>18959</v>
      </c>
      <c r="U8707" t="s">
        <v>26604</v>
      </c>
      <c r="W8707" t="s">
        <v>835</v>
      </c>
      <c r="X8707">
        <v>400</v>
      </c>
      <c r="Y8707" t="s">
        <v>26650</v>
      </c>
      <c r="Z8707" t="s">
        <v>26659</v>
      </c>
      <c r="AB8707" t="s">
        <v>33003</v>
      </c>
      <c r="AD8707" t="s">
        <v>43611</v>
      </c>
      <c r="AE8707">
        <v>0</v>
      </c>
      <c r="AF8707" t="s">
        <v>20460</v>
      </c>
      <c r="AG8707" t="s">
        <v>19330</v>
      </c>
      <c r="AH8707">
        <v>0</v>
      </c>
      <c r="AI8707">
        <v>2</v>
      </c>
      <c r="AJ8707">
        <v>0</v>
      </c>
      <c r="AK8707">
        <v>35.28</v>
      </c>
      <c r="AN8707" t="s">
        <v>45581</v>
      </c>
      <c r="AO8707">
        <v>5966.4</v>
      </c>
      <c r="AU8707">
        <v>3.3</v>
      </c>
      <c r="AV8707" t="s">
        <v>813</v>
      </c>
      <c r="AW8707" t="s">
        <v>226</v>
      </c>
      <c r="AX8707" t="s">
        <v>46897</v>
      </c>
    </row>
    <row r="8708" spans="1:50">
      <c r="A8708" s="1">
        <f>HYPERLINK("https://lsnyc.legalserver.org/matter/dynamic-profile/view/1899592","19-1899592")</f>
        <v>0</v>
      </c>
      <c r="B8708" t="s">
        <v>226</v>
      </c>
      <c r="C8708" t="s">
        <v>340</v>
      </c>
      <c r="D8708" t="s">
        <v>813</v>
      </c>
      <c r="F8708" t="s">
        <v>1592</v>
      </c>
      <c r="G8708" t="s">
        <v>5341</v>
      </c>
      <c r="H8708" t="s">
        <v>15321</v>
      </c>
      <c r="I8708" t="s">
        <v>17306</v>
      </c>
      <c r="J8708" t="s">
        <v>18892</v>
      </c>
      <c r="K8708">
        <v>10468</v>
      </c>
      <c r="L8708" t="s">
        <v>18958</v>
      </c>
      <c r="M8708" t="s">
        <v>18960</v>
      </c>
      <c r="O8708" t="s">
        <v>18997</v>
      </c>
      <c r="P8708" t="s">
        <v>26564</v>
      </c>
      <c r="R8708" t="s">
        <v>26578</v>
      </c>
      <c r="S8708" t="s">
        <v>18959</v>
      </c>
      <c r="U8708" t="s">
        <v>26604</v>
      </c>
      <c r="W8708" t="s">
        <v>835</v>
      </c>
      <c r="X8708">
        <v>340</v>
      </c>
      <c r="Y8708" t="s">
        <v>26650</v>
      </c>
      <c r="Z8708" t="s">
        <v>26670</v>
      </c>
      <c r="AB8708" t="s">
        <v>33004</v>
      </c>
      <c r="AC8708" t="s">
        <v>36509</v>
      </c>
      <c r="AD8708" t="s">
        <v>43319</v>
      </c>
      <c r="AE8708">
        <v>0</v>
      </c>
      <c r="AF8708" t="s">
        <v>45541</v>
      </c>
      <c r="AG8708" t="s">
        <v>45556</v>
      </c>
      <c r="AH8708">
        <v>3</v>
      </c>
      <c r="AI8708">
        <v>2</v>
      </c>
      <c r="AJ8708">
        <v>0</v>
      </c>
      <c r="AK8708">
        <v>97.29000000000001</v>
      </c>
      <c r="AN8708" t="s">
        <v>7439</v>
      </c>
      <c r="AO8708">
        <v>16452</v>
      </c>
      <c r="AU8708">
        <v>2.9</v>
      </c>
      <c r="AV8708" t="s">
        <v>819</v>
      </c>
      <c r="AW8708" t="s">
        <v>226</v>
      </c>
      <c r="AX8708" t="s">
        <v>46898</v>
      </c>
    </row>
    <row r="8709" spans="1:50">
      <c r="A8709" s="1">
        <f>HYPERLINK("https://lsnyc.legalserver.org/matter/dynamic-profile/view/1899588","19-1899588")</f>
        <v>0</v>
      </c>
      <c r="B8709" t="s">
        <v>226</v>
      </c>
      <c r="C8709" t="s">
        <v>340</v>
      </c>
      <c r="D8709" t="s">
        <v>813</v>
      </c>
      <c r="F8709" t="s">
        <v>1125</v>
      </c>
      <c r="G8709" t="s">
        <v>875</v>
      </c>
      <c r="H8709" t="s">
        <v>15577</v>
      </c>
      <c r="J8709" t="s">
        <v>18892</v>
      </c>
      <c r="K8709">
        <v>10462</v>
      </c>
      <c r="L8709" t="s">
        <v>18958</v>
      </c>
      <c r="M8709" t="s">
        <v>18960</v>
      </c>
      <c r="O8709" t="s">
        <v>18997</v>
      </c>
      <c r="P8709" t="s">
        <v>26564</v>
      </c>
      <c r="R8709" t="s">
        <v>26578</v>
      </c>
      <c r="S8709" t="s">
        <v>18959</v>
      </c>
      <c r="U8709" t="s">
        <v>26604</v>
      </c>
      <c r="W8709" t="s">
        <v>835</v>
      </c>
      <c r="X8709">
        <v>920</v>
      </c>
      <c r="Y8709" t="s">
        <v>26650</v>
      </c>
      <c r="Z8709" t="s">
        <v>26663</v>
      </c>
      <c r="AB8709" t="s">
        <v>33005</v>
      </c>
      <c r="AD8709" t="s">
        <v>43612</v>
      </c>
      <c r="AE8709">
        <v>0</v>
      </c>
      <c r="AF8709" t="s">
        <v>45541</v>
      </c>
      <c r="AG8709" t="s">
        <v>45559</v>
      </c>
      <c r="AH8709">
        <v>14</v>
      </c>
      <c r="AI8709">
        <v>1</v>
      </c>
      <c r="AJ8709">
        <v>0</v>
      </c>
      <c r="AK8709">
        <v>163.91</v>
      </c>
      <c r="AN8709" t="s">
        <v>45581</v>
      </c>
      <c r="AO8709">
        <v>20472</v>
      </c>
      <c r="AU8709">
        <v>2.3</v>
      </c>
      <c r="AV8709" t="s">
        <v>813</v>
      </c>
      <c r="AW8709" t="s">
        <v>226</v>
      </c>
      <c r="AX8709" t="s">
        <v>46897</v>
      </c>
    </row>
    <row r="8710" spans="1:50">
      <c r="A8710" s="1">
        <f>HYPERLINK("https://lsnyc.legalserver.org/matter/dynamic-profile/view/1900020","19-1900020")</f>
        <v>0</v>
      </c>
      <c r="B8710" t="s">
        <v>113</v>
      </c>
      <c r="C8710" t="s">
        <v>340</v>
      </c>
      <c r="D8710" t="s">
        <v>819</v>
      </c>
      <c r="F8710" t="s">
        <v>4344</v>
      </c>
      <c r="G8710" t="s">
        <v>6688</v>
      </c>
      <c r="H8710" t="s">
        <v>15578</v>
      </c>
      <c r="I8710" t="s">
        <v>17416</v>
      </c>
      <c r="J8710" t="s">
        <v>18892</v>
      </c>
      <c r="K8710">
        <v>10470</v>
      </c>
      <c r="L8710" t="s">
        <v>18958</v>
      </c>
      <c r="M8710" t="s">
        <v>18960</v>
      </c>
      <c r="N8710" t="s">
        <v>25227</v>
      </c>
      <c r="O8710" t="s">
        <v>26524</v>
      </c>
      <c r="P8710" t="s">
        <v>26564</v>
      </c>
      <c r="R8710" t="s">
        <v>26578</v>
      </c>
      <c r="S8710" t="s">
        <v>18959</v>
      </c>
      <c r="U8710" t="s">
        <v>26604</v>
      </c>
      <c r="V8710" t="s">
        <v>26610</v>
      </c>
      <c r="W8710" t="s">
        <v>835</v>
      </c>
      <c r="X8710">
        <v>1622.55</v>
      </c>
      <c r="Y8710" t="s">
        <v>26650</v>
      </c>
      <c r="Z8710" t="s">
        <v>26661</v>
      </c>
      <c r="AB8710" t="s">
        <v>33006</v>
      </c>
      <c r="AD8710" t="s">
        <v>43613</v>
      </c>
      <c r="AE8710">
        <v>2</v>
      </c>
      <c r="AF8710" t="s">
        <v>45547</v>
      </c>
      <c r="AG8710" t="s">
        <v>45556</v>
      </c>
      <c r="AH8710">
        <v>12</v>
      </c>
      <c r="AI8710">
        <v>1</v>
      </c>
      <c r="AJ8710">
        <v>2</v>
      </c>
      <c r="AK8710">
        <v>23.28</v>
      </c>
      <c r="AN8710" t="s">
        <v>7439</v>
      </c>
      <c r="AO8710">
        <v>4966</v>
      </c>
      <c r="AU8710">
        <v>0.8</v>
      </c>
      <c r="AV8710" t="s">
        <v>819</v>
      </c>
      <c r="AW8710" t="s">
        <v>113</v>
      </c>
      <c r="AX8710" t="s">
        <v>46897</v>
      </c>
    </row>
    <row r="8711" spans="1:50">
      <c r="A8711" s="1">
        <f>HYPERLINK("https://lsnyc.legalserver.org/matter/dynamic-profile/view/1899982","19-1899982")</f>
        <v>0</v>
      </c>
      <c r="B8711" t="s">
        <v>113</v>
      </c>
      <c r="C8711" t="s">
        <v>340</v>
      </c>
      <c r="D8711" t="s">
        <v>819</v>
      </c>
      <c r="F8711" t="s">
        <v>1044</v>
      </c>
      <c r="G8711" t="s">
        <v>5760</v>
      </c>
      <c r="H8711" t="s">
        <v>15579</v>
      </c>
      <c r="I8711" t="s">
        <v>17406</v>
      </c>
      <c r="J8711" t="s">
        <v>18892</v>
      </c>
      <c r="K8711">
        <v>10452</v>
      </c>
      <c r="L8711" t="s">
        <v>18958</v>
      </c>
      <c r="M8711" t="s">
        <v>18960</v>
      </c>
      <c r="N8711" t="s">
        <v>25228</v>
      </c>
      <c r="O8711" t="s">
        <v>26526</v>
      </c>
      <c r="P8711" t="s">
        <v>26564</v>
      </c>
      <c r="R8711" t="s">
        <v>26578</v>
      </c>
      <c r="S8711" t="s">
        <v>18959</v>
      </c>
      <c r="U8711" t="s">
        <v>26604</v>
      </c>
      <c r="W8711" t="s">
        <v>835</v>
      </c>
      <c r="X8711">
        <v>1200</v>
      </c>
      <c r="Y8711" t="s">
        <v>26650</v>
      </c>
      <c r="Z8711" t="s">
        <v>26661</v>
      </c>
      <c r="AB8711" t="s">
        <v>32490</v>
      </c>
      <c r="AD8711" t="s">
        <v>43614</v>
      </c>
      <c r="AE8711">
        <v>30</v>
      </c>
      <c r="AF8711" t="s">
        <v>45541</v>
      </c>
      <c r="AG8711" t="s">
        <v>45556</v>
      </c>
      <c r="AH8711">
        <v>28</v>
      </c>
      <c r="AI8711">
        <v>1</v>
      </c>
      <c r="AJ8711">
        <v>0</v>
      </c>
      <c r="AK8711">
        <v>74.27</v>
      </c>
      <c r="AN8711" t="s">
        <v>7439</v>
      </c>
      <c r="AO8711">
        <v>9276</v>
      </c>
      <c r="AU8711">
        <v>0.8</v>
      </c>
      <c r="AV8711" t="s">
        <v>819</v>
      </c>
      <c r="AW8711" t="s">
        <v>113</v>
      </c>
      <c r="AX8711" t="s">
        <v>46897</v>
      </c>
    </row>
    <row r="8712" spans="1:50">
      <c r="A8712" s="1">
        <f>HYPERLINK("https://lsnyc.legalserver.org/matter/dynamic-profile/view/1899958","19-1899958")</f>
        <v>0</v>
      </c>
      <c r="B8712" t="s">
        <v>269</v>
      </c>
      <c r="C8712" t="s">
        <v>340</v>
      </c>
      <c r="D8712" t="s">
        <v>819</v>
      </c>
      <c r="F8712" t="s">
        <v>4345</v>
      </c>
      <c r="G8712" t="s">
        <v>8790</v>
      </c>
      <c r="H8712" t="s">
        <v>15580</v>
      </c>
      <c r="I8712">
        <v>432</v>
      </c>
      <c r="J8712" t="s">
        <v>18892</v>
      </c>
      <c r="K8712">
        <v>10467</v>
      </c>
      <c r="L8712" t="s">
        <v>18958</v>
      </c>
      <c r="M8712" t="s">
        <v>18960</v>
      </c>
      <c r="N8712" t="s">
        <v>25229</v>
      </c>
      <c r="O8712" t="s">
        <v>26523</v>
      </c>
      <c r="P8712" t="s">
        <v>26560</v>
      </c>
      <c r="R8712" t="s">
        <v>26579</v>
      </c>
      <c r="S8712" t="s">
        <v>18959</v>
      </c>
      <c r="U8712" t="s">
        <v>26604</v>
      </c>
      <c r="V8712" t="s">
        <v>26609</v>
      </c>
      <c r="W8712" t="s">
        <v>835</v>
      </c>
      <c r="X8712">
        <v>953.5599999999999</v>
      </c>
      <c r="Y8712" t="s">
        <v>26650</v>
      </c>
      <c r="Z8712" t="s">
        <v>26668</v>
      </c>
      <c r="AB8712" t="s">
        <v>33007</v>
      </c>
      <c r="AD8712" t="s">
        <v>43615</v>
      </c>
      <c r="AE8712">
        <v>10</v>
      </c>
      <c r="AF8712" t="s">
        <v>45541</v>
      </c>
      <c r="AG8712" t="s">
        <v>19330</v>
      </c>
      <c r="AH8712">
        <v>39</v>
      </c>
      <c r="AI8712">
        <v>1</v>
      </c>
      <c r="AJ8712">
        <v>0</v>
      </c>
      <c r="AK8712">
        <v>288.23</v>
      </c>
      <c r="AL8712" t="s">
        <v>835</v>
      </c>
      <c r="AM8712" t="s">
        <v>45575</v>
      </c>
      <c r="AO8712">
        <v>36000</v>
      </c>
      <c r="AU8712">
        <v>16.1</v>
      </c>
      <c r="AV8712" t="s">
        <v>838</v>
      </c>
      <c r="AW8712" t="s">
        <v>46847</v>
      </c>
      <c r="AX8712" t="s">
        <v>46897</v>
      </c>
    </row>
    <row r="8713" spans="1:50">
      <c r="A8713" s="1">
        <f>HYPERLINK("https://lsnyc.legalserver.org/matter/dynamic-profile/view/1900935","19-1900935")</f>
        <v>0</v>
      </c>
      <c r="B8713" t="s">
        <v>52</v>
      </c>
      <c r="C8713" t="s">
        <v>341</v>
      </c>
      <c r="D8713" t="s">
        <v>825</v>
      </c>
      <c r="E8713" t="s">
        <v>829</v>
      </c>
      <c r="F8713" t="s">
        <v>4346</v>
      </c>
      <c r="G8713" t="s">
        <v>5300</v>
      </c>
      <c r="H8713" t="s">
        <v>15581</v>
      </c>
      <c r="J8713" t="s">
        <v>18892</v>
      </c>
      <c r="K8713">
        <v>10452</v>
      </c>
      <c r="L8713" t="s">
        <v>18958</v>
      </c>
      <c r="M8713" t="s">
        <v>18960</v>
      </c>
      <c r="O8713" t="s">
        <v>18997</v>
      </c>
      <c r="P8713" t="s">
        <v>26564</v>
      </c>
      <c r="Q8713" t="s">
        <v>26570</v>
      </c>
      <c r="R8713" t="s">
        <v>26578</v>
      </c>
      <c r="U8713" t="s">
        <v>26604</v>
      </c>
      <c r="W8713" t="s">
        <v>835</v>
      </c>
      <c r="X8713">
        <v>705.35</v>
      </c>
      <c r="Y8713" t="s">
        <v>26650</v>
      </c>
      <c r="Z8713" t="s">
        <v>26667</v>
      </c>
      <c r="AA8713" t="s">
        <v>26683</v>
      </c>
      <c r="AB8713" t="s">
        <v>33008</v>
      </c>
      <c r="AE8713">
        <v>55</v>
      </c>
      <c r="AG8713" t="s">
        <v>26530</v>
      </c>
      <c r="AH8713">
        <v>28</v>
      </c>
      <c r="AI8713">
        <v>1</v>
      </c>
      <c r="AJ8713">
        <v>0</v>
      </c>
      <c r="AK8713">
        <v>17.29</v>
      </c>
      <c r="AN8713" t="s">
        <v>7439</v>
      </c>
      <c r="AO8713">
        <v>2160</v>
      </c>
      <c r="AU8713">
        <v>1</v>
      </c>
      <c r="AV8713" t="s">
        <v>827</v>
      </c>
      <c r="AW8713" t="s">
        <v>329</v>
      </c>
      <c r="AX8713" t="s">
        <v>46897</v>
      </c>
    </row>
    <row r="8714" spans="1:50">
      <c r="A8714" s="1">
        <f>HYPERLINK("https://lsnyc.legalserver.org/matter/dynamic-profile/view/1900996","19-1900996")</f>
        <v>0</v>
      </c>
      <c r="B8714" t="s">
        <v>52</v>
      </c>
      <c r="C8714" t="s">
        <v>341</v>
      </c>
      <c r="D8714" t="s">
        <v>825</v>
      </c>
      <c r="E8714" t="s">
        <v>829</v>
      </c>
      <c r="F8714" t="s">
        <v>2100</v>
      </c>
      <c r="G8714" t="s">
        <v>7229</v>
      </c>
      <c r="H8714" t="s">
        <v>15582</v>
      </c>
      <c r="I8714" t="s">
        <v>17347</v>
      </c>
      <c r="J8714" t="s">
        <v>18892</v>
      </c>
      <c r="K8714">
        <v>10452</v>
      </c>
      <c r="L8714" t="s">
        <v>18958</v>
      </c>
      <c r="M8714" t="s">
        <v>18960</v>
      </c>
      <c r="O8714" t="s">
        <v>18997</v>
      </c>
      <c r="P8714" t="s">
        <v>26564</v>
      </c>
      <c r="Q8714" t="s">
        <v>26570</v>
      </c>
      <c r="R8714" t="s">
        <v>26578</v>
      </c>
      <c r="S8714" t="s">
        <v>18959</v>
      </c>
      <c r="U8714" t="s">
        <v>26604</v>
      </c>
      <c r="W8714" t="s">
        <v>835</v>
      </c>
      <c r="X8714">
        <v>1085</v>
      </c>
      <c r="Y8714" t="s">
        <v>26650</v>
      </c>
      <c r="Z8714" t="s">
        <v>26667</v>
      </c>
      <c r="AA8714" t="s">
        <v>26683</v>
      </c>
      <c r="AB8714" t="s">
        <v>33009</v>
      </c>
      <c r="AD8714" t="s">
        <v>43616</v>
      </c>
      <c r="AE8714">
        <v>39</v>
      </c>
      <c r="AG8714" t="s">
        <v>19330</v>
      </c>
      <c r="AH8714">
        <v>20</v>
      </c>
      <c r="AI8714">
        <v>1</v>
      </c>
      <c r="AJ8714">
        <v>0</v>
      </c>
      <c r="AK8714">
        <v>200.32</v>
      </c>
      <c r="AN8714" t="s">
        <v>7439</v>
      </c>
      <c r="AO8714">
        <v>25020</v>
      </c>
      <c r="AU8714">
        <v>1</v>
      </c>
      <c r="AV8714" t="s">
        <v>797</v>
      </c>
      <c r="AW8714" t="s">
        <v>329</v>
      </c>
      <c r="AX8714" t="s">
        <v>46897</v>
      </c>
    </row>
    <row r="8715" spans="1:50">
      <c r="A8715" s="1">
        <f>HYPERLINK("https://lsnyc.legalserver.org/matter/dynamic-profile/view/1901027","19-1901027")</f>
        <v>0</v>
      </c>
      <c r="B8715" t="s">
        <v>52</v>
      </c>
      <c r="C8715" t="s">
        <v>341</v>
      </c>
      <c r="D8715" t="s">
        <v>825</v>
      </c>
      <c r="E8715" t="s">
        <v>829</v>
      </c>
      <c r="F8715" t="s">
        <v>1045</v>
      </c>
      <c r="G8715" t="s">
        <v>5363</v>
      </c>
      <c r="H8715" t="s">
        <v>15583</v>
      </c>
      <c r="I8715" t="s">
        <v>17380</v>
      </c>
      <c r="J8715" t="s">
        <v>18892</v>
      </c>
      <c r="K8715">
        <v>10453</v>
      </c>
      <c r="L8715" t="s">
        <v>18958</v>
      </c>
      <c r="M8715" t="s">
        <v>18960</v>
      </c>
      <c r="O8715" t="s">
        <v>18997</v>
      </c>
      <c r="P8715" t="s">
        <v>26564</v>
      </c>
      <c r="Q8715" t="s">
        <v>26570</v>
      </c>
      <c r="R8715" t="s">
        <v>26578</v>
      </c>
      <c r="S8715" t="s">
        <v>18959</v>
      </c>
      <c r="U8715" t="s">
        <v>26604</v>
      </c>
      <c r="W8715" t="s">
        <v>835</v>
      </c>
      <c r="X8715">
        <v>842.59</v>
      </c>
      <c r="Y8715" t="s">
        <v>26650</v>
      </c>
      <c r="Z8715" t="s">
        <v>26667</v>
      </c>
      <c r="AA8715" t="s">
        <v>26683</v>
      </c>
      <c r="AB8715" t="s">
        <v>33010</v>
      </c>
      <c r="AD8715" t="s">
        <v>43617</v>
      </c>
      <c r="AE8715">
        <v>83</v>
      </c>
      <c r="AF8715" t="s">
        <v>45541</v>
      </c>
      <c r="AH8715">
        <v>8</v>
      </c>
      <c r="AI8715">
        <v>2</v>
      </c>
      <c r="AJ8715">
        <v>0</v>
      </c>
      <c r="AK8715">
        <v>272.15</v>
      </c>
      <c r="AN8715" t="s">
        <v>7439</v>
      </c>
      <c r="AO8715">
        <v>46020</v>
      </c>
      <c r="AU8715">
        <v>1</v>
      </c>
      <c r="AV8715" t="s">
        <v>825</v>
      </c>
      <c r="AW8715" t="s">
        <v>329</v>
      </c>
      <c r="AX8715" t="s">
        <v>46897</v>
      </c>
    </row>
    <row r="8716" spans="1:50">
      <c r="A8716" s="1">
        <f>HYPERLINK("https://lsnyc.legalserver.org/matter/dynamic-profile/view/1900969","19-1900969")</f>
        <v>0</v>
      </c>
      <c r="B8716" t="s">
        <v>52</v>
      </c>
      <c r="C8716" t="s">
        <v>340</v>
      </c>
      <c r="D8716" t="s">
        <v>825</v>
      </c>
      <c r="F8716" t="s">
        <v>1087</v>
      </c>
      <c r="G8716" t="s">
        <v>8791</v>
      </c>
      <c r="H8716" t="s">
        <v>15584</v>
      </c>
      <c r="I8716" t="s">
        <v>17378</v>
      </c>
      <c r="J8716" t="s">
        <v>18892</v>
      </c>
      <c r="K8716">
        <v>10452</v>
      </c>
      <c r="L8716" t="s">
        <v>18958</v>
      </c>
      <c r="M8716" t="s">
        <v>18960</v>
      </c>
      <c r="N8716" t="s">
        <v>25230</v>
      </c>
      <c r="O8716" t="s">
        <v>26523</v>
      </c>
      <c r="P8716" t="s">
        <v>26565</v>
      </c>
      <c r="R8716" t="s">
        <v>26578</v>
      </c>
      <c r="S8716" t="s">
        <v>18959</v>
      </c>
      <c r="U8716" t="s">
        <v>26604</v>
      </c>
      <c r="V8716" t="s">
        <v>26610</v>
      </c>
      <c r="W8716" t="s">
        <v>835</v>
      </c>
      <c r="X8716">
        <v>1191</v>
      </c>
      <c r="Y8716" t="s">
        <v>26650</v>
      </c>
      <c r="Z8716" t="s">
        <v>26667</v>
      </c>
      <c r="AB8716" t="s">
        <v>33011</v>
      </c>
      <c r="AD8716" t="s">
        <v>43618</v>
      </c>
      <c r="AE8716">
        <v>64</v>
      </c>
      <c r="AF8716" t="s">
        <v>45541</v>
      </c>
      <c r="AH8716">
        <v>20</v>
      </c>
      <c r="AI8716">
        <v>1</v>
      </c>
      <c r="AJ8716">
        <v>0</v>
      </c>
      <c r="AK8716">
        <v>96.08</v>
      </c>
      <c r="AN8716" t="s">
        <v>7439</v>
      </c>
      <c r="AO8716">
        <v>12000</v>
      </c>
      <c r="AU8716">
        <v>0.5</v>
      </c>
      <c r="AV8716" t="s">
        <v>720</v>
      </c>
      <c r="AW8716" t="s">
        <v>329</v>
      </c>
      <c r="AX8716" t="s">
        <v>46897</v>
      </c>
    </row>
    <row r="8717" spans="1:50">
      <c r="A8717" s="1">
        <f>HYPERLINK("https://lsnyc.legalserver.org/matter/dynamic-profile/view/1903097","19-1903097")</f>
        <v>0</v>
      </c>
      <c r="B8717" t="s">
        <v>77</v>
      </c>
      <c r="C8717" t="s">
        <v>341</v>
      </c>
      <c r="D8717" t="s">
        <v>835</v>
      </c>
      <c r="E8717" t="s">
        <v>821</v>
      </c>
      <c r="F8717" t="s">
        <v>1096</v>
      </c>
      <c r="G8717" t="s">
        <v>8792</v>
      </c>
      <c r="H8717" t="s">
        <v>15585</v>
      </c>
      <c r="I8717" t="s">
        <v>17356</v>
      </c>
      <c r="J8717" t="s">
        <v>18893</v>
      </c>
      <c r="K8717">
        <v>10031</v>
      </c>
      <c r="L8717" t="s">
        <v>18958</v>
      </c>
      <c r="M8717" t="s">
        <v>18960</v>
      </c>
      <c r="N8717" t="s">
        <v>25231</v>
      </c>
      <c r="O8717" t="s">
        <v>26523</v>
      </c>
      <c r="P8717" t="s">
        <v>26564</v>
      </c>
      <c r="Q8717" t="s">
        <v>26570</v>
      </c>
      <c r="R8717" t="s">
        <v>26580</v>
      </c>
      <c r="S8717" t="s">
        <v>18959</v>
      </c>
      <c r="U8717" t="s">
        <v>26604</v>
      </c>
      <c r="V8717" t="s">
        <v>26610</v>
      </c>
      <c r="W8717" t="s">
        <v>835</v>
      </c>
      <c r="X8717">
        <v>1909</v>
      </c>
      <c r="Y8717" t="s">
        <v>26651</v>
      </c>
      <c r="Z8717" t="s">
        <v>26664</v>
      </c>
      <c r="AA8717" t="s">
        <v>26683</v>
      </c>
      <c r="AB8717" t="s">
        <v>33012</v>
      </c>
      <c r="AD8717" t="s">
        <v>43619</v>
      </c>
      <c r="AE8717">
        <v>12</v>
      </c>
      <c r="AF8717" t="s">
        <v>45541</v>
      </c>
      <c r="AG8717" t="s">
        <v>19330</v>
      </c>
      <c r="AH8717">
        <v>3</v>
      </c>
      <c r="AI8717">
        <v>1</v>
      </c>
      <c r="AJ8717">
        <v>0</v>
      </c>
      <c r="AK8717">
        <v>288.23</v>
      </c>
      <c r="AN8717" t="s">
        <v>7439</v>
      </c>
      <c r="AO8717">
        <v>36000</v>
      </c>
      <c r="AU8717">
        <v>0.5</v>
      </c>
      <c r="AV8717" t="s">
        <v>835</v>
      </c>
      <c r="AW8717" t="s">
        <v>46840</v>
      </c>
      <c r="AX8717" t="s">
        <v>46897</v>
      </c>
    </row>
    <row r="8718" spans="1:50">
      <c r="A8718" s="1">
        <f>HYPERLINK("https://lsnyc.legalserver.org/matter/dynamic-profile/view/1903118","19-1903118")</f>
        <v>0</v>
      </c>
      <c r="B8718" t="s">
        <v>77</v>
      </c>
      <c r="C8718" t="s">
        <v>340</v>
      </c>
      <c r="D8718" t="s">
        <v>835</v>
      </c>
      <c r="F8718" t="s">
        <v>2023</v>
      </c>
      <c r="G8718" t="s">
        <v>8793</v>
      </c>
      <c r="H8718" t="s">
        <v>14592</v>
      </c>
      <c r="I8718" t="s">
        <v>18592</v>
      </c>
      <c r="J8718" t="s">
        <v>18893</v>
      </c>
      <c r="K8718">
        <v>10026</v>
      </c>
      <c r="L8718" t="s">
        <v>18958</v>
      </c>
      <c r="M8718" t="s">
        <v>18960</v>
      </c>
      <c r="O8718" t="s">
        <v>26543</v>
      </c>
      <c r="P8718" t="s">
        <v>26563</v>
      </c>
      <c r="R8718" t="s">
        <v>26580</v>
      </c>
      <c r="S8718" t="s">
        <v>18959</v>
      </c>
      <c r="U8718" t="s">
        <v>26604</v>
      </c>
      <c r="W8718" t="s">
        <v>835</v>
      </c>
      <c r="X8718">
        <v>500</v>
      </c>
      <c r="Y8718" t="s">
        <v>26651</v>
      </c>
      <c r="AB8718" t="s">
        <v>33013</v>
      </c>
      <c r="AD8718" t="s">
        <v>43620</v>
      </c>
      <c r="AE8718">
        <v>0</v>
      </c>
      <c r="AF8718" t="s">
        <v>45549</v>
      </c>
      <c r="AG8718" t="s">
        <v>19330</v>
      </c>
      <c r="AH8718">
        <v>1</v>
      </c>
      <c r="AI8718">
        <v>2</v>
      </c>
      <c r="AJ8718">
        <v>0</v>
      </c>
      <c r="AK8718">
        <v>96.87</v>
      </c>
      <c r="AN8718" t="s">
        <v>7439</v>
      </c>
      <c r="AO8718">
        <v>16380</v>
      </c>
      <c r="AU8718">
        <v>0.5</v>
      </c>
      <c r="AV8718" t="s">
        <v>835</v>
      </c>
      <c r="AW8718" t="s">
        <v>46840</v>
      </c>
      <c r="AX8718" t="s">
        <v>46897</v>
      </c>
    </row>
    <row r="8719" spans="1:50">
      <c r="A8719" s="1">
        <f>HYPERLINK("https://lsnyc.legalserver.org/matter/dynamic-profile/view/1903114","19-1903114")</f>
        <v>0</v>
      </c>
      <c r="B8719" t="s">
        <v>77</v>
      </c>
      <c r="C8719" t="s">
        <v>340</v>
      </c>
      <c r="D8719" t="s">
        <v>835</v>
      </c>
      <c r="F8719" t="s">
        <v>871</v>
      </c>
      <c r="G8719" t="s">
        <v>5513</v>
      </c>
      <c r="H8719" t="s">
        <v>15586</v>
      </c>
      <c r="I8719" t="s">
        <v>17380</v>
      </c>
      <c r="J8719" t="s">
        <v>18893</v>
      </c>
      <c r="K8719">
        <v>10031</v>
      </c>
      <c r="L8719" t="s">
        <v>18958</v>
      </c>
      <c r="M8719" t="s">
        <v>18960</v>
      </c>
      <c r="N8719" t="s">
        <v>25232</v>
      </c>
      <c r="O8719" t="s">
        <v>26523</v>
      </c>
      <c r="P8719" t="s">
        <v>26560</v>
      </c>
      <c r="R8719" t="s">
        <v>26580</v>
      </c>
      <c r="S8719" t="s">
        <v>18959</v>
      </c>
      <c r="U8719" t="s">
        <v>26604</v>
      </c>
      <c r="W8719" t="s">
        <v>835</v>
      </c>
      <c r="X8719">
        <v>969</v>
      </c>
      <c r="Y8719" t="s">
        <v>26651</v>
      </c>
      <c r="Z8719" t="s">
        <v>26668</v>
      </c>
      <c r="AB8719" t="s">
        <v>33014</v>
      </c>
      <c r="AD8719" t="s">
        <v>43621</v>
      </c>
      <c r="AE8719">
        <v>0</v>
      </c>
      <c r="AF8719" t="s">
        <v>45552</v>
      </c>
      <c r="AG8719" t="s">
        <v>45556</v>
      </c>
      <c r="AH8719">
        <v>37</v>
      </c>
      <c r="AI8719">
        <v>2</v>
      </c>
      <c r="AJ8719">
        <v>2</v>
      </c>
      <c r="AK8719">
        <v>97.44</v>
      </c>
      <c r="AN8719" t="s">
        <v>45581</v>
      </c>
      <c r="AO8719">
        <v>25092</v>
      </c>
      <c r="AU8719">
        <v>0.5</v>
      </c>
      <c r="AV8719" t="s">
        <v>835</v>
      </c>
      <c r="AW8719" t="s">
        <v>46890</v>
      </c>
    </row>
    <row r="8720" spans="1:50">
      <c r="A8720" s="1">
        <f>HYPERLINK("https://lsnyc.legalserver.org/matter/dynamic-profile/view/1903106","19-1903106")</f>
        <v>0</v>
      </c>
      <c r="B8720" t="s">
        <v>59</v>
      </c>
      <c r="C8720" t="s">
        <v>340</v>
      </c>
      <c r="D8720" t="s">
        <v>835</v>
      </c>
      <c r="F8720" t="s">
        <v>4347</v>
      </c>
      <c r="G8720" t="s">
        <v>8794</v>
      </c>
      <c r="H8720" t="s">
        <v>15587</v>
      </c>
      <c r="I8720" t="s">
        <v>17360</v>
      </c>
      <c r="J8720" t="s">
        <v>18893</v>
      </c>
      <c r="K8720">
        <v>10026</v>
      </c>
      <c r="L8720" t="s">
        <v>18958</v>
      </c>
      <c r="M8720" t="s">
        <v>18960</v>
      </c>
      <c r="N8720" t="s">
        <v>25233</v>
      </c>
      <c r="O8720" t="s">
        <v>26529</v>
      </c>
      <c r="P8720" t="s">
        <v>26563</v>
      </c>
      <c r="R8720" t="s">
        <v>26580</v>
      </c>
      <c r="S8720" t="s">
        <v>18959</v>
      </c>
      <c r="U8720" t="s">
        <v>26604</v>
      </c>
      <c r="W8720" t="s">
        <v>835</v>
      </c>
      <c r="X8720">
        <v>900</v>
      </c>
      <c r="Y8720" t="s">
        <v>26651</v>
      </c>
      <c r="Z8720" t="s">
        <v>26664</v>
      </c>
      <c r="AB8720" t="s">
        <v>33015</v>
      </c>
      <c r="AD8720" t="s">
        <v>43622</v>
      </c>
      <c r="AE8720">
        <v>24</v>
      </c>
      <c r="AF8720" t="s">
        <v>45541</v>
      </c>
      <c r="AG8720" t="s">
        <v>19330</v>
      </c>
      <c r="AH8720">
        <v>1</v>
      </c>
      <c r="AI8720">
        <v>1</v>
      </c>
      <c r="AJ8720">
        <v>0</v>
      </c>
      <c r="AK8720">
        <v>0</v>
      </c>
      <c r="AN8720" t="s">
        <v>7439</v>
      </c>
      <c r="AO8720">
        <v>0</v>
      </c>
      <c r="AU8720">
        <v>1</v>
      </c>
      <c r="AV8720" t="s">
        <v>835</v>
      </c>
      <c r="AW8720" t="s">
        <v>46840</v>
      </c>
      <c r="AX8720" t="s">
        <v>46897</v>
      </c>
    </row>
    <row r="8721" spans="1:50">
      <c r="A8721" s="1">
        <f>HYPERLINK("https://lsnyc.legalserver.org/matter/dynamic-profile/view/1886623","18-1886623")</f>
        <v>0</v>
      </c>
      <c r="B8721" t="s">
        <v>55</v>
      </c>
      <c r="C8721" t="s">
        <v>341</v>
      </c>
      <c r="D8721" t="s">
        <v>699</v>
      </c>
      <c r="E8721" t="s">
        <v>833</v>
      </c>
      <c r="F8721" t="s">
        <v>4348</v>
      </c>
      <c r="G8721" t="s">
        <v>8795</v>
      </c>
      <c r="H8721" t="s">
        <v>12681</v>
      </c>
      <c r="I8721" t="s">
        <v>18593</v>
      </c>
      <c r="J8721" t="s">
        <v>18892</v>
      </c>
      <c r="K8721">
        <v>10452</v>
      </c>
      <c r="L8721" t="s">
        <v>18958</v>
      </c>
      <c r="M8721" t="s">
        <v>18960</v>
      </c>
      <c r="N8721" t="s">
        <v>25234</v>
      </c>
      <c r="O8721" t="s">
        <v>26523</v>
      </c>
      <c r="P8721" t="s">
        <v>26564</v>
      </c>
      <c r="Q8721" t="s">
        <v>26570</v>
      </c>
      <c r="R8721" t="s">
        <v>26578</v>
      </c>
      <c r="U8721" t="s">
        <v>26604</v>
      </c>
      <c r="W8721" t="s">
        <v>821</v>
      </c>
      <c r="X8721">
        <v>0</v>
      </c>
      <c r="Y8721" t="s">
        <v>26650</v>
      </c>
      <c r="Z8721" t="s">
        <v>26663</v>
      </c>
      <c r="AA8721" t="s">
        <v>26680</v>
      </c>
      <c r="AB8721" t="s">
        <v>33016</v>
      </c>
      <c r="AD8721" t="s">
        <v>43623</v>
      </c>
      <c r="AE8721">
        <v>0</v>
      </c>
      <c r="AF8721" t="s">
        <v>45541</v>
      </c>
      <c r="AH8721">
        <v>0</v>
      </c>
      <c r="AI8721">
        <v>2</v>
      </c>
      <c r="AJ8721">
        <v>0</v>
      </c>
      <c r="AK8721">
        <v>255.16</v>
      </c>
      <c r="AN8721" t="s">
        <v>7439</v>
      </c>
      <c r="AO8721">
        <v>42000</v>
      </c>
      <c r="AU8721">
        <v>2.8</v>
      </c>
      <c r="AV8721" t="s">
        <v>713</v>
      </c>
      <c r="AW8721" t="s">
        <v>261</v>
      </c>
      <c r="AX8721" t="s">
        <v>46897</v>
      </c>
    </row>
    <row r="8722" spans="1:50">
      <c r="A8722" s="1">
        <f>HYPERLINK("https://lsnyc.legalserver.org/matter/dynamic-profile/view/1903104","19-1903104")</f>
        <v>0</v>
      </c>
      <c r="B8722" t="s">
        <v>77</v>
      </c>
      <c r="C8722" t="s">
        <v>340</v>
      </c>
      <c r="D8722" t="s">
        <v>835</v>
      </c>
      <c r="F8722" t="s">
        <v>1125</v>
      </c>
      <c r="G8722" t="s">
        <v>5634</v>
      </c>
      <c r="H8722" t="s">
        <v>15551</v>
      </c>
      <c r="I8722" t="s">
        <v>17406</v>
      </c>
      <c r="J8722" t="s">
        <v>18893</v>
      </c>
      <c r="K8722">
        <v>10027</v>
      </c>
      <c r="L8722" t="s">
        <v>18958</v>
      </c>
      <c r="M8722" t="s">
        <v>18960</v>
      </c>
      <c r="N8722" t="s">
        <v>25235</v>
      </c>
      <c r="O8722" t="s">
        <v>26523</v>
      </c>
      <c r="P8722" t="s">
        <v>26560</v>
      </c>
      <c r="R8722" t="s">
        <v>26580</v>
      </c>
      <c r="S8722" t="s">
        <v>18959</v>
      </c>
      <c r="U8722" t="s">
        <v>26604</v>
      </c>
      <c r="W8722" t="s">
        <v>821</v>
      </c>
      <c r="X8722">
        <v>158</v>
      </c>
      <c r="Y8722" t="s">
        <v>26651</v>
      </c>
      <c r="Z8722" t="s">
        <v>26668</v>
      </c>
      <c r="AB8722" t="s">
        <v>33017</v>
      </c>
      <c r="AE8722">
        <v>0</v>
      </c>
      <c r="AF8722" t="s">
        <v>20460</v>
      </c>
      <c r="AG8722" t="s">
        <v>45556</v>
      </c>
      <c r="AH8722">
        <v>9</v>
      </c>
      <c r="AI8722">
        <v>1</v>
      </c>
      <c r="AJ8722">
        <v>0</v>
      </c>
      <c r="AK8722">
        <v>72.06</v>
      </c>
      <c r="AN8722" t="s">
        <v>45581</v>
      </c>
      <c r="AO8722">
        <v>9000</v>
      </c>
      <c r="AU8722">
        <v>0.5</v>
      </c>
      <c r="AV8722" t="s">
        <v>835</v>
      </c>
      <c r="AW8722" t="s">
        <v>46890</v>
      </c>
      <c r="AX8722" t="s">
        <v>46897</v>
      </c>
    </row>
    <row r="8723" spans="1:50">
      <c r="A8723" s="1">
        <f>HYPERLINK("https://lsnyc.legalserver.org/matter/dynamic-profile/view/1903263","19-1903263")</f>
        <v>0</v>
      </c>
      <c r="B8723" t="s">
        <v>72</v>
      </c>
      <c r="C8723" t="s">
        <v>341</v>
      </c>
      <c r="D8723" t="s">
        <v>821</v>
      </c>
      <c r="E8723" t="s">
        <v>821</v>
      </c>
      <c r="F8723" t="s">
        <v>993</v>
      </c>
      <c r="G8723" t="s">
        <v>8278</v>
      </c>
      <c r="H8723" t="s">
        <v>9751</v>
      </c>
      <c r="I8723">
        <v>33</v>
      </c>
      <c r="J8723" t="s">
        <v>18893</v>
      </c>
      <c r="K8723">
        <v>10034</v>
      </c>
      <c r="L8723" t="s">
        <v>18958</v>
      </c>
      <c r="M8723" t="s">
        <v>18960</v>
      </c>
      <c r="O8723" t="s">
        <v>26529</v>
      </c>
      <c r="P8723" t="s">
        <v>26565</v>
      </c>
      <c r="Q8723" t="s">
        <v>26571</v>
      </c>
      <c r="R8723" t="s">
        <v>26578</v>
      </c>
      <c r="S8723" t="s">
        <v>18959</v>
      </c>
      <c r="U8723" t="s">
        <v>26604</v>
      </c>
      <c r="W8723" t="s">
        <v>821</v>
      </c>
      <c r="X8723">
        <v>905.47</v>
      </c>
      <c r="Y8723" t="s">
        <v>26651</v>
      </c>
      <c r="Z8723" t="s">
        <v>26659</v>
      </c>
      <c r="AA8723" t="s">
        <v>26681</v>
      </c>
      <c r="AB8723" t="s">
        <v>32180</v>
      </c>
      <c r="AD8723" t="s">
        <v>42534</v>
      </c>
      <c r="AE8723">
        <v>20</v>
      </c>
      <c r="AF8723" t="s">
        <v>45541</v>
      </c>
      <c r="AG8723" t="s">
        <v>19330</v>
      </c>
      <c r="AH8723">
        <v>48</v>
      </c>
      <c r="AI8723">
        <v>3</v>
      </c>
      <c r="AJ8723">
        <v>0</v>
      </c>
      <c r="AK8723">
        <v>269.97</v>
      </c>
      <c r="AN8723" t="s">
        <v>7439</v>
      </c>
      <c r="AO8723">
        <v>57584</v>
      </c>
      <c r="AU8723">
        <v>0.1</v>
      </c>
      <c r="AV8723" t="s">
        <v>821</v>
      </c>
      <c r="AW8723" t="s">
        <v>46840</v>
      </c>
      <c r="AX8723" t="s">
        <v>46897</v>
      </c>
    </row>
    <row r="8724" spans="1:50">
      <c r="A8724" s="1">
        <f>HYPERLINK("https://lsnyc.legalserver.org/matter/dynamic-profile/view/1903309","19-1903309")</f>
        <v>0</v>
      </c>
      <c r="B8724" t="s">
        <v>157</v>
      </c>
      <c r="C8724" t="s">
        <v>341</v>
      </c>
      <c r="D8724" t="s">
        <v>821</v>
      </c>
      <c r="E8724" t="s">
        <v>821</v>
      </c>
      <c r="F8724" t="s">
        <v>4349</v>
      </c>
      <c r="G8724" t="s">
        <v>8796</v>
      </c>
      <c r="H8724" t="s">
        <v>11545</v>
      </c>
      <c r="I8724" t="s">
        <v>17307</v>
      </c>
      <c r="J8724" t="s">
        <v>18893</v>
      </c>
      <c r="K8724">
        <v>10034</v>
      </c>
      <c r="L8724" t="s">
        <v>18958</v>
      </c>
      <c r="M8724" t="s">
        <v>18960</v>
      </c>
      <c r="O8724" t="s">
        <v>26529</v>
      </c>
      <c r="P8724" t="s">
        <v>26564</v>
      </c>
      <c r="Q8724" t="s">
        <v>26570</v>
      </c>
      <c r="R8724" t="s">
        <v>26578</v>
      </c>
      <c r="S8724" t="s">
        <v>18959</v>
      </c>
      <c r="U8724" t="s">
        <v>26604</v>
      </c>
      <c r="W8724" t="s">
        <v>821</v>
      </c>
      <c r="X8724">
        <v>0</v>
      </c>
      <c r="Y8724" t="s">
        <v>26651</v>
      </c>
      <c r="Z8724" t="s">
        <v>26661</v>
      </c>
      <c r="AA8724" t="s">
        <v>26683</v>
      </c>
      <c r="AB8724" t="s">
        <v>33018</v>
      </c>
      <c r="AD8724" t="s">
        <v>43624</v>
      </c>
      <c r="AE8724">
        <v>30</v>
      </c>
      <c r="AF8724" t="s">
        <v>45541</v>
      </c>
      <c r="AG8724" t="s">
        <v>19330</v>
      </c>
      <c r="AH8724">
        <v>6</v>
      </c>
      <c r="AI8724">
        <v>1</v>
      </c>
      <c r="AJ8724">
        <v>0</v>
      </c>
      <c r="AK8724">
        <v>93.29000000000001</v>
      </c>
      <c r="AN8724" t="s">
        <v>7439</v>
      </c>
      <c r="AO8724">
        <v>11652</v>
      </c>
      <c r="AU8724">
        <v>0.1</v>
      </c>
      <c r="AV8724" t="s">
        <v>821</v>
      </c>
      <c r="AW8724" t="s">
        <v>46840</v>
      </c>
      <c r="AX8724" t="s">
        <v>46897</v>
      </c>
    </row>
    <row r="8725" spans="1:50">
      <c r="A8725" s="1">
        <f>HYPERLINK("https://lsnyc.legalserver.org/matter/dynamic-profile/view/1903251","19-1903251")</f>
        <v>0</v>
      </c>
      <c r="B8725" t="s">
        <v>191</v>
      </c>
      <c r="C8725" t="s">
        <v>340</v>
      </c>
      <c r="D8725" t="s">
        <v>821</v>
      </c>
      <c r="F8725" t="s">
        <v>4350</v>
      </c>
      <c r="G8725" t="s">
        <v>5460</v>
      </c>
      <c r="H8725" t="s">
        <v>15588</v>
      </c>
      <c r="I8725" t="s">
        <v>18594</v>
      </c>
      <c r="J8725" t="s">
        <v>18893</v>
      </c>
      <c r="K8725">
        <v>10027</v>
      </c>
      <c r="L8725" t="s">
        <v>18958</v>
      </c>
      <c r="M8725" t="s">
        <v>18960</v>
      </c>
      <c r="N8725" t="s">
        <v>25236</v>
      </c>
      <c r="O8725" t="s">
        <v>26523</v>
      </c>
      <c r="R8725" t="s">
        <v>26580</v>
      </c>
      <c r="S8725" t="s">
        <v>18958</v>
      </c>
      <c r="U8725" t="s">
        <v>26605</v>
      </c>
      <c r="W8725" t="s">
        <v>821</v>
      </c>
      <c r="X8725">
        <v>767</v>
      </c>
      <c r="Y8725" t="s">
        <v>26651</v>
      </c>
      <c r="Z8725" t="s">
        <v>26668</v>
      </c>
      <c r="AB8725" t="s">
        <v>29188</v>
      </c>
      <c r="AD8725" t="s">
        <v>43625</v>
      </c>
      <c r="AE8725">
        <v>0</v>
      </c>
      <c r="AF8725" t="s">
        <v>45542</v>
      </c>
      <c r="AH8725">
        <v>6</v>
      </c>
      <c r="AI8725">
        <v>1</v>
      </c>
      <c r="AJ8725">
        <v>2</v>
      </c>
      <c r="AK8725">
        <v>99.95</v>
      </c>
      <c r="AN8725" t="s">
        <v>7439</v>
      </c>
      <c r="AO8725">
        <v>21320</v>
      </c>
      <c r="AU8725">
        <v>2</v>
      </c>
      <c r="AV8725" t="s">
        <v>821</v>
      </c>
      <c r="AW8725" t="s">
        <v>46879</v>
      </c>
      <c r="AX8725" t="s">
        <v>46897</v>
      </c>
    </row>
    <row r="8726" spans="1:50">
      <c r="A8726" s="1">
        <f>HYPERLINK("https://lsnyc.legalserver.org/matter/dynamic-profile/view/1903240","19-1903240")</f>
        <v>0</v>
      </c>
      <c r="B8726" t="s">
        <v>191</v>
      </c>
      <c r="C8726" t="s">
        <v>340</v>
      </c>
      <c r="D8726" t="s">
        <v>821</v>
      </c>
      <c r="F8726" t="s">
        <v>1046</v>
      </c>
      <c r="G8726" t="s">
        <v>968</v>
      </c>
      <c r="H8726" t="s">
        <v>14705</v>
      </c>
      <c r="I8726" t="s">
        <v>18595</v>
      </c>
      <c r="J8726" t="s">
        <v>18893</v>
      </c>
      <c r="K8726">
        <v>10027</v>
      </c>
      <c r="L8726" t="s">
        <v>18958</v>
      </c>
      <c r="M8726" t="s">
        <v>18960</v>
      </c>
      <c r="N8726" t="s">
        <v>25237</v>
      </c>
      <c r="O8726" t="s">
        <v>26523</v>
      </c>
      <c r="R8726" t="s">
        <v>26580</v>
      </c>
      <c r="S8726" t="s">
        <v>18959</v>
      </c>
      <c r="U8726" t="s">
        <v>26605</v>
      </c>
      <c r="W8726" t="s">
        <v>821</v>
      </c>
      <c r="X8726">
        <v>445</v>
      </c>
      <c r="Y8726" t="s">
        <v>26651</v>
      </c>
      <c r="Z8726" t="s">
        <v>26668</v>
      </c>
      <c r="AB8726" t="s">
        <v>33019</v>
      </c>
      <c r="AD8726" t="s">
        <v>43626</v>
      </c>
      <c r="AE8726">
        <v>21</v>
      </c>
      <c r="AF8726" t="s">
        <v>45542</v>
      </c>
      <c r="AH8726">
        <v>28</v>
      </c>
      <c r="AI8726">
        <v>2</v>
      </c>
      <c r="AJ8726">
        <v>0</v>
      </c>
      <c r="AK8726">
        <v>141.93</v>
      </c>
      <c r="AN8726" t="s">
        <v>7439</v>
      </c>
      <c r="AO8726">
        <v>24000</v>
      </c>
      <c r="AU8726">
        <v>0</v>
      </c>
      <c r="AW8726" t="s">
        <v>46879</v>
      </c>
      <c r="AX8726" t="s">
        <v>46897</v>
      </c>
    </row>
    <row r="8727" spans="1:50">
      <c r="A8727" s="1">
        <f>HYPERLINK("https://lsnyc.legalserver.org/matter/dynamic-profile/view/1903229","19-1903229")</f>
        <v>0</v>
      </c>
      <c r="B8727" t="s">
        <v>90</v>
      </c>
      <c r="C8727" t="s">
        <v>340</v>
      </c>
      <c r="D8727" t="s">
        <v>821</v>
      </c>
      <c r="F8727" t="s">
        <v>2840</v>
      </c>
      <c r="G8727" t="s">
        <v>8797</v>
      </c>
      <c r="H8727" t="s">
        <v>9650</v>
      </c>
      <c r="I8727" t="s">
        <v>18596</v>
      </c>
      <c r="J8727" t="s">
        <v>18893</v>
      </c>
      <c r="K8727">
        <v>10034</v>
      </c>
      <c r="L8727" t="s">
        <v>18958</v>
      </c>
      <c r="M8727" t="s">
        <v>18960</v>
      </c>
      <c r="O8727" t="s">
        <v>18997</v>
      </c>
      <c r="P8727" t="s">
        <v>26565</v>
      </c>
      <c r="R8727" t="s">
        <v>26578</v>
      </c>
      <c r="S8727" t="s">
        <v>18959</v>
      </c>
      <c r="U8727" t="s">
        <v>26604</v>
      </c>
      <c r="V8727" t="s">
        <v>26610</v>
      </c>
      <c r="W8727" t="s">
        <v>821</v>
      </c>
      <c r="X8727">
        <v>544.6799999999999</v>
      </c>
      <c r="Y8727" t="s">
        <v>26651</v>
      </c>
      <c r="Z8727" t="s">
        <v>26659</v>
      </c>
      <c r="AB8727" t="s">
        <v>26951</v>
      </c>
      <c r="AD8727" t="s">
        <v>43627</v>
      </c>
      <c r="AE8727">
        <v>200</v>
      </c>
      <c r="AF8727" t="s">
        <v>45548</v>
      </c>
      <c r="AG8727" t="s">
        <v>19330</v>
      </c>
      <c r="AH8727">
        <v>24</v>
      </c>
      <c r="AI8727">
        <v>1</v>
      </c>
      <c r="AJ8727">
        <v>0</v>
      </c>
      <c r="AK8727">
        <v>74.47</v>
      </c>
      <c r="AN8727" t="s">
        <v>7439</v>
      </c>
      <c r="AO8727">
        <v>9301.32</v>
      </c>
      <c r="AU8727">
        <v>0</v>
      </c>
      <c r="AW8727" t="s">
        <v>46835</v>
      </c>
      <c r="AX8727" t="s">
        <v>46897</v>
      </c>
    </row>
    <row r="8728" spans="1:50">
      <c r="A8728" s="1">
        <f>HYPERLINK("https://lsnyc.legalserver.org/matter/dynamic-profile/view/1903247","19-1903247")</f>
        <v>0</v>
      </c>
      <c r="B8728" t="s">
        <v>90</v>
      </c>
      <c r="C8728" t="s">
        <v>340</v>
      </c>
      <c r="D8728" t="s">
        <v>821</v>
      </c>
      <c r="F8728" t="s">
        <v>948</v>
      </c>
      <c r="G8728" t="s">
        <v>6541</v>
      </c>
      <c r="H8728" t="s">
        <v>11709</v>
      </c>
      <c r="I8728">
        <v>34</v>
      </c>
      <c r="J8728" t="s">
        <v>18893</v>
      </c>
      <c r="K8728">
        <v>10039</v>
      </c>
      <c r="L8728" t="s">
        <v>18958</v>
      </c>
      <c r="M8728" t="s">
        <v>18960</v>
      </c>
      <c r="O8728" t="s">
        <v>26526</v>
      </c>
      <c r="P8728" t="s">
        <v>26563</v>
      </c>
      <c r="R8728" t="s">
        <v>26578</v>
      </c>
      <c r="S8728" t="s">
        <v>18958</v>
      </c>
      <c r="U8728" t="s">
        <v>26604</v>
      </c>
      <c r="W8728" t="s">
        <v>821</v>
      </c>
      <c r="X8728">
        <v>0</v>
      </c>
      <c r="Y8728" t="s">
        <v>26651</v>
      </c>
      <c r="Z8728" t="s">
        <v>26659</v>
      </c>
      <c r="AB8728" t="s">
        <v>29010</v>
      </c>
      <c r="AD8728" t="s">
        <v>39065</v>
      </c>
      <c r="AE8728">
        <v>34</v>
      </c>
      <c r="AF8728" t="s">
        <v>45547</v>
      </c>
      <c r="AG8728" t="s">
        <v>19330</v>
      </c>
      <c r="AH8728">
        <v>4</v>
      </c>
      <c r="AI8728">
        <v>1</v>
      </c>
      <c r="AJ8728">
        <v>0</v>
      </c>
      <c r="AK8728">
        <v>215.69</v>
      </c>
      <c r="AN8728" t="s">
        <v>7439</v>
      </c>
      <c r="AO8728">
        <v>26940</v>
      </c>
      <c r="AU8728">
        <v>1</v>
      </c>
      <c r="AV8728" t="s">
        <v>839</v>
      </c>
      <c r="AW8728" t="s">
        <v>46835</v>
      </c>
      <c r="AX8728" t="s">
        <v>46897</v>
      </c>
    </row>
    <row r="8729" spans="1:50">
      <c r="A8729" s="1">
        <f>HYPERLINK("https://lsnyc.legalserver.org/matter/dynamic-profile/view/1903289","19-1903289")</f>
        <v>0</v>
      </c>
      <c r="B8729" t="s">
        <v>72</v>
      </c>
      <c r="C8729" t="s">
        <v>340</v>
      </c>
      <c r="D8729" t="s">
        <v>821</v>
      </c>
      <c r="F8729" t="s">
        <v>891</v>
      </c>
      <c r="G8729" t="s">
        <v>8798</v>
      </c>
      <c r="H8729" t="s">
        <v>15589</v>
      </c>
      <c r="I8729" t="s">
        <v>17361</v>
      </c>
      <c r="J8729" t="s">
        <v>18893</v>
      </c>
      <c r="K8729">
        <v>10033</v>
      </c>
      <c r="L8729" t="s">
        <v>18958</v>
      </c>
      <c r="M8729" t="s">
        <v>18960</v>
      </c>
      <c r="O8729" t="s">
        <v>26529</v>
      </c>
      <c r="P8729" t="s">
        <v>26564</v>
      </c>
      <c r="R8729" t="s">
        <v>26578</v>
      </c>
      <c r="S8729" t="s">
        <v>18959</v>
      </c>
      <c r="U8729" t="s">
        <v>26604</v>
      </c>
      <c r="W8729" t="s">
        <v>821</v>
      </c>
      <c r="X8729">
        <v>1800</v>
      </c>
      <c r="Y8729" t="s">
        <v>26651</v>
      </c>
      <c r="Z8729" t="s">
        <v>26661</v>
      </c>
      <c r="AB8729" t="s">
        <v>33020</v>
      </c>
      <c r="AD8729" t="s">
        <v>43628</v>
      </c>
      <c r="AE8729">
        <v>689</v>
      </c>
      <c r="AF8729" t="s">
        <v>45541</v>
      </c>
      <c r="AG8729" t="s">
        <v>19330</v>
      </c>
      <c r="AH8729">
        <v>5</v>
      </c>
      <c r="AI8729">
        <v>1</v>
      </c>
      <c r="AJ8729">
        <v>0</v>
      </c>
      <c r="AK8729">
        <v>760.61</v>
      </c>
      <c r="AN8729" t="s">
        <v>7439</v>
      </c>
      <c r="AO8729">
        <v>95000</v>
      </c>
      <c r="AU8729">
        <v>0</v>
      </c>
      <c r="AW8729" t="s">
        <v>46840</v>
      </c>
      <c r="AX8729" t="s">
        <v>46897</v>
      </c>
    </row>
    <row r="8730" spans="1:50">
      <c r="A8730" s="1">
        <f>HYPERLINK("https://lsnyc.legalserver.org/matter/dynamic-profile/view/1903228","19-1903228")</f>
        <v>0</v>
      </c>
      <c r="B8730" t="s">
        <v>153</v>
      </c>
      <c r="C8730" t="s">
        <v>340</v>
      </c>
      <c r="D8730" t="s">
        <v>821</v>
      </c>
      <c r="F8730" t="s">
        <v>1587</v>
      </c>
      <c r="G8730" t="s">
        <v>4984</v>
      </c>
      <c r="H8730" t="s">
        <v>10704</v>
      </c>
      <c r="I8730" t="s">
        <v>17366</v>
      </c>
      <c r="J8730" t="s">
        <v>18902</v>
      </c>
      <c r="K8730">
        <v>10303</v>
      </c>
      <c r="L8730" t="s">
        <v>18958</v>
      </c>
      <c r="M8730" t="s">
        <v>18960</v>
      </c>
      <c r="N8730" t="s">
        <v>25238</v>
      </c>
      <c r="O8730" t="s">
        <v>26523</v>
      </c>
      <c r="R8730" t="s">
        <v>26590</v>
      </c>
      <c r="S8730" t="s">
        <v>18959</v>
      </c>
      <c r="U8730" t="s">
        <v>26605</v>
      </c>
      <c r="V8730" t="s">
        <v>26610</v>
      </c>
      <c r="W8730" t="s">
        <v>821</v>
      </c>
      <c r="X8730">
        <v>1030</v>
      </c>
      <c r="Y8730" t="s">
        <v>26654</v>
      </c>
      <c r="Z8730" t="s">
        <v>26668</v>
      </c>
      <c r="AB8730" t="s">
        <v>33021</v>
      </c>
      <c r="AD8730" t="s">
        <v>43629</v>
      </c>
      <c r="AE8730">
        <v>0</v>
      </c>
      <c r="AF8730" t="s">
        <v>45543</v>
      </c>
      <c r="AG8730" t="s">
        <v>19330</v>
      </c>
      <c r="AH8730">
        <v>16</v>
      </c>
      <c r="AI8730">
        <v>2</v>
      </c>
      <c r="AJ8730">
        <v>0</v>
      </c>
      <c r="AK8730">
        <v>110.7</v>
      </c>
      <c r="AN8730" t="s">
        <v>7439</v>
      </c>
      <c r="AO8730">
        <v>18720</v>
      </c>
      <c r="AU8730">
        <v>0</v>
      </c>
      <c r="AW8730" t="s">
        <v>46883</v>
      </c>
      <c r="AX8730" t="s">
        <v>46897</v>
      </c>
    </row>
    <row r="8731" spans="1:50">
      <c r="A8731" s="1">
        <f>HYPERLINK("https://lsnyc.legalserver.org/matter/dynamic-profile/view/1903246","19-1903246")</f>
        <v>0</v>
      </c>
      <c r="B8731" t="s">
        <v>258</v>
      </c>
      <c r="C8731" t="s">
        <v>340</v>
      </c>
      <c r="D8731" t="s">
        <v>821</v>
      </c>
      <c r="F8731" t="s">
        <v>4351</v>
      </c>
      <c r="G8731" t="s">
        <v>1315</v>
      </c>
      <c r="H8731" t="s">
        <v>15590</v>
      </c>
      <c r="J8731" t="s">
        <v>18933</v>
      </c>
      <c r="K8731">
        <v>11422</v>
      </c>
      <c r="L8731" t="s">
        <v>18958</v>
      </c>
      <c r="M8731" t="s">
        <v>18960</v>
      </c>
      <c r="O8731" t="s">
        <v>18997</v>
      </c>
      <c r="P8731" t="s">
        <v>26564</v>
      </c>
      <c r="R8731" t="s">
        <v>26589</v>
      </c>
      <c r="S8731" t="s">
        <v>18959</v>
      </c>
      <c r="U8731" t="s">
        <v>26604</v>
      </c>
      <c r="W8731" t="s">
        <v>821</v>
      </c>
      <c r="X8731">
        <v>900</v>
      </c>
      <c r="Y8731" t="s">
        <v>26653</v>
      </c>
      <c r="Z8731" t="s">
        <v>26671</v>
      </c>
      <c r="AB8731" t="s">
        <v>33022</v>
      </c>
      <c r="AE8731">
        <v>3</v>
      </c>
      <c r="AF8731" t="s">
        <v>45547</v>
      </c>
      <c r="AG8731" t="s">
        <v>19330</v>
      </c>
      <c r="AH8731">
        <v>1</v>
      </c>
      <c r="AI8731">
        <v>1</v>
      </c>
      <c r="AJ8731">
        <v>0</v>
      </c>
      <c r="AK8731">
        <v>0</v>
      </c>
      <c r="AL8731" t="s">
        <v>45567</v>
      </c>
      <c r="AM8731" t="s">
        <v>45577</v>
      </c>
      <c r="AN8731" t="s">
        <v>7439</v>
      </c>
      <c r="AO8731">
        <v>0</v>
      </c>
      <c r="AU8731">
        <v>1.1</v>
      </c>
      <c r="AV8731" t="s">
        <v>838</v>
      </c>
      <c r="AW8731" t="s">
        <v>258</v>
      </c>
    </row>
    <row r="8732" spans="1:50">
      <c r="A8732" s="1">
        <f>HYPERLINK("https://lsnyc.legalserver.org/matter/dynamic-profile/view/1903207","19-1903207")</f>
        <v>0</v>
      </c>
      <c r="B8732" t="s">
        <v>103</v>
      </c>
      <c r="C8732" t="s">
        <v>340</v>
      </c>
      <c r="D8732" t="s">
        <v>821</v>
      </c>
      <c r="F8732" t="s">
        <v>4352</v>
      </c>
      <c r="G8732" t="s">
        <v>5402</v>
      </c>
      <c r="H8732" t="s">
        <v>10674</v>
      </c>
      <c r="I8732" t="s">
        <v>17356</v>
      </c>
      <c r="J8732" t="s">
        <v>18902</v>
      </c>
      <c r="K8732">
        <v>10304</v>
      </c>
      <c r="L8732" t="s">
        <v>18958</v>
      </c>
      <c r="M8732" t="s">
        <v>18960</v>
      </c>
      <c r="N8732" t="s">
        <v>25239</v>
      </c>
      <c r="O8732" t="s">
        <v>26523</v>
      </c>
      <c r="P8732" t="s">
        <v>26560</v>
      </c>
      <c r="R8732" t="s">
        <v>26587</v>
      </c>
      <c r="S8732" t="s">
        <v>18959</v>
      </c>
      <c r="U8732" t="s">
        <v>26605</v>
      </c>
      <c r="V8732" t="s">
        <v>26610</v>
      </c>
      <c r="W8732" t="s">
        <v>821</v>
      </c>
      <c r="X8732">
        <v>211</v>
      </c>
      <c r="Y8732" t="s">
        <v>26654</v>
      </c>
      <c r="Z8732" t="s">
        <v>26659</v>
      </c>
      <c r="AB8732" t="s">
        <v>33023</v>
      </c>
      <c r="AD8732" t="s">
        <v>43630</v>
      </c>
      <c r="AE8732">
        <v>112</v>
      </c>
      <c r="AF8732" t="s">
        <v>45543</v>
      </c>
      <c r="AG8732" t="s">
        <v>45556</v>
      </c>
      <c r="AH8732">
        <v>1</v>
      </c>
      <c r="AI8732">
        <v>1</v>
      </c>
      <c r="AJ8732">
        <v>0</v>
      </c>
      <c r="AK8732">
        <v>57.65</v>
      </c>
      <c r="AN8732" t="s">
        <v>7439</v>
      </c>
      <c r="AO8732">
        <v>7200</v>
      </c>
      <c r="AU8732">
        <v>1</v>
      </c>
      <c r="AV8732" t="s">
        <v>821</v>
      </c>
      <c r="AW8732" t="s">
        <v>46883</v>
      </c>
      <c r="AX8732" t="s">
        <v>46897</v>
      </c>
    </row>
    <row r="8733" spans="1:50">
      <c r="A8733" s="1">
        <f>HYPERLINK("https://lsnyc.legalserver.org/matter/dynamic-profile/view/1903222","19-1903222")</f>
        <v>0</v>
      </c>
      <c r="B8733" t="s">
        <v>103</v>
      </c>
      <c r="C8733" t="s">
        <v>340</v>
      </c>
      <c r="D8733" t="s">
        <v>821</v>
      </c>
      <c r="F8733" t="s">
        <v>2440</v>
      </c>
      <c r="G8733" t="s">
        <v>8575</v>
      </c>
      <c r="H8733" t="s">
        <v>12637</v>
      </c>
      <c r="I8733" t="s">
        <v>17352</v>
      </c>
      <c r="J8733" t="s">
        <v>18902</v>
      </c>
      <c r="K8733">
        <v>10310</v>
      </c>
      <c r="L8733" t="s">
        <v>18958</v>
      </c>
      <c r="M8733" t="s">
        <v>18960</v>
      </c>
      <c r="N8733" t="s">
        <v>25240</v>
      </c>
      <c r="O8733" t="s">
        <v>26523</v>
      </c>
      <c r="P8733" t="s">
        <v>26560</v>
      </c>
      <c r="R8733" t="s">
        <v>26590</v>
      </c>
      <c r="S8733" t="s">
        <v>18959</v>
      </c>
      <c r="U8733" t="s">
        <v>26605</v>
      </c>
      <c r="V8733" t="s">
        <v>26610</v>
      </c>
      <c r="W8733" t="s">
        <v>821</v>
      </c>
      <c r="X8733">
        <v>325</v>
      </c>
      <c r="Y8733" t="s">
        <v>26654</v>
      </c>
      <c r="Z8733" t="s">
        <v>26668</v>
      </c>
      <c r="AB8733" t="s">
        <v>33024</v>
      </c>
      <c r="AD8733" t="s">
        <v>43631</v>
      </c>
      <c r="AE8733">
        <v>0</v>
      </c>
      <c r="AF8733" t="s">
        <v>45549</v>
      </c>
      <c r="AG8733" t="s">
        <v>45556</v>
      </c>
      <c r="AH8733">
        <v>19</v>
      </c>
      <c r="AI8733">
        <v>3</v>
      </c>
      <c r="AJ8733">
        <v>1</v>
      </c>
      <c r="AK8733">
        <v>130.25</v>
      </c>
      <c r="AN8733" t="s">
        <v>7439</v>
      </c>
      <c r="AO8733">
        <v>33540</v>
      </c>
      <c r="AU8733">
        <v>0.8</v>
      </c>
      <c r="AV8733" t="s">
        <v>836</v>
      </c>
      <c r="AW8733" t="s">
        <v>46891</v>
      </c>
      <c r="AX8733" t="s">
        <v>46897</v>
      </c>
    </row>
    <row r="8734" spans="1:50">
      <c r="A8734" s="1">
        <f>HYPERLINK("https://lsnyc.legalserver.org/matter/dynamic-profile/view/1903227","19-1903227")</f>
        <v>0</v>
      </c>
      <c r="B8734" t="s">
        <v>157</v>
      </c>
      <c r="C8734" t="s">
        <v>340</v>
      </c>
      <c r="D8734" t="s">
        <v>821</v>
      </c>
      <c r="F8734" t="s">
        <v>995</v>
      </c>
      <c r="G8734" t="s">
        <v>8799</v>
      </c>
      <c r="H8734" t="s">
        <v>15591</v>
      </c>
      <c r="I8734" t="s">
        <v>17641</v>
      </c>
      <c r="J8734" t="s">
        <v>18893</v>
      </c>
      <c r="K8734">
        <v>10034</v>
      </c>
      <c r="L8734" t="s">
        <v>18958</v>
      </c>
      <c r="M8734" t="s">
        <v>18960</v>
      </c>
      <c r="O8734" t="s">
        <v>26529</v>
      </c>
      <c r="P8734" t="s">
        <v>26565</v>
      </c>
      <c r="R8734" t="s">
        <v>26578</v>
      </c>
      <c r="S8734" t="s">
        <v>18959</v>
      </c>
      <c r="U8734" t="s">
        <v>26604</v>
      </c>
      <c r="W8734" t="s">
        <v>821</v>
      </c>
      <c r="X8734">
        <v>1900</v>
      </c>
      <c r="Y8734" t="s">
        <v>26651</v>
      </c>
      <c r="Z8734" t="s">
        <v>26661</v>
      </c>
      <c r="AB8734" t="s">
        <v>33025</v>
      </c>
      <c r="AD8734" t="s">
        <v>43632</v>
      </c>
      <c r="AE8734">
        <v>85</v>
      </c>
      <c r="AF8734" t="s">
        <v>45541</v>
      </c>
      <c r="AG8734" t="s">
        <v>19330</v>
      </c>
      <c r="AH8734">
        <v>10</v>
      </c>
      <c r="AI8734">
        <v>1</v>
      </c>
      <c r="AJ8734">
        <v>0</v>
      </c>
      <c r="AK8734">
        <v>480.38</v>
      </c>
      <c r="AN8734" t="s">
        <v>7439</v>
      </c>
      <c r="AO8734">
        <v>60000</v>
      </c>
      <c r="AU8734">
        <v>1.1</v>
      </c>
      <c r="AV8734" t="s">
        <v>839</v>
      </c>
      <c r="AW8734" t="s">
        <v>46840</v>
      </c>
      <c r="AX8734" t="s">
        <v>46897</v>
      </c>
    </row>
    <row r="8735" spans="1:50">
      <c r="A8735" s="1">
        <f>HYPERLINK("https://lsnyc.legalserver.org/matter/dynamic-profile/view/1903316","19-1903316")</f>
        <v>0</v>
      </c>
      <c r="B8735" t="s">
        <v>173</v>
      </c>
      <c r="C8735" t="s">
        <v>340</v>
      </c>
      <c r="D8735" t="s">
        <v>821</v>
      </c>
      <c r="F8735" t="s">
        <v>4353</v>
      </c>
      <c r="G8735" t="s">
        <v>5608</v>
      </c>
      <c r="H8735" t="s">
        <v>15592</v>
      </c>
      <c r="I8735" t="s">
        <v>18597</v>
      </c>
      <c r="J8735" t="s">
        <v>18893</v>
      </c>
      <c r="K8735">
        <v>10025</v>
      </c>
      <c r="L8735" t="s">
        <v>18958</v>
      </c>
      <c r="M8735" t="s">
        <v>18960</v>
      </c>
      <c r="N8735" t="s">
        <v>25241</v>
      </c>
      <c r="O8735" t="s">
        <v>26523</v>
      </c>
      <c r="R8735" t="s">
        <v>26580</v>
      </c>
      <c r="S8735" t="s">
        <v>18958</v>
      </c>
      <c r="U8735" t="s">
        <v>26605</v>
      </c>
      <c r="W8735" t="s">
        <v>821</v>
      </c>
      <c r="X8735">
        <v>1450</v>
      </c>
      <c r="Y8735" t="s">
        <v>26651</v>
      </c>
      <c r="Z8735" t="s">
        <v>26530</v>
      </c>
      <c r="AB8735" t="s">
        <v>33026</v>
      </c>
      <c r="AD8735" t="s">
        <v>43633</v>
      </c>
      <c r="AE8735">
        <v>0</v>
      </c>
      <c r="AF8735" t="s">
        <v>45542</v>
      </c>
      <c r="AH8735">
        <v>3</v>
      </c>
      <c r="AI8735">
        <v>1</v>
      </c>
      <c r="AJ8735">
        <v>3</v>
      </c>
      <c r="AK8735">
        <v>83.40000000000001</v>
      </c>
      <c r="AN8735" t="s">
        <v>7439</v>
      </c>
      <c r="AO8735">
        <v>21476</v>
      </c>
      <c r="AU8735">
        <v>0</v>
      </c>
      <c r="AW8735" t="s">
        <v>46879</v>
      </c>
      <c r="AX8735" t="s">
        <v>46897</v>
      </c>
    </row>
    <row r="8736" spans="1:50">
      <c r="A8736" s="1">
        <f>HYPERLINK("https://lsnyc.legalserver.org/matter/dynamic-profile/view/1903681","19-1903681")</f>
        <v>0</v>
      </c>
      <c r="B8736" t="s">
        <v>258</v>
      </c>
      <c r="C8736" t="s">
        <v>340</v>
      </c>
      <c r="D8736" t="s">
        <v>836</v>
      </c>
      <c r="F8736" t="s">
        <v>4354</v>
      </c>
      <c r="G8736" t="s">
        <v>8800</v>
      </c>
      <c r="H8736" t="s">
        <v>15593</v>
      </c>
      <c r="J8736" t="s">
        <v>18923</v>
      </c>
      <c r="K8736">
        <v>11418</v>
      </c>
      <c r="L8736" t="s">
        <v>18958</v>
      </c>
      <c r="M8736" t="s">
        <v>18960</v>
      </c>
      <c r="N8736" t="s">
        <v>25242</v>
      </c>
      <c r="O8736" t="s">
        <v>18997</v>
      </c>
      <c r="P8736" t="s">
        <v>26563</v>
      </c>
      <c r="R8736" t="s">
        <v>26589</v>
      </c>
      <c r="S8736" t="s">
        <v>18959</v>
      </c>
      <c r="U8736" t="s">
        <v>26604</v>
      </c>
      <c r="W8736" t="s">
        <v>821</v>
      </c>
      <c r="X8736">
        <v>1100</v>
      </c>
      <c r="Y8736" t="s">
        <v>26653</v>
      </c>
      <c r="Z8736" t="s">
        <v>26671</v>
      </c>
      <c r="AB8736" t="s">
        <v>31700</v>
      </c>
      <c r="AE8736">
        <v>4</v>
      </c>
      <c r="AG8736" t="s">
        <v>19330</v>
      </c>
      <c r="AH8736">
        <v>11</v>
      </c>
      <c r="AI8736">
        <v>1</v>
      </c>
      <c r="AJ8736">
        <v>3</v>
      </c>
      <c r="AK8736">
        <v>50.49</v>
      </c>
      <c r="AN8736" t="s">
        <v>7439</v>
      </c>
      <c r="AO8736">
        <v>13000</v>
      </c>
      <c r="AU8736">
        <v>0.75</v>
      </c>
      <c r="AV8736" t="s">
        <v>821</v>
      </c>
      <c r="AW8736" t="s">
        <v>258</v>
      </c>
    </row>
    <row r="8737" spans="1:50">
      <c r="A8737" s="1">
        <f>HYPERLINK("https://lsnyc.legalserver.org/matter/dynamic-profile/view/1890467","18-1890467")</f>
        <v>0</v>
      </c>
      <c r="B8737" t="s">
        <v>75</v>
      </c>
      <c r="C8737" t="s">
        <v>340</v>
      </c>
      <c r="D8737" t="s">
        <v>837</v>
      </c>
      <c r="F8737" t="s">
        <v>3801</v>
      </c>
      <c r="G8737" t="s">
        <v>5473</v>
      </c>
      <c r="H8737" t="s">
        <v>12169</v>
      </c>
      <c r="I8737" t="s">
        <v>17348</v>
      </c>
      <c r="J8737" t="s">
        <v>18892</v>
      </c>
      <c r="K8737">
        <v>10453</v>
      </c>
      <c r="L8737" t="s">
        <v>18958</v>
      </c>
      <c r="M8737" t="s">
        <v>18958</v>
      </c>
      <c r="O8737" t="s">
        <v>18997</v>
      </c>
      <c r="P8737" t="s">
        <v>26562</v>
      </c>
      <c r="R8737" t="s">
        <v>26578</v>
      </c>
      <c r="S8737" t="s">
        <v>18958</v>
      </c>
      <c r="U8737" t="s">
        <v>26604</v>
      </c>
      <c r="W8737" t="s">
        <v>838</v>
      </c>
      <c r="X8737">
        <v>1100</v>
      </c>
      <c r="Y8737" t="s">
        <v>26650</v>
      </c>
      <c r="Z8737" t="s">
        <v>26663</v>
      </c>
      <c r="AB8737" t="s">
        <v>31939</v>
      </c>
      <c r="AD8737" t="s">
        <v>42236</v>
      </c>
      <c r="AE8737">
        <v>44</v>
      </c>
      <c r="AF8737" t="s">
        <v>45541</v>
      </c>
      <c r="AG8737" t="s">
        <v>19330</v>
      </c>
      <c r="AH8737">
        <v>1</v>
      </c>
      <c r="AI8737">
        <v>1</v>
      </c>
      <c r="AJ8737">
        <v>0</v>
      </c>
      <c r="AK8737">
        <v>128.5</v>
      </c>
      <c r="AN8737" t="s">
        <v>7439</v>
      </c>
      <c r="AO8737">
        <v>15600</v>
      </c>
      <c r="AU8737">
        <v>0</v>
      </c>
      <c r="AW8737" t="s">
        <v>336</v>
      </c>
      <c r="AX8737" t="s">
        <v>46897</v>
      </c>
    </row>
    <row r="8738" spans="1:50">
      <c r="A8738" s="1">
        <f>HYPERLINK("https://lsnyc.legalserver.org/matter/dynamic-profile/view/1885967","18-1885967")</f>
        <v>0</v>
      </c>
      <c r="B8738" t="s">
        <v>135</v>
      </c>
      <c r="C8738" t="s">
        <v>340</v>
      </c>
      <c r="D8738" t="s">
        <v>688</v>
      </c>
      <c r="F8738" t="s">
        <v>4355</v>
      </c>
      <c r="G8738" t="s">
        <v>5311</v>
      </c>
      <c r="H8738" t="s">
        <v>10136</v>
      </c>
      <c r="I8738" t="s">
        <v>17307</v>
      </c>
      <c r="J8738" t="s">
        <v>18892</v>
      </c>
      <c r="K8738">
        <v>10463</v>
      </c>
      <c r="L8738" t="s">
        <v>18958</v>
      </c>
      <c r="M8738" t="s">
        <v>18958</v>
      </c>
      <c r="N8738" t="s">
        <v>25243</v>
      </c>
      <c r="O8738" t="s">
        <v>26526</v>
      </c>
      <c r="P8738" t="s">
        <v>26560</v>
      </c>
      <c r="R8738" t="s">
        <v>26578</v>
      </c>
      <c r="S8738" t="s">
        <v>18958</v>
      </c>
      <c r="U8738" t="s">
        <v>26604</v>
      </c>
      <c r="W8738" t="s">
        <v>838</v>
      </c>
      <c r="X8738">
        <v>1428</v>
      </c>
      <c r="Y8738" t="s">
        <v>26650</v>
      </c>
      <c r="Z8738" t="s">
        <v>26663</v>
      </c>
      <c r="AB8738" t="s">
        <v>33027</v>
      </c>
      <c r="AD8738" t="s">
        <v>43634</v>
      </c>
      <c r="AE8738">
        <v>0</v>
      </c>
      <c r="AF8738" t="s">
        <v>45541</v>
      </c>
      <c r="AG8738" t="s">
        <v>45557</v>
      </c>
      <c r="AH8738">
        <v>3</v>
      </c>
      <c r="AI8738">
        <v>2</v>
      </c>
      <c r="AJ8738">
        <v>1</v>
      </c>
      <c r="AK8738">
        <v>52.94</v>
      </c>
      <c r="AN8738" t="s">
        <v>45581</v>
      </c>
      <c r="AO8738">
        <v>11000</v>
      </c>
      <c r="AU8738">
        <v>4.4</v>
      </c>
      <c r="AV8738" t="s">
        <v>828</v>
      </c>
      <c r="AW8738" t="s">
        <v>46832</v>
      </c>
    </row>
    <row r="8739" spans="1:50">
      <c r="A8739" s="1">
        <f>HYPERLINK("https://lsnyc.legalserver.org/matter/dynamic-profile/view/1902821","19-1902821")</f>
        <v>0</v>
      </c>
      <c r="B8739" t="s">
        <v>280</v>
      </c>
      <c r="C8739" t="s">
        <v>340</v>
      </c>
      <c r="D8739" t="s">
        <v>773</v>
      </c>
      <c r="F8739" t="s">
        <v>4356</v>
      </c>
      <c r="G8739" t="s">
        <v>8801</v>
      </c>
      <c r="H8739" t="s">
        <v>15594</v>
      </c>
      <c r="I8739" t="s">
        <v>17430</v>
      </c>
      <c r="J8739" t="s">
        <v>18939</v>
      </c>
      <c r="K8739">
        <v>11423</v>
      </c>
      <c r="L8739" t="s">
        <v>18958</v>
      </c>
      <c r="M8739" t="s">
        <v>18960</v>
      </c>
      <c r="N8739" t="s">
        <v>25244</v>
      </c>
      <c r="O8739" t="s">
        <v>26523</v>
      </c>
      <c r="P8739" t="s">
        <v>26560</v>
      </c>
      <c r="R8739" t="s">
        <v>26578</v>
      </c>
      <c r="S8739" t="s">
        <v>18959</v>
      </c>
      <c r="U8739" t="s">
        <v>26604</v>
      </c>
      <c r="V8739" t="s">
        <v>26612</v>
      </c>
      <c r="W8739" t="s">
        <v>838</v>
      </c>
      <c r="X8739">
        <v>1700</v>
      </c>
      <c r="Y8739" t="s">
        <v>26653</v>
      </c>
      <c r="Z8739" t="s">
        <v>26664</v>
      </c>
      <c r="AB8739" t="s">
        <v>33028</v>
      </c>
      <c r="AC8739" t="s">
        <v>36568</v>
      </c>
      <c r="AE8739">
        <v>3</v>
      </c>
      <c r="AF8739" t="s">
        <v>20460</v>
      </c>
      <c r="AG8739" t="s">
        <v>19330</v>
      </c>
      <c r="AH8739">
        <v>4</v>
      </c>
      <c r="AI8739">
        <v>1</v>
      </c>
      <c r="AJ8739">
        <v>3</v>
      </c>
      <c r="AK8739">
        <v>0</v>
      </c>
      <c r="AN8739" t="s">
        <v>45603</v>
      </c>
      <c r="AO8739">
        <v>0</v>
      </c>
      <c r="AU8739">
        <v>2.4</v>
      </c>
      <c r="AV8739" t="s">
        <v>838</v>
      </c>
      <c r="AW8739" t="s">
        <v>46846</v>
      </c>
      <c r="AX8739" t="s">
        <v>46897</v>
      </c>
    </row>
    <row r="8740" spans="1:50">
      <c r="A8740" s="1">
        <f>HYPERLINK("https://lsnyc.legalserver.org/matter/dynamic-profile/view/1903371","19-1903371")</f>
        <v>0</v>
      </c>
      <c r="B8740" t="s">
        <v>144</v>
      </c>
      <c r="C8740" t="s">
        <v>340</v>
      </c>
      <c r="D8740" t="s">
        <v>838</v>
      </c>
      <c r="F8740" t="s">
        <v>4357</v>
      </c>
      <c r="G8740" t="s">
        <v>2818</v>
      </c>
      <c r="H8740" t="s">
        <v>15595</v>
      </c>
      <c r="I8740" t="s">
        <v>17733</v>
      </c>
      <c r="J8740" t="s">
        <v>18893</v>
      </c>
      <c r="K8740">
        <v>10027</v>
      </c>
      <c r="L8740" t="s">
        <v>18958</v>
      </c>
      <c r="M8740" t="s">
        <v>18960</v>
      </c>
      <c r="N8740" t="s">
        <v>25245</v>
      </c>
      <c r="O8740" t="s">
        <v>26524</v>
      </c>
      <c r="P8740" t="s">
        <v>26563</v>
      </c>
      <c r="R8740" t="s">
        <v>26582</v>
      </c>
      <c r="S8740" t="s">
        <v>18959</v>
      </c>
      <c r="U8740" t="s">
        <v>26604</v>
      </c>
      <c r="W8740" t="s">
        <v>838</v>
      </c>
      <c r="X8740">
        <v>900</v>
      </c>
      <c r="Y8740" t="s">
        <v>26651</v>
      </c>
      <c r="Z8740" t="s">
        <v>26668</v>
      </c>
      <c r="AB8740" t="s">
        <v>33029</v>
      </c>
      <c r="AD8740" t="s">
        <v>43635</v>
      </c>
      <c r="AE8740">
        <v>0</v>
      </c>
      <c r="AF8740" t="s">
        <v>45547</v>
      </c>
      <c r="AG8740" t="s">
        <v>19330</v>
      </c>
      <c r="AH8740">
        <v>2</v>
      </c>
      <c r="AI8740">
        <v>1</v>
      </c>
      <c r="AJ8740">
        <v>0</v>
      </c>
      <c r="AK8740">
        <v>384.31</v>
      </c>
      <c r="AN8740" t="s">
        <v>7439</v>
      </c>
      <c r="AO8740">
        <v>48000</v>
      </c>
      <c r="AU8740">
        <v>1</v>
      </c>
      <c r="AV8740" t="s">
        <v>838</v>
      </c>
      <c r="AW8740" t="s">
        <v>46875</v>
      </c>
      <c r="AX8740" t="s">
        <v>46897</v>
      </c>
    </row>
    <row r="8741" spans="1:50">
      <c r="A8741" s="1">
        <f>HYPERLINK("https://lsnyc.legalserver.org/matter/dynamic-profile/view/1903455","19-1903455")</f>
        <v>0</v>
      </c>
      <c r="B8741" t="s">
        <v>144</v>
      </c>
      <c r="C8741" t="s">
        <v>340</v>
      </c>
      <c r="D8741" t="s">
        <v>838</v>
      </c>
      <c r="F8741" t="s">
        <v>2493</v>
      </c>
      <c r="G8741" t="s">
        <v>6710</v>
      </c>
      <c r="H8741" t="s">
        <v>12024</v>
      </c>
      <c r="I8741" t="s">
        <v>17496</v>
      </c>
      <c r="J8741" t="s">
        <v>18893</v>
      </c>
      <c r="K8741">
        <v>10027</v>
      </c>
      <c r="L8741" t="s">
        <v>18958</v>
      </c>
      <c r="M8741" t="s">
        <v>18960</v>
      </c>
      <c r="N8741" t="s">
        <v>25246</v>
      </c>
      <c r="O8741" t="s">
        <v>26524</v>
      </c>
      <c r="P8741" t="s">
        <v>26560</v>
      </c>
      <c r="R8741" t="s">
        <v>26580</v>
      </c>
      <c r="S8741" t="s">
        <v>18959</v>
      </c>
      <c r="U8741" t="s">
        <v>26604</v>
      </c>
      <c r="W8741" t="s">
        <v>838</v>
      </c>
      <c r="X8741">
        <v>1183</v>
      </c>
      <c r="Y8741" t="s">
        <v>26651</v>
      </c>
      <c r="Z8741" t="s">
        <v>26664</v>
      </c>
      <c r="AB8741" t="s">
        <v>33030</v>
      </c>
      <c r="AC8741" t="s">
        <v>35388</v>
      </c>
      <c r="AD8741" t="s">
        <v>39355</v>
      </c>
      <c r="AE8741">
        <v>0</v>
      </c>
      <c r="AF8741" t="s">
        <v>45541</v>
      </c>
      <c r="AG8741" t="s">
        <v>45557</v>
      </c>
      <c r="AH8741">
        <v>2</v>
      </c>
      <c r="AI8741">
        <v>1</v>
      </c>
      <c r="AJ8741">
        <v>1</v>
      </c>
      <c r="AK8741">
        <v>20.08</v>
      </c>
      <c r="AN8741" t="s">
        <v>7439</v>
      </c>
      <c r="AO8741">
        <v>3396</v>
      </c>
      <c r="AU8741">
        <v>1</v>
      </c>
      <c r="AV8741" t="s">
        <v>838</v>
      </c>
      <c r="AW8741" t="s">
        <v>46875</v>
      </c>
      <c r="AX8741" t="s">
        <v>46898</v>
      </c>
    </row>
    <row r="8742" spans="1:50">
      <c r="A8742" s="1">
        <f>HYPERLINK("https://lsnyc.legalserver.org/matter/dynamic-profile/view/1903492","19-1903492")</f>
        <v>0</v>
      </c>
      <c r="B8742" t="s">
        <v>280</v>
      </c>
      <c r="C8742" t="s">
        <v>340</v>
      </c>
      <c r="D8742" t="s">
        <v>838</v>
      </c>
      <c r="F8742" t="s">
        <v>887</v>
      </c>
      <c r="G8742" t="s">
        <v>8802</v>
      </c>
      <c r="H8742" t="s">
        <v>15596</v>
      </c>
      <c r="I8742" t="s">
        <v>17414</v>
      </c>
      <c r="J8742" t="s">
        <v>18900</v>
      </c>
      <c r="K8742">
        <v>11354</v>
      </c>
      <c r="L8742" t="s">
        <v>18958</v>
      </c>
      <c r="M8742" t="s">
        <v>18960</v>
      </c>
      <c r="N8742" t="s">
        <v>24880</v>
      </c>
      <c r="O8742" t="s">
        <v>26534</v>
      </c>
      <c r="P8742" t="s">
        <v>26561</v>
      </c>
      <c r="R8742" t="s">
        <v>26578</v>
      </c>
      <c r="S8742" t="s">
        <v>18958</v>
      </c>
      <c r="U8742" t="s">
        <v>26604</v>
      </c>
      <c r="V8742" t="s">
        <v>26610</v>
      </c>
      <c r="W8742" t="s">
        <v>838</v>
      </c>
      <c r="X8742">
        <v>0</v>
      </c>
      <c r="Y8742" t="s">
        <v>26653</v>
      </c>
      <c r="Z8742" t="s">
        <v>26660</v>
      </c>
      <c r="AB8742" t="s">
        <v>33031</v>
      </c>
      <c r="AE8742">
        <v>91</v>
      </c>
      <c r="AF8742" t="s">
        <v>45541</v>
      </c>
      <c r="AG8742" t="s">
        <v>19330</v>
      </c>
      <c r="AH8742">
        <v>26</v>
      </c>
      <c r="AI8742">
        <v>2</v>
      </c>
      <c r="AJ8742">
        <v>0</v>
      </c>
      <c r="AK8742">
        <v>0</v>
      </c>
      <c r="AN8742" t="s">
        <v>45581</v>
      </c>
      <c r="AO8742">
        <v>0</v>
      </c>
      <c r="AU8742">
        <v>0.15</v>
      </c>
      <c r="AV8742" t="s">
        <v>838</v>
      </c>
      <c r="AW8742" t="s">
        <v>280</v>
      </c>
      <c r="AX8742" t="s">
        <v>46897</v>
      </c>
    </row>
    <row r="8743" spans="1:50">
      <c r="A8743" s="1">
        <f>HYPERLINK("https://lsnyc.legalserver.org/matter/dynamic-profile/view/1903490","19-1903490")</f>
        <v>0</v>
      </c>
      <c r="B8743" t="s">
        <v>280</v>
      </c>
      <c r="C8743" t="s">
        <v>340</v>
      </c>
      <c r="D8743" t="s">
        <v>838</v>
      </c>
      <c r="F8743" t="s">
        <v>875</v>
      </c>
      <c r="G8743" t="s">
        <v>6424</v>
      </c>
      <c r="H8743" t="s">
        <v>15596</v>
      </c>
      <c r="I8743" t="s">
        <v>17803</v>
      </c>
      <c r="J8743" t="s">
        <v>18900</v>
      </c>
      <c r="K8743">
        <v>11354</v>
      </c>
      <c r="L8743" t="s">
        <v>18958</v>
      </c>
      <c r="M8743" t="s">
        <v>18960</v>
      </c>
      <c r="N8743" t="s">
        <v>24880</v>
      </c>
      <c r="O8743" t="s">
        <v>26534</v>
      </c>
      <c r="P8743" t="s">
        <v>26561</v>
      </c>
      <c r="R8743" t="s">
        <v>26578</v>
      </c>
      <c r="S8743" t="s">
        <v>18958</v>
      </c>
      <c r="U8743" t="s">
        <v>26604</v>
      </c>
      <c r="V8743" t="s">
        <v>26610</v>
      </c>
      <c r="W8743" t="s">
        <v>838</v>
      </c>
      <c r="X8743">
        <v>1044.47</v>
      </c>
      <c r="Y8743" t="s">
        <v>26653</v>
      </c>
      <c r="Z8743" t="s">
        <v>26667</v>
      </c>
      <c r="AB8743" t="s">
        <v>32678</v>
      </c>
      <c r="AE8743">
        <v>91</v>
      </c>
      <c r="AF8743" t="s">
        <v>45541</v>
      </c>
      <c r="AG8743" t="s">
        <v>19330</v>
      </c>
      <c r="AH8743">
        <v>17</v>
      </c>
      <c r="AI8743">
        <v>2</v>
      </c>
      <c r="AJ8743">
        <v>0</v>
      </c>
      <c r="AK8743">
        <v>100.53</v>
      </c>
      <c r="AN8743" t="s">
        <v>45581</v>
      </c>
      <c r="AO8743">
        <v>17000</v>
      </c>
      <c r="AU8743">
        <v>0.15</v>
      </c>
      <c r="AV8743" t="s">
        <v>838</v>
      </c>
      <c r="AW8743" t="s">
        <v>280</v>
      </c>
      <c r="AX8743" t="s">
        <v>46897</v>
      </c>
    </row>
    <row r="8744" spans="1:50">
      <c r="A8744" s="1">
        <f>HYPERLINK("https://lsnyc.legalserver.org/matter/dynamic-profile/view/1903493","19-1903493")</f>
        <v>0</v>
      </c>
      <c r="B8744" t="s">
        <v>280</v>
      </c>
      <c r="C8744" t="s">
        <v>340</v>
      </c>
      <c r="D8744" t="s">
        <v>838</v>
      </c>
      <c r="F8744" t="s">
        <v>1244</v>
      </c>
      <c r="G8744" t="s">
        <v>5939</v>
      </c>
      <c r="H8744" t="s">
        <v>15597</v>
      </c>
      <c r="I8744" t="s">
        <v>17574</v>
      </c>
      <c r="J8744" t="s">
        <v>18900</v>
      </c>
      <c r="K8744">
        <v>11354</v>
      </c>
      <c r="L8744" t="s">
        <v>18958</v>
      </c>
      <c r="M8744" t="s">
        <v>18960</v>
      </c>
      <c r="N8744" t="s">
        <v>24880</v>
      </c>
      <c r="O8744" t="s">
        <v>26534</v>
      </c>
      <c r="P8744" t="s">
        <v>26561</v>
      </c>
      <c r="R8744" t="s">
        <v>26578</v>
      </c>
      <c r="S8744" t="s">
        <v>18958</v>
      </c>
      <c r="U8744" t="s">
        <v>26604</v>
      </c>
      <c r="V8744" t="s">
        <v>26610</v>
      </c>
      <c r="W8744" t="s">
        <v>838</v>
      </c>
      <c r="X8744">
        <v>1009</v>
      </c>
      <c r="Y8744" t="s">
        <v>26653</v>
      </c>
      <c r="Z8744" t="s">
        <v>26660</v>
      </c>
      <c r="AB8744" t="s">
        <v>33032</v>
      </c>
      <c r="AD8744" t="s">
        <v>43636</v>
      </c>
      <c r="AE8744">
        <v>91</v>
      </c>
      <c r="AF8744" t="s">
        <v>45541</v>
      </c>
      <c r="AG8744" t="s">
        <v>19330</v>
      </c>
      <c r="AH8744">
        <v>17</v>
      </c>
      <c r="AI8744">
        <v>1</v>
      </c>
      <c r="AJ8744">
        <v>0</v>
      </c>
      <c r="AK8744">
        <v>120.1</v>
      </c>
      <c r="AN8744" t="s">
        <v>45581</v>
      </c>
      <c r="AO8744">
        <v>15000</v>
      </c>
      <c r="AU8744">
        <v>0</v>
      </c>
      <c r="AW8744" t="s">
        <v>280</v>
      </c>
      <c r="AX8744" t="s">
        <v>46897</v>
      </c>
    </row>
    <row r="8745" spans="1:50">
      <c r="A8745" s="1">
        <f>HYPERLINK("https://lsnyc.legalserver.org/matter/dynamic-profile/view/1903494","19-1903494")</f>
        <v>0</v>
      </c>
      <c r="B8745" t="s">
        <v>280</v>
      </c>
      <c r="C8745" t="s">
        <v>340</v>
      </c>
      <c r="D8745" t="s">
        <v>838</v>
      </c>
      <c r="F8745" t="s">
        <v>982</v>
      </c>
      <c r="G8745" t="s">
        <v>5706</v>
      </c>
      <c r="H8745" t="s">
        <v>15598</v>
      </c>
      <c r="I8745" t="s">
        <v>18598</v>
      </c>
      <c r="J8745" t="s">
        <v>18900</v>
      </c>
      <c r="K8745">
        <v>11354</v>
      </c>
      <c r="L8745" t="s">
        <v>18958</v>
      </c>
      <c r="M8745" t="s">
        <v>18960</v>
      </c>
      <c r="N8745" t="s">
        <v>24880</v>
      </c>
      <c r="O8745" t="s">
        <v>26534</v>
      </c>
      <c r="P8745" t="s">
        <v>26561</v>
      </c>
      <c r="R8745" t="s">
        <v>26578</v>
      </c>
      <c r="S8745" t="s">
        <v>18958</v>
      </c>
      <c r="U8745" t="s">
        <v>26604</v>
      </c>
      <c r="V8745" t="s">
        <v>26610</v>
      </c>
      <c r="W8745" t="s">
        <v>838</v>
      </c>
      <c r="X8745">
        <v>0</v>
      </c>
      <c r="Y8745" t="s">
        <v>26653</v>
      </c>
      <c r="Z8745" t="s">
        <v>26660</v>
      </c>
      <c r="AB8745" t="s">
        <v>27848</v>
      </c>
      <c r="AD8745" t="s">
        <v>43637</v>
      </c>
      <c r="AE8745">
        <v>91</v>
      </c>
      <c r="AF8745" t="s">
        <v>45541</v>
      </c>
      <c r="AG8745" t="s">
        <v>19330</v>
      </c>
      <c r="AH8745">
        <v>1</v>
      </c>
      <c r="AI8745">
        <v>2</v>
      </c>
      <c r="AJ8745">
        <v>0</v>
      </c>
      <c r="AK8745">
        <v>325.25</v>
      </c>
      <c r="AM8745" t="s">
        <v>45575</v>
      </c>
      <c r="AN8745" t="s">
        <v>7439</v>
      </c>
      <c r="AO8745">
        <v>55000</v>
      </c>
      <c r="AU8745">
        <v>0.15</v>
      </c>
      <c r="AV8745" t="s">
        <v>838</v>
      </c>
      <c r="AW8745" t="s">
        <v>280</v>
      </c>
      <c r="AX8745" t="s">
        <v>46897</v>
      </c>
    </row>
    <row r="8746" spans="1:50">
      <c r="A8746" s="1">
        <f>HYPERLINK("https://lsnyc.legalserver.org/matter/dynamic-profile/view/1903368","19-1903368")</f>
        <v>0</v>
      </c>
      <c r="B8746" t="s">
        <v>208</v>
      </c>
      <c r="C8746" t="s">
        <v>340</v>
      </c>
      <c r="D8746" t="s">
        <v>838</v>
      </c>
      <c r="F8746" t="s">
        <v>1551</v>
      </c>
      <c r="G8746" t="s">
        <v>5434</v>
      </c>
      <c r="H8746" t="s">
        <v>15599</v>
      </c>
      <c r="I8746" t="s">
        <v>17355</v>
      </c>
      <c r="J8746" t="s">
        <v>18913</v>
      </c>
      <c r="K8746">
        <v>11106</v>
      </c>
      <c r="L8746" t="s">
        <v>18958</v>
      </c>
      <c r="M8746" t="s">
        <v>18960</v>
      </c>
      <c r="N8746" t="s">
        <v>25247</v>
      </c>
      <c r="O8746" t="s">
        <v>26543</v>
      </c>
      <c r="P8746" t="s">
        <v>26563</v>
      </c>
      <c r="R8746" t="s">
        <v>26584</v>
      </c>
      <c r="S8746" t="s">
        <v>18959</v>
      </c>
      <c r="U8746" t="s">
        <v>26604</v>
      </c>
      <c r="W8746" t="s">
        <v>838</v>
      </c>
      <c r="X8746">
        <v>271</v>
      </c>
      <c r="Y8746" t="s">
        <v>26653</v>
      </c>
      <c r="Z8746" t="s">
        <v>26664</v>
      </c>
      <c r="AB8746" t="s">
        <v>33033</v>
      </c>
      <c r="AC8746" t="s">
        <v>36569</v>
      </c>
      <c r="AD8746" t="s">
        <v>43638</v>
      </c>
      <c r="AE8746">
        <v>0</v>
      </c>
      <c r="AG8746" t="s">
        <v>19330</v>
      </c>
      <c r="AH8746">
        <v>23</v>
      </c>
      <c r="AI8746">
        <v>1</v>
      </c>
      <c r="AJ8746">
        <v>0</v>
      </c>
      <c r="AK8746">
        <v>73.98</v>
      </c>
      <c r="AN8746" t="s">
        <v>7439</v>
      </c>
      <c r="AO8746">
        <v>9240</v>
      </c>
      <c r="AU8746">
        <v>1.1</v>
      </c>
      <c r="AV8746" t="s">
        <v>838</v>
      </c>
      <c r="AW8746" t="s">
        <v>208</v>
      </c>
      <c r="AX8746" t="s">
        <v>46897</v>
      </c>
    </row>
    <row r="8747" spans="1:50">
      <c r="A8747" s="1">
        <f>HYPERLINK("https://lsnyc.legalserver.org/matter/dynamic-profile/view/1903387","19-1903387")</f>
        <v>0</v>
      </c>
      <c r="B8747" t="s">
        <v>278</v>
      </c>
      <c r="C8747" t="s">
        <v>340</v>
      </c>
      <c r="D8747" t="s">
        <v>838</v>
      </c>
      <c r="F8747" t="s">
        <v>4358</v>
      </c>
      <c r="G8747" t="s">
        <v>8803</v>
      </c>
      <c r="H8747" t="s">
        <v>10547</v>
      </c>
      <c r="I8747" t="s">
        <v>17461</v>
      </c>
      <c r="J8747" t="s">
        <v>18902</v>
      </c>
      <c r="K8747">
        <v>10303</v>
      </c>
      <c r="L8747" t="s">
        <v>18958</v>
      </c>
      <c r="M8747" t="s">
        <v>18960</v>
      </c>
      <c r="N8747" t="s">
        <v>25248</v>
      </c>
      <c r="O8747" t="s">
        <v>26523</v>
      </c>
      <c r="R8747" t="s">
        <v>26590</v>
      </c>
      <c r="S8747" t="s">
        <v>18959</v>
      </c>
      <c r="U8747" t="s">
        <v>26604</v>
      </c>
      <c r="V8747" t="s">
        <v>26610</v>
      </c>
      <c r="W8747" t="s">
        <v>838</v>
      </c>
      <c r="X8747">
        <v>756</v>
      </c>
      <c r="Y8747" t="s">
        <v>26654</v>
      </c>
      <c r="Z8747" t="s">
        <v>26668</v>
      </c>
      <c r="AB8747" t="s">
        <v>28994</v>
      </c>
      <c r="AD8747" t="s">
        <v>43639</v>
      </c>
      <c r="AE8747">
        <v>0</v>
      </c>
      <c r="AF8747" t="s">
        <v>45543</v>
      </c>
      <c r="AG8747" t="s">
        <v>19330</v>
      </c>
      <c r="AH8747">
        <v>4</v>
      </c>
      <c r="AI8747">
        <v>1</v>
      </c>
      <c r="AJ8747">
        <v>2</v>
      </c>
      <c r="AK8747">
        <v>146.27</v>
      </c>
      <c r="AN8747" t="s">
        <v>7439</v>
      </c>
      <c r="AO8747">
        <v>31200</v>
      </c>
      <c r="AU8747">
        <v>0</v>
      </c>
      <c r="AW8747" t="s">
        <v>46883</v>
      </c>
      <c r="AX8747" t="s">
        <v>46897</v>
      </c>
    </row>
    <row r="8748" spans="1:50">
      <c r="A8748" s="1">
        <f>HYPERLINK("https://lsnyc.legalserver.org/matter/dynamic-profile/view/1903419","19-1903419")</f>
        <v>0</v>
      </c>
      <c r="B8748" t="s">
        <v>66</v>
      </c>
      <c r="C8748" t="s">
        <v>340</v>
      </c>
      <c r="D8748" t="s">
        <v>838</v>
      </c>
      <c r="F8748" t="s">
        <v>3253</v>
      </c>
      <c r="G8748" t="s">
        <v>8793</v>
      </c>
      <c r="H8748" t="s">
        <v>12486</v>
      </c>
      <c r="I8748" t="s">
        <v>17316</v>
      </c>
      <c r="J8748" t="s">
        <v>18893</v>
      </c>
      <c r="K8748">
        <v>10027</v>
      </c>
      <c r="L8748" t="s">
        <v>18958</v>
      </c>
      <c r="M8748" t="s">
        <v>18960</v>
      </c>
      <c r="N8748" t="s">
        <v>25249</v>
      </c>
      <c r="O8748" t="s">
        <v>26523</v>
      </c>
      <c r="P8748" t="s">
        <v>26560</v>
      </c>
      <c r="R8748" t="s">
        <v>26580</v>
      </c>
      <c r="S8748" t="s">
        <v>18959</v>
      </c>
      <c r="U8748" t="s">
        <v>26604</v>
      </c>
      <c r="V8748" t="s">
        <v>26610</v>
      </c>
      <c r="W8748" t="s">
        <v>838</v>
      </c>
      <c r="X8748">
        <v>780</v>
      </c>
      <c r="Y8748" t="s">
        <v>26651</v>
      </c>
      <c r="Z8748" t="s">
        <v>26664</v>
      </c>
      <c r="AB8748" t="s">
        <v>32753</v>
      </c>
      <c r="AD8748" t="s">
        <v>43640</v>
      </c>
      <c r="AE8748">
        <v>0</v>
      </c>
      <c r="AF8748" t="s">
        <v>45541</v>
      </c>
      <c r="AG8748" t="s">
        <v>19330</v>
      </c>
      <c r="AH8748">
        <v>21</v>
      </c>
      <c r="AI8748">
        <v>1</v>
      </c>
      <c r="AJ8748">
        <v>0</v>
      </c>
      <c r="AK8748">
        <v>89.51000000000001</v>
      </c>
      <c r="AN8748" t="s">
        <v>7439</v>
      </c>
      <c r="AO8748">
        <v>11180</v>
      </c>
      <c r="AU8748">
        <v>0.75</v>
      </c>
      <c r="AV8748" t="s">
        <v>839</v>
      </c>
      <c r="AW8748" t="s">
        <v>314</v>
      </c>
      <c r="AX8748" t="s">
        <v>46897</v>
      </c>
    </row>
    <row r="8749" spans="1:50">
      <c r="A8749" s="1">
        <f>HYPERLINK("https://lsnyc.legalserver.org/matter/dynamic-profile/view/1903467","19-1903467")</f>
        <v>0</v>
      </c>
      <c r="B8749" t="s">
        <v>94</v>
      </c>
      <c r="C8749" t="s">
        <v>340</v>
      </c>
      <c r="D8749" t="s">
        <v>838</v>
      </c>
      <c r="F8749" t="s">
        <v>886</v>
      </c>
      <c r="G8749" t="s">
        <v>5806</v>
      </c>
      <c r="H8749" t="s">
        <v>15600</v>
      </c>
      <c r="I8749" t="s">
        <v>17277</v>
      </c>
      <c r="J8749" t="s">
        <v>18893</v>
      </c>
      <c r="K8749">
        <v>10026</v>
      </c>
      <c r="L8749" t="s">
        <v>18958</v>
      </c>
      <c r="M8749" t="s">
        <v>18960</v>
      </c>
      <c r="N8749" t="s">
        <v>25250</v>
      </c>
      <c r="O8749" t="s">
        <v>26523</v>
      </c>
      <c r="P8749" t="s">
        <v>26560</v>
      </c>
      <c r="R8749" t="s">
        <v>26580</v>
      </c>
      <c r="S8749" t="s">
        <v>18959</v>
      </c>
      <c r="U8749" t="s">
        <v>26604</v>
      </c>
      <c r="V8749" t="s">
        <v>26610</v>
      </c>
      <c r="W8749" t="s">
        <v>838</v>
      </c>
      <c r="X8749">
        <v>1295.99</v>
      </c>
      <c r="Y8749" t="s">
        <v>26651</v>
      </c>
      <c r="Z8749" t="s">
        <v>26664</v>
      </c>
      <c r="AB8749" t="s">
        <v>26816</v>
      </c>
      <c r="AC8749" t="s">
        <v>36570</v>
      </c>
      <c r="AD8749" t="s">
        <v>43641</v>
      </c>
      <c r="AE8749">
        <v>0</v>
      </c>
      <c r="AF8749" t="s">
        <v>45541</v>
      </c>
      <c r="AG8749" t="s">
        <v>19330</v>
      </c>
      <c r="AH8749">
        <v>26</v>
      </c>
      <c r="AI8749">
        <v>2</v>
      </c>
      <c r="AJ8749">
        <v>1</v>
      </c>
      <c r="AK8749">
        <v>120.17</v>
      </c>
      <c r="AN8749" t="s">
        <v>7439</v>
      </c>
      <c r="AO8749">
        <v>25632</v>
      </c>
      <c r="AU8749">
        <v>1</v>
      </c>
      <c r="AV8749" t="s">
        <v>838</v>
      </c>
      <c r="AW8749" t="s">
        <v>314</v>
      </c>
      <c r="AX8749" t="s">
        <v>46898</v>
      </c>
    </row>
    <row r="8750" spans="1:50">
      <c r="A8750" s="1">
        <f>HYPERLINK("https://lsnyc.legalserver.org/matter/dynamic-profile/view/1903460","19-1903460")</f>
        <v>0</v>
      </c>
      <c r="B8750" t="s">
        <v>94</v>
      </c>
      <c r="C8750" t="s">
        <v>340</v>
      </c>
      <c r="D8750" t="s">
        <v>838</v>
      </c>
      <c r="F8750" t="s">
        <v>2098</v>
      </c>
      <c r="G8750" t="s">
        <v>8804</v>
      </c>
      <c r="H8750" t="s">
        <v>11211</v>
      </c>
      <c r="I8750" t="s">
        <v>17275</v>
      </c>
      <c r="J8750" t="s">
        <v>18893</v>
      </c>
      <c r="K8750">
        <v>10027</v>
      </c>
      <c r="L8750" t="s">
        <v>18958</v>
      </c>
      <c r="M8750" t="s">
        <v>18960</v>
      </c>
      <c r="N8750" t="s">
        <v>25251</v>
      </c>
      <c r="O8750" t="s">
        <v>26523</v>
      </c>
      <c r="P8750" t="s">
        <v>26560</v>
      </c>
      <c r="R8750" t="s">
        <v>26580</v>
      </c>
      <c r="S8750" t="s">
        <v>18959</v>
      </c>
      <c r="U8750" t="s">
        <v>26604</v>
      </c>
      <c r="V8750" t="s">
        <v>26610</v>
      </c>
      <c r="W8750" t="s">
        <v>838</v>
      </c>
      <c r="X8750">
        <v>0</v>
      </c>
      <c r="Y8750" t="s">
        <v>26651</v>
      </c>
      <c r="Z8750" t="s">
        <v>26664</v>
      </c>
      <c r="AB8750" t="s">
        <v>33034</v>
      </c>
      <c r="AD8750" t="s">
        <v>43642</v>
      </c>
      <c r="AE8750">
        <v>0</v>
      </c>
      <c r="AF8750" t="s">
        <v>20460</v>
      </c>
      <c r="AG8750" t="s">
        <v>45556</v>
      </c>
      <c r="AH8750">
        <v>15</v>
      </c>
      <c r="AI8750">
        <v>1</v>
      </c>
      <c r="AJ8750">
        <v>0</v>
      </c>
      <c r="AK8750">
        <v>192.15</v>
      </c>
      <c r="AN8750" t="s">
        <v>7439</v>
      </c>
      <c r="AO8750">
        <v>24000</v>
      </c>
      <c r="AU8750">
        <v>1</v>
      </c>
      <c r="AV8750" t="s">
        <v>838</v>
      </c>
      <c r="AW8750" t="s">
        <v>314</v>
      </c>
      <c r="AX8750" t="s">
        <v>46897</v>
      </c>
    </row>
    <row r="8751" spans="1:50">
      <c r="A8751" s="1">
        <f>HYPERLINK("https://lsnyc.legalserver.org/matter/dynamic-profile/view/1903377","19-1903377")</f>
        <v>0</v>
      </c>
      <c r="B8751" t="s">
        <v>285</v>
      </c>
      <c r="C8751" t="s">
        <v>340</v>
      </c>
      <c r="D8751" t="s">
        <v>838</v>
      </c>
      <c r="F8751" t="s">
        <v>1004</v>
      </c>
      <c r="G8751" t="s">
        <v>8805</v>
      </c>
      <c r="H8751" t="s">
        <v>10733</v>
      </c>
      <c r="I8751" t="s">
        <v>17355</v>
      </c>
      <c r="J8751" t="s">
        <v>18902</v>
      </c>
      <c r="K8751">
        <v>10303</v>
      </c>
      <c r="L8751" t="s">
        <v>18958</v>
      </c>
      <c r="M8751" t="s">
        <v>18960</v>
      </c>
      <c r="N8751" t="s">
        <v>25252</v>
      </c>
      <c r="O8751" t="s">
        <v>26523</v>
      </c>
      <c r="R8751" t="s">
        <v>26590</v>
      </c>
      <c r="S8751" t="s">
        <v>18959</v>
      </c>
      <c r="U8751" t="s">
        <v>26604</v>
      </c>
      <c r="V8751" t="s">
        <v>26610</v>
      </c>
      <c r="W8751" t="s">
        <v>838</v>
      </c>
      <c r="X8751">
        <v>401</v>
      </c>
      <c r="Y8751" t="s">
        <v>26654</v>
      </c>
      <c r="Z8751" t="s">
        <v>26668</v>
      </c>
      <c r="AB8751" t="s">
        <v>27889</v>
      </c>
      <c r="AD8751" t="s">
        <v>43643</v>
      </c>
      <c r="AE8751">
        <v>0</v>
      </c>
      <c r="AF8751" t="s">
        <v>45543</v>
      </c>
      <c r="AG8751" t="s">
        <v>19330</v>
      </c>
      <c r="AH8751">
        <v>7</v>
      </c>
      <c r="AI8751">
        <v>2</v>
      </c>
      <c r="AJ8751">
        <v>0</v>
      </c>
      <c r="AK8751">
        <v>182.66</v>
      </c>
      <c r="AN8751" t="s">
        <v>7439</v>
      </c>
      <c r="AO8751">
        <v>30888</v>
      </c>
      <c r="AU8751">
        <v>0</v>
      </c>
      <c r="AW8751" t="s">
        <v>46883</v>
      </c>
      <c r="AX8751" t="s">
        <v>46897</v>
      </c>
    </row>
    <row r="8752" spans="1:50">
      <c r="A8752" s="1">
        <f>HYPERLINK("https://lsnyc.legalserver.org/matter/dynamic-profile/view/1903330","19-1903330")</f>
        <v>0</v>
      </c>
      <c r="B8752" t="s">
        <v>243</v>
      </c>
      <c r="C8752" t="s">
        <v>340</v>
      </c>
      <c r="D8752" t="s">
        <v>838</v>
      </c>
      <c r="F8752" t="s">
        <v>1191</v>
      </c>
      <c r="G8752" t="s">
        <v>8806</v>
      </c>
      <c r="H8752" t="s">
        <v>15601</v>
      </c>
      <c r="J8752" t="s">
        <v>18894</v>
      </c>
      <c r="K8752">
        <v>11220</v>
      </c>
      <c r="L8752" t="s">
        <v>18958</v>
      </c>
      <c r="M8752" t="s">
        <v>18960</v>
      </c>
      <c r="P8752" t="s">
        <v>26560</v>
      </c>
      <c r="R8752" t="s">
        <v>26578</v>
      </c>
      <c r="S8752" t="s">
        <v>18959</v>
      </c>
      <c r="U8752" t="s">
        <v>26604</v>
      </c>
      <c r="W8752" t="s">
        <v>838</v>
      </c>
      <c r="X8752">
        <v>0</v>
      </c>
      <c r="Y8752" t="s">
        <v>26652</v>
      </c>
      <c r="AB8752" t="s">
        <v>33035</v>
      </c>
      <c r="AE8752">
        <v>0</v>
      </c>
      <c r="AH8752">
        <v>0</v>
      </c>
      <c r="AI8752">
        <v>1</v>
      </c>
      <c r="AJ8752">
        <v>1</v>
      </c>
      <c r="AK8752">
        <v>74.87</v>
      </c>
      <c r="AN8752" t="s">
        <v>7439</v>
      </c>
      <c r="AO8752">
        <v>12660</v>
      </c>
      <c r="AU8752">
        <v>0</v>
      </c>
      <c r="AW8752" t="s">
        <v>219</v>
      </c>
      <c r="AX8752" t="s">
        <v>46897</v>
      </c>
    </row>
    <row r="8753" spans="1:50">
      <c r="A8753" s="1">
        <f>HYPERLINK("https://lsnyc.legalserver.org/matter/dynamic-profile/view/1903357","19-1903357")</f>
        <v>0</v>
      </c>
      <c r="B8753" t="s">
        <v>212</v>
      </c>
      <c r="C8753" t="s">
        <v>340</v>
      </c>
      <c r="D8753" t="s">
        <v>838</v>
      </c>
      <c r="F8753" t="s">
        <v>4359</v>
      </c>
      <c r="G8753" t="s">
        <v>8807</v>
      </c>
      <c r="H8753" t="s">
        <v>15602</v>
      </c>
      <c r="I8753" t="s">
        <v>17491</v>
      </c>
      <c r="J8753" t="s">
        <v>18954</v>
      </c>
      <c r="K8753">
        <v>11420</v>
      </c>
      <c r="L8753" t="s">
        <v>18958</v>
      </c>
      <c r="M8753" t="s">
        <v>18960</v>
      </c>
      <c r="N8753" t="s">
        <v>25253</v>
      </c>
      <c r="O8753" t="s">
        <v>26524</v>
      </c>
      <c r="P8753" t="s">
        <v>26560</v>
      </c>
      <c r="R8753" t="s">
        <v>26578</v>
      </c>
      <c r="S8753" t="s">
        <v>18959</v>
      </c>
      <c r="U8753" t="s">
        <v>26604</v>
      </c>
      <c r="W8753" t="s">
        <v>838</v>
      </c>
      <c r="X8753">
        <v>1450</v>
      </c>
      <c r="Y8753" t="s">
        <v>26653</v>
      </c>
      <c r="Z8753" t="s">
        <v>26664</v>
      </c>
      <c r="AB8753" t="s">
        <v>33036</v>
      </c>
      <c r="AD8753" t="s">
        <v>43644</v>
      </c>
      <c r="AE8753">
        <v>2</v>
      </c>
      <c r="AF8753" t="s">
        <v>20460</v>
      </c>
      <c r="AG8753" t="s">
        <v>19330</v>
      </c>
      <c r="AH8753">
        <v>2</v>
      </c>
      <c r="AI8753">
        <v>1</v>
      </c>
      <c r="AJ8753">
        <v>2</v>
      </c>
      <c r="AK8753">
        <v>22.5</v>
      </c>
      <c r="AN8753" t="s">
        <v>7439</v>
      </c>
      <c r="AO8753">
        <v>4800</v>
      </c>
      <c r="AU8753">
        <v>0.9</v>
      </c>
      <c r="AV8753" t="s">
        <v>839</v>
      </c>
      <c r="AW8753" t="s">
        <v>208</v>
      </c>
      <c r="AX8753" t="s">
        <v>46897</v>
      </c>
    </row>
    <row r="8754" spans="1:50">
      <c r="A8754" s="1">
        <f>HYPERLINK("https://lsnyc.legalserver.org/matter/dynamic-profile/view/1903379","19-1903379")</f>
        <v>0</v>
      </c>
      <c r="B8754" t="s">
        <v>212</v>
      </c>
      <c r="C8754" t="s">
        <v>340</v>
      </c>
      <c r="D8754" t="s">
        <v>838</v>
      </c>
      <c r="F8754" t="s">
        <v>891</v>
      </c>
      <c r="G8754" t="s">
        <v>5008</v>
      </c>
      <c r="H8754" t="s">
        <v>15603</v>
      </c>
      <c r="I8754" t="s">
        <v>17491</v>
      </c>
      <c r="J8754" t="s">
        <v>18940</v>
      </c>
      <c r="K8754">
        <v>11413</v>
      </c>
      <c r="L8754" t="s">
        <v>18958</v>
      </c>
      <c r="M8754" t="s">
        <v>18960</v>
      </c>
      <c r="N8754" t="s">
        <v>25254</v>
      </c>
      <c r="O8754" t="s">
        <v>26523</v>
      </c>
      <c r="P8754" t="s">
        <v>26563</v>
      </c>
      <c r="R8754" t="s">
        <v>26578</v>
      </c>
      <c r="S8754" t="s">
        <v>18959</v>
      </c>
      <c r="U8754" t="s">
        <v>26604</v>
      </c>
      <c r="W8754" t="s">
        <v>838</v>
      </c>
      <c r="X8754">
        <v>2000</v>
      </c>
      <c r="Y8754" t="s">
        <v>26653</v>
      </c>
      <c r="Z8754" t="s">
        <v>26664</v>
      </c>
      <c r="AB8754" t="s">
        <v>33037</v>
      </c>
      <c r="AC8754" t="s">
        <v>36571</v>
      </c>
      <c r="AD8754" t="s">
        <v>43645</v>
      </c>
      <c r="AE8754">
        <v>2</v>
      </c>
      <c r="AF8754" t="s">
        <v>20460</v>
      </c>
      <c r="AG8754" t="s">
        <v>19330</v>
      </c>
      <c r="AH8754">
        <v>-1</v>
      </c>
      <c r="AI8754">
        <v>2</v>
      </c>
      <c r="AJ8754">
        <v>1</v>
      </c>
      <c r="AK8754">
        <v>42.19</v>
      </c>
      <c r="AN8754" t="s">
        <v>7439</v>
      </c>
      <c r="AO8754">
        <v>9000</v>
      </c>
      <c r="AU8754">
        <v>0.9</v>
      </c>
      <c r="AV8754" t="s">
        <v>839</v>
      </c>
      <c r="AW8754" t="s">
        <v>208</v>
      </c>
      <c r="AX8754" t="s">
        <v>46897</v>
      </c>
    </row>
    <row r="8755" spans="1:50">
      <c r="A8755" s="1">
        <f>HYPERLINK("https://lsnyc.legalserver.org/matter/dynamic-profile/view/1903393","19-1903393")</f>
        <v>0</v>
      </c>
      <c r="B8755" t="s">
        <v>212</v>
      </c>
      <c r="C8755" t="s">
        <v>340</v>
      </c>
      <c r="D8755" t="s">
        <v>838</v>
      </c>
      <c r="F8755" t="s">
        <v>986</v>
      </c>
      <c r="G8755" t="s">
        <v>8808</v>
      </c>
      <c r="H8755" t="s">
        <v>15604</v>
      </c>
      <c r="I8755" t="s">
        <v>17520</v>
      </c>
      <c r="J8755" t="s">
        <v>18911</v>
      </c>
      <c r="K8755">
        <v>11375</v>
      </c>
      <c r="L8755" t="s">
        <v>18958</v>
      </c>
      <c r="M8755" t="s">
        <v>18960</v>
      </c>
      <c r="N8755" t="s">
        <v>25255</v>
      </c>
      <c r="O8755" t="s">
        <v>26523</v>
      </c>
      <c r="P8755" t="s">
        <v>26560</v>
      </c>
      <c r="R8755" t="s">
        <v>26578</v>
      </c>
      <c r="S8755" t="s">
        <v>18959</v>
      </c>
      <c r="U8755" t="s">
        <v>26604</v>
      </c>
      <c r="W8755" t="s">
        <v>838</v>
      </c>
      <c r="X8755">
        <v>890</v>
      </c>
      <c r="Y8755" t="s">
        <v>26653</v>
      </c>
      <c r="Z8755" t="s">
        <v>26664</v>
      </c>
      <c r="AB8755" t="s">
        <v>33038</v>
      </c>
      <c r="AD8755" t="s">
        <v>43646</v>
      </c>
      <c r="AE8755">
        <v>33</v>
      </c>
      <c r="AF8755" t="s">
        <v>20460</v>
      </c>
      <c r="AG8755" t="s">
        <v>19330</v>
      </c>
      <c r="AH8755">
        <v>40</v>
      </c>
      <c r="AI8755">
        <v>1</v>
      </c>
      <c r="AJ8755">
        <v>0</v>
      </c>
      <c r="AK8755">
        <v>192.15</v>
      </c>
      <c r="AN8755" t="s">
        <v>7439</v>
      </c>
      <c r="AO8755">
        <v>24000</v>
      </c>
      <c r="AU8755">
        <v>0.9</v>
      </c>
      <c r="AV8755" t="s">
        <v>839</v>
      </c>
      <c r="AW8755" t="s">
        <v>208</v>
      </c>
      <c r="AX8755" t="s">
        <v>46897</v>
      </c>
    </row>
    <row r="8756" spans="1:50">
      <c r="A8756" s="1">
        <f>HYPERLINK("https://lsnyc.legalserver.org/matter/dynamic-profile/view/1903424","19-1903424")</f>
        <v>0</v>
      </c>
      <c r="B8756" t="s">
        <v>212</v>
      </c>
      <c r="C8756" t="s">
        <v>340</v>
      </c>
      <c r="D8756" t="s">
        <v>838</v>
      </c>
      <c r="F8756" t="s">
        <v>1973</v>
      </c>
      <c r="G8756" t="s">
        <v>5078</v>
      </c>
      <c r="H8756" t="s">
        <v>15605</v>
      </c>
      <c r="I8756" t="s">
        <v>17491</v>
      </c>
      <c r="J8756" t="s">
        <v>18901</v>
      </c>
      <c r="K8756">
        <v>11435</v>
      </c>
      <c r="L8756" t="s">
        <v>18958</v>
      </c>
      <c r="M8756" t="s">
        <v>18960</v>
      </c>
      <c r="N8756" t="s">
        <v>25256</v>
      </c>
      <c r="O8756" t="s">
        <v>26524</v>
      </c>
      <c r="P8756" t="s">
        <v>26563</v>
      </c>
      <c r="R8756" t="s">
        <v>26584</v>
      </c>
      <c r="S8756" t="s">
        <v>18959</v>
      </c>
      <c r="U8756" t="s">
        <v>26604</v>
      </c>
      <c r="V8756" t="s">
        <v>26610</v>
      </c>
      <c r="W8756" t="s">
        <v>838</v>
      </c>
      <c r="X8756">
        <v>1100</v>
      </c>
      <c r="Y8756" t="s">
        <v>26653</v>
      </c>
      <c r="Z8756" t="s">
        <v>26664</v>
      </c>
      <c r="AB8756" t="s">
        <v>33039</v>
      </c>
      <c r="AC8756" t="s">
        <v>36572</v>
      </c>
      <c r="AD8756" t="s">
        <v>43647</v>
      </c>
      <c r="AE8756">
        <v>2</v>
      </c>
      <c r="AF8756" t="s">
        <v>45547</v>
      </c>
      <c r="AG8756" t="s">
        <v>19330</v>
      </c>
      <c r="AH8756">
        <v>6</v>
      </c>
      <c r="AI8756">
        <v>1</v>
      </c>
      <c r="AJ8756">
        <v>2</v>
      </c>
      <c r="AK8756">
        <v>150.02</v>
      </c>
      <c r="AN8756" t="s">
        <v>45581</v>
      </c>
      <c r="AO8756">
        <v>32000</v>
      </c>
      <c r="AU8756">
        <v>0.8</v>
      </c>
      <c r="AV8756" t="s">
        <v>838</v>
      </c>
      <c r="AW8756" t="s">
        <v>208</v>
      </c>
      <c r="AX8756" t="s">
        <v>46897</v>
      </c>
    </row>
    <row r="8757" spans="1:50">
      <c r="A8757" s="1">
        <f>HYPERLINK("https://lsnyc.legalserver.org/matter/dynamic-profile/view/1903352","19-1903352")</f>
        <v>0</v>
      </c>
      <c r="B8757" t="s">
        <v>103</v>
      </c>
      <c r="C8757" t="s">
        <v>340</v>
      </c>
      <c r="D8757" t="s">
        <v>838</v>
      </c>
      <c r="F8757" t="s">
        <v>871</v>
      </c>
      <c r="G8757" t="s">
        <v>8809</v>
      </c>
      <c r="H8757" t="s">
        <v>15606</v>
      </c>
      <c r="J8757" t="s">
        <v>18902</v>
      </c>
      <c r="K8757">
        <v>10303</v>
      </c>
      <c r="L8757" t="s">
        <v>18958</v>
      </c>
      <c r="M8757" t="s">
        <v>18960</v>
      </c>
      <c r="N8757" t="s">
        <v>25257</v>
      </c>
      <c r="O8757" t="s">
        <v>26524</v>
      </c>
      <c r="R8757" t="s">
        <v>26590</v>
      </c>
      <c r="S8757" t="s">
        <v>18959</v>
      </c>
      <c r="U8757" t="s">
        <v>26604</v>
      </c>
      <c r="V8757" t="s">
        <v>26610</v>
      </c>
      <c r="W8757" t="s">
        <v>838</v>
      </c>
      <c r="X8757">
        <v>1515</v>
      </c>
      <c r="Y8757" t="s">
        <v>26654</v>
      </c>
      <c r="Z8757" t="s">
        <v>26668</v>
      </c>
      <c r="AB8757" t="s">
        <v>29555</v>
      </c>
      <c r="AC8757" t="s">
        <v>36573</v>
      </c>
      <c r="AD8757" t="s">
        <v>43648</v>
      </c>
      <c r="AE8757">
        <v>1</v>
      </c>
      <c r="AF8757" t="s">
        <v>45547</v>
      </c>
      <c r="AG8757" t="s">
        <v>45558</v>
      </c>
      <c r="AH8757">
        <v>-1</v>
      </c>
      <c r="AI8757">
        <v>1</v>
      </c>
      <c r="AJ8757">
        <v>3</v>
      </c>
      <c r="AK8757">
        <v>11.09</v>
      </c>
      <c r="AN8757" t="s">
        <v>7439</v>
      </c>
      <c r="AO8757">
        <v>2856</v>
      </c>
      <c r="AU8757">
        <v>0</v>
      </c>
      <c r="AW8757" t="s">
        <v>46883</v>
      </c>
      <c r="AX8757" t="s">
        <v>46897</v>
      </c>
    </row>
    <row r="8758" spans="1:50">
      <c r="A8758" s="1">
        <f>HYPERLINK("https://lsnyc.legalserver.org/matter/dynamic-profile/view/1903397","19-1903397")</f>
        <v>0</v>
      </c>
      <c r="B8758" t="s">
        <v>104</v>
      </c>
      <c r="C8758" t="s">
        <v>340</v>
      </c>
      <c r="D8758" t="s">
        <v>838</v>
      </c>
      <c r="F8758" t="s">
        <v>954</v>
      </c>
      <c r="G8758" t="s">
        <v>8810</v>
      </c>
      <c r="H8758" t="s">
        <v>11697</v>
      </c>
      <c r="I8758" t="s">
        <v>17480</v>
      </c>
      <c r="J8758" t="s">
        <v>18902</v>
      </c>
      <c r="K8758">
        <v>10303</v>
      </c>
      <c r="L8758" t="s">
        <v>18958</v>
      </c>
      <c r="M8758" t="s">
        <v>18960</v>
      </c>
      <c r="N8758" t="s">
        <v>25258</v>
      </c>
      <c r="O8758" t="s">
        <v>26523</v>
      </c>
      <c r="R8758" t="s">
        <v>26590</v>
      </c>
      <c r="S8758" t="s">
        <v>18959</v>
      </c>
      <c r="U8758" t="s">
        <v>26606</v>
      </c>
      <c r="V8758" t="s">
        <v>26610</v>
      </c>
      <c r="W8758" t="s">
        <v>838</v>
      </c>
      <c r="X8758">
        <v>1000</v>
      </c>
      <c r="Y8758" t="s">
        <v>26654</v>
      </c>
      <c r="Z8758" t="s">
        <v>26668</v>
      </c>
      <c r="AB8758" t="s">
        <v>33040</v>
      </c>
      <c r="AC8758" t="s">
        <v>36574</v>
      </c>
      <c r="AD8758" t="s">
        <v>43649</v>
      </c>
      <c r="AE8758">
        <v>0</v>
      </c>
      <c r="AF8758" t="s">
        <v>20460</v>
      </c>
      <c r="AG8758" t="s">
        <v>19330</v>
      </c>
      <c r="AH8758">
        <v>10</v>
      </c>
      <c r="AI8758">
        <v>1</v>
      </c>
      <c r="AJ8758">
        <v>3</v>
      </c>
      <c r="AK8758">
        <v>20.19</v>
      </c>
      <c r="AN8758" t="s">
        <v>7439</v>
      </c>
      <c r="AO8758">
        <v>5200</v>
      </c>
      <c r="AU8758">
        <v>0</v>
      </c>
      <c r="AW8758" t="s">
        <v>46883</v>
      </c>
      <c r="AX8758" t="s">
        <v>46897</v>
      </c>
    </row>
    <row r="8759" spans="1:50">
      <c r="A8759" s="1">
        <f>HYPERLINK("https://lsnyc.legalserver.org/matter/dynamic-profile/view/1903386","19-1903386")</f>
        <v>0</v>
      </c>
      <c r="B8759" t="s">
        <v>91</v>
      </c>
      <c r="C8759" t="s">
        <v>340</v>
      </c>
      <c r="D8759" t="s">
        <v>838</v>
      </c>
      <c r="F8759" t="s">
        <v>1607</v>
      </c>
      <c r="G8759" t="s">
        <v>8811</v>
      </c>
      <c r="H8759" t="s">
        <v>15607</v>
      </c>
      <c r="I8759" t="s">
        <v>18457</v>
      </c>
      <c r="J8759" t="s">
        <v>18907</v>
      </c>
      <c r="K8759">
        <v>11377</v>
      </c>
      <c r="L8759" t="s">
        <v>18958</v>
      </c>
      <c r="M8759" t="s">
        <v>18960</v>
      </c>
      <c r="N8759" t="s">
        <v>25259</v>
      </c>
      <c r="O8759" t="s">
        <v>26523</v>
      </c>
      <c r="P8759" t="s">
        <v>26563</v>
      </c>
      <c r="R8759" t="s">
        <v>26584</v>
      </c>
      <c r="S8759" t="s">
        <v>18959</v>
      </c>
      <c r="U8759" t="s">
        <v>26604</v>
      </c>
      <c r="W8759" t="s">
        <v>838</v>
      </c>
      <c r="X8759">
        <v>802</v>
      </c>
      <c r="Y8759" t="s">
        <v>26653</v>
      </c>
      <c r="Z8759" t="s">
        <v>26664</v>
      </c>
      <c r="AB8759" t="s">
        <v>32727</v>
      </c>
      <c r="AC8759" t="s">
        <v>36575</v>
      </c>
      <c r="AD8759" t="s">
        <v>43650</v>
      </c>
      <c r="AE8759">
        <v>60</v>
      </c>
      <c r="AF8759" t="s">
        <v>20460</v>
      </c>
      <c r="AG8759" t="s">
        <v>19330</v>
      </c>
      <c r="AH8759">
        <v>25</v>
      </c>
      <c r="AI8759">
        <v>1</v>
      </c>
      <c r="AJ8759">
        <v>0</v>
      </c>
      <c r="AK8759">
        <v>48.04</v>
      </c>
      <c r="AN8759" t="s">
        <v>45581</v>
      </c>
      <c r="AO8759">
        <v>6000</v>
      </c>
      <c r="AU8759">
        <v>1.1</v>
      </c>
      <c r="AV8759" t="s">
        <v>838</v>
      </c>
      <c r="AW8759" t="s">
        <v>208</v>
      </c>
      <c r="AX8759" t="s">
        <v>46897</v>
      </c>
    </row>
    <row r="8760" spans="1:50">
      <c r="A8760" s="1">
        <f>HYPERLINK("https://lsnyc.legalserver.org/matter/dynamic-profile/view/1903412","19-1903412")</f>
        <v>0</v>
      </c>
      <c r="B8760" t="s">
        <v>91</v>
      </c>
      <c r="C8760" t="s">
        <v>340</v>
      </c>
      <c r="D8760" t="s">
        <v>838</v>
      </c>
      <c r="F8760" t="s">
        <v>2002</v>
      </c>
      <c r="G8760" t="s">
        <v>1685</v>
      </c>
      <c r="H8760" t="s">
        <v>15608</v>
      </c>
      <c r="I8760" t="s">
        <v>17436</v>
      </c>
      <c r="J8760" t="s">
        <v>18912</v>
      </c>
      <c r="K8760">
        <v>11374</v>
      </c>
      <c r="L8760" t="s">
        <v>18958</v>
      </c>
      <c r="M8760" t="s">
        <v>18960</v>
      </c>
      <c r="N8760" t="s">
        <v>25260</v>
      </c>
      <c r="O8760" t="s">
        <v>26524</v>
      </c>
      <c r="P8760" t="s">
        <v>26563</v>
      </c>
      <c r="R8760" t="s">
        <v>26584</v>
      </c>
      <c r="S8760" t="s">
        <v>18959</v>
      </c>
      <c r="U8760" t="s">
        <v>26604</v>
      </c>
      <c r="W8760" t="s">
        <v>838</v>
      </c>
      <c r="X8760">
        <v>1900</v>
      </c>
      <c r="Y8760" t="s">
        <v>26653</v>
      </c>
      <c r="Z8760" t="s">
        <v>26664</v>
      </c>
      <c r="AB8760" t="s">
        <v>33041</v>
      </c>
      <c r="AD8760" t="s">
        <v>43651</v>
      </c>
      <c r="AE8760">
        <v>54</v>
      </c>
      <c r="AF8760" t="s">
        <v>45541</v>
      </c>
      <c r="AG8760" t="s">
        <v>19330</v>
      </c>
      <c r="AH8760">
        <v>4</v>
      </c>
      <c r="AI8760">
        <v>2</v>
      </c>
      <c r="AJ8760">
        <v>1</v>
      </c>
      <c r="AK8760">
        <v>51.57</v>
      </c>
      <c r="AN8760" t="s">
        <v>7439</v>
      </c>
      <c r="AO8760">
        <v>11000</v>
      </c>
      <c r="AU8760">
        <v>1.1</v>
      </c>
      <c r="AV8760" t="s">
        <v>838</v>
      </c>
      <c r="AW8760" t="s">
        <v>208</v>
      </c>
      <c r="AX8760" t="s">
        <v>46897</v>
      </c>
    </row>
    <row r="8761" spans="1:50">
      <c r="A8761" s="1">
        <f>HYPERLINK("https://lsnyc.legalserver.org/matter/dynamic-profile/view/1903409","19-1903409")</f>
        <v>0</v>
      </c>
      <c r="B8761" t="s">
        <v>194</v>
      </c>
      <c r="C8761" t="s">
        <v>340</v>
      </c>
      <c r="D8761" t="s">
        <v>838</v>
      </c>
      <c r="F8761" t="s">
        <v>4360</v>
      </c>
      <c r="G8761" t="s">
        <v>5266</v>
      </c>
      <c r="H8761" t="s">
        <v>15609</v>
      </c>
      <c r="I8761" t="s">
        <v>17801</v>
      </c>
      <c r="J8761" t="s">
        <v>18893</v>
      </c>
      <c r="K8761">
        <v>10027</v>
      </c>
      <c r="L8761" t="s">
        <v>18958</v>
      </c>
      <c r="M8761" t="s">
        <v>18960</v>
      </c>
      <c r="N8761" t="s">
        <v>25261</v>
      </c>
      <c r="O8761" t="s">
        <v>26523</v>
      </c>
      <c r="P8761" t="s">
        <v>26560</v>
      </c>
      <c r="R8761" t="s">
        <v>26580</v>
      </c>
      <c r="S8761" t="s">
        <v>18959</v>
      </c>
      <c r="U8761" t="s">
        <v>26605</v>
      </c>
      <c r="W8761" t="s">
        <v>838</v>
      </c>
      <c r="X8761">
        <v>408</v>
      </c>
      <c r="Y8761" t="s">
        <v>26651</v>
      </c>
      <c r="Z8761" t="s">
        <v>26664</v>
      </c>
      <c r="AB8761" t="s">
        <v>33042</v>
      </c>
      <c r="AC8761" t="s">
        <v>36576</v>
      </c>
      <c r="AD8761" t="s">
        <v>43652</v>
      </c>
      <c r="AE8761">
        <v>0</v>
      </c>
      <c r="AF8761" t="s">
        <v>45549</v>
      </c>
      <c r="AG8761" t="s">
        <v>19330</v>
      </c>
      <c r="AH8761">
        <v>15</v>
      </c>
      <c r="AI8761">
        <v>1</v>
      </c>
      <c r="AJ8761">
        <v>3</v>
      </c>
      <c r="AK8761">
        <v>0</v>
      </c>
      <c r="AN8761" t="s">
        <v>7439</v>
      </c>
      <c r="AO8761">
        <v>0</v>
      </c>
      <c r="AU8761">
        <v>0</v>
      </c>
      <c r="AW8761" t="s">
        <v>46875</v>
      </c>
      <c r="AX8761" t="s">
        <v>46898</v>
      </c>
    </row>
    <row r="8762" spans="1:50">
      <c r="A8762" s="1">
        <f>HYPERLINK("https://lsnyc.legalserver.org/matter/dynamic-profile/view/1901615","19-1901615")</f>
        <v>0</v>
      </c>
      <c r="B8762" t="s">
        <v>85</v>
      </c>
      <c r="C8762" t="s">
        <v>340</v>
      </c>
      <c r="D8762" t="s">
        <v>828</v>
      </c>
      <c r="F8762" t="s">
        <v>1975</v>
      </c>
      <c r="G8762" t="s">
        <v>1685</v>
      </c>
      <c r="H8762" t="s">
        <v>15610</v>
      </c>
      <c r="I8762" t="s">
        <v>17288</v>
      </c>
      <c r="J8762" t="s">
        <v>18946</v>
      </c>
      <c r="K8762">
        <v>11372</v>
      </c>
      <c r="L8762" t="s">
        <v>18958</v>
      </c>
      <c r="M8762" t="s">
        <v>18960</v>
      </c>
      <c r="N8762" t="s">
        <v>25262</v>
      </c>
      <c r="O8762" t="s">
        <v>26523</v>
      </c>
      <c r="P8762" t="s">
        <v>26560</v>
      </c>
      <c r="R8762" t="s">
        <v>26584</v>
      </c>
      <c r="S8762" t="s">
        <v>18959</v>
      </c>
      <c r="U8762" t="s">
        <v>26604</v>
      </c>
      <c r="V8762" t="s">
        <v>26609</v>
      </c>
      <c r="W8762" t="s">
        <v>839</v>
      </c>
      <c r="X8762">
        <v>960</v>
      </c>
      <c r="Y8762" t="s">
        <v>26653</v>
      </c>
      <c r="Z8762" t="s">
        <v>26664</v>
      </c>
      <c r="AB8762" t="s">
        <v>33043</v>
      </c>
      <c r="AC8762" t="s">
        <v>36577</v>
      </c>
      <c r="AD8762" t="s">
        <v>43653</v>
      </c>
      <c r="AE8762">
        <v>55</v>
      </c>
      <c r="AF8762" t="s">
        <v>45547</v>
      </c>
      <c r="AG8762" t="s">
        <v>19330</v>
      </c>
      <c r="AH8762">
        <v>8</v>
      </c>
      <c r="AI8762">
        <v>4</v>
      </c>
      <c r="AJ8762">
        <v>1</v>
      </c>
      <c r="AK8762">
        <v>25.61</v>
      </c>
      <c r="AN8762" t="s">
        <v>7439</v>
      </c>
      <c r="AO8762">
        <v>7728</v>
      </c>
      <c r="AU8762">
        <v>1.92</v>
      </c>
      <c r="AV8762" t="s">
        <v>839</v>
      </c>
      <c r="AW8762" t="s">
        <v>46846</v>
      </c>
    </row>
    <row r="8763" spans="1:50">
      <c r="A8763" s="1">
        <f>HYPERLINK("https://lsnyc.legalserver.org/matter/dynamic-profile/view/1903544","19-1903544")</f>
        <v>0</v>
      </c>
      <c r="B8763" t="s">
        <v>260</v>
      </c>
      <c r="C8763" t="s">
        <v>340</v>
      </c>
      <c r="D8763" t="s">
        <v>839</v>
      </c>
      <c r="F8763" t="s">
        <v>3089</v>
      </c>
      <c r="G8763" t="s">
        <v>5169</v>
      </c>
      <c r="H8763" t="s">
        <v>10374</v>
      </c>
      <c r="I8763">
        <v>5</v>
      </c>
      <c r="J8763" t="s">
        <v>18893</v>
      </c>
      <c r="K8763">
        <v>10034</v>
      </c>
      <c r="L8763" t="s">
        <v>18958</v>
      </c>
      <c r="M8763" t="s">
        <v>18960</v>
      </c>
      <c r="O8763" t="s">
        <v>26539</v>
      </c>
      <c r="P8763" t="s">
        <v>26565</v>
      </c>
      <c r="R8763" t="s">
        <v>26578</v>
      </c>
      <c r="S8763" t="s">
        <v>18959</v>
      </c>
      <c r="U8763" t="s">
        <v>26604</v>
      </c>
      <c r="W8763" t="s">
        <v>839</v>
      </c>
      <c r="X8763">
        <v>694.16</v>
      </c>
      <c r="Y8763" t="s">
        <v>26651</v>
      </c>
      <c r="Z8763" t="s">
        <v>26659</v>
      </c>
      <c r="AB8763" t="s">
        <v>30449</v>
      </c>
      <c r="AD8763" t="s">
        <v>40621</v>
      </c>
      <c r="AE8763">
        <v>25</v>
      </c>
      <c r="AG8763" t="s">
        <v>45559</v>
      </c>
      <c r="AH8763">
        <v>0</v>
      </c>
      <c r="AI8763">
        <v>2</v>
      </c>
      <c r="AJ8763">
        <v>0</v>
      </c>
      <c r="AK8763">
        <v>141.93</v>
      </c>
      <c r="AN8763" t="s">
        <v>7439</v>
      </c>
      <c r="AO8763">
        <v>24000</v>
      </c>
      <c r="AU8763">
        <v>3.2</v>
      </c>
      <c r="AV8763" t="s">
        <v>839</v>
      </c>
      <c r="AW8763" t="s">
        <v>46840</v>
      </c>
      <c r="AX8763" t="s">
        <v>46897</v>
      </c>
    </row>
    <row r="8764" spans="1:50">
      <c r="A8764" s="1">
        <f>HYPERLINK("https://lsnyc.legalserver.org/matter/dynamic-profile/view/1903496","19-1903496")</f>
        <v>0</v>
      </c>
      <c r="B8764" t="s">
        <v>280</v>
      </c>
      <c r="C8764" t="s">
        <v>340</v>
      </c>
      <c r="D8764" t="s">
        <v>839</v>
      </c>
      <c r="F8764" t="s">
        <v>2074</v>
      </c>
      <c r="G8764" t="s">
        <v>5571</v>
      </c>
      <c r="H8764" t="s">
        <v>15598</v>
      </c>
      <c r="I8764" t="s">
        <v>17326</v>
      </c>
      <c r="J8764" t="s">
        <v>18900</v>
      </c>
      <c r="K8764">
        <v>11354</v>
      </c>
      <c r="L8764" t="s">
        <v>18958</v>
      </c>
      <c r="M8764" t="s">
        <v>18960</v>
      </c>
      <c r="N8764" t="s">
        <v>24880</v>
      </c>
      <c r="O8764" t="s">
        <v>26534</v>
      </c>
      <c r="P8764" t="s">
        <v>26561</v>
      </c>
      <c r="R8764" t="s">
        <v>26578</v>
      </c>
      <c r="S8764" t="s">
        <v>18958</v>
      </c>
      <c r="U8764" t="s">
        <v>26604</v>
      </c>
      <c r="V8764" t="s">
        <v>26610</v>
      </c>
      <c r="W8764" t="s">
        <v>839</v>
      </c>
      <c r="X8764">
        <v>1666.84</v>
      </c>
      <c r="Y8764" t="s">
        <v>26653</v>
      </c>
      <c r="Z8764" t="s">
        <v>26660</v>
      </c>
      <c r="AE8764">
        <v>91</v>
      </c>
      <c r="AF8764" t="s">
        <v>45541</v>
      </c>
      <c r="AG8764" t="s">
        <v>19330</v>
      </c>
      <c r="AH8764">
        <v>7</v>
      </c>
      <c r="AI8764">
        <v>2</v>
      </c>
      <c r="AJ8764">
        <v>0</v>
      </c>
      <c r="AK8764">
        <v>177.41</v>
      </c>
      <c r="AN8764" t="s">
        <v>45581</v>
      </c>
      <c r="AO8764">
        <v>30000</v>
      </c>
      <c r="AU8764">
        <v>0.15</v>
      </c>
      <c r="AV8764" t="s">
        <v>839</v>
      </c>
      <c r="AW8764" t="s">
        <v>280</v>
      </c>
      <c r="AX8764" t="s">
        <v>46897</v>
      </c>
    </row>
    <row r="8765" spans="1:50">
      <c r="A8765" s="1">
        <f>HYPERLINK("https://lsnyc.legalserver.org/matter/dynamic-profile/view/1903515","19-1903515")</f>
        <v>0</v>
      </c>
      <c r="B8765" t="s">
        <v>85</v>
      </c>
      <c r="C8765" t="s">
        <v>340</v>
      </c>
      <c r="D8765" t="s">
        <v>839</v>
      </c>
      <c r="F8765" t="s">
        <v>4361</v>
      </c>
      <c r="G8765" t="s">
        <v>8812</v>
      </c>
      <c r="H8765" t="s">
        <v>15611</v>
      </c>
      <c r="I8765">
        <v>620</v>
      </c>
      <c r="J8765" t="s">
        <v>18900</v>
      </c>
      <c r="K8765">
        <v>11355</v>
      </c>
      <c r="L8765" t="s">
        <v>18958</v>
      </c>
      <c r="M8765" t="s">
        <v>18960</v>
      </c>
      <c r="N8765" t="s">
        <v>25263</v>
      </c>
      <c r="O8765" t="s">
        <v>26523</v>
      </c>
      <c r="P8765" t="s">
        <v>26563</v>
      </c>
      <c r="R8765" t="s">
        <v>26584</v>
      </c>
      <c r="S8765" t="s">
        <v>18959</v>
      </c>
      <c r="U8765" t="s">
        <v>26604</v>
      </c>
      <c r="W8765" t="s">
        <v>839</v>
      </c>
      <c r="X8765">
        <v>964</v>
      </c>
      <c r="Y8765" t="s">
        <v>26653</v>
      </c>
      <c r="Z8765" t="s">
        <v>26664</v>
      </c>
      <c r="AB8765" t="s">
        <v>29348</v>
      </c>
      <c r="AC8765" t="s">
        <v>36578</v>
      </c>
      <c r="AD8765" t="s">
        <v>34738</v>
      </c>
      <c r="AE8765">
        <v>60</v>
      </c>
      <c r="AF8765" t="s">
        <v>20460</v>
      </c>
      <c r="AG8765" t="s">
        <v>45557</v>
      </c>
      <c r="AH8765">
        <v>24</v>
      </c>
      <c r="AI8765">
        <v>3</v>
      </c>
      <c r="AJ8765">
        <v>2</v>
      </c>
      <c r="AK8765">
        <v>34.13</v>
      </c>
      <c r="AN8765" t="s">
        <v>45581</v>
      </c>
      <c r="AO8765">
        <v>10296</v>
      </c>
      <c r="AU8765">
        <v>0.3</v>
      </c>
      <c r="AV8765" t="s">
        <v>839</v>
      </c>
      <c r="AW8765" t="s">
        <v>208</v>
      </c>
      <c r="AX8765" t="s">
        <v>46897</v>
      </c>
    </row>
    <row r="8766" spans="1:50">
      <c r="A8766" s="1">
        <f>HYPERLINK("https://lsnyc.legalserver.org/matter/dynamic-profile/view/1903601","19-1903601")</f>
        <v>0</v>
      </c>
      <c r="B8766" t="s">
        <v>159</v>
      </c>
      <c r="C8766" t="s">
        <v>340</v>
      </c>
      <c r="D8766" t="s">
        <v>839</v>
      </c>
      <c r="F8766" t="s">
        <v>1191</v>
      </c>
      <c r="G8766" t="s">
        <v>8813</v>
      </c>
      <c r="H8766" t="s">
        <v>15612</v>
      </c>
      <c r="I8766" t="s">
        <v>17516</v>
      </c>
      <c r="J8766" t="s">
        <v>18901</v>
      </c>
      <c r="K8766">
        <v>11434</v>
      </c>
      <c r="L8766" t="s">
        <v>18958</v>
      </c>
      <c r="M8766" t="s">
        <v>18960</v>
      </c>
      <c r="N8766" t="s">
        <v>25264</v>
      </c>
      <c r="O8766" t="s">
        <v>26523</v>
      </c>
      <c r="P8766" t="s">
        <v>26563</v>
      </c>
      <c r="R8766" t="s">
        <v>26585</v>
      </c>
      <c r="S8766" t="s">
        <v>18959</v>
      </c>
      <c r="U8766" t="s">
        <v>26605</v>
      </c>
      <c r="W8766" t="s">
        <v>839</v>
      </c>
      <c r="X8766">
        <v>1350</v>
      </c>
      <c r="Y8766" t="s">
        <v>26653</v>
      </c>
      <c r="Z8766" t="s">
        <v>26668</v>
      </c>
      <c r="AB8766" t="s">
        <v>33044</v>
      </c>
      <c r="AD8766" t="s">
        <v>43654</v>
      </c>
      <c r="AE8766">
        <v>0</v>
      </c>
      <c r="AF8766" t="s">
        <v>45550</v>
      </c>
      <c r="AG8766" t="s">
        <v>19330</v>
      </c>
      <c r="AH8766">
        <v>5</v>
      </c>
      <c r="AI8766">
        <v>1</v>
      </c>
      <c r="AJ8766">
        <v>2</v>
      </c>
      <c r="AK8766">
        <v>178.15</v>
      </c>
      <c r="AN8766" t="s">
        <v>7439</v>
      </c>
      <c r="AO8766">
        <v>38000</v>
      </c>
      <c r="AU8766">
        <v>0.2</v>
      </c>
      <c r="AV8766" t="s">
        <v>839</v>
      </c>
      <c r="AW8766" t="s">
        <v>208</v>
      </c>
      <c r="AX8766" t="s">
        <v>46897</v>
      </c>
    </row>
    <row r="8767" spans="1:50">
      <c r="A8767" s="1">
        <f>HYPERLINK("https://lsnyc.legalserver.org/matter/dynamic-profile/view/1903566","19-1903566")</f>
        <v>0</v>
      </c>
      <c r="B8767" t="s">
        <v>273</v>
      </c>
      <c r="C8767" t="s">
        <v>340</v>
      </c>
      <c r="D8767" t="s">
        <v>839</v>
      </c>
      <c r="F8767" t="s">
        <v>1119</v>
      </c>
      <c r="G8767" t="s">
        <v>6362</v>
      </c>
      <c r="H8767" t="s">
        <v>15613</v>
      </c>
      <c r="I8767">
        <v>21</v>
      </c>
      <c r="J8767" t="s">
        <v>18893</v>
      </c>
      <c r="K8767">
        <v>10034</v>
      </c>
      <c r="L8767" t="s">
        <v>18958</v>
      </c>
      <c r="M8767" t="s">
        <v>18960</v>
      </c>
      <c r="P8767" t="s">
        <v>26563</v>
      </c>
      <c r="R8767" t="s">
        <v>26578</v>
      </c>
      <c r="S8767" t="s">
        <v>18958</v>
      </c>
      <c r="U8767" t="s">
        <v>26604</v>
      </c>
      <c r="W8767" t="s">
        <v>839</v>
      </c>
      <c r="X8767">
        <v>1540</v>
      </c>
      <c r="Y8767" t="s">
        <v>26651</v>
      </c>
      <c r="Z8767" t="s">
        <v>26659</v>
      </c>
      <c r="AB8767" t="s">
        <v>33045</v>
      </c>
      <c r="AD8767" t="s">
        <v>43655</v>
      </c>
      <c r="AE8767">
        <v>20</v>
      </c>
      <c r="AF8767" t="s">
        <v>45541</v>
      </c>
      <c r="AG8767" t="s">
        <v>19330</v>
      </c>
      <c r="AH8767">
        <v>23</v>
      </c>
      <c r="AI8767">
        <v>2</v>
      </c>
      <c r="AJ8767">
        <v>2</v>
      </c>
      <c r="AK8767">
        <v>116.5</v>
      </c>
      <c r="AN8767" t="s">
        <v>45581</v>
      </c>
      <c r="AO8767">
        <v>30000</v>
      </c>
      <c r="AU8767">
        <v>0</v>
      </c>
      <c r="AW8767" t="s">
        <v>46840</v>
      </c>
      <c r="AX8767" t="s">
        <v>46897</v>
      </c>
    </row>
    <row r="8768" spans="1:50">
      <c r="A8768" s="1">
        <f>HYPERLINK("https://lsnyc.legalserver.org/matter/dynamic-profile/view/1903592","19-1903592")</f>
        <v>0</v>
      </c>
      <c r="B8768" t="s">
        <v>112</v>
      </c>
      <c r="C8768" t="s">
        <v>340</v>
      </c>
      <c r="D8768" t="s">
        <v>839</v>
      </c>
      <c r="F8768" t="s">
        <v>931</v>
      </c>
      <c r="G8768" t="s">
        <v>7907</v>
      </c>
      <c r="H8768" t="s">
        <v>15614</v>
      </c>
      <c r="J8768" t="s">
        <v>18901</v>
      </c>
      <c r="K8768">
        <v>11433</v>
      </c>
      <c r="L8768" t="s">
        <v>18958</v>
      </c>
      <c r="M8768" t="s">
        <v>18960</v>
      </c>
      <c r="N8768" t="s">
        <v>25265</v>
      </c>
      <c r="O8768" t="s">
        <v>26524</v>
      </c>
      <c r="P8768" t="s">
        <v>26563</v>
      </c>
      <c r="R8768" t="s">
        <v>26585</v>
      </c>
      <c r="S8768" t="s">
        <v>18959</v>
      </c>
      <c r="U8768" t="s">
        <v>26604</v>
      </c>
      <c r="W8768" t="s">
        <v>839</v>
      </c>
      <c r="X8768">
        <v>0</v>
      </c>
      <c r="Y8768" t="s">
        <v>26653</v>
      </c>
      <c r="Z8768" t="s">
        <v>26668</v>
      </c>
      <c r="AB8768" t="s">
        <v>31199</v>
      </c>
      <c r="AD8768" t="s">
        <v>43656</v>
      </c>
      <c r="AE8768">
        <v>2</v>
      </c>
      <c r="AF8768" t="s">
        <v>20460</v>
      </c>
      <c r="AG8768" t="s">
        <v>19330</v>
      </c>
      <c r="AH8768">
        <v>6</v>
      </c>
      <c r="AI8768">
        <v>1</v>
      </c>
      <c r="AJ8768">
        <v>2</v>
      </c>
      <c r="AK8768">
        <v>0</v>
      </c>
      <c r="AN8768" t="s">
        <v>45581</v>
      </c>
      <c r="AO8768">
        <v>0</v>
      </c>
      <c r="AU8768">
        <v>0.2</v>
      </c>
      <c r="AV8768" t="s">
        <v>839</v>
      </c>
      <c r="AW8768" t="s">
        <v>208</v>
      </c>
      <c r="AX8768" t="s">
        <v>46897</v>
      </c>
    </row>
    <row r="8769" spans="1:50">
      <c r="A8769" s="1">
        <f>HYPERLINK("https://lsnyc.legalserver.org/matter/dynamic-profile/view/1903589","19-1903589")</f>
        <v>0</v>
      </c>
      <c r="B8769" t="s">
        <v>114</v>
      </c>
      <c r="C8769" t="s">
        <v>340</v>
      </c>
      <c r="D8769" t="s">
        <v>839</v>
      </c>
      <c r="F8769" t="s">
        <v>3534</v>
      </c>
      <c r="G8769" t="s">
        <v>8814</v>
      </c>
      <c r="H8769" t="s">
        <v>15615</v>
      </c>
      <c r="I8769" t="s">
        <v>17333</v>
      </c>
      <c r="J8769" t="s">
        <v>18941</v>
      </c>
      <c r="K8769">
        <v>11429</v>
      </c>
      <c r="L8769" t="s">
        <v>18958</v>
      </c>
      <c r="M8769" t="s">
        <v>18960</v>
      </c>
      <c r="N8769" t="s">
        <v>25266</v>
      </c>
      <c r="O8769" t="s">
        <v>26523</v>
      </c>
      <c r="R8769" t="s">
        <v>26584</v>
      </c>
      <c r="U8769" t="s">
        <v>26604</v>
      </c>
      <c r="W8769" t="s">
        <v>839</v>
      </c>
      <c r="X8769">
        <v>1600</v>
      </c>
      <c r="Y8769" t="s">
        <v>26653</v>
      </c>
      <c r="Z8769" t="s">
        <v>26664</v>
      </c>
      <c r="AB8769" t="s">
        <v>27495</v>
      </c>
      <c r="AD8769" t="s">
        <v>43657</v>
      </c>
      <c r="AE8769">
        <v>4</v>
      </c>
      <c r="AF8769" t="s">
        <v>45547</v>
      </c>
      <c r="AG8769" t="s">
        <v>19330</v>
      </c>
      <c r="AH8769">
        <v>1</v>
      </c>
      <c r="AI8769">
        <v>2</v>
      </c>
      <c r="AJ8769">
        <v>2</v>
      </c>
      <c r="AK8769">
        <v>194.17</v>
      </c>
      <c r="AO8769">
        <v>50000</v>
      </c>
      <c r="AU8769">
        <v>0.45</v>
      </c>
      <c r="AV8769" t="s">
        <v>839</v>
      </c>
      <c r="AW8769" t="s">
        <v>122</v>
      </c>
      <c r="AX8769" t="s">
        <v>46897</v>
      </c>
    </row>
    <row r="8770" spans="1:50">
      <c r="A8770" s="1">
        <f>HYPERLINK("https://lsnyc.legalserver.org/matter/dynamic-profile/view/1903535","19-1903535")</f>
        <v>0</v>
      </c>
      <c r="B8770" t="s">
        <v>235</v>
      </c>
      <c r="C8770" t="s">
        <v>340</v>
      </c>
      <c r="D8770" t="s">
        <v>839</v>
      </c>
      <c r="F8770" t="s">
        <v>4362</v>
      </c>
      <c r="G8770" t="s">
        <v>5086</v>
      </c>
      <c r="H8770" t="s">
        <v>15616</v>
      </c>
      <c r="I8770">
        <v>2</v>
      </c>
      <c r="J8770" t="s">
        <v>18901</v>
      </c>
      <c r="K8770">
        <v>11436</v>
      </c>
      <c r="L8770" t="s">
        <v>18958</v>
      </c>
      <c r="M8770" t="s">
        <v>18960</v>
      </c>
      <c r="N8770" t="s">
        <v>25267</v>
      </c>
      <c r="O8770" t="s">
        <v>26524</v>
      </c>
      <c r="P8770" t="s">
        <v>26563</v>
      </c>
      <c r="R8770" t="s">
        <v>26584</v>
      </c>
      <c r="S8770" t="s">
        <v>18959</v>
      </c>
      <c r="U8770" t="s">
        <v>26604</v>
      </c>
      <c r="W8770" t="s">
        <v>839</v>
      </c>
      <c r="X8770">
        <v>1515</v>
      </c>
      <c r="Y8770" t="s">
        <v>26653</v>
      </c>
      <c r="Z8770" t="s">
        <v>26664</v>
      </c>
      <c r="AB8770" t="s">
        <v>33046</v>
      </c>
      <c r="AC8770" t="s">
        <v>36579</v>
      </c>
      <c r="AD8770" t="s">
        <v>43658</v>
      </c>
      <c r="AE8770">
        <v>2</v>
      </c>
      <c r="AF8770" t="s">
        <v>20460</v>
      </c>
      <c r="AG8770" t="s">
        <v>45562</v>
      </c>
      <c r="AH8770">
        <v>4</v>
      </c>
      <c r="AI8770">
        <v>3</v>
      </c>
      <c r="AJ8770">
        <v>0</v>
      </c>
      <c r="AK8770">
        <v>183.97</v>
      </c>
      <c r="AN8770" t="s">
        <v>7439</v>
      </c>
      <c r="AO8770">
        <v>39240</v>
      </c>
      <c r="AU8770">
        <v>0.3</v>
      </c>
      <c r="AV8770" t="s">
        <v>839</v>
      </c>
      <c r="AW8770" t="s">
        <v>208</v>
      </c>
      <c r="AX8770" t="s">
        <v>46897</v>
      </c>
    </row>
    <row r="8771" spans="1:50">
      <c r="A8771" s="1">
        <f>HYPERLINK("https://lsnyc.legalserver.org/matter/dynamic-profile/view/1896360","19-1896360")</f>
        <v>0</v>
      </c>
      <c r="B8771" t="s">
        <v>116</v>
      </c>
      <c r="C8771" t="s">
        <v>340</v>
      </c>
      <c r="D8771" t="s">
        <v>724</v>
      </c>
      <c r="F8771" t="s">
        <v>4363</v>
      </c>
      <c r="G8771" t="s">
        <v>8815</v>
      </c>
      <c r="H8771" t="s">
        <v>15617</v>
      </c>
      <c r="I8771" t="s">
        <v>17763</v>
      </c>
      <c r="J8771" t="s">
        <v>18894</v>
      </c>
      <c r="K8771">
        <v>11212</v>
      </c>
      <c r="L8771" t="s">
        <v>18958</v>
      </c>
      <c r="M8771" t="s">
        <v>18959</v>
      </c>
      <c r="N8771" t="s">
        <v>25268</v>
      </c>
      <c r="O8771" t="s">
        <v>26524</v>
      </c>
      <c r="P8771" t="s">
        <v>26565</v>
      </c>
      <c r="R8771" t="s">
        <v>26578</v>
      </c>
      <c r="S8771" t="s">
        <v>18959</v>
      </c>
      <c r="U8771" t="s">
        <v>26604</v>
      </c>
      <c r="V8771" t="s">
        <v>26610</v>
      </c>
      <c r="W8771" t="s">
        <v>836</v>
      </c>
      <c r="X8771">
        <v>2100</v>
      </c>
      <c r="Y8771" t="s">
        <v>26652</v>
      </c>
      <c r="AB8771" t="s">
        <v>29060</v>
      </c>
      <c r="AD8771" t="s">
        <v>43659</v>
      </c>
      <c r="AE8771">
        <v>2</v>
      </c>
      <c r="AF8771" t="s">
        <v>45547</v>
      </c>
      <c r="AG8771" t="s">
        <v>19330</v>
      </c>
      <c r="AH8771">
        <v>5</v>
      </c>
      <c r="AI8771">
        <v>1</v>
      </c>
      <c r="AJ8771">
        <v>2</v>
      </c>
      <c r="AK8771">
        <v>42.76</v>
      </c>
      <c r="AN8771" t="s">
        <v>7439</v>
      </c>
      <c r="AO8771">
        <v>9120</v>
      </c>
      <c r="AT8771" t="s">
        <v>46809</v>
      </c>
      <c r="AU8771">
        <v>1</v>
      </c>
      <c r="AV8771" t="s">
        <v>724</v>
      </c>
      <c r="AW8771" t="s">
        <v>46859</v>
      </c>
      <c r="AX8771" t="s">
        <v>46897</v>
      </c>
    </row>
    <row r="8772" spans="1:50">
      <c r="A8772" s="1">
        <f>HYPERLINK("https://lsnyc.legalserver.org/matter/dynamic-profile/view/1903618","19-1903618")</f>
        <v>0</v>
      </c>
      <c r="B8772" t="s">
        <v>144</v>
      </c>
      <c r="C8772" t="s">
        <v>341</v>
      </c>
      <c r="D8772" t="s">
        <v>836</v>
      </c>
      <c r="E8772" t="s">
        <v>836</v>
      </c>
      <c r="F8772" t="s">
        <v>1025</v>
      </c>
      <c r="G8772" t="s">
        <v>5419</v>
      </c>
      <c r="H8772" t="s">
        <v>15618</v>
      </c>
      <c r="I8772" t="s">
        <v>17343</v>
      </c>
      <c r="J8772" t="s">
        <v>18893</v>
      </c>
      <c r="K8772">
        <v>10029</v>
      </c>
      <c r="L8772" t="s">
        <v>18958</v>
      </c>
      <c r="M8772" t="s">
        <v>18960</v>
      </c>
      <c r="N8772" t="s">
        <v>25269</v>
      </c>
      <c r="O8772" t="s">
        <v>26523</v>
      </c>
      <c r="P8772" t="s">
        <v>26563</v>
      </c>
      <c r="Q8772" t="s">
        <v>26570</v>
      </c>
      <c r="R8772" t="s">
        <v>26580</v>
      </c>
      <c r="S8772" t="s">
        <v>18959</v>
      </c>
      <c r="U8772" t="s">
        <v>26605</v>
      </c>
      <c r="V8772" t="s">
        <v>26610</v>
      </c>
      <c r="W8772" t="s">
        <v>836</v>
      </c>
      <c r="X8772">
        <v>370</v>
      </c>
      <c r="Y8772" t="s">
        <v>26651</v>
      </c>
      <c r="Z8772" t="s">
        <v>26664</v>
      </c>
      <c r="AA8772" t="s">
        <v>26683</v>
      </c>
      <c r="AB8772" t="s">
        <v>27264</v>
      </c>
      <c r="AD8772" t="s">
        <v>43660</v>
      </c>
      <c r="AE8772">
        <v>0</v>
      </c>
      <c r="AF8772" t="s">
        <v>45542</v>
      </c>
      <c r="AG8772" t="s">
        <v>19330</v>
      </c>
      <c r="AH8772">
        <v>21</v>
      </c>
      <c r="AI8772">
        <v>4</v>
      </c>
      <c r="AJ8772">
        <v>1</v>
      </c>
      <c r="AK8772">
        <v>10.06</v>
      </c>
      <c r="AN8772" t="s">
        <v>7439</v>
      </c>
      <c r="AO8772">
        <v>3036</v>
      </c>
      <c r="AU8772">
        <v>1</v>
      </c>
      <c r="AV8772" t="s">
        <v>836</v>
      </c>
      <c r="AW8772" t="s">
        <v>46835</v>
      </c>
      <c r="AX8772" t="s">
        <v>46897</v>
      </c>
    </row>
    <row r="8773" spans="1:50">
      <c r="A8773" s="1">
        <f>HYPERLINK("https://lsnyc.legalserver.org/matter/dynamic-profile/view/1903629","19-1903629")</f>
        <v>0</v>
      </c>
      <c r="B8773" t="s">
        <v>144</v>
      </c>
      <c r="C8773" t="s">
        <v>340</v>
      </c>
      <c r="D8773" t="s">
        <v>836</v>
      </c>
      <c r="F8773" t="s">
        <v>1043</v>
      </c>
      <c r="G8773" t="s">
        <v>5590</v>
      </c>
      <c r="H8773" t="s">
        <v>15619</v>
      </c>
      <c r="I8773" t="s">
        <v>18599</v>
      </c>
      <c r="J8773" t="s">
        <v>18893</v>
      </c>
      <c r="K8773">
        <v>10029</v>
      </c>
      <c r="L8773" t="s">
        <v>18958</v>
      </c>
      <c r="M8773" t="s">
        <v>18960</v>
      </c>
      <c r="N8773" t="s">
        <v>25270</v>
      </c>
      <c r="O8773" t="s">
        <v>26523</v>
      </c>
      <c r="P8773" t="s">
        <v>26563</v>
      </c>
      <c r="R8773" t="s">
        <v>26580</v>
      </c>
      <c r="S8773" t="s">
        <v>18959</v>
      </c>
      <c r="U8773" t="s">
        <v>26605</v>
      </c>
      <c r="V8773" t="s">
        <v>26610</v>
      </c>
      <c r="W8773" t="s">
        <v>836</v>
      </c>
      <c r="X8773">
        <v>482</v>
      </c>
      <c r="Y8773" t="s">
        <v>26651</v>
      </c>
      <c r="Z8773" t="s">
        <v>26664</v>
      </c>
      <c r="AB8773" t="s">
        <v>33047</v>
      </c>
      <c r="AD8773" t="s">
        <v>43661</v>
      </c>
      <c r="AE8773">
        <v>0</v>
      </c>
      <c r="AF8773" t="s">
        <v>45542</v>
      </c>
      <c r="AG8773" t="s">
        <v>19330</v>
      </c>
      <c r="AH8773">
        <v>2</v>
      </c>
      <c r="AI8773">
        <v>2</v>
      </c>
      <c r="AJ8773">
        <v>1</v>
      </c>
      <c r="AK8773">
        <v>67.51000000000001</v>
      </c>
      <c r="AN8773" t="s">
        <v>7439</v>
      </c>
      <c r="AO8773">
        <v>14400</v>
      </c>
      <c r="AU8773">
        <v>0</v>
      </c>
      <c r="AW8773" t="s">
        <v>46835</v>
      </c>
      <c r="AX8773" t="s">
        <v>46897</v>
      </c>
    </row>
    <row r="8774" spans="1:50">
      <c r="A8774" s="1">
        <f>HYPERLINK("https://lsnyc.legalserver.org/matter/dynamic-profile/view/1903613","19-1903613")</f>
        <v>0</v>
      </c>
      <c r="B8774" t="s">
        <v>183</v>
      </c>
      <c r="C8774" t="s">
        <v>340</v>
      </c>
      <c r="D8774" t="s">
        <v>836</v>
      </c>
      <c r="F8774" t="s">
        <v>4364</v>
      </c>
      <c r="G8774" t="s">
        <v>5269</v>
      </c>
      <c r="H8774" t="s">
        <v>15620</v>
      </c>
      <c r="I8774" t="s">
        <v>18298</v>
      </c>
      <c r="J8774" t="s">
        <v>18893</v>
      </c>
      <c r="K8774">
        <v>10029</v>
      </c>
      <c r="L8774" t="s">
        <v>18958</v>
      </c>
      <c r="M8774" t="s">
        <v>18960</v>
      </c>
      <c r="N8774" t="s">
        <v>25271</v>
      </c>
      <c r="O8774" t="s">
        <v>26523</v>
      </c>
      <c r="P8774" t="s">
        <v>26563</v>
      </c>
      <c r="R8774" t="s">
        <v>26580</v>
      </c>
      <c r="S8774" t="s">
        <v>18959</v>
      </c>
      <c r="U8774" t="s">
        <v>26605</v>
      </c>
      <c r="V8774" t="s">
        <v>26610</v>
      </c>
      <c r="W8774" t="s">
        <v>836</v>
      </c>
      <c r="X8774">
        <v>136.6</v>
      </c>
      <c r="Y8774" t="s">
        <v>26651</v>
      </c>
      <c r="Z8774" t="s">
        <v>26664</v>
      </c>
      <c r="AB8774" t="s">
        <v>33048</v>
      </c>
      <c r="AC8774" t="s">
        <v>36580</v>
      </c>
      <c r="AD8774" t="s">
        <v>43662</v>
      </c>
      <c r="AE8774">
        <v>0</v>
      </c>
      <c r="AF8774" t="s">
        <v>45542</v>
      </c>
      <c r="AG8774" t="s">
        <v>19330</v>
      </c>
      <c r="AH8774">
        <v>6</v>
      </c>
      <c r="AI8774">
        <v>1</v>
      </c>
      <c r="AJ8774">
        <v>1</v>
      </c>
      <c r="AK8774">
        <v>0</v>
      </c>
      <c r="AN8774" t="s">
        <v>7439</v>
      </c>
      <c r="AO8774">
        <v>0</v>
      </c>
      <c r="AU8774">
        <v>0.3</v>
      </c>
      <c r="AV8774" t="s">
        <v>836</v>
      </c>
      <c r="AW8774" t="s">
        <v>46835</v>
      </c>
      <c r="AX8774" t="s">
        <v>46897</v>
      </c>
    </row>
    <row r="8775" spans="1:50">
      <c r="A8775" s="1">
        <f>HYPERLINK("https://lsnyc.legalserver.org/matter/dynamic-profile/view/1903633","19-1903633")</f>
        <v>0</v>
      </c>
      <c r="B8775" t="s">
        <v>282</v>
      </c>
      <c r="C8775" t="s">
        <v>340</v>
      </c>
      <c r="D8775" t="s">
        <v>836</v>
      </c>
      <c r="F8775" t="s">
        <v>4365</v>
      </c>
      <c r="G8775" t="s">
        <v>7365</v>
      </c>
      <c r="H8775" t="s">
        <v>14614</v>
      </c>
      <c r="I8775" t="s">
        <v>17491</v>
      </c>
      <c r="J8775" t="s">
        <v>18901</v>
      </c>
      <c r="K8775">
        <v>11433</v>
      </c>
      <c r="L8775" t="s">
        <v>18958</v>
      </c>
      <c r="M8775" t="s">
        <v>18960</v>
      </c>
      <c r="N8775" t="s">
        <v>25272</v>
      </c>
      <c r="O8775" t="s">
        <v>26524</v>
      </c>
      <c r="P8775" t="s">
        <v>26563</v>
      </c>
      <c r="R8775" t="s">
        <v>26585</v>
      </c>
      <c r="S8775" t="s">
        <v>18959</v>
      </c>
      <c r="U8775" t="s">
        <v>26604</v>
      </c>
      <c r="W8775" t="s">
        <v>836</v>
      </c>
      <c r="X8775">
        <v>1500</v>
      </c>
      <c r="Y8775" t="s">
        <v>26653</v>
      </c>
      <c r="Z8775" t="s">
        <v>26668</v>
      </c>
      <c r="AB8775" t="s">
        <v>32971</v>
      </c>
      <c r="AD8775" t="s">
        <v>43663</v>
      </c>
      <c r="AE8775">
        <v>3</v>
      </c>
      <c r="AF8775" t="s">
        <v>20460</v>
      </c>
      <c r="AG8775" t="s">
        <v>19330</v>
      </c>
      <c r="AH8775">
        <v>3</v>
      </c>
      <c r="AI8775">
        <v>2</v>
      </c>
      <c r="AJ8775">
        <v>3</v>
      </c>
      <c r="AK8775">
        <v>182.3</v>
      </c>
      <c r="AN8775" t="s">
        <v>7439</v>
      </c>
      <c r="AO8775">
        <v>55000</v>
      </c>
      <c r="AU8775">
        <v>0.7</v>
      </c>
      <c r="AV8775" t="s">
        <v>836</v>
      </c>
      <c r="AW8775" t="s">
        <v>208</v>
      </c>
      <c r="AX8775" t="s">
        <v>46897</v>
      </c>
    </row>
    <row r="8776" spans="1:50">
      <c r="A8776" s="1">
        <f>HYPERLINK("https://lsnyc.legalserver.org/matter/dynamic-profile/view/1903630","19-1903630")</f>
        <v>0</v>
      </c>
      <c r="B8776" t="s">
        <v>282</v>
      </c>
      <c r="C8776" t="s">
        <v>340</v>
      </c>
      <c r="D8776" t="s">
        <v>836</v>
      </c>
      <c r="F8776" t="s">
        <v>4366</v>
      </c>
      <c r="G8776" t="s">
        <v>8816</v>
      </c>
      <c r="H8776" t="s">
        <v>15621</v>
      </c>
      <c r="J8776" t="s">
        <v>18901</v>
      </c>
      <c r="K8776">
        <v>11433</v>
      </c>
      <c r="L8776" t="s">
        <v>18958</v>
      </c>
      <c r="M8776" t="s">
        <v>18960</v>
      </c>
      <c r="N8776" t="s">
        <v>25273</v>
      </c>
      <c r="O8776" t="s">
        <v>26524</v>
      </c>
      <c r="P8776" t="s">
        <v>26563</v>
      </c>
      <c r="R8776" t="s">
        <v>26585</v>
      </c>
      <c r="S8776" t="s">
        <v>18959</v>
      </c>
      <c r="U8776" t="s">
        <v>26604</v>
      </c>
      <c r="W8776" t="s">
        <v>836</v>
      </c>
      <c r="X8776">
        <v>800</v>
      </c>
      <c r="Y8776" t="s">
        <v>26653</v>
      </c>
      <c r="Z8776" t="s">
        <v>26668</v>
      </c>
      <c r="AB8776" t="s">
        <v>33049</v>
      </c>
      <c r="AD8776" t="s">
        <v>43664</v>
      </c>
      <c r="AE8776">
        <v>2</v>
      </c>
      <c r="AF8776" t="s">
        <v>20460</v>
      </c>
      <c r="AG8776" t="s">
        <v>45558</v>
      </c>
      <c r="AH8776">
        <v>4</v>
      </c>
      <c r="AI8776">
        <v>1</v>
      </c>
      <c r="AJ8776">
        <v>0</v>
      </c>
      <c r="AK8776">
        <v>244.32</v>
      </c>
      <c r="AN8776" t="s">
        <v>7439</v>
      </c>
      <c r="AO8776">
        <v>30516</v>
      </c>
      <c r="AU8776">
        <v>0.7</v>
      </c>
      <c r="AV8776" t="s">
        <v>836</v>
      </c>
      <c r="AW8776" t="s">
        <v>208</v>
      </c>
      <c r="AX8776" t="s">
        <v>46897</v>
      </c>
    </row>
    <row r="8777" spans="1:50">
      <c r="A8777" s="1">
        <f>HYPERLINK("https://lsnyc.legalserver.org/matter/dynamic-profile/view/1903625","19-1903625")</f>
        <v>0</v>
      </c>
      <c r="B8777" t="s">
        <v>159</v>
      </c>
      <c r="C8777" t="s">
        <v>340</v>
      </c>
      <c r="D8777" t="s">
        <v>836</v>
      </c>
      <c r="F8777" t="s">
        <v>1751</v>
      </c>
      <c r="G8777" t="s">
        <v>5794</v>
      </c>
      <c r="H8777" t="s">
        <v>11601</v>
      </c>
      <c r="I8777" t="s">
        <v>17366</v>
      </c>
      <c r="J8777" t="s">
        <v>18901</v>
      </c>
      <c r="K8777">
        <v>11434</v>
      </c>
      <c r="L8777" t="s">
        <v>18958</v>
      </c>
      <c r="M8777" t="s">
        <v>18960</v>
      </c>
      <c r="N8777" t="s">
        <v>25274</v>
      </c>
      <c r="O8777" t="s">
        <v>26523</v>
      </c>
      <c r="P8777" t="s">
        <v>26563</v>
      </c>
      <c r="R8777" t="s">
        <v>26585</v>
      </c>
      <c r="S8777" t="s">
        <v>18959</v>
      </c>
      <c r="U8777" t="s">
        <v>26605</v>
      </c>
      <c r="W8777" t="s">
        <v>836</v>
      </c>
      <c r="X8777">
        <v>913.63</v>
      </c>
      <c r="Y8777" t="s">
        <v>26653</v>
      </c>
      <c r="Z8777" t="s">
        <v>26668</v>
      </c>
      <c r="AB8777" t="s">
        <v>29238</v>
      </c>
      <c r="AD8777" t="s">
        <v>43665</v>
      </c>
      <c r="AE8777">
        <v>0</v>
      </c>
      <c r="AF8777" t="s">
        <v>45550</v>
      </c>
      <c r="AG8777" t="s">
        <v>19330</v>
      </c>
      <c r="AH8777">
        <v>8</v>
      </c>
      <c r="AI8777">
        <v>1</v>
      </c>
      <c r="AJ8777">
        <v>0</v>
      </c>
      <c r="AK8777">
        <v>0</v>
      </c>
      <c r="AN8777" t="s">
        <v>7439</v>
      </c>
      <c r="AO8777">
        <v>0</v>
      </c>
      <c r="AU8777">
        <v>0.4</v>
      </c>
      <c r="AV8777" t="s">
        <v>836</v>
      </c>
      <c r="AW8777" t="s">
        <v>208</v>
      </c>
      <c r="AX8777" t="s">
        <v>46897</v>
      </c>
    </row>
    <row r="8778" spans="1:50">
      <c r="A8778" s="1">
        <f>HYPERLINK("https://lsnyc.legalserver.org/matter/dynamic-profile/view/1903635","19-1903635")</f>
        <v>0</v>
      </c>
      <c r="B8778" t="s">
        <v>218</v>
      </c>
      <c r="C8778" t="s">
        <v>340</v>
      </c>
      <c r="D8778" t="s">
        <v>836</v>
      </c>
      <c r="F8778" t="s">
        <v>4367</v>
      </c>
      <c r="G8778" t="s">
        <v>5435</v>
      </c>
      <c r="H8778" t="s">
        <v>15521</v>
      </c>
      <c r="I8778" t="s">
        <v>17348</v>
      </c>
      <c r="J8778" t="s">
        <v>18893</v>
      </c>
      <c r="K8778">
        <v>10034</v>
      </c>
      <c r="L8778" t="s">
        <v>18958</v>
      </c>
      <c r="M8778" t="s">
        <v>18960</v>
      </c>
      <c r="O8778" t="s">
        <v>26526</v>
      </c>
      <c r="P8778" t="s">
        <v>26563</v>
      </c>
      <c r="R8778" t="s">
        <v>26578</v>
      </c>
      <c r="S8778" t="s">
        <v>18959</v>
      </c>
      <c r="U8778" t="s">
        <v>26604</v>
      </c>
      <c r="W8778" t="s">
        <v>836</v>
      </c>
      <c r="X8778">
        <v>2450</v>
      </c>
      <c r="Y8778" t="s">
        <v>26651</v>
      </c>
      <c r="Z8778" t="s">
        <v>26661</v>
      </c>
      <c r="AB8778" t="s">
        <v>33050</v>
      </c>
      <c r="AD8778" t="s">
        <v>43666</v>
      </c>
      <c r="AE8778">
        <v>47</v>
      </c>
      <c r="AF8778" t="s">
        <v>45541</v>
      </c>
      <c r="AG8778" t="s">
        <v>19330</v>
      </c>
      <c r="AH8778">
        <v>3</v>
      </c>
      <c r="AI8778">
        <v>2</v>
      </c>
      <c r="AJ8778">
        <v>1</v>
      </c>
      <c r="AK8778">
        <v>839.1900000000001</v>
      </c>
      <c r="AN8778" t="s">
        <v>7439</v>
      </c>
      <c r="AO8778">
        <v>179000</v>
      </c>
      <c r="AU8778">
        <v>0</v>
      </c>
      <c r="AW8778" t="s">
        <v>46840</v>
      </c>
      <c r="AX8778" t="s">
        <v>46897</v>
      </c>
    </row>
    <row r="8779" spans="1:50">
      <c r="A8779" s="1">
        <f>HYPERLINK("https://lsnyc.legalserver.org/matter/dynamic-profile/view/1903614","19-1903614")</f>
        <v>0</v>
      </c>
      <c r="B8779" t="s">
        <v>194</v>
      </c>
      <c r="C8779" t="s">
        <v>340</v>
      </c>
      <c r="D8779" t="s">
        <v>836</v>
      </c>
      <c r="F8779" t="s">
        <v>1345</v>
      </c>
      <c r="G8779" t="s">
        <v>7044</v>
      </c>
      <c r="H8779" t="s">
        <v>15622</v>
      </c>
      <c r="I8779" t="s">
        <v>17390</v>
      </c>
      <c r="J8779" t="s">
        <v>18893</v>
      </c>
      <c r="K8779">
        <v>10017</v>
      </c>
      <c r="L8779" t="s">
        <v>18958</v>
      </c>
      <c r="M8779" t="s">
        <v>18960</v>
      </c>
      <c r="N8779" t="s">
        <v>25275</v>
      </c>
      <c r="O8779" t="s">
        <v>26523</v>
      </c>
      <c r="P8779" t="s">
        <v>26563</v>
      </c>
      <c r="R8779" t="s">
        <v>26578</v>
      </c>
      <c r="S8779" t="s">
        <v>18959</v>
      </c>
      <c r="U8779" t="s">
        <v>26604</v>
      </c>
      <c r="V8779" t="s">
        <v>26610</v>
      </c>
      <c r="W8779" t="s">
        <v>836</v>
      </c>
      <c r="X8779">
        <v>1420.95</v>
      </c>
      <c r="Y8779" t="s">
        <v>26651</v>
      </c>
      <c r="Z8779" t="s">
        <v>26664</v>
      </c>
      <c r="AB8779" t="s">
        <v>27815</v>
      </c>
      <c r="AD8779" t="s">
        <v>43667</v>
      </c>
      <c r="AE8779">
        <v>28</v>
      </c>
      <c r="AF8779" t="s">
        <v>45548</v>
      </c>
      <c r="AG8779" t="s">
        <v>19330</v>
      </c>
      <c r="AH8779">
        <v>51</v>
      </c>
      <c r="AI8779">
        <v>1</v>
      </c>
      <c r="AJ8779">
        <v>0</v>
      </c>
      <c r="AK8779">
        <v>165.49</v>
      </c>
      <c r="AN8779" t="s">
        <v>7439</v>
      </c>
      <c r="AO8779">
        <v>20670</v>
      </c>
      <c r="AU8779">
        <v>0.1</v>
      </c>
      <c r="AV8779" t="s">
        <v>836</v>
      </c>
      <c r="AW8779" t="s">
        <v>46835</v>
      </c>
      <c r="AX8779" t="s">
        <v>46897</v>
      </c>
    </row>
    <row r="8780" spans="1:50">
      <c r="A8780" s="1">
        <f>HYPERLINK("https://lsnyc.legalserver.org/matter/dynamic-profile/view/1895443","19-1895443")</f>
        <v>0</v>
      </c>
      <c r="B8780" t="s">
        <v>52</v>
      </c>
      <c r="C8780" t="s">
        <v>341</v>
      </c>
      <c r="D8780" t="s">
        <v>781</v>
      </c>
      <c r="E8780" t="s">
        <v>829</v>
      </c>
      <c r="F8780" t="s">
        <v>1010</v>
      </c>
      <c r="G8780" t="s">
        <v>8817</v>
      </c>
      <c r="H8780" t="s">
        <v>15623</v>
      </c>
      <c r="I8780" t="s">
        <v>17558</v>
      </c>
      <c r="J8780" t="s">
        <v>18892</v>
      </c>
      <c r="K8780">
        <v>10459</v>
      </c>
      <c r="L8780" t="s">
        <v>18958</v>
      </c>
      <c r="M8780" t="s">
        <v>18958</v>
      </c>
      <c r="P8780" t="s">
        <v>26564</v>
      </c>
      <c r="Q8780" t="s">
        <v>26570</v>
      </c>
      <c r="R8780" t="s">
        <v>26578</v>
      </c>
      <c r="S8780" t="s">
        <v>18959</v>
      </c>
      <c r="U8780" t="s">
        <v>26604</v>
      </c>
      <c r="V8780" t="s">
        <v>26612</v>
      </c>
      <c r="W8780" t="s">
        <v>26644</v>
      </c>
      <c r="X8780">
        <v>1400</v>
      </c>
      <c r="Y8780" t="s">
        <v>26650</v>
      </c>
      <c r="Z8780" t="s">
        <v>26668</v>
      </c>
      <c r="AA8780" t="s">
        <v>26683</v>
      </c>
      <c r="AB8780" t="s">
        <v>29694</v>
      </c>
      <c r="AE8780">
        <v>0</v>
      </c>
      <c r="AF8780" t="s">
        <v>45547</v>
      </c>
      <c r="AH8780">
        <v>17</v>
      </c>
      <c r="AI8780">
        <v>2</v>
      </c>
      <c r="AJ8780">
        <v>0</v>
      </c>
      <c r="AK8780">
        <v>122.7</v>
      </c>
      <c r="AN8780" t="s">
        <v>7439</v>
      </c>
      <c r="AO8780">
        <v>20748</v>
      </c>
      <c r="AU8780">
        <v>2</v>
      </c>
      <c r="AV8780" t="s">
        <v>827</v>
      </c>
      <c r="AW8780" t="s">
        <v>46831</v>
      </c>
      <c r="AX8780" t="s">
        <v>46897</v>
      </c>
    </row>
    <row r="8781" spans="1:50">
      <c r="A8781" s="1">
        <f>HYPERLINK("https://lsnyc.legalserver.org/matter/dynamic-profile/view/1900951","19-1900951")</f>
        <v>0</v>
      </c>
      <c r="B8781" t="s">
        <v>52</v>
      </c>
      <c r="C8781" t="s">
        <v>341</v>
      </c>
      <c r="D8781" t="s">
        <v>825</v>
      </c>
      <c r="E8781" t="s">
        <v>829</v>
      </c>
      <c r="F8781" t="s">
        <v>1222</v>
      </c>
      <c r="G8781" t="s">
        <v>8818</v>
      </c>
      <c r="H8781" t="s">
        <v>15624</v>
      </c>
      <c r="I8781">
        <v>29</v>
      </c>
      <c r="J8781" t="s">
        <v>18892</v>
      </c>
      <c r="K8781">
        <v>10456</v>
      </c>
      <c r="L8781" t="s">
        <v>18958</v>
      </c>
      <c r="M8781" t="s">
        <v>18960</v>
      </c>
      <c r="P8781" t="s">
        <v>26564</v>
      </c>
      <c r="Q8781" t="s">
        <v>26570</v>
      </c>
      <c r="R8781" t="s">
        <v>26578</v>
      </c>
      <c r="S8781" t="s">
        <v>18959</v>
      </c>
      <c r="U8781" t="s">
        <v>26604</v>
      </c>
      <c r="W8781" t="s">
        <v>26644</v>
      </c>
      <c r="X8781">
        <v>50</v>
      </c>
      <c r="Y8781" t="s">
        <v>26650</v>
      </c>
      <c r="Z8781" t="s">
        <v>26667</v>
      </c>
      <c r="AA8781" t="s">
        <v>26683</v>
      </c>
      <c r="AB8781" t="s">
        <v>31124</v>
      </c>
      <c r="AD8781" t="s">
        <v>43668</v>
      </c>
      <c r="AE8781">
        <v>54</v>
      </c>
      <c r="AF8781" t="s">
        <v>45541</v>
      </c>
      <c r="AG8781" t="s">
        <v>19330</v>
      </c>
      <c r="AH8781">
        <v>-1</v>
      </c>
      <c r="AI8781">
        <v>2</v>
      </c>
      <c r="AJ8781">
        <v>0</v>
      </c>
      <c r="AK8781">
        <v>43.05</v>
      </c>
      <c r="AO8781">
        <v>7280</v>
      </c>
      <c r="AU8781">
        <v>1</v>
      </c>
      <c r="AV8781" t="s">
        <v>797</v>
      </c>
      <c r="AW8781" t="s">
        <v>329</v>
      </c>
      <c r="AX8781" t="s">
        <v>46897</v>
      </c>
    </row>
    <row r="8782" spans="1:50">
      <c r="A8782" s="1">
        <f>HYPERLINK("https://lsnyc.legalserver.org/matter/dynamic-profile/view/1901037","19-1901037")</f>
        <v>0</v>
      </c>
      <c r="B8782" t="s">
        <v>52</v>
      </c>
      <c r="C8782" t="s">
        <v>340</v>
      </c>
      <c r="D8782" t="s">
        <v>825</v>
      </c>
      <c r="F8782" t="s">
        <v>939</v>
      </c>
      <c r="G8782" t="s">
        <v>5802</v>
      </c>
      <c r="H8782" t="s">
        <v>10807</v>
      </c>
      <c r="J8782" t="s">
        <v>18892</v>
      </c>
      <c r="K8782">
        <v>10474</v>
      </c>
      <c r="L8782" t="s">
        <v>18958</v>
      </c>
      <c r="M8782" t="s">
        <v>18960</v>
      </c>
      <c r="N8782" t="s">
        <v>25276</v>
      </c>
      <c r="O8782" t="s">
        <v>26526</v>
      </c>
      <c r="P8782" t="s">
        <v>26560</v>
      </c>
      <c r="R8782" t="s">
        <v>26578</v>
      </c>
      <c r="S8782" t="s">
        <v>18959</v>
      </c>
      <c r="U8782" t="s">
        <v>26604</v>
      </c>
      <c r="V8782" t="s">
        <v>26610</v>
      </c>
      <c r="W8782" t="s">
        <v>26644</v>
      </c>
      <c r="X8782">
        <v>894.52</v>
      </c>
      <c r="Y8782" t="s">
        <v>26650</v>
      </c>
      <c r="Z8782" t="s">
        <v>26667</v>
      </c>
      <c r="AB8782" t="s">
        <v>28439</v>
      </c>
      <c r="AE8782">
        <v>60</v>
      </c>
      <c r="AF8782" t="s">
        <v>45541</v>
      </c>
      <c r="AG8782" t="s">
        <v>19330</v>
      </c>
      <c r="AH8782">
        <v>15</v>
      </c>
      <c r="AI8782">
        <v>3</v>
      </c>
      <c r="AJ8782">
        <v>0</v>
      </c>
      <c r="AK8782">
        <v>73.14</v>
      </c>
      <c r="AN8782" t="s">
        <v>7439</v>
      </c>
      <c r="AO8782">
        <v>15600</v>
      </c>
      <c r="AU8782">
        <v>11.5</v>
      </c>
      <c r="AV8782" t="s">
        <v>836</v>
      </c>
      <c r="AW8782" t="s">
        <v>329</v>
      </c>
      <c r="AX8782" t="s">
        <v>46897</v>
      </c>
    </row>
    <row r="8783" spans="1:50">
      <c r="A8783" s="1">
        <f>HYPERLINK("https://lsnyc.legalserver.org/matter/dynamic-profile/view/1896659","19-1896659")</f>
        <v>0</v>
      </c>
      <c r="B8783" t="s">
        <v>88</v>
      </c>
      <c r="C8783" t="s">
        <v>340</v>
      </c>
      <c r="D8783" t="s">
        <v>671</v>
      </c>
      <c r="F8783" t="s">
        <v>1027</v>
      </c>
      <c r="G8783" t="s">
        <v>6836</v>
      </c>
      <c r="H8783" t="s">
        <v>12249</v>
      </c>
      <c r="I8783" t="s">
        <v>17947</v>
      </c>
      <c r="J8783" t="s">
        <v>18894</v>
      </c>
      <c r="K8783">
        <v>11213</v>
      </c>
      <c r="L8783" t="s">
        <v>18958</v>
      </c>
      <c r="M8783" t="s">
        <v>18958</v>
      </c>
      <c r="N8783" t="s">
        <v>19330</v>
      </c>
      <c r="O8783" t="s">
        <v>26534</v>
      </c>
      <c r="P8783" t="s">
        <v>26561</v>
      </c>
      <c r="R8783" t="s">
        <v>26578</v>
      </c>
      <c r="S8783" t="s">
        <v>18958</v>
      </c>
      <c r="U8783" t="s">
        <v>26604</v>
      </c>
      <c r="W8783" t="s">
        <v>26645</v>
      </c>
      <c r="X8783">
        <v>540</v>
      </c>
      <c r="Y8783" t="s">
        <v>26652</v>
      </c>
      <c r="Z8783" t="s">
        <v>26663</v>
      </c>
      <c r="AB8783" t="s">
        <v>29531</v>
      </c>
      <c r="AD8783" t="s">
        <v>39600</v>
      </c>
      <c r="AE8783">
        <v>6</v>
      </c>
      <c r="AF8783" t="s">
        <v>45541</v>
      </c>
      <c r="AG8783" t="s">
        <v>19330</v>
      </c>
      <c r="AH8783">
        <v>18</v>
      </c>
      <c r="AI8783">
        <v>1</v>
      </c>
      <c r="AJ8783">
        <v>0</v>
      </c>
      <c r="AK8783">
        <v>512.41</v>
      </c>
      <c r="AN8783" t="s">
        <v>7439</v>
      </c>
      <c r="AO8783">
        <v>64000</v>
      </c>
      <c r="AP8783" t="s">
        <v>46101</v>
      </c>
      <c r="AU8783">
        <v>0</v>
      </c>
      <c r="AW8783" t="s">
        <v>286</v>
      </c>
      <c r="AX8783" t="s">
        <v>46897</v>
      </c>
    </row>
    <row r="8784" spans="1:50">
      <c r="A8784" s="1">
        <f>HYPERLINK("https://lsnyc.legalserver.org/matter/dynamic-profile/view/1896749","19-1896749")</f>
        <v>0</v>
      </c>
      <c r="B8784" t="s">
        <v>88</v>
      </c>
      <c r="C8784" t="s">
        <v>340</v>
      </c>
      <c r="D8784" t="s">
        <v>672</v>
      </c>
      <c r="F8784" t="s">
        <v>2600</v>
      </c>
      <c r="G8784" t="s">
        <v>6835</v>
      </c>
      <c r="H8784" t="s">
        <v>12249</v>
      </c>
      <c r="I8784" t="s">
        <v>17291</v>
      </c>
      <c r="J8784" t="s">
        <v>18894</v>
      </c>
      <c r="K8784">
        <v>11213</v>
      </c>
      <c r="L8784" t="s">
        <v>18958</v>
      </c>
      <c r="M8784" t="s">
        <v>18958</v>
      </c>
      <c r="N8784" t="s">
        <v>19330</v>
      </c>
      <c r="O8784" t="s">
        <v>26534</v>
      </c>
      <c r="P8784" t="s">
        <v>26561</v>
      </c>
      <c r="R8784" t="s">
        <v>26578</v>
      </c>
      <c r="S8784" t="s">
        <v>18958</v>
      </c>
      <c r="U8784" t="s">
        <v>26604</v>
      </c>
      <c r="W8784" t="s">
        <v>26645</v>
      </c>
      <c r="X8784">
        <v>551</v>
      </c>
      <c r="Y8784" t="s">
        <v>26652</v>
      </c>
      <c r="Z8784" t="s">
        <v>26663</v>
      </c>
      <c r="AB8784" t="s">
        <v>29530</v>
      </c>
      <c r="AD8784" t="s">
        <v>39599</v>
      </c>
      <c r="AE8784">
        <v>6</v>
      </c>
      <c r="AF8784" t="s">
        <v>45541</v>
      </c>
      <c r="AG8784" t="s">
        <v>19330</v>
      </c>
      <c r="AH8784">
        <v>15</v>
      </c>
      <c r="AI8784">
        <v>2</v>
      </c>
      <c r="AJ8784">
        <v>0</v>
      </c>
      <c r="AK8784">
        <v>49.67</v>
      </c>
      <c r="AN8784" t="s">
        <v>7439</v>
      </c>
      <c r="AO8784">
        <v>8400</v>
      </c>
      <c r="AP8784" t="s">
        <v>46102</v>
      </c>
      <c r="AU8784">
        <v>0</v>
      </c>
      <c r="AW8784" t="s">
        <v>286</v>
      </c>
      <c r="AX8784" t="s">
        <v>46897</v>
      </c>
    </row>
    <row r="8785" spans="1:50">
      <c r="A8785" s="1">
        <f>HYPERLINK("https://lsnyc.legalserver.org/matter/dynamic-profile/view/1896798","19-1896798")</f>
        <v>0</v>
      </c>
      <c r="B8785" t="s">
        <v>88</v>
      </c>
      <c r="C8785" t="s">
        <v>340</v>
      </c>
      <c r="D8785" t="s">
        <v>672</v>
      </c>
      <c r="F8785" t="s">
        <v>2601</v>
      </c>
      <c r="G8785" t="s">
        <v>1384</v>
      </c>
      <c r="H8785" t="s">
        <v>12249</v>
      </c>
      <c r="I8785" t="s">
        <v>17330</v>
      </c>
      <c r="J8785" t="s">
        <v>18894</v>
      </c>
      <c r="K8785">
        <v>11213</v>
      </c>
      <c r="L8785" t="s">
        <v>18958</v>
      </c>
      <c r="M8785" t="s">
        <v>18958</v>
      </c>
      <c r="N8785" t="s">
        <v>19330</v>
      </c>
      <c r="O8785" t="s">
        <v>26534</v>
      </c>
      <c r="P8785" t="s">
        <v>26561</v>
      </c>
      <c r="R8785" t="s">
        <v>26578</v>
      </c>
      <c r="S8785" t="s">
        <v>18958</v>
      </c>
      <c r="U8785" t="s">
        <v>26604</v>
      </c>
      <c r="W8785" t="s">
        <v>26645</v>
      </c>
      <c r="X8785">
        <v>855.86</v>
      </c>
      <c r="Y8785" t="s">
        <v>26652</v>
      </c>
      <c r="Z8785" t="s">
        <v>26663</v>
      </c>
      <c r="AB8785" t="s">
        <v>29532</v>
      </c>
      <c r="AE8785">
        <v>6</v>
      </c>
      <c r="AF8785" t="s">
        <v>45541</v>
      </c>
      <c r="AG8785" t="s">
        <v>19330</v>
      </c>
      <c r="AH8785">
        <v>26</v>
      </c>
      <c r="AI8785">
        <v>1</v>
      </c>
      <c r="AJ8785">
        <v>1</v>
      </c>
      <c r="AK8785">
        <v>52.58</v>
      </c>
      <c r="AN8785" t="s">
        <v>7439</v>
      </c>
      <c r="AO8785">
        <v>8892</v>
      </c>
      <c r="AP8785" t="s">
        <v>46027</v>
      </c>
      <c r="AU8785">
        <v>0</v>
      </c>
      <c r="AW8785" t="s">
        <v>286</v>
      </c>
      <c r="AX8785" t="s">
        <v>46897</v>
      </c>
    </row>
    <row r="8786" spans="1:50">
      <c r="A8786" s="1">
        <f>HYPERLINK("https://lsnyc.legalserver.org/matter/dynamic-profile/view/1874541","18-1874541")</f>
        <v>0</v>
      </c>
      <c r="B8786" t="s">
        <v>114</v>
      </c>
      <c r="C8786" t="s">
        <v>340</v>
      </c>
      <c r="D8786" t="s">
        <v>461</v>
      </c>
      <c r="F8786" t="s">
        <v>4368</v>
      </c>
      <c r="G8786" t="s">
        <v>7990</v>
      </c>
      <c r="H8786" t="s">
        <v>15625</v>
      </c>
      <c r="I8786" t="s">
        <v>17389</v>
      </c>
      <c r="J8786" t="s">
        <v>18897</v>
      </c>
      <c r="K8786">
        <v>11415</v>
      </c>
      <c r="L8786" t="s">
        <v>18958</v>
      </c>
      <c r="M8786" t="s">
        <v>18960</v>
      </c>
      <c r="N8786" t="s">
        <v>25277</v>
      </c>
      <c r="O8786" t="s">
        <v>26523</v>
      </c>
      <c r="P8786" t="s">
        <v>26560</v>
      </c>
      <c r="R8786" t="s">
        <v>26584</v>
      </c>
      <c r="S8786" t="s">
        <v>18959</v>
      </c>
      <c r="U8786" t="s">
        <v>26604</v>
      </c>
      <c r="V8786" t="s">
        <v>26610</v>
      </c>
      <c r="W8786" t="s">
        <v>26646</v>
      </c>
      <c r="X8786">
        <v>1700</v>
      </c>
      <c r="Y8786" t="s">
        <v>26653</v>
      </c>
      <c r="Z8786" t="s">
        <v>26664</v>
      </c>
      <c r="AB8786" t="s">
        <v>31824</v>
      </c>
      <c r="AC8786" t="s">
        <v>36581</v>
      </c>
      <c r="AD8786" t="s">
        <v>43669</v>
      </c>
      <c r="AE8786">
        <v>42</v>
      </c>
      <c r="AG8786" t="s">
        <v>19330</v>
      </c>
      <c r="AH8786">
        <v>1</v>
      </c>
      <c r="AI8786">
        <v>3</v>
      </c>
      <c r="AJ8786">
        <v>0</v>
      </c>
      <c r="AK8786">
        <v>46.2</v>
      </c>
      <c r="AM8786" t="s">
        <v>45576</v>
      </c>
      <c r="AN8786" t="s">
        <v>7439</v>
      </c>
      <c r="AO8786">
        <v>9600</v>
      </c>
      <c r="AQ8786" t="s">
        <v>46362</v>
      </c>
      <c r="AR8786" t="s">
        <v>26530</v>
      </c>
      <c r="AS8786" t="s">
        <v>46502</v>
      </c>
      <c r="AT8786" t="s">
        <v>46780</v>
      </c>
      <c r="AU8786">
        <v>10.5</v>
      </c>
      <c r="AV8786" t="s">
        <v>819</v>
      </c>
      <c r="AW8786" t="s">
        <v>208</v>
      </c>
    </row>
    <row r="8787" spans="1:50">
      <c r="A8787" s="1">
        <f>HYPERLINK("https://lsnyc.legalserver.org/matter/dynamic-profile/view/1883330","18-1883330")</f>
        <v>0</v>
      </c>
      <c r="B8787" t="s">
        <v>81</v>
      </c>
      <c r="C8787" t="s">
        <v>341</v>
      </c>
      <c r="D8787" t="s">
        <v>577</v>
      </c>
      <c r="E8787" t="s">
        <v>759</v>
      </c>
      <c r="F8787" t="s">
        <v>2745</v>
      </c>
      <c r="G8787" t="s">
        <v>6311</v>
      </c>
      <c r="H8787" t="s">
        <v>15626</v>
      </c>
      <c r="I8787">
        <v>19</v>
      </c>
      <c r="J8787" t="s">
        <v>18892</v>
      </c>
      <c r="K8787">
        <v>10468</v>
      </c>
      <c r="L8787" t="s">
        <v>18958</v>
      </c>
      <c r="M8787" t="s">
        <v>18958</v>
      </c>
      <c r="N8787" t="s">
        <v>25278</v>
      </c>
      <c r="O8787" t="s">
        <v>26523</v>
      </c>
      <c r="P8787" t="s">
        <v>26560</v>
      </c>
      <c r="Q8787" t="s">
        <v>26568</v>
      </c>
      <c r="R8787" t="s">
        <v>26579</v>
      </c>
      <c r="S8787" t="s">
        <v>18959</v>
      </c>
      <c r="U8787" t="s">
        <v>26604</v>
      </c>
      <c r="W8787" t="s">
        <v>26647</v>
      </c>
      <c r="X8787">
        <v>1114</v>
      </c>
      <c r="Y8787" t="s">
        <v>26650</v>
      </c>
      <c r="Z8787" t="s">
        <v>26664</v>
      </c>
      <c r="AA8787" t="s">
        <v>26678</v>
      </c>
      <c r="AB8787" t="s">
        <v>33051</v>
      </c>
      <c r="AD8787" t="s">
        <v>43670</v>
      </c>
      <c r="AE8787">
        <v>29</v>
      </c>
      <c r="AF8787" t="s">
        <v>45541</v>
      </c>
      <c r="AG8787" t="s">
        <v>45556</v>
      </c>
      <c r="AH8787">
        <v>50</v>
      </c>
      <c r="AI8787">
        <v>1</v>
      </c>
      <c r="AJ8787">
        <v>0</v>
      </c>
      <c r="AK8787">
        <v>133.64</v>
      </c>
      <c r="AN8787" t="s">
        <v>7439</v>
      </c>
      <c r="AO8787">
        <v>16224</v>
      </c>
      <c r="AR8787" t="s">
        <v>26530</v>
      </c>
      <c r="AS8787" t="s">
        <v>46499</v>
      </c>
      <c r="AT8787" t="s">
        <v>46672</v>
      </c>
      <c r="AU8787">
        <v>5.9</v>
      </c>
      <c r="AV8787" t="s">
        <v>574</v>
      </c>
      <c r="AW8787" t="s">
        <v>336</v>
      </c>
    </row>
    <row r="8788" spans="1:50">
      <c r="A8788" s="1">
        <f>HYPERLINK("https://lsnyc.legalserver.org/matter/dynamic-profile/view/1886641","18-1886641")</f>
        <v>0</v>
      </c>
      <c r="B8788" t="s">
        <v>142</v>
      </c>
      <c r="C8788" t="s">
        <v>340</v>
      </c>
      <c r="D8788" t="s">
        <v>712</v>
      </c>
      <c r="F8788" t="s">
        <v>919</v>
      </c>
      <c r="G8788" t="s">
        <v>8819</v>
      </c>
      <c r="H8788" t="s">
        <v>11184</v>
      </c>
      <c r="J8788" t="s">
        <v>18901</v>
      </c>
      <c r="K8788">
        <v>11433</v>
      </c>
      <c r="L8788" t="s">
        <v>18958</v>
      </c>
      <c r="M8788" t="s">
        <v>18958</v>
      </c>
      <c r="N8788" t="s">
        <v>25279</v>
      </c>
      <c r="O8788" t="s">
        <v>26523</v>
      </c>
      <c r="P8788" t="s">
        <v>26560</v>
      </c>
      <c r="R8788" t="s">
        <v>26584</v>
      </c>
      <c r="S8788" t="s">
        <v>18959</v>
      </c>
      <c r="U8788" t="s">
        <v>26604</v>
      </c>
      <c r="V8788" t="s">
        <v>26610</v>
      </c>
      <c r="W8788" t="s">
        <v>26648</v>
      </c>
      <c r="X8788">
        <v>973</v>
      </c>
      <c r="Y8788" t="s">
        <v>26653</v>
      </c>
      <c r="Z8788" t="s">
        <v>26668</v>
      </c>
      <c r="AB8788" t="s">
        <v>33052</v>
      </c>
      <c r="AC8788" t="s">
        <v>36582</v>
      </c>
      <c r="AD8788" t="s">
        <v>43671</v>
      </c>
      <c r="AE8788">
        <v>54</v>
      </c>
      <c r="AF8788" t="s">
        <v>45541</v>
      </c>
      <c r="AG8788" t="s">
        <v>45557</v>
      </c>
      <c r="AH8788">
        <v>8</v>
      </c>
      <c r="AI8788">
        <v>1</v>
      </c>
      <c r="AJ8788">
        <v>0</v>
      </c>
      <c r="AK8788">
        <v>106.26</v>
      </c>
      <c r="AN8788" t="s">
        <v>7439</v>
      </c>
      <c r="AO8788">
        <v>12900</v>
      </c>
      <c r="AQ8788" t="s">
        <v>46359</v>
      </c>
      <c r="AR8788" t="s">
        <v>46379</v>
      </c>
      <c r="AS8788" t="s">
        <v>46499</v>
      </c>
      <c r="AT8788" t="s">
        <v>46707</v>
      </c>
      <c r="AU8788">
        <v>11.8</v>
      </c>
      <c r="AV8788" t="s">
        <v>740</v>
      </c>
      <c r="AW8788" t="s">
        <v>208</v>
      </c>
    </row>
    <row r="8789" spans="1:50">
      <c r="A8789" s="1">
        <f>HYPERLINK("https://lsnyc.legalserver.org/matter/dynamic-profile/view/1895861","19-1895861")</f>
        <v>0</v>
      </c>
      <c r="B8789" t="s">
        <v>122</v>
      </c>
      <c r="C8789" t="s">
        <v>341</v>
      </c>
      <c r="D8789" t="s">
        <v>795</v>
      </c>
      <c r="E8789" t="s">
        <v>810</v>
      </c>
      <c r="F8789" t="s">
        <v>3672</v>
      </c>
      <c r="G8789" t="s">
        <v>8820</v>
      </c>
      <c r="H8789" t="s">
        <v>15627</v>
      </c>
      <c r="I8789" t="s">
        <v>17331</v>
      </c>
      <c r="J8789" t="s">
        <v>18901</v>
      </c>
      <c r="K8789">
        <v>11434</v>
      </c>
      <c r="L8789" t="s">
        <v>18958</v>
      </c>
      <c r="M8789" t="s">
        <v>18958</v>
      </c>
      <c r="N8789" t="s">
        <v>25280</v>
      </c>
      <c r="O8789" t="s">
        <v>26526</v>
      </c>
      <c r="P8789" t="s">
        <v>26564</v>
      </c>
      <c r="Q8789" t="s">
        <v>26570</v>
      </c>
      <c r="R8789" t="s">
        <v>26578</v>
      </c>
      <c r="U8789" t="s">
        <v>26604</v>
      </c>
      <c r="W8789" s="3">
        <v>43558</v>
      </c>
      <c r="X8789">
        <v>1213</v>
      </c>
      <c r="Y8789" t="s">
        <v>26653</v>
      </c>
      <c r="AA8789" t="s">
        <v>26683</v>
      </c>
      <c r="AB8789" t="s">
        <v>27932</v>
      </c>
      <c r="AC8789">
        <v>6004868713</v>
      </c>
      <c r="AD8789" t="s">
        <v>43672</v>
      </c>
      <c r="AE8789">
        <v>2</v>
      </c>
      <c r="AG8789" t="s">
        <v>45560</v>
      </c>
      <c r="AH8789">
        <v>1</v>
      </c>
      <c r="AI8789">
        <v>1</v>
      </c>
      <c r="AJ8789">
        <v>0</v>
      </c>
      <c r="AK8789">
        <v>0</v>
      </c>
      <c r="AO8789">
        <v>0</v>
      </c>
      <c r="AU8789">
        <v>2.25</v>
      </c>
      <c r="AV8789" t="s">
        <v>791</v>
      </c>
      <c r="AW8789" t="s">
        <v>122</v>
      </c>
    </row>
    <row r="8790" spans="1:50">
      <c r="A8790" s="1">
        <f>HYPERLINK("https://lsnyc.legalserver.org/matter/dynamic-profile/view/1862098","18-1862098")</f>
        <v>0</v>
      </c>
      <c r="B8790" t="s">
        <v>122</v>
      </c>
      <c r="C8790" t="s">
        <v>341</v>
      </c>
      <c r="D8790" t="s">
        <v>541</v>
      </c>
      <c r="E8790" t="s">
        <v>494</v>
      </c>
      <c r="F8790" t="s">
        <v>4369</v>
      </c>
      <c r="G8790" t="s">
        <v>8821</v>
      </c>
      <c r="H8790" t="s">
        <v>15628</v>
      </c>
      <c r="I8790" t="s">
        <v>17582</v>
      </c>
      <c r="J8790" t="s">
        <v>18918</v>
      </c>
      <c r="K8790">
        <v>11416</v>
      </c>
      <c r="L8790" t="s">
        <v>18958</v>
      </c>
      <c r="M8790" t="s">
        <v>18960</v>
      </c>
      <c r="N8790" t="s">
        <v>25281</v>
      </c>
      <c r="O8790" t="s">
        <v>26524</v>
      </c>
      <c r="P8790" t="s">
        <v>26564</v>
      </c>
      <c r="Q8790" t="s">
        <v>26570</v>
      </c>
      <c r="R8790" t="s">
        <v>26584</v>
      </c>
      <c r="S8790" t="s">
        <v>18959</v>
      </c>
      <c r="U8790" t="s">
        <v>26604</v>
      </c>
      <c r="W8790" t="s">
        <v>26649</v>
      </c>
      <c r="X8790">
        <v>400</v>
      </c>
      <c r="Y8790" t="s">
        <v>26653</v>
      </c>
      <c r="Z8790" t="s">
        <v>26664</v>
      </c>
      <c r="AA8790" t="s">
        <v>26683</v>
      </c>
      <c r="AB8790" t="s">
        <v>33053</v>
      </c>
      <c r="AD8790" t="s">
        <v>43673</v>
      </c>
      <c r="AE8790">
        <v>1</v>
      </c>
      <c r="AF8790" t="s">
        <v>20460</v>
      </c>
      <c r="AG8790" t="s">
        <v>19330</v>
      </c>
      <c r="AH8790">
        <v>20</v>
      </c>
      <c r="AI8790">
        <v>2</v>
      </c>
      <c r="AJ8790">
        <v>0</v>
      </c>
      <c r="AK8790">
        <v>0</v>
      </c>
      <c r="AN8790" t="s">
        <v>7439</v>
      </c>
      <c r="AO8790">
        <v>0</v>
      </c>
      <c r="AU8790">
        <v>0.5</v>
      </c>
      <c r="AV8790" t="s">
        <v>458</v>
      </c>
      <c r="AW8790" t="s">
        <v>122</v>
      </c>
    </row>
    <row r="8791" spans="1:50">
      <c r="A8791" s="1">
        <f>HYPERLINK("https://lsnyc.legalserver.org/matter/dynamic-profile/view/1871369","18-1871369")</f>
        <v>0</v>
      </c>
      <c r="B8791" t="s">
        <v>255</v>
      </c>
      <c r="C8791" t="s">
        <v>341</v>
      </c>
      <c r="D8791" t="s">
        <v>419</v>
      </c>
      <c r="E8791" t="s">
        <v>808</v>
      </c>
      <c r="F8791" t="s">
        <v>2432</v>
      </c>
      <c r="G8791" t="s">
        <v>6655</v>
      </c>
      <c r="H8791" t="s">
        <v>11918</v>
      </c>
      <c r="I8791" t="s">
        <v>17522</v>
      </c>
      <c r="J8791" t="s">
        <v>18893</v>
      </c>
      <c r="K8791">
        <v>10040</v>
      </c>
      <c r="L8791" t="s">
        <v>18960</v>
      </c>
      <c r="M8791" t="s">
        <v>18960</v>
      </c>
      <c r="P8791" t="s">
        <v>26565</v>
      </c>
      <c r="Q8791" t="s">
        <v>26571</v>
      </c>
      <c r="R8791" t="s">
        <v>26582</v>
      </c>
      <c r="S8791" t="s">
        <v>18959</v>
      </c>
      <c r="U8791" t="s">
        <v>26607</v>
      </c>
      <c r="V8791" t="s">
        <v>26610</v>
      </c>
      <c r="X8791">
        <v>1642</v>
      </c>
      <c r="Y8791" t="s">
        <v>26651</v>
      </c>
      <c r="AA8791" t="s">
        <v>26681</v>
      </c>
      <c r="AB8791" t="s">
        <v>29189</v>
      </c>
      <c r="AD8791" t="s">
        <v>39243</v>
      </c>
      <c r="AE8791">
        <v>72</v>
      </c>
      <c r="AF8791" t="s">
        <v>45541</v>
      </c>
      <c r="AH8791">
        <v>11</v>
      </c>
      <c r="AI8791">
        <v>1</v>
      </c>
      <c r="AJ8791">
        <v>0</v>
      </c>
      <c r="AK8791">
        <v>39.54</v>
      </c>
      <c r="AN8791" t="s">
        <v>7439</v>
      </c>
      <c r="AO8791">
        <v>4800</v>
      </c>
      <c r="AU8791">
        <v>10.05</v>
      </c>
      <c r="AV8791" t="s">
        <v>603</v>
      </c>
      <c r="AW8791" t="s">
        <v>46845</v>
      </c>
    </row>
    <row r="8792" spans="1:50">
      <c r="A8792" s="1">
        <f>HYPERLINK("https://lsnyc.legalserver.org/matter/dynamic-profile/view/1870178","18-1870178")</f>
        <v>0</v>
      </c>
      <c r="B8792" t="s">
        <v>198</v>
      </c>
      <c r="C8792" t="s">
        <v>341</v>
      </c>
      <c r="D8792" t="s">
        <v>419</v>
      </c>
      <c r="E8792" t="s">
        <v>767</v>
      </c>
      <c r="F8792" t="s">
        <v>974</v>
      </c>
      <c r="G8792" t="s">
        <v>8822</v>
      </c>
      <c r="H8792" t="s">
        <v>15629</v>
      </c>
      <c r="I8792" t="s">
        <v>17327</v>
      </c>
      <c r="J8792" t="s">
        <v>18894</v>
      </c>
      <c r="K8792">
        <v>11235</v>
      </c>
      <c r="L8792" t="s">
        <v>18960</v>
      </c>
      <c r="M8792" t="s">
        <v>18960</v>
      </c>
      <c r="Q8792" t="s">
        <v>26570</v>
      </c>
      <c r="R8792" t="s">
        <v>26578</v>
      </c>
      <c r="U8792" t="s">
        <v>26604</v>
      </c>
      <c r="X8792">
        <v>1200</v>
      </c>
      <c r="Y8792" t="s">
        <v>26652</v>
      </c>
      <c r="Z8792" t="s">
        <v>26673</v>
      </c>
      <c r="AA8792" t="s">
        <v>26683</v>
      </c>
      <c r="AB8792" t="s">
        <v>33054</v>
      </c>
      <c r="AD8792" t="s">
        <v>43674</v>
      </c>
      <c r="AE8792">
        <v>46</v>
      </c>
      <c r="AG8792" t="s">
        <v>45559</v>
      </c>
      <c r="AH8792">
        <v>30</v>
      </c>
      <c r="AI8792">
        <v>1</v>
      </c>
      <c r="AJ8792">
        <v>0</v>
      </c>
      <c r="AK8792">
        <v>199.67</v>
      </c>
      <c r="AN8792" t="s">
        <v>7439</v>
      </c>
      <c r="AO8792">
        <v>24240</v>
      </c>
      <c r="AU8792">
        <v>1.54</v>
      </c>
      <c r="AV8792" t="s">
        <v>767</v>
      </c>
      <c r="AW8792" t="s">
        <v>46858</v>
      </c>
    </row>
    <row r="8793" spans="1:50">
      <c r="A8793" s="1">
        <f>HYPERLINK("https://lsnyc.legalserver.org/matter/dynamic-profile/view/1871383","18-1871383")</f>
        <v>0</v>
      </c>
      <c r="B8793" t="s">
        <v>52</v>
      </c>
      <c r="C8793" t="s">
        <v>341</v>
      </c>
      <c r="D8793" t="s">
        <v>419</v>
      </c>
      <c r="E8793" t="s">
        <v>426</v>
      </c>
      <c r="F8793" t="s">
        <v>4370</v>
      </c>
      <c r="G8793" t="s">
        <v>8823</v>
      </c>
      <c r="H8793" t="s">
        <v>15630</v>
      </c>
      <c r="I8793" t="s">
        <v>18600</v>
      </c>
      <c r="J8793" t="s">
        <v>18892</v>
      </c>
      <c r="K8793">
        <v>10458</v>
      </c>
      <c r="L8793" t="s">
        <v>18958</v>
      </c>
      <c r="M8793" t="s">
        <v>18958</v>
      </c>
      <c r="N8793" t="s">
        <v>25282</v>
      </c>
      <c r="O8793" t="s">
        <v>26523</v>
      </c>
      <c r="P8793" t="s">
        <v>26564</v>
      </c>
      <c r="Q8793" t="s">
        <v>26570</v>
      </c>
      <c r="R8793" t="s">
        <v>26583</v>
      </c>
      <c r="S8793" t="s">
        <v>18959</v>
      </c>
      <c r="U8793" t="s">
        <v>26604</v>
      </c>
      <c r="V8793" t="s">
        <v>26614</v>
      </c>
      <c r="X8793">
        <v>909.55</v>
      </c>
      <c r="Y8793" t="s">
        <v>26650</v>
      </c>
      <c r="Z8793" t="s">
        <v>26659</v>
      </c>
      <c r="AA8793" t="s">
        <v>26683</v>
      </c>
      <c r="AB8793" t="s">
        <v>33055</v>
      </c>
      <c r="AC8793" t="s">
        <v>36583</v>
      </c>
      <c r="AD8793" t="s">
        <v>43675</v>
      </c>
      <c r="AE8793">
        <v>0</v>
      </c>
      <c r="AF8793" t="s">
        <v>45541</v>
      </c>
      <c r="AG8793" t="s">
        <v>19330</v>
      </c>
      <c r="AH8793">
        <v>21</v>
      </c>
      <c r="AI8793">
        <v>2</v>
      </c>
      <c r="AJ8793">
        <v>0</v>
      </c>
      <c r="AK8793">
        <v>221.14</v>
      </c>
      <c r="AN8793" t="s">
        <v>7439</v>
      </c>
      <c r="AO8793">
        <v>36400</v>
      </c>
      <c r="AP8793" t="s">
        <v>45798</v>
      </c>
      <c r="AU8793">
        <v>3.5</v>
      </c>
      <c r="AV8793" t="s">
        <v>426</v>
      </c>
      <c r="AW8793" t="s">
        <v>46831</v>
      </c>
    </row>
    <row r="8794" spans="1:50">
      <c r="A8794" s="1">
        <f>HYPERLINK("https://lsnyc.legalserver.org/matter/dynamic-profile/view/1871439","18-1871439")</f>
        <v>0</v>
      </c>
      <c r="B8794" t="s">
        <v>147</v>
      </c>
      <c r="C8794" t="s">
        <v>340</v>
      </c>
      <c r="D8794" t="s">
        <v>419</v>
      </c>
      <c r="F8794" t="s">
        <v>4371</v>
      </c>
      <c r="G8794" t="s">
        <v>3396</v>
      </c>
      <c r="H8794" t="s">
        <v>11536</v>
      </c>
      <c r="I8794" t="s">
        <v>18601</v>
      </c>
      <c r="J8794" t="s">
        <v>18894</v>
      </c>
      <c r="K8794">
        <v>11230</v>
      </c>
      <c r="L8794" t="s">
        <v>18960</v>
      </c>
      <c r="M8794" t="s">
        <v>18960</v>
      </c>
      <c r="O8794" t="s">
        <v>18997</v>
      </c>
      <c r="P8794" t="s">
        <v>26563</v>
      </c>
      <c r="R8794" t="s">
        <v>26583</v>
      </c>
      <c r="S8794" t="s">
        <v>18958</v>
      </c>
      <c r="U8794" t="s">
        <v>26604</v>
      </c>
      <c r="X8794">
        <v>944.29</v>
      </c>
      <c r="Y8794" t="s">
        <v>26652</v>
      </c>
      <c r="Z8794" t="s">
        <v>26663</v>
      </c>
      <c r="AB8794" t="s">
        <v>33056</v>
      </c>
      <c r="AD8794" t="s">
        <v>43676</v>
      </c>
      <c r="AE8794">
        <v>22</v>
      </c>
      <c r="AF8794" t="s">
        <v>45541</v>
      </c>
      <c r="AG8794" t="s">
        <v>19330</v>
      </c>
      <c r="AH8794">
        <v>22</v>
      </c>
      <c r="AI8794">
        <v>2</v>
      </c>
      <c r="AJ8794">
        <v>0</v>
      </c>
      <c r="AK8794">
        <v>607.53</v>
      </c>
      <c r="AN8794" t="s">
        <v>7439</v>
      </c>
      <c r="AO8794">
        <v>100000</v>
      </c>
      <c r="AU8794">
        <v>1</v>
      </c>
      <c r="AV8794" t="s">
        <v>515</v>
      </c>
      <c r="AW8794" t="s">
        <v>237</v>
      </c>
    </row>
    <row r="8795" spans="1:50">
      <c r="A8795" s="1">
        <f>HYPERLINK("https://lsnyc.legalserver.org/matter/dynamic-profile/view/1871515","18-1871515")</f>
        <v>0</v>
      </c>
      <c r="B8795" t="s">
        <v>192</v>
      </c>
      <c r="C8795" t="s">
        <v>341</v>
      </c>
      <c r="D8795" t="s">
        <v>420</v>
      </c>
      <c r="E8795" t="s">
        <v>431</v>
      </c>
      <c r="F8795" t="s">
        <v>872</v>
      </c>
      <c r="G8795" t="s">
        <v>5147</v>
      </c>
      <c r="H8795" t="s">
        <v>10375</v>
      </c>
      <c r="I8795" t="s">
        <v>17421</v>
      </c>
      <c r="J8795" t="s">
        <v>18893</v>
      </c>
      <c r="K8795">
        <v>10032</v>
      </c>
      <c r="L8795" t="s">
        <v>18959</v>
      </c>
      <c r="M8795" t="s">
        <v>18960</v>
      </c>
      <c r="O8795" t="s">
        <v>26527</v>
      </c>
      <c r="P8795" t="s">
        <v>26565</v>
      </c>
      <c r="Q8795" t="s">
        <v>26570</v>
      </c>
      <c r="R8795" t="s">
        <v>26578</v>
      </c>
      <c r="S8795" t="s">
        <v>18958</v>
      </c>
      <c r="U8795" t="s">
        <v>26604</v>
      </c>
      <c r="X8795">
        <v>819.47</v>
      </c>
      <c r="Y8795" t="s">
        <v>26651</v>
      </c>
      <c r="Z8795" t="s">
        <v>26661</v>
      </c>
      <c r="AA8795" t="s">
        <v>26684</v>
      </c>
      <c r="AE8795">
        <v>115</v>
      </c>
      <c r="AF8795" t="s">
        <v>45541</v>
      </c>
      <c r="AG8795" t="s">
        <v>19330</v>
      </c>
      <c r="AH8795">
        <v>0</v>
      </c>
      <c r="AI8795">
        <v>1</v>
      </c>
      <c r="AJ8795">
        <v>0</v>
      </c>
      <c r="AK8795">
        <v>0</v>
      </c>
      <c r="AN8795" t="s">
        <v>45581</v>
      </c>
      <c r="AO8795">
        <v>0</v>
      </c>
      <c r="AU8795">
        <v>0.05</v>
      </c>
      <c r="AV8795" t="s">
        <v>420</v>
      </c>
      <c r="AW8795" t="s">
        <v>46840</v>
      </c>
    </row>
    <row r="8796" spans="1:50">
      <c r="A8796" s="1">
        <f>HYPERLINK("https://lsnyc.legalserver.org/matter/dynamic-profile/view/1871522","18-1871522")</f>
        <v>0</v>
      </c>
      <c r="B8796" t="s">
        <v>192</v>
      </c>
      <c r="C8796" t="s">
        <v>341</v>
      </c>
      <c r="D8796" t="s">
        <v>420</v>
      </c>
      <c r="E8796" t="s">
        <v>431</v>
      </c>
      <c r="F8796" t="s">
        <v>1026</v>
      </c>
      <c r="G8796" t="s">
        <v>8824</v>
      </c>
      <c r="H8796" t="s">
        <v>10375</v>
      </c>
      <c r="I8796" t="s">
        <v>17366</v>
      </c>
      <c r="J8796" t="s">
        <v>18893</v>
      </c>
      <c r="K8796">
        <v>10032</v>
      </c>
      <c r="L8796" t="s">
        <v>18958</v>
      </c>
      <c r="M8796" t="s">
        <v>18960</v>
      </c>
      <c r="O8796" t="s">
        <v>26527</v>
      </c>
      <c r="P8796" t="s">
        <v>26565</v>
      </c>
      <c r="Q8796" t="s">
        <v>26570</v>
      </c>
      <c r="R8796" t="s">
        <v>26578</v>
      </c>
      <c r="S8796" t="s">
        <v>18958</v>
      </c>
      <c r="U8796" t="s">
        <v>26604</v>
      </c>
      <c r="X8796">
        <v>1065.07</v>
      </c>
      <c r="Y8796" t="s">
        <v>26651</v>
      </c>
      <c r="Z8796" t="s">
        <v>26661</v>
      </c>
      <c r="AA8796" t="s">
        <v>26684</v>
      </c>
      <c r="AE8796">
        <v>115</v>
      </c>
      <c r="AF8796" t="s">
        <v>45541</v>
      </c>
      <c r="AG8796" t="s">
        <v>19330</v>
      </c>
      <c r="AH8796">
        <v>0</v>
      </c>
      <c r="AI8796">
        <v>1</v>
      </c>
      <c r="AJ8796">
        <v>0</v>
      </c>
      <c r="AK8796">
        <v>0</v>
      </c>
      <c r="AN8796" t="s">
        <v>45581</v>
      </c>
      <c r="AO8796">
        <v>0</v>
      </c>
      <c r="AU8796">
        <v>0.05</v>
      </c>
      <c r="AV8796" t="s">
        <v>420</v>
      </c>
      <c r="AW8796" t="s">
        <v>46840</v>
      </c>
    </row>
    <row r="8797" spans="1:50">
      <c r="A8797" s="1">
        <f>HYPERLINK("https://lsnyc.legalserver.org/matter/dynamic-profile/view/1871524","18-1871524")</f>
        <v>0</v>
      </c>
      <c r="B8797" t="s">
        <v>192</v>
      </c>
      <c r="C8797" t="s">
        <v>341</v>
      </c>
      <c r="D8797" t="s">
        <v>420</v>
      </c>
      <c r="E8797" t="s">
        <v>431</v>
      </c>
      <c r="F8797" t="s">
        <v>999</v>
      </c>
      <c r="G8797" t="s">
        <v>1685</v>
      </c>
      <c r="H8797" t="s">
        <v>10375</v>
      </c>
      <c r="I8797" t="s">
        <v>17490</v>
      </c>
      <c r="J8797" t="s">
        <v>18893</v>
      </c>
      <c r="K8797">
        <v>10032</v>
      </c>
      <c r="L8797" t="s">
        <v>18959</v>
      </c>
      <c r="M8797" t="s">
        <v>18960</v>
      </c>
      <c r="O8797" t="s">
        <v>26527</v>
      </c>
      <c r="P8797" t="s">
        <v>26565</v>
      </c>
      <c r="Q8797" t="s">
        <v>26570</v>
      </c>
      <c r="R8797" t="s">
        <v>26578</v>
      </c>
      <c r="S8797" t="s">
        <v>18958</v>
      </c>
      <c r="U8797" t="s">
        <v>26604</v>
      </c>
      <c r="X8797">
        <v>1040.1</v>
      </c>
      <c r="Y8797" t="s">
        <v>26651</v>
      </c>
      <c r="Z8797" t="s">
        <v>26661</v>
      </c>
      <c r="AA8797" t="s">
        <v>26684</v>
      </c>
      <c r="AE8797">
        <v>115</v>
      </c>
      <c r="AF8797" t="s">
        <v>45541</v>
      </c>
      <c r="AG8797" t="s">
        <v>19330</v>
      </c>
      <c r="AH8797">
        <v>0</v>
      </c>
      <c r="AI8797">
        <v>1</v>
      </c>
      <c r="AJ8797">
        <v>0</v>
      </c>
      <c r="AK8797">
        <v>0</v>
      </c>
      <c r="AN8797" t="s">
        <v>45581</v>
      </c>
      <c r="AO8797">
        <v>0</v>
      </c>
      <c r="AU8797">
        <v>0.05</v>
      </c>
      <c r="AV8797" t="s">
        <v>420</v>
      </c>
      <c r="AW8797" t="s">
        <v>46840</v>
      </c>
    </row>
    <row r="8798" spans="1:50">
      <c r="A8798" s="1">
        <f>HYPERLINK("https://lsnyc.legalserver.org/matter/dynamic-profile/view/1871527","18-1871527")</f>
        <v>0</v>
      </c>
      <c r="B8798" t="s">
        <v>192</v>
      </c>
      <c r="C8798" t="s">
        <v>341</v>
      </c>
      <c r="D8798" t="s">
        <v>420</v>
      </c>
      <c r="E8798" t="s">
        <v>431</v>
      </c>
      <c r="F8798" t="s">
        <v>2169</v>
      </c>
      <c r="G8798" t="s">
        <v>5147</v>
      </c>
      <c r="H8798" t="s">
        <v>10375</v>
      </c>
      <c r="I8798" t="s">
        <v>17346</v>
      </c>
      <c r="J8798" t="s">
        <v>18893</v>
      </c>
      <c r="K8798">
        <v>10032</v>
      </c>
      <c r="L8798" t="s">
        <v>18959</v>
      </c>
      <c r="M8798" t="s">
        <v>18960</v>
      </c>
      <c r="O8798" t="s">
        <v>26527</v>
      </c>
      <c r="P8798" t="s">
        <v>26565</v>
      </c>
      <c r="Q8798" t="s">
        <v>26570</v>
      </c>
      <c r="R8798" t="s">
        <v>26578</v>
      </c>
      <c r="S8798" t="s">
        <v>18958</v>
      </c>
      <c r="U8798" t="s">
        <v>26604</v>
      </c>
      <c r="X8798">
        <v>663.04</v>
      </c>
      <c r="Y8798" t="s">
        <v>26651</v>
      </c>
      <c r="Z8798" t="s">
        <v>26661</v>
      </c>
      <c r="AA8798" t="s">
        <v>26684</v>
      </c>
      <c r="AE8798">
        <v>115</v>
      </c>
      <c r="AF8798" t="s">
        <v>45541</v>
      </c>
      <c r="AG8798" t="s">
        <v>19330</v>
      </c>
      <c r="AH8798">
        <v>0</v>
      </c>
      <c r="AI8798">
        <v>1</v>
      </c>
      <c r="AJ8798">
        <v>0</v>
      </c>
      <c r="AK8798">
        <v>0</v>
      </c>
      <c r="AN8798" t="s">
        <v>7439</v>
      </c>
      <c r="AO8798">
        <v>0</v>
      </c>
      <c r="AU8798">
        <v>0.05</v>
      </c>
      <c r="AV8798" t="s">
        <v>420</v>
      </c>
      <c r="AW8798" t="s">
        <v>46840</v>
      </c>
    </row>
    <row r="8799" spans="1:50">
      <c r="A8799" s="1">
        <f>HYPERLINK("https://lsnyc.legalserver.org/matter/dynamic-profile/view/1871529","18-1871529")</f>
        <v>0</v>
      </c>
      <c r="B8799" t="s">
        <v>192</v>
      </c>
      <c r="C8799" t="s">
        <v>341</v>
      </c>
      <c r="D8799" t="s">
        <v>420</v>
      </c>
      <c r="E8799" t="s">
        <v>431</v>
      </c>
      <c r="F8799" t="s">
        <v>1323</v>
      </c>
      <c r="G8799" t="s">
        <v>8825</v>
      </c>
      <c r="H8799" t="s">
        <v>10375</v>
      </c>
      <c r="I8799" t="s">
        <v>17540</v>
      </c>
      <c r="J8799" t="s">
        <v>18893</v>
      </c>
      <c r="K8799">
        <v>10032</v>
      </c>
      <c r="L8799" t="s">
        <v>18959</v>
      </c>
      <c r="M8799" t="s">
        <v>18960</v>
      </c>
      <c r="O8799" t="s">
        <v>26527</v>
      </c>
      <c r="P8799" t="s">
        <v>26565</v>
      </c>
      <c r="Q8799" t="s">
        <v>26570</v>
      </c>
      <c r="R8799" t="s">
        <v>26578</v>
      </c>
      <c r="S8799" t="s">
        <v>18958</v>
      </c>
      <c r="U8799" t="s">
        <v>26604</v>
      </c>
      <c r="X8799">
        <v>964.08</v>
      </c>
      <c r="Y8799" t="s">
        <v>26651</v>
      </c>
      <c r="Z8799" t="s">
        <v>26661</v>
      </c>
      <c r="AA8799" t="s">
        <v>26684</v>
      </c>
      <c r="AE8799">
        <v>115</v>
      </c>
      <c r="AF8799" t="s">
        <v>45541</v>
      </c>
      <c r="AG8799" t="s">
        <v>19330</v>
      </c>
      <c r="AH8799">
        <v>0</v>
      </c>
      <c r="AI8799">
        <v>2</v>
      </c>
      <c r="AJ8799">
        <v>0</v>
      </c>
      <c r="AK8799">
        <v>0</v>
      </c>
      <c r="AN8799" t="s">
        <v>45581</v>
      </c>
      <c r="AO8799">
        <v>0</v>
      </c>
      <c r="AU8799">
        <v>0.05</v>
      </c>
      <c r="AV8799" t="s">
        <v>420</v>
      </c>
      <c r="AW8799" t="s">
        <v>46840</v>
      </c>
    </row>
    <row r="8800" spans="1:50">
      <c r="A8800" s="1">
        <f>HYPERLINK("https://lsnyc.legalserver.org/matter/dynamic-profile/view/1871532","18-1871532")</f>
        <v>0</v>
      </c>
      <c r="B8800" t="s">
        <v>192</v>
      </c>
      <c r="C8800" t="s">
        <v>341</v>
      </c>
      <c r="D8800" t="s">
        <v>420</v>
      </c>
      <c r="E8800" t="s">
        <v>431</v>
      </c>
      <c r="F8800" t="s">
        <v>871</v>
      </c>
      <c r="G8800" t="s">
        <v>5275</v>
      </c>
      <c r="H8800" t="s">
        <v>10375</v>
      </c>
      <c r="I8800" t="s">
        <v>17320</v>
      </c>
      <c r="J8800" t="s">
        <v>18893</v>
      </c>
      <c r="K8800">
        <v>10032</v>
      </c>
      <c r="L8800" t="s">
        <v>18959</v>
      </c>
      <c r="M8800" t="s">
        <v>18960</v>
      </c>
      <c r="O8800" t="s">
        <v>26527</v>
      </c>
      <c r="P8800" t="s">
        <v>26565</v>
      </c>
      <c r="Q8800" t="s">
        <v>26570</v>
      </c>
      <c r="R8800" t="s">
        <v>26578</v>
      </c>
      <c r="S8800" t="s">
        <v>18958</v>
      </c>
      <c r="U8800" t="s">
        <v>26604</v>
      </c>
      <c r="X8800">
        <v>1074.42</v>
      </c>
      <c r="Y8800" t="s">
        <v>26651</v>
      </c>
      <c r="Z8800" t="s">
        <v>26661</v>
      </c>
      <c r="AA8800" t="s">
        <v>26684</v>
      </c>
      <c r="AE8800">
        <v>115</v>
      </c>
      <c r="AF8800" t="s">
        <v>45541</v>
      </c>
      <c r="AG8800" t="s">
        <v>19330</v>
      </c>
      <c r="AH8800">
        <v>0</v>
      </c>
      <c r="AI8800">
        <v>1</v>
      </c>
      <c r="AJ8800">
        <v>0</v>
      </c>
      <c r="AK8800">
        <v>0</v>
      </c>
      <c r="AN8800" t="s">
        <v>45581</v>
      </c>
      <c r="AO8800">
        <v>0</v>
      </c>
      <c r="AU8800">
        <v>0.05</v>
      </c>
      <c r="AV8800" t="s">
        <v>420</v>
      </c>
      <c r="AW8800" t="s">
        <v>46840</v>
      </c>
    </row>
    <row r="8801" spans="1:49">
      <c r="A8801" s="1">
        <f>HYPERLINK("https://lsnyc.legalserver.org/matter/dynamic-profile/view/1871535","18-1871535")</f>
        <v>0</v>
      </c>
      <c r="B8801" t="s">
        <v>192</v>
      </c>
      <c r="C8801" t="s">
        <v>341</v>
      </c>
      <c r="D8801" t="s">
        <v>420</v>
      </c>
      <c r="E8801" t="s">
        <v>431</v>
      </c>
      <c r="F8801" t="s">
        <v>901</v>
      </c>
      <c r="G8801" t="s">
        <v>5208</v>
      </c>
      <c r="H8801" t="s">
        <v>10375</v>
      </c>
      <c r="I8801" t="s">
        <v>17755</v>
      </c>
      <c r="J8801" t="s">
        <v>18893</v>
      </c>
      <c r="K8801">
        <v>10032</v>
      </c>
      <c r="L8801" t="s">
        <v>18959</v>
      </c>
      <c r="M8801" t="s">
        <v>18960</v>
      </c>
      <c r="O8801" t="s">
        <v>26527</v>
      </c>
      <c r="P8801" t="s">
        <v>26565</v>
      </c>
      <c r="Q8801" t="s">
        <v>26570</v>
      </c>
      <c r="R8801" t="s">
        <v>26578</v>
      </c>
      <c r="S8801" t="s">
        <v>18958</v>
      </c>
      <c r="U8801" t="s">
        <v>26604</v>
      </c>
      <c r="X8801">
        <v>982.15</v>
      </c>
      <c r="Y8801" t="s">
        <v>26651</v>
      </c>
      <c r="Z8801" t="s">
        <v>26661</v>
      </c>
      <c r="AA8801" t="s">
        <v>26684</v>
      </c>
      <c r="AE8801">
        <v>115</v>
      </c>
      <c r="AF8801" t="s">
        <v>45541</v>
      </c>
      <c r="AG8801" t="s">
        <v>19330</v>
      </c>
      <c r="AH8801">
        <v>0</v>
      </c>
      <c r="AI8801">
        <v>2</v>
      </c>
      <c r="AJ8801">
        <v>0</v>
      </c>
      <c r="AK8801">
        <v>0</v>
      </c>
      <c r="AN8801" t="s">
        <v>45581</v>
      </c>
      <c r="AO8801">
        <v>0</v>
      </c>
      <c r="AU8801">
        <v>0.05</v>
      </c>
      <c r="AV8801" t="s">
        <v>420</v>
      </c>
      <c r="AW8801" t="s">
        <v>46840</v>
      </c>
    </row>
    <row r="8802" spans="1:49">
      <c r="A8802" s="1">
        <f>HYPERLINK("https://lsnyc.legalserver.org/matter/dynamic-profile/view/1871537","18-1871537")</f>
        <v>0</v>
      </c>
      <c r="B8802" t="s">
        <v>192</v>
      </c>
      <c r="C8802" t="s">
        <v>341</v>
      </c>
      <c r="D8802" t="s">
        <v>420</v>
      </c>
      <c r="E8802" t="s">
        <v>431</v>
      </c>
      <c r="F8802" t="s">
        <v>871</v>
      </c>
      <c r="G8802" t="s">
        <v>5416</v>
      </c>
      <c r="H8802" t="s">
        <v>10375</v>
      </c>
      <c r="I8802" t="s">
        <v>17516</v>
      </c>
      <c r="J8802" t="s">
        <v>18893</v>
      </c>
      <c r="K8802">
        <v>10032</v>
      </c>
      <c r="L8802" t="s">
        <v>18959</v>
      </c>
      <c r="M8802" t="s">
        <v>18960</v>
      </c>
      <c r="O8802" t="s">
        <v>26527</v>
      </c>
      <c r="P8802" t="s">
        <v>26565</v>
      </c>
      <c r="Q8802" t="s">
        <v>26570</v>
      </c>
      <c r="R8802" t="s">
        <v>26578</v>
      </c>
      <c r="S8802" t="s">
        <v>18958</v>
      </c>
      <c r="U8802" t="s">
        <v>26604</v>
      </c>
      <c r="X8802">
        <v>1127.12</v>
      </c>
      <c r="Y8802" t="s">
        <v>26651</v>
      </c>
      <c r="Z8802" t="s">
        <v>26661</v>
      </c>
      <c r="AA8802" t="s">
        <v>26684</v>
      </c>
      <c r="AE8802">
        <v>115</v>
      </c>
      <c r="AF8802" t="s">
        <v>45541</v>
      </c>
      <c r="AG8802" t="s">
        <v>19330</v>
      </c>
      <c r="AH8802">
        <v>0</v>
      </c>
      <c r="AI8802">
        <v>1</v>
      </c>
      <c r="AJ8802">
        <v>0</v>
      </c>
      <c r="AK8802">
        <v>0</v>
      </c>
      <c r="AN8802" t="s">
        <v>45581</v>
      </c>
      <c r="AO8802">
        <v>0</v>
      </c>
      <c r="AU8802">
        <v>0.05</v>
      </c>
      <c r="AV8802" t="s">
        <v>420</v>
      </c>
      <c r="AW8802" t="s">
        <v>46840</v>
      </c>
    </row>
    <row r="8803" spans="1:49">
      <c r="A8803" s="1">
        <f>HYPERLINK("https://lsnyc.legalserver.org/matter/dynamic-profile/view/1871541","18-1871541")</f>
        <v>0</v>
      </c>
      <c r="B8803" t="s">
        <v>192</v>
      </c>
      <c r="C8803" t="s">
        <v>341</v>
      </c>
      <c r="D8803" t="s">
        <v>420</v>
      </c>
      <c r="E8803" t="s">
        <v>431</v>
      </c>
      <c r="F8803" t="s">
        <v>2074</v>
      </c>
      <c r="G8803" t="s">
        <v>5121</v>
      </c>
      <c r="H8803" t="s">
        <v>10375</v>
      </c>
      <c r="I8803" t="s">
        <v>17465</v>
      </c>
      <c r="J8803" t="s">
        <v>18893</v>
      </c>
      <c r="K8803">
        <v>10032</v>
      </c>
      <c r="L8803" t="s">
        <v>18959</v>
      </c>
      <c r="M8803" t="s">
        <v>18960</v>
      </c>
      <c r="O8803" t="s">
        <v>26527</v>
      </c>
      <c r="P8803" t="s">
        <v>26565</v>
      </c>
      <c r="Q8803" t="s">
        <v>26570</v>
      </c>
      <c r="R8803" t="s">
        <v>26578</v>
      </c>
      <c r="S8803" t="s">
        <v>18958</v>
      </c>
      <c r="U8803" t="s">
        <v>26604</v>
      </c>
      <c r="X8803">
        <v>884.03</v>
      </c>
      <c r="Y8803" t="s">
        <v>26651</v>
      </c>
      <c r="Z8803" t="s">
        <v>26661</v>
      </c>
      <c r="AA8803" t="s">
        <v>26684</v>
      </c>
      <c r="AE8803">
        <v>115</v>
      </c>
      <c r="AF8803" t="s">
        <v>45541</v>
      </c>
      <c r="AG8803" t="s">
        <v>19330</v>
      </c>
      <c r="AH8803">
        <v>0</v>
      </c>
      <c r="AI8803">
        <v>2</v>
      </c>
      <c r="AJ8803">
        <v>0</v>
      </c>
      <c r="AK8803">
        <v>0</v>
      </c>
      <c r="AN8803" t="s">
        <v>45581</v>
      </c>
      <c r="AO8803">
        <v>0</v>
      </c>
      <c r="AU8803">
        <v>0.05</v>
      </c>
      <c r="AV8803" t="s">
        <v>420</v>
      </c>
      <c r="AW8803" t="s">
        <v>46840</v>
      </c>
    </row>
    <row r="8804" spans="1:49">
      <c r="A8804" s="1">
        <f>HYPERLINK("https://lsnyc.legalserver.org/matter/dynamic-profile/view/1871543","18-1871543")</f>
        <v>0</v>
      </c>
      <c r="B8804" t="s">
        <v>192</v>
      </c>
      <c r="C8804" t="s">
        <v>341</v>
      </c>
      <c r="D8804" t="s">
        <v>420</v>
      </c>
      <c r="E8804" t="s">
        <v>431</v>
      </c>
      <c r="F8804" t="s">
        <v>1485</v>
      </c>
      <c r="G8804" t="s">
        <v>5652</v>
      </c>
      <c r="H8804" t="s">
        <v>10375</v>
      </c>
      <c r="I8804" t="s">
        <v>17275</v>
      </c>
      <c r="J8804" t="s">
        <v>18893</v>
      </c>
      <c r="K8804">
        <v>10032</v>
      </c>
      <c r="L8804" t="s">
        <v>18959</v>
      </c>
      <c r="M8804" t="s">
        <v>18960</v>
      </c>
      <c r="O8804" t="s">
        <v>26527</v>
      </c>
      <c r="P8804" t="s">
        <v>26565</v>
      </c>
      <c r="Q8804" t="s">
        <v>26570</v>
      </c>
      <c r="R8804" t="s">
        <v>26578</v>
      </c>
      <c r="S8804" t="s">
        <v>18958</v>
      </c>
      <c r="U8804" t="s">
        <v>26604</v>
      </c>
      <c r="X8804">
        <v>3205</v>
      </c>
      <c r="Y8804" t="s">
        <v>26651</v>
      </c>
      <c r="Z8804" t="s">
        <v>26661</v>
      </c>
      <c r="AA8804" t="s">
        <v>26684</v>
      </c>
      <c r="AE8804">
        <v>115</v>
      </c>
      <c r="AF8804" t="s">
        <v>45541</v>
      </c>
      <c r="AG8804" t="s">
        <v>19330</v>
      </c>
      <c r="AH8804">
        <v>0</v>
      </c>
      <c r="AI8804">
        <v>1</v>
      </c>
      <c r="AJ8804">
        <v>0</v>
      </c>
      <c r="AK8804">
        <v>0</v>
      </c>
      <c r="AN8804" t="s">
        <v>45581</v>
      </c>
      <c r="AO8804">
        <v>0</v>
      </c>
      <c r="AU8804">
        <v>1.55</v>
      </c>
      <c r="AV8804" t="s">
        <v>426</v>
      </c>
      <c r="AW8804" t="s">
        <v>46840</v>
      </c>
    </row>
    <row r="8805" spans="1:49">
      <c r="A8805" s="1">
        <f>HYPERLINK("https://lsnyc.legalserver.org/matter/dynamic-profile/view/1871548","18-1871548")</f>
        <v>0</v>
      </c>
      <c r="B8805" t="s">
        <v>192</v>
      </c>
      <c r="C8805" t="s">
        <v>341</v>
      </c>
      <c r="D8805" t="s">
        <v>420</v>
      </c>
      <c r="E8805" t="s">
        <v>431</v>
      </c>
      <c r="F8805" t="s">
        <v>3510</v>
      </c>
      <c r="G8805" t="s">
        <v>8826</v>
      </c>
      <c r="H8805" t="s">
        <v>10375</v>
      </c>
      <c r="I8805" t="s">
        <v>17817</v>
      </c>
      <c r="J8805" t="s">
        <v>18893</v>
      </c>
      <c r="K8805">
        <v>10032</v>
      </c>
      <c r="L8805" t="s">
        <v>18959</v>
      </c>
      <c r="M8805" t="s">
        <v>18960</v>
      </c>
      <c r="O8805" t="s">
        <v>26527</v>
      </c>
      <c r="P8805" t="s">
        <v>26565</v>
      </c>
      <c r="Q8805" t="s">
        <v>26570</v>
      </c>
      <c r="R8805" t="s">
        <v>26578</v>
      </c>
      <c r="S8805" t="s">
        <v>18958</v>
      </c>
      <c r="U8805" t="s">
        <v>26604</v>
      </c>
      <c r="X8805">
        <v>0</v>
      </c>
      <c r="Y8805" t="s">
        <v>26651</v>
      </c>
      <c r="Z8805" t="s">
        <v>26661</v>
      </c>
      <c r="AA8805" t="s">
        <v>26684</v>
      </c>
      <c r="AE8805">
        <v>115</v>
      </c>
      <c r="AF8805" t="s">
        <v>45541</v>
      </c>
      <c r="AG8805" t="s">
        <v>19330</v>
      </c>
      <c r="AH8805">
        <v>0</v>
      </c>
      <c r="AI8805">
        <v>1</v>
      </c>
      <c r="AJ8805">
        <v>0</v>
      </c>
      <c r="AK8805">
        <v>0</v>
      </c>
      <c r="AN8805" t="s">
        <v>7439</v>
      </c>
      <c r="AO8805">
        <v>0</v>
      </c>
      <c r="AU8805">
        <v>0.05</v>
      </c>
      <c r="AV8805" t="s">
        <v>420</v>
      </c>
      <c r="AW8805" t="s">
        <v>46840</v>
      </c>
    </row>
    <row r="8806" spans="1:49">
      <c r="A8806" s="1">
        <f>HYPERLINK("https://lsnyc.legalserver.org/matter/dynamic-profile/view/1871551","18-1871551")</f>
        <v>0</v>
      </c>
      <c r="B8806" t="s">
        <v>192</v>
      </c>
      <c r="C8806" t="s">
        <v>341</v>
      </c>
      <c r="D8806" t="s">
        <v>420</v>
      </c>
      <c r="E8806" t="s">
        <v>431</v>
      </c>
      <c r="F8806" t="s">
        <v>4372</v>
      </c>
      <c r="G8806" t="s">
        <v>2564</v>
      </c>
      <c r="H8806" t="s">
        <v>10375</v>
      </c>
      <c r="I8806" t="s">
        <v>17283</v>
      </c>
      <c r="J8806" t="s">
        <v>18893</v>
      </c>
      <c r="K8806">
        <v>10032</v>
      </c>
      <c r="L8806" t="s">
        <v>18959</v>
      </c>
      <c r="M8806" t="s">
        <v>18960</v>
      </c>
      <c r="O8806" t="s">
        <v>26527</v>
      </c>
      <c r="P8806" t="s">
        <v>26565</v>
      </c>
      <c r="Q8806" t="s">
        <v>26570</v>
      </c>
      <c r="R8806" t="s">
        <v>26578</v>
      </c>
      <c r="S8806" t="s">
        <v>18958</v>
      </c>
      <c r="U8806" t="s">
        <v>26604</v>
      </c>
      <c r="X8806">
        <v>2397.94</v>
      </c>
      <c r="Y8806" t="s">
        <v>26651</v>
      </c>
      <c r="Z8806" t="s">
        <v>26661</v>
      </c>
      <c r="AA8806" t="s">
        <v>26684</v>
      </c>
      <c r="AE8806">
        <v>115</v>
      </c>
      <c r="AF8806" t="s">
        <v>45541</v>
      </c>
      <c r="AG8806" t="s">
        <v>19330</v>
      </c>
      <c r="AH8806">
        <v>0</v>
      </c>
      <c r="AI8806">
        <v>1</v>
      </c>
      <c r="AJ8806">
        <v>0</v>
      </c>
      <c r="AK8806">
        <v>0</v>
      </c>
      <c r="AN8806" t="s">
        <v>45581</v>
      </c>
      <c r="AO8806">
        <v>0</v>
      </c>
      <c r="AU8806">
        <v>0.05</v>
      </c>
      <c r="AV8806" t="s">
        <v>420</v>
      </c>
      <c r="AW8806" t="s">
        <v>46840</v>
      </c>
    </row>
    <row r="8807" spans="1:49">
      <c r="A8807" s="1">
        <f>HYPERLINK("https://lsnyc.legalserver.org/matter/dynamic-profile/view/1871588","18-1871588")</f>
        <v>0</v>
      </c>
      <c r="B8807" t="s">
        <v>192</v>
      </c>
      <c r="C8807" t="s">
        <v>341</v>
      </c>
      <c r="D8807" t="s">
        <v>420</v>
      </c>
      <c r="E8807" t="s">
        <v>431</v>
      </c>
      <c r="F8807" t="s">
        <v>1463</v>
      </c>
      <c r="G8807" t="s">
        <v>5635</v>
      </c>
      <c r="H8807" t="s">
        <v>10375</v>
      </c>
      <c r="I8807" t="s">
        <v>17349</v>
      </c>
      <c r="J8807" t="s">
        <v>18893</v>
      </c>
      <c r="K8807">
        <v>10032</v>
      </c>
      <c r="L8807" t="s">
        <v>18959</v>
      </c>
      <c r="M8807" t="s">
        <v>18960</v>
      </c>
      <c r="O8807" t="s">
        <v>26527</v>
      </c>
      <c r="P8807" t="s">
        <v>26565</v>
      </c>
      <c r="Q8807" t="s">
        <v>26570</v>
      </c>
      <c r="R8807" t="s">
        <v>26578</v>
      </c>
      <c r="S8807" t="s">
        <v>18958</v>
      </c>
      <c r="U8807" t="s">
        <v>26604</v>
      </c>
      <c r="X8807">
        <v>797.9</v>
      </c>
      <c r="Y8807" t="s">
        <v>26651</v>
      </c>
      <c r="Z8807" t="s">
        <v>26661</v>
      </c>
      <c r="AA8807" t="s">
        <v>26684</v>
      </c>
      <c r="AE8807">
        <v>115</v>
      </c>
      <c r="AF8807" t="s">
        <v>45541</v>
      </c>
      <c r="AG8807" t="s">
        <v>19330</v>
      </c>
      <c r="AH8807">
        <v>0</v>
      </c>
      <c r="AI8807">
        <v>1</v>
      </c>
      <c r="AJ8807">
        <v>0</v>
      </c>
      <c r="AK8807">
        <v>0</v>
      </c>
      <c r="AN8807" t="s">
        <v>45581</v>
      </c>
      <c r="AO8807">
        <v>0</v>
      </c>
      <c r="AU8807">
        <v>2.15</v>
      </c>
      <c r="AV8807" t="s">
        <v>420</v>
      </c>
      <c r="AW8807" t="s">
        <v>46840</v>
      </c>
    </row>
    <row r="8808" spans="1:49">
      <c r="A8808" s="1">
        <f>HYPERLINK("https://lsnyc.legalserver.org/matter/dynamic-profile/view/1871036","18-1871036")</f>
        <v>0</v>
      </c>
      <c r="B8808" t="s">
        <v>198</v>
      </c>
      <c r="C8808" t="s">
        <v>341</v>
      </c>
      <c r="D8808" t="s">
        <v>420</v>
      </c>
      <c r="E8808" t="s">
        <v>765</v>
      </c>
      <c r="F8808" t="s">
        <v>968</v>
      </c>
      <c r="G8808" t="s">
        <v>7874</v>
      </c>
      <c r="H8808" t="s">
        <v>13998</v>
      </c>
      <c r="I8808" t="s">
        <v>17436</v>
      </c>
      <c r="J8808" t="s">
        <v>18894</v>
      </c>
      <c r="K8808">
        <v>11230</v>
      </c>
      <c r="L8808" t="s">
        <v>18960</v>
      </c>
      <c r="M8808" t="s">
        <v>18960</v>
      </c>
      <c r="Q8808" t="s">
        <v>26570</v>
      </c>
      <c r="R8808" t="s">
        <v>26578</v>
      </c>
      <c r="U8808" t="s">
        <v>26604</v>
      </c>
      <c r="X8808">
        <v>11337.6</v>
      </c>
      <c r="Y8808" t="s">
        <v>26652</v>
      </c>
      <c r="Z8808" t="s">
        <v>26657</v>
      </c>
      <c r="AA8808" t="s">
        <v>26683</v>
      </c>
      <c r="AB8808" t="s">
        <v>29768</v>
      </c>
      <c r="AD8808" t="s">
        <v>41640</v>
      </c>
      <c r="AE8808">
        <v>60</v>
      </c>
      <c r="AF8808" t="s">
        <v>45541</v>
      </c>
      <c r="AG8808" t="s">
        <v>19330</v>
      </c>
      <c r="AH8808">
        <v>35</v>
      </c>
      <c r="AI8808">
        <v>2</v>
      </c>
      <c r="AJ8808">
        <v>0</v>
      </c>
      <c r="AK8808">
        <v>153.1</v>
      </c>
      <c r="AN8808" t="s">
        <v>7439</v>
      </c>
      <c r="AO8808">
        <v>25200</v>
      </c>
      <c r="AU8808">
        <v>1.3</v>
      </c>
      <c r="AV8808" t="s">
        <v>765</v>
      </c>
      <c r="AW8808" t="s">
        <v>46842</v>
      </c>
    </row>
    <row r="8809" spans="1:49">
      <c r="A8809" s="1">
        <f>HYPERLINK("https://lsnyc.legalserver.org/matter/dynamic-profile/view/1871495","18-1871495")</f>
        <v>0</v>
      </c>
      <c r="B8809" t="s">
        <v>279</v>
      </c>
      <c r="C8809" t="s">
        <v>341</v>
      </c>
      <c r="D8809" t="s">
        <v>420</v>
      </c>
      <c r="E8809" t="s">
        <v>449</v>
      </c>
      <c r="F8809" t="s">
        <v>1738</v>
      </c>
      <c r="G8809" t="s">
        <v>6687</v>
      </c>
      <c r="H8809" t="s">
        <v>15631</v>
      </c>
      <c r="I8809">
        <v>3</v>
      </c>
      <c r="J8809" t="s">
        <v>18894</v>
      </c>
      <c r="K8809">
        <v>11233</v>
      </c>
      <c r="L8809" t="s">
        <v>18959</v>
      </c>
      <c r="M8809" t="s">
        <v>18959</v>
      </c>
      <c r="N8809" t="s">
        <v>18997</v>
      </c>
      <c r="O8809" t="s">
        <v>26526</v>
      </c>
      <c r="Q8809" t="s">
        <v>26570</v>
      </c>
      <c r="R8809" t="s">
        <v>26578</v>
      </c>
      <c r="S8809" t="s">
        <v>18959</v>
      </c>
      <c r="U8809" t="s">
        <v>26604</v>
      </c>
      <c r="X8809">
        <v>400</v>
      </c>
      <c r="Y8809" t="s">
        <v>26652</v>
      </c>
      <c r="Z8809" t="s">
        <v>26673</v>
      </c>
      <c r="AA8809" t="s">
        <v>26683</v>
      </c>
      <c r="AB8809" t="s">
        <v>33057</v>
      </c>
      <c r="AC8809" t="s">
        <v>34508</v>
      </c>
      <c r="AD8809" t="s">
        <v>43677</v>
      </c>
      <c r="AE8809">
        <v>4</v>
      </c>
      <c r="AF8809" t="s">
        <v>45547</v>
      </c>
      <c r="AH8809">
        <v>2</v>
      </c>
      <c r="AI8809">
        <v>1</v>
      </c>
      <c r="AJ8809">
        <v>0</v>
      </c>
      <c r="AK8809">
        <v>72.45</v>
      </c>
      <c r="AN8809" t="s">
        <v>7439</v>
      </c>
      <c r="AO8809">
        <v>8796</v>
      </c>
      <c r="AU8809">
        <v>1</v>
      </c>
      <c r="AV8809" t="s">
        <v>420</v>
      </c>
      <c r="AW8809" t="s">
        <v>46861</v>
      </c>
    </row>
    <row r="8810" spans="1:49">
      <c r="A8810" s="1">
        <f>HYPERLINK("https://lsnyc.legalserver.org/matter/dynamic-profile/view/1871607","18-1871607")</f>
        <v>0</v>
      </c>
      <c r="B8810" t="s">
        <v>141</v>
      </c>
      <c r="C8810" t="s">
        <v>341</v>
      </c>
      <c r="D8810" t="s">
        <v>425</v>
      </c>
      <c r="E8810" t="s">
        <v>594</v>
      </c>
      <c r="F8810" t="s">
        <v>1352</v>
      </c>
      <c r="G8810" t="s">
        <v>923</v>
      </c>
      <c r="H8810" t="s">
        <v>9840</v>
      </c>
      <c r="I8810" t="s">
        <v>18602</v>
      </c>
      <c r="J8810" t="s">
        <v>18915</v>
      </c>
      <c r="K8810">
        <v>11372</v>
      </c>
      <c r="L8810" t="s">
        <v>18958</v>
      </c>
      <c r="M8810" t="s">
        <v>18958</v>
      </c>
      <c r="N8810" t="s">
        <v>19045</v>
      </c>
      <c r="O8810" t="s">
        <v>26529</v>
      </c>
      <c r="P8810" t="s">
        <v>26564</v>
      </c>
      <c r="Q8810" t="s">
        <v>26570</v>
      </c>
      <c r="R8810" t="s">
        <v>26583</v>
      </c>
      <c r="S8810" t="s">
        <v>18958</v>
      </c>
      <c r="U8810" t="s">
        <v>26604</v>
      </c>
      <c r="V8810" t="s">
        <v>26610</v>
      </c>
      <c r="X8810">
        <v>1950</v>
      </c>
      <c r="Y8810" t="s">
        <v>26653</v>
      </c>
      <c r="Z8810" t="s">
        <v>26664</v>
      </c>
      <c r="AA8810" t="s">
        <v>26683</v>
      </c>
      <c r="AB8810" t="s">
        <v>33058</v>
      </c>
      <c r="AD8810" t="s">
        <v>43678</v>
      </c>
      <c r="AE8810">
        <v>64</v>
      </c>
      <c r="AF8810" t="s">
        <v>45547</v>
      </c>
      <c r="AG8810" t="s">
        <v>19330</v>
      </c>
      <c r="AH8810">
        <v>3</v>
      </c>
      <c r="AI8810">
        <v>1</v>
      </c>
      <c r="AJ8810">
        <v>0</v>
      </c>
      <c r="AK8810">
        <v>705.9299999999999</v>
      </c>
      <c r="AN8810" t="s">
        <v>7439</v>
      </c>
      <c r="AO8810">
        <v>85700</v>
      </c>
      <c r="AU8810">
        <v>1.4</v>
      </c>
      <c r="AV8810" t="s">
        <v>594</v>
      </c>
      <c r="AW8810" t="s">
        <v>208</v>
      </c>
    </row>
    <row r="8811" spans="1:49">
      <c r="A8811" s="1">
        <f>HYPERLINK("https://lsnyc.legalserver.org/matter/dynamic-profile/view/1871766","18-1871766")</f>
        <v>0</v>
      </c>
      <c r="B8811" t="s">
        <v>57</v>
      </c>
      <c r="C8811" t="s">
        <v>341</v>
      </c>
      <c r="D8811" t="s">
        <v>426</v>
      </c>
      <c r="E8811" t="s">
        <v>624</v>
      </c>
      <c r="F8811" t="s">
        <v>996</v>
      </c>
      <c r="G8811" t="s">
        <v>6908</v>
      </c>
      <c r="H8811" t="s">
        <v>15632</v>
      </c>
      <c r="I8811" t="s">
        <v>17355</v>
      </c>
      <c r="J8811" t="s">
        <v>18892</v>
      </c>
      <c r="K8811">
        <v>10466</v>
      </c>
      <c r="L8811" t="s">
        <v>18960</v>
      </c>
      <c r="M8811" t="s">
        <v>18960</v>
      </c>
      <c r="N8811" t="s">
        <v>25283</v>
      </c>
      <c r="O8811" t="s">
        <v>26523</v>
      </c>
      <c r="P8811" t="s">
        <v>26564</v>
      </c>
      <c r="Q8811" t="s">
        <v>26570</v>
      </c>
      <c r="R8811" t="s">
        <v>26591</v>
      </c>
      <c r="S8811" t="s">
        <v>18959</v>
      </c>
      <c r="U8811" t="s">
        <v>26604</v>
      </c>
      <c r="X8811">
        <v>1460</v>
      </c>
      <c r="Y8811" t="s">
        <v>26650</v>
      </c>
      <c r="Z8811" t="s">
        <v>26663</v>
      </c>
      <c r="AA8811" t="s">
        <v>26683</v>
      </c>
      <c r="AB8811" t="s">
        <v>33059</v>
      </c>
      <c r="AE8811">
        <v>10</v>
      </c>
      <c r="AF8811" t="s">
        <v>45541</v>
      </c>
      <c r="AG8811" t="s">
        <v>45556</v>
      </c>
      <c r="AH8811">
        <v>0</v>
      </c>
      <c r="AI8811">
        <v>1</v>
      </c>
      <c r="AJ8811">
        <v>0</v>
      </c>
      <c r="AK8811">
        <v>9.880000000000001</v>
      </c>
      <c r="AN8811" t="s">
        <v>7439</v>
      </c>
      <c r="AO8811">
        <v>1200</v>
      </c>
      <c r="AP8811" t="s">
        <v>46103</v>
      </c>
      <c r="AU8811">
        <v>3.65</v>
      </c>
      <c r="AV8811" t="s">
        <v>589</v>
      </c>
      <c r="AW8811" t="s">
        <v>267</v>
      </c>
    </row>
    <row r="8812" spans="1:49">
      <c r="A8812" s="1">
        <f>HYPERLINK("https://lsnyc.legalserver.org/matter/dynamic-profile/view/1871694","18-1871694")</f>
        <v>0</v>
      </c>
      <c r="B8812" t="s">
        <v>216</v>
      </c>
      <c r="C8812" t="s">
        <v>341</v>
      </c>
      <c r="D8812" t="s">
        <v>426</v>
      </c>
      <c r="E8812" t="s">
        <v>675</v>
      </c>
      <c r="F8812" t="s">
        <v>1663</v>
      </c>
      <c r="G8812" t="s">
        <v>8827</v>
      </c>
      <c r="H8812" t="s">
        <v>15633</v>
      </c>
      <c r="I8812" t="s">
        <v>18603</v>
      </c>
      <c r="J8812" t="s">
        <v>18894</v>
      </c>
      <c r="K8812">
        <v>11212</v>
      </c>
      <c r="L8812" t="s">
        <v>18959</v>
      </c>
      <c r="M8812" t="s">
        <v>18960</v>
      </c>
      <c r="N8812" t="s">
        <v>25284</v>
      </c>
      <c r="O8812" t="s">
        <v>26523</v>
      </c>
      <c r="P8812" t="s">
        <v>26564</v>
      </c>
      <c r="Q8812" t="s">
        <v>26570</v>
      </c>
      <c r="R8812" t="s">
        <v>26578</v>
      </c>
      <c r="S8812" t="s">
        <v>18959</v>
      </c>
      <c r="U8812" t="s">
        <v>26604</v>
      </c>
      <c r="X8812">
        <v>1400</v>
      </c>
      <c r="Y8812" t="s">
        <v>26652</v>
      </c>
      <c r="Z8812" t="s">
        <v>26659</v>
      </c>
      <c r="AA8812" t="s">
        <v>26683</v>
      </c>
      <c r="AB8812" t="s">
        <v>33060</v>
      </c>
      <c r="AC8812" t="s">
        <v>36584</v>
      </c>
      <c r="AD8812" t="s">
        <v>43679</v>
      </c>
      <c r="AE8812">
        <v>0</v>
      </c>
      <c r="AF8812" t="s">
        <v>45543</v>
      </c>
      <c r="AG8812" t="s">
        <v>45556</v>
      </c>
      <c r="AH8812">
        <v>25</v>
      </c>
      <c r="AI8812">
        <v>1</v>
      </c>
      <c r="AJ8812">
        <v>0</v>
      </c>
      <c r="AK8812">
        <v>80.26000000000001</v>
      </c>
      <c r="AN8812" t="s">
        <v>7439</v>
      </c>
      <c r="AO8812">
        <v>9744</v>
      </c>
      <c r="AU8812">
        <v>9.1</v>
      </c>
      <c r="AV8812" t="s">
        <v>521</v>
      </c>
      <c r="AW8812" t="s">
        <v>46842</v>
      </c>
    </row>
    <row r="8813" spans="1:49">
      <c r="A8813" s="1">
        <f>HYPERLINK("https://lsnyc.legalserver.org/matter/dynamic-profile/view/1871743","18-1871743")</f>
        <v>0</v>
      </c>
      <c r="B8813" t="s">
        <v>209</v>
      </c>
      <c r="C8813" t="s">
        <v>341</v>
      </c>
      <c r="D8813" t="s">
        <v>426</v>
      </c>
      <c r="E8813" t="s">
        <v>431</v>
      </c>
      <c r="F8813" t="s">
        <v>4373</v>
      </c>
      <c r="G8813" t="s">
        <v>6174</v>
      </c>
      <c r="H8813" t="s">
        <v>15634</v>
      </c>
      <c r="I8813" t="s">
        <v>17346</v>
      </c>
      <c r="J8813" t="s">
        <v>18905</v>
      </c>
      <c r="K8813">
        <v>11692</v>
      </c>
      <c r="L8813" t="s">
        <v>18960</v>
      </c>
      <c r="M8813" t="s">
        <v>18960</v>
      </c>
      <c r="P8813" t="s">
        <v>26564</v>
      </c>
      <c r="Q8813" t="s">
        <v>26570</v>
      </c>
      <c r="R8813" t="s">
        <v>26591</v>
      </c>
      <c r="S8813" t="s">
        <v>18959</v>
      </c>
      <c r="U8813" t="s">
        <v>26604</v>
      </c>
      <c r="X8813">
        <v>1305.11</v>
      </c>
      <c r="Y8813" t="s">
        <v>26653</v>
      </c>
      <c r="Z8813" t="s">
        <v>26673</v>
      </c>
      <c r="AA8813" t="s">
        <v>26683</v>
      </c>
      <c r="AB8813" t="s">
        <v>32462</v>
      </c>
      <c r="AD8813" t="s">
        <v>34738</v>
      </c>
      <c r="AE8813">
        <v>32</v>
      </c>
      <c r="AF8813" t="s">
        <v>45541</v>
      </c>
      <c r="AG8813" t="s">
        <v>45556</v>
      </c>
      <c r="AH8813">
        <v>10</v>
      </c>
      <c r="AI8813">
        <v>1</v>
      </c>
      <c r="AJ8813">
        <v>2</v>
      </c>
      <c r="AK8813">
        <v>38.17</v>
      </c>
      <c r="AN8813" t="s">
        <v>7439</v>
      </c>
      <c r="AO8813">
        <v>7932</v>
      </c>
      <c r="AU8813">
        <v>0.9</v>
      </c>
      <c r="AV8813" t="s">
        <v>526</v>
      </c>
      <c r="AW8813" t="s">
        <v>46841</v>
      </c>
    </row>
    <row r="8814" spans="1:49">
      <c r="A8814" s="1">
        <f>HYPERLINK("https://lsnyc.legalserver.org/matter/dynamic-profile/view/1871740","18-1871740")</f>
        <v>0</v>
      </c>
      <c r="B8814" t="s">
        <v>279</v>
      </c>
      <c r="C8814" t="s">
        <v>341</v>
      </c>
      <c r="D8814" t="s">
        <v>426</v>
      </c>
      <c r="E8814" t="s">
        <v>466</v>
      </c>
      <c r="F8814" t="s">
        <v>4374</v>
      </c>
      <c r="G8814" t="s">
        <v>8828</v>
      </c>
      <c r="H8814" t="s">
        <v>15635</v>
      </c>
      <c r="I8814" t="s">
        <v>17624</v>
      </c>
      <c r="J8814" t="s">
        <v>18894</v>
      </c>
      <c r="K8814">
        <v>11208</v>
      </c>
      <c r="L8814" t="s">
        <v>18959</v>
      </c>
      <c r="M8814" t="s">
        <v>18959</v>
      </c>
      <c r="N8814" t="s">
        <v>19037</v>
      </c>
      <c r="P8814" t="s">
        <v>26564</v>
      </c>
      <c r="Q8814" t="s">
        <v>26570</v>
      </c>
      <c r="R8814" t="s">
        <v>26578</v>
      </c>
      <c r="S8814" t="s">
        <v>18959</v>
      </c>
      <c r="U8814" t="s">
        <v>26604</v>
      </c>
      <c r="X8814">
        <v>2900</v>
      </c>
      <c r="Y8814" t="s">
        <v>26652</v>
      </c>
      <c r="Z8814" t="s">
        <v>26530</v>
      </c>
      <c r="AA8814" t="s">
        <v>26683</v>
      </c>
      <c r="AB8814" t="s">
        <v>33061</v>
      </c>
      <c r="AC8814" t="s">
        <v>19330</v>
      </c>
      <c r="AD8814" t="s">
        <v>43680</v>
      </c>
      <c r="AE8814">
        <v>2</v>
      </c>
      <c r="AF8814" t="s">
        <v>45547</v>
      </c>
      <c r="AG8814" t="s">
        <v>19330</v>
      </c>
      <c r="AH8814">
        <v>0</v>
      </c>
      <c r="AI8814">
        <v>1</v>
      </c>
      <c r="AJ8814">
        <v>0</v>
      </c>
      <c r="AK8814">
        <v>192.75</v>
      </c>
      <c r="AN8814" t="s">
        <v>7439</v>
      </c>
      <c r="AO8814">
        <v>23400</v>
      </c>
      <c r="AU8814">
        <v>0.5</v>
      </c>
      <c r="AV8814" t="s">
        <v>426</v>
      </c>
      <c r="AW8814" t="s">
        <v>46850</v>
      </c>
    </row>
    <row r="8815" spans="1:49">
      <c r="A8815" s="1">
        <f>HYPERLINK("https://lsnyc.legalserver.org/matter/dynamic-profile/view/1871747","18-1871747")</f>
        <v>0</v>
      </c>
      <c r="B8815" t="s">
        <v>88</v>
      </c>
      <c r="C8815" t="s">
        <v>340</v>
      </c>
      <c r="D8815" t="s">
        <v>426</v>
      </c>
      <c r="F8815" t="s">
        <v>986</v>
      </c>
      <c r="G8815" t="s">
        <v>6648</v>
      </c>
      <c r="H8815" t="s">
        <v>9775</v>
      </c>
      <c r="I8815" t="s">
        <v>17388</v>
      </c>
      <c r="J8815" t="s">
        <v>18894</v>
      </c>
      <c r="K8815">
        <v>11206</v>
      </c>
      <c r="L8815" t="s">
        <v>18958</v>
      </c>
      <c r="M8815" t="s">
        <v>18959</v>
      </c>
      <c r="O8815" t="s">
        <v>26531</v>
      </c>
      <c r="P8815" t="s">
        <v>26561</v>
      </c>
      <c r="R8815" t="s">
        <v>26578</v>
      </c>
      <c r="S8815" t="s">
        <v>18958</v>
      </c>
      <c r="U8815" t="s">
        <v>26604</v>
      </c>
      <c r="X8815">
        <v>678</v>
      </c>
      <c r="Y8815" t="s">
        <v>26652</v>
      </c>
      <c r="Z8815" t="s">
        <v>26530</v>
      </c>
      <c r="AB8815" t="s">
        <v>33062</v>
      </c>
      <c r="AD8815" t="s">
        <v>43681</v>
      </c>
      <c r="AE8815">
        <v>25</v>
      </c>
      <c r="AF8815" t="s">
        <v>45541</v>
      </c>
      <c r="AH8815">
        <v>23</v>
      </c>
      <c r="AI8815">
        <v>1</v>
      </c>
      <c r="AJ8815">
        <v>1</v>
      </c>
      <c r="AK8815">
        <v>93.45999999999999</v>
      </c>
      <c r="AN8815" t="s">
        <v>7439</v>
      </c>
      <c r="AO8815">
        <v>15384</v>
      </c>
      <c r="AP8815" t="s">
        <v>46104</v>
      </c>
      <c r="AU8815">
        <v>1</v>
      </c>
      <c r="AV8815" t="s">
        <v>759</v>
      </c>
      <c r="AW8815" t="s">
        <v>46851</v>
      </c>
    </row>
    <row r="8816" spans="1:49">
      <c r="A8816" s="1">
        <f>HYPERLINK("https://lsnyc.legalserver.org/matter/dynamic-profile/view/1871728","18-1871728")</f>
        <v>0</v>
      </c>
      <c r="B8816" t="s">
        <v>200</v>
      </c>
      <c r="C8816" t="s">
        <v>340</v>
      </c>
      <c r="D8816" t="s">
        <v>426</v>
      </c>
      <c r="F8816" t="s">
        <v>1553</v>
      </c>
      <c r="G8816" t="s">
        <v>5737</v>
      </c>
      <c r="H8816" t="s">
        <v>10518</v>
      </c>
      <c r="I8816" t="s">
        <v>17520</v>
      </c>
      <c r="J8816" t="s">
        <v>18894</v>
      </c>
      <c r="K8816">
        <v>11212</v>
      </c>
      <c r="L8816" t="s">
        <v>18960</v>
      </c>
      <c r="M8816" t="s">
        <v>18960</v>
      </c>
      <c r="O8816" t="s">
        <v>18997</v>
      </c>
      <c r="R8816" t="s">
        <v>26583</v>
      </c>
      <c r="U8816" t="s">
        <v>26604</v>
      </c>
      <c r="X8816">
        <v>1250</v>
      </c>
      <c r="Y8816" t="s">
        <v>26652</v>
      </c>
      <c r="AB8816" t="s">
        <v>27139</v>
      </c>
      <c r="AD8816" t="s">
        <v>37690</v>
      </c>
      <c r="AE8816">
        <v>0</v>
      </c>
      <c r="AF8816" t="s">
        <v>45541</v>
      </c>
      <c r="AG8816" t="s">
        <v>19330</v>
      </c>
      <c r="AH8816">
        <v>4</v>
      </c>
      <c r="AI8816">
        <v>2</v>
      </c>
      <c r="AJ8816">
        <v>0</v>
      </c>
      <c r="AK8816">
        <v>221.14</v>
      </c>
      <c r="AN8816" t="s">
        <v>7439</v>
      </c>
      <c r="AO8816">
        <v>36400</v>
      </c>
      <c r="AU8816">
        <v>3.6</v>
      </c>
      <c r="AV8816" t="s">
        <v>707</v>
      </c>
      <c r="AW8816" t="s">
        <v>46859</v>
      </c>
    </row>
    <row r="8817" spans="1:49">
      <c r="A8817" s="1">
        <f>HYPERLINK("https://lsnyc.legalserver.org/matter/dynamic-profile/view/1871887","18-1871887")</f>
        <v>0</v>
      </c>
      <c r="B8817" t="s">
        <v>302</v>
      </c>
      <c r="C8817" t="s">
        <v>341</v>
      </c>
      <c r="D8817" t="s">
        <v>431</v>
      </c>
      <c r="E8817" t="s">
        <v>586</v>
      </c>
      <c r="F8817" t="s">
        <v>4375</v>
      </c>
      <c r="G8817" t="s">
        <v>5481</v>
      </c>
      <c r="H8817" t="s">
        <v>11612</v>
      </c>
      <c r="I8817">
        <v>205</v>
      </c>
      <c r="J8817" t="s">
        <v>18892</v>
      </c>
      <c r="K8817">
        <v>10452</v>
      </c>
      <c r="L8817" t="s">
        <v>18960</v>
      </c>
      <c r="M8817" t="s">
        <v>18960</v>
      </c>
      <c r="O8817" t="s">
        <v>26530</v>
      </c>
      <c r="P8817" t="s">
        <v>26564</v>
      </c>
      <c r="Q8817" t="s">
        <v>26570</v>
      </c>
      <c r="R8817" t="s">
        <v>26591</v>
      </c>
      <c r="U8817" t="s">
        <v>26604</v>
      </c>
      <c r="X8817">
        <v>1400</v>
      </c>
      <c r="Y8817" t="s">
        <v>26650</v>
      </c>
      <c r="Z8817" t="s">
        <v>26530</v>
      </c>
      <c r="AA8817" t="s">
        <v>26683</v>
      </c>
      <c r="AB8817" t="s">
        <v>33063</v>
      </c>
      <c r="AD8817" t="s">
        <v>43682</v>
      </c>
      <c r="AE8817">
        <v>0</v>
      </c>
      <c r="AF8817" t="s">
        <v>20460</v>
      </c>
      <c r="AH8817">
        <v>10</v>
      </c>
      <c r="AI8817">
        <v>2</v>
      </c>
      <c r="AJ8817">
        <v>0</v>
      </c>
      <c r="AK8817">
        <v>157.96</v>
      </c>
      <c r="AN8817" t="s">
        <v>45581</v>
      </c>
      <c r="AO8817">
        <v>26000</v>
      </c>
      <c r="AP8817" t="s">
        <v>46105</v>
      </c>
      <c r="AU8817">
        <v>0.7</v>
      </c>
      <c r="AV8817" t="s">
        <v>431</v>
      </c>
      <c r="AW8817" t="s">
        <v>46849</v>
      </c>
    </row>
    <row r="8818" spans="1:49">
      <c r="A8818" s="1">
        <f>HYPERLINK("https://lsnyc.legalserver.org/matter/dynamic-profile/view/1871875","18-1871875")</f>
        <v>0</v>
      </c>
      <c r="B8818" t="s">
        <v>52</v>
      </c>
      <c r="C8818" t="s">
        <v>341</v>
      </c>
      <c r="D8818" t="s">
        <v>431</v>
      </c>
      <c r="E8818" t="s">
        <v>500</v>
      </c>
      <c r="F8818" t="s">
        <v>4376</v>
      </c>
      <c r="G8818" t="s">
        <v>6789</v>
      </c>
      <c r="H8818" t="s">
        <v>15636</v>
      </c>
      <c r="I8818" t="s">
        <v>18604</v>
      </c>
      <c r="J8818" t="s">
        <v>18892</v>
      </c>
      <c r="K8818">
        <v>10455</v>
      </c>
      <c r="L8818" t="s">
        <v>18960</v>
      </c>
      <c r="M8818" t="s">
        <v>18960</v>
      </c>
      <c r="N8818" t="s">
        <v>25285</v>
      </c>
      <c r="O8818" t="s">
        <v>26524</v>
      </c>
      <c r="P8818" t="s">
        <v>26564</v>
      </c>
      <c r="Q8818" t="s">
        <v>26570</v>
      </c>
      <c r="R8818" t="s">
        <v>26591</v>
      </c>
      <c r="S8818" t="s">
        <v>18959</v>
      </c>
      <c r="U8818" t="s">
        <v>26604</v>
      </c>
      <c r="X8818">
        <v>0</v>
      </c>
      <c r="Y8818" t="s">
        <v>26650</v>
      </c>
      <c r="Z8818" t="s">
        <v>26670</v>
      </c>
      <c r="AA8818" t="s">
        <v>26683</v>
      </c>
      <c r="AB8818" t="s">
        <v>33064</v>
      </c>
      <c r="AD8818" t="s">
        <v>43683</v>
      </c>
      <c r="AE8818">
        <v>43</v>
      </c>
      <c r="AH8818">
        <v>8</v>
      </c>
      <c r="AI8818">
        <v>1</v>
      </c>
      <c r="AJ8818">
        <v>0</v>
      </c>
      <c r="AK8818">
        <v>171.33</v>
      </c>
      <c r="AN8818" t="s">
        <v>7439</v>
      </c>
      <c r="AO8818">
        <v>20800</v>
      </c>
      <c r="AP8818" t="s">
        <v>46106</v>
      </c>
      <c r="AU8818">
        <v>1</v>
      </c>
      <c r="AV8818" t="s">
        <v>449</v>
      </c>
      <c r="AW8818" t="s">
        <v>46850</v>
      </c>
    </row>
    <row r="8819" spans="1:49">
      <c r="A8819" s="1">
        <f>HYPERLINK("https://lsnyc.legalserver.org/matter/dynamic-profile/view/1871846","18-1871846")</f>
        <v>0</v>
      </c>
      <c r="B8819" t="s">
        <v>200</v>
      </c>
      <c r="C8819" t="s">
        <v>340</v>
      </c>
      <c r="D8819" t="s">
        <v>431</v>
      </c>
      <c r="F8819" t="s">
        <v>2801</v>
      </c>
      <c r="G8819" t="s">
        <v>8829</v>
      </c>
      <c r="H8819" t="s">
        <v>15637</v>
      </c>
      <c r="I8819" t="s">
        <v>17496</v>
      </c>
      <c r="J8819" t="s">
        <v>18894</v>
      </c>
      <c r="K8819">
        <v>11224</v>
      </c>
      <c r="L8819" t="s">
        <v>18960</v>
      </c>
      <c r="M8819" t="s">
        <v>18960</v>
      </c>
      <c r="O8819" t="s">
        <v>18997</v>
      </c>
      <c r="R8819" t="s">
        <v>26591</v>
      </c>
      <c r="U8819" t="s">
        <v>26604</v>
      </c>
      <c r="X8819">
        <v>1800</v>
      </c>
      <c r="Y8819" t="s">
        <v>26652</v>
      </c>
      <c r="AB8819" t="s">
        <v>33065</v>
      </c>
      <c r="AD8819" t="s">
        <v>43684</v>
      </c>
      <c r="AE8819">
        <v>120</v>
      </c>
      <c r="AG8819" t="s">
        <v>45556</v>
      </c>
      <c r="AH8819">
        <v>10</v>
      </c>
      <c r="AI8819">
        <v>2</v>
      </c>
      <c r="AJ8819">
        <v>0</v>
      </c>
      <c r="AK8819">
        <v>126.85</v>
      </c>
      <c r="AN8819" t="s">
        <v>45586</v>
      </c>
      <c r="AO8819">
        <v>20880</v>
      </c>
      <c r="AU8819">
        <v>1</v>
      </c>
      <c r="AV8819" t="s">
        <v>431</v>
      </c>
      <c r="AW8819" t="s">
        <v>46859</v>
      </c>
    </row>
    <row r="8820" spans="1:49">
      <c r="A8820" s="1">
        <f>HYPERLINK("https://lsnyc.legalserver.org/matter/dynamic-profile/view/1871869","18-1871869")</f>
        <v>0</v>
      </c>
      <c r="B8820" t="s">
        <v>240</v>
      </c>
      <c r="C8820" t="s">
        <v>340</v>
      </c>
      <c r="D8820" t="s">
        <v>431</v>
      </c>
      <c r="F8820" t="s">
        <v>4377</v>
      </c>
      <c r="G8820" t="s">
        <v>3846</v>
      </c>
      <c r="H8820" t="s">
        <v>10800</v>
      </c>
      <c r="I8820" t="s">
        <v>18167</v>
      </c>
      <c r="J8820" t="s">
        <v>18894</v>
      </c>
      <c r="K8820">
        <v>11225</v>
      </c>
      <c r="L8820" t="s">
        <v>18960</v>
      </c>
      <c r="M8820" t="s">
        <v>18960</v>
      </c>
      <c r="O8820" t="s">
        <v>26526</v>
      </c>
      <c r="P8820" t="s">
        <v>26563</v>
      </c>
      <c r="R8820" t="s">
        <v>26578</v>
      </c>
      <c r="S8820" t="s">
        <v>18958</v>
      </c>
      <c r="T8820" t="s">
        <v>26601</v>
      </c>
      <c r="U8820" t="s">
        <v>26604</v>
      </c>
      <c r="X8820">
        <v>1918</v>
      </c>
      <c r="Y8820" t="s">
        <v>26652</v>
      </c>
      <c r="Z8820" t="s">
        <v>26663</v>
      </c>
      <c r="AB8820" t="s">
        <v>33066</v>
      </c>
      <c r="AE8820">
        <v>51</v>
      </c>
      <c r="AF8820" t="s">
        <v>45541</v>
      </c>
      <c r="AH8820">
        <v>6</v>
      </c>
      <c r="AI8820">
        <v>2</v>
      </c>
      <c r="AJ8820">
        <v>0</v>
      </c>
      <c r="AK8820">
        <v>388.82</v>
      </c>
      <c r="AN8820" t="s">
        <v>7439</v>
      </c>
      <c r="AO8820">
        <v>64000</v>
      </c>
      <c r="AU8820">
        <v>0</v>
      </c>
      <c r="AW8820" t="s">
        <v>237</v>
      </c>
    </row>
    <row r="8821" spans="1:49">
      <c r="A8821" s="1">
        <f>HYPERLINK("https://lsnyc.legalserver.org/matter/dynamic-profile/view/1872001","18-1872001")</f>
        <v>0</v>
      </c>
      <c r="B8821" t="s">
        <v>100</v>
      </c>
      <c r="C8821" t="s">
        <v>341</v>
      </c>
      <c r="D8821" t="s">
        <v>434</v>
      </c>
      <c r="E8821" t="s">
        <v>670</v>
      </c>
      <c r="F8821" t="s">
        <v>3273</v>
      </c>
      <c r="G8821" t="s">
        <v>8830</v>
      </c>
      <c r="H8821" t="s">
        <v>15638</v>
      </c>
      <c r="I8821" t="s">
        <v>18605</v>
      </c>
      <c r="J8821" t="s">
        <v>18892</v>
      </c>
      <c r="K8821">
        <v>10453</v>
      </c>
      <c r="L8821" t="s">
        <v>18959</v>
      </c>
      <c r="M8821" t="s">
        <v>18958</v>
      </c>
      <c r="O8821" t="s">
        <v>26529</v>
      </c>
      <c r="P8821" t="s">
        <v>26564</v>
      </c>
      <c r="Q8821" t="s">
        <v>26570</v>
      </c>
      <c r="R8821" t="s">
        <v>26591</v>
      </c>
      <c r="S8821" t="s">
        <v>18959</v>
      </c>
      <c r="U8821" t="s">
        <v>26604</v>
      </c>
      <c r="X8821">
        <v>877</v>
      </c>
      <c r="Y8821" t="s">
        <v>26650</v>
      </c>
      <c r="Z8821" t="s">
        <v>26663</v>
      </c>
      <c r="AA8821" t="s">
        <v>26683</v>
      </c>
      <c r="AB8821" t="s">
        <v>33067</v>
      </c>
      <c r="AD8821" t="s">
        <v>43685</v>
      </c>
      <c r="AE8821">
        <v>37</v>
      </c>
      <c r="AG8821" t="s">
        <v>19330</v>
      </c>
      <c r="AH8821">
        <v>3</v>
      </c>
      <c r="AI8821">
        <v>1</v>
      </c>
      <c r="AJ8821">
        <v>0</v>
      </c>
      <c r="AK8821">
        <v>164.74</v>
      </c>
      <c r="AN8821" t="s">
        <v>7439</v>
      </c>
      <c r="AO8821">
        <v>20000</v>
      </c>
      <c r="AP8821" t="s">
        <v>46107</v>
      </c>
      <c r="AU8821">
        <v>0.1</v>
      </c>
      <c r="AV8821" t="s">
        <v>670</v>
      </c>
      <c r="AW8821" t="s">
        <v>46847</v>
      </c>
    </row>
    <row r="8822" spans="1:49">
      <c r="A8822" s="1">
        <f>HYPERLINK("https://lsnyc.legalserver.org/matter/dynamic-profile/view/1872014","18-1872014")</f>
        <v>0</v>
      </c>
      <c r="B8822" t="s">
        <v>227</v>
      </c>
      <c r="C8822" t="s">
        <v>341</v>
      </c>
      <c r="D8822" t="s">
        <v>434</v>
      </c>
      <c r="E8822" t="s">
        <v>760</v>
      </c>
      <c r="F8822" t="s">
        <v>4378</v>
      </c>
      <c r="G8822" t="s">
        <v>6745</v>
      </c>
      <c r="H8822" t="s">
        <v>15639</v>
      </c>
      <c r="I8822">
        <v>623</v>
      </c>
      <c r="J8822" t="s">
        <v>18894</v>
      </c>
      <c r="K8822">
        <v>11201</v>
      </c>
      <c r="L8822" t="s">
        <v>18960</v>
      </c>
      <c r="M8822" t="s">
        <v>18960</v>
      </c>
      <c r="N8822" t="s">
        <v>25286</v>
      </c>
      <c r="O8822" t="s">
        <v>26524</v>
      </c>
      <c r="P8822" t="s">
        <v>26560</v>
      </c>
      <c r="Q8822" t="s">
        <v>26568</v>
      </c>
      <c r="R8822" t="s">
        <v>26586</v>
      </c>
      <c r="U8822" t="s">
        <v>26604</v>
      </c>
      <c r="X8822">
        <v>1000</v>
      </c>
      <c r="Y8822" t="s">
        <v>26652</v>
      </c>
      <c r="Z8822" t="s">
        <v>26662</v>
      </c>
      <c r="AA8822" t="s">
        <v>26678</v>
      </c>
      <c r="AB8822" t="s">
        <v>33068</v>
      </c>
      <c r="AD8822" t="s">
        <v>43686</v>
      </c>
      <c r="AE8822">
        <v>217</v>
      </c>
      <c r="AG8822" t="s">
        <v>45556</v>
      </c>
      <c r="AH8822">
        <v>4</v>
      </c>
      <c r="AI8822">
        <v>1</v>
      </c>
      <c r="AJ8822">
        <v>0</v>
      </c>
      <c r="AK8822">
        <v>74.93000000000001</v>
      </c>
      <c r="AN8822" t="s">
        <v>7439</v>
      </c>
      <c r="AO8822">
        <v>9096</v>
      </c>
      <c r="AS8822" t="s">
        <v>46499</v>
      </c>
      <c r="AU8822">
        <v>32.6</v>
      </c>
      <c r="AV8822" t="s">
        <v>723</v>
      </c>
      <c r="AW8822" t="s">
        <v>46853</v>
      </c>
    </row>
    <row r="8823" spans="1:49">
      <c r="A8823" s="1">
        <f>HYPERLINK("https://lsnyc.legalserver.org/matter/dynamic-profile/view/1871955","18-1871955")</f>
        <v>0</v>
      </c>
      <c r="B8823" t="s">
        <v>209</v>
      </c>
      <c r="C8823" t="s">
        <v>341</v>
      </c>
      <c r="D8823" t="s">
        <v>434</v>
      </c>
      <c r="E8823" t="s">
        <v>434</v>
      </c>
      <c r="F8823" t="s">
        <v>4379</v>
      </c>
      <c r="G8823" t="s">
        <v>7096</v>
      </c>
      <c r="H8823" t="s">
        <v>15640</v>
      </c>
      <c r="I8823" t="s">
        <v>17424</v>
      </c>
      <c r="J8823" t="s">
        <v>18900</v>
      </c>
      <c r="K8823">
        <v>11354</v>
      </c>
      <c r="L8823" t="s">
        <v>18960</v>
      </c>
      <c r="M8823" t="s">
        <v>18960</v>
      </c>
      <c r="P8823" t="s">
        <v>26564</v>
      </c>
      <c r="Q8823" t="s">
        <v>26570</v>
      </c>
      <c r="R8823" t="s">
        <v>26591</v>
      </c>
      <c r="U8823" t="s">
        <v>26604</v>
      </c>
      <c r="X8823">
        <v>916</v>
      </c>
      <c r="Y8823" t="s">
        <v>26653</v>
      </c>
      <c r="Z8823" t="s">
        <v>26663</v>
      </c>
      <c r="AA8823" t="s">
        <v>26683</v>
      </c>
      <c r="AB8823" t="s">
        <v>33069</v>
      </c>
      <c r="AD8823" t="s">
        <v>43687</v>
      </c>
      <c r="AE8823">
        <v>96</v>
      </c>
      <c r="AF8823" t="s">
        <v>45541</v>
      </c>
      <c r="AG8823" t="s">
        <v>45559</v>
      </c>
      <c r="AH8823">
        <v>40</v>
      </c>
      <c r="AI8823">
        <v>1</v>
      </c>
      <c r="AJ8823">
        <v>0</v>
      </c>
      <c r="AK8823">
        <v>83.33</v>
      </c>
      <c r="AN8823" t="s">
        <v>7439</v>
      </c>
      <c r="AO8823">
        <v>10116</v>
      </c>
      <c r="AU8823">
        <v>1.5</v>
      </c>
      <c r="AV8823" t="s">
        <v>434</v>
      </c>
      <c r="AW8823" t="s">
        <v>46843</v>
      </c>
    </row>
    <row r="8824" spans="1:49">
      <c r="A8824" s="1">
        <f>HYPERLINK("https://lsnyc.legalserver.org/matter/dynamic-profile/view/1871956","18-1871956")</f>
        <v>0</v>
      </c>
      <c r="B8824" t="s">
        <v>199</v>
      </c>
      <c r="C8824" t="s">
        <v>341</v>
      </c>
      <c r="D8824" t="s">
        <v>434</v>
      </c>
      <c r="E8824" t="s">
        <v>707</v>
      </c>
      <c r="F8824" t="s">
        <v>1329</v>
      </c>
      <c r="G8824" t="s">
        <v>8831</v>
      </c>
      <c r="H8824" t="s">
        <v>15641</v>
      </c>
      <c r="J8824" t="s">
        <v>18894</v>
      </c>
      <c r="K8824">
        <v>11226</v>
      </c>
      <c r="L8824" t="s">
        <v>18959</v>
      </c>
      <c r="M8824" t="s">
        <v>18959</v>
      </c>
      <c r="O8824" t="s">
        <v>26524</v>
      </c>
      <c r="P8824" t="s">
        <v>26564</v>
      </c>
      <c r="Q8824" t="s">
        <v>26570</v>
      </c>
      <c r="R8824" t="s">
        <v>26578</v>
      </c>
      <c r="S8824" t="s">
        <v>18959</v>
      </c>
      <c r="U8824" t="s">
        <v>26604</v>
      </c>
      <c r="X8824">
        <v>900</v>
      </c>
      <c r="Y8824" t="s">
        <v>26652</v>
      </c>
      <c r="Z8824" t="s">
        <v>26663</v>
      </c>
      <c r="AA8824" t="s">
        <v>26683</v>
      </c>
      <c r="AB8824" t="s">
        <v>30637</v>
      </c>
      <c r="AD8824" t="s">
        <v>43688</v>
      </c>
      <c r="AE8824">
        <v>11</v>
      </c>
      <c r="AF8824" t="s">
        <v>45547</v>
      </c>
      <c r="AG8824" t="s">
        <v>19330</v>
      </c>
      <c r="AH8824">
        <v>3</v>
      </c>
      <c r="AI8824">
        <v>1</v>
      </c>
      <c r="AJ8824">
        <v>0</v>
      </c>
      <c r="AK8824">
        <v>146.29</v>
      </c>
      <c r="AN8824" t="s">
        <v>7439</v>
      </c>
      <c r="AO8824">
        <v>17760</v>
      </c>
      <c r="AU8824">
        <v>1</v>
      </c>
      <c r="AV8824" t="s">
        <v>435</v>
      </c>
      <c r="AW8824" t="s">
        <v>237</v>
      </c>
    </row>
    <row r="8825" spans="1:49">
      <c r="A8825" s="1">
        <f>HYPERLINK("https://lsnyc.legalserver.org/matter/dynamic-profile/view/1873538","18-1873538")</f>
        <v>0</v>
      </c>
      <c r="B8825" t="s">
        <v>184</v>
      </c>
      <c r="C8825" t="s">
        <v>341</v>
      </c>
      <c r="D8825" t="s">
        <v>434</v>
      </c>
      <c r="E8825" t="s">
        <v>589</v>
      </c>
      <c r="F8825" t="s">
        <v>1328</v>
      </c>
      <c r="G8825" t="s">
        <v>6195</v>
      </c>
      <c r="H8825" t="s">
        <v>15642</v>
      </c>
      <c r="J8825" t="s">
        <v>18894</v>
      </c>
      <c r="K8825">
        <v>11224</v>
      </c>
      <c r="L8825" t="s">
        <v>18960</v>
      </c>
      <c r="M8825" t="s">
        <v>18960</v>
      </c>
      <c r="N8825" t="s">
        <v>25287</v>
      </c>
      <c r="O8825" t="s">
        <v>26523</v>
      </c>
      <c r="P8825" t="s">
        <v>26560</v>
      </c>
      <c r="Q8825" t="s">
        <v>26573</v>
      </c>
      <c r="R8825" t="s">
        <v>26586</v>
      </c>
      <c r="U8825" t="s">
        <v>26604</v>
      </c>
      <c r="X8825">
        <v>0</v>
      </c>
      <c r="Y8825" t="s">
        <v>26652</v>
      </c>
      <c r="AA8825" t="s">
        <v>26678</v>
      </c>
      <c r="AB8825" t="s">
        <v>29959</v>
      </c>
      <c r="AE8825">
        <v>0</v>
      </c>
      <c r="AH8825">
        <v>0</v>
      </c>
      <c r="AI8825">
        <v>3</v>
      </c>
      <c r="AJ8825">
        <v>1</v>
      </c>
      <c r="AK8825">
        <v>86.06</v>
      </c>
      <c r="AN8825" t="s">
        <v>7439</v>
      </c>
      <c r="AO8825">
        <v>21600</v>
      </c>
      <c r="AQ8825" t="s">
        <v>46359</v>
      </c>
      <c r="AR8825" t="s">
        <v>46420</v>
      </c>
      <c r="AS8825" t="s">
        <v>46499</v>
      </c>
      <c r="AT8825" t="s">
        <v>46656</v>
      </c>
      <c r="AU8825">
        <v>4.7</v>
      </c>
      <c r="AV8825" t="s">
        <v>447</v>
      </c>
      <c r="AW8825" t="s">
        <v>184</v>
      </c>
    </row>
    <row r="8826" spans="1:49">
      <c r="A8826" s="1">
        <f>HYPERLINK("https://lsnyc.legalserver.org/matter/dynamic-profile/view/1872022","18-1872022")</f>
        <v>0</v>
      </c>
      <c r="B8826" t="s">
        <v>227</v>
      </c>
      <c r="C8826" t="s">
        <v>340</v>
      </c>
      <c r="D8826" t="s">
        <v>434</v>
      </c>
      <c r="F8826" t="s">
        <v>4380</v>
      </c>
      <c r="G8826" t="s">
        <v>1685</v>
      </c>
      <c r="H8826" t="s">
        <v>15643</v>
      </c>
      <c r="I8826" t="s">
        <v>17283</v>
      </c>
      <c r="J8826" t="s">
        <v>18894</v>
      </c>
      <c r="K8826">
        <v>11220</v>
      </c>
      <c r="L8826" t="s">
        <v>18959</v>
      </c>
      <c r="M8826" t="s">
        <v>18960</v>
      </c>
      <c r="P8826" t="s">
        <v>26560</v>
      </c>
      <c r="R8826" t="s">
        <v>26586</v>
      </c>
      <c r="U8826" t="s">
        <v>26604</v>
      </c>
      <c r="X8826">
        <v>673</v>
      </c>
      <c r="Y8826" t="s">
        <v>26652</v>
      </c>
      <c r="Z8826" t="s">
        <v>26656</v>
      </c>
      <c r="AB8826" t="s">
        <v>32348</v>
      </c>
      <c r="AD8826" t="s">
        <v>43689</v>
      </c>
      <c r="AE8826">
        <v>24</v>
      </c>
      <c r="AF8826" t="s">
        <v>45541</v>
      </c>
      <c r="AH8826">
        <v>37</v>
      </c>
      <c r="AI8826">
        <v>2</v>
      </c>
      <c r="AJ8826">
        <v>0</v>
      </c>
      <c r="AK8826">
        <v>94.78</v>
      </c>
      <c r="AN8826" t="s">
        <v>7439</v>
      </c>
      <c r="AO8826">
        <v>15600</v>
      </c>
      <c r="AU8826">
        <v>28.1</v>
      </c>
      <c r="AV8826" t="s">
        <v>803</v>
      </c>
      <c r="AW8826" t="s">
        <v>46853</v>
      </c>
    </row>
    <row r="8827" spans="1:49">
      <c r="A8827" s="1">
        <f>HYPERLINK("https://lsnyc.legalserver.org/matter/dynamic-profile/view/1872438","18-1872438")</f>
        <v>0</v>
      </c>
      <c r="B8827" t="s">
        <v>82</v>
      </c>
      <c r="C8827" t="s">
        <v>341</v>
      </c>
      <c r="D8827" t="s">
        <v>438</v>
      </c>
      <c r="E8827" t="s">
        <v>494</v>
      </c>
      <c r="F8827" t="s">
        <v>3918</v>
      </c>
      <c r="G8827" t="s">
        <v>5307</v>
      </c>
      <c r="H8827" t="s">
        <v>15644</v>
      </c>
      <c r="I8827" t="s">
        <v>17423</v>
      </c>
      <c r="J8827" t="s">
        <v>18892</v>
      </c>
      <c r="K8827">
        <v>10467</v>
      </c>
      <c r="L8827" t="s">
        <v>18958</v>
      </c>
      <c r="M8827" t="s">
        <v>18958</v>
      </c>
      <c r="N8827" t="s">
        <v>25288</v>
      </c>
      <c r="O8827" t="s">
        <v>26524</v>
      </c>
      <c r="P8827" t="s">
        <v>26564</v>
      </c>
      <c r="Q8827" t="s">
        <v>26570</v>
      </c>
      <c r="R8827" t="s">
        <v>26591</v>
      </c>
      <c r="S8827" t="s">
        <v>18959</v>
      </c>
      <c r="U8827" t="s">
        <v>26604</v>
      </c>
      <c r="X8827">
        <v>2530</v>
      </c>
      <c r="Y8827" t="s">
        <v>26650</v>
      </c>
      <c r="Z8827" t="s">
        <v>26662</v>
      </c>
      <c r="AA8827" t="s">
        <v>26683</v>
      </c>
      <c r="AB8827" t="s">
        <v>31185</v>
      </c>
      <c r="AC8827" t="s">
        <v>36585</v>
      </c>
      <c r="AD8827" t="s">
        <v>43690</v>
      </c>
      <c r="AE8827">
        <v>0</v>
      </c>
      <c r="AF8827" t="s">
        <v>45547</v>
      </c>
      <c r="AG8827" t="s">
        <v>45558</v>
      </c>
      <c r="AH8827">
        <v>3</v>
      </c>
      <c r="AI8827">
        <v>6</v>
      </c>
      <c r="AJ8827">
        <v>3</v>
      </c>
      <c r="AK8827">
        <v>24.41</v>
      </c>
      <c r="AO8827">
        <v>11400</v>
      </c>
      <c r="AP8827" t="s">
        <v>46108</v>
      </c>
      <c r="AU8827">
        <v>2.85</v>
      </c>
      <c r="AV8827" t="s">
        <v>531</v>
      </c>
      <c r="AW8827" t="s">
        <v>46848</v>
      </c>
    </row>
    <row r="8828" spans="1:49">
      <c r="A8828" s="1">
        <f>HYPERLINK("https://lsnyc.legalserver.org/matter/dynamic-profile/view/1872261","18-1872261")</f>
        <v>0</v>
      </c>
      <c r="B8828" t="s">
        <v>62</v>
      </c>
      <c r="C8828" t="s">
        <v>340</v>
      </c>
      <c r="D8828" t="s">
        <v>438</v>
      </c>
      <c r="F8828" t="s">
        <v>1148</v>
      </c>
      <c r="G8828" t="s">
        <v>5208</v>
      </c>
      <c r="H8828" t="s">
        <v>11923</v>
      </c>
      <c r="I8828">
        <v>65</v>
      </c>
      <c r="J8828" t="s">
        <v>18893</v>
      </c>
      <c r="K8828">
        <v>10031</v>
      </c>
      <c r="L8828" t="s">
        <v>18959</v>
      </c>
      <c r="M8828" t="s">
        <v>18960</v>
      </c>
      <c r="N8828" t="s">
        <v>25289</v>
      </c>
      <c r="O8828" t="s">
        <v>26524</v>
      </c>
      <c r="P8828" t="s">
        <v>26560</v>
      </c>
      <c r="R8828" t="s">
        <v>26580</v>
      </c>
      <c r="S8828" t="s">
        <v>18959</v>
      </c>
      <c r="T8828" t="s">
        <v>26600</v>
      </c>
      <c r="U8828" t="s">
        <v>26604</v>
      </c>
      <c r="X8828">
        <v>0</v>
      </c>
      <c r="Y8828" t="s">
        <v>26651</v>
      </c>
      <c r="Z8828" t="s">
        <v>26663</v>
      </c>
      <c r="AB8828" t="s">
        <v>33070</v>
      </c>
      <c r="AE8828">
        <v>37</v>
      </c>
      <c r="AF8828" t="s">
        <v>45541</v>
      </c>
      <c r="AH8828">
        <v>40</v>
      </c>
      <c r="AI8828">
        <v>1</v>
      </c>
      <c r="AJ8828">
        <v>4</v>
      </c>
      <c r="AK8828">
        <v>53.03</v>
      </c>
      <c r="AO8828">
        <v>15600</v>
      </c>
      <c r="AU8828">
        <v>0.25</v>
      </c>
      <c r="AV8828" t="s">
        <v>497</v>
      </c>
      <c r="AW8828" t="s">
        <v>46845</v>
      </c>
    </row>
    <row r="8829" spans="1:49">
      <c r="A8829" s="1">
        <f>HYPERLINK("https://lsnyc.legalserver.org/matter/dynamic-profile/view/1872179","18-1872179")</f>
        <v>0</v>
      </c>
      <c r="B8829" t="s">
        <v>302</v>
      </c>
      <c r="C8829" t="s">
        <v>341</v>
      </c>
      <c r="D8829" t="s">
        <v>435</v>
      </c>
      <c r="E8829" t="s">
        <v>476</v>
      </c>
      <c r="F8829" t="s">
        <v>4381</v>
      </c>
      <c r="G8829" t="s">
        <v>5514</v>
      </c>
      <c r="H8829" t="s">
        <v>15311</v>
      </c>
      <c r="I8829" t="s">
        <v>17355</v>
      </c>
      <c r="J8829" t="s">
        <v>18892</v>
      </c>
      <c r="K8829">
        <v>10452</v>
      </c>
      <c r="L8829" t="s">
        <v>18960</v>
      </c>
      <c r="M8829" t="s">
        <v>18960</v>
      </c>
      <c r="N8829" t="s">
        <v>25290</v>
      </c>
      <c r="O8829" t="s">
        <v>26524</v>
      </c>
      <c r="P8829" t="s">
        <v>26564</v>
      </c>
      <c r="Q8829" t="s">
        <v>26570</v>
      </c>
      <c r="R8829" t="s">
        <v>26591</v>
      </c>
      <c r="S8829" t="s">
        <v>18959</v>
      </c>
      <c r="U8829" t="s">
        <v>26604</v>
      </c>
      <c r="X8829">
        <v>1325</v>
      </c>
      <c r="Y8829" t="s">
        <v>26650</v>
      </c>
      <c r="Z8829" t="s">
        <v>26673</v>
      </c>
      <c r="AA8829" t="s">
        <v>26683</v>
      </c>
      <c r="AB8829" t="s">
        <v>33071</v>
      </c>
      <c r="AD8829" t="s">
        <v>43691</v>
      </c>
      <c r="AE8829">
        <v>38</v>
      </c>
      <c r="AG8829" t="s">
        <v>19330</v>
      </c>
      <c r="AH8829">
        <v>4</v>
      </c>
      <c r="AI8829">
        <v>1</v>
      </c>
      <c r="AJ8829">
        <v>0</v>
      </c>
      <c r="AK8829">
        <v>0</v>
      </c>
      <c r="AN8829" t="s">
        <v>7439</v>
      </c>
      <c r="AO8829">
        <v>0</v>
      </c>
      <c r="AP8829" t="s">
        <v>46109</v>
      </c>
      <c r="AU8829">
        <v>1.05</v>
      </c>
      <c r="AV8829" t="s">
        <v>410</v>
      </c>
      <c r="AW8829" t="s">
        <v>46861</v>
      </c>
    </row>
    <row r="8830" spans="1:49">
      <c r="A8830" s="1">
        <f>HYPERLINK("https://lsnyc.legalserver.org/matter/dynamic-profile/view/1872083","18-1872083")</f>
        <v>0</v>
      </c>
      <c r="B8830" t="s">
        <v>81</v>
      </c>
      <c r="C8830" t="s">
        <v>341</v>
      </c>
      <c r="D8830" t="s">
        <v>435</v>
      </c>
      <c r="E8830" t="s">
        <v>516</v>
      </c>
      <c r="F8830" t="s">
        <v>2979</v>
      </c>
      <c r="G8830" t="s">
        <v>7200</v>
      </c>
      <c r="H8830" t="s">
        <v>15645</v>
      </c>
      <c r="I8830" t="s">
        <v>17349</v>
      </c>
      <c r="J8830" t="s">
        <v>18892</v>
      </c>
      <c r="K8830">
        <v>10467</v>
      </c>
      <c r="L8830" t="s">
        <v>18959</v>
      </c>
      <c r="M8830" t="s">
        <v>18959</v>
      </c>
      <c r="O8830" t="s">
        <v>26523</v>
      </c>
      <c r="P8830" t="s">
        <v>26564</v>
      </c>
      <c r="Q8830" t="s">
        <v>26571</v>
      </c>
      <c r="R8830" t="s">
        <v>26591</v>
      </c>
      <c r="U8830" t="s">
        <v>26604</v>
      </c>
      <c r="V8830" t="s">
        <v>26612</v>
      </c>
      <c r="X8830">
        <v>0</v>
      </c>
      <c r="Y8830" t="s">
        <v>26650</v>
      </c>
      <c r="AA8830" t="s">
        <v>26683</v>
      </c>
      <c r="AB8830" t="s">
        <v>26758</v>
      </c>
      <c r="AE8830">
        <v>0</v>
      </c>
      <c r="AF8830" t="s">
        <v>45541</v>
      </c>
      <c r="AG8830" t="s">
        <v>26530</v>
      </c>
      <c r="AH8830">
        <v>0</v>
      </c>
      <c r="AI8830">
        <v>2</v>
      </c>
      <c r="AJ8830">
        <v>2</v>
      </c>
      <c r="AK8830">
        <v>0</v>
      </c>
      <c r="AN8830" t="s">
        <v>45581</v>
      </c>
      <c r="AO8830">
        <v>0</v>
      </c>
      <c r="AP8830" t="s">
        <v>46110</v>
      </c>
      <c r="AU8830">
        <v>1.75</v>
      </c>
      <c r="AV8830" t="s">
        <v>409</v>
      </c>
      <c r="AW8830" t="s">
        <v>336</v>
      </c>
    </row>
    <row r="8831" spans="1:49">
      <c r="A8831" s="1">
        <f>HYPERLINK("https://lsnyc.legalserver.org/matter/dynamic-profile/view/1872076","18-1872076")</f>
        <v>0</v>
      </c>
      <c r="B8831" t="s">
        <v>153</v>
      </c>
      <c r="C8831" t="s">
        <v>341</v>
      </c>
      <c r="D8831" t="s">
        <v>435</v>
      </c>
      <c r="E8831" t="s">
        <v>723</v>
      </c>
      <c r="F8831" t="s">
        <v>4382</v>
      </c>
      <c r="G8831" t="s">
        <v>8832</v>
      </c>
      <c r="H8831" t="s">
        <v>15646</v>
      </c>
      <c r="I8831" t="s">
        <v>17436</v>
      </c>
      <c r="J8831" t="s">
        <v>18902</v>
      </c>
      <c r="K8831">
        <v>10301</v>
      </c>
      <c r="L8831" t="s">
        <v>18960</v>
      </c>
      <c r="M8831" t="s">
        <v>18960</v>
      </c>
      <c r="N8831" t="s">
        <v>25291</v>
      </c>
      <c r="O8831" t="s">
        <v>26523</v>
      </c>
      <c r="P8831" t="s">
        <v>26564</v>
      </c>
      <c r="Q8831" t="s">
        <v>26570</v>
      </c>
      <c r="R8831" t="s">
        <v>26578</v>
      </c>
      <c r="U8831" t="s">
        <v>26604</v>
      </c>
      <c r="X8831">
        <v>1515</v>
      </c>
      <c r="Y8831" t="s">
        <v>26654</v>
      </c>
      <c r="Z8831" t="s">
        <v>26673</v>
      </c>
      <c r="AA8831" t="s">
        <v>26683</v>
      </c>
      <c r="AB8831" t="s">
        <v>31681</v>
      </c>
      <c r="AD8831" t="s">
        <v>43692</v>
      </c>
      <c r="AE8831">
        <v>11</v>
      </c>
      <c r="AG8831" t="s">
        <v>45562</v>
      </c>
      <c r="AH8831">
        <v>3</v>
      </c>
      <c r="AI8831">
        <v>1</v>
      </c>
      <c r="AJ8831">
        <v>0</v>
      </c>
      <c r="AK8831">
        <v>44.48</v>
      </c>
      <c r="AN8831" t="s">
        <v>7439</v>
      </c>
      <c r="AO8831">
        <v>5400</v>
      </c>
      <c r="AU8831">
        <v>1</v>
      </c>
      <c r="AV8831" t="s">
        <v>435</v>
      </c>
      <c r="AW8831" t="s">
        <v>46861</v>
      </c>
    </row>
    <row r="8832" spans="1:49">
      <c r="A8832" s="1">
        <f>HYPERLINK("https://lsnyc.legalserver.org/matter/dynamic-profile/view/1872202","18-1872202")</f>
        <v>0</v>
      </c>
      <c r="B8832" t="s">
        <v>162</v>
      </c>
      <c r="C8832" t="s">
        <v>341</v>
      </c>
      <c r="D8832" t="s">
        <v>435</v>
      </c>
      <c r="E8832" t="s">
        <v>441</v>
      </c>
      <c r="F8832" t="s">
        <v>2462</v>
      </c>
      <c r="G8832" t="s">
        <v>8833</v>
      </c>
      <c r="H8832" t="s">
        <v>15647</v>
      </c>
      <c r="I8832" t="s">
        <v>17949</v>
      </c>
      <c r="J8832" t="s">
        <v>18894</v>
      </c>
      <c r="K8832">
        <v>11213</v>
      </c>
      <c r="L8832" t="s">
        <v>18959</v>
      </c>
      <c r="M8832" t="s">
        <v>18960</v>
      </c>
      <c r="N8832" t="s">
        <v>25292</v>
      </c>
      <c r="O8832" t="s">
        <v>26523</v>
      </c>
      <c r="P8832" t="s">
        <v>26564</v>
      </c>
      <c r="Q8832" t="s">
        <v>26570</v>
      </c>
      <c r="R8832" t="s">
        <v>26586</v>
      </c>
      <c r="S8832" t="s">
        <v>18959</v>
      </c>
      <c r="U8832" t="s">
        <v>26604</v>
      </c>
      <c r="X8832">
        <v>2150</v>
      </c>
      <c r="Y8832" t="s">
        <v>26652</v>
      </c>
      <c r="Z8832" t="s">
        <v>26656</v>
      </c>
      <c r="AA8832" t="s">
        <v>26683</v>
      </c>
      <c r="AB8832" t="s">
        <v>28270</v>
      </c>
      <c r="AD8832" t="s">
        <v>43693</v>
      </c>
      <c r="AE8832">
        <v>85</v>
      </c>
      <c r="AF8832" t="s">
        <v>20460</v>
      </c>
      <c r="AG8832" t="s">
        <v>19330</v>
      </c>
      <c r="AH8832">
        <v>21</v>
      </c>
      <c r="AI8832">
        <v>1</v>
      </c>
      <c r="AJ8832">
        <v>0</v>
      </c>
      <c r="AK8832">
        <v>0</v>
      </c>
      <c r="AN8832" t="s">
        <v>7439</v>
      </c>
      <c r="AO8832">
        <v>0</v>
      </c>
      <c r="AU8832">
        <v>1.2</v>
      </c>
      <c r="AV8832" t="s">
        <v>439</v>
      </c>
      <c r="AW8832" t="s">
        <v>237</v>
      </c>
    </row>
    <row r="8833" spans="1:49">
      <c r="A8833" s="1">
        <f>HYPERLINK("https://lsnyc.legalserver.org/matter/dynamic-profile/view/1872163","18-1872163")</f>
        <v>0</v>
      </c>
      <c r="B8833" t="s">
        <v>122</v>
      </c>
      <c r="C8833" t="s">
        <v>341</v>
      </c>
      <c r="D8833" t="s">
        <v>435</v>
      </c>
      <c r="E8833" t="s">
        <v>494</v>
      </c>
      <c r="F8833" t="s">
        <v>1991</v>
      </c>
      <c r="G8833" t="s">
        <v>5308</v>
      </c>
      <c r="H8833" t="s">
        <v>11176</v>
      </c>
      <c r="I8833" t="s">
        <v>17624</v>
      </c>
      <c r="J8833" t="s">
        <v>18901</v>
      </c>
      <c r="K8833">
        <v>11433</v>
      </c>
      <c r="L8833" t="s">
        <v>18959</v>
      </c>
      <c r="M8833" t="s">
        <v>18960</v>
      </c>
      <c r="N8833" t="s">
        <v>25293</v>
      </c>
      <c r="O8833" t="s">
        <v>26526</v>
      </c>
      <c r="P8833" t="s">
        <v>26564</v>
      </c>
      <c r="Q8833" t="s">
        <v>26570</v>
      </c>
      <c r="R8833" t="s">
        <v>26584</v>
      </c>
      <c r="S8833" t="s">
        <v>18959</v>
      </c>
      <c r="U8833" t="s">
        <v>26604</v>
      </c>
      <c r="X8833">
        <v>1956</v>
      </c>
      <c r="Y8833" t="s">
        <v>26653</v>
      </c>
      <c r="Z8833" t="s">
        <v>26664</v>
      </c>
      <c r="AA8833" t="s">
        <v>26683</v>
      </c>
      <c r="AB8833" t="s">
        <v>28361</v>
      </c>
      <c r="AD8833" t="s">
        <v>43694</v>
      </c>
      <c r="AE8833">
        <v>2</v>
      </c>
      <c r="AF8833" t="s">
        <v>45547</v>
      </c>
      <c r="AG8833" t="s">
        <v>45558</v>
      </c>
      <c r="AH8833">
        <v>1</v>
      </c>
      <c r="AI8833">
        <v>3</v>
      </c>
      <c r="AJ8833">
        <v>4</v>
      </c>
      <c r="AK8833">
        <v>9.300000000000001</v>
      </c>
      <c r="AN8833" t="s">
        <v>7439</v>
      </c>
      <c r="AO8833">
        <v>3540</v>
      </c>
      <c r="AU8833">
        <v>0.5</v>
      </c>
      <c r="AV8833" t="s">
        <v>435</v>
      </c>
      <c r="AW8833" t="s">
        <v>122</v>
      </c>
    </row>
    <row r="8834" spans="1:49">
      <c r="A8834" s="1">
        <f>HYPERLINK("https://lsnyc.legalserver.org/matter/dynamic-profile/view/1872108","18-1872108")</f>
        <v>0</v>
      </c>
      <c r="B8834" t="s">
        <v>88</v>
      </c>
      <c r="C8834" t="s">
        <v>340</v>
      </c>
      <c r="D8834" t="s">
        <v>435</v>
      </c>
      <c r="F8834" t="s">
        <v>3443</v>
      </c>
      <c r="G8834" t="s">
        <v>7721</v>
      </c>
      <c r="H8834" t="s">
        <v>10474</v>
      </c>
      <c r="I8834" t="s">
        <v>17468</v>
      </c>
      <c r="J8834" t="s">
        <v>18894</v>
      </c>
      <c r="K8834">
        <v>11225</v>
      </c>
      <c r="L8834" t="s">
        <v>18958</v>
      </c>
      <c r="M8834" t="s">
        <v>18960</v>
      </c>
      <c r="O8834" t="s">
        <v>26531</v>
      </c>
      <c r="P8834" t="s">
        <v>26565</v>
      </c>
      <c r="R8834" t="s">
        <v>26583</v>
      </c>
      <c r="S8834" t="s">
        <v>18958</v>
      </c>
      <c r="U8834" t="s">
        <v>26604</v>
      </c>
      <c r="X8834">
        <v>1740.79</v>
      </c>
      <c r="Y8834" t="s">
        <v>26652</v>
      </c>
      <c r="Z8834" t="s">
        <v>26667</v>
      </c>
      <c r="AB8834" t="s">
        <v>27165</v>
      </c>
      <c r="AD8834" t="s">
        <v>41319</v>
      </c>
      <c r="AE8834">
        <v>89</v>
      </c>
      <c r="AF8834" t="s">
        <v>45541</v>
      </c>
      <c r="AG8834" t="s">
        <v>19330</v>
      </c>
      <c r="AH8834">
        <v>7</v>
      </c>
      <c r="AI8834">
        <v>1</v>
      </c>
      <c r="AJ8834">
        <v>0</v>
      </c>
      <c r="AK8834">
        <v>535.42</v>
      </c>
      <c r="AN8834" t="s">
        <v>7439</v>
      </c>
      <c r="AO8834">
        <v>65000</v>
      </c>
      <c r="AU8834">
        <v>0.3</v>
      </c>
      <c r="AV8834" t="s">
        <v>645</v>
      </c>
      <c r="AW8834" t="s">
        <v>279</v>
      </c>
    </row>
    <row r="8835" spans="1:49">
      <c r="A8835" s="1">
        <f>HYPERLINK("https://lsnyc.legalserver.org/matter/dynamic-profile/view/1871423","18-1871423")</f>
        <v>0</v>
      </c>
      <c r="B8835" t="s">
        <v>103</v>
      </c>
      <c r="C8835" t="s">
        <v>340</v>
      </c>
      <c r="D8835" t="s">
        <v>435</v>
      </c>
      <c r="F8835" t="s">
        <v>1233</v>
      </c>
      <c r="G8835" t="s">
        <v>8834</v>
      </c>
      <c r="H8835" t="s">
        <v>15648</v>
      </c>
      <c r="J8835" t="s">
        <v>18902</v>
      </c>
      <c r="K8835">
        <v>10314</v>
      </c>
      <c r="L8835" t="s">
        <v>18959</v>
      </c>
      <c r="M8835" t="s">
        <v>18959</v>
      </c>
      <c r="N8835" t="s">
        <v>19037</v>
      </c>
      <c r="O8835" t="s">
        <v>26524</v>
      </c>
      <c r="P8835" t="s">
        <v>26564</v>
      </c>
      <c r="R8835" t="s">
        <v>26590</v>
      </c>
      <c r="S8835" t="s">
        <v>18959</v>
      </c>
      <c r="U8835" t="s">
        <v>26604</v>
      </c>
      <c r="V8835" t="s">
        <v>26610</v>
      </c>
      <c r="X8835">
        <v>1500</v>
      </c>
      <c r="Y8835" t="s">
        <v>26654</v>
      </c>
      <c r="Z8835" t="s">
        <v>26659</v>
      </c>
      <c r="AB8835" t="s">
        <v>33072</v>
      </c>
      <c r="AD8835" t="s">
        <v>43695</v>
      </c>
      <c r="AE8835">
        <v>1</v>
      </c>
      <c r="AF8835" t="s">
        <v>45547</v>
      </c>
      <c r="AH8835">
        <v>2</v>
      </c>
      <c r="AI8835">
        <v>2</v>
      </c>
      <c r="AJ8835">
        <v>4</v>
      </c>
      <c r="AK8835">
        <v>71.23999999999999</v>
      </c>
      <c r="AN8835" t="s">
        <v>7439</v>
      </c>
      <c r="AO8835">
        <v>24036</v>
      </c>
      <c r="AU8835">
        <v>1.2</v>
      </c>
      <c r="AV8835" t="s">
        <v>706</v>
      </c>
      <c r="AW8835" t="s">
        <v>190</v>
      </c>
    </row>
    <row r="8836" spans="1:49">
      <c r="A8836" s="1">
        <f>HYPERLINK("https://lsnyc.legalserver.org/matter/dynamic-profile/view/1872207","18-1872207")</f>
        <v>0</v>
      </c>
      <c r="B8836" t="s">
        <v>254</v>
      </c>
      <c r="C8836" t="s">
        <v>341</v>
      </c>
      <c r="D8836" t="s">
        <v>439</v>
      </c>
      <c r="E8836" t="s">
        <v>494</v>
      </c>
      <c r="F8836" t="s">
        <v>1183</v>
      </c>
      <c r="G8836" t="s">
        <v>5100</v>
      </c>
      <c r="H8836" t="s">
        <v>9989</v>
      </c>
      <c r="I8836" t="s">
        <v>18606</v>
      </c>
      <c r="J8836" t="s">
        <v>18892</v>
      </c>
      <c r="K8836">
        <v>10459</v>
      </c>
      <c r="L8836" t="s">
        <v>18959</v>
      </c>
      <c r="M8836" t="s">
        <v>18960</v>
      </c>
      <c r="N8836" t="s">
        <v>19258</v>
      </c>
      <c r="O8836" t="s">
        <v>26526</v>
      </c>
      <c r="P8836" t="s">
        <v>26564</v>
      </c>
      <c r="Q8836" t="s">
        <v>26570</v>
      </c>
      <c r="R8836" t="s">
        <v>26591</v>
      </c>
      <c r="S8836" t="s">
        <v>18959</v>
      </c>
      <c r="U8836" t="s">
        <v>26604</v>
      </c>
      <c r="X8836">
        <v>1000</v>
      </c>
      <c r="Y8836" t="s">
        <v>26650</v>
      </c>
      <c r="Z8836" t="s">
        <v>26656</v>
      </c>
      <c r="AA8836" t="s">
        <v>26683</v>
      </c>
      <c r="AB8836" t="s">
        <v>27077</v>
      </c>
      <c r="AC8836" t="s">
        <v>36586</v>
      </c>
      <c r="AD8836" t="s">
        <v>37157</v>
      </c>
      <c r="AE8836">
        <v>20</v>
      </c>
      <c r="AF8836" t="s">
        <v>45541</v>
      </c>
      <c r="AG8836" t="s">
        <v>45559</v>
      </c>
      <c r="AH8836">
        <v>10</v>
      </c>
      <c r="AI8836">
        <v>2</v>
      </c>
      <c r="AJ8836">
        <v>1</v>
      </c>
      <c r="AK8836">
        <v>44.7</v>
      </c>
      <c r="AN8836" t="s">
        <v>45581</v>
      </c>
      <c r="AO8836">
        <v>9288</v>
      </c>
      <c r="AP8836" t="s">
        <v>45767</v>
      </c>
      <c r="AU8836">
        <v>2</v>
      </c>
      <c r="AV8836" t="s">
        <v>439</v>
      </c>
      <c r="AW8836" t="s">
        <v>166</v>
      </c>
    </row>
    <row r="8837" spans="1:49">
      <c r="A8837" s="1">
        <f>HYPERLINK("https://lsnyc.legalserver.org/matter/dynamic-profile/view/1872207","18-1872207")</f>
        <v>0</v>
      </c>
      <c r="B8837" t="s">
        <v>254</v>
      </c>
      <c r="C8837" t="s">
        <v>341</v>
      </c>
      <c r="D8837" t="s">
        <v>439</v>
      </c>
      <c r="E8837" t="s">
        <v>494</v>
      </c>
      <c r="F8837" t="s">
        <v>1183</v>
      </c>
      <c r="G8837" t="s">
        <v>5100</v>
      </c>
      <c r="H8837" t="s">
        <v>9989</v>
      </c>
      <c r="I8837" t="s">
        <v>18606</v>
      </c>
      <c r="J8837" t="s">
        <v>18892</v>
      </c>
      <c r="K8837">
        <v>10459</v>
      </c>
      <c r="L8837" t="s">
        <v>18959</v>
      </c>
      <c r="M8837" t="s">
        <v>18960</v>
      </c>
      <c r="N8837" t="s">
        <v>19258</v>
      </c>
      <c r="O8837" t="s">
        <v>26526</v>
      </c>
      <c r="P8837" t="s">
        <v>26564</v>
      </c>
      <c r="Q8837" t="s">
        <v>26570</v>
      </c>
      <c r="R8837" t="s">
        <v>26591</v>
      </c>
      <c r="S8837" t="s">
        <v>18959</v>
      </c>
      <c r="U8837" t="s">
        <v>26604</v>
      </c>
      <c r="X8837">
        <v>1000</v>
      </c>
      <c r="Y8837" t="s">
        <v>26650</v>
      </c>
      <c r="Z8837" t="s">
        <v>26656</v>
      </c>
      <c r="AA8837" t="s">
        <v>26683</v>
      </c>
      <c r="AB8837" t="s">
        <v>27077</v>
      </c>
      <c r="AC8837" t="s">
        <v>36586</v>
      </c>
      <c r="AD8837" t="s">
        <v>37157</v>
      </c>
      <c r="AE8837">
        <v>20</v>
      </c>
      <c r="AF8837" t="s">
        <v>45541</v>
      </c>
      <c r="AG8837" t="s">
        <v>45559</v>
      </c>
      <c r="AH8837">
        <v>10</v>
      </c>
      <c r="AI8837">
        <v>2</v>
      </c>
      <c r="AJ8837">
        <v>1</v>
      </c>
      <c r="AK8837">
        <v>44.7</v>
      </c>
      <c r="AN8837" t="s">
        <v>45581</v>
      </c>
      <c r="AO8837">
        <v>9288</v>
      </c>
      <c r="AP8837" t="s">
        <v>45767</v>
      </c>
      <c r="AU8837">
        <v>2</v>
      </c>
      <c r="AV8837" t="s">
        <v>439</v>
      </c>
      <c r="AW8837" t="s">
        <v>254</v>
      </c>
    </row>
    <row r="8838" spans="1:49">
      <c r="A8838" s="1">
        <f>HYPERLINK("https://lsnyc.legalserver.org/matter/dynamic-profile/view/1872221","18-1872221")</f>
        <v>0</v>
      </c>
      <c r="B8838" t="s">
        <v>236</v>
      </c>
      <c r="C8838" t="s">
        <v>341</v>
      </c>
      <c r="D8838" t="s">
        <v>439</v>
      </c>
      <c r="E8838" t="s">
        <v>779</v>
      </c>
      <c r="F8838" t="s">
        <v>916</v>
      </c>
      <c r="G8838" t="s">
        <v>4588</v>
      </c>
      <c r="H8838" t="s">
        <v>15649</v>
      </c>
      <c r="I8838" t="s">
        <v>18607</v>
      </c>
      <c r="J8838" t="s">
        <v>18892</v>
      </c>
      <c r="K8838">
        <v>10452</v>
      </c>
      <c r="L8838" t="s">
        <v>18960</v>
      </c>
      <c r="M8838" t="s">
        <v>18960</v>
      </c>
      <c r="O8838" t="s">
        <v>18997</v>
      </c>
      <c r="P8838" t="s">
        <v>26564</v>
      </c>
      <c r="Q8838" t="s">
        <v>26570</v>
      </c>
      <c r="R8838" t="s">
        <v>26591</v>
      </c>
      <c r="S8838" t="s">
        <v>18958</v>
      </c>
      <c r="U8838" t="s">
        <v>26604</v>
      </c>
      <c r="X8838">
        <v>1550</v>
      </c>
      <c r="Y8838" t="s">
        <v>26650</v>
      </c>
      <c r="Z8838" t="s">
        <v>26661</v>
      </c>
      <c r="AA8838" t="s">
        <v>26683</v>
      </c>
      <c r="AB8838" t="s">
        <v>33073</v>
      </c>
      <c r="AD8838" t="s">
        <v>43696</v>
      </c>
      <c r="AE8838">
        <v>92</v>
      </c>
      <c r="AF8838" t="s">
        <v>45541</v>
      </c>
      <c r="AG8838" t="s">
        <v>45556</v>
      </c>
      <c r="AH8838">
        <v>13</v>
      </c>
      <c r="AI8838">
        <v>1</v>
      </c>
      <c r="AJ8838">
        <v>0</v>
      </c>
      <c r="AK8838">
        <v>71.37</v>
      </c>
      <c r="AN8838" t="s">
        <v>7439</v>
      </c>
      <c r="AO8838">
        <v>8664</v>
      </c>
      <c r="AU8838">
        <v>0.8</v>
      </c>
      <c r="AV8838" t="s">
        <v>657</v>
      </c>
      <c r="AW8838" t="s">
        <v>46842</v>
      </c>
    </row>
    <row r="8839" spans="1:49">
      <c r="A8839" s="1">
        <f>HYPERLINK("https://lsnyc.legalserver.org/matter/dynamic-profile/view/1872252","18-1872252")</f>
        <v>0</v>
      </c>
      <c r="B8839" t="s">
        <v>193</v>
      </c>
      <c r="C8839" t="s">
        <v>341</v>
      </c>
      <c r="D8839" t="s">
        <v>439</v>
      </c>
      <c r="E8839" t="s">
        <v>727</v>
      </c>
      <c r="F8839" t="s">
        <v>3061</v>
      </c>
      <c r="G8839" t="s">
        <v>5100</v>
      </c>
      <c r="H8839" t="s">
        <v>15650</v>
      </c>
      <c r="I8839" t="s">
        <v>17885</v>
      </c>
      <c r="J8839" t="s">
        <v>18894</v>
      </c>
      <c r="K8839">
        <v>11203</v>
      </c>
      <c r="L8839" t="s">
        <v>18959</v>
      </c>
      <c r="M8839" t="s">
        <v>18960</v>
      </c>
      <c r="N8839" t="s">
        <v>25294</v>
      </c>
      <c r="O8839" t="s">
        <v>26523</v>
      </c>
      <c r="P8839" t="s">
        <v>26560</v>
      </c>
      <c r="Q8839" t="s">
        <v>26568</v>
      </c>
      <c r="R8839" t="s">
        <v>26586</v>
      </c>
      <c r="S8839" t="s">
        <v>18959</v>
      </c>
      <c r="U8839" t="s">
        <v>26604</v>
      </c>
      <c r="X8839">
        <v>1547</v>
      </c>
      <c r="Y8839" t="s">
        <v>26652</v>
      </c>
      <c r="Z8839" t="s">
        <v>26662</v>
      </c>
      <c r="AA8839" t="s">
        <v>26677</v>
      </c>
      <c r="AB8839" t="s">
        <v>29164</v>
      </c>
      <c r="AD8839" t="s">
        <v>43697</v>
      </c>
      <c r="AE8839">
        <v>12</v>
      </c>
      <c r="AF8839" t="s">
        <v>45541</v>
      </c>
      <c r="AG8839" t="s">
        <v>45556</v>
      </c>
      <c r="AH8839">
        <v>14</v>
      </c>
      <c r="AI8839">
        <v>1</v>
      </c>
      <c r="AJ8839">
        <v>0</v>
      </c>
      <c r="AK8839">
        <v>74.14</v>
      </c>
      <c r="AN8839" t="s">
        <v>45581</v>
      </c>
      <c r="AO8839">
        <v>9000</v>
      </c>
      <c r="AR8839" t="s">
        <v>46381</v>
      </c>
      <c r="AS8839" t="s">
        <v>46499</v>
      </c>
      <c r="AT8839" t="s">
        <v>46595</v>
      </c>
      <c r="AU8839">
        <v>22.75</v>
      </c>
      <c r="AV8839" t="s">
        <v>631</v>
      </c>
      <c r="AW8839" t="s">
        <v>281</v>
      </c>
    </row>
    <row r="8840" spans="1:49">
      <c r="A8840" s="1">
        <f>HYPERLINK("https://lsnyc.legalserver.org/matter/dynamic-profile/view/1872205","18-1872205")</f>
        <v>0</v>
      </c>
      <c r="B8840" t="s">
        <v>180</v>
      </c>
      <c r="C8840" t="s">
        <v>340</v>
      </c>
      <c r="D8840" t="s">
        <v>439</v>
      </c>
      <c r="F8840" t="s">
        <v>964</v>
      </c>
      <c r="G8840" t="s">
        <v>5200</v>
      </c>
      <c r="H8840" t="s">
        <v>13540</v>
      </c>
      <c r="I8840" t="s">
        <v>18608</v>
      </c>
      <c r="J8840" t="s">
        <v>18894</v>
      </c>
      <c r="K8840">
        <v>11225</v>
      </c>
      <c r="L8840" t="s">
        <v>18959</v>
      </c>
      <c r="M8840" t="s">
        <v>18960</v>
      </c>
      <c r="N8840" t="s">
        <v>25295</v>
      </c>
      <c r="O8840" t="s">
        <v>26524</v>
      </c>
      <c r="P8840" t="s">
        <v>26560</v>
      </c>
      <c r="R8840" t="s">
        <v>26588</v>
      </c>
      <c r="U8840" t="s">
        <v>26604</v>
      </c>
      <c r="X8840">
        <v>857</v>
      </c>
      <c r="Y8840" t="s">
        <v>26652</v>
      </c>
      <c r="Z8840" t="s">
        <v>26669</v>
      </c>
      <c r="AB8840" t="s">
        <v>26885</v>
      </c>
      <c r="AD8840" t="s">
        <v>43698</v>
      </c>
      <c r="AE8840">
        <v>60</v>
      </c>
      <c r="AF8840" t="s">
        <v>45541</v>
      </c>
      <c r="AH8840">
        <v>21</v>
      </c>
      <c r="AI8840">
        <v>1</v>
      </c>
      <c r="AJ8840">
        <v>0</v>
      </c>
      <c r="AK8840">
        <v>200.46</v>
      </c>
      <c r="AL8840" t="s">
        <v>605</v>
      </c>
      <c r="AN8840" t="s">
        <v>7439</v>
      </c>
      <c r="AO8840">
        <v>24336</v>
      </c>
      <c r="AU8840">
        <v>41.2</v>
      </c>
      <c r="AV8840" t="s">
        <v>816</v>
      </c>
      <c r="AW8840" t="s">
        <v>46853</v>
      </c>
    </row>
    <row r="8841" spans="1:49">
      <c r="A8841" s="1">
        <f>HYPERLINK("https://lsnyc.legalserver.org/matter/dynamic-profile/view/1872326","18-1872326")</f>
        <v>0</v>
      </c>
      <c r="B8841" t="s">
        <v>303</v>
      </c>
      <c r="C8841" t="s">
        <v>341</v>
      </c>
      <c r="D8841" t="s">
        <v>446</v>
      </c>
      <c r="E8841" t="s">
        <v>529</v>
      </c>
      <c r="F8841" t="s">
        <v>3838</v>
      </c>
      <c r="G8841" t="s">
        <v>5269</v>
      </c>
      <c r="H8841" t="s">
        <v>15651</v>
      </c>
      <c r="I8841" t="s">
        <v>17435</v>
      </c>
      <c r="J8841" t="s">
        <v>18894</v>
      </c>
      <c r="K8841">
        <v>11216</v>
      </c>
      <c r="L8841" t="s">
        <v>18960</v>
      </c>
      <c r="M8841" t="s">
        <v>18960</v>
      </c>
      <c r="N8841" t="s">
        <v>25296</v>
      </c>
      <c r="O8841" t="s">
        <v>26523</v>
      </c>
      <c r="Q8841" t="s">
        <v>26570</v>
      </c>
      <c r="R8841" t="s">
        <v>26588</v>
      </c>
      <c r="U8841" t="s">
        <v>26604</v>
      </c>
      <c r="X8841">
        <v>975</v>
      </c>
      <c r="Y8841" t="s">
        <v>26652</v>
      </c>
      <c r="Z8841" t="s">
        <v>26661</v>
      </c>
      <c r="AA8841" t="s">
        <v>26683</v>
      </c>
      <c r="AB8841" t="s">
        <v>33074</v>
      </c>
      <c r="AD8841" t="s">
        <v>43699</v>
      </c>
      <c r="AE8841">
        <v>2</v>
      </c>
      <c r="AF8841" t="s">
        <v>45547</v>
      </c>
      <c r="AG8841" t="s">
        <v>45561</v>
      </c>
      <c r="AH8841">
        <v>5</v>
      </c>
      <c r="AI8841">
        <v>1</v>
      </c>
      <c r="AJ8841">
        <v>0</v>
      </c>
      <c r="AK8841">
        <v>35.39</v>
      </c>
      <c r="AN8841" t="s">
        <v>7439</v>
      </c>
      <c r="AO8841">
        <v>4296</v>
      </c>
      <c r="AU8841">
        <v>1.6</v>
      </c>
      <c r="AV8841" t="s">
        <v>497</v>
      </c>
      <c r="AW8841" t="s">
        <v>46842</v>
      </c>
    </row>
    <row r="8842" spans="1:49">
      <c r="A8842" s="1">
        <f>HYPERLINK("https://lsnyc.legalserver.org/matter/dynamic-profile/view/1872368","18-1872368")</f>
        <v>0</v>
      </c>
      <c r="B8842" t="s">
        <v>200</v>
      </c>
      <c r="C8842" t="s">
        <v>340</v>
      </c>
      <c r="D8842" t="s">
        <v>446</v>
      </c>
      <c r="F8842" t="s">
        <v>4383</v>
      </c>
      <c r="G8842" t="s">
        <v>8835</v>
      </c>
      <c r="H8842" t="s">
        <v>15652</v>
      </c>
      <c r="I8842" t="s">
        <v>17582</v>
      </c>
      <c r="J8842" t="s">
        <v>18894</v>
      </c>
      <c r="K8842">
        <v>11209</v>
      </c>
      <c r="L8842" t="s">
        <v>18960</v>
      </c>
      <c r="M8842" t="s">
        <v>18960</v>
      </c>
      <c r="O8842" t="s">
        <v>18997</v>
      </c>
      <c r="P8842" t="s">
        <v>26564</v>
      </c>
      <c r="R8842" t="s">
        <v>26578</v>
      </c>
      <c r="S8842" t="s">
        <v>18958</v>
      </c>
      <c r="U8842" t="s">
        <v>26604</v>
      </c>
      <c r="X8842">
        <v>5000</v>
      </c>
      <c r="Y8842" t="s">
        <v>26652</v>
      </c>
      <c r="AB8842" t="s">
        <v>33075</v>
      </c>
      <c r="AD8842" t="s">
        <v>43700</v>
      </c>
      <c r="AE8842">
        <v>3</v>
      </c>
      <c r="AF8842" t="s">
        <v>20460</v>
      </c>
      <c r="AG8842" t="s">
        <v>19330</v>
      </c>
      <c r="AH8842">
        <v>4</v>
      </c>
      <c r="AI8842">
        <v>1</v>
      </c>
      <c r="AJ8842">
        <v>0</v>
      </c>
      <c r="AK8842">
        <v>158.15</v>
      </c>
      <c r="AN8842" t="s">
        <v>7439</v>
      </c>
      <c r="AO8842">
        <v>19200</v>
      </c>
      <c r="AU8842">
        <v>0.5</v>
      </c>
      <c r="AV8842" t="s">
        <v>446</v>
      </c>
      <c r="AW8842" t="s">
        <v>46829</v>
      </c>
    </row>
    <row r="8843" spans="1:49">
      <c r="A8843" s="1">
        <f>HYPERLINK("https://lsnyc.legalserver.org/matter/dynamic-profile/view/1872521","18-1872521")</f>
        <v>0</v>
      </c>
      <c r="B8843" t="s">
        <v>105</v>
      </c>
      <c r="C8843" t="s">
        <v>341</v>
      </c>
      <c r="D8843" t="s">
        <v>408</v>
      </c>
      <c r="E8843" t="s">
        <v>714</v>
      </c>
      <c r="F8843" t="s">
        <v>1066</v>
      </c>
      <c r="G8843" t="s">
        <v>8836</v>
      </c>
      <c r="H8843" t="s">
        <v>15653</v>
      </c>
      <c r="I8843" t="s">
        <v>17299</v>
      </c>
      <c r="J8843" t="s">
        <v>18913</v>
      </c>
      <c r="K8843">
        <v>11105</v>
      </c>
      <c r="L8843" t="s">
        <v>18960</v>
      </c>
      <c r="M8843" t="s">
        <v>18960</v>
      </c>
      <c r="P8843" t="s">
        <v>26564</v>
      </c>
      <c r="Q8843" t="s">
        <v>26570</v>
      </c>
      <c r="R8843" t="s">
        <v>26591</v>
      </c>
      <c r="U8843" t="s">
        <v>26604</v>
      </c>
      <c r="X8843">
        <v>1176</v>
      </c>
      <c r="Y8843" t="s">
        <v>26653</v>
      </c>
      <c r="Z8843" t="s">
        <v>26663</v>
      </c>
      <c r="AA8843" t="s">
        <v>26683</v>
      </c>
      <c r="AB8843" t="s">
        <v>33076</v>
      </c>
      <c r="AD8843" t="s">
        <v>43701</v>
      </c>
      <c r="AE8843">
        <v>6</v>
      </c>
      <c r="AF8843" t="s">
        <v>45541</v>
      </c>
      <c r="AH8843">
        <v>29</v>
      </c>
      <c r="AI8843">
        <v>1</v>
      </c>
      <c r="AJ8843">
        <v>0</v>
      </c>
      <c r="AK8843">
        <v>166.36</v>
      </c>
      <c r="AN8843" t="s">
        <v>7439</v>
      </c>
      <c r="AO8843">
        <v>20196</v>
      </c>
      <c r="AU8843">
        <v>1.25</v>
      </c>
      <c r="AV8843" t="s">
        <v>714</v>
      </c>
      <c r="AW8843" t="s">
        <v>46843</v>
      </c>
    </row>
    <row r="8844" spans="1:49">
      <c r="A8844" s="1">
        <f>HYPERLINK("https://lsnyc.legalserver.org/matter/dynamic-profile/view/1872544","18-1872544")</f>
        <v>0</v>
      </c>
      <c r="B8844" t="s">
        <v>202</v>
      </c>
      <c r="C8844" t="s">
        <v>341</v>
      </c>
      <c r="D8844" t="s">
        <v>408</v>
      </c>
      <c r="E8844" t="s">
        <v>632</v>
      </c>
      <c r="F8844" t="s">
        <v>2329</v>
      </c>
      <c r="G8844" t="s">
        <v>7655</v>
      </c>
      <c r="H8844" t="s">
        <v>12953</v>
      </c>
      <c r="I8844">
        <v>3</v>
      </c>
      <c r="J8844" t="s">
        <v>18894</v>
      </c>
      <c r="K8844">
        <v>11216</v>
      </c>
      <c r="L8844" t="s">
        <v>18958</v>
      </c>
      <c r="M8844" t="s">
        <v>18960</v>
      </c>
      <c r="N8844" t="s">
        <v>25297</v>
      </c>
      <c r="O8844" t="s">
        <v>26524</v>
      </c>
      <c r="P8844" t="s">
        <v>26560</v>
      </c>
      <c r="Q8844" t="s">
        <v>26573</v>
      </c>
      <c r="R8844" t="s">
        <v>26583</v>
      </c>
      <c r="U8844" t="s">
        <v>26604</v>
      </c>
      <c r="X8844">
        <v>0</v>
      </c>
      <c r="Y8844" t="s">
        <v>26652</v>
      </c>
      <c r="Z8844" t="s">
        <v>26659</v>
      </c>
      <c r="AA8844" t="s">
        <v>26678</v>
      </c>
      <c r="AB8844" t="s">
        <v>27618</v>
      </c>
      <c r="AD8844" t="s">
        <v>43702</v>
      </c>
      <c r="AE8844">
        <v>11</v>
      </c>
      <c r="AG8844" t="s">
        <v>19330</v>
      </c>
      <c r="AH8844">
        <v>5</v>
      </c>
      <c r="AI8844">
        <v>1</v>
      </c>
      <c r="AJ8844">
        <v>1</v>
      </c>
      <c r="AK8844">
        <v>261.24</v>
      </c>
      <c r="AN8844" t="s">
        <v>7439</v>
      </c>
      <c r="AO8844">
        <v>43000</v>
      </c>
      <c r="AU8844">
        <v>4.6</v>
      </c>
      <c r="AV8844" t="s">
        <v>631</v>
      </c>
      <c r="AW8844" t="s">
        <v>281</v>
      </c>
    </row>
    <row r="8845" spans="1:49">
      <c r="A8845" s="1">
        <f>HYPERLINK("https://lsnyc.legalserver.org/matter/dynamic-profile/view/1872546","18-1872546")</f>
        <v>0</v>
      </c>
      <c r="B8845" t="s">
        <v>141</v>
      </c>
      <c r="C8845" t="s">
        <v>341</v>
      </c>
      <c r="D8845" t="s">
        <v>408</v>
      </c>
      <c r="E8845" t="s">
        <v>594</v>
      </c>
      <c r="F8845" t="s">
        <v>4384</v>
      </c>
      <c r="G8845" t="s">
        <v>7686</v>
      </c>
      <c r="H8845" t="s">
        <v>9840</v>
      </c>
      <c r="I8845" t="s">
        <v>18609</v>
      </c>
      <c r="J8845" t="s">
        <v>18915</v>
      </c>
      <c r="K8845">
        <v>11372</v>
      </c>
      <c r="L8845" t="s">
        <v>18958</v>
      </c>
      <c r="M8845" t="s">
        <v>18958</v>
      </c>
      <c r="N8845" t="s">
        <v>19330</v>
      </c>
      <c r="O8845" t="s">
        <v>26529</v>
      </c>
      <c r="P8845" t="s">
        <v>26564</v>
      </c>
      <c r="Q8845" t="s">
        <v>26570</v>
      </c>
      <c r="R8845" t="s">
        <v>26583</v>
      </c>
      <c r="S8845" t="s">
        <v>18958</v>
      </c>
      <c r="U8845" t="s">
        <v>26604</v>
      </c>
      <c r="V8845" t="s">
        <v>26610</v>
      </c>
      <c r="X8845">
        <v>2450</v>
      </c>
      <c r="Y8845" t="s">
        <v>26653</v>
      </c>
      <c r="Z8845" t="s">
        <v>26664</v>
      </c>
      <c r="AA8845" t="s">
        <v>26683</v>
      </c>
      <c r="AB8845" t="s">
        <v>33077</v>
      </c>
      <c r="AD8845" t="s">
        <v>43703</v>
      </c>
      <c r="AE8845">
        <v>64</v>
      </c>
      <c r="AF8845" t="s">
        <v>45547</v>
      </c>
      <c r="AG8845" t="s">
        <v>19330</v>
      </c>
      <c r="AH8845">
        <v>3</v>
      </c>
      <c r="AI8845">
        <v>3</v>
      </c>
      <c r="AJ8845">
        <v>0</v>
      </c>
      <c r="AK8845">
        <v>423.48</v>
      </c>
      <c r="AN8845" t="s">
        <v>45581</v>
      </c>
      <c r="AO8845">
        <v>88000</v>
      </c>
      <c r="AU8845">
        <v>0.3</v>
      </c>
      <c r="AV8845" t="s">
        <v>594</v>
      </c>
      <c r="AW8845" t="s">
        <v>208</v>
      </c>
    </row>
    <row r="8846" spans="1:49">
      <c r="A8846" s="1">
        <f>HYPERLINK("https://lsnyc.legalserver.org/matter/dynamic-profile/view/1872444","18-1872444")</f>
        <v>0</v>
      </c>
      <c r="B8846" t="s">
        <v>135</v>
      </c>
      <c r="C8846" t="s">
        <v>341</v>
      </c>
      <c r="D8846" t="s">
        <v>408</v>
      </c>
      <c r="E8846" t="s">
        <v>458</v>
      </c>
      <c r="F8846" t="s">
        <v>1368</v>
      </c>
      <c r="G8846" t="s">
        <v>5447</v>
      </c>
      <c r="H8846" t="s">
        <v>15654</v>
      </c>
      <c r="I8846">
        <v>24</v>
      </c>
      <c r="J8846" t="s">
        <v>18892</v>
      </c>
      <c r="K8846">
        <v>10452</v>
      </c>
      <c r="L8846" t="s">
        <v>18959</v>
      </c>
      <c r="M8846" t="s">
        <v>18959</v>
      </c>
      <c r="N8846" t="s">
        <v>25298</v>
      </c>
      <c r="O8846" t="s">
        <v>26523</v>
      </c>
      <c r="P8846" t="s">
        <v>26564</v>
      </c>
      <c r="Q8846" t="s">
        <v>26570</v>
      </c>
      <c r="R8846" t="s">
        <v>26591</v>
      </c>
      <c r="S8846" t="s">
        <v>18959</v>
      </c>
      <c r="U8846" t="s">
        <v>26604</v>
      </c>
      <c r="X8846">
        <v>800</v>
      </c>
      <c r="Y8846" t="s">
        <v>26650</v>
      </c>
      <c r="Z8846" t="s">
        <v>26666</v>
      </c>
      <c r="AA8846" t="s">
        <v>26683</v>
      </c>
      <c r="AB8846" t="s">
        <v>29025</v>
      </c>
      <c r="AC8846" t="s">
        <v>36587</v>
      </c>
      <c r="AD8846" t="s">
        <v>43704</v>
      </c>
      <c r="AE8846">
        <v>28</v>
      </c>
      <c r="AF8846" t="s">
        <v>20460</v>
      </c>
      <c r="AG8846" t="s">
        <v>19330</v>
      </c>
      <c r="AH8846">
        <v>10</v>
      </c>
      <c r="AI8846">
        <v>4</v>
      </c>
      <c r="AJ8846">
        <v>1</v>
      </c>
      <c r="AK8846">
        <v>30.55</v>
      </c>
      <c r="AN8846" t="s">
        <v>7439</v>
      </c>
      <c r="AO8846">
        <v>8988</v>
      </c>
      <c r="AP8846" t="s">
        <v>46111</v>
      </c>
      <c r="AU8846">
        <v>1.7</v>
      </c>
      <c r="AV8846" t="s">
        <v>515</v>
      </c>
      <c r="AW8846" t="s">
        <v>46842</v>
      </c>
    </row>
    <row r="8847" spans="1:49">
      <c r="A8847" s="1">
        <f>HYPERLINK("https://lsnyc.legalserver.org/matter/dynamic-profile/view/1872481","18-1872481")</f>
        <v>0</v>
      </c>
      <c r="B8847" t="s">
        <v>198</v>
      </c>
      <c r="C8847" t="s">
        <v>341</v>
      </c>
      <c r="D8847" t="s">
        <v>408</v>
      </c>
      <c r="E8847" t="s">
        <v>758</v>
      </c>
      <c r="F8847" t="s">
        <v>1292</v>
      </c>
      <c r="G8847" t="s">
        <v>968</v>
      </c>
      <c r="H8847" t="s">
        <v>14940</v>
      </c>
      <c r="I8847" t="s">
        <v>17278</v>
      </c>
      <c r="J8847" t="s">
        <v>18894</v>
      </c>
      <c r="K8847">
        <v>11226</v>
      </c>
      <c r="L8847" t="s">
        <v>18960</v>
      </c>
      <c r="M8847" t="s">
        <v>18960</v>
      </c>
      <c r="Q8847" t="s">
        <v>26570</v>
      </c>
      <c r="R8847" t="s">
        <v>26578</v>
      </c>
      <c r="U8847" t="s">
        <v>26604</v>
      </c>
      <c r="X8847">
        <v>2323</v>
      </c>
      <c r="Y8847" t="s">
        <v>26652</v>
      </c>
      <c r="Z8847" t="s">
        <v>26530</v>
      </c>
      <c r="AA8847" t="s">
        <v>26683</v>
      </c>
      <c r="AB8847" t="s">
        <v>30326</v>
      </c>
      <c r="AD8847" t="s">
        <v>43705</v>
      </c>
      <c r="AE8847">
        <v>0</v>
      </c>
      <c r="AF8847" t="s">
        <v>20460</v>
      </c>
      <c r="AG8847" t="s">
        <v>45561</v>
      </c>
      <c r="AH8847">
        <v>19</v>
      </c>
      <c r="AI8847">
        <v>1</v>
      </c>
      <c r="AJ8847">
        <v>0</v>
      </c>
      <c r="AK8847">
        <v>78.19</v>
      </c>
      <c r="AN8847" t="s">
        <v>7439</v>
      </c>
      <c r="AO8847">
        <v>9492</v>
      </c>
      <c r="AU8847">
        <v>13.75</v>
      </c>
      <c r="AV8847" t="s">
        <v>785</v>
      </c>
      <c r="AW8847" t="s">
        <v>46846</v>
      </c>
    </row>
    <row r="8848" spans="1:49">
      <c r="A8848" s="1">
        <f>HYPERLINK("https://lsnyc.legalserver.org/matter/dynamic-profile/view/1872568","18-1872568")</f>
        <v>0</v>
      </c>
      <c r="B8848" t="s">
        <v>198</v>
      </c>
      <c r="C8848" t="s">
        <v>341</v>
      </c>
      <c r="D8848" t="s">
        <v>408</v>
      </c>
      <c r="E8848" t="s">
        <v>731</v>
      </c>
      <c r="F8848" t="s">
        <v>4385</v>
      </c>
      <c r="G8848" t="s">
        <v>8837</v>
      </c>
      <c r="H8848" t="s">
        <v>15655</v>
      </c>
      <c r="I8848" t="s">
        <v>18610</v>
      </c>
      <c r="J8848" t="s">
        <v>18894</v>
      </c>
      <c r="K8848">
        <v>11226</v>
      </c>
      <c r="L8848" t="s">
        <v>18960</v>
      </c>
      <c r="M8848" t="s">
        <v>18960</v>
      </c>
      <c r="O8848" t="s">
        <v>18997</v>
      </c>
      <c r="P8848" t="s">
        <v>26563</v>
      </c>
      <c r="Q8848" t="s">
        <v>26571</v>
      </c>
      <c r="R8848" t="s">
        <v>26578</v>
      </c>
      <c r="S8848" t="s">
        <v>18959</v>
      </c>
      <c r="U8848" t="s">
        <v>26604</v>
      </c>
      <c r="X8848">
        <v>1900</v>
      </c>
      <c r="Y8848" t="s">
        <v>26652</v>
      </c>
      <c r="Z8848" t="s">
        <v>26663</v>
      </c>
      <c r="AA8848" t="s">
        <v>26682</v>
      </c>
      <c r="AB8848" t="s">
        <v>32591</v>
      </c>
      <c r="AD8848" t="s">
        <v>43706</v>
      </c>
      <c r="AE8848">
        <v>0</v>
      </c>
      <c r="AF8848" t="s">
        <v>45541</v>
      </c>
      <c r="AG8848" t="s">
        <v>19330</v>
      </c>
      <c r="AH8848">
        <v>-1</v>
      </c>
      <c r="AI8848">
        <v>3</v>
      </c>
      <c r="AJ8848">
        <v>0</v>
      </c>
      <c r="AK8848">
        <v>182.87</v>
      </c>
      <c r="AN8848" t="s">
        <v>7439</v>
      </c>
      <c r="AO8848">
        <v>38000</v>
      </c>
      <c r="AU8848">
        <v>5.5</v>
      </c>
      <c r="AV8848" t="s">
        <v>731</v>
      </c>
      <c r="AW8848" t="s">
        <v>237</v>
      </c>
    </row>
    <row r="8849" spans="1:49">
      <c r="A8849" s="1">
        <f>HYPERLINK("https://lsnyc.legalserver.org/matter/dynamic-profile/view/1872566","18-1872566")</f>
        <v>0</v>
      </c>
      <c r="B8849" t="s">
        <v>109</v>
      </c>
      <c r="C8849" t="s">
        <v>340</v>
      </c>
      <c r="D8849" t="s">
        <v>408</v>
      </c>
      <c r="F8849" t="s">
        <v>1402</v>
      </c>
      <c r="G8849" t="s">
        <v>8838</v>
      </c>
      <c r="H8849" t="s">
        <v>15656</v>
      </c>
      <c r="I8849" t="s">
        <v>17277</v>
      </c>
      <c r="J8849" t="s">
        <v>18902</v>
      </c>
      <c r="K8849">
        <v>10314</v>
      </c>
      <c r="L8849" t="s">
        <v>18958</v>
      </c>
      <c r="M8849" t="s">
        <v>18958</v>
      </c>
      <c r="N8849" t="s">
        <v>25299</v>
      </c>
      <c r="O8849" t="s">
        <v>26523</v>
      </c>
      <c r="P8849" t="s">
        <v>26560</v>
      </c>
      <c r="R8849" t="s">
        <v>26590</v>
      </c>
      <c r="S8849" t="s">
        <v>18959</v>
      </c>
      <c r="U8849" t="s">
        <v>26605</v>
      </c>
      <c r="V8849" t="s">
        <v>26610</v>
      </c>
      <c r="X8849">
        <v>549</v>
      </c>
      <c r="Y8849" t="s">
        <v>26654</v>
      </c>
      <c r="Z8849" t="s">
        <v>26656</v>
      </c>
      <c r="AB8849" t="s">
        <v>33078</v>
      </c>
      <c r="AD8849" t="s">
        <v>43707</v>
      </c>
      <c r="AE8849">
        <v>0</v>
      </c>
      <c r="AF8849" t="s">
        <v>45549</v>
      </c>
      <c r="AG8849" t="s">
        <v>19330</v>
      </c>
      <c r="AH8849">
        <v>35</v>
      </c>
      <c r="AI8849">
        <v>1</v>
      </c>
      <c r="AJ8849">
        <v>0</v>
      </c>
      <c r="AK8849">
        <v>85.67</v>
      </c>
      <c r="AM8849" t="s">
        <v>45579</v>
      </c>
      <c r="AO8849">
        <v>10400</v>
      </c>
      <c r="AU8849">
        <v>6.2</v>
      </c>
      <c r="AV8849" t="s">
        <v>540</v>
      </c>
      <c r="AW8849" t="s">
        <v>190</v>
      </c>
    </row>
    <row r="8850" spans="1:49">
      <c r="A8850" s="1">
        <f>HYPERLINK("https://lsnyc.legalserver.org/matter/dynamic-profile/view/1872479","18-1872479")</f>
        <v>0</v>
      </c>
      <c r="B8850" t="s">
        <v>110</v>
      </c>
      <c r="C8850" t="s">
        <v>340</v>
      </c>
      <c r="D8850" t="s">
        <v>408</v>
      </c>
      <c r="F8850" t="s">
        <v>4386</v>
      </c>
      <c r="G8850" t="s">
        <v>5224</v>
      </c>
      <c r="H8850" t="s">
        <v>15657</v>
      </c>
      <c r="J8850" t="s">
        <v>18901</v>
      </c>
      <c r="K8850">
        <v>11434</v>
      </c>
      <c r="L8850" t="s">
        <v>18960</v>
      </c>
      <c r="M8850" t="s">
        <v>18960</v>
      </c>
      <c r="R8850" t="s">
        <v>26591</v>
      </c>
      <c r="U8850" t="s">
        <v>26604</v>
      </c>
      <c r="X8850">
        <v>0</v>
      </c>
      <c r="Y8850" t="s">
        <v>26653</v>
      </c>
      <c r="AB8850" t="s">
        <v>33079</v>
      </c>
      <c r="AD8850" t="s">
        <v>43708</v>
      </c>
      <c r="AE8850">
        <v>0</v>
      </c>
      <c r="AH8850">
        <v>0</v>
      </c>
      <c r="AI8850">
        <v>2</v>
      </c>
      <c r="AJ8850">
        <v>2</v>
      </c>
      <c r="AK8850">
        <v>148.69</v>
      </c>
      <c r="AN8850" t="s">
        <v>7439</v>
      </c>
      <c r="AO8850">
        <v>37320</v>
      </c>
      <c r="AU8850">
        <v>0.4</v>
      </c>
      <c r="AV8850" t="s">
        <v>408</v>
      </c>
      <c r="AW8850" t="s">
        <v>46849</v>
      </c>
    </row>
    <row r="8851" spans="1:49">
      <c r="A8851" s="1">
        <f>HYPERLINK("https://lsnyc.legalserver.org/matter/dynamic-profile/view/1872554","18-1872554")</f>
        <v>0</v>
      </c>
      <c r="B8851" t="s">
        <v>114</v>
      </c>
      <c r="C8851" t="s">
        <v>340</v>
      </c>
      <c r="D8851" t="s">
        <v>408</v>
      </c>
      <c r="F8851" t="s">
        <v>939</v>
      </c>
      <c r="G8851" t="s">
        <v>8839</v>
      </c>
      <c r="H8851" t="s">
        <v>11376</v>
      </c>
      <c r="I8851" t="s">
        <v>18305</v>
      </c>
      <c r="J8851" t="s">
        <v>18915</v>
      </c>
      <c r="K8851">
        <v>11372</v>
      </c>
      <c r="L8851" t="s">
        <v>18958</v>
      </c>
      <c r="M8851" t="s">
        <v>18958</v>
      </c>
      <c r="N8851" t="s">
        <v>18997</v>
      </c>
      <c r="O8851" t="s">
        <v>26529</v>
      </c>
      <c r="P8851" t="s">
        <v>26562</v>
      </c>
      <c r="R8851" t="s">
        <v>26578</v>
      </c>
      <c r="S8851" t="s">
        <v>18958</v>
      </c>
      <c r="U8851" t="s">
        <v>26604</v>
      </c>
      <c r="V8851" t="s">
        <v>26610</v>
      </c>
      <c r="X8851">
        <v>2950</v>
      </c>
      <c r="Y8851" t="s">
        <v>26653</v>
      </c>
      <c r="Z8851" t="s">
        <v>26664</v>
      </c>
      <c r="AB8851" t="s">
        <v>27795</v>
      </c>
      <c r="AD8851" t="s">
        <v>43709</v>
      </c>
      <c r="AE8851">
        <v>60</v>
      </c>
      <c r="AF8851" t="s">
        <v>20460</v>
      </c>
      <c r="AG8851" t="s">
        <v>19330</v>
      </c>
      <c r="AH8851">
        <v>4</v>
      </c>
      <c r="AI8851">
        <v>4</v>
      </c>
      <c r="AJ8851">
        <v>0</v>
      </c>
      <c r="AK8851">
        <v>786.42</v>
      </c>
      <c r="AN8851" t="s">
        <v>7439</v>
      </c>
      <c r="AO8851">
        <v>197392</v>
      </c>
      <c r="AU8851">
        <v>0</v>
      </c>
      <c r="AW8851" t="s">
        <v>208</v>
      </c>
    </row>
    <row r="8852" spans="1:49">
      <c r="A8852" s="1">
        <f>HYPERLINK("https://lsnyc.legalserver.org/matter/dynamic-profile/view/1872572","18-1872572")</f>
        <v>0</v>
      </c>
      <c r="B8852" t="s">
        <v>201</v>
      </c>
      <c r="C8852" t="s">
        <v>341</v>
      </c>
      <c r="D8852" t="s">
        <v>409</v>
      </c>
      <c r="E8852" t="s">
        <v>494</v>
      </c>
      <c r="F8852" t="s">
        <v>1534</v>
      </c>
      <c r="G8852" t="s">
        <v>7581</v>
      </c>
      <c r="H8852" t="s">
        <v>15658</v>
      </c>
      <c r="I8852" t="s">
        <v>17730</v>
      </c>
      <c r="J8852" t="s">
        <v>18894</v>
      </c>
      <c r="K8852">
        <v>11208</v>
      </c>
      <c r="L8852" t="s">
        <v>18959</v>
      </c>
      <c r="M8852" t="s">
        <v>18959</v>
      </c>
      <c r="P8852" t="s">
        <v>26565</v>
      </c>
      <c r="Q8852" t="s">
        <v>26569</v>
      </c>
      <c r="R8852" t="s">
        <v>26578</v>
      </c>
      <c r="U8852" t="s">
        <v>26604</v>
      </c>
      <c r="X8852">
        <v>0</v>
      </c>
      <c r="Y8852" t="s">
        <v>26652</v>
      </c>
      <c r="AA8852" t="s">
        <v>26681</v>
      </c>
      <c r="AB8852" t="s">
        <v>33080</v>
      </c>
      <c r="AD8852" t="s">
        <v>43710</v>
      </c>
      <c r="AE8852">
        <v>0</v>
      </c>
      <c r="AH8852">
        <v>0</v>
      </c>
      <c r="AI8852">
        <v>1</v>
      </c>
      <c r="AJ8852">
        <v>0</v>
      </c>
      <c r="AK8852">
        <v>43.14</v>
      </c>
      <c r="AN8852" t="s">
        <v>7439</v>
      </c>
      <c r="AO8852">
        <v>5236.8</v>
      </c>
      <c r="AU8852">
        <v>3.8</v>
      </c>
      <c r="AV8852" t="s">
        <v>684</v>
      </c>
      <c r="AW8852" t="s">
        <v>46892</v>
      </c>
    </row>
    <row r="8853" spans="1:49">
      <c r="A8853" s="1">
        <f>HYPERLINK("https://lsnyc.legalserver.org/matter/dynamic-profile/view/1872629","18-1872629")</f>
        <v>0</v>
      </c>
      <c r="B8853" t="s">
        <v>234</v>
      </c>
      <c r="C8853" t="s">
        <v>340</v>
      </c>
      <c r="D8853" t="s">
        <v>409</v>
      </c>
      <c r="F8853" t="s">
        <v>901</v>
      </c>
      <c r="G8853" t="s">
        <v>5191</v>
      </c>
      <c r="H8853" t="s">
        <v>10670</v>
      </c>
      <c r="I8853" t="s">
        <v>17299</v>
      </c>
      <c r="J8853" t="s">
        <v>18893</v>
      </c>
      <c r="K8853">
        <v>10032</v>
      </c>
      <c r="L8853" t="s">
        <v>18958</v>
      </c>
      <c r="M8853" t="s">
        <v>18960</v>
      </c>
      <c r="N8853" t="s">
        <v>25300</v>
      </c>
      <c r="O8853" t="s">
        <v>26524</v>
      </c>
      <c r="P8853" t="s">
        <v>26563</v>
      </c>
      <c r="R8853" t="s">
        <v>26582</v>
      </c>
      <c r="S8853" t="s">
        <v>18959</v>
      </c>
      <c r="U8853" t="s">
        <v>26604</v>
      </c>
      <c r="X8853">
        <v>2167</v>
      </c>
      <c r="Y8853" t="s">
        <v>26651</v>
      </c>
      <c r="Z8853" t="s">
        <v>26664</v>
      </c>
      <c r="AB8853" t="s">
        <v>33081</v>
      </c>
      <c r="AD8853" t="s">
        <v>43711</v>
      </c>
      <c r="AE8853">
        <v>0</v>
      </c>
      <c r="AF8853" t="s">
        <v>45547</v>
      </c>
      <c r="AG8853" t="s">
        <v>19330</v>
      </c>
      <c r="AH8853">
        <v>14</v>
      </c>
      <c r="AI8853">
        <v>3</v>
      </c>
      <c r="AJ8853">
        <v>4</v>
      </c>
      <c r="AK8853">
        <v>144.51</v>
      </c>
      <c r="AN8853" t="s">
        <v>7439</v>
      </c>
      <c r="AO8853">
        <v>55000</v>
      </c>
      <c r="AU8853">
        <v>31.35</v>
      </c>
      <c r="AV8853" t="s">
        <v>823</v>
      </c>
      <c r="AW8853" t="s">
        <v>46845</v>
      </c>
    </row>
    <row r="8854" spans="1:49">
      <c r="A8854" s="1">
        <f>HYPERLINK("https://lsnyc.legalserver.org/matter/dynamic-profile/view/1872631","18-1872631")</f>
        <v>0</v>
      </c>
      <c r="B8854" t="s">
        <v>200</v>
      </c>
      <c r="C8854" t="s">
        <v>340</v>
      </c>
      <c r="D8854" t="s">
        <v>409</v>
      </c>
      <c r="F8854" t="s">
        <v>1068</v>
      </c>
      <c r="G8854" t="s">
        <v>8840</v>
      </c>
      <c r="H8854" t="s">
        <v>12996</v>
      </c>
      <c r="I8854" t="s">
        <v>18611</v>
      </c>
      <c r="J8854" t="s">
        <v>18894</v>
      </c>
      <c r="K8854">
        <v>11213</v>
      </c>
      <c r="L8854" t="s">
        <v>18960</v>
      </c>
      <c r="M8854" t="s">
        <v>18960</v>
      </c>
      <c r="R8854" t="s">
        <v>26578</v>
      </c>
      <c r="U8854" t="s">
        <v>26604</v>
      </c>
      <c r="X8854">
        <v>0</v>
      </c>
      <c r="Y8854" t="s">
        <v>26652</v>
      </c>
      <c r="AB8854" t="s">
        <v>33082</v>
      </c>
      <c r="AD8854" t="s">
        <v>43712</v>
      </c>
      <c r="AE8854">
        <v>0</v>
      </c>
      <c r="AH8854">
        <v>0</v>
      </c>
      <c r="AI8854">
        <v>2</v>
      </c>
      <c r="AJ8854">
        <v>0</v>
      </c>
      <c r="AK8854">
        <v>0</v>
      </c>
      <c r="AN8854" t="s">
        <v>7439</v>
      </c>
      <c r="AO8854">
        <v>0</v>
      </c>
      <c r="AU8854">
        <v>2.3</v>
      </c>
      <c r="AV8854" t="s">
        <v>533</v>
      </c>
      <c r="AW8854" t="s">
        <v>46849</v>
      </c>
    </row>
    <row r="8855" spans="1:49">
      <c r="A8855" s="1">
        <f>HYPERLINK("https://lsnyc.legalserver.org/matter/dynamic-profile/view/1872672","18-1872672")</f>
        <v>0</v>
      </c>
      <c r="B8855" t="s">
        <v>200</v>
      </c>
      <c r="C8855" t="s">
        <v>340</v>
      </c>
      <c r="D8855" t="s">
        <v>409</v>
      </c>
      <c r="F8855" t="s">
        <v>4387</v>
      </c>
      <c r="G8855" t="s">
        <v>8841</v>
      </c>
      <c r="H8855" t="s">
        <v>15659</v>
      </c>
      <c r="I8855">
        <v>421</v>
      </c>
      <c r="J8855" t="s">
        <v>18894</v>
      </c>
      <c r="K8855">
        <v>11230</v>
      </c>
      <c r="L8855" t="s">
        <v>18960</v>
      </c>
      <c r="M8855" t="s">
        <v>18960</v>
      </c>
      <c r="O8855" t="s">
        <v>26526</v>
      </c>
      <c r="R8855" t="s">
        <v>26578</v>
      </c>
      <c r="S8855" t="s">
        <v>18959</v>
      </c>
      <c r="U8855" t="s">
        <v>26604</v>
      </c>
      <c r="X8855">
        <v>1250</v>
      </c>
      <c r="Y8855" t="s">
        <v>26652</v>
      </c>
      <c r="Z8855" t="s">
        <v>26673</v>
      </c>
      <c r="AB8855" t="s">
        <v>30927</v>
      </c>
      <c r="AD8855" t="s">
        <v>43713</v>
      </c>
      <c r="AE8855">
        <v>100</v>
      </c>
      <c r="AF8855" t="s">
        <v>20460</v>
      </c>
      <c r="AG8855" t="s">
        <v>19330</v>
      </c>
      <c r="AH8855">
        <v>3</v>
      </c>
      <c r="AI8855">
        <v>1</v>
      </c>
      <c r="AJ8855">
        <v>2</v>
      </c>
      <c r="AK8855">
        <v>144.37</v>
      </c>
      <c r="AN8855" t="s">
        <v>7439</v>
      </c>
      <c r="AO8855">
        <v>30000</v>
      </c>
      <c r="AU8855">
        <v>0.5</v>
      </c>
      <c r="AV8855" t="s">
        <v>409</v>
      </c>
      <c r="AW8855" t="s">
        <v>46841</v>
      </c>
    </row>
    <row r="8856" spans="1:49">
      <c r="A8856" s="1">
        <f>HYPERLINK("https://lsnyc.legalserver.org/matter/dynamic-profile/view/1872715","18-1872715")</f>
        <v>0</v>
      </c>
      <c r="B8856" t="s">
        <v>142</v>
      </c>
      <c r="C8856" t="s">
        <v>340</v>
      </c>
      <c r="D8856" t="s">
        <v>409</v>
      </c>
      <c r="F8856" t="s">
        <v>1104</v>
      </c>
      <c r="G8856" t="s">
        <v>1680</v>
      </c>
      <c r="H8856" t="s">
        <v>15660</v>
      </c>
      <c r="I8856" t="s">
        <v>18598</v>
      </c>
      <c r="J8856" t="s">
        <v>18913</v>
      </c>
      <c r="K8856">
        <v>11106</v>
      </c>
      <c r="L8856" t="s">
        <v>18960</v>
      </c>
      <c r="M8856" t="s">
        <v>18960</v>
      </c>
      <c r="N8856" t="s">
        <v>25301</v>
      </c>
      <c r="O8856" t="s">
        <v>26524</v>
      </c>
      <c r="P8856" t="s">
        <v>26560</v>
      </c>
      <c r="R8856" t="s">
        <v>26584</v>
      </c>
      <c r="U8856" t="s">
        <v>26604</v>
      </c>
      <c r="X8856">
        <v>891</v>
      </c>
      <c r="Y8856" t="s">
        <v>26653</v>
      </c>
      <c r="AB8856" t="s">
        <v>33083</v>
      </c>
      <c r="AD8856" t="s">
        <v>43714</v>
      </c>
      <c r="AE8856">
        <v>62</v>
      </c>
      <c r="AF8856" t="s">
        <v>45541</v>
      </c>
      <c r="AG8856" t="s">
        <v>19330</v>
      </c>
      <c r="AH8856">
        <v>891</v>
      </c>
      <c r="AI8856">
        <v>4</v>
      </c>
      <c r="AJ8856">
        <v>0</v>
      </c>
      <c r="AK8856">
        <v>0</v>
      </c>
      <c r="AO8856">
        <v>0</v>
      </c>
      <c r="AQ8856" t="s">
        <v>46359</v>
      </c>
      <c r="AR8856" t="s">
        <v>46379</v>
      </c>
      <c r="AS8856" t="s">
        <v>46499</v>
      </c>
      <c r="AT8856" t="s">
        <v>46810</v>
      </c>
      <c r="AU8856">
        <v>11.4</v>
      </c>
      <c r="AV8856" t="s">
        <v>630</v>
      </c>
      <c r="AW8856" t="s">
        <v>122</v>
      </c>
    </row>
    <row r="8857" spans="1:49">
      <c r="A8857" s="1">
        <f>HYPERLINK("https://lsnyc.legalserver.org/matter/dynamic-profile/view/1872639","18-1872639")</f>
        <v>0</v>
      </c>
      <c r="B8857" t="s">
        <v>62</v>
      </c>
      <c r="C8857" t="s">
        <v>340</v>
      </c>
      <c r="D8857" t="s">
        <v>409</v>
      </c>
      <c r="F8857" t="s">
        <v>2273</v>
      </c>
      <c r="G8857" t="s">
        <v>5478</v>
      </c>
      <c r="H8857" t="s">
        <v>15661</v>
      </c>
      <c r="I8857">
        <v>61</v>
      </c>
      <c r="J8857" t="s">
        <v>18893</v>
      </c>
      <c r="K8857">
        <v>10031</v>
      </c>
      <c r="L8857" t="s">
        <v>18958</v>
      </c>
      <c r="M8857" t="s">
        <v>18960</v>
      </c>
      <c r="N8857" t="s">
        <v>25302</v>
      </c>
      <c r="O8857" t="s">
        <v>26523</v>
      </c>
      <c r="P8857" t="s">
        <v>26563</v>
      </c>
      <c r="R8857" t="s">
        <v>26582</v>
      </c>
      <c r="U8857" t="s">
        <v>26604</v>
      </c>
      <c r="X8857">
        <v>1162.86</v>
      </c>
      <c r="Y8857" t="s">
        <v>26651</v>
      </c>
      <c r="Z8857" t="s">
        <v>26664</v>
      </c>
      <c r="AB8857" t="s">
        <v>33084</v>
      </c>
      <c r="AD8857" t="s">
        <v>43715</v>
      </c>
      <c r="AE8857">
        <v>39</v>
      </c>
      <c r="AF8857" t="s">
        <v>20460</v>
      </c>
      <c r="AG8857" t="s">
        <v>19330</v>
      </c>
      <c r="AH8857">
        <v>28</v>
      </c>
      <c r="AI8857">
        <v>3</v>
      </c>
      <c r="AJ8857">
        <v>0</v>
      </c>
      <c r="AK8857">
        <v>111.45</v>
      </c>
      <c r="AO8857">
        <v>23160</v>
      </c>
      <c r="AU8857">
        <v>20.5</v>
      </c>
      <c r="AV8857" t="s">
        <v>829</v>
      </c>
      <c r="AW8857" t="s">
        <v>46845</v>
      </c>
    </row>
    <row r="8858" spans="1:49">
      <c r="A8858" s="1">
        <f>HYPERLINK("https://lsnyc.legalserver.org/matter/dynamic-profile/view/1872619","18-1872619")</f>
        <v>0</v>
      </c>
      <c r="B8858" t="s">
        <v>62</v>
      </c>
      <c r="C8858" t="s">
        <v>340</v>
      </c>
      <c r="D8858" t="s">
        <v>409</v>
      </c>
      <c r="F8858" t="s">
        <v>4388</v>
      </c>
      <c r="G8858" t="s">
        <v>994</v>
      </c>
      <c r="H8858" t="s">
        <v>10078</v>
      </c>
      <c r="I8858" t="s">
        <v>18612</v>
      </c>
      <c r="J8858" t="s">
        <v>18893</v>
      </c>
      <c r="K8858">
        <v>10030</v>
      </c>
      <c r="L8858" t="s">
        <v>18958</v>
      </c>
      <c r="M8858" t="s">
        <v>18960</v>
      </c>
      <c r="N8858" t="s">
        <v>25303</v>
      </c>
      <c r="O8858" t="s">
        <v>26523</v>
      </c>
      <c r="P8858" t="s">
        <v>26563</v>
      </c>
      <c r="R8858" t="s">
        <v>26582</v>
      </c>
      <c r="U8858" t="s">
        <v>26605</v>
      </c>
      <c r="X8858">
        <v>519</v>
      </c>
      <c r="Y8858" t="s">
        <v>26651</v>
      </c>
      <c r="Z8858" t="s">
        <v>26664</v>
      </c>
      <c r="AB8858" t="s">
        <v>31384</v>
      </c>
      <c r="AD8858" t="s">
        <v>43716</v>
      </c>
      <c r="AE8858">
        <v>246</v>
      </c>
      <c r="AF8858" t="s">
        <v>45549</v>
      </c>
      <c r="AG8858" t="s">
        <v>19330</v>
      </c>
      <c r="AH8858">
        <v>10</v>
      </c>
      <c r="AI8858">
        <v>2</v>
      </c>
      <c r="AJ8858">
        <v>3</v>
      </c>
      <c r="AK8858">
        <v>136.64</v>
      </c>
      <c r="AN8858" t="s">
        <v>7439</v>
      </c>
      <c r="AO8858">
        <v>40200</v>
      </c>
      <c r="AU8858">
        <v>6.35</v>
      </c>
      <c r="AV8858" t="s">
        <v>526</v>
      </c>
      <c r="AW8858" t="s">
        <v>46845</v>
      </c>
    </row>
    <row r="8859" spans="1:49">
      <c r="A8859" s="1">
        <f>HYPERLINK("https://lsnyc.legalserver.org/matter/dynamic-profile/view/1872718","18-1872718")</f>
        <v>0</v>
      </c>
      <c r="B8859" t="s">
        <v>62</v>
      </c>
      <c r="C8859" t="s">
        <v>340</v>
      </c>
      <c r="D8859" t="s">
        <v>409</v>
      </c>
      <c r="F8859" t="s">
        <v>2631</v>
      </c>
      <c r="G8859" t="s">
        <v>8842</v>
      </c>
      <c r="H8859" t="s">
        <v>15662</v>
      </c>
      <c r="I8859" t="s">
        <v>17272</v>
      </c>
      <c r="J8859" t="s">
        <v>18893</v>
      </c>
      <c r="K8859">
        <v>10128</v>
      </c>
      <c r="L8859" t="s">
        <v>18958</v>
      </c>
      <c r="M8859" t="s">
        <v>18960</v>
      </c>
      <c r="N8859" t="s">
        <v>25304</v>
      </c>
      <c r="O8859" t="s">
        <v>26523</v>
      </c>
      <c r="P8859" t="s">
        <v>26563</v>
      </c>
      <c r="R8859" t="s">
        <v>26582</v>
      </c>
      <c r="U8859" t="s">
        <v>26604</v>
      </c>
      <c r="X8859">
        <v>2650</v>
      </c>
      <c r="Y8859" t="s">
        <v>26651</v>
      </c>
      <c r="Z8859" t="s">
        <v>26664</v>
      </c>
      <c r="AB8859" t="s">
        <v>33085</v>
      </c>
      <c r="AD8859" t="s">
        <v>43717</v>
      </c>
      <c r="AE8859">
        <v>18</v>
      </c>
      <c r="AG8859" t="s">
        <v>19330</v>
      </c>
      <c r="AH8859">
        <v>1</v>
      </c>
      <c r="AI8859">
        <v>1</v>
      </c>
      <c r="AJ8859">
        <v>0</v>
      </c>
      <c r="AK8859">
        <v>164.74</v>
      </c>
      <c r="AO8859">
        <v>20000</v>
      </c>
      <c r="AU8859">
        <v>1.25</v>
      </c>
      <c r="AV8859" t="s">
        <v>465</v>
      </c>
      <c r="AW8859" t="s">
        <v>46845</v>
      </c>
    </row>
    <row r="8860" spans="1:49">
      <c r="A8860" s="1">
        <f>HYPERLINK("https://lsnyc.legalserver.org/matter/dynamic-profile/view/1872791","18-1872791")</f>
        <v>0</v>
      </c>
      <c r="B8860" t="s">
        <v>149</v>
      </c>
      <c r="C8860" t="s">
        <v>341</v>
      </c>
      <c r="D8860" t="s">
        <v>449</v>
      </c>
      <c r="E8860" t="s">
        <v>632</v>
      </c>
      <c r="F8860" t="s">
        <v>2190</v>
      </c>
      <c r="G8860" t="s">
        <v>8843</v>
      </c>
      <c r="H8860" t="s">
        <v>15663</v>
      </c>
      <c r="I8860" t="s">
        <v>17624</v>
      </c>
      <c r="J8860" t="s">
        <v>18892</v>
      </c>
      <c r="K8860">
        <v>10460</v>
      </c>
      <c r="L8860" t="s">
        <v>18959</v>
      </c>
      <c r="M8860" t="s">
        <v>18960</v>
      </c>
      <c r="N8860" t="s">
        <v>19330</v>
      </c>
      <c r="O8860" t="s">
        <v>26526</v>
      </c>
      <c r="P8860" t="s">
        <v>26565</v>
      </c>
      <c r="Q8860" t="s">
        <v>26571</v>
      </c>
      <c r="R8860" t="s">
        <v>26583</v>
      </c>
      <c r="U8860" t="s">
        <v>26604</v>
      </c>
      <c r="X8860">
        <v>1500</v>
      </c>
      <c r="Y8860" t="s">
        <v>26650</v>
      </c>
      <c r="Z8860" t="s">
        <v>26663</v>
      </c>
      <c r="AA8860" t="s">
        <v>26683</v>
      </c>
      <c r="AB8860" t="s">
        <v>33086</v>
      </c>
      <c r="AD8860" t="s">
        <v>43718</v>
      </c>
      <c r="AE8860">
        <v>4</v>
      </c>
      <c r="AF8860" t="s">
        <v>45547</v>
      </c>
      <c r="AG8860" t="s">
        <v>45557</v>
      </c>
      <c r="AH8860">
        <v>1</v>
      </c>
      <c r="AI8860">
        <v>2</v>
      </c>
      <c r="AJ8860">
        <v>3</v>
      </c>
      <c r="AK8860">
        <v>24.47</v>
      </c>
      <c r="AN8860" t="s">
        <v>7439</v>
      </c>
      <c r="AO8860">
        <v>7200</v>
      </c>
      <c r="AP8860" t="s">
        <v>46112</v>
      </c>
      <c r="AU8860">
        <v>1.45</v>
      </c>
      <c r="AV8860" t="s">
        <v>632</v>
      </c>
      <c r="AW8860" t="s">
        <v>149</v>
      </c>
    </row>
    <row r="8861" spans="1:49">
      <c r="A8861" s="1">
        <f>HYPERLINK("https://lsnyc.legalserver.org/matter/dynamic-profile/view/1872520","18-1872520")</f>
        <v>0</v>
      </c>
      <c r="B8861" t="s">
        <v>110</v>
      </c>
      <c r="C8861" t="s">
        <v>341</v>
      </c>
      <c r="D8861" t="s">
        <v>449</v>
      </c>
      <c r="E8861" t="s">
        <v>820</v>
      </c>
      <c r="F8861" t="s">
        <v>4389</v>
      </c>
      <c r="G8861" t="s">
        <v>8844</v>
      </c>
      <c r="H8861" t="s">
        <v>15664</v>
      </c>
      <c r="I8861" t="s">
        <v>18613</v>
      </c>
      <c r="J8861" t="s">
        <v>18918</v>
      </c>
      <c r="K8861">
        <v>11417</v>
      </c>
      <c r="L8861" t="s">
        <v>18958</v>
      </c>
      <c r="M8861" t="s">
        <v>18960</v>
      </c>
      <c r="N8861" t="s">
        <v>25305</v>
      </c>
      <c r="O8861" t="s">
        <v>26524</v>
      </c>
      <c r="P8861" t="s">
        <v>26564</v>
      </c>
      <c r="Q8861" t="s">
        <v>26570</v>
      </c>
      <c r="R8861" t="s">
        <v>26584</v>
      </c>
      <c r="S8861" t="s">
        <v>18959</v>
      </c>
      <c r="U8861" t="s">
        <v>26604</v>
      </c>
      <c r="X8861">
        <v>625</v>
      </c>
      <c r="Y8861" t="s">
        <v>26653</v>
      </c>
      <c r="Z8861" t="s">
        <v>26664</v>
      </c>
      <c r="AA8861" t="s">
        <v>26683</v>
      </c>
      <c r="AB8861" t="s">
        <v>33087</v>
      </c>
      <c r="AD8861" t="s">
        <v>43719</v>
      </c>
      <c r="AE8861">
        <v>2</v>
      </c>
      <c r="AF8861" t="s">
        <v>45547</v>
      </c>
      <c r="AG8861" t="s">
        <v>19330</v>
      </c>
      <c r="AH8861">
        <v>5</v>
      </c>
      <c r="AI8861">
        <v>2</v>
      </c>
      <c r="AJ8861">
        <v>0</v>
      </c>
      <c r="AK8861">
        <v>94.78</v>
      </c>
      <c r="AN8861" t="s">
        <v>45592</v>
      </c>
      <c r="AO8861">
        <v>15600</v>
      </c>
      <c r="AU8861">
        <v>1.25</v>
      </c>
      <c r="AV8861" t="s">
        <v>803</v>
      </c>
      <c r="AW8861" t="s">
        <v>161</v>
      </c>
    </row>
    <row r="8862" spans="1:49">
      <c r="A8862" s="1">
        <f>HYPERLINK("https://lsnyc.legalserver.org/matter/dynamic-profile/view/1872806","18-1872806")</f>
        <v>0</v>
      </c>
      <c r="B8862" t="s">
        <v>279</v>
      </c>
      <c r="C8862" t="s">
        <v>341</v>
      </c>
      <c r="D8862" t="s">
        <v>449</v>
      </c>
      <c r="E8862" t="s">
        <v>466</v>
      </c>
      <c r="F8862" t="s">
        <v>1506</v>
      </c>
      <c r="G8862" t="s">
        <v>3604</v>
      </c>
      <c r="H8862" t="s">
        <v>15665</v>
      </c>
      <c r="I8862" t="s">
        <v>17333</v>
      </c>
      <c r="J8862" t="s">
        <v>18894</v>
      </c>
      <c r="K8862">
        <v>11208</v>
      </c>
      <c r="L8862" t="s">
        <v>18959</v>
      </c>
      <c r="M8862" t="s">
        <v>18959</v>
      </c>
      <c r="N8862" t="s">
        <v>18997</v>
      </c>
      <c r="P8862" t="s">
        <v>26564</v>
      </c>
      <c r="Q8862" t="s">
        <v>26570</v>
      </c>
      <c r="R8862" t="s">
        <v>26578</v>
      </c>
      <c r="S8862" t="s">
        <v>18959</v>
      </c>
      <c r="U8862" t="s">
        <v>26604</v>
      </c>
      <c r="X8862">
        <v>270</v>
      </c>
      <c r="Y8862" t="s">
        <v>26652</v>
      </c>
      <c r="Z8862" t="s">
        <v>26663</v>
      </c>
      <c r="AA8862" t="s">
        <v>26683</v>
      </c>
      <c r="AB8862" t="s">
        <v>33088</v>
      </c>
      <c r="AD8862" t="s">
        <v>43720</v>
      </c>
      <c r="AE8862">
        <v>6</v>
      </c>
      <c r="AF8862" t="s">
        <v>45554</v>
      </c>
      <c r="AG8862" t="s">
        <v>45556</v>
      </c>
      <c r="AH8862">
        <v>7</v>
      </c>
      <c r="AI8862">
        <v>1</v>
      </c>
      <c r="AJ8862">
        <v>0</v>
      </c>
      <c r="AK8862">
        <v>69.19</v>
      </c>
      <c r="AN8862" t="s">
        <v>7439</v>
      </c>
      <c r="AO8862">
        <v>8400</v>
      </c>
      <c r="AU8862">
        <v>1</v>
      </c>
      <c r="AV8862" t="s">
        <v>449</v>
      </c>
      <c r="AW8862" t="s">
        <v>46843</v>
      </c>
    </row>
    <row r="8863" spans="1:49">
      <c r="A8863" s="1">
        <f>HYPERLINK("https://lsnyc.legalserver.org/matter/dynamic-profile/view/1872834","18-1872834")</f>
        <v>0</v>
      </c>
      <c r="B8863" t="s">
        <v>124</v>
      </c>
      <c r="C8863" t="s">
        <v>340</v>
      </c>
      <c r="D8863" t="s">
        <v>449</v>
      </c>
      <c r="F8863" t="s">
        <v>4390</v>
      </c>
      <c r="G8863" t="s">
        <v>8845</v>
      </c>
      <c r="H8863" t="s">
        <v>15666</v>
      </c>
      <c r="I8863" t="s">
        <v>17332</v>
      </c>
      <c r="J8863" t="s">
        <v>18894</v>
      </c>
      <c r="K8863">
        <v>11203</v>
      </c>
      <c r="L8863" t="s">
        <v>18958</v>
      </c>
      <c r="M8863" t="s">
        <v>18960</v>
      </c>
      <c r="N8863" t="s">
        <v>25306</v>
      </c>
      <c r="O8863" t="s">
        <v>26523</v>
      </c>
      <c r="P8863" t="s">
        <v>26560</v>
      </c>
      <c r="R8863" t="s">
        <v>26586</v>
      </c>
      <c r="U8863" t="s">
        <v>26604</v>
      </c>
      <c r="X8863">
        <v>1884.6</v>
      </c>
      <c r="Y8863" t="s">
        <v>26652</v>
      </c>
      <c r="AB8863" t="s">
        <v>33089</v>
      </c>
      <c r="AC8863" t="s">
        <v>36588</v>
      </c>
      <c r="AD8863" t="s">
        <v>43721</v>
      </c>
      <c r="AE8863">
        <v>6</v>
      </c>
      <c r="AF8863" t="s">
        <v>45541</v>
      </c>
      <c r="AH8863">
        <v>10</v>
      </c>
      <c r="AI8863">
        <v>1</v>
      </c>
      <c r="AJ8863">
        <v>0</v>
      </c>
      <c r="AK8863">
        <v>0</v>
      </c>
      <c r="AN8863" t="s">
        <v>7439</v>
      </c>
      <c r="AO8863">
        <v>0</v>
      </c>
      <c r="AU8863">
        <v>9.25</v>
      </c>
      <c r="AV8863" t="s">
        <v>826</v>
      </c>
      <c r="AW8863" t="s">
        <v>323</v>
      </c>
    </row>
    <row r="8864" spans="1:49">
      <c r="A8864" s="1">
        <f>HYPERLINK("https://lsnyc.legalserver.org/matter/dynamic-profile/view/1872810","18-1872810")</f>
        <v>0</v>
      </c>
      <c r="B8864" t="s">
        <v>110</v>
      </c>
      <c r="C8864" t="s">
        <v>340</v>
      </c>
      <c r="D8864" t="s">
        <v>449</v>
      </c>
      <c r="F8864" t="s">
        <v>4391</v>
      </c>
      <c r="G8864" t="s">
        <v>5788</v>
      </c>
      <c r="H8864" t="s">
        <v>15667</v>
      </c>
      <c r="I8864" t="s">
        <v>18019</v>
      </c>
      <c r="J8864" t="s">
        <v>18900</v>
      </c>
      <c r="K8864">
        <v>11367</v>
      </c>
      <c r="L8864" t="s">
        <v>18960</v>
      </c>
      <c r="M8864" t="s">
        <v>18960</v>
      </c>
      <c r="R8864" t="s">
        <v>26591</v>
      </c>
      <c r="U8864" t="s">
        <v>26604</v>
      </c>
      <c r="X8864">
        <v>0</v>
      </c>
      <c r="Y8864" t="s">
        <v>26653</v>
      </c>
      <c r="AB8864" t="s">
        <v>26848</v>
      </c>
      <c r="AD8864" t="s">
        <v>43722</v>
      </c>
      <c r="AE8864">
        <v>0</v>
      </c>
      <c r="AH8864">
        <v>0</v>
      </c>
      <c r="AI8864">
        <v>1</v>
      </c>
      <c r="AJ8864">
        <v>0</v>
      </c>
      <c r="AK8864">
        <v>171.33</v>
      </c>
      <c r="AN8864" t="s">
        <v>7439</v>
      </c>
      <c r="AO8864">
        <v>20800</v>
      </c>
      <c r="AU8864">
        <v>0.5</v>
      </c>
      <c r="AV8864" t="s">
        <v>449</v>
      </c>
      <c r="AW8864" t="s">
        <v>46849</v>
      </c>
    </row>
    <row r="8865" spans="1:49">
      <c r="A8865" s="1">
        <f>HYPERLINK("https://lsnyc.legalserver.org/matter/dynamic-profile/view/1872760","18-1872760")</f>
        <v>0</v>
      </c>
      <c r="B8865" t="s">
        <v>200</v>
      </c>
      <c r="C8865" t="s">
        <v>340</v>
      </c>
      <c r="D8865" t="s">
        <v>449</v>
      </c>
      <c r="F8865" t="s">
        <v>962</v>
      </c>
      <c r="G8865" t="s">
        <v>8846</v>
      </c>
      <c r="H8865" t="s">
        <v>15668</v>
      </c>
      <c r="I8865" t="s">
        <v>18614</v>
      </c>
      <c r="J8865" t="s">
        <v>18894</v>
      </c>
      <c r="K8865">
        <v>11212</v>
      </c>
      <c r="L8865" t="s">
        <v>18959</v>
      </c>
      <c r="M8865" t="s">
        <v>18960</v>
      </c>
      <c r="N8865" t="s">
        <v>19037</v>
      </c>
      <c r="O8865" t="s">
        <v>26526</v>
      </c>
      <c r="R8865" t="s">
        <v>26578</v>
      </c>
      <c r="S8865" t="s">
        <v>18959</v>
      </c>
      <c r="U8865" t="s">
        <v>26604</v>
      </c>
      <c r="X8865">
        <v>1100</v>
      </c>
      <c r="Y8865" t="s">
        <v>26652</v>
      </c>
      <c r="AB8865" t="s">
        <v>33090</v>
      </c>
      <c r="AC8865" t="s">
        <v>19045</v>
      </c>
      <c r="AD8865" t="s">
        <v>43723</v>
      </c>
      <c r="AE8865">
        <v>31</v>
      </c>
      <c r="AF8865" t="s">
        <v>45541</v>
      </c>
      <c r="AG8865" t="s">
        <v>45563</v>
      </c>
      <c r="AH8865">
        <v>3</v>
      </c>
      <c r="AI8865">
        <v>1</v>
      </c>
      <c r="AJ8865">
        <v>1</v>
      </c>
      <c r="AK8865">
        <v>126.37</v>
      </c>
      <c r="AN8865" t="s">
        <v>7439</v>
      </c>
      <c r="AO8865">
        <v>20800</v>
      </c>
      <c r="AU8865">
        <v>0.5</v>
      </c>
      <c r="AV8865" t="s">
        <v>449</v>
      </c>
      <c r="AW8865" t="s">
        <v>46850</v>
      </c>
    </row>
    <row r="8866" spans="1:49">
      <c r="A8866" s="1">
        <f>HYPERLINK("https://lsnyc.legalserver.org/matter/dynamic-profile/view/1872798","18-1872798")</f>
        <v>0</v>
      </c>
      <c r="B8866" t="s">
        <v>62</v>
      </c>
      <c r="C8866" t="s">
        <v>340</v>
      </c>
      <c r="D8866" t="s">
        <v>449</v>
      </c>
      <c r="F8866" t="s">
        <v>4392</v>
      </c>
      <c r="G8866" t="s">
        <v>8847</v>
      </c>
      <c r="H8866" t="s">
        <v>9984</v>
      </c>
      <c r="I8866" t="s">
        <v>17322</v>
      </c>
      <c r="J8866" t="s">
        <v>18893</v>
      </c>
      <c r="K8866">
        <v>10032</v>
      </c>
      <c r="L8866" t="s">
        <v>18958</v>
      </c>
      <c r="M8866" t="s">
        <v>18960</v>
      </c>
      <c r="N8866" t="s">
        <v>19253</v>
      </c>
      <c r="O8866" t="s">
        <v>26524</v>
      </c>
      <c r="P8866" t="s">
        <v>26563</v>
      </c>
      <c r="R8866" t="s">
        <v>26582</v>
      </c>
      <c r="U8866" t="s">
        <v>26604</v>
      </c>
      <c r="X8866">
        <v>420</v>
      </c>
      <c r="Y8866" t="s">
        <v>26651</v>
      </c>
      <c r="Z8866" t="s">
        <v>26664</v>
      </c>
      <c r="AB8866" t="s">
        <v>28447</v>
      </c>
      <c r="AD8866" t="s">
        <v>43724</v>
      </c>
      <c r="AE8866">
        <v>0</v>
      </c>
      <c r="AF8866" t="s">
        <v>20460</v>
      </c>
      <c r="AG8866" t="s">
        <v>19330</v>
      </c>
      <c r="AH8866">
        <v>18</v>
      </c>
      <c r="AI8866">
        <v>1</v>
      </c>
      <c r="AJ8866">
        <v>0</v>
      </c>
      <c r="AK8866">
        <v>81.05</v>
      </c>
      <c r="AO8866">
        <v>9840</v>
      </c>
      <c r="AU8866">
        <v>23.2</v>
      </c>
      <c r="AV8866" t="s">
        <v>764</v>
      </c>
      <c r="AW8866" t="s">
        <v>46845</v>
      </c>
    </row>
    <row r="8867" spans="1:49">
      <c r="A8867" s="1">
        <f>HYPERLINK("https://lsnyc.legalserver.org/matter/dynamic-profile/view/1872865","18-1872865")</f>
        <v>0</v>
      </c>
      <c r="B8867" t="s">
        <v>240</v>
      </c>
      <c r="C8867" t="s">
        <v>340</v>
      </c>
      <c r="D8867" t="s">
        <v>449</v>
      </c>
      <c r="F8867" t="s">
        <v>1113</v>
      </c>
      <c r="G8867" t="s">
        <v>1742</v>
      </c>
      <c r="H8867" t="s">
        <v>11711</v>
      </c>
      <c r="I8867" t="s">
        <v>17897</v>
      </c>
      <c r="J8867" t="s">
        <v>18894</v>
      </c>
      <c r="K8867">
        <v>11226</v>
      </c>
      <c r="L8867" t="s">
        <v>18960</v>
      </c>
      <c r="M8867" t="s">
        <v>18960</v>
      </c>
      <c r="P8867" t="s">
        <v>26560</v>
      </c>
      <c r="R8867" t="s">
        <v>26586</v>
      </c>
      <c r="U8867" t="s">
        <v>26604</v>
      </c>
      <c r="X8867">
        <v>0</v>
      </c>
      <c r="Y8867" t="s">
        <v>26652</v>
      </c>
      <c r="AB8867" t="s">
        <v>28839</v>
      </c>
      <c r="AD8867" t="s">
        <v>39251</v>
      </c>
      <c r="AE8867">
        <v>0</v>
      </c>
      <c r="AH8867">
        <v>0</v>
      </c>
      <c r="AI8867">
        <v>1</v>
      </c>
      <c r="AJ8867">
        <v>0</v>
      </c>
      <c r="AK8867">
        <v>59.31</v>
      </c>
      <c r="AN8867" t="s">
        <v>7439</v>
      </c>
      <c r="AO8867">
        <v>7200</v>
      </c>
      <c r="AU8867">
        <v>70.15000000000001</v>
      </c>
      <c r="AV8867" t="s">
        <v>771</v>
      </c>
      <c r="AW8867" t="s">
        <v>202</v>
      </c>
    </row>
    <row r="8868" spans="1:49">
      <c r="A8868" s="1">
        <f>HYPERLINK("https://lsnyc.legalserver.org/matter/dynamic-profile/view/1872899","18-1872899")</f>
        <v>0</v>
      </c>
      <c r="B8868" t="s">
        <v>77</v>
      </c>
      <c r="C8868" t="s">
        <v>341</v>
      </c>
      <c r="D8868" t="s">
        <v>436</v>
      </c>
      <c r="E8868" t="s">
        <v>465</v>
      </c>
      <c r="F8868" t="s">
        <v>4393</v>
      </c>
      <c r="G8868" t="s">
        <v>989</v>
      </c>
      <c r="H8868" t="s">
        <v>15669</v>
      </c>
      <c r="I8868">
        <v>2304</v>
      </c>
      <c r="J8868" t="s">
        <v>18893</v>
      </c>
      <c r="K8868">
        <v>10004</v>
      </c>
      <c r="L8868" t="s">
        <v>18959</v>
      </c>
      <c r="M8868" t="s">
        <v>18960</v>
      </c>
      <c r="N8868" t="s">
        <v>25307</v>
      </c>
      <c r="O8868" t="s">
        <v>26524</v>
      </c>
      <c r="P8868" t="s">
        <v>26564</v>
      </c>
      <c r="Q8868" t="s">
        <v>26570</v>
      </c>
      <c r="R8868" t="s">
        <v>26582</v>
      </c>
      <c r="S8868" t="s">
        <v>18959</v>
      </c>
      <c r="U8868" t="s">
        <v>26604</v>
      </c>
      <c r="V8868" t="s">
        <v>26610</v>
      </c>
      <c r="X8868">
        <v>2700</v>
      </c>
      <c r="Y8868" t="s">
        <v>26651</v>
      </c>
      <c r="Z8868" t="s">
        <v>26661</v>
      </c>
      <c r="AA8868" t="s">
        <v>26683</v>
      </c>
      <c r="AB8868" t="s">
        <v>29196</v>
      </c>
      <c r="AD8868" t="s">
        <v>43725</v>
      </c>
      <c r="AE8868">
        <v>1000</v>
      </c>
      <c r="AF8868" t="s">
        <v>20460</v>
      </c>
      <c r="AG8868" t="s">
        <v>19330</v>
      </c>
      <c r="AH8868">
        <v>2</v>
      </c>
      <c r="AI8868">
        <v>1</v>
      </c>
      <c r="AJ8868">
        <v>0</v>
      </c>
      <c r="AK8868">
        <v>0</v>
      </c>
      <c r="AN8868" t="s">
        <v>7439</v>
      </c>
      <c r="AO8868">
        <v>0</v>
      </c>
      <c r="AU8868">
        <v>1.5</v>
      </c>
      <c r="AV8868" t="s">
        <v>465</v>
      </c>
      <c r="AW8868" t="s">
        <v>46866</v>
      </c>
    </row>
    <row r="8869" spans="1:49">
      <c r="A8869" s="1">
        <f>HYPERLINK("https://lsnyc.legalserver.org/matter/dynamic-profile/view/1872937","18-1872937")</f>
        <v>0</v>
      </c>
      <c r="B8869" t="s">
        <v>304</v>
      </c>
      <c r="C8869" t="s">
        <v>341</v>
      </c>
      <c r="D8869" t="s">
        <v>436</v>
      </c>
      <c r="E8869" t="s">
        <v>804</v>
      </c>
      <c r="F8869" t="s">
        <v>4394</v>
      </c>
      <c r="G8869" t="s">
        <v>8848</v>
      </c>
      <c r="H8869" t="s">
        <v>15670</v>
      </c>
      <c r="I8869">
        <v>306</v>
      </c>
      <c r="J8869" t="s">
        <v>18893</v>
      </c>
      <c r="K8869">
        <v>10016</v>
      </c>
      <c r="L8869" t="s">
        <v>18960</v>
      </c>
      <c r="M8869" t="s">
        <v>18960</v>
      </c>
      <c r="P8869" t="s">
        <v>26565</v>
      </c>
      <c r="Q8869" t="s">
        <v>26570</v>
      </c>
      <c r="R8869" t="s">
        <v>26589</v>
      </c>
      <c r="U8869" t="s">
        <v>26604</v>
      </c>
      <c r="X8869">
        <v>3400</v>
      </c>
      <c r="Y8869" t="s">
        <v>26651</v>
      </c>
      <c r="Z8869" t="s">
        <v>26671</v>
      </c>
      <c r="AA8869" t="s">
        <v>26683</v>
      </c>
      <c r="AB8869" t="s">
        <v>33091</v>
      </c>
      <c r="AD8869" t="s">
        <v>43726</v>
      </c>
      <c r="AE8869">
        <v>0</v>
      </c>
      <c r="AH8869">
        <v>1</v>
      </c>
      <c r="AI8869">
        <v>1</v>
      </c>
      <c r="AJ8869">
        <v>0</v>
      </c>
      <c r="AK8869">
        <v>0</v>
      </c>
      <c r="AN8869" t="s">
        <v>7439</v>
      </c>
      <c r="AO8869">
        <v>0</v>
      </c>
      <c r="AU8869">
        <v>0.5</v>
      </c>
      <c r="AV8869" t="s">
        <v>465</v>
      </c>
      <c r="AW8869" t="s">
        <v>304</v>
      </c>
    </row>
    <row r="8870" spans="1:49">
      <c r="A8870" s="1">
        <f>HYPERLINK("https://lsnyc.legalserver.org/matter/dynamic-profile/view/1872915","18-1872915")</f>
        <v>0</v>
      </c>
      <c r="B8870" t="s">
        <v>207</v>
      </c>
      <c r="C8870" t="s">
        <v>341</v>
      </c>
      <c r="D8870" t="s">
        <v>436</v>
      </c>
      <c r="E8870" t="s">
        <v>524</v>
      </c>
      <c r="F8870" t="s">
        <v>4395</v>
      </c>
      <c r="G8870" t="s">
        <v>8849</v>
      </c>
      <c r="H8870" t="s">
        <v>15671</v>
      </c>
      <c r="I8870" t="s">
        <v>17277</v>
      </c>
      <c r="J8870" t="s">
        <v>18894</v>
      </c>
      <c r="K8870">
        <v>11216</v>
      </c>
      <c r="L8870" t="s">
        <v>18959</v>
      </c>
      <c r="M8870" t="s">
        <v>18960</v>
      </c>
      <c r="N8870" t="s">
        <v>25308</v>
      </c>
      <c r="O8870" t="s">
        <v>26526</v>
      </c>
      <c r="P8870" t="s">
        <v>26563</v>
      </c>
      <c r="Q8870" t="s">
        <v>26570</v>
      </c>
      <c r="R8870" t="s">
        <v>26586</v>
      </c>
      <c r="U8870" t="s">
        <v>26604</v>
      </c>
      <c r="X8870">
        <v>950</v>
      </c>
      <c r="Y8870" t="s">
        <v>26652</v>
      </c>
      <c r="Z8870" t="s">
        <v>26662</v>
      </c>
      <c r="AA8870" t="s">
        <v>26683</v>
      </c>
      <c r="AB8870" t="s">
        <v>29951</v>
      </c>
      <c r="AE8870">
        <v>14</v>
      </c>
      <c r="AG8870" t="s">
        <v>19330</v>
      </c>
      <c r="AH8870">
        <v>10</v>
      </c>
      <c r="AI8870">
        <v>2</v>
      </c>
      <c r="AJ8870">
        <v>4</v>
      </c>
      <c r="AK8870">
        <v>65.2</v>
      </c>
      <c r="AN8870" t="s">
        <v>45582</v>
      </c>
      <c r="AO8870">
        <v>22000</v>
      </c>
      <c r="AU8870">
        <v>0.2</v>
      </c>
      <c r="AV8870" t="s">
        <v>522</v>
      </c>
      <c r="AW8870" t="s">
        <v>281</v>
      </c>
    </row>
    <row r="8871" spans="1:49">
      <c r="A8871" s="1">
        <f>HYPERLINK("https://lsnyc.legalserver.org/matter/dynamic-profile/view/1872972","18-1872972")</f>
        <v>0</v>
      </c>
      <c r="B8871" t="s">
        <v>279</v>
      </c>
      <c r="C8871" t="s">
        <v>341</v>
      </c>
      <c r="D8871" t="s">
        <v>436</v>
      </c>
      <c r="E8871" t="s">
        <v>515</v>
      </c>
      <c r="F8871" t="s">
        <v>1320</v>
      </c>
      <c r="G8871" t="s">
        <v>4348</v>
      </c>
      <c r="H8871" t="s">
        <v>9896</v>
      </c>
      <c r="I8871" t="s">
        <v>18615</v>
      </c>
      <c r="J8871" t="s">
        <v>18894</v>
      </c>
      <c r="K8871">
        <v>11208</v>
      </c>
      <c r="L8871" t="s">
        <v>18960</v>
      </c>
      <c r="M8871" t="s">
        <v>18960</v>
      </c>
      <c r="P8871" t="s">
        <v>26565</v>
      </c>
      <c r="Q8871" t="s">
        <v>26570</v>
      </c>
      <c r="R8871" t="s">
        <v>26591</v>
      </c>
      <c r="U8871" t="s">
        <v>26604</v>
      </c>
      <c r="X8871">
        <v>1255</v>
      </c>
      <c r="Y8871" t="s">
        <v>26652</v>
      </c>
      <c r="Z8871" t="s">
        <v>26663</v>
      </c>
      <c r="AA8871" t="s">
        <v>26683</v>
      </c>
      <c r="AB8871" t="s">
        <v>33092</v>
      </c>
      <c r="AD8871" t="s">
        <v>43727</v>
      </c>
      <c r="AE8871">
        <v>1000</v>
      </c>
      <c r="AF8871" t="s">
        <v>45543</v>
      </c>
      <c r="AG8871" t="s">
        <v>45556</v>
      </c>
      <c r="AH8871">
        <v>40</v>
      </c>
      <c r="AI8871">
        <v>1</v>
      </c>
      <c r="AJ8871">
        <v>0</v>
      </c>
      <c r="AK8871">
        <v>138.39</v>
      </c>
      <c r="AN8871" t="s">
        <v>7439</v>
      </c>
      <c r="AO8871">
        <v>16800</v>
      </c>
      <c r="AU8871">
        <v>1</v>
      </c>
      <c r="AV8871" t="s">
        <v>436</v>
      </c>
      <c r="AW8871" t="s">
        <v>46843</v>
      </c>
    </row>
    <row r="8872" spans="1:49">
      <c r="A8872" s="1">
        <f>HYPERLINK("https://lsnyc.legalserver.org/matter/dynamic-profile/view/1872910","18-1872910")</f>
        <v>0</v>
      </c>
      <c r="B8872" t="s">
        <v>175</v>
      </c>
      <c r="C8872" t="s">
        <v>341</v>
      </c>
      <c r="D8872" t="s">
        <v>436</v>
      </c>
      <c r="E8872" t="s">
        <v>670</v>
      </c>
      <c r="F8872" t="s">
        <v>4396</v>
      </c>
      <c r="G8872" t="s">
        <v>8850</v>
      </c>
      <c r="H8872" t="s">
        <v>15672</v>
      </c>
      <c r="I8872" t="s">
        <v>17277</v>
      </c>
      <c r="J8872" t="s">
        <v>18894</v>
      </c>
      <c r="K8872">
        <v>11235</v>
      </c>
      <c r="L8872" t="s">
        <v>18960</v>
      </c>
      <c r="M8872" t="s">
        <v>18960</v>
      </c>
      <c r="O8872" t="s">
        <v>26526</v>
      </c>
      <c r="P8872" t="s">
        <v>26564</v>
      </c>
      <c r="Q8872" t="s">
        <v>26570</v>
      </c>
      <c r="R8872" t="s">
        <v>26586</v>
      </c>
      <c r="U8872" t="s">
        <v>26604</v>
      </c>
      <c r="X8872">
        <v>0</v>
      </c>
      <c r="Y8872" t="s">
        <v>26652</v>
      </c>
      <c r="AA8872" t="s">
        <v>26683</v>
      </c>
      <c r="AB8872" t="s">
        <v>33093</v>
      </c>
      <c r="AE8872">
        <v>0</v>
      </c>
      <c r="AF8872" t="s">
        <v>45541</v>
      </c>
      <c r="AG8872" t="s">
        <v>19330</v>
      </c>
      <c r="AH8872">
        <v>17</v>
      </c>
      <c r="AI8872">
        <v>2</v>
      </c>
      <c r="AJ8872">
        <v>1</v>
      </c>
      <c r="AK8872">
        <v>115.5</v>
      </c>
      <c r="AN8872" t="s">
        <v>45586</v>
      </c>
      <c r="AO8872">
        <v>24000</v>
      </c>
      <c r="AU8872">
        <v>1.75</v>
      </c>
      <c r="AV8872" t="s">
        <v>670</v>
      </c>
      <c r="AW8872" t="s">
        <v>175</v>
      </c>
    </row>
    <row r="8873" spans="1:49">
      <c r="A8873" s="1">
        <f>HYPERLINK("https://lsnyc.legalserver.org/matter/dynamic-profile/view/1872938","18-1872938")</f>
        <v>0</v>
      </c>
      <c r="B8873" t="s">
        <v>200</v>
      </c>
      <c r="C8873" t="s">
        <v>340</v>
      </c>
      <c r="D8873" t="s">
        <v>436</v>
      </c>
      <c r="F8873" t="s">
        <v>4397</v>
      </c>
      <c r="G8873" t="s">
        <v>8851</v>
      </c>
      <c r="H8873" t="s">
        <v>15673</v>
      </c>
      <c r="I8873" t="s">
        <v>17331</v>
      </c>
      <c r="J8873" t="s">
        <v>18894</v>
      </c>
      <c r="K8873">
        <v>11207</v>
      </c>
      <c r="L8873" t="s">
        <v>18958</v>
      </c>
      <c r="M8873" t="s">
        <v>18958</v>
      </c>
      <c r="N8873" t="s">
        <v>25309</v>
      </c>
      <c r="O8873" t="s">
        <v>26526</v>
      </c>
      <c r="P8873" t="s">
        <v>26560</v>
      </c>
      <c r="R8873" t="s">
        <v>26578</v>
      </c>
      <c r="U8873" t="s">
        <v>26604</v>
      </c>
      <c r="X8873">
        <v>1515</v>
      </c>
      <c r="Y8873" t="s">
        <v>26652</v>
      </c>
      <c r="Z8873" t="s">
        <v>26662</v>
      </c>
      <c r="AB8873" t="s">
        <v>33094</v>
      </c>
      <c r="AD8873" t="s">
        <v>43728</v>
      </c>
      <c r="AE8873">
        <v>0</v>
      </c>
      <c r="AG8873" t="s">
        <v>45558</v>
      </c>
      <c r="AH8873">
        <v>-1</v>
      </c>
      <c r="AI8873">
        <v>1</v>
      </c>
      <c r="AJ8873">
        <v>2</v>
      </c>
      <c r="AK8873">
        <v>0</v>
      </c>
      <c r="AN8873" t="s">
        <v>7439</v>
      </c>
      <c r="AO8873">
        <v>0</v>
      </c>
      <c r="AU8873">
        <v>8.1</v>
      </c>
      <c r="AV8873" t="s">
        <v>586</v>
      </c>
      <c r="AW8873" t="s">
        <v>46853</v>
      </c>
    </row>
    <row r="8874" spans="1:49">
      <c r="A8874" s="1">
        <f>HYPERLINK("https://lsnyc.legalserver.org/matter/dynamic-profile/view/1873027","18-1873027")</f>
        <v>0</v>
      </c>
      <c r="B8874" t="s">
        <v>136</v>
      </c>
      <c r="C8874" t="s">
        <v>341</v>
      </c>
      <c r="D8874" t="s">
        <v>440</v>
      </c>
      <c r="E8874" t="s">
        <v>494</v>
      </c>
      <c r="F8874" t="s">
        <v>2117</v>
      </c>
      <c r="G8874" t="s">
        <v>5097</v>
      </c>
      <c r="H8874" t="s">
        <v>15674</v>
      </c>
      <c r="I8874" t="s">
        <v>17344</v>
      </c>
      <c r="J8874" t="s">
        <v>18892</v>
      </c>
      <c r="K8874">
        <v>10454</v>
      </c>
      <c r="L8874" t="s">
        <v>18960</v>
      </c>
      <c r="M8874" t="s">
        <v>18960</v>
      </c>
      <c r="O8874" t="s">
        <v>18997</v>
      </c>
      <c r="P8874" t="s">
        <v>26565</v>
      </c>
      <c r="Q8874" t="s">
        <v>26571</v>
      </c>
      <c r="R8874" t="s">
        <v>26591</v>
      </c>
      <c r="S8874" t="s">
        <v>18959</v>
      </c>
      <c r="U8874" t="s">
        <v>26604</v>
      </c>
      <c r="X8874">
        <v>972.9400000000001</v>
      </c>
      <c r="Y8874" t="s">
        <v>26650</v>
      </c>
      <c r="Z8874" t="s">
        <v>26659</v>
      </c>
      <c r="AA8874" t="s">
        <v>26683</v>
      </c>
      <c r="AB8874" t="s">
        <v>28241</v>
      </c>
      <c r="AD8874" t="s">
        <v>43729</v>
      </c>
      <c r="AE8874">
        <v>10</v>
      </c>
      <c r="AF8874" t="s">
        <v>45541</v>
      </c>
      <c r="AG8874" t="s">
        <v>19330</v>
      </c>
      <c r="AH8874">
        <v>15</v>
      </c>
      <c r="AI8874">
        <v>2</v>
      </c>
      <c r="AJ8874">
        <v>1</v>
      </c>
      <c r="AK8874">
        <v>182.68</v>
      </c>
      <c r="AN8874" t="s">
        <v>45581</v>
      </c>
      <c r="AO8874">
        <v>37960</v>
      </c>
      <c r="AP8874" t="s">
        <v>45767</v>
      </c>
      <c r="AU8874">
        <v>2.2</v>
      </c>
      <c r="AV8874" t="s">
        <v>427</v>
      </c>
      <c r="AW8874" t="s">
        <v>136</v>
      </c>
    </row>
    <row r="8875" spans="1:49">
      <c r="A8875" s="1">
        <f>HYPERLINK("https://lsnyc.legalserver.org/matter/dynamic-profile/view/1873056","18-1873056")</f>
        <v>0</v>
      </c>
      <c r="B8875" t="s">
        <v>66</v>
      </c>
      <c r="C8875" t="s">
        <v>341</v>
      </c>
      <c r="D8875" t="s">
        <v>440</v>
      </c>
      <c r="E8875" t="s">
        <v>834</v>
      </c>
      <c r="F8875" t="s">
        <v>4398</v>
      </c>
      <c r="G8875" t="s">
        <v>8852</v>
      </c>
      <c r="H8875" t="s">
        <v>15675</v>
      </c>
      <c r="I8875" t="s">
        <v>17272</v>
      </c>
      <c r="J8875" t="s">
        <v>18893</v>
      </c>
      <c r="K8875">
        <v>10029</v>
      </c>
      <c r="L8875" t="s">
        <v>18959</v>
      </c>
      <c r="M8875" t="s">
        <v>18960</v>
      </c>
      <c r="N8875" t="s">
        <v>25310</v>
      </c>
      <c r="O8875" t="s">
        <v>26523</v>
      </c>
      <c r="P8875" t="s">
        <v>26564</v>
      </c>
      <c r="Q8875" t="s">
        <v>26570</v>
      </c>
      <c r="R8875" t="s">
        <v>26582</v>
      </c>
      <c r="S8875" t="s">
        <v>18959</v>
      </c>
      <c r="U8875" t="s">
        <v>26605</v>
      </c>
      <c r="V8875" t="s">
        <v>26610</v>
      </c>
      <c r="X8875">
        <v>900</v>
      </c>
      <c r="Y8875" t="s">
        <v>26651</v>
      </c>
      <c r="AA8875" t="s">
        <v>26683</v>
      </c>
      <c r="AB8875" t="s">
        <v>30777</v>
      </c>
      <c r="AC8875" t="s">
        <v>36589</v>
      </c>
      <c r="AD8875" t="s">
        <v>43730</v>
      </c>
      <c r="AE8875">
        <v>878</v>
      </c>
      <c r="AF8875" t="s">
        <v>45549</v>
      </c>
      <c r="AG8875" t="s">
        <v>19330</v>
      </c>
      <c r="AH8875">
        <v>0</v>
      </c>
      <c r="AI8875">
        <v>2</v>
      </c>
      <c r="AJ8875">
        <v>2</v>
      </c>
      <c r="AK8875">
        <v>16.73</v>
      </c>
      <c r="AO8875">
        <v>4200</v>
      </c>
      <c r="AU8875">
        <v>1.75</v>
      </c>
      <c r="AV8875" t="s">
        <v>706</v>
      </c>
      <c r="AW8875" t="s">
        <v>46845</v>
      </c>
    </row>
    <row r="8876" spans="1:49">
      <c r="A8876" s="1">
        <f>HYPERLINK("https://lsnyc.legalserver.org/matter/dynamic-profile/view/1873059","18-1873059")</f>
        <v>0</v>
      </c>
      <c r="B8876" t="s">
        <v>171</v>
      </c>
      <c r="C8876" t="s">
        <v>341</v>
      </c>
      <c r="D8876" t="s">
        <v>440</v>
      </c>
      <c r="E8876" t="s">
        <v>606</v>
      </c>
      <c r="F8876" t="s">
        <v>4399</v>
      </c>
      <c r="G8876" t="s">
        <v>8853</v>
      </c>
      <c r="H8876" t="s">
        <v>15676</v>
      </c>
      <c r="J8876" t="s">
        <v>18893</v>
      </c>
      <c r="K8876">
        <v>10002</v>
      </c>
      <c r="L8876" t="s">
        <v>18958</v>
      </c>
      <c r="M8876" t="s">
        <v>18960</v>
      </c>
      <c r="O8876" t="s">
        <v>26524</v>
      </c>
      <c r="P8876" t="s">
        <v>26563</v>
      </c>
      <c r="Q8876" t="s">
        <v>26570</v>
      </c>
      <c r="R8876" t="s">
        <v>26582</v>
      </c>
      <c r="S8876" t="s">
        <v>18959</v>
      </c>
      <c r="U8876" t="s">
        <v>26604</v>
      </c>
      <c r="X8876">
        <v>1297.67</v>
      </c>
      <c r="Y8876" t="s">
        <v>26651</v>
      </c>
      <c r="Z8876" t="s">
        <v>26657</v>
      </c>
      <c r="AA8876" t="s">
        <v>26683</v>
      </c>
      <c r="AB8876" t="s">
        <v>33095</v>
      </c>
      <c r="AD8876" t="s">
        <v>43731</v>
      </c>
      <c r="AE8876">
        <v>0</v>
      </c>
      <c r="AF8876" t="s">
        <v>45541</v>
      </c>
      <c r="AG8876" t="s">
        <v>19330</v>
      </c>
      <c r="AH8876">
        <v>0</v>
      </c>
      <c r="AI8876">
        <v>1</v>
      </c>
      <c r="AJ8876">
        <v>0</v>
      </c>
      <c r="AK8876">
        <v>80.06999999999999</v>
      </c>
      <c r="AN8876" t="s">
        <v>45599</v>
      </c>
      <c r="AO8876">
        <v>9720</v>
      </c>
      <c r="AU8876">
        <v>3.3</v>
      </c>
      <c r="AV8876" t="s">
        <v>461</v>
      </c>
      <c r="AW8876" t="s">
        <v>314</v>
      </c>
    </row>
    <row r="8877" spans="1:49">
      <c r="A8877" s="1">
        <f>HYPERLINK("https://lsnyc.legalserver.org/matter/dynamic-profile/view/1873079","18-1873079")</f>
        <v>0</v>
      </c>
      <c r="B8877" t="s">
        <v>279</v>
      </c>
      <c r="C8877" t="s">
        <v>341</v>
      </c>
      <c r="D8877" t="s">
        <v>440</v>
      </c>
      <c r="E8877" t="s">
        <v>659</v>
      </c>
      <c r="F8877" t="s">
        <v>4400</v>
      </c>
      <c r="G8877" t="s">
        <v>6986</v>
      </c>
      <c r="H8877" t="s">
        <v>15677</v>
      </c>
      <c r="I8877" t="s">
        <v>17435</v>
      </c>
      <c r="J8877" t="s">
        <v>18894</v>
      </c>
      <c r="K8877">
        <v>11207</v>
      </c>
      <c r="L8877" t="s">
        <v>18959</v>
      </c>
      <c r="M8877" t="s">
        <v>18959</v>
      </c>
      <c r="O8877" t="s">
        <v>18997</v>
      </c>
      <c r="P8877" t="s">
        <v>26564</v>
      </c>
      <c r="Q8877" t="s">
        <v>26570</v>
      </c>
      <c r="R8877" t="s">
        <v>26578</v>
      </c>
      <c r="S8877" t="s">
        <v>18959</v>
      </c>
      <c r="U8877" t="s">
        <v>26604</v>
      </c>
      <c r="X8877">
        <v>600</v>
      </c>
      <c r="Y8877" t="s">
        <v>26652</v>
      </c>
      <c r="Z8877" t="s">
        <v>26673</v>
      </c>
      <c r="AA8877" t="s">
        <v>26683</v>
      </c>
      <c r="AB8877" t="s">
        <v>33096</v>
      </c>
      <c r="AC8877" t="s">
        <v>36590</v>
      </c>
      <c r="AD8877" t="s">
        <v>43732</v>
      </c>
      <c r="AE8877">
        <v>2</v>
      </c>
      <c r="AF8877" t="s">
        <v>45547</v>
      </c>
      <c r="AG8877" t="s">
        <v>19330</v>
      </c>
      <c r="AH8877">
        <v>17</v>
      </c>
      <c r="AI8877">
        <v>1</v>
      </c>
      <c r="AJ8877">
        <v>0</v>
      </c>
      <c r="AK8877">
        <v>18.09</v>
      </c>
      <c r="AN8877" t="s">
        <v>7439</v>
      </c>
      <c r="AO8877">
        <v>2196</v>
      </c>
      <c r="AU8877">
        <v>1</v>
      </c>
      <c r="AV8877" t="s">
        <v>659</v>
      </c>
      <c r="AW8877" t="s">
        <v>46829</v>
      </c>
    </row>
    <row r="8878" spans="1:49">
      <c r="A8878" s="1">
        <f>HYPERLINK("https://lsnyc.legalserver.org/matter/dynamic-profile/view/1873002","18-1873002")</f>
        <v>0</v>
      </c>
      <c r="B8878" t="s">
        <v>279</v>
      </c>
      <c r="C8878" t="s">
        <v>341</v>
      </c>
      <c r="D8878" t="s">
        <v>440</v>
      </c>
      <c r="E8878" t="s">
        <v>659</v>
      </c>
      <c r="F8878" t="s">
        <v>1510</v>
      </c>
      <c r="G8878" t="s">
        <v>5713</v>
      </c>
      <c r="H8878" t="s">
        <v>9781</v>
      </c>
      <c r="I8878" t="s">
        <v>17284</v>
      </c>
      <c r="J8878" t="s">
        <v>18894</v>
      </c>
      <c r="K8878">
        <v>11239</v>
      </c>
      <c r="L8878" t="s">
        <v>18959</v>
      </c>
      <c r="M8878" t="s">
        <v>18959</v>
      </c>
      <c r="O8878" t="s">
        <v>18997</v>
      </c>
      <c r="Q8878" t="s">
        <v>26570</v>
      </c>
      <c r="R8878" t="s">
        <v>26578</v>
      </c>
      <c r="S8878" t="s">
        <v>18959</v>
      </c>
      <c r="U8878" t="s">
        <v>26604</v>
      </c>
      <c r="X8878">
        <v>320</v>
      </c>
      <c r="Y8878" t="s">
        <v>26652</v>
      </c>
      <c r="AA8878" t="s">
        <v>26683</v>
      </c>
      <c r="AB8878" t="s">
        <v>29288</v>
      </c>
      <c r="AD8878" t="s">
        <v>43733</v>
      </c>
      <c r="AE8878">
        <v>1168</v>
      </c>
      <c r="AF8878" t="s">
        <v>45542</v>
      </c>
      <c r="AG8878" t="s">
        <v>19330</v>
      </c>
      <c r="AH8878">
        <v>15</v>
      </c>
      <c r="AI8878">
        <v>1</v>
      </c>
      <c r="AJ8878">
        <v>0</v>
      </c>
      <c r="AK8878">
        <v>34.6</v>
      </c>
      <c r="AN8878" t="s">
        <v>7439</v>
      </c>
      <c r="AO8878">
        <v>4200</v>
      </c>
      <c r="AU8878">
        <v>1.25</v>
      </c>
      <c r="AV8878" t="s">
        <v>659</v>
      </c>
      <c r="AW8878" t="s">
        <v>46859</v>
      </c>
    </row>
    <row r="8879" spans="1:49">
      <c r="A8879" s="1">
        <f>HYPERLINK("https://lsnyc.legalserver.org/matter/dynamic-profile/view/1873005","18-1873005")</f>
        <v>0</v>
      </c>
      <c r="B8879" t="s">
        <v>52</v>
      </c>
      <c r="C8879" t="s">
        <v>341</v>
      </c>
      <c r="D8879" t="s">
        <v>440</v>
      </c>
      <c r="E8879" t="s">
        <v>440</v>
      </c>
      <c r="F8879" t="s">
        <v>1048</v>
      </c>
      <c r="G8879" t="s">
        <v>5326</v>
      </c>
      <c r="H8879" t="s">
        <v>15678</v>
      </c>
      <c r="I8879" t="s">
        <v>17707</v>
      </c>
      <c r="J8879" t="s">
        <v>18892</v>
      </c>
      <c r="K8879">
        <v>10453</v>
      </c>
      <c r="L8879" t="s">
        <v>18959</v>
      </c>
      <c r="M8879" t="s">
        <v>18959</v>
      </c>
      <c r="N8879" t="s">
        <v>25311</v>
      </c>
      <c r="O8879" t="s">
        <v>26524</v>
      </c>
      <c r="P8879" t="s">
        <v>26564</v>
      </c>
      <c r="Q8879" t="s">
        <v>26570</v>
      </c>
      <c r="R8879" t="s">
        <v>26591</v>
      </c>
      <c r="S8879" t="s">
        <v>18959</v>
      </c>
      <c r="U8879" t="s">
        <v>26604</v>
      </c>
      <c r="X8879">
        <v>970.46</v>
      </c>
      <c r="Y8879" t="s">
        <v>26650</v>
      </c>
      <c r="Z8879" t="s">
        <v>26655</v>
      </c>
      <c r="AA8879" t="s">
        <v>26683</v>
      </c>
      <c r="AB8879" t="s">
        <v>30083</v>
      </c>
      <c r="AE8879">
        <v>0</v>
      </c>
      <c r="AF8879" t="s">
        <v>45541</v>
      </c>
      <c r="AG8879" t="s">
        <v>19330</v>
      </c>
      <c r="AH8879">
        <v>8</v>
      </c>
      <c r="AI8879">
        <v>1</v>
      </c>
      <c r="AJ8879">
        <v>1</v>
      </c>
      <c r="AK8879">
        <v>142.77</v>
      </c>
      <c r="AN8879" t="s">
        <v>45581</v>
      </c>
      <c r="AO8879">
        <v>23500</v>
      </c>
      <c r="AP8879" t="s">
        <v>46113</v>
      </c>
      <c r="AU8879">
        <v>1.75</v>
      </c>
      <c r="AV8879" t="s">
        <v>419</v>
      </c>
      <c r="AW8879" t="s">
        <v>46832</v>
      </c>
    </row>
    <row r="8880" spans="1:49">
      <c r="A8880" s="1">
        <f>HYPERLINK("https://lsnyc.legalserver.org/matter/dynamic-profile/view/1873118","18-1873118")</f>
        <v>0</v>
      </c>
      <c r="B8880" t="s">
        <v>110</v>
      </c>
      <c r="C8880" t="s">
        <v>340</v>
      </c>
      <c r="D8880" t="s">
        <v>440</v>
      </c>
      <c r="F8880" t="s">
        <v>1602</v>
      </c>
      <c r="G8880" t="s">
        <v>8854</v>
      </c>
      <c r="H8880" t="s">
        <v>15679</v>
      </c>
      <c r="I8880" t="s">
        <v>17332</v>
      </c>
      <c r="J8880" t="s">
        <v>18899</v>
      </c>
      <c r="K8880">
        <v>11385</v>
      </c>
      <c r="L8880" t="s">
        <v>18960</v>
      </c>
      <c r="M8880" t="s">
        <v>18960</v>
      </c>
      <c r="R8880" t="s">
        <v>26591</v>
      </c>
      <c r="U8880" t="s">
        <v>26604</v>
      </c>
      <c r="X8880">
        <v>1765</v>
      </c>
      <c r="Y8880" t="s">
        <v>26653</v>
      </c>
      <c r="AB8880" t="s">
        <v>33097</v>
      </c>
      <c r="AE8880">
        <v>8</v>
      </c>
      <c r="AH8880">
        <v>6</v>
      </c>
      <c r="AI8880">
        <v>2</v>
      </c>
      <c r="AJ8880">
        <v>0</v>
      </c>
      <c r="AK8880">
        <v>66.05</v>
      </c>
      <c r="AN8880" t="s">
        <v>7439</v>
      </c>
      <c r="AO8880">
        <v>10872</v>
      </c>
      <c r="AU8880">
        <v>0.9</v>
      </c>
      <c r="AV8880" t="s">
        <v>440</v>
      </c>
      <c r="AW8880" t="s">
        <v>46857</v>
      </c>
    </row>
    <row r="8881" spans="1:49">
      <c r="A8881" s="1">
        <f>HYPERLINK("https://lsnyc.legalserver.org/matter/dynamic-profile/view/1873050","18-1873050")</f>
        <v>0</v>
      </c>
      <c r="B8881" t="s">
        <v>200</v>
      </c>
      <c r="C8881" t="s">
        <v>340</v>
      </c>
      <c r="D8881" t="s">
        <v>440</v>
      </c>
      <c r="F8881" t="s">
        <v>4401</v>
      </c>
      <c r="G8881" t="s">
        <v>6057</v>
      </c>
      <c r="H8881" t="s">
        <v>15680</v>
      </c>
      <c r="I8881" t="s">
        <v>18554</v>
      </c>
      <c r="J8881" t="s">
        <v>18894</v>
      </c>
      <c r="K8881">
        <v>11236</v>
      </c>
      <c r="L8881" t="s">
        <v>18960</v>
      </c>
      <c r="M8881" t="s">
        <v>18960</v>
      </c>
      <c r="N8881" t="s">
        <v>25312</v>
      </c>
      <c r="O8881" t="s">
        <v>26523</v>
      </c>
      <c r="R8881" t="s">
        <v>26586</v>
      </c>
      <c r="U8881" t="s">
        <v>26605</v>
      </c>
      <c r="X8881">
        <v>435</v>
      </c>
      <c r="Y8881" t="s">
        <v>26652</v>
      </c>
      <c r="AB8881" t="s">
        <v>32099</v>
      </c>
      <c r="AD8881" t="s">
        <v>43734</v>
      </c>
      <c r="AE8881">
        <v>56</v>
      </c>
      <c r="AH8881">
        <v>5</v>
      </c>
      <c r="AI8881">
        <v>2</v>
      </c>
      <c r="AJ8881">
        <v>1</v>
      </c>
      <c r="AK8881">
        <v>81.42</v>
      </c>
      <c r="AN8881" t="s">
        <v>7439</v>
      </c>
      <c r="AO8881">
        <v>16920</v>
      </c>
      <c r="AU8881">
        <v>1</v>
      </c>
      <c r="AV8881" t="s">
        <v>588</v>
      </c>
      <c r="AW8881" t="s">
        <v>46850</v>
      </c>
    </row>
    <row r="8882" spans="1:49">
      <c r="A8882" s="1">
        <f>HYPERLINK("https://lsnyc.legalserver.org/matter/dynamic-profile/view/1873035","18-1873035")</f>
        <v>0</v>
      </c>
      <c r="B8882" t="s">
        <v>114</v>
      </c>
      <c r="C8882" t="s">
        <v>340</v>
      </c>
      <c r="D8882" t="s">
        <v>440</v>
      </c>
      <c r="F8882" t="s">
        <v>1473</v>
      </c>
      <c r="G8882" t="s">
        <v>5552</v>
      </c>
      <c r="H8882" t="s">
        <v>15681</v>
      </c>
      <c r="I8882" t="s">
        <v>17410</v>
      </c>
      <c r="J8882" t="s">
        <v>18901</v>
      </c>
      <c r="K8882">
        <v>11432</v>
      </c>
      <c r="L8882" t="s">
        <v>18960</v>
      </c>
      <c r="M8882" t="s">
        <v>18960</v>
      </c>
      <c r="N8882" t="s">
        <v>25313</v>
      </c>
      <c r="O8882" t="s">
        <v>26524</v>
      </c>
      <c r="P8882" t="s">
        <v>26560</v>
      </c>
      <c r="R8882" t="s">
        <v>26584</v>
      </c>
      <c r="S8882" t="s">
        <v>18959</v>
      </c>
      <c r="U8882" t="s">
        <v>26604</v>
      </c>
      <c r="X8882">
        <v>1100</v>
      </c>
      <c r="Y8882" t="s">
        <v>26653</v>
      </c>
      <c r="Z8882" t="s">
        <v>26663</v>
      </c>
      <c r="AB8882" t="s">
        <v>33098</v>
      </c>
      <c r="AD8882" t="s">
        <v>43735</v>
      </c>
      <c r="AE8882">
        <v>4</v>
      </c>
      <c r="AF8882" t="s">
        <v>45547</v>
      </c>
      <c r="AG8882" t="s">
        <v>19330</v>
      </c>
      <c r="AH8882">
        <v>12</v>
      </c>
      <c r="AI8882">
        <v>1</v>
      </c>
      <c r="AJ8882">
        <v>1</v>
      </c>
      <c r="AK8882">
        <v>132.61</v>
      </c>
      <c r="AN8882" t="s">
        <v>7439</v>
      </c>
      <c r="AO8882">
        <v>21828</v>
      </c>
      <c r="AU8882">
        <v>35.5</v>
      </c>
      <c r="AV8882" t="s">
        <v>833</v>
      </c>
      <c r="AW8882" t="s">
        <v>161</v>
      </c>
    </row>
    <row r="8883" spans="1:49">
      <c r="A8883" s="1">
        <f>HYPERLINK("https://lsnyc.legalserver.org/matter/dynamic-profile/view/1873168","18-1873168")</f>
        <v>0</v>
      </c>
      <c r="B8883" t="s">
        <v>149</v>
      </c>
      <c r="C8883" t="s">
        <v>341</v>
      </c>
      <c r="D8883" t="s">
        <v>410</v>
      </c>
      <c r="E8883" t="s">
        <v>632</v>
      </c>
      <c r="F8883" t="s">
        <v>3587</v>
      </c>
      <c r="G8883" t="s">
        <v>8855</v>
      </c>
      <c r="H8883" t="s">
        <v>15682</v>
      </c>
      <c r="I8883" t="s">
        <v>18192</v>
      </c>
      <c r="J8883" t="s">
        <v>18892</v>
      </c>
      <c r="K8883">
        <v>10453</v>
      </c>
      <c r="L8883" t="s">
        <v>18960</v>
      </c>
      <c r="M8883" t="s">
        <v>18960</v>
      </c>
      <c r="N8883" t="s">
        <v>25314</v>
      </c>
      <c r="O8883" t="s">
        <v>26523</v>
      </c>
      <c r="P8883" t="s">
        <v>26564</v>
      </c>
      <c r="Q8883" t="s">
        <v>26570</v>
      </c>
      <c r="R8883" t="s">
        <v>26591</v>
      </c>
      <c r="U8883" t="s">
        <v>26604</v>
      </c>
      <c r="X8883">
        <v>250</v>
      </c>
      <c r="Y8883" t="s">
        <v>26650</v>
      </c>
      <c r="Z8883" t="s">
        <v>26663</v>
      </c>
      <c r="AA8883" t="s">
        <v>26683</v>
      </c>
      <c r="AB8883" t="s">
        <v>33099</v>
      </c>
      <c r="AD8883" t="s">
        <v>43736</v>
      </c>
      <c r="AE8883">
        <v>50</v>
      </c>
      <c r="AH8883">
        <v>8</v>
      </c>
      <c r="AI8883">
        <v>1</v>
      </c>
      <c r="AJ8883">
        <v>0</v>
      </c>
      <c r="AK8883">
        <v>82.04000000000001</v>
      </c>
      <c r="AN8883" t="s">
        <v>7439</v>
      </c>
      <c r="AO8883">
        <v>9960</v>
      </c>
      <c r="AP8883" t="s">
        <v>46106</v>
      </c>
      <c r="AU8883">
        <v>0.5</v>
      </c>
      <c r="AV8883" t="s">
        <v>410</v>
      </c>
      <c r="AW8883" t="s">
        <v>46850</v>
      </c>
    </row>
    <row r="8884" spans="1:49">
      <c r="A8884" s="1">
        <f>HYPERLINK("https://lsnyc.legalserver.org/matter/dynamic-profile/view/1873293","18-1873293")</f>
        <v>0</v>
      </c>
      <c r="B8884" t="s">
        <v>131</v>
      </c>
      <c r="C8884" t="s">
        <v>341</v>
      </c>
      <c r="D8884" t="s">
        <v>410</v>
      </c>
      <c r="E8884" t="s">
        <v>703</v>
      </c>
      <c r="F8884" t="s">
        <v>1266</v>
      </c>
      <c r="G8884" t="s">
        <v>8856</v>
      </c>
      <c r="H8884" t="s">
        <v>15541</v>
      </c>
      <c r="I8884" t="s">
        <v>17293</v>
      </c>
      <c r="J8884" t="s">
        <v>18902</v>
      </c>
      <c r="K8884">
        <v>10303</v>
      </c>
      <c r="L8884" t="s">
        <v>18960</v>
      </c>
      <c r="M8884" t="s">
        <v>18960</v>
      </c>
      <c r="N8884" t="s">
        <v>19037</v>
      </c>
      <c r="O8884" t="s">
        <v>26526</v>
      </c>
      <c r="P8884" t="s">
        <v>26562</v>
      </c>
      <c r="Q8884" t="s">
        <v>26571</v>
      </c>
      <c r="R8884" t="s">
        <v>26587</v>
      </c>
      <c r="S8884" t="s">
        <v>18959</v>
      </c>
      <c r="U8884" t="s">
        <v>26605</v>
      </c>
      <c r="V8884" t="s">
        <v>26610</v>
      </c>
      <c r="X8884">
        <v>1009</v>
      </c>
      <c r="Y8884" t="s">
        <v>26654</v>
      </c>
      <c r="Z8884" t="s">
        <v>26659</v>
      </c>
      <c r="AA8884" t="s">
        <v>26685</v>
      </c>
      <c r="AB8884" t="s">
        <v>32384</v>
      </c>
      <c r="AD8884" t="s">
        <v>43737</v>
      </c>
      <c r="AE8884">
        <v>342</v>
      </c>
      <c r="AF8884" t="s">
        <v>45549</v>
      </c>
      <c r="AG8884" t="s">
        <v>45556</v>
      </c>
      <c r="AH8884">
        <v>13</v>
      </c>
      <c r="AI8884">
        <v>2</v>
      </c>
      <c r="AJ8884">
        <v>1</v>
      </c>
      <c r="AK8884">
        <v>162.66</v>
      </c>
      <c r="AN8884" t="s">
        <v>7439</v>
      </c>
      <c r="AO8884">
        <v>33800</v>
      </c>
      <c r="AU8884">
        <v>1.5</v>
      </c>
      <c r="AV8884" t="s">
        <v>821</v>
      </c>
      <c r="AW8884" t="s">
        <v>46852</v>
      </c>
    </row>
    <row r="8885" spans="1:49">
      <c r="A8885" s="1">
        <f>HYPERLINK("https://lsnyc.legalserver.org/matter/dynamic-profile/view/1873201","18-1873201")</f>
        <v>0</v>
      </c>
      <c r="B8885" t="s">
        <v>284</v>
      </c>
      <c r="C8885" t="s">
        <v>341</v>
      </c>
      <c r="D8885" t="s">
        <v>410</v>
      </c>
      <c r="E8885" t="s">
        <v>751</v>
      </c>
      <c r="F8885" t="s">
        <v>1119</v>
      </c>
      <c r="G8885" t="s">
        <v>5677</v>
      </c>
      <c r="H8885" t="s">
        <v>15683</v>
      </c>
      <c r="I8885" t="s">
        <v>17486</v>
      </c>
      <c r="J8885" t="s">
        <v>18892</v>
      </c>
      <c r="K8885">
        <v>10466</v>
      </c>
      <c r="L8885" t="s">
        <v>18960</v>
      </c>
      <c r="M8885" t="s">
        <v>18960</v>
      </c>
      <c r="N8885" t="s">
        <v>25315</v>
      </c>
      <c r="O8885" t="s">
        <v>26523</v>
      </c>
      <c r="P8885" t="s">
        <v>26564</v>
      </c>
      <c r="Q8885" t="s">
        <v>26570</v>
      </c>
      <c r="R8885" t="s">
        <v>26591</v>
      </c>
      <c r="U8885" t="s">
        <v>26604</v>
      </c>
      <c r="X8885">
        <v>950</v>
      </c>
      <c r="Y8885" t="s">
        <v>26650</v>
      </c>
      <c r="AA8885" t="s">
        <v>26683</v>
      </c>
      <c r="AB8885" t="s">
        <v>30674</v>
      </c>
      <c r="AD8885" t="s">
        <v>43738</v>
      </c>
      <c r="AE8885">
        <v>50</v>
      </c>
      <c r="AF8885" t="s">
        <v>45541</v>
      </c>
      <c r="AG8885" t="s">
        <v>19330</v>
      </c>
      <c r="AH8885">
        <v>4</v>
      </c>
      <c r="AI8885">
        <v>1</v>
      </c>
      <c r="AJ8885">
        <v>0</v>
      </c>
      <c r="AK8885">
        <v>181.68</v>
      </c>
      <c r="AN8885" t="s">
        <v>7439</v>
      </c>
      <c r="AO8885">
        <v>22056</v>
      </c>
      <c r="AP8885" t="s">
        <v>46114</v>
      </c>
      <c r="AU8885">
        <v>1.3</v>
      </c>
      <c r="AV8885" t="s">
        <v>410</v>
      </c>
      <c r="AW8885" t="s">
        <v>46859</v>
      </c>
    </row>
    <row r="8886" spans="1:49">
      <c r="A8886" s="1">
        <f>HYPERLINK("https://lsnyc.legalserver.org/matter/dynamic-profile/view/1873140","18-1873140")</f>
        <v>0</v>
      </c>
      <c r="B8886" t="s">
        <v>122</v>
      </c>
      <c r="C8886" t="s">
        <v>341</v>
      </c>
      <c r="D8886" t="s">
        <v>410</v>
      </c>
      <c r="E8886" t="s">
        <v>494</v>
      </c>
      <c r="F8886" t="s">
        <v>4402</v>
      </c>
      <c r="G8886" t="s">
        <v>6812</v>
      </c>
      <c r="H8886" t="s">
        <v>15684</v>
      </c>
      <c r="I8886">
        <v>2</v>
      </c>
      <c r="J8886" t="s">
        <v>18901</v>
      </c>
      <c r="K8886">
        <v>11436</v>
      </c>
      <c r="L8886" t="s">
        <v>18958</v>
      </c>
      <c r="M8886" t="s">
        <v>18960</v>
      </c>
      <c r="N8886" t="s">
        <v>25316</v>
      </c>
      <c r="O8886" t="s">
        <v>26524</v>
      </c>
      <c r="P8886" t="s">
        <v>26564</v>
      </c>
      <c r="Q8886" t="s">
        <v>26570</v>
      </c>
      <c r="R8886" t="s">
        <v>26584</v>
      </c>
      <c r="S8886" t="s">
        <v>18959</v>
      </c>
      <c r="U8886" t="s">
        <v>26604</v>
      </c>
      <c r="X8886">
        <v>1300</v>
      </c>
      <c r="Y8886" t="s">
        <v>26653</v>
      </c>
      <c r="Z8886" t="s">
        <v>26664</v>
      </c>
      <c r="AA8886" t="s">
        <v>26683</v>
      </c>
      <c r="AB8886" t="s">
        <v>32177</v>
      </c>
      <c r="AD8886" t="s">
        <v>43739</v>
      </c>
      <c r="AE8886">
        <v>2</v>
      </c>
      <c r="AF8886" t="s">
        <v>45547</v>
      </c>
      <c r="AG8886" t="s">
        <v>19330</v>
      </c>
      <c r="AH8886">
        <v>5</v>
      </c>
      <c r="AI8886">
        <v>2</v>
      </c>
      <c r="AJ8886">
        <v>1</v>
      </c>
      <c r="AK8886">
        <v>2.25</v>
      </c>
      <c r="AN8886" t="s">
        <v>7439</v>
      </c>
      <c r="AO8886">
        <v>467.25</v>
      </c>
      <c r="AU8886">
        <v>1</v>
      </c>
      <c r="AV8886" t="s">
        <v>476</v>
      </c>
      <c r="AW8886" t="s">
        <v>122</v>
      </c>
    </row>
    <row r="8887" spans="1:49">
      <c r="A8887" s="1">
        <f>HYPERLINK("https://lsnyc.legalserver.org/matter/dynamic-profile/view/1873159","18-1873159")</f>
        <v>0</v>
      </c>
      <c r="B8887" t="s">
        <v>279</v>
      </c>
      <c r="C8887" t="s">
        <v>341</v>
      </c>
      <c r="D8887" t="s">
        <v>410</v>
      </c>
      <c r="E8887" t="s">
        <v>410</v>
      </c>
      <c r="F8887" t="s">
        <v>4403</v>
      </c>
      <c r="G8887" t="s">
        <v>945</v>
      </c>
      <c r="H8887" t="s">
        <v>15685</v>
      </c>
      <c r="I8887" t="s">
        <v>17699</v>
      </c>
      <c r="J8887" t="s">
        <v>18894</v>
      </c>
      <c r="K8887">
        <v>11212</v>
      </c>
      <c r="L8887" t="s">
        <v>18959</v>
      </c>
      <c r="M8887" t="s">
        <v>18959</v>
      </c>
      <c r="N8887" t="s">
        <v>18997</v>
      </c>
      <c r="O8887" t="s">
        <v>26524</v>
      </c>
      <c r="P8887" t="s">
        <v>26564</v>
      </c>
      <c r="Q8887" t="s">
        <v>26570</v>
      </c>
      <c r="R8887" t="s">
        <v>26578</v>
      </c>
      <c r="S8887" t="s">
        <v>18959</v>
      </c>
      <c r="U8887" t="s">
        <v>26604</v>
      </c>
      <c r="X8887">
        <v>693</v>
      </c>
      <c r="Y8887" t="s">
        <v>26652</v>
      </c>
      <c r="Z8887" t="s">
        <v>26657</v>
      </c>
      <c r="AA8887" t="s">
        <v>26683</v>
      </c>
      <c r="AB8887" t="s">
        <v>33093</v>
      </c>
      <c r="AC8887" t="s">
        <v>19330</v>
      </c>
      <c r="AD8887" t="s">
        <v>43740</v>
      </c>
      <c r="AE8887">
        <v>2</v>
      </c>
      <c r="AF8887" t="s">
        <v>45547</v>
      </c>
      <c r="AG8887" t="s">
        <v>19330</v>
      </c>
      <c r="AH8887">
        <v>0</v>
      </c>
      <c r="AI8887">
        <v>1</v>
      </c>
      <c r="AJ8887">
        <v>0</v>
      </c>
      <c r="AK8887">
        <v>19.77</v>
      </c>
      <c r="AN8887" t="s">
        <v>7439</v>
      </c>
      <c r="AO8887">
        <v>2400</v>
      </c>
      <c r="AU8887">
        <v>0.6</v>
      </c>
      <c r="AV8887" t="s">
        <v>410</v>
      </c>
      <c r="AW8887" t="s">
        <v>46842</v>
      </c>
    </row>
    <row r="8888" spans="1:49">
      <c r="A8888" s="1">
        <f>HYPERLINK("https://lsnyc.legalserver.org/matter/dynamic-profile/view/1873149","18-1873149")</f>
        <v>0</v>
      </c>
      <c r="B8888" t="s">
        <v>63</v>
      </c>
      <c r="C8888" t="s">
        <v>341</v>
      </c>
      <c r="D8888" t="s">
        <v>410</v>
      </c>
      <c r="E8888" t="s">
        <v>706</v>
      </c>
      <c r="F8888" t="s">
        <v>3353</v>
      </c>
      <c r="G8888" t="s">
        <v>7901</v>
      </c>
      <c r="H8888" t="s">
        <v>15686</v>
      </c>
      <c r="I8888" t="s">
        <v>17309</v>
      </c>
      <c r="J8888" t="s">
        <v>18892</v>
      </c>
      <c r="K8888">
        <v>10460</v>
      </c>
      <c r="L8888" t="s">
        <v>18960</v>
      </c>
      <c r="M8888" t="s">
        <v>18958</v>
      </c>
      <c r="N8888" t="s">
        <v>25317</v>
      </c>
      <c r="O8888" t="s">
        <v>26523</v>
      </c>
      <c r="P8888" t="s">
        <v>26564</v>
      </c>
      <c r="Q8888" t="s">
        <v>26570</v>
      </c>
      <c r="R8888" t="s">
        <v>26578</v>
      </c>
      <c r="S8888" t="s">
        <v>18959</v>
      </c>
      <c r="U8888" t="s">
        <v>26604</v>
      </c>
      <c r="V8888" t="s">
        <v>26612</v>
      </c>
      <c r="X8888">
        <v>1450</v>
      </c>
      <c r="Y8888" t="s">
        <v>26650</v>
      </c>
      <c r="Z8888" t="s">
        <v>26663</v>
      </c>
      <c r="AA8888" t="s">
        <v>26683</v>
      </c>
      <c r="AB8888" t="s">
        <v>27487</v>
      </c>
      <c r="AC8888" t="s">
        <v>36591</v>
      </c>
      <c r="AD8888" t="s">
        <v>43741</v>
      </c>
      <c r="AE8888">
        <v>5</v>
      </c>
      <c r="AF8888" t="s">
        <v>45547</v>
      </c>
      <c r="AG8888" t="s">
        <v>26530</v>
      </c>
      <c r="AH8888">
        <v>2</v>
      </c>
      <c r="AI8888">
        <v>2</v>
      </c>
      <c r="AJ8888">
        <v>1</v>
      </c>
      <c r="AK8888">
        <v>304.94</v>
      </c>
      <c r="AN8888" t="s">
        <v>45596</v>
      </c>
      <c r="AO8888">
        <v>63366</v>
      </c>
      <c r="AP8888" t="s">
        <v>46115</v>
      </c>
      <c r="AU8888">
        <v>3.3</v>
      </c>
      <c r="AV8888" t="s">
        <v>461</v>
      </c>
      <c r="AW8888" t="s">
        <v>46843</v>
      </c>
    </row>
    <row r="8889" spans="1:49">
      <c r="A8889" s="1">
        <f>HYPERLINK("https://lsnyc.legalserver.org/matter/dynamic-profile/view/1873196","18-1873196")</f>
        <v>0</v>
      </c>
      <c r="B8889" t="s">
        <v>195</v>
      </c>
      <c r="C8889" t="s">
        <v>340</v>
      </c>
      <c r="D8889" t="s">
        <v>410</v>
      </c>
      <c r="F8889" t="s">
        <v>1321</v>
      </c>
      <c r="G8889" t="s">
        <v>5608</v>
      </c>
      <c r="H8889" t="s">
        <v>10080</v>
      </c>
      <c r="I8889" t="s">
        <v>18616</v>
      </c>
      <c r="J8889" t="s">
        <v>18893</v>
      </c>
      <c r="K8889">
        <v>10032</v>
      </c>
      <c r="L8889" t="s">
        <v>18960</v>
      </c>
      <c r="M8889" t="s">
        <v>18960</v>
      </c>
      <c r="R8889" t="s">
        <v>26591</v>
      </c>
      <c r="U8889" t="s">
        <v>26604</v>
      </c>
      <c r="X8889">
        <v>1550</v>
      </c>
      <c r="Y8889" t="s">
        <v>26651</v>
      </c>
      <c r="Z8889" t="s">
        <v>26659</v>
      </c>
      <c r="AB8889" t="s">
        <v>27171</v>
      </c>
      <c r="AD8889" t="s">
        <v>43742</v>
      </c>
      <c r="AE8889">
        <v>20</v>
      </c>
      <c r="AH8889">
        <v>3</v>
      </c>
      <c r="AI8889">
        <v>1</v>
      </c>
      <c r="AJ8889">
        <v>0</v>
      </c>
      <c r="AK8889">
        <v>138.39</v>
      </c>
      <c r="AN8889" t="s">
        <v>7439</v>
      </c>
      <c r="AO8889">
        <v>16800</v>
      </c>
      <c r="AU8889">
        <v>2.8</v>
      </c>
      <c r="AV8889" t="s">
        <v>466</v>
      </c>
      <c r="AW8889" t="s">
        <v>46850</v>
      </c>
    </row>
    <row r="8890" spans="1:49">
      <c r="A8890" s="1">
        <f>HYPERLINK("https://lsnyc.legalserver.org/matter/dynamic-profile/view/1873343","18-1873343")</f>
        <v>0</v>
      </c>
      <c r="B8890" t="s">
        <v>149</v>
      </c>
      <c r="C8890" t="s">
        <v>341</v>
      </c>
      <c r="D8890" t="s">
        <v>464</v>
      </c>
      <c r="E8890" t="s">
        <v>583</v>
      </c>
      <c r="F8890" t="s">
        <v>1002</v>
      </c>
      <c r="G8890" t="s">
        <v>2975</v>
      </c>
      <c r="H8890" t="s">
        <v>15687</v>
      </c>
      <c r="I8890" t="s">
        <v>17274</v>
      </c>
      <c r="J8890" t="s">
        <v>18892</v>
      </c>
      <c r="K8890">
        <v>10472</v>
      </c>
      <c r="L8890" t="s">
        <v>18958</v>
      </c>
      <c r="M8890" t="s">
        <v>18960</v>
      </c>
      <c r="O8890" t="s">
        <v>26529</v>
      </c>
      <c r="P8890" t="s">
        <v>26564</v>
      </c>
      <c r="Q8890" t="s">
        <v>26570</v>
      </c>
      <c r="R8890" t="s">
        <v>26583</v>
      </c>
      <c r="U8890" t="s">
        <v>26604</v>
      </c>
      <c r="X8890">
        <v>848.62</v>
      </c>
      <c r="Y8890" t="s">
        <v>26650</v>
      </c>
      <c r="AA8890" t="s">
        <v>26683</v>
      </c>
      <c r="AB8890" t="s">
        <v>33100</v>
      </c>
      <c r="AE8890">
        <v>0</v>
      </c>
      <c r="AF8890" t="s">
        <v>45541</v>
      </c>
      <c r="AH8890">
        <v>29</v>
      </c>
      <c r="AI8890">
        <v>2</v>
      </c>
      <c r="AJ8890">
        <v>0</v>
      </c>
      <c r="AK8890">
        <v>280.27</v>
      </c>
      <c r="AN8890" t="s">
        <v>7439</v>
      </c>
      <c r="AO8890">
        <v>46132</v>
      </c>
      <c r="AP8890" t="s">
        <v>46116</v>
      </c>
      <c r="AU8890">
        <v>0.5</v>
      </c>
      <c r="AV8890" t="s">
        <v>583</v>
      </c>
      <c r="AW8890" t="s">
        <v>336</v>
      </c>
    </row>
    <row r="8891" spans="1:49">
      <c r="A8891" s="1">
        <f>HYPERLINK("https://lsnyc.legalserver.org/matter/dynamic-profile/view/1873322","18-1873322")</f>
        <v>0</v>
      </c>
      <c r="B8891" t="s">
        <v>149</v>
      </c>
      <c r="C8891" t="s">
        <v>341</v>
      </c>
      <c r="D8891" t="s">
        <v>464</v>
      </c>
      <c r="E8891" t="s">
        <v>583</v>
      </c>
      <c r="F8891" t="s">
        <v>1244</v>
      </c>
      <c r="G8891" t="s">
        <v>8857</v>
      </c>
      <c r="H8891" t="s">
        <v>12681</v>
      </c>
      <c r="I8891" t="s">
        <v>18617</v>
      </c>
      <c r="J8891" t="s">
        <v>18892</v>
      </c>
      <c r="K8891">
        <v>10452</v>
      </c>
      <c r="L8891" t="s">
        <v>18958</v>
      </c>
      <c r="M8891" t="s">
        <v>18959</v>
      </c>
      <c r="O8891" t="s">
        <v>26529</v>
      </c>
      <c r="P8891" t="s">
        <v>26564</v>
      </c>
      <c r="Q8891" t="s">
        <v>26570</v>
      </c>
      <c r="R8891" t="s">
        <v>26583</v>
      </c>
      <c r="U8891" t="s">
        <v>26604</v>
      </c>
      <c r="X8891">
        <v>1146.43</v>
      </c>
      <c r="Y8891" t="s">
        <v>26650</v>
      </c>
      <c r="AA8891" t="s">
        <v>26683</v>
      </c>
      <c r="AB8891" t="s">
        <v>29928</v>
      </c>
      <c r="AE8891">
        <v>0</v>
      </c>
      <c r="AF8891" t="s">
        <v>45541</v>
      </c>
      <c r="AH8891">
        <v>6</v>
      </c>
      <c r="AI8891">
        <v>2</v>
      </c>
      <c r="AJ8891">
        <v>0</v>
      </c>
      <c r="AK8891">
        <v>289.44</v>
      </c>
      <c r="AN8891" t="s">
        <v>7439</v>
      </c>
      <c r="AO8891">
        <v>47642</v>
      </c>
      <c r="AP8891" t="s">
        <v>46117</v>
      </c>
      <c r="AU8891">
        <v>0.5</v>
      </c>
      <c r="AV8891" t="s">
        <v>583</v>
      </c>
      <c r="AW8891" t="s">
        <v>336</v>
      </c>
    </row>
    <row r="8892" spans="1:49">
      <c r="A8892" s="1">
        <f>HYPERLINK("https://lsnyc.legalserver.org/matter/dynamic-profile/view/1873370","18-1873370")</f>
        <v>0</v>
      </c>
      <c r="B8892" t="s">
        <v>216</v>
      </c>
      <c r="C8892" t="s">
        <v>341</v>
      </c>
      <c r="D8892" t="s">
        <v>464</v>
      </c>
      <c r="E8892" t="s">
        <v>599</v>
      </c>
      <c r="F8892" t="s">
        <v>1572</v>
      </c>
      <c r="G8892" t="s">
        <v>2702</v>
      </c>
      <c r="H8892" t="s">
        <v>12901</v>
      </c>
      <c r="I8892" t="s">
        <v>17972</v>
      </c>
      <c r="J8892" t="s">
        <v>18894</v>
      </c>
      <c r="K8892">
        <v>11236</v>
      </c>
      <c r="L8892" t="s">
        <v>18959</v>
      </c>
      <c r="M8892" t="s">
        <v>18960</v>
      </c>
      <c r="N8892" t="s">
        <v>25318</v>
      </c>
      <c r="O8892" t="s">
        <v>26524</v>
      </c>
      <c r="Q8892" t="s">
        <v>26570</v>
      </c>
      <c r="R8892" t="s">
        <v>26578</v>
      </c>
      <c r="S8892" t="s">
        <v>18959</v>
      </c>
      <c r="U8892" t="s">
        <v>26604</v>
      </c>
      <c r="X8892">
        <v>1132</v>
      </c>
      <c r="Y8892" t="s">
        <v>26652</v>
      </c>
      <c r="Z8892" t="s">
        <v>26660</v>
      </c>
      <c r="AA8892" t="s">
        <v>26683</v>
      </c>
      <c r="AB8892" t="s">
        <v>33101</v>
      </c>
      <c r="AC8892" t="s">
        <v>19045</v>
      </c>
      <c r="AD8892" t="s">
        <v>43743</v>
      </c>
      <c r="AE8892">
        <v>113</v>
      </c>
      <c r="AF8892" t="s">
        <v>45541</v>
      </c>
      <c r="AG8892" t="s">
        <v>19330</v>
      </c>
      <c r="AH8892">
        <v>18</v>
      </c>
      <c r="AI8892">
        <v>2</v>
      </c>
      <c r="AJ8892">
        <v>0</v>
      </c>
      <c r="AK8892">
        <v>157.96</v>
      </c>
      <c r="AN8892" t="s">
        <v>7439</v>
      </c>
      <c r="AO8892">
        <v>26000</v>
      </c>
      <c r="AP8892" t="s">
        <v>46118</v>
      </c>
      <c r="AU8892">
        <v>3.5</v>
      </c>
      <c r="AV8892" t="s">
        <v>599</v>
      </c>
      <c r="AW8892" t="s">
        <v>279</v>
      </c>
    </row>
    <row r="8893" spans="1:49">
      <c r="A8893" s="1">
        <f>HYPERLINK("https://lsnyc.legalserver.org/matter/dynamic-profile/view/1873376","18-1873376")</f>
        <v>0</v>
      </c>
      <c r="B8893" t="s">
        <v>122</v>
      </c>
      <c r="C8893" t="s">
        <v>341</v>
      </c>
      <c r="D8893" t="s">
        <v>464</v>
      </c>
      <c r="E8893" t="s">
        <v>494</v>
      </c>
      <c r="F8893" t="s">
        <v>4404</v>
      </c>
      <c r="G8893" t="s">
        <v>5094</v>
      </c>
      <c r="H8893" t="s">
        <v>15688</v>
      </c>
      <c r="I8893" t="s">
        <v>17719</v>
      </c>
      <c r="J8893" t="s">
        <v>18946</v>
      </c>
      <c r="K8893">
        <v>11372</v>
      </c>
      <c r="L8893" t="s">
        <v>18958</v>
      </c>
      <c r="M8893" t="s">
        <v>18960</v>
      </c>
      <c r="N8893" t="s">
        <v>25319</v>
      </c>
      <c r="O8893" t="s">
        <v>26524</v>
      </c>
      <c r="P8893" t="s">
        <v>26564</v>
      </c>
      <c r="Q8893" t="s">
        <v>26570</v>
      </c>
      <c r="R8893" t="s">
        <v>26584</v>
      </c>
      <c r="S8893" t="s">
        <v>18959</v>
      </c>
      <c r="U8893" t="s">
        <v>26604</v>
      </c>
      <c r="X8893">
        <v>680</v>
      </c>
      <c r="Y8893" t="s">
        <v>26653</v>
      </c>
      <c r="Z8893" t="s">
        <v>26664</v>
      </c>
      <c r="AA8893" t="s">
        <v>26683</v>
      </c>
      <c r="AB8893" t="s">
        <v>33102</v>
      </c>
      <c r="AD8893" t="s">
        <v>43744</v>
      </c>
      <c r="AE8893">
        <v>2</v>
      </c>
      <c r="AF8893" t="s">
        <v>45547</v>
      </c>
      <c r="AG8893" t="s">
        <v>19330</v>
      </c>
      <c r="AH8893">
        <v>5</v>
      </c>
      <c r="AI8893">
        <v>0</v>
      </c>
      <c r="AJ8893">
        <v>0</v>
      </c>
      <c r="AK8893">
        <v>0</v>
      </c>
      <c r="AN8893" t="s">
        <v>7439</v>
      </c>
      <c r="AO8893">
        <v>0</v>
      </c>
      <c r="AU8893">
        <v>0.5</v>
      </c>
      <c r="AV8893" t="s">
        <v>500</v>
      </c>
      <c r="AW8893" t="s">
        <v>122</v>
      </c>
    </row>
    <row r="8894" spans="1:49">
      <c r="A8894" s="1">
        <f>HYPERLINK("https://lsnyc.legalserver.org/matter/dynamic-profile/view/1872647","18-1872647")</f>
        <v>0</v>
      </c>
      <c r="B8894" t="s">
        <v>109</v>
      </c>
      <c r="C8894" t="s">
        <v>340</v>
      </c>
      <c r="D8894" t="s">
        <v>464</v>
      </c>
      <c r="F8894" t="s">
        <v>3235</v>
      </c>
      <c r="G8894" t="s">
        <v>8858</v>
      </c>
      <c r="H8894" t="s">
        <v>15689</v>
      </c>
      <c r="I8894" t="s">
        <v>17374</v>
      </c>
      <c r="J8894" t="s">
        <v>18902</v>
      </c>
      <c r="K8894">
        <v>10310</v>
      </c>
      <c r="L8894" t="s">
        <v>18960</v>
      </c>
      <c r="M8894" t="s">
        <v>18960</v>
      </c>
      <c r="P8894" t="s">
        <v>26564</v>
      </c>
      <c r="R8894" t="s">
        <v>26587</v>
      </c>
      <c r="U8894" t="s">
        <v>26604</v>
      </c>
      <c r="X8894">
        <v>0</v>
      </c>
      <c r="Y8894" t="s">
        <v>26654</v>
      </c>
      <c r="AB8894" t="s">
        <v>33103</v>
      </c>
      <c r="AD8894" t="s">
        <v>43745</v>
      </c>
      <c r="AE8894">
        <v>0</v>
      </c>
      <c r="AH8894">
        <v>0</v>
      </c>
      <c r="AI8894">
        <v>1</v>
      </c>
      <c r="AJ8894">
        <v>0</v>
      </c>
      <c r="AK8894">
        <v>231.7</v>
      </c>
      <c r="AN8894" t="s">
        <v>7439</v>
      </c>
      <c r="AO8894">
        <v>28128</v>
      </c>
      <c r="AU8894">
        <v>1.6</v>
      </c>
      <c r="AV8894" t="s">
        <v>464</v>
      </c>
      <c r="AW8894" t="s">
        <v>46855</v>
      </c>
    </row>
    <row r="8895" spans="1:49">
      <c r="A8895" s="1">
        <f>HYPERLINK("https://lsnyc.legalserver.org/matter/dynamic-profile/view/1873334","18-1873334")</f>
        <v>0</v>
      </c>
      <c r="B8895" t="s">
        <v>110</v>
      </c>
      <c r="C8895" t="s">
        <v>340</v>
      </c>
      <c r="D8895" t="s">
        <v>464</v>
      </c>
      <c r="F8895" t="s">
        <v>4405</v>
      </c>
      <c r="G8895" t="s">
        <v>5203</v>
      </c>
      <c r="H8895" t="s">
        <v>15690</v>
      </c>
      <c r="I8895" t="s">
        <v>17380</v>
      </c>
      <c r="J8895" t="s">
        <v>18916</v>
      </c>
      <c r="K8895">
        <v>11693</v>
      </c>
      <c r="L8895" t="s">
        <v>18960</v>
      </c>
      <c r="M8895" t="s">
        <v>18960</v>
      </c>
      <c r="R8895" t="s">
        <v>26591</v>
      </c>
      <c r="U8895" t="s">
        <v>26605</v>
      </c>
      <c r="X8895">
        <v>282</v>
      </c>
      <c r="Y8895" t="s">
        <v>26653</v>
      </c>
      <c r="AB8895" t="s">
        <v>33104</v>
      </c>
      <c r="AD8895" t="s">
        <v>43746</v>
      </c>
      <c r="AE8895">
        <v>60</v>
      </c>
      <c r="AH8895">
        <v>1</v>
      </c>
      <c r="AI8895">
        <v>1</v>
      </c>
      <c r="AJ8895">
        <v>1</v>
      </c>
      <c r="AK8895">
        <v>21.87</v>
      </c>
      <c r="AN8895" t="s">
        <v>7439</v>
      </c>
      <c r="AO8895">
        <v>3600</v>
      </c>
      <c r="AU8895">
        <v>0.9</v>
      </c>
      <c r="AV8895" t="s">
        <v>464</v>
      </c>
      <c r="AW8895" t="s">
        <v>46857</v>
      </c>
    </row>
    <row r="8896" spans="1:49">
      <c r="A8896" s="1">
        <f>HYPERLINK("https://lsnyc.legalserver.org/matter/dynamic-profile/view/1873443","18-1873443")</f>
        <v>0</v>
      </c>
      <c r="B8896" t="s">
        <v>170</v>
      </c>
      <c r="C8896" t="s">
        <v>341</v>
      </c>
      <c r="D8896" t="s">
        <v>465</v>
      </c>
      <c r="E8896" t="s">
        <v>692</v>
      </c>
      <c r="F8896" t="s">
        <v>4406</v>
      </c>
      <c r="G8896" t="s">
        <v>8859</v>
      </c>
      <c r="H8896" t="s">
        <v>15691</v>
      </c>
      <c r="I8896" t="s">
        <v>17469</v>
      </c>
      <c r="J8896" t="s">
        <v>18894</v>
      </c>
      <c r="K8896">
        <v>11214</v>
      </c>
      <c r="L8896" t="s">
        <v>18959</v>
      </c>
      <c r="M8896" t="s">
        <v>18960</v>
      </c>
      <c r="N8896" t="s">
        <v>25320</v>
      </c>
      <c r="O8896" t="s">
        <v>26524</v>
      </c>
      <c r="P8896" t="s">
        <v>26560</v>
      </c>
      <c r="Q8896" t="s">
        <v>26568</v>
      </c>
      <c r="R8896" t="s">
        <v>26586</v>
      </c>
      <c r="U8896" t="s">
        <v>26604</v>
      </c>
      <c r="X8896">
        <v>1990</v>
      </c>
      <c r="Y8896" t="s">
        <v>26652</v>
      </c>
      <c r="Z8896" t="s">
        <v>26662</v>
      </c>
      <c r="AA8896" t="s">
        <v>26678</v>
      </c>
      <c r="AB8896" t="s">
        <v>33105</v>
      </c>
      <c r="AD8896" t="s">
        <v>43747</v>
      </c>
      <c r="AE8896">
        <v>3</v>
      </c>
      <c r="AG8896" t="s">
        <v>45556</v>
      </c>
      <c r="AH8896">
        <v>15</v>
      </c>
      <c r="AI8896">
        <v>3</v>
      </c>
      <c r="AJ8896">
        <v>0</v>
      </c>
      <c r="AK8896">
        <v>201.73</v>
      </c>
      <c r="AN8896" t="s">
        <v>45595</v>
      </c>
      <c r="AO8896">
        <v>41920</v>
      </c>
      <c r="AS8896" t="s">
        <v>46499</v>
      </c>
      <c r="AU8896">
        <v>20.6</v>
      </c>
      <c r="AV8896" t="s">
        <v>692</v>
      </c>
      <c r="AW8896" t="s">
        <v>46853</v>
      </c>
    </row>
    <row r="8897" spans="1:49">
      <c r="A8897" s="1">
        <f>HYPERLINK("https://lsnyc.legalserver.org/matter/dynamic-profile/view/1873505","18-1873505")</f>
        <v>0</v>
      </c>
      <c r="B8897" t="s">
        <v>77</v>
      </c>
      <c r="C8897" t="s">
        <v>341</v>
      </c>
      <c r="D8897" t="s">
        <v>447</v>
      </c>
      <c r="E8897" t="s">
        <v>461</v>
      </c>
      <c r="F8897" t="s">
        <v>1114</v>
      </c>
      <c r="G8897" t="s">
        <v>2071</v>
      </c>
      <c r="H8897" t="s">
        <v>15692</v>
      </c>
      <c r="I8897" t="s">
        <v>17864</v>
      </c>
      <c r="J8897" t="s">
        <v>18893</v>
      </c>
      <c r="K8897">
        <v>10030</v>
      </c>
      <c r="L8897" t="s">
        <v>18959</v>
      </c>
      <c r="M8897" t="s">
        <v>18960</v>
      </c>
      <c r="N8897" t="s">
        <v>25321</v>
      </c>
      <c r="O8897" t="s">
        <v>26523</v>
      </c>
      <c r="P8897" t="s">
        <v>26564</v>
      </c>
      <c r="Q8897" t="s">
        <v>26570</v>
      </c>
      <c r="R8897" t="s">
        <v>26578</v>
      </c>
      <c r="S8897" t="s">
        <v>18959</v>
      </c>
      <c r="U8897" t="s">
        <v>26604</v>
      </c>
      <c r="X8897">
        <v>0</v>
      </c>
      <c r="Y8897" t="s">
        <v>26651</v>
      </c>
      <c r="Z8897" t="s">
        <v>26661</v>
      </c>
      <c r="AA8897" t="s">
        <v>26683</v>
      </c>
      <c r="AB8897" t="s">
        <v>33106</v>
      </c>
      <c r="AD8897" t="s">
        <v>43748</v>
      </c>
      <c r="AE8897">
        <v>0</v>
      </c>
      <c r="AF8897" t="s">
        <v>45554</v>
      </c>
      <c r="AG8897" t="s">
        <v>26530</v>
      </c>
      <c r="AH8897">
        <v>7</v>
      </c>
      <c r="AI8897">
        <v>1</v>
      </c>
      <c r="AJ8897">
        <v>0</v>
      </c>
      <c r="AK8897">
        <v>114.27</v>
      </c>
      <c r="AN8897" t="s">
        <v>7439</v>
      </c>
      <c r="AO8897">
        <v>13872</v>
      </c>
      <c r="AU8897">
        <v>1.45</v>
      </c>
      <c r="AV8897" t="s">
        <v>461</v>
      </c>
      <c r="AW8897" t="s">
        <v>46838</v>
      </c>
    </row>
    <row r="8898" spans="1:49">
      <c r="A8898" s="1">
        <f>HYPERLINK("https://lsnyc.legalserver.org/matter/dynamic-profile/view/1873486","18-1873486")</f>
        <v>0</v>
      </c>
      <c r="B8898" t="s">
        <v>206</v>
      </c>
      <c r="C8898" t="s">
        <v>341</v>
      </c>
      <c r="D8898" t="s">
        <v>447</v>
      </c>
      <c r="E8898" t="s">
        <v>735</v>
      </c>
      <c r="F8898" t="s">
        <v>1116</v>
      </c>
      <c r="G8898" t="s">
        <v>5103</v>
      </c>
      <c r="H8898" t="s">
        <v>15693</v>
      </c>
      <c r="I8898" t="s">
        <v>17274</v>
      </c>
      <c r="J8898" t="s">
        <v>18894</v>
      </c>
      <c r="K8898">
        <v>11220</v>
      </c>
      <c r="L8898" t="s">
        <v>18959</v>
      </c>
      <c r="M8898" t="s">
        <v>18960</v>
      </c>
      <c r="N8898" t="s">
        <v>25322</v>
      </c>
      <c r="O8898" t="s">
        <v>26523</v>
      </c>
      <c r="P8898" t="s">
        <v>26563</v>
      </c>
      <c r="Q8898" t="s">
        <v>26570</v>
      </c>
      <c r="R8898" t="s">
        <v>26586</v>
      </c>
      <c r="U8898" t="s">
        <v>26604</v>
      </c>
      <c r="X8898">
        <v>472</v>
      </c>
      <c r="Y8898" t="s">
        <v>26652</v>
      </c>
      <c r="Z8898" t="s">
        <v>26662</v>
      </c>
      <c r="AA8898" t="s">
        <v>26683</v>
      </c>
      <c r="AB8898" t="s">
        <v>26754</v>
      </c>
      <c r="AD8898" t="s">
        <v>43749</v>
      </c>
      <c r="AE8898">
        <v>12</v>
      </c>
      <c r="AG8898" t="s">
        <v>19330</v>
      </c>
      <c r="AH8898">
        <v>40</v>
      </c>
      <c r="AI8898">
        <v>1</v>
      </c>
      <c r="AJ8898">
        <v>0</v>
      </c>
      <c r="AK8898">
        <v>69.19</v>
      </c>
      <c r="AN8898" t="s">
        <v>7439</v>
      </c>
      <c r="AO8898">
        <v>8400</v>
      </c>
      <c r="AU8898">
        <v>8.5</v>
      </c>
      <c r="AV8898" t="s">
        <v>512</v>
      </c>
      <c r="AW8898" t="s">
        <v>281</v>
      </c>
    </row>
    <row r="8899" spans="1:49">
      <c r="A8899" s="1">
        <f>HYPERLINK("https://lsnyc.legalserver.org/matter/dynamic-profile/view/1873472","18-1873472")</f>
        <v>0</v>
      </c>
      <c r="B8899" t="s">
        <v>151</v>
      </c>
      <c r="C8899" t="s">
        <v>340</v>
      </c>
      <c r="D8899" t="s">
        <v>447</v>
      </c>
      <c r="F8899" t="s">
        <v>928</v>
      </c>
      <c r="G8899" t="s">
        <v>5402</v>
      </c>
      <c r="H8899" t="s">
        <v>15014</v>
      </c>
      <c r="I8899" t="s">
        <v>18238</v>
      </c>
      <c r="J8899" t="s">
        <v>18893</v>
      </c>
      <c r="K8899">
        <v>10033</v>
      </c>
      <c r="L8899" t="s">
        <v>18959</v>
      </c>
      <c r="M8899" t="s">
        <v>18960</v>
      </c>
      <c r="N8899" t="s">
        <v>25323</v>
      </c>
      <c r="O8899" t="s">
        <v>26524</v>
      </c>
      <c r="P8899" t="s">
        <v>26560</v>
      </c>
      <c r="R8899" t="s">
        <v>26582</v>
      </c>
      <c r="S8899" t="s">
        <v>18959</v>
      </c>
      <c r="U8899" t="s">
        <v>26604</v>
      </c>
      <c r="V8899" t="s">
        <v>26610</v>
      </c>
      <c r="X8899">
        <v>925</v>
      </c>
      <c r="Y8899" t="s">
        <v>26651</v>
      </c>
      <c r="AB8899" t="s">
        <v>33107</v>
      </c>
      <c r="AD8899" t="s">
        <v>43750</v>
      </c>
      <c r="AE8899">
        <v>480</v>
      </c>
      <c r="AF8899" t="s">
        <v>45547</v>
      </c>
      <c r="AH8899">
        <v>6</v>
      </c>
      <c r="AI8899">
        <v>1</v>
      </c>
      <c r="AJ8899">
        <v>0</v>
      </c>
      <c r="AK8899">
        <v>299.84</v>
      </c>
      <c r="AN8899" t="s">
        <v>7439</v>
      </c>
      <c r="AO8899">
        <v>36400</v>
      </c>
      <c r="AU8899">
        <v>78.5</v>
      </c>
      <c r="AV8899" t="s">
        <v>779</v>
      </c>
      <c r="AW8899" t="s">
        <v>46838</v>
      </c>
    </row>
    <row r="8900" spans="1:49">
      <c r="A8900" s="1">
        <f>HYPERLINK("https://lsnyc.legalserver.org/matter/dynamic-profile/view/1873629","18-1873629")</f>
        <v>0</v>
      </c>
      <c r="B8900" t="s">
        <v>113</v>
      </c>
      <c r="C8900" t="s">
        <v>341</v>
      </c>
      <c r="D8900" t="s">
        <v>476</v>
      </c>
      <c r="E8900" t="s">
        <v>519</v>
      </c>
      <c r="F8900" t="s">
        <v>2854</v>
      </c>
      <c r="G8900" t="s">
        <v>5249</v>
      </c>
      <c r="H8900" t="s">
        <v>15694</v>
      </c>
      <c r="I8900" t="s">
        <v>18618</v>
      </c>
      <c r="J8900" t="s">
        <v>18892</v>
      </c>
      <c r="K8900">
        <v>10457</v>
      </c>
      <c r="L8900" t="s">
        <v>18959</v>
      </c>
      <c r="M8900" t="s">
        <v>18959</v>
      </c>
      <c r="O8900" t="s">
        <v>18997</v>
      </c>
      <c r="P8900" t="s">
        <v>26564</v>
      </c>
      <c r="Q8900" t="s">
        <v>26570</v>
      </c>
      <c r="R8900" t="s">
        <v>26591</v>
      </c>
      <c r="S8900" t="s">
        <v>18959</v>
      </c>
      <c r="U8900" t="s">
        <v>26604</v>
      </c>
      <c r="X8900">
        <v>1275</v>
      </c>
      <c r="Y8900" t="s">
        <v>26650</v>
      </c>
      <c r="Z8900" t="s">
        <v>26530</v>
      </c>
      <c r="AA8900" t="s">
        <v>26683</v>
      </c>
      <c r="AB8900" t="s">
        <v>27570</v>
      </c>
      <c r="AD8900" t="s">
        <v>43751</v>
      </c>
      <c r="AE8900">
        <v>20</v>
      </c>
      <c r="AF8900" t="s">
        <v>20460</v>
      </c>
      <c r="AH8900">
        <v>2</v>
      </c>
      <c r="AI8900">
        <v>1</v>
      </c>
      <c r="AJ8900">
        <v>1</v>
      </c>
      <c r="AK8900">
        <v>102.99</v>
      </c>
      <c r="AN8900" t="s">
        <v>45581</v>
      </c>
      <c r="AO8900">
        <v>16952</v>
      </c>
      <c r="AP8900" t="s">
        <v>46105</v>
      </c>
      <c r="AU8900">
        <v>0.9</v>
      </c>
      <c r="AV8900" t="s">
        <v>500</v>
      </c>
      <c r="AW8900" t="s">
        <v>46849</v>
      </c>
    </row>
    <row r="8901" spans="1:49">
      <c r="A8901" s="1">
        <f>HYPERLINK("https://lsnyc.legalserver.org/matter/dynamic-profile/view/1873612","18-1873612")</f>
        <v>0</v>
      </c>
      <c r="B8901" t="s">
        <v>170</v>
      </c>
      <c r="C8901" t="s">
        <v>340</v>
      </c>
      <c r="D8901" t="s">
        <v>476</v>
      </c>
      <c r="F8901" t="s">
        <v>1268</v>
      </c>
      <c r="G8901" t="s">
        <v>5269</v>
      </c>
      <c r="H8901" t="s">
        <v>15695</v>
      </c>
      <c r="I8901" t="s">
        <v>17316</v>
      </c>
      <c r="J8901" t="s">
        <v>18894</v>
      </c>
      <c r="K8901">
        <v>11203</v>
      </c>
      <c r="L8901" t="s">
        <v>18960</v>
      </c>
      <c r="M8901" t="s">
        <v>18960</v>
      </c>
      <c r="P8901" t="s">
        <v>26560</v>
      </c>
      <c r="R8901" t="s">
        <v>26586</v>
      </c>
      <c r="U8901" t="s">
        <v>26604</v>
      </c>
      <c r="X8901">
        <v>0</v>
      </c>
      <c r="Y8901" t="s">
        <v>26652</v>
      </c>
      <c r="AB8901" t="s">
        <v>29483</v>
      </c>
      <c r="AD8901" t="s">
        <v>43752</v>
      </c>
      <c r="AE8901">
        <v>0</v>
      </c>
      <c r="AH8901">
        <v>0</v>
      </c>
      <c r="AI8901">
        <v>2</v>
      </c>
      <c r="AJ8901">
        <v>2</v>
      </c>
      <c r="AK8901">
        <v>72.62</v>
      </c>
      <c r="AO8901">
        <v>18228</v>
      </c>
      <c r="AU8901">
        <v>46.5</v>
      </c>
      <c r="AV8901" t="s">
        <v>809</v>
      </c>
      <c r="AW8901" t="s">
        <v>170</v>
      </c>
    </row>
    <row r="8902" spans="1:49">
      <c r="A8902" s="1">
        <f>HYPERLINK("https://lsnyc.legalserver.org/matter/dynamic-profile/view/1873578","18-1873578")</f>
        <v>0</v>
      </c>
      <c r="B8902" t="s">
        <v>62</v>
      </c>
      <c r="C8902" t="s">
        <v>340</v>
      </c>
      <c r="D8902" t="s">
        <v>476</v>
      </c>
      <c r="F8902" t="s">
        <v>1081</v>
      </c>
      <c r="G8902" t="s">
        <v>5419</v>
      </c>
      <c r="H8902" t="s">
        <v>15696</v>
      </c>
      <c r="I8902" t="s">
        <v>17356</v>
      </c>
      <c r="J8902" t="s">
        <v>18893</v>
      </c>
      <c r="K8902">
        <v>10030</v>
      </c>
      <c r="L8902" t="s">
        <v>18958</v>
      </c>
      <c r="M8902" t="s">
        <v>18960</v>
      </c>
      <c r="N8902" t="s">
        <v>25324</v>
      </c>
      <c r="O8902" t="s">
        <v>26523</v>
      </c>
      <c r="P8902" t="s">
        <v>26563</v>
      </c>
      <c r="R8902" t="s">
        <v>26582</v>
      </c>
      <c r="S8902" t="s">
        <v>18959</v>
      </c>
      <c r="U8902" t="s">
        <v>26606</v>
      </c>
      <c r="X8902">
        <v>747</v>
      </c>
      <c r="Y8902" t="s">
        <v>26651</v>
      </c>
      <c r="Z8902" t="s">
        <v>26664</v>
      </c>
      <c r="AB8902" t="s">
        <v>33108</v>
      </c>
      <c r="AD8902" t="s">
        <v>43753</v>
      </c>
      <c r="AE8902">
        <v>15</v>
      </c>
      <c r="AF8902" t="s">
        <v>45552</v>
      </c>
      <c r="AG8902" t="s">
        <v>45556</v>
      </c>
      <c r="AH8902">
        <v>8</v>
      </c>
      <c r="AI8902">
        <v>2</v>
      </c>
      <c r="AJ8902">
        <v>0</v>
      </c>
      <c r="AK8902">
        <v>95.09</v>
      </c>
      <c r="AN8902" t="s">
        <v>7439</v>
      </c>
      <c r="AO8902">
        <v>15652</v>
      </c>
      <c r="AU8902">
        <v>0.2</v>
      </c>
      <c r="AV8902" t="s">
        <v>492</v>
      </c>
      <c r="AW8902" t="s">
        <v>314</v>
      </c>
    </row>
    <row r="8903" spans="1:49">
      <c r="A8903" s="1">
        <f>HYPERLINK("https://lsnyc.legalserver.org/matter/dynamic-profile/view/1873745","18-1873745")</f>
        <v>0</v>
      </c>
      <c r="B8903" t="s">
        <v>302</v>
      </c>
      <c r="C8903" t="s">
        <v>341</v>
      </c>
      <c r="D8903" t="s">
        <v>466</v>
      </c>
      <c r="E8903" t="s">
        <v>526</v>
      </c>
      <c r="F8903" t="s">
        <v>1486</v>
      </c>
      <c r="G8903" t="s">
        <v>8860</v>
      </c>
      <c r="H8903" t="s">
        <v>15575</v>
      </c>
      <c r="I8903" t="s">
        <v>17965</v>
      </c>
      <c r="J8903" t="s">
        <v>18892</v>
      </c>
      <c r="K8903">
        <v>10453</v>
      </c>
      <c r="L8903" t="s">
        <v>18960</v>
      </c>
      <c r="M8903" t="s">
        <v>18960</v>
      </c>
      <c r="N8903" t="s">
        <v>25325</v>
      </c>
      <c r="O8903" t="s">
        <v>26524</v>
      </c>
      <c r="P8903" t="s">
        <v>26564</v>
      </c>
      <c r="Q8903" t="s">
        <v>26570</v>
      </c>
      <c r="R8903" t="s">
        <v>26583</v>
      </c>
      <c r="S8903" t="s">
        <v>18959</v>
      </c>
      <c r="U8903" t="s">
        <v>26604</v>
      </c>
      <c r="X8903">
        <v>1700</v>
      </c>
      <c r="Y8903" t="s">
        <v>26650</v>
      </c>
      <c r="Z8903" t="s">
        <v>26656</v>
      </c>
      <c r="AA8903" t="s">
        <v>26683</v>
      </c>
      <c r="AB8903" t="s">
        <v>33109</v>
      </c>
      <c r="AD8903" t="s">
        <v>43754</v>
      </c>
      <c r="AE8903">
        <v>40</v>
      </c>
      <c r="AF8903" t="s">
        <v>20460</v>
      </c>
      <c r="AG8903" t="s">
        <v>19330</v>
      </c>
      <c r="AH8903">
        <v>0</v>
      </c>
      <c r="AI8903">
        <v>3</v>
      </c>
      <c r="AJ8903">
        <v>0</v>
      </c>
      <c r="AK8903">
        <v>200.19</v>
      </c>
      <c r="AN8903" t="s">
        <v>45581</v>
      </c>
      <c r="AO8903">
        <v>41600</v>
      </c>
      <c r="AP8903" t="s">
        <v>46109</v>
      </c>
      <c r="AU8903">
        <v>1</v>
      </c>
      <c r="AV8903" t="s">
        <v>466</v>
      </c>
      <c r="AW8903" t="s">
        <v>46846</v>
      </c>
    </row>
    <row r="8904" spans="1:49">
      <c r="A8904" s="1">
        <f>HYPERLINK("https://lsnyc.legalserver.org/matter/dynamic-profile/view/1873705","18-1873705")</f>
        <v>0</v>
      </c>
      <c r="B8904" t="s">
        <v>209</v>
      </c>
      <c r="C8904" t="s">
        <v>341</v>
      </c>
      <c r="D8904" t="s">
        <v>466</v>
      </c>
      <c r="E8904" t="s">
        <v>500</v>
      </c>
      <c r="F8904" t="s">
        <v>2112</v>
      </c>
      <c r="G8904" t="s">
        <v>5625</v>
      </c>
      <c r="H8904" t="s">
        <v>15697</v>
      </c>
      <c r="I8904" t="s">
        <v>17401</v>
      </c>
      <c r="J8904" t="s">
        <v>18898</v>
      </c>
      <c r="K8904">
        <v>11691</v>
      </c>
      <c r="L8904" t="s">
        <v>18960</v>
      </c>
      <c r="M8904" t="s">
        <v>18960</v>
      </c>
      <c r="P8904" t="s">
        <v>26564</v>
      </c>
      <c r="Q8904" t="s">
        <v>26570</v>
      </c>
      <c r="R8904" t="s">
        <v>26591</v>
      </c>
      <c r="U8904" t="s">
        <v>26604</v>
      </c>
      <c r="X8904">
        <v>1250</v>
      </c>
      <c r="Y8904" t="s">
        <v>26653</v>
      </c>
      <c r="Z8904" t="s">
        <v>26657</v>
      </c>
      <c r="AA8904" t="s">
        <v>26683</v>
      </c>
      <c r="AB8904" t="s">
        <v>28755</v>
      </c>
      <c r="AD8904" t="s">
        <v>43755</v>
      </c>
      <c r="AE8904">
        <v>2</v>
      </c>
      <c r="AF8904" t="s">
        <v>45547</v>
      </c>
      <c r="AG8904" t="s">
        <v>45561</v>
      </c>
      <c r="AH8904">
        <v>8</v>
      </c>
      <c r="AI8904">
        <v>1</v>
      </c>
      <c r="AJ8904">
        <v>0</v>
      </c>
      <c r="AK8904">
        <v>74.14</v>
      </c>
      <c r="AN8904" t="s">
        <v>7439</v>
      </c>
      <c r="AO8904">
        <v>9000</v>
      </c>
      <c r="AU8904">
        <v>1.7</v>
      </c>
      <c r="AV8904" t="s">
        <v>526</v>
      </c>
      <c r="AW8904" t="s">
        <v>46842</v>
      </c>
    </row>
    <row r="8905" spans="1:49">
      <c r="A8905" s="1">
        <f>HYPERLINK("https://lsnyc.legalserver.org/matter/dynamic-profile/view/1873841","18-1873841")</f>
        <v>0</v>
      </c>
      <c r="B8905" t="s">
        <v>132</v>
      </c>
      <c r="C8905" t="s">
        <v>341</v>
      </c>
      <c r="D8905" t="s">
        <v>466</v>
      </c>
      <c r="E8905" t="s">
        <v>744</v>
      </c>
      <c r="F8905" t="s">
        <v>1748</v>
      </c>
      <c r="G8905" t="s">
        <v>1031</v>
      </c>
      <c r="H8905" t="s">
        <v>10804</v>
      </c>
      <c r="I8905" t="s">
        <v>17390</v>
      </c>
      <c r="J8905" t="s">
        <v>18894</v>
      </c>
      <c r="K8905">
        <v>11249</v>
      </c>
      <c r="L8905" t="s">
        <v>18960</v>
      </c>
      <c r="M8905" t="s">
        <v>18960</v>
      </c>
      <c r="N8905" t="s">
        <v>25326</v>
      </c>
      <c r="O8905" t="s">
        <v>26526</v>
      </c>
      <c r="P8905" t="s">
        <v>26560</v>
      </c>
      <c r="Q8905" t="s">
        <v>26573</v>
      </c>
      <c r="R8905" t="s">
        <v>26586</v>
      </c>
      <c r="U8905" t="s">
        <v>26607</v>
      </c>
      <c r="X8905">
        <v>380</v>
      </c>
      <c r="Y8905" t="s">
        <v>26652</v>
      </c>
      <c r="AA8905" t="s">
        <v>26680</v>
      </c>
      <c r="AB8905" t="s">
        <v>27962</v>
      </c>
      <c r="AD8905" t="s">
        <v>38013</v>
      </c>
      <c r="AE8905">
        <v>21</v>
      </c>
      <c r="AF8905" t="s">
        <v>45549</v>
      </c>
      <c r="AH8905">
        <v>13</v>
      </c>
      <c r="AI8905">
        <v>2</v>
      </c>
      <c r="AJ8905">
        <v>0</v>
      </c>
      <c r="AK8905">
        <v>66.83</v>
      </c>
      <c r="AN8905" t="s">
        <v>7439</v>
      </c>
      <c r="AO8905">
        <v>11000</v>
      </c>
      <c r="AS8905" t="s">
        <v>46499</v>
      </c>
      <c r="AU8905">
        <v>2.7</v>
      </c>
      <c r="AV8905" t="s">
        <v>735</v>
      </c>
      <c r="AW8905" t="s">
        <v>46853</v>
      </c>
    </row>
    <row r="8906" spans="1:49">
      <c r="A8906" s="1">
        <f>HYPERLINK("https://lsnyc.legalserver.org/matter/dynamic-profile/view/1873760","18-1873760")</f>
        <v>0</v>
      </c>
      <c r="B8906" t="s">
        <v>142</v>
      </c>
      <c r="C8906" t="s">
        <v>341</v>
      </c>
      <c r="D8906" t="s">
        <v>466</v>
      </c>
      <c r="E8906" t="s">
        <v>705</v>
      </c>
      <c r="F8906" t="s">
        <v>1366</v>
      </c>
      <c r="G8906" t="s">
        <v>992</v>
      </c>
      <c r="H8906" t="s">
        <v>15698</v>
      </c>
      <c r="I8906" t="s">
        <v>17436</v>
      </c>
      <c r="J8906" t="s">
        <v>18901</v>
      </c>
      <c r="K8906">
        <v>11432</v>
      </c>
      <c r="L8906" t="s">
        <v>18958</v>
      </c>
      <c r="M8906" t="s">
        <v>18958</v>
      </c>
      <c r="N8906" t="s">
        <v>25327</v>
      </c>
      <c r="O8906" t="s">
        <v>26523</v>
      </c>
      <c r="P8906" t="s">
        <v>26560</v>
      </c>
      <c r="Q8906" t="s">
        <v>26568</v>
      </c>
      <c r="R8906" t="s">
        <v>26584</v>
      </c>
      <c r="S8906" t="s">
        <v>18959</v>
      </c>
      <c r="U8906" t="s">
        <v>26604</v>
      </c>
      <c r="X8906">
        <v>1250</v>
      </c>
      <c r="Y8906" t="s">
        <v>26653</v>
      </c>
      <c r="Z8906" t="s">
        <v>26664</v>
      </c>
      <c r="AA8906" t="s">
        <v>26678</v>
      </c>
      <c r="AB8906" t="s">
        <v>33110</v>
      </c>
      <c r="AC8906" t="s">
        <v>36592</v>
      </c>
      <c r="AD8906" t="s">
        <v>43756</v>
      </c>
      <c r="AE8906">
        <v>20</v>
      </c>
      <c r="AF8906" t="s">
        <v>45547</v>
      </c>
      <c r="AG8906" t="s">
        <v>19330</v>
      </c>
      <c r="AH8906">
        <v>3</v>
      </c>
      <c r="AI8906">
        <v>2</v>
      </c>
      <c r="AJ8906">
        <v>2</v>
      </c>
      <c r="AK8906">
        <v>346.61</v>
      </c>
      <c r="AM8906" t="s">
        <v>45576</v>
      </c>
      <c r="AN8906" t="s">
        <v>7439</v>
      </c>
      <c r="AO8906">
        <v>87000</v>
      </c>
      <c r="AQ8906" t="s">
        <v>46361</v>
      </c>
      <c r="AR8906" t="s">
        <v>46379</v>
      </c>
      <c r="AS8906" t="s">
        <v>46499</v>
      </c>
      <c r="AT8906" t="s">
        <v>46526</v>
      </c>
      <c r="AU8906">
        <v>11.4</v>
      </c>
      <c r="AV8906" t="s">
        <v>705</v>
      </c>
      <c r="AW8906" t="s">
        <v>208</v>
      </c>
    </row>
    <row r="8907" spans="1:49">
      <c r="A8907" s="1">
        <f>HYPERLINK("https://lsnyc.legalserver.org/matter/dynamic-profile/view/1873781","18-1873781")</f>
        <v>0</v>
      </c>
      <c r="B8907" t="s">
        <v>201</v>
      </c>
      <c r="C8907" t="s">
        <v>341</v>
      </c>
      <c r="D8907" t="s">
        <v>466</v>
      </c>
      <c r="E8907" t="s">
        <v>688</v>
      </c>
      <c r="F8907" t="s">
        <v>1873</v>
      </c>
      <c r="G8907" t="s">
        <v>8861</v>
      </c>
      <c r="H8907" t="s">
        <v>15699</v>
      </c>
      <c r="J8907" t="s">
        <v>18894</v>
      </c>
      <c r="K8907">
        <v>11226</v>
      </c>
      <c r="L8907" t="s">
        <v>18960</v>
      </c>
      <c r="M8907" t="s">
        <v>18960</v>
      </c>
      <c r="Q8907" t="s">
        <v>26571</v>
      </c>
      <c r="R8907" t="s">
        <v>26586</v>
      </c>
      <c r="U8907" t="s">
        <v>26607</v>
      </c>
      <c r="X8907">
        <v>0</v>
      </c>
      <c r="Y8907" t="s">
        <v>26652</v>
      </c>
      <c r="AA8907" t="s">
        <v>26682</v>
      </c>
      <c r="AB8907" t="s">
        <v>33111</v>
      </c>
      <c r="AD8907" t="s">
        <v>43757</v>
      </c>
      <c r="AE8907">
        <v>0</v>
      </c>
      <c r="AH8907">
        <v>0</v>
      </c>
      <c r="AI8907">
        <v>1</v>
      </c>
      <c r="AJ8907">
        <v>0</v>
      </c>
      <c r="AK8907">
        <v>82.73</v>
      </c>
      <c r="AN8907" t="s">
        <v>7439</v>
      </c>
      <c r="AO8907">
        <v>10044</v>
      </c>
      <c r="AU8907">
        <v>8</v>
      </c>
      <c r="AV8907" t="s">
        <v>688</v>
      </c>
      <c r="AW8907" t="s">
        <v>303</v>
      </c>
    </row>
    <row r="8908" spans="1:49">
      <c r="A8908" s="1">
        <f>HYPERLINK("https://lsnyc.legalserver.org/matter/dynamic-profile/view/1873832","18-1873832")</f>
        <v>0</v>
      </c>
      <c r="B8908" t="s">
        <v>122</v>
      </c>
      <c r="C8908" t="s">
        <v>341</v>
      </c>
      <c r="D8908" t="s">
        <v>466</v>
      </c>
      <c r="E8908" t="s">
        <v>576</v>
      </c>
      <c r="F8908" t="s">
        <v>1087</v>
      </c>
      <c r="G8908" t="s">
        <v>6285</v>
      </c>
      <c r="H8908" t="s">
        <v>15700</v>
      </c>
      <c r="I8908" t="s">
        <v>17388</v>
      </c>
      <c r="J8908" t="s">
        <v>18928</v>
      </c>
      <c r="K8908">
        <v>11365</v>
      </c>
      <c r="L8908" t="s">
        <v>18958</v>
      </c>
      <c r="M8908" t="s">
        <v>18960</v>
      </c>
      <c r="N8908" t="s">
        <v>25328</v>
      </c>
      <c r="O8908" t="s">
        <v>26523</v>
      </c>
      <c r="P8908" t="s">
        <v>26564</v>
      </c>
      <c r="Q8908" t="s">
        <v>26570</v>
      </c>
      <c r="R8908" t="s">
        <v>26584</v>
      </c>
      <c r="S8908" t="s">
        <v>18959</v>
      </c>
      <c r="U8908" t="s">
        <v>26604</v>
      </c>
      <c r="X8908">
        <v>1033.42</v>
      </c>
      <c r="Y8908" t="s">
        <v>26653</v>
      </c>
      <c r="Z8908" t="s">
        <v>26664</v>
      </c>
      <c r="AA8908" t="s">
        <v>26683</v>
      </c>
      <c r="AB8908" t="s">
        <v>33112</v>
      </c>
      <c r="AC8908" t="s">
        <v>36593</v>
      </c>
      <c r="AD8908" t="s">
        <v>43758</v>
      </c>
      <c r="AE8908">
        <v>73</v>
      </c>
      <c r="AF8908" t="s">
        <v>45550</v>
      </c>
      <c r="AG8908" t="s">
        <v>45559</v>
      </c>
      <c r="AH8908">
        <v>7</v>
      </c>
      <c r="AI8908">
        <v>1</v>
      </c>
      <c r="AJ8908">
        <v>0</v>
      </c>
      <c r="AK8908">
        <v>148.27</v>
      </c>
      <c r="AN8908" t="s">
        <v>7439</v>
      </c>
      <c r="AO8908">
        <v>18000</v>
      </c>
      <c r="AU8908">
        <v>1</v>
      </c>
      <c r="AV8908" t="s">
        <v>497</v>
      </c>
      <c r="AW8908" t="s">
        <v>161</v>
      </c>
    </row>
    <row r="8909" spans="1:49">
      <c r="A8909" s="1">
        <f>HYPERLINK("https://lsnyc.legalserver.org/matter/dynamic-profile/view/1873765","18-1873765")</f>
        <v>0</v>
      </c>
      <c r="B8909" t="s">
        <v>279</v>
      </c>
      <c r="C8909" t="s">
        <v>341</v>
      </c>
      <c r="D8909" t="s">
        <v>466</v>
      </c>
      <c r="E8909" t="s">
        <v>659</v>
      </c>
      <c r="F8909" t="s">
        <v>2190</v>
      </c>
      <c r="G8909" t="s">
        <v>8862</v>
      </c>
      <c r="H8909" t="s">
        <v>15701</v>
      </c>
      <c r="I8909">
        <v>10</v>
      </c>
      <c r="J8909" t="s">
        <v>18894</v>
      </c>
      <c r="K8909">
        <v>11208</v>
      </c>
      <c r="L8909" t="s">
        <v>18959</v>
      </c>
      <c r="M8909" t="s">
        <v>18959</v>
      </c>
      <c r="N8909" t="s">
        <v>18997</v>
      </c>
      <c r="O8909" t="s">
        <v>26524</v>
      </c>
      <c r="P8909" t="s">
        <v>26564</v>
      </c>
      <c r="Q8909" t="s">
        <v>26570</v>
      </c>
      <c r="R8909" t="s">
        <v>26578</v>
      </c>
      <c r="S8909" t="s">
        <v>18959</v>
      </c>
      <c r="U8909" t="s">
        <v>26604</v>
      </c>
      <c r="X8909">
        <v>0</v>
      </c>
      <c r="Y8909" t="s">
        <v>26652</v>
      </c>
      <c r="Z8909" t="s">
        <v>26673</v>
      </c>
      <c r="AA8909" t="s">
        <v>26683</v>
      </c>
      <c r="AB8909" t="s">
        <v>33113</v>
      </c>
      <c r="AC8909" t="s">
        <v>20460</v>
      </c>
      <c r="AD8909" t="s">
        <v>43759</v>
      </c>
      <c r="AE8909">
        <v>2</v>
      </c>
      <c r="AF8909" t="s">
        <v>20460</v>
      </c>
      <c r="AG8909" t="s">
        <v>19330</v>
      </c>
      <c r="AH8909">
        <v>10</v>
      </c>
      <c r="AI8909">
        <v>1</v>
      </c>
      <c r="AJ8909">
        <v>0</v>
      </c>
      <c r="AK8909">
        <v>84.70999999999999</v>
      </c>
      <c r="AN8909" t="s">
        <v>7439</v>
      </c>
      <c r="AO8909">
        <v>10284</v>
      </c>
      <c r="AU8909">
        <v>0.85</v>
      </c>
      <c r="AV8909" t="s">
        <v>659</v>
      </c>
      <c r="AW8909" t="s">
        <v>46842</v>
      </c>
    </row>
    <row r="8910" spans="1:49">
      <c r="A8910" s="1">
        <f>HYPERLINK("https://lsnyc.legalserver.org/matter/dynamic-profile/view/1873711","18-1873711")</f>
        <v>0</v>
      </c>
      <c r="B8910" t="s">
        <v>62</v>
      </c>
      <c r="C8910" t="s">
        <v>340</v>
      </c>
      <c r="D8910" t="s">
        <v>466</v>
      </c>
      <c r="F8910" t="s">
        <v>2734</v>
      </c>
      <c r="G8910" t="s">
        <v>6893</v>
      </c>
      <c r="H8910" t="s">
        <v>12024</v>
      </c>
      <c r="I8910" t="s">
        <v>17312</v>
      </c>
      <c r="J8910" t="s">
        <v>18893</v>
      </c>
      <c r="K8910">
        <v>10027</v>
      </c>
      <c r="L8910" t="s">
        <v>18960</v>
      </c>
      <c r="M8910" t="s">
        <v>18960</v>
      </c>
      <c r="O8910" t="s">
        <v>26524</v>
      </c>
      <c r="R8910" t="s">
        <v>26595</v>
      </c>
      <c r="U8910" t="s">
        <v>26604</v>
      </c>
      <c r="X8910">
        <v>0</v>
      </c>
      <c r="Y8910" t="s">
        <v>26651</v>
      </c>
      <c r="AB8910" t="s">
        <v>28684</v>
      </c>
      <c r="AD8910" t="s">
        <v>43760</v>
      </c>
      <c r="AE8910">
        <v>0</v>
      </c>
      <c r="AH8910">
        <v>0</v>
      </c>
      <c r="AI8910">
        <v>1</v>
      </c>
      <c r="AJ8910">
        <v>2</v>
      </c>
      <c r="AK8910">
        <v>34.65</v>
      </c>
      <c r="AN8910" t="s">
        <v>7439</v>
      </c>
      <c r="AO8910">
        <v>7200</v>
      </c>
      <c r="AU8910">
        <v>10</v>
      </c>
      <c r="AV8910" t="s">
        <v>755</v>
      </c>
      <c r="AW8910" t="s">
        <v>62</v>
      </c>
    </row>
    <row r="8911" spans="1:49">
      <c r="A8911" s="1">
        <f>HYPERLINK("https://lsnyc.legalserver.org/matter/dynamic-profile/view/1873715","18-1873715")</f>
        <v>0</v>
      </c>
      <c r="B8911" t="s">
        <v>62</v>
      </c>
      <c r="C8911" t="s">
        <v>340</v>
      </c>
      <c r="D8911" t="s">
        <v>466</v>
      </c>
      <c r="F8911" t="s">
        <v>2734</v>
      </c>
      <c r="G8911" t="s">
        <v>6893</v>
      </c>
      <c r="H8911" t="s">
        <v>12024</v>
      </c>
      <c r="I8911" t="s">
        <v>17312</v>
      </c>
      <c r="J8911" t="s">
        <v>18893</v>
      </c>
      <c r="K8911">
        <v>10027</v>
      </c>
      <c r="L8911" t="s">
        <v>18960</v>
      </c>
      <c r="M8911" t="s">
        <v>18960</v>
      </c>
      <c r="O8911" t="s">
        <v>26523</v>
      </c>
      <c r="R8911" t="s">
        <v>26595</v>
      </c>
      <c r="U8911" t="s">
        <v>26604</v>
      </c>
      <c r="X8911">
        <v>0</v>
      </c>
      <c r="Y8911" t="s">
        <v>26651</v>
      </c>
      <c r="AB8911" t="s">
        <v>28684</v>
      </c>
      <c r="AD8911" t="s">
        <v>43760</v>
      </c>
      <c r="AE8911">
        <v>0</v>
      </c>
      <c r="AH8911">
        <v>0</v>
      </c>
      <c r="AI8911">
        <v>1</v>
      </c>
      <c r="AJ8911">
        <v>2</v>
      </c>
      <c r="AK8911">
        <v>34.65</v>
      </c>
      <c r="AN8911" t="s">
        <v>7439</v>
      </c>
      <c r="AO8911">
        <v>7200</v>
      </c>
      <c r="AU8911">
        <v>7.8</v>
      </c>
      <c r="AV8911" t="s">
        <v>694</v>
      </c>
      <c r="AW8911" t="s">
        <v>62</v>
      </c>
    </row>
    <row r="8912" spans="1:49">
      <c r="A8912" s="1">
        <f>HYPERLINK("https://lsnyc.legalserver.org/matter/dynamic-profile/view/1873912","18-1873912")</f>
        <v>0</v>
      </c>
      <c r="B8912" t="s">
        <v>76</v>
      </c>
      <c r="C8912" t="s">
        <v>341</v>
      </c>
      <c r="D8912" t="s">
        <v>469</v>
      </c>
      <c r="E8912" t="s">
        <v>645</v>
      </c>
      <c r="F8912" t="s">
        <v>3152</v>
      </c>
      <c r="G8912" t="s">
        <v>3534</v>
      </c>
      <c r="H8912" t="s">
        <v>13207</v>
      </c>
      <c r="I8912">
        <v>4</v>
      </c>
      <c r="J8912" t="s">
        <v>18893</v>
      </c>
      <c r="K8912">
        <v>10031</v>
      </c>
      <c r="L8912" t="s">
        <v>18959</v>
      </c>
      <c r="M8912" t="s">
        <v>18958</v>
      </c>
      <c r="N8912" t="s">
        <v>25329</v>
      </c>
      <c r="O8912" t="s">
        <v>26524</v>
      </c>
      <c r="P8912" t="s">
        <v>26564</v>
      </c>
      <c r="Q8912" t="s">
        <v>26570</v>
      </c>
      <c r="R8912" t="s">
        <v>26582</v>
      </c>
      <c r="S8912" t="s">
        <v>18959</v>
      </c>
      <c r="U8912" t="s">
        <v>26604</v>
      </c>
      <c r="X8912">
        <v>3800</v>
      </c>
      <c r="Y8912" t="s">
        <v>26651</v>
      </c>
      <c r="Z8912" t="s">
        <v>26664</v>
      </c>
      <c r="AA8912" t="s">
        <v>26683</v>
      </c>
      <c r="AB8912" t="s">
        <v>30565</v>
      </c>
      <c r="AD8912" t="s">
        <v>40753</v>
      </c>
      <c r="AE8912">
        <v>0</v>
      </c>
      <c r="AG8912" t="s">
        <v>19330</v>
      </c>
      <c r="AH8912">
        <v>1</v>
      </c>
      <c r="AI8912">
        <v>1</v>
      </c>
      <c r="AJ8912">
        <v>0</v>
      </c>
      <c r="AK8912">
        <v>70.48</v>
      </c>
      <c r="AN8912" t="s">
        <v>7439</v>
      </c>
      <c r="AO8912">
        <v>8556</v>
      </c>
      <c r="AU8912">
        <v>1.25</v>
      </c>
      <c r="AV8912" t="s">
        <v>533</v>
      </c>
      <c r="AW8912" t="s">
        <v>317</v>
      </c>
    </row>
    <row r="8913" spans="1:49">
      <c r="A8913" s="1">
        <f>HYPERLINK("https://lsnyc.legalserver.org/matter/dynamic-profile/view/1877971","18-1877971")</f>
        <v>0</v>
      </c>
      <c r="B8913" t="s">
        <v>55</v>
      </c>
      <c r="C8913" t="s">
        <v>340</v>
      </c>
      <c r="D8913" t="s">
        <v>469</v>
      </c>
      <c r="F8913" t="s">
        <v>964</v>
      </c>
      <c r="G8913" t="s">
        <v>8863</v>
      </c>
      <c r="H8913" t="s">
        <v>9741</v>
      </c>
      <c r="I8913" t="s">
        <v>17867</v>
      </c>
      <c r="J8913" t="s">
        <v>18892</v>
      </c>
      <c r="K8913">
        <v>10453</v>
      </c>
      <c r="L8913" t="s">
        <v>18958</v>
      </c>
      <c r="M8913" t="s">
        <v>18958</v>
      </c>
      <c r="O8913" t="s">
        <v>18997</v>
      </c>
      <c r="P8913" t="s">
        <v>26562</v>
      </c>
      <c r="R8913" t="s">
        <v>26578</v>
      </c>
      <c r="S8913" t="s">
        <v>18958</v>
      </c>
      <c r="U8913" t="s">
        <v>26604</v>
      </c>
      <c r="X8913">
        <v>1086</v>
      </c>
      <c r="Y8913" t="s">
        <v>26650</v>
      </c>
      <c r="Z8913" t="s">
        <v>26663</v>
      </c>
      <c r="AB8913" t="s">
        <v>33114</v>
      </c>
      <c r="AD8913" t="s">
        <v>43761</v>
      </c>
      <c r="AE8913">
        <v>99</v>
      </c>
      <c r="AF8913" t="s">
        <v>45541</v>
      </c>
      <c r="AG8913" t="s">
        <v>45556</v>
      </c>
      <c r="AH8913">
        <v>4</v>
      </c>
      <c r="AI8913">
        <v>2</v>
      </c>
      <c r="AJ8913">
        <v>0</v>
      </c>
      <c r="AK8913">
        <v>82.2</v>
      </c>
      <c r="AN8913" t="s">
        <v>7439</v>
      </c>
      <c r="AO8913">
        <v>13530</v>
      </c>
      <c r="AU8913">
        <v>0</v>
      </c>
      <c r="AW8913" t="s">
        <v>336</v>
      </c>
    </row>
    <row r="8914" spans="1:49">
      <c r="A8914" s="1">
        <f>HYPERLINK("https://lsnyc.legalserver.org/matter/dynamic-profile/view/1877914","18-1877914")</f>
        <v>0</v>
      </c>
      <c r="B8914" t="s">
        <v>55</v>
      </c>
      <c r="C8914" t="s">
        <v>340</v>
      </c>
      <c r="D8914" t="s">
        <v>469</v>
      </c>
      <c r="F8914" t="s">
        <v>978</v>
      </c>
      <c r="G8914" t="s">
        <v>5165</v>
      </c>
      <c r="H8914" t="s">
        <v>9741</v>
      </c>
      <c r="I8914" t="s">
        <v>17343</v>
      </c>
      <c r="J8914" t="s">
        <v>18892</v>
      </c>
      <c r="K8914">
        <v>10453</v>
      </c>
      <c r="L8914" t="s">
        <v>18958</v>
      </c>
      <c r="M8914" t="s">
        <v>18958</v>
      </c>
      <c r="O8914" t="s">
        <v>18997</v>
      </c>
      <c r="P8914" t="s">
        <v>26562</v>
      </c>
      <c r="R8914" t="s">
        <v>26578</v>
      </c>
      <c r="S8914" t="s">
        <v>18958</v>
      </c>
      <c r="U8914" t="s">
        <v>26604</v>
      </c>
      <c r="X8914">
        <v>669</v>
      </c>
      <c r="Y8914" t="s">
        <v>26650</v>
      </c>
      <c r="Z8914" t="s">
        <v>26663</v>
      </c>
      <c r="AB8914" t="s">
        <v>26818</v>
      </c>
      <c r="AC8914" t="s">
        <v>36594</v>
      </c>
      <c r="AD8914" t="s">
        <v>36922</v>
      </c>
      <c r="AE8914">
        <v>99</v>
      </c>
      <c r="AF8914" t="s">
        <v>45541</v>
      </c>
      <c r="AG8914" t="s">
        <v>45556</v>
      </c>
      <c r="AH8914">
        <v>9</v>
      </c>
      <c r="AI8914">
        <v>1</v>
      </c>
      <c r="AJ8914">
        <v>2</v>
      </c>
      <c r="AK8914">
        <v>95.09</v>
      </c>
      <c r="AN8914" t="s">
        <v>7439</v>
      </c>
      <c r="AO8914">
        <v>19760</v>
      </c>
      <c r="AU8914">
        <v>84.90000000000001</v>
      </c>
      <c r="AV8914" t="s">
        <v>830</v>
      </c>
      <c r="AW8914" t="s">
        <v>336</v>
      </c>
    </row>
    <row r="8915" spans="1:49">
      <c r="A8915" s="1">
        <f>HYPERLINK("https://lsnyc.legalserver.org/matter/dynamic-profile/view/1877963","18-1877963")</f>
        <v>0</v>
      </c>
      <c r="B8915" t="s">
        <v>55</v>
      </c>
      <c r="C8915" t="s">
        <v>340</v>
      </c>
      <c r="D8915" t="s">
        <v>469</v>
      </c>
      <c r="F8915" t="s">
        <v>4407</v>
      </c>
      <c r="G8915" t="s">
        <v>6102</v>
      </c>
      <c r="H8915" t="s">
        <v>9741</v>
      </c>
      <c r="I8915" t="s">
        <v>17315</v>
      </c>
      <c r="J8915" t="s">
        <v>18892</v>
      </c>
      <c r="K8915">
        <v>10453</v>
      </c>
      <c r="L8915" t="s">
        <v>18958</v>
      </c>
      <c r="M8915" t="s">
        <v>18958</v>
      </c>
      <c r="O8915" t="s">
        <v>18997</v>
      </c>
      <c r="P8915" t="s">
        <v>26563</v>
      </c>
      <c r="R8915" t="s">
        <v>26578</v>
      </c>
      <c r="S8915" t="s">
        <v>18958</v>
      </c>
      <c r="U8915" t="s">
        <v>26604</v>
      </c>
      <c r="X8915">
        <v>1600</v>
      </c>
      <c r="Y8915" t="s">
        <v>26650</v>
      </c>
      <c r="Z8915" t="s">
        <v>26663</v>
      </c>
      <c r="AB8915" t="s">
        <v>33115</v>
      </c>
      <c r="AE8915">
        <v>99</v>
      </c>
      <c r="AF8915" t="s">
        <v>45541</v>
      </c>
      <c r="AG8915" t="s">
        <v>19330</v>
      </c>
      <c r="AH8915">
        <v>2</v>
      </c>
      <c r="AI8915">
        <v>3</v>
      </c>
      <c r="AJ8915">
        <v>1</v>
      </c>
      <c r="AK8915">
        <v>123.51</v>
      </c>
      <c r="AN8915" t="s">
        <v>45581</v>
      </c>
      <c r="AO8915">
        <v>31000</v>
      </c>
      <c r="AU8915">
        <v>0</v>
      </c>
      <c r="AW8915" t="s">
        <v>336</v>
      </c>
    </row>
    <row r="8916" spans="1:49">
      <c r="A8916" s="1">
        <f>HYPERLINK("https://lsnyc.legalserver.org/matter/dynamic-profile/view/1873888","18-1873888")</f>
        <v>0</v>
      </c>
      <c r="B8916" t="s">
        <v>151</v>
      </c>
      <c r="C8916" t="s">
        <v>340</v>
      </c>
      <c r="D8916" t="s">
        <v>469</v>
      </c>
      <c r="F8916" t="s">
        <v>4408</v>
      </c>
      <c r="G8916" t="s">
        <v>8864</v>
      </c>
      <c r="H8916" t="s">
        <v>15702</v>
      </c>
      <c r="I8916" t="s">
        <v>17487</v>
      </c>
      <c r="J8916" t="s">
        <v>18893</v>
      </c>
      <c r="K8916">
        <v>10025</v>
      </c>
      <c r="L8916" t="s">
        <v>18958</v>
      </c>
      <c r="M8916" t="s">
        <v>18960</v>
      </c>
      <c r="N8916" t="s">
        <v>25330</v>
      </c>
      <c r="O8916" t="s">
        <v>26524</v>
      </c>
      <c r="P8916" t="s">
        <v>26560</v>
      </c>
      <c r="R8916" t="s">
        <v>26580</v>
      </c>
      <c r="S8916" t="s">
        <v>18959</v>
      </c>
      <c r="U8916" t="s">
        <v>26604</v>
      </c>
      <c r="V8916" t="s">
        <v>26610</v>
      </c>
      <c r="X8916">
        <v>4450</v>
      </c>
      <c r="Y8916" t="s">
        <v>26651</v>
      </c>
      <c r="Z8916" t="s">
        <v>26662</v>
      </c>
      <c r="AB8916" t="s">
        <v>33116</v>
      </c>
      <c r="AD8916" t="s">
        <v>43762</v>
      </c>
      <c r="AE8916">
        <v>0</v>
      </c>
      <c r="AF8916" t="s">
        <v>45547</v>
      </c>
      <c r="AG8916" t="s">
        <v>19330</v>
      </c>
      <c r="AH8916">
        <v>3</v>
      </c>
      <c r="AI8916">
        <v>1</v>
      </c>
      <c r="AJ8916">
        <v>1</v>
      </c>
      <c r="AK8916">
        <v>0</v>
      </c>
      <c r="AN8916" t="s">
        <v>7439</v>
      </c>
      <c r="AO8916">
        <v>0</v>
      </c>
      <c r="AU8916">
        <v>84.65000000000001</v>
      </c>
      <c r="AV8916" t="s">
        <v>797</v>
      </c>
      <c r="AW8916" t="s">
        <v>314</v>
      </c>
    </row>
    <row r="8917" spans="1:49">
      <c r="A8917" s="1">
        <f>HYPERLINK("https://lsnyc.legalserver.org/matter/dynamic-profile/view/1873916","18-1873916")</f>
        <v>0</v>
      </c>
      <c r="B8917" t="s">
        <v>200</v>
      </c>
      <c r="C8917" t="s">
        <v>340</v>
      </c>
      <c r="D8917" t="s">
        <v>469</v>
      </c>
      <c r="F8917" t="s">
        <v>4409</v>
      </c>
      <c r="G8917" t="s">
        <v>3598</v>
      </c>
      <c r="H8917" t="s">
        <v>15703</v>
      </c>
      <c r="I8917" t="s">
        <v>17334</v>
      </c>
      <c r="J8917" t="s">
        <v>18894</v>
      </c>
      <c r="K8917">
        <v>11236</v>
      </c>
      <c r="L8917" t="s">
        <v>18960</v>
      </c>
      <c r="M8917" t="s">
        <v>18960</v>
      </c>
      <c r="O8917" t="s">
        <v>26526</v>
      </c>
      <c r="R8917" t="s">
        <v>26578</v>
      </c>
      <c r="U8917" t="s">
        <v>26604</v>
      </c>
      <c r="X8917">
        <v>1650</v>
      </c>
      <c r="Y8917" t="s">
        <v>26652</v>
      </c>
      <c r="Z8917" t="s">
        <v>26530</v>
      </c>
      <c r="AB8917" t="s">
        <v>27042</v>
      </c>
      <c r="AE8917">
        <v>6</v>
      </c>
      <c r="AF8917" t="s">
        <v>20460</v>
      </c>
      <c r="AG8917" t="s">
        <v>19330</v>
      </c>
      <c r="AH8917">
        <v>1</v>
      </c>
      <c r="AI8917">
        <v>2</v>
      </c>
      <c r="AJ8917">
        <v>0</v>
      </c>
      <c r="AK8917">
        <v>110.57</v>
      </c>
      <c r="AN8917" t="s">
        <v>7439</v>
      </c>
      <c r="AO8917">
        <v>18200</v>
      </c>
      <c r="AU8917">
        <v>0.5</v>
      </c>
      <c r="AV8917" t="s">
        <v>469</v>
      </c>
      <c r="AW8917" t="s">
        <v>46841</v>
      </c>
    </row>
    <row r="8918" spans="1:49">
      <c r="A8918" s="1">
        <f>HYPERLINK("https://lsnyc.legalserver.org/matter/dynamic-profile/view/1874023","18-1874023")</f>
        <v>0</v>
      </c>
      <c r="B8918" t="s">
        <v>305</v>
      </c>
      <c r="C8918" t="s">
        <v>341</v>
      </c>
      <c r="D8918" t="s">
        <v>492</v>
      </c>
      <c r="E8918" t="s">
        <v>422</v>
      </c>
      <c r="F8918" t="s">
        <v>2533</v>
      </c>
      <c r="G8918" t="s">
        <v>8865</v>
      </c>
      <c r="H8918" t="s">
        <v>12974</v>
      </c>
      <c r="I8918" t="s">
        <v>17451</v>
      </c>
      <c r="J8918" t="s">
        <v>18894</v>
      </c>
      <c r="K8918">
        <v>11210</v>
      </c>
      <c r="L8918" t="s">
        <v>18960</v>
      </c>
      <c r="M8918" t="s">
        <v>18960</v>
      </c>
      <c r="P8918" t="s">
        <v>26565</v>
      </c>
      <c r="Q8918" t="s">
        <v>26571</v>
      </c>
      <c r="R8918" t="s">
        <v>26586</v>
      </c>
      <c r="S8918" t="s">
        <v>18959</v>
      </c>
      <c r="U8918" t="s">
        <v>26604</v>
      </c>
      <c r="X8918">
        <v>0</v>
      </c>
      <c r="Y8918" t="s">
        <v>26652</v>
      </c>
      <c r="Z8918" t="s">
        <v>26655</v>
      </c>
      <c r="AA8918" t="s">
        <v>26682</v>
      </c>
      <c r="AB8918" t="s">
        <v>33117</v>
      </c>
      <c r="AD8918" t="s">
        <v>34738</v>
      </c>
      <c r="AE8918">
        <v>0</v>
      </c>
      <c r="AG8918" t="s">
        <v>45558</v>
      </c>
      <c r="AH8918">
        <v>2</v>
      </c>
      <c r="AI8918">
        <v>1</v>
      </c>
      <c r="AJ8918">
        <v>3</v>
      </c>
      <c r="AK8918">
        <v>0</v>
      </c>
      <c r="AN8918" t="s">
        <v>7439</v>
      </c>
      <c r="AO8918">
        <v>0</v>
      </c>
      <c r="AU8918">
        <v>10.55</v>
      </c>
      <c r="AV8918" t="s">
        <v>528</v>
      </c>
      <c r="AW8918" t="s">
        <v>46893</v>
      </c>
    </row>
    <row r="8919" spans="1:49">
      <c r="A8919" s="1">
        <f>HYPERLINK("https://lsnyc.legalserver.org/matter/dynamic-profile/view/1874129","18-1874129")</f>
        <v>0</v>
      </c>
      <c r="B8919" t="s">
        <v>202</v>
      </c>
      <c r="C8919" t="s">
        <v>340</v>
      </c>
      <c r="D8919" t="s">
        <v>492</v>
      </c>
      <c r="F8919" t="s">
        <v>2329</v>
      </c>
      <c r="G8919" t="s">
        <v>7655</v>
      </c>
      <c r="H8919" t="s">
        <v>12953</v>
      </c>
      <c r="I8919">
        <v>3</v>
      </c>
      <c r="J8919" t="s">
        <v>18894</v>
      </c>
      <c r="K8919">
        <v>11216</v>
      </c>
      <c r="L8919" t="s">
        <v>18960</v>
      </c>
      <c r="M8919" t="s">
        <v>18960</v>
      </c>
      <c r="N8919" t="s">
        <v>25331</v>
      </c>
      <c r="O8919" t="s">
        <v>26526</v>
      </c>
      <c r="P8919" t="s">
        <v>26560</v>
      </c>
      <c r="R8919" t="s">
        <v>26583</v>
      </c>
      <c r="U8919" t="s">
        <v>26604</v>
      </c>
      <c r="X8919">
        <v>0</v>
      </c>
      <c r="Y8919" t="s">
        <v>26652</v>
      </c>
      <c r="AB8919" t="s">
        <v>27618</v>
      </c>
      <c r="AD8919" t="s">
        <v>43702</v>
      </c>
      <c r="AE8919">
        <v>0</v>
      </c>
      <c r="AF8919" t="s">
        <v>45541</v>
      </c>
      <c r="AH8919">
        <v>0</v>
      </c>
      <c r="AI8919">
        <v>1</v>
      </c>
      <c r="AJ8919">
        <v>1</v>
      </c>
      <c r="AK8919">
        <v>261.24</v>
      </c>
      <c r="AL8919" t="s">
        <v>605</v>
      </c>
      <c r="AN8919" t="s">
        <v>7439</v>
      </c>
      <c r="AO8919">
        <v>43000</v>
      </c>
      <c r="AU8919">
        <v>14.35</v>
      </c>
      <c r="AV8919" t="s">
        <v>772</v>
      </c>
      <c r="AW8919" t="s">
        <v>202</v>
      </c>
    </row>
    <row r="8920" spans="1:49">
      <c r="A8920" s="1">
        <f>HYPERLINK("https://lsnyc.legalserver.org/matter/dynamic-profile/view/1874069","18-1874069")</f>
        <v>0</v>
      </c>
      <c r="B8920" t="s">
        <v>110</v>
      </c>
      <c r="C8920" t="s">
        <v>340</v>
      </c>
      <c r="D8920" t="s">
        <v>492</v>
      </c>
      <c r="F8920" t="s">
        <v>4410</v>
      </c>
      <c r="G8920" t="s">
        <v>8866</v>
      </c>
      <c r="H8920" t="s">
        <v>15704</v>
      </c>
      <c r="I8920" t="s">
        <v>18619</v>
      </c>
      <c r="J8920" t="s">
        <v>7026</v>
      </c>
      <c r="K8920">
        <v>11368</v>
      </c>
      <c r="L8920" t="s">
        <v>18960</v>
      </c>
      <c r="M8920" t="s">
        <v>18960</v>
      </c>
      <c r="R8920" t="s">
        <v>26591</v>
      </c>
      <c r="U8920" t="s">
        <v>26604</v>
      </c>
      <c r="X8920">
        <v>0</v>
      </c>
      <c r="Y8920" t="s">
        <v>26653</v>
      </c>
      <c r="AB8920" t="s">
        <v>33118</v>
      </c>
      <c r="AD8920" t="s">
        <v>43763</v>
      </c>
      <c r="AE8920">
        <v>0</v>
      </c>
      <c r="AH8920">
        <v>0</v>
      </c>
      <c r="AI8920">
        <v>2</v>
      </c>
      <c r="AJ8920">
        <v>0</v>
      </c>
      <c r="AK8920">
        <v>0</v>
      </c>
      <c r="AN8920" t="s">
        <v>7439</v>
      </c>
      <c r="AO8920">
        <v>0</v>
      </c>
      <c r="AU8920">
        <v>1</v>
      </c>
      <c r="AV8920" t="s">
        <v>492</v>
      </c>
      <c r="AW8920" t="s">
        <v>46857</v>
      </c>
    </row>
    <row r="8921" spans="1:49">
      <c r="A8921" s="1">
        <f>HYPERLINK("https://lsnyc.legalserver.org/matter/dynamic-profile/view/1874132","18-1874132")</f>
        <v>0</v>
      </c>
      <c r="B8921" t="s">
        <v>180</v>
      </c>
      <c r="C8921" t="s">
        <v>341</v>
      </c>
      <c r="D8921" t="s">
        <v>497</v>
      </c>
      <c r="E8921" t="s">
        <v>577</v>
      </c>
      <c r="F8921" t="s">
        <v>964</v>
      </c>
      <c r="G8921" t="s">
        <v>4181</v>
      </c>
      <c r="H8921" t="s">
        <v>15705</v>
      </c>
      <c r="I8921" t="s">
        <v>17291</v>
      </c>
      <c r="J8921" t="s">
        <v>18894</v>
      </c>
      <c r="K8921">
        <v>11210</v>
      </c>
      <c r="L8921" t="s">
        <v>18959</v>
      </c>
      <c r="M8921" t="s">
        <v>18960</v>
      </c>
      <c r="N8921" t="s">
        <v>25332</v>
      </c>
      <c r="O8921" t="s">
        <v>26523</v>
      </c>
      <c r="P8921" t="s">
        <v>26560</v>
      </c>
      <c r="Q8921" t="s">
        <v>26568</v>
      </c>
      <c r="R8921" t="s">
        <v>26586</v>
      </c>
      <c r="S8921" t="s">
        <v>18959</v>
      </c>
      <c r="U8921" t="s">
        <v>26604</v>
      </c>
      <c r="X8921">
        <v>1043</v>
      </c>
      <c r="Y8921" t="s">
        <v>26652</v>
      </c>
      <c r="Z8921" t="s">
        <v>26662</v>
      </c>
      <c r="AA8921" t="s">
        <v>26678</v>
      </c>
      <c r="AB8921" t="s">
        <v>33119</v>
      </c>
      <c r="AD8921" t="s">
        <v>43764</v>
      </c>
      <c r="AE8921">
        <v>6</v>
      </c>
      <c r="AG8921" t="s">
        <v>19330</v>
      </c>
      <c r="AH8921">
        <v>12</v>
      </c>
      <c r="AI8921">
        <v>2</v>
      </c>
      <c r="AJ8921">
        <v>0</v>
      </c>
      <c r="AK8921">
        <v>121.51</v>
      </c>
      <c r="AN8921" t="s">
        <v>7439</v>
      </c>
      <c r="AO8921">
        <v>20000</v>
      </c>
      <c r="AQ8921" t="s">
        <v>46366</v>
      </c>
      <c r="AR8921" t="s">
        <v>46379</v>
      </c>
      <c r="AS8921" t="s">
        <v>46499</v>
      </c>
      <c r="AT8921" t="s">
        <v>46550</v>
      </c>
      <c r="AU8921">
        <v>7.2</v>
      </c>
      <c r="AV8921" t="s">
        <v>577</v>
      </c>
      <c r="AW8921" t="s">
        <v>281</v>
      </c>
    </row>
    <row r="8922" spans="1:49">
      <c r="A8922" s="1">
        <f>HYPERLINK("https://lsnyc.legalserver.org/matter/dynamic-profile/view/1874177","18-1874177")</f>
        <v>0</v>
      </c>
      <c r="B8922" t="s">
        <v>301</v>
      </c>
      <c r="C8922" t="s">
        <v>341</v>
      </c>
      <c r="D8922" t="s">
        <v>497</v>
      </c>
      <c r="E8922" t="s">
        <v>683</v>
      </c>
      <c r="F8922" t="s">
        <v>4411</v>
      </c>
      <c r="G8922" t="s">
        <v>8867</v>
      </c>
      <c r="H8922" t="s">
        <v>15706</v>
      </c>
      <c r="I8922" t="s">
        <v>17465</v>
      </c>
      <c r="J8922" t="s">
        <v>18894</v>
      </c>
      <c r="K8922">
        <v>11224</v>
      </c>
      <c r="L8922" t="s">
        <v>18960</v>
      </c>
      <c r="M8922" t="s">
        <v>18960</v>
      </c>
      <c r="O8922" t="s">
        <v>26529</v>
      </c>
      <c r="P8922" t="s">
        <v>26562</v>
      </c>
      <c r="Q8922" t="s">
        <v>26571</v>
      </c>
      <c r="R8922" t="s">
        <v>26586</v>
      </c>
      <c r="U8922" t="s">
        <v>26607</v>
      </c>
      <c r="X8922">
        <v>767</v>
      </c>
      <c r="Y8922" t="s">
        <v>26652</v>
      </c>
      <c r="AA8922" t="s">
        <v>26681</v>
      </c>
      <c r="AB8922" t="s">
        <v>27153</v>
      </c>
      <c r="AD8922" t="s">
        <v>43765</v>
      </c>
      <c r="AE8922">
        <v>260</v>
      </c>
      <c r="AH8922">
        <v>2</v>
      </c>
      <c r="AI8922">
        <v>1</v>
      </c>
      <c r="AJ8922">
        <v>0</v>
      </c>
      <c r="AK8922">
        <v>107.08</v>
      </c>
      <c r="AN8922" t="s">
        <v>7439</v>
      </c>
      <c r="AO8922">
        <v>13000</v>
      </c>
      <c r="AU8922">
        <v>11.55</v>
      </c>
      <c r="AV8922" t="s">
        <v>683</v>
      </c>
      <c r="AW8922" t="s">
        <v>46853</v>
      </c>
    </row>
    <row r="8923" spans="1:49">
      <c r="A8923" s="1">
        <f>HYPERLINK("https://lsnyc.legalserver.org/matter/dynamic-profile/view/1874154","18-1874154")</f>
        <v>0</v>
      </c>
      <c r="B8923" t="s">
        <v>141</v>
      </c>
      <c r="C8923" t="s">
        <v>341</v>
      </c>
      <c r="D8923" t="s">
        <v>497</v>
      </c>
      <c r="E8923" t="s">
        <v>505</v>
      </c>
      <c r="F8923" t="s">
        <v>4412</v>
      </c>
      <c r="G8923" t="s">
        <v>8839</v>
      </c>
      <c r="H8923" t="s">
        <v>15707</v>
      </c>
      <c r="I8923" t="s">
        <v>18391</v>
      </c>
      <c r="J8923" t="s">
        <v>18900</v>
      </c>
      <c r="K8923">
        <v>11355</v>
      </c>
      <c r="L8923" t="s">
        <v>18958</v>
      </c>
      <c r="M8923" t="s">
        <v>18958</v>
      </c>
      <c r="N8923" t="s">
        <v>19330</v>
      </c>
      <c r="O8923" t="s">
        <v>18997</v>
      </c>
      <c r="P8923" t="s">
        <v>26564</v>
      </c>
      <c r="Q8923" t="s">
        <v>26568</v>
      </c>
      <c r="R8923" t="s">
        <v>26594</v>
      </c>
      <c r="S8923" t="s">
        <v>18959</v>
      </c>
      <c r="U8923" t="s">
        <v>26604</v>
      </c>
      <c r="V8923" t="s">
        <v>26610</v>
      </c>
      <c r="X8923">
        <v>600</v>
      </c>
      <c r="Y8923" t="s">
        <v>26653</v>
      </c>
      <c r="Z8923" t="s">
        <v>26530</v>
      </c>
      <c r="AA8923" t="s">
        <v>26683</v>
      </c>
      <c r="AB8923" t="s">
        <v>33120</v>
      </c>
      <c r="AC8923" t="s">
        <v>19330</v>
      </c>
      <c r="AD8923" t="s">
        <v>43766</v>
      </c>
      <c r="AE8923">
        <v>2</v>
      </c>
      <c r="AF8923" t="s">
        <v>45547</v>
      </c>
      <c r="AG8923" t="s">
        <v>19330</v>
      </c>
      <c r="AH8923">
        <v>1</v>
      </c>
      <c r="AI8923">
        <v>2</v>
      </c>
      <c r="AJ8923">
        <v>0</v>
      </c>
      <c r="AK8923">
        <v>218.71</v>
      </c>
      <c r="AN8923" t="s">
        <v>45595</v>
      </c>
      <c r="AO8923">
        <v>36000</v>
      </c>
      <c r="AU8923">
        <v>1.1</v>
      </c>
      <c r="AV8923" t="s">
        <v>505</v>
      </c>
      <c r="AW8923" t="s">
        <v>141</v>
      </c>
    </row>
    <row r="8924" spans="1:49">
      <c r="A8924" s="1">
        <f>HYPERLINK("https://lsnyc.legalserver.org/matter/dynamic-profile/view/1874257","18-1874257")</f>
        <v>0</v>
      </c>
      <c r="B8924" t="s">
        <v>122</v>
      </c>
      <c r="C8924" t="s">
        <v>341</v>
      </c>
      <c r="D8924" t="s">
        <v>497</v>
      </c>
      <c r="E8924" t="s">
        <v>494</v>
      </c>
      <c r="F8924" t="s">
        <v>3799</v>
      </c>
      <c r="G8924" t="s">
        <v>8868</v>
      </c>
      <c r="H8924" t="s">
        <v>15708</v>
      </c>
      <c r="I8924" t="s">
        <v>17989</v>
      </c>
      <c r="J8924" t="s">
        <v>18900</v>
      </c>
      <c r="K8924">
        <v>11355</v>
      </c>
      <c r="L8924" t="s">
        <v>18959</v>
      </c>
      <c r="M8924" t="s">
        <v>18958</v>
      </c>
      <c r="N8924" t="s">
        <v>25333</v>
      </c>
      <c r="O8924" t="s">
        <v>26526</v>
      </c>
      <c r="P8924" t="s">
        <v>26564</v>
      </c>
      <c r="Q8924" t="s">
        <v>26570</v>
      </c>
      <c r="R8924" t="s">
        <v>26592</v>
      </c>
      <c r="S8924" t="s">
        <v>26598</v>
      </c>
      <c r="U8924" t="s">
        <v>26604</v>
      </c>
      <c r="X8924">
        <v>1900</v>
      </c>
      <c r="Y8924" t="s">
        <v>26653</v>
      </c>
      <c r="Z8924" t="s">
        <v>26664</v>
      </c>
      <c r="AA8924" t="s">
        <v>26683</v>
      </c>
      <c r="AB8924" t="s">
        <v>33121</v>
      </c>
      <c r="AD8924" t="s">
        <v>43767</v>
      </c>
      <c r="AE8924">
        <v>2</v>
      </c>
      <c r="AF8924" t="s">
        <v>45547</v>
      </c>
      <c r="AG8924" t="s">
        <v>19330</v>
      </c>
      <c r="AH8924">
        <v>-1</v>
      </c>
      <c r="AI8924">
        <v>1</v>
      </c>
      <c r="AJ8924">
        <v>2</v>
      </c>
      <c r="AK8924">
        <v>177.42</v>
      </c>
      <c r="AN8924" t="s">
        <v>45581</v>
      </c>
      <c r="AO8924">
        <v>36868</v>
      </c>
      <c r="AU8924">
        <v>0.6</v>
      </c>
      <c r="AV8924" t="s">
        <v>422</v>
      </c>
      <c r="AW8924" t="s">
        <v>122</v>
      </c>
    </row>
    <row r="8925" spans="1:49">
      <c r="A8925" s="1">
        <f>HYPERLINK("https://lsnyc.legalserver.org/matter/dynamic-profile/view/1874206","18-1874206")</f>
        <v>0</v>
      </c>
      <c r="B8925" t="s">
        <v>279</v>
      </c>
      <c r="C8925" t="s">
        <v>341</v>
      </c>
      <c r="D8925" t="s">
        <v>497</v>
      </c>
      <c r="E8925" t="s">
        <v>497</v>
      </c>
      <c r="F8925" t="s">
        <v>3124</v>
      </c>
      <c r="G8925" t="s">
        <v>5141</v>
      </c>
      <c r="H8925" t="s">
        <v>15709</v>
      </c>
      <c r="I8925" t="s">
        <v>17446</v>
      </c>
      <c r="J8925" t="s">
        <v>18894</v>
      </c>
      <c r="K8925">
        <v>11233</v>
      </c>
      <c r="L8925" t="s">
        <v>18959</v>
      </c>
      <c r="M8925" t="s">
        <v>18960</v>
      </c>
      <c r="N8925" t="s">
        <v>25334</v>
      </c>
      <c r="O8925" t="s">
        <v>26524</v>
      </c>
      <c r="Q8925" t="s">
        <v>26570</v>
      </c>
      <c r="R8925" t="s">
        <v>26583</v>
      </c>
      <c r="S8925" t="s">
        <v>18959</v>
      </c>
      <c r="U8925" t="s">
        <v>26604</v>
      </c>
      <c r="X8925">
        <v>700</v>
      </c>
      <c r="Y8925" t="s">
        <v>26652</v>
      </c>
      <c r="Z8925" t="s">
        <v>26660</v>
      </c>
      <c r="AA8925" t="s">
        <v>26683</v>
      </c>
      <c r="AB8925" t="s">
        <v>33122</v>
      </c>
      <c r="AD8925" t="s">
        <v>43768</v>
      </c>
      <c r="AE8925">
        <v>7</v>
      </c>
      <c r="AF8925" t="s">
        <v>20460</v>
      </c>
      <c r="AG8925" t="s">
        <v>19330</v>
      </c>
      <c r="AH8925">
        <v>10</v>
      </c>
      <c r="AI8925">
        <v>1</v>
      </c>
      <c r="AJ8925">
        <v>0</v>
      </c>
      <c r="AK8925">
        <v>342.67</v>
      </c>
      <c r="AN8925" t="s">
        <v>7439</v>
      </c>
      <c r="AO8925">
        <v>41600</v>
      </c>
      <c r="AU8925">
        <v>0.75</v>
      </c>
      <c r="AV8925" t="s">
        <v>497</v>
      </c>
      <c r="AW8925" t="s">
        <v>46841</v>
      </c>
    </row>
    <row r="8926" spans="1:49">
      <c r="A8926" s="1">
        <f>HYPERLINK("https://lsnyc.legalserver.org/matter/dynamic-profile/view/1874313","18-1874313")</f>
        <v>0</v>
      </c>
      <c r="B8926" t="s">
        <v>175</v>
      </c>
      <c r="C8926" t="s">
        <v>341</v>
      </c>
      <c r="D8926" t="s">
        <v>497</v>
      </c>
      <c r="E8926" t="s">
        <v>498</v>
      </c>
      <c r="F8926" t="s">
        <v>4413</v>
      </c>
      <c r="G8926" t="s">
        <v>8869</v>
      </c>
      <c r="H8926" t="s">
        <v>15710</v>
      </c>
      <c r="J8926" t="s">
        <v>18894</v>
      </c>
      <c r="K8926">
        <v>11235</v>
      </c>
      <c r="L8926" t="s">
        <v>18960</v>
      </c>
      <c r="M8926" t="s">
        <v>18960</v>
      </c>
      <c r="O8926" t="s">
        <v>18997</v>
      </c>
      <c r="P8926" t="s">
        <v>26564</v>
      </c>
      <c r="Q8926" t="s">
        <v>26570</v>
      </c>
      <c r="R8926" t="s">
        <v>26592</v>
      </c>
      <c r="U8926" t="s">
        <v>26604</v>
      </c>
      <c r="X8926">
        <v>1600</v>
      </c>
      <c r="Y8926" t="s">
        <v>26652</v>
      </c>
      <c r="AA8926" t="s">
        <v>26683</v>
      </c>
      <c r="AB8926" t="s">
        <v>33123</v>
      </c>
      <c r="AE8926">
        <v>0</v>
      </c>
      <c r="AF8926" t="s">
        <v>45547</v>
      </c>
      <c r="AG8926" t="s">
        <v>19330</v>
      </c>
      <c r="AH8926">
        <v>0</v>
      </c>
      <c r="AI8926">
        <v>3</v>
      </c>
      <c r="AJ8926">
        <v>0</v>
      </c>
      <c r="AK8926">
        <v>121.27</v>
      </c>
      <c r="AN8926" t="s">
        <v>45586</v>
      </c>
      <c r="AO8926">
        <v>25200</v>
      </c>
      <c r="AU8926">
        <v>2.25</v>
      </c>
      <c r="AV8926" t="s">
        <v>427</v>
      </c>
      <c r="AW8926" t="s">
        <v>175</v>
      </c>
    </row>
    <row r="8927" spans="1:49">
      <c r="A8927" s="1">
        <f>HYPERLINK("https://lsnyc.legalserver.org/matter/dynamic-profile/view/1874173","18-1874173")</f>
        <v>0</v>
      </c>
      <c r="B8927" t="s">
        <v>165</v>
      </c>
      <c r="C8927" t="s">
        <v>340</v>
      </c>
      <c r="D8927" t="s">
        <v>497</v>
      </c>
      <c r="F8927" t="s">
        <v>1366</v>
      </c>
      <c r="G8927" t="s">
        <v>5273</v>
      </c>
      <c r="H8927" t="s">
        <v>15711</v>
      </c>
      <c r="I8927" t="s">
        <v>17748</v>
      </c>
      <c r="J8927" t="s">
        <v>18893</v>
      </c>
      <c r="K8927">
        <v>10037</v>
      </c>
      <c r="L8927" t="s">
        <v>18958</v>
      </c>
      <c r="M8927" t="s">
        <v>18960</v>
      </c>
      <c r="O8927" t="s">
        <v>26524</v>
      </c>
      <c r="R8927" t="s">
        <v>26583</v>
      </c>
      <c r="S8927" t="s">
        <v>18959</v>
      </c>
      <c r="U8927" t="s">
        <v>26604</v>
      </c>
      <c r="X8927">
        <v>1066</v>
      </c>
      <c r="Y8927" t="s">
        <v>26651</v>
      </c>
      <c r="Z8927" t="s">
        <v>26659</v>
      </c>
      <c r="AB8927" t="s">
        <v>33124</v>
      </c>
      <c r="AD8927" t="s">
        <v>43769</v>
      </c>
      <c r="AE8927">
        <v>0</v>
      </c>
      <c r="AH8927">
        <v>16</v>
      </c>
      <c r="AI8927">
        <v>1</v>
      </c>
      <c r="AJ8927">
        <v>0</v>
      </c>
      <c r="AK8927">
        <v>214.17</v>
      </c>
      <c r="AO8927">
        <v>26000</v>
      </c>
      <c r="AU8927">
        <v>21.5</v>
      </c>
      <c r="AV8927" t="s">
        <v>808</v>
      </c>
      <c r="AW8927" t="s">
        <v>317</v>
      </c>
    </row>
    <row r="8928" spans="1:49">
      <c r="A8928" s="1">
        <f>HYPERLINK("https://lsnyc.legalserver.org/matter/dynamic-profile/view/1874163","18-1874163")</f>
        <v>0</v>
      </c>
      <c r="B8928" t="s">
        <v>84</v>
      </c>
      <c r="C8928" t="s">
        <v>340</v>
      </c>
      <c r="D8928" t="s">
        <v>497</v>
      </c>
      <c r="F8928" t="s">
        <v>4414</v>
      </c>
      <c r="G8928" t="s">
        <v>6401</v>
      </c>
      <c r="H8928" t="s">
        <v>15712</v>
      </c>
      <c r="I8928">
        <v>204</v>
      </c>
      <c r="J8928" t="s">
        <v>18893</v>
      </c>
      <c r="K8928">
        <v>10032</v>
      </c>
      <c r="L8928" t="s">
        <v>18958</v>
      </c>
      <c r="M8928" t="s">
        <v>18960</v>
      </c>
      <c r="N8928" t="s">
        <v>25335</v>
      </c>
      <c r="O8928" t="s">
        <v>26523</v>
      </c>
      <c r="P8928" t="s">
        <v>26564</v>
      </c>
      <c r="R8928" t="s">
        <v>26582</v>
      </c>
      <c r="S8928" t="s">
        <v>18959</v>
      </c>
      <c r="U8928" t="s">
        <v>26604</v>
      </c>
      <c r="X8928">
        <v>1800</v>
      </c>
      <c r="Y8928" t="s">
        <v>26651</v>
      </c>
      <c r="Z8928" t="s">
        <v>26661</v>
      </c>
      <c r="AB8928" t="s">
        <v>27412</v>
      </c>
      <c r="AD8928" t="s">
        <v>43770</v>
      </c>
      <c r="AE8928">
        <v>66</v>
      </c>
      <c r="AF8928" t="s">
        <v>45547</v>
      </c>
      <c r="AG8928" t="s">
        <v>19330</v>
      </c>
      <c r="AH8928">
        <v>1</v>
      </c>
      <c r="AI8928">
        <v>1</v>
      </c>
      <c r="AJ8928">
        <v>2</v>
      </c>
      <c r="AK8928">
        <v>45.04</v>
      </c>
      <c r="AO8928">
        <v>9360</v>
      </c>
      <c r="AU8928">
        <v>0.2</v>
      </c>
      <c r="AV8928" t="s">
        <v>477</v>
      </c>
      <c r="AW8928" t="s">
        <v>314</v>
      </c>
    </row>
    <row r="8929" spans="1:49">
      <c r="A8929" s="1">
        <f>HYPERLINK("https://lsnyc.legalserver.org/matter/dynamic-profile/view/1874138","18-1874138")</f>
        <v>0</v>
      </c>
      <c r="B8929" t="s">
        <v>84</v>
      </c>
      <c r="C8929" t="s">
        <v>340</v>
      </c>
      <c r="D8929" t="s">
        <v>497</v>
      </c>
      <c r="F8929" t="s">
        <v>1323</v>
      </c>
      <c r="G8929" t="s">
        <v>8870</v>
      </c>
      <c r="H8929" t="s">
        <v>15713</v>
      </c>
      <c r="I8929">
        <v>741</v>
      </c>
      <c r="J8929" t="s">
        <v>18893</v>
      </c>
      <c r="K8929">
        <v>10024</v>
      </c>
      <c r="L8929" t="s">
        <v>18958</v>
      </c>
      <c r="M8929" t="s">
        <v>18960</v>
      </c>
      <c r="O8929" t="s">
        <v>26523</v>
      </c>
      <c r="R8929" t="s">
        <v>26594</v>
      </c>
      <c r="S8929" t="s">
        <v>18959</v>
      </c>
      <c r="U8929" t="s">
        <v>26604</v>
      </c>
      <c r="X8929">
        <v>967</v>
      </c>
      <c r="Y8929" t="s">
        <v>26651</v>
      </c>
      <c r="Z8929" t="s">
        <v>26660</v>
      </c>
      <c r="AB8929" t="s">
        <v>33125</v>
      </c>
      <c r="AD8929" t="s">
        <v>43771</v>
      </c>
      <c r="AE8929">
        <v>0</v>
      </c>
      <c r="AG8929" t="s">
        <v>45556</v>
      </c>
      <c r="AH8929">
        <v>6</v>
      </c>
      <c r="AI8929">
        <v>1</v>
      </c>
      <c r="AJ8929">
        <v>0</v>
      </c>
      <c r="AK8929">
        <v>0</v>
      </c>
      <c r="AO8929">
        <v>0</v>
      </c>
      <c r="AU8929">
        <v>3.2</v>
      </c>
      <c r="AV8929" t="s">
        <v>670</v>
      </c>
      <c r="AW8929" t="s">
        <v>317</v>
      </c>
    </row>
    <row r="8930" spans="1:49">
      <c r="A8930" s="1">
        <f>HYPERLINK("https://lsnyc.legalserver.org/matter/dynamic-profile/view/1874281","18-1874281")</f>
        <v>0</v>
      </c>
      <c r="B8930" t="s">
        <v>202</v>
      </c>
      <c r="C8930" t="s">
        <v>341</v>
      </c>
      <c r="D8930" t="s">
        <v>500</v>
      </c>
      <c r="E8930" t="s">
        <v>690</v>
      </c>
      <c r="F8930" t="s">
        <v>4415</v>
      </c>
      <c r="G8930" t="s">
        <v>8871</v>
      </c>
      <c r="H8930" t="s">
        <v>15714</v>
      </c>
      <c r="J8930" t="s">
        <v>18894</v>
      </c>
      <c r="K8930">
        <v>11206</v>
      </c>
      <c r="L8930" t="s">
        <v>18959</v>
      </c>
      <c r="M8930" t="s">
        <v>18960</v>
      </c>
      <c r="N8930" t="s">
        <v>25336</v>
      </c>
      <c r="O8930" t="s">
        <v>26524</v>
      </c>
      <c r="P8930" t="s">
        <v>26560</v>
      </c>
      <c r="Q8930" t="s">
        <v>26573</v>
      </c>
      <c r="R8930" t="s">
        <v>26586</v>
      </c>
      <c r="S8930" t="s">
        <v>18959</v>
      </c>
      <c r="U8930" t="s">
        <v>26604</v>
      </c>
      <c r="V8930" t="s">
        <v>26612</v>
      </c>
      <c r="X8930">
        <v>1750</v>
      </c>
      <c r="Y8930" t="s">
        <v>26652</v>
      </c>
      <c r="Z8930" t="s">
        <v>26662</v>
      </c>
      <c r="AA8930" t="s">
        <v>26679</v>
      </c>
      <c r="AB8930" t="s">
        <v>33126</v>
      </c>
      <c r="AC8930" t="s">
        <v>36595</v>
      </c>
      <c r="AE8930">
        <v>5</v>
      </c>
      <c r="AH8930">
        <v>0</v>
      </c>
      <c r="AI8930">
        <v>4</v>
      </c>
      <c r="AJ8930">
        <v>6</v>
      </c>
      <c r="AK8930">
        <v>78.98999999999999</v>
      </c>
      <c r="AN8930" t="s">
        <v>7439</v>
      </c>
      <c r="AO8930">
        <v>40300</v>
      </c>
      <c r="AQ8930" t="s">
        <v>46359</v>
      </c>
      <c r="AR8930" t="s">
        <v>26530</v>
      </c>
      <c r="AS8930" t="s">
        <v>46500</v>
      </c>
      <c r="AT8930" t="s">
        <v>46575</v>
      </c>
      <c r="AU8930">
        <v>8.15</v>
      </c>
      <c r="AV8930" t="s">
        <v>690</v>
      </c>
      <c r="AW8930" t="s">
        <v>281</v>
      </c>
    </row>
    <row r="8931" spans="1:49">
      <c r="A8931" s="1">
        <f>HYPERLINK("https://lsnyc.legalserver.org/matter/dynamic-profile/view/1874284","18-1874284")</f>
        <v>0</v>
      </c>
      <c r="B8931" t="s">
        <v>77</v>
      </c>
      <c r="C8931" t="s">
        <v>341</v>
      </c>
      <c r="D8931" t="s">
        <v>500</v>
      </c>
      <c r="E8931" t="s">
        <v>832</v>
      </c>
      <c r="F8931" t="s">
        <v>939</v>
      </c>
      <c r="G8931" t="s">
        <v>3283</v>
      </c>
      <c r="H8931" t="s">
        <v>15715</v>
      </c>
      <c r="J8931" t="s">
        <v>18893</v>
      </c>
      <c r="K8931">
        <v>10024</v>
      </c>
      <c r="L8931" t="s">
        <v>18960</v>
      </c>
      <c r="M8931" t="s">
        <v>18960</v>
      </c>
      <c r="P8931" t="s">
        <v>26565</v>
      </c>
      <c r="Q8931" t="s">
        <v>26571</v>
      </c>
      <c r="R8931" t="s">
        <v>26591</v>
      </c>
      <c r="U8931" t="s">
        <v>26604</v>
      </c>
      <c r="X8931">
        <v>0</v>
      </c>
      <c r="Y8931" t="s">
        <v>26651</v>
      </c>
      <c r="AA8931" t="s">
        <v>26685</v>
      </c>
      <c r="AB8931" t="s">
        <v>33127</v>
      </c>
      <c r="AD8931" t="s">
        <v>43772</v>
      </c>
      <c r="AE8931">
        <v>0</v>
      </c>
      <c r="AH8931">
        <v>0</v>
      </c>
      <c r="AI8931">
        <v>1</v>
      </c>
      <c r="AJ8931">
        <v>0</v>
      </c>
      <c r="AK8931">
        <v>166.06</v>
      </c>
      <c r="AO8931">
        <v>20160</v>
      </c>
      <c r="AU8931">
        <v>2.05</v>
      </c>
      <c r="AV8931" t="s">
        <v>832</v>
      </c>
      <c r="AW8931" t="s">
        <v>46892</v>
      </c>
    </row>
    <row r="8932" spans="1:49">
      <c r="A8932" s="1">
        <f>HYPERLINK("https://lsnyc.legalserver.org/matter/dynamic-profile/view/1874319","18-1874319")</f>
        <v>0</v>
      </c>
      <c r="B8932" t="s">
        <v>125</v>
      </c>
      <c r="C8932" t="s">
        <v>340</v>
      </c>
      <c r="D8932" t="s">
        <v>500</v>
      </c>
      <c r="F8932" t="s">
        <v>4416</v>
      </c>
      <c r="G8932" t="s">
        <v>5295</v>
      </c>
      <c r="H8932" t="s">
        <v>15716</v>
      </c>
      <c r="I8932" t="s">
        <v>17354</v>
      </c>
      <c r="J8932" t="s">
        <v>18894</v>
      </c>
      <c r="K8932">
        <v>11212</v>
      </c>
      <c r="L8932" t="s">
        <v>18959</v>
      </c>
      <c r="M8932" t="s">
        <v>18960</v>
      </c>
      <c r="N8932" t="s">
        <v>25337</v>
      </c>
      <c r="O8932" t="s">
        <v>26523</v>
      </c>
      <c r="P8932" t="s">
        <v>26560</v>
      </c>
      <c r="R8932" t="s">
        <v>26583</v>
      </c>
      <c r="S8932" t="s">
        <v>18959</v>
      </c>
      <c r="U8932" t="s">
        <v>26604</v>
      </c>
      <c r="X8932">
        <v>1484</v>
      </c>
      <c r="Y8932" t="s">
        <v>26652</v>
      </c>
      <c r="Z8932" t="s">
        <v>26656</v>
      </c>
      <c r="AB8932" t="s">
        <v>33128</v>
      </c>
      <c r="AD8932" t="s">
        <v>43773</v>
      </c>
      <c r="AE8932">
        <v>100</v>
      </c>
      <c r="AF8932" t="s">
        <v>45548</v>
      </c>
      <c r="AG8932" t="s">
        <v>19330</v>
      </c>
      <c r="AH8932">
        <v>4</v>
      </c>
      <c r="AI8932">
        <v>1</v>
      </c>
      <c r="AJ8932">
        <v>2</v>
      </c>
      <c r="AK8932">
        <v>337.82</v>
      </c>
      <c r="AN8932" t="s">
        <v>7439</v>
      </c>
      <c r="AO8932">
        <v>70200</v>
      </c>
      <c r="AU8932">
        <v>10.35</v>
      </c>
      <c r="AV8932" t="s">
        <v>710</v>
      </c>
      <c r="AW8932" t="s">
        <v>46841</v>
      </c>
    </row>
    <row r="8933" spans="1:49">
      <c r="A8933" s="1">
        <f>HYPERLINK("https://lsnyc.legalserver.org/matter/dynamic-profile/view/1874493","18-1874493")</f>
        <v>0</v>
      </c>
      <c r="B8933" t="s">
        <v>300</v>
      </c>
      <c r="C8933" t="s">
        <v>341</v>
      </c>
      <c r="D8933" t="s">
        <v>498</v>
      </c>
      <c r="E8933" t="s">
        <v>827</v>
      </c>
      <c r="F8933" t="s">
        <v>1081</v>
      </c>
      <c r="G8933" t="s">
        <v>5695</v>
      </c>
      <c r="H8933" t="s">
        <v>15717</v>
      </c>
      <c r="I8933" t="s">
        <v>17283</v>
      </c>
      <c r="J8933" t="s">
        <v>18893</v>
      </c>
      <c r="K8933">
        <v>10128</v>
      </c>
      <c r="L8933" t="s">
        <v>18960</v>
      </c>
      <c r="M8933" t="s">
        <v>18960</v>
      </c>
      <c r="O8933" t="s">
        <v>26524</v>
      </c>
      <c r="P8933" t="s">
        <v>26563</v>
      </c>
      <c r="Q8933" t="s">
        <v>26570</v>
      </c>
      <c r="R8933" t="s">
        <v>26592</v>
      </c>
      <c r="S8933" t="s">
        <v>18958</v>
      </c>
      <c r="U8933" t="s">
        <v>26604</v>
      </c>
      <c r="X8933">
        <v>594</v>
      </c>
      <c r="Y8933" t="s">
        <v>26651</v>
      </c>
      <c r="AA8933" t="s">
        <v>26683</v>
      </c>
      <c r="AB8933" t="s">
        <v>30703</v>
      </c>
      <c r="AD8933" t="s">
        <v>43774</v>
      </c>
      <c r="AE8933">
        <v>65</v>
      </c>
      <c r="AF8933" t="s">
        <v>20460</v>
      </c>
      <c r="AG8933" t="s">
        <v>19330</v>
      </c>
      <c r="AH8933">
        <v>8</v>
      </c>
      <c r="AI8933">
        <v>1</v>
      </c>
      <c r="AJ8933">
        <v>0</v>
      </c>
      <c r="AK8933">
        <v>114.66</v>
      </c>
      <c r="AN8933" t="s">
        <v>7439</v>
      </c>
      <c r="AO8933">
        <v>13920</v>
      </c>
      <c r="AU8933">
        <v>1</v>
      </c>
      <c r="AV8933" t="s">
        <v>422</v>
      </c>
      <c r="AW8933" t="s">
        <v>46829</v>
      </c>
    </row>
    <row r="8934" spans="1:49">
      <c r="A8934" s="1">
        <f>HYPERLINK("https://lsnyc.legalserver.org/matter/dynamic-profile/view/1874409","18-1874409")</f>
        <v>0</v>
      </c>
      <c r="B8934" t="s">
        <v>302</v>
      </c>
      <c r="C8934" t="s">
        <v>341</v>
      </c>
      <c r="D8934" t="s">
        <v>498</v>
      </c>
      <c r="E8934" t="s">
        <v>526</v>
      </c>
      <c r="F8934" t="s">
        <v>3894</v>
      </c>
      <c r="G8934" t="s">
        <v>6585</v>
      </c>
      <c r="H8934" t="s">
        <v>14629</v>
      </c>
      <c r="I8934" t="s">
        <v>18620</v>
      </c>
      <c r="J8934" t="s">
        <v>18892</v>
      </c>
      <c r="K8934">
        <v>10453</v>
      </c>
      <c r="L8934" t="s">
        <v>18960</v>
      </c>
      <c r="M8934" t="s">
        <v>18960</v>
      </c>
      <c r="P8934" t="s">
        <v>26564</v>
      </c>
      <c r="Q8934" t="s">
        <v>26570</v>
      </c>
      <c r="R8934" t="s">
        <v>26591</v>
      </c>
      <c r="U8934" t="s">
        <v>26604</v>
      </c>
      <c r="X8934">
        <v>864</v>
      </c>
      <c r="Y8934" t="s">
        <v>26650</v>
      </c>
      <c r="Z8934" t="s">
        <v>26665</v>
      </c>
      <c r="AA8934" t="s">
        <v>26683</v>
      </c>
      <c r="AB8934" t="s">
        <v>32124</v>
      </c>
      <c r="AD8934" t="s">
        <v>42462</v>
      </c>
      <c r="AE8934">
        <v>43</v>
      </c>
      <c r="AH8934">
        <v>25</v>
      </c>
      <c r="AI8934">
        <v>2</v>
      </c>
      <c r="AJ8934">
        <v>1</v>
      </c>
      <c r="AK8934">
        <v>63.52</v>
      </c>
      <c r="AN8934" t="s">
        <v>7439</v>
      </c>
      <c r="AO8934">
        <v>13200</v>
      </c>
      <c r="AP8934" t="s">
        <v>46109</v>
      </c>
      <c r="AU8934">
        <v>0.5</v>
      </c>
      <c r="AV8934" t="s">
        <v>498</v>
      </c>
      <c r="AW8934" t="s">
        <v>46850</v>
      </c>
    </row>
    <row r="8935" spans="1:49">
      <c r="A8935" s="1">
        <f>HYPERLINK("https://lsnyc.legalserver.org/matter/dynamic-profile/view/1874459","18-1874459")</f>
        <v>0</v>
      </c>
      <c r="B8935" t="s">
        <v>279</v>
      </c>
      <c r="C8935" t="s">
        <v>341</v>
      </c>
      <c r="D8935" t="s">
        <v>498</v>
      </c>
      <c r="E8935" t="s">
        <v>461</v>
      </c>
      <c r="F8935" t="s">
        <v>4417</v>
      </c>
      <c r="G8935" t="s">
        <v>8872</v>
      </c>
      <c r="H8935" t="s">
        <v>15718</v>
      </c>
      <c r="I8935">
        <v>1</v>
      </c>
      <c r="J8935" t="s">
        <v>18894</v>
      </c>
      <c r="K8935">
        <v>11207</v>
      </c>
      <c r="L8935" t="s">
        <v>18959</v>
      </c>
      <c r="M8935" t="s">
        <v>18959</v>
      </c>
      <c r="N8935" t="s">
        <v>25338</v>
      </c>
      <c r="O8935" t="s">
        <v>26523</v>
      </c>
      <c r="Q8935" t="s">
        <v>26570</v>
      </c>
      <c r="R8935" t="s">
        <v>26578</v>
      </c>
      <c r="U8935" t="s">
        <v>26604</v>
      </c>
      <c r="X8935">
        <v>1700</v>
      </c>
      <c r="Y8935" t="s">
        <v>26652</v>
      </c>
      <c r="Z8935" t="s">
        <v>26673</v>
      </c>
      <c r="AA8935" t="s">
        <v>26683</v>
      </c>
      <c r="AB8935" t="s">
        <v>33129</v>
      </c>
      <c r="AD8935" t="s">
        <v>43775</v>
      </c>
      <c r="AE8935">
        <v>3</v>
      </c>
      <c r="AH8935">
        <v>8</v>
      </c>
      <c r="AI8935">
        <v>1</v>
      </c>
      <c r="AJ8935">
        <v>0</v>
      </c>
      <c r="AK8935">
        <v>112.69</v>
      </c>
      <c r="AN8935" t="s">
        <v>7439</v>
      </c>
      <c r="AO8935">
        <v>13680</v>
      </c>
      <c r="AU8935">
        <v>1</v>
      </c>
      <c r="AV8935" t="s">
        <v>498</v>
      </c>
      <c r="AW8935" t="s">
        <v>46861</v>
      </c>
    </row>
    <row r="8936" spans="1:49">
      <c r="A8936" s="1">
        <f>HYPERLINK("https://lsnyc.legalserver.org/matter/dynamic-profile/view/1872195","18-1872195")</f>
        <v>0</v>
      </c>
      <c r="B8936" t="s">
        <v>306</v>
      </c>
      <c r="C8936" t="s">
        <v>341</v>
      </c>
      <c r="D8936" t="s">
        <v>498</v>
      </c>
      <c r="E8936" t="s">
        <v>510</v>
      </c>
      <c r="F8936" t="s">
        <v>3113</v>
      </c>
      <c r="G8936" t="s">
        <v>5761</v>
      </c>
      <c r="H8936" t="s">
        <v>15719</v>
      </c>
      <c r="I8936" t="s">
        <v>17307</v>
      </c>
      <c r="J8936" t="s">
        <v>18894</v>
      </c>
      <c r="K8936">
        <v>11226</v>
      </c>
      <c r="L8936" t="s">
        <v>18960</v>
      </c>
      <c r="M8936" t="s">
        <v>18960</v>
      </c>
      <c r="P8936" t="s">
        <v>26563</v>
      </c>
      <c r="Q8936" t="s">
        <v>26570</v>
      </c>
      <c r="R8936" t="s">
        <v>26594</v>
      </c>
      <c r="U8936" t="s">
        <v>26604</v>
      </c>
      <c r="X8936">
        <v>0</v>
      </c>
      <c r="Y8936" t="s">
        <v>26651</v>
      </c>
      <c r="AA8936" t="s">
        <v>26683</v>
      </c>
      <c r="AB8936" t="s">
        <v>29476</v>
      </c>
      <c r="AD8936" t="s">
        <v>43776</v>
      </c>
      <c r="AE8936">
        <v>0</v>
      </c>
      <c r="AH8936">
        <v>0</v>
      </c>
      <c r="AI8936">
        <v>1</v>
      </c>
      <c r="AJ8936">
        <v>0</v>
      </c>
      <c r="AK8936">
        <v>304.78</v>
      </c>
      <c r="AN8936" t="s">
        <v>7439</v>
      </c>
      <c r="AO8936">
        <v>37000</v>
      </c>
      <c r="AU8936">
        <v>0</v>
      </c>
      <c r="AW8936" t="s">
        <v>306</v>
      </c>
    </row>
    <row r="8937" spans="1:49">
      <c r="A8937" s="1">
        <f>HYPERLINK("https://lsnyc.legalserver.org/matter/dynamic-profile/view/1874448","18-1874448")</f>
        <v>0</v>
      </c>
      <c r="B8937" t="s">
        <v>74</v>
      </c>
      <c r="C8937" t="s">
        <v>340</v>
      </c>
      <c r="D8937" t="s">
        <v>498</v>
      </c>
      <c r="F8937" t="s">
        <v>1562</v>
      </c>
      <c r="G8937" t="s">
        <v>5447</v>
      </c>
      <c r="H8937" t="s">
        <v>15720</v>
      </c>
      <c r="I8937" t="s">
        <v>17388</v>
      </c>
      <c r="J8937" t="s">
        <v>18893</v>
      </c>
      <c r="K8937">
        <v>10034</v>
      </c>
      <c r="L8937" t="s">
        <v>18960</v>
      </c>
      <c r="M8937" t="s">
        <v>18960</v>
      </c>
      <c r="O8937" t="s">
        <v>18997</v>
      </c>
      <c r="P8937" t="s">
        <v>26561</v>
      </c>
      <c r="R8937" t="s">
        <v>26591</v>
      </c>
      <c r="S8937" t="s">
        <v>18959</v>
      </c>
      <c r="U8937" t="s">
        <v>26604</v>
      </c>
      <c r="X8937">
        <v>1634</v>
      </c>
      <c r="Y8937" t="s">
        <v>26651</v>
      </c>
      <c r="AB8937" t="s">
        <v>33130</v>
      </c>
      <c r="AD8937" t="s">
        <v>43777</v>
      </c>
      <c r="AE8937">
        <v>20</v>
      </c>
      <c r="AF8937" t="s">
        <v>20460</v>
      </c>
      <c r="AG8937" t="s">
        <v>19330</v>
      </c>
      <c r="AH8937">
        <v>5</v>
      </c>
      <c r="AI8937">
        <v>1</v>
      </c>
      <c r="AJ8937">
        <v>0</v>
      </c>
      <c r="AK8937">
        <v>164.74</v>
      </c>
      <c r="AN8937" t="s">
        <v>7439</v>
      </c>
      <c r="AO8937">
        <v>20000</v>
      </c>
      <c r="AU8937">
        <v>7.45</v>
      </c>
      <c r="AV8937" t="s">
        <v>836</v>
      </c>
      <c r="AW8937" t="s">
        <v>46829</v>
      </c>
    </row>
    <row r="8938" spans="1:49">
      <c r="A8938" s="1">
        <f>HYPERLINK("https://lsnyc.legalserver.org/matter/dynamic-profile/view/1874458","18-1874458")</f>
        <v>0</v>
      </c>
      <c r="B8938" t="s">
        <v>199</v>
      </c>
      <c r="C8938" t="s">
        <v>340</v>
      </c>
      <c r="D8938" t="s">
        <v>498</v>
      </c>
      <c r="F8938" t="s">
        <v>2468</v>
      </c>
      <c r="G8938" t="s">
        <v>5300</v>
      </c>
      <c r="H8938" t="s">
        <v>14955</v>
      </c>
      <c r="I8938" t="s">
        <v>17847</v>
      </c>
      <c r="J8938" t="s">
        <v>18894</v>
      </c>
      <c r="K8938">
        <v>11226</v>
      </c>
      <c r="L8938" t="s">
        <v>18960</v>
      </c>
      <c r="M8938" t="s">
        <v>18960</v>
      </c>
      <c r="O8938" t="s">
        <v>26534</v>
      </c>
      <c r="P8938" t="s">
        <v>26561</v>
      </c>
      <c r="R8938" t="s">
        <v>26578</v>
      </c>
      <c r="S8938" t="s">
        <v>18959</v>
      </c>
      <c r="U8938" t="s">
        <v>26604</v>
      </c>
      <c r="X8938">
        <v>859.1900000000001</v>
      </c>
      <c r="Y8938" t="s">
        <v>26652</v>
      </c>
      <c r="Z8938" t="s">
        <v>26667</v>
      </c>
      <c r="AB8938" t="s">
        <v>33131</v>
      </c>
      <c r="AD8938" t="s">
        <v>43778</v>
      </c>
      <c r="AE8938">
        <v>0</v>
      </c>
      <c r="AF8938" t="s">
        <v>45541</v>
      </c>
      <c r="AG8938" t="s">
        <v>19330</v>
      </c>
      <c r="AH8938">
        <v>10</v>
      </c>
      <c r="AI8938">
        <v>2</v>
      </c>
      <c r="AJ8938">
        <v>2</v>
      </c>
      <c r="AK8938">
        <v>111.55</v>
      </c>
      <c r="AN8938" t="s">
        <v>7439</v>
      </c>
      <c r="AO8938">
        <v>28000</v>
      </c>
      <c r="AU8938">
        <v>0.6</v>
      </c>
      <c r="AV8938" t="s">
        <v>498</v>
      </c>
      <c r="AW8938" t="s">
        <v>237</v>
      </c>
    </row>
    <row r="8939" spans="1:49">
      <c r="A8939" s="1">
        <f>HYPERLINK("https://lsnyc.legalserver.org/matter/dynamic-profile/view/1874636","18-1874636")</f>
        <v>0</v>
      </c>
      <c r="B8939" t="s">
        <v>146</v>
      </c>
      <c r="C8939" t="s">
        <v>341</v>
      </c>
      <c r="D8939" t="s">
        <v>461</v>
      </c>
      <c r="E8939" t="s">
        <v>477</v>
      </c>
      <c r="F8939" t="s">
        <v>4418</v>
      </c>
      <c r="G8939" t="s">
        <v>6687</v>
      </c>
      <c r="H8939" t="s">
        <v>15721</v>
      </c>
      <c r="I8939" t="s">
        <v>17390</v>
      </c>
      <c r="J8939" t="s">
        <v>18893</v>
      </c>
      <c r="K8939">
        <v>10040</v>
      </c>
      <c r="L8939" t="s">
        <v>18958</v>
      </c>
      <c r="M8939" t="s">
        <v>18960</v>
      </c>
      <c r="P8939" t="s">
        <v>26563</v>
      </c>
      <c r="Q8939" t="s">
        <v>26570</v>
      </c>
      <c r="R8939" t="s">
        <v>26578</v>
      </c>
      <c r="S8939" t="s">
        <v>18959</v>
      </c>
      <c r="U8939" t="s">
        <v>26604</v>
      </c>
      <c r="X8939">
        <v>1103.6</v>
      </c>
      <c r="Y8939" t="s">
        <v>26651</v>
      </c>
      <c r="Z8939" t="s">
        <v>26667</v>
      </c>
      <c r="AA8939" t="s">
        <v>26683</v>
      </c>
      <c r="AE8939">
        <v>0</v>
      </c>
      <c r="AF8939" t="s">
        <v>45541</v>
      </c>
      <c r="AG8939" t="s">
        <v>19330</v>
      </c>
      <c r="AH8939">
        <v>30</v>
      </c>
      <c r="AI8939">
        <v>1</v>
      </c>
      <c r="AJ8939">
        <v>0</v>
      </c>
      <c r="AK8939">
        <v>82.73</v>
      </c>
      <c r="AN8939" t="s">
        <v>45581</v>
      </c>
      <c r="AO8939">
        <v>10044</v>
      </c>
      <c r="AU8939">
        <v>1</v>
      </c>
      <c r="AV8939" t="s">
        <v>510</v>
      </c>
      <c r="AW8939" t="s">
        <v>46840</v>
      </c>
    </row>
    <row r="8940" spans="1:49">
      <c r="A8940" s="1">
        <f>HYPERLINK("https://lsnyc.legalserver.org/matter/dynamic-profile/view/1874617","18-1874617")</f>
        <v>0</v>
      </c>
      <c r="B8940" t="s">
        <v>209</v>
      </c>
      <c r="C8940" t="s">
        <v>341</v>
      </c>
      <c r="D8940" t="s">
        <v>461</v>
      </c>
      <c r="E8940" t="s">
        <v>528</v>
      </c>
      <c r="F8940" t="s">
        <v>3273</v>
      </c>
      <c r="G8940" t="s">
        <v>8873</v>
      </c>
      <c r="H8940" t="s">
        <v>15722</v>
      </c>
      <c r="I8940" t="s">
        <v>17331</v>
      </c>
      <c r="J8940" t="s">
        <v>18900</v>
      </c>
      <c r="K8940">
        <v>11354</v>
      </c>
      <c r="L8940" t="s">
        <v>18960</v>
      </c>
      <c r="M8940" t="s">
        <v>18960</v>
      </c>
      <c r="P8940" t="s">
        <v>26564</v>
      </c>
      <c r="Q8940" t="s">
        <v>26570</v>
      </c>
      <c r="R8940" t="s">
        <v>26591</v>
      </c>
      <c r="U8940" t="s">
        <v>26604</v>
      </c>
      <c r="X8940">
        <v>800</v>
      </c>
      <c r="Y8940" t="s">
        <v>26653</v>
      </c>
      <c r="Z8940" t="s">
        <v>26673</v>
      </c>
      <c r="AA8940" t="s">
        <v>26683</v>
      </c>
      <c r="AB8940" t="s">
        <v>33132</v>
      </c>
      <c r="AD8940" t="s">
        <v>43779</v>
      </c>
      <c r="AE8940">
        <v>12</v>
      </c>
      <c r="AF8940" t="s">
        <v>45541</v>
      </c>
      <c r="AH8940">
        <v>0</v>
      </c>
      <c r="AI8940">
        <v>2</v>
      </c>
      <c r="AJ8940">
        <v>0</v>
      </c>
      <c r="AK8940">
        <v>149.23</v>
      </c>
      <c r="AN8940" t="s">
        <v>7439</v>
      </c>
      <c r="AO8940">
        <v>24564</v>
      </c>
      <c r="AU8940">
        <v>2</v>
      </c>
      <c r="AV8940" t="s">
        <v>528</v>
      </c>
      <c r="AW8940" t="s">
        <v>46843</v>
      </c>
    </row>
    <row r="8941" spans="1:49">
      <c r="A8941" s="1">
        <f>HYPERLINK("https://lsnyc.legalserver.org/matter/dynamic-profile/view/1874555","18-1874555")</f>
        <v>0</v>
      </c>
      <c r="B8941" t="s">
        <v>93</v>
      </c>
      <c r="C8941" t="s">
        <v>341</v>
      </c>
      <c r="D8941" t="s">
        <v>461</v>
      </c>
      <c r="E8941" t="s">
        <v>684</v>
      </c>
      <c r="F8941" t="s">
        <v>4419</v>
      </c>
      <c r="G8941" t="s">
        <v>1402</v>
      </c>
      <c r="H8941" t="s">
        <v>12756</v>
      </c>
      <c r="I8941" t="s">
        <v>18621</v>
      </c>
      <c r="J8941" t="s">
        <v>18898</v>
      </c>
      <c r="K8941">
        <v>11691</v>
      </c>
      <c r="L8941" t="s">
        <v>18959</v>
      </c>
      <c r="M8941" t="s">
        <v>18959</v>
      </c>
      <c r="N8941" t="s">
        <v>25339</v>
      </c>
      <c r="O8941" t="s">
        <v>26523</v>
      </c>
      <c r="P8941" t="s">
        <v>26560</v>
      </c>
      <c r="Q8941" t="s">
        <v>26568</v>
      </c>
      <c r="R8941" t="s">
        <v>26578</v>
      </c>
      <c r="S8941" t="s">
        <v>18959</v>
      </c>
      <c r="U8941" t="s">
        <v>26604</v>
      </c>
      <c r="V8941" t="s">
        <v>26610</v>
      </c>
      <c r="X8941">
        <v>498</v>
      </c>
      <c r="Y8941" t="s">
        <v>26653</v>
      </c>
      <c r="Z8941" t="s">
        <v>26664</v>
      </c>
      <c r="AA8941" t="s">
        <v>26678</v>
      </c>
      <c r="AB8941" t="s">
        <v>32306</v>
      </c>
      <c r="AD8941" t="s">
        <v>43780</v>
      </c>
      <c r="AE8941">
        <v>150</v>
      </c>
      <c r="AF8941" t="s">
        <v>45543</v>
      </c>
      <c r="AG8941" t="s">
        <v>45556</v>
      </c>
      <c r="AH8941">
        <v>23</v>
      </c>
      <c r="AI8941">
        <v>3</v>
      </c>
      <c r="AJ8941">
        <v>0</v>
      </c>
      <c r="AK8941">
        <v>97.8</v>
      </c>
      <c r="AN8941" t="s">
        <v>7439</v>
      </c>
      <c r="AO8941">
        <v>20322</v>
      </c>
      <c r="AU8941">
        <v>10.1</v>
      </c>
      <c r="AV8941" t="s">
        <v>641</v>
      </c>
      <c r="AW8941" t="s">
        <v>208</v>
      </c>
    </row>
    <row r="8942" spans="1:49">
      <c r="A8942" s="1">
        <f>HYPERLINK("https://lsnyc.legalserver.org/matter/dynamic-profile/view/1874526","18-1874526")</f>
        <v>0</v>
      </c>
      <c r="B8942" t="s">
        <v>107</v>
      </c>
      <c r="C8942" t="s">
        <v>340</v>
      </c>
      <c r="D8942" t="s">
        <v>461</v>
      </c>
      <c r="F8942" t="s">
        <v>1980</v>
      </c>
      <c r="G8942" t="s">
        <v>8874</v>
      </c>
      <c r="H8942" t="s">
        <v>14457</v>
      </c>
      <c r="I8942" t="s">
        <v>17278</v>
      </c>
      <c r="J8942" t="s">
        <v>18901</v>
      </c>
      <c r="K8942">
        <v>11432</v>
      </c>
      <c r="L8942" t="s">
        <v>18958</v>
      </c>
      <c r="M8942" t="s">
        <v>18960</v>
      </c>
      <c r="N8942" t="s">
        <v>25340</v>
      </c>
      <c r="O8942" t="s">
        <v>26528</v>
      </c>
      <c r="P8942" t="s">
        <v>26560</v>
      </c>
      <c r="R8942" t="s">
        <v>26584</v>
      </c>
      <c r="S8942" t="s">
        <v>18959</v>
      </c>
      <c r="U8942" t="s">
        <v>26604</v>
      </c>
      <c r="X8942">
        <v>1300</v>
      </c>
      <c r="Y8942" t="s">
        <v>26653</v>
      </c>
      <c r="Z8942" t="s">
        <v>26659</v>
      </c>
      <c r="AB8942" t="s">
        <v>29069</v>
      </c>
      <c r="AD8942" t="s">
        <v>43781</v>
      </c>
      <c r="AE8942">
        <v>190</v>
      </c>
      <c r="AF8942" t="s">
        <v>45541</v>
      </c>
      <c r="AG8942" t="s">
        <v>19330</v>
      </c>
      <c r="AH8942">
        <v>4</v>
      </c>
      <c r="AI8942">
        <v>2</v>
      </c>
      <c r="AJ8942">
        <v>0</v>
      </c>
      <c r="AK8942">
        <v>109.36</v>
      </c>
      <c r="AN8942" t="s">
        <v>45592</v>
      </c>
      <c r="AO8942">
        <v>18000</v>
      </c>
      <c r="AU8942">
        <v>91.2</v>
      </c>
      <c r="AV8942" t="s">
        <v>828</v>
      </c>
      <c r="AW8942" t="s">
        <v>208</v>
      </c>
    </row>
    <row r="8943" spans="1:49">
      <c r="A8943" s="1">
        <f>HYPERLINK("https://lsnyc.legalserver.org/matter/dynamic-profile/view/1874537","18-1874537")</f>
        <v>0</v>
      </c>
      <c r="B8943" t="s">
        <v>85</v>
      </c>
      <c r="C8943" t="s">
        <v>340</v>
      </c>
      <c r="D8943" t="s">
        <v>461</v>
      </c>
      <c r="F8943" t="s">
        <v>3248</v>
      </c>
      <c r="G8943" t="s">
        <v>8875</v>
      </c>
      <c r="H8943" t="s">
        <v>15723</v>
      </c>
      <c r="I8943" t="s">
        <v>17282</v>
      </c>
      <c r="J8943" t="s">
        <v>18901</v>
      </c>
      <c r="K8943">
        <v>11434</v>
      </c>
      <c r="L8943" t="s">
        <v>18960</v>
      </c>
      <c r="M8943" t="s">
        <v>18960</v>
      </c>
      <c r="R8943" t="s">
        <v>26584</v>
      </c>
      <c r="U8943" t="s">
        <v>26604</v>
      </c>
      <c r="X8943">
        <v>0</v>
      </c>
      <c r="Y8943" t="s">
        <v>26653</v>
      </c>
      <c r="AB8943" t="s">
        <v>33133</v>
      </c>
      <c r="AD8943" t="s">
        <v>43782</v>
      </c>
      <c r="AE8943">
        <v>0</v>
      </c>
      <c r="AH8943">
        <v>0</v>
      </c>
      <c r="AI8943">
        <v>3</v>
      </c>
      <c r="AJ8943">
        <v>0</v>
      </c>
      <c r="AK8943">
        <v>451.4</v>
      </c>
      <c r="AN8943" t="s">
        <v>7439</v>
      </c>
      <c r="AO8943">
        <v>93800</v>
      </c>
      <c r="AU8943">
        <v>0</v>
      </c>
      <c r="AW8943" t="s">
        <v>85</v>
      </c>
    </row>
    <row r="8944" spans="1:49">
      <c r="A8944" s="1">
        <f>HYPERLINK("https://lsnyc.legalserver.org/matter/dynamic-profile/view/1874640","18-1874640")</f>
        <v>0</v>
      </c>
      <c r="B8944" t="s">
        <v>151</v>
      </c>
      <c r="C8944" t="s">
        <v>340</v>
      </c>
      <c r="D8944" t="s">
        <v>461</v>
      </c>
      <c r="F8944" t="s">
        <v>2106</v>
      </c>
      <c r="G8944" t="s">
        <v>5677</v>
      </c>
      <c r="H8944" t="s">
        <v>11381</v>
      </c>
      <c r="I8944" t="s">
        <v>17366</v>
      </c>
      <c r="J8944" t="s">
        <v>18893</v>
      </c>
      <c r="K8944">
        <v>10027</v>
      </c>
      <c r="L8944" t="s">
        <v>18960</v>
      </c>
      <c r="M8944" t="s">
        <v>18960</v>
      </c>
      <c r="N8944" t="s">
        <v>20567</v>
      </c>
      <c r="O8944" t="s">
        <v>26523</v>
      </c>
      <c r="P8944" t="s">
        <v>26560</v>
      </c>
      <c r="R8944" t="s">
        <v>26580</v>
      </c>
      <c r="S8944" t="s">
        <v>18959</v>
      </c>
      <c r="U8944" t="s">
        <v>26604</v>
      </c>
      <c r="V8944" t="s">
        <v>26610</v>
      </c>
      <c r="X8944">
        <v>934.53</v>
      </c>
      <c r="Y8944" t="s">
        <v>26651</v>
      </c>
      <c r="AB8944" t="s">
        <v>27876</v>
      </c>
      <c r="AD8944" t="s">
        <v>38634</v>
      </c>
      <c r="AE8944">
        <v>0</v>
      </c>
      <c r="AH8944">
        <v>29</v>
      </c>
      <c r="AI8944">
        <v>1</v>
      </c>
      <c r="AJ8944">
        <v>0</v>
      </c>
      <c r="AK8944">
        <v>128.5</v>
      </c>
      <c r="AN8944" t="s">
        <v>7439</v>
      </c>
      <c r="AO8944">
        <v>15600</v>
      </c>
      <c r="AU8944">
        <v>20.1</v>
      </c>
      <c r="AV8944" t="s">
        <v>672</v>
      </c>
      <c r="AW8944" t="s">
        <v>46838</v>
      </c>
    </row>
    <row r="8945" spans="1:49">
      <c r="A8945" s="1">
        <f>HYPERLINK("https://lsnyc.legalserver.org/matter/dynamic-profile/view/1874648","18-1874648")</f>
        <v>0</v>
      </c>
      <c r="B8945" t="s">
        <v>151</v>
      </c>
      <c r="C8945" t="s">
        <v>340</v>
      </c>
      <c r="D8945" t="s">
        <v>461</v>
      </c>
      <c r="F8945" t="s">
        <v>4420</v>
      </c>
      <c r="G8945" t="s">
        <v>8876</v>
      </c>
      <c r="H8945" t="s">
        <v>11384</v>
      </c>
      <c r="I8945">
        <v>523</v>
      </c>
      <c r="J8945" t="s">
        <v>18893</v>
      </c>
      <c r="K8945">
        <v>10036</v>
      </c>
      <c r="L8945" t="s">
        <v>18960</v>
      </c>
      <c r="M8945" t="s">
        <v>18960</v>
      </c>
      <c r="N8945" t="s">
        <v>25341</v>
      </c>
      <c r="O8945" t="s">
        <v>26524</v>
      </c>
      <c r="P8945" t="s">
        <v>26560</v>
      </c>
      <c r="R8945" t="s">
        <v>26594</v>
      </c>
      <c r="U8945" t="s">
        <v>26604</v>
      </c>
      <c r="V8945" t="s">
        <v>26610</v>
      </c>
      <c r="X8945">
        <v>253.28</v>
      </c>
      <c r="Y8945" t="s">
        <v>26651</v>
      </c>
      <c r="Z8945" t="s">
        <v>26664</v>
      </c>
      <c r="AB8945" t="s">
        <v>33134</v>
      </c>
      <c r="AD8945" t="s">
        <v>43783</v>
      </c>
      <c r="AE8945">
        <v>0</v>
      </c>
      <c r="AH8945">
        <v>20</v>
      </c>
      <c r="AI8945">
        <v>1</v>
      </c>
      <c r="AJ8945">
        <v>0</v>
      </c>
      <c r="AK8945">
        <v>79.08</v>
      </c>
      <c r="AN8945" t="s">
        <v>7439</v>
      </c>
      <c r="AO8945">
        <v>9600</v>
      </c>
      <c r="AU8945">
        <v>31.53</v>
      </c>
      <c r="AV8945" t="s">
        <v>833</v>
      </c>
      <c r="AW8945" t="s">
        <v>46838</v>
      </c>
    </row>
    <row r="8946" spans="1:49">
      <c r="A8946" s="1">
        <f>HYPERLINK("https://lsnyc.legalserver.org/matter/dynamic-profile/view/1874595","18-1874595")</f>
        <v>0</v>
      </c>
      <c r="B8946" t="s">
        <v>142</v>
      </c>
      <c r="C8946" t="s">
        <v>340</v>
      </c>
      <c r="D8946" t="s">
        <v>461</v>
      </c>
      <c r="F8946" t="s">
        <v>1368</v>
      </c>
      <c r="G8946" t="s">
        <v>7315</v>
      </c>
      <c r="H8946" t="s">
        <v>15724</v>
      </c>
      <c r="I8946" t="s">
        <v>17387</v>
      </c>
      <c r="J8946" t="s">
        <v>18896</v>
      </c>
      <c r="K8946">
        <v>11419</v>
      </c>
      <c r="L8946" t="s">
        <v>18958</v>
      </c>
      <c r="M8946" t="s">
        <v>18960</v>
      </c>
      <c r="N8946" t="s">
        <v>25342</v>
      </c>
      <c r="O8946" t="s">
        <v>26524</v>
      </c>
      <c r="P8946" t="s">
        <v>26563</v>
      </c>
      <c r="R8946" t="s">
        <v>26584</v>
      </c>
      <c r="S8946" t="s">
        <v>18959</v>
      </c>
      <c r="U8946" t="s">
        <v>26604</v>
      </c>
      <c r="V8946" t="s">
        <v>26610</v>
      </c>
      <c r="X8946">
        <v>1975</v>
      </c>
      <c r="Y8946" t="s">
        <v>26653</v>
      </c>
      <c r="Z8946" t="s">
        <v>26664</v>
      </c>
      <c r="AB8946" t="s">
        <v>29509</v>
      </c>
      <c r="AD8946" t="s">
        <v>43784</v>
      </c>
      <c r="AE8946">
        <v>4</v>
      </c>
      <c r="AF8946" t="s">
        <v>20460</v>
      </c>
      <c r="AG8946" t="s">
        <v>19330</v>
      </c>
      <c r="AH8946">
        <v>2</v>
      </c>
      <c r="AI8946">
        <v>1</v>
      </c>
      <c r="AJ8946">
        <v>2</v>
      </c>
      <c r="AK8946">
        <v>40.04</v>
      </c>
      <c r="AN8946" t="s">
        <v>7439</v>
      </c>
      <c r="AO8946">
        <v>8320</v>
      </c>
      <c r="AU8946">
        <v>1.4</v>
      </c>
      <c r="AV8946" t="s">
        <v>530</v>
      </c>
      <c r="AW8946" t="s">
        <v>208</v>
      </c>
    </row>
    <row r="8947" spans="1:49">
      <c r="A8947" s="1">
        <f>HYPERLINK("https://lsnyc.legalserver.org/matter/dynamic-profile/view/1874658","18-1874658")</f>
        <v>0</v>
      </c>
      <c r="B8947" t="s">
        <v>122</v>
      </c>
      <c r="C8947" t="s">
        <v>340</v>
      </c>
      <c r="D8947" t="s">
        <v>461</v>
      </c>
      <c r="F8947" t="s">
        <v>1583</v>
      </c>
      <c r="G8947" t="s">
        <v>6281</v>
      </c>
      <c r="H8947" t="s">
        <v>15725</v>
      </c>
      <c r="J8947" t="s">
        <v>18934</v>
      </c>
      <c r="K8947">
        <v>11413</v>
      </c>
      <c r="L8947" t="s">
        <v>18960</v>
      </c>
      <c r="M8947" t="s">
        <v>18960</v>
      </c>
      <c r="P8947" t="s">
        <v>26564</v>
      </c>
      <c r="R8947" t="s">
        <v>26592</v>
      </c>
      <c r="U8947" t="s">
        <v>26604</v>
      </c>
      <c r="X8947">
        <v>0</v>
      </c>
      <c r="Y8947" t="s">
        <v>26653</v>
      </c>
      <c r="AB8947" t="s">
        <v>32786</v>
      </c>
      <c r="AD8947" t="s">
        <v>43785</v>
      </c>
      <c r="AE8947">
        <v>0</v>
      </c>
      <c r="AH8947">
        <v>0</v>
      </c>
      <c r="AI8947">
        <v>1</v>
      </c>
      <c r="AJ8947">
        <v>0</v>
      </c>
      <c r="AK8947">
        <v>0</v>
      </c>
      <c r="AN8947" t="s">
        <v>7439</v>
      </c>
      <c r="AO8947">
        <v>0</v>
      </c>
      <c r="AU8947">
        <v>0</v>
      </c>
      <c r="AW8947" t="s">
        <v>122</v>
      </c>
    </row>
    <row r="8948" spans="1:49">
      <c r="A8948" s="1">
        <f>HYPERLINK("https://lsnyc.legalserver.org/matter/dynamic-profile/view/1874536","18-1874536")</f>
        <v>0</v>
      </c>
      <c r="B8948" t="s">
        <v>112</v>
      </c>
      <c r="C8948" t="s">
        <v>340</v>
      </c>
      <c r="D8948" t="s">
        <v>461</v>
      </c>
      <c r="F8948" t="s">
        <v>2722</v>
      </c>
      <c r="G8948" t="s">
        <v>5169</v>
      </c>
      <c r="H8948" t="s">
        <v>15263</v>
      </c>
      <c r="I8948">
        <v>105</v>
      </c>
      <c r="J8948" t="s">
        <v>18900</v>
      </c>
      <c r="K8948">
        <v>11355</v>
      </c>
      <c r="L8948" t="s">
        <v>18958</v>
      </c>
      <c r="M8948" t="s">
        <v>18960</v>
      </c>
      <c r="N8948" t="s">
        <v>25343</v>
      </c>
      <c r="O8948" t="s">
        <v>26523</v>
      </c>
      <c r="P8948" t="s">
        <v>26560</v>
      </c>
      <c r="R8948" t="s">
        <v>26584</v>
      </c>
      <c r="S8948" t="s">
        <v>18959</v>
      </c>
      <c r="U8948" t="s">
        <v>26604</v>
      </c>
      <c r="V8948" t="s">
        <v>26610</v>
      </c>
      <c r="X8948">
        <v>1130</v>
      </c>
      <c r="Y8948" t="s">
        <v>26653</v>
      </c>
      <c r="Z8948" t="s">
        <v>26664</v>
      </c>
      <c r="AB8948" t="s">
        <v>32735</v>
      </c>
      <c r="AD8948" t="s">
        <v>43256</v>
      </c>
      <c r="AE8948">
        <v>20</v>
      </c>
      <c r="AG8948" t="s">
        <v>45559</v>
      </c>
      <c r="AH8948">
        <v>35</v>
      </c>
      <c r="AI8948">
        <v>1</v>
      </c>
      <c r="AJ8948">
        <v>0</v>
      </c>
      <c r="AK8948">
        <v>79.67</v>
      </c>
      <c r="AM8948" t="s">
        <v>45576</v>
      </c>
      <c r="AN8948" t="s">
        <v>7439</v>
      </c>
      <c r="AO8948">
        <v>9672</v>
      </c>
      <c r="AU8948">
        <v>63.95</v>
      </c>
      <c r="AV8948" t="s">
        <v>804</v>
      </c>
      <c r="AW8948" t="s">
        <v>208</v>
      </c>
    </row>
    <row r="8949" spans="1:49">
      <c r="A8949" s="1">
        <f>HYPERLINK("https://lsnyc.legalserver.org/matter/dynamic-profile/view/1874631","18-1874631")</f>
        <v>0</v>
      </c>
      <c r="B8949" t="s">
        <v>62</v>
      </c>
      <c r="C8949" t="s">
        <v>340</v>
      </c>
      <c r="D8949" t="s">
        <v>461</v>
      </c>
      <c r="F8949" t="s">
        <v>947</v>
      </c>
      <c r="G8949" t="s">
        <v>8877</v>
      </c>
      <c r="H8949" t="s">
        <v>15726</v>
      </c>
      <c r="I8949" t="s">
        <v>17353</v>
      </c>
      <c r="J8949" t="s">
        <v>18893</v>
      </c>
      <c r="K8949">
        <v>10032</v>
      </c>
      <c r="L8949" t="s">
        <v>18960</v>
      </c>
      <c r="M8949" t="s">
        <v>18960</v>
      </c>
      <c r="N8949" t="s">
        <v>25344</v>
      </c>
      <c r="O8949" t="s">
        <v>26523</v>
      </c>
      <c r="R8949" t="s">
        <v>26582</v>
      </c>
      <c r="S8949" t="s">
        <v>18959</v>
      </c>
      <c r="U8949" t="s">
        <v>26604</v>
      </c>
      <c r="X8949">
        <v>1116.99</v>
      </c>
      <c r="Y8949" t="s">
        <v>26651</v>
      </c>
      <c r="Z8949" t="s">
        <v>26664</v>
      </c>
      <c r="AB8949" t="s">
        <v>33135</v>
      </c>
      <c r="AD8949" t="s">
        <v>43786</v>
      </c>
      <c r="AE8949">
        <v>100</v>
      </c>
      <c r="AH8949">
        <v>24</v>
      </c>
      <c r="AI8949">
        <v>1</v>
      </c>
      <c r="AJ8949">
        <v>0</v>
      </c>
      <c r="AK8949">
        <v>79.5</v>
      </c>
      <c r="AN8949" t="s">
        <v>7439</v>
      </c>
      <c r="AO8949">
        <v>9651</v>
      </c>
      <c r="AU8949">
        <v>0</v>
      </c>
      <c r="AW8949" t="s">
        <v>46838</v>
      </c>
    </row>
    <row r="8950" spans="1:49">
      <c r="A8950" s="1">
        <f>HYPERLINK("https://lsnyc.legalserver.org/matter/dynamic-profile/view/1874527","18-1874527")</f>
        <v>0</v>
      </c>
      <c r="B8950" t="s">
        <v>62</v>
      </c>
      <c r="C8950" t="s">
        <v>340</v>
      </c>
      <c r="D8950" t="s">
        <v>461</v>
      </c>
      <c r="F8950" t="s">
        <v>1670</v>
      </c>
      <c r="G8950" t="s">
        <v>5187</v>
      </c>
      <c r="H8950" t="s">
        <v>15727</v>
      </c>
      <c r="I8950" t="s">
        <v>17272</v>
      </c>
      <c r="J8950" t="s">
        <v>18893</v>
      </c>
      <c r="K8950">
        <v>10027</v>
      </c>
      <c r="L8950" t="s">
        <v>18958</v>
      </c>
      <c r="M8950" t="s">
        <v>18960</v>
      </c>
      <c r="N8950" t="s">
        <v>25345</v>
      </c>
      <c r="O8950" t="s">
        <v>26523</v>
      </c>
      <c r="P8950" t="s">
        <v>26560</v>
      </c>
      <c r="R8950" t="s">
        <v>26580</v>
      </c>
      <c r="S8950" t="s">
        <v>18959</v>
      </c>
      <c r="U8950" t="s">
        <v>26604</v>
      </c>
      <c r="X8950">
        <v>363.05</v>
      </c>
      <c r="Y8950" t="s">
        <v>26651</v>
      </c>
      <c r="Z8950" t="s">
        <v>26664</v>
      </c>
      <c r="AB8950" t="s">
        <v>33136</v>
      </c>
      <c r="AD8950" t="s">
        <v>43787</v>
      </c>
      <c r="AE8950">
        <v>0</v>
      </c>
      <c r="AF8950" t="s">
        <v>45541</v>
      </c>
      <c r="AG8950" t="s">
        <v>45559</v>
      </c>
      <c r="AH8950">
        <v>26</v>
      </c>
      <c r="AI8950">
        <v>2</v>
      </c>
      <c r="AJ8950">
        <v>0</v>
      </c>
      <c r="AK8950">
        <v>53.58</v>
      </c>
      <c r="AN8950" t="s">
        <v>45581</v>
      </c>
      <c r="AO8950">
        <v>8820</v>
      </c>
      <c r="AU8950">
        <v>2.6</v>
      </c>
      <c r="AV8950" t="s">
        <v>795</v>
      </c>
      <c r="AW8950" t="s">
        <v>314</v>
      </c>
    </row>
    <row r="8951" spans="1:49">
      <c r="A8951" s="1">
        <f>HYPERLINK("https://lsnyc.legalserver.org/matter/dynamic-profile/view/1874561","18-1874561")</f>
        <v>0</v>
      </c>
      <c r="B8951" t="s">
        <v>62</v>
      </c>
      <c r="C8951" t="s">
        <v>340</v>
      </c>
      <c r="D8951" t="s">
        <v>461</v>
      </c>
      <c r="F8951" t="s">
        <v>996</v>
      </c>
      <c r="G8951" t="s">
        <v>8878</v>
      </c>
      <c r="H8951" t="s">
        <v>15728</v>
      </c>
      <c r="I8951" t="s">
        <v>17306</v>
      </c>
      <c r="J8951" t="s">
        <v>18893</v>
      </c>
      <c r="K8951">
        <v>10027</v>
      </c>
      <c r="L8951" t="s">
        <v>18958</v>
      </c>
      <c r="M8951" t="s">
        <v>18960</v>
      </c>
      <c r="N8951" t="s">
        <v>25346</v>
      </c>
      <c r="O8951" t="s">
        <v>26523</v>
      </c>
      <c r="P8951" t="s">
        <v>26560</v>
      </c>
      <c r="R8951" t="s">
        <v>26580</v>
      </c>
      <c r="S8951" t="s">
        <v>18959</v>
      </c>
      <c r="U8951" t="s">
        <v>26604</v>
      </c>
      <c r="X8951">
        <v>1038</v>
      </c>
      <c r="Y8951" t="s">
        <v>26651</v>
      </c>
      <c r="Z8951" t="s">
        <v>26664</v>
      </c>
      <c r="AB8951" t="s">
        <v>33137</v>
      </c>
      <c r="AD8951" t="s">
        <v>43788</v>
      </c>
      <c r="AE8951">
        <v>74</v>
      </c>
      <c r="AF8951" t="s">
        <v>45548</v>
      </c>
      <c r="AG8951" t="s">
        <v>45559</v>
      </c>
      <c r="AH8951">
        <v>40</v>
      </c>
      <c r="AI8951">
        <v>1</v>
      </c>
      <c r="AJ8951">
        <v>0</v>
      </c>
      <c r="AK8951">
        <v>158.15</v>
      </c>
      <c r="AN8951" t="s">
        <v>7439</v>
      </c>
      <c r="AO8951">
        <v>19200</v>
      </c>
      <c r="AU8951">
        <v>0</v>
      </c>
      <c r="AW8951" t="s">
        <v>314</v>
      </c>
    </row>
    <row r="8952" spans="1:49">
      <c r="A8952" s="1">
        <f>HYPERLINK("https://lsnyc.legalserver.org/matter/dynamic-profile/view/1874644","18-1874644")</f>
        <v>0</v>
      </c>
      <c r="B8952" t="s">
        <v>62</v>
      </c>
      <c r="C8952" t="s">
        <v>340</v>
      </c>
      <c r="D8952" t="s">
        <v>461</v>
      </c>
      <c r="F8952" t="s">
        <v>4421</v>
      </c>
      <c r="G8952" t="s">
        <v>4612</v>
      </c>
      <c r="H8952" t="s">
        <v>15729</v>
      </c>
      <c r="I8952" t="s">
        <v>17743</v>
      </c>
      <c r="J8952" t="s">
        <v>18893</v>
      </c>
      <c r="K8952">
        <v>10027</v>
      </c>
      <c r="L8952" t="s">
        <v>18960</v>
      </c>
      <c r="M8952" t="s">
        <v>18960</v>
      </c>
      <c r="N8952">
        <v>16226</v>
      </c>
      <c r="O8952" t="s">
        <v>26523</v>
      </c>
      <c r="R8952" t="s">
        <v>26594</v>
      </c>
      <c r="U8952" t="s">
        <v>26605</v>
      </c>
      <c r="X8952">
        <v>360</v>
      </c>
      <c r="Y8952" t="s">
        <v>26651</v>
      </c>
      <c r="Z8952" t="s">
        <v>26659</v>
      </c>
      <c r="AB8952" t="s">
        <v>33138</v>
      </c>
      <c r="AD8952" t="s">
        <v>43789</v>
      </c>
      <c r="AE8952">
        <v>0</v>
      </c>
      <c r="AH8952">
        <v>15</v>
      </c>
      <c r="AI8952">
        <v>1</v>
      </c>
      <c r="AJ8952">
        <v>1</v>
      </c>
      <c r="AK8952">
        <v>65.61</v>
      </c>
      <c r="AN8952" t="s">
        <v>7439</v>
      </c>
      <c r="AO8952">
        <v>10800</v>
      </c>
      <c r="AU8952">
        <v>3</v>
      </c>
      <c r="AV8952" t="s">
        <v>528</v>
      </c>
      <c r="AW8952" t="s">
        <v>46838</v>
      </c>
    </row>
    <row r="8953" spans="1:49">
      <c r="A8953" s="1">
        <f>HYPERLINK("https://lsnyc.legalserver.org/matter/dynamic-profile/view/1874694","18-1874694")</f>
        <v>0</v>
      </c>
      <c r="B8953" t="s">
        <v>209</v>
      </c>
      <c r="C8953" t="s">
        <v>341</v>
      </c>
      <c r="D8953" t="s">
        <v>504</v>
      </c>
      <c r="E8953" t="s">
        <v>519</v>
      </c>
      <c r="F8953" t="s">
        <v>4422</v>
      </c>
      <c r="G8953" t="s">
        <v>5655</v>
      </c>
      <c r="H8953" t="s">
        <v>15730</v>
      </c>
      <c r="I8953">
        <v>2</v>
      </c>
      <c r="J8953" t="s">
        <v>18898</v>
      </c>
      <c r="K8953">
        <v>11691</v>
      </c>
      <c r="L8953" t="s">
        <v>18960</v>
      </c>
      <c r="M8953" t="s">
        <v>18960</v>
      </c>
      <c r="N8953" t="s">
        <v>19045</v>
      </c>
      <c r="O8953" t="s">
        <v>26529</v>
      </c>
      <c r="P8953" t="s">
        <v>26564</v>
      </c>
      <c r="Q8953" t="s">
        <v>26570</v>
      </c>
      <c r="R8953" t="s">
        <v>26583</v>
      </c>
      <c r="S8953" t="s">
        <v>18959</v>
      </c>
      <c r="U8953" t="s">
        <v>26604</v>
      </c>
      <c r="V8953" t="s">
        <v>26610</v>
      </c>
      <c r="X8953">
        <v>800</v>
      </c>
      <c r="Y8953" t="s">
        <v>26653</v>
      </c>
      <c r="Z8953" t="s">
        <v>26660</v>
      </c>
      <c r="AA8953" t="s">
        <v>26683</v>
      </c>
      <c r="AB8953" t="s">
        <v>33139</v>
      </c>
      <c r="AD8953" t="s">
        <v>43790</v>
      </c>
      <c r="AE8953">
        <v>3</v>
      </c>
      <c r="AF8953" t="s">
        <v>20460</v>
      </c>
      <c r="AG8953" t="s">
        <v>45562</v>
      </c>
      <c r="AH8953">
        <v>1</v>
      </c>
      <c r="AI8953">
        <v>1</v>
      </c>
      <c r="AJ8953">
        <v>0</v>
      </c>
      <c r="AK8953">
        <v>74.14</v>
      </c>
      <c r="AN8953" t="s">
        <v>7439</v>
      </c>
      <c r="AO8953">
        <v>9000</v>
      </c>
      <c r="AU8953">
        <v>1.6</v>
      </c>
      <c r="AV8953" t="s">
        <v>519</v>
      </c>
      <c r="AW8953" t="s">
        <v>46846</v>
      </c>
    </row>
    <row r="8954" spans="1:49">
      <c r="A8954" s="1">
        <f>HYPERLINK("https://lsnyc.legalserver.org/matter/dynamic-profile/view/1874741","18-1874741")</f>
        <v>0</v>
      </c>
      <c r="B8954" t="s">
        <v>80</v>
      </c>
      <c r="C8954" t="s">
        <v>341</v>
      </c>
      <c r="D8954" t="s">
        <v>504</v>
      </c>
      <c r="E8954" t="s">
        <v>703</v>
      </c>
      <c r="F8954" t="s">
        <v>4423</v>
      </c>
      <c r="G8954" t="s">
        <v>2749</v>
      </c>
      <c r="H8954" t="s">
        <v>15731</v>
      </c>
      <c r="I8954" t="s">
        <v>17579</v>
      </c>
      <c r="J8954" t="s">
        <v>18893</v>
      </c>
      <c r="K8954">
        <v>10026</v>
      </c>
      <c r="L8954" t="s">
        <v>18960</v>
      </c>
      <c r="M8954" t="s">
        <v>18960</v>
      </c>
      <c r="P8954" t="s">
        <v>26565</v>
      </c>
      <c r="Q8954" t="s">
        <v>26571</v>
      </c>
      <c r="R8954" t="s">
        <v>26592</v>
      </c>
      <c r="S8954" t="s">
        <v>18959</v>
      </c>
      <c r="U8954" t="s">
        <v>26605</v>
      </c>
      <c r="X8954">
        <v>1050</v>
      </c>
      <c r="Y8954" t="s">
        <v>26651</v>
      </c>
      <c r="Z8954" t="s">
        <v>26659</v>
      </c>
      <c r="AA8954" t="s">
        <v>26681</v>
      </c>
      <c r="AB8954" t="s">
        <v>31131</v>
      </c>
      <c r="AD8954" t="s">
        <v>43791</v>
      </c>
      <c r="AE8954">
        <v>0</v>
      </c>
      <c r="AF8954" t="s">
        <v>45549</v>
      </c>
      <c r="AG8954" t="s">
        <v>19330</v>
      </c>
      <c r="AH8954">
        <v>5</v>
      </c>
      <c r="AI8954">
        <v>4</v>
      </c>
      <c r="AJ8954">
        <v>0</v>
      </c>
      <c r="AK8954">
        <v>101.99</v>
      </c>
      <c r="AN8954" t="s">
        <v>45581</v>
      </c>
      <c r="AO8954">
        <v>25600</v>
      </c>
      <c r="AU8954">
        <v>0.1</v>
      </c>
      <c r="AV8954" t="s">
        <v>531</v>
      </c>
      <c r="AW8954" t="s">
        <v>314</v>
      </c>
    </row>
    <row r="8955" spans="1:49">
      <c r="A8955" s="1">
        <f>HYPERLINK("https://lsnyc.legalserver.org/matter/dynamic-profile/view/1875966","18-1875966")</f>
        <v>0</v>
      </c>
      <c r="B8955" t="s">
        <v>124</v>
      </c>
      <c r="C8955" t="s">
        <v>340</v>
      </c>
      <c r="D8955" t="s">
        <v>504</v>
      </c>
      <c r="F8955" t="s">
        <v>4424</v>
      </c>
      <c r="G8955" t="s">
        <v>5220</v>
      </c>
      <c r="H8955" t="s">
        <v>15732</v>
      </c>
      <c r="I8955" t="s">
        <v>18622</v>
      </c>
      <c r="J8955" t="s">
        <v>18894</v>
      </c>
      <c r="K8955">
        <v>11224</v>
      </c>
      <c r="L8955" t="s">
        <v>18960</v>
      </c>
      <c r="M8955" t="s">
        <v>18960</v>
      </c>
      <c r="R8955" t="s">
        <v>26586</v>
      </c>
      <c r="U8955" t="s">
        <v>26604</v>
      </c>
      <c r="X8955">
        <v>0</v>
      </c>
      <c r="Y8955" t="s">
        <v>26652</v>
      </c>
      <c r="AB8955" t="s">
        <v>27591</v>
      </c>
      <c r="AD8955" t="s">
        <v>43792</v>
      </c>
      <c r="AE8955">
        <v>0</v>
      </c>
      <c r="AH8955">
        <v>0</v>
      </c>
      <c r="AI8955">
        <v>1</v>
      </c>
      <c r="AJ8955">
        <v>0</v>
      </c>
      <c r="AK8955">
        <v>40.26</v>
      </c>
      <c r="AN8955" t="s">
        <v>7439</v>
      </c>
      <c r="AO8955">
        <v>4888</v>
      </c>
      <c r="AU8955">
        <v>11.55</v>
      </c>
      <c r="AV8955" t="s">
        <v>804</v>
      </c>
      <c r="AW8955" t="s">
        <v>46882</v>
      </c>
    </row>
    <row r="8956" spans="1:49">
      <c r="A8956" s="1">
        <f>HYPERLINK("https://lsnyc.legalserver.org/matter/dynamic-profile/view/1874680","18-1874680")</f>
        <v>0</v>
      </c>
      <c r="B8956" t="s">
        <v>200</v>
      </c>
      <c r="C8956" t="s">
        <v>340</v>
      </c>
      <c r="D8956" t="s">
        <v>504</v>
      </c>
      <c r="F8956" t="s">
        <v>4318</v>
      </c>
      <c r="G8956" t="s">
        <v>8879</v>
      </c>
      <c r="H8956" t="s">
        <v>15733</v>
      </c>
      <c r="I8956" t="s">
        <v>17274</v>
      </c>
      <c r="J8956" t="s">
        <v>18894</v>
      </c>
      <c r="K8956">
        <v>11207</v>
      </c>
      <c r="L8956" t="s">
        <v>18959</v>
      </c>
      <c r="M8956" t="s">
        <v>18959</v>
      </c>
      <c r="P8956" t="s">
        <v>26565</v>
      </c>
      <c r="R8956" t="s">
        <v>26578</v>
      </c>
      <c r="U8956" t="s">
        <v>26604</v>
      </c>
      <c r="X8956">
        <v>1500</v>
      </c>
      <c r="Y8956" t="s">
        <v>26652</v>
      </c>
      <c r="AB8956" t="s">
        <v>28480</v>
      </c>
      <c r="AD8956" t="s">
        <v>43793</v>
      </c>
      <c r="AE8956">
        <v>3</v>
      </c>
      <c r="AG8956" t="s">
        <v>45557</v>
      </c>
      <c r="AH8956">
        <v>1</v>
      </c>
      <c r="AI8956">
        <v>5</v>
      </c>
      <c r="AJ8956">
        <v>0</v>
      </c>
      <c r="AK8956">
        <v>118.97</v>
      </c>
      <c r="AN8956" t="s">
        <v>7439</v>
      </c>
      <c r="AO8956">
        <v>35000</v>
      </c>
      <c r="AP8956" t="s">
        <v>46119</v>
      </c>
      <c r="AU8956">
        <v>1.5</v>
      </c>
      <c r="AV8956" t="s">
        <v>576</v>
      </c>
      <c r="AW8956" t="s">
        <v>46857</v>
      </c>
    </row>
    <row r="8957" spans="1:49">
      <c r="A8957" s="1">
        <f>HYPERLINK("https://lsnyc.legalserver.org/matter/dynamic-profile/view/1874757","18-1874757")</f>
        <v>0</v>
      </c>
      <c r="B8957" t="s">
        <v>200</v>
      </c>
      <c r="C8957" t="s">
        <v>340</v>
      </c>
      <c r="D8957" t="s">
        <v>504</v>
      </c>
      <c r="F8957" t="s">
        <v>919</v>
      </c>
      <c r="G8957" t="s">
        <v>8140</v>
      </c>
      <c r="H8957" t="s">
        <v>13834</v>
      </c>
      <c r="I8957" t="s">
        <v>17307</v>
      </c>
      <c r="J8957" t="s">
        <v>18894</v>
      </c>
      <c r="K8957">
        <v>11221</v>
      </c>
      <c r="L8957" t="s">
        <v>18959</v>
      </c>
      <c r="M8957" t="s">
        <v>18960</v>
      </c>
      <c r="O8957" t="s">
        <v>26526</v>
      </c>
      <c r="R8957" t="s">
        <v>26578</v>
      </c>
      <c r="S8957" t="s">
        <v>18959</v>
      </c>
      <c r="U8957" t="s">
        <v>26604</v>
      </c>
      <c r="X8957">
        <v>1292.5</v>
      </c>
      <c r="Y8957" t="s">
        <v>26652</v>
      </c>
      <c r="AB8957" t="s">
        <v>31279</v>
      </c>
      <c r="AD8957" t="s">
        <v>42208</v>
      </c>
      <c r="AE8957">
        <v>16</v>
      </c>
      <c r="AF8957" t="s">
        <v>45541</v>
      </c>
      <c r="AG8957" t="s">
        <v>19330</v>
      </c>
      <c r="AH8957">
        <v>10</v>
      </c>
      <c r="AI8957">
        <v>2</v>
      </c>
      <c r="AJ8957">
        <v>0</v>
      </c>
      <c r="AK8957">
        <v>189.55</v>
      </c>
      <c r="AN8957" t="s">
        <v>7439</v>
      </c>
      <c r="AO8957">
        <v>31200</v>
      </c>
      <c r="AU8957">
        <v>0</v>
      </c>
      <c r="AW8957" t="s">
        <v>279</v>
      </c>
    </row>
    <row r="8958" spans="1:49">
      <c r="A8958" s="1">
        <f>HYPERLINK("https://lsnyc.legalserver.org/matter/dynamic-profile/view/1874698","18-1874698")</f>
        <v>0</v>
      </c>
      <c r="B8958" t="s">
        <v>236</v>
      </c>
      <c r="C8958" t="s">
        <v>340</v>
      </c>
      <c r="D8958" t="s">
        <v>504</v>
      </c>
      <c r="F8958" t="s">
        <v>2497</v>
      </c>
      <c r="G8958" t="s">
        <v>8880</v>
      </c>
      <c r="H8958" t="s">
        <v>13056</v>
      </c>
      <c r="I8958" t="s">
        <v>18623</v>
      </c>
      <c r="J8958" t="s">
        <v>18892</v>
      </c>
      <c r="K8958">
        <v>10452</v>
      </c>
      <c r="L8958" t="s">
        <v>18958</v>
      </c>
      <c r="M8958" t="s">
        <v>18959</v>
      </c>
      <c r="O8958" t="s">
        <v>26531</v>
      </c>
      <c r="P8958" t="s">
        <v>26562</v>
      </c>
      <c r="R8958" t="s">
        <v>26578</v>
      </c>
      <c r="S8958" t="s">
        <v>18958</v>
      </c>
      <c r="U8958" t="s">
        <v>26604</v>
      </c>
      <c r="X8958">
        <v>751.63</v>
      </c>
      <c r="Y8958" t="s">
        <v>26650</v>
      </c>
      <c r="Z8958" t="s">
        <v>26530</v>
      </c>
      <c r="AB8958" t="s">
        <v>33140</v>
      </c>
      <c r="AD8958" t="s">
        <v>40597</v>
      </c>
      <c r="AE8958">
        <v>76</v>
      </c>
      <c r="AF8958" t="s">
        <v>45541</v>
      </c>
      <c r="AH8958">
        <v>41</v>
      </c>
      <c r="AI8958">
        <v>1</v>
      </c>
      <c r="AJ8958">
        <v>0</v>
      </c>
      <c r="AK8958">
        <v>0</v>
      </c>
      <c r="AN8958" t="s">
        <v>7439</v>
      </c>
      <c r="AO8958">
        <v>0</v>
      </c>
      <c r="AP8958" t="s">
        <v>46120</v>
      </c>
      <c r="AU8958">
        <v>0.1</v>
      </c>
      <c r="AV8958" t="s">
        <v>646</v>
      </c>
      <c r="AW8958" t="s">
        <v>302</v>
      </c>
    </row>
    <row r="8959" spans="1:49">
      <c r="A8959" s="1">
        <f>HYPERLINK("https://lsnyc.legalserver.org/matter/dynamic-profile/view/1874955","18-1874955")</f>
        <v>0</v>
      </c>
      <c r="B8959" t="s">
        <v>76</v>
      </c>
      <c r="C8959" t="s">
        <v>340</v>
      </c>
      <c r="D8959" t="s">
        <v>504</v>
      </c>
      <c r="F8959" t="s">
        <v>1002</v>
      </c>
      <c r="G8959" t="s">
        <v>8881</v>
      </c>
      <c r="H8959" t="s">
        <v>15734</v>
      </c>
      <c r="J8959" t="s">
        <v>18892</v>
      </c>
      <c r="K8959">
        <v>10461</v>
      </c>
      <c r="L8959" t="s">
        <v>18958</v>
      </c>
      <c r="M8959" t="s">
        <v>18958</v>
      </c>
      <c r="O8959" t="s">
        <v>18997</v>
      </c>
      <c r="P8959" t="s">
        <v>26563</v>
      </c>
      <c r="R8959" t="s">
        <v>26583</v>
      </c>
      <c r="S8959" t="s">
        <v>18959</v>
      </c>
      <c r="U8959" t="s">
        <v>26604</v>
      </c>
      <c r="X8959">
        <v>0</v>
      </c>
      <c r="Y8959" t="s">
        <v>26651</v>
      </c>
      <c r="Z8959" t="s">
        <v>26660</v>
      </c>
      <c r="AB8959" t="s">
        <v>31319</v>
      </c>
      <c r="AE8959">
        <v>0</v>
      </c>
      <c r="AG8959" t="s">
        <v>19330</v>
      </c>
      <c r="AH8959">
        <v>0</v>
      </c>
      <c r="AI8959">
        <v>1</v>
      </c>
      <c r="AJ8959">
        <v>2</v>
      </c>
      <c r="AK8959">
        <v>288.74</v>
      </c>
      <c r="AN8959" t="s">
        <v>7439</v>
      </c>
      <c r="AO8959">
        <v>60000</v>
      </c>
      <c r="AU8959">
        <v>0</v>
      </c>
      <c r="AW8959" t="s">
        <v>314</v>
      </c>
    </row>
    <row r="8960" spans="1:49">
      <c r="A8960" s="1">
        <f>HYPERLINK("https://lsnyc.legalserver.org/matter/dynamic-profile/view/1862790","18-1862790")</f>
        <v>0</v>
      </c>
      <c r="B8960" t="s">
        <v>216</v>
      </c>
      <c r="C8960" t="s">
        <v>341</v>
      </c>
      <c r="D8960" t="s">
        <v>510</v>
      </c>
      <c r="E8960" t="s">
        <v>412</v>
      </c>
      <c r="F8960" t="s">
        <v>1221</v>
      </c>
      <c r="G8960" t="s">
        <v>7588</v>
      </c>
      <c r="H8960" t="s">
        <v>13931</v>
      </c>
      <c r="I8960" t="s">
        <v>17322</v>
      </c>
      <c r="J8960" t="s">
        <v>18894</v>
      </c>
      <c r="K8960">
        <v>11233</v>
      </c>
      <c r="L8960" t="s">
        <v>18960</v>
      </c>
      <c r="M8960" t="s">
        <v>18960</v>
      </c>
      <c r="P8960" t="s">
        <v>26564</v>
      </c>
      <c r="Q8960" t="s">
        <v>26570</v>
      </c>
      <c r="R8960" t="s">
        <v>26578</v>
      </c>
      <c r="U8960" t="s">
        <v>26607</v>
      </c>
      <c r="X8960">
        <v>0</v>
      </c>
      <c r="Y8960" t="s">
        <v>26652</v>
      </c>
      <c r="AA8960" t="s">
        <v>26683</v>
      </c>
      <c r="AB8960" t="s">
        <v>31370</v>
      </c>
      <c r="AE8960">
        <v>0</v>
      </c>
      <c r="AH8960">
        <v>0</v>
      </c>
      <c r="AI8960">
        <v>2</v>
      </c>
      <c r="AJ8960">
        <v>1</v>
      </c>
      <c r="AK8960">
        <v>41.58</v>
      </c>
      <c r="AO8960">
        <v>8640</v>
      </c>
      <c r="AU8960">
        <v>3.5</v>
      </c>
      <c r="AV8960" t="s">
        <v>599</v>
      </c>
      <c r="AW8960" t="s">
        <v>216</v>
      </c>
    </row>
    <row r="8961" spans="1:50">
      <c r="A8961" s="1">
        <f>HYPERLINK("https://lsnyc.legalserver.org/matter/dynamic-profile/view/1874774","18-1874774")</f>
        <v>0</v>
      </c>
      <c r="B8961" t="s">
        <v>110</v>
      </c>
      <c r="C8961" t="s">
        <v>340</v>
      </c>
      <c r="D8961" t="s">
        <v>510</v>
      </c>
      <c r="F8961" t="s">
        <v>3067</v>
      </c>
      <c r="G8961" t="s">
        <v>5657</v>
      </c>
      <c r="H8961" t="s">
        <v>15735</v>
      </c>
      <c r="I8961" t="s">
        <v>17330</v>
      </c>
      <c r="J8961" t="s">
        <v>18899</v>
      </c>
      <c r="K8961">
        <v>11385</v>
      </c>
      <c r="L8961" t="s">
        <v>18960</v>
      </c>
      <c r="M8961" t="s">
        <v>18960</v>
      </c>
      <c r="R8961" t="s">
        <v>26591</v>
      </c>
      <c r="U8961" t="s">
        <v>26604</v>
      </c>
      <c r="X8961">
        <v>876</v>
      </c>
      <c r="Y8961" t="s">
        <v>26653</v>
      </c>
      <c r="AB8961" t="s">
        <v>33141</v>
      </c>
      <c r="AD8961" t="s">
        <v>43794</v>
      </c>
      <c r="AE8961">
        <v>18</v>
      </c>
      <c r="AH8961">
        <v>24</v>
      </c>
      <c r="AI8961">
        <v>2</v>
      </c>
      <c r="AJ8961">
        <v>0</v>
      </c>
      <c r="AK8961">
        <v>182.26</v>
      </c>
      <c r="AN8961" t="s">
        <v>7439</v>
      </c>
      <c r="AO8961">
        <v>30000</v>
      </c>
      <c r="AU8961">
        <v>1</v>
      </c>
      <c r="AV8961" t="s">
        <v>510</v>
      </c>
      <c r="AW8961" t="s">
        <v>46857</v>
      </c>
    </row>
    <row r="8962" spans="1:50">
      <c r="A8962" s="1">
        <f>HYPERLINK("https://lsnyc.legalserver.org/matter/dynamic-profile/view/1874919","18-1874919")</f>
        <v>0</v>
      </c>
      <c r="B8962" t="s">
        <v>171</v>
      </c>
      <c r="C8962" t="s">
        <v>341</v>
      </c>
      <c r="D8962" t="s">
        <v>477</v>
      </c>
      <c r="E8962" t="s">
        <v>606</v>
      </c>
      <c r="F8962" t="s">
        <v>1934</v>
      </c>
      <c r="G8962" t="s">
        <v>8882</v>
      </c>
      <c r="H8962" t="s">
        <v>15736</v>
      </c>
      <c r="I8962">
        <v>26</v>
      </c>
      <c r="J8962" t="s">
        <v>18893</v>
      </c>
      <c r="K8962">
        <v>10003</v>
      </c>
      <c r="L8962" t="s">
        <v>18958</v>
      </c>
      <c r="M8962" t="s">
        <v>18960</v>
      </c>
      <c r="N8962" t="s">
        <v>25347</v>
      </c>
      <c r="O8962" t="s">
        <v>26523</v>
      </c>
      <c r="P8962" t="s">
        <v>26564</v>
      </c>
      <c r="Q8962" t="s">
        <v>26570</v>
      </c>
      <c r="R8962" t="s">
        <v>26582</v>
      </c>
      <c r="S8962" t="s">
        <v>18959</v>
      </c>
      <c r="U8962" t="s">
        <v>26604</v>
      </c>
      <c r="X8962">
        <v>585</v>
      </c>
      <c r="Y8962" t="s">
        <v>26651</v>
      </c>
      <c r="Z8962" t="s">
        <v>26664</v>
      </c>
      <c r="AA8962" t="s">
        <v>26683</v>
      </c>
      <c r="AB8962" t="s">
        <v>33142</v>
      </c>
      <c r="AD8962" t="s">
        <v>43795</v>
      </c>
      <c r="AE8962">
        <v>0</v>
      </c>
      <c r="AF8962" t="s">
        <v>45548</v>
      </c>
      <c r="AG8962" t="s">
        <v>19330</v>
      </c>
      <c r="AH8962">
        <v>22</v>
      </c>
      <c r="AI8962">
        <v>1</v>
      </c>
      <c r="AJ8962">
        <v>0</v>
      </c>
      <c r="AK8962">
        <v>76.01000000000001</v>
      </c>
      <c r="AN8962" t="s">
        <v>7439</v>
      </c>
      <c r="AO8962">
        <v>9228</v>
      </c>
      <c r="AU8962">
        <v>0.8</v>
      </c>
      <c r="AV8962" t="s">
        <v>526</v>
      </c>
      <c r="AW8962" t="s">
        <v>314</v>
      </c>
    </row>
    <row r="8963" spans="1:50">
      <c r="A8963" s="1">
        <f>HYPERLINK("https://lsnyc.legalserver.org/matter/dynamic-profile/view/1874864","18-1874864")</f>
        <v>0</v>
      </c>
      <c r="B8963" t="s">
        <v>200</v>
      </c>
      <c r="C8963" t="s">
        <v>341</v>
      </c>
      <c r="D8963" t="s">
        <v>477</v>
      </c>
      <c r="E8963" t="s">
        <v>529</v>
      </c>
      <c r="F8963" t="s">
        <v>1031</v>
      </c>
      <c r="G8963" t="s">
        <v>6548</v>
      </c>
      <c r="H8963" t="s">
        <v>15737</v>
      </c>
      <c r="I8963" t="s">
        <v>17410</v>
      </c>
      <c r="J8963" t="s">
        <v>18894</v>
      </c>
      <c r="K8963">
        <v>11233</v>
      </c>
      <c r="L8963" t="s">
        <v>18959</v>
      </c>
      <c r="M8963" t="s">
        <v>18960</v>
      </c>
      <c r="N8963" t="s">
        <v>25348</v>
      </c>
      <c r="O8963" t="s">
        <v>26524</v>
      </c>
      <c r="Q8963" t="s">
        <v>26569</v>
      </c>
      <c r="R8963" t="s">
        <v>26578</v>
      </c>
      <c r="U8963" t="s">
        <v>26604</v>
      </c>
      <c r="X8963">
        <v>1301</v>
      </c>
      <c r="Y8963" t="s">
        <v>26652</v>
      </c>
      <c r="Z8963" t="s">
        <v>26530</v>
      </c>
      <c r="AA8963" t="s">
        <v>26687</v>
      </c>
      <c r="AB8963" t="s">
        <v>33143</v>
      </c>
      <c r="AD8963" t="s">
        <v>43796</v>
      </c>
      <c r="AE8963">
        <v>6</v>
      </c>
      <c r="AF8963" t="s">
        <v>45541</v>
      </c>
      <c r="AG8963" t="s">
        <v>45561</v>
      </c>
      <c r="AH8963">
        <v>8</v>
      </c>
      <c r="AI8963">
        <v>1</v>
      </c>
      <c r="AJ8963">
        <v>0</v>
      </c>
      <c r="AK8963">
        <v>55.75</v>
      </c>
      <c r="AN8963" t="s">
        <v>7439</v>
      </c>
      <c r="AO8963">
        <v>6768</v>
      </c>
      <c r="AU8963">
        <v>4.5</v>
      </c>
      <c r="AV8963" t="s">
        <v>411</v>
      </c>
      <c r="AW8963" t="s">
        <v>46841</v>
      </c>
    </row>
    <row r="8964" spans="1:50">
      <c r="A8964" s="1">
        <f>HYPERLINK("https://lsnyc.legalserver.org/matter/dynamic-profile/view/1874858","18-1874858")</f>
        <v>0</v>
      </c>
      <c r="B8964" t="s">
        <v>56</v>
      </c>
      <c r="C8964" t="s">
        <v>340</v>
      </c>
      <c r="D8964" t="s">
        <v>477</v>
      </c>
      <c r="F8964" t="s">
        <v>1132</v>
      </c>
      <c r="G8964" t="s">
        <v>937</v>
      </c>
      <c r="H8964" t="s">
        <v>15738</v>
      </c>
      <c r="I8964" t="s">
        <v>17316</v>
      </c>
      <c r="J8964" t="s">
        <v>18892</v>
      </c>
      <c r="K8964">
        <v>10468</v>
      </c>
      <c r="L8964" t="s">
        <v>18958</v>
      </c>
      <c r="M8964" t="s">
        <v>18959</v>
      </c>
      <c r="N8964" t="s">
        <v>25349</v>
      </c>
      <c r="O8964" t="s">
        <v>26523</v>
      </c>
      <c r="P8964" t="s">
        <v>26560</v>
      </c>
      <c r="R8964" t="s">
        <v>26579</v>
      </c>
      <c r="S8964" t="s">
        <v>18959</v>
      </c>
      <c r="U8964" t="s">
        <v>26604</v>
      </c>
      <c r="V8964" t="s">
        <v>26609</v>
      </c>
      <c r="X8964">
        <v>1058.97</v>
      </c>
      <c r="Y8964" t="s">
        <v>26650</v>
      </c>
      <c r="Z8964" t="s">
        <v>26661</v>
      </c>
      <c r="AB8964" t="s">
        <v>33144</v>
      </c>
      <c r="AE8964">
        <v>0</v>
      </c>
      <c r="AF8964" t="s">
        <v>45541</v>
      </c>
      <c r="AG8964" t="s">
        <v>19330</v>
      </c>
      <c r="AH8964">
        <v>40</v>
      </c>
      <c r="AI8964">
        <v>2</v>
      </c>
      <c r="AJ8964">
        <v>0</v>
      </c>
      <c r="AK8964">
        <v>60.73</v>
      </c>
      <c r="AN8964" t="s">
        <v>7439</v>
      </c>
      <c r="AO8964">
        <v>9996</v>
      </c>
      <c r="AP8964" t="s">
        <v>46121</v>
      </c>
      <c r="AU8964">
        <v>13.9</v>
      </c>
      <c r="AV8964" t="s">
        <v>792</v>
      </c>
      <c r="AW8964" t="s">
        <v>46837</v>
      </c>
    </row>
    <row r="8965" spans="1:50">
      <c r="A8965" s="1">
        <f>HYPERLINK("https://lsnyc.legalserver.org/matter/dynamic-profile/view/1875000","18-1875000")</f>
        <v>0</v>
      </c>
      <c r="B8965" t="s">
        <v>239</v>
      </c>
      <c r="C8965" t="s">
        <v>340</v>
      </c>
      <c r="D8965" t="s">
        <v>477</v>
      </c>
      <c r="F8965" t="s">
        <v>1029</v>
      </c>
      <c r="G8965" t="s">
        <v>8883</v>
      </c>
      <c r="H8965" t="s">
        <v>15739</v>
      </c>
      <c r="I8965" t="s">
        <v>18624</v>
      </c>
      <c r="J8965" t="s">
        <v>18894</v>
      </c>
      <c r="K8965">
        <v>11214</v>
      </c>
      <c r="L8965" t="s">
        <v>18960</v>
      </c>
      <c r="M8965" t="s">
        <v>18960</v>
      </c>
      <c r="O8965" t="s">
        <v>26524</v>
      </c>
      <c r="P8965" t="s">
        <v>26560</v>
      </c>
      <c r="R8965" t="s">
        <v>26578</v>
      </c>
      <c r="S8965" t="s">
        <v>18959</v>
      </c>
      <c r="U8965" t="s">
        <v>26604</v>
      </c>
      <c r="X8965">
        <v>600</v>
      </c>
      <c r="Y8965" t="s">
        <v>26652</v>
      </c>
      <c r="AB8965" t="s">
        <v>31338</v>
      </c>
      <c r="AE8965">
        <v>0</v>
      </c>
      <c r="AF8965" t="s">
        <v>45553</v>
      </c>
      <c r="AG8965" t="s">
        <v>19330</v>
      </c>
      <c r="AH8965">
        <v>4</v>
      </c>
      <c r="AI8965">
        <v>2</v>
      </c>
      <c r="AJ8965">
        <v>0</v>
      </c>
      <c r="AK8965">
        <v>124.67</v>
      </c>
      <c r="AO8965">
        <v>20520</v>
      </c>
      <c r="AU8965">
        <v>33.45</v>
      </c>
      <c r="AV8965" t="s">
        <v>772</v>
      </c>
      <c r="AW8965" t="s">
        <v>175</v>
      </c>
    </row>
    <row r="8966" spans="1:50">
      <c r="A8966" s="1">
        <f>HYPERLINK("https://lsnyc.legalserver.org/matter/dynamic-profile/view/1873245","18-1873245")</f>
        <v>0</v>
      </c>
      <c r="B8966" t="s">
        <v>55</v>
      </c>
      <c r="C8966" t="s">
        <v>341</v>
      </c>
      <c r="D8966" t="s">
        <v>505</v>
      </c>
      <c r="E8966" t="s">
        <v>494</v>
      </c>
      <c r="F8966" t="s">
        <v>1677</v>
      </c>
      <c r="G8966" t="s">
        <v>5631</v>
      </c>
      <c r="H8966" t="s">
        <v>15740</v>
      </c>
      <c r="I8966">
        <v>15</v>
      </c>
      <c r="J8966" t="s">
        <v>18892</v>
      </c>
      <c r="K8966">
        <v>10460</v>
      </c>
      <c r="L8966" t="s">
        <v>18958</v>
      </c>
      <c r="M8966" t="s">
        <v>18960</v>
      </c>
      <c r="N8966" t="s">
        <v>25350</v>
      </c>
      <c r="O8966" t="s">
        <v>26523</v>
      </c>
      <c r="P8966" t="s">
        <v>26560</v>
      </c>
      <c r="Q8966" t="s">
        <v>26568</v>
      </c>
      <c r="R8966" t="s">
        <v>26578</v>
      </c>
      <c r="S8966" t="s">
        <v>18959</v>
      </c>
      <c r="U8966" t="s">
        <v>26604</v>
      </c>
      <c r="V8966" t="s">
        <v>26610</v>
      </c>
      <c r="X8966">
        <v>1007</v>
      </c>
      <c r="Y8966" t="s">
        <v>26650</v>
      </c>
      <c r="Z8966" t="s">
        <v>26668</v>
      </c>
      <c r="AA8966" t="s">
        <v>26678</v>
      </c>
      <c r="AB8966" t="s">
        <v>28831</v>
      </c>
      <c r="AD8966" t="s">
        <v>43797</v>
      </c>
      <c r="AE8966">
        <v>30</v>
      </c>
      <c r="AF8966" t="s">
        <v>45541</v>
      </c>
      <c r="AG8966" t="s">
        <v>19330</v>
      </c>
      <c r="AH8966">
        <v>18</v>
      </c>
      <c r="AI8966">
        <v>1</v>
      </c>
      <c r="AJ8966">
        <v>1</v>
      </c>
      <c r="AK8966">
        <v>233.29</v>
      </c>
      <c r="AN8966" t="s">
        <v>7439</v>
      </c>
      <c r="AO8966">
        <v>38400</v>
      </c>
      <c r="AP8966" t="s">
        <v>46122</v>
      </c>
      <c r="AS8966" t="s">
        <v>46499</v>
      </c>
      <c r="AT8966" t="s">
        <v>46528</v>
      </c>
      <c r="AU8966">
        <v>4.5</v>
      </c>
      <c r="AV8966" t="s">
        <v>666</v>
      </c>
      <c r="AW8966" t="s">
        <v>336</v>
      </c>
      <c r="AX8966" t="s">
        <v>46897</v>
      </c>
    </row>
    <row r="8967" spans="1:50">
      <c r="A8967" s="1">
        <f>HYPERLINK("https://lsnyc.legalserver.org/matter/dynamic-profile/view/1874949","18-1874949")</f>
        <v>0</v>
      </c>
      <c r="B8967" t="s">
        <v>302</v>
      </c>
      <c r="C8967" t="s">
        <v>341</v>
      </c>
      <c r="D8967" t="s">
        <v>505</v>
      </c>
      <c r="E8967" t="s">
        <v>577</v>
      </c>
      <c r="F8967" t="s">
        <v>4425</v>
      </c>
      <c r="G8967" t="s">
        <v>7015</v>
      </c>
      <c r="H8967" t="s">
        <v>15741</v>
      </c>
      <c r="I8967" t="s">
        <v>17343</v>
      </c>
      <c r="J8967" t="s">
        <v>18892</v>
      </c>
      <c r="K8967">
        <v>10460</v>
      </c>
      <c r="L8967" t="s">
        <v>18960</v>
      </c>
      <c r="M8967" t="s">
        <v>18960</v>
      </c>
      <c r="O8967" t="s">
        <v>26529</v>
      </c>
      <c r="P8967" t="s">
        <v>26564</v>
      </c>
      <c r="Q8967" t="s">
        <v>26570</v>
      </c>
      <c r="R8967" t="s">
        <v>26591</v>
      </c>
      <c r="U8967" t="s">
        <v>26604</v>
      </c>
      <c r="X8967">
        <v>1079</v>
      </c>
      <c r="Y8967" t="s">
        <v>26650</v>
      </c>
      <c r="Z8967" t="s">
        <v>26657</v>
      </c>
      <c r="AA8967" t="s">
        <v>26683</v>
      </c>
      <c r="AB8967" t="s">
        <v>33145</v>
      </c>
      <c r="AD8967" t="s">
        <v>43798</v>
      </c>
      <c r="AE8967">
        <v>6</v>
      </c>
      <c r="AG8967" t="s">
        <v>19330</v>
      </c>
      <c r="AH8967">
        <v>1</v>
      </c>
      <c r="AI8967">
        <v>1</v>
      </c>
      <c r="AJ8967">
        <v>0</v>
      </c>
      <c r="AK8967">
        <v>6.13</v>
      </c>
      <c r="AN8967" t="s">
        <v>7439</v>
      </c>
      <c r="AO8967">
        <v>744</v>
      </c>
      <c r="AP8967" t="s">
        <v>46123</v>
      </c>
      <c r="AU8967">
        <v>1</v>
      </c>
      <c r="AV8967" t="s">
        <v>477</v>
      </c>
      <c r="AW8967" t="s">
        <v>46858</v>
      </c>
    </row>
    <row r="8968" spans="1:50">
      <c r="A8968" s="1">
        <f>HYPERLINK("https://lsnyc.legalserver.org/matter/dynamic-profile/view/1874995","18-1874995")</f>
        <v>0</v>
      </c>
      <c r="B8968" t="s">
        <v>302</v>
      </c>
      <c r="C8968" t="s">
        <v>341</v>
      </c>
      <c r="D8968" t="s">
        <v>505</v>
      </c>
      <c r="E8968" t="s">
        <v>577</v>
      </c>
      <c r="F8968" t="s">
        <v>4426</v>
      </c>
      <c r="G8968" t="s">
        <v>8884</v>
      </c>
      <c r="H8968" t="s">
        <v>15742</v>
      </c>
      <c r="I8968" t="s">
        <v>17275</v>
      </c>
      <c r="J8968" t="s">
        <v>18892</v>
      </c>
      <c r="K8968">
        <v>10457</v>
      </c>
      <c r="L8968" t="s">
        <v>18960</v>
      </c>
      <c r="M8968" t="s">
        <v>18960</v>
      </c>
      <c r="N8968" t="s">
        <v>25351</v>
      </c>
      <c r="O8968" t="s">
        <v>26523</v>
      </c>
      <c r="P8968" t="s">
        <v>26564</v>
      </c>
      <c r="Q8968" t="s">
        <v>26570</v>
      </c>
      <c r="R8968" t="s">
        <v>26591</v>
      </c>
      <c r="U8968" t="s">
        <v>26604</v>
      </c>
      <c r="X8968">
        <v>905</v>
      </c>
      <c r="Y8968" t="s">
        <v>26650</v>
      </c>
      <c r="Z8968" t="s">
        <v>26673</v>
      </c>
      <c r="AA8968" t="s">
        <v>26683</v>
      </c>
      <c r="AB8968" t="s">
        <v>30654</v>
      </c>
      <c r="AD8968" t="s">
        <v>43799</v>
      </c>
      <c r="AE8968">
        <v>15</v>
      </c>
      <c r="AH8968">
        <v>7</v>
      </c>
      <c r="AI8968">
        <v>1</v>
      </c>
      <c r="AJ8968">
        <v>0</v>
      </c>
      <c r="AK8968">
        <v>192.75</v>
      </c>
      <c r="AN8968" t="s">
        <v>45581</v>
      </c>
      <c r="AO8968">
        <v>23400</v>
      </c>
      <c r="AP8968" t="s">
        <v>46123</v>
      </c>
      <c r="AU8968">
        <v>1</v>
      </c>
      <c r="AV8968" t="s">
        <v>505</v>
      </c>
      <c r="AW8968" t="s">
        <v>46861</v>
      </c>
    </row>
    <row r="8969" spans="1:50">
      <c r="A8969" s="1">
        <f>HYPERLINK("https://lsnyc.legalserver.org/matter/dynamic-profile/view/1875071","18-1875071")</f>
        <v>0</v>
      </c>
      <c r="B8969" t="s">
        <v>209</v>
      </c>
      <c r="C8969" t="s">
        <v>341</v>
      </c>
      <c r="D8969" t="s">
        <v>505</v>
      </c>
      <c r="E8969" t="s">
        <v>521</v>
      </c>
      <c r="F8969" t="s">
        <v>1328</v>
      </c>
      <c r="G8969" t="s">
        <v>8885</v>
      </c>
      <c r="H8969" t="s">
        <v>15743</v>
      </c>
      <c r="I8969" t="s">
        <v>17316</v>
      </c>
      <c r="J8969" t="s">
        <v>18900</v>
      </c>
      <c r="K8969">
        <v>11358</v>
      </c>
      <c r="L8969" t="s">
        <v>18959</v>
      </c>
      <c r="M8969" t="s">
        <v>18960</v>
      </c>
      <c r="N8969" t="s">
        <v>25352</v>
      </c>
      <c r="O8969" t="s">
        <v>26524</v>
      </c>
      <c r="P8969" t="s">
        <v>26564</v>
      </c>
      <c r="Q8969" t="s">
        <v>26570</v>
      </c>
      <c r="R8969" t="s">
        <v>26591</v>
      </c>
      <c r="U8969" t="s">
        <v>26604</v>
      </c>
      <c r="X8969">
        <v>1500</v>
      </c>
      <c r="Y8969" t="s">
        <v>26653</v>
      </c>
      <c r="Z8969" t="s">
        <v>26657</v>
      </c>
      <c r="AA8969" t="s">
        <v>26683</v>
      </c>
      <c r="AB8969" t="s">
        <v>33146</v>
      </c>
      <c r="AD8969" t="s">
        <v>43800</v>
      </c>
      <c r="AE8969">
        <v>72</v>
      </c>
      <c r="AF8969" t="s">
        <v>45548</v>
      </c>
      <c r="AG8969" t="s">
        <v>19330</v>
      </c>
      <c r="AH8969">
        <v>11</v>
      </c>
      <c r="AI8969">
        <v>1</v>
      </c>
      <c r="AJ8969">
        <v>0</v>
      </c>
      <c r="AK8969">
        <v>82.04000000000001</v>
      </c>
      <c r="AN8969" t="s">
        <v>7439</v>
      </c>
      <c r="AO8969">
        <v>9960</v>
      </c>
      <c r="AU8969">
        <v>1.6</v>
      </c>
      <c r="AV8969" t="s">
        <v>521</v>
      </c>
      <c r="AW8969" t="s">
        <v>46858</v>
      </c>
    </row>
    <row r="8970" spans="1:50">
      <c r="A8970" s="1">
        <f>HYPERLINK("https://lsnyc.legalserver.org/matter/dynamic-profile/view/1874979","18-1874979")</f>
        <v>0</v>
      </c>
      <c r="B8970" t="s">
        <v>209</v>
      </c>
      <c r="C8970" t="s">
        <v>341</v>
      </c>
      <c r="D8970" t="s">
        <v>505</v>
      </c>
      <c r="E8970" t="s">
        <v>519</v>
      </c>
      <c r="F8970" t="s">
        <v>1136</v>
      </c>
      <c r="G8970" t="s">
        <v>8886</v>
      </c>
      <c r="H8970" t="s">
        <v>15744</v>
      </c>
      <c r="I8970" t="s">
        <v>18625</v>
      </c>
      <c r="J8970" t="s">
        <v>18900</v>
      </c>
      <c r="K8970">
        <v>11354</v>
      </c>
      <c r="L8970" t="s">
        <v>18960</v>
      </c>
      <c r="M8970" t="s">
        <v>18960</v>
      </c>
      <c r="N8970" t="s">
        <v>25353</v>
      </c>
      <c r="O8970" t="s">
        <v>26523</v>
      </c>
      <c r="P8970" t="s">
        <v>26564</v>
      </c>
      <c r="Q8970" t="s">
        <v>26570</v>
      </c>
      <c r="R8970" t="s">
        <v>26591</v>
      </c>
      <c r="U8970" t="s">
        <v>26604</v>
      </c>
      <c r="X8970">
        <v>1550</v>
      </c>
      <c r="Y8970" t="s">
        <v>26653</v>
      </c>
      <c r="Z8970" t="s">
        <v>26665</v>
      </c>
      <c r="AA8970" t="s">
        <v>26683</v>
      </c>
      <c r="AB8970" t="s">
        <v>33147</v>
      </c>
      <c r="AD8970" t="s">
        <v>43801</v>
      </c>
      <c r="AE8970">
        <v>30</v>
      </c>
      <c r="AF8970" t="s">
        <v>20460</v>
      </c>
      <c r="AH8970">
        <v>6</v>
      </c>
      <c r="AI8970">
        <v>1</v>
      </c>
      <c r="AJ8970">
        <v>2</v>
      </c>
      <c r="AK8970">
        <v>88.73999999999999</v>
      </c>
      <c r="AN8970" t="s">
        <v>45581</v>
      </c>
      <c r="AO8970">
        <v>18440</v>
      </c>
      <c r="AU8970">
        <v>0.4</v>
      </c>
      <c r="AV8970" t="s">
        <v>519</v>
      </c>
      <c r="AW8970" t="s">
        <v>46849</v>
      </c>
    </row>
    <row r="8971" spans="1:50">
      <c r="A8971" s="1">
        <f>HYPERLINK("https://lsnyc.legalserver.org/matter/dynamic-profile/view/1875078","18-1875078")</f>
        <v>0</v>
      </c>
      <c r="B8971" t="s">
        <v>209</v>
      </c>
      <c r="C8971" t="s">
        <v>341</v>
      </c>
      <c r="D8971" t="s">
        <v>505</v>
      </c>
      <c r="E8971" t="s">
        <v>519</v>
      </c>
      <c r="F8971" t="s">
        <v>1072</v>
      </c>
      <c r="G8971" t="s">
        <v>8887</v>
      </c>
      <c r="H8971" t="s">
        <v>10433</v>
      </c>
      <c r="I8971">
        <v>714</v>
      </c>
      <c r="J8971" t="s">
        <v>18905</v>
      </c>
      <c r="K8971">
        <v>11692</v>
      </c>
      <c r="L8971" t="s">
        <v>18960</v>
      </c>
      <c r="M8971" t="s">
        <v>18960</v>
      </c>
      <c r="N8971" t="s">
        <v>19045</v>
      </c>
      <c r="O8971" t="s">
        <v>26529</v>
      </c>
      <c r="P8971" t="s">
        <v>26564</v>
      </c>
      <c r="Q8971" t="s">
        <v>26570</v>
      </c>
      <c r="R8971" t="s">
        <v>26591</v>
      </c>
      <c r="S8971" t="s">
        <v>18959</v>
      </c>
      <c r="U8971" t="s">
        <v>26604</v>
      </c>
      <c r="V8971" t="s">
        <v>26610</v>
      </c>
      <c r="X8971">
        <v>1565</v>
      </c>
      <c r="Y8971" t="s">
        <v>26653</v>
      </c>
      <c r="Z8971" t="s">
        <v>26661</v>
      </c>
      <c r="AA8971" t="s">
        <v>26683</v>
      </c>
      <c r="AB8971" t="s">
        <v>33148</v>
      </c>
      <c r="AC8971" t="s">
        <v>19045</v>
      </c>
      <c r="AD8971" t="s">
        <v>43802</v>
      </c>
      <c r="AE8971">
        <v>100</v>
      </c>
      <c r="AF8971" t="s">
        <v>20460</v>
      </c>
      <c r="AG8971" t="s">
        <v>45556</v>
      </c>
      <c r="AH8971">
        <v>3</v>
      </c>
      <c r="AI8971">
        <v>3</v>
      </c>
      <c r="AJ8971">
        <v>0</v>
      </c>
      <c r="AK8971">
        <v>181.18</v>
      </c>
      <c r="AN8971" t="s">
        <v>7439</v>
      </c>
      <c r="AO8971">
        <v>37650</v>
      </c>
      <c r="AU8971">
        <v>1</v>
      </c>
      <c r="AV8971" t="s">
        <v>519</v>
      </c>
      <c r="AW8971" t="s">
        <v>46842</v>
      </c>
    </row>
    <row r="8972" spans="1:50">
      <c r="A8972" s="1">
        <f>HYPERLINK("https://lsnyc.legalserver.org/matter/dynamic-profile/view/1871452","18-1871452")</f>
        <v>0</v>
      </c>
      <c r="B8972" t="s">
        <v>198</v>
      </c>
      <c r="C8972" t="s">
        <v>341</v>
      </c>
      <c r="D8972" t="s">
        <v>505</v>
      </c>
      <c r="E8972" t="s">
        <v>764</v>
      </c>
      <c r="F8972" t="s">
        <v>2621</v>
      </c>
      <c r="G8972" t="s">
        <v>6852</v>
      </c>
      <c r="H8972" t="s">
        <v>12281</v>
      </c>
      <c r="I8972" t="s">
        <v>17423</v>
      </c>
      <c r="J8972" t="s">
        <v>18894</v>
      </c>
      <c r="K8972">
        <v>11218</v>
      </c>
      <c r="L8972" t="s">
        <v>18960</v>
      </c>
      <c r="M8972" t="s">
        <v>18960</v>
      </c>
      <c r="Q8972" t="s">
        <v>26570</v>
      </c>
      <c r="R8972" t="s">
        <v>26578</v>
      </c>
      <c r="U8972" t="s">
        <v>26604</v>
      </c>
      <c r="X8972">
        <v>2006</v>
      </c>
      <c r="Y8972" t="s">
        <v>26652</v>
      </c>
      <c r="Z8972" t="s">
        <v>26661</v>
      </c>
      <c r="AA8972" t="s">
        <v>26683</v>
      </c>
      <c r="AB8972" t="s">
        <v>27169</v>
      </c>
      <c r="AD8972" t="s">
        <v>43803</v>
      </c>
      <c r="AE8972">
        <v>3</v>
      </c>
      <c r="AF8972" t="s">
        <v>20460</v>
      </c>
      <c r="AG8972" t="s">
        <v>45556</v>
      </c>
      <c r="AH8972">
        <v>13</v>
      </c>
      <c r="AI8972">
        <v>3</v>
      </c>
      <c r="AJ8972">
        <v>7</v>
      </c>
      <c r="AK8972">
        <v>107.82</v>
      </c>
      <c r="AN8972" t="s">
        <v>7439</v>
      </c>
      <c r="AO8972">
        <v>55008.44</v>
      </c>
      <c r="AU8972">
        <v>1.2</v>
      </c>
      <c r="AV8972" t="s">
        <v>764</v>
      </c>
      <c r="AW8972" t="s">
        <v>46858</v>
      </c>
    </row>
    <row r="8973" spans="1:50">
      <c r="A8973" s="1">
        <f>HYPERLINK("https://lsnyc.legalserver.org/matter/dynamic-profile/view/1875196","18-1875196")</f>
        <v>0</v>
      </c>
      <c r="B8973" t="s">
        <v>165</v>
      </c>
      <c r="C8973" t="s">
        <v>341</v>
      </c>
      <c r="D8973" t="s">
        <v>515</v>
      </c>
      <c r="E8973" t="s">
        <v>684</v>
      </c>
      <c r="F8973" t="s">
        <v>964</v>
      </c>
      <c r="G8973" t="s">
        <v>8888</v>
      </c>
      <c r="H8973" t="s">
        <v>15745</v>
      </c>
      <c r="I8973" t="s">
        <v>18626</v>
      </c>
      <c r="J8973" t="s">
        <v>18893</v>
      </c>
      <c r="K8973">
        <v>10027</v>
      </c>
      <c r="L8973" t="s">
        <v>18958</v>
      </c>
      <c r="M8973" t="s">
        <v>18960</v>
      </c>
      <c r="N8973" t="s">
        <v>25354</v>
      </c>
      <c r="O8973" t="s">
        <v>26523</v>
      </c>
      <c r="P8973" t="s">
        <v>26560</v>
      </c>
      <c r="Q8973" t="s">
        <v>26568</v>
      </c>
      <c r="R8973" t="s">
        <v>26580</v>
      </c>
      <c r="S8973" t="s">
        <v>18959</v>
      </c>
      <c r="U8973" t="s">
        <v>26604</v>
      </c>
      <c r="X8973">
        <v>1687.92</v>
      </c>
      <c r="Y8973" t="s">
        <v>26651</v>
      </c>
      <c r="Z8973" t="s">
        <v>26664</v>
      </c>
      <c r="AA8973" t="s">
        <v>26678</v>
      </c>
      <c r="AB8973" t="s">
        <v>33149</v>
      </c>
      <c r="AC8973" t="s">
        <v>36596</v>
      </c>
      <c r="AD8973" t="s">
        <v>43804</v>
      </c>
      <c r="AE8973">
        <v>994</v>
      </c>
      <c r="AF8973" t="s">
        <v>20460</v>
      </c>
      <c r="AG8973" t="s">
        <v>19330</v>
      </c>
      <c r="AH8973">
        <v>31</v>
      </c>
      <c r="AI8973">
        <v>1</v>
      </c>
      <c r="AJ8973">
        <v>0</v>
      </c>
      <c r="AK8973">
        <v>143.66</v>
      </c>
      <c r="AN8973" t="s">
        <v>7439</v>
      </c>
      <c r="AO8973">
        <v>17440</v>
      </c>
      <c r="AS8973" t="s">
        <v>46499</v>
      </c>
      <c r="AU8973">
        <v>3.7</v>
      </c>
      <c r="AV8973" t="s">
        <v>684</v>
      </c>
      <c r="AW8973" t="s">
        <v>314</v>
      </c>
    </row>
    <row r="8974" spans="1:50">
      <c r="A8974" s="1">
        <f>HYPERLINK("https://lsnyc.legalserver.org/matter/dynamic-profile/view/1875070","18-1875070")</f>
        <v>0</v>
      </c>
      <c r="B8974" t="s">
        <v>179</v>
      </c>
      <c r="C8974" t="s">
        <v>341</v>
      </c>
      <c r="D8974" t="s">
        <v>515</v>
      </c>
      <c r="E8974" t="s">
        <v>669</v>
      </c>
      <c r="F8974" t="s">
        <v>1119</v>
      </c>
      <c r="G8974" t="s">
        <v>6008</v>
      </c>
      <c r="H8974" t="s">
        <v>15746</v>
      </c>
      <c r="I8974" t="s">
        <v>17425</v>
      </c>
      <c r="J8974" t="s">
        <v>18894</v>
      </c>
      <c r="K8974">
        <v>11225</v>
      </c>
      <c r="L8974" t="s">
        <v>18960</v>
      </c>
      <c r="M8974" t="s">
        <v>18960</v>
      </c>
      <c r="N8974" t="s">
        <v>25355</v>
      </c>
      <c r="O8974" t="s">
        <v>26523</v>
      </c>
      <c r="P8974" t="s">
        <v>26560</v>
      </c>
      <c r="Q8974" t="s">
        <v>26568</v>
      </c>
      <c r="R8974" t="s">
        <v>26588</v>
      </c>
      <c r="U8974" t="s">
        <v>26604</v>
      </c>
      <c r="X8974">
        <v>0</v>
      </c>
      <c r="Y8974" t="s">
        <v>26652</v>
      </c>
      <c r="AA8974" t="s">
        <v>26678</v>
      </c>
      <c r="AB8974" t="s">
        <v>33036</v>
      </c>
      <c r="AE8974">
        <v>0</v>
      </c>
      <c r="AH8974">
        <v>38</v>
      </c>
      <c r="AI8974">
        <v>4</v>
      </c>
      <c r="AJ8974">
        <v>0</v>
      </c>
      <c r="AK8974">
        <v>231.43</v>
      </c>
      <c r="AN8974" t="s">
        <v>7439</v>
      </c>
      <c r="AO8974">
        <v>58088</v>
      </c>
      <c r="AQ8974" t="s">
        <v>46359</v>
      </c>
      <c r="AR8974" t="s">
        <v>46380</v>
      </c>
      <c r="AS8974" t="s">
        <v>46499</v>
      </c>
      <c r="AT8974" t="s">
        <v>46580</v>
      </c>
      <c r="AU8974">
        <v>31.2</v>
      </c>
      <c r="AV8974" t="s">
        <v>669</v>
      </c>
      <c r="AW8974" t="s">
        <v>46862</v>
      </c>
    </row>
    <row r="8975" spans="1:50">
      <c r="A8975" s="1">
        <f>HYPERLINK("https://lsnyc.legalserver.org/matter/dynamic-profile/view/1875225","18-1875225")</f>
        <v>0</v>
      </c>
      <c r="B8975" t="s">
        <v>132</v>
      </c>
      <c r="C8975" t="s">
        <v>341</v>
      </c>
      <c r="D8975" t="s">
        <v>515</v>
      </c>
      <c r="E8975" t="s">
        <v>599</v>
      </c>
      <c r="F8975" t="s">
        <v>4427</v>
      </c>
      <c r="G8975" t="s">
        <v>8889</v>
      </c>
      <c r="H8975" t="s">
        <v>15747</v>
      </c>
      <c r="I8975" t="s">
        <v>17864</v>
      </c>
      <c r="J8975" t="s">
        <v>18894</v>
      </c>
      <c r="K8975">
        <v>11234</v>
      </c>
      <c r="L8975" t="s">
        <v>18960</v>
      </c>
      <c r="M8975" t="s">
        <v>18960</v>
      </c>
      <c r="N8975" t="s">
        <v>25356</v>
      </c>
      <c r="O8975" t="s">
        <v>26543</v>
      </c>
      <c r="P8975" t="s">
        <v>26564</v>
      </c>
      <c r="Q8975" t="s">
        <v>26570</v>
      </c>
      <c r="R8975" t="s">
        <v>26586</v>
      </c>
      <c r="S8975" t="s">
        <v>18959</v>
      </c>
      <c r="U8975" t="s">
        <v>26605</v>
      </c>
      <c r="X8975">
        <v>226</v>
      </c>
      <c r="Y8975" t="s">
        <v>26652</v>
      </c>
      <c r="Z8975" t="s">
        <v>26655</v>
      </c>
      <c r="AA8975" t="s">
        <v>26683</v>
      </c>
      <c r="AB8975" t="s">
        <v>33150</v>
      </c>
      <c r="AE8975">
        <v>28</v>
      </c>
      <c r="AF8975" t="s">
        <v>45542</v>
      </c>
      <c r="AG8975" t="s">
        <v>19330</v>
      </c>
      <c r="AH8975">
        <v>-3</v>
      </c>
      <c r="AI8975">
        <v>1</v>
      </c>
      <c r="AJ8975">
        <v>0</v>
      </c>
      <c r="AK8975">
        <v>29.65</v>
      </c>
      <c r="AN8975" t="s">
        <v>7439</v>
      </c>
      <c r="AO8975">
        <v>3600</v>
      </c>
      <c r="AU8975">
        <v>7.1</v>
      </c>
      <c r="AV8975" t="s">
        <v>588</v>
      </c>
      <c r="AW8975" t="s">
        <v>237</v>
      </c>
    </row>
    <row r="8976" spans="1:50">
      <c r="A8976" s="1">
        <f>HYPERLINK("https://lsnyc.legalserver.org/matter/dynamic-profile/view/1875413","18-1875413")</f>
        <v>0</v>
      </c>
      <c r="B8976" t="s">
        <v>76</v>
      </c>
      <c r="C8976" t="s">
        <v>341</v>
      </c>
      <c r="D8976" t="s">
        <v>515</v>
      </c>
      <c r="E8976" t="s">
        <v>531</v>
      </c>
      <c r="F8976" t="s">
        <v>2925</v>
      </c>
      <c r="G8976" t="s">
        <v>2086</v>
      </c>
      <c r="H8976" t="s">
        <v>15748</v>
      </c>
      <c r="I8976">
        <v>2</v>
      </c>
      <c r="J8976" t="s">
        <v>18893</v>
      </c>
      <c r="K8976">
        <v>10009</v>
      </c>
      <c r="L8976" t="s">
        <v>18960</v>
      </c>
      <c r="M8976" t="s">
        <v>18960</v>
      </c>
      <c r="O8976" t="s">
        <v>18997</v>
      </c>
      <c r="P8976" t="s">
        <v>26564</v>
      </c>
      <c r="Q8976" t="s">
        <v>26570</v>
      </c>
      <c r="R8976" t="s">
        <v>26578</v>
      </c>
      <c r="U8976" t="s">
        <v>26604</v>
      </c>
      <c r="X8976">
        <v>665</v>
      </c>
      <c r="Y8976" t="s">
        <v>26651</v>
      </c>
      <c r="Z8976" t="s">
        <v>26663</v>
      </c>
      <c r="AA8976" t="s">
        <v>26683</v>
      </c>
      <c r="AB8976" t="s">
        <v>33151</v>
      </c>
      <c r="AD8976" t="s">
        <v>43805</v>
      </c>
      <c r="AE8976">
        <v>0</v>
      </c>
      <c r="AF8976" t="s">
        <v>45541</v>
      </c>
      <c r="AH8976">
        <v>18</v>
      </c>
      <c r="AI8976">
        <v>1</v>
      </c>
      <c r="AJ8976">
        <v>0</v>
      </c>
      <c r="AK8976">
        <v>247.12</v>
      </c>
      <c r="AN8976" t="s">
        <v>45581</v>
      </c>
      <c r="AO8976">
        <v>30000</v>
      </c>
      <c r="AU8976">
        <v>1.25</v>
      </c>
      <c r="AV8976" t="s">
        <v>533</v>
      </c>
      <c r="AW8976" t="s">
        <v>46838</v>
      </c>
    </row>
    <row r="8977" spans="1:49">
      <c r="A8977" s="1">
        <f>HYPERLINK("https://lsnyc.legalserver.org/matter/dynamic-profile/view/1875148","18-1875148")</f>
        <v>0</v>
      </c>
      <c r="B8977" t="s">
        <v>279</v>
      </c>
      <c r="C8977" t="s">
        <v>341</v>
      </c>
      <c r="D8977" t="s">
        <v>515</v>
      </c>
      <c r="E8977" t="s">
        <v>594</v>
      </c>
      <c r="F8977" t="s">
        <v>4428</v>
      </c>
      <c r="G8977" t="s">
        <v>5026</v>
      </c>
      <c r="H8977" t="s">
        <v>15749</v>
      </c>
      <c r="I8977">
        <v>4</v>
      </c>
      <c r="J8977" t="s">
        <v>18894</v>
      </c>
      <c r="K8977">
        <v>11233</v>
      </c>
      <c r="L8977" t="s">
        <v>18959</v>
      </c>
      <c r="M8977" t="s">
        <v>18959</v>
      </c>
      <c r="Q8977" t="s">
        <v>26570</v>
      </c>
      <c r="R8977" t="s">
        <v>26578</v>
      </c>
      <c r="U8977" t="s">
        <v>26604</v>
      </c>
      <c r="X8977">
        <v>1834</v>
      </c>
      <c r="Y8977" t="s">
        <v>26652</v>
      </c>
      <c r="Z8977" t="s">
        <v>26673</v>
      </c>
      <c r="AA8977" t="s">
        <v>26683</v>
      </c>
      <c r="AB8977" t="s">
        <v>33152</v>
      </c>
      <c r="AD8977" t="s">
        <v>43806</v>
      </c>
      <c r="AE8977">
        <v>7</v>
      </c>
      <c r="AF8977" t="s">
        <v>45543</v>
      </c>
      <c r="AG8977" t="s">
        <v>45556</v>
      </c>
      <c r="AH8977">
        <v>10</v>
      </c>
      <c r="AI8977">
        <v>1</v>
      </c>
      <c r="AJ8977">
        <v>0</v>
      </c>
      <c r="AK8977">
        <v>82.04000000000001</v>
      </c>
      <c r="AN8977" t="s">
        <v>7439</v>
      </c>
      <c r="AO8977">
        <v>9960</v>
      </c>
      <c r="AU8977">
        <v>1.5</v>
      </c>
      <c r="AV8977" t="s">
        <v>594</v>
      </c>
      <c r="AW8977" t="s">
        <v>46843</v>
      </c>
    </row>
    <row r="8978" spans="1:49">
      <c r="A8978" s="1">
        <f>HYPERLINK("https://lsnyc.legalserver.org/matter/dynamic-profile/view/1875124","18-1875124")</f>
        <v>0</v>
      </c>
      <c r="B8978" t="s">
        <v>165</v>
      </c>
      <c r="C8978" t="s">
        <v>340</v>
      </c>
      <c r="D8978" t="s">
        <v>515</v>
      </c>
      <c r="F8978" t="s">
        <v>4429</v>
      </c>
      <c r="G8978" t="s">
        <v>8890</v>
      </c>
      <c r="H8978" t="s">
        <v>15750</v>
      </c>
      <c r="I8978">
        <v>11</v>
      </c>
      <c r="J8978" t="s">
        <v>18893</v>
      </c>
      <c r="K8978">
        <v>10039</v>
      </c>
      <c r="L8978" t="s">
        <v>18958</v>
      </c>
      <c r="M8978" t="s">
        <v>18960</v>
      </c>
      <c r="N8978" t="s">
        <v>25357</v>
      </c>
      <c r="O8978" t="s">
        <v>26524</v>
      </c>
      <c r="P8978" t="s">
        <v>26563</v>
      </c>
      <c r="R8978" t="s">
        <v>26582</v>
      </c>
      <c r="S8978" t="s">
        <v>18959</v>
      </c>
      <c r="U8978" t="s">
        <v>26604</v>
      </c>
      <c r="X8978">
        <v>1180</v>
      </c>
      <c r="Y8978" t="s">
        <v>26651</v>
      </c>
      <c r="Z8978" t="s">
        <v>26664</v>
      </c>
      <c r="AB8978" t="s">
        <v>33153</v>
      </c>
      <c r="AD8978" t="s">
        <v>43807</v>
      </c>
      <c r="AE8978">
        <v>22</v>
      </c>
      <c r="AF8978" t="s">
        <v>20460</v>
      </c>
      <c r="AG8978" t="s">
        <v>19330</v>
      </c>
      <c r="AH8978">
        <v>19</v>
      </c>
      <c r="AI8978">
        <v>3</v>
      </c>
      <c r="AJ8978">
        <v>1</v>
      </c>
      <c r="AK8978">
        <v>165.74</v>
      </c>
      <c r="AN8978" t="s">
        <v>7439</v>
      </c>
      <c r="AO8978">
        <v>41600</v>
      </c>
      <c r="AU8978">
        <v>48.6</v>
      </c>
      <c r="AV8978" t="s">
        <v>797</v>
      </c>
      <c r="AW8978" t="s">
        <v>314</v>
      </c>
    </row>
    <row r="8979" spans="1:49">
      <c r="A8979" s="1">
        <f>HYPERLINK("https://lsnyc.legalserver.org/matter/dynamic-profile/view/1875138","18-1875138")</f>
        <v>0</v>
      </c>
      <c r="B8979" t="s">
        <v>200</v>
      </c>
      <c r="C8979" t="s">
        <v>340</v>
      </c>
      <c r="D8979" t="s">
        <v>515</v>
      </c>
      <c r="F8979" t="s">
        <v>3886</v>
      </c>
      <c r="G8979" t="s">
        <v>5208</v>
      </c>
      <c r="H8979" t="s">
        <v>15751</v>
      </c>
      <c r="J8979" t="s">
        <v>18894</v>
      </c>
      <c r="K8979">
        <v>11221</v>
      </c>
      <c r="L8979" t="s">
        <v>18960</v>
      </c>
      <c r="M8979" t="s">
        <v>18960</v>
      </c>
      <c r="R8979" t="s">
        <v>26578</v>
      </c>
      <c r="U8979" t="s">
        <v>26604</v>
      </c>
      <c r="X8979">
        <v>0</v>
      </c>
      <c r="Y8979" t="s">
        <v>26652</v>
      </c>
      <c r="AB8979" t="s">
        <v>29073</v>
      </c>
      <c r="AD8979" t="s">
        <v>43808</v>
      </c>
      <c r="AE8979">
        <v>6</v>
      </c>
      <c r="AH8979">
        <v>8</v>
      </c>
      <c r="AI8979">
        <v>1</v>
      </c>
      <c r="AJ8979">
        <v>0</v>
      </c>
      <c r="AK8979">
        <v>0</v>
      </c>
      <c r="AN8979" t="s">
        <v>7439</v>
      </c>
      <c r="AO8979">
        <v>0</v>
      </c>
      <c r="AU8979">
        <v>1</v>
      </c>
      <c r="AV8979" t="s">
        <v>515</v>
      </c>
      <c r="AW8979" t="s">
        <v>46857</v>
      </c>
    </row>
    <row r="8980" spans="1:49">
      <c r="A8980" s="1">
        <f>HYPERLINK("https://lsnyc.legalserver.org/matter/dynamic-profile/view/1875145","18-1875145")</f>
        <v>0</v>
      </c>
      <c r="B8980" t="s">
        <v>238</v>
      </c>
      <c r="C8980" t="s">
        <v>340</v>
      </c>
      <c r="D8980" t="s">
        <v>515</v>
      </c>
      <c r="F8980" t="s">
        <v>2222</v>
      </c>
      <c r="G8980" t="s">
        <v>5818</v>
      </c>
      <c r="H8980" t="s">
        <v>15752</v>
      </c>
      <c r="I8980" t="s">
        <v>17352</v>
      </c>
      <c r="J8980" t="s">
        <v>18894</v>
      </c>
      <c r="K8980">
        <v>11206</v>
      </c>
      <c r="L8980" t="s">
        <v>18960</v>
      </c>
      <c r="M8980" t="s">
        <v>18960</v>
      </c>
      <c r="N8980" t="s">
        <v>25358</v>
      </c>
      <c r="O8980" t="s">
        <v>26523</v>
      </c>
      <c r="P8980" t="s">
        <v>26560</v>
      </c>
      <c r="R8980" t="s">
        <v>26586</v>
      </c>
      <c r="S8980" t="s">
        <v>18959</v>
      </c>
      <c r="U8980" t="s">
        <v>26605</v>
      </c>
      <c r="X8980">
        <v>2086</v>
      </c>
      <c r="Y8980" t="s">
        <v>26652</v>
      </c>
      <c r="Z8980" t="s">
        <v>26659</v>
      </c>
      <c r="AB8980" t="s">
        <v>27566</v>
      </c>
      <c r="AD8980" t="s">
        <v>43809</v>
      </c>
      <c r="AE8980">
        <v>0</v>
      </c>
      <c r="AF8980" t="s">
        <v>45549</v>
      </c>
      <c r="AH8980">
        <v>23</v>
      </c>
      <c r="AI8980">
        <v>5</v>
      </c>
      <c r="AJ8980">
        <v>3</v>
      </c>
      <c r="AK8980">
        <v>55.21</v>
      </c>
      <c r="AN8980" t="s">
        <v>7439</v>
      </c>
      <c r="AO8980">
        <v>23400</v>
      </c>
      <c r="AU8980">
        <v>6.5</v>
      </c>
      <c r="AV8980" t="s">
        <v>702</v>
      </c>
      <c r="AW8980" t="s">
        <v>281</v>
      </c>
    </row>
    <row r="8981" spans="1:49">
      <c r="A8981" s="1">
        <f>HYPERLINK("https://lsnyc.legalserver.org/matter/dynamic-profile/view/1875115","18-1875115")</f>
        <v>0</v>
      </c>
      <c r="B8981" t="s">
        <v>63</v>
      </c>
      <c r="C8981" t="s">
        <v>340</v>
      </c>
      <c r="D8981" t="s">
        <v>515</v>
      </c>
      <c r="F8981" t="s">
        <v>1540</v>
      </c>
      <c r="G8981" t="s">
        <v>8891</v>
      </c>
      <c r="H8981" t="s">
        <v>15583</v>
      </c>
      <c r="I8981" t="s">
        <v>17342</v>
      </c>
      <c r="J8981" t="s">
        <v>18892</v>
      </c>
      <c r="K8981">
        <v>10453</v>
      </c>
      <c r="L8981" t="s">
        <v>18958</v>
      </c>
      <c r="M8981" t="s">
        <v>18958</v>
      </c>
      <c r="N8981" t="s">
        <v>25359</v>
      </c>
      <c r="O8981" t="s">
        <v>26523</v>
      </c>
      <c r="P8981" t="s">
        <v>26560</v>
      </c>
      <c r="R8981" t="s">
        <v>26578</v>
      </c>
      <c r="S8981" t="s">
        <v>18959</v>
      </c>
      <c r="U8981" t="s">
        <v>26604</v>
      </c>
      <c r="X8981">
        <v>1040</v>
      </c>
      <c r="Y8981" t="s">
        <v>26650</v>
      </c>
      <c r="AB8981" t="s">
        <v>33154</v>
      </c>
      <c r="AD8981" t="s">
        <v>43810</v>
      </c>
      <c r="AE8981">
        <v>0</v>
      </c>
      <c r="AF8981" t="s">
        <v>45541</v>
      </c>
      <c r="AG8981" t="s">
        <v>19330</v>
      </c>
      <c r="AH8981">
        <v>26</v>
      </c>
      <c r="AI8981">
        <v>1</v>
      </c>
      <c r="AJ8981">
        <v>0</v>
      </c>
      <c r="AK8981">
        <v>411.86</v>
      </c>
      <c r="AO8981">
        <v>50000</v>
      </c>
      <c r="AP8981" t="s">
        <v>46124</v>
      </c>
      <c r="AU8981">
        <v>13.5</v>
      </c>
      <c r="AV8981" t="s">
        <v>652</v>
      </c>
      <c r="AW8981" t="s">
        <v>46832</v>
      </c>
    </row>
    <row r="8982" spans="1:49">
      <c r="A8982" s="1">
        <f>HYPERLINK("https://lsnyc.legalserver.org/matter/dynamic-profile/view/1875235","18-1875235")</f>
        <v>0</v>
      </c>
      <c r="B8982" t="s">
        <v>307</v>
      </c>
      <c r="C8982" t="s">
        <v>341</v>
      </c>
      <c r="D8982" t="s">
        <v>526</v>
      </c>
      <c r="E8982" t="s">
        <v>645</v>
      </c>
      <c r="F8982" t="s">
        <v>2002</v>
      </c>
      <c r="G8982" t="s">
        <v>5147</v>
      </c>
      <c r="H8982" t="s">
        <v>15753</v>
      </c>
      <c r="I8982" t="s">
        <v>17347</v>
      </c>
      <c r="J8982" t="s">
        <v>18894</v>
      </c>
      <c r="K8982">
        <v>11221</v>
      </c>
      <c r="L8982" t="s">
        <v>18960</v>
      </c>
      <c r="M8982" t="s">
        <v>18960</v>
      </c>
      <c r="Q8982" t="s">
        <v>26571</v>
      </c>
      <c r="R8982" t="s">
        <v>26591</v>
      </c>
      <c r="U8982" t="s">
        <v>26607</v>
      </c>
      <c r="X8982">
        <v>0</v>
      </c>
      <c r="Y8982" t="s">
        <v>26652</v>
      </c>
      <c r="AA8982" t="s">
        <v>26682</v>
      </c>
      <c r="AB8982" t="s">
        <v>33155</v>
      </c>
      <c r="AD8982" t="s">
        <v>43811</v>
      </c>
      <c r="AE8982">
        <v>0</v>
      </c>
      <c r="AH8982">
        <v>0</v>
      </c>
      <c r="AI8982">
        <v>2</v>
      </c>
      <c r="AJ8982">
        <v>2</v>
      </c>
      <c r="AK8982">
        <v>72.48</v>
      </c>
      <c r="AN8982" t="s">
        <v>7439</v>
      </c>
      <c r="AO8982">
        <v>18192</v>
      </c>
      <c r="AU8982">
        <v>1.5</v>
      </c>
      <c r="AV8982" t="s">
        <v>477</v>
      </c>
      <c r="AW8982" t="s">
        <v>307</v>
      </c>
    </row>
    <row r="8983" spans="1:49">
      <c r="A8983" s="1">
        <f>HYPERLINK("https://lsnyc.legalserver.org/matter/dynamic-profile/view/1875253","18-1875253")</f>
        <v>0</v>
      </c>
      <c r="B8983" t="s">
        <v>116</v>
      </c>
      <c r="C8983" t="s">
        <v>341</v>
      </c>
      <c r="D8983" t="s">
        <v>526</v>
      </c>
      <c r="E8983" t="s">
        <v>747</v>
      </c>
      <c r="F8983" t="s">
        <v>1234</v>
      </c>
      <c r="G8983" t="s">
        <v>5785</v>
      </c>
      <c r="H8983" t="s">
        <v>12132</v>
      </c>
      <c r="I8983">
        <v>2</v>
      </c>
      <c r="J8983" t="s">
        <v>18894</v>
      </c>
      <c r="K8983">
        <v>11233</v>
      </c>
      <c r="L8983" t="s">
        <v>18958</v>
      </c>
      <c r="M8983" t="s">
        <v>18959</v>
      </c>
      <c r="O8983" t="s">
        <v>26523</v>
      </c>
      <c r="P8983" t="s">
        <v>26565</v>
      </c>
      <c r="Q8983" t="s">
        <v>26571</v>
      </c>
      <c r="R8983" t="s">
        <v>26578</v>
      </c>
      <c r="S8983" t="s">
        <v>18959</v>
      </c>
      <c r="U8983" t="s">
        <v>26604</v>
      </c>
      <c r="V8983" t="s">
        <v>26610</v>
      </c>
      <c r="X8983">
        <v>1363</v>
      </c>
      <c r="Y8983" t="s">
        <v>26652</v>
      </c>
      <c r="Z8983" t="s">
        <v>26659</v>
      </c>
      <c r="AA8983" t="s">
        <v>26678</v>
      </c>
      <c r="AB8983" t="s">
        <v>33156</v>
      </c>
      <c r="AD8983" t="s">
        <v>43812</v>
      </c>
      <c r="AE8983">
        <v>8</v>
      </c>
      <c r="AF8983" t="s">
        <v>45541</v>
      </c>
      <c r="AG8983" t="s">
        <v>45556</v>
      </c>
      <c r="AH8983">
        <v>4</v>
      </c>
      <c r="AI8983">
        <v>1</v>
      </c>
      <c r="AJ8983">
        <v>1</v>
      </c>
      <c r="AK8983">
        <v>176.12</v>
      </c>
      <c r="AN8983" t="s">
        <v>7439</v>
      </c>
      <c r="AO8983">
        <v>28990</v>
      </c>
      <c r="AP8983" t="s">
        <v>46125</v>
      </c>
      <c r="AU8983">
        <v>0.9</v>
      </c>
      <c r="AV8983" t="s">
        <v>452</v>
      </c>
      <c r="AW8983" t="s">
        <v>116</v>
      </c>
    </row>
    <row r="8984" spans="1:49">
      <c r="A8984" s="1">
        <f>HYPERLINK("https://lsnyc.legalserver.org/matter/dynamic-profile/view/1875249","18-1875249")</f>
        <v>0</v>
      </c>
      <c r="B8984" t="s">
        <v>161</v>
      </c>
      <c r="C8984" t="s">
        <v>341</v>
      </c>
      <c r="D8984" t="s">
        <v>526</v>
      </c>
      <c r="E8984" t="s">
        <v>526</v>
      </c>
      <c r="F8984" t="s">
        <v>1002</v>
      </c>
      <c r="G8984" t="s">
        <v>8892</v>
      </c>
      <c r="H8984" t="s">
        <v>10690</v>
      </c>
      <c r="I8984" t="s">
        <v>18391</v>
      </c>
      <c r="J8984" t="s">
        <v>18920</v>
      </c>
      <c r="K8984">
        <v>11369</v>
      </c>
      <c r="L8984" t="s">
        <v>18959</v>
      </c>
      <c r="M8984" t="s">
        <v>18958</v>
      </c>
      <c r="N8984" t="s">
        <v>25360</v>
      </c>
      <c r="O8984" t="s">
        <v>26526</v>
      </c>
      <c r="P8984" t="s">
        <v>26564</v>
      </c>
      <c r="Q8984" t="s">
        <v>26570</v>
      </c>
      <c r="R8984" t="s">
        <v>26578</v>
      </c>
      <c r="S8984" t="s">
        <v>18959</v>
      </c>
      <c r="U8984" t="s">
        <v>26604</v>
      </c>
      <c r="V8984" t="s">
        <v>26610</v>
      </c>
      <c r="X8984">
        <v>800</v>
      </c>
      <c r="Y8984" t="s">
        <v>26653</v>
      </c>
      <c r="Z8984" t="s">
        <v>26664</v>
      </c>
      <c r="AA8984" t="s">
        <v>26683</v>
      </c>
      <c r="AB8984" t="s">
        <v>27294</v>
      </c>
      <c r="AC8984" t="s">
        <v>19330</v>
      </c>
      <c r="AD8984" t="s">
        <v>43813</v>
      </c>
      <c r="AE8984">
        <v>3</v>
      </c>
      <c r="AF8984" t="s">
        <v>45547</v>
      </c>
      <c r="AG8984" t="s">
        <v>19330</v>
      </c>
      <c r="AH8984">
        <v>1</v>
      </c>
      <c r="AI8984">
        <v>2</v>
      </c>
      <c r="AJ8984">
        <v>1</v>
      </c>
      <c r="AK8984">
        <v>132.63</v>
      </c>
      <c r="AN8984" t="s">
        <v>7439</v>
      </c>
      <c r="AO8984">
        <v>27560</v>
      </c>
      <c r="AU8984">
        <v>0.3</v>
      </c>
      <c r="AV8984" t="s">
        <v>526</v>
      </c>
      <c r="AW8984" t="s">
        <v>161</v>
      </c>
    </row>
    <row r="8985" spans="1:49">
      <c r="A8985" s="1">
        <f>HYPERLINK("https://lsnyc.legalserver.org/matter/dynamic-profile/view/1875242","18-1875242")</f>
        <v>0</v>
      </c>
      <c r="B8985" t="s">
        <v>198</v>
      </c>
      <c r="C8985" t="s">
        <v>340</v>
      </c>
      <c r="D8985" t="s">
        <v>526</v>
      </c>
      <c r="F8985" t="s">
        <v>2495</v>
      </c>
      <c r="G8985" t="s">
        <v>5295</v>
      </c>
      <c r="H8985" t="s">
        <v>10230</v>
      </c>
      <c r="I8985" t="s">
        <v>17424</v>
      </c>
      <c r="J8985" t="s">
        <v>18894</v>
      </c>
      <c r="K8985">
        <v>11226</v>
      </c>
      <c r="L8985" t="s">
        <v>18960</v>
      </c>
      <c r="M8985" t="s">
        <v>18960</v>
      </c>
      <c r="R8985" t="s">
        <v>26578</v>
      </c>
      <c r="U8985" t="s">
        <v>26604</v>
      </c>
      <c r="X8985">
        <v>0</v>
      </c>
      <c r="Y8985" t="s">
        <v>26652</v>
      </c>
      <c r="AB8985" t="s">
        <v>33157</v>
      </c>
      <c r="AD8985" t="s">
        <v>43814</v>
      </c>
      <c r="AE8985">
        <v>0</v>
      </c>
      <c r="AH8985">
        <v>0</v>
      </c>
      <c r="AI8985">
        <v>2</v>
      </c>
      <c r="AJ8985">
        <v>0</v>
      </c>
      <c r="AK8985">
        <v>157.96</v>
      </c>
      <c r="AN8985" t="s">
        <v>7439</v>
      </c>
      <c r="AO8985">
        <v>26000</v>
      </c>
      <c r="AU8985">
        <v>0</v>
      </c>
      <c r="AW8985" t="s">
        <v>198</v>
      </c>
    </row>
    <row r="8986" spans="1:49">
      <c r="A8986" s="1">
        <f>HYPERLINK("https://lsnyc.legalserver.org/matter/dynamic-profile/view/1875382","18-1875382")</f>
        <v>0</v>
      </c>
      <c r="B8986" t="s">
        <v>89</v>
      </c>
      <c r="C8986" t="s">
        <v>341</v>
      </c>
      <c r="D8986" t="s">
        <v>528</v>
      </c>
      <c r="E8986" t="s">
        <v>684</v>
      </c>
      <c r="F8986" t="s">
        <v>887</v>
      </c>
      <c r="G8986" t="s">
        <v>6401</v>
      </c>
      <c r="H8986" t="s">
        <v>15754</v>
      </c>
      <c r="I8986" t="s">
        <v>18350</v>
      </c>
      <c r="J8986" t="s">
        <v>18893</v>
      </c>
      <c r="K8986">
        <v>10009</v>
      </c>
      <c r="L8986" t="s">
        <v>18958</v>
      </c>
      <c r="M8986" t="s">
        <v>18958</v>
      </c>
      <c r="O8986" t="s">
        <v>18997</v>
      </c>
      <c r="P8986" t="s">
        <v>26564</v>
      </c>
      <c r="Q8986" t="s">
        <v>26570</v>
      </c>
      <c r="R8986" t="s">
        <v>26592</v>
      </c>
      <c r="S8986" t="s">
        <v>18959</v>
      </c>
      <c r="U8986" t="s">
        <v>26605</v>
      </c>
      <c r="X8986">
        <v>1136</v>
      </c>
      <c r="Y8986" t="s">
        <v>26651</v>
      </c>
      <c r="Z8986" t="s">
        <v>26667</v>
      </c>
      <c r="AA8986" t="s">
        <v>26683</v>
      </c>
      <c r="AB8986" t="s">
        <v>33158</v>
      </c>
      <c r="AD8986" t="s">
        <v>43815</v>
      </c>
      <c r="AE8986">
        <v>0</v>
      </c>
      <c r="AF8986" t="s">
        <v>45549</v>
      </c>
      <c r="AG8986" t="s">
        <v>19330</v>
      </c>
      <c r="AH8986">
        <v>12</v>
      </c>
      <c r="AI8986">
        <v>2</v>
      </c>
      <c r="AJ8986">
        <v>1</v>
      </c>
      <c r="AK8986">
        <v>111.05</v>
      </c>
      <c r="AN8986" t="s">
        <v>45581</v>
      </c>
      <c r="AO8986">
        <v>23076</v>
      </c>
      <c r="AU8986">
        <v>2.5</v>
      </c>
      <c r="AV8986" t="s">
        <v>670</v>
      </c>
      <c r="AW8986" t="s">
        <v>314</v>
      </c>
    </row>
    <row r="8987" spans="1:49">
      <c r="A8987" s="1">
        <f>HYPERLINK("https://lsnyc.legalserver.org/matter/dynamic-profile/view/1875336","18-1875336")</f>
        <v>0</v>
      </c>
      <c r="B8987" t="s">
        <v>89</v>
      </c>
      <c r="C8987" t="s">
        <v>341</v>
      </c>
      <c r="D8987" t="s">
        <v>528</v>
      </c>
      <c r="E8987" t="s">
        <v>494</v>
      </c>
      <c r="F8987" t="s">
        <v>1206</v>
      </c>
      <c r="G8987" t="s">
        <v>5403</v>
      </c>
      <c r="H8987" t="s">
        <v>11491</v>
      </c>
      <c r="I8987" t="s">
        <v>17347</v>
      </c>
      <c r="J8987" t="s">
        <v>18893</v>
      </c>
      <c r="K8987">
        <v>10009</v>
      </c>
      <c r="L8987" t="s">
        <v>18958</v>
      </c>
      <c r="M8987" t="s">
        <v>18958</v>
      </c>
      <c r="O8987" t="s">
        <v>18997</v>
      </c>
      <c r="P8987" t="s">
        <v>26564</v>
      </c>
      <c r="Q8987" t="s">
        <v>26570</v>
      </c>
      <c r="R8987" t="s">
        <v>26594</v>
      </c>
      <c r="S8987" t="s">
        <v>18959</v>
      </c>
      <c r="U8987" t="s">
        <v>26605</v>
      </c>
      <c r="X8987">
        <v>194</v>
      </c>
      <c r="Y8987" t="s">
        <v>26651</v>
      </c>
      <c r="Z8987" t="s">
        <v>26667</v>
      </c>
      <c r="AA8987" t="s">
        <v>26683</v>
      </c>
      <c r="AB8987" t="s">
        <v>33159</v>
      </c>
      <c r="AD8987" t="s">
        <v>43816</v>
      </c>
      <c r="AE8987">
        <v>0</v>
      </c>
      <c r="AF8987" t="s">
        <v>45549</v>
      </c>
      <c r="AG8987" t="s">
        <v>19330</v>
      </c>
      <c r="AH8987">
        <v>15</v>
      </c>
      <c r="AI8987">
        <v>1</v>
      </c>
      <c r="AJ8987">
        <v>0</v>
      </c>
      <c r="AK8987">
        <v>84.70999999999999</v>
      </c>
      <c r="AN8987" t="s">
        <v>7439</v>
      </c>
      <c r="AO8987">
        <v>10284</v>
      </c>
      <c r="AU8987">
        <v>3.75</v>
      </c>
      <c r="AV8987" t="s">
        <v>704</v>
      </c>
      <c r="AW8987" t="s">
        <v>314</v>
      </c>
    </row>
    <row r="8988" spans="1:49">
      <c r="A8988" s="1">
        <f>HYPERLINK("https://lsnyc.legalserver.org/matter/dynamic-profile/view/1875387","18-1875387")</f>
        <v>0</v>
      </c>
      <c r="B8988" t="s">
        <v>256</v>
      </c>
      <c r="C8988" t="s">
        <v>341</v>
      </c>
      <c r="D8988" t="s">
        <v>528</v>
      </c>
      <c r="E8988" t="s">
        <v>528</v>
      </c>
      <c r="F8988" t="s">
        <v>1730</v>
      </c>
      <c r="G8988" t="s">
        <v>5189</v>
      </c>
      <c r="H8988" t="s">
        <v>15755</v>
      </c>
      <c r="I8988" t="s">
        <v>17548</v>
      </c>
      <c r="J8988" t="s">
        <v>18902</v>
      </c>
      <c r="K8988">
        <v>10301</v>
      </c>
      <c r="L8988" t="s">
        <v>18960</v>
      </c>
      <c r="M8988" t="s">
        <v>18960</v>
      </c>
      <c r="P8988" t="s">
        <v>26564</v>
      </c>
      <c r="Q8988" t="s">
        <v>26570</v>
      </c>
      <c r="R8988" t="s">
        <v>26587</v>
      </c>
      <c r="U8988" t="s">
        <v>26604</v>
      </c>
      <c r="X8988">
        <v>2568.38</v>
      </c>
      <c r="Y8988" t="s">
        <v>26654</v>
      </c>
      <c r="AA8988" t="s">
        <v>26683</v>
      </c>
      <c r="AB8988" t="s">
        <v>33160</v>
      </c>
      <c r="AD8988" t="s">
        <v>43817</v>
      </c>
      <c r="AE8988">
        <v>0</v>
      </c>
      <c r="AH8988">
        <v>8</v>
      </c>
      <c r="AI8988">
        <v>5</v>
      </c>
      <c r="AJ8988">
        <v>9</v>
      </c>
      <c r="AK8988">
        <v>28.04</v>
      </c>
      <c r="AN8988" t="s">
        <v>7439</v>
      </c>
      <c r="AO8988">
        <v>19148</v>
      </c>
      <c r="AU8988">
        <v>0.1</v>
      </c>
      <c r="AV8988" t="s">
        <v>528</v>
      </c>
      <c r="AW8988" t="s">
        <v>46855</v>
      </c>
    </row>
    <row r="8989" spans="1:49">
      <c r="A8989" s="1">
        <f>HYPERLINK("https://lsnyc.legalserver.org/matter/dynamic-profile/view/1874071","18-1874071")</f>
        <v>0</v>
      </c>
      <c r="B8989" t="s">
        <v>149</v>
      </c>
      <c r="C8989" t="s">
        <v>341</v>
      </c>
      <c r="D8989" t="s">
        <v>516</v>
      </c>
      <c r="E8989" t="s">
        <v>494</v>
      </c>
      <c r="F8989" t="s">
        <v>1036</v>
      </c>
      <c r="G8989" t="s">
        <v>6191</v>
      </c>
      <c r="H8989" t="s">
        <v>11220</v>
      </c>
      <c r="J8989" t="s">
        <v>18892</v>
      </c>
      <c r="K8989">
        <v>10452</v>
      </c>
      <c r="L8989" t="s">
        <v>18958</v>
      </c>
      <c r="M8989" t="s">
        <v>18960</v>
      </c>
      <c r="O8989" t="s">
        <v>26523</v>
      </c>
      <c r="P8989" t="s">
        <v>26564</v>
      </c>
      <c r="Q8989" t="s">
        <v>26570</v>
      </c>
      <c r="R8989" t="s">
        <v>26591</v>
      </c>
      <c r="S8989" t="s">
        <v>18959</v>
      </c>
      <c r="U8989" t="s">
        <v>26604</v>
      </c>
      <c r="X8989">
        <v>705.71</v>
      </c>
      <c r="Y8989" t="s">
        <v>26650</v>
      </c>
      <c r="Z8989" t="s">
        <v>26663</v>
      </c>
      <c r="AA8989" t="s">
        <v>26683</v>
      </c>
      <c r="AB8989" t="s">
        <v>27918</v>
      </c>
      <c r="AD8989" t="s">
        <v>38464</v>
      </c>
      <c r="AE8989">
        <v>0</v>
      </c>
      <c r="AF8989" t="s">
        <v>45541</v>
      </c>
      <c r="AG8989" t="s">
        <v>19330</v>
      </c>
      <c r="AH8989">
        <v>35</v>
      </c>
      <c r="AI8989">
        <v>3</v>
      </c>
      <c r="AJ8989">
        <v>0</v>
      </c>
      <c r="AK8989">
        <v>0</v>
      </c>
      <c r="AN8989" t="s">
        <v>7439</v>
      </c>
      <c r="AO8989">
        <v>0</v>
      </c>
      <c r="AP8989" t="s">
        <v>46126</v>
      </c>
      <c r="AU8989">
        <v>1</v>
      </c>
      <c r="AV8989" t="s">
        <v>492</v>
      </c>
      <c r="AW8989" t="s">
        <v>149</v>
      </c>
    </row>
    <row r="8990" spans="1:49">
      <c r="A8990" s="1">
        <f>HYPERLINK("https://lsnyc.legalserver.org/matter/dynamic-profile/view/1875454","18-1875454")</f>
        <v>0</v>
      </c>
      <c r="B8990" t="s">
        <v>232</v>
      </c>
      <c r="C8990" t="s">
        <v>341</v>
      </c>
      <c r="D8990" t="s">
        <v>516</v>
      </c>
      <c r="E8990" t="s">
        <v>693</v>
      </c>
      <c r="F8990" t="s">
        <v>4430</v>
      </c>
      <c r="G8990" t="s">
        <v>8136</v>
      </c>
      <c r="H8990" t="s">
        <v>15756</v>
      </c>
      <c r="I8990" t="s">
        <v>17290</v>
      </c>
      <c r="J8990" t="s">
        <v>18894</v>
      </c>
      <c r="K8990">
        <v>11205</v>
      </c>
      <c r="L8990" t="s">
        <v>18959</v>
      </c>
      <c r="M8990" t="s">
        <v>18960</v>
      </c>
      <c r="O8990" t="s">
        <v>26524</v>
      </c>
      <c r="P8990" t="s">
        <v>26560</v>
      </c>
      <c r="Q8990" t="s">
        <v>26573</v>
      </c>
      <c r="R8990" t="s">
        <v>26586</v>
      </c>
      <c r="S8990" t="s">
        <v>18959</v>
      </c>
      <c r="U8990" t="s">
        <v>26605</v>
      </c>
      <c r="X8990">
        <v>250</v>
      </c>
      <c r="Y8990" t="s">
        <v>26652</v>
      </c>
      <c r="Z8990" t="s">
        <v>26659</v>
      </c>
      <c r="AA8990" t="s">
        <v>26680</v>
      </c>
      <c r="AB8990" t="s">
        <v>33161</v>
      </c>
      <c r="AD8990" t="s">
        <v>43818</v>
      </c>
      <c r="AE8990">
        <v>36</v>
      </c>
      <c r="AF8990" t="s">
        <v>45542</v>
      </c>
      <c r="AG8990" t="s">
        <v>19330</v>
      </c>
      <c r="AH8990">
        <v>15</v>
      </c>
      <c r="AI8990">
        <v>1</v>
      </c>
      <c r="AJ8990">
        <v>0</v>
      </c>
      <c r="AK8990">
        <v>192.75</v>
      </c>
      <c r="AN8990" t="s">
        <v>7439</v>
      </c>
      <c r="AO8990">
        <v>23400</v>
      </c>
      <c r="AR8990" t="s">
        <v>46379</v>
      </c>
      <c r="AS8990" t="s">
        <v>46499</v>
      </c>
      <c r="AT8990" t="s">
        <v>46663</v>
      </c>
      <c r="AU8990">
        <v>7.85</v>
      </c>
      <c r="AV8990" t="s">
        <v>693</v>
      </c>
      <c r="AW8990" t="s">
        <v>46853</v>
      </c>
    </row>
    <row r="8991" spans="1:49">
      <c r="A8991" s="1">
        <f>HYPERLINK("https://lsnyc.legalserver.org/matter/dynamic-profile/view/1875489","18-1875489")</f>
        <v>0</v>
      </c>
      <c r="B8991" t="s">
        <v>161</v>
      </c>
      <c r="C8991" t="s">
        <v>341</v>
      </c>
      <c r="D8991" t="s">
        <v>516</v>
      </c>
      <c r="E8991" t="s">
        <v>531</v>
      </c>
      <c r="F8991" t="s">
        <v>3422</v>
      </c>
      <c r="G8991" t="s">
        <v>8893</v>
      </c>
      <c r="H8991" t="s">
        <v>15757</v>
      </c>
      <c r="I8991" t="s">
        <v>17430</v>
      </c>
      <c r="J8991" t="s">
        <v>18934</v>
      </c>
      <c r="K8991">
        <v>11413</v>
      </c>
      <c r="L8991" t="s">
        <v>18958</v>
      </c>
      <c r="M8991" t="s">
        <v>18960</v>
      </c>
      <c r="N8991" t="s">
        <v>25361</v>
      </c>
      <c r="O8991" t="s">
        <v>26524</v>
      </c>
      <c r="P8991" t="s">
        <v>26560</v>
      </c>
      <c r="Q8991" t="s">
        <v>26568</v>
      </c>
      <c r="R8991" t="s">
        <v>26593</v>
      </c>
      <c r="S8991" t="s">
        <v>18959</v>
      </c>
      <c r="U8991" t="s">
        <v>26604</v>
      </c>
      <c r="X8991">
        <v>0</v>
      </c>
      <c r="Y8991" t="s">
        <v>26653</v>
      </c>
      <c r="Z8991" t="s">
        <v>26659</v>
      </c>
      <c r="AA8991" t="s">
        <v>26678</v>
      </c>
      <c r="AB8991" t="s">
        <v>33162</v>
      </c>
      <c r="AC8991" t="s">
        <v>19330</v>
      </c>
      <c r="AD8991" t="s">
        <v>43819</v>
      </c>
      <c r="AE8991">
        <v>2</v>
      </c>
      <c r="AF8991" t="s">
        <v>45541</v>
      </c>
      <c r="AG8991" t="s">
        <v>19330</v>
      </c>
      <c r="AH8991">
        <v>6</v>
      </c>
      <c r="AI8991">
        <v>1</v>
      </c>
      <c r="AJ8991">
        <v>3</v>
      </c>
      <c r="AK8991">
        <v>191.24</v>
      </c>
      <c r="AN8991" t="s">
        <v>7439</v>
      </c>
      <c r="AO8991">
        <v>48000</v>
      </c>
      <c r="AU8991">
        <v>0.3</v>
      </c>
      <c r="AV8991" t="s">
        <v>531</v>
      </c>
      <c r="AW8991" t="s">
        <v>161</v>
      </c>
    </row>
    <row r="8992" spans="1:49">
      <c r="A8992" s="1">
        <f>HYPERLINK("https://lsnyc.legalserver.org/matter/dynamic-profile/view/1874229","18-1874229")</f>
        <v>0</v>
      </c>
      <c r="B8992" t="s">
        <v>211</v>
      </c>
      <c r="C8992" t="s">
        <v>340</v>
      </c>
      <c r="D8992" t="s">
        <v>516</v>
      </c>
      <c r="F8992" t="s">
        <v>1767</v>
      </c>
      <c r="G8992" t="s">
        <v>5138</v>
      </c>
      <c r="H8992" t="s">
        <v>12122</v>
      </c>
      <c r="J8992" t="s">
        <v>18894</v>
      </c>
      <c r="K8992">
        <v>11208</v>
      </c>
      <c r="L8992" t="s">
        <v>18958</v>
      </c>
      <c r="M8992" t="s">
        <v>18960</v>
      </c>
      <c r="N8992" t="s">
        <v>25362</v>
      </c>
      <c r="O8992" t="s">
        <v>26524</v>
      </c>
      <c r="P8992" t="s">
        <v>26562</v>
      </c>
      <c r="R8992" t="s">
        <v>26578</v>
      </c>
      <c r="U8992" t="s">
        <v>26604</v>
      </c>
      <c r="X8992">
        <v>0</v>
      </c>
      <c r="Y8992" t="s">
        <v>26652</v>
      </c>
      <c r="AB8992" t="s">
        <v>29403</v>
      </c>
      <c r="AE8992">
        <v>0</v>
      </c>
      <c r="AH8992">
        <v>0</v>
      </c>
      <c r="AI8992">
        <v>1</v>
      </c>
      <c r="AJ8992">
        <v>0</v>
      </c>
      <c r="AK8992">
        <v>84.02</v>
      </c>
      <c r="AN8992" t="s">
        <v>7439</v>
      </c>
      <c r="AO8992">
        <v>10200</v>
      </c>
      <c r="AU8992">
        <v>10.2</v>
      </c>
      <c r="AV8992" t="s">
        <v>518</v>
      </c>
      <c r="AW8992" t="s">
        <v>211</v>
      </c>
    </row>
    <row r="8993" spans="1:49">
      <c r="A8993" s="1">
        <f>HYPERLINK("https://lsnyc.legalserver.org/matter/dynamic-profile/view/1875546","18-1875546")</f>
        <v>0</v>
      </c>
      <c r="B8993" t="s">
        <v>150</v>
      </c>
      <c r="C8993" t="s">
        <v>341</v>
      </c>
      <c r="D8993" t="s">
        <v>521</v>
      </c>
      <c r="E8993" t="s">
        <v>521</v>
      </c>
      <c r="F8993" t="s">
        <v>4348</v>
      </c>
      <c r="G8993" t="s">
        <v>8795</v>
      </c>
      <c r="H8993" t="s">
        <v>12681</v>
      </c>
      <c r="I8993" t="s">
        <v>18627</v>
      </c>
      <c r="J8993" t="s">
        <v>18892</v>
      </c>
      <c r="K8993">
        <v>10452</v>
      </c>
      <c r="L8993" t="s">
        <v>18958</v>
      </c>
      <c r="M8993" t="s">
        <v>18959</v>
      </c>
      <c r="N8993" t="s">
        <v>25363</v>
      </c>
      <c r="O8993" t="s">
        <v>26523</v>
      </c>
      <c r="P8993" t="s">
        <v>26564</v>
      </c>
      <c r="Q8993" t="s">
        <v>26570</v>
      </c>
      <c r="R8993" t="s">
        <v>26591</v>
      </c>
      <c r="S8993" t="s">
        <v>18959</v>
      </c>
      <c r="U8993" t="s">
        <v>26604</v>
      </c>
      <c r="X8993">
        <v>1222</v>
      </c>
      <c r="Y8993" t="s">
        <v>26650</v>
      </c>
      <c r="Z8993" t="s">
        <v>26663</v>
      </c>
      <c r="AA8993" t="s">
        <v>26683</v>
      </c>
      <c r="AE8993">
        <v>59</v>
      </c>
      <c r="AF8993" t="s">
        <v>45541</v>
      </c>
      <c r="AG8993" t="s">
        <v>19330</v>
      </c>
      <c r="AH8993">
        <v>25</v>
      </c>
      <c r="AI8993">
        <v>3</v>
      </c>
      <c r="AJ8993">
        <v>0</v>
      </c>
      <c r="AK8993">
        <v>122.62</v>
      </c>
      <c r="AN8993" t="s">
        <v>7439</v>
      </c>
      <c r="AO8993">
        <v>25480</v>
      </c>
      <c r="AP8993" t="s">
        <v>46127</v>
      </c>
      <c r="AU8993">
        <v>0.2</v>
      </c>
      <c r="AV8993" t="s">
        <v>521</v>
      </c>
      <c r="AW8993" t="s">
        <v>46847</v>
      </c>
    </row>
    <row r="8994" spans="1:49">
      <c r="A8994" s="1">
        <f>HYPERLINK("https://lsnyc.legalserver.org/matter/dynamic-profile/view/1875576","18-1875576")</f>
        <v>0</v>
      </c>
      <c r="B8994" t="s">
        <v>179</v>
      </c>
      <c r="C8994" t="s">
        <v>341</v>
      </c>
      <c r="D8994" t="s">
        <v>521</v>
      </c>
      <c r="E8994" t="s">
        <v>723</v>
      </c>
      <c r="F8994" t="s">
        <v>1081</v>
      </c>
      <c r="G8994" t="s">
        <v>8894</v>
      </c>
      <c r="H8994" t="s">
        <v>15758</v>
      </c>
      <c r="I8994" t="s">
        <v>18340</v>
      </c>
      <c r="J8994" t="s">
        <v>18894</v>
      </c>
      <c r="K8994">
        <v>11209</v>
      </c>
      <c r="L8994" t="s">
        <v>18960</v>
      </c>
      <c r="M8994" t="s">
        <v>18960</v>
      </c>
      <c r="O8994" t="s">
        <v>26523</v>
      </c>
      <c r="P8994" t="s">
        <v>26560</v>
      </c>
      <c r="Q8994" t="s">
        <v>26568</v>
      </c>
      <c r="R8994" t="s">
        <v>26591</v>
      </c>
      <c r="U8994" t="s">
        <v>26604</v>
      </c>
      <c r="X8994">
        <v>1600</v>
      </c>
      <c r="Y8994" t="s">
        <v>26652</v>
      </c>
      <c r="Z8994" t="s">
        <v>26659</v>
      </c>
      <c r="AA8994" t="s">
        <v>26678</v>
      </c>
      <c r="AB8994" t="s">
        <v>33163</v>
      </c>
      <c r="AD8994" t="s">
        <v>43820</v>
      </c>
      <c r="AE8994">
        <v>40</v>
      </c>
      <c r="AH8994">
        <v>6</v>
      </c>
      <c r="AI8994">
        <v>1</v>
      </c>
      <c r="AJ8994">
        <v>0</v>
      </c>
      <c r="AK8994">
        <v>98.84999999999999</v>
      </c>
      <c r="AN8994" t="s">
        <v>7439</v>
      </c>
      <c r="AO8994">
        <v>12000</v>
      </c>
      <c r="AU8994">
        <v>50</v>
      </c>
      <c r="AV8994" t="s">
        <v>723</v>
      </c>
      <c r="AW8994" t="s">
        <v>46861</v>
      </c>
    </row>
    <row r="8995" spans="1:49">
      <c r="A8995" s="1">
        <f>HYPERLINK("https://lsnyc.legalserver.org/matter/dynamic-profile/view/1875675","18-1875675")</f>
        <v>0</v>
      </c>
      <c r="B8995" t="s">
        <v>227</v>
      </c>
      <c r="C8995" t="s">
        <v>341</v>
      </c>
      <c r="D8995" t="s">
        <v>521</v>
      </c>
      <c r="E8995" t="s">
        <v>582</v>
      </c>
      <c r="F8995" t="s">
        <v>1033</v>
      </c>
      <c r="G8995" t="s">
        <v>8895</v>
      </c>
      <c r="H8995" t="s">
        <v>14015</v>
      </c>
      <c r="I8995" t="s">
        <v>17312</v>
      </c>
      <c r="J8995" t="s">
        <v>18894</v>
      </c>
      <c r="K8995">
        <v>11221</v>
      </c>
      <c r="L8995" t="s">
        <v>18959</v>
      </c>
      <c r="M8995" t="s">
        <v>18960</v>
      </c>
      <c r="N8995" t="s">
        <v>25364</v>
      </c>
      <c r="O8995" t="s">
        <v>26523</v>
      </c>
      <c r="P8995" t="s">
        <v>26560</v>
      </c>
      <c r="Q8995" t="s">
        <v>26568</v>
      </c>
      <c r="R8995" t="s">
        <v>26588</v>
      </c>
      <c r="U8995" t="s">
        <v>26604</v>
      </c>
      <c r="X8995">
        <v>1030</v>
      </c>
      <c r="Y8995" t="s">
        <v>26652</v>
      </c>
      <c r="AA8995" t="s">
        <v>26678</v>
      </c>
      <c r="AB8995" t="s">
        <v>30897</v>
      </c>
      <c r="AE8995">
        <v>23</v>
      </c>
      <c r="AH8995">
        <v>5</v>
      </c>
      <c r="AI8995">
        <v>1</v>
      </c>
      <c r="AJ8995">
        <v>3</v>
      </c>
      <c r="AK8995">
        <v>159.36</v>
      </c>
      <c r="AN8995" t="s">
        <v>7439</v>
      </c>
      <c r="AO8995">
        <v>40000</v>
      </c>
      <c r="AQ8995" t="s">
        <v>46359</v>
      </c>
      <c r="AR8995" t="s">
        <v>46380</v>
      </c>
      <c r="AS8995" t="s">
        <v>46499</v>
      </c>
      <c r="AT8995" t="s">
        <v>46575</v>
      </c>
      <c r="AU8995">
        <v>5.5</v>
      </c>
      <c r="AV8995" t="s">
        <v>572</v>
      </c>
      <c r="AW8995" t="s">
        <v>46862</v>
      </c>
    </row>
    <row r="8996" spans="1:49">
      <c r="A8996" s="1">
        <f>HYPERLINK("https://lsnyc.legalserver.org/matter/dynamic-profile/view/1875621","18-1875621")</f>
        <v>0</v>
      </c>
      <c r="B8996" t="s">
        <v>257</v>
      </c>
      <c r="C8996" t="s">
        <v>340</v>
      </c>
      <c r="D8996" t="s">
        <v>521</v>
      </c>
      <c r="F8996" t="s">
        <v>4431</v>
      </c>
      <c r="G8996" t="s">
        <v>4916</v>
      </c>
      <c r="H8996" t="s">
        <v>12243</v>
      </c>
      <c r="I8996" t="s">
        <v>17552</v>
      </c>
      <c r="J8996" t="s">
        <v>18894</v>
      </c>
      <c r="K8996">
        <v>11208</v>
      </c>
      <c r="L8996" t="s">
        <v>18960</v>
      </c>
      <c r="M8996" t="s">
        <v>18960</v>
      </c>
      <c r="N8996" t="s">
        <v>25365</v>
      </c>
      <c r="O8996" t="s">
        <v>26526</v>
      </c>
      <c r="R8996" t="s">
        <v>26586</v>
      </c>
      <c r="U8996" t="s">
        <v>26604</v>
      </c>
      <c r="X8996">
        <v>600</v>
      </c>
      <c r="Y8996" t="s">
        <v>26652</v>
      </c>
      <c r="AB8996" t="s">
        <v>33164</v>
      </c>
      <c r="AD8996" t="s">
        <v>43821</v>
      </c>
      <c r="AE8996">
        <v>9</v>
      </c>
      <c r="AH8996">
        <v>3</v>
      </c>
      <c r="AI8996">
        <v>1</v>
      </c>
      <c r="AJ8996">
        <v>0</v>
      </c>
      <c r="AK8996">
        <v>149.92</v>
      </c>
      <c r="AN8996" t="s">
        <v>7439</v>
      </c>
      <c r="AO8996">
        <v>18200</v>
      </c>
      <c r="AU8996">
        <v>8.199999999999999</v>
      </c>
      <c r="AV8996" t="s">
        <v>809</v>
      </c>
      <c r="AW8996" t="s">
        <v>46853</v>
      </c>
    </row>
    <row r="8997" spans="1:49">
      <c r="A8997" s="1">
        <f>HYPERLINK("https://lsnyc.legalserver.org/matter/dynamic-profile/view/1875657","18-1875657")</f>
        <v>0</v>
      </c>
      <c r="B8997" t="s">
        <v>116</v>
      </c>
      <c r="C8997" t="s">
        <v>340</v>
      </c>
      <c r="D8997" t="s">
        <v>521</v>
      </c>
      <c r="F8997" t="s">
        <v>999</v>
      </c>
      <c r="G8997" t="s">
        <v>8896</v>
      </c>
      <c r="H8997" t="s">
        <v>15759</v>
      </c>
      <c r="I8997" t="s">
        <v>17330</v>
      </c>
      <c r="J8997" t="s">
        <v>18894</v>
      </c>
      <c r="K8997">
        <v>11233</v>
      </c>
      <c r="L8997" t="s">
        <v>18960</v>
      </c>
      <c r="M8997" t="s">
        <v>18960</v>
      </c>
      <c r="P8997" t="s">
        <v>26565</v>
      </c>
      <c r="R8997" t="s">
        <v>26578</v>
      </c>
      <c r="U8997" t="s">
        <v>26604</v>
      </c>
      <c r="X8997">
        <v>0</v>
      </c>
      <c r="Y8997" t="s">
        <v>26652</v>
      </c>
      <c r="AB8997" t="s">
        <v>29924</v>
      </c>
      <c r="AD8997" t="s">
        <v>43822</v>
      </c>
      <c r="AE8997">
        <v>0</v>
      </c>
      <c r="AH8997">
        <v>0</v>
      </c>
      <c r="AI8997">
        <v>3</v>
      </c>
      <c r="AJ8997">
        <v>1</v>
      </c>
      <c r="AK8997">
        <v>2.39</v>
      </c>
      <c r="AN8997" t="s">
        <v>7439</v>
      </c>
      <c r="AO8997">
        <v>600</v>
      </c>
      <c r="AU8997">
        <v>0.25</v>
      </c>
      <c r="AV8997" t="s">
        <v>732</v>
      </c>
      <c r="AW8997" t="s">
        <v>46851</v>
      </c>
    </row>
    <row r="8998" spans="1:49">
      <c r="A8998" s="1">
        <f>HYPERLINK("https://lsnyc.legalserver.org/matter/dynamic-profile/view/1875246","18-1875246")</f>
        <v>0</v>
      </c>
      <c r="B8998" t="s">
        <v>153</v>
      </c>
      <c r="C8998" t="s">
        <v>340</v>
      </c>
      <c r="D8998" t="s">
        <v>521</v>
      </c>
      <c r="F8998" t="s">
        <v>962</v>
      </c>
      <c r="G8998" t="s">
        <v>5147</v>
      </c>
      <c r="H8998" t="s">
        <v>15760</v>
      </c>
      <c r="J8998" t="s">
        <v>18902</v>
      </c>
      <c r="K8998">
        <v>10304</v>
      </c>
      <c r="L8998" t="s">
        <v>18959</v>
      </c>
      <c r="M8998" t="s">
        <v>18960</v>
      </c>
      <c r="N8998" t="s">
        <v>25366</v>
      </c>
      <c r="O8998" t="s">
        <v>26524</v>
      </c>
      <c r="R8998" t="s">
        <v>26587</v>
      </c>
      <c r="S8998" t="s">
        <v>18959</v>
      </c>
      <c r="U8998" t="s">
        <v>26604</v>
      </c>
      <c r="X8998">
        <v>1200</v>
      </c>
      <c r="Y8998" t="s">
        <v>26654</v>
      </c>
      <c r="Z8998" t="s">
        <v>26661</v>
      </c>
      <c r="AB8998" t="s">
        <v>33165</v>
      </c>
      <c r="AD8998" t="s">
        <v>43823</v>
      </c>
      <c r="AE8998">
        <v>1</v>
      </c>
      <c r="AF8998" t="s">
        <v>45547</v>
      </c>
      <c r="AG8998" t="s">
        <v>45556</v>
      </c>
      <c r="AH8998">
        <v>15</v>
      </c>
      <c r="AI8998">
        <v>1</v>
      </c>
      <c r="AJ8998">
        <v>2</v>
      </c>
      <c r="AK8998">
        <v>40.42</v>
      </c>
      <c r="AO8998">
        <v>8400</v>
      </c>
      <c r="AU8998">
        <v>8.1</v>
      </c>
      <c r="AV8998" t="s">
        <v>523</v>
      </c>
      <c r="AW8998" t="s">
        <v>190</v>
      </c>
    </row>
    <row r="8999" spans="1:49">
      <c r="A8999" s="1">
        <f>HYPERLINK("https://lsnyc.legalserver.org/matter/dynamic-profile/view/1875549","18-1875549")</f>
        <v>0</v>
      </c>
      <c r="B8999" t="s">
        <v>200</v>
      </c>
      <c r="C8999" t="s">
        <v>340</v>
      </c>
      <c r="D8999" t="s">
        <v>521</v>
      </c>
      <c r="F8999" t="s">
        <v>4432</v>
      </c>
      <c r="G8999" t="s">
        <v>8897</v>
      </c>
      <c r="H8999" t="s">
        <v>15761</v>
      </c>
      <c r="I8999" t="s">
        <v>18628</v>
      </c>
      <c r="J8999" t="s">
        <v>18894</v>
      </c>
      <c r="K8999">
        <v>11217</v>
      </c>
      <c r="L8999" t="s">
        <v>18960</v>
      </c>
      <c r="M8999" t="s">
        <v>18960</v>
      </c>
      <c r="O8999" t="s">
        <v>26526</v>
      </c>
      <c r="P8999" t="s">
        <v>26563</v>
      </c>
      <c r="R8999" t="s">
        <v>26583</v>
      </c>
      <c r="U8999" t="s">
        <v>26604</v>
      </c>
      <c r="X8999">
        <v>3695</v>
      </c>
      <c r="Y8999" t="s">
        <v>26652</v>
      </c>
      <c r="Z8999" t="s">
        <v>26661</v>
      </c>
      <c r="AB8999" t="s">
        <v>33166</v>
      </c>
      <c r="AE8999">
        <v>6</v>
      </c>
      <c r="AF8999" t="s">
        <v>45547</v>
      </c>
      <c r="AG8999" t="s">
        <v>19330</v>
      </c>
      <c r="AH8999">
        <v>-1</v>
      </c>
      <c r="AI8999">
        <v>1</v>
      </c>
      <c r="AJ8999">
        <v>0</v>
      </c>
      <c r="AK8999">
        <v>411.86</v>
      </c>
      <c r="AN8999" t="s">
        <v>7439</v>
      </c>
      <c r="AO8999">
        <v>50000</v>
      </c>
      <c r="AU8999">
        <v>0.5</v>
      </c>
      <c r="AV8999" t="s">
        <v>576</v>
      </c>
      <c r="AW8999" t="s">
        <v>237</v>
      </c>
    </row>
    <row r="9000" spans="1:49">
      <c r="A9000" s="1">
        <f>HYPERLINK("https://lsnyc.legalserver.org/matter/dynamic-profile/view/1875785","18-1875785")</f>
        <v>0</v>
      </c>
      <c r="B9000" t="s">
        <v>208</v>
      </c>
      <c r="C9000" t="s">
        <v>341</v>
      </c>
      <c r="D9000" t="s">
        <v>533</v>
      </c>
      <c r="E9000" t="s">
        <v>441</v>
      </c>
      <c r="F9000" t="s">
        <v>879</v>
      </c>
      <c r="G9000" t="s">
        <v>5569</v>
      </c>
      <c r="H9000" t="s">
        <v>10221</v>
      </c>
      <c r="I9000" t="s">
        <v>17276</v>
      </c>
      <c r="J9000" t="s">
        <v>18905</v>
      </c>
      <c r="K9000">
        <v>11692</v>
      </c>
      <c r="L9000" t="s">
        <v>18958</v>
      </c>
      <c r="M9000" t="s">
        <v>18958</v>
      </c>
      <c r="N9000" t="s">
        <v>25367</v>
      </c>
      <c r="O9000" t="s">
        <v>26524</v>
      </c>
      <c r="P9000" t="s">
        <v>26564</v>
      </c>
      <c r="Q9000" t="s">
        <v>26570</v>
      </c>
      <c r="R9000" t="s">
        <v>26591</v>
      </c>
      <c r="S9000" t="s">
        <v>18959</v>
      </c>
      <c r="U9000" t="s">
        <v>26604</v>
      </c>
      <c r="X9000">
        <v>1100</v>
      </c>
      <c r="Y9000" t="s">
        <v>26653</v>
      </c>
      <c r="Z9000" t="s">
        <v>26664</v>
      </c>
      <c r="AA9000" t="s">
        <v>26683</v>
      </c>
      <c r="AB9000" t="s">
        <v>28344</v>
      </c>
      <c r="AC9000" t="s">
        <v>36597</v>
      </c>
      <c r="AD9000" t="s">
        <v>43824</v>
      </c>
      <c r="AE9000">
        <v>56</v>
      </c>
      <c r="AF9000" t="s">
        <v>45549</v>
      </c>
      <c r="AG9000" t="s">
        <v>19330</v>
      </c>
      <c r="AH9000">
        <v>12</v>
      </c>
      <c r="AI9000">
        <v>1</v>
      </c>
      <c r="AJ9000">
        <v>2</v>
      </c>
      <c r="AK9000">
        <v>0</v>
      </c>
      <c r="AN9000" t="s">
        <v>7439</v>
      </c>
      <c r="AO9000">
        <v>0</v>
      </c>
      <c r="AU9000">
        <v>0.7</v>
      </c>
      <c r="AV9000" t="s">
        <v>522</v>
      </c>
      <c r="AW9000" t="s">
        <v>208</v>
      </c>
    </row>
    <row r="9001" spans="1:49">
      <c r="A9001" s="1">
        <f>HYPERLINK("https://lsnyc.legalserver.org/matter/dynamic-profile/view/1875738","18-1875738")</f>
        <v>0</v>
      </c>
      <c r="B9001" t="s">
        <v>156</v>
      </c>
      <c r="C9001" t="s">
        <v>341</v>
      </c>
      <c r="D9001" t="s">
        <v>533</v>
      </c>
      <c r="E9001" t="s">
        <v>699</v>
      </c>
      <c r="F9001" t="s">
        <v>1480</v>
      </c>
      <c r="G9001" t="s">
        <v>8898</v>
      </c>
      <c r="H9001" t="s">
        <v>15762</v>
      </c>
      <c r="I9001">
        <v>601</v>
      </c>
      <c r="J9001" t="s">
        <v>18893</v>
      </c>
      <c r="K9001">
        <v>10011</v>
      </c>
      <c r="L9001" t="s">
        <v>18958</v>
      </c>
      <c r="M9001" t="s">
        <v>18960</v>
      </c>
      <c r="N9001" t="s">
        <v>25368</v>
      </c>
      <c r="O9001" t="s">
        <v>26524</v>
      </c>
      <c r="P9001" t="s">
        <v>26564</v>
      </c>
      <c r="Q9001" t="s">
        <v>26570</v>
      </c>
      <c r="R9001" t="s">
        <v>26595</v>
      </c>
      <c r="S9001" t="s">
        <v>18959</v>
      </c>
      <c r="U9001" t="s">
        <v>26604</v>
      </c>
      <c r="X9001">
        <v>906</v>
      </c>
      <c r="Y9001" t="s">
        <v>26651</v>
      </c>
      <c r="Z9001" t="s">
        <v>26664</v>
      </c>
      <c r="AA9001" t="s">
        <v>26683</v>
      </c>
      <c r="AB9001" t="s">
        <v>29672</v>
      </c>
      <c r="AC9001" t="s">
        <v>36598</v>
      </c>
      <c r="AD9001" t="s">
        <v>43825</v>
      </c>
      <c r="AE9001">
        <v>0</v>
      </c>
      <c r="AF9001" t="s">
        <v>45543</v>
      </c>
      <c r="AG9001" t="s">
        <v>45556</v>
      </c>
      <c r="AH9001">
        <v>11</v>
      </c>
      <c r="AI9001">
        <v>1</v>
      </c>
      <c r="AJ9001">
        <v>0</v>
      </c>
      <c r="AK9001">
        <v>79.08</v>
      </c>
      <c r="AN9001" t="s">
        <v>7439</v>
      </c>
      <c r="AO9001">
        <v>9600</v>
      </c>
      <c r="AU9001">
        <v>1.7</v>
      </c>
      <c r="AV9001" t="s">
        <v>493</v>
      </c>
      <c r="AW9001" t="s">
        <v>314</v>
      </c>
    </row>
    <row r="9002" spans="1:49">
      <c r="A9002" s="1">
        <f>HYPERLINK("https://lsnyc.legalserver.org/matter/dynamic-profile/view/1875745","18-1875745")</f>
        <v>0</v>
      </c>
      <c r="B9002" t="s">
        <v>108</v>
      </c>
      <c r="C9002" t="s">
        <v>341</v>
      </c>
      <c r="D9002" t="s">
        <v>533</v>
      </c>
      <c r="E9002" t="s">
        <v>494</v>
      </c>
      <c r="F9002" t="s">
        <v>1864</v>
      </c>
      <c r="G9002" t="s">
        <v>5639</v>
      </c>
      <c r="H9002" t="s">
        <v>10433</v>
      </c>
      <c r="I9002">
        <v>814</v>
      </c>
      <c r="J9002" t="s">
        <v>18905</v>
      </c>
      <c r="K9002">
        <v>11692</v>
      </c>
      <c r="L9002" t="s">
        <v>18959</v>
      </c>
      <c r="M9002" t="s">
        <v>18959</v>
      </c>
      <c r="N9002" t="s">
        <v>25369</v>
      </c>
      <c r="O9002" t="s">
        <v>26523</v>
      </c>
      <c r="P9002" t="s">
        <v>26564</v>
      </c>
      <c r="Q9002" t="s">
        <v>26570</v>
      </c>
      <c r="R9002" t="s">
        <v>26578</v>
      </c>
      <c r="S9002" t="s">
        <v>18959</v>
      </c>
      <c r="U9002" t="s">
        <v>26604</v>
      </c>
      <c r="V9002" t="s">
        <v>26610</v>
      </c>
      <c r="X9002">
        <v>1515</v>
      </c>
      <c r="Y9002" t="s">
        <v>26653</v>
      </c>
      <c r="Z9002" t="s">
        <v>26664</v>
      </c>
      <c r="AA9002" t="s">
        <v>26683</v>
      </c>
      <c r="AB9002" t="s">
        <v>33167</v>
      </c>
      <c r="AC9002" t="s">
        <v>36599</v>
      </c>
      <c r="AD9002" t="s">
        <v>43826</v>
      </c>
      <c r="AE9002">
        <v>103</v>
      </c>
      <c r="AF9002" t="s">
        <v>45543</v>
      </c>
      <c r="AG9002" t="s">
        <v>45562</v>
      </c>
      <c r="AH9002">
        <v>2</v>
      </c>
      <c r="AI9002">
        <v>1</v>
      </c>
      <c r="AJ9002">
        <v>4</v>
      </c>
      <c r="AK9002">
        <v>57.78</v>
      </c>
      <c r="AN9002" t="s">
        <v>7439</v>
      </c>
      <c r="AO9002">
        <v>17000</v>
      </c>
      <c r="AU9002">
        <v>0.6</v>
      </c>
      <c r="AV9002" t="s">
        <v>606</v>
      </c>
      <c r="AW9002" t="s">
        <v>208</v>
      </c>
    </row>
    <row r="9003" spans="1:49">
      <c r="A9003" s="1">
        <f>HYPERLINK("https://lsnyc.legalserver.org/matter/dynamic-profile/view/1875795","18-1875795")</f>
        <v>0</v>
      </c>
      <c r="B9003" t="s">
        <v>170</v>
      </c>
      <c r="C9003" t="s">
        <v>341</v>
      </c>
      <c r="D9003" t="s">
        <v>533</v>
      </c>
      <c r="E9003" t="s">
        <v>716</v>
      </c>
      <c r="F9003" t="s">
        <v>1268</v>
      </c>
      <c r="G9003" t="s">
        <v>5269</v>
      </c>
      <c r="H9003" t="s">
        <v>15695</v>
      </c>
      <c r="I9003" t="s">
        <v>17316</v>
      </c>
      <c r="J9003" t="s">
        <v>18894</v>
      </c>
      <c r="K9003">
        <v>11203</v>
      </c>
      <c r="L9003" t="s">
        <v>18960</v>
      </c>
      <c r="M9003" t="s">
        <v>18960</v>
      </c>
      <c r="N9003" t="s">
        <v>25370</v>
      </c>
      <c r="P9003" t="s">
        <v>26560</v>
      </c>
      <c r="Q9003" t="s">
        <v>26568</v>
      </c>
      <c r="R9003" t="s">
        <v>26586</v>
      </c>
      <c r="U9003" t="s">
        <v>26604</v>
      </c>
      <c r="X9003">
        <v>0</v>
      </c>
      <c r="Y9003" t="s">
        <v>26652</v>
      </c>
      <c r="Z9003" t="s">
        <v>26659</v>
      </c>
      <c r="AA9003" t="s">
        <v>26678</v>
      </c>
      <c r="AB9003" t="s">
        <v>29483</v>
      </c>
      <c r="AD9003" t="s">
        <v>43752</v>
      </c>
      <c r="AE9003">
        <v>0</v>
      </c>
      <c r="AH9003">
        <v>0</v>
      </c>
      <c r="AI9003">
        <v>2</v>
      </c>
      <c r="AJ9003">
        <v>2</v>
      </c>
      <c r="AK9003">
        <v>72.62</v>
      </c>
      <c r="AO9003">
        <v>18228</v>
      </c>
      <c r="AS9003" t="s">
        <v>46499</v>
      </c>
      <c r="AU9003">
        <v>5</v>
      </c>
      <c r="AV9003" t="s">
        <v>716</v>
      </c>
      <c r="AW9003" t="s">
        <v>46862</v>
      </c>
    </row>
    <row r="9004" spans="1:49">
      <c r="A9004" s="1">
        <f>HYPERLINK("https://lsnyc.legalserver.org/matter/dynamic-profile/view/1875715","18-1875715")</f>
        <v>0</v>
      </c>
      <c r="B9004" t="s">
        <v>156</v>
      </c>
      <c r="C9004" t="s">
        <v>340</v>
      </c>
      <c r="D9004" t="s">
        <v>533</v>
      </c>
      <c r="F9004" t="s">
        <v>903</v>
      </c>
      <c r="G9004" t="s">
        <v>5413</v>
      </c>
      <c r="H9004" t="s">
        <v>15763</v>
      </c>
      <c r="I9004" t="s">
        <v>17366</v>
      </c>
      <c r="J9004" t="s">
        <v>18893</v>
      </c>
      <c r="K9004">
        <v>10025</v>
      </c>
      <c r="L9004" t="s">
        <v>18958</v>
      </c>
      <c r="M9004" t="s">
        <v>18960</v>
      </c>
      <c r="N9004" t="s">
        <v>25371</v>
      </c>
      <c r="O9004" t="s">
        <v>26523</v>
      </c>
      <c r="P9004" t="s">
        <v>26560</v>
      </c>
      <c r="R9004" t="s">
        <v>26580</v>
      </c>
      <c r="S9004" t="s">
        <v>18959</v>
      </c>
      <c r="U9004" t="s">
        <v>26604</v>
      </c>
      <c r="X9004">
        <v>3800</v>
      </c>
      <c r="Y9004" t="s">
        <v>26651</v>
      </c>
      <c r="AB9004" t="s">
        <v>33168</v>
      </c>
      <c r="AD9004" t="s">
        <v>43827</v>
      </c>
      <c r="AE9004">
        <v>0</v>
      </c>
      <c r="AF9004" t="s">
        <v>45553</v>
      </c>
      <c r="AG9004" t="s">
        <v>19330</v>
      </c>
      <c r="AH9004">
        <v>19</v>
      </c>
      <c r="AI9004">
        <v>2</v>
      </c>
      <c r="AJ9004">
        <v>0</v>
      </c>
      <c r="AK9004">
        <v>116.65</v>
      </c>
      <c r="AN9004" t="s">
        <v>7439</v>
      </c>
      <c r="AO9004">
        <v>19200</v>
      </c>
      <c r="AU9004">
        <v>9.050000000000001</v>
      </c>
      <c r="AV9004" t="s">
        <v>765</v>
      </c>
      <c r="AW9004" t="s">
        <v>314</v>
      </c>
    </row>
    <row r="9005" spans="1:49">
      <c r="A9005" s="1">
        <f>HYPERLINK("https://lsnyc.legalserver.org/matter/dynamic-profile/view/1875518","18-1875518")</f>
        <v>0</v>
      </c>
      <c r="B9005" t="s">
        <v>127</v>
      </c>
      <c r="C9005" t="s">
        <v>340</v>
      </c>
      <c r="D9005" t="s">
        <v>533</v>
      </c>
      <c r="F9005" t="s">
        <v>990</v>
      </c>
      <c r="G9005" t="s">
        <v>8899</v>
      </c>
      <c r="H9005" t="s">
        <v>15764</v>
      </c>
      <c r="I9005" t="s">
        <v>18027</v>
      </c>
      <c r="J9005" t="s">
        <v>18894</v>
      </c>
      <c r="K9005">
        <v>11239</v>
      </c>
      <c r="L9005" t="s">
        <v>18959</v>
      </c>
      <c r="M9005" t="s">
        <v>18959</v>
      </c>
      <c r="N9005" t="s">
        <v>25372</v>
      </c>
      <c r="O9005" t="s">
        <v>26523</v>
      </c>
      <c r="P9005" t="s">
        <v>26563</v>
      </c>
      <c r="R9005" t="s">
        <v>26578</v>
      </c>
      <c r="U9005" t="s">
        <v>26604</v>
      </c>
      <c r="X9005">
        <v>0</v>
      </c>
      <c r="Y9005" t="s">
        <v>26652</v>
      </c>
      <c r="AB9005" t="s">
        <v>27728</v>
      </c>
      <c r="AE9005">
        <v>0</v>
      </c>
      <c r="AH9005">
        <v>0</v>
      </c>
      <c r="AI9005">
        <v>2</v>
      </c>
      <c r="AJ9005">
        <v>0</v>
      </c>
      <c r="AK9005">
        <v>47.97</v>
      </c>
      <c r="AO9005">
        <v>7896</v>
      </c>
      <c r="AU9005">
        <v>0.95</v>
      </c>
      <c r="AV9005" t="s">
        <v>534</v>
      </c>
      <c r="AW9005" t="s">
        <v>46862</v>
      </c>
    </row>
    <row r="9006" spans="1:49">
      <c r="A9006" s="1">
        <f>HYPERLINK("https://lsnyc.legalserver.org/matter/dynamic-profile/view/1875791","18-1875791")</f>
        <v>0</v>
      </c>
      <c r="B9006" t="s">
        <v>62</v>
      </c>
      <c r="C9006" t="s">
        <v>340</v>
      </c>
      <c r="D9006" t="s">
        <v>533</v>
      </c>
      <c r="F9006" t="s">
        <v>1153</v>
      </c>
      <c r="G9006" t="s">
        <v>7043</v>
      </c>
      <c r="H9006" t="s">
        <v>15765</v>
      </c>
      <c r="I9006" t="s">
        <v>17343</v>
      </c>
      <c r="J9006" t="s">
        <v>18893</v>
      </c>
      <c r="K9006">
        <v>10025</v>
      </c>
      <c r="L9006" t="s">
        <v>18958</v>
      </c>
      <c r="M9006" t="s">
        <v>18960</v>
      </c>
      <c r="N9006" t="s">
        <v>25373</v>
      </c>
      <c r="O9006" t="s">
        <v>26523</v>
      </c>
      <c r="P9006" t="s">
        <v>26563</v>
      </c>
      <c r="R9006" t="s">
        <v>26580</v>
      </c>
      <c r="S9006" t="s">
        <v>18959</v>
      </c>
      <c r="U9006" t="s">
        <v>26604</v>
      </c>
      <c r="X9006">
        <v>825.33</v>
      </c>
      <c r="Y9006" t="s">
        <v>26651</v>
      </c>
      <c r="Z9006" t="s">
        <v>26664</v>
      </c>
      <c r="AB9006" t="s">
        <v>28633</v>
      </c>
      <c r="AD9006" t="s">
        <v>43828</v>
      </c>
      <c r="AE9006">
        <v>46</v>
      </c>
      <c r="AF9006" t="s">
        <v>45541</v>
      </c>
      <c r="AG9006" t="s">
        <v>45559</v>
      </c>
      <c r="AH9006">
        <v>45</v>
      </c>
      <c r="AI9006">
        <v>3</v>
      </c>
      <c r="AJ9006">
        <v>0</v>
      </c>
      <c r="AK9006">
        <v>95.40000000000001</v>
      </c>
      <c r="AN9006" t="s">
        <v>45581</v>
      </c>
      <c r="AO9006">
        <v>19824</v>
      </c>
      <c r="AU9006">
        <v>0.4</v>
      </c>
      <c r="AV9006" t="s">
        <v>412</v>
      </c>
      <c r="AW9006" t="s">
        <v>46835</v>
      </c>
    </row>
    <row r="9007" spans="1:49">
      <c r="A9007" s="1">
        <f>HYPERLINK("https://lsnyc.legalserver.org/matter/dynamic-profile/view/1875876","18-1875876")</f>
        <v>0</v>
      </c>
      <c r="B9007" t="s">
        <v>230</v>
      </c>
      <c r="C9007" t="s">
        <v>341</v>
      </c>
      <c r="D9007" t="s">
        <v>441</v>
      </c>
      <c r="E9007" t="s">
        <v>698</v>
      </c>
      <c r="F9007" t="s">
        <v>1502</v>
      </c>
      <c r="G9007" t="s">
        <v>5932</v>
      </c>
      <c r="H9007" t="s">
        <v>15766</v>
      </c>
      <c r="J9007" t="s">
        <v>18894</v>
      </c>
      <c r="K9007">
        <v>11218</v>
      </c>
      <c r="L9007" t="s">
        <v>18959</v>
      </c>
      <c r="M9007" t="s">
        <v>18960</v>
      </c>
      <c r="N9007" t="s">
        <v>25374</v>
      </c>
      <c r="O9007" t="s">
        <v>26523</v>
      </c>
      <c r="Q9007" t="s">
        <v>26573</v>
      </c>
      <c r="R9007" t="s">
        <v>26586</v>
      </c>
      <c r="U9007" t="s">
        <v>26604</v>
      </c>
      <c r="X9007">
        <v>1178</v>
      </c>
      <c r="Y9007" t="s">
        <v>26652</v>
      </c>
      <c r="Z9007" t="s">
        <v>26659</v>
      </c>
      <c r="AA9007" t="s">
        <v>26678</v>
      </c>
      <c r="AB9007" t="s">
        <v>33169</v>
      </c>
      <c r="AD9007" t="s">
        <v>43829</v>
      </c>
      <c r="AE9007">
        <v>70</v>
      </c>
      <c r="AH9007">
        <v>8</v>
      </c>
      <c r="AI9007">
        <v>1</v>
      </c>
      <c r="AJ9007">
        <v>0</v>
      </c>
      <c r="AK9007">
        <v>171.33</v>
      </c>
      <c r="AN9007" t="s">
        <v>7439</v>
      </c>
      <c r="AO9007">
        <v>20800</v>
      </c>
      <c r="AS9007" t="s">
        <v>46499</v>
      </c>
      <c r="AU9007">
        <v>76.59999999999999</v>
      </c>
      <c r="AV9007" t="s">
        <v>698</v>
      </c>
      <c r="AW9007" t="s">
        <v>46853</v>
      </c>
    </row>
    <row r="9008" spans="1:49">
      <c r="A9008" s="1">
        <f>HYPERLINK("https://lsnyc.legalserver.org/matter/dynamic-profile/view/1875860","18-1875860")</f>
        <v>0</v>
      </c>
      <c r="B9008" t="s">
        <v>302</v>
      </c>
      <c r="C9008" t="s">
        <v>341</v>
      </c>
      <c r="D9008" t="s">
        <v>441</v>
      </c>
      <c r="E9008" t="s">
        <v>645</v>
      </c>
      <c r="F9008" t="s">
        <v>1136</v>
      </c>
      <c r="G9008" t="s">
        <v>7190</v>
      </c>
      <c r="H9008" t="s">
        <v>12868</v>
      </c>
      <c r="I9008" t="s">
        <v>17277</v>
      </c>
      <c r="J9008" t="s">
        <v>18892</v>
      </c>
      <c r="K9008">
        <v>10460</v>
      </c>
      <c r="L9008" t="s">
        <v>18960</v>
      </c>
      <c r="M9008" t="s">
        <v>18960</v>
      </c>
      <c r="O9008" t="s">
        <v>26529</v>
      </c>
      <c r="P9008" t="s">
        <v>26564</v>
      </c>
      <c r="Q9008" t="s">
        <v>26570</v>
      </c>
      <c r="R9008" t="s">
        <v>26591</v>
      </c>
      <c r="U9008" t="s">
        <v>26604</v>
      </c>
      <c r="X9008">
        <v>1515</v>
      </c>
      <c r="Y9008" t="s">
        <v>26650</v>
      </c>
      <c r="Z9008" t="s">
        <v>26661</v>
      </c>
      <c r="AA9008" t="s">
        <v>26683</v>
      </c>
      <c r="AB9008" t="s">
        <v>30151</v>
      </c>
      <c r="AD9008" t="s">
        <v>40286</v>
      </c>
      <c r="AE9008">
        <v>16</v>
      </c>
      <c r="AF9008" t="s">
        <v>45547</v>
      </c>
      <c r="AG9008" t="s">
        <v>45562</v>
      </c>
      <c r="AH9008">
        <v>3</v>
      </c>
      <c r="AI9008">
        <v>1</v>
      </c>
      <c r="AJ9008">
        <v>3</v>
      </c>
      <c r="AK9008">
        <v>50.2</v>
      </c>
      <c r="AN9008" t="s">
        <v>7439</v>
      </c>
      <c r="AO9008">
        <v>12600</v>
      </c>
      <c r="AP9008" t="s">
        <v>46105</v>
      </c>
      <c r="AU9008">
        <v>1</v>
      </c>
      <c r="AV9008" t="s">
        <v>441</v>
      </c>
      <c r="AW9008" t="s">
        <v>46843</v>
      </c>
    </row>
    <row r="9009" spans="1:49">
      <c r="A9009" s="1">
        <f>HYPERLINK("https://lsnyc.legalserver.org/matter/dynamic-profile/view/1875805","18-1875805")</f>
        <v>0</v>
      </c>
      <c r="B9009" t="s">
        <v>279</v>
      </c>
      <c r="C9009" t="s">
        <v>341</v>
      </c>
      <c r="D9009" t="s">
        <v>441</v>
      </c>
      <c r="E9009" t="s">
        <v>659</v>
      </c>
      <c r="F9009" t="s">
        <v>1058</v>
      </c>
      <c r="G9009" t="s">
        <v>1025</v>
      </c>
      <c r="H9009" t="s">
        <v>15767</v>
      </c>
      <c r="I9009">
        <v>1</v>
      </c>
      <c r="J9009" t="s">
        <v>18894</v>
      </c>
      <c r="K9009">
        <v>11212</v>
      </c>
      <c r="L9009" t="s">
        <v>18959</v>
      </c>
      <c r="M9009" t="s">
        <v>18959</v>
      </c>
      <c r="Q9009" t="s">
        <v>26571</v>
      </c>
      <c r="R9009" t="s">
        <v>26578</v>
      </c>
      <c r="U9009" t="s">
        <v>26604</v>
      </c>
      <c r="X9009">
        <v>875</v>
      </c>
      <c r="Y9009" t="s">
        <v>26652</v>
      </c>
      <c r="Z9009" t="s">
        <v>26530</v>
      </c>
      <c r="AA9009" t="s">
        <v>26688</v>
      </c>
      <c r="AB9009" t="s">
        <v>26964</v>
      </c>
      <c r="AE9009">
        <v>0</v>
      </c>
      <c r="AF9009" t="s">
        <v>45547</v>
      </c>
      <c r="AH9009">
        <v>0</v>
      </c>
      <c r="AI9009">
        <v>1</v>
      </c>
      <c r="AJ9009">
        <v>0</v>
      </c>
      <c r="AK9009">
        <v>0</v>
      </c>
      <c r="AN9009" t="s">
        <v>7439</v>
      </c>
      <c r="AO9009">
        <v>0</v>
      </c>
      <c r="AU9009">
        <v>1.55</v>
      </c>
      <c r="AV9009" t="s">
        <v>659</v>
      </c>
      <c r="AW9009" t="s">
        <v>46846</v>
      </c>
    </row>
    <row r="9010" spans="1:49">
      <c r="A9010" s="1">
        <f>HYPERLINK("https://lsnyc.legalserver.org/matter/dynamic-profile/view/1875856","18-1875856")</f>
        <v>0</v>
      </c>
      <c r="B9010" t="s">
        <v>279</v>
      </c>
      <c r="C9010" t="s">
        <v>341</v>
      </c>
      <c r="D9010" t="s">
        <v>441</v>
      </c>
      <c r="E9010" t="s">
        <v>753</v>
      </c>
      <c r="F9010" t="s">
        <v>4433</v>
      </c>
      <c r="G9010" t="s">
        <v>8900</v>
      </c>
      <c r="H9010" t="s">
        <v>15768</v>
      </c>
      <c r="I9010" t="s">
        <v>17410</v>
      </c>
      <c r="J9010" t="s">
        <v>18894</v>
      </c>
      <c r="K9010">
        <v>11208</v>
      </c>
      <c r="L9010" t="s">
        <v>18959</v>
      </c>
      <c r="M9010" t="s">
        <v>18959</v>
      </c>
      <c r="O9010" t="s">
        <v>18997</v>
      </c>
      <c r="P9010" t="s">
        <v>26564</v>
      </c>
      <c r="Q9010" t="s">
        <v>26570</v>
      </c>
      <c r="R9010" t="s">
        <v>26578</v>
      </c>
      <c r="U9010" t="s">
        <v>26604</v>
      </c>
      <c r="X9010">
        <v>1000</v>
      </c>
      <c r="Y9010" t="s">
        <v>26652</v>
      </c>
      <c r="Z9010" t="s">
        <v>26673</v>
      </c>
      <c r="AA9010" t="s">
        <v>26683</v>
      </c>
      <c r="AB9010" t="s">
        <v>31441</v>
      </c>
      <c r="AC9010" t="s">
        <v>36600</v>
      </c>
      <c r="AD9010" t="s">
        <v>43830</v>
      </c>
      <c r="AE9010">
        <v>6</v>
      </c>
      <c r="AG9010" t="s">
        <v>45561</v>
      </c>
      <c r="AH9010">
        <v>10</v>
      </c>
      <c r="AI9010">
        <v>1</v>
      </c>
      <c r="AJ9010">
        <v>0</v>
      </c>
      <c r="AK9010">
        <v>82.64</v>
      </c>
      <c r="AN9010" t="s">
        <v>7439</v>
      </c>
      <c r="AO9010">
        <v>10032</v>
      </c>
      <c r="AP9010" t="s">
        <v>46128</v>
      </c>
      <c r="AU9010">
        <v>0.25</v>
      </c>
      <c r="AV9010" t="s">
        <v>753</v>
      </c>
      <c r="AW9010" t="s">
        <v>46858</v>
      </c>
    </row>
    <row r="9011" spans="1:49">
      <c r="A9011" s="1">
        <f>HYPERLINK("https://lsnyc.legalserver.org/matter/dynamic-profile/view/1875990","18-1875990")</f>
        <v>0</v>
      </c>
      <c r="B9011" t="s">
        <v>131</v>
      </c>
      <c r="C9011" t="s">
        <v>340</v>
      </c>
      <c r="D9011" t="s">
        <v>441</v>
      </c>
      <c r="F9011" t="s">
        <v>4434</v>
      </c>
      <c r="G9011" t="s">
        <v>8901</v>
      </c>
      <c r="H9011" t="s">
        <v>15769</v>
      </c>
      <c r="J9011" t="s">
        <v>18902</v>
      </c>
      <c r="K9011">
        <v>10314</v>
      </c>
      <c r="L9011" t="s">
        <v>18960</v>
      </c>
      <c r="M9011" t="s">
        <v>18960</v>
      </c>
      <c r="N9011" t="s">
        <v>19037</v>
      </c>
      <c r="O9011" t="s">
        <v>18997</v>
      </c>
      <c r="P9011" t="s">
        <v>26563</v>
      </c>
      <c r="R9011" t="s">
        <v>26587</v>
      </c>
      <c r="S9011" t="s">
        <v>18959</v>
      </c>
      <c r="U9011" t="s">
        <v>26607</v>
      </c>
      <c r="V9011" t="s">
        <v>26610</v>
      </c>
      <c r="X9011">
        <v>0</v>
      </c>
      <c r="Y9011" t="s">
        <v>26654</v>
      </c>
      <c r="Z9011" t="s">
        <v>26655</v>
      </c>
      <c r="AB9011" t="s">
        <v>33170</v>
      </c>
      <c r="AD9011" t="s">
        <v>43831</v>
      </c>
      <c r="AE9011">
        <v>1</v>
      </c>
      <c r="AF9011" t="s">
        <v>45547</v>
      </c>
      <c r="AG9011" t="s">
        <v>19330</v>
      </c>
      <c r="AH9011">
        <v>0</v>
      </c>
      <c r="AI9011">
        <v>3</v>
      </c>
      <c r="AJ9011">
        <v>1</v>
      </c>
      <c r="AK9011">
        <v>6.22</v>
      </c>
      <c r="AN9011" t="s">
        <v>7439</v>
      </c>
      <c r="AO9011">
        <v>1560</v>
      </c>
      <c r="AU9011">
        <v>1.5</v>
      </c>
      <c r="AV9011" t="s">
        <v>522</v>
      </c>
      <c r="AW9011" t="s">
        <v>46855</v>
      </c>
    </row>
    <row r="9012" spans="1:49">
      <c r="A9012" s="1">
        <f>HYPERLINK("https://lsnyc.legalserver.org/matter/dynamic-profile/view/1875807","18-1875807")</f>
        <v>0</v>
      </c>
      <c r="B9012" t="s">
        <v>200</v>
      </c>
      <c r="C9012" t="s">
        <v>340</v>
      </c>
      <c r="D9012" t="s">
        <v>441</v>
      </c>
      <c r="F9012" t="s">
        <v>4435</v>
      </c>
      <c r="G9012" t="s">
        <v>8769</v>
      </c>
      <c r="H9012" t="s">
        <v>15770</v>
      </c>
      <c r="J9012" t="s">
        <v>18894</v>
      </c>
      <c r="K9012">
        <v>11203</v>
      </c>
      <c r="L9012" t="s">
        <v>18960</v>
      </c>
      <c r="M9012" t="s">
        <v>18960</v>
      </c>
      <c r="O9012" t="s">
        <v>18997</v>
      </c>
      <c r="R9012" t="s">
        <v>26578</v>
      </c>
      <c r="S9012" t="s">
        <v>18959</v>
      </c>
      <c r="U9012" t="s">
        <v>26604</v>
      </c>
      <c r="X9012">
        <v>400</v>
      </c>
      <c r="Y9012" t="s">
        <v>26652</v>
      </c>
      <c r="AB9012" t="s">
        <v>33171</v>
      </c>
      <c r="AD9012" t="s">
        <v>43832</v>
      </c>
      <c r="AE9012">
        <v>2</v>
      </c>
      <c r="AF9012" t="s">
        <v>45547</v>
      </c>
      <c r="AG9012" t="s">
        <v>19330</v>
      </c>
      <c r="AH9012">
        <v>20</v>
      </c>
      <c r="AI9012">
        <v>1</v>
      </c>
      <c r="AJ9012">
        <v>2</v>
      </c>
      <c r="AK9012">
        <v>39.08</v>
      </c>
      <c r="AN9012" t="s">
        <v>7439</v>
      </c>
      <c r="AO9012">
        <v>8120</v>
      </c>
      <c r="AU9012">
        <v>1</v>
      </c>
      <c r="AV9012" t="s">
        <v>441</v>
      </c>
      <c r="AW9012" t="s">
        <v>46829</v>
      </c>
    </row>
    <row r="9013" spans="1:49">
      <c r="A9013" s="1">
        <f>HYPERLINK("https://lsnyc.legalserver.org/matter/dynamic-profile/view/1875894","18-1875894")</f>
        <v>0</v>
      </c>
      <c r="B9013" t="s">
        <v>200</v>
      </c>
      <c r="C9013" t="s">
        <v>340</v>
      </c>
      <c r="D9013" t="s">
        <v>441</v>
      </c>
      <c r="F9013" t="s">
        <v>1044</v>
      </c>
      <c r="G9013" t="s">
        <v>5109</v>
      </c>
      <c r="H9013" t="s">
        <v>15771</v>
      </c>
      <c r="I9013">
        <v>1</v>
      </c>
      <c r="J9013" t="s">
        <v>18894</v>
      </c>
      <c r="K9013">
        <v>11208</v>
      </c>
      <c r="L9013" t="s">
        <v>18959</v>
      </c>
      <c r="M9013" t="s">
        <v>18960</v>
      </c>
      <c r="N9013" t="s">
        <v>25375</v>
      </c>
      <c r="O9013" t="s">
        <v>26523</v>
      </c>
      <c r="R9013" t="s">
        <v>26578</v>
      </c>
      <c r="S9013" t="s">
        <v>18959</v>
      </c>
      <c r="U9013" t="s">
        <v>26604</v>
      </c>
      <c r="X9013">
        <v>2000</v>
      </c>
      <c r="Y9013" t="s">
        <v>26652</v>
      </c>
      <c r="Z9013" t="s">
        <v>26664</v>
      </c>
      <c r="AB9013" t="s">
        <v>33172</v>
      </c>
      <c r="AD9013" t="s">
        <v>43833</v>
      </c>
      <c r="AE9013">
        <v>3</v>
      </c>
      <c r="AF9013" t="s">
        <v>45547</v>
      </c>
      <c r="AG9013" t="s">
        <v>45566</v>
      </c>
      <c r="AH9013">
        <v>1</v>
      </c>
      <c r="AI9013">
        <v>1</v>
      </c>
      <c r="AJ9013">
        <v>3</v>
      </c>
      <c r="AK9013">
        <v>204.69</v>
      </c>
      <c r="AN9013" t="s">
        <v>7439</v>
      </c>
      <c r="AO9013">
        <v>51376</v>
      </c>
      <c r="AU9013">
        <v>14.7</v>
      </c>
      <c r="AV9013" t="s">
        <v>816</v>
      </c>
      <c r="AW9013" t="s">
        <v>279</v>
      </c>
    </row>
    <row r="9014" spans="1:49">
      <c r="A9014" s="1">
        <f>HYPERLINK("https://lsnyc.legalserver.org/matter/dynamic-profile/view/1875972","18-1875972")</f>
        <v>0</v>
      </c>
      <c r="B9014" t="s">
        <v>122</v>
      </c>
      <c r="C9014" t="s">
        <v>341</v>
      </c>
      <c r="D9014" t="s">
        <v>511</v>
      </c>
      <c r="E9014" t="s">
        <v>494</v>
      </c>
      <c r="F9014" t="s">
        <v>2240</v>
      </c>
      <c r="G9014" t="s">
        <v>6171</v>
      </c>
      <c r="H9014" t="s">
        <v>15772</v>
      </c>
      <c r="I9014" t="s">
        <v>17331</v>
      </c>
      <c r="J9014" t="s">
        <v>18899</v>
      </c>
      <c r="K9014">
        <v>11385</v>
      </c>
      <c r="L9014" t="s">
        <v>18958</v>
      </c>
      <c r="M9014" t="s">
        <v>18958</v>
      </c>
      <c r="N9014" t="s">
        <v>25376</v>
      </c>
      <c r="O9014" t="s">
        <v>26524</v>
      </c>
      <c r="P9014" t="s">
        <v>26564</v>
      </c>
      <c r="Q9014" t="s">
        <v>26570</v>
      </c>
      <c r="R9014" t="s">
        <v>26584</v>
      </c>
      <c r="S9014" t="s">
        <v>18959</v>
      </c>
      <c r="U9014" t="s">
        <v>26604</v>
      </c>
      <c r="X9014">
        <v>1256</v>
      </c>
      <c r="Y9014" t="s">
        <v>26653</v>
      </c>
      <c r="Z9014" t="s">
        <v>26664</v>
      </c>
      <c r="AA9014" t="s">
        <v>26683</v>
      </c>
      <c r="AB9014" t="s">
        <v>33173</v>
      </c>
      <c r="AC9014" t="s">
        <v>36601</v>
      </c>
      <c r="AD9014" t="s">
        <v>43834</v>
      </c>
      <c r="AE9014">
        <v>6</v>
      </c>
      <c r="AF9014" t="s">
        <v>45541</v>
      </c>
      <c r="AG9014" t="s">
        <v>19330</v>
      </c>
      <c r="AH9014">
        <v>7</v>
      </c>
      <c r="AI9014">
        <v>2</v>
      </c>
      <c r="AJ9014">
        <v>0</v>
      </c>
      <c r="AK9014">
        <v>67.79000000000001</v>
      </c>
      <c r="AN9014" t="s">
        <v>7439</v>
      </c>
      <c r="AO9014">
        <v>11158</v>
      </c>
      <c r="AU9014">
        <v>2</v>
      </c>
      <c r="AV9014" t="s">
        <v>531</v>
      </c>
      <c r="AW9014" t="s">
        <v>122</v>
      </c>
    </row>
    <row r="9015" spans="1:49">
      <c r="A9015" s="1">
        <f>HYPERLINK("https://lsnyc.legalserver.org/matter/dynamic-profile/view/1875907","18-1875907")</f>
        <v>0</v>
      </c>
      <c r="B9015" t="s">
        <v>84</v>
      </c>
      <c r="C9015" t="s">
        <v>340</v>
      </c>
      <c r="D9015" t="s">
        <v>511</v>
      </c>
      <c r="F9015" t="s">
        <v>899</v>
      </c>
      <c r="G9015" t="s">
        <v>6346</v>
      </c>
      <c r="H9015" t="s">
        <v>15773</v>
      </c>
      <c r="I9015" t="s">
        <v>17434</v>
      </c>
      <c r="J9015" t="s">
        <v>18893</v>
      </c>
      <c r="K9015">
        <v>10037</v>
      </c>
      <c r="L9015" t="s">
        <v>18958</v>
      </c>
      <c r="M9015" t="s">
        <v>18960</v>
      </c>
      <c r="N9015">
        <v>252616</v>
      </c>
      <c r="O9015" t="s">
        <v>26523</v>
      </c>
      <c r="R9015" t="s">
        <v>26582</v>
      </c>
      <c r="S9015" t="s">
        <v>18959</v>
      </c>
      <c r="U9015" t="s">
        <v>26605</v>
      </c>
      <c r="X9015">
        <v>1525</v>
      </c>
      <c r="Y9015" t="s">
        <v>26651</v>
      </c>
      <c r="Z9015" t="s">
        <v>26666</v>
      </c>
      <c r="AB9015" t="s">
        <v>27070</v>
      </c>
      <c r="AD9015" t="s">
        <v>43835</v>
      </c>
      <c r="AE9015">
        <v>105</v>
      </c>
      <c r="AG9015" t="s">
        <v>45556</v>
      </c>
      <c r="AH9015">
        <v>10</v>
      </c>
      <c r="AI9015">
        <v>1</v>
      </c>
      <c r="AJ9015">
        <v>0</v>
      </c>
      <c r="AK9015">
        <v>93.81</v>
      </c>
      <c r="AN9015" t="s">
        <v>7439</v>
      </c>
      <c r="AO9015">
        <v>11388</v>
      </c>
      <c r="AU9015">
        <v>1.4</v>
      </c>
      <c r="AV9015" t="s">
        <v>523</v>
      </c>
      <c r="AW9015" t="s">
        <v>264</v>
      </c>
    </row>
    <row r="9016" spans="1:49">
      <c r="A9016" s="1">
        <f>HYPERLINK("https://lsnyc.legalserver.org/matter/dynamic-profile/view/1875941","18-1875941")</f>
        <v>0</v>
      </c>
      <c r="B9016" t="s">
        <v>218</v>
      </c>
      <c r="C9016" t="s">
        <v>340</v>
      </c>
      <c r="D9016" t="s">
        <v>511</v>
      </c>
      <c r="F9016" t="s">
        <v>2273</v>
      </c>
      <c r="G9016" t="s">
        <v>5094</v>
      </c>
      <c r="H9016" t="s">
        <v>15774</v>
      </c>
      <c r="I9016" t="s">
        <v>17347</v>
      </c>
      <c r="J9016" t="s">
        <v>18893</v>
      </c>
      <c r="K9016">
        <v>10033</v>
      </c>
      <c r="L9016" t="s">
        <v>18960</v>
      </c>
      <c r="M9016" t="s">
        <v>18960</v>
      </c>
      <c r="P9016" t="s">
        <v>26565</v>
      </c>
      <c r="R9016" t="s">
        <v>26589</v>
      </c>
      <c r="S9016" t="s">
        <v>18959</v>
      </c>
      <c r="U9016" t="s">
        <v>26604</v>
      </c>
      <c r="X9016">
        <v>0</v>
      </c>
      <c r="Y9016" t="s">
        <v>26651</v>
      </c>
      <c r="AB9016" t="s">
        <v>33174</v>
      </c>
      <c r="AE9016">
        <v>0</v>
      </c>
      <c r="AF9016" t="s">
        <v>45541</v>
      </c>
      <c r="AH9016">
        <v>15</v>
      </c>
      <c r="AI9016">
        <v>2</v>
      </c>
      <c r="AJ9016">
        <v>1</v>
      </c>
      <c r="AK9016">
        <v>62.56</v>
      </c>
      <c r="AN9016" t="s">
        <v>45581</v>
      </c>
      <c r="AO9016">
        <v>13000</v>
      </c>
      <c r="AU9016">
        <v>10.6</v>
      </c>
      <c r="AV9016" t="s">
        <v>784</v>
      </c>
      <c r="AW9016" t="s">
        <v>46869</v>
      </c>
    </row>
    <row r="9017" spans="1:49">
      <c r="A9017" s="1">
        <f>HYPERLINK("https://lsnyc.legalserver.org/matter/dynamic-profile/view/1875911","18-1875911")</f>
        <v>0</v>
      </c>
      <c r="B9017" t="s">
        <v>103</v>
      </c>
      <c r="C9017" t="s">
        <v>340</v>
      </c>
      <c r="D9017" t="s">
        <v>511</v>
      </c>
      <c r="F9017" t="s">
        <v>1253</v>
      </c>
      <c r="G9017" t="s">
        <v>5664</v>
      </c>
      <c r="H9017" t="s">
        <v>15775</v>
      </c>
      <c r="J9017" t="s">
        <v>18902</v>
      </c>
      <c r="K9017">
        <v>10304</v>
      </c>
      <c r="L9017" t="s">
        <v>18958</v>
      </c>
      <c r="M9017" t="s">
        <v>18958</v>
      </c>
      <c r="N9017" t="s">
        <v>19330</v>
      </c>
      <c r="O9017" t="s">
        <v>26531</v>
      </c>
      <c r="P9017" t="s">
        <v>26562</v>
      </c>
      <c r="R9017" t="s">
        <v>26578</v>
      </c>
      <c r="S9017" t="s">
        <v>18959</v>
      </c>
      <c r="U9017" t="s">
        <v>26604</v>
      </c>
      <c r="X9017">
        <v>1295</v>
      </c>
      <c r="Y9017" t="s">
        <v>26654</v>
      </c>
      <c r="Z9017" t="s">
        <v>26659</v>
      </c>
      <c r="AB9017" t="s">
        <v>33175</v>
      </c>
      <c r="AD9017" t="s">
        <v>43836</v>
      </c>
      <c r="AE9017">
        <v>12</v>
      </c>
      <c r="AF9017" t="s">
        <v>45541</v>
      </c>
      <c r="AG9017" t="s">
        <v>45556</v>
      </c>
      <c r="AH9017">
        <v>7</v>
      </c>
      <c r="AI9017">
        <v>1</v>
      </c>
      <c r="AJ9017">
        <v>2</v>
      </c>
      <c r="AK9017">
        <v>91.43000000000001</v>
      </c>
      <c r="AN9017" t="s">
        <v>7439</v>
      </c>
      <c r="AO9017">
        <v>19000</v>
      </c>
      <c r="AU9017">
        <v>2.2</v>
      </c>
      <c r="AV9017" t="s">
        <v>524</v>
      </c>
      <c r="AW9017" t="s">
        <v>190</v>
      </c>
    </row>
    <row r="9018" spans="1:49">
      <c r="A9018" s="1">
        <f>HYPERLINK("https://lsnyc.legalserver.org/matter/dynamic-profile/view/1869408","18-1869408")</f>
        <v>0</v>
      </c>
      <c r="B9018" t="s">
        <v>56</v>
      </c>
      <c r="C9018" t="s">
        <v>340</v>
      </c>
      <c r="D9018" t="s">
        <v>512</v>
      </c>
      <c r="F9018" t="s">
        <v>2173</v>
      </c>
      <c r="G9018" t="s">
        <v>8902</v>
      </c>
      <c r="H9018" t="s">
        <v>15776</v>
      </c>
      <c r="I9018" t="s">
        <v>17272</v>
      </c>
      <c r="J9018" t="s">
        <v>18892</v>
      </c>
      <c r="K9018">
        <v>10467</v>
      </c>
      <c r="L9018" t="s">
        <v>18959</v>
      </c>
      <c r="M9018" t="s">
        <v>18959</v>
      </c>
      <c r="N9018" t="s">
        <v>25377</v>
      </c>
      <c r="O9018" t="s">
        <v>26523</v>
      </c>
      <c r="P9018" t="s">
        <v>26560</v>
      </c>
      <c r="R9018" t="s">
        <v>26579</v>
      </c>
      <c r="S9018" t="s">
        <v>18959</v>
      </c>
      <c r="U9018" t="s">
        <v>26604</v>
      </c>
      <c r="V9018" t="s">
        <v>26610</v>
      </c>
      <c r="X9018">
        <v>1075</v>
      </c>
      <c r="Y9018" t="s">
        <v>26650</v>
      </c>
      <c r="Z9018" t="s">
        <v>26530</v>
      </c>
      <c r="AB9018" t="s">
        <v>29451</v>
      </c>
      <c r="AE9018">
        <v>0</v>
      </c>
      <c r="AF9018" t="s">
        <v>45541</v>
      </c>
      <c r="AH9018">
        <v>8</v>
      </c>
      <c r="AI9018">
        <v>1</v>
      </c>
      <c r="AJ9018">
        <v>0</v>
      </c>
      <c r="AK9018">
        <v>76.8</v>
      </c>
      <c r="AN9018" t="s">
        <v>7439</v>
      </c>
      <c r="AO9018">
        <v>9324</v>
      </c>
      <c r="AP9018" t="s">
        <v>46129</v>
      </c>
      <c r="AU9018">
        <v>10.45</v>
      </c>
      <c r="AV9018" t="s">
        <v>809</v>
      </c>
      <c r="AW9018" t="s">
        <v>267</v>
      </c>
    </row>
    <row r="9019" spans="1:49">
      <c r="A9019" s="1">
        <f>HYPERLINK("https://lsnyc.legalserver.org/matter/dynamic-profile/view/1876097","18-1876097")</f>
        <v>0</v>
      </c>
      <c r="B9019" t="s">
        <v>162</v>
      </c>
      <c r="C9019" t="s">
        <v>340</v>
      </c>
      <c r="D9019" t="s">
        <v>512</v>
      </c>
      <c r="F9019" t="s">
        <v>947</v>
      </c>
      <c r="G9019" t="s">
        <v>6719</v>
      </c>
      <c r="H9019" t="s">
        <v>12038</v>
      </c>
      <c r="I9019" t="s">
        <v>17342</v>
      </c>
      <c r="J9019" t="s">
        <v>18894</v>
      </c>
      <c r="K9019">
        <v>11230</v>
      </c>
      <c r="L9019" t="s">
        <v>18960</v>
      </c>
      <c r="M9019" t="s">
        <v>18960</v>
      </c>
      <c r="N9019" t="s">
        <v>25378</v>
      </c>
      <c r="O9019" t="s">
        <v>26524</v>
      </c>
      <c r="P9019" t="s">
        <v>26560</v>
      </c>
      <c r="R9019" t="s">
        <v>26578</v>
      </c>
      <c r="S9019" t="s">
        <v>18959</v>
      </c>
      <c r="U9019" t="s">
        <v>26604</v>
      </c>
      <c r="X9019">
        <v>1050</v>
      </c>
      <c r="Y9019" t="s">
        <v>26652</v>
      </c>
      <c r="Z9019" t="s">
        <v>26659</v>
      </c>
      <c r="AB9019" t="s">
        <v>29319</v>
      </c>
      <c r="AD9019" t="s">
        <v>39376</v>
      </c>
      <c r="AE9019">
        <v>0</v>
      </c>
      <c r="AF9019" t="s">
        <v>45541</v>
      </c>
      <c r="AH9019">
        <v>5</v>
      </c>
      <c r="AI9019">
        <v>1</v>
      </c>
      <c r="AJ9019">
        <v>1</v>
      </c>
      <c r="AK9019">
        <v>145.81</v>
      </c>
      <c r="AN9019" t="s">
        <v>7439</v>
      </c>
      <c r="AO9019">
        <v>24000</v>
      </c>
      <c r="AU9019">
        <v>25.6</v>
      </c>
      <c r="AV9019" t="s">
        <v>624</v>
      </c>
      <c r="AW9019" t="s">
        <v>162</v>
      </c>
    </row>
    <row r="9020" spans="1:49">
      <c r="A9020" s="1">
        <f>HYPERLINK("https://lsnyc.legalserver.org/matter/dynamic-profile/view/1876048","18-1876048")</f>
        <v>0</v>
      </c>
      <c r="B9020" t="s">
        <v>232</v>
      </c>
      <c r="C9020" t="s">
        <v>340</v>
      </c>
      <c r="D9020" t="s">
        <v>512</v>
      </c>
      <c r="F9020" t="s">
        <v>870</v>
      </c>
      <c r="G9020" t="s">
        <v>5177</v>
      </c>
      <c r="H9020" t="s">
        <v>15777</v>
      </c>
      <c r="J9020" t="s">
        <v>18894</v>
      </c>
      <c r="K9020">
        <v>11224</v>
      </c>
      <c r="L9020" t="s">
        <v>18960</v>
      </c>
      <c r="M9020" t="s">
        <v>18960</v>
      </c>
      <c r="N9020" t="s">
        <v>25379</v>
      </c>
      <c r="O9020" t="s">
        <v>26524</v>
      </c>
      <c r="P9020" t="s">
        <v>26560</v>
      </c>
      <c r="R9020" t="s">
        <v>26578</v>
      </c>
      <c r="U9020" t="s">
        <v>26604</v>
      </c>
      <c r="X9020">
        <v>2135</v>
      </c>
      <c r="Y9020" t="s">
        <v>26652</v>
      </c>
      <c r="Z9020" t="s">
        <v>26664</v>
      </c>
      <c r="AB9020" t="s">
        <v>33176</v>
      </c>
      <c r="AE9020">
        <v>0</v>
      </c>
      <c r="AG9020" t="s">
        <v>45556</v>
      </c>
      <c r="AH9020">
        <v>30</v>
      </c>
      <c r="AI9020">
        <v>3</v>
      </c>
      <c r="AJ9020">
        <v>0</v>
      </c>
      <c r="AK9020">
        <v>46.87</v>
      </c>
      <c r="AN9020" t="s">
        <v>7439</v>
      </c>
      <c r="AO9020">
        <v>9740.4</v>
      </c>
      <c r="AU9020">
        <v>39.8</v>
      </c>
      <c r="AV9020" t="s">
        <v>834</v>
      </c>
      <c r="AW9020" t="s">
        <v>281</v>
      </c>
    </row>
    <row r="9021" spans="1:49">
      <c r="A9021" s="1">
        <f>HYPERLINK("https://lsnyc.legalserver.org/matter/dynamic-profile/view/1876227","18-1876227")</f>
        <v>0</v>
      </c>
      <c r="B9021" t="s">
        <v>134</v>
      </c>
      <c r="C9021" t="s">
        <v>341</v>
      </c>
      <c r="D9021" t="s">
        <v>522</v>
      </c>
      <c r="E9021" t="s">
        <v>531</v>
      </c>
      <c r="F9021" t="s">
        <v>1412</v>
      </c>
      <c r="G9021" t="s">
        <v>6851</v>
      </c>
      <c r="H9021" t="s">
        <v>15778</v>
      </c>
      <c r="I9021" t="s">
        <v>18629</v>
      </c>
      <c r="J9021" t="s">
        <v>18894</v>
      </c>
      <c r="K9021">
        <v>11213</v>
      </c>
      <c r="L9021" t="s">
        <v>18958</v>
      </c>
      <c r="M9021" t="s">
        <v>18958</v>
      </c>
      <c r="P9021" t="s">
        <v>26564</v>
      </c>
      <c r="Q9021" t="s">
        <v>26570</v>
      </c>
      <c r="R9021" t="s">
        <v>26583</v>
      </c>
      <c r="U9021" t="s">
        <v>26604</v>
      </c>
      <c r="X9021">
        <v>0</v>
      </c>
      <c r="Y9021" t="s">
        <v>26652</v>
      </c>
      <c r="AA9021" t="s">
        <v>26683</v>
      </c>
      <c r="AB9021" t="s">
        <v>33177</v>
      </c>
      <c r="AD9021" t="s">
        <v>43837</v>
      </c>
      <c r="AE9021">
        <v>0</v>
      </c>
      <c r="AH9021">
        <v>0</v>
      </c>
      <c r="AI9021">
        <v>1</v>
      </c>
      <c r="AJ9021">
        <v>0</v>
      </c>
      <c r="AK9021">
        <v>214.17</v>
      </c>
      <c r="AN9021" t="s">
        <v>7439</v>
      </c>
      <c r="AO9021">
        <v>26000</v>
      </c>
      <c r="AU9021">
        <v>1</v>
      </c>
      <c r="AV9021" t="s">
        <v>522</v>
      </c>
      <c r="AW9021" t="s">
        <v>134</v>
      </c>
    </row>
    <row r="9022" spans="1:49">
      <c r="A9022" s="1">
        <f>HYPERLINK("https://lsnyc.legalserver.org/matter/dynamic-profile/view/1876250","18-1876250")</f>
        <v>0</v>
      </c>
      <c r="B9022" t="s">
        <v>199</v>
      </c>
      <c r="C9022" t="s">
        <v>341</v>
      </c>
      <c r="D9022" t="s">
        <v>522</v>
      </c>
      <c r="E9022" t="s">
        <v>664</v>
      </c>
      <c r="F9022" t="s">
        <v>1091</v>
      </c>
      <c r="G9022" t="s">
        <v>1857</v>
      </c>
      <c r="H9022" t="s">
        <v>14430</v>
      </c>
      <c r="I9022" t="s">
        <v>17356</v>
      </c>
      <c r="J9022" t="s">
        <v>18894</v>
      </c>
      <c r="K9022">
        <v>11213</v>
      </c>
      <c r="L9022" t="s">
        <v>18958</v>
      </c>
      <c r="M9022" t="s">
        <v>18960</v>
      </c>
      <c r="N9022" t="s">
        <v>25380</v>
      </c>
      <c r="P9022" t="s">
        <v>26562</v>
      </c>
      <c r="Q9022" t="s">
        <v>26571</v>
      </c>
      <c r="R9022" t="s">
        <v>26586</v>
      </c>
      <c r="U9022" t="s">
        <v>26604</v>
      </c>
      <c r="X9022">
        <v>1322.29</v>
      </c>
      <c r="Y9022" t="s">
        <v>26652</v>
      </c>
      <c r="Z9022" t="s">
        <v>26659</v>
      </c>
      <c r="AA9022" t="s">
        <v>26682</v>
      </c>
      <c r="AB9022" t="s">
        <v>28945</v>
      </c>
      <c r="AD9022" t="s">
        <v>43838</v>
      </c>
      <c r="AE9022">
        <v>53</v>
      </c>
      <c r="AF9022" t="s">
        <v>45541</v>
      </c>
      <c r="AH9022">
        <v>0</v>
      </c>
      <c r="AI9022">
        <v>1</v>
      </c>
      <c r="AJ9022">
        <v>0</v>
      </c>
      <c r="AK9022">
        <v>156.51</v>
      </c>
      <c r="AN9022" t="s">
        <v>7439</v>
      </c>
      <c r="AO9022">
        <v>19000</v>
      </c>
      <c r="AU9022">
        <v>4.2</v>
      </c>
      <c r="AV9022" t="s">
        <v>662</v>
      </c>
      <c r="AW9022" t="s">
        <v>46862</v>
      </c>
    </row>
    <row r="9023" spans="1:49">
      <c r="A9023" s="1">
        <f>HYPERLINK("https://lsnyc.legalserver.org/matter/dynamic-profile/view/1876200","18-1876200")</f>
        <v>0</v>
      </c>
      <c r="B9023" t="s">
        <v>112</v>
      </c>
      <c r="C9023" t="s">
        <v>340</v>
      </c>
      <c r="D9023" t="s">
        <v>522</v>
      </c>
      <c r="F9023" t="s">
        <v>4436</v>
      </c>
      <c r="G9023" t="s">
        <v>8903</v>
      </c>
      <c r="H9023" t="s">
        <v>15779</v>
      </c>
      <c r="I9023" t="s">
        <v>17328</v>
      </c>
      <c r="J9023" t="s">
        <v>18901</v>
      </c>
      <c r="K9023">
        <v>11435</v>
      </c>
      <c r="L9023" t="s">
        <v>18958</v>
      </c>
      <c r="M9023" t="s">
        <v>18960</v>
      </c>
      <c r="N9023" t="s">
        <v>25381</v>
      </c>
      <c r="O9023" t="s">
        <v>26523</v>
      </c>
      <c r="P9023" t="s">
        <v>26564</v>
      </c>
      <c r="R9023" t="s">
        <v>26591</v>
      </c>
      <c r="S9023" t="s">
        <v>18959</v>
      </c>
      <c r="U9023" t="s">
        <v>26604</v>
      </c>
      <c r="X9023">
        <v>700</v>
      </c>
      <c r="Y9023" t="s">
        <v>26653</v>
      </c>
      <c r="Z9023" t="s">
        <v>26664</v>
      </c>
      <c r="AB9023" t="s">
        <v>33178</v>
      </c>
      <c r="AC9023" t="s">
        <v>36602</v>
      </c>
      <c r="AD9023" t="s">
        <v>43839</v>
      </c>
      <c r="AE9023">
        <v>0</v>
      </c>
      <c r="AF9023" t="s">
        <v>20460</v>
      </c>
      <c r="AG9023" t="s">
        <v>19330</v>
      </c>
      <c r="AH9023">
        <v>12</v>
      </c>
      <c r="AI9023">
        <v>1</v>
      </c>
      <c r="AJ9023">
        <v>0</v>
      </c>
      <c r="AK9023">
        <v>91.33</v>
      </c>
      <c r="AN9023" t="s">
        <v>7439</v>
      </c>
      <c r="AO9023">
        <v>11088</v>
      </c>
      <c r="AU9023">
        <v>2.1</v>
      </c>
      <c r="AV9023" t="s">
        <v>451</v>
      </c>
      <c r="AW9023" t="s">
        <v>208</v>
      </c>
    </row>
    <row r="9024" spans="1:49">
      <c r="A9024" s="1">
        <f>HYPERLINK("https://lsnyc.legalserver.org/matter/dynamic-profile/view/1876339","18-1876339")</f>
        <v>0</v>
      </c>
      <c r="B9024" t="s">
        <v>171</v>
      </c>
      <c r="C9024" t="s">
        <v>341</v>
      </c>
      <c r="D9024" t="s">
        <v>493</v>
      </c>
      <c r="E9024" t="s">
        <v>683</v>
      </c>
      <c r="F9024" t="s">
        <v>1087</v>
      </c>
      <c r="G9024" t="s">
        <v>8904</v>
      </c>
      <c r="H9024" t="s">
        <v>15780</v>
      </c>
      <c r="I9024" t="s">
        <v>17272</v>
      </c>
      <c r="J9024" t="s">
        <v>18893</v>
      </c>
      <c r="K9024">
        <v>10065</v>
      </c>
      <c r="L9024" t="s">
        <v>18958</v>
      </c>
      <c r="M9024" t="s">
        <v>18960</v>
      </c>
      <c r="O9024" t="s">
        <v>26523</v>
      </c>
      <c r="P9024" t="s">
        <v>26564</v>
      </c>
      <c r="Q9024" t="s">
        <v>26570</v>
      </c>
      <c r="R9024" t="s">
        <v>26582</v>
      </c>
      <c r="S9024" t="s">
        <v>18959</v>
      </c>
      <c r="U9024" t="s">
        <v>26604</v>
      </c>
      <c r="X9024">
        <v>760</v>
      </c>
      <c r="Y9024" t="s">
        <v>26651</v>
      </c>
      <c r="Z9024" t="s">
        <v>26664</v>
      </c>
      <c r="AA9024" t="s">
        <v>26683</v>
      </c>
      <c r="AB9024" t="s">
        <v>33179</v>
      </c>
      <c r="AD9024" t="s">
        <v>43840</v>
      </c>
      <c r="AE9024">
        <v>0</v>
      </c>
      <c r="AG9024" t="s">
        <v>45559</v>
      </c>
      <c r="AH9024">
        <v>33</v>
      </c>
      <c r="AI9024">
        <v>1</v>
      </c>
      <c r="AJ9024">
        <v>0</v>
      </c>
      <c r="AK9024">
        <v>132.45</v>
      </c>
      <c r="AN9024" t="s">
        <v>7439</v>
      </c>
      <c r="AO9024">
        <v>16080</v>
      </c>
      <c r="AU9024">
        <v>0.9</v>
      </c>
      <c r="AV9024" t="s">
        <v>412</v>
      </c>
      <c r="AW9024" t="s">
        <v>317</v>
      </c>
    </row>
    <row r="9025" spans="1:49">
      <c r="A9025" s="1">
        <f>HYPERLINK("https://lsnyc.legalserver.org/matter/dynamic-profile/view/1876358","18-1876358")</f>
        <v>0</v>
      </c>
      <c r="B9025" t="s">
        <v>84</v>
      </c>
      <c r="C9025" t="s">
        <v>340</v>
      </c>
      <c r="D9025" t="s">
        <v>493</v>
      </c>
      <c r="F9025" t="s">
        <v>2948</v>
      </c>
      <c r="G9025" t="s">
        <v>5461</v>
      </c>
      <c r="H9025" t="s">
        <v>15781</v>
      </c>
      <c r="I9025" t="s">
        <v>17316</v>
      </c>
      <c r="J9025" t="s">
        <v>18893</v>
      </c>
      <c r="K9025">
        <v>10026</v>
      </c>
      <c r="L9025" t="s">
        <v>18958</v>
      </c>
      <c r="M9025" t="s">
        <v>18960</v>
      </c>
      <c r="N9025" t="s">
        <v>25382</v>
      </c>
      <c r="O9025" t="s">
        <v>26523</v>
      </c>
      <c r="P9025" t="s">
        <v>26560</v>
      </c>
      <c r="R9025" t="s">
        <v>26580</v>
      </c>
      <c r="U9025" t="s">
        <v>26604</v>
      </c>
      <c r="X9025">
        <v>1300</v>
      </c>
      <c r="Y9025" t="s">
        <v>26651</v>
      </c>
      <c r="AB9025" t="s">
        <v>33180</v>
      </c>
      <c r="AD9025" t="s">
        <v>43841</v>
      </c>
      <c r="AE9025">
        <v>42</v>
      </c>
      <c r="AF9025" t="s">
        <v>45541</v>
      </c>
      <c r="AG9025" t="s">
        <v>19330</v>
      </c>
      <c r="AH9025">
        <v>29</v>
      </c>
      <c r="AI9025">
        <v>4</v>
      </c>
      <c r="AJ9025">
        <v>1</v>
      </c>
      <c r="AK9025">
        <v>183.55</v>
      </c>
      <c r="AN9025" t="s">
        <v>7439</v>
      </c>
      <c r="AO9025">
        <v>54000</v>
      </c>
      <c r="AU9025">
        <v>22</v>
      </c>
      <c r="AV9025" t="s">
        <v>825</v>
      </c>
      <c r="AW9025" t="s">
        <v>314</v>
      </c>
    </row>
    <row r="9026" spans="1:49">
      <c r="A9026" s="1">
        <f>HYPERLINK("https://lsnyc.legalserver.org/matter/dynamic-profile/view/1876279","18-1876279")</f>
        <v>0</v>
      </c>
      <c r="B9026" t="s">
        <v>110</v>
      </c>
      <c r="C9026" t="s">
        <v>340</v>
      </c>
      <c r="D9026" t="s">
        <v>493</v>
      </c>
      <c r="F9026" t="s">
        <v>1221</v>
      </c>
      <c r="G9026" t="s">
        <v>8905</v>
      </c>
      <c r="H9026" t="s">
        <v>15782</v>
      </c>
      <c r="I9026" t="s">
        <v>17491</v>
      </c>
      <c r="J9026" t="s">
        <v>18920</v>
      </c>
      <c r="K9026">
        <v>11369</v>
      </c>
      <c r="L9026" t="s">
        <v>18958</v>
      </c>
      <c r="M9026" t="s">
        <v>18960</v>
      </c>
      <c r="N9026" t="s">
        <v>25383</v>
      </c>
      <c r="O9026" t="s">
        <v>26524</v>
      </c>
      <c r="P9026" t="s">
        <v>26560</v>
      </c>
      <c r="R9026" t="s">
        <v>26584</v>
      </c>
      <c r="S9026" t="s">
        <v>18959</v>
      </c>
      <c r="U9026" t="s">
        <v>26604</v>
      </c>
      <c r="V9026" t="s">
        <v>26610</v>
      </c>
      <c r="X9026">
        <v>682</v>
      </c>
      <c r="Y9026" t="s">
        <v>26653</v>
      </c>
      <c r="Z9026" t="s">
        <v>26664</v>
      </c>
      <c r="AB9026" t="s">
        <v>29093</v>
      </c>
      <c r="AC9026" t="s">
        <v>36603</v>
      </c>
      <c r="AD9026" t="s">
        <v>43842</v>
      </c>
      <c r="AE9026">
        <v>2</v>
      </c>
      <c r="AF9026" t="s">
        <v>45541</v>
      </c>
      <c r="AG9026" t="s">
        <v>19330</v>
      </c>
      <c r="AH9026">
        <v>45</v>
      </c>
      <c r="AI9026">
        <v>1</v>
      </c>
      <c r="AJ9026">
        <v>0</v>
      </c>
      <c r="AK9026">
        <v>71.18000000000001</v>
      </c>
      <c r="AN9026" t="s">
        <v>7439</v>
      </c>
      <c r="AO9026">
        <v>8641.52</v>
      </c>
      <c r="AU9026">
        <v>15.5</v>
      </c>
      <c r="AV9026" t="s">
        <v>754</v>
      </c>
      <c r="AW9026" t="s">
        <v>208</v>
      </c>
    </row>
    <row r="9027" spans="1:49">
      <c r="A9027" s="1">
        <f>HYPERLINK("https://lsnyc.legalserver.org/matter/dynamic-profile/view/1876290","18-1876290")</f>
        <v>0</v>
      </c>
      <c r="B9027" t="s">
        <v>142</v>
      </c>
      <c r="C9027" t="s">
        <v>340</v>
      </c>
      <c r="D9027" t="s">
        <v>493</v>
      </c>
      <c r="F9027" t="s">
        <v>4437</v>
      </c>
      <c r="G9027" t="s">
        <v>8906</v>
      </c>
      <c r="H9027" t="s">
        <v>15783</v>
      </c>
      <c r="I9027" t="s">
        <v>17387</v>
      </c>
      <c r="J9027" t="s">
        <v>18934</v>
      </c>
      <c r="K9027">
        <v>11413</v>
      </c>
      <c r="L9027" t="s">
        <v>18958</v>
      </c>
      <c r="M9027" t="s">
        <v>18960</v>
      </c>
      <c r="N9027" t="s">
        <v>25384</v>
      </c>
      <c r="O9027" t="s">
        <v>26524</v>
      </c>
      <c r="P9027" t="s">
        <v>26564</v>
      </c>
      <c r="R9027" t="s">
        <v>26584</v>
      </c>
      <c r="S9027" t="s">
        <v>18959</v>
      </c>
      <c r="U9027" t="s">
        <v>26604</v>
      </c>
      <c r="X9027">
        <v>2000</v>
      </c>
      <c r="Y9027" t="s">
        <v>26653</v>
      </c>
      <c r="Z9027" t="s">
        <v>26664</v>
      </c>
      <c r="AB9027" t="s">
        <v>33181</v>
      </c>
      <c r="AD9027" t="s">
        <v>43843</v>
      </c>
      <c r="AE9027">
        <v>0</v>
      </c>
      <c r="AG9027" t="s">
        <v>19330</v>
      </c>
      <c r="AH9027">
        <v>0</v>
      </c>
      <c r="AI9027">
        <v>2</v>
      </c>
      <c r="AJ9027">
        <v>3</v>
      </c>
      <c r="AK9027">
        <v>121.69</v>
      </c>
      <c r="AN9027" t="s">
        <v>7439</v>
      </c>
      <c r="AO9027">
        <v>35800</v>
      </c>
      <c r="AU9027">
        <v>1.2</v>
      </c>
      <c r="AV9027" t="s">
        <v>451</v>
      </c>
      <c r="AW9027" t="s">
        <v>208</v>
      </c>
    </row>
    <row r="9028" spans="1:49">
      <c r="A9028" s="1">
        <f>HYPERLINK("https://lsnyc.legalserver.org/matter/dynamic-profile/view/1876472","18-1876472")</f>
        <v>0</v>
      </c>
      <c r="B9028" t="s">
        <v>283</v>
      </c>
      <c r="C9028" t="s">
        <v>341</v>
      </c>
      <c r="D9028" t="s">
        <v>523</v>
      </c>
      <c r="E9028" t="s">
        <v>531</v>
      </c>
      <c r="F9028" t="s">
        <v>4438</v>
      </c>
      <c r="G9028" t="s">
        <v>8907</v>
      </c>
      <c r="H9028" t="s">
        <v>15784</v>
      </c>
      <c r="I9028" t="s">
        <v>18630</v>
      </c>
      <c r="J9028" t="s">
        <v>18892</v>
      </c>
      <c r="K9028">
        <v>10472</v>
      </c>
      <c r="L9028" t="s">
        <v>18960</v>
      </c>
      <c r="M9028" t="s">
        <v>18960</v>
      </c>
      <c r="N9028" t="s">
        <v>25385</v>
      </c>
      <c r="O9028" t="s">
        <v>26524</v>
      </c>
      <c r="P9028" t="s">
        <v>26564</v>
      </c>
      <c r="Q9028" t="s">
        <v>26570</v>
      </c>
      <c r="R9028" t="s">
        <v>26591</v>
      </c>
      <c r="U9028" t="s">
        <v>26604</v>
      </c>
      <c r="X9028">
        <v>1000</v>
      </c>
      <c r="Y9028" t="s">
        <v>26650</v>
      </c>
      <c r="Z9028" t="s">
        <v>26664</v>
      </c>
      <c r="AA9028" t="s">
        <v>26683</v>
      </c>
      <c r="AB9028" t="s">
        <v>29382</v>
      </c>
      <c r="AD9028" t="s">
        <v>43844</v>
      </c>
      <c r="AE9028">
        <v>0</v>
      </c>
      <c r="AG9028" t="s">
        <v>19330</v>
      </c>
      <c r="AH9028">
        <v>5</v>
      </c>
      <c r="AI9028">
        <v>2</v>
      </c>
      <c r="AJ9028">
        <v>2</v>
      </c>
      <c r="AK9028">
        <v>87.22</v>
      </c>
      <c r="AN9028" t="s">
        <v>7439</v>
      </c>
      <c r="AO9028">
        <v>21892</v>
      </c>
      <c r="AP9028" t="s">
        <v>46130</v>
      </c>
      <c r="AU9028">
        <v>1.75</v>
      </c>
      <c r="AV9028" t="s">
        <v>531</v>
      </c>
      <c r="AW9028" t="s">
        <v>46831</v>
      </c>
    </row>
    <row r="9029" spans="1:49">
      <c r="A9029" s="1">
        <f>HYPERLINK("https://lsnyc.legalserver.org/matter/dynamic-profile/view/1876395","18-1876395")</f>
        <v>0</v>
      </c>
      <c r="B9029" t="s">
        <v>279</v>
      </c>
      <c r="C9029" t="s">
        <v>341</v>
      </c>
      <c r="D9029" t="s">
        <v>523</v>
      </c>
      <c r="E9029" t="s">
        <v>523</v>
      </c>
      <c r="F9029" t="s">
        <v>4439</v>
      </c>
      <c r="G9029" t="s">
        <v>7923</v>
      </c>
      <c r="H9029" t="s">
        <v>15785</v>
      </c>
      <c r="J9029" t="s">
        <v>18894</v>
      </c>
      <c r="K9029">
        <v>11208</v>
      </c>
      <c r="L9029" t="s">
        <v>18960</v>
      </c>
      <c r="M9029" t="s">
        <v>18960</v>
      </c>
      <c r="N9029" t="s">
        <v>25386</v>
      </c>
      <c r="O9029" t="s">
        <v>26523</v>
      </c>
      <c r="Q9029" t="s">
        <v>26570</v>
      </c>
      <c r="R9029" t="s">
        <v>26591</v>
      </c>
      <c r="U9029" t="s">
        <v>26604</v>
      </c>
      <c r="X9029">
        <v>650</v>
      </c>
      <c r="Y9029" t="s">
        <v>26652</v>
      </c>
      <c r="Z9029" t="s">
        <v>26657</v>
      </c>
      <c r="AA9029" t="s">
        <v>26683</v>
      </c>
      <c r="AB9029" t="s">
        <v>33182</v>
      </c>
      <c r="AD9029" t="s">
        <v>43845</v>
      </c>
      <c r="AE9029">
        <v>0</v>
      </c>
      <c r="AG9029" t="s">
        <v>19330</v>
      </c>
      <c r="AH9029">
        <v>1</v>
      </c>
      <c r="AI9029">
        <v>1</v>
      </c>
      <c r="AJ9029">
        <v>1</v>
      </c>
      <c r="AK9029">
        <v>132.69</v>
      </c>
      <c r="AN9029" t="s">
        <v>7439</v>
      </c>
      <c r="AO9029">
        <v>21840</v>
      </c>
      <c r="AU9029">
        <v>0.4</v>
      </c>
      <c r="AV9029" t="s">
        <v>523</v>
      </c>
      <c r="AW9029" t="s">
        <v>46849</v>
      </c>
    </row>
    <row r="9030" spans="1:49">
      <c r="A9030" s="1">
        <f>HYPERLINK("https://lsnyc.legalserver.org/matter/dynamic-profile/view/1876397","18-1876397")</f>
        <v>0</v>
      </c>
      <c r="B9030" t="s">
        <v>200</v>
      </c>
      <c r="C9030" t="s">
        <v>340</v>
      </c>
      <c r="D9030" t="s">
        <v>523</v>
      </c>
      <c r="F9030" t="s">
        <v>962</v>
      </c>
      <c r="G9030" t="s">
        <v>8908</v>
      </c>
      <c r="H9030" t="s">
        <v>15786</v>
      </c>
      <c r="J9030" t="s">
        <v>18894</v>
      </c>
      <c r="K9030">
        <v>11234</v>
      </c>
      <c r="L9030" t="s">
        <v>18960</v>
      </c>
      <c r="M9030" t="s">
        <v>18960</v>
      </c>
      <c r="R9030" t="s">
        <v>26591</v>
      </c>
      <c r="U9030" t="s">
        <v>26604</v>
      </c>
      <c r="X9030">
        <v>750</v>
      </c>
      <c r="Y9030" t="s">
        <v>26652</v>
      </c>
      <c r="Z9030" t="s">
        <v>26671</v>
      </c>
      <c r="AB9030" t="s">
        <v>30514</v>
      </c>
      <c r="AD9030" t="s">
        <v>43846</v>
      </c>
      <c r="AE9030">
        <v>0</v>
      </c>
      <c r="AG9030" t="s">
        <v>19330</v>
      </c>
      <c r="AH9030">
        <v>0</v>
      </c>
      <c r="AI9030">
        <v>1</v>
      </c>
      <c r="AJ9030">
        <v>0</v>
      </c>
      <c r="AK9030">
        <v>0</v>
      </c>
      <c r="AN9030" t="s">
        <v>7439</v>
      </c>
      <c r="AO9030">
        <v>0</v>
      </c>
      <c r="AU9030">
        <v>1</v>
      </c>
      <c r="AV9030" t="s">
        <v>523</v>
      </c>
      <c r="AW9030" t="s">
        <v>46846</v>
      </c>
    </row>
    <row r="9031" spans="1:49">
      <c r="A9031" s="1">
        <f>HYPERLINK("https://lsnyc.legalserver.org/matter/dynamic-profile/view/1876505","18-1876505")</f>
        <v>0</v>
      </c>
      <c r="B9031" t="s">
        <v>161</v>
      </c>
      <c r="C9031" t="s">
        <v>341</v>
      </c>
      <c r="D9031" t="s">
        <v>530</v>
      </c>
      <c r="E9031" t="s">
        <v>524</v>
      </c>
      <c r="F9031" t="s">
        <v>1150</v>
      </c>
      <c r="G9031" t="s">
        <v>5634</v>
      </c>
      <c r="H9031" t="s">
        <v>15787</v>
      </c>
      <c r="I9031" t="s">
        <v>17757</v>
      </c>
      <c r="J9031" t="s">
        <v>18906</v>
      </c>
      <c r="K9031">
        <v>11373</v>
      </c>
      <c r="L9031" t="s">
        <v>18959</v>
      </c>
      <c r="M9031" t="s">
        <v>18959</v>
      </c>
      <c r="N9031" t="s">
        <v>25387</v>
      </c>
      <c r="O9031" t="s">
        <v>26524</v>
      </c>
      <c r="P9031" t="s">
        <v>26564</v>
      </c>
      <c r="Q9031" t="s">
        <v>26570</v>
      </c>
      <c r="R9031" t="s">
        <v>26585</v>
      </c>
      <c r="S9031" t="s">
        <v>18959</v>
      </c>
      <c r="U9031" t="s">
        <v>26604</v>
      </c>
      <c r="X9031">
        <v>1495</v>
      </c>
      <c r="Y9031" t="s">
        <v>26653</v>
      </c>
      <c r="Z9031" t="s">
        <v>26665</v>
      </c>
      <c r="AA9031" t="s">
        <v>26683</v>
      </c>
      <c r="AB9031" t="s">
        <v>33183</v>
      </c>
      <c r="AD9031" t="s">
        <v>43847</v>
      </c>
      <c r="AE9031">
        <v>89</v>
      </c>
      <c r="AF9031" t="s">
        <v>45553</v>
      </c>
      <c r="AG9031" t="s">
        <v>19330</v>
      </c>
      <c r="AH9031">
        <v>13</v>
      </c>
      <c r="AI9031">
        <v>3</v>
      </c>
      <c r="AJ9031">
        <v>1</v>
      </c>
      <c r="AK9031">
        <v>51.16</v>
      </c>
      <c r="AN9031" t="s">
        <v>45581</v>
      </c>
      <c r="AO9031">
        <v>12840</v>
      </c>
      <c r="AU9031">
        <v>0.9</v>
      </c>
      <c r="AV9031" t="s">
        <v>524</v>
      </c>
      <c r="AW9031" t="s">
        <v>161</v>
      </c>
    </row>
    <row r="9032" spans="1:49">
      <c r="A9032" s="1">
        <f>HYPERLINK("https://lsnyc.legalserver.org/matter/dynamic-profile/view/1864193","18-1864193")</f>
        <v>0</v>
      </c>
      <c r="B9032" t="s">
        <v>279</v>
      </c>
      <c r="C9032" t="s">
        <v>341</v>
      </c>
      <c r="D9032" t="s">
        <v>530</v>
      </c>
      <c r="E9032" t="s">
        <v>494</v>
      </c>
      <c r="F9032" t="s">
        <v>4440</v>
      </c>
      <c r="G9032" t="s">
        <v>5681</v>
      </c>
      <c r="H9032" t="s">
        <v>15788</v>
      </c>
      <c r="I9032">
        <v>2</v>
      </c>
      <c r="J9032" t="s">
        <v>18894</v>
      </c>
      <c r="K9032">
        <v>11233</v>
      </c>
      <c r="L9032" t="s">
        <v>18959</v>
      </c>
      <c r="M9032" t="s">
        <v>18959</v>
      </c>
      <c r="N9032" t="s">
        <v>25388</v>
      </c>
      <c r="O9032" t="s">
        <v>26523</v>
      </c>
      <c r="P9032" t="s">
        <v>26563</v>
      </c>
      <c r="Q9032" t="s">
        <v>26570</v>
      </c>
      <c r="R9032" t="s">
        <v>26578</v>
      </c>
      <c r="S9032" t="s">
        <v>18959</v>
      </c>
      <c r="U9032" t="s">
        <v>26604</v>
      </c>
      <c r="X9032">
        <v>2100</v>
      </c>
      <c r="Y9032" t="s">
        <v>26652</v>
      </c>
      <c r="Z9032" t="s">
        <v>26661</v>
      </c>
      <c r="AA9032" t="s">
        <v>26683</v>
      </c>
      <c r="AB9032" t="s">
        <v>27947</v>
      </c>
      <c r="AD9032" t="s">
        <v>43848</v>
      </c>
      <c r="AE9032">
        <v>2</v>
      </c>
      <c r="AF9032" t="s">
        <v>45547</v>
      </c>
      <c r="AH9032">
        <v>3</v>
      </c>
      <c r="AI9032">
        <v>4</v>
      </c>
      <c r="AJ9032">
        <v>0</v>
      </c>
      <c r="AK9032">
        <v>76.48999999999999</v>
      </c>
      <c r="AN9032" t="s">
        <v>7439</v>
      </c>
      <c r="AO9032">
        <v>19200</v>
      </c>
      <c r="AP9032" t="s">
        <v>46131</v>
      </c>
      <c r="AU9032">
        <v>0.01</v>
      </c>
      <c r="AV9032" t="s">
        <v>523</v>
      </c>
      <c r="AW9032" t="s">
        <v>46894</v>
      </c>
    </row>
    <row r="9033" spans="1:49">
      <c r="A9033" s="1">
        <f>HYPERLINK("https://lsnyc.legalserver.org/matter/dynamic-profile/view/1876483","18-1876483")</f>
        <v>0</v>
      </c>
      <c r="B9033" t="s">
        <v>165</v>
      </c>
      <c r="C9033" t="s">
        <v>340</v>
      </c>
      <c r="D9033" t="s">
        <v>530</v>
      </c>
      <c r="F9033" t="s">
        <v>1775</v>
      </c>
      <c r="G9033" t="s">
        <v>8909</v>
      </c>
      <c r="H9033" t="s">
        <v>15073</v>
      </c>
      <c r="I9033" t="s">
        <v>17406</v>
      </c>
      <c r="J9033" t="s">
        <v>18893</v>
      </c>
      <c r="K9033">
        <v>10031</v>
      </c>
      <c r="L9033" t="s">
        <v>18960</v>
      </c>
      <c r="M9033" t="s">
        <v>18960</v>
      </c>
      <c r="N9033" t="s">
        <v>25389</v>
      </c>
      <c r="O9033" t="s">
        <v>26524</v>
      </c>
      <c r="R9033" t="s">
        <v>26582</v>
      </c>
      <c r="U9033" t="s">
        <v>26604</v>
      </c>
      <c r="X9033">
        <v>1211</v>
      </c>
      <c r="Y9033" t="s">
        <v>26651</v>
      </c>
      <c r="Z9033" t="s">
        <v>26657</v>
      </c>
      <c r="AB9033" t="s">
        <v>33184</v>
      </c>
      <c r="AD9033" t="s">
        <v>43849</v>
      </c>
      <c r="AE9033">
        <v>44</v>
      </c>
      <c r="AH9033">
        <v>17</v>
      </c>
      <c r="AI9033">
        <v>2</v>
      </c>
      <c r="AJ9033">
        <v>0</v>
      </c>
      <c r="AK9033">
        <v>14.53</v>
      </c>
      <c r="AN9033" t="s">
        <v>45581</v>
      </c>
      <c r="AO9033">
        <v>2392</v>
      </c>
      <c r="AU9033">
        <v>26</v>
      </c>
      <c r="AV9033" t="s">
        <v>695</v>
      </c>
      <c r="AW9033" t="s">
        <v>46838</v>
      </c>
    </row>
    <row r="9034" spans="1:49">
      <c r="A9034" s="1">
        <f>HYPERLINK("https://lsnyc.legalserver.org/matter/dynamic-profile/view/1876501","18-1876501")</f>
        <v>0</v>
      </c>
      <c r="B9034" t="s">
        <v>165</v>
      </c>
      <c r="C9034" t="s">
        <v>340</v>
      </c>
      <c r="D9034" t="s">
        <v>530</v>
      </c>
      <c r="F9034" t="s">
        <v>3704</v>
      </c>
      <c r="G9034" t="s">
        <v>7537</v>
      </c>
      <c r="H9034" t="s">
        <v>15789</v>
      </c>
      <c r="I9034">
        <v>18</v>
      </c>
      <c r="J9034" t="s">
        <v>18893</v>
      </c>
      <c r="K9034">
        <v>10039</v>
      </c>
      <c r="L9034" t="s">
        <v>18960</v>
      </c>
      <c r="M9034" t="s">
        <v>18960</v>
      </c>
      <c r="O9034" t="s">
        <v>26524</v>
      </c>
      <c r="R9034" t="s">
        <v>26582</v>
      </c>
      <c r="U9034" t="s">
        <v>26604</v>
      </c>
      <c r="X9034">
        <v>860</v>
      </c>
      <c r="Y9034" t="s">
        <v>26651</v>
      </c>
      <c r="AB9034" t="s">
        <v>33185</v>
      </c>
      <c r="AD9034" t="s">
        <v>43850</v>
      </c>
      <c r="AE9034">
        <v>24</v>
      </c>
      <c r="AH9034">
        <v>21</v>
      </c>
      <c r="AI9034">
        <v>3</v>
      </c>
      <c r="AJ9034">
        <v>0</v>
      </c>
      <c r="AK9034">
        <v>175.17</v>
      </c>
      <c r="AN9034" t="s">
        <v>7439</v>
      </c>
      <c r="AO9034">
        <v>36400</v>
      </c>
      <c r="AU9034">
        <v>94.3</v>
      </c>
      <c r="AV9034" t="s">
        <v>797</v>
      </c>
      <c r="AW9034" t="s">
        <v>46838</v>
      </c>
    </row>
    <row r="9035" spans="1:49">
      <c r="A9035" s="1">
        <f>HYPERLINK("https://lsnyc.legalserver.org/matter/dynamic-profile/view/1876496","18-1876496")</f>
        <v>0</v>
      </c>
      <c r="B9035" t="s">
        <v>200</v>
      </c>
      <c r="C9035" t="s">
        <v>340</v>
      </c>
      <c r="D9035" t="s">
        <v>530</v>
      </c>
      <c r="F9035" t="s">
        <v>3010</v>
      </c>
      <c r="G9035" t="s">
        <v>5141</v>
      </c>
      <c r="H9035" t="s">
        <v>12959</v>
      </c>
      <c r="I9035" t="s">
        <v>18106</v>
      </c>
      <c r="J9035" t="s">
        <v>18894</v>
      </c>
      <c r="K9035">
        <v>11233</v>
      </c>
      <c r="L9035" t="s">
        <v>18959</v>
      </c>
      <c r="M9035" t="s">
        <v>18960</v>
      </c>
      <c r="N9035" t="s">
        <v>18997</v>
      </c>
      <c r="O9035" t="s">
        <v>26526</v>
      </c>
      <c r="R9035" t="s">
        <v>26578</v>
      </c>
      <c r="S9035" t="s">
        <v>18959</v>
      </c>
      <c r="U9035" t="s">
        <v>26604</v>
      </c>
      <c r="X9035">
        <v>1542</v>
      </c>
      <c r="Y9035" t="s">
        <v>26652</v>
      </c>
      <c r="Z9035" t="s">
        <v>26659</v>
      </c>
      <c r="AB9035" t="s">
        <v>26812</v>
      </c>
      <c r="AC9035">
        <v>562586</v>
      </c>
      <c r="AD9035" t="s">
        <v>40455</v>
      </c>
      <c r="AE9035">
        <v>200</v>
      </c>
      <c r="AF9035" t="s">
        <v>45541</v>
      </c>
      <c r="AG9035" t="s">
        <v>45556</v>
      </c>
      <c r="AH9035">
        <v>10</v>
      </c>
      <c r="AI9035">
        <v>1</v>
      </c>
      <c r="AJ9035">
        <v>2</v>
      </c>
      <c r="AK9035">
        <v>159.15</v>
      </c>
      <c r="AN9035" t="s">
        <v>7439</v>
      </c>
      <c r="AO9035">
        <v>33072</v>
      </c>
      <c r="AU9035">
        <v>0</v>
      </c>
      <c r="AW9035" t="s">
        <v>279</v>
      </c>
    </row>
    <row r="9036" spans="1:49">
      <c r="A9036" s="1">
        <f>HYPERLINK("https://lsnyc.legalserver.org/matter/dynamic-profile/view/1876507","18-1876507")</f>
        <v>0</v>
      </c>
      <c r="B9036" t="s">
        <v>59</v>
      </c>
      <c r="C9036" t="s">
        <v>340</v>
      </c>
      <c r="D9036" t="s">
        <v>530</v>
      </c>
      <c r="F9036" t="s">
        <v>4441</v>
      </c>
      <c r="G9036" t="s">
        <v>5985</v>
      </c>
      <c r="H9036" t="s">
        <v>15790</v>
      </c>
      <c r="I9036" t="s">
        <v>17356</v>
      </c>
      <c r="J9036" t="s">
        <v>18893</v>
      </c>
      <c r="K9036">
        <v>10002</v>
      </c>
      <c r="L9036" t="s">
        <v>18960</v>
      </c>
      <c r="M9036" t="s">
        <v>18960</v>
      </c>
      <c r="O9036" t="s">
        <v>18997</v>
      </c>
      <c r="R9036" t="s">
        <v>26582</v>
      </c>
      <c r="U9036" t="s">
        <v>26604</v>
      </c>
      <c r="X9036">
        <v>695.85</v>
      </c>
      <c r="Y9036" t="s">
        <v>26651</v>
      </c>
      <c r="AB9036" t="s">
        <v>33186</v>
      </c>
      <c r="AD9036" t="s">
        <v>43851</v>
      </c>
      <c r="AE9036">
        <v>0</v>
      </c>
      <c r="AH9036">
        <v>0</v>
      </c>
      <c r="AI9036">
        <v>2</v>
      </c>
      <c r="AJ9036">
        <v>0</v>
      </c>
      <c r="AK9036">
        <v>85.73999999999999</v>
      </c>
      <c r="AN9036" t="s">
        <v>45581</v>
      </c>
      <c r="AO9036">
        <v>14112</v>
      </c>
      <c r="AU9036">
        <v>12.1</v>
      </c>
      <c r="AV9036" t="s">
        <v>690</v>
      </c>
      <c r="AW9036" t="s">
        <v>46838</v>
      </c>
    </row>
    <row r="9037" spans="1:49">
      <c r="A9037" s="1">
        <f>HYPERLINK("https://lsnyc.legalserver.org/matter/dynamic-profile/view/1876661","18-1876661")</f>
        <v>0</v>
      </c>
      <c r="B9037" t="s">
        <v>302</v>
      </c>
      <c r="C9037" t="s">
        <v>341</v>
      </c>
      <c r="D9037" t="s">
        <v>531</v>
      </c>
      <c r="E9037" t="s">
        <v>645</v>
      </c>
      <c r="F9037" t="s">
        <v>4442</v>
      </c>
      <c r="G9037" t="s">
        <v>8910</v>
      </c>
      <c r="H9037" t="s">
        <v>15791</v>
      </c>
      <c r="I9037" t="s">
        <v>18121</v>
      </c>
      <c r="J9037" t="s">
        <v>18892</v>
      </c>
      <c r="K9037">
        <v>10453</v>
      </c>
      <c r="L9037" t="s">
        <v>18959</v>
      </c>
      <c r="M9037" t="s">
        <v>18959</v>
      </c>
      <c r="P9037" t="s">
        <v>26564</v>
      </c>
      <c r="Q9037" t="s">
        <v>26570</v>
      </c>
      <c r="R9037" t="s">
        <v>26591</v>
      </c>
      <c r="U9037" t="s">
        <v>26604</v>
      </c>
      <c r="X9037">
        <v>1500</v>
      </c>
      <c r="Y9037" t="s">
        <v>26650</v>
      </c>
      <c r="AA9037" t="s">
        <v>26683</v>
      </c>
      <c r="AB9037" t="s">
        <v>33187</v>
      </c>
      <c r="AD9037" t="s">
        <v>43852</v>
      </c>
      <c r="AE9037">
        <v>55</v>
      </c>
      <c r="AG9037" t="s">
        <v>45556</v>
      </c>
      <c r="AH9037">
        <v>37</v>
      </c>
      <c r="AI9037">
        <v>1</v>
      </c>
      <c r="AJ9037">
        <v>1</v>
      </c>
      <c r="AK9037">
        <v>65.73999999999999</v>
      </c>
      <c r="AN9037" t="s">
        <v>7439</v>
      </c>
      <c r="AO9037">
        <v>10820</v>
      </c>
      <c r="AP9037" t="s">
        <v>46132</v>
      </c>
      <c r="AU9037">
        <v>1</v>
      </c>
      <c r="AV9037" t="s">
        <v>531</v>
      </c>
      <c r="AW9037" t="s">
        <v>46857</v>
      </c>
    </row>
    <row r="9038" spans="1:49">
      <c r="A9038" s="1">
        <f>HYPERLINK("https://lsnyc.legalserver.org/matter/dynamic-profile/view/1876646","18-1876646")</f>
        <v>0</v>
      </c>
      <c r="B9038" t="s">
        <v>74</v>
      </c>
      <c r="C9038" t="s">
        <v>341</v>
      </c>
      <c r="D9038" t="s">
        <v>531</v>
      </c>
      <c r="E9038" t="s">
        <v>618</v>
      </c>
      <c r="F9038" t="s">
        <v>938</v>
      </c>
      <c r="G9038" t="s">
        <v>8911</v>
      </c>
      <c r="H9038" t="s">
        <v>15792</v>
      </c>
      <c r="I9038" t="s">
        <v>18173</v>
      </c>
      <c r="J9038" t="s">
        <v>18892</v>
      </c>
      <c r="K9038">
        <v>10466</v>
      </c>
      <c r="L9038" t="s">
        <v>18960</v>
      </c>
      <c r="M9038" t="s">
        <v>18960</v>
      </c>
      <c r="Q9038" t="s">
        <v>26570</v>
      </c>
      <c r="R9038" t="s">
        <v>26591</v>
      </c>
      <c r="U9038" t="s">
        <v>26604</v>
      </c>
      <c r="X9038">
        <v>1200</v>
      </c>
      <c r="Y9038" t="s">
        <v>26651</v>
      </c>
      <c r="Z9038" t="s">
        <v>26657</v>
      </c>
      <c r="AA9038" t="s">
        <v>26683</v>
      </c>
      <c r="AB9038" t="s">
        <v>33188</v>
      </c>
      <c r="AD9038" t="s">
        <v>43853</v>
      </c>
      <c r="AE9038">
        <v>37</v>
      </c>
      <c r="AH9038">
        <v>5</v>
      </c>
      <c r="AI9038">
        <v>1</v>
      </c>
      <c r="AJ9038">
        <v>0</v>
      </c>
      <c r="AK9038">
        <v>0</v>
      </c>
      <c r="AN9038" t="s">
        <v>7439</v>
      </c>
      <c r="AO9038">
        <v>0</v>
      </c>
      <c r="AU9038">
        <v>0.6</v>
      </c>
      <c r="AV9038" t="s">
        <v>531</v>
      </c>
      <c r="AW9038" t="s">
        <v>46850</v>
      </c>
    </row>
    <row r="9039" spans="1:49">
      <c r="A9039" s="1">
        <f>HYPERLINK("https://lsnyc.legalserver.org/matter/dynamic-profile/view/1876693","18-1876693")</f>
        <v>0</v>
      </c>
      <c r="B9039" t="s">
        <v>279</v>
      </c>
      <c r="C9039" t="s">
        <v>341</v>
      </c>
      <c r="D9039" t="s">
        <v>531</v>
      </c>
      <c r="E9039" t="s">
        <v>594</v>
      </c>
      <c r="F9039" t="s">
        <v>1604</v>
      </c>
      <c r="G9039" t="s">
        <v>6333</v>
      </c>
      <c r="H9039" t="s">
        <v>15793</v>
      </c>
      <c r="I9039">
        <v>2</v>
      </c>
      <c r="J9039" t="s">
        <v>18894</v>
      </c>
      <c r="K9039">
        <v>11207</v>
      </c>
      <c r="L9039" t="s">
        <v>18960</v>
      </c>
      <c r="M9039" t="s">
        <v>18960</v>
      </c>
      <c r="Q9039" t="s">
        <v>26570</v>
      </c>
      <c r="R9039" t="s">
        <v>26591</v>
      </c>
      <c r="U9039" t="s">
        <v>26604</v>
      </c>
      <c r="X9039">
        <v>0</v>
      </c>
      <c r="Y9039" t="s">
        <v>26652</v>
      </c>
      <c r="AA9039" t="s">
        <v>26683</v>
      </c>
      <c r="AB9039" t="s">
        <v>33189</v>
      </c>
      <c r="AD9039" t="s">
        <v>43854</v>
      </c>
      <c r="AE9039">
        <v>2</v>
      </c>
      <c r="AH9039">
        <v>8</v>
      </c>
      <c r="AI9039">
        <v>1</v>
      </c>
      <c r="AJ9039">
        <v>1</v>
      </c>
      <c r="AK9039">
        <v>9.48</v>
      </c>
      <c r="AN9039" t="s">
        <v>7439</v>
      </c>
      <c r="AO9039">
        <v>1560</v>
      </c>
      <c r="AU9039">
        <v>2</v>
      </c>
      <c r="AV9039" t="s">
        <v>594</v>
      </c>
      <c r="AW9039" t="s">
        <v>46857</v>
      </c>
    </row>
    <row r="9040" spans="1:49">
      <c r="A9040" s="1">
        <f>HYPERLINK("https://lsnyc.legalserver.org/matter/dynamic-profile/view/1876674","18-1876674")</f>
        <v>0</v>
      </c>
      <c r="B9040" t="s">
        <v>101</v>
      </c>
      <c r="C9040" t="s">
        <v>340</v>
      </c>
      <c r="D9040" t="s">
        <v>531</v>
      </c>
      <c r="F9040" t="s">
        <v>1196</v>
      </c>
      <c r="G9040" t="s">
        <v>7816</v>
      </c>
      <c r="H9040" t="s">
        <v>10238</v>
      </c>
      <c r="I9040" t="s">
        <v>17326</v>
      </c>
      <c r="J9040" t="s">
        <v>18894</v>
      </c>
      <c r="K9040">
        <v>11225</v>
      </c>
      <c r="L9040" t="s">
        <v>18959</v>
      </c>
      <c r="M9040" t="s">
        <v>18960</v>
      </c>
      <c r="N9040" t="s">
        <v>25390</v>
      </c>
      <c r="O9040" t="s">
        <v>26523</v>
      </c>
      <c r="P9040" t="s">
        <v>26560</v>
      </c>
      <c r="R9040" t="s">
        <v>26588</v>
      </c>
      <c r="U9040" t="s">
        <v>26604</v>
      </c>
      <c r="X9040">
        <v>0</v>
      </c>
      <c r="Y9040" t="s">
        <v>26652</v>
      </c>
      <c r="AB9040" t="s">
        <v>27708</v>
      </c>
      <c r="AE9040">
        <v>0</v>
      </c>
      <c r="AH9040">
        <v>0</v>
      </c>
      <c r="AI9040">
        <v>1</v>
      </c>
      <c r="AJ9040">
        <v>0</v>
      </c>
      <c r="AK9040">
        <v>0</v>
      </c>
      <c r="AN9040" t="s">
        <v>7439</v>
      </c>
      <c r="AO9040">
        <v>0</v>
      </c>
      <c r="AU9040">
        <v>17.9</v>
      </c>
      <c r="AV9040" t="s">
        <v>808</v>
      </c>
      <c r="AW9040" t="s">
        <v>46862</v>
      </c>
    </row>
    <row r="9041" spans="1:49">
      <c r="A9041" s="1">
        <f>HYPERLINK("https://lsnyc.legalserver.org/matter/dynamic-profile/view/1876829","18-1876829")</f>
        <v>0</v>
      </c>
      <c r="B9041" t="s">
        <v>302</v>
      </c>
      <c r="C9041" t="s">
        <v>341</v>
      </c>
      <c r="D9041" t="s">
        <v>422</v>
      </c>
      <c r="E9041" t="s">
        <v>645</v>
      </c>
      <c r="F9041" t="s">
        <v>3137</v>
      </c>
      <c r="G9041" t="s">
        <v>5677</v>
      </c>
      <c r="H9041" t="s">
        <v>15794</v>
      </c>
      <c r="I9041">
        <v>1507</v>
      </c>
      <c r="J9041" t="s">
        <v>18892</v>
      </c>
      <c r="K9041">
        <v>10460</v>
      </c>
      <c r="L9041" t="s">
        <v>18960</v>
      </c>
      <c r="M9041" t="s">
        <v>18960</v>
      </c>
      <c r="N9041" t="s">
        <v>25391</v>
      </c>
      <c r="O9041" t="s">
        <v>26523</v>
      </c>
      <c r="P9041" t="s">
        <v>26564</v>
      </c>
      <c r="Q9041" t="s">
        <v>26570</v>
      </c>
      <c r="R9041" t="s">
        <v>26591</v>
      </c>
      <c r="U9041" t="s">
        <v>26604</v>
      </c>
      <c r="X9041">
        <v>1000</v>
      </c>
      <c r="Y9041" t="s">
        <v>26650</v>
      </c>
      <c r="Z9041" t="s">
        <v>26668</v>
      </c>
      <c r="AA9041" t="s">
        <v>26683</v>
      </c>
      <c r="AB9041" t="s">
        <v>33190</v>
      </c>
      <c r="AD9041" t="s">
        <v>43855</v>
      </c>
      <c r="AE9041">
        <v>160</v>
      </c>
      <c r="AF9041" t="s">
        <v>45543</v>
      </c>
      <c r="AG9041" t="s">
        <v>45556</v>
      </c>
      <c r="AH9041">
        <v>7</v>
      </c>
      <c r="AI9041">
        <v>1</v>
      </c>
      <c r="AJ9041">
        <v>0</v>
      </c>
      <c r="AK9041">
        <v>63.26</v>
      </c>
      <c r="AN9041" t="s">
        <v>7439</v>
      </c>
      <c r="AO9041">
        <v>7680</v>
      </c>
      <c r="AU9041">
        <v>1</v>
      </c>
      <c r="AV9041" t="s">
        <v>422</v>
      </c>
      <c r="AW9041" t="s">
        <v>46843</v>
      </c>
    </row>
    <row r="9042" spans="1:49">
      <c r="A9042" s="1">
        <f>HYPERLINK("https://lsnyc.legalserver.org/matter/dynamic-profile/view/1876796","18-1876796")</f>
        <v>0</v>
      </c>
      <c r="B9042" t="s">
        <v>171</v>
      </c>
      <c r="C9042" t="s">
        <v>341</v>
      </c>
      <c r="D9042" t="s">
        <v>422</v>
      </c>
      <c r="E9042" t="s">
        <v>412</v>
      </c>
      <c r="F9042" t="s">
        <v>1300</v>
      </c>
      <c r="G9042" t="s">
        <v>5419</v>
      </c>
      <c r="H9042" t="s">
        <v>15795</v>
      </c>
      <c r="I9042">
        <v>4</v>
      </c>
      <c r="J9042" t="s">
        <v>18893</v>
      </c>
      <c r="K9042">
        <v>10030</v>
      </c>
      <c r="L9042" t="s">
        <v>18960</v>
      </c>
      <c r="M9042" t="s">
        <v>18960</v>
      </c>
      <c r="N9042">
        <v>70603</v>
      </c>
      <c r="O9042" t="s">
        <v>26523</v>
      </c>
      <c r="P9042" t="s">
        <v>26564</v>
      </c>
      <c r="Q9042" t="s">
        <v>26570</v>
      </c>
      <c r="R9042" t="s">
        <v>26582</v>
      </c>
      <c r="U9042" t="s">
        <v>26604</v>
      </c>
      <c r="X9042">
        <v>1200</v>
      </c>
      <c r="Y9042" t="s">
        <v>26651</v>
      </c>
      <c r="AA9042" t="s">
        <v>26683</v>
      </c>
      <c r="AB9042" t="s">
        <v>33191</v>
      </c>
      <c r="AD9042" t="s">
        <v>43856</v>
      </c>
      <c r="AE9042">
        <v>54</v>
      </c>
      <c r="AH9042">
        <v>8</v>
      </c>
      <c r="AI9042">
        <v>1</v>
      </c>
      <c r="AJ9042">
        <v>3</v>
      </c>
      <c r="AK9042">
        <v>0</v>
      </c>
      <c r="AN9042" t="s">
        <v>7439</v>
      </c>
      <c r="AO9042">
        <v>0</v>
      </c>
      <c r="AR9042" t="s">
        <v>26530</v>
      </c>
      <c r="AS9042" t="s">
        <v>46499</v>
      </c>
      <c r="AT9042" t="s">
        <v>46516</v>
      </c>
      <c r="AU9042">
        <v>0.2</v>
      </c>
      <c r="AV9042" t="s">
        <v>575</v>
      </c>
      <c r="AW9042" t="s">
        <v>46838</v>
      </c>
    </row>
    <row r="9043" spans="1:49">
      <c r="A9043" s="1">
        <f>HYPERLINK("https://lsnyc.legalserver.org/matter/dynamic-profile/view/1876864","18-1876864")</f>
        <v>0</v>
      </c>
      <c r="B9043" t="s">
        <v>171</v>
      </c>
      <c r="C9043" t="s">
        <v>341</v>
      </c>
      <c r="D9043" t="s">
        <v>422</v>
      </c>
      <c r="E9043" t="s">
        <v>683</v>
      </c>
      <c r="F9043" t="s">
        <v>868</v>
      </c>
      <c r="G9043" t="s">
        <v>994</v>
      </c>
      <c r="H9043" t="s">
        <v>15796</v>
      </c>
      <c r="I9043" t="s">
        <v>18238</v>
      </c>
      <c r="J9043" t="s">
        <v>18893</v>
      </c>
      <c r="K9043">
        <v>10030</v>
      </c>
      <c r="L9043" t="s">
        <v>18960</v>
      </c>
      <c r="M9043" t="s">
        <v>18960</v>
      </c>
      <c r="O9043" t="s">
        <v>26523</v>
      </c>
      <c r="Q9043" t="s">
        <v>26570</v>
      </c>
      <c r="R9043" t="s">
        <v>26582</v>
      </c>
      <c r="U9043" t="s">
        <v>26604</v>
      </c>
      <c r="X9043">
        <v>295</v>
      </c>
      <c r="Y9043" t="s">
        <v>26651</v>
      </c>
      <c r="AA9043" t="s">
        <v>26683</v>
      </c>
      <c r="AB9043" t="s">
        <v>32812</v>
      </c>
      <c r="AD9043" t="s">
        <v>43857</v>
      </c>
      <c r="AE9043">
        <v>0</v>
      </c>
      <c r="AH9043">
        <v>4</v>
      </c>
      <c r="AI9043">
        <v>1</v>
      </c>
      <c r="AJ9043">
        <v>0</v>
      </c>
      <c r="AK9043">
        <v>87.48</v>
      </c>
      <c r="AN9043" t="s">
        <v>7439</v>
      </c>
      <c r="AO9043">
        <v>10620</v>
      </c>
      <c r="AU9043">
        <v>0.6</v>
      </c>
      <c r="AV9043" t="s">
        <v>412</v>
      </c>
      <c r="AW9043" t="s">
        <v>46838</v>
      </c>
    </row>
    <row r="9044" spans="1:49">
      <c r="A9044" s="1">
        <f>HYPERLINK("https://lsnyc.legalserver.org/matter/dynamic-profile/view/1877283","18-1877283")</f>
        <v>0</v>
      </c>
      <c r="B9044" t="s">
        <v>124</v>
      </c>
      <c r="C9044" t="s">
        <v>341</v>
      </c>
      <c r="D9044" t="s">
        <v>422</v>
      </c>
      <c r="E9044" t="s">
        <v>805</v>
      </c>
      <c r="F9044" t="s">
        <v>1435</v>
      </c>
      <c r="G9044" t="s">
        <v>8912</v>
      </c>
      <c r="H9044" t="s">
        <v>15797</v>
      </c>
      <c r="I9044" t="s">
        <v>18631</v>
      </c>
      <c r="J9044" t="s">
        <v>18894</v>
      </c>
      <c r="K9044">
        <v>11218</v>
      </c>
      <c r="L9044" t="s">
        <v>18960</v>
      </c>
      <c r="M9044" t="s">
        <v>18960</v>
      </c>
      <c r="Q9044" t="s">
        <v>26568</v>
      </c>
      <c r="R9044" t="s">
        <v>26586</v>
      </c>
      <c r="U9044" t="s">
        <v>26604</v>
      </c>
      <c r="X9044">
        <v>0</v>
      </c>
      <c r="Y9044" t="s">
        <v>26652</v>
      </c>
      <c r="AA9044" t="s">
        <v>26678</v>
      </c>
      <c r="AB9044" t="s">
        <v>33192</v>
      </c>
      <c r="AD9044" t="s">
        <v>43858</v>
      </c>
      <c r="AE9044">
        <v>0</v>
      </c>
      <c r="AH9044">
        <v>0</v>
      </c>
      <c r="AI9044">
        <v>2</v>
      </c>
      <c r="AJ9044">
        <v>1</v>
      </c>
      <c r="AK9044">
        <v>93.55</v>
      </c>
      <c r="AN9044" t="s">
        <v>7439</v>
      </c>
      <c r="AO9044">
        <v>19440</v>
      </c>
      <c r="AS9044" t="s">
        <v>46499</v>
      </c>
      <c r="AU9044">
        <v>15.9</v>
      </c>
      <c r="AV9044" t="s">
        <v>805</v>
      </c>
      <c r="AW9044" t="s">
        <v>46882</v>
      </c>
    </row>
    <row r="9045" spans="1:49">
      <c r="A9045" s="1">
        <f>HYPERLINK("https://lsnyc.legalserver.org/matter/dynamic-profile/view/1876868","18-1876868")</f>
        <v>0</v>
      </c>
      <c r="B9045" t="s">
        <v>106</v>
      </c>
      <c r="C9045" t="s">
        <v>341</v>
      </c>
      <c r="D9045" t="s">
        <v>422</v>
      </c>
      <c r="E9045" t="s">
        <v>688</v>
      </c>
      <c r="F9045" t="s">
        <v>2372</v>
      </c>
      <c r="G9045" t="s">
        <v>4311</v>
      </c>
      <c r="H9045" t="s">
        <v>15376</v>
      </c>
      <c r="I9045" t="s">
        <v>17330</v>
      </c>
      <c r="J9045" t="s">
        <v>18894</v>
      </c>
      <c r="K9045">
        <v>11225</v>
      </c>
      <c r="L9045" t="s">
        <v>18959</v>
      </c>
      <c r="M9045" t="s">
        <v>18960</v>
      </c>
      <c r="N9045" t="s">
        <v>25392</v>
      </c>
      <c r="O9045" t="s">
        <v>26523</v>
      </c>
      <c r="P9045" t="s">
        <v>26560</v>
      </c>
      <c r="Q9045" t="s">
        <v>26573</v>
      </c>
      <c r="R9045" t="s">
        <v>26588</v>
      </c>
      <c r="S9045" t="s">
        <v>18959</v>
      </c>
      <c r="U9045" t="s">
        <v>26604</v>
      </c>
      <c r="X9045">
        <v>1134.41</v>
      </c>
      <c r="Y9045" t="s">
        <v>26652</v>
      </c>
      <c r="Z9045" t="s">
        <v>26669</v>
      </c>
      <c r="AA9045" t="s">
        <v>26678</v>
      </c>
      <c r="AB9045" t="s">
        <v>28899</v>
      </c>
      <c r="AD9045" t="s">
        <v>43859</v>
      </c>
      <c r="AE9045">
        <v>0</v>
      </c>
      <c r="AF9045" t="s">
        <v>45541</v>
      </c>
      <c r="AH9045">
        <v>36</v>
      </c>
      <c r="AI9045">
        <v>2</v>
      </c>
      <c r="AJ9045">
        <v>0</v>
      </c>
      <c r="AK9045">
        <v>0</v>
      </c>
      <c r="AN9045" t="s">
        <v>7439</v>
      </c>
      <c r="AO9045">
        <v>0</v>
      </c>
      <c r="AS9045" t="s">
        <v>46499</v>
      </c>
      <c r="AU9045">
        <v>16.95</v>
      </c>
      <c r="AV9045" t="s">
        <v>688</v>
      </c>
      <c r="AW9045" t="s">
        <v>106</v>
      </c>
    </row>
    <row r="9046" spans="1:49">
      <c r="A9046" s="1">
        <f>HYPERLINK("https://lsnyc.legalserver.org/matter/dynamic-profile/view/1876740","18-1876740")</f>
        <v>0</v>
      </c>
      <c r="B9046" t="s">
        <v>186</v>
      </c>
      <c r="C9046" t="s">
        <v>340</v>
      </c>
      <c r="D9046" t="s">
        <v>422</v>
      </c>
      <c r="F9046" t="s">
        <v>1091</v>
      </c>
      <c r="G9046" t="s">
        <v>7451</v>
      </c>
      <c r="H9046" t="s">
        <v>15798</v>
      </c>
      <c r="I9046" t="s">
        <v>18290</v>
      </c>
      <c r="J9046" t="s">
        <v>18894</v>
      </c>
      <c r="K9046">
        <v>11203</v>
      </c>
      <c r="L9046" t="s">
        <v>18960</v>
      </c>
      <c r="M9046" t="s">
        <v>18960</v>
      </c>
      <c r="P9046" t="s">
        <v>26560</v>
      </c>
      <c r="R9046" t="s">
        <v>26586</v>
      </c>
      <c r="U9046" t="s">
        <v>26604</v>
      </c>
      <c r="X9046">
        <v>0</v>
      </c>
      <c r="Y9046" t="s">
        <v>26652</v>
      </c>
      <c r="AB9046" t="s">
        <v>33193</v>
      </c>
      <c r="AD9046" t="s">
        <v>43860</v>
      </c>
      <c r="AE9046">
        <v>0</v>
      </c>
      <c r="AH9046">
        <v>0</v>
      </c>
      <c r="AI9046">
        <v>1</v>
      </c>
      <c r="AJ9046">
        <v>0</v>
      </c>
      <c r="AK9046">
        <v>37.17</v>
      </c>
      <c r="AN9046" t="s">
        <v>7439</v>
      </c>
      <c r="AO9046">
        <v>4512</v>
      </c>
      <c r="AU9046">
        <v>10.8</v>
      </c>
      <c r="AV9046" t="s">
        <v>834</v>
      </c>
      <c r="AW9046" t="s">
        <v>46856</v>
      </c>
    </row>
    <row r="9047" spans="1:49">
      <c r="A9047" s="1">
        <f>HYPERLINK("https://lsnyc.legalserver.org/matter/dynamic-profile/view/1876870","18-1876870")</f>
        <v>0</v>
      </c>
      <c r="B9047" t="s">
        <v>200</v>
      </c>
      <c r="C9047" t="s">
        <v>340</v>
      </c>
      <c r="D9047" t="s">
        <v>422</v>
      </c>
      <c r="F9047" t="s">
        <v>1072</v>
      </c>
      <c r="G9047" t="s">
        <v>8913</v>
      </c>
      <c r="H9047" t="s">
        <v>15799</v>
      </c>
      <c r="I9047" t="s">
        <v>17468</v>
      </c>
      <c r="J9047" t="s">
        <v>18894</v>
      </c>
      <c r="K9047">
        <v>11210</v>
      </c>
      <c r="L9047" t="s">
        <v>18960</v>
      </c>
      <c r="M9047" t="s">
        <v>18960</v>
      </c>
      <c r="R9047" t="s">
        <v>26591</v>
      </c>
      <c r="U9047" t="s">
        <v>26604</v>
      </c>
      <c r="X9047">
        <v>896</v>
      </c>
      <c r="Y9047" t="s">
        <v>26652</v>
      </c>
      <c r="Z9047" t="s">
        <v>26661</v>
      </c>
      <c r="AB9047" t="s">
        <v>29171</v>
      </c>
      <c r="AD9047" t="s">
        <v>43861</v>
      </c>
      <c r="AE9047">
        <v>31</v>
      </c>
      <c r="AF9047" t="s">
        <v>45541</v>
      </c>
      <c r="AG9047" t="s">
        <v>19330</v>
      </c>
      <c r="AH9047">
        <v>20</v>
      </c>
      <c r="AI9047">
        <v>2</v>
      </c>
      <c r="AJ9047">
        <v>0</v>
      </c>
      <c r="AK9047">
        <v>90.51000000000001</v>
      </c>
      <c r="AN9047" t="s">
        <v>7439</v>
      </c>
      <c r="AO9047">
        <v>14898</v>
      </c>
      <c r="AU9047">
        <v>0.6</v>
      </c>
      <c r="AV9047" t="s">
        <v>422</v>
      </c>
      <c r="AW9047" t="s">
        <v>46842</v>
      </c>
    </row>
    <row r="9048" spans="1:49">
      <c r="A9048" s="1">
        <f>HYPERLINK("https://lsnyc.legalserver.org/matter/dynamic-profile/view/1876849","18-1876849")</f>
        <v>0</v>
      </c>
      <c r="B9048" t="s">
        <v>200</v>
      </c>
      <c r="C9048" t="s">
        <v>340</v>
      </c>
      <c r="D9048" t="s">
        <v>422</v>
      </c>
      <c r="F9048" t="s">
        <v>886</v>
      </c>
      <c r="G9048" t="s">
        <v>5761</v>
      </c>
      <c r="H9048" t="s">
        <v>11326</v>
      </c>
      <c r="I9048">
        <v>1</v>
      </c>
      <c r="J9048" t="s">
        <v>18894</v>
      </c>
      <c r="K9048">
        <v>11208</v>
      </c>
      <c r="L9048" t="s">
        <v>18959</v>
      </c>
      <c r="M9048" t="s">
        <v>18959</v>
      </c>
      <c r="O9048" t="s">
        <v>26526</v>
      </c>
      <c r="R9048" t="s">
        <v>26578</v>
      </c>
      <c r="U9048" t="s">
        <v>26604</v>
      </c>
      <c r="X9048">
        <v>1515</v>
      </c>
      <c r="Y9048" t="s">
        <v>26652</v>
      </c>
      <c r="AB9048" t="s">
        <v>33194</v>
      </c>
      <c r="AD9048" t="s">
        <v>43862</v>
      </c>
      <c r="AE9048">
        <v>3</v>
      </c>
      <c r="AF9048" t="s">
        <v>20460</v>
      </c>
      <c r="AG9048" t="s">
        <v>45557</v>
      </c>
      <c r="AH9048">
        <v>0</v>
      </c>
      <c r="AI9048">
        <v>2</v>
      </c>
      <c r="AJ9048">
        <v>2</v>
      </c>
      <c r="AK9048">
        <v>11.87</v>
      </c>
      <c r="AN9048" t="s">
        <v>7439</v>
      </c>
      <c r="AO9048">
        <v>2979</v>
      </c>
      <c r="AU9048">
        <v>1</v>
      </c>
      <c r="AV9048" t="s">
        <v>422</v>
      </c>
      <c r="AW9048" t="s">
        <v>46859</v>
      </c>
    </row>
    <row r="9049" spans="1:49">
      <c r="A9049" s="1">
        <f>HYPERLINK("https://lsnyc.legalserver.org/matter/dynamic-profile/view/1876773","18-1876773")</f>
        <v>0</v>
      </c>
      <c r="B9049" t="s">
        <v>142</v>
      </c>
      <c r="C9049" t="s">
        <v>340</v>
      </c>
      <c r="D9049" t="s">
        <v>422</v>
      </c>
      <c r="F9049" t="s">
        <v>902</v>
      </c>
      <c r="G9049" t="s">
        <v>8914</v>
      </c>
      <c r="H9049" t="s">
        <v>15800</v>
      </c>
      <c r="I9049" t="s">
        <v>17324</v>
      </c>
      <c r="J9049" t="s">
        <v>18896</v>
      </c>
      <c r="K9049">
        <v>11419</v>
      </c>
      <c r="L9049" t="s">
        <v>18958</v>
      </c>
      <c r="M9049" t="s">
        <v>18960</v>
      </c>
      <c r="N9049" t="s">
        <v>25393</v>
      </c>
      <c r="O9049" t="s">
        <v>26524</v>
      </c>
      <c r="P9049" t="s">
        <v>26563</v>
      </c>
      <c r="R9049" t="s">
        <v>26584</v>
      </c>
      <c r="S9049" t="s">
        <v>18959</v>
      </c>
      <c r="U9049" t="s">
        <v>26604</v>
      </c>
      <c r="X9049">
        <v>1500</v>
      </c>
      <c r="Y9049" t="s">
        <v>26653</v>
      </c>
      <c r="Z9049" t="s">
        <v>26664</v>
      </c>
      <c r="AB9049" t="s">
        <v>28982</v>
      </c>
      <c r="AD9049" t="s">
        <v>43863</v>
      </c>
      <c r="AE9049">
        <v>0</v>
      </c>
      <c r="AF9049" t="s">
        <v>20460</v>
      </c>
      <c r="AG9049" t="s">
        <v>19330</v>
      </c>
      <c r="AH9049">
        <v>2</v>
      </c>
      <c r="AI9049">
        <v>2</v>
      </c>
      <c r="AJ9049">
        <v>2</v>
      </c>
      <c r="AK9049">
        <v>91.63</v>
      </c>
      <c r="AN9049" t="s">
        <v>7439</v>
      </c>
      <c r="AO9049">
        <v>23000</v>
      </c>
      <c r="AU9049">
        <v>1.3</v>
      </c>
      <c r="AV9049" t="s">
        <v>411</v>
      </c>
      <c r="AW9049" t="s">
        <v>208</v>
      </c>
    </row>
    <row r="9050" spans="1:49">
      <c r="A9050" s="1">
        <f>HYPERLINK("https://lsnyc.legalserver.org/matter/dynamic-profile/view/1876873","18-1876873")</f>
        <v>0</v>
      </c>
      <c r="B9050" t="s">
        <v>194</v>
      </c>
      <c r="C9050" t="s">
        <v>340</v>
      </c>
      <c r="D9050" t="s">
        <v>422</v>
      </c>
      <c r="F9050" t="s">
        <v>4443</v>
      </c>
      <c r="G9050" t="s">
        <v>8915</v>
      </c>
      <c r="H9050" t="s">
        <v>15801</v>
      </c>
      <c r="I9050">
        <v>9</v>
      </c>
      <c r="J9050" t="s">
        <v>18893</v>
      </c>
      <c r="K9050">
        <v>10002</v>
      </c>
      <c r="L9050" t="s">
        <v>18960</v>
      </c>
      <c r="M9050" t="s">
        <v>18960</v>
      </c>
      <c r="N9050">
        <v>70258</v>
      </c>
      <c r="O9050" t="s">
        <v>26524</v>
      </c>
      <c r="P9050" t="s">
        <v>26564</v>
      </c>
      <c r="R9050" t="s">
        <v>26582</v>
      </c>
      <c r="U9050" t="s">
        <v>26604</v>
      </c>
      <c r="X9050">
        <v>636.83</v>
      </c>
      <c r="Y9050" t="s">
        <v>26651</v>
      </c>
      <c r="AA9050" t="s">
        <v>26683</v>
      </c>
      <c r="AB9050" t="s">
        <v>33195</v>
      </c>
      <c r="AD9050" t="s">
        <v>43864</v>
      </c>
      <c r="AE9050">
        <v>18</v>
      </c>
      <c r="AH9050">
        <v>23</v>
      </c>
      <c r="AI9050">
        <v>2</v>
      </c>
      <c r="AJ9050">
        <v>2</v>
      </c>
      <c r="AK9050">
        <v>93.23</v>
      </c>
      <c r="AN9050" t="s">
        <v>7439</v>
      </c>
      <c r="AO9050">
        <v>23400</v>
      </c>
      <c r="AU9050">
        <v>29.2</v>
      </c>
      <c r="AV9050" t="s">
        <v>779</v>
      </c>
      <c r="AW9050" t="s">
        <v>46838</v>
      </c>
    </row>
    <row r="9051" spans="1:49">
      <c r="A9051" s="1">
        <f>HYPERLINK("https://lsnyc.legalserver.org/matter/dynamic-profile/view/1876943","18-1876943")</f>
        <v>0</v>
      </c>
      <c r="B9051" t="s">
        <v>107</v>
      </c>
      <c r="C9051" t="s">
        <v>341</v>
      </c>
      <c r="D9051" t="s">
        <v>524</v>
      </c>
      <c r="E9051" t="s">
        <v>697</v>
      </c>
      <c r="F9051" t="s">
        <v>871</v>
      </c>
      <c r="G9051" t="s">
        <v>8916</v>
      </c>
      <c r="H9051" t="s">
        <v>15802</v>
      </c>
      <c r="J9051" t="s">
        <v>18901</v>
      </c>
      <c r="K9051">
        <v>11433</v>
      </c>
      <c r="L9051" t="s">
        <v>18958</v>
      </c>
      <c r="M9051" t="s">
        <v>18960</v>
      </c>
      <c r="N9051" t="s">
        <v>19037</v>
      </c>
      <c r="O9051" t="s">
        <v>18997</v>
      </c>
      <c r="P9051" t="s">
        <v>26564</v>
      </c>
      <c r="Q9051" t="s">
        <v>26570</v>
      </c>
      <c r="R9051" t="s">
        <v>26583</v>
      </c>
      <c r="S9051" t="s">
        <v>18959</v>
      </c>
      <c r="U9051" t="s">
        <v>26604</v>
      </c>
      <c r="X9051">
        <v>1200</v>
      </c>
      <c r="Y9051" t="s">
        <v>26653</v>
      </c>
      <c r="Z9051" t="s">
        <v>26659</v>
      </c>
      <c r="AA9051" t="s">
        <v>26683</v>
      </c>
      <c r="AB9051" t="s">
        <v>30931</v>
      </c>
      <c r="AD9051" t="s">
        <v>34738</v>
      </c>
      <c r="AE9051">
        <v>1</v>
      </c>
      <c r="AF9051" t="s">
        <v>45547</v>
      </c>
      <c r="AG9051" t="s">
        <v>19330</v>
      </c>
      <c r="AH9051">
        <v>1</v>
      </c>
      <c r="AI9051">
        <v>1</v>
      </c>
      <c r="AJ9051">
        <v>2</v>
      </c>
      <c r="AK9051">
        <v>30.03</v>
      </c>
      <c r="AN9051" t="s">
        <v>45581</v>
      </c>
      <c r="AO9051">
        <v>6240</v>
      </c>
      <c r="AU9051">
        <v>2.75</v>
      </c>
      <c r="AV9051" t="s">
        <v>583</v>
      </c>
      <c r="AW9051" t="s">
        <v>208</v>
      </c>
    </row>
    <row r="9052" spans="1:49">
      <c r="A9052" s="1">
        <f>HYPERLINK("https://lsnyc.legalserver.org/matter/dynamic-profile/view/1876920","18-1876920")</f>
        <v>0</v>
      </c>
      <c r="B9052" t="s">
        <v>74</v>
      </c>
      <c r="C9052" t="s">
        <v>341</v>
      </c>
      <c r="D9052" t="s">
        <v>524</v>
      </c>
      <c r="E9052" t="s">
        <v>618</v>
      </c>
      <c r="F9052" t="s">
        <v>947</v>
      </c>
      <c r="G9052" t="s">
        <v>5269</v>
      </c>
      <c r="H9052" t="s">
        <v>15803</v>
      </c>
      <c r="I9052" t="s">
        <v>17277</v>
      </c>
      <c r="J9052" t="s">
        <v>18892</v>
      </c>
      <c r="K9052">
        <v>10458</v>
      </c>
      <c r="L9052" t="s">
        <v>18960</v>
      </c>
      <c r="M9052" t="s">
        <v>18960</v>
      </c>
      <c r="O9052" t="s">
        <v>26526</v>
      </c>
      <c r="Q9052" t="s">
        <v>26570</v>
      </c>
      <c r="R9052" t="s">
        <v>26591</v>
      </c>
      <c r="S9052" t="s">
        <v>18959</v>
      </c>
      <c r="U9052" t="s">
        <v>26604</v>
      </c>
      <c r="X9052">
        <v>199</v>
      </c>
      <c r="Y9052" t="s">
        <v>26651</v>
      </c>
      <c r="Z9052" t="s">
        <v>26530</v>
      </c>
      <c r="AA9052" t="s">
        <v>26683</v>
      </c>
      <c r="AB9052" t="s">
        <v>33196</v>
      </c>
      <c r="AE9052">
        <v>20</v>
      </c>
      <c r="AF9052" t="s">
        <v>20460</v>
      </c>
      <c r="AG9052" t="s">
        <v>26530</v>
      </c>
      <c r="AH9052">
        <v>1</v>
      </c>
      <c r="AI9052">
        <v>1</v>
      </c>
      <c r="AJ9052">
        <v>0</v>
      </c>
      <c r="AK9052">
        <v>100.23</v>
      </c>
      <c r="AN9052" t="s">
        <v>7439</v>
      </c>
      <c r="AO9052">
        <v>12168</v>
      </c>
      <c r="AU9052">
        <v>1.2</v>
      </c>
      <c r="AV9052" t="s">
        <v>575</v>
      </c>
      <c r="AW9052" t="s">
        <v>46841</v>
      </c>
    </row>
    <row r="9053" spans="1:49">
      <c r="A9053" s="1">
        <f>HYPERLINK("https://lsnyc.legalserver.org/matter/dynamic-profile/view/1877005","18-1877005")</f>
        <v>0</v>
      </c>
      <c r="B9053" t="s">
        <v>279</v>
      </c>
      <c r="C9053" t="s">
        <v>341</v>
      </c>
      <c r="D9053" t="s">
        <v>524</v>
      </c>
      <c r="E9053" t="s">
        <v>599</v>
      </c>
      <c r="F9053" t="s">
        <v>4444</v>
      </c>
      <c r="G9053" t="s">
        <v>5221</v>
      </c>
      <c r="H9053" t="s">
        <v>15804</v>
      </c>
      <c r="I9053" t="s">
        <v>17374</v>
      </c>
      <c r="J9053" t="s">
        <v>18894</v>
      </c>
      <c r="K9053">
        <v>11212</v>
      </c>
      <c r="L9053" t="s">
        <v>18959</v>
      </c>
      <c r="M9053" t="s">
        <v>18959</v>
      </c>
      <c r="O9053" t="s">
        <v>18997</v>
      </c>
      <c r="P9053" t="s">
        <v>26564</v>
      </c>
      <c r="Q9053" t="s">
        <v>26570</v>
      </c>
      <c r="R9053" t="s">
        <v>26578</v>
      </c>
      <c r="S9053" t="s">
        <v>18959</v>
      </c>
      <c r="U9053" t="s">
        <v>26604</v>
      </c>
      <c r="X9053">
        <v>625</v>
      </c>
      <c r="Y9053" t="s">
        <v>26652</v>
      </c>
      <c r="AA9053" t="s">
        <v>26683</v>
      </c>
      <c r="AB9053" t="s">
        <v>26715</v>
      </c>
      <c r="AE9053">
        <v>2</v>
      </c>
      <c r="AF9053" t="s">
        <v>20460</v>
      </c>
      <c r="AG9053" t="s">
        <v>19330</v>
      </c>
      <c r="AH9053">
        <v>0</v>
      </c>
      <c r="AI9053">
        <v>1</v>
      </c>
      <c r="AJ9053">
        <v>1</v>
      </c>
      <c r="AK9053">
        <v>14.37</v>
      </c>
      <c r="AN9053" t="s">
        <v>7439</v>
      </c>
      <c r="AO9053">
        <v>2366</v>
      </c>
      <c r="AP9053" t="s">
        <v>46133</v>
      </c>
      <c r="AU9053">
        <v>0.5</v>
      </c>
      <c r="AV9053" t="s">
        <v>524</v>
      </c>
      <c r="AW9053" t="s">
        <v>46829</v>
      </c>
    </row>
    <row r="9054" spans="1:49">
      <c r="A9054" s="1">
        <f>HYPERLINK("https://lsnyc.legalserver.org/matter/dynamic-profile/view/1877015","18-1877015")</f>
        <v>0</v>
      </c>
      <c r="B9054" t="s">
        <v>308</v>
      </c>
      <c r="C9054" t="s">
        <v>341</v>
      </c>
      <c r="D9054" t="s">
        <v>524</v>
      </c>
      <c r="E9054" t="s">
        <v>525</v>
      </c>
      <c r="F9054" t="s">
        <v>1033</v>
      </c>
      <c r="G9054" t="s">
        <v>3599</v>
      </c>
      <c r="H9054" t="s">
        <v>10919</v>
      </c>
      <c r="I9054" t="s">
        <v>18387</v>
      </c>
      <c r="J9054" t="s">
        <v>18892</v>
      </c>
      <c r="K9054">
        <v>10452</v>
      </c>
      <c r="L9054" t="s">
        <v>18959</v>
      </c>
      <c r="M9054" t="s">
        <v>18959</v>
      </c>
      <c r="O9054" t="s">
        <v>18997</v>
      </c>
      <c r="P9054" t="s">
        <v>26564</v>
      </c>
      <c r="Q9054" t="s">
        <v>26570</v>
      </c>
      <c r="R9054" t="s">
        <v>26591</v>
      </c>
      <c r="S9054" t="s">
        <v>18959</v>
      </c>
      <c r="U9054" t="s">
        <v>26604</v>
      </c>
      <c r="X9054">
        <v>0</v>
      </c>
      <c r="Y9054" t="s">
        <v>26650</v>
      </c>
      <c r="Z9054" t="s">
        <v>26663</v>
      </c>
      <c r="AA9054" t="s">
        <v>26682</v>
      </c>
      <c r="AB9054" t="s">
        <v>27663</v>
      </c>
      <c r="AD9054" t="s">
        <v>43865</v>
      </c>
      <c r="AE9054">
        <v>63</v>
      </c>
      <c r="AF9054" t="s">
        <v>45541</v>
      </c>
      <c r="AH9054">
        <v>0</v>
      </c>
      <c r="AI9054">
        <v>2</v>
      </c>
      <c r="AJ9054">
        <v>0</v>
      </c>
      <c r="AK9054">
        <v>0</v>
      </c>
      <c r="AN9054" t="s">
        <v>7439</v>
      </c>
      <c r="AO9054">
        <v>0</v>
      </c>
      <c r="AP9054" t="s">
        <v>46134</v>
      </c>
      <c r="AU9054">
        <v>0</v>
      </c>
      <c r="AW9054" t="s">
        <v>308</v>
      </c>
    </row>
    <row r="9055" spans="1:49">
      <c r="A9055" s="1">
        <f>HYPERLINK("https://lsnyc.legalserver.org/matter/dynamic-profile/view/1876978","18-1876978")</f>
        <v>0</v>
      </c>
      <c r="B9055" t="s">
        <v>200</v>
      </c>
      <c r="C9055" t="s">
        <v>340</v>
      </c>
      <c r="D9055" t="s">
        <v>524</v>
      </c>
      <c r="F9055" t="s">
        <v>1320</v>
      </c>
      <c r="G9055" t="s">
        <v>5780</v>
      </c>
      <c r="H9055" t="s">
        <v>15805</v>
      </c>
      <c r="I9055">
        <v>5</v>
      </c>
      <c r="J9055" t="s">
        <v>18894</v>
      </c>
      <c r="K9055">
        <v>11216</v>
      </c>
      <c r="L9055" t="s">
        <v>18960</v>
      </c>
      <c r="M9055" t="s">
        <v>18960</v>
      </c>
      <c r="O9055" t="s">
        <v>26526</v>
      </c>
      <c r="R9055" t="s">
        <v>26591</v>
      </c>
      <c r="S9055" t="s">
        <v>18959</v>
      </c>
      <c r="U9055" t="s">
        <v>26604</v>
      </c>
      <c r="X9055">
        <v>1108</v>
      </c>
      <c r="Y9055" t="s">
        <v>26652</v>
      </c>
      <c r="Z9055" t="s">
        <v>26530</v>
      </c>
      <c r="AB9055" t="s">
        <v>33197</v>
      </c>
      <c r="AD9055" t="s">
        <v>43866</v>
      </c>
      <c r="AE9055">
        <v>8</v>
      </c>
      <c r="AF9055" t="s">
        <v>45541</v>
      </c>
      <c r="AG9055" t="s">
        <v>19330</v>
      </c>
      <c r="AH9055">
        <v>7</v>
      </c>
      <c r="AI9055">
        <v>1</v>
      </c>
      <c r="AJ9055">
        <v>2</v>
      </c>
      <c r="AK9055">
        <v>101.91</v>
      </c>
      <c r="AN9055" t="s">
        <v>7439</v>
      </c>
      <c r="AO9055">
        <v>21176</v>
      </c>
      <c r="AU9055">
        <v>0.6</v>
      </c>
      <c r="AV9055" t="s">
        <v>524</v>
      </c>
      <c r="AW9055" t="s">
        <v>46841</v>
      </c>
    </row>
    <row r="9056" spans="1:49">
      <c r="A9056" s="1">
        <f>HYPERLINK("https://lsnyc.legalserver.org/matter/dynamic-profile/view/1877024","18-1877024")</f>
        <v>0</v>
      </c>
      <c r="B9056" t="s">
        <v>302</v>
      </c>
      <c r="C9056" t="s">
        <v>341</v>
      </c>
      <c r="D9056" t="s">
        <v>579</v>
      </c>
      <c r="E9056" t="s">
        <v>645</v>
      </c>
      <c r="F9056" t="s">
        <v>1021</v>
      </c>
      <c r="G9056" t="s">
        <v>5244</v>
      </c>
      <c r="H9056" t="s">
        <v>15806</v>
      </c>
      <c r="I9056">
        <v>307</v>
      </c>
      <c r="J9056" t="s">
        <v>18892</v>
      </c>
      <c r="K9056">
        <v>10453</v>
      </c>
      <c r="L9056" t="s">
        <v>18960</v>
      </c>
      <c r="M9056" t="s">
        <v>18960</v>
      </c>
      <c r="Q9056" t="s">
        <v>26570</v>
      </c>
      <c r="R9056" t="s">
        <v>26591</v>
      </c>
      <c r="U9056" t="s">
        <v>26604</v>
      </c>
      <c r="X9056">
        <v>0</v>
      </c>
      <c r="Y9056" t="s">
        <v>26650</v>
      </c>
      <c r="Z9056" t="s">
        <v>26666</v>
      </c>
      <c r="AA9056" t="s">
        <v>26683</v>
      </c>
      <c r="AB9056" t="s">
        <v>33198</v>
      </c>
      <c r="AD9056" t="s">
        <v>43867</v>
      </c>
      <c r="AE9056">
        <v>0</v>
      </c>
      <c r="AF9056" t="s">
        <v>45552</v>
      </c>
      <c r="AG9056" t="s">
        <v>45556</v>
      </c>
      <c r="AH9056">
        <v>18</v>
      </c>
      <c r="AI9056">
        <v>1</v>
      </c>
      <c r="AJ9056">
        <v>0</v>
      </c>
      <c r="AK9056">
        <v>192.75</v>
      </c>
      <c r="AN9056" t="s">
        <v>7439</v>
      </c>
      <c r="AO9056">
        <v>23400</v>
      </c>
      <c r="AU9056">
        <v>0.6</v>
      </c>
      <c r="AV9056" t="s">
        <v>579</v>
      </c>
      <c r="AW9056" t="s">
        <v>46842</v>
      </c>
    </row>
    <row r="9057" spans="1:49">
      <c r="A9057" s="1">
        <f>HYPERLINK("https://lsnyc.legalserver.org/matter/dynamic-profile/view/1877145","18-1877145")</f>
        <v>0</v>
      </c>
      <c r="B9057" t="s">
        <v>202</v>
      </c>
      <c r="C9057" t="s">
        <v>341</v>
      </c>
      <c r="D9057" t="s">
        <v>576</v>
      </c>
      <c r="E9057" t="s">
        <v>606</v>
      </c>
      <c r="F9057" t="s">
        <v>1944</v>
      </c>
      <c r="G9057" t="s">
        <v>5607</v>
      </c>
      <c r="H9057" t="s">
        <v>15807</v>
      </c>
      <c r="I9057" t="s">
        <v>17334</v>
      </c>
      <c r="J9057" t="s">
        <v>18894</v>
      </c>
      <c r="K9057">
        <v>11223</v>
      </c>
      <c r="L9057" t="s">
        <v>18959</v>
      </c>
      <c r="M9057" t="s">
        <v>18958</v>
      </c>
      <c r="N9057" t="s">
        <v>25394</v>
      </c>
      <c r="O9057" t="s">
        <v>26524</v>
      </c>
      <c r="P9057" t="s">
        <v>26560</v>
      </c>
      <c r="Q9057" t="s">
        <v>26571</v>
      </c>
      <c r="R9057" t="s">
        <v>26586</v>
      </c>
      <c r="U9057" t="s">
        <v>26604</v>
      </c>
      <c r="X9057">
        <v>1200</v>
      </c>
      <c r="Y9057" t="s">
        <v>26652</v>
      </c>
      <c r="Z9057" t="s">
        <v>26664</v>
      </c>
      <c r="AA9057" t="s">
        <v>26682</v>
      </c>
      <c r="AB9057" t="s">
        <v>32907</v>
      </c>
      <c r="AE9057">
        <v>2</v>
      </c>
      <c r="AF9057" t="s">
        <v>45547</v>
      </c>
      <c r="AH9057">
        <v>19</v>
      </c>
      <c r="AI9057">
        <v>1</v>
      </c>
      <c r="AJ9057">
        <v>3</v>
      </c>
      <c r="AK9057">
        <v>91.63</v>
      </c>
      <c r="AN9057" t="s">
        <v>45581</v>
      </c>
      <c r="AO9057">
        <v>23000</v>
      </c>
      <c r="AU9057">
        <v>3.7</v>
      </c>
      <c r="AV9057" t="s">
        <v>606</v>
      </c>
      <c r="AW9057" t="s">
        <v>281</v>
      </c>
    </row>
    <row r="9058" spans="1:49">
      <c r="A9058" s="1">
        <f>HYPERLINK("https://lsnyc.legalserver.org/matter/dynamic-profile/view/1877234","18-1877234")</f>
        <v>0</v>
      </c>
      <c r="B9058" t="s">
        <v>309</v>
      </c>
      <c r="C9058" t="s">
        <v>341</v>
      </c>
      <c r="D9058" t="s">
        <v>576</v>
      </c>
      <c r="E9058" t="s">
        <v>728</v>
      </c>
      <c r="F9058" t="s">
        <v>4445</v>
      </c>
      <c r="G9058" t="s">
        <v>7482</v>
      </c>
      <c r="H9058" t="s">
        <v>15808</v>
      </c>
      <c r="I9058" t="s">
        <v>17322</v>
      </c>
      <c r="J9058" t="s">
        <v>18893</v>
      </c>
      <c r="K9058">
        <v>10024</v>
      </c>
      <c r="L9058" t="s">
        <v>18960</v>
      </c>
      <c r="M9058" t="s">
        <v>18960</v>
      </c>
      <c r="Q9058" t="s">
        <v>26572</v>
      </c>
      <c r="R9058" t="s">
        <v>26594</v>
      </c>
      <c r="U9058" t="s">
        <v>26608</v>
      </c>
      <c r="X9058">
        <v>0</v>
      </c>
      <c r="Y9058" t="s">
        <v>26651</v>
      </c>
      <c r="AA9058" t="s">
        <v>26692</v>
      </c>
      <c r="AB9058" t="s">
        <v>33199</v>
      </c>
      <c r="AD9058" t="s">
        <v>43868</v>
      </c>
      <c r="AE9058">
        <v>0</v>
      </c>
      <c r="AH9058">
        <v>0</v>
      </c>
      <c r="AI9058">
        <v>1</v>
      </c>
      <c r="AJ9058">
        <v>0</v>
      </c>
      <c r="AK9058">
        <v>82.73</v>
      </c>
      <c r="AO9058">
        <v>10044</v>
      </c>
      <c r="AU9058">
        <v>12.15</v>
      </c>
      <c r="AV9058" t="s">
        <v>416</v>
      </c>
      <c r="AW9058" t="s">
        <v>317</v>
      </c>
    </row>
    <row r="9059" spans="1:49">
      <c r="A9059" s="1">
        <f>HYPERLINK("https://lsnyc.legalserver.org/matter/dynamic-profile/view/1877211","18-1877211")</f>
        <v>0</v>
      </c>
      <c r="B9059" t="s">
        <v>216</v>
      </c>
      <c r="C9059" t="s">
        <v>341</v>
      </c>
      <c r="D9059" t="s">
        <v>576</v>
      </c>
      <c r="E9059" t="s">
        <v>494</v>
      </c>
      <c r="F9059" t="s">
        <v>1473</v>
      </c>
      <c r="G9059" t="s">
        <v>7923</v>
      </c>
      <c r="J9059" t="s">
        <v>18894</v>
      </c>
      <c r="K9059">
        <v>11233</v>
      </c>
      <c r="L9059" t="s">
        <v>18960</v>
      </c>
      <c r="M9059" t="s">
        <v>18960</v>
      </c>
      <c r="P9059" t="s">
        <v>26564</v>
      </c>
      <c r="Q9059" t="s">
        <v>26570</v>
      </c>
      <c r="R9059" t="s">
        <v>26578</v>
      </c>
      <c r="S9059" t="s">
        <v>18959</v>
      </c>
      <c r="U9059" t="s">
        <v>26604</v>
      </c>
      <c r="X9059">
        <v>300</v>
      </c>
      <c r="Y9059" t="s">
        <v>26652</v>
      </c>
      <c r="Z9059" t="s">
        <v>26659</v>
      </c>
      <c r="AA9059" t="s">
        <v>26683</v>
      </c>
      <c r="AB9059" t="s">
        <v>29178</v>
      </c>
      <c r="AD9059" t="s">
        <v>43869</v>
      </c>
      <c r="AE9059">
        <v>0</v>
      </c>
      <c r="AF9059" t="s">
        <v>45541</v>
      </c>
      <c r="AH9059">
        <v>5</v>
      </c>
      <c r="AI9059">
        <v>2</v>
      </c>
      <c r="AJ9059">
        <v>0</v>
      </c>
      <c r="AK9059">
        <v>145.81</v>
      </c>
      <c r="AN9059" t="s">
        <v>7439</v>
      </c>
      <c r="AO9059">
        <v>24000</v>
      </c>
      <c r="AU9059">
        <v>3.25</v>
      </c>
      <c r="AV9059" t="s">
        <v>586</v>
      </c>
      <c r="AW9059" t="s">
        <v>216</v>
      </c>
    </row>
    <row r="9060" spans="1:49">
      <c r="A9060" s="1">
        <f>HYPERLINK("https://lsnyc.legalserver.org/matter/dynamic-profile/view/1877161","18-1877161")</f>
        <v>0</v>
      </c>
      <c r="B9060" t="s">
        <v>74</v>
      </c>
      <c r="C9060" t="s">
        <v>341</v>
      </c>
      <c r="D9060" t="s">
        <v>576</v>
      </c>
      <c r="E9060" t="s">
        <v>618</v>
      </c>
      <c r="F9060" t="s">
        <v>1408</v>
      </c>
      <c r="G9060" t="s">
        <v>1017</v>
      </c>
      <c r="H9060" t="s">
        <v>15430</v>
      </c>
      <c r="I9060">
        <v>43</v>
      </c>
      <c r="J9060" t="s">
        <v>18893</v>
      </c>
      <c r="K9060">
        <v>10031</v>
      </c>
      <c r="L9060" t="s">
        <v>18960</v>
      </c>
      <c r="M9060" t="s">
        <v>18960</v>
      </c>
      <c r="N9060" t="s">
        <v>25395</v>
      </c>
      <c r="O9060" t="s">
        <v>26523</v>
      </c>
      <c r="Q9060" t="s">
        <v>26570</v>
      </c>
      <c r="R9060" t="s">
        <v>26591</v>
      </c>
      <c r="T9060" t="s">
        <v>26595</v>
      </c>
      <c r="U9060" t="s">
        <v>26604</v>
      </c>
      <c r="X9060">
        <v>759</v>
      </c>
      <c r="Y9060" t="s">
        <v>26651</v>
      </c>
      <c r="AA9060" t="s">
        <v>26683</v>
      </c>
      <c r="AB9060" t="s">
        <v>33200</v>
      </c>
      <c r="AD9060" t="s">
        <v>43870</v>
      </c>
      <c r="AE9060">
        <v>0</v>
      </c>
      <c r="AH9060">
        <v>10</v>
      </c>
      <c r="AI9060">
        <v>1</v>
      </c>
      <c r="AJ9060">
        <v>0</v>
      </c>
      <c r="AK9060">
        <v>32.82</v>
      </c>
      <c r="AN9060" t="s">
        <v>7439</v>
      </c>
      <c r="AO9060">
        <v>3984</v>
      </c>
      <c r="AU9060">
        <v>0.5</v>
      </c>
      <c r="AV9060" t="s">
        <v>576</v>
      </c>
      <c r="AW9060" t="s">
        <v>46850</v>
      </c>
    </row>
    <row r="9061" spans="1:49">
      <c r="A9061" s="1">
        <f>HYPERLINK("https://lsnyc.legalserver.org/matter/dynamic-profile/view/1877162","18-1877162")</f>
        <v>0</v>
      </c>
      <c r="B9061" t="s">
        <v>209</v>
      </c>
      <c r="C9061" t="s">
        <v>341</v>
      </c>
      <c r="D9061" t="s">
        <v>576</v>
      </c>
      <c r="E9061" t="s">
        <v>571</v>
      </c>
      <c r="F9061" t="s">
        <v>4265</v>
      </c>
      <c r="G9061" t="s">
        <v>5220</v>
      </c>
      <c r="H9061" t="s">
        <v>15809</v>
      </c>
      <c r="I9061" t="s">
        <v>17274</v>
      </c>
      <c r="J9061" t="s">
        <v>18900</v>
      </c>
      <c r="K9061">
        <v>11354</v>
      </c>
      <c r="L9061" t="s">
        <v>18960</v>
      </c>
      <c r="M9061" t="s">
        <v>18960</v>
      </c>
      <c r="O9061" t="s">
        <v>18997</v>
      </c>
      <c r="P9061" t="s">
        <v>26564</v>
      </c>
      <c r="Q9061" t="s">
        <v>26570</v>
      </c>
      <c r="R9061" t="s">
        <v>26591</v>
      </c>
      <c r="S9061" t="s">
        <v>18959</v>
      </c>
      <c r="U9061" t="s">
        <v>26604</v>
      </c>
      <c r="X9061">
        <v>890</v>
      </c>
      <c r="Y9061" t="s">
        <v>26653</v>
      </c>
      <c r="Z9061" t="s">
        <v>26530</v>
      </c>
      <c r="AA9061" t="s">
        <v>26683</v>
      </c>
      <c r="AB9061" t="s">
        <v>33201</v>
      </c>
      <c r="AD9061" t="s">
        <v>43871</v>
      </c>
      <c r="AE9061">
        <v>0</v>
      </c>
      <c r="AF9061" t="s">
        <v>45541</v>
      </c>
      <c r="AG9061" t="s">
        <v>19330</v>
      </c>
      <c r="AH9061">
        <v>30</v>
      </c>
      <c r="AI9061">
        <v>1</v>
      </c>
      <c r="AJ9061">
        <v>0</v>
      </c>
      <c r="AK9061">
        <v>91.33</v>
      </c>
      <c r="AN9061" t="s">
        <v>7439</v>
      </c>
      <c r="AO9061">
        <v>11088</v>
      </c>
      <c r="AU9061">
        <v>0.7</v>
      </c>
      <c r="AV9061" t="s">
        <v>571</v>
      </c>
      <c r="AW9061" t="s">
        <v>46841</v>
      </c>
    </row>
    <row r="9062" spans="1:49">
      <c r="A9062" s="1">
        <f>HYPERLINK("https://lsnyc.legalserver.org/matter/dynamic-profile/view/1877258","18-1877258")</f>
        <v>0</v>
      </c>
      <c r="B9062" t="s">
        <v>158</v>
      </c>
      <c r="C9062" t="s">
        <v>340</v>
      </c>
      <c r="D9062" t="s">
        <v>576</v>
      </c>
      <c r="F9062" t="s">
        <v>1087</v>
      </c>
      <c r="G9062" t="s">
        <v>2928</v>
      </c>
      <c r="H9062" t="s">
        <v>15810</v>
      </c>
      <c r="I9062" t="s">
        <v>17275</v>
      </c>
      <c r="J9062" t="s">
        <v>18894</v>
      </c>
      <c r="K9062">
        <v>11220</v>
      </c>
      <c r="L9062" t="s">
        <v>18960</v>
      </c>
      <c r="M9062" t="s">
        <v>18960</v>
      </c>
      <c r="N9062" t="s">
        <v>25396</v>
      </c>
      <c r="O9062" t="s">
        <v>26523</v>
      </c>
      <c r="P9062" t="s">
        <v>26560</v>
      </c>
      <c r="R9062" t="s">
        <v>26583</v>
      </c>
      <c r="U9062" t="s">
        <v>26604</v>
      </c>
      <c r="X9062">
        <v>1588</v>
      </c>
      <c r="Y9062" t="s">
        <v>26652</v>
      </c>
      <c r="Z9062" t="s">
        <v>26663</v>
      </c>
      <c r="AB9062" t="s">
        <v>33202</v>
      </c>
      <c r="AD9062" t="s">
        <v>43872</v>
      </c>
      <c r="AE9062">
        <v>16</v>
      </c>
      <c r="AF9062" t="s">
        <v>45552</v>
      </c>
      <c r="AH9062">
        <v>24</v>
      </c>
      <c r="AI9062">
        <v>2</v>
      </c>
      <c r="AJ9062">
        <v>0</v>
      </c>
      <c r="AK9062">
        <v>340.22</v>
      </c>
      <c r="AL9062" t="s">
        <v>605</v>
      </c>
      <c r="AN9062" t="s">
        <v>7439</v>
      </c>
      <c r="AO9062">
        <v>56000</v>
      </c>
      <c r="AP9062" t="s">
        <v>46135</v>
      </c>
      <c r="AU9062">
        <v>25</v>
      </c>
      <c r="AV9062" t="s">
        <v>857</v>
      </c>
      <c r="AW9062" t="s">
        <v>46856</v>
      </c>
    </row>
    <row r="9063" spans="1:49">
      <c r="A9063" s="1">
        <f>HYPERLINK("https://lsnyc.legalserver.org/matter/dynamic-profile/view/1873666","18-1873666")</f>
        <v>0</v>
      </c>
      <c r="B9063" t="s">
        <v>153</v>
      </c>
      <c r="C9063" t="s">
        <v>340</v>
      </c>
      <c r="D9063" t="s">
        <v>576</v>
      </c>
      <c r="F9063" t="s">
        <v>2077</v>
      </c>
      <c r="G9063" t="s">
        <v>917</v>
      </c>
      <c r="H9063" t="s">
        <v>11928</v>
      </c>
      <c r="I9063">
        <v>418</v>
      </c>
      <c r="J9063" t="s">
        <v>18902</v>
      </c>
      <c r="K9063">
        <v>10304</v>
      </c>
      <c r="L9063" t="s">
        <v>18960</v>
      </c>
      <c r="M9063" t="s">
        <v>18960</v>
      </c>
      <c r="R9063" t="s">
        <v>26578</v>
      </c>
      <c r="U9063" t="s">
        <v>26606</v>
      </c>
      <c r="X9063">
        <v>0</v>
      </c>
      <c r="Y9063" t="s">
        <v>26654</v>
      </c>
      <c r="AB9063" t="s">
        <v>33203</v>
      </c>
      <c r="AE9063">
        <v>0</v>
      </c>
      <c r="AH9063">
        <v>0</v>
      </c>
      <c r="AI9063">
        <v>1</v>
      </c>
      <c r="AJ9063">
        <v>0</v>
      </c>
      <c r="AK9063">
        <v>5.52</v>
      </c>
      <c r="AN9063" t="s">
        <v>45585</v>
      </c>
      <c r="AO9063">
        <v>670.6</v>
      </c>
      <c r="AU9063">
        <v>28.15</v>
      </c>
      <c r="AV9063" t="s">
        <v>819</v>
      </c>
      <c r="AW9063" t="s">
        <v>46855</v>
      </c>
    </row>
    <row r="9064" spans="1:49">
      <c r="A9064" s="1">
        <f>HYPERLINK("https://lsnyc.legalserver.org/matter/dynamic-profile/view/1877163","18-1877163")</f>
        <v>0</v>
      </c>
      <c r="B9064" t="s">
        <v>110</v>
      </c>
      <c r="C9064" t="s">
        <v>340</v>
      </c>
      <c r="D9064" t="s">
        <v>576</v>
      </c>
      <c r="F9064" t="s">
        <v>4446</v>
      </c>
      <c r="G9064" t="s">
        <v>1279</v>
      </c>
      <c r="H9064" t="s">
        <v>15811</v>
      </c>
      <c r="I9064" t="s">
        <v>18632</v>
      </c>
      <c r="J9064" t="s">
        <v>18933</v>
      </c>
      <c r="K9064">
        <v>11422</v>
      </c>
      <c r="L9064" t="s">
        <v>18960</v>
      </c>
      <c r="M9064" t="s">
        <v>18960</v>
      </c>
      <c r="R9064" t="s">
        <v>26591</v>
      </c>
      <c r="U9064" t="s">
        <v>26604</v>
      </c>
      <c r="X9064">
        <v>1700</v>
      </c>
      <c r="Y9064" t="s">
        <v>26653</v>
      </c>
      <c r="AB9064" t="s">
        <v>33204</v>
      </c>
      <c r="AD9064" t="s">
        <v>43873</v>
      </c>
      <c r="AE9064">
        <v>2</v>
      </c>
      <c r="AH9064">
        <v>11</v>
      </c>
      <c r="AI9064">
        <v>1</v>
      </c>
      <c r="AJ9064">
        <v>0</v>
      </c>
      <c r="AK9064">
        <v>197.69</v>
      </c>
      <c r="AN9064" t="s">
        <v>7439</v>
      </c>
      <c r="AO9064">
        <v>24000</v>
      </c>
      <c r="AU9064">
        <v>1</v>
      </c>
      <c r="AV9064" t="s">
        <v>576</v>
      </c>
      <c r="AW9064" t="s">
        <v>46857</v>
      </c>
    </row>
    <row r="9065" spans="1:49">
      <c r="A9065" s="1">
        <f>HYPERLINK("https://lsnyc.legalserver.org/matter/dynamic-profile/view/1877146","18-1877146")</f>
        <v>0</v>
      </c>
      <c r="B9065" t="s">
        <v>200</v>
      </c>
      <c r="C9065" t="s">
        <v>340</v>
      </c>
      <c r="D9065" t="s">
        <v>576</v>
      </c>
      <c r="F9065" t="s">
        <v>993</v>
      </c>
      <c r="G9065" t="s">
        <v>6757</v>
      </c>
      <c r="H9065" t="s">
        <v>12112</v>
      </c>
      <c r="I9065" t="s">
        <v>18633</v>
      </c>
      <c r="J9065" t="s">
        <v>18894</v>
      </c>
      <c r="K9065">
        <v>11215</v>
      </c>
      <c r="L9065" t="s">
        <v>18960</v>
      </c>
      <c r="M9065" t="s">
        <v>18960</v>
      </c>
      <c r="O9065" t="s">
        <v>18997</v>
      </c>
      <c r="R9065" t="s">
        <v>26591</v>
      </c>
      <c r="U9065" t="s">
        <v>26604</v>
      </c>
      <c r="X9065">
        <v>153.7</v>
      </c>
      <c r="Y9065" t="s">
        <v>26652</v>
      </c>
      <c r="AB9065" t="s">
        <v>29394</v>
      </c>
      <c r="AE9065">
        <v>3</v>
      </c>
      <c r="AH9065">
        <v>60</v>
      </c>
      <c r="AI9065">
        <v>1</v>
      </c>
      <c r="AJ9065">
        <v>0</v>
      </c>
      <c r="AK9065">
        <v>165.57</v>
      </c>
      <c r="AN9065" t="s">
        <v>7439</v>
      </c>
      <c r="AO9065">
        <v>20100</v>
      </c>
      <c r="AU9065">
        <v>8.25</v>
      </c>
      <c r="AV9065" t="s">
        <v>814</v>
      </c>
      <c r="AW9065" t="s">
        <v>46829</v>
      </c>
    </row>
    <row r="9066" spans="1:49">
      <c r="A9066" s="1">
        <f>HYPERLINK("https://lsnyc.legalserver.org/matter/dynamic-profile/view/1876894","18-1876894")</f>
        <v>0</v>
      </c>
      <c r="B9066" t="s">
        <v>200</v>
      </c>
      <c r="C9066" t="s">
        <v>340</v>
      </c>
      <c r="D9066" t="s">
        <v>576</v>
      </c>
      <c r="F9066" t="s">
        <v>4447</v>
      </c>
      <c r="G9066" t="s">
        <v>8917</v>
      </c>
      <c r="H9066" t="s">
        <v>15812</v>
      </c>
      <c r="I9066" t="s">
        <v>17333</v>
      </c>
      <c r="J9066" t="s">
        <v>18894</v>
      </c>
      <c r="K9066">
        <v>11207</v>
      </c>
      <c r="L9066" t="s">
        <v>18958</v>
      </c>
      <c r="M9066" t="s">
        <v>18958</v>
      </c>
      <c r="N9066" t="s">
        <v>25397</v>
      </c>
      <c r="O9066" t="s">
        <v>26526</v>
      </c>
      <c r="P9066" t="s">
        <v>26560</v>
      </c>
      <c r="R9066" t="s">
        <v>26578</v>
      </c>
      <c r="U9066" t="s">
        <v>26604</v>
      </c>
      <c r="X9066">
        <v>1100</v>
      </c>
      <c r="Y9066" t="s">
        <v>26652</v>
      </c>
      <c r="Z9066" t="s">
        <v>26664</v>
      </c>
      <c r="AB9066" t="s">
        <v>28275</v>
      </c>
      <c r="AD9066" t="s">
        <v>38261</v>
      </c>
      <c r="AE9066">
        <v>6</v>
      </c>
      <c r="AF9066" t="s">
        <v>45543</v>
      </c>
      <c r="AG9066" t="s">
        <v>45556</v>
      </c>
      <c r="AH9066">
        <v>-8</v>
      </c>
      <c r="AI9066">
        <v>2</v>
      </c>
      <c r="AJ9066">
        <v>0</v>
      </c>
      <c r="AK9066">
        <v>194.41</v>
      </c>
      <c r="AN9066" t="s">
        <v>7439</v>
      </c>
      <c r="AO9066">
        <v>32000</v>
      </c>
      <c r="AU9066">
        <v>78.3</v>
      </c>
      <c r="AV9066" t="s">
        <v>834</v>
      </c>
      <c r="AW9066" t="s">
        <v>46862</v>
      </c>
    </row>
    <row r="9067" spans="1:49">
      <c r="A9067" s="1">
        <f>HYPERLINK("https://lsnyc.legalserver.org/matter/dynamic-profile/view/1877280","18-1877280")</f>
        <v>0</v>
      </c>
      <c r="B9067" t="s">
        <v>78</v>
      </c>
      <c r="C9067" t="s">
        <v>340</v>
      </c>
      <c r="D9067" t="s">
        <v>576</v>
      </c>
      <c r="F9067" t="s">
        <v>3436</v>
      </c>
      <c r="G9067" t="s">
        <v>1495</v>
      </c>
      <c r="H9067" t="s">
        <v>15813</v>
      </c>
      <c r="I9067" t="s">
        <v>17440</v>
      </c>
      <c r="J9067" t="s">
        <v>18894</v>
      </c>
      <c r="K9067">
        <v>11207</v>
      </c>
      <c r="L9067" t="s">
        <v>18959</v>
      </c>
      <c r="M9067" t="s">
        <v>18960</v>
      </c>
      <c r="O9067" t="s">
        <v>18997</v>
      </c>
      <c r="P9067" t="s">
        <v>26565</v>
      </c>
      <c r="R9067" t="s">
        <v>26578</v>
      </c>
      <c r="S9067" t="s">
        <v>18959</v>
      </c>
      <c r="U9067" t="s">
        <v>26604</v>
      </c>
      <c r="X9067">
        <v>1050.19</v>
      </c>
      <c r="Y9067" t="s">
        <v>26652</v>
      </c>
      <c r="Z9067" t="s">
        <v>26661</v>
      </c>
      <c r="AB9067" t="s">
        <v>33205</v>
      </c>
      <c r="AD9067" t="s">
        <v>43874</v>
      </c>
      <c r="AE9067">
        <v>66</v>
      </c>
      <c r="AF9067" t="s">
        <v>45541</v>
      </c>
      <c r="AG9067" t="s">
        <v>45556</v>
      </c>
      <c r="AH9067">
        <v>14</v>
      </c>
      <c r="AI9067">
        <v>1</v>
      </c>
      <c r="AJ9067">
        <v>0</v>
      </c>
      <c r="AK9067">
        <v>98.84999999999999</v>
      </c>
      <c r="AN9067" t="s">
        <v>7439</v>
      </c>
      <c r="AO9067">
        <v>12000</v>
      </c>
      <c r="AU9067">
        <v>1.7</v>
      </c>
      <c r="AV9067" t="s">
        <v>667</v>
      </c>
      <c r="AW9067" t="s">
        <v>279</v>
      </c>
    </row>
    <row r="9068" spans="1:49">
      <c r="A9068" s="1">
        <f>HYPERLINK("https://lsnyc.legalserver.org/matter/dynamic-profile/view/1877336","18-1877336")</f>
        <v>0</v>
      </c>
      <c r="B9068" t="s">
        <v>158</v>
      </c>
      <c r="C9068" t="s">
        <v>341</v>
      </c>
      <c r="D9068" t="s">
        <v>578</v>
      </c>
      <c r="E9068" t="s">
        <v>712</v>
      </c>
      <c r="F9068" t="s">
        <v>2033</v>
      </c>
      <c r="G9068" t="s">
        <v>5590</v>
      </c>
      <c r="H9068" t="s">
        <v>15814</v>
      </c>
      <c r="I9068" t="s">
        <v>17627</v>
      </c>
      <c r="J9068" t="s">
        <v>18894</v>
      </c>
      <c r="K9068">
        <v>11206</v>
      </c>
      <c r="L9068" t="s">
        <v>18959</v>
      </c>
      <c r="M9068" t="s">
        <v>18958</v>
      </c>
      <c r="N9068" t="s">
        <v>25398</v>
      </c>
      <c r="O9068" t="s">
        <v>26523</v>
      </c>
      <c r="P9068" t="s">
        <v>26564</v>
      </c>
      <c r="Q9068" t="s">
        <v>26570</v>
      </c>
      <c r="R9068" t="s">
        <v>26586</v>
      </c>
      <c r="U9068" t="s">
        <v>26605</v>
      </c>
      <c r="X9068">
        <v>837</v>
      </c>
      <c r="Y9068" t="s">
        <v>26652</v>
      </c>
      <c r="Z9068" t="s">
        <v>26664</v>
      </c>
      <c r="AA9068" t="s">
        <v>26683</v>
      </c>
      <c r="AB9068" t="s">
        <v>32241</v>
      </c>
      <c r="AE9068">
        <v>119</v>
      </c>
      <c r="AF9068" t="s">
        <v>45549</v>
      </c>
      <c r="AH9068">
        <v>33</v>
      </c>
      <c r="AI9068">
        <v>1</v>
      </c>
      <c r="AJ9068">
        <v>0</v>
      </c>
      <c r="AK9068">
        <v>82.73</v>
      </c>
      <c r="AN9068" t="s">
        <v>7439</v>
      </c>
      <c r="AO9068">
        <v>10044</v>
      </c>
      <c r="AU9068">
        <v>1.2</v>
      </c>
      <c r="AV9068" t="s">
        <v>712</v>
      </c>
      <c r="AW9068" t="s">
        <v>281</v>
      </c>
    </row>
    <row r="9069" spans="1:49">
      <c r="A9069" s="1">
        <f>HYPERLINK("https://lsnyc.legalserver.org/matter/dynamic-profile/view/1877436","18-1877436")</f>
        <v>0</v>
      </c>
      <c r="B9069" t="s">
        <v>216</v>
      </c>
      <c r="C9069" t="s">
        <v>341</v>
      </c>
      <c r="D9069" t="s">
        <v>578</v>
      </c>
      <c r="E9069" t="s">
        <v>697</v>
      </c>
      <c r="F9069" t="s">
        <v>1244</v>
      </c>
      <c r="G9069" t="s">
        <v>8918</v>
      </c>
      <c r="H9069" t="s">
        <v>15815</v>
      </c>
      <c r="I9069" t="s">
        <v>17276</v>
      </c>
      <c r="J9069" t="s">
        <v>7026</v>
      </c>
      <c r="K9069">
        <v>11368</v>
      </c>
      <c r="L9069" t="s">
        <v>18958</v>
      </c>
      <c r="M9069" t="s">
        <v>18958</v>
      </c>
      <c r="P9069" t="s">
        <v>26564</v>
      </c>
      <c r="Q9069" t="s">
        <v>26570</v>
      </c>
      <c r="R9069" t="s">
        <v>26591</v>
      </c>
      <c r="U9069" t="s">
        <v>26605</v>
      </c>
      <c r="X9069">
        <v>0</v>
      </c>
      <c r="Y9069" t="s">
        <v>26652</v>
      </c>
      <c r="AA9069" t="s">
        <v>26683</v>
      </c>
      <c r="AB9069" t="s">
        <v>28289</v>
      </c>
      <c r="AE9069">
        <v>0</v>
      </c>
      <c r="AH9069">
        <v>0</v>
      </c>
      <c r="AI9069">
        <v>3</v>
      </c>
      <c r="AJ9069">
        <v>1</v>
      </c>
      <c r="AK9069">
        <v>0</v>
      </c>
      <c r="AO9069">
        <v>0</v>
      </c>
      <c r="AU9069">
        <v>1</v>
      </c>
      <c r="AV9069" t="s">
        <v>578</v>
      </c>
      <c r="AW9069" t="s">
        <v>216</v>
      </c>
    </row>
    <row r="9070" spans="1:49">
      <c r="A9070" s="1">
        <f>HYPERLINK("https://lsnyc.legalserver.org/matter/dynamic-profile/view/1877485","18-1877485")</f>
        <v>0</v>
      </c>
      <c r="B9070" t="s">
        <v>216</v>
      </c>
      <c r="C9070" t="s">
        <v>341</v>
      </c>
      <c r="D9070" t="s">
        <v>578</v>
      </c>
      <c r="E9070" t="s">
        <v>411</v>
      </c>
      <c r="F9070" t="s">
        <v>959</v>
      </c>
      <c r="G9070" t="s">
        <v>5100</v>
      </c>
      <c r="H9070" t="s">
        <v>15816</v>
      </c>
      <c r="I9070" t="s">
        <v>17360</v>
      </c>
      <c r="J9070" t="s">
        <v>18899</v>
      </c>
      <c r="K9070">
        <v>11385</v>
      </c>
      <c r="L9070" t="s">
        <v>18958</v>
      </c>
      <c r="M9070" t="s">
        <v>18958</v>
      </c>
      <c r="Q9070" t="s">
        <v>26570</v>
      </c>
      <c r="R9070" t="s">
        <v>26591</v>
      </c>
      <c r="U9070" t="s">
        <v>26604</v>
      </c>
      <c r="X9070">
        <v>0</v>
      </c>
      <c r="Y9070" t="s">
        <v>26652</v>
      </c>
      <c r="AA9070" t="s">
        <v>26683</v>
      </c>
      <c r="AB9070" t="s">
        <v>31655</v>
      </c>
      <c r="AE9070">
        <v>0</v>
      </c>
      <c r="AH9070">
        <v>0</v>
      </c>
      <c r="AI9070">
        <v>3</v>
      </c>
      <c r="AJ9070">
        <v>0</v>
      </c>
      <c r="AK9070">
        <v>138.59</v>
      </c>
      <c r="AN9070" t="s">
        <v>45581</v>
      </c>
      <c r="AO9070">
        <v>28800</v>
      </c>
      <c r="AU9070">
        <v>0.75</v>
      </c>
      <c r="AV9070" t="s">
        <v>578</v>
      </c>
      <c r="AW9070" t="s">
        <v>216</v>
      </c>
    </row>
    <row r="9071" spans="1:49">
      <c r="A9071" s="1">
        <f>HYPERLINK("https://lsnyc.legalserver.org/matter/dynamic-profile/view/1877402","18-1877402")</f>
        <v>0</v>
      </c>
      <c r="B9071" t="s">
        <v>216</v>
      </c>
      <c r="C9071" t="s">
        <v>341</v>
      </c>
      <c r="D9071" t="s">
        <v>578</v>
      </c>
      <c r="E9071" t="s">
        <v>675</v>
      </c>
      <c r="F9071" t="s">
        <v>1336</v>
      </c>
      <c r="G9071" t="s">
        <v>5969</v>
      </c>
      <c r="H9071" t="s">
        <v>14917</v>
      </c>
      <c r="I9071" t="s">
        <v>17298</v>
      </c>
      <c r="J9071" t="s">
        <v>18894</v>
      </c>
      <c r="K9071">
        <v>11212</v>
      </c>
      <c r="L9071" t="s">
        <v>18958</v>
      </c>
      <c r="M9071" t="s">
        <v>18958</v>
      </c>
      <c r="P9071" t="s">
        <v>26564</v>
      </c>
      <c r="Q9071" t="s">
        <v>26570</v>
      </c>
      <c r="R9071" t="s">
        <v>26578</v>
      </c>
      <c r="U9071" t="s">
        <v>26606</v>
      </c>
      <c r="X9071">
        <v>0</v>
      </c>
      <c r="Y9071" t="s">
        <v>26652</v>
      </c>
      <c r="AA9071" t="s">
        <v>26683</v>
      </c>
      <c r="AB9071" t="s">
        <v>27000</v>
      </c>
      <c r="AE9071">
        <v>0</v>
      </c>
      <c r="AH9071">
        <v>0</v>
      </c>
      <c r="AI9071">
        <v>2</v>
      </c>
      <c r="AJ9071">
        <v>1</v>
      </c>
      <c r="AK9071">
        <v>44.64</v>
      </c>
      <c r="AN9071" t="s">
        <v>45581</v>
      </c>
      <c r="AO9071">
        <v>9276</v>
      </c>
      <c r="AU9071">
        <v>1</v>
      </c>
      <c r="AV9071" t="s">
        <v>578</v>
      </c>
      <c r="AW9071" t="s">
        <v>216</v>
      </c>
    </row>
    <row r="9072" spans="1:49">
      <c r="A9072" s="1">
        <f>HYPERLINK("https://lsnyc.legalserver.org/matter/dynamic-profile/view/1877419","18-1877419")</f>
        <v>0</v>
      </c>
      <c r="B9072" t="s">
        <v>209</v>
      </c>
      <c r="C9072" t="s">
        <v>341</v>
      </c>
      <c r="D9072" t="s">
        <v>578</v>
      </c>
      <c r="E9072" t="s">
        <v>630</v>
      </c>
      <c r="F9072" t="s">
        <v>928</v>
      </c>
      <c r="G9072" t="s">
        <v>8919</v>
      </c>
      <c r="H9072" t="s">
        <v>15817</v>
      </c>
      <c r="I9072" t="s">
        <v>18634</v>
      </c>
      <c r="J9072" t="s">
        <v>18898</v>
      </c>
      <c r="K9072">
        <v>11691</v>
      </c>
      <c r="L9072" t="s">
        <v>18960</v>
      </c>
      <c r="M9072" t="s">
        <v>18960</v>
      </c>
      <c r="N9072" t="s">
        <v>25399</v>
      </c>
      <c r="O9072" t="s">
        <v>26523</v>
      </c>
      <c r="P9072" t="s">
        <v>26564</v>
      </c>
      <c r="Q9072" t="s">
        <v>26570</v>
      </c>
      <c r="R9072" t="s">
        <v>26591</v>
      </c>
      <c r="U9072" t="s">
        <v>26604</v>
      </c>
      <c r="X9072">
        <v>1290</v>
      </c>
      <c r="Y9072" t="s">
        <v>26653</v>
      </c>
      <c r="AA9072" t="s">
        <v>26683</v>
      </c>
      <c r="AB9072" t="s">
        <v>33206</v>
      </c>
      <c r="AD9072" t="s">
        <v>43875</v>
      </c>
      <c r="AE9072">
        <v>917</v>
      </c>
      <c r="AH9072">
        <v>3</v>
      </c>
      <c r="AI9072">
        <v>1</v>
      </c>
      <c r="AJ9072">
        <v>0</v>
      </c>
      <c r="AK9072">
        <v>35.58</v>
      </c>
      <c r="AN9072" t="s">
        <v>7439</v>
      </c>
      <c r="AO9072">
        <v>4320</v>
      </c>
      <c r="AU9072">
        <v>0.6</v>
      </c>
      <c r="AV9072" t="s">
        <v>630</v>
      </c>
      <c r="AW9072" t="s">
        <v>46850</v>
      </c>
    </row>
    <row r="9073" spans="1:49">
      <c r="A9073" s="1">
        <f>HYPERLINK("https://lsnyc.legalserver.org/matter/dynamic-profile/view/1877842","18-1877842")</f>
        <v>0</v>
      </c>
      <c r="B9073" t="s">
        <v>124</v>
      </c>
      <c r="C9073" t="s">
        <v>341</v>
      </c>
      <c r="D9073" t="s">
        <v>578</v>
      </c>
      <c r="E9073" t="s">
        <v>832</v>
      </c>
      <c r="F9073" t="s">
        <v>1801</v>
      </c>
      <c r="G9073" t="s">
        <v>8920</v>
      </c>
      <c r="H9073" t="s">
        <v>15818</v>
      </c>
      <c r="I9073" t="s">
        <v>17307</v>
      </c>
      <c r="J9073" t="s">
        <v>18894</v>
      </c>
      <c r="K9073">
        <v>11213</v>
      </c>
      <c r="L9073" t="s">
        <v>18960</v>
      </c>
      <c r="M9073" t="s">
        <v>18960</v>
      </c>
      <c r="N9073" t="s">
        <v>25400</v>
      </c>
      <c r="P9073" t="s">
        <v>26560</v>
      </c>
      <c r="Q9073" t="s">
        <v>26569</v>
      </c>
      <c r="R9073" t="s">
        <v>26586</v>
      </c>
      <c r="U9073" t="s">
        <v>26604</v>
      </c>
      <c r="X9073">
        <v>0</v>
      </c>
      <c r="Y9073" t="s">
        <v>26652</v>
      </c>
      <c r="Z9073" t="s">
        <v>26530</v>
      </c>
      <c r="AA9073" t="s">
        <v>26678</v>
      </c>
      <c r="AB9073" t="s">
        <v>33207</v>
      </c>
      <c r="AD9073" t="s">
        <v>43876</v>
      </c>
      <c r="AE9073">
        <v>0</v>
      </c>
      <c r="AF9073" t="s">
        <v>45554</v>
      </c>
      <c r="AG9073" t="s">
        <v>45561</v>
      </c>
      <c r="AH9073">
        <v>10</v>
      </c>
      <c r="AI9073">
        <v>1</v>
      </c>
      <c r="AJ9073">
        <v>0</v>
      </c>
      <c r="AK9073">
        <v>100.82</v>
      </c>
      <c r="AN9073" t="s">
        <v>7439</v>
      </c>
      <c r="AO9073">
        <v>12240</v>
      </c>
      <c r="AQ9073" t="s">
        <v>46378</v>
      </c>
      <c r="AR9073" t="s">
        <v>46379</v>
      </c>
      <c r="AS9073" t="s">
        <v>46499</v>
      </c>
      <c r="AT9073" t="s">
        <v>46731</v>
      </c>
      <c r="AU9073">
        <v>30.05</v>
      </c>
      <c r="AV9073" t="s">
        <v>832</v>
      </c>
      <c r="AW9073" t="s">
        <v>46882</v>
      </c>
    </row>
    <row r="9074" spans="1:49">
      <c r="A9074" s="1">
        <f>HYPERLINK("https://lsnyc.legalserver.org/matter/dynamic-profile/view/1877429","18-1877429")</f>
        <v>0</v>
      </c>
      <c r="B9074" t="s">
        <v>122</v>
      </c>
      <c r="C9074" t="s">
        <v>341</v>
      </c>
      <c r="D9074" t="s">
        <v>578</v>
      </c>
      <c r="E9074" t="s">
        <v>589</v>
      </c>
      <c r="F9074" t="s">
        <v>4448</v>
      </c>
      <c r="G9074" t="s">
        <v>3540</v>
      </c>
      <c r="H9074" t="s">
        <v>15819</v>
      </c>
      <c r="I9074" t="s">
        <v>17333</v>
      </c>
      <c r="J9074" t="s">
        <v>18913</v>
      </c>
      <c r="K9074">
        <v>11105</v>
      </c>
      <c r="L9074" t="s">
        <v>18959</v>
      </c>
      <c r="M9074" t="s">
        <v>18960</v>
      </c>
      <c r="O9074" t="s">
        <v>18997</v>
      </c>
      <c r="P9074" t="s">
        <v>26564</v>
      </c>
      <c r="Q9074" t="s">
        <v>26570</v>
      </c>
      <c r="R9074" t="s">
        <v>26584</v>
      </c>
      <c r="S9074" t="s">
        <v>18959</v>
      </c>
      <c r="U9074" t="s">
        <v>26604</v>
      </c>
      <c r="X9074">
        <v>1277</v>
      </c>
      <c r="Y9074" t="s">
        <v>26653</v>
      </c>
      <c r="Z9074" t="s">
        <v>26670</v>
      </c>
      <c r="AA9074" t="s">
        <v>26683</v>
      </c>
      <c r="AB9074" t="s">
        <v>32653</v>
      </c>
      <c r="AD9074" t="s">
        <v>43877</v>
      </c>
      <c r="AE9074">
        <v>7</v>
      </c>
      <c r="AF9074" t="s">
        <v>45541</v>
      </c>
      <c r="AG9074" t="s">
        <v>19330</v>
      </c>
      <c r="AH9074">
        <v>15</v>
      </c>
      <c r="AI9074">
        <v>1</v>
      </c>
      <c r="AJ9074">
        <v>0</v>
      </c>
      <c r="AK9074">
        <v>329.49</v>
      </c>
      <c r="AN9074" t="s">
        <v>7439</v>
      </c>
      <c r="AO9074">
        <v>40000</v>
      </c>
      <c r="AU9074">
        <v>0.85</v>
      </c>
      <c r="AV9074" t="s">
        <v>589</v>
      </c>
      <c r="AW9074" t="s">
        <v>122</v>
      </c>
    </row>
    <row r="9075" spans="1:49">
      <c r="A9075" s="1">
        <f>HYPERLINK("https://lsnyc.legalserver.org/matter/dynamic-profile/view/1877306","18-1877306")</f>
        <v>0</v>
      </c>
      <c r="B9075" t="s">
        <v>279</v>
      </c>
      <c r="C9075" t="s">
        <v>341</v>
      </c>
      <c r="D9075" t="s">
        <v>578</v>
      </c>
      <c r="E9075" t="s">
        <v>545</v>
      </c>
      <c r="F9075" t="s">
        <v>4449</v>
      </c>
      <c r="G9075" t="s">
        <v>8097</v>
      </c>
      <c r="H9075" t="s">
        <v>15820</v>
      </c>
      <c r="I9075">
        <v>2</v>
      </c>
      <c r="J9075" t="s">
        <v>18894</v>
      </c>
      <c r="K9075">
        <v>11208</v>
      </c>
      <c r="L9075" t="s">
        <v>18959</v>
      </c>
      <c r="M9075" t="s">
        <v>18959</v>
      </c>
      <c r="N9075" t="s">
        <v>25401</v>
      </c>
      <c r="O9075" t="s">
        <v>26524</v>
      </c>
      <c r="Q9075" t="s">
        <v>26570</v>
      </c>
      <c r="R9075" t="s">
        <v>26578</v>
      </c>
      <c r="U9075" t="s">
        <v>26604</v>
      </c>
      <c r="X9075">
        <v>0</v>
      </c>
      <c r="Y9075" t="s">
        <v>26652</v>
      </c>
      <c r="Z9075" t="s">
        <v>26661</v>
      </c>
      <c r="AA9075" t="s">
        <v>26683</v>
      </c>
      <c r="AB9075" t="s">
        <v>31864</v>
      </c>
      <c r="AD9075" t="s">
        <v>43878</v>
      </c>
      <c r="AE9075">
        <v>2</v>
      </c>
      <c r="AG9075" t="s">
        <v>19330</v>
      </c>
      <c r="AH9075">
        <v>2</v>
      </c>
      <c r="AI9075">
        <v>2</v>
      </c>
      <c r="AJ9075">
        <v>1</v>
      </c>
      <c r="AK9075">
        <v>204.04</v>
      </c>
      <c r="AN9075" t="s">
        <v>7439</v>
      </c>
      <c r="AO9075">
        <v>42400</v>
      </c>
      <c r="AU9075">
        <v>0.6</v>
      </c>
      <c r="AV9075" t="s">
        <v>578</v>
      </c>
      <c r="AW9075" t="s">
        <v>46842</v>
      </c>
    </row>
    <row r="9076" spans="1:49">
      <c r="A9076" s="1">
        <f>HYPERLINK("https://lsnyc.legalserver.org/matter/dynamic-profile/view/1877304","18-1877304")</f>
        <v>0</v>
      </c>
      <c r="B9076" t="s">
        <v>110</v>
      </c>
      <c r="C9076" t="s">
        <v>340</v>
      </c>
      <c r="D9076" t="s">
        <v>578</v>
      </c>
      <c r="F9076" t="s">
        <v>4450</v>
      </c>
      <c r="G9076" t="s">
        <v>8921</v>
      </c>
      <c r="H9076" t="s">
        <v>15821</v>
      </c>
      <c r="I9076" t="s">
        <v>17423</v>
      </c>
      <c r="J9076" t="s">
        <v>18933</v>
      </c>
      <c r="K9076">
        <v>11422</v>
      </c>
      <c r="L9076" t="s">
        <v>18960</v>
      </c>
      <c r="M9076" t="s">
        <v>18960</v>
      </c>
      <c r="R9076" t="s">
        <v>26591</v>
      </c>
      <c r="U9076" t="s">
        <v>26604</v>
      </c>
      <c r="X9076">
        <v>2100</v>
      </c>
      <c r="Y9076" t="s">
        <v>26653</v>
      </c>
      <c r="Z9076" t="s">
        <v>26657</v>
      </c>
      <c r="AB9076" t="s">
        <v>33208</v>
      </c>
      <c r="AD9076" t="s">
        <v>43879</v>
      </c>
      <c r="AE9076">
        <v>3</v>
      </c>
      <c r="AG9076" t="s">
        <v>19330</v>
      </c>
      <c r="AH9076">
        <v>3</v>
      </c>
      <c r="AI9076">
        <v>2</v>
      </c>
      <c r="AJ9076">
        <v>4</v>
      </c>
      <c r="AK9076">
        <v>154.12</v>
      </c>
      <c r="AN9076" t="s">
        <v>7439</v>
      </c>
      <c r="AO9076">
        <v>52000</v>
      </c>
      <c r="AU9076">
        <v>1</v>
      </c>
      <c r="AV9076" t="s">
        <v>578</v>
      </c>
      <c r="AW9076" t="s">
        <v>46858</v>
      </c>
    </row>
    <row r="9077" spans="1:49">
      <c r="A9077" s="1">
        <f>HYPERLINK("https://lsnyc.legalserver.org/matter/dynamic-profile/view/1877563","18-1877563")</f>
        <v>0</v>
      </c>
      <c r="B9077" t="s">
        <v>66</v>
      </c>
      <c r="C9077" t="s">
        <v>341</v>
      </c>
      <c r="D9077" t="s">
        <v>545</v>
      </c>
      <c r="E9077" t="s">
        <v>706</v>
      </c>
      <c r="F9077" t="s">
        <v>2193</v>
      </c>
      <c r="G9077" t="s">
        <v>5183</v>
      </c>
      <c r="H9077" t="s">
        <v>15822</v>
      </c>
      <c r="J9077" t="s">
        <v>18893</v>
      </c>
      <c r="K9077">
        <v>10031</v>
      </c>
      <c r="L9077" t="s">
        <v>18958</v>
      </c>
      <c r="M9077" t="s">
        <v>18958</v>
      </c>
      <c r="N9077" t="s">
        <v>25402</v>
      </c>
      <c r="O9077" t="s">
        <v>26523</v>
      </c>
      <c r="P9077" t="s">
        <v>26564</v>
      </c>
      <c r="Q9077" t="s">
        <v>26570</v>
      </c>
      <c r="R9077" t="s">
        <v>26582</v>
      </c>
      <c r="U9077" t="s">
        <v>26604</v>
      </c>
      <c r="V9077" t="s">
        <v>26610</v>
      </c>
      <c r="X9077">
        <v>1600</v>
      </c>
      <c r="Y9077" t="s">
        <v>26651</v>
      </c>
      <c r="Z9077" t="s">
        <v>26664</v>
      </c>
      <c r="AA9077" t="s">
        <v>26683</v>
      </c>
      <c r="AB9077" t="s">
        <v>30152</v>
      </c>
      <c r="AE9077">
        <v>41</v>
      </c>
      <c r="AH9077">
        <v>1</v>
      </c>
      <c r="AI9077">
        <v>1</v>
      </c>
      <c r="AJ9077">
        <v>0</v>
      </c>
      <c r="AK9077">
        <v>128.5</v>
      </c>
      <c r="AN9077" t="s">
        <v>7439</v>
      </c>
      <c r="AO9077">
        <v>15600</v>
      </c>
      <c r="AU9077">
        <v>3</v>
      </c>
      <c r="AV9077" t="s">
        <v>706</v>
      </c>
      <c r="AW9077" t="s">
        <v>264</v>
      </c>
    </row>
    <row r="9078" spans="1:49">
      <c r="A9078" s="1">
        <f>HYPERLINK("https://lsnyc.legalserver.org/matter/dynamic-profile/view/1877480","18-1877480")</f>
        <v>0</v>
      </c>
      <c r="B9078" t="s">
        <v>204</v>
      </c>
      <c r="C9078" t="s">
        <v>341</v>
      </c>
      <c r="D9078" t="s">
        <v>545</v>
      </c>
      <c r="E9078" t="s">
        <v>728</v>
      </c>
      <c r="F9078" t="s">
        <v>1134</v>
      </c>
      <c r="G9078" t="s">
        <v>5147</v>
      </c>
      <c r="H9078" t="s">
        <v>15823</v>
      </c>
      <c r="I9078" t="s">
        <v>18171</v>
      </c>
      <c r="J9078" t="s">
        <v>18894</v>
      </c>
      <c r="K9078">
        <v>11230</v>
      </c>
      <c r="L9078" t="s">
        <v>18960</v>
      </c>
      <c r="M9078" t="s">
        <v>18960</v>
      </c>
      <c r="N9078" t="s">
        <v>25403</v>
      </c>
      <c r="O9078" t="s">
        <v>26523</v>
      </c>
      <c r="P9078" t="s">
        <v>26563</v>
      </c>
      <c r="Q9078" t="s">
        <v>26573</v>
      </c>
      <c r="R9078" t="s">
        <v>26586</v>
      </c>
      <c r="U9078" t="s">
        <v>26604</v>
      </c>
      <c r="X9078">
        <v>1470</v>
      </c>
      <c r="Y9078" t="s">
        <v>26652</v>
      </c>
      <c r="Z9078" t="s">
        <v>26659</v>
      </c>
      <c r="AA9078" t="s">
        <v>26678</v>
      </c>
      <c r="AB9078" t="s">
        <v>30751</v>
      </c>
      <c r="AC9078" t="s">
        <v>36604</v>
      </c>
      <c r="AD9078" t="s">
        <v>43880</v>
      </c>
      <c r="AE9078">
        <v>50</v>
      </c>
      <c r="AF9078" t="s">
        <v>45541</v>
      </c>
      <c r="AH9078">
        <v>7</v>
      </c>
      <c r="AI9078">
        <v>1</v>
      </c>
      <c r="AJ9078">
        <v>2</v>
      </c>
      <c r="AK9078">
        <v>100.1</v>
      </c>
      <c r="AN9078" t="s">
        <v>7439</v>
      </c>
      <c r="AO9078">
        <v>20800</v>
      </c>
      <c r="AQ9078" t="s">
        <v>46365</v>
      </c>
      <c r="AR9078" t="s">
        <v>46379</v>
      </c>
      <c r="AS9078" t="s">
        <v>46499</v>
      </c>
      <c r="AT9078" t="s">
        <v>46724</v>
      </c>
      <c r="AU9078">
        <v>30.7</v>
      </c>
      <c r="AV9078" t="s">
        <v>694</v>
      </c>
      <c r="AW9078" t="s">
        <v>281</v>
      </c>
    </row>
    <row r="9079" spans="1:49">
      <c r="A9079" s="1">
        <f>HYPERLINK("https://lsnyc.legalserver.org/matter/dynamic-profile/view/1877534","18-1877534")</f>
        <v>0</v>
      </c>
      <c r="B9079" t="s">
        <v>87</v>
      </c>
      <c r="C9079" t="s">
        <v>341</v>
      </c>
      <c r="D9079" t="s">
        <v>545</v>
      </c>
      <c r="E9079" t="s">
        <v>639</v>
      </c>
      <c r="F9079" t="s">
        <v>1228</v>
      </c>
      <c r="G9079" t="s">
        <v>5208</v>
      </c>
      <c r="H9079" t="s">
        <v>15824</v>
      </c>
      <c r="I9079">
        <v>1</v>
      </c>
      <c r="J9079" t="s">
        <v>18892</v>
      </c>
      <c r="K9079">
        <v>10461</v>
      </c>
      <c r="L9079" t="s">
        <v>18960</v>
      </c>
      <c r="M9079" t="s">
        <v>18960</v>
      </c>
      <c r="N9079" t="s">
        <v>25404</v>
      </c>
      <c r="O9079" t="s">
        <v>26524</v>
      </c>
      <c r="P9079" t="s">
        <v>26564</v>
      </c>
      <c r="Q9079" t="s">
        <v>26570</v>
      </c>
      <c r="R9079" t="s">
        <v>26583</v>
      </c>
      <c r="U9079" t="s">
        <v>26604</v>
      </c>
      <c r="V9079" t="s">
        <v>26610</v>
      </c>
      <c r="X9079">
        <v>0</v>
      </c>
      <c r="Y9079" t="s">
        <v>26650</v>
      </c>
      <c r="AA9079" t="s">
        <v>26679</v>
      </c>
      <c r="AB9079" t="s">
        <v>29558</v>
      </c>
      <c r="AE9079">
        <v>0</v>
      </c>
      <c r="AH9079">
        <v>0</v>
      </c>
      <c r="AI9079">
        <v>1</v>
      </c>
      <c r="AJ9079">
        <v>0</v>
      </c>
      <c r="AK9079">
        <v>214.17</v>
      </c>
      <c r="AN9079" t="s">
        <v>7439</v>
      </c>
      <c r="AO9079">
        <v>26000</v>
      </c>
      <c r="AP9079" t="s">
        <v>45796</v>
      </c>
      <c r="AU9079">
        <v>1.8</v>
      </c>
      <c r="AV9079" t="s">
        <v>571</v>
      </c>
      <c r="AW9079" t="s">
        <v>46867</v>
      </c>
    </row>
    <row r="9080" spans="1:49">
      <c r="A9080" s="1">
        <f>HYPERLINK("https://lsnyc.legalserver.org/matter/dynamic-profile/view/1877585","18-1877585")</f>
        <v>0</v>
      </c>
      <c r="B9080" t="s">
        <v>173</v>
      </c>
      <c r="C9080" t="s">
        <v>341</v>
      </c>
      <c r="D9080" t="s">
        <v>545</v>
      </c>
      <c r="E9080" t="s">
        <v>494</v>
      </c>
      <c r="F9080" t="s">
        <v>4414</v>
      </c>
      <c r="G9080" t="s">
        <v>5169</v>
      </c>
      <c r="H9080" t="s">
        <v>15825</v>
      </c>
      <c r="J9080" t="s">
        <v>18893</v>
      </c>
      <c r="K9080">
        <v>10034</v>
      </c>
      <c r="L9080" t="s">
        <v>18959</v>
      </c>
      <c r="M9080" t="s">
        <v>18958</v>
      </c>
      <c r="N9080" t="s">
        <v>25405</v>
      </c>
      <c r="O9080" t="s">
        <v>26523</v>
      </c>
      <c r="P9080" t="s">
        <v>26564</v>
      </c>
      <c r="Q9080" t="s">
        <v>26570</v>
      </c>
      <c r="R9080" t="s">
        <v>26578</v>
      </c>
      <c r="S9080" t="s">
        <v>18959</v>
      </c>
      <c r="U9080" t="s">
        <v>26604</v>
      </c>
      <c r="V9080" t="s">
        <v>26612</v>
      </c>
      <c r="X9080">
        <v>1500</v>
      </c>
      <c r="Y9080" t="s">
        <v>26651</v>
      </c>
      <c r="Z9080" t="s">
        <v>26664</v>
      </c>
      <c r="AA9080" t="s">
        <v>26683</v>
      </c>
      <c r="AB9080" t="s">
        <v>31589</v>
      </c>
      <c r="AD9080" t="s">
        <v>43881</v>
      </c>
      <c r="AE9080">
        <v>69</v>
      </c>
      <c r="AF9080" t="s">
        <v>20460</v>
      </c>
      <c r="AG9080" t="s">
        <v>19330</v>
      </c>
      <c r="AH9080">
        <v>0</v>
      </c>
      <c r="AI9080">
        <v>1</v>
      </c>
      <c r="AJ9080">
        <v>4</v>
      </c>
      <c r="AK9080">
        <v>25.37</v>
      </c>
      <c r="AN9080" t="s">
        <v>7439</v>
      </c>
      <c r="AO9080">
        <v>7464</v>
      </c>
      <c r="AU9080">
        <v>0.1</v>
      </c>
      <c r="AV9080" t="s">
        <v>668</v>
      </c>
      <c r="AW9080" t="s">
        <v>264</v>
      </c>
    </row>
    <row r="9081" spans="1:49">
      <c r="A9081" s="1">
        <f>HYPERLINK("https://lsnyc.legalserver.org/matter/dynamic-profile/view/1877497","18-1877497")</f>
        <v>0</v>
      </c>
      <c r="B9081" t="s">
        <v>208</v>
      </c>
      <c r="C9081" t="s">
        <v>340</v>
      </c>
      <c r="D9081" t="s">
        <v>545</v>
      </c>
      <c r="F9081" t="s">
        <v>1051</v>
      </c>
      <c r="G9081" t="s">
        <v>8922</v>
      </c>
      <c r="H9081" t="s">
        <v>15826</v>
      </c>
      <c r="I9081">
        <v>1</v>
      </c>
      <c r="J9081" t="s">
        <v>18939</v>
      </c>
      <c r="K9081">
        <v>11423</v>
      </c>
      <c r="L9081" t="s">
        <v>18958</v>
      </c>
      <c r="M9081" t="s">
        <v>18960</v>
      </c>
      <c r="N9081" t="s">
        <v>25406</v>
      </c>
      <c r="O9081" t="s">
        <v>26523</v>
      </c>
      <c r="P9081" t="s">
        <v>26563</v>
      </c>
      <c r="R9081" t="s">
        <v>26584</v>
      </c>
      <c r="S9081" t="s">
        <v>18959</v>
      </c>
      <c r="U9081" t="s">
        <v>26604</v>
      </c>
      <c r="X9081">
        <v>1995</v>
      </c>
      <c r="Y9081" t="s">
        <v>26653</v>
      </c>
      <c r="Z9081" t="s">
        <v>26664</v>
      </c>
      <c r="AB9081" t="s">
        <v>29698</v>
      </c>
      <c r="AC9081" t="s">
        <v>36605</v>
      </c>
      <c r="AD9081" t="s">
        <v>43882</v>
      </c>
      <c r="AE9081">
        <v>40</v>
      </c>
      <c r="AF9081" t="s">
        <v>20460</v>
      </c>
      <c r="AG9081" t="s">
        <v>45558</v>
      </c>
      <c r="AH9081">
        <v>3</v>
      </c>
      <c r="AI9081">
        <v>1</v>
      </c>
      <c r="AJ9081">
        <v>4</v>
      </c>
      <c r="AK9081">
        <v>25.7</v>
      </c>
      <c r="AN9081" t="s">
        <v>7439</v>
      </c>
      <c r="AO9081">
        <v>7562</v>
      </c>
      <c r="AU9081">
        <v>0</v>
      </c>
      <c r="AW9081" t="s">
        <v>208</v>
      </c>
    </row>
    <row r="9082" spans="1:49">
      <c r="A9082" s="1">
        <f>HYPERLINK("https://lsnyc.legalserver.org/matter/dynamic-profile/view/1877482","18-1877482")</f>
        <v>0</v>
      </c>
      <c r="B9082" t="s">
        <v>208</v>
      </c>
      <c r="C9082" t="s">
        <v>340</v>
      </c>
      <c r="D9082" t="s">
        <v>545</v>
      </c>
      <c r="F9082" t="s">
        <v>2023</v>
      </c>
      <c r="G9082" t="s">
        <v>8923</v>
      </c>
      <c r="H9082" t="s">
        <v>15827</v>
      </c>
      <c r="I9082" t="s">
        <v>17333</v>
      </c>
      <c r="J9082" t="s">
        <v>18899</v>
      </c>
      <c r="K9082">
        <v>11385</v>
      </c>
      <c r="L9082" t="s">
        <v>18958</v>
      </c>
      <c r="M9082" t="s">
        <v>18960</v>
      </c>
      <c r="N9082" t="s">
        <v>25407</v>
      </c>
      <c r="O9082" t="s">
        <v>26523</v>
      </c>
      <c r="P9082" t="s">
        <v>26563</v>
      </c>
      <c r="R9082" t="s">
        <v>26585</v>
      </c>
      <c r="S9082" t="s">
        <v>18959</v>
      </c>
      <c r="U9082" t="s">
        <v>26604</v>
      </c>
      <c r="X9082">
        <v>815.67</v>
      </c>
      <c r="Y9082" t="s">
        <v>26653</v>
      </c>
      <c r="Z9082" t="s">
        <v>26664</v>
      </c>
      <c r="AB9082" t="s">
        <v>29707</v>
      </c>
      <c r="AC9082" t="s">
        <v>36606</v>
      </c>
      <c r="AD9082" t="s">
        <v>43883</v>
      </c>
      <c r="AE9082">
        <v>6</v>
      </c>
      <c r="AF9082" t="s">
        <v>20460</v>
      </c>
      <c r="AG9082" t="s">
        <v>19330</v>
      </c>
      <c r="AH9082">
        <v>48</v>
      </c>
      <c r="AI9082">
        <v>2</v>
      </c>
      <c r="AJ9082">
        <v>0</v>
      </c>
      <c r="AK9082">
        <v>22.9</v>
      </c>
      <c r="AN9082" t="s">
        <v>7439</v>
      </c>
      <c r="AO9082">
        <v>3770</v>
      </c>
      <c r="AU9082">
        <v>0</v>
      </c>
      <c r="AW9082" t="s">
        <v>208</v>
      </c>
    </row>
    <row r="9083" spans="1:49">
      <c r="A9083" s="1">
        <f>HYPERLINK("https://lsnyc.legalserver.org/matter/dynamic-profile/view/1877470","18-1877470")</f>
        <v>0</v>
      </c>
      <c r="B9083" t="s">
        <v>96</v>
      </c>
      <c r="C9083" t="s">
        <v>340</v>
      </c>
      <c r="D9083" t="s">
        <v>545</v>
      </c>
      <c r="F9083" t="s">
        <v>4451</v>
      </c>
      <c r="G9083" t="s">
        <v>8924</v>
      </c>
      <c r="H9083" t="s">
        <v>15828</v>
      </c>
      <c r="I9083" t="s">
        <v>17358</v>
      </c>
      <c r="J9083" t="s">
        <v>18892</v>
      </c>
      <c r="K9083">
        <v>10456</v>
      </c>
      <c r="L9083" t="s">
        <v>18959</v>
      </c>
      <c r="M9083" t="s">
        <v>18959</v>
      </c>
      <c r="O9083" t="s">
        <v>26531</v>
      </c>
      <c r="P9083" t="s">
        <v>26562</v>
      </c>
      <c r="R9083" t="s">
        <v>26578</v>
      </c>
      <c r="S9083" t="s">
        <v>18959</v>
      </c>
      <c r="U9083" t="s">
        <v>26606</v>
      </c>
      <c r="X9083">
        <v>252</v>
      </c>
      <c r="Y9083" t="s">
        <v>26650</v>
      </c>
      <c r="Z9083" t="s">
        <v>26659</v>
      </c>
      <c r="AB9083" t="s">
        <v>32730</v>
      </c>
      <c r="AD9083" t="s">
        <v>43884</v>
      </c>
      <c r="AE9083">
        <v>43</v>
      </c>
      <c r="AF9083" t="s">
        <v>45554</v>
      </c>
      <c r="AG9083" t="s">
        <v>26530</v>
      </c>
      <c r="AH9083">
        <v>7</v>
      </c>
      <c r="AI9083">
        <v>1</v>
      </c>
      <c r="AJ9083">
        <v>0</v>
      </c>
      <c r="AK9083">
        <v>75.22</v>
      </c>
      <c r="AN9083" t="s">
        <v>7439</v>
      </c>
      <c r="AO9083">
        <v>9132</v>
      </c>
      <c r="AP9083" t="s">
        <v>46136</v>
      </c>
      <c r="AU9083">
        <v>4.7</v>
      </c>
      <c r="AV9083" t="s">
        <v>797</v>
      </c>
      <c r="AW9083" t="s">
        <v>336</v>
      </c>
    </row>
    <row r="9084" spans="1:49">
      <c r="A9084" s="1">
        <f>HYPERLINK("https://lsnyc.legalserver.org/matter/dynamic-profile/view/1877472","18-1877472")</f>
        <v>0</v>
      </c>
      <c r="B9084" t="s">
        <v>96</v>
      </c>
      <c r="C9084" t="s">
        <v>340</v>
      </c>
      <c r="D9084" t="s">
        <v>545</v>
      </c>
      <c r="F9084" t="s">
        <v>4451</v>
      </c>
      <c r="G9084" t="s">
        <v>8924</v>
      </c>
      <c r="H9084" t="s">
        <v>15828</v>
      </c>
      <c r="I9084" t="s">
        <v>17358</v>
      </c>
      <c r="J9084" t="s">
        <v>18892</v>
      </c>
      <c r="K9084">
        <v>10456</v>
      </c>
      <c r="L9084" t="s">
        <v>18959</v>
      </c>
      <c r="M9084" t="s">
        <v>18959</v>
      </c>
      <c r="N9084" t="s">
        <v>25408</v>
      </c>
      <c r="O9084" t="s">
        <v>26524</v>
      </c>
      <c r="P9084" t="s">
        <v>26560</v>
      </c>
      <c r="R9084" t="s">
        <v>26577</v>
      </c>
      <c r="S9084" t="s">
        <v>18959</v>
      </c>
      <c r="U9084" t="s">
        <v>26604</v>
      </c>
      <c r="V9084" t="s">
        <v>26610</v>
      </c>
      <c r="X9084">
        <v>252</v>
      </c>
      <c r="Y9084" t="s">
        <v>26650</v>
      </c>
      <c r="Z9084" t="s">
        <v>26659</v>
      </c>
      <c r="AB9084" t="s">
        <v>32730</v>
      </c>
      <c r="AD9084" t="s">
        <v>43884</v>
      </c>
      <c r="AE9084">
        <v>43</v>
      </c>
      <c r="AF9084" t="s">
        <v>45554</v>
      </c>
      <c r="AG9084" t="s">
        <v>26530</v>
      </c>
      <c r="AH9084">
        <v>7</v>
      </c>
      <c r="AI9084">
        <v>1</v>
      </c>
      <c r="AJ9084">
        <v>0</v>
      </c>
      <c r="AK9084">
        <v>75.22</v>
      </c>
      <c r="AN9084" t="s">
        <v>7439</v>
      </c>
      <c r="AO9084">
        <v>9132</v>
      </c>
      <c r="AP9084" t="s">
        <v>46136</v>
      </c>
      <c r="AU9084">
        <v>19.6</v>
      </c>
      <c r="AV9084" t="s">
        <v>831</v>
      </c>
      <c r="AW9084" t="s">
        <v>336</v>
      </c>
    </row>
    <row r="9085" spans="1:49">
      <c r="A9085" s="1">
        <f>HYPERLINK("https://lsnyc.legalserver.org/matter/dynamic-profile/view/1877509","18-1877509")</f>
        <v>0</v>
      </c>
      <c r="B9085" t="s">
        <v>66</v>
      </c>
      <c r="C9085" t="s">
        <v>340</v>
      </c>
      <c r="D9085" t="s">
        <v>545</v>
      </c>
      <c r="F9085" t="s">
        <v>887</v>
      </c>
      <c r="G9085" t="s">
        <v>5635</v>
      </c>
      <c r="H9085" t="s">
        <v>15829</v>
      </c>
      <c r="J9085" t="s">
        <v>18893</v>
      </c>
      <c r="K9085">
        <v>10031</v>
      </c>
      <c r="L9085" t="s">
        <v>18960</v>
      </c>
      <c r="M9085" t="s">
        <v>18960</v>
      </c>
      <c r="O9085" t="s">
        <v>26523</v>
      </c>
      <c r="R9085" t="s">
        <v>26582</v>
      </c>
      <c r="S9085" t="s">
        <v>18959</v>
      </c>
      <c r="U9085" t="s">
        <v>26604</v>
      </c>
      <c r="X9085">
        <v>545.4</v>
      </c>
      <c r="Y9085" t="s">
        <v>26651</v>
      </c>
      <c r="Z9085" t="s">
        <v>26664</v>
      </c>
      <c r="AB9085" t="s">
        <v>33209</v>
      </c>
      <c r="AE9085">
        <v>0</v>
      </c>
      <c r="AH9085">
        <v>24</v>
      </c>
      <c r="AI9085">
        <v>1</v>
      </c>
      <c r="AJ9085">
        <v>0</v>
      </c>
      <c r="AK9085">
        <v>49.42</v>
      </c>
      <c r="AN9085" t="s">
        <v>45581</v>
      </c>
      <c r="AO9085">
        <v>6000</v>
      </c>
      <c r="AU9085">
        <v>8.199999999999999</v>
      </c>
      <c r="AV9085" t="s">
        <v>668</v>
      </c>
      <c r="AW9085" t="s">
        <v>264</v>
      </c>
    </row>
    <row r="9086" spans="1:49">
      <c r="A9086" s="1">
        <f>HYPERLINK("https://lsnyc.legalserver.org/matter/dynamic-profile/view/1877518","18-1877518")</f>
        <v>0</v>
      </c>
      <c r="B9086" t="s">
        <v>200</v>
      </c>
      <c r="C9086" t="s">
        <v>340</v>
      </c>
      <c r="D9086" t="s">
        <v>545</v>
      </c>
      <c r="F9086" t="s">
        <v>4452</v>
      </c>
      <c r="G9086" t="s">
        <v>5295</v>
      </c>
      <c r="H9086" t="s">
        <v>14090</v>
      </c>
      <c r="I9086" t="s">
        <v>17343</v>
      </c>
      <c r="J9086" t="s">
        <v>18894</v>
      </c>
      <c r="K9086">
        <v>11205</v>
      </c>
      <c r="L9086" t="s">
        <v>18960</v>
      </c>
      <c r="M9086" t="s">
        <v>18960</v>
      </c>
      <c r="R9086" t="s">
        <v>26591</v>
      </c>
      <c r="U9086" t="s">
        <v>26605</v>
      </c>
      <c r="X9086">
        <v>219</v>
      </c>
      <c r="Y9086" t="s">
        <v>26652</v>
      </c>
      <c r="AB9086" t="s">
        <v>28202</v>
      </c>
      <c r="AD9086" t="s">
        <v>43885</v>
      </c>
      <c r="AE9086">
        <v>0</v>
      </c>
      <c r="AH9086">
        <v>30</v>
      </c>
      <c r="AI9086">
        <v>1</v>
      </c>
      <c r="AJ9086">
        <v>0</v>
      </c>
      <c r="AK9086">
        <v>0</v>
      </c>
      <c r="AN9086" t="s">
        <v>7439</v>
      </c>
      <c r="AO9086">
        <v>0</v>
      </c>
      <c r="AU9086">
        <v>1</v>
      </c>
      <c r="AV9086" t="s">
        <v>545</v>
      </c>
      <c r="AW9086" t="s">
        <v>46857</v>
      </c>
    </row>
    <row r="9087" spans="1:49">
      <c r="A9087" s="1">
        <f>HYPERLINK("https://lsnyc.legalserver.org/matter/dynamic-profile/view/1877611","18-1877611")</f>
        <v>0</v>
      </c>
      <c r="B9087" t="s">
        <v>75</v>
      </c>
      <c r="C9087" t="s">
        <v>341</v>
      </c>
      <c r="D9087" t="s">
        <v>586</v>
      </c>
      <c r="E9087" t="s">
        <v>588</v>
      </c>
      <c r="F9087" t="s">
        <v>1401</v>
      </c>
      <c r="G9087" t="s">
        <v>5121</v>
      </c>
      <c r="H9087" t="s">
        <v>15830</v>
      </c>
      <c r="I9087">
        <v>2</v>
      </c>
      <c r="J9087" t="s">
        <v>18892</v>
      </c>
      <c r="K9087">
        <v>10460</v>
      </c>
      <c r="L9087" t="s">
        <v>18960</v>
      </c>
      <c r="M9087" t="s">
        <v>18960</v>
      </c>
      <c r="O9087" t="s">
        <v>26554</v>
      </c>
      <c r="P9087" t="s">
        <v>26565</v>
      </c>
      <c r="Q9087" t="s">
        <v>26571</v>
      </c>
      <c r="R9087" t="s">
        <v>26578</v>
      </c>
      <c r="S9087" t="s">
        <v>18959</v>
      </c>
      <c r="U9087" t="s">
        <v>26604</v>
      </c>
      <c r="X9087">
        <v>0</v>
      </c>
      <c r="Y9087" t="s">
        <v>26650</v>
      </c>
      <c r="Z9087" t="s">
        <v>26655</v>
      </c>
      <c r="AA9087" t="s">
        <v>26682</v>
      </c>
      <c r="AB9087" t="s">
        <v>33210</v>
      </c>
      <c r="AD9087" t="s">
        <v>43886</v>
      </c>
      <c r="AE9087">
        <v>0</v>
      </c>
      <c r="AF9087" t="s">
        <v>45547</v>
      </c>
      <c r="AH9087">
        <v>0</v>
      </c>
      <c r="AI9087">
        <v>2</v>
      </c>
      <c r="AJ9087">
        <v>3</v>
      </c>
      <c r="AK9087">
        <v>95.93000000000001</v>
      </c>
      <c r="AO9087">
        <v>28224</v>
      </c>
      <c r="AP9087" t="s">
        <v>46137</v>
      </c>
      <c r="AU9087">
        <v>13.2</v>
      </c>
      <c r="AV9087" t="s">
        <v>588</v>
      </c>
      <c r="AW9087" t="s">
        <v>46831</v>
      </c>
    </row>
    <row r="9088" spans="1:49">
      <c r="A9088" s="1">
        <f>HYPERLINK("https://lsnyc.legalserver.org/matter/dynamic-profile/view/1877640","18-1877640")</f>
        <v>0</v>
      </c>
      <c r="B9088" t="s">
        <v>236</v>
      </c>
      <c r="C9088" t="s">
        <v>341</v>
      </c>
      <c r="D9088" t="s">
        <v>586</v>
      </c>
      <c r="E9088" t="s">
        <v>699</v>
      </c>
      <c r="F9088" t="s">
        <v>4453</v>
      </c>
      <c r="G9088" t="s">
        <v>4160</v>
      </c>
      <c r="H9088" t="s">
        <v>15831</v>
      </c>
      <c r="I9088" t="s">
        <v>17430</v>
      </c>
      <c r="J9088" t="s">
        <v>18892</v>
      </c>
      <c r="K9088">
        <v>10457</v>
      </c>
      <c r="L9088" t="s">
        <v>18960</v>
      </c>
      <c r="M9088" t="s">
        <v>18960</v>
      </c>
      <c r="O9088" t="s">
        <v>18997</v>
      </c>
      <c r="P9088" t="s">
        <v>26564</v>
      </c>
      <c r="Q9088" t="s">
        <v>26570</v>
      </c>
      <c r="R9088" t="s">
        <v>26591</v>
      </c>
      <c r="S9088" t="s">
        <v>18959</v>
      </c>
      <c r="U9088" t="s">
        <v>26604</v>
      </c>
      <c r="X9088">
        <v>750</v>
      </c>
      <c r="Y9088" t="s">
        <v>26650</v>
      </c>
      <c r="Z9088" t="s">
        <v>26663</v>
      </c>
      <c r="AA9088" t="s">
        <v>26683</v>
      </c>
      <c r="AB9088" t="s">
        <v>33211</v>
      </c>
      <c r="AC9088" t="s">
        <v>36607</v>
      </c>
      <c r="AD9088" t="s">
        <v>43887</v>
      </c>
      <c r="AE9088">
        <v>0</v>
      </c>
      <c r="AF9088" t="s">
        <v>20460</v>
      </c>
      <c r="AG9088" t="s">
        <v>19330</v>
      </c>
      <c r="AH9088">
        <v>1</v>
      </c>
      <c r="AI9088">
        <v>1</v>
      </c>
      <c r="AJ9088">
        <v>0</v>
      </c>
      <c r="AK9088">
        <v>62.97</v>
      </c>
      <c r="AN9088" t="s">
        <v>7439</v>
      </c>
      <c r="AO9088">
        <v>7644</v>
      </c>
      <c r="AP9088" t="s">
        <v>46138</v>
      </c>
      <c r="AU9088">
        <v>1.5</v>
      </c>
      <c r="AV9088" t="s">
        <v>596</v>
      </c>
      <c r="AW9088" t="s">
        <v>46832</v>
      </c>
    </row>
    <row r="9089" spans="1:49">
      <c r="A9089" s="1">
        <f>HYPERLINK("https://lsnyc.legalserver.org/matter/dynamic-profile/view/1877644","18-1877644")</f>
        <v>0</v>
      </c>
      <c r="B9089" t="s">
        <v>63</v>
      </c>
      <c r="C9089" t="s">
        <v>341</v>
      </c>
      <c r="D9089" t="s">
        <v>586</v>
      </c>
      <c r="E9089" t="s">
        <v>586</v>
      </c>
      <c r="F9089" t="s">
        <v>4454</v>
      </c>
      <c r="G9089" t="s">
        <v>8925</v>
      </c>
      <c r="H9089" t="s">
        <v>15832</v>
      </c>
      <c r="I9089" t="s">
        <v>18635</v>
      </c>
      <c r="J9089" t="s">
        <v>18892</v>
      </c>
      <c r="K9089">
        <v>10455</v>
      </c>
      <c r="L9089" t="s">
        <v>18960</v>
      </c>
      <c r="M9089" t="s">
        <v>18960</v>
      </c>
      <c r="O9089" t="s">
        <v>26542</v>
      </c>
      <c r="P9089" t="s">
        <v>26564</v>
      </c>
      <c r="Q9089" t="s">
        <v>26570</v>
      </c>
      <c r="R9089" t="s">
        <v>26589</v>
      </c>
      <c r="U9089" t="s">
        <v>26605</v>
      </c>
      <c r="X9089">
        <v>0</v>
      </c>
      <c r="Y9089" t="s">
        <v>26650</v>
      </c>
      <c r="AA9089" t="s">
        <v>26683</v>
      </c>
      <c r="AB9089" t="s">
        <v>32174</v>
      </c>
      <c r="AD9089" t="s">
        <v>43888</v>
      </c>
      <c r="AE9089">
        <v>0</v>
      </c>
      <c r="AF9089" t="s">
        <v>45542</v>
      </c>
      <c r="AG9089" t="s">
        <v>45556</v>
      </c>
      <c r="AH9089">
        <v>0</v>
      </c>
      <c r="AI9089">
        <v>2</v>
      </c>
      <c r="AJ9089">
        <v>3</v>
      </c>
      <c r="AK9089">
        <v>49.49</v>
      </c>
      <c r="AN9089" t="s">
        <v>7439</v>
      </c>
      <c r="AO9089">
        <v>14560</v>
      </c>
      <c r="AP9089" t="s">
        <v>46139</v>
      </c>
      <c r="AU9089">
        <v>0.5</v>
      </c>
      <c r="AV9089" t="s">
        <v>586</v>
      </c>
      <c r="AW9089" t="s">
        <v>63</v>
      </c>
    </row>
    <row r="9090" spans="1:49">
      <c r="A9090" s="1">
        <f>HYPERLINK("https://lsnyc.legalserver.org/matter/dynamic-profile/view/1877704","18-1877704")</f>
        <v>0</v>
      </c>
      <c r="B9090" t="s">
        <v>63</v>
      </c>
      <c r="C9090" t="s">
        <v>341</v>
      </c>
      <c r="D9090" t="s">
        <v>586</v>
      </c>
      <c r="E9090" t="s">
        <v>586</v>
      </c>
      <c r="F9090" t="s">
        <v>4455</v>
      </c>
      <c r="G9090" t="s">
        <v>8926</v>
      </c>
      <c r="H9090" t="s">
        <v>15833</v>
      </c>
      <c r="I9090" t="s">
        <v>18617</v>
      </c>
      <c r="J9090" t="s">
        <v>18892</v>
      </c>
      <c r="K9090">
        <v>10452</v>
      </c>
      <c r="L9090" t="s">
        <v>18960</v>
      </c>
      <c r="M9090" t="s">
        <v>18960</v>
      </c>
      <c r="O9090" t="s">
        <v>26529</v>
      </c>
      <c r="P9090" t="s">
        <v>26565</v>
      </c>
      <c r="Q9090" t="s">
        <v>26571</v>
      </c>
      <c r="R9090" t="s">
        <v>26578</v>
      </c>
      <c r="U9090" t="s">
        <v>26604</v>
      </c>
      <c r="X9090">
        <v>0</v>
      </c>
      <c r="Y9090" t="s">
        <v>26650</v>
      </c>
      <c r="AA9090" t="s">
        <v>26682</v>
      </c>
      <c r="AB9090" t="s">
        <v>33212</v>
      </c>
      <c r="AE9090">
        <v>0</v>
      </c>
      <c r="AH9090">
        <v>0</v>
      </c>
      <c r="AI9090">
        <v>1</v>
      </c>
      <c r="AJ9090">
        <v>3</v>
      </c>
      <c r="AK9090">
        <v>38.25</v>
      </c>
      <c r="AN9090" t="s">
        <v>7439</v>
      </c>
      <c r="AO9090">
        <v>9600</v>
      </c>
      <c r="AP9090" t="s">
        <v>46139</v>
      </c>
      <c r="AU9090">
        <v>1.2</v>
      </c>
      <c r="AV9090" t="s">
        <v>586</v>
      </c>
      <c r="AW9090" t="s">
        <v>63</v>
      </c>
    </row>
    <row r="9091" spans="1:49">
      <c r="A9091" s="1">
        <f>HYPERLINK("https://lsnyc.legalserver.org/matter/dynamic-profile/view/1877633","18-1877633")</f>
        <v>0</v>
      </c>
      <c r="B9091" t="s">
        <v>63</v>
      </c>
      <c r="C9091" t="s">
        <v>341</v>
      </c>
      <c r="D9091" t="s">
        <v>586</v>
      </c>
      <c r="E9091" t="s">
        <v>586</v>
      </c>
      <c r="F9091" t="s">
        <v>1043</v>
      </c>
      <c r="G9091" t="s">
        <v>8927</v>
      </c>
      <c r="H9091" t="s">
        <v>15834</v>
      </c>
      <c r="I9091" t="s">
        <v>18636</v>
      </c>
      <c r="J9091" t="s">
        <v>18892</v>
      </c>
      <c r="K9091">
        <v>10451</v>
      </c>
      <c r="L9091" t="s">
        <v>18960</v>
      </c>
      <c r="M9091" t="s">
        <v>18960</v>
      </c>
      <c r="O9091" t="s">
        <v>26529</v>
      </c>
      <c r="P9091" t="s">
        <v>26564</v>
      </c>
      <c r="Q9091" t="s">
        <v>26570</v>
      </c>
      <c r="R9091" t="s">
        <v>26578</v>
      </c>
      <c r="U9091" t="s">
        <v>26607</v>
      </c>
      <c r="X9091">
        <v>0</v>
      </c>
      <c r="Y9091" t="s">
        <v>26650</v>
      </c>
      <c r="AA9091" t="s">
        <v>26683</v>
      </c>
      <c r="AB9091" t="s">
        <v>33213</v>
      </c>
      <c r="AD9091" t="s">
        <v>43889</v>
      </c>
      <c r="AE9091">
        <v>0</v>
      </c>
      <c r="AH9091">
        <v>0</v>
      </c>
      <c r="AI9091">
        <v>2</v>
      </c>
      <c r="AJ9091">
        <v>0</v>
      </c>
      <c r="AK9091">
        <v>303.77</v>
      </c>
      <c r="AN9091" t="s">
        <v>7439</v>
      </c>
      <c r="AO9091">
        <v>50000</v>
      </c>
      <c r="AP9091" t="s">
        <v>46139</v>
      </c>
      <c r="AU9091">
        <v>0.5</v>
      </c>
      <c r="AV9091" t="s">
        <v>586</v>
      </c>
      <c r="AW9091" t="s">
        <v>63</v>
      </c>
    </row>
    <row r="9092" spans="1:49">
      <c r="A9092" s="1">
        <f>HYPERLINK("https://lsnyc.legalserver.org/matter/dynamic-profile/view/1877775","18-1877775")</f>
        <v>0</v>
      </c>
      <c r="B9092" t="s">
        <v>127</v>
      </c>
      <c r="C9092" t="s">
        <v>341</v>
      </c>
      <c r="D9092" t="s">
        <v>571</v>
      </c>
      <c r="E9092" t="s">
        <v>786</v>
      </c>
      <c r="F9092" t="s">
        <v>4456</v>
      </c>
      <c r="G9092" t="s">
        <v>5200</v>
      </c>
      <c r="H9092" t="s">
        <v>15835</v>
      </c>
      <c r="I9092" t="s">
        <v>17306</v>
      </c>
      <c r="J9092" t="s">
        <v>18894</v>
      </c>
      <c r="K9092">
        <v>11213</v>
      </c>
      <c r="L9092" t="s">
        <v>18959</v>
      </c>
      <c r="M9092" t="s">
        <v>18960</v>
      </c>
      <c r="N9092" t="s">
        <v>25409</v>
      </c>
      <c r="O9092" t="s">
        <v>26523</v>
      </c>
      <c r="P9092" t="s">
        <v>26560</v>
      </c>
      <c r="Q9092" t="s">
        <v>26568</v>
      </c>
      <c r="R9092" t="s">
        <v>26578</v>
      </c>
      <c r="S9092" t="s">
        <v>18959</v>
      </c>
      <c r="U9092" t="s">
        <v>26604</v>
      </c>
      <c r="X9092">
        <v>1085</v>
      </c>
      <c r="Y9092" t="s">
        <v>26652</v>
      </c>
      <c r="Z9092" t="s">
        <v>26668</v>
      </c>
      <c r="AA9092" t="s">
        <v>26679</v>
      </c>
      <c r="AB9092" t="s">
        <v>33214</v>
      </c>
      <c r="AC9092" t="s">
        <v>34807</v>
      </c>
      <c r="AD9092" t="s">
        <v>43890</v>
      </c>
      <c r="AE9092">
        <v>25</v>
      </c>
      <c r="AF9092" t="s">
        <v>45541</v>
      </c>
      <c r="AG9092" t="s">
        <v>19330</v>
      </c>
      <c r="AH9092">
        <v>31</v>
      </c>
      <c r="AI9092">
        <v>2</v>
      </c>
      <c r="AJ9092">
        <v>0</v>
      </c>
      <c r="AK9092">
        <v>159.66</v>
      </c>
      <c r="AN9092" t="s">
        <v>7439</v>
      </c>
      <c r="AO9092">
        <v>26280</v>
      </c>
      <c r="AU9092">
        <v>24.9</v>
      </c>
      <c r="AV9092" t="s">
        <v>594</v>
      </c>
      <c r="AW9092" t="s">
        <v>279</v>
      </c>
    </row>
    <row r="9093" spans="1:49">
      <c r="A9093" s="1">
        <f>HYPERLINK("https://lsnyc.legalserver.org/matter/dynamic-profile/view/1877767","18-1877767")</f>
        <v>0</v>
      </c>
      <c r="B9093" t="s">
        <v>209</v>
      </c>
      <c r="C9093" t="s">
        <v>341</v>
      </c>
      <c r="D9093" t="s">
        <v>571</v>
      </c>
      <c r="E9093" t="s">
        <v>571</v>
      </c>
      <c r="F9093" t="s">
        <v>1021</v>
      </c>
      <c r="G9093" t="s">
        <v>6169</v>
      </c>
      <c r="H9093" t="s">
        <v>15836</v>
      </c>
      <c r="I9093" t="s">
        <v>17781</v>
      </c>
      <c r="J9093" t="s">
        <v>18900</v>
      </c>
      <c r="K9093">
        <v>11358</v>
      </c>
      <c r="L9093" t="s">
        <v>18960</v>
      </c>
      <c r="M9093" t="s">
        <v>18960</v>
      </c>
      <c r="P9093" t="s">
        <v>26564</v>
      </c>
      <c r="Q9093" t="s">
        <v>26570</v>
      </c>
      <c r="R9093" t="s">
        <v>26591</v>
      </c>
      <c r="U9093" t="s">
        <v>26604</v>
      </c>
      <c r="X9093">
        <v>400</v>
      </c>
      <c r="Y9093" t="s">
        <v>26653</v>
      </c>
      <c r="Z9093" t="s">
        <v>26657</v>
      </c>
      <c r="AA9093" t="s">
        <v>26683</v>
      </c>
      <c r="AB9093" t="s">
        <v>33215</v>
      </c>
      <c r="AD9093" t="s">
        <v>43891</v>
      </c>
      <c r="AE9093">
        <v>3</v>
      </c>
      <c r="AG9093" t="s">
        <v>19330</v>
      </c>
      <c r="AH9093">
        <v>6</v>
      </c>
      <c r="AI9093">
        <v>1</v>
      </c>
      <c r="AJ9093">
        <v>0</v>
      </c>
      <c r="AK9093">
        <v>178.62</v>
      </c>
      <c r="AN9093" t="s">
        <v>7439</v>
      </c>
      <c r="AO9093">
        <v>21684</v>
      </c>
      <c r="AU9093">
        <v>1.1</v>
      </c>
      <c r="AV9093" t="s">
        <v>571</v>
      </c>
      <c r="AW9093" t="s">
        <v>46858</v>
      </c>
    </row>
    <row r="9094" spans="1:49">
      <c r="A9094" s="1">
        <f>HYPERLINK("https://lsnyc.legalserver.org/matter/dynamic-profile/view/1877820","18-1877820")</f>
        <v>0</v>
      </c>
      <c r="B9094" t="s">
        <v>198</v>
      </c>
      <c r="C9094" t="s">
        <v>341</v>
      </c>
      <c r="D9094" t="s">
        <v>571</v>
      </c>
      <c r="E9094" t="s">
        <v>811</v>
      </c>
      <c r="F9094" t="s">
        <v>2002</v>
      </c>
      <c r="G9094" t="s">
        <v>7147</v>
      </c>
      <c r="H9094" t="s">
        <v>15837</v>
      </c>
      <c r="I9094" t="s">
        <v>18305</v>
      </c>
      <c r="J9094" t="s">
        <v>18894</v>
      </c>
      <c r="K9094">
        <v>11226</v>
      </c>
      <c r="L9094" t="s">
        <v>18960</v>
      </c>
      <c r="M9094" t="s">
        <v>18960</v>
      </c>
      <c r="Q9094" t="s">
        <v>26571</v>
      </c>
      <c r="R9094" t="s">
        <v>26578</v>
      </c>
      <c r="U9094" t="s">
        <v>26604</v>
      </c>
      <c r="X9094">
        <v>0</v>
      </c>
      <c r="Y9094" t="s">
        <v>26652</v>
      </c>
      <c r="AA9094" t="s">
        <v>26682</v>
      </c>
      <c r="AB9094" t="s">
        <v>30205</v>
      </c>
      <c r="AD9094" t="s">
        <v>43892</v>
      </c>
      <c r="AE9094">
        <v>0</v>
      </c>
      <c r="AH9094">
        <v>0</v>
      </c>
      <c r="AI9094">
        <v>2</v>
      </c>
      <c r="AJ9094">
        <v>1</v>
      </c>
      <c r="AK9094">
        <v>138.59</v>
      </c>
      <c r="AN9094" t="s">
        <v>7439</v>
      </c>
      <c r="AO9094">
        <v>28800</v>
      </c>
      <c r="AU9094">
        <v>2.4</v>
      </c>
      <c r="AV9094" t="s">
        <v>811</v>
      </c>
      <c r="AW9094" t="s">
        <v>198</v>
      </c>
    </row>
    <row r="9095" spans="1:49">
      <c r="A9095" s="1">
        <f>HYPERLINK("https://lsnyc.legalserver.org/matter/dynamic-profile/view/1877758","18-1877758")</f>
        <v>0</v>
      </c>
      <c r="B9095" t="s">
        <v>200</v>
      </c>
      <c r="C9095" t="s">
        <v>340</v>
      </c>
      <c r="D9095" t="s">
        <v>571</v>
      </c>
      <c r="F9095" t="s">
        <v>891</v>
      </c>
      <c r="G9095" t="s">
        <v>1279</v>
      </c>
      <c r="H9095" t="s">
        <v>15838</v>
      </c>
      <c r="I9095" t="s">
        <v>17361</v>
      </c>
      <c r="J9095" t="s">
        <v>18894</v>
      </c>
      <c r="K9095">
        <v>11212</v>
      </c>
      <c r="L9095" t="s">
        <v>18960</v>
      </c>
      <c r="M9095" t="s">
        <v>18960</v>
      </c>
      <c r="O9095" t="s">
        <v>26526</v>
      </c>
      <c r="R9095" t="s">
        <v>26591</v>
      </c>
      <c r="S9095" t="s">
        <v>18959</v>
      </c>
      <c r="U9095" t="s">
        <v>26604</v>
      </c>
      <c r="X9095">
        <v>1724</v>
      </c>
      <c r="Y9095" t="s">
        <v>26652</v>
      </c>
      <c r="Z9095" t="s">
        <v>26530</v>
      </c>
      <c r="AB9095" t="s">
        <v>33071</v>
      </c>
      <c r="AD9095" t="s">
        <v>43893</v>
      </c>
      <c r="AE9095">
        <v>200</v>
      </c>
      <c r="AF9095" t="s">
        <v>20460</v>
      </c>
      <c r="AG9095" t="s">
        <v>19330</v>
      </c>
      <c r="AH9095">
        <v>1</v>
      </c>
      <c r="AI9095">
        <v>2</v>
      </c>
      <c r="AJ9095">
        <v>1</v>
      </c>
      <c r="AK9095">
        <v>35.98</v>
      </c>
      <c r="AN9095" t="s">
        <v>7439</v>
      </c>
      <c r="AO9095">
        <v>7476</v>
      </c>
      <c r="AU9095">
        <v>0.9</v>
      </c>
      <c r="AV9095" t="s">
        <v>606</v>
      </c>
      <c r="AW9095" t="s">
        <v>46841</v>
      </c>
    </row>
    <row r="9096" spans="1:49">
      <c r="A9096" s="1">
        <f>HYPERLINK("https://lsnyc.legalserver.org/matter/dynamic-profile/view/1877763","18-1877763")</f>
        <v>0</v>
      </c>
      <c r="B9096" t="s">
        <v>200</v>
      </c>
      <c r="C9096" t="s">
        <v>340</v>
      </c>
      <c r="D9096" t="s">
        <v>571</v>
      </c>
      <c r="F9096" t="s">
        <v>1371</v>
      </c>
      <c r="G9096" t="s">
        <v>4160</v>
      </c>
      <c r="H9096" t="s">
        <v>15839</v>
      </c>
      <c r="I9096" t="s">
        <v>17290</v>
      </c>
      <c r="J9096" t="s">
        <v>18894</v>
      </c>
      <c r="K9096">
        <v>11233</v>
      </c>
      <c r="L9096" t="s">
        <v>18959</v>
      </c>
      <c r="M9096" t="s">
        <v>18960</v>
      </c>
      <c r="O9096" t="s">
        <v>26526</v>
      </c>
      <c r="R9096" t="s">
        <v>26583</v>
      </c>
      <c r="S9096" t="s">
        <v>18959</v>
      </c>
      <c r="U9096" t="s">
        <v>26604</v>
      </c>
      <c r="X9096">
        <v>1377.88</v>
      </c>
      <c r="Y9096" t="s">
        <v>26652</v>
      </c>
      <c r="Z9096" t="s">
        <v>26657</v>
      </c>
      <c r="AB9096" t="s">
        <v>33216</v>
      </c>
      <c r="AD9096" t="s">
        <v>43894</v>
      </c>
      <c r="AE9096">
        <v>32</v>
      </c>
      <c r="AF9096" t="s">
        <v>45541</v>
      </c>
      <c r="AG9096" t="s">
        <v>19330</v>
      </c>
      <c r="AH9096">
        <v>2</v>
      </c>
      <c r="AI9096">
        <v>2</v>
      </c>
      <c r="AJ9096">
        <v>0</v>
      </c>
      <c r="AK9096">
        <v>212.64</v>
      </c>
      <c r="AN9096" t="s">
        <v>7439</v>
      </c>
      <c r="AO9096">
        <v>35000</v>
      </c>
      <c r="AU9096">
        <v>0</v>
      </c>
      <c r="AW9096" t="s">
        <v>279</v>
      </c>
    </row>
    <row r="9097" spans="1:49">
      <c r="A9097" s="1">
        <f>HYPERLINK("https://lsnyc.legalserver.org/matter/dynamic-profile/view/1877857","18-1877857")</f>
        <v>0</v>
      </c>
      <c r="B9097" t="s">
        <v>74</v>
      </c>
      <c r="C9097" t="s">
        <v>341</v>
      </c>
      <c r="D9097" t="s">
        <v>588</v>
      </c>
      <c r="E9097" t="s">
        <v>618</v>
      </c>
      <c r="F9097" t="s">
        <v>4457</v>
      </c>
      <c r="G9097" t="s">
        <v>5269</v>
      </c>
      <c r="H9097" t="s">
        <v>15840</v>
      </c>
      <c r="I9097" t="s">
        <v>17480</v>
      </c>
      <c r="J9097" t="s">
        <v>18893</v>
      </c>
      <c r="K9097">
        <v>10029</v>
      </c>
      <c r="L9097" t="s">
        <v>18960</v>
      </c>
      <c r="M9097" t="s">
        <v>18960</v>
      </c>
      <c r="Q9097" t="s">
        <v>26570</v>
      </c>
      <c r="R9097" t="s">
        <v>26591</v>
      </c>
      <c r="U9097" t="s">
        <v>26605</v>
      </c>
      <c r="X9097">
        <v>630</v>
      </c>
      <c r="Y9097" t="s">
        <v>26651</v>
      </c>
      <c r="Z9097" t="s">
        <v>26661</v>
      </c>
      <c r="AA9097" t="s">
        <v>26683</v>
      </c>
      <c r="AB9097" t="s">
        <v>33217</v>
      </c>
      <c r="AD9097" t="s">
        <v>43895</v>
      </c>
      <c r="AE9097">
        <v>200</v>
      </c>
      <c r="AF9097" t="s">
        <v>45549</v>
      </c>
      <c r="AH9097">
        <v>20</v>
      </c>
      <c r="AI9097">
        <v>1</v>
      </c>
      <c r="AJ9097">
        <v>0</v>
      </c>
      <c r="AK9097">
        <v>74.43000000000001</v>
      </c>
      <c r="AN9097" t="s">
        <v>7439</v>
      </c>
      <c r="AO9097">
        <v>9036</v>
      </c>
      <c r="AU9097">
        <v>1</v>
      </c>
      <c r="AV9097" t="s">
        <v>588</v>
      </c>
      <c r="AW9097" t="s">
        <v>46843</v>
      </c>
    </row>
    <row r="9098" spans="1:49">
      <c r="A9098" s="1">
        <f>HYPERLINK("https://lsnyc.legalserver.org/matter/dynamic-profile/view/1877856","18-1877856")</f>
        <v>0</v>
      </c>
      <c r="B9098" t="s">
        <v>227</v>
      </c>
      <c r="C9098" t="s">
        <v>341</v>
      </c>
      <c r="D9098" t="s">
        <v>588</v>
      </c>
      <c r="E9098" t="s">
        <v>589</v>
      </c>
      <c r="F9098" t="s">
        <v>4458</v>
      </c>
      <c r="G9098" t="s">
        <v>5575</v>
      </c>
      <c r="H9098" t="s">
        <v>15841</v>
      </c>
      <c r="I9098" t="s">
        <v>17316</v>
      </c>
      <c r="J9098" t="s">
        <v>18894</v>
      </c>
      <c r="K9098">
        <v>11216</v>
      </c>
      <c r="L9098" t="s">
        <v>18959</v>
      </c>
      <c r="M9098" t="s">
        <v>18960</v>
      </c>
      <c r="N9098" t="s">
        <v>25410</v>
      </c>
      <c r="O9098" t="s">
        <v>26523</v>
      </c>
      <c r="P9098" t="s">
        <v>26560</v>
      </c>
      <c r="Q9098" t="s">
        <v>26568</v>
      </c>
      <c r="R9098" t="s">
        <v>26588</v>
      </c>
      <c r="U9098" t="s">
        <v>26604</v>
      </c>
      <c r="X9098">
        <v>1289</v>
      </c>
      <c r="Y9098" t="s">
        <v>26652</v>
      </c>
      <c r="Z9098" t="s">
        <v>26669</v>
      </c>
      <c r="AA9098" t="s">
        <v>26678</v>
      </c>
      <c r="AB9098" t="s">
        <v>30251</v>
      </c>
      <c r="AD9098" t="s">
        <v>43896</v>
      </c>
      <c r="AE9098">
        <v>2</v>
      </c>
      <c r="AG9098" t="s">
        <v>26530</v>
      </c>
      <c r="AH9098">
        <v>23</v>
      </c>
      <c r="AI9098">
        <v>3</v>
      </c>
      <c r="AJ9098">
        <v>0</v>
      </c>
      <c r="AK9098">
        <v>60.64</v>
      </c>
      <c r="AN9098" t="s">
        <v>7439</v>
      </c>
      <c r="AO9098">
        <v>12600</v>
      </c>
      <c r="AQ9098" t="s">
        <v>46359</v>
      </c>
      <c r="AR9098" t="s">
        <v>46422</v>
      </c>
      <c r="AS9098" t="s">
        <v>46499</v>
      </c>
      <c r="AT9098" t="s">
        <v>46530</v>
      </c>
      <c r="AU9098">
        <v>3</v>
      </c>
      <c r="AV9098" t="s">
        <v>588</v>
      </c>
      <c r="AW9098" t="s">
        <v>46862</v>
      </c>
    </row>
    <row r="9099" spans="1:49">
      <c r="A9099" s="1">
        <f>HYPERLINK("https://lsnyc.legalserver.org/matter/dynamic-profile/view/1877919","18-1877919")</f>
        <v>0</v>
      </c>
      <c r="B9099" t="s">
        <v>110</v>
      </c>
      <c r="C9099" t="s">
        <v>341</v>
      </c>
      <c r="D9099" t="s">
        <v>588</v>
      </c>
      <c r="E9099" t="s">
        <v>618</v>
      </c>
      <c r="F9099" t="s">
        <v>4459</v>
      </c>
      <c r="G9099" t="s">
        <v>8928</v>
      </c>
      <c r="H9099" t="s">
        <v>15842</v>
      </c>
      <c r="I9099" t="s">
        <v>17582</v>
      </c>
      <c r="J9099" t="s">
        <v>18900</v>
      </c>
      <c r="K9099">
        <v>11355</v>
      </c>
      <c r="L9099" t="s">
        <v>18960</v>
      </c>
      <c r="M9099" t="s">
        <v>18960</v>
      </c>
      <c r="Q9099" t="s">
        <v>26570</v>
      </c>
      <c r="R9099" t="s">
        <v>26591</v>
      </c>
      <c r="U9099" t="s">
        <v>26604</v>
      </c>
      <c r="X9099">
        <v>0</v>
      </c>
      <c r="Y9099" t="s">
        <v>26653</v>
      </c>
      <c r="AA9099" t="s">
        <v>26683</v>
      </c>
      <c r="AB9099" t="s">
        <v>33218</v>
      </c>
      <c r="AD9099" t="s">
        <v>43897</v>
      </c>
      <c r="AE9099">
        <v>2</v>
      </c>
      <c r="AH9099">
        <v>3</v>
      </c>
      <c r="AI9099">
        <v>1</v>
      </c>
      <c r="AJ9099">
        <v>0</v>
      </c>
      <c r="AK9099">
        <v>0</v>
      </c>
      <c r="AN9099" t="s">
        <v>45593</v>
      </c>
      <c r="AO9099">
        <v>0</v>
      </c>
      <c r="AU9099">
        <v>2.65</v>
      </c>
      <c r="AV9099" t="s">
        <v>618</v>
      </c>
      <c r="AW9099" t="s">
        <v>46857</v>
      </c>
    </row>
    <row r="9100" spans="1:49">
      <c r="A9100" s="1">
        <f>HYPERLINK("https://lsnyc.legalserver.org/matter/dynamic-profile/view/1877912","18-1877912")</f>
        <v>0</v>
      </c>
      <c r="B9100" t="s">
        <v>200</v>
      </c>
      <c r="C9100" t="s">
        <v>340</v>
      </c>
      <c r="D9100" t="s">
        <v>588</v>
      </c>
      <c r="F9100" t="s">
        <v>4460</v>
      </c>
      <c r="G9100" t="s">
        <v>8929</v>
      </c>
      <c r="H9100" t="s">
        <v>15843</v>
      </c>
      <c r="I9100" t="s">
        <v>17919</v>
      </c>
      <c r="J9100" t="s">
        <v>18894</v>
      </c>
      <c r="K9100">
        <v>11206</v>
      </c>
      <c r="L9100" t="s">
        <v>18960</v>
      </c>
      <c r="M9100" t="s">
        <v>18960</v>
      </c>
      <c r="R9100" t="s">
        <v>26591</v>
      </c>
      <c r="U9100" t="s">
        <v>26605</v>
      </c>
      <c r="X9100">
        <v>418</v>
      </c>
      <c r="Y9100" t="s">
        <v>26652</v>
      </c>
      <c r="AB9100" t="s">
        <v>26849</v>
      </c>
      <c r="AD9100" t="s">
        <v>43898</v>
      </c>
      <c r="AE9100">
        <v>24</v>
      </c>
      <c r="AH9100">
        <v>7</v>
      </c>
      <c r="AI9100">
        <v>2</v>
      </c>
      <c r="AJ9100">
        <v>0</v>
      </c>
      <c r="AK9100">
        <v>121.51</v>
      </c>
      <c r="AN9100" t="s">
        <v>45593</v>
      </c>
      <c r="AO9100">
        <v>20000</v>
      </c>
      <c r="AU9100">
        <v>1</v>
      </c>
      <c r="AV9100" t="s">
        <v>588</v>
      </c>
      <c r="AW9100" t="s">
        <v>46857</v>
      </c>
    </row>
    <row r="9101" spans="1:49">
      <c r="A9101" s="1">
        <f>HYPERLINK("https://lsnyc.legalserver.org/matter/dynamic-profile/view/1877968","18-1877968")</f>
        <v>0</v>
      </c>
      <c r="B9101" t="s">
        <v>209</v>
      </c>
      <c r="C9101" t="s">
        <v>341</v>
      </c>
      <c r="D9101" t="s">
        <v>572</v>
      </c>
      <c r="E9101" t="s">
        <v>534</v>
      </c>
      <c r="F9101" t="s">
        <v>1251</v>
      </c>
      <c r="G9101" t="s">
        <v>8930</v>
      </c>
      <c r="H9101" t="s">
        <v>15844</v>
      </c>
      <c r="I9101" t="s">
        <v>17808</v>
      </c>
      <c r="J9101" t="s">
        <v>18900</v>
      </c>
      <c r="K9101">
        <v>11358</v>
      </c>
      <c r="L9101" t="s">
        <v>18960</v>
      </c>
      <c r="M9101" t="s">
        <v>18960</v>
      </c>
      <c r="P9101" t="s">
        <v>26564</v>
      </c>
      <c r="Q9101" t="s">
        <v>26570</v>
      </c>
      <c r="R9101" t="s">
        <v>26591</v>
      </c>
      <c r="U9101" t="s">
        <v>26604</v>
      </c>
      <c r="X9101">
        <v>0</v>
      </c>
      <c r="Y9101" t="s">
        <v>26653</v>
      </c>
      <c r="AA9101" t="s">
        <v>26683</v>
      </c>
      <c r="AB9101" t="s">
        <v>33219</v>
      </c>
      <c r="AD9101" t="s">
        <v>43899</v>
      </c>
      <c r="AE9101">
        <v>0</v>
      </c>
      <c r="AH9101">
        <v>0</v>
      </c>
      <c r="AI9101">
        <v>1</v>
      </c>
      <c r="AJ9101">
        <v>0</v>
      </c>
      <c r="AK9101">
        <v>0</v>
      </c>
      <c r="AN9101" t="s">
        <v>7439</v>
      </c>
      <c r="AO9101">
        <v>0</v>
      </c>
      <c r="AU9101">
        <v>0.4</v>
      </c>
      <c r="AV9101" t="s">
        <v>534</v>
      </c>
      <c r="AW9101" t="s">
        <v>46849</v>
      </c>
    </row>
    <row r="9102" spans="1:49">
      <c r="A9102" s="1">
        <f>HYPERLINK("https://lsnyc.legalserver.org/matter/dynamic-profile/view/1877980","18-1877980")</f>
        <v>0</v>
      </c>
      <c r="B9102" t="s">
        <v>198</v>
      </c>
      <c r="C9102" t="s">
        <v>341</v>
      </c>
      <c r="D9102" t="s">
        <v>572</v>
      </c>
      <c r="E9102" t="s">
        <v>540</v>
      </c>
      <c r="F9102" t="s">
        <v>939</v>
      </c>
      <c r="G9102" t="s">
        <v>6218</v>
      </c>
      <c r="H9102" t="s">
        <v>15845</v>
      </c>
      <c r="I9102" t="s">
        <v>17569</v>
      </c>
      <c r="J9102" t="s">
        <v>18894</v>
      </c>
      <c r="K9102">
        <v>11212</v>
      </c>
      <c r="L9102" t="s">
        <v>18960</v>
      </c>
      <c r="M9102" t="s">
        <v>18960</v>
      </c>
      <c r="Q9102" t="s">
        <v>26570</v>
      </c>
      <c r="R9102" t="s">
        <v>26578</v>
      </c>
      <c r="U9102" t="s">
        <v>26604</v>
      </c>
      <c r="X9102">
        <v>0</v>
      </c>
      <c r="Y9102" t="s">
        <v>26652</v>
      </c>
      <c r="AA9102" t="s">
        <v>26683</v>
      </c>
      <c r="AB9102" t="s">
        <v>33220</v>
      </c>
      <c r="AE9102">
        <v>0</v>
      </c>
      <c r="AH9102">
        <v>0</v>
      </c>
      <c r="AI9102">
        <v>1</v>
      </c>
      <c r="AJ9102">
        <v>0</v>
      </c>
      <c r="AK9102">
        <v>0</v>
      </c>
      <c r="AN9102" t="s">
        <v>7439</v>
      </c>
      <c r="AO9102">
        <v>0</v>
      </c>
      <c r="AU9102">
        <v>0.8</v>
      </c>
      <c r="AV9102" t="s">
        <v>540</v>
      </c>
      <c r="AW9102" t="s">
        <v>198</v>
      </c>
    </row>
    <row r="9103" spans="1:49">
      <c r="A9103" s="1">
        <f>HYPERLINK("https://lsnyc.legalserver.org/matter/dynamic-profile/view/1877984","18-1877984")</f>
        <v>0</v>
      </c>
      <c r="B9103" t="s">
        <v>198</v>
      </c>
      <c r="C9103" t="s">
        <v>341</v>
      </c>
      <c r="D9103" t="s">
        <v>572</v>
      </c>
      <c r="E9103" t="s">
        <v>687</v>
      </c>
      <c r="F9103" t="s">
        <v>2004</v>
      </c>
      <c r="G9103" t="s">
        <v>8931</v>
      </c>
      <c r="H9103" t="s">
        <v>15846</v>
      </c>
      <c r="I9103" t="s">
        <v>18637</v>
      </c>
      <c r="J9103" t="s">
        <v>18894</v>
      </c>
      <c r="K9103">
        <v>11215</v>
      </c>
      <c r="L9103" t="s">
        <v>18960</v>
      </c>
      <c r="M9103" t="s">
        <v>18960</v>
      </c>
      <c r="Q9103" t="s">
        <v>26570</v>
      </c>
      <c r="R9103" t="s">
        <v>26578</v>
      </c>
      <c r="U9103" t="s">
        <v>26606</v>
      </c>
      <c r="X9103">
        <v>0</v>
      </c>
      <c r="Y9103" t="s">
        <v>26652</v>
      </c>
      <c r="AA9103" t="s">
        <v>26683</v>
      </c>
      <c r="AB9103" t="s">
        <v>33221</v>
      </c>
      <c r="AD9103" t="s">
        <v>43900</v>
      </c>
      <c r="AE9103">
        <v>0</v>
      </c>
      <c r="AH9103">
        <v>0</v>
      </c>
      <c r="AI9103">
        <v>1</v>
      </c>
      <c r="AJ9103">
        <v>0</v>
      </c>
      <c r="AK9103">
        <v>38.15</v>
      </c>
      <c r="AN9103" t="s">
        <v>7439</v>
      </c>
      <c r="AO9103">
        <v>4632</v>
      </c>
      <c r="AU9103">
        <v>1.45</v>
      </c>
      <c r="AV9103" t="s">
        <v>677</v>
      </c>
      <c r="AW9103" t="s">
        <v>198</v>
      </c>
    </row>
    <row r="9104" spans="1:49">
      <c r="A9104" s="1">
        <f>HYPERLINK("https://lsnyc.legalserver.org/matter/dynamic-profile/view/1878036","18-1878036")</f>
        <v>0</v>
      </c>
      <c r="B9104" t="s">
        <v>198</v>
      </c>
      <c r="C9104" t="s">
        <v>341</v>
      </c>
      <c r="D9104" t="s">
        <v>572</v>
      </c>
      <c r="E9104" t="s">
        <v>764</v>
      </c>
      <c r="F9104" t="s">
        <v>974</v>
      </c>
      <c r="G9104" t="s">
        <v>8932</v>
      </c>
      <c r="H9104" t="s">
        <v>15847</v>
      </c>
      <c r="I9104" t="s">
        <v>17288</v>
      </c>
      <c r="J9104" t="s">
        <v>18894</v>
      </c>
      <c r="K9104">
        <v>11226</v>
      </c>
      <c r="L9104" t="s">
        <v>18960</v>
      </c>
      <c r="M9104" t="s">
        <v>18960</v>
      </c>
      <c r="O9104" t="s">
        <v>26523</v>
      </c>
      <c r="Q9104" t="s">
        <v>26569</v>
      </c>
      <c r="R9104" t="s">
        <v>26578</v>
      </c>
      <c r="U9104" t="s">
        <v>26604</v>
      </c>
      <c r="X9104">
        <v>0</v>
      </c>
      <c r="Y9104" t="s">
        <v>26652</v>
      </c>
      <c r="AA9104" t="s">
        <v>26681</v>
      </c>
      <c r="AB9104" t="s">
        <v>33222</v>
      </c>
      <c r="AD9104" t="s">
        <v>43901</v>
      </c>
      <c r="AE9104">
        <v>0</v>
      </c>
      <c r="AH9104">
        <v>0</v>
      </c>
      <c r="AI9104">
        <v>1</v>
      </c>
      <c r="AJ9104">
        <v>0</v>
      </c>
      <c r="AK9104">
        <v>214.17</v>
      </c>
      <c r="AN9104" t="s">
        <v>7439</v>
      </c>
      <c r="AO9104">
        <v>26000</v>
      </c>
      <c r="AU9104">
        <v>3</v>
      </c>
      <c r="AV9104" t="s">
        <v>764</v>
      </c>
      <c r="AW9104" t="s">
        <v>198</v>
      </c>
    </row>
    <row r="9105" spans="1:49">
      <c r="A9105" s="1">
        <f>HYPERLINK("https://lsnyc.legalserver.org/matter/dynamic-profile/view/1878038","18-1878038")</f>
        <v>0</v>
      </c>
      <c r="B9105" t="s">
        <v>85</v>
      </c>
      <c r="C9105" t="s">
        <v>340</v>
      </c>
      <c r="D9105" t="s">
        <v>572</v>
      </c>
      <c r="F9105" t="s">
        <v>2076</v>
      </c>
      <c r="G9105" t="s">
        <v>8933</v>
      </c>
      <c r="H9105" t="s">
        <v>15848</v>
      </c>
      <c r="I9105">
        <v>509</v>
      </c>
      <c r="J9105" t="s">
        <v>18900</v>
      </c>
      <c r="K9105">
        <v>11354</v>
      </c>
      <c r="L9105" t="s">
        <v>18959</v>
      </c>
      <c r="M9105" t="s">
        <v>18958</v>
      </c>
      <c r="N9105" t="s">
        <v>19045</v>
      </c>
      <c r="O9105" t="s">
        <v>18997</v>
      </c>
      <c r="P9105" t="s">
        <v>26562</v>
      </c>
      <c r="R9105" t="s">
        <v>26578</v>
      </c>
      <c r="S9105" t="s">
        <v>18959</v>
      </c>
      <c r="U9105" t="s">
        <v>26604</v>
      </c>
      <c r="V9105" t="s">
        <v>26610</v>
      </c>
      <c r="X9105">
        <v>541</v>
      </c>
      <c r="Y9105" t="s">
        <v>26653</v>
      </c>
      <c r="Z9105" t="s">
        <v>26661</v>
      </c>
      <c r="AB9105" t="s">
        <v>33223</v>
      </c>
      <c r="AE9105">
        <v>80</v>
      </c>
      <c r="AF9105" t="s">
        <v>20460</v>
      </c>
      <c r="AG9105" t="s">
        <v>19330</v>
      </c>
      <c r="AH9105">
        <v>23</v>
      </c>
      <c r="AI9105">
        <v>1</v>
      </c>
      <c r="AJ9105">
        <v>0</v>
      </c>
      <c r="AK9105">
        <v>70.70999999999999</v>
      </c>
      <c r="AN9105" t="s">
        <v>45581</v>
      </c>
      <c r="AO9105">
        <v>8584</v>
      </c>
      <c r="AU9105">
        <v>2.15</v>
      </c>
      <c r="AV9105" t="s">
        <v>635</v>
      </c>
      <c r="AW9105" t="s">
        <v>46846</v>
      </c>
    </row>
    <row r="9106" spans="1:49">
      <c r="A9106" s="1">
        <f>HYPERLINK("https://lsnyc.legalserver.org/matter/dynamic-profile/view/1878024","18-1878024")</f>
        <v>0</v>
      </c>
      <c r="B9106" t="s">
        <v>110</v>
      </c>
      <c r="C9106" t="s">
        <v>340</v>
      </c>
      <c r="D9106" t="s">
        <v>572</v>
      </c>
      <c r="F9106" t="s">
        <v>1106</v>
      </c>
      <c r="G9106" t="s">
        <v>8934</v>
      </c>
      <c r="H9106" t="s">
        <v>15849</v>
      </c>
      <c r="I9106" t="s">
        <v>17376</v>
      </c>
      <c r="J9106" t="s">
        <v>18904</v>
      </c>
      <c r="K9106">
        <v>11421</v>
      </c>
      <c r="L9106" t="s">
        <v>18960</v>
      </c>
      <c r="M9106" t="s">
        <v>18960</v>
      </c>
      <c r="O9106" t="s">
        <v>26529</v>
      </c>
      <c r="P9106" t="s">
        <v>26564</v>
      </c>
      <c r="R9106" t="s">
        <v>26591</v>
      </c>
      <c r="S9106" t="s">
        <v>18959</v>
      </c>
      <c r="U9106" t="s">
        <v>26604</v>
      </c>
      <c r="X9106">
        <v>890</v>
      </c>
      <c r="Y9106" t="s">
        <v>26653</v>
      </c>
      <c r="Z9106" t="s">
        <v>26657</v>
      </c>
      <c r="AB9106" t="s">
        <v>33224</v>
      </c>
      <c r="AE9106">
        <v>32</v>
      </c>
      <c r="AF9106" t="s">
        <v>45541</v>
      </c>
      <c r="AG9106" t="s">
        <v>19330</v>
      </c>
      <c r="AH9106">
        <v>20</v>
      </c>
      <c r="AI9106">
        <v>1</v>
      </c>
      <c r="AJ9106">
        <v>0</v>
      </c>
      <c r="AK9106">
        <v>49.42</v>
      </c>
      <c r="AN9106" t="s">
        <v>7439</v>
      </c>
      <c r="AO9106">
        <v>6000</v>
      </c>
      <c r="AU9106">
        <v>0.76</v>
      </c>
      <c r="AV9106" t="s">
        <v>534</v>
      </c>
      <c r="AW9106" t="s">
        <v>46860</v>
      </c>
    </row>
    <row r="9107" spans="1:49">
      <c r="A9107" s="1">
        <f>HYPERLINK("https://lsnyc.legalserver.org/matter/dynamic-profile/view/1878017","18-1878017")</f>
        <v>0</v>
      </c>
      <c r="B9107" t="s">
        <v>200</v>
      </c>
      <c r="C9107" t="s">
        <v>340</v>
      </c>
      <c r="D9107" t="s">
        <v>572</v>
      </c>
      <c r="F9107" t="s">
        <v>1021</v>
      </c>
      <c r="G9107" t="s">
        <v>5241</v>
      </c>
      <c r="H9107" t="s">
        <v>15850</v>
      </c>
      <c r="I9107" t="s">
        <v>18638</v>
      </c>
      <c r="J9107" t="s">
        <v>18894</v>
      </c>
      <c r="K9107">
        <v>11221</v>
      </c>
      <c r="L9107" t="s">
        <v>18960</v>
      </c>
      <c r="M9107" t="s">
        <v>18960</v>
      </c>
      <c r="R9107" t="s">
        <v>26583</v>
      </c>
      <c r="U9107" t="s">
        <v>26604</v>
      </c>
      <c r="X9107">
        <v>1128</v>
      </c>
      <c r="Y9107" t="s">
        <v>26652</v>
      </c>
      <c r="AB9107" t="s">
        <v>33225</v>
      </c>
      <c r="AD9107" t="s">
        <v>43902</v>
      </c>
      <c r="AE9107">
        <v>54</v>
      </c>
      <c r="AH9107">
        <v>6</v>
      </c>
      <c r="AI9107">
        <v>1</v>
      </c>
      <c r="AJ9107">
        <v>0</v>
      </c>
      <c r="AK9107">
        <v>494.23</v>
      </c>
      <c r="AN9107" t="s">
        <v>7439</v>
      </c>
      <c r="AO9107">
        <v>60000</v>
      </c>
      <c r="AU9107">
        <v>1</v>
      </c>
      <c r="AV9107" t="s">
        <v>583</v>
      </c>
      <c r="AW9107" t="s">
        <v>46850</v>
      </c>
    </row>
    <row r="9108" spans="1:49">
      <c r="A9108" s="1">
        <f>HYPERLINK("https://lsnyc.legalserver.org/matter/dynamic-profile/view/1877992","18-1877992")</f>
        <v>0</v>
      </c>
      <c r="B9108" t="s">
        <v>170</v>
      </c>
      <c r="C9108" t="s">
        <v>340</v>
      </c>
      <c r="D9108" t="s">
        <v>572</v>
      </c>
      <c r="F9108" t="s">
        <v>4461</v>
      </c>
      <c r="G9108" t="s">
        <v>5008</v>
      </c>
      <c r="H9108" t="s">
        <v>15851</v>
      </c>
      <c r="I9108" t="s">
        <v>17291</v>
      </c>
      <c r="J9108" t="s">
        <v>18894</v>
      </c>
      <c r="K9108">
        <v>11236</v>
      </c>
      <c r="L9108" t="s">
        <v>18959</v>
      </c>
      <c r="M9108" t="s">
        <v>18960</v>
      </c>
      <c r="N9108" t="s">
        <v>25411</v>
      </c>
      <c r="O9108" t="s">
        <v>26524</v>
      </c>
      <c r="P9108" t="s">
        <v>26560</v>
      </c>
      <c r="R9108" t="s">
        <v>26586</v>
      </c>
      <c r="U9108" t="s">
        <v>26604</v>
      </c>
      <c r="X9108">
        <v>0</v>
      </c>
      <c r="Y9108" t="s">
        <v>26652</v>
      </c>
      <c r="AB9108" t="s">
        <v>33226</v>
      </c>
      <c r="AD9108" t="s">
        <v>43903</v>
      </c>
      <c r="AE9108">
        <v>0</v>
      </c>
      <c r="AH9108">
        <v>7</v>
      </c>
      <c r="AI9108">
        <v>1</v>
      </c>
      <c r="AJ9108">
        <v>2</v>
      </c>
      <c r="AK9108">
        <v>97.70999999999999</v>
      </c>
      <c r="AN9108" t="s">
        <v>7439</v>
      </c>
      <c r="AO9108">
        <v>20304</v>
      </c>
      <c r="AU9108">
        <v>22.1</v>
      </c>
      <c r="AV9108" t="s">
        <v>786</v>
      </c>
      <c r="AW9108" t="s">
        <v>46853</v>
      </c>
    </row>
    <row r="9109" spans="1:49">
      <c r="A9109" s="1">
        <f>HYPERLINK("https://lsnyc.legalserver.org/matter/dynamic-profile/view/1878191","18-1878191")</f>
        <v>0</v>
      </c>
      <c r="B9109" t="s">
        <v>310</v>
      </c>
      <c r="C9109" t="s">
        <v>341</v>
      </c>
      <c r="D9109" t="s">
        <v>534</v>
      </c>
      <c r="E9109" t="s">
        <v>494</v>
      </c>
      <c r="F9109" t="s">
        <v>1352</v>
      </c>
      <c r="G9109" t="s">
        <v>5054</v>
      </c>
      <c r="H9109" t="s">
        <v>15852</v>
      </c>
      <c r="J9109" t="s">
        <v>18913</v>
      </c>
      <c r="K9109">
        <v>11103</v>
      </c>
      <c r="L9109" t="s">
        <v>18960</v>
      </c>
      <c r="M9109" t="s">
        <v>18960</v>
      </c>
      <c r="N9109" t="s">
        <v>25412</v>
      </c>
      <c r="O9109" t="s">
        <v>26523</v>
      </c>
      <c r="Q9109" t="s">
        <v>26570</v>
      </c>
      <c r="R9109" t="s">
        <v>26581</v>
      </c>
      <c r="U9109" t="s">
        <v>26604</v>
      </c>
      <c r="X9109">
        <v>1818</v>
      </c>
      <c r="Y9109" t="s">
        <v>26653</v>
      </c>
      <c r="AA9109" t="s">
        <v>26683</v>
      </c>
      <c r="AB9109" t="s">
        <v>33227</v>
      </c>
      <c r="AD9109" t="s">
        <v>43904</v>
      </c>
      <c r="AE9109">
        <v>0</v>
      </c>
      <c r="AH9109">
        <v>6</v>
      </c>
      <c r="AI9109">
        <v>1</v>
      </c>
      <c r="AJ9109">
        <v>0</v>
      </c>
      <c r="AK9109">
        <v>0</v>
      </c>
      <c r="AO9109">
        <v>0</v>
      </c>
      <c r="AU9109">
        <v>6.25</v>
      </c>
      <c r="AV9109" t="s">
        <v>718</v>
      </c>
      <c r="AW9109" t="s">
        <v>215</v>
      </c>
    </row>
    <row r="9110" spans="1:49">
      <c r="A9110" s="1">
        <f>HYPERLINK("https://lsnyc.legalserver.org/matter/dynamic-profile/view/1878060","18-1878060")</f>
        <v>0</v>
      </c>
      <c r="B9110" t="s">
        <v>74</v>
      </c>
      <c r="C9110" t="s">
        <v>341</v>
      </c>
      <c r="D9110" t="s">
        <v>534</v>
      </c>
      <c r="E9110" t="s">
        <v>618</v>
      </c>
      <c r="F9110" t="s">
        <v>1638</v>
      </c>
      <c r="G9110" t="s">
        <v>8935</v>
      </c>
      <c r="H9110" t="s">
        <v>15853</v>
      </c>
      <c r="I9110" t="s">
        <v>17272</v>
      </c>
      <c r="J9110" t="s">
        <v>18893</v>
      </c>
      <c r="K9110">
        <v>10029</v>
      </c>
      <c r="L9110" t="s">
        <v>18960</v>
      </c>
      <c r="M9110" t="s">
        <v>18960</v>
      </c>
      <c r="Q9110" t="s">
        <v>26570</v>
      </c>
      <c r="R9110" t="s">
        <v>26591</v>
      </c>
      <c r="U9110" t="s">
        <v>26605</v>
      </c>
      <c r="X9110">
        <v>654</v>
      </c>
      <c r="Y9110" t="s">
        <v>26651</v>
      </c>
      <c r="Z9110" t="s">
        <v>26530</v>
      </c>
      <c r="AA9110" t="s">
        <v>26683</v>
      </c>
      <c r="AB9110" t="s">
        <v>30105</v>
      </c>
      <c r="AD9110" t="s">
        <v>43905</v>
      </c>
      <c r="AE9110">
        <v>28</v>
      </c>
      <c r="AF9110" t="s">
        <v>45542</v>
      </c>
      <c r="AG9110" t="s">
        <v>19330</v>
      </c>
      <c r="AH9110">
        <v>28</v>
      </c>
      <c r="AI9110">
        <v>3</v>
      </c>
      <c r="AJ9110">
        <v>0</v>
      </c>
      <c r="AK9110">
        <v>40.77</v>
      </c>
      <c r="AN9110" t="s">
        <v>7439</v>
      </c>
      <c r="AO9110">
        <v>8472</v>
      </c>
      <c r="AU9110">
        <v>1</v>
      </c>
      <c r="AV9110" t="s">
        <v>534</v>
      </c>
      <c r="AW9110" t="s">
        <v>46846</v>
      </c>
    </row>
    <row r="9111" spans="1:49">
      <c r="A9111" s="1">
        <f>HYPERLINK("https://lsnyc.legalserver.org/matter/dynamic-profile/view/1878104","18-1878104")</f>
        <v>0</v>
      </c>
      <c r="B9111" t="s">
        <v>186</v>
      </c>
      <c r="C9111" t="s">
        <v>340</v>
      </c>
      <c r="D9111" t="s">
        <v>534</v>
      </c>
      <c r="F9111" t="s">
        <v>3718</v>
      </c>
      <c r="G9111" t="s">
        <v>8936</v>
      </c>
      <c r="H9111" t="s">
        <v>15854</v>
      </c>
      <c r="I9111" t="s">
        <v>17291</v>
      </c>
      <c r="J9111" t="s">
        <v>18894</v>
      </c>
      <c r="K9111">
        <v>11237</v>
      </c>
      <c r="L9111" t="s">
        <v>18960</v>
      </c>
      <c r="M9111" t="s">
        <v>18960</v>
      </c>
      <c r="P9111" t="s">
        <v>26560</v>
      </c>
      <c r="R9111" t="s">
        <v>26578</v>
      </c>
      <c r="U9111" t="s">
        <v>26604</v>
      </c>
      <c r="X9111">
        <v>0</v>
      </c>
      <c r="Y9111" t="s">
        <v>26652</v>
      </c>
      <c r="AB9111" t="s">
        <v>29792</v>
      </c>
      <c r="AD9111" t="s">
        <v>43906</v>
      </c>
      <c r="AE9111">
        <v>0</v>
      </c>
      <c r="AH9111">
        <v>0</v>
      </c>
      <c r="AI9111">
        <v>1</v>
      </c>
      <c r="AJ9111">
        <v>0</v>
      </c>
      <c r="AK9111">
        <v>72.65000000000001</v>
      </c>
      <c r="AN9111" t="s">
        <v>7439</v>
      </c>
      <c r="AO9111">
        <v>8820</v>
      </c>
      <c r="AU9111">
        <v>21.65</v>
      </c>
      <c r="AV9111" t="s">
        <v>834</v>
      </c>
      <c r="AW9111" t="s">
        <v>46882</v>
      </c>
    </row>
    <row r="9112" spans="1:49">
      <c r="A9112" s="1">
        <f>HYPERLINK("https://lsnyc.legalserver.org/matter/dynamic-profile/view/1867944","18-1867944")</f>
        <v>0</v>
      </c>
      <c r="B9112" t="s">
        <v>103</v>
      </c>
      <c r="C9112" t="s">
        <v>340</v>
      </c>
      <c r="D9112" t="s">
        <v>534</v>
      </c>
      <c r="F9112" t="s">
        <v>1756</v>
      </c>
      <c r="G9112" t="s">
        <v>8937</v>
      </c>
      <c r="H9112" t="s">
        <v>12559</v>
      </c>
      <c r="I9112">
        <v>423</v>
      </c>
      <c r="J9112" t="s">
        <v>18902</v>
      </c>
      <c r="K9112">
        <v>10314</v>
      </c>
      <c r="L9112" t="s">
        <v>18959</v>
      </c>
      <c r="M9112" t="s">
        <v>18959</v>
      </c>
      <c r="N9112" t="s">
        <v>19037</v>
      </c>
      <c r="O9112" t="s">
        <v>18997</v>
      </c>
      <c r="P9112" t="s">
        <v>26564</v>
      </c>
      <c r="R9112" t="s">
        <v>26587</v>
      </c>
      <c r="S9112" t="s">
        <v>18959</v>
      </c>
      <c r="U9112" t="s">
        <v>26604</v>
      </c>
      <c r="V9112" t="s">
        <v>26610</v>
      </c>
      <c r="X9112">
        <v>0</v>
      </c>
      <c r="Y9112" t="s">
        <v>26654</v>
      </c>
      <c r="Z9112" t="s">
        <v>26670</v>
      </c>
      <c r="AB9112" t="s">
        <v>33228</v>
      </c>
      <c r="AE9112">
        <v>177</v>
      </c>
      <c r="AF9112" t="s">
        <v>45547</v>
      </c>
      <c r="AH9112">
        <v>10</v>
      </c>
      <c r="AI9112">
        <v>1</v>
      </c>
      <c r="AJ9112">
        <v>0</v>
      </c>
      <c r="AK9112">
        <v>210.05</v>
      </c>
      <c r="AN9112" t="s">
        <v>7439</v>
      </c>
      <c r="AO9112">
        <v>25500</v>
      </c>
      <c r="AU9112">
        <v>0.7</v>
      </c>
      <c r="AV9112" t="s">
        <v>706</v>
      </c>
      <c r="AW9112" t="s">
        <v>46852</v>
      </c>
    </row>
    <row r="9113" spans="1:49">
      <c r="A9113" s="1">
        <f>HYPERLINK("https://lsnyc.legalserver.org/matter/dynamic-profile/view/1878145","18-1878145")</f>
        <v>0</v>
      </c>
      <c r="B9113" t="s">
        <v>114</v>
      </c>
      <c r="C9113" t="s">
        <v>340</v>
      </c>
      <c r="D9113" t="s">
        <v>534</v>
      </c>
      <c r="F9113" t="s">
        <v>1810</v>
      </c>
      <c r="G9113" t="s">
        <v>8938</v>
      </c>
      <c r="H9113" t="s">
        <v>15855</v>
      </c>
      <c r="I9113">
        <v>2</v>
      </c>
      <c r="J9113" t="s">
        <v>18898</v>
      </c>
      <c r="K9113">
        <v>11691</v>
      </c>
      <c r="L9113" t="s">
        <v>18958</v>
      </c>
      <c r="M9113" t="s">
        <v>18960</v>
      </c>
      <c r="N9113" t="s">
        <v>25413</v>
      </c>
      <c r="O9113" t="s">
        <v>26524</v>
      </c>
      <c r="P9113" t="s">
        <v>26563</v>
      </c>
      <c r="R9113" t="s">
        <v>26584</v>
      </c>
      <c r="S9113" t="s">
        <v>18959</v>
      </c>
      <c r="U9113" t="s">
        <v>26604</v>
      </c>
      <c r="V9113" t="s">
        <v>26610</v>
      </c>
      <c r="X9113">
        <v>1250</v>
      </c>
      <c r="Y9113" t="s">
        <v>26653</v>
      </c>
      <c r="Z9113" t="s">
        <v>26664</v>
      </c>
      <c r="AB9113" t="s">
        <v>29229</v>
      </c>
      <c r="AC9113" t="s">
        <v>36608</v>
      </c>
      <c r="AD9113" t="s">
        <v>43907</v>
      </c>
      <c r="AE9113">
        <v>2</v>
      </c>
      <c r="AF9113" t="s">
        <v>45547</v>
      </c>
      <c r="AG9113" t="s">
        <v>19330</v>
      </c>
      <c r="AH9113">
        <v>1</v>
      </c>
      <c r="AI9113">
        <v>2</v>
      </c>
      <c r="AJ9113">
        <v>2</v>
      </c>
      <c r="AK9113">
        <v>71.70999999999999</v>
      </c>
      <c r="AN9113" t="s">
        <v>7439</v>
      </c>
      <c r="AO9113">
        <v>18000</v>
      </c>
      <c r="AU9113">
        <v>1.05</v>
      </c>
      <c r="AV9113" t="s">
        <v>677</v>
      </c>
      <c r="AW9113" t="s">
        <v>208</v>
      </c>
    </row>
    <row r="9114" spans="1:49">
      <c r="A9114" s="1">
        <f>HYPERLINK("https://lsnyc.legalserver.org/matter/dynamic-profile/view/1881161","18-1881161")</f>
        <v>0</v>
      </c>
      <c r="B9114" t="s">
        <v>89</v>
      </c>
      <c r="C9114" t="s">
        <v>341</v>
      </c>
      <c r="D9114" t="s">
        <v>596</v>
      </c>
      <c r="E9114" t="s">
        <v>820</v>
      </c>
      <c r="F9114" t="s">
        <v>887</v>
      </c>
      <c r="G9114" t="s">
        <v>5138</v>
      </c>
      <c r="H9114" t="s">
        <v>15856</v>
      </c>
      <c r="I9114" t="s">
        <v>17274</v>
      </c>
      <c r="J9114" t="s">
        <v>18893</v>
      </c>
      <c r="K9114">
        <v>10012</v>
      </c>
      <c r="L9114" t="s">
        <v>18960</v>
      </c>
      <c r="M9114" t="s">
        <v>18960</v>
      </c>
      <c r="O9114" t="s">
        <v>18997</v>
      </c>
      <c r="P9114" t="s">
        <v>26564</v>
      </c>
      <c r="Q9114" t="s">
        <v>26570</v>
      </c>
      <c r="R9114" t="s">
        <v>26582</v>
      </c>
      <c r="U9114" t="s">
        <v>26604</v>
      </c>
      <c r="X9114">
        <v>381.97</v>
      </c>
      <c r="Y9114" t="s">
        <v>26651</v>
      </c>
      <c r="AA9114" t="s">
        <v>26683</v>
      </c>
      <c r="AB9114" t="s">
        <v>33229</v>
      </c>
      <c r="AE9114">
        <v>0</v>
      </c>
      <c r="AH9114">
        <v>0</v>
      </c>
      <c r="AI9114">
        <v>1</v>
      </c>
      <c r="AJ9114">
        <v>0</v>
      </c>
      <c r="AK9114">
        <v>118.62</v>
      </c>
      <c r="AN9114" t="s">
        <v>45581</v>
      </c>
      <c r="AO9114">
        <v>14400</v>
      </c>
      <c r="AU9114">
        <v>2</v>
      </c>
      <c r="AV9114" t="s">
        <v>694</v>
      </c>
      <c r="AW9114" t="s">
        <v>46838</v>
      </c>
    </row>
    <row r="9115" spans="1:49">
      <c r="A9115" s="1">
        <f>HYPERLINK("https://lsnyc.legalserver.org/matter/dynamic-profile/view/1878263","18-1878263")</f>
        <v>0</v>
      </c>
      <c r="B9115" t="s">
        <v>209</v>
      </c>
      <c r="C9115" t="s">
        <v>341</v>
      </c>
      <c r="D9115" t="s">
        <v>596</v>
      </c>
      <c r="E9115" t="s">
        <v>596</v>
      </c>
      <c r="F9115" t="s">
        <v>1534</v>
      </c>
      <c r="G9115" t="s">
        <v>5086</v>
      </c>
      <c r="H9115" t="s">
        <v>15857</v>
      </c>
      <c r="J9115" t="s">
        <v>18909</v>
      </c>
      <c r="K9115">
        <v>11101</v>
      </c>
      <c r="L9115" t="s">
        <v>18960</v>
      </c>
      <c r="M9115" t="s">
        <v>18960</v>
      </c>
      <c r="N9115" t="s">
        <v>25414</v>
      </c>
      <c r="O9115" t="s">
        <v>26524</v>
      </c>
      <c r="Q9115" t="s">
        <v>26570</v>
      </c>
      <c r="R9115" t="s">
        <v>26591</v>
      </c>
      <c r="S9115" t="s">
        <v>18959</v>
      </c>
      <c r="U9115" t="s">
        <v>26604</v>
      </c>
      <c r="X9115">
        <v>1200</v>
      </c>
      <c r="Y9115" t="s">
        <v>26653</v>
      </c>
      <c r="Z9115" t="s">
        <v>26655</v>
      </c>
      <c r="AA9115" t="s">
        <v>26683</v>
      </c>
      <c r="AB9115" t="s">
        <v>33230</v>
      </c>
      <c r="AD9115" t="s">
        <v>43908</v>
      </c>
      <c r="AE9115">
        <v>3</v>
      </c>
      <c r="AF9115" t="s">
        <v>20460</v>
      </c>
      <c r="AG9115" t="s">
        <v>19330</v>
      </c>
      <c r="AH9115">
        <v>4</v>
      </c>
      <c r="AI9115">
        <v>2</v>
      </c>
      <c r="AJ9115">
        <v>0</v>
      </c>
      <c r="AK9115">
        <v>157.96</v>
      </c>
      <c r="AN9115" t="s">
        <v>7439</v>
      </c>
      <c r="AO9115">
        <v>26000</v>
      </c>
      <c r="AU9115">
        <v>0.8</v>
      </c>
      <c r="AV9115" t="s">
        <v>596</v>
      </c>
      <c r="AW9115" t="s">
        <v>46829</v>
      </c>
    </row>
    <row r="9116" spans="1:49">
      <c r="A9116" s="1">
        <f>HYPERLINK("https://lsnyc.legalserver.org/matter/dynamic-profile/view/1878207","18-1878207")</f>
        <v>0</v>
      </c>
      <c r="B9116" t="s">
        <v>209</v>
      </c>
      <c r="C9116" t="s">
        <v>341</v>
      </c>
      <c r="D9116" t="s">
        <v>596</v>
      </c>
      <c r="E9116" t="s">
        <v>596</v>
      </c>
      <c r="F9116" t="s">
        <v>4462</v>
      </c>
      <c r="G9116" t="s">
        <v>8784</v>
      </c>
      <c r="H9116" t="s">
        <v>15858</v>
      </c>
      <c r="I9116" t="s">
        <v>18639</v>
      </c>
      <c r="J9116" t="s">
        <v>18900</v>
      </c>
      <c r="K9116">
        <v>11354</v>
      </c>
      <c r="L9116" t="s">
        <v>18960</v>
      </c>
      <c r="M9116" t="s">
        <v>18960</v>
      </c>
      <c r="O9116" t="s">
        <v>18997</v>
      </c>
      <c r="P9116" t="s">
        <v>26564</v>
      </c>
      <c r="Q9116" t="s">
        <v>26570</v>
      </c>
      <c r="R9116" t="s">
        <v>26583</v>
      </c>
      <c r="S9116" t="s">
        <v>18959</v>
      </c>
      <c r="U9116" t="s">
        <v>26604</v>
      </c>
      <c r="X9116">
        <v>1032.54</v>
      </c>
      <c r="Y9116" t="s">
        <v>26653</v>
      </c>
      <c r="Z9116" t="s">
        <v>26530</v>
      </c>
      <c r="AA9116" t="s">
        <v>26683</v>
      </c>
      <c r="AB9116" t="s">
        <v>31292</v>
      </c>
      <c r="AD9116" t="s">
        <v>43909</v>
      </c>
      <c r="AE9116">
        <v>0</v>
      </c>
      <c r="AF9116" t="s">
        <v>20460</v>
      </c>
      <c r="AG9116" t="s">
        <v>26530</v>
      </c>
      <c r="AH9116">
        <v>14</v>
      </c>
      <c r="AI9116">
        <v>1</v>
      </c>
      <c r="AJ9116">
        <v>0</v>
      </c>
      <c r="AK9116">
        <v>0</v>
      </c>
      <c r="AN9116" t="s">
        <v>45591</v>
      </c>
      <c r="AO9116">
        <v>0</v>
      </c>
      <c r="AU9116">
        <v>1.33</v>
      </c>
      <c r="AV9116" t="s">
        <v>583</v>
      </c>
      <c r="AW9116" t="s">
        <v>46860</v>
      </c>
    </row>
    <row r="9117" spans="1:49">
      <c r="A9117" s="1">
        <f>HYPERLINK("https://lsnyc.legalserver.org/matter/dynamic-profile/view/1878208","18-1878208")</f>
        <v>0</v>
      </c>
      <c r="B9117" t="s">
        <v>200</v>
      </c>
      <c r="C9117" t="s">
        <v>341</v>
      </c>
      <c r="D9117" t="s">
        <v>596</v>
      </c>
      <c r="E9117" t="s">
        <v>639</v>
      </c>
      <c r="F9117" t="s">
        <v>4463</v>
      </c>
      <c r="G9117" t="s">
        <v>7400</v>
      </c>
      <c r="H9117" t="s">
        <v>15859</v>
      </c>
      <c r="I9117" t="s">
        <v>17274</v>
      </c>
      <c r="J9117" t="s">
        <v>18894</v>
      </c>
      <c r="K9117">
        <v>11207</v>
      </c>
      <c r="L9117" t="s">
        <v>18959</v>
      </c>
      <c r="M9117" t="s">
        <v>18959</v>
      </c>
      <c r="N9117" t="s">
        <v>25415</v>
      </c>
      <c r="O9117" t="s">
        <v>26523</v>
      </c>
      <c r="Q9117" t="s">
        <v>26570</v>
      </c>
      <c r="R9117" t="s">
        <v>26583</v>
      </c>
      <c r="U9117" t="s">
        <v>26604</v>
      </c>
      <c r="X9117">
        <v>1900.19</v>
      </c>
      <c r="Y9117" t="s">
        <v>26652</v>
      </c>
      <c r="Z9117" t="s">
        <v>26661</v>
      </c>
      <c r="AA9117" t="s">
        <v>26683</v>
      </c>
      <c r="AB9117" t="s">
        <v>33231</v>
      </c>
      <c r="AC9117" t="s">
        <v>19330</v>
      </c>
      <c r="AE9117">
        <v>3</v>
      </c>
      <c r="AF9117" t="s">
        <v>45547</v>
      </c>
      <c r="AG9117" t="s">
        <v>19330</v>
      </c>
      <c r="AH9117">
        <v>2</v>
      </c>
      <c r="AI9117">
        <v>2</v>
      </c>
      <c r="AJ9117">
        <v>0</v>
      </c>
      <c r="AK9117">
        <v>277.04</v>
      </c>
      <c r="AN9117" t="s">
        <v>7439</v>
      </c>
      <c r="AO9117">
        <v>45600</v>
      </c>
      <c r="AU9117">
        <v>1.8</v>
      </c>
      <c r="AV9117" t="s">
        <v>413</v>
      </c>
      <c r="AW9117" t="s">
        <v>46846</v>
      </c>
    </row>
    <row r="9118" spans="1:49">
      <c r="A9118" s="1">
        <f>HYPERLINK("https://lsnyc.legalserver.org/matter/dynamic-profile/view/1878216","18-1878216")</f>
        <v>0</v>
      </c>
      <c r="B9118" t="s">
        <v>161</v>
      </c>
      <c r="C9118" t="s">
        <v>341</v>
      </c>
      <c r="D9118" t="s">
        <v>596</v>
      </c>
      <c r="E9118" t="s">
        <v>583</v>
      </c>
      <c r="F9118" t="s">
        <v>2349</v>
      </c>
      <c r="G9118" t="s">
        <v>8939</v>
      </c>
      <c r="H9118" t="s">
        <v>15860</v>
      </c>
      <c r="I9118" t="s">
        <v>17309</v>
      </c>
      <c r="J9118" t="s">
        <v>18900</v>
      </c>
      <c r="K9118">
        <v>11355</v>
      </c>
      <c r="L9118" t="s">
        <v>18958</v>
      </c>
      <c r="M9118" t="s">
        <v>18958</v>
      </c>
      <c r="N9118" t="s">
        <v>25416</v>
      </c>
      <c r="O9118" t="s">
        <v>26523</v>
      </c>
      <c r="P9118" t="s">
        <v>26564</v>
      </c>
      <c r="Q9118" t="s">
        <v>26570</v>
      </c>
      <c r="R9118" t="s">
        <v>26583</v>
      </c>
      <c r="S9118" t="s">
        <v>18959</v>
      </c>
      <c r="U9118" t="s">
        <v>26604</v>
      </c>
      <c r="V9118" t="s">
        <v>26612</v>
      </c>
      <c r="X9118">
        <v>1313</v>
      </c>
      <c r="Y9118" t="s">
        <v>26653</v>
      </c>
      <c r="Z9118" t="s">
        <v>26659</v>
      </c>
      <c r="AA9118" t="s">
        <v>26683</v>
      </c>
      <c r="AB9118" t="s">
        <v>26987</v>
      </c>
      <c r="AD9118" t="s">
        <v>43910</v>
      </c>
      <c r="AE9118">
        <v>126</v>
      </c>
      <c r="AF9118" t="s">
        <v>20460</v>
      </c>
      <c r="AG9118" t="s">
        <v>45557</v>
      </c>
      <c r="AH9118">
        <v>24</v>
      </c>
      <c r="AI9118">
        <v>2</v>
      </c>
      <c r="AJ9118">
        <v>3</v>
      </c>
      <c r="AK9118">
        <v>16.48</v>
      </c>
      <c r="AN9118" t="s">
        <v>7439</v>
      </c>
      <c r="AO9118">
        <v>4848</v>
      </c>
      <c r="AU9118">
        <v>0.3</v>
      </c>
      <c r="AV9118" t="s">
        <v>596</v>
      </c>
      <c r="AW9118" t="s">
        <v>161</v>
      </c>
    </row>
    <row r="9119" spans="1:49">
      <c r="A9119" s="1">
        <f>HYPERLINK("https://lsnyc.legalserver.org/matter/dynamic-profile/view/1878243","18-1878243")</f>
        <v>0</v>
      </c>
      <c r="B9119" t="s">
        <v>161</v>
      </c>
      <c r="C9119" t="s">
        <v>341</v>
      </c>
      <c r="D9119" t="s">
        <v>596</v>
      </c>
      <c r="E9119" t="s">
        <v>596</v>
      </c>
      <c r="F9119" t="s">
        <v>3283</v>
      </c>
      <c r="G9119" t="s">
        <v>8940</v>
      </c>
      <c r="H9119" t="s">
        <v>15861</v>
      </c>
      <c r="I9119" t="s">
        <v>17430</v>
      </c>
      <c r="J9119" t="s">
        <v>18913</v>
      </c>
      <c r="K9119">
        <v>11102</v>
      </c>
      <c r="L9119" t="s">
        <v>18960</v>
      </c>
      <c r="M9119" t="s">
        <v>18960</v>
      </c>
      <c r="O9119" t="s">
        <v>18997</v>
      </c>
      <c r="P9119" t="s">
        <v>26564</v>
      </c>
      <c r="Q9119" t="s">
        <v>26570</v>
      </c>
      <c r="R9119" t="s">
        <v>26583</v>
      </c>
      <c r="S9119" t="s">
        <v>18959</v>
      </c>
      <c r="U9119" t="s">
        <v>26604</v>
      </c>
      <c r="X9119">
        <v>1635</v>
      </c>
      <c r="Y9119" t="s">
        <v>26653</v>
      </c>
      <c r="Z9119" t="s">
        <v>26665</v>
      </c>
      <c r="AA9119" t="s">
        <v>26683</v>
      </c>
      <c r="AB9119" t="s">
        <v>31293</v>
      </c>
      <c r="AD9119" t="s">
        <v>43911</v>
      </c>
      <c r="AE9119">
        <v>3</v>
      </c>
      <c r="AF9119" t="s">
        <v>45547</v>
      </c>
      <c r="AG9119" t="s">
        <v>19330</v>
      </c>
      <c r="AH9119">
        <v>31</v>
      </c>
      <c r="AI9119">
        <v>1</v>
      </c>
      <c r="AJ9119">
        <v>0</v>
      </c>
      <c r="AK9119">
        <v>342.67</v>
      </c>
      <c r="AN9119" t="s">
        <v>7439</v>
      </c>
      <c r="AO9119">
        <v>41600</v>
      </c>
      <c r="AU9119">
        <v>0.6</v>
      </c>
      <c r="AV9119" t="s">
        <v>596</v>
      </c>
      <c r="AW9119" t="s">
        <v>161</v>
      </c>
    </row>
    <row r="9120" spans="1:49">
      <c r="A9120" s="1">
        <f>HYPERLINK("https://lsnyc.legalserver.org/matter/dynamic-profile/view/1879578","18-1879578")</f>
        <v>0</v>
      </c>
      <c r="B9120" t="s">
        <v>89</v>
      </c>
      <c r="C9120" t="s">
        <v>340</v>
      </c>
      <c r="D9120" t="s">
        <v>596</v>
      </c>
      <c r="F9120" t="s">
        <v>1210</v>
      </c>
      <c r="G9120" t="s">
        <v>1627</v>
      </c>
      <c r="H9120" t="s">
        <v>15862</v>
      </c>
      <c r="I9120" t="s">
        <v>17299</v>
      </c>
      <c r="J9120" t="s">
        <v>18893</v>
      </c>
      <c r="K9120">
        <v>10009</v>
      </c>
      <c r="L9120" t="s">
        <v>18960</v>
      </c>
      <c r="M9120" t="s">
        <v>18960</v>
      </c>
      <c r="O9120" t="s">
        <v>18997</v>
      </c>
      <c r="R9120" t="s">
        <v>26582</v>
      </c>
      <c r="U9120" t="s">
        <v>26606</v>
      </c>
      <c r="X9120">
        <v>2264</v>
      </c>
      <c r="Y9120" t="s">
        <v>26651</v>
      </c>
      <c r="AB9120" t="s">
        <v>33232</v>
      </c>
      <c r="AE9120">
        <v>0</v>
      </c>
      <c r="AH9120">
        <v>18</v>
      </c>
      <c r="AI9120">
        <v>4</v>
      </c>
      <c r="AJ9120">
        <v>0</v>
      </c>
      <c r="AK9120">
        <v>192.67</v>
      </c>
      <c r="AN9120" t="s">
        <v>45581</v>
      </c>
      <c r="AO9120">
        <v>48360</v>
      </c>
      <c r="AU9120">
        <v>3</v>
      </c>
      <c r="AV9120" t="s">
        <v>781</v>
      </c>
      <c r="AW9120" t="s">
        <v>46838</v>
      </c>
    </row>
    <row r="9121" spans="1:49">
      <c r="A9121" s="1">
        <f>HYPERLINK("https://lsnyc.legalserver.org/matter/dynamic-profile/view/1878241","18-1878241")</f>
        <v>0</v>
      </c>
      <c r="B9121" t="s">
        <v>200</v>
      </c>
      <c r="C9121" t="s">
        <v>340</v>
      </c>
      <c r="D9121" t="s">
        <v>596</v>
      </c>
      <c r="F9121" t="s">
        <v>4464</v>
      </c>
      <c r="G9121" t="s">
        <v>4612</v>
      </c>
      <c r="H9121" t="s">
        <v>15863</v>
      </c>
      <c r="I9121">
        <v>2</v>
      </c>
      <c r="J9121" t="s">
        <v>18894</v>
      </c>
      <c r="K9121">
        <v>11233</v>
      </c>
      <c r="L9121" t="s">
        <v>18959</v>
      </c>
      <c r="M9121" t="s">
        <v>18960</v>
      </c>
      <c r="N9121" t="s">
        <v>18997</v>
      </c>
      <c r="R9121" t="s">
        <v>26578</v>
      </c>
      <c r="U9121" t="s">
        <v>26604</v>
      </c>
      <c r="X9121">
        <v>1650</v>
      </c>
      <c r="Y9121" t="s">
        <v>26652</v>
      </c>
      <c r="Z9121" t="s">
        <v>26659</v>
      </c>
      <c r="AB9121" t="s">
        <v>33233</v>
      </c>
      <c r="AD9121" t="s">
        <v>43912</v>
      </c>
      <c r="AE9121">
        <v>4</v>
      </c>
      <c r="AF9121" t="s">
        <v>45547</v>
      </c>
      <c r="AG9121" t="s">
        <v>19330</v>
      </c>
      <c r="AH9121">
        <v>2</v>
      </c>
      <c r="AI9121">
        <v>1</v>
      </c>
      <c r="AJ9121">
        <v>2</v>
      </c>
      <c r="AK9121">
        <v>42.27</v>
      </c>
      <c r="AN9121" t="s">
        <v>7439</v>
      </c>
      <c r="AO9121">
        <v>8784</v>
      </c>
      <c r="AU9121">
        <v>0</v>
      </c>
      <c r="AW9121" t="s">
        <v>279</v>
      </c>
    </row>
    <row r="9122" spans="1:49">
      <c r="A9122" s="1">
        <f>HYPERLINK("https://lsnyc.legalserver.org/matter/dynamic-profile/view/1878410","18-1878410")</f>
        <v>0</v>
      </c>
      <c r="B9122" t="s">
        <v>311</v>
      </c>
      <c r="C9122" t="s">
        <v>341</v>
      </c>
      <c r="D9122" t="s">
        <v>582</v>
      </c>
      <c r="E9122" t="s">
        <v>582</v>
      </c>
      <c r="F9122" t="s">
        <v>952</v>
      </c>
      <c r="G9122" t="s">
        <v>8941</v>
      </c>
      <c r="H9122" t="s">
        <v>10325</v>
      </c>
      <c r="I9122" t="s">
        <v>17316</v>
      </c>
      <c r="J9122" t="s">
        <v>18892</v>
      </c>
      <c r="K9122">
        <v>10457</v>
      </c>
      <c r="L9122" t="s">
        <v>18960</v>
      </c>
      <c r="M9122" t="s">
        <v>18960</v>
      </c>
      <c r="Q9122" t="s">
        <v>26571</v>
      </c>
      <c r="R9122" t="s">
        <v>26594</v>
      </c>
      <c r="U9122" t="s">
        <v>26607</v>
      </c>
      <c r="X9122">
        <v>0</v>
      </c>
      <c r="Y9122" t="s">
        <v>26650</v>
      </c>
      <c r="AA9122" t="s">
        <v>26681</v>
      </c>
      <c r="AB9122" t="s">
        <v>33234</v>
      </c>
      <c r="AD9122" t="s">
        <v>43913</v>
      </c>
      <c r="AE9122">
        <v>0</v>
      </c>
      <c r="AH9122">
        <v>0</v>
      </c>
      <c r="AI9122">
        <v>1</v>
      </c>
      <c r="AJ9122">
        <v>0</v>
      </c>
      <c r="AK9122">
        <v>82.73</v>
      </c>
      <c r="AN9122" t="s">
        <v>45581</v>
      </c>
      <c r="AO9122">
        <v>10044</v>
      </c>
      <c r="AU9122">
        <v>0.5</v>
      </c>
      <c r="AV9122" t="s">
        <v>582</v>
      </c>
      <c r="AW9122" t="s">
        <v>311</v>
      </c>
    </row>
    <row r="9123" spans="1:49">
      <c r="A9123" s="1">
        <f>HYPERLINK("https://lsnyc.legalserver.org/matter/dynamic-profile/view/1878389","18-1878389")</f>
        <v>0</v>
      </c>
      <c r="B9123" t="s">
        <v>124</v>
      </c>
      <c r="C9123" t="s">
        <v>340</v>
      </c>
      <c r="D9123" t="s">
        <v>582</v>
      </c>
      <c r="F9123" t="s">
        <v>874</v>
      </c>
      <c r="G9123" t="s">
        <v>8942</v>
      </c>
      <c r="H9123" t="s">
        <v>15864</v>
      </c>
      <c r="I9123">
        <v>1</v>
      </c>
      <c r="J9123" t="s">
        <v>18894</v>
      </c>
      <c r="K9123">
        <v>11233</v>
      </c>
      <c r="L9123" t="s">
        <v>18960</v>
      </c>
      <c r="M9123" t="s">
        <v>18960</v>
      </c>
      <c r="R9123" t="s">
        <v>26578</v>
      </c>
      <c r="U9123" t="s">
        <v>26604</v>
      </c>
      <c r="X9123">
        <v>0</v>
      </c>
      <c r="Y9123" t="s">
        <v>26652</v>
      </c>
      <c r="AB9123" t="s">
        <v>33235</v>
      </c>
      <c r="AD9123" t="s">
        <v>43914</v>
      </c>
      <c r="AE9123">
        <v>0</v>
      </c>
      <c r="AH9123">
        <v>0</v>
      </c>
      <c r="AI9123">
        <v>1</v>
      </c>
      <c r="AJ9123">
        <v>0</v>
      </c>
      <c r="AK9123">
        <v>28.37</v>
      </c>
      <c r="AN9123" t="s">
        <v>7439</v>
      </c>
      <c r="AO9123">
        <v>3444</v>
      </c>
      <c r="AU9123">
        <v>17.95</v>
      </c>
      <c r="AV9123" t="s">
        <v>839</v>
      </c>
      <c r="AW9123" t="s">
        <v>46882</v>
      </c>
    </row>
    <row r="9124" spans="1:49">
      <c r="A9124" s="1">
        <f>HYPERLINK("https://lsnyc.legalserver.org/matter/dynamic-profile/view/1879386","18-1879386")</f>
        <v>0</v>
      </c>
      <c r="B9124" t="s">
        <v>186</v>
      </c>
      <c r="C9124" t="s">
        <v>341</v>
      </c>
      <c r="D9124" t="s">
        <v>589</v>
      </c>
      <c r="E9124" t="s">
        <v>836</v>
      </c>
      <c r="F9124" t="s">
        <v>1081</v>
      </c>
      <c r="G9124" t="s">
        <v>2348</v>
      </c>
      <c r="H9124" t="s">
        <v>15865</v>
      </c>
      <c r="I9124">
        <v>3</v>
      </c>
      <c r="J9124" t="s">
        <v>18894</v>
      </c>
      <c r="K9124">
        <v>11233</v>
      </c>
      <c r="L9124" t="s">
        <v>18960</v>
      </c>
      <c r="M9124" t="s">
        <v>18960</v>
      </c>
      <c r="P9124" t="s">
        <v>26560</v>
      </c>
      <c r="Q9124" t="s">
        <v>26575</v>
      </c>
      <c r="R9124" t="s">
        <v>26578</v>
      </c>
      <c r="U9124" t="s">
        <v>26604</v>
      </c>
      <c r="X9124">
        <v>2650</v>
      </c>
      <c r="Y9124" t="s">
        <v>26652</v>
      </c>
      <c r="Z9124" t="s">
        <v>26661</v>
      </c>
      <c r="AA9124" t="s">
        <v>26679</v>
      </c>
      <c r="AB9124" t="s">
        <v>29386</v>
      </c>
      <c r="AD9124" t="s">
        <v>43915</v>
      </c>
      <c r="AE9124">
        <v>8</v>
      </c>
      <c r="AH9124">
        <v>1</v>
      </c>
      <c r="AI9124">
        <v>1</v>
      </c>
      <c r="AJ9124">
        <v>0</v>
      </c>
      <c r="AK9124">
        <v>202.17</v>
      </c>
      <c r="AN9124" t="s">
        <v>7439</v>
      </c>
      <c r="AO9124">
        <v>24544</v>
      </c>
      <c r="AQ9124" t="s">
        <v>46365</v>
      </c>
      <c r="AR9124" t="s">
        <v>46410</v>
      </c>
      <c r="AS9124" t="s">
        <v>46500</v>
      </c>
      <c r="AT9124" t="s">
        <v>46747</v>
      </c>
      <c r="AU9124">
        <v>12.95</v>
      </c>
      <c r="AV9124" t="s">
        <v>836</v>
      </c>
      <c r="AW9124" t="s">
        <v>46882</v>
      </c>
    </row>
    <row r="9125" spans="1:49">
      <c r="A9125" s="1">
        <f>HYPERLINK("https://lsnyc.legalserver.org/matter/dynamic-profile/view/1878545","18-1878545")</f>
        <v>0</v>
      </c>
      <c r="B9125" t="s">
        <v>302</v>
      </c>
      <c r="C9125" t="s">
        <v>341</v>
      </c>
      <c r="D9125" t="s">
        <v>589</v>
      </c>
      <c r="E9125" t="s">
        <v>692</v>
      </c>
      <c r="F9125" t="s">
        <v>1266</v>
      </c>
      <c r="G9125" t="s">
        <v>8943</v>
      </c>
      <c r="H9125" t="s">
        <v>15866</v>
      </c>
      <c r="I9125" t="s">
        <v>17440</v>
      </c>
      <c r="J9125" t="s">
        <v>18892</v>
      </c>
      <c r="K9125">
        <v>10452</v>
      </c>
      <c r="L9125" t="s">
        <v>18959</v>
      </c>
      <c r="M9125" t="s">
        <v>18959</v>
      </c>
      <c r="N9125" t="s">
        <v>25417</v>
      </c>
      <c r="O9125" t="s">
        <v>26526</v>
      </c>
      <c r="P9125" t="s">
        <v>26564</v>
      </c>
      <c r="Q9125" t="s">
        <v>26570</v>
      </c>
      <c r="R9125" t="s">
        <v>26591</v>
      </c>
      <c r="U9125" t="s">
        <v>26604</v>
      </c>
      <c r="X9125">
        <v>1125</v>
      </c>
      <c r="Y9125" t="s">
        <v>26650</v>
      </c>
      <c r="AA9125" t="s">
        <v>26683</v>
      </c>
      <c r="AB9125" t="s">
        <v>29686</v>
      </c>
      <c r="AE9125">
        <v>20</v>
      </c>
      <c r="AH9125">
        <v>2</v>
      </c>
      <c r="AI9125">
        <v>1</v>
      </c>
      <c r="AJ9125">
        <v>0</v>
      </c>
      <c r="AK9125">
        <v>138.39</v>
      </c>
      <c r="AN9125" t="s">
        <v>7439</v>
      </c>
      <c r="AO9125">
        <v>16800</v>
      </c>
      <c r="AP9125" t="s">
        <v>46109</v>
      </c>
      <c r="AU9125">
        <v>1</v>
      </c>
      <c r="AV9125" t="s">
        <v>589</v>
      </c>
      <c r="AW9125" t="s">
        <v>46857</v>
      </c>
    </row>
    <row r="9126" spans="1:49">
      <c r="A9126" s="1">
        <f>HYPERLINK("https://lsnyc.legalserver.org/matter/dynamic-profile/view/1878485","18-1878485")</f>
        <v>0</v>
      </c>
      <c r="B9126" t="s">
        <v>302</v>
      </c>
      <c r="C9126" t="s">
        <v>341</v>
      </c>
      <c r="D9126" t="s">
        <v>589</v>
      </c>
      <c r="E9126" t="s">
        <v>692</v>
      </c>
      <c r="F9126" t="s">
        <v>4465</v>
      </c>
      <c r="G9126" t="s">
        <v>1725</v>
      </c>
      <c r="H9126" t="s">
        <v>11029</v>
      </c>
      <c r="I9126" t="s">
        <v>17410</v>
      </c>
      <c r="J9126" t="s">
        <v>18892</v>
      </c>
      <c r="K9126">
        <v>10453</v>
      </c>
      <c r="L9126" t="s">
        <v>18959</v>
      </c>
      <c r="M9126" t="s">
        <v>18959</v>
      </c>
      <c r="N9126" t="s">
        <v>25418</v>
      </c>
      <c r="O9126" t="s">
        <v>26523</v>
      </c>
      <c r="P9126" t="s">
        <v>26564</v>
      </c>
      <c r="Q9126" t="s">
        <v>26570</v>
      </c>
      <c r="R9126" t="s">
        <v>26591</v>
      </c>
      <c r="U9126" t="s">
        <v>26604</v>
      </c>
      <c r="X9126">
        <v>1650</v>
      </c>
      <c r="Y9126" t="s">
        <v>26650</v>
      </c>
      <c r="Z9126" t="s">
        <v>26673</v>
      </c>
      <c r="AA9126" t="s">
        <v>26683</v>
      </c>
      <c r="AB9126" t="s">
        <v>33236</v>
      </c>
      <c r="AD9126" t="s">
        <v>43916</v>
      </c>
      <c r="AE9126">
        <v>30</v>
      </c>
      <c r="AH9126">
        <v>9</v>
      </c>
      <c r="AI9126">
        <v>1</v>
      </c>
      <c r="AJ9126">
        <v>0</v>
      </c>
      <c r="AK9126">
        <v>171.33</v>
      </c>
      <c r="AN9126" t="s">
        <v>45581</v>
      </c>
      <c r="AO9126">
        <v>20800</v>
      </c>
      <c r="AP9126" t="s">
        <v>46109</v>
      </c>
      <c r="AU9126">
        <v>0.5</v>
      </c>
      <c r="AV9126" t="s">
        <v>589</v>
      </c>
      <c r="AW9126" t="s">
        <v>46861</v>
      </c>
    </row>
    <row r="9127" spans="1:49">
      <c r="A9127" s="1">
        <f>HYPERLINK("https://lsnyc.legalserver.org/matter/dynamic-profile/view/1878496","18-1878496")</f>
        <v>0</v>
      </c>
      <c r="B9127" t="s">
        <v>209</v>
      </c>
      <c r="C9127" t="s">
        <v>341</v>
      </c>
      <c r="D9127" t="s">
        <v>589</v>
      </c>
      <c r="E9127" t="s">
        <v>583</v>
      </c>
      <c r="F9127" t="s">
        <v>1320</v>
      </c>
      <c r="G9127" t="s">
        <v>5103</v>
      </c>
      <c r="H9127" t="s">
        <v>10433</v>
      </c>
      <c r="I9127">
        <v>806</v>
      </c>
      <c r="J9127" t="s">
        <v>18905</v>
      </c>
      <c r="K9127">
        <v>11692</v>
      </c>
      <c r="L9127" t="s">
        <v>18960</v>
      </c>
      <c r="M9127" t="s">
        <v>18960</v>
      </c>
      <c r="N9127" t="s">
        <v>20183</v>
      </c>
      <c r="O9127" t="s">
        <v>26523</v>
      </c>
      <c r="P9127" t="s">
        <v>26564</v>
      </c>
      <c r="Q9127" t="s">
        <v>26570</v>
      </c>
      <c r="R9127" t="s">
        <v>26591</v>
      </c>
      <c r="U9127" t="s">
        <v>26604</v>
      </c>
      <c r="X9127">
        <v>1981</v>
      </c>
      <c r="Y9127" t="s">
        <v>26653</v>
      </c>
      <c r="AA9127" t="s">
        <v>26683</v>
      </c>
      <c r="AB9127" t="s">
        <v>28160</v>
      </c>
      <c r="AD9127" t="s">
        <v>38209</v>
      </c>
      <c r="AE9127">
        <v>100</v>
      </c>
      <c r="AF9127" t="s">
        <v>45543</v>
      </c>
      <c r="AG9127" t="s">
        <v>45556</v>
      </c>
      <c r="AH9127">
        <v>5</v>
      </c>
      <c r="AI9127">
        <v>1</v>
      </c>
      <c r="AJ9127">
        <v>0</v>
      </c>
      <c r="AK9127">
        <v>0</v>
      </c>
      <c r="AN9127" t="s">
        <v>7439</v>
      </c>
      <c r="AO9127">
        <v>0</v>
      </c>
      <c r="AU9127">
        <v>1.2</v>
      </c>
      <c r="AV9127" t="s">
        <v>583</v>
      </c>
      <c r="AW9127" t="s">
        <v>46843</v>
      </c>
    </row>
    <row r="9128" spans="1:49">
      <c r="A9128" s="1">
        <f>HYPERLINK("https://lsnyc.legalserver.org/matter/dynamic-profile/view/1878456","18-1878456")</f>
        <v>0</v>
      </c>
      <c r="B9128" t="s">
        <v>209</v>
      </c>
      <c r="C9128" t="s">
        <v>341</v>
      </c>
      <c r="D9128" t="s">
        <v>589</v>
      </c>
      <c r="E9128" t="s">
        <v>589</v>
      </c>
      <c r="F9128" t="s">
        <v>4466</v>
      </c>
      <c r="G9128" t="s">
        <v>3283</v>
      </c>
      <c r="H9128" t="s">
        <v>15867</v>
      </c>
      <c r="I9128" t="s">
        <v>17435</v>
      </c>
      <c r="J9128" t="s">
        <v>18898</v>
      </c>
      <c r="K9128">
        <v>11691</v>
      </c>
      <c r="L9128" t="s">
        <v>18960</v>
      </c>
      <c r="M9128" t="s">
        <v>18960</v>
      </c>
      <c r="P9128" t="s">
        <v>26564</v>
      </c>
      <c r="Q9128" t="s">
        <v>26570</v>
      </c>
      <c r="R9128" t="s">
        <v>26591</v>
      </c>
      <c r="U9128" t="s">
        <v>26604</v>
      </c>
      <c r="X9128">
        <v>650</v>
      </c>
      <c r="Y9128" t="s">
        <v>26653</v>
      </c>
      <c r="Z9128" t="s">
        <v>26673</v>
      </c>
      <c r="AA9128" t="s">
        <v>26683</v>
      </c>
      <c r="AB9128" t="s">
        <v>33237</v>
      </c>
      <c r="AD9128" t="s">
        <v>43917</v>
      </c>
      <c r="AE9128">
        <v>6</v>
      </c>
      <c r="AF9128" t="s">
        <v>45547</v>
      </c>
      <c r="AH9128">
        <v>2</v>
      </c>
      <c r="AI9128">
        <v>1</v>
      </c>
      <c r="AJ9128">
        <v>0</v>
      </c>
      <c r="AK9128">
        <v>0</v>
      </c>
      <c r="AN9128" t="s">
        <v>7439</v>
      </c>
      <c r="AO9128">
        <v>0</v>
      </c>
      <c r="AU9128">
        <v>0.7</v>
      </c>
      <c r="AV9128" t="s">
        <v>589</v>
      </c>
      <c r="AW9128" t="s">
        <v>46843</v>
      </c>
    </row>
    <row r="9129" spans="1:49">
      <c r="A9129" s="1">
        <f>HYPERLINK("https://lsnyc.legalserver.org/matter/dynamic-profile/view/1878452","18-1878452")</f>
        <v>0</v>
      </c>
      <c r="B9129" t="s">
        <v>209</v>
      </c>
      <c r="C9129" t="s">
        <v>341</v>
      </c>
      <c r="D9129" t="s">
        <v>589</v>
      </c>
      <c r="E9129" t="s">
        <v>599</v>
      </c>
      <c r="F9129" t="s">
        <v>1228</v>
      </c>
      <c r="G9129" t="s">
        <v>5748</v>
      </c>
      <c r="H9129" t="s">
        <v>15868</v>
      </c>
      <c r="I9129">
        <v>2</v>
      </c>
      <c r="J9129" t="s">
        <v>18905</v>
      </c>
      <c r="K9129">
        <v>11692</v>
      </c>
      <c r="L9129" t="s">
        <v>18960</v>
      </c>
      <c r="M9129" t="s">
        <v>18960</v>
      </c>
      <c r="O9129" t="s">
        <v>18997</v>
      </c>
      <c r="P9129" t="s">
        <v>26564</v>
      </c>
      <c r="Q9129" t="s">
        <v>26570</v>
      </c>
      <c r="R9129" t="s">
        <v>26591</v>
      </c>
      <c r="U9129" t="s">
        <v>26604</v>
      </c>
      <c r="X9129">
        <v>1450</v>
      </c>
      <c r="Y9129" t="s">
        <v>26653</v>
      </c>
      <c r="AA9129" t="s">
        <v>26683</v>
      </c>
      <c r="AB9129" t="s">
        <v>33238</v>
      </c>
      <c r="AD9129" t="s">
        <v>43918</v>
      </c>
      <c r="AE9129">
        <v>2</v>
      </c>
      <c r="AF9129" t="s">
        <v>20460</v>
      </c>
      <c r="AG9129" t="s">
        <v>19330</v>
      </c>
      <c r="AH9129">
        <v>11</v>
      </c>
      <c r="AI9129">
        <v>2</v>
      </c>
      <c r="AJ9129">
        <v>3</v>
      </c>
      <c r="AK9129">
        <v>159.76</v>
      </c>
      <c r="AN9129" t="s">
        <v>7439</v>
      </c>
      <c r="AO9129">
        <v>47000</v>
      </c>
      <c r="AU9129">
        <v>1.2</v>
      </c>
      <c r="AV9129" t="s">
        <v>599</v>
      </c>
      <c r="AW9129" t="s">
        <v>46859</v>
      </c>
    </row>
    <row r="9130" spans="1:49">
      <c r="A9130" s="1">
        <f>HYPERLINK("https://lsnyc.legalserver.org/matter/dynamic-profile/view/1878176","18-1878176")</f>
        <v>0</v>
      </c>
      <c r="B9130" t="s">
        <v>124</v>
      </c>
      <c r="C9130" t="s">
        <v>341</v>
      </c>
      <c r="D9130" t="s">
        <v>589</v>
      </c>
      <c r="E9130" t="s">
        <v>713</v>
      </c>
      <c r="F9130" t="s">
        <v>1402</v>
      </c>
      <c r="G9130" t="s">
        <v>8944</v>
      </c>
      <c r="H9130" t="s">
        <v>15869</v>
      </c>
      <c r="I9130" t="s">
        <v>17273</v>
      </c>
      <c r="J9130" t="s">
        <v>18894</v>
      </c>
      <c r="K9130">
        <v>11214</v>
      </c>
      <c r="L9130" t="s">
        <v>18959</v>
      </c>
      <c r="M9130" t="s">
        <v>18960</v>
      </c>
      <c r="N9130" t="s">
        <v>25419</v>
      </c>
      <c r="O9130" t="s">
        <v>26523</v>
      </c>
      <c r="P9130" t="s">
        <v>26560</v>
      </c>
      <c r="Q9130" t="s">
        <v>26568</v>
      </c>
      <c r="R9130" t="s">
        <v>26586</v>
      </c>
      <c r="U9130" t="s">
        <v>26604</v>
      </c>
      <c r="X9130">
        <v>1425</v>
      </c>
      <c r="Y9130" t="s">
        <v>26652</v>
      </c>
      <c r="Z9130" t="s">
        <v>26659</v>
      </c>
      <c r="AA9130" t="s">
        <v>26678</v>
      </c>
      <c r="AB9130" t="s">
        <v>31328</v>
      </c>
      <c r="AD9130" t="s">
        <v>43919</v>
      </c>
      <c r="AE9130">
        <v>0</v>
      </c>
      <c r="AG9130" t="s">
        <v>45561</v>
      </c>
      <c r="AH9130">
        <v>7</v>
      </c>
      <c r="AI9130">
        <v>1</v>
      </c>
      <c r="AJ9130">
        <v>0</v>
      </c>
      <c r="AK9130">
        <v>81.27</v>
      </c>
      <c r="AN9130" t="s">
        <v>7439</v>
      </c>
      <c r="AO9130">
        <v>9866.639999999999</v>
      </c>
      <c r="AQ9130" t="s">
        <v>46362</v>
      </c>
      <c r="AR9130" t="s">
        <v>46379</v>
      </c>
      <c r="AS9130" t="s">
        <v>46499</v>
      </c>
      <c r="AT9130" t="s">
        <v>46587</v>
      </c>
      <c r="AU9130">
        <v>6.1</v>
      </c>
      <c r="AV9130" t="s">
        <v>713</v>
      </c>
      <c r="AW9130" t="s">
        <v>46862</v>
      </c>
    </row>
    <row r="9131" spans="1:49">
      <c r="A9131" s="1">
        <f>HYPERLINK("https://lsnyc.legalserver.org/matter/dynamic-profile/view/1878516","18-1878516")</f>
        <v>0</v>
      </c>
      <c r="B9131" t="s">
        <v>161</v>
      </c>
      <c r="C9131" t="s">
        <v>341</v>
      </c>
      <c r="D9131" t="s">
        <v>589</v>
      </c>
      <c r="E9131" t="s">
        <v>589</v>
      </c>
      <c r="F9131" t="s">
        <v>1024</v>
      </c>
      <c r="G9131" t="s">
        <v>5331</v>
      </c>
      <c r="H9131" t="s">
        <v>10383</v>
      </c>
      <c r="I9131" t="s">
        <v>17347</v>
      </c>
      <c r="J9131" t="s">
        <v>18901</v>
      </c>
      <c r="K9131">
        <v>11433</v>
      </c>
      <c r="L9131" t="s">
        <v>18958</v>
      </c>
      <c r="M9131" t="s">
        <v>18958</v>
      </c>
      <c r="N9131" t="s">
        <v>25420</v>
      </c>
      <c r="O9131" t="s">
        <v>26533</v>
      </c>
      <c r="P9131" t="s">
        <v>26564</v>
      </c>
      <c r="Q9131" t="s">
        <v>26570</v>
      </c>
      <c r="R9131" t="s">
        <v>26583</v>
      </c>
      <c r="S9131" t="s">
        <v>18959</v>
      </c>
      <c r="U9131" t="s">
        <v>26605</v>
      </c>
      <c r="X9131">
        <v>283</v>
      </c>
      <c r="Y9131" t="s">
        <v>26653</v>
      </c>
      <c r="Z9131" t="s">
        <v>26661</v>
      </c>
      <c r="AA9131" t="s">
        <v>26689</v>
      </c>
      <c r="AB9131" t="s">
        <v>32082</v>
      </c>
      <c r="AD9131" t="s">
        <v>42410</v>
      </c>
      <c r="AE9131">
        <v>52</v>
      </c>
      <c r="AF9131" t="s">
        <v>45549</v>
      </c>
      <c r="AG9131" t="s">
        <v>19330</v>
      </c>
      <c r="AH9131">
        <v>2</v>
      </c>
      <c r="AI9131">
        <v>1</v>
      </c>
      <c r="AJ9131">
        <v>1</v>
      </c>
      <c r="AK9131">
        <v>200.49</v>
      </c>
      <c r="AN9131" t="s">
        <v>7439</v>
      </c>
      <c r="AO9131">
        <v>33000</v>
      </c>
      <c r="AU9131">
        <v>0.1</v>
      </c>
      <c r="AV9131" t="s">
        <v>589</v>
      </c>
      <c r="AW9131" t="s">
        <v>161</v>
      </c>
    </row>
    <row r="9132" spans="1:49">
      <c r="A9132" s="1">
        <f>HYPERLINK("https://lsnyc.legalserver.org/matter/dynamic-profile/view/1878555","18-1878555")</f>
        <v>0</v>
      </c>
      <c r="B9132" t="s">
        <v>110</v>
      </c>
      <c r="C9132" t="s">
        <v>340</v>
      </c>
      <c r="D9132" t="s">
        <v>589</v>
      </c>
      <c r="F9132" t="s">
        <v>1646</v>
      </c>
      <c r="G9132" t="s">
        <v>5438</v>
      </c>
      <c r="H9132" t="s">
        <v>15870</v>
      </c>
      <c r="I9132" t="s">
        <v>17580</v>
      </c>
      <c r="J9132" t="s">
        <v>18904</v>
      </c>
      <c r="K9132">
        <v>11421</v>
      </c>
      <c r="L9132" t="s">
        <v>18960</v>
      </c>
      <c r="M9132" t="s">
        <v>18960</v>
      </c>
      <c r="R9132" t="s">
        <v>26591</v>
      </c>
      <c r="U9132" t="s">
        <v>26604</v>
      </c>
      <c r="X9132">
        <v>1710</v>
      </c>
      <c r="Y9132" t="s">
        <v>26653</v>
      </c>
      <c r="Z9132" t="s">
        <v>26673</v>
      </c>
      <c r="AB9132" t="s">
        <v>33239</v>
      </c>
      <c r="AE9132">
        <v>2</v>
      </c>
      <c r="AF9132" t="s">
        <v>45547</v>
      </c>
      <c r="AG9132" t="s">
        <v>19330</v>
      </c>
      <c r="AH9132">
        <v>1</v>
      </c>
      <c r="AI9132">
        <v>1</v>
      </c>
      <c r="AJ9132">
        <v>1</v>
      </c>
      <c r="AK9132">
        <v>67.65000000000001</v>
      </c>
      <c r="AN9132" t="s">
        <v>7439</v>
      </c>
      <c r="AO9132">
        <v>11136</v>
      </c>
      <c r="AU9132">
        <v>0.6</v>
      </c>
      <c r="AV9132" t="s">
        <v>589</v>
      </c>
      <c r="AW9132" t="s">
        <v>46842</v>
      </c>
    </row>
    <row r="9133" spans="1:49">
      <c r="A9133" s="1">
        <f>HYPERLINK("https://lsnyc.legalserver.org/matter/dynamic-profile/view/1878531","18-1878531")</f>
        <v>0</v>
      </c>
      <c r="B9133" t="s">
        <v>110</v>
      </c>
      <c r="C9133" t="s">
        <v>340</v>
      </c>
      <c r="D9133" t="s">
        <v>589</v>
      </c>
      <c r="F9133" t="s">
        <v>4467</v>
      </c>
      <c r="G9133" t="s">
        <v>8945</v>
      </c>
      <c r="H9133" t="s">
        <v>15871</v>
      </c>
      <c r="I9133" t="s">
        <v>17334</v>
      </c>
      <c r="J9133" t="s">
        <v>18913</v>
      </c>
      <c r="K9133">
        <v>11102</v>
      </c>
      <c r="L9133" t="s">
        <v>18960</v>
      </c>
      <c r="M9133" t="s">
        <v>18960</v>
      </c>
      <c r="O9133" t="s">
        <v>18997</v>
      </c>
      <c r="R9133" t="s">
        <v>26583</v>
      </c>
      <c r="S9133" t="s">
        <v>18958</v>
      </c>
      <c r="U9133" t="s">
        <v>26604</v>
      </c>
      <c r="X9133">
        <v>934</v>
      </c>
      <c r="Y9133" t="s">
        <v>26653</v>
      </c>
      <c r="AB9133" t="s">
        <v>33240</v>
      </c>
      <c r="AD9133" t="s">
        <v>43920</v>
      </c>
      <c r="AE9133">
        <v>7</v>
      </c>
      <c r="AH9133">
        <v>19</v>
      </c>
      <c r="AI9133">
        <v>1</v>
      </c>
      <c r="AJ9133">
        <v>0</v>
      </c>
      <c r="AK9133">
        <v>257</v>
      </c>
      <c r="AN9133" t="s">
        <v>7439</v>
      </c>
      <c r="AO9133">
        <v>31200</v>
      </c>
      <c r="AU9133">
        <v>0.75</v>
      </c>
      <c r="AV9133" t="s">
        <v>589</v>
      </c>
      <c r="AW9133" t="s">
        <v>46829</v>
      </c>
    </row>
    <row r="9134" spans="1:49">
      <c r="A9134" s="1">
        <f>HYPERLINK("https://lsnyc.legalserver.org/matter/dynamic-profile/view/1878537","18-1878537")</f>
        <v>0</v>
      </c>
      <c r="B9134" t="s">
        <v>200</v>
      </c>
      <c r="C9134" t="s">
        <v>340</v>
      </c>
      <c r="D9134" t="s">
        <v>589</v>
      </c>
      <c r="F9134" t="s">
        <v>1677</v>
      </c>
      <c r="G9134" t="s">
        <v>5762</v>
      </c>
      <c r="H9134" t="s">
        <v>10696</v>
      </c>
      <c r="I9134" t="s">
        <v>17430</v>
      </c>
      <c r="J9134" t="s">
        <v>18894</v>
      </c>
      <c r="K9134">
        <v>11221</v>
      </c>
      <c r="L9134" t="s">
        <v>18959</v>
      </c>
      <c r="M9134" t="s">
        <v>18960</v>
      </c>
      <c r="O9134" t="s">
        <v>26526</v>
      </c>
      <c r="P9134" t="s">
        <v>26562</v>
      </c>
      <c r="R9134" t="s">
        <v>26586</v>
      </c>
      <c r="U9134" t="s">
        <v>26607</v>
      </c>
      <c r="X9134">
        <v>800</v>
      </c>
      <c r="Y9134" t="s">
        <v>26652</v>
      </c>
      <c r="Z9134" t="s">
        <v>26659</v>
      </c>
      <c r="AB9134" t="s">
        <v>27838</v>
      </c>
      <c r="AD9134" t="s">
        <v>37889</v>
      </c>
      <c r="AE9134">
        <v>10</v>
      </c>
      <c r="AF9134" t="s">
        <v>45545</v>
      </c>
      <c r="AG9134" t="s">
        <v>19330</v>
      </c>
      <c r="AH9134">
        <v>8</v>
      </c>
      <c r="AI9134">
        <v>2</v>
      </c>
      <c r="AJ9134">
        <v>0</v>
      </c>
      <c r="AK9134">
        <v>174.97</v>
      </c>
      <c r="AN9134" t="s">
        <v>7439</v>
      </c>
      <c r="AO9134">
        <v>28800</v>
      </c>
      <c r="AU9134">
        <v>0</v>
      </c>
      <c r="AW9134" t="s">
        <v>46853</v>
      </c>
    </row>
    <row r="9135" spans="1:49">
      <c r="A9135" s="1">
        <f>HYPERLINK("https://lsnyc.legalserver.org/matter/dynamic-profile/view/1878521","18-1878521")</f>
        <v>0</v>
      </c>
      <c r="B9135" t="s">
        <v>115</v>
      </c>
      <c r="C9135" t="s">
        <v>340</v>
      </c>
      <c r="D9135" t="s">
        <v>589</v>
      </c>
      <c r="F9135" t="s">
        <v>4468</v>
      </c>
      <c r="G9135" t="s">
        <v>5351</v>
      </c>
      <c r="H9135" t="s">
        <v>15872</v>
      </c>
      <c r="I9135">
        <v>15</v>
      </c>
      <c r="J9135" t="s">
        <v>18892</v>
      </c>
      <c r="K9135">
        <v>10457</v>
      </c>
      <c r="L9135" t="s">
        <v>18960</v>
      </c>
      <c r="M9135" t="s">
        <v>18960</v>
      </c>
      <c r="R9135" t="s">
        <v>26578</v>
      </c>
      <c r="S9135" t="s">
        <v>18958</v>
      </c>
      <c r="U9135" t="s">
        <v>26604</v>
      </c>
      <c r="X9135">
        <v>300</v>
      </c>
      <c r="Y9135" t="s">
        <v>26650</v>
      </c>
      <c r="Z9135" t="s">
        <v>26663</v>
      </c>
      <c r="AB9135" t="s">
        <v>33241</v>
      </c>
      <c r="AD9135" t="s">
        <v>43921</v>
      </c>
      <c r="AE9135">
        <v>16</v>
      </c>
      <c r="AF9135" t="s">
        <v>45554</v>
      </c>
      <c r="AH9135">
        <v>1</v>
      </c>
      <c r="AI9135">
        <v>1</v>
      </c>
      <c r="AJ9135">
        <v>0</v>
      </c>
      <c r="AK9135">
        <v>82.73</v>
      </c>
      <c r="AN9135" t="s">
        <v>7439</v>
      </c>
      <c r="AO9135">
        <v>10044</v>
      </c>
      <c r="AU9135">
        <v>1</v>
      </c>
      <c r="AV9135" t="s">
        <v>589</v>
      </c>
      <c r="AW9135" t="s">
        <v>46843</v>
      </c>
    </row>
    <row r="9136" spans="1:49">
      <c r="A9136" s="1">
        <f>HYPERLINK("https://lsnyc.legalserver.org/matter/dynamic-profile/view/1878691","18-1878691")</f>
        <v>0</v>
      </c>
      <c r="B9136" t="s">
        <v>246</v>
      </c>
      <c r="C9136" t="s">
        <v>341</v>
      </c>
      <c r="D9136" t="s">
        <v>451</v>
      </c>
      <c r="E9136" t="s">
        <v>519</v>
      </c>
      <c r="F9136" t="s">
        <v>968</v>
      </c>
      <c r="G9136" t="s">
        <v>3036</v>
      </c>
      <c r="H9136" t="s">
        <v>15873</v>
      </c>
      <c r="I9136" t="s">
        <v>17356</v>
      </c>
      <c r="J9136" t="s">
        <v>18892</v>
      </c>
      <c r="K9136">
        <v>10467</v>
      </c>
      <c r="L9136" t="s">
        <v>18958</v>
      </c>
      <c r="M9136" t="s">
        <v>18958</v>
      </c>
      <c r="N9136" t="s">
        <v>25421</v>
      </c>
      <c r="O9136" t="s">
        <v>26524</v>
      </c>
      <c r="P9136" t="s">
        <v>26564</v>
      </c>
      <c r="Q9136" t="s">
        <v>26570</v>
      </c>
      <c r="R9136" t="s">
        <v>26592</v>
      </c>
      <c r="S9136" t="s">
        <v>18959</v>
      </c>
      <c r="U9136" t="s">
        <v>26604</v>
      </c>
      <c r="V9136" t="s">
        <v>26609</v>
      </c>
      <c r="X9136">
        <v>819</v>
      </c>
      <c r="Y9136" t="s">
        <v>26650</v>
      </c>
      <c r="Z9136" t="s">
        <v>26664</v>
      </c>
      <c r="AA9136" t="s">
        <v>26683</v>
      </c>
      <c r="AB9136" t="s">
        <v>33242</v>
      </c>
      <c r="AC9136" t="s">
        <v>36609</v>
      </c>
      <c r="AD9136" t="s">
        <v>43922</v>
      </c>
      <c r="AE9136">
        <v>0</v>
      </c>
      <c r="AF9136" t="s">
        <v>45549</v>
      </c>
      <c r="AG9136" t="s">
        <v>19330</v>
      </c>
      <c r="AH9136">
        <v>1</v>
      </c>
      <c r="AI9136">
        <v>2</v>
      </c>
      <c r="AJ9136">
        <v>0</v>
      </c>
      <c r="AK9136">
        <v>121.51</v>
      </c>
      <c r="AO9136">
        <v>20000</v>
      </c>
      <c r="AP9136" t="s">
        <v>46140</v>
      </c>
      <c r="AU9136">
        <v>7.7</v>
      </c>
      <c r="AV9136" t="s">
        <v>646</v>
      </c>
      <c r="AW9136" t="s">
        <v>334</v>
      </c>
    </row>
    <row r="9137" spans="1:50">
      <c r="A9137" s="1">
        <f>HYPERLINK("https://lsnyc.legalserver.org/matter/dynamic-profile/view/1878680","18-1878680")</f>
        <v>0</v>
      </c>
      <c r="B9137" t="s">
        <v>109</v>
      </c>
      <c r="C9137" t="s">
        <v>341</v>
      </c>
      <c r="D9137" t="s">
        <v>451</v>
      </c>
      <c r="E9137" t="s">
        <v>773</v>
      </c>
      <c r="F9137" t="s">
        <v>1065</v>
      </c>
      <c r="G9137" t="s">
        <v>5248</v>
      </c>
      <c r="H9137" t="s">
        <v>9837</v>
      </c>
      <c r="J9137" t="s">
        <v>18902</v>
      </c>
      <c r="K9137">
        <v>10314</v>
      </c>
      <c r="L9137" t="s">
        <v>18958</v>
      </c>
      <c r="M9137" t="s">
        <v>18959</v>
      </c>
      <c r="N9137" t="s">
        <v>25422</v>
      </c>
      <c r="O9137" t="s">
        <v>26524</v>
      </c>
      <c r="P9137" t="s">
        <v>26560</v>
      </c>
      <c r="Q9137" t="s">
        <v>26568</v>
      </c>
      <c r="R9137" t="s">
        <v>26590</v>
      </c>
      <c r="S9137" t="s">
        <v>18959</v>
      </c>
      <c r="U9137" t="s">
        <v>26604</v>
      </c>
      <c r="X9137">
        <v>1300</v>
      </c>
      <c r="Y9137" t="s">
        <v>26654</v>
      </c>
      <c r="Z9137" t="s">
        <v>26659</v>
      </c>
      <c r="AA9137" t="s">
        <v>26679</v>
      </c>
      <c r="AB9137" t="s">
        <v>26923</v>
      </c>
      <c r="AD9137" t="s">
        <v>37016</v>
      </c>
      <c r="AE9137">
        <v>2</v>
      </c>
      <c r="AG9137" t="s">
        <v>19330</v>
      </c>
      <c r="AH9137">
        <v>-1</v>
      </c>
      <c r="AI9137">
        <v>2</v>
      </c>
      <c r="AJ9137">
        <v>2</v>
      </c>
      <c r="AK9137">
        <v>0</v>
      </c>
      <c r="AN9137" t="s">
        <v>7439</v>
      </c>
      <c r="AO9137">
        <v>0</v>
      </c>
      <c r="AQ9137" t="s">
        <v>46365</v>
      </c>
      <c r="AR9137" t="s">
        <v>46384</v>
      </c>
      <c r="AS9137" t="s">
        <v>46500</v>
      </c>
      <c r="AT9137" t="s">
        <v>46556</v>
      </c>
      <c r="AU9137">
        <v>7.25</v>
      </c>
      <c r="AV9137" t="s">
        <v>800</v>
      </c>
      <c r="AW9137" t="s">
        <v>190</v>
      </c>
      <c r="AX9137" t="s">
        <v>46897</v>
      </c>
    </row>
    <row r="9138" spans="1:50">
      <c r="A9138" s="1">
        <f>HYPERLINK("https://lsnyc.legalserver.org/matter/dynamic-profile/view/1878641","18-1878641")</f>
        <v>0</v>
      </c>
      <c r="B9138" t="s">
        <v>279</v>
      </c>
      <c r="C9138" t="s">
        <v>341</v>
      </c>
      <c r="D9138" t="s">
        <v>451</v>
      </c>
      <c r="E9138" t="s">
        <v>688</v>
      </c>
      <c r="F9138" t="s">
        <v>954</v>
      </c>
      <c r="G9138" t="s">
        <v>1146</v>
      </c>
      <c r="H9138" t="s">
        <v>15874</v>
      </c>
      <c r="I9138" t="s">
        <v>17332</v>
      </c>
      <c r="J9138" t="s">
        <v>18894</v>
      </c>
      <c r="K9138">
        <v>11233</v>
      </c>
      <c r="L9138" t="s">
        <v>18959</v>
      </c>
      <c r="M9138" t="s">
        <v>18959</v>
      </c>
      <c r="O9138" t="s">
        <v>26529</v>
      </c>
      <c r="P9138" t="s">
        <v>26564</v>
      </c>
      <c r="Q9138" t="s">
        <v>26570</v>
      </c>
      <c r="R9138" t="s">
        <v>26578</v>
      </c>
      <c r="S9138" t="s">
        <v>18959</v>
      </c>
      <c r="U9138" t="s">
        <v>26604</v>
      </c>
      <c r="X9138">
        <v>1515</v>
      </c>
      <c r="Y9138" t="s">
        <v>26652</v>
      </c>
      <c r="Z9138" t="s">
        <v>26657</v>
      </c>
      <c r="AA9138" t="s">
        <v>26683</v>
      </c>
      <c r="AB9138" t="s">
        <v>30953</v>
      </c>
      <c r="AE9138">
        <v>6</v>
      </c>
      <c r="AF9138" t="s">
        <v>20460</v>
      </c>
      <c r="AG9138" t="s">
        <v>45558</v>
      </c>
      <c r="AH9138">
        <v>4</v>
      </c>
      <c r="AI9138">
        <v>1</v>
      </c>
      <c r="AJ9138">
        <v>1</v>
      </c>
      <c r="AK9138">
        <v>20.41</v>
      </c>
      <c r="AN9138" t="s">
        <v>7439</v>
      </c>
      <c r="AO9138">
        <v>3360</v>
      </c>
      <c r="AU9138">
        <v>0.66</v>
      </c>
      <c r="AV9138" t="s">
        <v>451</v>
      </c>
      <c r="AW9138" t="s">
        <v>46860</v>
      </c>
    </row>
    <row r="9139" spans="1:50">
      <c r="A9139" s="1">
        <f>HYPERLINK("https://lsnyc.legalserver.org/matter/dynamic-profile/view/1878644","18-1878644")</f>
        <v>0</v>
      </c>
      <c r="B9139" t="s">
        <v>202</v>
      </c>
      <c r="C9139" t="s">
        <v>340</v>
      </c>
      <c r="D9139" t="s">
        <v>451</v>
      </c>
      <c r="F9139" t="s">
        <v>1482</v>
      </c>
      <c r="G9139" t="s">
        <v>5164</v>
      </c>
      <c r="H9139" t="s">
        <v>10401</v>
      </c>
      <c r="I9139" t="s">
        <v>17541</v>
      </c>
      <c r="J9139" t="s">
        <v>18894</v>
      </c>
      <c r="K9139">
        <v>11225</v>
      </c>
      <c r="L9139" t="s">
        <v>18959</v>
      </c>
      <c r="M9139" t="s">
        <v>18960</v>
      </c>
      <c r="O9139" t="s">
        <v>26526</v>
      </c>
      <c r="P9139" t="s">
        <v>26560</v>
      </c>
      <c r="R9139" t="s">
        <v>26586</v>
      </c>
      <c r="U9139" t="s">
        <v>26604</v>
      </c>
      <c r="X9139">
        <v>0</v>
      </c>
      <c r="Y9139" t="s">
        <v>26652</v>
      </c>
      <c r="AB9139" t="s">
        <v>27512</v>
      </c>
      <c r="AE9139">
        <v>0</v>
      </c>
      <c r="AH9139">
        <v>0</v>
      </c>
      <c r="AI9139">
        <v>3</v>
      </c>
      <c r="AJ9139">
        <v>1</v>
      </c>
      <c r="AK9139">
        <v>124.3</v>
      </c>
      <c r="AN9139" t="s">
        <v>7439</v>
      </c>
      <c r="AO9139">
        <v>31200</v>
      </c>
      <c r="AU9139">
        <v>55.2</v>
      </c>
      <c r="AV9139" t="s">
        <v>839</v>
      </c>
      <c r="AW9139" t="s">
        <v>46856</v>
      </c>
    </row>
    <row r="9140" spans="1:50">
      <c r="A9140" s="1">
        <f>HYPERLINK("https://lsnyc.legalserver.org/matter/dynamic-profile/view/1878626","18-1878626")</f>
        <v>0</v>
      </c>
      <c r="B9140" t="s">
        <v>230</v>
      </c>
      <c r="C9140" t="s">
        <v>340</v>
      </c>
      <c r="D9140" t="s">
        <v>451</v>
      </c>
      <c r="F9140" t="s">
        <v>4469</v>
      </c>
      <c r="G9140" t="s">
        <v>5436</v>
      </c>
      <c r="H9140" t="s">
        <v>13559</v>
      </c>
      <c r="I9140">
        <v>611</v>
      </c>
      <c r="J9140" t="s">
        <v>18894</v>
      </c>
      <c r="K9140">
        <v>11216</v>
      </c>
      <c r="L9140" t="s">
        <v>18960</v>
      </c>
      <c r="M9140" t="s">
        <v>18960</v>
      </c>
      <c r="O9140" t="s">
        <v>26523</v>
      </c>
      <c r="P9140" t="s">
        <v>26560</v>
      </c>
      <c r="R9140" t="s">
        <v>26588</v>
      </c>
      <c r="U9140" t="s">
        <v>26604</v>
      </c>
      <c r="X9140">
        <v>0</v>
      </c>
      <c r="Y9140" t="s">
        <v>26652</v>
      </c>
      <c r="Z9140" t="s">
        <v>26659</v>
      </c>
      <c r="AB9140" t="s">
        <v>29061</v>
      </c>
      <c r="AD9140" t="s">
        <v>43923</v>
      </c>
      <c r="AE9140">
        <v>0</v>
      </c>
      <c r="AH9140">
        <v>0</v>
      </c>
      <c r="AI9140">
        <v>1</v>
      </c>
      <c r="AJ9140">
        <v>0</v>
      </c>
      <c r="AK9140">
        <v>81.05</v>
      </c>
      <c r="AN9140" t="s">
        <v>7439</v>
      </c>
      <c r="AO9140">
        <v>9840</v>
      </c>
      <c r="AU9140">
        <v>59.3</v>
      </c>
      <c r="AV9140" t="s">
        <v>574</v>
      </c>
      <c r="AW9140" t="s">
        <v>46856</v>
      </c>
    </row>
    <row r="9141" spans="1:50">
      <c r="A9141" s="1">
        <f>HYPERLINK("https://lsnyc.legalserver.org/matter/dynamic-profile/view/1878630","18-1878630")</f>
        <v>0</v>
      </c>
      <c r="B9141" t="s">
        <v>200</v>
      </c>
      <c r="C9141" t="s">
        <v>340</v>
      </c>
      <c r="D9141" t="s">
        <v>451</v>
      </c>
      <c r="F9141" t="s">
        <v>1367</v>
      </c>
      <c r="G9141" t="s">
        <v>2975</v>
      </c>
      <c r="H9141" t="s">
        <v>11297</v>
      </c>
      <c r="I9141">
        <v>2</v>
      </c>
      <c r="J9141" t="s">
        <v>18894</v>
      </c>
      <c r="K9141">
        <v>11212</v>
      </c>
      <c r="L9141" t="s">
        <v>18960</v>
      </c>
      <c r="M9141" t="s">
        <v>18960</v>
      </c>
      <c r="R9141" t="s">
        <v>26591</v>
      </c>
      <c r="U9141" t="s">
        <v>26604</v>
      </c>
      <c r="X9141">
        <v>0</v>
      </c>
      <c r="Y9141" t="s">
        <v>26652</v>
      </c>
      <c r="AB9141" t="s">
        <v>28487</v>
      </c>
      <c r="AD9141" t="s">
        <v>38545</v>
      </c>
      <c r="AE9141">
        <v>0</v>
      </c>
      <c r="AH9141">
        <v>0</v>
      </c>
      <c r="AI9141">
        <v>1</v>
      </c>
      <c r="AJ9141">
        <v>3</v>
      </c>
      <c r="AK9141">
        <v>46.37</v>
      </c>
      <c r="AN9141" t="s">
        <v>7439</v>
      </c>
      <c r="AO9141">
        <v>11640</v>
      </c>
      <c r="AU9141">
        <v>0.5</v>
      </c>
      <c r="AV9141" t="s">
        <v>451</v>
      </c>
      <c r="AW9141" t="s">
        <v>46841</v>
      </c>
    </row>
    <row r="9142" spans="1:50">
      <c r="A9142" s="1">
        <f>HYPERLINK("https://lsnyc.legalserver.org/matter/dynamic-profile/view/1878715","18-1878715")</f>
        <v>0</v>
      </c>
      <c r="B9142" t="s">
        <v>114</v>
      </c>
      <c r="C9142" t="s">
        <v>340</v>
      </c>
      <c r="D9142" t="s">
        <v>451</v>
      </c>
      <c r="F9142" t="s">
        <v>1592</v>
      </c>
      <c r="G9142" t="s">
        <v>6231</v>
      </c>
      <c r="H9142" t="s">
        <v>15875</v>
      </c>
      <c r="I9142" t="s">
        <v>18482</v>
      </c>
      <c r="J9142" t="s">
        <v>18907</v>
      </c>
      <c r="K9142">
        <v>11377</v>
      </c>
      <c r="L9142" t="s">
        <v>18958</v>
      </c>
      <c r="M9142" t="s">
        <v>18958</v>
      </c>
      <c r="N9142" t="s">
        <v>25423</v>
      </c>
      <c r="O9142" t="s">
        <v>26524</v>
      </c>
      <c r="P9142" t="s">
        <v>26560</v>
      </c>
      <c r="R9142" t="s">
        <v>26584</v>
      </c>
      <c r="S9142" t="s">
        <v>18959</v>
      </c>
      <c r="U9142" t="s">
        <v>26604</v>
      </c>
      <c r="V9142" t="s">
        <v>26610</v>
      </c>
      <c r="X9142">
        <v>1136</v>
      </c>
      <c r="Y9142" t="s">
        <v>26653</v>
      </c>
      <c r="Z9142" t="s">
        <v>26660</v>
      </c>
      <c r="AB9142" t="s">
        <v>32711</v>
      </c>
      <c r="AD9142" t="s">
        <v>43924</v>
      </c>
      <c r="AE9142">
        <v>6</v>
      </c>
      <c r="AF9142" t="s">
        <v>45541</v>
      </c>
      <c r="AG9142" t="s">
        <v>19330</v>
      </c>
      <c r="AH9142">
        <v>24</v>
      </c>
      <c r="AI9142">
        <v>3</v>
      </c>
      <c r="AJ9142">
        <v>1</v>
      </c>
      <c r="AK9142">
        <v>47.81</v>
      </c>
      <c r="AM9142" t="s">
        <v>45575</v>
      </c>
      <c r="AN9142" t="s">
        <v>45581</v>
      </c>
      <c r="AO9142">
        <v>12000</v>
      </c>
      <c r="AU9142">
        <v>36.55</v>
      </c>
      <c r="AV9142" t="s">
        <v>666</v>
      </c>
      <c r="AW9142" t="s">
        <v>114</v>
      </c>
    </row>
    <row r="9143" spans="1:50">
      <c r="A9143" s="1">
        <f>HYPERLINK("https://lsnyc.legalserver.org/matter/dynamic-profile/view/1878784","18-1878784")</f>
        <v>0</v>
      </c>
      <c r="B9143" t="s">
        <v>165</v>
      </c>
      <c r="C9143" t="s">
        <v>341</v>
      </c>
      <c r="D9143" t="s">
        <v>599</v>
      </c>
      <c r="E9143" t="s">
        <v>810</v>
      </c>
      <c r="F9143" t="s">
        <v>2121</v>
      </c>
      <c r="G9143" t="s">
        <v>5121</v>
      </c>
      <c r="H9143" t="s">
        <v>15876</v>
      </c>
      <c r="I9143">
        <v>2</v>
      </c>
      <c r="J9143" t="s">
        <v>18893</v>
      </c>
      <c r="K9143">
        <v>10029</v>
      </c>
      <c r="L9143" t="s">
        <v>18960</v>
      </c>
      <c r="M9143" t="s">
        <v>18960</v>
      </c>
      <c r="N9143" t="s">
        <v>25424</v>
      </c>
      <c r="O9143" t="s">
        <v>26523</v>
      </c>
      <c r="P9143" t="s">
        <v>26564</v>
      </c>
      <c r="Q9143" t="s">
        <v>26570</v>
      </c>
      <c r="R9143" t="s">
        <v>26582</v>
      </c>
      <c r="U9143" t="s">
        <v>26604</v>
      </c>
      <c r="X9143">
        <v>1550</v>
      </c>
      <c r="Y9143" t="s">
        <v>26651</v>
      </c>
      <c r="AA9143" t="s">
        <v>26683</v>
      </c>
      <c r="AB9143" t="s">
        <v>33243</v>
      </c>
      <c r="AD9143" t="s">
        <v>43925</v>
      </c>
      <c r="AE9143">
        <v>8</v>
      </c>
      <c r="AH9143">
        <v>6</v>
      </c>
      <c r="AI9143">
        <v>1</v>
      </c>
      <c r="AJ9143">
        <v>0</v>
      </c>
      <c r="AK9143">
        <v>43.69</v>
      </c>
      <c r="AN9143" t="s">
        <v>7439</v>
      </c>
      <c r="AO9143">
        <v>5304</v>
      </c>
      <c r="AU9143">
        <v>1.3</v>
      </c>
      <c r="AV9143" t="s">
        <v>624</v>
      </c>
      <c r="AW9143" t="s">
        <v>46838</v>
      </c>
    </row>
    <row r="9144" spans="1:50">
      <c r="A9144" s="1">
        <f>HYPERLINK("https://lsnyc.legalserver.org/matter/dynamic-profile/view/1872104","18-1872104")</f>
        <v>0</v>
      </c>
      <c r="B9144" t="s">
        <v>249</v>
      </c>
      <c r="C9144" t="s">
        <v>341</v>
      </c>
      <c r="D9144" t="s">
        <v>599</v>
      </c>
      <c r="E9144" t="s">
        <v>678</v>
      </c>
      <c r="F9144" t="s">
        <v>2819</v>
      </c>
      <c r="G9144" t="s">
        <v>8751</v>
      </c>
      <c r="H9144" t="s">
        <v>15169</v>
      </c>
      <c r="I9144" t="s">
        <v>17436</v>
      </c>
      <c r="J9144" t="s">
        <v>18894</v>
      </c>
      <c r="K9144">
        <v>11207</v>
      </c>
      <c r="L9144" t="s">
        <v>18959</v>
      </c>
      <c r="M9144" t="s">
        <v>18959</v>
      </c>
      <c r="N9144" t="s">
        <v>18997</v>
      </c>
      <c r="Q9144" t="s">
        <v>26570</v>
      </c>
      <c r="R9144" t="s">
        <v>26578</v>
      </c>
      <c r="S9144" t="s">
        <v>18959</v>
      </c>
      <c r="U9144" t="s">
        <v>26604</v>
      </c>
      <c r="X9144">
        <v>1329</v>
      </c>
      <c r="Y9144" t="s">
        <v>26652</v>
      </c>
      <c r="Z9144" t="s">
        <v>26655</v>
      </c>
      <c r="AA9144" t="s">
        <v>26683</v>
      </c>
      <c r="AB9144" t="s">
        <v>33244</v>
      </c>
      <c r="AC9144" t="s">
        <v>34508</v>
      </c>
      <c r="AD9144" t="s">
        <v>43926</v>
      </c>
      <c r="AE9144">
        <v>84</v>
      </c>
      <c r="AF9144" t="s">
        <v>45541</v>
      </c>
      <c r="AG9144" t="s">
        <v>19330</v>
      </c>
      <c r="AH9144">
        <v>45</v>
      </c>
      <c r="AI9144">
        <v>1</v>
      </c>
      <c r="AJ9144">
        <v>0</v>
      </c>
      <c r="AK9144">
        <v>257</v>
      </c>
      <c r="AN9144" t="s">
        <v>7439</v>
      </c>
      <c r="AO9144">
        <v>31200</v>
      </c>
      <c r="AU9144">
        <v>1.4</v>
      </c>
      <c r="AV9144" t="s">
        <v>678</v>
      </c>
      <c r="AW9144" t="s">
        <v>46837</v>
      </c>
    </row>
    <row r="9145" spans="1:50">
      <c r="A9145" s="1">
        <f>HYPERLINK("https://lsnyc.legalserver.org/matter/dynamic-profile/view/1878838","18-1878838")</f>
        <v>0</v>
      </c>
      <c r="B9145" t="s">
        <v>101</v>
      </c>
      <c r="C9145" t="s">
        <v>341</v>
      </c>
      <c r="D9145" t="s">
        <v>599</v>
      </c>
      <c r="E9145" t="s">
        <v>529</v>
      </c>
      <c r="F9145" t="s">
        <v>4470</v>
      </c>
      <c r="G9145" t="s">
        <v>6727</v>
      </c>
      <c r="H9145" t="s">
        <v>15877</v>
      </c>
      <c r="I9145">
        <v>2</v>
      </c>
      <c r="J9145" t="s">
        <v>18894</v>
      </c>
      <c r="K9145">
        <v>11236</v>
      </c>
      <c r="L9145" t="s">
        <v>18959</v>
      </c>
      <c r="M9145" t="s">
        <v>18960</v>
      </c>
      <c r="N9145" t="s">
        <v>25425</v>
      </c>
      <c r="O9145" t="s">
        <v>26524</v>
      </c>
      <c r="P9145" t="s">
        <v>26563</v>
      </c>
      <c r="Q9145" t="s">
        <v>26570</v>
      </c>
      <c r="R9145" t="s">
        <v>26586</v>
      </c>
      <c r="U9145" t="s">
        <v>26604</v>
      </c>
      <c r="X9145">
        <v>1500</v>
      </c>
      <c r="Y9145" t="s">
        <v>26652</v>
      </c>
      <c r="Z9145" t="s">
        <v>26664</v>
      </c>
      <c r="AA9145" t="s">
        <v>26683</v>
      </c>
      <c r="AB9145" t="s">
        <v>30339</v>
      </c>
      <c r="AD9145" t="s">
        <v>43927</v>
      </c>
      <c r="AE9145">
        <v>0</v>
      </c>
      <c r="AH9145">
        <v>14</v>
      </c>
      <c r="AI9145">
        <v>1</v>
      </c>
      <c r="AJ9145">
        <v>0</v>
      </c>
      <c r="AK9145">
        <v>0</v>
      </c>
      <c r="AN9145" t="s">
        <v>7439</v>
      </c>
      <c r="AO9145">
        <v>0</v>
      </c>
      <c r="AU9145">
        <v>2.5</v>
      </c>
      <c r="AV9145" t="s">
        <v>529</v>
      </c>
      <c r="AW9145" t="s">
        <v>46862</v>
      </c>
    </row>
    <row r="9146" spans="1:50">
      <c r="A9146" s="1">
        <f>HYPERLINK("https://lsnyc.legalserver.org/matter/dynamic-profile/view/1878748","18-1878748")</f>
        <v>0</v>
      </c>
      <c r="B9146" t="s">
        <v>312</v>
      </c>
      <c r="C9146" t="s">
        <v>341</v>
      </c>
      <c r="D9146" t="s">
        <v>599</v>
      </c>
      <c r="E9146" t="s">
        <v>867</v>
      </c>
      <c r="F9146" t="s">
        <v>2121</v>
      </c>
      <c r="G9146" t="s">
        <v>1725</v>
      </c>
      <c r="H9146" t="s">
        <v>15878</v>
      </c>
      <c r="I9146" t="s">
        <v>17410</v>
      </c>
      <c r="J9146" t="s">
        <v>18893</v>
      </c>
      <c r="K9146">
        <v>10026</v>
      </c>
      <c r="L9146" t="s">
        <v>18958</v>
      </c>
      <c r="M9146" t="s">
        <v>18958</v>
      </c>
      <c r="N9146" t="s">
        <v>25426</v>
      </c>
      <c r="O9146" t="s">
        <v>26524</v>
      </c>
      <c r="P9146" t="s">
        <v>26560</v>
      </c>
      <c r="Q9146" t="s">
        <v>26568</v>
      </c>
      <c r="R9146" t="s">
        <v>26580</v>
      </c>
      <c r="U9146" t="s">
        <v>26604</v>
      </c>
      <c r="V9146" t="s">
        <v>26610</v>
      </c>
      <c r="X9146">
        <v>1250</v>
      </c>
      <c r="Y9146" t="s">
        <v>26651</v>
      </c>
      <c r="Z9146" t="s">
        <v>26674</v>
      </c>
      <c r="AA9146" t="s">
        <v>26679</v>
      </c>
      <c r="AB9146" t="s">
        <v>33245</v>
      </c>
      <c r="AC9146" t="s">
        <v>36610</v>
      </c>
      <c r="AE9146">
        <v>0</v>
      </c>
      <c r="AF9146" t="s">
        <v>45547</v>
      </c>
      <c r="AG9146" t="s">
        <v>19330</v>
      </c>
      <c r="AH9146">
        <v>10</v>
      </c>
      <c r="AI9146">
        <v>1</v>
      </c>
      <c r="AJ9146">
        <v>4</v>
      </c>
      <c r="AK9146">
        <v>86.36</v>
      </c>
      <c r="AN9146" t="s">
        <v>45581</v>
      </c>
      <c r="AO9146">
        <v>25407.72</v>
      </c>
      <c r="AU9146">
        <v>5.6</v>
      </c>
      <c r="AV9146" t="s">
        <v>624</v>
      </c>
      <c r="AW9146" t="s">
        <v>314</v>
      </c>
    </row>
    <row r="9147" spans="1:50">
      <c r="A9147" s="1">
        <f>HYPERLINK("https://lsnyc.legalserver.org/matter/dynamic-profile/view/1878752","18-1878752")</f>
        <v>0</v>
      </c>
      <c r="B9147" t="s">
        <v>156</v>
      </c>
      <c r="C9147" t="s">
        <v>340</v>
      </c>
      <c r="D9147" t="s">
        <v>599</v>
      </c>
      <c r="F9147" t="s">
        <v>3838</v>
      </c>
      <c r="G9147" t="s">
        <v>5180</v>
      </c>
      <c r="H9147" t="s">
        <v>15879</v>
      </c>
      <c r="I9147" t="s">
        <v>17410</v>
      </c>
      <c r="J9147" t="s">
        <v>18893</v>
      </c>
      <c r="K9147">
        <v>10030</v>
      </c>
      <c r="L9147" t="s">
        <v>18960</v>
      </c>
      <c r="M9147" t="s">
        <v>18960</v>
      </c>
      <c r="N9147">
        <v>15237</v>
      </c>
      <c r="O9147" t="s">
        <v>26524</v>
      </c>
      <c r="P9147" t="s">
        <v>26564</v>
      </c>
      <c r="R9147" t="s">
        <v>26582</v>
      </c>
      <c r="S9147" t="s">
        <v>18959</v>
      </c>
      <c r="U9147" t="s">
        <v>26605</v>
      </c>
      <c r="X9147">
        <v>1100</v>
      </c>
      <c r="Y9147" t="s">
        <v>26651</v>
      </c>
      <c r="AB9147" t="s">
        <v>33246</v>
      </c>
      <c r="AD9147" t="s">
        <v>43928</v>
      </c>
      <c r="AE9147">
        <v>62</v>
      </c>
      <c r="AH9147">
        <v>17</v>
      </c>
      <c r="AI9147">
        <v>1</v>
      </c>
      <c r="AJ9147">
        <v>0</v>
      </c>
      <c r="AK9147">
        <v>128.5</v>
      </c>
      <c r="AN9147" t="s">
        <v>7439</v>
      </c>
      <c r="AO9147">
        <v>15600</v>
      </c>
      <c r="AU9147">
        <v>0.3</v>
      </c>
      <c r="AV9147" t="s">
        <v>594</v>
      </c>
      <c r="AW9147" t="s">
        <v>46838</v>
      </c>
    </row>
    <row r="9148" spans="1:50">
      <c r="A9148" s="1">
        <f>HYPERLINK("https://lsnyc.legalserver.org/matter/dynamic-profile/view/1878776","18-1878776")</f>
        <v>0</v>
      </c>
      <c r="B9148" t="s">
        <v>180</v>
      </c>
      <c r="C9148" t="s">
        <v>340</v>
      </c>
      <c r="D9148" t="s">
        <v>599</v>
      </c>
      <c r="F9148" t="s">
        <v>964</v>
      </c>
      <c r="G9148" t="s">
        <v>8406</v>
      </c>
      <c r="H9148" t="s">
        <v>12604</v>
      </c>
      <c r="I9148" t="s">
        <v>18329</v>
      </c>
      <c r="J9148" t="s">
        <v>18894</v>
      </c>
      <c r="K9148">
        <v>11225</v>
      </c>
      <c r="L9148" t="s">
        <v>18960</v>
      </c>
      <c r="M9148" t="s">
        <v>18960</v>
      </c>
      <c r="N9148" t="s">
        <v>24414</v>
      </c>
      <c r="O9148" t="s">
        <v>26523</v>
      </c>
      <c r="P9148" t="s">
        <v>26560</v>
      </c>
      <c r="R9148" t="s">
        <v>26588</v>
      </c>
      <c r="U9148" t="s">
        <v>26604</v>
      </c>
      <c r="X9148">
        <v>1074</v>
      </c>
      <c r="Y9148" t="s">
        <v>26652</v>
      </c>
      <c r="Z9148" t="s">
        <v>26659</v>
      </c>
      <c r="AB9148" t="s">
        <v>32385</v>
      </c>
      <c r="AD9148" t="s">
        <v>42791</v>
      </c>
      <c r="AE9148">
        <v>55</v>
      </c>
      <c r="AF9148" t="s">
        <v>45541</v>
      </c>
      <c r="AG9148" t="s">
        <v>19330</v>
      </c>
      <c r="AH9148">
        <v>22</v>
      </c>
      <c r="AI9148">
        <v>2</v>
      </c>
      <c r="AJ9148">
        <v>0</v>
      </c>
      <c r="AK9148">
        <v>241.8</v>
      </c>
      <c r="AL9148" t="s">
        <v>605</v>
      </c>
      <c r="AN9148" t="s">
        <v>7439</v>
      </c>
      <c r="AO9148">
        <v>39800</v>
      </c>
      <c r="AU9148">
        <v>24.2</v>
      </c>
      <c r="AV9148" t="s">
        <v>789</v>
      </c>
      <c r="AW9148" t="s">
        <v>46853</v>
      </c>
    </row>
    <row r="9149" spans="1:50">
      <c r="A9149" s="1">
        <f>HYPERLINK("https://lsnyc.legalserver.org/matter/dynamic-profile/view/1878803","18-1878803")</f>
        <v>0</v>
      </c>
      <c r="B9149" t="s">
        <v>200</v>
      </c>
      <c r="C9149" t="s">
        <v>340</v>
      </c>
      <c r="D9149" t="s">
        <v>599</v>
      </c>
      <c r="F9149" t="s">
        <v>4444</v>
      </c>
      <c r="G9149" t="s">
        <v>5221</v>
      </c>
      <c r="H9149" t="s">
        <v>15804</v>
      </c>
      <c r="I9149" t="s">
        <v>17374</v>
      </c>
      <c r="J9149" t="s">
        <v>18894</v>
      </c>
      <c r="K9149">
        <v>11212</v>
      </c>
      <c r="L9149" t="s">
        <v>18959</v>
      </c>
      <c r="M9149" t="s">
        <v>18959</v>
      </c>
      <c r="O9149" t="s">
        <v>26526</v>
      </c>
      <c r="R9149" t="s">
        <v>26578</v>
      </c>
      <c r="S9149" t="s">
        <v>18959</v>
      </c>
      <c r="U9149" t="s">
        <v>26604</v>
      </c>
      <c r="X9149">
        <v>625</v>
      </c>
      <c r="Y9149" t="s">
        <v>26652</v>
      </c>
      <c r="AB9149" t="s">
        <v>26715</v>
      </c>
      <c r="AC9149" t="s">
        <v>34508</v>
      </c>
      <c r="AE9149">
        <v>5</v>
      </c>
      <c r="AF9149" t="s">
        <v>20460</v>
      </c>
      <c r="AG9149" t="s">
        <v>45558</v>
      </c>
      <c r="AH9149">
        <v>0</v>
      </c>
      <c r="AI9149">
        <v>1</v>
      </c>
      <c r="AJ9149">
        <v>1</v>
      </c>
      <c r="AK9149">
        <v>14.37</v>
      </c>
      <c r="AN9149" t="s">
        <v>7439</v>
      </c>
      <c r="AO9149">
        <v>2366</v>
      </c>
      <c r="AU9149">
        <v>0</v>
      </c>
      <c r="AW9149" t="s">
        <v>279</v>
      </c>
    </row>
    <row r="9150" spans="1:50">
      <c r="A9150" s="1">
        <f>HYPERLINK("https://lsnyc.legalserver.org/matter/dynamic-profile/view/1878797","18-1878797")</f>
        <v>0</v>
      </c>
      <c r="B9150" t="s">
        <v>200</v>
      </c>
      <c r="C9150" t="s">
        <v>340</v>
      </c>
      <c r="D9150" t="s">
        <v>599</v>
      </c>
      <c r="F9150" t="s">
        <v>1604</v>
      </c>
      <c r="G9150" t="s">
        <v>6997</v>
      </c>
      <c r="H9150" t="s">
        <v>10601</v>
      </c>
      <c r="I9150">
        <v>1</v>
      </c>
      <c r="J9150" t="s">
        <v>18894</v>
      </c>
      <c r="K9150">
        <v>11208</v>
      </c>
      <c r="L9150" t="s">
        <v>18958</v>
      </c>
      <c r="M9150" t="s">
        <v>18958</v>
      </c>
      <c r="O9150" t="s">
        <v>26526</v>
      </c>
      <c r="P9150" t="s">
        <v>26565</v>
      </c>
      <c r="R9150" t="s">
        <v>26578</v>
      </c>
      <c r="U9150" t="s">
        <v>26604</v>
      </c>
      <c r="X9150">
        <v>1956</v>
      </c>
      <c r="Y9150" t="s">
        <v>26652</v>
      </c>
      <c r="Z9150" t="s">
        <v>26659</v>
      </c>
      <c r="AB9150" t="s">
        <v>27728</v>
      </c>
      <c r="AD9150" t="s">
        <v>37779</v>
      </c>
      <c r="AE9150">
        <v>2</v>
      </c>
      <c r="AF9150" t="s">
        <v>45547</v>
      </c>
      <c r="AG9150" t="s">
        <v>45557</v>
      </c>
      <c r="AH9150">
        <v>3</v>
      </c>
      <c r="AI9150">
        <v>1</v>
      </c>
      <c r="AJ9150">
        <v>5</v>
      </c>
      <c r="AK9150">
        <v>16.36</v>
      </c>
      <c r="AN9150" t="s">
        <v>7439</v>
      </c>
      <c r="AO9150">
        <v>5520</v>
      </c>
      <c r="AU9150">
        <v>1</v>
      </c>
      <c r="AV9150" t="s">
        <v>583</v>
      </c>
      <c r="AW9150" t="s">
        <v>46862</v>
      </c>
    </row>
    <row r="9151" spans="1:50">
      <c r="A9151" s="1">
        <f>HYPERLINK("https://lsnyc.legalserver.org/matter/dynamic-profile/view/1878807","18-1878807")</f>
        <v>0</v>
      </c>
      <c r="B9151" t="s">
        <v>200</v>
      </c>
      <c r="C9151" t="s">
        <v>340</v>
      </c>
      <c r="D9151" t="s">
        <v>599</v>
      </c>
      <c r="F9151" t="s">
        <v>4471</v>
      </c>
      <c r="G9151" t="s">
        <v>5297</v>
      </c>
      <c r="H9151" t="s">
        <v>15880</v>
      </c>
      <c r="I9151" t="s">
        <v>18427</v>
      </c>
      <c r="J9151" t="s">
        <v>18894</v>
      </c>
      <c r="K9151">
        <v>11216</v>
      </c>
      <c r="L9151" t="s">
        <v>18960</v>
      </c>
      <c r="M9151" t="s">
        <v>18960</v>
      </c>
      <c r="O9151" t="s">
        <v>18997</v>
      </c>
      <c r="R9151" t="s">
        <v>26586</v>
      </c>
      <c r="U9151" t="s">
        <v>26607</v>
      </c>
      <c r="X9151">
        <v>1557</v>
      </c>
      <c r="Y9151" t="s">
        <v>26652</v>
      </c>
      <c r="Z9151" t="s">
        <v>26660</v>
      </c>
      <c r="AB9151" t="s">
        <v>27728</v>
      </c>
      <c r="AE9151">
        <v>8</v>
      </c>
      <c r="AF9151" t="s">
        <v>45541</v>
      </c>
      <c r="AG9151" t="s">
        <v>19330</v>
      </c>
      <c r="AH9151">
        <v>10</v>
      </c>
      <c r="AI9151">
        <v>3</v>
      </c>
      <c r="AJ9151">
        <v>3</v>
      </c>
      <c r="AK9151">
        <v>391.23</v>
      </c>
      <c r="AN9151" t="s">
        <v>7439</v>
      </c>
      <c r="AO9151">
        <v>132000</v>
      </c>
      <c r="AU9151">
        <v>0</v>
      </c>
      <c r="AW9151" t="s">
        <v>46853</v>
      </c>
    </row>
    <row r="9152" spans="1:50">
      <c r="A9152" s="1">
        <f>HYPERLINK("https://lsnyc.legalserver.org/matter/dynamic-profile/view/1878780","18-1878780")</f>
        <v>0</v>
      </c>
      <c r="B9152" t="s">
        <v>59</v>
      </c>
      <c r="C9152" t="s">
        <v>340</v>
      </c>
      <c r="D9152" t="s">
        <v>599</v>
      </c>
      <c r="F9152" t="s">
        <v>4472</v>
      </c>
      <c r="G9152" t="s">
        <v>5266</v>
      </c>
      <c r="H9152" t="s">
        <v>15881</v>
      </c>
      <c r="I9152" t="s">
        <v>17390</v>
      </c>
      <c r="J9152" t="s">
        <v>18893</v>
      </c>
      <c r="K9152">
        <v>10026</v>
      </c>
      <c r="L9152" t="s">
        <v>18958</v>
      </c>
      <c r="M9152" t="s">
        <v>18958</v>
      </c>
      <c r="N9152" t="s">
        <v>25427</v>
      </c>
      <c r="O9152" t="s">
        <v>26523</v>
      </c>
      <c r="P9152" t="s">
        <v>26560</v>
      </c>
      <c r="R9152" t="s">
        <v>26580</v>
      </c>
      <c r="U9152" t="s">
        <v>26604</v>
      </c>
      <c r="X9152">
        <v>698</v>
      </c>
      <c r="Y9152" t="s">
        <v>26651</v>
      </c>
      <c r="Z9152" t="s">
        <v>26664</v>
      </c>
      <c r="AB9152" t="s">
        <v>33247</v>
      </c>
      <c r="AD9152" t="s">
        <v>43929</v>
      </c>
      <c r="AE9152">
        <v>0</v>
      </c>
      <c r="AF9152" t="s">
        <v>45544</v>
      </c>
      <c r="AG9152" t="s">
        <v>19330</v>
      </c>
      <c r="AH9152">
        <v>57</v>
      </c>
      <c r="AI9152">
        <v>1</v>
      </c>
      <c r="AJ9152">
        <v>0</v>
      </c>
      <c r="AK9152">
        <v>125.34</v>
      </c>
      <c r="AN9152" t="s">
        <v>7439</v>
      </c>
      <c r="AO9152">
        <v>15216</v>
      </c>
      <c r="AU9152">
        <v>23</v>
      </c>
      <c r="AV9152" t="s">
        <v>815</v>
      </c>
      <c r="AW9152" t="s">
        <v>314</v>
      </c>
    </row>
    <row r="9153" spans="1:49">
      <c r="A9153" s="1">
        <f>HYPERLINK("https://lsnyc.legalserver.org/matter/dynamic-profile/view/1878771","18-1878771")</f>
        <v>0</v>
      </c>
      <c r="B9153" t="s">
        <v>59</v>
      </c>
      <c r="C9153" t="s">
        <v>340</v>
      </c>
      <c r="D9153" t="s">
        <v>599</v>
      </c>
      <c r="F9153" t="s">
        <v>1368</v>
      </c>
      <c r="G9153" t="s">
        <v>5401</v>
      </c>
      <c r="H9153" t="s">
        <v>11196</v>
      </c>
      <c r="I9153" t="s">
        <v>17440</v>
      </c>
      <c r="J9153" t="s">
        <v>18893</v>
      </c>
      <c r="K9153">
        <v>10027</v>
      </c>
      <c r="L9153" t="s">
        <v>18958</v>
      </c>
      <c r="M9153" t="s">
        <v>18958</v>
      </c>
      <c r="N9153" t="s">
        <v>25428</v>
      </c>
      <c r="O9153" t="s">
        <v>26523</v>
      </c>
      <c r="P9153" t="s">
        <v>26560</v>
      </c>
      <c r="R9153" t="s">
        <v>26580</v>
      </c>
      <c r="U9153" t="s">
        <v>26606</v>
      </c>
      <c r="V9153" t="s">
        <v>26610</v>
      </c>
      <c r="X9153">
        <v>1588</v>
      </c>
      <c r="Y9153" t="s">
        <v>26651</v>
      </c>
      <c r="Z9153" t="s">
        <v>26664</v>
      </c>
      <c r="AB9153" t="s">
        <v>33248</v>
      </c>
      <c r="AD9153" t="s">
        <v>43930</v>
      </c>
      <c r="AE9153">
        <v>0</v>
      </c>
      <c r="AF9153" t="s">
        <v>45543</v>
      </c>
      <c r="AG9153" t="s">
        <v>45556</v>
      </c>
      <c r="AH9153">
        <v>2</v>
      </c>
      <c r="AI9153">
        <v>1</v>
      </c>
      <c r="AJ9153">
        <v>2</v>
      </c>
      <c r="AK9153">
        <v>131.13</v>
      </c>
      <c r="AN9153" t="s">
        <v>7439</v>
      </c>
      <c r="AO9153">
        <v>27248</v>
      </c>
      <c r="AU9153">
        <v>14.4</v>
      </c>
      <c r="AV9153" t="s">
        <v>779</v>
      </c>
      <c r="AW9153" t="s">
        <v>314</v>
      </c>
    </row>
    <row r="9154" spans="1:49">
      <c r="A9154" s="1">
        <f>HYPERLINK("https://lsnyc.legalserver.org/matter/dynamic-profile/view/1878973","18-1878973")</f>
        <v>0</v>
      </c>
      <c r="B9154" t="s">
        <v>74</v>
      </c>
      <c r="C9154" t="s">
        <v>341</v>
      </c>
      <c r="D9154" t="s">
        <v>457</v>
      </c>
      <c r="E9154" t="s">
        <v>678</v>
      </c>
      <c r="F9154" t="s">
        <v>1194</v>
      </c>
      <c r="G9154" t="s">
        <v>5533</v>
      </c>
      <c r="H9154" t="s">
        <v>15882</v>
      </c>
      <c r="I9154" t="s">
        <v>17304</v>
      </c>
      <c r="J9154" t="s">
        <v>18893</v>
      </c>
      <c r="K9154">
        <v>10075</v>
      </c>
      <c r="L9154" t="s">
        <v>18960</v>
      </c>
      <c r="M9154" t="s">
        <v>18960</v>
      </c>
      <c r="Q9154" t="s">
        <v>26571</v>
      </c>
      <c r="R9154" t="s">
        <v>26591</v>
      </c>
      <c r="U9154" t="s">
        <v>26604</v>
      </c>
      <c r="X9154">
        <v>962.64</v>
      </c>
      <c r="Y9154" t="s">
        <v>26651</v>
      </c>
      <c r="AA9154" t="s">
        <v>26682</v>
      </c>
      <c r="AB9154" t="s">
        <v>29792</v>
      </c>
      <c r="AD9154" t="s">
        <v>43931</v>
      </c>
      <c r="AE9154">
        <v>8</v>
      </c>
      <c r="AF9154" t="s">
        <v>45541</v>
      </c>
      <c r="AH9154">
        <v>40</v>
      </c>
      <c r="AI9154">
        <v>1</v>
      </c>
      <c r="AJ9154">
        <v>0</v>
      </c>
      <c r="AK9154">
        <v>0</v>
      </c>
      <c r="AN9154" t="s">
        <v>7439</v>
      </c>
      <c r="AO9154">
        <v>0</v>
      </c>
      <c r="AU9154">
        <v>3.3</v>
      </c>
      <c r="AV9154" t="s">
        <v>529</v>
      </c>
      <c r="AW9154" t="s">
        <v>46857</v>
      </c>
    </row>
    <row r="9155" spans="1:49">
      <c r="A9155" s="1">
        <f>HYPERLINK("https://lsnyc.legalserver.org/matter/dynamic-profile/view/1878949","18-1878949")</f>
        <v>0</v>
      </c>
      <c r="B9155" t="s">
        <v>74</v>
      </c>
      <c r="C9155" t="s">
        <v>341</v>
      </c>
      <c r="D9155" t="s">
        <v>457</v>
      </c>
      <c r="E9155" t="s">
        <v>618</v>
      </c>
      <c r="F9155" t="s">
        <v>1366</v>
      </c>
      <c r="G9155" t="s">
        <v>5693</v>
      </c>
      <c r="H9155" t="s">
        <v>15883</v>
      </c>
      <c r="I9155" t="s">
        <v>18640</v>
      </c>
      <c r="J9155" t="s">
        <v>18893</v>
      </c>
      <c r="K9155">
        <v>10128</v>
      </c>
      <c r="L9155" t="s">
        <v>18960</v>
      </c>
      <c r="M9155" t="s">
        <v>18960</v>
      </c>
      <c r="Q9155" t="s">
        <v>26570</v>
      </c>
      <c r="R9155" t="s">
        <v>26595</v>
      </c>
      <c r="U9155" t="s">
        <v>26604</v>
      </c>
      <c r="X9155">
        <v>600</v>
      </c>
      <c r="Y9155" t="s">
        <v>26651</v>
      </c>
      <c r="Z9155" t="s">
        <v>26666</v>
      </c>
      <c r="AA9155" t="s">
        <v>26683</v>
      </c>
      <c r="AB9155" t="s">
        <v>33249</v>
      </c>
      <c r="AD9155" t="s">
        <v>43932</v>
      </c>
      <c r="AE9155">
        <v>15</v>
      </c>
      <c r="AF9155" t="s">
        <v>45541</v>
      </c>
      <c r="AH9155">
        <v>30</v>
      </c>
      <c r="AI9155">
        <v>1</v>
      </c>
      <c r="AJ9155">
        <v>0</v>
      </c>
      <c r="AK9155">
        <v>98.84999999999999</v>
      </c>
      <c r="AN9155" t="s">
        <v>7439</v>
      </c>
      <c r="AO9155">
        <v>12000</v>
      </c>
      <c r="AU9155">
        <v>1</v>
      </c>
      <c r="AV9155" t="s">
        <v>457</v>
      </c>
      <c r="AW9155" t="s">
        <v>46843</v>
      </c>
    </row>
    <row r="9156" spans="1:49">
      <c r="A9156" s="1">
        <f>HYPERLINK("https://lsnyc.legalserver.org/matter/dynamic-profile/view/1878865","18-1878865")</f>
        <v>0</v>
      </c>
      <c r="B9156" t="s">
        <v>65</v>
      </c>
      <c r="C9156" t="s">
        <v>341</v>
      </c>
      <c r="D9156" t="s">
        <v>457</v>
      </c>
      <c r="E9156" t="s">
        <v>840</v>
      </c>
      <c r="F9156" t="s">
        <v>4473</v>
      </c>
      <c r="G9156" t="s">
        <v>4693</v>
      </c>
      <c r="H9156" t="s">
        <v>14121</v>
      </c>
      <c r="I9156" t="s">
        <v>17490</v>
      </c>
      <c r="J9156" t="s">
        <v>18892</v>
      </c>
      <c r="K9156">
        <v>10452</v>
      </c>
      <c r="L9156" t="s">
        <v>18958</v>
      </c>
      <c r="M9156" t="s">
        <v>18958</v>
      </c>
      <c r="N9156" t="s">
        <v>25429</v>
      </c>
      <c r="O9156" t="s">
        <v>26523</v>
      </c>
      <c r="P9156" t="s">
        <v>26564</v>
      </c>
      <c r="Q9156" t="s">
        <v>26570</v>
      </c>
      <c r="R9156" t="s">
        <v>26583</v>
      </c>
      <c r="S9156" t="s">
        <v>18959</v>
      </c>
      <c r="U9156" t="s">
        <v>26604</v>
      </c>
      <c r="V9156" t="s">
        <v>26609</v>
      </c>
      <c r="X9156">
        <v>1208.03</v>
      </c>
      <c r="Y9156" t="s">
        <v>26650</v>
      </c>
      <c r="Z9156" t="s">
        <v>26668</v>
      </c>
      <c r="AA9156" t="s">
        <v>26683</v>
      </c>
      <c r="AB9156" t="s">
        <v>30287</v>
      </c>
      <c r="AD9156" t="s">
        <v>43933</v>
      </c>
      <c r="AE9156">
        <v>84</v>
      </c>
      <c r="AF9156" t="s">
        <v>45541</v>
      </c>
      <c r="AG9156" t="s">
        <v>19330</v>
      </c>
      <c r="AH9156">
        <v>7</v>
      </c>
      <c r="AI9156">
        <v>1</v>
      </c>
      <c r="AJ9156">
        <v>0</v>
      </c>
      <c r="AK9156">
        <v>370.68</v>
      </c>
      <c r="AN9156" t="s">
        <v>7439</v>
      </c>
      <c r="AO9156">
        <v>45000</v>
      </c>
      <c r="AP9156" t="s">
        <v>46141</v>
      </c>
      <c r="AU9156">
        <v>3.5</v>
      </c>
      <c r="AV9156" t="s">
        <v>639</v>
      </c>
      <c r="AW9156" t="s">
        <v>334</v>
      </c>
    </row>
    <row r="9157" spans="1:49">
      <c r="A9157" s="1">
        <f>HYPERLINK("https://lsnyc.legalserver.org/matter/dynamic-profile/view/1878929","18-1878929")</f>
        <v>0</v>
      </c>
      <c r="B9157" t="s">
        <v>261</v>
      </c>
      <c r="C9157" t="s">
        <v>341</v>
      </c>
      <c r="D9157" t="s">
        <v>457</v>
      </c>
      <c r="E9157" t="s">
        <v>645</v>
      </c>
      <c r="F9157" t="s">
        <v>1416</v>
      </c>
      <c r="G9157" t="s">
        <v>5864</v>
      </c>
      <c r="H9157" t="s">
        <v>15884</v>
      </c>
      <c r="J9157" t="s">
        <v>18892</v>
      </c>
      <c r="K9157">
        <v>10455</v>
      </c>
      <c r="L9157" t="s">
        <v>18958</v>
      </c>
      <c r="M9157" t="s">
        <v>18959</v>
      </c>
      <c r="N9157" t="s">
        <v>19330</v>
      </c>
      <c r="O9157" t="s">
        <v>26529</v>
      </c>
      <c r="P9157" t="s">
        <v>26564</v>
      </c>
      <c r="Q9157" t="s">
        <v>26570</v>
      </c>
      <c r="R9157" t="s">
        <v>26583</v>
      </c>
      <c r="S9157" t="s">
        <v>18959</v>
      </c>
      <c r="U9157" t="s">
        <v>26604</v>
      </c>
      <c r="V9157" t="s">
        <v>26610</v>
      </c>
      <c r="X9157">
        <v>0</v>
      </c>
      <c r="Y9157" t="s">
        <v>26650</v>
      </c>
      <c r="Z9157" t="s">
        <v>26663</v>
      </c>
      <c r="AA9157" t="s">
        <v>26683</v>
      </c>
      <c r="AB9157" t="s">
        <v>33250</v>
      </c>
      <c r="AD9157" t="s">
        <v>43934</v>
      </c>
      <c r="AE9157">
        <v>0</v>
      </c>
      <c r="AF9157" t="s">
        <v>20460</v>
      </c>
      <c r="AG9157" t="s">
        <v>19330</v>
      </c>
      <c r="AH9157">
        <v>2</v>
      </c>
      <c r="AI9157">
        <v>1</v>
      </c>
      <c r="AJ9157">
        <v>1</v>
      </c>
      <c r="AK9157">
        <v>303.77</v>
      </c>
      <c r="AN9157" t="s">
        <v>7439</v>
      </c>
      <c r="AO9157">
        <v>50000</v>
      </c>
      <c r="AP9157" t="s">
        <v>46142</v>
      </c>
      <c r="AU9157">
        <v>1.3</v>
      </c>
      <c r="AV9157" t="s">
        <v>645</v>
      </c>
      <c r="AW9157" t="s">
        <v>261</v>
      </c>
    </row>
    <row r="9158" spans="1:49">
      <c r="A9158" s="1">
        <f>HYPERLINK("https://lsnyc.legalserver.org/matter/dynamic-profile/view/1878904","18-1878904")</f>
        <v>0</v>
      </c>
      <c r="B9158" t="s">
        <v>200</v>
      </c>
      <c r="C9158" t="s">
        <v>340</v>
      </c>
      <c r="D9158" t="s">
        <v>457</v>
      </c>
      <c r="F9158" t="s">
        <v>4474</v>
      </c>
      <c r="G9158" t="s">
        <v>8946</v>
      </c>
      <c r="H9158" t="s">
        <v>15885</v>
      </c>
      <c r="I9158" t="s">
        <v>18641</v>
      </c>
      <c r="J9158" t="s">
        <v>18894</v>
      </c>
      <c r="K9158">
        <v>11216</v>
      </c>
      <c r="L9158" t="s">
        <v>18960</v>
      </c>
      <c r="M9158" t="s">
        <v>18960</v>
      </c>
      <c r="R9158" t="s">
        <v>26591</v>
      </c>
      <c r="U9158" t="s">
        <v>26604</v>
      </c>
      <c r="X9158">
        <v>1633</v>
      </c>
      <c r="Y9158" t="s">
        <v>26652</v>
      </c>
      <c r="Z9158" t="s">
        <v>26661</v>
      </c>
      <c r="AB9158" t="s">
        <v>31048</v>
      </c>
      <c r="AD9158" t="s">
        <v>43935</v>
      </c>
      <c r="AE9158">
        <v>53</v>
      </c>
      <c r="AF9158" t="s">
        <v>45547</v>
      </c>
      <c r="AG9158" t="s">
        <v>45561</v>
      </c>
      <c r="AH9158">
        <v>20</v>
      </c>
      <c r="AI9158">
        <v>2</v>
      </c>
      <c r="AJ9158">
        <v>0</v>
      </c>
      <c r="AK9158">
        <v>63.57</v>
      </c>
      <c r="AN9158" t="s">
        <v>7439</v>
      </c>
      <c r="AO9158">
        <v>10464</v>
      </c>
      <c r="AU9158">
        <v>0.6</v>
      </c>
      <c r="AV9158" t="s">
        <v>457</v>
      </c>
      <c r="AW9158" t="s">
        <v>46842</v>
      </c>
    </row>
    <row r="9159" spans="1:49">
      <c r="A9159" s="1">
        <f>HYPERLINK("https://lsnyc.legalserver.org/matter/dynamic-profile/view/1878853","18-1878853")</f>
        <v>0</v>
      </c>
      <c r="B9159" t="s">
        <v>109</v>
      </c>
      <c r="C9159" t="s">
        <v>341</v>
      </c>
      <c r="D9159" t="s">
        <v>540</v>
      </c>
      <c r="E9159" t="s">
        <v>856</v>
      </c>
      <c r="F9159" t="s">
        <v>3499</v>
      </c>
      <c r="G9159" t="s">
        <v>6325</v>
      </c>
      <c r="H9159" t="s">
        <v>15886</v>
      </c>
      <c r="I9159" t="s">
        <v>17582</v>
      </c>
      <c r="J9159" t="s">
        <v>18902</v>
      </c>
      <c r="K9159">
        <v>10306</v>
      </c>
      <c r="L9159" t="s">
        <v>18958</v>
      </c>
      <c r="M9159" t="s">
        <v>18958</v>
      </c>
      <c r="N9159" t="s">
        <v>25430</v>
      </c>
      <c r="O9159" t="s">
        <v>26524</v>
      </c>
      <c r="P9159" t="s">
        <v>26560</v>
      </c>
      <c r="Q9159" t="s">
        <v>26573</v>
      </c>
      <c r="R9159" t="s">
        <v>26587</v>
      </c>
      <c r="S9159" t="s">
        <v>18959</v>
      </c>
      <c r="U9159" t="s">
        <v>26604</v>
      </c>
      <c r="X9159">
        <v>900</v>
      </c>
      <c r="Y9159" t="s">
        <v>26654</v>
      </c>
      <c r="Z9159" t="s">
        <v>26659</v>
      </c>
      <c r="AA9159" t="s">
        <v>26678</v>
      </c>
      <c r="AB9159" t="s">
        <v>32745</v>
      </c>
      <c r="AD9159" t="s">
        <v>43936</v>
      </c>
      <c r="AE9159">
        <v>2</v>
      </c>
      <c r="AF9159" t="s">
        <v>45547</v>
      </c>
      <c r="AG9159" t="s">
        <v>19330</v>
      </c>
      <c r="AH9159">
        <v>3</v>
      </c>
      <c r="AI9159">
        <v>1</v>
      </c>
      <c r="AJ9159">
        <v>0</v>
      </c>
      <c r="AK9159">
        <v>194.89</v>
      </c>
      <c r="AN9159" t="s">
        <v>7439</v>
      </c>
      <c r="AO9159">
        <v>23660</v>
      </c>
      <c r="AS9159" t="s">
        <v>46500</v>
      </c>
      <c r="AT9159" t="s">
        <v>46811</v>
      </c>
      <c r="AU9159">
        <v>2.6</v>
      </c>
      <c r="AV9159" t="s">
        <v>856</v>
      </c>
      <c r="AW9159" t="s">
        <v>190</v>
      </c>
    </row>
    <row r="9160" spans="1:49">
      <c r="A9160" s="1">
        <f>HYPERLINK("https://lsnyc.legalserver.org/matter/dynamic-profile/view/1879079","18-1879079")</f>
        <v>0</v>
      </c>
      <c r="B9160" t="s">
        <v>216</v>
      </c>
      <c r="C9160" t="s">
        <v>341</v>
      </c>
      <c r="D9160" t="s">
        <v>540</v>
      </c>
      <c r="E9160" t="s">
        <v>623</v>
      </c>
      <c r="F9160" t="s">
        <v>1119</v>
      </c>
      <c r="G9160" t="s">
        <v>5341</v>
      </c>
      <c r="H9160" t="s">
        <v>15887</v>
      </c>
      <c r="I9160" t="s">
        <v>17316</v>
      </c>
      <c r="J9160" t="s">
        <v>18894</v>
      </c>
      <c r="K9160">
        <v>11233</v>
      </c>
      <c r="L9160" t="s">
        <v>18959</v>
      </c>
      <c r="M9160" t="s">
        <v>18959</v>
      </c>
      <c r="N9160" t="s">
        <v>25431</v>
      </c>
      <c r="O9160" t="s">
        <v>26523</v>
      </c>
      <c r="P9160" t="s">
        <v>26564</v>
      </c>
      <c r="Q9160" t="s">
        <v>26570</v>
      </c>
      <c r="R9160" t="s">
        <v>26578</v>
      </c>
      <c r="S9160" t="s">
        <v>18959</v>
      </c>
      <c r="U9160" t="s">
        <v>26604</v>
      </c>
      <c r="X9160">
        <v>1300</v>
      </c>
      <c r="Y9160" t="s">
        <v>26652</v>
      </c>
      <c r="AA9160" t="s">
        <v>26683</v>
      </c>
      <c r="AB9160" t="s">
        <v>30996</v>
      </c>
      <c r="AC9160" t="s">
        <v>36611</v>
      </c>
      <c r="AD9160" t="s">
        <v>43937</v>
      </c>
      <c r="AE9160">
        <v>6</v>
      </c>
      <c r="AF9160" t="s">
        <v>45541</v>
      </c>
      <c r="AG9160" t="s">
        <v>19330</v>
      </c>
      <c r="AH9160">
        <v>10</v>
      </c>
      <c r="AI9160">
        <v>1</v>
      </c>
      <c r="AJ9160">
        <v>0</v>
      </c>
      <c r="AK9160">
        <v>17.79</v>
      </c>
      <c r="AN9160" t="s">
        <v>7439</v>
      </c>
      <c r="AO9160">
        <v>2160</v>
      </c>
      <c r="AU9160">
        <v>2.2</v>
      </c>
      <c r="AV9160" t="s">
        <v>623</v>
      </c>
      <c r="AW9160" t="s">
        <v>46829</v>
      </c>
    </row>
    <row r="9161" spans="1:49">
      <c r="A9161" s="1">
        <f>HYPERLINK("https://lsnyc.legalserver.org/matter/dynamic-profile/view/1879092","18-1879092")</f>
        <v>0</v>
      </c>
      <c r="B9161" t="s">
        <v>74</v>
      </c>
      <c r="C9161" t="s">
        <v>341</v>
      </c>
      <c r="D9161" t="s">
        <v>540</v>
      </c>
      <c r="E9161" t="s">
        <v>831</v>
      </c>
      <c r="F9161" t="s">
        <v>887</v>
      </c>
      <c r="G9161" t="s">
        <v>8423</v>
      </c>
      <c r="H9161" t="s">
        <v>11975</v>
      </c>
      <c r="I9161" t="s">
        <v>17268</v>
      </c>
      <c r="J9161" t="s">
        <v>18893</v>
      </c>
      <c r="K9161">
        <v>10032</v>
      </c>
      <c r="L9161" t="s">
        <v>18960</v>
      </c>
      <c r="M9161" t="s">
        <v>18960</v>
      </c>
      <c r="O9161" t="s">
        <v>18997</v>
      </c>
      <c r="P9161" t="s">
        <v>26562</v>
      </c>
      <c r="Q9161" t="s">
        <v>26573</v>
      </c>
      <c r="R9161" t="s">
        <v>26578</v>
      </c>
      <c r="S9161" t="s">
        <v>18959</v>
      </c>
      <c r="U9161" t="s">
        <v>26604</v>
      </c>
      <c r="X9161">
        <v>1700</v>
      </c>
      <c r="Y9161" t="s">
        <v>26651</v>
      </c>
      <c r="Z9161" t="s">
        <v>26661</v>
      </c>
      <c r="AA9161" t="s">
        <v>26678</v>
      </c>
      <c r="AB9161" t="s">
        <v>33251</v>
      </c>
      <c r="AE9161">
        <v>59</v>
      </c>
      <c r="AF9161" t="s">
        <v>45541</v>
      </c>
      <c r="AG9161" t="s">
        <v>19330</v>
      </c>
      <c r="AH9161">
        <v>34</v>
      </c>
      <c r="AI9161">
        <v>4</v>
      </c>
      <c r="AJ9161">
        <v>1</v>
      </c>
      <c r="AK9161">
        <v>53.03</v>
      </c>
      <c r="AN9161" t="s">
        <v>45581</v>
      </c>
      <c r="AO9161">
        <v>15600</v>
      </c>
      <c r="AU9161">
        <v>10.4</v>
      </c>
      <c r="AV9161" t="s">
        <v>815</v>
      </c>
      <c r="AW9161" t="s">
        <v>46838</v>
      </c>
    </row>
    <row r="9162" spans="1:49">
      <c r="A9162" s="1">
        <f>HYPERLINK("https://lsnyc.legalserver.org/matter/dynamic-profile/view/1879067","18-1879067")</f>
        <v>0</v>
      </c>
      <c r="B9162" t="s">
        <v>74</v>
      </c>
      <c r="C9162" t="s">
        <v>341</v>
      </c>
      <c r="D9162" t="s">
        <v>540</v>
      </c>
      <c r="E9162" t="s">
        <v>719</v>
      </c>
      <c r="F9162" t="s">
        <v>3311</v>
      </c>
      <c r="G9162" t="s">
        <v>5956</v>
      </c>
      <c r="H9162" t="s">
        <v>15888</v>
      </c>
      <c r="I9162" t="s">
        <v>17272</v>
      </c>
      <c r="J9162" t="s">
        <v>18893</v>
      </c>
      <c r="K9162">
        <v>10032</v>
      </c>
      <c r="L9162" t="s">
        <v>18960</v>
      </c>
      <c r="M9162" t="s">
        <v>18960</v>
      </c>
      <c r="N9162" t="s">
        <v>25432</v>
      </c>
      <c r="O9162" t="s">
        <v>26523</v>
      </c>
      <c r="P9162" t="s">
        <v>26565</v>
      </c>
      <c r="Q9162" t="s">
        <v>26571</v>
      </c>
      <c r="R9162" t="s">
        <v>26578</v>
      </c>
      <c r="S9162" t="s">
        <v>18959</v>
      </c>
      <c r="U9162" t="s">
        <v>26604</v>
      </c>
      <c r="X9162">
        <v>622.46</v>
      </c>
      <c r="Y9162" t="s">
        <v>26651</v>
      </c>
      <c r="Z9162" t="s">
        <v>26661</v>
      </c>
      <c r="AA9162" t="s">
        <v>26683</v>
      </c>
      <c r="AB9162" t="s">
        <v>33252</v>
      </c>
      <c r="AD9162" t="s">
        <v>43938</v>
      </c>
      <c r="AE9162">
        <v>15</v>
      </c>
      <c r="AF9162" t="s">
        <v>45541</v>
      </c>
      <c r="AG9162" t="s">
        <v>19330</v>
      </c>
      <c r="AH9162">
        <v>40</v>
      </c>
      <c r="AI9162">
        <v>2</v>
      </c>
      <c r="AJ9162">
        <v>1</v>
      </c>
      <c r="AK9162">
        <v>64.09999999999999</v>
      </c>
      <c r="AN9162" t="s">
        <v>45581</v>
      </c>
      <c r="AO9162">
        <v>13320</v>
      </c>
      <c r="AU9162">
        <v>0.5</v>
      </c>
      <c r="AV9162" t="s">
        <v>719</v>
      </c>
      <c r="AW9162" t="s">
        <v>46838</v>
      </c>
    </row>
    <row r="9163" spans="1:49">
      <c r="A9163" s="1">
        <f>HYPERLINK("https://lsnyc.legalserver.org/matter/dynamic-profile/view/1879026","18-1879026")</f>
        <v>0</v>
      </c>
      <c r="B9163" t="s">
        <v>74</v>
      </c>
      <c r="C9163" t="s">
        <v>341</v>
      </c>
      <c r="D9163" t="s">
        <v>540</v>
      </c>
      <c r="E9163" t="s">
        <v>678</v>
      </c>
      <c r="F9163" t="s">
        <v>2825</v>
      </c>
      <c r="G9163" t="s">
        <v>5143</v>
      </c>
      <c r="H9163" t="s">
        <v>15889</v>
      </c>
      <c r="J9163" t="s">
        <v>18893</v>
      </c>
      <c r="K9163">
        <v>10032</v>
      </c>
      <c r="L9163" t="s">
        <v>18960</v>
      </c>
      <c r="M9163" t="s">
        <v>18960</v>
      </c>
      <c r="O9163" t="s">
        <v>18997</v>
      </c>
      <c r="P9163" t="s">
        <v>26564</v>
      </c>
      <c r="Q9163" t="s">
        <v>26570</v>
      </c>
      <c r="R9163" t="s">
        <v>26578</v>
      </c>
      <c r="U9163" t="s">
        <v>26604</v>
      </c>
      <c r="X9163">
        <v>755</v>
      </c>
      <c r="Y9163" t="s">
        <v>26651</v>
      </c>
      <c r="AA9163" t="s">
        <v>26683</v>
      </c>
      <c r="AB9163" t="s">
        <v>33253</v>
      </c>
      <c r="AD9163" t="s">
        <v>43939</v>
      </c>
      <c r="AE9163">
        <v>0</v>
      </c>
      <c r="AH9163">
        <v>46</v>
      </c>
      <c r="AI9163">
        <v>1</v>
      </c>
      <c r="AJ9163">
        <v>0</v>
      </c>
      <c r="AK9163">
        <v>197.69</v>
      </c>
      <c r="AN9163" t="s">
        <v>45581</v>
      </c>
      <c r="AO9163">
        <v>24000</v>
      </c>
      <c r="AU9163">
        <v>1.5</v>
      </c>
      <c r="AV9163" t="s">
        <v>540</v>
      </c>
      <c r="AW9163" t="s">
        <v>46838</v>
      </c>
    </row>
    <row r="9164" spans="1:49">
      <c r="A9164" s="1">
        <f>HYPERLINK("https://lsnyc.legalserver.org/matter/dynamic-profile/view/1879071","18-1879071")</f>
        <v>0</v>
      </c>
      <c r="B9164" t="s">
        <v>279</v>
      </c>
      <c r="C9164" t="s">
        <v>341</v>
      </c>
      <c r="D9164" t="s">
        <v>540</v>
      </c>
      <c r="E9164" t="s">
        <v>632</v>
      </c>
      <c r="F9164" t="s">
        <v>1211</v>
      </c>
      <c r="G9164" t="s">
        <v>8947</v>
      </c>
      <c r="H9164" t="s">
        <v>15890</v>
      </c>
      <c r="I9164" t="s">
        <v>18002</v>
      </c>
      <c r="J9164" t="s">
        <v>18894</v>
      </c>
      <c r="K9164">
        <v>11208</v>
      </c>
      <c r="L9164" t="s">
        <v>18959</v>
      </c>
      <c r="M9164" t="s">
        <v>18959</v>
      </c>
      <c r="N9164" t="s">
        <v>25433</v>
      </c>
      <c r="O9164" t="s">
        <v>26524</v>
      </c>
      <c r="P9164" t="s">
        <v>26564</v>
      </c>
      <c r="Q9164" t="s">
        <v>26570</v>
      </c>
      <c r="R9164" t="s">
        <v>26578</v>
      </c>
      <c r="S9164" t="s">
        <v>18959</v>
      </c>
      <c r="U9164" t="s">
        <v>26604</v>
      </c>
      <c r="X9164">
        <v>1500</v>
      </c>
      <c r="Y9164" t="s">
        <v>26652</v>
      </c>
      <c r="Z9164" t="s">
        <v>26666</v>
      </c>
      <c r="AA9164" t="s">
        <v>26683</v>
      </c>
      <c r="AB9164" t="s">
        <v>33254</v>
      </c>
      <c r="AD9164" t="s">
        <v>43940</v>
      </c>
      <c r="AE9164">
        <v>1100</v>
      </c>
      <c r="AF9164" t="s">
        <v>45541</v>
      </c>
      <c r="AH9164">
        <v>50</v>
      </c>
      <c r="AI9164">
        <v>1</v>
      </c>
      <c r="AJ9164">
        <v>0</v>
      </c>
      <c r="AK9164">
        <v>187.81</v>
      </c>
      <c r="AN9164" t="s">
        <v>7439</v>
      </c>
      <c r="AO9164">
        <v>22800</v>
      </c>
      <c r="AU9164">
        <v>1</v>
      </c>
      <c r="AV9164" t="s">
        <v>540</v>
      </c>
      <c r="AW9164" t="s">
        <v>46843</v>
      </c>
    </row>
    <row r="9165" spans="1:49">
      <c r="A9165" s="1">
        <f>HYPERLINK("https://lsnyc.legalserver.org/matter/dynamic-profile/view/1879027","18-1879027")</f>
        <v>0</v>
      </c>
      <c r="B9165" t="s">
        <v>279</v>
      </c>
      <c r="C9165" t="s">
        <v>341</v>
      </c>
      <c r="D9165" t="s">
        <v>540</v>
      </c>
      <c r="E9165" t="s">
        <v>540</v>
      </c>
      <c r="F9165" t="s">
        <v>1548</v>
      </c>
      <c r="G9165" t="s">
        <v>4424</v>
      </c>
      <c r="H9165" t="s">
        <v>15891</v>
      </c>
      <c r="I9165">
        <v>1</v>
      </c>
      <c r="J9165" t="s">
        <v>18894</v>
      </c>
      <c r="K9165">
        <v>11233</v>
      </c>
      <c r="L9165" t="s">
        <v>18960</v>
      </c>
      <c r="M9165" t="s">
        <v>18960</v>
      </c>
      <c r="O9165" t="s">
        <v>18997</v>
      </c>
      <c r="Q9165" t="s">
        <v>26570</v>
      </c>
      <c r="R9165" t="s">
        <v>26583</v>
      </c>
      <c r="U9165" t="s">
        <v>26604</v>
      </c>
      <c r="X9165">
        <v>1530</v>
      </c>
      <c r="Y9165" t="s">
        <v>26652</v>
      </c>
      <c r="AA9165" t="s">
        <v>26683</v>
      </c>
      <c r="AB9165" t="s">
        <v>33255</v>
      </c>
      <c r="AD9165" t="s">
        <v>43941</v>
      </c>
      <c r="AE9165">
        <v>3</v>
      </c>
      <c r="AF9165" t="s">
        <v>20460</v>
      </c>
      <c r="AG9165" t="s">
        <v>19330</v>
      </c>
      <c r="AH9165">
        <v>4</v>
      </c>
      <c r="AI9165">
        <v>2</v>
      </c>
      <c r="AJ9165">
        <v>2</v>
      </c>
      <c r="AK9165">
        <v>231.08</v>
      </c>
      <c r="AN9165" t="s">
        <v>7439</v>
      </c>
      <c r="AO9165">
        <v>58000</v>
      </c>
      <c r="AU9165">
        <v>1.25</v>
      </c>
      <c r="AV9165" t="s">
        <v>540</v>
      </c>
      <c r="AW9165" t="s">
        <v>46859</v>
      </c>
    </row>
    <row r="9166" spans="1:49">
      <c r="A9166" s="1">
        <f>HYPERLINK("https://lsnyc.legalserver.org/matter/dynamic-profile/view/1879053","18-1879053")</f>
        <v>0</v>
      </c>
      <c r="B9166" t="s">
        <v>200</v>
      </c>
      <c r="C9166" t="s">
        <v>340</v>
      </c>
      <c r="D9166" t="s">
        <v>540</v>
      </c>
      <c r="F9166" t="s">
        <v>2120</v>
      </c>
      <c r="G9166" t="s">
        <v>8948</v>
      </c>
      <c r="H9166" t="s">
        <v>12427</v>
      </c>
      <c r="I9166" t="s">
        <v>17894</v>
      </c>
      <c r="J9166" t="s">
        <v>18894</v>
      </c>
      <c r="K9166">
        <v>11216</v>
      </c>
      <c r="L9166" t="s">
        <v>18960</v>
      </c>
      <c r="M9166" t="s">
        <v>18960</v>
      </c>
      <c r="P9166" t="s">
        <v>26565</v>
      </c>
      <c r="R9166" t="s">
        <v>26591</v>
      </c>
      <c r="U9166" t="s">
        <v>26604</v>
      </c>
      <c r="X9166">
        <v>853</v>
      </c>
      <c r="Y9166" t="s">
        <v>26652</v>
      </c>
      <c r="Z9166" t="s">
        <v>26659</v>
      </c>
      <c r="AB9166" t="s">
        <v>33256</v>
      </c>
      <c r="AD9166" t="s">
        <v>43942</v>
      </c>
      <c r="AE9166">
        <v>100</v>
      </c>
      <c r="AG9166" t="s">
        <v>45556</v>
      </c>
      <c r="AH9166">
        <v>28</v>
      </c>
      <c r="AI9166">
        <v>1</v>
      </c>
      <c r="AJ9166">
        <v>0</v>
      </c>
      <c r="AK9166">
        <v>44.78</v>
      </c>
      <c r="AN9166" t="s">
        <v>7439</v>
      </c>
      <c r="AO9166">
        <v>5436</v>
      </c>
      <c r="AU9166">
        <v>1</v>
      </c>
      <c r="AV9166" t="s">
        <v>540</v>
      </c>
      <c r="AW9166" t="s">
        <v>46858</v>
      </c>
    </row>
    <row r="9167" spans="1:49">
      <c r="A9167" s="1">
        <f>HYPERLINK("https://lsnyc.legalserver.org/matter/dynamic-profile/view/1879007","18-1879007")</f>
        <v>0</v>
      </c>
      <c r="B9167" t="s">
        <v>200</v>
      </c>
      <c r="C9167" t="s">
        <v>340</v>
      </c>
      <c r="D9167" t="s">
        <v>540</v>
      </c>
      <c r="F9167" t="s">
        <v>4475</v>
      </c>
      <c r="G9167" t="s">
        <v>8949</v>
      </c>
      <c r="H9167" t="s">
        <v>15892</v>
      </c>
      <c r="I9167" t="s">
        <v>18017</v>
      </c>
      <c r="J9167" t="s">
        <v>18894</v>
      </c>
      <c r="K9167">
        <v>11206</v>
      </c>
      <c r="L9167" t="s">
        <v>18958</v>
      </c>
      <c r="M9167" t="s">
        <v>18958</v>
      </c>
      <c r="N9167" t="s">
        <v>25434</v>
      </c>
      <c r="P9167" t="s">
        <v>26565</v>
      </c>
      <c r="R9167" t="s">
        <v>26586</v>
      </c>
      <c r="U9167" t="s">
        <v>26605</v>
      </c>
      <c r="X9167">
        <v>213</v>
      </c>
      <c r="Y9167" t="s">
        <v>26652</v>
      </c>
      <c r="Z9167" t="s">
        <v>26659</v>
      </c>
      <c r="AB9167" t="s">
        <v>33257</v>
      </c>
      <c r="AE9167">
        <v>0</v>
      </c>
      <c r="AH9167">
        <v>-3</v>
      </c>
      <c r="AI9167">
        <v>1</v>
      </c>
      <c r="AJ9167">
        <v>1</v>
      </c>
      <c r="AK9167">
        <v>94.78</v>
      </c>
      <c r="AN9167" t="s">
        <v>7439</v>
      </c>
      <c r="AO9167">
        <v>15600</v>
      </c>
      <c r="AU9167">
        <v>0.9</v>
      </c>
      <c r="AV9167" t="s">
        <v>575</v>
      </c>
      <c r="AW9167" t="s">
        <v>46862</v>
      </c>
    </row>
    <row r="9168" spans="1:49">
      <c r="A9168" s="1">
        <f>HYPERLINK("https://lsnyc.legalserver.org/matter/dynamic-profile/view/1878257","18-1878257")</f>
        <v>0</v>
      </c>
      <c r="B9168" t="s">
        <v>145</v>
      </c>
      <c r="C9168" t="s">
        <v>341</v>
      </c>
      <c r="D9168" t="s">
        <v>583</v>
      </c>
      <c r="E9168" t="s">
        <v>693</v>
      </c>
      <c r="F9168" t="s">
        <v>1660</v>
      </c>
      <c r="G9168" t="s">
        <v>8950</v>
      </c>
      <c r="H9168" t="s">
        <v>15893</v>
      </c>
      <c r="J9168" t="s">
        <v>18902</v>
      </c>
      <c r="K9168">
        <v>10312</v>
      </c>
      <c r="L9168" t="s">
        <v>18960</v>
      </c>
      <c r="M9168" t="s">
        <v>18960</v>
      </c>
      <c r="N9168" t="s">
        <v>25435</v>
      </c>
      <c r="O9168" t="s">
        <v>26523</v>
      </c>
      <c r="P9168" t="s">
        <v>26564</v>
      </c>
      <c r="Q9168" t="s">
        <v>26570</v>
      </c>
      <c r="R9168" t="s">
        <v>26587</v>
      </c>
      <c r="S9168" t="s">
        <v>18959</v>
      </c>
      <c r="U9168" t="s">
        <v>26604</v>
      </c>
      <c r="X9168">
        <v>2500</v>
      </c>
      <c r="Y9168" t="s">
        <v>26654</v>
      </c>
      <c r="AA9168" t="s">
        <v>26683</v>
      </c>
      <c r="AB9168" t="s">
        <v>30081</v>
      </c>
      <c r="AD9168" t="s">
        <v>43943</v>
      </c>
      <c r="AE9168">
        <v>0</v>
      </c>
      <c r="AH9168">
        <v>0</v>
      </c>
      <c r="AI9168">
        <v>2</v>
      </c>
      <c r="AJ9168">
        <v>1</v>
      </c>
      <c r="AK9168">
        <v>19.64</v>
      </c>
      <c r="AN9168" t="s">
        <v>7439</v>
      </c>
      <c r="AO9168">
        <v>4082</v>
      </c>
      <c r="AU9168">
        <v>0.6</v>
      </c>
      <c r="AV9168" t="s">
        <v>777</v>
      </c>
      <c r="AW9168" t="s">
        <v>316</v>
      </c>
    </row>
    <row r="9169" spans="1:49">
      <c r="A9169" s="1">
        <f>HYPERLINK("https://lsnyc.legalserver.org/matter/dynamic-profile/view/1879109","18-1879109")</f>
        <v>0</v>
      </c>
      <c r="B9169" t="s">
        <v>202</v>
      </c>
      <c r="C9169" t="s">
        <v>341</v>
      </c>
      <c r="D9169" t="s">
        <v>583</v>
      </c>
      <c r="E9169" t="s">
        <v>820</v>
      </c>
      <c r="F9169" t="s">
        <v>4476</v>
      </c>
      <c r="G9169" t="s">
        <v>5590</v>
      </c>
      <c r="H9169" t="s">
        <v>15894</v>
      </c>
      <c r="I9169" t="s">
        <v>17274</v>
      </c>
      <c r="J9169" t="s">
        <v>18894</v>
      </c>
      <c r="K9169">
        <v>11206</v>
      </c>
      <c r="L9169" t="s">
        <v>18959</v>
      </c>
      <c r="M9169" t="s">
        <v>18958</v>
      </c>
      <c r="N9169" t="s">
        <v>25436</v>
      </c>
      <c r="O9169" t="s">
        <v>26523</v>
      </c>
      <c r="P9169" t="s">
        <v>26560</v>
      </c>
      <c r="Q9169" t="s">
        <v>26573</v>
      </c>
      <c r="R9169" t="s">
        <v>26586</v>
      </c>
      <c r="S9169" t="s">
        <v>18959</v>
      </c>
      <c r="U9169" t="s">
        <v>26604</v>
      </c>
      <c r="V9169" t="s">
        <v>26610</v>
      </c>
      <c r="X9169">
        <v>961.91</v>
      </c>
      <c r="Y9169" t="s">
        <v>26652</v>
      </c>
      <c r="Z9169" t="s">
        <v>26664</v>
      </c>
      <c r="AA9169" t="s">
        <v>26678</v>
      </c>
      <c r="AB9169" t="s">
        <v>33258</v>
      </c>
      <c r="AC9169" t="s">
        <v>36612</v>
      </c>
      <c r="AD9169" t="s">
        <v>43944</v>
      </c>
      <c r="AE9169">
        <v>6</v>
      </c>
      <c r="AG9169" t="s">
        <v>19330</v>
      </c>
      <c r="AH9169">
        <v>9</v>
      </c>
      <c r="AI9169">
        <v>1</v>
      </c>
      <c r="AJ9169">
        <v>3</v>
      </c>
      <c r="AK9169">
        <v>39.16</v>
      </c>
      <c r="AN9169" t="s">
        <v>7439</v>
      </c>
      <c r="AO9169">
        <v>9828</v>
      </c>
      <c r="AS9169" t="s">
        <v>46499</v>
      </c>
      <c r="AU9169">
        <v>18.95</v>
      </c>
      <c r="AV9169" t="s">
        <v>820</v>
      </c>
      <c r="AW9169" t="s">
        <v>281</v>
      </c>
    </row>
    <row r="9170" spans="1:49">
      <c r="A9170" s="1">
        <f>HYPERLINK("https://lsnyc.legalserver.org/matter/dynamic-profile/view/1879239","18-1879239")</f>
        <v>0</v>
      </c>
      <c r="B9170" t="s">
        <v>249</v>
      </c>
      <c r="C9170" t="s">
        <v>341</v>
      </c>
      <c r="D9170" t="s">
        <v>583</v>
      </c>
      <c r="E9170" t="s">
        <v>678</v>
      </c>
      <c r="F9170" t="s">
        <v>4025</v>
      </c>
      <c r="G9170" t="s">
        <v>5419</v>
      </c>
      <c r="H9170" t="s">
        <v>10101</v>
      </c>
      <c r="I9170" t="s">
        <v>17320</v>
      </c>
      <c r="J9170" t="s">
        <v>18894</v>
      </c>
      <c r="K9170">
        <v>11239</v>
      </c>
      <c r="L9170" t="s">
        <v>18960</v>
      </c>
      <c r="M9170" t="s">
        <v>18960</v>
      </c>
      <c r="O9170" t="s">
        <v>18997</v>
      </c>
      <c r="Q9170" t="s">
        <v>26570</v>
      </c>
      <c r="R9170" t="s">
        <v>26591</v>
      </c>
      <c r="U9170" t="s">
        <v>26604</v>
      </c>
      <c r="X9170">
        <v>1569</v>
      </c>
      <c r="Y9170" t="s">
        <v>26652</v>
      </c>
      <c r="AA9170" t="s">
        <v>26683</v>
      </c>
      <c r="AB9170" t="s">
        <v>33259</v>
      </c>
      <c r="AD9170" t="s">
        <v>43945</v>
      </c>
      <c r="AE9170">
        <v>0</v>
      </c>
      <c r="AF9170" t="s">
        <v>45552</v>
      </c>
      <c r="AG9170" t="s">
        <v>19330</v>
      </c>
      <c r="AH9170">
        <v>15</v>
      </c>
      <c r="AI9170">
        <v>1</v>
      </c>
      <c r="AJ9170">
        <v>0</v>
      </c>
      <c r="AK9170">
        <v>167.05</v>
      </c>
      <c r="AN9170" t="s">
        <v>45586</v>
      </c>
      <c r="AO9170">
        <v>20280</v>
      </c>
      <c r="AU9170">
        <v>6.2</v>
      </c>
      <c r="AV9170" t="s">
        <v>678</v>
      </c>
      <c r="AW9170" t="s">
        <v>46859</v>
      </c>
    </row>
    <row r="9171" spans="1:49">
      <c r="A9171" s="1">
        <f>HYPERLINK("https://lsnyc.legalserver.org/matter/dynamic-profile/view/1879116","18-1879116")</f>
        <v>0</v>
      </c>
      <c r="B9171" t="s">
        <v>313</v>
      </c>
      <c r="C9171" t="s">
        <v>341</v>
      </c>
      <c r="D9171" t="s">
        <v>583</v>
      </c>
      <c r="E9171" t="s">
        <v>772</v>
      </c>
      <c r="F9171" t="s">
        <v>1627</v>
      </c>
      <c r="G9171" t="s">
        <v>8951</v>
      </c>
      <c r="H9171" t="s">
        <v>10591</v>
      </c>
      <c r="I9171">
        <v>318</v>
      </c>
      <c r="J9171" t="s">
        <v>18892</v>
      </c>
      <c r="K9171">
        <v>10457</v>
      </c>
      <c r="L9171" t="s">
        <v>18959</v>
      </c>
      <c r="M9171" t="s">
        <v>18959</v>
      </c>
      <c r="O9171" t="s">
        <v>26539</v>
      </c>
      <c r="P9171" t="s">
        <v>26562</v>
      </c>
      <c r="Q9171" t="s">
        <v>26572</v>
      </c>
      <c r="R9171" t="s">
        <v>26591</v>
      </c>
      <c r="S9171" t="s">
        <v>18959</v>
      </c>
      <c r="U9171" t="s">
        <v>26607</v>
      </c>
      <c r="X9171">
        <v>675.9400000000001</v>
      </c>
      <c r="Y9171" t="s">
        <v>26650</v>
      </c>
      <c r="AA9171" t="s">
        <v>26681</v>
      </c>
      <c r="AB9171" t="s">
        <v>28456</v>
      </c>
      <c r="AC9171" t="s">
        <v>36613</v>
      </c>
      <c r="AD9171" t="s">
        <v>43946</v>
      </c>
      <c r="AE9171">
        <v>0</v>
      </c>
      <c r="AF9171" t="s">
        <v>45541</v>
      </c>
      <c r="AG9171" t="s">
        <v>45559</v>
      </c>
      <c r="AH9171">
        <v>31</v>
      </c>
      <c r="AI9171">
        <v>2</v>
      </c>
      <c r="AJ9171">
        <v>1</v>
      </c>
      <c r="AK9171">
        <v>88.73999999999999</v>
      </c>
      <c r="AN9171" t="s">
        <v>7439</v>
      </c>
      <c r="AO9171">
        <v>18441</v>
      </c>
      <c r="AP9171" t="s">
        <v>46143</v>
      </c>
      <c r="AU9171">
        <v>12</v>
      </c>
      <c r="AV9171" t="s">
        <v>772</v>
      </c>
      <c r="AW9171" t="s">
        <v>46847</v>
      </c>
    </row>
    <row r="9172" spans="1:49">
      <c r="A9172" s="1">
        <f>HYPERLINK("https://lsnyc.legalserver.org/matter/dynamic-profile/view/1879162","18-1879162")</f>
        <v>0</v>
      </c>
      <c r="B9172" t="s">
        <v>279</v>
      </c>
      <c r="C9172" t="s">
        <v>341</v>
      </c>
      <c r="D9172" t="s">
        <v>583</v>
      </c>
      <c r="E9172" t="s">
        <v>412</v>
      </c>
      <c r="F9172" t="s">
        <v>2815</v>
      </c>
      <c r="G9172" t="s">
        <v>5115</v>
      </c>
      <c r="H9172" t="s">
        <v>15895</v>
      </c>
      <c r="I9172" t="s">
        <v>17299</v>
      </c>
      <c r="J9172" t="s">
        <v>18894</v>
      </c>
      <c r="K9172">
        <v>11233</v>
      </c>
      <c r="L9172" t="s">
        <v>18958</v>
      </c>
      <c r="M9172" t="s">
        <v>18958</v>
      </c>
      <c r="N9172" t="s">
        <v>18997</v>
      </c>
      <c r="O9172" t="s">
        <v>26531</v>
      </c>
      <c r="Q9172" t="s">
        <v>26570</v>
      </c>
      <c r="R9172" t="s">
        <v>26583</v>
      </c>
      <c r="S9172" t="s">
        <v>18959</v>
      </c>
      <c r="U9172" t="s">
        <v>26604</v>
      </c>
      <c r="X9172">
        <v>1649</v>
      </c>
      <c r="Y9172" t="s">
        <v>26652</v>
      </c>
      <c r="Z9172" t="s">
        <v>26661</v>
      </c>
      <c r="AA9172" t="s">
        <v>26683</v>
      </c>
      <c r="AB9172" t="s">
        <v>27256</v>
      </c>
      <c r="AD9172" t="s">
        <v>43947</v>
      </c>
      <c r="AE9172">
        <v>6</v>
      </c>
      <c r="AF9172" t="s">
        <v>45541</v>
      </c>
      <c r="AG9172" t="s">
        <v>19330</v>
      </c>
      <c r="AH9172">
        <v>5</v>
      </c>
      <c r="AI9172">
        <v>2</v>
      </c>
      <c r="AJ9172">
        <v>3</v>
      </c>
      <c r="AK9172">
        <v>407.89</v>
      </c>
      <c r="AN9172" t="s">
        <v>7439</v>
      </c>
      <c r="AO9172">
        <v>120000</v>
      </c>
      <c r="AU9172">
        <v>1</v>
      </c>
      <c r="AV9172" t="s">
        <v>412</v>
      </c>
      <c r="AW9172" t="s">
        <v>279</v>
      </c>
    </row>
    <row r="9173" spans="1:49">
      <c r="A9173" s="1">
        <f>HYPERLINK("https://lsnyc.legalserver.org/matter/dynamic-profile/view/1882910","18-1882910")</f>
        <v>0</v>
      </c>
      <c r="B9173" t="s">
        <v>124</v>
      </c>
      <c r="C9173" t="s">
        <v>340</v>
      </c>
      <c r="D9173" t="s">
        <v>583</v>
      </c>
      <c r="F9173" t="s">
        <v>1366</v>
      </c>
      <c r="G9173" t="s">
        <v>8952</v>
      </c>
      <c r="H9173" t="s">
        <v>15896</v>
      </c>
      <c r="I9173">
        <v>1</v>
      </c>
      <c r="J9173" t="s">
        <v>18894</v>
      </c>
      <c r="K9173">
        <v>11233</v>
      </c>
      <c r="L9173" t="s">
        <v>18960</v>
      </c>
      <c r="M9173" t="s">
        <v>18960</v>
      </c>
      <c r="R9173" t="s">
        <v>26578</v>
      </c>
      <c r="U9173" t="s">
        <v>26604</v>
      </c>
      <c r="X9173">
        <v>0</v>
      </c>
      <c r="Y9173" t="s">
        <v>26652</v>
      </c>
      <c r="AB9173" t="s">
        <v>33260</v>
      </c>
      <c r="AD9173" t="s">
        <v>43948</v>
      </c>
      <c r="AE9173">
        <v>0</v>
      </c>
      <c r="AH9173">
        <v>0</v>
      </c>
      <c r="AI9173">
        <v>1</v>
      </c>
      <c r="AJ9173">
        <v>0</v>
      </c>
      <c r="AK9173">
        <v>222.41</v>
      </c>
      <c r="AN9173" t="s">
        <v>7439</v>
      </c>
      <c r="AO9173">
        <v>27000</v>
      </c>
      <c r="AU9173">
        <v>1.1</v>
      </c>
      <c r="AV9173" t="s">
        <v>689</v>
      </c>
      <c r="AW9173" t="s">
        <v>46882</v>
      </c>
    </row>
    <row r="9174" spans="1:49">
      <c r="A9174" s="1">
        <f>HYPERLINK("https://lsnyc.legalserver.org/matter/dynamic-profile/view/1879104","18-1879104")</f>
        <v>0</v>
      </c>
      <c r="B9174" t="s">
        <v>200</v>
      </c>
      <c r="C9174" t="s">
        <v>340</v>
      </c>
      <c r="D9174" t="s">
        <v>583</v>
      </c>
      <c r="F9174" t="s">
        <v>1234</v>
      </c>
      <c r="G9174" t="s">
        <v>5785</v>
      </c>
      <c r="H9174" t="s">
        <v>12132</v>
      </c>
      <c r="I9174">
        <v>2</v>
      </c>
      <c r="J9174" t="s">
        <v>18894</v>
      </c>
      <c r="K9174">
        <v>11233</v>
      </c>
      <c r="L9174" t="s">
        <v>18958</v>
      </c>
      <c r="M9174" t="s">
        <v>18959</v>
      </c>
      <c r="P9174" t="s">
        <v>26563</v>
      </c>
      <c r="R9174" t="s">
        <v>26578</v>
      </c>
      <c r="U9174" t="s">
        <v>26604</v>
      </c>
      <c r="X9174">
        <v>1363</v>
      </c>
      <c r="Y9174" t="s">
        <v>26652</v>
      </c>
      <c r="Z9174" t="s">
        <v>26659</v>
      </c>
      <c r="AB9174" t="s">
        <v>33156</v>
      </c>
      <c r="AD9174" t="s">
        <v>43812</v>
      </c>
      <c r="AE9174">
        <v>8</v>
      </c>
      <c r="AF9174" t="s">
        <v>45541</v>
      </c>
      <c r="AG9174" t="s">
        <v>45556</v>
      </c>
      <c r="AH9174">
        <v>4</v>
      </c>
      <c r="AI9174">
        <v>1</v>
      </c>
      <c r="AJ9174">
        <v>1</v>
      </c>
      <c r="AK9174">
        <v>176.12</v>
      </c>
      <c r="AN9174" t="s">
        <v>7439</v>
      </c>
      <c r="AO9174">
        <v>28990</v>
      </c>
      <c r="AU9174">
        <v>0</v>
      </c>
      <c r="AW9174" t="s">
        <v>46862</v>
      </c>
    </row>
    <row r="9175" spans="1:49">
      <c r="A9175" s="1">
        <f>HYPERLINK("https://lsnyc.legalserver.org/matter/dynamic-profile/view/1879152","18-1879152")</f>
        <v>0</v>
      </c>
      <c r="B9175" t="s">
        <v>200</v>
      </c>
      <c r="C9175" t="s">
        <v>340</v>
      </c>
      <c r="D9175" t="s">
        <v>583</v>
      </c>
      <c r="F9175" t="s">
        <v>2815</v>
      </c>
      <c r="G9175" t="s">
        <v>5115</v>
      </c>
      <c r="H9175" t="s">
        <v>15895</v>
      </c>
      <c r="I9175" t="s">
        <v>17299</v>
      </c>
      <c r="J9175" t="s">
        <v>18894</v>
      </c>
      <c r="K9175">
        <v>11233</v>
      </c>
      <c r="L9175" t="s">
        <v>18958</v>
      </c>
      <c r="M9175" t="s">
        <v>18958</v>
      </c>
      <c r="N9175" t="s">
        <v>18997</v>
      </c>
      <c r="O9175" t="s">
        <v>26526</v>
      </c>
      <c r="R9175" t="s">
        <v>26583</v>
      </c>
      <c r="S9175" t="s">
        <v>18959</v>
      </c>
      <c r="U9175" t="s">
        <v>26604</v>
      </c>
      <c r="X9175">
        <v>1649</v>
      </c>
      <c r="Y9175" t="s">
        <v>26652</v>
      </c>
      <c r="Z9175" t="s">
        <v>26661</v>
      </c>
      <c r="AB9175" t="s">
        <v>27256</v>
      </c>
      <c r="AD9175" t="s">
        <v>43947</v>
      </c>
      <c r="AE9175">
        <v>6</v>
      </c>
      <c r="AF9175" t="s">
        <v>45541</v>
      </c>
      <c r="AG9175" t="s">
        <v>19330</v>
      </c>
      <c r="AH9175">
        <v>5</v>
      </c>
      <c r="AI9175">
        <v>2</v>
      </c>
      <c r="AJ9175">
        <v>3</v>
      </c>
      <c r="AK9175">
        <v>407.89</v>
      </c>
      <c r="AN9175" t="s">
        <v>7439</v>
      </c>
      <c r="AO9175">
        <v>120000</v>
      </c>
      <c r="AU9175">
        <v>0</v>
      </c>
      <c r="AW9175" t="s">
        <v>279</v>
      </c>
    </row>
    <row r="9176" spans="1:49">
      <c r="A9176" s="1">
        <f>HYPERLINK("https://lsnyc.legalserver.org/matter/dynamic-profile/view/1879182","18-1879182")</f>
        <v>0</v>
      </c>
      <c r="B9176" t="s">
        <v>170</v>
      </c>
      <c r="C9176" t="s">
        <v>340</v>
      </c>
      <c r="D9176" t="s">
        <v>583</v>
      </c>
      <c r="F9176" t="s">
        <v>4477</v>
      </c>
      <c r="G9176" t="s">
        <v>5177</v>
      </c>
      <c r="H9176" t="s">
        <v>15897</v>
      </c>
      <c r="I9176">
        <v>3</v>
      </c>
      <c r="J9176" t="s">
        <v>18894</v>
      </c>
      <c r="K9176">
        <v>11236</v>
      </c>
      <c r="L9176" t="s">
        <v>18960</v>
      </c>
      <c r="M9176" t="s">
        <v>18960</v>
      </c>
      <c r="N9176" t="s">
        <v>25437</v>
      </c>
      <c r="O9176" t="s">
        <v>26524</v>
      </c>
      <c r="P9176" t="s">
        <v>26560</v>
      </c>
      <c r="R9176" t="s">
        <v>26583</v>
      </c>
      <c r="U9176" t="s">
        <v>26604</v>
      </c>
      <c r="X9176">
        <v>0</v>
      </c>
      <c r="Y9176" t="s">
        <v>26652</v>
      </c>
      <c r="AB9176" t="s">
        <v>33261</v>
      </c>
      <c r="AD9176" t="s">
        <v>43949</v>
      </c>
      <c r="AE9176">
        <v>0</v>
      </c>
      <c r="AH9176">
        <v>0</v>
      </c>
      <c r="AI9176">
        <v>2</v>
      </c>
      <c r="AJ9176">
        <v>1</v>
      </c>
      <c r="AK9176">
        <v>230.99</v>
      </c>
      <c r="AN9176" t="s">
        <v>7439</v>
      </c>
      <c r="AO9176">
        <v>48000</v>
      </c>
      <c r="AU9176">
        <v>21.8</v>
      </c>
      <c r="AV9176" t="s">
        <v>792</v>
      </c>
      <c r="AW9176" t="s">
        <v>46853</v>
      </c>
    </row>
    <row r="9177" spans="1:49">
      <c r="A9177" s="1">
        <f>HYPERLINK("https://lsnyc.legalserver.org/matter/dynamic-profile/view/1879315","18-1879315")</f>
        <v>0</v>
      </c>
      <c r="B9177" t="s">
        <v>72</v>
      </c>
      <c r="C9177" t="s">
        <v>341</v>
      </c>
      <c r="D9177" t="s">
        <v>575</v>
      </c>
      <c r="E9177" t="s">
        <v>575</v>
      </c>
      <c r="F9177" t="s">
        <v>4478</v>
      </c>
      <c r="G9177" t="s">
        <v>6860</v>
      </c>
      <c r="H9177" t="s">
        <v>11659</v>
      </c>
      <c r="I9177" t="s">
        <v>18642</v>
      </c>
      <c r="J9177" t="s">
        <v>18893</v>
      </c>
      <c r="K9177">
        <v>10034</v>
      </c>
      <c r="L9177" t="s">
        <v>18960</v>
      </c>
      <c r="M9177" t="s">
        <v>18960</v>
      </c>
      <c r="O9177" t="s">
        <v>18997</v>
      </c>
      <c r="P9177" t="s">
        <v>26565</v>
      </c>
      <c r="Q9177" t="s">
        <v>26571</v>
      </c>
      <c r="R9177" t="s">
        <v>26578</v>
      </c>
      <c r="S9177" t="s">
        <v>18959</v>
      </c>
      <c r="U9177" t="s">
        <v>26604</v>
      </c>
      <c r="X9177">
        <v>1008.83</v>
      </c>
      <c r="Y9177" t="s">
        <v>26651</v>
      </c>
      <c r="Z9177" t="s">
        <v>26661</v>
      </c>
      <c r="AA9177" t="s">
        <v>26683</v>
      </c>
      <c r="AB9177" t="s">
        <v>33262</v>
      </c>
      <c r="AD9177" t="s">
        <v>43950</v>
      </c>
      <c r="AE9177">
        <v>146</v>
      </c>
      <c r="AF9177" t="s">
        <v>45541</v>
      </c>
      <c r="AG9177" t="s">
        <v>19330</v>
      </c>
      <c r="AH9177">
        <v>15</v>
      </c>
      <c r="AI9177">
        <v>1</v>
      </c>
      <c r="AJ9177">
        <v>0</v>
      </c>
      <c r="AK9177">
        <v>158.15</v>
      </c>
      <c r="AN9177" t="s">
        <v>7439</v>
      </c>
      <c r="AO9177">
        <v>19200</v>
      </c>
      <c r="AU9177">
        <v>0.5</v>
      </c>
      <c r="AV9177" t="s">
        <v>575</v>
      </c>
      <c r="AW9177" t="s">
        <v>46838</v>
      </c>
    </row>
    <row r="9178" spans="1:49">
      <c r="A9178" s="1">
        <f>HYPERLINK("https://lsnyc.legalserver.org/matter/dynamic-profile/view/1879346","18-1879346")</f>
        <v>0</v>
      </c>
      <c r="B9178" t="s">
        <v>74</v>
      </c>
      <c r="C9178" t="s">
        <v>341</v>
      </c>
      <c r="D9178" t="s">
        <v>575</v>
      </c>
      <c r="E9178" t="s">
        <v>652</v>
      </c>
      <c r="F9178" t="s">
        <v>2495</v>
      </c>
      <c r="G9178" t="s">
        <v>5086</v>
      </c>
      <c r="H9178" t="s">
        <v>15898</v>
      </c>
      <c r="I9178">
        <v>2</v>
      </c>
      <c r="J9178" t="s">
        <v>18892</v>
      </c>
      <c r="K9178">
        <v>10451</v>
      </c>
      <c r="L9178" t="s">
        <v>18960</v>
      </c>
      <c r="M9178" t="s">
        <v>18960</v>
      </c>
      <c r="Q9178" t="s">
        <v>26570</v>
      </c>
      <c r="R9178" t="s">
        <v>26591</v>
      </c>
      <c r="U9178" t="s">
        <v>26604</v>
      </c>
      <c r="X9178">
        <v>1379</v>
      </c>
      <c r="Y9178" t="s">
        <v>26651</v>
      </c>
      <c r="Z9178" t="s">
        <v>26661</v>
      </c>
      <c r="AA9178" t="s">
        <v>26683</v>
      </c>
      <c r="AB9178" t="s">
        <v>33263</v>
      </c>
      <c r="AD9178" t="s">
        <v>43951</v>
      </c>
      <c r="AE9178">
        <v>3</v>
      </c>
      <c r="AF9178" t="s">
        <v>45552</v>
      </c>
      <c r="AG9178" t="s">
        <v>45556</v>
      </c>
      <c r="AH9178">
        <v>5</v>
      </c>
      <c r="AI9178">
        <v>1</v>
      </c>
      <c r="AJ9178">
        <v>3</v>
      </c>
      <c r="AK9178">
        <v>51.63</v>
      </c>
      <c r="AN9178" t="s">
        <v>7439</v>
      </c>
      <c r="AO9178">
        <v>12960</v>
      </c>
      <c r="AU9178">
        <v>1</v>
      </c>
      <c r="AV9178" t="s">
        <v>575</v>
      </c>
      <c r="AW9178" t="s">
        <v>46846</v>
      </c>
    </row>
    <row r="9179" spans="1:49">
      <c r="A9179" s="1">
        <f>HYPERLINK("https://lsnyc.legalserver.org/matter/dynamic-profile/view/1879290","18-1879290")</f>
        <v>0</v>
      </c>
      <c r="B9179" t="s">
        <v>249</v>
      </c>
      <c r="C9179" t="s">
        <v>341</v>
      </c>
      <c r="D9179" t="s">
        <v>575</v>
      </c>
      <c r="E9179" t="s">
        <v>630</v>
      </c>
      <c r="F9179" t="s">
        <v>4479</v>
      </c>
      <c r="G9179" t="s">
        <v>8953</v>
      </c>
      <c r="H9179" t="s">
        <v>15899</v>
      </c>
      <c r="I9179" t="s">
        <v>17354</v>
      </c>
      <c r="J9179" t="s">
        <v>18894</v>
      </c>
      <c r="K9179">
        <v>11207</v>
      </c>
      <c r="L9179" t="s">
        <v>18960</v>
      </c>
      <c r="M9179" t="s">
        <v>18960</v>
      </c>
      <c r="P9179" t="s">
        <v>26564</v>
      </c>
      <c r="Q9179" t="s">
        <v>26570</v>
      </c>
      <c r="R9179" t="s">
        <v>26591</v>
      </c>
      <c r="U9179" t="s">
        <v>26604</v>
      </c>
      <c r="X9179">
        <v>0</v>
      </c>
      <c r="Y9179" t="s">
        <v>26652</v>
      </c>
      <c r="AA9179" t="s">
        <v>26683</v>
      </c>
      <c r="AB9179" t="s">
        <v>33264</v>
      </c>
      <c r="AD9179" t="s">
        <v>43952</v>
      </c>
      <c r="AE9179">
        <v>0</v>
      </c>
      <c r="AH9179">
        <v>0</v>
      </c>
      <c r="AI9179">
        <v>1</v>
      </c>
      <c r="AJ9179">
        <v>0</v>
      </c>
      <c r="AK9179">
        <v>82.73</v>
      </c>
      <c r="AN9179" t="s">
        <v>7439</v>
      </c>
      <c r="AO9179">
        <v>10044</v>
      </c>
      <c r="AU9179">
        <v>2.4</v>
      </c>
      <c r="AV9179" t="s">
        <v>630</v>
      </c>
      <c r="AW9179" t="s">
        <v>46849</v>
      </c>
    </row>
    <row r="9180" spans="1:49">
      <c r="A9180" s="1">
        <f>HYPERLINK("https://lsnyc.legalserver.org/matter/dynamic-profile/view/1879422","18-1879422")</f>
        <v>0</v>
      </c>
      <c r="B9180" t="s">
        <v>279</v>
      </c>
      <c r="C9180" t="s">
        <v>341</v>
      </c>
      <c r="D9180" t="s">
        <v>575</v>
      </c>
      <c r="E9180" t="s">
        <v>659</v>
      </c>
      <c r="F9180" t="s">
        <v>4122</v>
      </c>
      <c r="G9180" t="s">
        <v>8954</v>
      </c>
      <c r="H9180" t="s">
        <v>15900</v>
      </c>
      <c r="I9180">
        <v>1</v>
      </c>
      <c r="J9180" t="s">
        <v>18894</v>
      </c>
      <c r="K9180">
        <v>11233</v>
      </c>
      <c r="L9180" t="s">
        <v>18959</v>
      </c>
      <c r="M9180" t="s">
        <v>18959</v>
      </c>
      <c r="O9180" t="s">
        <v>26524</v>
      </c>
      <c r="P9180" t="s">
        <v>26564</v>
      </c>
      <c r="Q9180" t="s">
        <v>26570</v>
      </c>
      <c r="R9180" t="s">
        <v>26578</v>
      </c>
      <c r="U9180" t="s">
        <v>26604</v>
      </c>
      <c r="X9180">
        <v>400</v>
      </c>
      <c r="Y9180" t="s">
        <v>26652</v>
      </c>
      <c r="Z9180" t="s">
        <v>26661</v>
      </c>
      <c r="AA9180" t="s">
        <v>26683</v>
      </c>
      <c r="AB9180" t="s">
        <v>28682</v>
      </c>
      <c r="AD9180" t="s">
        <v>43953</v>
      </c>
      <c r="AE9180">
        <v>4</v>
      </c>
      <c r="AF9180" t="s">
        <v>45547</v>
      </c>
      <c r="AH9180">
        <v>10</v>
      </c>
      <c r="AI9180">
        <v>1</v>
      </c>
      <c r="AJ9180">
        <v>0</v>
      </c>
      <c r="AK9180">
        <v>19.18</v>
      </c>
      <c r="AN9180" t="s">
        <v>7439</v>
      </c>
      <c r="AO9180">
        <v>2328</v>
      </c>
      <c r="AU9180">
        <v>0.75</v>
      </c>
      <c r="AV9180" t="s">
        <v>659</v>
      </c>
      <c r="AW9180" t="s">
        <v>46829</v>
      </c>
    </row>
    <row r="9181" spans="1:49">
      <c r="A9181" s="1">
        <f>HYPERLINK("https://lsnyc.legalserver.org/matter/dynamic-profile/view/1879336","18-1879336")</f>
        <v>0</v>
      </c>
      <c r="B9181" t="s">
        <v>279</v>
      </c>
      <c r="C9181" t="s">
        <v>341</v>
      </c>
      <c r="D9181" t="s">
        <v>575</v>
      </c>
      <c r="E9181" t="s">
        <v>632</v>
      </c>
      <c r="F9181" t="s">
        <v>887</v>
      </c>
      <c r="G9181" t="s">
        <v>5385</v>
      </c>
      <c r="H9181" t="s">
        <v>15901</v>
      </c>
      <c r="I9181" t="s">
        <v>17387</v>
      </c>
      <c r="J9181" t="s">
        <v>18894</v>
      </c>
      <c r="K9181">
        <v>11207</v>
      </c>
      <c r="L9181" t="s">
        <v>18959</v>
      </c>
      <c r="M9181" t="s">
        <v>18959</v>
      </c>
      <c r="O9181" t="s">
        <v>18997</v>
      </c>
      <c r="P9181" t="s">
        <v>26564</v>
      </c>
      <c r="Q9181" t="s">
        <v>26570</v>
      </c>
      <c r="R9181" t="s">
        <v>26578</v>
      </c>
      <c r="S9181" t="s">
        <v>18959</v>
      </c>
      <c r="U9181" t="s">
        <v>26604</v>
      </c>
      <c r="X9181">
        <v>1700</v>
      </c>
      <c r="Y9181" t="s">
        <v>26652</v>
      </c>
      <c r="AA9181" t="s">
        <v>26683</v>
      </c>
      <c r="AB9181" t="s">
        <v>33265</v>
      </c>
      <c r="AC9181" t="s">
        <v>34508</v>
      </c>
      <c r="AD9181" t="s">
        <v>43954</v>
      </c>
      <c r="AE9181">
        <v>2</v>
      </c>
      <c r="AF9181" t="s">
        <v>45547</v>
      </c>
      <c r="AG9181" t="s">
        <v>45558</v>
      </c>
      <c r="AH9181">
        <v>15</v>
      </c>
      <c r="AI9181">
        <v>1</v>
      </c>
      <c r="AJ9181">
        <v>2</v>
      </c>
      <c r="AK9181">
        <v>97.13</v>
      </c>
      <c r="AN9181" t="s">
        <v>7439</v>
      </c>
      <c r="AO9181">
        <v>20184</v>
      </c>
      <c r="AU9181">
        <v>0.6</v>
      </c>
      <c r="AV9181" t="s">
        <v>413</v>
      </c>
      <c r="AW9181" t="s">
        <v>46850</v>
      </c>
    </row>
    <row r="9182" spans="1:49">
      <c r="A9182" s="1">
        <f>HYPERLINK("https://lsnyc.legalserver.org/matter/dynamic-profile/view/1879356","18-1879356")</f>
        <v>0</v>
      </c>
      <c r="B9182" t="s">
        <v>61</v>
      </c>
      <c r="C9182" t="s">
        <v>340</v>
      </c>
      <c r="D9182" t="s">
        <v>575</v>
      </c>
      <c r="F9182" t="s">
        <v>901</v>
      </c>
      <c r="G9182" t="s">
        <v>5082</v>
      </c>
      <c r="H9182" t="s">
        <v>15902</v>
      </c>
      <c r="I9182" t="s">
        <v>18643</v>
      </c>
      <c r="J9182" t="s">
        <v>18893</v>
      </c>
      <c r="K9182">
        <v>10034</v>
      </c>
      <c r="L9182" t="s">
        <v>18960</v>
      </c>
      <c r="M9182" t="s">
        <v>18960</v>
      </c>
      <c r="N9182" t="s">
        <v>25438</v>
      </c>
      <c r="O9182" t="s">
        <v>26524</v>
      </c>
      <c r="P9182" t="s">
        <v>26564</v>
      </c>
      <c r="R9182" t="s">
        <v>26578</v>
      </c>
      <c r="U9182" t="s">
        <v>26604</v>
      </c>
      <c r="X9182">
        <v>1039.15</v>
      </c>
      <c r="Y9182" t="s">
        <v>26651</v>
      </c>
      <c r="Z9182" t="s">
        <v>26661</v>
      </c>
      <c r="AB9182" t="s">
        <v>33266</v>
      </c>
      <c r="AD9182" t="s">
        <v>43955</v>
      </c>
      <c r="AE9182">
        <v>46</v>
      </c>
      <c r="AF9182" t="s">
        <v>45541</v>
      </c>
      <c r="AG9182" t="s">
        <v>19330</v>
      </c>
      <c r="AH9182">
        <v>13</v>
      </c>
      <c r="AI9182">
        <v>2</v>
      </c>
      <c r="AJ9182">
        <v>0</v>
      </c>
      <c r="AK9182">
        <v>153.1</v>
      </c>
      <c r="AN9182" t="s">
        <v>45581</v>
      </c>
      <c r="AO9182">
        <v>25200</v>
      </c>
      <c r="AU9182">
        <v>1.6</v>
      </c>
      <c r="AV9182" t="s">
        <v>724</v>
      </c>
      <c r="AW9182" t="s">
        <v>46838</v>
      </c>
    </row>
    <row r="9183" spans="1:49">
      <c r="A9183" s="1">
        <f>HYPERLINK("https://lsnyc.legalserver.org/matter/dynamic-profile/view/1879384","18-1879384")</f>
        <v>0</v>
      </c>
      <c r="B9183" t="s">
        <v>110</v>
      </c>
      <c r="C9183" t="s">
        <v>340</v>
      </c>
      <c r="D9183" t="s">
        <v>575</v>
      </c>
      <c r="F9183" t="s">
        <v>4480</v>
      </c>
      <c r="G9183" t="s">
        <v>6232</v>
      </c>
      <c r="H9183" t="s">
        <v>15903</v>
      </c>
      <c r="I9183" t="s">
        <v>17711</v>
      </c>
      <c r="J9183" t="s">
        <v>18934</v>
      </c>
      <c r="K9183">
        <v>11413</v>
      </c>
      <c r="L9183" t="s">
        <v>18960</v>
      </c>
      <c r="M9183" t="s">
        <v>18960</v>
      </c>
      <c r="O9183" t="s">
        <v>18997</v>
      </c>
      <c r="P9183" t="s">
        <v>26564</v>
      </c>
      <c r="R9183" t="s">
        <v>26591</v>
      </c>
      <c r="S9183" t="s">
        <v>18959</v>
      </c>
      <c r="U9183" t="s">
        <v>26604</v>
      </c>
      <c r="X9183">
        <v>1515</v>
      </c>
      <c r="Y9183" t="s">
        <v>26653</v>
      </c>
      <c r="Z9183" t="s">
        <v>26530</v>
      </c>
      <c r="AB9183" t="s">
        <v>33267</v>
      </c>
      <c r="AD9183" t="s">
        <v>43956</v>
      </c>
      <c r="AE9183">
        <v>2</v>
      </c>
      <c r="AF9183" t="s">
        <v>20460</v>
      </c>
      <c r="AH9183">
        <v>0</v>
      </c>
      <c r="AI9183">
        <v>2</v>
      </c>
      <c r="AJ9183">
        <v>1</v>
      </c>
      <c r="AK9183">
        <v>103.95</v>
      </c>
      <c r="AN9183" t="s">
        <v>7439</v>
      </c>
      <c r="AO9183">
        <v>21600</v>
      </c>
      <c r="AU9183">
        <v>0.75</v>
      </c>
      <c r="AV9183" t="s">
        <v>575</v>
      </c>
      <c r="AW9183" t="s">
        <v>46829</v>
      </c>
    </row>
    <row r="9184" spans="1:49">
      <c r="A9184" s="1">
        <f>HYPERLINK("https://lsnyc.legalserver.org/matter/dynamic-profile/view/1879300","18-1879300")</f>
        <v>0</v>
      </c>
      <c r="B9184" t="s">
        <v>110</v>
      </c>
      <c r="C9184" t="s">
        <v>340</v>
      </c>
      <c r="D9184" t="s">
        <v>575</v>
      </c>
      <c r="F9184" t="s">
        <v>1026</v>
      </c>
      <c r="G9184" t="s">
        <v>5873</v>
      </c>
      <c r="H9184" t="s">
        <v>15904</v>
      </c>
      <c r="I9184">
        <v>3</v>
      </c>
      <c r="J9184" t="s">
        <v>18900</v>
      </c>
      <c r="K9184">
        <v>11379</v>
      </c>
      <c r="L9184" t="s">
        <v>18960</v>
      </c>
      <c r="M9184" t="s">
        <v>18960</v>
      </c>
      <c r="R9184" t="s">
        <v>26583</v>
      </c>
      <c r="U9184" t="s">
        <v>26604</v>
      </c>
      <c r="X9184">
        <v>1337</v>
      </c>
      <c r="Y9184" t="s">
        <v>26653</v>
      </c>
      <c r="AB9184" t="s">
        <v>26703</v>
      </c>
      <c r="AD9184" t="s">
        <v>43957</v>
      </c>
      <c r="AE9184">
        <v>4</v>
      </c>
      <c r="AG9184" t="s">
        <v>45556</v>
      </c>
      <c r="AH9184">
        <v>4</v>
      </c>
      <c r="AI9184">
        <v>3</v>
      </c>
      <c r="AJ9184">
        <v>0</v>
      </c>
      <c r="AK9184">
        <v>255.05</v>
      </c>
      <c r="AN9184" t="s">
        <v>7439</v>
      </c>
      <c r="AO9184">
        <v>53000</v>
      </c>
      <c r="AU9184">
        <v>1</v>
      </c>
      <c r="AV9184" t="s">
        <v>575</v>
      </c>
      <c r="AW9184" t="s">
        <v>46858</v>
      </c>
    </row>
    <row r="9185" spans="1:49">
      <c r="A9185" s="1">
        <f>HYPERLINK("https://lsnyc.legalserver.org/matter/dynamic-profile/view/1879307","18-1879307")</f>
        <v>0</v>
      </c>
      <c r="B9185" t="s">
        <v>200</v>
      </c>
      <c r="C9185" t="s">
        <v>340</v>
      </c>
      <c r="D9185" t="s">
        <v>575</v>
      </c>
      <c r="F9185" t="s">
        <v>1002</v>
      </c>
      <c r="G9185" t="s">
        <v>5164</v>
      </c>
      <c r="H9185" t="s">
        <v>15905</v>
      </c>
      <c r="I9185">
        <v>5</v>
      </c>
      <c r="J9185" t="s">
        <v>18894</v>
      </c>
      <c r="K9185">
        <v>11237</v>
      </c>
      <c r="L9185" t="s">
        <v>18960</v>
      </c>
      <c r="M9185" t="s">
        <v>18960</v>
      </c>
      <c r="O9185" t="s">
        <v>18997</v>
      </c>
      <c r="P9185" t="s">
        <v>26564</v>
      </c>
      <c r="R9185" t="s">
        <v>26591</v>
      </c>
      <c r="S9185" t="s">
        <v>18959</v>
      </c>
      <c r="U9185" t="s">
        <v>26604</v>
      </c>
      <c r="X9185">
        <v>1800</v>
      </c>
      <c r="Y9185" t="s">
        <v>26652</v>
      </c>
      <c r="Z9185" t="s">
        <v>26530</v>
      </c>
      <c r="AB9185" t="s">
        <v>33268</v>
      </c>
      <c r="AD9185" t="s">
        <v>43958</v>
      </c>
      <c r="AE9185">
        <v>0</v>
      </c>
      <c r="AF9185" t="s">
        <v>20460</v>
      </c>
      <c r="AG9185" t="s">
        <v>19330</v>
      </c>
      <c r="AH9185">
        <v>1</v>
      </c>
      <c r="AI9185">
        <v>1</v>
      </c>
      <c r="AJ9185">
        <v>2</v>
      </c>
      <c r="AK9185">
        <v>64.22</v>
      </c>
      <c r="AN9185" t="s">
        <v>7439</v>
      </c>
      <c r="AO9185">
        <v>13344</v>
      </c>
      <c r="AU9185">
        <v>1.15</v>
      </c>
      <c r="AV9185" t="s">
        <v>646</v>
      </c>
      <c r="AW9185" t="s">
        <v>46829</v>
      </c>
    </row>
    <row r="9186" spans="1:49">
      <c r="A9186" s="1">
        <f>HYPERLINK("https://lsnyc.legalserver.org/matter/dynamic-profile/view/1879433","18-1879433")</f>
        <v>0</v>
      </c>
      <c r="B9186" t="s">
        <v>101</v>
      </c>
      <c r="C9186" t="s">
        <v>340</v>
      </c>
      <c r="D9186" t="s">
        <v>575</v>
      </c>
      <c r="F9186" t="s">
        <v>1079</v>
      </c>
      <c r="G9186" t="s">
        <v>5484</v>
      </c>
      <c r="H9186" t="s">
        <v>11233</v>
      </c>
      <c r="I9186" t="s">
        <v>17275</v>
      </c>
      <c r="J9186" t="s">
        <v>18894</v>
      </c>
      <c r="K9186">
        <v>11226</v>
      </c>
      <c r="L9186" t="s">
        <v>18958</v>
      </c>
      <c r="M9186" t="s">
        <v>18960</v>
      </c>
      <c r="N9186" t="s">
        <v>25439</v>
      </c>
      <c r="O9186" t="s">
        <v>26524</v>
      </c>
      <c r="P9186" t="s">
        <v>26560</v>
      </c>
      <c r="R9186" t="s">
        <v>26583</v>
      </c>
      <c r="U9186" t="s">
        <v>26604</v>
      </c>
      <c r="X9186">
        <v>923</v>
      </c>
      <c r="Y9186" t="s">
        <v>26652</v>
      </c>
      <c r="Z9186" t="s">
        <v>26663</v>
      </c>
      <c r="AB9186" t="s">
        <v>33269</v>
      </c>
      <c r="AD9186" t="s">
        <v>43959</v>
      </c>
      <c r="AE9186">
        <v>20</v>
      </c>
      <c r="AG9186" t="s">
        <v>19330</v>
      </c>
      <c r="AH9186">
        <v>20</v>
      </c>
      <c r="AI9186">
        <v>2</v>
      </c>
      <c r="AJ9186">
        <v>1</v>
      </c>
      <c r="AK9186">
        <v>255.05</v>
      </c>
      <c r="AN9186" t="s">
        <v>45598</v>
      </c>
      <c r="AO9186">
        <v>53000</v>
      </c>
      <c r="AU9186">
        <v>43.7</v>
      </c>
      <c r="AV9186" t="s">
        <v>723</v>
      </c>
      <c r="AW9186" t="s">
        <v>46853</v>
      </c>
    </row>
    <row r="9187" spans="1:49">
      <c r="A9187" s="1">
        <f>HYPERLINK("https://lsnyc.legalserver.org/matter/dynamic-profile/view/1879392","18-1879392")</f>
        <v>0</v>
      </c>
      <c r="B9187" t="s">
        <v>121</v>
      </c>
      <c r="C9187" t="s">
        <v>340</v>
      </c>
      <c r="D9187" t="s">
        <v>575</v>
      </c>
      <c r="F9187" t="s">
        <v>1562</v>
      </c>
      <c r="G9187" t="s">
        <v>8955</v>
      </c>
      <c r="H9187" t="s">
        <v>15906</v>
      </c>
      <c r="I9187">
        <v>7</v>
      </c>
      <c r="J9187" t="s">
        <v>18892</v>
      </c>
      <c r="K9187">
        <v>10457</v>
      </c>
      <c r="L9187" t="s">
        <v>18958</v>
      </c>
      <c r="M9187" t="s">
        <v>18959</v>
      </c>
      <c r="O9187" t="s">
        <v>26534</v>
      </c>
      <c r="P9187" t="s">
        <v>26561</v>
      </c>
      <c r="R9187" t="s">
        <v>26577</v>
      </c>
      <c r="S9187" t="s">
        <v>18959</v>
      </c>
      <c r="U9187" t="s">
        <v>26604</v>
      </c>
      <c r="X9187">
        <v>1956</v>
      </c>
      <c r="Y9187" t="s">
        <v>26650</v>
      </c>
      <c r="Z9187" t="s">
        <v>26659</v>
      </c>
      <c r="AB9187" t="s">
        <v>33270</v>
      </c>
      <c r="AD9187" t="s">
        <v>43960</v>
      </c>
      <c r="AE9187">
        <v>8</v>
      </c>
      <c r="AF9187" t="s">
        <v>45541</v>
      </c>
      <c r="AG9187" t="s">
        <v>45556</v>
      </c>
      <c r="AH9187">
        <v>4</v>
      </c>
      <c r="AI9187">
        <v>1</v>
      </c>
      <c r="AJ9187">
        <v>0</v>
      </c>
      <c r="AK9187">
        <v>12.85</v>
      </c>
      <c r="AN9187" t="s">
        <v>7439</v>
      </c>
      <c r="AO9187">
        <v>1560</v>
      </c>
      <c r="AP9187" t="s">
        <v>46144</v>
      </c>
      <c r="AU9187">
        <v>5.5</v>
      </c>
      <c r="AV9187" t="s">
        <v>817</v>
      </c>
      <c r="AW9187" t="s">
        <v>46854</v>
      </c>
    </row>
    <row r="9188" spans="1:49">
      <c r="A9188" s="1">
        <f>HYPERLINK("https://lsnyc.legalserver.org/matter/dynamic-profile/view/1879595","18-1879595")</f>
        <v>0</v>
      </c>
      <c r="B9188" t="s">
        <v>186</v>
      </c>
      <c r="C9188" t="s">
        <v>341</v>
      </c>
      <c r="D9188" t="s">
        <v>529</v>
      </c>
      <c r="E9188" t="s">
        <v>726</v>
      </c>
      <c r="F9188" t="s">
        <v>4481</v>
      </c>
      <c r="G9188" t="s">
        <v>8956</v>
      </c>
      <c r="H9188" t="s">
        <v>15907</v>
      </c>
      <c r="I9188">
        <v>46</v>
      </c>
      <c r="J9188" t="s">
        <v>18893</v>
      </c>
      <c r="K9188">
        <v>10032</v>
      </c>
      <c r="L9188" t="s">
        <v>18960</v>
      </c>
      <c r="M9188" t="s">
        <v>18960</v>
      </c>
      <c r="P9188" t="s">
        <v>26565</v>
      </c>
      <c r="Q9188" t="s">
        <v>26570</v>
      </c>
      <c r="R9188" t="s">
        <v>26591</v>
      </c>
      <c r="U9188" t="s">
        <v>26604</v>
      </c>
      <c r="X9188">
        <v>0</v>
      </c>
      <c r="Y9188" t="s">
        <v>26652</v>
      </c>
      <c r="AA9188" t="s">
        <v>26682</v>
      </c>
      <c r="AB9188" t="s">
        <v>33271</v>
      </c>
      <c r="AD9188" t="s">
        <v>43961</v>
      </c>
      <c r="AE9188">
        <v>0</v>
      </c>
      <c r="AH9188">
        <v>0</v>
      </c>
      <c r="AI9188">
        <v>3</v>
      </c>
      <c r="AJ9188">
        <v>0</v>
      </c>
      <c r="AK9188">
        <v>144.37</v>
      </c>
      <c r="AN9188" t="s">
        <v>7439</v>
      </c>
      <c r="AO9188">
        <v>30000</v>
      </c>
      <c r="AU9188">
        <v>2.35</v>
      </c>
      <c r="AV9188" t="s">
        <v>726</v>
      </c>
      <c r="AW9188" t="s">
        <v>186</v>
      </c>
    </row>
    <row r="9189" spans="1:49">
      <c r="A9189" s="1">
        <f>HYPERLINK("https://lsnyc.legalserver.org/matter/dynamic-profile/view/1879481","18-1879481")</f>
        <v>0</v>
      </c>
      <c r="B9189" t="s">
        <v>216</v>
      </c>
      <c r="C9189" t="s">
        <v>341</v>
      </c>
      <c r="D9189" t="s">
        <v>529</v>
      </c>
      <c r="E9189" t="s">
        <v>414</v>
      </c>
      <c r="F9189" t="s">
        <v>1119</v>
      </c>
      <c r="G9189" t="s">
        <v>5341</v>
      </c>
      <c r="H9189" t="s">
        <v>15887</v>
      </c>
      <c r="I9189" t="s">
        <v>17316</v>
      </c>
      <c r="J9189" t="s">
        <v>18894</v>
      </c>
      <c r="K9189">
        <v>11233</v>
      </c>
      <c r="L9189" t="s">
        <v>18959</v>
      </c>
      <c r="M9189" t="s">
        <v>18959</v>
      </c>
      <c r="N9189" t="s">
        <v>18997</v>
      </c>
      <c r="P9189" t="s">
        <v>26564</v>
      </c>
      <c r="Q9189" t="s">
        <v>26570</v>
      </c>
      <c r="R9189" t="s">
        <v>26578</v>
      </c>
      <c r="S9189" t="s">
        <v>18959</v>
      </c>
      <c r="U9189" t="s">
        <v>26604</v>
      </c>
      <c r="X9189">
        <v>1300</v>
      </c>
      <c r="Y9189" t="s">
        <v>26652</v>
      </c>
      <c r="Z9189" t="s">
        <v>26661</v>
      </c>
      <c r="AA9189" t="s">
        <v>26681</v>
      </c>
      <c r="AB9189" t="s">
        <v>30996</v>
      </c>
      <c r="AC9189" t="s">
        <v>26379</v>
      </c>
      <c r="AD9189" t="s">
        <v>43937</v>
      </c>
      <c r="AE9189">
        <v>6</v>
      </c>
      <c r="AF9189" t="s">
        <v>45541</v>
      </c>
      <c r="AG9189" t="s">
        <v>19330</v>
      </c>
      <c r="AH9189">
        <v>10</v>
      </c>
      <c r="AI9189">
        <v>1</v>
      </c>
      <c r="AJ9189">
        <v>0</v>
      </c>
      <c r="AK9189">
        <v>17.79</v>
      </c>
      <c r="AN9189" t="s">
        <v>7439</v>
      </c>
      <c r="AO9189">
        <v>2160</v>
      </c>
      <c r="AU9189">
        <v>0.1</v>
      </c>
      <c r="AV9189" t="s">
        <v>414</v>
      </c>
      <c r="AW9189" t="s">
        <v>279</v>
      </c>
    </row>
    <row r="9190" spans="1:49">
      <c r="A9190" s="1">
        <f>HYPERLINK("https://lsnyc.legalserver.org/matter/dynamic-profile/view/1879572","18-1879572")</f>
        <v>0</v>
      </c>
      <c r="B9190" t="s">
        <v>122</v>
      </c>
      <c r="C9190" t="s">
        <v>341</v>
      </c>
      <c r="D9190" t="s">
        <v>529</v>
      </c>
      <c r="E9190" t="s">
        <v>618</v>
      </c>
      <c r="F9190" t="s">
        <v>2362</v>
      </c>
      <c r="G9190" t="s">
        <v>8957</v>
      </c>
      <c r="H9190" t="s">
        <v>15908</v>
      </c>
      <c r="I9190">
        <v>4</v>
      </c>
      <c r="J9190" t="s">
        <v>18913</v>
      </c>
      <c r="K9190">
        <v>11102</v>
      </c>
      <c r="L9190" t="s">
        <v>18960</v>
      </c>
      <c r="M9190" t="s">
        <v>18960</v>
      </c>
      <c r="N9190" t="s">
        <v>25440</v>
      </c>
      <c r="O9190" t="s">
        <v>26526</v>
      </c>
      <c r="P9190" t="s">
        <v>26564</v>
      </c>
      <c r="Q9190" t="s">
        <v>26570</v>
      </c>
      <c r="R9190" t="s">
        <v>26584</v>
      </c>
      <c r="S9190" t="s">
        <v>18958</v>
      </c>
      <c r="U9190" t="s">
        <v>26604</v>
      </c>
      <c r="X9190">
        <v>1350</v>
      </c>
      <c r="Y9190" t="s">
        <v>26653</v>
      </c>
      <c r="Z9190" t="s">
        <v>26664</v>
      </c>
      <c r="AA9190" t="s">
        <v>26683</v>
      </c>
      <c r="AB9190" t="s">
        <v>31370</v>
      </c>
      <c r="AC9190" t="s">
        <v>36614</v>
      </c>
      <c r="AD9190" t="s">
        <v>43962</v>
      </c>
      <c r="AE9190">
        <v>35</v>
      </c>
      <c r="AF9190" t="s">
        <v>45541</v>
      </c>
      <c r="AG9190" t="s">
        <v>45557</v>
      </c>
      <c r="AH9190">
        <v>27</v>
      </c>
      <c r="AI9190">
        <v>5</v>
      </c>
      <c r="AJ9190">
        <v>1</v>
      </c>
      <c r="AK9190">
        <v>42.53</v>
      </c>
      <c r="AN9190" t="s">
        <v>45592</v>
      </c>
      <c r="AO9190">
        <v>14348</v>
      </c>
      <c r="AU9190">
        <v>2.6</v>
      </c>
      <c r="AV9190" t="s">
        <v>687</v>
      </c>
      <c r="AW9190" t="s">
        <v>122</v>
      </c>
    </row>
    <row r="9191" spans="1:49">
      <c r="A9191" s="1">
        <f>HYPERLINK("https://lsnyc.legalserver.org/matter/dynamic-profile/view/1879542","18-1879542")</f>
        <v>0</v>
      </c>
      <c r="B9191" t="s">
        <v>188</v>
      </c>
      <c r="C9191" t="s">
        <v>341</v>
      </c>
      <c r="D9191" t="s">
        <v>529</v>
      </c>
      <c r="E9191" t="s">
        <v>494</v>
      </c>
      <c r="F9191" t="s">
        <v>4482</v>
      </c>
      <c r="G9191" t="s">
        <v>2749</v>
      </c>
      <c r="H9191" t="s">
        <v>15909</v>
      </c>
      <c r="I9191">
        <v>2</v>
      </c>
      <c r="J9191" t="s">
        <v>18892</v>
      </c>
      <c r="K9191">
        <v>10453</v>
      </c>
      <c r="L9191" t="s">
        <v>18958</v>
      </c>
      <c r="M9191" t="s">
        <v>18958</v>
      </c>
      <c r="O9191" t="s">
        <v>26524</v>
      </c>
      <c r="P9191" t="s">
        <v>26564</v>
      </c>
      <c r="Q9191" t="s">
        <v>26570</v>
      </c>
      <c r="R9191" t="s">
        <v>26578</v>
      </c>
      <c r="S9191" t="s">
        <v>18959</v>
      </c>
      <c r="U9191" t="s">
        <v>26604</v>
      </c>
      <c r="X9191">
        <v>1500</v>
      </c>
      <c r="Y9191" t="s">
        <v>26650</v>
      </c>
      <c r="Z9191" t="s">
        <v>26657</v>
      </c>
      <c r="AA9191" t="s">
        <v>26683</v>
      </c>
      <c r="AB9191" t="s">
        <v>32938</v>
      </c>
      <c r="AD9191" t="s">
        <v>43963</v>
      </c>
      <c r="AE9191">
        <v>3</v>
      </c>
      <c r="AF9191" t="s">
        <v>20460</v>
      </c>
      <c r="AG9191" t="s">
        <v>19330</v>
      </c>
      <c r="AH9191">
        <v>1</v>
      </c>
      <c r="AI9191">
        <v>1</v>
      </c>
      <c r="AJ9191">
        <v>3</v>
      </c>
      <c r="AK9191">
        <v>0</v>
      </c>
      <c r="AN9191" t="s">
        <v>7439</v>
      </c>
      <c r="AO9191">
        <v>0</v>
      </c>
      <c r="AP9191" t="s">
        <v>46145</v>
      </c>
      <c r="AU9191">
        <v>1</v>
      </c>
      <c r="AV9191" t="s">
        <v>529</v>
      </c>
      <c r="AW9191" t="s">
        <v>46860</v>
      </c>
    </row>
    <row r="9192" spans="1:49">
      <c r="A9192" s="1">
        <f>HYPERLINK("https://lsnyc.legalserver.org/matter/dynamic-profile/view/1879547","18-1879547")</f>
        <v>0</v>
      </c>
      <c r="B9192" t="s">
        <v>208</v>
      </c>
      <c r="C9192" t="s">
        <v>340</v>
      </c>
      <c r="D9192" t="s">
        <v>529</v>
      </c>
      <c r="F9192" t="s">
        <v>1551</v>
      </c>
      <c r="G9192" t="s">
        <v>5738</v>
      </c>
      <c r="H9192" t="s">
        <v>15910</v>
      </c>
      <c r="J9192" t="s">
        <v>18932</v>
      </c>
      <c r="K9192">
        <v>11385</v>
      </c>
      <c r="L9192" t="s">
        <v>18958</v>
      </c>
      <c r="M9192" t="s">
        <v>18958</v>
      </c>
      <c r="N9192" t="s">
        <v>25441</v>
      </c>
      <c r="O9192" t="s">
        <v>26524</v>
      </c>
      <c r="P9192" t="s">
        <v>26563</v>
      </c>
      <c r="R9192" t="s">
        <v>26584</v>
      </c>
      <c r="S9192" t="s">
        <v>18959</v>
      </c>
      <c r="U9192" t="s">
        <v>26604</v>
      </c>
      <c r="X9192">
        <v>1475</v>
      </c>
      <c r="Y9192" t="s">
        <v>26653</v>
      </c>
      <c r="Z9192" t="s">
        <v>26664</v>
      </c>
      <c r="AB9192" t="s">
        <v>33272</v>
      </c>
      <c r="AC9192" t="s">
        <v>36615</v>
      </c>
      <c r="AD9192" t="s">
        <v>43964</v>
      </c>
      <c r="AE9192">
        <v>0</v>
      </c>
      <c r="AF9192" t="s">
        <v>20460</v>
      </c>
      <c r="AG9192" t="s">
        <v>19330</v>
      </c>
      <c r="AH9192">
        <v>11</v>
      </c>
      <c r="AI9192">
        <v>2</v>
      </c>
      <c r="AJ9192">
        <v>2</v>
      </c>
      <c r="AK9192">
        <v>72</v>
      </c>
      <c r="AN9192" t="s">
        <v>7439</v>
      </c>
      <c r="AO9192">
        <v>18072</v>
      </c>
      <c r="AU9192">
        <v>0</v>
      </c>
      <c r="AW9192" t="s">
        <v>208</v>
      </c>
    </row>
    <row r="9193" spans="1:49">
      <c r="A9193" s="1">
        <f>HYPERLINK("https://lsnyc.legalserver.org/matter/dynamic-profile/view/1879526","18-1879526")</f>
        <v>0</v>
      </c>
      <c r="B9193" t="s">
        <v>191</v>
      </c>
      <c r="C9193" t="s">
        <v>340</v>
      </c>
      <c r="D9193" t="s">
        <v>529</v>
      </c>
      <c r="F9193" t="s">
        <v>2123</v>
      </c>
      <c r="G9193" t="s">
        <v>5349</v>
      </c>
      <c r="H9193" t="s">
        <v>14650</v>
      </c>
      <c r="I9193" t="s">
        <v>17388</v>
      </c>
      <c r="J9193" t="s">
        <v>18893</v>
      </c>
      <c r="K9193">
        <v>10027</v>
      </c>
      <c r="L9193" t="s">
        <v>18958</v>
      </c>
      <c r="M9193" t="s">
        <v>18958</v>
      </c>
      <c r="N9193" t="s">
        <v>25442</v>
      </c>
      <c r="O9193" t="s">
        <v>26523</v>
      </c>
      <c r="P9193" t="s">
        <v>26560</v>
      </c>
      <c r="R9193" t="s">
        <v>26580</v>
      </c>
      <c r="U9193" t="s">
        <v>26605</v>
      </c>
      <c r="V9193" t="s">
        <v>26609</v>
      </c>
      <c r="X9193">
        <v>1700</v>
      </c>
      <c r="Y9193" t="s">
        <v>26651</v>
      </c>
      <c r="Z9193" t="s">
        <v>26664</v>
      </c>
      <c r="AB9193" t="s">
        <v>32883</v>
      </c>
      <c r="AD9193" t="s">
        <v>43965</v>
      </c>
      <c r="AE9193">
        <v>0</v>
      </c>
      <c r="AF9193" t="s">
        <v>45542</v>
      </c>
      <c r="AG9193" t="s">
        <v>45556</v>
      </c>
      <c r="AH9193">
        <v>4</v>
      </c>
      <c r="AI9193">
        <v>2</v>
      </c>
      <c r="AJ9193">
        <v>0</v>
      </c>
      <c r="AK9193">
        <v>0</v>
      </c>
      <c r="AN9193" t="s">
        <v>7439</v>
      </c>
      <c r="AO9193">
        <v>0</v>
      </c>
      <c r="AU9193">
        <v>11.1</v>
      </c>
      <c r="AV9193" t="s">
        <v>807</v>
      </c>
      <c r="AW9193" t="s">
        <v>314</v>
      </c>
    </row>
    <row r="9194" spans="1:49">
      <c r="A9194" s="1">
        <f>HYPERLINK("https://lsnyc.legalserver.org/matter/dynamic-profile/view/1879489","18-1879489")</f>
        <v>0</v>
      </c>
      <c r="B9194" t="s">
        <v>142</v>
      </c>
      <c r="C9194" t="s">
        <v>340</v>
      </c>
      <c r="D9194" t="s">
        <v>529</v>
      </c>
      <c r="F9194" t="s">
        <v>4483</v>
      </c>
      <c r="G9194" t="s">
        <v>5173</v>
      </c>
      <c r="H9194" t="s">
        <v>15911</v>
      </c>
      <c r="J9194" t="s">
        <v>18901</v>
      </c>
      <c r="K9194">
        <v>11433</v>
      </c>
      <c r="L9194" t="s">
        <v>18958</v>
      </c>
      <c r="M9194" t="s">
        <v>18958</v>
      </c>
      <c r="N9194" t="s">
        <v>25443</v>
      </c>
      <c r="O9194" t="s">
        <v>26524</v>
      </c>
      <c r="P9194" t="s">
        <v>26563</v>
      </c>
      <c r="R9194" t="s">
        <v>26585</v>
      </c>
      <c r="S9194" t="s">
        <v>18959</v>
      </c>
      <c r="U9194" t="s">
        <v>26604</v>
      </c>
      <c r="V9194" t="s">
        <v>26610</v>
      </c>
      <c r="X9194">
        <v>2000</v>
      </c>
      <c r="Y9194" t="s">
        <v>26653</v>
      </c>
      <c r="Z9194" t="s">
        <v>26659</v>
      </c>
      <c r="AB9194" t="s">
        <v>30636</v>
      </c>
      <c r="AD9194" t="s">
        <v>43966</v>
      </c>
      <c r="AE9194">
        <v>2</v>
      </c>
      <c r="AG9194" t="s">
        <v>45556</v>
      </c>
      <c r="AH9194">
        <v>11</v>
      </c>
      <c r="AI9194">
        <v>5</v>
      </c>
      <c r="AJ9194">
        <v>4</v>
      </c>
      <c r="AK9194">
        <v>63.33</v>
      </c>
      <c r="AN9194" t="s">
        <v>7439</v>
      </c>
      <c r="AO9194">
        <v>29576.04</v>
      </c>
      <c r="AU9194">
        <v>18.6</v>
      </c>
      <c r="AV9194" t="s">
        <v>671</v>
      </c>
      <c r="AW9194" t="s">
        <v>85</v>
      </c>
    </row>
    <row r="9195" spans="1:49">
      <c r="A9195" s="1">
        <f>HYPERLINK("https://lsnyc.legalserver.org/matter/dynamic-profile/view/1879454","18-1879454")</f>
        <v>0</v>
      </c>
      <c r="B9195" t="s">
        <v>112</v>
      </c>
      <c r="C9195" t="s">
        <v>340</v>
      </c>
      <c r="D9195" t="s">
        <v>529</v>
      </c>
      <c r="F9195" t="s">
        <v>1562</v>
      </c>
      <c r="G9195" t="s">
        <v>1685</v>
      </c>
      <c r="H9195" t="s">
        <v>14151</v>
      </c>
      <c r="I9195" t="s">
        <v>17284</v>
      </c>
      <c r="J9195" t="s">
        <v>18906</v>
      </c>
      <c r="K9195">
        <v>11373</v>
      </c>
      <c r="L9195" t="s">
        <v>18958</v>
      </c>
      <c r="M9195" t="s">
        <v>18958</v>
      </c>
      <c r="N9195" t="s">
        <v>25444</v>
      </c>
      <c r="O9195" t="s">
        <v>26524</v>
      </c>
      <c r="P9195" t="s">
        <v>26560</v>
      </c>
      <c r="R9195" t="s">
        <v>26585</v>
      </c>
      <c r="S9195" t="s">
        <v>18958</v>
      </c>
      <c r="U9195" t="s">
        <v>26604</v>
      </c>
      <c r="V9195" t="s">
        <v>26610</v>
      </c>
      <c r="X9195">
        <v>953.17</v>
      </c>
      <c r="Y9195" t="s">
        <v>26653</v>
      </c>
      <c r="Z9195" t="s">
        <v>26668</v>
      </c>
      <c r="AB9195" t="s">
        <v>33273</v>
      </c>
      <c r="AD9195" t="s">
        <v>43967</v>
      </c>
      <c r="AE9195">
        <v>72</v>
      </c>
      <c r="AH9195">
        <v>36</v>
      </c>
      <c r="AI9195">
        <v>1</v>
      </c>
      <c r="AJ9195">
        <v>1</v>
      </c>
      <c r="AK9195">
        <v>169.02</v>
      </c>
      <c r="AN9195" t="s">
        <v>7439</v>
      </c>
      <c r="AO9195">
        <v>27820</v>
      </c>
      <c r="AU9195">
        <v>76.7</v>
      </c>
      <c r="AV9195" t="s">
        <v>835</v>
      </c>
      <c r="AW9195" t="s">
        <v>85</v>
      </c>
    </row>
    <row r="9196" spans="1:49">
      <c r="A9196" s="1">
        <f>HYPERLINK("https://lsnyc.legalserver.org/matter/dynamic-profile/view/1879471","18-1879471")</f>
        <v>0</v>
      </c>
      <c r="B9196" t="s">
        <v>114</v>
      </c>
      <c r="C9196" t="s">
        <v>340</v>
      </c>
      <c r="D9196" t="s">
        <v>529</v>
      </c>
      <c r="F9196" t="s">
        <v>887</v>
      </c>
      <c r="G9196" t="s">
        <v>1748</v>
      </c>
      <c r="H9196" t="s">
        <v>15912</v>
      </c>
      <c r="I9196" t="s">
        <v>17389</v>
      </c>
      <c r="J9196" t="s">
        <v>18906</v>
      </c>
      <c r="K9196">
        <v>11373</v>
      </c>
      <c r="L9196" t="s">
        <v>18958</v>
      </c>
      <c r="M9196" t="s">
        <v>18958</v>
      </c>
      <c r="N9196" t="s">
        <v>25445</v>
      </c>
      <c r="O9196" t="s">
        <v>26523</v>
      </c>
      <c r="P9196" t="s">
        <v>26563</v>
      </c>
      <c r="R9196" t="s">
        <v>26585</v>
      </c>
      <c r="S9196" t="s">
        <v>18958</v>
      </c>
      <c r="U9196" t="s">
        <v>26604</v>
      </c>
      <c r="V9196" t="s">
        <v>26610</v>
      </c>
      <c r="X9196">
        <v>971</v>
      </c>
      <c r="Y9196" t="s">
        <v>26653</v>
      </c>
      <c r="Z9196" t="s">
        <v>26668</v>
      </c>
      <c r="AB9196" t="s">
        <v>33274</v>
      </c>
      <c r="AD9196" t="s">
        <v>43968</v>
      </c>
      <c r="AE9196">
        <v>35</v>
      </c>
      <c r="AG9196" t="s">
        <v>45559</v>
      </c>
      <c r="AH9196">
        <v>30</v>
      </c>
      <c r="AI9196">
        <v>2</v>
      </c>
      <c r="AJ9196">
        <v>1</v>
      </c>
      <c r="AK9196">
        <v>115.19</v>
      </c>
      <c r="AN9196" t="s">
        <v>45581</v>
      </c>
      <c r="AO9196">
        <v>23936</v>
      </c>
      <c r="AU9196">
        <v>2.15</v>
      </c>
      <c r="AV9196" t="s">
        <v>651</v>
      </c>
      <c r="AW9196" t="s">
        <v>85</v>
      </c>
    </row>
    <row r="9197" spans="1:49">
      <c r="A9197" s="1">
        <f>HYPERLINK("https://lsnyc.legalserver.org/matter/dynamic-profile/view/1879585","18-1879585")</f>
        <v>0</v>
      </c>
      <c r="B9197" t="s">
        <v>59</v>
      </c>
      <c r="C9197" t="s">
        <v>340</v>
      </c>
      <c r="D9197" t="s">
        <v>529</v>
      </c>
      <c r="F9197" t="s">
        <v>2211</v>
      </c>
      <c r="G9197" t="s">
        <v>5447</v>
      </c>
      <c r="H9197" t="s">
        <v>15913</v>
      </c>
      <c r="I9197" t="s">
        <v>18210</v>
      </c>
      <c r="J9197" t="s">
        <v>18893</v>
      </c>
      <c r="K9197">
        <v>10023</v>
      </c>
      <c r="L9197" t="s">
        <v>18958</v>
      </c>
      <c r="M9197" t="s">
        <v>18958</v>
      </c>
      <c r="N9197" t="s">
        <v>25446</v>
      </c>
      <c r="O9197" t="s">
        <v>26523</v>
      </c>
      <c r="P9197" t="s">
        <v>26563</v>
      </c>
      <c r="R9197" t="s">
        <v>26582</v>
      </c>
      <c r="U9197" t="s">
        <v>26605</v>
      </c>
      <c r="V9197" t="s">
        <v>26614</v>
      </c>
      <c r="X9197">
        <v>241</v>
      </c>
      <c r="Y9197" t="s">
        <v>26651</v>
      </c>
      <c r="Z9197" t="s">
        <v>26664</v>
      </c>
      <c r="AB9197" t="s">
        <v>27942</v>
      </c>
      <c r="AD9197" t="s">
        <v>43969</v>
      </c>
      <c r="AE9197">
        <v>0</v>
      </c>
      <c r="AF9197" t="s">
        <v>45549</v>
      </c>
      <c r="AH9197">
        <v>35</v>
      </c>
      <c r="AI9197">
        <v>1</v>
      </c>
      <c r="AJ9197">
        <v>0</v>
      </c>
      <c r="AK9197">
        <v>82.73</v>
      </c>
      <c r="AN9197" t="s">
        <v>45581</v>
      </c>
      <c r="AO9197">
        <v>10044</v>
      </c>
      <c r="AU9197">
        <v>31.85</v>
      </c>
      <c r="AV9197" t="s">
        <v>698</v>
      </c>
      <c r="AW9197" t="s">
        <v>314</v>
      </c>
    </row>
    <row r="9198" spans="1:49">
      <c r="A9198" s="1">
        <f>HYPERLINK("https://lsnyc.legalserver.org/matter/dynamic-profile/view/1879488","18-1879488")</f>
        <v>0</v>
      </c>
      <c r="B9198" t="s">
        <v>59</v>
      </c>
      <c r="C9198" t="s">
        <v>340</v>
      </c>
      <c r="D9198" t="s">
        <v>529</v>
      </c>
      <c r="F9198" t="s">
        <v>2112</v>
      </c>
      <c r="G9198" t="s">
        <v>5147</v>
      </c>
      <c r="H9198" t="s">
        <v>15914</v>
      </c>
      <c r="I9198" t="s">
        <v>17374</v>
      </c>
      <c r="J9198" t="s">
        <v>18893</v>
      </c>
      <c r="K9198">
        <v>10025</v>
      </c>
      <c r="L9198" t="s">
        <v>18958</v>
      </c>
      <c r="M9198" t="s">
        <v>18958</v>
      </c>
      <c r="N9198" t="s">
        <v>25447</v>
      </c>
      <c r="O9198" t="s">
        <v>26523</v>
      </c>
      <c r="P9198" t="s">
        <v>26560</v>
      </c>
      <c r="R9198" t="s">
        <v>26580</v>
      </c>
      <c r="S9198" t="s">
        <v>18959</v>
      </c>
      <c r="U9198" t="s">
        <v>26604</v>
      </c>
      <c r="V9198" t="s">
        <v>26610</v>
      </c>
      <c r="X9198">
        <v>800</v>
      </c>
      <c r="Y9198" t="s">
        <v>26651</v>
      </c>
      <c r="Z9198" t="s">
        <v>26664</v>
      </c>
      <c r="AB9198" t="s">
        <v>33275</v>
      </c>
      <c r="AD9198" t="s">
        <v>43970</v>
      </c>
      <c r="AE9198">
        <v>0</v>
      </c>
      <c r="AF9198" t="s">
        <v>20460</v>
      </c>
      <c r="AG9198" t="s">
        <v>19330</v>
      </c>
      <c r="AH9198">
        <v>11</v>
      </c>
      <c r="AI9198">
        <v>2</v>
      </c>
      <c r="AJ9198">
        <v>3</v>
      </c>
      <c r="AK9198">
        <v>145.82</v>
      </c>
      <c r="AN9198" t="s">
        <v>45581</v>
      </c>
      <c r="AO9198">
        <v>42900</v>
      </c>
      <c r="AU9198">
        <v>19.3</v>
      </c>
      <c r="AV9198" t="s">
        <v>821</v>
      </c>
      <c r="AW9198" t="s">
        <v>314</v>
      </c>
    </row>
    <row r="9199" spans="1:49">
      <c r="A9199" s="1">
        <f>HYPERLINK("https://lsnyc.legalserver.org/matter/dynamic-profile/view/1879668","18-1879668")</f>
        <v>0</v>
      </c>
      <c r="B9199" t="s">
        <v>200</v>
      </c>
      <c r="C9199" t="s">
        <v>341</v>
      </c>
      <c r="D9199" t="s">
        <v>411</v>
      </c>
      <c r="E9199" t="s">
        <v>818</v>
      </c>
      <c r="F9199" t="s">
        <v>4484</v>
      </c>
      <c r="G9199" t="s">
        <v>994</v>
      </c>
      <c r="H9199" t="s">
        <v>15915</v>
      </c>
      <c r="I9199" t="s">
        <v>17299</v>
      </c>
      <c r="J9199" t="s">
        <v>18894</v>
      </c>
      <c r="K9199">
        <v>11233</v>
      </c>
      <c r="L9199" t="s">
        <v>18960</v>
      </c>
      <c r="M9199" t="s">
        <v>18960</v>
      </c>
      <c r="P9199" t="s">
        <v>26564</v>
      </c>
      <c r="Q9199" t="s">
        <v>26570</v>
      </c>
      <c r="R9199" t="s">
        <v>26591</v>
      </c>
      <c r="U9199" t="s">
        <v>26605</v>
      </c>
      <c r="X9199">
        <v>761</v>
      </c>
      <c r="Y9199" t="s">
        <v>26652</v>
      </c>
      <c r="Z9199" t="s">
        <v>26666</v>
      </c>
      <c r="AA9199" t="s">
        <v>26683</v>
      </c>
      <c r="AB9199" t="s">
        <v>27465</v>
      </c>
      <c r="AD9199" t="s">
        <v>43971</v>
      </c>
      <c r="AE9199">
        <v>20</v>
      </c>
      <c r="AF9199" t="s">
        <v>45542</v>
      </c>
      <c r="AH9199">
        <v>7</v>
      </c>
      <c r="AI9199">
        <v>1</v>
      </c>
      <c r="AJ9199">
        <v>1</v>
      </c>
      <c r="AK9199">
        <v>72.90000000000001</v>
      </c>
      <c r="AN9199" t="s">
        <v>7439</v>
      </c>
      <c r="AO9199">
        <v>12000</v>
      </c>
      <c r="AU9199">
        <v>1.4</v>
      </c>
      <c r="AV9199" t="s">
        <v>646</v>
      </c>
      <c r="AW9199" t="s">
        <v>46843</v>
      </c>
    </row>
    <row r="9200" spans="1:49">
      <c r="A9200" s="1">
        <f>HYPERLINK("https://lsnyc.legalserver.org/matter/dynamic-profile/view/1879649","18-1879649")</f>
        <v>0</v>
      </c>
      <c r="B9200" t="s">
        <v>207</v>
      </c>
      <c r="C9200" t="s">
        <v>341</v>
      </c>
      <c r="D9200" t="s">
        <v>411</v>
      </c>
      <c r="E9200" t="s">
        <v>651</v>
      </c>
      <c r="F9200" t="s">
        <v>1253</v>
      </c>
      <c r="G9200" t="s">
        <v>8958</v>
      </c>
      <c r="H9200" t="s">
        <v>15916</v>
      </c>
      <c r="I9200" t="s">
        <v>17390</v>
      </c>
      <c r="J9200" t="s">
        <v>18894</v>
      </c>
      <c r="K9200">
        <v>11226</v>
      </c>
      <c r="L9200" t="s">
        <v>18959</v>
      </c>
      <c r="M9200" t="s">
        <v>18958</v>
      </c>
      <c r="N9200" t="s">
        <v>25448</v>
      </c>
      <c r="O9200" t="s">
        <v>26523</v>
      </c>
      <c r="P9200" t="s">
        <v>26563</v>
      </c>
      <c r="Q9200" t="s">
        <v>26574</v>
      </c>
      <c r="R9200" t="s">
        <v>26588</v>
      </c>
      <c r="U9200" t="s">
        <v>26604</v>
      </c>
      <c r="X9200">
        <v>2200</v>
      </c>
      <c r="Y9200" t="s">
        <v>26652</v>
      </c>
      <c r="Z9200" t="s">
        <v>26664</v>
      </c>
      <c r="AA9200" t="s">
        <v>26678</v>
      </c>
      <c r="AB9200" t="s">
        <v>33276</v>
      </c>
      <c r="AD9200" t="s">
        <v>43972</v>
      </c>
      <c r="AE9200">
        <v>0</v>
      </c>
      <c r="AH9200">
        <v>1</v>
      </c>
      <c r="AI9200">
        <v>1</v>
      </c>
      <c r="AJ9200">
        <v>0</v>
      </c>
      <c r="AK9200">
        <v>0</v>
      </c>
      <c r="AN9200" t="s">
        <v>7439</v>
      </c>
      <c r="AO9200">
        <v>0</v>
      </c>
      <c r="AQ9200" t="s">
        <v>46359</v>
      </c>
      <c r="AR9200" t="s">
        <v>46422</v>
      </c>
      <c r="AS9200" t="s">
        <v>46499</v>
      </c>
      <c r="AT9200" t="s">
        <v>46691</v>
      </c>
      <c r="AU9200">
        <v>34.7</v>
      </c>
      <c r="AV9200" t="s">
        <v>741</v>
      </c>
      <c r="AW9200" t="s">
        <v>281</v>
      </c>
    </row>
    <row r="9201" spans="1:49">
      <c r="A9201" s="1">
        <f>HYPERLINK("https://lsnyc.legalserver.org/matter/dynamic-profile/view/1879619","18-1879619")</f>
        <v>0</v>
      </c>
      <c r="B9201" t="s">
        <v>191</v>
      </c>
      <c r="C9201" t="s">
        <v>340</v>
      </c>
      <c r="D9201" t="s">
        <v>411</v>
      </c>
      <c r="F9201" t="s">
        <v>4485</v>
      </c>
      <c r="G9201" t="s">
        <v>6624</v>
      </c>
      <c r="H9201" t="s">
        <v>11040</v>
      </c>
      <c r="I9201" t="s">
        <v>17283</v>
      </c>
      <c r="J9201" t="s">
        <v>18893</v>
      </c>
      <c r="K9201">
        <v>10030</v>
      </c>
      <c r="L9201" t="s">
        <v>18958</v>
      </c>
      <c r="M9201" t="s">
        <v>18958</v>
      </c>
      <c r="N9201" t="s">
        <v>20232</v>
      </c>
      <c r="O9201" t="s">
        <v>26523</v>
      </c>
      <c r="P9201" t="s">
        <v>26563</v>
      </c>
      <c r="R9201" t="s">
        <v>26582</v>
      </c>
      <c r="S9201" t="s">
        <v>18959</v>
      </c>
      <c r="U9201" t="s">
        <v>26604</v>
      </c>
      <c r="V9201" t="s">
        <v>26610</v>
      </c>
      <c r="X9201">
        <v>1950</v>
      </c>
      <c r="Y9201" t="s">
        <v>26651</v>
      </c>
      <c r="Z9201" t="s">
        <v>26660</v>
      </c>
      <c r="AB9201" t="s">
        <v>33277</v>
      </c>
      <c r="AD9201" t="s">
        <v>43973</v>
      </c>
      <c r="AE9201">
        <v>0</v>
      </c>
      <c r="AF9201" t="s">
        <v>45541</v>
      </c>
      <c r="AG9201" t="s">
        <v>19330</v>
      </c>
      <c r="AH9201">
        <v>14</v>
      </c>
      <c r="AI9201">
        <v>2</v>
      </c>
      <c r="AJ9201">
        <v>4</v>
      </c>
      <c r="AK9201">
        <v>141.98</v>
      </c>
      <c r="AN9201" t="s">
        <v>7439</v>
      </c>
      <c r="AO9201">
        <v>47905</v>
      </c>
      <c r="AU9201">
        <v>56.3</v>
      </c>
      <c r="AV9201" t="s">
        <v>801</v>
      </c>
      <c r="AW9201" t="s">
        <v>314</v>
      </c>
    </row>
    <row r="9202" spans="1:49">
      <c r="A9202" s="1">
        <f>HYPERLINK("https://lsnyc.legalserver.org/matter/dynamic-profile/view/1879706","18-1879706")</f>
        <v>0</v>
      </c>
      <c r="B9202" t="s">
        <v>200</v>
      </c>
      <c r="C9202" t="s">
        <v>340</v>
      </c>
      <c r="D9202" t="s">
        <v>411</v>
      </c>
      <c r="F9202" t="s">
        <v>4121</v>
      </c>
      <c r="G9202" t="s">
        <v>5199</v>
      </c>
      <c r="H9202" t="s">
        <v>15917</v>
      </c>
      <c r="J9202" t="s">
        <v>18894</v>
      </c>
      <c r="K9202">
        <v>11206</v>
      </c>
      <c r="L9202" t="s">
        <v>18960</v>
      </c>
      <c r="M9202" t="s">
        <v>18960</v>
      </c>
      <c r="R9202" t="s">
        <v>26591</v>
      </c>
      <c r="U9202" t="s">
        <v>26604</v>
      </c>
      <c r="X9202">
        <v>2000</v>
      </c>
      <c r="Y9202" t="s">
        <v>26652</v>
      </c>
      <c r="Z9202" t="s">
        <v>26673</v>
      </c>
      <c r="AB9202" t="s">
        <v>33278</v>
      </c>
      <c r="AD9202" t="s">
        <v>43974</v>
      </c>
      <c r="AE9202">
        <v>10</v>
      </c>
      <c r="AF9202" t="s">
        <v>45548</v>
      </c>
      <c r="AH9202">
        <v>3</v>
      </c>
      <c r="AI9202">
        <v>2</v>
      </c>
      <c r="AJ9202">
        <v>0</v>
      </c>
      <c r="AK9202">
        <v>94.78</v>
      </c>
      <c r="AN9202" t="s">
        <v>7439</v>
      </c>
      <c r="AO9202">
        <v>15600</v>
      </c>
      <c r="AU9202">
        <v>1</v>
      </c>
      <c r="AV9202" t="s">
        <v>411</v>
      </c>
      <c r="AW9202" t="s">
        <v>46843</v>
      </c>
    </row>
    <row r="9203" spans="1:49">
      <c r="A9203" s="1">
        <f>HYPERLINK("https://lsnyc.legalserver.org/matter/dynamic-profile/view/1879787","18-1879787")</f>
        <v>0</v>
      </c>
      <c r="B9203" t="s">
        <v>302</v>
      </c>
      <c r="C9203" t="s">
        <v>341</v>
      </c>
      <c r="D9203" t="s">
        <v>606</v>
      </c>
      <c r="E9203" t="s">
        <v>692</v>
      </c>
      <c r="F9203" t="s">
        <v>887</v>
      </c>
      <c r="G9203" t="s">
        <v>1685</v>
      </c>
      <c r="H9203" t="s">
        <v>15918</v>
      </c>
      <c r="I9203" t="s">
        <v>18053</v>
      </c>
      <c r="J9203" t="s">
        <v>18892</v>
      </c>
      <c r="K9203">
        <v>10460</v>
      </c>
      <c r="L9203" t="s">
        <v>18959</v>
      </c>
      <c r="M9203" t="s">
        <v>18959</v>
      </c>
      <c r="O9203" t="s">
        <v>26526</v>
      </c>
      <c r="P9203" t="s">
        <v>26564</v>
      </c>
      <c r="Q9203" t="s">
        <v>26570</v>
      </c>
      <c r="R9203" t="s">
        <v>26591</v>
      </c>
      <c r="U9203" t="s">
        <v>26604</v>
      </c>
      <c r="X9203">
        <v>1900</v>
      </c>
      <c r="Y9203" t="s">
        <v>26650</v>
      </c>
      <c r="AA9203" t="s">
        <v>26683</v>
      </c>
      <c r="AB9203" t="s">
        <v>33279</v>
      </c>
      <c r="AD9203" t="s">
        <v>43975</v>
      </c>
      <c r="AE9203">
        <v>248</v>
      </c>
      <c r="AF9203" t="s">
        <v>45543</v>
      </c>
      <c r="AG9203" t="s">
        <v>45556</v>
      </c>
      <c r="AH9203">
        <v>16</v>
      </c>
      <c r="AI9203">
        <v>1</v>
      </c>
      <c r="AJ9203">
        <v>1</v>
      </c>
      <c r="AK9203">
        <v>54.68</v>
      </c>
      <c r="AN9203" t="s">
        <v>45581</v>
      </c>
      <c r="AO9203">
        <v>9000</v>
      </c>
      <c r="AP9203" t="s">
        <v>46109</v>
      </c>
      <c r="AU9203">
        <v>0.7</v>
      </c>
      <c r="AV9203" t="s">
        <v>600</v>
      </c>
      <c r="AW9203" t="s">
        <v>46829</v>
      </c>
    </row>
    <row r="9204" spans="1:49">
      <c r="A9204" s="1">
        <f>HYPERLINK("https://lsnyc.legalserver.org/matter/dynamic-profile/view/1879822","18-1879822")</f>
        <v>0</v>
      </c>
      <c r="B9204" t="s">
        <v>71</v>
      </c>
      <c r="C9204" t="s">
        <v>341</v>
      </c>
      <c r="D9204" t="s">
        <v>606</v>
      </c>
      <c r="E9204" t="s">
        <v>606</v>
      </c>
      <c r="F9204" t="s">
        <v>4486</v>
      </c>
      <c r="G9204" t="s">
        <v>2749</v>
      </c>
      <c r="H9204" t="s">
        <v>15919</v>
      </c>
      <c r="I9204">
        <v>2</v>
      </c>
      <c r="J9204" t="s">
        <v>18892</v>
      </c>
      <c r="K9204">
        <v>10460</v>
      </c>
      <c r="L9204" t="s">
        <v>18958</v>
      </c>
      <c r="M9204" t="s">
        <v>18958</v>
      </c>
      <c r="N9204" t="s">
        <v>25449</v>
      </c>
      <c r="O9204" t="s">
        <v>26553</v>
      </c>
      <c r="P9204" t="s">
        <v>26560</v>
      </c>
      <c r="Q9204" t="s">
        <v>26576</v>
      </c>
      <c r="R9204" t="s">
        <v>26591</v>
      </c>
      <c r="S9204" t="s">
        <v>18959</v>
      </c>
      <c r="U9204" t="s">
        <v>26604</v>
      </c>
      <c r="V9204" t="s">
        <v>26612</v>
      </c>
      <c r="X9204">
        <v>1500</v>
      </c>
      <c r="Y9204" t="s">
        <v>26650</v>
      </c>
      <c r="Z9204" t="s">
        <v>26664</v>
      </c>
      <c r="AA9204" t="s">
        <v>26678</v>
      </c>
      <c r="AB9204" t="s">
        <v>32763</v>
      </c>
      <c r="AD9204" t="s">
        <v>43976</v>
      </c>
      <c r="AE9204">
        <v>2</v>
      </c>
      <c r="AF9204" t="s">
        <v>45547</v>
      </c>
      <c r="AG9204" t="s">
        <v>45558</v>
      </c>
      <c r="AH9204">
        <v>5</v>
      </c>
      <c r="AI9204">
        <v>1</v>
      </c>
      <c r="AJ9204">
        <v>5</v>
      </c>
      <c r="AK9204">
        <v>0</v>
      </c>
      <c r="AO9204">
        <v>0</v>
      </c>
      <c r="AP9204" t="s">
        <v>46146</v>
      </c>
      <c r="AU9204">
        <v>0.1</v>
      </c>
      <c r="AV9204" t="s">
        <v>606</v>
      </c>
      <c r="AW9204" t="s">
        <v>71</v>
      </c>
    </row>
    <row r="9205" spans="1:49">
      <c r="A9205" s="1">
        <f>HYPERLINK("https://lsnyc.legalserver.org/matter/dynamic-profile/view/1879792","18-1879792")</f>
        <v>0</v>
      </c>
      <c r="B9205" t="s">
        <v>249</v>
      </c>
      <c r="C9205" t="s">
        <v>341</v>
      </c>
      <c r="D9205" t="s">
        <v>606</v>
      </c>
      <c r="E9205" t="s">
        <v>623</v>
      </c>
      <c r="F9205" t="s">
        <v>979</v>
      </c>
      <c r="G9205" t="s">
        <v>5592</v>
      </c>
      <c r="H9205" t="s">
        <v>15920</v>
      </c>
      <c r="I9205">
        <v>4</v>
      </c>
      <c r="J9205" t="s">
        <v>18894</v>
      </c>
      <c r="K9205">
        <v>11233</v>
      </c>
      <c r="L9205" t="s">
        <v>18960</v>
      </c>
      <c r="M9205" t="s">
        <v>18960</v>
      </c>
      <c r="O9205" t="s">
        <v>26523</v>
      </c>
      <c r="Q9205" t="s">
        <v>26570</v>
      </c>
      <c r="R9205" t="s">
        <v>26583</v>
      </c>
      <c r="S9205" t="s">
        <v>18959</v>
      </c>
      <c r="U9205" t="s">
        <v>26604</v>
      </c>
      <c r="X9205">
        <v>2500</v>
      </c>
      <c r="Y9205" t="s">
        <v>26652</v>
      </c>
      <c r="Z9205" t="s">
        <v>26530</v>
      </c>
      <c r="AA9205" t="s">
        <v>26683</v>
      </c>
      <c r="AB9205" t="s">
        <v>33280</v>
      </c>
      <c r="AE9205">
        <v>8</v>
      </c>
      <c r="AF9205" t="s">
        <v>20460</v>
      </c>
      <c r="AG9205" t="s">
        <v>19330</v>
      </c>
      <c r="AH9205">
        <v>1</v>
      </c>
      <c r="AI9205">
        <v>1</v>
      </c>
      <c r="AJ9205">
        <v>0</v>
      </c>
      <c r="AK9205">
        <v>235.58</v>
      </c>
      <c r="AN9205" t="s">
        <v>7439</v>
      </c>
      <c r="AO9205">
        <v>28600</v>
      </c>
      <c r="AU9205">
        <v>2.3</v>
      </c>
      <c r="AV9205" t="s">
        <v>646</v>
      </c>
      <c r="AW9205" t="s">
        <v>46841</v>
      </c>
    </row>
    <row r="9206" spans="1:49">
      <c r="A9206" s="1">
        <f>HYPERLINK("https://lsnyc.legalserver.org/matter/dynamic-profile/view/1879790","18-1879790")</f>
        <v>0</v>
      </c>
      <c r="B9206" t="s">
        <v>254</v>
      </c>
      <c r="C9206" t="s">
        <v>341</v>
      </c>
      <c r="D9206" t="s">
        <v>606</v>
      </c>
      <c r="E9206" t="s">
        <v>427</v>
      </c>
      <c r="F9206" t="s">
        <v>916</v>
      </c>
      <c r="G9206" t="s">
        <v>5121</v>
      </c>
      <c r="H9206" t="s">
        <v>15918</v>
      </c>
      <c r="I9206" t="s">
        <v>18379</v>
      </c>
      <c r="J9206" t="s">
        <v>18892</v>
      </c>
      <c r="K9206">
        <v>10460</v>
      </c>
      <c r="L9206" t="s">
        <v>18960</v>
      </c>
      <c r="M9206" t="s">
        <v>18960</v>
      </c>
      <c r="O9206" t="s">
        <v>18997</v>
      </c>
      <c r="P9206" t="s">
        <v>26565</v>
      </c>
      <c r="Q9206" t="s">
        <v>26570</v>
      </c>
      <c r="R9206" t="s">
        <v>26591</v>
      </c>
      <c r="U9206" t="s">
        <v>26604</v>
      </c>
      <c r="X9206">
        <v>1968</v>
      </c>
      <c r="Y9206" t="s">
        <v>26650</v>
      </c>
      <c r="Z9206" t="s">
        <v>26661</v>
      </c>
      <c r="AA9206" t="s">
        <v>26683</v>
      </c>
      <c r="AB9206" t="s">
        <v>33281</v>
      </c>
      <c r="AD9206" t="s">
        <v>43977</v>
      </c>
      <c r="AE9206">
        <v>248</v>
      </c>
      <c r="AF9206" t="s">
        <v>45552</v>
      </c>
      <c r="AG9206" t="s">
        <v>45556</v>
      </c>
      <c r="AH9206">
        <v>3</v>
      </c>
      <c r="AI9206">
        <v>1</v>
      </c>
      <c r="AJ9206">
        <v>1</v>
      </c>
      <c r="AK9206">
        <v>77.86</v>
      </c>
      <c r="AN9206" t="s">
        <v>45581</v>
      </c>
      <c r="AO9206">
        <v>12816</v>
      </c>
      <c r="AP9206" t="s">
        <v>46105</v>
      </c>
      <c r="AU9206">
        <v>0.6</v>
      </c>
      <c r="AV9206" t="s">
        <v>427</v>
      </c>
      <c r="AW9206" t="s">
        <v>46829</v>
      </c>
    </row>
    <row r="9207" spans="1:49">
      <c r="A9207" s="1">
        <f>HYPERLINK("https://lsnyc.legalserver.org/matter/dynamic-profile/view/1879783","18-1879783")</f>
        <v>0</v>
      </c>
      <c r="B9207" t="s">
        <v>85</v>
      </c>
      <c r="C9207" t="s">
        <v>340</v>
      </c>
      <c r="D9207" t="s">
        <v>606</v>
      </c>
      <c r="F9207" t="s">
        <v>4487</v>
      </c>
      <c r="G9207" t="s">
        <v>8959</v>
      </c>
      <c r="H9207" t="s">
        <v>15921</v>
      </c>
      <c r="I9207">
        <v>510</v>
      </c>
      <c r="J9207" t="s">
        <v>18900</v>
      </c>
      <c r="K9207">
        <v>11355</v>
      </c>
      <c r="L9207" t="s">
        <v>18959</v>
      </c>
      <c r="M9207" t="s">
        <v>18959</v>
      </c>
      <c r="N9207" t="s">
        <v>19045</v>
      </c>
      <c r="O9207" t="s">
        <v>18997</v>
      </c>
      <c r="P9207" t="s">
        <v>26562</v>
      </c>
      <c r="R9207" t="s">
        <v>26578</v>
      </c>
      <c r="S9207" t="s">
        <v>18959</v>
      </c>
      <c r="U9207" t="s">
        <v>26604</v>
      </c>
      <c r="V9207" t="s">
        <v>26610</v>
      </c>
      <c r="X9207">
        <v>1213</v>
      </c>
      <c r="Y9207" t="s">
        <v>26653</v>
      </c>
      <c r="Z9207" t="s">
        <v>26670</v>
      </c>
      <c r="AB9207" t="s">
        <v>31792</v>
      </c>
      <c r="AD9207" t="s">
        <v>43978</v>
      </c>
      <c r="AE9207">
        <v>158</v>
      </c>
      <c r="AF9207" t="s">
        <v>45541</v>
      </c>
      <c r="AG9207" t="s">
        <v>45560</v>
      </c>
      <c r="AH9207">
        <v>5</v>
      </c>
      <c r="AI9207">
        <v>1</v>
      </c>
      <c r="AJ9207">
        <v>0</v>
      </c>
      <c r="AK9207">
        <v>118.81</v>
      </c>
      <c r="AN9207" t="s">
        <v>7439</v>
      </c>
      <c r="AO9207">
        <v>14424</v>
      </c>
      <c r="AU9207">
        <v>1.55</v>
      </c>
      <c r="AV9207" t="s">
        <v>646</v>
      </c>
      <c r="AW9207" t="s">
        <v>142</v>
      </c>
    </row>
    <row r="9208" spans="1:49">
      <c r="A9208" s="1">
        <f>HYPERLINK("https://lsnyc.legalserver.org/matter/dynamic-profile/view/1879836","18-1879836")</f>
        <v>0</v>
      </c>
      <c r="B9208" t="s">
        <v>302</v>
      </c>
      <c r="C9208" t="s">
        <v>341</v>
      </c>
      <c r="D9208" t="s">
        <v>412</v>
      </c>
      <c r="E9208" t="s">
        <v>692</v>
      </c>
      <c r="F9208" t="s">
        <v>4488</v>
      </c>
      <c r="G9208" t="s">
        <v>8960</v>
      </c>
      <c r="H9208" t="s">
        <v>15922</v>
      </c>
      <c r="I9208">
        <v>1</v>
      </c>
      <c r="J9208" t="s">
        <v>18892</v>
      </c>
      <c r="K9208">
        <v>10459</v>
      </c>
      <c r="L9208" t="s">
        <v>18959</v>
      </c>
      <c r="M9208" t="s">
        <v>18959</v>
      </c>
      <c r="N9208" t="s">
        <v>25450</v>
      </c>
      <c r="O9208" t="s">
        <v>26526</v>
      </c>
      <c r="P9208" t="s">
        <v>26564</v>
      </c>
      <c r="Q9208" t="s">
        <v>26570</v>
      </c>
      <c r="R9208" t="s">
        <v>26591</v>
      </c>
      <c r="U9208" t="s">
        <v>26604</v>
      </c>
      <c r="X9208">
        <v>12228</v>
      </c>
      <c r="Y9208" t="s">
        <v>26650</v>
      </c>
      <c r="AA9208" t="s">
        <v>26683</v>
      </c>
      <c r="AB9208" t="s">
        <v>33282</v>
      </c>
      <c r="AE9208">
        <v>3</v>
      </c>
      <c r="AG9208" t="s">
        <v>45557</v>
      </c>
      <c r="AH9208">
        <v>1</v>
      </c>
      <c r="AI9208">
        <v>1</v>
      </c>
      <c r="AJ9208">
        <v>1</v>
      </c>
      <c r="AK9208">
        <v>9.48</v>
      </c>
      <c r="AN9208" t="s">
        <v>7439</v>
      </c>
      <c r="AO9208">
        <v>1560</v>
      </c>
      <c r="AP9208" t="s">
        <v>46109</v>
      </c>
      <c r="AU9208">
        <v>1</v>
      </c>
      <c r="AV9208" t="s">
        <v>412</v>
      </c>
      <c r="AW9208" t="s">
        <v>46857</v>
      </c>
    </row>
    <row r="9209" spans="1:49">
      <c r="A9209" s="1">
        <f>HYPERLINK("https://lsnyc.legalserver.org/matter/dynamic-profile/view/1879847","18-1879847")</f>
        <v>0</v>
      </c>
      <c r="B9209" t="s">
        <v>279</v>
      </c>
      <c r="C9209" t="s">
        <v>341</v>
      </c>
      <c r="D9209" t="s">
        <v>412</v>
      </c>
      <c r="E9209" t="s">
        <v>594</v>
      </c>
      <c r="F9209" t="s">
        <v>4489</v>
      </c>
      <c r="G9209" t="s">
        <v>5761</v>
      </c>
      <c r="H9209" t="s">
        <v>15923</v>
      </c>
      <c r="I9209" t="s">
        <v>18644</v>
      </c>
      <c r="J9209" t="s">
        <v>18894</v>
      </c>
      <c r="K9209">
        <v>11208</v>
      </c>
      <c r="L9209" t="s">
        <v>18960</v>
      </c>
      <c r="M9209" t="s">
        <v>18960</v>
      </c>
      <c r="Q9209" t="s">
        <v>26570</v>
      </c>
      <c r="R9209" t="s">
        <v>26591</v>
      </c>
      <c r="U9209" t="s">
        <v>26604</v>
      </c>
      <c r="X9209">
        <v>800</v>
      </c>
      <c r="Y9209" t="s">
        <v>26652</v>
      </c>
      <c r="Z9209" t="s">
        <v>26673</v>
      </c>
      <c r="AA9209" t="s">
        <v>26683</v>
      </c>
      <c r="AB9209" t="s">
        <v>33283</v>
      </c>
      <c r="AD9209" t="s">
        <v>43979</v>
      </c>
      <c r="AE9209">
        <v>2</v>
      </c>
      <c r="AF9209" t="s">
        <v>45547</v>
      </c>
      <c r="AG9209" t="s">
        <v>45562</v>
      </c>
      <c r="AH9209">
        <v>1</v>
      </c>
      <c r="AI9209">
        <v>1</v>
      </c>
      <c r="AJ9209">
        <v>0</v>
      </c>
      <c r="AK9209">
        <v>79.28</v>
      </c>
      <c r="AN9209" t="s">
        <v>7439</v>
      </c>
      <c r="AO9209">
        <v>9624</v>
      </c>
      <c r="AU9209">
        <v>0.6</v>
      </c>
      <c r="AV9209" t="s">
        <v>412</v>
      </c>
      <c r="AW9209" t="s">
        <v>46842</v>
      </c>
    </row>
    <row r="9210" spans="1:49">
      <c r="A9210" s="1">
        <f>HYPERLINK("https://lsnyc.legalserver.org/matter/dynamic-profile/view/1879834","18-1879834")</f>
        <v>0</v>
      </c>
      <c r="B9210" t="s">
        <v>279</v>
      </c>
      <c r="C9210" t="s">
        <v>341</v>
      </c>
      <c r="D9210" t="s">
        <v>412</v>
      </c>
      <c r="E9210" t="s">
        <v>413</v>
      </c>
      <c r="F9210" t="s">
        <v>1128</v>
      </c>
      <c r="G9210" t="s">
        <v>8961</v>
      </c>
      <c r="H9210" t="s">
        <v>11347</v>
      </c>
      <c r="I9210" t="s">
        <v>17333</v>
      </c>
      <c r="J9210" t="s">
        <v>18894</v>
      </c>
      <c r="K9210">
        <v>11207</v>
      </c>
      <c r="L9210" t="s">
        <v>18960</v>
      </c>
      <c r="M9210" t="s">
        <v>18960</v>
      </c>
      <c r="N9210" t="s">
        <v>25451</v>
      </c>
      <c r="O9210" t="s">
        <v>26523</v>
      </c>
      <c r="Q9210" t="s">
        <v>26570</v>
      </c>
      <c r="R9210" t="s">
        <v>26578</v>
      </c>
      <c r="S9210" t="s">
        <v>18959</v>
      </c>
      <c r="U9210" t="s">
        <v>26604</v>
      </c>
      <c r="X9210">
        <v>225</v>
      </c>
      <c r="Y9210" t="s">
        <v>26652</v>
      </c>
      <c r="Z9210" t="s">
        <v>26673</v>
      </c>
      <c r="AA9210" t="s">
        <v>26683</v>
      </c>
      <c r="AB9210" t="s">
        <v>31412</v>
      </c>
      <c r="AD9210" t="s">
        <v>43980</v>
      </c>
      <c r="AE9210">
        <v>6</v>
      </c>
      <c r="AH9210">
        <v>3</v>
      </c>
      <c r="AI9210">
        <v>1</v>
      </c>
      <c r="AJ9210">
        <v>0</v>
      </c>
      <c r="AK9210">
        <v>74.14</v>
      </c>
      <c r="AN9210" t="s">
        <v>7439</v>
      </c>
      <c r="AO9210">
        <v>9000</v>
      </c>
      <c r="AU9210">
        <v>1</v>
      </c>
      <c r="AV9210" t="s">
        <v>412</v>
      </c>
      <c r="AW9210" t="s">
        <v>46861</v>
      </c>
    </row>
    <row r="9211" spans="1:49">
      <c r="A9211" s="1">
        <f>HYPERLINK("https://lsnyc.legalserver.org/matter/dynamic-profile/view/1879895","18-1879895")</f>
        <v>0</v>
      </c>
      <c r="B9211" t="s">
        <v>164</v>
      </c>
      <c r="C9211" t="s">
        <v>340</v>
      </c>
      <c r="D9211" t="s">
        <v>412</v>
      </c>
      <c r="F9211" t="s">
        <v>3101</v>
      </c>
      <c r="G9211" t="s">
        <v>7759</v>
      </c>
      <c r="H9211" t="s">
        <v>15924</v>
      </c>
      <c r="I9211" t="s">
        <v>17423</v>
      </c>
      <c r="J9211" t="s">
        <v>18923</v>
      </c>
      <c r="K9211">
        <v>11418</v>
      </c>
      <c r="L9211" t="s">
        <v>18958</v>
      </c>
      <c r="M9211" t="s">
        <v>18958</v>
      </c>
      <c r="N9211" t="s">
        <v>25452</v>
      </c>
      <c r="O9211" t="s">
        <v>26524</v>
      </c>
      <c r="P9211" t="s">
        <v>26563</v>
      </c>
      <c r="R9211" t="s">
        <v>26584</v>
      </c>
      <c r="S9211" t="s">
        <v>18959</v>
      </c>
      <c r="U9211" t="s">
        <v>26604</v>
      </c>
      <c r="X9211">
        <v>1650</v>
      </c>
      <c r="Y9211" t="s">
        <v>26653</v>
      </c>
      <c r="Z9211" t="s">
        <v>26664</v>
      </c>
      <c r="AB9211" t="s">
        <v>33284</v>
      </c>
      <c r="AD9211" t="s">
        <v>43981</v>
      </c>
      <c r="AE9211">
        <v>2</v>
      </c>
      <c r="AG9211" t="s">
        <v>19330</v>
      </c>
      <c r="AH9211">
        <v>1</v>
      </c>
      <c r="AI9211">
        <v>2</v>
      </c>
      <c r="AJ9211">
        <v>3</v>
      </c>
      <c r="AK9211">
        <v>99.93000000000001</v>
      </c>
      <c r="AN9211" t="s">
        <v>7439</v>
      </c>
      <c r="AO9211">
        <v>29400</v>
      </c>
      <c r="AU9211">
        <v>1</v>
      </c>
      <c r="AV9211" t="s">
        <v>412</v>
      </c>
      <c r="AW9211" t="s">
        <v>208</v>
      </c>
    </row>
    <row r="9212" spans="1:49">
      <c r="A9212" s="1">
        <f>HYPERLINK("https://lsnyc.legalserver.org/matter/dynamic-profile/view/1879886","18-1879886")</f>
        <v>0</v>
      </c>
      <c r="B9212" t="s">
        <v>200</v>
      </c>
      <c r="C9212" t="s">
        <v>340</v>
      </c>
      <c r="D9212" t="s">
        <v>412</v>
      </c>
      <c r="F9212" t="s">
        <v>1283</v>
      </c>
      <c r="G9212" t="s">
        <v>8962</v>
      </c>
      <c r="H9212" t="s">
        <v>15925</v>
      </c>
      <c r="I9212" t="s">
        <v>17434</v>
      </c>
      <c r="J9212" t="s">
        <v>18894</v>
      </c>
      <c r="K9212">
        <v>11215</v>
      </c>
      <c r="L9212" t="s">
        <v>18960</v>
      </c>
      <c r="M9212" t="s">
        <v>18960</v>
      </c>
      <c r="P9212" t="s">
        <v>26564</v>
      </c>
      <c r="R9212" t="s">
        <v>26591</v>
      </c>
      <c r="U9212" t="s">
        <v>26604</v>
      </c>
      <c r="X9212">
        <v>1170.51</v>
      </c>
      <c r="Y9212" t="s">
        <v>26652</v>
      </c>
      <c r="Z9212" t="s">
        <v>26659</v>
      </c>
      <c r="AB9212" t="s">
        <v>30796</v>
      </c>
      <c r="AE9212">
        <v>9</v>
      </c>
      <c r="AF9212" t="s">
        <v>45541</v>
      </c>
      <c r="AG9212" t="s">
        <v>45559</v>
      </c>
      <c r="AH9212">
        <v>30</v>
      </c>
      <c r="AI9212">
        <v>1</v>
      </c>
      <c r="AJ9212">
        <v>0</v>
      </c>
      <c r="AK9212">
        <v>82.73</v>
      </c>
      <c r="AN9212" t="s">
        <v>7439</v>
      </c>
      <c r="AO9212">
        <v>10044</v>
      </c>
      <c r="AU9212">
        <v>1.4</v>
      </c>
      <c r="AV9212" t="s">
        <v>646</v>
      </c>
      <c r="AW9212" t="s">
        <v>46846</v>
      </c>
    </row>
    <row r="9213" spans="1:49">
      <c r="A9213" s="1">
        <f>HYPERLINK("https://lsnyc.legalserver.org/matter/dynamic-profile/view/1879960","18-1879960")</f>
        <v>0</v>
      </c>
      <c r="B9213" t="s">
        <v>114</v>
      </c>
      <c r="C9213" t="s">
        <v>340</v>
      </c>
      <c r="D9213" t="s">
        <v>412</v>
      </c>
      <c r="F9213" t="s">
        <v>4490</v>
      </c>
      <c r="G9213" t="s">
        <v>8963</v>
      </c>
      <c r="H9213" t="s">
        <v>15926</v>
      </c>
      <c r="I9213" t="s">
        <v>17416</v>
      </c>
      <c r="J9213" t="s">
        <v>18906</v>
      </c>
      <c r="K9213">
        <v>11373</v>
      </c>
      <c r="L9213" t="s">
        <v>18958</v>
      </c>
      <c r="M9213" t="s">
        <v>18960</v>
      </c>
      <c r="N9213" t="s">
        <v>25453</v>
      </c>
      <c r="O9213" t="s">
        <v>26524</v>
      </c>
      <c r="P9213" t="s">
        <v>26563</v>
      </c>
      <c r="R9213" t="s">
        <v>26585</v>
      </c>
      <c r="S9213" t="s">
        <v>18959</v>
      </c>
      <c r="U9213" t="s">
        <v>26604</v>
      </c>
      <c r="V9213" t="s">
        <v>26610</v>
      </c>
      <c r="X9213">
        <v>1675</v>
      </c>
      <c r="Y9213" t="s">
        <v>26653</v>
      </c>
      <c r="Z9213" t="s">
        <v>26664</v>
      </c>
      <c r="AB9213" t="s">
        <v>33285</v>
      </c>
      <c r="AD9213" t="s">
        <v>43982</v>
      </c>
      <c r="AE9213">
        <v>3</v>
      </c>
      <c r="AF9213" t="s">
        <v>45547</v>
      </c>
      <c r="AG9213" t="s">
        <v>19330</v>
      </c>
      <c r="AH9213">
        <v>7</v>
      </c>
      <c r="AI9213">
        <v>1</v>
      </c>
      <c r="AJ9213">
        <v>0</v>
      </c>
      <c r="AK9213">
        <v>160.63</v>
      </c>
      <c r="AN9213" t="s">
        <v>7439</v>
      </c>
      <c r="AO9213">
        <v>19500</v>
      </c>
      <c r="AU9213">
        <v>7.5</v>
      </c>
      <c r="AV9213" t="s">
        <v>737</v>
      </c>
      <c r="AW9213" t="s">
        <v>161</v>
      </c>
    </row>
    <row r="9214" spans="1:49">
      <c r="A9214" s="1">
        <f>HYPERLINK("https://lsnyc.legalserver.org/matter/dynamic-profile/view/1879874","18-1879874")</f>
        <v>0</v>
      </c>
      <c r="B9214" t="s">
        <v>63</v>
      </c>
      <c r="C9214" t="s">
        <v>340</v>
      </c>
      <c r="D9214" t="s">
        <v>412</v>
      </c>
      <c r="F9214" t="s">
        <v>4491</v>
      </c>
      <c r="G9214" t="s">
        <v>7899</v>
      </c>
      <c r="H9214" t="s">
        <v>9769</v>
      </c>
      <c r="I9214" t="s">
        <v>17327</v>
      </c>
      <c r="J9214" t="s">
        <v>18892</v>
      </c>
      <c r="K9214">
        <v>10453</v>
      </c>
      <c r="L9214" t="s">
        <v>18960</v>
      </c>
      <c r="M9214" t="s">
        <v>18960</v>
      </c>
      <c r="N9214" t="s">
        <v>25454</v>
      </c>
      <c r="O9214" t="s">
        <v>26523</v>
      </c>
      <c r="P9214" t="s">
        <v>26560</v>
      </c>
      <c r="R9214" t="s">
        <v>26578</v>
      </c>
      <c r="S9214" t="s">
        <v>18959</v>
      </c>
      <c r="U9214" t="s">
        <v>26604</v>
      </c>
      <c r="V9214" t="s">
        <v>26610</v>
      </c>
      <c r="X9214">
        <v>2000</v>
      </c>
      <c r="Y9214" t="s">
        <v>26650</v>
      </c>
      <c r="AB9214" t="s">
        <v>30699</v>
      </c>
      <c r="AD9214" t="s">
        <v>43983</v>
      </c>
      <c r="AE9214">
        <v>300</v>
      </c>
      <c r="AH9214">
        <v>27</v>
      </c>
      <c r="AI9214">
        <v>3</v>
      </c>
      <c r="AJ9214">
        <v>0</v>
      </c>
      <c r="AK9214">
        <v>118.38</v>
      </c>
      <c r="AN9214" t="s">
        <v>7439</v>
      </c>
      <c r="AO9214">
        <v>24600</v>
      </c>
      <c r="AP9214" t="s">
        <v>46147</v>
      </c>
      <c r="AU9214">
        <v>23.7</v>
      </c>
      <c r="AV9214" t="s">
        <v>834</v>
      </c>
      <c r="AW9214" t="s">
        <v>46857</v>
      </c>
    </row>
    <row r="9215" spans="1:49">
      <c r="A9215" s="1">
        <f>HYPERLINK("https://lsnyc.legalserver.org/matter/dynamic-profile/view/1880003","18-1880003")</f>
        <v>0</v>
      </c>
      <c r="B9215" t="s">
        <v>238</v>
      </c>
      <c r="C9215" t="s">
        <v>341</v>
      </c>
      <c r="D9215" t="s">
        <v>413</v>
      </c>
      <c r="E9215" t="s">
        <v>694</v>
      </c>
      <c r="F9215" t="s">
        <v>1758</v>
      </c>
      <c r="G9215" t="s">
        <v>7315</v>
      </c>
      <c r="H9215" t="s">
        <v>15927</v>
      </c>
      <c r="I9215">
        <v>3</v>
      </c>
      <c r="J9215" t="s">
        <v>18894</v>
      </c>
      <c r="K9215">
        <v>11218</v>
      </c>
      <c r="L9215" t="s">
        <v>18959</v>
      </c>
      <c r="M9215" t="s">
        <v>18958</v>
      </c>
      <c r="P9215" t="s">
        <v>26564</v>
      </c>
      <c r="Q9215" t="s">
        <v>26570</v>
      </c>
      <c r="R9215" t="s">
        <v>26586</v>
      </c>
      <c r="U9215" t="s">
        <v>26604</v>
      </c>
      <c r="X9215">
        <v>1650</v>
      </c>
      <c r="Y9215" t="s">
        <v>26652</v>
      </c>
      <c r="Z9215" t="s">
        <v>26659</v>
      </c>
      <c r="AA9215" t="s">
        <v>26683</v>
      </c>
      <c r="AB9215" t="s">
        <v>33286</v>
      </c>
      <c r="AE9215">
        <v>0</v>
      </c>
      <c r="AH9215">
        <v>12</v>
      </c>
      <c r="AI9215">
        <v>1</v>
      </c>
      <c r="AJ9215">
        <v>0</v>
      </c>
      <c r="AK9215">
        <v>0</v>
      </c>
      <c r="AN9215" t="s">
        <v>7439</v>
      </c>
      <c r="AO9215">
        <v>0</v>
      </c>
      <c r="AU9215">
        <v>0.5</v>
      </c>
      <c r="AV9215" t="s">
        <v>694</v>
      </c>
      <c r="AW9215" t="s">
        <v>281</v>
      </c>
    </row>
    <row r="9216" spans="1:49">
      <c r="A9216" s="1">
        <f>HYPERLINK("https://lsnyc.legalserver.org/matter/dynamic-profile/view/1880047","18-1880047")</f>
        <v>0</v>
      </c>
      <c r="B9216" t="s">
        <v>66</v>
      </c>
      <c r="C9216" t="s">
        <v>340</v>
      </c>
      <c r="D9216" t="s">
        <v>413</v>
      </c>
      <c r="F9216" t="s">
        <v>4492</v>
      </c>
      <c r="G9216" t="s">
        <v>8964</v>
      </c>
      <c r="H9216" t="s">
        <v>15928</v>
      </c>
      <c r="I9216">
        <v>65</v>
      </c>
      <c r="J9216" t="s">
        <v>18893</v>
      </c>
      <c r="K9216">
        <v>10031</v>
      </c>
      <c r="L9216" t="s">
        <v>18960</v>
      </c>
      <c r="M9216" t="s">
        <v>18960</v>
      </c>
      <c r="N9216" t="s">
        <v>25455</v>
      </c>
      <c r="O9216" t="s">
        <v>26524</v>
      </c>
      <c r="R9216" t="s">
        <v>26582</v>
      </c>
      <c r="U9216" t="s">
        <v>26604</v>
      </c>
      <c r="X9216">
        <v>751</v>
      </c>
      <c r="Y9216" t="s">
        <v>26651</v>
      </c>
      <c r="AB9216" t="s">
        <v>29879</v>
      </c>
      <c r="AD9216" t="s">
        <v>43984</v>
      </c>
      <c r="AE9216">
        <v>0</v>
      </c>
      <c r="AH9216">
        <v>22</v>
      </c>
      <c r="AI9216">
        <v>3</v>
      </c>
      <c r="AJ9216">
        <v>1</v>
      </c>
      <c r="AK9216">
        <v>29.42</v>
      </c>
      <c r="AN9216" t="s">
        <v>45581</v>
      </c>
      <c r="AO9216">
        <v>7384</v>
      </c>
      <c r="AU9216">
        <v>0.75</v>
      </c>
      <c r="AV9216" t="s">
        <v>635</v>
      </c>
      <c r="AW9216" t="s">
        <v>46838</v>
      </c>
    </row>
    <row r="9217" spans="1:49">
      <c r="A9217" s="1">
        <f>HYPERLINK("https://lsnyc.legalserver.org/matter/dynamic-profile/view/1880123","18-1880123")</f>
        <v>0</v>
      </c>
      <c r="B9217" t="s">
        <v>110</v>
      </c>
      <c r="C9217" t="s">
        <v>340</v>
      </c>
      <c r="D9217" t="s">
        <v>413</v>
      </c>
      <c r="F9217" t="s">
        <v>4493</v>
      </c>
      <c r="G9217" t="s">
        <v>8965</v>
      </c>
      <c r="H9217" t="s">
        <v>15929</v>
      </c>
      <c r="I9217" t="s">
        <v>17374</v>
      </c>
      <c r="J9217" t="s">
        <v>18915</v>
      </c>
      <c r="K9217">
        <v>11372</v>
      </c>
      <c r="L9217" t="s">
        <v>18960</v>
      </c>
      <c r="M9217" t="s">
        <v>18960</v>
      </c>
      <c r="O9217" t="s">
        <v>18997</v>
      </c>
      <c r="R9217" t="s">
        <v>26591</v>
      </c>
      <c r="U9217" t="s">
        <v>26604</v>
      </c>
      <c r="X9217">
        <v>1500</v>
      </c>
      <c r="Y9217" t="s">
        <v>26653</v>
      </c>
      <c r="AB9217" t="s">
        <v>28685</v>
      </c>
      <c r="AE9217">
        <v>3</v>
      </c>
      <c r="AF9217" t="s">
        <v>20460</v>
      </c>
      <c r="AH9217">
        <v>2</v>
      </c>
      <c r="AI9217">
        <v>2</v>
      </c>
      <c r="AJ9217">
        <v>0</v>
      </c>
      <c r="AK9217">
        <v>182.26</v>
      </c>
      <c r="AN9217" t="s">
        <v>7439</v>
      </c>
      <c r="AO9217">
        <v>30000</v>
      </c>
      <c r="AU9217">
        <v>0.75</v>
      </c>
      <c r="AV9217" t="s">
        <v>413</v>
      </c>
      <c r="AW9217" t="s">
        <v>46829</v>
      </c>
    </row>
    <row r="9218" spans="1:49">
      <c r="A9218" s="1">
        <f>HYPERLINK("https://lsnyc.legalserver.org/matter/dynamic-profile/view/1880132","18-1880132")</f>
        <v>0</v>
      </c>
      <c r="B9218" t="s">
        <v>122</v>
      </c>
      <c r="C9218" t="s">
        <v>340</v>
      </c>
      <c r="D9218" t="s">
        <v>413</v>
      </c>
      <c r="F9218" t="s">
        <v>2585</v>
      </c>
      <c r="G9218" t="s">
        <v>5340</v>
      </c>
      <c r="H9218" t="s">
        <v>15930</v>
      </c>
      <c r="I9218" t="s">
        <v>17343</v>
      </c>
      <c r="J9218" t="s">
        <v>18911</v>
      </c>
      <c r="K9218">
        <v>11375</v>
      </c>
      <c r="L9218" t="s">
        <v>18958</v>
      </c>
      <c r="M9218" t="s">
        <v>18958</v>
      </c>
      <c r="N9218" t="s">
        <v>25456</v>
      </c>
      <c r="O9218" t="s">
        <v>26544</v>
      </c>
      <c r="R9218" t="s">
        <v>26584</v>
      </c>
      <c r="S9218" t="s">
        <v>26598</v>
      </c>
      <c r="U9218" t="s">
        <v>26604</v>
      </c>
      <c r="X9218">
        <v>801.6799999999999</v>
      </c>
      <c r="Y9218" t="s">
        <v>26653</v>
      </c>
      <c r="Z9218" t="s">
        <v>26664</v>
      </c>
      <c r="AB9218" t="s">
        <v>33287</v>
      </c>
      <c r="AD9218" t="s">
        <v>43985</v>
      </c>
      <c r="AE9218">
        <v>48</v>
      </c>
      <c r="AG9218" t="s">
        <v>19330</v>
      </c>
      <c r="AH9218">
        <v>46</v>
      </c>
      <c r="AI9218">
        <v>2</v>
      </c>
      <c r="AJ9218">
        <v>1</v>
      </c>
      <c r="AK9218">
        <v>0</v>
      </c>
      <c r="AO9218">
        <v>0</v>
      </c>
      <c r="AU9218">
        <v>3.6</v>
      </c>
      <c r="AV9218" t="s">
        <v>665</v>
      </c>
      <c r="AW9218" t="s">
        <v>122</v>
      </c>
    </row>
    <row r="9219" spans="1:49">
      <c r="A9219" s="1">
        <f>HYPERLINK("https://lsnyc.legalserver.org/matter/dynamic-profile/view/1880135","18-1880135")</f>
        <v>0</v>
      </c>
      <c r="B9219" t="s">
        <v>91</v>
      </c>
      <c r="C9219" t="s">
        <v>340</v>
      </c>
      <c r="D9219" t="s">
        <v>413</v>
      </c>
      <c r="F9219" t="s">
        <v>1637</v>
      </c>
      <c r="G9219" t="s">
        <v>8966</v>
      </c>
      <c r="H9219" t="s">
        <v>15931</v>
      </c>
      <c r="I9219">
        <v>2</v>
      </c>
      <c r="J9219" t="s">
        <v>18908</v>
      </c>
      <c r="K9219">
        <v>11411</v>
      </c>
      <c r="L9219" t="s">
        <v>18958</v>
      </c>
      <c r="M9219" t="s">
        <v>18958</v>
      </c>
      <c r="N9219" t="s">
        <v>25457</v>
      </c>
      <c r="O9219" t="s">
        <v>26524</v>
      </c>
      <c r="P9219" t="s">
        <v>26564</v>
      </c>
      <c r="R9219" t="s">
        <v>26584</v>
      </c>
      <c r="S9219" t="s">
        <v>18959</v>
      </c>
      <c r="U9219" t="s">
        <v>26604</v>
      </c>
      <c r="V9219" t="s">
        <v>26612</v>
      </c>
      <c r="X9219">
        <v>1000</v>
      </c>
      <c r="Y9219" t="s">
        <v>26653</v>
      </c>
      <c r="Z9219" t="s">
        <v>26664</v>
      </c>
      <c r="AB9219" t="s">
        <v>33288</v>
      </c>
      <c r="AD9219" t="s">
        <v>43986</v>
      </c>
      <c r="AE9219">
        <v>0</v>
      </c>
      <c r="AF9219" t="s">
        <v>20460</v>
      </c>
      <c r="AG9219" t="s">
        <v>45556</v>
      </c>
      <c r="AH9219">
        <v>3</v>
      </c>
      <c r="AI9219">
        <v>1</v>
      </c>
      <c r="AJ9219">
        <v>0</v>
      </c>
      <c r="AK9219">
        <v>74.14</v>
      </c>
      <c r="AN9219" t="s">
        <v>45581</v>
      </c>
      <c r="AO9219">
        <v>9000</v>
      </c>
      <c r="AU9219">
        <v>0.9</v>
      </c>
      <c r="AV9219" t="s">
        <v>413</v>
      </c>
      <c r="AW9219" t="s">
        <v>208</v>
      </c>
    </row>
    <row r="9220" spans="1:49">
      <c r="A9220" s="1">
        <f>HYPERLINK("https://lsnyc.legalserver.org/matter/dynamic-profile/view/1880004","18-1880004")</f>
        <v>0</v>
      </c>
      <c r="B9220" t="s">
        <v>314</v>
      </c>
      <c r="C9220" t="s">
        <v>340</v>
      </c>
      <c r="D9220" t="s">
        <v>413</v>
      </c>
      <c r="F9220" t="s">
        <v>871</v>
      </c>
      <c r="G9220" t="s">
        <v>5199</v>
      </c>
      <c r="H9220" t="s">
        <v>10391</v>
      </c>
      <c r="I9220" t="s">
        <v>17283</v>
      </c>
      <c r="J9220" t="s">
        <v>18893</v>
      </c>
      <c r="K9220">
        <v>10033</v>
      </c>
      <c r="L9220" t="s">
        <v>18960</v>
      </c>
      <c r="M9220" t="s">
        <v>18960</v>
      </c>
      <c r="N9220">
        <v>73727</v>
      </c>
      <c r="O9220" t="s">
        <v>26524</v>
      </c>
      <c r="R9220" t="s">
        <v>26582</v>
      </c>
      <c r="U9220" t="s">
        <v>26604</v>
      </c>
      <c r="X9220">
        <v>841.77</v>
      </c>
      <c r="Y9220" t="s">
        <v>26651</v>
      </c>
      <c r="AB9220" t="s">
        <v>27567</v>
      </c>
      <c r="AD9220" t="s">
        <v>43987</v>
      </c>
      <c r="AE9220">
        <v>41</v>
      </c>
      <c r="AH9220">
        <v>26</v>
      </c>
      <c r="AI9220">
        <v>2</v>
      </c>
      <c r="AJ9220">
        <v>0</v>
      </c>
      <c r="AK9220">
        <v>251.52</v>
      </c>
      <c r="AN9220" t="s">
        <v>45581</v>
      </c>
      <c r="AO9220">
        <v>41400</v>
      </c>
      <c r="AU9220">
        <v>0</v>
      </c>
      <c r="AW9220" t="s">
        <v>314</v>
      </c>
    </row>
    <row r="9221" spans="1:49">
      <c r="A9221" s="1">
        <f>HYPERLINK("https://lsnyc.legalserver.org/matter/dynamic-profile/view/1880233","18-1880233")</f>
        <v>0</v>
      </c>
      <c r="B9221" t="s">
        <v>300</v>
      </c>
      <c r="C9221" t="s">
        <v>341</v>
      </c>
      <c r="D9221" t="s">
        <v>594</v>
      </c>
      <c r="E9221" t="s">
        <v>666</v>
      </c>
      <c r="F9221" t="s">
        <v>1228</v>
      </c>
      <c r="G9221" t="s">
        <v>4588</v>
      </c>
      <c r="H9221" t="s">
        <v>9675</v>
      </c>
      <c r="I9221" t="s">
        <v>17366</v>
      </c>
      <c r="J9221" t="s">
        <v>18893</v>
      </c>
      <c r="K9221">
        <v>10034</v>
      </c>
      <c r="L9221" t="s">
        <v>18960</v>
      </c>
      <c r="M9221" t="s">
        <v>18960</v>
      </c>
      <c r="O9221" t="s">
        <v>26529</v>
      </c>
      <c r="P9221" t="s">
        <v>26564</v>
      </c>
      <c r="Q9221" t="s">
        <v>26570</v>
      </c>
      <c r="R9221" t="s">
        <v>26592</v>
      </c>
      <c r="S9221" t="s">
        <v>18958</v>
      </c>
      <c r="U9221" t="s">
        <v>26604</v>
      </c>
      <c r="X9221">
        <v>1200</v>
      </c>
      <c r="Y9221" t="s">
        <v>26651</v>
      </c>
      <c r="Z9221" t="s">
        <v>26530</v>
      </c>
      <c r="AA9221" t="s">
        <v>26683</v>
      </c>
      <c r="AB9221" t="s">
        <v>33289</v>
      </c>
      <c r="AD9221" t="s">
        <v>43988</v>
      </c>
      <c r="AE9221">
        <v>60</v>
      </c>
      <c r="AF9221" t="s">
        <v>20460</v>
      </c>
      <c r="AG9221" t="s">
        <v>45561</v>
      </c>
      <c r="AH9221">
        <v>9</v>
      </c>
      <c r="AI9221">
        <v>1</v>
      </c>
      <c r="AJ9221">
        <v>0</v>
      </c>
      <c r="AK9221">
        <v>187.02</v>
      </c>
      <c r="AN9221" t="s">
        <v>45581</v>
      </c>
      <c r="AO9221">
        <v>22704</v>
      </c>
      <c r="AU9221">
        <v>0.66</v>
      </c>
      <c r="AV9221" t="s">
        <v>594</v>
      </c>
      <c r="AW9221" t="s">
        <v>46860</v>
      </c>
    </row>
    <row r="9222" spans="1:49">
      <c r="A9222" s="1">
        <f>HYPERLINK("https://lsnyc.legalserver.org/matter/dynamic-profile/view/1879713","18-1879713")</f>
        <v>0</v>
      </c>
      <c r="B9222" t="s">
        <v>89</v>
      </c>
      <c r="C9222" t="s">
        <v>341</v>
      </c>
      <c r="D9222" t="s">
        <v>594</v>
      </c>
      <c r="E9222" t="s">
        <v>820</v>
      </c>
      <c r="F9222" t="s">
        <v>901</v>
      </c>
      <c r="G9222" t="s">
        <v>5138</v>
      </c>
      <c r="H9222" t="s">
        <v>15856</v>
      </c>
      <c r="I9222" t="s">
        <v>17301</v>
      </c>
      <c r="J9222" t="s">
        <v>18893</v>
      </c>
      <c r="K9222">
        <v>10012</v>
      </c>
      <c r="L9222" t="s">
        <v>18958</v>
      </c>
      <c r="M9222" t="s">
        <v>18958</v>
      </c>
      <c r="O9222" t="s">
        <v>18997</v>
      </c>
      <c r="P9222" t="s">
        <v>26564</v>
      </c>
      <c r="Q9222" t="s">
        <v>26570</v>
      </c>
      <c r="R9222" t="s">
        <v>26582</v>
      </c>
      <c r="S9222" t="s">
        <v>18959</v>
      </c>
      <c r="U9222" t="s">
        <v>26604</v>
      </c>
      <c r="X9222">
        <v>184.49</v>
      </c>
      <c r="Y9222" t="s">
        <v>26651</v>
      </c>
      <c r="Z9222" t="s">
        <v>26667</v>
      </c>
      <c r="AA9222" t="s">
        <v>26683</v>
      </c>
      <c r="AB9222" t="s">
        <v>33290</v>
      </c>
      <c r="AD9222" t="s">
        <v>43989</v>
      </c>
      <c r="AE9222">
        <v>0</v>
      </c>
      <c r="AF9222" t="s">
        <v>45548</v>
      </c>
      <c r="AG9222" t="s">
        <v>19330</v>
      </c>
      <c r="AH9222">
        <v>50</v>
      </c>
      <c r="AI9222">
        <v>5</v>
      </c>
      <c r="AJ9222">
        <v>0</v>
      </c>
      <c r="AK9222">
        <v>130.52</v>
      </c>
      <c r="AN9222" t="s">
        <v>45581</v>
      </c>
      <c r="AO9222">
        <v>38400</v>
      </c>
      <c r="AU9222">
        <v>2.5</v>
      </c>
      <c r="AV9222" t="s">
        <v>694</v>
      </c>
      <c r="AW9222" t="s">
        <v>314</v>
      </c>
    </row>
    <row r="9223" spans="1:49">
      <c r="A9223" s="1">
        <f>HYPERLINK("https://lsnyc.legalserver.org/matter/dynamic-profile/view/1880221","18-1880221")</f>
        <v>0</v>
      </c>
      <c r="B9223" t="s">
        <v>202</v>
      </c>
      <c r="C9223" t="s">
        <v>341</v>
      </c>
      <c r="D9223" t="s">
        <v>594</v>
      </c>
      <c r="E9223" t="s">
        <v>769</v>
      </c>
      <c r="F9223" t="s">
        <v>4494</v>
      </c>
      <c r="G9223" t="s">
        <v>5720</v>
      </c>
      <c r="H9223" t="s">
        <v>12459</v>
      </c>
      <c r="I9223">
        <v>1910</v>
      </c>
      <c r="J9223" t="s">
        <v>18894</v>
      </c>
      <c r="K9223">
        <v>11224</v>
      </c>
      <c r="L9223" t="s">
        <v>18959</v>
      </c>
      <c r="M9223" t="s">
        <v>18960</v>
      </c>
      <c r="N9223" t="s">
        <v>25458</v>
      </c>
      <c r="O9223" t="s">
        <v>26523</v>
      </c>
      <c r="P9223" t="s">
        <v>26560</v>
      </c>
      <c r="Q9223" t="s">
        <v>26570</v>
      </c>
      <c r="R9223" t="s">
        <v>26586</v>
      </c>
      <c r="U9223" t="s">
        <v>26604</v>
      </c>
      <c r="X9223">
        <v>0</v>
      </c>
      <c r="Y9223" t="s">
        <v>26652</v>
      </c>
      <c r="Z9223" t="s">
        <v>26663</v>
      </c>
      <c r="AA9223" t="s">
        <v>26680</v>
      </c>
      <c r="AB9223" t="s">
        <v>33291</v>
      </c>
      <c r="AC9223" t="s">
        <v>36616</v>
      </c>
      <c r="AD9223" t="s">
        <v>43990</v>
      </c>
      <c r="AE9223">
        <v>44</v>
      </c>
      <c r="AF9223" t="s">
        <v>45541</v>
      </c>
      <c r="AG9223" t="s">
        <v>45556</v>
      </c>
      <c r="AH9223">
        <v>30</v>
      </c>
      <c r="AI9223">
        <v>2</v>
      </c>
      <c r="AJ9223">
        <v>0</v>
      </c>
      <c r="AK9223">
        <v>59.17</v>
      </c>
      <c r="AN9223" t="s">
        <v>7439</v>
      </c>
      <c r="AO9223">
        <v>9740</v>
      </c>
      <c r="AU9223">
        <v>13.2</v>
      </c>
      <c r="AV9223" t="s">
        <v>820</v>
      </c>
      <c r="AW9223" t="s">
        <v>46856</v>
      </c>
    </row>
    <row r="9224" spans="1:49">
      <c r="A9224" s="1">
        <f>HYPERLINK("https://lsnyc.legalserver.org/matter/dynamic-profile/view/1880220","18-1880220")</f>
        <v>0</v>
      </c>
      <c r="B9224" t="s">
        <v>161</v>
      </c>
      <c r="C9224" t="s">
        <v>341</v>
      </c>
      <c r="D9224" t="s">
        <v>594</v>
      </c>
      <c r="E9224" t="s">
        <v>594</v>
      </c>
      <c r="F9224" t="s">
        <v>4495</v>
      </c>
      <c r="G9224" t="s">
        <v>5094</v>
      </c>
      <c r="H9224" t="s">
        <v>15932</v>
      </c>
      <c r="I9224" t="s">
        <v>17333</v>
      </c>
      <c r="J9224" t="s">
        <v>18913</v>
      </c>
      <c r="K9224">
        <v>11103</v>
      </c>
      <c r="L9224" t="s">
        <v>18959</v>
      </c>
      <c r="M9224" t="s">
        <v>18958</v>
      </c>
      <c r="N9224" t="s">
        <v>25459</v>
      </c>
      <c r="O9224" t="s">
        <v>26526</v>
      </c>
      <c r="P9224" t="s">
        <v>26564</v>
      </c>
      <c r="Q9224" t="s">
        <v>26570</v>
      </c>
      <c r="R9224" t="s">
        <v>26583</v>
      </c>
      <c r="S9224" t="s">
        <v>18959</v>
      </c>
      <c r="U9224" t="s">
        <v>26604</v>
      </c>
      <c r="V9224" t="s">
        <v>26610</v>
      </c>
      <c r="X9224">
        <v>364</v>
      </c>
      <c r="Y9224" t="s">
        <v>26653</v>
      </c>
      <c r="Z9224" t="s">
        <v>26664</v>
      </c>
      <c r="AA9224" t="s">
        <v>26683</v>
      </c>
      <c r="AB9224" t="s">
        <v>33292</v>
      </c>
      <c r="AC9224" t="s">
        <v>36617</v>
      </c>
      <c r="AD9224" t="s">
        <v>34738</v>
      </c>
      <c r="AE9224">
        <v>6</v>
      </c>
      <c r="AF9224" t="s">
        <v>45541</v>
      </c>
      <c r="AG9224" t="s">
        <v>45559</v>
      </c>
      <c r="AH9224">
        <v>47</v>
      </c>
      <c r="AI9224">
        <v>1</v>
      </c>
      <c r="AJ9224">
        <v>0</v>
      </c>
      <c r="AK9224">
        <v>82.04000000000001</v>
      </c>
      <c r="AN9224" t="s">
        <v>45581</v>
      </c>
      <c r="AO9224">
        <v>9960</v>
      </c>
      <c r="AU9224">
        <v>0.4</v>
      </c>
      <c r="AV9224" t="s">
        <v>594</v>
      </c>
      <c r="AW9224" t="s">
        <v>161</v>
      </c>
    </row>
    <row r="9225" spans="1:49">
      <c r="A9225" s="1">
        <f>HYPERLINK("https://lsnyc.legalserver.org/matter/dynamic-profile/view/1880173","18-1880173")</f>
        <v>0</v>
      </c>
      <c r="B9225" t="s">
        <v>279</v>
      </c>
      <c r="C9225" t="s">
        <v>341</v>
      </c>
      <c r="D9225" t="s">
        <v>594</v>
      </c>
      <c r="E9225" t="s">
        <v>644</v>
      </c>
      <c r="F9225" t="s">
        <v>4496</v>
      </c>
      <c r="G9225" t="s">
        <v>8967</v>
      </c>
      <c r="H9225" t="s">
        <v>15933</v>
      </c>
      <c r="I9225" t="s">
        <v>17312</v>
      </c>
      <c r="J9225" t="s">
        <v>18894</v>
      </c>
      <c r="K9225">
        <v>11212</v>
      </c>
      <c r="L9225" t="s">
        <v>18959</v>
      </c>
      <c r="M9225" t="s">
        <v>18959</v>
      </c>
      <c r="N9225" t="s">
        <v>25460</v>
      </c>
      <c r="O9225" t="s">
        <v>26524</v>
      </c>
      <c r="Q9225" t="s">
        <v>26570</v>
      </c>
      <c r="R9225" t="s">
        <v>26578</v>
      </c>
      <c r="S9225" t="s">
        <v>18959</v>
      </c>
      <c r="U9225" t="s">
        <v>26604</v>
      </c>
      <c r="V9225" t="s">
        <v>26610</v>
      </c>
      <c r="X9225">
        <v>1956</v>
      </c>
      <c r="Y9225" t="s">
        <v>26652</v>
      </c>
      <c r="AA9225" t="s">
        <v>26683</v>
      </c>
      <c r="AB9225" t="s">
        <v>33293</v>
      </c>
      <c r="AD9225" t="s">
        <v>43991</v>
      </c>
      <c r="AE9225">
        <v>2</v>
      </c>
      <c r="AG9225" t="s">
        <v>45558</v>
      </c>
      <c r="AH9225">
        <v>2</v>
      </c>
      <c r="AI9225">
        <v>1</v>
      </c>
      <c r="AJ9225">
        <v>4</v>
      </c>
      <c r="AK9225">
        <v>0.53</v>
      </c>
      <c r="AN9225" t="s">
        <v>7439</v>
      </c>
      <c r="AO9225">
        <v>156</v>
      </c>
      <c r="AU9225">
        <v>0.9</v>
      </c>
      <c r="AV9225" t="s">
        <v>594</v>
      </c>
      <c r="AW9225" t="s">
        <v>46857</v>
      </c>
    </row>
    <row r="9226" spans="1:49">
      <c r="A9226" s="1">
        <f>HYPERLINK("https://lsnyc.legalserver.org/matter/dynamic-profile/view/1880252","18-1880252")</f>
        <v>0</v>
      </c>
      <c r="B9226" t="s">
        <v>279</v>
      </c>
      <c r="C9226" t="s">
        <v>341</v>
      </c>
      <c r="D9226" t="s">
        <v>594</v>
      </c>
      <c r="E9226" t="s">
        <v>688</v>
      </c>
      <c r="F9226" t="s">
        <v>1062</v>
      </c>
      <c r="G9226" t="s">
        <v>1203</v>
      </c>
      <c r="H9226" t="s">
        <v>15934</v>
      </c>
      <c r="I9226">
        <v>7</v>
      </c>
      <c r="J9226" t="s">
        <v>18894</v>
      </c>
      <c r="K9226">
        <v>11233</v>
      </c>
      <c r="L9226" t="s">
        <v>18959</v>
      </c>
      <c r="M9226" t="s">
        <v>18959</v>
      </c>
      <c r="N9226" t="s">
        <v>25461</v>
      </c>
      <c r="O9226" t="s">
        <v>26523</v>
      </c>
      <c r="P9226" t="s">
        <v>26564</v>
      </c>
      <c r="Q9226" t="s">
        <v>26570</v>
      </c>
      <c r="R9226" t="s">
        <v>26578</v>
      </c>
      <c r="S9226" t="s">
        <v>18959</v>
      </c>
      <c r="U9226" t="s">
        <v>26604</v>
      </c>
      <c r="V9226" t="s">
        <v>26610</v>
      </c>
      <c r="X9226">
        <v>2245</v>
      </c>
      <c r="Y9226" t="s">
        <v>26652</v>
      </c>
      <c r="Z9226" t="s">
        <v>26657</v>
      </c>
      <c r="AA9226" t="s">
        <v>26683</v>
      </c>
      <c r="AB9226" t="s">
        <v>33294</v>
      </c>
      <c r="AD9226" t="s">
        <v>43992</v>
      </c>
      <c r="AE9226">
        <v>8</v>
      </c>
      <c r="AF9226" t="s">
        <v>45541</v>
      </c>
      <c r="AH9226">
        <v>1</v>
      </c>
      <c r="AI9226">
        <v>1</v>
      </c>
      <c r="AJ9226">
        <v>0</v>
      </c>
      <c r="AK9226">
        <v>156.18</v>
      </c>
      <c r="AN9226" t="s">
        <v>7439</v>
      </c>
      <c r="AO9226">
        <v>18960</v>
      </c>
      <c r="AU9226">
        <v>0.6</v>
      </c>
      <c r="AV9226" t="s">
        <v>623</v>
      </c>
      <c r="AW9226" t="s">
        <v>46849</v>
      </c>
    </row>
    <row r="9227" spans="1:49">
      <c r="A9227" s="1">
        <f>HYPERLINK("https://lsnyc.legalserver.org/matter/dynamic-profile/view/1880244","18-1880244")</f>
        <v>0</v>
      </c>
      <c r="B9227" t="s">
        <v>110</v>
      </c>
      <c r="C9227" t="s">
        <v>340</v>
      </c>
      <c r="D9227" t="s">
        <v>594</v>
      </c>
      <c r="F9227" t="s">
        <v>1288</v>
      </c>
      <c r="G9227" t="s">
        <v>5208</v>
      </c>
      <c r="H9227" t="s">
        <v>15935</v>
      </c>
      <c r="I9227" t="s">
        <v>17541</v>
      </c>
      <c r="J9227" t="s">
        <v>18936</v>
      </c>
      <c r="K9227">
        <v>11361</v>
      </c>
      <c r="L9227" t="s">
        <v>18960</v>
      </c>
      <c r="M9227" t="s">
        <v>18960</v>
      </c>
      <c r="R9227" t="s">
        <v>26583</v>
      </c>
      <c r="U9227" t="s">
        <v>26604</v>
      </c>
      <c r="X9227">
        <v>1232</v>
      </c>
      <c r="Y9227" t="s">
        <v>26653</v>
      </c>
      <c r="Z9227" t="s">
        <v>26673</v>
      </c>
      <c r="AB9227" t="s">
        <v>33295</v>
      </c>
      <c r="AD9227" t="s">
        <v>43993</v>
      </c>
      <c r="AE9227">
        <v>16</v>
      </c>
      <c r="AF9227" t="s">
        <v>45548</v>
      </c>
      <c r="AH9227">
        <v>16</v>
      </c>
      <c r="AI9227">
        <v>1</v>
      </c>
      <c r="AJ9227">
        <v>1</v>
      </c>
      <c r="AK9227">
        <v>298.91</v>
      </c>
      <c r="AN9227" t="s">
        <v>7439</v>
      </c>
      <c r="AO9227">
        <v>49200</v>
      </c>
      <c r="AU9227">
        <v>0.9</v>
      </c>
      <c r="AV9227" t="s">
        <v>594</v>
      </c>
      <c r="AW9227" t="s">
        <v>46857</v>
      </c>
    </row>
    <row r="9228" spans="1:49">
      <c r="A9228" s="1">
        <f>HYPERLINK("https://lsnyc.legalserver.org/matter/dynamic-profile/view/1880274","18-1880274")</f>
        <v>0</v>
      </c>
      <c r="B9228" t="s">
        <v>78</v>
      </c>
      <c r="C9228" t="s">
        <v>340</v>
      </c>
      <c r="D9228" t="s">
        <v>594</v>
      </c>
      <c r="F9228" t="s">
        <v>2778</v>
      </c>
      <c r="G9228" t="s">
        <v>2620</v>
      </c>
      <c r="H9228" t="s">
        <v>10750</v>
      </c>
      <c r="I9228">
        <v>7</v>
      </c>
      <c r="J9228" t="s">
        <v>18894</v>
      </c>
      <c r="K9228">
        <v>11213</v>
      </c>
      <c r="L9228" t="s">
        <v>18958</v>
      </c>
      <c r="M9228" t="s">
        <v>18958</v>
      </c>
      <c r="N9228" t="s">
        <v>18997</v>
      </c>
      <c r="O9228" t="s">
        <v>26539</v>
      </c>
      <c r="P9228" t="s">
        <v>26565</v>
      </c>
      <c r="R9228" t="s">
        <v>26578</v>
      </c>
      <c r="S9228" t="s">
        <v>18959</v>
      </c>
      <c r="U9228" t="s">
        <v>26604</v>
      </c>
      <c r="V9228" t="s">
        <v>26610</v>
      </c>
      <c r="X9228">
        <v>931.36</v>
      </c>
      <c r="Y9228" t="s">
        <v>26652</v>
      </c>
      <c r="AB9228" t="s">
        <v>29872</v>
      </c>
      <c r="AC9228" t="s">
        <v>19330</v>
      </c>
      <c r="AE9228">
        <v>31</v>
      </c>
      <c r="AF9228" t="s">
        <v>45541</v>
      </c>
      <c r="AG9228" t="s">
        <v>19330</v>
      </c>
      <c r="AH9228">
        <v>35</v>
      </c>
      <c r="AI9228">
        <v>2</v>
      </c>
      <c r="AJ9228">
        <v>0</v>
      </c>
      <c r="AK9228">
        <v>194.41</v>
      </c>
      <c r="AN9228" t="s">
        <v>7439</v>
      </c>
      <c r="AO9228">
        <v>32000</v>
      </c>
      <c r="AP9228" t="s">
        <v>46087</v>
      </c>
      <c r="AU9228">
        <v>0</v>
      </c>
      <c r="AW9228" t="s">
        <v>279</v>
      </c>
    </row>
    <row r="9229" spans="1:49">
      <c r="A9229" s="1">
        <f>HYPERLINK("https://lsnyc.legalserver.org/matter/dynamic-profile/view/1880394","18-1880394")</f>
        <v>0</v>
      </c>
      <c r="B9229" t="s">
        <v>249</v>
      </c>
      <c r="C9229" t="s">
        <v>341</v>
      </c>
      <c r="D9229" t="s">
        <v>614</v>
      </c>
      <c r="E9229" t="s">
        <v>605</v>
      </c>
      <c r="F9229" t="s">
        <v>953</v>
      </c>
      <c r="G9229" t="s">
        <v>8968</v>
      </c>
      <c r="H9229" t="s">
        <v>9896</v>
      </c>
      <c r="I9229" t="s">
        <v>17859</v>
      </c>
      <c r="J9229" t="s">
        <v>18894</v>
      </c>
      <c r="K9229">
        <v>11208</v>
      </c>
      <c r="L9229" t="s">
        <v>18959</v>
      </c>
      <c r="M9229" t="s">
        <v>18959</v>
      </c>
      <c r="N9229" t="s">
        <v>18997</v>
      </c>
      <c r="O9229" t="s">
        <v>26529</v>
      </c>
      <c r="P9229" t="s">
        <v>26564</v>
      </c>
      <c r="Q9229" t="s">
        <v>26570</v>
      </c>
      <c r="R9229" t="s">
        <v>26578</v>
      </c>
      <c r="S9229" t="s">
        <v>18959</v>
      </c>
      <c r="U9229" t="s">
        <v>26604</v>
      </c>
      <c r="V9229" t="s">
        <v>26610</v>
      </c>
      <c r="X9229">
        <v>996.0599999999999</v>
      </c>
      <c r="Y9229" t="s">
        <v>26652</v>
      </c>
      <c r="Z9229" t="s">
        <v>26666</v>
      </c>
      <c r="AA9229" t="s">
        <v>26683</v>
      </c>
      <c r="AB9229" t="s">
        <v>33051</v>
      </c>
      <c r="AC9229" t="s">
        <v>20460</v>
      </c>
      <c r="AD9229" t="s">
        <v>43994</v>
      </c>
      <c r="AE9229">
        <v>294</v>
      </c>
      <c r="AF9229" t="s">
        <v>45543</v>
      </c>
      <c r="AG9229" t="s">
        <v>45556</v>
      </c>
      <c r="AH9229">
        <v>23</v>
      </c>
      <c r="AI9229">
        <v>1</v>
      </c>
      <c r="AJ9229">
        <v>0</v>
      </c>
      <c r="AK9229">
        <v>0</v>
      </c>
      <c r="AN9229" t="s">
        <v>7439</v>
      </c>
      <c r="AO9229">
        <v>0</v>
      </c>
      <c r="AU9229">
        <v>1.5</v>
      </c>
      <c r="AV9229" t="s">
        <v>605</v>
      </c>
      <c r="AW9229" t="s">
        <v>279</v>
      </c>
    </row>
    <row r="9230" spans="1:49">
      <c r="A9230" s="1">
        <f>HYPERLINK("https://lsnyc.legalserver.org/matter/dynamic-profile/view/1880288","18-1880288")</f>
        <v>0</v>
      </c>
      <c r="B9230" t="s">
        <v>249</v>
      </c>
      <c r="C9230" t="s">
        <v>341</v>
      </c>
      <c r="D9230" t="s">
        <v>614</v>
      </c>
      <c r="E9230" t="s">
        <v>632</v>
      </c>
      <c r="F9230" t="s">
        <v>1113</v>
      </c>
      <c r="G9230" t="s">
        <v>8969</v>
      </c>
      <c r="H9230" t="s">
        <v>15936</v>
      </c>
      <c r="I9230" t="s">
        <v>18645</v>
      </c>
      <c r="J9230" t="s">
        <v>18894</v>
      </c>
      <c r="K9230">
        <v>11208</v>
      </c>
      <c r="L9230" t="s">
        <v>18959</v>
      </c>
      <c r="M9230" t="s">
        <v>18959</v>
      </c>
      <c r="O9230" t="s">
        <v>18997</v>
      </c>
      <c r="Q9230" t="s">
        <v>26570</v>
      </c>
      <c r="R9230" t="s">
        <v>26578</v>
      </c>
      <c r="S9230" t="s">
        <v>18959</v>
      </c>
      <c r="U9230" t="s">
        <v>26604</v>
      </c>
      <c r="X9230">
        <v>1200</v>
      </c>
      <c r="Y9230" t="s">
        <v>26652</v>
      </c>
      <c r="AA9230" t="s">
        <v>26683</v>
      </c>
      <c r="AB9230" t="s">
        <v>33296</v>
      </c>
      <c r="AD9230" t="s">
        <v>43995</v>
      </c>
      <c r="AE9230">
        <v>3</v>
      </c>
      <c r="AF9230" t="s">
        <v>20460</v>
      </c>
      <c r="AH9230">
        <v>1</v>
      </c>
      <c r="AI9230">
        <v>1</v>
      </c>
      <c r="AJ9230">
        <v>0</v>
      </c>
      <c r="AK9230">
        <v>128.5</v>
      </c>
      <c r="AN9230" t="s">
        <v>7439</v>
      </c>
      <c r="AO9230">
        <v>15600</v>
      </c>
      <c r="AU9230">
        <v>1.25</v>
      </c>
      <c r="AV9230" t="s">
        <v>632</v>
      </c>
      <c r="AW9230" t="s">
        <v>46829</v>
      </c>
    </row>
    <row r="9231" spans="1:49">
      <c r="A9231" s="1">
        <f>HYPERLINK("https://lsnyc.legalserver.org/matter/dynamic-profile/view/1880298","18-1880298")</f>
        <v>0</v>
      </c>
      <c r="B9231" t="s">
        <v>249</v>
      </c>
      <c r="C9231" t="s">
        <v>341</v>
      </c>
      <c r="D9231" t="s">
        <v>614</v>
      </c>
      <c r="E9231" t="s">
        <v>427</v>
      </c>
      <c r="F9231" t="s">
        <v>1379</v>
      </c>
      <c r="G9231" t="s">
        <v>3604</v>
      </c>
      <c r="H9231" t="s">
        <v>15937</v>
      </c>
      <c r="I9231" t="s">
        <v>17430</v>
      </c>
      <c r="J9231" t="s">
        <v>18894</v>
      </c>
      <c r="K9231">
        <v>11208</v>
      </c>
      <c r="L9231" t="s">
        <v>18959</v>
      </c>
      <c r="M9231" t="s">
        <v>18959</v>
      </c>
      <c r="O9231" t="s">
        <v>18997</v>
      </c>
      <c r="P9231" t="s">
        <v>26564</v>
      </c>
      <c r="Q9231" t="s">
        <v>26570</v>
      </c>
      <c r="R9231" t="s">
        <v>26578</v>
      </c>
      <c r="S9231" t="s">
        <v>18959</v>
      </c>
      <c r="U9231" t="s">
        <v>26604</v>
      </c>
      <c r="V9231" t="s">
        <v>26610</v>
      </c>
      <c r="X9231">
        <v>400</v>
      </c>
      <c r="Y9231" t="s">
        <v>26652</v>
      </c>
      <c r="Z9231" t="s">
        <v>26659</v>
      </c>
      <c r="AA9231" t="s">
        <v>26683</v>
      </c>
      <c r="AB9231" t="s">
        <v>28422</v>
      </c>
      <c r="AC9231" t="s">
        <v>34508</v>
      </c>
      <c r="AD9231" t="s">
        <v>43996</v>
      </c>
      <c r="AE9231">
        <v>3</v>
      </c>
      <c r="AF9231" t="s">
        <v>45547</v>
      </c>
      <c r="AG9231" t="s">
        <v>19330</v>
      </c>
      <c r="AH9231">
        <v>0</v>
      </c>
      <c r="AI9231">
        <v>1</v>
      </c>
      <c r="AJ9231">
        <v>0</v>
      </c>
      <c r="AK9231">
        <v>171.33</v>
      </c>
      <c r="AN9231" t="s">
        <v>7439</v>
      </c>
      <c r="AO9231">
        <v>20800</v>
      </c>
      <c r="AU9231">
        <v>1.41</v>
      </c>
      <c r="AV9231" t="s">
        <v>644</v>
      </c>
      <c r="AW9231" t="s">
        <v>46860</v>
      </c>
    </row>
    <row r="9232" spans="1:49">
      <c r="A9232" s="1">
        <f>HYPERLINK("https://lsnyc.legalserver.org/matter/dynamic-profile/view/1880366","18-1880366")</f>
        <v>0</v>
      </c>
      <c r="B9232" t="s">
        <v>279</v>
      </c>
      <c r="C9232" t="s">
        <v>341</v>
      </c>
      <c r="D9232" t="s">
        <v>614</v>
      </c>
      <c r="E9232" t="s">
        <v>753</v>
      </c>
      <c r="F9232" t="s">
        <v>2215</v>
      </c>
      <c r="G9232" t="s">
        <v>945</v>
      </c>
      <c r="H9232" t="s">
        <v>15938</v>
      </c>
      <c r="I9232" t="s">
        <v>17420</v>
      </c>
      <c r="J9232" t="s">
        <v>18894</v>
      </c>
      <c r="K9232">
        <v>11212</v>
      </c>
      <c r="L9232" t="s">
        <v>18959</v>
      </c>
      <c r="M9232" t="s">
        <v>18959</v>
      </c>
      <c r="N9232" t="s">
        <v>25462</v>
      </c>
      <c r="O9232" t="s">
        <v>26523</v>
      </c>
      <c r="Q9232" t="s">
        <v>26570</v>
      </c>
      <c r="R9232" t="s">
        <v>26578</v>
      </c>
      <c r="S9232" t="s">
        <v>18959</v>
      </c>
      <c r="U9232" t="s">
        <v>26604</v>
      </c>
      <c r="V9232" t="s">
        <v>26610</v>
      </c>
      <c r="X9232">
        <v>929</v>
      </c>
      <c r="Y9232" t="s">
        <v>26652</v>
      </c>
      <c r="Z9232" t="s">
        <v>26659</v>
      </c>
      <c r="AA9232" t="s">
        <v>26683</v>
      </c>
      <c r="AB9232" t="s">
        <v>33129</v>
      </c>
      <c r="AC9232" t="s">
        <v>19330</v>
      </c>
      <c r="AD9232" t="s">
        <v>43997</v>
      </c>
      <c r="AE9232">
        <v>39</v>
      </c>
      <c r="AF9232" t="s">
        <v>45541</v>
      </c>
      <c r="AG9232" t="s">
        <v>19330</v>
      </c>
      <c r="AH9232">
        <v>12</v>
      </c>
      <c r="AI9232">
        <v>2</v>
      </c>
      <c r="AJ9232">
        <v>1</v>
      </c>
      <c r="AK9232">
        <v>187.68</v>
      </c>
      <c r="AN9232" t="s">
        <v>7439</v>
      </c>
      <c r="AO9232">
        <v>39000</v>
      </c>
      <c r="AP9232" t="s">
        <v>46148</v>
      </c>
      <c r="AU9232">
        <v>0.25</v>
      </c>
      <c r="AV9232" t="s">
        <v>753</v>
      </c>
      <c r="AW9232" t="s">
        <v>279</v>
      </c>
    </row>
    <row r="9233" spans="1:50">
      <c r="A9233" s="1">
        <f>HYPERLINK("https://lsnyc.legalserver.org/matter/dynamic-profile/view/1880321","18-1880321")</f>
        <v>0</v>
      </c>
      <c r="B9233" t="s">
        <v>186</v>
      </c>
      <c r="C9233" t="s">
        <v>340</v>
      </c>
      <c r="D9233" t="s">
        <v>614</v>
      </c>
      <c r="F9233" t="s">
        <v>1759</v>
      </c>
      <c r="G9233" t="s">
        <v>5177</v>
      </c>
      <c r="H9233" t="s">
        <v>15939</v>
      </c>
      <c r="I9233" t="s">
        <v>18646</v>
      </c>
      <c r="J9233" t="s">
        <v>18894</v>
      </c>
      <c r="K9233">
        <v>11208</v>
      </c>
      <c r="L9233" t="s">
        <v>18960</v>
      </c>
      <c r="M9233" t="s">
        <v>18960</v>
      </c>
      <c r="N9233" t="s">
        <v>25463</v>
      </c>
      <c r="O9233" t="s">
        <v>26523</v>
      </c>
      <c r="P9233" t="s">
        <v>26560</v>
      </c>
      <c r="R9233" t="s">
        <v>26578</v>
      </c>
      <c r="S9233" t="s">
        <v>18959</v>
      </c>
      <c r="U9233" t="s">
        <v>26604</v>
      </c>
      <c r="V9233" t="s">
        <v>26610</v>
      </c>
      <c r="X9233">
        <v>0</v>
      </c>
      <c r="Y9233" t="s">
        <v>26652</v>
      </c>
      <c r="Z9233" t="s">
        <v>26659</v>
      </c>
      <c r="AB9233" t="s">
        <v>33297</v>
      </c>
      <c r="AD9233" t="s">
        <v>43998</v>
      </c>
      <c r="AE9233">
        <v>294</v>
      </c>
      <c r="AF9233" t="s">
        <v>45552</v>
      </c>
      <c r="AG9233" t="s">
        <v>45561</v>
      </c>
      <c r="AH9233">
        <v>5</v>
      </c>
      <c r="AI9233">
        <v>1</v>
      </c>
      <c r="AJ9233">
        <v>0</v>
      </c>
      <c r="AK9233">
        <v>84.70999999999999</v>
      </c>
      <c r="AN9233" t="s">
        <v>7439</v>
      </c>
      <c r="AO9233">
        <v>10284</v>
      </c>
      <c r="AU9233">
        <v>17.8</v>
      </c>
      <c r="AV9233" t="s">
        <v>765</v>
      </c>
      <c r="AW9233" t="s">
        <v>46842</v>
      </c>
    </row>
    <row r="9234" spans="1:50">
      <c r="A9234" s="1">
        <f>HYPERLINK("https://lsnyc.legalserver.org/matter/dynamic-profile/view/1880345","18-1880345")</f>
        <v>0</v>
      </c>
      <c r="B9234" t="s">
        <v>200</v>
      </c>
      <c r="C9234" t="s">
        <v>340</v>
      </c>
      <c r="D9234" t="s">
        <v>614</v>
      </c>
      <c r="F9234" t="s">
        <v>1072</v>
      </c>
      <c r="G9234" t="s">
        <v>8146</v>
      </c>
      <c r="H9234" t="s">
        <v>15940</v>
      </c>
      <c r="I9234">
        <v>309</v>
      </c>
      <c r="J9234" t="s">
        <v>18894</v>
      </c>
      <c r="K9234">
        <v>11229</v>
      </c>
      <c r="L9234" t="s">
        <v>18960</v>
      </c>
      <c r="M9234" t="s">
        <v>18960</v>
      </c>
      <c r="O9234" t="s">
        <v>26526</v>
      </c>
      <c r="R9234" t="s">
        <v>26591</v>
      </c>
      <c r="U9234" t="s">
        <v>26604</v>
      </c>
      <c r="X9234">
        <v>1505</v>
      </c>
      <c r="Y9234" t="s">
        <v>26652</v>
      </c>
      <c r="Z9234" t="s">
        <v>26659</v>
      </c>
      <c r="AB9234" t="s">
        <v>27585</v>
      </c>
      <c r="AE9234">
        <v>20</v>
      </c>
      <c r="AF9234" t="s">
        <v>45541</v>
      </c>
      <c r="AG9234" t="s">
        <v>45556</v>
      </c>
      <c r="AH9234">
        <v>7</v>
      </c>
      <c r="AI9234">
        <v>1</v>
      </c>
      <c r="AJ9234">
        <v>0</v>
      </c>
      <c r="AK9234">
        <v>73.64</v>
      </c>
      <c r="AN9234" t="s">
        <v>7439</v>
      </c>
      <c r="AO9234">
        <v>8940</v>
      </c>
      <c r="AU9234">
        <v>0.7</v>
      </c>
      <c r="AV9234" t="s">
        <v>614</v>
      </c>
      <c r="AW9234" t="s">
        <v>46841</v>
      </c>
    </row>
    <row r="9235" spans="1:50">
      <c r="A9235" s="1">
        <f>HYPERLINK("https://lsnyc.legalserver.org/matter/dynamic-profile/view/1880316","18-1880316")</f>
        <v>0</v>
      </c>
      <c r="B9235" t="s">
        <v>200</v>
      </c>
      <c r="C9235" t="s">
        <v>340</v>
      </c>
      <c r="D9235" t="s">
        <v>614</v>
      </c>
      <c r="F9235" t="s">
        <v>1056</v>
      </c>
      <c r="G9235" t="s">
        <v>8970</v>
      </c>
      <c r="H9235" t="s">
        <v>15941</v>
      </c>
      <c r="I9235" t="s">
        <v>18647</v>
      </c>
      <c r="J9235" t="s">
        <v>18894</v>
      </c>
      <c r="K9235">
        <v>11225</v>
      </c>
      <c r="L9235" t="s">
        <v>18960</v>
      </c>
      <c r="M9235" t="s">
        <v>18960</v>
      </c>
      <c r="R9235" t="s">
        <v>26591</v>
      </c>
      <c r="U9235" t="s">
        <v>26604</v>
      </c>
      <c r="X9235">
        <v>1800.94</v>
      </c>
      <c r="Y9235" t="s">
        <v>26652</v>
      </c>
      <c r="Z9235" t="s">
        <v>26666</v>
      </c>
      <c r="AB9235" t="s">
        <v>33298</v>
      </c>
      <c r="AD9235" t="s">
        <v>43999</v>
      </c>
      <c r="AE9235">
        <v>108</v>
      </c>
      <c r="AF9235" t="s">
        <v>45541</v>
      </c>
      <c r="AG9235" t="s">
        <v>45559</v>
      </c>
      <c r="AH9235">
        <v>37</v>
      </c>
      <c r="AI9235">
        <v>1</v>
      </c>
      <c r="AJ9235">
        <v>0</v>
      </c>
      <c r="AK9235">
        <v>152.52</v>
      </c>
      <c r="AN9235" t="s">
        <v>7439</v>
      </c>
      <c r="AO9235">
        <v>18516</v>
      </c>
      <c r="AU9235">
        <v>1</v>
      </c>
      <c r="AV9235" t="s">
        <v>614</v>
      </c>
      <c r="AW9235" t="s">
        <v>46843</v>
      </c>
    </row>
    <row r="9236" spans="1:50">
      <c r="A9236" s="1">
        <f>HYPERLINK("https://lsnyc.legalserver.org/matter/dynamic-profile/view/1880487","18-1880487")</f>
        <v>0</v>
      </c>
      <c r="B9236" t="s">
        <v>100</v>
      </c>
      <c r="C9236" t="s">
        <v>341</v>
      </c>
      <c r="D9236" t="s">
        <v>600</v>
      </c>
      <c r="E9236" t="s">
        <v>835</v>
      </c>
      <c r="F9236" t="s">
        <v>3190</v>
      </c>
      <c r="G9236" t="s">
        <v>5131</v>
      </c>
      <c r="H9236" t="s">
        <v>15942</v>
      </c>
      <c r="I9236">
        <v>2</v>
      </c>
      <c r="J9236" t="s">
        <v>18892</v>
      </c>
      <c r="K9236">
        <v>10453</v>
      </c>
      <c r="L9236" t="s">
        <v>18958</v>
      </c>
      <c r="M9236" t="s">
        <v>18958</v>
      </c>
      <c r="O9236" t="s">
        <v>26526</v>
      </c>
      <c r="P9236" t="s">
        <v>26563</v>
      </c>
      <c r="Q9236" t="s">
        <v>26570</v>
      </c>
      <c r="R9236" t="s">
        <v>26578</v>
      </c>
      <c r="S9236" t="s">
        <v>18958</v>
      </c>
      <c r="U9236" t="s">
        <v>26604</v>
      </c>
      <c r="X9236">
        <v>800</v>
      </c>
      <c r="Y9236" t="s">
        <v>26650</v>
      </c>
      <c r="Z9236" t="s">
        <v>26655</v>
      </c>
      <c r="AA9236" t="s">
        <v>26683</v>
      </c>
      <c r="AB9236" t="s">
        <v>33299</v>
      </c>
      <c r="AC9236" t="s">
        <v>36618</v>
      </c>
      <c r="AD9236" t="s">
        <v>44000</v>
      </c>
      <c r="AE9236">
        <v>0</v>
      </c>
      <c r="AF9236" t="s">
        <v>45541</v>
      </c>
      <c r="AG9236" t="s">
        <v>45562</v>
      </c>
      <c r="AH9236">
        <v>4</v>
      </c>
      <c r="AI9236">
        <v>1</v>
      </c>
      <c r="AJ9236">
        <v>0</v>
      </c>
      <c r="AK9236">
        <v>75.91</v>
      </c>
      <c r="AN9236" t="s">
        <v>7439</v>
      </c>
      <c r="AO9236">
        <v>9216</v>
      </c>
      <c r="AU9236">
        <v>1</v>
      </c>
      <c r="AV9236" t="s">
        <v>835</v>
      </c>
      <c r="AW9236" t="s">
        <v>46847</v>
      </c>
      <c r="AX9236" t="s">
        <v>46897</v>
      </c>
    </row>
    <row r="9237" spans="1:50">
      <c r="A9237" s="1">
        <f>HYPERLINK("https://lsnyc.legalserver.org/matter/dynamic-profile/view/1880479","18-1880479")</f>
        <v>0</v>
      </c>
      <c r="B9237" t="s">
        <v>302</v>
      </c>
      <c r="C9237" t="s">
        <v>341</v>
      </c>
      <c r="D9237" t="s">
        <v>600</v>
      </c>
      <c r="E9237" t="s">
        <v>819</v>
      </c>
      <c r="F9237" t="s">
        <v>1964</v>
      </c>
      <c r="G9237" t="s">
        <v>5078</v>
      </c>
      <c r="H9237" t="s">
        <v>14392</v>
      </c>
      <c r="I9237" t="s">
        <v>18648</v>
      </c>
      <c r="J9237" t="s">
        <v>18892</v>
      </c>
      <c r="K9237">
        <v>10457</v>
      </c>
      <c r="L9237" t="s">
        <v>18960</v>
      </c>
      <c r="M9237" t="s">
        <v>18960</v>
      </c>
      <c r="O9237" t="s">
        <v>26529</v>
      </c>
      <c r="P9237" t="s">
        <v>26564</v>
      </c>
      <c r="Q9237" t="s">
        <v>26570</v>
      </c>
      <c r="R9237" t="s">
        <v>26578</v>
      </c>
      <c r="U9237" t="s">
        <v>26604</v>
      </c>
      <c r="X9237">
        <v>0</v>
      </c>
      <c r="Y9237" t="s">
        <v>26650</v>
      </c>
      <c r="AA9237" t="s">
        <v>26683</v>
      </c>
      <c r="AB9237" t="s">
        <v>33300</v>
      </c>
      <c r="AD9237" t="s">
        <v>44001</v>
      </c>
      <c r="AE9237">
        <v>0</v>
      </c>
      <c r="AH9237">
        <v>0</v>
      </c>
      <c r="AI9237">
        <v>1</v>
      </c>
      <c r="AJ9237">
        <v>0</v>
      </c>
      <c r="AK9237">
        <v>19.28</v>
      </c>
      <c r="AN9237" t="s">
        <v>45581</v>
      </c>
      <c r="AO9237">
        <v>2340</v>
      </c>
      <c r="AP9237" t="s">
        <v>46149</v>
      </c>
      <c r="AU9237">
        <v>0.4</v>
      </c>
      <c r="AV9237" t="s">
        <v>600</v>
      </c>
      <c r="AW9237" t="s">
        <v>46849</v>
      </c>
    </row>
    <row r="9238" spans="1:50">
      <c r="A9238" s="1">
        <f>HYPERLINK("https://lsnyc.legalserver.org/matter/dynamic-profile/view/1880466","18-1880466")</f>
        <v>0</v>
      </c>
      <c r="B9238" t="s">
        <v>83</v>
      </c>
      <c r="C9238" t="s">
        <v>341</v>
      </c>
      <c r="D9238" t="s">
        <v>600</v>
      </c>
      <c r="E9238" t="s">
        <v>494</v>
      </c>
      <c r="F9238" t="s">
        <v>1165</v>
      </c>
      <c r="G9238" t="s">
        <v>8971</v>
      </c>
      <c r="H9238" t="s">
        <v>15943</v>
      </c>
      <c r="I9238" t="s">
        <v>17293</v>
      </c>
      <c r="J9238" t="s">
        <v>18894</v>
      </c>
      <c r="K9238">
        <v>11210</v>
      </c>
      <c r="L9238" t="s">
        <v>18958</v>
      </c>
      <c r="M9238" t="s">
        <v>18958</v>
      </c>
      <c r="N9238" t="s">
        <v>25464</v>
      </c>
      <c r="O9238" t="s">
        <v>26523</v>
      </c>
      <c r="P9238" t="s">
        <v>26563</v>
      </c>
      <c r="Q9238" t="s">
        <v>26570</v>
      </c>
      <c r="R9238" t="s">
        <v>26583</v>
      </c>
      <c r="U9238" t="s">
        <v>26604</v>
      </c>
      <c r="X9238">
        <v>1675</v>
      </c>
      <c r="Y9238" t="s">
        <v>26652</v>
      </c>
      <c r="Z9238" t="s">
        <v>26664</v>
      </c>
      <c r="AA9238" t="s">
        <v>26683</v>
      </c>
      <c r="AB9238" t="s">
        <v>33301</v>
      </c>
      <c r="AD9238" t="s">
        <v>44002</v>
      </c>
      <c r="AE9238">
        <v>0</v>
      </c>
      <c r="AG9238" t="s">
        <v>26530</v>
      </c>
      <c r="AH9238">
        <v>9</v>
      </c>
      <c r="AI9238">
        <v>1</v>
      </c>
      <c r="AJ9238">
        <v>0</v>
      </c>
      <c r="AK9238">
        <v>345.96</v>
      </c>
      <c r="AN9238" t="s">
        <v>7439</v>
      </c>
      <c r="AO9238">
        <v>42000</v>
      </c>
      <c r="AU9238">
        <v>3.1</v>
      </c>
      <c r="AV9238" t="s">
        <v>645</v>
      </c>
      <c r="AW9238" t="s">
        <v>46862</v>
      </c>
    </row>
    <row r="9239" spans="1:50">
      <c r="A9239" s="1">
        <f>HYPERLINK("https://lsnyc.legalserver.org/matter/dynamic-profile/view/1880429","18-1880429")</f>
        <v>0</v>
      </c>
      <c r="B9239" t="s">
        <v>201</v>
      </c>
      <c r="C9239" t="s">
        <v>341</v>
      </c>
      <c r="D9239" t="s">
        <v>600</v>
      </c>
      <c r="E9239" t="s">
        <v>641</v>
      </c>
      <c r="F9239" t="s">
        <v>4497</v>
      </c>
      <c r="G9239" t="s">
        <v>8972</v>
      </c>
      <c r="H9239" t="s">
        <v>15944</v>
      </c>
      <c r="I9239" t="s">
        <v>17334</v>
      </c>
      <c r="J9239" t="s">
        <v>18894</v>
      </c>
      <c r="K9239">
        <v>11233</v>
      </c>
      <c r="L9239" t="s">
        <v>18960</v>
      </c>
      <c r="M9239" t="s">
        <v>18960</v>
      </c>
      <c r="P9239" t="s">
        <v>26565</v>
      </c>
      <c r="Q9239" t="s">
        <v>26570</v>
      </c>
      <c r="R9239" t="s">
        <v>26591</v>
      </c>
      <c r="U9239" t="s">
        <v>26604</v>
      </c>
      <c r="X9239">
        <v>1500</v>
      </c>
      <c r="Y9239" t="s">
        <v>26652</v>
      </c>
      <c r="Z9239" t="s">
        <v>26659</v>
      </c>
      <c r="AA9239" t="s">
        <v>26683</v>
      </c>
      <c r="AB9239" t="s">
        <v>32848</v>
      </c>
      <c r="AD9239" t="s">
        <v>44003</v>
      </c>
      <c r="AE9239">
        <v>8</v>
      </c>
      <c r="AF9239" t="s">
        <v>45541</v>
      </c>
      <c r="AG9239" t="s">
        <v>45561</v>
      </c>
      <c r="AH9239">
        <v>1</v>
      </c>
      <c r="AI9239">
        <v>1</v>
      </c>
      <c r="AJ9239">
        <v>0</v>
      </c>
      <c r="AK9239">
        <v>72.45</v>
      </c>
      <c r="AN9239" t="s">
        <v>7439</v>
      </c>
      <c r="AO9239">
        <v>8796</v>
      </c>
      <c r="AU9239">
        <v>2.5</v>
      </c>
      <c r="AV9239" t="s">
        <v>641</v>
      </c>
      <c r="AW9239" t="s">
        <v>46843</v>
      </c>
    </row>
    <row r="9240" spans="1:50">
      <c r="A9240" s="1">
        <f>HYPERLINK("https://lsnyc.legalserver.org/matter/dynamic-profile/view/1880417","18-1880417")</f>
        <v>0</v>
      </c>
      <c r="B9240" t="s">
        <v>279</v>
      </c>
      <c r="C9240" t="s">
        <v>341</v>
      </c>
      <c r="D9240" t="s">
        <v>600</v>
      </c>
      <c r="E9240" t="s">
        <v>688</v>
      </c>
      <c r="F9240" t="s">
        <v>4498</v>
      </c>
      <c r="G9240" t="s">
        <v>5908</v>
      </c>
      <c r="H9240" t="s">
        <v>15945</v>
      </c>
      <c r="I9240" t="s">
        <v>18648</v>
      </c>
      <c r="J9240" t="s">
        <v>18894</v>
      </c>
      <c r="K9240">
        <v>11207</v>
      </c>
      <c r="L9240" t="s">
        <v>18960</v>
      </c>
      <c r="M9240" t="s">
        <v>18960</v>
      </c>
      <c r="N9240" t="s">
        <v>25465</v>
      </c>
      <c r="P9240" t="s">
        <v>26564</v>
      </c>
      <c r="Q9240" t="s">
        <v>26570</v>
      </c>
      <c r="R9240" t="s">
        <v>26591</v>
      </c>
      <c r="U9240" t="s">
        <v>26604</v>
      </c>
      <c r="X9240">
        <v>1200</v>
      </c>
      <c r="Y9240" t="s">
        <v>26652</v>
      </c>
      <c r="AA9240" t="s">
        <v>26683</v>
      </c>
      <c r="AB9240" t="s">
        <v>33302</v>
      </c>
      <c r="AD9240" t="s">
        <v>44004</v>
      </c>
      <c r="AE9240">
        <v>3</v>
      </c>
      <c r="AF9240" t="s">
        <v>20460</v>
      </c>
      <c r="AG9240" t="s">
        <v>45556</v>
      </c>
      <c r="AH9240">
        <v>15</v>
      </c>
      <c r="AI9240">
        <v>1</v>
      </c>
      <c r="AJ9240">
        <v>0</v>
      </c>
      <c r="AK9240">
        <v>74.14</v>
      </c>
      <c r="AN9240" t="s">
        <v>45581</v>
      </c>
      <c r="AO9240">
        <v>9000</v>
      </c>
      <c r="AU9240">
        <v>0.5</v>
      </c>
      <c r="AV9240" t="s">
        <v>600</v>
      </c>
      <c r="AW9240" t="s">
        <v>46849</v>
      </c>
    </row>
    <row r="9241" spans="1:50">
      <c r="A9241" s="1">
        <f>HYPERLINK("https://lsnyc.legalserver.org/matter/dynamic-profile/view/1880430","18-1880430")</f>
        <v>0</v>
      </c>
      <c r="B9241" t="s">
        <v>99</v>
      </c>
      <c r="C9241" t="s">
        <v>340</v>
      </c>
      <c r="D9241" t="s">
        <v>600</v>
      </c>
      <c r="F9241" t="s">
        <v>1125</v>
      </c>
      <c r="G9241" t="s">
        <v>8973</v>
      </c>
      <c r="H9241" t="s">
        <v>15946</v>
      </c>
      <c r="I9241">
        <v>10</v>
      </c>
      <c r="J9241" t="s">
        <v>18894</v>
      </c>
      <c r="K9241">
        <v>11215</v>
      </c>
      <c r="L9241" t="s">
        <v>18959</v>
      </c>
      <c r="M9241" t="s">
        <v>18960</v>
      </c>
      <c r="N9241" t="s">
        <v>25466</v>
      </c>
      <c r="O9241" t="s">
        <v>26524</v>
      </c>
      <c r="P9241" t="s">
        <v>26560</v>
      </c>
      <c r="R9241" t="s">
        <v>26578</v>
      </c>
      <c r="U9241" t="s">
        <v>26604</v>
      </c>
      <c r="X9241">
        <v>552</v>
      </c>
      <c r="Y9241" t="s">
        <v>26652</v>
      </c>
      <c r="Z9241" t="s">
        <v>26664</v>
      </c>
      <c r="AB9241" t="s">
        <v>33303</v>
      </c>
      <c r="AE9241">
        <v>16</v>
      </c>
      <c r="AG9241" t="s">
        <v>19330</v>
      </c>
      <c r="AH9241">
        <v>30</v>
      </c>
      <c r="AI9241">
        <v>1</v>
      </c>
      <c r="AJ9241">
        <v>0</v>
      </c>
      <c r="AK9241">
        <v>115.32</v>
      </c>
      <c r="AN9241" t="s">
        <v>7439</v>
      </c>
      <c r="AO9241">
        <v>14000</v>
      </c>
      <c r="AU9241">
        <v>53.3</v>
      </c>
      <c r="AV9241" t="s">
        <v>836</v>
      </c>
      <c r="AW9241" t="s">
        <v>46862</v>
      </c>
    </row>
    <row r="9242" spans="1:50">
      <c r="A9242" s="1">
        <f>HYPERLINK("https://lsnyc.legalserver.org/matter/dynamic-profile/view/1879992","18-1879992")</f>
        <v>0</v>
      </c>
      <c r="B9242" t="s">
        <v>186</v>
      </c>
      <c r="C9242" t="s">
        <v>340</v>
      </c>
      <c r="D9242" t="s">
        <v>600</v>
      </c>
      <c r="F9242" t="s">
        <v>2372</v>
      </c>
      <c r="G9242" t="s">
        <v>8974</v>
      </c>
      <c r="H9242" t="s">
        <v>14411</v>
      </c>
      <c r="I9242" t="s">
        <v>17321</v>
      </c>
      <c r="J9242" t="s">
        <v>18894</v>
      </c>
      <c r="K9242">
        <v>11208</v>
      </c>
      <c r="L9242" t="s">
        <v>18960</v>
      </c>
      <c r="M9242" t="s">
        <v>18960</v>
      </c>
      <c r="P9242" t="s">
        <v>26560</v>
      </c>
      <c r="R9242" t="s">
        <v>26586</v>
      </c>
      <c r="U9242" t="s">
        <v>26604</v>
      </c>
      <c r="X9242">
        <v>0</v>
      </c>
      <c r="Y9242" t="s">
        <v>26652</v>
      </c>
      <c r="AB9242" t="s">
        <v>33304</v>
      </c>
      <c r="AD9242" t="s">
        <v>44005</v>
      </c>
      <c r="AE9242">
        <v>0</v>
      </c>
      <c r="AH9242">
        <v>0</v>
      </c>
      <c r="AI9242">
        <v>1</v>
      </c>
      <c r="AJ9242">
        <v>0</v>
      </c>
      <c r="AK9242">
        <v>96.08</v>
      </c>
      <c r="AN9242" t="s">
        <v>7439</v>
      </c>
      <c r="AO9242">
        <v>11664</v>
      </c>
      <c r="AU9242">
        <v>21.5</v>
      </c>
      <c r="AV9242" t="s">
        <v>822</v>
      </c>
      <c r="AW9242" t="s">
        <v>186</v>
      </c>
    </row>
    <row r="9243" spans="1:50">
      <c r="A9243" s="1">
        <f>HYPERLINK("https://lsnyc.legalserver.org/matter/dynamic-profile/view/1880488","18-1880488")</f>
        <v>0</v>
      </c>
      <c r="B9243" t="s">
        <v>315</v>
      </c>
      <c r="C9243" t="s">
        <v>340</v>
      </c>
      <c r="D9243" t="s">
        <v>600</v>
      </c>
      <c r="F9243" t="s">
        <v>4499</v>
      </c>
      <c r="G9243" t="s">
        <v>8975</v>
      </c>
      <c r="H9243" t="s">
        <v>15947</v>
      </c>
      <c r="J9243" t="s">
        <v>18899</v>
      </c>
      <c r="K9243">
        <v>11385</v>
      </c>
      <c r="L9243" t="s">
        <v>18960</v>
      </c>
      <c r="M9243" t="s">
        <v>18960</v>
      </c>
      <c r="R9243" t="s">
        <v>26591</v>
      </c>
      <c r="U9243" t="s">
        <v>26607</v>
      </c>
      <c r="X9243">
        <v>0</v>
      </c>
      <c r="Y9243" t="s">
        <v>26653</v>
      </c>
      <c r="AB9243" t="s">
        <v>27443</v>
      </c>
      <c r="AD9243" t="s">
        <v>44006</v>
      </c>
      <c r="AE9243">
        <v>0</v>
      </c>
      <c r="AH9243">
        <v>0</v>
      </c>
      <c r="AI9243">
        <v>1</v>
      </c>
      <c r="AJ9243">
        <v>0</v>
      </c>
      <c r="AK9243">
        <v>161.05</v>
      </c>
      <c r="AN9243" t="s">
        <v>7439</v>
      </c>
      <c r="AO9243">
        <v>19552</v>
      </c>
      <c r="AU9243">
        <v>10.65</v>
      </c>
      <c r="AV9243" t="s">
        <v>810</v>
      </c>
      <c r="AW9243" t="s">
        <v>46884</v>
      </c>
    </row>
    <row r="9244" spans="1:50">
      <c r="A9244" s="1">
        <f>HYPERLINK("https://lsnyc.legalserver.org/matter/dynamic-profile/view/1880463","18-1880463")</f>
        <v>0</v>
      </c>
      <c r="B9244" t="s">
        <v>115</v>
      </c>
      <c r="C9244" t="s">
        <v>340</v>
      </c>
      <c r="D9244" t="s">
        <v>600</v>
      </c>
      <c r="F9244" t="s">
        <v>1283</v>
      </c>
      <c r="G9244" t="s">
        <v>5138</v>
      </c>
      <c r="H9244" t="s">
        <v>15948</v>
      </c>
      <c r="I9244" t="s">
        <v>17284</v>
      </c>
      <c r="J9244" t="s">
        <v>18892</v>
      </c>
      <c r="K9244">
        <v>10452</v>
      </c>
      <c r="L9244" t="s">
        <v>18960</v>
      </c>
      <c r="M9244" t="s">
        <v>18960</v>
      </c>
      <c r="O9244" t="s">
        <v>18997</v>
      </c>
      <c r="R9244" t="s">
        <v>26578</v>
      </c>
      <c r="S9244" t="s">
        <v>18959</v>
      </c>
      <c r="U9244" t="s">
        <v>26604</v>
      </c>
      <c r="X9244">
        <v>1125</v>
      </c>
      <c r="Y9244" t="s">
        <v>26650</v>
      </c>
      <c r="AB9244" t="s">
        <v>29114</v>
      </c>
      <c r="AD9244" t="s">
        <v>39167</v>
      </c>
      <c r="AE9244">
        <v>20</v>
      </c>
      <c r="AF9244" t="s">
        <v>20460</v>
      </c>
      <c r="AG9244" t="s">
        <v>19330</v>
      </c>
      <c r="AH9244">
        <v>8</v>
      </c>
      <c r="AI9244">
        <v>2</v>
      </c>
      <c r="AJ9244">
        <v>1</v>
      </c>
      <c r="AK9244">
        <v>104.6</v>
      </c>
      <c r="AN9244" t="s">
        <v>45581</v>
      </c>
      <c r="AO9244">
        <v>21736</v>
      </c>
      <c r="AP9244" t="s">
        <v>46149</v>
      </c>
      <c r="AU9244">
        <v>0.7</v>
      </c>
      <c r="AV9244" t="s">
        <v>632</v>
      </c>
      <c r="AW9244" t="s">
        <v>46829</v>
      </c>
    </row>
    <row r="9245" spans="1:50">
      <c r="A9245" s="1">
        <f>HYPERLINK("https://lsnyc.legalserver.org/matter/dynamic-profile/view/1880536","18-1880536")</f>
        <v>0</v>
      </c>
      <c r="B9245" t="s">
        <v>100</v>
      </c>
      <c r="C9245" t="s">
        <v>341</v>
      </c>
      <c r="D9245" t="s">
        <v>623</v>
      </c>
      <c r="E9245" t="s">
        <v>835</v>
      </c>
      <c r="F9245" t="s">
        <v>3826</v>
      </c>
      <c r="G9245" t="s">
        <v>3283</v>
      </c>
      <c r="H9245" t="s">
        <v>15942</v>
      </c>
      <c r="I9245">
        <v>2</v>
      </c>
      <c r="J9245" t="s">
        <v>18892</v>
      </c>
      <c r="K9245">
        <v>10453</v>
      </c>
      <c r="L9245" t="s">
        <v>18958</v>
      </c>
      <c r="M9245" t="s">
        <v>18958</v>
      </c>
      <c r="P9245" t="s">
        <v>26565</v>
      </c>
      <c r="Q9245" t="s">
        <v>26571</v>
      </c>
      <c r="R9245" t="s">
        <v>26578</v>
      </c>
      <c r="S9245" t="s">
        <v>18958</v>
      </c>
      <c r="U9245" t="s">
        <v>26604</v>
      </c>
      <c r="X9245">
        <v>700</v>
      </c>
      <c r="Y9245" t="s">
        <v>26650</v>
      </c>
      <c r="Z9245" t="s">
        <v>26663</v>
      </c>
      <c r="AA9245" t="s">
        <v>26683</v>
      </c>
      <c r="AB9245" t="s">
        <v>33305</v>
      </c>
      <c r="AD9245" t="s">
        <v>44007</v>
      </c>
      <c r="AE9245">
        <v>0</v>
      </c>
      <c r="AF9245" t="s">
        <v>45541</v>
      </c>
      <c r="AG9245" t="s">
        <v>19330</v>
      </c>
      <c r="AH9245">
        <v>3</v>
      </c>
      <c r="AI9245">
        <v>1</v>
      </c>
      <c r="AJ9245">
        <v>0</v>
      </c>
      <c r="AK9245">
        <v>257</v>
      </c>
      <c r="AN9245" t="s">
        <v>7439</v>
      </c>
      <c r="AO9245">
        <v>31200</v>
      </c>
      <c r="AU9245">
        <v>1</v>
      </c>
      <c r="AV9245" t="s">
        <v>827</v>
      </c>
      <c r="AW9245" t="s">
        <v>46847</v>
      </c>
      <c r="AX9245" t="s">
        <v>46897</v>
      </c>
    </row>
    <row r="9246" spans="1:50">
      <c r="A9246" s="1">
        <f>HYPERLINK("https://lsnyc.legalserver.org/matter/dynamic-profile/view/1880761","18-1880761")</f>
        <v>0</v>
      </c>
      <c r="B9246" t="s">
        <v>271</v>
      </c>
      <c r="C9246" t="s">
        <v>341</v>
      </c>
      <c r="D9246" t="s">
        <v>623</v>
      </c>
      <c r="E9246" t="s">
        <v>684</v>
      </c>
      <c r="F9246" t="s">
        <v>4500</v>
      </c>
      <c r="G9246" t="s">
        <v>5100</v>
      </c>
      <c r="H9246" t="s">
        <v>15949</v>
      </c>
      <c r="I9246" t="s">
        <v>17739</v>
      </c>
      <c r="J9246" t="s">
        <v>18894</v>
      </c>
      <c r="K9246">
        <v>11207</v>
      </c>
      <c r="L9246" t="s">
        <v>18960</v>
      </c>
      <c r="M9246" t="s">
        <v>18960</v>
      </c>
      <c r="O9246" t="s">
        <v>18997</v>
      </c>
      <c r="P9246" t="s">
        <v>26565</v>
      </c>
      <c r="Q9246" t="s">
        <v>26570</v>
      </c>
      <c r="R9246" t="s">
        <v>26592</v>
      </c>
      <c r="U9246" t="s">
        <v>26604</v>
      </c>
      <c r="X9246">
        <v>0</v>
      </c>
      <c r="Y9246" t="s">
        <v>26652</v>
      </c>
      <c r="AA9246" t="s">
        <v>26683</v>
      </c>
      <c r="AB9246" t="s">
        <v>33306</v>
      </c>
      <c r="AE9246">
        <v>0</v>
      </c>
      <c r="AG9246" t="s">
        <v>45558</v>
      </c>
      <c r="AH9246">
        <v>2</v>
      </c>
      <c r="AI9246">
        <v>2</v>
      </c>
      <c r="AJ9246">
        <v>5</v>
      </c>
      <c r="AK9246">
        <v>0</v>
      </c>
      <c r="AN9246" t="s">
        <v>45581</v>
      </c>
      <c r="AO9246">
        <v>0</v>
      </c>
      <c r="AU9246">
        <v>1.75</v>
      </c>
      <c r="AV9246" t="s">
        <v>664</v>
      </c>
      <c r="AW9246" t="s">
        <v>319</v>
      </c>
    </row>
    <row r="9247" spans="1:50">
      <c r="A9247" s="1">
        <f>HYPERLINK("https://lsnyc.legalserver.org/matter/dynamic-profile/view/1880559","18-1880559")</f>
        <v>0</v>
      </c>
      <c r="B9247" t="s">
        <v>74</v>
      </c>
      <c r="C9247" t="s">
        <v>341</v>
      </c>
      <c r="D9247" t="s">
        <v>623</v>
      </c>
      <c r="E9247" t="s">
        <v>652</v>
      </c>
      <c r="F9247" t="s">
        <v>4501</v>
      </c>
      <c r="G9247" t="s">
        <v>8976</v>
      </c>
      <c r="H9247" t="s">
        <v>15950</v>
      </c>
      <c r="I9247" t="s">
        <v>17313</v>
      </c>
      <c r="J9247" t="s">
        <v>18892</v>
      </c>
      <c r="K9247">
        <v>10468</v>
      </c>
      <c r="L9247" t="s">
        <v>18960</v>
      </c>
      <c r="M9247" t="s">
        <v>18960</v>
      </c>
      <c r="Q9247" t="s">
        <v>26570</v>
      </c>
      <c r="R9247" t="s">
        <v>26591</v>
      </c>
      <c r="U9247" t="s">
        <v>26604</v>
      </c>
      <c r="X9247">
        <v>1950</v>
      </c>
      <c r="Y9247" t="s">
        <v>26651</v>
      </c>
      <c r="Z9247" t="s">
        <v>26661</v>
      </c>
      <c r="AA9247" t="s">
        <v>26683</v>
      </c>
      <c r="AB9247" t="s">
        <v>33307</v>
      </c>
      <c r="AD9247" t="s">
        <v>44008</v>
      </c>
      <c r="AE9247">
        <v>30</v>
      </c>
      <c r="AG9247" t="s">
        <v>19330</v>
      </c>
      <c r="AH9247">
        <v>1</v>
      </c>
      <c r="AI9247">
        <v>4</v>
      </c>
      <c r="AJ9247">
        <v>1</v>
      </c>
      <c r="AK9247">
        <v>141.4</v>
      </c>
      <c r="AN9247" t="s">
        <v>7439</v>
      </c>
      <c r="AO9247">
        <v>41600</v>
      </c>
      <c r="AU9247">
        <v>1</v>
      </c>
      <c r="AV9247" t="s">
        <v>623</v>
      </c>
      <c r="AW9247" t="s">
        <v>46858</v>
      </c>
    </row>
    <row r="9248" spans="1:50">
      <c r="A9248" s="1">
        <f>HYPERLINK("https://lsnyc.legalserver.org/matter/dynamic-profile/view/1880620","18-1880620")</f>
        <v>0</v>
      </c>
      <c r="B9248" t="s">
        <v>209</v>
      </c>
      <c r="C9248" t="s">
        <v>341</v>
      </c>
      <c r="D9248" t="s">
        <v>623</v>
      </c>
      <c r="E9248" t="s">
        <v>623</v>
      </c>
      <c r="F9248" t="s">
        <v>2620</v>
      </c>
      <c r="G9248" t="s">
        <v>5147</v>
      </c>
      <c r="H9248" t="s">
        <v>15951</v>
      </c>
      <c r="I9248">
        <v>3</v>
      </c>
      <c r="J9248" t="s">
        <v>18898</v>
      </c>
      <c r="K9248">
        <v>11691</v>
      </c>
      <c r="L9248" t="s">
        <v>18959</v>
      </c>
      <c r="M9248" t="s">
        <v>18959</v>
      </c>
      <c r="O9248" t="s">
        <v>18997</v>
      </c>
      <c r="P9248" t="s">
        <v>26564</v>
      </c>
      <c r="Q9248" t="s">
        <v>26570</v>
      </c>
      <c r="R9248" t="s">
        <v>26591</v>
      </c>
      <c r="S9248" t="s">
        <v>18959</v>
      </c>
      <c r="U9248" t="s">
        <v>26604</v>
      </c>
      <c r="X9248">
        <v>500</v>
      </c>
      <c r="Y9248" t="s">
        <v>26653</v>
      </c>
      <c r="Z9248" t="s">
        <v>26530</v>
      </c>
      <c r="AA9248" t="s">
        <v>26683</v>
      </c>
      <c r="AB9248" t="s">
        <v>33308</v>
      </c>
      <c r="AD9248" t="s">
        <v>44009</v>
      </c>
      <c r="AE9248">
        <v>0</v>
      </c>
      <c r="AF9248" t="s">
        <v>20460</v>
      </c>
      <c r="AG9248" t="s">
        <v>19330</v>
      </c>
      <c r="AH9248">
        <v>20</v>
      </c>
      <c r="AI9248">
        <v>2</v>
      </c>
      <c r="AJ9248">
        <v>3</v>
      </c>
      <c r="AK9248">
        <v>169.95</v>
      </c>
      <c r="AN9248" t="s">
        <v>7439</v>
      </c>
      <c r="AO9248">
        <v>50000</v>
      </c>
      <c r="AU9248">
        <v>0.88</v>
      </c>
      <c r="AV9248" t="s">
        <v>623</v>
      </c>
      <c r="AW9248" t="s">
        <v>46860</v>
      </c>
    </row>
    <row r="9249" spans="1:49">
      <c r="A9249" s="1">
        <f>HYPERLINK("https://lsnyc.legalserver.org/matter/dynamic-profile/view/1880569","18-1880569")</f>
        <v>0</v>
      </c>
      <c r="B9249" t="s">
        <v>124</v>
      </c>
      <c r="C9249" t="s">
        <v>341</v>
      </c>
      <c r="D9249" t="s">
        <v>623</v>
      </c>
      <c r="E9249" t="s">
        <v>603</v>
      </c>
      <c r="F9249" t="s">
        <v>2372</v>
      </c>
      <c r="G9249" t="s">
        <v>8977</v>
      </c>
      <c r="H9249" t="s">
        <v>14096</v>
      </c>
      <c r="I9249">
        <v>7</v>
      </c>
      <c r="J9249" t="s">
        <v>18894</v>
      </c>
      <c r="K9249">
        <v>11206</v>
      </c>
      <c r="L9249" t="s">
        <v>18960</v>
      </c>
      <c r="M9249" t="s">
        <v>18960</v>
      </c>
      <c r="Q9249" t="s">
        <v>26570</v>
      </c>
      <c r="R9249" t="s">
        <v>26591</v>
      </c>
      <c r="U9249" t="s">
        <v>26604</v>
      </c>
      <c r="X9249">
        <v>980</v>
      </c>
      <c r="Y9249" t="s">
        <v>26652</v>
      </c>
      <c r="Z9249" t="s">
        <v>26530</v>
      </c>
      <c r="AA9249" t="s">
        <v>26683</v>
      </c>
      <c r="AB9249" t="s">
        <v>33309</v>
      </c>
      <c r="AD9249" t="s">
        <v>44010</v>
      </c>
      <c r="AE9249">
        <v>20</v>
      </c>
      <c r="AF9249" t="s">
        <v>45547</v>
      </c>
      <c r="AG9249" t="s">
        <v>45561</v>
      </c>
      <c r="AH9249">
        <v>13</v>
      </c>
      <c r="AI9249">
        <v>1</v>
      </c>
      <c r="AJ9249">
        <v>0</v>
      </c>
      <c r="AK9249">
        <v>83.33</v>
      </c>
      <c r="AN9249" t="s">
        <v>7439</v>
      </c>
      <c r="AO9249">
        <v>10116</v>
      </c>
      <c r="AU9249">
        <v>3.05</v>
      </c>
      <c r="AV9249" t="s">
        <v>603</v>
      </c>
      <c r="AW9249" t="s">
        <v>46846</v>
      </c>
    </row>
    <row r="9250" spans="1:49">
      <c r="A9250" s="1">
        <f>HYPERLINK("https://lsnyc.legalserver.org/matter/dynamic-profile/view/1880617","18-1880617")</f>
        <v>0</v>
      </c>
      <c r="B9250" t="s">
        <v>124</v>
      </c>
      <c r="C9250" t="s">
        <v>341</v>
      </c>
      <c r="D9250" t="s">
        <v>623</v>
      </c>
      <c r="E9250" t="s">
        <v>665</v>
      </c>
      <c r="F9250" t="s">
        <v>4502</v>
      </c>
      <c r="G9250" t="s">
        <v>8978</v>
      </c>
      <c r="H9250" t="s">
        <v>15952</v>
      </c>
      <c r="I9250">
        <v>9</v>
      </c>
      <c r="J9250" t="s">
        <v>18894</v>
      </c>
      <c r="K9250">
        <v>11216</v>
      </c>
      <c r="L9250" t="s">
        <v>18960</v>
      </c>
      <c r="M9250" t="s">
        <v>18960</v>
      </c>
      <c r="O9250" t="s">
        <v>26533</v>
      </c>
      <c r="Q9250" t="s">
        <v>26569</v>
      </c>
      <c r="R9250" t="s">
        <v>26588</v>
      </c>
      <c r="S9250" t="s">
        <v>18959</v>
      </c>
      <c r="U9250" t="s">
        <v>26604</v>
      </c>
      <c r="X9250">
        <v>1150</v>
      </c>
      <c r="Y9250" t="s">
        <v>26652</v>
      </c>
      <c r="Z9250" t="s">
        <v>26659</v>
      </c>
      <c r="AA9250" t="s">
        <v>26682</v>
      </c>
      <c r="AB9250" t="s">
        <v>33310</v>
      </c>
      <c r="AD9250" t="s">
        <v>44011</v>
      </c>
      <c r="AE9250">
        <v>11</v>
      </c>
      <c r="AF9250" t="s">
        <v>45541</v>
      </c>
      <c r="AG9250" t="s">
        <v>45561</v>
      </c>
      <c r="AH9250">
        <v>10</v>
      </c>
      <c r="AI9250">
        <v>1</v>
      </c>
      <c r="AJ9250">
        <v>0</v>
      </c>
      <c r="AK9250">
        <v>29.65</v>
      </c>
      <c r="AN9250" t="s">
        <v>7439</v>
      </c>
      <c r="AO9250">
        <v>3600</v>
      </c>
      <c r="AU9250">
        <v>16.65</v>
      </c>
      <c r="AV9250" t="s">
        <v>665</v>
      </c>
      <c r="AW9250" t="s">
        <v>46841</v>
      </c>
    </row>
    <row r="9251" spans="1:49">
      <c r="A9251" s="1">
        <f>HYPERLINK("https://lsnyc.legalserver.org/matter/dynamic-profile/view/1880561","18-1880561")</f>
        <v>0</v>
      </c>
      <c r="B9251" t="s">
        <v>249</v>
      </c>
      <c r="C9251" t="s">
        <v>341</v>
      </c>
      <c r="D9251" t="s">
        <v>623</v>
      </c>
      <c r="E9251" t="s">
        <v>624</v>
      </c>
      <c r="F9251" t="s">
        <v>4503</v>
      </c>
      <c r="G9251" t="s">
        <v>8979</v>
      </c>
      <c r="H9251" t="s">
        <v>15953</v>
      </c>
      <c r="I9251" t="s">
        <v>17355</v>
      </c>
      <c r="J9251" t="s">
        <v>18894</v>
      </c>
      <c r="K9251">
        <v>11233</v>
      </c>
      <c r="L9251" t="s">
        <v>18959</v>
      </c>
      <c r="M9251" t="s">
        <v>18959</v>
      </c>
      <c r="O9251" t="s">
        <v>18997</v>
      </c>
      <c r="P9251" t="s">
        <v>26564</v>
      </c>
      <c r="Q9251" t="s">
        <v>26570</v>
      </c>
      <c r="R9251" t="s">
        <v>26578</v>
      </c>
      <c r="S9251" t="s">
        <v>18959</v>
      </c>
      <c r="U9251" t="s">
        <v>26604</v>
      </c>
      <c r="V9251" t="s">
        <v>26610</v>
      </c>
      <c r="X9251">
        <v>915</v>
      </c>
      <c r="Y9251" t="s">
        <v>26652</v>
      </c>
      <c r="AA9251" t="s">
        <v>26683</v>
      </c>
      <c r="AB9251" t="s">
        <v>33311</v>
      </c>
      <c r="AC9251" t="s">
        <v>34508</v>
      </c>
      <c r="AD9251" t="s">
        <v>44012</v>
      </c>
      <c r="AE9251">
        <v>12</v>
      </c>
      <c r="AF9251" t="s">
        <v>45548</v>
      </c>
      <c r="AG9251" t="s">
        <v>45562</v>
      </c>
      <c r="AH9251">
        <v>4</v>
      </c>
      <c r="AI9251">
        <v>1</v>
      </c>
      <c r="AJ9251">
        <v>3</v>
      </c>
      <c r="AK9251">
        <v>127.04</v>
      </c>
      <c r="AN9251" t="s">
        <v>7439</v>
      </c>
      <c r="AO9251">
        <v>31888</v>
      </c>
      <c r="AU9251">
        <v>2</v>
      </c>
      <c r="AV9251" t="s">
        <v>624</v>
      </c>
      <c r="AW9251" t="s">
        <v>46859</v>
      </c>
    </row>
    <row r="9252" spans="1:49">
      <c r="A9252" s="1">
        <f>HYPERLINK("https://lsnyc.legalserver.org/matter/dynamic-profile/view/1880654","18-1880654")</f>
        <v>0</v>
      </c>
      <c r="B9252" t="s">
        <v>249</v>
      </c>
      <c r="C9252" t="s">
        <v>341</v>
      </c>
      <c r="D9252" t="s">
        <v>623</v>
      </c>
      <c r="E9252" t="s">
        <v>632</v>
      </c>
      <c r="F9252" t="s">
        <v>948</v>
      </c>
      <c r="G9252" t="s">
        <v>989</v>
      </c>
      <c r="H9252" t="s">
        <v>12946</v>
      </c>
      <c r="I9252" t="s">
        <v>17414</v>
      </c>
      <c r="J9252" t="s">
        <v>18894</v>
      </c>
      <c r="K9252">
        <v>11233</v>
      </c>
      <c r="L9252" t="s">
        <v>18959</v>
      </c>
      <c r="M9252" t="s">
        <v>18959</v>
      </c>
      <c r="N9252" t="s">
        <v>18997</v>
      </c>
      <c r="O9252" t="s">
        <v>26529</v>
      </c>
      <c r="P9252" t="s">
        <v>26564</v>
      </c>
      <c r="Q9252" t="s">
        <v>26570</v>
      </c>
      <c r="R9252" t="s">
        <v>26578</v>
      </c>
      <c r="S9252" t="s">
        <v>18959</v>
      </c>
      <c r="U9252" t="s">
        <v>26604</v>
      </c>
      <c r="V9252" t="s">
        <v>26610</v>
      </c>
      <c r="X9252">
        <v>1304.95</v>
      </c>
      <c r="Y9252" t="s">
        <v>26652</v>
      </c>
      <c r="Z9252" t="s">
        <v>26659</v>
      </c>
      <c r="AA9252" t="s">
        <v>26683</v>
      </c>
      <c r="AB9252" t="s">
        <v>30299</v>
      </c>
      <c r="AC9252" t="s">
        <v>19330</v>
      </c>
      <c r="AD9252" t="s">
        <v>40441</v>
      </c>
      <c r="AE9252">
        <v>40</v>
      </c>
      <c r="AG9252" t="s">
        <v>19330</v>
      </c>
      <c r="AH9252">
        <v>8</v>
      </c>
      <c r="AI9252">
        <v>3</v>
      </c>
      <c r="AJ9252">
        <v>1</v>
      </c>
      <c r="AK9252">
        <v>201.59</v>
      </c>
      <c r="AM9252" t="s">
        <v>45575</v>
      </c>
      <c r="AN9252" t="s">
        <v>7439</v>
      </c>
      <c r="AO9252">
        <v>50600</v>
      </c>
      <c r="AU9252">
        <v>2.45</v>
      </c>
      <c r="AV9252" t="s">
        <v>643</v>
      </c>
      <c r="AW9252" t="s">
        <v>46858</v>
      </c>
    </row>
    <row r="9253" spans="1:49">
      <c r="A9253" s="1">
        <f>HYPERLINK("https://lsnyc.legalserver.org/matter/dynamic-profile/view/1880573","18-1880573")</f>
        <v>0</v>
      </c>
      <c r="B9253" t="s">
        <v>122</v>
      </c>
      <c r="C9253" t="s">
        <v>341</v>
      </c>
      <c r="D9253" t="s">
        <v>623</v>
      </c>
      <c r="E9253" t="s">
        <v>635</v>
      </c>
      <c r="F9253" t="s">
        <v>1326</v>
      </c>
      <c r="G9253" t="s">
        <v>8980</v>
      </c>
      <c r="H9253" t="s">
        <v>11086</v>
      </c>
      <c r="I9253" t="s">
        <v>17867</v>
      </c>
      <c r="J9253" t="s">
        <v>7026</v>
      </c>
      <c r="K9253">
        <v>11368</v>
      </c>
      <c r="L9253" t="s">
        <v>18958</v>
      </c>
      <c r="M9253" t="s">
        <v>18958</v>
      </c>
      <c r="N9253" t="s">
        <v>25467</v>
      </c>
      <c r="O9253" t="s">
        <v>26523</v>
      </c>
      <c r="P9253" t="s">
        <v>26564</v>
      </c>
      <c r="Q9253" t="s">
        <v>26570</v>
      </c>
      <c r="R9253" t="s">
        <v>26584</v>
      </c>
      <c r="S9253" t="s">
        <v>18959</v>
      </c>
      <c r="U9253" t="s">
        <v>26604</v>
      </c>
      <c r="X9253">
        <v>1890.81</v>
      </c>
      <c r="Y9253" t="s">
        <v>26653</v>
      </c>
      <c r="Z9253" t="s">
        <v>26664</v>
      </c>
      <c r="AA9253" t="s">
        <v>26683</v>
      </c>
      <c r="AB9253" t="s">
        <v>27947</v>
      </c>
      <c r="AC9253" t="s">
        <v>36619</v>
      </c>
      <c r="AD9253" t="s">
        <v>44013</v>
      </c>
      <c r="AE9253">
        <v>360</v>
      </c>
      <c r="AF9253" t="s">
        <v>45541</v>
      </c>
      <c r="AG9253" t="s">
        <v>19330</v>
      </c>
      <c r="AH9253">
        <v>2</v>
      </c>
      <c r="AI9253">
        <v>2</v>
      </c>
      <c r="AJ9253">
        <v>3</v>
      </c>
      <c r="AK9253">
        <v>0</v>
      </c>
      <c r="AN9253" t="s">
        <v>7439</v>
      </c>
      <c r="AO9253">
        <v>0</v>
      </c>
      <c r="AU9253">
        <v>2</v>
      </c>
      <c r="AV9253" t="s">
        <v>635</v>
      </c>
      <c r="AW9253" t="s">
        <v>122</v>
      </c>
    </row>
    <row r="9254" spans="1:49">
      <c r="A9254" s="1">
        <f>HYPERLINK("https://lsnyc.legalserver.org/matter/dynamic-profile/view/1880535","18-1880535")</f>
        <v>0</v>
      </c>
      <c r="B9254" t="s">
        <v>193</v>
      </c>
      <c r="C9254" t="s">
        <v>341</v>
      </c>
      <c r="D9254" t="s">
        <v>623</v>
      </c>
      <c r="E9254" t="s">
        <v>688</v>
      </c>
      <c r="F9254" t="s">
        <v>1116</v>
      </c>
      <c r="G9254" t="s">
        <v>5333</v>
      </c>
      <c r="H9254" t="s">
        <v>15954</v>
      </c>
      <c r="I9254" t="s">
        <v>18464</v>
      </c>
      <c r="J9254" t="s">
        <v>18937</v>
      </c>
      <c r="K9254">
        <v>11217</v>
      </c>
      <c r="L9254" t="s">
        <v>18960</v>
      </c>
      <c r="M9254" t="s">
        <v>18960</v>
      </c>
      <c r="N9254" t="s">
        <v>25468</v>
      </c>
      <c r="O9254" t="s">
        <v>26523</v>
      </c>
      <c r="P9254" t="s">
        <v>26564</v>
      </c>
      <c r="Q9254" t="s">
        <v>26570</v>
      </c>
      <c r="R9254" t="s">
        <v>26583</v>
      </c>
      <c r="S9254" t="s">
        <v>18959</v>
      </c>
      <c r="U9254" t="s">
        <v>26605</v>
      </c>
      <c r="X9254">
        <v>1256</v>
      </c>
      <c r="Y9254" t="s">
        <v>26652</v>
      </c>
      <c r="Z9254" t="s">
        <v>26659</v>
      </c>
      <c r="AA9254" t="s">
        <v>26683</v>
      </c>
      <c r="AB9254" t="s">
        <v>33312</v>
      </c>
      <c r="AD9254" t="s">
        <v>44014</v>
      </c>
      <c r="AE9254">
        <v>173</v>
      </c>
      <c r="AF9254" t="s">
        <v>45549</v>
      </c>
      <c r="AG9254" t="s">
        <v>19330</v>
      </c>
      <c r="AH9254">
        <v>25</v>
      </c>
      <c r="AI9254">
        <v>2</v>
      </c>
      <c r="AJ9254">
        <v>1</v>
      </c>
      <c r="AK9254">
        <v>264.68</v>
      </c>
      <c r="AN9254" t="s">
        <v>7439</v>
      </c>
      <c r="AO9254">
        <v>55000</v>
      </c>
      <c r="AU9254">
        <v>9.65</v>
      </c>
      <c r="AV9254" t="s">
        <v>692</v>
      </c>
      <c r="AW9254" t="s">
        <v>281</v>
      </c>
    </row>
    <row r="9255" spans="1:49">
      <c r="A9255" s="1">
        <f>HYPERLINK("https://lsnyc.legalserver.org/matter/dynamic-profile/view/1880622","18-1880622")</f>
        <v>0</v>
      </c>
      <c r="B9255" t="s">
        <v>279</v>
      </c>
      <c r="C9255" t="s">
        <v>341</v>
      </c>
      <c r="D9255" t="s">
        <v>623</v>
      </c>
      <c r="E9255" t="s">
        <v>678</v>
      </c>
      <c r="F9255" t="s">
        <v>4504</v>
      </c>
      <c r="G9255" t="s">
        <v>8981</v>
      </c>
      <c r="H9255" t="s">
        <v>15955</v>
      </c>
      <c r="I9255">
        <v>2</v>
      </c>
      <c r="J9255" t="s">
        <v>18894</v>
      </c>
      <c r="K9255">
        <v>11207</v>
      </c>
      <c r="L9255" t="s">
        <v>18959</v>
      </c>
      <c r="M9255" t="s">
        <v>18959</v>
      </c>
      <c r="O9255" t="s">
        <v>18997</v>
      </c>
      <c r="P9255" t="s">
        <v>26564</v>
      </c>
      <c r="Q9255" t="s">
        <v>26571</v>
      </c>
      <c r="R9255" t="s">
        <v>26578</v>
      </c>
      <c r="S9255" t="s">
        <v>18959</v>
      </c>
      <c r="U9255" t="s">
        <v>26604</v>
      </c>
      <c r="V9255" t="s">
        <v>26610</v>
      </c>
      <c r="X9255">
        <v>1213</v>
      </c>
      <c r="Y9255" t="s">
        <v>26652</v>
      </c>
      <c r="AA9255" t="s">
        <v>26682</v>
      </c>
      <c r="AB9255" t="s">
        <v>33313</v>
      </c>
      <c r="AC9255" t="s">
        <v>34508</v>
      </c>
      <c r="AD9255" t="s">
        <v>44015</v>
      </c>
      <c r="AE9255">
        <v>3</v>
      </c>
      <c r="AF9255" t="s">
        <v>45547</v>
      </c>
      <c r="AG9255" t="s">
        <v>45560</v>
      </c>
      <c r="AH9255">
        <v>8</v>
      </c>
      <c r="AI9255">
        <v>1</v>
      </c>
      <c r="AJ9255">
        <v>0</v>
      </c>
      <c r="AK9255">
        <v>18.09</v>
      </c>
      <c r="AN9255" t="s">
        <v>7439</v>
      </c>
      <c r="AO9255">
        <v>2196</v>
      </c>
      <c r="AU9255">
        <v>3.7</v>
      </c>
      <c r="AV9255" t="s">
        <v>678</v>
      </c>
      <c r="AW9255" t="s">
        <v>46859</v>
      </c>
    </row>
    <row r="9256" spans="1:49">
      <c r="A9256" s="1">
        <f>HYPERLINK("https://lsnyc.legalserver.org/matter/dynamic-profile/view/1882847","18-1882847")</f>
        <v>0</v>
      </c>
      <c r="B9256" t="s">
        <v>169</v>
      </c>
      <c r="C9256" t="s">
        <v>340</v>
      </c>
      <c r="D9256" t="s">
        <v>623</v>
      </c>
      <c r="F9256" t="s">
        <v>1048</v>
      </c>
      <c r="G9256" t="s">
        <v>8982</v>
      </c>
      <c r="H9256" t="s">
        <v>10149</v>
      </c>
      <c r="I9256" t="s">
        <v>17772</v>
      </c>
      <c r="J9256" t="s">
        <v>18892</v>
      </c>
      <c r="K9256">
        <v>10458</v>
      </c>
      <c r="L9256" t="s">
        <v>18958</v>
      </c>
      <c r="M9256" t="s">
        <v>18958</v>
      </c>
      <c r="N9256" t="s">
        <v>23335</v>
      </c>
      <c r="O9256" t="s">
        <v>26526</v>
      </c>
      <c r="P9256" t="s">
        <v>26560</v>
      </c>
      <c r="R9256" t="s">
        <v>26578</v>
      </c>
      <c r="S9256" t="s">
        <v>18958</v>
      </c>
      <c r="U9256" t="s">
        <v>26604</v>
      </c>
      <c r="X9256">
        <v>1252.6</v>
      </c>
      <c r="Y9256" t="s">
        <v>26650</v>
      </c>
      <c r="Z9256" t="s">
        <v>26663</v>
      </c>
      <c r="AB9256" t="s">
        <v>33314</v>
      </c>
      <c r="AD9256" t="s">
        <v>44016</v>
      </c>
      <c r="AE9256">
        <v>129</v>
      </c>
      <c r="AF9256" t="s">
        <v>45548</v>
      </c>
      <c r="AG9256" t="s">
        <v>19330</v>
      </c>
      <c r="AH9256">
        <v>11</v>
      </c>
      <c r="AI9256">
        <v>1</v>
      </c>
      <c r="AJ9256">
        <v>2</v>
      </c>
      <c r="AK9256">
        <v>78.44</v>
      </c>
      <c r="AN9256" t="s">
        <v>7439</v>
      </c>
      <c r="AO9256">
        <v>16300</v>
      </c>
      <c r="AU9256">
        <v>102.75</v>
      </c>
      <c r="AV9256" t="s">
        <v>835</v>
      </c>
      <c r="AW9256" t="s">
        <v>336</v>
      </c>
    </row>
    <row r="9257" spans="1:49">
      <c r="A9257" s="1">
        <f>HYPERLINK("https://lsnyc.legalserver.org/matter/dynamic-profile/view/1882840","18-1882840")</f>
        <v>0</v>
      </c>
      <c r="B9257" t="s">
        <v>169</v>
      </c>
      <c r="C9257" t="s">
        <v>340</v>
      </c>
      <c r="D9257" t="s">
        <v>623</v>
      </c>
      <c r="F9257" t="s">
        <v>2633</v>
      </c>
      <c r="G9257" t="s">
        <v>4588</v>
      </c>
      <c r="H9257" t="s">
        <v>10149</v>
      </c>
      <c r="I9257" t="s">
        <v>18649</v>
      </c>
      <c r="J9257" t="s">
        <v>18892</v>
      </c>
      <c r="K9257">
        <v>10458</v>
      </c>
      <c r="L9257" t="s">
        <v>18958</v>
      </c>
      <c r="M9257" t="s">
        <v>18958</v>
      </c>
      <c r="N9257" t="s">
        <v>23335</v>
      </c>
      <c r="O9257" t="s">
        <v>26526</v>
      </c>
      <c r="P9257" t="s">
        <v>26563</v>
      </c>
      <c r="R9257" t="s">
        <v>26578</v>
      </c>
      <c r="S9257" t="s">
        <v>18958</v>
      </c>
      <c r="U9257" t="s">
        <v>26604</v>
      </c>
      <c r="X9257">
        <v>1248.14</v>
      </c>
      <c r="Y9257" t="s">
        <v>26650</v>
      </c>
      <c r="Z9257" t="s">
        <v>26663</v>
      </c>
      <c r="AB9257" t="s">
        <v>33315</v>
      </c>
      <c r="AE9257">
        <v>0</v>
      </c>
      <c r="AF9257" t="s">
        <v>45547</v>
      </c>
      <c r="AG9257" t="s">
        <v>19330</v>
      </c>
      <c r="AH9257">
        <v>6</v>
      </c>
      <c r="AI9257">
        <v>3</v>
      </c>
      <c r="AJ9257">
        <v>2</v>
      </c>
      <c r="AK9257">
        <v>109.06</v>
      </c>
      <c r="AN9257" t="s">
        <v>45581</v>
      </c>
      <c r="AO9257">
        <v>32084</v>
      </c>
      <c r="AU9257">
        <v>0.1</v>
      </c>
      <c r="AV9257" t="s">
        <v>816</v>
      </c>
      <c r="AW9257" t="s">
        <v>336</v>
      </c>
    </row>
    <row r="9258" spans="1:49">
      <c r="A9258" s="1">
        <f>HYPERLINK("https://lsnyc.legalserver.org/matter/dynamic-profile/view/1880652","18-1880652")</f>
        <v>0</v>
      </c>
      <c r="B9258" t="s">
        <v>127</v>
      </c>
      <c r="C9258" t="s">
        <v>340</v>
      </c>
      <c r="D9258" t="s">
        <v>623</v>
      </c>
      <c r="F9258" t="s">
        <v>1773</v>
      </c>
      <c r="G9258" t="s">
        <v>5639</v>
      </c>
      <c r="H9258" t="s">
        <v>15956</v>
      </c>
      <c r="I9258" t="s">
        <v>18650</v>
      </c>
      <c r="J9258" t="s">
        <v>18894</v>
      </c>
      <c r="K9258">
        <v>11233</v>
      </c>
      <c r="L9258" t="s">
        <v>18958</v>
      </c>
      <c r="M9258" t="s">
        <v>18958</v>
      </c>
      <c r="N9258" t="s">
        <v>25469</v>
      </c>
      <c r="O9258" t="s">
        <v>26524</v>
      </c>
      <c r="P9258" t="s">
        <v>26560</v>
      </c>
      <c r="R9258" t="s">
        <v>26578</v>
      </c>
      <c r="S9258" t="s">
        <v>18959</v>
      </c>
      <c r="U9258" t="s">
        <v>26604</v>
      </c>
      <c r="V9258" t="s">
        <v>26612</v>
      </c>
      <c r="X9258">
        <v>700</v>
      </c>
      <c r="Y9258" t="s">
        <v>26652</v>
      </c>
      <c r="Z9258" t="s">
        <v>26668</v>
      </c>
      <c r="AB9258" t="s">
        <v>33316</v>
      </c>
      <c r="AD9258" t="s">
        <v>44017</v>
      </c>
      <c r="AE9258">
        <v>27</v>
      </c>
      <c r="AH9258">
        <v>10</v>
      </c>
      <c r="AI9258">
        <v>1</v>
      </c>
      <c r="AJ9258">
        <v>0</v>
      </c>
      <c r="AK9258">
        <v>66.72</v>
      </c>
      <c r="AN9258" t="s">
        <v>7439</v>
      </c>
      <c r="AO9258">
        <v>8100</v>
      </c>
      <c r="AP9258" t="s">
        <v>45811</v>
      </c>
      <c r="AU9258">
        <v>31.7</v>
      </c>
      <c r="AV9258" t="s">
        <v>720</v>
      </c>
      <c r="AW9258" t="s">
        <v>46850</v>
      </c>
    </row>
    <row r="9259" spans="1:49">
      <c r="A9259" s="1">
        <f>HYPERLINK("https://lsnyc.legalserver.org/matter/dynamic-profile/view/1880587","18-1880587")</f>
        <v>0</v>
      </c>
      <c r="B9259" t="s">
        <v>110</v>
      </c>
      <c r="C9259" t="s">
        <v>340</v>
      </c>
      <c r="D9259" t="s">
        <v>623</v>
      </c>
      <c r="F9259" t="s">
        <v>1282</v>
      </c>
      <c r="G9259" t="s">
        <v>8983</v>
      </c>
      <c r="H9259" t="s">
        <v>15957</v>
      </c>
      <c r="J9259" t="s">
        <v>18926</v>
      </c>
      <c r="K9259">
        <v>11378</v>
      </c>
      <c r="L9259" t="s">
        <v>18960</v>
      </c>
      <c r="M9259" t="s">
        <v>18960</v>
      </c>
      <c r="R9259" t="s">
        <v>26591</v>
      </c>
      <c r="U9259" t="s">
        <v>26604</v>
      </c>
      <c r="X9259">
        <v>2500</v>
      </c>
      <c r="Y9259" t="s">
        <v>26653</v>
      </c>
      <c r="AB9259" t="s">
        <v>33317</v>
      </c>
      <c r="AD9259" t="s">
        <v>44018</v>
      </c>
      <c r="AE9259">
        <v>1</v>
      </c>
      <c r="AH9259">
        <v>1</v>
      </c>
      <c r="AI9259">
        <v>1</v>
      </c>
      <c r="AJ9259">
        <v>2</v>
      </c>
      <c r="AK9259">
        <v>11.55</v>
      </c>
      <c r="AN9259" t="s">
        <v>7439</v>
      </c>
      <c r="AO9259">
        <v>2400</v>
      </c>
      <c r="AU9259">
        <v>0.7</v>
      </c>
      <c r="AV9259" t="s">
        <v>623</v>
      </c>
      <c r="AW9259" t="s">
        <v>46857</v>
      </c>
    </row>
    <row r="9260" spans="1:49">
      <c r="A9260" s="1">
        <f>HYPERLINK("https://lsnyc.legalserver.org/matter/dynamic-profile/view/1880572","18-1880572")</f>
        <v>0</v>
      </c>
      <c r="B9260" t="s">
        <v>103</v>
      </c>
      <c r="C9260" t="s">
        <v>340</v>
      </c>
      <c r="D9260" t="s">
        <v>623</v>
      </c>
      <c r="F9260" t="s">
        <v>1594</v>
      </c>
      <c r="G9260" t="s">
        <v>6394</v>
      </c>
      <c r="H9260" t="s">
        <v>15958</v>
      </c>
      <c r="I9260">
        <v>2</v>
      </c>
      <c r="J9260" t="s">
        <v>18902</v>
      </c>
      <c r="K9260">
        <v>10303</v>
      </c>
      <c r="L9260" t="s">
        <v>18959</v>
      </c>
      <c r="M9260" t="s">
        <v>18959</v>
      </c>
      <c r="N9260" t="s">
        <v>25470</v>
      </c>
      <c r="O9260" t="s">
        <v>26524</v>
      </c>
      <c r="P9260" t="s">
        <v>26564</v>
      </c>
      <c r="R9260" t="s">
        <v>26587</v>
      </c>
      <c r="S9260" t="s">
        <v>18959</v>
      </c>
      <c r="U9260" t="s">
        <v>26604</v>
      </c>
      <c r="V9260" t="s">
        <v>26610</v>
      </c>
      <c r="X9260">
        <v>1350</v>
      </c>
      <c r="Y9260" t="s">
        <v>26654</v>
      </c>
      <c r="Z9260" t="s">
        <v>26659</v>
      </c>
      <c r="AB9260" t="s">
        <v>26923</v>
      </c>
      <c r="AD9260" t="s">
        <v>44019</v>
      </c>
      <c r="AE9260">
        <v>2</v>
      </c>
      <c r="AF9260" t="s">
        <v>45547</v>
      </c>
      <c r="AG9260" t="s">
        <v>45561</v>
      </c>
      <c r="AH9260">
        <v>4</v>
      </c>
      <c r="AI9260">
        <v>2</v>
      </c>
      <c r="AJ9260">
        <v>1</v>
      </c>
      <c r="AK9260">
        <v>0</v>
      </c>
      <c r="AN9260" t="s">
        <v>7439</v>
      </c>
      <c r="AO9260">
        <v>0</v>
      </c>
      <c r="AU9260">
        <v>1.2</v>
      </c>
      <c r="AV9260" t="s">
        <v>706</v>
      </c>
      <c r="AW9260" t="s">
        <v>103</v>
      </c>
    </row>
    <row r="9261" spans="1:49">
      <c r="A9261" s="1">
        <f>HYPERLINK("https://lsnyc.legalserver.org/matter/dynamic-profile/view/1880651","18-1880651")</f>
        <v>0</v>
      </c>
      <c r="B9261" t="s">
        <v>123</v>
      </c>
      <c r="C9261" t="s">
        <v>340</v>
      </c>
      <c r="D9261" t="s">
        <v>623</v>
      </c>
      <c r="F9261" t="s">
        <v>973</v>
      </c>
      <c r="G9261" t="s">
        <v>5105</v>
      </c>
      <c r="H9261" t="s">
        <v>15959</v>
      </c>
      <c r="I9261" t="s">
        <v>17406</v>
      </c>
      <c r="J9261" t="s">
        <v>18894</v>
      </c>
      <c r="K9261">
        <v>11225</v>
      </c>
      <c r="L9261" t="s">
        <v>18958</v>
      </c>
      <c r="M9261" t="s">
        <v>18958</v>
      </c>
      <c r="N9261" t="s">
        <v>25471</v>
      </c>
      <c r="O9261" t="s">
        <v>26523</v>
      </c>
      <c r="P9261" t="s">
        <v>26560</v>
      </c>
      <c r="R9261" t="s">
        <v>26583</v>
      </c>
      <c r="S9261" t="s">
        <v>18959</v>
      </c>
      <c r="U9261" t="s">
        <v>26604</v>
      </c>
      <c r="V9261" t="s">
        <v>26610</v>
      </c>
      <c r="X9261">
        <v>1470.64</v>
      </c>
      <c r="Y9261" t="s">
        <v>26652</v>
      </c>
      <c r="Z9261" t="s">
        <v>26659</v>
      </c>
      <c r="AB9261" t="s">
        <v>29765</v>
      </c>
      <c r="AD9261" t="s">
        <v>44020</v>
      </c>
      <c r="AE9261">
        <v>0</v>
      </c>
      <c r="AF9261" t="s">
        <v>45541</v>
      </c>
      <c r="AG9261" t="s">
        <v>45556</v>
      </c>
      <c r="AH9261">
        <v>22</v>
      </c>
      <c r="AI9261">
        <v>2</v>
      </c>
      <c r="AJ9261">
        <v>0</v>
      </c>
      <c r="AK9261">
        <v>225.27</v>
      </c>
      <c r="AN9261" t="s">
        <v>7439</v>
      </c>
      <c r="AO9261">
        <v>37080</v>
      </c>
      <c r="AU9261">
        <v>21.55</v>
      </c>
      <c r="AV9261" t="s">
        <v>797</v>
      </c>
      <c r="AW9261" t="s">
        <v>46862</v>
      </c>
    </row>
    <row r="9262" spans="1:49">
      <c r="A9262" s="1">
        <f>HYPERLINK("https://lsnyc.legalserver.org/matter/dynamic-profile/view/1880711","18-1880711")</f>
        <v>0</v>
      </c>
      <c r="B9262" t="s">
        <v>163</v>
      </c>
      <c r="C9262" t="s">
        <v>341</v>
      </c>
      <c r="D9262" t="s">
        <v>630</v>
      </c>
      <c r="E9262" t="s">
        <v>427</v>
      </c>
      <c r="F9262" t="s">
        <v>1288</v>
      </c>
      <c r="G9262" t="s">
        <v>5776</v>
      </c>
      <c r="H9262" t="s">
        <v>15960</v>
      </c>
      <c r="J9262" t="s">
        <v>18901</v>
      </c>
      <c r="K9262">
        <v>11435</v>
      </c>
      <c r="L9262" t="s">
        <v>18958</v>
      </c>
      <c r="M9262" t="s">
        <v>18958</v>
      </c>
      <c r="N9262" t="s">
        <v>25472</v>
      </c>
      <c r="O9262" t="s">
        <v>26524</v>
      </c>
      <c r="P9262" t="s">
        <v>26563</v>
      </c>
      <c r="Q9262" t="s">
        <v>26570</v>
      </c>
      <c r="R9262" t="s">
        <v>26584</v>
      </c>
      <c r="S9262" t="s">
        <v>18959</v>
      </c>
      <c r="U9262" t="s">
        <v>26604</v>
      </c>
      <c r="X9262">
        <v>1200</v>
      </c>
      <c r="Y9262" t="s">
        <v>26653</v>
      </c>
      <c r="Z9262" t="s">
        <v>26664</v>
      </c>
      <c r="AA9262" t="s">
        <v>26683</v>
      </c>
      <c r="AB9262" t="s">
        <v>29485</v>
      </c>
      <c r="AC9262" t="s">
        <v>36620</v>
      </c>
      <c r="AD9262" t="s">
        <v>44021</v>
      </c>
      <c r="AE9262">
        <v>0</v>
      </c>
      <c r="AF9262" t="s">
        <v>20460</v>
      </c>
      <c r="AG9262" t="s">
        <v>45561</v>
      </c>
      <c r="AH9262">
        <v>8</v>
      </c>
      <c r="AI9262">
        <v>1</v>
      </c>
      <c r="AJ9262">
        <v>0</v>
      </c>
      <c r="AK9262">
        <v>74.14</v>
      </c>
      <c r="AN9262" t="s">
        <v>7439</v>
      </c>
      <c r="AO9262">
        <v>9000</v>
      </c>
      <c r="AU9262">
        <v>2.6</v>
      </c>
      <c r="AV9262" t="s">
        <v>427</v>
      </c>
      <c r="AW9262" t="s">
        <v>208</v>
      </c>
    </row>
    <row r="9263" spans="1:49">
      <c r="A9263" s="1">
        <f>HYPERLINK("https://lsnyc.legalserver.org/matter/dynamic-profile/view/1880825","18-1880825")</f>
        <v>0</v>
      </c>
      <c r="B9263" t="s">
        <v>165</v>
      </c>
      <c r="C9263" t="s">
        <v>341</v>
      </c>
      <c r="D9263" t="s">
        <v>630</v>
      </c>
      <c r="E9263" t="s">
        <v>820</v>
      </c>
      <c r="F9263" t="s">
        <v>4505</v>
      </c>
      <c r="G9263" t="s">
        <v>6482</v>
      </c>
      <c r="H9263" t="s">
        <v>15961</v>
      </c>
      <c r="I9263" t="s">
        <v>18651</v>
      </c>
      <c r="J9263" t="s">
        <v>18893</v>
      </c>
      <c r="K9263">
        <v>10036</v>
      </c>
      <c r="L9263" t="s">
        <v>18958</v>
      </c>
      <c r="M9263" t="s">
        <v>18958</v>
      </c>
      <c r="N9263" t="s">
        <v>25473</v>
      </c>
      <c r="O9263" t="s">
        <v>26523</v>
      </c>
      <c r="P9263" t="s">
        <v>26560</v>
      </c>
      <c r="Q9263" t="s">
        <v>26568</v>
      </c>
      <c r="R9263" t="s">
        <v>26582</v>
      </c>
      <c r="S9263" t="s">
        <v>18959</v>
      </c>
      <c r="U9263" t="s">
        <v>26604</v>
      </c>
      <c r="V9263" t="s">
        <v>26610</v>
      </c>
      <c r="X9263">
        <v>5385</v>
      </c>
      <c r="Y9263" t="s">
        <v>26651</v>
      </c>
      <c r="Z9263" t="s">
        <v>26664</v>
      </c>
      <c r="AA9263" t="s">
        <v>26677</v>
      </c>
      <c r="AB9263" t="s">
        <v>26923</v>
      </c>
      <c r="AD9263" t="s">
        <v>44022</v>
      </c>
      <c r="AE9263">
        <v>1706</v>
      </c>
      <c r="AF9263" t="s">
        <v>45550</v>
      </c>
      <c r="AG9263" t="s">
        <v>26530</v>
      </c>
      <c r="AH9263">
        <v>30</v>
      </c>
      <c r="AI9263">
        <v>1</v>
      </c>
      <c r="AJ9263">
        <v>1</v>
      </c>
      <c r="AK9263">
        <v>17.5</v>
      </c>
      <c r="AN9263" t="s">
        <v>7439</v>
      </c>
      <c r="AO9263">
        <v>2880</v>
      </c>
      <c r="AS9263" t="s">
        <v>46499</v>
      </c>
      <c r="AT9263" t="s">
        <v>46506</v>
      </c>
      <c r="AU9263">
        <v>10.6</v>
      </c>
      <c r="AV9263" t="s">
        <v>735</v>
      </c>
      <c r="AW9263" t="s">
        <v>314</v>
      </c>
    </row>
    <row r="9264" spans="1:49">
      <c r="A9264" s="1">
        <f>HYPERLINK("https://lsnyc.legalserver.org/matter/dynamic-profile/view/1880812","18-1880812")</f>
        <v>0</v>
      </c>
      <c r="B9264" t="s">
        <v>165</v>
      </c>
      <c r="C9264" t="s">
        <v>341</v>
      </c>
      <c r="D9264" t="s">
        <v>630</v>
      </c>
      <c r="E9264" t="s">
        <v>729</v>
      </c>
      <c r="F9264" t="s">
        <v>954</v>
      </c>
      <c r="G9264" t="s">
        <v>5008</v>
      </c>
      <c r="H9264" t="s">
        <v>15962</v>
      </c>
      <c r="I9264" t="s">
        <v>17544</v>
      </c>
      <c r="J9264" t="s">
        <v>18893</v>
      </c>
      <c r="K9264">
        <v>10024</v>
      </c>
      <c r="L9264" t="s">
        <v>18958</v>
      </c>
      <c r="M9264" t="s">
        <v>18959</v>
      </c>
      <c r="P9264" t="s">
        <v>26564</v>
      </c>
      <c r="Q9264" t="s">
        <v>26570</v>
      </c>
      <c r="R9264" t="s">
        <v>26582</v>
      </c>
      <c r="U9264" t="s">
        <v>26604</v>
      </c>
      <c r="X9264">
        <v>1590</v>
      </c>
      <c r="Y9264" t="s">
        <v>26651</v>
      </c>
      <c r="Z9264" t="s">
        <v>26664</v>
      </c>
      <c r="AA9264" t="s">
        <v>26683</v>
      </c>
      <c r="AB9264" t="s">
        <v>27080</v>
      </c>
      <c r="AD9264" t="s">
        <v>44023</v>
      </c>
      <c r="AE9264">
        <v>1610</v>
      </c>
      <c r="AF9264" t="s">
        <v>45549</v>
      </c>
      <c r="AH9264">
        <v>8</v>
      </c>
      <c r="AI9264">
        <v>1</v>
      </c>
      <c r="AJ9264">
        <v>1</v>
      </c>
      <c r="AK9264">
        <v>85.05</v>
      </c>
      <c r="AM9264" t="s">
        <v>45575</v>
      </c>
      <c r="AO9264">
        <v>14000</v>
      </c>
      <c r="AU9264">
        <v>3.6</v>
      </c>
      <c r="AV9264" t="s">
        <v>765</v>
      </c>
      <c r="AW9264" t="s">
        <v>317</v>
      </c>
    </row>
    <row r="9265" spans="1:49">
      <c r="A9265" s="1">
        <f>HYPERLINK("https://lsnyc.legalserver.org/matter/dynamic-profile/view/1880738","18-1880738")</f>
        <v>0</v>
      </c>
      <c r="B9265" t="s">
        <v>147</v>
      </c>
      <c r="C9265" t="s">
        <v>341</v>
      </c>
      <c r="D9265" t="s">
        <v>630</v>
      </c>
      <c r="E9265" t="s">
        <v>415</v>
      </c>
      <c r="F9265" t="s">
        <v>3008</v>
      </c>
      <c r="G9265" t="s">
        <v>8984</v>
      </c>
      <c r="H9265" t="s">
        <v>11510</v>
      </c>
      <c r="I9265" t="s">
        <v>17277</v>
      </c>
      <c r="J9265" t="s">
        <v>18894</v>
      </c>
      <c r="K9265">
        <v>11226</v>
      </c>
      <c r="L9265" t="s">
        <v>18958</v>
      </c>
      <c r="M9265" t="s">
        <v>18958</v>
      </c>
      <c r="O9265" t="s">
        <v>26526</v>
      </c>
      <c r="P9265" t="s">
        <v>26565</v>
      </c>
      <c r="Q9265" t="s">
        <v>26571</v>
      </c>
      <c r="R9265" t="s">
        <v>26578</v>
      </c>
      <c r="S9265" t="s">
        <v>18958</v>
      </c>
      <c r="U9265" t="s">
        <v>26604</v>
      </c>
      <c r="X9265">
        <v>945</v>
      </c>
      <c r="Y9265" t="s">
        <v>26652</v>
      </c>
      <c r="Z9265" t="s">
        <v>26663</v>
      </c>
      <c r="AA9265" t="s">
        <v>26681</v>
      </c>
      <c r="AB9265" t="s">
        <v>33318</v>
      </c>
      <c r="AE9265">
        <v>48</v>
      </c>
      <c r="AF9265" t="s">
        <v>45541</v>
      </c>
      <c r="AG9265" t="s">
        <v>19330</v>
      </c>
      <c r="AH9265">
        <v>30</v>
      </c>
      <c r="AI9265">
        <v>2</v>
      </c>
      <c r="AJ9265">
        <v>0</v>
      </c>
      <c r="AK9265">
        <v>273.39</v>
      </c>
      <c r="AN9265" t="s">
        <v>7439</v>
      </c>
      <c r="AO9265">
        <v>45000</v>
      </c>
      <c r="AP9265" t="s">
        <v>46150</v>
      </c>
      <c r="AU9265">
        <v>0.5</v>
      </c>
      <c r="AV9265" t="s">
        <v>639</v>
      </c>
      <c r="AW9265" t="s">
        <v>147</v>
      </c>
    </row>
    <row r="9266" spans="1:49">
      <c r="A9266" s="1">
        <f>HYPERLINK("https://lsnyc.legalserver.org/matter/dynamic-profile/view/1880991","18-1880991")</f>
        <v>0</v>
      </c>
      <c r="B9266" t="s">
        <v>66</v>
      </c>
      <c r="C9266" t="s">
        <v>341</v>
      </c>
      <c r="D9266" t="s">
        <v>630</v>
      </c>
      <c r="E9266" t="s">
        <v>494</v>
      </c>
      <c r="F9266" t="s">
        <v>4506</v>
      </c>
      <c r="G9266" t="s">
        <v>5866</v>
      </c>
      <c r="H9266" t="s">
        <v>15963</v>
      </c>
      <c r="I9266" t="s">
        <v>17370</v>
      </c>
      <c r="J9266" t="s">
        <v>18893</v>
      </c>
      <c r="K9266">
        <v>10013</v>
      </c>
      <c r="L9266" t="s">
        <v>18959</v>
      </c>
      <c r="M9266" t="s">
        <v>18959</v>
      </c>
      <c r="O9266" t="s">
        <v>18997</v>
      </c>
      <c r="P9266" t="s">
        <v>26564</v>
      </c>
      <c r="Q9266" t="s">
        <v>26570</v>
      </c>
      <c r="R9266" t="s">
        <v>26578</v>
      </c>
      <c r="S9266" t="s">
        <v>18959</v>
      </c>
      <c r="U9266" t="s">
        <v>26604</v>
      </c>
      <c r="V9266" t="s">
        <v>26610</v>
      </c>
      <c r="X9266">
        <v>286</v>
      </c>
      <c r="Y9266" t="s">
        <v>26651</v>
      </c>
      <c r="AA9266" t="s">
        <v>26683</v>
      </c>
      <c r="AB9266" t="s">
        <v>32374</v>
      </c>
      <c r="AC9266" t="s">
        <v>36621</v>
      </c>
      <c r="AD9266" t="s">
        <v>44024</v>
      </c>
      <c r="AE9266">
        <v>104</v>
      </c>
      <c r="AF9266" t="s">
        <v>45552</v>
      </c>
      <c r="AH9266">
        <v>2</v>
      </c>
      <c r="AI9266">
        <v>1</v>
      </c>
      <c r="AJ9266">
        <v>0</v>
      </c>
      <c r="AK9266">
        <v>49.03</v>
      </c>
      <c r="AN9266" t="s">
        <v>45599</v>
      </c>
      <c r="AO9266">
        <v>5952</v>
      </c>
      <c r="AU9266">
        <v>0.75</v>
      </c>
      <c r="AV9266" t="s">
        <v>704</v>
      </c>
      <c r="AW9266" t="s">
        <v>46838</v>
      </c>
    </row>
    <row r="9267" spans="1:49">
      <c r="A9267" s="1">
        <f>HYPERLINK("https://lsnyc.legalserver.org/matter/dynamic-profile/view/1880997","18-1880997")</f>
        <v>0</v>
      </c>
      <c r="B9267" t="s">
        <v>66</v>
      </c>
      <c r="C9267" t="s">
        <v>341</v>
      </c>
      <c r="D9267" t="s">
        <v>630</v>
      </c>
      <c r="E9267" t="s">
        <v>494</v>
      </c>
      <c r="F9267" t="s">
        <v>4507</v>
      </c>
      <c r="G9267" t="s">
        <v>5125</v>
      </c>
      <c r="H9267" t="s">
        <v>15964</v>
      </c>
      <c r="J9267" t="s">
        <v>18893</v>
      </c>
      <c r="K9267">
        <v>10009</v>
      </c>
      <c r="L9267" t="s">
        <v>18960</v>
      </c>
      <c r="M9267" t="s">
        <v>18960</v>
      </c>
      <c r="N9267" t="s">
        <v>25474</v>
      </c>
      <c r="O9267" t="s">
        <v>26523</v>
      </c>
      <c r="P9267" t="s">
        <v>26564</v>
      </c>
      <c r="Q9267" t="s">
        <v>26570</v>
      </c>
      <c r="R9267" t="s">
        <v>26582</v>
      </c>
      <c r="U9267" t="s">
        <v>26604</v>
      </c>
      <c r="X9267">
        <v>868</v>
      </c>
      <c r="Y9267" t="s">
        <v>26651</v>
      </c>
      <c r="AA9267" t="s">
        <v>26683</v>
      </c>
      <c r="AB9267" t="s">
        <v>33319</v>
      </c>
      <c r="AD9267" t="s">
        <v>44025</v>
      </c>
      <c r="AE9267">
        <v>32</v>
      </c>
      <c r="AH9267">
        <v>20</v>
      </c>
      <c r="AI9267">
        <v>1</v>
      </c>
      <c r="AJ9267">
        <v>2</v>
      </c>
      <c r="AK9267">
        <v>82.58</v>
      </c>
      <c r="AN9267" t="s">
        <v>7439</v>
      </c>
      <c r="AO9267">
        <v>17160</v>
      </c>
      <c r="AU9267">
        <v>1.75</v>
      </c>
      <c r="AV9267" t="s">
        <v>704</v>
      </c>
      <c r="AW9267" t="s">
        <v>46838</v>
      </c>
    </row>
    <row r="9268" spans="1:49">
      <c r="A9268" s="1">
        <f>HYPERLINK("https://lsnyc.legalserver.org/matter/dynamic-profile/view/1880816","18-1880816")</f>
        <v>0</v>
      </c>
      <c r="B9268" t="s">
        <v>302</v>
      </c>
      <c r="C9268" t="s">
        <v>341</v>
      </c>
      <c r="D9268" t="s">
        <v>630</v>
      </c>
      <c r="E9268" t="s">
        <v>666</v>
      </c>
      <c r="F9268" t="s">
        <v>1036</v>
      </c>
      <c r="G9268" t="s">
        <v>8985</v>
      </c>
      <c r="H9268" t="s">
        <v>15678</v>
      </c>
      <c r="I9268" t="s">
        <v>18533</v>
      </c>
      <c r="J9268" t="s">
        <v>18892</v>
      </c>
      <c r="K9268">
        <v>10453</v>
      </c>
      <c r="L9268" t="s">
        <v>18960</v>
      </c>
      <c r="M9268" t="s">
        <v>18960</v>
      </c>
      <c r="N9268" t="s">
        <v>25475</v>
      </c>
      <c r="O9268" t="s">
        <v>26523</v>
      </c>
      <c r="Q9268" t="s">
        <v>26570</v>
      </c>
      <c r="R9268" t="s">
        <v>26591</v>
      </c>
      <c r="S9268" t="s">
        <v>18959</v>
      </c>
      <c r="U9268" t="s">
        <v>26604</v>
      </c>
      <c r="X9268">
        <v>800</v>
      </c>
      <c r="Y9268" t="s">
        <v>26650</v>
      </c>
      <c r="AA9268" t="s">
        <v>26683</v>
      </c>
      <c r="AB9268" t="s">
        <v>33320</v>
      </c>
      <c r="AD9268" t="s">
        <v>44026</v>
      </c>
      <c r="AE9268">
        <v>5</v>
      </c>
      <c r="AF9268" t="s">
        <v>20460</v>
      </c>
      <c r="AG9268" t="s">
        <v>19330</v>
      </c>
      <c r="AH9268">
        <v>10</v>
      </c>
      <c r="AI9268">
        <v>2</v>
      </c>
      <c r="AJ9268">
        <v>0</v>
      </c>
      <c r="AK9268">
        <v>54.9</v>
      </c>
      <c r="AN9268" t="s">
        <v>7439</v>
      </c>
      <c r="AO9268">
        <v>9036</v>
      </c>
      <c r="AU9268">
        <v>0.85</v>
      </c>
      <c r="AV9268" t="s">
        <v>637</v>
      </c>
      <c r="AW9268" t="s">
        <v>46829</v>
      </c>
    </row>
    <row r="9269" spans="1:49">
      <c r="A9269" s="1">
        <f>HYPERLINK("https://lsnyc.legalserver.org/matter/dynamic-profile/view/1880532","18-1880532")</f>
        <v>0</v>
      </c>
      <c r="B9269" t="s">
        <v>249</v>
      </c>
      <c r="C9269" t="s">
        <v>341</v>
      </c>
      <c r="D9269" t="s">
        <v>630</v>
      </c>
      <c r="E9269" t="s">
        <v>427</v>
      </c>
      <c r="F9269" t="s">
        <v>4508</v>
      </c>
      <c r="G9269" t="s">
        <v>5311</v>
      </c>
      <c r="H9269" t="s">
        <v>15965</v>
      </c>
      <c r="I9269" t="s">
        <v>17275</v>
      </c>
      <c r="J9269" t="s">
        <v>18894</v>
      </c>
      <c r="K9269">
        <v>11208</v>
      </c>
      <c r="L9269" t="s">
        <v>18959</v>
      </c>
      <c r="M9269" t="s">
        <v>18959</v>
      </c>
      <c r="N9269" t="s">
        <v>18997</v>
      </c>
      <c r="O9269" t="s">
        <v>26559</v>
      </c>
      <c r="Q9269" t="s">
        <v>26570</v>
      </c>
      <c r="R9269" t="s">
        <v>26578</v>
      </c>
      <c r="S9269" t="s">
        <v>18959</v>
      </c>
      <c r="U9269" t="s">
        <v>26604</v>
      </c>
      <c r="V9269" t="s">
        <v>26610</v>
      </c>
      <c r="X9269">
        <v>1350</v>
      </c>
      <c r="Y9269" t="s">
        <v>26652</v>
      </c>
      <c r="Z9269" t="s">
        <v>26659</v>
      </c>
      <c r="AA9269" t="s">
        <v>26683</v>
      </c>
      <c r="AB9269" t="s">
        <v>33321</v>
      </c>
      <c r="AC9269" t="s">
        <v>36622</v>
      </c>
      <c r="AD9269" t="s">
        <v>44027</v>
      </c>
      <c r="AE9269">
        <v>32</v>
      </c>
      <c r="AF9269" t="s">
        <v>45541</v>
      </c>
      <c r="AG9269" t="s">
        <v>19330</v>
      </c>
      <c r="AH9269">
        <v>0</v>
      </c>
      <c r="AI9269">
        <v>1</v>
      </c>
      <c r="AJ9269">
        <v>2</v>
      </c>
      <c r="AK9269">
        <v>0</v>
      </c>
      <c r="AN9269" t="s">
        <v>7439</v>
      </c>
      <c r="AO9269">
        <v>0</v>
      </c>
      <c r="AU9269">
        <v>2</v>
      </c>
      <c r="AV9269" t="s">
        <v>427</v>
      </c>
      <c r="AW9269" t="s">
        <v>46856</v>
      </c>
    </row>
    <row r="9270" spans="1:49">
      <c r="A9270" s="1">
        <f>HYPERLINK("https://lsnyc.legalserver.org/matter/dynamic-profile/view/1880820","18-1880820")</f>
        <v>0</v>
      </c>
      <c r="B9270" t="s">
        <v>312</v>
      </c>
      <c r="C9270" t="s">
        <v>341</v>
      </c>
      <c r="D9270" t="s">
        <v>630</v>
      </c>
      <c r="E9270" t="s">
        <v>624</v>
      </c>
      <c r="F9270" t="s">
        <v>4509</v>
      </c>
      <c r="G9270" t="s">
        <v>5639</v>
      </c>
      <c r="H9270" t="s">
        <v>15966</v>
      </c>
      <c r="I9270" t="s">
        <v>17406</v>
      </c>
      <c r="J9270" t="s">
        <v>18893</v>
      </c>
      <c r="K9270">
        <v>10040</v>
      </c>
      <c r="L9270" t="s">
        <v>18958</v>
      </c>
      <c r="M9270" t="s">
        <v>18958</v>
      </c>
      <c r="N9270" t="s">
        <v>25476</v>
      </c>
      <c r="O9270" t="s">
        <v>26523</v>
      </c>
      <c r="P9270" t="s">
        <v>26564</v>
      </c>
      <c r="Q9270" t="s">
        <v>26570</v>
      </c>
      <c r="R9270" t="s">
        <v>26582</v>
      </c>
      <c r="U9270" t="s">
        <v>26604</v>
      </c>
      <c r="X9270">
        <v>339</v>
      </c>
      <c r="Y9270" t="s">
        <v>26651</v>
      </c>
      <c r="Z9270" t="s">
        <v>26674</v>
      </c>
      <c r="AA9270" t="s">
        <v>26683</v>
      </c>
      <c r="AB9270" t="s">
        <v>33322</v>
      </c>
      <c r="AD9270" t="s">
        <v>44028</v>
      </c>
      <c r="AE9270">
        <v>0</v>
      </c>
      <c r="AF9270" t="s">
        <v>20460</v>
      </c>
      <c r="AG9270" t="s">
        <v>45556</v>
      </c>
      <c r="AH9270">
        <v>25</v>
      </c>
      <c r="AI9270">
        <v>2</v>
      </c>
      <c r="AJ9270">
        <v>0</v>
      </c>
      <c r="AK9270">
        <v>9.48</v>
      </c>
      <c r="AN9270" t="s">
        <v>7439</v>
      </c>
      <c r="AO9270">
        <v>1560</v>
      </c>
      <c r="AU9270">
        <v>0.7</v>
      </c>
      <c r="AV9270" t="s">
        <v>624</v>
      </c>
      <c r="AW9270" t="s">
        <v>314</v>
      </c>
    </row>
    <row r="9271" spans="1:49">
      <c r="A9271" s="1">
        <f>HYPERLINK("https://lsnyc.legalserver.org/matter/dynamic-profile/view/1880787","18-1880787")</f>
        <v>0</v>
      </c>
      <c r="B9271" t="s">
        <v>312</v>
      </c>
      <c r="C9271" t="s">
        <v>341</v>
      </c>
      <c r="D9271" t="s">
        <v>630</v>
      </c>
      <c r="E9271" t="s">
        <v>652</v>
      </c>
      <c r="F9271" t="s">
        <v>1197</v>
      </c>
      <c r="G9271" t="s">
        <v>5651</v>
      </c>
      <c r="H9271" t="s">
        <v>15967</v>
      </c>
      <c r="I9271" t="s">
        <v>17272</v>
      </c>
      <c r="J9271" t="s">
        <v>18893</v>
      </c>
      <c r="K9271">
        <v>10040</v>
      </c>
      <c r="L9271" t="s">
        <v>18958</v>
      </c>
      <c r="M9271" t="s">
        <v>18960</v>
      </c>
      <c r="O9271" t="s">
        <v>26523</v>
      </c>
      <c r="P9271" t="s">
        <v>26564</v>
      </c>
      <c r="Q9271" t="s">
        <v>26570</v>
      </c>
      <c r="R9271" t="s">
        <v>26582</v>
      </c>
      <c r="S9271" t="s">
        <v>18959</v>
      </c>
      <c r="U9271" t="s">
        <v>26604</v>
      </c>
      <c r="X9271">
        <v>1005</v>
      </c>
      <c r="Y9271" t="s">
        <v>26651</v>
      </c>
      <c r="Z9271" t="s">
        <v>26664</v>
      </c>
      <c r="AA9271" t="s">
        <v>26683</v>
      </c>
      <c r="AB9271" t="s">
        <v>33323</v>
      </c>
      <c r="AD9271" t="s">
        <v>44029</v>
      </c>
      <c r="AE9271">
        <v>0</v>
      </c>
      <c r="AH9271">
        <v>19</v>
      </c>
      <c r="AI9271">
        <v>1</v>
      </c>
      <c r="AJ9271">
        <v>1</v>
      </c>
      <c r="AK9271">
        <v>33.8</v>
      </c>
      <c r="AM9271" t="s">
        <v>45575</v>
      </c>
      <c r="AO9271">
        <v>5564</v>
      </c>
      <c r="AU9271">
        <v>0.8</v>
      </c>
      <c r="AV9271" t="s">
        <v>643</v>
      </c>
      <c r="AW9271" t="s">
        <v>317</v>
      </c>
    </row>
    <row r="9272" spans="1:49">
      <c r="A9272" s="1">
        <f>HYPERLINK("https://lsnyc.legalserver.org/matter/dynamic-profile/view/1880704","18-1880704")</f>
        <v>0</v>
      </c>
      <c r="B9272" t="s">
        <v>115</v>
      </c>
      <c r="C9272" t="s">
        <v>341</v>
      </c>
      <c r="D9272" t="s">
        <v>630</v>
      </c>
      <c r="E9272" t="s">
        <v>758</v>
      </c>
      <c r="F9272" t="s">
        <v>4216</v>
      </c>
      <c r="G9272" t="s">
        <v>6910</v>
      </c>
      <c r="H9272" t="s">
        <v>11554</v>
      </c>
      <c r="I9272" t="s">
        <v>17307</v>
      </c>
      <c r="J9272" t="s">
        <v>18892</v>
      </c>
      <c r="K9272">
        <v>10459</v>
      </c>
      <c r="L9272" t="s">
        <v>18960</v>
      </c>
      <c r="M9272" t="s">
        <v>18960</v>
      </c>
      <c r="O9272" t="s">
        <v>26529</v>
      </c>
      <c r="P9272" t="s">
        <v>26564</v>
      </c>
      <c r="Q9272" t="s">
        <v>26570</v>
      </c>
      <c r="R9272" t="s">
        <v>26578</v>
      </c>
      <c r="U9272" t="s">
        <v>26604</v>
      </c>
      <c r="X9272">
        <v>469</v>
      </c>
      <c r="Y9272" t="s">
        <v>26650</v>
      </c>
      <c r="Z9272" t="s">
        <v>26530</v>
      </c>
      <c r="AA9272" t="s">
        <v>26683</v>
      </c>
      <c r="AB9272" t="s">
        <v>27026</v>
      </c>
      <c r="AD9272" t="s">
        <v>44030</v>
      </c>
      <c r="AE9272">
        <v>30</v>
      </c>
      <c r="AF9272" t="s">
        <v>20460</v>
      </c>
      <c r="AG9272" t="s">
        <v>45556</v>
      </c>
      <c r="AH9272">
        <v>14</v>
      </c>
      <c r="AI9272">
        <v>1</v>
      </c>
      <c r="AJ9272">
        <v>2</v>
      </c>
      <c r="AK9272">
        <v>95.05</v>
      </c>
      <c r="AN9272" t="s">
        <v>7439</v>
      </c>
      <c r="AO9272">
        <v>19752</v>
      </c>
      <c r="AP9272" t="s">
        <v>46139</v>
      </c>
      <c r="AU9272">
        <v>3.2</v>
      </c>
      <c r="AV9272" t="s">
        <v>816</v>
      </c>
      <c r="AW9272" t="s">
        <v>46846</v>
      </c>
    </row>
    <row r="9273" spans="1:49">
      <c r="A9273" s="1">
        <f>HYPERLINK("https://lsnyc.legalserver.org/matter/dynamic-profile/view/1880722","18-1880722")</f>
        <v>0</v>
      </c>
      <c r="B9273" t="s">
        <v>164</v>
      </c>
      <c r="C9273" t="s">
        <v>340</v>
      </c>
      <c r="D9273" t="s">
        <v>630</v>
      </c>
      <c r="F9273" t="s">
        <v>958</v>
      </c>
      <c r="G9273" t="s">
        <v>8986</v>
      </c>
      <c r="H9273" t="s">
        <v>15968</v>
      </c>
      <c r="I9273" t="s">
        <v>17272</v>
      </c>
      <c r="J9273" t="s">
        <v>18928</v>
      </c>
      <c r="K9273">
        <v>11365</v>
      </c>
      <c r="L9273" t="s">
        <v>18958</v>
      </c>
      <c r="M9273" t="s">
        <v>18958</v>
      </c>
      <c r="N9273" t="s">
        <v>25477</v>
      </c>
      <c r="O9273" t="s">
        <v>26523</v>
      </c>
      <c r="P9273" t="s">
        <v>26563</v>
      </c>
      <c r="R9273" t="s">
        <v>26584</v>
      </c>
      <c r="S9273" t="s">
        <v>18959</v>
      </c>
      <c r="U9273" t="s">
        <v>26604</v>
      </c>
      <c r="X9273">
        <v>1395</v>
      </c>
      <c r="Y9273" t="s">
        <v>26653</v>
      </c>
      <c r="Z9273" t="s">
        <v>26664</v>
      </c>
      <c r="AB9273" t="s">
        <v>33324</v>
      </c>
      <c r="AD9273" t="s">
        <v>44031</v>
      </c>
      <c r="AE9273">
        <v>9</v>
      </c>
      <c r="AF9273" t="s">
        <v>20460</v>
      </c>
      <c r="AH9273">
        <v>9</v>
      </c>
      <c r="AI9273">
        <v>1</v>
      </c>
      <c r="AJ9273">
        <v>1</v>
      </c>
      <c r="AK9273">
        <v>121.51</v>
      </c>
      <c r="AN9273" t="s">
        <v>7439</v>
      </c>
      <c r="AO9273">
        <v>20000</v>
      </c>
      <c r="AU9273">
        <v>0</v>
      </c>
      <c r="AW9273" t="s">
        <v>208</v>
      </c>
    </row>
    <row r="9274" spans="1:49">
      <c r="A9274" s="1">
        <f>HYPERLINK("https://lsnyc.legalserver.org/matter/dynamic-profile/view/1880731","18-1880731")</f>
        <v>0</v>
      </c>
      <c r="B9274" t="s">
        <v>165</v>
      </c>
      <c r="C9274" t="s">
        <v>340</v>
      </c>
      <c r="D9274" t="s">
        <v>630</v>
      </c>
      <c r="F9274" t="s">
        <v>1858</v>
      </c>
      <c r="G9274" t="s">
        <v>6961</v>
      </c>
      <c r="H9274" t="s">
        <v>12422</v>
      </c>
      <c r="I9274" t="s">
        <v>17471</v>
      </c>
      <c r="J9274" t="s">
        <v>18893</v>
      </c>
      <c r="K9274">
        <v>10026</v>
      </c>
      <c r="L9274" t="s">
        <v>18958</v>
      </c>
      <c r="M9274" t="s">
        <v>18958</v>
      </c>
      <c r="N9274" t="s">
        <v>25478</v>
      </c>
      <c r="O9274" t="s">
        <v>26523</v>
      </c>
      <c r="P9274" t="s">
        <v>26560</v>
      </c>
      <c r="R9274" t="s">
        <v>26580</v>
      </c>
      <c r="S9274" t="s">
        <v>18959</v>
      </c>
      <c r="U9274" t="s">
        <v>26604</v>
      </c>
      <c r="V9274" t="s">
        <v>26610</v>
      </c>
      <c r="X9274">
        <v>693.8099999999999</v>
      </c>
      <c r="Y9274" t="s">
        <v>26651</v>
      </c>
      <c r="Z9274" t="s">
        <v>26664</v>
      </c>
      <c r="AB9274" t="s">
        <v>33325</v>
      </c>
      <c r="AD9274" t="s">
        <v>44032</v>
      </c>
      <c r="AE9274">
        <v>54</v>
      </c>
      <c r="AF9274" t="s">
        <v>45541</v>
      </c>
      <c r="AG9274" t="s">
        <v>45559</v>
      </c>
      <c r="AH9274">
        <v>20</v>
      </c>
      <c r="AI9274">
        <v>1</v>
      </c>
      <c r="AJ9274">
        <v>0</v>
      </c>
      <c r="AK9274">
        <v>102.41</v>
      </c>
      <c r="AN9274" t="s">
        <v>7439</v>
      </c>
      <c r="AO9274">
        <v>12432</v>
      </c>
      <c r="AU9274">
        <v>11.45</v>
      </c>
      <c r="AV9274" t="s">
        <v>838</v>
      </c>
      <c r="AW9274" t="s">
        <v>314</v>
      </c>
    </row>
    <row r="9275" spans="1:49">
      <c r="A9275" s="1">
        <f>HYPERLINK("https://lsnyc.legalserver.org/matter/dynamic-profile/view/1880727","18-1880727")</f>
        <v>0</v>
      </c>
      <c r="B9275" t="s">
        <v>84</v>
      </c>
      <c r="C9275" t="s">
        <v>340</v>
      </c>
      <c r="D9275" t="s">
        <v>630</v>
      </c>
      <c r="F9275" t="s">
        <v>4510</v>
      </c>
      <c r="G9275" t="s">
        <v>5664</v>
      </c>
      <c r="H9275" t="s">
        <v>12422</v>
      </c>
      <c r="I9275" t="s">
        <v>17406</v>
      </c>
      <c r="J9275" t="s">
        <v>18893</v>
      </c>
      <c r="K9275">
        <v>10026</v>
      </c>
      <c r="L9275" t="s">
        <v>18958</v>
      </c>
      <c r="M9275" t="s">
        <v>18958</v>
      </c>
      <c r="N9275" t="s">
        <v>25479</v>
      </c>
      <c r="O9275" t="s">
        <v>26523</v>
      </c>
      <c r="P9275" t="s">
        <v>26560</v>
      </c>
      <c r="R9275" t="s">
        <v>26580</v>
      </c>
      <c r="S9275" t="s">
        <v>18959</v>
      </c>
      <c r="U9275" t="s">
        <v>26604</v>
      </c>
      <c r="V9275" t="s">
        <v>26610</v>
      </c>
      <c r="X9275">
        <v>732</v>
      </c>
      <c r="Y9275" t="s">
        <v>26651</v>
      </c>
      <c r="Z9275" t="s">
        <v>26664</v>
      </c>
      <c r="AB9275" t="s">
        <v>33326</v>
      </c>
      <c r="AD9275" t="s">
        <v>44033</v>
      </c>
      <c r="AE9275">
        <v>54</v>
      </c>
      <c r="AF9275" t="s">
        <v>20460</v>
      </c>
      <c r="AG9275" t="s">
        <v>26530</v>
      </c>
      <c r="AH9275">
        <v>25</v>
      </c>
      <c r="AI9275">
        <v>1</v>
      </c>
      <c r="AJ9275">
        <v>0</v>
      </c>
      <c r="AK9275">
        <v>28.27</v>
      </c>
      <c r="AN9275" t="s">
        <v>7439</v>
      </c>
      <c r="AO9275">
        <v>3432</v>
      </c>
      <c r="AU9275">
        <v>21.05</v>
      </c>
      <c r="AV9275" t="s">
        <v>835</v>
      </c>
      <c r="AW9275" t="s">
        <v>314</v>
      </c>
    </row>
    <row r="9276" spans="1:49">
      <c r="A9276" s="1">
        <f>HYPERLINK("https://lsnyc.legalserver.org/matter/dynamic-profile/view/1880744","18-1880744")</f>
        <v>0</v>
      </c>
      <c r="B9276" t="s">
        <v>191</v>
      </c>
      <c r="C9276" t="s">
        <v>340</v>
      </c>
      <c r="D9276" t="s">
        <v>630</v>
      </c>
      <c r="F9276" t="s">
        <v>2383</v>
      </c>
      <c r="G9276" t="s">
        <v>7749</v>
      </c>
      <c r="H9276" t="s">
        <v>15969</v>
      </c>
      <c r="I9276">
        <v>403</v>
      </c>
      <c r="J9276" t="s">
        <v>18893</v>
      </c>
      <c r="K9276">
        <v>10033</v>
      </c>
      <c r="L9276" t="s">
        <v>18958</v>
      </c>
      <c r="M9276" t="s">
        <v>18960</v>
      </c>
      <c r="R9276" t="s">
        <v>26582</v>
      </c>
      <c r="S9276" t="s">
        <v>18959</v>
      </c>
      <c r="U9276" t="s">
        <v>26604</v>
      </c>
      <c r="X9276">
        <v>0</v>
      </c>
      <c r="Y9276" t="s">
        <v>26651</v>
      </c>
      <c r="Z9276" t="s">
        <v>26664</v>
      </c>
      <c r="AB9276" t="s">
        <v>33327</v>
      </c>
      <c r="AD9276" t="s">
        <v>44034</v>
      </c>
      <c r="AE9276">
        <v>0</v>
      </c>
      <c r="AH9276">
        <v>4</v>
      </c>
      <c r="AI9276">
        <v>1</v>
      </c>
      <c r="AJ9276">
        <v>0</v>
      </c>
      <c r="AK9276">
        <v>22.73</v>
      </c>
      <c r="AM9276" t="s">
        <v>45575</v>
      </c>
      <c r="AN9276" t="s">
        <v>7439</v>
      </c>
      <c r="AO9276">
        <v>2760</v>
      </c>
      <c r="AU9276">
        <v>1.7</v>
      </c>
      <c r="AV9276" t="s">
        <v>577</v>
      </c>
      <c r="AW9276" t="s">
        <v>317</v>
      </c>
    </row>
    <row r="9277" spans="1:49">
      <c r="A9277" s="1">
        <f>HYPERLINK("https://lsnyc.legalserver.org/matter/dynamic-profile/view/1880717","18-1880717")</f>
        <v>0</v>
      </c>
      <c r="B9277" t="s">
        <v>191</v>
      </c>
      <c r="C9277" t="s">
        <v>340</v>
      </c>
      <c r="D9277" t="s">
        <v>630</v>
      </c>
      <c r="F9277" t="s">
        <v>893</v>
      </c>
      <c r="G9277" t="s">
        <v>8987</v>
      </c>
      <c r="H9277" t="s">
        <v>11641</v>
      </c>
      <c r="I9277">
        <v>21</v>
      </c>
      <c r="J9277" t="s">
        <v>18893</v>
      </c>
      <c r="K9277">
        <v>10026</v>
      </c>
      <c r="L9277" t="s">
        <v>18958</v>
      </c>
      <c r="M9277" t="s">
        <v>18958</v>
      </c>
      <c r="R9277" t="s">
        <v>26582</v>
      </c>
      <c r="U9277" t="s">
        <v>26604</v>
      </c>
      <c r="X9277">
        <v>717</v>
      </c>
      <c r="Y9277" t="s">
        <v>26651</v>
      </c>
      <c r="AB9277" t="s">
        <v>33328</v>
      </c>
      <c r="AD9277" t="s">
        <v>44035</v>
      </c>
      <c r="AE9277">
        <v>0</v>
      </c>
      <c r="AH9277">
        <v>22</v>
      </c>
      <c r="AI9277">
        <v>3</v>
      </c>
      <c r="AJ9277">
        <v>0</v>
      </c>
      <c r="AK9277">
        <v>66.41</v>
      </c>
      <c r="AM9277" t="s">
        <v>45575</v>
      </c>
      <c r="AN9277" t="s">
        <v>7439</v>
      </c>
      <c r="AO9277">
        <v>13800</v>
      </c>
      <c r="AU9277">
        <v>89.5</v>
      </c>
      <c r="AV9277" t="s">
        <v>825</v>
      </c>
      <c r="AW9277" t="s">
        <v>317</v>
      </c>
    </row>
    <row r="9278" spans="1:49">
      <c r="A9278" s="1">
        <f>HYPERLINK("https://lsnyc.legalserver.org/matter/dynamic-profile/view/1880815","18-1880815")</f>
        <v>0</v>
      </c>
      <c r="B9278" t="s">
        <v>191</v>
      </c>
      <c r="C9278" t="s">
        <v>340</v>
      </c>
      <c r="D9278" t="s">
        <v>630</v>
      </c>
      <c r="F9278" t="s">
        <v>881</v>
      </c>
      <c r="G9278" t="s">
        <v>8621</v>
      </c>
      <c r="H9278" t="s">
        <v>12416</v>
      </c>
      <c r="I9278" t="s">
        <v>17362</v>
      </c>
      <c r="J9278" t="s">
        <v>18893</v>
      </c>
      <c r="K9278">
        <v>10030</v>
      </c>
      <c r="L9278" t="s">
        <v>18958</v>
      </c>
      <c r="M9278" t="s">
        <v>18960</v>
      </c>
      <c r="O9278" t="s">
        <v>18997</v>
      </c>
      <c r="R9278" t="s">
        <v>26582</v>
      </c>
      <c r="S9278" t="s">
        <v>18959</v>
      </c>
      <c r="U9278" t="s">
        <v>26604</v>
      </c>
      <c r="X9278">
        <v>1501</v>
      </c>
      <c r="Y9278" t="s">
        <v>26651</v>
      </c>
      <c r="Z9278" t="s">
        <v>26664</v>
      </c>
      <c r="AB9278" t="s">
        <v>27720</v>
      </c>
      <c r="AD9278" t="s">
        <v>44036</v>
      </c>
      <c r="AE9278">
        <v>0</v>
      </c>
      <c r="AH9278">
        <v>5</v>
      </c>
      <c r="AI9278">
        <v>2</v>
      </c>
      <c r="AJ9278">
        <v>1</v>
      </c>
      <c r="AK9278">
        <v>120.31</v>
      </c>
      <c r="AM9278" t="s">
        <v>45575</v>
      </c>
      <c r="AO9278">
        <v>25000</v>
      </c>
      <c r="AU9278">
        <v>1.3</v>
      </c>
      <c r="AV9278" t="s">
        <v>618</v>
      </c>
      <c r="AW9278" t="s">
        <v>317</v>
      </c>
    </row>
    <row r="9279" spans="1:49">
      <c r="A9279" s="1">
        <f>HYPERLINK("https://lsnyc.legalserver.org/matter/dynamic-profile/view/1880804","18-1880804")</f>
        <v>0</v>
      </c>
      <c r="B9279" t="s">
        <v>191</v>
      </c>
      <c r="C9279" t="s">
        <v>340</v>
      </c>
      <c r="D9279" t="s">
        <v>630</v>
      </c>
      <c r="F9279" t="s">
        <v>3757</v>
      </c>
      <c r="G9279" t="s">
        <v>5607</v>
      </c>
      <c r="H9279" t="s">
        <v>15970</v>
      </c>
      <c r="I9279" t="s">
        <v>17289</v>
      </c>
      <c r="J9279" t="s">
        <v>18893</v>
      </c>
      <c r="K9279">
        <v>10023</v>
      </c>
      <c r="L9279" t="s">
        <v>18960</v>
      </c>
      <c r="M9279" t="s">
        <v>18960</v>
      </c>
      <c r="R9279" t="s">
        <v>26582</v>
      </c>
      <c r="U9279" t="s">
        <v>26604</v>
      </c>
      <c r="X9279">
        <v>0</v>
      </c>
      <c r="Y9279" t="s">
        <v>26651</v>
      </c>
      <c r="AB9279" t="s">
        <v>33329</v>
      </c>
      <c r="AD9279" t="s">
        <v>44037</v>
      </c>
      <c r="AE9279">
        <v>0</v>
      </c>
      <c r="AH9279">
        <v>0</v>
      </c>
      <c r="AI9279">
        <v>2</v>
      </c>
      <c r="AJ9279">
        <v>1</v>
      </c>
      <c r="AK9279">
        <v>182.87</v>
      </c>
      <c r="AO9279">
        <v>38000</v>
      </c>
      <c r="AU9279">
        <v>1</v>
      </c>
      <c r="AV9279" t="s">
        <v>631</v>
      </c>
      <c r="AW9279" t="s">
        <v>317</v>
      </c>
    </row>
    <row r="9280" spans="1:49">
      <c r="A9280" s="1">
        <f>HYPERLINK("https://lsnyc.legalserver.org/matter/dynamic-profile/view/1880680","18-1880680")</f>
        <v>0</v>
      </c>
      <c r="B9280" t="s">
        <v>159</v>
      </c>
      <c r="C9280" t="s">
        <v>340</v>
      </c>
      <c r="D9280" t="s">
        <v>630</v>
      </c>
      <c r="F9280" t="s">
        <v>896</v>
      </c>
      <c r="G9280" t="s">
        <v>5283</v>
      </c>
      <c r="H9280" t="s">
        <v>15971</v>
      </c>
      <c r="I9280" t="s">
        <v>17527</v>
      </c>
      <c r="J9280" t="s">
        <v>18906</v>
      </c>
      <c r="K9280">
        <v>11373</v>
      </c>
      <c r="L9280" t="s">
        <v>18958</v>
      </c>
      <c r="M9280" t="s">
        <v>18958</v>
      </c>
      <c r="N9280" t="s">
        <v>25480</v>
      </c>
      <c r="O9280" t="s">
        <v>26523</v>
      </c>
      <c r="P9280" t="s">
        <v>26560</v>
      </c>
      <c r="R9280" t="s">
        <v>26584</v>
      </c>
      <c r="S9280" t="s">
        <v>18959</v>
      </c>
      <c r="U9280" t="s">
        <v>26604</v>
      </c>
      <c r="X9280">
        <v>1800</v>
      </c>
      <c r="Y9280" t="s">
        <v>26653</v>
      </c>
      <c r="Z9280" t="s">
        <v>26664</v>
      </c>
      <c r="AB9280" t="s">
        <v>27628</v>
      </c>
      <c r="AC9280" t="s">
        <v>36623</v>
      </c>
      <c r="AD9280" t="s">
        <v>44038</v>
      </c>
      <c r="AE9280">
        <v>63</v>
      </c>
      <c r="AF9280" t="s">
        <v>20460</v>
      </c>
      <c r="AH9280">
        <v>3</v>
      </c>
      <c r="AI9280">
        <v>2</v>
      </c>
      <c r="AJ9280">
        <v>0</v>
      </c>
      <c r="AK9280">
        <v>85.05</v>
      </c>
      <c r="AN9280" t="s">
        <v>7439</v>
      </c>
      <c r="AO9280">
        <v>14000</v>
      </c>
      <c r="AU9280">
        <v>27.1</v>
      </c>
      <c r="AV9280" t="s">
        <v>836</v>
      </c>
      <c r="AW9280" t="s">
        <v>208</v>
      </c>
    </row>
    <row r="9281" spans="1:49">
      <c r="A9281" s="1">
        <f>HYPERLINK("https://lsnyc.legalserver.org/matter/dynamic-profile/view/1880786","18-1880786")</f>
        <v>0</v>
      </c>
      <c r="B9281" t="s">
        <v>200</v>
      </c>
      <c r="C9281" t="s">
        <v>340</v>
      </c>
      <c r="D9281" t="s">
        <v>630</v>
      </c>
      <c r="F9281" t="s">
        <v>1629</v>
      </c>
      <c r="G9281" t="s">
        <v>5265</v>
      </c>
      <c r="H9281" t="s">
        <v>10625</v>
      </c>
      <c r="I9281">
        <v>5</v>
      </c>
      <c r="J9281" t="s">
        <v>18894</v>
      </c>
      <c r="K9281">
        <v>11207</v>
      </c>
      <c r="L9281" t="s">
        <v>18960</v>
      </c>
      <c r="M9281" t="s">
        <v>18960</v>
      </c>
      <c r="O9281" t="s">
        <v>26526</v>
      </c>
      <c r="R9281" t="s">
        <v>26578</v>
      </c>
      <c r="S9281" t="s">
        <v>18959</v>
      </c>
      <c r="U9281" t="s">
        <v>26604</v>
      </c>
      <c r="X9281">
        <v>1000</v>
      </c>
      <c r="Y9281" t="s">
        <v>26652</v>
      </c>
      <c r="Z9281" t="s">
        <v>26659</v>
      </c>
      <c r="AB9281" t="s">
        <v>27762</v>
      </c>
      <c r="AC9281" t="s">
        <v>34848</v>
      </c>
      <c r="AD9281" t="s">
        <v>37815</v>
      </c>
      <c r="AE9281">
        <v>6</v>
      </c>
      <c r="AF9281" t="s">
        <v>45541</v>
      </c>
      <c r="AG9281" t="s">
        <v>45557</v>
      </c>
      <c r="AH9281">
        <v>11</v>
      </c>
      <c r="AI9281">
        <v>1</v>
      </c>
      <c r="AJ9281">
        <v>3</v>
      </c>
      <c r="AK9281">
        <v>28.72</v>
      </c>
      <c r="AN9281" t="s">
        <v>45581</v>
      </c>
      <c r="AO9281">
        <v>7209</v>
      </c>
      <c r="AU9281">
        <v>0</v>
      </c>
      <c r="AW9281" t="s">
        <v>281</v>
      </c>
    </row>
    <row r="9282" spans="1:49">
      <c r="A9282" s="1">
        <f>HYPERLINK("https://lsnyc.legalserver.org/matter/dynamic-profile/view/1880871","18-1880871")</f>
        <v>0</v>
      </c>
      <c r="B9282" t="s">
        <v>98</v>
      </c>
      <c r="C9282" t="s">
        <v>341</v>
      </c>
      <c r="D9282" t="s">
        <v>635</v>
      </c>
      <c r="E9282" t="s">
        <v>494</v>
      </c>
      <c r="F9282" t="s">
        <v>1153</v>
      </c>
      <c r="G9282" t="s">
        <v>8988</v>
      </c>
      <c r="H9282" t="s">
        <v>9760</v>
      </c>
      <c r="I9282" t="s">
        <v>17272</v>
      </c>
      <c r="J9282" t="s">
        <v>18892</v>
      </c>
      <c r="K9282">
        <v>10452</v>
      </c>
      <c r="L9282" t="s">
        <v>18959</v>
      </c>
      <c r="M9282" t="s">
        <v>18958</v>
      </c>
      <c r="O9282" t="s">
        <v>26526</v>
      </c>
      <c r="P9282" t="s">
        <v>26564</v>
      </c>
      <c r="Q9282" t="s">
        <v>26570</v>
      </c>
      <c r="R9282" t="s">
        <v>26591</v>
      </c>
      <c r="S9282" t="s">
        <v>18958</v>
      </c>
      <c r="U9282" t="s">
        <v>26604</v>
      </c>
      <c r="X9282">
        <v>1300</v>
      </c>
      <c r="Y9282" t="s">
        <v>26650</v>
      </c>
      <c r="Z9282" t="s">
        <v>26663</v>
      </c>
      <c r="AA9282" t="s">
        <v>26683</v>
      </c>
      <c r="AB9282" t="s">
        <v>33330</v>
      </c>
      <c r="AD9282" t="s">
        <v>44039</v>
      </c>
      <c r="AE9282">
        <v>149</v>
      </c>
      <c r="AF9282" t="s">
        <v>45541</v>
      </c>
      <c r="AG9282" t="s">
        <v>19330</v>
      </c>
      <c r="AH9282">
        <v>4</v>
      </c>
      <c r="AI9282">
        <v>1</v>
      </c>
      <c r="AJ9282">
        <v>0</v>
      </c>
      <c r="AK9282">
        <v>65.90000000000001</v>
      </c>
      <c r="AN9282" t="s">
        <v>45581</v>
      </c>
      <c r="AO9282">
        <v>8000</v>
      </c>
      <c r="AP9282" t="s">
        <v>46151</v>
      </c>
      <c r="AU9282">
        <v>0.2</v>
      </c>
      <c r="AV9282" t="s">
        <v>415</v>
      </c>
      <c r="AW9282" t="s">
        <v>46832</v>
      </c>
    </row>
    <row r="9283" spans="1:49">
      <c r="A9283" s="1">
        <f>HYPERLINK("https://lsnyc.legalserver.org/matter/dynamic-profile/view/1880862","18-1880862")</f>
        <v>0</v>
      </c>
      <c r="B9283" t="s">
        <v>74</v>
      </c>
      <c r="C9283" t="s">
        <v>341</v>
      </c>
      <c r="D9283" t="s">
        <v>635</v>
      </c>
      <c r="E9283" t="s">
        <v>652</v>
      </c>
      <c r="F9283" t="s">
        <v>938</v>
      </c>
      <c r="G9283" t="s">
        <v>5300</v>
      </c>
      <c r="H9283" t="s">
        <v>15972</v>
      </c>
      <c r="I9283">
        <v>339</v>
      </c>
      <c r="J9283" t="s">
        <v>18893</v>
      </c>
      <c r="K9283">
        <v>10001</v>
      </c>
      <c r="L9283" t="s">
        <v>18960</v>
      </c>
      <c r="M9283" t="s">
        <v>18960</v>
      </c>
      <c r="Q9283" t="s">
        <v>26570</v>
      </c>
      <c r="R9283" t="s">
        <v>26591</v>
      </c>
      <c r="U9283" t="s">
        <v>26604</v>
      </c>
      <c r="X9283">
        <v>0</v>
      </c>
      <c r="Y9283" t="s">
        <v>26651</v>
      </c>
      <c r="AA9283" t="s">
        <v>26683</v>
      </c>
      <c r="AB9283" t="s">
        <v>33331</v>
      </c>
      <c r="AD9283" t="s">
        <v>44040</v>
      </c>
      <c r="AE9283">
        <v>0</v>
      </c>
      <c r="AH9283">
        <v>0</v>
      </c>
      <c r="AI9283">
        <v>1</v>
      </c>
      <c r="AJ9283">
        <v>1</v>
      </c>
      <c r="AK9283">
        <v>179</v>
      </c>
      <c r="AN9283" t="s">
        <v>7439</v>
      </c>
      <c r="AO9283">
        <v>29463</v>
      </c>
      <c r="AU9283">
        <v>0.9</v>
      </c>
      <c r="AV9283" t="s">
        <v>605</v>
      </c>
      <c r="AW9283" t="s">
        <v>46849</v>
      </c>
    </row>
    <row r="9284" spans="1:49">
      <c r="A9284" s="1">
        <f>HYPERLINK("https://lsnyc.legalserver.org/matter/dynamic-profile/view/1880909","18-1880909")</f>
        <v>0</v>
      </c>
      <c r="B9284" t="s">
        <v>110</v>
      </c>
      <c r="C9284" t="s">
        <v>340</v>
      </c>
      <c r="D9284" t="s">
        <v>635</v>
      </c>
      <c r="F9284" t="s">
        <v>1628</v>
      </c>
      <c r="G9284" t="s">
        <v>7156</v>
      </c>
      <c r="H9284" t="s">
        <v>15973</v>
      </c>
      <c r="I9284">
        <v>225</v>
      </c>
      <c r="J9284" t="s">
        <v>18915</v>
      </c>
      <c r="K9284">
        <v>11372</v>
      </c>
      <c r="L9284" t="s">
        <v>18960</v>
      </c>
      <c r="M9284" t="s">
        <v>18960</v>
      </c>
      <c r="R9284" t="s">
        <v>26591</v>
      </c>
      <c r="U9284" t="s">
        <v>26604</v>
      </c>
      <c r="X9284">
        <v>0</v>
      </c>
      <c r="Y9284" t="s">
        <v>26653</v>
      </c>
      <c r="AB9284" t="s">
        <v>33332</v>
      </c>
      <c r="AD9284" t="s">
        <v>44041</v>
      </c>
      <c r="AE9284">
        <v>84</v>
      </c>
      <c r="AG9284" t="s">
        <v>45559</v>
      </c>
      <c r="AH9284">
        <v>49</v>
      </c>
      <c r="AI9284">
        <v>1</v>
      </c>
      <c r="AJ9284">
        <v>0</v>
      </c>
      <c r="AK9284">
        <v>120.59</v>
      </c>
      <c r="AN9284" t="s">
        <v>7439</v>
      </c>
      <c r="AO9284">
        <v>14640</v>
      </c>
      <c r="AU9284">
        <v>3</v>
      </c>
      <c r="AV9284" t="s">
        <v>605</v>
      </c>
      <c r="AW9284" t="s">
        <v>46843</v>
      </c>
    </row>
    <row r="9285" spans="1:49">
      <c r="A9285" s="1">
        <f>HYPERLINK("https://lsnyc.legalserver.org/matter/dynamic-profile/view/1880836","18-1880836")</f>
        <v>0</v>
      </c>
      <c r="B9285" t="s">
        <v>200</v>
      </c>
      <c r="C9285" t="s">
        <v>340</v>
      </c>
      <c r="D9285" t="s">
        <v>635</v>
      </c>
      <c r="F9285" t="s">
        <v>1451</v>
      </c>
      <c r="G9285" t="s">
        <v>8989</v>
      </c>
      <c r="H9285" t="s">
        <v>15974</v>
      </c>
      <c r="I9285" t="s">
        <v>17344</v>
      </c>
      <c r="J9285" t="s">
        <v>18894</v>
      </c>
      <c r="K9285">
        <v>11201</v>
      </c>
      <c r="L9285" t="s">
        <v>18960</v>
      </c>
      <c r="M9285" t="s">
        <v>18960</v>
      </c>
      <c r="R9285" t="s">
        <v>26591</v>
      </c>
      <c r="U9285" t="s">
        <v>26604</v>
      </c>
      <c r="X9285">
        <v>417</v>
      </c>
      <c r="Y9285" t="s">
        <v>26652</v>
      </c>
      <c r="Z9285" t="s">
        <v>26668</v>
      </c>
      <c r="AB9285" t="s">
        <v>33333</v>
      </c>
      <c r="AD9285" t="s">
        <v>44042</v>
      </c>
      <c r="AE9285">
        <v>100</v>
      </c>
      <c r="AF9285" t="s">
        <v>45549</v>
      </c>
      <c r="AH9285">
        <v>48</v>
      </c>
      <c r="AI9285">
        <v>1</v>
      </c>
      <c r="AJ9285">
        <v>1</v>
      </c>
      <c r="AK9285">
        <v>51.47</v>
      </c>
      <c r="AN9285" t="s">
        <v>7439</v>
      </c>
      <c r="AO9285">
        <v>8472</v>
      </c>
      <c r="AU9285">
        <v>1.5</v>
      </c>
      <c r="AV9285" t="s">
        <v>646</v>
      </c>
      <c r="AW9285" t="s">
        <v>46843</v>
      </c>
    </row>
    <row r="9286" spans="1:49">
      <c r="A9286" s="1">
        <f>HYPERLINK("https://lsnyc.legalserver.org/matter/dynamic-profile/view/1880872","18-1880872")</f>
        <v>0</v>
      </c>
      <c r="B9286" t="s">
        <v>200</v>
      </c>
      <c r="C9286" t="s">
        <v>340</v>
      </c>
      <c r="D9286" t="s">
        <v>635</v>
      </c>
      <c r="F9286" t="s">
        <v>4511</v>
      </c>
      <c r="G9286" t="s">
        <v>5008</v>
      </c>
      <c r="H9286" t="s">
        <v>15975</v>
      </c>
      <c r="I9286" t="s">
        <v>18596</v>
      </c>
      <c r="J9286" t="s">
        <v>18894</v>
      </c>
      <c r="K9286">
        <v>11207</v>
      </c>
      <c r="L9286" t="s">
        <v>18959</v>
      </c>
      <c r="M9286" t="s">
        <v>18959</v>
      </c>
      <c r="N9286" t="s">
        <v>25481</v>
      </c>
      <c r="O9286" t="s">
        <v>26523</v>
      </c>
      <c r="R9286" t="s">
        <v>26578</v>
      </c>
      <c r="S9286" t="s">
        <v>18959</v>
      </c>
      <c r="U9286" t="s">
        <v>26604</v>
      </c>
      <c r="V9286" t="s">
        <v>26612</v>
      </c>
      <c r="X9286">
        <v>1318.64</v>
      </c>
      <c r="Y9286" t="s">
        <v>26652</v>
      </c>
      <c r="Z9286" t="s">
        <v>26530</v>
      </c>
      <c r="AB9286" t="s">
        <v>29632</v>
      </c>
      <c r="AC9286" t="s">
        <v>36624</v>
      </c>
      <c r="AD9286" t="s">
        <v>44043</v>
      </c>
      <c r="AE9286">
        <v>54</v>
      </c>
      <c r="AF9286" t="s">
        <v>20460</v>
      </c>
      <c r="AG9286" t="s">
        <v>45562</v>
      </c>
      <c r="AH9286">
        <v>0</v>
      </c>
      <c r="AI9286">
        <v>2</v>
      </c>
      <c r="AJ9286">
        <v>0</v>
      </c>
      <c r="AK9286">
        <v>120.29</v>
      </c>
      <c r="AN9286" t="s">
        <v>7439</v>
      </c>
      <c r="AO9286">
        <v>19800</v>
      </c>
      <c r="AU9286">
        <v>0.7</v>
      </c>
      <c r="AV9286" t="s">
        <v>631</v>
      </c>
      <c r="AW9286" t="s">
        <v>46829</v>
      </c>
    </row>
    <row r="9287" spans="1:49">
      <c r="A9287" s="1">
        <f>HYPERLINK("https://lsnyc.legalserver.org/matter/dynamic-profile/view/1881013","18-1881013")</f>
        <v>0</v>
      </c>
      <c r="B9287" t="s">
        <v>147</v>
      </c>
      <c r="C9287" t="s">
        <v>341</v>
      </c>
      <c r="D9287" t="s">
        <v>605</v>
      </c>
      <c r="E9287" t="s">
        <v>718</v>
      </c>
      <c r="F9287" t="s">
        <v>2688</v>
      </c>
      <c r="G9287" t="s">
        <v>5562</v>
      </c>
      <c r="H9287" t="s">
        <v>15976</v>
      </c>
      <c r="I9287" t="s">
        <v>17924</v>
      </c>
      <c r="J9287" t="s">
        <v>18894</v>
      </c>
      <c r="K9287">
        <v>11206</v>
      </c>
      <c r="L9287" t="s">
        <v>18960</v>
      </c>
      <c r="M9287" t="s">
        <v>18960</v>
      </c>
      <c r="O9287" t="s">
        <v>26523</v>
      </c>
      <c r="P9287" t="s">
        <v>26565</v>
      </c>
      <c r="Q9287" t="s">
        <v>26569</v>
      </c>
      <c r="R9287" t="s">
        <v>26578</v>
      </c>
      <c r="U9287" t="s">
        <v>26604</v>
      </c>
      <c r="X9287">
        <v>0</v>
      </c>
      <c r="Y9287" t="s">
        <v>26652</v>
      </c>
      <c r="AA9287" t="s">
        <v>26681</v>
      </c>
      <c r="AB9287" t="s">
        <v>33334</v>
      </c>
      <c r="AE9287">
        <v>0</v>
      </c>
      <c r="AF9287" t="s">
        <v>45543</v>
      </c>
      <c r="AH9287">
        <v>5</v>
      </c>
      <c r="AI9287">
        <v>1</v>
      </c>
      <c r="AJ9287">
        <v>0</v>
      </c>
      <c r="AK9287">
        <v>0</v>
      </c>
      <c r="AN9287" t="s">
        <v>7439</v>
      </c>
      <c r="AO9287">
        <v>0</v>
      </c>
      <c r="AU9287">
        <v>1.8</v>
      </c>
      <c r="AV9287" t="s">
        <v>632</v>
      </c>
      <c r="AW9287" t="s">
        <v>198</v>
      </c>
    </row>
    <row r="9288" spans="1:49">
      <c r="A9288" s="1">
        <f>HYPERLINK("https://lsnyc.legalserver.org/matter/dynamic-profile/view/1880931","18-1880931")</f>
        <v>0</v>
      </c>
      <c r="B9288" t="s">
        <v>186</v>
      </c>
      <c r="C9288" t="s">
        <v>341</v>
      </c>
      <c r="D9288" t="s">
        <v>605</v>
      </c>
      <c r="E9288" t="s">
        <v>726</v>
      </c>
      <c r="F9288" t="s">
        <v>4512</v>
      </c>
      <c r="G9288" t="s">
        <v>4309</v>
      </c>
      <c r="H9288" t="s">
        <v>15977</v>
      </c>
      <c r="I9288" t="s">
        <v>18652</v>
      </c>
      <c r="J9288" t="s">
        <v>18894</v>
      </c>
      <c r="K9288">
        <v>11213</v>
      </c>
      <c r="L9288" t="s">
        <v>18960</v>
      </c>
      <c r="M9288" t="s">
        <v>18960</v>
      </c>
      <c r="P9288" t="s">
        <v>26560</v>
      </c>
      <c r="Q9288" t="s">
        <v>26569</v>
      </c>
      <c r="R9288" t="s">
        <v>26578</v>
      </c>
      <c r="U9288" t="s">
        <v>26604</v>
      </c>
      <c r="X9288">
        <v>0</v>
      </c>
      <c r="Y9288" t="s">
        <v>26652</v>
      </c>
      <c r="AA9288" t="s">
        <v>26681</v>
      </c>
      <c r="AB9288" t="s">
        <v>33335</v>
      </c>
      <c r="AD9288" t="s">
        <v>44044</v>
      </c>
      <c r="AE9288">
        <v>0</v>
      </c>
      <c r="AH9288">
        <v>0</v>
      </c>
      <c r="AI9288">
        <v>1</v>
      </c>
      <c r="AJ9288">
        <v>0</v>
      </c>
      <c r="AK9288">
        <v>40.05</v>
      </c>
      <c r="AN9288" t="s">
        <v>7439</v>
      </c>
      <c r="AO9288">
        <v>4862</v>
      </c>
      <c r="AU9288">
        <v>10</v>
      </c>
      <c r="AV9288" t="s">
        <v>726</v>
      </c>
      <c r="AW9288" t="s">
        <v>46882</v>
      </c>
    </row>
    <row r="9289" spans="1:49">
      <c r="A9289" s="1">
        <f>HYPERLINK("https://lsnyc.legalserver.org/matter/dynamic-profile/view/1880983","18-1880983")</f>
        <v>0</v>
      </c>
      <c r="B9289" t="s">
        <v>66</v>
      </c>
      <c r="C9289" t="s">
        <v>341</v>
      </c>
      <c r="D9289" t="s">
        <v>605</v>
      </c>
      <c r="E9289" t="s">
        <v>494</v>
      </c>
      <c r="F9289" t="s">
        <v>1021</v>
      </c>
      <c r="G9289" t="s">
        <v>8990</v>
      </c>
      <c r="H9289" t="s">
        <v>15978</v>
      </c>
      <c r="I9289">
        <v>1</v>
      </c>
      <c r="J9289" t="s">
        <v>18893</v>
      </c>
      <c r="K9289">
        <v>10014</v>
      </c>
      <c r="L9289" t="s">
        <v>18960</v>
      </c>
      <c r="M9289" t="s">
        <v>18960</v>
      </c>
      <c r="N9289" t="s">
        <v>25482</v>
      </c>
      <c r="O9289" t="s">
        <v>26523</v>
      </c>
      <c r="P9289" t="s">
        <v>26564</v>
      </c>
      <c r="Q9289" t="s">
        <v>26570</v>
      </c>
      <c r="R9289" t="s">
        <v>26582</v>
      </c>
      <c r="S9289" t="s">
        <v>18959</v>
      </c>
      <c r="U9289" t="s">
        <v>26604</v>
      </c>
      <c r="X9289">
        <v>2500</v>
      </c>
      <c r="Y9289" t="s">
        <v>26651</v>
      </c>
      <c r="AA9289" t="s">
        <v>26683</v>
      </c>
      <c r="AB9289" t="s">
        <v>33336</v>
      </c>
      <c r="AD9289" t="s">
        <v>44045</v>
      </c>
      <c r="AE9289">
        <v>22</v>
      </c>
      <c r="AH9289">
        <v>15</v>
      </c>
      <c r="AI9289">
        <v>1</v>
      </c>
      <c r="AJ9289">
        <v>0</v>
      </c>
      <c r="AK9289">
        <v>40.92</v>
      </c>
      <c r="AN9289" t="s">
        <v>7439</v>
      </c>
      <c r="AO9289">
        <v>4968</v>
      </c>
      <c r="AU9289">
        <v>1.5</v>
      </c>
      <c r="AV9289" t="s">
        <v>704</v>
      </c>
      <c r="AW9289" t="s">
        <v>46838</v>
      </c>
    </row>
    <row r="9290" spans="1:49">
      <c r="A9290" s="1">
        <f>HYPERLINK("https://lsnyc.legalserver.org/matter/dynamic-profile/view/1880959","18-1880959")</f>
        <v>0</v>
      </c>
      <c r="B9290" t="s">
        <v>209</v>
      </c>
      <c r="C9290" t="s">
        <v>341</v>
      </c>
      <c r="D9290" t="s">
        <v>605</v>
      </c>
      <c r="E9290" t="s">
        <v>605</v>
      </c>
      <c r="F9290" t="s">
        <v>1663</v>
      </c>
      <c r="G9290" t="s">
        <v>8991</v>
      </c>
      <c r="H9290" t="s">
        <v>15979</v>
      </c>
      <c r="I9290" t="s">
        <v>17504</v>
      </c>
      <c r="J9290" t="s">
        <v>18898</v>
      </c>
      <c r="K9290">
        <v>11691</v>
      </c>
      <c r="L9290" t="s">
        <v>18960</v>
      </c>
      <c r="M9290" t="s">
        <v>18960</v>
      </c>
      <c r="O9290" t="s">
        <v>18997</v>
      </c>
      <c r="P9290" t="s">
        <v>26564</v>
      </c>
      <c r="Q9290" t="s">
        <v>26570</v>
      </c>
      <c r="R9290" t="s">
        <v>26591</v>
      </c>
      <c r="S9290" t="s">
        <v>18959</v>
      </c>
      <c r="U9290" t="s">
        <v>26605</v>
      </c>
      <c r="X9290">
        <v>1100</v>
      </c>
      <c r="Y9290" t="s">
        <v>26653</v>
      </c>
      <c r="Z9290" t="s">
        <v>26657</v>
      </c>
      <c r="AA9290" t="s">
        <v>26683</v>
      </c>
      <c r="AB9290" t="s">
        <v>29750</v>
      </c>
      <c r="AD9290" t="s">
        <v>44046</v>
      </c>
      <c r="AE9290">
        <v>48</v>
      </c>
      <c r="AF9290" t="s">
        <v>45549</v>
      </c>
      <c r="AG9290" t="s">
        <v>45557</v>
      </c>
      <c r="AH9290">
        <v>0</v>
      </c>
      <c r="AI9290">
        <v>1</v>
      </c>
      <c r="AJ9290">
        <v>0</v>
      </c>
      <c r="AK9290">
        <v>66.72</v>
      </c>
      <c r="AN9290" t="s">
        <v>7439</v>
      </c>
      <c r="AO9290">
        <v>8100</v>
      </c>
      <c r="AU9290">
        <v>0.8</v>
      </c>
      <c r="AV9290" t="s">
        <v>605</v>
      </c>
      <c r="AW9290" t="s">
        <v>46829</v>
      </c>
    </row>
    <row r="9291" spans="1:49">
      <c r="A9291" s="1">
        <f>HYPERLINK("https://lsnyc.legalserver.org/matter/dynamic-profile/view/1881009","18-1881009")</f>
        <v>0</v>
      </c>
      <c r="B9291" t="s">
        <v>122</v>
      </c>
      <c r="C9291" t="s">
        <v>341</v>
      </c>
      <c r="D9291" t="s">
        <v>605</v>
      </c>
      <c r="E9291" t="s">
        <v>769</v>
      </c>
      <c r="F9291" t="s">
        <v>4380</v>
      </c>
      <c r="G9291" t="s">
        <v>7788</v>
      </c>
      <c r="H9291" t="s">
        <v>12233</v>
      </c>
      <c r="I9291" t="s">
        <v>17375</v>
      </c>
      <c r="J9291" t="s">
        <v>18901</v>
      </c>
      <c r="K9291">
        <v>11433</v>
      </c>
      <c r="L9291" t="s">
        <v>18959</v>
      </c>
      <c r="M9291" t="s">
        <v>18959</v>
      </c>
      <c r="N9291" t="s">
        <v>19045</v>
      </c>
      <c r="O9291" t="s">
        <v>26529</v>
      </c>
      <c r="P9291" t="s">
        <v>26564</v>
      </c>
      <c r="Q9291" t="s">
        <v>26570</v>
      </c>
      <c r="R9291" t="s">
        <v>26584</v>
      </c>
      <c r="S9291" t="s">
        <v>18959</v>
      </c>
      <c r="U9291" t="s">
        <v>26604</v>
      </c>
      <c r="V9291" t="s">
        <v>26610</v>
      </c>
      <c r="X9291">
        <v>2400</v>
      </c>
      <c r="Y9291" t="s">
        <v>26653</v>
      </c>
      <c r="Z9291" t="s">
        <v>26671</v>
      </c>
      <c r="AA9291" t="s">
        <v>26683</v>
      </c>
      <c r="AB9291" t="s">
        <v>33337</v>
      </c>
      <c r="AD9291" t="s">
        <v>34738</v>
      </c>
      <c r="AE9291">
        <v>3</v>
      </c>
      <c r="AF9291" t="s">
        <v>45547</v>
      </c>
      <c r="AG9291" t="s">
        <v>19330</v>
      </c>
      <c r="AH9291">
        <v>0</v>
      </c>
      <c r="AI9291">
        <v>1</v>
      </c>
      <c r="AJ9291">
        <v>2</v>
      </c>
      <c r="AK9291">
        <v>100.1</v>
      </c>
      <c r="AO9291">
        <v>20800</v>
      </c>
      <c r="AU9291">
        <v>0.5</v>
      </c>
      <c r="AV9291" t="s">
        <v>810</v>
      </c>
      <c r="AW9291" t="s">
        <v>122</v>
      </c>
    </row>
    <row r="9292" spans="1:49">
      <c r="A9292" s="1">
        <f>HYPERLINK("https://lsnyc.legalserver.org/matter/dynamic-profile/view/1881000","18-1881000")</f>
        <v>0</v>
      </c>
      <c r="B9292" t="s">
        <v>316</v>
      </c>
      <c r="C9292" t="s">
        <v>341</v>
      </c>
      <c r="D9292" t="s">
        <v>605</v>
      </c>
      <c r="E9292" t="s">
        <v>639</v>
      </c>
      <c r="F9292" t="s">
        <v>4513</v>
      </c>
      <c r="G9292" t="s">
        <v>8992</v>
      </c>
      <c r="H9292" t="s">
        <v>15980</v>
      </c>
      <c r="I9292" t="s">
        <v>17274</v>
      </c>
      <c r="J9292" t="s">
        <v>18902</v>
      </c>
      <c r="K9292">
        <v>10302</v>
      </c>
      <c r="L9292" t="s">
        <v>18960</v>
      </c>
      <c r="M9292" t="s">
        <v>18960</v>
      </c>
      <c r="O9292" t="s">
        <v>26526</v>
      </c>
      <c r="Q9292" t="s">
        <v>26570</v>
      </c>
      <c r="R9292" t="s">
        <v>26591</v>
      </c>
      <c r="S9292" t="s">
        <v>18959</v>
      </c>
      <c r="U9292" t="s">
        <v>26604</v>
      </c>
      <c r="X9292">
        <v>1400</v>
      </c>
      <c r="Y9292" t="s">
        <v>26654</v>
      </c>
      <c r="Z9292" t="s">
        <v>26667</v>
      </c>
      <c r="AA9292" t="s">
        <v>26683</v>
      </c>
      <c r="AB9292" t="s">
        <v>33338</v>
      </c>
      <c r="AD9292" t="s">
        <v>44047</v>
      </c>
      <c r="AE9292">
        <v>4</v>
      </c>
      <c r="AF9292" t="s">
        <v>20460</v>
      </c>
      <c r="AG9292" t="s">
        <v>19330</v>
      </c>
      <c r="AH9292">
        <v>33</v>
      </c>
      <c r="AI9292">
        <v>1</v>
      </c>
      <c r="AJ9292">
        <v>4</v>
      </c>
      <c r="AK9292">
        <v>173.9</v>
      </c>
      <c r="AN9292" t="s">
        <v>7439</v>
      </c>
      <c r="AO9292">
        <v>51160</v>
      </c>
      <c r="AU9292">
        <v>0.5</v>
      </c>
      <c r="AV9292" t="s">
        <v>605</v>
      </c>
      <c r="AW9292" t="s">
        <v>46841</v>
      </c>
    </row>
    <row r="9293" spans="1:49">
      <c r="A9293" s="1">
        <f>HYPERLINK("https://lsnyc.legalserver.org/matter/dynamic-profile/view/1881019","18-1881019")</f>
        <v>0</v>
      </c>
      <c r="B9293" t="s">
        <v>135</v>
      </c>
      <c r="C9293" t="s">
        <v>340</v>
      </c>
      <c r="D9293" t="s">
        <v>605</v>
      </c>
      <c r="F9293" t="s">
        <v>871</v>
      </c>
      <c r="G9293" t="s">
        <v>8993</v>
      </c>
      <c r="H9293" t="s">
        <v>11006</v>
      </c>
      <c r="I9293" t="s">
        <v>17348</v>
      </c>
      <c r="J9293" t="s">
        <v>18892</v>
      </c>
      <c r="K9293">
        <v>10453</v>
      </c>
      <c r="L9293" t="s">
        <v>18960</v>
      </c>
      <c r="M9293" t="s">
        <v>18958</v>
      </c>
      <c r="N9293" t="s">
        <v>25483</v>
      </c>
      <c r="O9293" t="s">
        <v>26523</v>
      </c>
      <c r="P9293" t="s">
        <v>26560</v>
      </c>
      <c r="R9293" t="s">
        <v>26578</v>
      </c>
      <c r="S9293" t="s">
        <v>18959</v>
      </c>
      <c r="U9293" t="s">
        <v>26604</v>
      </c>
      <c r="V9293" t="s">
        <v>26609</v>
      </c>
      <c r="X9293">
        <v>1521</v>
      </c>
      <c r="Y9293" t="s">
        <v>26650</v>
      </c>
      <c r="Z9293" t="s">
        <v>26530</v>
      </c>
      <c r="AB9293" t="s">
        <v>32136</v>
      </c>
      <c r="AC9293" t="s">
        <v>36625</v>
      </c>
      <c r="AD9293" t="s">
        <v>44048</v>
      </c>
      <c r="AE9293">
        <v>56</v>
      </c>
      <c r="AF9293" t="s">
        <v>20460</v>
      </c>
      <c r="AG9293" t="s">
        <v>19330</v>
      </c>
      <c r="AH9293">
        <v>7</v>
      </c>
      <c r="AI9293">
        <v>1</v>
      </c>
      <c r="AJ9293">
        <v>2</v>
      </c>
      <c r="AK9293">
        <v>81.33</v>
      </c>
      <c r="AN9293" t="s">
        <v>45581</v>
      </c>
      <c r="AO9293">
        <v>16900</v>
      </c>
      <c r="AP9293" t="s">
        <v>46152</v>
      </c>
      <c r="AU9293">
        <v>20.14</v>
      </c>
      <c r="AV9293" t="s">
        <v>792</v>
      </c>
      <c r="AW9293" t="s">
        <v>46860</v>
      </c>
    </row>
    <row r="9294" spans="1:49">
      <c r="A9294" s="1">
        <f>HYPERLINK("https://lsnyc.legalserver.org/matter/dynamic-profile/view/1881006","18-1881006")</f>
        <v>0</v>
      </c>
      <c r="B9294" t="s">
        <v>200</v>
      </c>
      <c r="C9294" t="s">
        <v>340</v>
      </c>
      <c r="D9294" t="s">
        <v>605</v>
      </c>
      <c r="F9294" t="s">
        <v>1282</v>
      </c>
      <c r="G9294" t="s">
        <v>8994</v>
      </c>
      <c r="H9294" t="s">
        <v>15981</v>
      </c>
      <c r="I9294">
        <v>1</v>
      </c>
      <c r="J9294" t="s">
        <v>18894</v>
      </c>
      <c r="K9294">
        <v>11213</v>
      </c>
      <c r="L9294" t="s">
        <v>18960</v>
      </c>
      <c r="M9294" t="s">
        <v>18960</v>
      </c>
      <c r="R9294" t="s">
        <v>26591</v>
      </c>
      <c r="U9294" t="s">
        <v>26604</v>
      </c>
      <c r="X9294">
        <v>3000</v>
      </c>
      <c r="Y9294" t="s">
        <v>26652</v>
      </c>
      <c r="Z9294" t="s">
        <v>26661</v>
      </c>
      <c r="AB9294" t="s">
        <v>31199</v>
      </c>
      <c r="AD9294" t="s">
        <v>44049</v>
      </c>
      <c r="AE9294">
        <v>8</v>
      </c>
      <c r="AF9294" t="s">
        <v>45547</v>
      </c>
      <c r="AG9294" t="s">
        <v>19330</v>
      </c>
      <c r="AH9294">
        <v>2</v>
      </c>
      <c r="AI9294">
        <v>1</v>
      </c>
      <c r="AJ9294">
        <v>0</v>
      </c>
      <c r="AK9294">
        <v>0</v>
      </c>
      <c r="AN9294" t="s">
        <v>7439</v>
      </c>
      <c r="AO9294">
        <v>0</v>
      </c>
      <c r="AU9294">
        <v>1.6</v>
      </c>
      <c r="AV9294" t="s">
        <v>682</v>
      </c>
      <c r="AW9294" t="s">
        <v>46846</v>
      </c>
    </row>
    <row r="9295" spans="1:49">
      <c r="A9295" s="1">
        <f>HYPERLINK("https://lsnyc.legalserver.org/matter/dynamic-profile/view/1881147","18-1881147")</f>
        <v>0</v>
      </c>
      <c r="B9295" t="s">
        <v>300</v>
      </c>
      <c r="C9295" t="s">
        <v>341</v>
      </c>
      <c r="D9295" t="s">
        <v>639</v>
      </c>
      <c r="E9295" t="s">
        <v>759</v>
      </c>
      <c r="F9295" t="s">
        <v>903</v>
      </c>
      <c r="G9295" t="s">
        <v>5008</v>
      </c>
      <c r="H9295" t="s">
        <v>15982</v>
      </c>
      <c r="I9295" t="s">
        <v>17712</v>
      </c>
      <c r="J9295" t="s">
        <v>18893</v>
      </c>
      <c r="K9295">
        <v>10034</v>
      </c>
      <c r="L9295" t="s">
        <v>18960</v>
      </c>
      <c r="M9295" t="s">
        <v>18960</v>
      </c>
      <c r="N9295" t="s">
        <v>25484</v>
      </c>
      <c r="O9295" t="s">
        <v>18997</v>
      </c>
      <c r="P9295" t="s">
        <v>26564</v>
      </c>
      <c r="Q9295" t="s">
        <v>26570</v>
      </c>
      <c r="R9295" t="s">
        <v>26592</v>
      </c>
      <c r="S9295" t="s">
        <v>18959</v>
      </c>
      <c r="U9295" t="s">
        <v>26604</v>
      </c>
      <c r="X9295">
        <v>1260</v>
      </c>
      <c r="Y9295" t="s">
        <v>26651</v>
      </c>
      <c r="AA9295" t="s">
        <v>26683</v>
      </c>
      <c r="AB9295" t="s">
        <v>33339</v>
      </c>
      <c r="AD9295" t="s">
        <v>44050</v>
      </c>
      <c r="AE9295">
        <v>0</v>
      </c>
      <c r="AF9295" t="s">
        <v>45541</v>
      </c>
      <c r="AG9295" t="s">
        <v>26530</v>
      </c>
      <c r="AH9295">
        <v>11</v>
      </c>
      <c r="AI9295">
        <v>1</v>
      </c>
      <c r="AJ9295">
        <v>0</v>
      </c>
      <c r="AK9295">
        <v>0</v>
      </c>
      <c r="AN9295" t="s">
        <v>7439</v>
      </c>
      <c r="AO9295">
        <v>0</v>
      </c>
      <c r="AU9295">
        <v>0.6</v>
      </c>
      <c r="AV9295" t="s">
        <v>643</v>
      </c>
      <c r="AW9295" t="s">
        <v>46829</v>
      </c>
    </row>
    <row r="9296" spans="1:49">
      <c r="A9296" s="1">
        <f>HYPERLINK("https://lsnyc.legalserver.org/matter/dynamic-profile/view/1881056","18-1881056")</f>
        <v>0</v>
      </c>
      <c r="B9296" t="s">
        <v>302</v>
      </c>
      <c r="C9296" t="s">
        <v>341</v>
      </c>
      <c r="D9296" t="s">
        <v>639</v>
      </c>
      <c r="E9296" t="s">
        <v>747</v>
      </c>
      <c r="F9296" t="s">
        <v>1594</v>
      </c>
      <c r="G9296" t="s">
        <v>5561</v>
      </c>
      <c r="H9296" t="s">
        <v>15983</v>
      </c>
      <c r="I9296" t="s">
        <v>17275</v>
      </c>
      <c r="J9296" t="s">
        <v>18892</v>
      </c>
      <c r="K9296">
        <v>10453</v>
      </c>
      <c r="L9296" t="s">
        <v>18960</v>
      </c>
      <c r="M9296" t="s">
        <v>18959</v>
      </c>
      <c r="O9296" t="s">
        <v>26526</v>
      </c>
      <c r="P9296" t="s">
        <v>26564</v>
      </c>
      <c r="Q9296" t="s">
        <v>26570</v>
      </c>
      <c r="R9296" t="s">
        <v>26591</v>
      </c>
      <c r="S9296" t="s">
        <v>18959</v>
      </c>
      <c r="U9296" t="s">
        <v>26604</v>
      </c>
      <c r="X9296">
        <v>0</v>
      </c>
      <c r="Y9296" t="s">
        <v>26650</v>
      </c>
      <c r="Z9296" t="s">
        <v>26673</v>
      </c>
      <c r="AA9296" t="s">
        <v>26683</v>
      </c>
      <c r="AB9296" t="s">
        <v>33340</v>
      </c>
      <c r="AD9296" t="s">
        <v>44051</v>
      </c>
      <c r="AE9296">
        <v>36</v>
      </c>
      <c r="AF9296" t="s">
        <v>45541</v>
      </c>
      <c r="AG9296" t="s">
        <v>45559</v>
      </c>
      <c r="AH9296">
        <v>22</v>
      </c>
      <c r="AI9296">
        <v>1</v>
      </c>
      <c r="AJ9296">
        <v>0</v>
      </c>
      <c r="AK9296">
        <v>163.6</v>
      </c>
      <c r="AN9296" t="s">
        <v>7439</v>
      </c>
      <c r="AO9296">
        <v>19861.2</v>
      </c>
      <c r="AP9296" t="s">
        <v>46153</v>
      </c>
      <c r="AU9296">
        <v>0.6</v>
      </c>
      <c r="AV9296" t="s">
        <v>639</v>
      </c>
      <c r="AW9296" t="s">
        <v>46842</v>
      </c>
    </row>
    <row r="9297" spans="1:49">
      <c r="A9297" s="1">
        <f>HYPERLINK("https://lsnyc.legalserver.org/matter/dynamic-profile/view/1881079","18-1881079")</f>
        <v>0</v>
      </c>
      <c r="B9297" t="s">
        <v>316</v>
      </c>
      <c r="C9297" t="s">
        <v>341</v>
      </c>
      <c r="D9297" t="s">
        <v>639</v>
      </c>
      <c r="E9297" t="s">
        <v>631</v>
      </c>
      <c r="F9297" t="s">
        <v>1638</v>
      </c>
      <c r="G9297" t="s">
        <v>8995</v>
      </c>
      <c r="H9297" t="s">
        <v>15984</v>
      </c>
      <c r="J9297" t="s">
        <v>18902</v>
      </c>
      <c r="K9297">
        <v>10301</v>
      </c>
      <c r="L9297" t="s">
        <v>18960</v>
      </c>
      <c r="M9297" t="s">
        <v>18960</v>
      </c>
      <c r="P9297" t="s">
        <v>26564</v>
      </c>
      <c r="Q9297" t="s">
        <v>26570</v>
      </c>
      <c r="R9297" t="s">
        <v>26591</v>
      </c>
      <c r="U9297" t="s">
        <v>26604</v>
      </c>
      <c r="X9297">
        <v>1300</v>
      </c>
      <c r="Y9297" t="s">
        <v>26654</v>
      </c>
      <c r="AA9297" t="s">
        <v>26691</v>
      </c>
      <c r="AB9297" t="s">
        <v>31043</v>
      </c>
      <c r="AD9297" t="s">
        <v>44052</v>
      </c>
      <c r="AE9297">
        <v>1</v>
      </c>
      <c r="AH9297">
        <v>1</v>
      </c>
      <c r="AI9297">
        <v>1</v>
      </c>
      <c r="AJ9297">
        <v>0</v>
      </c>
      <c r="AK9297">
        <v>98.84999999999999</v>
      </c>
      <c r="AN9297" t="s">
        <v>7439</v>
      </c>
      <c r="AO9297">
        <v>12000</v>
      </c>
      <c r="AU9297">
        <v>1</v>
      </c>
      <c r="AV9297" t="s">
        <v>639</v>
      </c>
      <c r="AW9297" t="s">
        <v>46857</v>
      </c>
    </row>
    <row r="9298" spans="1:49">
      <c r="A9298" s="1">
        <f>HYPERLINK("https://lsnyc.legalserver.org/matter/dynamic-profile/view/1881046","18-1881046")</f>
        <v>0</v>
      </c>
      <c r="B9298" t="s">
        <v>200</v>
      </c>
      <c r="C9298" t="s">
        <v>340</v>
      </c>
      <c r="D9298" t="s">
        <v>639</v>
      </c>
      <c r="F9298" t="s">
        <v>2994</v>
      </c>
      <c r="G9298" t="s">
        <v>5590</v>
      </c>
      <c r="H9298" t="s">
        <v>15985</v>
      </c>
      <c r="I9298" t="s">
        <v>17306</v>
      </c>
      <c r="J9298" t="s">
        <v>18894</v>
      </c>
      <c r="K9298">
        <v>11233</v>
      </c>
      <c r="L9298" t="s">
        <v>18958</v>
      </c>
      <c r="M9298" t="s">
        <v>18960</v>
      </c>
      <c r="O9298" t="s">
        <v>26526</v>
      </c>
      <c r="P9298" t="s">
        <v>26564</v>
      </c>
      <c r="R9298" t="s">
        <v>26578</v>
      </c>
      <c r="U9298" t="s">
        <v>26604</v>
      </c>
      <c r="X9298">
        <v>259</v>
      </c>
      <c r="Y9298" t="s">
        <v>26652</v>
      </c>
      <c r="Z9298" t="s">
        <v>26659</v>
      </c>
      <c r="AB9298" t="s">
        <v>28692</v>
      </c>
      <c r="AE9298">
        <v>6</v>
      </c>
      <c r="AF9298" t="s">
        <v>45541</v>
      </c>
      <c r="AG9298" t="s">
        <v>19330</v>
      </c>
      <c r="AH9298">
        <v>9</v>
      </c>
      <c r="AI9298">
        <v>1</v>
      </c>
      <c r="AJ9298">
        <v>0</v>
      </c>
      <c r="AK9298">
        <v>76.61</v>
      </c>
      <c r="AN9298" t="s">
        <v>7439</v>
      </c>
      <c r="AO9298">
        <v>9300</v>
      </c>
      <c r="AU9298">
        <v>0.9</v>
      </c>
      <c r="AV9298" t="s">
        <v>646</v>
      </c>
      <c r="AW9298" t="s">
        <v>46862</v>
      </c>
    </row>
    <row r="9299" spans="1:49">
      <c r="A9299" s="1">
        <f>HYPERLINK("https://lsnyc.legalserver.org/matter/dynamic-profile/view/1881233","18-1881233")</f>
        <v>0</v>
      </c>
      <c r="B9299" t="s">
        <v>186</v>
      </c>
      <c r="C9299" t="s">
        <v>341</v>
      </c>
      <c r="D9299" t="s">
        <v>631</v>
      </c>
      <c r="E9299" t="s">
        <v>414</v>
      </c>
      <c r="F9299" t="s">
        <v>4514</v>
      </c>
      <c r="G9299" t="s">
        <v>8996</v>
      </c>
      <c r="H9299" t="s">
        <v>15986</v>
      </c>
      <c r="I9299">
        <v>2</v>
      </c>
      <c r="J9299" t="s">
        <v>18894</v>
      </c>
      <c r="K9299">
        <v>11207</v>
      </c>
      <c r="L9299" t="s">
        <v>18960</v>
      </c>
      <c r="M9299" t="s">
        <v>18960</v>
      </c>
      <c r="O9299" t="s">
        <v>18997</v>
      </c>
      <c r="P9299" t="s">
        <v>26560</v>
      </c>
      <c r="Q9299" t="s">
        <v>26574</v>
      </c>
      <c r="R9299" t="s">
        <v>26583</v>
      </c>
      <c r="U9299" t="s">
        <v>26604</v>
      </c>
      <c r="X9299">
        <v>1625</v>
      </c>
      <c r="Y9299" t="s">
        <v>26652</v>
      </c>
      <c r="AA9299" t="s">
        <v>26678</v>
      </c>
      <c r="AB9299" t="s">
        <v>33341</v>
      </c>
      <c r="AD9299" t="s">
        <v>44053</v>
      </c>
      <c r="AE9299">
        <v>0</v>
      </c>
      <c r="AF9299" t="s">
        <v>20460</v>
      </c>
      <c r="AG9299" t="s">
        <v>19330</v>
      </c>
      <c r="AH9299">
        <v>0</v>
      </c>
      <c r="AI9299">
        <v>1</v>
      </c>
      <c r="AJ9299">
        <v>0</v>
      </c>
      <c r="AK9299">
        <v>321.25</v>
      </c>
      <c r="AN9299" t="s">
        <v>7439</v>
      </c>
      <c r="AO9299">
        <v>39000</v>
      </c>
      <c r="AR9299" t="s">
        <v>46379</v>
      </c>
      <c r="AS9299" t="s">
        <v>46499</v>
      </c>
      <c r="AT9299" t="s">
        <v>46521</v>
      </c>
      <c r="AU9299">
        <v>6.95</v>
      </c>
      <c r="AV9299" t="s">
        <v>414</v>
      </c>
      <c r="AW9299" t="s">
        <v>46859</v>
      </c>
    </row>
    <row r="9300" spans="1:49">
      <c r="A9300" s="1">
        <f>HYPERLINK("https://lsnyc.legalserver.org/matter/dynamic-profile/view/1881215","18-1881215")</f>
        <v>0</v>
      </c>
      <c r="B9300" t="s">
        <v>209</v>
      </c>
      <c r="C9300" t="s">
        <v>341</v>
      </c>
      <c r="D9300" t="s">
        <v>631</v>
      </c>
      <c r="E9300" t="s">
        <v>519</v>
      </c>
      <c r="F9300" t="s">
        <v>2854</v>
      </c>
      <c r="G9300" t="s">
        <v>6401</v>
      </c>
      <c r="H9300" t="s">
        <v>15987</v>
      </c>
      <c r="J9300" t="s">
        <v>18898</v>
      </c>
      <c r="K9300">
        <v>11691</v>
      </c>
      <c r="L9300" t="s">
        <v>18960</v>
      </c>
      <c r="M9300" t="s">
        <v>18960</v>
      </c>
      <c r="N9300" t="s">
        <v>25485</v>
      </c>
      <c r="Q9300" t="s">
        <v>26570</v>
      </c>
      <c r="R9300" t="s">
        <v>26591</v>
      </c>
      <c r="U9300" t="s">
        <v>26604</v>
      </c>
      <c r="X9300">
        <v>1650</v>
      </c>
      <c r="Y9300" t="s">
        <v>26653</v>
      </c>
      <c r="AA9300" t="s">
        <v>26683</v>
      </c>
      <c r="AB9300" t="s">
        <v>29993</v>
      </c>
      <c r="AE9300">
        <v>3</v>
      </c>
      <c r="AH9300">
        <v>3</v>
      </c>
      <c r="AI9300">
        <v>2</v>
      </c>
      <c r="AJ9300">
        <v>1</v>
      </c>
      <c r="AK9300">
        <v>125.12</v>
      </c>
      <c r="AN9300" t="s">
        <v>45581</v>
      </c>
      <c r="AO9300">
        <v>26000</v>
      </c>
      <c r="AU9300">
        <v>0.6</v>
      </c>
      <c r="AV9300" t="s">
        <v>519</v>
      </c>
      <c r="AW9300" t="s">
        <v>46850</v>
      </c>
    </row>
    <row r="9301" spans="1:49">
      <c r="A9301" s="1">
        <f>HYPERLINK("https://lsnyc.legalserver.org/matter/dynamic-profile/view/1881270","18-1881270")</f>
        <v>0</v>
      </c>
      <c r="B9301" t="s">
        <v>249</v>
      </c>
      <c r="C9301" t="s">
        <v>341</v>
      </c>
      <c r="D9301" t="s">
        <v>631</v>
      </c>
      <c r="E9301" t="s">
        <v>427</v>
      </c>
      <c r="F9301" t="s">
        <v>4515</v>
      </c>
      <c r="G9301" t="s">
        <v>5393</v>
      </c>
      <c r="H9301" t="s">
        <v>15716</v>
      </c>
      <c r="I9301" t="s">
        <v>17781</v>
      </c>
      <c r="J9301" t="s">
        <v>18894</v>
      </c>
      <c r="K9301">
        <v>11212</v>
      </c>
      <c r="L9301" t="s">
        <v>18959</v>
      </c>
      <c r="M9301" t="s">
        <v>18959</v>
      </c>
      <c r="O9301" t="s">
        <v>18997</v>
      </c>
      <c r="Q9301" t="s">
        <v>26570</v>
      </c>
      <c r="R9301" t="s">
        <v>26578</v>
      </c>
      <c r="S9301" t="s">
        <v>18959</v>
      </c>
      <c r="U9301" t="s">
        <v>26604</v>
      </c>
      <c r="V9301" t="s">
        <v>26610</v>
      </c>
      <c r="X9301">
        <v>1650</v>
      </c>
      <c r="Y9301" t="s">
        <v>26652</v>
      </c>
      <c r="Z9301" t="s">
        <v>26666</v>
      </c>
      <c r="AA9301" t="s">
        <v>26683</v>
      </c>
      <c r="AB9301" t="s">
        <v>33342</v>
      </c>
      <c r="AD9301" t="s">
        <v>44054</v>
      </c>
      <c r="AE9301">
        <v>32</v>
      </c>
      <c r="AF9301" t="s">
        <v>20460</v>
      </c>
      <c r="AG9301" t="s">
        <v>45556</v>
      </c>
      <c r="AH9301">
        <v>0</v>
      </c>
      <c r="AI9301">
        <v>1</v>
      </c>
      <c r="AJ9301">
        <v>0</v>
      </c>
      <c r="AK9301">
        <v>74.14</v>
      </c>
      <c r="AN9301" t="s">
        <v>7439</v>
      </c>
      <c r="AO9301">
        <v>9000</v>
      </c>
      <c r="AU9301">
        <v>1.5</v>
      </c>
      <c r="AV9301" t="s">
        <v>427</v>
      </c>
      <c r="AW9301" t="s">
        <v>46860</v>
      </c>
    </row>
    <row r="9302" spans="1:49">
      <c r="A9302" s="1">
        <f>HYPERLINK("https://lsnyc.legalserver.org/matter/dynamic-profile/view/1883466","18-1883466")</f>
        <v>0</v>
      </c>
      <c r="B9302" t="s">
        <v>201</v>
      </c>
      <c r="C9302" t="s">
        <v>341</v>
      </c>
      <c r="D9302" t="s">
        <v>631</v>
      </c>
      <c r="E9302" t="s">
        <v>788</v>
      </c>
      <c r="F9302" t="s">
        <v>952</v>
      </c>
      <c r="G9302" t="s">
        <v>994</v>
      </c>
      <c r="H9302" t="s">
        <v>15988</v>
      </c>
      <c r="I9302" t="s">
        <v>17352</v>
      </c>
      <c r="J9302" t="s">
        <v>18894</v>
      </c>
      <c r="K9302">
        <v>11225</v>
      </c>
      <c r="L9302" t="s">
        <v>18960</v>
      </c>
      <c r="M9302" t="s">
        <v>18960</v>
      </c>
      <c r="Q9302" t="s">
        <v>26568</v>
      </c>
      <c r="R9302" t="s">
        <v>26588</v>
      </c>
      <c r="U9302" t="s">
        <v>26604</v>
      </c>
      <c r="X9302">
        <v>0</v>
      </c>
      <c r="Y9302" t="s">
        <v>26652</v>
      </c>
      <c r="AA9302" t="s">
        <v>26678</v>
      </c>
      <c r="AB9302" t="s">
        <v>33343</v>
      </c>
      <c r="AD9302" t="s">
        <v>44055</v>
      </c>
      <c r="AE9302">
        <v>0</v>
      </c>
      <c r="AH9302">
        <v>0</v>
      </c>
      <c r="AI9302">
        <v>1</v>
      </c>
      <c r="AJ9302">
        <v>0</v>
      </c>
      <c r="AK9302">
        <v>0</v>
      </c>
      <c r="AN9302" t="s">
        <v>7439</v>
      </c>
      <c r="AO9302">
        <v>0</v>
      </c>
      <c r="AS9302" t="s">
        <v>46499</v>
      </c>
      <c r="AU9302">
        <v>7.75</v>
      </c>
      <c r="AV9302" t="s">
        <v>788</v>
      </c>
      <c r="AW9302" t="s">
        <v>46882</v>
      </c>
    </row>
    <row r="9303" spans="1:49">
      <c r="A9303" s="1">
        <f>HYPERLINK("https://lsnyc.legalserver.org/matter/dynamic-profile/view/1881255","18-1881255")</f>
        <v>0</v>
      </c>
      <c r="B9303" t="s">
        <v>122</v>
      </c>
      <c r="C9303" t="s">
        <v>341</v>
      </c>
      <c r="D9303" t="s">
        <v>631</v>
      </c>
      <c r="E9303" t="s">
        <v>685</v>
      </c>
      <c r="F9303" t="s">
        <v>1698</v>
      </c>
      <c r="G9303" t="s">
        <v>6776</v>
      </c>
      <c r="H9303" t="s">
        <v>9907</v>
      </c>
      <c r="I9303" t="s">
        <v>17284</v>
      </c>
      <c r="J9303" t="s">
        <v>18918</v>
      </c>
      <c r="K9303">
        <v>11416</v>
      </c>
      <c r="L9303" t="s">
        <v>18958</v>
      </c>
      <c r="M9303" t="s">
        <v>18958</v>
      </c>
      <c r="N9303" t="s">
        <v>25486</v>
      </c>
      <c r="O9303" t="s">
        <v>26523</v>
      </c>
      <c r="P9303" t="s">
        <v>26564</v>
      </c>
      <c r="Q9303" t="s">
        <v>26570</v>
      </c>
      <c r="R9303" t="s">
        <v>26584</v>
      </c>
      <c r="S9303" t="s">
        <v>18958</v>
      </c>
      <c r="U9303" t="s">
        <v>26604</v>
      </c>
      <c r="X9303">
        <v>1470</v>
      </c>
      <c r="Y9303" t="s">
        <v>26653</v>
      </c>
      <c r="Z9303" t="s">
        <v>26664</v>
      </c>
      <c r="AA9303" t="s">
        <v>26683</v>
      </c>
      <c r="AB9303" t="s">
        <v>33344</v>
      </c>
      <c r="AC9303" t="s">
        <v>36626</v>
      </c>
      <c r="AD9303" t="s">
        <v>44056</v>
      </c>
      <c r="AE9303">
        <v>12</v>
      </c>
      <c r="AF9303" t="s">
        <v>45541</v>
      </c>
      <c r="AG9303" t="s">
        <v>19330</v>
      </c>
      <c r="AH9303">
        <v>2</v>
      </c>
      <c r="AI9303">
        <v>1</v>
      </c>
      <c r="AJ9303">
        <v>1</v>
      </c>
      <c r="AK9303">
        <v>78.98</v>
      </c>
      <c r="AN9303" t="s">
        <v>7439</v>
      </c>
      <c r="AO9303">
        <v>13000</v>
      </c>
      <c r="AU9303">
        <v>1</v>
      </c>
      <c r="AV9303" t="s">
        <v>632</v>
      </c>
      <c r="AW9303" t="s">
        <v>122</v>
      </c>
    </row>
    <row r="9304" spans="1:49">
      <c r="A9304" s="1">
        <f>HYPERLINK("https://lsnyc.legalserver.org/matter/dynamic-profile/view/1881186","18-1881186")</f>
        <v>0</v>
      </c>
      <c r="B9304" t="s">
        <v>126</v>
      </c>
      <c r="C9304" t="s">
        <v>341</v>
      </c>
      <c r="D9304" t="s">
        <v>631</v>
      </c>
      <c r="E9304" t="s">
        <v>697</v>
      </c>
      <c r="F9304" t="s">
        <v>1587</v>
      </c>
      <c r="G9304" t="s">
        <v>5177</v>
      </c>
      <c r="H9304" t="s">
        <v>12276</v>
      </c>
      <c r="I9304" t="s">
        <v>17951</v>
      </c>
      <c r="J9304" t="s">
        <v>18894</v>
      </c>
      <c r="K9304">
        <v>11239</v>
      </c>
      <c r="L9304" t="s">
        <v>18959</v>
      </c>
      <c r="M9304" t="s">
        <v>18959</v>
      </c>
      <c r="N9304" t="s">
        <v>25487</v>
      </c>
      <c r="O9304" t="s">
        <v>26523</v>
      </c>
      <c r="P9304" t="s">
        <v>26565</v>
      </c>
      <c r="Q9304" t="s">
        <v>26569</v>
      </c>
      <c r="R9304" t="s">
        <v>26578</v>
      </c>
      <c r="S9304" t="s">
        <v>18959</v>
      </c>
      <c r="U9304" t="s">
        <v>26604</v>
      </c>
      <c r="V9304" t="s">
        <v>26610</v>
      </c>
      <c r="X9304">
        <v>897</v>
      </c>
      <c r="Y9304" t="s">
        <v>26652</v>
      </c>
      <c r="Z9304" t="s">
        <v>26661</v>
      </c>
      <c r="AA9304" t="s">
        <v>26687</v>
      </c>
      <c r="AB9304" t="s">
        <v>27208</v>
      </c>
      <c r="AC9304" t="s">
        <v>36627</v>
      </c>
      <c r="AD9304" t="s">
        <v>44057</v>
      </c>
      <c r="AE9304">
        <v>160</v>
      </c>
      <c r="AF9304" t="s">
        <v>45541</v>
      </c>
      <c r="AG9304" t="s">
        <v>45563</v>
      </c>
      <c r="AH9304">
        <v>9</v>
      </c>
      <c r="AI9304">
        <v>1</v>
      </c>
      <c r="AJ9304">
        <v>0</v>
      </c>
      <c r="AK9304">
        <v>186.33</v>
      </c>
      <c r="AN9304" t="s">
        <v>7439</v>
      </c>
      <c r="AO9304">
        <v>22620</v>
      </c>
      <c r="AU9304">
        <v>1.7</v>
      </c>
      <c r="AV9304" t="s">
        <v>525</v>
      </c>
      <c r="AW9304" t="s">
        <v>46857</v>
      </c>
    </row>
    <row r="9305" spans="1:49">
      <c r="A9305" s="1">
        <f>HYPERLINK("https://lsnyc.legalserver.org/matter/dynamic-profile/view/1881275","18-1881275")</f>
        <v>0</v>
      </c>
      <c r="B9305" t="s">
        <v>200</v>
      </c>
      <c r="C9305" t="s">
        <v>340</v>
      </c>
      <c r="D9305" t="s">
        <v>631</v>
      </c>
      <c r="F9305" t="s">
        <v>1944</v>
      </c>
      <c r="G9305" t="s">
        <v>8997</v>
      </c>
      <c r="H9305" t="s">
        <v>15989</v>
      </c>
      <c r="I9305" t="s">
        <v>17306</v>
      </c>
      <c r="J9305" t="s">
        <v>18894</v>
      </c>
      <c r="K9305">
        <v>11230</v>
      </c>
      <c r="L9305" t="s">
        <v>18960</v>
      </c>
      <c r="M9305" t="s">
        <v>18960</v>
      </c>
      <c r="O9305" t="s">
        <v>18997</v>
      </c>
      <c r="R9305" t="s">
        <v>26591</v>
      </c>
      <c r="S9305" t="s">
        <v>18959</v>
      </c>
      <c r="U9305" t="s">
        <v>26604</v>
      </c>
      <c r="X9305">
        <v>1254</v>
      </c>
      <c r="Y9305" t="s">
        <v>26652</v>
      </c>
      <c r="AB9305" t="s">
        <v>33345</v>
      </c>
      <c r="AE9305">
        <v>40</v>
      </c>
      <c r="AF9305" t="s">
        <v>20460</v>
      </c>
      <c r="AG9305" t="s">
        <v>19330</v>
      </c>
      <c r="AH9305">
        <v>23</v>
      </c>
      <c r="AI9305">
        <v>2</v>
      </c>
      <c r="AJ9305">
        <v>0</v>
      </c>
      <c r="AK9305">
        <v>123.21</v>
      </c>
      <c r="AN9305" t="s">
        <v>45581</v>
      </c>
      <c r="AO9305">
        <v>20280</v>
      </c>
      <c r="AU9305">
        <v>0.75</v>
      </c>
      <c r="AV9305" t="s">
        <v>631</v>
      </c>
      <c r="AW9305" t="s">
        <v>46829</v>
      </c>
    </row>
    <row r="9306" spans="1:49">
      <c r="A9306" s="1">
        <f>HYPERLINK("https://lsnyc.legalserver.org/matter/dynamic-profile/view/1881217","18-1881217")</f>
        <v>0</v>
      </c>
      <c r="B9306" t="s">
        <v>112</v>
      </c>
      <c r="C9306" t="s">
        <v>340</v>
      </c>
      <c r="D9306" t="s">
        <v>631</v>
      </c>
      <c r="F9306" t="s">
        <v>1119</v>
      </c>
      <c r="G9306" t="s">
        <v>8998</v>
      </c>
      <c r="H9306" t="s">
        <v>15990</v>
      </c>
      <c r="J9306" t="s">
        <v>18900</v>
      </c>
      <c r="K9306">
        <v>11355</v>
      </c>
      <c r="L9306" t="s">
        <v>18958</v>
      </c>
      <c r="M9306" t="s">
        <v>18958</v>
      </c>
      <c r="N9306" t="s">
        <v>25488</v>
      </c>
      <c r="O9306" t="s">
        <v>26524</v>
      </c>
      <c r="P9306" t="s">
        <v>26563</v>
      </c>
      <c r="R9306" t="s">
        <v>26584</v>
      </c>
      <c r="S9306" t="s">
        <v>18959</v>
      </c>
      <c r="U9306" t="s">
        <v>26604</v>
      </c>
      <c r="X9306">
        <v>1400</v>
      </c>
      <c r="Y9306" t="s">
        <v>26653</v>
      </c>
      <c r="Z9306" t="s">
        <v>26664</v>
      </c>
      <c r="AB9306" t="s">
        <v>32567</v>
      </c>
      <c r="AD9306" t="s">
        <v>44058</v>
      </c>
      <c r="AE9306">
        <v>0</v>
      </c>
      <c r="AF9306" t="s">
        <v>20460</v>
      </c>
      <c r="AH9306">
        <v>8</v>
      </c>
      <c r="AI9306">
        <v>2</v>
      </c>
      <c r="AJ9306">
        <v>1</v>
      </c>
      <c r="AK9306">
        <v>105.1</v>
      </c>
      <c r="AN9306" t="s">
        <v>7439</v>
      </c>
      <c r="AO9306">
        <v>21840</v>
      </c>
      <c r="AU9306">
        <v>1</v>
      </c>
      <c r="AV9306" t="s">
        <v>631</v>
      </c>
      <c r="AW9306" t="s">
        <v>208</v>
      </c>
    </row>
    <row r="9307" spans="1:49">
      <c r="A9307" s="1">
        <f>HYPERLINK("https://lsnyc.legalserver.org/matter/dynamic-profile/view/1881377","18-1881377")</f>
        <v>0</v>
      </c>
      <c r="B9307" t="s">
        <v>77</v>
      </c>
      <c r="C9307" t="s">
        <v>341</v>
      </c>
      <c r="D9307" t="s">
        <v>632</v>
      </c>
      <c r="E9307" t="s">
        <v>519</v>
      </c>
      <c r="F9307" t="s">
        <v>1032</v>
      </c>
      <c r="G9307" t="s">
        <v>5953</v>
      </c>
      <c r="H9307" t="s">
        <v>14126</v>
      </c>
      <c r="I9307" t="s">
        <v>17646</v>
      </c>
      <c r="J9307" t="s">
        <v>18893</v>
      </c>
      <c r="K9307">
        <v>10033</v>
      </c>
      <c r="L9307" t="s">
        <v>18958</v>
      </c>
      <c r="M9307" t="s">
        <v>18958</v>
      </c>
      <c r="N9307" t="s">
        <v>25489</v>
      </c>
      <c r="O9307" t="s">
        <v>26523</v>
      </c>
      <c r="P9307" t="s">
        <v>26564</v>
      </c>
      <c r="Q9307" t="s">
        <v>26570</v>
      </c>
      <c r="R9307" t="s">
        <v>26582</v>
      </c>
      <c r="S9307" t="s">
        <v>18959</v>
      </c>
      <c r="U9307" t="s">
        <v>26604</v>
      </c>
      <c r="V9307" t="s">
        <v>26612</v>
      </c>
      <c r="X9307">
        <v>1428</v>
      </c>
      <c r="Y9307" t="s">
        <v>26651</v>
      </c>
      <c r="Z9307" t="s">
        <v>26664</v>
      </c>
      <c r="AA9307" t="s">
        <v>26683</v>
      </c>
      <c r="AB9307" t="s">
        <v>31542</v>
      </c>
      <c r="AD9307" t="s">
        <v>41775</v>
      </c>
      <c r="AE9307">
        <v>54</v>
      </c>
      <c r="AF9307" t="s">
        <v>20460</v>
      </c>
      <c r="AG9307" t="s">
        <v>19330</v>
      </c>
      <c r="AH9307">
        <v>8</v>
      </c>
      <c r="AI9307">
        <v>1</v>
      </c>
      <c r="AJ9307">
        <v>0</v>
      </c>
      <c r="AK9307">
        <v>164.74</v>
      </c>
      <c r="AN9307" t="s">
        <v>7439</v>
      </c>
      <c r="AO9307">
        <v>20000</v>
      </c>
      <c r="AU9307">
        <v>1.3</v>
      </c>
      <c r="AV9307" t="s">
        <v>664</v>
      </c>
      <c r="AW9307" t="s">
        <v>314</v>
      </c>
    </row>
    <row r="9308" spans="1:49">
      <c r="A9308" s="1">
        <f>HYPERLINK("https://lsnyc.legalserver.org/matter/dynamic-profile/view/1881354","18-1881354")</f>
        <v>0</v>
      </c>
      <c r="B9308" t="s">
        <v>238</v>
      </c>
      <c r="C9308" t="s">
        <v>341</v>
      </c>
      <c r="D9308" t="s">
        <v>632</v>
      </c>
      <c r="E9308" t="s">
        <v>670</v>
      </c>
      <c r="F9308" t="s">
        <v>4516</v>
      </c>
      <c r="G9308" t="s">
        <v>8999</v>
      </c>
      <c r="H9308" t="s">
        <v>15991</v>
      </c>
      <c r="I9308" t="s">
        <v>17410</v>
      </c>
      <c r="J9308" t="s">
        <v>18894</v>
      </c>
      <c r="K9308">
        <v>11212</v>
      </c>
      <c r="L9308" t="s">
        <v>18959</v>
      </c>
      <c r="M9308" t="s">
        <v>18960</v>
      </c>
      <c r="N9308" t="s">
        <v>25490</v>
      </c>
      <c r="O9308" t="s">
        <v>26523</v>
      </c>
      <c r="P9308" t="s">
        <v>26564</v>
      </c>
      <c r="Q9308" t="s">
        <v>26571</v>
      </c>
      <c r="R9308" t="s">
        <v>26578</v>
      </c>
      <c r="U9308" t="s">
        <v>26604</v>
      </c>
      <c r="X9308">
        <v>600</v>
      </c>
      <c r="Y9308" t="s">
        <v>26652</v>
      </c>
      <c r="Z9308" t="s">
        <v>26664</v>
      </c>
      <c r="AA9308" t="s">
        <v>26681</v>
      </c>
      <c r="AB9308" t="s">
        <v>32506</v>
      </c>
      <c r="AD9308" t="s">
        <v>44059</v>
      </c>
      <c r="AE9308">
        <v>0</v>
      </c>
      <c r="AH9308">
        <v>-1</v>
      </c>
      <c r="AI9308">
        <v>1</v>
      </c>
      <c r="AJ9308">
        <v>0</v>
      </c>
      <c r="AK9308">
        <v>164.74</v>
      </c>
      <c r="AN9308" t="s">
        <v>7439</v>
      </c>
      <c r="AO9308">
        <v>20000</v>
      </c>
      <c r="AU9308">
        <v>1.5</v>
      </c>
      <c r="AV9308" t="s">
        <v>670</v>
      </c>
      <c r="AW9308" t="s">
        <v>46862</v>
      </c>
    </row>
    <row r="9309" spans="1:49">
      <c r="A9309" s="1">
        <f>HYPERLINK("https://lsnyc.legalserver.org/matter/dynamic-profile/view/1881326","18-1881326")</f>
        <v>0</v>
      </c>
      <c r="B9309" t="s">
        <v>122</v>
      </c>
      <c r="C9309" t="s">
        <v>341</v>
      </c>
      <c r="D9309" t="s">
        <v>632</v>
      </c>
      <c r="E9309" t="s">
        <v>677</v>
      </c>
      <c r="F9309" t="s">
        <v>1475</v>
      </c>
      <c r="G9309" t="s">
        <v>5100</v>
      </c>
      <c r="H9309" t="s">
        <v>15992</v>
      </c>
      <c r="I9309" t="s">
        <v>17410</v>
      </c>
      <c r="J9309" t="s">
        <v>18904</v>
      </c>
      <c r="K9309">
        <v>11421</v>
      </c>
      <c r="L9309" t="s">
        <v>18958</v>
      </c>
      <c r="M9309" t="s">
        <v>18958</v>
      </c>
      <c r="N9309" t="s">
        <v>25491</v>
      </c>
      <c r="O9309" t="s">
        <v>26524</v>
      </c>
      <c r="P9309" t="s">
        <v>26564</v>
      </c>
      <c r="Q9309" t="s">
        <v>26570</v>
      </c>
      <c r="R9309" t="s">
        <v>26584</v>
      </c>
      <c r="S9309" t="s">
        <v>18959</v>
      </c>
      <c r="U9309" t="s">
        <v>26604</v>
      </c>
      <c r="X9309">
        <v>1700</v>
      </c>
      <c r="Y9309" t="s">
        <v>26653</v>
      </c>
      <c r="Z9309" t="s">
        <v>26664</v>
      </c>
      <c r="AA9309" t="s">
        <v>26683</v>
      </c>
      <c r="AB9309" t="s">
        <v>32175</v>
      </c>
      <c r="AD9309" t="s">
        <v>44060</v>
      </c>
      <c r="AE9309">
        <v>4</v>
      </c>
      <c r="AF9309" t="s">
        <v>45547</v>
      </c>
      <c r="AG9309" t="s">
        <v>19330</v>
      </c>
      <c r="AH9309">
        <v>3</v>
      </c>
      <c r="AI9309">
        <v>3</v>
      </c>
      <c r="AJ9309">
        <v>1</v>
      </c>
      <c r="AK9309">
        <v>105.18</v>
      </c>
      <c r="AN9309" t="s">
        <v>45581</v>
      </c>
      <c r="AO9309">
        <v>26400</v>
      </c>
      <c r="AU9309">
        <v>1</v>
      </c>
      <c r="AV9309" t="s">
        <v>632</v>
      </c>
      <c r="AW9309" t="s">
        <v>122</v>
      </c>
    </row>
    <row r="9310" spans="1:49">
      <c r="A9310" s="1">
        <f>HYPERLINK("https://lsnyc.legalserver.org/matter/dynamic-profile/view/1881332","18-1881332")</f>
        <v>0</v>
      </c>
      <c r="B9310" t="s">
        <v>69</v>
      </c>
      <c r="C9310" t="s">
        <v>341</v>
      </c>
      <c r="D9310" t="s">
        <v>632</v>
      </c>
      <c r="E9310" t="s">
        <v>494</v>
      </c>
      <c r="F9310" t="s">
        <v>2278</v>
      </c>
      <c r="G9310" t="s">
        <v>5311</v>
      </c>
      <c r="H9310" t="s">
        <v>13057</v>
      </c>
      <c r="I9310" t="s">
        <v>18118</v>
      </c>
      <c r="J9310" t="s">
        <v>18892</v>
      </c>
      <c r="K9310">
        <v>10452</v>
      </c>
      <c r="L9310" t="s">
        <v>18958</v>
      </c>
      <c r="M9310" t="s">
        <v>18958</v>
      </c>
      <c r="P9310" t="s">
        <v>26564</v>
      </c>
      <c r="Q9310" t="s">
        <v>26570</v>
      </c>
      <c r="R9310" t="s">
        <v>26591</v>
      </c>
      <c r="S9310" t="s">
        <v>18959</v>
      </c>
      <c r="U9310" t="s">
        <v>26604</v>
      </c>
      <c r="X9310">
        <v>1800</v>
      </c>
      <c r="Y9310" t="s">
        <v>26650</v>
      </c>
      <c r="Z9310" t="s">
        <v>26660</v>
      </c>
      <c r="AA9310" t="s">
        <v>26683</v>
      </c>
      <c r="AB9310" t="s">
        <v>29623</v>
      </c>
      <c r="AD9310" t="s">
        <v>44061</v>
      </c>
      <c r="AE9310">
        <v>0</v>
      </c>
      <c r="AF9310" t="s">
        <v>45541</v>
      </c>
      <c r="AG9310" t="s">
        <v>45556</v>
      </c>
      <c r="AH9310">
        <v>16</v>
      </c>
      <c r="AI9310">
        <v>2</v>
      </c>
      <c r="AJ9310">
        <v>0</v>
      </c>
      <c r="AK9310">
        <v>49.21</v>
      </c>
      <c r="AN9310" t="s">
        <v>45581</v>
      </c>
      <c r="AO9310">
        <v>8100</v>
      </c>
      <c r="AP9310" t="s">
        <v>46106</v>
      </c>
      <c r="AU9310">
        <v>1.4</v>
      </c>
      <c r="AV9310" t="s">
        <v>632</v>
      </c>
      <c r="AW9310" t="s">
        <v>46854</v>
      </c>
    </row>
    <row r="9311" spans="1:49">
      <c r="A9311" s="1">
        <f>HYPERLINK("https://lsnyc.legalserver.org/matter/dynamic-profile/view/1881430","18-1881430")</f>
        <v>0</v>
      </c>
      <c r="B9311" t="s">
        <v>279</v>
      </c>
      <c r="C9311" t="s">
        <v>341</v>
      </c>
      <c r="D9311" t="s">
        <v>632</v>
      </c>
      <c r="E9311" t="s">
        <v>678</v>
      </c>
      <c r="F9311" t="s">
        <v>947</v>
      </c>
      <c r="G9311" t="s">
        <v>9000</v>
      </c>
      <c r="H9311" t="s">
        <v>15993</v>
      </c>
      <c r="I9311" t="s">
        <v>17743</v>
      </c>
      <c r="J9311" t="s">
        <v>18894</v>
      </c>
      <c r="K9311">
        <v>11239</v>
      </c>
      <c r="L9311" t="s">
        <v>18959</v>
      </c>
      <c r="M9311" t="s">
        <v>18959</v>
      </c>
      <c r="N9311" t="s">
        <v>18997</v>
      </c>
      <c r="O9311" t="s">
        <v>26537</v>
      </c>
      <c r="Q9311" t="s">
        <v>26570</v>
      </c>
      <c r="R9311" t="s">
        <v>26578</v>
      </c>
      <c r="S9311" t="s">
        <v>18959</v>
      </c>
      <c r="U9311" t="s">
        <v>26604</v>
      </c>
      <c r="X9311">
        <v>1466</v>
      </c>
      <c r="Y9311" t="s">
        <v>26652</v>
      </c>
      <c r="Z9311" t="s">
        <v>26668</v>
      </c>
      <c r="AA9311" t="s">
        <v>26683</v>
      </c>
      <c r="AB9311" t="s">
        <v>33346</v>
      </c>
      <c r="AE9311">
        <v>192</v>
      </c>
      <c r="AF9311" t="s">
        <v>45541</v>
      </c>
      <c r="AG9311" t="s">
        <v>45556</v>
      </c>
      <c r="AH9311">
        <v>2</v>
      </c>
      <c r="AI9311">
        <v>2</v>
      </c>
      <c r="AJ9311">
        <v>0</v>
      </c>
      <c r="AK9311">
        <v>47.39</v>
      </c>
      <c r="AN9311" t="s">
        <v>7439</v>
      </c>
      <c r="AO9311">
        <v>7800</v>
      </c>
      <c r="AU9311">
        <v>3.5</v>
      </c>
      <c r="AV9311" t="s">
        <v>678</v>
      </c>
      <c r="AW9311" t="s">
        <v>46846</v>
      </c>
    </row>
    <row r="9312" spans="1:49">
      <c r="A9312" s="1">
        <f>HYPERLINK("https://lsnyc.legalserver.org/matter/dynamic-profile/view/1881384","18-1881384")</f>
        <v>0</v>
      </c>
      <c r="B9312" t="s">
        <v>94</v>
      </c>
      <c r="C9312" t="s">
        <v>340</v>
      </c>
      <c r="D9312" t="s">
        <v>632</v>
      </c>
      <c r="F9312" t="s">
        <v>4517</v>
      </c>
      <c r="G9312" t="s">
        <v>5539</v>
      </c>
      <c r="H9312" t="s">
        <v>15994</v>
      </c>
      <c r="J9312" t="s">
        <v>18893</v>
      </c>
      <c r="K9312">
        <v>10027</v>
      </c>
      <c r="L9312" t="s">
        <v>18960</v>
      </c>
      <c r="M9312" t="s">
        <v>18960</v>
      </c>
      <c r="O9312" t="s">
        <v>26523</v>
      </c>
      <c r="P9312" t="s">
        <v>26560</v>
      </c>
      <c r="R9312" t="s">
        <v>26582</v>
      </c>
      <c r="S9312" t="s">
        <v>18959</v>
      </c>
      <c r="U9312" t="s">
        <v>26604</v>
      </c>
      <c r="X9312">
        <v>634</v>
      </c>
      <c r="Y9312" t="s">
        <v>26651</v>
      </c>
      <c r="AB9312" t="s">
        <v>29290</v>
      </c>
      <c r="AD9312" t="s">
        <v>44062</v>
      </c>
      <c r="AE9312">
        <v>0</v>
      </c>
      <c r="AG9312" t="s">
        <v>26530</v>
      </c>
      <c r="AH9312">
        <v>0</v>
      </c>
      <c r="AI9312">
        <v>2</v>
      </c>
      <c r="AJ9312">
        <v>1</v>
      </c>
      <c r="AK9312">
        <v>73.56999999999999</v>
      </c>
      <c r="AN9312" t="s">
        <v>26530</v>
      </c>
      <c r="AO9312">
        <v>15288</v>
      </c>
      <c r="AU9312">
        <v>39.25</v>
      </c>
      <c r="AV9312" t="s">
        <v>753</v>
      </c>
      <c r="AW9312" t="s">
        <v>264</v>
      </c>
    </row>
    <row r="9313" spans="1:49">
      <c r="A9313" s="1">
        <f>HYPERLINK("https://lsnyc.legalserver.org/matter/dynamic-profile/view/1881316","18-1881316")</f>
        <v>0</v>
      </c>
      <c r="B9313" t="s">
        <v>264</v>
      </c>
      <c r="C9313" t="s">
        <v>340</v>
      </c>
      <c r="D9313" t="s">
        <v>632</v>
      </c>
      <c r="F9313" t="s">
        <v>1292</v>
      </c>
      <c r="G9313" t="s">
        <v>9001</v>
      </c>
      <c r="H9313" t="s">
        <v>15995</v>
      </c>
      <c r="J9313" t="s">
        <v>18893</v>
      </c>
      <c r="K9313">
        <v>10025</v>
      </c>
      <c r="L9313" t="s">
        <v>18960</v>
      </c>
      <c r="M9313" t="s">
        <v>18960</v>
      </c>
      <c r="R9313" t="s">
        <v>26582</v>
      </c>
      <c r="U9313" t="s">
        <v>26606</v>
      </c>
      <c r="X9313">
        <v>0</v>
      </c>
      <c r="Y9313" t="s">
        <v>26651</v>
      </c>
      <c r="AB9313" t="s">
        <v>27228</v>
      </c>
      <c r="AD9313" t="s">
        <v>44063</v>
      </c>
      <c r="AE9313">
        <v>0</v>
      </c>
      <c r="AH9313">
        <v>20</v>
      </c>
      <c r="AI9313">
        <v>1</v>
      </c>
      <c r="AJ9313">
        <v>0</v>
      </c>
      <c r="AK9313">
        <v>164.74</v>
      </c>
      <c r="AN9313" t="s">
        <v>7439</v>
      </c>
      <c r="AO9313">
        <v>20000</v>
      </c>
      <c r="AU9313">
        <v>9.449999999999999</v>
      </c>
      <c r="AV9313" t="s">
        <v>827</v>
      </c>
      <c r="AW9313" t="s">
        <v>264</v>
      </c>
    </row>
    <row r="9314" spans="1:49">
      <c r="A9314" s="1">
        <f>HYPERLINK("https://lsnyc.legalserver.org/matter/dynamic-profile/view/1881442","18-1881442")</f>
        <v>0</v>
      </c>
      <c r="B9314" t="s">
        <v>142</v>
      </c>
      <c r="C9314" t="s">
        <v>340</v>
      </c>
      <c r="D9314" t="s">
        <v>632</v>
      </c>
      <c r="F9314" t="s">
        <v>893</v>
      </c>
      <c r="G9314" t="s">
        <v>5982</v>
      </c>
      <c r="H9314" t="s">
        <v>15996</v>
      </c>
      <c r="I9314" t="s">
        <v>17334</v>
      </c>
      <c r="J9314" t="s">
        <v>18899</v>
      </c>
      <c r="K9314">
        <v>11385</v>
      </c>
      <c r="L9314" t="s">
        <v>18958</v>
      </c>
      <c r="M9314" t="s">
        <v>18958</v>
      </c>
      <c r="N9314" t="s">
        <v>25492</v>
      </c>
      <c r="O9314" t="s">
        <v>26524</v>
      </c>
      <c r="P9314" t="s">
        <v>26563</v>
      </c>
      <c r="R9314" t="s">
        <v>26585</v>
      </c>
      <c r="S9314" t="s">
        <v>18959</v>
      </c>
      <c r="U9314" t="s">
        <v>26604</v>
      </c>
      <c r="X9314">
        <v>2250</v>
      </c>
      <c r="Y9314" t="s">
        <v>26653</v>
      </c>
      <c r="Z9314" t="s">
        <v>26664</v>
      </c>
      <c r="AB9314" t="s">
        <v>33347</v>
      </c>
      <c r="AC9314" t="s">
        <v>36628</v>
      </c>
      <c r="AD9314" t="s">
        <v>44064</v>
      </c>
      <c r="AE9314">
        <v>0</v>
      </c>
      <c r="AF9314" t="s">
        <v>20460</v>
      </c>
      <c r="AH9314">
        <v>1</v>
      </c>
      <c r="AI9314">
        <v>1</v>
      </c>
      <c r="AJ9314">
        <v>0</v>
      </c>
      <c r="AK9314">
        <v>0</v>
      </c>
      <c r="AN9314" t="s">
        <v>7439</v>
      </c>
      <c r="AO9314">
        <v>0</v>
      </c>
      <c r="AQ9314" t="s">
        <v>46359</v>
      </c>
      <c r="AR9314" t="s">
        <v>26530</v>
      </c>
      <c r="AS9314" t="s">
        <v>46500</v>
      </c>
      <c r="AT9314" t="s">
        <v>46543</v>
      </c>
      <c r="AU9314">
        <v>5.9</v>
      </c>
      <c r="AV9314" t="s">
        <v>755</v>
      </c>
      <c r="AW9314" t="s">
        <v>208</v>
      </c>
    </row>
    <row r="9315" spans="1:49">
      <c r="A9315" s="1">
        <f>HYPERLINK("https://lsnyc.legalserver.org/matter/dynamic-profile/view/1881367","18-1881367")</f>
        <v>0</v>
      </c>
      <c r="B9315" t="s">
        <v>114</v>
      </c>
      <c r="C9315" t="s">
        <v>340</v>
      </c>
      <c r="D9315" t="s">
        <v>632</v>
      </c>
      <c r="F9315" t="s">
        <v>4518</v>
      </c>
      <c r="G9315" t="s">
        <v>8305</v>
      </c>
      <c r="H9315" t="s">
        <v>15997</v>
      </c>
      <c r="I9315" t="s">
        <v>18653</v>
      </c>
      <c r="J9315" t="s">
        <v>18900</v>
      </c>
      <c r="K9315">
        <v>11367</v>
      </c>
      <c r="L9315" t="s">
        <v>18958</v>
      </c>
      <c r="M9315" t="s">
        <v>18958</v>
      </c>
      <c r="N9315" t="s">
        <v>25493</v>
      </c>
      <c r="O9315" t="s">
        <v>26523</v>
      </c>
      <c r="R9315" t="s">
        <v>26584</v>
      </c>
      <c r="S9315" t="s">
        <v>26598</v>
      </c>
      <c r="U9315" t="s">
        <v>26604</v>
      </c>
      <c r="X9315">
        <v>1236</v>
      </c>
      <c r="Y9315" t="s">
        <v>26653</v>
      </c>
      <c r="Z9315" t="s">
        <v>26664</v>
      </c>
      <c r="AB9315" t="s">
        <v>33348</v>
      </c>
      <c r="AC9315" t="s">
        <v>36629</v>
      </c>
      <c r="AD9315" t="s">
        <v>44065</v>
      </c>
      <c r="AE9315">
        <v>2</v>
      </c>
      <c r="AF9315" t="s">
        <v>45541</v>
      </c>
      <c r="AG9315" t="s">
        <v>19330</v>
      </c>
      <c r="AH9315">
        <v>3</v>
      </c>
      <c r="AI9315">
        <v>2</v>
      </c>
      <c r="AJ9315">
        <v>3</v>
      </c>
      <c r="AK9315">
        <v>63.88</v>
      </c>
      <c r="AO9315">
        <v>18793</v>
      </c>
      <c r="AU9315">
        <v>1.65</v>
      </c>
      <c r="AV9315" t="s">
        <v>603</v>
      </c>
      <c r="AW9315" t="s">
        <v>122</v>
      </c>
    </row>
    <row r="9316" spans="1:49">
      <c r="A9316" s="1">
        <f>HYPERLINK("https://lsnyc.legalserver.org/matter/dynamic-profile/view/1881358","18-1881358")</f>
        <v>0</v>
      </c>
      <c r="B9316" t="s">
        <v>114</v>
      </c>
      <c r="C9316" t="s">
        <v>340</v>
      </c>
      <c r="D9316" t="s">
        <v>632</v>
      </c>
      <c r="F9316" t="s">
        <v>4519</v>
      </c>
      <c r="G9316" t="s">
        <v>9002</v>
      </c>
      <c r="H9316" t="s">
        <v>15998</v>
      </c>
      <c r="I9316" t="s">
        <v>17375</v>
      </c>
      <c r="J9316" t="s">
        <v>7026</v>
      </c>
      <c r="K9316">
        <v>11368</v>
      </c>
      <c r="L9316" t="s">
        <v>18958</v>
      </c>
      <c r="M9316" t="s">
        <v>18958</v>
      </c>
      <c r="N9316" t="s">
        <v>25494</v>
      </c>
      <c r="O9316" t="s">
        <v>26523</v>
      </c>
      <c r="R9316" t="s">
        <v>26584</v>
      </c>
      <c r="U9316" t="s">
        <v>26604</v>
      </c>
      <c r="X9316">
        <v>1600</v>
      </c>
      <c r="Y9316" t="s">
        <v>26653</v>
      </c>
      <c r="Z9316" t="s">
        <v>26664</v>
      </c>
      <c r="AB9316" t="s">
        <v>33349</v>
      </c>
      <c r="AD9316" t="s">
        <v>44066</v>
      </c>
      <c r="AE9316">
        <v>2</v>
      </c>
      <c r="AG9316" t="s">
        <v>19330</v>
      </c>
      <c r="AH9316">
        <v>1</v>
      </c>
      <c r="AI9316">
        <v>2</v>
      </c>
      <c r="AJ9316">
        <v>0</v>
      </c>
      <c r="AK9316">
        <v>113.73</v>
      </c>
      <c r="AN9316" t="s">
        <v>7439</v>
      </c>
      <c r="AO9316">
        <v>18720</v>
      </c>
      <c r="AU9316">
        <v>0.75</v>
      </c>
      <c r="AV9316" t="s">
        <v>632</v>
      </c>
      <c r="AW9316" t="s">
        <v>122</v>
      </c>
    </row>
    <row r="9317" spans="1:49">
      <c r="A9317" s="1">
        <f>HYPERLINK("https://lsnyc.legalserver.org/matter/dynamic-profile/view/1881491","18-1881491")</f>
        <v>0</v>
      </c>
      <c r="B9317" t="s">
        <v>109</v>
      </c>
      <c r="C9317" t="s">
        <v>341</v>
      </c>
      <c r="D9317" t="s">
        <v>624</v>
      </c>
      <c r="E9317" t="s">
        <v>723</v>
      </c>
      <c r="F9317" t="s">
        <v>1944</v>
      </c>
      <c r="G9317" t="s">
        <v>5330</v>
      </c>
      <c r="H9317" t="s">
        <v>15999</v>
      </c>
      <c r="I9317" t="s">
        <v>17711</v>
      </c>
      <c r="J9317" t="s">
        <v>18902</v>
      </c>
      <c r="K9317">
        <v>10301</v>
      </c>
      <c r="L9317" t="s">
        <v>18960</v>
      </c>
      <c r="M9317" t="s">
        <v>18960</v>
      </c>
      <c r="P9317" t="s">
        <v>26564</v>
      </c>
      <c r="Q9317" t="s">
        <v>26570</v>
      </c>
      <c r="R9317" t="s">
        <v>26578</v>
      </c>
      <c r="U9317" t="s">
        <v>26604</v>
      </c>
      <c r="X9317">
        <v>1700</v>
      </c>
      <c r="Y9317" t="s">
        <v>26654</v>
      </c>
      <c r="Z9317" t="s">
        <v>26665</v>
      </c>
      <c r="AA9317" t="s">
        <v>26683</v>
      </c>
      <c r="AB9317" t="s">
        <v>33350</v>
      </c>
      <c r="AD9317" t="s">
        <v>44067</v>
      </c>
      <c r="AE9317">
        <v>2</v>
      </c>
      <c r="AH9317">
        <v>6</v>
      </c>
      <c r="AI9317">
        <v>4</v>
      </c>
      <c r="AJ9317">
        <v>5</v>
      </c>
      <c r="AK9317">
        <v>30.06</v>
      </c>
      <c r="AN9317" t="s">
        <v>7439</v>
      </c>
      <c r="AO9317">
        <v>14040</v>
      </c>
      <c r="AU9317">
        <v>0.5</v>
      </c>
      <c r="AV9317" t="s">
        <v>624</v>
      </c>
      <c r="AW9317" t="s">
        <v>46850</v>
      </c>
    </row>
    <row r="9318" spans="1:49">
      <c r="A9318" s="1">
        <f>HYPERLINK("https://lsnyc.legalserver.org/matter/dynamic-profile/view/1881490","18-1881490")</f>
        <v>0</v>
      </c>
      <c r="B9318" t="s">
        <v>74</v>
      </c>
      <c r="C9318" t="s">
        <v>341</v>
      </c>
      <c r="D9318" t="s">
        <v>624</v>
      </c>
      <c r="E9318" t="s">
        <v>652</v>
      </c>
      <c r="F9318" t="s">
        <v>4520</v>
      </c>
      <c r="G9318" t="s">
        <v>9003</v>
      </c>
      <c r="H9318" t="s">
        <v>16000</v>
      </c>
      <c r="I9318" t="s">
        <v>17306</v>
      </c>
      <c r="J9318" t="s">
        <v>18893</v>
      </c>
      <c r="K9318">
        <v>10028</v>
      </c>
      <c r="L9318" t="s">
        <v>18960</v>
      </c>
      <c r="M9318" t="s">
        <v>18960</v>
      </c>
      <c r="O9318" t="s">
        <v>26526</v>
      </c>
      <c r="Q9318" t="s">
        <v>26570</v>
      </c>
      <c r="R9318" t="s">
        <v>26591</v>
      </c>
      <c r="U9318" t="s">
        <v>26604</v>
      </c>
      <c r="X9318">
        <v>2495</v>
      </c>
      <c r="Y9318" t="s">
        <v>26651</v>
      </c>
      <c r="Z9318" t="s">
        <v>26530</v>
      </c>
      <c r="AA9318" t="s">
        <v>26683</v>
      </c>
      <c r="AB9318" t="s">
        <v>30510</v>
      </c>
      <c r="AE9318">
        <v>16</v>
      </c>
      <c r="AF9318" t="s">
        <v>20460</v>
      </c>
      <c r="AG9318" t="s">
        <v>19330</v>
      </c>
      <c r="AH9318">
        <v>1</v>
      </c>
      <c r="AI9318">
        <v>1</v>
      </c>
      <c r="AJ9318">
        <v>0</v>
      </c>
      <c r="AK9318">
        <v>164.74</v>
      </c>
      <c r="AN9318" t="s">
        <v>7439</v>
      </c>
      <c r="AO9318">
        <v>20000</v>
      </c>
      <c r="AU9318">
        <v>0.7</v>
      </c>
      <c r="AV9318" t="s">
        <v>624</v>
      </c>
      <c r="AW9318" t="s">
        <v>46841</v>
      </c>
    </row>
    <row r="9319" spans="1:49">
      <c r="A9319" s="1">
        <f>HYPERLINK("https://lsnyc.legalserver.org/matter/dynamic-profile/view/1881547","18-1881547")</f>
        <v>0</v>
      </c>
      <c r="B9319" t="s">
        <v>209</v>
      </c>
      <c r="C9319" t="s">
        <v>341</v>
      </c>
      <c r="D9319" t="s">
        <v>624</v>
      </c>
      <c r="E9319" t="s">
        <v>618</v>
      </c>
      <c r="F9319" t="s">
        <v>996</v>
      </c>
      <c r="G9319" t="s">
        <v>9004</v>
      </c>
      <c r="H9319" t="s">
        <v>16001</v>
      </c>
      <c r="J9319" t="s">
        <v>18909</v>
      </c>
      <c r="K9319">
        <v>11101</v>
      </c>
      <c r="L9319" t="s">
        <v>18960</v>
      </c>
      <c r="M9319" t="s">
        <v>18960</v>
      </c>
      <c r="O9319" t="s">
        <v>18997</v>
      </c>
      <c r="P9319" t="s">
        <v>26564</v>
      </c>
      <c r="Q9319" t="s">
        <v>26570</v>
      </c>
      <c r="R9319" t="s">
        <v>26591</v>
      </c>
      <c r="U9319" t="s">
        <v>26604</v>
      </c>
      <c r="V9319" t="s">
        <v>26613</v>
      </c>
      <c r="X9319">
        <v>640</v>
      </c>
      <c r="Y9319" t="s">
        <v>26653</v>
      </c>
      <c r="AA9319" t="s">
        <v>26683</v>
      </c>
      <c r="AB9319" t="s">
        <v>33351</v>
      </c>
      <c r="AD9319" t="s">
        <v>44068</v>
      </c>
      <c r="AE9319">
        <v>0</v>
      </c>
      <c r="AG9319" t="s">
        <v>19330</v>
      </c>
      <c r="AH9319">
        <v>10</v>
      </c>
      <c r="AI9319">
        <v>1</v>
      </c>
      <c r="AJ9319">
        <v>0</v>
      </c>
      <c r="AK9319">
        <v>0</v>
      </c>
      <c r="AN9319" t="s">
        <v>7439</v>
      </c>
      <c r="AO9319">
        <v>0</v>
      </c>
      <c r="AU9319">
        <v>1.6</v>
      </c>
      <c r="AV9319" t="s">
        <v>618</v>
      </c>
      <c r="AW9319" t="s">
        <v>46859</v>
      </c>
    </row>
    <row r="9320" spans="1:49">
      <c r="A9320" s="1">
        <f>HYPERLINK("https://lsnyc.legalserver.org/matter/dynamic-profile/view/1881817","18-1881817")</f>
        <v>0</v>
      </c>
      <c r="B9320" t="s">
        <v>263</v>
      </c>
      <c r="C9320" t="s">
        <v>341</v>
      </c>
      <c r="D9320" t="s">
        <v>624</v>
      </c>
      <c r="E9320" t="s">
        <v>692</v>
      </c>
      <c r="F9320" t="s">
        <v>1314</v>
      </c>
      <c r="G9320" t="s">
        <v>5100</v>
      </c>
      <c r="H9320" t="s">
        <v>12205</v>
      </c>
      <c r="J9320" t="s">
        <v>18892</v>
      </c>
      <c r="K9320">
        <v>10452</v>
      </c>
      <c r="L9320" t="s">
        <v>18959</v>
      </c>
      <c r="M9320" t="s">
        <v>18959</v>
      </c>
      <c r="O9320" t="s">
        <v>18997</v>
      </c>
      <c r="P9320" t="s">
        <v>26565</v>
      </c>
      <c r="Q9320" t="s">
        <v>26570</v>
      </c>
      <c r="R9320" t="s">
        <v>26591</v>
      </c>
      <c r="S9320" t="s">
        <v>18959</v>
      </c>
      <c r="U9320" t="s">
        <v>26604</v>
      </c>
      <c r="X9320">
        <v>659.38</v>
      </c>
      <c r="Y9320" t="s">
        <v>26650</v>
      </c>
      <c r="Z9320" t="s">
        <v>26663</v>
      </c>
      <c r="AA9320" t="s">
        <v>26683</v>
      </c>
      <c r="AB9320" t="s">
        <v>33352</v>
      </c>
      <c r="AE9320">
        <v>57</v>
      </c>
      <c r="AF9320" t="s">
        <v>45541</v>
      </c>
      <c r="AG9320" t="s">
        <v>45559</v>
      </c>
      <c r="AH9320">
        <v>40</v>
      </c>
      <c r="AI9320">
        <v>1</v>
      </c>
      <c r="AJ9320">
        <v>0</v>
      </c>
      <c r="AK9320">
        <v>79.08</v>
      </c>
      <c r="AN9320" t="s">
        <v>45581</v>
      </c>
      <c r="AO9320">
        <v>9600</v>
      </c>
      <c r="AP9320" t="s">
        <v>46154</v>
      </c>
      <c r="AU9320">
        <v>0.75</v>
      </c>
      <c r="AV9320" t="s">
        <v>643</v>
      </c>
      <c r="AW9320" t="s">
        <v>263</v>
      </c>
    </row>
    <row r="9321" spans="1:49">
      <c r="A9321" s="1">
        <f>HYPERLINK("https://lsnyc.legalserver.org/matter/dynamic-profile/view/1881494","18-1881494")</f>
        <v>0</v>
      </c>
      <c r="B9321" t="s">
        <v>279</v>
      </c>
      <c r="C9321" t="s">
        <v>341</v>
      </c>
      <c r="D9321" t="s">
        <v>624</v>
      </c>
      <c r="E9321" t="s">
        <v>688</v>
      </c>
      <c r="F9321" t="s">
        <v>1106</v>
      </c>
      <c r="G9321" t="s">
        <v>4524</v>
      </c>
      <c r="H9321" t="s">
        <v>16002</v>
      </c>
      <c r="I9321" t="s">
        <v>17584</v>
      </c>
      <c r="J9321" t="s">
        <v>18894</v>
      </c>
      <c r="K9321">
        <v>11212</v>
      </c>
      <c r="L9321" t="s">
        <v>18959</v>
      </c>
      <c r="M9321" t="s">
        <v>18959</v>
      </c>
      <c r="N9321" t="s">
        <v>25495</v>
      </c>
      <c r="O9321" t="s">
        <v>26523</v>
      </c>
      <c r="Q9321" t="s">
        <v>26570</v>
      </c>
      <c r="R9321" t="s">
        <v>26591</v>
      </c>
      <c r="S9321" t="s">
        <v>18959</v>
      </c>
      <c r="U9321" t="s">
        <v>26604</v>
      </c>
      <c r="V9321" t="s">
        <v>26612</v>
      </c>
      <c r="X9321">
        <v>0</v>
      </c>
      <c r="Y9321" t="s">
        <v>26652</v>
      </c>
      <c r="Z9321" t="s">
        <v>26659</v>
      </c>
      <c r="AA9321" t="s">
        <v>26683</v>
      </c>
      <c r="AB9321" t="s">
        <v>33353</v>
      </c>
      <c r="AD9321" t="s">
        <v>44069</v>
      </c>
      <c r="AE9321">
        <v>75</v>
      </c>
      <c r="AG9321" t="s">
        <v>45556</v>
      </c>
      <c r="AH9321">
        <v>10</v>
      </c>
      <c r="AI9321">
        <v>1</v>
      </c>
      <c r="AJ9321">
        <v>0</v>
      </c>
      <c r="AK9321">
        <v>82.04000000000001</v>
      </c>
      <c r="AN9321" t="s">
        <v>7439</v>
      </c>
      <c r="AO9321">
        <v>9960</v>
      </c>
      <c r="AU9321">
        <v>1.28</v>
      </c>
      <c r="AV9321" t="s">
        <v>646</v>
      </c>
      <c r="AW9321" t="s">
        <v>46858</v>
      </c>
    </row>
    <row r="9322" spans="1:49">
      <c r="A9322" s="1">
        <f>HYPERLINK("https://lsnyc.legalserver.org/matter/dynamic-profile/view/1881539","18-1881539")</f>
        <v>0</v>
      </c>
      <c r="B9322" t="s">
        <v>200</v>
      </c>
      <c r="C9322" t="s">
        <v>340</v>
      </c>
      <c r="D9322" t="s">
        <v>624</v>
      </c>
      <c r="F9322" t="s">
        <v>4521</v>
      </c>
      <c r="G9322" t="s">
        <v>7022</v>
      </c>
      <c r="H9322" t="s">
        <v>13753</v>
      </c>
      <c r="I9322" t="s">
        <v>17334</v>
      </c>
      <c r="J9322" t="s">
        <v>18894</v>
      </c>
      <c r="K9322">
        <v>11233</v>
      </c>
      <c r="L9322" t="s">
        <v>18958</v>
      </c>
      <c r="M9322" t="s">
        <v>18958</v>
      </c>
      <c r="O9322" t="s">
        <v>26526</v>
      </c>
      <c r="P9322" t="s">
        <v>26564</v>
      </c>
      <c r="R9322" t="s">
        <v>26578</v>
      </c>
      <c r="U9322" t="s">
        <v>26604</v>
      </c>
      <c r="X9322">
        <v>1254</v>
      </c>
      <c r="Y9322" t="s">
        <v>26652</v>
      </c>
      <c r="AB9322" t="s">
        <v>33354</v>
      </c>
      <c r="AD9322" t="s">
        <v>44070</v>
      </c>
      <c r="AE9322">
        <v>8</v>
      </c>
      <c r="AG9322" t="s">
        <v>45561</v>
      </c>
      <c r="AH9322">
        <v>7</v>
      </c>
      <c r="AI9322">
        <v>1</v>
      </c>
      <c r="AJ9322">
        <v>1</v>
      </c>
      <c r="AK9322">
        <v>112.71</v>
      </c>
      <c r="AN9322" t="s">
        <v>7439</v>
      </c>
      <c r="AO9322">
        <v>18552</v>
      </c>
      <c r="AU9322">
        <v>2.5</v>
      </c>
      <c r="AV9322" t="s">
        <v>645</v>
      </c>
      <c r="AW9322" t="s">
        <v>46853</v>
      </c>
    </row>
    <row r="9323" spans="1:49">
      <c r="A9323" s="1">
        <f>HYPERLINK("https://lsnyc.legalserver.org/matter/dynamic-profile/view/1881544","18-1881544")</f>
        <v>0</v>
      </c>
      <c r="B9323" t="s">
        <v>91</v>
      </c>
      <c r="C9323" t="s">
        <v>340</v>
      </c>
      <c r="D9323" t="s">
        <v>624</v>
      </c>
      <c r="F9323" t="s">
        <v>4522</v>
      </c>
      <c r="G9323" t="s">
        <v>5269</v>
      </c>
      <c r="H9323" t="s">
        <v>16003</v>
      </c>
      <c r="I9323" t="s">
        <v>17328</v>
      </c>
      <c r="J9323" t="s">
        <v>18901</v>
      </c>
      <c r="K9323">
        <v>11433</v>
      </c>
      <c r="L9323" t="s">
        <v>18958</v>
      </c>
      <c r="M9323" t="s">
        <v>18958</v>
      </c>
      <c r="N9323" t="s">
        <v>25496</v>
      </c>
      <c r="O9323" t="s">
        <v>26524</v>
      </c>
      <c r="P9323" t="s">
        <v>26560</v>
      </c>
      <c r="R9323" t="s">
        <v>26584</v>
      </c>
      <c r="S9323" t="s">
        <v>18959</v>
      </c>
      <c r="U9323" t="s">
        <v>26604</v>
      </c>
      <c r="X9323">
        <v>1500</v>
      </c>
      <c r="Y9323" t="s">
        <v>26653</v>
      </c>
      <c r="Z9323" t="s">
        <v>26664</v>
      </c>
      <c r="AB9323" t="s">
        <v>33355</v>
      </c>
      <c r="AD9323" t="s">
        <v>44071</v>
      </c>
      <c r="AE9323">
        <v>0</v>
      </c>
      <c r="AF9323" t="s">
        <v>20460</v>
      </c>
      <c r="AG9323" t="s">
        <v>45562</v>
      </c>
      <c r="AH9323">
        <v>2</v>
      </c>
      <c r="AI9323">
        <v>2</v>
      </c>
      <c r="AJ9323">
        <v>1</v>
      </c>
      <c r="AK9323">
        <v>37.54</v>
      </c>
      <c r="AN9323" t="s">
        <v>7439</v>
      </c>
      <c r="AO9323">
        <v>7800</v>
      </c>
      <c r="AU9323">
        <v>24.78</v>
      </c>
      <c r="AV9323" t="s">
        <v>832</v>
      </c>
      <c r="AW9323" t="s">
        <v>208</v>
      </c>
    </row>
    <row r="9324" spans="1:49">
      <c r="A9324" s="1">
        <f>HYPERLINK("https://lsnyc.legalserver.org/matter/dynamic-profile/view/1881581","18-1881581")</f>
        <v>0</v>
      </c>
      <c r="B9324" t="s">
        <v>286</v>
      </c>
      <c r="C9324" t="s">
        <v>341</v>
      </c>
      <c r="D9324" t="s">
        <v>618</v>
      </c>
      <c r="E9324" t="s">
        <v>416</v>
      </c>
      <c r="F9324" t="s">
        <v>1114</v>
      </c>
      <c r="G9324" t="s">
        <v>5147</v>
      </c>
      <c r="H9324" t="s">
        <v>16004</v>
      </c>
      <c r="I9324" t="s">
        <v>17331</v>
      </c>
      <c r="J9324" t="s">
        <v>18894</v>
      </c>
      <c r="K9324">
        <v>11212</v>
      </c>
      <c r="L9324" t="s">
        <v>18960</v>
      </c>
      <c r="M9324" t="s">
        <v>18960</v>
      </c>
      <c r="O9324" t="s">
        <v>18997</v>
      </c>
      <c r="P9324" t="s">
        <v>26564</v>
      </c>
      <c r="Q9324" t="s">
        <v>26570</v>
      </c>
      <c r="R9324" t="s">
        <v>26578</v>
      </c>
      <c r="S9324" t="s">
        <v>18959</v>
      </c>
      <c r="U9324" t="s">
        <v>26604</v>
      </c>
      <c r="X9324">
        <v>1700</v>
      </c>
      <c r="Y9324" t="s">
        <v>26652</v>
      </c>
      <c r="Z9324" t="s">
        <v>26673</v>
      </c>
      <c r="AA9324" t="s">
        <v>26683</v>
      </c>
      <c r="AB9324" t="s">
        <v>33356</v>
      </c>
      <c r="AD9324" t="s">
        <v>44072</v>
      </c>
      <c r="AE9324">
        <v>4</v>
      </c>
      <c r="AF9324" t="s">
        <v>20460</v>
      </c>
      <c r="AG9324" t="s">
        <v>45557</v>
      </c>
      <c r="AH9324">
        <v>2</v>
      </c>
      <c r="AI9324">
        <v>1</v>
      </c>
      <c r="AJ9324">
        <v>4</v>
      </c>
      <c r="AK9324">
        <v>20.64</v>
      </c>
      <c r="AN9324" t="s">
        <v>45581</v>
      </c>
      <c r="AO9324">
        <v>6072</v>
      </c>
      <c r="AU9324">
        <v>0.75</v>
      </c>
      <c r="AV9324" t="s">
        <v>618</v>
      </c>
      <c r="AW9324" t="s">
        <v>46860</v>
      </c>
    </row>
    <row r="9325" spans="1:49">
      <c r="A9325" s="1">
        <f>HYPERLINK("https://lsnyc.legalserver.org/matter/dynamic-profile/view/1881645","18-1881645")</f>
        <v>0</v>
      </c>
      <c r="B9325" t="s">
        <v>74</v>
      </c>
      <c r="C9325" t="s">
        <v>341</v>
      </c>
      <c r="D9325" t="s">
        <v>618</v>
      </c>
      <c r="E9325" t="s">
        <v>652</v>
      </c>
      <c r="F9325" t="s">
        <v>4523</v>
      </c>
      <c r="G9325" t="s">
        <v>7197</v>
      </c>
      <c r="H9325" t="s">
        <v>16005</v>
      </c>
      <c r="I9325" t="s">
        <v>17272</v>
      </c>
      <c r="J9325" t="s">
        <v>18893</v>
      </c>
      <c r="K9325">
        <v>10014</v>
      </c>
      <c r="L9325" t="s">
        <v>18960</v>
      </c>
      <c r="M9325" t="s">
        <v>18960</v>
      </c>
      <c r="Q9325" t="s">
        <v>26570</v>
      </c>
      <c r="R9325" t="s">
        <v>26591</v>
      </c>
      <c r="S9325" t="s">
        <v>18958</v>
      </c>
      <c r="U9325" t="s">
        <v>26604</v>
      </c>
      <c r="X9325">
        <v>1240</v>
      </c>
      <c r="Y9325" t="s">
        <v>26651</v>
      </c>
      <c r="Z9325" t="s">
        <v>26666</v>
      </c>
      <c r="AA9325" t="s">
        <v>26683</v>
      </c>
      <c r="AB9325" t="s">
        <v>33357</v>
      </c>
      <c r="AD9325" t="s">
        <v>44073</v>
      </c>
      <c r="AE9325">
        <v>10</v>
      </c>
      <c r="AF9325" t="s">
        <v>45541</v>
      </c>
      <c r="AH9325">
        <v>30</v>
      </c>
      <c r="AI9325">
        <v>1</v>
      </c>
      <c r="AJ9325">
        <v>0</v>
      </c>
      <c r="AK9325">
        <v>138.39</v>
      </c>
      <c r="AN9325" t="s">
        <v>7439</v>
      </c>
      <c r="AO9325">
        <v>16800</v>
      </c>
      <c r="AU9325">
        <v>1</v>
      </c>
      <c r="AV9325" t="s">
        <v>618</v>
      </c>
      <c r="AW9325" t="s">
        <v>46843</v>
      </c>
    </row>
    <row r="9326" spans="1:49">
      <c r="A9326" s="1">
        <f>HYPERLINK("https://lsnyc.legalserver.org/matter/dynamic-profile/view/1881612","18-1881612")</f>
        <v>0</v>
      </c>
      <c r="B9326" t="s">
        <v>279</v>
      </c>
      <c r="C9326" t="s">
        <v>341</v>
      </c>
      <c r="D9326" t="s">
        <v>618</v>
      </c>
      <c r="E9326" t="s">
        <v>644</v>
      </c>
      <c r="F9326" t="s">
        <v>3426</v>
      </c>
      <c r="G9326" t="s">
        <v>7703</v>
      </c>
      <c r="H9326" t="s">
        <v>16006</v>
      </c>
      <c r="I9326" t="s">
        <v>17284</v>
      </c>
      <c r="J9326" t="s">
        <v>18894</v>
      </c>
      <c r="K9326">
        <v>11233</v>
      </c>
      <c r="L9326" t="s">
        <v>18959</v>
      </c>
      <c r="M9326" t="s">
        <v>18959</v>
      </c>
      <c r="N9326" t="s">
        <v>18997</v>
      </c>
      <c r="O9326" t="s">
        <v>18997</v>
      </c>
      <c r="P9326" t="s">
        <v>26564</v>
      </c>
      <c r="Q9326" t="s">
        <v>26570</v>
      </c>
      <c r="R9326" t="s">
        <v>26578</v>
      </c>
      <c r="S9326" t="s">
        <v>18959</v>
      </c>
      <c r="U9326" t="s">
        <v>26604</v>
      </c>
      <c r="X9326">
        <v>1424</v>
      </c>
      <c r="Y9326" t="s">
        <v>26652</v>
      </c>
      <c r="Z9326" t="s">
        <v>26659</v>
      </c>
      <c r="AA9326" t="s">
        <v>26683</v>
      </c>
      <c r="AB9326" t="s">
        <v>31115</v>
      </c>
      <c r="AD9326" t="s">
        <v>41285</v>
      </c>
      <c r="AE9326">
        <v>77</v>
      </c>
      <c r="AF9326" t="s">
        <v>45554</v>
      </c>
      <c r="AG9326" t="s">
        <v>45556</v>
      </c>
      <c r="AH9326">
        <v>1</v>
      </c>
      <c r="AI9326">
        <v>1</v>
      </c>
      <c r="AJ9326">
        <v>0</v>
      </c>
      <c r="AK9326">
        <v>74.14</v>
      </c>
      <c r="AN9326" t="s">
        <v>7439</v>
      </c>
      <c r="AO9326">
        <v>9000</v>
      </c>
      <c r="AU9326">
        <v>0.5</v>
      </c>
      <c r="AV9326" t="s">
        <v>618</v>
      </c>
      <c r="AW9326" t="s">
        <v>46860</v>
      </c>
    </row>
    <row r="9327" spans="1:49">
      <c r="A9327" s="1">
        <f>HYPERLINK("https://lsnyc.legalserver.org/matter/dynamic-profile/view/1881578","18-1881578")</f>
        <v>0</v>
      </c>
      <c r="B9327" t="s">
        <v>97</v>
      </c>
      <c r="C9327" t="s">
        <v>340</v>
      </c>
      <c r="D9327" t="s">
        <v>618</v>
      </c>
      <c r="F9327" t="s">
        <v>2500</v>
      </c>
      <c r="G9327" t="s">
        <v>6362</v>
      </c>
      <c r="H9327" t="s">
        <v>12033</v>
      </c>
      <c r="I9327" t="s">
        <v>17415</v>
      </c>
      <c r="J9327" t="s">
        <v>18892</v>
      </c>
      <c r="K9327">
        <v>10462</v>
      </c>
      <c r="L9327" t="s">
        <v>18958</v>
      </c>
      <c r="M9327" t="s">
        <v>18958</v>
      </c>
      <c r="N9327" t="s">
        <v>25497</v>
      </c>
      <c r="O9327" t="s">
        <v>26523</v>
      </c>
      <c r="P9327" t="s">
        <v>26564</v>
      </c>
      <c r="R9327" t="s">
        <v>26591</v>
      </c>
      <c r="S9327" t="s">
        <v>18959</v>
      </c>
      <c r="U9327" t="s">
        <v>26604</v>
      </c>
      <c r="V9327" t="s">
        <v>26611</v>
      </c>
      <c r="X9327">
        <v>2181</v>
      </c>
      <c r="Y9327" t="s">
        <v>26650</v>
      </c>
      <c r="Z9327" t="s">
        <v>26530</v>
      </c>
      <c r="AB9327" t="s">
        <v>29312</v>
      </c>
      <c r="AD9327" t="s">
        <v>39368</v>
      </c>
      <c r="AE9327">
        <v>2</v>
      </c>
      <c r="AF9327" t="s">
        <v>45547</v>
      </c>
      <c r="AG9327" t="s">
        <v>45556</v>
      </c>
      <c r="AH9327">
        <v>2</v>
      </c>
      <c r="AI9327">
        <v>2</v>
      </c>
      <c r="AJ9327">
        <v>4</v>
      </c>
      <c r="AK9327">
        <v>88.92</v>
      </c>
      <c r="AN9327" t="s">
        <v>7439</v>
      </c>
      <c r="AO9327">
        <v>30000</v>
      </c>
      <c r="AP9327" t="s">
        <v>46155</v>
      </c>
      <c r="AU9327">
        <v>10.3</v>
      </c>
      <c r="AV9327" t="s">
        <v>415</v>
      </c>
      <c r="AW9327" t="s">
        <v>46843</v>
      </c>
    </row>
    <row r="9328" spans="1:49">
      <c r="A9328" s="1">
        <f>HYPERLINK("https://lsnyc.legalserver.org/matter/dynamic-profile/view/1881690","18-1881690")</f>
        <v>0</v>
      </c>
      <c r="B9328" t="s">
        <v>137</v>
      </c>
      <c r="C9328" t="s">
        <v>341</v>
      </c>
      <c r="D9328" t="s">
        <v>643</v>
      </c>
      <c r="E9328" t="s">
        <v>494</v>
      </c>
      <c r="F9328" t="s">
        <v>4524</v>
      </c>
      <c r="G9328" t="s">
        <v>9005</v>
      </c>
      <c r="H9328" t="s">
        <v>16007</v>
      </c>
      <c r="I9328" t="s">
        <v>17276</v>
      </c>
      <c r="J9328" t="s">
        <v>18892</v>
      </c>
      <c r="K9328">
        <v>10457</v>
      </c>
      <c r="L9328" t="s">
        <v>18958</v>
      </c>
      <c r="M9328" t="s">
        <v>18958</v>
      </c>
      <c r="N9328" t="s">
        <v>25498</v>
      </c>
      <c r="O9328" t="s">
        <v>26523</v>
      </c>
      <c r="P9328" t="s">
        <v>26564</v>
      </c>
      <c r="Q9328" t="s">
        <v>26570</v>
      </c>
      <c r="R9328" t="s">
        <v>26591</v>
      </c>
      <c r="S9328" t="s">
        <v>18959</v>
      </c>
      <c r="U9328" t="s">
        <v>26604</v>
      </c>
      <c r="V9328" t="s">
        <v>26609</v>
      </c>
      <c r="X9328">
        <v>989.14</v>
      </c>
      <c r="Y9328" t="s">
        <v>26650</v>
      </c>
      <c r="Z9328" t="s">
        <v>26659</v>
      </c>
      <c r="AA9328" t="s">
        <v>26683</v>
      </c>
      <c r="AB9328" t="s">
        <v>33358</v>
      </c>
      <c r="AC9328">
        <v>16167818</v>
      </c>
      <c r="AD9328" t="s">
        <v>44074</v>
      </c>
      <c r="AE9328">
        <v>30</v>
      </c>
      <c r="AF9328" t="s">
        <v>45541</v>
      </c>
      <c r="AG9328" t="s">
        <v>19330</v>
      </c>
      <c r="AH9328">
        <v>4</v>
      </c>
      <c r="AI9328">
        <v>2</v>
      </c>
      <c r="AJ9328">
        <v>0</v>
      </c>
      <c r="AK9328">
        <v>132.69</v>
      </c>
      <c r="AN9328" t="s">
        <v>7439</v>
      </c>
      <c r="AO9328">
        <v>21840</v>
      </c>
      <c r="AP9328" t="s">
        <v>45773</v>
      </c>
      <c r="AT9328" t="s">
        <v>46517</v>
      </c>
      <c r="AU9328">
        <v>0.5</v>
      </c>
      <c r="AV9328" t="s">
        <v>646</v>
      </c>
      <c r="AW9328" t="s">
        <v>46847</v>
      </c>
    </row>
    <row r="9329" spans="1:50">
      <c r="A9329" s="1">
        <f>HYPERLINK("https://lsnyc.legalserver.org/matter/dynamic-profile/view/1879695","18-1879695")</f>
        <v>0</v>
      </c>
      <c r="B9329" t="s">
        <v>186</v>
      </c>
      <c r="C9329" t="s">
        <v>341</v>
      </c>
      <c r="D9329" t="s">
        <v>643</v>
      </c>
      <c r="E9329" t="s">
        <v>684</v>
      </c>
      <c r="F9329" t="s">
        <v>3582</v>
      </c>
      <c r="G9329" t="s">
        <v>9006</v>
      </c>
      <c r="H9329" t="s">
        <v>16008</v>
      </c>
      <c r="I9329" t="s">
        <v>17410</v>
      </c>
      <c r="J9329" t="s">
        <v>18894</v>
      </c>
      <c r="K9329">
        <v>11226</v>
      </c>
      <c r="L9329" t="s">
        <v>18959</v>
      </c>
      <c r="M9329" t="s">
        <v>18959</v>
      </c>
      <c r="N9329" t="s">
        <v>20460</v>
      </c>
      <c r="O9329" t="s">
        <v>26524</v>
      </c>
      <c r="Q9329" t="s">
        <v>26570</v>
      </c>
      <c r="R9329" t="s">
        <v>26583</v>
      </c>
      <c r="S9329" t="s">
        <v>18959</v>
      </c>
      <c r="U9329" t="s">
        <v>26604</v>
      </c>
      <c r="V9329" t="s">
        <v>26610</v>
      </c>
      <c r="X9329">
        <v>1100</v>
      </c>
      <c r="Y9329" t="s">
        <v>26652</v>
      </c>
      <c r="Z9329" t="s">
        <v>26657</v>
      </c>
      <c r="AA9329" t="s">
        <v>26683</v>
      </c>
      <c r="AB9329" t="s">
        <v>33359</v>
      </c>
      <c r="AC9329" t="s">
        <v>36630</v>
      </c>
      <c r="AD9329" t="s">
        <v>44075</v>
      </c>
      <c r="AE9329">
        <v>3</v>
      </c>
      <c r="AF9329" t="s">
        <v>45547</v>
      </c>
      <c r="AG9329" t="s">
        <v>45561</v>
      </c>
      <c r="AH9329">
        <v>9</v>
      </c>
      <c r="AI9329">
        <v>3</v>
      </c>
      <c r="AJ9329">
        <v>0</v>
      </c>
      <c r="AK9329">
        <v>23.52</v>
      </c>
      <c r="AN9329" t="s">
        <v>7439</v>
      </c>
      <c r="AO9329">
        <v>4888</v>
      </c>
      <c r="AS9329" t="s">
        <v>46500</v>
      </c>
      <c r="AT9329" t="s">
        <v>46576</v>
      </c>
      <c r="AU9329">
        <v>1.4</v>
      </c>
      <c r="AV9329" t="s">
        <v>692</v>
      </c>
      <c r="AW9329" t="s">
        <v>279</v>
      </c>
    </row>
    <row r="9330" spans="1:50">
      <c r="A9330" s="1">
        <f>HYPERLINK("https://lsnyc.legalserver.org/matter/dynamic-profile/view/1883671","18-1883671")</f>
        <v>0</v>
      </c>
      <c r="B9330" t="s">
        <v>101</v>
      </c>
      <c r="C9330" t="s">
        <v>341</v>
      </c>
      <c r="D9330" t="s">
        <v>643</v>
      </c>
      <c r="E9330" t="s">
        <v>494</v>
      </c>
      <c r="F9330" t="s">
        <v>1044</v>
      </c>
      <c r="G9330" t="s">
        <v>5147</v>
      </c>
      <c r="H9330" t="s">
        <v>9726</v>
      </c>
      <c r="I9330" t="s">
        <v>17386</v>
      </c>
      <c r="J9330" t="s">
        <v>18894</v>
      </c>
      <c r="K9330">
        <v>11215</v>
      </c>
      <c r="L9330" t="s">
        <v>18960</v>
      </c>
      <c r="M9330" t="s">
        <v>18960</v>
      </c>
      <c r="P9330" t="s">
        <v>26562</v>
      </c>
      <c r="Q9330" t="s">
        <v>26572</v>
      </c>
      <c r="R9330" t="s">
        <v>26591</v>
      </c>
      <c r="S9330" t="s">
        <v>18959</v>
      </c>
      <c r="U9330" t="s">
        <v>26607</v>
      </c>
      <c r="X9330">
        <v>0</v>
      </c>
      <c r="Y9330" t="s">
        <v>26652</v>
      </c>
      <c r="AA9330" t="s">
        <v>26682</v>
      </c>
      <c r="AB9330" t="s">
        <v>26896</v>
      </c>
      <c r="AD9330" t="s">
        <v>36991</v>
      </c>
      <c r="AE9330">
        <v>0</v>
      </c>
      <c r="AH9330">
        <v>0</v>
      </c>
      <c r="AI9330">
        <v>1</v>
      </c>
      <c r="AJ9330">
        <v>1</v>
      </c>
      <c r="AK9330">
        <v>54.68</v>
      </c>
      <c r="AN9330" t="s">
        <v>7439</v>
      </c>
      <c r="AO9330">
        <v>9000</v>
      </c>
      <c r="AU9330">
        <v>1.5</v>
      </c>
      <c r="AV9330" t="s">
        <v>688</v>
      </c>
      <c r="AW9330" t="s">
        <v>101</v>
      </c>
    </row>
    <row r="9331" spans="1:50">
      <c r="A9331" s="1">
        <f>HYPERLINK("https://lsnyc.legalserver.org/matter/dynamic-profile/view/1881716","18-1881716")</f>
        <v>0</v>
      </c>
      <c r="B9331" t="s">
        <v>262</v>
      </c>
      <c r="C9331" t="s">
        <v>340</v>
      </c>
      <c r="D9331" t="s">
        <v>643</v>
      </c>
      <c r="F9331" t="s">
        <v>936</v>
      </c>
      <c r="G9331" t="s">
        <v>4311</v>
      </c>
      <c r="H9331" t="s">
        <v>16009</v>
      </c>
      <c r="I9331" t="s">
        <v>17461</v>
      </c>
      <c r="J9331" t="s">
        <v>18892</v>
      </c>
      <c r="K9331">
        <v>10451</v>
      </c>
      <c r="L9331" t="s">
        <v>18958</v>
      </c>
      <c r="M9331" t="s">
        <v>18958</v>
      </c>
      <c r="N9331" t="s">
        <v>25499</v>
      </c>
      <c r="O9331" t="s">
        <v>26524</v>
      </c>
      <c r="P9331" t="s">
        <v>26563</v>
      </c>
      <c r="R9331" t="s">
        <v>26577</v>
      </c>
      <c r="U9331" t="s">
        <v>26604</v>
      </c>
      <c r="X9331">
        <v>357</v>
      </c>
      <c r="Y9331" t="s">
        <v>26650</v>
      </c>
      <c r="Z9331" t="s">
        <v>26530</v>
      </c>
      <c r="AB9331" t="s">
        <v>32002</v>
      </c>
      <c r="AD9331" t="s">
        <v>44076</v>
      </c>
      <c r="AE9331">
        <v>0</v>
      </c>
      <c r="AF9331" t="s">
        <v>45549</v>
      </c>
      <c r="AH9331">
        <v>6</v>
      </c>
      <c r="AI9331">
        <v>2</v>
      </c>
      <c r="AJ9331">
        <v>1</v>
      </c>
      <c r="AK9331">
        <v>118.73</v>
      </c>
      <c r="AN9331" t="s">
        <v>7439</v>
      </c>
      <c r="AO9331">
        <v>24672</v>
      </c>
      <c r="AP9331" t="s">
        <v>46156</v>
      </c>
      <c r="AU9331">
        <v>23</v>
      </c>
      <c r="AV9331" t="s">
        <v>723</v>
      </c>
      <c r="AW9331" t="s">
        <v>336</v>
      </c>
    </row>
    <row r="9332" spans="1:50">
      <c r="A9332" s="1">
        <f>HYPERLINK("https://lsnyc.legalserver.org/matter/dynamic-profile/view/1881736","18-1881736")</f>
        <v>0</v>
      </c>
      <c r="B9332" t="s">
        <v>126</v>
      </c>
      <c r="C9332" t="s">
        <v>340</v>
      </c>
      <c r="D9332" t="s">
        <v>643</v>
      </c>
      <c r="F9332" t="s">
        <v>4525</v>
      </c>
      <c r="G9332" t="s">
        <v>9007</v>
      </c>
      <c r="H9332" t="s">
        <v>16010</v>
      </c>
      <c r="I9332">
        <v>21</v>
      </c>
      <c r="J9332" t="s">
        <v>18894</v>
      </c>
      <c r="K9332">
        <v>11212</v>
      </c>
      <c r="L9332" t="s">
        <v>18959</v>
      </c>
      <c r="M9332" t="s">
        <v>18959</v>
      </c>
      <c r="N9332" t="s">
        <v>25500</v>
      </c>
      <c r="O9332" t="s">
        <v>26523</v>
      </c>
      <c r="P9332" t="s">
        <v>26560</v>
      </c>
      <c r="R9332" t="s">
        <v>26578</v>
      </c>
      <c r="S9332" t="s">
        <v>18959</v>
      </c>
      <c r="U9332" t="s">
        <v>26604</v>
      </c>
      <c r="V9332" t="s">
        <v>26612</v>
      </c>
      <c r="X9332">
        <v>1200</v>
      </c>
      <c r="Y9332" t="s">
        <v>26652</v>
      </c>
      <c r="Z9332" t="s">
        <v>26657</v>
      </c>
      <c r="AB9332" t="s">
        <v>28725</v>
      </c>
      <c r="AC9332" t="s">
        <v>36631</v>
      </c>
      <c r="AD9332" t="s">
        <v>44077</v>
      </c>
      <c r="AE9332">
        <v>23</v>
      </c>
      <c r="AF9332" t="s">
        <v>45541</v>
      </c>
      <c r="AG9332" t="s">
        <v>45560</v>
      </c>
      <c r="AH9332">
        <v>3</v>
      </c>
      <c r="AI9332">
        <v>1</v>
      </c>
      <c r="AJ9332">
        <v>0</v>
      </c>
      <c r="AK9332">
        <v>42.83</v>
      </c>
      <c r="AN9332" t="s">
        <v>7439</v>
      </c>
      <c r="AO9332">
        <v>5200</v>
      </c>
      <c r="AU9332">
        <v>37.4</v>
      </c>
      <c r="AV9332" t="s">
        <v>763</v>
      </c>
      <c r="AW9332" t="s">
        <v>279</v>
      </c>
    </row>
    <row r="9333" spans="1:50">
      <c r="A9333" s="1">
        <f>HYPERLINK("https://lsnyc.legalserver.org/matter/dynamic-profile/view/1881945","18-1881945")</f>
        <v>0</v>
      </c>
      <c r="B9333" t="s">
        <v>209</v>
      </c>
      <c r="C9333" t="s">
        <v>341</v>
      </c>
      <c r="D9333" t="s">
        <v>645</v>
      </c>
      <c r="E9333" t="s">
        <v>641</v>
      </c>
      <c r="F9333" t="s">
        <v>4526</v>
      </c>
      <c r="G9333" t="s">
        <v>1384</v>
      </c>
      <c r="H9333" t="s">
        <v>16011</v>
      </c>
      <c r="I9333" t="s">
        <v>17430</v>
      </c>
      <c r="J9333" t="s">
        <v>18898</v>
      </c>
      <c r="K9333">
        <v>11691</v>
      </c>
      <c r="L9333" t="s">
        <v>18960</v>
      </c>
      <c r="M9333" t="s">
        <v>18960</v>
      </c>
      <c r="P9333" t="s">
        <v>26564</v>
      </c>
      <c r="Q9333" t="s">
        <v>26570</v>
      </c>
      <c r="R9333" t="s">
        <v>26591</v>
      </c>
      <c r="U9333" t="s">
        <v>26604</v>
      </c>
      <c r="X9333">
        <v>1000</v>
      </c>
      <c r="Y9333" t="s">
        <v>26653</v>
      </c>
      <c r="Z9333" t="s">
        <v>26673</v>
      </c>
      <c r="AA9333" t="s">
        <v>26683</v>
      </c>
      <c r="AB9333" t="s">
        <v>27543</v>
      </c>
      <c r="AD9333" t="s">
        <v>44078</v>
      </c>
      <c r="AE9333">
        <v>2</v>
      </c>
      <c r="AF9333" t="s">
        <v>20460</v>
      </c>
      <c r="AG9333" t="s">
        <v>19330</v>
      </c>
      <c r="AH9333">
        <v>4</v>
      </c>
      <c r="AI9333">
        <v>2</v>
      </c>
      <c r="AJ9333">
        <v>3</v>
      </c>
      <c r="AK9333">
        <v>84.84</v>
      </c>
      <c r="AN9333" t="s">
        <v>7439</v>
      </c>
      <c r="AO9333">
        <v>24960</v>
      </c>
      <c r="AU9333">
        <v>1.5</v>
      </c>
      <c r="AV9333" t="s">
        <v>641</v>
      </c>
      <c r="AW9333" t="s">
        <v>46846</v>
      </c>
    </row>
    <row r="9334" spans="1:50">
      <c r="A9334" s="1">
        <f>HYPERLINK("https://lsnyc.legalserver.org/matter/dynamic-profile/view/1881870","18-1881870")</f>
        <v>0</v>
      </c>
      <c r="B9334" t="s">
        <v>200</v>
      </c>
      <c r="C9334" t="s">
        <v>341</v>
      </c>
      <c r="D9334" t="s">
        <v>645</v>
      </c>
      <c r="E9334" t="s">
        <v>788</v>
      </c>
      <c r="F9334" t="s">
        <v>1080</v>
      </c>
      <c r="G9334" t="s">
        <v>5165</v>
      </c>
      <c r="H9334" t="s">
        <v>16012</v>
      </c>
      <c r="J9334" t="s">
        <v>18894</v>
      </c>
      <c r="K9334">
        <v>11208</v>
      </c>
      <c r="L9334" t="s">
        <v>18960</v>
      </c>
      <c r="M9334" t="s">
        <v>18960</v>
      </c>
      <c r="P9334" t="s">
        <v>26563</v>
      </c>
      <c r="Q9334" t="s">
        <v>26570</v>
      </c>
      <c r="R9334" t="s">
        <v>26586</v>
      </c>
      <c r="U9334" t="s">
        <v>26605</v>
      </c>
      <c r="X9334">
        <v>378</v>
      </c>
      <c r="Y9334" t="s">
        <v>26652</v>
      </c>
      <c r="Z9334" t="s">
        <v>26659</v>
      </c>
      <c r="AA9334" t="s">
        <v>26683</v>
      </c>
      <c r="AB9334" t="s">
        <v>28600</v>
      </c>
      <c r="AE9334">
        <v>0</v>
      </c>
      <c r="AG9334" t="s">
        <v>19330</v>
      </c>
      <c r="AH9334">
        <v>10</v>
      </c>
      <c r="AI9334">
        <v>1</v>
      </c>
      <c r="AJ9334">
        <v>0</v>
      </c>
      <c r="AK9334">
        <v>0</v>
      </c>
      <c r="AN9334" t="s">
        <v>7439</v>
      </c>
      <c r="AO9334">
        <v>0</v>
      </c>
      <c r="AU9334">
        <v>2.68</v>
      </c>
      <c r="AV9334" t="s">
        <v>573</v>
      </c>
      <c r="AW9334" t="s">
        <v>46862</v>
      </c>
    </row>
    <row r="9335" spans="1:50">
      <c r="A9335" s="1">
        <f>HYPERLINK("https://lsnyc.legalserver.org/matter/dynamic-profile/view/1881912","18-1881912")</f>
        <v>0</v>
      </c>
      <c r="B9335" t="s">
        <v>263</v>
      </c>
      <c r="C9335" t="s">
        <v>341</v>
      </c>
      <c r="D9335" t="s">
        <v>645</v>
      </c>
      <c r="E9335" t="s">
        <v>684</v>
      </c>
      <c r="F9335" t="s">
        <v>1251</v>
      </c>
      <c r="G9335" t="s">
        <v>9008</v>
      </c>
      <c r="H9335" t="s">
        <v>16013</v>
      </c>
      <c r="I9335" t="s">
        <v>17616</v>
      </c>
      <c r="J9335" t="s">
        <v>18892</v>
      </c>
      <c r="K9335">
        <v>10457</v>
      </c>
      <c r="L9335" t="s">
        <v>18959</v>
      </c>
      <c r="M9335" t="s">
        <v>18958</v>
      </c>
      <c r="O9335" t="s">
        <v>18997</v>
      </c>
      <c r="P9335" t="s">
        <v>26564</v>
      </c>
      <c r="Q9335" t="s">
        <v>26570</v>
      </c>
      <c r="R9335" t="s">
        <v>26578</v>
      </c>
      <c r="S9335" t="s">
        <v>18959</v>
      </c>
      <c r="U9335" t="s">
        <v>26604</v>
      </c>
      <c r="X9335">
        <v>654</v>
      </c>
      <c r="Y9335" t="s">
        <v>26650</v>
      </c>
      <c r="Z9335" t="s">
        <v>26665</v>
      </c>
      <c r="AA9335" t="s">
        <v>26683</v>
      </c>
      <c r="AB9335" t="s">
        <v>32078</v>
      </c>
      <c r="AD9335" t="s">
        <v>44079</v>
      </c>
      <c r="AE9335">
        <v>12</v>
      </c>
      <c r="AF9335" t="s">
        <v>45541</v>
      </c>
      <c r="AG9335" t="s">
        <v>45559</v>
      </c>
      <c r="AH9335">
        <v>4</v>
      </c>
      <c r="AI9335">
        <v>1</v>
      </c>
      <c r="AJ9335">
        <v>0</v>
      </c>
      <c r="AK9335">
        <v>116.05</v>
      </c>
      <c r="AN9335" t="s">
        <v>7439</v>
      </c>
      <c r="AO9335">
        <v>14088</v>
      </c>
      <c r="AP9335" t="s">
        <v>46157</v>
      </c>
      <c r="AU9335">
        <v>1.35</v>
      </c>
      <c r="AV9335" t="s">
        <v>757</v>
      </c>
      <c r="AW9335" t="s">
        <v>46849</v>
      </c>
      <c r="AX9335" t="s">
        <v>46897</v>
      </c>
    </row>
    <row r="9336" spans="1:50">
      <c r="A9336" s="1">
        <f>HYPERLINK("https://lsnyc.legalserver.org/matter/dynamic-profile/view/1881866","18-1881866")</f>
        <v>0</v>
      </c>
      <c r="B9336" t="s">
        <v>164</v>
      </c>
      <c r="C9336" t="s">
        <v>340</v>
      </c>
      <c r="D9336" t="s">
        <v>645</v>
      </c>
      <c r="F9336" t="s">
        <v>1637</v>
      </c>
      <c r="G9336" t="s">
        <v>9009</v>
      </c>
      <c r="H9336" t="s">
        <v>16014</v>
      </c>
      <c r="I9336" t="s">
        <v>17277</v>
      </c>
      <c r="J9336" t="s">
        <v>18900</v>
      </c>
      <c r="K9336">
        <v>11354</v>
      </c>
      <c r="L9336" t="s">
        <v>18958</v>
      </c>
      <c r="M9336" t="s">
        <v>18958</v>
      </c>
      <c r="N9336" t="s">
        <v>25501</v>
      </c>
      <c r="O9336" t="s">
        <v>26524</v>
      </c>
      <c r="P9336" t="s">
        <v>26563</v>
      </c>
      <c r="R9336" t="s">
        <v>26578</v>
      </c>
      <c r="S9336" t="s">
        <v>18959</v>
      </c>
      <c r="U9336" t="s">
        <v>26604</v>
      </c>
      <c r="V9336" t="s">
        <v>26610</v>
      </c>
      <c r="X9336">
        <v>4000</v>
      </c>
      <c r="Y9336" t="s">
        <v>26653</v>
      </c>
      <c r="Z9336" t="s">
        <v>26664</v>
      </c>
      <c r="AB9336" t="s">
        <v>33360</v>
      </c>
      <c r="AC9336" t="s">
        <v>36632</v>
      </c>
      <c r="AD9336" t="s">
        <v>44080</v>
      </c>
      <c r="AE9336">
        <v>24</v>
      </c>
      <c r="AF9336" t="s">
        <v>20460</v>
      </c>
      <c r="AG9336" t="s">
        <v>19330</v>
      </c>
      <c r="AH9336">
        <v>1</v>
      </c>
      <c r="AI9336">
        <v>1</v>
      </c>
      <c r="AJ9336">
        <v>1</v>
      </c>
      <c r="AK9336">
        <v>1.97</v>
      </c>
      <c r="AN9336" t="s">
        <v>7439</v>
      </c>
      <c r="AO9336">
        <v>325</v>
      </c>
      <c r="AU9336">
        <v>1.55</v>
      </c>
      <c r="AV9336" t="s">
        <v>786</v>
      </c>
      <c r="AW9336" t="s">
        <v>208</v>
      </c>
    </row>
    <row r="9337" spans="1:50">
      <c r="A9337" s="1">
        <f>HYPERLINK("https://lsnyc.legalserver.org/matter/dynamic-profile/view/1881850","18-1881850")</f>
        <v>0</v>
      </c>
      <c r="B9337" t="s">
        <v>200</v>
      </c>
      <c r="C9337" t="s">
        <v>340</v>
      </c>
      <c r="D9337" t="s">
        <v>645</v>
      </c>
      <c r="F9337" t="s">
        <v>4527</v>
      </c>
      <c r="G9337" t="s">
        <v>7061</v>
      </c>
      <c r="H9337" t="s">
        <v>16015</v>
      </c>
      <c r="I9337" t="s">
        <v>17275</v>
      </c>
      <c r="J9337" t="s">
        <v>18894</v>
      </c>
      <c r="K9337">
        <v>11226</v>
      </c>
      <c r="L9337" t="s">
        <v>18960</v>
      </c>
      <c r="M9337" t="s">
        <v>18960</v>
      </c>
      <c r="O9337" t="s">
        <v>26526</v>
      </c>
      <c r="R9337" t="s">
        <v>26591</v>
      </c>
      <c r="U9337" t="s">
        <v>26604</v>
      </c>
      <c r="X9337">
        <v>1495</v>
      </c>
      <c r="Y9337" t="s">
        <v>26652</v>
      </c>
      <c r="Z9337" t="s">
        <v>26530</v>
      </c>
      <c r="AB9337" t="s">
        <v>33361</v>
      </c>
      <c r="AD9337" t="s">
        <v>44081</v>
      </c>
      <c r="AE9337">
        <v>80</v>
      </c>
      <c r="AF9337" t="s">
        <v>45541</v>
      </c>
      <c r="AG9337" t="s">
        <v>19330</v>
      </c>
      <c r="AH9337">
        <v>14</v>
      </c>
      <c r="AI9337">
        <v>1</v>
      </c>
      <c r="AJ9337">
        <v>0</v>
      </c>
      <c r="AK9337">
        <v>0</v>
      </c>
      <c r="AN9337" t="s">
        <v>7439</v>
      </c>
      <c r="AO9337">
        <v>0</v>
      </c>
      <c r="AU9337">
        <v>0.9</v>
      </c>
      <c r="AV9337" t="s">
        <v>646</v>
      </c>
      <c r="AW9337" t="s">
        <v>46841</v>
      </c>
    </row>
    <row r="9338" spans="1:50">
      <c r="A9338" s="1">
        <f>HYPERLINK("https://lsnyc.legalserver.org/matter/dynamic-profile/view/1881868","18-1881868")</f>
        <v>0</v>
      </c>
      <c r="B9338" t="s">
        <v>122</v>
      </c>
      <c r="C9338" t="s">
        <v>340</v>
      </c>
      <c r="D9338" t="s">
        <v>645</v>
      </c>
      <c r="F9338" t="s">
        <v>4528</v>
      </c>
      <c r="G9338" t="s">
        <v>9010</v>
      </c>
      <c r="H9338" t="s">
        <v>16016</v>
      </c>
      <c r="I9338" t="s">
        <v>17375</v>
      </c>
      <c r="J9338" t="s">
        <v>18918</v>
      </c>
      <c r="K9338">
        <v>11416</v>
      </c>
      <c r="L9338" t="s">
        <v>18958</v>
      </c>
      <c r="M9338" t="s">
        <v>18958</v>
      </c>
      <c r="N9338" t="s">
        <v>25502</v>
      </c>
      <c r="O9338" t="s">
        <v>26524</v>
      </c>
      <c r="P9338" t="s">
        <v>26565</v>
      </c>
      <c r="R9338" t="s">
        <v>26584</v>
      </c>
      <c r="S9338" t="s">
        <v>18958</v>
      </c>
      <c r="U9338" t="s">
        <v>26604</v>
      </c>
      <c r="X9338">
        <v>1000</v>
      </c>
      <c r="Y9338" t="s">
        <v>26653</v>
      </c>
      <c r="Z9338" t="s">
        <v>26664</v>
      </c>
      <c r="AB9338" t="s">
        <v>33362</v>
      </c>
      <c r="AD9338" t="s">
        <v>44082</v>
      </c>
      <c r="AE9338">
        <v>2</v>
      </c>
      <c r="AF9338" t="s">
        <v>45547</v>
      </c>
      <c r="AG9338" t="s">
        <v>19330</v>
      </c>
      <c r="AH9338">
        <v>8</v>
      </c>
      <c r="AI9338">
        <v>1</v>
      </c>
      <c r="AJ9338">
        <v>0</v>
      </c>
      <c r="AK9338">
        <v>70.56999999999999</v>
      </c>
      <c r="AN9338" t="s">
        <v>45603</v>
      </c>
      <c r="AO9338">
        <v>8567</v>
      </c>
      <c r="AU9338">
        <v>1.5</v>
      </c>
      <c r="AV9338" t="s">
        <v>645</v>
      </c>
      <c r="AW9338" t="s">
        <v>122</v>
      </c>
    </row>
    <row r="9339" spans="1:50">
      <c r="A9339" s="1">
        <f>HYPERLINK("https://lsnyc.legalserver.org/matter/dynamic-profile/view/1881906","18-1881906")</f>
        <v>0</v>
      </c>
      <c r="B9339" t="s">
        <v>114</v>
      </c>
      <c r="C9339" t="s">
        <v>340</v>
      </c>
      <c r="D9339" t="s">
        <v>645</v>
      </c>
      <c r="F9339" t="s">
        <v>880</v>
      </c>
      <c r="G9339" t="s">
        <v>3396</v>
      </c>
      <c r="H9339" t="s">
        <v>16017</v>
      </c>
      <c r="I9339" t="s">
        <v>18145</v>
      </c>
      <c r="J9339" t="s">
        <v>18901</v>
      </c>
      <c r="K9339">
        <v>11435</v>
      </c>
      <c r="L9339" t="s">
        <v>18958</v>
      </c>
      <c r="M9339" t="s">
        <v>18958</v>
      </c>
      <c r="N9339" t="s">
        <v>25503</v>
      </c>
      <c r="O9339" t="s">
        <v>26523</v>
      </c>
      <c r="P9339" t="s">
        <v>26563</v>
      </c>
      <c r="R9339" t="s">
        <v>26584</v>
      </c>
      <c r="S9339" t="s">
        <v>18958</v>
      </c>
      <c r="U9339" t="s">
        <v>26604</v>
      </c>
      <c r="X9339">
        <v>1365</v>
      </c>
      <c r="Y9339" t="s">
        <v>26653</v>
      </c>
      <c r="Z9339" t="s">
        <v>26664</v>
      </c>
      <c r="AB9339" t="s">
        <v>33363</v>
      </c>
      <c r="AD9339" t="s">
        <v>44083</v>
      </c>
      <c r="AE9339">
        <v>50</v>
      </c>
      <c r="AF9339" t="s">
        <v>45541</v>
      </c>
      <c r="AG9339" t="s">
        <v>19330</v>
      </c>
      <c r="AH9339">
        <v>10</v>
      </c>
      <c r="AI9339">
        <v>1</v>
      </c>
      <c r="AJ9339">
        <v>2</v>
      </c>
      <c r="AK9339">
        <v>120.31</v>
      </c>
      <c r="AO9339">
        <v>25000</v>
      </c>
      <c r="AU9339">
        <v>3.8</v>
      </c>
      <c r="AV9339" t="s">
        <v>732</v>
      </c>
      <c r="AW9339" t="s">
        <v>122</v>
      </c>
    </row>
    <row r="9340" spans="1:50">
      <c r="A9340" s="1">
        <f>HYPERLINK("https://lsnyc.legalserver.org/matter/dynamic-profile/view/1881901","18-1881901")</f>
        <v>0</v>
      </c>
      <c r="B9340" t="s">
        <v>314</v>
      </c>
      <c r="C9340" t="s">
        <v>340</v>
      </c>
      <c r="D9340" t="s">
        <v>645</v>
      </c>
      <c r="F9340" t="s">
        <v>1091</v>
      </c>
      <c r="G9340" t="s">
        <v>5183</v>
      </c>
      <c r="H9340" t="s">
        <v>16018</v>
      </c>
      <c r="I9340">
        <v>63</v>
      </c>
      <c r="J9340" t="s">
        <v>18893</v>
      </c>
      <c r="K9340">
        <v>10026</v>
      </c>
      <c r="L9340" t="s">
        <v>18960</v>
      </c>
      <c r="M9340" t="s">
        <v>18960</v>
      </c>
      <c r="O9340" t="s">
        <v>26526</v>
      </c>
      <c r="P9340" t="s">
        <v>26563</v>
      </c>
      <c r="R9340" t="s">
        <v>26582</v>
      </c>
      <c r="U9340" t="s">
        <v>26604</v>
      </c>
      <c r="X9340">
        <v>1645</v>
      </c>
      <c r="Y9340" t="s">
        <v>26651</v>
      </c>
      <c r="Z9340" t="s">
        <v>26659</v>
      </c>
      <c r="AB9340" t="s">
        <v>33364</v>
      </c>
      <c r="AD9340" t="s">
        <v>44084</v>
      </c>
      <c r="AE9340">
        <v>41</v>
      </c>
      <c r="AF9340" t="s">
        <v>45541</v>
      </c>
      <c r="AG9340" t="s">
        <v>45558</v>
      </c>
      <c r="AH9340">
        <v>18</v>
      </c>
      <c r="AI9340">
        <v>2</v>
      </c>
      <c r="AJ9340">
        <v>0</v>
      </c>
      <c r="AK9340">
        <v>124.8</v>
      </c>
      <c r="AN9340" t="s">
        <v>7439</v>
      </c>
      <c r="AO9340">
        <v>20541.6</v>
      </c>
      <c r="AU9340">
        <v>2.4</v>
      </c>
      <c r="AV9340" t="s">
        <v>720</v>
      </c>
      <c r="AW9340" t="s">
        <v>314</v>
      </c>
    </row>
    <row r="9341" spans="1:50">
      <c r="A9341" s="1">
        <f>HYPERLINK("https://lsnyc.legalserver.org/matter/dynamic-profile/view/1882061","18-1882061")</f>
        <v>0</v>
      </c>
      <c r="B9341" t="s">
        <v>145</v>
      </c>
      <c r="C9341" t="s">
        <v>341</v>
      </c>
      <c r="D9341" t="s">
        <v>641</v>
      </c>
      <c r="E9341" t="s">
        <v>428</v>
      </c>
      <c r="F9341" t="s">
        <v>947</v>
      </c>
      <c r="G9341" t="s">
        <v>9011</v>
      </c>
      <c r="H9341" t="s">
        <v>16019</v>
      </c>
      <c r="J9341" t="s">
        <v>18902</v>
      </c>
      <c r="K9341">
        <v>10306</v>
      </c>
      <c r="L9341" t="s">
        <v>18958</v>
      </c>
      <c r="M9341" t="s">
        <v>18958</v>
      </c>
      <c r="O9341" t="s">
        <v>18997</v>
      </c>
      <c r="P9341" t="s">
        <v>26564</v>
      </c>
      <c r="Q9341" t="s">
        <v>26570</v>
      </c>
      <c r="R9341" t="s">
        <v>26589</v>
      </c>
      <c r="S9341" t="s">
        <v>18959</v>
      </c>
      <c r="U9341" t="s">
        <v>26604</v>
      </c>
      <c r="X9341">
        <v>800</v>
      </c>
      <c r="Y9341" t="s">
        <v>26654</v>
      </c>
      <c r="Z9341" t="s">
        <v>26671</v>
      </c>
      <c r="AA9341" t="s">
        <v>26683</v>
      </c>
      <c r="AB9341" t="s">
        <v>33365</v>
      </c>
      <c r="AD9341" t="s">
        <v>44085</v>
      </c>
      <c r="AE9341">
        <v>2</v>
      </c>
      <c r="AG9341" t="s">
        <v>19330</v>
      </c>
      <c r="AH9341">
        <v>7</v>
      </c>
      <c r="AI9341">
        <v>1</v>
      </c>
      <c r="AJ9341">
        <v>1</v>
      </c>
      <c r="AK9341">
        <v>110.57</v>
      </c>
      <c r="AL9341" t="s">
        <v>45567</v>
      </c>
      <c r="AM9341" t="s">
        <v>45577</v>
      </c>
      <c r="AO9341">
        <v>18200</v>
      </c>
      <c r="AU9341">
        <v>1</v>
      </c>
      <c r="AV9341" t="s">
        <v>641</v>
      </c>
      <c r="AW9341" t="s">
        <v>145</v>
      </c>
    </row>
    <row r="9342" spans="1:50">
      <c r="A9342" s="1">
        <f>HYPERLINK("https://lsnyc.legalserver.org/matter/dynamic-profile/view/1881996","18-1881996")</f>
        <v>0</v>
      </c>
      <c r="B9342" t="s">
        <v>254</v>
      </c>
      <c r="C9342" t="s">
        <v>341</v>
      </c>
      <c r="D9342" t="s">
        <v>641</v>
      </c>
      <c r="E9342" t="s">
        <v>669</v>
      </c>
      <c r="F9342" t="s">
        <v>4478</v>
      </c>
      <c r="G9342" t="s">
        <v>4693</v>
      </c>
      <c r="H9342" t="s">
        <v>16020</v>
      </c>
      <c r="I9342" t="s">
        <v>17843</v>
      </c>
      <c r="J9342" t="s">
        <v>18892</v>
      </c>
      <c r="K9342">
        <v>10459</v>
      </c>
      <c r="L9342" t="s">
        <v>18960</v>
      </c>
      <c r="M9342" t="s">
        <v>18960</v>
      </c>
      <c r="N9342" t="s">
        <v>25504</v>
      </c>
      <c r="O9342" t="s">
        <v>26524</v>
      </c>
      <c r="P9342" t="s">
        <v>26564</v>
      </c>
      <c r="Q9342" t="s">
        <v>26570</v>
      </c>
      <c r="R9342" t="s">
        <v>26591</v>
      </c>
      <c r="U9342" t="s">
        <v>26604</v>
      </c>
      <c r="X9342">
        <v>928</v>
      </c>
      <c r="Y9342" t="s">
        <v>26650</v>
      </c>
      <c r="AA9342" t="s">
        <v>26683</v>
      </c>
      <c r="AB9342" t="s">
        <v>33366</v>
      </c>
      <c r="AD9342" t="s">
        <v>44086</v>
      </c>
      <c r="AE9342">
        <v>0</v>
      </c>
      <c r="AF9342" t="s">
        <v>20460</v>
      </c>
      <c r="AG9342" t="s">
        <v>26530</v>
      </c>
      <c r="AH9342">
        <v>8</v>
      </c>
      <c r="AI9342">
        <v>1</v>
      </c>
      <c r="AJ9342">
        <v>0</v>
      </c>
      <c r="AK9342">
        <v>81.55</v>
      </c>
      <c r="AN9342" t="s">
        <v>7439</v>
      </c>
      <c r="AO9342">
        <v>9900</v>
      </c>
      <c r="AP9342" t="s">
        <v>46158</v>
      </c>
      <c r="AU9342">
        <v>1</v>
      </c>
      <c r="AV9342" t="s">
        <v>641</v>
      </c>
      <c r="AW9342" t="s">
        <v>46859</v>
      </c>
    </row>
    <row r="9343" spans="1:50">
      <c r="A9343" s="1">
        <f>HYPERLINK("https://lsnyc.legalserver.org/matter/dynamic-profile/view/1881858","18-1881858")</f>
        <v>0</v>
      </c>
      <c r="B9343" t="s">
        <v>199</v>
      </c>
      <c r="C9343" t="s">
        <v>341</v>
      </c>
      <c r="D9343" t="s">
        <v>641</v>
      </c>
      <c r="E9343" t="s">
        <v>698</v>
      </c>
      <c r="F9343" t="s">
        <v>870</v>
      </c>
      <c r="G9343" t="s">
        <v>9012</v>
      </c>
      <c r="H9343" t="s">
        <v>11395</v>
      </c>
      <c r="I9343">
        <v>3</v>
      </c>
      <c r="J9343" t="s">
        <v>18894</v>
      </c>
      <c r="K9343">
        <v>11238</v>
      </c>
      <c r="L9343" t="s">
        <v>18958</v>
      </c>
      <c r="M9343" t="s">
        <v>18960</v>
      </c>
      <c r="P9343" t="s">
        <v>26564</v>
      </c>
      <c r="Q9343" t="s">
        <v>26570</v>
      </c>
      <c r="R9343" t="s">
        <v>26578</v>
      </c>
      <c r="U9343" t="s">
        <v>26604</v>
      </c>
      <c r="X9343">
        <v>1150</v>
      </c>
      <c r="Y9343" t="s">
        <v>26652</v>
      </c>
      <c r="AA9343" t="s">
        <v>26677</v>
      </c>
      <c r="AB9343" t="s">
        <v>33367</v>
      </c>
      <c r="AE9343">
        <v>0</v>
      </c>
      <c r="AG9343" t="s">
        <v>19330</v>
      </c>
      <c r="AH9343">
        <v>19</v>
      </c>
      <c r="AI9343">
        <v>1</v>
      </c>
      <c r="AJ9343">
        <v>0</v>
      </c>
      <c r="AK9343">
        <v>0</v>
      </c>
      <c r="AN9343" t="s">
        <v>7439</v>
      </c>
      <c r="AO9343">
        <v>0</v>
      </c>
      <c r="AU9343">
        <v>1.5</v>
      </c>
      <c r="AV9343" t="s">
        <v>698</v>
      </c>
      <c r="AW9343" t="s">
        <v>46862</v>
      </c>
    </row>
    <row r="9344" spans="1:50">
      <c r="A9344" s="1">
        <f>HYPERLINK("https://lsnyc.legalserver.org/matter/dynamic-profile/view/1882051","18-1882051")</f>
        <v>0</v>
      </c>
      <c r="B9344" t="s">
        <v>198</v>
      </c>
      <c r="C9344" t="s">
        <v>341</v>
      </c>
      <c r="D9344" t="s">
        <v>641</v>
      </c>
      <c r="E9344" t="s">
        <v>767</v>
      </c>
      <c r="F9344" t="s">
        <v>2349</v>
      </c>
      <c r="G9344" t="s">
        <v>1725</v>
      </c>
      <c r="H9344" t="s">
        <v>16021</v>
      </c>
      <c r="I9344" t="s">
        <v>17299</v>
      </c>
      <c r="J9344" t="s">
        <v>18894</v>
      </c>
      <c r="K9344">
        <v>11237</v>
      </c>
      <c r="L9344" t="s">
        <v>18960</v>
      </c>
      <c r="M9344" t="s">
        <v>18960</v>
      </c>
      <c r="Q9344" t="s">
        <v>26570</v>
      </c>
      <c r="R9344" t="s">
        <v>26578</v>
      </c>
      <c r="U9344" t="s">
        <v>26604</v>
      </c>
      <c r="X9344">
        <v>0</v>
      </c>
      <c r="Y9344" t="s">
        <v>26652</v>
      </c>
      <c r="AA9344" t="s">
        <v>26683</v>
      </c>
      <c r="AB9344" t="s">
        <v>27577</v>
      </c>
      <c r="AD9344" t="s">
        <v>44087</v>
      </c>
      <c r="AE9344">
        <v>0</v>
      </c>
      <c r="AH9344">
        <v>0</v>
      </c>
      <c r="AI9344">
        <v>3</v>
      </c>
      <c r="AJ9344">
        <v>0</v>
      </c>
      <c r="AK9344">
        <v>0</v>
      </c>
      <c r="AN9344" t="s">
        <v>7439</v>
      </c>
      <c r="AO9344">
        <v>0</v>
      </c>
      <c r="AU9344">
        <v>0.3</v>
      </c>
      <c r="AV9344" t="s">
        <v>767</v>
      </c>
      <c r="AW9344" t="s">
        <v>198</v>
      </c>
    </row>
    <row r="9345" spans="1:49">
      <c r="A9345" s="1">
        <f>HYPERLINK("https://lsnyc.legalserver.org/matter/dynamic-profile/view/1881988","18-1881988")</f>
        <v>0</v>
      </c>
      <c r="B9345" t="s">
        <v>316</v>
      </c>
      <c r="C9345" t="s">
        <v>341</v>
      </c>
      <c r="D9345" t="s">
        <v>641</v>
      </c>
      <c r="E9345" t="s">
        <v>637</v>
      </c>
      <c r="F9345" t="s">
        <v>3378</v>
      </c>
      <c r="G9345" t="s">
        <v>9013</v>
      </c>
      <c r="H9345" t="s">
        <v>11579</v>
      </c>
      <c r="I9345" t="s">
        <v>17436</v>
      </c>
      <c r="J9345" t="s">
        <v>18902</v>
      </c>
      <c r="K9345">
        <v>10304</v>
      </c>
      <c r="L9345" t="s">
        <v>18960</v>
      </c>
      <c r="M9345" t="s">
        <v>18960</v>
      </c>
      <c r="N9345" t="s">
        <v>25505</v>
      </c>
      <c r="O9345" t="s">
        <v>26523</v>
      </c>
      <c r="P9345" t="s">
        <v>26564</v>
      </c>
      <c r="Q9345" t="s">
        <v>26570</v>
      </c>
      <c r="R9345" t="s">
        <v>26591</v>
      </c>
      <c r="U9345" t="s">
        <v>26604</v>
      </c>
      <c r="X9345">
        <v>766</v>
      </c>
      <c r="Y9345" t="s">
        <v>26654</v>
      </c>
      <c r="Z9345" t="s">
        <v>26665</v>
      </c>
      <c r="AA9345" t="s">
        <v>26683</v>
      </c>
      <c r="AB9345" t="s">
        <v>33368</v>
      </c>
      <c r="AD9345" t="s">
        <v>44088</v>
      </c>
      <c r="AE9345">
        <v>50</v>
      </c>
      <c r="AF9345" t="s">
        <v>45541</v>
      </c>
      <c r="AG9345" t="s">
        <v>19330</v>
      </c>
      <c r="AH9345">
        <v>2</v>
      </c>
      <c r="AI9345">
        <v>1</v>
      </c>
      <c r="AJ9345">
        <v>0</v>
      </c>
      <c r="AK9345">
        <v>182.04</v>
      </c>
      <c r="AN9345" t="s">
        <v>7439</v>
      </c>
      <c r="AO9345">
        <v>22100</v>
      </c>
      <c r="AU9345">
        <v>1</v>
      </c>
      <c r="AV9345" t="s">
        <v>641</v>
      </c>
      <c r="AW9345" t="s">
        <v>46846</v>
      </c>
    </row>
    <row r="9346" spans="1:49">
      <c r="A9346" s="1">
        <f>HYPERLINK("https://lsnyc.legalserver.org/matter/dynamic-profile/view/1881991","18-1881991")</f>
        <v>0</v>
      </c>
      <c r="B9346" t="s">
        <v>212</v>
      </c>
      <c r="C9346" t="s">
        <v>340</v>
      </c>
      <c r="D9346" t="s">
        <v>641</v>
      </c>
      <c r="F9346" t="s">
        <v>4529</v>
      </c>
      <c r="G9346" t="s">
        <v>9014</v>
      </c>
      <c r="H9346" t="s">
        <v>16022</v>
      </c>
      <c r="I9346" t="s">
        <v>17312</v>
      </c>
      <c r="J9346" t="s">
        <v>18896</v>
      </c>
      <c r="K9346">
        <v>11419</v>
      </c>
      <c r="L9346" t="s">
        <v>18958</v>
      </c>
      <c r="M9346" t="s">
        <v>18958</v>
      </c>
      <c r="N9346" t="s">
        <v>25506</v>
      </c>
      <c r="O9346" t="s">
        <v>26524</v>
      </c>
      <c r="P9346" t="s">
        <v>26563</v>
      </c>
      <c r="R9346" t="s">
        <v>26584</v>
      </c>
      <c r="S9346" t="s">
        <v>18959</v>
      </c>
      <c r="U9346" t="s">
        <v>26604</v>
      </c>
      <c r="X9346">
        <v>825</v>
      </c>
      <c r="Y9346" t="s">
        <v>26653</v>
      </c>
      <c r="Z9346" t="s">
        <v>26664</v>
      </c>
      <c r="AB9346" t="s">
        <v>28368</v>
      </c>
      <c r="AC9346" t="s">
        <v>36633</v>
      </c>
      <c r="AD9346" t="s">
        <v>44089</v>
      </c>
      <c r="AE9346">
        <v>4</v>
      </c>
      <c r="AF9346" t="s">
        <v>20460</v>
      </c>
      <c r="AG9346" t="s">
        <v>19330</v>
      </c>
      <c r="AH9346">
        <v>21</v>
      </c>
      <c r="AI9346">
        <v>1</v>
      </c>
      <c r="AJ9346">
        <v>0</v>
      </c>
      <c r="AK9346">
        <v>51.8</v>
      </c>
      <c r="AN9346" t="s">
        <v>45614</v>
      </c>
      <c r="AO9346">
        <v>6288</v>
      </c>
      <c r="AU9346">
        <v>6.3</v>
      </c>
      <c r="AV9346" t="s">
        <v>757</v>
      </c>
      <c r="AW9346" t="s">
        <v>208</v>
      </c>
    </row>
    <row r="9347" spans="1:49">
      <c r="A9347" s="1">
        <f>HYPERLINK("https://lsnyc.legalserver.org/matter/dynamic-profile/view/1882067","18-1882067")</f>
        <v>0</v>
      </c>
      <c r="B9347" t="s">
        <v>200</v>
      </c>
      <c r="C9347" t="s">
        <v>340</v>
      </c>
      <c r="D9347" t="s">
        <v>641</v>
      </c>
      <c r="F9347" t="s">
        <v>4530</v>
      </c>
      <c r="G9347" t="s">
        <v>9015</v>
      </c>
      <c r="H9347" t="s">
        <v>12352</v>
      </c>
      <c r="I9347" t="s">
        <v>18654</v>
      </c>
      <c r="J9347" t="s">
        <v>18894</v>
      </c>
      <c r="K9347">
        <v>11226</v>
      </c>
      <c r="L9347" t="s">
        <v>18960</v>
      </c>
      <c r="M9347" t="s">
        <v>18960</v>
      </c>
      <c r="R9347" t="s">
        <v>26591</v>
      </c>
      <c r="U9347" t="s">
        <v>26604</v>
      </c>
      <c r="X9347">
        <v>0</v>
      </c>
      <c r="Y9347" t="s">
        <v>26652</v>
      </c>
      <c r="AB9347" t="s">
        <v>33369</v>
      </c>
      <c r="AD9347" t="s">
        <v>44090</v>
      </c>
      <c r="AE9347">
        <v>0</v>
      </c>
      <c r="AH9347">
        <v>0</v>
      </c>
      <c r="AI9347">
        <v>1</v>
      </c>
      <c r="AJ9347">
        <v>0</v>
      </c>
      <c r="AK9347">
        <v>0</v>
      </c>
      <c r="AN9347" t="s">
        <v>7439</v>
      </c>
      <c r="AO9347">
        <v>0</v>
      </c>
      <c r="AU9347">
        <v>0.4</v>
      </c>
      <c r="AV9347" t="s">
        <v>641</v>
      </c>
      <c r="AW9347" t="s">
        <v>46849</v>
      </c>
    </row>
    <row r="9348" spans="1:49">
      <c r="A9348" s="1">
        <f>HYPERLINK("https://lsnyc.legalserver.org/matter/dynamic-profile/view/1882018","18-1882018")</f>
        <v>0</v>
      </c>
      <c r="B9348" t="s">
        <v>200</v>
      </c>
      <c r="C9348" t="s">
        <v>340</v>
      </c>
      <c r="D9348" t="s">
        <v>641</v>
      </c>
      <c r="F9348" t="s">
        <v>4531</v>
      </c>
      <c r="G9348" t="s">
        <v>4096</v>
      </c>
      <c r="H9348" t="s">
        <v>14447</v>
      </c>
      <c r="I9348" t="s">
        <v>18655</v>
      </c>
      <c r="J9348" t="s">
        <v>18894</v>
      </c>
      <c r="K9348">
        <v>11208</v>
      </c>
      <c r="L9348" t="s">
        <v>18959</v>
      </c>
      <c r="M9348" t="s">
        <v>18959</v>
      </c>
      <c r="N9348" t="s">
        <v>18997</v>
      </c>
      <c r="O9348" t="s">
        <v>26526</v>
      </c>
      <c r="R9348" t="s">
        <v>26578</v>
      </c>
      <c r="S9348" t="s">
        <v>18959</v>
      </c>
      <c r="U9348" t="s">
        <v>26604</v>
      </c>
      <c r="V9348" t="s">
        <v>26610</v>
      </c>
      <c r="X9348">
        <v>895</v>
      </c>
      <c r="Y9348" t="s">
        <v>26652</v>
      </c>
      <c r="Z9348" t="s">
        <v>26663</v>
      </c>
      <c r="AB9348" t="s">
        <v>33370</v>
      </c>
      <c r="AC9348" t="s">
        <v>34508</v>
      </c>
      <c r="AD9348" t="s">
        <v>44091</v>
      </c>
      <c r="AE9348">
        <v>1276</v>
      </c>
      <c r="AF9348" t="s">
        <v>20460</v>
      </c>
      <c r="AG9348" t="s">
        <v>19330</v>
      </c>
      <c r="AH9348">
        <v>3</v>
      </c>
      <c r="AI9348">
        <v>1</v>
      </c>
      <c r="AJ9348">
        <v>0</v>
      </c>
      <c r="AK9348">
        <v>81.05</v>
      </c>
      <c r="AN9348" t="s">
        <v>7439</v>
      </c>
      <c r="AO9348">
        <v>9840</v>
      </c>
      <c r="AU9348">
        <v>0</v>
      </c>
      <c r="AW9348" t="s">
        <v>279</v>
      </c>
    </row>
    <row r="9349" spans="1:49">
      <c r="A9349" s="1">
        <f>HYPERLINK("https://lsnyc.legalserver.org/matter/dynamic-profile/view/1882063","18-1882063")</f>
        <v>0</v>
      </c>
      <c r="B9349" t="s">
        <v>59</v>
      </c>
      <c r="C9349" t="s">
        <v>340</v>
      </c>
      <c r="D9349" t="s">
        <v>641</v>
      </c>
      <c r="F9349" t="s">
        <v>1081</v>
      </c>
      <c r="G9349" t="s">
        <v>9016</v>
      </c>
      <c r="H9349" t="s">
        <v>16023</v>
      </c>
      <c r="J9349" t="s">
        <v>18893</v>
      </c>
      <c r="K9349">
        <v>10033</v>
      </c>
      <c r="L9349" t="s">
        <v>18960</v>
      </c>
      <c r="M9349" t="s">
        <v>18960</v>
      </c>
      <c r="R9349" t="s">
        <v>26582</v>
      </c>
      <c r="U9349" t="s">
        <v>26604</v>
      </c>
      <c r="X9349">
        <v>0</v>
      </c>
      <c r="Y9349" t="s">
        <v>26651</v>
      </c>
      <c r="AB9349" t="s">
        <v>27889</v>
      </c>
      <c r="AD9349" t="s">
        <v>44092</v>
      </c>
      <c r="AE9349">
        <v>0</v>
      </c>
      <c r="AF9349" t="s">
        <v>45541</v>
      </c>
      <c r="AH9349">
        <v>4</v>
      </c>
      <c r="AI9349">
        <v>1</v>
      </c>
      <c r="AJ9349">
        <v>0</v>
      </c>
      <c r="AK9349">
        <v>0</v>
      </c>
      <c r="AN9349" t="s">
        <v>7439</v>
      </c>
      <c r="AO9349">
        <v>0</v>
      </c>
      <c r="AU9349">
        <v>1</v>
      </c>
      <c r="AV9349" t="s">
        <v>641</v>
      </c>
      <c r="AW9349" t="s">
        <v>264</v>
      </c>
    </row>
    <row r="9350" spans="1:49">
      <c r="A9350" s="1">
        <f>HYPERLINK("https://lsnyc.legalserver.org/matter/dynamic-profile/view/1882079","18-1882079")</f>
        <v>0</v>
      </c>
      <c r="B9350" t="s">
        <v>59</v>
      </c>
      <c r="C9350" t="s">
        <v>340</v>
      </c>
      <c r="D9350" t="s">
        <v>641</v>
      </c>
      <c r="F9350" t="s">
        <v>4532</v>
      </c>
      <c r="G9350" t="s">
        <v>1058</v>
      </c>
      <c r="H9350" t="s">
        <v>16024</v>
      </c>
      <c r="J9350" t="s">
        <v>18893</v>
      </c>
      <c r="K9350">
        <v>10031</v>
      </c>
      <c r="L9350" t="s">
        <v>18960</v>
      </c>
      <c r="M9350" t="s">
        <v>18960</v>
      </c>
      <c r="R9350" t="s">
        <v>26582</v>
      </c>
      <c r="U9350" t="s">
        <v>26604</v>
      </c>
      <c r="X9350">
        <v>1935</v>
      </c>
      <c r="Y9350" t="s">
        <v>26651</v>
      </c>
      <c r="AB9350" t="s">
        <v>32620</v>
      </c>
      <c r="AD9350" t="s">
        <v>44093</v>
      </c>
      <c r="AE9350">
        <v>0</v>
      </c>
      <c r="AF9350" t="s">
        <v>45541</v>
      </c>
      <c r="AH9350">
        <v>18</v>
      </c>
      <c r="AI9350">
        <v>2</v>
      </c>
      <c r="AJ9350">
        <v>2</v>
      </c>
      <c r="AK9350">
        <v>131.47</v>
      </c>
      <c r="AN9350" t="s">
        <v>45581</v>
      </c>
      <c r="AO9350">
        <v>33000</v>
      </c>
      <c r="AU9350">
        <v>1</v>
      </c>
      <c r="AV9350" t="s">
        <v>641</v>
      </c>
      <c r="AW9350" t="s">
        <v>264</v>
      </c>
    </row>
    <row r="9351" spans="1:49">
      <c r="A9351" s="1">
        <f>HYPERLINK("https://lsnyc.legalserver.org/matter/dynamic-profile/view/1882026","18-1882026")</f>
        <v>0</v>
      </c>
      <c r="B9351" t="s">
        <v>59</v>
      </c>
      <c r="C9351" t="s">
        <v>340</v>
      </c>
      <c r="D9351" t="s">
        <v>641</v>
      </c>
      <c r="F9351" t="s">
        <v>1364</v>
      </c>
      <c r="G9351" t="s">
        <v>5103</v>
      </c>
      <c r="H9351" t="s">
        <v>10227</v>
      </c>
      <c r="I9351" t="s">
        <v>17497</v>
      </c>
      <c r="J9351" t="s">
        <v>18893</v>
      </c>
      <c r="K9351">
        <v>10031</v>
      </c>
      <c r="L9351" t="s">
        <v>18958</v>
      </c>
      <c r="M9351" t="s">
        <v>18958</v>
      </c>
      <c r="N9351" t="s">
        <v>25507</v>
      </c>
      <c r="O9351" t="s">
        <v>26523</v>
      </c>
      <c r="P9351" t="s">
        <v>26560</v>
      </c>
      <c r="R9351" t="s">
        <v>26580</v>
      </c>
      <c r="S9351" t="s">
        <v>18959</v>
      </c>
      <c r="U9351" t="s">
        <v>26604</v>
      </c>
      <c r="V9351" t="s">
        <v>26610</v>
      </c>
      <c r="X9351">
        <v>881.5700000000001</v>
      </c>
      <c r="Y9351" t="s">
        <v>26651</v>
      </c>
      <c r="Z9351" t="s">
        <v>26664</v>
      </c>
      <c r="AB9351" t="s">
        <v>27334</v>
      </c>
      <c r="AD9351" t="s">
        <v>37400</v>
      </c>
      <c r="AE9351">
        <v>0</v>
      </c>
      <c r="AF9351" t="s">
        <v>20460</v>
      </c>
      <c r="AG9351" t="s">
        <v>19330</v>
      </c>
      <c r="AH9351">
        <v>27</v>
      </c>
      <c r="AI9351">
        <v>2</v>
      </c>
      <c r="AJ9351">
        <v>1</v>
      </c>
      <c r="AK9351">
        <v>55.68</v>
      </c>
      <c r="AN9351" t="s">
        <v>45581</v>
      </c>
      <c r="AO9351">
        <v>11570</v>
      </c>
      <c r="AU9351">
        <v>12.8</v>
      </c>
      <c r="AV9351" t="s">
        <v>751</v>
      </c>
      <c r="AW9351" t="s">
        <v>46875</v>
      </c>
    </row>
    <row r="9352" spans="1:49">
      <c r="A9352" s="1">
        <f>HYPERLINK("https://lsnyc.legalserver.org/matter/dynamic-profile/view/1882096","18-1882096")</f>
        <v>0</v>
      </c>
      <c r="B9352" t="s">
        <v>59</v>
      </c>
      <c r="C9352" t="s">
        <v>340</v>
      </c>
      <c r="D9352" t="s">
        <v>641</v>
      </c>
      <c r="F9352" t="s">
        <v>4533</v>
      </c>
      <c r="G9352" t="s">
        <v>9017</v>
      </c>
      <c r="H9352" t="s">
        <v>10932</v>
      </c>
      <c r="I9352" t="s">
        <v>17309</v>
      </c>
      <c r="J9352" t="s">
        <v>18893</v>
      </c>
      <c r="K9352">
        <v>10027</v>
      </c>
      <c r="L9352" t="s">
        <v>18958</v>
      </c>
      <c r="M9352" t="s">
        <v>18958</v>
      </c>
      <c r="N9352" t="s">
        <v>25508</v>
      </c>
      <c r="O9352" t="s">
        <v>26523</v>
      </c>
      <c r="P9352" t="s">
        <v>26560</v>
      </c>
      <c r="R9352" t="s">
        <v>26580</v>
      </c>
      <c r="S9352" t="s">
        <v>18959</v>
      </c>
      <c r="U9352" t="s">
        <v>26604</v>
      </c>
      <c r="V9352" t="s">
        <v>26610</v>
      </c>
      <c r="X9352">
        <v>1442.72</v>
      </c>
      <c r="Y9352" t="s">
        <v>26651</v>
      </c>
      <c r="Z9352" t="s">
        <v>26664</v>
      </c>
      <c r="AB9352" t="s">
        <v>33371</v>
      </c>
      <c r="AD9352" t="s">
        <v>44094</v>
      </c>
      <c r="AE9352">
        <v>0</v>
      </c>
      <c r="AF9352" t="s">
        <v>45541</v>
      </c>
      <c r="AG9352" t="s">
        <v>19330</v>
      </c>
      <c r="AH9352">
        <v>7</v>
      </c>
      <c r="AI9352">
        <v>1</v>
      </c>
      <c r="AJ9352">
        <v>0</v>
      </c>
      <c r="AK9352">
        <v>92.92</v>
      </c>
      <c r="AN9352" t="s">
        <v>7439</v>
      </c>
      <c r="AO9352">
        <v>11280</v>
      </c>
      <c r="AU9352">
        <v>23.6</v>
      </c>
      <c r="AV9352" t="s">
        <v>688</v>
      </c>
      <c r="AW9352" t="s">
        <v>314</v>
      </c>
    </row>
    <row r="9353" spans="1:49">
      <c r="A9353" s="1">
        <f>HYPERLINK("https://lsnyc.legalserver.org/matter/dynamic-profile/view/1882073","18-1882073")</f>
        <v>0</v>
      </c>
      <c r="B9353" t="s">
        <v>173</v>
      </c>
      <c r="C9353" t="s">
        <v>340</v>
      </c>
      <c r="D9353" t="s">
        <v>641</v>
      </c>
      <c r="F9353" t="s">
        <v>4534</v>
      </c>
      <c r="G9353" t="s">
        <v>968</v>
      </c>
      <c r="H9353" t="s">
        <v>16025</v>
      </c>
      <c r="J9353" t="s">
        <v>18893</v>
      </c>
      <c r="K9353">
        <v>10031</v>
      </c>
      <c r="L9353" t="s">
        <v>18960</v>
      </c>
      <c r="M9353" t="s">
        <v>18960</v>
      </c>
      <c r="O9353" t="s">
        <v>26523</v>
      </c>
      <c r="R9353" t="s">
        <v>26582</v>
      </c>
      <c r="U9353" t="s">
        <v>26604</v>
      </c>
      <c r="X9353">
        <v>967.6</v>
      </c>
      <c r="Y9353" t="s">
        <v>26651</v>
      </c>
      <c r="AB9353" t="s">
        <v>30623</v>
      </c>
      <c r="AD9353" t="s">
        <v>44095</v>
      </c>
      <c r="AE9353">
        <v>0</v>
      </c>
      <c r="AF9353" t="s">
        <v>45541</v>
      </c>
      <c r="AH9353">
        <v>0</v>
      </c>
      <c r="AI9353">
        <v>1</v>
      </c>
      <c r="AJ9353">
        <v>1</v>
      </c>
      <c r="AK9353">
        <v>51.03</v>
      </c>
      <c r="AN9353" t="s">
        <v>7439</v>
      </c>
      <c r="AO9353">
        <v>8400</v>
      </c>
      <c r="AU9353">
        <v>9.5</v>
      </c>
      <c r="AV9353" t="s">
        <v>768</v>
      </c>
      <c r="AW9353" t="s">
        <v>264</v>
      </c>
    </row>
    <row r="9354" spans="1:49">
      <c r="A9354" s="1">
        <f>HYPERLINK("https://lsnyc.legalserver.org/matter/dynamic-profile/view/1882134","18-1882134")</f>
        <v>0</v>
      </c>
      <c r="B9354" t="s">
        <v>209</v>
      </c>
      <c r="C9354" t="s">
        <v>341</v>
      </c>
      <c r="D9354" t="s">
        <v>644</v>
      </c>
      <c r="E9354" t="s">
        <v>646</v>
      </c>
      <c r="F9354" t="s">
        <v>1548</v>
      </c>
      <c r="G9354" t="s">
        <v>5532</v>
      </c>
      <c r="H9354" t="s">
        <v>16026</v>
      </c>
      <c r="I9354" t="s">
        <v>17284</v>
      </c>
      <c r="J9354" t="s">
        <v>18913</v>
      </c>
      <c r="K9354">
        <v>11106</v>
      </c>
      <c r="L9354" t="s">
        <v>18960</v>
      </c>
      <c r="M9354" t="s">
        <v>18960</v>
      </c>
      <c r="O9354" t="s">
        <v>26524</v>
      </c>
      <c r="P9354" t="s">
        <v>26564</v>
      </c>
      <c r="Q9354" t="s">
        <v>26570</v>
      </c>
      <c r="R9354" t="s">
        <v>26591</v>
      </c>
      <c r="S9354" t="s">
        <v>18959</v>
      </c>
      <c r="U9354" t="s">
        <v>26605</v>
      </c>
      <c r="X9354">
        <v>580</v>
      </c>
      <c r="Y9354" t="s">
        <v>26653</v>
      </c>
      <c r="Z9354" t="s">
        <v>26530</v>
      </c>
      <c r="AA9354" t="s">
        <v>26683</v>
      </c>
      <c r="AB9354" t="s">
        <v>29817</v>
      </c>
      <c r="AD9354" t="s">
        <v>44096</v>
      </c>
      <c r="AE9354">
        <v>14</v>
      </c>
      <c r="AF9354" t="s">
        <v>45549</v>
      </c>
      <c r="AG9354" t="s">
        <v>26530</v>
      </c>
      <c r="AH9354">
        <v>4</v>
      </c>
      <c r="AI9354">
        <v>1</v>
      </c>
      <c r="AJ9354">
        <v>2</v>
      </c>
      <c r="AK9354">
        <v>137.23</v>
      </c>
      <c r="AN9354" t="s">
        <v>7439</v>
      </c>
      <c r="AO9354">
        <v>28516</v>
      </c>
      <c r="AU9354">
        <v>1.2</v>
      </c>
      <c r="AV9354" t="s">
        <v>646</v>
      </c>
      <c r="AW9354" t="s">
        <v>46841</v>
      </c>
    </row>
    <row r="9355" spans="1:49">
      <c r="A9355" s="1">
        <f>HYPERLINK("https://lsnyc.legalserver.org/matter/dynamic-profile/view/1882180","18-1882180")</f>
        <v>0</v>
      </c>
      <c r="B9355" t="s">
        <v>209</v>
      </c>
      <c r="C9355" t="s">
        <v>341</v>
      </c>
      <c r="D9355" t="s">
        <v>644</v>
      </c>
      <c r="E9355" t="s">
        <v>519</v>
      </c>
      <c r="F9355" t="s">
        <v>1467</v>
      </c>
      <c r="G9355" t="s">
        <v>6158</v>
      </c>
      <c r="H9355" t="s">
        <v>16027</v>
      </c>
      <c r="I9355" t="s">
        <v>17416</v>
      </c>
      <c r="J9355" t="s">
        <v>18898</v>
      </c>
      <c r="K9355">
        <v>11691</v>
      </c>
      <c r="L9355" t="s">
        <v>18960</v>
      </c>
      <c r="M9355" t="s">
        <v>18960</v>
      </c>
      <c r="N9355" t="s">
        <v>25509</v>
      </c>
      <c r="P9355" t="s">
        <v>26563</v>
      </c>
      <c r="Q9355" t="s">
        <v>26570</v>
      </c>
      <c r="R9355" t="s">
        <v>26591</v>
      </c>
      <c r="U9355" t="s">
        <v>26604</v>
      </c>
      <c r="X9355">
        <v>1600</v>
      </c>
      <c r="Y9355" t="s">
        <v>26653</v>
      </c>
      <c r="Z9355" t="s">
        <v>26530</v>
      </c>
      <c r="AA9355" t="s">
        <v>26683</v>
      </c>
      <c r="AB9355" t="s">
        <v>33218</v>
      </c>
      <c r="AD9355" t="s">
        <v>44097</v>
      </c>
      <c r="AE9355">
        <v>0</v>
      </c>
      <c r="AH9355">
        <v>4</v>
      </c>
      <c r="AI9355">
        <v>4</v>
      </c>
      <c r="AJ9355">
        <v>3</v>
      </c>
      <c r="AK9355">
        <v>162.9</v>
      </c>
      <c r="AN9355" t="s">
        <v>7439</v>
      </c>
      <c r="AO9355">
        <v>62000</v>
      </c>
      <c r="AU9355">
        <v>0.7</v>
      </c>
      <c r="AV9355" t="s">
        <v>519</v>
      </c>
      <c r="AW9355" t="s">
        <v>46849</v>
      </c>
    </row>
    <row r="9356" spans="1:49">
      <c r="A9356" s="1">
        <f>HYPERLINK("https://lsnyc.legalserver.org/matter/dynamic-profile/view/1882217","18-1882217")</f>
        <v>0</v>
      </c>
      <c r="B9356" t="s">
        <v>161</v>
      </c>
      <c r="C9356" t="s">
        <v>341</v>
      </c>
      <c r="D9356" t="s">
        <v>644</v>
      </c>
      <c r="E9356" t="s">
        <v>427</v>
      </c>
      <c r="F9356" t="s">
        <v>4535</v>
      </c>
      <c r="G9356" t="s">
        <v>9018</v>
      </c>
      <c r="H9356" t="s">
        <v>16028</v>
      </c>
      <c r="I9356" t="s">
        <v>17332</v>
      </c>
      <c r="J9356" t="s">
        <v>18922</v>
      </c>
      <c r="K9356">
        <v>11694</v>
      </c>
      <c r="L9356" t="s">
        <v>18959</v>
      </c>
      <c r="M9356" t="s">
        <v>18958</v>
      </c>
      <c r="N9356" t="s">
        <v>25510</v>
      </c>
      <c r="O9356" t="s">
        <v>26526</v>
      </c>
      <c r="P9356" t="s">
        <v>26564</v>
      </c>
      <c r="Q9356" t="s">
        <v>26570</v>
      </c>
      <c r="R9356" t="s">
        <v>26584</v>
      </c>
      <c r="S9356" t="s">
        <v>18959</v>
      </c>
      <c r="U9356" t="s">
        <v>26604</v>
      </c>
      <c r="V9356" t="s">
        <v>26610</v>
      </c>
      <c r="X9356">
        <v>1450</v>
      </c>
      <c r="Y9356" t="s">
        <v>26653</v>
      </c>
      <c r="Z9356" t="s">
        <v>26664</v>
      </c>
      <c r="AA9356" t="s">
        <v>26683</v>
      </c>
      <c r="AB9356" t="s">
        <v>33372</v>
      </c>
      <c r="AD9356" t="s">
        <v>44098</v>
      </c>
      <c r="AE9356">
        <v>4</v>
      </c>
      <c r="AF9356" t="s">
        <v>45547</v>
      </c>
      <c r="AG9356" t="s">
        <v>19330</v>
      </c>
      <c r="AH9356">
        <v>-1</v>
      </c>
      <c r="AI9356">
        <v>2</v>
      </c>
      <c r="AJ9356">
        <v>2</v>
      </c>
      <c r="AK9356">
        <v>0</v>
      </c>
      <c r="AN9356" t="s">
        <v>7439</v>
      </c>
      <c r="AO9356">
        <v>0</v>
      </c>
      <c r="AU9356">
        <v>0.4</v>
      </c>
      <c r="AV9356" t="s">
        <v>427</v>
      </c>
      <c r="AW9356" t="s">
        <v>161</v>
      </c>
    </row>
    <row r="9357" spans="1:49">
      <c r="A9357" s="1">
        <f>HYPERLINK("https://lsnyc.legalserver.org/matter/dynamic-profile/view/1882213","18-1882213")</f>
        <v>0</v>
      </c>
      <c r="B9357" t="s">
        <v>161</v>
      </c>
      <c r="C9357" t="s">
        <v>341</v>
      </c>
      <c r="D9357" t="s">
        <v>644</v>
      </c>
      <c r="E9357" t="s">
        <v>427</v>
      </c>
      <c r="F9357" t="s">
        <v>4536</v>
      </c>
      <c r="G9357" t="s">
        <v>5147</v>
      </c>
      <c r="H9357" t="s">
        <v>16029</v>
      </c>
      <c r="J9357" t="s">
        <v>18943</v>
      </c>
      <c r="K9357">
        <v>11414</v>
      </c>
      <c r="L9357" t="s">
        <v>18959</v>
      </c>
      <c r="M9357" t="s">
        <v>18959</v>
      </c>
      <c r="N9357" t="s">
        <v>25511</v>
      </c>
      <c r="O9357" t="s">
        <v>26526</v>
      </c>
      <c r="P9357" t="s">
        <v>26564</v>
      </c>
      <c r="Q9357" t="s">
        <v>26570</v>
      </c>
      <c r="R9357" t="s">
        <v>26584</v>
      </c>
      <c r="S9357" t="s">
        <v>18959</v>
      </c>
      <c r="U9357" t="s">
        <v>26604</v>
      </c>
      <c r="V9357" t="s">
        <v>26610</v>
      </c>
      <c r="X9357">
        <v>2200</v>
      </c>
      <c r="Y9357" t="s">
        <v>26653</v>
      </c>
      <c r="Z9357" t="s">
        <v>26664</v>
      </c>
      <c r="AA9357" t="s">
        <v>26683</v>
      </c>
      <c r="AB9357" t="s">
        <v>33373</v>
      </c>
      <c r="AD9357" t="s">
        <v>44099</v>
      </c>
      <c r="AE9357">
        <v>1</v>
      </c>
      <c r="AF9357" t="s">
        <v>45547</v>
      </c>
      <c r="AG9357" t="s">
        <v>19330</v>
      </c>
      <c r="AH9357">
        <v>5</v>
      </c>
      <c r="AI9357">
        <v>2</v>
      </c>
      <c r="AJ9357">
        <v>1</v>
      </c>
      <c r="AK9357">
        <v>51.97</v>
      </c>
      <c r="AN9357" t="s">
        <v>7439</v>
      </c>
      <c r="AO9357">
        <v>10800</v>
      </c>
      <c r="AU9357">
        <v>0.4</v>
      </c>
      <c r="AV9357" t="s">
        <v>427</v>
      </c>
      <c r="AW9357" t="s">
        <v>161</v>
      </c>
    </row>
    <row r="9358" spans="1:49">
      <c r="A9358" s="1">
        <f>HYPERLINK("https://lsnyc.legalserver.org/matter/dynamic-profile/view/1882119","18-1882119")</f>
        <v>0</v>
      </c>
      <c r="B9358" t="s">
        <v>254</v>
      </c>
      <c r="C9358" t="s">
        <v>341</v>
      </c>
      <c r="D9358" t="s">
        <v>644</v>
      </c>
      <c r="E9358" t="s">
        <v>669</v>
      </c>
      <c r="F9358" t="s">
        <v>1435</v>
      </c>
      <c r="G9358" t="s">
        <v>9019</v>
      </c>
      <c r="H9358" t="s">
        <v>16030</v>
      </c>
      <c r="I9358" t="s">
        <v>18656</v>
      </c>
      <c r="J9358" t="s">
        <v>18892</v>
      </c>
      <c r="K9358">
        <v>10468</v>
      </c>
      <c r="L9358" t="s">
        <v>18960</v>
      </c>
      <c r="M9358" t="s">
        <v>18960</v>
      </c>
      <c r="N9358" t="s">
        <v>25512</v>
      </c>
      <c r="O9358" t="s">
        <v>26524</v>
      </c>
      <c r="Q9358" t="s">
        <v>26570</v>
      </c>
      <c r="R9358" t="s">
        <v>26591</v>
      </c>
      <c r="U9358" t="s">
        <v>26604</v>
      </c>
      <c r="X9358">
        <v>744</v>
      </c>
      <c r="Y9358" t="s">
        <v>26650</v>
      </c>
      <c r="Z9358" t="s">
        <v>26673</v>
      </c>
      <c r="AA9358" t="s">
        <v>26683</v>
      </c>
      <c r="AB9358" t="s">
        <v>33374</v>
      </c>
      <c r="AD9358" t="s">
        <v>44100</v>
      </c>
      <c r="AE9358">
        <v>72</v>
      </c>
      <c r="AF9358" t="s">
        <v>45541</v>
      </c>
      <c r="AG9358" t="s">
        <v>19330</v>
      </c>
      <c r="AH9358">
        <v>42</v>
      </c>
      <c r="AI9358">
        <v>1</v>
      </c>
      <c r="AJ9358">
        <v>0</v>
      </c>
      <c r="AK9358">
        <v>0</v>
      </c>
      <c r="AN9358" t="s">
        <v>7439</v>
      </c>
      <c r="AO9358">
        <v>0</v>
      </c>
      <c r="AP9358" t="s">
        <v>46159</v>
      </c>
      <c r="AU9358">
        <v>1.2</v>
      </c>
      <c r="AV9358" t="s">
        <v>646</v>
      </c>
      <c r="AW9358" t="s">
        <v>46846</v>
      </c>
    </row>
    <row r="9359" spans="1:49">
      <c r="A9359" s="1">
        <f>HYPERLINK("https://lsnyc.legalserver.org/matter/dynamic-profile/view/1882732","18-1882732")</f>
        <v>0</v>
      </c>
      <c r="B9359" t="s">
        <v>76</v>
      </c>
      <c r="C9359" t="s">
        <v>341</v>
      </c>
      <c r="D9359" t="s">
        <v>644</v>
      </c>
      <c r="E9359" t="s">
        <v>739</v>
      </c>
      <c r="F9359" t="s">
        <v>1637</v>
      </c>
      <c r="G9359" t="s">
        <v>6653</v>
      </c>
      <c r="H9359" t="s">
        <v>16031</v>
      </c>
      <c r="I9359" t="s">
        <v>18657</v>
      </c>
      <c r="J9359" t="s">
        <v>18893</v>
      </c>
      <c r="K9359">
        <v>10002</v>
      </c>
      <c r="L9359" t="s">
        <v>18960</v>
      </c>
      <c r="M9359" t="s">
        <v>18960</v>
      </c>
      <c r="P9359" t="s">
        <v>26564</v>
      </c>
      <c r="Q9359" t="s">
        <v>26570</v>
      </c>
      <c r="R9359" t="s">
        <v>26592</v>
      </c>
      <c r="U9359" t="s">
        <v>26607</v>
      </c>
      <c r="X9359">
        <v>253</v>
      </c>
      <c r="Y9359" t="s">
        <v>26651</v>
      </c>
      <c r="AA9359" t="s">
        <v>26683</v>
      </c>
      <c r="AB9359" t="s">
        <v>33375</v>
      </c>
      <c r="AE9359">
        <v>0</v>
      </c>
      <c r="AH9359">
        <v>0</v>
      </c>
      <c r="AI9359">
        <v>1</v>
      </c>
      <c r="AJ9359">
        <v>0</v>
      </c>
      <c r="AK9359">
        <v>73.34</v>
      </c>
      <c r="AN9359" t="s">
        <v>45581</v>
      </c>
      <c r="AO9359">
        <v>8904</v>
      </c>
      <c r="AU9359">
        <v>1.25</v>
      </c>
      <c r="AV9359" t="s">
        <v>739</v>
      </c>
      <c r="AW9359" t="s">
        <v>46879</v>
      </c>
    </row>
    <row r="9360" spans="1:49">
      <c r="A9360" s="1">
        <f>HYPERLINK("https://lsnyc.legalserver.org/matter/dynamic-profile/view/1882216","18-1882216")</f>
        <v>0</v>
      </c>
      <c r="B9360" t="s">
        <v>198</v>
      </c>
      <c r="C9360" t="s">
        <v>341</v>
      </c>
      <c r="D9360" t="s">
        <v>644</v>
      </c>
      <c r="E9360" t="s">
        <v>765</v>
      </c>
      <c r="F9360" t="s">
        <v>4537</v>
      </c>
      <c r="G9360" t="s">
        <v>9020</v>
      </c>
      <c r="H9360" t="s">
        <v>16032</v>
      </c>
      <c r="I9360" t="s">
        <v>17292</v>
      </c>
      <c r="J9360" t="s">
        <v>18894</v>
      </c>
      <c r="K9360">
        <v>11226</v>
      </c>
      <c r="L9360" t="s">
        <v>18960</v>
      </c>
      <c r="M9360" t="s">
        <v>18960</v>
      </c>
      <c r="Q9360" t="s">
        <v>26570</v>
      </c>
      <c r="R9360" t="s">
        <v>26578</v>
      </c>
      <c r="U9360" t="s">
        <v>26604</v>
      </c>
      <c r="X9360">
        <v>0</v>
      </c>
      <c r="Y9360" t="s">
        <v>26652</v>
      </c>
      <c r="AA9360" t="s">
        <v>26683</v>
      </c>
      <c r="AB9360" t="s">
        <v>32189</v>
      </c>
      <c r="AD9360" t="s">
        <v>44101</v>
      </c>
      <c r="AE9360">
        <v>59</v>
      </c>
      <c r="AH9360">
        <v>0</v>
      </c>
      <c r="AI9360">
        <v>2</v>
      </c>
      <c r="AJ9360">
        <v>0</v>
      </c>
      <c r="AK9360">
        <v>119.54</v>
      </c>
      <c r="AN9360" t="s">
        <v>7439</v>
      </c>
      <c r="AO9360">
        <v>19676</v>
      </c>
      <c r="AU9360">
        <v>1.7</v>
      </c>
      <c r="AV9360" t="s">
        <v>765</v>
      </c>
      <c r="AW9360" t="s">
        <v>198</v>
      </c>
    </row>
    <row r="9361" spans="1:49">
      <c r="A9361" s="1">
        <f>HYPERLINK("https://lsnyc.legalserver.org/matter/dynamic-profile/view/1882196","18-1882196")</f>
        <v>0</v>
      </c>
      <c r="B9361" t="s">
        <v>208</v>
      </c>
      <c r="C9361" t="s">
        <v>340</v>
      </c>
      <c r="D9361" t="s">
        <v>644</v>
      </c>
      <c r="F9361" t="s">
        <v>880</v>
      </c>
      <c r="G9361" t="s">
        <v>3000</v>
      </c>
      <c r="H9361" t="s">
        <v>16033</v>
      </c>
      <c r="I9361" t="s">
        <v>17312</v>
      </c>
      <c r="J9361" t="s">
        <v>18912</v>
      </c>
      <c r="K9361">
        <v>11374</v>
      </c>
      <c r="L9361" t="s">
        <v>18958</v>
      </c>
      <c r="M9361" t="s">
        <v>18958</v>
      </c>
      <c r="N9361" t="s">
        <v>25513</v>
      </c>
      <c r="O9361" t="s">
        <v>26523</v>
      </c>
      <c r="P9361" t="s">
        <v>26563</v>
      </c>
      <c r="R9361" t="s">
        <v>26584</v>
      </c>
      <c r="S9361" t="s">
        <v>18959</v>
      </c>
      <c r="U9361" t="s">
        <v>26604</v>
      </c>
      <c r="X9361">
        <v>1600</v>
      </c>
      <c r="Y9361" t="s">
        <v>26653</v>
      </c>
      <c r="Z9361" t="s">
        <v>26664</v>
      </c>
      <c r="AB9361" t="s">
        <v>28912</v>
      </c>
      <c r="AD9361" t="s">
        <v>44102</v>
      </c>
      <c r="AE9361">
        <v>4</v>
      </c>
      <c r="AF9361" t="s">
        <v>20460</v>
      </c>
      <c r="AG9361" t="s">
        <v>19330</v>
      </c>
      <c r="AH9361">
        <v>3</v>
      </c>
      <c r="AI9361">
        <v>3</v>
      </c>
      <c r="AJ9361">
        <v>0</v>
      </c>
      <c r="AK9361">
        <v>120.31</v>
      </c>
      <c r="AN9361" t="s">
        <v>7439</v>
      </c>
      <c r="AO9361">
        <v>25000</v>
      </c>
      <c r="AU9361">
        <v>0</v>
      </c>
      <c r="AW9361" t="s">
        <v>208</v>
      </c>
    </row>
    <row r="9362" spans="1:49">
      <c r="A9362" s="1">
        <f>HYPERLINK("https://lsnyc.legalserver.org/matter/dynamic-profile/view/1882375","18-1882375")</f>
        <v>0</v>
      </c>
      <c r="B9362" t="s">
        <v>55</v>
      </c>
      <c r="C9362" t="s">
        <v>340</v>
      </c>
      <c r="D9362" t="s">
        <v>644</v>
      </c>
      <c r="F9362" t="s">
        <v>1235</v>
      </c>
      <c r="G9362" t="s">
        <v>6437</v>
      </c>
      <c r="H9362" t="s">
        <v>9741</v>
      </c>
      <c r="I9362" t="s">
        <v>17632</v>
      </c>
      <c r="J9362" t="s">
        <v>18892</v>
      </c>
      <c r="K9362">
        <v>10453</v>
      </c>
      <c r="L9362" t="s">
        <v>18958</v>
      </c>
      <c r="M9362" t="s">
        <v>18958</v>
      </c>
      <c r="O9362" t="s">
        <v>18997</v>
      </c>
      <c r="P9362" t="s">
        <v>26563</v>
      </c>
      <c r="R9362" t="s">
        <v>26578</v>
      </c>
      <c r="U9362" t="s">
        <v>26604</v>
      </c>
      <c r="X9362">
        <v>1612</v>
      </c>
      <c r="Y9362" t="s">
        <v>26650</v>
      </c>
      <c r="Z9362" t="s">
        <v>26663</v>
      </c>
      <c r="AB9362" t="s">
        <v>33376</v>
      </c>
      <c r="AD9362" t="s">
        <v>44103</v>
      </c>
      <c r="AE9362">
        <v>99</v>
      </c>
      <c r="AG9362" t="s">
        <v>45556</v>
      </c>
      <c r="AH9362">
        <v>9</v>
      </c>
      <c r="AI9362">
        <v>2</v>
      </c>
      <c r="AJ9362">
        <v>0</v>
      </c>
      <c r="AK9362">
        <v>63.18</v>
      </c>
      <c r="AN9362" t="s">
        <v>45581</v>
      </c>
      <c r="AO9362">
        <v>10400</v>
      </c>
      <c r="AP9362" t="s">
        <v>46149</v>
      </c>
      <c r="AU9362">
        <v>0</v>
      </c>
      <c r="AW9362" t="s">
        <v>336</v>
      </c>
    </row>
    <row r="9363" spans="1:49">
      <c r="A9363" s="1">
        <f>HYPERLINK("https://lsnyc.legalserver.org/matter/dynamic-profile/view/1882380","18-1882380")</f>
        <v>0</v>
      </c>
      <c r="B9363" t="s">
        <v>55</v>
      </c>
      <c r="C9363" t="s">
        <v>340</v>
      </c>
      <c r="D9363" t="s">
        <v>644</v>
      </c>
      <c r="F9363" t="s">
        <v>900</v>
      </c>
      <c r="G9363" t="s">
        <v>5691</v>
      </c>
      <c r="H9363" t="s">
        <v>9741</v>
      </c>
      <c r="I9363" t="s">
        <v>17874</v>
      </c>
      <c r="J9363" t="s">
        <v>18892</v>
      </c>
      <c r="K9363">
        <v>10453</v>
      </c>
      <c r="L9363" t="s">
        <v>18958</v>
      </c>
      <c r="M9363" t="s">
        <v>18958</v>
      </c>
      <c r="O9363" t="s">
        <v>18997</v>
      </c>
      <c r="P9363" t="s">
        <v>26563</v>
      </c>
      <c r="R9363" t="s">
        <v>26578</v>
      </c>
      <c r="U9363" t="s">
        <v>26604</v>
      </c>
      <c r="X9363">
        <v>1060</v>
      </c>
      <c r="Y9363" t="s">
        <v>26650</v>
      </c>
      <c r="Z9363" t="s">
        <v>26663</v>
      </c>
      <c r="AB9363" t="s">
        <v>33377</v>
      </c>
      <c r="AE9363">
        <v>99</v>
      </c>
      <c r="AF9363" t="s">
        <v>45541</v>
      </c>
      <c r="AG9363" t="s">
        <v>45556</v>
      </c>
      <c r="AH9363">
        <v>10</v>
      </c>
      <c r="AI9363">
        <v>2</v>
      </c>
      <c r="AJ9363">
        <v>0</v>
      </c>
      <c r="AK9363">
        <v>99.64</v>
      </c>
      <c r="AN9363" t="s">
        <v>7439</v>
      </c>
      <c r="AO9363">
        <v>16400</v>
      </c>
      <c r="AP9363" t="s">
        <v>46149</v>
      </c>
      <c r="AU9363">
        <v>0</v>
      </c>
      <c r="AW9363" t="s">
        <v>336</v>
      </c>
    </row>
    <row r="9364" spans="1:49">
      <c r="A9364" s="1">
        <f>HYPERLINK("https://lsnyc.legalserver.org/matter/dynamic-profile/view/1882351","18-1882351")</f>
        <v>0</v>
      </c>
      <c r="B9364" t="s">
        <v>55</v>
      </c>
      <c r="C9364" t="s">
        <v>340</v>
      </c>
      <c r="D9364" t="s">
        <v>644</v>
      </c>
      <c r="F9364" t="s">
        <v>4538</v>
      </c>
      <c r="G9364" t="s">
        <v>9021</v>
      </c>
      <c r="H9364" t="s">
        <v>9741</v>
      </c>
      <c r="I9364" t="s">
        <v>17464</v>
      </c>
      <c r="J9364" t="s">
        <v>18892</v>
      </c>
      <c r="K9364">
        <v>10453</v>
      </c>
      <c r="L9364" t="s">
        <v>18958</v>
      </c>
      <c r="M9364" t="s">
        <v>18958</v>
      </c>
      <c r="O9364" t="s">
        <v>18997</v>
      </c>
      <c r="P9364" t="s">
        <v>26563</v>
      </c>
      <c r="R9364" t="s">
        <v>26578</v>
      </c>
      <c r="U9364" t="s">
        <v>26604</v>
      </c>
      <c r="X9364">
        <v>1400</v>
      </c>
      <c r="Y9364" t="s">
        <v>26650</v>
      </c>
      <c r="Z9364" t="s">
        <v>26663</v>
      </c>
      <c r="AB9364" t="s">
        <v>33378</v>
      </c>
      <c r="AE9364">
        <v>99</v>
      </c>
      <c r="AF9364" t="s">
        <v>45541</v>
      </c>
      <c r="AG9364" t="s">
        <v>45556</v>
      </c>
      <c r="AH9364">
        <v>7</v>
      </c>
      <c r="AI9364">
        <v>1</v>
      </c>
      <c r="AJ9364">
        <v>0</v>
      </c>
      <c r="AK9364">
        <v>138.39</v>
      </c>
      <c r="AN9364" t="s">
        <v>7439</v>
      </c>
      <c r="AO9364">
        <v>16800</v>
      </c>
      <c r="AP9364" t="s">
        <v>46160</v>
      </c>
      <c r="AU9364">
        <v>0</v>
      </c>
      <c r="AW9364" t="s">
        <v>336</v>
      </c>
    </row>
    <row r="9365" spans="1:49">
      <c r="A9365" s="1">
        <f>HYPERLINK("https://lsnyc.legalserver.org/matter/dynamic-profile/view/1882347","18-1882347")</f>
        <v>0</v>
      </c>
      <c r="B9365" t="s">
        <v>55</v>
      </c>
      <c r="C9365" t="s">
        <v>340</v>
      </c>
      <c r="D9365" t="s">
        <v>644</v>
      </c>
      <c r="F9365" t="s">
        <v>3904</v>
      </c>
      <c r="G9365" t="s">
        <v>1725</v>
      </c>
      <c r="H9365" t="s">
        <v>9741</v>
      </c>
      <c r="I9365" t="s">
        <v>17355</v>
      </c>
      <c r="J9365" t="s">
        <v>18892</v>
      </c>
      <c r="K9365">
        <v>10453</v>
      </c>
      <c r="L9365" t="s">
        <v>18958</v>
      </c>
      <c r="M9365" t="s">
        <v>18958</v>
      </c>
      <c r="O9365" t="s">
        <v>18997</v>
      </c>
      <c r="P9365" t="s">
        <v>26563</v>
      </c>
      <c r="R9365" t="s">
        <v>26578</v>
      </c>
      <c r="U9365" t="s">
        <v>26604</v>
      </c>
      <c r="X9365">
        <v>718.12</v>
      </c>
      <c r="Y9365" t="s">
        <v>26650</v>
      </c>
      <c r="Z9365" t="s">
        <v>26663</v>
      </c>
      <c r="AB9365" t="s">
        <v>30178</v>
      </c>
      <c r="AD9365" t="s">
        <v>44104</v>
      </c>
      <c r="AE9365">
        <v>99</v>
      </c>
      <c r="AF9365" t="s">
        <v>45541</v>
      </c>
      <c r="AG9365" t="s">
        <v>45556</v>
      </c>
      <c r="AH9365">
        <v>9</v>
      </c>
      <c r="AI9365">
        <v>1</v>
      </c>
      <c r="AJ9365">
        <v>0</v>
      </c>
      <c r="AK9365">
        <v>209.56</v>
      </c>
      <c r="AN9365" t="s">
        <v>45581</v>
      </c>
      <c r="AO9365">
        <v>25440</v>
      </c>
      <c r="AP9365" t="s">
        <v>46149</v>
      </c>
      <c r="AU9365">
        <v>0</v>
      </c>
      <c r="AW9365" t="s">
        <v>336</v>
      </c>
    </row>
    <row r="9366" spans="1:49">
      <c r="A9366" s="1">
        <f>HYPERLINK("https://lsnyc.legalserver.org/matter/dynamic-profile/view/1882345","18-1882345")</f>
        <v>0</v>
      </c>
      <c r="B9366" t="s">
        <v>55</v>
      </c>
      <c r="C9366" t="s">
        <v>340</v>
      </c>
      <c r="D9366" t="s">
        <v>644</v>
      </c>
      <c r="F9366" t="s">
        <v>893</v>
      </c>
      <c r="G9366" t="s">
        <v>5086</v>
      </c>
      <c r="H9366" t="s">
        <v>9741</v>
      </c>
      <c r="I9366" t="s">
        <v>17344</v>
      </c>
      <c r="J9366" t="s">
        <v>18892</v>
      </c>
      <c r="K9366">
        <v>10453</v>
      </c>
      <c r="L9366" t="s">
        <v>18958</v>
      </c>
      <c r="M9366" t="s">
        <v>18958</v>
      </c>
      <c r="O9366" t="s">
        <v>18997</v>
      </c>
      <c r="P9366" t="s">
        <v>26563</v>
      </c>
      <c r="R9366" t="s">
        <v>26578</v>
      </c>
      <c r="U9366" t="s">
        <v>26604</v>
      </c>
      <c r="X9366">
        <v>1400</v>
      </c>
      <c r="Y9366" t="s">
        <v>26650</v>
      </c>
      <c r="Z9366" t="s">
        <v>26663</v>
      </c>
      <c r="AB9366" t="s">
        <v>33379</v>
      </c>
      <c r="AE9366">
        <v>99</v>
      </c>
      <c r="AF9366" t="s">
        <v>45541</v>
      </c>
      <c r="AG9366" t="s">
        <v>45556</v>
      </c>
      <c r="AH9366">
        <v>0</v>
      </c>
      <c r="AI9366">
        <v>1</v>
      </c>
      <c r="AJ9366">
        <v>1</v>
      </c>
      <c r="AK9366">
        <v>212.64</v>
      </c>
      <c r="AN9366" t="s">
        <v>7439</v>
      </c>
      <c r="AO9366">
        <v>35000</v>
      </c>
      <c r="AP9366" t="s">
        <v>46149</v>
      </c>
      <c r="AU9366">
        <v>0</v>
      </c>
      <c r="AW9366" t="s">
        <v>336</v>
      </c>
    </row>
    <row r="9367" spans="1:49">
      <c r="A9367" s="1">
        <f>HYPERLINK("https://lsnyc.legalserver.org/matter/dynamic-profile/view/1882378","18-1882378")</f>
        <v>0</v>
      </c>
      <c r="B9367" t="s">
        <v>55</v>
      </c>
      <c r="C9367" t="s">
        <v>340</v>
      </c>
      <c r="D9367" t="s">
        <v>644</v>
      </c>
      <c r="F9367" t="s">
        <v>4396</v>
      </c>
      <c r="G9367" t="s">
        <v>9005</v>
      </c>
      <c r="H9367" t="s">
        <v>9741</v>
      </c>
      <c r="I9367" t="s">
        <v>18658</v>
      </c>
      <c r="J9367" t="s">
        <v>18892</v>
      </c>
      <c r="K9367">
        <v>10453</v>
      </c>
      <c r="L9367" t="s">
        <v>18958</v>
      </c>
      <c r="M9367" t="s">
        <v>18958</v>
      </c>
      <c r="O9367" t="s">
        <v>18997</v>
      </c>
      <c r="P9367" t="s">
        <v>26563</v>
      </c>
      <c r="R9367" t="s">
        <v>26578</v>
      </c>
      <c r="U9367" t="s">
        <v>26604</v>
      </c>
      <c r="X9367">
        <v>2100</v>
      </c>
      <c r="Y9367" t="s">
        <v>26650</v>
      </c>
      <c r="Z9367" t="s">
        <v>26663</v>
      </c>
      <c r="AB9367" t="s">
        <v>28235</v>
      </c>
      <c r="AE9367">
        <v>99</v>
      </c>
      <c r="AF9367" t="s">
        <v>45541</v>
      </c>
      <c r="AG9367" t="s">
        <v>19330</v>
      </c>
      <c r="AH9367">
        <v>2</v>
      </c>
      <c r="AI9367">
        <v>4</v>
      </c>
      <c r="AJ9367">
        <v>1</v>
      </c>
      <c r="AK9367">
        <v>220.94</v>
      </c>
      <c r="AN9367" t="s">
        <v>7439</v>
      </c>
      <c r="AO9367">
        <v>65000</v>
      </c>
      <c r="AP9367" t="s">
        <v>46149</v>
      </c>
      <c r="AU9367">
        <v>0</v>
      </c>
      <c r="AW9367" t="s">
        <v>336</v>
      </c>
    </row>
    <row r="9368" spans="1:49">
      <c r="A9368" s="1">
        <f>HYPERLINK("https://lsnyc.legalserver.org/matter/dynamic-profile/view/1882385","18-1882385")</f>
        <v>0</v>
      </c>
      <c r="B9368" t="s">
        <v>55</v>
      </c>
      <c r="C9368" t="s">
        <v>340</v>
      </c>
      <c r="D9368" t="s">
        <v>644</v>
      </c>
      <c r="F9368" t="s">
        <v>2002</v>
      </c>
      <c r="G9368" t="s">
        <v>7723</v>
      </c>
      <c r="H9368" t="s">
        <v>9741</v>
      </c>
      <c r="I9368" t="s">
        <v>17630</v>
      </c>
      <c r="J9368" t="s">
        <v>18892</v>
      </c>
      <c r="K9368">
        <v>10453</v>
      </c>
      <c r="L9368" t="s">
        <v>18958</v>
      </c>
      <c r="M9368" t="s">
        <v>18958</v>
      </c>
      <c r="O9368" t="s">
        <v>18997</v>
      </c>
      <c r="P9368" t="s">
        <v>26563</v>
      </c>
      <c r="R9368" t="s">
        <v>26578</v>
      </c>
      <c r="U9368" t="s">
        <v>26604</v>
      </c>
      <c r="X9368">
        <v>1450</v>
      </c>
      <c r="Y9368" t="s">
        <v>26650</v>
      </c>
      <c r="Z9368" t="s">
        <v>26663</v>
      </c>
      <c r="AB9368" t="s">
        <v>33380</v>
      </c>
      <c r="AD9368" t="s">
        <v>44105</v>
      </c>
      <c r="AE9368">
        <v>99</v>
      </c>
      <c r="AF9368" t="s">
        <v>45541</v>
      </c>
      <c r="AH9368">
        <v>1</v>
      </c>
      <c r="AI9368">
        <v>2</v>
      </c>
      <c r="AJ9368">
        <v>1</v>
      </c>
      <c r="AK9368">
        <v>325.19</v>
      </c>
      <c r="AN9368" t="s">
        <v>7439</v>
      </c>
      <c r="AO9368">
        <v>67574</v>
      </c>
      <c r="AP9368" t="s">
        <v>46149</v>
      </c>
      <c r="AU9368">
        <v>0</v>
      </c>
      <c r="AW9368" t="s">
        <v>336</v>
      </c>
    </row>
    <row r="9369" spans="1:49">
      <c r="A9369" s="1">
        <f>HYPERLINK("https://lsnyc.legalserver.org/matter/dynamic-profile/view/1882212","18-1882212")</f>
        <v>0</v>
      </c>
      <c r="B9369" t="s">
        <v>200</v>
      </c>
      <c r="C9369" t="s">
        <v>340</v>
      </c>
      <c r="D9369" t="s">
        <v>644</v>
      </c>
      <c r="F9369" t="s">
        <v>4539</v>
      </c>
      <c r="G9369" t="s">
        <v>9022</v>
      </c>
      <c r="H9369" t="s">
        <v>16034</v>
      </c>
      <c r="I9369" t="s">
        <v>18659</v>
      </c>
      <c r="J9369" t="s">
        <v>18894</v>
      </c>
      <c r="K9369">
        <v>11212</v>
      </c>
      <c r="L9369" t="s">
        <v>18960</v>
      </c>
      <c r="M9369" t="s">
        <v>18960</v>
      </c>
      <c r="R9369" t="s">
        <v>26591</v>
      </c>
      <c r="U9369" t="s">
        <v>26604</v>
      </c>
      <c r="X9369">
        <v>1956</v>
      </c>
      <c r="Y9369" t="s">
        <v>26652</v>
      </c>
      <c r="Z9369" t="s">
        <v>26666</v>
      </c>
      <c r="AB9369" t="s">
        <v>27106</v>
      </c>
      <c r="AD9369" t="s">
        <v>44106</v>
      </c>
      <c r="AE9369">
        <v>4</v>
      </c>
      <c r="AG9369" t="s">
        <v>45558</v>
      </c>
      <c r="AH9369">
        <v>2</v>
      </c>
      <c r="AI9369">
        <v>1</v>
      </c>
      <c r="AJ9369">
        <v>0</v>
      </c>
      <c r="AK9369">
        <v>127.86</v>
      </c>
      <c r="AN9369" t="s">
        <v>7439</v>
      </c>
      <c r="AO9369">
        <v>15522</v>
      </c>
      <c r="AU9369">
        <v>1.3</v>
      </c>
      <c r="AV9369" t="s">
        <v>666</v>
      </c>
      <c r="AW9369" t="s">
        <v>46858</v>
      </c>
    </row>
    <row r="9370" spans="1:49">
      <c r="A9370" s="1">
        <f>HYPERLINK("https://lsnyc.legalserver.org/matter/dynamic-profile/view/1882169","18-1882169")</f>
        <v>0</v>
      </c>
      <c r="B9370" t="s">
        <v>114</v>
      </c>
      <c r="C9370" t="s">
        <v>340</v>
      </c>
      <c r="D9370" t="s">
        <v>644</v>
      </c>
      <c r="F9370" t="s">
        <v>1066</v>
      </c>
      <c r="G9370" t="s">
        <v>5121</v>
      </c>
      <c r="H9370" t="s">
        <v>16035</v>
      </c>
      <c r="J9370" t="s">
        <v>18896</v>
      </c>
      <c r="K9370">
        <v>11419</v>
      </c>
      <c r="L9370" t="s">
        <v>18958</v>
      </c>
      <c r="M9370" t="s">
        <v>18958</v>
      </c>
      <c r="N9370" t="s">
        <v>25514</v>
      </c>
      <c r="O9370" t="s">
        <v>26523</v>
      </c>
      <c r="P9370" t="s">
        <v>26563</v>
      </c>
      <c r="R9370" t="s">
        <v>26584</v>
      </c>
      <c r="S9370" t="s">
        <v>18959</v>
      </c>
      <c r="U9370" t="s">
        <v>26604</v>
      </c>
      <c r="X9370">
        <v>2750</v>
      </c>
      <c r="Y9370" t="s">
        <v>26653</v>
      </c>
      <c r="Z9370" t="s">
        <v>26664</v>
      </c>
      <c r="AB9370" t="s">
        <v>33381</v>
      </c>
      <c r="AC9370" t="s">
        <v>36634</v>
      </c>
      <c r="AD9370" t="s">
        <v>44107</v>
      </c>
      <c r="AE9370">
        <v>0</v>
      </c>
      <c r="AF9370" t="s">
        <v>20460</v>
      </c>
      <c r="AG9370" t="s">
        <v>45562</v>
      </c>
      <c r="AH9370">
        <v>4</v>
      </c>
      <c r="AI9370">
        <v>4</v>
      </c>
      <c r="AJ9370">
        <v>7</v>
      </c>
      <c r="AK9370">
        <v>36.81</v>
      </c>
      <c r="AN9370" t="s">
        <v>7439</v>
      </c>
      <c r="AO9370">
        <v>20368</v>
      </c>
      <c r="AU9370">
        <v>12.7</v>
      </c>
      <c r="AV9370" t="s">
        <v>787</v>
      </c>
      <c r="AW9370" t="s">
        <v>208</v>
      </c>
    </row>
    <row r="9371" spans="1:49">
      <c r="A9371" s="1">
        <f>HYPERLINK("https://lsnyc.legalserver.org/matter/dynamic-profile/view/1882224","18-1882224")</f>
        <v>0</v>
      </c>
      <c r="B9371" t="s">
        <v>227</v>
      </c>
      <c r="C9371" t="s">
        <v>341</v>
      </c>
      <c r="D9371" t="s">
        <v>427</v>
      </c>
      <c r="E9371" t="s">
        <v>697</v>
      </c>
      <c r="F9371" t="s">
        <v>4540</v>
      </c>
      <c r="G9371" t="s">
        <v>8475</v>
      </c>
      <c r="H9371" t="s">
        <v>16036</v>
      </c>
      <c r="I9371">
        <v>208</v>
      </c>
      <c r="J9371" t="s">
        <v>18894</v>
      </c>
      <c r="K9371">
        <v>11206</v>
      </c>
      <c r="L9371" t="s">
        <v>18959</v>
      </c>
      <c r="M9371" t="s">
        <v>18958</v>
      </c>
      <c r="N9371" t="s">
        <v>25515</v>
      </c>
      <c r="O9371" t="s">
        <v>26524</v>
      </c>
      <c r="P9371" t="s">
        <v>26564</v>
      </c>
      <c r="Q9371" t="s">
        <v>26570</v>
      </c>
      <c r="R9371" t="s">
        <v>26586</v>
      </c>
      <c r="U9371" t="s">
        <v>26604</v>
      </c>
      <c r="X9371">
        <v>1100</v>
      </c>
      <c r="Y9371" t="s">
        <v>26652</v>
      </c>
      <c r="Z9371" t="s">
        <v>26664</v>
      </c>
      <c r="AA9371" t="s">
        <v>26683</v>
      </c>
      <c r="AB9371" t="s">
        <v>33382</v>
      </c>
      <c r="AD9371" t="s">
        <v>44108</v>
      </c>
      <c r="AE9371">
        <v>0</v>
      </c>
      <c r="AG9371" t="s">
        <v>19330</v>
      </c>
      <c r="AH9371">
        <v>1</v>
      </c>
      <c r="AI9371">
        <v>1</v>
      </c>
      <c r="AJ9371">
        <v>0</v>
      </c>
      <c r="AK9371">
        <v>0</v>
      </c>
      <c r="AN9371" t="s">
        <v>7439</v>
      </c>
      <c r="AO9371">
        <v>0</v>
      </c>
      <c r="AU9371">
        <v>1.6</v>
      </c>
      <c r="AV9371" t="s">
        <v>662</v>
      </c>
      <c r="AW9371" t="s">
        <v>281</v>
      </c>
    </row>
    <row r="9372" spans="1:49">
      <c r="A9372" s="1">
        <f>HYPERLINK("https://lsnyc.legalserver.org/matter/dynamic-profile/view/1882269","18-1882269")</f>
        <v>0</v>
      </c>
      <c r="B9372" t="s">
        <v>75</v>
      </c>
      <c r="C9372" t="s">
        <v>341</v>
      </c>
      <c r="D9372" t="s">
        <v>427</v>
      </c>
      <c r="E9372" t="s">
        <v>517</v>
      </c>
      <c r="F9372" t="s">
        <v>1021</v>
      </c>
      <c r="G9372" t="s">
        <v>9023</v>
      </c>
      <c r="H9372" t="s">
        <v>9952</v>
      </c>
      <c r="I9372" t="s">
        <v>17939</v>
      </c>
      <c r="J9372" t="s">
        <v>18892</v>
      </c>
      <c r="K9372">
        <v>10472</v>
      </c>
      <c r="L9372" t="s">
        <v>18960</v>
      </c>
      <c r="M9372" t="s">
        <v>18960</v>
      </c>
      <c r="O9372" t="s">
        <v>26524</v>
      </c>
      <c r="P9372" t="s">
        <v>26564</v>
      </c>
      <c r="Q9372" t="s">
        <v>26570</v>
      </c>
      <c r="R9372" t="s">
        <v>26591</v>
      </c>
      <c r="S9372" t="s">
        <v>18959</v>
      </c>
      <c r="U9372" t="s">
        <v>26604</v>
      </c>
      <c r="X9372">
        <v>1180</v>
      </c>
      <c r="Y9372" t="s">
        <v>26650</v>
      </c>
      <c r="Z9372" t="s">
        <v>26668</v>
      </c>
      <c r="AA9372" t="s">
        <v>26683</v>
      </c>
      <c r="AB9372" t="s">
        <v>31232</v>
      </c>
      <c r="AD9372" t="s">
        <v>44109</v>
      </c>
      <c r="AE9372">
        <v>150</v>
      </c>
      <c r="AG9372" t="s">
        <v>19330</v>
      </c>
      <c r="AH9372">
        <v>20</v>
      </c>
      <c r="AI9372">
        <v>1</v>
      </c>
      <c r="AJ9372">
        <v>0</v>
      </c>
      <c r="AK9372">
        <v>0</v>
      </c>
      <c r="AN9372" t="s">
        <v>7439</v>
      </c>
      <c r="AO9372">
        <v>0</v>
      </c>
      <c r="AP9372" t="s">
        <v>45767</v>
      </c>
      <c r="AU9372">
        <v>2.2</v>
      </c>
      <c r="AV9372" t="s">
        <v>517</v>
      </c>
      <c r="AW9372" t="s">
        <v>46858</v>
      </c>
    </row>
    <row r="9373" spans="1:49">
      <c r="A9373" s="1">
        <f>HYPERLINK("https://lsnyc.legalserver.org/matter/dynamic-profile/view/1882254","18-1882254")</f>
        <v>0</v>
      </c>
      <c r="B9373" t="s">
        <v>175</v>
      </c>
      <c r="C9373" t="s">
        <v>341</v>
      </c>
      <c r="D9373" t="s">
        <v>427</v>
      </c>
      <c r="E9373" t="s">
        <v>494</v>
      </c>
      <c r="F9373" t="s">
        <v>4541</v>
      </c>
      <c r="G9373" t="s">
        <v>9024</v>
      </c>
      <c r="H9373" t="s">
        <v>16037</v>
      </c>
      <c r="J9373" t="s">
        <v>18894</v>
      </c>
      <c r="K9373">
        <v>11235</v>
      </c>
      <c r="L9373" t="s">
        <v>18960</v>
      </c>
      <c r="M9373" t="s">
        <v>18960</v>
      </c>
      <c r="O9373" t="s">
        <v>26523</v>
      </c>
      <c r="P9373" t="s">
        <v>26564</v>
      </c>
      <c r="Q9373" t="s">
        <v>26570</v>
      </c>
      <c r="R9373" t="s">
        <v>26586</v>
      </c>
      <c r="U9373" t="s">
        <v>26604</v>
      </c>
      <c r="X9373">
        <v>1620</v>
      </c>
      <c r="Y9373" t="s">
        <v>26652</v>
      </c>
      <c r="AA9373" t="s">
        <v>26683</v>
      </c>
      <c r="AB9373" t="s">
        <v>30614</v>
      </c>
      <c r="AE9373">
        <v>0</v>
      </c>
      <c r="AF9373" t="s">
        <v>45541</v>
      </c>
      <c r="AG9373" t="s">
        <v>19330</v>
      </c>
      <c r="AH9373">
        <v>0</v>
      </c>
      <c r="AI9373">
        <v>1</v>
      </c>
      <c r="AJ9373">
        <v>1</v>
      </c>
      <c r="AK9373">
        <v>221.14</v>
      </c>
      <c r="AN9373" t="s">
        <v>45586</v>
      </c>
      <c r="AO9373">
        <v>36400</v>
      </c>
      <c r="AU9373">
        <v>1.25</v>
      </c>
      <c r="AV9373" t="s">
        <v>718</v>
      </c>
      <c r="AW9373" t="s">
        <v>175</v>
      </c>
    </row>
    <row r="9374" spans="1:49">
      <c r="A9374" s="1">
        <f>HYPERLINK("https://lsnyc.legalserver.org/matter/dynamic-profile/view/1882870","18-1882870")</f>
        <v>0</v>
      </c>
      <c r="B9374" t="s">
        <v>169</v>
      </c>
      <c r="C9374" t="s">
        <v>341</v>
      </c>
      <c r="D9374" t="s">
        <v>840</v>
      </c>
      <c r="E9374" t="s">
        <v>740</v>
      </c>
      <c r="F9374" t="s">
        <v>4542</v>
      </c>
      <c r="G9374" t="s">
        <v>5634</v>
      </c>
      <c r="H9374" t="s">
        <v>10149</v>
      </c>
      <c r="I9374" t="s">
        <v>18660</v>
      </c>
      <c r="J9374" t="s">
        <v>18892</v>
      </c>
      <c r="K9374">
        <v>10458</v>
      </c>
      <c r="L9374" t="s">
        <v>18958</v>
      </c>
      <c r="M9374" t="s">
        <v>18958</v>
      </c>
      <c r="O9374" t="s">
        <v>26526</v>
      </c>
      <c r="P9374" t="s">
        <v>26564</v>
      </c>
      <c r="Q9374" t="s">
        <v>26570</v>
      </c>
      <c r="R9374" t="s">
        <v>26578</v>
      </c>
      <c r="S9374" t="s">
        <v>18958</v>
      </c>
      <c r="U9374" t="s">
        <v>26604</v>
      </c>
      <c r="X9374">
        <v>1.06</v>
      </c>
      <c r="Y9374" t="s">
        <v>26650</v>
      </c>
      <c r="Z9374" t="s">
        <v>26663</v>
      </c>
      <c r="AA9374" t="s">
        <v>26683</v>
      </c>
      <c r="AB9374" t="s">
        <v>33383</v>
      </c>
      <c r="AE9374">
        <v>0</v>
      </c>
      <c r="AF9374" t="s">
        <v>45547</v>
      </c>
      <c r="AG9374" t="s">
        <v>26530</v>
      </c>
      <c r="AH9374">
        <v>13</v>
      </c>
      <c r="AI9374">
        <v>1</v>
      </c>
      <c r="AJ9374">
        <v>1</v>
      </c>
      <c r="AK9374">
        <v>0</v>
      </c>
      <c r="AN9374" t="s">
        <v>7439</v>
      </c>
      <c r="AO9374">
        <v>0</v>
      </c>
      <c r="AU9374">
        <v>0.3</v>
      </c>
      <c r="AV9374" t="s">
        <v>740</v>
      </c>
      <c r="AW9374" t="s">
        <v>336</v>
      </c>
    </row>
    <row r="9375" spans="1:49">
      <c r="A9375" s="1">
        <f>HYPERLINK("https://lsnyc.legalserver.org/matter/dynamic-profile/view/1882868","18-1882868")</f>
        <v>0</v>
      </c>
      <c r="B9375" t="s">
        <v>169</v>
      </c>
      <c r="C9375" t="s">
        <v>341</v>
      </c>
      <c r="D9375" t="s">
        <v>840</v>
      </c>
      <c r="E9375" t="s">
        <v>740</v>
      </c>
      <c r="F9375" t="s">
        <v>4543</v>
      </c>
      <c r="G9375" t="s">
        <v>5634</v>
      </c>
      <c r="H9375" t="s">
        <v>10149</v>
      </c>
      <c r="I9375" t="s">
        <v>18661</v>
      </c>
      <c r="J9375" t="s">
        <v>18892</v>
      </c>
      <c r="K9375">
        <v>10458</v>
      </c>
      <c r="L9375" t="s">
        <v>18958</v>
      </c>
      <c r="M9375" t="s">
        <v>18958</v>
      </c>
      <c r="O9375" t="s">
        <v>26526</v>
      </c>
      <c r="P9375" t="s">
        <v>26564</v>
      </c>
      <c r="Q9375" t="s">
        <v>26570</v>
      </c>
      <c r="R9375" t="s">
        <v>26578</v>
      </c>
      <c r="S9375" t="s">
        <v>18958</v>
      </c>
      <c r="U9375" t="s">
        <v>26604</v>
      </c>
      <c r="X9375">
        <v>995</v>
      </c>
      <c r="Y9375" t="s">
        <v>26650</v>
      </c>
      <c r="Z9375" t="s">
        <v>26663</v>
      </c>
      <c r="AA9375" t="s">
        <v>26683</v>
      </c>
      <c r="AB9375" t="s">
        <v>29802</v>
      </c>
      <c r="AE9375">
        <v>0</v>
      </c>
      <c r="AF9375" t="s">
        <v>45547</v>
      </c>
      <c r="AG9375" t="s">
        <v>19330</v>
      </c>
      <c r="AH9375">
        <v>8</v>
      </c>
      <c r="AI9375">
        <v>1</v>
      </c>
      <c r="AJ9375">
        <v>0</v>
      </c>
      <c r="AK9375">
        <v>79.08</v>
      </c>
      <c r="AN9375" t="s">
        <v>45581</v>
      </c>
      <c r="AO9375">
        <v>9600</v>
      </c>
      <c r="AU9375">
        <v>0.3</v>
      </c>
      <c r="AV9375" t="s">
        <v>740</v>
      </c>
      <c r="AW9375" t="s">
        <v>336</v>
      </c>
    </row>
    <row r="9376" spans="1:49">
      <c r="A9376" s="1">
        <f>HYPERLINK("https://lsnyc.legalserver.org/matter/dynamic-profile/view/1882859","18-1882859")</f>
        <v>0</v>
      </c>
      <c r="B9376" t="s">
        <v>169</v>
      </c>
      <c r="C9376" t="s">
        <v>341</v>
      </c>
      <c r="D9376" t="s">
        <v>840</v>
      </c>
      <c r="E9376" t="s">
        <v>740</v>
      </c>
      <c r="F9376" t="s">
        <v>986</v>
      </c>
      <c r="G9376" t="s">
        <v>2749</v>
      </c>
      <c r="H9376" t="s">
        <v>10149</v>
      </c>
      <c r="I9376" t="s">
        <v>18662</v>
      </c>
      <c r="J9376" t="s">
        <v>18892</v>
      </c>
      <c r="K9376">
        <v>10458</v>
      </c>
      <c r="L9376" t="s">
        <v>18958</v>
      </c>
      <c r="M9376" t="s">
        <v>18958</v>
      </c>
      <c r="O9376" t="s">
        <v>26526</v>
      </c>
      <c r="P9376" t="s">
        <v>26564</v>
      </c>
      <c r="Q9376" t="s">
        <v>26570</v>
      </c>
      <c r="R9376" t="s">
        <v>26578</v>
      </c>
      <c r="S9376" t="s">
        <v>18958</v>
      </c>
      <c r="U9376" t="s">
        <v>26604</v>
      </c>
      <c r="X9376">
        <v>943.8</v>
      </c>
      <c r="Y9376" t="s">
        <v>26650</v>
      </c>
      <c r="AA9376" t="s">
        <v>26683</v>
      </c>
      <c r="AB9376" t="s">
        <v>29507</v>
      </c>
      <c r="AE9376">
        <v>0</v>
      </c>
      <c r="AF9376" t="s">
        <v>45547</v>
      </c>
      <c r="AG9376" t="s">
        <v>19330</v>
      </c>
      <c r="AH9376">
        <v>9</v>
      </c>
      <c r="AI9376">
        <v>2</v>
      </c>
      <c r="AJ9376">
        <v>2</v>
      </c>
      <c r="AK9376">
        <v>79.68000000000001</v>
      </c>
      <c r="AN9376" t="s">
        <v>45581</v>
      </c>
      <c r="AO9376">
        <v>20000</v>
      </c>
      <c r="AU9376">
        <v>0.3</v>
      </c>
      <c r="AV9376" t="s">
        <v>740</v>
      </c>
      <c r="AW9376" t="s">
        <v>336</v>
      </c>
    </row>
    <row r="9377" spans="1:50">
      <c r="A9377" s="1">
        <f>HYPERLINK("https://lsnyc.legalserver.org/matter/dynamic-profile/view/1882971","18-1882971")</f>
        <v>0</v>
      </c>
      <c r="B9377" t="s">
        <v>169</v>
      </c>
      <c r="C9377" t="s">
        <v>341</v>
      </c>
      <c r="D9377" t="s">
        <v>840</v>
      </c>
      <c r="E9377" t="s">
        <v>740</v>
      </c>
      <c r="F9377" t="s">
        <v>4544</v>
      </c>
      <c r="G9377" t="s">
        <v>4524</v>
      </c>
      <c r="H9377" t="s">
        <v>10149</v>
      </c>
      <c r="I9377" t="s">
        <v>18663</v>
      </c>
      <c r="J9377" t="s">
        <v>18892</v>
      </c>
      <c r="K9377">
        <v>10458</v>
      </c>
      <c r="L9377" t="s">
        <v>18958</v>
      </c>
      <c r="M9377" t="s">
        <v>18958</v>
      </c>
      <c r="P9377" t="s">
        <v>26564</v>
      </c>
      <c r="Q9377" t="s">
        <v>26570</v>
      </c>
      <c r="R9377" t="s">
        <v>26578</v>
      </c>
      <c r="S9377" t="s">
        <v>18958</v>
      </c>
      <c r="U9377" t="s">
        <v>26604</v>
      </c>
      <c r="X9377">
        <v>873.47</v>
      </c>
      <c r="Y9377" t="s">
        <v>26650</v>
      </c>
      <c r="Z9377" t="s">
        <v>26663</v>
      </c>
      <c r="AA9377" t="s">
        <v>26683</v>
      </c>
      <c r="AB9377" t="s">
        <v>33384</v>
      </c>
      <c r="AE9377">
        <v>0</v>
      </c>
      <c r="AF9377" t="s">
        <v>45541</v>
      </c>
      <c r="AG9377" t="s">
        <v>19330</v>
      </c>
      <c r="AH9377">
        <v>40</v>
      </c>
      <c r="AI9377">
        <v>2</v>
      </c>
      <c r="AJ9377">
        <v>0</v>
      </c>
      <c r="AK9377">
        <v>294.05</v>
      </c>
      <c r="AN9377" t="s">
        <v>7439</v>
      </c>
      <c r="AO9377">
        <v>48400</v>
      </c>
      <c r="AU9377">
        <v>0.2</v>
      </c>
      <c r="AV9377" t="s">
        <v>740</v>
      </c>
      <c r="AW9377" t="s">
        <v>336</v>
      </c>
    </row>
    <row r="9378" spans="1:50">
      <c r="A9378" s="1">
        <f>HYPERLINK("https://lsnyc.legalserver.org/matter/dynamic-profile/view/1882944","18-1882944")</f>
        <v>0</v>
      </c>
      <c r="B9378" t="s">
        <v>169</v>
      </c>
      <c r="C9378" t="s">
        <v>340</v>
      </c>
      <c r="D9378" t="s">
        <v>840</v>
      </c>
      <c r="F9378" t="s">
        <v>1197</v>
      </c>
      <c r="G9378" t="s">
        <v>3305</v>
      </c>
      <c r="H9378" t="s">
        <v>10149</v>
      </c>
      <c r="I9378" t="s">
        <v>18664</v>
      </c>
      <c r="J9378" t="s">
        <v>18892</v>
      </c>
      <c r="K9378">
        <v>10458</v>
      </c>
      <c r="L9378" t="s">
        <v>18958</v>
      </c>
      <c r="M9378" t="s">
        <v>18958</v>
      </c>
      <c r="N9378" t="s">
        <v>23335</v>
      </c>
      <c r="O9378" t="s">
        <v>26526</v>
      </c>
      <c r="P9378" t="s">
        <v>26560</v>
      </c>
      <c r="R9378" t="s">
        <v>26578</v>
      </c>
      <c r="S9378" t="s">
        <v>18958</v>
      </c>
      <c r="U9378" t="s">
        <v>26604</v>
      </c>
      <c r="X9378">
        <v>1587</v>
      </c>
      <c r="Y9378" t="s">
        <v>26650</v>
      </c>
      <c r="Z9378" t="s">
        <v>26663</v>
      </c>
      <c r="AB9378" t="s">
        <v>33385</v>
      </c>
      <c r="AE9378">
        <v>0</v>
      </c>
      <c r="AF9378" t="s">
        <v>45547</v>
      </c>
      <c r="AG9378" t="s">
        <v>45556</v>
      </c>
      <c r="AH9378">
        <v>11</v>
      </c>
      <c r="AI9378">
        <v>1</v>
      </c>
      <c r="AJ9378">
        <v>0</v>
      </c>
      <c r="AK9378">
        <v>68.5</v>
      </c>
      <c r="AN9378" t="s">
        <v>45581</v>
      </c>
      <c r="AO9378">
        <v>8316</v>
      </c>
      <c r="AU9378">
        <v>0.2</v>
      </c>
      <c r="AV9378" t="s">
        <v>740</v>
      </c>
      <c r="AW9378" t="s">
        <v>336</v>
      </c>
    </row>
    <row r="9379" spans="1:50">
      <c r="A9379" s="1">
        <f>HYPERLINK("https://lsnyc.legalserver.org/matter/dynamic-profile/view/1882857","18-1882857")</f>
        <v>0</v>
      </c>
      <c r="B9379" t="s">
        <v>169</v>
      </c>
      <c r="C9379" t="s">
        <v>340</v>
      </c>
      <c r="D9379" t="s">
        <v>840</v>
      </c>
      <c r="F9379" t="s">
        <v>887</v>
      </c>
      <c r="G9379" t="s">
        <v>5147</v>
      </c>
      <c r="H9379" t="s">
        <v>10149</v>
      </c>
      <c r="I9379" t="s">
        <v>18665</v>
      </c>
      <c r="J9379" t="s">
        <v>18892</v>
      </c>
      <c r="K9379">
        <v>10458</v>
      </c>
      <c r="L9379" t="s">
        <v>18958</v>
      </c>
      <c r="M9379" t="s">
        <v>18958</v>
      </c>
      <c r="N9379" t="s">
        <v>23335</v>
      </c>
      <c r="O9379" t="s">
        <v>26526</v>
      </c>
      <c r="P9379" t="s">
        <v>26560</v>
      </c>
      <c r="R9379" t="s">
        <v>26578</v>
      </c>
      <c r="S9379" t="s">
        <v>18958</v>
      </c>
      <c r="U9379" t="s">
        <v>26604</v>
      </c>
      <c r="X9379">
        <v>0</v>
      </c>
      <c r="Y9379" t="s">
        <v>26650</v>
      </c>
      <c r="Z9379" t="s">
        <v>26663</v>
      </c>
      <c r="AB9379" t="s">
        <v>29131</v>
      </c>
      <c r="AE9379">
        <v>0</v>
      </c>
      <c r="AF9379" t="s">
        <v>45541</v>
      </c>
      <c r="AG9379" t="s">
        <v>45559</v>
      </c>
      <c r="AH9379">
        <v>0</v>
      </c>
      <c r="AI9379">
        <v>3</v>
      </c>
      <c r="AJ9379">
        <v>0</v>
      </c>
      <c r="AK9379">
        <v>106.95</v>
      </c>
      <c r="AN9379" t="s">
        <v>45581</v>
      </c>
      <c r="AO9379">
        <v>22224</v>
      </c>
      <c r="AU9379">
        <v>0.3</v>
      </c>
      <c r="AV9379" t="s">
        <v>811</v>
      </c>
      <c r="AW9379" t="s">
        <v>336</v>
      </c>
    </row>
    <row r="9380" spans="1:50">
      <c r="A9380" s="1">
        <f>HYPERLINK("https://lsnyc.legalserver.org/matter/dynamic-profile/view/1882960","18-1882960")</f>
        <v>0</v>
      </c>
      <c r="B9380" t="s">
        <v>169</v>
      </c>
      <c r="C9380" t="s">
        <v>340</v>
      </c>
      <c r="D9380" t="s">
        <v>840</v>
      </c>
      <c r="F9380" t="s">
        <v>1252</v>
      </c>
      <c r="G9380" t="s">
        <v>5678</v>
      </c>
      <c r="H9380" t="s">
        <v>10149</v>
      </c>
      <c r="J9380" t="s">
        <v>18892</v>
      </c>
      <c r="K9380">
        <v>10458</v>
      </c>
      <c r="L9380" t="s">
        <v>18958</v>
      </c>
      <c r="M9380" t="s">
        <v>18958</v>
      </c>
      <c r="N9380" t="s">
        <v>23335</v>
      </c>
      <c r="O9380" t="s">
        <v>26526</v>
      </c>
      <c r="P9380" t="s">
        <v>26560</v>
      </c>
      <c r="R9380" t="s">
        <v>26578</v>
      </c>
      <c r="S9380" t="s">
        <v>18958</v>
      </c>
      <c r="U9380" t="s">
        <v>26604</v>
      </c>
      <c r="X9380">
        <v>1218</v>
      </c>
      <c r="Y9380" t="s">
        <v>26650</v>
      </c>
      <c r="Z9380" t="s">
        <v>26663</v>
      </c>
      <c r="AB9380" t="s">
        <v>33386</v>
      </c>
      <c r="AE9380">
        <v>0</v>
      </c>
      <c r="AF9380" t="s">
        <v>45548</v>
      </c>
      <c r="AG9380" t="s">
        <v>19330</v>
      </c>
      <c r="AH9380">
        <v>3</v>
      </c>
      <c r="AI9380">
        <v>1</v>
      </c>
      <c r="AJ9380">
        <v>1</v>
      </c>
      <c r="AK9380">
        <v>170.11</v>
      </c>
      <c r="AN9380" t="s">
        <v>45581</v>
      </c>
      <c r="AO9380">
        <v>28000</v>
      </c>
      <c r="AU9380">
        <v>0</v>
      </c>
      <c r="AW9380" t="s">
        <v>336</v>
      </c>
    </row>
    <row r="9381" spans="1:50">
      <c r="A9381" s="1">
        <f>HYPERLINK("https://lsnyc.legalserver.org/matter/dynamic-profile/view/1882966","18-1882966")</f>
        <v>0</v>
      </c>
      <c r="B9381" t="s">
        <v>169</v>
      </c>
      <c r="C9381" t="s">
        <v>340</v>
      </c>
      <c r="D9381" t="s">
        <v>840</v>
      </c>
      <c r="F9381" t="s">
        <v>4545</v>
      </c>
      <c r="G9381" t="s">
        <v>9025</v>
      </c>
      <c r="H9381" t="s">
        <v>10149</v>
      </c>
      <c r="I9381" t="s">
        <v>18666</v>
      </c>
      <c r="J9381" t="s">
        <v>18892</v>
      </c>
      <c r="K9381">
        <v>10458</v>
      </c>
      <c r="L9381" t="s">
        <v>18958</v>
      </c>
      <c r="M9381" t="s">
        <v>18958</v>
      </c>
      <c r="N9381" t="s">
        <v>23335</v>
      </c>
      <c r="O9381" t="s">
        <v>26526</v>
      </c>
      <c r="P9381" t="s">
        <v>26560</v>
      </c>
      <c r="R9381" t="s">
        <v>26578</v>
      </c>
      <c r="S9381" t="s">
        <v>18958</v>
      </c>
      <c r="U9381" t="s">
        <v>26604</v>
      </c>
      <c r="X9381">
        <v>1125</v>
      </c>
      <c r="Y9381" t="s">
        <v>26650</v>
      </c>
      <c r="Z9381" t="s">
        <v>26663</v>
      </c>
      <c r="AB9381" t="s">
        <v>33387</v>
      </c>
      <c r="AE9381">
        <v>0</v>
      </c>
      <c r="AF9381" t="s">
        <v>45541</v>
      </c>
      <c r="AG9381" t="s">
        <v>19330</v>
      </c>
      <c r="AH9381">
        <v>19</v>
      </c>
      <c r="AI9381">
        <v>3</v>
      </c>
      <c r="AJ9381">
        <v>0</v>
      </c>
      <c r="AK9381">
        <v>174.42</v>
      </c>
      <c r="AN9381" t="s">
        <v>45581</v>
      </c>
      <c r="AO9381">
        <v>36244</v>
      </c>
      <c r="AU9381">
        <v>1.05</v>
      </c>
      <c r="AV9381" t="s">
        <v>724</v>
      </c>
      <c r="AW9381" t="s">
        <v>336</v>
      </c>
    </row>
    <row r="9382" spans="1:50">
      <c r="A9382" s="1">
        <f>HYPERLINK("https://lsnyc.legalserver.org/matter/dynamic-profile/view/1882836","18-1882836")</f>
        <v>0</v>
      </c>
      <c r="B9382" t="s">
        <v>169</v>
      </c>
      <c r="C9382" t="s">
        <v>340</v>
      </c>
      <c r="D9382" t="s">
        <v>840</v>
      </c>
      <c r="F9382" t="s">
        <v>900</v>
      </c>
      <c r="G9382" t="s">
        <v>1725</v>
      </c>
      <c r="H9382" t="s">
        <v>10149</v>
      </c>
      <c r="I9382" t="s">
        <v>17573</v>
      </c>
      <c r="J9382" t="s">
        <v>18892</v>
      </c>
      <c r="K9382">
        <v>10458</v>
      </c>
      <c r="L9382" t="s">
        <v>18958</v>
      </c>
      <c r="M9382" t="s">
        <v>18958</v>
      </c>
      <c r="N9382" t="s">
        <v>23335</v>
      </c>
      <c r="O9382" t="s">
        <v>26526</v>
      </c>
      <c r="P9382" t="s">
        <v>26563</v>
      </c>
      <c r="R9382" t="s">
        <v>26578</v>
      </c>
      <c r="S9382" t="s">
        <v>18958</v>
      </c>
      <c r="U9382" t="s">
        <v>26604</v>
      </c>
      <c r="X9382">
        <v>1129.54</v>
      </c>
      <c r="Y9382" t="s">
        <v>26650</v>
      </c>
      <c r="Z9382" t="s">
        <v>26663</v>
      </c>
      <c r="AB9382" t="s">
        <v>31578</v>
      </c>
      <c r="AD9382" t="s">
        <v>44110</v>
      </c>
      <c r="AE9382">
        <v>0</v>
      </c>
      <c r="AF9382" t="s">
        <v>45541</v>
      </c>
      <c r="AG9382" t="s">
        <v>19330</v>
      </c>
      <c r="AH9382">
        <v>4</v>
      </c>
      <c r="AI9382">
        <v>1</v>
      </c>
      <c r="AJ9382">
        <v>0</v>
      </c>
      <c r="AK9382">
        <v>197.69</v>
      </c>
      <c r="AN9382" t="s">
        <v>7439</v>
      </c>
      <c r="AO9382">
        <v>24000</v>
      </c>
      <c r="AU9382">
        <v>0.5</v>
      </c>
      <c r="AV9382" t="s">
        <v>754</v>
      </c>
      <c r="AW9382" t="s">
        <v>336</v>
      </c>
    </row>
    <row r="9383" spans="1:50">
      <c r="A9383" s="1">
        <f>HYPERLINK("https://lsnyc.legalserver.org/matter/dynamic-profile/view/1882833","18-1882833")</f>
        <v>0</v>
      </c>
      <c r="B9383" t="s">
        <v>169</v>
      </c>
      <c r="C9383" t="s">
        <v>340</v>
      </c>
      <c r="D9383" t="s">
        <v>840</v>
      </c>
      <c r="F9383" t="s">
        <v>4546</v>
      </c>
      <c r="G9383" t="s">
        <v>9026</v>
      </c>
      <c r="H9383" t="s">
        <v>10149</v>
      </c>
      <c r="I9383" t="s">
        <v>18667</v>
      </c>
      <c r="J9383" t="s">
        <v>18892</v>
      </c>
      <c r="K9383">
        <v>10458</v>
      </c>
      <c r="L9383" t="s">
        <v>18958</v>
      </c>
      <c r="M9383" t="s">
        <v>18958</v>
      </c>
      <c r="N9383" t="s">
        <v>23335</v>
      </c>
      <c r="O9383" t="s">
        <v>26526</v>
      </c>
      <c r="P9383" t="s">
        <v>26560</v>
      </c>
      <c r="R9383" t="s">
        <v>26578</v>
      </c>
      <c r="S9383" t="s">
        <v>18958</v>
      </c>
      <c r="U9383" t="s">
        <v>26604</v>
      </c>
      <c r="X9383">
        <v>867</v>
      </c>
      <c r="Y9383" t="s">
        <v>26650</v>
      </c>
      <c r="Z9383" t="s">
        <v>26663</v>
      </c>
      <c r="AB9383" t="s">
        <v>31071</v>
      </c>
      <c r="AC9383">
        <v>4690917</v>
      </c>
      <c r="AE9383">
        <v>0</v>
      </c>
      <c r="AF9383" t="s">
        <v>45541</v>
      </c>
      <c r="AG9383" t="s">
        <v>26530</v>
      </c>
      <c r="AH9383">
        <v>39</v>
      </c>
      <c r="AI9383">
        <v>2</v>
      </c>
      <c r="AJ9383">
        <v>0</v>
      </c>
      <c r="AK9383">
        <v>224.79</v>
      </c>
      <c r="AN9383" t="s">
        <v>7439</v>
      </c>
      <c r="AO9383">
        <v>37000</v>
      </c>
      <c r="AU9383">
        <v>0.7</v>
      </c>
      <c r="AV9383" t="s">
        <v>754</v>
      </c>
      <c r="AW9383" t="s">
        <v>336</v>
      </c>
    </row>
    <row r="9384" spans="1:50">
      <c r="A9384" s="1">
        <f>HYPERLINK("https://lsnyc.legalserver.org/matter/dynamic-profile/view/1882951","18-1882951")</f>
        <v>0</v>
      </c>
      <c r="B9384" t="s">
        <v>169</v>
      </c>
      <c r="C9384" t="s">
        <v>340</v>
      </c>
      <c r="D9384" t="s">
        <v>840</v>
      </c>
      <c r="F9384" t="s">
        <v>2240</v>
      </c>
      <c r="G9384" t="s">
        <v>1725</v>
      </c>
      <c r="H9384" t="s">
        <v>10149</v>
      </c>
      <c r="I9384" t="s">
        <v>18668</v>
      </c>
      <c r="J9384" t="s">
        <v>18892</v>
      </c>
      <c r="K9384">
        <v>10458</v>
      </c>
      <c r="L9384" t="s">
        <v>18958</v>
      </c>
      <c r="M9384" t="s">
        <v>18958</v>
      </c>
      <c r="N9384" t="s">
        <v>23335</v>
      </c>
      <c r="O9384" t="s">
        <v>26526</v>
      </c>
      <c r="P9384" t="s">
        <v>26560</v>
      </c>
      <c r="R9384" t="s">
        <v>26578</v>
      </c>
      <c r="S9384" t="s">
        <v>18958</v>
      </c>
      <c r="U9384" t="s">
        <v>26604</v>
      </c>
      <c r="X9384">
        <v>1071</v>
      </c>
      <c r="Y9384" t="s">
        <v>26650</v>
      </c>
      <c r="Z9384" t="s">
        <v>26663</v>
      </c>
      <c r="AB9384" t="s">
        <v>33388</v>
      </c>
      <c r="AD9384" t="s">
        <v>44111</v>
      </c>
      <c r="AE9384">
        <v>0</v>
      </c>
      <c r="AF9384" t="s">
        <v>45541</v>
      </c>
      <c r="AG9384" t="s">
        <v>19330</v>
      </c>
      <c r="AH9384">
        <v>18</v>
      </c>
      <c r="AI9384">
        <v>5</v>
      </c>
      <c r="AJ9384">
        <v>0</v>
      </c>
      <c r="AK9384">
        <v>303.13</v>
      </c>
      <c r="AN9384" t="s">
        <v>45581</v>
      </c>
      <c r="AO9384">
        <v>89180</v>
      </c>
      <c r="AU9384">
        <v>0.7</v>
      </c>
      <c r="AV9384" t="s">
        <v>754</v>
      </c>
      <c r="AW9384" t="s">
        <v>336</v>
      </c>
    </row>
    <row r="9385" spans="1:50">
      <c r="A9385" s="1">
        <f>HYPERLINK("https://lsnyc.legalserver.org/matter/dynamic-profile/view/1882415","18-1882415")</f>
        <v>0</v>
      </c>
      <c r="B9385" t="s">
        <v>209</v>
      </c>
      <c r="C9385" t="s">
        <v>341</v>
      </c>
      <c r="D9385" t="s">
        <v>428</v>
      </c>
      <c r="E9385" t="s">
        <v>428</v>
      </c>
      <c r="F9385" t="s">
        <v>3988</v>
      </c>
      <c r="G9385" t="s">
        <v>9027</v>
      </c>
      <c r="H9385" t="s">
        <v>16038</v>
      </c>
      <c r="I9385">
        <v>3707</v>
      </c>
      <c r="J9385" t="s">
        <v>18909</v>
      </c>
      <c r="K9385">
        <v>11101</v>
      </c>
      <c r="L9385" t="s">
        <v>18959</v>
      </c>
      <c r="M9385" t="s">
        <v>18960</v>
      </c>
      <c r="P9385" t="s">
        <v>26564</v>
      </c>
      <c r="Q9385" t="s">
        <v>26570</v>
      </c>
      <c r="R9385" t="s">
        <v>26591</v>
      </c>
      <c r="U9385" t="s">
        <v>26604</v>
      </c>
      <c r="X9385">
        <v>2300</v>
      </c>
      <c r="Y9385" t="s">
        <v>26653</v>
      </c>
      <c r="Z9385" t="s">
        <v>26530</v>
      </c>
      <c r="AA9385" t="s">
        <v>26683</v>
      </c>
      <c r="AB9385" t="s">
        <v>28346</v>
      </c>
      <c r="AD9385" t="s">
        <v>44112</v>
      </c>
      <c r="AE9385">
        <v>370</v>
      </c>
      <c r="AF9385" t="s">
        <v>45541</v>
      </c>
      <c r="AG9385" t="s">
        <v>19330</v>
      </c>
      <c r="AH9385">
        <v>1</v>
      </c>
      <c r="AI9385">
        <v>1</v>
      </c>
      <c r="AJ9385">
        <v>0</v>
      </c>
      <c r="AK9385">
        <v>16.47</v>
      </c>
      <c r="AN9385" t="s">
        <v>7439</v>
      </c>
      <c r="AO9385">
        <v>2000</v>
      </c>
      <c r="AU9385">
        <v>1.8</v>
      </c>
      <c r="AV9385" t="s">
        <v>646</v>
      </c>
      <c r="AW9385" t="s">
        <v>46858</v>
      </c>
    </row>
    <row r="9386" spans="1:50">
      <c r="A9386" s="1">
        <f>HYPERLINK("https://lsnyc.legalserver.org/matter/dynamic-profile/view/1882399","18-1882399")</f>
        <v>0</v>
      </c>
      <c r="B9386" t="s">
        <v>209</v>
      </c>
      <c r="C9386" t="s">
        <v>341</v>
      </c>
      <c r="D9386" t="s">
        <v>428</v>
      </c>
      <c r="E9386" t="s">
        <v>428</v>
      </c>
      <c r="F9386" t="s">
        <v>4547</v>
      </c>
      <c r="G9386" t="s">
        <v>5337</v>
      </c>
      <c r="H9386" t="s">
        <v>14638</v>
      </c>
      <c r="I9386" t="s">
        <v>18669</v>
      </c>
      <c r="J9386" t="s">
        <v>18900</v>
      </c>
      <c r="K9386">
        <v>11354</v>
      </c>
      <c r="L9386" t="s">
        <v>18960</v>
      </c>
      <c r="M9386" t="s">
        <v>18960</v>
      </c>
      <c r="P9386" t="s">
        <v>26564</v>
      </c>
      <c r="Q9386" t="s">
        <v>26570</v>
      </c>
      <c r="R9386" t="s">
        <v>26591</v>
      </c>
      <c r="U9386" t="s">
        <v>26604</v>
      </c>
      <c r="X9386">
        <v>1750</v>
      </c>
      <c r="Y9386" t="s">
        <v>26653</v>
      </c>
      <c r="AA9386" t="s">
        <v>26683</v>
      </c>
      <c r="AB9386" t="s">
        <v>30957</v>
      </c>
      <c r="AD9386" t="s">
        <v>44113</v>
      </c>
      <c r="AE9386">
        <v>8</v>
      </c>
      <c r="AH9386">
        <v>1</v>
      </c>
      <c r="AI9386">
        <v>2</v>
      </c>
      <c r="AJ9386">
        <v>0</v>
      </c>
      <c r="AK9386">
        <v>78.98</v>
      </c>
      <c r="AN9386" t="s">
        <v>7439</v>
      </c>
      <c r="AO9386">
        <v>13000</v>
      </c>
      <c r="AU9386">
        <v>0.8</v>
      </c>
      <c r="AV9386" t="s">
        <v>428</v>
      </c>
      <c r="AW9386" t="s">
        <v>46849</v>
      </c>
    </row>
    <row r="9387" spans="1:50">
      <c r="A9387" s="1">
        <f>HYPERLINK("https://lsnyc.legalserver.org/matter/dynamic-profile/view/1882369","18-1882369")</f>
        <v>0</v>
      </c>
      <c r="B9387" t="s">
        <v>161</v>
      </c>
      <c r="C9387" t="s">
        <v>341</v>
      </c>
      <c r="D9387" t="s">
        <v>428</v>
      </c>
      <c r="E9387" t="s">
        <v>577</v>
      </c>
      <c r="F9387" t="s">
        <v>1219</v>
      </c>
      <c r="G9387" t="s">
        <v>4336</v>
      </c>
      <c r="H9387" t="s">
        <v>16039</v>
      </c>
      <c r="I9387" t="s">
        <v>17415</v>
      </c>
      <c r="J9387" t="s">
        <v>18923</v>
      </c>
      <c r="K9387">
        <v>11418</v>
      </c>
      <c r="L9387" t="s">
        <v>18959</v>
      </c>
      <c r="M9387" t="s">
        <v>18958</v>
      </c>
      <c r="N9387" t="s">
        <v>25516</v>
      </c>
      <c r="O9387" t="s">
        <v>26526</v>
      </c>
      <c r="P9387" t="s">
        <v>26564</v>
      </c>
      <c r="Q9387" t="s">
        <v>26570</v>
      </c>
      <c r="R9387" t="s">
        <v>26584</v>
      </c>
      <c r="S9387" t="s">
        <v>18959</v>
      </c>
      <c r="U9387" t="s">
        <v>26604</v>
      </c>
      <c r="V9387" t="s">
        <v>26610</v>
      </c>
      <c r="X9387">
        <v>1500</v>
      </c>
      <c r="Y9387" t="s">
        <v>26653</v>
      </c>
      <c r="Z9387" t="s">
        <v>26664</v>
      </c>
      <c r="AA9387" t="s">
        <v>26683</v>
      </c>
      <c r="AB9387" t="s">
        <v>31633</v>
      </c>
      <c r="AC9387" t="s">
        <v>36635</v>
      </c>
      <c r="AD9387" t="s">
        <v>44114</v>
      </c>
      <c r="AE9387">
        <v>3</v>
      </c>
      <c r="AF9387" t="s">
        <v>45547</v>
      </c>
      <c r="AG9387" t="s">
        <v>19330</v>
      </c>
      <c r="AH9387">
        <v>2</v>
      </c>
      <c r="AI9387">
        <v>2</v>
      </c>
      <c r="AJ9387">
        <v>3</v>
      </c>
      <c r="AK9387">
        <v>190.35</v>
      </c>
      <c r="AN9387" t="s">
        <v>7439</v>
      </c>
      <c r="AO9387">
        <v>56000</v>
      </c>
      <c r="AU9387">
        <v>0.1</v>
      </c>
      <c r="AV9387" t="s">
        <v>577</v>
      </c>
      <c r="AW9387" t="s">
        <v>161</v>
      </c>
    </row>
    <row r="9388" spans="1:50">
      <c r="A9388" s="1">
        <f>HYPERLINK("https://lsnyc.legalserver.org/matter/dynamic-profile/view/1882338","18-1882338")</f>
        <v>0</v>
      </c>
      <c r="B9388" t="s">
        <v>279</v>
      </c>
      <c r="C9388" t="s">
        <v>341</v>
      </c>
      <c r="D9388" t="s">
        <v>428</v>
      </c>
      <c r="E9388" t="s">
        <v>637</v>
      </c>
      <c r="F9388" t="s">
        <v>1106</v>
      </c>
      <c r="G9388" t="s">
        <v>5375</v>
      </c>
      <c r="H9388" t="s">
        <v>16040</v>
      </c>
      <c r="I9388" t="s">
        <v>17425</v>
      </c>
      <c r="J9388" t="s">
        <v>18894</v>
      </c>
      <c r="K9388">
        <v>11207</v>
      </c>
      <c r="L9388" t="s">
        <v>18959</v>
      </c>
      <c r="M9388" t="s">
        <v>18959</v>
      </c>
      <c r="N9388" t="s">
        <v>25517</v>
      </c>
      <c r="O9388" t="s">
        <v>26523</v>
      </c>
      <c r="Q9388" t="s">
        <v>26570</v>
      </c>
      <c r="R9388" t="s">
        <v>26578</v>
      </c>
      <c r="S9388" t="s">
        <v>18959</v>
      </c>
      <c r="U9388" t="s">
        <v>26604</v>
      </c>
      <c r="V9388" t="s">
        <v>26610</v>
      </c>
      <c r="X9388">
        <v>555</v>
      </c>
      <c r="Y9388" t="s">
        <v>26652</v>
      </c>
      <c r="Z9388" t="s">
        <v>26667</v>
      </c>
      <c r="AA9388" t="s">
        <v>26683</v>
      </c>
      <c r="AB9388" t="s">
        <v>33389</v>
      </c>
      <c r="AC9388" t="s">
        <v>19330</v>
      </c>
      <c r="AD9388" t="s">
        <v>44115</v>
      </c>
      <c r="AE9388">
        <v>0</v>
      </c>
      <c r="AF9388" t="s">
        <v>45548</v>
      </c>
      <c r="AG9388" t="s">
        <v>45556</v>
      </c>
      <c r="AH9388">
        <v>45</v>
      </c>
      <c r="AI9388">
        <v>3</v>
      </c>
      <c r="AJ9388">
        <v>0</v>
      </c>
      <c r="AK9388">
        <v>107.32</v>
      </c>
      <c r="AN9388" t="s">
        <v>7439</v>
      </c>
      <c r="AO9388">
        <v>22302</v>
      </c>
      <c r="AU9388">
        <v>0.25</v>
      </c>
      <c r="AV9388" t="s">
        <v>637</v>
      </c>
      <c r="AW9388" t="s">
        <v>279</v>
      </c>
    </row>
    <row r="9389" spans="1:50">
      <c r="A9389" s="1">
        <f>HYPERLINK("https://lsnyc.legalserver.org/matter/dynamic-profile/view/1882352","18-1882352")</f>
        <v>0</v>
      </c>
      <c r="B9389" t="s">
        <v>55</v>
      </c>
      <c r="C9389" t="s">
        <v>340</v>
      </c>
      <c r="D9389" t="s">
        <v>428</v>
      </c>
      <c r="F9389" t="s">
        <v>4548</v>
      </c>
      <c r="G9389" t="s">
        <v>5169</v>
      </c>
      <c r="H9389" t="s">
        <v>16041</v>
      </c>
      <c r="I9389" t="s">
        <v>18670</v>
      </c>
      <c r="J9389" t="s">
        <v>18892</v>
      </c>
      <c r="K9389">
        <v>10452</v>
      </c>
      <c r="L9389" t="s">
        <v>18958</v>
      </c>
      <c r="M9389" t="s">
        <v>18960</v>
      </c>
      <c r="N9389" t="s">
        <v>25518</v>
      </c>
      <c r="O9389" t="s">
        <v>26523</v>
      </c>
      <c r="P9389" t="s">
        <v>26560</v>
      </c>
      <c r="R9389" t="s">
        <v>26578</v>
      </c>
      <c r="S9389" t="s">
        <v>18959</v>
      </c>
      <c r="U9389" t="s">
        <v>26604</v>
      </c>
      <c r="V9389" t="s">
        <v>26610</v>
      </c>
      <c r="X9389">
        <v>1396</v>
      </c>
      <c r="Y9389" t="s">
        <v>26650</v>
      </c>
      <c r="Z9389" t="s">
        <v>26659</v>
      </c>
      <c r="AB9389" t="s">
        <v>33390</v>
      </c>
      <c r="AD9389" t="s">
        <v>44116</v>
      </c>
      <c r="AE9389">
        <v>56</v>
      </c>
      <c r="AF9389" t="s">
        <v>45541</v>
      </c>
      <c r="AH9389">
        <v>26</v>
      </c>
      <c r="AI9389">
        <v>3</v>
      </c>
      <c r="AJ9389">
        <v>0</v>
      </c>
      <c r="AK9389">
        <v>131.38</v>
      </c>
      <c r="AN9389" t="s">
        <v>45581</v>
      </c>
      <c r="AO9389">
        <v>27300</v>
      </c>
      <c r="AP9389" t="s">
        <v>45880</v>
      </c>
      <c r="AR9389" t="s">
        <v>46381</v>
      </c>
      <c r="AS9389" t="s">
        <v>46499</v>
      </c>
      <c r="AT9389" t="s">
        <v>46796</v>
      </c>
      <c r="AU9389">
        <v>34</v>
      </c>
      <c r="AV9389" t="s">
        <v>826</v>
      </c>
      <c r="AW9389" t="s">
        <v>46850</v>
      </c>
      <c r="AX9389" t="s">
        <v>46897</v>
      </c>
    </row>
    <row r="9390" spans="1:50">
      <c r="A9390" s="1">
        <f>HYPERLINK("https://lsnyc.legalserver.org/matter/dynamic-profile/view/1882533","18-1882533")</f>
        <v>0</v>
      </c>
      <c r="B9390" t="s">
        <v>249</v>
      </c>
      <c r="C9390" t="s">
        <v>341</v>
      </c>
      <c r="D9390" t="s">
        <v>646</v>
      </c>
      <c r="E9390" t="s">
        <v>678</v>
      </c>
      <c r="F9390" t="s">
        <v>4024</v>
      </c>
      <c r="G9390" t="s">
        <v>5177</v>
      </c>
      <c r="H9390" t="s">
        <v>14886</v>
      </c>
      <c r="I9390">
        <v>2</v>
      </c>
      <c r="J9390" t="s">
        <v>18894</v>
      </c>
      <c r="K9390">
        <v>11212</v>
      </c>
      <c r="L9390" t="s">
        <v>18960</v>
      </c>
      <c r="M9390" t="s">
        <v>18960</v>
      </c>
      <c r="O9390" t="s">
        <v>18997</v>
      </c>
      <c r="P9390" t="s">
        <v>26564</v>
      </c>
      <c r="Q9390" t="s">
        <v>26570</v>
      </c>
      <c r="R9390" t="s">
        <v>26578</v>
      </c>
      <c r="S9390" t="s">
        <v>18958</v>
      </c>
      <c r="U9390" t="s">
        <v>26604</v>
      </c>
      <c r="V9390" t="s">
        <v>26610</v>
      </c>
      <c r="X9390">
        <v>2200</v>
      </c>
      <c r="Y9390" t="s">
        <v>26652</v>
      </c>
      <c r="Z9390" t="s">
        <v>26661</v>
      </c>
      <c r="AA9390" t="s">
        <v>26683</v>
      </c>
      <c r="AB9390" t="s">
        <v>32389</v>
      </c>
      <c r="AD9390" t="s">
        <v>42794</v>
      </c>
      <c r="AE9390">
        <v>3</v>
      </c>
      <c r="AF9390" t="s">
        <v>20460</v>
      </c>
      <c r="AG9390" t="s">
        <v>19330</v>
      </c>
      <c r="AH9390">
        <v>1</v>
      </c>
      <c r="AI9390">
        <v>1</v>
      </c>
      <c r="AJ9390">
        <v>0</v>
      </c>
      <c r="AK9390">
        <v>148.27</v>
      </c>
      <c r="AN9390" t="s">
        <v>7439</v>
      </c>
      <c r="AO9390">
        <v>18000</v>
      </c>
      <c r="AU9390">
        <v>1.25</v>
      </c>
      <c r="AV9390" t="s">
        <v>678</v>
      </c>
      <c r="AW9390" t="s">
        <v>46829</v>
      </c>
    </row>
    <row r="9391" spans="1:50">
      <c r="A9391" s="1">
        <f>HYPERLINK("https://lsnyc.legalserver.org/matter/dynamic-profile/view/1882536","18-1882536")</f>
        <v>0</v>
      </c>
      <c r="B9391" t="s">
        <v>198</v>
      </c>
      <c r="C9391" t="s">
        <v>341</v>
      </c>
      <c r="D9391" t="s">
        <v>646</v>
      </c>
      <c r="E9391" t="s">
        <v>766</v>
      </c>
      <c r="F9391" t="s">
        <v>2927</v>
      </c>
      <c r="G9391" t="s">
        <v>1146</v>
      </c>
      <c r="H9391" t="s">
        <v>16042</v>
      </c>
      <c r="I9391" t="s">
        <v>17552</v>
      </c>
      <c r="J9391" t="s">
        <v>18894</v>
      </c>
      <c r="K9391">
        <v>11203</v>
      </c>
      <c r="L9391" t="s">
        <v>18960</v>
      </c>
      <c r="M9391" t="s">
        <v>18960</v>
      </c>
      <c r="Q9391" t="s">
        <v>26570</v>
      </c>
      <c r="R9391" t="s">
        <v>26578</v>
      </c>
      <c r="U9391" t="s">
        <v>26604</v>
      </c>
      <c r="X9391">
        <v>0</v>
      </c>
      <c r="Y9391" t="s">
        <v>26652</v>
      </c>
      <c r="AA9391" t="s">
        <v>26683</v>
      </c>
      <c r="AB9391" t="s">
        <v>30065</v>
      </c>
      <c r="AD9391" t="s">
        <v>44117</v>
      </c>
      <c r="AE9391">
        <v>39</v>
      </c>
      <c r="AH9391">
        <v>0</v>
      </c>
      <c r="AI9391">
        <v>1</v>
      </c>
      <c r="AJ9391">
        <v>2</v>
      </c>
      <c r="AK9391">
        <v>173.24</v>
      </c>
      <c r="AN9391" t="s">
        <v>7439</v>
      </c>
      <c r="AO9391">
        <v>36000</v>
      </c>
      <c r="AU9391">
        <v>2.6</v>
      </c>
      <c r="AV9391" t="s">
        <v>766</v>
      </c>
      <c r="AW9391" t="s">
        <v>198</v>
      </c>
    </row>
    <row r="9392" spans="1:50">
      <c r="A9392" s="1">
        <f>HYPERLINK("https://lsnyc.legalserver.org/matter/dynamic-profile/view/1882493","18-1882493")</f>
        <v>0</v>
      </c>
      <c r="B9392" t="s">
        <v>279</v>
      </c>
      <c r="C9392" t="s">
        <v>341</v>
      </c>
      <c r="D9392" t="s">
        <v>646</v>
      </c>
      <c r="E9392" t="s">
        <v>754</v>
      </c>
      <c r="F9392" t="s">
        <v>3057</v>
      </c>
      <c r="G9392" t="s">
        <v>7025</v>
      </c>
      <c r="H9392" t="s">
        <v>13047</v>
      </c>
      <c r="I9392" t="s">
        <v>18671</v>
      </c>
      <c r="J9392" t="s">
        <v>18894</v>
      </c>
      <c r="K9392">
        <v>11207</v>
      </c>
      <c r="L9392" t="s">
        <v>18959</v>
      </c>
      <c r="M9392" t="s">
        <v>18959</v>
      </c>
      <c r="N9392" t="s">
        <v>18997</v>
      </c>
      <c r="O9392" t="s">
        <v>26523</v>
      </c>
      <c r="Q9392" t="s">
        <v>26570</v>
      </c>
      <c r="R9392" t="s">
        <v>26578</v>
      </c>
      <c r="S9392" t="s">
        <v>18959</v>
      </c>
      <c r="U9392" t="s">
        <v>26604</v>
      </c>
      <c r="X9392">
        <v>864.49</v>
      </c>
      <c r="Y9392" t="s">
        <v>26652</v>
      </c>
      <c r="Z9392" t="s">
        <v>26661</v>
      </c>
      <c r="AA9392" t="s">
        <v>26683</v>
      </c>
      <c r="AB9392" t="s">
        <v>30395</v>
      </c>
      <c r="AC9392" t="s">
        <v>19330</v>
      </c>
      <c r="AD9392" t="s">
        <v>44118</v>
      </c>
      <c r="AE9392">
        <v>150</v>
      </c>
      <c r="AF9392" t="s">
        <v>20460</v>
      </c>
      <c r="AG9392" t="s">
        <v>19330</v>
      </c>
      <c r="AH9392">
        <v>1</v>
      </c>
      <c r="AI9392">
        <v>1</v>
      </c>
      <c r="AJ9392">
        <v>0</v>
      </c>
      <c r="AK9392">
        <v>112.65</v>
      </c>
      <c r="AN9392" t="s">
        <v>7439</v>
      </c>
      <c r="AO9392">
        <v>13676</v>
      </c>
      <c r="AU9392">
        <v>0.3</v>
      </c>
      <c r="AV9392" t="s">
        <v>646</v>
      </c>
      <c r="AW9392" t="s">
        <v>46849</v>
      </c>
    </row>
    <row r="9393" spans="1:49">
      <c r="A9393" s="1">
        <f>HYPERLINK("https://lsnyc.legalserver.org/matter/dynamic-profile/view/1882453","18-1882453")</f>
        <v>0</v>
      </c>
      <c r="B9393" t="s">
        <v>250</v>
      </c>
      <c r="C9393" t="s">
        <v>341</v>
      </c>
      <c r="D9393" t="s">
        <v>646</v>
      </c>
      <c r="E9393" t="s">
        <v>692</v>
      </c>
      <c r="F9393" t="s">
        <v>4549</v>
      </c>
      <c r="G9393" t="s">
        <v>8154</v>
      </c>
      <c r="H9393" t="s">
        <v>11839</v>
      </c>
      <c r="I9393">
        <v>2506</v>
      </c>
      <c r="J9393" t="s">
        <v>18893</v>
      </c>
      <c r="K9393">
        <v>10029</v>
      </c>
      <c r="L9393" t="s">
        <v>18960</v>
      </c>
      <c r="M9393" t="s">
        <v>18960</v>
      </c>
      <c r="O9393" t="s">
        <v>18997</v>
      </c>
      <c r="P9393" t="s">
        <v>26564</v>
      </c>
      <c r="Q9393" t="s">
        <v>26570</v>
      </c>
      <c r="R9393" t="s">
        <v>26583</v>
      </c>
      <c r="T9393" t="s">
        <v>26595</v>
      </c>
      <c r="U9393" t="s">
        <v>26604</v>
      </c>
      <c r="X9393">
        <v>696</v>
      </c>
      <c r="Y9393" t="s">
        <v>26651</v>
      </c>
      <c r="AA9393" t="s">
        <v>26683</v>
      </c>
      <c r="AB9393" t="s">
        <v>29487</v>
      </c>
      <c r="AD9393" t="s">
        <v>44119</v>
      </c>
      <c r="AE9393">
        <v>0</v>
      </c>
      <c r="AH9393">
        <v>19</v>
      </c>
      <c r="AI9393">
        <v>1</v>
      </c>
      <c r="AJ9393">
        <v>0</v>
      </c>
      <c r="AK9393">
        <v>210.54</v>
      </c>
      <c r="AN9393" t="s">
        <v>7439</v>
      </c>
      <c r="AO9393">
        <v>25560</v>
      </c>
      <c r="AU9393">
        <v>1.2</v>
      </c>
      <c r="AV9393" t="s">
        <v>666</v>
      </c>
      <c r="AW9393" t="s">
        <v>46859</v>
      </c>
    </row>
    <row r="9394" spans="1:49">
      <c r="A9394" s="1">
        <f>HYPERLINK("https://lsnyc.legalserver.org/matter/dynamic-profile/view/1882577","18-1882577")</f>
        <v>0</v>
      </c>
      <c r="B9394" t="s">
        <v>186</v>
      </c>
      <c r="C9394" t="s">
        <v>340</v>
      </c>
      <c r="D9394" t="s">
        <v>646</v>
      </c>
      <c r="F9394" t="s">
        <v>4550</v>
      </c>
      <c r="G9394" t="s">
        <v>8126</v>
      </c>
      <c r="H9394" t="s">
        <v>16043</v>
      </c>
      <c r="I9394" t="s">
        <v>17781</v>
      </c>
      <c r="J9394" t="s">
        <v>18894</v>
      </c>
      <c r="K9394">
        <v>11219</v>
      </c>
      <c r="L9394" t="s">
        <v>18960</v>
      </c>
      <c r="M9394" t="s">
        <v>18960</v>
      </c>
      <c r="R9394" t="s">
        <v>26586</v>
      </c>
      <c r="U9394" t="s">
        <v>26604</v>
      </c>
      <c r="X9394">
        <v>0</v>
      </c>
      <c r="Y9394" t="s">
        <v>26652</v>
      </c>
      <c r="AB9394" t="s">
        <v>33391</v>
      </c>
      <c r="AD9394" t="s">
        <v>44120</v>
      </c>
      <c r="AE9394">
        <v>0</v>
      </c>
      <c r="AH9394">
        <v>0</v>
      </c>
      <c r="AI9394">
        <v>1</v>
      </c>
      <c r="AJ9394">
        <v>0</v>
      </c>
      <c r="AK9394">
        <v>257</v>
      </c>
      <c r="AN9394" t="s">
        <v>7439</v>
      </c>
      <c r="AO9394">
        <v>31200</v>
      </c>
      <c r="AU9394">
        <v>6.7</v>
      </c>
      <c r="AV9394" t="s">
        <v>830</v>
      </c>
      <c r="AW9394" t="s">
        <v>186</v>
      </c>
    </row>
    <row r="9395" spans="1:49">
      <c r="A9395" s="1">
        <f>HYPERLINK("https://lsnyc.legalserver.org/matter/dynamic-profile/view/1882466","18-1882466")</f>
        <v>0</v>
      </c>
      <c r="B9395" t="s">
        <v>200</v>
      </c>
      <c r="C9395" t="s">
        <v>340</v>
      </c>
      <c r="D9395" t="s">
        <v>646</v>
      </c>
      <c r="F9395" t="s">
        <v>1918</v>
      </c>
      <c r="G9395" t="s">
        <v>6634</v>
      </c>
      <c r="H9395" t="s">
        <v>16044</v>
      </c>
      <c r="I9395" t="s">
        <v>17307</v>
      </c>
      <c r="J9395" t="s">
        <v>18894</v>
      </c>
      <c r="K9395">
        <v>11206</v>
      </c>
      <c r="L9395" t="s">
        <v>18960</v>
      </c>
      <c r="M9395" t="s">
        <v>18960</v>
      </c>
      <c r="O9395" t="s">
        <v>26526</v>
      </c>
      <c r="R9395" t="s">
        <v>26591</v>
      </c>
      <c r="S9395" t="s">
        <v>18959</v>
      </c>
      <c r="U9395" t="s">
        <v>26605</v>
      </c>
      <c r="X9395">
        <v>416</v>
      </c>
      <c r="Y9395" t="s">
        <v>26652</v>
      </c>
      <c r="Z9395" t="s">
        <v>26530</v>
      </c>
      <c r="AB9395" t="s">
        <v>33392</v>
      </c>
      <c r="AD9395" t="s">
        <v>44121</v>
      </c>
      <c r="AE9395">
        <v>100</v>
      </c>
      <c r="AF9395" t="s">
        <v>45549</v>
      </c>
      <c r="AG9395" t="s">
        <v>26530</v>
      </c>
      <c r="AH9395">
        <v>4</v>
      </c>
      <c r="AI9395">
        <v>1</v>
      </c>
      <c r="AJ9395">
        <v>3</v>
      </c>
      <c r="AK9395">
        <v>55.22</v>
      </c>
      <c r="AN9395" t="s">
        <v>7439</v>
      </c>
      <c r="AO9395">
        <v>13860</v>
      </c>
      <c r="AU9395">
        <v>0.5</v>
      </c>
      <c r="AV9395" t="s">
        <v>646</v>
      </c>
      <c r="AW9395" t="s">
        <v>46841</v>
      </c>
    </row>
    <row r="9396" spans="1:49">
      <c r="A9396" s="1">
        <f>HYPERLINK("https://lsnyc.legalserver.org/matter/dynamic-profile/view/1882600","18-1882600")</f>
        <v>0</v>
      </c>
      <c r="B9396" t="s">
        <v>302</v>
      </c>
      <c r="C9396" t="s">
        <v>341</v>
      </c>
      <c r="D9396" t="s">
        <v>637</v>
      </c>
      <c r="E9396" t="s">
        <v>494</v>
      </c>
      <c r="F9396" t="s">
        <v>1002</v>
      </c>
      <c r="G9396" t="s">
        <v>9028</v>
      </c>
      <c r="H9396" t="s">
        <v>16045</v>
      </c>
      <c r="I9396" t="s">
        <v>17348</v>
      </c>
      <c r="J9396" t="s">
        <v>18892</v>
      </c>
      <c r="K9396">
        <v>10453</v>
      </c>
      <c r="L9396" t="s">
        <v>18960</v>
      </c>
      <c r="M9396" t="s">
        <v>18960</v>
      </c>
      <c r="N9396" t="s">
        <v>25519</v>
      </c>
      <c r="O9396" t="s">
        <v>26523</v>
      </c>
      <c r="P9396" t="s">
        <v>26564</v>
      </c>
      <c r="Q9396" t="s">
        <v>26570</v>
      </c>
      <c r="R9396" t="s">
        <v>26591</v>
      </c>
      <c r="S9396" t="s">
        <v>18959</v>
      </c>
      <c r="U9396" t="s">
        <v>26604</v>
      </c>
      <c r="X9396">
        <v>1041.73</v>
      </c>
      <c r="Y9396" t="s">
        <v>26650</v>
      </c>
      <c r="AA9396" t="s">
        <v>26683</v>
      </c>
      <c r="AB9396" t="s">
        <v>30785</v>
      </c>
      <c r="AD9396" t="s">
        <v>44122</v>
      </c>
      <c r="AE9396">
        <v>30</v>
      </c>
      <c r="AF9396" t="s">
        <v>20460</v>
      </c>
      <c r="AG9396" t="s">
        <v>19330</v>
      </c>
      <c r="AH9396">
        <v>29</v>
      </c>
      <c r="AI9396">
        <v>1</v>
      </c>
      <c r="AJ9396">
        <v>0</v>
      </c>
      <c r="AK9396">
        <v>106.56</v>
      </c>
      <c r="AN9396" t="s">
        <v>7439</v>
      </c>
      <c r="AO9396">
        <v>12936</v>
      </c>
      <c r="AP9396" t="s">
        <v>46109</v>
      </c>
      <c r="AU9396">
        <v>0.58</v>
      </c>
      <c r="AV9396" t="s">
        <v>517</v>
      </c>
      <c r="AW9396" t="s">
        <v>46829</v>
      </c>
    </row>
    <row r="9397" spans="1:49">
      <c r="A9397" s="1">
        <f>HYPERLINK("https://lsnyc.legalserver.org/matter/dynamic-profile/view/1882665","18-1882665")</f>
        <v>0</v>
      </c>
      <c r="B9397" t="s">
        <v>74</v>
      </c>
      <c r="C9397" t="s">
        <v>341</v>
      </c>
      <c r="D9397" t="s">
        <v>637</v>
      </c>
      <c r="E9397" t="s">
        <v>652</v>
      </c>
      <c r="F9397" t="s">
        <v>1072</v>
      </c>
      <c r="G9397" t="s">
        <v>6013</v>
      </c>
      <c r="H9397" t="s">
        <v>16046</v>
      </c>
      <c r="I9397" t="s">
        <v>17300</v>
      </c>
      <c r="J9397" t="s">
        <v>18893</v>
      </c>
      <c r="K9397">
        <v>10039</v>
      </c>
      <c r="L9397" t="s">
        <v>18960</v>
      </c>
      <c r="M9397" t="s">
        <v>18960</v>
      </c>
      <c r="N9397" t="s">
        <v>25520</v>
      </c>
      <c r="Q9397" t="s">
        <v>26571</v>
      </c>
      <c r="R9397" t="s">
        <v>26583</v>
      </c>
      <c r="T9397" t="s">
        <v>26595</v>
      </c>
      <c r="U9397" t="s">
        <v>26604</v>
      </c>
      <c r="X9397">
        <v>970.64</v>
      </c>
      <c r="Y9397" t="s">
        <v>26651</v>
      </c>
      <c r="Z9397" t="s">
        <v>26530</v>
      </c>
      <c r="AA9397" t="s">
        <v>26682</v>
      </c>
      <c r="AB9397" t="s">
        <v>33393</v>
      </c>
      <c r="AD9397" t="s">
        <v>44123</v>
      </c>
      <c r="AE9397">
        <v>29</v>
      </c>
      <c r="AF9397" t="s">
        <v>45548</v>
      </c>
      <c r="AG9397" t="s">
        <v>19330</v>
      </c>
      <c r="AH9397">
        <v>23</v>
      </c>
      <c r="AI9397">
        <v>1</v>
      </c>
      <c r="AJ9397">
        <v>0</v>
      </c>
      <c r="AK9397">
        <v>295.16</v>
      </c>
      <c r="AN9397" t="s">
        <v>7439</v>
      </c>
      <c r="AO9397">
        <v>35832</v>
      </c>
      <c r="AU9397">
        <v>1</v>
      </c>
      <c r="AV9397" t="s">
        <v>637</v>
      </c>
      <c r="AW9397" t="s">
        <v>46846</v>
      </c>
    </row>
    <row r="9398" spans="1:49">
      <c r="A9398" s="1">
        <f>HYPERLINK("https://lsnyc.legalserver.org/matter/dynamic-profile/view/1882675","18-1882675")</f>
        <v>0</v>
      </c>
      <c r="B9398" t="s">
        <v>75</v>
      </c>
      <c r="C9398" t="s">
        <v>341</v>
      </c>
      <c r="D9398" t="s">
        <v>637</v>
      </c>
      <c r="E9398" t="s">
        <v>517</v>
      </c>
      <c r="F9398" t="s">
        <v>1048</v>
      </c>
      <c r="G9398" t="s">
        <v>5177</v>
      </c>
      <c r="H9398" t="s">
        <v>16047</v>
      </c>
      <c r="I9398" t="s">
        <v>17641</v>
      </c>
      <c r="J9398" t="s">
        <v>18892</v>
      </c>
      <c r="K9398">
        <v>10459</v>
      </c>
      <c r="L9398" t="s">
        <v>18960</v>
      </c>
      <c r="M9398" t="s">
        <v>18960</v>
      </c>
      <c r="N9398" t="s">
        <v>25521</v>
      </c>
      <c r="P9398" t="s">
        <v>26564</v>
      </c>
      <c r="Q9398" t="s">
        <v>26570</v>
      </c>
      <c r="R9398" t="s">
        <v>26591</v>
      </c>
      <c r="U9398" t="s">
        <v>26604</v>
      </c>
      <c r="X9398">
        <v>1322</v>
      </c>
      <c r="Y9398" t="s">
        <v>26650</v>
      </c>
      <c r="AA9398" t="s">
        <v>26683</v>
      </c>
      <c r="AB9398" t="s">
        <v>33394</v>
      </c>
      <c r="AD9398" t="s">
        <v>44124</v>
      </c>
      <c r="AE9398">
        <v>200</v>
      </c>
      <c r="AH9398">
        <v>5</v>
      </c>
      <c r="AI9398">
        <v>3</v>
      </c>
      <c r="AJ9398">
        <v>0</v>
      </c>
      <c r="AK9398">
        <v>187.68</v>
      </c>
      <c r="AN9398" t="s">
        <v>7439</v>
      </c>
      <c r="AO9398">
        <v>39000</v>
      </c>
      <c r="AP9398" t="s">
        <v>46158</v>
      </c>
      <c r="AU9398">
        <v>1</v>
      </c>
      <c r="AV9398" t="s">
        <v>637</v>
      </c>
      <c r="AW9398" t="s">
        <v>46857</v>
      </c>
    </row>
    <row r="9399" spans="1:49">
      <c r="A9399" s="1">
        <f>HYPERLINK("https://lsnyc.legalserver.org/matter/dynamic-profile/view/1882623","18-1882623")</f>
        <v>0</v>
      </c>
      <c r="B9399" t="s">
        <v>256</v>
      </c>
      <c r="C9399" t="s">
        <v>341</v>
      </c>
      <c r="D9399" t="s">
        <v>637</v>
      </c>
      <c r="E9399" t="s">
        <v>740</v>
      </c>
      <c r="F9399" t="s">
        <v>893</v>
      </c>
      <c r="G9399" t="s">
        <v>6946</v>
      </c>
      <c r="H9399" t="s">
        <v>11893</v>
      </c>
      <c r="I9399" t="s">
        <v>17983</v>
      </c>
      <c r="J9399" t="s">
        <v>18894</v>
      </c>
      <c r="K9399">
        <v>11233</v>
      </c>
      <c r="L9399" t="s">
        <v>18959</v>
      </c>
      <c r="M9399" t="s">
        <v>18959</v>
      </c>
      <c r="N9399" t="s">
        <v>21069</v>
      </c>
      <c r="O9399" t="s">
        <v>26554</v>
      </c>
      <c r="Q9399" t="s">
        <v>26571</v>
      </c>
      <c r="R9399" t="s">
        <v>26578</v>
      </c>
      <c r="S9399" t="s">
        <v>18959</v>
      </c>
      <c r="U9399" t="s">
        <v>26604</v>
      </c>
      <c r="V9399" t="s">
        <v>26609</v>
      </c>
      <c r="X9399">
        <v>50</v>
      </c>
      <c r="Y9399" t="s">
        <v>26652</v>
      </c>
      <c r="Z9399" t="s">
        <v>26664</v>
      </c>
      <c r="AA9399" t="s">
        <v>26682</v>
      </c>
      <c r="AB9399" t="s">
        <v>26951</v>
      </c>
      <c r="AC9399" t="s">
        <v>36636</v>
      </c>
      <c r="AD9399" t="s">
        <v>39819</v>
      </c>
      <c r="AE9399">
        <v>2</v>
      </c>
      <c r="AF9399" t="s">
        <v>45547</v>
      </c>
      <c r="AG9399" t="s">
        <v>45564</v>
      </c>
      <c r="AH9399">
        <v>0</v>
      </c>
      <c r="AI9399">
        <v>1</v>
      </c>
      <c r="AJ9399">
        <v>0</v>
      </c>
      <c r="AK9399">
        <v>128.5</v>
      </c>
      <c r="AN9399" t="s">
        <v>7439</v>
      </c>
      <c r="AO9399">
        <v>15600</v>
      </c>
      <c r="AU9399">
        <v>7.75</v>
      </c>
      <c r="AV9399" t="s">
        <v>731</v>
      </c>
      <c r="AW9399" t="s">
        <v>279</v>
      </c>
    </row>
    <row r="9400" spans="1:49">
      <c r="A9400" s="1">
        <f>HYPERLINK("https://lsnyc.legalserver.org/matter/dynamic-profile/view/1882616","18-1882616")</f>
        <v>0</v>
      </c>
      <c r="B9400" t="s">
        <v>279</v>
      </c>
      <c r="C9400" t="s">
        <v>341</v>
      </c>
      <c r="D9400" t="s">
        <v>637</v>
      </c>
      <c r="E9400" t="s">
        <v>669</v>
      </c>
      <c r="F9400" t="s">
        <v>4551</v>
      </c>
      <c r="G9400" t="s">
        <v>5269</v>
      </c>
      <c r="H9400" t="s">
        <v>16048</v>
      </c>
      <c r="I9400" t="s">
        <v>17416</v>
      </c>
      <c r="J9400" t="s">
        <v>18894</v>
      </c>
      <c r="K9400">
        <v>11208</v>
      </c>
      <c r="L9400" t="s">
        <v>18959</v>
      </c>
      <c r="M9400" t="s">
        <v>18959</v>
      </c>
      <c r="N9400" t="s">
        <v>25522</v>
      </c>
      <c r="O9400" t="s">
        <v>26524</v>
      </c>
      <c r="P9400" t="s">
        <v>26564</v>
      </c>
      <c r="Q9400" t="s">
        <v>26570</v>
      </c>
      <c r="R9400" t="s">
        <v>26578</v>
      </c>
      <c r="S9400" t="s">
        <v>18959</v>
      </c>
      <c r="U9400" t="s">
        <v>26604</v>
      </c>
      <c r="V9400" t="s">
        <v>26610</v>
      </c>
      <c r="X9400">
        <v>0</v>
      </c>
      <c r="Y9400" t="s">
        <v>26652</v>
      </c>
      <c r="Z9400" t="s">
        <v>26668</v>
      </c>
      <c r="AA9400" t="s">
        <v>26683</v>
      </c>
      <c r="AB9400" t="s">
        <v>33395</v>
      </c>
      <c r="AC9400" t="s">
        <v>19330</v>
      </c>
      <c r="AD9400" t="s">
        <v>44125</v>
      </c>
      <c r="AE9400">
        <v>2</v>
      </c>
      <c r="AF9400" t="s">
        <v>45547</v>
      </c>
      <c r="AG9400" t="s">
        <v>19330</v>
      </c>
      <c r="AH9400">
        <v>12</v>
      </c>
      <c r="AI9400">
        <v>1</v>
      </c>
      <c r="AJ9400">
        <v>1</v>
      </c>
      <c r="AK9400">
        <v>236.94</v>
      </c>
      <c r="AN9400" t="s">
        <v>7439</v>
      </c>
      <c r="AO9400">
        <v>39000</v>
      </c>
      <c r="AP9400" t="s">
        <v>46161</v>
      </c>
      <c r="AU9400">
        <v>0.5</v>
      </c>
      <c r="AV9400" t="s">
        <v>637</v>
      </c>
      <c r="AW9400" t="s">
        <v>46849</v>
      </c>
    </row>
    <row r="9401" spans="1:49">
      <c r="A9401" s="1">
        <f>HYPERLINK("https://lsnyc.legalserver.org/matter/dynamic-profile/view/1882580","18-1882580")</f>
        <v>0</v>
      </c>
      <c r="B9401" t="s">
        <v>232</v>
      </c>
      <c r="C9401" t="s">
        <v>340</v>
      </c>
      <c r="D9401" t="s">
        <v>637</v>
      </c>
      <c r="F9401" t="s">
        <v>4552</v>
      </c>
      <c r="G9401" t="s">
        <v>6182</v>
      </c>
      <c r="H9401" t="s">
        <v>16049</v>
      </c>
      <c r="I9401" t="s">
        <v>17322</v>
      </c>
      <c r="J9401" t="s">
        <v>18894</v>
      </c>
      <c r="K9401">
        <v>11238</v>
      </c>
      <c r="L9401" t="s">
        <v>18958</v>
      </c>
      <c r="M9401" t="s">
        <v>18960</v>
      </c>
      <c r="N9401" t="s">
        <v>25523</v>
      </c>
      <c r="O9401" t="s">
        <v>26523</v>
      </c>
      <c r="P9401" t="s">
        <v>26560</v>
      </c>
      <c r="R9401" t="s">
        <v>26583</v>
      </c>
      <c r="U9401" t="s">
        <v>26604</v>
      </c>
      <c r="X9401">
        <v>208</v>
      </c>
      <c r="Y9401" t="s">
        <v>26652</v>
      </c>
      <c r="Z9401" t="s">
        <v>26663</v>
      </c>
      <c r="AB9401" t="s">
        <v>33396</v>
      </c>
      <c r="AD9401" t="s">
        <v>44126</v>
      </c>
      <c r="AE9401">
        <v>10</v>
      </c>
      <c r="AF9401" t="s">
        <v>45541</v>
      </c>
      <c r="AH9401">
        <v>50</v>
      </c>
      <c r="AI9401">
        <v>2</v>
      </c>
      <c r="AJ9401">
        <v>0</v>
      </c>
      <c r="AK9401">
        <v>273.39</v>
      </c>
      <c r="AN9401" t="s">
        <v>7439</v>
      </c>
      <c r="AO9401">
        <v>45000</v>
      </c>
      <c r="AU9401">
        <v>27.9</v>
      </c>
      <c r="AV9401" t="s">
        <v>828</v>
      </c>
      <c r="AW9401" t="s">
        <v>46856</v>
      </c>
    </row>
    <row r="9402" spans="1:49">
      <c r="A9402" s="1">
        <f>HYPERLINK("https://lsnyc.legalserver.org/matter/dynamic-profile/view/1882638","18-1882638")</f>
        <v>0</v>
      </c>
      <c r="B9402" t="s">
        <v>200</v>
      </c>
      <c r="C9402" t="s">
        <v>340</v>
      </c>
      <c r="D9402" t="s">
        <v>637</v>
      </c>
      <c r="F9402" t="s">
        <v>1155</v>
      </c>
      <c r="G9402" t="s">
        <v>5095</v>
      </c>
      <c r="H9402" t="s">
        <v>14012</v>
      </c>
      <c r="I9402" t="s">
        <v>17344</v>
      </c>
      <c r="J9402" t="s">
        <v>18894</v>
      </c>
      <c r="K9402">
        <v>11206</v>
      </c>
      <c r="L9402" t="s">
        <v>18960</v>
      </c>
      <c r="M9402" t="s">
        <v>18960</v>
      </c>
      <c r="R9402" t="s">
        <v>26591</v>
      </c>
      <c r="U9402" t="s">
        <v>26604</v>
      </c>
      <c r="X9402">
        <v>943</v>
      </c>
      <c r="Y9402" t="s">
        <v>26652</v>
      </c>
      <c r="AB9402" t="s">
        <v>31185</v>
      </c>
      <c r="AD9402" t="s">
        <v>44127</v>
      </c>
      <c r="AE9402">
        <v>50</v>
      </c>
      <c r="AH9402">
        <v>1</v>
      </c>
      <c r="AI9402">
        <v>1</v>
      </c>
      <c r="AJ9402">
        <v>0</v>
      </c>
      <c r="AK9402">
        <v>0</v>
      </c>
      <c r="AN9402" t="s">
        <v>7439</v>
      </c>
      <c r="AO9402">
        <v>0</v>
      </c>
      <c r="AU9402">
        <v>1</v>
      </c>
      <c r="AV9402" t="s">
        <v>637</v>
      </c>
      <c r="AW9402" t="s">
        <v>46857</v>
      </c>
    </row>
    <row r="9403" spans="1:49">
      <c r="A9403" s="1">
        <f>HYPERLINK("https://lsnyc.legalserver.org/matter/dynamic-profile/view/1882642","18-1882642")</f>
        <v>0</v>
      </c>
      <c r="B9403" t="s">
        <v>200</v>
      </c>
      <c r="C9403" t="s">
        <v>340</v>
      </c>
      <c r="D9403" t="s">
        <v>637</v>
      </c>
      <c r="F9403" t="s">
        <v>1352</v>
      </c>
      <c r="G9403" t="s">
        <v>9029</v>
      </c>
      <c r="H9403" t="s">
        <v>16050</v>
      </c>
      <c r="I9403" t="s">
        <v>17423</v>
      </c>
      <c r="J9403" t="s">
        <v>18894</v>
      </c>
      <c r="K9403">
        <v>11221</v>
      </c>
      <c r="L9403" t="s">
        <v>18960</v>
      </c>
      <c r="M9403" t="s">
        <v>18960</v>
      </c>
      <c r="O9403" t="s">
        <v>26526</v>
      </c>
      <c r="R9403" t="s">
        <v>26591</v>
      </c>
      <c r="U9403" t="s">
        <v>26604</v>
      </c>
      <c r="X9403">
        <v>1500</v>
      </c>
      <c r="Y9403" t="s">
        <v>26652</v>
      </c>
      <c r="Z9403" t="s">
        <v>26530</v>
      </c>
      <c r="AB9403" t="s">
        <v>33397</v>
      </c>
      <c r="AE9403">
        <v>3</v>
      </c>
      <c r="AF9403" t="s">
        <v>20460</v>
      </c>
      <c r="AG9403" t="s">
        <v>19330</v>
      </c>
      <c r="AH9403">
        <v>3</v>
      </c>
      <c r="AI9403">
        <v>1</v>
      </c>
      <c r="AJ9403">
        <v>0</v>
      </c>
      <c r="AK9403">
        <v>157.36</v>
      </c>
      <c r="AN9403" t="s">
        <v>7439</v>
      </c>
      <c r="AO9403">
        <v>19104</v>
      </c>
      <c r="AU9403">
        <v>0.5</v>
      </c>
      <c r="AV9403" t="s">
        <v>637</v>
      </c>
      <c r="AW9403" t="s">
        <v>46841</v>
      </c>
    </row>
    <row r="9404" spans="1:49">
      <c r="A9404" s="1">
        <f>HYPERLINK("https://lsnyc.legalserver.org/matter/dynamic-profile/view/1882587","18-1882587")</f>
        <v>0</v>
      </c>
      <c r="B9404" t="s">
        <v>279</v>
      </c>
      <c r="C9404" t="s">
        <v>340</v>
      </c>
      <c r="D9404" t="s">
        <v>637</v>
      </c>
      <c r="F9404" t="s">
        <v>1930</v>
      </c>
      <c r="G9404" t="s">
        <v>9030</v>
      </c>
      <c r="H9404" t="s">
        <v>16051</v>
      </c>
      <c r="I9404" t="s">
        <v>17306</v>
      </c>
      <c r="J9404" t="s">
        <v>18894</v>
      </c>
      <c r="K9404">
        <v>11233</v>
      </c>
      <c r="L9404" t="s">
        <v>18959</v>
      </c>
      <c r="M9404" t="s">
        <v>18959</v>
      </c>
      <c r="O9404" t="s">
        <v>18997</v>
      </c>
      <c r="P9404" t="s">
        <v>26564</v>
      </c>
      <c r="R9404" t="s">
        <v>26578</v>
      </c>
      <c r="S9404" t="s">
        <v>18959</v>
      </c>
      <c r="U9404" t="s">
        <v>26604</v>
      </c>
      <c r="V9404" t="s">
        <v>26610</v>
      </c>
      <c r="X9404">
        <v>750</v>
      </c>
      <c r="Y9404" t="s">
        <v>26652</v>
      </c>
      <c r="Z9404" t="s">
        <v>26661</v>
      </c>
      <c r="AB9404" t="s">
        <v>32926</v>
      </c>
      <c r="AC9404" t="s">
        <v>34508</v>
      </c>
      <c r="AD9404" t="s">
        <v>44128</v>
      </c>
      <c r="AE9404">
        <v>3</v>
      </c>
      <c r="AF9404" t="s">
        <v>45547</v>
      </c>
      <c r="AG9404" t="s">
        <v>19330</v>
      </c>
      <c r="AH9404">
        <v>3</v>
      </c>
      <c r="AI9404">
        <v>2</v>
      </c>
      <c r="AJ9404">
        <v>2</v>
      </c>
      <c r="AK9404">
        <v>102.79</v>
      </c>
      <c r="AN9404" t="s">
        <v>7439</v>
      </c>
      <c r="AO9404">
        <v>25800</v>
      </c>
      <c r="AU9404">
        <v>0.6</v>
      </c>
      <c r="AV9404" t="s">
        <v>809</v>
      </c>
      <c r="AW9404" t="s">
        <v>46829</v>
      </c>
    </row>
    <row r="9405" spans="1:49">
      <c r="A9405" s="1">
        <f>HYPERLINK("https://lsnyc.legalserver.org/matter/dynamic-profile/view/1882881","18-1882881")</f>
        <v>0</v>
      </c>
      <c r="B9405" t="s">
        <v>174</v>
      </c>
      <c r="C9405" t="s">
        <v>341</v>
      </c>
      <c r="D9405" t="s">
        <v>577</v>
      </c>
      <c r="E9405" t="s">
        <v>668</v>
      </c>
      <c r="F9405" t="s">
        <v>1863</v>
      </c>
      <c r="G9405" t="s">
        <v>5849</v>
      </c>
      <c r="H9405" t="s">
        <v>16052</v>
      </c>
      <c r="I9405" t="s">
        <v>17330</v>
      </c>
      <c r="J9405" t="s">
        <v>18894</v>
      </c>
      <c r="K9405">
        <v>11207</v>
      </c>
      <c r="L9405" t="s">
        <v>18959</v>
      </c>
      <c r="M9405" t="s">
        <v>18959</v>
      </c>
      <c r="N9405" t="s">
        <v>25524</v>
      </c>
      <c r="O9405" t="s">
        <v>26523</v>
      </c>
      <c r="Q9405" t="s">
        <v>26570</v>
      </c>
      <c r="R9405" t="s">
        <v>26578</v>
      </c>
      <c r="S9405" t="s">
        <v>18959</v>
      </c>
      <c r="U9405" t="s">
        <v>26604</v>
      </c>
      <c r="V9405" t="s">
        <v>26610</v>
      </c>
      <c r="X9405">
        <v>1956</v>
      </c>
      <c r="Y9405" t="s">
        <v>26652</v>
      </c>
      <c r="Z9405" t="s">
        <v>26530</v>
      </c>
      <c r="AA9405" t="s">
        <v>26683</v>
      </c>
      <c r="AB9405" t="s">
        <v>33398</v>
      </c>
      <c r="AC9405">
        <v>8323529</v>
      </c>
      <c r="AD9405" t="s">
        <v>44129</v>
      </c>
      <c r="AE9405">
        <v>4</v>
      </c>
      <c r="AF9405" t="s">
        <v>45548</v>
      </c>
      <c r="AH9405">
        <v>3</v>
      </c>
      <c r="AI9405">
        <v>1</v>
      </c>
      <c r="AJ9405">
        <v>4</v>
      </c>
      <c r="AK9405">
        <v>95.7</v>
      </c>
      <c r="AN9405" t="s">
        <v>7439</v>
      </c>
      <c r="AO9405">
        <v>28156</v>
      </c>
      <c r="AU9405">
        <v>1.1</v>
      </c>
      <c r="AV9405" t="s">
        <v>518</v>
      </c>
      <c r="AW9405" t="s">
        <v>46846</v>
      </c>
    </row>
    <row r="9406" spans="1:49">
      <c r="A9406" s="1">
        <f>HYPERLINK("https://lsnyc.legalserver.org/matter/dynamic-profile/view/1882782","18-1882782")</f>
        <v>0</v>
      </c>
      <c r="B9406" t="s">
        <v>198</v>
      </c>
      <c r="C9406" t="s">
        <v>341</v>
      </c>
      <c r="D9406" t="s">
        <v>577</v>
      </c>
      <c r="E9406" t="s">
        <v>758</v>
      </c>
      <c r="F9406" t="s">
        <v>4553</v>
      </c>
      <c r="G9406" t="s">
        <v>902</v>
      </c>
      <c r="H9406" t="s">
        <v>12713</v>
      </c>
      <c r="I9406" t="s">
        <v>17306</v>
      </c>
      <c r="J9406" t="s">
        <v>18894</v>
      </c>
      <c r="K9406">
        <v>11217</v>
      </c>
      <c r="L9406" t="s">
        <v>18960</v>
      </c>
      <c r="M9406" t="s">
        <v>18960</v>
      </c>
      <c r="Q9406" t="s">
        <v>26570</v>
      </c>
      <c r="R9406" t="s">
        <v>26578</v>
      </c>
      <c r="U9406" t="s">
        <v>26604</v>
      </c>
      <c r="X9406">
        <v>0</v>
      </c>
      <c r="Y9406" t="s">
        <v>26652</v>
      </c>
      <c r="AA9406" t="s">
        <v>26683</v>
      </c>
      <c r="AB9406" t="s">
        <v>31762</v>
      </c>
      <c r="AE9406">
        <v>0</v>
      </c>
      <c r="AH9406">
        <v>0</v>
      </c>
      <c r="AI9406">
        <v>3</v>
      </c>
      <c r="AJ9406">
        <v>0</v>
      </c>
      <c r="AK9406">
        <v>115.5</v>
      </c>
      <c r="AN9406" t="s">
        <v>7439</v>
      </c>
      <c r="AO9406">
        <v>24000</v>
      </c>
      <c r="AP9406" t="s">
        <v>46162</v>
      </c>
      <c r="AU9406">
        <v>1.7</v>
      </c>
      <c r="AV9406" t="s">
        <v>758</v>
      </c>
      <c r="AW9406" t="s">
        <v>198</v>
      </c>
    </row>
    <row r="9407" spans="1:49">
      <c r="A9407" s="1">
        <f>HYPERLINK("https://lsnyc.legalserver.org/matter/dynamic-profile/view/1882897","18-1882897")</f>
        <v>0</v>
      </c>
      <c r="B9407" t="s">
        <v>235</v>
      </c>
      <c r="C9407" t="s">
        <v>341</v>
      </c>
      <c r="D9407" t="s">
        <v>577</v>
      </c>
      <c r="E9407" t="s">
        <v>525</v>
      </c>
      <c r="F9407" t="s">
        <v>4554</v>
      </c>
      <c r="G9407" t="s">
        <v>9031</v>
      </c>
      <c r="H9407" t="s">
        <v>16053</v>
      </c>
      <c r="I9407" t="s">
        <v>17430</v>
      </c>
      <c r="J9407" t="s">
        <v>18920</v>
      </c>
      <c r="K9407">
        <v>11369</v>
      </c>
      <c r="L9407" t="s">
        <v>18960</v>
      </c>
      <c r="M9407" t="s">
        <v>18960</v>
      </c>
      <c r="N9407" t="s">
        <v>25525</v>
      </c>
      <c r="O9407" t="s">
        <v>26523</v>
      </c>
      <c r="P9407" t="s">
        <v>26564</v>
      </c>
      <c r="Q9407" t="s">
        <v>26570</v>
      </c>
      <c r="R9407" t="s">
        <v>26583</v>
      </c>
      <c r="S9407" t="s">
        <v>18959</v>
      </c>
      <c r="U9407" t="s">
        <v>26604</v>
      </c>
      <c r="V9407" t="s">
        <v>26610</v>
      </c>
      <c r="X9407">
        <v>1800</v>
      </c>
      <c r="Y9407" t="s">
        <v>26653</v>
      </c>
      <c r="Z9407" t="s">
        <v>26664</v>
      </c>
      <c r="AA9407" t="s">
        <v>26683</v>
      </c>
      <c r="AB9407" t="s">
        <v>33399</v>
      </c>
      <c r="AD9407" t="s">
        <v>44130</v>
      </c>
      <c r="AE9407">
        <v>1</v>
      </c>
      <c r="AF9407" t="s">
        <v>45547</v>
      </c>
      <c r="AH9407">
        <v>0</v>
      </c>
      <c r="AI9407">
        <v>2</v>
      </c>
      <c r="AJ9407">
        <v>5</v>
      </c>
      <c r="AK9407">
        <v>0</v>
      </c>
      <c r="AN9407" t="s">
        <v>7439</v>
      </c>
      <c r="AO9407">
        <v>0</v>
      </c>
      <c r="AU9407">
        <v>2</v>
      </c>
      <c r="AV9407" t="s">
        <v>525</v>
      </c>
      <c r="AW9407" t="s">
        <v>161</v>
      </c>
    </row>
    <row r="9408" spans="1:49">
      <c r="A9408" s="1">
        <f>HYPERLINK("https://lsnyc.legalserver.org/matter/dynamic-profile/view/1882879","18-1882879")</f>
        <v>0</v>
      </c>
      <c r="B9408" t="s">
        <v>317</v>
      </c>
      <c r="C9408" t="s">
        <v>340</v>
      </c>
      <c r="D9408" t="s">
        <v>577</v>
      </c>
      <c r="F9408" t="s">
        <v>4555</v>
      </c>
      <c r="G9408" t="s">
        <v>9032</v>
      </c>
      <c r="H9408" t="s">
        <v>16054</v>
      </c>
      <c r="I9408" t="s">
        <v>17355</v>
      </c>
      <c r="J9408" t="s">
        <v>18893</v>
      </c>
      <c r="K9408">
        <v>10001</v>
      </c>
      <c r="L9408" t="s">
        <v>18960</v>
      </c>
      <c r="M9408" t="s">
        <v>18960</v>
      </c>
      <c r="R9408" t="s">
        <v>26591</v>
      </c>
      <c r="U9408" t="s">
        <v>26608</v>
      </c>
      <c r="X9408">
        <v>0</v>
      </c>
      <c r="Y9408" t="s">
        <v>26651</v>
      </c>
      <c r="AB9408" t="s">
        <v>33400</v>
      </c>
      <c r="AD9408" t="s">
        <v>44131</v>
      </c>
      <c r="AE9408">
        <v>0</v>
      </c>
      <c r="AH9408">
        <v>0</v>
      </c>
      <c r="AI9408">
        <v>1</v>
      </c>
      <c r="AJ9408">
        <v>0</v>
      </c>
      <c r="AK9408">
        <v>0</v>
      </c>
      <c r="AN9408" t="s">
        <v>7439</v>
      </c>
      <c r="AO9408">
        <v>0</v>
      </c>
      <c r="AU9408">
        <v>1</v>
      </c>
      <c r="AV9408" t="s">
        <v>577</v>
      </c>
      <c r="AW9408" t="s">
        <v>46843</v>
      </c>
    </row>
    <row r="9409" spans="1:49">
      <c r="A9409" s="1">
        <f>HYPERLINK("https://lsnyc.legalserver.org/matter/dynamic-profile/view/1882793","18-1882793")</f>
        <v>0</v>
      </c>
      <c r="B9409" t="s">
        <v>84</v>
      </c>
      <c r="C9409" t="s">
        <v>340</v>
      </c>
      <c r="D9409" t="s">
        <v>577</v>
      </c>
      <c r="F9409" t="s">
        <v>2846</v>
      </c>
      <c r="G9409" t="s">
        <v>5266</v>
      </c>
      <c r="H9409" t="s">
        <v>14385</v>
      </c>
      <c r="I9409" t="s">
        <v>17360</v>
      </c>
      <c r="J9409" t="s">
        <v>18893</v>
      </c>
      <c r="K9409">
        <v>10031</v>
      </c>
      <c r="L9409" t="s">
        <v>18958</v>
      </c>
      <c r="M9409" t="s">
        <v>18958</v>
      </c>
      <c r="N9409" t="s">
        <v>25526</v>
      </c>
      <c r="O9409" t="s">
        <v>26523</v>
      </c>
      <c r="P9409" t="s">
        <v>26563</v>
      </c>
      <c r="R9409" t="s">
        <v>26582</v>
      </c>
      <c r="S9409" t="s">
        <v>18959</v>
      </c>
      <c r="U9409" t="s">
        <v>26604</v>
      </c>
      <c r="X9409">
        <v>851.45</v>
      </c>
      <c r="Y9409" t="s">
        <v>26651</v>
      </c>
      <c r="Z9409" t="s">
        <v>26530</v>
      </c>
      <c r="AB9409" t="s">
        <v>33401</v>
      </c>
      <c r="AD9409" t="s">
        <v>44132</v>
      </c>
      <c r="AE9409">
        <v>64</v>
      </c>
      <c r="AF9409" t="s">
        <v>45548</v>
      </c>
      <c r="AG9409" t="s">
        <v>19330</v>
      </c>
      <c r="AH9409">
        <v>7</v>
      </c>
      <c r="AI9409">
        <v>1</v>
      </c>
      <c r="AJ9409">
        <v>0</v>
      </c>
      <c r="AK9409">
        <v>163.1</v>
      </c>
      <c r="AN9409" t="s">
        <v>7439</v>
      </c>
      <c r="AO9409">
        <v>19800</v>
      </c>
      <c r="AU9409">
        <v>1.2</v>
      </c>
      <c r="AV9409" t="s">
        <v>662</v>
      </c>
      <c r="AW9409" t="s">
        <v>46875</v>
      </c>
    </row>
    <row r="9410" spans="1:49">
      <c r="A9410" s="1">
        <f>HYPERLINK("https://lsnyc.legalserver.org/matter/dynamic-profile/view/1882895","18-1882895")</f>
        <v>0</v>
      </c>
      <c r="B9410" t="s">
        <v>200</v>
      </c>
      <c r="C9410" t="s">
        <v>340</v>
      </c>
      <c r="D9410" t="s">
        <v>577</v>
      </c>
      <c r="F9410" t="s">
        <v>4024</v>
      </c>
      <c r="G9410" t="s">
        <v>5177</v>
      </c>
      <c r="H9410" t="s">
        <v>14886</v>
      </c>
      <c r="I9410">
        <v>2</v>
      </c>
      <c r="J9410" t="s">
        <v>18894</v>
      </c>
      <c r="K9410">
        <v>11212</v>
      </c>
      <c r="L9410" t="s">
        <v>18960</v>
      </c>
      <c r="M9410" t="s">
        <v>18959</v>
      </c>
      <c r="N9410" t="s">
        <v>18997</v>
      </c>
      <c r="O9410" t="s">
        <v>26526</v>
      </c>
      <c r="R9410" t="s">
        <v>26578</v>
      </c>
      <c r="S9410" t="s">
        <v>18959</v>
      </c>
      <c r="U9410" t="s">
        <v>26604</v>
      </c>
      <c r="V9410" t="s">
        <v>26610</v>
      </c>
      <c r="X9410">
        <v>2200</v>
      </c>
      <c r="Y9410" t="s">
        <v>26652</v>
      </c>
      <c r="Z9410" t="s">
        <v>26661</v>
      </c>
      <c r="AB9410" t="s">
        <v>32389</v>
      </c>
      <c r="AC9410" t="s">
        <v>34508</v>
      </c>
      <c r="AD9410" t="s">
        <v>42794</v>
      </c>
      <c r="AE9410">
        <v>3</v>
      </c>
      <c r="AF9410" t="s">
        <v>45547</v>
      </c>
      <c r="AG9410" t="s">
        <v>45558</v>
      </c>
      <c r="AH9410">
        <v>1</v>
      </c>
      <c r="AI9410">
        <v>1</v>
      </c>
      <c r="AJ9410">
        <v>0</v>
      </c>
      <c r="AK9410">
        <v>148.27</v>
      </c>
      <c r="AN9410" t="s">
        <v>7439</v>
      </c>
      <c r="AO9410">
        <v>18000</v>
      </c>
      <c r="AU9410">
        <v>0</v>
      </c>
      <c r="AW9410" t="s">
        <v>279</v>
      </c>
    </row>
    <row r="9411" spans="1:49">
      <c r="A9411" s="1">
        <f>HYPERLINK("https://lsnyc.legalserver.org/matter/dynamic-profile/view/1882926","18-1882926")</f>
        <v>0</v>
      </c>
      <c r="B9411" t="s">
        <v>165</v>
      </c>
      <c r="C9411" t="s">
        <v>341</v>
      </c>
      <c r="D9411" t="s">
        <v>651</v>
      </c>
      <c r="E9411" t="s">
        <v>729</v>
      </c>
      <c r="F9411" t="s">
        <v>2111</v>
      </c>
      <c r="G9411" t="s">
        <v>5664</v>
      </c>
      <c r="H9411" t="s">
        <v>16055</v>
      </c>
      <c r="I9411" t="s">
        <v>18672</v>
      </c>
      <c r="J9411" t="s">
        <v>18893</v>
      </c>
      <c r="K9411">
        <v>10033</v>
      </c>
      <c r="L9411" t="s">
        <v>18960</v>
      </c>
      <c r="M9411" t="s">
        <v>18960</v>
      </c>
      <c r="O9411" t="s">
        <v>26526</v>
      </c>
      <c r="P9411" t="s">
        <v>26565</v>
      </c>
      <c r="Q9411" t="s">
        <v>26571</v>
      </c>
      <c r="R9411" t="s">
        <v>26582</v>
      </c>
      <c r="U9411" t="s">
        <v>26604</v>
      </c>
      <c r="X9411">
        <v>699</v>
      </c>
      <c r="Y9411" t="s">
        <v>26651</v>
      </c>
      <c r="Z9411" t="s">
        <v>26664</v>
      </c>
      <c r="AA9411" t="s">
        <v>26685</v>
      </c>
      <c r="AB9411" t="s">
        <v>28977</v>
      </c>
      <c r="AD9411" t="s">
        <v>44133</v>
      </c>
      <c r="AE9411">
        <v>35</v>
      </c>
      <c r="AF9411" t="s">
        <v>45541</v>
      </c>
      <c r="AG9411" t="s">
        <v>19330</v>
      </c>
      <c r="AH9411">
        <v>4</v>
      </c>
      <c r="AI9411">
        <v>1</v>
      </c>
      <c r="AJ9411">
        <v>5</v>
      </c>
      <c r="AK9411">
        <v>28.45</v>
      </c>
      <c r="AN9411" t="s">
        <v>7439</v>
      </c>
      <c r="AO9411">
        <v>9600</v>
      </c>
      <c r="AU9411">
        <v>0.1</v>
      </c>
      <c r="AV9411" t="s">
        <v>765</v>
      </c>
      <c r="AW9411" t="s">
        <v>314</v>
      </c>
    </row>
    <row r="9412" spans="1:49">
      <c r="A9412" s="1">
        <f>HYPERLINK("https://lsnyc.legalserver.org/matter/dynamic-profile/view/1883011","18-1883011")</f>
        <v>0</v>
      </c>
      <c r="B9412" t="s">
        <v>246</v>
      </c>
      <c r="C9412" t="s">
        <v>341</v>
      </c>
      <c r="D9412" t="s">
        <v>651</v>
      </c>
      <c r="E9412" t="s">
        <v>727</v>
      </c>
      <c r="F9412" t="s">
        <v>1334</v>
      </c>
      <c r="G9412" t="s">
        <v>9033</v>
      </c>
      <c r="H9412" t="s">
        <v>15682</v>
      </c>
      <c r="I9412" t="s">
        <v>17440</v>
      </c>
      <c r="J9412" t="s">
        <v>18892</v>
      </c>
      <c r="K9412">
        <v>10453</v>
      </c>
      <c r="L9412" t="s">
        <v>18960</v>
      </c>
      <c r="M9412" t="s">
        <v>18960</v>
      </c>
      <c r="N9412" t="s">
        <v>25527</v>
      </c>
      <c r="O9412" t="s">
        <v>26523</v>
      </c>
      <c r="P9412" t="s">
        <v>26564</v>
      </c>
      <c r="Q9412" t="s">
        <v>26570</v>
      </c>
      <c r="R9412" t="s">
        <v>26591</v>
      </c>
      <c r="S9412" t="s">
        <v>18959</v>
      </c>
      <c r="U9412" t="s">
        <v>26604</v>
      </c>
      <c r="X9412">
        <v>322.5</v>
      </c>
      <c r="Y9412" t="s">
        <v>26650</v>
      </c>
      <c r="AA9412" t="s">
        <v>26683</v>
      </c>
      <c r="AB9412" t="s">
        <v>33402</v>
      </c>
      <c r="AD9412" t="s">
        <v>44134</v>
      </c>
      <c r="AE9412">
        <v>48</v>
      </c>
      <c r="AG9412" t="s">
        <v>19330</v>
      </c>
      <c r="AH9412">
        <v>7</v>
      </c>
      <c r="AI9412">
        <v>1</v>
      </c>
      <c r="AJ9412">
        <v>0</v>
      </c>
      <c r="AK9412">
        <v>108.43</v>
      </c>
      <c r="AN9412" t="s">
        <v>7439</v>
      </c>
      <c r="AO9412">
        <v>13164</v>
      </c>
      <c r="AP9412" t="s">
        <v>46163</v>
      </c>
      <c r="AU9412">
        <v>6.5</v>
      </c>
      <c r="AV9412" t="s">
        <v>727</v>
      </c>
      <c r="AW9412" t="s">
        <v>46842</v>
      </c>
    </row>
    <row r="9413" spans="1:49">
      <c r="A9413" s="1">
        <f>HYPERLINK("https://lsnyc.legalserver.org/matter/dynamic-profile/view/1883072","18-1883072")</f>
        <v>0</v>
      </c>
      <c r="B9413" t="s">
        <v>132</v>
      </c>
      <c r="C9413" t="s">
        <v>341</v>
      </c>
      <c r="D9413" t="s">
        <v>651</v>
      </c>
      <c r="E9413" t="s">
        <v>697</v>
      </c>
      <c r="F9413" t="s">
        <v>4556</v>
      </c>
      <c r="G9413" t="s">
        <v>9034</v>
      </c>
      <c r="H9413" t="s">
        <v>9860</v>
      </c>
      <c r="J9413" t="s">
        <v>18894</v>
      </c>
      <c r="K9413">
        <v>11225</v>
      </c>
      <c r="L9413" t="s">
        <v>18959</v>
      </c>
      <c r="M9413" t="s">
        <v>18960</v>
      </c>
      <c r="N9413" t="s">
        <v>25528</v>
      </c>
      <c r="O9413" t="s">
        <v>26524</v>
      </c>
      <c r="P9413" t="s">
        <v>26564</v>
      </c>
      <c r="Q9413" t="s">
        <v>26570</v>
      </c>
      <c r="R9413" t="s">
        <v>26588</v>
      </c>
      <c r="U9413" t="s">
        <v>26604</v>
      </c>
      <c r="X9413">
        <v>926</v>
      </c>
      <c r="Y9413" t="s">
        <v>26652</v>
      </c>
      <c r="Z9413" t="s">
        <v>26664</v>
      </c>
      <c r="AA9413" t="s">
        <v>26683</v>
      </c>
      <c r="AB9413" t="s">
        <v>28387</v>
      </c>
      <c r="AE9413">
        <v>0</v>
      </c>
      <c r="AG9413" t="s">
        <v>19330</v>
      </c>
      <c r="AH9413">
        <v>5</v>
      </c>
      <c r="AI9413">
        <v>1</v>
      </c>
      <c r="AJ9413">
        <v>2</v>
      </c>
      <c r="AK9413">
        <v>40.04</v>
      </c>
      <c r="AO9413">
        <v>8320</v>
      </c>
      <c r="AU9413">
        <v>2.4</v>
      </c>
      <c r="AV9413" t="s">
        <v>687</v>
      </c>
      <c r="AW9413" t="s">
        <v>46862</v>
      </c>
    </row>
    <row r="9414" spans="1:49">
      <c r="A9414" s="1">
        <f>HYPERLINK("https://lsnyc.legalserver.org/matter/dynamic-profile/view/1882928","18-1882928")</f>
        <v>0</v>
      </c>
      <c r="B9414" t="s">
        <v>249</v>
      </c>
      <c r="C9414" t="s">
        <v>341</v>
      </c>
      <c r="D9414" t="s">
        <v>651</v>
      </c>
      <c r="E9414" t="s">
        <v>803</v>
      </c>
      <c r="F9414" t="s">
        <v>979</v>
      </c>
      <c r="G9414" t="s">
        <v>5079</v>
      </c>
      <c r="H9414" t="s">
        <v>10260</v>
      </c>
      <c r="I9414" t="s">
        <v>17306</v>
      </c>
      <c r="J9414" t="s">
        <v>18894</v>
      </c>
      <c r="K9414">
        <v>11207</v>
      </c>
      <c r="L9414" t="s">
        <v>18959</v>
      </c>
      <c r="M9414" t="s">
        <v>18959</v>
      </c>
      <c r="O9414" t="s">
        <v>18997</v>
      </c>
      <c r="P9414" t="s">
        <v>26564</v>
      </c>
      <c r="Q9414" t="s">
        <v>26570</v>
      </c>
      <c r="R9414" t="s">
        <v>26578</v>
      </c>
      <c r="S9414" t="s">
        <v>18959</v>
      </c>
      <c r="U9414" t="s">
        <v>26604</v>
      </c>
      <c r="X9414">
        <v>1239</v>
      </c>
      <c r="Y9414" t="s">
        <v>26652</v>
      </c>
      <c r="Z9414" t="s">
        <v>26665</v>
      </c>
      <c r="AA9414" t="s">
        <v>26683</v>
      </c>
      <c r="AB9414" t="s">
        <v>33403</v>
      </c>
      <c r="AC9414" t="s">
        <v>34508</v>
      </c>
      <c r="AE9414">
        <v>0</v>
      </c>
      <c r="AF9414" t="s">
        <v>45541</v>
      </c>
      <c r="AG9414" t="s">
        <v>19330</v>
      </c>
      <c r="AH9414">
        <v>0</v>
      </c>
      <c r="AI9414">
        <v>3</v>
      </c>
      <c r="AJ9414">
        <v>0</v>
      </c>
      <c r="AK9414">
        <v>0</v>
      </c>
      <c r="AN9414" t="s">
        <v>7439</v>
      </c>
      <c r="AO9414">
        <v>0</v>
      </c>
      <c r="AP9414" t="s">
        <v>46164</v>
      </c>
      <c r="AU9414">
        <v>0.92</v>
      </c>
      <c r="AV9414" t="s">
        <v>803</v>
      </c>
      <c r="AW9414" t="s">
        <v>46860</v>
      </c>
    </row>
    <row r="9415" spans="1:49">
      <c r="A9415" s="1">
        <f>HYPERLINK("https://lsnyc.legalserver.org/matter/dynamic-profile/view/1882980","18-1882980")</f>
        <v>0</v>
      </c>
      <c r="B9415" t="s">
        <v>198</v>
      </c>
      <c r="C9415" t="s">
        <v>341</v>
      </c>
      <c r="D9415" t="s">
        <v>651</v>
      </c>
      <c r="E9415" t="s">
        <v>574</v>
      </c>
      <c r="F9415" t="s">
        <v>1113</v>
      </c>
      <c r="G9415" t="s">
        <v>5296</v>
      </c>
      <c r="H9415" t="s">
        <v>9895</v>
      </c>
      <c r="I9415" t="s">
        <v>17597</v>
      </c>
      <c r="J9415" t="s">
        <v>18894</v>
      </c>
      <c r="K9415">
        <v>11216</v>
      </c>
      <c r="L9415" t="s">
        <v>18960</v>
      </c>
      <c r="M9415" t="s">
        <v>18960</v>
      </c>
      <c r="Q9415" t="s">
        <v>26570</v>
      </c>
      <c r="R9415" t="s">
        <v>26578</v>
      </c>
      <c r="U9415" t="s">
        <v>26604</v>
      </c>
      <c r="X9415">
        <v>0</v>
      </c>
      <c r="Y9415" t="s">
        <v>26652</v>
      </c>
      <c r="AA9415" t="s">
        <v>26683</v>
      </c>
      <c r="AB9415" t="s">
        <v>26982</v>
      </c>
      <c r="AD9415" t="s">
        <v>37073</v>
      </c>
      <c r="AE9415">
        <v>0</v>
      </c>
      <c r="AH9415">
        <v>0</v>
      </c>
      <c r="AI9415">
        <v>2</v>
      </c>
      <c r="AJ9415">
        <v>0</v>
      </c>
      <c r="AK9415">
        <v>80.19</v>
      </c>
      <c r="AN9415" t="s">
        <v>7439</v>
      </c>
      <c r="AO9415">
        <v>13200</v>
      </c>
      <c r="AP9415" t="s">
        <v>46165</v>
      </c>
      <c r="AU9415">
        <v>1.8</v>
      </c>
      <c r="AV9415" t="s">
        <v>574</v>
      </c>
      <c r="AW9415" t="s">
        <v>198</v>
      </c>
    </row>
    <row r="9416" spans="1:49">
      <c r="A9416" s="1">
        <f>HYPERLINK("https://lsnyc.legalserver.org/matter/dynamic-profile/view/1882952","18-1882952")</f>
        <v>0</v>
      </c>
      <c r="B9416" t="s">
        <v>200</v>
      </c>
      <c r="C9416" t="s">
        <v>340</v>
      </c>
      <c r="D9416" t="s">
        <v>651</v>
      </c>
      <c r="F9416" t="s">
        <v>4557</v>
      </c>
      <c r="G9416" t="s">
        <v>1417</v>
      </c>
      <c r="H9416" t="s">
        <v>16056</v>
      </c>
      <c r="I9416" t="s">
        <v>18673</v>
      </c>
      <c r="J9416" t="s">
        <v>18894</v>
      </c>
      <c r="K9416">
        <v>11233</v>
      </c>
      <c r="L9416" t="s">
        <v>18960</v>
      </c>
      <c r="M9416" t="s">
        <v>18960</v>
      </c>
      <c r="R9416" t="s">
        <v>26583</v>
      </c>
      <c r="U9416" t="s">
        <v>26604</v>
      </c>
      <c r="X9416">
        <v>0</v>
      </c>
      <c r="Y9416" t="s">
        <v>26652</v>
      </c>
      <c r="AB9416" t="s">
        <v>33404</v>
      </c>
      <c r="AD9416" t="s">
        <v>44135</v>
      </c>
      <c r="AE9416">
        <v>0</v>
      </c>
      <c r="AH9416">
        <v>0</v>
      </c>
      <c r="AI9416">
        <v>1</v>
      </c>
      <c r="AJ9416">
        <v>0</v>
      </c>
      <c r="AK9416">
        <v>296.54</v>
      </c>
      <c r="AN9416" t="s">
        <v>7439</v>
      </c>
      <c r="AO9416">
        <v>36000</v>
      </c>
      <c r="AU9416">
        <v>1</v>
      </c>
      <c r="AV9416" t="s">
        <v>651</v>
      </c>
      <c r="AW9416" t="s">
        <v>46843</v>
      </c>
    </row>
    <row r="9417" spans="1:49">
      <c r="A9417" s="1">
        <f>HYPERLINK("https://lsnyc.legalserver.org/matter/dynamic-profile/view/1883428","18-1883428")</f>
        <v>0</v>
      </c>
      <c r="B9417" t="s">
        <v>156</v>
      </c>
      <c r="C9417" t="s">
        <v>341</v>
      </c>
      <c r="D9417" t="s">
        <v>525</v>
      </c>
      <c r="E9417" t="s">
        <v>811</v>
      </c>
      <c r="F9417" t="s">
        <v>3117</v>
      </c>
      <c r="G9417" t="s">
        <v>1901</v>
      </c>
      <c r="H9417" t="s">
        <v>16057</v>
      </c>
      <c r="I9417" t="s">
        <v>17388</v>
      </c>
      <c r="J9417" t="s">
        <v>18893</v>
      </c>
      <c r="K9417">
        <v>10011</v>
      </c>
      <c r="L9417" t="s">
        <v>18960</v>
      </c>
      <c r="M9417" t="s">
        <v>18960</v>
      </c>
      <c r="Q9417" t="s">
        <v>26570</v>
      </c>
      <c r="R9417" t="s">
        <v>26592</v>
      </c>
      <c r="U9417" t="s">
        <v>26604</v>
      </c>
      <c r="X9417">
        <v>0</v>
      </c>
      <c r="Y9417" t="s">
        <v>26651</v>
      </c>
      <c r="AA9417" t="s">
        <v>26683</v>
      </c>
      <c r="AB9417" t="s">
        <v>33405</v>
      </c>
      <c r="AD9417" t="s">
        <v>44136</v>
      </c>
      <c r="AE9417">
        <v>0</v>
      </c>
      <c r="AH9417">
        <v>0</v>
      </c>
      <c r="AI9417">
        <v>1</v>
      </c>
      <c r="AJ9417">
        <v>0</v>
      </c>
      <c r="AK9417">
        <v>141.25</v>
      </c>
      <c r="AO9417">
        <v>17148</v>
      </c>
      <c r="AU9417">
        <v>1.25</v>
      </c>
      <c r="AV9417" t="s">
        <v>603</v>
      </c>
      <c r="AW9417" t="s">
        <v>317</v>
      </c>
    </row>
    <row r="9418" spans="1:49">
      <c r="A9418" s="1">
        <f>HYPERLINK("https://lsnyc.legalserver.org/matter/dynamic-profile/view/1883165","18-1883165")</f>
        <v>0</v>
      </c>
      <c r="B9418" t="s">
        <v>186</v>
      </c>
      <c r="C9418" t="s">
        <v>341</v>
      </c>
      <c r="D9418" t="s">
        <v>525</v>
      </c>
      <c r="E9418" t="s">
        <v>726</v>
      </c>
      <c r="F9418" t="s">
        <v>1208</v>
      </c>
      <c r="G9418" t="s">
        <v>9035</v>
      </c>
      <c r="H9418" t="s">
        <v>16058</v>
      </c>
      <c r="I9418" t="s">
        <v>18429</v>
      </c>
      <c r="J9418" t="s">
        <v>18894</v>
      </c>
      <c r="K9418">
        <v>11212</v>
      </c>
      <c r="L9418" t="s">
        <v>18959</v>
      </c>
      <c r="M9418" t="s">
        <v>18959</v>
      </c>
      <c r="N9418" t="s">
        <v>18997</v>
      </c>
      <c r="O9418" t="s">
        <v>18997</v>
      </c>
      <c r="P9418" t="s">
        <v>26565</v>
      </c>
      <c r="Q9418" t="s">
        <v>26571</v>
      </c>
      <c r="R9418" t="s">
        <v>26578</v>
      </c>
      <c r="S9418" t="s">
        <v>18959</v>
      </c>
      <c r="U9418" t="s">
        <v>26604</v>
      </c>
      <c r="X9418">
        <v>1000</v>
      </c>
      <c r="Y9418" t="s">
        <v>26652</v>
      </c>
      <c r="AA9418" t="s">
        <v>26682</v>
      </c>
      <c r="AB9418" t="s">
        <v>32593</v>
      </c>
      <c r="AC9418" t="s">
        <v>36637</v>
      </c>
      <c r="AD9418" t="s">
        <v>44137</v>
      </c>
      <c r="AE9418">
        <v>5</v>
      </c>
      <c r="AF9418" t="s">
        <v>45547</v>
      </c>
      <c r="AG9418" t="s">
        <v>45561</v>
      </c>
      <c r="AH9418">
        <v>13</v>
      </c>
      <c r="AI9418">
        <v>1</v>
      </c>
      <c r="AJ9418">
        <v>0</v>
      </c>
      <c r="AK9418">
        <v>35.58</v>
      </c>
      <c r="AN9418" t="s">
        <v>7439</v>
      </c>
      <c r="AO9418">
        <v>4320</v>
      </c>
      <c r="AS9418" t="s">
        <v>46501</v>
      </c>
      <c r="AT9418" t="s">
        <v>46507</v>
      </c>
      <c r="AU9418">
        <v>6.65</v>
      </c>
      <c r="AV9418" t="s">
        <v>726</v>
      </c>
      <c r="AW9418" t="s">
        <v>46829</v>
      </c>
    </row>
    <row r="9419" spans="1:49">
      <c r="A9419" s="1">
        <f>HYPERLINK("https://lsnyc.legalserver.org/matter/dynamic-profile/view/1883210","18-1883210")</f>
        <v>0</v>
      </c>
      <c r="B9419" t="s">
        <v>74</v>
      </c>
      <c r="C9419" t="s">
        <v>341</v>
      </c>
      <c r="D9419" t="s">
        <v>525</v>
      </c>
      <c r="E9419" t="s">
        <v>694</v>
      </c>
      <c r="F9419" t="s">
        <v>3153</v>
      </c>
      <c r="G9419" t="s">
        <v>9036</v>
      </c>
      <c r="H9419" t="s">
        <v>16059</v>
      </c>
      <c r="I9419" t="s">
        <v>17292</v>
      </c>
      <c r="J9419" t="s">
        <v>18893</v>
      </c>
      <c r="K9419">
        <v>10032</v>
      </c>
      <c r="L9419" t="s">
        <v>18960</v>
      </c>
      <c r="M9419" t="s">
        <v>18960</v>
      </c>
      <c r="O9419" t="s">
        <v>26526</v>
      </c>
      <c r="Q9419" t="s">
        <v>26571</v>
      </c>
      <c r="R9419" t="s">
        <v>26591</v>
      </c>
      <c r="U9419" t="s">
        <v>26604</v>
      </c>
      <c r="X9419">
        <v>1526</v>
      </c>
      <c r="Y9419" t="s">
        <v>26651</v>
      </c>
      <c r="Z9419" t="s">
        <v>26673</v>
      </c>
      <c r="AA9419" t="s">
        <v>26682</v>
      </c>
      <c r="AB9419" t="s">
        <v>33406</v>
      </c>
      <c r="AE9419">
        <v>8</v>
      </c>
      <c r="AF9419" t="s">
        <v>45541</v>
      </c>
      <c r="AG9419" t="s">
        <v>19330</v>
      </c>
      <c r="AH9419">
        <v>38</v>
      </c>
      <c r="AI9419">
        <v>1</v>
      </c>
      <c r="AJ9419">
        <v>2</v>
      </c>
      <c r="AK9419">
        <v>87.58</v>
      </c>
      <c r="AN9419" t="s">
        <v>45606</v>
      </c>
      <c r="AO9419">
        <v>18200</v>
      </c>
      <c r="AU9419">
        <v>0.4</v>
      </c>
      <c r="AV9419" t="s">
        <v>525</v>
      </c>
      <c r="AW9419" t="s">
        <v>46841</v>
      </c>
    </row>
    <row r="9420" spans="1:49">
      <c r="A9420" s="1">
        <f>HYPERLINK("https://lsnyc.legalserver.org/matter/dynamic-profile/view/1883179","18-1883179")</f>
        <v>0</v>
      </c>
      <c r="B9420" t="s">
        <v>171</v>
      </c>
      <c r="C9420" t="s">
        <v>341</v>
      </c>
      <c r="D9420" t="s">
        <v>525</v>
      </c>
      <c r="E9420" t="s">
        <v>665</v>
      </c>
      <c r="F9420" t="s">
        <v>1081</v>
      </c>
      <c r="G9420" t="s">
        <v>9037</v>
      </c>
      <c r="H9420" t="s">
        <v>16060</v>
      </c>
      <c r="I9420" t="s">
        <v>17411</v>
      </c>
      <c r="J9420" t="s">
        <v>18893</v>
      </c>
      <c r="K9420">
        <v>10025</v>
      </c>
      <c r="L9420" t="s">
        <v>18958</v>
      </c>
      <c r="M9420" t="s">
        <v>18958</v>
      </c>
      <c r="N9420" t="s">
        <v>25529</v>
      </c>
      <c r="O9420" t="s">
        <v>26524</v>
      </c>
      <c r="P9420" t="s">
        <v>26564</v>
      </c>
      <c r="Q9420" t="s">
        <v>26570</v>
      </c>
      <c r="R9420" t="s">
        <v>26580</v>
      </c>
      <c r="S9420" t="s">
        <v>18959</v>
      </c>
      <c r="U9420" t="s">
        <v>26604</v>
      </c>
      <c r="V9420" t="s">
        <v>26610</v>
      </c>
      <c r="X9420">
        <v>800</v>
      </c>
      <c r="Y9420" t="s">
        <v>26651</v>
      </c>
      <c r="Z9420" t="s">
        <v>26664</v>
      </c>
      <c r="AA9420" t="s">
        <v>26683</v>
      </c>
      <c r="AB9420" t="s">
        <v>33407</v>
      </c>
      <c r="AD9420" t="s">
        <v>44138</v>
      </c>
      <c r="AE9420">
        <v>0</v>
      </c>
      <c r="AF9420" t="s">
        <v>20460</v>
      </c>
      <c r="AG9420" t="s">
        <v>19330</v>
      </c>
      <c r="AH9420">
        <v>-1</v>
      </c>
      <c r="AI9420">
        <v>1</v>
      </c>
      <c r="AJ9420">
        <v>0</v>
      </c>
      <c r="AK9420">
        <v>0</v>
      </c>
      <c r="AN9420" t="s">
        <v>7439</v>
      </c>
      <c r="AO9420">
        <v>0</v>
      </c>
      <c r="AU9420">
        <v>0.5</v>
      </c>
      <c r="AV9420" t="s">
        <v>525</v>
      </c>
      <c r="AW9420" t="s">
        <v>314</v>
      </c>
    </row>
    <row r="9421" spans="1:49">
      <c r="A9421" s="1">
        <f>HYPERLINK("https://lsnyc.legalserver.org/matter/dynamic-profile/view/1883214","18-1883214")</f>
        <v>0</v>
      </c>
      <c r="B9421" t="s">
        <v>195</v>
      </c>
      <c r="C9421" t="s">
        <v>340</v>
      </c>
      <c r="D9421" t="s">
        <v>525</v>
      </c>
      <c r="F9421" t="s">
        <v>2532</v>
      </c>
      <c r="G9421" t="s">
        <v>6013</v>
      </c>
      <c r="H9421" t="s">
        <v>16061</v>
      </c>
      <c r="I9421" t="s">
        <v>18674</v>
      </c>
      <c r="J9421" t="s">
        <v>18893</v>
      </c>
      <c r="K9421">
        <v>10001</v>
      </c>
      <c r="L9421" t="s">
        <v>18960</v>
      </c>
      <c r="M9421" t="s">
        <v>18960</v>
      </c>
      <c r="R9421" t="s">
        <v>26582</v>
      </c>
      <c r="U9421" t="s">
        <v>26606</v>
      </c>
      <c r="X9421">
        <v>740</v>
      </c>
      <c r="Y9421" t="s">
        <v>26651</v>
      </c>
      <c r="AB9421" t="s">
        <v>33408</v>
      </c>
      <c r="AD9421" t="s">
        <v>44139</v>
      </c>
      <c r="AE9421">
        <v>390</v>
      </c>
      <c r="AH9421">
        <v>0</v>
      </c>
      <c r="AI9421">
        <v>1</v>
      </c>
      <c r="AJ9421">
        <v>1</v>
      </c>
      <c r="AK9421">
        <v>145.81</v>
      </c>
      <c r="AN9421" t="s">
        <v>7439</v>
      </c>
      <c r="AO9421">
        <v>24000</v>
      </c>
      <c r="AU9421">
        <v>3</v>
      </c>
      <c r="AV9421" t="s">
        <v>752</v>
      </c>
      <c r="AW9421" t="s">
        <v>46838</v>
      </c>
    </row>
    <row r="9422" spans="1:49">
      <c r="A9422" s="1">
        <f>HYPERLINK("https://lsnyc.legalserver.org/matter/dynamic-profile/view/1883183","18-1883183")</f>
        <v>0</v>
      </c>
      <c r="B9422" t="s">
        <v>165</v>
      </c>
      <c r="C9422" t="s">
        <v>340</v>
      </c>
      <c r="D9422" t="s">
        <v>525</v>
      </c>
      <c r="F9422" t="s">
        <v>3846</v>
      </c>
      <c r="G9422" t="s">
        <v>9038</v>
      </c>
      <c r="H9422" t="s">
        <v>16062</v>
      </c>
      <c r="I9422" t="s">
        <v>18675</v>
      </c>
      <c r="J9422" t="s">
        <v>18893</v>
      </c>
      <c r="K9422">
        <v>10025</v>
      </c>
      <c r="L9422" t="s">
        <v>18958</v>
      </c>
      <c r="M9422" t="s">
        <v>18958</v>
      </c>
      <c r="N9422" t="s">
        <v>25530</v>
      </c>
      <c r="O9422" t="s">
        <v>26523</v>
      </c>
      <c r="P9422" t="s">
        <v>26560</v>
      </c>
      <c r="R9422" t="s">
        <v>26580</v>
      </c>
      <c r="S9422" t="s">
        <v>18959</v>
      </c>
      <c r="U9422" t="s">
        <v>26604</v>
      </c>
      <c r="V9422" t="s">
        <v>26610</v>
      </c>
      <c r="X9422">
        <v>686</v>
      </c>
      <c r="Y9422" t="s">
        <v>26651</v>
      </c>
      <c r="Z9422" t="s">
        <v>26664</v>
      </c>
      <c r="AB9422" t="s">
        <v>33409</v>
      </c>
      <c r="AD9422" t="s">
        <v>44140</v>
      </c>
      <c r="AE9422">
        <v>0</v>
      </c>
      <c r="AF9422" t="s">
        <v>20460</v>
      </c>
      <c r="AG9422" t="s">
        <v>45559</v>
      </c>
      <c r="AH9422">
        <v>40</v>
      </c>
      <c r="AI9422">
        <v>1</v>
      </c>
      <c r="AJ9422">
        <v>0</v>
      </c>
      <c r="AK9422">
        <v>79.08</v>
      </c>
      <c r="AN9422" t="s">
        <v>7439</v>
      </c>
      <c r="AO9422">
        <v>9600</v>
      </c>
      <c r="AU9422">
        <v>12.22</v>
      </c>
      <c r="AV9422" t="s">
        <v>839</v>
      </c>
      <c r="AW9422" t="s">
        <v>314</v>
      </c>
    </row>
    <row r="9423" spans="1:49">
      <c r="A9423" s="1">
        <f>HYPERLINK("https://lsnyc.legalserver.org/matter/dynamic-profile/view/1883437","18-1883437")</f>
        <v>0</v>
      </c>
      <c r="B9423" t="s">
        <v>156</v>
      </c>
      <c r="C9423" t="s">
        <v>340</v>
      </c>
      <c r="D9423" t="s">
        <v>525</v>
      </c>
      <c r="F9423" t="s">
        <v>4558</v>
      </c>
      <c r="G9423" t="s">
        <v>9039</v>
      </c>
      <c r="H9423" t="s">
        <v>16063</v>
      </c>
      <c r="J9423" t="s">
        <v>18893</v>
      </c>
      <c r="K9423">
        <v>10027</v>
      </c>
      <c r="L9423" t="s">
        <v>18960</v>
      </c>
      <c r="M9423" t="s">
        <v>18960</v>
      </c>
      <c r="R9423" t="s">
        <v>26592</v>
      </c>
      <c r="U9423" t="s">
        <v>26604</v>
      </c>
      <c r="X9423">
        <v>0</v>
      </c>
      <c r="Y9423" t="s">
        <v>26651</v>
      </c>
      <c r="AB9423" t="s">
        <v>33410</v>
      </c>
      <c r="AE9423">
        <v>0</v>
      </c>
      <c r="AH9423">
        <v>0</v>
      </c>
      <c r="AI9423">
        <v>1</v>
      </c>
      <c r="AJ9423">
        <v>0</v>
      </c>
      <c r="AK9423">
        <v>21.94</v>
      </c>
      <c r="AO9423">
        <v>2664</v>
      </c>
      <c r="AU9423">
        <v>3.25</v>
      </c>
      <c r="AV9423" t="s">
        <v>664</v>
      </c>
      <c r="AW9423" t="s">
        <v>317</v>
      </c>
    </row>
    <row r="9424" spans="1:49">
      <c r="A9424" s="1">
        <f>HYPERLINK("https://lsnyc.legalserver.org/matter/dynamic-profile/view/1883192","18-1883192")</f>
        <v>0</v>
      </c>
      <c r="B9424" t="s">
        <v>108</v>
      </c>
      <c r="C9424" t="s">
        <v>340</v>
      </c>
      <c r="D9424" t="s">
        <v>525</v>
      </c>
      <c r="F9424" t="s">
        <v>3587</v>
      </c>
      <c r="G9424" t="s">
        <v>9040</v>
      </c>
      <c r="H9424" t="s">
        <v>12551</v>
      </c>
      <c r="J9424" t="s">
        <v>18901</v>
      </c>
      <c r="K9424">
        <v>11434</v>
      </c>
      <c r="L9424" t="s">
        <v>18958</v>
      </c>
      <c r="M9424" t="s">
        <v>18958</v>
      </c>
      <c r="N9424" t="s">
        <v>25531</v>
      </c>
      <c r="O9424" t="s">
        <v>26524</v>
      </c>
      <c r="P9424" t="s">
        <v>26560</v>
      </c>
      <c r="R9424" t="s">
        <v>26584</v>
      </c>
      <c r="S9424" t="s">
        <v>18959</v>
      </c>
      <c r="U9424" t="s">
        <v>26604</v>
      </c>
      <c r="X9424">
        <v>0</v>
      </c>
      <c r="Y9424" t="s">
        <v>26653</v>
      </c>
      <c r="AB9424" t="s">
        <v>33411</v>
      </c>
      <c r="AD9424" t="s">
        <v>44141</v>
      </c>
      <c r="AE9424">
        <v>4</v>
      </c>
      <c r="AF9424" t="s">
        <v>45547</v>
      </c>
      <c r="AH9424">
        <v>0</v>
      </c>
      <c r="AI9424">
        <v>1</v>
      </c>
      <c r="AJ9424">
        <v>0</v>
      </c>
      <c r="AK9424">
        <v>81.05</v>
      </c>
      <c r="AN9424" t="s">
        <v>7439</v>
      </c>
      <c r="AO9424">
        <v>9840</v>
      </c>
      <c r="AU9424">
        <v>5.4</v>
      </c>
      <c r="AV9424" t="s">
        <v>677</v>
      </c>
      <c r="AW9424" t="s">
        <v>208</v>
      </c>
    </row>
    <row r="9425" spans="1:49">
      <c r="A9425" s="1">
        <f>HYPERLINK("https://lsnyc.legalserver.org/matter/dynamic-profile/view/1883140","18-1883140")</f>
        <v>0</v>
      </c>
      <c r="B9425" t="s">
        <v>84</v>
      </c>
      <c r="C9425" t="s">
        <v>340</v>
      </c>
      <c r="D9425" t="s">
        <v>525</v>
      </c>
      <c r="F9425" t="s">
        <v>1074</v>
      </c>
      <c r="G9425" t="s">
        <v>5008</v>
      </c>
      <c r="H9425" t="s">
        <v>14363</v>
      </c>
      <c r="I9425" t="s">
        <v>17352</v>
      </c>
      <c r="J9425" t="s">
        <v>18893</v>
      </c>
      <c r="K9425">
        <v>10027</v>
      </c>
      <c r="L9425" t="s">
        <v>18958</v>
      </c>
      <c r="M9425" t="s">
        <v>18958</v>
      </c>
      <c r="N9425" t="s">
        <v>25532</v>
      </c>
      <c r="O9425" t="s">
        <v>26523</v>
      </c>
      <c r="P9425" t="s">
        <v>26560</v>
      </c>
      <c r="R9425" t="s">
        <v>26580</v>
      </c>
      <c r="S9425" t="s">
        <v>18959</v>
      </c>
      <c r="U9425" t="s">
        <v>26604</v>
      </c>
      <c r="V9425" t="s">
        <v>26611</v>
      </c>
      <c r="X9425">
        <v>1267</v>
      </c>
      <c r="Y9425" t="s">
        <v>26651</v>
      </c>
      <c r="Z9425" t="s">
        <v>26674</v>
      </c>
      <c r="AB9425" t="s">
        <v>32485</v>
      </c>
      <c r="AD9425" t="s">
        <v>44142</v>
      </c>
      <c r="AE9425">
        <v>77</v>
      </c>
      <c r="AF9425" t="s">
        <v>20460</v>
      </c>
      <c r="AG9425" t="s">
        <v>45556</v>
      </c>
      <c r="AH9425">
        <v>17</v>
      </c>
      <c r="AI9425">
        <v>1</v>
      </c>
      <c r="AJ9425">
        <v>0</v>
      </c>
      <c r="AK9425">
        <v>74.14</v>
      </c>
      <c r="AN9425" t="s">
        <v>7439</v>
      </c>
      <c r="AO9425">
        <v>9000</v>
      </c>
      <c r="AU9425">
        <v>30.74</v>
      </c>
      <c r="AV9425" t="s">
        <v>832</v>
      </c>
      <c r="AW9425" t="s">
        <v>46875</v>
      </c>
    </row>
    <row r="9426" spans="1:49">
      <c r="A9426" s="1">
        <f>HYPERLINK("https://lsnyc.legalserver.org/matter/dynamic-profile/view/1883160","18-1883160")</f>
        <v>0</v>
      </c>
      <c r="B9426" t="s">
        <v>199</v>
      </c>
      <c r="C9426" t="s">
        <v>340</v>
      </c>
      <c r="D9426" t="s">
        <v>525</v>
      </c>
      <c r="F9426" t="s">
        <v>2809</v>
      </c>
      <c r="G9426" t="s">
        <v>6119</v>
      </c>
      <c r="H9426" t="s">
        <v>11395</v>
      </c>
      <c r="I9426">
        <v>10</v>
      </c>
      <c r="J9426" t="s">
        <v>18894</v>
      </c>
      <c r="K9426">
        <v>11238</v>
      </c>
      <c r="L9426" t="s">
        <v>18960</v>
      </c>
      <c r="M9426" t="s">
        <v>18960</v>
      </c>
      <c r="O9426" t="s">
        <v>26523</v>
      </c>
      <c r="P9426" t="s">
        <v>26563</v>
      </c>
      <c r="R9426" t="s">
        <v>26578</v>
      </c>
      <c r="U9426" t="s">
        <v>26604</v>
      </c>
      <c r="X9426">
        <v>0</v>
      </c>
      <c r="Y9426" t="s">
        <v>26652</v>
      </c>
      <c r="AB9426" t="s">
        <v>29929</v>
      </c>
      <c r="AD9426" t="s">
        <v>44143</v>
      </c>
      <c r="AE9426">
        <v>0</v>
      </c>
      <c r="AH9426">
        <v>0</v>
      </c>
      <c r="AI9426">
        <v>2</v>
      </c>
      <c r="AJ9426">
        <v>0</v>
      </c>
      <c r="AK9426">
        <v>236.94</v>
      </c>
      <c r="AN9426" t="s">
        <v>7439</v>
      </c>
      <c r="AO9426">
        <v>39000</v>
      </c>
      <c r="AU9426">
        <v>4.5</v>
      </c>
      <c r="AV9426" t="s">
        <v>689</v>
      </c>
      <c r="AW9426" t="s">
        <v>199</v>
      </c>
    </row>
    <row r="9427" spans="1:49">
      <c r="A9427" s="1">
        <f>HYPERLINK("https://lsnyc.legalserver.org/matter/dynamic-profile/view/1883207","18-1883207")</f>
        <v>0</v>
      </c>
      <c r="B9427" t="s">
        <v>198</v>
      </c>
      <c r="C9427" t="s">
        <v>340</v>
      </c>
      <c r="D9427" t="s">
        <v>525</v>
      </c>
      <c r="F9427" t="s">
        <v>4559</v>
      </c>
      <c r="G9427" t="s">
        <v>9041</v>
      </c>
      <c r="H9427" t="s">
        <v>10461</v>
      </c>
      <c r="I9427" t="s">
        <v>18242</v>
      </c>
      <c r="J9427" t="s">
        <v>18894</v>
      </c>
      <c r="K9427">
        <v>11226</v>
      </c>
      <c r="L9427" t="s">
        <v>18960</v>
      </c>
      <c r="M9427" t="s">
        <v>18960</v>
      </c>
      <c r="R9427" t="s">
        <v>26578</v>
      </c>
      <c r="U9427" t="s">
        <v>26604</v>
      </c>
      <c r="X9427">
        <v>0</v>
      </c>
      <c r="Y9427" t="s">
        <v>26652</v>
      </c>
      <c r="AB9427" t="s">
        <v>33412</v>
      </c>
      <c r="AD9427" t="s">
        <v>44144</v>
      </c>
      <c r="AE9427">
        <v>0</v>
      </c>
      <c r="AH9427">
        <v>0</v>
      </c>
      <c r="AI9427">
        <v>1</v>
      </c>
      <c r="AJ9427">
        <v>0</v>
      </c>
      <c r="AK9427">
        <v>116.84</v>
      </c>
      <c r="AN9427" t="s">
        <v>7439</v>
      </c>
      <c r="AO9427">
        <v>14184</v>
      </c>
      <c r="AP9427" t="s">
        <v>46166</v>
      </c>
      <c r="AU9427">
        <v>1.5</v>
      </c>
      <c r="AV9427" t="s">
        <v>662</v>
      </c>
      <c r="AW9427" t="s">
        <v>198</v>
      </c>
    </row>
    <row r="9428" spans="1:49">
      <c r="A9428" s="1">
        <f>HYPERLINK("https://lsnyc.legalserver.org/matter/dynamic-profile/view/1883124","18-1883124")</f>
        <v>0</v>
      </c>
      <c r="B9428" t="s">
        <v>112</v>
      </c>
      <c r="C9428" t="s">
        <v>340</v>
      </c>
      <c r="D9428" t="s">
        <v>525</v>
      </c>
      <c r="F9428" t="s">
        <v>1043</v>
      </c>
      <c r="G9428" t="s">
        <v>5086</v>
      </c>
      <c r="H9428" t="s">
        <v>16064</v>
      </c>
      <c r="I9428" t="s">
        <v>17328</v>
      </c>
      <c r="J9428" t="s">
        <v>18901</v>
      </c>
      <c r="K9428">
        <v>11433</v>
      </c>
      <c r="L9428" t="s">
        <v>18958</v>
      </c>
      <c r="M9428" t="s">
        <v>18958</v>
      </c>
      <c r="N9428" t="s">
        <v>25533</v>
      </c>
      <c r="O9428" t="s">
        <v>26524</v>
      </c>
      <c r="P9428" t="s">
        <v>26560</v>
      </c>
      <c r="R9428" t="s">
        <v>26584</v>
      </c>
      <c r="S9428" t="s">
        <v>18959</v>
      </c>
      <c r="U9428" t="s">
        <v>26604</v>
      </c>
      <c r="X9428">
        <v>600</v>
      </c>
      <c r="Y9428" t="s">
        <v>26653</v>
      </c>
      <c r="Z9428" t="s">
        <v>26668</v>
      </c>
      <c r="AB9428" t="s">
        <v>30570</v>
      </c>
      <c r="AD9428" t="s">
        <v>40760</v>
      </c>
      <c r="AE9428">
        <v>3</v>
      </c>
      <c r="AF9428" t="s">
        <v>20460</v>
      </c>
      <c r="AG9428" t="s">
        <v>19330</v>
      </c>
      <c r="AH9428">
        <v>-1</v>
      </c>
      <c r="AI9428">
        <v>1</v>
      </c>
      <c r="AJ9428">
        <v>0</v>
      </c>
      <c r="AK9428">
        <v>0</v>
      </c>
      <c r="AN9428" t="s">
        <v>7439</v>
      </c>
      <c r="AO9428">
        <v>0</v>
      </c>
      <c r="AQ9428" t="s">
        <v>46359</v>
      </c>
      <c r="AR9428" t="s">
        <v>46379</v>
      </c>
      <c r="AS9428" t="s">
        <v>46499</v>
      </c>
      <c r="AT9428" t="s">
        <v>46624</v>
      </c>
      <c r="AU9428">
        <v>11.55</v>
      </c>
      <c r="AV9428" t="s">
        <v>795</v>
      </c>
      <c r="AW9428" t="s">
        <v>208</v>
      </c>
    </row>
    <row r="9429" spans="1:49">
      <c r="A9429" s="1">
        <f>HYPERLINK("https://lsnyc.legalserver.org/matter/dynamic-profile/view/1883257","18-1883257")</f>
        <v>0</v>
      </c>
      <c r="B9429" t="s">
        <v>280</v>
      </c>
      <c r="C9429" t="s">
        <v>341</v>
      </c>
      <c r="D9429" t="s">
        <v>517</v>
      </c>
      <c r="E9429" t="s">
        <v>815</v>
      </c>
      <c r="F9429" t="s">
        <v>1125</v>
      </c>
      <c r="G9429" t="s">
        <v>9042</v>
      </c>
      <c r="H9429" t="s">
        <v>16065</v>
      </c>
      <c r="I9429">
        <v>519</v>
      </c>
      <c r="J9429" t="s">
        <v>18913</v>
      </c>
      <c r="K9429">
        <v>11106</v>
      </c>
      <c r="L9429" t="s">
        <v>18960</v>
      </c>
      <c r="M9429" t="s">
        <v>18960</v>
      </c>
      <c r="P9429" t="s">
        <v>26564</v>
      </c>
      <c r="Q9429" t="s">
        <v>26570</v>
      </c>
      <c r="R9429" t="s">
        <v>26591</v>
      </c>
      <c r="U9429" t="s">
        <v>26604</v>
      </c>
      <c r="X9429">
        <v>546.14</v>
      </c>
      <c r="Y9429" t="s">
        <v>26653</v>
      </c>
      <c r="Z9429" t="s">
        <v>26530</v>
      </c>
      <c r="AA9429" t="s">
        <v>26683</v>
      </c>
      <c r="AB9429" t="s">
        <v>32880</v>
      </c>
      <c r="AD9429" t="s">
        <v>44145</v>
      </c>
      <c r="AE9429">
        <v>119</v>
      </c>
      <c r="AF9429" t="s">
        <v>45548</v>
      </c>
      <c r="AG9429" t="s">
        <v>19330</v>
      </c>
      <c r="AH9429">
        <v>35</v>
      </c>
      <c r="AI9429">
        <v>1</v>
      </c>
      <c r="AJ9429">
        <v>0</v>
      </c>
      <c r="AK9429">
        <v>136.77</v>
      </c>
      <c r="AN9429" t="s">
        <v>7439</v>
      </c>
      <c r="AO9429">
        <v>16603.32</v>
      </c>
      <c r="AU9429">
        <v>1.84</v>
      </c>
      <c r="AV9429" t="s">
        <v>764</v>
      </c>
      <c r="AW9429" t="s">
        <v>46846</v>
      </c>
    </row>
    <row r="9430" spans="1:49">
      <c r="A9430" s="1">
        <f>HYPERLINK("https://lsnyc.legalserver.org/matter/dynamic-profile/view/1883337","18-1883337")</f>
        <v>0</v>
      </c>
      <c r="B9430" t="s">
        <v>180</v>
      </c>
      <c r="C9430" t="s">
        <v>341</v>
      </c>
      <c r="D9430" t="s">
        <v>517</v>
      </c>
      <c r="E9430" t="s">
        <v>764</v>
      </c>
      <c r="F9430" t="s">
        <v>901</v>
      </c>
      <c r="G9430" t="s">
        <v>8464</v>
      </c>
      <c r="H9430" t="s">
        <v>12462</v>
      </c>
      <c r="I9430" t="s">
        <v>18676</v>
      </c>
      <c r="J9430" t="s">
        <v>18894</v>
      </c>
      <c r="K9430">
        <v>11220</v>
      </c>
      <c r="L9430" t="s">
        <v>18959</v>
      </c>
      <c r="M9430" t="s">
        <v>18958</v>
      </c>
      <c r="N9430" t="s">
        <v>25534</v>
      </c>
      <c r="O9430" t="s">
        <v>26524</v>
      </c>
      <c r="P9430" t="s">
        <v>26560</v>
      </c>
      <c r="Q9430" t="s">
        <v>26568</v>
      </c>
      <c r="R9430" t="s">
        <v>26586</v>
      </c>
      <c r="U9430" t="s">
        <v>26604</v>
      </c>
      <c r="X9430">
        <v>1344</v>
      </c>
      <c r="Y9430" t="s">
        <v>26652</v>
      </c>
      <c r="Z9430" t="s">
        <v>26659</v>
      </c>
      <c r="AA9430" t="s">
        <v>26678</v>
      </c>
      <c r="AB9430" t="s">
        <v>33413</v>
      </c>
      <c r="AC9430" t="s">
        <v>36638</v>
      </c>
      <c r="AD9430" t="s">
        <v>44146</v>
      </c>
      <c r="AE9430">
        <v>6</v>
      </c>
      <c r="AF9430" t="s">
        <v>45541</v>
      </c>
      <c r="AG9430" t="s">
        <v>45556</v>
      </c>
      <c r="AH9430">
        <v>9</v>
      </c>
      <c r="AI9430">
        <v>1</v>
      </c>
      <c r="AJ9430">
        <v>0</v>
      </c>
      <c r="AK9430">
        <v>84.22</v>
      </c>
      <c r="AN9430" t="s">
        <v>7439</v>
      </c>
      <c r="AO9430">
        <v>10224</v>
      </c>
      <c r="AS9430" t="s">
        <v>46499</v>
      </c>
      <c r="AU9430">
        <v>36</v>
      </c>
      <c r="AV9430" t="s">
        <v>825</v>
      </c>
      <c r="AW9430" t="s">
        <v>281</v>
      </c>
    </row>
    <row r="9431" spans="1:49">
      <c r="A9431" s="1">
        <f>HYPERLINK("https://lsnyc.legalserver.org/matter/dynamic-profile/view/1883263","18-1883263")</f>
        <v>0</v>
      </c>
      <c r="B9431" t="s">
        <v>75</v>
      </c>
      <c r="C9431" t="s">
        <v>341</v>
      </c>
      <c r="D9431" t="s">
        <v>517</v>
      </c>
      <c r="E9431" t="s">
        <v>494</v>
      </c>
      <c r="F9431" t="s">
        <v>3061</v>
      </c>
      <c r="G9431" t="s">
        <v>5978</v>
      </c>
      <c r="H9431" t="s">
        <v>16066</v>
      </c>
      <c r="I9431" t="s">
        <v>18677</v>
      </c>
      <c r="J9431" t="s">
        <v>18892</v>
      </c>
      <c r="K9431">
        <v>10453</v>
      </c>
      <c r="L9431" t="s">
        <v>18960</v>
      </c>
      <c r="M9431" t="s">
        <v>18960</v>
      </c>
      <c r="N9431" t="s">
        <v>25535</v>
      </c>
      <c r="O9431" t="s">
        <v>26524</v>
      </c>
      <c r="P9431" t="s">
        <v>26564</v>
      </c>
      <c r="Q9431" t="s">
        <v>26570</v>
      </c>
      <c r="R9431" t="s">
        <v>26578</v>
      </c>
      <c r="U9431" t="s">
        <v>26604</v>
      </c>
      <c r="X9431">
        <v>892</v>
      </c>
      <c r="Y9431" t="s">
        <v>26650</v>
      </c>
      <c r="Z9431" t="s">
        <v>26663</v>
      </c>
      <c r="AA9431" t="s">
        <v>26683</v>
      </c>
      <c r="AB9431" t="s">
        <v>28614</v>
      </c>
      <c r="AD9431" t="s">
        <v>44147</v>
      </c>
      <c r="AE9431">
        <v>41</v>
      </c>
      <c r="AF9431" t="s">
        <v>45541</v>
      </c>
      <c r="AG9431" t="s">
        <v>19330</v>
      </c>
      <c r="AH9431">
        <v>22</v>
      </c>
      <c r="AI9431">
        <v>2</v>
      </c>
      <c r="AJ9431">
        <v>1</v>
      </c>
      <c r="AK9431">
        <v>80.84999999999999</v>
      </c>
      <c r="AO9431">
        <v>16800</v>
      </c>
      <c r="AP9431" t="s">
        <v>46167</v>
      </c>
      <c r="AU9431">
        <v>0.3</v>
      </c>
      <c r="AV9431" t="s">
        <v>710</v>
      </c>
      <c r="AW9431" t="s">
        <v>75</v>
      </c>
    </row>
    <row r="9432" spans="1:49">
      <c r="A9432" s="1">
        <f>HYPERLINK("https://lsnyc.legalserver.org/matter/dynamic-profile/view/1883349","18-1883349")</f>
        <v>0</v>
      </c>
      <c r="B9432" t="s">
        <v>187</v>
      </c>
      <c r="C9432" t="s">
        <v>341</v>
      </c>
      <c r="D9432" t="s">
        <v>517</v>
      </c>
      <c r="E9432" t="s">
        <v>519</v>
      </c>
      <c r="F9432" t="s">
        <v>1082</v>
      </c>
      <c r="G9432" t="s">
        <v>1725</v>
      </c>
      <c r="H9432" t="s">
        <v>16067</v>
      </c>
      <c r="I9432">
        <v>2</v>
      </c>
      <c r="J9432" t="s">
        <v>18892</v>
      </c>
      <c r="K9432">
        <v>10472</v>
      </c>
      <c r="L9432" t="s">
        <v>18959</v>
      </c>
      <c r="M9432" t="s">
        <v>18959</v>
      </c>
      <c r="N9432" t="s">
        <v>25536</v>
      </c>
      <c r="O9432" t="s">
        <v>26523</v>
      </c>
      <c r="P9432" t="s">
        <v>26564</v>
      </c>
      <c r="Q9432" t="s">
        <v>26570</v>
      </c>
      <c r="R9432" t="s">
        <v>26591</v>
      </c>
      <c r="S9432" t="s">
        <v>18959</v>
      </c>
      <c r="U9432" t="s">
        <v>26604</v>
      </c>
      <c r="X9432">
        <v>1850</v>
      </c>
      <c r="Y9432" t="s">
        <v>26650</v>
      </c>
      <c r="Z9432" t="s">
        <v>26530</v>
      </c>
      <c r="AA9432" t="s">
        <v>26683</v>
      </c>
      <c r="AB9432" t="s">
        <v>33414</v>
      </c>
      <c r="AE9432">
        <v>0</v>
      </c>
      <c r="AF9432" t="s">
        <v>45545</v>
      </c>
      <c r="AG9432" t="s">
        <v>19330</v>
      </c>
      <c r="AH9432">
        <v>4</v>
      </c>
      <c r="AI9432">
        <v>3</v>
      </c>
      <c r="AJ9432">
        <v>1</v>
      </c>
      <c r="AK9432">
        <v>78.73</v>
      </c>
      <c r="AN9432" t="s">
        <v>45581</v>
      </c>
      <c r="AO9432">
        <v>19760</v>
      </c>
      <c r="AT9432" t="s">
        <v>46589</v>
      </c>
      <c r="AU9432">
        <v>1.7</v>
      </c>
      <c r="AV9432" t="s">
        <v>517</v>
      </c>
      <c r="AW9432" t="s">
        <v>336</v>
      </c>
    </row>
    <row r="9433" spans="1:49">
      <c r="A9433" s="1">
        <f>HYPERLINK("https://lsnyc.legalserver.org/matter/dynamic-profile/view/1883261","18-1883261")</f>
        <v>0</v>
      </c>
      <c r="B9433" t="s">
        <v>126</v>
      </c>
      <c r="C9433" t="s">
        <v>341</v>
      </c>
      <c r="D9433" t="s">
        <v>517</v>
      </c>
      <c r="E9433" t="s">
        <v>697</v>
      </c>
      <c r="F9433" t="s">
        <v>4560</v>
      </c>
      <c r="G9433" t="s">
        <v>5189</v>
      </c>
      <c r="H9433" t="s">
        <v>16068</v>
      </c>
      <c r="I9433" t="s">
        <v>17639</v>
      </c>
      <c r="J9433" t="s">
        <v>18894</v>
      </c>
      <c r="K9433">
        <v>11239</v>
      </c>
      <c r="L9433" t="s">
        <v>18959</v>
      </c>
      <c r="M9433" t="s">
        <v>18958</v>
      </c>
      <c r="N9433" t="s">
        <v>18997</v>
      </c>
      <c r="P9433" t="s">
        <v>26565</v>
      </c>
      <c r="Q9433" t="s">
        <v>26571</v>
      </c>
      <c r="R9433" t="s">
        <v>26578</v>
      </c>
      <c r="S9433" t="s">
        <v>18959</v>
      </c>
      <c r="U9433" t="s">
        <v>26604</v>
      </c>
      <c r="V9433" t="s">
        <v>26610</v>
      </c>
      <c r="X9433">
        <v>2300</v>
      </c>
      <c r="Y9433" t="s">
        <v>26652</v>
      </c>
      <c r="Z9433" t="s">
        <v>26661</v>
      </c>
      <c r="AA9433" t="s">
        <v>26683</v>
      </c>
      <c r="AB9433" t="s">
        <v>33190</v>
      </c>
      <c r="AC9433" t="s">
        <v>19330</v>
      </c>
      <c r="AD9433" t="s">
        <v>44148</v>
      </c>
      <c r="AE9433">
        <v>152</v>
      </c>
      <c r="AF9433" t="s">
        <v>45543</v>
      </c>
      <c r="AG9433" t="s">
        <v>45556</v>
      </c>
      <c r="AH9433">
        <v>5</v>
      </c>
      <c r="AI9433">
        <v>2</v>
      </c>
      <c r="AJ9433">
        <v>1</v>
      </c>
      <c r="AK9433">
        <v>365.74</v>
      </c>
      <c r="AN9433" t="s">
        <v>7439</v>
      </c>
      <c r="AO9433">
        <v>76000</v>
      </c>
      <c r="AU9433">
        <v>3.8</v>
      </c>
      <c r="AV9433" t="s">
        <v>682</v>
      </c>
      <c r="AW9433" t="s">
        <v>46842</v>
      </c>
    </row>
    <row r="9434" spans="1:49">
      <c r="A9434" s="1">
        <f>HYPERLINK("https://lsnyc.legalserver.org/matter/dynamic-profile/view/1883239","18-1883239")</f>
        <v>0</v>
      </c>
      <c r="B9434" t="s">
        <v>318</v>
      </c>
      <c r="C9434" t="s">
        <v>341</v>
      </c>
      <c r="D9434" t="s">
        <v>517</v>
      </c>
      <c r="E9434" t="s">
        <v>695</v>
      </c>
      <c r="F9434" t="s">
        <v>1189</v>
      </c>
      <c r="G9434" t="s">
        <v>5655</v>
      </c>
      <c r="H9434" t="s">
        <v>16069</v>
      </c>
      <c r="J9434" t="s">
        <v>18892</v>
      </c>
      <c r="K9434">
        <v>10458</v>
      </c>
      <c r="L9434" t="s">
        <v>18960</v>
      </c>
      <c r="M9434" t="s">
        <v>18960</v>
      </c>
      <c r="P9434" t="s">
        <v>26563</v>
      </c>
      <c r="Q9434" t="s">
        <v>26570</v>
      </c>
      <c r="R9434" t="s">
        <v>26591</v>
      </c>
      <c r="U9434" t="s">
        <v>26604</v>
      </c>
      <c r="X9434">
        <v>0</v>
      </c>
      <c r="Y9434" t="s">
        <v>26650</v>
      </c>
      <c r="AA9434" t="s">
        <v>26683</v>
      </c>
      <c r="AB9434" t="s">
        <v>33415</v>
      </c>
      <c r="AD9434" t="s">
        <v>44149</v>
      </c>
      <c r="AE9434">
        <v>0</v>
      </c>
      <c r="AH9434">
        <v>0</v>
      </c>
      <c r="AI9434">
        <v>1</v>
      </c>
      <c r="AJ9434">
        <v>0</v>
      </c>
      <c r="AK9434">
        <v>134.93</v>
      </c>
      <c r="AN9434" t="s">
        <v>7439</v>
      </c>
      <c r="AO9434">
        <v>16380</v>
      </c>
      <c r="AU9434">
        <v>1.25</v>
      </c>
      <c r="AV9434" t="s">
        <v>518</v>
      </c>
      <c r="AW9434" t="s">
        <v>46868</v>
      </c>
    </row>
    <row r="9435" spans="1:49">
      <c r="A9435" s="1">
        <f>HYPERLINK("https://lsnyc.legalserver.org/matter/dynamic-profile/view/1883301","18-1883301")</f>
        <v>0</v>
      </c>
      <c r="B9435" t="s">
        <v>279</v>
      </c>
      <c r="C9435" t="s">
        <v>341</v>
      </c>
      <c r="D9435" t="s">
        <v>517</v>
      </c>
      <c r="E9435" t="s">
        <v>675</v>
      </c>
      <c r="F9435" t="s">
        <v>974</v>
      </c>
      <c r="G9435" t="s">
        <v>6230</v>
      </c>
      <c r="H9435" t="s">
        <v>16070</v>
      </c>
      <c r="I9435">
        <v>3</v>
      </c>
      <c r="J9435" t="s">
        <v>18894</v>
      </c>
      <c r="K9435">
        <v>11233</v>
      </c>
      <c r="L9435" t="s">
        <v>18959</v>
      </c>
      <c r="M9435" t="s">
        <v>18959</v>
      </c>
      <c r="N9435" t="s">
        <v>25537</v>
      </c>
      <c r="O9435" t="s">
        <v>26524</v>
      </c>
      <c r="Q9435" t="s">
        <v>26570</v>
      </c>
      <c r="R9435" t="s">
        <v>26578</v>
      </c>
      <c r="S9435" t="s">
        <v>18959</v>
      </c>
      <c r="U9435" t="s">
        <v>26604</v>
      </c>
      <c r="V9435" t="s">
        <v>26612</v>
      </c>
      <c r="X9435">
        <v>700</v>
      </c>
      <c r="Y9435" t="s">
        <v>26652</v>
      </c>
      <c r="Z9435" t="s">
        <v>26657</v>
      </c>
      <c r="AA9435" t="s">
        <v>26683</v>
      </c>
      <c r="AB9435" t="s">
        <v>33416</v>
      </c>
      <c r="AC9435" t="s">
        <v>34508</v>
      </c>
      <c r="AD9435" t="s">
        <v>44150</v>
      </c>
      <c r="AE9435">
        <v>3</v>
      </c>
      <c r="AF9435" t="s">
        <v>45547</v>
      </c>
      <c r="AG9435" t="s">
        <v>45558</v>
      </c>
      <c r="AH9435">
        <v>8</v>
      </c>
      <c r="AI9435">
        <v>1</v>
      </c>
      <c r="AJ9435">
        <v>0</v>
      </c>
      <c r="AK9435">
        <v>0</v>
      </c>
      <c r="AN9435" t="s">
        <v>7439</v>
      </c>
      <c r="AO9435">
        <v>0</v>
      </c>
      <c r="AU9435">
        <v>0.2</v>
      </c>
      <c r="AV9435" t="s">
        <v>675</v>
      </c>
      <c r="AW9435" t="s">
        <v>46842</v>
      </c>
    </row>
    <row r="9436" spans="1:49">
      <c r="A9436" s="1">
        <f>HYPERLINK("https://lsnyc.legalserver.org/matter/dynamic-profile/view/1883268","18-1883268")</f>
        <v>0</v>
      </c>
      <c r="B9436" t="s">
        <v>221</v>
      </c>
      <c r="C9436" t="s">
        <v>341</v>
      </c>
      <c r="D9436" t="s">
        <v>517</v>
      </c>
      <c r="E9436" t="s">
        <v>494</v>
      </c>
      <c r="F9436" t="s">
        <v>2111</v>
      </c>
      <c r="G9436" t="s">
        <v>6958</v>
      </c>
      <c r="H9436" t="s">
        <v>16071</v>
      </c>
      <c r="I9436" t="s">
        <v>18678</v>
      </c>
      <c r="J9436" t="s">
        <v>18901</v>
      </c>
      <c r="K9436">
        <v>11435</v>
      </c>
      <c r="L9436" t="s">
        <v>18958</v>
      </c>
      <c r="M9436" t="s">
        <v>18958</v>
      </c>
      <c r="N9436" t="s">
        <v>25538</v>
      </c>
      <c r="O9436" t="s">
        <v>26524</v>
      </c>
      <c r="P9436" t="s">
        <v>26564</v>
      </c>
      <c r="Q9436" t="s">
        <v>26570</v>
      </c>
      <c r="R9436" t="s">
        <v>26584</v>
      </c>
      <c r="S9436" t="s">
        <v>18959</v>
      </c>
      <c r="U9436" t="s">
        <v>26604</v>
      </c>
      <c r="V9436" t="s">
        <v>26610</v>
      </c>
      <c r="X9436">
        <v>600</v>
      </c>
      <c r="Y9436" t="s">
        <v>26653</v>
      </c>
      <c r="Z9436" t="s">
        <v>26664</v>
      </c>
      <c r="AA9436" t="s">
        <v>26683</v>
      </c>
      <c r="AB9436" t="s">
        <v>33417</v>
      </c>
      <c r="AC9436" t="s">
        <v>36639</v>
      </c>
      <c r="AD9436" t="s">
        <v>44151</v>
      </c>
      <c r="AE9436">
        <v>2</v>
      </c>
      <c r="AF9436" t="s">
        <v>45547</v>
      </c>
      <c r="AG9436" t="s">
        <v>19330</v>
      </c>
      <c r="AH9436">
        <v>34</v>
      </c>
      <c r="AI9436">
        <v>2</v>
      </c>
      <c r="AJ9436">
        <v>1</v>
      </c>
      <c r="AK9436">
        <v>225.72</v>
      </c>
      <c r="AN9436" t="s">
        <v>7439</v>
      </c>
      <c r="AO9436">
        <v>46904</v>
      </c>
      <c r="AU9436">
        <v>3.1</v>
      </c>
      <c r="AV9436" t="s">
        <v>678</v>
      </c>
      <c r="AW9436" t="s">
        <v>161</v>
      </c>
    </row>
    <row r="9437" spans="1:49">
      <c r="A9437" s="1">
        <f>HYPERLINK("https://lsnyc.legalserver.org/matter/dynamic-profile/view/1883234","18-1883234")</f>
        <v>0</v>
      </c>
      <c r="B9437" t="s">
        <v>110</v>
      </c>
      <c r="C9437" t="s">
        <v>340</v>
      </c>
      <c r="D9437" t="s">
        <v>517</v>
      </c>
      <c r="F9437" t="s">
        <v>1241</v>
      </c>
      <c r="G9437" t="s">
        <v>9043</v>
      </c>
      <c r="H9437" t="s">
        <v>16072</v>
      </c>
      <c r="I9437" t="s">
        <v>17362</v>
      </c>
      <c r="J9437" t="s">
        <v>18923</v>
      </c>
      <c r="K9437">
        <v>11418</v>
      </c>
      <c r="L9437" t="s">
        <v>18960</v>
      </c>
      <c r="M9437" t="s">
        <v>18960</v>
      </c>
      <c r="O9437" t="s">
        <v>18997</v>
      </c>
      <c r="R9437" t="s">
        <v>26591</v>
      </c>
      <c r="U9437" t="s">
        <v>26604</v>
      </c>
      <c r="X9437">
        <v>1360</v>
      </c>
      <c r="Y9437" t="s">
        <v>26653</v>
      </c>
      <c r="AB9437" t="s">
        <v>33418</v>
      </c>
      <c r="AD9437" t="s">
        <v>44152</v>
      </c>
      <c r="AE9437">
        <v>0</v>
      </c>
      <c r="AG9437" t="s">
        <v>45559</v>
      </c>
      <c r="AH9437">
        <v>9</v>
      </c>
      <c r="AI9437">
        <v>1</v>
      </c>
      <c r="AJ9437">
        <v>0</v>
      </c>
      <c r="AK9437">
        <v>81.05</v>
      </c>
      <c r="AN9437" t="s">
        <v>45586</v>
      </c>
      <c r="AO9437">
        <v>9840</v>
      </c>
      <c r="AU9437">
        <v>1.2</v>
      </c>
      <c r="AV9437" t="s">
        <v>692</v>
      </c>
      <c r="AW9437" t="s">
        <v>46859</v>
      </c>
    </row>
    <row r="9438" spans="1:49">
      <c r="A9438" s="1">
        <f>HYPERLINK("https://lsnyc.legalserver.org/matter/dynamic-profile/view/1883232","18-1883232")</f>
        <v>0</v>
      </c>
      <c r="B9438" t="s">
        <v>200</v>
      </c>
      <c r="C9438" t="s">
        <v>340</v>
      </c>
      <c r="D9438" t="s">
        <v>517</v>
      </c>
      <c r="F9438" t="s">
        <v>4561</v>
      </c>
      <c r="G9438" t="s">
        <v>5164</v>
      </c>
      <c r="H9438" t="s">
        <v>16073</v>
      </c>
      <c r="I9438">
        <v>2</v>
      </c>
      <c r="J9438" t="s">
        <v>18894</v>
      </c>
      <c r="K9438">
        <v>11207</v>
      </c>
      <c r="L9438" t="s">
        <v>18960</v>
      </c>
      <c r="M9438" t="s">
        <v>18960</v>
      </c>
      <c r="R9438" t="s">
        <v>26578</v>
      </c>
      <c r="U9438" t="s">
        <v>26604</v>
      </c>
      <c r="X9438">
        <v>2020</v>
      </c>
      <c r="Y9438" t="s">
        <v>26652</v>
      </c>
      <c r="AB9438" t="s">
        <v>27195</v>
      </c>
      <c r="AD9438" t="s">
        <v>44153</v>
      </c>
      <c r="AE9438">
        <v>2</v>
      </c>
      <c r="AG9438" t="s">
        <v>45557</v>
      </c>
      <c r="AH9438">
        <v>1</v>
      </c>
      <c r="AI9438">
        <v>2</v>
      </c>
      <c r="AJ9438">
        <v>4</v>
      </c>
      <c r="AK9438">
        <v>39.15</v>
      </c>
      <c r="AN9438" t="s">
        <v>7439</v>
      </c>
      <c r="AO9438">
        <v>13208</v>
      </c>
      <c r="AU9438">
        <v>1</v>
      </c>
      <c r="AV9438" t="s">
        <v>517</v>
      </c>
      <c r="AW9438" t="s">
        <v>46857</v>
      </c>
    </row>
    <row r="9439" spans="1:49">
      <c r="A9439" s="1">
        <f>HYPERLINK("https://lsnyc.legalserver.org/matter/dynamic-profile/view/1883332","18-1883332")</f>
        <v>0</v>
      </c>
      <c r="B9439" t="s">
        <v>200</v>
      </c>
      <c r="C9439" t="s">
        <v>340</v>
      </c>
      <c r="D9439" t="s">
        <v>517</v>
      </c>
      <c r="F9439" t="s">
        <v>1480</v>
      </c>
      <c r="G9439" t="s">
        <v>4693</v>
      </c>
      <c r="H9439" t="s">
        <v>16074</v>
      </c>
      <c r="I9439">
        <v>934</v>
      </c>
      <c r="J9439" t="s">
        <v>18894</v>
      </c>
      <c r="K9439">
        <v>11217</v>
      </c>
      <c r="L9439" t="s">
        <v>18960</v>
      </c>
      <c r="M9439" t="s">
        <v>18960</v>
      </c>
      <c r="O9439" t="s">
        <v>26526</v>
      </c>
      <c r="R9439" t="s">
        <v>26578</v>
      </c>
      <c r="S9439" t="s">
        <v>18959</v>
      </c>
      <c r="U9439" t="s">
        <v>26604</v>
      </c>
      <c r="X9439">
        <v>800</v>
      </c>
      <c r="Y9439" t="s">
        <v>26652</v>
      </c>
      <c r="Z9439" t="s">
        <v>26530</v>
      </c>
      <c r="AB9439" t="s">
        <v>33379</v>
      </c>
      <c r="AE9439">
        <v>400</v>
      </c>
      <c r="AF9439" t="s">
        <v>20460</v>
      </c>
      <c r="AG9439" t="s">
        <v>45562</v>
      </c>
      <c r="AH9439">
        <v>2</v>
      </c>
      <c r="AI9439">
        <v>1</v>
      </c>
      <c r="AJ9439">
        <v>0</v>
      </c>
      <c r="AK9439">
        <v>118.81</v>
      </c>
      <c r="AN9439" t="s">
        <v>7439</v>
      </c>
      <c r="AO9439">
        <v>14424</v>
      </c>
      <c r="AU9439">
        <v>0.5</v>
      </c>
      <c r="AV9439" t="s">
        <v>517</v>
      </c>
      <c r="AW9439" t="s">
        <v>46841</v>
      </c>
    </row>
    <row r="9440" spans="1:49">
      <c r="A9440" s="1">
        <f>HYPERLINK("https://lsnyc.legalserver.org/matter/dynamic-profile/view/1883312","18-1883312")</f>
        <v>0</v>
      </c>
      <c r="B9440" t="s">
        <v>142</v>
      </c>
      <c r="C9440" t="s">
        <v>340</v>
      </c>
      <c r="D9440" t="s">
        <v>517</v>
      </c>
      <c r="F9440" t="s">
        <v>4562</v>
      </c>
      <c r="G9440" t="s">
        <v>5336</v>
      </c>
      <c r="H9440" t="s">
        <v>16075</v>
      </c>
      <c r="J9440" t="s">
        <v>18939</v>
      </c>
      <c r="K9440">
        <v>11423</v>
      </c>
      <c r="L9440" t="s">
        <v>18958</v>
      </c>
      <c r="M9440" t="s">
        <v>18958</v>
      </c>
      <c r="N9440" t="s">
        <v>25539</v>
      </c>
      <c r="O9440" t="s">
        <v>26524</v>
      </c>
      <c r="P9440" t="s">
        <v>26563</v>
      </c>
      <c r="R9440" t="s">
        <v>26584</v>
      </c>
      <c r="S9440" t="s">
        <v>18959</v>
      </c>
      <c r="U9440" t="s">
        <v>26604</v>
      </c>
      <c r="X9440">
        <v>1500</v>
      </c>
      <c r="Y9440" t="s">
        <v>26653</v>
      </c>
      <c r="Z9440" t="s">
        <v>26664</v>
      </c>
      <c r="AB9440" t="s">
        <v>28378</v>
      </c>
      <c r="AC9440">
        <v>15382607</v>
      </c>
      <c r="AD9440" t="s">
        <v>44154</v>
      </c>
      <c r="AE9440">
        <v>0</v>
      </c>
      <c r="AF9440" t="s">
        <v>20460</v>
      </c>
      <c r="AG9440" t="s">
        <v>19330</v>
      </c>
      <c r="AH9440">
        <v>7</v>
      </c>
      <c r="AI9440">
        <v>3</v>
      </c>
      <c r="AJ9440">
        <v>2</v>
      </c>
      <c r="AK9440">
        <v>101.97</v>
      </c>
      <c r="AN9440" t="s">
        <v>7439</v>
      </c>
      <c r="AO9440">
        <v>30000</v>
      </c>
      <c r="AU9440">
        <v>1.1</v>
      </c>
      <c r="AV9440" t="s">
        <v>697</v>
      </c>
      <c r="AW9440" t="s">
        <v>208</v>
      </c>
    </row>
    <row r="9441" spans="1:49">
      <c r="A9441" s="1">
        <f>HYPERLINK("https://lsnyc.legalserver.org/matter/dynamic-profile/view/1883423","18-1883423")</f>
        <v>0</v>
      </c>
      <c r="B9441" t="s">
        <v>257</v>
      </c>
      <c r="C9441" t="s">
        <v>341</v>
      </c>
      <c r="D9441" t="s">
        <v>662</v>
      </c>
      <c r="E9441" t="s">
        <v>682</v>
      </c>
      <c r="F9441" t="s">
        <v>995</v>
      </c>
      <c r="G9441" t="s">
        <v>9044</v>
      </c>
      <c r="H9441" t="s">
        <v>16076</v>
      </c>
      <c r="I9441" t="s">
        <v>17699</v>
      </c>
      <c r="J9441" t="s">
        <v>18894</v>
      </c>
      <c r="K9441">
        <v>11215</v>
      </c>
      <c r="L9441" t="s">
        <v>18960</v>
      </c>
      <c r="M9441" t="s">
        <v>18960</v>
      </c>
      <c r="O9441" t="s">
        <v>18997</v>
      </c>
      <c r="Q9441" t="s">
        <v>26570</v>
      </c>
      <c r="R9441" t="s">
        <v>26583</v>
      </c>
      <c r="S9441" t="s">
        <v>18959</v>
      </c>
      <c r="U9441" t="s">
        <v>26604</v>
      </c>
      <c r="X9441">
        <v>900</v>
      </c>
      <c r="Y9441" t="s">
        <v>26652</v>
      </c>
      <c r="Z9441" t="s">
        <v>26657</v>
      </c>
      <c r="AA9441" t="s">
        <v>26683</v>
      </c>
      <c r="AB9441" t="s">
        <v>26859</v>
      </c>
      <c r="AD9441" t="s">
        <v>44155</v>
      </c>
      <c r="AE9441">
        <v>1</v>
      </c>
      <c r="AF9441" t="s">
        <v>20460</v>
      </c>
      <c r="AG9441" t="s">
        <v>19330</v>
      </c>
      <c r="AH9441">
        <v>3</v>
      </c>
      <c r="AI9441">
        <v>2</v>
      </c>
      <c r="AJ9441">
        <v>0</v>
      </c>
      <c r="AK9441">
        <v>200.12</v>
      </c>
      <c r="AN9441" t="s">
        <v>7439</v>
      </c>
      <c r="AO9441">
        <v>32940</v>
      </c>
      <c r="AU9441">
        <v>2.1</v>
      </c>
      <c r="AV9441" t="s">
        <v>669</v>
      </c>
      <c r="AW9441" t="s">
        <v>46829</v>
      </c>
    </row>
    <row r="9442" spans="1:49">
      <c r="A9442" s="1">
        <f>HYPERLINK("https://lsnyc.legalserver.org/matter/dynamic-profile/view/1883314","18-1883314")</f>
        <v>0</v>
      </c>
      <c r="B9442" t="s">
        <v>309</v>
      </c>
      <c r="C9442" t="s">
        <v>341</v>
      </c>
      <c r="D9442" t="s">
        <v>662</v>
      </c>
      <c r="E9442" t="s">
        <v>767</v>
      </c>
      <c r="F9442" t="s">
        <v>2543</v>
      </c>
      <c r="G9442" t="s">
        <v>3190</v>
      </c>
      <c r="H9442" t="s">
        <v>16077</v>
      </c>
      <c r="J9442" t="s">
        <v>18892</v>
      </c>
      <c r="K9442">
        <v>10472</v>
      </c>
      <c r="L9442" t="s">
        <v>18960</v>
      </c>
      <c r="M9442" t="s">
        <v>18960</v>
      </c>
      <c r="O9442" t="s">
        <v>26526</v>
      </c>
      <c r="Q9442" t="s">
        <v>26571</v>
      </c>
      <c r="R9442" t="s">
        <v>26591</v>
      </c>
      <c r="S9442" t="s">
        <v>18959</v>
      </c>
      <c r="U9442" t="s">
        <v>26604</v>
      </c>
      <c r="X9442">
        <v>1396.38</v>
      </c>
      <c r="Y9442" t="s">
        <v>26651</v>
      </c>
      <c r="Z9442" t="s">
        <v>26655</v>
      </c>
      <c r="AA9442" t="s">
        <v>26683</v>
      </c>
      <c r="AB9442" t="s">
        <v>32666</v>
      </c>
      <c r="AD9442" t="s">
        <v>44156</v>
      </c>
      <c r="AE9442">
        <v>90</v>
      </c>
      <c r="AF9442" t="s">
        <v>20460</v>
      </c>
      <c r="AG9442" t="s">
        <v>45561</v>
      </c>
      <c r="AH9442">
        <v>2</v>
      </c>
      <c r="AI9442">
        <v>2</v>
      </c>
      <c r="AJ9442">
        <v>0</v>
      </c>
      <c r="AK9442">
        <v>58.32</v>
      </c>
      <c r="AN9442" t="s">
        <v>7439</v>
      </c>
      <c r="AO9442">
        <v>9600</v>
      </c>
      <c r="AU9442">
        <v>7</v>
      </c>
      <c r="AV9442" t="s">
        <v>767</v>
      </c>
      <c r="AW9442" t="s">
        <v>46843</v>
      </c>
    </row>
    <row r="9443" spans="1:49">
      <c r="A9443" s="1">
        <f>HYPERLINK("https://lsnyc.legalserver.org/matter/dynamic-profile/view/1883396","18-1883396")</f>
        <v>0</v>
      </c>
      <c r="B9443" t="s">
        <v>209</v>
      </c>
      <c r="C9443" t="s">
        <v>341</v>
      </c>
      <c r="D9443" t="s">
        <v>662</v>
      </c>
      <c r="E9443" t="s">
        <v>703</v>
      </c>
      <c r="F9443" t="s">
        <v>2018</v>
      </c>
      <c r="G9443" t="s">
        <v>9045</v>
      </c>
      <c r="H9443" t="s">
        <v>16078</v>
      </c>
      <c r="I9443" t="s">
        <v>18002</v>
      </c>
      <c r="J9443" t="s">
        <v>18898</v>
      </c>
      <c r="K9443">
        <v>11691</v>
      </c>
      <c r="L9443" t="s">
        <v>18960</v>
      </c>
      <c r="M9443" t="s">
        <v>18960</v>
      </c>
      <c r="N9443" t="s">
        <v>25540</v>
      </c>
      <c r="P9443" t="s">
        <v>26564</v>
      </c>
      <c r="Q9443" t="s">
        <v>26570</v>
      </c>
      <c r="R9443" t="s">
        <v>26591</v>
      </c>
      <c r="U9443" t="s">
        <v>26604</v>
      </c>
      <c r="X9443">
        <v>950</v>
      </c>
      <c r="Y9443" t="s">
        <v>26653</v>
      </c>
      <c r="Z9443" t="s">
        <v>26673</v>
      </c>
      <c r="AA9443" t="s">
        <v>26683</v>
      </c>
      <c r="AB9443" t="s">
        <v>33419</v>
      </c>
      <c r="AD9443" t="s">
        <v>44157</v>
      </c>
      <c r="AE9443">
        <v>2</v>
      </c>
      <c r="AF9443" t="s">
        <v>20460</v>
      </c>
      <c r="AH9443">
        <v>18</v>
      </c>
      <c r="AI9443">
        <v>3</v>
      </c>
      <c r="AJ9443">
        <v>1</v>
      </c>
      <c r="AK9443">
        <v>67.33</v>
      </c>
      <c r="AN9443" t="s">
        <v>7439</v>
      </c>
      <c r="AO9443">
        <v>16900</v>
      </c>
      <c r="AU9443">
        <v>0.7</v>
      </c>
      <c r="AV9443" t="s">
        <v>669</v>
      </c>
      <c r="AW9443" t="s">
        <v>46849</v>
      </c>
    </row>
    <row r="9444" spans="1:49">
      <c r="A9444" s="1">
        <f>HYPERLINK("https://lsnyc.legalserver.org/matter/dynamic-profile/view/1883440","18-1883440")</f>
        <v>0</v>
      </c>
      <c r="B9444" t="s">
        <v>198</v>
      </c>
      <c r="C9444" t="s">
        <v>340</v>
      </c>
      <c r="D9444" t="s">
        <v>662</v>
      </c>
      <c r="F9444" t="s">
        <v>4563</v>
      </c>
      <c r="G9444" t="s">
        <v>968</v>
      </c>
      <c r="H9444" t="s">
        <v>16079</v>
      </c>
      <c r="I9444">
        <v>1</v>
      </c>
      <c r="J9444" t="s">
        <v>18894</v>
      </c>
      <c r="K9444">
        <v>11203</v>
      </c>
      <c r="L9444" t="s">
        <v>18960</v>
      </c>
      <c r="M9444" t="s">
        <v>18960</v>
      </c>
      <c r="R9444" t="s">
        <v>26578</v>
      </c>
      <c r="U9444" t="s">
        <v>26604</v>
      </c>
      <c r="X9444">
        <v>0</v>
      </c>
      <c r="Y9444" t="s">
        <v>26652</v>
      </c>
      <c r="AB9444" t="s">
        <v>27734</v>
      </c>
      <c r="AE9444">
        <v>0</v>
      </c>
      <c r="AH9444">
        <v>0</v>
      </c>
      <c r="AI9444">
        <v>5</v>
      </c>
      <c r="AJ9444">
        <v>1</v>
      </c>
      <c r="AK9444">
        <v>106.7</v>
      </c>
      <c r="AN9444" t="s">
        <v>45587</v>
      </c>
      <c r="AO9444">
        <v>36000</v>
      </c>
      <c r="AU9444">
        <v>0.6</v>
      </c>
      <c r="AV9444" t="s">
        <v>662</v>
      </c>
      <c r="AW9444" t="s">
        <v>198</v>
      </c>
    </row>
    <row r="9445" spans="1:49">
      <c r="A9445" s="1">
        <f>HYPERLINK("https://lsnyc.legalserver.org/matter/dynamic-profile/view/1883361","18-1883361")</f>
        <v>0</v>
      </c>
      <c r="B9445" t="s">
        <v>278</v>
      </c>
      <c r="C9445" t="s">
        <v>341</v>
      </c>
      <c r="D9445" t="s">
        <v>841</v>
      </c>
      <c r="E9445" t="s">
        <v>830</v>
      </c>
      <c r="F9445" t="s">
        <v>1253</v>
      </c>
      <c r="G9445" t="s">
        <v>6616</v>
      </c>
      <c r="H9445" t="s">
        <v>11856</v>
      </c>
      <c r="I9445" t="s">
        <v>17624</v>
      </c>
      <c r="J9445" t="s">
        <v>18902</v>
      </c>
      <c r="K9445">
        <v>10304</v>
      </c>
      <c r="L9445" t="s">
        <v>18960</v>
      </c>
      <c r="M9445" t="s">
        <v>18960</v>
      </c>
      <c r="N9445" t="s">
        <v>25541</v>
      </c>
      <c r="O9445" t="s">
        <v>26523</v>
      </c>
      <c r="P9445" t="s">
        <v>26560</v>
      </c>
      <c r="Q9445" t="s">
        <v>26568</v>
      </c>
      <c r="R9445" t="s">
        <v>26578</v>
      </c>
      <c r="S9445" t="s">
        <v>18959</v>
      </c>
      <c r="U9445" t="s">
        <v>26604</v>
      </c>
      <c r="V9445" t="s">
        <v>26610</v>
      </c>
      <c r="X9445">
        <v>0</v>
      </c>
      <c r="Y9445" t="s">
        <v>26654</v>
      </c>
      <c r="AA9445" t="s">
        <v>26687</v>
      </c>
      <c r="AB9445" t="s">
        <v>29120</v>
      </c>
      <c r="AD9445" t="s">
        <v>39174</v>
      </c>
      <c r="AE9445">
        <v>0</v>
      </c>
      <c r="AH9445">
        <v>3</v>
      </c>
      <c r="AI9445">
        <v>1</v>
      </c>
      <c r="AJ9445">
        <v>0</v>
      </c>
      <c r="AK9445">
        <v>282.27</v>
      </c>
      <c r="AN9445" t="s">
        <v>7439</v>
      </c>
      <c r="AO9445">
        <v>34268</v>
      </c>
      <c r="AU9445">
        <v>22.6</v>
      </c>
      <c r="AV9445" t="s">
        <v>830</v>
      </c>
      <c r="AW9445" t="s">
        <v>46852</v>
      </c>
    </row>
    <row r="9446" spans="1:49">
      <c r="A9446" s="1">
        <f>HYPERLINK("https://lsnyc.legalserver.org/matter/dynamic-profile/view/1883516","18-1883516")</f>
        <v>0</v>
      </c>
      <c r="B9446" t="s">
        <v>262</v>
      </c>
      <c r="C9446" t="s">
        <v>341</v>
      </c>
      <c r="D9446" t="s">
        <v>664</v>
      </c>
      <c r="E9446" t="s">
        <v>808</v>
      </c>
      <c r="F9446" t="s">
        <v>4564</v>
      </c>
      <c r="G9446" t="s">
        <v>9046</v>
      </c>
      <c r="H9446" t="s">
        <v>16080</v>
      </c>
      <c r="I9446" t="s">
        <v>17484</v>
      </c>
      <c r="J9446" t="s">
        <v>18895</v>
      </c>
      <c r="K9446">
        <v>10475</v>
      </c>
      <c r="L9446" t="s">
        <v>18958</v>
      </c>
      <c r="M9446" t="s">
        <v>18958</v>
      </c>
      <c r="N9446" t="s">
        <v>25542</v>
      </c>
      <c r="O9446" t="s">
        <v>26524</v>
      </c>
      <c r="P9446" t="s">
        <v>26564</v>
      </c>
      <c r="Q9446" t="s">
        <v>26570</v>
      </c>
      <c r="R9446" t="s">
        <v>26583</v>
      </c>
      <c r="U9446" t="s">
        <v>26604</v>
      </c>
      <c r="V9446" t="s">
        <v>26610</v>
      </c>
      <c r="X9446">
        <v>960</v>
      </c>
      <c r="Y9446" t="s">
        <v>26650</v>
      </c>
      <c r="Z9446" t="s">
        <v>26657</v>
      </c>
      <c r="AA9446" t="s">
        <v>26679</v>
      </c>
      <c r="AB9446" t="s">
        <v>33420</v>
      </c>
      <c r="AD9446" t="s">
        <v>44158</v>
      </c>
      <c r="AE9446">
        <v>0</v>
      </c>
      <c r="AF9446" t="s">
        <v>45550</v>
      </c>
      <c r="AH9446">
        <v>16</v>
      </c>
      <c r="AI9446">
        <v>1</v>
      </c>
      <c r="AJ9446">
        <v>0</v>
      </c>
      <c r="AK9446">
        <v>342.67</v>
      </c>
      <c r="AN9446" t="s">
        <v>7439</v>
      </c>
      <c r="AO9446">
        <v>41600</v>
      </c>
      <c r="AP9446" t="s">
        <v>46168</v>
      </c>
      <c r="AU9446">
        <v>5.9</v>
      </c>
      <c r="AV9446" t="s">
        <v>808</v>
      </c>
      <c r="AW9446" t="s">
        <v>334</v>
      </c>
    </row>
    <row r="9447" spans="1:49">
      <c r="A9447" s="1">
        <f>HYPERLINK("https://lsnyc.legalserver.org/matter/dynamic-profile/view/1883547","18-1883547")</f>
        <v>0</v>
      </c>
      <c r="B9447" t="s">
        <v>203</v>
      </c>
      <c r="C9447" t="s">
        <v>341</v>
      </c>
      <c r="D9447" t="s">
        <v>664</v>
      </c>
      <c r="E9447" t="s">
        <v>458</v>
      </c>
      <c r="F9447" t="s">
        <v>4565</v>
      </c>
      <c r="G9447" t="s">
        <v>9047</v>
      </c>
      <c r="H9447" t="s">
        <v>16081</v>
      </c>
      <c r="I9447">
        <v>2</v>
      </c>
      <c r="J9447" t="s">
        <v>18894</v>
      </c>
      <c r="K9447">
        <v>11234</v>
      </c>
      <c r="L9447" t="s">
        <v>18958</v>
      </c>
      <c r="M9447" t="s">
        <v>18958</v>
      </c>
      <c r="N9447" t="s">
        <v>25543</v>
      </c>
      <c r="O9447" t="s">
        <v>26524</v>
      </c>
      <c r="P9447" t="s">
        <v>26560</v>
      </c>
      <c r="Q9447" t="s">
        <v>26568</v>
      </c>
      <c r="R9447" t="s">
        <v>26583</v>
      </c>
      <c r="U9447" t="s">
        <v>26604</v>
      </c>
      <c r="X9447">
        <v>1450</v>
      </c>
      <c r="Y9447" t="s">
        <v>26652</v>
      </c>
      <c r="Z9447" t="s">
        <v>26669</v>
      </c>
      <c r="AA9447" t="s">
        <v>26678</v>
      </c>
      <c r="AB9447" t="s">
        <v>33421</v>
      </c>
      <c r="AD9447" t="s">
        <v>44159</v>
      </c>
      <c r="AE9447">
        <v>0</v>
      </c>
      <c r="AG9447" t="s">
        <v>19330</v>
      </c>
      <c r="AH9447">
        <v>12</v>
      </c>
      <c r="AI9447">
        <v>3</v>
      </c>
      <c r="AJ9447">
        <v>0</v>
      </c>
      <c r="AK9447">
        <v>242.54</v>
      </c>
      <c r="AN9447" t="s">
        <v>7439</v>
      </c>
      <c r="AO9447">
        <v>50400</v>
      </c>
      <c r="AU9447">
        <v>0.1</v>
      </c>
      <c r="AV9447" t="s">
        <v>458</v>
      </c>
      <c r="AW9447" t="s">
        <v>281</v>
      </c>
    </row>
    <row r="9448" spans="1:49">
      <c r="A9448" s="1">
        <f>HYPERLINK("https://lsnyc.legalserver.org/matter/dynamic-profile/view/1883750","18-1883750")</f>
        <v>0</v>
      </c>
      <c r="B9448" t="s">
        <v>124</v>
      </c>
      <c r="C9448" t="s">
        <v>341</v>
      </c>
      <c r="D9448" t="s">
        <v>664</v>
      </c>
      <c r="E9448" t="s">
        <v>494</v>
      </c>
      <c r="F9448" t="s">
        <v>4566</v>
      </c>
      <c r="G9448" t="s">
        <v>5307</v>
      </c>
      <c r="H9448" t="s">
        <v>16082</v>
      </c>
      <c r="I9448" t="s">
        <v>18679</v>
      </c>
      <c r="J9448" t="s">
        <v>18894</v>
      </c>
      <c r="K9448">
        <v>11212</v>
      </c>
      <c r="L9448" t="s">
        <v>18960</v>
      </c>
      <c r="M9448" t="s">
        <v>18960</v>
      </c>
      <c r="Q9448" t="s">
        <v>26571</v>
      </c>
      <c r="R9448" t="s">
        <v>26586</v>
      </c>
      <c r="U9448" t="s">
        <v>26604</v>
      </c>
      <c r="X9448">
        <v>0</v>
      </c>
      <c r="Y9448" t="s">
        <v>26652</v>
      </c>
      <c r="AA9448" t="s">
        <v>26683</v>
      </c>
      <c r="AB9448" t="s">
        <v>28408</v>
      </c>
      <c r="AD9448" t="s">
        <v>44160</v>
      </c>
      <c r="AE9448">
        <v>0</v>
      </c>
      <c r="AH9448">
        <v>0</v>
      </c>
      <c r="AI9448">
        <v>1</v>
      </c>
      <c r="AJ9448">
        <v>0</v>
      </c>
      <c r="AK9448">
        <v>158.15</v>
      </c>
      <c r="AN9448" t="s">
        <v>7439</v>
      </c>
      <c r="AO9448">
        <v>19200</v>
      </c>
      <c r="AU9448">
        <v>2.35</v>
      </c>
      <c r="AV9448" t="s">
        <v>803</v>
      </c>
      <c r="AW9448" t="s">
        <v>320</v>
      </c>
    </row>
    <row r="9449" spans="1:49">
      <c r="A9449" s="1">
        <f>HYPERLINK("https://lsnyc.legalserver.org/matter/dynamic-profile/view/1883416","18-1883416")</f>
        <v>0</v>
      </c>
      <c r="B9449" t="s">
        <v>121</v>
      </c>
      <c r="C9449" t="s">
        <v>341</v>
      </c>
      <c r="D9449" t="s">
        <v>664</v>
      </c>
      <c r="E9449" t="s">
        <v>494</v>
      </c>
      <c r="F9449" t="s">
        <v>1919</v>
      </c>
      <c r="G9449" t="s">
        <v>5438</v>
      </c>
      <c r="H9449" t="s">
        <v>11246</v>
      </c>
      <c r="I9449" t="s">
        <v>17308</v>
      </c>
      <c r="J9449" t="s">
        <v>18892</v>
      </c>
      <c r="K9449">
        <v>10467</v>
      </c>
      <c r="L9449" t="s">
        <v>18958</v>
      </c>
      <c r="M9449" t="s">
        <v>18958</v>
      </c>
      <c r="N9449" t="s">
        <v>25544</v>
      </c>
      <c r="O9449" t="s">
        <v>26524</v>
      </c>
      <c r="P9449" t="s">
        <v>26564</v>
      </c>
      <c r="Q9449" t="s">
        <v>26570</v>
      </c>
      <c r="R9449" t="s">
        <v>26592</v>
      </c>
      <c r="U9449" t="s">
        <v>26604</v>
      </c>
      <c r="V9449" t="s">
        <v>26612</v>
      </c>
      <c r="X9449">
        <v>380</v>
      </c>
      <c r="Y9449" t="s">
        <v>26650</v>
      </c>
      <c r="Z9449" t="s">
        <v>26664</v>
      </c>
      <c r="AA9449" t="s">
        <v>26683</v>
      </c>
      <c r="AB9449" t="s">
        <v>33422</v>
      </c>
      <c r="AC9449" t="s">
        <v>36640</v>
      </c>
      <c r="AD9449" t="s">
        <v>44161</v>
      </c>
      <c r="AE9449">
        <v>0</v>
      </c>
      <c r="AF9449" t="s">
        <v>45547</v>
      </c>
      <c r="AG9449" t="s">
        <v>45561</v>
      </c>
      <c r="AH9449">
        <v>7</v>
      </c>
      <c r="AI9449">
        <v>1</v>
      </c>
      <c r="AJ9449">
        <v>0</v>
      </c>
      <c r="AK9449">
        <v>40.26</v>
      </c>
      <c r="AO9449">
        <v>4888</v>
      </c>
      <c r="AP9449" t="s">
        <v>46169</v>
      </c>
      <c r="AU9449">
        <v>2.8</v>
      </c>
      <c r="AV9449" t="s">
        <v>666</v>
      </c>
      <c r="AW9449" t="s">
        <v>334</v>
      </c>
    </row>
    <row r="9450" spans="1:49">
      <c r="A9450" s="1">
        <f>HYPERLINK("https://lsnyc.legalserver.org/matter/dynamic-profile/view/1881455","18-1881455")</f>
        <v>0</v>
      </c>
      <c r="B9450" t="s">
        <v>201</v>
      </c>
      <c r="C9450" t="s">
        <v>341</v>
      </c>
      <c r="D9450" t="s">
        <v>664</v>
      </c>
      <c r="E9450" t="s">
        <v>574</v>
      </c>
      <c r="F9450" t="s">
        <v>948</v>
      </c>
      <c r="G9450" t="s">
        <v>6071</v>
      </c>
      <c r="H9450" t="s">
        <v>16083</v>
      </c>
      <c r="J9450" t="s">
        <v>18894</v>
      </c>
      <c r="K9450">
        <v>11213</v>
      </c>
      <c r="L9450" t="s">
        <v>18960</v>
      </c>
      <c r="M9450" t="s">
        <v>18960</v>
      </c>
      <c r="Q9450" t="s">
        <v>26570</v>
      </c>
      <c r="R9450" t="s">
        <v>26591</v>
      </c>
      <c r="U9450" t="s">
        <v>26604</v>
      </c>
      <c r="X9450">
        <v>0</v>
      </c>
      <c r="Y9450" t="s">
        <v>26652</v>
      </c>
      <c r="AA9450" t="s">
        <v>26683</v>
      </c>
      <c r="AB9450" t="s">
        <v>33423</v>
      </c>
      <c r="AE9450">
        <v>0</v>
      </c>
      <c r="AH9450">
        <v>0</v>
      </c>
      <c r="AI9450">
        <v>1</v>
      </c>
      <c r="AJ9450">
        <v>0</v>
      </c>
      <c r="AK9450">
        <v>35.88</v>
      </c>
      <c r="AN9450" t="s">
        <v>7439</v>
      </c>
      <c r="AO9450">
        <v>4356</v>
      </c>
      <c r="AU9450">
        <v>3.05</v>
      </c>
      <c r="AV9450" t="s">
        <v>574</v>
      </c>
      <c r="AW9450" t="s">
        <v>46874</v>
      </c>
    </row>
    <row r="9451" spans="1:49">
      <c r="A9451" s="1">
        <f>HYPERLINK("https://lsnyc.legalserver.org/matter/dynamic-profile/view/1883492","18-1883492")</f>
        <v>0</v>
      </c>
      <c r="B9451" t="s">
        <v>198</v>
      </c>
      <c r="C9451" t="s">
        <v>341</v>
      </c>
      <c r="D9451" t="s">
        <v>664</v>
      </c>
      <c r="E9451" t="s">
        <v>758</v>
      </c>
      <c r="F9451" t="s">
        <v>1756</v>
      </c>
      <c r="G9451" t="s">
        <v>9048</v>
      </c>
      <c r="H9451" t="s">
        <v>16084</v>
      </c>
      <c r="I9451" t="s">
        <v>17322</v>
      </c>
      <c r="J9451" t="s">
        <v>18894</v>
      </c>
      <c r="K9451">
        <v>11225</v>
      </c>
      <c r="L9451" t="s">
        <v>18960</v>
      </c>
      <c r="M9451" t="s">
        <v>18960</v>
      </c>
      <c r="Q9451" t="s">
        <v>26570</v>
      </c>
      <c r="R9451" t="s">
        <v>26578</v>
      </c>
      <c r="U9451" t="s">
        <v>26604</v>
      </c>
      <c r="X9451">
        <v>0</v>
      </c>
      <c r="Y9451" t="s">
        <v>26652</v>
      </c>
      <c r="AA9451" t="s">
        <v>26683</v>
      </c>
      <c r="AB9451" t="s">
        <v>27602</v>
      </c>
      <c r="AD9451" t="s">
        <v>44162</v>
      </c>
      <c r="AE9451">
        <v>0</v>
      </c>
      <c r="AH9451">
        <v>0</v>
      </c>
      <c r="AI9451">
        <v>1</v>
      </c>
      <c r="AJ9451">
        <v>0</v>
      </c>
      <c r="AK9451">
        <v>0</v>
      </c>
      <c r="AN9451" t="s">
        <v>7439</v>
      </c>
      <c r="AO9451">
        <v>0</v>
      </c>
      <c r="AU9451">
        <v>1.1</v>
      </c>
      <c r="AV9451" t="s">
        <v>665</v>
      </c>
      <c r="AW9451" t="s">
        <v>198</v>
      </c>
    </row>
    <row r="9452" spans="1:49">
      <c r="A9452" s="1">
        <f>HYPERLINK("https://lsnyc.legalserver.org/matter/dynamic-profile/view/1883539","18-1883539")</f>
        <v>0</v>
      </c>
      <c r="B9452" t="s">
        <v>198</v>
      </c>
      <c r="C9452" t="s">
        <v>340</v>
      </c>
      <c r="D9452" t="s">
        <v>664</v>
      </c>
      <c r="F9452" t="s">
        <v>4567</v>
      </c>
      <c r="G9452" t="s">
        <v>9049</v>
      </c>
      <c r="H9452" t="s">
        <v>12606</v>
      </c>
      <c r="I9452" t="s">
        <v>17362</v>
      </c>
      <c r="J9452" t="s">
        <v>18894</v>
      </c>
      <c r="K9452">
        <v>11226</v>
      </c>
      <c r="L9452" t="s">
        <v>18960</v>
      </c>
      <c r="M9452" t="s">
        <v>18960</v>
      </c>
      <c r="R9452" t="s">
        <v>26578</v>
      </c>
      <c r="U9452" t="s">
        <v>26604</v>
      </c>
      <c r="X9452">
        <v>0</v>
      </c>
      <c r="Y9452" t="s">
        <v>26652</v>
      </c>
      <c r="AB9452" t="s">
        <v>33424</v>
      </c>
      <c r="AD9452" t="s">
        <v>44163</v>
      </c>
      <c r="AE9452">
        <v>0</v>
      </c>
      <c r="AH9452">
        <v>0</v>
      </c>
      <c r="AI9452">
        <v>2</v>
      </c>
      <c r="AJ9452">
        <v>0</v>
      </c>
      <c r="AK9452">
        <v>0</v>
      </c>
      <c r="AN9452" t="s">
        <v>45585</v>
      </c>
      <c r="AO9452">
        <v>0</v>
      </c>
      <c r="AP9452" t="s">
        <v>46170</v>
      </c>
      <c r="AU9452">
        <v>0.8</v>
      </c>
      <c r="AV9452" t="s">
        <v>669</v>
      </c>
      <c r="AW9452" t="s">
        <v>198</v>
      </c>
    </row>
    <row r="9453" spans="1:49">
      <c r="A9453" s="1">
        <f>HYPERLINK("https://lsnyc.legalserver.org/matter/dynamic-profile/view/1883645","18-1883645")</f>
        <v>0</v>
      </c>
      <c r="B9453" t="s">
        <v>117</v>
      </c>
      <c r="C9453" t="s">
        <v>341</v>
      </c>
      <c r="D9453" t="s">
        <v>603</v>
      </c>
      <c r="E9453" t="s">
        <v>732</v>
      </c>
      <c r="F9453" t="s">
        <v>4568</v>
      </c>
      <c r="G9453" t="s">
        <v>5438</v>
      </c>
      <c r="H9453" t="s">
        <v>16085</v>
      </c>
      <c r="I9453" t="s">
        <v>17332</v>
      </c>
      <c r="J9453" t="s">
        <v>18894</v>
      </c>
      <c r="K9453">
        <v>11233</v>
      </c>
      <c r="L9453" t="s">
        <v>18959</v>
      </c>
      <c r="M9453" t="s">
        <v>18959</v>
      </c>
      <c r="O9453" t="s">
        <v>26549</v>
      </c>
      <c r="P9453" t="s">
        <v>26564</v>
      </c>
      <c r="Q9453" t="s">
        <v>26570</v>
      </c>
      <c r="R9453" t="s">
        <v>26578</v>
      </c>
      <c r="S9453" t="s">
        <v>18959</v>
      </c>
      <c r="U9453" t="s">
        <v>26604</v>
      </c>
      <c r="V9453" t="s">
        <v>26610</v>
      </c>
      <c r="X9453">
        <v>1643</v>
      </c>
      <c r="Y9453" t="s">
        <v>26652</v>
      </c>
      <c r="Z9453" t="s">
        <v>26659</v>
      </c>
      <c r="AA9453" t="s">
        <v>26683</v>
      </c>
      <c r="AB9453" t="s">
        <v>30504</v>
      </c>
      <c r="AC9453" t="s">
        <v>36641</v>
      </c>
      <c r="AD9453" t="s">
        <v>44164</v>
      </c>
      <c r="AE9453">
        <v>6</v>
      </c>
      <c r="AF9453" t="s">
        <v>45541</v>
      </c>
      <c r="AH9453">
        <v>8</v>
      </c>
      <c r="AI9453">
        <v>1</v>
      </c>
      <c r="AJ9453">
        <v>4</v>
      </c>
      <c r="AK9453">
        <v>60.49</v>
      </c>
      <c r="AN9453" t="s">
        <v>7439</v>
      </c>
      <c r="AO9453">
        <v>17796</v>
      </c>
      <c r="AU9453">
        <v>1.5</v>
      </c>
      <c r="AV9453" t="s">
        <v>518</v>
      </c>
      <c r="AW9453" t="s">
        <v>279</v>
      </c>
    </row>
    <row r="9454" spans="1:49">
      <c r="A9454" s="1">
        <f>HYPERLINK("https://lsnyc.legalserver.org/matter/dynamic-profile/view/1883628","18-1883628")</f>
        <v>0</v>
      </c>
      <c r="B9454" t="s">
        <v>180</v>
      </c>
      <c r="C9454" t="s">
        <v>341</v>
      </c>
      <c r="D9454" t="s">
        <v>603</v>
      </c>
      <c r="E9454" t="s">
        <v>789</v>
      </c>
      <c r="F9454" t="s">
        <v>4569</v>
      </c>
      <c r="G9454" t="s">
        <v>9050</v>
      </c>
      <c r="H9454" t="s">
        <v>10101</v>
      </c>
      <c r="I9454" t="s">
        <v>18249</v>
      </c>
      <c r="J9454" t="s">
        <v>18894</v>
      </c>
      <c r="K9454">
        <v>11239</v>
      </c>
      <c r="L9454" t="s">
        <v>18959</v>
      </c>
      <c r="M9454" t="s">
        <v>18960</v>
      </c>
      <c r="N9454" t="s">
        <v>25545</v>
      </c>
      <c r="O9454" t="s">
        <v>26523</v>
      </c>
      <c r="P9454" t="s">
        <v>26560</v>
      </c>
      <c r="Q9454" t="s">
        <v>26568</v>
      </c>
      <c r="R9454" t="s">
        <v>26586</v>
      </c>
      <c r="U9454" t="s">
        <v>26604</v>
      </c>
      <c r="X9454">
        <v>0</v>
      </c>
      <c r="Y9454" t="s">
        <v>26652</v>
      </c>
      <c r="Z9454" t="s">
        <v>26659</v>
      </c>
      <c r="AA9454" t="s">
        <v>26678</v>
      </c>
      <c r="AB9454" t="s">
        <v>33425</v>
      </c>
      <c r="AD9454" t="s">
        <v>44165</v>
      </c>
      <c r="AE9454">
        <v>136</v>
      </c>
      <c r="AF9454" t="s">
        <v>45543</v>
      </c>
      <c r="AH9454">
        <v>14</v>
      </c>
      <c r="AI9454">
        <v>2</v>
      </c>
      <c r="AJ9454">
        <v>0</v>
      </c>
      <c r="AK9454">
        <v>21.87</v>
      </c>
      <c r="AN9454" t="s">
        <v>45585</v>
      </c>
      <c r="AO9454">
        <v>3600</v>
      </c>
      <c r="AS9454" t="s">
        <v>46499</v>
      </c>
      <c r="AU9454">
        <v>5.2</v>
      </c>
      <c r="AV9454" t="s">
        <v>813</v>
      </c>
      <c r="AW9454" t="s">
        <v>281</v>
      </c>
    </row>
    <row r="9455" spans="1:49">
      <c r="A9455" s="1">
        <f>HYPERLINK("https://lsnyc.legalserver.org/matter/dynamic-profile/view/1883569","18-1883569")</f>
        <v>0</v>
      </c>
      <c r="B9455" t="s">
        <v>203</v>
      </c>
      <c r="C9455" t="s">
        <v>341</v>
      </c>
      <c r="D9455" t="s">
        <v>603</v>
      </c>
      <c r="E9455" t="s">
        <v>835</v>
      </c>
      <c r="F9455" t="s">
        <v>1248</v>
      </c>
      <c r="G9455" t="s">
        <v>1377</v>
      </c>
      <c r="H9455" t="s">
        <v>16086</v>
      </c>
      <c r="I9455" t="s">
        <v>17646</v>
      </c>
      <c r="J9455" t="s">
        <v>18894</v>
      </c>
      <c r="K9455">
        <v>11226</v>
      </c>
      <c r="L9455" t="s">
        <v>18959</v>
      </c>
      <c r="M9455" t="s">
        <v>18960</v>
      </c>
      <c r="N9455" t="s">
        <v>25546</v>
      </c>
      <c r="O9455" t="s">
        <v>26523</v>
      </c>
      <c r="P9455" t="s">
        <v>26560</v>
      </c>
      <c r="Q9455" t="s">
        <v>26568</v>
      </c>
      <c r="R9455" t="s">
        <v>26588</v>
      </c>
      <c r="U9455" t="s">
        <v>26604</v>
      </c>
      <c r="X9455">
        <v>1373</v>
      </c>
      <c r="Y9455" t="s">
        <v>26652</v>
      </c>
      <c r="Z9455" t="s">
        <v>26664</v>
      </c>
      <c r="AA9455" t="s">
        <v>26678</v>
      </c>
      <c r="AB9455" t="s">
        <v>33426</v>
      </c>
      <c r="AD9455" t="s">
        <v>44166</v>
      </c>
      <c r="AE9455">
        <v>6</v>
      </c>
      <c r="AH9455">
        <v>20</v>
      </c>
      <c r="AI9455">
        <v>2</v>
      </c>
      <c r="AJ9455">
        <v>0</v>
      </c>
      <c r="AK9455">
        <v>142.16</v>
      </c>
      <c r="AN9455" t="s">
        <v>45585</v>
      </c>
      <c r="AO9455">
        <v>23400</v>
      </c>
      <c r="AS9455" t="s">
        <v>46499</v>
      </c>
      <c r="AU9455">
        <v>11.1</v>
      </c>
      <c r="AV9455" t="s">
        <v>781</v>
      </c>
      <c r="AW9455" t="s">
        <v>281</v>
      </c>
    </row>
    <row r="9456" spans="1:49">
      <c r="A9456" s="1">
        <f>HYPERLINK("https://lsnyc.legalserver.org/matter/dynamic-profile/view/1883638","18-1883638")</f>
        <v>0</v>
      </c>
      <c r="B9456" t="s">
        <v>200</v>
      </c>
      <c r="C9456" t="s">
        <v>341</v>
      </c>
      <c r="D9456" t="s">
        <v>603</v>
      </c>
      <c r="E9456" t="s">
        <v>716</v>
      </c>
      <c r="F9456" t="s">
        <v>893</v>
      </c>
      <c r="G9456" t="s">
        <v>6372</v>
      </c>
      <c r="H9456" t="s">
        <v>14981</v>
      </c>
      <c r="I9456" t="s">
        <v>17292</v>
      </c>
      <c r="J9456" t="s">
        <v>18894</v>
      </c>
      <c r="K9456">
        <v>11233</v>
      </c>
      <c r="L9456" t="s">
        <v>18960</v>
      </c>
      <c r="M9456" t="s">
        <v>18960</v>
      </c>
      <c r="N9456" t="s">
        <v>25547</v>
      </c>
      <c r="O9456" t="s">
        <v>26523</v>
      </c>
      <c r="Q9456" t="s">
        <v>26570</v>
      </c>
      <c r="R9456" t="s">
        <v>26578</v>
      </c>
      <c r="S9456" t="s">
        <v>18959</v>
      </c>
      <c r="U9456" t="s">
        <v>26604</v>
      </c>
      <c r="X9456">
        <v>1431</v>
      </c>
      <c r="Y9456" t="s">
        <v>26652</v>
      </c>
      <c r="Z9456" t="s">
        <v>26661</v>
      </c>
      <c r="AA9456" t="s">
        <v>26683</v>
      </c>
      <c r="AB9456" t="s">
        <v>33427</v>
      </c>
      <c r="AD9456" t="s">
        <v>44167</v>
      </c>
      <c r="AE9456">
        <v>287</v>
      </c>
      <c r="AF9456" t="s">
        <v>45541</v>
      </c>
      <c r="AG9456" t="s">
        <v>19330</v>
      </c>
      <c r="AH9456">
        <v>4</v>
      </c>
      <c r="AI9456">
        <v>2</v>
      </c>
      <c r="AJ9456">
        <v>0</v>
      </c>
      <c r="AK9456">
        <v>364.52</v>
      </c>
      <c r="AN9456" t="s">
        <v>7439</v>
      </c>
      <c r="AO9456">
        <v>60000</v>
      </c>
      <c r="AU9456">
        <v>2.8</v>
      </c>
      <c r="AV9456" t="s">
        <v>668</v>
      </c>
      <c r="AW9456" t="s">
        <v>46842</v>
      </c>
    </row>
    <row r="9457" spans="1:49">
      <c r="A9457" s="1">
        <f>HYPERLINK("https://lsnyc.legalserver.org/matter/dynamic-profile/view/1883582","18-1883582")</f>
        <v>0</v>
      </c>
      <c r="B9457" t="s">
        <v>254</v>
      </c>
      <c r="C9457" t="s">
        <v>341</v>
      </c>
      <c r="D9457" t="s">
        <v>603</v>
      </c>
      <c r="E9457" t="s">
        <v>787</v>
      </c>
      <c r="F9457" t="s">
        <v>4570</v>
      </c>
      <c r="G9457" t="s">
        <v>9051</v>
      </c>
      <c r="H9457" t="s">
        <v>16087</v>
      </c>
      <c r="I9457" t="s">
        <v>17401</v>
      </c>
      <c r="J9457" t="s">
        <v>18892</v>
      </c>
      <c r="K9457">
        <v>10462</v>
      </c>
      <c r="L9457" t="s">
        <v>18960</v>
      </c>
      <c r="M9457" t="s">
        <v>18960</v>
      </c>
      <c r="N9457" t="s">
        <v>25548</v>
      </c>
      <c r="O9457" t="s">
        <v>26524</v>
      </c>
      <c r="Q9457" t="s">
        <v>26570</v>
      </c>
      <c r="R9457" t="s">
        <v>26591</v>
      </c>
      <c r="U9457" t="s">
        <v>26604</v>
      </c>
      <c r="X9457">
        <v>1600</v>
      </c>
      <c r="Y9457" t="s">
        <v>26650</v>
      </c>
      <c r="AA9457" t="s">
        <v>26683</v>
      </c>
      <c r="AB9457" t="s">
        <v>32330</v>
      </c>
      <c r="AD9457" t="s">
        <v>44168</v>
      </c>
      <c r="AE9457">
        <v>4</v>
      </c>
      <c r="AF9457" t="s">
        <v>20460</v>
      </c>
      <c r="AH9457">
        <v>10</v>
      </c>
      <c r="AI9457">
        <v>3</v>
      </c>
      <c r="AJ9457">
        <v>1</v>
      </c>
      <c r="AK9457">
        <v>23.9</v>
      </c>
      <c r="AN9457" t="s">
        <v>7439</v>
      </c>
      <c r="AO9457">
        <v>6000</v>
      </c>
      <c r="AP9457" t="s">
        <v>46114</v>
      </c>
      <c r="AU9457">
        <v>1</v>
      </c>
      <c r="AV9457" t="s">
        <v>603</v>
      </c>
      <c r="AW9457" t="s">
        <v>46859</v>
      </c>
    </row>
    <row r="9458" spans="1:49">
      <c r="A9458" s="1">
        <f>HYPERLINK("https://lsnyc.legalserver.org/matter/dynamic-profile/view/1883601","18-1883601")</f>
        <v>0</v>
      </c>
      <c r="B9458" t="s">
        <v>85</v>
      </c>
      <c r="C9458" t="s">
        <v>340</v>
      </c>
      <c r="D9458" t="s">
        <v>603</v>
      </c>
      <c r="F9458" t="s">
        <v>1420</v>
      </c>
      <c r="G9458" t="s">
        <v>9052</v>
      </c>
      <c r="H9458" t="s">
        <v>16088</v>
      </c>
      <c r="I9458" t="s">
        <v>17375</v>
      </c>
      <c r="J9458" t="s">
        <v>7026</v>
      </c>
      <c r="K9458">
        <v>11368</v>
      </c>
      <c r="L9458" t="s">
        <v>18958</v>
      </c>
      <c r="M9458" t="s">
        <v>18958</v>
      </c>
      <c r="N9458" t="s">
        <v>25549</v>
      </c>
      <c r="O9458" t="s">
        <v>26524</v>
      </c>
      <c r="P9458" t="s">
        <v>26564</v>
      </c>
      <c r="R9458" t="s">
        <v>26584</v>
      </c>
      <c r="S9458" t="s">
        <v>18959</v>
      </c>
      <c r="U9458" t="s">
        <v>26604</v>
      </c>
      <c r="X9458">
        <v>1500</v>
      </c>
      <c r="Y9458" t="s">
        <v>26653</v>
      </c>
      <c r="Z9458" t="s">
        <v>26664</v>
      </c>
      <c r="AB9458" t="s">
        <v>33428</v>
      </c>
      <c r="AC9458" t="s">
        <v>36642</v>
      </c>
      <c r="AD9458" t="s">
        <v>44169</v>
      </c>
      <c r="AE9458">
        <v>0</v>
      </c>
      <c r="AF9458" t="s">
        <v>20460</v>
      </c>
      <c r="AG9458" t="s">
        <v>19330</v>
      </c>
      <c r="AH9458">
        <v>14</v>
      </c>
      <c r="AI9458">
        <v>3</v>
      </c>
      <c r="AJ9458">
        <v>2</v>
      </c>
      <c r="AK9458">
        <v>80.90000000000001</v>
      </c>
      <c r="AN9458" t="s">
        <v>45581</v>
      </c>
      <c r="AO9458">
        <v>23800</v>
      </c>
      <c r="AU9458">
        <v>0.2</v>
      </c>
      <c r="AV9458" t="s">
        <v>787</v>
      </c>
      <c r="AW9458" t="s">
        <v>208</v>
      </c>
    </row>
    <row r="9459" spans="1:49">
      <c r="A9459" s="1">
        <f>HYPERLINK("https://lsnyc.legalserver.org/matter/dynamic-profile/view/1883621","18-1883621")</f>
        <v>0</v>
      </c>
      <c r="B9459" t="s">
        <v>85</v>
      </c>
      <c r="C9459" t="s">
        <v>340</v>
      </c>
      <c r="D9459" t="s">
        <v>603</v>
      </c>
      <c r="F9459" t="s">
        <v>1153</v>
      </c>
      <c r="G9459" t="s">
        <v>7516</v>
      </c>
      <c r="H9459" t="s">
        <v>16089</v>
      </c>
      <c r="J9459" t="s">
        <v>18917</v>
      </c>
      <c r="K9459">
        <v>11356</v>
      </c>
      <c r="L9459" t="s">
        <v>18958</v>
      </c>
      <c r="M9459" t="s">
        <v>18958</v>
      </c>
      <c r="N9459" t="s">
        <v>25550</v>
      </c>
      <c r="O9459" t="s">
        <v>26524</v>
      </c>
      <c r="P9459" t="s">
        <v>26564</v>
      </c>
      <c r="R9459" t="s">
        <v>26584</v>
      </c>
      <c r="S9459" t="s">
        <v>18959</v>
      </c>
      <c r="U9459" t="s">
        <v>26604</v>
      </c>
      <c r="X9459">
        <v>825</v>
      </c>
      <c r="Y9459" t="s">
        <v>26653</v>
      </c>
      <c r="Z9459" t="s">
        <v>26664</v>
      </c>
      <c r="AB9459" t="s">
        <v>33429</v>
      </c>
      <c r="AC9459" t="s">
        <v>36643</v>
      </c>
      <c r="AD9459" t="s">
        <v>44170</v>
      </c>
      <c r="AE9459">
        <v>0</v>
      </c>
      <c r="AF9459" t="s">
        <v>20460</v>
      </c>
      <c r="AH9459">
        <v>49</v>
      </c>
      <c r="AI9459">
        <v>1</v>
      </c>
      <c r="AJ9459">
        <v>0</v>
      </c>
      <c r="AK9459">
        <v>82.73</v>
      </c>
      <c r="AN9459" t="s">
        <v>45581</v>
      </c>
      <c r="AO9459">
        <v>10044</v>
      </c>
      <c r="AU9459">
        <v>0.2</v>
      </c>
      <c r="AV9459" t="s">
        <v>787</v>
      </c>
      <c r="AW9459" t="s">
        <v>208</v>
      </c>
    </row>
    <row r="9460" spans="1:49">
      <c r="A9460" s="1">
        <f>HYPERLINK("https://lsnyc.legalserver.org/matter/dynamic-profile/view/1883608","18-1883608")</f>
        <v>0</v>
      </c>
      <c r="B9460" t="s">
        <v>114</v>
      </c>
      <c r="C9460" t="s">
        <v>340</v>
      </c>
      <c r="D9460" t="s">
        <v>603</v>
      </c>
      <c r="F9460" t="s">
        <v>2372</v>
      </c>
      <c r="G9460" t="s">
        <v>5079</v>
      </c>
      <c r="H9460" t="s">
        <v>16090</v>
      </c>
      <c r="I9460" t="s">
        <v>17491</v>
      </c>
      <c r="J9460" t="s">
        <v>18901</v>
      </c>
      <c r="K9460">
        <v>11433</v>
      </c>
      <c r="L9460" t="s">
        <v>18958</v>
      </c>
      <c r="M9460" t="s">
        <v>18958</v>
      </c>
      <c r="N9460" t="s">
        <v>25551</v>
      </c>
      <c r="O9460" t="s">
        <v>26524</v>
      </c>
      <c r="P9460" t="s">
        <v>26563</v>
      </c>
      <c r="R9460" t="s">
        <v>26585</v>
      </c>
      <c r="S9460" t="s">
        <v>18959</v>
      </c>
      <c r="U9460" t="s">
        <v>26604</v>
      </c>
      <c r="V9460" t="s">
        <v>26610</v>
      </c>
      <c r="X9460">
        <v>650</v>
      </c>
      <c r="Y9460" t="s">
        <v>26653</v>
      </c>
      <c r="Z9460" t="s">
        <v>26664</v>
      </c>
      <c r="AB9460" t="s">
        <v>33430</v>
      </c>
      <c r="AD9460" t="s">
        <v>44171</v>
      </c>
      <c r="AE9460">
        <v>4</v>
      </c>
      <c r="AF9460" t="s">
        <v>45547</v>
      </c>
      <c r="AG9460" t="s">
        <v>19330</v>
      </c>
      <c r="AH9460">
        <v>8</v>
      </c>
      <c r="AI9460">
        <v>1</v>
      </c>
      <c r="AJ9460">
        <v>0</v>
      </c>
      <c r="AK9460">
        <v>181.22</v>
      </c>
      <c r="AN9460" t="s">
        <v>7439</v>
      </c>
      <c r="AO9460">
        <v>22000</v>
      </c>
      <c r="AU9460">
        <v>4.8</v>
      </c>
      <c r="AV9460" t="s">
        <v>719</v>
      </c>
      <c r="AW9460" t="s">
        <v>208</v>
      </c>
    </row>
    <row r="9461" spans="1:49">
      <c r="A9461" s="1">
        <f>HYPERLINK("https://lsnyc.legalserver.org/matter/dynamic-profile/view/1883678","18-1883678")</f>
        <v>0</v>
      </c>
      <c r="B9461" t="s">
        <v>69</v>
      </c>
      <c r="C9461" t="s">
        <v>340</v>
      </c>
      <c r="D9461" t="s">
        <v>603</v>
      </c>
      <c r="F9461" t="s">
        <v>991</v>
      </c>
      <c r="G9461" t="s">
        <v>9053</v>
      </c>
      <c r="H9461" t="s">
        <v>16091</v>
      </c>
      <c r="I9461" t="s">
        <v>17569</v>
      </c>
      <c r="J9461" t="s">
        <v>18892</v>
      </c>
      <c r="K9461">
        <v>10457</v>
      </c>
      <c r="L9461" t="s">
        <v>18960</v>
      </c>
      <c r="M9461" t="s">
        <v>18960</v>
      </c>
      <c r="N9461" t="s">
        <v>25552</v>
      </c>
      <c r="O9461" t="s">
        <v>26523</v>
      </c>
      <c r="P9461" t="s">
        <v>26560</v>
      </c>
      <c r="R9461" t="s">
        <v>26579</v>
      </c>
      <c r="S9461" t="s">
        <v>18959</v>
      </c>
      <c r="U9461" t="s">
        <v>26604</v>
      </c>
      <c r="V9461" t="s">
        <v>26610</v>
      </c>
      <c r="X9461">
        <v>765.5700000000001</v>
      </c>
      <c r="Y9461" t="s">
        <v>26650</v>
      </c>
      <c r="Z9461" t="s">
        <v>26659</v>
      </c>
      <c r="AB9461" t="s">
        <v>33431</v>
      </c>
      <c r="AD9461" t="s">
        <v>44172</v>
      </c>
      <c r="AE9461">
        <v>0</v>
      </c>
      <c r="AF9461" t="s">
        <v>45541</v>
      </c>
      <c r="AG9461" t="s">
        <v>19330</v>
      </c>
      <c r="AH9461">
        <v>13</v>
      </c>
      <c r="AI9461">
        <v>3</v>
      </c>
      <c r="AJ9461">
        <v>2</v>
      </c>
      <c r="AK9461">
        <v>106.05</v>
      </c>
      <c r="AN9461" t="s">
        <v>7439</v>
      </c>
      <c r="AO9461">
        <v>31200</v>
      </c>
      <c r="AP9461" t="s">
        <v>46129</v>
      </c>
      <c r="AU9461">
        <v>28.85</v>
      </c>
      <c r="AV9461" t="s">
        <v>834</v>
      </c>
      <c r="AW9461" t="s">
        <v>69</v>
      </c>
    </row>
    <row r="9462" spans="1:49">
      <c r="A9462" s="1">
        <f>HYPERLINK("https://lsnyc.legalserver.org/matter/dynamic-profile/view/1883762","18-1883762")</f>
        <v>0</v>
      </c>
      <c r="B9462" t="s">
        <v>232</v>
      </c>
      <c r="C9462" t="s">
        <v>341</v>
      </c>
      <c r="D9462" t="s">
        <v>665</v>
      </c>
      <c r="E9462" t="s">
        <v>800</v>
      </c>
      <c r="F9462" t="s">
        <v>1792</v>
      </c>
      <c r="G9462" t="s">
        <v>5980</v>
      </c>
      <c r="H9462" t="s">
        <v>10868</v>
      </c>
      <c r="I9462" t="s">
        <v>17276</v>
      </c>
      <c r="J9462" t="s">
        <v>18894</v>
      </c>
      <c r="K9462">
        <v>11210</v>
      </c>
      <c r="L9462" t="s">
        <v>18959</v>
      </c>
      <c r="M9462" t="s">
        <v>18960</v>
      </c>
      <c r="O9462" t="s">
        <v>26523</v>
      </c>
      <c r="P9462" t="s">
        <v>26560</v>
      </c>
      <c r="Q9462" t="s">
        <v>26568</v>
      </c>
      <c r="R9462" t="s">
        <v>26586</v>
      </c>
      <c r="S9462" t="s">
        <v>18959</v>
      </c>
      <c r="U9462" t="s">
        <v>26604</v>
      </c>
      <c r="X9462">
        <v>1850</v>
      </c>
      <c r="Y9462" t="s">
        <v>26652</v>
      </c>
      <c r="Z9462" t="s">
        <v>26659</v>
      </c>
      <c r="AA9462" t="s">
        <v>26678</v>
      </c>
      <c r="AB9462" t="s">
        <v>28029</v>
      </c>
      <c r="AD9462" t="s">
        <v>38079</v>
      </c>
      <c r="AE9462">
        <v>84</v>
      </c>
      <c r="AF9462" t="s">
        <v>45541</v>
      </c>
      <c r="AG9462" t="s">
        <v>19330</v>
      </c>
      <c r="AH9462">
        <v>10</v>
      </c>
      <c r="AI9462">
        <v>4</v>
      </c>
      <c r="AJ9462">
        <v>0</v>
      </c>
      <c r="AK9462">
        <v>65.73999999999999</v>
      </c>
      <c r="AO9462">
        <v>16500</v>
      </c>
      <c r="AS9462" t="s">
        <v>46499</v>
      </c>
      <c r="AU9462">
        <v>29.3</v>
      </c>
      <c r="AV9462" t="s">
        <v>786</v>
      </c>
      <c r="AW9462" t="s">
        <v>46858</v>
      </c>
    </row>
    <row r="9463" spans="1:49">
      <c r="A9463" s="1">
        <f>HYPERLINK("https://lsnyc.legalserver.org/matter/dynamic-profile/view/1883684","18-1883684")</f>
        <v>0</v>
      </c>
      <c r="B9463" t="s">
        <v>132</v>
      </c>
      <c r="C9463" t="s">
        <v>341</v>
      </c>
      <c r="D9463" t="s">
        <v>665</v>
      </c>
      <c r="E9463" t="s">
        <v>714</v>
      </c>
      <c r="F9463" t="s">
        <v>4571</v>
      </c>
      <c r="G9463" t="s">
        <v>6812</v>
      </c>
      <c r="H9463" t="s">
        <v>16092</v>
      </c>
      <c r="I9463" t="s">
        <v>18680</v>
      </c>
      <c r="J9463" t="s">
        <v>18894</v>
      </c>
      <c r="K9463">
        <v>11226</v>
      </c>
      <c r="L9463" t="s">
        <v>18959</v>
      </c>
      <c r="M9463" t="s">
        <v>18960</v>
      </c>
      <c r="N9463" t="s">
        <v>25553</v>
      </c>
      <c r="O9463" t="s">
        <v>26523</v>
      </c>
      <c r="P9463" t="s">
        <v>26560</v>
      </c>
      <c r="Q9463" t="s">
        <v>26573</v>
      </c>
      <c r="R9463" t="s">
        <v>26588</v>
      </c>
      <c r="S9463" t="s">
        <v>18959</v>
      </c>
      <c r="U9463" t="s">
        <v>26604</v>
      </c>
      <c r="V9463" t="s">
        <v>26610</v>
      </c>
      <c r="X9463">
        <v>1281.22</v>
      </c>
      <c r="Y9463" t="s">
        <v>26652</v>
      </c>
      <c r="Z9463" t="s">
        <v>26659</v>
      </c>
      <c r="AA9463" t="s">
        <v>26678</v>
      </c>
      <c r="AB9463" t="s">
        <v>33432</v>
      </c>
      <c r="AD9463" t="s">
        <v>44173</v>
      </c>
      <c r="AE9463">
        <v>0</v>
      </c>
      <c r="AF9463" t="s">
        <v>45541</v>
      </c>
      <c r="AG9463" t="s">
        <v>45557</v>
      </c>
      <c r="AH9463">
        <v>18</v>
      </c>
      <c r="AI9463">
        <v>2</v>
      </c>
      <c r="AJ9463">
        <v>2</v>
      </c>
      <c r="AK9463">
        <v>82.87</v>
      </c>
      <c r="AN9463" t="s">
        <v>7439</v>
      </c>
      <c r="AO9463">
        <v>20800</v>
      </c>
      <c r="AS9463" t="s">
        <v>46499</v>
      </c>
      <c r="AU9463">
        <v>6.3</v>
      </c>
      <c r="AV9463" t="s">
        <v>714</v>
      </c>
      <c r="AW9463" t="s">
        <v>281</v>
      </c>
    </row>
    <row r="9464" spans="1:49">
      <c r="A9464" s="1">
        <f>HYPERLINK("https://lsnyc.legalserver.org/matter/dynamic-profile/view/1883708","18-1883708")</f>
        <v>0</v>
      </c>
      <c r="B9464" t="s">
        <v>110</v>
      </c>
      <c r="C9464" t="s">
        <v>341</v>
      </c>
      <c r="D9464" t="s">
        <v>665</v>
      </c>
      <c r="E9464" t="s">
        <v>666</v>
      </c>
      <c r="F9464" t="s">
        <v>4572</v>
      </c>
      <c r="G9464" t="s">
        <v>9054</v>
      </c>
      <c r="H9464" t="s">
        <v>16093</v>
      </c>
      <c r="I9464" t="s">
        <v>17312</v>
      </c>
      <c r="J9464" t="s">
        <v>18928</v>
      </c>
      <c r="K9464">
        <v>11365</v>
      </c>
      <c r="L9464" t="s">
        <v>18960</v>
      </c>
      <c r="M9464" t="s">
        <v>18960</v>
      </c>
      <c r="P9464" t="s">
        <v>26564</v>
      </c>
      <c r="Q9464" t="s">
        <v>26570</v>
      </c>
      <c r="R9464" t="s">
        <v>26591</v>
      </c>
      <c r="U9464" t="s">
        <v>26604</v>
      </c>
      <c r="X9464">
        <v>1010</v>
      </c>
      <c r="Y9464" t="s">
        <v>26653</v>
      </c>
      <c r="AA9464" t="s">
        <v>26683</v>
      </c>
      <c r="AB9464" t="s">
        <v>33433</v>
      </c>
      <c r="AD9464" t="s">
        <v>44174</v>
      </c>
      <c r="AE9464">
        <v>3</v>
      </c>
      <c r="AH9464">
        <v>9</v>
      </c>
      <c r="AI9464">
        <v>1</v>
      </c>
      <c r="AJ9464">
        <v>0</v>
      </c>
      <c r="AK9464">
        <v>118.62</v>
      </c>
      <c r="AN9464" t="s">
        <v>45593</v>
      </c>
      <c r="AO9464">
        <v>14400</v>
      </c>
      <c r="AU9464">
        <v>1.7</v>
      </c>
      <c r="AV9464" t="s">
        <v>697</v>
      </c>
      <c r="AW9464" t="s">
        <v>46857</v>
      </c>
    </row>
    <row r="9465" spans="1:49">
      <c r="A9465" s="1">
        <f>HYPERLINK("https://lsnyc.legalserver.org/matter/dynamic-profile/view/1883739","18-1883739")</f>
        <v>0</v>
      </c>
      <c r="B9465" t="s">
        <v>296</v>
      </c>
      <c r="C9465" t="s">
        <v>340</v>
      </c>
      <c r="D9465" t="s">
        <v>665</v>
      </c>
      <c r="F9465" t="s">
        <v>2619</v>
      </c>
      <c r="G9465" t="s">
        <v>6851</v>
      </c>
      <c r="H9465" t="s">
        <v>12279</v>
      </c>
      <c r="I9465" t="s">
        <v>17306</v>
      </c>
      <c r="J9465" t="s">
        <v>18894</v>
      </c>
      <c r="K9465">
        <v>11238</v>
      </c>
      <c r="L9465" t="s">
        <v>18960</v>
      </c>
      <c r="M9465" t="s">
        <v>18960</v>
      </c>
      <c r="R9465" t="s">
        <v>26586</v>
      </c>
      <c r="U9465" t="s">
        <v>26607</v>
      </c>
      <c r="X9465">
        <v>0</v>
      </c>
      <c r="Y9465" t="s">
        <v>26652</v>
      </c>
      <c r="AB9465" t="s">
        <v>29565</v>
      </c>
      <c r="AD9465" t="s">
        <v>39638</v>
      </c>
      <c r="AE9465">
        <v>0</v>
      </c>
      <c r="AH9465">
        <v>0</v>
      </c>
      <c r="AI9465">
        <v>1</v>
      </c>
      <c r="AJ9465">
        <v>0</v>
      </c>
      <c r="AK9465">
        <v>60.49</v>
      </c>
      <c r="AN9465" t="s">
        <v>7439</v>
      </c>
      <c r="AO9465">
        <v>7344</v>
      </c>
      <c r="AU9465">
        <v>3.4</v>
      </c>
      <c r="AV9465" t="s">
        <v>705</v>
      </c>
      <c r="AW9465" t="s">
        <v>296</v>
      </c>
    </row>
    <row r="9466" spans="1:49">
      <c r="A9466" s="1">
        <f>HYPERLINK("https://lsnyc.legalserver.org/matter/dynamic-profile/view/1883692","18-1883692")</f>
        <v>0</v>
      </c>
      <c r="B9466" t="s">
        <v>200</v>
      </c>
      <c r="C9466" t="s">
        <v>340</v>
      </c>
      <c r="D9466" t="s">
        <v>665</v>
      </c>
      <c r="F9466" t="s">
        <v>1016</v>
      </c>
      <c r="G9466" t="s">
        <v>9055</v>
      </c>
      <c r="H9466" t="s">
        <v>11377</v>
      </c>
      <c r="I9466" t="s">
        <v>17566</v>
      </c>
      <c r="J9466" t="s">
        <v>18894</v>
      </c>
      <c r="K9466">
        <v>11207</v>
      </c>
      <c r="L9466" t="s">
        <v>18960</v>
      </c>
      <c r="M9466" t="s">
        <v>18960</v>
      </c>
      <c r="O9466" t="s">
        <v>18997</v>
      </c>
      <c r="R9466" t="s">
        <v>26591</v>
      </c>
      <c r="U9466" t="s">
        <v>26605</v>
      </c>
      <c r="X9466">
        <v>222</v>
      </c>
      <c r="Y9466" t="s">
        <v>26652</v>
      </c>
      <c r="AB9466" t="s">
        <v>28358</v>
      </c>
      <c r="AD9466" t="s">
        <v>44175</v>
      </c>
      <c r="AE9466">
        <v>0</v>
      </c>
      <c r="AG9466" t="s">
        <v>45556</v>
      </c>
      <c r="AH9466">
        <v>0</v>
      </c>
      <c r="AI9466">
        <v>2</v>
      </c>
      <c r="AJ9466">
        <v>0</v>
      </c>
      <c r="AK9466">
        <v>49.21</v>
      </c>
      <c r="AN9466" t="s">
        <v>7439</v>
      </c>
      <c r="AO9466">
        <v>8100</v>
      </c>
      <c r="AU9466">
        <v>1</v>
      </c>
      <c r="AV9466" t="s">
        <v>665</v>
      </c>
      <c r="AW9466" t="s">
        <v>46859</v>
      </c>
    </row>
    <row r="9467" spans="1:49">
      <c r="A9467" s="1">
        <f>HYPERLINK("https://lsnyc.legalserver.org/matter/dynamic-profile/view/1883756","18-1883756")</f>
        <v>0</v>
      </c>
      <c r="B9467" t="s">
        <v>200</v>
      </c>
      <c r="C9467" t="s">
        <v>340</v>
      </c>
      <c r="D9467" t="s">
        <v>665</v>
      </c>
      <c r="F9467" t="s">
        <v>4573</v>
      </c>
      <c r="G9467" t="s">
        <v>3500</v>
      </c>
      <c r="H9467" t="s">
        <v>16094</v>
      </c>
      <c r="I9467" t="s">
        <v>18681</v>
      </c>
      <c r="J9467" t="s">
        <v>18894</v>
      </c>
      <c r="K9467">
        <v>11219</v>
      </c>
      <c r="L9467" t="s">
        <v>18960</v>
      </c>
      <c r="M9467" t="s">
        <v>18960</v>
      </c>
      <c r="O9467" t="s">
        <v>18997</v>
      </c>
      <c r="P9467" t="s">
        <v>26564</v>
      </c>
      <c r="R9467" t="s">
        <v>26578</v>
      </c>
      <c r="S9467" t="s">
        <v>18959</v>
      </c>
      <c r="U9467" t="s">
        <v>26604</v>
      </c>
      <c r="X9467">
        <v>950</v>
      </c>
      <c r="Y9467" t="s">
        <v>26652</v>
      </c>
      <c r="AB9467" t="s">
        <v>30636</v>
      </c>
      <c r="AD9467" t="s">
        <v>44176</v>
      </c>
      <c r="AE9467">
        <v>34</v>
      </c>
      <c r="AF9467" t="s">
        <v>45541</v>
      </c>
      <c r="AG9467" t="s">
        <v>19330</v>
      </c>
      <c r="AH9467">
        <v>12</v>
      </c>
      <c r="AI9467">
        <v>1</v>
      </c>
      <c r="AJ9467">
        <v>0</v>
      </c>
      <c r="AK9467">
        <v>0</v>
      </c>
      <c r="AN9467" t="s">
        <v>7439</v>
      </c>
      <c r="AO9467">
        <v>0</v>
      </c>
      <c r="AU9467">
        <v>0.5</v>
      </c>
      <c r="AV9467" t="s">
        <v>665</v>
      </c>
      <c r="AW9467" t="s">
        <v>46829</v>
      </c>
    </row>
    <row r="9468" spans="1:49">
      <c r="A9468" s="1">
        <f>HYPERLINK("https://lsnyc.legalserver.org/matter/dynamic-profile/view/1883713","18-1883713")</f>
        <v>0</v>
      </c>
      <c r="B9468" t="s">
        <v>102</v>
      </c>
      <c r="C9468" t="s">
        <v>340</v>
      </c>
      <c r="D9468" t="s">
        <v>665</v>
      </c>
      <c r="F9468" t="s">
        <v>4574</v>
      </c>
      <c r="G9468" t="s">
        <v>9056</v>
      </c>
      <c r="H9468" t="s">
        <v>16095</v>
      </c>
      <c r="I9468" t="s">
        <v>17316</v>
      </c>
      <c r="J9468" t="s">
        <v>18902</v>
      </c>
      <c r="K9468">
        <v>10304</v>
      </c>
      <c r="L9468" t="s">
        <v>18958</v>
      </c>
      <c r="M9468" t="s">
        <v>18958</v>
      </c>
      <c r="R9468" t="s">
        <v>26589</v>
      </c>
      <c r="S9468" t="s">
        <v>18959</v>
      </c>
      <c r="U9468" t="s">
        <v>26604</v>
      </c>
      <c r="V9468" t="s">
        <v>26610</v>
      </c>
      <c r="X9468">
        <v>0</v>
      </c>
      <c r="Y9468" t="s">
        <v>26654</v>
      </c>
      <c r="Z9468" t="s">
        <v>26671</v>
      </c>
      <c r="AB9468" t="s">
        <v>26713</v>
      </c>
      <c r="AD9468" t="s">
        <v>44177</v>
      </c>
      <c r="AE9468">
        <v>0</v>
      </c>
      <c r="AF9468" t="s">
        <v>20460</v>
      </c>
      <c r="AG9468" t="s">
        <v>45556</v>
      </c>
      <c r="AH9468">
        <v>0</v>
      </c>
      <c r="AI9468">
        <v>1</v>
      </c>
      <c r="AJ9468">
        <v>0</v>
      </c>
      <c r="AK9468">
        <v>0</v>
      </c>
      <c r="AO9468">
        <v>0</v>
      </c>
      <c r="AU9468">
        <v>1.5</v>
      </c>
      <c r="AV9468" t="s">
        <v>682</v>
      </c>
      <c r="AW9468" t="s">
        <v>210</v>
      </c>
    </row>
    <row r="9469" spans="1:49">
      <c r="A9469" s="1">
        <f>HYPERLINK("https://lsnyc.legalserver.org/matter/dynamic-profile/view/1883760","18-1883760")</f>
        <v>0</v>
      </c>
      <c r="B9469" t="s">
        <v>102</v>
      </c>
      <c r="C9469" t="s">
        <v>340</v>
      </c>
      <c r="D9469" t="s">
        <v>665</v>
      </c>
      <c r="F9469" t="s">
        <v>1457</v>
      </c>
      <c r="G9469" t="s">
        <v>6066</v>
      </c>
      <c r="H9469" t="s">
        <v>16096</v>
      </c>
      <c r="I9469" t="s">
        <v>17361</v>
      </c>
      <c r="J9469" t="s">
        <v>18902</v>
      </c>
      <c r="K9469">
        <v>10304</v>
      </c>
      <c r="L9469" t="s">
        <v>18958</v>
      </c>
      <c r="M9469" t="s">
        <v>18958</v>
      </c>
      <c r="R9469" t="s">
        <v>26589</v>
      </c>
      <c r="S9469" t="s">
        <v>18959</v>
      </c>
      <c r="U9469" t="s">
        <v>26606</v>
      </c>
      <c r="V9469" t="s">
        <v>26610</v>
      </c>
      <c r="X9469">
        <v>116</v>
      </c>
      <c r="Y9469" t="s">
        <v>26654</v>
      </c>
      <c r="Z9469" t="s">
        <v>26671</v>
      </c>
      <c r="AB9469" t="s">
        <v>33434</v>
      </c>
      <c r="AD9469" t="s">
        <v>44178</v>
      </c>
      <c r="AE9469">
        <v>0</v>
      </c>
      <c r="AF9469" t="s">
        <v>45543</v>
      </c>
      <c r="AG9469" t="s">
        <v>45556</v>
      </c>
      <c r="AH9469">
        <v>12</v>
      </c>
      <c r="AI9469">
        <v>1</v>
      </c>
      <c r="AJ9469">
        <v>2</v>
      </c>
      <c r="AK9469">
        <v>16.8</v>
      </c>
      <c r="AN9469" t="s">
        <v>45581</v>
      </c>
      <c r="AO9469">
        <v>3492</v>
      </c>
      <c r="AU9469">
        <v>0.1</v>
      </c>
      <c r="AV9469" t="s">
        <v>772</v>
      </c>
      <c r="AW9469" t="s">
        <v>210</v>
      </c>
    </row>
    <row r="9470" spans="1:49">
      <c r="A9470" s="1">
        <f>HYPERLINK("https://lsnyc.legalserver.org/matter/dynamic-profile/view/1883783","18-1883783")</f>
        <v>0</v>
      </c>
      <c r="B9470" t="s">
        <v>286</v>
      </c>
      <c r="C9470" t="s">
        <v>341</v>
      </c>
      <c r="D9470" t="s">
        <v>669</v>
      </c>
      <c r="E9470" t="s">
        <v>692</v>
      </c>
      <c r="F9470" t="s">
        <v>887</v>
      </c>
      <c r="G9470" t="s">
        <v>5401</v>
      </c>
      <c r="H9470" t="s">
        <v>16097</v>
      </c>
      <c r="I9470">
        <v>2</v>
      </c>
      <c r="J9470" t="s">
        <v>18894</v>
      </c>
      <c r="K9470">
        <v>11208</v>
      </c>
      <c r="L9470" t="s">
        <v>18959</v>
      </c>
      <c r="M9470" t="s">
        <v>18959</v>
      </c>
      <c r="N9470" t="s">
        <v>25554</v>
      </c>
      <c r="O9470" t="s">
        <v>26524</v>
      </c>
      <c r="Q9470" t="s">
        <v>26570</v>
      </c>
      <c r="R9470" t="s">
        <v>26578</v>
      </c>
      <c r="U9470" t="s">
        <v>26604</v>
      </c>
      <c r="X9470">
        <v>1200</v>
      </c>
      <c r="Y9470" t="s">
        <v>26652</v>
      </c>
      <c r="Z9470" t="s">
        <v>26673</v>
      </c>
      <c r="AA9470" t="s">
        <v>26683</v>
      </c>
      <c r="AB9470" t="s">
        <v>29650</v>
      </c>
      <c r="AD9470" t="s">
        <v>44179</v>
      </c>
      <c r="AE9470">
        <v>2</v>
      </c>
      <c r="AF9470" t="s">
        <v>45547</v>
      </c>
      <c r="AG9470" t="s">
        <v>19330</v>
      </c>
      <c r="AH9470">
        <v>3</v>
      </c>
      <c r="AI9470">
        <v>2</v>
      </c>
      <c r="AJ9470">
        <v>2</v>
      </c>
      <c r="AK9470">
        <v>160.76</v>
      </c>
      <c r="AN9470" t="s">
        <v>45581</v>
      </c>
      <c r="AO9470">
        <v>40352</v>
      </c>
      <c r="AU9470">
        <v>1</v>
      </c>
      <c r="AV9470" t="s">
        <v>669</v>
      </c>
      <c r="AW9470" t="s">
        <v>46846</v>
      </c>
    </row>
    <row r="9471" spans="1:49">
      <c r="A9471" s="1">
        <f>HYPERLINK("https://lsnyc.legalserver.org/matter/dynamic-profile/view/1883887","18-1883887")</f>
        <v>0</v>
      </c>
      <c r="B9471" t="s">
        <v>198</v>
      </c>
      <c r="C9471" t="s">
        <v>340</v>
      </c>
      <c r="D9471" t="s">
        <v>669</v>
      </c>
      <c r="F9471" t="s">
        <v>1377</v>
      </c>
      <c r="G9471" t="s">
        <v>9057</v>
      </c>
      <c r="H9471" t="s">
        <v>12606</v>
      </c>
      <c r="I9471" t="s">
        <v>17327</v>
      </c>
      <c r="J9471" t="s">
        <v>18894</v>
      </c>
      <c r="K9471">
        <v>11226</v>
      </c>
      <c r="L9471" t="s">
        <v>18960</v>
      </c>
      <c r="M9471" t="s">
        <v>18960</v>
      </c>
      <c r="R9471" t="s">
        <v>26578</v>
      </c>
      <c r="U9471" t="s">
        <v>26604</v>
      </c>
      <c r="X9471">
        <v>0</v>
      </c>
      <c r="Y9471" t="s">
        <v>26652</v>
      </c>
      <c r="AB9471" t="s">
        <v>33435</v>
      </c>
      <c r="AD9471" t="s">
        <v>44180</v>
      </c>
      <c r="AE9471">
        <v>0</v>
      </c>
      <c r="AH9471">
        <v>0</v>
      </c>
      <c r="AI9471">
        <v>2</v>
      </c>
      <c r="AJ9471">
        <v>0</v>
      </c>
      <c r="AK9471">
        <v>67.58</v>
      </c>
      <c r="AN9471" t="s">
        <v>7439</v>
      </c>
      <c r="AO9471">
        <v>11124</v>
      </c>
      <c r="AU9471">
        <v>12.6</v>
      </c>
      <c r="AV9471" t="s">
        <v>416</v>
      </c>
      <c r="AW9471" t="s">
        <v>198</v>
      </c>
    </row>
    <row r="9472" spans="1:49">
      <c r="A9472" s="1">
        <f>HYPERLINK("https://lsnyc.legalserver.org/matter/dynamic-profile/view/1883804","18-1883804")</f>
        <v>0</v>
      </c>
      <c r="B9472" t="s">
        <v>62</v>
      </c>
      <c r="C9472" t="s">
        <v>340</v>
      </c>
      <c r="D9472" t="s">
        <v>669</v>
      </c>
      <c r="F9472" t="s">
        <v>3619</v>
      </c>
      <c r="G9472" t="s">
        <v>994</v>
      </c>
      <c r="H9472" t="s">
        <v>16098</v>
      </c>
      <c r="I9472" t="s">
        <v>17436</v>
      </c>
      <c r="J9472" t="s">
        <v>18893</v>
      </c>
      <c r="K9472">
        <v>10027</v>
      </c>
      <c r="L9472" t="s">
        <v>18959</v>
      </c>
      <c r="M9472" t="s">
        <v>18959</v>
      </c>
      <c r="N9472" t="s">
        <v>25555</v>
      </c>
      <c r="O9472" t="s">
        <v>26523</v>
      </c>
      <c r="R9472" t="s">
        <v>26580</v>
      </c>
      <c r="S9472" t="s">
        <v>18959</v>
      </c>
      <c r="U9472" t="s">
        <v>26604</v>
      </c>
      <c r="X9472">
        <v>340</v>
      </c>
      <c r="Y9472" t="s">
        <v>26651</v>
      </c>
      <c r="AB9472" t="s">
        <v>33436</v>
      </c>
      <c r="AD9472" t="s">
        <v>44181</v>
      </c>
      <c r="AE9472">
        <v>25</v>
      </c>
      <c r="AF9472" t="s">
        <v>45548</v>
      </c>
      <c r="AG9472" t="s">
        <v>19330</v>
      </c>
      <c r="AH9472">
        <v>4</v>
      </c>
      <c r="AI9472">
        <v>2</v>
      </c>
      <c r="AJ9472">
        <v>0</v>
      </c>
      <c r="AK9472">
        <v>0</v>
      </c>
      <c r="AN9472" t="s">
        <v>7439</v>
      </c>
      <c r="AO9472">
        <v>0</v>
      </c>
      <c r="AU9472">
        <v>8</v>
      </c>
      <c r="AV9472" t="s">
        <v>815</v>
      </c>
      <c r="AW9472" t="s">
        <v>46875</v>
      </c>
    </row>
    <row r="9473" spans="1:49">
      <c r="A9473" s="1">
        <f>HYPERLINK("https://lsnyc.legalserver.org/matter/dynamic-profile/view/1884055","18-1884055")</f>
        <v>0</v>
      </c>
      <c r="B9473" t="s">
        <v>208</v>
      </c>
      <c r="C9473" t="s">
        <v>340</v>
      </c>
      <c r="D9473" t="s">
        <v>666</v>
      </c>
      <c r="F9473" t="s">
        <v>991</v>
      </c>
      <c r="G9473" t="s">
        <v>3780</v>
      </c>
      <c r="H9473" t="s">
        <v>16099</v>
      </c>
      <c r="I9473" t="s">
        <v>17334</v>
      </c>
      <c r="J9473" t="s">
        <v>18901</v>
      </c>
      <c r="K9473">
        <v>11436</v>
      </c>
      <c r="L9473" t="s">
        <v>18958</v>
      </c>
      <c r="M9473" t="s">
        <v>18958</v>
      </c>
      <c r="N9473" t="s">
        <v>25556</v>
      </c>
      <c r="O9473" t="s">
        <v>26524</v>
      </c>
      <c r="P9473" t="s">
        <v>26563</v>
      </c>
      <c r="R9473" t="s">
        <v>26584</v>
      </c>
      <c r="S9473" t="s">
        <v>18959</v>
      </c>
      <c r="U9473" t="s">
        <v>26604</v>
      </c>
      <c r="X9473">
        <v>1300</v>
      </c>
      <c r="Y9473" t="s">
        <v>26653</v>
      </c>
      <c r="Z9473" t="s">
        <v>26664</v>
      </c>
      <c r="AB9473" t="s">
        <v>31624</v>
      </c>
      <c r="AC9473" t="s">
        <v>36644</v>
      </c>
      <c r="AD9473" t="s">
        <v>44182</v>
      </c>
      <c r="AE9473">
        <v>0</v>
      </c>
      <c r="AG9473" t="s">
        <v>19330</v>
      </c>
      <c r="AH9473">
        <v>5</v>
      </c>
      <c r="AI9473">
        <v>2</v>
      </c>
      <c r="AJ9473">
        <v>0</v>
      </c>
      <c r="AK9473">
        <v>12.15</v>
      </c>
      <c r="AN9473" t="s">
        <v>7439</v>
      </c>
      <c r="AO9473">
        <v>2000</v>
      </c>
      <c r="AU9473">
        <v>0</v>
      </c>
      <c r="AW9473" t="s">
        <v>208</v>
      </c>
    </row>
    <row r="9474" spans="1:49">
      <c r="A9474" s="1">
        <f>HYPERLINK("https://lsnyc.legalserver.org/matter/dynamic-profile/view/1884023","18-1884023")</f>
        <v>0</v>
      </c>
      <c r="B9474" t="s">
        <v>110</v>
      </c>
      <c r="C9474" t="s">
        <v>340</v>
      </c>
      <c r="D9474" t="s">
        <v>666</v>
      </c>
      <c r="F9474" t="s">
        <v>4575</v>
      </c>
      <c r="G9474" t="s">
        <v>5599</v>
      </c>
      <c r="H9474" t="s">
        <v>16100</v>
      </c>
      <c r="J9474" t="s">
        <v>18901</v>
      </c>
      <c r="K9474">
        <v>11434</v>
      </c>
      <c r="L9474" t="s">
        <v>18960</v>
      </c>
      <c r="M9474" t="s">
        <v>18960</v>
      </c>
      <c r="O9474" t="s">
        <v>18997</v>
      </c>
      <c r="P9474" t="s">
        <v>26564</v>
      </c>
      <c r="R9474" t="s">
        <v>26583</v>
      </c>
      <c r="S9474" t="s">
        <v>18959</v>
      </c>
      <c r="U9474" t="s">
        <v>26604</v>
      </c>
      <c r="X9474">
        <v>800</v>
      </c>
      <c r="Y9474" t="s">
        <v>26653</v>
      </c>
      <c r="AB9474" t="s">
        <v>33437</v>
      </c>
      <c r="AE9474">
        <v>3</v>
      </c>
      <c r="AF9474" t="s">
        <v>45546</v>
      </c>
      <c r="AG9474" t="s">
        <v>19330</v>
      </c>
      <c r="AH9474">
        <v>3</v>
      </c>
      <c r="AI9474">
        <v>2</v>
      </c>
      <c r="AJ9474">
        <v>1</v>
      </c>
      <c r="AK9474">
        <v>250.24</v>
      </c>
      <c r="AN9474" t="s">
        <v>7439</v>
      </c>
      <c r="AO9474">
        <v>52000</v>
      </c>
      <c r="AU9474">
        <v>0.6</v>
      </c>
      <c r="AV9474" t="s">
        <v>702</v>
      </c>
      <c r="AW9474" t="s">
        <v>46829</v>
      </c>
    </row>
    <row r="9475" spans="1:49">
      <c r="A9475" s="1">
        <f>HYPERLINK("https://lsnyc.legalserver.org/matter/dynamic-profile/view/1884067","18-1884067")</f>
        <v>0</v>
      </c>
      <c r="B9475" t="s">
        <v>200</v>
      </c>
      <c r="C9475" t="s">
        <v>340</v>
      </c>
      <c r="D9475" t="s">
        <v>666</v>
      </c>
      <c r="F9475" t="s">
        <v>1320</v>
      </c>
      <c r="G9475" t="s">
        <v>9058</v>
      </c>
      <c r="H9475" t="s">
        <v>16101</v>
      </c>
      <c r="I9475" t="s">
        <v>18682</v>
      </c>
      <c r="J9475" t="s">
        <v>18894</v>
      </c>
      <c r="K9475">
        <v>11226</v>
      </c>
      <c r="L9475" t="s">
        <v>18960</v>
      </c>
      <c r="M9475" t="s">
        <v>18960</v>
      </c>
      <c r="R9475" t="s">
        <v>26578</v>
      </c>
      <c r="U9475" t="s">
        <v>26604</v>
      </c>
      <c r="X9475">
        <v>1850</v>
      </c>
      <c r="Y9475" t="s">
        <v>26652</v>
      </c>
      <c r="AB9475" t="s">
        <v>31588</v>
      </c>
      <c r="AD9475" t="s">
        <v>44183</v>
      </c>
      <c r="AE9475">
        <v>27</v>
      </c>
      <c r="AH9475">
        <v>3</v>
      </c>
      <c r="AI9475">
        <v>1</v>
      </c>
      <c r="AJ9475">
        <v>0</v>
      </c>
      <c r="AK9475">
        <v>0</v>
      </c>
      <c r="AN9475" t="s">
        <v>7439</v>
      </c>
      <c r="AO9475">
        <v>0</v>
      </c>
      <c r="AU9475">
        <v>0.5</v>
      </c>
      <c r="AV9475" t="s">
        <v>666</v>
      </c>
      <c r="AW9475" t="s">
        <v>46850</v>
      </c>
    </row>
    <row r="9476" spans="1:49">
      <c r="A9476" s="1">
        <f>HYPERLINK("https://lsnyc.legalserver.org/matter/dynamic-profile/view/1884048","18-1884048")</f>
        <v>0</v>
      </c>
      <c r="B9476" t="s">
        <v>200</v>
      </c>
      <c r="C9476" t="s">
        <v>340</v>
      </c>
      <c r="D9476" t="s">
        <v>666</v>
      </c>
      <c r="F9476" t="s">
        <v>2787</v>
      </c>
      <c r="G9476" t="s">
        <v>9059</v>
      </c>
      <c r="H9476" t="s">
        <v>16102</v>
      </c>
      <c r="I9476" t="s">
        <v>17306</v>
      </c>
      <c r="J9476" t="s">
        <v>18894</v>
      </c>
      <c r="K9476">
        <v>11209</v>
      </c>
      <c r="L9476" t="s">
        <v>18960</v>
      </c>
      <c r="M9476" t="s">
        <v>18960</v>
      </c>
      <c r="O9476" t="s">
        <v>18997</v>
      </c>
      <c r="R9476" t="s">
        <v>26578</v>
      </c>
      <c r="U9476" t="s">
        <v>26604</v>
      </c>
      <c r="X9476">
        <v>0</v>
      </c>
      <c r="Y9476" t="s">
        <v>26652</v>
      </c>
      <c r="AB9476" t="s">
        <v>33438</v>
      </c>
      <c r="AD9476" t="s">
        <v>44184</v>
      </c>
      <c r="AE9476">
        <v>0</v>
      </c>
      <c r="AF9476" t="s">
        <v>20460</v>
      </c>
      <c r="AG9476" t="s">
        <v>19330</v>
      </c>
      <c r="AH9476">
        <v>25</v>
      </c>
      <c r="AI9476">
        <v>1</v>
      </c>
      <c r="AJ9476">
        <v>0</v>
      </c>
      <c r="AK9476">
        <v>79.08</v>
      </c>
      <c r="AN9476" t="s">
        <v>7439</v>
      </c>
      <c r="AO9476">
        <v>9600</v>
      </c>
      <c r="AU9476">
        <v>1.2</v>
      </c>
      <c r="AV9476" t="s">
        <v>667</v>
      </c>
      <c r="AW9476" t="s">
        <v>46859</v>
      </c>
    </row>
    <row r="9477" spans="1:49">
      <c r="A9477" s="1">
        <f>HYPERLINK("https://lsnyc.legalserver.org/matter/dynamic-profile/view/1884226","18-1884226")</f>
        <v>0</v>
      </c>
      <c r="B9477" t="s">
        <v>101</v>
      </c>
      <c r="C9477" t="s">
        <v>340</v>
      </c>
      <c r="D9477" t="s">
        <v>666</v>
      </c>
      <c r="F9477" t="s">
        <v>1706</v>
      </c>
      <c r="G9477" t="s">
        <v>7275</v>
      </c>
      <c r="H9477" t="s">
        <v>12972</v>
      </c>
      <c r="I9477" t="s">
        <v>17347</v>
      </c>
      <c r="J9477" t="s">
        <v>18894</v>
      </c>
      <c r="K9477">
        <v>11230</v>
      </c>
      <c r="L9477" t="s">
        <v>18960</v>
      </c>
      <c r="M9477" t="s">
        <v>18960</v>
      </c>
      <c r="N9477" t="s">
        <v>25557</v>
      </c>
      <c r="O9477" t="s">
        <v>26524</v>
      </c>
      <c r="P9477" t="s">
        <v>26560</v>
      </c>
      <c r="R9477" t="s">
        <v>26586</v>
      </c>
      <c r="S9477" t="s">
        <v>18959</v>
      </c>
      <c r="U9477" t="s">
        <v>26604</v>
      </c>
      <c r="V9477" t="s">
        <v>26610</v>
      </c>
      <c r="X9477">
        <v>0</v>
      </c>
      <c r="Y9477" t="s">
        <v>26652</v>
      </c>
      <c r="AB9477" t="s">
        <v>30322</v>
      </c>
      <c r="AD9477" t="s">
        <v>40469</v>
      </c>
      <c r="AE9477">
        <v>0</v>
      </c>
      <c r="AG9477" t="s">
        <v>45559</v>
      </c>
      <c r="AH9477">
        <v>0</v>
      </c>
      <c r="AI9477">
        <v>2</v>
      </c>
      <c r="AJ9477">
        <v>0</v>
      </c>
      <c r="AK9477">
        <v>37.62</v>
      </c>
      <c r="AN9477" t="s">
        <v>7439</v>
      </c>
      <c r="AO9477">
        <v>6192</v>
      </c>
      <c r="AU9477">
        <v>10</v>
      </c>
      <c r="AV9477" t="s">
        <v>756</v>
      </c>
      <c r="AW9477" t="s">
        <v>101</v>
      </c>
    </row>
    <row r="9478" spans="1:49">
      <c r="A9478" s="1">
        <f>HYPERLINK("https://lsnyc.legalserver.org/matter/dynamic-profile/view/1883938","18-1883938")</f>
        <v>0</v>
      </c>
      <c r="B9478" t="s">
        <v>115</v>
      </c>
      <c r="C9478" t="s">
        <v>340</v>
      </c>
      <c r="D9478" t="s">
        <v>666</v>
      </c>
      <c r="F9478" t="s">
        <v>1228</v>
      </c>
      <c r="G9478" t="s">
        <v>5625</v>
      </c>
      <c r="H9478" t="s">
        <v>16103</v>
      </c>
      <c r="I9478" t="s">
        <v>17360</v>
      </c>
      <c r="J9478" t="s">
        <v>18892</v>
      </c>
      <c r="K9478">
        <v>10452</v>
      </c>
      <c r="L9478" t="s">
        <v>18960</v>
      </c>
      <c r="M9478" t="s">
        <v>18958</v>
      </c>
      <c r="O9478" t="s">
        <v>18997</v>
      </c>
      <c r="P9478" t="s">
        <v>26562</v>
      </c>
      <c r="R9478" t="s">
        <v>26578</v>
      </c>
      <c r="S9478" t="s">
        <v>18958</v>
      </c>
      <c r="U9478" t="s">
        <v>26604</v>
      </c>
      <c r="V9478" t="s">
        <v>26610</v>
      </c>
      <c r="X9478">
        <v>961</v>
      </c>
      <c r="Y9478" t="s">
        <v>26650</v>
      </c>
      <c r="Z9478" t="s">
        <v>26655</v>
      </c>
      <c r="AB9478" t="s">
        <v>33439</v>
      </c>
      <c r="AD9478" t="s">
        <v>44185</v>
      </c>
      <c r="AE9478">
        <v>60</v>
      </c>
      <c r="AF9478" t="s">
        <v>45541</v>
      </c>
      <c r="AG9478" t="s">
        <v>45559</v>
      </c>
      <c r="AH9478">
        <v>50</v>
      </c>
      <c r="AI9478">
        <v>2</v>
      </c>
      <c r="AJ9478">
        <v>0</v>
      </c>
      <c r="AK9478">
        <v>132.1</v>
      </c>
      <c r="AN9478" t="s">
        <v>45581</v>
      </c>
      <c r="AO9478">
        <v>21744</v>
      </c>
      <c r="AU9478">
        <v>0</v>
      </c>
      <c r="AW9478" t="s">
        <v>46832</v>
      </c>
    </row>
    <row r="9479" spans="1:49">
      <c r="A9479" s="1">
        <f>HYPERLINK("https://lsnyc.legalserver.org/matter/dynamic-profile/view/1884073","18-1884073")</f>
        <v>0</v>
      </c>
      <c r="B9479" t="s">
        <v>235</v>
      </c>
      <c r="C9479" t="s">
        <v>340</v>
      </c>
      <c r="D9479" t="s">
        <v>666</v>
      </c>
      <c r="F9479" t="s">
        <v>947</v>
      </c>
      <c r="G9479" t="s">
        <v>9060</v>
      </c>
      <c r="H9479" t="s">
        <v>16104</v>
      </c>
      <c r="I9479">
        <v>606</v>
      </c>
      <c r="J9479" t="s">
        <v>18900</v>
      </c>
      <c r="K9479">
        <v>11355</v>
      </c>
      <c r="L9479" t="s">
        <v>18958</v>
      </c>
      <c r="M9479" t="s">
        <v>18958</v>
      </c>
      <c r="N9479" t="s">
        <v>25558</v>
      </c>
      <c r="O9479" t="s">
        <v>26524</v>
      </c>
      <c r="P9479" t="s">
        <v>26563</v>
      </c>
      <c r="R9479" t="s">
        <v>26584</v>
      </c>
      <c r="S9479" t="s">
        <v>18959</v>
      </c>
      <c r="U9479" t="s">
        <v>26604</v>
      </c>
      <c r="X9479">
        <v>1350</v>
      </c>
      <c r="Y9479" t="s">
        <v>26653</v>
      </c>
      <c r="Z9479" t="s">
        <v>26664</v>
      </c>
      <c r="AB9479" t="s">
        <v>33440</v>
      </c>
      <c r="AD9479" t="s">
        <v>44186</v>
      </c>
      <c r="AE9479">
        <v>180</v>
      </c>
      <c r="AF9479" t="s">
        <v>20460</v>
      </c>
      <c r="AG9479" t="s">
        <v>19330</v>
      </c>
      <c r="AH9479">
        <v>18</v>
      </c>
      <c r="AI9479">
        <v>3</v>
      </c>
      <c r="AJ9479">
        <v>0</v>
      </c>
      <c r="AK9479">
        <v>144.37</v>
      </c>
      <c r="AN9479" t="s">
        <v>7439</v>
      </c>
      <c r="AO9479">
        <v>30000</v>
      </c>
      <c r="AU9479">
        <v>1.5</v>
      </c>
      <c r="AV9479" t="s">
        <v>692</v>
      </c>
      <c r="AW9479" t="s">
        <v>208</v>
      </c>
    </row>
    <row r="9480" spans="1:49">
      <c r="A9480" s="1">
        <f>HYPERLINK("https://lsnyc.legalserver.org/matter/dynamic-profile/view/1883996","18-1883996")</f>
        <v>0</v>
      </c>
      <c r="B9480" t="s">
        <v>173</v>
      </c>
      <c r="C9480" t="s">
        <v>340</v>
      </c>
      <c r="D9480" t="s">
        <v>666</v>
      </c>
      <c r="F9480" t="s">
        <v>1423</v>
      </c>
      <c r="G9480" t="s">
        <v>9061</v>
      </c>
      <c r="H9480" t="s">
        <v>16105</v>
      </c>
      <c r="I9480" t="s">
        <v>17479</v>
      </c>
      <c r="J9480" t="s">
        <v>18893</v>
      </c>
      <c r="K9480">
        <v>10027</v>
      </c>
      <c r="L9480" t="s">
        <v>18958</v>
      </c>
      <c r="M9480" t="s">
        <v>18958</v>
      </c>
      <c r="N9480" t="s">
        <v>25559</v>
      </c>
      <c r="O9480" t="s">
        <v>26523</v>
      </c>
      <c r="P9480" t="s">
        <v>26560</v>
      </c>
      <c r="R9480" t="s">
        <v>26580</v>
      </c>
      <c r="S9480" t="s">
        <v>18959</v>
      </c>
      <c r="U9480" t="s">
        <v>26605</v>
      </c>
      <c r="V9480" t="s">
        <v>26610</v>
      </c>
      <c r="X9480">
        <v>366</v>
      </c>
      <c r="Y9480" t="s">
        <v>26651</v>
      </c>
      <c r="Z9480" t="s">
        <v>26664</v>
      </c>
      <c r="AB9480" t="s">
        <v>33441</v>
      </c>
      <c r="AD9480" t="s">
        <v>44187</v>
      </c>
      <c r="AE9480">
        <v>0</v>
      </c>
      <c r="AF9480" t="s">
        <v>45542</v>
      </c>
      <c r="AH9480">
        <v>20</v>
      </c>
      <c r="AI9480">
        <v>3</v>
      </c>
      <c r="AJ9480">
        <v>0</v>
      </c>
      <c r="AK9480">
        <v>65.7</v>
      </c>
      <c r="AN9480" t="s">
        <v>7439</v>
      </c>
      <c r="AO9480">
        <v>13652.64</v>
      </c>
      <c r="AU9480">
        <v>1.85</v>
      </c>
      <c r="AV9480" t="s">
        <v>702</v>
      </c>
      <c r="AW9480" t="s">
        <v>46879</v>
      </c>
    </row>
    <row r="9481" spans="1:49">
      <c r="A9481" s="1">
        <f>HYPERLINK("https://lsnyc.legalserver.org/matter/dynamic-profile/view/1884191","18-1884191")</f>
        <v>0</v>
      </c>
      <c r="B9481" t="s">
        <v>257</v>
      </c>
      <c r="C9481" t="s">
        <v>341</v>
      </c>
      <c r="D9481" t="s">
        <v>652</v>
      </c>
      <c r="E9481" t="s">
        <v>716</v>
      </c>
      <c r="F9481" t="s">
        <v>2581</v>
      </c>
      <c r="G9481" t="s">
        <v>9062</v>
      </c>
      <c r="H9481" t="s">
        <v>16106</v>
      </c>
      <c r="I9481" t="s">
        <v>17277</v>
      </c>
      <c r="J9481" t="s">
        <v>18894</v>
      </c>
      <c r="K9481">
        <v>11209</v>
      </c>
      <c r="L9481" t="s">
        <v>18960</v>
      </c>
      <c r="M9481" t="s">
        <v>18960</v>
      </c>
      <c r="N9481" t="s">
        <v>25560</v>
      </c>
      <c r="O9481" t="s">
        <v>26523</v>
      </c>
      <c r="Q9481" t="s">
        <v>26571</v>
      </c>
      <c r="R9481" t="s">
        <v>26586</v>
      </c>
      <c r="U9481" t="s">
        <v>26604</v>
      </c>
      <c r="X9481">
        <v>1000</v>
      </c>
      <c r="Y9481" t="s">
        <v>26652</v>
      </c>
      <c r="Z9481" t="s">
        <v>26659</v>
      </c>
      <c r="AA9481" t="s">
        <v>26683</v>
      </c>
      <c r="AB9481" t="s">
        <v>32986</v>
      </c>
      <c r="AD9481" t="s">
        <v>44188</v>
      </c>
      <c r="AE9481">
        <v>200</v>
      </c>
      <c r="AF9481" t="s">
        <v>45541</v>
      </c>
      <c r="AG9481" t="s">
        <v>45559</v>
      </c>
      <c r="AH9481">
        <v>8</v>
      </c>
      <c r="AI9481">
        <v>2</v>
      </c>
      <c r="AJ9481">
        <v>0</v>
      </c>
      <c r="AK9481">
        <v>91.13</v>
      </c>
      <c r="AN9481" t="s">
        <v>7439</v>
      </c>
      <c r="AO9481">
        <v>15000</v>
      </c>
      <c r="AU9481">
        <v>9.800000000000001</v>
      </c>
      <c r="AV9481" t="s">
        <v>668</v>
      </c>
      <c r="AW9481" t="s">
        <v>281</v>
      </c>
    </row>
    <row r="9482" spans="1:49">
      <c r="A9482" s="1">
        <f>HYPERLINK("https://lsnyc.legalserver.org/matter/dynamic-profile/view/1884640","18-1884640")</f>
        <v>0</v>
      </c>
      <c r="B9482" t="s">
        <v>124</v>
      </c>
      <c r="C9482" t="s">
        <v>341</v>
      </c>
      <c r="D9482" t="s">
        <v>652</v>
      </c>
      <c r="E9482" t="s">
        <v>813</v>
      </c>
      <c r="F9482" t="s">
        <v>928</v>
      </c>
      <c r="G9482" t="s">
        <v>5008</v>
      </c>
      <c r="H9482" t="s">
        <v>16107</v>
      </c>
      <c r="I9482">
        <v>323</v>
      </c>
      <c r="J9482" t="s">
        <v>18894</v>
      </c>
      <c r="K9482">
        <v>11205</v>
      </c>
      <c r="L9482" t="s">
        <v>18960</v>
      </c>
      <c r="M9482" t="s">
        <v>18960</v>
      </c>
      <c r="Q9482" t="s">
        <v>26568</v>
      </c>
      <c r="R9482" t="s">
        <v>26586</v>
      </c>
      <c r="U9482" t="s">
        <v>26604</v>
      </c>
      <c r="X9482">
        <v>0</v>
      </c>
      <c r="Y9482" t="s">
        <v>26652</v>
      </c>
      <c r="AA9482" t="s">
        <v>26678</v>
      </c>
      <c r="AB9482" t="s">
        <v>29888</v>
      </c>
      <c r="AD9482" t="s">
        <v>44189</v>
      </c>
      <c r="AE9482">
        <v>0</v>
      </c>
      <c r="AH9482">
        <v>0</v>
      </c>
      <c r="AI9482">
        <v>1</v>
      </c>
      <c r="AJ9482">
        <v>0</v>
      </c>
      <c r="AK9482">
        <v>176.73</v>
      </c>
      <c r="AN9482" t="s">
        <v>7439</v>
      </c>
      <c r="AO9482">
        <v>21455.52</v>
      </c>
      <c r="AQ9482" t="s">
        <v>46359</v>
      </c>
      <c r="AR9482" t="s">
        <v>46381</v>
      </c>
      <c r="AS9482" t="s">
        <v>46499</v>
      </c>
      <c r="AU9482">
        <v>7.3</v>
      </c>
      <c r="AV9482" t="s">
        <v>813</v>
      </c>
      <c r="AW9482" t="s">
        <v>46882</v>
      </c>
    </row>
    <row r="9483" spans="1:49">
      <c r="A9483" s="1">
        <f>HYPERLINK("https://lsnyc.legalserver.org/matter/dynamic-profile/view/1884139","18-1884139")</f>
        <v>0</v>
      </c>
      <c r="B9483" t="s">
        <v>144</v>
      </c>
      <c r="C9483" t="s">
        <v>340</v>
      </c>
      <c r="D9483" t="s">
        <v>652</v>
      </c>
      <c r="F9483" t="s">
        <v>2234</v>
      </c>
      <c r="G9483" t="s">
        <v>5385</v>
      </c>
      <c r="H9483" t="s">
        <v>16108</v>
      </c>
      <c r="I9483" t="s">
        <v>17277</v>
      </c>
      <c r="J9483" t="s">
        <v>18893</v>
      </c>
      <c r="K9483">
        <v>10027</v>
      </c>
      <c r="L9483" t="s">
        <v>18958</v>
      </c>
      <c r="M9483" t="s">
        <v>18958</v>
      </c>
      <c r="N9483" t="s">
        <v>25561</v>
      </c>
      <c r="O9483" t="s">
        <v>26523</v>
      </c>
      <c r="P9483" t="s">
        <v>26560</v>
      </c>
      <c r="R9483" t="s">
        <v>26580</v>
      </c>
      <c r="S9483" t="s">
        <v>18959</v>
      </c>
      <c r="U9483" t="s">
        <v>26604</v>
      </c>
      <c r="X9483">
        <v>861</v>
      </c>
      <c r="Y9483" t="s">
        <v>26651</v>
      </c>
      <c r="Z9483" t="s">
        <v>26664</v>
      </c>
      <c r="AB9483" t="s">
        <v>33442</v>
      </c>
      <c r="AD9483" t="s">
        <v>44190</v>
      </c>
      <c r="AE9483">
        <v>10</v>
      </c>
      <c r="AF9483" t="s">
        <v>45541</v>
      </c>
      <c r="AG9483" t="s">
        <v>19330</v>
      </c>
      <c r="AH9483">
        <v>3</v>
      </c>
      <c r="AI9483">
        <v>1</v>
      </c>
      <c r="AJ9483">
        <v>0</v>
      </c>
      <c r="AK9483">
        <v>14.33</v>
      </c>
      <c r="AN9483" t="s">
        <v>7439</v>
      </c>
      <c r="AO9483">
        <v>1740</v>
      </c>
      <c r="AU9483">
        <v>163.85</v>
      </c>
      <c r="AV9483" t="s">
        <v>814</v>
      </c>
      <c r="AW9483" t="s">
        <v>314</v>
      </c>
    </row>
    <row r="9484" spans="1:49">
      <c r="A9484" s="1">
        <f>HYPERLINK("https://lsnyc.legalserver.org/matter/dynamic-profile/view/1884115","18-1884115")</f>
        <v>0</v>
      </c>
      <c r="B9484" t="s">
        <v>183</v>
      </c>
      <c r="C9484" t="s">
        <v>340</v>
      </c>
      <c r="D9484" t="s">
        <v>652</v>
      </c>
      <c r="F9484" t="s">
        <v>4576</v>
      </c>
      <c r="G9484" t="s">
        <v>4966</v>
      </c>
      <c r="H9484" t="s">
        <v>16109</v>
      </c>
      <c r="I9484" t="s">
        <v>18683</v>
      </c>
      <c r="J9484" t="s">
        <v>18893</v>
      </c>
      <c r="K9484">
        <v>10027</v>
      </c>
      <c r="L9484" t="s">
        <v>18958</v>
      </c>
      <c r="M9484" t="s">
        <v>18958</v>
      </c>
      <c r="N9484" t="s">
        <v>25562</v>
      </c>
      <c r="O9484" t="s">
        <v>26523</v>
      </c>
      <c r="P9484" t="s">
        <v>26560</v>
      </c>
      <c r="R9484" t="s">
        <v>26580</v>
      </c>
      <c r="S9484" t="s">
        <v>18959</v>
      </c>
      <c r="U9484" t="s">
        <v>26604</v>
      </c>
      <c r="X9484">
        <v>1138</v>
      </c>
      <c r="Y9484" t="s">
        <v>26651</v>
      </c>
      <c r="Z9484" t="s">
        <v>26664</v>
      </c>
      <c r="AB9484" t="s">
        <v>33443</v>
      </c>
      <c r="AD9484" t="s">
        <v>44191</v>
      </c>
      <c r="AE9484">
        <v>40</v>
      </c>
      <c r="AF9484" t="s">
        <v>20460</v>
      </c>
      <c r="AG9484" t="s">
        <v>19330</v>
      </c>
      <c r="AH9484">
        <v>2</v>
      </c>
      <c r="AI9484">
        <v>2</v>
      </c>
      <c r="AJ9484">
        <v>0</v>
      </c>
      <c r="AK9484">
        <v>94.78</v>
      </c>
      <c r="AN9484" t="s">
        <v>7439</v>
      </c>
      <c r="AO9484">
        <v>15600</v>
      </c>
      <c r="AU9484">
        <v>41.17</v>
      </c>
      <c r="AV9484" t="s">
        <v>835</v>
      </c>
      <c r="AW9484" t="s">
        <v>314</v>
      </c>
    </row>
    <row r="9485" spans="1:49">
      <c r="A9485" s="1">
        <f>HYPERLINK("https://lsnyc.legalserver.org/matter/dynamic-profile/view/1884202","18-1884202")</f>
        <v>0</v>
      </c>
      <c r="B9485" t="s">
        <v>165</v>
      </c>
      <c r="C9485" t="s">
        <v>340</v>
      </c>
      <c r="D9485" t="s">
        <v>652</v>
      </c>
      <c r="F9485" t="s">
        <v>1248</v>
      </c>
      <c r="G9485" t="s">
        <v>9063</v>
      </c>
      <c r="H9485" t="s">
        <v>10730</v>
      </c>
      <c r="I9485" t="s">
        <v>17283</v>
      </c>
      <c r="J9485" t="s">
        <v>18893</v>
      </c>
      <c r="K9485">
        <v>10027</v>
      </c>
      <c r="L9485" t="s">
        <v>18958</v>
      </c>
      <c r="M9485" t="s">
        <v>18958</v>
      </c>
      <c r="N9485" t="s">
        <v>25563</v>
      </c>
      <c r="O9485" t="s">
        <v>26523</v>
      </c>
      <c r="P9485" t="s">
        <v>26566</v>
      </c>
      <c r="R9485" t="s">
        <v>26580</v>
      </c>
      <c r="S9485" t="s">
        <v>18959</v>
      </c>
      <c r="U9485" t="s">
        <v>26605</v>
      </c>
      <c r="X9485">
        <v>407</v>
      </c>
      <c r="Y9485" t="s">
        <v>26651</v>
      </c>
      <c r="Z9485" t="s">
        <v>26664</v>
      </c>
      <c r="AB9485" t="s">
        <v>33444</v>
      </c>
      <c r="AD9485" t="s">
        <v>44192</v>
      </c>
      <c r="AE9485">
        <v>878</v>
      </c>
      <c r="AF9485" t="s">
        <v>45549</v>
      </c>
      <c r="AG9485" t="s">
        <v>19330</v>
      </c>
      <c r="AH9485">
        <v>10</v>
      </c>
      <c r="AI9485">
        <v>2</v>
      </c>
      <c r="AJ9485">
        <v>0</v>
      </c>
      <c r="AK9485">
        <v>104.98</v>
      </c>
      <c r="AN9485" t="s">
        <v>7439</v>
      </c>
      <c r="AO9485">
        <v>17280</v>
      </c>
      <c r="AU9485">
        <v>2.3</v>
      </c>
      <c r="AV9485" t="s">
        <v>831</v>
      </c>
      <c r="AW9485" t="s">
        <v>46875</v>
      </c>
    </row>
    <row r="9486" spans="1:49">
      <c r="A9486" s="1">
        <f>HYPERLINK("https://lsnyc.legalserver.org/matter/dynamic-profile/view/1884108","18-1884108")</f>
        <v>0</v>
      </c>
      <c r="B9486" t="s">
        <v>85</v>
      </c>
      <c r="C9486" t="s">
        <v>340</v>
      </c>
      <c r="D9486" t="s">
        <v>652</v>
      </c>
      <c r="F9486" t="s">
        <v>887</v>
      </c>
      <c r="G9486" t="s">
        <v>5969</v>
      </c>
      <c r="H9486" t="s">
        <v>11346</v>
      </c>
      <c r="I9486" t="s">
        <v>18684</v>
      </c>
      <c r="J9486" t="s">
        <v>18897</v>
      </c>
      <c r="K9486">
        <v>11415</v>
      </c>
      <c r="L9486" t="s">
        <v>18960</v>
      </c>
      <c r="M9486" t="s">
        <v>18960</v>
      </c>
      <c r="N9486" t="s">
        <v>18997</v>
      </c>
      <c r="O9486" t="s">
        <v>26539</v>
      </c>
      <c r="P9486" t="s">
        <v>26562</v>
      </c>
      <c r="R9486" t="s">
        <v>26578</v>
      </c>
      <c r="S9486" t="s">
        <v>18958</v>
      </c>
      <c r="U9486" t="s">
        <v>26604</v>
      </c>
      <c r="V9486" t="s">
        <v>26610</v>
      </c>
      <c r="X9486">
        <v>0</v>
      </c>
      <c r="Y9486" t="s">
        <v>26653</v>
      </c>
      <c r="Z9486" t="s">
        <v>26659</v>
      </c>
      <c r="AB9486" t="s">
        <v>33445</v>
      </c>
      <c r="AD9486" t="s">
        <v>34738</v>
      </c>
      <c r="AE9486">
        <v>57</v>
      </c>
      <c r="AF9486" t="s">
        <v>45541</v>
      </c>
      <c r="AG9486" t="s">
        <v>19330</v>
      </c>
      <c r="AH9486">
        <v>2</v>
      </c>
      <c r="AI9486">
        <v>1</v>
      </c>
      <c r="AJ9486">
        <v>0</v>
      </c>
      <c r="AK9486">
        <v>0</v>
      </c>
      <c r="AN9486" t="s">
        <v>45581</v>
      </c>
      <c r="AO9486">
        <v>0</v>
      </c>
      <c r="AU9486">
        <v>0.95</v>
      </c>
      <c r="AV9486" t="s">
        <v>697</v>
      </c>
      <c r="AW9486" t="s">
        <v>208</v>
      </c>
    </row>
    <row r="9487" spans="1:49">
      <c r="A9487" s="1">
        <f>HYPERLINK("https://lsnyc.legalserver.org/matter/dynamic-profile/view/1884209","18-1884209")</f>
        <v>0</v>
      </c>
      <c r="B9487" t="s">
        <v>198</v>
      </c>
      <c r="C9487" t="s">
        <v>340</v>
      </c>
      <c r="D9487" t="s">
        <v>652</v>
      </c>
      <c r="F9487" t="s">
        <v>1233</v>
      </c>
      <c r="G9487" t="s">
        <v>7605</v>
      </c>
      <c r="H9487" t="s">
        <v>12606</v>
      </c>
      <c r="I9487" t="s">
        <v>17288</v>
      </c>
      <c r="J9487" t="s">
        <v>18894</v>
      </c>
      <c r="K9487">
        <v>11226</v>
      </c>
      <c r="L9487" t="s">
        <v>18960</v>
      </c>
      <c r="M9487" t="s">
        <v>18960</v>
      </c>
      <c r="R9487" t="s">
        <v>26578</v>
      </c>
      <c r="U9487" t="s">
        <v>26604</v>
      </c>
      <c r="X9487">
        <v>0</v>
      </c>
      <c r="Y9487" t="s">
        <v>26652</v>
      </c>
      <c r="AB9487" t="s">
        <v>33446</v>
      </c>
      <c r="AE9487">
        <v>0</v>
      </c>
      <c r="AH9487">
        <v>0</v>
      </c>
      <c r="AI9487">
        <v>2</v>
      </c>
      <c r="AJ9487">
        <v>0</v>
      </c>
      <c r="AK9487">
        <v>0</v>
      </c>
      <c r="AN9487" t="s">
        <v>7439</v>
      </c>
      <c r="AO9487">
        <v>0</v>
      </c>
      <c r="AU9487">
        <v>1.3</v>
      </c>
      <c r="AV9487" t="s">
        <v>692</v>
      </c>
      <c r="AW9487" t="s">
        <v>198</v>
      </c>
    </row>
    <row r="9488" spans="1:49">
      <c r="A9488" s="1">
        <f>HYPERLINK("https://lsnyc.legalserver.org/matter/dynamic-profile/view/1884224","18-1884224")</f>
        <v>0</v>
      </c>
      <c r="B9488" t="s">
        <v>59</v>
      </c>
      <c r="C9488" t="s">
        <v>340</v>
      </c>
      <c r="D9488" t="s">
        <v>652</v>
      </c>
      <c r="F9488" t="s">
        <v>3625</v>
      </c>
      <c r="G9488" t="s">
        <v>5483</v>
      </c>
      <c r="H9488" t="s">
        <v>11405</v>
      </c>
      <c r="I9488" t="s">
        <v>17293</v>
      </c>
      <c r="J9488" t="s">
        <v>18893</v>
      </c>
      <c r="K9488">
        <v>10031</v>
      </c>
      <c r="L9488" t="s">
        <v>18958</v>
      </c>
      <c r="M9488" t="s">
        <v>18958</v>
      </c>
      <c r="N9488" t="s">
        <v>25564</v>
      </c>
      <c r="O9488" t="s">
        <v>26523</v>
      </c>
      <c r="P9488" t="s">
        <v>26560</v>
      </c>
      <c r="R9488" t="s">
        <v>26580</v>
      </c>
      <c r="S9488" t="s">
        <v>18959</v>
      </c>
      <c r="U9488" t="s">
        <v>26604</v>
      </c>
      <c r="X9488">
        <v>1168</v>
      </c>
      <c r="Y9488" t="s">
        <v>26651</v>
      </c>
      <c r="Z9488" t="s">
        <v>26664</v>
      </c>
      <c r="AB9488" t="s">
        <v>33447</v>
      </c>
      <c r="AD9488" t="s">
        <v>44193</v>
      </c>
      <c r="AE9488">
        <v>0</v>
      </c>
      <c r="AF9488" t="s">
        <v>45544</v>
      </c>
      <c r="AG9488" t="s">
        <v>19330</v>
      </c>
      <c r="AH9488">
        <v>17</v>
      </c>
      <c r="AI9488">
        <v>2</v>
      </c>
      <c r="AJ9488">
        <v>0</v>
      </c>
      <c r="AK9488">
        <v>145.81</v>
      </c>
      <c r="AN9488" t="s">
        <v>7439</v>
      </c>
      <c r="AO9488">
        <v>24000</v>
      </c>
      <c r="AU9488">
        <v>35</v>
      </c>
      <c r="AV9488" t="s">
        <v>732</v>
      </c>
      <c r="AW9488" t="s">
        <v>314</v>
      </c>
    </row>
    <row r="9489" spans="1:49">
      <c r="A9489" s="1">
        <f>HYPERLINK("https://lsnyc.legalserver.org/matter/dynamic-profile/view/1885519","18-1885519")</f>
        <v>0</v>
      </c>
      <c r="B9489" t="s">
        <v>205</v>
      </c>
      <c r="C9489" t="s">
        <v>340</v>
      </c>
      <c r="D9489" t="s">
        <v>652</v>
      </c>
      <c r="F9489" t="s">
        <v>3462</v>
      </c>
      <c r="G9489" t="s">
        <v>5266</v>
      </c>
      <c r="H9489" t="s">
        <v>16110</v>
      </c>
      <c r="I9489" t="s">
        <v>17331</v>
      </c>
      <c r="J9489" t="s">
        <v>18894</v>
      </c>
      <c r="K9489">
        <v>11207</v>
      </c>
      <c r="L9489" t="s">
        <v>18960</v>
      </c>
      <c r="M9489" t="s">
        <v>18960</v>
      </c>
      <c r="P9489" t="s">
        <v>26560</v>
      </c>
      <c r="R9489" t="s">
        <v>26578</v>
      </c>
      <c r="U9489" t="s">
        <v>26604</v>
      </c>
      <c r="X9489">
        <v>0</v>
      </c>
      <c r="Y9489" t="s">
        <v>26652</v>
      </c>
      <c r="AB9489" t="s">
        <v>26891</v>
      </c>
      <c r="AD9489" t="s">
        <v>44194</v>
      </c>
      <c r="AE9489">
        <v>0</v>
      </c>
      <c r="AH9489">
        <v>0</v>
      </c>
      <c r="AI9489">
        <v>2</v>
      </c>
      <c r="AJ9489">
        <v>1</v>
      </c>
      <c r="AK9489">
        <v>17.32</v>
      </c>
      <c r="AN9489" t="s">
        <v>7439</v>
      </c>
      <c r="AO9489">
        <v>3600</v>
      </c>
      <c r="AU9489">
        <v>22.25</v>
      </c>
      <c r="AV9489" t="s">
        <v>834</v>
      </c>
      <c r="AW9489" t="s">
        <v>205</v>
      </c>
    </row>
    <row r="9490" spans="1:49">
      <c r="A9490" s="1">
        <f>HYPERLINK("https://lsnyc.legalserver.org/matter/dynamic-profile/view/1884348","18-1884348")</f>
        <v>0</v>
      </c>
      <c r="B9490" t="s">
        <v>319</v>
      </c>
      <c r="C9490" t="s">
        <v>341</v>
      </c>
      <c r="D9490" t="s">
        <v>675</v>
      </c>
      <c r="E9490" t="s">
        <v>675</v>
      </c>
      <c r="F9490" t="s">
        <v>2111</v>
      </c>
      <c r="G9490" t="s">
        <v>3599</v>
      </c>
      <c r="H9490" t="s">
        <v>16111</v>
      </c>
      <c r="J9490" t="s">
        <v>18894</v>
      </c>
      <c r="K9490">
        <v>11207</v>
      </c>
      <c r="L9490" t="s">
        <v>18960</v>
      </c>
      <c r="M9490" t="s">
        <v>18960</v>
      </c>
      <c r="Q9490" t="s">
        <v>26570</v>
      </c>
      <c r="R9490" t="s">
        <v>26583</v>
      </c>
      <c r="U9490" t="s">
        <v>26607</v>
      </c>
      <c r="X9490">
        <v>0</v>
      </c>
      <c r="Y9490" t="s">
        <v>26652</v>
      </c>
      <c r="AA9490" t="s">
        <v>26689</v>
      </c>
      <c r="AB9490" t="s">
        <v>33448</v>
      </c>
      <c r="AE9490">
        <v>0</v>
      </c>
      <c r="AH9490">
        <v>0</v>
      </c>
      <c r="AI9490">
        <v>1</v>
      </c>
      <c r="AJ9490">
        <v>1</v>
      </c>
      <c r="AK9490">
        <v>43.74</v>
      </c>
      <c r="AN9490" t="s">
        <v>7439</v>
      </c>
      <c r="AO9490">
        <v>7200</v>
      </c>
      <c r="AU9490">
        <v>0.5</v>
      </c>
      <c r="AV9490" t="s">
        <v>675</v>
      </c>
      <c r="AW9490" t="s">
        <v>319</v>
      </c>
    </row>
    <row r="9491" spans="1:49">
      <c r="A9491" s="1">
        <f>HYPERLINK("https://lsnyc.legalserver.org/matter/dynamic-profile/view/1884272","18-1884272")</f>
        <v>0</v>
      </c>
      <c r="B9491" t="s">
        <v>113</v>
      </c>
      <c r="C9491" t="s">
        <v>341</v>
      </c>
      <c r="D9491" t="s">
        <v>675</v>
      </c>
      <c r="E9491" t="s">
        <v>765</v>
      </c>
      <c r="F9491" t="s">
        <v>1250</v>
      </c>
      <c r="G9491" t="s">
        <v>9064</v>
      </c>
      <c r="H9491" t="s">
        <v>16112</v>
      </c>
      <c r="I9491" t="s">
        <v>17299</v>
      </c>
      <c r="J9491" t="s">
        <v>18892</v>
      </c>
      <c r="K9491">
        <v>10457</v>
      </c>
      <c r="L9491" t="s">
        <v>18960</v>
      </c>
      <c r="M9491" t="s">
        <v>18960</v>
      </c>
      <c r="O9491" t="s">
        <v>18997</v>
      </c>
      <c r="P9491" t="s">
        <v>26564</v>
      </c>
      <c r="Q9491" t="s">
        <v>26570</v>
      </c>
      <c r="R9491" t="s">
        <v>26591</v>
      </c>
      <c r="S9491" t="s">
        <v>18959</v>
      </c>
      <c r="U9491" t="s">
        <v>26604</v>
      </c>
      <c r="X9491">
        <v>1210</v>
      </c>
      <c r="Y9491" t="s">
        <v>26650</v>
      </c>
      <c r="AA9491" t="s">
        <v>26683</v>
      </c>
      <c r="AB9491" t="s">
        <v>33449</v>
      </c>
      <c r="AD9491" t="s">
        <v>44195</v>
      </c>
      <c r="AE9491">
        <v>0</v>
      </c>
      <c r="AF9491" t="s">
        <v>20460</v>
      </c>
      <c r="AG9491" t="s">
        <v>19330</v>
      </c>
      <c r="AH9491">
        <v>4</v>
      </c>
      <c r="AI9491">
        <v>1</v>
      </c>
      <c r="AJ9491">
        <v>0</v>
      </c>
      <c r="AK9491">
        <v>92.26000000000001</v>
      </c>
      <c r="AN9491" t="s">
        <v>7439</v>
      </c>
      <c r="AO9491">
        <v>11200</v>
      </c>
      <c r="AP9491" t="s">
        <v>46171</v>
      </c>
      <c r="AU9491">
        <v>0.8</v>
      </c>
      <c r="AV9491" t="s">
        <v>702</v>
      </c>
      <c r="AW9491" t="s">
        <v>46829</v>
      </c>
    </row>
    <row r="9492" spans="1:49">
      <c r="A9492" s="1">
        <f>HYPERLINK("https://lsnyc.legalserver.org/matter/dynamic-profile/view/1884260","18-1884260")</f>
        <v>0</v>
      </c>
      <c r="B9492" t="s">
        <v>60</v>
      </c>
      <c r="C9492" t="s">
        <v>341</v>
      </c>
      <c r="D9492" t="s">
        <v>675</v>
      </c>
      <c r="E9492" t="s">
        <v>792</v>
      </c>
      <c r="F9492" t="s">
        <v>1009</v>
      </c>
      <c r="G9492" t="s">
        <v>9065</v>
      </c>
      <c r="H9492" t="s">
        <v>16113</v>
      </c>
      <c r="I9492">
        <v>54</v>
      </c>
      <c r="J9492" t="s">
        <v>18892</v>
      </c>
      <c r="K9492">
        <v>10452</v>
      </c>
      <c r="L9492" t="s">
        <v>18960</v>
      </c>
      <c r="M9492" t="s">
        <v>18960</v>
      </c>
      <c r="O9492" t="s">
        <v>26526</v>
      </c>
      <c r="Q9492" t="s">
        <v>26570</v>
      </c>
      <c r="R9492" t="s">
        <v>26591</v>
      </c>
      <c r="S9492" t="s">
        <v>18959</v>
      </c>
      <c r="U9492" t="s">
        <v>26604</v>
      </c>
      <c r="X9492">
        <v>707.47</v>
      </c>
      <c r="Y9492" t="s">
        <v>26650</v>
      </c>
      <c r="Z9492" t="s">
        <v>26673</v>
      </c>
      <c r="AA9492" t="s">
        <v>26683</v>
      </c>
      <c r="AB9492" t="s">
        <v>33450</v>
      </c>
      <c r="AD9492" t="s">
        <v>44196</v>
      </c>
      <c r="AE9492">
        <v>30</v>
      </c>
      <c r="AF9492" t="s">
        <v>20460</v>
      </c>
      <c r="AG9492" t="s">
        <v>19330</v>
      </c>
      <c r="AH9492">
        <v>46</v>
      </c>
      <c r="AI9492">
        <v>1</v>
      </c>
      <c r="AJ9492">
        <v>0</v>
      </c>
      <c r="AK9492">
        <v>194.93</v>
      </c>
      <c r="AN9492" t="s">
        <v>7439</v>
      </c>
      <c r="AO9492">
        <v>23664</v>
      </c>
      <c r="AP9492" t="s">
        <v>46172</v>
      </c>
      <c r="AU9492">
        <v>0.8</v>
      </c>
      <c r="AV9492" t="s">
        <v>800</v>
      </c>
      <c r="AW9492" t="s">
        <v>46841</v>
      </c>
    </row>
    <row r="9493" spans="1:49">
      <c r="A9493" s="1">
        <f>HYPERLINK("https://lsnyc.legalserver.org/matter/dynamic-profile/view/1884258","18-1884258")</f>
        <v>0</v>
      </c>
      <c r="B9493" t="s">
        <v>179</v>
      </c>
      <c r="C9493" t="s">
        <v>341</v>
      </c>
      <c r="D9493" t="s">
        <v>675</v>
      </c>
      <c r="E9493" t="s">
        <v>707</v>
      </c>
      <c r="F9493" t="s">
        <v>1583</v>
      </c>
      <c r="G9493" t="s">
        <v>9066</v>
      </c>
      <c r="H9493" t="s">
        <v>16114</v>
      </c>
      <c r="I9493" t="s">
        <v>17370</v>
      </c>
      <c r="J9493" t="s">
        <v>18894</v>
      </c>
      <c r="K9493">
        <v>11207</v>
      </c>
      <c r="L9493" t="s">
        <v>18960</v>
      </c>
      <c r="M9493" t="s">
        <v>18960</v>
      </c>
      <c r="N9493" t="s">
        <v>25565</v>
      </c>
      <c r="O9493" t="s">
        <v>26523</v>
      </c>
      <c r="P9493" t="s">
        <v>26564</v>
      </c>
      <c r="Q9493" t="s">
        <v>26570</v>
      </c>
      <c r="R9493" t="s">
        <v>26591</v>
      </c>
      <c r="U9493" t="s">
        <v>26605</v>
      </c>
      <c r="X9493">
        <v>241</v>
      </c>
      <c r="Y9493" t="s">
        <v>26652</v>
      </c>
      <c r="AA9493" t="s">
        <v>26680</v>
      </c>
      <c r="AB9493" t="s">
        <v>27692</v>
      </c>
      <c r="AD9493" t="s">
        <v>44197</v>
      </c>
      <c r="AE9493">
        <v>0</v>
      </c>
      <c r="AF9493" t="s">
        <v>45549</v>
      </c>
      <c r="AG9493" t="s">
        <v>45556</v>
      </c>
      <c r="AH9493">
        <v>3</v>
      </c>
      <c r="AI9493">
        <v>1</v>
      </c>
      <c r="AJ9493">
        <v>0</v>
      </c>
      <c r="AK9493">
        <v>82.73</v>
      </c>
      <c r="AN9493" t="s">
        <v>7439</v>
      </c>
      <c r="AO9493">
        <v>10044</v>
      </c>
      <c r="AU9493">
        <v>5.5</v>
      </c>
      <c r="AV9493" t="s">
        <v>707</v>
      </c>
      <c r="AW9493" t="s">
        <v>46859</v>
      </c>
    </row>
    <row r="9494" spans="1:49">
      <c r="A9494" s="1">
        <f>HYPERLINK("https://lsnyc.legalserver.org/matter/dynamic-profile/view/1884363","18-1884363")</f>
        <v>0</v>
      </c>
      <c r="B9494" t="s">
        <v>162</v>
      </c>
      <c r="C9494" t="s">
        <v>341</v>
      </c>
      <c r="D9494" t="s">
        <v>675</v>
      </c>
      <c r="E9494" t="s">
        <v>704</v>
      </c>
      <c r="F9494" t="s">
        <v>1531</v>
      </c>
      <c r="G9494" t="s">
        <v>5447</v>
      </c>
      <c r="H9494" t="s">
        <v>16115</v>
      </c>
      <c r="I9494" t="s">
        <v>17306</v>
      </c>
      <c r="J9494" t="s">
        <v>18894</v>
      </c>
      <c r="K9494">
        <v>11221</v>
      </c>
      <c r="L9494" t="s">
        <v>18958</v>
      </c>
      <c r="M9494" t="s">
        <v>18960</v>
      </c>
      <c r="N9494" t="s">
        <v>25566</v>
      </c>
      <c r="O9494" t="s">
        <v>26533</v>
      </c>
      <c r="P9494" t="s">
        <v>26560</v>
      </c>
      <c r="Q9494" t="s">
        <v>26568</v>
      </c>
      <c r="R9494" t="s">
        <v>26583</v>
      </c>
      <c r="S9494" t="s">
        <v>18959</v>
      </c>
      <c r="U9494" t="s">
        <v>26604</v>
      </c>
      <c r="V9494" t="s">
        <v>26614</v>
      </c>
      <c r="X9494">
        <v>2200</v>
      </c>
      <c r="Y9494" t="s">
        <v>26652</v>
      </c>
      <c r="Z9494" t="s">
        <v>26669</v>
      </c>
      <c r="AA9494" t="s">
        <v>26678</v>
      </c>
      <c r="AB9494" t="s">
        <v>30117</v>
      </c>
      <c r="AD9494" t="s">
        <v>44198</v>
      </c>
      <c r="AE9494">
        <v>4</v>
      </c>
      <c r="AF9494" t="s">
        <v>45541</v>
      </c>
      <c r="AG9494" t="s">
        <v>19330</v>
      </c>
      <c r="AH9494">
        <v>1</v>
      </c>
      <c r="AI9494">
        <v>2</v>
      </c>
      <c r="AJ9494">
        <v>0</v>
      </c>
      <c r="AK9494">
        <v>364.52</v>
      </c>
      <c r="AN9494" t="s">
        <v>7439</v>
      </c>
      <c r="AO9494">
        <v>60000</v>
      </c>
      <c r="AQ9494" t="s">
        <v>46365</v>
      </c>
      <c r="AR9494" t="s">
        <v>26530</v>
      </c>
      <c r="AS9494" t="s">
        <v>46499</v>
      </c>
      <c r="AT9494" t="s">
        <v>46614</v>
      </c>
      <c r="AU9494">
        <v>27.8</v>
      </c>
      <c r="AV9494" t="s">
        <v>699</v>
      </c>
      <c r="AW9494" t="s">
        <v>46856</v>
      </c>
    </row>
    <row r="9495" spans="1:49">
      <c r="A9495" s="1">
        <f>HYPERLINK("https://lsnyc.legalserver.org/matter/dynamic-profile/view/1884346","18-1884346")</f>
        <v>0</v>
      </c>
      <c r="B9495" t="s">
        <v>209</v>
      </c>
      <c r="C9495" t="s">
        <v>341</v>
      </c>
      <c r="D9495" t="s">
        <v>675</v>
      </c>
      <c r="E9495" t="s">
        <v>667</v>
      </c>
      <c r="F9495" t="s">
        <v>1870</v>
      </c>
      <c r="G9495" t="s">
        <v>9067</v>
      </c>
      <c r="H9495" t="s">
        <v>16116</v>
      </c>
      <c r="I9495" t="s">
        <v>17374</v>
      </c>
      <c r="J9495" t="s">
        <v>18900</v>
      </c>
      <c r="K9495">
        <v>11358</v>
      </c>
      <c r="L9495" t="s">
        <v>18960</v>
      </c>
      <c r="M9495" t="s">
        <v>18960</v>
      </c>
      <c r="P9495" t="s">
        <v>26564</v>
      </c>
      <c r="Q9495" t="s">
        <v>26570</v>
      </c>
      <c r="R9495" t="s">
        <v>26591</v>
      </c>
      <c r="U9495" t="s">
        <v>26604</v>
      </c>
      <c r="X9495">
        <v>1700</v>
      </c>
      <c r="Y9495" t="s">
        <v>26653</v>
      </c>
      <c r="AA9495" t="s">
        <v>26683</v>
      </c>
      <c r="AB9495" t="s">
        <v>33451</v>
      </c>
      <c r="AD9495" t="s">
        <v>44199</v>
      </c>
      <c r="AE9495">
        <v>0</v>
      </c>
      <c r="AH9495">
        <v>1</v>
      </c>
      <c r="AI9495">
        <v>2</v>
      </c>
      <c r="AJ9495">
        <v>0</v>
      </c>
      <c r="AK9495">
        <v>19.74</v>
      </c>
      <c r="AN9495" t="s">
        <v>7439</v>
      </c>
      <c r="AO9495">
        <v>3250</v>
      </c>
      <c r="AU9495">
        <v>0.8</v>
      </c>
      <c r="AV9495" t="s">
        <v>667</v>
      </c>
      <c r="AW9495" t="s">
        <v>46849</v>
      </c>
    </row>
    <row r="9496" spans="1:49">
      <c r="A9496" s="1">
        <f>HYPERLINK("https://lsnyc.legalserver.org/matter/dynamic-profile/view/1884758","18-1884758")</f>
        <v>0</v>
      </c>
      <c r="B9496" t="s">
        <v>236</v>
      </c>
      <c r="C9496" t="s">
        <v>341</v>
      </c>
      <c r="D9496" t="s">
        <v>675</v>
      </c>
      <c r="E9496" t="s">
        <v>699</v>
      </c>
      <c r="F9496" t="s">
        <v>4328</v>
      </c>
      <c r="G9496" t="s">
        <v>1725</v>
      </c>
      <c r="H9496" t="s">
        <v>10849</v>
      </c>
      <c r="I9496">
        <v>9</v>
      </c>
      <c r="J9496" t="s">
        <v>18892</v>
      </c>
      <c r="K9496">
        <v>10453</v>
      </c>
      <c r="L9496" t="s">
        <v>18958</v>
      </c>
      <c r="M9496" t="s">
        <v>18958</v>
      </c>
      <c r="N9496" t="s">
        <v>25567</v>
      </c>
      <c r="O9496" t="s">
        <v>26524</v>
      </c>
      <c r="P9496" t="s">
        <v>26564</v>
      </c>
      <c r="Q9496" t="s">
        <v>26570</v>
      </c>
      <c r="R9496" t="s">
        <v>26591</v>
      </c>
      <c r="S9496" t="s">
        <v>18959</v>
      </c>
      <c r="U9496" t="s">
        <v>26604</v>
      </c>
      <c r="V9496" t="s">
        <v>26610</v>
      </c>
      <c r="X9496">
        <v>855.41</v>
      </c>
      <c r="Y9496" t="s">
        <v>26650</v>
      </c>
      <c r="Z9496" t="s">
        <v>26663</v>
      </c>
      <c r="AA9496" t="s">
        <v>26683</v>
      </c>
      <c r="AB9496" t="s">
        <v>33452</v>
      </c>
      <c r="AE9496">
        <v>0</v>
      </c>
      <c r="AF9496" t="s">
        <v>45541</v>
      </c>
      <c r="AH9496">
        <v>29</v>
      </c>
      <c r="AI9496">
        <v>2</v>
      </c>
      <c r="AJ9496">
        <v>2</v>
      </c>
      <c r="AK9496">
        <v>124.3</v>
      </c>
      <c r="AN9496" t="s">
        <v>45581</v>
      </c>
      <c r="AO9496">
        <v>31200</v>
      </c>
      <c r="AP9496" t="s">
        <v>46173</v>
      </c>
      <c r="AU9496">
        <v>0.25</v>
      </c>
      <c r="AV9496" t="s">
        <v>682</v>
      </c>
      <c r="AW9496" t="s">
        <v>336</v>
      </c>
    </row>
    <row r="9497" spans="1:49">
      <c r="A9497" s="1">
        <f>HYPERLINK("https://lsnyc.legalserver.org/matter/dynamic-profile/view/1884324","18-1884324")</f>
        <v>0</v>
      </c>
      <c r="B9497" t="s">
        <v>207</v>
      </c>
      <c r="C9497" t="s">
        <v>341</v>
      </c>
      <c r="D9497" t="s">
        <v>675</v>
      </c>
      <c r="E9497" t="s">
        <v>752</v>
      </c>
      <c r="F9497" t="s">
        <v>887</v>
      </c>
      <c r="G9497" t="s">
        <v>9068</v>
      </c>
      <c r="H9497" t="s">
        <v>16117</v>
      </c>
      <c r="J9497" t="s">
        <v>18894</v>
      </c>
      <c r="K9497">
        <v>11215</v>
      </c>
      <c r="L9497" t="s">
        <v>18960</v>
      </c>
      <c r="M9497" t="s">
        <v>18960</v>
      </c>
      <c r="P9497" t="s">
        <v>26564</v>
      </c>
      <c r="Q9497" t="s">
        <v>26573</v>
      </c>
      <c r="R9497" t="s">
        <v>26586</v>
      </c>
      <c r="T9497" t="s">
        <v>26586</v>
      </c>
      <c r="U9497" t="s">
        <v>26604</v>
      </c>
      <c r="X9497">
        <v>700</v>
      </c>
      <c r="Y9497" t="s">
        <v>26652</v>
      </c>
      <c r="AA9497" t="s">
        <v>26678</v>
      </c>
      <c r="AB9497" t="s">
        <v>27657</v>
      </c>
      <c r="AE9497">
        <v>20</v>
      </c>
      <c r="AH9497">
        <v>40</v>
      </c>
      <c r="AI9497">
        <v>1</v>
      </c>
      <c r="AJ9497">
        <v>1</v>
      </c>
      <c r="AK9497">
        <v>55.92</v>
      </c>
      <c r="AN9497" t="s">
        <v>7439</v>
      </c>
      <c r="AO9497">
        <v>9204</v>
      </c>
      <c r="AS9497" t="s">
        <v>46499</v>
      </c>
      <c r="AU9497">
        <v>9.5</v>
      </c>
      <c r="AV9497" t="s">
        <v>668</v>
      </c>
      <c r="AW9497" t="s">
        <v>319</v>
      </c>
    </row>
    <row r="9498" spans="1:49">
      <c r="A9498" s="1">
        <f>HYPERLINK("https://lsnyc.legalserver.org/matter/dynamic-profile/view/1884671","18-1884671")</f>
        <v>0</v>
      </c>
      <c r="B9498" t="s">
        <v>201</v>
      </c>
      <c r="C9498" t="s">
        <v>341</v>
      </c>
      <c r="D9498" t="s">
        <v>675</v>
      </c>
      <c r="E9498" t="s">
        <v>756</v>
      </c>
      <c r="F9498" t="s">
        <v>1056</v>
      </c>
      <c r="G9498" t="s">
        <v>9069</v>
      </c>
      <c r="H9498" t="s">
        <v>16118</v>
      </c>
      <c r="I9498" t="s">
        <v>18685</v>
      </c>
      <c r="J9498" t="s">
        <v>18894</v>
      </c>
      <c r="K9498">
        <v>11229</v>
      </c>
      <c r="L9498" t="s">
        <v>18960</v>
      </c>
      <c r="M9498" t="s">
        <v>18960</v>
      </c>
      <c r="Q9498" t="s">
        <v>26571</v>
      </c>
      <c r="R9498" t="s">
        <v>26586</v>
      </c>
      <c r="S9498" t="s">
        <v>18959</v>
      </c>
      <c r="U9498" t="s">
        <v>26604</v>
      </c>
      <c r="X9498">
        <v>1870</v>
      </c>
      <c r="Y9498" t="s">
        <v>26652</v>
      </c>
      <c r="Z9498" t="s">
        <v>26659</v>
      </c>
      <c r="AA9498" t="s">
        <v>26678</v>
      </c>
      <c r="AB9498" t="s">
        <v>29719</v>
      </c>
      <c r="AD9498" t="s">
        <v>44200</v>
      </c>
      <c r="AE9498">
        <v>0</v>
      </c>
      <c r="AH9498">
        <v>6</v>
      </c>
      <c r="AI9498">
        <v>2</v>
      </c>
      <c r="AJ9498">
        <v>0</v>
      </c>
      <c r="AK9498">
        <v>40.1</v>
      </c>
      <c r="AN9498" t="s">
        <v>7439</v>
      </c>
      <c r="AO9498">
        <v>6600</v>
      </c>
      <c r="AU9498">
        <v>2.75</v>
      </c>
      <c r="AV9498" t="s">
        <v>756</v>
      </c>
      <c r="AW9498" t="s">
        <v>46882</v>
      </c>
    </row>
    <row r="9499" spans="1:49">
      <c r="A9499" s="1">
        <f>HYPERLINK("https://lsnyc.legalserver.org/matter/dynamic-profile/view/1884345","18-1884345")</f>
        <v>0</v>
      </c>
      <c r="B9499" t="s">
        <v>320</v>
      </c>
      <c r="C9499" t="s">
        <v>341</v>
      </c>
      <c r="D9499" t="s">
        <v>675</v>
      </c>
      <c r="E9499" t="s">
        <v>758</v>
      </c>
      <c r="F9499" t="s">
        <v>3826</v>
      </c>
      <c r="G9499" t="s">
        <v>3310</v>
      </c>
      <c r="H9499" t="s">
        <v>11129</v>
      </c>
      <c r="I9499">
        <v>423</v>
      </c>
      <c r="J9499" t="s">
        <v>18894</v>
      </c>
      <c r="K9499">
        <v>11203</v>
      </c>
      <c r="L9499" t="s">
        <v>18960</v>
      </c>
      <c r="M9499" t="s">
        <v>18960</v>
      </c>
      <c r="N9499" t="s">
        <v>25568</v>
      </c>
      <c r="O9499" t="s">
        <v>26523</v>
      </c>
      <c r="P9499" t="s">
        <v>26565</v>
      </c>
      <c r="Q9499" t="s">
        <v>26571</v>
      </c>
      <c r="R9499" t="s">
        <v>26591</v>
      </c>
      <c r="U9499" t="s">
        <v>26604</v>
      </c>
      <c r="X9499">
        <v>1313</v>
      </c>
      <c r="Y9499" t="s">
        <v>26652</v>
      </c>
      <c r="Z9499" t="s">
        <v>26657</v>
      </c>
      <c r="AA9499" t="s">
        <v>26681</v>
      </c>
      <c r="AB9499" t="s">
        <v>33453</v>
      </c>
      <c r="AD9499" t="s">
        <v>44201</v>
      </c>
      <c r="AE9499">
        <v>293</v>
      </c>
      <c r="AF9499" t="s">
        <v>45554</v>
      </c>
      <c r="AG9499" t="s">
        <v>45556</v>
      </c>
      <c r="AH9499">
        <v>1</v>
      </c>
      <c r="AI9499">
        <v>1</v>
      </c>
      <c r="AJ9499">
        <v>0</v>
      </c>
      <c r="AK9499">
        <v>74.14</v>
      </c>
      <c r="AN9499" t="s">
        <v>7439</v>
      </c>
      <c r="AO9499">
        <v>9000</v>
      </c>
      <c r="AU9499">
        <v>2.45</v>
      </c>
      <c r="AV9499" t="s">
        <v>758</v>
      </c>
      <c r="AW9499" t="s">
        <v>46858</v>
      </c>
    </row>
    <row r="9500" spans="1:49">
      <c r="A9500" s="1">
        <f>HYPERLINK("https://lsnyc.legalserver.org/matter/dynamic-profile/view/1884256","18-1884256")</f>
        <v>0</v>
      </c>
      <c r="B9500" t="s">
        <v>320</v>
      </c>
      <c r="C9500" t="s">
        <v>341</v>
      </c>
      <c r="D9500" t="s">
        <v>675</v>
      </c>
      <c r="E9500" t="s">
        <v>682</v>
      </c>
      <c r="F9500" t="s">
        <v>4287</v>
      </c>
      <c r="G9500" t="s">
        <v>9070</v>
      </c>
      <c r="H9500" t="s">
        <v>16119</v>
      </c>
      <c r="I9500" t="s">
        <v>17711</v>
      </c>
      <c r="J9500" t="s">
        <v>18894</v>
      </c>
      <c r="K9500">
        <v>11233</v>
      </c>
      <c r="L9500" t="s">
        <v>18960</v>
      </c>
      <c r="M9500" t="s">
        <v>18960</v>
      </c>
      <c r="Q9500" t="s">
        <v>26570</v>
      </c>
      <c r="R9500" t="s">
        <v>26591</v>
      </c>
      <c r="U9500" t="s">
        <v>26604</v>
      </c>
      <c r="X9500">
        <v>675</v>
      </c>
      <c r="Y9500" t="s">
        <v>26652</v>
      </c>
      <c r="AA9500" t="s">
        <v>26683</v>
      </c>
      <c r="AB9500" t="s">
        <v>33454</v>
      </c>
      <c r="AD9500" t="s">
        <v>44202</v>
      </c>
      <c r="AE9500">
        <v>3</v>
      </c>
      <c r="AH9500">
        <v>0</v>
      </c>
      <c r="AI9500">
        <v>1</v>
      </c>
      <c r="AJ9500">
        <v>0</v>
      </c>
      <c r="AK9500">
        <v>171.33</v>
      </c>
      <c r="AN9500" t="s">
        <v>7439</v>
      </c>
      <c r="AO9500">
        <v>20800</v>
      </c>
      <c r="AU9500">
        <v>0.75</v>
      </c>
      <c r="AV9500" t="s">
        <v>687</v>
      </c>
      <c r="AW9500" t="s">
        <v>46850</v>
      </c>
    </row>
    <row r="9501" spans="1:49">
      <c r="A9501" s="1">
        <f>HYPERLINK("https://lsnyc.legalserver.org/matter/dynamic-profile/view/1884333","18-1884333")</f>
        <v>0</v>
      </c>
      <c r="B9501" t="s">
        <v>108</v>
      </c>
      <c r="C9501" t="s">
        <v>340</v>
      </c>
      <c r="D9501" t="s">
        <v>675</v>
      </c>
      <c r="F9501" t="s">
        <v>4577</v>
      </c>
      <c r="G9501" t="s">
        <v>8813</v>
      </c>
      <c r="H9501" t="s">
        <v>16120</v>
      </c>
      <c r="I9501" t="s">
        <v>17272</v>
      </c>
      <c r="J9501" t="s">
        <v>18901</v>
      </c>
      <c r="K9501">
        <v>11433</v>
      </c>
      <c r="L9501" t="s">
        <v>18958</v>
      </c>
      <c r="M9501" t="s">
        <v>18958</v>
      </c>
      <c r="N9501" t="s">
        <v>25569</v>
      </c>
      <c r="O9501" t="s">
        <v>26523</v>
      </c>
      <c r="R9501" t="s">
        <v>26585</v>
      </c>
      <c r="S9501" t="s">
        <v>18958</v>
      </c>
      <c r="U9501" t="s">
        <v>26605</v>
      </c>
      <c r="V9501" t="s">
        <v>26609</v>
      </c>
      <c r="X9501">
        <v>495</v>
      </c>
      <c r="Y9501" t="s">
        <v>26653</v>
      </c>
      <c r="Z9501" t="s">
        <v>26668</v>
      </c>
      <c r="AB9501" t="s">
        <v>33455</v>
      </c>
      <c r="AD9501" t="s">
        <v>44203</v>
      </c>
      <c r="AE9501">
        <v>16</v>
      </c>
      <c r="AF9501" t="s">
        <v>45549</v>
      </c>
      <c r="AG9501" t="s">
        <v>19330</v>
      </c>
      <c r="AH9501">
        <v>11</v>
      </c>
      <c r="AI9501">
        <v>1</v>
      </c>
      <c r="AJ9501">
        <v>1</v>
      </c>
      <c r="AK9501">
        <v>212.64</v>
      </c>
      <c r="AN9501" t="s">
        <v>7439</v>
      </c>
      <c r="AO9501">
        <v>35000</v>
      </c>
      <c r="AU9501">
        <v>14.6</v>
      </c>
      <c r="AV9501" t="s">
        <v>793</v>
      </c>
      <c r="AW9501" t="s">
        <v>85</v>
      </c>
    </row>
    <row r="9502" spans="1:49">
      <c r="A9502" s="1">
        <f>HYPERLINK("https://lsnyc.legalserver.org/matter/dynamic-profile/view/1884294","18-1884294")</f>
        <v>0</v>
      </c>
      <c r="B9502" t="s">
        <v>67</v>
      </c>
      <c r="C9502" t="s">
        <v>340</v>
      </c>
      <c r="D9502" t="s">
        <v>675</v>
      </c>
      <c r="F9502" t="s">
        <v>899</v>
      </c>
      <c r="G9502" t="s">
        <v>9071</v>
      </c>
      <c r="H9502" t="s">
        <v>14269</v>
      </c>
      <c r="I9502" t="s">
        <v>18686</v>
      </c>
      <c r="J9502" t="s">
        <v>18892</v>
      </c>
      <c r="K9502">
        <v>10452</v>
      </c>
      <c r="L9502" t="s">
        <v>18960</v>
      </c>
      <c r="M9502" t="s">
        <v>18960</v>
      </c>
      <c r="O9502" t="s">
        <v>26523</v>
      </c>
      <c r="P9502" t="s">
        <v>26560</v>
      </c>
      <c r="R9502" t="s">
        <v>26578</v>
      </c>
      <c r="S9502" t="s">
        <v>18959</v>
      </c>
      <c r="U9502" t="s">
        <v>26604</v>
      </c>
      <c r="X9502">
        <v>1031</v>
      </c>
      <c r="Y9502" t="s">
        <v>26650</v>
      </c>
      <c r="Z9502" t="s">
        <v>26668</v>
      </c>
      <c r="AB9502" t="s">
        <v>30389</v>
      </c>
      <c r="AD9502" t="s">
        <v>44204</v>
      </c>
      <c r="AE9502">
        <v>49</v>
      </c>
      <c r="AF9502" t="s">
        <v>45541</v>
      </c>
      <c r="AG9502" t="s">
        <v>19330</v>
      </c>
      <c r="AH9502">
        <v>5</v>
      </c>
      <c r="AI9502">
        <v>2</v>
      </c>
      <c r="AJ9502">
        <v>2</v>
      </c>
      <c r="AK9502">
        <v>186.45</v>
      </c>
      <c r="AN9502" t="s">
        <v>7439</v>
      </c>
      <c r="AO9502">
        <v>46800</v>
      </c>
      <c r="AP9502" t="s">
        <v>45810</v>
      </c>
      <c r="AU9502">
        <v>48.6</v>
      </c>
      <c r="AV9502" t="s">
        <v>672</v>
      </c>
      <c r="AW9502" t="s">
        <v>336</v>
      </c>
    </row>
    <row r="9503" spans="1:49">
      <c r="A9503" s="1">
        <f>HYPERLINK("https://lsnyc.legalserver.org/matter/dynamic-profile/view/1884358","18-1884358")</f>
        <v>0</v>
      </c>
      <c r="B9503" t="s">
        <v>315</v>
      </c>
      <c r="C9503" t="s">
        <v>340</v>
      </c>
      <c r="D9503" t="s">
        <v>675</v>
      </c>
      <c r="F9503" t="s">
        <v>2889</v>
      </c>
      <c r="G9503" t="s">
        <v>9072</v>
      </c>
      <c r="H9503" t="s">
        <v>16121</v>
      </c>
      <c r="I9503" t="s">
        <v>17663</v>
      </c>
      <c r="J9503" t="s">
        <v>18912</v>
      </c>
      <c r="K9503">
        <v>11374</v>
      </c>
      <c r="L9503" t="s">
        <v>18960</v>
      </c>
      <c r="M9503" t="s">
        <v>18960</v>
      </c>
      <c r="R9503" t="s">
        <v>26592</v>
      </c>
      <c r="U9503" t="s">
        <v>26607</v>
      </c>
      <c r="X9503">
        <v>0</v>
      </c>
      <c r="Y9503" t="s">
        <v>26653</v>
      </c>
      <c r="AB9503" t="s">
        <v>33456</v>
      </c>
      <c r="AD9503" t="s">
        <v>44205</v>
      </c>
      <c r="AE9503">
        <v>0</v>
      </c>
      <c r="AH9503">
        <v>0</v>
      </c>
      <c r="AI9503">
        <v>2</v>
      </c>
      <c r="AJ9503">
        <v>0</v>
      </c>
      <c r="AK9503">
        <v>65.61</v>
      </c>
      <c r="AN9503" t="s">
        <v>7439</v>
      </c>
      <c r="AO9503">
        <v>10800</v>
      </c>
      <c r="AU9503">
        <v>9.25</v>
      </c>
      <c r="AV9503" t="s">
        <v>811</v>
      </c>
      <c r="AW9503" t="s">
        <v>46884</v>
      </c>
    </row>
    <row r="9504" spans="1:49">
      <c r="A9504" s="1">
        <f>HYPERLINK("https://lsnyc.legalserver.org/matter/dynamic-profile/view/1884306","18-1884306")</f>
        <v>0</v>
      </c>
      <c r="B9504" t="s">
        <v>232</v>
      </c>
      <c r="C9504" t="s">
        <v>340</v>
      </c>
      <c r="D9504" t="s">
        <v>675</v>
      </c>
      <c r="F9504" t="s">
        <v>2495</v>
      </c>
      <c r="G9504" t="s">
        <v>5074</v>
      </c>
      <c r="H9504" t="s">
        <v>16122</v>
      </c>
      <c r="I9504">
        <v>1</v>
      </c>
      <c r="J9504" t="s">
        <v>18894</v>
      </c>
      <c r="K9504">
        <v>11234</v>
      </c>
      <c r="L9504" t="s">
        <v>18958</v>
      </c>
      <c r="M9504" t="s">
        <v>18960</v>
      </c>
      <c r="N9504" t="s">
        <v>25570</v>
      </c>
      <c r="O9504" t="s">
        <v>26523</v>
      </c>
      <c r="P9504" t="s">
        <v>26560</v>
      </c>
      <c r="R9504" t="s">
        <v>26583</v>
      </c>
      <c r="U9504" t="s">
        <v>26604</v>
      </c>
      <c r="X9504">
        <v>800</v>
      </c>
      <c r="Y9504" t="s">
        <v>26652</v>
      </c>
      <c r="Z9504" t="s">
        <v>26661</v>
      </c>
      <c r="AB9504" t="s">
        <v>33457</v>
      </c>
      <c r="AD9504" t="s">
        <v>44206</v>
      </c>
      <c r="AE9504">
        <v>6</v>
      </c>
      <c r="AF9504" t="s">
        <v>45547</v>
      </c>
      <c r="AH9504">
        <v>3</v>
      </c>
      <c r="AI9504">
        <v>1</v>
      </c>
      <c r="AJ9504">
        <v>0</v>
      </c>
      <c r="AK9504">
        <v>237.23</v>
      </c>
      <c r="AN9504" t="s">
        <v>7439</v>
      </c>
      <c r="AO9504">
        <v>28800</v>
      </c>
      <c r="AU9504">
        <v>33.3</v>
      </c>
      <c r="AV9504" t="s">
        <v>809</v>
      </c>
      <c r="AW9504" t="s">
        <v>46856</v>
      </c>
    </row>
    <row r="9505" spans="1:49">
      <c r="A9505" s="1">
        <f>HYPERLINK("https://lsnyc.legalserver.org/matter/dynamic-profile/view/1884269","18-1884269")</f>
        <v>0</v>
      </c>
      <c r="B9505" t="s">
        <v>200</v>
      </c>
      <c r="C9505" t="s">
        <v>340</v>
      </c>
      <c r="D9505" t="s">
        <v>675</v>
      </c>
      <c r="F9505" t="s">
        <v>974</v>
      </c>
      <c r="G9505" t="s">
        <v>6230</v>
      </c>
      <c r="H9505" t="s">
        <v>16070</v>
      </c>
      <c r="I9505">
        <v>3</v>
      </c>
      <c r="J9505" t="s">
        <v>18894</v>
      </c>
      <c r="K9505">
        <v>11233</v>
      </c>
      <c r="L9505" t="s">
        <v>18959</v>
      </c>
      <c r="M9505" t="s">
        <v>18959</v>
      </c>
      <c r="O9505" t="s">
        <v>26526</v>
      </c>
      <c r="R9505" t="s">
        <v>26578</v>
      </c>
      <c r="S9505" t="s">
        <v>18959</v>
      </c>
      <c r="U9505" t="s">
        <v>26604</v>
      </c>
      <c r="X9505">
        <v>700</v>
      </c>
      <c r="Y9505" t="s">
        <v>26652</v>
      </c>
      <c r="Z9505" t="s">
        <v>26657</v>
      </c>
      <c r="AB9505" t="s">
        <v>33416</v>
      </c>
      <c r="AD9505" t="s">
        <v>44150</v>
      </c>
      <c r="AE9505">
        <v>3</v>
      </c>
      <c r="AF9505" t="s">
        <v>45547</v>
      </c>
      <c r="AG9505" t="s">
        <v>19330</v>
      </c>
      <c r="AH9505">
        <v>8</v>
      </c>
      <c r="AI9505">
        <v>1</v>
      </c>
      <c r="AJ9505">
        <v>0</v>
      </c>
      <c r="AK9505">
        <v>0</v>
      </c>
      <c r="AN9505" t="s">
        <v>7439</v>
      </c>
      <c r="AO9505">
        <v>0</v>
      </c>
      <c r="AU9505">
        <v>0</v>
      </c>
      <c r="AW9505" t="s">
        <v>286</v>
      </c>
    </row>
    <row r="9506" spans="1:49">
      <c r="A9506" s="1">
        <f>HYPERLINK("https://lsnyc.legalserver.org/matter/dynamic-profile/view/1884380","18-1884380")</f>
        <v>0</v>
      </c>
      <c r="B9506" t="s">
        <v>66</v>
      </c>
      <c r="C9506" t="s">
        <v>341</v>
      </c>
      <c r="D9506" t="s">
        <v>667</v>
      </c>
      <c r="E9506" t="s">
        <v>714</v>
      </c>
      <c r="F9506" t="s">
        <v>4578</v>
      </c>
      <c r="G9506" t="s">
        <v>5502</v>
      </c>
      <c r="H9506" t="s">
        <v>16123</v>
      </c>
      <c r="I9506">
        <v>1614</v>
      </c>
      <c r="J9506" t="s">
        <v>18893</v>
      </c>
      <c r="K9506">
        <v>10044</v>
      </c>
      <c r="L9506" t="s">
        <v>18958</v>
      </c>
      <c r="M9506" t="s">
        <v>18958</v>
      </c>
      <c r="N9506" t="s">
        <v>25571</v>
      </c>
      <c r="O9506" t="s">
        <v>26523</v>
      </c>
      <c r="P9506" t="s">
        <v>26564</v>
      </c>
      <c r="Q9506" t="s">
        <v>26570</v>
      </c>
      <c r="R9506" t="s">
        <v>26582</v>
      </c>
      <c r="S9506" t="s">
        <v>18959</v>
      </c>
      <c r="U9506" t="s">
        <v>26604</v>
      </c>
      <c r="X9506">
        <v>228</v>
      </c>
      <c r="Y9506" t="s">
        <v>26651</v>
      </c>
      <c r="Z9506" t="s">
        <v>26664</v>
      </c>
      <c r="AA9506" t="s">
        <v>26683</v>
      </c>
      <c r="AB9506" t="s">
        <v>33458</v>
      </c>
      <c r="AD9506" t="s">
        <v>44207</v>
      </c>
      <c r="AE9506">
        <v>0</v>
      </c>
      <c r="AF9506" t="s">
        <v>20460</v>
      </c>
      <c r="AG9506" t="s">
        <v>19330</v>
      </c>
      <c r="AH9506">
        <v>16</v>
      </c>
      <c r="AI9506">
        <v>1</v>
      </c>
      <c r="AJ9506">
        <v>0</v>
      </c>
      <c r="AK9506">
        <v>64.25</v>
      </c>
      <c r="AN9506" t="s">
        <v>7439</v>
      </c>
      <c r="AO9506">
        <v>7800</v>
      </c>
      <c r="AU9506">
        <v>1</v>
      </c>
      <c r="AV9506" t="s">
        <v>458</v>
      </c>
      <c r="AW9506" t="s">
        <v>46875</v>
      </c>
    </row>
    <row r="9507" spans="1:49">
      <c r="A9507" s="1">
        <f>HYPERLINK("https://lsnyc.legalserver.org/matter/dynamic-profile/view/1884407","18-1884407")</f>
        <v>0</v>
      </c>
      <c r="B9507" t="s">
        <v>124</v>
      </c>
      <c r="C9507" t="s">
        <v>341</v>
      </c>
      <c r="D9507" t="s">
        <v>667</v>
      </c>
      <c r="E9507" t="s">
        <v>697</v>
      </c>
      <c r="F9507" t="s">
        <v>4579</v>
      </c>
      <c r="G9507" t="s">
        <v>9073</v>
      </c>
      <c r="H9507" t="s">
        <v>16124</v>
      </c>
      <c r="I9507">
        <v>3</v>
      </c>
      <c r="J9507" t="s">
        <v>18894</v>
      </c>
      <c r="K9507">
        <v>11221</v>
      </c>
      <c r="L9507" t="s">
        <v>18960</v>
      </c>
      <c r="M9507" t="s">
        <v>18960</v>
      </c>
      <c r="O9507" t="s">
        <v>18997</v>
      </c>
      <c r="Q9507" t="s">
        <v>26570</v>
      </c>
      <c r="R9507" t="s">
        <v>26591</v>
      </c>
      <c r="U9507" t="s">
        <v>26604</v>
      </c>
      <c r="X9507">
        <v>1325</v>
      </c>
      <c r="Y9507" t="s">
        <v>26652</v>
      </c>
      <c r="AA9507" t="s">
        <v>26683</v>
      </c>
      <c r="AB9507" t="s">
        <v>27258</v>
      </c>
      <c r="AD9507" t="s">
        <v>44208</v>
      </c>
      <c r="AE9507">
        <v>0</v>
      </c>
      <c r="AF9507" t="s">
        <v>20460</v>
      </c>
      <c r="AG9507" t="s">
        <v>19330</v>
      </c>
      <c r="AH9507">
        <v>1</v>
      </c>
      <c r="AI9507">
        <v>1</v>
      </c>
      <c r="AJ9507">
        <v>0</v>
      </c>
      <c r="AK9507">
        <v>149.92</v>
      </c>
      <c r="AN9507" t="s">
        <v>7439</v>
      </c>
      <c r="AO9507">
        <v>18200</v>
      </c>
      <c r="AU9507">
        <v>3.8</v>
      </c>
      <c r="AV9507" t="s">
        <v>697</v>
      </c>
      <c r="AW9507" t="s">
        <v>46859</v>
      </c>
    </row>
    <row r="9508" spans="1:49">
      <c r="A9508" s="1">
        <f>HYPERLINK("https://lsnyc.legalserver.org/matter/dynamic-profile/view/1885914","18-1885914")</f>
        <v>0</v>
      </c>
      <c r="B9508" t="s">
        <v>201</v>
      </c>
      <c r="C9508" t="s">
        <v>341</v>
      </c>
      <c r="D9508" t="s">
        <v>667</v>
      </c>
      <c r="E9508" t="s">
        <v>792</v>
      </c>
      <c r="F9508" t="s">
        <v>1036</v>
      </c>
      <c r="G9508" t="s">
        <v>9074</v>
      </c>
      <c r="H9508" t="s">
        <v>16125</v>
      </c>
      <c r="I9508" t="s">
        <v>17629</v>
      </c>
      <c r="J9508" t="s">
        <v>18894</v>
      </c>
      <c r="K9508">
        <v>11210</v>
      </c>
      <c r="L9508" t="s">
        <v>18960</v>
      </c>
      <c r="M9508" t="s">
        <v>18960</v>
      </c>
      <c r="N9508" t="s">
        <v>25572</v>
      </c>
      <c r="O9508" t="s">
        <v>26523</v>
      </c>
      <c r="P9508" t="s">
        <v>26563</v>
      </c>
      <c r="Q9508" t="s">
        <v>26575</v>
      </c>
      <c r="R9508" t="s">
        <v>26586</v>
      </c>
      <c r="S9508" t="s">
        <v>18959</v>
      </c>
      <c r="U9508" t="s">
        <v>26604</v>
      </c>
      <c r="X9508">
        <v>1584.28</v>
      </c>
      <c r="Y9508" t="s">
        <v>26652</v>
      </c>
      <c r="Z9508" t="s">
        <v>26659</v>
      </c>
      <c r="AA9508" t="s">
        <v>26678</v>
      </c>
      <c r="AB9508" t="s">
        <v>32734</v>
      </c>
      <c r="AD9508" t="s">
        <v>44209</v>
      </c>
      <c r="AE9508">
        <v>0</v>
      </c>
      <c r="AH9508">
        <v>13</v>
      </c>
      <c r="AI9508">
        <v>3</v>
      </c>
      <c r="AJ9508">
        <v>2</v>
      </c>
      <c r="AK9508">
        <v>73.7</v>
      </c>
      <c r="AN9508" t="s">
        <v>7439</v>
      </c>
      <c r="AO9508">
        <v>21684</v>
      </c>
      <c r="AQ9508" t="s">
        <v>46359</v>
      </c>
      <c r="AR9508" t="s">
        <v>46380</v>
      </c>
      <c r="AS9508" t="s">
        <v>46499</v>
      </c>
      <c r="AT9508" t="s">
        <v>46787</v>
      </c>
      <c r="AU9508">
        <v>5.75</v>
      </c>
      <c r="AV9508" t="s">
        <v>792</v>
      </c>
      <c r="AW9508" t="s">
        <v>46882</v>
      </c>
    </row>
    <row r="9509" spans="1:49">
      <c r="A9509" s="1">
        <f>HYPERLINK("https://lsnyc.legalserver.org/matter/dynamic-profile/view/1884408","18-1884408")</f>
        <v>0</v>
      </c>
      <c r="B9509" t="s">
        <v>106</v>
      </c>
      <c r="C9509" t="s">
        <v>341</v>
      </c>
      <c r="D9509" t="s">
        <v>667</v>
      </c>
      <c r="E9509" t="s">
        <v>839</v>
      </c>
      <c r="F9509" t="s">
        <v>1328</v>
      </c>
      <c r="G9509" t="s">
        <v>5300</v>
      </c>
      <c r="H9509" t="s">
        <v>13457</v>
      </c>
      <c r="I9509" t="s">
        <v>17322</v>
      </c>
      <c r="J9509" t="s">
        <v>18894</v>
      </c>
      <c r="K9509">
        <v>11226</v>
      </c>
      <c r="L9509" t="s">
        <v>18959</v>
      </c>
      <c r="M9509" t="s">
        <v>18960</v>
      </c>
      <c r="N9509" t="s">
        <v>25573</v>
      </c>
      <c r="O9509" t="s">
        <v>26523</v>
      </c>
      <c r="P9509" t="s">
        <v>26560</v>
      </c>
      <c r="Q9509" t="s">
        <v>26573</v>
      </c>
      <c r="R9509" t="s">
        <v>26588</v>
      </c>
      <c r="U9509" t="s">
        <v>26604</v>
      </c>
      <c r="X9509">
        <v>1401.27</v>
      </c>
      <c r="Y9509" t="s">
        <v>26652</v>
      </c>
      <c r="Z9509" t="s">
        <v>26664</v>
      </c>
      <c r="AA9509" t="s">
        <v>26678</v>
      </c>
      <c r="AB9509" t="s">
        <v>29912</v>
      </c>
      <c r="AE9509">
        <v>16</v>
      </c>
      <c r="AG9509" t="s">
        <v>26530</v>
      </c>
      <c r="AH9509">
        <v>5</v>
      </c>
      <c r="AI9509">
        <v>2</v>
      </c>
      <c r="AJ9509">
        <v>1</v>
      </c>
      <c r="AK9509">
        <v>68.43000000000001</v>
      </c>
      <c r="AN9509" t="s">
        <v>7439</v>
      </c>
      <c r="AO9509">
        <v>14220</v>
      </c>
      <c r="AS9509" t="s">
        <v>46499</v>
      </c>
      <c r="AU9509">
        <v>20.1</v>
      </c>
      <c r="AV9509" t="s">
        <v>821</v>
      </c>
      <c r="AW9509" t="s">
        <v>46862</v>
      </c>
    </row>
    <row r="9510" spans="1:49">
      <c r="A9510" s="1">
        <f>HYPERLINK("https://lsnyc.legalserver.org/matter/dynamic-profile/view/1884431","18-1884431")</f>
        <v>0</v>
      </c>
      <c r="B9510" t="s">
        <v>175</v>
      </c>
      <c r="C9510" t="s">
        <v>341</v>
      </c>
      <c r="D9510" t="s">
        <v>667</v>
      </c>
      <c r="E9510" t="s">
        <v>494</v>
      </c>
      <c r="F9510" t="s">
        <v>4016</v>
      </c>
      <c r="G9510" t="s">
        <v>9075</v>
      </c>
      <c r="H9510" t="s">
        <v>16126</v>
      </c>
      <c r="I9510" t="s">
        <v>17906</v>
      </c>
      <c r="J9510" t="s">
        <v>18894</v>
      </c>
      <c r="K9510">
        <v>11235</v>
      </c>
      <c r="L9510" t="s">
        <v>18960</v>
      </c>
      <c r="M9510" t="s">
        <v>18960</v>
      </c>
      <c r="O9510" t="s">
        <v>18997</v>
      </c>
      <c r="P9510" t="s">
        <v>26564</v>
      </c>
      <c r="Q9510" t="s">
        <v>26570</v>
      </c>
      <c r="R9510" t="s">
        <v>26594</v>
      </c>
      <c r="U9510" t="s">
        <v>26607</v>
      </c>
      <c r="X9510">
        <v>0</v>
      </c>
      <c r="Y9510" t="s">
        <v>26652</v>
      </c>
      <c r="AA9510" t="s">
        <v>26683</v>
      </c>
      <c r="AB9510" t="s">
        <v>33459</v>
      </c>
      <c r="AE9510">
        <v>0</v>
      </c>
      <c r="AF9510" t="s">
        <v>45541</v>
      </c>
      <c r="AH9510">
        <v>0</v>
      </c>
      <c r="AI9510">
        <v>1</v>
      </c>
      <c r="AJ9510">
        <v>0</v>
      </c>
      <c r="AK9510">
        <v>0</v>
      </c>
      <c r="AN9510" t="s">
        <v>45586</v>
      </c>
      <c r="AO9510">
        <v>0</v>
      </c>
      <c r="AU9510">
        <v>1</v>
      </c>
      <c r="AV9510" t="s">
        <v>667</v>
      </c>
      <c r="AW9510" t="s">
        <v>175</v>
      </c>
    </row>
    <row r="9511" spans="1:49">
      <c r="A9511" s="1">
        <f>HYPERLINK("https://lsnyc.legalserver.org/matter/dynamic-profile/view/1884410","18-1884410")</f>
        <v>0</v>
      </c>
      <c r="B9511" t="s">
        <v>200</v>
      </c>
      <c r="C9511" t="s">
        <v>340</v>
      </c>
      <c r="D9511" t="s">
        <v>667</v>
      </c>
      <c r="F9511" t="s">
        <v>4580</v>
      </c>
      <c r="G9511" t="s">
        <v>9076</v>
      </c>
      <c r="H9511" t="s">
        <v>16127</v>
      </c>
      <c r="I9511" t="s">
        <v>17355</v>
      </c>
      <c r="J9511" t="s">
        <v>18894</v>
      </c>
      <c r="K9511">
        <v>11249</v>
      </c>
      <c r="L9511" t="s">
        <v>18960</v>
      </c>
      <c r="M9511" t="s">
        <v>18960</v>
      </c>
      <c r="R9511" t="s">
        <v>26578</v>
      </c>
      <c r="U9511" t="s">
        <v>26604</v>
      </c>
      <c r="X9511">
        <v>4400</v>
      </c>
      <c r="Y9511" t="s">
        <v>26652</v>
      </c>
      <c r="Z9511" t="s">
        <v>26657</v>
      </c>
      <c r="AB9511" t="s">
        <v>27217</v>
      </c>
      <c r="AD9511" t="s">
        <v>44210</v>
      </c>
      <c r="AE9511">
        <v>89</v>
      </c>
      <c r="AG9511" t="s">
        <v>19330</v>
      </c>
      <c r="AH9511">
        <v>0</v>
      </c>
      <c r="AI9511">
        <v>2</v>
      </c>
      <c r="AJ9511">
        <v>1</v>
      </c>
      <c r="AK9511">
        <v>134.74</v>
      </c>
      <c r="AN9511" t="s">
        <v>7439</v>
      </c>
      <c r="AO9511">
        <v>28000</v>
      </c>
      <c r="AU9511">
        <v>1</v>
      </c>
      <c r="AV9511" t="s">
        <v>667</v>
      </c>
      <c r="AW9511" t="s">
        <v>46858</v>
      </c>
    </row>
    <row r="9512" spans="1:49">
      <c r="A9512" s="1">
        <f>HYPERLINK("https://lsnyc.legalserver.org/matter/dynamic-profile/view/1884366","18-1884366")</f>
        <v>0</v>
      </c>
      <c r="B9512" t="s">
        <v>59</v>
      </c>
      <c r="C9512" t="s">
        <v>340</v>
      </c>
      <c r="D9512" t="s">
        <v>667</v>
      </c>
      <c r="F9512" t="s">
        <v>4176</v>
      </c>
      <c r="G9512" t="s">
        <v>9077</v>
      </c>
      <c r="H9512" t="s">
        <v>16128</v>
      </c>
      <c r="I9512" t="s">
        <v>18687</v>
      </c>
      <c r="J9512" t="s">
        <v>18893</v>
      </c>
      <c r="K9512">
        <v>10034</v>
      </c>
      <c r="L9512" t="s">
        <v>18960</v>
      </c>
      <c r="M9512" t="s">
        <v>18958</v>
      </c>
      <c r="N9512" t="s">
        <v>25574</v>
      </c>
      <c r="O9512" t="s">
        <v>26523</v>
      </c>
      <c r="P9512" t="s">
        <v>26560</v>
      </c>
      <c r="R9512" t="s">
        <v>26582</v>
      </c>
      <c r="S9512" t="s">
        <v>18959</v>
      </c>
      <c r="U9512" t="s">
        <v>26604</v>
      </c>
      <c r="X9512">
        <v>359.47</v>
      </c>
      <c r="Y9512" t="s">
        <v>26651</v>
      </c>
      <c r="Z9512" t="s">
        <v>26664</v>
      </c>
      <c r="AB9512" t="s">
        <v>33460</v>
      </c>
      <c r="AD9512" t="s">
        <v>44211</v>
      </c>
      <c r="AE9512">
        <v>0</v>
      </c>
      <c r="AG9512" t="s">
        <v>45559</v>
      </c>
      <c r="AH9512">
        <v>72</v>
      </c>
      <c r="AI9512">
        <v>1</v>
      </c>
      <c r="AJ9512">
        <v>0</v>
      </c>
      <c r="AK9512">
        <v>89.56</v>
      </c>
      <c r="AN9512" t="s">
        <v>7439</v>
      </c>
      <c r="AO9512">
        <v>10872</v>
      </c>
      <c r="AU9512">
        <v>0.7</v>
      </c>
      <c r="AV9512" t="s">
        <v>519</v>
      </c>
      <c r="AW9512" t="s">
        <v>46875</v>
      </c>
    </row>
    <row r="9513" spans="1:49">
      <c r="A9513" s="1">
        <f>HYPERLINK("https://lsnyc.legalserver.org/matter/dynamic-profile/view/1884382","18-1884382")</f>
        <v>0</v>
      </c>
      <c r="B9513" t="s">
        <v>235</v>
      </c>
      <c r="C9513" t="s">
        <v>340</v>
      </c>
      <c r="D9513" t="s">
        <v>667</v>
      </c>
      <c r="F9513" t="s">
        <v>1708</v>
      </c>
      <c r="G9513" t="s">
        <v>9078</v>
      </c>
      <c r="H9513" t="s">
        <v>16129</v>
      </c>
      <c r="I9513" t="s">
        <v>17564</v>
      </c>
      <c r="J9513" t="s">
        <v>18900</v>
      </c>
      <c r="K9513">
        <v>11355</v>
      </c>
      <c r="L9513" t="s">
        <v>18960</v>
      </c>
      <c r="M9513" t="s">
        <v>18960</v>
      </c>
      <c r="R9513" t="s">
        <v>26584</v>
      </c>
      <c r="U9513" t="s">
        <v>26604</v>
      </c>
      <c r="X9513">
        <v>1800</v>
      </c>
      <c r="Y9513" t="s">
        <v>26653</v>
      </c>
      <c r="Z9513" t="s">
        <v>26659</v>
      </c>
      <c r="AB9513" t="s">
        <v>28217</v>
      </c>
      <c r="AD9513" t="s">
        <v>44212</v>
      </c>
      <c r="AE9513">
        <v>1</v>
      </c>
      <c r="AG9513" t="s">
        <v>19330</v>
      </c>
      <c r="AH9513">
        <v>9</v>
      </c>
      <c r="AI9513">
        <v>1</v>
      </c>
      <c r="AJ9513">
        <v>3</v>
      </c>
      <c r="AK9513">
        <v>95.62</v>
      </c>
      <c r="AN9513" t="s">
        <v>7439</v>
      </c>
      <c r="AO9513">
        <v>24000</v>
      </c>
      <c r="AU9513">
        <v>2.5</v>
      </c>
      <c r="AV9513" t="s">
        <v>815</v>
      </c>
      <c r="AW9513" t="s">
        <v>46858</v>
      </c>
    </row>
    <row r="9514" spans="1:49">
      <c r="A9514" s="1">
        <f>HYPERLINK("https://lsnyc.legalserver.org/matter/dynamic-profile/view/1884529","18-1884529")</f>
        <v>0</v>
      </c>
      <c r="B9514" t="s">
        <v>286</v>
      </c>
      <c r="C9514" t="s">
        <v>341</v>
      </c>
      <c r="D9514" t="s">
        <v>678</v>
      </c>
      <c r="E9514" t="s">
        <v>416</v>
      </c>
      <c r="F9514" t="s">
        <v>1320</v>
      </c>
      <c r="G9514" t="s">
        <v>4348</v>
      </c>
      <c r="H9514" t="s">
        <v>9896</v>
      </c>
      <c r="I9514" t="s">
        <v>18688</v>
      </c>
      <c r="J9514" t="s">
        <v>18894</v>
      </c>
      <c r="K9514">
        <v>11208</v>
      </c>
      <c r="L9514" t="s">
        <v>18960</v>
      </c>
      <c r="M9514" t="s">
        <v>18960</v>
      </c>
      <c r="P9514" t="s">
        <v>26564</v>
      </c>
      <c r="Q9514" t="s">
        <v>26571</v>
      </c>
      <c r="R9514" t="s">
        <v>26578</v>
      </c>
      <c r="U9514" t="s">
        <v>26604</v>
      </c>
      <c r="X9514">
        <v>1155</v>
      </c>
      <c r="Y9514" t="s">
        <v>26652</v>
      </c>
      <c r="AA9514" t="s">
        <v>26683</v>
      </c>
      <c r="AB9514" t="s">
        <v>33092</v>
      </c>
      <c r="AD9514" t="s">
        <v>43727</v>
      </c>
      <c r="AE9514">
        <v>0</v>
      </c>
      <c r="AF9514" t="s">
        <v>45543</v>
      </c>
      <c r="AH9514">
        <v>0</v>
      </c>
      <c r="AI9514">
        <v>1</v>
      </c>
      <c r="AJ9514">
        <v>0</v>
      </c>
      <c r="AK9514">
        <v>152.82</v>
      </c>
      <c r="AN9514" t="s">
        <v>7439</v>
      </c>
      <c r="AO9514">
        <v>18552</v>
      </c>
      <c r="AU9514">
        <v>0.6</v>
      </c>
      <c r="AV9514" t="s">
        <v>678</v>
      </c>
      <c r="AW9514" t="s">
        <v>46842</v>
      </c>
    </row>
    <row r="9515" spans="1:49">
      <c r="A9515" s="1">
        <f>HYPERLINK("https://lsnyc.legalserver.org/matter/dynamic-profile/view/1884603","18-1884603")</f>
        <v>0</v>
      </c>
      <c r="B9515" t="s">
        <v>74</v>
      </c>
      <c r="C9515" t="s">
        <v>341</v>
      </c>
      <c r="D9515" t="s">
        <v>678</v>
      </c>
      <c r="E9515" t="s">
        <v>727</v>
      </c>
      <c r="F9515" t="s">
        <v>4581</v>
      </c>
      <c r="G9515" t="s">
        <v>9079</v>
      </c>
      <c r="H9515" t="s">
        <v>16130</v>
      </c>
      <c r="I9515" t="s">
        <v>17465</v>
      </c>
      <c r="J9515" t="s">
        <v>18893</v>
      </c>
      <c r="K9515">
        <v>10029</v>
      </c>
      <c r="L9515" t="s">
        <v>18960</v>
      </c>
      <c r="M9515" t="s">
        <v>18960</v>
      </c>
      <c r="N9515" t="s">
        <v>20460</v>
      </c>
      <c r="P9515" t="s">
        <v>26564</v>
      </c>
      <c r="Q9515" t="s">
        <v>26570</v>
      </c>
      <c r="R9515" t="s">
        <v>26591</v>
      </c>
      <c r="U9515" t="s">
        <v>26604</v>
      </c>
      <c r="X9515">
        <v>593</v>
      </c>
      <c r="Y9515" t="s">
        <v>26651</v>
      </c>
      <c r="Z9515" t="s">
        <v>26673</v>
      </c>
      <c r="AA9515" t="s">
        <v>26683</v>
      </c>
      <c r="AB9515" t="s">
        <v>33461</v>
      </c>
      <c r="AD9515" t="s">
        <v>44213</v>
      </c>
      <c r="AE9515">
        <v>56</v>
      </c>
      <c r="AH9515">
        <v>18</v>
      </c>
      <c r="AI9515">
        <v>1</v>
      </c>
      <c r="AJ9515">
        <v>0</v>
      </c>
      <c r="AK9515">
        <v>93.90000000000001</v>
      </c>
      <c r="AN9515" t="s">
        <v>45581</v>
      </c>
      <c r="AO9515">
        <v>11400</v>
      </c>
      <c r="AU9515">
        <v>0.5</v>
      </c>
      <c r="AV9515" t="s">
        <v>678</v>
      </c>
      <c r="AW9515" t="s">
        <v>46861</v>
      </c>
    </row>
    <row r="9516" spans="1:49">
      <c r="A9516" s="1">
        <f>HYPERLINK("https://lsnyc.legalserver.org/matter/dynamic-profile/view/1884614","18-1884614")</f>
        <v>0</v>
      </c>
      <c r="B9516" t="s">
        <v>122</v>
      </c>
      <c r="C9516" t="s">
        <v>341</v>
      </c>
      <c r="D9516" t="s">
        <v>678</v>
      </c>
      <c r="E9516" t="s">
        <v>810</v>
      </c>
      <c r="F9516" t="s">
        <v>873</v>
      </c>
      <c r="G9516" t="s">
        <v>9080</v>
      </c>
      <c r="H9516" t="s">
        <v>16131</v>
      </c>
      <c r="I9516" t="s">
        <v>17356</v>
      </c>
      <c r="J9516" t="s">
        <v>18901</v>
      </c>
      <c r="K9516">
        <v>11432</v>
      </c>
      <c r="L9516" t="s">
        <v>18960</v>
      </c>
      <c r="M9516" t="s">
        <v>18960</v>
      </c>
      <c r="N9516" t="s">
        <v>19045</v>
      </c>
      <c r="O9516" t="s">
        <v>18997</v>
      </c>
      <c r="P9516" t="s">
        <v>26564</v>
      </c>
      <c r="Q9516" t="s">
        <v>26570</v>
      </c>
      <c r="R9516" t="s">
        <v>26584</v>
      </c>
      <c r="S9516" t="s">
        <v>18959</v>
      </c>
      <c r="U9516" t="s">
        <v>26604</v>
      </c>
      <c r="X9516">
        <v>982</v>
      </c>
      <c r="Y9516" t="s">
        <v>26653</v>
      </c>
      <c r="Z9516" t="s">
        <v>26670</v>
      </c>
      <c r="AA9516" t="s">
        <v>26683</v>
      </c>
      <c r="AB9516" t="s">
        <v>33462</v>
      </c>
      <c r="AD9516" t="s">
        <v>44214</v>
      </c>
      <c r="AE9516">
        <v>74</v>
      </c>
      <c r="AG9516" t="s">
        <v>26530</v>
      </c>
      <c r="AH9516">
        <v>25</v>
      </c>
      <c r="AI9516">
        <v>1</v>
      </c>
      <c r="AJ9516">
        <v>0</v>
      </c>
      <c r="AK9516">
        <v>78.19</v>
      </c>
      <c r="AN9516" t="s">
        <v>7439</v>
      </c>
      <c r="AO9516">
        <v>9492</v>
      </c>
      <c r="AU9516">
        <v>0.5</v>
      </c>
      <c r="AV9516" t="s">
        <v>810</v>
      </c>
      <c r="AW9516" t="s">
        <v>122</v>
      </c>
    </row>
    <row r="9517" spans="1:49">
      <c r="A9517" s="1">
        <f>HYPERLINK("https://lsnyc.legalserver.org/matter/dynamic-profile/view/1884562","18-1884562")</f>
        <v>0</v>
      </c>
      <c r="B9517" t="s">
        <v>279</v>
      </c>
      <c r="C9517" t="s">
        <v>341</v>
      </c>
      <c r="D9517" t="s">
        <v>678</v>
      </c>
      <c r="E9517" t="s">
        <v>668</v>
      </c>
      <c r="F9517" t="s">
        <v>4582</v>
      </c>
      <c r="G9517" t="s">
        <v>5720</v>
      </c>
      <c r="H9517" t="s">
        <v>13775</v>
      </c>
      <c r="I9517" t="s">
        <v>17369</v>
      </c>
      <c r="J9517" t="s">
        <v>18894</v>
      </c>
      <c r="K9517">
        <v>11208</v>
      </c>
      <c r="L9517" t="s">
        <v>18959</v>
      </c>
      <c r="M9517" t="s">
        <v>18959</v>
      </c>
      <c r="N9517" t="s">
        <v>18997</v>
      </c>
      <c r="O9517" t="s">
        <v>26549</v>
      </c>
      <c r="P9517" t="s">
        <v>26564</v>
      </c>
      <c r="Q9517" t="s">
        <v>26570</v>
      </c>
      <c r="R9517" t="s">
        <v>26578</v>
      </c>
      <c r="S9517" t="s">
        <v>18959</v>
      </c>
      <c r="U9517" t="s">
        <v>26604</v>
      </c>
      <c r="V9517" t="s">
        <v>26610</v>
      </c>
      <c r="X9517">
        <v>1761</v>
      </c>
      <c r="Y9517" t="s">
        <v>26652</v>
      </c>
      <c r="Z9517" t="s">
        <v>26657</v>
      </c>
      <c r="AA9517" t="s">
        <v>26683</v>
      </c>
      <c r="AB9517" t="s">
        <v>33463</v>
      </c>
      <c r="AC9517" t="s">
        <v>36645</v>
      </c>
      <c r="AD9517" t="s">
        <v>44215</v>
      </c>
      <c r="AE9517">
        <v>0</v>
      </c>
      <c r="AF9517" t="s">
        <v>45543</v>
      </c>
      <c r="AG9517" t="s">
        <v>45556</v>
      </c>
      <c r="AH9517">
        <v>16</v>
      </c>
      <c r="AI9517">
        <v>2</v>
      </c>
      <c r="AJ9517">
        <v>1</v>
      </c>
      <c r="AK9517">
        <v>0</v>
      </c>
      <c r="AN9517" t="s">
        <v>7439</v>
      </c>
      <c r="AO9517">
        <v>0</v>
      </c>
      <c r="AU9517">
        <v>0.2</v>
      </c>
      <c r="AV9517" t="s">
        <v>668</v>
      </c>
      <c r="AW9517" t="s">
        <v>279</v>
      </c>
    </row>
    <row r="9518" spans="1:49">
      <c r="A9518" s="1">
        <f>HYPERLINK("https://lsnyc.legalserver.org/matter/dynamic-profile/view/1884626","18-1884626")</f>
        <v>0</v>
      </c>
      <c r="B9518" t="s">
        <v>320</v>
      </c>
      <c r="C9518" t="s">
        <v>341</v>
      </c>
      <c r="D9518" t="s">
        <v>678</v>
      </c>
      <c r="E9518" t="s">
        <v>752</v>
      </c>
      <c r="F9518" t="s">
        <v>2722</v>
      </c>
      <c r="G9518" t="s">
        <v>5008</v>
      </c>
      <c r="H9518" t="s">
        <v>16132</v>
      </c>
      <c r="I9518" t="s">
        <v>17298</v>
      </c>
      <c r="J9518" t="s">
        <v>18894</v>
      </c>
      <c r="K9518">
        <v>11212</v>
      </c>
      <c r="L9518" t="s">
        <v>18960</v>
      </c>
      <c r="M9518" t="s">
        <v>18960</v>
      </c>
      <c r="O9518" t="s">
        <v>26526</v>
      </c>
      <c r="P9518" t="s">
        <v>26563</v>
      </c>
      <c r="Q9518" t="s">
        <v>26570</v>
      </c>
      <c r="R9518" t="s">
        <v>26586</v>
      </c>
      <c r="S9518" t="s">
        <v>18959</v>
      </c>
      <c r="U9518" t="s">
        <v>26605</v>
      </c>
      <c r="X9518">
        <v>210</v>
      </c>
      <c r="Y9518" t="s">
        <v>26652</v>
      </c>
      <c r="Z9518" t="s">
        <v>26664</v>
      </c>
      <c r="AA9518" t="s">
        <v>26683</v>
      </c>
      <c r="AB9518" t="s">
        <v>28541</v>
      </c>
      <c r="AD9518" t="s">
        <v>44216</v>
      </c>
      <c r="AE9518">
        <v>0</v>
      </c>
      <c r="AH9518">
        <v>4</v>
      </c>
      <c r="AI9518">
        <v>0</v>
      </c>
      <c r="AJ9518">
        <v>0</v>
      </c>
      <c r="AK9518">
        <v>0</v>
      </c>
      <c r="AN9518" t="s">
        <v>7439</v>
      </c>
      <c r="AO9518">
        <v>9024</v>
      </c>
      <c r="AU9518">
        <v>1.75</v>
      </c>
      <c r="AV9518" t="s">
        <v>752</v>
      </c>
      <c r="AW9518" t="s">
        <v>320</v>
      </c>
    </row>
    <row r="9519" spans="1:49">
      <c r="A9519" s="1">
        <f>HYPERLINK("https://lsnyc.legalserver.org/matter/dynamic-profile/view/1884563","18-1884563")</f>
        <v>0</v>
      </c>
      <c r="B9519" t="s">
        <v>199</v>
      </c>
      <c r="C9519" t="s">
        <v>340</v>
      </c>
      <c r="D9519" t="s">
        <v>678</v>
      </c>
      <c r="F9519" t="s">
        <v>2809</v>
      </c>
      <c r="G9519" t="s">
        <v>6119</v>
      </c>
      <c r="H9519" t="s">
        <v>11395</v>
      </c>
      <c r="I9519">
        <v>10</v>
      </c>
      <c r="J9519" t="s">
        <v>18894</v>
      </c>
      <c r="K9519">
        <v>11238</v>
      </c>
      <c r="L9519" t="s">
        <v>18960</v>
      </c>
      <c r="M9519" t="s">
        <v>18960</v>
      </c>
      <c r="P9519" t="s">
        <v>26563</v>
      </c>
      <c r="R9519" t="s">
        <v>26578</v>
      </c>
      <c r="U9519" t="s">
        <v>26604</v>
      </c>
      <c r="X9519">
        <v>0</v>
      </c>
      <c r="Y9519" t="s">
        <v>26652</v>
      </c>
      <c r="AB9519" t="s">
        <v>29929</v>
      </c>
      <c r="AE9519">
        <v>0</v>
      </c>
      <c r="AH9519">
        <v>0</v>
      </c>
      <c r="AI9519">
        <v>2</v>
      </c>
      <c r="AJ9519">
        <v>0</v>
      </c>
      <c r="AK9519">
        <v>1439.85</v>
      </c>
      <c r="AN9519" t="s">
        <v>7439</v>
      </c>
      <c r="AO9519">
        <v>237000</v>
      </c>
      <c r="AU9519">
        <v>1</v>
      </c>
      <c r="AV9519" t="s">
        <v>773</v>
      </c>
      <c r="AW9519" t="s">
        <v>46856</v>
      </c>
    </row>
    <row r="9520" spans="1:49">
      <c r="A9520" s="1">
        <f>HYPERLINK("https://lsnyc.legalserver.org/matter/dynamic-profile/view/1884553","18-1884553")</f>
        <v>0</v>
      </c>
      <c r="B9520" t="s">
        <v>221</v>
      </c>
      <c r="C9520" t="s">
        <v>340</v>
      </c>
      <c r="D9520" t="s">
        <v>678</v>
      </c>
      <c r="F9520" t="s">
        <v>4583</v>
      </c>
      <c r="G9520" t="s">
        <v>5086</v>
      </c>
      <c r="H9520" t="s">
        <v>11074</v>
      </c>
      <c r="I9520" t="s">
        <v>17284</v>
      </c>
      <c r="J9520" t="s">
        <v>18901</v>
      </c>
      <c r="K9520">
        <v>11434</v>
      </c>
      <c r="L9520" t="s">
        <v>18958</v>
      </c>
      <c r="M9520" t="s">
        <v>18958</v>
      </c>
      <c r="N9520" t="s">
        <v>25575</v>
      </c>
      <c r="O9520" t="s">
        <v>26523</v>
      </c>
      <c r="P9520" t="s">
        <v>26564</v>
      </c>
      <c r="R9520" t="s">
        <v>26584</v>
      </c>
      <c r="S9520" t="s">
        <v>18959</v>
      </c>
      <c r="U9520" t="s">
        <v>26605</v>
      </c>
      <c r="X9520">
        <v>1246</v>
      </c>
      <c r="Y9520" t="s">
        <v>26653</v>
      </c>
      <c r="Z9520" t="s">
        <v>26668</v>
      </c>
      <c r="AB9520" t="s">
        <v>31878</v>
      </c>
      <c r="AD9520" t="s">
        <v>44217</v>
      </c>
      <c r="AE9520">
        <v>0</v>
      </c>
      <c r="AF9520" t="s">
        <v>45549</v>
      </c>
      <c r="AH9520">
        <v>2</v>
      </c>
      <c r="AI9520">
        <v>1</v>
      </c>
      <c r="AJ9520">
        <v>0</v>
      </c>
      <c r="AK9520">
        <v>87.48</v>
      </c>
      <c r="AN9520" t="s">
        <v>7439</v>
      </c>
      <c r="AO9520">
        <v>10620</v>
      </c>
      <c r="AU9520">
        <v>27.75</v>
      </c>
      <c r="AV9520" t="s">
        <v>808</v>
      </c>
      <c r="AW9520" t="s">
        <v>208</v>
      </c>
    </row>
    <row r="9521" spans="1:49">
      <c r="A9521" s="1">
        <f>HYPERLINK("https://lsnyc.legalserver.org/matter/dynamic-profile/view/1884544","18-1884544")</f>
        <v>0</v>
      </c>
      <c r="B9521" t="s">
        <v>125</v>
      </c>
      <c r="C9521" t="s">
        <v>340</v>
      </c>
      <c r="D9521" t="s">
        <v>678</v>
      </c>
      <c r="F9521" t="s">
        <v>875</v>
      </c>
      <c r="G9521" t="s">
        <v>5199</v>
      </c>
      <c r="H9521" t="s">
        <v>15668</v>
      </c>
      <c r="I9521" t="s">
        <v>17290</v>
      </c>
      <c r="J9521" t="s">
        <v>18894</v>
      </c>
      <c r="K9521">
        <v>11212</v>
      </c>
      <c r="L9521" t="s">
        <v>18959</v>
      </c>
      <c r="M9521" t="s">
        <v>18959</v>
      </c>
      <c r="N9521" t="s">
        <v>25576</v>
      </c>
      <c r="O9521" t="s">
        <v>26523</v>
      </c>
      <c r="P9521" t="s">
        <v>26564</v>
      </c>
      <c r="R9521" t="s">
        <v>26578</v>
      </c>
      <c r="S9521" t="s">
        <v>18959</v>
      </c>
      <c r="U9521" t="s">
        <v>26604</v>
      </c>
      <c r="V9521" t="s">
        <v>26610</v>
      </c>
      <c r="X9521">
        <v>1039</v>
      </c>
      <c r="Y9521" t="s">
        <v>26652</v>
      </c>
      <c r="Z9521" t="s">
        <v>26530</v>
      </c>
      <c r="AB9521" t="s">
        <v>33464</v>
      </c>
      <c r="AC9521" t="s">
        <v>36646</v>
      </c>
      <c r="AD9521" t="s">
        <v>44218</v>
      </c>
      <c r="AE9521">
        <v>31</v>
      </c>
      <c r="AF9521" t="s">
        <v>45541</v>
      </c>
      <c r="AG9521" t="s">
        <v>19330</v>
      </c>
      <c r="AH9521">
        <v>3</v>
      </c>
      <c r="AI9521">
        <v>1</v>
      </c>
      <c r="AJ9521">
        <v>1</v>
      </c>
      <c r="AK9521">
        <v>263.11</v>
      </c>
      <c r="AN9521" t="s">
        <v>7439</v>
      </c>
      <c r="AO9521">
        <v>43308</v>
      </c>
      <c r="AU9521">
        <v>2.1</v>
      </c>
      <c r="AV9521" t="s">
        <v>692</v>
      </c>
      <c r="AW9521" t="s">
        <v>46841</v>
      </c>
    </row>
    <row r="9522" spans="1:49">
      <c r="A9522" s="1">
        <f>HYPERLINK("https://lsnyc.legalserver.org/matter/dynamic-profile/view/1884625","18-1884625")</f>
        <v>0</v>
      </c>
      <c r="B9522" t="s">
        <v>174</v>
      </c>
      <c r="C9522" t="s">
        <v>341</v>
      </c>
      <c r="D9522" t="s">
        <v>687</v>
      </c>
      <c r="E9522" t="s">
        <v>494</v>
      </c>
      <c r="F9522" t="s">
        <v>4584</v>
      </c>
      <c r="G9522" t="s">
        <v>1191</v>
      </c>
      <c r="H9522" t="s">
        <v>9778</v>
      </c>
      <c r="I9522" t="s">
        <v>17275</v>
      </c>
      <c r="J9522" t="s">
        <v>18894</v>
      </c>
      <c r="K9522">
        <v>11213</v>
      </c>
      <c r="L9522" t="s">
        <v>18959</v>
      </c>
      <c r="M9522" t="s">
        <v>18959</v>
      </c>
      <c r="N9522" t="s">
        <v>25577</v>
      </c>
      <c r="O9522" t="s">
        <v>26523</v>
      </c>
      <c r="P9522" t="s">
        <v>26565</v>
      </c>
      <c r="Q9522" t="s">
        <v>26571</v>
      </c>
      <c r="R9522" t="s">
        <v>26578</v>
      </c>
      <c r="S9522" t="s">
        <v>18959</v>
      </c>
      <c r="U9522" t="s">
        <v>26604</v>
      </c>
      <c r="X9522">
        <v>1956</v>
      </c>
      <c r="Y9522" t="s">
        <v>26652</v>
      </c>
      <c r="Z9522" t="s">
        <v>26659</v>
      </c>
      <c r="AA9522" t="s">
        <v>26683</v>
      </c>
      <c r="AB9522" t="s">
        <v>28318</v>
      </c>
      <c r="AD9522" t="s">
        <v>44219</v>
      </c>
      <c r="AE9522">
        <v>23</v>
      </c>
      <c r="AF9522" t="s">
        <v>45541</v>
      </c>
      <c r="AG9522" t="s">
        <v>45559</v>
      </c>
      <c r="AH9522">
        <v>9</v>
      </c>
      <c r="AI9522">
        <v>3</v>
      </c>
      <c r="AJ9522">
        <v>1</v>
      </c>
      <c r="AK9522">
        <v>83.67</v>
      </c>
      <c r="AO9522">
        <v>21000</v>
      </c>
      <c r="AU9522">
        <v>4.9</v>
      </c>
      <c r="AV9522" t="s">
        <v>683</v>
      </c>
      <c r="AW9522" t="s">
        <v>286</v>
      </c>
    </row>
    <row r="9523" spans="1:49">
      <c r="A9523" s="1">
        <f>HYPERLINK("https://lsnyc.legalserver.org/matter/dynamic-profile/view/1884628","18-1884628")</f>
        <v>0</v>
      </c>
      <c r="B9523" t="s">
        <v>106</v>
      </c>
      <c r="C9523" t="s">
        <v>341</v>
      </c>
      <c r="D9523" t="s">
        <v>687</v>
      </c>
      <c r="E9523" t="s">
        <v>716</v>
      </c>
      <c r="F9523" t="s">
        <v>938</v>
      </c>
      <c r="G9523" t="s">
        <v>1145</v>
      </c>
      <c r="H9523" t="s">
        <v>16133</v>
      </c>
      <c r="I9523" t="s">
        <v>18689</v>
      </c>
      <c r="J9523" t="s">
        <v>18894</v>
      </c>
      <c r="K9523">
        <v>11226</v>
      </c>
      <c r="L9523" t="s">
        <v>18960</v>
      </c>
      <c r="M9523" t="s">
        <v>18960</v>
      </c>
      <c r="N9523" t="s">
        <v>25578</v>
      </c>
      <c r="O9523" t="s">
        <v>26523</v>
      </c>
      <c r="P9523" t="s">
        <v>26564</v>
      </c>
      <c r="Q9523" t="s">
        <v>26571</v>
      </c>
      <c r="R9523" t="s">
        <v>26588</v>
      </c>
      <c r="U9523" t="s">
        <v>26604</v>
      </c>
      <c r="X9523">
        <v>880.47</v>
      </c>
      <c r="Y9523" t="s">
        <v>26652</v>
      </c>
      <c r="AA9523" t="s">
        <v>26683</v>
      </c>
      <c r="AB9523" t="s">
        <v>33465</v>
      </c>
      <c r="AE9523">
        <v>42</v>
      </c>
      <c r="AG9523" t="s">
        <v>19330</v>
      </c>
      <c r="AH9523">
        <v>20</v>
      </c>
      <c r="AI9523">
        <v>2</v>
      </c>
      <c r="AJ9523">
        <v>0</v>
      </c>
      <c r="AK9523">
        <v>189.55</v>
      </c>
      <c r="AN9523" t="s">
        <v>7439</v>
      </c>
      <c r="AO9523">
        <v>31200</v>
      </c>
      <c r="AU9523">
        <v>5.1</v>
      </c>
      <c r="AV9523" t="s">
        <v>699</v>
      </c>
      <c r="AW9523" t="s">
        <v>46862</v>
      </c>
    </row>
    <row r="9524" spans="1:49">
      <c r="A9524" s="1">
        <f>HYPERLINK("https://lsnyc.legalserver.org/matter/dynamic-profile/view/1884689","18-1884689")</f>
        <v>0</v>
      </c>
      <c r="B9524" t="s">
        <v>164</v>
      </c>
      <c r="C9524" t="s">
        <v>340</v>
      </c>
      <c r="D9524" t="s">
        <v>687</v>
      </c>
      <c r="F9524" t="s">
        <v>3904</v>
      </c>
      <c r="G9524" t="s">
        <v>5863</v>
      </c>
      <c r="H9524" t="s">
        <v>16134</v>
      </c>
      <c r="I9524" t="s">
        <v>17375</v>
      </c>
      <c r="J9524" t="s">
        <v>18929</v>
      </c>
      <c r="K9524">
        <v>11379</v>
      </c>
      <c r="L9524" t="s">
        <v>18958</v>
      </c>
      <c r="M9524" t="s">
        <v>18958</v>
      </c>
      <c r="N9524" t="s">
        <v>25579</v>
      </c>
      <c r="O9524" t="s">
        <v>26523</v>
      </c>
      <c r="P9524" t="s">
        <v>26563</v>
      </c>
      <c r="R9524" t="s">
        <v>26584</v>
      </c>
      <c r="S9524" t="s">
        <v>18959</v>
      </c>
      <c r="U9524" t="s">
        <v>26604</v>
      </c>
      <c r="X9524">
        <v>2200</v>
      </c>
      <c r="Y9524" t="s">
        <v>26653</v>
      </c>
      <c r="Z9524" t="s">
        <v>26664</v>
      </c>
      <c r="AB9524" t="s">
        <v>33466</v>
      </c>
      <c r="AC9524" t="s">
        <v>36647</v>
      </c>
      <c r="AD9524" t="s">
        <v>44220</v>
      </c>
      <c r="AE9524">
        <v>0</v>
      </c>
      <c r="AF9524" t="s">
        <v>20460</v>
      </c>
      <c r="AG9524" t="s">
        <v>19330</v>
      </c>
      <c r="AH9524">
        <v>1</v>
      </c>
      <c r="AI9524">
        <v>1</v>
      </c>
      <c r="AJ9524">
        <v>4</v>
      </c>
      <c r="AK9524">
        <v>52.21</v>
      </c>
      <c r="AN9524" t="s">
        <v>45581</v>
      </c>
      <c r="AO9524">
        <v>15360</v>
      </c>
      <c r="AU9524">
        <v>1</v>
      </c>
      <c r="AV9524" t="s">
        <v>771</v>
      </c>
      <c r="AW9524" t="s">
        <v>208</v>
      </c>
    </row>
    <row r="9525" spans="1:49">
      <c r="A9525" s="1">
        <f>HYPERLINK("https://lsnyc.legalserver.org/matter/dynamic-profile/view/1884754","18-1884754")</f>
        <v>0</v>
      </c>
      <c r="B9525" t="s">
        <v>152</v>
      </c>
      <c r="C9525" t="s">
        <v>340</v>
      </c>
      <c r="D9525" t="s">
        <v>687</v>
      </c>
      <c r="F9525" t="s">
        <v>1691</v>
      </c>
      <c r="G9525" t="s">
        <v>9081</v>
      </c>
      <c r="H9525" t="s">
        <v>16135</v>
      </c>
      <c r="I9525" t="s">
        <v>17325</v>
      </c>
      <c r="J9525" t="s">
        <v>18892</v>
      </c>
      <c r="K9525">
        <v>10458</v>
      </c>
      <c r="L9525" t="s">
        <v>18959</v>
      </c>
      <c r="M9525" t="s">
        <v>18959</v>
      </c>
      <c r="R9525" t="s">
        <v>26578</v>
      </c>
      <c r="U9525" t="s">
        <v>26604</v>
      </c>
      <c r="X9525">
        <v>921</v>
      </c>
      <c r="Y9525" t="s">
        <v>26650</v>
      </c>
      <c r="Z9525" t="s">
        <v>26663</v>
      </c>
      <c r="AB9525" t="s">
        <v>33467</v>
      </c>
      <c r="AD9525" t="s">
        <v>44221</v>
      </c>
      <c r="AE9525">
        <v>0</v>
      </c>
      <c r="AF9525" t="s">
        <v>45541</v>
      </c>
      <c r="AG9525" t="s">
        <v>19330</v>
      </c>
      <c r="AH9525">
        <v>0</v>
      </c>
      <c r="AI9525">
        <v>1</v>
      </c>
      <c r="AJ9525">
        <v>0</v>
      </c>
      <c r="AK9525">
        <v>29.24</v>
      </c>
      <c r="AN9525" t="s">
        <v>45581</v>
      </c>
      <c r="AO9525">
        <v>3550</v>
      </c>
      <c r="AP9525" t="s">
        <v>46174</v>
      </c>
      <c r="AU9525">
        <v>0</v>
      </c>
      <c r="AW9525" t="s">
        <v>46832</v>
      </c>
    </row>
    <row r="9526" spans="1:49">
      <c r="A9526" s="1">
        <f>HYPERLINK("https://lsnyc.legalserver.org/matter/dynamic-profile/view/1884641","18-1884641")</f>
        <v>0</v>
      </c>
      <c r="B9526" t="s">
        <v>200</v>
      </c>
      <c r="C9526" t="s">
        <v>340</v>
      </c>
      <c r="D9526" t="s">
        <v>687</v>
      </c>
      <c r="F9526" t="s">
        <v>923</v>
      </c>
      <c r="G9526" t="s">
        <v>6200</v>
      </c>
      <c r="H9526" t="s">
        <v>16136</v>
      </c>
      <c r="I9526">
        <v>2</v>
      </c>
      <c r="J9526" t="s">
        <v>18894</v>
      </c>
      <c r="K9526">
        <v>11208</v>
      </c>
      <c r="L9526" t="s">
        <v>18960</v>
      </c>
      <c r="M9526" t="s">
        <v>18960</v>
      </c>
      <c r="P9526" t="s">
        <v>26564</v>
      </c>
      <c r="R9526" t="s">
        <v>26591</v>
      </c>
      <c r="U9526" t="s">
        <v>26604</v>
      </c>
      <c r="X9526">
        <v>800</v>
      </c>
      <c r="Y9526" t="s">
        <v>26652</v>
      </c>
      <c r="Z9526" t="s">
        <v>26673</v>
      </c>
      <c r="AB9526" t="s">
        <v>33468</v>
      </c>
      <c r="AD9526" t="s">
        <v>44222</v>
      </c>
      <c r="AE9526">
        <v>5</v>
      </c>
      <c r="AG9526" t="s">
        <v>45562</v>
      </c>
      <c r="AH9526">
        <v>2</v>
      </c>
      <c r="AI9526">
        <v>1</v>
      </c>
      <c r="AJ9526">
        <v>0</v>
      </c>
      <c r="AK9526">
        <v>12.85</v>
      </c>
      <c r="AN9526" t="s">
        <v>7439</v>
      </c>
      <c r="AO9526">
        <v>1560</v>
      </c>
      <c r="AU9526">
        <v>1</v>
      </c>
      <c r="AV9526" t="s">
        <v>687</v>
      </c>
      <c r="AW9526" t="s">
        <v>46861</v>
      </c>
    </row>
    <row r="9527" spans="1:49">
      <c r="A9527" s="1">
        <f>HYPERLINK("https://lsnyc.legalserver.org/matter/dynamic-profile/view/1884766","18-1884766")</f>
        <v>0</v>
      </c>
      <c r="B9527" t="s">
        <v>200</v>
      </c>
      <c r="C9527" t="s">
        <v>340</v>
      </c>
      <c r="D9527" t="s">
        <v>687</v>
      </c>
      <c r="F9527" t="s">
        <v>1283</v>
      </c>
      <c r="G9527" t="s">
        <v>9048</v>
      </c>
      <c r="H9527" t="s">
        <v>16137</v>
      </c>
      <c r="I9527" t="s">
        <v>18690</v>
      </c>
      <c r="J9527" t="s">
        <v>18894</v>
      </c>
      <c r="K9527">
        <v>11225</v>
      </c>
      <c r="L9527" t="s">
        <v>18958</v>
      </c>
      <c r="M9527" t="s">
        <v>18958</v>
      </c>
      <c r="O9527" t="s">
        <v>18997</v>
      </c>
      <c r="R9527" t="s">
        <v>26586</v>
      </c>
      <c r="U9527" t="s">
        <v>26607</v>
      </c>
      <c r="X9527">
        <v>1053</v>
      </c>
      <c r="Y9527" t="s">
        <v>26652</v>
      </c>
      <c r="Z9527" t="s">
        <v>26663</v>
      </c>
      <c r="AB9527" t="s">
        <v>29400</v>
      </c>
      <c r="AD9527" t="s">
        <v>44223</v>
      </c>
      <c r="AE9527">
        <v>32</v>
      </c>
      <c r="AG9527" t="s">
        <v>26530</v>
      </c>
      <c r="AH9527">
        <v>9</v>
      </c>
      <c r="AI9527">
        <v>1</v>
      </c>
      <c r="AJ9527">
        <v>0</v>
      </c>
      <c r="AK9527">
        <v>79.87</v>
      </c>
      <c r="AN9527" t="s">
        <v>7439</v>
      </c>
      <c r="AO9527">
        <v>9696</v>
      </c>
      <c r="AU9527">
        <v>0</v>
      </c>
      <c r="AW9527" t="s">
        <v>46853</v>
      </c>
    </row>
    <row r="9528" spans="1:49">
      <c r="A9528" s="1">
        <f>HYPERLINK("https://lsnyc.legalserver.org/matter/dynamic-profile/view/1884848","18-1884848")</f>
        <v>0</v>
      </c>
      <c r="B9528" t="s">
        <v>303</v>
      </c>
      <c r="C9528" t="s">
        <v>341</v>
      </c>
      <c r="D9528" t="s">
        <v>682</v>
      </c>
      <c r="E9528" t="s">
        <v>839</v>
      </c>
      <c r="F9528" t="s">
        <v>1021</v>
      </c>
      <c r="G9528" t="s">
        <v>5266</v>
      </c>
      <c r="H9528" t="s">
        <v>16138</v>
      </c>
      <c r="I9528">
        <v>6</v>
      </c>
      <c r="J9528" t="s">
        <v>18894</v>
      </c>
      <c r="K9528">
        <v>11216</v>
      </c>
      <c r="L9528" t="s">
        <v>18960</v>
      </c>
      <c r="M9528" t="s">
        <v>18960</v>
      </c>
      <c r="O9528" t="s">
        <v>18997</v>
      </c>
      <c r="P9528" t="s">
        <v>26563</v>
      </c>
      <c r="Q9528" t="s">
        <v>26570</v>
      </c>
      <c r="R9528" t="s">
        <v>26588</v>
      </c>
      <c r="S9528" t="s">
        <v>18959</v>
      </c>
      <c r="U9528" t="s">
        <v>26604</v>
      </c>
      <c r="X9528">
        <v>1189.15</v>
      </c>
      <c r="Y9528" t="s">
        <v>26652</v>
      </c>
      <c r="Z9528" t="s">
        <v>26659</v>
      </c>
      <c r="AA9528" t="s">
        <v>26683</v>
      </c>
      <c r="AB9528" t="s">
        <v>33469</v>
      </c>
      <c r="AD9528" t="s">
        <v>44224</v>
      </c>
      <c r="AE9528">
        <v>8</v>
      </c>
      <c r="AF9528" t="s">
        <v>45548</v>
      </c>
      <c r="AH9528">
        <v>10</v>
      </c>
      <c r="AI9528">
        <v>1</v>
      </c>
      <c r="AJ9528">
        <v>0</v>
      </c>
      <c r="AK9528">
        <v>91.63</v>
      </c>
      <c r="AN9528" t="s">
        <v>7439</v>
      </c>
      <c r="AO9528">
        <v>11124</v>
      </c>
      <c r="AU9528">
        <v>4.25</v>
      </c>
      <c r="AV9528" t="s">
        <v>830</v>
      </c>
      <c r="AW9528" t="s">
        <v>320</v>
      </c>
    </row>
    <row r="9529" spans="1:49">
      <c r="A9529" s="1">
        <f>HYPERLINK("https://lsnyc.legalserver.org/matter/dynamic-profile/view/1884836","18-1884836")</f>
        <v>0</v>
      </c>
      <c r="B9529" t="s">
        <v>286</v>
      </c>
      <c r="C9529" t="s">
        <v>341</v>
      </c>
      <c r="D9529" t="s">
        <v>682</v>
      </c>
      <c r="E9529" t="s">
        <v>692</v>
      </c>
      <c r="F9529" t="s">
        <v>1471</v>
      </c>
      <c r="G9529" t="s">
        <v>5078</v>
      </c>
      <c r="H9529" t="s">
        <v>16139</v>
      </c>
      <c r="I9529">
        <v>3</v>
      </c>
      <c r="J9529" t="s">
        <v>18894</v>
      </c>
      <c r="K9529">
        <v>11208</v>
      </c>
      <c r="L9529" t="s">
        <v>18960</v>
      </c>
      <c r="M9529" t="s">
        <v>18960</v>
      </c>
      <c r="O9529" t="s">
        <v>18997</v>
      </c>
      <c r="P9529" t="s">
        <v>26564</v>
      </c>
      <c r="Q9529" t="s">
        <v>26570</v>
      </c>
      <c r="R9529" t="s">
        <v>26578</v>
      </c>
      <c r="U9529" t="s">
        <v>26604</v>
      </c>
      <c r="X9529">
        <v>1250</v>
      </c>
      <c r="Y9529" t="s">
        <v>26652</v>
      </c>
      <c r="AA9529" t="s">
        <v>26683</v>
      </c>
      <c r="AB9529" t="s">
        <v>33470</v>
      </c>
      <c r="AD9529" t="s">
        <v>44225</v>
      </c>
      <c r="AE9529">
        <v>0</v>
      </c>
      <c r="AF9529" t="s">
        <v>20460</v>
      </c>
      <c r="AG9529" t="s">
        <v>19330</v>
      </c>
      <c r="AH9529">
        <v>0</v>
      </c>
      <c r="AI9529">
        <v>1</v>
      </c>
      <c r="AJ9529">
        <v>1</v>
      </c>
      <c r="AK9529">
        <v>102.67</v>
      </c>
      <c r="AN9529" t="s">
        <v>7439</v>
      </c>
      <c r="AO9529">
        <v>16900</v>
      </c>
      <c r="AU9529">
        <v>1</v>
      </c>
      <c r="AV9529" t="s">
        <v>682</v>
      </c>
      <c r="AW9529" t="s">
        <v>46859</v>
      </c>
    </row>
    <row r="9530" spans="1:49">
      <c r="A9530" s="1">
        <f>HYPERLINK("https://lsnyc.legalserver.org/matter/dynamic-profile/view/1880742","18-1880742")</f>
        <v>0</v>
      </c>
      <c r="B9530" t="s">
        <v>301</v>
      </c>
      <c r="C9530" t="s">
        <v>341</v>
      </c>
      <c r="D9530" t="s">
        <v>682</v>
      </c>
      <c r="E9530" t="s">
        <v>682</v>
      </c>
      <c r="F9530" t="s">
        <v>1080</v>
      </c>
      <c r="G9530" t="s">
        <v>5165</v>
      </c>
      <c r="H9530" t="s">
        <v>16012</v>
      </c>
      <c r="J9530" t="s">
        <v>18894</v>
      </c>
      <c r="K9530">
        <v>11208</v>
      </c>
      <c r="L9530" t="s">
        <v>18960</v>
      </c>
      <c r="M9530" t="s">
        <v>18960</v>
      </c>
      <c r="Q9530" t="s">
        <v>26571</v>
      </c>
      <c r="R9530" t="s">
        <v>26591</v>
      </c>
      <c r="U9530" t="s">
        <v>26605</v>
      </c>
      <c r="X9530">
        <v>0</v>
      </c>
      <c r="Y9530" t="s">
        <v>26652</v>
      </c>
      <c r="Z9530" t="s">
        <v>26667</v>
      </c>
      <c r="AA9530" t="s">
        <v>26681</v>
      </c>
      <c r="AB9530" t="s">
        <v>28600</v>
      </c>
      <c r="AE9530">
        <v>0</v>
      </c>
      <c r="AF9530" t="s">
        <v>45549</v>
      </c>
      <c r="AH9530">
        <v>10</v>
      </c>
      <c r="AI9530">
        <v>1</v>
      </c>
      <c r="AJ9530">
        <v>0</v>
      </c>
      <c r="AK9530">
        <v>0</v>
      </c>
      <c r="AN9530" t="s">
        <v>7439</v>
      </c>
      <c r="AO9530">
        <v>0</v>
      </c>
      <c r="AU9530">
        <v>3</v>
      </c>
      <c r="AV9530" t="s">
        <v>646</v>
      </c>
      <c r="AW9530" t="s">
        <v>319</v>
      </c>
    </row>
    <row r="9531" spans="1:49">
      <c r="A9531" s="1">
        <f>HYPERLINK("https://lsnyc.legalserver.org/matter/dynamic-profile/view/1884794","18-1884794")</f>
        <v>0</v>
      </c>
      <c r="B9531" t="s">
        <v>60</v>
      </c>
      <c r="C9531" t="s">
        <v>341</v>
      </c>
      <c r="D9531" t="s">
        <v>682</v>
      </c>
      <c r="E9531" t="s">
        <v>792</v>
      </c>
      <c r="F9531" t="s">
        <v>3238</v>
      </c>
      <c r="G9531" t="s">
        <v>9082</v>
      </c>
      <c r="H9531" t="s">
        <v>16140</v>
      </c>
      <c r="I9531" t="s">
        <v>17352</v>
      </c>
      <c r="J9531" t="s">
        <v>18892</v>
      </c>
      <c r="K9531">
        <v>10452</v>
      </c>
      <c r="L9531" t="s">
        <v>18960</v>
      </c>
      <c r="M9531" t="s">
        <v>18960</v>
      </c>
      <c r="N9531" t="s">
        <v>25580</v>
      </c>
      <c r="Q9531" t="s">
        <v>26570</v>
      </c>
      <c r="R9531" t="s">
        <v>26591</v>
      </c>
      <c r="U9531" t="s">
        <v>26604</v>
      </c>
      <c r="X9531">
        <v>998</v>
      </c>
      <c r="Y9531" t="s">
        <v>26650</v>
      </c>
      <c r="Z9531" t="s">
        <v>26659</v>
      </c>
      <c r="AA9531" t="s">
        <v>26683</v>
      </c>
      <c r="AB9531" t="s">
        <v>31711</v>
      </c>
      <c r="AD9531" t="s">
        <v>44226</v>
      </c>
      <c r="AE9531">
        <v>100</v>
      </c>
      <c r="AG9531" t="s">
        <v>45556</v>
      </c>
      <c r="AH9531">
        <v>30</v>
      </c>
      <c r="AI9531">
        <v>1</v>
      </c>
      <c r="AJ9531">
        <v>3</v>
      </c>
      <c r="AK9531">
        <v>147.71</v>
      </c>
      <c r="AN9531" t="s">
        <v>7439</v>
      </c>
      <c r="AO9531">
        <v>37076</v>
      </c>
      <c r="AP9531" t="s">
        <v>46175</v>
      </c>
      <c r="AU9531">
        <v>1.1</v>
      </c>
      <c r="AV9531" t="s">
        <v>792</v>
      </c>
      <c r="AW9531" t="s">
        <v>46858</v>
      </c>
    </row>
    <row r="9532" spans="1:49">
      <c r="A9532" s="1">
        <f>HYPERLINK("https://lsnyc.legalserver.org/matter/dynamic-profile/view/1884782","18-1884782")</f>
        <v>0</v>
      </c>
      <c r="B9532" t="s">
        <v>108</v>
      </c>
      <c r="C9532" t="s">
        <v>340</v>
      </c>
      <c r="D9532" t="s">
        <v>682</v>
      </c>
      <c r="F9532" t="s">
        <v>4585</v>
      </c>
      <c r="G9532" t="s">
        <v>9083</v>
      </c>
      <c r="H9532" t="s">
        <v>16141</v>
      </c>
      <c r="I9532" t="s">
        <v>18691</v>
      </c>
      <c r="J9532" t="s">
        <v>18915</v>
      </c>
      <c r="K9532">
        <v>11372</v>
      </c>
      <c r="L9532" t="s">
        <v>18958</v>
      </c>
      <c r="M9532" t="s">
        <v>18958</v>
      </c>
      <c r="R9532" t="s">
        <v>26584</v>
      </c>
      <c r="U9532" t="s">
        <v>26604</v>
      </c>
      <c r="X9532">
        <v>1021</v>
      </c>
      <c r="Y9532" t="s">
        <v>26653</v>
      </c>
      <c r="Z9532" t="s">
        <v>26659</v>
      </c>
      <c r="AB9532" t="s">
        <v>33471</v>
      </c>
      <c r="AD9532" t="s">
        <v>44227</v>
      </c>
      <c r="AE9532">
        <v>220</v>
      </c>
      <c r="AF9532" t="s">
        <v>45541</v>
      </c>
      <c r="AG9532" t="s">
        <v>45559</v>
      </c>
      <c r="AH9532">
        <v>19</v>
      </c>
      <c r="AI9532">
        <v>2</v>
      </c>
      <c r="AJ9532">
        <v>0</v>
      </c>
      <c r="AK9532">
        <v>131.28</v>
      </c>
      <c r="AO9532">
        <v>21608</v>
      </c>
      <c r="AU9532">
        <v>12.8</v>
      </c>
      <c r="AV9532" t="s">
        <v>767</v>
      </c>
      <c r="AW9532" t="s">
        <v>208</v>
      </c>
    </row>
    <row r="9533" spans="1:49">
      <c r="A9533" s="1">
        <f>HYPERLINK("https://lsnyc.legalserver.org/matter/dynamic-profile/view/1884818","18-1884818")</f>
        <v>0</v>
      </c>
      <c r="B9533" t="s">
        <v>158</v>
      </c>
      <c r="C9533" t="s">
        <v>340</v>
      </c>
      <c r="D9533" t="s">
        <v>682</v>
      </c>
      <c r="F9533" t="s">
        <v>2787</v>
      </c>
      <c r="G9533" t="s">
        <v>9059</v>
      </c>
      <c r="H9533" t="s">
        <v>16102</v>
      </c>
      <c r="I9533" t="s">
        <v>17306</v>
      </c>
      <c r="J9533" t="s">
        <v>18894</v>
      </c>
      <c r="K9533">
        <v>11209</v>
      </c>
      <c r="L9533" t="s">
        <v>18960</v>
      </c>
      <c r="M9533" t="s">
        <v>18960</v>
      </c>
      <c r="N9533" t="s">
        <v>25581</v>
      </c>
      <c r="O9533" t="s">
        <v>26523</v>
      </c>
      <c r="P9533" t="s">
        <v>26563</v>
      </c>
      <c r="R9533" t="s">
        <v>26586</v>
      </c>
      <c r="U9533" t="s">
        <v>26604</v>
      </c>
      <c r="X9533">
        <v>0</v>
      </c>
      <c r="Y9533" t="s">
        <v>26652</v>
      </c>
      <c r="Z9533" t="s">
        <v>26672</v>
      </c>
      <c r="AB9533" t="s">
        <v>33438</v>
      </c>
      <c r="AD9533" t="s">
        <v>44184</v>
      </c>
      <c r="AE9533">
        <v>0</v>
      </c>
      <c r="AG9533" t="s">
        <v>19330</v>
      </c>
      <c r="AH9533">
        <v>25</v>
      </c>
      <c r="AI9533">
        <v>1</v>
      </c>
      <c r="AJ9533">
        <v>0</v>
      </c>
      <c r="AK9533">
        <v>79.08</v>
      </c>
      <c r="AN9533" t="s">
        <v>7439</v>
      </c>
      <c r="AO9533">
        <v>9600</v>
      </c>
      <c r="AU9533">
        <v>8.1</v>
      </c>
      <c r="AV9533" t="s">
        <v>46825</v>
      </c>
      <c r="AW9533" t="s">
        <v>46862</v>
      </c>
    </row>
    <row r="9534" spans="1:49">
      <c r="A9534" s="1">
        <f>HYPERLINK("https://lsnyc.legalserver.org/matter/dynamic-profile/view/1884245","18-1884245")</f>
        <v>0</v>
      </c>
      <c r="B9534" t="s">
        <v>102</v>
      </c>
      <c r="C9534" t="s">
        <v>340</v>
      </c>
      <c r="D9534" t="s">
        <v>682</v>
      </c>
      <c r="F9534" t="s">
        <v>884</v>
      </c>
      <c r="G9534" t="s">
        <v>7089</v>
      </c>
      <c r="H9534" t="s">
        <v>16142</v>
      </c>
      <c r="I9534" t="s">
        <v>17272</v>
      </c>
      <c r="J9534" t="s">
        <v>18902</v>
      </c>
      <c r="K9534">
        <v>10304</v>
      </c>
      <c r="L9534" t="s">
        <v>18960</v>
      </c>
      <c r="M9534" t="s">
        <v>18958</v>
      </c>
      <c r="O9534" t="s">
        <v>26523</v>
      </c>
      <c r="R9534" t="s">
        <v>26578</v>
      </c>
      <c r="S9534" t="s">
        <v>18958</v>
      </c>
      <c r="U9534" t="s">
        <v>26604</v>
      </c>
      <c r="V9534" t="s">
        <v>26609</v>
      </c>
      <c r="X9534">
        <v>1615</v>
      </c>
      <c r="Y9534" t="s">
        <v>26654</v>
      </c>
      <c r="Z9534" t="s">
        <v>26664</v>
      </c>
      <c r="AB9534" t="s">
        <v>33472</v>
      </c>
      <c r="AD9534" t="s">
        <v>44228</v>
      </c>
      <c r="AE9534">
        <v>0</v>
      </c>
      <c r="AF9534" t="s">
        <v>45548</v>
      </c>
      <c r="AG9534" t="s">
        <v>45558</v>
      </c>
      <c r="AH9534">
        <v>1</v>
      </c>
      <c r="AI9534">
        <v>1</v>
      </c>
      <c r="AJ9534">
        <v>2</v>
      </c>
      <c r="AK9534">
        <v>107.6</v>
      </c>
      <c r="AN9534" t="s">
        <v>7439</v>
      </c>
      <c r="AO9534">
        <v>22360</v>
      </c>
      <c r="AU9534">
        <v>4.4</v>
      </c>
      <c r="AV9534" t="s">
        <v>756</v>
      </c>
      <c r="AW9534" t="s">
        <v>316</v>
      </c>
    </row>
    <row r="9535" spans="1:49">
      <c r="A9535" s="1">
        <f>HYPERLINK("https://lsnyc.legalserver.org/matter/dynamic-profile/view/1884806","18-1884806")</f>
        <v>0</v>
      </c>
      <c r="B9535" t="s">
        <v>142</v>
      </c>
      <c r="C9535" t="s">
        <v>340</v>
      </c>
      <c r="D9535" t="s">
        <v>682</v>
      </c>
      <c r="F9535" t="s">
        <v>4586</v>
      </c>
      <c r="G9535" t="s">
        <v>9084</v>
      </c>
      <c r="H9535" t="s">
        <v>16143</v>
      </c>
      <c r="I9535" t="s">
        <v>17415</v>
      </c>
      <c r="J9535" t="s">
        <v>18901</v>
      </c>
      <c r="K9535">
        <v>11434</v>
      </c>
      <c r="L9535" t="s">
        <v>18958</v>
      </c>
      <c r="M9535" t="s">
        <v>18958</v>
      </c>
      <c r="N9535" t="s">
        <v>25582</v>
      </c>
      <c r="O9535" t="s">
        <v>26524</v>
      </c>
      <c r="P9535" t="s">
        <v>26563</v>
      </c>
      <c r="R9535" t="s">
        <v>26585</v>
      </c>
      <c r="S9535" t="s">
        <v>18959</v>
      </c>
      <c r="U9535" t="s">
        <v>26604</v>
      </c>
      <c r="V9535" t="s">
        <v>26610</v>
      </c>
      <c r="X9535">
        <v>1250</v>
      </c>
      <c r="Y9535" t="s">
        <v>26653</v>
      </c>
      <c r="Z9535" t="s">
        <v>26668</v>
      </c>
      <c r="AB9535" t="s">
        <v>33473</v>
      </c>
      <c r="AD9535" t="s">
        <v>44229</v>
      </c>
      <c r="AE9535">
        <v>3</v>
      </c>
      <c r="AF9535" t="s">
        <v>45547</v>
      </c>
      <c r="AH9535">
        <v>8</v>
      </c>
      <c r="AI9535">
        <v>2</v>
      </c>
      <c r="AJ9535">
        <v>3</v>
      </c>
      <c r="AK9535">
        <v>195.42</v>
      </c>
      <c r="AN9535" t="s">
        <v>7439</v>
      </c>
      <c r="AO9535">
        <v>57491.2</v>
      </c>
      <c r="AU9535">
        <v>0.65</v>
      </c>
      <c r="AV9535" t="s">
        <v>704</v>
      </c>
      <c r="AW9535" t="s">
        <v>85</v>
      </c>
    </row>
    <row r="9536" spans="1:49">
      <c r="A9536" s="1">
        <f>HYPERLINK("https://lsnyc.legalserver.org/matter/dynamic-profile/view/1884811","18-1884811")</f>
        <v>0</v>
      </c>
      <c r="B9536" t="s">
        <v>161</v>
      </c>
      <c r="C9536" t="s">
        <v>340</v>
      </c>
      <c r="D9536" t="s">
        <v>682</v>
      </c>
      <c r="F9536" t="s">
        <v>2282</v>
      </c>
      <c r="G9536" t="s">
        <v>8222</v>
      </c>
      <c r="H9536" t="s">
        <v>12124</v>
      </c>
      <c r="I9536" t="s">
        <v>17379</v>
      </c>
      <c r="J9536" t="s">
        <v>18906</v>
      </c>
      <c r="K9536">
        <v>11373</v>
      </c>
      <c r="L9536" t="s">
        <v>18959</v>
      </c>
      <c r="M9536" t="s">
        <v>18959</v>
      </c>
      <c r="O9536" t="s">
        <v>18997</v>
      </c>
      <c r="P9536" t="s">
        <v>26564</v>
      </c>
      <c r="R9536" t="s">
        <v>26585</v>
      </c>
      <c r="S9536" t="s">
        <v>18959</v>
      </c>
      <c r="U9536" t="s">
        <v>26604</v>
      </c>
      <c r="V9536" t="s">
        <v>26610</v>
      </c>
      <c r="X9536">
        <v>1050</v>
      </c>
      <c r="Y9536" t="s">
        <v>26653</v>
      </c>
      <c r="Z9536" t="s">
        <v>26670</v>
      </c>
      <c r="AB9536" t="s">
        <v>33474</v>
      </c>
      <c r="AD9536" t="s">
        <v>44230</v>
      </c>
      <c r="AE9536">
        <v>126</v>
      </c>
      <c r="AF9536" t="s">
        <v>45541</v>
      </c>
      <c r="AG9536" t="s">
        <v>19330</v>
      </c>
      <c r="AH9536">
        <v>8</v>
      </c>
      <c r="AI9536">
        <v>2</v>
      </c>
      <c r="AJ9536">
        <v>0</v>
      </c>
      <c r="AK9536">
        <v>145.81</v>
      </c>
      <c r="AN9536" t="s">
        <v>45581</v>
      </c>
      <c r="AO9536">
        <v>24000</v>
      </c>
      <c r="AU9536">
        <v>0.8</v>
      </c>
      <c r="AV9536" t="s">
        <v>727</v>
      </c>
      <c r="AW9536" t="s">
        <v>161</v>
      </c>
    </row>
    <row r="9537" spans="1:49">
      <c r="A9537" s="1">
        <f>HYPERLINK("https://lsnyc.legalserver.org/matter/dynamic-profile/view/1884815","18-1884815")</f>
        <v>0</v>
      </c>
      <c r="B9537" t="s">
        <v>201</v>
      </c>
      <c r="C9537" t="s">
        <v>340</v>
      </c>
      <c r="D9537" t="s">
        <v>682</v>
      </c>
      <c r="F9537" t="s">
        <v>4479</v>
      </c>
      <c r="G9537" t="s">
        <v>8953</v>
      </c>
      <c r="H9537" t="s">
        <v>15899</v>
      </c>
      <c r="I9537" t="s">
        <v>17354</v>
      </c>
      <c r="J9537" t="s">
        <v>18894</v>
      </c>
      <c r="K9537">
        <v>11207</v>
      </c>
      <c r="L9537" t="s">
        <v>18960</v>
      </c>
      <c r="M9537" t="s">
        <v>18960</v>
      </c>
      <c r="N9537" t="s">
        <v>25583</v>
      </c>
      <c r="O9537" t="s">
        <v>26524</v>
      </c>
      <c r="R9537" t="s">
        <v>26578</v>
      </c>
      <c r="U9537" t="s">
        <v>26604</v>
      </c>
      <c r="X9537">
        <v>1200</v>
      </c>
      <c r="Y9537" t="s">
        <v>26652</v>
      </c>
      <c r="Z9537" t="s">
        <v>26673</v>
      </c>
      <c r="AB9537" t="s">
        <v>33264</v>
      </c>
      <c r="AD9537" t="s">
        <v>43952</v>
      </c>
      <c r="AE9537">
        <v>3</v>
      </c>
      <c r="AG9537" t="s">
        <v>45558</v>
      </c>
      <c r="AH9537">
        <v>4</v>
      </c>
      <c r="AI9537">
        <v>1</v>
      </c>
      <c r="AJ9537">
        <v>0</v>
      </c>
      <c r="AK9537">
        <v>82.73</v>
      </c>
      <c r="AN9537" t="s">
        <v>7439</v>
      </c>
      <c r="AO9537">
        <v>10044</v>
      </c>
      <c r="AU9537">
        <v>38</v>
      </c>
      <c r="AV9537" t="s">
        <v>838</v>
      </c>
      <c r="AW9537" t="s">
        <v>46861</v>
      </c>
    </row>
    <row r="9538" spans="1:49">
      <c r="A9538" s="1">
        <f>HYPERLINK("https://lsnyc.legalserver.org/matter/dynamic-profile/view/1884835","18-1884835")</f>
        <v>0</v>
      </c>
      <c r="B9538" t="s">
        <v>122</v>
      </c>
      <c r="C9538" t="s">
        <v>340</v>
      </c>
      <c r="D9538" t="s">
        <v>682</v>
      </c>
      <c r="F9538" t="s">
        <v>2812</v>
      </c>
      <c r="G9538" t="s">
        <v>9085</v>
      </c>
      <c r="H9538" t="s">
        <v>16144</v>
      </c>
      <c r="I9538" t="s">
        <v>18692</v>
      </c>
      <c r="J9538" t="s">
        <v>18915</v>
      </c>
      <c r="K9538">
        <v>11372</v>
      </c>
      <c r="L9538" t="s">
        <v>18959</v>
      </c>
      <c r="M9538" t="s">
        <v>18959</v>
      </c>
      <c r="R9538" t="s">
        <v>26584</v>
      </c>
      <c r="U9538" t="s">
        <v>26604</v>
      </c>
      <c r="X9538">
        <v>1450</v>
      </c>
      <c r="Y9538" t="s">
        <v>26653</v>
      </c>
      <c r="Z9538" t="s">
        <v>26670</v>
      </c>
      <c r="AB9538" t="s">
        <v>33475</v>
      </c>
      <c r="AD9538" t="s">
        <v>44231</v>
      </c>
      <c r="AE9538">
        <v>54</v>
      </c>
      <c r="AF9538" t="s">
        <v>45541</v>
      </c>
      <c r="AG9538" t="s">
        <v>19330</v>
      </c>
      <c r="AH9538">
        <v>12</v>
      </c>
      <c r="AI9538">
        <v>1</v>
      </c>
      <c r="AJ9538">
        <v>0</v>
      </c>
      <c r="AK9538">
        <v>247.12</v>
      </c>
      <c r="AO9538">
        <v>30000</v>
      </c>
      <c r="AU9538">
        <v>0</v>
      </c>
      <c r="AW9538" t="s">
        <v>122</v>
      </c>
    </row>
    <row r="9539" spans="1:49">
      <c r="A9539" s="1">
        <f>HYPERLINK("https://lsnyc.legalserver.org/matter/dynamic-profile/view/1884785","18-1884785")</f>
        <v>0</v>
      </c>
      <c r="B9539" t="s">
        <v>104</v>
      </c>
      <c r="C9539" t="s">
        <v>340</v>
      </c>
      <c r="D9539" t="s">
        <v>682</v>
      </c>
      <c r="F9539" t="s">
        <v>4587</v>
      </c>
      <c r="G9539" t="s">
        <v>1725</v>
      </c>
      <c r="H9539" t="s">
        <v>16145</v>
      </c>
      <c r="I9539" t="s">
        <v>18202</v>
      </c>
      <c r="J9539" t="s">
        <v>18902</v>
      </c>
      <c r="K9539">
        <v>10302</v>
      </c>
      <c r="L9539" t="s">
        <v>18958</v>
      </c>
      <c r="M9539" t="s">
        <v>18958</v>
      </c>
      <c r="O9539" t="s">
        <v>26524</v>
      </c>
      <c r="P9539" t="s">
        <v>26560</v>
      </c>
      <c r="R9539" t="s">
        <v>26589</v>
      </c>
      <c r="S9539" t="s">
        <v>18959</v>
      </c>
      <c r="U9539" t="s">
        <v>26604</v>
      </c>
      <c r="V9539" t="s">
        <v>26610</v>
      </c>
      <c r="X9539">
        <v>1300</v>
      </c>
      <c r="Y9539" t="s">
        <v>26654</v>
      </c>
      <c r="Z9539" t="s">
        <v>26671</v>
      </c>
      <c r="AB9539" t="s">
        <v>28824</v>
      </c>
      <c r="AE9539">
        <v>3</v>
      </c>
      <c r="AF9539" t="s">
        <v>45547</v>
      </c>
      <c r="AG9539" t="s">
        <v>19330</v>
      </c>
      <c r="AH9539">
        <v>5</v>
      </c>
      <c r="AI9539">
        <v>2</v>
      </c>
      <c r="AJ9539">
        <v>4</v>
      </c>
      <c r="AK9539">
        <v>13.16</v>
      </c>
      <c r="AN9539" t="s">
        <v>45581</v>
      </c>
      <c r="AO9539">
        <v>4440</v>
      </c>
      <c r="AU9539">
        <v>6</v>
      </c>
      <c r="AV9539" t="s">
        <v>757</v>
      </c>
      <c r="AW9539" t="s">
        <v>210</v>
      </c>
    </row>
    <row r="9540" spans="1:49">
      <c r="A9540" s="1">
        <f>HYPERLINK("https://lsnyc.legalserver.org/matter/dynamic-profile/view/1884801","18-1884801")</f>
        <v>0</v>
      </c>
      <c r="B9540" t="s">
        <v>59</v>
      </c>
      <c r="C9540" t="s">
        <v>340</v>
      </c>
      <c r="D9540" t="s">
        <v>682</v>
      </c>
      <c r="F9540" t="s">
        <v>1066</v>
      </c>
      <c r="G9540" t="s">
        <v>9086</v>
      </c>
      <c r="H9540" t="s">
        <v>16146</v>
      </c>
      <c r="I9540" t="s">
        <v>17306</v>
      </c>
      <c r="J9540" t="s">
        <v>18893</v>
      </c>
      <c r="K9540">
        <v>10026</v>
      </c>
      <c r="L9540" t="s">
        <v>18958</v>
      </c>
      <c r="M9540" t="s">
        <v>18958</v>
      </c>
      <c r="N9540" t="s">
        <v>25584</v>
      </c>
      <c r="O9540" t="s">
        <v>26523</v>
      </c>
      <c r="P9540" t="s">
        <v>26560</v>
      </c>
      <c r="R9540" t="s">
        <v>26580</v>
      </c>
      <c r="S9540" t="s">
        <v>18959</v>
      </c>
      <c r="U9540" t="s">
        <v>26604</v>
      </c>
      <c r="V9540" t="s">
        <v>26610</v>
      </c>
      <c r="X9540">
        <v>745</v>
      </c>
      <c r="Y9540" t="s">
        <v>26651</v>
      </c>
      <c r="Z9540" t="s">
        <v>26668</v>
      </c>
      <c r="AB9540" t="s">
        <v>31242</v>
      </c>
      <c r="AD9540" t="s">
        <v>44232</v>
      </c>
      <c r="AE9540">
        <v>0</v>
      </c>
      <c r="AF9540" t="s">
        <v>45544</v>
      </c>
      <c r="AG9540" t="s">
        <v>45556</v>
      </c>
      <c r="AH9540">
        <v>50</v>
      </c>
      <c r="AI9540">
        <v>1</v>
      </c>
      <c r="AJ9540">
        <v>0</v>
      </c>
      <c r="AK9540">
        <v>135.42</v>
      </c>
      <c r="AN9540" t="s">
        <v>7439</v>
      </c>
      <c r="AO9540">
        <v>16440</v>
      </c>
      <c r="AU9540">
        <v>27.5</v>
      </c>
      <c r="AV9540" t="s">
        <v>836</v>
      </c>
      <c r="AW9540" t="s">
        <v>314</v>
      </c>
    </row>
    <row r="9541" spans="1:49">
      <c r="A9541" s="1">
        <f>HYPERLINK("https://lsnyc.legalserver.org/matter/dynamic-profile/view/1884982","18-1884982")</f>
        <v>0</v>
      </c>
      <c r="B9541" t="s">
        <v>74</v>
      </c>
      <c r="C9541" t="s">
        <v>341</v>
      </c>
      <c r="D9541" t="s">
        <v>518</v>
      </c>
      <c r="E9541" t="s">
        <v>727</v>
      </c>
      <c r="F9541" t="s">
        <v>4588</v>
      </c>
      <c r="G9541" t="s">
        <v>5313</v>
      </c>
      <c r="H9541" t="s">
        <v>16147</v>
      </c>
      <c r="I9541">
        <v>1</v>
      </c>
      <c r="J9541" t="s">
        <v>18892</v>
      </c>
      <c r="K9541">
        <v>10457</v>
      </c>
      <c r="L9541" t="s">
        <v>18960</v>
      </c>
      <c r="M9541" t="s">
        <v>18960</v>
      </c>
      <c r="O9541" t="s">
        <v>18997</v>
      </c>
      <c r="P9541" t="s">
        <v>26564</v>
      </c>
      <c r="Q9541" t="s">
        <v>26570</v>
      </c>
      <c r="R9541" t="s">
        <v>26591</v>
      </c>
      <c r="U9541" t="s">
        <v>26604</v>
      </c>
      <c r="X9541">
        <v>1300</v>
      </c>
      <c r="Y9541" t="s">
        <v>26651</v>
      </c>
      <c r="AA9541" t="s">
        <v>26683</v>
      </c>
      <c r="AB9541" t="s">
        <v>33476</v>
      </c>
      <c r="AD9541" t="s">
        <v>44233</v>
      </c>
      <c r="AE9541">
        <v>0</v>
      </c>
      <c r="AF9541" t="s">
        <v>20460</v>
      </c>
      <c r="AG9541" t="s">
        <v>19330</v>
      </c>
      <c r="AH9541">
        <v>4</v>
      </c>
      <c r="AI9541">
        <v>1</v>
      </c>
      <c r="AJ9541">
        <v>2</v>
      </c>
      <c r="AK9541">
        <v>72.56999999999999</v>
      </c>
      <c r="AN9541" t="s">
        <v>45581</v>
      </c>
      <c r="AO9541">
        <v>15080</v>
      </c>
      <c r="AU9541">
        <v>0.5</v>
      </c>
      <c r="AV9541" t="s">
        <v>518</v>
      </c>
      <c r="AW9541" t="s">
        <v>46829</v>
      </c>
    </row>
    <row r="9542" spans="1:49">
      <c r="A9542" s="1">
        <f>HYPERLINK("https://lsnyc.legalserver.org/matter/dynamic-profile/view/1884921","18-1884921")</f>
        <v>0</v>
      </c>
      <c r="B9542" t="s">
        <v>190</v>
      </c>
      <c r="C9542" t="s">
        <v>341</v>
      </c>
      <c r="D9542" t="s">
        <v>518</v>
      </c>
      <c r="E9542" t="s">
        <v>714</v>
      </c>
      <c r="F9542" t="s">
        <v>1197</v>
      </c>
      <c r="G9542" t="s">
        <v>5479</v>
      </c>
      <c r="H9542" t="s">
        <v>11231</v>
      </c>
      <c r="I9542" t="s">
        <v>17425</v>
      </c>
      <c r="J9542" t="s">
        <v>18894</v>
      </c>
      <c r="K9542">
        <v>11221</v>
      </c>
      <c r="L9542" t="s">
        <v>18958</v>
      </c>
      <c r="M9542" t="s">
        <v>18958</v>
      </c>
      <c r="N9542">
        <v>675.14</v>
      </c>
      <c r="O9542" t="s">
        <v>26552</v>
      </c>
      <c r="P9542" t="s">
        <v>26562</v>
      </c>
      <c r="Q9542" t="s">
        <v>26573</v>
      </c>
      <c r="R9542" t="s">
        <v>26591</v>
      </c>
      <c r="S9542" t="s">
        <v>18959</v>
      </c>
      <c r="U9542" t="s">
        <v>26607</v>
      </c>
      <c r="X9542">
        <v>675.14</v>
      </c>
      <c r="Y9542" t="s">
        <v>26652</v>
      </c>
      <c r="Z9542" t="s">
        <v>26659</v>
      </c>
      <c r="AA9542" t="s">
        <v>26681</v>
      </c>
      <c r="AB9542" t="s">
        <v>27796</v>
      </c>
      <c r="AC9542" t="s">
        <v>36648</v>
      </c>
      <c r="AD9542" t="s">
        <v>44234</v>
      </c>
      <c r="AE9542">
        <v>201</v>
      </c>
      <c r="AF9542" t="s">
        <v>45541</v>
      </c>
      <c r="AG9542" t="s">
        <v>45560</v>
      </c>
      <c r="AH9542">
        <v>10</v>
      </c>
      <c r="AI9542">
        <v>1</v>
      </c>
      <c r="AJ9542">
        <v>0</v>
      </c>
      <c r="AK9542">
        <v>104.82</v>
      </c>
      <c r="AN9542" t="s">
        <v>7439</v>
      </c>
      <c r="AO9542">
        <v>12724.8</v>
      </c>
      <c r="AU9542">
        <v>7.5</v>
      </c>
      <c r="AV9542" t="s">
        <v>714</v>
      </c>
      <c r="AW9542" t="s">
        <v>190</v>
      </c>
    </row>
    <row r="9543" spans="1:49">
      <c r="A9543" s="1">
        <f>HYPERLINK("https://lsnyc.legalserver.org/matter/dynamic-profile/view/1884967","18-1884967")</f>
        <v>0</v>
      </c>
      <c r="B9543" t="s">
        <v>198</v>
      </c>
      <c r="C9543" t="s">
        <v>341</v>
      </c>
      <c r="D9543" t="s">
        <v>518</v>
      </c>
      <c r="E9543" t="s">
        <v>765</v>
      </c>
      <c r="F9543" t="s">
        <v>4121</v>
      </c>
      <c r="G9543" t="s">
        <v>3103</v>
      </c>
      <c r="H9543" t="s">
        <v>13242</v>
      </c>
      <c r="J9543" t="s">
        <v>18894</v>
      </c>
      <c r="K9543">
        <v>11226</v>
      </c>
      <c r="L9543" t="s">
        <v>18960</v>
      </c>
      <c r="M9543" t="s">
        <v>18960</v>
      </c>
      <c r="N9543" t="s">
        <v>22519</v>
      </c>
      <c r="Q9543" t="s">
        <v>26570</v>
      </c>
      <c r="R9543" t="s">
        <v>26578</v>
      </c>
      <c r="U9543" t="s">
        <v>26604</v>
      </c>
      <c r="X9543">
        <v>0</v>
      </c>
      <c r="Y9543" t="s">
        <v>26652</v>
      </c>
      <c r="AA9543" t="s">
        <v>26683</v>
      </c>
      <c r="AB9543" t="s">
        <v>27292</v>
      </c>
      <c r="AE9543">
        <v>0</v>
      </c>
      <c r="AH9543">
        <v>0</v>
      </c>
      <c r="AI9543">
        <v>2</v>
      </c>
      <c r="AJ9543">
        <v>1</v>
      </c>
      <c r="AK9543">
        <v>216.55</v>
      </c>
      <c r="AN9543" t="s">
        <v>7439</v>
      </c>
      <c r="AO9543">
        <v>45000</v>
      </c>
      <c r="AP9543" t="s">
        <v>46176</v>
      </c>
      <c r="AU9543">
        <v>0.9</v>
      </c>
      <c r="AV9543" t="s">
        <v>765</v>
      </c>
      <c r="AW9543" t="s">
        <v>198</v>
      </c>
    </row>
    <row r="9544" spans="1:49">
      <c r="A9544" s="1">
        <f>HYPERLINK("https://lsnyc.legalserver.org/matter/dynamic-profile/view/1885032","18-1885032")</f>
        <v>0</v>
      </c>
      <c r="B9544" t="s">
        <v>320</v>
      </c>
      <c r="C9544" t="s">
        <v>341</v>
      </c>
      <c r="D9544" t="s">
        <v>518</v>
      </c>
      <c r="E9544" t="s">
        <v>783</v>
      </c>
      <c r="F9544" t="s">
        <v>2302</v>
      </c>
      <c r="G9544" t="s">
        <v>9087</v>
      </c>
      <c r="H9544" t="s">
        <v>16148</v>
      </c>
      <c r="I9544" t="s">
        <v>17430</v>
      </c>
      <c r="J9544" t="s">
        <v>18894</v>
      </c>
      <c r="K9544">
        <v>11236</v>
      </c>
      <c r="L9544" t="s">
        <v>18960</v>
      </c>
      <c r="M9544" t="s">
        <v>18960</v>
      </c>
      <c r="O9544" t="s">
        <v>18997</v>
      </c>
      <c r="P9544" t="s">
        <v>26563</v>
      </c>
      <c r="Q9544" t="s">
        <v>26570</v>
      </c>
      <c r="R9544" t="s">
        <v>26586</v>
      </c>
      <c r="S9544" t="s">
        <v>18959</v>
      </c>
      <c r="U9544" t="s">
        <v>26604</v>
      </c>
      <c r="X9544">
        <v>1200</v>
      </c>
      <c r="Y9544" t="s">
        <v>26652</v>
      </c>
      <c r="Z9544" t="s">
        <v>26659</v>
      </c>
      <c r="AA9544" t="s">
        <v>26683</v>
      </c>
      <c r="AB9544" t="s">
        <v>33477</v>
      </c>
      <c r="AD9544" t="s">
        <v>44235</v>
      </c>
      <c r="AE9544">
        <v>0</v>
      </c>
      <c r="AH9544">
        <v>6</v>
      </c>
      <c r="AI9544">
        <v>2</v>
      </c>
      <c r="AJ9544">
        <v>1</v>
      </c>
      <c r="AK9544">
        <v>43.31</v>
      </c>
      <c r="AN9544" t="s">
        <v>7439</v>
      </c>
      <c r="AO9544">
        <v>9000</v>
      </c>
      <c r="AU9544">
        <v>1.25</v>
      </c>
      <c r="AV9544" t="s">
        <v>783</v>
      </c>
      <c r="AW9544" t="s">
        <v>320</v>
      </c>
    </row>
    <row r="9545" spans="1:49">
      <c r="A9545" s="1">
        <f>HYPERLINK("https://lsnyc.legalserver.org/matter/dynamic-profile/view/1884985","18-1884985")</f>
        <v>0</v>
      </c>
      <c r="B9545" t="s">
        <v>198</v>
      </c>
      <c r="C9545" t="s">
        <v>340</v>
      </c>
      <c r="D9545" t="s">
        <v>518</v>
      </c>
      <c r="F9545" t="s">
        <v>1136</v>
      </c>
      <c r="G9545" t="s">
        <v>9088</v>
      </c>
      <c r="H9545" t="s">
        <v>11369</v>
      </c>
      <c r="I9545" t="s">
        <v>17327</v>
      </c>
      <c r="J9545" t="s">
        <v>18894</v>
      </c>
      <c r="K9545">
        <v>11226</v>
      </c>
      <c r="L9545" t="s">
        <v>18960</v>
      </c>
      <c r="M9545" t="s">
        <v>18960</v>
      </c>
      <c r="P9545" t="s">
        <v>26562</v>
      </c>
      <c r="R9545" t="s">
        <v>26578</v>
      </c>
      <c r="U9545" t="s">
        <v>26604</v>
      </c>
      <c r="X9545">
        <v>0</v>
      </c>
      <c r="Y9545" t="s">
        <v>26652</v>
      </c>
      <c r="AB9545" t="s">
        <v>33478</v>
      </c>
      <c r="AD9545" t="s">
        <v>44236</v>
      </c>
      <c r="AE9545">
        <v>0</v>
      </c>
      <c r="AH9545">
        <v>0</v>
      </c>
      <c r="AI9545">
        <v>2</v>
      </c>
      <c r="AJ9545">
        <v>0</v>
      </c>
      <c r="AK9545">
        <v>0</v>
      </c>
      <c r="AN9545" t="s">
        <v>7439</v>
      </c>
      <c r="AO9545">
        <v>0</v>
      </c>
      <c r="AU9545">
        <v>3.8</v>
      </c>
      <c r="AV9545" t="s">
        <v>712</v>
      </c>
      <c r="AW9545" t="s">
        <v>198</v>
      </c>
    </row>
    <row r="9546" spans="1:49">
      <c r="A9546" s="1">
        <f>HYPERLINK("https://lsnyc.legalserver.org/matter/dynamic-profile/view/1884911","18-1884911")</f>
        <v>0</v>
      </c>
      <c r="B9546" t="s">
        <v>194</v>
      </c>
      <c r="C9546" t="s">
        <v>340</v>
      </c>
      <c r="D9546" t="s">
        <v>518</v>
      </c>
      <c r="F9546" t="s">
        <v>2128</v>
      </c>
      <c r="G9546" t="s">
        <v>6106</v>
      </c>
      <c r="H9546" t="s">
        <v>16149</v>
      </c>
      <c r="I9546" t="s">
        <v>18693</v>
      </c>
      <c r="J9546" t="s">
        <v>18893</v>
      </c>
      <c r="K9546">
        <v>10024</v>
      </c>
      <c r="L9546" t="s">
        <v>18960</v>
      </c>
      <c r="M9546" t="s">
        <v>18960</v>
      </c>
      <c r="N9546" t="s">
        <v>25585</v>
      </c>
      <c r="O9546" t="s">
        <v>26523</v>
      </c>
      <c r="P9546" t="s">
        <v>26564</v>
      </c>
      <c r="R9546" t="s">
        <v>26582</v>
      </c>
      <c r="S9546" t="s">
        <v>18959</v>
      </c>
      <c r="U9546" t="s">
        <v>26604</v>
      </c>
      <c r="X9546">
        <v>1086</v>
      </c>
      <c r="Y9546" t="s">
        <v>26651</v>
      </c>
      <c r="Z9546" t="s">
        <v>26664</v>
      </c>
      <c r="AB9546" t="s">
        <v>33479</v>
      </c>
      <c r="AD9546" t="s">
        <v>44237</v>
      </c>
      <c r="AE9546">
        <v>0</v>
      </c>
      <c r="AG9546" t="s">
        <v>45556</v>
      </c>
      <c r="AH9546">
        <v>15</v>
      </c>
      <c r="AI9546">
        <v>1</v>
      </c>
      <c r="AJ9546">
        <v>0</v>
      </c>
      <c r="AK9546">
        <v>84.42</v>
      </c>
      <c r="AN9546" t="s">
        <v>7439</v>
      </c>
      <c r="AO9546">
        <v>10248</v>
      </c>
      <c r="AU9546">
        <v>0.7</v>
      </c>
      <c r="AV9546" t="s">
        <v>699</v>
      </c>
      <c r="AW9546" t="s">
        <v>46875</v>
      </c>
    </row>
    <row r="9547" spans="1:49">
      <c r="A9547" s="1">
        <f>HYPERLINK("https://lsnyc.legalserver.org/matter/dynamic-profile/view/1885083","18-1885083")</f>
        <v>0</v>
      </c>
      <c r="B9547" t="s">
        <v>209</v>
      </c>
      <c r="C9547" t="s">
        <v>341</v>
      </c>
      <c r="D9547" t="s">
        <v>519</v>
      </c>
      <c r="E9547" t="s">
        <v>519</v>
      </c>
      <c r="F9547" t="s">
        <v>1139</v>
      </c>
      <c r="G9547" t="s">
        <v>9089</v>
      </c>
      <c r="H9547" t="s">
        <v>16150</v>
      </c>
      <c r="I9547" t="s">
        <v>17859</v>
      </c>
      <c r="J9547" t="s">
        <v>18898</v>
      </c>
      <c r="K9547">
        <v>11691</v>
      </c>
      <c r="L9547" t="s">
        <v>18960</v>
      </c>
      <c r="M9547" t="s">
        <v>18960</v>
      </c>
      <c r="O9547" t="s">
        <v>18997</v>
      </c>
      <c r="Q9547" t="s">
        <v>26570</v>
      </c>
      <c r="R9547" t="s">
        <v>26591</v>
      </c>
      <c r="S9547" t="s">
        <v>18959</v>
      </c>
      <c r="U9547" t="s">
        <v>26604</v>
      </c>
      <c r="X9547">
        <v>1589</v>
      </c>
      <c r="Y9547" t="s">
        <v>26653</v>
      </c>
      <c r="Z9547" t="s">
        <v>26530</v>
      </c>
      <c r="AA9547" t="s">
        <v>26683</v>
      </c>
      <c r="AB9547" t="s">
        <v>33480</v>
      </c>
      <c r="AD9547" t="s">
        <v>44238</v>
      </c>
      <c r="AE9547">
        <v>1200</v>
      </c>
      <c r="AF9547" t="s">
        <v>45541</v>
      </c>
      <c r="AG9547" t="s">
        <v>45562</v>
      </c>
      <c r="AH9547">
        <v>2</v>
      </c>
      <c r="AI9547">
        <v>1</v>
      </c>
      <c r="AJ9547">
        <v>0</v>
      </c>
      <c r="AK9547">
        <v>92.42</v>
      </c>
      <c r="AN9547" t="s">
        <v>7439</v>
      </c>
      <c r="AO9547">
        <v>11220</v>
      </c>
      <c r="AU9547">
        <v>1.4</v>
      </c>
      <c r="AV9547" t="s">
        <v>415</v>
      </c>
      <c r="AW9547" t="s">
        <v>46841</v>
      </c>
    </row>
    <row r="9548" spans="1:49">
      <c r="A9548" s="1">
        <f>HYPERLINK("https://lsnyc.legalserver.org/matter/dynamic-profile/view/1885133","18-1885133")</f>
        <v>0</v>
      </c>
      <c r="B9548" t="s">
        <v>180</v>
      </c>
      <c r="C9548" t="s">
        <v>340</v>
      </c>
      <c r="D9548" t="s">
        <v>519</v>
      </c>
      <c r="F9548" t="s">
        <v>4589</v>
      </c>
      <c r="G9548" t="s">
        <v>9090</v>
      </c>
      <c r="H9548" t="s">
        <v>16151</v>
      </c>
      <c r="I9548" t="s">
        <v>17355</v>
      </c>
      <c r="J9548" t="s">
        <v>18894</v>
      </c>
      <c r="K9548">
        <v>11226</v>
      </c>
      <c r="L9548" t="s">
        <v>18959</v>
      </c>
      <c r="M9548" t="s">
        <v>18960</v>
      </c>
      <c r="N9548" t="s">
        <v>25586</v>
      </c>
      <c r="O9548" t="s">
        <v>26523</v>
      </c>
      <c r="P9548" t="s">
        <v>26560</v>
      </c>
      <c r="R9548" t="s">
        <v>26588</v>
      </c>
      <c r="U9548" t="s">
        <v>26604</v>
      </c>
      <c r="X9548">
        <v>475.2</v>
      </c>
      <c r="Y9548" t="s">
        <v>26652</v>
      </c>
      <c r="Z9548" t="s">
        <v>26664</v>
      </c>
      <c r="AB9548" t="s">
        <v>33481</v>
      </c>
      <c r="AD9548" t="s">
        <v>44239</v>
      </c>
      <c r="AE9548">
        <v>40</v>
      </c>
      <c r="AG9548" t="s">
        <v>45559</v>
      </c>
      <c r="AH9548">
        <v>33</v>
      </c>
      <c r="AI9548">
        <v>2</v>
      </c>
      <c r="AJ9548">
        <v>0</v>
      </c>
      <c r="AK9548">
        <v>122.48</v>
      </c>
      <c r="AN9548" t="s">
        <v>7439</v>
      </c>
      <c r="AO9548">
        <v>20160</v>
      </c>
      <c r="AU9548">
        <v>29.5</v>
      </c>
      <c r="AV9548" t="s">
        <v>831</v>
      </c>
      <c r="AW9548" t="s">
        <v>46862</v>
      </c>
    </row>
    <row r="9549" spans="1:49">
      <c r="A9549" s="1">
        <f>HYPERLINK("https://lsnyc.legalserver.org/matter/dynamic-profile/view/1885043","18-1885043")</f>
        <v>0</v>
      </c>
      <c r="B9549" t="s">
        <v>71</v>
      </c>
      <c r="C9549" t="s">
        <v>340</v>
      </c>
      <c r="D9549" t="s">
        <v>519</v>
      </c>
      <c r="F9549" t="s">
        <v>1283</v>
      </c>
      <c r="G9549" t="s">
        <v>5438</v>
      </c>
      <c r="H9549" t="s">
        <v>16152</v>
      </c>
      <c r="I9549" t="s">
        <v>17942</v>
      </c>
      <c r="J9549" t="s">
        <v>18892</v>
      </c>
      <c r="K9549">
        <v>10456</v>
      </c>
      <c r="L9549" t="s">
        <v>18958</v>
      </c>
      <c r="M9549" t="s">
        <v>18958</v>
      </c>
      <c r="O9549" t="s">
        <v>26524</v>
      </c>
      <c r="P9549" t="s">
        <v>26563</v>
      </c>
      <c r="R9549" t="s">
        <v>26577</v>
      </c>
      <c r="S9549" t="s">
        <v>18959</v>
      </c>
      <c r="U9549" t="s">
        <v>26604</v>
      </c>
      <c r="V9549" t="s">
        <v>26610</v>
      </c>
      <c r="X9549">
        <v>723</v>
      </c>
      <c r="Y9549" t="s">
        <v>26650</v>
      </c>
      <c r="Z9549" t="s">
        <v>26659</v>
      </c>
      <c r="AB9549" t="s">
        <v>32332</v>
      </c>
      <c r="AD9549" t="s">
        <v>44240</v>
      </c>
      <c r="AE9549">
        <v>60</v>
      </c>
      <c r="AF9549" t="s">
        <v>45541</v>
      </c>
      <c r="AG9549" t="s">
        <v>45556</v>
      </c>
      <c r="AH9549">
        <v>10</v>
      </c>
      <c r="AI9549">
        <v>1</v>
      </c>
      <c r="AJ9549">
        <v>0</v>
      </c>
      <c r="AK9549">
        <v>74.14</v>
      </c>
      <c r="AN9549" t="s">
        <v>7439</v>
      </c>
      <c r="AO9549">
        <v>9000</v>
      </c>
      <c r="AP9549" t="s">
        <v>46177</v>
      </c>
      <c r="AU9549">
        <v>6.7</v>
      </c>
      <c r="AV9549" t="s">
        <v>830</v>
      </c>
      <c r="AW9549" t="s">
        <v>71</v>
      </c>
    </row>
    <row r="9550" spans="1:49">
      <c r="A9550" s="1">
        <f>HYPERLINK("https://lsnyc.legalserver.org/matter/dynamic-profile/view/1885178","18-1885178")</f>
        <v>0</v>
      </c>
      <c r="B9550" t="s">
        <v>142</v>
      </c>
      <c r="C9550" t="s">
        <v>340</v>
      </c>
      <c r="D9550" t="s">
        <v>519</v>
      </c>
      <c r="F9550" t="s">
        <v>4590</v>
      </c>
      <c r="G9550" t="s">
        <v>9091</v>
      </c>
      <c r="H9550" t="s">
        <v>16153</v>
      </c>
      <c r="J9550" t="s">
        <v>18901</v>
      </c>
      <c r="K9550">
        <v>11433</v>
      </c>
      <c r="L9550" t="s">
        <v>18958</v>
      </c>
      <c r="M9550" t="s">
        <v>18958</v>
      </c>
      <c r="N9550" t="s">
        <v>25587</v>
      </c>
      <c r="O9550" t="s">
        <v>26524</v>
      </c>
      <c r="P9550" t="s">
        <v>26563</v>
      </c>
      <c r="R9550" t="s">
        <v>26584</v>
      </c>
      <c r="S9550" t="s">
        <v>18959</v>
      </c>
      <c r="U9550" t="s">
        <v>26604</v>
      </c>
      <c r="X9550">
        <v>1000</v>
      </c>
      <c r="Y9550" t="s">
        <v>26653</v>
      </c>
      <c r="Z9550" t="s">
        <v>26668</v>
      </c>
      <c r="AB9550" t="s">
        <v>33482</v>
      </c>
      <c r="AD9550" t="s">
        <v>44241</v>
      </c>
      <c r="AE9550">
        <v>0</v>
      </c>
      <c r="AF9550" t="s">
        <v>20460</v>
      </c>
      <c r="AG9550" t="s">
        <v>19330</v>
      </c>
      <c r="AH9550">
        <v>2</v>
      </c>
      <c r="AI9550">
        <v>2</v>
      </c>
      <c r="AJ9550">
        <v>2</v>
      </c>
      <c r="AK9550">
        <v>124.3</v>
      </c>
      <c r="AN9550" t="s">
        <v>45603</v>
      </c>
      <c r="AO9550">
        <v>31200</v>
      </c>
      <c r="AU9550">
        <v>0.1</v>
      </c>
      <c r="AV9550" t="s">
        <v>691</v>
      </c>
      <c r="AW9550" t="s">
        <v>208</v>
      </c>
    </row>
    <row r="9551" spans="1:49">
      <c r="A9551" s="1">
        <f>HYPERLINK("https://lsnyc.legalserver.org/matter/dynamic-profile/view/1885103","18-1885103")</f>
        <v>0</v>
      </c>
      <c r="B9551" t="s">
        <v>122</v>
      </c>
      <c r="C9551" t="s">
        <v>340</v>
      </c>
      <c r="D9551" t="s">
        <v>519</v>
      </c>
      <c r="F9551" t="s">
        <v>4591</v>
      </c>
      <c r="G9551" t="s">
        <v>3137</v>
      </c>
      <c r="H9551" t="s">
        <v>16154</v>
      </c>
      <c r="J9551" t="s">
        <v>7026</v>
      </c>
      <c r="K9551">
        <v>11368</v>
      </c>
      <c r="L9551" t="s">
        <v>18959</v>
      </c>
      <c r="M9551" t="s">
        <v>18959</v>
      </c>
      <c r="N9551" t="s">
        <v>19045</v>
      </c>
      <c r="O9551" t="s">
        <v>18997</v>
      </c>
      <c r="R9551" t="s">
        <v>26584</v>
      </c>
      <c r="U9551" t="s">
        <v>26604</v>
      </c>
      <c r="X9551">
        <v>700</v>
      </c>
      <c r="Y9551" t="s">
        <v>26653</v>
      </c>
      <c r="Z9551" t="s">
        <v>26655</v>
      </c>
      <c r="AB9551" t="s">
        <v>33483</v>
      </c>
      <c r="AD9551" t="s">
        <v>34738</v>
      </c>
      <c r="AE9551">
        <v>9</v>
      </c>
      <c r="AF9551" t="s">
        <v>45541</v>
      </c>
      <c r="AG9551" t="s">
        <v>19330</v>
      </c>
      <c r="AH9551">
        <v>12</v>
      </c>
      <c r="AI9551">
        <v>1</v>
      </c>
      <c r="AJ9551">
        <v>3</v>
      </c>
      <c r="AK9551">
        <v>0</v>
      </c>
      <c r="AN9551" t="s">
        <v>45581</v>
      </c>
      <c r="AO9551">
        <v>0</v>
      </c>
      <c r="AU9551">
        <v>0</v>
      </c>
      <c r="AW9551" t="s">
        <v>122</v>
      </c>
    </row>
    <row r="9552" spans="1:49">
      <c r="A9552" s="1">
        <f>HYPERLINK("https://lsnyc.legalserver.org/matter/dynamic-profile/view/1884572","18-1884572")</f>
        <v>0</v>
      </c>
      <c r="B9552" t="s">
        <v>104</v>
      </c>
      <c r="C9552" t="s">
        <v>340</v>
      </c>
      <c r="D9552" t="s">
        <v>519</v>
      </c>
      <c r="F9552" t="s">
        <v>1569</v>
      </c>
      <c r="G9552" t="s">
        <v>5197</v>
      </c>
      <c r="H9552" t="s">
        <v>11680</v>
      </c>
      <c r="I9552" t="s">
        <v>17366</v>
      </c>
      <c r="J9552" t="s">
        <v>18902</v>
      </c>
      <c r="K9552">
        <v>10301</v>
      </c>
      <c r="L9552" t="s">
        <v>18960</v>
      </c>
      <c r="M9552" t="s">
        <v>18960</v>
      </c>
      <c r="N9552" t="s">
        <v>25588</v>
      </c>
      <c r="O9552" t="s">
        <v>26523</v>
      </c>
      <c r="P9552" t="s">
        <v>26563</v>
      </c>
      <c r="R9552" t="s">
        <v>26587</v>
      </c>
      <c r="S9552" t="s">
        <v>18959</v>
      </c>
      <c r="U9552" t="s">
        <v>26605</v>
      </c>
      <c r="V9552" t="s">
        <v>26610</v>
      </c>
      <c r="X9552">
        <v>103</v>
      </c>
      <c r="Y9552" t="s">
        <v>26654</v>
      </c>
      <c r="Z9552" t="s">
        <v>26663</v>
      </c>
      <c r="AB9552" t="s">
        <v>33484</v>
      </c>
      <c r="AD9552" t="s">
        <v>44242</v>
      </c>
      <c r="AE9552">
        <v>0</v>
      </c>
      <c r="AF9552" t="s">
        <v>45549</v>
      </c>
      <c r="AG9552" t="s">
        <v>45556</v>
      </c>
      <c r="AH9552">
        <v>8</v>
      </c>
      <c r="AI9552">
        <v>1</v>
      </c>
      <c r="AJ9552">
        <v>3</v>
      </c>
      <c r="AK9552">
        <v>38.25</v>
      </c>
      <c r="AN9552" t="s">
        <v>7439</v>
      </c>
      <c r="AO9552">
        <v>9600</v>
      </c>
      <c r="AU9552">
        <v>8.449999999999999</v>
      </c>
      <c r="AV9552" t="s">
        <v>833</v>
      </c>
      <c r="AW9552" t="s">
        <v>185</v>
      </c>
    </row>
    <row r="9553" spans="1:49">
      <c r="A9553" s="1">
        <f>HYPERLINK("https://lsnyc.legalserver.org/matter/dynamic-profile/view/1885050","18-1885050")</f>
        <v>0</v>
      </c>
      <c r="B9553" t="s">
        <v>194</v>
      </c>
      <c r="C9553" t="s">
        <v>340</v>
      </c>
      <c r="D9553" t="s">
        <v>519</v>
      </c>
      <c r="F9553" t="s">
        <v>1527</v>
      </c>
      <c r="G9553" t="s">
        <v>4195</v>
      </c>
      <c r="H9553" t="s">
        <v>16155</v>
      </c>
      <c r="I9553">
        <v>42</v>
      </c>
      <c r="J9553" t="s">
        <v>18893</v>
      </c>
      <c r="K9553">
        <v>10024</v>
      </c>
      <c r="L9553" t="s">
        <v>18958</v>
      </c>
      <c r="M9553" t="s">
        <v>18958</v>
      </c>
      <c r="N9553" t="s">
        <v>25589</v>
      </c>
      <c r="O9553" t="s">
        <v>26523</v>
      </c>
      <c r="P9553" t="s">
        <v>26563</v>
      </c>
      <c r="R9553" t="s">
        <v>26582</v>
      </c>
      <c r="S9553" t="s">
        <v>18959</v>
      </c>
      <c r="U9553" t="s">
        <v>26604</v>
      </c>
      <c r="X9553">
        <v>3750</v>
      </c>
      <c r="Y9553" t="s">
        <v>26651</v>
      </c>
      <c r="Z9553" t="s">
        <v>26664</v>
      </c>
      <c r="AB9553" t="s">
        <v>33485</v>
      </c>
      <c r="AD9553" t="s">
        <v>44243</v>
      </c>
      <c r="AE9553">
        <v>0</v>
      </c>
      <c r="AF9553" t="s">
        <v>20460</v>
      </c>
      <c r="AG9553" t="s">
        <v>19330</v>
      </c>
      <c r="AH9553">
        <v>11</v>
      </c>
      <c r="AI9553">
        <v>1</v>
      </c>
      <c r="AJ9553">
        <v>0</v>
      </c>
      <c r="AK9553">
        <v>175.65</v>
      </c>
      <c r="AN9553" t="s">
        <v>7439</v>
      </c>
      <c r="AO9553">
        <v>21324</v>
      </c>
      <c r="AU9553">
        <v>2.1</v>
      </c>
      <c r="AV9553" t="s">
        <v>684</v>
      </c>
      <c r="AW9553" t="s">
        <v>314</v>
      </c>
    </row>
    <row r="9554" spans="1:49">
      <c r="A9554" s="1">
        <f>HYPERLINK("https://lsnyc.legalserver.org/matter/dynamic-profile/view/1885201","18-1885201")</f>
        <v>0</v>
      </c>
      <c r="B9554" t="s">
        <v>74</v>
      </c>
      <c r="C9554" t="s">
        <v>341</v>
      </c>
      <c r="D9554" t="s">
        <v>683</v>
      </c>
      <c r="E9554" t="s">
        <v>727</v>
      </c>
      <c r="F9554" t="s">
        <v>3382</v>
      </c>
      <c r="G9554" t="s">
        <v>5008</v>
      </c>
      <c r="H9554" t="s">
        <v>13659</v>
      </c>
      <c r="I9554" t="s">
        <v>17322</v>
      </c>
      <c r="J9554" t="s">
        <v>18892</v>
      </c>
      <c r="K9554">
        <v>10457</v>
      </c>
      <c r="L9554" t="s">
        <v>18960</v>
      </c>
      <c r="M9554" t="s">
        <v>18960</v>
      </c>
      <c r="P9554" t="s">
        <v>26564</v>
      </c>
      <c r="Q9554" t="s">
        <v>26570</v>
      </c>
      <c r="R9554" t="s">
        <v>26591</v>
      </c>
      <c r="U9554" t="s">
        <v>26604</v>
      </c>
      <c r="X9554">
        <v>1275</v>
      </c>
      <c r="Y9554" t="s">
        <v>26651</v>
      </c>
      <c r="AA9554" t="s">
        <v>26683</v>
      </c>
      <c r="AB9554" t="s">
        <v>31021</v>
      </c>
      <c r="AD9554" t="s">
        <v>41263</v>
      </c>
      <c r="AE9554">
        <v>15</v>
      </c>
      <c r="AG9554" t="s">
        <v>45557</v>
      </c>
      <c r="AH9554">
        <v>7</v>
      </c>
      <c r="AI9554">
        <v>2</v>
      </c>
      <c r="AJ9554">
        <v>0</v>
      </c>
      <c r="AK9554">
        <v>69.62</v>
      </c>
      <c r="AN9554" t="s">
        <v>7439</v>
      </c>
      <c r="AO9554">
        <v>11460</v>
      </c>
      <c r="AU9554">
        <v>1</v>
      </c>
      <c r="AV9554" t="s">
        <v>683</v>
      </c>
      <c r="AW9554" t="s">
        <v>46857</v>
      </c>
    </row>
    <row r="9555" spans="1:49">
      <c r="A9555" s="1">
        <f>HYPERLINK("https://lsnyc.legalserver.org/matter/dynamic-profile/view/1885285","18-1885285")</f>
        <v>0</v>
      </c>
      <c r="B9555" t="s">
        <v>110</v>
      </c>
      <c r="C9555" t="s">
        <v>340</v>
      </c>
      <c r="D9555" t="s">
        <v>683</v>
      </c>
      <c r="F9555" t="s">
        <v>902</v>
      </c>
      <c r="G9555" t="s">
        <v>9092</v>
      </c>
      <c r="H9555" t="s">
        <v>16156</v>
      </c>
      <c r="I9555" t="s">
        <v>17299</v>
      </c>
      <c r="J9555" t="s">
        <v>18915</v>
      </c>
      <c r="K9555">
        <v>11372</v>
      </c>
      <c r="L9555" t="s">
        <v>18960</v>
      </c>
      <c r="M9555" t="s">
        <v>18960</v>
      </c>
      <c r="R9555" t="s">
        <v>26591</v>
      </c>
      <c r="U9555" t="s">
        <v>26604</v>
      </c>
      <c r="X9555">
        <v>890.4</v>
      </c>
      <c r="Y9555" t="s">
        <v>26653</v>
      </c>
      <c r="Z9555" t="s">
        <v>26657</v>
      </c>
      <c r="AB9555" t="s">
        <v>33486</v>
      </c>
      <c r="AD9555" t="s">
        <v>44244</v>
      </c>
      <c r="AE9555">
        <v>6</v>
      </c>
      <c r="AF9555" t="s">
        <v>45541</v>
      </c>
      <c r="AG9555" t="s">
        <v>19330</v>
      </c>
      <c r="AH9555">
        <v>32</v>
      </c>
      <c r="AI9555">
        <v>1</v>
      </c>
      <c r="AJ9555">
        <v>0</v>
      </c>
      <c r="AK9555">
        <v>128.5</v>
      </c>
      <c r="AN9555" t="s">
        <v>7439</v>
      </c>
      <c r="AO9555">
        <v>15600</v>
      </c>
      <c r="AU9555">
        <v>1</v>
      </c>
      <c r="AV9555" t="s">
        <v>683</v>
      </c>
      <c r="AW9555" t="s">
        <v>46858</v>
      </c>
    </row>
    <row r="9556" spans="1:49">
      <c r="A9556" s="1">
        <f>HYPERLINK("https://lsnyc.legalserver.org/matter/dynamic-profile/view/1885189","18-1885189")</f>
        <v>0</v>
      </c>
      <c r="B9556" t="s">
        <v>201</v>
      </c>
      <c r="C9556" t="s">
        <v>340</v>
      </c>
      <c r="D9556" t="s">
        <v>683</v>
      </c>
      <c r="F9556" t="s">
        <v>1773</v>
      </c>
      <c r="G9556" t="s">
        <v>3540</v>
      </c>
      <c r="H9556" t="s">
        <v>16157</v>
      </c>
      <c r="I9556" t="s">
        <v>18694</v>
      </c>
      <c r="J9556" t="s">
        <v>18894</v>
      </c>
      <c r="K9556">
        <v>11206</v>
      </c>
      <c r="L9556" t="s">
        <v>18960</v>
      </c>
      <c r="M9556" t="s">
        <v>18960</v>
      </c>
      <c r="O9556" t="s">
        <v>18997</v>
      </c>
      <c r="R9556" t="s">
        <v>26578</v>
      </c>
      <c r="S9556" t="s">
        <v>18959</v>
      </c>
      <c r="U9556" t="s">
        <v>26604</v>
      </c>
      <c r="X9556">
        <v>1375</v>
      </c>
      <c r="Y9556" t="s">
        <v>26652</v>
      </c>
      <c r="Z9556" t="s">
        <v>26659</v>
      </c>
      <c r="AB9556" t="s">
        <v>33487</v>
      </c>
      <c r="AD9556" t="s">
        <v>44245</v>
      </c>
      <c r="AE9556">
        <v>0</v>
      </c>
      <c r="AH9556">
        <v>11</v>
      </c>
      <c r="AI9556">
        <v>1</v>
      </c>
      <c r="AJ9556">
        <v>0</v>
      </c>
      <c r="AK9556">
        <v>168.53</v>
      </c>
      <c r="AN9556" t="s">
        <v>7439</v>
      </c>
      <c r="AO9556">
        <v>20460</v>
      </c>
      <c r="AU9556">
        <v>14</v>
      </c>
      <c r="AV9556" t="s">
        <v>827</v>
      </c>
      <c r="AW9556" t="s">
        <v>320</v>
      </c>
    </row>
    <row r="9557" spans="1:49">
      <c r="A9557" s="1">
        <f>HYPERLINK("https://lsnyc.legalserver.org/matter/dynamic-profile/view/1885346","18-1885346")</f>
        <v>0</v>
      </c>
      <c r="B9557" t="s">
        <v>279</v>
      </c>
      <c r="C9557" t="s">
        <v>341</v>
      </c>
      <c r="D9557" t="s">
        <v>452</v>
      </c>
      <c r="E9557" t="s">
        <v>697</v>
      </c>
      <c r="F9557" t="s">
        <v>4592</v>
      </c>
      <c r="G9557" t="s">
        <v>9093</v>
      </c>
      <c r="H9557" t="s">
        <v>16158</v>
      </c>
      <c r="I9557" t="s">
        <v>17374</v>
      </c>
      <c r="J9557" t="s">
        <v>18894</v>
      </c>
      <c r="K9557">
        <v>11208</v>
      </c>
      <c r="L9557" t="s">
        <v>18959</v>
      </c>
      <c r="M9557" t="s">
        <v>18959</v>
      </c>
      <c r="N9557" t="s">
        <v>25590</v>
      </c>
      <c r="O9557" t="s">
        <v>26524</v>
      </c>
      <c r="Q9557" t="s">
        <v>26570</v>
      </c>
      <c r="R9557" t="s">
        <v>26578</v>
      </c>
      <c r="S9557" t="s">
        <v>18959</v>
      </c>
      <c r="U9557" t="s">
        <v>26604</v>
      </c>
      <c r="X9557">
        <v>620</v>
      </c>
      <c r="Y9557" t="s">
        <v>26652</v>
      </c>
      <c r="Z9557" t="s">
        <v>26530</v>
      </c>
      <c r="AA9557" t="s">
        <v>26683</v>
      </c>
      <c r="AB9557" t="s">
        <v>33488</v>
      </c>
      <c r="AD9557" t="s">
        <v>44246</v>
      </c>
      <c r="AE9557">
        <v>3</v>
      </c>
      <c r="AF9557" t="s">
        <v>20460</v>
      </c>
      <c r="AG9557" t="s">
        <v>19330</v>
      </c>
      <c r="AH9557">
        <v>2</v>
      </c>
      <c r="AI9557">
        <v>1</v>
      </c>
      <c r="AJ9557">
        <v>1</v>
      </c>
      <c r="AK9557">
        <v>157.96</v>
      </c>
      <c r="AN9557" t="s">
        <v>7439</v>
      </c>
      <c r="AO9557">
        <v>26000</v>
      </c>
      <c r="AU9557">
        <v>0.5</v>
      </c>
      <c r="AV9557" t="s">
        <v>452</v>
      </c>
      <c r="AW9557" t="s">
        <v>46860</v>
      </c>
    </row>
    <row r="9558" spans="1:49">
      <c r="A9558" s="1">
        <f>HYPERLINK("https://lsnyc.legalserver.org/matter/dynamic-profile/view/1885454","18-1885454")</f>
        <v>0</v>
      </c>
      <c r="B9558" t="s">
        <v>286</v>
      </c>
      <c r="C9558" t="s">
        <v>341</v>
      </c>
      <c r="D9558" t="s">
        <v>689</v>
      </c>
      <c r="E9558" t="s">
        <v>692</v>
      </c>
      <c r="F9558" t="s">
        <v>999</v>
      </c>
      <c r="G9558" t="s">
        <v>5349</v>
      </c>
      <c r="H9558" t="s">
        <v>16159</v>
      </c>
      <c r="I9558">
        <v>1</v>
      </c>
      <c r="J9558" t="s">
        <v>18894</v>
      </c>
      <c r="K9558">
        <v>11208</v>
      </c>
      <c r="L9558" t="s">
        <v>18960</v>
      </c>
      <c r="M9558" t="s">
        <v>18960</v>
      </c>
      <c r="P9558" t="s">
        <v>26564</v>
      </c>
      <c r="Q9558" t="s">
        <v>26570</v>
      </c>
      <c r="R9558" t="s">
        <v>26578</v>
      </c>
      <c r="U9558" t="s">
        <v>26604</v>
      </c>
      <c r="X9558">
        <v>1700</v>
      </c>
      <c r="Y9558" t="s">
        <v>26652</v>
      </c>
      <c r="Z9558" t="s">
        <v>26657</v>
      </c>
      <c r="AA9558" t="s">
        <v>26683</v>
      </c>
      <c r="AB9558" t="s">
        <v>31173</v>
      </c>
      <c r="AD9558" t="s">
        <v>44247</v>
      </c>
      <c r="AE9558">
        <v>3</v>
      </c>
      <c r="AF9558" t="s">
        <v>20460</v>
      </c>
      <c r="AH9558">
        <v>3</v>
      </c>
      <c r="AI9558">
        <v>2</v>
      </c>
      <c r="AJ9558">
        <v>1</v>
      </c>
      <c r="AK9558">
        <v>237.73</v>
      </c>
      <c r="AN9558" t="s">
        <v>45581</v>
      </c>
      <c r="AO9558">
        <v>49400</v>
      </c>
      <c r="AU9558">
        <v>0.4</v>
      </c>
      <c r="AV9558" t="s">
        <v>689</v>
      </c>
      <c r="AW9558" t="s">
        <v>46849</v>
      </c>
    </row>
    <row r="9559" spans="1:49">
      <c r="A9559" s="1">
        <f>HYPERLINK("https://lsnyc.legalserver.org/matter/dynamic-profile/view/1885500","18-1885500")</f>
        <v>0</v>
      </c>
      <c r="B9559" t="s">
        <v>279</v>
      </c>
      <c r="C9559" t="s">
        <v>341</v>
      </c>
      <c r="D9559" t="s">
        <v>689</v>
      </c>
      <c r="E9559" t="s">
        <v>691</v>
      </c>
      <c r="F9559" t="s">
        <v>2255</v>
      </c>
      <c r="G9559" t="s">
        <v>9094</v>
      </c>
      <c r="H9559" t="s">
        <v>16160</v>
      </c>
      <c r="I9559" t="s">
        <v>17277</v>
      </c>
      <c r="J9559" t="s">
        <v>18894</v>
      </c>
      <c r="K9559">
        <v>11233</v>
      </c>
      <c r="L9559" t="s">
        <v>18959</v>
      </c>
      <c r="M9559" t="s">
        <v>18959</v>
      </c>
      <c r="O9559" t="s">
        <v>26545</v>
      </c>
      <c r="P9559" t="s">
        <v>26564</v>
      </c>
      <c r="Q9559" t="s">
        <v>26570</v>
      </c>
      <c r="R9559" t="s">
        <v>26578</v>
      </c>
      <c r="S9559" t="s">
        <v>18959</v>
      </c>
      <c r="U9559" t="s">
        <v>26604</v>
      </c>
      <c r="V9559" t="s">
        <v>26610</v>
      </c>
      <c r="X9559">
        <v>1645</v>
      </c>
      <c r="Y9559" t="s">
        <v>26652</v>
      </c>
      <c r="Z9559" t="s">
        <v>26657</v>
      </c>
      <c r="AA9559" t="s">
        <v>26683</v>
      </c>
      <c r="AB9559" t="s">
        <v>31740</v>
      </c>
      <c r="AC9559" t="s">
        <v>19330</v>
      </c>
      <c r="AD9559" t="s">
        <v>44248</v>
      </c>
      <c r="AE9559">
        <v>25</v>
      </c>
      <c r="AF9559" t="s">
        <v>45541</v>
      </c>
      <c r="AG9559" t="s">
        <v>45556</v>
      </c>
      <c r="AH9559">
        <v>4</v>
      </c>
      <c r="AI9559">
        <v>1</v>
      </c>
      <c r="AJ9559">
        <v>1</v>
      </c>
      <c r="AK9559">
        <v>211.25</v>
      </c>
      <c r="AN9559" t="s">
        <v>7439</v>
      </c>
      <c r="AO9559">
        <v>34772</v>
      </c>
      <c r="AU9559">
        <v>0.25</v>
      </c>
      <c r="AV9559" t="s">
        <v>691</v>
      </c>
      <c r="AW9559" t="s">
        <v>279</v>
      </c>
    </row>
    <row r="9560" spans="1:49">
      <c r="A9560" s="1">
        <f>HYPERLINK("https://lsnyc.legalserver.org/matter/dynamic-profile/view/1885523","18-1885523")</f>
        <v>0</v>
      </c>
      <c r="B9560" t="s">
        <v>172</v>
      </c>
      <c r="C9560" t="s">
        <v>341</v>
      </c>
      <c r="D9560" t="s">
        <v>689</v>
      </c>
      <c r="E9560" t="s">
        <v>747</v>
      </c>
      <c r="F9560" t="s">
        <v>1091</v>
      </c>
      <c r="G9560" t="s">
        <v>5206</v>
      </c>
      <c r="H9560" t="s">
        <v>12481</v>
      </c>
      <c r="I9560" t="s">
        <v>17274</v>
      </c>
      <c r="J9560" t="s">
        <v>18894</v>
      </c>
      <c r="K9560">
        <v>11233</v>
      </c>
      <c r="L9560" t="s">
        <v>18960</v>
      </c>
      <c r="M9560" t="s">
        <v>18960</v>
      </c>
      <c r="O9560" t="s">
        <v>26525</v>
      </c>
      <c r="P9560" t="s">
        <v>26561</v>
      </c>
      <c r="Q9560" t="s">
        <v>26571</v>
      </c>
      <c r="R9560" t="s">
        <v>26586</v>
      </c>
      <c r="U9560" t="s">
        <v>26605</v>
      </c>
      <c r="X9560">
        <v>0</v>
      </c>
      <c r="Y9560" t="s">
        <v>26652</v>
      </c>
      <c r="AA9560" t="s">
        <v>26680</v>
      </c>
      <c r="AB9560" t="s">
        <v>29751</v>
      </c>
      <c r="AD9560" t="s">
        <v>39852</v>
      </c>
      <c r="AE9560">
        <v>0</v>
      </c>
      <c r="AH9560">
        <v>0</v>
      </c>
      <c r="AI9560">
        <v>2</v>
      </c>
      <c r="AJ9560">
        <v>0</v>
      </c>
      <c r="AK9560">
        <v>14.45</v>
      </c>
      <c r="AN9560" t="s">
        <v>7439</v>
      </c>
      <c r="AO9560">
        <v>2379</v>
      </c>
      <c r="AR9560" t="s">
        <v>46422</v>
      </c>
      <c r="AS9560" t="s">
        <v>46499</v>
      </c>
      <c r="AT9560" t="s">
        <v>46715</v>
      </c>
      <c r="AU9560">
        <v>0.6</v>
      </c>
      <c r="AV9560" t="s">
        <v>670</v>
      </c>
      <c r="AW9560" t="s">
        <v>172</v>
      </c>
    </row>
    <row r="9561" spans="1:49">
      <c r="A9561" s="1">
        <f>HYPERLINK("https://lsnyc.legalserver.org/matter/dynamic-profile/view/1885466","18-1885466")</f>
        <v>0</v>
      </c>
      <c r="B9561" t="s">
        <v>133</v>
      </c>
      <c r="C9561" t="s">
        <v>340</v>
      </c>
      <c r="D9561" t="s">
        <v>689</v>
      </c>
      <c r="F9561" t="s">
        <v>1733</v>
      </c>
      <c r="G9561" t="s">
        <v>7514</v>
      </c>
      <c r="H9561" t="s">
        <v>16161</v>
      </c>
      <c r="I9561" t="s">
        <v>17566</v>
      </c>
      <c r="J9561" t="s">
        <v>18892</v>
      </c>
      <c r="K9561">
        <v>10466</v>
      </c>
      <c r="L9561" t="s">
        <v>18958</v>
      </c>
      <c r="M9561" t="s">
        <v>18958</v>
      </c>
      <c r="N9561" t="s">
        <v>25591</v>
      </c>
      <c r="O9561" t="s">
        <v>26523</v>
      </c>
      <c r="P9561" t="s">
        <v>26564</v>
      </c>
      <c r="R9561" t="s">
        <v>26583</v>
      </c>
      <c r="S9561" t="s">
        <v>18959</v>
      </c>
      <c r="U9561" t="s">
        <v>26604</v>
      </c>
      <c r="V9561" t="s">
        <v>26610</v>
      </c>
      <c r="X9561">
        <v>0</v>
      </c>
      <c r="Y9561" t="s">
        <v>26650</v>
      </c>
      <c r="Z9561" t="s">
        <v>26668</v>
      </c>
      <c r="AB9561" t="s">
        <v>33489</v>
      </c>
      <c r="AD9561" t="s">
        <v>44249</v>
      </c>
      <c r="AE9561">
        <v>0</v>
      </c>
      <c r="AF9561" t="s">
        <v>45549</v>
      </c>
      <c r="AH9561">
        <v>20</v>
      </c>
      <c r="AI9561">
        <v>2</v>
      </c>
      <c r="AJ9561">
        <v>0</v>
      </c>
      <c r="AK9561">
        <v>315.92</v>
      </c>
      <c r="AN9561" t="s">
        <v>7439</v>
      </c>
      <c r="AO9561">
        <v>52000</v>
      </c>
      <c r="AP9561" t="s">
        <v>46178</v>
      </c>
      <c r="AU9561">
        <v>1.4</v>
      </c>
      <c r="AV9561" t="s">
        <v>697</v>
      </c>
      <c r="AW9561" t="s">
        <v>334</v>
      </c>
    </row>
    <row r="9562" spans="1:49">
      <c r="A9562" s="1">
        <f>HYPERLINK("https://lsnyc.legalserver.org/matter/dynamic-profile/view/1885426","18-1885426")</f>
        <v>0</v>
      </c>
      <c r="B9562" t="s">
        <v>110</v>
      </c>
      <c r="C9562" t="s">
        <v>340</v>
      </c>
      <c r="D9562" t="s">
        <v>689</v>
      </c>
      <c r="F9562" t="s">
        <v>4593</v>
      </c>
      <c r="G9562" t="s">
        <v>9095</v>
      </c>
      <c r="H9562" t="s">
        <v>16162</v>
      </c>
      <c r="I9562" t="s">
        <v>17548</v>
      </c>
      <c r="J9562" t="s">
        <v>18925</v>
      </c>
      <c r="K9562">
        <v>11357</v>
      </c>
      <c r="L9562" t="s">
        <v>18960</v>
      </c>
      <c r="M9562" t="s">
        <v>18960</v>
      </c>
      <c r="R9562" t="s">
        <v>26591</v>
      </c>
      <c r="U9562" t="s">
        <v>26604</v>
      </c>
      <c r="X9562">
        <v>2500</v>
      </c>
      <c r="Y9562" t="s">
        <v>26653</v>
      </c>
      <c r="AB9562" t="s">
        <v>27723</v>
      </c>
      <c r="AD9562" t="s">
        <v>44250</v>
      </c>
      <c r="AE9562">
        <v>2</v>
      </c>
      <c r="AH9562">
        <v>1</v>
      </c>
      <c r="AI9562">
        <v>2</v>
      </c>
      <c r="AJ9562">
        <v>1</v>
      </c>
      <c r="AK9562">
        <v>192.49</v>
      </c>
      <c r="AN9562" t="s">
        <v>45593</v>
      </c>
      <c r="AO9562">
        <v>40000</v>
      </c>
      <c r="AU9562">
        <v>1.3</v>
      </c>
      <c r="AV9562" t="s">
        <v>670</v>
      </c>
      <c r="AW9562" t="s">
        <v>46857</v>
      </c>
    </row>
    <row r="9563" spans="1:49">
      <c r="A9563" s="1">
        <f>HYPERLINK("https://lsnyc.legalserver.org/matter/dynamic-profile/view/1885415","18-1885415")</f>
        <v>0</v>
      </c>
      <c r="B9563" t="s">
        <v>238</v>
      </c>
      <c r="C9563" t="s">
        <v>340</v>
      </c>
      <c r="D9563" t="s">
        <v>689</v>
      </c>
      <c r="F9563" t="s">
        <v>3087</v>
      </c>
      <c r="G9563" t="s">
        <v>9096</v>
      </c>
      <c r="H9563" t="s">
        <v>13303</v>
      </c>
      <c r="I9563" t="s">
        <v>17390</v>
      </c>
      <c r="J9563" t="s">
        <v>18894</v>
      </c>
      <c r="K9563">
        <v>11238</v>
      </c>
      <c r="L9563" t="s">
        <v>18959</v>
      </c>
      <c r="M9563" t="s">
        <v>18959</v>
      </c>
      <c r="N9563" t="s">
        <v>25592</v>
      </c>
      <c r="O9563" t="s">
        <v>26526</v>
      </c>
      <c r="P9563" t="s">
        <v>26560</v>
      </c>
      <c r="R9563" t="s">
        <v>26583</v>
      </c>
      <c r="S9563" t="s">
        <v>18958</v>
      </c>
      <c r="U9563" t="s">
        <v>26604</v>
      </c>
      <c r="V9563" t="s">
        <v>26610</v>
      </c>
      <c r="X9563">
        <v>883</v>
      </c>
      <c r="Y9563" t="s">
        <v>26652</v>
      </c>
      <c r="Z9563" t="s">
        <v>26659</v>
      </c>
      <c r="AB9563" t="s">
        <v>33490</v>
      </c>
      <c r="AD9563" t="s">
        <v>44251</v>
      </c>
      <c r="AE9563">
        <v>24</v>
      </c>
      <c r="AF9563" t="s">
        <v>45541</v>
      </c>
      <c r="AH9563">
        <v>19</v>
      </c>
      <c r="AI9563">
        <v>2</v>
      </c>
      <c r="AJ9563">
        <v>0</v>
      </c>
      <c r="AK9563">
        <v>252.73</v>
      </c>
      <c r="AN9563" t="s">
        <v>7439</v>
      </c>
      <c r="AO9563">
        <v>41600</v>
      </c>
      <c r="AU9563">
        <v>6</v>
      </c>
      <c r="AV9563" t="s">
        <v>687</v>
      </c>
      <c r="AW9563" t="s">
        <v>238</v>
      </c>
    </row>
    <row r="9564" spans="1:49">
      <c r="A9564" s="1">
        <f>HYPERLINK("https://lsnyc.legalserver.org/matter/dynamic-profile/view/1885592","18-1885592")</f>
        <v>0</v>
      </c>
      <c r="B9564" t="s">
        <v>247</v>
      </c>
      <c r="C9564" t="s">
        <v>341</v>
      </c>
      <c r="D9564" t="s">
        <v>691</v>
      </c>
      <c r="E9564" t="s">
        <v>703</v>
      </c>
      <c r="F9564" t="s">
        <v>3357</v>
      </c>
      <c r="G9564" t="s">
        <v>5078</v>
      </c>
      <c r="H9564" t="s">
        <v>16163</v>
      </c>
      <c r="J9564" t="s">
        <v>18913</v>
      </c>
      <c r="K9564">
        <v>11103</v>
      </c>
      <c r="L9564" t="s">
        <v>18958</v>
      </c>
      <c r="M9564" t="s">
        <v>18958</v>
      </c>
      <c r="N9564" t="s">
        <v>25593</v>
      </c>
      <c r="O9564" t="s">
        <v>26524</v>
      </c>
      <c r="P9564" t="s">
        <v>26564</v>
      </c>
      <c r="Q9564" t="s">
        <v>26570</v>
      </c>
      <c r="R9564" t="s">
        <v>26584</v>
      </c>
      <c r="S9564" t="s">
        <v>18959</v>
      </c>
      <c r="U9564" t="s">
        <v>26604</v>
      </c>
      <c r="X9564">
        <v>150</v>
      </c>
      <c r="Y9564" t="s">
        <v>26653</v>
      </c>
      <c r="Z9564" t="s">
        <v>26659</v>
      </c>
      <c r="AA9564" t="s">
        <v>26678</v>
      </c>
      <c r="AB9564" t="s">
        <v>33491</v>
      </c>
      <c r="AD9564" t="s">
        <v>44252</v>
      </c>
      <c r="AE9564">
        <v>0</v>
      </c>
      <c r="AF9564" t="s">
        <v>20460</v>
      </c>
      <c r="AG9564" t="s">
        <v>19330</v>
      </c>
      <c r="AH9564">
        <v>-1</v>
      </c>
      <c r="AI9564">
        <v>1</v>
      </c>
      <c r="AJ9564">
        <v>3</v>
      </c>
      <c r="AK9564">
        <v>82.87</v>
      </c>
      <c r="AN9564" t="s">
        <v>45581</v>
      </c>
      <c r="AO9564">
        <v>20800</v>
      </c>
      <c r="AU9564">
        <v>2.42</v>
      </c>
      <c r="AV9564" t="s">
        <v>808</v>
      </c>
      <c r="AW9564" t="s">
        <v>208</v>
      </c>
    </row>
    <row r="9565" spans="1:49">
      <c r="A9565" s="1">
        <f>HYPERLINK("https://lsnyc.legalserver.org/matter/dynamic-profile/view/1885535","18-1885535")</f>
        <v>0</v>
      </c>
      <c r="B9565" t="s">
        <v>257</v>
      </c>
      <c r="C9565" t="s">
        <v>341</v>
      </c>
      <c r="D9565" t="s">
        <v>691</v>
      </c>
      <c r="E9565" t="s">
        <v>716</v>
      </c>
      <c r="F9565" t="s">
        <v>893</v>
      </c>
      <c r="G9565" t="s">
        <v>9097</v>
      </c>
      <c r="H9565" t="s">
        <v>16164</v>
      </c>
      <c r="I9565" t="s">
        <v>17564</v>
      </c>
      <c r="J9565" t="s">
        <v>18894</v>
      </c>
      <c r="K9565">
        <v>11235</v>
      </c>
      <c r="L9565" t="s">
        <v>18960</v>
      </c>
      <c r="M9565" t="s">
        <v>18960</v>
      </c>
      <c r="P9565" t="s">
        <v>26563</v>
      </c>
      <c r="Q9565" t="s">
        <v>26570</v>
      </c>
      <c r="R9565" t="s">
        <v>26578</v>
      </c>
      <c r="U9565" t="s">
        <v>26604</v>
      </c>
      <c r="X9565">
        <v>1330</v>
      </c>
      <c r="Y9565" t="s">
        <v>26652</v>
      </c>
      <c r="AA9565" t="s">
        <v>26679</v>
      </c>
      <c r="AB9565" t="s">
        <v>28437</v>
      </c>
      <c r="AD9565" t="s">
        <v>44253</v>
      </c>
      <c r="AE9565">
        <v>3</v>
      </c>
      <c r="AG9565" t="s">
        <v>19330</v>
      </c>
      <c r="AH9565">
        <v>5</v>
      </c>
      <c r="AI9565">
        <v>1</v>
      </c>
      <c r="AJ9565">
        <v>0</v>
      </c>
      <c r="AK9565">
        <v>290.12</v>
      </c>
      <c r="AN9565" t="s">
        <v>7439</v>
      </c>
      <c r="AO9565">
        <v>35220</v>
      </c>
      <c r="AU9565">
        <v>1.8</v>
      </c>
      <c r="AV9565" t="s">
        <v>697</v>
      </c>
      <c r="AW9565" t="s">
        <v>46858</v>
      </c>
    </row>
    <row r="9566" spans="1:49">
      <c r="A9566" s="1">
        <f>HYPERLINK("https://lsnyc.legalserver.org/matter/dynamic-profile/view/1885536","18-1885536")</f>
        <v>0</v>
      </c>
      <c r="B9566" t="s">
        <v>133</v>
      </c>
      <c r="C9566" t="s">
        <v>340</v>
      </c>
      <c r="D9566" t="s">
        <v>691</v>
      </c>
      <c r="F9566" t="s">
        <v>1754</v>
      </c>
      <c r="G9566" t="s">
        <v>7189</v>
      </c>
      <c r="H9566" t="s">
        <v>16165</v>
      </c>
      <c r="I9566">
        <v>1</v>
      </c>
      <c r="J9566" t="s">
        <v>18892</v>
      </c>
      <c r="K9566">
        <v>10453</v>
      </c>
      <c r="L9566" t="s">
        <v>18958</v>
      </c>
      <c r="M9566" t="s">
        <v>18958</v>
      </c>
      <c r="N9566" t="s">
        <v>25594</v>
      </c>
      <c r="O9566" t="s">
        <v>26524</v>
      </c>
      <c r="P9566" t="s">
        <v>26564</v>
      </c>
      <c r="R9566" t="s">
        <v>26577</v>
      </c>
      <c r="S9566" t="s">
        <v>18959</v>
      </c>
      <c r="U9566" t="s">
        <v>26604</v>
      </c>
      <c r="V9566" t="s">
        <v>26610</v>
      </c>
      <c r="X9566">
        <v>526</v>
      </c>
      <c r="Y9566" t="s">
        <v>26650</v>
      </c>
      <c r="Z9566" t="s">
        <v>26664</v>
      </c>
      <c r="AB9566" t="s">
        <v>33492</v>
      </c>
      <c r="AD9566" t="s">
        <v>44254</v>
      </c>
      <c r="AE9566">
        <v>0</v>
      </c>
      <c r="AG9566" t="s">
        <v>45556</v>
      </c>
      <c r="AH9566">
        <v>3</v>
      </c>
      <c r="AI9566">
        <v>1</v>
      </c>
      <c r="AJ9566">
        <v>1</v>
      </c>
      <c r="AK9566">
        <v>182.26</v>
      </c>
      <c r="AN9566" t="s">
        <v>7439</v>
      </c>
      <c r="AO9566">
        <v>30000</v>
      </c>
      <c r="AP9566" t="s">
        <v>46179</v>
      </c>
      <c r="AU9566">
        <v>0.4</v>
      </c>
      <c r="AV9566" t="s">
        <v>697</v>
      </c>
      <c r="AW9566" t="s">
        <v>334</v>
      </c>
    </row>
    <row r="9567" spans="1:49">
      <c r="A9567" s="1">
        <f>HYPERLINK("https://lsnyc.legalserver.org/matter/dynamic-profile/view/1885364","18-1885364")</f>
        <v>0</v>
      </c>
      <c r="B9567" t="s">
        <v>167</v>
      </c>
      <c r="C9567" t="s">
        <v>340</v>
      </c>
      <c r="D9567" t="s">
        <v>691</v>
      </c>
      <c r="F9567" t="s">
        <v>1377</v>
      </c>
      <c r="G9567" t="s">
        <v>3248</v>
      </c>
      <c r="H9567" t="s">
        <v>16166</v>
      </c>
      <c r="I9567" t="s">
        <v>17662</v>
      </c>
      <c r="J9567" t="s">
        <v>18894</v>
      </c>
      <c r="K9567">
        <v>11226</v>
      </c>
      <c r="L9567" t="s">
        <v>18960</v>
      </c>
      <c r="M9567" t="s">
        <v>18960</v>
      </c>
      <c r="N9567" t="s">
        <v>25595</v>
      </c>
      <c r="O9567" t="s">
        <v>26523</v>
      </c>
      <c r="P9567" t="s">
        <v>26560</v>
      </c>
      <c r="R9567" t="s">
        <v>26588</v>
      </c>
      <c r="S9567" t="s">
        <v>18959</v>
      </c>
      <c r="U9567" t="s">
        <v>26604</v>
      </c>
      <c r="V9567" t="s">
        <v>26610</v>
      </c>
      <c r="X9567">
        <v>1361.93</v>
      </c>
      <c r="Y9567" t="s">
        <v>26652</v>
      </c>
      <c r="Z9567" t="s">
        <v>26663</v>
      </c>
      <c r="AB9567" t="s">
        <v>33493</v>
      </c>
      <c r="AD9567" t="s">
        <v>44255</v>
      </c>
      <c r="AE9567">
        <v>0</v>
      </c>
      <c r="AF9567" t="s">
        <v>45541</v>
      </c>
      <c r="AH9567">
        <v>8</v>
      </c>
      <c r="AI9567">
        <v>2</v>
      </c>
      <c r="AJ9567">
        <v>0</v>
      </c>
      <c r="AK9567">
        <v>0</v>
      </c>
      <c r="AN9567" t="s">
        <v>45585</v>
      </c>
      <c r="AO9567">
        <v>0</v>
      </c>
      <c r="AU9567">
        <v>6.9</v>
      </c>
      <c r="AV9567" t="s">
        <v>710</v>
      </c>
      <c r="AW9567" t="s">
        <v>219</v>
      </c>
    </row>
    <row r="9568" spans="1:49">
      <c r="A9568" s="1">
        <f>HYPERLINK("https://lsnyc.legalserver.org/matter/dynamic-profile/view/1885543","18-1885543")</f>
        <v>0</v>
      </c>
      <c r="B9568" t="s">
        <v>200</v>
      </c>
      <c r="C9568" t="s">
        <v>340</v>
      </c>
      <c r="D9568" t="s">
        <v>691</v>
      </c>
      <c r="F9568" t="s">
        <v>3879</v>
      </c>
      <c r="G9568" t="s">
        <v>9098</v>
      </c>
      <c r="H9568" t="s">
        <v>16167</v>
      </c>
      <c r="I9568" t="s">
        <v>17597</v>
      </c>
      <c r="J9568" t="s">
        <v>18894</v>
      </c>
      <c r="K9568">
        <v>11226</v>
      </c>
      <c r="L9568" t="s">
        <v>18960</v>
      </c>
      <c r="M9568" t="s">
        <v>18960</v>
      </c>
      <c r="O9568" t="s">
        <v>18997</v>
      </c>
      <c r="R9568" t="s">
        <v>26591</v>
      </c>
      <c r="S9568" t="s">
        <v>18958</v>
      </c>
      <c r="U9568" t="s">
        <v>26604</v>
      </c>
      <c r="X9568">
        <v>832.92</v>
      </c>
      <c r="Y9568" t="s">
        <v>26652</v>
      </c>
      <c r="Z9568" t="s">
        <v>26673</v>
      </c>
      <c r="AB9568" t="s">
        <v>33494</v>
      </c>
      <c r="AD9568" t="s">
        <v>44256</v>
      </c>
      <c r="AE9568">
        <v>27</v>
      </c>
      <c r="AF9568" t="s">
        <v>20460</v>
      </c>
      <c r="AG9568" t="s">
        <v>19330</v>
      </c>
      <c r="AH9568">
        <v>41</v>
      </c>
      <c r="AI9568">
        <v>1</v>
      </c>
      <c r="AJ9568">
        <v>0</v>
      </c>
      <c r="AK9568">
        <v>74.63</v>
      </c>
      <c r="AN9568" t="s">
        <v>7439</v>
      </c>
      <c r="AO9568">
        <v>9060</v>
      </c>
      <c r="AU9568">
        <v>0</v>
      </c>
      <c r="AW9568" t="s">
        <v>46829</v>
      </c>
    </row>
    <row r="9569" spans="1:49">
      <c r="A9569" s="1">
        <f>HYPERLINK("https://lsnyc.legalserver.org/matter/dynamic-profile/view/1885555","18-1885555")</f>
        <v>0</v>
      </c>
      <c r="B9569" t="s">
        <v>235</v>
      </c>
      <c r="C9569" t="s">
        <v>340</v>
      </c>
      <c r="D9569" t="s">
        <v>691</v>
      </c>
      <c r="F9569" t="s">
        <v>4594</v>
      </c>
      <c r="G9569" t="s">
        <v>5472</v>
      </c>
      <c r="H9569" t="s">
        <v>16168</v>
      </c>
      <c r="I9569" t="s">
        <v>17375</v>
      </c>
      <c r="J9569" t="s">
        <v>18896</v>
      </c>
      <c r="K9569">
        <v>11419</v>
      </c>
      <c r="L9569" t="s">
        <v>18958</v>
      </c>
      <c r="M9569" t="s">
        <v>18958</v>
      </c>
      <c r="N9569" t="s">
        <v>25596</v>
      </c>
      <c r="O9569" t="s">
        <v>26524</v>
      </c>
      <c r="P9569" t="s">
        <v>26563</v>
      </c>
      <c r="R9569" t="s">
        <v>26584</v>
      </c>
      <c r="S9569" t="s">
        <v>18959</v>
      </c>
      <c r="U9569" t="s">
        <v>26604</v>
      </c>
      <c r="X9569">
        <v>1350</v>
      </c>
      <c r="Y9569" t="s">
        <v>26653</v>
      </c>
      <c r="Z9569" t="s">
        <v>26664</v>
      </c>
      <c r="AB9569" t="s">
        <v>33495</v>
      </c>
      <c r="AD9569" t="s">
        <v>44257</v>
      </c>
      <c r="AE9569">
        <v>0</v>
      </c>
      <c r="AF9569" t="s">
        <v>20460</v>
      </c>
      <c r="AG9569" t="s">
        <v>19330</v>
      </c>
      <c r="AH9569">
        <v>17</v>
      </c>
      <c r="AI9569">
        <v>5</v>
      </c>
      <c r="AJ9569">
        <v>1</v>
      </c>
      <c r="AK9569">
        <v>163.01</v>
      </c>
      <c r="AN9569" t="s">
        <v>7439</v>
      </c>
      <c r="AO9569">
        <v>55000</v>
      </c>
      <c r="AU9569">
        <v>0</v>
      </c>
      <c r="AW9569" t="s">
        <v>208</v>
      </c>
    </row>
    <row r="9570" spans="1:49">
      <c r="A9570" s="1">
        <f>HYPERLINK("https://lsnyc.legalserver.org/matter/dynamic-profile/view/1885733","18-1885733")</f>
        <v>0</v>
      </c>
      <c r="B9570" t="s">
        <v>286</v>
      </c>
      <c r="C9570" t="s">
        <v>341</v>
      </c>
      <c r="D9570" t="s">
        <v>697</v>
      </c>
      <c r="E9570" t="s">
        <v>494</v>
      </c>
      <c r="F9570" t="s">
        <v>871</v>
      </c>
      <c r="G9570" t="s">
        <v>9099</v>
      </c>
      <c r="H9570" t="s">
        <v>16169</v>
      </c>
      <c r="I9570">
        <v>2</v>
      </c>
      <c r="J9570" t="s">
        <v>18894</v>
      </c>
      <c r="K9570">
        <v>11208</v>
      </c>
      <c r="L9570" t="s">
        <v>18959</v>
      </c>
      <c r="M9570" t="s">
        <v>18959</v>
      </c>
      <c r="N9570" t="s">
        <v>25597</v>
      </c>
      <c r="O9570" t="s">
        <v>26524</v>
      </c>
      <c r="Q9570" t="s">
        <v>26570</v>
      </c>
      <c r="R9570" t="s">
        <v>26578</v>
      </c>
      <c r="S9570" t="s">
        <v>18959</v>
      </c>
      <c r="U9570" t="s">
        <v>26604</v>
      </c>
      <c r="X9570">
        <v>710</v>
      </c>
      <c r="Y9570" t="s">
        <v>26652</v>
      </c>
      <c r="Z9570" t="s">
        <v>26666</v>
      </c>
      <c r="AA9570" t="s">
        <v>26683</v>
      </c>
      <c r="AB9570" t="s">
        <v>33496</v>
      </c>
      <c r="AD9570" t="s">
        <v>44258</v>
      </c>
      <c r="AE9570">
        <v>2</v>
      </c>
      <c r="AF9570" t="s">
        <v>20460</v>
      </c>
      <c r="AG9570" t="s">
        <v>19330</v>
      </c>
      <c r="AH9570">
        <v>25</v>
      </c>
      <c r="AI9570">
        <v>1</v>
      </c>
      <c r="AJ9570">
        <v>0</v>
      </c>
      <c r="AK9570">
        <v>59.31</v>
      </c>
      <c r="AN9570" t="s">
        <v>7439</v>
      </c>
      <c r="AO9570">
        <v>7200</v>
      </c>
      <c r="AU9570">
        <v>0.5</v>
      </c>
      <c r="AV9570" t="s">
        <v>697</v>
      </c>
      <c r="AW9570" t="s">
        <v>46829</v>
      </c>
    </row>
    <row r="9571" spans="1:49">
      <c r="A9571" s="1">
        <f>HYPERLINK("https://lsnyc.legalserver.org/matter/dynamic-profile/view/1885752","18-1885752")</f>
        <v>0</v>
      </c>
      <c r="B9571" t="s">
        <v>200</v>
      </c>
      <c r="C9571" t="s">
        <v>341</v>
      </c>
      <c r="D9571" t="s">
        <v>697</v>
      </c>
      <c r="E9571" t="s">
        <v>659</v>
      </c>
      <c r="F9571" t="s">
        <v>4595</v>
      </c>
      <c r="G9571" t="s">
        <v>5340</v>
      </c>
      <c r="H9571" t="s">
        <v>16170</v>
      </c>
      <c r="I9571" t="s">
        <v>18125</v>
      </c>
      <c r="J9571" t="s">
        <v>18894</v>
      </c>
      <c r="K9571">
        <v>11228</v>
      </c>
      <c r="L9571" t="s">
        <v>18960</v>
      </c>
      <c r="M9571" t="s">
        <v>18960</v>
      </c>
      <c r="O9571" t="s">
        <v>26526</v>
      </c>
      <c r="Q9571" t="s">
        <v>26570</v>
      </c>
      <c r="R9571" t="s">
        <v>26591</v>
      </c>
      <c r="U9571" t="s">
        <v>26604</v>
      </c>
      <c r="X9571">
        <v>1525</v>
      </c>
      <c r="Y9571" t="s">
        <v>26652</v>
      </c>
      <c r="Z9571" t="s">
        <v>26530</v>
      </c>
      <c r="AA9571" t="s">
        <v>26683</v>
      </c>
      <c r="AB9571" t="s">
        <v>33497</v>
      </c>
      <c r="AD9571" t="s">
        <v>34738</v>
      </c>
      <c r="AE9571">
        <v>7</v>
      </c>
      <c r="AH9571">
        <v>8</v>
      </c>
      <c r="AI9571">
        <v>2</v>
      </c>
      <c r="AJ9571">
        <v>2</v>
      </c>
      <c r="AK9571">
        <v>9.56</v>
      </c>
      <c r="AN9571" t="s">
        <v>45581</v>
      </c>
      <c r="AO9571">
        <v>2400</v>
      </c>
      <c r="AU9571">
        <v>1</v>
      </c>
      <c r="AV9571" t="s">
        <v>659</v>
      </c>
      <c r="AW9571" t="s">
        <v>46850</v>
      </c>
    </row>
    <row r="9572" spans="1:49">
      <c r="A9572" s="1">
        <f>HYPERLINK("https://lsnyc.legalserver.org/matter/dynamic-profile/view/1885706","18-1885706")</f>
        <v>0</v>
      </c>
      <c r="B9572" t="s">
        <v>161</v>
      </c>
      <c r="C9572" t="s">
        <v>341</v>
      </c>
      <c r="D9572" t="s">
        <v>697</v>
      </c>
      <c r="E9572" t="s">
        <v>697</v>
      </c>
      <c r="F9572" t="s">
        <v>1471</v>
      </c>
      <c r="G9572" t="s">
        <v>7759</v>
      </c>
      <c r="H9572" t="s">
        <v>13757</v>
      </c>
      <c r="I9572" t="s">
        <v>17416</v>
      </c>
      <c r="J9572" t="s">
        <v>18901</v>
      </c>
      <c r="K9572">
        <v>11434</v>
      </c>
      <c r="L9572" t="s">
        <v>18959</v>
      </c>
      <c r="M9572" t="s">
        <v>18958</v>
      </c>
      <c r="N9572" t="s">
        <v>25598</v>
      </c>
      <c r="O9572" t="s">
        <v>26526</v>
      </c>
      <c r="P9572" t="s">
        <v>26564</v>
      </c>
      <c r="Q9572" t="s">
        <v>26570</v>
      </c>
      <c r="R9572" t="s">
        <v>26583</v>
      </c>
      <c r="S9572" t="s">
        <v>18959</v>
      </c>
      <c r="U9572" t="s">
        <v>26604</v>
      </c>
      <c r="V9572" t="s">
        <v>26610</v>
      </c>
      <c r="X9572">
        <v>950</v>
      </c>
      <c r="Y9572" t="s">
        <v>26653</v>
      </c>
      <c r="Z9572" t="s">
        <v>26664</v>
      </c>
      <c r="AA9572" t="s">
        <v>26683</v>
      </c>
      <c r="AB9572" t="s">
        <v>31209</v>
      </c>
      <c r="AD9572" t="s">
        <v>41380</v>
      </c>
      <c r="AE9572">
        <v>2</v>
      </c>
      <c r="AF9572" t="s">
        <v>45547</v>
      </c>
      <c r="AG9572" t="s">
        <v>19330</v>
      </c>
      <c r="AH9572">
        <v>5</v>
      </c>
      <c r="AI9572">
        <v>2</v>
      </c>
      <c r="AJ9572">
        <v>1</v>
      </c>
      <c r="AK9572">
        <v>132.82</v>
      </c>
      <c r="AN9572" t="s">
        <v>7439</v>
      </c>
      <c r="AO9572">
        <v>27600</v>
      </c>
      <c r="AU9572">
        <v>0.1</v>
      </c>
      <c r="AV9572" t="s">
        <v>697</v>
      </c>
      <c r="AW9572" t="s">
        <v>161</v>
      </c>
    </row>
    <row r="9573" spans="1:49">
      <c r="A9573" s="1">
        <f>HYPERLINK("https://lsnyc.legalserver.org/matter/dynamic-profile/view/1885738","18-1885738")</f>
        <v>0</v>
      </c>
      <c r="B9573" t="s">
        <v>55</v>
      </c>
      <c r="C9573" t="s">
        <v>340</v>
      </c>
      <c r="D9573" t="s">
        <v>697</v>
      </c>
      <c r="F9573" t="s">
        <v>1574</v>
      </c>
      <c r="G9573" t="s">
        <v>5285</v>
      </c>
      <c r="H9573" t="s">
        <v>12199</v>
      </c>
      <c r="I9573" t="s">
        <v>17380</v>
      </c>
      <c r="J9573" t="s">
        <v>18892</v>
      </c>
      <c r="K9573">
        <v>10460</v>
      </c>
      <c r="L9573" t="s">
        <v>18958</v>
      </c>
      <c r="M9573" t="s">
        <v>18958</v>
      </c>
      <c r="O9573" t="s">
        <v>26526</v>
      </c>
      <c r="P9573" t="s">
        <v>26560</v>
      </c>
      <c r="R9573" t="s">
        <v>26578</v>
      </c>
      <c r="S9573" t="s">
        <v>18958</v>
      </c>
      <c r="U9573" t="s">
        <v>26604</v>
      </c>
      <c r="X9573">
        <v>1621</v>
      </c>
      <c r="Y9573" t="s">
        <v>26650</v>
      </c>
      <c r="Z9573" t="s">
        <v>26663</v>
      </c>
      <c r="AB9573" t="s">
        <v>31325</v>
      </c>
      <c r="AE9573">
        <v>0</v>
      </c>
      <c r="AF9573" t="s">
        <v>20460</v>
      </c>
      <c r="AG9573" t="s">
        <v>45556</v>
      </c>
      <c r="AH9573">
        <v>2</v>
      </c>
      <c r="AI9573">
        <v>2</v>
      </c>
      <c r="AJ9573">
        <v>0</v>
      </c>
      <c r="AK9573">
        <v>85.3</v>
      </c>
      <c r="AN9573" t="s">
        <v>7439</v>
      </c>
      <c r="AO9573">
        <v>14040</v>
      </c>
      <c r="AU9573">
        <v>0</v>
      </c>
      <c r="AW9573" t="s">
        <v>46847</v>
      </c>
    </row>
    <row r="9574" spans="1:49">
      <c r="A9574" s="1">
        <f>HYPERLINK("https://lsnyc.legalserver.org/matter/dynamic-profile/view/1885837","18-1885837")</f>
        <v>0</v>
      </c>
      <c r="B9574" t="s">
        <v>302</v>
      </c>
      <c r="C9574" t="s">
        <v>341</v>
      </c>
      <c r="D9574" t="s">
        <v>688</v>
      </c>
      <c r="E9574" t="s">
        <v>494</v>
      </c>
      <c r="F9574" t="s">
        <v>4596</v>
      </c>
      <c r="G9574" t="s">
        <v>6231</v>
      </c>
      <c r="H9574" t="s">
        <v>13133</v>
      </c>
      <c r="I9574">
        <v>2</v>
      </c>
      <c r="J9574" t="s">
        <v>18892</v>
      </c>
      <c r="K9574">
        <v>10452</v>
      </c>
      <c r="L9574" t="s">
        <v>18960</v>
      </c>
      <c r="M9574" t="s">
        <v>18960</v>
      </c>
      <c r="N9574" t="s">
        <v>25599</v>
      </c>
      <c r="O9574" t="s">
        <v>26523</v>
      </c>
      <c r="P9574" t="s">
        <v>26564</v>
      </c>
      <c r="Q9574" t="s">
        <v>26570</v>
      </c>
      <c r="R9574" t="s">
        <v>26591</v>
      </c>
      <c r="U9574" t="s">
        <v>26604</v>
      </c>
      <c r="X9574">
        <v>378</v>
      </c>
      <c r="Y9574" t="s">
        <v>26650</v>
      </c>
      <c r="Z9574" t="s">
        <v>26673</v>
      </c>
      <c r="AA9574" t="s">
        <v>26683</v>
      </c>
      <c r="AB9574" t="s">
        <v>30487</v>
      </c>
      <c r="AD9574" t="s">
        <v>44259</v>
      </c>
      <c r="AE9574">
        <v>3</v>
      </c>
      <c r="AH9574">
        <v>6</v>
      </c>
      <c r="AI9574">
        <v>1</v>
      </c>
      <c r="AJ9574">
        <v>0</v>
      </c>
      <c r="AK9574">
        <v>81.25</v>
      </c>
      <c r="AN9574" t="s">
        <v>45581</v>
      </c>
      <c r="AO9574">
        <v>9864</v>
      </c>
      <c r="AP9574" t="s">
        <v>46109</v>
      </c>
      <c r="AU9574">
        <v>1.2</v>
      </c>
      <c r="AV9574" t="s">
        <v>713</v>
      </c>
      <c r="AW9574" t="s">
        <v>46861</v>
      </c>
    </row>
    <row r="9575" spans="1:49">
      <c r="A9575" s="1">
        <f>HYPERLINK("https://lsnyc.legalserver.org/matter/dynamic-profile/view/1883511","18-1883511")</f>
        <v>0</v>
      </c>
      <c r="B9575" t="s">
        <v>153</v>
      </c>
      <c r="C9575" t="s">
        <v>341</v>
      </c>
      <c r="D9575" t="s">
        <v>688</v>
      </c>
      <c r="E9575" t="s">
        <v>762</v>
      </c>
      <c r="F9575" t="s">
        <v>1320</v>
      </c>
      <c r="G9575" t="s">
        <v>5563</v>
      </c>
      <c r="H9575" t="s">
        <v>16171</v>
      </c>
      <c r="I9575" t="s">
        <v>17272</v>
      </c>
      <c r="J9575" t="s">
        <v>18902</v>
      </c>
      <c r="K9575">
        <v>10303</v>
      </c>
      <c r="L9575" t="s">
        <v>18960</v>
      </c>
      <c r="M9575" t="s">
        <v>18960</v>
      </c>
      <c r="O9575" t="s">
        <v>26525</v>
      </c>
      <c r="P9575" t="s">
        <v>26567</v>
      </c>
      <c r="Q9575" t="s">
        <v>26569</v>
      </c>
      <c r="R9575" t="s">
        <v>26590</v>
      </c>
      <c r="S9575" t="s">
        <v>18959</v>
      </c>
      <c r="U9575" t="s">
        <v>26605</v>
      </c>
      <c r="X9575">
        <v>215</v>
      </c>
      <c r="Y9575" t="s">
        <v>26654</v>
      </c>
      <c r="Z9575" t="s">
        <v>26659</v>
      </c>
      <c r="AA9575" t="s">
        <v>26687</v>
      </c>
      <c r="AB9575" t="s">
        <v>33498</v>
      </c>
      <c r="AD9575" t="s">
        <v>44260</v>
      </c>
      <c r="AE9575">
        <v>0</v>
      </c>
      <c r="AF9575" t="s">
        <v>45542</v>
      </c>
      <c r="AG9575" t="s">
        <v>45556</v>
      </c>
      <c r="AH9575">
        <v>20</v>
      </c>
      <c r="AI9575">
        <v>2</v>
      </c>
      <c r="AJ9575">
        <v>1</v>
      </c>
      <c r="AK9575">
        <v>0</v>
      </c>
      <c r="AN9575" t="s">
        <v>7439</v>
      </c>
      <c r="AO9575">
        <v>0</v>
      </c>
      <c r="AQ9575" t="s">
        <v>46367</v>
      </c>
      <c r="AS9575" t="s">
        <v>46501</v>
      </c>
      <c r="AT9575" t="s">
        <v>46654</v>
      </c>
      <c r="AU9575">
        <v>11.8</v>
      </c>
      <c r="AV9575" t="s">
        <v>724</v>
      </c>
      <c r="AW9575" t="s">
        <v>185</v>
      </c>
    </row>
    <row r="9576" spans="1:49">
      <c r="A9576" s="1">
        <f>HYPERLINK("https://lsnyc.legalserver.org/matter/dynamic-profile/view/1885805","18-1885805")</f>
        <v>0</v>
      </c>
      <c r="B9576" t="s">
        <v>74</v>
      </c>
      <c r="C9576" t="s">
        <v>341</v>
      </c>
      <c r="D9576" t="s">
        <v>688</v>
      </c>
      <c r="E9576" t="s">
        <v>727</v>
      </c>
      <c r="F9576" t="s">
        <v>1118</v>
      </c>
      <c r="G9576" t="s">
        <v>5141</v>
      </c>
      <c r="H9576" t="s">
        <v>16172</v>
      </c>
      <c r="I9576" t="s">
        <v>17366</v>
      </c>
      <c r="J9576" t="s">
        <v>18893</v>
      </c>
      <c r="K9576">
        <v>10025</v>
      </c>
      <c r="L9576" t="s">
        <v>18958</v>
      </c>
      <c r="M9576" t="s">
        <v>18958</v>
      </c>
      <c r="P9576" t="s">
        <v>26564</v>
      </c>
      <c r="Q9576" t="s">
        <v>26571</v>
      </c>
      <c r="R9576" t="s">
        <v>26595</v>
      </c>
      <c r="U9576" t="s">
        <v>26604</v>
      </c>
      <c r="X9576">
        <v>314</v>
      </c>
      <c r="Y9576" t="s">
        <v>26651</v>
      </c>
      <c r="Z9576" t="s">
        <v>26661</v>
      </c>
      <c r="AA9576" t="s">
        <v>26682</v>
      </c>
      <c r="AB9576" t="s">
        <v>33499</v>
      </c>
      <c r="AD9576" t="s">
        <v>44261</v>
      </c>
      <c r="AE9576">
        <v>0</v>
      </c>
      <c r="AF9576" t="s">
        <v>45543</v>
      </c>
      <c r="AG9576" t="s">
        <v>19330</v>
      </c>
      <c r="AH9576">
        <v>36</v>
      </c>
      <c r="AI9576">
        <v>1</v>
      </c>
      <c r="AJ9576">
        <v>0</v>
      </c>
      <c r="AK9576">
        <v>118.62</v>
      </c>
      <c r="AN9576" t="s">
        <v>7439</v>
      </c>
      <c r="AO9576">
        <v>14400</v>
      </c>
      <c r="AU9576">
        <v>0.6</v>
      </c>
      <c r="AV9576" t="s">
        <v>688</v>
      </c>
      <c r="AW9576" t="s">
        <v>46842</v>
      </c>
    </row>
    <row r="9577" spans="1:49">
      <c r="A9577" s="1">
        <f>HYPERLINK("https://lsnyc.legalserver.org/matter/dynamic-profile/view/1885830","18-1885830")</f>
        <v>0</v>
      </c>
      <c r="B9577" t="s">
        <v>205</v>
      </c>
      <c r="C9577" t="s">
        <v>341</v>
      </c>
      <c r="D9577" t="s">
        <v>688</v>
      </c>
      <c r="E9577" t="s">
        <v>758</v>
      </c>
      <c r="F9577" t="s">
        <v>2228</v>
      </c>
      <c r="G9577" t="s">
        <v>5622</v>
      </c>
      <c r="H9577" t="s">
        <v>10751</v>
      </c>
      <c r="I9577" t="s">
        <v>18244</v>
      </c>
      <c r="J9577" t="s">
        <v>18894</v>
      </c>
      <c r="K9577">
        <v>11213</v>
      </c>
      <c r="L9577" t="s">
        <v>18959</v>
      </c>
      <c r="M9577" t="s">
        <v>18960</v>
      </c>
      <c r="P9577" t="s">
        <v>26564</v>
      </c>
      <c r="Q9577" t="s">
        <v>26570</v>
      </c>
      <c r="R9577" t="s">
        <v>26578</v>
      </c>
      <c r="U9577" t="s">
        <v>26604</v>
      </c>
      <c r="X9577">
        <v>0</v>
      </c>
      <c r="Y9577" t="s">
        <v>26652</v>
      </c>
      <c r="AA9577" t="s">
        <v>26683</v>
      </c>
      <c r="AB9577" t="s">
        <v>33500</v>
      </c>
      <c r="AD9577" t="s">
        <v>44262</v>
      </c>
      <c r="AE9577">
        <v>0</v>
      </c>
      <c r="AH9577">
        <v>30</v>
      </c>
      <c r="AI9577">
        <v>1</v>
      </c>
      <c r="AJ9577">
        <v>0</v>
      </c>
      <c r="AK9577">
        <v>0</v>
      </c>
      <c r="AN9577" t="s">
        <v>7439</v>
      </c>
      <c r="AO9577">
        <v>0</v>
      </c>
      <c r="AU9577">
        <v>0.25</v>
      </c>
      <c r="AV9577" t="s">
        <v>713</v>
      </c>
      <c r="AW9577" t="s">
        <v>205</v>
      </c>
    </row>
    <row r="9578" spans="1:49">
      <c r="A9578" s="1">
        <f>HYPERLINK("https://lsnyc.legalserver.org/matter/dynamic-profile/view/1885862","18-1885862")</f>
        <v>0</v>
      </c>
      <c r="B9578" t="s">
        <v>55</v>
      </c>
      <c r="C9578" t="s">
        <v>340</v>
      </c>
      <c r="D9578" t="s">
        <v>688</v>
      </c>
      <c r="F9578" t="s">
        <v>1161</v>
      </c>
      <c r="G9578" t="s">
        <v>1748</v>
      </c>
      <c r="H9578" t="s">
        <v>16173</v>
      </c>
      <c r="I9578">
        <v>2</v>
      </c>
      <c r="J9578" t="s">
        <v>18892</v>
      </c>
      <c r="K9578">
        <v>10459</v>
      </c>
      <c r="L9578" t="s">
        <v>18960</v>
      </c>
      <c r="M9578" t="s">
        <v>18959</v>
      </c>
      <c r="O9578" t="s">
        <v>26529</v>
      </c>
      <c r="P9578" t="s">
        <v>26564</v>
      </c>
      <c r="R9578" t="s">
        <v>26591</v>
      </c>
      <c r="S9578" t="s">
        <v>18959</v>
      </c>
      <c r="U9578" t="s">
        <v>26604</v>
      </c>
      <c r="X9578">
        <v>1956</v>
      </c>
      <c r="Y9578" t="s">
        <v>26650</v>
      </c>
      <c r="Z9578" t="s">
        <v>26673</v>
      </c>
      <c r="AB9578" t="s">
        <v>33501</v>
      </c>
      <c r="AD9578" t="s">
        <v>44263</v>
      </c>
      <c r="AE9578">
        <v>3</v>
      </c>
      <c r="AF9578" t="s">
        <v>45541</v>
      </c>
      <c r="AG9578" t="s">
        <v>45557</v>
      </c>
      <c r="AH9578">
        <v>0</v>
      </c>
      <c r="AI9578">
        <v>2</v>
      </c>
      <c r="AJ9578">
        <v>3</v>
      </c>
      <c r="AK9578">
        <v>44.87</v>
      </c>
      <c r="AN9578" t="s">
        <v>7439</v>
      </c>
      <c r="AO9578">
        <v>13200</v>
      </c>
      <c r="AP9578" t="s">
        <v>46180</v>
      </c>
      <c r="AU9578">
        <v>0.66</v>
      </c>
      <c r="AV9578" t="s">
        <v>688</v>
      </c>
      <c r="AW9578" t="s">
        <v>46860</v>
      </c>
    </row>
    <row r="9579" spans="1:49">
      <c r="A9579" s="1">
        <f>HYPERLINK("https://lsnyc.legalserver.org/matter/dynamic-profile/view/1886043","18-1886043")</f>
        <v>0</v>
      </c>
      <c r="B9579" t="s">
        <v>319</v>
      </c>
      <c r="C9579" t="s">
        <v>341</v>
      </c>
      <c r="D9579" t="s">
        <v>670</v>
      </c>
      <c r="E9579" t="s">
        <v>692</v>
      </c>
      <c r="F9579" t="s">
        <v>4597</v>
      </c>
      <c r="G9579" t="s">
        <v>9100</v>
      </c>
      <c r="H9579" t="s">
        <v>16174</v>
      </c>
      <c r="J9579" t="s">
        <v>18894</v>
      </c>
      <c r="K9579">
        <v>11208</v>
      </c>
      <c r="L9579" t="s">
        <v>18960</v>
      </c>
      <c r="M9579" t="s">
        <v>18960</v>
      </c>
      <c r="Q9579" t="s">
        <v>26570</v>
      </c>
      <c r="R9579" t="s">
        <v>26592</v>
      </c>
      <c r="U9579" t="s">
        <v>26604</v>
      </c>
      <c r="X9579">
        <v>0</v>
      </c>
      <c r="Y9579" t="s">
        <v>26652</v>
      </c>
      <c r="AA9579" t="s">
        <v>26683</v>
      </c>
      <c r="AB9579" t="s">
        <v>33502</v>
      </c>
      <c r="AE9579">
        <v>0</v>
      </c>
      <c r="AH9579">
        <v>0</v>
      </c>
      <c r="AI9579">
        <v>1</v>
      </c>
      <c r="AJ9579">
        <v>0</v>
      </c>
      <c r="AK9579">
        <v>51.4</v>
      </c>
      <c r="AO9579">
        <v>6240</v>
      </c>
      <c r="AU9579">
        <v>1</v>
      </c>
      <c r="AV9579" t="s">
        <v>670</v>
      </c>
      <c r="AW9579" t="s">
        <v>319</v>
      </c>
    </row>
    <row r="9580" spans="1:49">
      <c r="A9580" s="1">
        <f>HYPERLINK("https://lsnyc.legalserver.org/matter/dynamic-profile/view/1885994","18-1885994")</f>
        <v>0</v>
      </c>
      <c r="B9580" t="s">
        <v>247</v>
      </c>
      <c r="C9580" t="s">
        <v>341</v>
      </c>
      <c r="D9580" t="s">
        <v>670</v>
      </c>
      <c r="E9580" t="s">
        <v>820</v>
      </c>
      <c r="F9580" t="s">
        <v>1087</v>
      </c>
      <c r="G9580" t="s">
        <v>3718</v>
      </c>
      <c r="H9580" t="s">
        <v>11482</v>
      </c>
      <c r="I9580" t="s">
        <v>18695</v>
      </c>
      <c r="J9580" t="s">
        <v>18898</v>
      </c>
      <c r="K9580">
        <v>11691</v>
      </c>
      <c r="L9580" t="s">
        <v>18959</v>
      </c>
      <c r="M9580" t="s">
        <v>18959</v>
      </c>
      <c r="N9580" t="s">
        <v>25600</v>
      </c>
      <c r="O9580" t="s">
        <v>26523</v>
      </c>
      <c r="P9580" t="s">
        <v>26564</v>
      </c>
      <c r="Q9580" t="s">
        <v>26570</v>
      </c>
      <c r="R9580" t="s">
        <v>26578</v>
      </c>
      <c r="S9580" t="s">
        <v>18959</v>
      </c>
      <c r="U9580" t="s">
        <v>26604</v>
      </c>
      <c r="V9580" t="s">
        <v>26611</v>
      </c>
      <c r="X9580">
        <v>1400</v>
      </c>
      <c r="Y9580" t="s">
        <v>26653</v>
      </c>
      <c r="Z9580" t="s">
        <v>26664</v>
      </c>
      <c r="AA9580" t="s">
        <v>26683</v>
      </c>
      <c r="AB9580" t="s">
        <v>33503</v>
      </c>
      <c r="AD9580" t="s">
        <v>44264</v>
      </c>
      <c r="AE9580">
        <v>301</v>
      </c>
      <c r="AF9580" t="s">
        <v>45550</v>
      </c>
      <c r="AG9580" t="s">
        <v>19330</v>
      </c>
      <c r="AH9580">
        <v>6</v>
      </c>
      <c r="AI9580">
        <v>3</v>
      </c>
      <c r="AJ9580">
        <v>0</v>
      </c>
      <c r="AK9580">
        <v>100.1</v>
      </c>
      <c r="AN9580" t="s">
        <v>7439</v>
      </c>
      <c r="AO9580">
        <v>20800</v>
      </c>
      <c r="AU9580">
        <v>2.37</v>
      </c>
      <c r="AV9580" t="s">
        <v>808</v>
      </c>
      <c r="AW9580" t="s">
        <v>208</v>
      </c>
    </row>
    <row r="9581" spans="1:49">
      <c r="A9581" s="1">
        <f>HYPERLINK("https://lsnyc.legalserver.org/matter/dynamic-profile/view/1886017","18-1886017")</f>
        <v>0</v>
      </c>
      <c r="B9581" t="s">
        <v>286</v>
      </c>
      <c r="C9581" t="s">
        <v>341</v>
      </c>
      <c r="D9581" t="s">
        <v>670</v>
      </c>
      <c r="E9581" t="s">
        <v>494</v>
      </c>
      <c r="F9581" t="s">
        <v>4598</v>
      </c>
      <c r="G9581" t="s">
        <v>5121</v>
      </c>
      <c r="H9581" t="s">
        <v>16175</v>
      </c>
      <c r="I9581">
        <v>1</v>
      </c>
      <c r="J9581" t="s">
        <v>18894</v>
      </c>
      <c r="K9581">
        <v>11208</v>
      </c>
      <c r="L9581" t="s">
        <v>18959</v>
      </c>
      <c r="M9581" t="s">
        <v>18959</v>
      </c>
      <c r="O9581" t="s">
        <v>18997</v>
      </c>
      <c r="Q9581" t="s">
        <v>26570</v>
      </c>
      <c r="R9581" t="s">
        <v>26578</v>
      </c>
      <c r="S9581" t="s">
        <v>18959</v>
      </c>
      <c r="U9581" t="s">
        <v>26604</v>
      </c>
      <c r="X9581">
        <v>1700</v>
      </c>
      <c r="Y9581" t="s">
        <v>26652</v>
      </c>
      <c r="Z9581" t="s">
        <v>26666</v>
      </c>
      <c r="AA9581" t="s">
        <v>26683</v>
      </c>
      <c r="AB9581" t="s">
        <v>33504</v>
      </c>
      <c r="AD9581" t="s">
        <v>44265</v>
      </c>
      <c r="AE9581">
        <v>3</v>
      </c>
      <c r="AF9581" t="s">
        <v>45547</v>
      </c>
      <c r="AG9581" t="s">
        <v>19330</v>
      </c>
      <c r="AH9581">
        <v>1</v>
      </c>
      <c r="AI9581">
        <v>1</v>
      </c>
      <c r="AJ9581">
        <v>0</v>
      </c>
      <c r="AK9581">
        <v>149.92</v>
      </c>
      <c r="AN9581" t="s">
        <v>7439</v>
      </c>
      <c r="AO9581">
        <v>18200</v>
      </c>
      <c r="AU9581">
        <v>0.5</v>
      </c>
      <c r="AV9581" t="s">
        <v>670</v>
      </c>
      <c r="AW9581" t="s">
        <v>46860</v>
      </c>
    </row>
    <row r="9582" spans="1:49">
      <c r="A9582" s="1">
        <f>HYPERLINK("https://lsnyc.legalserver.org/matter/dynamic-profile/view/1885925","18-1885925")</f>
        <v>0</v>
      </c>
      <c r="B9582" t="s">
        <v>249</v>
      </c>
      <c r="C9582" t="s">
        <v>341</v>
      </c>
      <c r="D9582" t="s">
        <v>670</v>
      </c>
      <c r="E9582" t="s">
        <v>744</v>
      </c>
      <c r="F9582" t="s">
        <v>4599</v>
      </c>
      <c r="G9582" t="s">
        <v>5762</v>
      </c>
      <c r="H9582" t="s">
        <v>16176</v>
      </c>
      <c r="I9582" t="s">
        <v>17564</v>
      </c>
      <c r="J9582" t="s">
        <v>18894</v>
      </c>
      <c r="K9582">
        <v>11233</v>
      </c>
      <c r="L9582" t="s">
        <v>18959</v>
      </c>
      <c r="M9582" t="s">
        <v>18959</v>
      </c>
      <c r="N9582" t="s">
        <v>25601</v>
      </c>
      <c r="O9582" t="s">
        <v>26524</v>
      </c>
      <c r="P9582" t="s">
        <v>26564</v>
      </c>
      <c r="Q9582" t="s">
        <v>26570</v>
      </c>
      <c r="R9582" t="s">
        <v>26578</v>
      </c>
      <c r="S9582" t="s">
        <v>18959</v>
      </c>
      <c r="U9582" t="s">
        <v>26604</v>
      </c>
      <c r="V9582" t="s">
        <v>26610</v>
      </c>
      <c r="X9582">
        <v>1336</v>
      </c>
      <c r="Y9582" t="s">
        <v>26652</v>
      </c>
      <c r="Z9582" t="s">
        <v>26657</v>
      </c>
      <c r="AA9582" t="s">
        <v>26683</v>
      </c>
      <c r="AB9582" t="s">
        <v>33505</v>
      </c>
      <c r="AC9582" t="s">
        <v>36649</v>
      </c>
      <c r="AD9582" t="s">
        <v>44266</v>
      </c>
      <c r="AE9582">
        <v>3</v>
      </c>
      <c r="AF9582" t="s">
        <v>45547</v>
      </c>
      <c r="AG9582" t="s">
        <v>45556</v>
      </c>
      <c r="AH9582">
        <v>6</v>
      </c>
      <c r="AI9582">
        <v>2</v>
      </c>
      <c r="AJ9582">
        <v>1</v>
      </c>
      <c r="AK9582">
        <v>72.56999999999999</v>
      </c>
      <c r="AN9582" t="s">
        <v>7439</v>
      </c>
      <c r="AO9582">
        <v>15080</v>
      </c>
      <c r="AU9582">
        <v>2.75</v>
      </c>
      <c r="AV9582" t="s">
        <v>763</v>
      </c>
      <c r="AW9582" t="s">
        <v>46858</v>
      </c>
    </row>
    <row r="9583" spans="1:49">
      <c r="A9583" s="1">
        <f>HYPERLINK("https://lsnyc.legalserver.org/matter/dynamic-profile/view/1886014","18-1886014")</f>
        <v>0</v>
      </c>
      <c r="B9583" t="s">
        <v>140</v>
      </c>
      <c r="C9583" t="s">
        <v>340</v>
      </c>
      <c r="D9583" t="s">
        <v>670</v>
      </c>
      <c r="F9583" t="s">
        <v>1062</v>
      </c>
      <c r="G9583" t="s">
        <v>9101</v>
      </c>
      <c r="H9583" t="s">
        <v>13460</v>
      </c>
      <c r="I9583" t="s">
        <v>17469</v>
      </c>
      <c r="J9583" t="s">
        <v>18894</v>
      </c>
      <c r="K9583">
        <v>11216</v>
      </c>
      <c r="L9583" t="s">
        <v>18958</v>
      </c>
      <c r="M9583" t="s">
        <v>18960</v>
      </c>
      <c r="N9583" t="s">
        <v>25602</v>
      </c>
      <c r="O9583" t="s">
        <v>26524</v>
      </c>
      <c r="P9583" t="s">
        <v>26560</v>
      </c>
      <c r="R9583" t="s">
        <v>26583</v>
      </c>
      <c r="S9583" t="s">
        <v>18958</v>
      </c>
      <c r="U9583" t="s">
        <v>26604</v>
      </c>
      <c r="V9583" t="s">
        <v>26610</v>
      </c>
      <c r="X9583">
        <v>900</v>
      </c>
      <c r="Y9583" t="s">
        <v>26652</v>
      </c>
      <c r="AB9583" t="s">
        <v>33506</v>
      </c>
      <c r="AD9583" t="s">
        <v>44267</v>
      </c>
      <c r="AE9583">
        <v>2</v>
      </c>
      <c r="AH9583">
        <v>15</v>
      </c>
      <c r="AI9583">
        <v>2</v>
      </c>
      <c r="AJ9583">
        <v>0</v>
      </c>
      <c r="AK9583">
        <v>222.84</v>
      </c>
      <c r="AN9583" t="s">
        <v>7439</v>
      </c>
      <c r="AO9583">
        <v>36679</v>
      </c>
      <c r="AU9583">
        <v>10.5</v>
      </c>
      <c r="AV9583" t="s">
        <v>759</v>
      </c>
      <c r="AW9583" t="s">
        <v>46862</v>
      </c>
    </row>
    <row r="9584" spans="1:49">
      <c r="A9584" s="1">
        <f>HYPERLINK("https://lsnyc.legalserver.org/matter/dynamic-profile/view/1886175","18-1886175")</f>
        <v>0</v>
      </c>
      <c r="B9584" t="s">
        <v>156</v>
      </c>
      <c r="C9584" t="s">
        <v>340</v>
      </c>
      <c r="D9584" t="s">
        <v>692</v>
      </c>
      <c r="F9584" t="s">
        <v>948</v>
      </c>
      <c r="G9584" t="s">
        <v>9102</v>
      </c>
      <c r="H9584" t="s">
        <v>16177</v>
      </c>
      <c r="I9584" t="s">
        <v>18297</v>
      </c>
      <c r="J9584" t="s">
        <v>18893</v>
      </c>
      <c r="K9584">
        <v>10128</v>
      </c>
      <c r="L9584" t="s">
        <v>18960</v>
      </c>
      <c r="M9584" t="s">
        <v>18960</v>
      </c>
      <c r="R9584" t="s">
        <v>26591</v>
      </c>
      <c r="U9584" t="s">
        <v>26604</v>
      </c>
      <c r="X9584">
        <v>0</v>
      </c>
      <c r="Y9584" t="s">
        <v>26652</v>
      </c>
      <c r="AB9584" t="s">
        <v>33507</v>
      </c>
      <c r="AD9584" t="s">
        <v>44268</v>
      </c>
      <c r="AE9584">
        <v>0</v>
      </c>
      <c r="AH9584">
        <v>0</v>
      </c>
      <c r="AI9584">
        <v>2</v>
      </c>
      <c r="AJ9584">
        <v>0</v>
      </c>
      <c r="AK9584">
        <v>0</v>
      </c>
      <c r="AN9584" t="s">
        <v>7439</v>
      </c>
      <c r="AO9584">
        <v>0</v>
      </c>
      <c r="AU9584">
        <v>5.55</v>
      </c>
      <c r="AV9584" t="s">
        <v>757</v>
      </c>
      <c r="AW9584" t="s">
        <v>186</v>
      </c>
    </row>
    <row r="9585" spans="1:49">
      <c r="A9585" s="1">
        <f>HYPERLINK("https://lsnyc.legalserver.org/matter/dynamic-profile/view/1886099","18-1886099")</f>
        <v>0</v>
      </c>
      <c r="B9585" t="s">
        <v>55</v>
      </c>
      <c r="C9585" t="s">
        <v>340</v>
      </c>
      <c r="D9585" t="s">
        <v>692</v>
      </c>
      <c r="F9585" t="s">
        <v>3844</v>
      </c>
      <c r="G9585" t="s">
        <v>8375</v>
      </c>
      <c r="H9585" t="s">
        <v>9741</v>
      </c>
      <c r="I9585" t="s">
        <v>17467</v>
      </c>
      <c r="J9585" t="s">
        <v>18892</v>
      </c>
      <c r="K9585">
        <v>10453</v>
      </c>
      <c r="L9585" t="s">
        <v>18958</v>
      </c>
      <c r="M9585" t="s">
        <v>18958</v>
      </c>
      <c r="O9585" t="s">
        <v>18997</v>
      </c>
      <c r="P9585" t="s">
        <v>26563</v>
      </c>
      <c r="R9585" t="s">
        <v>26578</v>
      </c>
      <c r="S9585" t="s">
        <v>18958</v>
      </c>
      <c r="U9585" t="s">
        <v>26604</v>
      </c>
      <c r="X9585">
        <v>1366.88</v>
      </c>
      <c r="Y9585" t="s">
        <v>26650</v>
      </c>
      <c r="Z9585" t="s">
        <v>26663</v>
      </c>
      <c r="AB9585" t="s">
        <v>32343</v>
      </c>
      <c r="AD9585" t="s">
        <v>42742</v>
      </c>
      <c r="AE9585">
        <v>99</v>
      </c>
      <c r="AF9585" t="s">
        <v>45541</v>
      </c>
      <c r="AG9585" t="s">
        <v>19330</v>
      </c>
      <c r="AH9585">
        <v>2</v>
      </c>
      <c r="AI9585">
        <v>1</v>
      </c>
      <c r="AJ9585">
        <v>0</v>
      </c>
      <c r="AK9585">
        <v>164.74</v>
      </c>
      <c r="AN9585" t="s">
        <v>7439</v>
      </c>
      <c r="AO9585">
        <v>20000</v>
      </c>
      <c r="AU9585">
        <v>7</v>
      </c>
      <c r="AV9585" t="s">
        <v>671</v>
      </c>
      <c r="AW9585" t="s">
        <v>46832</v>
      </c>
    </row>
    <row r="9586" spans="1:49">
      <c r="A9586" s="1">
        <f>HYPERLINK("https://lsnyc.legalserver.org/matter/dynamic-profile/view/1885335","18-1885335")</f>
        <v>0</v>
      </c>
      <c r="B9586" t="s">
        <v>109</v>
      </c>
      <c r="C9586" t="s">
        <v>340</v>
      </c>
      <c r="D9586" t="s">
        <v>692</v>
      </c>
      <c r="F9586" t="s">
        <v>1495</v>
      </c>
      <c r="G9586" t="s">
        <v>9103</v>
      </c>
      <c r="H9586" t="s">
        <v>15045</v>
      </c>
      <c r="I9586" t="s">
        <v>17306</v>
      </c>
      <c r="J9586" t="s">
        <v>18902</v>
      </c>
      <c r="K9586">
        <v>10310</v>
      </c>
      <c r="L9586" t="s">
        <v>18960</v>
      </c>
      <c r="M9586" t="s">
        <v>18960</v>
      </c>
      <c r="R9586" t="s">
        <v>26590</v>
      </c>
      <c r="U9586" t="s">
        <v>26604</v>
      </c>
      <c r="X9586">
        <v>0</v>
      </c>
      <c r="Y9586" t="s">
        <v>26654</v>
      </c>
      <c r="AB9586" t="s">
        <v>33508</v>
      </c>
      <c r="AD9586" t="s">
        <v>44269</v>
      </c>
      <c r="AE9586">
        <v>0</v>
      </c>
      <c r="AH9586">
        <v>0</v>
      </c>
      <c r="AI9586">
        <v>1</v>
      </c>
      <c r="AJ9586">
        <v>0</v>
      </c>
      <c r="AK9586">
        <v>214.17</v>
      </c>
      <c r="AN9586" t="s">
        <v>7439</v>
      </c>
      <c r="AO9586">
        <v>26000</v>
      </c>
      <c r="AU9586">
        <v>0</v>
      </c>
      <c r="AW9586" t="s">
        <v>210</v>
      </c>
    </row>
    <row r="9587" spans="1:49">
      <c r="A9587" s="1">
        <f>HYPERLINK("https://lsnyc.legalserver.org/matter/dynamic-profile/view/1886450","18-1886450")</f>
        <v>0</v>
      </c>
      <c r="B9587" t="s">
        <v>169</v>
      </c>
      <c r="C9587" t="s">
        <v>341</v>
      </c>
      <c r="D9587" t="s">
        <v>684</v>
      </c>
      <c r="E9587" t="s">
        <v>699</v>
      </c>
      <c r="F9587" t="s">
        <v>939</v>
      </c>
      <c r="G9587" t="s">
        <v>5447</v>
      </c>
      <c r="H9587" t="s">
        <v>16178</v>
      </c>
      <c r="I9587" t="s">
        <v>18696</v>
      </c>
      <c r="J9587" t="s">
        <v>18892</v>
      </c>
      <c r="K9587">
        <v>10463</v>
      </c>
      <c r="L9587" t="s">
        <v>18958</v>
      </c>
      <c r="M9587" t="s">
        <v>18958</v>
      </c>
      <c r="N9587" t="s">
        <v>25603</v>
      </c>
      <c r="O9587" t="s">
        <v>26523</v>
      </c>
      <c r="P9587" t="s">
        <v>26564</v>
      </c>
      <c r="Q9587" t="s">
        <v>26570</v>
      </c>
      <c r="R9587" t="s">
        <v>26583</v>
      </c>
      <c r="S9587" t="s">
        <v>18959</v>
      </c>
      <c r="U9587" t="s">
        <v>26604</v>
      </c>
      <c r="V9587" t="s">
        <v>26610</v>
      </c>
      <c r="X9587">
        <v>1220</v>
      </c>
      <c r="Y9587" t="s">
        <v>26650</v>
      </c>
      <c r="Z9587" t="s">
        <v>26663</v>
      </c>
      <c r="AA9587" t="s">
        <v>26683</v>
      </c>
      <c r="AB9587" t="s">
        <v>30609</v>
      </c>
      <c r="AE9587">
        <v>50</v>
      </c>
      <c r="AF9587" t="s">
        <v>45541</v>
      </c>
      <c r="AG9587" t="s">
        <v>19330</v>
      </c>
      <c r="AH9587">
        <v>3</v>
      </c>
      <c r="AI9587">
        <v>1</v>
      </c>
      <c r="AJ9587">
        <v>0</v>
      </c>
      <c r="AK9587">
        <v>518.95</v>
      </c>
      <c r="AN9587" t="s">
        <v>7439</v>
      </c>
      <c r="AO9587">
        <v>63000</v>
      </c>
      <c r="AP9587" t="s">
        <v>46181</v>
      </c>
      <c r="AU9587">
        <v>1</v>
      </c>
      <c r="AV9587" t="s">
        <v>684</v>
      </c>
      <c r="AW9587" t="s">
        <v>169</v>
      </c>
    </row>
    <row r="9588" spans="1:49">
      <c r="A9588" s="1">
        <f>HYPERLINK("https://lsnyc.legalserver.org/matter/dynamic-profile/view/1886257","18-1886257")</f>
        <v>0</v>
      </c>
      <c r="B9588" t="s">
        <v>286</v>
      </c>
      <c r="C9588" t="s">
        <v>341</v>
      </c>
      <c r="D9588" t="s">
        <v>684</v>
      </c>
      <c r="E9588" t="s">
        <v>703</v>
      </c>
      <c r="F9588" t="s">
        <v>1374</v>
      </c>
      <c r="G9588" t="s">
        <v>9104</v>
      </c>
      <c r="H9588" t="s">
        <v>16179</v>
      </c>
      <c r="I9588" t="s">
        <v>18697</v>
      </c>
      <c r="J9588" t="s">
        <v>18894</v>
      </c>
      <c r="K9588">
        <v>11208</v>
      </c>
      <c r="L9588" t="s">
        <v>18960</v>
      </c>
      <c r="M9588" t="s">
        <v>18960</v>
      </c>
      <c r="O9588" t="s">
        <v>26524</v>
      </c>
      <c r="P9588" t="s">
        <v>26564</v>
      </c>
      <c r="Q9588" t="s">
        <v>26570</v>
      </c>
      <c r="R9588" t="s">
        <v>26578</v>
      </c>
      <c r="S9588" t="s">
        <v>18959</v>
      </c>
      <c r="U9588" t="s">
        <v>26604</v>
      </c>
      <c r="X9588">
        <v>650</v>
      </c>
      <c r="Y9588" t="s">
        <v>26652</v>
      </c>
      <c r="Z9588" t="s">
        <v>26673</v>
      </c>
      <c r="AA9588" t="s">
        <v>26683</v>
      </c>
      <c r="AB9588" t="s">
        <v>32746</v>
      </c>
      <c r="AE9588">
        <v>5</v>
      </c>
      <c r="AF9588" t="s">
        <v>20460</v>
      </c>
      <c r="AG9588" t="s">
        <v>19330</v>
      </c>
      <c r="AH9588">
        <v>1</v>
      </c>
      <c r="AI9588">
        <v>1</v>
      </c>
      <c r="AJ9588">
        <v>0</v>
      </c>
      <c r="AK9588">
        <v>83.03</v>
      </c>
      <c r="AN9588" t="s">
        <v>7439</v>
      </c>
      <c r="AO9588">
        <v>10080</v>
      </c>
      <c r="AU9588">
        <v>0.86</v>
      </c>
      <c r="AV9588" t="s">
        <v>713</v>
      </c>
      <c r="AW9588" t="s">
        <v>46860</v>
      </c>
    </row>
    <row r="9589" spans="1:49">
      <c r="A9589" s="1">
        <f>HYPERLINK("https://lsnyc.legalserver.org/matter/dynamic-profile/view/1886291","18-1886291")</f>
        <v>0</v>
      </c>
      <c r="B9589" t="s">
        <v>296</v>
      </c>
      <c r="C9589" t="s">
        <v>341</v>
      </c>
      <c r="D9589" t="s">
        <v>684</v>
      </c>
      <c r="E9589" t="s">
        <v>677</v>
      </c>
      <c r="F9589" t="s">
        <v>1587</v>
      </c>
      <c r="G9589" t="s">
        <v>5026</v>
      </c>
      <c r="H9589" t="s">
        <v>16180</v>
      </c>
      <c r="I9589" t="s">
        <v>17293</v>
      </c>
      <c r="J9589" t="s">
        <v>18894</v>
      </c>
      <c r="K9589">
        <v>11213</v>
      </c>
      <c r="L9589" t="s">
        <v>18960</v>
      </c>
      <c r="M9589" t="s">
        <v>18960</v>
      </c>
      <c r="N9589" t="s">
        <v>25604</v>
      </c>
      <c r="O9589" t="s">
        <v>26525</v>
      </c>
      <c r="P9589" t="s">
        <v>26564</v>
      </c>
      <c r="Q9589" t="s">
        <v>26570</v>
      </c>
      <c r="R9589" t="s">
        <v>26586</v>
      </c>
      <c r="S9589" t="s">
        <v>18959</v>
      </c>
      <c r="U9589" t="s">
        <v>26605</v>
      </c>
      <c r="X9589">
        <v>0</v>
      </c>
      <c r="Y9589" t="s">
        <v>26652</v>
      </c>
      <c r="Z9589" t="s">
        <v>26659</v>
      </c>
      <c r="AA9589" t="s">
        <v>26683</v>
      </c>
      <c r="AB9589" t="s">
        <v>33509</v>
      </c>
      <c r="AD9589" t="s">
        <v>44270</v>
      </c>
      <c r="AE9589">
        <v>110</v>
      </c>
      <c r="AF9589" t="s">
        <v>45549</v>
      </c>
      <c r="AG9589" t="s">
        <v>19330</v>
      </c>
      <c r="AH9589">
        <v>8</v>
      </c>
      <c r="AI9589">
        <v>1</v>
      </c>
      <c r="AJ9589">
        <v>2</v>
      </c>
      <c r="AK9589">
        <v>62.56</v>
      </c>
      <c r="AN9589" t="s">
        <v>7439</v>
      </c>
      <c r="AO9589">
        <v>13000</v>
      </c>
      <c r="AU9589">
        <v>4.95</v>
      </c>
      <c r="AV9589" t="s">
        <v>732</v>
      </c>
      <c r="AW9589" t="s">
        <v>296</v>
      </c>
    </row>
    <row r="9590" spans="1:49">
      <c r="A9590" s="1">
        <f>HYPERLINK("https://lsnyc.legalserver.org/matter/dynamic-profile/view/1886293","18-1886293")</f>
        <v>0</v>
      </c>
      <c r="B9590" t="s">
        <v>209</v>
      </c>
      <c r="C9590" t="s">
        <v>341</v>
      </c>
      <c r="D9590" t="s">
        <v>684</v>
      </c>
      <c r="E9590" t="s">
        <v>732</v>
      </c>
      <c r="F9590" t="s">
        <v>1225</v>
      </c>
      <c r="G9590" t="s">
        <v>9105</v>
      </c>
      <c r="H9590" t="s">
        <v>10433</v>
      </c>
      <c r="I9590">
        <v>913</v>
      </c>
      <c r="J9590" t="s">
        <v>18905</v>
      </c>
      <c r="K9590">
        <v>11692</v>
      </c>
      <c r="L9590" t="s">
        <v>18960</v>
      </c>
      <c r="M9590" t="s">
        <v>18960</v>
      </c>
      <c r="N9590" t="s">
        <v>25605</v>
      </c>
      <c r="O9590" t="s">
        <v>26524</v>
      </c>
      <c r="P9590" t="s">
        <v>26564</v>
      </c>
      <c r="Q9590" t="s">
        <v>26570</v>
      </c>
      <c r="R9590" t="s">
        <v>26591</v>
      </c>
      <c r="U9590" t="s">
        <v>26604</v>
      </c>
      <c r="X9590">
        <v>1675</v>
      </c>
      <c r="Y9590" t="s">
        <v>26653</v>
      </c>
      <c r="Z9590" t="s">
        <v>26673</v>
      </c>
      <c r="AA9590" t="s">
        <v>26683</v>
      </c>
      <c r="AB9590" t="s">
        <v>33510</v>
      </c>
      <c r="AE9590">
        <v>220</v>
      </c>
      <c r="AF9590" t="s">
        <v>20460</v>
      </c>
      <c r="AG9590" t="s">
        <v>19330</v>
      </c>
      <c r="AH9590">
        <v>1</v>
      </c>
      <c r="AI9590">
        <v>1</v>
      </c>
      <c r="AJ9590">
        <v>0</v>
      </c>
      <c r="AK9590">
        <v>119.93</v>
      </c>
      <c r="AN9590" t="s">
        <v>7439</v>
      </c>
      <c r="AO9590">
        <v>14560</v>
      </c>
      <c r="AU9590">
        <v>1.1</v>
      </c>
      <c r="AV9590" t="s">
        <v>684</v>
      </c>
      <c r="AW9590" t="s">
        <v>46846</v>
      </c>
    </row>
    <row r="9591" spans="1:49">
      <c r="A9591" s="1">
        <f>HYPERLINK("https://lsnyc.legalserver.org/matter/dynamic-profile/view/1886246","18-1886246")</f>
        <v>0</v>
      </c>
      <c r="B9591" t="s">
        <v>249</v>
      </c>
      <c r="C9591" t="s">
        <v>341</v>
      </c>
      <c r="D9591" t="s">
        <v>684</v>
      </c>
      <c r="E9591" t="s">
        <v>782</v>
      </c>
      <c r="F9591" t="s">
        <v>4504</v>
      </c>
      <c r="G9591" t="s">
        <v>8981</v>
      </c>
      <c r="H9591" t="s">
        <v>15955</v>
      </c>
      <c r="I9591">
        <v>2</v>
      </c>
      <c r="J9591" t="s">
        <v>18894</v>
      </c>
      <c r="K9591">
        <v>11207</v>
      </c>
      <c r="L9591" t="s">
        <v>18960</v>
      </c>
      <c r="M9591" t="s">
        <v>18960</v>
      </c>
      <c r="N9591" t="s">
        <v>25606</v>
      </c>
      <c r="O9591" t="s">
        <v>26524</v>
      </c>
      <c r="Q9591" t="s">
        <v>26570</v>
      </c>
      <c r="R9591" t="s">
        <v>26591</v>
      </c>
      <c r="S9591" t="s">
        <v>18959</v>
      </c>
      <c r="U9591" t="s">
        <v>26604</v>
      </c>
      <c r="X9591">
        <v>1213</v>
      </c>
      <c r="Y9591" t="s">
        <v>26652</v>
      </c>
      <c r="Z9591" t="s">
        <v>26659</v>
      </c>
      <c r="AA9591" t="s">
        <v>26683</v>
      </c>
      <c r="AB9591" t="s">
        <v>33511</v>
      </c>
      <c r="AD9591" t="s">
        <v>44015</v>
      </c>
      <c r="AE9591">
        <v>3</v>
      </c>
      <c r="AF9591" t="s">
        <v>20460</v>
      </c>
      <c r="AG9591" t="s">
        <v>45560</v>
      </c>
      <c r="AH9591">
        <v>8</v>
      </c>
      <c r="AI9591">
        <v>1</v>
      </c>
      <c r="AJ9591">
        <v>0</v>
      </c>
      <c r="AK9591">
        <v>30.25</v>
      </c>
      <c r="AN9591" t="s">
        <v>7439</v>
      </c>
      <c r="AO9591">
        <v>3672</v>
      </c>
      <c r="AU9591">
        <v>0.5</v>
      </c>
      <c r="AV9591" t="s">
        <v>684</v>
      </c>
      <c r="AW9591" t="s">
        <v>46841</v>
      </c>
    </row>
    <row r="9592" spans="1:49">
      <c r="A9592" s="1">
        <f>HYPERLINK("https://lsnyc.legalserver.org/matter/dynamic-profile/view/1886300","18-1886300")</f>
        <v>0</v>
      </c>
      <c r="B9592" t="s">
        <v>226</v>
      </c>
      <c r="C9592" t="s">
        <v>341</v>
      </c>
      <c r="D9592" t="s">
        <v>684</v>
      </c>
      <c r="E9592" t="s">
        <v>684</v>
      </c>
      <c r="F9592" t="s">
        <v>1599</v>
      </c>
      <c r="G9592" t="s">
        <v>4336</v>
      </c>
      <c r="H9592" t="s">
        <v>14269</v>
      </c>
      <c r="I9592" t="s">
        <v>17276</v>
      </c>
      <c r="J9592" t="s">
        <v>18892</v>
      </c>
      <c r="K9592">
        <v>10452</v>
      </c>
      <c r="L9592" t="s">
        <v>18958</v>
      </c>
      <c r="M9592" t="s">
        <v>18959</v>
      </c>
      <c r="O9592" t="s">
        <v>18997</v>
      </c>
      <c r="P9592" t="s">
        <v>26564</v>
      </c>
      <c r="Q9592" t="s">
        <v>26570</v>
      </c>
      <c r="R9592" t="s">
        <v>26591</v>
      </c>
      <c r="S9592" t="s">
        <v>18959</v>
      </c>
      <c r="U9592" t="s">
        <v>26604</v>
      </c>
      <c r="X9592">
        <v>867</v>
      </c>
      <c r="Y9592" t="s">
        <v>26650</v>
      </c>
      <c r="Z9592" t="s">
        <v>26663</v>
      </c>
      <c r="AA9592" t="s">
        <v>26683</v>
      </c>
      <c r="AB9592" t="s">
        <v>27949</v>
      </c>
      <c r="AE9592">
        <v>48</v>
      </c>
      <c r="AF9592" t="s">
        <v>45541</v>
      </c>
      <c r="AG9592" t="s">
        <v>19330</v>
      </c>
      <c r="AH9592">
        <v>17</v>
      </c>
      <c r="AI9592">
        <v>2</v>
      </c>
      <c r="AJ9592">
        <v>1</v>
      </c>
      <c r="AK9592">
        <v>173.24</v>
      </c>
      <c r="AN9592" t="s">
        <v>45581</v>
      </c>
      <c r="AO9592">
        <v>36000</v>
      </c>
      <c r="AP9592" t="s">
        <v>46182</v>
      </c>
      <c r="AU9592">
        <v>1.5</v>
      </c>
      <c r="AV9592" t="s">
        <v>684</v>
      </c>
      <c r="AW9592" t="s">
        <v>226</v>
      </c>
    </row>
    <row r="9593" spans="1:49">
      <c r="A9593" s="1">
        <f>HYPERLINK("https://lsnyc.legalserver.org/matter/dynamic-profile/view/1886298","18-1886298")</f>
        <v>0</v>
      </c>
      <c r="B9593" t="s">
        <v>197</v>
      </c>
      <c r="C9593" t="s">
        <v>340</v>
      </c>
      <c r="D9593" t="s">
        <v>684</v>
      </c>
      <c r="F9593" t="s">
        <v>4600</v>
      </c>
      <c r="G9593" t="s">
        <v>945</v>
      </c>
      <c r="H9593" t="s">
        <v>16181</v>
      </c>
      <c r="J9593" t="s">
        <v>18894</v>
      </c>
      <c r="K9593">
        <v>11236</v>
      </c>
      <c r="L9593" t="s">
        <v>18959</v>
      </c>
      <c r="M9593" t="s">
        <v>18959</v>
      </c>
      <c r="N9593" t="s">
        <v>19037</v>
      </c>
      <c r="O9593" t="s">
        <v>18997</v>
      </c>
      <c r="R9593" t="s">
        <v>26583</v>
      </c>
      <c r="S9593" t="s">
        <v>18959</v>
      </c>
      <c r="U9593" t="s">
        <v>26604</v>
      </c>
      <c r="V9593" t="s">
        <v>26610</v>
      </c>
      <c r="X9593">
        <v>2000</v>
      </c>
      <c r="Y9593" t="s">
        <v>26652</v>
      </c>
      <c r="Z9593" t="s">
        <v>26659</v>
      </c>
      <c r="AB9593" t="s">
        <v>30938</v>
      </c>
      <c r="AC9593" t="s">
        <v>19330</v>
      </c>
      <c r="AD9593" t="s">
        <v>44271</v>
      </c>
      <c r="AE9593">
        <v>3</v>
      </c>
      <c r="AF9593" t="s">
        <v>45547</v>
      </c>
      <c r="AG9593" t="s">
        <v>19330</v>
      </c>
      <c r="AH9593">
        <v>1</v>
      </c>
      <c r="AI9593">
        <v>2</v>
      </c>
      <c r="AJ9593">
        <v>2</v>
      </c>
      <c r="AK9593">
        <v>176.1</v>
      </c>
      <c r="AN9593" t="s">
        <v>7439</v>
      </c>
      <c r="AO9593">
        <v>44200</v>
      </c>
      <c r="AU9593">
        <v>5</v>
      </c>
      <c r="AV9593" t="s">
        <v>791</v>
      </c>
      <c r="AW9593" t="s">
        <v>279</v>
      </c>
    </row>
    <row r="9594" spans="1:49">
      <c r="A9594" s="1">
        <f>HYPERLINK("https://lsnyc.legalserver.org/matter/dynamic-profile/view/1886223","18-1886223")</f>
        <v>0</v>
      </c>
      <c r="B9594" t="s">
        <v>208</v>
      </c>
      <c r="C9594" t="s">
        <v>340</v>
      </c>
      <c r="D9594" t="s">
        <v>684</v>
      </c>
      <c r="F9594" t="s">
        <v>2405</v>
      </c>
      <c r="G9594" t="s">
        <v>9106</v>
      </c>
      <c r="H9594" t="s">
        <v>16182</v>
      </c>
      <c r="I9594" t="s">
        <v>17316</v>
      </c>
      <c r="J9594" t="s">
        <v>18900</v>
      </c>
      <c r="K9594">
        <v>11355</v>
      </c>
      <c r="L9594" t="s">
        <v>18959</v>
      </c>
      <c r="M9594" t="s">
        <v>18959</v>
      </c>
      <c r="N9594" t="s">
        <v>25607</v>
      </c>
      <c r="O9594" t="s">
        <v>26524</v>
      </c>
      <c r="P9594" t="s">
        <v>26563</v>
      </c>
      <c r="R9594" t="s">
        <v>26578</v>
      </c>
      <c r="S9594" t="s">
        <v>18959</v>
      </c>
      <c r="U9594" t="s">
        <v>26604</v>
      </c>
      <c r="X9594">
        <v>1340</v>
      </c>
      <c r="Y9594" t="s">
        <v>26653</v>
      </c>
      <c r="Z9594" t="s">
        <v>26664</v>
      </c>
      <c r="AB9594" t="s">
        <v>28867</v>
      </c>
      <c r="AD9594" t="s">
        <v>44272</v>
      </c>
      <c r="AE9594">
        <v>6</v>
      </c>
      <c r="AF9594" t="s">
        <v>20460</v>
      </c>
      <c r="AG9594" t="s">
        <v>19330</v>
      </c>
      <c r="AH9594">
        <v>13</v>
      </c>
      <c r="AI9594">
        <v>3</v>
      </c>
      <c r="AJ9594">
        <v>0</v>
      </c>
      <c r="AK9594">
        <v>182.87</v>
      </c>
      <c r="AN9594" t="s">
        <v>7439</v>
      </c>
      <c r="AO9594">
        <v>38000</v>
      </c>
      <c r="AU9594">
        <v>0</v>
      </c>
      <c r="AW9594" t="s">
        <v>208</v>
      </c>
    </row>
    <row r="9595" spans="1:49">
      <c r="A9595" s="1">
        <f>HYPERLINK("https://lsnyc.legalserver.org/matter/dynamic-profile/view/1886242","18-1886242")</f>
        <v>0</v>
      </c>
      <c r="B9595" t="s">
        <v>208</v>
      </c>
      <c r="C9595" t="s">
        <v>340</v>
      </c>
      <c r="D9595" t="s">
        <v>684</v>
      </c>
      <c r="F9595" t="s">
        <v>868</v>
      </c>
      <c r="G9595" t="s">
        <v>9107</v>
      </c>
      <c r="H9595" t="s">
        <v>16183</v>
      </c>
      <c r="I9595" t="s">
        <v>17491</v>
      </c>
      <c r="J9595" t="s">
        <v>18923</v>
      </c>
      <c r="K9595">
        <v>11418</v>
      </c>
      <c r="L9595" t="s">
        <v>18958</v>
      </c>
      <c r="M9595" t="s">
        <v>18958</v>
      </c>
      <c r="N9595" t="s">
        <v>25608</v>
      </c>
      <c r="O9595" t="s">
        <v>26524</v>
      </c>
      <c r="P9595" t="s">
        <v>26563</v>
      </c>
      <c r="R9595" t="s">
        <v>26584</v>
      </c>
      <c r="S9595" t="s">
        <v>18959</v>
      </c>
      <c r="U9595" t="s">
        <v>26604</v>
      </c>
      <c r="X9595">
        <v>1400</v>
      </c>
      <c r="Y9595" t="s">
        <v>26653</v>
      </c>
      <c r="Z9595" t="s">
        <v>26664</v>
      </c>
      <c r="AB9595" t="s">
        <v>33512</v>
      </c>
      <c r="AC9595" t="s">
        <v>36650</v>
      </c>
      <c r="AD9595" t="s">
        <v>44273</v>
      </c>
      <c r="AE9595">
        <v>0</v>
      </c>
      <c r="AF9595" t="s">
        <v>20460</v>
      </c>
      <c r="AG9595" t="s">
        <v>45556</v>
      </c>
      <c r="AH9595">
        <v>21</v>
      </c>
      <c r="AI9595">
        <v>1</v>
      </c>
      <c r="AJ9595">
        <v>0</v>
      </c>
      <c r="AK9595">
        <v>79.08</v>
      </c>
      <c r="AN9595" t="s">
        <v>7439</v>
      </c>
      <c r="AO9595">
        <v>9600</v>
      </c>
      <c r="AU9595">
        <v>0</v>
      </c>
      <c r="AW9595" t="s">
        <v>208</v>
      </c>
    </row>
    <row r="9596" spans="1:49">
      <c r="A9596" s="1">
        <f>HYPERLINK("https://lsnyc.legalserver.org/matter/dynamic-profile/view/1886294","18-1886294")</f>
        <v>0</v>
      </c>
      <c r="B9596" t="s">
        <v>117</v>
      </c>
      <c r="C9596" t="s">
        <v>340</v>
      </c>
      <c r="D9596" t="s">
        <v>684</v>
      </c>
      <c r="F9596" t="s">
        <v>994</v>
      </c>
      <c r="G9596" t="s">
        <v>9108</v>
      </c>
      <c r="H9596" t="s">
        <v>16184</v>
      </c>
      <c r="I9596" t="s">
        <v>17564</v>
      </c>
      <c r="J9596" t="s">
        <v>18894</v>
      </c>
      <c r="K9596">
        <v>11207</v>
      </c>
      <c r="L9596" t="s">
        <v>18960</v>
      </c>
      <c r="M9596" t="s">
        <v>18960</v>
      </c>
      <c r="N9596" t="s">
        <v>25609</v>
      </c>
      <c r="O9596" t="s">
        <v>26523</v>
      </c>
      <c r="R9596" t="s">
        <v>26591</v>
      </c>
      <c r="S9596" t="s">
        <v>18959</v>
      </c>
      <c r="U9596" t="s">
        <v>26604</v>
      </c>
      <c r="X9596">
        <v>1362</v>
      </c>
      <c r="Y9596" t="s">
        <v>26652</v>
      </c>
      <c r="AB9596" t="s">
        <v>33513</v>
      </c>
      <c r="AD9596" t="s">
        <v>44274</v>
      </c>
      <c r="AE9596">
        <v>2</v>
      </c>
      <c r="AF9596" t="s">
        <v>45547</v>
      </c>
      <c r="AG9596" t="s">
        <v>45560</v>
      </c>
      <c r="AH9596">
        <v>2</v>
      </c>
      <c r="AI9596">
        <v>1</v>
      </c>
      <c r="AJ9596">
        <v>0</v>
      </c>
      <c r="AK9596">
        <v>171.33</v>
      </c>
      <c r="AN9596" t="s">
        <v>7439</v>
      </c>
      <c r="AO9596">
        <v>20800</v>
      </c>
      <c r="AU9596">
        <v>7.1</v>
      </c>
      <c r="AV9596" t="s">
        <v>574</v>
      </c>
      <c r="AW9596" t="s">
        <v>46857</v>
      </c>
    </row>
    <row r="9597" spans="1:49">
      <c r="A9597" s="1">
        <f>HYPERLINK("https://lsnyc.legalserver.org/matter/dynamic-profile/view/1887538","19-1887538")</f>
        <v>0</v>
      </c>
      <c r="B9597" t="s">
        <v>186</v>
      </c>
      <c r="C9597" t="s">
        <v>340</v>
      </c>
      <c r="D9597" t="s">
        <v>684</v>
      </c>
      <c r="F9597" t="s">
        <v>2306</v>
      </c>
      <c r="G9597" t="s">
        <v>5691</v>
      </c>
      <c r="H9597" t="s">
        <v>16185</v>
      </c>
      <c r="I9597" t="s">
        <v>17576</v>
      </c>
      <c r="J9597" t="s">
        <v>18894</v>
      </c>
      <c r="K9597">
        <v>11233</v>
      </c>
      <c r="L9597" t="s">
        <v>18960</v>
      </c>
      <c r="M9597" t="s">
        <v>18960</v>
      </c>
      <c r="O9597" t="s">
        <v>26524</v>
      </c>
      <c r="P9597" t="s">
        <v>26560</v>
      </c>
      <c r="R9597" t="s">
        <v>26578</v>
      </c>
      <c r="S9597" t="s">
        <v>18959</v>
      </c>
      <c r="U9597" t="s">
        <v>26604</v>
      </c>
      <c r="X9597">
        <v>1550</v>
      </c>
      <c r="Y9597" t="s">
        <v>26652</v>
      </c>
      <c r="Z9597" t="s">
        <v>26659</v>
      </c>
      <c r="AB9597" t="s">
        <v>33514</v>
      </c>
      <c r="AD9597" t="s">
        <v>44275</v>
      </c>
      <c r="AE9597">
        <v>0</v>
      </c>
      <c r="AH9597">
        <v>9</v>
      </c>
      <c r="AI9597">
        <v>2</v>
      </c>
      <c r="AJ9597">
        <v>0</v>
      </c>
      <c r="AK9597">
        <v>68.38</v>
      </c>
      <c r="AN9597" t="s">
        <v>7439</v>
      </c>
      <c r="AO9597">
        <v>11256</v>
      </c>
      <c r="AU9597">
        <v>6.75</v>
      </c>
      <c r="AV9597" t="s">
        <v>810</v>
      </c>
      <c r="AW9597" t="s">
        <v>46882</v>
      </c>
    </row>
    <row r="9598" spans="1:49">
      <c r="A9598" s="1">
        <f>HYPERLINK("https://lsnyc.legalserver.org/matter/dynamic-profile/view/1886198","18-1886198")</f>
        <v>0</v>
      </c>
      <c r="B9598" t="s">
        <v>84</v>
      </c>
      <c r="C9598" t="s">
        <v>340</v>
      </c>
      <c r="D9598" t="s">
        <v>684</v>
      </c>
      <c r="F9598" t="s">
        <v>1457</v>
      </c>
      <c r="G9598" t="s">
        <v>5269</v>
      </c>
      <c r="H9598" t="s">
        <v>10209</v>
      </c>
      <c r="I9598" t="s">
        <v>18698</v>
      </c>
      <c r="J9598" t="s">
        <v>18893</v>
      </c>
      <c r="K9598">
        <v>10031</v>
      </c>
      <c r="L9598" t="s">
        <v>18958</v>
      </c>
      <c r="M9598" t="s">
        <v>18958</v>
      </c>
      <c r="N9598" t="s">
        <v>25610</v>
      </c>
      <c r="O9598" t="s">
        <v>26523</v>
      </c>
      <c r="P9598" t="s">
        <v>26560</v>
      </c>
      <c r="R9598" t="s">
        <v>26580</v>
      </c>
      <c r="S9598" t="s">
        <v>18959</v>
      </c>
      <c r="U9598" t="s">
        <v>26604</v>
      </c>
      <c r="X9598">
        <v>200</v>
      </c>
      <c r="Y9598" t="s">
        <v>26651</v>
      </c>
      <c r="Z9598" t="s">
        <v>26664</v>
      </c>
      <c r="AB9598" t="s">
        <v>33515</v>
      </c>
      <c r="AD9598" t="s">
        <v>44276</v>
      </c>
      <c r="AE9598">
        <v>0</v>
      </c>
      <c r="AF9598" t="s">
        <v>45550</v>
      </c>
      <c r="AG9598" t="s">
        <v>45556</v>
      </c>
      <c r="AH9598">
        <v>43</v>
      </c>
      <c r="AI9598">
        <v>2</v>
      </c>
      <c r="AJ9598">
        <v>0</v>
      </c>
      <c r="AK9598">
        <v>68.31</v>
      </c>
      <c r="AN9598" t="s">
        <v>7439</v>
      </c>
      <c r="AO9598">
        <v>11244</v>
      </c>
      <c r="AU9598">
        <v>8</v>
      </c>
      <c r="AV9598" t="s">
        <v>753</v>
      </c>
      <c r="AW9598" t="s">
        <v>314</v>
      </c>
    </row>
    <row r="9599" spans="1:49">
      <c r="A9599" s="1">
        <f>HYPERLINK("https://lsnyc.legalserver.org/matter/dynamic-profile/view/1886303","18-1886303")</f>
        <v>0</v>
      </c>
      <c r="B9599" t="s">
        <v>200</v>
      </c>
      <c r="C9599" t="s">
        <v>340</v>
      </c>
      <c r="D9599" t="s">
        <v>684</v>
      </c>
      <c r="F9599" t="s">
        <v>4600</v>
      </c>
      <c r="G9599" t="s">
        <v>945</v>
      </c>
      <c r="H9599" t="s">
        <v>16181</v>
      </c>
      <c r="I9599" t="s">
        <v>18699</v>
      </c>
      <c r="J9599" t="s">
        <v>18894</v>
      </c>
      <c r="K9599">
        <v>11236</v>
      </c>
      <c r="L9599" t="s">
        <v>18959</v>
      </c>
      <c r="M9599" t="s">
        <v>18959</v>
      </c>
      <c r="N9599" t="s">
        <v>18997</v>
      </c>
      <c r="O9599" t="s">
        <v>18997</v>
      </c>
      <c r="R9599" t="s">
        <v>26578</v>
      </c>
      <c r="S9599" t="s">
        <v>18959</v>
      </c>
      <c r="U9599" t="s">
        <v>26604</v>
      </c>
      <c r="V9599" t="s">
        <v>26610</v>
      </c>
      <c r="X9599">
        <v>2000</v>
      </c>
      <c r="Y9599" t="s">
        <v>26652</v>
      </c>
      <c r="Z9599" t="s">
        <v>26659</v>
      </c>
      <c r="AB9599" t="s">
        <v>30938</v>
      </c>
      <c r="AC9599" t="s">
        <v>19330</v>
      </c>
      <c r="AD9599" t="s">
        <v>44271</v>
      </c>
      <c r="AE9599">
        <v>3</v>
      </c>
      <c r="AF9599" t="s">
        <v>45547</v>
      </c>
      <c r="AG9599" t="s">
        <v>19330</v>
      </c>
      <c r="AH9599">
        <v>1</v>
      </c>
      <c r="AI9599">
        <v>2</v>
      </c>
      <c r="AJ9599">
        <v>2</v>
      </c>
      <c r="AK9599">
        <v>176.1</v>
      </c>
      <c r="AN9599" t="s">
        <v>7439</v>
      </c>
      <c r="AO9599">
        <v>44200</v>
      </c>
      <c r="AU9599">
        <v>0</v>
      </c>
      <c r="AW9599" t="s">
        <v>279</v>
      </c>
    </row>
    <row r="9600" spans="1:49">
      <c r="A9600" s="1">
        <f>HYPERLINK("https://lsnyc.legalserver.org/matter/dynamic-profile/view/1886283","18-1886283")</f>
        <v>0</v>
      </c>
      <c r="B9600" t="s">
        <v>114</v>
      </c>
      <c r="C9600" t="s">
        <v>340</v>
      </c>
      <c r="D9600" t="s">
        <v>684</v>
      </c>
      <c r="F9600" t="s">
        <v>928</v>
      </c>
      <c r="G9600" t="s">
        <v>9109</v>
      </c>
      <c r="H9600" t="s">
        <v>16186</v>
      </c>
      <c r="J9600" t="s">
        <v>18955</v>
      </c>
      <c r="K9600">
        <v>11693</v>
      </c>
      <c r="L9600" t="s">
        <v>18960</v>
      </c>
      <c r="M9600" t="s">
        <v>18960</v>
      </c>
      <c r="N9600" t="s">
        <v>25611</v>
      </c>
      <c r="O9600" t="s">
        <v>26524</v>
      </c>
      <c r="P9600" t="s">
        <v>26563</v>
      </c>
      <c r="R9600" t="s">
        <v>26584</v>
      </c>
      <c r="S9600" t="s">
        <v>18959</v>
      </c>
      <c r="U9600" t="s">
        <v>26604</v>
      </c>
      <c r="V9600" t="s">
        <v>26610</v>
      </c>
      <c r="X9600">
        <v>1200</v>
      </c>
      <c r="Y9600" t="s">
        <v>26653</v>
      </c>
      <c r="Z9600" t="s">
        <v>26664</v>
      </c>
      <c r="AB9600" t="s">
        <v>33516</v>
      </c>
      <c r="AD9600" t="s">
        <v>44277</v>
      </c>
      <c r="AE9600">
        <v>1</v>
      </c>
      <c r="AH9600">
        <v>7</v>
      </c>
      <c r="AI9600">
        <v>1</v>
      </c>
      <c r="AJ9600">
        <v>0</v>
      </c>
      <c r="AK9600">
        <v>0</v>
      </c>
      <c r="AN9600" t="s">
        <v>7439</v>
      </c>
      <c r="AO9600">
        <v>0</v>
      </c>
      <c r="AU9600">
        <v>0</v>
      </c>
      <c r="AW9600" t="s">
        <v>110</v>
      </c>
    </row>
    <row r="9601" spans="1:49">
      <c r="A9601" s="1">
        <f>HYPERLINK("https://lsnyc.legalserver.org/matter/dynamic-profile/view/1886301","18-1886301")</f>
        <v>0</v>
      </c>
      <c r="B9601" t="s">
        <v>114</v>
      </c>
      <c r="C9601" t="s">
        <v>340</v>
      </c>
      <c r="D9601" t="s">
        <v>684</v>
      </c>
      <c r="F9601" t="s">
        <v>1062</v>
      </c>
      <c r="G9601" t="s">
        <v>2502</v>
      </c>
      <c r="H9601" t="s">
        <v>16187</v>
      </c>
      <c r="I9601" t="s">
        <v>17415</v>
      </c>
      <c r="J9601" t="s">
        <v>18931</v>
      </c>
      <c r="K9601">
        <v>11412</v>
      </c>
      <c r="L9601" t="s">
        <v>18958</v>
      </c>
      <c r="M9601" t="s">
        <v>18958</v>
      </c>
      <c r="N9601" t="s">
        <v>25612</v>
      </c>
      <c r="O9601" t="s">
        <v>26524</v>
      </c>
      <c r="R9601" t="s">
        <v>26584</v>
      </c>
      <c r="S9601" t="s">
        <v>18959</v>
      </c>
      <c r="U9601" t="s">
        <v>26604</v>
      </c>
      <c r="X9601">
        <v>2500</v>
      </c>
      <c r="Y9601" t="s">
        <v>26653</v>
      </c>
      <c r="Z9601" t="s">
        <v>26664</v>
      </c>
      <c r="AB9601" t="s">
        <v>33517</v>
      </c>
      <c r="AD9601" t="s">
        <v>44278</v>
      </c>
      <c r="AE9601">
        <v>2</v>
      </c>
      <c r="AF9601" t="s">
        <v>45547</v>
      </c>
      <c r="AG9601" t="s">
        <v>19330</v>
      </c>
      <c r="AH9601">
        <v>1</v>
      </c>
      <c r="AI9601">
        <v>2</v>
      </c>
      <c r="AJ9601">
        <v>0</v>
      </c>
      <c r="AK9601">
        <v>189.55</v>
      </c>
      <c r="AN9601" t="s">
        <v>7439</v>
      </c>
      <c r="AO9601">
        <v>31200</v>
      </c>
      <c r="AU9601">
        <v>0.45</v>
      </c>
      <c r="AV9601" t="s">
        <v>745</v>
      </c>
      <c r="AW9601" t="s">
        <v>122</v>
      </c>
    </row>
    <row r="9602" spans="1:49">
      <c r="A9602" s="1">
        <f>HYPERLINK("https://lsnyc.legalserver.org/matter/dynamic-profile/view/1886287","18-1886287")</f>
        <v>0</v>
      </c>
      <c r="B9602" t="s">
        <v>235</v>
      </c>
      <c r="C9602" t="s">
        <v>340</v>
      </c>
      <c r="D9602" t="s">
        <v>684</v>
      </c>
      <c r="F9602" t="s">
        <v>1329</v>
      </c>
      <c r="G9602" t="s">
        <v>9110</v>
      </c>
      <c r="H9602" t="s">
        <v>16188</v>
      </c>
      <c r="I9602">
        <v>1</v>
      </c>
      <c r="J9602" t="s">
        <v>18905</v>
      </c>
      <c r="K9602">
        <v>11692</v>
      </c>
      <c r="L9602" t="s">
        <v>18958</v>
      </c>
      <c r="M9602" t="s">
        <v>18958</v>
      </c>
      <c r="N9602" t="s">
        <v>25613</v>
      </c>
      <c r="O9602" t="s">
        <v>26524</v>
      </c>
      <c r="R9602" t="s">
        <v>26578</v>
      </c>
      <c r="S9602" t="s">
        <v>18959</v>
      </c>
      <c r="U9602" t="s">
        <v>26604</v>
      </c>
      <c r="X9602">
        <v>0</v>
      </c>
      <c r="Y9602" t="s">
        <v>26653</v>
      </c>
      <c r="Z9602" t="s">
        <v>26664</v>
      </c>
      <c r="AB9602" t="s">
        <v>33518</v>
      </c>
      <c r="AD9602" t="s">
        <v>44279</v>
      </c>
      <c r="AE9602">
        <v>2</v>
      </c>
      <c r="AG9602" t="s">
        <v>19330</v>
      </c>
      <c r="AH9602">
        <v>8</v>
      </c>
      <c r="AI9602">
        <v>4</v>
      </c>
      <c r="AJ9602">
        <v>1</v>
      </c>
      <c r="AK9602">
        <v>135.96</v>
      </c>
      <c r="AN9602" t="s">
        <v>7439</v>
      </c>
      <c r="AO9602">
        <v>40000</v>
      </c>
      <c r="AU9602">
        <v>0.55</v>
      </c>
      <c r="AV9602" t="s">
        <v>786</v>
      </c>
      <c r="AW9602" t="s">
        <v>122</v>
      </c>
    </row>
    <row r="9603" spans="1:49">
      <c r="A9603" s="1">
        <f>HYPERLINK("https://lsnyc.legalserver.org/matter/dynamic-profile/view/1886297","18-1886297")</f>
        <v>0</v>
      </c>
      <c r="B9603" t="s">
        <v>125</v>
      </c>
      <c r="C9603" t="s">
        <v>340</v>
      </c>
      <c r="D9603" t="s">
        <v>684</v>
      </c>
      <c r="F9603" t="s">
        <v>4601</v>
      </c>
      <c r="G9603" t="s">
        <v>9111</v>
      </c>
      <c r="H9603" t="s">
        <v>16189</v>
      </c>
      <c r="I9603">
        <v>2</v>
      </c>
      <c r="J9603" t="s">
        <v>18894</v>
      </c>
      <c r="K9603">
        <v>11208</v>
      </c>
      <c r="L9603" t="s">
        <v>18959</v>
      </c>
      <c r="M9603" t="s">
        <v>18959</v>
      </c>
      <c r="N9603" t="s">
        <v>25614</v>
      </c>
      <c r="O9603" t="s">
        <v>26523</v>
      </c>
      <c r="R9603" t="s">
        <v>26591</v>
      </c>
      <c r="S9603" t="s">
        <v>18959</v>
      </c>
      <c r="U9603" t="s">
        <v>26604</v>
      </c>
      <c r="V9603" t="s">
        <v>26609</v>
      </c>
      <c r="X9603">
        <v>1956</v>
      </c>
      <c r="Y9603" t="s">
        <v>26652</v>
      </c>
      <c r="Z9603" t="s">
        <v>26661</v>
      </c>
      <c r="AB9603" t="s">
        <v>27165</v>
      </c>
      <c r="AC9603">
        <v>9423864</v>
      </c>
      <c r="AD9603" t="s">
        <v>44280</v>
      </c>
      <c r="AE9603">
        <v>2</v>
      </c>
      <c r="AG9603" t="s">
        <v>45558</v>
      </c>
      <c r="AH9603">
        <v>1</v>
      </c>
      <c r="AI9603">
        <v>1</v>
      </c>
      <c r="AJ9603">
        <v>5</v>
      </c>
      <c r="AK9603">
        <v>36.83</v>
      </c>
      <c r="AN9603" t="s">
        <v>7439</v>
      </c>
      <c r="AO9603">
        <v>12426</v>
      </c>
      <c r="AU9603">
        <v>2.5</v>
      </c>
      <c r="AV9603" t="s">
        <v>414</v>
      </c>
      <c r="AW9603" t="s">
        <v>46858</v>
      </c>
    </row>
    <row r="9604" spans="1:49">
      <c r="A9604" s="1">
        <f>HYPERLINK("https://lsnyc.legalserver.org/matter/dynamic-profile/view/1886353","18-1886353")</f>
        <v>0</v>
      </c>
      <c r="B9604" t="s">
        <v>98</v>
      </c>
      <c r="C9604" t="s">
        <v>341</v>
      </c>
      <c r="D9604" t="s">
        <v>703</v>
      </c>
      <c r="E9604" t="s">
        <v>753</v>
      </c>
      <c r="F9604" t="s">
        <v>1688</v>
      </c>
      <c r="G9604" t="s">
        <v>6498</v>
      </c>
      <c r="H9604" t="s">
        <v>16190</v>
      </c>
      <c r="I9604" t="s">
        <v>17272</v>
      </c>
      <c r="J9604" t="s">
        <v>18892</v>
      </c>
      <c r="K9604">
        <v>10453</v>
      </c>
      <c r="L9604" t="s">
        <v>18959</v>
      </c>
      <c r="M9604" t="s">
        <v>18958</v>
      </c>
      <c r="O9604" t="s">
        <v>18997</v>
      </c>
      <c r="P9604" t="s">
        <v>26564</v>
      </c>
      <c r="Q9604" t="s">
        <v>26570</v>
      </c>
      <c r="R9604" t="s">
        <v>26591</v>
      </c>
      <c r="S9604" t="s">
        <v>18959</v>
      </c>
      <c r="U9604" t="s">
        <v>26604</v>
      </c>
      <c r="X9604">
        <v>833.15</v>
      </c>
      <c r="Y9604" t="s">
        <v>26650</v>
      </c>
      <c r="Z9604" t="s">
        <v>26663</v>
      </c>
      <c r="AA9604" t="s">
        <v>26683</v>
      </c>
      <c r="AE9604">
        <v>65</v>
      </c>
      <c r="AF9604" t="s">
        <v>45541</v>
      </c>
      <c r="AG9604" t="s">
        <v>19330</v>
      </c>
      <c r="AH9604">
        <v>20</v>
      </c>
      <c r="AI9604">
        <v>2</v>
      </c>
      <c r="AJ9604">
        <v>0</v>
      </c>
      <c r="AK9604">
        <v>135.84</v>
      </c>
      <c r="AN9604" t="s">
        <v>7439</v>
      </c>
      <c r="AO9604">
        <v>22360</v>
      </c>
      <c r="AP9604" t="s">
        <v>46183</v>
      </c>
      <c r="AU9604">
        <v>2.7</v>
      </c>
      <c r="AV9604" t="s">
        <v>753</v>
      </c>
      <c r="AW9604" t="s">
        <v>98</v>
      </c>
    </row>
    <row r="9605" spans="1:49">
      <c r="A9605" s="1">
        <f>HYPERLINK("https://lsnyc.legalserver.org/matter/dynamic-profile/view/1886364","18-1886364")</f>
        <v>0</v>
      </c>
      <c r="B9605" t="s">
        <v>211</v>
      </c>
      <c r="C9605" t="s">
        <v>341</v>
      </c>
      <c r="D9605" t="s">
        <v>703</v>
      </c>
      <c r="E9605" t="s">
        <v>699</v>
      </c>
      <c r="F9605" t="s">
        <v>964</v>
      </c>
      <c r="G9605" t="s">
        <v>9112</v>
      </c>
      <c r="H9605" t="s">
        <v>11607</v>
      </c>
      <c r="I9605" t="s">
        <v>17425</v>
      </c>
      <c r="J9605" t="s">
        <v>18894</v>
      </c>
      <c r="K9605">
        <v>11213</v>
      </c>
      <c r="L9605" t="s">
        <v>18959</v>
      </c>
      <c r="M9605" t="s">
        <v>18959</v>
      </c>
      <c r="N9605" t="s">
        <v>25615</v>
      </c>
      <c r="O9605" t="s">
        <v>26523</v>
      </c>
      <c r="P9605" t="s">
        <v>26564</v>
      </c>
      <c r="Q9605" t="s">
        <v>26570</v>
      </c>
      <c r="R9605" t="s">
        <v>26589</v>
      </c>
      <c r="S9605" t="s">
        <v>18959</v>
      </c>
      <c r="U9605" t="s">
        <v>26605</v>
      </c>
      <c r="X9605">
        <v>975</v>
      </c>
      <c r="Y9605" t="s">
        <v>26652</v>
      </c>
      <c r="Z9605" t="s">
        <v>26530</v>
      </c>
      <c r="AA9605" t="s">
        <v>26683</v>
      </c>
      <c r="AB9605" t="s">
        <v>27657</v>
      </c>
      <c r="AE9605">
        <v>130</v>
      </c>
      <c r="AF9605" t="s">
        <v>45549</v>
      </c>
      <c r="AG9605" t="s">
        <v>45556</v>
      </c>
      <c r="AH9605">
        <v>35</v>
      </c>
      <c r="AI9605">
        <v>1</v>
      </c>
      <c r="AJ9605">
        <v>0</v>
      </c>
      <c r="AK9605">
        <v>0</v>
      </c>
      <c r="AN9605" t="s">
        <v>45585</v>
      </c>
      <c r="AO9605">
        <v>0</v>
      </c>
      <c r="AU9605">
        <v>0.4</v>
      </c>
      <c r="AV9605" t="s">
        <v>699</v>
      </c>
      <c r="AW9605" t="s">
        <v>286</v>
      </c>
    </row>
    <row r="9606" spans="1:49">
      <c r="A9606" s="1">
        <f>HYPERLINK("https://lsnyc.legalserver.org/matter/dynamic-profile/view/1886345","18-1886345")</f>
        <v>0</v>
      </c>
      <c r="B9606" t="s">
        <v>74</v>
      </c>
      <c r="C9606" t="s">
        <v>341</v>
      </c>
      <c r="D9606" t="s">
        <v>703</v>
      </c>
      <c r="E9606" t="s">
        <v>727</v>
      </c>
      <c r="F9606" t="s">
        <v>2644</v>
      </c>
      <c r="G9606" t="s">
        <v>994</v>
      </c>
      <c r="H9606" t="s">
        <v>16191</v>
      </c>
      <c r="I9606" t="s">
        <v>17320</v>
      </c>
      <c r="J9606" t="s">
        <v>18893</v>
      </c>
      <c r="K9606">
        <v>10030</v>
      </c>
      <c r="L9606" t="s">
        <v>18960</v>
      </c>
      <c r="M9606" t="s">
        <v>18960</v>
      </c>
      <c r="O9606" t="s">
        <v>26526</v>
      </c>
      <c r="P9606" t="s">
        <v>26564</v>
      </c>
      <c r="Q9606" t="s">
        <v>26571</v>
      </c>
      <c r="R9606" t="s">
        <v>26591</v>
      </c>
      <c r="S9606" t="s">
        <v>18958</v>
      </c>
      <c r="U9606" t="s">
        <v>26604</v>
      </c>
      <c r="X9606">
        <v>272</v>
      </c>
      <c r="Y9606" t="s">
        <v>26651</v>
      </c>
      <c r="Z9606" t="s">
        <v>26657</v>
      </c>
      <c r="AA9606" t="s">
        <v>26682</v>
      </c>
      <c r="AB9606" t="s">
        <v>33519</v>
      </c>
      <c r="AD9606" t="s">
        <v>44281</v>
      </c>
      <c r="AE9606">
        <v>240</v>
      </c>
      <c r="AF9606" t="s">
        <v>45549</v>
      </c>
      <c r="AG9606" t="s">
        <v>19330</v>
      </c>
      <c r="AH9606">
        <v>15</v>
      </c>
      <c r="AI9606">
        <v>1</v>
      </c>
      <c r="AJ9606">
        <v>0</v>
      </c>
      <c r="AK9606">
        <v>96.87</v>
      </c>
      <c r="AN9606" t="s">
        <v>7439</v>
      </c>
      <c r="AO9606">
        <v>11760</v>
      </c>
      <c r="AU9606">
        <v>0.66</v>
      </c>
      <c r="AV9606" t="s">
        <v>703</v>
      </c>
      <c r="AW9606" t="s">
        <v>46860</v>
      </c>
    </row>
    <row r="9607" spans="1:49">
      <c r="A9607" s="1">
        <f>HYPERLINK("https://lsnyc.legalserver.org/matter/dynamic-profile/view/1886322","18-1886322")</f>
        <v>0</v>
      </c>
      <c r="B9607" t="s">
        <v>320</v>
      </c>
      <c r="C9607" t="s">
        <v>341</v>
      </c>
      <c r="D9607" t="s">
        <v>703</v>
      </c>
      <c r="E9607" t="s">
        <v>758</v>
      </c>
      <c r="F9607" t="s">
        <v>1163</v>
      </c>
      <c r="G9607" t="s">
        <v>9113</v>
      </c>
      <c r="H9607" t="s">
        <v>16192</v>
      </c>
      <c r="I9607" t="s">
        <v>17730</v>
      </c>
      <c r="J9607" t="s">
        <v>18894</v>
      </c>
      <c r="K9607">
        <v>11225</v>
      </c>
      <c r="L9607" t="s">
        <v>18960</v>
      </c>
      <c r="M9607" t="s">
        <v>18960</v>
      </c>
      <c r="O9607" t="s">
        <v>18997</v>
      </c>
      <c r="Q9607" t="s">
        <v>26570</v>
      </c>
      <c r="R9607" t="s">
        <v>26591</v>
      </c>
      <c r="U9607" t="s">
        <v>26604</v>
      </c>
      <c r="X9607">
        <v>1338</v>
      </c>
      <c r="Y9607" t="s">
        <v>26652</v>
      </c>
      <c r="Z9607" t="s">
        <v>26659</v>
      </c>
      <c r="AA9607" t="s">
        <v>26683</v>
      </c>
      <c r="AB9607" t="s">
        <v>33520</v>
      </c>
      <c r="AD9607" t="s">
        <v>44282</v>
      </c>
      <c r="AE9607">
        <v>11</v>
      </c>
      <c r="AF9607" t="s">
        <v>45541</v>
      </c>
      <c r="AG9607" t="s">
        <v>19330</v>
      </c>
      <c r="AH9607">
        <v>12</v>
      </c>
      <c r="AI9607">
        <v>1</v>
      </c>
      <c r="AJ9607">
        <v>0</v>
      </c>
      <c r="AK9607">
        <v>82.37</v>
      </c>
      <c r="AN9607" t="s">
        <v>7439</v>
      </c>
      <c r="AO9607">
        <v>10000</v>
      </c>
      <c r="AU9607">
        <v>1.65</v>
      </c>
      <c r="AV9607" t="s">
        <v>758</v>
      </c>
      <c r="AW9607" t="s">
        <v>46841</v>
      </c>
    </row>
    <row r="9608" spans="1:49">
      <c r="A9608" s="1">
        <f>HYPERLINK("https://lsnyc.legalserver.org/matter/dynamic-profile/view/1886366","18-1886366")</f>
        <v>0</v>
      </c>
      <c r="B9608" t="s">
        <v>200</v>
      </c>
      <c r="C9608" t="s">
        <v>340</v>
      </c>
      <c r="D9608" t="s">
        <v>703</v>
      </c>
      <c r="F9608" t="s">
        <v>1106</v>
      </c>
      <c r="G9608" t="s">
        <v>7283</v>
      </c>
      <c r="H9608" t="s">
        <v>16193</v>
      </c>
      <c r="I9608" t="s">
        <v>17316</v>
      </c>
      <c r="J9608" t="s">
        <v>18894</v>
      </c>
      <c r="K9608">
        <v>11207</v>
      </c>
      <c r="L9608" t="s">
        <v>18960</v>
      </c>
      <c r="M9608" t="s">
        <v>18960</v>
      </c>
      <c r="O9608" t="s">
        <v>26526</v>
      </c>
      <c r="P9608" t="s">
        <v>26563</v>
      </c>
      <c r="R9608" t="s">
        <v>26583</v>
      </c>
      <c r="U9608" t="s">
        <v>26604</v>
      </c>
      <c r="X9608">
        <v>900</v>
      </c>
      <c r="Y9608" t="s">
        <v>26652</v>
      </c>
      <c r="Z9608" t="s">
        <v>26659</v>
      </c>
      <c r="AB9608" t="s">
        <v>33521</v>
      </c>
      <c r="AE9608">
        <v>6</v>
      </c>
      <c r="AG9608" t="s">
        <v>45559</v>
      </c>
      <c r="AH9608">
        <v>20</v>
      </c>
      <c r="AI9608">
        <v>2</v>
      </c>
      <c r="AJ9608">
        <v>0</v>
      </c>
      <c r="AK9608">
        <v>300.63</v>
      </c>
      <c r="AN9608" t="s">
        <v>7439</v>
      </c>
      <c r="AO9608">
        <v>49484</v>
      </c>
      <c r="AU9608">
        <v>1.2</v>
      </c>
      <c r="AV9608" t="s">
        <v>703</v>
      </c>
      <c r="AW9608" t="s">
        <v>46862</v>
      </c>
    </row>
    <row r="9609" spans="1:49">
      <c r="A9609" s="1">
        <f>HYPERLINK("https://lsnyc.legalserver.org/matter/dynamic-profile/view/1886421","18-1886421")</f>
        <v>0</v>
      </c>
      <c r="B9609" t="s">
        <v>164</v>
      </c>
      <c r="C9609" t="s">
        <v>340</v>
      </c>
      <c r="D9609" t="s">
        <v>705</v>
      </c>
      <c r="F9609" t="s">
        <v>2812</v>
      </c>
      <c r="G9609" t="s">
        <v>7070</v>
      </c>
      <c r="H9609" t="s">
        <v>12658</v>
      </c>
      <c r="I9609">
        <v>402</v>
      </c>
      <c r="J9609" t="s">
        <v>18905</v>
      </c>
      <c r="K9609">
        <v>11692</v>
      </c>
      <c r="L9609" t="s">
        <v>18960</v>
      </c>
      <c r="M9609" t="s">
        <v>18960</v>
      </c>
      <c r="R9609" t="s">
        <v>26591</v>
      </c>
      <c r="U9609" t="s">
        <v>26607</v>
      </c>
      <c r="X9609">
        <v>0</v>
      </c>
      <c r="Y9609" t="s">
        <v>26653</v>
      </c>
      <c r="AB9609" t="s">
        <v>29934</v>
      </c>
      <c r="AD9609" t="s">
        <v>40053</v>
      </c>
      <c r="AE9609">
        <v>0</v>
      </c>
      <c r="AH9609">
        <v>0</v>
      </c>
      <c r="AI9609">
        <v>2</v>
      </c>
      <c r="AJ9609">
        <v>1</v>
      </c>
      <c r="AK9609">
        <v>27.03</v>
      </c>
      <c r="AN9609" t="s">
        <v>7439</v>
      </c>
      <c r="AO9609">
        <v>5616</v>
      </c>
      <c r="AU9609">
        <v>3</v>
      </c>
      <c r="AV9609" t="s">
        <v>707</v>
      </c>
      <c r="AW9609" t="s">
        <v>214</v>
      </c>
    </row>
    <row r="9610" spans="1:49">
      <c r="A9610" s="1">
        <f>HYPERLINK("https://lsnyc.legalserver.org/matter/dynamic-profile/view/1886468","18-1886468")</f>
        <v>0</v>
      </c>
      <c r="B9610" t="s">
        <v>158</v>
      </c>
      <c r="C9610" t="s">
        <v>340</v>
      </c>
      <c r="D9610" t="s">
        <v>705</v>
      </c>
      <c r="F9610" t="s">
        <v>1650</v>
      </c>
      <c r="G9610" t="s">
        <v>7871</v>
      </c>
      <c r="H9610" t="s">
        <v>12950</v>
      </c>
      <c r="I9610" t="s">
        <v>17349</v>
      </c>
      <c r="J9610" t="s">
        <v>18894</v>
      </c>
      <c r="K9610">
        <v>11225</v>
      </c>
      <c r="L9610" t="s">
        <v>18960</v>
      </c>
      <c r="M9610" t="s">
        <v>18960</v>
      </c>
      <c r="O9610" t="s">
        <v>18997</v>
      </c>
      <c r="P9610" t="s">
        <v>26562</v>
      </c>
      <c r="R9610" t="s">
        <v>26588</v>
      </c>
      <c r="S9610" t="s">
        <v>18959</v>
      </c>
      <c r="U9610" t="s">
        <v>26604</v>
      </c>
      <c r="V9610" t="s">
        <v>26610</v>
      </c>
      <c r="X9610">
        <v>870</v>
      </c>
      <c r="Y9610" t="s">
        <v>26652</v>
      </c>
      <c r="Z9610" t="s">
        <v>26530</v>
      </c>
      <c r="AB9610" t="s">
        <v>33522</v>
      </c>
      <c r="AE9610">
        <v>59</v>
      </c>
      <c r="AF9610" t="s">
        <v>45541</v>
      </c>
      <c r="AG9610" t="s">
        <v>19330</v>
      </c>
      <c r="AH9610">
        <v>27</v>
      </c>
      <c r="AI9610">
        <v>1</v>
      </c>
      <c r="AJ9610">
        <v>0</v>
      </c>
      <c r="AK9610">
        <v>164.74</v>
      </c>
      <c r="AN9610" t="s">
        <v>7439</v>
      </c>
      <c r="AO9610">
        <v>20000</v>
      </c>
      <c r="AU9610">
        <v>21.3</v>
      </c>
      <c r="AV9610" t="s">
        <v>789</v>
      </c>
      <c r="AW9610" t="s">
        <v>281</v>
      </c>
    </row>
    <row r="9611" spans="1:49">
      <c r="A9611" s="1">
        <f>HYPERLINK("https://lsnyc.legalserver.org/matter/dynamic-profile/view/1886401","18-1886401")</f>
        <v>0</v>
      </c>
      <c r="B9611" t="s">
        <v>200</v>
      </c>
      <c r="C9611" t="s">
        <v>340</v>
      </c>
      <c r="D9611" t="s">
        <v>705</v>
      </c>
      <c r="F9611" t="s">
        <v>4602</v>
      </c>
      <c r="G9611" t="s">
        <v>3388</v>
      </c>
      <c r="H9611" t="s">
        <v>16194</v>
      </c>
      <c r="I9611">
        <v>3</v>
      </c>
      <c r="J9611" t="s">
        <v>18894</v>
      </c>
      <c r="K9611">
        <v>11207</v>
      </c>
      <c r="L9611" t="s">
        <v>18960</v>
      </c>
      <c r="M9611" t="s">
        <v>18960</v>
      </c>
      <c r="R9611" t="s">
        <v>26591</v>
      </c>
      <c r="U9611" t="s">
        <v>26604</v>
      </c>
      <c r="X9611">
        <v>860</v>
      </c>
      <c r="Y9611" t="s">
        <v>26652</v>
      </c>
      <c r="AB9611" t="s">
        <v>29944</v>
      </c>
      <c r="AD9611" t="s">
        <v>44283</v>
      </c>
      <c r="AE9611">
        <v>7</v>
      </c>
      <c r="AG9611" t="s">
        <v>45562</v>
      </c>
      <c r="AH9611">
        <v>1</v>
      </c>
      <c r="AI9611">
        <v>1</v>
      </c>
      <c r="AJ9611">
        <v>0</v>
      </c>
      <c r="AK9611">
        <v>108.73</v>
      </c>
      <c r="AN9611" t="s">
        <v>7439</v>
      </c>
      <c r="AO9611">
        <v>13200</v>
      </c>
      <c r="AU9611">
        <v>1</v>
      </c>
      <c r="AV9611" t="s">
        <v>705</v>
      </c>
      <c r="AW9611" t="s">
        <v>46858</v>
      </c>
    </row>
    <row r="9612" spans="1:49">
      <c r="A9612" s="1">
        <f>HYPERLINK("https://lsnyc.legalserver.org/matter/dynamic-profile/view/1886433","18-1886433")</f>
        <v>0</v>
      </c>
      <c r="B9612" t="s">
        <v>200</v>
      </c>
      <c r="C9612" t="s">
        <v>340</v>
      </c>
      <c r="D9612" t="s">
        <v>705</v>
      </c>
      <c r="F9612" t="s">
        <v>980</v>
      </c>
      <c r="G9612" t="s">
        <v>4311</v>
      </c>
      <c r="H9612" t="s">
        <v>16195</v>
      </c>
      <c r="I9612" t="s">
        <v>17430</v>
      </c>
      <c r="J9612" t="s">
        <v>18894</v>
      </c>
      <c r="K9612">
        <v>11233</v>
      </c>
      <c r="L9612" t="s">
        <v>18960</v>
      </c>
      <c r="M9612" t="s">
        <v>18960</v>
      </c>
      <c r="O9612" t="s">
        <v>18997</v>
      </c>
      <c r="P9612" t="s">
        <v>26564</v>
      </c>
      <c r="R9612" t="s">
        <v>26591</v>
      </c>
      <c r="S9612" t="s">
        <v>18959</v>
      </c>
      <c r="U9612" t="s">
        <v>26604</v>
      </c>
      <c r="X9612">
        <v>1100</v>
      </c>
      <c r="Y9612" t="s">
        <v>26652</v>
      </c>
      <c r="Z9612" t="s">
        <v>26530</v>
      </c>
      <c r="AB9612" t="s">
        <v>33032</v>
      </c>
      <c r="AD9612" t="s">
        <v>44284</v>
      </c>
      <c r="AE9612">
        <v>3</v>
      </c>
      <c r="AF9612" t="s">
        <v>20460</v>
      </c>
      <c r="AG9612" t="s">
        <v>19330</v>
      </c>
      <c r="AH9612">
        <v>13</v>
      </c>
      <c r="AI9612">
        <v>1</v>
      </c>
      <c r="AJ9612">
        <v>0</v>
      </c>
      <c r="AK9612">
        <v>192.75</v>
      </c>
      <c r="AN9612" t="s">
        <v>7439</v>
      </c>
      <c r="AO9612">
        <v>23400</v>
      </c>
      <c r="AU9612">
        <v>1.02</v>
      </c>
      <c r="AV9612" t="s">
        <v>660</v>
      </c>
      <c r="AW9612" t="s">
        <v>46860</v>
      </c>
    </row>
    <row r="9613" spans="1:49">
      <c r="A9613" s="1">
        <f>HYPERLINK("https://lsnyc.legalserver.org/matter/dynamic-profile/view/1886448","18-1886448")</f>
        <v>0</v>
      </c>
      <c r="B9613" t="s">
        <v>149</v>
      </c>
      <c r="C9613" t="s">
        <v>341</v>
      </c>
      <c r="D9613" t="s">
        <v>706</v>
      </c>
      <c r="E9613" t="s">
        <v>693</v>
      </c>
      <c r="F9613" t="s">
        <v>1113</v>
      </c>
      <c r="G9613" t="s">
        <v>5008</v>
      </c>
      <c r="H9613" t="s">
        <v>16196</v>
      </c>
      <c r="I9613" t="s">
        <v>17781</v>
      </c>
      <c r="J9613" t="s">
        <v>18892</v>
      </c>
      <c r="K9613">
        <v>10456</v>
      </c>
      <c r="L9613" t="s">
        <v>18958</v>
      </c>
      <c r="M9613" t="s">
        <v>18958</v>
      </c>
      <c r="N9613" t="s">
        <v>25616</v>
      </c>
      <c r="O9613" t="s">
        <v>26523</v>
      </c>
      <c r="P9613" t="s">
        <v>26564</v>
      </c>
      <c r="Q9613" t="s">
        <v>26570</v>
      </c>
      <c r="R9613" t="s">
        <v>26583</v>
      </c>
      <c r="U9613" t="s">
        <v>26604</v>
      </c>
      <c r="V9613" t="s">
        <v>26610</v>
      </c>
      <c r="X9613">
        <v>1025</v>
      </c>
      <c r="Y9613" t="s">
        <v>26650</v>
      </c>
      <c r="Z9613" t="s">
        <v>26530</v>
      </c>
      <c r="AA9613" t="s">
        <v>26683</v>
      </c>
      <c r="AB9613" t="s">
        <v>33523</v>
      </c>
      <c r="AD9613" t="s">
        <v>44285</v>
      </c>
      <c r="AE9613">
        <v>42</v>
      </c>
      <c r="AF9613" t="s">
        <v>45544</v>
      </c>
      <c r="AG9613" t="s">
        <v>19330</v>
      </c>
      <c r="AH9613">
        <v>4</v>
      </c>
      <c r="AI9613">
        <v>1</v>
      </c>
      <c r="AJ9613">
        <v>0</v>
      </c>
      <c r="AK9613">
        <v>514</v>
      </c>
      <c r="AN9613" t="s">
        <v>7439</v>
      </c>
      <c r="AO9613">
        <v>62400</v>
      </c>
      <c r="AP9613" t="s">
        <v>46184</v>
      </c>
      <c r="AU9613">
        <v>2.2</v>
      </c>
      <c r="AV9613" t="s">
        <v>414</v>
      </c>
      <c r="AW9613" t="s">
        <v>46859</v>
      </c>
    </row>
    <row r="9614" spans="1:49">
      <c r="A9614" s="1">
        <f>HYPERLINK("https://lsnyc.legalserver.org/matter/dynamic-profile/view/1886462","18-1886462")</f>
        <v>0</v>
      </c>
      <c r="B9614" t="s">
        <v>74</v>
      </c>
      <c r="C9614" t="s">
        <v>341</v>
      </c>
      <c r="D9614" t="s">
        <v>706</v>
      </c>
      <c r="E9614" t="s">
        <v>727</v>
      </c>
      <c r="F9614" t="s">
        <v>4603</v>
      </c>
      <c r="G9614" t="s">
        <v>1912</v>
      </c>
      <c r="H9614" t="s">
        <v>16197</v>
      </c>
      <c r="I9614" t="s">
        <v>17316</v>
      </c>
      <c r="J9614" t="s">
        <v>18893</v>
      </c>
      <c r="K9614">
        <v>10029</v>
      </c>
      <c r="L9614" t="s">
        <v>18960</v>
      </c>
      <c r="M9614" t="s">
        <v>18960</v>
      </c>
      <c r="P9614" t="s">
        <v>26564</v>
      </c>
      <c r="Q9614" t="s">
        <v>26570</v>
      </c>
      <c r="R9614" t="s">
        <v>26578</v>
      </c>
      <c r="U9614" t="s">
        <v>26604</v>
      </c>
      <c r="X9614">
        <v>853</v>
      </c>
      <c r="Y9614" t="s">
        <v>26651</v>
      </c>
      <c r="AA9614" t="s">
        <v>26683</v>
      </c>
      <c r="AB9614" t="s">
        <v>33524</v>
      </c>
      <c r="AE9614">
        <v>30</v>
      </c>
      <c r="AH9614">
        <v>5</v>
      </c>
      <c r="AI9614">
        <v>1</v>
      </c>
      <c r="AJ9614">
        <v>0</v>
      </c>
      <c r="AK9614">
        <v>59.31</v>
      </c>
      <c r="AN9614" t="s">
        <v>45593</v>
      </c>
      <c r="AO9614">
        <v>7200</v>
      </c>
      <c r="AU9614">
        <v>1.2</v>
      </c>
      <c r="AV9614" t="s">
        <v>726</v>
      </c>
      <c r="AW9614" t="s">
        <v>46857</v>
      </c>
    </row>
    <row r="9615" spans="1:49">
      <c r="A9615" s="1">
        <f>HYPERLINK("https://lsnyc.legalserver.org/matter/dynamic-profile/view/1886467","18-1886467")</f>
        <v>0</v>
      </c>
      <c r="B9615" t="s">
        <v>191</v>
      </c>
      <c r="C9615" t="s">
        <v>340</v>
      </c>
      <c r="D9615" t="s">
        <v>706</v>
      </c>
      <c r="F9615" t="s">
        <v>2239</v>
      </c>
      <c r="G9615" t="s">
        <v>7623</v>
      </c>
      <c r="H9615" t="s">
        <v>13361</v>
      </c>
      <c r="I9615" t="s">
        <v>17287</v>
      </c>
      <c r="J9615" t="s">
        <v>18893</v>
      </c>
      <c r="K9615">
        <v>10027</v>
      </c>
      <c r="L9615" t="s">
        <v>18958</v>
      </c>
      <c r="M9615" t="s">
        <v>18958</v>
      </c>
      <c r="N9615" t="s">
        <v>25617</v>
      </c>
      <c r="O9615" t="s">
        <v>26523</v>
      </c>
      <c r="P9615" t="s">
        <v>26560</v>
      </c>
      <c r="R9615" t="s">
        <v>26580</v>
      </c>
      <c r="S9615" t="s">
        <v>18959</v>
      </c>
      <c r="U9615" t="s">
        <v>26606</v>
      </c>
      <c r="X9615">
        <v>522</v>
      </c>
      <c r="Y9615" t="s">
        <v>26651</v>
      </c>
      <c r="Z9615" t="s">
        <v>26664</v>
      </c>
      <c r="AB9615" t="s">
        <v>33525</v>
      </c>
      <c r="AD9615" t="s">
        <v>44286</v>
      </c>
      <c r="AE9615">
        <v>57</v>
      </c>
      <c r="AH9615">
        <v>15</v>
      </c>
      <c r="AI9615">
        <v>2</v>
      </c>
      <c r="AJ9615">
        <v>2</v>
      </c>
      <c r="AK9615">
        <v>145.02</v>
      </c>
      <c r="AN9615" t="s">
        <v>7439</v>
      </c>
      <c r="AO9615">
        <v>36400</v>
      </c>
      <c r="AU9615">
        <v>12.1</v>
      </c>
      <c r="AV9615" t="s">
        <v>810</v>
      </c>
      <c r="AW9615" t="s">
        <v>264</v>
      </c>
    </row>
    <row r="9616" spans="1:49">
      <c r="A9616" s="1">
        <f>HYPERLINK("https://lsnyc.legalserver.org/matter/dynamic-profile/view/1886478","18-1886478")</f>
        <v>0</v>
      </c>
      <c r="B9616" t="s">
        <v>65</v>
      </c>
      <c r="C9616" t="s">
        <v>340</v>
      </c>
      <c r="D9616" t="s">
        <v>706</v>
      </c>
      <c r="F9616" t="s">
        <v>1315</v>
      </c>
      <c r="G9616" t="s">
        <v>6718</v>
      </c>
      <c r="H9616" t="s">
        <v>16198</v>
      </c>
      <c r="I9616" t="s">
        <v>17490</v>
      </c>
      <c r="J9616" t="s">
        <v>18892</v>
      </c>
      <c r="K9616">
        <v>10466</v>
      </c>
      <c r="L9616" t="s">
        <v>18958</v>
      </c>
      <c r="M9616" t="s">
        <v>18958</v>
      </c>
      <c r="N9616" t="s">
        <v>25618</v>
      </c>
      <c r="O9616" t="s">
        <v>26540</v>
      </c>
      <c r="P9616" t="s">
        <v>26560</v>
      </c>
      <c r="R9616" t="s">
        <v>26577</v>
      </c>
      <c r="U9616" t="s">
        <v>26604</v>
      </c>
      <c r="X9616">
        <v>1200</v>
      </c>
      <c r="Y9616" t="s">
        <v>26650</v>
      </c>
      <c r="AB9616" t="s">
        <v>33526</v>
      </c>
      <c r="AD9616" t="s">
        <v>44287</v>
      </c>
      <c r="AE9616">
        <v>61</v>
      </c>
      <c r="AF9616" t="s">
        <v>45541</v>
      </c>
      <c r="AG9616" t="s">
        <v>19330</v>
      </c>
      <c r="AH9616">
        <v>9</v>
      </c>
      <c r="AI9616">
        <v>2</v>
      </c>
      <c r="AJ9616">
        <v>0</v>
      </c>
      <c r="AK9616">
        <v>115.92</v>
      </c>
      <c r="AN9616" t="s">
        <v>7439</v>
      </c>
      <c r="AO9616">
        <v>19080</v>
      </c>
      <c r="AP9616" t="s">
        <v>46185</v>
      </c>
      <c r="AU9616">
        <v>21.1</v>
      </c>
      <c r="AV9616" t="s">
        <v>834</v>
      </c>
      <c r="AW9616" t="s">
        <v>46871</v>
      </c>
    </row>
    <row r="9617" spans="1:49">
      <c r="A9617" s="1">
        <f>HYPERLINK("https://lsnyc.legalserver.org/matter/dynamic-profile/view/1886449","18-1886449")</f>
        <v>0</v>
      </c>
      <c r="B9617" t="s">
        <v>62</v>
      </c>
      <c r="C9617" t="s">
        <v>340</v>
      </c>
      <c r="D9617" t="s">
        <v>706</v>
      </c>
      <c r="F9617" t="s">
        <v>1299</v>
      </c>
      <c r="G9617" t="s">
        <v>9114</v>
      </c>
      <c r="H9617" t="s">
        <v>16199</v>
      </c>
      <c r="J9617" t="s">
        <v>18893</v>
      </c>
      <c r="K9617">
        <v>10027</v>
      </c>
      <c r="L9617" t="s">
        <v>18958</v>
      </c>
      <c r="M9617" t="s">
        <v>18958</v>
      </c>
      <c r="N9617" t="s">
        <v>25619</v>
      </c>
      <c r="O9617" t="s">
        <v>26523</v>
      </c>
      <c r="R9617" t="s">
        <v>26580</v>
      </c>
      <c r="S9617" t="s">
        <v>18959</v>
      </c>
      <c r="U9617" t="s">
        <v>26604</v>
      </c>
      <c r="X9617">
        <v>400</v>
      </c>
      <c r="Y9617" t="s">
        <v>26651</v>
      </c>
      <c r="Z9617" t="s">
        <v>26664</v>
      </c>
      <c r="AB9617" t="s">
        <v>33527</v>
      </c>
      <c r="AC9617" t="s">
        <v>36651</v>
      </c>
      <c r="AD9617" t="s">
        <v>44288</v>
      </c>
      <c r="AE9617">
        <v>12</v>
      </c>
      <c r="AH9617">
        <v>19</v>
      </c>
      <c r="AI9617">
        <v>2</v>
      </c>
      <c r="AJ9617">
        <v>3</v>
      </c>
      <c r="AK9617">
        <v>50.82</v>
      </c>
      <c r="AN9617" t="s">
        <v>7439</v>
      </c>
      <c r="AO9617">
        <v>14950</v>
      </c>
      <c r="AU9617">
        <v>8.199999999999999</v>
      </c>
      <c r="AV9617" t="s">
        <v>815</v>
      </c>
      <c r="AW9617" t="s">
        <v>264</v>
      </c>
    </row>
    <row r="9618" spans="1:49">
      <c r="A9618" s="1">
        <f>HYPERLINK("https://lsnyc.legalserver.org/matter/dynamic-profile/view/1874641","18-1874641")</f>
        <v>0</v>
      </c>
      <c r="B9618" t="s">
        <v>211</v>
      </c>
      <c r="C9618" t="s">
        <v>341</v>
      </c>
      <c r="D9618" t="s">
        <v>699</v>
      </c>
      <c r="E9618" t="s">
        <v>699</v>
      </c>
      <c r="F9618" t="s">
        <v>1241</v>
      </c>
      <c r="G9618" t="s">
        <v>5836</v>
      </c>
      <c r="H9618" t="s">
        <v>10317</v>
      </c>
      <c r="J9618" t="s">
        <v>18894</v>
      </c>
      <c r="K9618">
        <v>11208</v>
      </c>
      <c r="L9618" t="s">
        <v>18959</v>
      </c>
      <c r="M9618" t="s">
        <v>18959</v>
      </c>
      <c r="N9618" t="s">
        <v>25620</v>
      </c>
      <c r="O9618" t="s">
        <v>26524</v>
      </c>
      <c r="P9618" t="s">
        <v>26564</v>
      </c>
      <c r="Q9618" t="s">
        <v>26570</v>
      </c>
      <c r="R9618" t="s">
        <v>26578</v>
      </c>
      <c r="S9618" t="s">
        <v>18958</v>
      </c>
      <c r="U9618" t="s">
        <v>26604</v>
      </c>
      <c r="X9618">
        <v>0</v>
      </c>
      <c r="Y9618" t="s">
        <v>26652</v>
      </c>
      <c r="Z9618" t="s">
        <v>26660</v>
      </c>
      <c r="AA9618" t="s">
        <v>26683</v>
      </c>
      <c r="AB9618" t="s">
        <v>33528</v>
      </c>
      <c r="AE9618">
        <v>7</v>
      </c>
      <c r="AF9618" t="s">
        <v>45541</v>
      </c>
      <c r="AH9618">
        <v>9</v>
      </c>
      <c r="AI9618">
        <v>2</v>
      </c>
      <c r="AJ9618">
        <v>0</v>
      </c>
      <c r="AK9618">
        <v>58.32</v>
      </c>
      <c r="AN9618" t="s">
        <v>7439</v>
      </c>
      <c r="AO9618">
        <v>9600</v>
      </c>
      <c r="AP9618" t="s">
        <v>46186</v>
      </c>
      <c r="AU9618">
        <v>1</v>
      </c>
      <c r="AV9618" t="s">
        <v>461</v>
      </c>
      <c r="AW9618" t="s">
        <v>211</v>
      </c>
    </row>
    <row r="9619" spans="1:49">
      <c r="A9619" s="1">
        <f>HYPERLINK("https://lsnyc.legalserver.org/matter/dynamic-profile/view/1873235","18-1873235")</f>
        <v>0</v>
      </c>
      <c r="B9619" t="s">
        <v>176</v>
      </c>
      <c r="C9619" t="s">
        <v>341</v>
      </c>
      <c r="D9619" t="s">
        <v>699</v>
      </c>
      <c r="E9619" t="s">
        <v>494</v>
      </c>
      <c r="F9619" t="s">
        <v>4604</v>
      </c>
      <c r="G9619" t="s">
        <v>994</v>
      </c>
      <c r="H9619" t="s">
        <v>16200</v>
      </c>
      <c r="I9619" t="s">
        <v>17331</v>
      </c>
      <c r="J9619" t="s">
        <v>18894</v>
      </c>
      <c r="K9619">
        <v>11203</v>
      </c>
      <c r="L9619" t="s">
        <v>18959</v>
      </c>
      <c r="M9619" t="s">
        <v>18959</v>
      </c>
      <c r="P9619" t="s">
        <v>26564</v>
      </c>
      <c r="Q9619" t="s">
        <v>26570</v>
      </c>
      <c r="R9619" t="s">
        <v>26578</v>
      </c>
      <c r="U9619" t="s">
        <v>26604</v>
      </c>
      <c r="X9619">
        <v>0</v>
      </c>
      <c r="Y9619" t="s">
        <v>26652</v>
      </c>
      <c r="AA9619" t="s">
        <v>26683</v>
      </c>
      <c r="AB9619" t="s">
        <v>33529</v>
      </c>
      <c r="AE9619">
        <v>0</v>
      </c>
      <c r="AH9619">
        <v>0</v>
      </c>
      <c r="AI9619">
        <v>1</v>
      </c>
      <c r="AJ9619">
        <v>0</v>
      </c>
      <c r="AK9619">
        <v>56.11</v>
      </c>
      <c r="AN9619" t="s">
        <v>7439</v>
      </c>
      <c r="AO9619">
        <v>6812</v>
      </c>
      <c r="AU9619">
        <v>0.5</v>
      </c>
      <c r="AV9619" t="s">
        <v>410</v>
      </c>
      <c r="AW9619" t="s">
        <v>176</v>
      </c>
    </row>
    <row r="9620" spans="1:49">
      <c r="A9620" s="1">
        <f>HYPERLINK("https://lsnyc.legalserver.org/matter/dynamic-profile/view/1886524","18-1886524")</f>
        <v>0</v>
      </c>
      <c r="B9620" t="s">
        <v>153</v>
      </c>
      <c r="C9620" t="s">
        <v>341</v>
      </c>
      <c r="D9620" t="s">
        <v>699</v>
      </c>
      <c r="E9620" t="s">
        <v>819</v>
      </c>
      <c r="F9620" t="s">
        <v>994</v>
      </c>
      <c r="G9620" t="s">
        <v>9115</v>
      </c>
      <c r="H9620" t="s">
        <v>16201</v>
      </c>
      <c r="J9620" t="s">
        <v>18902</v>
      </c>
      <c r="K9620">
        <v>10312</v>
      </c>
      <c r="L9620" t="s">
        <v>18960</v>
      </c>
      <c r="M9620" t="s">
        <v>18960</v>
      </c>
      <c r="Q9620" t="s">
        <v>26568</v>
      </c>
      <c r="R9620" t="s">
        <v>26587</v>
      </c>
      <c r="U9620" t="s">
        <v>26604</v>
      </c>
      <c r="X9620">
        <v>0</v>
      </c>
      <c r="Y9620" t="s">
        <v>26654</v>
      </c>
      <c r="AA9620" t="s">
        <v>26679</v>
      </c>
      <c r="AB9620" t="s">
        <v>33530</v>
      </c>
      <c r="AD9620" t="s">
        <v>44289</v>
      </c>
      <c r="AE9620">
        <v>0</v>
      </c>
      <c r="AH9620">
        <v>0</v>
      </c>
      <c r="AI9620">
        <v>3</v>
      </c>
      <c r="AJ9620">
        <v>1</v>
      </c>
      <c r="AK9620">
        <v>137.45</v>
      </c>
      <c r="AN9620" t="s">
        <v>7439</v>
      </c>
      <c r="AO9620">
        <v>34500</v>
      </c>
      <c r="AU9620">
        <v>12.25</v>
      </c>
      <c r="AV9620" t="s">
        <v>672</v>
      </c>
      <c r="AW9620" t="s">
        <v>46852</v>
      </c>
    </row>
    <row r="9621" spans="1:49">
      <c r="A9621" s="1">
        <f>HYPERLINK("https://lsnyc.legalserver.org/matter/dynamic-profile/view/1875718","18-1875718")</f>
        <v>0</v>
      </c>
      <c r="B9621" t="s">
        <v>198</v>
      </c>
      <c r="C9621" t="s">
        <v>341</v>
      </c>
      <c r="D9621" t="s">
        <v>699</v>
      </c>
      <c r="E9621" t="s">
        <v>574</v>
      </c>
      <c r="F9621" t="s">
        <v>2392</v>
      </c>
      <c r="G9621" t="s">
        <v>7990</v>
      </c>
      <c r="H9621" t="s">
        <v>16202</v>
      </c>
      <c r="I9621">
        <v>220</v>
      </c>
      <c r="J9621" t="s">
        <v>18894</v>
      </c>
      <c r="K9621">
        <v>11206</v>
      </c>
      <c r="L9621" t="s">
        <v>18960</v>
      </c>
      <c r="M9621" t="s">
        <v>18960</v>
      </c>
      <c r="Q9621" t="s">
        <v>26570</v>
      </c>
      <c r="R9621" t="s">
        <v>26578</v>
      </c>
      <c r="U9621" t="s">
        <v>26604</v>
      </c>
      <c r="X9621">
        <v>0</v>
      </c>
      <c r="Y9621" t="s">
        <v>26652</v>
      </c>
      <c r="AA9621" t="s">
        <v>26683</v>
      </c>
      <c r="AB9621" t="s">
        <v>32282</v>
      </c>
      <c r="AD9621" t="s">
        <v>44290</v>
      </c>
      <c r="AE9621">
        <v>0</v>
      </c>
      <c r="AH9621">
        <v>0</v>
      </c>
      <c r="AI9621">
        <v>1</v>
      </c>
      <c r="AJ9621">
        <v>1</v>
      </c>
      <c r="AK9621">
        <v>0</v>
      </c>
      <c r="AN9621" t="s">
        <v>7439</v>
      </c>
      <c r="AO9621">
        <v>0</v>
      </c>
      <c r="AU9621">
        <v>2.3</v>
      </c>
      <c r="AV9621" t="s">
        <v>574</v>
      </c>
      <c r="AW9621" t="s">
        <v>198</v>
      </c>
    </row>
    <row r="9622" spans="1:49">
      <c r="A9622" s="1">
        <f>HYPERLINK("https://lsnyc.legalserver.org/matter/dynamic-profile/view/1875045","18-1875045")</f>
        <v>0</v>
      </c>
      <c r="B9622" t="s">
        <v>198</v>
      </c>
      <c r="C9622" t="s">
        <v>341</v>
      </c>
      <c r="D9622" t="s">
        <v>699</v>
      </c>
      <c r="E9622" t="s">
        <v>811</v>
      </c>
      <c r="F9622" t="s">
        <v>4605</v>
      </c>
      <c r="G9622" t="s">
        <v>5599</v>
      </c>
      <c r="H9622" t="s">
        <v>16092</v>
      </c>
      <c r="I9622" t="s">
        <v>18479</v>
      </c>
      <c r="J9622" t="s">
        <v>18894</v>
      </c>
      <c r="K9622">
        <v>11226</v>
      </c>
      <c r="L9622" t="s">
        <v>18960</v>
      </c>
      <c r="M9622" t="s">
        <v>18960</v>
      </c>
      <c r="Q9622" t="s">
        <v>26570</v>
      </c>
      <c r="R9622" t="s">
        <v>26578</v>
      </c>
      <c r="U9622" t="s">
        <v>26604</v>
      </c>
      <c r="X9622">
        <v>0</v>
      </c>
      <c r="Y9622" t="s">
        <v>26652</v>
      </c>
      <c r="AA9622" t="s">
        <v>26683</v>
      </c>
      <c r="AB9622" t="s">
        <v>27847</v>
      </c>
      <c r="AE9622">
        <v>0</v>
      </c>
      <c r="AH9622">
        <v>0</v>
      </c>
      <c r="AI9622">
        <v>1</v>
      </c>
      <c r="AJ9622">
        <v>2</v>
      </c>
      <c r="AK9622">
        <v>65.97</v>
      </c>
      <c r="AN9622" t="s">
        <v>7439</v>
      </c>
      <c r="AO9622">
        <v>13708</v>
      </c>
      <c r="AU9622">
        <v>2</v>
      </c>
      <c r="AV9622" t="s">
        <v>811</v>
      </c>
      <c r="AW9622" t="s">
        <v>198</v>
      </c>
    </row>
    <row r="9623" spans="1:49">
      <c r="A9623" s="1">
        <f>HYPERLINK("https://lsnyc.legalserver.org/matter/dynamic-profile/view/1886610","18-1886610")</f>
        <v>0</v>
      </c>
      <c r="B9623" t="s">
        <v>67</v>
      </c>
      <c r="C9623" t="s">
        <v>340</v>
      </c>
      <c r="D9623" t="s">
        <v>699</v>
      </c>
      <c r="F9623" t="s">
        <v>1512</v>
      </c>
      <c r="G9623" t="s">
        <v>5908</v>
      </c>
      <c r="H9623" t="s">
        <v>16203</v>
      </c>
      <c r="I9623" t="s">
        <v>18700</v>
      </c>
      <c r="J9623" t="s">
        <v>18892</v>
      </c>
      <c r="K9623">
        <v>10453</v>
      </c>
      <c r="L9623" t="s">
        <v>18960</v>
      </c>
      <c r="M9623" t="s">
        <v>18960</v>
      </c>
      <c r="N9623" t="s">
        <v>25621</v>
      </c>
      <c r="O9623" t="s">
        <v>26524</v>
      </c>
      <c r="R9623" t="s">
        <v>26591</v>
      </c>
      <c r="S9623" t="s">
        <v>18959</v>
      </c>
      <c r="U9623" t="s">
        <v>26604</v>
      </c>
      <c r="X9623">
        <v>960</v>
      </c>
      <c r="Y9623" t="s">
        <v>26650</v>
      </c>
      <c r="AB9623" t="s">
        <v>32309</v>
      </c>
      <c r="AD9623" t="s">
        <v>44291</v>
      </c>
      <c r="AE9623">
        <v>36</v>
      </c>
      <c r="AG9623" t="s">
        <v>19330</v>
      </c>
      <c r="AH9623">
        <v>16</v>
      </c>
      <c r="AI9623">
        <v>1</v>
      </c>
      <c r="AJ9623">
        <v>0</v>
      </c>
      <c r="AK9623">
        <v>158.15</v>
      </c>
      <c r="AN9623" t="s">
        <v>45581</v>
      </c>
      <c r="AO9623">
        <v>19200</v>
      </c>
      <c r="AP9623" t="s">
        <v>45826</v>
      </c>
      <c r="AU9623">
        <v>1.03</v>
      </c>
      <c r="AV9623" t="s">
        <v>784</v>
      </c>
      <c r="AW9623" t="s">
        <v>46829</v>
      </c>
    </row>
    <row r="9624" spans="1:49">
      <c r="A9624" s="1">
        <f>HYPERLINK("https://lsnyc.legalserver.org/matter/dynamic-profile/view/1886595","18-1886595")</f>
        <v>0</v>
      </c>
      <c r="B9624" t="s">
        <v>135</v>
      </c>
      <c r="C9624" t="s">
        <v>340</v>
      </c>
      <c r="D9624" t="s">
        <v>699</v>
      </c>
      <c r="F9624" t="s">
        <v>4606</v>
      </c>
      <c r="G9624" t="s">
        <v>9116</v>
      </c>
      <c r="H9624" t="s">
        <v>16204</v>
      </c>
      <c r="I9624" t="s">
        <v>17388</v>
      </c>
      <c r="J9624" t="s">
        <v>18892</v>
      </c>
      <c r="K9624">
        <v>10462</v>
      </c>
      <c r="L9624" t="s">
        <v>18958</v>
      </c>
      <c r="M9624" t="s">
        <v>18958</v>
      </c>
      <c r="R9624" t="s">
        <v>26578</v>
      </c>
      <c r="S9624" t="s">
        <v>18959</v>
      </c>
      <c r="U9624" t="s">
        <v>26604</v>
      </c>
      <c r="X9624">
        <v>0</v>
      </c>
      <c r="Y9624" t="s">
        <v>26650</v>
      </c>
      <c r="Z9624" t="s">
        <v>26670</v>
      </c>
      <c r="AB9624" t="s">
        <v>27868</v>
      </c>
      <c r="AD9624" t="s">
        <v>44292</v>
      </c>
      <c r="AE9624">
        <v>0</v>
      </c>
      <c r="AG9624" t="s">
        <v>19330</v>
      </c>
      <c r="AH9624">
        <v>18</v>
      </c>
      <c r="AI9624">
        <v>1</v>
      </c>
      <c r="AJ9624">
        <v>0</v>
      </c>
      <c r="AK9624">
        <v>247.12</v>
      </c>
      <c r="AL9624" t="s">
        <v>712</v>
      </c>
      <c r="AN9624" t="s">
        <v>7439</v>
      </c>
      <c r="AO9624">
        <v>30000</v>
      </c>
      <c r="AP9624" t="s">
        <v>46187</v>
      </c>
      <c r="AU9624">
        <v>13.25</v>
      </c>
      <c r="AV9624" t="s">
        <v>704</v>
      </c>
      <c r="AW9624" t="s">
        <v>46847</v>
      </c>
    </row>
    <row r="9625" spans="1:49">
      <c r="A9625" s="1">
        <f>HYPERLINK("https://lsnyc.legalserver.org/matter/dynamic-profile/view/1886569","18-1886569")</f>
        <v>0</v>
      </c>
      <c r="B9625" t="s">
        <v>115</v>
      </c>
      <c r="C9625" t="s">
        <v>340</v>
      </c>
      <c r="D9625" t="s">
        <v>699</v>
      </c>
      <c r="F9625" t="s">
        <v>990</v>
      </c>
      <c r="G9625" t="s">
        <v>9117</v>
      </c>
      <c r="H9625" t="s">
        <v>13166</v>
      </c>
      <c r="I9625" t="s">
        <v>17490</v>
      </c>
      <c r="J9625" t="s">
        <v>18892</v>
      </c>
      <c r="K9625">
        <v>10467</v>
      </c>
      <c r="L9625" t="s">
        <v>18958</v>
      </c>
      <c r="M9625" t="s">
        <v>18958</v>
      </c>
      <c r="O9625" t="s">
        <v>26526</v>
      </c>
      <c r="P9625" t="s">
        <v>26560</v>
      </c>
      <c r="R9625" t="s">
        <v>26578</v>
      </c>
      <c r="S9625" t="s">
        <v>18958</v>
      </c>
      <c r="U9625" t="s">
        <v>26604</v>
      </c>
      <c r="X9625">
        <v>700</v>
      </c>
      <c r="Y9625" t="s">
        <v>26650</v>
      </c>
      <c r="Z9625" t="s">
        <v>26663</v>
      </c>
      <c r="AB9625" t="s">
        <v>33531</v>
      </c>
      <c r="AE9625">
        <v>61</v>
      </c>
      <c r="AF9625" t="s">
        <v>20460</v>
      </c>
      <c r="AG9625" t="s">
        <v>19330</v>
      </c>
      <c r="AH9625">
        <v>15</v>
      </c>
      <c r="AI9625">
        <v>1</v>
      </c>
      <c r="AJ9625">
        <v>0</v>
      </c>
      <c r="AK9625">
        <v>387.15</v>
      </c>
      <c r="AN9625" t="s">
        <v>7439</v>
      </c>
      <c r="AO9625">
        <v>47000</v>
      </c>
      <c r="AU9625">
        <v>135.2</v>
      </c>
      <c r="AV9625" t="s">
        <v>772</v>
      </c>
      <c r="AW9625" t="s">
        <v>46832</v>
      </c>
    </row>
    <row r="9626" spans="1:49">
      <c r="A9626" s="1">
        <f>HYPERLINK("https://lsnyc.legalserver.org/matter/dynamic-profile/view/1886725","18-1886725")</f>
        <v>0</v>
      </c>
      <c r="B9626" t="s">
        <v>70</v>
      </c>
      <c r="C9626" t="s">
        <v>341</v>
      </c>
      <c r="D9626" t="s">
        <v>712</v>
      </c>
      <c r="E9626" t="s">
        <v>416</v>
      </c>
      <c r="F9626" t="s">
        <v>4607</v>
      </c>
      <c r="G9626" t="s">
        <v>3036</v>
      </c>
      <c r="H9626" t="s">
        <v>16205</v>
      </c>
      <c r="I9626" t="s">
        <v>17298</v>
      </c>
      <c r="J9626" t="s">
        <v>18892</v>
      </c>
      <c r="K9626">
        <v>10457</v>
      </c>
      <c r="L9626" t="s">
        <v>18958</v>
      </c>
      <c r="M9626" t="s">
        <v>18958</v>
      </c>
      <c r="N9626" t="s">
        <v>25622</v>
      </c>
      <c r="O9626" t="s">
        <v>26523</v>
      </c>
      <c r="P9626" t="s">
        <v>26564</v>
      </c>
      <c r="Q9626" t="s">
        <v>26570</v>
      </c>
      <c r="R9626" t="s">
        <v>26591</v>
      </c>
      <c r="S9626" t="s">
        <v>18959</v>
      </c>
      <c r="U9626" t="s">
        <v>26604</v>
      </c>
      <c r="V9626" t="s">
        <v>26610</v>
      </c>
      <c r="X9626">
        <v>1107.22</v>
      </c>
      <c r="Y9626" t="s">
        <v>26650</v>
      </c>
      <c r="Z9626" t="s">
        <v>26664</v>
      </c>
      <c r="AA9626" t="s">
        <v>26683</v>
      </c>
      <c r="AB9626" t="s">
        <v>33532</v>
      </c>
      <c r="AD9626" t="s">
        <v>44293</v>
      </c>
      <c r="AE9626">
        <v>57</v>
      </c>
      <c r="AF9626" t="s">
        <v>20460</v>
      </c>
      <c r="AG9626" t="s">
        <v>19330</v>
      </c>
      <c r="AH9626">
        <v>10</v>
      </c>
      <c r="AI9626">
        <v>2</v>
      </c>
      <c r="AJ9626">
        <v>0</v>
      </c>
      <c r="AK9626">
        <v>151.88</v>
      </c>
      <c r="AN9626" t="s">
        <v>7439</v>
      </c>
      <c r="AO9626">
        <v>25000</v>
      </c>
      <c r="AU9626">
        <v>2.95</v>
      </c>
      <c r="AV9626" t="s">
        <v>677</v>
      </c>
      <c r="AW9626" t="s">
        <v>334</v>
      </c>
    </row>
    <row r="9627" spans="1:49">
      <c r="A9627" s="1">
        <f>HYPERLINK("https://lsnyc.legalserver.org/matter/dynamic-profile/view/1886653","18-1886653")</f>
        <v>0</v>
      </c>
      <c r="B9627" t="s">
        <v>302</v>
      </c>
      <c r="C9627" t="s">
        <v>341</v>
      </c>
      <c r="D9627" t="s">
        <v>712</v>
      </c>
      <c r="E9627" t="s">
        <v>694</v>
      </c>
      <c r="F9627" t="s">
        <v>4608</v>
      </c>
      <c r="G9627" t="s">
        <v>5844</v>
      </c>
      <c r="H9627" t="s">
        <v>16206</v>
      </c>
      <c r="I9627" t="s">
        <v>17425</v>
      </c>
      <c r="J9627" t="s">
        <v>18892</v>
      </c>
      <c r="K9627">
        <v>10458</v>
      </c>
      <c r="L9627" t="s">
        <v>18960</v>
      </c>
      <c r="M9627" t="s">
        <v>18960</v>
      </c>
      <c r="N9627" t="s">
        <v>25623</v>
      </c>
      <c r="O9627" t="s">
        <v>26523</v>
      </c>
      <c r="P9627" t="s">
        <v>26564</v>
      </c>
      <c r="Q9627" t="s">
        <v>26570</v>
      </c>
      <c r="R9627" t="s">
        <v>26591</v>
      </c>
      <c r="U9627" t="s">
        <v>26604</v>
      </c>
      <c r="X9627">
        <v>900</v>
      </c>
      <c r="Y9627" t="s">
        <v>26650</v>
      </c>
      <c r="Z9627" t="s">
        <v>26673</v>
      </c>
      <c r="AA9627" t="s">
        <v>26683</v>
      </c>
      <c r="AB9627" t="s">
        <v>28628</v>
      </c>
      <c r="AD9627" t="s">
        <v>44294</v>
      </c>
      <c r="AE9627">
        <v>40</v>
      </c>
      <c r="AH9627">
        <v>8</v>
      </c>
      <c r="AI9627">
        <v>1</v>
      </c>
      <c r="AJ9627">
        <v>0</v>
      </c>
      <c r="AK9627">
        <v>64.25</v>
      </c>
      <c r="AN9627" t="s">
        <v>7439</v>
      </c>
      <c r="AO9627">
        <v>7800</v>
      </c>
      <c r="AS9627" t="s">
        <v>46502</v>
      </c>
      <c r="AT9627" t="s">
        <v>46648</v>
      </c>
      <c r="AU9627">
        <v>1.6</v>
      </c>
      <c r="AV9627" t="s">
        <v>712</v>
      </c>
      <c r="AW9627" t="s">
        <v>46861</v>
      </c>
    </row>
    <row r="9628" spans="1:49">
      <c r="A9628" s="1">
        <f>HYPERLINK("https://lsnyc.legalserver.org/matter/dynamic-profile/view/1886676","18-1886676")</f>
        <v>0</v>
      </c>
      <c r="B9628" t="s">
        <v>108</v>
      </c>
      <c r="C9628" t="s">
        <v>340</v>
      </c>
      <c r="D9628" t="s">
        <v>712</v>
      </c>
      <c r="F9628" t="s">
        <v>4531</v>
      </c>
      <c r="G9628" t="s">
        <v>3599</v>
      </c>
      <c r="H9628" t="s">
        <v>16207</v>
      </c>
      <c r="I9628" t="s">
        <v>17375</v>
      </c>
      <c r="J9628" t="s">
        <v>18901</v>
      </c>
      <c r="K9628">
        <v>11433</v>
      </c>
      <c r="L9628" t="s">
        <v>18958</v>
      </c>
      <c r="M9628" t="s">
        <v>18960</v>
      </c>
      <c r="N9628" t="s">
        <v>25624</v>
      </c>
      <c r="O9628" t="s">
        <v>26524</v>
      </c>
      <c r="P9628" t="s">
        <v>26560</v>
      </c>
      <c r="R9628" t="s">
        <v>26584</v>
      </c>
      <c r="S9628" t="s">
        <v>18959</v>
      </c>
      <c r="U9628" t="s">
        <v>26604</v>
      </c>
      <c r="X9628">
        <v>0</v>
      </c>
      <c r="Y9628" t="s">
        <v>26653</v>
      </c>
      <c r="Z9628" t="s">
        <v>26668</v>
      </c>
      <c r="AB9628" t="s">
        <v>31116</v>
      </c>
      <c r="AD9628" t="s">
        <v>34738</v>
      </c>
      <c r="AE9628">
        <v>0</v>
      </c>
      <c r="AF9628" t="s">
        <v>20460</v>
      </c>
      <c r="AH9628">
        <v>3</v>
      </c>
      <c r="AI9628">
        <v>2</v>
      </c>
      <c r="AJ9628">
        <v>1</v>
      </c>
      <c r="AK9628">
        <v>0</v>
      </c>
      <c r="AN9628" t="s">
        <v>7439</v>
      </c>
      <c r="AO9628">
        <v>0</v>
      </c>
      <c r="AU9628">
        <v>12.5</v>
      </c>
      <c r="AV9628" t="s">
        <v>833</v>
      </c>
      <c r="AW9628" t="s">
        <v>208</v>
      </c>
    </row>
    <row r="9629" spans="1:49">
      <c r="A9629" s="1">
        <f>HYPERLINK("https://lsnyc.legalserver.org/matter/dynamic-profile/view/1886678","18-1886678")</f>
        <v>0</v>
      </c>
      <c r="B9629" t="s">
        <v>108</v>
      </c>
      <c r="C9629" t="s">
        <v>340</v>
      </c>
      <c r="D9629" t="s">
        <v>712</v>
      </c>
      <c r="F9629" t="s">
        <v>4609</v>
      </c>
      <c r="G9629" t="s">
        <v>6865</v>
      </c>
      <c r="H9629" t="s">
        <v>16208</v>
      </c>
      <c r="J9629" t="s">
        <v>18901</v>
      </c>
      <c r="K9629">
        <v>11433</v>
      </c>
      <c r="L9629" t="s">
        <v>18958</v>
      </c>
      <c r="M9629" t="s">
        <v>18958</v>
      </c>
      <c r="N9629" t="s">
        <v>25625</v>
      </c>
      <c r="O9629" t="s">
        <v>26523</v>
      </c>
      <c r="P9629" t="s">
        <v>26563</v>
      </c>
      <c r="R9629" t="s">
        <v>26584</v>
      </c>
      <c r="S9629" t="s">
        <v>18959</v>
      </c>
      <c r="U9629" t="s">
        <v>26604</v>
      </c>
      <c r="X9629">
        <v>0</v>
      </c>
      <c r="Y9629" t="s">
        <v>26653</v>
      </c>
      <c r="Z9629" t="s">
        <v>26668</v>
      </c>
      <c r="AB9629" t="s">
        <v>33533</v>
      </c>
      <c r="AD9629" t="s">
        <v>44295</v>
      </c>
      <c r="AE9629">
        <v>0</v>
      </c>
      <c r="AF9629" t="s">
        <v>20460</v>
      </c>
      <c r="AG9629" t="s">
        <v>45557</v>
      </c>
      <c r="AH9629">
        <v>2</v>
      </c>
      <c r="AI9629">
        <v>1</v>
      </c>
      <c r="AJ9629">
        <v>1</v>
      </c>
      <c r="AK9629">
        <v>0</v>
      </c>
      <c r="AN9629" t="s">
        <v>7439</v>
      </c>
      <c r="AO9629">
        <v>0</v>
      </c>
      <c r="AU9629">
        <v>3.6</v>
      </c>
      <c r="AV9629" t="s">
        <v>660</v>
      </c>
      <c r="AW9629" t="s">
        <v>208</v>
      </c>
    </row>
    <row r="9630" spans="1:49">
      <c r="A9630" s="1">
        <f>HYPERLINK("https://lsnyc.legalserver.org/matter/dynamic-profile/view/1886697","18-1886697")</f>
        <v>0</v>
      </c>
      <c r="B9630" t="s">
        <v>142</v>
      </c>
      <c r="C9630" t="s">
        <v>340</v>
      </c>
      <c r="D9630" t="s">
        <v>712</v>
      </c>
      <c r="F9630" t="s">
        <v>4610</v>
      </c>
      <c r="G9630" t="s">
        <v>7581</v>
      </c>
      <c r="H9630" t="s">
        <v>16209</v>
      </c>
      <c r="J9630" t="s">
        <v>18901</v>
      </c>
      <c r="K9630">
        <v>11434</v>
      </c>
      <c r="L9630" t="s">
        <v>18958</v>
      </c>
      <c r="M9630" t="s">
        <v>18958</v>
      </c>
      <c r="P9630" t="s">
        <v>26563</v>
      </c>
      <c r="R9630" t="s">
        <v>26584</v>
      </c>
      <c r="S9630" t="s">
        <v>18959</v>
      </c>
      <c r="U9630" t="s">
        <v>26604</v>
      </c>
      <c r="X9630">
        <v>1550</v>
      </c>
      <c r="Y9630" t="s">
        <v>26653</v>
      </c>
      <c r="Z9630" t="s">
        <v>26668</v>
      </c>
      <c r="AB9630" t="s">
        <v>27025</v>
      </c>
      <c r="AD9630" t="s">
        <v>44296</v>
      </c>
      <c r="AE9630">
        <v>0</v>
      </c>
      <c r="AF9630" t="s">
        <v>20460</v>
      </c>
      <c r="AH9630">
        <v>2</v>
      </c>
      <c r="AI9630">
        <v>3</v>
      </c>
      <c r="AJ9630">
        <v>0</v>
      </c>
      <c r="AK9630">
        <v>110.68</v>
      </c>
      <c r="AN9630" t="s">
        <v>7439</v>
      </c>
      <c r="AO9630">
        <v>23000</v>
      </c>
      <c r="AU9630">
        <v>4</v>
      </c>
      <c r="AV9630" t="s">
        <v>744</v>
      </c>
      <c r="AW9630" t="s">
        <v>208</v>
      </c>
    </row>
    <row r="9631" spans="1:49">
      <c r="A9631" s="1">
        <f>HYPERLINK("https://lsnyc.legalserver.org/matter/dynamic-profile/view/1886726","18-1886726")</f>
        <v>0</v>
      </c>
      <c r="B9631" t="s">
        <v>115</v>
      </c>
      <c r="C9631" t="s">
        <v>340</v>
      </c>
      <c r="D9631" t="s">
        <v>712</v>
      </c>
      <c r="F9631" t="s">
        <v>986</v>
      </c>
      <c r="G9631" t="s">
        <v>9118</v>
      </c>
      <c r="H9631" t="s">
        <v>13166</v>
      </c>
      <c r="I9631" t="s">
        <v>17352</v>
      </c>
      <c r="J9631" t="s">
        <v>18892</v>
      </c>
      <c r="K9631">
        <v>10467</v>
      </c>
      <c r="L9631" t="s">
        <v>18958</v>
      </c>
      <c r="M9631" t="s">
        <v>18958</v>
      </c>
      <c r="O9631" t="s">
        <v>26526</v>
      </c>
      <c r="P9631" t="s">
        <v>26560</v>
      </c>
      <c r="R9631" t="s">
        <v>26578</v>
      </c>
      <c r="S9631" t="s">
        <v>18958</v>
      </c>
      <c r="U9631" t="s">
        <v>26604</v>
      </c>
      <c r="X9631">
        <v>1522.5</v>
      </c>
      <c r="Y9631" t="s">
        <v>26650</v>
      </c>
      <c r="Z9631" t="s">
        <v>26663</v>
      </c>
      <c r="AB9631" t="s">
        <v>33534</v>
      </c>
      <c r="AE9631">
        <v>0</v>
      </c>
      <c r="AF9631" t="s">
        <v>45541</v>
      </c>
      <c r="AG9631" t="s">
        <v>19330</v>
      </c>
      <c r="AH9631">
        <v>3</v>
      </c>
      <c r="AI9631">
        <v>2</v>
      </c>
      <c r="AJ9631">
        <v>2</v>
      </c>
      <c r="AK9631">
        <v>214.57</v>
      </c>
      <c r="AN9631" t="s">
        <v>7439</v>
      </c>
      <c r="AO9631">
        <v>53856</v>
      </c>
      <c r="AU9631">
        <v>0</v>
      </c>
      <c r="AW9631" t="s">
        <v>46832</v>
      </c>
    </row>
    <row r="9632" spans="1:49">
      <c r="A9632" s="1">
        <f>HYPERLINK("https://lsnyc.legalserver.org/matter/dynamic-profile/view/1886659","18-1886659")</f>
        <v>0</v>
      </c>
      <c r="B9632" t="s">
        <v>194</v>
      </c>
      <c r="C9632" t="s">
        <v>340</v>
      </c>
      <c r="D9632" t="s">
        <v>712</v>
      </c>
      <c r="F9632" t="s">
        <v>4611</v>
      </c>
      <c r="G9632" t="s">
        <v>9119</v>
      </c>
      <c r="H9632" t="s">
        <v>16210</v>
      </c>
      <c r="I9632" t="s">
        <v>18701</v>
      </c>
      <c r="J9632" t="s">
        <v>18893</v>
      </c>
      <c r="K9632">
        <v>10033</v>
      </c>
      <c r="L9632" t="s">
        <v>18958</v>
      </c>
      <c r="M9632" t="s">
        <v>18958</v>
      </c>
      <c r="N9632" t="s">
        <v>25626</v>
      </c>
      <c r="O9632" t="s">
        <v>26523</v>
      </c>
      <c r="P9632" t="s">
        <v>26564</v>
      </c>
      <c r="R9632" t="s">
        <v>26582</v>
      </c>
      <c r="S9632" t="s">
        <v>18959</v>
      </c>
      <c r="U9632" t="s">
        <v>26604</v>
      </c>
      <c r="X9632">
        <v>2050</v>
      </c>
      <c r="Y9632" t="s">
        <v>26651</v>
      </c>
      <c r="Z9632" t="s">
        <v>26664</v>
      </c>
      <c r="AB9632" t="s">
        <v>33535</v>
      </c>
      <c r="AD9632" t="s">
        <v>44297</v>
      </c>
      <c r="AE9632">
        <v>0</v>
      </c>
      <c r="AF9632" t="s">
        <v>20460</v>
      </c>
      <c r="AG9632" t="s">
        <v>19330</v>
      </c>
      <c r="AH9632">
        <v>-1</v>
      </c>
      <c r="AI9632">
        <v>1</v>
      </c>
      <c r="AJ9632">
        <v>0</v>
      </c>
      <c r="AK9632">
        <v>153.21</v>
      </c>
      <c r="AN9632" t="s">
        <v>7439</v>
      </c>
      <c r="AO9632">
        <v>18600</v>
      </c>
      <c r="AU9632">
        <v>0.6</v>
      </c>
      <c r="AV9632" t="s">
        <v>415</v>
      </c>
      <c r="AW9632" t="s">
        <v>46875</v>
      </c>
    </row>
    <row r="9633" spans="1:49">
      <c r="A9633" s="1">
        <f>HYPERLINK("https://lsnyc.legalserver.org/matter/dynamic-profile/view/1886742","18-1886742")</f>
        <v>0</v>
      </c>
      <c r="B9633" t="s">
        <v>96</v>
      </c>
      <c r="C9633" t="s">
        <v>340</v>
      </c>
      <c r="D9633" t="s">
        <v>494</v>
      </c>
      <c r="F9633" t="s">
        <v>4612</v>
      </c>
      <c r="G9633" t="s">
        <v>1685</v>
      </c>
      <c r="H9633" t="s">
        <v>14218</v>
      </c>
      <c r="I9633">
        <v>7</v>
      </c>
      <c r="J9633" t="s">
        <v>18892</v>
      </c>
      <c r="K9633">
        <v>10457</v>
      </c>
      <c r="L9633" t="s">
        <v>18958</v>
      </c>
      <c r="M9633" t="s">
        <v>18958</v>
      </c>
      <c r="N9633" t="s">
        <v>25627</v>
      </c>
      <c r="O9633" t="s">
        <v>26523</v>
      </c>
      <c r="P9633" t="s">
        <v>26560</v>
      </c>
      <c r="R9633" t="s">
        <v>26591</v>
      </c>
      <c r="U9633" t="s">
        <v>26604</v>
      </c>
      <c r="V9633" t="s">
        <v>26610</v>
      </c>
      <c r="X9633">
        <v>0</v>
      </c>
      <c r="Y9633" t="s">
        <v>26650</v>
      </c>
      <c r="Z9633" t="s">
        <v>26664</v>
      </c>
      <c r="AB9633" t="s">
        <v>29226</v>
      </c>
      <c r="AE9633">
        <v>0</v>
      </c>
      <c r="AH9633">
        <v>5</v>
      </c>
      <c r="AI9633">
        <v>1</v>
      </c>
      <c r="AJ9633">
        <v>0</v>
      </c>
      <c r="AK9633">
        <v>19.6</v>
      </c>
      <c r="AN9633" t="s">
        <v>45583</v>
      </c>
      <c r="AO9633">
        <v>2379</v>
      </c>
      <c r="AP9633" t="s">
        <v>46188</v>
      </c>
      <c r="AU9633">
        <v>5.05</v>
      </c>
      <c r="AV9633" t="s">
        <v>745</v>
      </c>
      <c r="AW9633" t="s">
        <v>334</v>
      </c>
    </row>
    <row r="9634" spans="1:49">
      <c r="A9634" s="1">
        <f>HYPERLINK("https://lsnyc.legalserver.org/matter/dynamic-profile/view/1886748","18-1886748")</f>
        <v>0</v>
      </c>
      <c r="B9634" t="s">
        <v>115</v>
      </c>
      <c r="C9634" t="s">
        <v>340</v>
      </c>
      <c r="D9634" t="s">
        <v>494</v>
      </c>
      <c r="F9634" t="s">
        <v>4613</v>
      </c>
      <c r="G9634" t="s">
        <v>9120</v>
      </c>
      <c r="H9634" t="s">
        <v>16211</v>
      </c>
      <c r="I9634" t="s">
        <v>17436</v>
      </c>
      <c r="J9634" t="s">
        <v>18892</v>
      </c>
      <c r="K9634">
        <v>10459</v>
      </c>
      <c r="L9634" t="s">
        <v>18960</v>
      </c>
      <c r="M9634" t="s">
        <v>18960</v>
      </c>
      <c r="N9634" t="s">
        <v>25628</v>
      </c>
      <c r="O9634" t="s">
        <v>26523</v>
      </c>
      <c r="R9634" t="s">
        <v>26591</v>
      </c>
      <c r="U9634" t="s">
        <v>26604</v>
      </c>
      <c r="X9634">
        <v>1100</v>
      </c>
      <c r="Y9634" t="s">
        <v>26650</v>
      </c>
      <c r="Z9634" t="s">
        <v>26673</v>
      </c>
      <c r="AB9634" t="s">
        <v>33536</v>
      </c>
      <c r="AD9634" t="s">
        <v>44298</v>
      </c>
      <c r="AE9634">
        <v>3</v>
      </c>
      <c r="AH9634">
        <v>6</v>
      </c>
      <c r="AI9634">
        <v>1</v>
      </c>
      <c r="AJ9634">
        <v>0</v>
      </c>
      <c r="AK9634">
        <v>64.25</v>
      </c>
      <c r="AN9634" t="s">
        <v>7439</v>
      </c>
      <c r="AO9634">
        <v>7800</v>
      </c>
      <c r="AP9634" t="s">
        <v>46189</v>
      </c>
      <c r="AU9634">
        <v>1</v>
      </c>
      <c r="AV9634" t="s">
        <v>494</v>
      </c>
      <c r="AW9634" t="s">
        <v>46861</v>
      </c>
    </row>
    <row r="9635" spans="1:49">
      <c r="A9635" s="1">
        <f>HYPERLINK("https://lsnyc.legalserver.org/matter/dynamic-profile/view/1886769","18-1886769")</f>
        <v>0</v>
      </c>
      <c r="B9635" t="s">
        <v>115</v>
      </c>
      <c r="C9635" t="s">
        <v>340</v>
      </c>
      <c r="D9635" t="s">
        <v>494</v>
      </c>
      <c r="F9635" t="s">
        <v>1594</v>
      </c>
      <c r="G9635" t="s">
        <v>5121</v>
      </c>
      <c r="H9635" t="s">
        <v>13166</v>
      </c>
      <c r="I9635" t="s">
        <v>17298</v>
      </c>
      <c r="J9635" t="s">
        <v>18892</v>
      </c>
      <c r="K9635">
        <v>10467</v>
      </c>
      <c r="L9635" t="s">
        <v>18958</v>
      </c>
      <c r="M9635" t="s">
        <v>18958</v>
      </c>
      <c r="O9635" t="s">
        <v>26526</v>
      </c>
      <c r="P9635" t="s">
        <v>26560</v>
      </c>
      <c r="R9635" t="s">
        <v>26578</v>
      </c>
      <c r="S9635" t="s">
        <v>18958</v>
      </c>
      <c r="U9635" t="s">
        <v>26604</v>
      </c>
      <c r="X9635">
        <v>0</v>
      </c>
      <c r="Y9635" t="s">
        <v>26650</v>
      </c>
      <c r="Z9635" t="s">
        <v>26663</v>
      </c>
      <c r="AB9635" t="s">
        <v>30319</v>
      </c>
      <c r="AD9635" t="s">
        <v>44299</v>
      </c>
      <c r="AE9635">
        <v>59</v>
      </c>
      <c r="AF9635" t="s">
        <v>45541</v>
      </c>
      <c r="AG9635" t="s">
        <v>19330</v>
      </c>
      <c r="AH9635">
        <v>1</v>
      </c>
      <c r="AI9635">
        <v>1</v>
      </c>
      <c r="AJ9635">
        <v>0</v>
      </c>
      <c r="AK9635">
        <v>49.42</v>
      </c>
      <c r="AN9635" t="s">
        <v>7439</v>
      </c>
      <c r="AO9635">
        <v>6000</v>
      </c>
      <c r="AU9635">
        <v>0</v>
      </c>
      <c r="AW9635" t="s">
        <v>46832</v>
      </c>
    </row>
    <row r="9636" spans="1:49">
      <c r="A9636" s="1">
        <f>HYPERLINK("https://lsnyc.legalserver.org/matter/dynamic-profile/view/1886771","18-1886771")</f>
        <v>0</v>
      </c>
      <c r="B9636" t="s">
        <v>115</v>
      </c>
      <c r="C9636" t="s">
        <v>340</v>
      </c>
      <c r="D9636" t="s">
        <v>494</v>
      </c>
      <c r="F9636" t="s">
        <v>1858</v>
      </c>
      <c r="G9636" t="s">
        <v>7379</v>
      </c>
      <c r="H9636" t="s">
        <v>13166</v>
      </c>
      <c r="I9636" t="s">
        <v>17279</v>
      </c>
      <c r="J9636" t="s">
        <v>18892</v>
      </c>
      <c r="K9636">
        <v>10467</v>
      </c>
      <c r="L9636" t="s">
        <v>18958</v>
      </c>
      <c r="M9636" t="s">
        <v>18958</v>
      </c>
      <c r="O9636" t="s">
        <v>26526</v>
      </c>
      <c r="P9636" t="s">
        <v>26560</v>
      </c>
      <c r="R9636" t="s">
        <v>26578</v>
      </c>
      <c r="S9636" t="s">
        <v>18958</v>
      </c>
      <c r="U9636" t="s">
        <v>26604</v>
      </c>
      <c r="X9636">
        <v>542.6900000000001</v>
      </c>
      <c r="Y9636" t="s">
        <v>26650</v>
      </c>
      <c r="Z9636" t="s">
        <v>26663</v>
      </c>
      <c r="AB9636" t="s">
        <v>30515</v>
      </c>
      <c r="AE9636">
        <v>59</v>
      </c>
      <c r="AF9636" t="s">
        <v>45541</v>
      </c>
      <c r="AG9636" t="s">
        <v>45559</v>
      </c>
      <c r="AH9636">
        <v>43</v>
      </c>
      <c r="AI9636">
        <v>1</v>
      </c>
      <c r="AJ9636">
        <v>0</v>
      </c>
      <c r="AK9636">
        <v>74.14</v>
      </c>
      <c r="AN9636" t="s">
        <v>7439</v>
      </c>
      <c r="AO9636">
        <v>9000</v>
      </c>
      <c r="AU9636">
        <v>0</v>
      </c>
      <c r="AW9636" t="s">
        <v>46832</v>
      </c>
    </row>
    <row r="9637" spans="1:49">
      <c r="A9637" s="1">
        <f>HYPERLINK("https://lsnyc.legalserver.org/matter/dynamic-profile/view/1886861","19-1886861")</f>
        <v>0</v>
      </c>
      <c r="B9637" t="s">
        <v>286</v>
      </c>
      <c r="C9637" t="s">
        <v>341</v>
      </c>
      <c r="D9637" t="s">
        <v>713</v>
      </c>
      <c r="E9637" t="s">
        <v>713</v>
      </c>
      <c r="F9637" t="s">
        <v>4614</v>
      </c>
      <c r="G9637" t="s">
        <v>5664</v>
      </c>
      <c r="H9637" t="s">
        <v>16212</v>
      </c>
      <c r="I9637" t="s">
        <v>18702</v>
      </c>
      <c r="J9637" t="s">
        <v>18894</v>
      </c>
      <c r="K9637">
        <v>11212</v>
      </c>
      <c r="L9637" t="s">
        <v>18960</v>
      </c>
      <c r="M9637" t="s">
        <v>18960</v>
      </c>
      <c r="O9637" t="s">
        <v>26523</v>
      </c>
      <c r="P9637" t="s">
        <v>26564</v>
      </c>
      <c r="Q9637" t="s">
        <v>26570</v>
      </c>
      <c r="R9637" t="s">
        <v>26578</v>
      </c>
      <c r="S9637" t="s">
        <v>18959</v>
      </c>
      <c r="U9637" t="s">
        <v>26604</v>
      </c>
      <c r="X9637">
        <v>817</v>
      </c>
      <c r="Y9637" t="s">
        <v>26652</v>
      </c>
      <c r="AA9637" t="s">
        <v>26683</v>
      </c>
      <c r="AB9637" t="s">
        <v>28029</v>
      </c>
      <c r="AD9637" t="s">
        <v>44300</v>
      </c>
      <c r="AE9637">
        <v>3</v>
      </c>
      <c r="AG9637" t="s">
        <v>45556</v>
      </c>
      <c r="AH9637">
        <v>9</v>
      </c>
      <c r="AI9637">
        <v>2</v>
      </c>
      <c r="AJ9637">
        <v>1</v>
      </c>
      <c r="AK9637">
        <v>97.81999999999999</v>
      </c>
      <c r="AN9637" t="s">
        <v>45581</v>
      </c>
      <c r="AO9637">
        <v>20328</v>
      </c>
      <c r="AU9637">
        <v>0.5</v>
      </c>
      <c r="AV9637" t="s">
        <v>713</v>
      </c>
      <c r="AW9637" t="s">
        <v>46829</v>
      </c>
    </row>
    <row r="9638" spans="1:49">
      <c r="A9638" s="1">
        <f>HYPERLINK("https://lsnyc.legalserver.org/matter/dynamic-profile/view/1888255","19-1888255")</f>
        <v>0</v>
      </c>
      <c r="B9638" t="s">
        <v>143</v>
      </c>
      <c r="C9638" t="s">
        <v>341</v>
      </c>
      <c r="D9638" t="s">
        <v>713</v>
      </c>
      <c r="E9638" t="s">
        <v>785</v>
      </c>
      <c r="F9638" t="s">
        <v>1063</v>
      </c>
      <c r="G9638" t="s">
        <v>9121</v>
      </c>
      <c r="H9638" t="s">
        <v>10138</v>
      </c>
      <c r="I9638">
        <v>206</v>
      </c>
      <c r="J9638" t="s">
        <v>18892</v>
      </c>
      <c r="K9638">
        <v>10457</v>
      </c>
      <c r="L9638" t="s">
        <v>18960</v>
      </c>
      <c r="M9638" t="s">
        <v>18960</v>
      </c>
      <c r="N9638" t="s">
        <v>25629</v>
      </c>
      <c r="O9638" t="s">
        <v>26523</v>
      </c>
      <c r="P9638" t="s">
        <v>26564</v>
      </c>
      <c r="Q9638" t="s">
        <v>26570</v>
      </c>
      <c r="R9638" t="s">
        <v>26579</v>
      </c>
      <c r="S9638" t="s">
        <v>18959</v>
      </c>
      <c r="U9638" t="s">
        <v>26604</v>
      </c>
      <c r="V9638" t="s">
        <v>26611</v>
      </c>
      <c r="X9638">
        <v>0</v>
      </c>
      <c r="Y9638" t="s">
        <v>26650</v>
      </c>
      <c r="AA9638" t="s">
        <v>26683</v>
      </c>
      <c r="AB9638" t="s">
        <v>33537</v>
      </c>
      <c r="AD9638" t="s">
        <v>44301</v>
      </c>
      <c r="AE9638">
        <v>73</v>
      </c>
      <c r="AH9638">
        <v>0</v>
      </c>
      <c r="AI9638">
        <v>1</v>
      </c>
      <c r="AJ9638">
        <v>0</v>
      </c>
      <c r="AK9638">
        <v>156.57</v>
      </c>
      <c r="AN9638" t="s">
        <v>7439</v>
      </c>
      <c r="AO9638">
        <v>19008</v>
      </c>
      <c r="AP9638" t="s">
        <v>46190</v>
      </c>
      <c r="AU9638">
        <v>0.1</v>
      </c>
      <c r="AV9638" t="s">
        <v>744</v>
      </c>
      <c r="AW9638" t="s">
        <v>336</v>
      </c>
    </row>
    <row r="9639" spans="1:49">
      <c r="A9639" s="1">
        <f>HYPERLINK("https://lsnyc.legalserver.org/matter/dynamic-profile/view/1886844","19-1886844")</f>
        <v>0</v>
      </c>
      <c r="B9639" t="s">
        <v>249</v>
      </c>
      <c r="C9639" t="s">
        <v>341</v>
      </c>
      <c r="D9639" t="s">
        <v>713</v>
      </c>
      <c r="E9639" t="s">
        <v>803</v>
      </c>
      <c r="F9639" t="s">
        <v>1785</v>
      </c>
      <c r="G9639" t="s">
        <v>5643</v>
      </c>
      <c r="H9639" t="s">
        <v>16213</v>
      </c>
      <c r="I9639" t="s">
        <v>17963</v>
      </c>
      <c r="J9639" t="s">
        <v>18894</v>
      </c>
      <c r="K9639">
        <v>11207</v>
      </c>
      <c r="L9639" t="s">
        <v>18960</v>
      </c>
      <c r="M9639" t="s">
        <v>18960</v>
      </c>
      <c r="Q9639" t="s">
        <v>26570</v>
      </c>
      <c r="R9639" t="s">
        <v>26591</v>
      </c>
      <c r="U9639" t="s">
        <v>26604</v>
      </c>
      <c r="X9639">
        <v>1800</v>
      </c>
      <c r="Y9639" t="s">
        <v>26652</v>
      </c>
      <c r="Z9639" t="s">
        <v>26670</v>
      </c>
      <c r="AA9639" t="s">
        <v>26683</v>
      </c>
      <c r="AB9639" t="s">
        <v>33538</v>
      </c>
      <c r="AD9639" t="s">
        <v>44302</v>
      </c>
      <c r="AE9639">
        <v>8</v>
      </c>
      <c r="AH9639">
        <v>5</v>
      </c>
      <c r="AI9639">
        <v>1</v>
      </c>
      <c r="AJ9639">
        <v>0</v>
      </c>
      <c r="AK9639">
        <v>191.07</v>
      </c>
      <c r="AN9639" t="s">
        <v>45581</v>
      </c>
      <c r="AO9639">
        <v>23196</v>
      </c>
      <c r="AU9639">
        <v>2.6</v>
      </c>
      <c r="AV9639" t="s">
        <v>458</v>
      </c>
      <c r="AW9639" t="s">
        <v>46850</v>
      </c>
    </row>
    <row r="9640" spans="1:49">
      <c r="A9640" s="1">
        <f>HYPERLINK("https://lsnyc.legalserver.org/matter/dynamic-profile/view/1886797","19-1886797")</f>
        <v>0</v>
      </c>
      <c r="B9640" t="s">
        <v>94</v>
      </c>
      <c r="C9640" t="s">
        <v>340</v>
      </c>
      <c r="D9640" t="s">
        <v>713</v>
      </c>
      <c r="F9640" t="s">
        <v>3889</v>
      </c>
      <c r="G9640" t="s">
        <v>5445</v>
      </c>
      <c r="H9640" t="s">
        <v>14354</v>
      </c>
      <c r="I9640" t="s">
        <v>17349</v>
      </c>
      <c r="J9640" t="s">
        <v>18893</v>
      </c>
      <c r="K9640">
        <v>10027</v>
      </c>
      <c r="L9640" t="s">
        <v>18960</v>
      </c>
      <c r="M9640" t="s">
        <v>18958</v>
      </c>
      <c r="N9640" t="s">
        <v>25630</v>
      </c>
      <c r="O9640" t="s">
        <v>26523</v>
      </c>
      <c r="P9640" t="s">
        <v>26560</v>
      </c>
      <c r="R9640" t="s">
        <v>26580</v>
      </c>
      <c r="S9640" t="s">
        <v>18959</v>
      </c>
      <c r="U9640" t="s">
        <v>26604</v>
      </c>
      <c r="X9640">
        <v>1588</v>
      </c>
      <c r="Y9640" t="s">
        <v>26651</v>
      </c>
      <c r="Z9640" t="s">
        <v>26664</v>
      </c>
      <c r="AB9640" t="s">
        <v>33539</v>
      </c>
      <c r="AD9640" t="s">
        <v>44303</v>
      </c>
      <c r="AE9640">
        <v>0</v>
      </c>
      <c r="AF9640" t="s">
        <v>20460</v>
      </c>
      <c r="AG9640" t="s">
        <v>45556</v>
      </c>
      <c r="AH9640">
        <v>23</v>
      </c>
      <c r="AI9640">
        <v>3</v>
      </c>
      <c r="AJ9640">
        <v>1</v>
      </c>
      <c r="AK9640">
        <v>192.47</v>
      </c>
      <c r="AN9640" t="s">
        <v>45581</v>
      </c>
      <c r="AO9640">
        <v>48309.74</v>
      </c>
      <c r="AU9640">
        <v>30.3</v>
      </c>
      <c r="AV9640" t="s">
        <v>724</v>
      </c>
      <c r="AW9640" t="s">
        <v>46875</v>
      </c>
    </row>
    <row r="9641" spans="1:49">
      <c r="A9641" s="1">
        <f>HYPERLINK("https://lsnyc.legalserver.org/matter/dynamic-profile/view/1886876","19-1886876")</f>
        <v>0</v>
      </c>
      <c r="B9641" t="s">
        <v>55</v>
      </c>
      <c r="C9641" t="s">
        <v>340</v>
      </c>
      <c r="D9641" t="s">
        <v>713</v>
      </c>
      <c r="F9641" t="s">
        <v>890</v>
      </c>
      <c r="G9641" t="s">
        <v>9122</v>
      </c>
      <c r="H9641" t="s">
        <v>12199</v>
      </c>
      <c r="I9641" t="s">
        <v>17939</v>
      </c>
      <c r="J9641" t="s">
        <v>18892</v>
      </c>
      <c r="K9641">
        <v>10460</v>
      </c>
      <c r="L9641" t="s">
        <v>18958</v>
      </c>
      <c r="M9641" t="s">
        <v>18959</v>
      </c>
      <c r="N9641" t="s">
        <v>23963</v>
      </c>
      <c r="O9641" t="s">
        <v>26526</v>
      </c>
      <c r="P9641" t="s">
        <v>26560</v>
      </c>
      <c r="R9641" t="s">
        <v>26578</v>
      </c>
      <c r="S9641" t="s">
        <v>18958</v>
      </c>
      <c r="U9641" t="s">
        <v>26604</v>
      </c>
      <c r="X9641">
        <v>832.5</v>
      </c>
      <c r="Y9641" t="s">
        <v>26650</v>
      </c>
      <c r="Z9641" t="s">
        <v>26663</v>
      </c>
      <c r="AB9641" t="s">
        <v>33540</v>
      </c>
      <c r="AD9641" t="s">
        <v>44304</v>
      </c>
      <c r="AE9641">
        <v>169</v>
      </c>
      <c r="AF9641" t="s">
        <v>45541</v>
      </c>
      <c r="AG9641" t="s">
        <v>45556</v>
      </c>
      <c r="AH9641">
        <v>15</v>
      </c>
      <c r="AI9641">
        <v>2</v>
      </c>
      <c r="AJ9641">
        <v>1</v>
      </c>
      <c r="AK9641">
        <v>66.53</v>
      </c>
      <c r="AN9641" t="s">
        <v>7439</v>
      </c>
      <c r="AO9641">
        <v>13824</v>
      </c>
      <c r="AU9641">
        <v>0</v>
      </c>
      <c r="AW9641" t="s">
        <v>336</v>
      </c>
    </row>
    <row r="9642" spans="1:49">
      <c r="A9642" s="1">
        <f>HYPERLINK("https://lsnyc.legalserver.org/matter/dynamic-profile/view/1886798","19-1886798")</f>
        <v>0</v>
      </c>
      <c r="B9642" t="s">
        <v>200</v>
      </c>
      <c r="C9642" t="s">
        <v>340</v>
      </c>
      <c r="D9642" t="s">
        <v>713</v>
      </c>
      <c r="F9642" t="s">
        <v>1538</v>
      </c>
      <c r="G9642" t="s">
        <v>9123</v>
      </c>
      <c r="H9642" t="s">
        <v>16214</v>
      </c>
      <c r="I9642" t="s">
        <v>17696</v>
      </c>
      <c r="J9642" t="s">
        <v>18894</v>
      </c>
      <c r="K9642">
        <v>11235</v>
      </c>
      <c r="L9642" t="s">
        <v>18960</v>
      </c>
      <c r="M9642" t="s">
        <v>18960</v>
      </c>
      <c r="R9642" t="s">
        <v>26591</v>
      </c>
      <c r="U9642" t="s">
        <v>26604</v>
      </c>
      <c r="X9642">
        <v>2200</v>
      </c>
      <c r="Y9642" t="s">
        <v>26652</v>
      </c>
      <c r="Z9642" t="s">
        <v>26659</v>
      </c>
      <c r="AB9642" t="s">
        <v>33291</v>
      </c>
      <c r="AD9642" t="s">
        <v>44305</v>
      </c>
      <c r="AE9642">
        <v>96</v>
      </c>
      <c r="AF9642" t="s">
        <v>45541</v>
      </c>
      <c r="AG9642" t="s">
        <v>19330</v>
      </c>
      <c r="AH9642">
        <v>0</v>
      </c>
      <c r="AI9642">
        <v>1</v>
      </c>
      <c r="AJ9642">
        <v>0</v>
      </c>
      <c r="AK9642">
        <v>59.6</v>
      </c>
      <c r="AN9642" t="s">
        <v>45586</v>
      </c>
      <c r="AO9642">
        <v>7236</v>
      </c>
      <c r="AU9642">
        <v>1.2</v>
      </c>
      <c r="AV9642" t="s">
        <v>704</v>
      </c>
      <c r="AW9642" t="s">
        <v>46858</v>
      </c>
    </row>
    <row r="9643" spans="1:49">
      <c r="A9643" s="1">
        <f>HYPERLINK("https://lsnyc.legalserver.org/matter/dynamic-profile/view/1886848","19-1886848")</f>
        <v>0</v>
      </c>
      <c r="B9643" t="s">
        <v>200</v>
      </c>
      <c r="C9643" t="s">
        <v>340</v>
      </c>
      <c r="D9643" t="s">
        <v>713</v>
      </c>
      <c r="F9643" t="s">
        <v>1253</v>
      </c>
      <c r="G9643" t="s">
        <v>879</v>
      </c>
      <c r="H9643" t="s">
        <v>16215</v>
      </c>
      <c r="I9643" t="s">
        <v>17331</v>
      </c>
      <c r="J9643" t="s">
        <v>18894</v>
      </c>
      <c r="K9643">
        <v>11206</v>
      </c>
      <c r="L9643" t="s">
        <v>18960</v>
      </c>
      <c r="M9643" t="s">
        <v>18960</v>
      </c>
      <c r="O9643" t="s">
        <v>18997</v>
      </c>
      <c r="R9643" t="s">
        <v>26586</v>
      </c>
      <c r="U9643" t="s">
        <v>26607</v>
      </c>
      <c r="X9643">
        <v>600</v>
      </c>
      <c r="Y9643" t="s">
        <v>26652</v>
      </c>
      <c r="Z9643" t="s">
        <v>26659</v>
      </c>
      <c r="AB9643" t="s">
        <v>33541</v>
      </c>
      <c r="AE9643">
        <v>6</v>
      </c>
      <c r="AH9643">
        <v>21</v>
      </c>
      <c r="AI9643">
        <v>2</v>
      </c>
      <c r="AJ9643">
        <v>0</v>
      </c>
      <c r="AK9643">
        <v>212.64</v>
      </c>
      <c r="AN9643" t="s">
        <v>7439</v>
      </c>
      <c r="AO9643">
        <v>35000</v>
      </c>
      <c r="AU9643">
        <v>0</v>
      </c>
      <c r="AW9643" t="s">
        <v>46853</v>
      </c>
    </row>
    <row r="9644" spans="1:49">
      <c r="A9644" s="1">
        <f>HYPERLINK("https://lsnyc.legalserver.org/matter/dynamic-profile/view/1886879","19-1886879")</f>
        <v>0</v>
      </c>
      <c r="B9644" t="s">
        <v>115</v>
      </c>
      <c r="C9644" t="s">
        <v>340</v>
      </c>
      <c r="D9644" t="s">
        <v>713</v>
      </c>
      <c r="F9644" t="s">
        <v>3182</v>
      </c>
      <c r="G9644" t="s">
        <v>6242</v>
      </c>
      <c r="H9644" t="s">
        <v>16216</v>
      </c>
      <c r="I9644">
        <v>414</v>
      </c>
      <c r="J9644" t="s">
        <v>18892</v>
      </c>
      <c r="K9644">
        <v>10453</v>
      </c>
      <c r="L9644" t="s">
        <v>18960</v>
      </c>
      <c r="M9644" t="s">
        <v>18960</v>
      </c>
      <c r="N9644" t="s">
        <v>25631</v>
      </c>
      <c r="O9644" t="s">
        <v>26523</v>
      </c>
      <c r="R9644" t="s">
        <v>26591</v>
      </c>
      <c r="U9644" t="s">
        <v>26604</v>
      </c>
      <c r="X9644">
        <v>860</v>
      </c>
      <c r="Y9644" t="s">
        <v>26650</v>
      </c>
      <c r="AB9644" t="s">
        <v>33542</v>
      </c>
      <c r="AD9644" t="s">
        <v>44306</v>
      </c>
      <c r="AE9644">
        <v>135</v>
      </c>
      <c r="AH9644">
        <v>25</v>
      </c>
      <c r="AI9644">
        <v>1</v>
      </c>
      <c r="AJ9644">
        <v>0</v>
      </c>
      <c r="AK9644">
        <v>0</v>
      </c>
      <c r="AN9644" t="s">
        <v>7439</v>
      </c>
      <c r="AO9644">
        <v>0</v>
      </c>
      <c r="AP9644" t="s">
        <v>46191</v>
      </c>
      <c r="AU9644">
        <v>1</v>
      </c>
      <c r="AV9644" t="s">
        <v>713</v>
      </c>
      <c r="AW9644" t="s">
        <v>46857</v>
      </c>
    </row>
    <row r="9645" spans="1:49">
      <c r="A9645" s="1">
        <f>HYPERLINK("https://lsnyc.legalserver.org/matter/dynamic-profile/view/1886872","19-1886872")</f>
        <v>0</v>
      </c>
      <c r="B9645" t="s">
        <v>115</v>
      </c>
      <c r="C9645" t="s">
        <v>340</v>
      </c>
      <c r="D9645" t="s">
        <v>713</v>
      </c>
      <c r="F9645" t="s">
        <v>4615</v>
      </c>
      <c r="G9645" t="s">
        <v>5138</v>
      </c>
      <c r="H9645" t="s">
        <v>11550</v>
      </c>
      <c r="I9645" t="s">
        <v>17366</v>
      </c>
      <c r="J9645" t="s">
        <v>18892</v>
      </c>
      <c r="K9645">
        <v>10453</v>
      </c>
      <c r="L9645" t="s">
        <v>18960</v>
      </c>
      <c r="M9645" t="s">
        <v>18960</v>
      </c>
      <c r="N9645" t="s">
        <v>25632</v>
      </c>
      <c r="O9645" t="s">
        <v>26523</v>
      </c>
      <c r="R9645" t="s">
        <v>26591</v>
      </c>
      <c r="U9645" t="s">
        <v>26604</v>
      </c>
      <c r="X9645">
        <v>1177</v>
      </c>
      <c r="Y9645" t="s">
        <v>26650</v>
      </c>
      <c r="AB9645" t="s">
        <v>32296</v>
      </c>
      <c r="AD9645" t="s">
        <v>44307</v>
      </c>
      <c r="AE9645">
        <v>24</v>
      </c>
      <c r="AH9645">
        <v>6</v>
      </c>
      <c r="AI9645">
        <v>1</v>
      </c>
      <c r="AJ9645">
        <v>2</v>
      </c>
      <c r="AK9645">
        <v>22.81</v>
      </c>
      <c r="AN9645" t="s">
        <v>7439</v>
      </c>
      <c r="AO9645">
        <v>4740</v>
      </c>
      <c r="AP9645" t="s">
        <v>46191</v>
      </c>
      <c r="AU9645">
        <v>1</v>
      </c>
      <c r="AV9645" t="s">
        <v>713</v>
      </c>
      <c r="AW9645" t="s">
        <v>46857</v>
      </c>
    </row>
    <row r="9646" spans="1:49">
      <c r="A9646" s="1">
        <f>HYPERLINK("https://lsnyc.legalserver.org/matter/dynamic-profile/view/1886826","19-1886826")</f>
        <v>0</v>
      </c>
      <c r="B9646" t="s">
        <v>194</v>
      </c>
      <c r="C9646" t="s">
        <v>340</v>
      </c>
      <c r="D9646" t="s">
        <v>713</v>
      </c>
      <c r="F9646" t="s">
        <v>2651</v>
      </c>
      <c r="G9646" t="s">
        <v>5748</v>
      </c>
      <c r="H9646" t="s">
        <v>16217</v>
      </c>
      <c r="I9646">
        <v>31</v>
      </c>
      <c r="J9646" t="s">
        <v>18893</v>
      </c>
      <c r="K9646">
        <v>10031</v>
      </c>
      <c r="L9646" t="s">
        <v>18958</v>
      </c>
      <c r="M9646" t="s">
        <v>18958</v>
      </c>
      <c r="N9646" t="s">
        <v>25633</v>
      </c>
      <c r="O9646" t="s">
        <v>26523</v>
      </c>
      <c r="P9646" t="s">
        <v>26560</v>
      </c>
      <c r="R9646" t="s">
        <v>26580</v>
      </c>
      <c r="S9646" t="s">
        <v>18959</v>
      </c>
      <c r="U9646" t="s">
        <v>26604</v>
      </c>
      <c r="V9646" t="s">
        <v>26610</v>
      </c>
      <c r="X9646">
        <v>1243</v>
      </c>
      <c r="Y9646" t="s">
        <v>26651</v>
      </c>
      <c r="Z9646" t="s">
        <v>26664</v>
      </c>
      <c r="AB9646" t="s">
        <v>33543</v>
      </c>
      <c r="AC9646" t="s">
        <v>36652</v>
      </c>
      <c r="AD9646" t="s">
        <v>44308</v>
      </c>
      <c r="AE9646">
        <v>0</v>
      </c>
      <c r="AF9646" t="s">
        <v>45541</v>
      </c>
      <c r="AG9646" t="s">
        <v>45556</v>
      </c>
      <c r="AH9646">
        <v>32</v>
      </c>
      <c r="AI9646">
        <v>1</v>
      </c>
      <c r="AJ9646">
        <v>3</v>
      </c>
      <c r="AK9646">
        <v>14.34</v>
      </c>
      <c r="AN9646" t="s">
        <v>7439</v>
      </c>
      <c r="AO9646">
        <v>3600</v>
      </c>
      <c r="AU9646">
        <v>8.300000000000001</v>
      </c>
      <c r="AV9646" t="s">
        <v>659</v>
      </c>
      <c r="AW9646" t="s">
        <v>46875</v>
      </c>
    </row>
    <row r="9647" spans="1:49">
      <c r="A9647" s="1">
        <f>HYPERLINK("https://lsnyc.legalserver.org/matter/dynamic-profile/view/1884693","18-1884693")</f>
        <v>0</v>
      </c>
      <c r="B9647" t="s">
        <v>145</v>
      </c>
      <c r="C9647" t="s">
        <v>341</v>
      </c>
      <c r="D9647" t="s">
        <v>718</v>
      </c>
      <c r="E9647" t="s">
        <v>718</v>
      </c>
      <c r="F9647" t="s">
        <v>4616</v>
      </c>
      <c r="G9647" t="s">
        <v>9124</v>
      </c>
      <c r="H9647" t="s">
        <v>16218</v>
      </c>
      <c r="J9647" t="s">
        <v>18902</v>
      </c>
      <c r="K9647">
        <v>10301</v>
      </c>
      <c r="L9647" t="s">
        <v>18960</v>
      </c>
      <c r="M9647" t="s">
        <v>18960</v>
      </c>
      <c r="P9647" t="s">
        <v>26564</v>
      </c>
      <c r="Q9647" t="s">
        <v>26570</v>
      </c>
      <c r="R9647" t="s">
        <v>26587</v>
      </c>
      <c r="U9647" t="s">
        <v>26604</v>
      </c>
      <c r="X9647">
        <v>0</v>
      </c>
      <c r="Y9647" t="s">
        <v>26654</v>
      </c>
      <c r="AA9647" t="s">
        <v>26683</v>
      </c>
      <c r="AB9647" t="s">
        <v>33544</v>
      </c>
      <c r="AD9647" t="s">
        <v>44309</v>
      </c>
      <c r="AE9647">
        <v>0</v>
      </c>
      <c r="AH9647">
        <v>0</v>
      </c>
      <c r="AI9647">
        <v>2</v>
      </c>
      <c r="AJ9647">
        <v>0</v>
      </c>
      <c r="AK9647">
        <v>157.96</v>
      </c>
      <c r="AN9647" t="s">
        <v>7439</v>
      </c>
      <c r="AO9647">
        <v>26000</v>
      </c>
      <c r="AU9647">
        <v>0.6</v>
      </c>
      <c r="AV9647" t="s">
        <v>718</v>
      </c>
      <c r="AW9647" t="s">
        <v>46852</v>
      </c>
    </row>
    <row r="9648" spans="1:49">
      <c r="A9648" s="1">
        <f>HYPERLINK("https://lsnyc.legalserver.org/matter/dynamic-profile/view/1886963","19-1886963")</f>
        <v>0</v>
      </c>
      <c r="B9648" t="s">
        <v>257</v>
      </c>
      <c r="C9648" t="s">
        <v>341</v>
      </c>
      <c r="D9648" t="s">
        <v>718</v>
      </c>
      <c r="E9648" t="s">
        <v>800</v>
      </c>
      <c r="F9648" t="s">
        <v>964</v>
      </c>
      <c r="G9648" t="s">
        <v>5987</v>
      </c>
      <c r="H9648" t="s">
        <v>16219</v>
      </c>
      <c r="I9648" t="s">
        <v>17330</v>
      </c>
      <c r="J9648" t="s">
        <v>18894</v>
      </c>
      <c r="K9648">
        <v>11230</v>
      </c>
      <c r="L9648" t="s">
        <v>18960</v>
      </c>
      <c r="M9648" t="s">
        <v>18960</v>
      </c>
      <c r="N9648" t="s">
        <v>25634</v>
      </c>
      <c r="Q9648" t="s">
        <v>26570</v>
      </c>
      <c r="R9648" t="s">
        <v>26591</v>
      </c>
      <c r="U9648" t="s">
        <v>26604</v>
      </c>
      <c r="X9648">
        <v>350</v>
      </c>
      <c r="Y9648" t="s">
        <v>26652</v>
      </c>
      <c r="AA9648" t="s">
        <v>26683</v>
      </c>
      <c r="AB9648" t="s">
        <v>33545</v>
      </c>
      <c r="AE9648">
        <v>0</v>
      </c>
      <c r="AG9648" t="s">
        <v>19330</v>
      </c>
      <c r="AH9648">
        <v>28</v>
      </c>
      <c r="AI9648">
        <v>1</v>
      </c>
      <c r="AJ9648">
        <v>0</v>
      </c>
      <c r="AK9648">
        <v>123.06</v>
      </c>
      <c r="AN9648" t="s">
        <v>7439</v>
      </c>
      <c r="AO9648">
        <v>14940</v>
      </c>
      <c r="AU9648">
        <v>5.1</v>
      </c>
      <c r="AV9648" t="s">
        <v>800</v>
      </c>
      <c r="AW9648" t="s">
        <v>46842</v>
      </c>
    </row>
    <row r="9649" spans="1:49">
      <c r="A9649" s="1">
        <f>HYPERLINK("https://lsnyc.legalserver.org/matter/dynamic-profile/view/1886942","19-1886942")</f>
        <v>0</v>
      </c>
      <c r="B9649" t="s">
        <v>74</v>
      </c>
      <c r="C9649" t="s">
        <v>341</v>
      </c>
      <c r="D9649" t="s">
        <v>718</v>
      </c>
      <c r="E9649" t="s">
        <v>727</v>
      </c>
      <c r="F9649" t="s">
        <v>4617</v>
      </c>
      <c r="G9649" t="s">
        <v>5392</v>
      </c>
      <c r="H9649" t="s">
        <v>16220</v>
      </c>
      <c r="I9649">
        <v>34</v>
      </c>
      <c r="J9649" t="s">
        <v>18893</v>
      </c>
      <c r="K9649">
        <v>10033</v>
      </c>
      <c r="L9649" t="s">
        <v>18960</v>
      </c>
      <c r="M9649" t="s">
        <v>18960</v>
      </c>
      <c r="P9649" t="s">
        <v>26564</v>
      </c>
      <c r="Q9649" t="s">
        <v>26570</v>
      </c>
      <c r="R9649" t="s">
        <v>26591</v>
      </c>
      <c r="U9649" t="s">
        <v>26604</v>
      </c>
      <c r="X9649">
        <v>992</v>
      </c>
      <c r="Y9649" t="s">
        <v>26651</v>
      </c>
      <c r="AA9649" t="s">
        <v>26683</v>
      </c>
      <c r="AB9649" t="s">
        <v>33546</v>
      </c>
      <c r="AD9649" t="s">
        <v>44310</v>
      </c>
      <c r="AE9649">
        <v>20</v>
      </c>
      <c r="AG9649" t="s">
        <v>45559</v>
      </c>
      <c r="AH9649">
        <v>34</v>
      </c>
      <c r="AI9649">
        <v>2</v>
      </c>
      <c r="AJ9649">
        <v>0</v>
      </c>
      <c r="AK9649">
        <v>94.78</v>
      </c>
      <c r="AN9649" t="s">
        <v>7439</v>
      </c>
      <c r="AO9649">
        <v>15600</v>
      </c>
      <c r="AU9649">
        <v>1</v>
      </c>
      <c r="AV9649" t="s">
        <v>718</v>
      </c>
      <c r="AW9649" t="s">
        <v>46857</v>
      </c>
    </row>
    <row r="9650" spans="1:49">
      <c r="A9650" s="1">
        <f>HYPERLINK("https://lsnyc.legalserver.org/matter/dynamic-profile/view/1886914","19-1886914")</f>
        <v>0</v>
      </c>
      <c r="B9650" t="s">
        <v>200</v>
      </c>
      <c r="C9650" t="s">
        <v>341</v>
      </c>
      <c r="D9650" t="s">
        <v>718</v>
      </c>
      <c r="E9650" t="s">
        <v>693</v>
      </c>
      <c r="F9650" t="s">
        <v>4618</v>
      </c>
      <c r="G9650" t="s">
        <v>9125</v>
      </c>
      <c r="H9650" t="s">
        <v>16221</v>
      </c>
      <c r="I9650">
        <v>2</v>
      </c>
      <c r="J9650" t="s">
        <v>18894</v>
      </c>
      <c r="K9650">
        <v>11233</v>
      </c>
      <c r="L9650" t="s">
        <v>18959</v>
      </c>
      <c r="M9650" t="s">
        <v>18959</v>
      </c>
      <c r="N9650" t="s">
        <v>25635</v>
      </c>
      <c r="O9650" t="s">
        <v>26526</v>
      </c>
      <c r="Q9650" t="s">
        <v>26570</v>
      </c>
      <c r="R9650" t="s">
        <v>26578</v>
      </c>
      <c r="S9650" t="s">
        <v>26598</v>
      </c>
      <c r="U9650" t="s">
        <v>26604</v>
      </c>
      <c r="V9650" t="s">
        <v>26610</v>
      </c>
      <c r="X9650">
        <v>1200</v>
      </c>
      <c r="Y9650" t="s">
        <v>26652</v>
      </c>
      <c r="Z9650" t="s">
        <v>26670</v>
      </c>
      <c r="AA9650" t="s">
        <v>26683</v>
      </c>
      <c r="AB9650" t="s">
        <v>30749</v>
      </c>
      <c r="AC9650">
        <v>1825212</v>
      </c>
      <c r="AD9650" t="s">
        <v>44311</v>
      </c>
      <c r="AE9650">
        <v>16</v>
      </c>
      <c r="AF9650" t="s">
        <v>45541</v>
      </c>
      <c r="AG9650" t="s">
        <v>19330</v>
      </c>
      <c r="AH9650">
        <v>4</v>
      </c>
      <c r="AI9650">
        <v>2</v>
      </c>
      <c r="AJ9650">
        <v>2</v>
      </c>
      <c r="AK9650">
        <v>79.55</v>
      </c>
      <c r="AN9650" t="s">
        <v>7439</v>
      </c>
      <c r="AO9650">
        <v>19968</v>
      </c>
      <c r="AU9650">
        <v>2</v>
      </c>
      <c r="AV9650" t="s">
        <v>693</v>
      </c>
      <c r="AW9650" t="s">
        <v>279</v>
      </c>
    </row>
    <row r="9651" spans="1:49">
      <c r="A9651" s="1">
        <f>HYPERLINK("https://lsnyc.legalserver.org/matter/dynamic-profile/view/1886992","19-1886992")</f>
        <v>0</v>
      </c>
      <c r="B9651" t="s">
        <v>279</v>
      </c>
      <c r="C9651" t="s">
        <v>341</v>
      </c>
      <c r="D9651" t="s">
        <v>718</v>
      </c>
      <c r="E9651" t="s">
        <v>573</v>
      </c>
      <c r="F9651" t="s">
        <v>891</v>
      </c>
      <c r="G9651" t="s">
        <v>5419</v>
      </c>
      <c r="H9651" t="s">
        <v>14981</v>
      </c>
      <c r="I9651" t="s">
        <v>17985</v>
      </c>
      <c r="J9651" t="s">
        <v>18894</v>
      </c>
      <c r="K9651">
        <v>11233</v>
      </c>
      <c r="L9651" t="s">
        <v>18959</v>
      </c>
      <c r="M9651" t="s">
        <v>18959</v>
      </c>
      <c r="N9651" t="s">
        <v>24549</v>
      </c>
      <c r="O9651" t="s">
        <v>26523</v>
      </c>
      <c r="Q9651" t="s">
        <v>26570</v>
      </c>
      <c r="R9651" t="s">
        <v>26578</v>
      </c>
      <c r="S9651" t="s">
        <v>18959</v>
      </c>
      <c r="U9651" t="s">
        <v>26604</v>
      </c>
      <c r="V9651" t="s">
        <v>26609</v>
      </c>
      <c r="X9651">
        <v>2162</v>
      </c>
      <c r="Y9651" t="s">
        <v>26652</v>
      </c>
      <c r="Z9651" t="s">
        <v>26668</v>
      </c>
      <c r="AA9651" t="s">
        <v>26683</v>
      </c>
      <c r="AB9651" t="s">
        <v>32426</v>
      </c>
      <c r="AD9651" t="s">
        <v>42913</v>
      </c>
      <c r="AE9651">
        <v>287</v>
      </c>
      <c r="AF9651" t="s">
        <v>20460</v>
      </c>
      <c r="AG9651" t="s">
        <v>45556</v>
      </c>
      <c r="AH9651">
        <v>8</v>
      </c>
      <c r="AI9651">
        <v>2</v>
      </c>
      <c r="AJ9651">
        <v>2</v>
      </c>
      <c r="AK9651">
        <v>109.8</v>
      </c>
      <c r="AN9651" t="s">
        <v>7439</v>
      </c>
      <c r="AO9651">
        <v>27560</v>
      </c>
      <c r="AU9651">
        <v>0.5</v>
      </c>
      <c r="AV9651" t="s">
        <v>718</v>
      </c>
      <c r="AW9651" t="s">
        <v>46850</v>
      </c>
    </row>
    <row r="9652" spans="1:49">
      <c r="A9652" s="1">
        <f>HYPERLINK("https://lsnyc.legalserver.org/matter/dynamic-profile/view/1887025","19-1887025")</f>
        <v>0</v>
      </c>
      <c r="B9652" t="s">
        <v>55</v>
      </c>
      <c r="C9652" t="s">
        <v>340</v>
      </c>
      <c r="D9652" t="s">
        <v>718</v>
      </c>
      <c r="F9652" t="s">
        <v>2002</v>
      </c>
      <c r="G9652" t="s">
        <v>7723</v>
      </c>
      <c r="H9652" t="s">
        <v>9741</v>
      </c>
      <c r="I9652" t="s">
        <v>17630</v>
      </c>
      <c r="J9652" t="s">
        <v>18892</v>
      </c>
      <c r="K9652">
        <v>10453</v>
      </c>
      <c r="L9652" t="s">
        <v>18960</v>
      </c>
      <c r="M9652" t="s">
        <v>18960</v>
      </c>
      <c r="O9652" t="s">
        <v>18997</v>
      </c>
      <c r="P9652" t="s">
        <v>26562</v>
      </c>
      <c r="R9652" t="s">
        <v>26578</v>
      </c>
      <c r="S9652" t="s">
        <v>18958</v>
      </c>
      <c r="U9652" t="s">
        <v>26604</v>
      </c>
      <c r="X9652">
        <v>1450</v>
      </c>
      <c r="Y9652" t="s">
        <v>26650</v>
      </c>
      <c r="Z9652" t="s">
        <v>26663</v>
      </c>
      <c r="AB9652" t="s">
        <v>33380</v>
      </c>
      <c r="AD9652" t="s">
        <v>44105</v>
      </c>
      <c r="AE9652">
        <v>99</v>
      </c>
      <c r="AF9652" t="s">
        <v>45541</v>
      </c>
      <c r="AG9652" t="s">
        <v>19330</v>
      </c>
      <c r="AH9652">
        <v>1</v>
      </c>
      <c r="AI9652">
        <v>2</v>
      </c>
      <c r="AJ9652">
        <v>1</v>
      </c>
      <c r="AK9652">
        <v>325.19</v>
      </c>
      <c r="AN9652" t="s">
        <v>7439</v>
      </c>
      <c r="AO9652">
        <v>67574</v>
      </c>
      <c r="AU9652">
        <v>0</v>
      </c>
      <c r="AW9652" t="s">
        <v>46832</v>
      </c>
    </row>
    <row r="9653" spans="1:49">
      <c r="A9653" s="1">
        <f>HYPERLINK("https://lsnyc.legalserver.org/matter/dynamic-profile/view/1886975","19-1886975")</f>
        <v>0</v>
      </c>
      <c r="B9653" t="s">
        <v>115</v>
      </c>
      <c r="C9653" t="s">
        <v>340</v>
      </c>
      <c r="D9653" t="s">
        <v>718</v>
      </c>
      <c r="F9653" t="s">
        <v>2121</v>
      </c>
      <c r="G9653" t="s">
        <v>9126</v>
      </c>
      <c r="H9653" t="s">
        <v>16222</v>
      </c>
      <c r="I9653" t="s">
        <v>17436</v>
      </c>
      <c r="J9653" t="s">
        <v>18892</v>
      </c>
      <c r="K9653">
        <v>10452</v>
      </c>
      <c r="L9653" t="s">
        <v>18960</v>
      </c>
      <c r="M9653" t="s">
        <v>18960</v>
      </c>
      <c r="R9653" t="s">
        <v>26591</v>
      </c>
      <c r="U9653" t="s">
        <v>26604</v>
      </c>
      <c r="X9653">
        <v>0</v>
      </c>
      <c r="Y9653" t="s">
        <v>26650</v>
      </c>
      <c r="AB9653" t="s">
        <v>33547</v>
      </c>
      <c r="AD9653" t="s">
        <v>44312</v>
      </c>
      <c r="AE9653">
        <v>0</v>
      </c>
      <c r="AH9653">
        <v>0</v>
      </c>
      <c r="AI9653">
        <v>1</v>
      </c>
      <c r="AJ9653">
        <v>0</v>
      </c>
      <c r="AK9653">
        <v>107.74</v>
      </c>
      <c r="AN9653" t="s">
        <v>45581</v>
      </c>
      <c r="AO9653">
        <v>13080</v>
      </c>
      <c r="AP9653" t="s">
        <v>46191</v>
      </c>
      <c r="AU9653">
        <v>0.4</v>
      </c>
      <c r="AV9653" t="s">
        <v>718</v>
      </c>
      <c r="AW9653" t="s">
        <v>46849</v>
      </c>
    </row>
    <row r="9654" spans="1:49">
      <c r="A9654" s="1">
        <f>HYPERLINK("https://lsnyc.legalserver.org/matter/dynamic-profile/view/1886938","19-1886938")</f>
        <v>0</v>
      </c>
      <c r="B9654" t="s">
        <v>115</v>
      </c>
      <c r="C9654" t="s">
        <v>340</v>
      </c>
      <c r="D9654" t="s">
        <v>718</v>
      </c>
      <c r="F9654" t="s">
        <v>964</v>
      </c>
      <c r="G9654" t="s">
        <v>9127</v>
      </c>
      <c r="H9654" t="s">
        <v>13166</v>
      </c>
      <c r="I9654" t="s">
        <v>17421</v>
      </c>
      <c r="J9654" t="s">
        <v>18892</v>
      </c>
      <c r="K9654">
        <v>10467</v>
      </c>
      <c r="L9654" t="s">
        <v>18958</v>
      </c>
      <c r="M9654" t="s">
        <v>18958</v>
      </c>
      <c r="O9654" t="s">
        <v>26526</v>
      </c>
      <c r="P9654" t="s">
        <v>26560</v>
      </c>
      <c r="R9654" t="s">
        <v>26578</v>
      </c>
      <c r="S9654" t="s">
        <v>18958</v>
      </c>
      <c r="U9654" t="s">
        <v>26604</v>
      </c>
      <c r="X9654">
        <v>0</v>
      </c>
      <c r="Y9654" t="s">
        <v>26650</v>
      </c>
      <c r="Z9654" t="s">
        <v>26663</v>
      </c>
      <c r="AB9654" t="s">
        <v>27265</v>
      </c>
      <c r="AE9654">
        <v>59</v>
      </c>
      <c r="AF9654" t="s">
        <v>20460</v>
      </c>
      <c r="AG9654" t="s">
        <v>19330</v>
      </c>
      <c r="AH9654">
        <v>37</v>
      </c>
      <c r="AI9654">
        <v>1</v>
      </c>
      <c r="AJ9654">
        <v>0</v>
      </c>
      <c r="AK9654">
        <v>103.17</v>
      </c>
      <c r="AN9654" t="s">
        <v>7439</v>
      </c>
      <c r="AO9654">
        <v>12525</v>
      </c>
      <c r="AU9654">
        <v>0</v>
      </c>
      <c r="AW9654" t="s">
        <v>46832</v>
      </c>
    </row>
    <row r="9655" spans="1:49">
      <c r="A9655" s="1">
        <f>HYPERLINK("https://lsnyc.legalserver.org/matter/dynamic-profile/view/1886991","19-1886991")</f>
        <v>0</v>
      </c>
      <c r="B9655" t="s">
        <v>115</v>
      </c>
      <c r="C9655" t="s">
        <v>340</v>
      </c>
      <c r="D9655" t="s">
        <v>718</v>
      </c>
      <c r="F9655" t="s">
        <v>4619</v>
      </c>
      <c r="G9655" t="s">
        <v>8098</v>
      </c>
      <c r="H9655" t="s">
        <v>13166</v>
      </c>
      <c r="I9655" t="s">
        <v>17290</v>
      </c>
      <c r="J9655" t="s">
        <v>18892</v>
      </c>
      <c r="K9655">
        <v>10467</v>
      </c>
      <c r="L9655" t="s">
        <v>18958</v>
      </c>
      <c r="M9655" t="s">
        <v>18958</v>
      </c>
      <c r="O9655" t="s">
        <v>26526</v>
      </c>
      <c r="P9655" t="s">
        <v>26560</v>
      </c>
      <c r="R9655" t="s">
        <v>26578</v>
      </c>
      <c r="S9655" t="s">
        <v>18958</v>
      </c>
      <c r="U9655" t="s">
        <v>26604</v>
      </c>
      <c r="X9655">
        <v>1020</v>
      </c>
      <c r="Y9655" t="s">
        <v>26650</v>
      </c>
      <c r="Z9655" t="s">
        <v>26663</v>
      </c>
      <c r="AB9655" t="s">
        <v>33548</v>
      </c>
      <c r="AD9655" t="s">
        <v>44313</v>
      </c>
      <c r="AE9655">
        <v>59</v>
      </c>
      <c r="AF9655" t="s">
        <v>45541</v>
      </c>
      <c r="AG9655" t="s">
        <v>19330</v>
      </c>
      <c r="AH9655">
        <v>20</v>
      </c>
      <c r="AI9655">
        <v>3</v>
      </c>
      <c r="AJ9655">
        <v>0</v>
      </c>
      <c r="AK9655">
        <v>133.78</v>
      </c>
      <c r="AN9655" t="s">
        <v>7439</v>
      </c>
      <c r="AO9655">
        <v>27800</v>
      </c>
      <c r="AU9655">
        <v>1</v>
      </c>
      <c r="AV9655" t="s">
        <v>713</v>
      </c>
      <c r="AW9655" t="s">
        <v>46832</v>
      </c>
    </row>
    <row r="9656" spans="1:49">
      <c r="A9656" s="1">
        <f>HYPERLINK("https://lsnyc.legalserver.org/matter/dynamic-profile/view/1886979","19-1886979")</f>
        <v>0</v>
      </c>
      <c r="B9656" t="s">
        <v>115</v>
      </c>
      <c r="C9656" t="s">
        <v>340</v>
      </c>
      <c r="D9656" t="s">
        <v>718</v>
      </c>
      <c r="F9656" t="s">
        <v>4470</v>
      </c>
      <c r="G9656" t="s">
        <v>9128</v>
      </c>
      <c r="H9656" t="s">
        <v>13166</v>
      </c>
      <c r="I9656" t="s">
        <v>17410</v>
      </c>
      <c r="J9656" t="s">
        <v>18892</v>
      </c>
      <c r="K9656">
        <v>10467</v>
      </c>
      <c r="L9656" t="s">
        <v>18958</v>
      </c>
      <c r="M9656" t="s">
        <v>18958</v>
      </c>
      <c r="O9656" t="s">
        <v>26526</v>
      </c>
      <c r="P9656" t="s">
        <v>26560</v>
      </c>
      <c r="R9656" t="s">
        <v>26578</v>
      </c>
      <c r="S9656" t="s">
        <v>18958</v>
      </c>
      <c r="U9656" t="s">
        <v>26604</v>
      </c>
      <c r="X9656">
        <v>811.72</v>
      </c>
      <c r="Y9656" t="s">
        <v>26650</v>
      </c>
      <c r="Z9656" t="s">
        <v>26663</v>
      </c>
      <c r="AB9656" t="s">
        <v>33549</v>
      </c>
      <c r="AE9656">
        <v>59</v>
      </c>
      <c r="AF9656" t="s">
        <v>20460</v>
      </c>
      <c r="AG9656" t="s">
        <v>19330</v>
      </c>
      <c r="AH9656">
        <v>11</v>
      </c>
      <c r="AI9656">
        <v>1</v>
      </c>
      <c r="AJ9656">
        <v>1</v>
      </c>
      <c r="AK9656">
        <v>151.88</v>
      </c>
      <c r="AN9656" t="s">
        <v>7439</v>
      </c>
      <c r="AO9656">
        <v>25000</v>
      </c>
      <c r="AU9656">
        <v>0</v>
      </c>
      <c r="AW9656" t="s">
        <v>46832</v>
      </c>
    </row>
    <row r="9657" spans="1:49">
      <c r="A9657" s="1">
        <f>HYPERLINK("https://lsnyc.legalserver.org/matter/dynamic-profile/view/1886949","19-1886949")</f>
        <v>0</v>
      </c>
      <c r="B9657" t="s">
        <v>115</v>
      </c>
      <c r="C9657" t="s">
        <v>340</v>
      </c>
      <c r="D9657" t="s">
        <v>718</v>
      </c>
      <c r="F9657" t="s">
        <v>998</v>
      </c>
      <c r="G9657" t="s">
        <v>9129</v>
      </c>
      <c r="H9657" t="s">
        <v>13166</v>
      </c>
      <c r="I9657" t="s">
        <v>17306</v>
      </c>
      <c r="J9657" t="s">
        <v>18892</v>
      </c>
      <c r="K9657">
        <v>10467</v>
      </c>
      <c r="L9657" t="s">
        <v>18958</v>
      </c>
      <c r="M9657" t="s">
        <v>18958</v>
      </c>
      <c r="O9657" t="s">
        <v>26526</v>
      </c>
      <c r="P9657" t="s">
        <v>26560</v>
      </c>
      <c r="R9657" t="s">
        <v>26578</v>
      </c>
      <c r="S9657" t="s">
        <v>18958</v>
      </c>
      <c r="U9657" t="s">
        <v>26604</v>
      </c>
      <c r="X9657">
        <v>842</v>
      </c>
      <c r="Y9657" t="s">
        <v>26650</v>
      </c>
      <c r="Z9657" t="s">
        <v>26663</v>
      </c>
      <c r="AB9657" t="s">
        <v>33550</v>
      </c>
      <c r="AD9657" t="s">
        <v>44314</v>
      </c>
      <c r="AE9657">
        <v>59</v>
      </c>
      <c r="AF9657" t="s">
        <v>20460</v>
      </c>
      <c r="AG9657" t="s">
        <v>19330</v>
      </c>
      <c r="AH9657">
        <v>10</v>
      </c>
      <c r="AI9657">
        <v>2</v>
      </c>
      <c r="AJ9657">
        <v>1</v>
      </c>
      <c r="AK9657">
        <v>380.75</v>
      </c>
      <c r="AN9657" t="s">
        <v>7439</v>
      </c>
      <c r="AO9657">
        <v>79120</v>
      </c>
      <c r="AU9657">
        <v>0</v>
      </c>
      <c r="AW9657" t="s">
        <v>46832</v>
      </c>
    </row>
    <row r="9658" spans="1:49">
      <c r="A9658" s="1">
        <f>HYPERLINK("https://lsnyc.legalserver.org/matter/dynamic-profile/view/1886933","19-1886933")</f>
        <v>0</v>
      </c>
      <c r="B9658" t="s">
        <v>91</v>
      </c>
      <c r="C9658" t="s">
        <v>340</v>
      </c>
      <c r="D9658" t="s">
        <v>718</v>
      </c>
      <c r="F9658" t="s">
        <v>4620</v>
      </c>
      <c r="G9658" t="s">
        <v>5965</v>
      </c>
      <c r="H9658" t="s">
        <v>16223</v>
      </c>
      <c r="I9658" t="s">
        <v>17491</v>
      </c>
      <c r="J9658" t="s">
        <v>18931</v>
      </c>
      <c r="K9658">
        <v>11412</v>
      </c>
      <c r="L9658" t="s">
        <v>18958</v>
      </c>
      <c r="M9658" t="s">
        <v>18958</v>
      </c>
      <c r="N9658" t="s">
        <v>25636</v>
      </c>
      <c r="O9658" t="s">
        <v>26524</v>
      </c>
      <c r="P9658" t="s">
        <v>26564</v>
      </c>
      <c r="R9658" t="s">
        <v>26584</v>
      </c>
      <c r="S9658" t="s">
        <v>18959</v>
      </c>
      <c r="U9658" t="s">
        <v>26604</v>
      </c>
      <c r="V9658" t="s">
        <v>26610</v>
      </c>
      <c r="X9658">
        <v>600</v>
      </c>
      <c r="Y9658" t="s">
        <v>26653</v>
      </c>
      <c r="Z9658" t="s">
        <v>26664</v>
      </c>
      <c r="AB9658" t="s">
        <v>30130</v>
      </c>
      <c r="AC9658" t="s">
        <v>36653</v>
      </c>
      <c r="AD9658" t="s">
        <v>44315</v>
      </c>
      <c r="AE9658">
        <v>0</v>
      </c>
      <c r="AF9658" t="s">
        <v>20460</v>
      </c>
      <c r="AG9658" t="s">
        <v>19330</v>
      </c>
      <c r="AH9658">
        <v>1</v>
      </c>
      <c r="AI9658">
        <v>1</v>
      </c>
      <c r="AJ9658">
        <v>0</v>
      </c>
      <c r="AK9658">
        <v>0</v>
      </c>
      <c r="AN9658" t="s">
        <v>7439</v>
      </c>
      <c r="AO9658">
        <v>0</v>
      </c>
      <c r="AU9658">
        <v>0.8</v>
      </c>
      <c r="AV9658" t="s">
        <v>414</v>
      </c>
      <c r="AW9658" t="s">
        <v>208</v>
      </c>
    </row>
    <row r="9659" spans="1:49">
      <c r="A9659" s="1">
        <f>HYPERLINK("https://lsnyc.legalserver.org/matter/dynamic-profile/view/1886974","18-1886974")</f>
        <v>0</v>
      </c>
      <c r="B9659" t="s">
        <v>194</v>
      </c>
      <c r="C9659" t="s">
        <v>340</v>
      </c>
      <c r="D9659" t="s">
        <v>718</v>
      </c>
      <c r="F9659" t="s">
        <v>4621</v>
      </c>
      <c r="G9659" t="s">
        <v>9130</v>
      </c>
      <c r="H9659" t="s">
        <v>11361</v>
      </c>
      <c r="I9659" t="s">
        <v>18703</v>
      </c>
      <c r="J9659" t="s">
        <v>18893</v>
      </c>
      <c r="K9659">
        <v>10009</v>
      </c>
      <c r="L9659" t="s">
        <v>18958</v>
      </c>
      <c r="M9659" t="s">
        <v>18958</v>
      </c>
      <c r="O9659" t="s">
        <v>18997</v>
      </c>
      <c r="P9659" t="s">
        <v>26564</v>
      </c>
      <c r="R9659" t="s">
        <v>26583</v>
      </c>
      <c r="S9659" t="s">
        <v>18959</v>
      </c>
      <c r="U9659" t="s">
        <v>26605</v>
      </c>
      <c r="X9659">
        <v>1436</v>
      </c>
      <c r="Y9659" t="s">
        <v>26651</v>
      </c>
      <c r="Z9659" t="s">
        <v>26659</v>
      </c>
      <c r="AB9659" t="s">
        <v>28168</v>
      </c>
      <c r="AD9659" t="s">
        <v>44316</v>
      </c>
      <c r="AE9659">
        <v>0</v>
      </c>
      <c r="AF9659" t="s">
        <v>45549</v>
      </c>
      <c r="AG9659" t="s">
        <v>19330</v>
      </c>
      <c r="AH9659">
        <v>22</v>
      </c>
      <c r="AI9659">
        <v>3</v>
      </c>
      <c r="AJ9659">
        <v>2</v>
      </c>
      <c r="AK9659">
        <v>182.97</v>
      </c>
      <c r="AN9659" t="s">
        <v>7439</v>
      </c>
      <c r="AO9659">
        <v>53828.43</v>
      </c>
      <c r="AU9659">
        <v>4.3</v>
      </c>
      <c r="AV9659" t="s">
        <v>756</v>
      </c>
      <c r="AW9659" t="s">
        <v>46875</v>
      </c>
    </row>
    <row r="9660" spans="1:49">
      <c r="A9660" s="1">
        <f>HYPERLINK("https://lsnyc.legalserver.org/matter/dynamic-profile/view/1887077","19-1887077")</f>
        <v>0</v>
      </c>
      <c r="B9660" t="s">
        <v>300</v>
      </c>
      <c r="C9660" t="s">
        <v>341</v>
      </c>
      <c r="D9660" t="s">
        <v>668</v>
      </c>
      <c r="E9660" t="s">
        <v>759</v>
      </c>
      <c r="F9660" t="s">
        <v>2567</v>
      </c>
      <c r="G9660" t="s">
        <v>9131</v>
      </c>
      <c r="H9660" t="s">
        <v>12025</v>
      </c>
      <c r="I9660" t="s">
        <v>17327</v>
      </c>
      <c r="J9660" t="s">
        <v>18893</v>
      </c>
      <c r="K9660">
        <v>10034</v>
      </c>
      <c r="L9660" t="s">
        <v>18960</v>
      </c>
      <c r="M9660" t="s">
        <v>18960</v>
      </c>
      <c r="N9660" t="s">
        <v>25637</v>
      </c>
      <c r="O9660" t="s">
        <v>26523</v>
      </c>
      <c r="Q9660" t="s">
        <v>26570</v>
      </c>
      <c r="R9660" t="s">
        <v>26595</v>
      </c>
      <c r="U9660" t="s">
        <v>26604</v>
      </c>
      <c r="X9660">
        <v>1300</v>
      </c>
      <c r="Y9660" t="s">
        <v>26651</v>
      </c>
      <c r="AA9660" t="s">
        <v>26683</v>
      </c>
      <c r="AB9660" t="s">
        <v>33551</v>
      </c>
      <c r="AD9660" t="s">
        <v>44317</v>
      </c>
      <c r="AE9660">
        <v>1300</v>
      </c>
      <c r="AG9660" t="s">
        <v>45556</v>
      </c>
      <c r="AH9660">
        <v>10</v>
      </c>
      <c r="AI9660">
        <v>1</v>
      </c>
      <c r="AJ9660">
        <v>0</v>
      </c>
      <c r="AK9660">
        <v>75.22</v>
      </c>
      <c r="AN9660" t="s">
        <v>7439</v>
      </c>
      <c r="AO9660">
        <v>9132</v>
      </c>
      <c r="AU9660">
        <v>1</v>
      </c>
      <c r="AV9660" t="s">
        <v>668</v>
      </c>
      <c r="AW9660" t="s">
        <v>46857</v>
      </c>
    </row>
    <row r="9661" spans="1:49">
      <c r="A9661" s="1">
        <f>HYPERLINK("https://lsnyc.legalserver.org/matter/dynamic-profile/view/1886932","19-1886932")</f>
        <v>0</v>
      </c>
      <c r="B9661" t="s">
        <v>120</v>
      </c>
      <c r="C9661" t="s">
        <v>341</v>
      </c>
      <c r="D9661" t="s">
        <v>668</v>
      </c>
      <c r="E9661" t="s">
        <v>825</v>
      </c>
      <c r="F9661" t="s">
        <v>4622</v>
      </c>
      <c r="G9661" t="s">
        <v>9132</v>
      </c>
      <c r="H9661" t="s">
        <v>16224</v>
      </c>
      <c r="I9661" t="s">
        <v>17585</v>
      </c>
      <c r="J9661" t="s">
        <v>18892</v>
      </c>
      <c r="K9661">
        <v>10475</v>
      </c>
      <c r="L9661" t="s">
        <v>18958</v>
      </c>
      <c r="M9661" t="s">
        <v>18958</v>
      </c>
      <c r="N9661" t="s">
        <v>25638</v>
      </c>
      <c r="O9661" t="s">
        <v>26524</v>
      </c>
      <c r="P9661" t="s">
        <v>26564</v>
      </c>
      <c r="Q9661" t="s">
        <v>26570</v>
      </c>
      <c r="R9661" t="s">
        <v>26583</v>
      </c>
      <c r="S9661" t="s">
        <v>18959</v>
      </c>
      <c r="U9661" t="s">
        <v>26604</v>
      </c>
      <c r="V9661" t="s">
        <v>26610</v>
      </c>
      <c r="X9661">
        <v>781</v>
      </c>
      <c r="Y9661" t="s">
        <v>26650</v>
      </c>
      <c r="Z9661" t="s">
        <v>26668</v>
      </c>
      <c r="AA9661" t="s">
        <v>26683</v>
      </c>
      <c r="AB9661" t="s">
        <v>33552</v>
      </c>
      <c r="AD9661" t="s">
        <v>44318</v>
      </c>
      <c r="AE9661">
        <v>384</v>
      </c>
      <c r="AF9661" t="s">
        <v>45553</v>
      </c>
      <c r="AG9661" t="s">
        <v>19330</v>
      </c>
      <c r="AH9661">
        <v>1</v>
      </c>
      <c r="AI9661">
        <v>2</v>
      </c>
      <c r="AJ9661">
        <v>0</v>
      </c>
      <c r="AK9661">
        <v>613.61</v>
      </c>
      <c r="AN9661" t="s">
        <v>7439</v>
      </c>
      <c r="AO9661">
        <v>101000</v>
      </c>
      <c r="AP9661" t="s">
        <v>46141</v>
      </c>
      <c r="AS9661" t="s">
        <v>46502</v>
      </c>
      <c r="AT9661" t="s">
        <v>46686</v>
      </c>
      <c r="AU9661">
        <v>2.9</v>
      </c>
      <c r="AV9661" t="s">
        <v>698</v>
      </c>
      <c r="AW9661" t="s">
        <v>46847</v>
      </c>
    </row>
    <row r="9662" spans="1:49">
      <c r="A9662" s="1">
        <f>HYPERLINK("https://lsnyc.legalserver.org/matter/dynamic-profile/view/1887152","19-1887152")</f>
        <v>0</v>
      </c>
      <c r="B9662" t="s">
        <v>55</v>
      </c>
      <c r="C9662" t="s">
        <v>340</v>
      </c>
      <c r="D9662" t="s">
        <v>668</v>
      </c>
      <c r="F9662" t="s">
        <v>978</v>
      </c>
      <c r="G9662" t="s">
        <v>5165</v>
      </c>
      <c r="H9662" t="s">
        <v>9741</v>
      </c>
      <c r="I9662" t="s">
        <v>17343</v>
      </c>
      <c r="J9662" t="s">
        <v>18892</v>
      </c>
      <c r="K9662">
        <v>10453</v>
      </c>
      <c r="L9662" t="s">
        <v>18960</v>
      </c>
      <c r="M9662" t="s">
        <v>18960</v>
      </c>
      <c r="O9662" t="s">
        <v>18997</v>
      </c>
      <c r="P9662" t="s">
        <v>26562</v>
      </c>
      <c r="R9662" t="s">
        <v>26578</v>
      </c>
      <c r="S9662" t="s">
        <v>18958</v>
      </c>
      <c r="U9662" t="s">
        <v>26604</v>
      </c>
      <c r="X9662">
        <v>669</v>
      </c>
      <c r="Y9662" t="s">
        <v>26650</v>
      </c>
      <c r="Z9662" t="s">
        <v>26663</v>
      </c>
      <c r="AB9662" t="s">
        <v>26818</v>
      </c>
      <c r="AC9662" t="s">
        <v>36594</v>
      </c>
      <c r="AD9662" t="s">
        <v>36922</v>
      </c>
      <c r="AE9662">
        <v>99</v>
      </c>
      <c r="AF9662" t="s">
        <v>45541</v>
      </c>
      <c r="AG9662" t="s">
        <v>45556</v>
      </c>
      <c r="AH9662">
        <v>9</v>
      </c>
      <c r="AI9662">
        <v>2</v>
      </c>
      <c r="AJ9662">
        <v>1</v>
      </c>
      <c r="AK9662">
        <v>9.51</v>
      </c>
      <c r="AN9662" t="s">
        <v>7439</v>
      </c>
      <c r="AO9662">
        <v>1976</v>
      </c>
      <c r="AU9662">
        <v>13</v>
      </c>
      <c r="AV9662" t="s">
        <v>779</v>
      </c>
      <c r="AW9662" t="s">
        <v>46832</v>
      </c>
    </row>
    <row r="9663" spans="1:49">
      <c r="A9663" s="1">
        <f>HYPERLINK("https://lsnyc.legalserver.org/matter/dynamic-profile/view/1887133","19-1887133")</f>
        <v>0</v>
      </c>
      <c r="B9663" t="s">
        <v>55</v>
      </c>
      <c r="C9663" t="s">
        <v>340</v>
      </c>
      <c r="D9663" t="s">
        <v>668</v>
      </c>
      <c r="F9663" t="s">
        <v>1235</v>
      </c>
      <c r="G9663" t="s">
        <v>6437</v>
      </c>
      <c r="H9663" t="s">
        <v>9741</v>
      </c>
      <c r="I9663" t="s">
        <v>17632</v>
      </c>
      <c r="J9663" t="s">
        <v>18892</v>
      </c>
      <c r="K9663">
        <v>10453</v>
      </c>
      <c r="L9663" t="s">
        <v>18960</v>
      </c>
      <c r="M9663" t="s">
        <v>18960</v>
      </c>
      <c r="O9663" t="s">
        <v>18997</v>
      </c>
      <c r="P9663" t="s">
        <v>26562</v>
      </c>
      <c r="R9663" t="s">
        <v>26578</v>
      </c>
      <c r="S9663" t="s">
        <v>18958</v>
      </c>
      <c r="U9663" t="s">
        <v>26604</v>
      </c>
      <c r="X9663">
        <v>1612</v>
      </c>
      <c r="Y9663" t="s">
        <v>26650</v>
      </c>
      <c r="Z9663" t="s">
        <v>26663</v>
      </c>
      <c r="AB9663" t="s">
        <v>33376</v>
      </c>
      <c r="AD9663" t="s">
        <v>44103</v>
      </c>
      <c r="AE9663">
        <v>99</v>
      </c>
      <c r="AF9663" t="s">
        <v>45541</v>
      </c>
      <c r="AG9663" t="s">
        <v>45556</v>
      </c>
      <c r="AH9663">
        <v>9</v>
      </c>
      <c r="AI9663">
        <v>2</v>
      </c>
      <c r="AJ9663">
        <v>0</v>
      </c>
      <c r="AK9663">
        <v>63.18</v>
      </c>
      <c r="AN9663" t="s">
        <v>45581</v>
      </c>
      <c r="AO9663">
        <v>10400</v>
      </c>
      <c r="AU9663">
        <v>0</v>
      </c>
      <c r="AW9663" t="s">
        <v>46832</v>
      </c>
    </row>
    <row r="9664" spans="1:49">
      <c r="A9664" s="1">
        <f>HYPERLINK("https://lsnyc.legalserver.org/matter/dynamic-profile/view/1887098","19-1887098")</f>
        <v>0</v>
      </c>
      <c r="B9664" t="s">
        <v>55</v>
      </c>
      <c r="C9664" t="s">
        <v>340</v>
      </c>
      <c r="D9664" t="s">
        <v>668</v>
      </c>
      <c r="F9664" t="s">
        <v>964</v>
      </c>
      <c r="G9664" t="s">
        <v>8863</v>
      </c>
      <c r="H9664" t="s">
        <v>9741</v>
      </c>
      <c r="I9664" t="s">
        <v>17867</v>
      </c>
      <c r="J9664" t="s">
        <v>18892</v>
      </c>
      <c r="K9664">
        <v>10453</v>
      </c>
      <c r="L9664" t="s">
        <v>18960</v>
      </c>
      <c r="M9664" t="s">
        <v>18960</v>
      </c>
      <c r="O9664" t="s">
        <v>18997</v>
      </c>
      <c r="P9664" t="s">
        <v>26562</v>
      </c>
      <c r="R9664" t="s">
        <v>26578</v>
      </c>
      <c r="S9664" t="s">
        <v>18958</v>
      </c>
      <c r="U9664" t="s">
        <v>26604</v>
      </c>
      <c r="X9664">
        <v>1086</v>
      </c>
      <c r="Y9664" t="s">
        <v>26650</v>
      </c>
      <c r="Z9664" t="s">
        <v>26663</v>
      </c>
      <c r="AB9664" t="s">
        <v>33114</v>
      </c>
      <c r="AD9664" t="s">
        <v>43761</v>
      </c>
      <c r="AE9664">
        <v>99</v>
      </c>
      <c r="AF9664" t="s">
        <v>45541</v>
      </c>
      <c r="AG9664" t="s">
        <v>45556</v>
      </c>
      <c r="AH9664">
        <v>4</v>
      </c>
      <c r="AI9664">
        <v>2</v>
      </c>
      <c r="AJ9664">
        <v>0</v>
      </c>
      <c r="AK9664">
        <v>82.2</v>
      </c>
      <c r="AN9664" t="s">
        <v>7439</v>
      </c>
      <c r="AO9664">
        <v>13530</v>
      </c>
      <c r="AU9664">
        <v>0</v>
      </c>
      <c r="AW9664" t="s">
        <v>46832</v>
      </c>
    </row>
    <row r="9665" spans="1:49">
      <c r="A9665" s="1">
        <f>HYPERLINK("https://lsnyc.legalserver.org/matter/dynamic-profile/view/1887087","19-1887087")</f>
        <v>0</v>
      </c>
      <c r="B9665" t="s">
        <v>55</v>
      </c>
      <c r="C9665" t="s">
        <v>340</v>
      </c>
      <c r="D9665" t="s">
        <v>668</v>
      </c>
      <c r="F9665" t="s">
        <v>900</v>
      </c>
      <c r="G9665" t="s">
        <v>5691</v>
      </c>
      <c r="H9665" t="s">
        <v>9741</v>
      </c>
      <c r="I9665" t="s">
        <v>17874</v>
      </c>
      <c r="J9665" t="s">
        <v>18892</v>
      </c>
      <c r="K9665">
        <v>10453</v>
      </c>
      <c r="L9665" t="s">
        <v>18960</v>
      </c>
      <c r="M9665" t="s">
        <v>18960</v>
      </c>
      <c r="O9665" t="s">
        <v>18997</v>
      </c>
      <c r="P9665" t="s">
        <v>26562</v>
      </c>
      <c r="R9665" t="s">
        <v>26578</v>
      </c>
      <c r="S9665" t="s">
        <v>18958</v>
      </c>
      <c r="U9665" t="s">
        <v>26604</v>
      </c>
      <c r="X9665">
        <v>1060</v>
      </c>
      <c r="Y9665" t="s">
        <v>26650</v>
      </c>
      <c r="Z9665" t="s">
        <v>26663</v>
      </c>
      <c r="AB9665" t="s">
        <v>33377</v>
      </c>
      <c r="AE9665">
        <v>99</v>
      </c>
      <c r="AF9665" t="s">
        <v>45541</v>
      </c>
      <c r="AG9665" t="s">
        <v>45556</v>
      </c>
      <c r="AH9665">
        <v>10</v>
      </c>
      <c r="AI9665">
        <v>2</v>
      </c>
      <c r="AJ9665">
        <v>0</v>
      </c>
      <c r="AK9665">
        <v>99.64</v>
      </c>
      <c r="AN9665" t="s">
        <v>7439</v>
      </c>
      <c r="AO9665">
        <v>16400</v>
      </c>
      <c r="AU9665">
        <v>0</v>
      </c>
      <c r="AW9665" t="s">
        <v>46832</v>
      </c>
    </row>
    <row r="9666" spans="1:49">
      <c r="A9666" s="1">
        <f>HYPERLINK("https://lsnyc.legalserver.org/matter/dynamic-profile/view/1887149","19-1887149")</f>
        <v>0</v>
      </c>
      <c r="B9666" t="s">
        <v>55</v>
      </c>
      <c r="C9666" t="s">
        <v>340</v>
      </c>
      <c r="D9666" t="s">
        <v>668</v>
      </c>
      <c r="F9666" t="s">
        <v>4407</v>
      </c>
      <c r="G9666" t="s">
        <v>6102</v>
      </c>
      <c r="H9666" t="s">
        <v>9741</v>
      </c>
      <c r="I9666" t="s">
        <v>17315</v>
      </c>
      <c r="J9666" t="s">
        <v>18892</v>
      </c>
      <c r="K9666">
        <v>10453</v>
      </c>
      <c r="L9666" t="s">
        <v>18960</v>
      </c>
      <c r="M9666" t="s">
        <v>18960</v>
      </c>
      <c r="O9666" t="s">
        <v>18997</v>
      </c>
      <c r="P9666" t="s">
        <v>26562</v>
      </c>
      <c r="R9666" t="s">
        <v>26578</v>
      </c>
      <c r="S9666" t="s">
        <v>18958</v>
      </c>
      <c r="U9666" t="s">
        <v>26604</v>
      </c>
      <c r="X9666">
        <v>1600</v>
      </c>
      <c r="Y9666" t="s">
        <v>26650</v>
      </c>
      <c r="Z9666" t="s">
        <v>26663</v>
      </c>
      <c r="AB9666" t="s">
        <v>33115</v>
      </c>
      <c r="AE9666">
        <v>99</v>
      </c>
      <c r="AF9666" t="s">
        <v>45541</v>
      </c>
      <c r="AG9666" t="s">
        <v>19330</v>
      </c>
      <c r="AH9666">
        <v>2</v>
      </c>
      <c r="AI9666">
        <v>3</v>
      </c>
      <c r="AJ9666">
        <v>1</v>
      </c>
      <c r="AK9666">
        <v>123.51</v>
      </c>
      <c r="AN9666" t="s">
        <v>45581</v>
      </c>
      <c r="AO9666">
        <v>31000</v>
      </c>
      <c r="AU9666">
        <v>0</v>
      </c>
      <c r="AW9666" t="s">
        <v>46832</v>
      </c>
    </row>
    <row r="9667" spans="1:49">
      <c r="A9667" s="1">
        <f>HYPERLINK("https://lsnyc.legalserver.org/matter/dynamic-profile/view/1887105","19-1887105")</f>
        <v>0</v>
      </c>
      <c r="B9667" t="s">
        <v>55</v>
      </c>
      <c r="C9667" t="s">
        <v>340</v>
      </c>
      <c r="D9667" t="s">
        <v>668</v>
      </c>
      <c r="F9667" t="s">
        <v>4396</v>
      </c>
      <c r="G9667" t="s">
        <v>9005</v>
      </c>
      <c r="H9667" t="s">
        <v>9741</v>
      </c>
      <c r="I9667" t="s">
        <v>18658</v>
      </c>
      <c r="J9667" t="s">
        <v>18892</v>
      </c>
      <c r="K9667">
        <v>10453</v>
      </c>
      <c r="L9667" t="s">
        <v>18960</v>
      </c>
      <c r="M9667" t="s">
        <v>18960</v>
      </c>
      <c r="O9667" t="s">
        <v>18997</v>
      </c>
      <c r="P9667" t="s">
        <v>26562</v>
      </c>
      <c r="R9667" t="s">
        <v>26578</v>
      </c>
      <c r="S9667" t="s">
        <v>18958</v>
      </c>
      <c r="U9667" t="s">
        <v>26604</v>
      </c>
      <c r="X9667">
        <v>2100</v>
      </c>
      <c r="Y9667" t="s">
        <v>26650</v>
      </c>
      <c r="Z9667" t="s">
        <v>26663</v>
      </c>
      <c r="AB9667" t="s">
        <v>28235</v>
      </c>
      <c r="AE9667">
        <v>99</v>
      </c>
      <c r="AF9667" t="s">
        <v>45541</v>
      </c>
      <c r="AG9667" t="s">
        <v>19330</v>
      </c>
      <c r="AH9667">
        <v>2</v>
      </c>
      <c r="AI9667">
        <v>4</v>
      </c>
      <c r="AJ9667">
        <v>1</v>
      </c>
      <c r="AK9667">
        <v>220.94</v>
      </c>
      <c r="AN9667" t="s">
        <v>7439</v>
      </c>
      <c r="AO9667">
        <v>65000</v>
      </c>
      <c r="AU9667">
        <v>0</v>
      </c>
      <c r="AW9667" t="s">
        <v>46832</v>
      </c>
    </row>
    <row r="9668" spans="1:49">
      <c r="A9668" s="1">
        <f>HYPERLINK("https://lsnyc.legalserver.org/matter/dynamic-profile/view/1887114","19-1887114")</f>
        <v>0</v>
      </c>
      <c r="B9668" t="s">
        <v>253</v>
      </c>
      <c r="C9668" t="s">
        <v>340</v>
      </c>
      <c r="D9668" t="s">
        <v>668</v>
      </c>
      <c r="F9668" t="s">
        <v>4623</v>
      </c>
      <c r="G9668" t="s">
        <v>5269</v>
      </c>
      <c r="H9668" t="s">
        <v>10318</v>
      </c>
      <c r="I9668" t="s">
        <v>18704</v>
      </c>
      <c r="J9668" t="s">
        <v>18892</v>
      </c>
      <c r="K9668">
        <v>10457</v>
      </c>
      <c r="L9668" t="s">
        <v>18958</v>
      </c>
      <c r="M9668" t="s">
        <v>18958</v>
      </c>
      <c r="N9668" t="s">
        <v>25639</v>
      </c>
      <c r="O9668" t="s">
        <v>26523</v>
      </c>
      <c r="P9668" t="s">
        <v>26564</v>
      </c>
      <c r="R9668" t="s">
        <v>26591</v>
      </c>
      <c r="U9668" t="s">
        <v>26604</v>
      </c>
      <c r="X9668">
        <v>0</v>
      </c>
      <c r="Y9668" t="s">
        <v>26650</v>
      </c>
      <c r="Z9668" t="s">
        <v>26668</v>
      </c>
      <c r="AB9668" t="s">
        <v>33553</v>
      </c>
      <c r="AC9668" t="s">
        <v>36654</v>
      </c>
      <c r="AD9668" t="s">
        <v>44319</v>
      </c>
      <c r="AE9668">
        <v>36</v>
      </c>
      <c r="AH9668">
        <v>4</v>
      </c>
      <c r="AI9668">
        <v>1</v>
      </c>
      <c r="AJ9668">
        <v>1</v>
      </c>
      <c r="AK9668">
        <v>125.26</v>
      </c>
      <c r="AN9668" t="s">
        <v>7439</v>
      </c>
      <c r="AO9668">
        <v>20618</v>
      </c>
      <c r="AP9668" t="s">
        <v>46192</v>
      </c>
      <c r="AU9668">
        <v>6.4</v>
      </c>
      <c r="AV9668" t="s">
        <v>756</v>
      </c>
      <c r="AW9668" t="s">
        <v>46850</v>
      </c>
    </row>
    <row r="9669" spans="1:49">
      <c r="A9669" s="1">
        <f>HYPERLINK("https://lsnyc.legalserver.org/matter/dynamic-profile/view/1887156","19-1887156")</f>
        <v>0</v>
      </c>
      <c r="B9669" t="s">
        <v>95</v>
      </c>
      <c r="C9669" t="s">
        <v>340</v>
      </c>
      <c r="D9669" t="s">
        <v>668</v>
      </c>
      <c r="F9669" t="s">
        <v>939</v>
      </c>
      <c r="G9669" t="s">
        <v>7775</v>
      </c>
      <c r="H9669" t="s">
        <v>9692</v>
      </c>
      <c r="I9669" t="s">
        <v>17397</v>
      </c>
      <c r="J9669" t="s">
        <v>18894</v>
      </c>
      <c r="K9669">
        <v>11233</v>
      </c>
      <c r="L9669" t="s">
        <v>18958</v>
      </c>
      <c r="M9669" t="s">
        <v>18958</v>
      </c>
      <c r="O9669" t="s">
        <v>26534</v>
      </c>
      <c r="P9669" t="s">
        <v>26562</v>
      </c>
      <c r="R9669" t="s">
        <v>26578</v>
      </c>
      <c r="S9669" t="s">
        <v>18958</v>
      </c>
      <c r="U9669" t="s">
        <v>26604</v>
      </c>
      <c r="V9669" t="s">
        <v>26610</v>
      </c>
      <c r="X9669">
        <v>0</v>
      </c>
      <c r="Y9669" t="s">
        <v>26652</v>
      </c>
      <c r="AB9669" t="s">
        <v>27657</v>
      </c>
      <c r="AC9669" t="s">
        <v>19330</v>
      </c>
      <c r="AE9669">
        <v>0</v>
      </c>
      <c r="AF9669" t="s">
        <v>45541</v>
      </c>
      <c r="AG9669" t="s">
        <v>19330</v>
      </c>
      <c r="AH9669">
        <v>0</v>
      </c>
      <c r="AI9669">
        <v>1</v>
      </c>
      <c r="AJ9669">
        <v>0</v>
      </c>
      <c r="AK9669">
        <v>329.49</v>
      </c>
      <c r="AN9669" t="s">
        <v>7439</v>
      </c>
      <c r="AO9669">
        <v>40000</v>
      </c>
      <c r="AU9669">
        <v>0</v>
      </c>
      <c r="AW9669" t="s">
        <v>279</v>
      </c>
    </row>
    <row r="9670" spans="1:49">
      <c r="A9670" s="1">
        <f>HYPERLINK("https://lsnyc.legalserver.org/matter/dynamic-profile/view/1887281","19-1887281")</f>
        <v>0</v>
      </c>
      <c r="B9670" t="s">
        <v>249</v>
      </c>
      <c r="C9670" t="s">
        <v>341</v>
      </c>
      <c r="D9670" t="s">
        <v>716</v>
      </c>
      <c r="E9670" t="s">
        <v>727</v>
      </c>
      <c r="F9670" t="s">
        <v>4392</v>
      </c>
      <c r="G9670" t="s">
        <v>5720</v>
      </c>
      <c r="H9670" t="s">
        <v>9956</v>
      </c>
      <c r="I9670" t="s">
        <v>17406</v>
      </c>
      <c r="J9670" t="s">
        <v>18894</v>
      </c>
      <c r="K9670">
        <v>11207</v>
      </c>
      <c r="L9670" t="s">
        <v>18959</v>
      </c>
      <c r="M9670" t="s">
        <v>18959</v>
      </c>
      <c r="N9670" t="s">
        <v>18997</v>
      </c>
      <c r="O9670" t="s">
        <v>18997</v>
      </c>
      <c r="P9670" t="s">
        <v>26564</v>
      </c>
      <c r="Q9670" t="s">
        <v>26570</v>
      </c>
      <c r="R9670" t="s">
        <v>26578</v>
      </c>
      <c r="S9670" t="s">
        <v>18959</v>
      </c>
      <c r="U9670" t="s">
        <v>26604</v>
      </c>
      <c r="V9670" t="s">
        <v>26610</v>
      </c>
      <c r="X9670">
        <v>1418</v>
      </c>
      <c r="Y9670" t="s">
        <v>26652</v>
      </c>
      <c r="AA9670" t="s">
        <v>26683</v>
      </c>
      <c r="AB9670" t="s">
        <v>33554</v>
      </c>
      <c r="AC9670" t="s">
        <v>19330</v>
      </c>
      <c r="AD9670" t="s">
        <v>44320</v>
      </c>
      <c r="AE9670">
        <v>196</v>
      </c>
      <c r="AF9670" t="s">
        <v>20460</v>
      </c>
      <c r="AG9670" t="s">
        <v>19330</v>
      </c>
      <c r="AH9670">
        <v>0</v>
      </c>
      <c r="AI9670">
        <v>1</v>
      </c>
      <c r="AJ9670">
        <v>0</v>
      </c>
      <c r="AK9670">
        <v>257</v>
      </c>
      <c r="AN9670" t="s">
        <v>7439</v>
      </c>
      <c r="AO9670">
        <v>31200</v>
      </c>
      <c r="AP9670" t="s">
        <v>46193</v>
      </c>
      <c r="AU9670">
        <v>0.75</v>
      </c>
      <c r="AV9670" t="s">
        <v>727</v>
      </c>
      <c r="AW9670" t="s">
        <v>279</v>
      </c>
    </row>
    <row r="9671" spans="1:49">
      <c r="A9671" s="1">
        <f>HYPERLINK("https://lsnyc.legalserver.org/matter/dynamic-profile/view/1887223","19-1887223")</f>
        <v>0</v>
      </c>
      <c r="B9671" t="s">
        <v>279</v>
      </c>
      <c r="C9671" t="s">
        <v>341</v>
      </c>
      <c r="D9671" t="s">
        <v>716</v>
      </c>
      <c r="E9671" t="s">
        <v>716</v>
      </c>
      <c r="F9671" t="s">
        <v>4624</v>
      </c>
      <c r="G9671" t="s">
        <v>1203</v>
      </c>
      <c r="H9671" t="s">
        <v>16225</v>
      </c>
      <c r="I9671" t="s">
        <v>17435</v>
      </c>
      <c r="J9671" t="s">
        <v>18894</v>
      </c>
      <c r="K9671">
        <v>11207</v>
      </c>
      <c r="L9671" t="s">
        <v>18959</v>
      </c>
      <c r="M9671" t="s">
        <v>18959</v>
      </c>
      <c r="N9671" t="s">
        <v>25640</v>
      </c>
      <c r="O9671" t="s">
        <v>26526</v>
      </c>
      <c r="P9671" t="s">
        <v>26564</v>
      </c>
      <c r="Q9671" t="s">
        <v>26570</v>
      </c>
      <c r="R9671" t="s">
        <v>26578</v>
      </c>
      <c r="S9671" t="s">
        <v>18959</v>
      </c>
      <c r="U9671" t="s">
        <v>26604</v>
      </c>
      <c r="V9671" t="s">
        <v>26610</v>
      </c>
      <c r="X9671">
        <v>1800</v>
      </c>
      <c r="Y9671" t="s">
        <v>26652</v>
      </c>
      <c r="Z9671" t="s">
        <v>26666</v>
      </c>
      <c r="AA9671" t="s">
        <v>26683</v>
      </c>
      <c r="AB9671" t="s">
        <v>33555</v>
      </c>
      <c r="AC9671" t="s">
        <v>34508</v>
      </c>
      <c r="AD9671" t="s">
        <v>44321</v>
      </c>
      <c r="AE9671">
        <v>3</v>
      </c>
      <c r="AF9671" t="s">
        <v>45547</v>
      </c>
      <c r="AG9671" t="s">
        <v>45557</v>
      </c>
      <c r="AH9671">
        <v>1</v>
      </c>
      <c r="AI9671">
        <v>1</v>
      </c>
      <c r="AJ9671">
        <v>4</v>
      </c>
      <c r="AK9671">
        <v>79.73999999999999</v>
      </c>
      <c r="AN9671" t="s">
        <v>7439</v>
      </c>
      <c r="AO9671">
        <v>23460</v>
      </c>
      <c r="AU9671">
        <v>0.6</v>
      </c>
      <c r="AV9671" t="s">
        <v>716</v>
      </c>
      <c r="AW9671" t="s">
        <v>46842</v>
      </c>
    </row>
    <row r="9672" spans="1:49">
      <c r="A9672" s="1">
        <f>HYPERLINK("https://lsnyc.legalserver.org/matter/dynamic-profile/view/1887264","19-1887264")</f>
        <v>0</v>
      </c>
      <c r="B9672" t="s">
        <v>55</v>
      </c>
      <c r="C9672" t="s">
        <v>340</v>
      </c>
      <c r="D9672" t="s">
        <v>716</v>
      </c>
      <c r="F9672" t="s">
        <v>4538</v>
      </c>
      <c r="G9672" t="s">
        <v>9021</v>
      </c>
      <c r="H9672" t="s">
        <v>9741</v>
      </c>
      <c r="I9672" t="s">
        <v>17464</v>
      </c>
      <c r="J9672" t="s">
        <v>18892</v>
      </c>
      <c r="K9672">
        <v>10453</v>
      </c>
      <c r="L9672" t="s">
        <v>18960</v>
      </c>
      <c r="M9672" t="s">
        <v>18960</v>
      </c>
      <c r="O9672" t="s">
        <v>18997</v>
      </c>
      <c r="P9672" t="s">
        <v>26562</v>
      </c>
      <c r="R9672" t="s">
        <v>26578</v>
      </c>
      <c r="S9672" t="s">
        <v>18958</v>
      </c>
      <c r="U9672" t="s">
        <v>26604</v>
      </c>
      <c r="X9672">
        <v>1400</v>
      </c>
      <c r="Y9672" t="s">
        <v>26650</v>
      </c>
      <c r="Z9672" t="s">
        <v>26663</v>
      </c>
      <c r="AB9672" t="s">
        <v>33378</v>
      </c>
      <c r="AE9672">
        <v>99</v>
      </c>
      <c r="AF9672" t="s">
        <v>45541</v>
      </c>
      <c r="AG9672" t="s">
        <v>45556</v>
      </c>
      <c r="AH9672">
        <v>7</v>
      </c>
      <c r="AI9672">
        <v>1</v>
      </c>
      <c r="AJ9672">
        <v>0</v>
      </c>
      <c r="AK9672">
        <v>138.39</v>
      </c>
      <c r="AN9672" t="s">
        <v>7439</v>
      </c>
      <c r="AO9672">
        <v>16800</v>
      </c>
      <c r="AU9672">
        <v>0</v>
      </c>
      <c r="AW9672" t="s">
        <v>46832</v>
      </c>
    </row>
    <row r="9673" spans="1:49">
      <c r="A9673" s="1">
        <f>HYPERLINK("https://lsnyc.legalserver.org/matter/dynamic-profile/view/1887278","19-1887278")</f>
        <v>0</v>
      </c>
      <c r="B9673" t="s">
        <v>55</v>
      </c>
      <c r="C9673" t="s">
        <v>340</v>
      </c>
      <c r="D9673" t="s">
        <v>716</v>
      </c>
      <c r="F9673" t="s">
        <v>893</v>
      </c>
      <c r="G9673" t="s">
        <v>5086</v>
      </c>
      <c r="H9673" t="s">
        <v>9741</v>
      </c>
      <c r="I9673" t="s">
        <v>17344</v>
      </c>
      <c r="J9673" t="s">
        <v>18892</v>
      </c>
      <c r="K9673">
        <v>10453</v>
      </c>
      <c r="L9673" t="s">
        <v>18960</v>
      </c>
      <c r="M9673" t="s">
        <v>18960</v>
      </c>
      <c r="O9673" t="s">
        <v>18997</v>
      </c>
      <c r="P9673" t="s">
        <v>26562</v>
      </c>
      <c r="R9673" t="s">
        <v>26578</v>
      </c>
      <c r="S9673" t="s">
        <v>18958</v>
      </c>
      <c r="U9673" t="s">
        <v>26604</v>
      </c>
      <c r="X9673">
        <v>1400</v>
      </c>
      <c r="Y9673" t="s">
        <v>26650</v>
      </c>
      <c r="Z9673" t="s">
        <v>26663</v>
      </c>
      <c r="AB9673" t="s">
        <v>33379</v>
      </c>
      <c r="AE9673">
        <v>99</v>
      </c>
      <c r="AF9673" t="s">
        <v>20460</v>
      </c>
      <c r="AG9673" t="s">
        <v>45556</v>
      </c>
      <c r="AH9673">
        <v>0</v>
      </c>
      <c r="AI9673">
        <v>1</v>
      </c>
      <c r="AJ9673">
        <v>1</v>
      </c>
      <c r="AK9673">
        <v>212.64</v>
      </c>
      <c r="AN9673" t="s">
        <v>7439</v>
      </c>
      <c r="AO9673">
        <v>35000</v>
      </c>
      <c r="AU9673">
        <v>0</v>
      </c>
      <c r="AW9673" t="s">
        <v>46832</v>
      </c>
    </row>
    <row r="9674" spans="1:49">
      <c r="A9674" s="1">
        <f>HYPERLINK("https://lsnyc.legalserver.org/matter/dynamic-profile/view/1887275","19-1887275")</f>
        <v>0</v>
      </c>
      <c r="B9674" t="s">
        <v>55</v>
      </c>
      <c r="C9674" t="s">
        <v>340</v>
      </c>
      <c r="D9674" t="s">
        <v>716</v>
      </c>
      <c r="F9674" t="s">
        <v>3904</v>
      </c>
      <c r="G9674" t="s">
        <v>1725</v>
      </c>
      <c r="H9674" t="s">
        <v>9741</v>
      </c>
      <c r="I9674" t="s">
        <v>17355</v>
      </c>
      <c r="J9674" t="s">
        <v>18892</v>
      </c>
      <c r="K9674">
        <v>10453</v>
      </c>
      <c r="L9674" t="s">
        <v>18960</v>
      </c>
      <c r="M9674" t="s">
        <v>18960</v>
      </c>
      <c r="O9674" t="s">
        <v>18997</v>
      </c>
      <c r="P9674" t="s">
        <v>26562</v>
      </c>
      <c r="R9674" t="s">
        <v>26578</v>
      </c>
      <c r="S9674" t="s">
        <v>18958</v>
      </c>
      <c r="U9674" t="s">
        <v>26604</v>
      </c>
      <c r="X9674">
        <v>718.12</v>
      </c>
      <c r="Y9674" t="s">
        <v>26650</v>
      </c>
      <c r="Z9674" t="s">
        <v>26663</v>
      </c>
      <c r="AB9674" t="s">
        <v>30178</v>
      </c>
      <c r="AD9674" t="s">
        <v>44104</v>
      </c>
      <c r="AE9674">
        <v>99</v>
      </c>
      <c r="AF9674" t="s">
        <v>45541</v>
      </c>
      <c r="AG9674" t="s">
        <v>45556</v>
      </c>
      <c r="AH9674">
        <v>9</v>
      </c>
      <c r="AI9674">
        <v>1</v>
      </c>
      <c r="AJ9674">
        <v>0</v>
      </c>
      <c r="AK9674">
        <v>227.02</v>
      </c>
      <c r="AN9674" t="s">
        <v>45581</v>
      </c>
      <c r="AO9674">
        <v>27560</v>
      </c>
      <c r="AU9674">
        <v>0</v>
      </c>
      <c r="AW9674" t="s">
        <v>46832</v>
      </c>
    </row>
    <row r="9675" spans="1:49">
      <c r="A9675" s="1">
        <f>HYPERLINK("https://lsnyc.legalserver.org/matter/dynamic-profile/view/1887175","19-1887175")</f>
        <v>0</v>
      </c>
      <c r="B9675" t="s">
        <v>135</v>
      </c>
      <c r="C9675" t="s">
        <v>340</v>
      </c>
      <c r="D9675" t="s">
        <v>716</v>
      </c>
      <c r="F9675" t="s">
        <v>4625</v>
      </c>
      <c r="G9675" t="s">
        <v>5121</v>
      </c>
      <c r="H9675" t="s">
        <v>16226</v>
      </c>
      <c r="I9675" t="s">
        <v>17440</v>
      </c>
      <c r="J9675" t="s">
        <v>18892</v>
      </c>
      <c r="K9675">
        <v>10453</v>
      </c>
      <c r="L9675" t="s">
        <v>18960</v>
      </c>
      <c r="M9675" t="s">
        <v>18960</v>
      </c>
      <c r="R9675" t="s">
        <v>26591</v>
      </c>
      <c r="U9675" t="s">
        <v>26604</v>
      </c>
      <c r="X9675">
        <v>168</v>
      </c>
      <c r="Y9675" t="s">
        <v>26650</v>
      </c>
      <c r="Z9675" t="s">
        <v>26661</v>
      </c>
      <c r="AB9675" t="s">
        <v>33556</v>
      </c>
      <c r="AD9675" t="s">
        <v>44322</v>
      </c>
      <c r="AE9675">
        <v>0</v>
      </c>
      <c r="AF9675" t="s">
        <v>45543</v>
      </c>
      <c r="AH9675">
        <v>40</v>
      </c>
      <c r="AI9675">
        <v>1</v>
      </c>
      <c r="AJ9675">
        <v>0</v>
      </c>
      <c r="AK9675">
        <v>75.22</v>
      </c>
      <c r="AN9675" t="s">
        <v>45581</v>
      </c>
      <c r="AO9675">
        <v>9132</v>
      </c>
      <c r="AP9675" t="s">
        <v>46194</v>
      </c>
      <c r="AU9675">
        <v>0.5</v>
      </c>
      <c r="AV9675" t="s">
        <v>716</v>
      </c>
      <c r="AW9675" t="s">
        <v>46849</v>
      </c>
    </row>
    <row r="9676" spans="1:49">
      <c r="A9676" s="1">
        <f>HYPERLINK("https://lsnyc.legalserver.org/matter/dynamic-profile/view/1887183","19-1887183")</f>
        <v>0</v>
      </c>
      <c r="B9676" t="s">
        <v>135</v>
      </c>
      <c r="C9676" t="s">
        <v>340</v>
      </c>
      <c r="D9676" t="s">
        <v>716</v>
      </c>
      <c r="F9676" t="s">
        <v>1789</v>
      </c>
      <c r="G9676" t="s">
        <v>2749</v>
      </c>
      <c r="H9676" t="s">
        <v>13289</v>
      </c>
      <c r="I9676" t="s">
        <v>17306</v>
      </c>
      <c r="J9676" t="s">
        <v>18892</v>
      </c>
      <c r="K9676">
        <v>10457</v>
      </c>
      <c r="L9676" t="s">
        <v>18960</v>
      </c>
      <c r="M9676" t="s">
        <v>18960</v>
      </c>
      <c r="O9676" t="s">
        <v>18997</v>
      </c>
      <c r="P9676" t="s">
        <v>26564</v>
      </c>
      <c r="R9676" t="s">
        <v>26591</v>
      </c>
      <c r="S9676" t="s">
        <v>18959</v>
      </c>
      <c r="U9676" t="s">
        <v>26604</v>
      </c>
      <c r="X9676">
        <v>1300</v>
      </c>
      <c r="Y9676" t="s">
        <v>26650</v>
      </c>
      <c r="Z9676" t="s">
        <v>26661</v>
      </c>
      <c r="AB9676" t="s">
        <v>30654</v>
      </c>
      <c r="AD9676" t="s">
        <v>40856</v>
      </c>
      <c r="AE9676">
        <v>9</v>
      </c>
      <c r="AF9676" t="s">
        <v>45541</v>
      </c>
      <c r="AG9676" t="s">
        <v>19330</v>
      </c>
      <c r="AH9676">
        <v>2</v>
      </c>
      <c r="AI9676">
        <v>1</v>
      </c>
      <c r="AJ9676">
        <v>0</v>
      </c>
      <c r="AK9676">
        <v>141.35</v>
      </c>
      <c r="AN9676" t="s">
        <v>7439</v>
      </c>
      <c r="AO9676">
        <v>17160</v>
      </c>
      <c r="AP9676" t="s">
        <v>46194</v>
      </c>
      <c r="AU9676">
        <v>0</v>
      </c>
      <c r="AW9676" t="s">
        <v>46829</v>
      </c>
    </row>
    <row r="9677" spans="1:49">
      <c r="A9677" s="1">
        <f>HYPERLINK("https://lsnyc.legalserver.org/matter/dynamic-profile/view/1887210","19-1887210")</f>
        <v>0</v>
      </c>
      <c r="B9677" t="s">
        <v>135</v>
      </c>
      <c r="C9677" t="s">
        <v>340</v>
      </c>
      <c r="D9677" t="s">
        <v>716</v>
      </c>
      <c r="F9677" t="s">
        <v>916</v>
      </c>
      <c r="G9677" t="s">
        <v>6528</v>
      </c>
      <c r="H9677" t="s">
        <v>16227</v>
      </c>
      <c r="I9677" t="s">
        <v>17440</v>
      </c>
      <c r="J9677" t="s">
        <v>18892</v>
      </c>
      <c r="K9677">
        <v>10453</v>
      </c>
      <c r="L9677" t="s">
        <v>18960</v>
      </c>
      <c r="M9677" t="s">
        <v>18960</v>
      </c>
      <c r="N9677" t="s">
        <v>25641</v>
      </c>
      <c r="O9677" t="s">
        <v>26524</v>
      </c>
      <c r="R9677" t="s">
        <v>26591</v>
      </c>
      <c r="U9677" t="s">
        <v>26604</v>
      </c>
      <c r="X9677">
        <v>1675</v>
      </c>
      <c r="Y9677" t="s">
        <v>26650</v>
      </c>
      <c r="Z9677" t="s">
        <v>26660</v>
      </c>
      <c r="AB9677" t="s">
        <v>27995</v>
      </c>
      <c r="AD9677" t="s">
        <v>44323</v>
      </c>
      <c r="AE9677">
        <v>20</v>
      </c>
      <c r="AF9677" t="s">
        <v>45541</v>
      </c>
      <c r="AG9677" t="s">
        <v>19330</v>
      </c>
      <c r="AH9677">
        <v>3</v>
      </c>
      <c r="AI9677">
        <v>2</v>
      </c>
      <c r="AJ9677">
        <v>0</v>
      </c>
      <c r="AK9677">
        <v>152.25</v>
      </c>
      <c r="AN9677" t="s">
        <v>45581</v>
      </c>
      <c r="AO9677">
        <v>25060</v>
      </c>
      <c r="AP9677" t="s">
        <v>46194</v>
      </c>
      <c r="AU9677">
        <v>1</v>
      </c>
      <c r="AV9677" t="s">
        <v>716</v>
      </c>
      <c r="AW9677" t="s">
        <v>46846</v>
      </c>
    </row>
    <row r="9678" spans="1:49">
      <c r="A9678" s="1">
        <f>HYPERLINK("https://lsnyc.legalserver.org/matter/dynamic-profile/view/1887181","19-1887181")</f>
        <v>0</v>
      </c>
      <c r="B9678" t="s">
        <v>200</v>
      </c>
      <c r="C9678" t="s">
        <v>340</v>
      </c>
      <c r="D9678" t="s">
        <v>716</v>
      </c>
      <c r="F9678" t="s">
        <v>4626</v>
      </c>
      <c r="G9678" t="s">
        <v>7990</v>
      </c>
      <c r="H9678" t="s">
        <v>16228</v>
      </c>
      <c r="I9678" t="s">
        <v>17354</v>
      </c>
      <c r="J9678" t="s">
        <v>18894</v>
      </c>
      <c r="K9678">
        <v>11216</v>
      </c>
      <c r="L9678" t="s">
        <v>18958</v>
      </c>
      <c r="M9678" t="s">
        <v>18959</v>
      </c>
      <c r="O9678" t="s">
        <v>18997</v>
      </c>
      <c r="R9678" t="s">
        <v>26586</v>
      </c>
      <c r="U9678" t="s">
        <v>26607</v>
      </c>
      <c r="X9678">
        <v>202</v>
      </c>
      <c r="Y9678" t="s">
        <v>26652</v>
      </c>
      <c r="Z9678" t="s">
        <v>26663</v>
      </c>
      <c r="AB9678" t="s">
        <v>28952</v>
      </c>
      <c r="AE9678">
        <v>0</v>
      </c>
      <c r="AG9678" t="s">
        <v>45556</v>
      </c>
      <c r="AH9678">
        <v>0</v>
      </c>
      <c r="AI9678">
        <v>4</v>
      </c>
      <c r="AJ9678">
        <v>2</v>
      </c>
      <c r="AK9678">
        <v>74.53</v>
      </c>
      <c r="AN9678" t="s">
        <v>45592</v>
      </c>
      <c r="AO9678">
        <v>25148</v>
      </c>
      <c r="AU9678">
        <v>0</v>
      </c>
      <c r="AW9678" t="s">
        <v>46853</v>
      </c>
    </row>
    <row r="9679" spans="1:49">
      <c r="A9679" s="1">
        <f>HYPERLINK("https://lsnyc.legalserver.org/matter/dynamic-profile/view/1887340","19-1887340")</f>
        <v>0</v>
      </c>
      <c r="B9679" t="s">
        <v>211</v>
      </c>
      <c r="C9679" t="s">
        <v>341</v>
      </c>
      <c r="D9679" t="s">
        <v>704</v>
      </c>
      <c r="E9679" t="s">
        <v>415</v>
      </c>
      <c r="F9679" t="s">
        <v>1703</v>
      </c>
      <c r="G9679" t="s">
        <v>9133</v>
      </c>
      <c r="H9679" t="s">
        <v>16229</v>
      </c>
      <c r="I9679" t="s">
        <v>17300</v>
      </c>
      <c r="J9679" t="s">
        <v>18894</v>
      </c>
      <c r="K9679">
        <v>11213</v>
      </c>
      <c r="L9679" t="s">
        <v>18959</v>
      </c>
      <c r="M9679" t="s">
        <v>18959</v>
      </c>
      <c r="N9679" t="s">
        <v>18993</v>
      </c>
      <c r="P9679" t="s">
        <v>26564</v>
      </c>
      <c r="Q9679" t="s">
        <v>26569</v>
      </c>
      <c r="R9679" t="s">
        <v>26578</v>
      </c>
      <c r="S9679" t="s">
        <v>18959</v>
      </c>
      <c r="U9679" t="s">
        <v>26607</v>
      </c>
      <c r="X9679">
        <v>0</v>
      </c>
      <c r="Y9679" t="s">
        <v>26652</v>
      </c>
      <c r="Z9679" t="s">
        <v>26530</v>
      </c>
      <c r="AA9679" t="s">
        <v>26687</v>
      </c>
      <c r="AE9679">
        <v>0</v>
      </c>
      <c r="AH9679">
        <v>0</v>
      </c>
      <c r="AI9679">
        <v>1</v>
      </c>
      <c r="AJ9679">
        <v>0</v>
      </c>
      <c r="AK9679">
        <v>0</v>
      </c>
      <c r="AN9679" t="s">
        <v>7439</v>
      </c>
      <c r="AO9679">
        <v>0</v>
      </c>
      <c r="AU9679">
        <v>0.1</v>
      </c>
      <c r="AV9679" t="s">
        <v>415</v>
      </c>
      <c r="AW9679" t="s">
        <v>286</v>
      </c>
    </row>
    <row r="9680" spans="1:49">
      <c r="A9680" s="1">
        <f>HYPERLINK("https://lsnyc.legalserver.org/matter/dynamic-profile/view/1887321","19-1887321")</f>
        <v>0</v>
      </c>
      <c r="B9680" t="s">
        <v>211</v>
      </c>
      <c r="C9680" t="s">
        <v>341</v>
      </c>
      <c r="D9680" t="s">
        <v>704</v>
      </c>
      <c r="E9680" t="s">
        <v>415</v>
      </c>
      <c r="F9680" t="s">
        <v>3587</v>
      </c>
      <c r="G9680" t="s">
        <v>9134</v>
      </c>
      <c r="H9680" t="s">
        <v>16230</v>
      </c>
      <c r="I9680" t="s">
        <v>17336</v>
      </c>
      <c r="J9680" t="s">
        <v>18894</v>
      </c>
      <c r="K9680">
        <v>11213</v>
      </c>
      <c r="L9680" t="s">
        <v>18959</v>
      </c>
      <c r="M9680" t="s">
        <v>18959</v>
      </c>
      <c r="N9680" t="s">
        <v>25642</v>
      </c>
      <c r="O9680" t="s">
        <v>26523</v>
      </c>
      <c r="P9680" t="s">
        <v>26565</v>
      </c>
      <c r="Q9680" t="s">
        <v>26571</v>
      </c>
      <c r="R9680" t="s">
        <v>26578</v>
      </c>
      <c r="S9680" t="s">
        <v>18959</v>
      </c>
      <c r="U9680" t="s">
        <v>26604</v>
      </c>
      <c r="X9680">
        <v>213</v>
      </c>
      <c r="Y9680" t="s">
        <v>26652</v>
      </c>
      <c r="Z9680" t="s">
        <v>26530</v>
      </c>
      <c r="AA9680" t="s">
        <v>26681</v>
      </c>
      <c r="AB9680" t="s">
        <v>33557</v>
      </c>
      <c r="AD9680" t="s">
        <v>44324</v>
      </c>
      <c r="AE9680">
        <v>80</v>
      </c>
      <c r="AG9680" t="s">
        <v>45556</v>
      </c>
      <c r="AH9680">
        <v>0</v>
      </c>
      <c r="AI9680">
        <v>2</v>
      </c>
      <c r="AJ9680">
        <v>0</v>
      </c>
      <c r="AK9680">
        <v>54.68</v>
      </c>
      <c r="AN9680" t="s">
        <v>7439</v>
      </c>
      <c r="AO9680">
        <v>9000</v>
      </c>
      <c r="AU9680">
        <v>0.1</v>
      </c>
      <c r="AV9680" t="s">
        <v>415</v>
      </c>
      <c r="AW9680" t="s">
        <v>286</v>
      </c>
    </row>
    <row r="9681" spans="1:49">
      <c r="A9681" s="1">
        <f>HYPERLINK("https://lsnyc.legalserver.org/matter/dynamic-profile/view/1887385","19-1887385")</f>
        <v>0</v>
      </c>
      <c r="B9681" t="s">
        <v>209</v>
      </c>
      <c r="C9681" t="s">
        <v>341</v>
      </c>
      <c r="D9681" t="s">
        <v>704</v>
      </c>
      <c r="E9681" t="s">
        <v>458</v>
      </c>
      <c r="F9681" t="s">
        <v>1087</v>
      </c>
      <c r="G9681" t="s">
        <v>5590</v>
      </c>
      <c r="H9681" t="s">
        <v>10299</v>
      </c>
      <c r="I9681" t="s">
        <v>18705</v>
      </c>
      <c r="J9681" t="s">
        <v>18909</v>
      </c>
      <c r="K9681">
        <v>11101</v>
      </c>
      <c r="L9681" t="s">
        <v>18960</v>
      </c>
      <c r="M9681" t="s">
        <v>18960</v>
      </c>
      <c r="N9681" t="s">
        <v>19547</v>
      </c>
      <c r="O9681" t="s">
        <v>26524</v>
      </c>
      <c r="P9681" t="s">
        <v>26564</v>
      </c>
      <c r="Q9681" t="s">
        <v>26570</v>
      </c>
      <c r="R9681" t="s">
        <v>26591</v>
      </c>
      <c r="U9681" t="s">
        <v>26604</v>
      </c>
      <c r="X9681">
        <v>652</v>
      </c>
      <c r="Y9681" t="s">
        <v>26653</v>
      </c>
      <c r="AA9681" t="s">
        <v>26683</v>
      </c>
      <c r="AB9681" t="s">
        <v>26784</v>
      </c>
      <c r="AD9681" t="s">
        <v>37469</v>
      </c>
      <c r="AE9681">
        <v>306</v>
      </c>
      <c r="AH9681">
        <v>3</v>
      </c>
      <c r="AI9681">
        <v>1</v>
      </c>
      <c r="AJ9681">
        <v>0</v>
      </c>
      <c r="AK9681">
        <v>191.89</v>
      </c>
      <c r="AN9681" t="s">
        <v>7439</v>
      </c>
      <c r="AO9681">
        <v>23296</v>
      </c>
      <c r="AU9681">
        <v>1</v>
      </c>
      <c r="AV9681" t="s">
        <v>458</v>
      </c>
      <c r="AW9681" t="s">
        <v>46850</v>
      </c>
    </row>
    <row r="9682" spans="1:49">
      <c r="A9682" s="1">
        <f>HYPERLINK("https://lsnyc.legalserver.org/matter/dynamic-profile/view/1881909","18-1881909")</f>
        <v>0</v>
      </c>
      <c r="B9682" t="s">
        <v>249</v>
      </c>
      <c r="C9682" t="s">
        <v>341</v>
      </c>
      <c r="D9682" t="s">
        <v>704</v>
      </c>
      <c r="E9682" t="s">
        <v>782</v>
      </c>
      <c r="F9682" t="s">
        <v>1703</v>
      </c>
      <c r="G9682" t="s">
        <v>9135</v>
      </c>
      <c r="H9682" t="s">
        <v>16231</v>
      </c>
      <c r="I9682" t="s">
        <v>17316</v>
      </c>
      <c r="J9682" t="s">
        <v>18894</v>
      </c>
      <c r="K9682">
        <v>11233</v>
      </c>
      <c r="L9682" t="s">
        <v>18959</v>
      </c>
      <c r="M9682" t="s">
        <v>18959</v>
      </c>
      <c r="N9682" t="s">
        <v>19330</v>
      </c>
      <c r="O9682" t="s">
        <v>18997</v>
      </c>
      <c r="P9682" t="s">
        <v>26564</v>
      </c>
      <c r="Q9682" t="s">
        <v>26570</v>
      </c>
      <c r="R9682" t="s">
        <v>26578</v>
      </c>
      <c r="S9682" t="s">
        <v>18959</v>
      </c>
      <c r="U9682" t="s">
        <v>26604</v>
      </c>
      <c r="V9682" t="s">
        <v>26610</v>
      </c>
      <c r="X9682">
        <v>1051.86</v>
      </c>
      <c r="Y9682" t="s">
        <v>26652</v>
      </c>
      <c r="Z9682" t="s">
        <v>26659</v>
      </c>
      <c r="AA9682" t="s">
        <v>26683</v>
      </c>
      <c r="AB9682" t="s">
        <v>28799</v>
      </c>
      <c r="AC9682" t="s">
        <v>19330</v>
      </c>
      <c r="AD9682" t="s">
        <v>44325</v>
      </c>
      <c r="AE9682">
        <v>12</v>
      </c>
      <c r="AF9682" t="s">
        <v>45541</v>
      </c>
      <c r="AG9682" t="s">
        <v>19330</v>
      </c>
      <c r="AH9682">
        <v>8</v>
      </c>
      <c r="AI9682">
        <v>2</v>
      </c>
      <c r="AJ9682">
        <v>0</v>
      </c>
      <c r="AK9682">
        <v>189.55</v>
      </c>
      <c r="AM9682" t="s">
        <v>45575</v>
      </c>
      <c r="AN9682" t="s">
        <v>7439</v>
      </c>
      <c r="AO9682">
        <v>31200</v>
      </c>
      <c r="AU9682">
        <v>1.25</v>
      </c>
      <c r="AV9682" t="s">
        <v>713</v>
      </c>
      <c r="AW9682" t="s">
        <v>279</v>
      </c>
    </row>
    <row r="9683" spans="1:49">
      <c r="A9683" s="1">
        <f>HYPERLINK("https://lsnyc.legalserver.org/matter/dynamic-profile/view/1887407","19-1887407")</f>
        <v>0</v>
      </c>
      <c r="B9683" t="s">
        <v>208</v>
      </c>
      <c r="C9683" t="s">
        <v>340</v>
      </c>
      <c r="D9683" t="s">
        <v>704</v>
      </c>
      <c r="F9683" t="s">
        <v>4627</v>
      </c>
      <c r="G9683" t="s">
        <v>7202</v>
      </c>
      <c r="H9683" t="s">
        <v>10422</v>
      </c>
      <c r="I9683" t="s">
        <v>17425</v>
      </c>
      <c r="J9683" t="s">
        <v>7026</v>
      </c>
      <c r="K9683">
        <v>11368</v>
      </c>
      <c r="L9683" t="s">
        <v>18958</v>
      </c>
      <c r="M9683" t="s">
        <v>18958</v>
      </c>
      <c r="N9683" t="s">
        <v>25643</v>
      </c>
      <c r="O9683" t="s">
        <v>26523</v>
      </c>
      <c r="P9683" t="s">
        <v>26563</v>
      </c>
      <c r="R9683" t="s">
        <v>26584</v>
      </c>
      <c r="S9683" t="s">
        <v>18959</v>
      </c>
      <c r="U9683" t="s">
        <v>26604</v>
      </c>
      <c r="X9683">
        <v>1996</v>
      </c>
      <c r="Y9683" t="s">
        <v>26653</v>
      </c>
      <c r="Z9683" t="s">
        <v>26664</v>
      </c>
      <c r="AB9683" t="s">
        <v>33558</v>
      </c>
      <c r="AD9683" t="s">
        <v>44326</v>
      </c>
      <c r="AE9683">
        <v>234</v>
      </c>
      <c r="AF9683" t="s">
        <v>20460</v>
      </c>
      <c r="AG9683" t="s">
        <v>19330</v>
      </c>
      <c r="AH9683">
        <v>1</v>
      </c>
      <c r="AI9683">
        <v>2</v>
      </c>
      <c r="AJ9683">
        <v>1</v>
      </c>
      <c r="AK9683">
        <v>95.28</v>
      </c>
      <c r="AN9683" t="s">
        <v>7439</v>
      </c>
      <c r="AO9683">
        <v>19800</v>
      </c>
      <c r="AU9683">
        <v>0</v>
      </c>
      <c r="AW9683" t="s">
        <v>208</v>
      </c>
    </row>
    <row r="9684" spans="1:49">
      <c r="A9684" s="1">
        <f>HYPERLINK("https://lsnyc.legalserver.org/matter/dynamic-profile/view/1887399","19-1887399")</f>
        <v>0</v>
      </c>
      <c r="B9684" t="s">
        <v>208</v>
      </c>
      <c r="C9684" t="s">
        <v>340</v>
      </c>
      <c r="D9684" t="s">
        <v>704</v>
      </c>
      <c r="F9684" t="s">
        <v>4628</v>
      </c>
      <c r="G9684" t="s">
        <v>5447</v>
      </c>
      <c r="H9684" t="s">
        <v>16232</v>
      </c>
      <c r="I9684" t="s">
        <v>17328</v>
      </c>
      <c r="J9684" t="s">
        <v>18934</v>
      </c>
      <c r="K9684">
        <v>11413</v>
      </c>
      <c r="L9684" t="s">
        <v>18958</v>
      </c>
      <c r="M9684" t="s">
        <v>18958</v>
      </c>
      <c r="N9684" t="s">
        <v>25644</v>
      </c>
      <c r="O9684" t="s">
        <v>26524</v>
      </c>
      <c r="P9684" t="s">
        <v>26563</v>
      </c>
      <c r="R9684" t="s">
        <v>26584</v>
      </c>
      <c r="S9684" t="s">
        <v>18959</v>
      </c>
      <c r="U9684" t="s">
        <v>26604</v>
      </c>
      <c r="X9684">
        <v>1400</v>
      </c>
      <c r="Y9684" t="s">
        <v>26653</v>
      </c>
      <c r="Z9684" t="s">
        <v>26664</v>
      </c>
      <c r="AB9684" t="s">
        <v>33035</v>
      </c>
      <c r="AC9684" t="s">
        <v>36655</v>
      </c>
      <c r="AD9684" t="s">
        <v>44327</v>
      </c>
      <c r="AE9684">
        <v>0</v>
      </c>
      <c r="AF9684" t="s">
        <v>20460</v>
      </c>
      <c r="AG9684" t="s">
        <v>19330</v>
      </c>
      <c r="AH9684">
        <v>3</v>
      </c>
      <c r="AI9684">
        <v>2</v>
      </c>
      <c r="AJ9684">
        <v>1</v>
      </c>
      <c r="AK9684">
        <v>181.17</v>
      </c>
      <c r="AN9684" t="s">
        <v>7439</v>
      </c>
      <c r="AO9684">
        <v>37648</v>
      </c>
      <c r="AU9684">
        <v>0</v>
      </c>
      <c r="AW9684" t="s">
        <v>208</v>
      </c>
    </row>
    <row r="9685" spans="1:49">
      <c r="A9685" s="1">
        <f>HYPERLINK("https://lsnyc.legalserver.org/matter/dynamic-profile/view/1887355","19-1887355")</f>
        <v>0</v>
      </c>
      <c r="B9685" t="s">
        <v>317</v>
      </c>
      <c r="C9685" t="s">
        <v>340</v>
      </c>
      <c r="D9685" t="s">
        <v>704</v>
      </c>
      <c r="F9685" t="s">
        <v>993</v>
      </c>
      <c r="G9685" t="s">
        <v>5655</v>
      </c>
      <c r="H9685" t="s">
        <v>16233</v>
      </c>
      <c r="I9685" t="s">
        <v>17334</v>
      </c>
      <c r="J9685" t="s">
        <v>18893</v>
      </c>
      <c r="K9685">
        <v>10032</v>
      </c>
      <c r="L9685" t="s">
        <v>18960</v>
      </c>
      <c r="M9685" t="s">
        <v>18960</v>
      </c>
      <c r="R9685" t="s">
        <v>26591</v>
      </c>
      <c r="U9685" t="s">
        <v>26608</v>
      </c>
      <c r="X9685">
        <v>0</v>
      </c>
      <c r="Y9685" t="s">
        <v>26651</v>
      </c>
      <c r="AB9685" t="s">
        <v>32772</v>
      </c>
      <c r="AD9685" t="s">
        <v>44328</v>
      </c>
      <c r="AE9685">
        <v>0</v>
      </c>
      <c r="AH9685">
        <v>0</v>
      </c>
      <c r="AI9685">
        <v>1</v>
      </c>
      <c r="AJ9685">
        <v>0</v>
      </c>
      <c r="AK9685">
        <v>56.14</v>
      </c>
      <c r="AN9685" t="s">
        <v>7439</v>
      </c>
      <c r="AO9685">
        <v>6816</v>
      </c>
      <c r="AU9685">
        <v>0.58</v>
      </c>
      <c r="AV9685" t="s">
        <v>704</v>
      </c>
      <c r="AW9685" t="s">
        <v>46860</v>
      </c>
    </row>
    <row r="9686" spans="1:49">
      <c r="A9686" s="1">
        <f>HYPERLINK("https://lsnyc.legalserver.org/matter/dynamic-profile/view/1887326","19-1887326")</f>
        <v>0</v>
      </c>
      <c r="B9686" t="s">
        <v>91</v>
      </c>
      <c r="C9686" t="s">
        <v>340</v>
      </c>
      <c r="D9686" t="s">
        <v>704</v>
      </c>
      <c r="F9686" t="s">
        <v>1300</v>
      </c>
      <c r="G9686" t="s">
        <v>9136</v>
      </c>
      <c r="H9686" t="s">
        <v>13275</v>
      </c>
      <c r="I9686" t="s">
        <v>17843</v>
      </c>
      <c r="J9686" t="s">
        <v>18901</v>
      </c>
      <c r="K9686">
        <v>11434</v>
      </c>
      <c r="L9686" t="s">
        <v>18960</v>
      </c>
      <c r="M9686" t="s">
        <v>18960</v>
      </c>
      <c r="N9686" t="s">
        <v>25645</v>
      </c>
      <c r="O9686" t="s">
        <v>26523</v>
      </c>
      <c r="R9686" t="s">
        <v>26584</v>
      </c>
      <c r="S9686" t="s">
        <v>18958</v>
      </c>
      <c r="U9686" t="s">
        <v>26604</v>
      </c>
      <c r="X9686">
        <v>702.16</v>
      </c>
      <c r="Y9686" t="s">
        <v>26653</v>
      </c>
      <c r="Z9686" t="s">
        <v>26664</v>
      </c>
      <c r="AB9686" t="s">
        <v>30403</v>
      </c>
      <c r="AD9686" t="s">
        <v>44329</v>
      </c>
      <c r="AE9686">
        <v>100</v>
      </c>
      <c r="AF9686" t="s">
        <v>45553</v>
      </c>
      <c r="AG9686" t="s">
        <v>19330</v>
      </c>
      <c r="AH9686">
        <v>13</v>
      </c>
      <c r="AI9686">
        <v>1</v>
      </c>
      <c r="AJ9686">
        <v>2</v>
      </c>
      <c r="AK9686">
        <v>165.21</v>
      </c>
      <c r="AN9686" t="s">
        <v>7439</v>
      </c>
      <c r="AO9686">
        <v>34330</v>
      </c>
      <c r="AU9686">
        <v>6.55</v>
      </c>
      <c r="AV9686" t="s">
        <v>720</v>
      </c>
      <c r="AW9686" t="s">
        <v>122</v>
      </c>
    </row>
    <row r="9687" spans="1:49">
      <c r="A9687" s="1">
        <f>HYPERLINK("https://lsnyc.legalserver.org/matter/dynamic-profile/view/1887411","19-1887411")</f>
        <v>0</v>
      </c>
      <c r="B9687" t="s">
        <v>221</v>
      </c>
      <c r="C9687" t="s">
        <v>340</v>
      </c>
      <c r="D9687" t="s">
        <v>704</v>
      </c>
      <c r="F9687" t="s">
        <v>1710</v>
      </c>
      <c r="G9687" t="s">
        <v>5308</v>
      </c>
      <c r="H9687" t="s">
        <v>16234</v>
      </c>
      <c r="I9687" t="s">
        <v>17291</v>
      </c>
      <c r="J9687" t="s">
        <v>18939</v>
      </c>
      <c r="K9687">
        <v>11423</v>
      </c>
      <c r="L9687" t="s">
        <v>18959</v>
      </c>
      <c r="M9687" t="s">
        <v>18958</v>
      </c>
      <c r="N9687" t="s">
        <v>25646</v>
      </c>
      <c r="O9687" t="s">
        <v>26523</v>
      </c>
      <c r="P9687" t="s">
        <v>26563</v>
      </c>
      <c r="R9687" t="s">
        <v>26584</v>
      </c>
      <c r="S9687" t="s">
        <v>18959</v>
      </c>
      <c r="U9687" t="s">
        <v>26604</v>
      </c>
      <c r="V9687" t="s">
        <v>26610</v>
      </c>
      <c r="X9687">
        <v>1575</v>
      </c>
      <c r="Y9687" t="s">
        <v>26653</v>
      </c>
      <c r="Z9687" t="s">
        <v>26664</v>
      </c>
      <c r="AB9687" t="s">
        <v>33559</v>
      </c>
      <c r="AC9687" t="s">
        <v>36656</v>
      </c>
      <c r="AD9687" t="s">
        <v>44330</v>
      </c>
      <c r="AE9687">
        <v>66</v>
      </c>
      <c r="AF9687" t="s">
        <v>45541</v>
      </c>
      <c r="AG9687" t="s">
        <v>19330</v>
      </c>
      <c r="AH9687">
        <v>3</v>
      </c>
      <c r="AI9687">
        <v>1</v>
      </c>
      <c r="AJ9687">
        <v>0</v>
      </c>
      <c r="AK9687">
        <v>148.27</v>
      </c>
      <c r="AN9687" t="s">
        <v>7439</v>
      </c>
      <c r="AO9687">
        <v>18000</v>
      </c>
      <c r="AU9687">
        <v>1.95</v>
      </c>
      <c r="AV9687" t="s">
        <v>784</v>
      </c>
      <c r="AW9687" t="s">
        <v>208</v>
      </c>
    </row>
    <row r="9688" spans="1:49">
      <c r="A9688" s="1">
        <f>HYPERLINK("https://lsnyc.legalserver.org/matter/dynamic-profile/view/1887456","19-1887456")</f>
        <v>0</v>
      </c>
      <c r="B9688" t="s">
        <v>257</v>
      </c>
      <c r="C9688" t="s">
        <v>341</v>
      </c>
      <c r="D9688" t="s">
        <v>414</v>
      </c>
      <c r="E9688" t="s">
        <v>818</v>
      </c>
      <c r="F9688" t="s">
        <v>4629</v>
      </c>
      <c r="G9688" t="s">
        <v>9137</v>
      </c>
      <c r="H9688" t="s">
        <v>16235</v>
      </c>
      <c r="I9688" t="s">
        <v>17348</v>
      </c>
      <c r="J9688" t="s">
        <v>18894</v>
      </c>
      <c r="K9688">
        <v>11205</v>
      </c>
      <c r="L9688" t="s">
        <v>18960</v>
      </c>
      <c r="M9688" t="s">
        <v>18960</v>
      </c>
      <c r="N9688" t="s">
        <v>25647</v>
      </c>
      <c r="O9688" t="s">
        <v>26524</v>
      </c>
      <c r="P9688" t="s">
        <v>26560</v>
      </c>
      <c r="Q9688" t="s">
        <v>26575</v>
      </c>
      <c r="R9688" t="s">
        <v>26591</v>
      </c>
      <c r="U9688" t="s">
        <v>26604</v>
      </c>
      <c r="X9688">
        <v>1000</v>
      </c>
      <c r="Y9688" t="s">
        <v>26652</v>
      </c>
      <c r="Z9688" t="s">
        <v>26657</v>
      </c>
      <c r="AA9688" t="s">
        <v>26678</v>
      </c>
      <c r="AB9688" t="s">
        <v>27190</v>
      </c>
      <c r="AD9688" t="s">
        <v>44331</v>
      </c>
      <c r="AE9688">
        <v>112</v>
      </c>
      <c r="AF9688" t="s">
        <v>45541</v>
      </c>
      <c r="AG9688" t="s">
        <v>45559</v>
      </c>
      <c r="AH9688">
        <v>4</v>
      </c>
      <c r="AI9688">
        <v>2</v>
      </c>
      <c r="AJ9688">
        <v>1</v>
      </c>
      <c r="AK9688">
        <v>0</v>
      </c>
      <c r="AN9688" t="s">
        <v>7439</v>
      </c>
      <c r="AO9688">
        <v>0</v>
      </c>
      <c r="AU9688">
        <v>37.5</v>
      </c>
      <c r="AV9688" t="s">
        <v>788</v>
      </c>
      <c r="AW9688" t="s">
        <v>46858</v>
      </c>
    </row>
    <row r="9689" spans="1:49">
      <c r="A9689" s="1">
        <f>HYPERLINK("https://lsnyc.legalserver.org/matter/dynamic-profile/view/1887454","19-1887454")</f>
        <v>0</v>
      </c>
      <c r="B9689" t="s">
        <v>74</v>
      </c>
      <c r="C9689" t="s">
        <v>341</v>
      </c>
      <c r="D9689" t="s">
        <v>414</v>
      </c>
      <c r="E9689" t="s">
        <v>727</v>
      </c>
      <c r="F9689" t="s">
        <v>1480</v>
      </c>
      <c r="G9689" t="s">
        <v>5967</v>
      </c>
      <c r="H9689" t="s">
        <v>16236</v>
      </c>
      <c r="I9689" t="s">
        <v>17307</v>
      </c>
      <c r="J9689" t="s">
        <v>18893</v>
      </c>
      <c r="K9689">
        <v>10027</v>
      </c>
      <c r="L9689" t="s">
        <v>18960</v>
      </c>
      <c r="M9689" t="s">
        <v>18960</v>
      </c>
      <c r="O9689" t="s">
        <v>26526</v>
      </c>
      <c r="P9689" t="s">
        <v>26564</v>
      </c>
      <c r="Q9689" t="s">
        <v>26570</v>
      </c>
      <c r="R9689" t="s">
        <v>26583</v>
      </c>
      <c r="T9689" t="s">
        <v>26595</v>
      </c>
      <c r="U9689" t="s">
        <v>26604</v>
      </c>
      <c r="X9689">
        <v>615</v>
      </c>
      <c r="Y9689" t="s">
        <v>26651</v>
      </c>
      <c r="Z9689" t="s">
        <v>26659</v>
      </c>
      <c r="AA9689" t="s">
        <v>26683</v>
      </c>
      <c r="AB9689" t="s">
        <v>33560</v>
      </c>
      <c r="AE9689">
        <v>6</v>
      </c>
      <c r="AF9689" t="s">
        <v>45541</v>
      </c>
      <c r="AG9689" t="s">
        <v>19330</v>
      </c>
      <c r="AH9689">
        <v>30</v>
      </c>
      <c r="AI9689">
        <v>1</v>
      </c>
      <c r="AJ9689">
        <v>1</v>
      </c>
      <c r="AK9689">
        <v>200.49</v>
      </c>
      <c r="AN9689" t="s">
        <v>7439</v>
      </c>
      <c r="AO9689">
        <v>33000</v>
      </c>
      <c r="AU9689">
        <v>0.5</v>
      </c>
      <c r="AV9689" t="s">
        <v>414</v>
      </c>
      <c r="AW9689" t="s">
        <v>46841</v>
      </c>
    </row>
    <row r="9690" spans="1:49">
      <c r="A9690" s="1">
        <f>HYPERLINK("https://lsnyc.legalserver.org/matter/dynamic-profile/view/1887422","19-1887422")</f>
        <v>0</v>
      </c>
      <c r="B9690" t="s">
        <v>197</v>
      </c>
      <c r="C9690" t="s">
        <v>340</v>
      </c>
      <c r="D9690" t="s">
        <v>414</v>
      </c>
      <c r="F9690" t="s">
        <v>4630</v>
      </c>
      <c r="G9690" t="s">
        <v>8097</v>
      </c>
      <c r="H9690" t="s">
        <v>16237</v>
      </c>
      <c r="I9690">
        <v>2</v>
      </c>
      <c r="J9690" t="s">
        <v>18894</v>
      </c>
      <c r="K9690">
        <v>11233</v>
      </c>
      <c r="L9690" t="s">
        <v>18958</v>
      </c>
      <c r="M9690" t="s">
        <v>18958</v>
      </c>
      <c r="N9690" t="s">
        <v>25648</v>
      </c>
      <c r="O9690" t="s">
        <v>26524</v>
      </c>
      <c r="P9690" t="s">
        <v>26565</v>
      </c>
      <c r="R9690" t="s">
        <v>26578</v>
      </c>
      <c r="S9690" t="s">
        <v>18959</v>
      </c>
      <c r="U9690" t="s">
        <v>26604</v>
      </c>
      <c r="X9690">
        <v>0</v>
      </c>
      <c r="Y9690" t="s">
        <v>26652</v>
      </c>
      <c r="AB9690" t="s">
        <v>33561</v>
      </c>
      <c r="AD9690" t="s">
        <v>44332</v>
      </c>
      <c r="AE9690">
        <v>2</v>
      </c>
      <c r="AF9690" t="s">
        <v>45547</v>
      </c>
      <c r="AG9690" t="s">
        <v>19330</v>
      </c>
      <c r="AH9690">
        <v>6</v>
      </c>
      <c r="AI9690">
        <v>4</v>
      </c>
      <c r="AJ9690">
        <v>0</v>
      </c>
      <c r="AK9690">
        <v>0</v>
      </c>
      <c r="AN9690" t="s">
        <v>7439</v>
      </c>
      <c r="AO9690">
        <v>0</v>
      </c>
      <c r="AU9690">
        <v>0</v>
      </c>
      <c r="AW9690" t="s">
        <v>286</v>
      </c>
    </row>
    <row r="9691" spans="1:49">
      <c r="A9691" s="1">
        <f>HYPERLINK("https://lsnyc.legalserver.org/matter/dynamic-profile/view/1887531","19-1887531")</f>
        <v>0</v>
      </c>
      <c r="B9691" t="s">
        <v>167</v>
      </c>
      <c r="C9691" t="s">
        <v>340</v>
      </c>
      <c r="D9691" t="s">
        <v>414</v>
      </c>
      <c r="F9691" t="s">
        <v>3368</v>
      </c>
      <c r="G9691" t="s">
        <v>6654</v>
      </c>
      <c r="H9691" t="s">
        <v>14900</v>
      </c>
      <c r="I9691" t="s">
        <v>17283</v>
      </c>
      <c r="J9691" t="s">
        <v>18894</v>
      </c>
      <c r="K9691">
        <v>11203</v>
      </c>
      <c r="L9691" t="s">
        <v>18960</v>
      </c>
      <c r="M9691" t="s">
        <v>18960</v>
      </c>
      <c r="N9691" t="s">
        <v>25649</v>
      </c>
      <c r="O9691" t="s">
        <v>26523</v>
      </c>
      <c r="P9691" t="s">
        <v>26563</v>
      </c>
      <c r="R9691" t="s">
        <v>26586</v>
      </c>
      <c r="U9691" t="s">
        <v>26604</v>
      </c>
      <c r="X9691">
        <v>932.1799999999999</v>
      </c>
      <c r="Y9691" t="s">
        <v>26652</v>
      </c>
      <c r="Z9691" t="s">
        <v>26664</v>
      </c>
      <c r="AB9691" t="s">
        <v>28491</v>
      </c>
      <c r="AE9691">
        <v>48</v>
      </c>
      <c r="AH9691">
        <v>40</v>
      </c>
      <c r="AI9691">
        <v>2</v>
      </c>
      <c r="AJ9691">
        <v>2</v>
      </c>
      <c r="AK9691">
        <v>125.5</v>
      </c>
      <c r="AN9691" t="s">
        <v>7439</v>
      </c>
      <c r="AO9691">
        <v>31500</v>
      </c>
      <c r="AU9691">
        <v>17</v>
      </c>
      <c r="AV9691" t="s">
        <v>814</v>
      </c>
      <c r="AW9691" t="s">
        <v>46862</v>
      </c>
    </row>
    <row r="9692" spans="1:49">
      <c r="A9692" s="1">
        <f>HYPERLINK("https://lsnyc.legalserver.org/matter/dynamic-profile/view/1887296","19-1887296")</f>
        <v>0</v>
      </c>
      <c r="B9692" t="s">
        <v>109</v>
      </c>
      <c r="C9692" t="s">
        <v>340</v>
      </c>
      <c r="D9692" t="s">
        <v>414</v>
      </c>
      <c r="F9692" t="s">
        <v>4631</v>
      </c>
      <c r="G9692" t="s">
        <v>9138</v>
      </c>
      <c r="H9692" t="s">
        <v>16238</v>
      </c>
      <c r="I9692" t="s">
        <v>17354</v>
      </c>
      <c r="J9692" t="s">
        <v>18902</v>
      </c>
      <c r="K9692">
        <v>10301</v>
      </c>
      <c r="L9692" t="s">
        <v>18959</v>
      </c>
      <c r="M9692" t="s">
        <v>18958</v>
      </c>
      <c r="N9692" t="s">
        <v>25650</v>
      </c>
      <c r="O9692" t="s">
        <v>26523</v>
      </c>
      <c r="P9692" t="s">
        <v>26560</v>
      </c>
      <c r="R9692" t="s">
        <v>26578</v>
      </c>
      <c r="S9692" t="s">
        <v>18959</v>
      </c>
      <c r="U9692" t="s">
        <v>26606</v>
      </c>
      <c r="V9692" t="s">
        <v>26611</v>
      </c>
      <c r="X9692">
        <v>684</v>
      </c>
      <c r="Y9692" t="s">
        <v>26654</v>
      </c>
      <c r="Z9692" t="s">
        <v>26530</v>
      </c>
      <c r="AB9692" t="s">
        <v>33562</v>
      </c>
      <c r="AD9692" t="s">
        <v>44333</v>
      </c>
      <c r="AE9692">
        <v>0</v>
      </c>
      <c r="AF9692" t="s">
        <v>45543</v>
      </c>
      <c r="AH9692">
        <v>16</v>
      </c>
      <c r="AI9692">
        <v>2</v>
      </c>
      <c r="AJ9692">
        <v>1</v>
      </c>
      <c r="AK9692">
        <v>139.56</v>
      </c>
      <c r="AN9692" t="s">
        <v>7439</v>
      </c>
      <c r="AO9692">
        <v>29000</v>
      </c>
      <c r="AU9692">
        <v>12.41</v>
      </c>
      <c r="AV9692" t="s">
        <v>838</v>
      </c>
      <c r="AW9692" t="s">
        <v>46855</v>
      </c>
    </row>
    <row r="9693" spans="1:49">
      <c r="A9693" s="1">
        <f>HYPERLINK("https://lsnyc.legalserver.org/matter/dynamic-profile/view/1887431","19-1887431")</f>
        <v>0</v>
      </c>
      <c r="B9693" t="s">
        <v>101</v>
      </c>
      <c r="C9693" t="s">
        <v>340</v>
      </c>
      <c r="D9693" t="s">
        <v>414</v>
      </c>
      <c r="F9693" t="s">
        <v>995</v>
      </c>
      <c r="G9693" t="s">
        <v>9139</v>
      </c>
      <c r="H9693" t="s">
        <v>16239</v>
      </c>
      <c r="I9693">
        <v>2</v>
      </c>
      <c r="J9693" t="s">
        <v>18894</v>
      </c>
      <c r="K9693">
        <v>11215</v>
      </c>
      <c r="L9693" t="s">
        <v>18960</v>
      </c>
      <c r="M9693" t="s">
        <v>18960</v>
      </c>
      <c r="R9693" t="s">
        <v>26586</v>
      </c>
      <c r="U9693" t="s">
        <v>26604</v>
      </c>
      <c r="X9693">
        <v>0</v>
      </c>
      <c r="Y9693" t="s">
        <v>26652</v>
      </c>
      <c r="AB9693" t="s">
        <v>33563</v>
      </c>
      <c r="AE9693">
        <v>0</v>
      </c>
      <c r="AH9693">
        <v>0</v>
      </c>
      <c r="AI9693">
        <v>2</v>
      </c>
      <c r="AJ9693">
        <v>3</v>
      </c>
      <c r="AK9693">
        <v>0</v>
      </c>
      <c r="AN9693" t="s">
        <v>7439</v>
      </c>
      <c r="AO9693">
        <v>0</v>
      </c>
      <c r="AU9693">
        <v>2.9</v>
      </c>
      <c r="AV9693" t="s">
        <v>672</v>
      </c>
      <c r="AW9693" t="s">
        <v>46895</v>
      </c>
    </row>
    <row r="9694" spans="1:49">
      <c r="A9694" s="1">
        <f>HYPERLINK("https://lsnyc.legalserver.org/matter/dynamic-profile/view/1887480","19-1887480")</f>
        <v>0</v>
      </c>
      <c r="B9694" t="s">
        <v>155</v>
      </c>
      <c r="C9694" t="s">
        <v>340</v>
      </c>
      <c r="D9694" t="s">
        <v>414</v>
      </c>
      <c r="F9694" t="s">
        <v>964</v>
      </c>
      <c r="G9694" t="s">
        <v>1592</v>
      </c>
      <c r="H9694" t="s">
        <v>16240</v>
      </c>
      <c r="I9694" t="s">
        <v>17490</v>
      </c>
      <c r="J9694" t="s">
        <v>18894</v>
      </c>
      <c r="K9694">
        <v>11226</v>
      </c>
      <c r="L9694" t="s">
        <v>18960</v>
      </c>
      <c r="M9694" t="s">
        <v>18960</v>
      </c>
      <c r="N9694" t="s">
        <v>25651</v>
      </c>
      <c r="O9694" t="s">
        <v>26524</v>
      </c>
      <c r="P9694" t="s">
        <v>26560</v>
      </c>
      <c r="R9694" t="s">
        <v>26586</v>
      </c>
      <c r="U9694" t="s">
        <v>26604</v>
      </c>
      <c r="V9694" t="s">
        <v>26610</v>
      </c>
      <c r="X9694">
        <v>0</v>
      </c>
      <c r="Y9694" t="s">
        <v>26652</v>
      </c>
      <c r="Z9694" t="s">
        <v>26659</v>
      </c>
      <c r="AB9694" t="s">
        <v>27417</v>
      </c>
      <c r="AD9694" t="s">
        <v>44334</v>
      </c>
      <c r="AE9694">
        <v>52</v>
      </c>
      <c r="AH9694">
        <v>0</v>
      </c>
      <c r="AI9694">
        <v>2</v>
      </c>
      <c r="AJ9694">
        <v>1</v>
      </c>
      <c r="AK9694">
        <v>0</v>
      </c>
      <c r="AN9694" t="s">
        <v>45587</v>
      </c>
      <c r="AO9694">
        <v>0</v>
      </c>
      <c r="AU9694">
        <v>20.6</v>
      </c>
      <c r="AV9694" t="s">
        <v>813</v>
      </c>
      <c r="AW9694" t="s">
        <v>155</v>
      </c>
    </row>
    <row r="9695" spans="1:49">
      <c r="A9695" s="1">
        <f>HYPERLINK("https://lsnyc.legalserver.org/matter/dynamic-profile/view/1887612","19-1887612")</f>
        <v>0</v>
      </c>
      <c r="B9695" t="s">
        <v>74</v>
      </c>
      <c r="C9695" t="s">
        <v>341</v>
      </c>
      <c r="D9695" t="s">
        <v>415</v>
      </c>
      <c r="E9695" t="s">
        <v>727</v>
      </c>
      <c r="F9695" t="s">
        <v>2497</v>
      </c>
      <c r="G9695" t="s">
        <v>9140</v>
      </c>
      <c r="H9695" t="s">
        <v>13947</v>
      </c>
      <c r="I9695" t="s">
        <v>17316</v>
      </c>
      <c r="J9695" t="s">
        <v>18893</v>
      </c>
      <c r="K9695">
        <v>10026</v>
      </c>
      <c r="L9695" t="s">
        <v>18958</v>
      </c>
      <c r="M9695" t="s">
        <v>18958</v>
      </c>
      <c r="P9695" t="s">
        <v>26565</v>
      </c>
      <c r="Q9695" t="s">
        <v>26571</v>
      </c>
      <c r="R9695" t="s">
        <v>26591</v>
      </c>
      <c r="U9695" t="s">
        <v>26604</v>
      </c>
      <c r="X9695">
        <v>149</v>
      </c>
      <c r="Y9695" t="s">
        <v>26651</v>
      </c>
      <c r="Z9695" t="s">
        <v>26661</v>
      </c>
      <c r="AA9695" t="s">
        <v>26682</v>
      </c>
      <c r="AB9695" t="s">
        <v>33564</v>
      </c>
      <c r="AD9695" t="s">
        <v>44335</v>
      </c>
      <c r="AE9695">
        <v>70</v>
      </c>
      <c r="AF9695" t="s">
        <v>20460</v>
      </c>
      <c r="AG9695" t="s">
        <v>45563</v>
      </c>
      <c r="AH9695">
        <v>40</v>
      </c>
      <c r="AI9695">
        <v>1</v>
      </c>
      <c r="AJ9695">
        <v>0</v>
      </c>
      <c r="AK9695">
        <v>114.86</v>
      </c>
      <c r="AN9695" t="s">
        <v>7439</v>
      </c>
      <c r="AO9695">
        <v>13944</v>
      </c>
      <c r="AU9695">
        <v>4.5</v>
      </c>
      <c r="AV9695" t="s">
        <v>726</v>
      </c>
      <c r="AW9695" t="s">
        <v>46846</v>
      </c>
    </row>
    <row r="9696" spans="1:49">
      <c r="A9696" s="1">
        <f>HYPERLINK("https://lsnyc.legalserver.org/matter/dynamic-profile/view/1887548","19-1887548")</f>
        <v>0</v>
      </c>
      <c r="B9696" t="s">
        <v>76</v>
      </c>
      <c r="C9696" t="s">
        <v>341</v>
      </c>
      <c r="D9696" t="s">
        <v>415</v>
      </c>
      <c r="E9696" t="s">
        <v>739</v>
      </c>
      <c r="F9696" t="s">
        <v>2657</v>
      </c>
      <c r="G9696" t="s">
        <v>5078</v>
      </c>
      <c r="H9696" t="s">
        <v>16241</v>
      </c>
      <c r="I9696">
        <v>419</v>
      </c>
      <c r="J9696" t="s">
        <v>18893</v>
      </c>
      <c r="K9696">
        <v>10002</v>
      </c>
      <c r="L9696" t="s">
        <v>18960</v>
      </c>
      <c r="M9696" t="s">
        <v>18960</v>
      </c>
      <c r="P9696" t="s">
        <v>26564</v>
      </c>
      <c r="Q9696" t="s">
        <v>26570</v>
      </c>
      <c r="R9696" t="s">
        <v>26595</v>
      </c>
      <c r="U9696" t="s">
        <v>26604</v>
      </c>
      <c r="X9696">
        <v>0</v>
      </c>
      <c r="Y9696" t="s">
        <v>26651</v>
      </c>
      <c r="AA9696" t="s">
        <v>26683</v>
      </c>
      <c r="AB9696" t="s">
        <v>33399</v>
      </c>
      <c r="AD9696" t="s">
        <v>44336</v>
      </c>
      <c r="AE9696">
        <v>0</v>
      </c>
      <c r="AH9696">
        <v>0</v>
      </c>
      <c r="AI9696">
        <v>2</v>
      </c>
      <c r="AJ9696">
        <v>1</v>
      </c>
      <c r="AK9696">
        <v>158.86</v>
      </c>
      <c r="AN9696" t="s">
        <v>45581</v>
      </c>
      <c r="AO9696">
        <v>33012</v>
      </c>
      <c r="AU9696">
        <v>0.75</v>
      </c>
      <c r="AV9696" t="s">
        <v>739</v>
      </c>
      <c r="AW9696" t="s">
        <v>46879</v>
      </c>
    </row>
    <row r="9697" spans="1:49">
      <c r="A9697" s="1">
        <f>HYPERLINK("https://lsnyc.legalserver.org/matter/dynamic-profile/view/1887554","19-1887554")</f>
        <v>0</v>
      </c>
      <c r="B9697" t="s">
        <v>321</v>
      </c>
      <c r="C9697" t="s">
        <v>341</v>
      </c>
      <c r="D9697" t="s">
        <v>415</v>
      </c>
      <c r="E9697" t="s">
        <v>744</v>
      </c>
      <c r="F9697" t="s">
        <v>1915</v>
      </c>
      <c r="G9697" t="s">
        <v>5969</v>
      </c>
      <c r="H9697" t="s">
        <v>16242</v>
      </c>
      <c r="I9697" t="s">
        <v>18687</v>
      </c>
      <c r="J9697" t="s">
        <v>18893</v>
      </c>
      <c r="K9697">
        <v>10002</v>
      </c>
      <c r="L9697" t="s">
        <v>18960</v>
      </c>
      <c r="M9697" t="s">
        <v>18960</v>
      </c>
      <c r="Q9697" t="s">
        <v>26570</v>
      </c>
      <c r="R9697" t="s">
        <v>26594</v>
      </c>
      <c r="U9697" t="s">
        <v>26605</v>
      </c>
      <c r="X9697">
        <v>529</v>
      </c>
      <c r="Y9697" t="s">
        <v>26651</v>
      </c>
      <c r="AA9697" t="s">
        <v>26683</v>
      </c>
      <c r="AB9697" t="s">
        <v>33565</v>
      </c>
      <c r="AD9697" t="s">
        <v>44337</v>
      </c>
      <c r="AE9697">
        <v>0</v>
      </c>
      <c r="AF9697" t="s">
        <v>45549</v>
      </c>
      <c r="AH9697">
        <v>0</v>
      </c>
      <c r="AI9697">
        <v>1</v>
      </c>
      <c r="AJ9697">
        <v>1</v>
      </c>
      <c r="AK9697">
        <v>111.98</v>
      </c>
      <c r="AN9697" t="s">
        <v>7439</v>
      </c>
      <c r="AO9697">
        <v>18432</v>
      </c>
      <c r="AU9697">
        <v>1.15</v>
      </c>
      <c r="AV9697" t="s">
        <v>744</v>
      </c>
      <c r="AW9697" t="s">
        <v>321</v>
      </c>
    </row>
    <row r="9698" spans="1:49">
      <c r="A9698" s="1">
        <f>HYPERLINK("https://lsnyc.legalserver.org/matter/dynamic-profile/view/1887700","19-1887700")</f>
        <v>0</v>
      </c>
      <c r="B9698" t="s">
        <v>169</v>
      </c>
      <c r="C9698" t="s">
        <v>340</v>
      </c>
      <c r="D9698" t="s">
        <v>415</v>
      </c>
      <c r="F9698" t="s">
        <v>999</v>
      </c>
      <c r="G9698" t="s">
        <v>5125</v>
      </c>
      <c r="H9698" t="s">
        <v>10149</v>
      </c>
      <c r="I9698" t="s">
        <v>18706</v>
      </c>
      <c r="J9698" t="s">
        <v>18892</v>
      </c>
      <c r="K9698">
        <v>10458</v>
      </c>
      <c r="L9698" t="s">
        <v>18958</v>
      </c>
      <c r="M9698" t="s">
        <v>18958</v>
      </c>
      <c r="N9698" t="s">
        <v>25652</v>
      </c>
      <c r="O9698" t="s">
        <v>26526</v>
      </c>
      <c r="P9698" t="s">
        <v>26560</v>
      </c>
      <c r="R9698" t="s">
        <v>26578</v>
      </c>
      <c r="S9698" t="s">
        <v>18958</v>
      </c>
      <c r="U9698" t="s">
        <v>26604</v>
      </c>
      <c r="X9698">
        <v>1127.78</v>
      </c>
      <c r="Y9698" t="s">
        <v>26650</v>
      </c>
      <c r="AB9698" t="s">
        <v>28190</v>
      </c>
      <c r="AC9698" t="s">
        <v>36657</v>
      </c>
      <c r="AD9698" t="s">
        <v>44338</v>
      </c>
      <c r="AE9698">
        <v>0</v>
      </c>
      <c r="AF9698" t="s">
        <v>45541</v>
      </c>
      <c r="AG9698" t="s">
        <v>45557</v>
      </c>
      <c r="AH9698">
        <v>9</v>
      </c>
      <c r="AI9698">
        <v>1</v>
      </c>
      <c r="AJ9698">
        <v>2</v>
      </c>
      <c r="AK9698">
        <v>119.71</v>
      </c>
      <c r="AN9698" t="s">
        <v>45581</v>
      </c>
      <c r="AO9698">
        <v>24876.72</v>
      </c>
      <c r="AU9698">
        <v>3.95</v>
      </c>
      <c r="AV9698" t="s">
        <v>724</v>
      </c>
      <c r="AW9698" t="s">
        <v>261</v>
      </c>
    </row>
    <row r="9699" spans="1:49">
      <c r="A9699" s="1">
        <f>HYPERLINK("https://lsnyc.legalserver.org/matter/dynamic-profile/view/1887665","19-1887665")</f>
        <v>0</v>
      </c>
      <c r="B9699" t="s">
        <v>159</v>
      </c>
      <c r="C9699" t="s">
        <v>340</v>
      </c>
      <c r="D9699" t="s">
        <v>415</v>
      </c>
      <c r="F9699" t="s">
        <v>2880</v>
      </c>
      <c r="G9699" t="s">
        <v>5562</v>
      </c>
      <c r="H9699" t="s">
        <v>16243</v>
      </c>
      <c r="I9699">
        <v>2</v>
      </c>
      <c r="J9699" t="s">
        <v>18913</v>
      </c>
      <c r="K9699">
        <v>11103</v>
      </c>
      <c r="L9699" t="s">
        <v>18960</v>
      </c>
      <c r="M9699" t="s">
        <v>18960</v>
      </c>
      <c r="N9699" t="s">
        <v>25653</v>
      </c>
      <c r="O9699" t="s">
        <v>26523</v>
      </c>
      <c r="P9699" t="s">
        <v>26560</v>
      </c>
      <c r="R9699" t="s">
        <v>26584</v>
      </c>
      <c r="U9699" t="s">
        <v>26604</v>
      </c>
      <c r="X9699">
        <v>1265</v>
      </c>
      <c r="Y9699" t="s">
        <v>26653</v>
      </c>
      <c r="Z9699" t="s">
        <v>26664</v>
      </c>
      <c r="AB9699" t="s">
        <v>33566</v>
      </c>
      <c r="AD9699" t="s">
        <v>44339</v>
      </c>
      <c r="AE9699">
        <v>12</v>
      </c>
      <c r="AF9699" t="s">
        <v>45541</v>
      </c>
      <c r="AH9699">
        <v>7</v>
      </c>
      <c r="AI9699">
        <v>1</v>
      </c>
      <c r="AJ9699">
        <v>0</v>
      </c>
      <c r="AK9699">
        <v>0</v>
      </c>
      <c r="AN9699" t="s">
        <v>7439</v>
      </c>
      <c r="AO9699">
        <v>0</v>
      </c>
      <c r="AU9699">
        <v>37.55</v>
      </c>
      <c r="AV9699" t="s">
        <v>836</v>
      </c>
      <c r="AW9699" t="s">
        <v>122</v>
      </c>
    </row>
    <row r="9700" spans="1:49">
      <c r="A9700" s="1">
        <f>HYPERLINK("https://lsnyc.legalserver.org/matter/dynamic-profile/view/1887575","19-1887575")</f>
        <v>0</v>
      </c>
      <c r="B9700" t="s">
        <v>135</v>
      </c>
      <c r="C9700" t="s">
        <v>340</v>
      </c>
      <c r="D9700" t="s">
        <v>415</v>
      </c>
      <c r="F9700" t="s">
        <v>2514</v>
      </c>
      <c r="G9700" t="s">
        <v>5447</v>
      </c>
      <c r="H9700" t="s">
        <v>16244</v>
      </c>
      <c r="I9700">
        <v>1</v>
      </c>
      <c r="J9700" t="s">
        <v>18892</v>
      </c>
      <c r="K9700">
        <v>10459</v>
      </c>
      <c r="L9700" t="s">
        <v>18960</v>
      </c>
      <c r="M9700" t="s">
        <v>18960</v>
      </c>
      <c r="N9700" t="s">
        <v>25654</v>
      </c>
      <c r="R9700" t="s">
        <v>26591</v>
      </c>
      <c r="U9700" t="s">
        <v>26604</v>
      </c>
      <c r="X9700">
        <v>750</v>
      </c>
      <c r="Y9700" t="s">
        <v>26650</v>
      </c>
      <c r="Z9700" t="s">
        <v>26673</v>
      </c>
      <c r="AB9700" t="s">
        <v>33567</v>
      </c>
      <c r="AD9700" t="s">
        <v>44340</v>
      </c>
      <c r="AE9700">
        <v>3</v>
      </c>
      <c r="AH9700">
        <v>2</v>
      </c>
      <c r="AI9700">
        <v>1</v>
      </c>
      <c r="AJ9700">
        <v>0</v>
      </c>
      <c r="AK9700">
        <v>81.05</v>
      </c>
      <c r="AN9700" t="s">
        <v>7439</v>
      </c>
      <c r="AO9700">
        <v>9840</v>
      </c>
      <c r="AP9700" t="s">
        <v>46194</v>
      </c>
      <c r="AU9700">
        <v>1</v>
      </c>
      <c r="AV9700" t="s">
        <v>415</v>
      </c>
      <c r="AW9700" t="s">
        <v>46861</v>
      </c>
    </row>
    <row r="9701" spans="1:49">
      <c r="A9701" s="1">
        <f>HYPERLINK("https://lsnyc.legalserver.org/matter/dynamic-profile/view/1887572","19-1887572")</f>
        <v>0</v>
      </c>
      <c r="B9701" t="s">
        <v>200</v>
      </c>
      <c r="C9701" t="s">
        <v>340</v>
      </c>
      <c r="D9701" t="s">
        <v>415</v>
      </c>
      <c r="F9701" t="s">
        <v>4632</v>
      </c>
      <c r="G9701" t="s">
        <v>1454</v>
      </c>
      <c r="H9701" t="s">
        <v>16245</v>
      </c>
      <c r="I9701" t="s">
        <v>17272</v>
      </c>
      <c r="J9701" t="s">
        <v>18894</v>
      </c>
      <c r="K9701">
        <v>11211</v>
      </c>
      <c r="L9701" t="s">
        <v>18960</v>
      </c>
      <c r="M9701" t="s">
        <v>18960</v>
      </c>
      <c r="R9701" t="s">
        <v>26591</v>
      </c>
      <c r="U9701" t="s">
        <v>26604</v>
      </c>
      <c r="X9701">
        <v>1150</v>
      </c>
      <c r="Y9701" t="s">
        <v>26652</v>
      </c>
      <c r="Z9701" t="s">
        <v>26660</v>
      </c>
      <c r="AB9701" t="s">
        <v>33568</v>
      </c>
      <c r="AD9701" t="s">
        <v>44341</v>
      </c>
      <c r="AE9701">
        <v>8</v>
      </c>
      <c r="AF9701" t="s">
        <v>45541</v>
      </c>
      <c r="AG9701" t="s">
        <v>19330</v>
      </c>
      <c r="AH9701">
        <v>7</v>
      </c>
      <c r="AI9701">
        <v>1</v>
      </c>
      <c r="AJ9701">
        <v>0</v>
      </c>
      <c r="AK9701">
        <v>0</v>
      </c>
      <c r="AN9701" t="s">
        <v>7439</v>
      </c>
      <c r="AO9701">
        <v>0</v>
      </c>
      <c r="AU9701">
        <v>1.9</v>
      </c>
      <c r="AV9701" t="s">
        <v>744</v>
      </c>
      <c r="AW9701" t="s">
        <v>46858</v>
      </c>
    </row>
    <row r="9702" spans="1:49">
      <c r="A9702" s="1">
        <f>HYPERLINK("https://lsnyc.legalserver.org/matter/dynamic-profile/view/1887826","19-1887826")</f>
        <v>0</v>
      </c>
      <c r="B9702" t="s">
        <v>88</v>
      </c>
      <c r="C9702" t="s">
        <v>340</v>
      </c>
      <c r="D9702" t="s">
        <v>458</v>
      </c>
      <c r="F9702" t="s">
        <v>3443</v>
      </c>
      <c r="G9702" t="s">
        <v>7721</v>
      </c>
      <c r="H9702" t="s">
        <v>10474</v>
      </c>
      <c r="I9702" t="s">
        <v>17468</v>
      </c>
      <c r="J9702" t="s">
        <v>18894</v>
      </c>
      <c r="K9702">
        <v>11225</v>
      </c>
      <c r="L9702" t="s">
        <v>18958</v>
      </c>
      <c r="M9702" t="s">
        <v>18960</v>
      </c>
      <c r="O9702" t="s">
        <v>26534</v>
      </c>
      <c r="P9702" t="s">
        <v>26561</v>
      </c>
      <c r="R9702" t="s">
        <v>26578</v>
      </c>
      <c r="S9702" t="s">
        <v>18958</v>
      </c>
      <c r="U9702" t="s">
        <v>26604</v>
      </c>
      <c r="X9702">
        <v>1740.79</v>
      </c>
      <c r="Y9702" t="s">
        <v>26652</v>
      </c>
      <c r="Z9702" t="s">
        <v>26667</v>
      </c>
      <c r="AB9702" t="s">
        <v>27165</v>
      </c>
      <c r="AD9702" t="s">
        <v>41319</v>
      </c>
      <c r="AE9702">
        <v>89</v>
      </c>
      <c r="AF9702" t="s">
        <v>45541</v>
      </c>
      <c r="AG9702" t="s">
        <v>19330</v>
      </c>
      <c r="AH9702">
        <v>7</v>
      </c>
      <c r="AI9702">
        <v>1</v>
      </c>
      <c r="AJ9702">
        <v>0</v>
      </c>
      <c r="AK9702">
        <v>535.42</v>
      </c>
      <c r="AN9702" t="s">
        <v>7439</v>
      </c>
      <c r="AO9702">
        <v>65000</v>
      </c>
      <c r="AU9702">
        <v>0</v>
      </c>
      <c r="AW9702" t="s">
        <v>286</v>
      </c>
    </row>
    <row r="9703" spans="1:49">
      <c r="A9703" s="1">
        <f>HYPERLINK("https://lsnyc.legalserver.org/matter/dynamic-profile/view/1887491","19-1887491")</f>
        <v>0</v>
      </c>
      <c r="B9703" t="s">
        <v>153</v>
      </c>
      <c r="C9703" t="s">
        <v>340</v>
      </c>
      <c r="D9703" t="s">
        <v>458</v>
      </c>
      <c r="F9703" t="s">
        <v>3360</v>
      </c>
      <c r="G9703" t="s">
        <v>6855</v>
      </c>
      <c r="H9703" t="s">
        <v>14455</v>
      </c>
      <c r="I9703" t="s">
        <v>17299</v>
      </c>
      <c r="J9703" t="s">
        <v>18902</v>
      </c>
      <c r="K9703">
        <v>10303</v>
      </c>
      <c r="L9703" t="s">
        <v>18960</v>
      </c>
      <c r="M9703" t="s">
        <v>18960</v>
      </c>
      <c r="R9703" t="s">
        <v>26587</v>
      </c>
      <c r="U9703" t="s">
        <v>26605</v>
      </c>
      <c r="X9703">
        <v>0</v>
      </c>
      <c r="Y9703" t="s">
        <v>26654</v>
      </c>
      <c r="AB9703" t="s">
        <v>33569</v>
      </c>
      <c r="AD9703" t="s">
        <v>44342</v>
      </c>
      <c r="AE9703">
        <v>0</v>
      </c>
      <c r="AH9703">
        <v>0</v>
      </c>
      <c r="AI9703">
        <v>1</v>
      </c>
      <c r="AJ9703">
        <v>0</v>
      </c>
      <c r="AK9703">
        <v>494.23</v>
      </c>
      <c r="AN9703" t="s">
        <v>7439</v>
      </c>
      <c r="AO9703">
        <v>60000</v>
      </c>
      <c r="AU9703">
        <v>10.3</v>
      </c>
      <c r="AV9703" t="s">
        <v>720</v>
      </c>
      <c r="AW9703" t="s">
        <v>46852</v>
      </c>
    </row>
    <row r="9704" spans="1:49">
      <c r="A9704" s="1">
        <f>HYPERLINK("https://lsnyc.legalserver.org/matter/dynamic-profile/view/1887832","19-1887832")</f>
        <v>0</v>
      </c>
      <c r="B9704" t="s">
        <v>115</v>
      </c>
      <c r="C9704" t="s">
        <v>340</v>
      </c>
      <c r="D9704" t="s">
        <v>458</v>
      </c>
      <c r="F9704" t="s">
        <v>1235</v>
      </c>
      <c r="G9704" t="s">
        <v>7146</v>
      </c>
      <c r="H9704" t="s">
        <v>13166</v>
      </c>
      <c r="I9704" t="s">
        <v>17293</v>
      </c>
      <c r="J9704" t="s">
        <v>18892</v>
      </c>
      <c r="K9704">
        <v>10467</v>
      </c>
      <c r="L9704" t="s">
        <v>18958</v>
      </c>
      <c r="M9704" t="s">
        <v>18958</v>
      </c>
      <c r="O9704" t="s">
        <v>26526</v>
      </c>
      <c r="P9704" t="s">
        <v>26560</v>
      </c>
      <c r="R9704" t="s">
        <v>26578</v>
      </c>
      <c r="S9704" t="s">
        <v>18958</v>
      </c>
      <c r="U9704" t="s">
        <v>26604</v>
      </c>
      <c r="X9704">
        <v>752</v>
      </c>
      <c r="Y9704" t="s">
        <v>26650</v>
      </c>
      <c r="Z9704" t="s">
        <v>26655</v>
      </c>
      <c r="AB9704" t="s">
        <v>33570</v>
      </c>
      <c r="AD9704" t="s">
        <v>44343</v>
      </c>
      <c r="AE9704">
        <v>59</v>
      </c>
      <c r="AF9704" t="s">
        <v>45541</v>
      </c>
      <c r="AG9704" t="s">
        <v>19330</v>
      </c>
      <c r="AH9704">
        <v>19</v>
      </c>
      <c r="AI9704">
        <v>1</v>
      </c>
      <c r="AJ9704">
        <v>0</v>
      </c>
      <c r="AK9704">
        <v>350.08</v>
      </c>
      <c r="AN9704" t="s">
        <v>7439</v>
      </c>
      <c r="AO9704">
        <v>42500</v>
      </c>
      <c r="AU9704">
        <v>0.1</v>
      </c>
      <c r="AV9704" t="s">
        <v>803</v>
      </c>
      <c r="AW9704" t="s">
        <v>263</v>
      </c>
    </row>
    <row r="9705" spans="1:49">
      <c r="A9705" s="1">
        <f>HYPERLINK("https://lsnyc.legalserver.org/matter/dynamic-profile/view/1887726","19-1887726")</f>
        <v>0</v>
      </c>
      <c r="B9705" t="s">
        <v>100</v>
      </c>
      <c r="C9705" t="s">
        <v>340</v>
      </c>
      <c r="D9705" t="s">
        <v>573</v>
      </c>
      <c r="F9705" t="s">
        <v>871</v>
      </c>
      <c r="G9705" t="s">
        <v>2749</v>
      </c>
      <c r="H9705" t="s">
        <v>16246</v>
      </c>
      <c r="I9705" t="s">
        <v>17967</v>
      </c>
      <c r="J9705" t="s">
        <v>18892</v>
      </c>
      <c r="K9705">
        <v>10452</v>
      </c>
      <c r="L9705" t="s">
        <v>18960</v>
      </c>
      <c r="M9705" t="s">
        <v>18960</v>
      </c>
      <c r="R9705" t="s">
        <v>26591</v>
      </c>
      <c r="U9705" t="s">
        <v>26604</v>
      </c>
      <c r="X9705">
        <v>1784</v>
      </c>
      <c r="Y9705" t="s">
        <v>26650</v>
      </c>
      <c r="AB9705" t="s">
        <v>33571</v>
      </c>
      <c r="AD9705" t="s">
        <v>44344</v>
      </c>
      <c r="AE9705">
        <v>283</v>
      </c>
      <c r="AG9705" t="s">
        <v>45556</v>
      </c>
      <c r="AH9705">
        <v>45</v>
      </c>
      <c r="AI9705">
        <v>1</v>
      </c>
      <c r="AJ9705">
        <v>0</v>
      </c>
      <c r="AK9705">
        <v>90.61</v>
      </c>
      <c r="AN9705" t="s">
        <v>7439</v>
      </c>
      <c r="AO9705">
        <v>11000</v>
      </c>
      <c r="AP9705" t="s">
        <v>46018</v>
      </c>
      <c r="AU9705">
        <v>1.1</v>
      </c>
      <c r="AV9705" t="s">
        <v>690</v>
      </c>
      <c r="AW9705" t="s">
        <v>46857</v>
      </c>
    </row>
    <row r="9706" spans="1:49">
      <c r="A9706" s="1">
        <f>HYPERLINK("https://lsnyc.legalserver.org/matter/dynamic-profile/view/1887886","19-1887886")</f>
        <v>0</v>
      </c>
      <c r="B9706" t="s">
        <v>322</v>
      </c>
      <c r="C9706" t="s">
        <v>340</v>
      </c>
      <c r="D9706" t="s">
        <v>573</v>
      </c>
      <c r="F9706" t="s">
        <v>1063</v>
      </c>
      <c r="G9706" t="s">
        <v>1995</v>
      </c>
      <c r="H9706" t="s">
        <v>16247</v>
      </c>
      <c r="I9706" t="s">
        <v>18707</v>
      </c>
      <c r="J9706" t="s">
        <v>18893</v>
      </c>
      <c r="K9706">
        <v>10002</v>
      </c>
      <c r="L9706" t="s">
        <v>18960</v>
      </c>
      <c r="M9706" t="s">
        <v>18960</v>
      </c>
      <c r="R9706" t="s">
        <v>26591</v>
      </c>
      <c r="U9706" t="s">
        <v>26605</v>
      </c>
      <c r="X9706">
        <v>234</v>
      </c>
      <c r="Y9706" t="s">
        <v>26651</v>
      </c>
      <c r="Z9706" t="s">
        <v>26661</v>
      </c>
      <c r="AB9706" t="s">
        <v>33572</v>
      </c>
      <c r="AD9706" t="s">
        <v>44345</v>
      </c>
      <c r="AE9706">
        <v>0</v>
      </c>
      <c r="AF9706" t="s">
        <v>45542</v>
      </c>
      <c r="AH9706">
        <v>30</v>
      </c>
      <c r="AI9706">
        <v>1</v>
      </c>
      <c r="AJ9706">
        <v>0</v>
      </c>
      <c r="AK9706">
        <v>82.54000000000001</v>
      </c>
      <c r="AN9706" t="s">
        <v>7439</v>
      </c>
      <c r="AO9706">
        <v>10020</v>
      </c>
      <c r="AU9706">
        <v>0.6</v>
      </c>
      <c r="AV9706" t="s">
        <v>573</v>
      </c>
      <c r="AW9706" t="s">
        <v>46842</v>
      </c>
    </row>
    <row r="9707" spans="1:49">
      <c r="A9707" s="1">
        <f>HYPERLINK("https://lsnyc.legalserver.org/matter/dynamic-profile/view/1887865","19-1887865")</f>
        <v>0</v>
      </c>
      <c r="B9707" t="s">
        <v>55</v>
      </c>
      <c r="C9707" t="s">
        <v>340</v>
      </c>
      <c r="D9707" t="s">
        <v>573</v>
      </c>
      <c r="F9707" t="s">
        <v>3797</v>
      </c>
      <c r="G9707" t="s">
        <v>6782</v>
      </c>
      <c r="H9707" t="s">
        <v>12199</v>
      </c>
      <c r="I9707" t="s">
        <v>18397</v>
      </c>
      <c r="J9707" t="s">
        <v>18892</v>
      </c>
      <c r="K9707">
        <v>10460</v>
      </c>
      <c r="L9707" t="s">
        <v>18958</v>
      </c>
      <c r="M9707" t="s">
        <v>18958</v>
      </c>
      <c r="N9707" t="s">
        <v>25655</v>
      </c>
      <c r="O9707" t="s">
        <v>26524</v>
      </c>
      <c r="R9707" t="s">
        <v>26578</v>
      </c>
      <c r="S9707" t="s">
        <v>18959</v>
      </c>
      <c r="U9707" t="s">
        <v>26604</v>
      </c>
      <c r="X9707">
        <v>241</v>
      </c>
      <c r="Y9707" t="s">
        <v>26650</v>
      </c>
      <c r="Z9707" t="s">
        <v>26659</v>
      </c>
      <c r="AB9707" t="s">
        <v>29276</v>
      </c>
      <c r="AD9707" t="s">
        <v>42223</v>
      </c>
      <c r="AE9707">
        <v>169</v>
      </c>
      <c r="AF9707" t="s">
        <v>45551</v>
      </c>
      <c r="AG9707" t="s">
        <v>45556</v>
      </c>
      <c r="AH9707">
        <v>12</v>
      </c>
      <c r="AI9707">
        <v>1</v>
      </c>
      <c r="AJ9707">
        <v>0</v>
      </c>
      <c r="AK9707">
        <v>76.61</v>
      </c>
      <c r="AN9707" t="s">
        <v>7439</v>
      </c>
      <c r="AO9707">
        <v>9300</v>
      </c>
      <c r="AP9707" t="s">
        <v>46195</v>
      </c>
      <c r="AU9707">
        <v>23.2</v>
      </c>
      <c r="AV9707" t="s">
        <v>832</v>
      </c>
      <c r="AW9707" t="s">
        <v>46832</v>
      </c>
    </row>
    <row r="9708" spans="1:49">
      <c r="A9708" s="1">
        <f>HYPERLINK("https://lsnyc.legalserver.org/matter/dynamic-profile/view/1887935","19-1887935")</f>
        <v>0</v>
      </c>
      <c r="B9708" t="s">
        <v>67</v>
      </c>
      <c r="C9708" t="s">
        <v>340</v>
      </c>
      <c r="D9708" t="s">
        <v>573</v>
      </c>
      <c r="F9708" t="s">
        <v>1036</v>
      </c>
      <c r="G9708" t="s">
        <v>4381</v>
      </c>
      <c r="H9708" t="s">
        <v>16248</v>
      </c>
      <c r="I9708" t="s">
        <v>17283</v>
      </c>
      <c r="J9708" t="s">
        <v>18892</v>
      </c>
      <c r="K9708">
        <v>10456</v>
      </c>
      <c r="L9708" t="s">
        <v>18958</v>
      </c>
      <c r="M9708" t="s">
        <v>18958</v>
      </c>
      <c r="O9708" t="s">
        <v>26526</v>
      </c>
      <c r="P9708" t="s">
        <v>26560</v>
      </c>
      <c r="R9708" t="s">
        <v>26578</v>
      </c>
      <c r="S9708" t="s">
        <v>18958</v>
      </c>
      <c r="U9708" t="s">
        <v>26604</v>
      </c>
      <c r="X9708">
        <v>247</v>
      </c>
      <c r="Y9708" t="s">
        <v>26650</v>
      </c>
      <c r="Z9708" t="s">
        <v>26655</v>
      </c>
      <c r="AB9708" t="s">
        <v>33573</v>
      </c>
      <c r="AD9708" t="s">
        <v>44346</v>
      </c>
      <c r="AE9708">
        <v>17</v>
      </c>
      <c r="AF9708" t="s">
        <v>45548</v>
      </c>
      <c r="AG9708" t="s">
        <v>45556</v>
      </c>
      <c r="AH9708">
        <v>30</v>
      </c>
      <c r="AI9708">
        <v>1</v>
      </c>
      <c r="AJ9708">
        <v>0</v>
      </c>
      <c r="AK9708">
        <v>0</v>
      </c>
      <c r="AN9708" t="s">
        <v>7439</v>
      </c>
      <c r="AO9708">
        <v>0</v>
      </c>
      <c r="AU9708">
        <v>67.2</v>
      </c>
      <c r="AV9708" t="s">
        <v>828</v>
      </c>
      <c r="AW9708" t="s">
        <v>226</v>
      </c>
    </row>
    <row r="9709" spans="1:49">
      <c r="A9709" s="1">
        <f>HYPERLINK("https://lsnyc.legalserver.org/matter/dynamic-profile/view/1887986","19-1887986")</f>
        <v>0</v>
      </c>
      <c r="B9709" t="s">
        <v>67</v>
      </c>
      <c r="C9709" t="s">
        <v>340</v>
      </c>
      <c r="D9709" t="s">
        <v>573</v>
      </c>
      <c r="F9709" t="s">
        <v>3750</v>
      </c>
      <c r="G9709" t="s">
        <v>5244</v>
      </c>
      <c r="H9709" t="s">
        <v>16248</v>
      </c>
      <c r="I9709" t="s">
        <v>17274</v>
      </c>
      <c r="J9709" t="s">
        <v>18892</v>
      </c>
      <c r="K9709">
        <v>10456</v>
      </c>
      <c r="L9709" t="s">
        <v>18958</v>
      </c>
      <c r="M9709" t="s">
        <v>18958</v>
      </c>
      <c r="O9709" t="s">
        <v>26526</v>
      </c>
      <c r="P9709" t="s">
        <v>26560</v>
      </c>
      <c r="R9709" t="s">
        <v>26578</v>
      </c>
      <c r="S9709" t="s">
        <v>18958</v>
      </c>
      <c r="U9709" t="s">
        <v>26604</v>
      </c>
      <c r="X9709">
        <v>1765</v>
      </c>
      <c r="Y9709" t="s">
        <v>26650</v>
      </c>
      <c r="Z9709" t="s">
        <v>26655</v>
      </c>
      <c r="AB9709" t="s">
        <v>33574</v>
      </c>
      <c r="AD9709" t="s">
        <v>44347</v>
      </c>
      <c r="AE9709">
        <v>17</v>
      </c>
      <c r="AF9709" t="s">
        <v>45541</v>
      </c>
      <c r="AG9709" t="s">
        <v>45558</v>
      </c>
      <c r="AH9709">
        <v>7</v>
      </c>
      <c r="AI9709">
        <v>2</v>
      </c>
      <c r="AJ9709">
        <v>2</v>
      </c>
      <c r="AK9709">
        <v>24.67</v>
      </c>
      <c r="AN9709" t="s">
        <v>45581</v>
      </c>
      <c r="AO9709">
        <v>6192</v>
      </c>
      <c r="AU9709">
        <v>1</v>
      </c>
      <c r="AV9709" t="s">
        <v>573</v>
      </c>
      <c r="AW9709" t="s">
        <v>226</v>
      </c>
    </row>
    <row r="9710" spans="1:49">
      <c r="A9710" s="1">
        <f>HYPERLINK("https://lsnyc.legalserver.org/matter/dynamic-profile/view/1887977","19-1887977")</f>
        <v>0</v>
      </c>
      <c r="B9710" t="s">
        <v>67</v>
      </c>
      <c r="C9710" t="s">
        <v>340</v>
      </c>
      <c r="D9710" t="s">
        <v>573</v>
      </c>
      <c r="F9710" t="s">
        <v>4381</v>
      </c>
      <c r="G9710" t="s">
        <v>7793</v>
      </c>
      <c r="H9710" t="s">
        <v>16248</v>
      </c>
      <c r="I9710" t="s">
        <v>17355</v>
      </c>
      <c r="J9710" t="s">
        <v>18892</v>
      </c>
      <c r="K9710">
        <v>10456</v>
      </c>
      <c r="L9710" t="s">
        <v>18958</v>
      </c>
      <c r="M9710" t="s">
        <v>18958</v>
      </c>
      <c r="O9710" t="s">
        <v>26526</v>
      </c>
      <c r="P9710" t="s">
        <v>26560</v>
      </c>
      <c r="R9710" t="s">
        <v>26578</v>
      </c>
      <c r="S9710" t="s">
        <v>18958</v>
      </c>
      <c r="U9710" t="s">
        <v>26604</v>
      </c>
      <c r="X9710">
        <v>1147.68</v>
      </c>
      <c r="Y9710" t="s">
        <v>26650</v>
      </c>
      <c r="Z9710" t="s">
        <v>26655</v>
      </c>
      <c r="AB9710" t="s">
        <v>28266</v>
      </c>
      <c r="AD9710" t="s">
        <v>44348</v>
      </c>
      <c r="AE9710">
        <v>17</v>
      </c>
      <c r="AF9710" t="s">
        <v>45541</v>
      </c>
      <c r="AG9710" t="s">
        <v>19330</v>
      </c>
      <c r="AH9710">
        <v>19</v>
      </c>
      <c r="AI9710">
        <v>3</v>
      </c>
      <c r="AJ9710">
        <v>0</v>
      </c>
      <c r="AK9710">
        <v>48.51</v>
      </c>
      <c r="AN9710" t="s">
        <v>45581</v>
      </c>
      <c r="AO9710">
        <v>10080</v>
      </c>
      <c r="AU9710">
        <v>1</v>
      </c>
      <c r="AV9710" t="s">
        <v>573</v>
      </c>
      <c r="AW9710" t="s">
        <v>226</v>
      </c>
    </row>
    <row r="9711" spans="1:49">
      <c r="A9711" s="1">
        <f>HYPERLINK("https://lsnyc.legalserver.org/matter/dynamic-profile/view/1887970","19-1887970")</f>
        <v>0</v>
      </c>
      <c r="B9711" t="s">
        <v>67</v>
      </c>
      <c r="C9711" t="s">
        <v>340</v>
      </c>
      <c r="D9711" t="s">
        <v>573</v>
      </c>
      <c r="F9711" t="s">
        <v>1364</v>
      </c>
      <c r="G9711" t="s">
        <v>5121</v>
      </c>
      <c r="H9711" t="s">
        <v>16248</v>
      </c>
      <c r="I9711" t="s">
        <v>17322</v>
      </c>
      <c r="J9711" t="s">
        <v>18892</v>
      </c>
      <c r="K9711">
        <v>10456</v>
      </c>
      <c r="L9711" t="s">
        <v>18958</v>
      </c>
      <c r="M9711" t="s">
        <v>18958</v>
      </c>
      <c r="O9711" t="s">
        <v>26526</v>
      </c>
      <c r="P9711" t="s">
        <v>26560</v>
      </c>
      <c r="R9711" t="s">
        <v>26578</v>
      </c>
      <c r="S9711" t="s">
        <v>18958</v>
      </c>
      <c r="U9711" t="s">
        <v>26604</v>
      </c>
      <c r="X9711">
        <v>608.72</v>
      </c>
      <c r="Y9711" t="s">
        <v>26650</v>
      </c>
      <c r="Z9711" t="s">
        <v>26655</v>
      </c>
      <c r="AB9711" t="s">
        <v>33575</v>
      </c>
      <c r="AD9711" t="s">
        <v>44349</v>
      </c>
      <c r="AE9711">
        <v>17</v>
      </c>
      <c r="AF9711" t="s">
        <v>45541</v>
      </c>
      <c r="AG9711" t="s">
        <v>45559</v>
      </c>
      <c r="AH9711">
        <v>43</v>
      </c>
      <c r="AI9711">
        <v>1</v>
      </c>
      <c r="AJ9711">
        <v>0</v>
      </c>
      <c r="AK9711">
        <v>84.70999999999999</v>
      </c>
      <c r="AN9711" t="s">
        <v>45581</v>
      </c>
      <c r="AO9711">
        <v>10284</v>
      </c>
      <c r="AU9711">
        <v>1</v>
      </c>
      <c r="AV9711" t="s">
        <v>573</v>
      </c>
      <c r="AW9711" t="s">
        <v>226</v>
      </c>
    </row>
    <row r="9712" spans="1:49">
      <c r="A9712" s="1">
        <f>HYPERLINK("https://lsnyc.legalserver.org/matter/dynamic-profile/view/1887994","19-1887994")</f>
        <v>0</v>
      </c>
      <c r="B9712" t="s">
        <v>67</v>
      </c>
      <c r="C9712" t="s">
        <v>340</v>
      </c>
      <c r="D9712" t="s">
        <v>573</v>
      </c>
      <c r="F9712" t="s">
        <v>1884</v>
      </c>
      <c r="G9712" t="s">
        <v>5103</v>
      </c>
      <c r="H9712" t="s">
        <v>16248</v>
      </c>
      <c r="I9712" t="s">
        <v>17306</v>
      </c>
      <c r="J9712" t="s">
        <v>18892</v>
      </c>
      <c r="K9712">
        <v>10456</v>
      </c>
      <c r="L9712" t="s">
        <v>18958</v>
      </c>
      <c r="M9712" t="s">
        <v>18958</v>
      </c>
      <c r="O9712" t="s">
        <v>26526</v>
      </c>
      <c r="P9712" t="s">
        <v>26560</v>
      </c>
      <c r="R9712" t="s">
        <v>26578</v>
      </c>
      <c r="S9712" t="s">
        <v>18958</v>
      </c>
      <c r="U9712" t="s">
        <v>26604</v>
      </c>
      <c r="X9712">
        <v>375</v>
      </c>
      <c r="Y9712" t="s">
        <v>26650</v>
      </c>
      <c r="Z9712" t="s">
        <v>26655</v>
      </c>
      <c r="AD9712" t="s">
        <v>44350</v>
      </c>
      <c r="AE9712">
        <v>17</v>
      </c>
      <c r="AF9712" t="s">
        <v>45548</v>
      </c>
      <c r="AG9712" t="s">
        <v>19330</v>
      </c>
      <c r="AH9712">
        <v>60</v>
      </c>
      <c r="AI9712">
        <v>3</v>
      </c>
      <c r="AJ9712">
        <v>0</v>
      </c>
      <c r="AK9712">
        <v>172.09</v>
      </c>
      <c r="AN9712" t="s">
        <v>45581</v>
      </c>
      <c r="AO9712">
        <v>36707.84</v>
      </c>
      <c r="AU9712">
        <v>1</v>
      </c>
      <c r="AV9712" t="s">
        <v>573</v>
      </c>
      <c r="AW9712" t="s">
        <v>226</v>
      </c>
    </row>
    <row r="9713" spans="1:49">
      <c r="A9713" s="1">
        <f>HYPERLINK("https://lsnyc.legalserver.org/matter/dynamic-profile/view/1887959","19-1887959")</f>
        <v>0</v>
      </c>
      <c r="B9713" t="s">
        <v>67</v>
      </c>
      <c r="C9713" t="s">
        <v>340</v>
      </c>
      <c r="D9713" t="s">
        <v>573</v>
      </c>
      <c r="F9713" t="s">
        <v>1494</v>
      </c>
      <c r="G9713" t="s">
        <v>2749</v>
      </c>
      <c r="H9713" t="s">
        <v>16248</v>
      </c>
      <c r="I9713" t="s">
        <v>17316</v>
      </c>
      <c r="J9713" t="s">
        <v>18892</v>
      </c>
      <c r="K9713">
        <v>10456</v>
      </c>
      <c r="L9713" t="s">
        <v>18958</v>
      </c>
      <c r="M9713" t="s">
        <v>18958</v>
      </c>
      <c r="O9713" t="s">
        <v>26526</v>
      </c>
      <c r="P9713" t="s">
        <v>26560</v>
      </c>
      <c r="R9713" t="s">
        <v>26578</v>
      </c>
      <c r="S9713" t="s">
        <v>18958</v>
      </c>
      <c r="U9713" t="s">
        <v>26604</v>
      </c>
      <c r="X9713">
        <v>1457.57</v>
      </c>
      <c r="Y9713" t="s">
        <v>26650</v>
      </c>
      <c r="Z9713" t="s">
        <v>26655</v>
      </c>
      <c r="AB9713" t="s">
        <v>33576</v>
      </c>
      <c r="AD9713" t="s">
        <v>44351</v>
      </c>
      <c r="AE9713">
        <v>17</v>
      </c>
      <c r="AF9713" t="s">
        <v>20460</v>
      </c>
      <c r="AG9713" t="s">
        <v>19330</v>
      </c>
      <c r="AH9713">
        <v>16</v>
      </c>
      <c r="AI9713">
        <v>3</v>
      </c>
      <c r="AJ9713">
        <v>0</v>
      </c>
      <c r="AK9713">
        <v>182.84</v>
      </c>
      <c r="AN9713" t="s">
        <v>45581</v>
      </c>
      <c r="AO9713">
        <v>39000</v>
      </c>
      <c r="AU9713">
        <v>1</v>
      </c>
      <c r="AV9713" t="s">
        <v>573</v>
      </c>
      <c r="AW9713" t="s">
        <v>226</v>
      </c>
    </row>
    <row r="9714" spans="1:49">
      <c r="A9714" s="1">
        <f>HYPERLINK("https://lsnyc.legalserver.org/matter/dynamic-profile/view/1887973","19-1887973")</f>
        <v>0</v>
      </c>
      <c r="B9714" t="s">
        <v>67</v>
      </c>
      <c r="C9714" t="s">
        <v>340</v>
      </c>
      <c r="D9714" t="s">
        <v>573</v>
      </c>
      <c r="F9714" t="s">
        <v>1457</v>
      </c>
      <c r="G9714" t="s">
        <v>9141</v>
      </c>
      <c r="H9714" t="s">
        <v>16248</v>
      </c>
      <c r="I9714" t="s">
        <v>17299</v>
      </c>
      <c r="J9714" t="s">
        <v>18892</v>
      </c>
      <c r="K9714">
        <v>10456</v>
      </c>
      <c r="L9714" t="s">
        <v>18958</v>
      </c>
      <c r="M9714" t="s">
        <v>18958</v>
      </c>
      <c r="O9714" t="s">
        <v>26526</v>
      </c>
      <c r="P9714" t="s">
        <v>26560</v>
      </c>
      <c r="R9714" t="s">
        <v>26578</v>
      </c>
      <c r="S9714" t="s">
        <v>18958</v>
      </c>
      <c r="U9714" t="s">
        <v>26604</v>
      </c>
      <c r="X9714">
        <v>1546</v>
      </c>
      <c r="Y9714" t="s">
        <v>26650</v>
      </c>
      <c r="Z9714" t="s">
        <v>26655</v>
      </c>
      <c r="AB9714" t="s">
        <v>33577</v>
      </c>
      <c r="AD9714" t="s">
        <v>44352</v>
      </c>
      <c r="AE9714">
        <v>17</v>
      </c>
      <c r="AF9714" t="s">
        <v>45541</v>
      </c>
      <c r="AG9714" t="s">
        <v>45556</v>
      </c>
      <c r="AH9714">
        <v>21</v>
      </c>
      <c r="AI9714">
        <v>1</v>
      </c>
      <c r="AJ9714">
        <v>1</v>
      </c>
      <c r="AK9714">
        <v>284.33</v>
      </c>
      <c r="AN9714" t="s">
        <v>45581</v>
      </c>
      <c r="AO9714">
        <v>46800</v>
      </c>
      <c r="AU9714">
        <v>1</v>
      </c>
      <c r="AV9714" t="s">
        <v>573</v>
      </c>
      <c r="AW9714" t="s">
        <v>226</v>
      </c>
    </row>
    <row r="9715" spans="1:49">
      <c r="A9715" s="1">
        <f>HYPERLINK("https://lsnyc.legalserver.org/matter/dynamic-profile/view/1886093","18-1886093")</f>
        <v>0</v>
      </c>
      <c r="B9715" t="s">
        <v>104</v>
      </c>
      <c r="C9715" t="s">
        <v>340</v>
      </c>
      <c r="D9715" t="s">
        <v>573</v>
      </c>
      <c r="F9715" t="s">
        <v>4633</v>
      </c>
      <c r="G9715" t="s">
        <v>8804</v>
      </c>
      <c r="H9715" t="s">
        <v>16249</v>
      </c>
      <c r="I9715" t="s">
        <v>17277</v>
      </c>
      <c r="J9715" t="s">
        <v>18902</v>
      </c>
      <c r="K9715">
        <v>10310</v>
      </c>
      <c r="L9715" t="s">
        <v>18960</v>
      </c>
      <c r="M9715" t="s">
        <v>18960</v>
      </c>
      <c r="N9715" t="s">
        <v>25656</v>
      </c>
      <c r="O9715" t="s">
        <v>26523</v>
      </c>
      <c r="P9715" t="s">
        <v>26563</v>
      </c>
      <c r="R9715" t="s">
        <v>26590</v>
      </c>
      <c r="S9715" t="s">
        <v>18959</v>
      </c>
      <c r="U9715" t="s">
        <v>26606</v>
      </c>
      <c r="V9715" t="s">
        <v>26610</v>
      </c>
      <c r="X9715">
        <v>1320</v>
      </c>
      <c r="Y9715" t="s">
        <v>26654</v>
      </c>
      <c r="Z9715" t="s">
        <v>26668</v>
      </c>
      <c r="AB9715" t="s">
        <v>33578</v>
      </c>
      <c r="AD9715" t="s">
        <v>44353</v>
      </c>
      <c r="AE9715">
        <v>0</v>
      </c>
      <c r="AF9715" t="s">
        <v>45543</v>
      </c>
      <c r="AG9715" t="s">
        <v>45556</v>
      </c>
      <c r="AH9715">
        <v>8</v>
      </c>
      <c r="AI9715">
        <v>6</v>
      </c>
      <c r="AJ9715">
        <v>0</v>
      </c>
      <c r="AK9715">
        <v>184.94</v>
      </c>
      <c r="AN9715" t="s">
        <v>7439</v>
      </c>
      <c r="AO9715">
        <v>62400</v>
      </c>
      <c r="AU9715">
        <v>15</v>
      </c>
      <c r="AV9715" t="s">
        <v>819</v>
      </c>
      <c r="AW9715" t="s">
        <v>185</v>
      </c>
    </row>
    <row r="9716" spans="1:49">
      <c r="A9716" s="1">
        <f>HYPERLINK("https://lsnyc.legalserver.org/matter/dynamic-profile/view/1888029","19-1888029")</f>
        <v>0</v>
      </c>
      <c r="B9716" t="s">
        <v>247</v>
      </c>
      <c r="C9716" t="s">
        <v>341</v>
      </c>
      <c r="D9716" t="s">
        <v>685</v>
      </c>
      <c r="E9716" t="s">
        <v>727</v>
      </c>
      <c r="F9716" t="s">
        <v>993</v>
      </c>
      <c r="G9716" t="s">
        <v>5780</v>
      </c>
      <c r="H9716" t="s">
        <v>16250</v>
      </c>
      <c r="I9716" t="s">
        <v>17491</v>
      </c>
      <c r="J9716" t="s">
        <v>18901</v>
      </c>
      <c r="K9716">
        <v>11433</v>
      </c>
      <c r="L9716" t="s">
        <v>18958</v>
      </c>
      <c r="M9716" t="s">
        <v>18958</v>
      </c>
      <c r="N9716" t="s">
        <v>25657</v>
      </c>
      <c r="O9716" t="s">
        <v>26524</v>
      </c>
      <c r="P9716" t="s">
        <v>26564</v>
      </c>
      <c r="Q9716" t="s">
        <v>26570</v>
      </c>
      <c r="R9716" t="s">
        <v>26584</v>
      </c>
      <c r="S9716" t="s">
        <v>18959</v>
      </c>
      <c r="U9716" t="s">
        <v>26604</v>
      </c>
      <c r="X9716">
        <v>1500</v>
      </c>
      <c r="Y9716" t="s">
        <v>26653</v>
      </c>
      <c r="Z9716" t="s">
        <v>26664</v>
      </c>
      <c r="AA9716" t="s">
        <v>26683</v>
      </c>
      <c r="AB9716" t="s">
        <v>33579</v>
      </c>
      <c r="AD9716" t="s">
        <v>44354</v>
      </c>
      <c r="AE9716">
        <v>2</v>
      </c>
      <c r="AF9716" t="s">
        <v>20460</v>
      </c>
      <c r="AG9716" t="s">
        <v>19330</v>
      </c>
      <c r="AH9716">
        <v>1</v>
      </c>
      <c r="AI9716">
        <v>1</v>
      </c>
      <c r="AJ9716">
        <v>1</v>
      </c>
      <c r="AK9716">
        <v>0</v>
      </c>
      <c r="AN9716" t="s">
        <v>7439</v>
      </c>
      <c r="AO9716">
        <v>0</v>
      </c>
      <c r="AU9716">
        <v>1.6</v>
      </c>
      <c r="AV9716" t="s">
        <v>808</v>
      </c>
      <c r="AW9716" t="s">
        <v>208</v>
      </c>
    </row>
    <row r="9717" spans="1:49">
      <c r="A9717" s="1">
        <f>HYPERLINK("https://lsnyc.legalserver.org/matter/dynamic-profile/view/1888102","19-1888102")</f>
        <v>0</v>
      </c>
      <c r="B9717" t="s">
        <v>249</v>
      </c>
      <c r="C9717" t="s">
        <v>341</v>
      </c>
      <c r="D9717" t="s">
        <v>685</v>
      </c>
      <c r="E9717" t="s">
        <v>719</v>
      </c>
      <c r="F9717" t="s">
        <v>4634</v>
      </c>
      <c r="G9717" t="s">
        <v>5266</v>
      </c>
      <c r="H9717" t="s">
        <v>16251</v>
      </c>
      <c r="I9717" t="s">
        <v>17332</v>
      </c>
      <c r="J9717" t="s">
        <v>18894</v>
      </c>
      <c r="K9717">
        <v>11233</v>
      </c>
      <c r="L9717" t="s">
        <v>18959</v>
      </c>
      <c r="M9717" t="s">
        <v>18959</v>
      </c>
      <c r="N9717" t="s">
        <v>18997</v>
      </c>
      <c r="O9717" t="s">
        <v>18997</v>
      </c>
      <c r="P9717" t="s">
        <v>26564</v>
      </c>
      <c r="Q9717" t="s">
        <v>26570</v>
      </c>
      <c r="R9717" t="s">
        <v>26578</v>
      </c>
      <c r="S9717" t="s">
        <v>18959</v>
      </c>
      <c r="U9717" t="s">
        <v>26604</v>
      </c>
      <c r="V9717" t="s">
        <v>26610</v>
      </c>
      <c r="X9717">
        <v>1400</v>
      </c>
      <c r="Y9717" t="s">
        <v>26652</v>
      </c>
      <c r="Z9717" t="s">
        <v>26530</v>
      </c>
      <c r="AA9717" t="s">
        <v>26683</v>
      </c>
      <c r="AB9717" t="s">
        <v>29879</v>
      </c>
      <c r="AC9717" t="s">
        <v>19330</v>
      </c>
      <c r="AD9717" t="s">
        <v>44355</v>
      </c>
      <c r="AE9717">
        <v>6</v>
      </c>
      <c r="AF9717" t="s">
        <v>45541</v>
      </c>
      <c r="AG9717" t="s">
        <v>19330</v>
      </c>
      <c r="AH9717">
        <v>18</v>
      </c>
      <c r="AI9717">
        <v>1</v>
      </c>
      <c r="AJ9717">
        <v>0</v>
      </c>
      <c r="AK9717">
        <v>329.49</v>
      </c>
      <c r="AN9717" t="s">
        <v>7439</v>
      </c>
      <c r="AO9717">
        <v>40000</v>
      </c>
      <c r="AP9717" t="s">
        <v>45847</v>
      </c>
      <c r="AU9717">
        <v>1.9</v>
      </c>
      <c r="AV9717" t="s">
        <v>719</v>
      </c>
      <c r="AW9717" t="s">
        <v>46857</v>
      </c>
    </row>
    <row r="9718" spans="1:49">
      <c r="A9718" s="1">
        <f>HYPERLINK("https://lsnyc.legalserver.org/matter/dynamic-profile/view/1888098","19-1888098")</f>
        <v>0</v>
      </c>
      <c r="B9718" t="s">
        <v>172</v>
      </c>
      <c r="C9718" t="s">
        <v>341</v>
      </c>
      <c r="D9718" t="s">
        <v>685</v>
      </c>
      <c r="E9718" t="s">
        <v>767</v>
      </c>
      <c r="F9718" t="s">
        <v>876</v>
      </c>
      <c r="G9718" t="s">
        <v>5147</v>
      </c>
      <c r="H9718" t="s">
        <v>13497</v>
      </c>
      <c r="I9718" t="s">
        <v>18187</v>
      </c>
      <c r="J9718" t="s">
        <v>18894</v>
      </c>
      <c r="K9718">
        <v>11230</v>
      </c>
      <c r="L9718" t="s">
        <v>18958</v>
      </c>
      <c r="M9718" t="s">
        <v>18960</v>
      </c>
      <c r="O9718" t="s">
        <v>26539</v>
      </c>
      <c r="P9718" t="s">
        <v>26561</v>
      </c>
      <c r="Q9718" t="s">
        <v>26572</v>
      </c>
      <c r="R9718" t="s">
        <v>26591</v>
      </c>
      <c r="U9718" t="s">
        <v>26607</v>
      </c>
      <c r="X9718">
        <v>0</v>
      </c>
      <c r="Y9718" t="s">
        <v>26652</v>
      </c>
      <c r="Z9718" t="s">
        <v>26659</v>
      </c>
      <c r="AA9718" t="s">
        <v>26681</v>
      </c>
      <c r="AB9718" t="s">
        <v>30851</v>
      </c>
      <c r="AD9718" t="s">
        <v>41080</v>
      </c>
      <c r="AE9718">
        <v>0</v>
      </c>
      <c r="AG9718" t="s">
        <v>19330</v>
      </c>
      <c r="AH9718">
        <v>0</v>
      </c>
      <c r="AI9718">
        <v>1</v>
      </c>
      <c r="AJ9718">
        <v>2</v>
      </c>
      <c r="AK9718">
        <v>58.9</v>
      </c>
      <c r="AN9718" t="s">
        <v>7439</v>
      </c>
      <c r="AO9718">
        <v>12240</v>
      </c>
      <c r="AR9718" t="s">
        <v>46410</v>
      </c>
      <c r="AS9718" t="s">
        <v>46499</v>
      </c>
      <c r="AT9718" t="s">
        <v>46749</v>
      </c>
      <c r="AU9718">
        <v>7.8</v>
      </c>
      <c r="AV9718" t="s">
        <v>801</v>
      </c>
      <c r="AW9718" t="s">
        <v>46862</v>
      </c>
    </row>
    <row r="9719" spans="1:49">
      <c r="A9719" s="1">
        <f>HYPERLINK("https://lsnyc.legalserver.org/matter/dynamic-profile/view/1888096","19-1888096")</f>
        <v>0</v>
      </c>
      <c r="B9719" t="s">
        <v>163</v>
      </c>
      <c r="C9719" t="s">
        <v>340</v>
      </c>
      <c r="D9719" t="s">
        <v>685</v>
      </c>
      <c r="F9719" t="s">
        <v>1826</v>
      </c>
      <c r="G9719" t="s">
        <v>5100</v>
      </c>
      <c r="H9719" t="s">
        <v>16252</v>
      </c>
      <c r="I9719" t="s">
        <v>17491</v>
      </c>
      <c r="J9719" t="s">
        <v>18907</v>
      </c>
      <c r="K9719">
        <v>11377</v>
      </c>
      <c r="L9719" t="s">
        <v>18958</v>
      </c>
      <c r="M9719" t="s">
        <v>18958</v>
      </c>
      <c r="N9719" t="s">
        <v>25658</v>
      </c>
      <c r="O9719" t="s">
        <v>26524</v>
      </c>
      <c r="P9719" t="s">
        <v>26563</v>
      </c>
      <c r="R9719" t="s">
        <v>26584</v>
      </c>
      <c r="S9719" t="s">
        <v>18959</v>
      </c>
      <c r="U9719" t="s">
        <v>26604</v>
      </c>
      <c r="X9719">
        <v>0</v>
      </c>
      <c r="Y9719" t="s">
        <v>26653</v>
      </c>
      <c r="Z9719" t="s">
        <v>26664</v>
      </c>
      <c r="AB9719" t="s">
        <v>33580</v>
      </c>
      <c r="AD9719" t="s">
        <v>44356</v>
      </c>
      <c r="AE9719">
        <v>0</v>
      </c>
      <c r="AH9719">
        <v>0</v>
      </c>
      <c r="AI9719">
        <v>2</v>
      </c>
      <c r="AJ9719">
        <v>0</v>
      </c>
      <c r="AK9719">
        <v>115.13</v>
      </c>
      <c r="AN9719" t="s">
        <v>7439</v>
      </c>
      <c r="AO9719">
        <v>18950</v>
      </c>
      <c r="AU9719">
        <v>0.6</v>
      </c>
      <c r="AV9719" t="s">
        <v>710</v>
      </c>
      <c r="AW9719" t="s">
        <v>208</v>
      </c>
    </row>
    <row r="9720" spans="1:49">
      <c r="A9720" s="1">
        <f>HYPERLINK("https://lsnyc.legalserver.org/matter/dynamic-profile/view/1888023","19-1888023")</f>
        <v>0</v>
      </c>
      <c r="B9720" t="s">
        <v>100</v>
      </c>
      <c r="C9720" t="s">
        <v>340</v>
      </c>
      <c r="D9720" t="s">
        <v>685</v>
      </c>
      <c r="F9720" t="s">
        <v>1457</v>
      </c>
      <c r="G9720" t="s">
        <v>9142</v>
      </c>
      <c r="H9720" t="s">
        <v>11854</v>
      </c>
      <c r="I9720">
        <v>606</v>
      </c>
      <c r="J9720" t="s">
        <v>18892</v>
      </c>
      <c r="K9720">
        <v>10457</v>
      </c>
      <c r="L9720" t="s">
        <v>18960</v>
      </c>
      <c r="M9720" t="s">
        <v>18960</v>
      </c>
      <c r="O9720" t="s">
        <v>26529</v>
      </c>
      <c r="P9720" t="s">
        <v>26564</v>
      </c>
      <c r="R9720" t="s">
        <v>26578</v>
      </c>
      <c r="U9720" t="s">
        <v>26604</v>
      </c>
      <c r="X9720">
        <v>833</v>
      </c>
      <c r="Y9720" t="s">
        <v>26650</v>
      </c>
      <c r="AB9720" t="s">
        <v>29213</v>
      </c>
      <c r="AD9720" t="s">
        <v>44357</v>
      </c>
      <c r="AE9720">
        <v>88</v>
      </c>
      <c r="AH9720">
        <v>7</v>
      </c>
      <c r="AI9720">
        <v>1</v>
      </c>
      <c r="AJ9720">
        <v>0</v>
      </c>
      <c r="AK9720">
        <v>137.73</v>
      </c>
      <c r="AN9720" t="s">
        <v>7439</v>
      </c>
      <c r="AO9720">
        <v>16720</v>
      </c>
      <c r="AP9720" t="s">
        <v>45810</v>
      </c>
      <c r="AU9720">
        <v>2</v>
      </c>
      <c r="AV9720" t="s">
        <v>732</v>
      </c>
      <c r="AW9720" t="s">
        <v>46857</v>
      </c>
    </row>
    <row r="9721" spans="1:49">
      <c r="A9721" s="1">
        <f>HYPERLINK("https://lsnyc.legalserver.org/matter/dynamic-profile/view/1888070","19-1888070")</f>
        <v>0</v>
      </c>
      <c r="B9721" t="s">
        <v>85</v>
      </c>
      <c r="C9721" t="s">
        <v>340</v>
      </c>
      <c r="D9721" t="s">
        <v>685</v>
      </c>
      <c r="F9721" t="s">
        <v>1626</v>
      </c>
      <c r="G9721" t="s">
        <v>7436</v>
      </c>
      <c r="H9721" t="s">
        <v>16253</v>
      </c>
      <c r="I9721" t="s">
        <v>17344</v>
      </c>
      <c r="J9721" t="s">
        <v>18915</v>
      </c>
      <c r="K9721">
        <v>11372</v>
      </c>
      <c r="L9721" t="s">
        <v>18958</v>
      </c>
      <c r="M9721" t="s">
        <v>18958</v>
      </c>
      <c r="N9721" t="s">
        <v>25659</v>
      </c>
      <c r="O9721" t="s">
        <v>26546</v>
      </c>
      <c r="P9721" t="s">
        <v>26564</v>
      </c>
      <c r="R9721" t="s">
        <v>26584</v>
      </c>
      <c r="S9721" t="s">
        <v>18959</v>
      </c>
      <c r="U9721" t="s">
        <v>26604</v>
      </c>
      <c r="X9721">
        <v>900</v>
      </c>
      <c r="Y9721" t="s">
        <v>26653</v>
      </c>
      <c r="Z9721" t="s">
        <v>26664</v>
      </c>
      <c r="AB9721" t="s">
        <v>33581</v>
      </c>
      <c r="AC9721" t="s">
        <v>36658</v>
      </c>
      <c r="AD9721" t="s">
        <v>44358</v>
      </c>
      <c r="AE9721">
        <v>0</v>
      </c>
      <c r="AF9721" t="s">
        <v>45553</v>
      </c>
      <c r="AG9721" t="s">
        <v>19330</v>
      </c>
      <c r="AH9721">
        <v>14</v>
      </c>
      <c r="AI9721">
        <v>1</v>
      </c>
      <c r="AJ9721">
        <v>1</v>
      </c>
      <c r="AK9721">
        <v>1.52</v>
      </c>
      <c r="AN9721" t="s">
        <v>7439</v>
      </c>
      <c r="AO9721">
        <v>250</v>
      </c>
      <c r="AU9721">
        <v>0.2</v>
      </c>
      <c r="AV9721" t="s">
        <v>728</v>
      </c>
      <c r="AW9721" t="s">
        <v>208</v>
      </c>
    </row>
    <row r="9722" spans="1:49">
      <c r="A9722" s="1">
        <f>HYPERLINK("https://lsnyc.legalserver.org/matter/dynamic-profile/view/1888036","19-1888036")</f>
        <v>0</v>
      </c>
      <c r="B9722" t="s">
        <v>85</v>
      </c>
      <c r="C9722" t="s">
        <v>340</v>
      </c>
      <c r="D9722" t="s">
        <v>685</v>
      </c>
      <c r="F9722" t="s">
        <v>4500</v>
      </c>
      <c r="G9722" t="s">
        <v>5513</v>
      </c>
      <c r="H9722" t="s">
        <v>16254</v>
      </c>
      <c r="I9722">
        <v>1</v>
      </c>
      <c r="J9722" t="s">
        <v>18896</v>
      </c>
      <c r="K9722">
        <v>11419</v>
      </c>
      <c r="L9722" t="s">
        <v>18958</v>
      </c>
      <c r="M9722" t="s">
        <v>18958</v>
      </c>
      <c r="N9722" t="s">
        <v>25660</v>
      </c>
      <c r="O9722" t="s">
        <v>26524</v>
      </c>
      <c r="P9722" t="s">
        <v>26564</v>
      </c>
      <c r="R9722" t="s">
        <v>26584</v>
      </c>
      <c r="S9722" t="s">
        <v>18959</v>
      </c>
      <c r="U9722" t="s">
        <v>26604</v>
      </c>
      <c r="V9722" t="s">
        <v>26610</v>
      </c>
      <c r="X9722">
        <v>1841</v>
      </c>
      <c r="Y9722" t="s">
        <v>26653</v>
      </c>
      <c r="Z9722" t="s">
        <v>26664</v>
      </c>
      <c r="AB9722" t="s">
        <v>28422</v>
      </c>
      <c r="AC9722" t="s">
        <v>36659</v>
      </c>
      <c r="AD9722" t="s">
        <v>44359</v>
      </c>
      <c r="AE9722">
        <v>0</v>
      </c>
      <c r="AF9722" t="s">
        <v>20460</v>
      </c>
      <c r="AG9722" t="s">
        <v>45556</v>
      </c>
      <c r="AH9722">
        <v>14</v>
      </c>
      <c r="AI9722">
        <v>3</v>
      </c>
      <c r="AJ9722">
        <v>1</v>
      </c>
      <c r="AK9722">
        <v>69.04000000000001</v>
      </c>
      <c r="AN9722" t="s">
        <v>45581</v>
      </c>
      <c r="AO9722">
        <v>17328</v>
      </c>
      <c r="AU9722">
        <v>0.1</v>
      </c>
      <c r="AV9722" t="s">
        <v>728</v>
      </c>
      <c r="AW9722" t="s">
        <v>208</v>
      </c>
    </row>
    <row r="9723" spans="1:49">
      <c r="A9723" s="1">
        <f>HYPERLINK("https://lsnyc.legalserver.org/matter/dynamic-profile/view/1888063","19-1888063")</f>
        <v>0</v>
      </c>
      <c r="B9723" t="s">
        <v>85</v>
      </c>
      <c r="C9723" t="s">
        <v>340</v>
      </c>
      <c r="D9723" t="s">
        <v>685</v>
      </c>
      <c r="F9723" t="s">
        <v>927</v>
      </c>
      <c r="G9723" t="s">
        <v>9143</v>
      </c>
      <c r="H9723" t="s">
        <v>16255</v>
      </c>
      <c r="I9723" t="s">
        <v>17347</v>
      </c>
      <c r="J9723" t="s">
        <v>18897</v>
      </c>
      <c r="K9723">
        <v>11415</v>
      </c>
      <c r="L9723" t="s">
        <v>18958</v>
      </c>
      <c r="M9723" t="s">
        <v>18958</v>
      </c>
      <c r="N9723" t="s">
        <v>25661</v>
      </c>
      <c r="O9723" t="s">
        <v>26524</v>
      </c>
      <c r="P9723" t="s">
        <v>26564</v>
      </c>
      <c r="R9723" t="s">
        <v>26584</v>
      </c>
      <c r="S9723" t="s">
        <v>18959</v>
      </c>
      <c r="U9723" t="s">
        <v>26604</v>
      </c>
      <c r="X9723">
        <v>1500</v>
      </c>
      <c r="Y9723" t="s">
        <v>26653</v>
      </c>
      <c r="Z9723" t="s">
        <v>26664</v>
      </c>
      <c r="AB9723" t="s">
        <v>31346</v>
      </c>
      <c r="AC9723" t="s">
        <v>36660</v>
      </c>
      <c r="AD9723" t="s">
        <v>44360</v>
      </c>
      <c r="AE9723">
        <v>48</v>
      </c>
      <c r="AF9723" t="s">
        <v>45541</v>
      </c>
      <c r="AG9723" t="s">
        <v>19330</v>
      </c>
      <c r="AH9723">
        <v>3</v>
      </c>
      <c r="AI9723">
        <v>1</v>
      </c>
      <c r="AJ9723">
        <v>0</v>
      </c>
      <c r="AK9723">
        <v>71.86</v>
      </c>
      <c r="AN9723" t="s">
        <v>45586</v>
      </c>
      <c r="AO9723">
        <v>8724</v>
      </c>
      <c r="AU9723">
        <v>0.2</v>
      </c>
      <c r="AV9723" t="s">
        <v>728</v>
      </c>
      <c r="AW9723" t="s">
        <v>208</v>
      </c>
    </row>
    <row r="9724" spans="1:49">
      <c r="A9724" s="1">
        <f>HYPERLINK("https://lsnyc.legalserver.org/matter/dynamic-profile/view/1888120","19-1888120")</f>
        <v>0</v>
      </c>
      <c r="B9724" t="s">
        <v>200</v>
      </c>
      <c r="C9724" t="s">
        <v>340</v>
      </c>
      <c r="D9724" t="s">
        <v>685</v>
      </c>
      <c r="F9724" t="s">
        <v>4635</v>
      </c>
      <c r="G9724" t="s">
        <v>9144</v>
      </c>
      <c r="H9724" t="s">
        <v>16256</v>
      </c>
      <c r="I9724" t="s">
        <v>17322</v>
      </c>
      <c r="J9724" t="s">
        <v>18894</v>
      </c>
      <c r="K9724">
        <v>11216</v>
      </c>
      <c r="L9724" t="s">
        <v>18960</v>
      </c>
      <c r="M9724" t="s">
        <v>18960</v>
      </c>
      <c r="O9724" t="s">
        <v>18997</v>
      </c>
      <c r="R9724" t="s">
        <v>26591</v>
      </c>
      <c r="U9724" t="s">
        <v>26604</v>
      </c>
      <c r="X9724">
        <v>1148</v>
      </c>
      <c r="Y9724" t="s">
        <v>26652</v>
      </c>
      <c r="AB9724" t="s">
        <v>33582</v>
      </c>
      <c r="AD9724" t="s">
        <v>44361</v>
      </c>
      <c r="AE9724">
        <v>0</v>
      </c>
      <c r="AF9724" t="s">
        <v>45548</v>
      </c>
      <c r="AH9724">
        <v>25</v>
      </c>
      <c r="AI9724">
        <v>1</v>
      </c>
      <c r="AJ9724">
        <v>0</v>
      </c>
      <c r="AK9724">
        <v>106.75</v>
      </c>
      <c r="AN9724" t="s">
        <v>7439</v>
      </c>
      <c r="AO9724">
        <v>12960</v>
      </c>
      <c r="AU9724">
        <v>1</v>
      </c>
      <c r="AV9724" t="s">
        <v>685</v>
      </c>
      <c r="AW9724" t="s">
        <v>46859</v>
      </c>
    </row>
    <row r="9725" spans="1:49">
      <c r="A9725" s="1">
        <f>HYPERLINK("https://lsnyc.legalserver.org/matter/dynamic-profile/view/1888046","19-1888046")</f>
        <v>0</v>
      </c>
      <c r="B9725" t="s">
        <v>200</v>
      </c>
      <c r="C9725" t="s">
        <v>340</v>
      </c>
      <c r="D9725" t="s">
        <v>685</v>
      </c>
      <c r="F9725" t="s">
        <v>4231</v>
      </c>
      <c r="G9725" t="s">
        <v>9145</v>
      </c>
      <c r="H9725" t="s">
        <v>16257</v>
      </c>
      <c r="I9725">
        <v>401</v>
      </c>
      <c r="J9725" t="s">
        <v>18894</v>
      </c>
      <c r="K9725">
        <v>11201</v>
      </c>
      <c r="L9725" t="s">
        <v>18960</v>
      </c>
      <c r="M9725" t="s">
        <v>18960</v>
      </c>
      <c r="O9725" t="s">
        <v>18997</v>
      </c>
      <c r="R9725" t="s">
        <v>26586</v>
      </c>
      <c r="T9725" t="s">
        <v>26583</v>
      </c>
      <c r="U9725" t="s">
        <v>26604</v>
      </c>
      <c r="X9725">
        <v>1096</v>
      </c>
      <c r="Y9725" t="s">
        <v>26652</v>
      </c>
      <c r="Z9725" t="s">
        <v>26660</v>
      </c>
      <c r="AB9725" t="s">
        <v>33583</v>
      </c>
      <c r="AD9725" t="s">
        <v>44362</v>
      </c>
      <c r="AE9725">
        <v>156</v>
      </c>
      <c r="AG9725" t="s">
        <v>19330</v>
      </c>
      <c r="AH9725">
        <v>11</v>
      </c>
      <c r="AI9725">
        <v>2</v>
      </c>
      <c r="AJ9725">
        <v>0</v>
      </c>
      <c r="AK9725">
        <v>182.26</v>
      </c>
      <c r="AN9725" t="s">
        <v>7439</v>
      </c>
      <c r="AO9725">
        <v>30000</v>
      </c>
      <c r="AU9725">
        <v>1</v>
      </c>
      <c r="AV9725" t="s">
        <v>833</v>
      </c>
      <c r="AW9725" t="s">
        <v>46853</v>
      </c>
    </row>
    <row r="9726" spans="1:49">
      <c r="A9726" s="1">
        <f>HYPERLINK("https://lsnyc.legalserver.org/matter/dynamic-profile/view/1886030","18-1886030")</f>
        <v>0</v>
      </c>
      <c r="B9726" t="s">
        <v>200</v>
      </c>
      <c r="C9726" t="s">
        <v>340</v>
      </c>
      <c r="D9726" t="s">
        <v>685</v>
      </c>
      <c r="F9726" t="s">
        <v>4394</v>
      </c>
      <c r="G9726" t="s">
        <v>9146</v>
      </c>
      <c r="H9726" t="s">
        <v>16258</v>
      </c>
      <c r="I9726" t="s">
        <v>17332</v>
      </c>
      <c r="J9726" t="s">
        <v>18894</v>
      </c>
      <c r="K9726">
        <v>11237</v>
      </c>
      <c r="L9726" t="s">
        <v>18960</v>
      </c>
      <c r="M9726" t="s">
        <v>18960</v>
      </c>
      <c r="O9726" t="s">
        <v>18997</v>
      </c>
      <c r="R9726" t="s">
        <v>26586</v>
      </c>
      <c r="U9726" t="s">
        <v>26607</v>
      </c>
      <c r="X9726">
        <v>1550</v>
      </c>
      <c r="Y9726" t="s">
        <v>26652</v>
      </c>
      <c r="AB9726" t="s">
        <v>33584</v>
      </c>
      <c r="AD9726" t="s">
        <v>40634</v>
      </c>
      <c r="AE9726">
        <v>5</v>
      </c>
      <c r="AG9726" t="s">
        <v>19330</v>
      </c>
      <c r="AH9726">
        <v>2</v>
      </c>
      <c r="AI9726">
        <v>2</v>
      </c>
      <c r="AJ9726">
        <v>2</v>
      </c>
      <c r="AK9726">
        <v>199.2</v>
      </c>
      <c r="AN9726" t="s">
        <v>7439</v>
      </c>
      <c r="AO9726">
        <v>50000</v>
      </c>
      <c r="AU9726">
        <v>0</v>
      </c>
      <c r="AW9726" t="s">
        <v>46853</v>
      </c>
    </row>
    <row r="9727" spans="1:49">
      <c r="A9727" s="1">
        <f>HYPERLINK("https://lsnyc.legalserver.org/matter/dynamic-profile/view/1888048","19-1888048")</f>
        <v>0</v>
      </c>
      <c r="B9727" t="s">
        <v>236</v>
      </c>
      <c r="C9727" t="s">
        <v>340</v>
      </c>
      <c r="D9727" t="s">
        <v>685</v>
      </c>
      <c r="F9727" t="s">
        <v>4636</v>
      </c>
      <c r="G9727" t="s">
        <v>5987</v>
      </c>
      <c r="H9727" t="s">
        <v>13056</v>
      </c>
      <c r="I9727" t="s">
        <v>17349</v>
      </c>
      <c r="J9727" t="s">
        <v>18892</v>
      </c>
      <c r="K9727">
        <v>10452</v>
      </c>
      <c r="L9727" t="s">
        <v>18958</v>
      </c>
      <c r="M9727" t="s">
        <v>18958</v>
      </c>
      <c r="N9727" t="s">
        <v>25662</v>
      </c>
      <c r="O9727" t="s">
        <v>26528</v>
      </c>
      <c r="P9727" t="s">
        <v>26560</v>
      </c>
      <c r="R9727" t="s">
        <v>26578</v>
      </c>
      <c r="S9727" t="s">
        <v>18958</v>
      </c>
      <c r="U9727" t="s">
        <v>26604</v>
      </c>
      <c r="X9727">
        <v>1042</v>
      </c>
      <c r="Y9727" t="s">
        <v>26650</v>
      </c>
      <c r="Z9727" t="s">
        <v>26663</v>
      </c>
      <c r="AB9727" t="s">
        <v>33585</v>
      </c>
      <c r="AD9727" t="s">
        <v>44363</v>
      </c>
      <c r="AE9727">
        <v>0</v>
      </c>
      <c r="AF9727" t="s">
        <v>45541</v>
      </c>
      <c r="AG9727" t="s">
        <v>19330</v>
      </c>
      <c r="AH9727">
        <v>33</v>
      </c>
      <c r="AI9727">
        <v>1</v>
      </c>
      <c r="AJ9727">
        <v>0</v>
      </c>
      <c r="AK9727">
        <v>219.93</v>
      </c>
      <c r="AO9727">
        <v>26700</v>
      </c>
      <c r="AU9727">
        <v>63.91</v>
      </c>
      <c r="AV9727" t="s">
        <v>836</v>
      </c>
      <c r="AW9727" t="s">
        <v>226</v>
      </c>
    </row>
    <row r="9728" spans="1:49">
      <c r="A9728" s="1">
        <f>HYPERLINK("https://lsnyc.legalserver.org/matter/dynamic-profile/view/1888039","19-1888039")</f>
        <v>0</v>
      </c>
      <c r="B9728" t="s">
        <v>193</v>
      </c>
      <c r="C9728" t="s">
        <v>340</v>
      </c>
      <c r="D9728" t="s">
        <v>685</v>
      </c>
      <c r="F9728" t="s">
        <v>1551</v>
      </c>
      <c r="G9728" t="s">
        <v>9147</v>
      </c>
      <c r="H9728" t="s">
        <v>16259</v>
      </c>
      <c r="J9728" t="s">
        <v>18937</v>
      </c>
      <c r="K9728">
        <v>11230</v>
      </c>
      <c r="L9728" t="s">
        <v>18960</v>
      </c>
      <c r="M9728" t="s">
        <v>18960</v>
      </c>
      <c r="N9728" t="s">
        <v>25663</v>
      </c>
      <c r="O9728" t="s">
        <v>26524</v>
      </c>
      <c r="P9728" t="s">
        <v>26563</v>
      </c>
      <c r="R9728" t="s">
        <v>26586</v>
      </c>
      <c r="U9728" t="s">
        <v>26604</v>
      </c>
      <c r="X9728">
        <v>0</v>
      </c>
      <c r="Y9728" t="s">
        <v>26652</v>
      </c>
      <c r="AB9728" t="s">
        <v>33586</v>
      </c>
      <c r="AD9728" t="s">
        <v>44364</v>
      </c>
      <c r="AE9728">
        <v>0</v>
      </c>
      <c r="AH9728">
        <v>0</v>
      </c>
      <c r="AI9728">
        <v>1</v>
      </c>
      <c r="AJ9728">
        <v>4</v>
      </c>
      <c r="AK9728">
        <v>84.98</v>
      </c>
      <c r="AN9728" t="s">
        <v>7439</v>
      </c>
      <c r="AO9728">
        <v>25000</v>
      </c>
      <c r="AU9728">
        <v>23.8</v>
      </c>
      <c r="AV9728" t="s">
        <v>731</v>
      </c>
      <c r="AW9728" t="s">
        <v>46862</v>
      </c>
    </row>
    <row r="9729" spans="1:49">
      <c r="A9729" s="1">
        <f>HYPERLINK("https://lsnyc.legalserver.org/matter/dynamic-profile/view/1888051","19-1888051")</f>
        <v>0</v>
      </c>
      <c r="B9729" t="s">
        <v>91</v>
      </c>
      <c r="C9729" t="s">
        <v>340</v>
      </c>
      <c r="D9729" t="s">
        <v>685</v>
      </c>
      <c r="F9729" t="s">
        <v>4637</v>
      </c>
      <c r="G9729" t="s">
        <v>9148</v>
      </c>
      <c r="H9729" t="s">
        <v>13275</v>
      </c>
      <c r="I9729" t="s">
        <v>18474</v>
      </c>
      <c r="J9729" t="s">
        <v>18901</v>
      </c>
      <c r="K9729">
        <v>11434</v>
      </c>
      <c r="L9729" t="s">
        <v>18958</v>
      </c>
      <c r="M9729" t="s">
        <v>18958</v>
      </c>
      <c r="N9729" t="s">
        <v>25664</v>
      </c>
      <c r="O9729" t="s">
        <v>26523</v>
      </c>
      <c r="P9729" t="s">
        <v>26560</v>
      </c>
      <c r="R9729" t="s">
        <v>26585</v>
      </c>
      <c r="S9729" t="s">
        <v>18959</v>
      </c>
      <c r="U9729" t="s">
        <v>26604</v>
      </c>
      <c r="X9729">
        <v>1223</v>
      </c>
      <c r="Y9729" t="s">
        <v>26653</v>
      </c>
      <c r="Z9729" t="s">
        <v>26664</v>
      </c>
      <c r="AB9729" t="s">
        <v>30349</v>
      </c>
      <c r="AD9729" t="s">
        <v>34738</v>
      </c>
      <c r="AE9729">
        <v>312</v>
      </c>
      <c r="AF9729" t="s">
        <v>45542</v>
      </c>
      <c r="AG9729" t="s">
        <v>19330</v>
      </c>
      <c r="AH9729">
        <v>-1</v>
      </c>
      <c r="AI9729">
        <v>2</v>
      </c>
      <c r="AJ9729">
        <v>0</v>
      </c>
      <c r="AK9729">
        <v>0</v>
      </c>
      <c r="AN9729" t="s">
        <v>7439</v>
      </c>
      <c r="AO9729">
        <v>0</v>
      </c>
      <c r="AU9729">
        <v>18.95</v>
      </c>
      <c r="AV9729" t="s">
        <v>768</v>
      </c>
      <c r="AW9729" t="s">
        <v>208</v>
      </c>
    </row>
    <row r="9730" spans="1:49">
      <c r="A9730" s="1">
        <f>HYPERLINK("https://lsnyc.legalserver.org/matter/dynamic-profile/view/1888067","19-1888067")</f>
        <v>0</v>
      </c>
      <c r="B9730" t="s">
        <v>114</v>
      </c>
      <c r="C9730" t="s">
        <v>340</v>
      </c>
      <c r="D9730" t="s">
        <v>685</v>
      </c>
      <c r="F9730" t="s">
        <v>1299</v>
      </c>
      <c r="G9730" t="s">
        <v>5593</v>
      </c>
      <c r="H9730" t="s">
        <v>16260</v>
      </c>
      <c r="I9730" t="s">
        <v>17491</v>
      </c>
      <c r="J9730" t="s">
        <v>18932</v>
      </c>
      <c r="K9730">
        <v>11385</v>
      </c>
      <c r="L9730" t="s">
        <v>18958</v>
      </c>
      <c r="M9730" t="s">
        <v>18958</v>
      </c>
      <c r="N9730" t="s">
        <v>25665</v>
      </c>
      <c r="O9730" t="s">
        <v>26524</v>
      </c>
      <c r="P9730" t="s">
        <v>26563</v>
      </c>
      <c r="R9730" t="s">
        <v>26585</v>
      </c>
      <c r="S9730" t="s">
        <v>18959</v>
      </c>
      <c r="U9730" t="s">
        <v>26604</v>
      </c>
      <c r="X9730">
        <v>2800</v>
      </c>
      <c r="Y9730" t="s">
        <v>26653</v>
      </c>
      <c r="Z9730" t="s">
        <v>26664</v>
      </c>
      <c r="AB9730" t="s">
        <v>33587</v>
      </c>
      <c r="AC9730" t="s">
        <v>36661</v>
      </c>
      <c r="AD9730" t="s">
        <v>44365</v>
      </c>
      <c r="AE9730">
        <v>2</v>
      </c>
      <c r="AF9730" t="s">
        <v>20460</v>
      </c>
      <c r="AG9730" t="s">
        <v>19330</v>
      </c>
      <c r="AH9730">
        <v>1</v>
      </c>
      <c r="AI9730">
        <v>1</v>
      </c>
      <c r="AJ9730">
        <v>2</v>
      </c>
      <c r="AK9730">
        <v>69.3</v>
      </c>
      <c r="AN9730" t="s">
        <v>7439</v>
      </c>
      <c r="AO9730">
        <v>14400</v>
      </c>
      <c r="AU9730">
        <v>18</v>
      </c>
      <c r="AV9730" t="s">
        <v>835</v>
      </c>
      <c r="AW9730" t="s">
        <v>208</v>
      </c>
    </row>
    <row r="9731" spans="1:49">
      <c r="A9731" s="1">
        <f>HYPERLINK("https://lsnyc.legalserver.org/matter/dynamic-profile/view/1888052","19-1888052")</f>
        <v>0</v>
      </c>
      <c r="B9731" t="s">
        <v>172</v>
      </c>
      <c r="C9731" t="s">
        <v>340</v>
      </c>
      <c r="D9731" t="s">
        <v>685</v>
      </c>
      <c r="F9731" t="s">
        <v>2065</v>
      </c>
      <c r="G9731" t="s">
        <v>5147</v>
      </c>
      <c r="H9731" t="s">
        <v>16261</v>
      </c>
      <c r="I9731" t="s">
        <v>18708</v>
      </c>
      <c r="J9731" t="s">
        <v>18894</v>
      </c>
      <c r="K9731">
        <v>11215</v>
      </c>
      <c r="L9731" t="s">
        <v>18960</v>
      </c>
      <c r="M9731" t="s">
        <v>18960</v>
      </c>
      <c r="N9731" t="s">
        <v>25666</v>
      </c>
      <c r="O9731" t="s">
        <v>26523</v>
      </c>
      <c r="P9731" t="s">
        <v>26560</v>
      </c>
      <c r="R9731" t="s">
        <v>26586</v>
      </c>
      <c r="U9731" t="s">
        <v>26604</v>
      </c>
      <c r="X9731">
        <v>644.29</v>
      </c>
      <c r="Y9731" t="s">
        <v>26652</v>
      </c>
      <c r="Z9731" t="s">
        <v>26659</v>
      </c>
      <c r="AB9731" t="s">
        <v>33588</v>
      </c>
      <c r="AE9731">
        <v>8</v>
      </c>
      <c r="AF9731" t="s">
        <v>45541</v>
      </c>
      <c r="AG9731" t="s">
        <v>45559</v>
      </c>
      <c r="AH9731">
        <v>0</v>
      </c>
      <c r="AI9731">
        <v>1</v>
      </c>
      <c r="AJ9731">
        <v>0</v>
      </c>
      <c r="AK9731">
        <v>86.76000000000001</v>
      </c>
      <c r="AN9731" t="s">
        <v>7439</v>
      </c>
      <c r="AO9731">
        <v>10836</v>
      </c>
      <c r="AU9731">
        <v>10</v>
      </c>
      <c r="AV9731" t="s">
        <v>835</v>
      </c>
      <c r="AW9731" t="s">
        <v>46862</v>
      </c>
    </row>
    <row r="9732" spans="1:49">
      <c r="A9732" s="1">
        <f>HYPERLINK("https://lsnyc.legalserver.org/matter/dynamic-profile/view/1888236","19-1888236")</f>
        <v>0</v>
      </c>
      <c r="B9732" t="s">
        <v>286</v>
      </c>
      <c r="C9732" t="s">
        <v>341</v>
      </c>
      <c r="D9732" t="s">
        <v>726</v>
      </c>
      <c r="E9732" t="s">
        <v>726</v>
      </c>
      <c r="F9732" t="s">
        <v>2959</v>
      </c>
      <c r="G9732" t="s">
        <v>5966</v>
      </c>
      <c r="H9732" t="s">
        <v>16262</v>
      </c>
      <c r="I9732" t="s">
        <v>17334</v>
      </c>
      <c r="J9732" t="s">
        <v>18894</v>
      </c>
      <c r="K9732">
        <v>11208</v>
      </c>
      <c r="L9732" t="s">
        <v>18959</v>
      </c>
      <c r="M9732" t="s">
        <v>18959</v>
      </c>
      <c r="N9732" t="s">
        <v>25667</v>
      </c>
      <c r="Q9732" t="s">
        <v>26570</v>
      </c>
      <c r="R9732" t="s">
        <v>26578</v>
      </c>
      <c r="U9732" t="s">
        <v>26604</v>
      </c>
      <c r="X9732">
        <v>900</v>
      </c>
      <c r="Y9732" t="s">
        <v>26652</v>
      </c>
      <c r="Z9732" t="s">
        <v>26673</v>
      </c>
      <c r="AA9732" t="s">
        <v>26683</v>
      </c>
      <c r="AB9732" t="s">
        <v>33589</v>
      </c>
      <c r="AD9732" t="s">
        <v>44366</v>
      </c>
      <c r="AE9732">
        <v>3</v>
      </c>
      <c r="AH9732">
        <v>9</v>
      </c>
      <c r="AI9732">
        <v>1</v>
      </c>
      <c r="AJ9732">
        <v>0</v>
      </c>
      <c r="AK9732">
        <v>0</v>
      </c>
      <c r="AN9732" t="s">
        <v>45581</v>
      </c>
      <c r="AO9732">
        <v>0</v>
      </c>
      <c r="AU9732">
        <v>1</v>
      </c>
      <c r="AV9732" t="s">
        <v>726</v>
      </c>
      <c r="AW9732" t="s">
        <v>46861</v>
      </c>
    </row>
    <row r="9733" spans="1:49">
      <c r="A9733" s="1">
        <f>HYPERLINK("https://lsnyc.legalserver.org/matter/dynamic-profile/view/1888190","19-1888190")</f>
        <v>0</v>
      </c>
      <c r="B9733" t="s">
        <v>301</v>
      </c>
      <c r="C9733" t="s">
        <v>341</v>
      </c>
      <c r="D9733" t="s">
        <v>726</v>
      </c>
      <c r="E9733" t="s">
        <v>809</v>
      </c>
      <c r="F9733" t="s">
        <v>2787</v>
      </c>
      <c r="G9733" t="s">
        <v>9059</v>
      </c>
      <c r="H9733" t="s">
        <v>16102</v>
      </c>
      <c r="I9733" t="s">
        <v>17306</v>
      </c>
      <c r="J9733" t="s">
        <v>18894</v>
      </c>
      <c r="K9733">
        <v>11209</v>
      </c>
      <c r="L9733" t="s">
        <v>18960</v>
      </c>
      <c r="M9733" t="s">
        <v>18960</v>
      </c>
      <c r="N9733" t="s">
        <v>25581</v>
      </c>
      <c r="O9733" t="s">
        <v>26539</v>
      </c>
      <c r="P9733" t="s">
        <v>26563</v>
      </c>
      <c r="Q9733" t="s">
        <v>26571</v>
      </c>
      <c r="R9733" t="s">
        <v>26591</v>
      </c>
      <c r="U9733" t="s">
        <v>26607</v>
      </c>
      <c r="X9733">
        <v>0</v>
      </c>
      <c r="Y9733" t="s">
        <v>26652</v>
      </c>
      <c r="Z9733" t="s">
        <v>26659</v>
      </c>
      <c r="AA9733" t="s">
        <v>26681</v>
      </c>
      <c r="AB9733" t="s">
        <v>33438</v>
      </c>
      <c r="AD9733" t="s">
        <v>44184</v>
      </c>
      <c r="AE9733">
        <v>0</v>
      </c>
      <c r="AH9733">
        <v>25</v>
      </c>
      <c r="AI9733">
        <v>1</v>
      </c>
      <c r="AJ9733">
        <v>0</v>
      </c>
      <c r="AK9733">
        <v>83.11</v>
      </c>
      <c r="AN9733" t="s">
        <v>7439</v>
      </c>
      <c r="AO9733">
        <v>10380</v>
      </c>
      <c r="AU9733">
        <v>2.9</v>
      </c>
      <c r="AV9733" t="s">
        <v>809</v>
      </c>
      <c r="AW9733" t="s">
        <v>46862</v>
      </c>
    </row>
    <row r="9734" spans="1:49">
      <c r="A9734" s="1">
        <f>HYPERLINK("https://lsnyc.legalserver.org/matter/dynamic-profile/view/1888264","19-1888264")</f>
        <v>0</v>
      </c>
      <c r="B9734" t="s">
        <v>77</v>
      </c>
      <c r="C9734" t="s">
        <v>341</v>
      </c>
      <c r="D9734" t="s">
        <v>726</v>
      </c>
      <c r="E9734" t="s">
        <v>828</v>
      </c>
      <c r="F9734" t="s">
        <v>4638</v>
      </c>
      <c r="G9734" t="s">
        <v>6640</v>
      </c>
      <c r="H9734" t="s">
        <v>9969</v>
      </c>
      <c r="I9734" t="s">
        <v>17389</v>
      </c>
      <c r="J9734" t="s">
        <v>18893</v>
      </c>
      <c r="K9734">
        <v>10025</v>
      </c>
      <c r="L9734" t="s">
        <v>18960</v>
      </c>
      <c r="M9734" t="s">
        <v>18960</v>
      </c>
      <c r="P9734" t="s">
        <v>26565</v>
      </c>
      <c r="Q9734" t="s">
        <v>26571</v>
      </c>
      <c r="R9734" t="s">
        <v>26583</v>
      </c>
      <c r="U9734" t="s">
        <v>26605</v>
      </c>
      <c r="X9734">
        <v>0</v>
      </c>
      <c r="Y9734" t="s">
        <v>26651</v>
      </c>
      <c r="AA9734" t="s">
        <v>26683</v>
      </c>
      <c r="AB9734" t="s">
        <v>31464</v>
      </c>
      <c r="AD9734" t="s">
        <v>44367</v>
      </c>
      <c r="AE9734">
        <v>0</v>
      </c>
      <c r="AH9734">
        <v>0</v>
      </c>
      <c r="AI9734">
        <v>2</v>
      </c>
      <c r="AJ9734">
        <v>1</v>
      </c>
      <c r="AK9734">
        <v>210.2</v>
      </c>
      <c r="AN9734" t="s">
        <v>7439</v>
      </c>
      <c r="AO9734">
        <v>43680</v>
      </c>
      <c r="AU9734">
        <v>0.3</v>
      </c>
      <c r="AV9734" t="s">
        <v>828</v>
      </c>
      <c r="AW9734" t="s">
        <v>46892</v>
      </c>
    </row>
    <row r="9735" spans="1:49">
      <c r="A9735" s="1">
        <f>HYPERLINK("https://lsnyc.legalserver.org/matter/dynamic-profile/view/1888323","19-1888323")</f>
        <v>0</v>
      </c>
      <c r="B9735" t="s">
        <v>151</v>
      </c>
      <c r="C9735" t="s">
        <v>341</v>
      </c>
      <c r="D9735" t="s">
        <v>726</v>
      </c>
      <c r="E9735" t="s">
        <v>761</v>
      </c>
      <c r="F9735" t="s">
        <v>4565</v>
      </c>
      <c r="G9735" t="s">
        <v>5453</v>
      </c>
      <c r="H9735" t="s">
        <v>16263</v>
      </c>
      <c r="I9735">
        <v>1713</v>
      </c>
      <c r="J9735" t="s">
        <v>18893</v>
      </c>
      <c r="K9735">
        <v>10002</v>
      </c>
      <c r="L9735" t="s">
        <v>18959</v>
      </c>
      <c r="M9735" t="s">
        <v>18959</v>
      </c>
      <c r="O9735" t="s">
        <v>18997</v>
      </c>
      <c r="P9735" t="s">
        <v>26564</v>
      </c>
      <c r="Q9735" t="s">
        <v>26570</v>
      </c>
      <c r="R9735" t="s">
        <v>26578</v>
      </c>
      <c r="U9735" t="s">
        <v>26604</v>
      </c>
      <c r="X9735">
        <v>800</v>
      </c>
      <c r="Y9735" t="s">
        <v>26651</v>
      </c>
      <c r="AA9735" t="s">
        <v>26683</v>
      </c>
      <c r="AB9735" t="s">
        <v>33590</v>
      </c>
      <c r="AD9735" t="s">
        <v>44368</v>
      </c>
      <c r="AE9735">
        <v>0</v>
      </c>
      <c r="AF9735" t="s">
        <v>45544</v>
      </c>
      <c r="AG9735" t="s">
        <v>45556</v>
      </c>
      <c r="AH9735">
        <v>15</v>
      </c>
      <c r="AI9735">
        <v>1</v>
      </c>
      <c r="AJ9735">
        <v>0</v>
      </c>
      <c r="AK9735">
        <v>79.26000000000001</v>
      </c>
      <c r="AN9735" t="s">
        <v>45593</v>
      </c>
      <c r="AO9735">
        <v>9900</v>
      </c>
      <c r="AU9735">
        <v>1.6</v>
      </c>
      <c r="AV9735" t="s">
        <v>775</v>
      </c>
      <c r="AW9735" t="s">
        <v>46838</v>
      </c>
    </row>
    <row r="9736" spans="1:49">
      <c r="A9736" s="1">
        <f>HYPERLINK("https://lsnyc.legalserver.org/matter/dynamic-profile/view/1888173","19-1888173")</f>
        <v>0</v>
      </c>
      <c r="B9736" t="s">
        <v>254</v>
      </c>
      <c r="C9736" t="s">
        <v>341</v>
      </c>
      <c r="D9736" t="s">
        <v>726</v>
      </c>
      <c r="E9736" t="s">
        <v>730</v>
      </c>
      <c r="F9736" t="s">
        <v>1048</v>
      </c>
      <c r="G9736" t="s">
        <v>5265</v>
      </c>
      <c r="H9736" t="s">
        <v>16264</v>
      </c>
      <c r="I9736" t="s">
        <v>17354</v>
      </c>
      <c r="J9736" t="s">
        <v>18892</v>
      </c>
      <c r="K9736">
        <v>10457</v>
      </c>
      <c r="L9736" t="s">
        <v>18960</v>
      </c>
      <c r="M9736" t="s">
        <v>18960</v>
      </c>
      <c r="N9736" t="s">
        <v>25668</v>
      </c>
      <c r="O9736" t="s">
        <v>26523</v>
      </c>
      <c r="P9736" t="s">
        <v>26564</v>
      </c>
      <c r="Q9736" t="s">
        <v>26570</v>
      </c>
      <c r="R9736" t="s">
        <v>26591</v>
      </c>
      <c r="U9736" t="s">
        <v>26604</v>
      </c>
      <c r="X9736">
        <v>1112</v>
      </c>
      <c r="Y9736" t="s">
        <v>26650</v>
      </c>
      <c r="AA9736" t="s">
        <v>26683</v>
      </c>
      <c r="AB9736" t="s">
        <v>27382</v>
      </c>
      <c r="AD9736" t="s">
        <v>44369</v>
      </c>
      <c r="AE9736">
        <v>0</v>
      </c>
      <c r="AF9736" t="s">
        <v>45547</v>
      </c>
      <c r="AG9736" t="s">
        <v>45557</v>
      </c>
      <c r="AH9736">
        <v>10</v>
      </c>
      <c r="AI9736">
        <v>1</v>
      </c>
      <c r="AJ9736">
        <v>5</v>
      </c>
      <c r="AK9736">
        <v>90.81</v>
      </c>
      <c r="AN9736" t="s">
        <v>7439</v>
      </c>
      <c r="AO9736">
        <v>30640</v>
      </c>
      <c r="AP9736" t="s">
        <v>46196</v>
      </c>
      <c r="AU9736">
        <v>1.7</v>
      </c>
      <c r="AV9736" t="s">
        <v>726</v>
      </c>
      <c r="AW9736" t="s">
        <v>46859</v>
      </c>
    </row>
    <row r="9737" spans="1:49">
      <c r="A9737" s="1">
        <f>HYPERLINK("https://lsnyc.legalserver.org/matter/dynamic-profile/view/1888184","19-1888184")</f>
        <v>0</v>
      </c>
      <c r="B9737" t="s">
        <v>183</v>
      </c>
      <c r="C9737" t="s">
        <v>340</v>
      </c>
      <c r="D9737" t="s">
        <v>726</v>
      </c>
      <c r="F9737" t="s">
        <v>887</v>
      </c>
      <c r="G9737" t="s">
        <v>5953</v>
      </c>
      <c r="H9737" t="s">
        <v>16265</v>
      </c>
      <c r="I9737">
        <v>6</v>
      </c>
      <c r="J9737" t="s">
        <v>18893</v>
      </c>
      <c r="K9737">
        <v>10031</v>
      </c>
      <c r="L9737" t="s">
        <v>18958</v>
      </c>
      <c r="M9737" t="s">
        <v>18958</v>
      </c>
      <c r="N9737" t="s">
        <v>25669</v>
      </c>
      <c r="O9737" t="s">
        <v>26523</v>
      </c>
      <c r="P9737" t="s">
        <v>26560</v>
      </c>
      <c r="R9737" t="s">
        <v>26580</v>
      </c>
      <c r="S9737" t="s">
        <v>18959</v>
      </c>
      <c r="U9737" t="s">
        <v>26604</v>
      </c>
      <c r="V9737" t="s">
        <v>26610</v>
      </c>
      <c r="X9737">
        <v>878.64</v>
      </c>
      <c r="Y9737" t="s">
        <v>26651</v>
      </c>
      <c r="Z9737" t="s">
        <v>26668</v>
      </c>
      <c r="AB9737" t="s">
        <v>33591</v>
      </c>
      <c r="AD9737" t="s">
        <v>44370</v>
      </c>
      <c r="AE9737">
        <v>0</v>
      </c>
      <c r="AF9737" t="s">
        <v>45541</v>
      </c>
      <c r="AG9737" t="s">
        <v>26530</v>
      </c>
      <c r="AH9737">
        <v>30</v>
      </c>
      <c r="AI9737">
        <v>1</v>
      </c>
      <c r="AJ9737">
        <v>0</v>
      </c>
      <c r="AK9737">
        <v>12.85</v>
      </c>
      <c r="AN9737" t="s">
        <v>45581</v>
      </c>
      <c r="AO9737">
        <v>1560</v>
      </c>
      <c r="AU9737">
        <v>25.1</v>
      </c>
      <c r="AV9737" t="s">
        <v>830</v>
      </c>
      <c r="AW9737" t="s">
        <v>314</v>
      </c>
    </row>
    <row r="9738" spans="1:49">
      <c r="A9738" s="1">
        <f>HYPERLINK("https://lsnyc.legalserver.org/matter/dynamic-profile/view/1888211","19-1888211")</f>
        <v>0</v>
      </c>
      <c r="B9738" t="s">
        <v>183</v>
      </c>
      <c r="C9738" t="s">
        <v>340</v>
      </c>
      <c r="D9738" t="s">
        <v>726</v>
      </c>
      <c r="F9738" t="s">
        <v>4639</v>
      </c>
      <c r="G9738" t="s">
        <v>5933</v>
      </c>
      <c r="H9738" t="s">
        <v>12353</v>
      </c>
      <c r="I9738" t="s">
        <v>17603</v>
      </c>
      <c r="J9738" t="s">
        <v>18893</v>
      </c>
      <c r="K9738">
        <v>10031</v>
      </c>
      <c r="L9738" t="s">
        <v>18958</v>
      </c>
      <c r="M9738" t="s">
        <v>18958</v>
      </c>
      <c r="N9738" t="s">
        <v>25670</v>
      </c>
      <c r="O9738" t="s">
        <v>26523</v>
      </c>
      <c r="P9738" t="s">
        <v>26560</v>
      </c>
      <c r="R9738" t="s">
        <v>26580</v>
      </c>
      <c r="S9738" t="s">
        <v>18959</v>
      </c>
      <c r="U9738" t="s">
        <v>26605</v>
      </c>
      <c r="X9738">
        <v>1286</v>
      </c>
      <c r="Y9738" t="s">
        <v>26651</v>
      </c>
      <c r="Z9738" t="s">
        <v>26664</v>
      </c>
      <c r="AB9738" t="s">
        <v>29734</v>
      </c>
      <c r="AC9738" t="s">
        <v>36662</v>
      </c>
      <c r="AD9738" t="s">
        <v>44371</v>
      </c>
      <c r="AE9738">
        <v>0</v>
      </c>
      <c r="AF9738" t="s">
        <v>45541</v>
      </c>
      <c r="AG9738" t="s">
        <v>45558</v>
      </c>
      <c r="AH9738">
        <v>3</v>
      </c>
      <c r="AI9738">
        <v>1</v>
      </c>
      <c r="AJ9738">
        <v>1</v>
      </c>
      <c r="AK9738">
        <v>22.9</v>
      </c>
      <c r="AN9738" t="s">
        <v>7439</v>
      </c>
      <c r="AO9738">
        <v>3770</v>
      </c>
      <c r="AU9738">
        <v>19.85</v>
      </c>
      <c r="AV9738" t="s">
        <v>768</v>
      </c>
      <c r="AW9738" t="s">
        <v>314</v>
      </c>
    </row>
    <row r="9739" spans="1:49">
      <c r="A9739" s="1">
        <f>HYPERLINK("https://lsnyc.legalserver.org/matter/dynamic-profile/view/1888200","19-1888200")</f>
        <v>0</v>
      </c>
      <c r="B9739" t="s">
        <v>107</v>
      </c>
      <c r="C9739" t="s">
        <v>340</v>
      </c>
      <c r="D9739" t="s">
        <v>726</v>
      </c>
      <c r="F9739" t="s">
        <v>1417</v>
      </c>
      <c r="G9739" t="s">
        <v>6864</v>
      </c>
      <c r="H9739" t="s">
        <v>14186</v>
      </c>
      <c r="I9739" t="s">
        <v>17362</v>
      </c>
      <c r="J9739" t="s">
        <v>18906</v>
      </c>
      <c r="K9739">
        <v>11373</v>
      </c>
      <c r="L9739" t="s">
        <v>18958</v>
      </c>
      <c r="M9739" t="s">
        <v>18958</v>
      </c>
      <c r="N9739" t="s">
        <v>25671</v>
      </c>
      <c r="O9739" t="s">
        <v>26523</v>
      </c>
      <c r="P9739" t="s">
        <v>26560</v>
      </c>
      <c r="R9739" t="s">
        <v>26585</v>
      </c>
      <c r="S9739" t="s">
        <v>18958</v>
      </c>
      <c r="U9739" t="s">
        <v>26604</v>
      </c>
      <c r="V9739" t="s">
        <v>26610</v>
      </c>
      <c r="X9739">
        <v>1700</v>
      </c>
      <c r="Y9739" t="s">
        <v>26653</v>
      </c>
      <c r="Z9739" t="s">
        <v>26668</v>
      </c>
      <c r="AB9739" t="s">
        <v>33592</v>
      </c>
      <c r="AD9739" t="s">
        <v>44372</v>
      </c>
      <c r="AE9739">
        <v>0</v>
      </c>
      <c r="AF9739" t="s">
        <v>45541</v>
      </c>
      <c r="AH9739">
        <v>1</v>
      </c>
      <c r="AI9739">
        <v>2</v>
      </c>
      <c r="AJ9739">
        <v>1</v>
      </c>
      <c r="AK9739">
        <v>135.42</v>
      </c>
      <c r="AN9739" t="s">
        <v>7439</v>
      </c>
      <c r="AO9739">
        <v>28140</v>
      </c>
      <c r="AU9739">
        <v>10.1</v>
      </c>
      <c r="AV9739" t="s">
        <v>839</v>
      </c>
      <c r="AW9739" t="s">
        <v>85</v>
      </c>
    </row>
    <row r="9740" spans="1:49">
      <c r="A9740" s="1">
        <f>HYPERLINK("https://lsnyc.legalserver.org/matter/dynamic-profile/view/1888241","19-1888241")</f>
        <v>0</v>
      </c>
      <c r="B9740" t="s">
        <v>107</v>
      </c>
      <c r="C9740" t="s">
        <v>340</v>
      </c>
      <c r="D9740" t="s">
        <v>726</v>
      </c>
      <c r="F9740" t="s">
        <v>1283</v>
      </c>
      <c r="G9740" t="s">
        <v>5147</v>
      </c>
      <c r="H9740" t="s">
        <v>16266</v>
      </c>
      <c r="J9740" t="s">
        <v>18906</v>
      </c>
      <c r="K9740">
        <v>11373</v>
      </c>
      <c r="L9740" t="s">
        <v>18958</v>
      </c>
      <c r="M9740" t="s">
        <v>18958</v>
      </c>
      <c r="N9740" t="s">
        <v>25672</v>
      </c>
      <c r="O9740" t="s">
        <v>26523</v>
      </c>
      <c r="P9740" t="s">
        <v>26563</v>
      </c>
      <c r="R9740" t="s">
        <v>26585</v>
      </c>
      <c r="S9740" t="s">
        <v>18959</v>
      </c>
      <c r="U9740" t="s">
        <v>26604</v>
      </c>
      <c r="V9740" t="s">
        <v>26609</v>
      </c>
      <c r="X9740">
        <v>2100</v>
      </c>
      <c r="Y9740" t="s">
        <v>26653</v>
      </c>
      <c r="Z9740" t="s">
        <v>26668</v>
      </c>
      <c r="AB9740" t="s">
        <v>33593</v>
      </c>
      <c r="AD9740" t="s">
        <v>34738</v>
      </c>
      <c r="AE9740">
        <v>0</v>
      </c>
      <c r="AH9740">
        <v>15</v>
      </c>
      <c r="AI9740">
        <v>4</v>
      </c>
      <c r="AJ9740">
        <v>3</v>
      </c>
      <c r="AK9740">
        <v>191.28</v>
      </c>
      <c r="AN9740" t="s">
        <v>7439</v>
      </c>
      <c r="AO9740">
        <v>72800</v>
      </c>
      <c r="AU9740">
        <v>1</v>
      </c>
      <c r="AV9740" t="s">
        <v>698</v>
      </c>
      <c r="AW9740" t="s">
        <v>85</v>
      </c>
    </row>
    <row r="9741" spans="1:49">
      <c r="A9741" s="1">
        <f>HYPERLINK("https://lsnyc.legalserver.org/matter/dynamic-profile/view/1888168","19-1888168")</f>
        <v>0</v>
      </c>
      <c r="B9741" t="s">
        <v>219</v>
      </c>
      <c r="C9741" t="s">
        <v>340</v>
      </c>
      <c r="D9741" t="s">
        <v>726</v>
      </c>
      <c r="F9741" t="s">
        <v>4640</v>
      </c>
      <c r="G9741" t="s">
        <v>9149</v>
      </c>
      <c r="H9741" t="s">
        <v>16267</v>
      </c>
      <c r="I9741" t="s">
        <v>17330</v>
      </c>
      <c r="J9741" t="s">
        <v>18894</v>
      </c>
      <c r="K9741">
        <v>11211</v>
      </c>
      <c r="L9741" t="s">
        <v>18960</v>
      </c>
      <c r="M9741" t="s">
        <v>18960</v>
      </c>
      <c r="N9741" t="s">
        <v>25673</v>
      </c>
      <c r="R9741" t="s">
        <v>26591</v>
      </c>
      <c r="U9741" t="s">
        <v>26604</v>
      </c>
      <c r="X9741">
        <v>732.78</v>
      </c>
      <c r="Y9741" t="s">
        <v>26652</v>
      </c>
      <c r="Z9741" t="s">
        <v>26667</v>
      </c>
      <c r="AB9741" t="s">
        <v>33594</v>
      </c>
      <c r="AD9741" t="s">
        <v>44373</v>
      </c>
      <c r="AE9741">
        <v>6</v>
      </c>
      <c r="AF9741" t="s">
        <v>45541</v>
      </c>
      <c r="AG9741" t="s">
        <v>19330</v>
      </c>
      <c r="AH9741">
        <v>34</v>
      </c>
      <c r="AI9741">
        <v>1</v>
      </c>
      <c r="AJ9741">
        <v>0</v>
      </c>
      <c r="AK9741">
        <v>149.92</v>
      </c>
      <c r="AN9741" t="s">
        <v>7439</v>
      </c>
      <c r="AO9741">
        <v>18200.04</v>
      </c>
      <c r="AU9741">
        <v>1.6</v>
      </c>
      <c r="AV9741" t="s">
        <v>702</v>
      </c>
      <c r="AW9741" t="s">
        <v>46842</v>
      </c>
    </row>
    <row r="9742" spans="1:49">
      <c r="A9742" s="1">
        <f>HYPERLINK("https://lsnyc.legalserver.org/matter/dynamic-profile/view/1888263","19-1888263")</f>
        <v>0</v>
      </c>
      <c r="B9742" t="s">
        <v>55</v>
      </c>
      <c r="C9742" t="s">
        <v>340</v>
      </c>
      <c r="D9742" t="s">
        <v>726</v>
      </c>
      <c r="F9742" t="s">
        <v>887</v>
      </c>
      <c r="G9742" t="s">
        <v>7236</v>
      </c>
      <c r="H9742" t="s">
        <v>9741</v>
      </c>
      <c r="I9742" t="s">
        <v>17366</v>
      </c>
      <c r="J9742" t="s">
        <v>18892</v>
      </c>
      <c r="K9742">
        <v>10453</v>
      </c>
      <c r="L9742" t="s">
        <v>18958</v>
      </c>
      <c r="M9742" t="s">
        <v>18958</v>
      </c>
      <c r="O9742" t="s">
        <v>18997</v>
      </c>
      <c r="P9742" t="s">
        <v>26563</v>
      </c>
      <c r="R9742" t="s">
        <v>26578</v>
      </c>
      <c r="S9742" t="s">
        <v>18958</v>
      </c>
      <c r="U9742" t="s">
        <v>26604</v>
      </c>
      <c r="X9742">
        <v>800</v>
      </c>
      <c r="Y9742" t="s">
        <v>26650</v>
      </c>
      <c r="Z9742" t="s">
        <v>26663</v>
      </c>
      <c r="AB9742" t="s">
        <v>33595</v>
      </c>
      <c r="AE9742">
        <v>99</v>
      </c>
      <c r="AF9742" t="s">
        <v>45541</v>
      </c>
      <c r="AG9742" t="s">
        <v>45556</v>
      </c>
      <c r="AH9742">
        <v>10</v>
      </c>
      <c r="AI9742">
        <v>2</v>
      </c>
      <c r="AJ9742">
        <v>0</v>
      </c>
      <c r="AK9742">
        <v>47.39</v>
      </c>
      <c r="AN9742" t="s">
        <v>45581</v>
      </c>
      <c r="AO9742">
        <v>7800</v>
      </c>
      <c r="AU9742">
        <v>0</v>
      </c>
      <c r="AW9742" t="s">
        <v>46832</v>
      </c>
    </row>
    <row r="9743" spans="1:49">
      <c r="A9743" s="1">
        <f>HYPERLINK("https://lsnyc.legalserver.org/matter/dynamic-profile/view/1888260","19-1888260")</f>
        <v>0</v>
      </c>
      <c r="B9743" t="s">
        <v>200</v>
      </c>
      <c r="C9743" t="s">
        <v>340</v>
      </c>
      <c r="D9743" t="s">
        <v>726</v>
      </c>
      <c r="F9743" t="s">
        <v>4641</v>
      </c>
      <c r="G9743" t="s">
        <v>9150</v>
      </c>
      <c r="H9743" t="s">
        <v>16268</v>
      </c>
      <c r="I9743" t="s">
        <v>17291</v>
      </c>
      <c r="J9743" t="s">
        <v>18894</v>
      </c>
      <c r="K9743">
        <v>11208</v>
      </c>
      <c r="L9743" t="s">
        <v>18959</v>
      </c>
      <c r="M9743" t="s">
        <v>18959</v>
      </c>
      <c r="N9743" t="s">
        <v>18997</v>
      </c>
      <c r="O9743" t="s">
        <v>26526</v>
      </c>
      <c r="R9743" t="s">
        <v>26578</v>
      </c>
      <c r="S9743" t="s">
        <v>26598</v>
      </c>
      <c r="U9743" t="s">
        <v>26604</v>
      </c>
      <c r="V9743" t="s">
        <v>26610</v>
      </c>
      <c r="X9743">
        <v>1956</v>
      </c>
      <c r="Y9743" t="s">
        <v>26652</v>
      </c>
      <c r="Z9743" t="s">
        <v>26664</v>
      </c>
      <c r="AA9743" t="s">
        <v>26688</v>
      </c>
      <c r="AB9743" t="s">
        <v>33596</v>
      </c>
      <c r="AC9743">
        <v>30970972</v>
      </c>
      <c r="AD9743" t="s">
        <v>44374</v>
      </c>
      <c r="AE9743">
        <v>6</v>
      </c>
      <c r="AF9743" t="s">
        <v>45541</v>
      </c>
      <c r="AG9743" t="s">
        <v>45558</v>
      </c>
      <c r="AH9743">
        <v>1</v>
      </c>
      <c r="AI9743">
        <v>1</v>
      </c>
      <c r="AJ9743">
        <v>4</v>
      </c>
      <c r="AK9743">
        <v>74.04000000000001</v>
      </c>
      <c r="AN9743" t="s">
        <v>7439</v>
      </c>
      <c r="AO9743">
        <v>21782</v>
      </c>
      <c r="AP9743" t="s">
        <v>46197</v>
      </c>
      <c r="AU9743">
        <v>5</v>
      </c>
      <c r="AV9743" t="s">
        <v>768</v>
      </c>
      <c r="AW9743" t="s">
        <v>279</v>
      </c>
    </row>
    <row r="9744" spans="1:49">
      <c r="A9744" s="1">
        <f>HYPERLINK("https://lsnyc.legalserver.org/matter/dynamic-profile/view/1888215","19-1888215")</f>
        <v>0</v>
      </c>
      <c r="B9744" t="s">
        <v>95</v>
      </c>
      <c r="C9744" t="s">
        <v>340</v>
      </c>
      <c r="D9744" t="s">
        <v>726</v>
      </c>
      <c r="F9744" t="s">
        <v>933</v>
      </c>
      <c r="G9744" t="s">
        <v>5515</v>
      </c>
      <c r="H9744" t="s">
        <v>16269</v>
      </c>
      <c r="I9744" t="s">
        <v>17342</v>
      </c>
      <c r="J9744" t="s">
        <v>18894</v>
      </c>
      <c r="K9744">
        <v>11215</v>
      </c>
      <c r="L9744" t="s">
        <v>18959</v>
      </c>
      <c r="M9744" t="s">
        <v>18959</v>
      </c>
      <c r="N9744" t="s">
        <v>25674</v>
      </c>
      <c r="O9744" t="s">
        <v>26526</v>
      </c>
      <c r="P9744" t="s">
        <v>26560</v>
      </c>
      <c r="R9744" t="s">
        <v>26578</v>
      </c>
      <c r="U9744" t="s">
        <v>26604</v>
      </c>
      <c r="V9744" t="s">
        <v>26610</v>
      </c>
      <c r="X9744">
        <v>165</v>
      </c>
      <c r="Y9744" t="s">
        <v>26652</v>
      </c>
      <c r="Z9744" t="s">
        <v>26659</v>
      </c>
      <c r="AB9744" t="s">
        <v>26792</v>
      </c>
      <c r="AD9744" t="s">
        <v>44375</v>
      </c>
      <c r="AE9744">
        <v>7</v>
      </c>
      <c r="AF9744" t="s">
        <v>45548</v>
      </c>
      <c r="AG9744" t="s">
        <v>19330</v>
      </c>
      <c r="AH9744">
        <v>22</v>
      </c>
      <c r="AI9744">
        <v>3</v>
      </c>
      <c r="AJ9744">
        <v>2</v>
      </c>
      <c r="AK9744">
        <v>34.33</v>
      </c>
      <c r="AN9744" t="s">
        <v>7439</v>
      </c>
      <c r="AO9744">
        <v>10100</v>
      </c>
      <c r="AU9744">
        <v>0</v>
      </c>
      <c r="AW9744" t="s">
        <v>279</v>
      </c>
    </row>
    <row r="9745" spans="1:49">
      <c r="A9745" s="1">
        <f>HYPERLINK("https://lsnyc.legalserver.org/matter/dynamic-profile/view/1888217","19-1888217")</f>
        <v>0</v>
      </c>
      <c r="B9745" t="s">
        <v>95</v>
      </c>
      <c r="C9745" t="s">
        <v>340</v>
      </c>
      <c r="D9745" t="s">
        <v>726</v>
      </c>
      <c r="F9745" t="s">
        <v>1401</v>
      </c>
      <c r="G9745" t="s">
        <v>6394</v>
      </c>
      <c r="H9745" t="s">
        <v>16269</v>
      </c>
      <c r="I9745" t="s">
        <v>17333</v>
      </c>
      <c r="J9745" t="s">
        <v>18894</v>
      </c>
      <c r="K9745">
        <v>11215</v>
      </c>
      <c r="L9745" t="s">
        <v>18959</v>
      </c>
      <c r="M9745" t="s">
        <v>18959</v>
      </c>
      <c r="O9745" t="s">
        <v>26526</v>
      </c>
      <c r="P9745" t="s">
        <v>26560</v>
      </c>
      <c r="R9745" t="s">
        <v>26578</v>
      </c>
      <c r="S9745" t="s">
        <v>18958</v>
      </c>
      <c r="U9745" t="s">
        <v>26604</v>
      </c>
      <c r="V9745" t="s">
        <v>26610</v>
      </c>
      <c r="X9745">
        <v>149</v>
      </c>
      <c r="Y9745" t="s">
        <v>26652</v>
      </c>
      <c r="Z9745" t="s">
        <v>26659</v>
      </c>
      <c r="AB9745" t="s">
        <v>33597</v>
      </c>
      <c r="AE9745">
        <v>7</v>
      </c>
      <c r="AF9745" t="s">
        <v>45548</v>
      </c>
      <c r="AG9745" t="s">
        <v>19330</v>
      </c>
      <c r="AH9745">
        <v>42</v>
      </c>
      <c r="AI9745">
        <v>2</v>
      </c>
      <c r="AJ9745">
        <v>0</v>
      </c>
      <c r="AK9745">
        <v>63.06</v>
      </c>
      <c r="AN9745" t="s">
        <v>7439</v>
      </c>
      <c r="AO9745">
        <v>10380</v>
      </c>
      <c r="AU9745">
        <v>0</v>
      </c>
      <c r="AW9745" t="s">
        <v>279</v>
      </c>
    </row>
    <row r="9746" spans="1:49">
      <c r="A9746" s="1">
        <f>HYPERLINK("https://lsnyc.legalserver.org/matter/dynamic-profile/view/1888147","19-1888147")</f>
        <v>0</v>
      </c>
      <c r="B9746" t="s">
        <v>122</v>
      </c>
      <c r="C9746" t="s">
        <v>340</v>
      </c>
      <c r="D9746" t="s">
        <v>726</v>
      </c>
      <c r="F9746" t="s">
        <v>4642</v>
      </c>
      <c r="G9746" t="s">
        <v>5265</v>
      </c>
      <c r="H9746" t="s">
        <v>16270</v>
      </c>
      <c r="I9746" t="s">
        <v>17807</v>
      </c>
      <c r="J9746" t="s">
        <v>18939</v>
      </c>
      <c r="K9746">
        <v>11423</v>
      </c>
      <c r="L9746" t="s">
        <v>18959</v>
      </c>
      <c r="M9746" t="s">
        <v>18958</v>
      </c>
      <c r="N9746" t="s">
        <v>19037</v>
      </c>
      <c r="O9746" t="s">
        <v>26526</v>
      </c>
      <c r="P9746" t="s">
        <v>26564</v>
      </c>
      <c r="R9746" t="s">
        <v>26578</v>
      </c>
      <c r="U9746" t="s">
        <v>26607</v>
      </c>
      <c r="V9746" t="s">
        <v>26610</v>
      </c>
      <c r="X9746">
        <v>1140</v>
      </c>
      <c r="Y9746" t="s">
        <v>26653</v>
      </c>
      <c r="Z9746" t="s">
        <v>26671</v>
      </c>
      <c r="AB9746" t="s">
        <v>30315</v>
      </c>
      <c r="AD9746" t="s">
        <v>44376</v>
      </c>
      <c r="AE9746">
        <v>16</v>
      </c>
      <c r="AF9746" t="s">
        <v>45541</v>
      </c>
      <c r="AG9746" t="s">
        <v>19330</v>
      </c>
      <c r="AH9746">
        <v>3</v>
      </c>
      <c r="AI9746">
        <v>1</v>
      </c>
      <c r="AJ9746">
        <v>0</v>
      </c>
      <c r="AK9746">
        <v>167.05</v>
      </c>
      <c r="AO9746">
        <v>20280</v>
      </c>
      <c r="AU9746">
        <v>0</v>
      </c>
      <c r="AW9746" t="s">
        <v>122</v>
      </c>
    </row>
    <row r="9747" spans="1:49">
      <c r="A9747" s="1">
        <f>HYPERLINK("https://lsnyc.legalserver.org/matter/dynamic-profile/view/1888160","19-1888160")</f>
        <v>0</v>
      </c>
      <c r="B9747" t="s">
        <v>112</v>
      </c>
      <c r="C9747" t="s">
        <v>340</v>
      </c>
      <c r="D9747" t="s">
        <v>726</v>
      </c>
      <c r="F9747" t="s">
        <v>4643</v>
      </c>
      <c r="G9747" t="s">
        <v>9151</v>
      </c>
      <c r="H9747" t="s">
        <v>16271</v>
      </c>
      <c r="I9747" t="s">
        <v>17347</v>
      </c>
      <c r="J9747" t="s">
        <v>18906</v>
      </c>
      <c r="K9747">
        <v>11373</v>
      </c>
      <c r="L9747" t="s">
        <v>18958</v>
      </c>
      <c r="M9747" t="s">
        <v>18958</v>
      </c>
      <c r="N9747" t="s">
        <v>25675</v>
      </c>
      <c r="O9747" t="s">
        <v>26523</v>
      </c>
      <c r="P9747" t="s">
        <v>26560</v>
      </c>
      <c r="R9747" t="s">
        <v>26585</v>
      </c>
      <c r="S9747" t="s">
        <v>18958</v>
      </c>
      <c r="U9747" t="s">
        <v>26604</v>
      </c>
      <c r="V9747" t="s">
        <v>26610</v>
      </c>
      <c r="X9747">
        <v>1275</v>
      </c>
      <c r="Y9747" t="s">
        <v>26653</v>
      </c>
      <c r="Z9747" t="s">
        <v>26668</v>
      </c>
      <c r="AB9747" t="s">
        <v>33598</v>
      </c>
      <c r="AD9747" t="s">
        <v>44377</v>
      </c>
      <c r="AE9747">
        <v>0</v>
      </c>
      <c r="AH9747">
        <v>8</v>
      </c>
      <c r="AI9747">
        <v>1</v>
      </c>
      <c r="AJ9747">
        <v>1</v>
      </c>
      <c r="AK9747">
        <v>97.20999999999999</v>
      </c>
      <c r="AN9747" t="s">
        <v>45581</v>
      </c>
      <c r="AO9747">
        <v>16000</v>
      </c>
      <c r="AU9747">
        <v>12.1</v>
      </c>
      <c r="AV9747" t="s">
        <v>770</v>
      </c>
      <c r="AW9747" t="s">
        <v>85</v>
      </c>
    </row>
    <row r="9748" spans="1:49">
      <c r="A9748" s="1">
        <f>HYPERLINK("https://lsnyc.legalserver.org/matter/dynamic-profile/view/1888186","19-1888186")</f>
        <v>0</v>
      </c>
      <c r="B9748" t="s">
        <v>91</v>
      </c>
      <c r="C9748" t="s">
        <v>340</v>
      </c>
      <c r="D9748" t="s">
        <v>726</v>
      </c>
      <c r="F9748" t="s">
        <v>1637</v>
      </c>
      <c r="G9748" t="s">
        <v>9152</v>
      </c>
      <c r="H9748" t="s">
        <v>16272</v>
      </c>
      <c r="I9748" t="s">
        <v>17325</v>
      </c>
      <c r="J9748" t="s">
        <v>18906</v>
      </c>
      <c r="K9748">
        <v>11373</v>
      </c>
      <c r="L9748" t="s">
        <v>18958</v>
      </c>
      <c r="M9748" t="s">
        <v>18958</v>
      </c>
      <c r="N9748" t="s">
        <v>25676</v>
      </c>
      <c r="O9748" t="s">
        <v>26523</v>
      </c>
      <c r="P9748" t="s">
        <v>26560</v>
      </c>
      <c r="R9748" t="s">
        <v>26585</v>
      </c>
      <c r="S9748" t="s">
        <v>18958</v>
      </c>
      <c r="U9748" t="s">
        <v>26604</v>
      </c>
      <c r="V9748" t="s">
        <v>26610</v>
      </c>
      <c r="X9748">
        <v>1523</v>
      </c>
      <c r="Y9748" t="s">
        <v>26653</v>
      </c>
      <c r="Z9748" t="s">
        <v>26668</v>
      </c>
      <c r="AB9748" t="s">
        <v>33599</v>
      </c>
      <c r="AD9748" t="s">
        <v>44378</v>
      </c>
      <c r="AE9748">
        <v>30</v>
      </c>
      <c r="AF9748" t="s">
        <v>45541</v>
      </c>
      <c r="AG9748" t="s">
        <v>19330</v>
      </c>
      <c r="AH9748">
        <v>17</v>
      </c>
      <c r="AI9748">
        <v>2</v>
      </c>
      <c r="AJ9748">
        <v>0</v>
      </c>
      <c r="AK9748">
        <v>1822.6</v>
      </c>
      <c r="AN9748" t="s">
        <v>7439</v>
      </c>
      <c r="AO9748">
        <v>300000</v>
      </c>
      <c r="AU9748">
        <v>4.7</v>
      </c>
      <c r="AV9748" t="s">
        <v>814</v>
      </c>
      <c r="AW9748" t="s">
        <v>85</v>
      </c>
    </row>
    <row r="9749" spans="1:49">
      <c r="A9749" s="1">
        <f>HYPERLINK("https://lsnyc.legalserver.org/matter/dynamic-profile/view/1888310","19-1888310")</f>
        <v>0</v>
      </c>
      <c r="B9749" t="s">
        <v>130</v>
      </c>
      <c r="C9749" t="s">
        <v>341</v>
      </c>
      <c r="D9749" t="s">
        <v>727</v>
      </c>
      <c r="E9749" t="s">
        <v>728</v>
      </c>
      <c r="F9749" t="s">
        <v>1467</v>
      </c>
      <c r="G9749" t="s">
        <v>9153</v>
      </c>
      <c r="H9749" t="s">
        <v>16273</v>
      </c>
      <c r="I9749" t="s">
        <v>18709</v>
      </c>
      <c r="J9749" t="s">
        <v>18910</v>
      </c>
      <c r="K9749">
        <v>11420</v>
      </c>
      <c r="L9749" t="s">
        <v>18958</v>
      </c>
      <c r="M9749" t="s">
        <v>18958</v>
      </c>
      <c r="N9749" t="s">
        <v>25677</v>
      </c>
      <c r="O9749" t="s">
        <v>26524</v>
      </c>
      <c r="P9749" t="s">
        <v>26564</v>
      </c>
      <c r="Q9749" t="s">
        <v>26570</v>
      </c>
      <c r="R9749" t="s">
        <v>26584</v>
      </c>
      <c r="S9749" t="s">
        <v>18959</v>
      </c>
      <c r="U9749" t="s">
        <v>26604</v>
      </c>
      <c r="V9749" t="s">
        <v>26610</v>
      </c>
      <c r="X9749">
        <v>2700</v>
      </c>
      <c r="Y9749" t="s">
        <v>26653</v>
      </c>
      <c r="Z9749" t="s">
        <v>26664</v>
      </c>
      <c r="AA9749" t="s">
        <v>26683</v>
      </c>
      <c r="AB9749" t="s">
        <v>30482</v>
      </c>
      <c r="AC9749" t="s">
        <v>36663</v>
      </c>
      <c r="AD9749" t="s">
        <v>44379</v>
      </c>
      <c r="AE9749">
        <v>1</v>
      </c>
      <c r="AF9749" t="s">
        <v>45547</v>
      </c>
      <c r="AG9749" t="s">
        <v>19330</v>
      </c>
      <c r="AH9749">
        <v>1</v>
      </c>
      <c r="AI9749">
        <v>3</v>
      </c>
      <c r="AJ9749">
        <v>2</v>
      </c>
      <c r="AK9749">
        <v>284.08</v>
      </c>
      <c r="AN9749" t="s">
        <v>7439</v>
      </c>
      <c r="AO9749">
        <v>83576</v>
      </c>
      <c r="AU9749">
        <v>1.25</v>
      </c>
      <c r="AV9749" t="s">
        <v>745</v>
      </c>
      <c r="AW9749" t="s">
        <v>122</v>
      </c>
    </row>
    <row r="9750" spans="1:49">
      <c r="A9750" s="1">
        <f>HYPERLINK("https://lsnyc.legalserver.org/matter/dynamic-profile/view/1888402","19-1888402")</f>
        <v>0</v>
      </c>
      <c r="B9750" t="s">
        <v>55</v>
      </c>
      <c r="C9750" t="s">
        <v>340</v>
      </c>
      <c r="D9750" t="s">
        <v>727</v>
      </c>
      <c r="F9750" t="s">
        <v>4644</v>
      </c>
      <c r="G9750" t="s">
        <v>5478</v>
      </c>
      <c r="H9750" t="s">
        <v>9741</v>
      </c>
      <c r="I9750" t="s">
        <v>17390</v>
      </c>
      <c r="J9750" t="s">
        <v>18892</v>
      </c>
      <c r="K9750">
        <v>10453</v>
      </c>
      <c r="L9750" t="s">
        <v>18958</v>
      </c>
      <c r="M9750" t="s">
        <v>18958</v>
      </c>
      <c r="O9750" t="s">
        <v>18997</v>
      </c>
      <c r="P9750" t="s">
        <v>26563</v>
      </c>
      <c r="R9750" t="s">
        <v>26578</v>
      </c>
      <c r="S9750" t="s">
        <v>18958</v>
      </c>
      <c r="U9750" t="s">
        <v>26604</v>
      </c>
      <c r="X9750">
        <v>1507.78</v>
      </c>
      <c r="Y9750" t="s">
        <v>26650</v>
      </c>
      <c r="Z9750" t="s">
        <v>26663</v>
      </c>
      <c r="AB9750" t="s">
        <v>33600</v>
      </c>
      <c r="AC9750" t="s">
        <v>36664</v>
      </c>
      <c r="AD9750" t="s">
        <v>44380</v>
      </c>
      <c r="AE9750">
        <v>99</v>
      </c>
      <c r="AG9750" t="s">
        <v>45556</v>
      </c>
      <c r="AH9750">
        <v>10</v>
      </c>
      <c r="AI9750">
        <v>2</v>
      </c>
      <c r="AJ9750">
        <v>0</v>
      </c>
      <c r="AK9750">
        <v>109.36</v>
      </c>
      <c r="AN9750" t="s">
        <v>7439</v>
      </c>
      <c r="AO9750">
        <v>18000</v>
      </c>
      <c r="AU9750">
        <v>0</v>
      </c>
      <c r="AW9750" t="s">
        <v>46832</v>
      </c>
    </row>
    <row r="9751" spans="1:49">
      <c r="A9751" s="1">
        <f>HYPERLINK("https://lsnyc.legalserver.org/matter/dynamic-profile/view/1888396","19-1888396")</f>
        <v>0</v>
      </c>
      <c r="B9751" t="s">
        <v>158</v>
      </c>
      <c r="C9751" t="s">
        <v>340</v>
      </c>
      <c r="D9751" t="s">
        <v>727</v>
      </c>
      <c r="F9751" t="s">
        <v>899</v>
      </c>
      <c r="G9751" t="s">
        <v>7627</v>
      </c>
      <c r="H9751" t="s">
        <v>16274</v>
      </c>
      <c r="I9751">
        <v>1</v>
      </c>
      <c r="J9751" t="s">
        <v>18894</v>
      </c>
      <c r="K9751">
        <v>11234</v>
      </c>
      <c r="L9751" t="s">
        <v>18959</v>
      </c>
      <c r="M9751" t="s">
        <v>18959</v>
      </c>
      <c r="N9751" t="s">
        <v>25678</v>
      </c>
      <c r="O9751" t="s">
        <v>26533</v>
      </c>
      <c r="P9751" t="s">
        <v>26564</v>
      </c>
      <c r="R9751" t="s">
        <v>26586</v>
      </c>
      <c r="U9751" t="s">
        <v>26604</v>
      </c>
      <c r="X9751">
        <v>1200</v>
      </c>
      <c r="Y9751" t="s">
        <v>26652</v>
      </c>
      <c r="Z9751" t="s">
        <v>26668</v>
      </c>
      <c r="AB9751" t="s">
        <v>29104</v>
      </c>
      <c r="AD9751" t="s">
        <v>44381</v>
      </c>
      <c r="AE9751">
        <v>3</v>
      </c>
      <c r="AH9751">
        <v>6</v>
      </c>
      <c r="AI9751">
        <v>1</v>
      </c>
      <c r="AJ9751">
        <v>3</v>
      </c>
      <c r="AK9751">
        <v>0</v>
      </c>
      <c r="AN9751" t="s">
        <v>7439</v>
      </c>
      <c r="AO9751">
        <v>0</v>
      </c>
      <c r="AU9751">
        <v>2.6</v>
      </c>
      <c r="AV9751" t="s">
        <v>759</v>
      </c>
      <c r="AW9751" t="s">
        <v>323</v>
      </c>
    </row>
    <row r="9752" spans="1:49">
      <c r="A9752" s="1">
        <f>HYPERLINK("https://lsnyc.legalserver.org/matter/dynamic-profile/view/1888355","19-1888355")</f>
        <v>0</v>
      </c>
      <c r="B9752" t="s">
        <v>158</v>
      </c>
      <c r="C9752" t="s">
        <v>340</v>
      </c>
      <c r="D9752" t="s">
        <v>727</v>
      </c>
      <c r="F9752" t="s">
        <v>1594</v>
      </c>
      <c r="G9752" t="s">
        <v>9154</v>
      </c>
      <c r="H9752" t="s">
        <v>16275</v>
      </c>
      <c r="I9752" t="s">
        <v>17325</v>
      </c>
      <c r="J9752" t="s">
        <v>18894</v>
      </c>
      <c r="K9752">
        <v>11230</v>
      </c>
      <c r="L9752" t="s">
        <v>18960</v>
      </c>
      <c r="M9752" t="s">
        <v>18958</v>
      </c>
      <c r="N9752" t="s">
        <v>25679</v>
      </c>
      <c r="O9752" t="s">
        <v>26523</v>
      </c>
      <c r="P9752" t="s">
        <v>26564</v>
      </c>
      <c r="R9752" t="s">
        <v>26586</v>
      </c>
      <c r="S9752" t="s">
        <v>18958</v>
      </c>
      <c r="U9752" t="s">
        <v>26604</v>
      </c>
      <c r="X9752">
        <v>1650</v>
      </c>
      <c r="Y9752" t="s">
        <v>26652</v>
      </c>
      <c r="Z9752" t="s">
        <v>26530</v>
      </c>
      <c r="AB9752" t="s">
        <v>33601</v>
      </c>
      <c r="AC9752" t="s">
        <v>19045</v>
      </c>
      <c r="AE9752">
        <v>65</v>
      </c>
      <c r="AF9752" t="s">
        <v>20460</v>
      </c>
      <c r="AG9752" t="s">
        <v>19330</v>
      </c>
      <c r="AH9752">
        <v>2</v>
      </c>
      <c r="AI9752">
        <v>1</v>
      </c>
      <c r="AJ9752">
        <v>0</v>
      </c>
      <c r="AK9752">
        <v>98.84999999999999</v>
      </c>
      <c r="AM9752" t="s">
        <v>45575</v>
      </c>
      <c r="AN9752" t="s">
        <v>7439</v>
      </c>
      <c r="AO9752">
        <v>12000</v>
      </c>
      <c r="AU9752">
        <v>2.7</v>
      </c>
      <c r="AV9752" t="s">
        <v>719</v>
      </c>
      <c r="AW9752" t="s">
        <v>323</v>
      </c>
    </row>
    <row r="9753" spans="1:49">
      <c r="A9753" s="1">
        <f>HYPERLINK("https://lsnyc.legalserver.org/matter/dynamic-profile/view/1888329","19-1888329")</f>
        <v>0</v>
      </c>
      <c r="B9753" t="s">
        <v>135</v>
      </c>
      <c r="C9753" t="s">
        <v>340</v>
      </c>
      <c r="D9753" t="s">
        <v>727</v>
      </c>
      <c r="F9753" t="s">
        <v>2470</v>
      </c>
      <c r="G9753" t="s">
        <v>6538</v>
      </c>
      <c r="H9753" t="s">
        <v>10815</v>
      </c>
      <c r="I9753" t="s">
        <v>17907</v>
      </c>
      <c r="J9753" t="s">
        <v>18892</v>
      </c>
      <c r="K9753">
        <v>10453</v>
      </c>
      <c r="L9753" t="s">
        <v>18958</v>
      </c>
      <c r="M9753" t="s">
        <v>18958</v>
      </c>
      <c r="N9753" t="s">
        <v>25680</v>
      </c>
      <c r="O9753" t="s">
        <v>26523</v>
      </c>
      <c r="P9753" t="s">
        <v>26563</v>
      </c>
      <c r="R9753" t="s">
        <v>26578</v>
      </c>
      <c r="S9753" t="s">
        <v>18959</v>
      </c>
      <c r="U9753" t="s">
        <v>26604</v>
      </c>
      <c r="X9753">
        <v>1931</v>
      </c>
      <c r="Y9753" t="s">
        <v>26650</v>
      </c>
      <c r="Z9753" t="s">
        <v>26659</v>
      </c>
      <c r="AB9753" t="s">
        <v>29265</v>
      </c>
      <c r="AC9753">
        <v>32013902</v>
      </c>
      <c r="AD9753" t="s">
        <v>39317</v>
      </c>
      <c r="AE9753">
        <v>1654</v>
      </c>
      <c r="AG9753" t="s">
        <v>45556</v>
      </c>
      <c r="AH9753">
        <v>9</v>
      </c>
      <c r="AI9753">
        <v>2</v>
      </c>
      <c r="AJ9753">
        <v>4</v>
      </c>
      <c r="AK9753">
        <v>40.9</v>
      </c>
      <c r="AN9753" t="s">
        <v>7439</v>
      </c>
      <c r="AO9753">
        <v>13800</v>
      </c>
      <c r="AP9753" t="s">
        <v>46187</v>
      </c>
      <c r="AU9753">
        <v>2.3</v>
      </c>
      <c r="AV9753" t="s">
        <v>694</v>
      </c>
      <c r="AW9753" t="s">
        <v>336</v>
      </c>
    </row>
    <row r="9754" spans="1:49">
      <c r="A9754" s="1">
        <f>HYPERLINK("https://lsnyc.legalserver.org/matter/dynamic-profile/view/1889878","19-1889878")</f>
        <v>0</v>
      </c>
      <c r="B9754" t="s">
        <v>124</v>
      </c>
      <c r="C9754" t="s">
        <v>340</v>
      </c>
      <c r="D9754" t="s">
        <v>727</v>
      </c>
      <c r="F9754" t="s">
        <v>893</v>
      </c>
      <c r="G9754" t="s">
        <v>6311</v>
      </c>
      <c r="H9754" t="s">
        <v>16276</v>
      </c>
      <c r="I9754" t="s">
        <v>17610</v>
      </c>
      <c r="J9754" t="s">
        <v>18894</v>
      </c>
      <c r="K9754">
        <v>11226</v>
      </c>
      <c r="L9754" t="s">
        <v>18960</v>
      </c>
      <c r="M9754" t="s">
        <v>18960</v>
      </c>
      <c r="O9754" t="s">
        <v>26523</v>
      </c>
      <c r="P9754" t="s">
        <v>26563</v>
      </c>
      <c r="R9754" t="s">
        <v>26583</v>
      </c>
      <c r="S9754" t="s">
        <v>18959</v>
      </c>
      <c r="U9754" t="s">
        <v>26606</v>
      </c>
      <c r="X9754">
        <v>1331.12</v>
      </c>
      <c r="Y9754" t="s">
        <v>26652</v>
      </c>
      <c r="Z9754" t="s">
        <v>26659</v>
      </c>
      <c r="AB9754" t="s">
        <v>33602</v>
      </c>
      <c r="AD9754" t="s">
        <v>44382</v>
      </c>
      <c r="AE9754">
        <v>800</v>
      </c>
      <c r="AF9754" t="s">
        <v>45541</v>
      </c>
      <c r="AH9754">
        <v>20</v>
      </c>
      <c r="AI9754">
        <v>1</v>
      </c>
      <c r="AJ9754">
        <v>0</v>
      </c>
      <c r="AK9754">
        <v>520.42</v>
      </c>
      <c r="AN9754" t="s">
        <v>7439</v>
      </c>
      <c r="AO9754">
        <v>65000</v>
      </c>
      <c r="AU9754">
        <v>9.949999999999999</v>
      </c>
      <c r="AV9754" t="s">
        <v>797</v>
      </c>
      <c r="AW9754" t="s">
        <v>46882</v>
      </c>
    </row>
    <row r="9755" spans="1:49">
      <c r="A9755" s="1">
        <f>HYPERLINK("https://lsnyc.legalserver.org/matter/dynamic-profile/view/1888365","19-1888365")</f>
        <v>0</v>
      </c>
      <c r="B9755" t="s">
        <v>323</v>
      </c>
      <c r="C9755" t="s">
        <v>340</v>
      </c>
      <c r="D9755" t="s">
        <v>727</v>
      </c>
      <c r="F9755" t="s">
        <v>4645</v>
      </c>
      <c r="G9755" t="s">
        <v>1656</v>
      </c>
      <c r="H9755" t="s">
        <v>16277</v>
      </c>
      <c r="I9755" t="s">
        <v>17415</v>
      </c>
      <c r="J9755" t="s">
        <v>18894</v>
      </c>
      <c r="K9755">
        <v>11214</v>
      </c>
      <c r="L9755" t="s">
        <v>18958</v>
      </c>
      <c r="M9755" t="s">
        <v>18958</v>
      </c>
      <c r="N9755" t="s">
        <v>25681</v>
      </c>
      <c r="O9755" t="s">
        <v>26524</v>
      </c>
      <c r="R9755" t="s">
        <v>26586</v>
      </c>
      <c r="S9755" t="s">
        <v>18959</v>
      </c>
      <c r="U9755" t="s">
        <v>26604</v>
      </c>
      <c r="X9755">
        <v>1550</v>
      </c>
      <c r="Y9755" t="s">
        <v>26652</v>
      </c>
      <c r="Z9755" t="s">
        <v>26668</v>
      </c>
      <c r="AB9755" t="s">
        <v>33603</v>
      </c>
      <c r="AD9755" t="s">
        <v>44383</v>
      </c>
      <c r="AE9755">
        <v>3</v>
      </c>
      <c r="AH9755">
        <v>9</v>
      </c>
      <c r="AI9755">
        <v>1</v>
      </c>
      <c r="AJ9755">
        <v>4</v>
      </c>
      <c r="AK9755">
        <v>50.65</v>
      </c>
      <c r="AN9755" t="s">
        <v>45582</v>
      </c>
      <c r="AO9755">
        <v>14900</v>
      </c>
      <c r="AU9755">
        <v>1.7</v>
      </c>
      <c r="AV9755" t="s">
        <v>727</v>
      </c>
      <c r="AW9755" t="s">
        <v>323</v>
      </c>
    </row>
    <row r="9756" spans="1:49">
      <c r="A9756" s="1">
        <f>HYPERLINK("https://lsnyc.legalserver.org/matter/dynamic-profile/view/1888298","19-1888298")</f>
        <v>0</v>
      </c>
      <c r="B9756" t="s">
        <v>235</v>
      </c>
      <c r="C9756" t="s">
        <v>340</v>
      </c>
      <c r="D9756" t="s">
        <v>727</v>
      </c>
      <c r="F9756" t="s">
        <v>2854</v>
      </c>
      <c r="G9756" t="s">
        <v>9155</v>
      </c>
      <c r="H9756" t="s">
        <v>16278</v>
      </c>
      <c r="J9756" t="s">
        <v>18928</v>
      </c>
      <c r="K9756">
        <v>11365</v>
      </c>
      <c r="L9756" t="s">
        <v>18960</v>
      </c>
      <c r="M9756" t="s">
        <v>18960</v>
      </c>
      <c r="N9756" t="s">
        <v>25682</v>
      </c>
      <c r="O9756" t="s">
        <v>26523</v>
      </c>
      <c r="R9756" t="s">
        <v>26584</v>
      </c>
      <c r="U9756" t="s">
        <v>26604</v>
      </c>
      <c r="X9756">
        <v>101</v>
      </c>
      <c r="Y9756" t="s">
        <v>26653</v>
      </c>
      <c r="Z9756" t="s">
        <v>26664</v>
      </c>
      <c r="AB9756" t="s">
        <v>33604</v>
      </c>
      <c r="AC9756" t="s">
        <v>36665</v>
      </c>
      <c r="AD9756" t="s">
        <v>44384</v>
      </c>
      <c r="AE9756">
        <v>28</v>
      </c>
      <c r="AF9756" t="s">
        <v>45549</v>
      </c>
      <c r="AG9756" t="s">
        <v>19330</v>
      </c>
      <c r="AH9756">
        <v>5</v>
      </c>
      <c r="AI9756">
        <v>1</v>
      </c>
      <c r="AJ9756">
        <v>1</v>
      </c>
      <c r="AK9756">
        <v>25.52</v>
      </c>
      <c r="AN9756" t="s">
        <v>7439</v>
      </c>
      <c r="AO9756">
        <v>4200</v>
      </c>
      <c r="AU9756">
        <v>2.75</v>
      </c>
      <c r="AV9756" t="s">
        <v>719</v>
      </c>
      <c r="AW9756" t="s">
        <v>122</v>
      </c>
    </row>
    <row r="9757" spans="1:49">
      <c r="A9757" s="1">
        <f>HYPERLINK("https://lsnyc.legalserver.org/matter/dynamic-profile/view/1888330","19-1888330")</f>
        <v>0</v>
      </c>
      <c r="B9757" t="s">
        <v>235</v>
      </c>
      <c r="C9757" t="s">
        <v>340</v>
      </c>
      <c r="D9757" t="s">
        <v>727</v>
      </c>
      <c r="F9757" t="s">
        <v>4646</v>
      </c>
      <c r="G9757" t="s">
        <v>1685</v>
      </c>
      <c r="H9757" t="s">
        <v>16279</v>
      </c>
      <c r="I9757" t="s">
        <v>17796</v>
      </c>
      <c r="J9757" t="s">
        <v>18900</v>
      </c>
      <c r="K9757">
        <v>11367</v>
      </c>
      <c r="L9757" t="s">
        <v>18958</v>
      </c>
      <c r="M9757" t="s">
        <v>18958</v>
      </c>
      <c r="N9757" t="s">
        <v>25683</v>
      </c>
      <c r="O9757" t="s">
        <v>26523</v>
      </c>
      <c r="P9757" t="s">
        <v>26563</v>
      </c>
      <c r="R9757" t="s">
        <v>26584</v>
      </c>
      <c r="S9757" t="s">
        <v>18959</v>
      </c>
      <c r="U9757" t="s">
        <v>26605</v>
      </c>
      <c r="X9757">
        <v>487</v>
      </c>
      <c r="Y9757" t="s">
        <v>26653</v>
      </c>
      <c r="Z9757" t="s">
        <v>26664</v>
      </c>
      <c r="AB9757" t="s">
        <v>33605</v>
      </c>
      <c r="AC9757" t="s">
        <v>36666</v>
      </c>
      <c r="AD9757" t="s">
        <v>44385</v>
      </c>
      <c r="AE9757">
        <v>9</v>
      </c>
      <c r="AF9757" t="s">
        <v>45549</v>
      </c>
      <c r="AG9757" t="s">
        <v>19330</v>
      </c>
      <c r="AH9757">
        <v>20</v>
      </c>
      <c r="AI9757">
        <v>1</v>
      </c>
      <c r="AJ9757">
        <v>4</v>
      </c>
      <c r="AK9757">
        <v>101.97</v>
      </c>
      <c r="AN9757" t="s">
        <v>7439</v>
      </c>
      <c r="AO9757">
        <v>30000</v>
      </c>
      <c r="AU9757">
        <v>1.5</v>
      </c>
      <c r="AV9757" t="s">
        <v>707</v>
      </c>
      <c r="AW9757" t="s">
        <v>208</v>
      </c>
    </row>
    <row r="9758" spans="1:49">
      <c r="A9758" s="1">
        <f>HYPERLINK("https://lsnyc.legalserver.org/matter/dynamic-profile/view/1888429","19-1888429")</f>
        <v>0</v>
      </c>
      <c r="B9758" t="s">
        <v>165</v>
      </c>
      <c r="C9758" t="s">
        <v>341</v>
      </c>
      <c r="D9758" t="s">
        <v>719</v>
      </c>
      <c r="E9758" t="s">
        <v>832</v>
      </c>
      <c r="F9758" t="s">
        <v>948</v>
      </c>
      <c r="G9758" t="s">
        <v>5258</v>
      </c>
      <c r="H9758" t="s">
        <v>16280</v>
      </c>
      <c r="I9758" t="s">
        <v>17274</v>
      </c>
      <c r="J9758" t="s">
        <v>18893</v>
      </c>
      <c r="K9758">
        <v>10128</v>
      </c>
      <c r="L9758" t="s">
        <v>18960</v>
      </c>
      <c r="M9758" t="s">
        <v>18960</v>
      </c>
      <c r="N9758" t="s">
        <v>25684</v>
      </c>
      <c r="O9758" t="s">
        <v>26523</v>
      </c>
      <c r="P9758" t="s">
        <v>26564</v>
      </c>
      <c r="Q9758" t="s">
        <v>26570</v>
      </c>
      <c r="R9758" t="s">
        <v>26582</v>
      </c>
      <c r="U9758" t="s">
        <v>26604</v>
      </c>
      <c r="X9758">
        <v>2295</v>
      </c>
      <c r="Y9758" t="s">
        <v>26651</v>
      </c>
      <c r="Z9758" t="s">
        <v>26664</v>
      </c>
      <c r="AA9758" t="s">
        <v>26683</v>
      </c>
      <c r="AB9758" t="s">
        <v>33606</v>
      </c>
      <c r="AD9758" t="s">
        <v>44386</v>
      </c>
      <c r="AE9758">
        <v>26</v>
      </c>
      <c r="AH9758">
        <v>2</v>
      </c>
      <c r="AI9758">
        <v>1</v>
      </c>
      <c r="AJ9758">
        <v>0</v>
      </c>
      <c r="AK9758">
        <v>0</v>
      </c>
      <c r="AN9758" t="s">
        <v>7439</v>
      </c>
      <c r="AO9758">
        <v>0</v>
      </c>
      <c r="AU9758">
        <v>0.1</v>
      </c>
      <c r="AV9758" t="s">
        <v>659</v>
      </c>
      <c r="AW9758" t="s">
        <v>46838</v>
      </c>
    </row>
    <row r="9759" spans="1:49">
      <c r="A9759" s="1">
        <f>HYPERLINK("https://lsnyc.legalserver.org/matter/dynamic-profile/view/1887241","19-1887241")</f>
        <v>0</v>
      </c>
      <c r="B9759" t="s">
        <v>102</v>
      </c>
      <c r="C9759" t="s">
        <v>341</v>
      </c>
      <c r="D9759" t="s">
        <v>719</v>
      </c>
      <c r="E9759" t="s">
        <v>690</v>
      </c>
      <c r="F9759" t="s">
        <v>1002</v>
      </c>
      <c r="G9759" t="s">
        <v>3790</v>
      </c>
      <c r="H9759" t="s">
        <v>14631</v>
      </c>
      <c r="I9759" t="s">
        <v>17401</v>
      </c>
      <c r="J9759" t="s">
        <v>18902</v>
      </c>
      <c r="K9759">
        <v>10301</v>
      </c>
      <c r="L9759" t="s">
        <v>18960</v>
      </c>
      <c r="M9759" t="s">
        <v>18960</v>
      </c>
      <c r="P9759" t="s">
        <v>26560</v>
      </c>
      <c r="Q9759" t="s">
        <v>26569</v>
      </c>
      <c r="R9759" t="s">
        <v>26578</v>
      </c>
      <c r="U9759" t="s">
        <v>26604</v>
      </c>
      <c r="X9759">
        <v>0</v>
      </c>
      <c r="Y9759" t="s">
        <v>26654</v>
      </c>
      <c r="AA9759" t="s">
        <v>26678</v>
      </c>
      <c r="AB9759" t="s">
        <v>32125</v>
      </c>
      <c r="AD9759" t="s">
        <v>44387</v>
      </c>
      <c r="AE9759">
        <v>0</v>
      </c>
      <c r="AH9759">
        <v>0</v>
      </c>
      <c r="AI9759">
        <v>2</v>
      </c>
      <c r="AJ9759">
        <v>2</v>
      </c>
      <c r="AK9759">
        <v>48.82</v>
      </c>
      <c r="AN9759" t="s">
        <v>7439</v>
      </c>
      <c r="AO9759">
        <v>12254</v>
      </c>
      <c r="AU9759">
        <v>2.5</v>
      </c>
      <c r="AV9759" t="s">
        <v>573</v>
      </c>
      <c r="AW9759" t="s">
        <v>46852</v>
      </c>
    </row>
    <row r="9760" spans="1:49">
      <c r="A9760" s="1">
        <f>HYPERLINK("https://lsnyc.legalserver.org/matter/dynamic-profile/view/1888512","19-1888512")</f>
        <v>0</v>
      </c>
      <c r="B9760" t="s">
        <v>100</v>
      </c>
      <c r="C9760" t="s">
        <v>340</v>
      </c>
      <c r="D9760" t="s">
        <v>719</v>
      </c>
      <c r="F9760" t="s">
        <v>1435</v>
      </c>
      <c r="G9760" t="s">
        <v>8129</v>
      </c>
      <c r="H9760" t="s">
        <v>9740</v>
      </c>
      <c r="I9760" t="s">
        <v>17360</v>
      </c>
      <c r="J9760" t="s">
        <v>18892</v>
      </c>
      <c r="K9760">
        <v>10468</v>
      </c>
      <c r="L9760" t="s">
        <v>18958</v>
      </c>
      <c r="M9760" t="s">
        <v>18958</v>
      </c>
      <c r="O9760" t="s">
        <v>26526</v>
      </c>
      <c r="P9760" t="s">
        <v>26560</v>
      </c>
      <c r="R9760" t="s">
        <v>26578</v>
      </c>
      <c r="S9760" t="s">
        <v>18958</v>
      </c>
      <c r="U9760" t="s">
        <v>26604</v>
      </c>
      <c r="X9760">
        <v>782.76</v>
      </c>
      <c r="Y9760" t="s">
        <v>26650</v>
      </c>
      <c r="Z9760" t="s">
        <v>26663</v>
      </c>
      <c r="AB9760" t="s">
        <v>31090</v>
      </c>
      <c r="AD9760" t="s">
        <v>44388</v>
      </c>
      <c r="AE9760">
        <v>20</v>
      </c>
      <c r="AF9760" t="s">
        <v>45541</v>
      </c>
      <c r="AG9760" t="s">
        <v>19330</v>
      </c>
      <c r="AH9760">
        <v>30</v>
      </c>
      <c r="AI9760">
        <v>2</v>
      </c>
      <c r="AJ9760">
        <v>0</v>
      </c>
      <c r="AK9760">
        <v>226</v>
      </c>
      <c r="AN9760" t="s">
        <v>7439</v>
      </c>
      <c r="AO9760">
        <v>37200</v>
      </c>
      <c r="AU9760">
        <v>0</v>
      </c>
      <c r="AW9760" t="s">
        <v>46832</v>
      </c>
    </row>
    <row r="9761" spans="1:49">
      <c r="A9761" s="1">
        <f>HYPERLINK("https://lsnyc.legalserver.org/matter/dynamic-profile/view/1888495","19-1888495")</f>
        <v>0</v>
      </c>
      <c r="B9761" t="s">
        <v>212</v>
      </c>
      <c r="C9761" t="s">
        <v>340</v>
      </c>
      <c r="D9761" t="s">
        <v>719</v>
      </c>
      <c r="F9761" t="s">
        <v>918</v>
      </c>
      <c r="G9761" t="s">
        <v>6182</v>
      </c>
      <c r="H9761" t="s">
        <v>16281</v>
      </c>
      <c r="I9761" t="s">
        <v>18604</v>
      </c>
      <c r="J9761" t="s">
        <v>18898</v>
      </c>
      <c r="K9761">
        <v>11691</v>
      </c>
      <c r="L9761" t="s">
        <v>18960</v>
      </c>
      <c r="M9761" t="s">
        <v>18960</v>
      </c>
      <c r="O9761" t="s">
        <v>18997</v>
      </c>
      <c r="P9761" t="s">
        <v>26563</v>
      </c>
      <c r="R9761" t="s">
        <v>26591</v>
      </c>
      <c r="S9761" t="s">
        <v>18959</v>
      </c>
      <c r="U9761" t="s">
        <v>26604</v>
      </c>
      <c r="V9761" t="s">
        <v>26610</v>
      </c>
      <c r="X9761">
        <v>871.87</v>
      </c>
      <c r="Y9761" t="s">
        <v>26653</v>
      </c>
      <c r="Z9761" t="s">
        <v>26530</v>
      </c>
      <c r="AB9761" t="s">
        <v>33607</v>
      </c>
      <c r="AD9761" t="s">
        <v>44389</v>
      </c>
      <c r="AE9761">
        <v>55</v>
      </c>
      <c r="AG9761" t="s">
        <v>45559</v>
      </c>
      <c r="AH9761">
        <v>39</v>
      </c>
      <c r="AI9761">
        <v>1</v>
      </c>
      <c r="AJ9761">
        <v>0</v>
      </c>
      <c r="AK9761">
        <v>132.95</v>
      </c>
      <c r="AN9761" t="s">
        <v>7439</v>
      </c>
      <c r="AO9761">
        <v>16140</v>
      </c>
      <c r="AU9761">
        <v>2.4</v>
      </c>
      <c r="AV9761" t="s">
        <v>747</v>
      </c>
      <c r="AW9761" t="s">
        <v>46850</v>
      </c>
    </row>
    <row r="9762" spans="1:49">
      <c r="A9762" s="1">
        <f>HYPERLINK("https://lsnyc.legalserver.org/matter/dynamic-profile/view/1886930","19-1886930")</f>
        <v>0</v>
      </c>
      <c r="B9762" t="s">
        <v>102</v>
      </c>
      <c r="C9762" t="s">
        <v>340</v>
      </c>
      <c r="D9762" t="s">
        <v>719</v>
      </c>
      <c r="F9762" t="s">
        <v>1244</v>
      </c>
      <c r="G9762" t="s">
        <v>4309</v>
      </c>
      <c r="H9762" t="s">
        <v>16282</v>
      </c>
      <c r="I9762">
        <v>141</v>
      </c>
      <c r="J9762" t="s">
        <v>18902</v>
      </c>
      <c r="K9762">
        <v>10305</v>
      </c>
      <c r="L9762" t="s">
        <v>18960</v>
      </c>
      <c r="M9762" t="s">
        <v>18960</v>
      </c>
      <c r="N9762" t="s">
        <v>25685</v>
      </c>
      <c r="O9762" t="s">
        <v>26523</v>
      </c>
      <c r="P9762" t="s">
        <v>26560</v>
      </c>
      <c r="R9762" t="s">
        <v>26590</v>
      </c>
      <c r="S9762" t="s">
        <v>18959</v>
      </c>
      <c r="U9762" t="s">
        <v>26604</v>
      </c>
      <c r="V9762" t="s">
        <v>26610</v>
      </c>
      <c r="X9762">
        <v>1150</v>
      </c>
      <c r="Y9762" t="s">
        <v>26654</v>
      </c>
      <c r="Z9762" t="s">
        <v>26667</v>
      </c>
      <c r="AB9762" t="s">
        <v>30374</v>
      </c>
      <c r="AD9762" t="s">
        <v>44390</v>
      </c>
      <c r="AE9762">
        <v>4</v>
      </c>
      <c r="AF9762" t="s">
        <v>45547</v>
      </c>
      <c r="AG9762" t="s">
        <v>19330</v>
      </c>
      <c r="AH9762">
        <v>3</v>
      </c>
      <c r="AI9762">
        <v>3</v>
      </c>
      <c r="AJ9762">
        <v>0</v>
      </c>
      <c r="AK9762">
        <v>92.29000000000001</v>
      </c>
      <c r="AN9762" t="s">
        <v>7439</v>
      </c>
      <c r="AO9762">
        <v>19177.2</v>
      </c>
      <c r="AU9762">
        <v>6.3</v>
      </c>
      <c r="AV9762" t="s">
        <v>766</v>
      </c>
      <c r="AW9762" t="s">
        <v>185</v>
      </c>
    </row>
    <row r="9763" spans="1:49">
      <c r="A9763" s="1">
        <f>HYPERLINK("https://lsnyc.legalserver.org/matter/dynamic-profile/view/1888511","19-1888511")</f>
        <v>0</v>
      </c>
      <c r="B9763" t="s">
        <v>193</v>
      </c>
      <c r="C9763" t="s">
        <v>340</v>
      </c>
      <c r="D9763" t="s">
        <v>719</v>
      </c>
      <c r="F9763" t="s">
        <v>2644</v>
      </c>
      <c r="G9763" t="s">
        <v>9156</v>
      </c>
      <c r="H9763" t="s">
        <v>16283</v>
      </c>
      <c r="I9763" t="s">
        <v>18065</v>
      </c>
      <c r="J9763" t="s">
        <v>18894</v>
      </c>
      <c r="K9763">
        <v>11214</v>
      </c>
      <c r="L9763" t="s">
        <v>18959</v>
      </c>
      <c r="M9763" t="s">
        <v>18958</v>
      </c>
      <c r="N9763" t="s">
        <v>25686</v>
      </c>
      <c r="O9763" t="s">
        <v>26523</v>
      </c>
      <c r="P9763" t="s">
        <v>26560</v>
      </c>
      <c r="R9763" t="s">
        <v>26586</v>
      </c>
      <c r="U9763" t="s">
        <v>26604</v>
      </c>
      <c r="X9763">
        <v>855.88</v>
      </c>
      <c r="Y9763" t="s">
        <v>26652</v>
      </c>
      <c r="Z9763" t="s">
        <v>26664</v>
      </c>
      <c r="AB9763" t="s">
        <v>28310</v>
      </c>
      <c r="AD9763" t="s">
        <v>44391</v>
      </c>
      <c r="AE9763">
        <v>31</v>
      </c>
      <c r="AG9763" t="s">
        <v>19330</v>
      </c>
      <c r="AH9763">
        <v>35</v>
      </c>
      <c r="AI9763">
        <v>1</v>
      </c>
      <c r="AJ9763">
        <v>0</v>
      </c>
      <c r="AK9763">
        <v>137.99</v>
      </c>
      <c r="AN9763" t="s">
        <v>7439</v>
      </c>
      <c r="AO9763">
        <v>16752</v>
      </c>
      <c r="AU9763">
        <v>28.9</v>
      </c>
      <c r="AV9763" t="s">
        <v>827</v>
      </c>
      <c r="AW9763" t="s">
        <v>46862</v>
      </c>
    </row>
    <row r="9764" spans="1:49">
      <c r="A9764" s="1">
        <f>HYPERLINK("https://lsnyc.legalserver.org/matter/dynamic-profile/view/1888445","19-1888445")</f>
        <v>0</v>
      </c>
      <c r="B9764" t="s">
        <v>279</v>
      </c>
      <c r="C9764" t="s">
        <v>340</v>
      </c>
      <c r="D9764" t="s">
        <v>719</v>
      </c>
      <c r="F9764" t="s">
        <v>1806</v>
      </c>
      <c r="G9764" t="s">
        <v>5110</v>
      </c>
      <c r="H9764" t="s">
        <v>16284</v>
      </c>
      <c r="J9764" t="s">
        <v>18894</v>
      </c>
      <c r="K9764">
        <v>11212</v>
      </c>
      <c r="L9764" t="s">
        <v>18959</v>
      </c>
      <c r="M9764" t="s">
        <v>18959</v>
      </c>
      <c r="O9764" t="s">
        <v>18997</v>
      </c>
      <c r="R9764" t="s">
        <v>26578</v>
      </c>
      <c r="S9764" t="s">
        <v>18959</v>
      </c>
      <c r="U9764" t="s">
        <v>26604</v>
      </c>
      <c r="V9764" t="s">
        <v>26610</v>
      </c>
      <c r="X9764">
        <v>530</v>
      </c>
      <c r="Y9764" t="s">
        <v>26652</v>
      </c>
      <c r="Z9764" t="s">
        <v>26530</v>
      </c>
      <c r="AB9764" t="s">
        <v>33608</v>
      </c>
      <c r="AD9764" t="s">
        <v>44392</v>
      </c>
      <c r="AE9764">
        <v>0</v>
      </c>
      <c r="AF9764" t="s">
        <v>45547</v>
      </c>
      <c r="AG9764" t="s">
        <v>19330</v>
      </c>
      <c r="AH9764">
        <v>2</v>
      </c>
      <c r="AI9764">
        <v>1</v>
      </c>
      <c r="AJ9764">
        <v>0</v>
      </c>
      <c r="AK9764">
        <v>79.08</v>
      </c>
      <c r="AN9764" t="s">
        <v>7439</v>
      </c>
      <c r="AO9764">
        <v>9600</v>
      </c>
      <c r="AU9764">
        <v>0.5</v>
      </c>
      <c r="AV9764" t="s">
        <v>719</v>
      </c>
      <c r="AW9764" t="s">
        <v>46860</v>
      </c>
    </row>
    <row r="9765" spans="1:49">
      <c r="A9765" s="1">
        <f>HYPERLINK("https://lsnyc.legalserver.org/matter/dynamic-profile/view/1888564","19-1888564")</f>
        <v>0</v>
      </c>
      <c r="B9765" t="s">
        <v>200</v>
      </c>
      <c r="C9765" t="s">
        <v>341</v>
      </c>
      <c r="D9765" t="s">
        <v>707</v>
      </c>
      <c r="E9765" t="s">
        <v>768</v>
      </c>
      <c r="F9765" t="s">
        <v>903</v>
      </c>
      <c r="G9765" t="s">
        <v>9157</v>
      </c>
      <c r="H9765" t="s">
        <v>16285</v>
      </c>
      <c r="I9765" t="s">
        <v>18479</v>
      </c>
      <c r="J9765" t="s">
        <v>18894</v>
      </c>
      <c r="K9765">
        <v>11204</v>
      </c>
      <c r="L9765" t="s">
        <v>18960</v>
      </c>
      <c r="M9765" t="s">
        <v>18960</v>
      </c>
      <c r="N9765" t="s">
        <v>25687</v>
      </c>
      <c r="O9765" t="s">
        <v>26523</v>
      </c>
      <c r="Q9765" t="s">
        <v>26570</v>
      </c>
      <c r="R9765" t="s">
        <v>26591</v>
      </c>
      <c r="U9765" t="s">
        <v>26604</v>
      </c>
      <c r="X9765">
        <v>1220</v>
      </c>
      <c r="Y9765" t="s">
        <v>26652</v>
      </c>
      <c r="AA9765" t="s">
        <v>26683</v>
      </c>
      <c r="AB9765" t="s">
        <v>33609</v>
      </c>
      <c r="AE9765">
        <v>36</v>
      </c>
      <c r="AH9765">
        <v>5</v>
      </c>
      <c r="AI9765">
        <v>1</v>
      </c>
      <c r="AJ9765">
        <v>0</v>
      </c>
      <c r="AK9765">
        <v>74.36</v>
      </c>
      <c r="AN9765" t="s">
        <v>7439</v>
      </c>
      <c r="AO9765">
        <v>9288</v>
      </c>
      <c r="AU9765">
        <v>1.5</v>
      </c>
      <c r="AV9765" t="s">
        <v>768</v>
      </c>
      <c r="AW9765" t="s">
        <v>46857</v>
      </c>
    </row>
    <row r="9766" spans="1:49">
      <c r="A9766" s="1">
        <f>HYPERLINK("https://lsnyc.legalserver.org/matter/dynamic-profile/view/1888647","19-1888647")</f>
        <v>0</v>
      </c>
      <c r="B9766" t="s">
        <v>249</v>
      </c>
      <c r="C9766" t="s">
        <v>341</v>
      </c>
      <c r="D9766" t="s">
        <v>707</v>
      </c>
      <c r="E9766" t="s">
        <v>416</v>
      </c>
      <c r="F9766" t="s">
        <v>3846</v>
      </c>
      <c r="G9766" t="s">
        <v>3117</v>
      </c>
      <c r="H9766" t="s">
        <v>16286</v>
      </c>
      <c r="J9766" t="s">
        <v>18894</v>
      </c>
      <c r="K9766">
        <v>11207</v>
      </c>
      <c r="L9766" t="s">
        <v>18959</v>
      </c>
      <c r="M9766" t="s">
        <v>18959</v>
      </c>
      <c r="N9766" t="s">
        <v>18997</v>
      </c>
      <c r="O9766" t="s">
        <v>18997</v>
      </c>
      <c r="P9766" t="s">
        <v>26565</v>
      </c>
      <c r="Q9766" t="s">
        <v>26571</v>
      </c>
      <c r="R9766" t="s">
        <v>26578</v>
      </c>
      <c r="S9766" t="s">
        <v>18959</v>
      </c>
      <c r="U9766" t="s">
        <v>26604</v>
      </c>
      <c r="V9766" t="s">
        <v>26610</v>
      </c>
      <c r="X9766">
        <v>800</v>
      </c>
      <c r="Y9766" t="s">
        <v>26652</v>
      </c>
      <c r="Z9766" t="s">
        <v>26530</v>
      </c>
      <c r="AA9766" t="s">
        <v>26681</v>
      </c>
      <c r="AB9766" t="s">
        <v>31729</v>
      </c>
      <c r="AD9766" t="s">
        <v>44393</v>
      </c>
      <c r="AE9766">
        <v>1</v>
      </c>
      <c r="AF9766" t="s">
        <v>20460</v>
      </c>
      <c r="AG9766" t="s">
        <v>19330</v>
      </c>
      <c r="AH9766">
        <v>12</v>
      </c>
      <c r="AI9766">
        <v>1</v>
      </c>
      <c r="AJ9766">
        <v>0</v>
      </c>
      <c r="AK9766">
        <v>144.12</v>
      </c>
      <c r="AN9766" t="s">
        <v>7439</v>
      </c>
      <c r="AO9766">
        <v>18000</v>
      </c>
      <c r="AP9766" t="s">
        <v>46198</v>
      </c>
      <c r="AU9766">
        <v>1</v>
      </c>
      <c r="AV9766" t="s">
        <v>416</v>
      </c>
      <c r="AW9766" t="s">
        <v>46841</v>
      </c>
    </row>
    <row r="9767" spans="1:49">
      <c r="A9767" s="1">
        <f>HYPERLINK("https://lsnyc.legalserver.org/matter/dynamic-profile/view/1888669","19-1888669")</f>
        <v>0</v>
      </c>
      <c r="B9767" t="s">
        <v>316</v>
      </c>
      <c r="C9767" t="s">
        <v>341</v>
      </c>
      <c r="D9767" t="s">
        <v>707</v>
      </c>
      <c r="E9767" t="s">
        <v>714</v>
      </c>
      <c r="F9767" t="s">
        <v>1145</v>
      </c>
      <c r="G9767" t="s">
        <v>9158</v>
      </c>
      <c r="H9767" t="s">
        <v>13126</v>
      </c>
      <c r="I9767" t="s">
        <v>17422</v>
      </c>
      <c r="J9767" t="s">
        <v>18902</v>
      </c>
      <c r="K9767">
        <v>10301</v>
      </c>
      <c r="L9767" t="s">
        <v>18960</v>
      </c>
      <c r="M9767" t="s">
        <v>18960</v>
      </c>
      <c r="O9767" t="s">
        <v>26523</v>
      </c>
      <c r="P9767" t="s">
        <v>26564</v>
      </c>
      <c r="Q9767" t="s">
        <v>26570</v>
      </c>
      <c r="R9767" t="s">
        <v>26578</v>
      </c>
      <c r="S9767" t="s">
        <v>18959</v>
      </c>
      <c r="U9767" t="s">
        <v>26604</v>
      </c>
      <c r="X9767">
        <v>486</v>
      </c>
      <c r="Y9767" t="s">
        <v>26654</v>
      </c>
      <c r="Z9767" t="s">
        <v>26530</v>
      </c>
      <c r="AA9767" t="s">
        <v>26683</v>
      </c>
      <c r="AB9767" t="s">
        <v>33610</v>
      </c>
      <c r="AD9767" t="s">
        <v>44394</v>
      </c>
      <c r="AE9767">
        <v>480</v>
      </c>
      <c r="AF9767" t="s">
        <v>20460</v>
      </c>
      <c r="AG9767" t="s">
        <v>19330</v>
      </c>
      <c r="AH9767">
        <v>17</v>
      </c>
      <c r="AI9767">
        <v>2</v>
      </c>
      <c r="AJ9767">
        <v>0</v>
      </c>
      <c r="AK9767">
        <v>280.07</v>
      </c>
      <c r="AN9767" t="s">
        <v>7439</v>
      </c>
      <c r="AO9767">
        <v>47360</v>
      </c>
      <c r="AU9767">
        <v>0.5</v>
      </c>
      <c r="AV9767" t="s">
        <v>707</v>
      </c>
      <c r="AW9767" t="s">
        <v>46829</v>
      </c>
    </row>
    <row r="9768" spans="1:49">
      <c r="A9768" s="1">
        <f>HYPERLINK("https://lsnyc.legalserver.org/matter/dynamic-profile/view/1888587","19-1888587")</f>
        <v>0</v>
      </c>
      <c r="B9768" t="s">
        <v>100</v>
      </c>
      <c r="C9768" t="s">
        <v>340</v>
      </c>
      <c r="D9768" t="s">
        <v>707</v>
      </c>
      <c r="F9768" t="s">
        <v>4180</v>
      </c>
      <c r="G9768" t="s">
        <v>6611</v>
      </c>
      <c r="H9768" t="s">
        <v>11443</v>
      </c>
      <c r="I9768" t="s">
        <v>17284</v>
      </c>
      <c r="J9768" t="s">
        <v>18892</v>
      </c>
      <c r="K9768">
        <v>10457</v>
      </c>
      <c r="L9768" t="s">
        <v>18958</v>
      </c>
      <c r="M9768" t="s">
        <v>18958</v>
      </c>
      <c r="N9768" t="s">
        <v>25688</v>
      </c>
      <c r="O9768" t="s">
        <v>26528</v>
      </c>
      <c r="P9768" t="s">
        <v>26560</v>
      </c>
      <c r="R9768" t="s">
        <v>26578</v>
      </c>
      <c r="S9768" t="s">
        <v>18958</v>
      </c>
      <c r="U9768" t="s">
        <v>26604</v>
      </c>
      <c r="X9768">
        <v>1172</v>
      </c>
      <c r="Y9768" t="s">
        <v>26650</v>
      </c>
      <c r="Z9768" t="s">
        <v>26661</v>
      </c>
      <c r="AB9768" t="s">
        <v>33611</v>
      </c>
      <c r="AD9768" t="s">
        <v>44395</v>
      </c>
      <c r="AE9768">
        <v>100</v>
      </c>
      <c r="AF9768" t="s">
        <v>45541</v>
      </c>
      <c r="AG9768" t="s">
        <v>19330</v>
      </c>
      <c r="AH9768">
        <v>39</v>
      </c>
      <c r="AI9768">
        <v>2</v>
      </c>
      <c r="AJ9768">
        <v>0</v>
      </c>
      <c r="AK9768">
        <v>384.39</v>
      </c>
      <c r="AN9768" t="s">
        <v>7439</v>
      </c>
      <c r="AO9768">
        <v>65000</v>
      </c>
      <c r="AU9768">
        <v>0.9</v>
      </c>
      <c r="AV9768" t="s">
        <v>707</v>
      </c>
      <c r="AW9768" t="s">
        <v>226</v>
      </c>
    </row>
    <row r="9769" spans="1:49">
      <c r="A9769" s="1">
        <f>HYPERLINK("https://lsnyc.legalserver.org/matter/dynamic-profile/view/1888594","19-1888594")</f>
        <v>0</v>
      </c>
      <c r="B9769" t="s">
        <v>108</v>
      </c>
      <c r="C9769" t="s">
        <v>340</v>
      </c>
      <c r="D9769" t="s">
        <v>707</v>
      </c>
      <c r="F9769" t="s">
        <v>1228</v>
      </c>
      <c r="G9769" t="s">
        <v>5311</v>
      </c>
      <c r="H9769" t="s">
        <v>16287</v>
      </c>
      <c r="I9769">
        <v>2</v>
      </c>
      <c r="J9769" t="s">
        <v>18901</v>
      </c>
      <c r="K9769">
        <v>11433</v>
      </c>
      <c r="L9769" t="s">
        <v>18958</v>
      </c>
      <c r="M9769" t="s">
        <v>18958</v>
      </c>
      <c r="N9769" t="s">
        <v>25689</v>
      </c>
      <c r="O9769" t="s">
        <v>26524</v>
      </c>
      <c r="P9769" t="s">
        <v>26560</v>
      </c>
      <c r="R9769" t="s">
        <v>26584</v>
      </c>
      <c r="S9769" t="s">
        <v>18959</v>
      </c>
      <c r="U9769" t="s">
        <v>26604</v>
      </c>
      <c r="X9769">
        <v>1200</v>
      </c>
      <c r="Y9769" t="s">
        <v>26653</v>
      </c>
      <c r="Z9769" t="s">
        <v>26664</v>
      </c>
      <c r="AB9769" t="s">
        <v>33612</v>
      </c>
      <c r="AC9769" t="s">
        <v>36667</v>
      </c>
      <c r="AD9769" t="s">
        <v>44396</v>
      </c>
      <c r="AE9769">
        <v>2</v>
      </c>
      <c r="AF9769" t="s">
        <v>20460</v>
      </c>
      <c r="AG9769" t="s">
        <v>45562</v>
      </c>
      <c r="AH9769">
        <v>3</v>
      </c>
      <c r="AI9769">
        <v>1</v>
      </c>
      <c r="AJ9769">
        <v>0</v>
      </c>
      <c r="AK9769">
        <v>76.06</v>
      </c>
      <c r="AN9769" t="s">
        <v>7439</v>
      </c>
      <c r="AO9769">
        <v>9500</v>
      </c>
      <c r="AU9769">
        <v>4.1</v>
      </c>
      <c r="AV9769" t="s">
        <v>794</v>
      </c>
      <c r="AW9769" t="s">
        <v>208</v>
      </c>
    </row>
    <row r="9770" spans="1:49">
      <c r="A9770" s="1">
        <f>HYPERLINK("https://lsnyc.legalserver.org/matter/dynamic-profile/view/1888658","19-1888658")</f>
        <v>0</v>
      </c>
      <c r="B9770" t="s">
        <v>180</v>
      </c>
      <c r="C9770" t="s">
        <v>340</v>
      </c>
      <c r="D9770" t="s">
        <v>707</v>
      </c>
      <c r="F9770" t="s">
        <v>1454</v>
      </c>
      <c r="G9770" t="s">
        <v>5026</v>
      </c>
      <c r="H9770" t="s">
        <v>10407</v>
      </c>
      <c r="I9770" t="s">
        <v>17569</v>
      </c>
      <c r="J9770" t="s">
        <v>18894</v>
      </c>
      <c r="K9770">
        <v>11221</v>
      </c>
      <c r="L9770" t="s">
        <v>18960</v>
      </c>
      <c r="M9770" t="s">
        <v>18960</v>
      </c>
      <c r="N9770" t="s">
        <v>25690</v>
      </c>
      <c r="O9770" t="s">
        <v>26523</v>
      </c>
      <c r="P9770" t="s">
        <v>26560</v>
      </c>
      <c r="R9770" t="s">
        <v>26588</v>
      </c>
      <c r="S9770" t="s">
        <v>18959</v>
      </c>
      <c r="U9770" t="s">
        <v>26604</v>
      </c>
      <c r="V9770" t="s">
        <v>26610</v>
      </c>
      <c r="X9770">
        <v>157</v>
      </c>
      <c r="Y9770" t="s">
        <v>26652</v>
      </c>
      <c r="Z9770" t="s">
        <v>26669</v>
      </c>
      <c r="AB9770" t="s">
        <v>33613</v>
      </c>
      <c r="AC9770" t="s">
        <v>36668</v>
      </c>
      <c r="AD9770" t="s">
        <v>44397</v>
      </c>
      <c r="AE9770">
        <v>64</v>
      </c>
      <c r="AG9770" t="s">
        <v>26530</v>
      </c>
      <c r="AH9770">
        <v>5</v>
      </c>
      <c r="AI9770">
        <v>1</v>
      </c>
      <c r="AJ9770">
        <v>0</v>
      </c>
      <c r="AK9770">
        <v>72.06</v>
      </c>
      <c r="AN9770" t="s">
        <v>7439</v>
      </c>
      <c r="AO9770">
        <v>9000</v>
      </c>
      <c r="AU9770">
        <v>11.4</v>
      </c>
      <c r="AV9770" t="s">
        <v>838</v>
      </c>
      <c r="AW9770" t="s">
        <v>46862</v>
      </c>
    </row>
    <row r="9771" spans="1:49">
      <c r="A9771" s="1">
        <f>HYPERLINK("https://lsnyc.legalserver.org/matter/dynamic-profile/view/1888619","19-1888619")</f>
        <v>0</v>
      </c>
      <c r="B9771" t="s">
        <v>322</v>
      </c>
      <c r="C9771" t="s">
        <v>340</v>
      </c>
      <c r="D9771" t="s">
        <v>707</v>
      </c>
      <c r="F9771" t="s">
        <v>1397</v>
      </c>
      <c r="G9771" t="s">
        <v>5691</v>
      </c>
      <c r="H9771" t="s">
        <v>16288</v>
      </c>
      <c r="I9771" t="s">
        <v>18245</v>
      </c>
      <c r="J9771" t="s">
        <v>18893</v>
      </c>
      <c r="K9771">
        <v>10128</v>
      </c>
      <c r="L9771" t="s">
        <v>18960</v>
      </c>
      <c r="M9771" t="s">
        <v>18960</v>
      </c>
      <c r="R9771" t="s">
        <v>26591</v>
      </c>
      <c r="U9771" t="s">
        <v>26604</v>
      </c>
      <c r="X9771">
        <v>0</v>
      </c>
      <c r="Y9771" t="s">
        <v>26651</v>
      </c>
      <c r="Z9771" t="s">
        <v>26530</v>
      </c>
      <c r="AB9771" t="s">
        <v>33614</v>
      </c>
      <c r="AD9771" t="s">
        <v>44398</v>
      </c>
      <c r="AE9771">
        <v>0</v>
      </c>
      <c r="AH9771">
        <v>12</v>
      </c>
      <c r="AI9771">
        <v>1</v>
      </c>
      <c r="AJ9771">
        <v>0</v>
      </c>
      <c r="AK9771">
        <v>0</v>
      </c>
      <c r="AN9771" t="s">
        <v>7439</v>
      </c>
      <c r="AO9771">
        <v>0</v>
      </c>
      <c r="AU9771">
        <v>0.6</v>
      </c>
      <c r="AV9771" t="s">
        <v>707</v>
      </c>
      <c r="AW9771" t="s">
        <v>46842</v>
      </c>
    </row>
    <row r="9772" spans="1:49">
      <c r="A9772" s="1">
        <f>HYPERLINK("https://lsnyc.legalserver.org/matter/dynamic-profile/view/1888563","19-1888563")</f>
        <v>0</v>
      </c>
      <c r="B9772" t="s">
        <v>152</v>
      </c>
      <c r="C9772" t="s">
        <v>340</v>
      </c>
      <c r="D9772" t="s">
        <v>707</v>
      </c>
      <c r="F9772" t="s">
        <v>1211</v>
      </c>
      <c r="G9772" t="s">
        <v>5785</v>
      </c>
      <c r="H9772" t="s">
        <v>16289</v>
      </c>
      <c r="I9772" t="s">
        <v>17349</v>
      </c>
      <c r="J9772" t="s">
        <v>18892</v>
      </c>
      <c r="K9772">
        <v>10453</v>
      </c>
      <c r="L9772" t="s">
        <v>18960</v>
      </c>
      <c r="M9772" t="s">
        <v>18959</v>
      </c>
      <c r="N9772" t="s">
        <v>25691</v>
      </c>
      <c r="O9772" t="s">
        <v>26523</v>
      </c>
      <c r="R9772" t="s">
        <v>26591</v>
      </c>
      <c r="S9772" t="s">
        <v>18959</v>
      </c>
      <c r="U9772" t="s">
        <v>26604</v>
      </c>
      <c r="X9772">
        <v>1432.16</v>
      </c>
      <c r="Y9772" t="s">
        <v>26650</v>
      </c>
      <c r="Z9772" t="s">
        <v>26530</v>
      </c>
      <c r="AB9772" t="s">
        <v>33615</v>
      </c>
      <c r="AD9772" t="s">
        <v>44399</v>
      </c>
      <c r="AE9772">
        <v>0</v>
      </c>
      <c r="AF9772" t="s">
        <v>20460</v>
      </c>
      <c r="AG9772" t="s">
        <v>45556</v>
      </c>
      <c r="AH9772">
        <v>8</v>
      </c>
      <c r="AI9772">
        <v>1</v>
      </c>
      <c r="AJ9772">
        <v>5</v>
      </c>
      <c r="AK9772">
        <v>72.16</v>
      </c>
      <c r="AN9772" t="s">
        <v>7439</v>
      </c>
      <c r="AO9772">
        <v>24960</v>
      </c>
      <c r="AP9772" t="s">
        <v>46199</v>
      </c>
      <c r="AU9772">
        <v>0.58</v>
      </c>
      <c r="AV9772" t="s">
        <v>707</v>
      </c>
      <c r="AW9772" t="s">
        <v>46860</v>
      </c>
    </row>
    <row r="9773" spans="1:49">
      <c r="A9773" s="1">
        <f>HYPERLINK("https://lsnyc.legalserver.org/matter/dynamic-profile/view/1888571","19-1888571")</f>
        <v>0</v>
      </c>
      <c r="B9773" t="s">
        <v>204</v>
      </c>
      <c r="C9773" t="s">
        <v>340</v>
      </c>
      <c r="D9773" t="s">
        <v>707</v>
      </c>
      <c r="F9773" t="s">
        <v>3338</v>
      </c>
      <c r="G9773" t="s">
        <v>6648</v>
      </c>
      <c r="H9773" t="s">
        <v>13559</v>
      </c>
      <c r="I9773" t="s">
        <v>18710</v>
      </c>
      <c r="J9773" t="s">
        <v>18894</v>
      </c>
      <c r="K9773">
        <v>11216</v>
      </c>
      <c r="L9773" t="s">
        <v>18960</v>
      </c>
      <c r="M9773" t="s">
        <v>18959</v>
      </c>
      <c r="N9773" t="s">
        <v>25692</v>
      </c>
      <c r="O9773" t="s">
        <v>26523</v>
      </c>
      <c r="R9773" t="s">
        <v>26586</v>
      </c>
      <c r="U9773" t="s">
        <v>26604</v>
      </c>
      <c r="X9773">
        <v>1440.54</v>
      </c>
      <c r="Y9773" t="s">
        <v>26652</v>
      </c>
      <c r="Z9773" t="s">
        <v>26659</v>
      </c>
      <c r="AB9773" t="s">
        <v>30923</v>
      </c>
      <c r="AD9773" t="s">
        <v>41152</v>
      </c>
      <c r="AE9773">
        <v>70</v>
      </c>
      <c r="AF9773" t="s">
        <v>45541</v>
      </c>
      <c r="AG9773" t="s">
        <v>45559</v>
      </c>
      <c r="AH9773">
        <v>12</v>
      </c>
      <c r="AI9773">
        <v>1</v>
      </c>
      <c r="AJ9773">
        <v>0</v>
      </c>
      <c r="AK9773">
        <v>148.34</v>
      </c>
      <c r="AN9773" t="s">
        <v>7439</v>
      </c>
      <c r="AO9773">
        <v>18528</v>
      </c>
      <c r="AU9773">
        <v>33.9</v>
      </c>
      <c r="AV9773" t="s">
        <v>835</v>
      </c>
      <c r="AW9773" t="s">
        <v>46853</v>
      </c>
    </row>
    <row r="9774" spans="1:49">
      <c r="A9774" s="1">
        <f>HYPERLINK("https://lsnyc.legalserver.org/matter/dynamic-profile/view/1888680","19-1888680")</f>
        <v>0</v>
      </c>
      <c r="B9774" t="s">
        <v>201</v>
      </c>
      <c r="C9774" t="s">
        <v>340</v>
      </c>
      <c r="D9774" t="s">
        <v>707</v>
      </c>
      <c r="F9774" t="s">
        <v>4061</v>
      </c>
      <c r="G9774" t="s">
        <v>6314</v>
      </c>
      <c r="H9774" t="s">
        <v>16290</v>
      </c>
      <c r="I9774" t="s">
        <v>18711</v>
      </c>
      <c r="J9774" t="s">
        <v>18894</v>
      </c>
      <c r="K9774">
        <v>11207</v>
      </c>
      <c r="L9774" t="s">
        <v>18960</v>
      </c>
      <c r="M9774" t="s">
        <v>18960</v>
      </c>
      <c r="R9774" t="s">
        <v>26591</v>
      </c>
      <c r="U9774" t="s">
        <v>26608</v>
      </c>
      <c r="X9774">
        <v>0</v>
      </c>
      <c r="Y9774" t="s">
        <v>26652</v>
      </c>
      <c r="AB9774" t="s">
        <v>33616</v>
      </c>
      <c r="AD9774" t="s">
        <v>44400</v>
      </c>
      <c r="AE9774">
        <v>0</v>
      </c>
      <c r="AH9774">
        <v>0</v>
      </c>
      <c r="AI9774">
        <v>1</v>
      </c>
      <c r="AJ9774">
        <v>0</v>
      </c>
      <c r="AK9774">
        <v>23.73</v>
      </c>
      <c r="AN9774" t="s">
        <v>7439</v>
      </c>
      <c r="AO9774">
        <v>2964</v>
      </c>
      <c r="AU9774">
        <v>9.5</v>
      </c>
      <c r="AV9774" t="s">
        <v>834</v>
      </c>
      <c r="AW9774" t="s">
        <v>201</v>
      </c>
    </row>
    <row r="9775" spans="1:49">
      <c r="A9775" s="1">
        <f>HYPERLINK("https://lsnyc.legalserver.org/matter/dynamic-profile/view/1888651","19-1888651")</f>
        <v>0</v>
      </c>
      <c r="B9775" t="s">
        <v>122</v>
      </c>
      <c r="C9775" t="s">
        <v>340</v>
      </c>
      <c r="D9775" t="s">
        <v>707</v>
      </c>
      <c r="F9775" t="s">
        <v>4647</v>
      </c>
      <c r="G9775" t="s">
        <v>5367</v>
      </c>
      <c r="H9775" t="s">
        <v>16291</v>
      </c>
      <c r="I9775" t="s">
        <v>17277</v>
      </c>
      <c r="J9775" t="s">
        <v>18901</v>
      </c>
      <c r="K9775">
        <v>11435</v>
      </c>
      <c r="L9775" t="s">
        <v>18960</v>
      </c>
      <c r="M9775" t="s">
        <v>18960</v>
      </c>
      <c r="N9775" t="s">
        <v>25693</v>
      </c>
      <c r="O9775" t="s">
        <v>26523</v>
      </c>
      <c r="P9775" t="s">
        <v>26564</v>
      </c>
      <c r="R9775" t="s">
        <v>26584</v>
      </c>
      <c r="U9775" t="s">
        <v>26604</v>
      </c>
      <c r="X9775">
        <v>1327</v>
      </c>
      <c r="Y9775" t="s">
        <v>26653</v>
      </c>
      <c r="Z9775" t="s">
        <v>26664</v>
      </c>
      <c r="AB9775" t="s">
        <v>30950</v>
      </c>
      <c r="AC9775" t="s">
        <v>36669</v>
      </c>
      <c r="AD9775" t="s">
        <v>44401</v>
      </c>
      <c r="AE9775">
        <v>8</v>
      </c>
      <c r="AF9775" t="s">
        <v>45541</v>
      </c>
      <c r="AG9775" t="s">
        <v>19330</v>
      </c>
      <c r="AH9775">
        <v>8</v>
      </c>
      <c r="AI9775">
        <v>3</v>
      </c>
      <c r="AJ9775">
        <v>0</v>
      </c>
      <c r="AK9775">
        <v>84.39</v>
      </c>
      <c r="AO9775">
        <v>18000</v>
      </c>
      <c r="AU9775">
        <v>3.6</v>
      </c>
      <c r="AV9775" t="s">
        <v>677</v>
      </c>
      <c r="AW9775" t="s">
        <v>122</v>
      </c>
    </row>
    <row r="9776" spans="1:49">
      <c r="A9776" s="1">
        <f>HYPERLINK("https://lsnyc.legalserver.org/matter/dynamic-profile/view/1888665","19-1888665")</f>
        <v>0</v>
      </c>
      <c r="B9776" t="s">
        <v>91</v>
      </c>
      <c r="C9776" t="s">
        <v>340</v>
      </c>
      <c r="D9776" t="s">
        <v>707</v>
      </c>
      <c r="F9776" t="s">
        <v>4648</v>
      </c>
      <c r="G9776" t="s">
        <v>9159</v>
      </c>
      <c r="H9776" t="s">
        <v>16292</v>
      </c>
      <c r="I9776" t="s">
        <v>17446</v>
      </c>
      <c r="J9776" t="s">
        <v>18939</v>
      </c>
      <c r="K9776">
        <v>11423</v>
      </c>
      <c r="L9776" t="s">
        <v>18958</v>
      </c>
      <c r="M9776" t="s">
        <v>18960</v>
      </c>
      <c r="N9776" t="s">
        <v>25694</v>
      </c>
      <c r="O9776" t="s">
        <v>26523</v>
      </c>
      <c r="P9776" t="s">
        <v>26564</v>
      </c>
      <c r="R9776" t="s">
        <v>26584</v>
      </c>
      <c r="S9776" t="s">
        <v>18959</v>
      </c>
      <c r="U9776" t="s">
        <v>26604</v>
      </c>
      <c r="X9776">
        <v>1875</v>
      </c>
      <c r="Y9776" t="s">
        <v>26653</v>
      </c>
      <c r="Z9776" t="s">
        <v>26664</v>
      </c>
      <c r="AB9776" t="s">
        <v>33609</v>
      </c>
      <c r="AD9776" t="s">
        <v>44402</v>
      </c>
      <c r="AE9776">
        <v>2</v>
      </c>
      <c r="AH9776">
        <v>2</v>
      </c>
      <c r="AI9776">
        <v>1</v>
      </c>
      <c r="AJ9776">
        <v>1</v>
      </c>
      <c r="AK9776">
        <v>0</v>
      </c>
      <c r="AN9776" t="s">
        <v>7439</v>
      </c>
      <c r="AO9776">
        <v>0</v>
      </c>
      <c r="AU9776">
        <v>1.3</v>
      </c>
      <c r="AV9776" t="s">
        <v>815</v>
      </c>
      <c r="AW9776" t="s">
        <v>91</v>
      </c>
    </row>
    <row r="9777" spans="1:50">
      <c r="A9777" s="1">
        <f>HYPERLINK("https://lsnyc.legalserver.org/matter/dynamic-profile/view/1888674","19-1888674")</f>
        <v>0</v>
      </c>
      <c r="B9777" t="s">
        <v>91</v>
      </c>
      <c r="C9777" t="s">
        <v>340</v>
      </c>
      <c r="D9777" t="s">
        <v>707</v>
      </c>
      <c r="F9777" t="s">
        <v>4649</v>
      </c>
      <c r="G9777" t="s">
        <v>5937</v>
      </c>
      <c r="H9777" t="s">
        <v>16293</v>
      </c>
      <c r="I9777" t="s">
        <v>17374</v>
      </c>
      <c r="J9777" t="s">
        <v>18901</v>
      </c>
      <c r="K9777">
        <v>11436</v>
      </c>
      <c r="L9777" t="s">
        <v>18958</v>
      </c>
      <c r="M9777" t="s">
        <v>18960</v>
      </c>
      <c r="N9777" t="s">
        <v>25695</v>
      </c>
      <c r="O9777" t="s">
        <v>26524</v>
      </c>
      <c r="P9777" t="s">
        <v>26564</v>
      </c>
      <c r="R9777" t="s">
        <v>26584</v>
      </c>
      <c r="S9777" t="s">
        <v>18959</v>
      </c>
      <c r="U9777" t="s">
        <v>26604</v>
      </c>
      <c r="V9777" t="s">
        <v>26610</v>
      </c>
      <c r="X9777">
        <v>700</v>
      </c>
      <c r="Y9777" t="s">
        <v>26653</v>
      </c>
      <c r="Z9777" t="s">
        <v>26664</v>
      </c>
      <c r="AB9777" t="s">
        <v>33617</v>
      </c>
      <c r="AC9777" t="s">
        <v>36670</v>
      </c>
      <c r="AD9777" t="s">
        <v>44403</v>
      </c>
      <c r="AE9777">
        <v>2</v>
      </c>
      <c r="AF9777" t="s">
        <v>45547</v>
      </c>
      <c r="AG9777" t="s">
        <v>19330</v>
      </c>
      <c r="AH9777">
        <v>1</v>
      </c>
      <c r="AI9777">
        <v>1</v>
      </c>
      <c r="AJ9777">
        <v>1</v>
      </c>
      <c r="AK9777">
        <v>91.64</v>
      </c>
      <c r="AO9777">
        <v>15496</v>
      </c>
      <c r="AU9777">
        <v>0.9</v>
      </c>
      <c r="AV9777" t="s">
        <v>818</v>
      </c>
      <c r="AW9777" t="s">
        <v>122</v>
      </c>
      <c r="AX9777" t="s">
        <v>46897</v>
      </c>
    </row>
    <row r="9778" spans="1:50">
      <c r="A9778" s="1">
        <f>HYPERLINK("https://lsnyc.legalserver.org/matter/dynamic-profile/view/1888748","19-1888748")</f>
        <v>0</v>
      </c>
      <c r="B9778" t="s">
        <v>152</v>
      </c>
      <c r="C9778" t="s">
        <v>340</v>
      </c>
      <c r="D9778" t="s">
        <v>698</v>
      </c>
      <c r="F9778" t="s">
        <v>4650</v>
      </c>
      <c r="G9778" t="s">
        <v>4889</v>
      </c>
      <c r="H9778" t="s">
        <v>16294</v>
      </c>
      <c r="I9778">
        <v>54</v>
      </c>
      <c r="J9778" t="s">
        <v>18892</v>
      </c>
      <c r="K9778">
        <v>10459</v>
      </c>
      <c r="L9778" t="s">
        <v>18960</v>
      </c>
      <c r="M9778" t="s">
        <v>18960</v>
      </c>
      <c r="N9778" t="s">
        <v>25696</v>
      </c>
      <c r="O9778" t="s">
        <v>26523</v>
      </c>
      <c r="P9778" t="s">
        <v>26564</v>
      </c>
      <c r="R9778" t="s">
        <v>26591</v>
      </c>
      <c r="S9778" t="s">
        <v>18959</v>
      </c>
      <c r="U9778" t="s">
        <v>26604</v>
      </c>
      <c r="X9778">
        <v>700</v>
      </c>
      <c r="Y9778" t="s">
        <v>26650</v>
      </c>
      <c r="AB9778" t="s">
        <v>33618</v>
      </c>
      <c r="AE9778">
        <v>20</v>
      </c>
      <c r="AF9778" t="s">
        <v>45548</v>
      </c>
      <c r="AG9778" t="s">
        <v>19330</v>
      </c>
      <c r="AH9778">
        <v>2</v>
      </c>
      <c r="AI9778">
        <v>1</v>
      </c>
      <c r="AJ9778">
        <v>0</v>
      </c>
      <c r="AK9778">
        <v>0</v>
      </c>
      <c r="AN9778" t="s">
        <v>7439</v>
      </c>
      <c r="AO9778">
        <v>0</v>
      </c>
      <c r="AP9778" t="s">
        <v>46200</v>
      </c>
      <c r="AU9778">
        <v>0.7</v>
      </c>
      <c r="AV9778" t="s">
        <v>709</v>
      </c>
      <c r="AW9778" t="s">
        <v>46829</v>
      </c>
    </row>
    <row r="9779" spans="1:50">
      <c r="A9779" s="1">
        <f>HYPERLINK("https://lsnyc.legalserver.org/matter/dynamic-profile/view/1888764","19-1888764")</f>
        <v>0</v>
      </c>
      <c r="B9779" t="s">
        <v>200</v>
      </c>
      <c r="C9779" t="s">
        <v>340</v>
      </c>
      <c r="D9779" t="s">
        <v>698</v>
      </c>
      <c r="F9779" t="s">
        <v>1128</v>
      </c>
      <c r="G9779" t="s">
        <v>9160</v>
      </c>
      <c r="H9779" t="s">
        <v>16295</v>
      </c>
      <c r="I9779">
        <v>54</v>
      </c>
      <c r="J9779" t="s">
        <v>18894</v>
      </c>
      <c r="K9779">
        <v>11235</v>
      </c>
      <c r="L9779" t="s">
        <v>18958</v>
      </c>
      <c r="M9779" t="s">
        <v>18958</v>
      </c>
      <c r="P9779" t="s">
        <v>26564</v>
      </c>
      <c r="R9779" t="s">
        <v>26586</v>
      </c>
      <c r="U9779" t="s">
        <v>26604</v>
      </c>
      <c r="X9779">
        <v>650</v>
      </c>
      <c r="Y9779" t="s">
        <v>26652</v>
      </c>
      <c r="Z9779" t="s">
        <v>26659</v>
      </c>
      <c r="AB9779" t="s">
        <v>33619</v>
      </c>
      <c r="AD9779" t="s">
        <v>44404</v>
      </c>
      <c r="AE9779">
        <v>6</v>
      </c>
      <c r="AF9779" t="s">
        <v>45541</v>
      </c>
      <c r="AH9779">
        <v>18</v>
      </c>
      <c r="AI9779">
        <v>1</v>
      </c>
      <c r="AJ9779">
        <v>0</v>
      </c>
      <c r="AK9779">
        <v>81.47</v>
      </c>
      <c r="AN9779" t="s">
        <v>7439</v>
      </c>
      <c r="AO9779">
        <v>10176</v>
      </c>
      <c r="AU9779">
        <v>0.98</v>
      </c>
      <c r="AV9779" t="s">
        <v>786</v>
      </c>
      <c r="AW9779" t="s">
        <v>46862</v>
      </c>
    </row>
    <row r="9780" spans="1:50">
      <c r="A9780" s="1">
        <f>HYPERLINK("https://lsnyc.legalserver.org/matter/dynamic-profile/view/1888652","19-1888652")</f>
        <v>0</v>
      </c>
      <c r="B9780" t="s">
        <v>102</v>
      </c>
      <c r="C9780" t="s">
        <v>340</v>
      </c>
      <c r="D9780" t="s">
        <v>698</v>
      </c>
      <c r="F9780" t="s">
        <v>1283</v>
      </c>
      <c r="G9780" t="s">
        <v>8828</v>
      </c>
      <c r="H9780" t="s">
        <v>16296</v>
      </c>
      <c r="I9780" t="s">
        <v>18712</v>
      </c>
      <c r="J9780" t="s">
        <v>18902</v>
      </c>
      <c r="K9780">
        <v>10301</v>
      </c>
      <c r="L9780" t="s">
        <v>18960</v>
      </c>
      <c r="M9780" t="s">
        <v>18960</v>
      </c>
      <c r="R9780" t="s">
        <v>26578</v>
      </c>
      <c r="U9780" t="s">
        <v>26604</v>
      </c>
      <c r="X9780">
        <v>0</v>
      </c>
      <c r="Y9780" t="s">
        <v>26654</v>
      </c>
      <c r="AB9780" t="s">
        <v>28961</v>
      </c>
      <c r="AD9780" t="s">
        <v>44405</v>
      </c>
      <c r="AE9780">
        <v>0</v>
      </c>
      <c r="AH9780">
        <v>0</v>
      </c>
      <c r="AI9780">
        <v>2</v>
      </c>
      <c r="AJ9780">
        <v>2</v>
      </c>
      <c r="AK9780">
        <v>48.22</v>
      </c>
      <c r="AN9780" t="s">
        <v>7439</v>
      </c>
      <c r="AO9780">
        <v>12416</v>
      </c>
      <c r="AU9780">
        <v>8.15</v>
      </c>
      <c r="AV9780" t="s">
        <v>671</v>
      </c>
      <c r="AW9780" t="s">
        <v>46852</v>
      </c>
    </row>
    <row r="9781" spans="1:50">
      <c r="A9781" s="1">
        <f>HYPERLINK("https://lsnyc.legalserver.org/matter/dynamic-profile/view/1888909","19-1888909")</f>
        <v>0</v>
      </c>
      <c r="B9781" t="s">
        <v>122</v>
      </c>
      <c r="C9781" t="s">
        <v>341</v>
      </c>
      <c r="D9781" t="s">
        <v>732</v>
      </c>
      <c r="E9781" t="s">
        <v>677</v>
      </c>
      <c r="F9781" t="s">
        <v>1233</v>
      </c>
      <c r="G9781" t="s">
        <v>9161</v>
      </c>
      <c r="H9781" t="s">
        <v>16297</v>
      </c>
      <c r="I9781" t="s">
        <v>18713</v>
      </c>
      <c r="J9781" t="s">
        <v>18915</v>
      </c>
      <c r="K9781">
        <v>11372</v>
      </c>
      <c r="L9781" t="s">
        <v>18960</v>
      </c>
      <c r="M9781" t="s">
        <v>18960</v>
      </c>
      <c r="N9781" t="s">
        <v>25697</v>
      </c>
      <c r="O9781" t="s">
        <v>26523</v>
      </c>
      <c r="P9781" t="s">
        <v>26564</v>
      </c>
      <c r="Q9781" t="s">
        <v>26570</v>
      </c>
      <c r="R9781" t="s">
        <v>26584</v>
      </c>
      <c r="U9781" t="s">
        <v>26604</v>
      </c>
      <c r="X9781">
        <v>813.54</v>
      </c>
      <c r="Y9781" t="s">
        <v>26653</v>
      </c>
      <c r="Z9781" t="s">
        <v>26664</v>
      </c>
      <c r="AA9781" t="s">
        <v>26683</v>
      </c>
      <c r="AB9781" t="s">
        <v>33620</v>
      </c>
      <c r="AD9781" t="s">
        <v>44406</v>
      </c>
      <c r="AE9781">
        <v>106</v>
      </c>
      <c r="AF9781" t="s">
        <v>45541</v>
      </c>
      <c r="AG9781" t="s">
        <v>45559</v>
      </c>
      <c r="AH9781">
        <v>45</v>
      </c>
      <c r="AI9781">
        <v>1</v>
      </c>
      <c r="AJ9781">
        <v>0</v>
      </c>
      <c r="AK9781">
        <v>74.08</v>
      </c>
      <c r="AO9781">
        <v>9252</v>
      </c>
      <c r="AU9781">
        <v>0.75</v>
      </c>
      <c r="AV9781" t="s">
        <v>732</v>
      </c>
      <c r="AW9781" t="s">
        <v>122</v>
      </c>
    </row>
    <row r="9782" spans="1:50">
      <c r="A9782" s="1">
        <f>HYPERLINK("https://lsnyc.legalserver.org/matter/dynamic-profile/view/1888233","19-1888233")</f>
        <v>0</v>
      </c>
      <c r="B9782" t="s">
        <v>104</v>
      </c>
      <c r="C9782" t="s">
        <v>341</v>
      </c>
      <c r="D9782" t="s">
        <v>732</v>
      </c>
      <c r="E9782" t="s">
        <v>805</v>
      </c>
      <c r="F9782" t="s">
        <v>4651</v>
      </c>
      <c r="G9782" t="s">
        <v>9162</v>
      </c>
      <c r="H9782" t="s">
        <v>16298</v>
      </c>
      <c r="I9782" t="s">
        <v>17277</v>
      </c>
      <c r="J9782" t="s">
        <v>18902</v>
      </c>
      <c r="K9782">
        <v>10304</v>
      </c>
      <c r="L9782" t="s">
        <v>18958</v>
      </c>
      <c r="M9782" t="s">
        <v>18958</v>
      </c>
      <c r="P9782" t="s">
        <v>26564</v>
      </c>
      <c r="Q9782" t="s">
        <v>26570</v>
      </c>
      <c r="R9782" t="s">
        <v>26589</v>
      </c>
      <c r="U9782" t="s">
        <v>26607</v>
      </c>
      <c r="V9782" t="s">
        <v>26610</v>
      </c>
      <c r="X9782">
        <v>200</v>
      </c>
      <c r="Y9782" t="s">
        <v>26654</v>
      </c>
      <c r="Z9782" t="s">
        <v>26671</v>
      </c>
      <c r="AA9782" t="s">
        <v>26683</v>
      </c>
      <c r="AB9782" t="s">
        <v>33621</v>
      </c>
      <c r="AD9782" t="s">
        <v>44407</v>
      </c>
      <c r="AE9782">
        <v>0</v>
      </c>
      <c r="AF9782" t="s">
        <v>45542</v>
      </c>
      <c r="AH9782">
        <v>3</v>
      </c>
      <c r="AI9782">
        <v>1</v>
      </c>
      <c r="AJ9782">
        <v>1</v>
      </c>
      <c r="AK9782">
        <v>72.90000000000001</v>
      </c>
      <c r="AN9782" t="s">
        <v>8151</v>
      </c>
      <c r="AO9782">
        <v>12000</v>
      </c>
      <c r="AU9782">
        <v>0.3</v>
      </c>
      <c r="AV9782" t="s">
        <v>735</v>
      </c>
      <c r="AW9782" t="s">
        <v>104</v>
      </c>
      <c r="AX9782" t="s">
        <v>46897</v>
      </c>
    </row>
    <row r="9783" spans="1:50">
      <c r="A9783" s="1">
        <f>HYPERLINK("https://lsnyc.legalserver.org/matter/dynamic-profile/view/1888922","19-1888922")</f>
        <v>0</v>
      </c>
      <c r="B9783" t="s">
        <v>279</v>
      </c>
      <c r="C9783" t="s">
        <v>341</v>
      </c>
      <c r="D9783" t="s">
        <v>732</v>
      </c>
      <c r="E9783" t="s">
        <v>693</v>
      </c>
      <c r="F9783" t="s">
        <v>4652</v>
      </c>
      <c r="G9783" t="s">
        <v>9104</v>
      </c>
      <c r="H9783" t="s">
        <v>16299</v>
      </c>
      <c r="I9783" t="s">
        <v>17781</v>
      </c>
      <c r="J9783" t="s">
        <v>18894</v>
      </c>
      <c r="K9783">
        <v>11208</v>
      </c>
      <c r="L9783" t="s">
        <v>18959</v>
      </c>
      <c r="M9783" t="s">
        <v>18959</v>
      </c>
      <c r="N9783" t="s">
        <v>20460</v>
      </c>
      <c r="O9783" t="s">
        <v>26524</v>
      </c>
      <c r="P9783" t="s">
        <v>26564</v>
      </c>
      <c r="Q9783" t="s">
        <v>26570</v>
      </c>
      <c r="R9783" t="s">
        <v>26578</v>
      </c>
      <c r="S9783" t="s">
        <v>18959</v>
      </c>
      <c r="U9783" t="s">
        <v>26604</v>
      </c>
      <c r="V9783" t="s">
        <v>26610</v>
      </c>
      <c r="X9783">
        <v>650</v>
      </c>
      <c r="Y9783" t="s">
        <v>26652</v>
      </c>
      <c r="Z9783" t="s">
        <v>26665</v>
      </c>
      <c r="AA9783" t="s">
        <v>26683</v>
      </c>
      <c r="AB9783" t="s">
        <v>32746</v>
      </c>
      <c r="AE9783">
        <v>2</v>
      </c>
      <c r="AF9783" t="s">
        <v>45547</v>
      </c>
      <c r="AG9783" t="s">
        <v>19330</v>
      </c>
      <c r="AH9783">
        <v>2</v>
      </c>
      <c r="AI9783">
        <v>1</v>
      </c>
      <c r="AJ9783">
        <v>0</v>
      </c>
      <c r="AK9783">
        <v>79.06999999999999</v>
      </c>
      <c r="AN9783" t="s">
        <v>7439</v>
      </c>
      <c r="AO9783">
        <v>9876</v>
      </c>
      <c r="AP9783" t="s">
        <v>46201</v>
      </c>
      <c r="AU9783">
        <v>0.8</v>
      </c>
      <c r="AV9783" t="s">
        <v>809</v>
      </c>
      <c r="AW9783" t="s">
        <v>46842</v>
      </c>
    </row>
    <row r="9784" spans="1:50">
      <c r="A9784" s="1">
        <f>HYPERLINK("https://lsnyc.legalserver.org/matter/dynamic-profile/view/1888967","19-1888967")</f>
        <v>0</v>
      </c>
      <c r="B9784" t="s">
        <v>161</v>
      </c>
      <c r="C9784" t="s">
        <v>340</v>
      </c>
      <c r="D9784" t="s">
        <v>732</v>
      </c>
      <c r="F9784" t="s">
        <v>4653</v>
      </c>
      <c r="G9784" t="s">
        <v>9163</v>
      </c>
      <c r="H9784" t="s">
        <v>16300</v>
      </c>
      <c r="I9784" t="s">
        <v>17325</v>
      </c>
      <c r="J9784" t="s">
        <v>18926</v>
      </c>
      <c r="K9784">
        <v>11378</v>
      </c>
      <c r="L9784" t="s">
        <v>18959</v>
      </c>
      <c r="M9784" t="s">
        <v>18958</v>
      </c>
      <c r="N9784" t="s">
        <v>25698</v>
      </c>
      <c r="O9784" t="s">
        <v>26523</v>
      </c>
      <c r="P9784" t="s">
        <v>26564</v>
      </c>
      <c r="R9784" t="s">
        <v>26584</v>
      </c>
      <c r="S9784" t="s">
        <v>18959</v>
      </c>
      <c r="U9784" t="s">
        <v>26604</v>
      </c>
      <c r="V9784" t="s">
        <v>26610</v>
      </c>
      <c r="X9784">
        <v>1500</v>
      </c>
      <c r="Y9784" t="s">
        <v>26653</v>
      </c>
      <c r="Z9784" t="s">
        <v>26664</v>
      </c>
      <c r="AB9784" t="s">
        <v>33622</v>
      </c>
      <c r="AD9784" t="s">
        <v>44408</v>
      </c>
      <c r="AE9784">
        <v>26</v>
      </c>
      <c r="AF9784" t="s">
        <v>45541</v>
      </c>
      <c r="AG9784" t="s">
        <v>19330</v>
      </c>
      <c r="AH9784">
        <v>1</v>
      </c>
      <c r="AI9784">
        <v>1</v>
      </c>
      <c r="AJ9784">
        <v>0</v>
      </c>
      <c r="AK9784">
        <v>0</v>
      </c>
      <c r="AN9784" t="s">
        <v>7439</v>
      </c>
      <c r="AO9784">
        <v>0</v>
      </c>
      <c r="AU9784">
        <v>0.25</v>
      </c>
      <c r="AV9784" t="s">
        <v>745</v>
      </c>
      <c r="AW9784" t="s">
        <v>161</v>
      </c>
    </row>
    <row r="9785" spans="1:50">
      <c r="A9785" s="1">
        <f>HYPERLINK("https://lsnyc.legalserver.org/matter/dynamic-profile/view/1888955","19-1888955")</f>
        <v>0</v>
      </c>
      <c r="B9785" t="s">
        <v>236</v>
      </c>
      <c r="C9785" t="s">
        <v>340</v>
      </c>
      <c r="D9785" t="s">
        <v>732</v>
      </c>
      <c r="F9785" t="s">
        <v>2497</v>
      </c>
      <c r="G9785" t="s">
        <v>8880</v>
      </c>
      <c r="H9785" t="s">
        <v>13056</v>
      </c>
      <c r="I9785" t="s">
        <v>18623</v>
      </c>
      <c r="J9785" t="s">
        <v>18892</v>
      </c>
      <c r="K9785">
        <v>10452</v>
      </c>
      <c r="L9785" t="s">
        <v>18958</v>
      </c>
      <c r="M9785" t="s">
        <v>18958</v>
      </c>
      <c r="O9785" t="s">
        <v>26528</v>
      </c>
      <c r="P9785" t="s">
        <v>26560</v>
      </c>
      <c r="R9785" t="s">
        <v>26578</v>
      </c>
      <c r="S9785" t="s">
        <v>18958</v>
      </c>
      <c r="U9785" t="s">
        <v>26604</v>
      </c>
      <c r="X9785">
        <v>751.63</v>
      </c>
      <c r="Y9785" t="s">
        <v>26650</v>
      </c>
      <c r="Z9785" t="s">
        <v>26663</v>
      </c>
      <c r="AB9785" t="s">
        <v>33140</v>
      </c>
      <c r="AD9785" t="s">
        <v>40597</v>
      </c>
      <c r="AE9785">
        <v>0</v>
      </c>
      <c r="AF9785" t="s">
        <v>45541</v>
      </c>
      <c r="AH9785">
        <v>42</v>
      </c>
      <c r="AI9785">
        <v>1</v>
      </c>
      <c r="AJ9785">
        <v>0</v>
      </c>
      <c r="AK9785">
        <v>0</v>
      </c>
      <c r="AN9785" t="s">
        <v>7439</v>
      </c>
      <c r="AO9785">
        <v>0</v>
      </c>
      <c r="AU9785">
        <v>1</v>
      </c>
      <c r="AV9785" t="s">
        <v>755</v>
      </c>
      <c r="AW9785" t="s">
        <v>226</v>
      </c>
    </row>
    <row r="9786" spans="1:50">
      <c r="A9786" s="1">
        <f>HYPERLINK("https://lsnyc.legalserver.org/matter/dynamic-profile/view/1888949","19-1888949")</f>
        <v>0</v>
      </c>
      <c r="B9786" t="s">
        <v>236</v>
      </c>
      <c r="C9786" t="s">
        <v>340</v>
      </c>
      <c r="D9786" t="s">
        <v>732</v>
      </c>
      <c r="F9786" t="s">
        <v>939</v>
      </c>
      <c r="G9786" t="s">
        <v>5385</v>
      </c>
      <c r="H9786" t="s">
        <v>13056</v>
      </c>
      <c r="I9786" t="s">
        <v>17353</v>
      </c>
      <c r="J9786" t="s">
        <v>18892</v>
      </c>
      <c r="K9786">
        <v>10452</v>
      </c>
      <c r="L9786" t="s">
        <v>18958</v>
      </c>
      <c r="M9786" t="s">
        <v>18958</v>
      </c>
      <c r="O9786" t="s">
        <v>26528</v>
      </c>
      <c r="P9786" t="s">
        <v>26560</v>
      </c>
      <c r="R9786" t="s">
        <v>26578</v>
      </c>
      <c r="S9786" t="s">
        <v>18958</v>
      </c>
      <c r="U9786" t="s">
        <v>26604</v>
      </c>
      <c r="X9786">
        <v>1377.86</v>
      </c>
      <c r="Y9786" t="s">
        <v>26650</v>
      </c>
      <c r="Z9786" t="s">
        <v>26663</v>
      </c>
      <c r="AB9786" t="s">
        <v>30401</v>
      </c>
      <c r="AD9786" t="s">
        <v>40561</v>
      </c>
      <c r="AE9786">
        <v>0</v>
      </c>
      <c r="AF9786" t="s">
        <v>45541</v>
      </c>
      <c r="AG9786" t="s">
        <v>45556</v>
      </c>
      <c r="AH9786">
        <v>11</v>
      </c>
      <c r="AI9786">
        <v>1</v>
      </c>
      <c r="AJ9786">
        <v>1</v>
      </c>
      <c r="AK9786">
        <v>28.24</v>
      </c>
      <c r="AN9786" t="s">
        <v>7439</v>
      </c>
      <c r="AO9786">
        <v>4776</v>
      </c>
      <c r="AU9786">
        <v>0.6</v>
      </c>
      <c r="AV9786" t="s">
        <v>755</v>
      </c>
      <c r="AW9786" t="s">
        <v>226</v>
      </c>
    </row>
    <row r="9787" spans="1:50">
      <c r="A9787" s="1">
        <f>HYPERLINK("https://lsnyc.legalserver.org/matter/dynamic-profile/view/1888942","19-1888942")</f>
        <v>0</v>
      </c>
      <c r="B9787" t="s">
        <v>236</v>
      </c>
      <c r="C9787" t="s">
        <v>340</v>
      </c>
      <c r="D9787" t="s">
        <v>732</v>
      </c>
      <c r="F9787" t="s">
        <v>2002</v>
      </c>
      <c r="G9787" t="s">
        <v>9164</v>
      </c>
      <c r="H9787" t="s">
        <v>13056</v>
      </c>
      <c r="I9787" t="s">
        <v>17315</v>
      </c>
      <c r="J9787" t="s">
        <v>18892</v>
      </c>
      <c r="K9787">
        <v>10452</v>
      </c>
      <c r="L9787" t="s">
        <v>18958</v>
      </c>
      <c r="M9787" t="s">
        <v>18958</v>
      </c>
      <c r="N9787" t="s">
        <v>25662</v>
      </c>
      <c r="O9787" t="s">
        <v>26528</v>
      </c>
      <c r="P9787" t="s">
        <v>26560</v>
      </c>
      <c r="R9787" t="s">
        <v>26578</v>
      </c>
      <c r="S9787" t="s">
        <v>18958</v>
      </c>
      <c r="U9787" t="s">
        <v>26604</v>
      </c>
      <c r="X9787">
        <v>1100</v>
      </c>
      <c r="Y9787" t="s">
        <v>26650</v>
      </c>
      <c r="Z9787" t="s">
        <v>26663</v>
      </c>
      <c r="AB9787" t="s">
        <v>33623</v>
      </c>
      <c r="AD9787" t="s">
        <v>44409</v>
      </c>
      <c r="AE9787">
        <v>0</v>
      </c>
      <c r="AF9787" t="s">
        <v>45541</v>
      </c>
      <c r="AG9787" t="s">
        <v>26530</v>
      </c>
      <c r="AH9787">
        <v>4</v>
      </c>
      <c r="AI9787">
        <v>1</v>
      </c>
      <c r="AJ9787">
        <v>0</v>
      </c>
      <c r="AK9787">
        <v>79.73999999999999</v>
      </c>
      <c r="AN9787" t="s">
        <v>7439</v>
      </c>
      <c r="AO9787">
        <v>9960</v>
      </c>
      <c r="AU9787">
        <v>0.3</v>
      </c>
      <c r="AV9787" t="s">
        <v>755</v>
      </c>
      <c r="AW9787" t="s">
        <v>226</v>
      </c>
    </row>
    <row r="9788" spans="1:50">
      <c r="A9788" s="1">
        <f>HYPERLINK("https://lsnyc.legalserver.org/matter/dynamic-profile/view/1888941","19-1888941")</f>
        <v>0</v>
      </c>
      <c r="B9788" t="s">
        <v>236</v>
      </c>
      <c r="C9788" t="s">
        <v>340</v>
      </c>
      <c r="D9788" t="s">
        <v>732</v>
      </c>
      <c r="F9788" t="s">
        <v>4654</v>
      </c>
      <c r="G9788" t="s">
        <v>9165</v>
      </c>
      <c r="H9788" t="s">
        <v>13056</v>
      </c>
      <c r="I9788" t="s">
        <v>17496</v>
      </c>
      <c r="J9788" t="s">
        <v>18892</v>
      </c>
      <c r="K9788">
        <v>10452</v>
      </c>
      <c r="L9788" t="s">
        <v>18958</v>
      </c>
      <c r="M9788" t="s">
        <v>18958</v>
      </c>
      <c r="N9788" t="s">
        <v>25662</v>
      </c>
      <c r="O9788" t="s">
        <v>26528</v>
      </c>
      <c r="P9788" t="s">
        <v>26560</v>
      </c>
      <c r="R9788" t="s">
        <v>26578</v>
      </c>
      <c r="S9788" t="s">
        <v>18958</v>
      </c>
      <c r="U9788" t="s">
        <v>26604</v>
      </c>
      <c r="X9788">
        <v>1200</v>
      </c>
      <c r="Y9788" t="s">
        <v>26650</v>
      </c>
      <c r="Z9788" t="s">
        <v>26663</v>
      </c>
      <c r="AB9788" t="s">
        <v>33624</v>
      </c>
      <c r="AD9788" t="s">
        <v>44410</v>
      </c>
      <c r="AE9788">
        <v>0</v>
      </c>
      <c r="AF9788" t="s">
        <v>45541</v>
      </c>
      <c r="AG9788" t="s">
        <v>19330</v>
      </c>
      <c r="AH9788">
        <v>13</v>
      </c>
      <c r="AI9788">
        <v>2</v>
      </c>
      <c r="AJ9788">
        <v>0</v>
      </c>
      <c r="AK9788">
        <v>138.38</v>
      </c>
      <c r="AN9788" t="s">
        <v>7439</v>
      </c>
      <c r="AO9788">
        <v>23400</v>
      </c>
      <c r="AU9788">
        <v>0</v>
      </c>
      <c r="AW9788" t="s">
        <v>226</v>
      </c>
    </row>
    <row r="9789" spans="1:50">
      <c r="A9789" s="1">
        <f>HYPERLINK("https://lsnyc.legalserver.org/matter/dynamic-profile/view/1888939","19-1888939")</f>
        <v>0</v>
      </c>
      <c r="B9789" t="s">
        <v>236</v>
      </c>
      <c r="C9789" t="s">
        <v>340</v>
      </c>
      <c r="D9789" t="s">
        <v>732</v>
      </c>
      <c r="F9789" t="s">
        <v>4655</v>
      </c>
      <c r="G9789" t="s">
        <v>9166</v>
      </c>
      <c r="H9789" t="s">
        <v>13056</v>
      </c>
      <c r="I9789" t="s">
        <v>17327</v>
      </c>
      <c r="J9789" t="s">
        <v>18892</v>
      </c>
      <c r="K9789">
        <v>10452</v>
      </c>
      <c r="L9789" t="s">
        <v>18958</v>
      </c>
      <c r="M9789" t="s">
        <v>18958</v>
      </c>
      <c r="N9789" t="s">
        <v>25662</v>
      </c>
      <c r="O9789" t="s">
        <v>26528</v>
      </c>
      <c r="P9789" t="s">
        <v>26560</v>
      </c>
      <c r="R9789" t="s">
        <v>26578</v>
      </c>
      <c r="S9789" t="s">
        <v>18958</v>
      </c>
      <c r="U9789" t="s">
        <v>26604</v>
      </c>
      <c r="X9789">
        <v>827.3099999999999</v>
      </c>
      <c r="Y9789" t="s">
        <v>26650</v>
      </c>
      <c r="Z9789" t="s">
        <v>26663</v>
      </c>
      <c r="AB9789" t="s">
        <v>33625</v>
      </c>
      <c r="AD9789" t="s">
        <v>44411</v>
      </c>
      <c r="AE9789">
        <v>0</v>
      </c>
      <c r="AF9789" t="s">
        <v>45541</v>
      </c>
      <c r="AG9789" t="s">
        <v>19330</v>
      </c>
      <c r="AH9789">
        <v>37</v>
      </c>
      <c r="AI9789">
        <v>1</v>
      </c>
      <c r="AJ9789">
        <v>0</v>
      </c>
      <c r="AK9789">
        <v>355.48</v>
      </c>
      <c r="AN9789" t="s">
        <v>7439</v>
      </c>
      <c r="AO9789">
        <v>44400</v>
      </c>
      <c r="AU9789">
        <v>0</v>
      </c>
      <c r="AW9789" t="s">
        <v>226</v>
      </c>
    </row>
    <row r="9790" spans="1:50">
      <c r="A9790" s="1">
        <f>HYPERLINK("https://lsnyc.legalserver.org/matter/dynamic-profile/view/1888917","19-1888917")</f>
        <v>0</v>
      </c>
      <c r="B9790" t="s">
        <v>236</v>
      </c>
      <c r="C9790" t="s">
        <v>340</v>
      </c>
      <c r="D9790" t="s">
        <v>732</v>
      </c>
      <c r="F9790" t="s">
        <v>1028</v>
      </c>
      <c r="G9790" t="s">
        <v>989</v>
      </c>
      <c r="H9790" t="s">
        <v>13056</v>
      </c>
      <c r="I9790" t="s">
        <v>17712</v>
      </c>
      <c r="J9790" t="s">
        <v>18892</v>
      </c>
      <c r="K9790">
        <v>10452</v>
      </c>
      <c r="L9790" t="s">
        <v>18958</v>
      </c>
      <c r="M9790" t="s">
        <v>18958</v>
      </c>
      <c r="N9790" t="s">
        <v>25699</v>
      </c>
      <c r="O9790" t="s">
        <v>26528</v>
      </c>
      <c r="P9790" t="s">
        <v>26560</v>
      </c>
      <c r="R9790" t="s">
        <v>26578</v>
      </c>
      <c r="S9790" t="s">
        <v>18958</v>
      </c>
      <c r="U9790" t="s">
        <v>26604</v>
      </c>
      <c r="X9790">
        <v>771</v>
      </c>
      <c r="Y9790" t="s">
        <v>26650</v>
      </c>
      <c r="Z9790" t="s">
        <v>26663</v>
      </c>
      <c r="AB9790" t="s">
        <v>33626</v>
      </c>
      <c r="AD9790" t="s">
        <v>44412</v>
      </c>
      <c r="AE9790">
        <v>0</v>
      </c>
      <c r="AF9790" t="s">
        <v>45541</v>
      </c>
      <c r="AG9790" t="s">
        <v>19330</v>
      </c>
      <c r="AH9790">
        <v>31</v>
      </c>
      <c r="AI9790">
        <v>2</v>
      </c>
      <c r="AJ9790">
        <v>1</v>
      </c>
      <c r="AK9790">
        <v>487.58</v>
      </c>
      <c r="AN9790" t="s">
        <v>7439</v>
      </c>
      <c r="AO9790">
        <v>104000</v>
      </c>
      <c r="AU9790">
        <v>8</v>
      </c>
      <c r="AV9790" t="s">
        <v>810</v>
      </c>
      <c r="AW9790" t="s">
        <v>226</v>
      </c>
    </row>
    <row r="9791" spans="1:50">
      <c r="A9791" s="1">
        <f>HYPERLINK("https://lsnyc.legalserver.org/matter/dynamic-profile/view/1887812","19-1887812")</f>
        <v>0</v>
      </c>
      <c r="B9791" t="s">
        <v>104</v>
      </c>
      <c r="C9791" t="s">
        <v>340</v>
      </c>
      <c r="D9791" t="s">
        <v>732</v>
      </c>
      <c r="F9791" t="s">
        <v>962</v>
      </c>
      <c r="G9791" t="s">
        <v>5125</v>
      </c>
      <c r="H9791" t="s">
        <v>14116</v>
      </c>
      <c r="I9791" t="s">
        <v>17465</v>
      </c>
      <c r="J9791" t="s">
        <v>18902</v>
      </c>
      <c r="K9791">
        <v>10310</v>
      </c>
      <c r="L9791" t="s">
        <v>18960</v>
      </c>
      <c r="M9791" t="s">
        <v>18960</v>
      </c>
      <c r="R9791" t="s">
        <v>26587</v>
      </c>
      <c r="U9791" t="s">
        <v>26605</v>
      </c>
      <c r="X9791">
        <v>0</v>
      </c>
      <c r="Y9791" t="s">
        <v>26654</v>
      </c>
      <c r="AB9791" t="s">
        <v>33627</v>
      </c>
      <c r="AD9791" t="s">
        <v>44413</v>
      </c>
      <c r="AE9791">
        <v>0</v>
      </c>
      <c r="AH9791">
        <v>0</v>
      </c>
      <c r="AI9791">
        <v>1</v>
      </c>
      <c r="AJ9791">
        <v>2</v>
      </c>
      <c r="AK9791">
        <v>50.59</v>
      </c>
      <c r="AN9791" t="s">
        <v>7439</v>
      </c>
      <c r="AO9791">
        <v>10512</v>
      </c>
      <c r="AU9791">
        <v>16.6</v>
      </c>
      <c r="AV9791" t="s">
        <v>835</v>
      </c>
      <c r="AW9791" t="s">
        <v>46852</v>
      </c>
    </row>
    <row r="9792" spans="1:50">
      <c r="A9792" s="1">
        <f>HYPERLINK("https://lsnyc.legalserver.org/matter/dynamic-profile/view/1888981","19-1888981")</f>
        <v>0</v>
      </c>
      <c r="B9792" t="s">
        <v>112</v>
      </c>
      <c r="C9792" t="s">
        <v>340</v>
      </c>
      <c r="D9792" t="s">
        <v>732</v>
      </c>
      <c r="F9792" t="s">
        <v>925</v>
      </c>
      <c r="G9792" t="s">
        <v>9167</v>
      </c>
      <c r="H9792" t="s">
        <v>16301</v>
      </c>
      <c r="I9792" t="s">
        <v>17334</v>
      </c>
      <c r="J9792" t="s">
        <v>18907</v>
      </c>
      <c r="K9792">
        <v>11377</v>
      </c>
      <c r="L9792" t="s">
        <v>18958</v>
      </c>
      <c r="M9792" t="s">
        <v>18958</v>
      </c>
      <c r="N9792" t="s">
        <v>25700</v>
      </c>
      <c r="O9792" t="s">
        <v>26523</v>
      </c>
      <c r="P9792" t="s">
        <v>26563</v>
      </c>
      <c r="R9792" t="s">
        <v>26584</v>
      </c>
      <c r="S9792" t="s">
        <v>18959</v>
      </c>
      <c r="U9792" t="s">
        <v>26604</v>
      </c>
      <c r="X9792">
        <v>600</v>
      </c>
      <c r="Y9792" t="s">
        <v>26653</v>
      </c>
      <c r="Z9792" t="s">
        <v>26664</v>
      </c>
      <c r="AB9792" t="s">
        <v>33628</v>
      </c>
      <c r="AD9792" t="s">
        <v>44414</v>
      </c>
      <c r="AE9792">
        <v>0</v>
      </c>
      <c r="AF9792" t="s">
        <v>20460</v>
      </c>
      <c r="AG9792" t="s">
        <v>19330</v>
      </c>
      <c r="AH9792">
        <v>-1</v>
      </c>
      <c r="AI9792">
        <v>1</v>
      </c>
      <c r="AJ9792">
        <v>2</v>
      </c>
      <c r="AK9792">
        <v>23.65</v>
      </c>
      <c r="AN9792" t="s">
        <v>45581</v>
      </c>
      <c r="AO9792">
        <v>5044</v>
      </c>
      <c r="AU9792">
        <v>2.1</v>
      </c>
      <c r="AV9792" t="s">
        <v>752</v>
      </c>
      <c r="AW9792" t="s">
        <v>208</v>
      </c>
    </row>
    <row r="9793" spans="1:50">
      <c r="A9793" s="1">
        <f>HYPERLINK("https://lsnyc.legalserver.org/matter/dynamic-profile/view/1888938","19-1888938")</f>
        <v>0</v>
      </c>
      <c r="B9793" t="s">
        <v>54</v>
      </c>
      <c r="C9793" t="s">
        <v>340</v>
      </c>
      <c r="D9793" t="s">
        <v>732</v>
      </c>
      <c r="F9793" t="s">
        <v>4656</v>
      </c>
      <c r="G9793" t="s">
        <v>2749</v>
      </c>
      <c r="H9793" t="s">
        <v>13573</v>
      </c>
      <c r="I9793" t="s">
        <v>17972</v>
      </c>
      <c r="J9793" t="s">
        <v>18892</v>
      </c>
      <c r="K9793">
        <v>10467</v>
      </c>
      <c r="L9793" t="s">
        <v>18960</v>
      </c>
      <c r="M9793" t="s">
        <v>18960</v>
      </c>
      <c r="N9793" t="s">
        <v>25701</v>
      </c>
      <c r="O9793" t="s">
        <v>26525</v>
      </c>
      <c r="P9793" t="s">
        <v>26561</v>
      </c>
      <c r="R9793" t="s">
        <v>26583</v>
      </c>
      <c r="S9793" t="s">
        <v>18959</v>
      </c>
      <c r="U9793" t="s">
        <v>26605</v>
      </c>
      <c r="V9793" t="s">
        <v>26610</v>
      </c>
      <c r="X9793">
        <v>833</v>
      </c>
      <c r="Y9793" t="s">
        <v>26650</v>
      </c>
      <c r="Z9793" t="s">
        <v>26661</v>
      </c>
      <c r="AB9793" t="s">
        <v>33629</v>
      </c>
      <c r="AD9793" t="s">
        <v>44415</v>
      </c>
      <c r="AE9793">
        <v>130</v>
      </c>
      <c r="AF9793" t="s">
        <v>45543</v>
      </c>
      <c r="AG9793" t="s">
        <v>19330</v>
      </c>
      <c r="AH9793">
        <v>2</v>
      </c>
      <c r="AI9793">
        <v>1</v>
      </c>
      <c r="AJ9793">
        <v>1</v>
      </c>
      <c r="AK9793">
        <v>206.98</v>
      </c>
      <c r="AN9793" t="s">
        <v>7439</v>
      </c>
      <c r="AO9793">
        <v>35000</v>
      </c>
      <c r="AU9793">
        <v>5.1</v>
      </c>
      <c r="AV9793" t="s">
        <v>787</v>
      </c>
      <c r="AW9793" t="s">
        <v>46858</v>
      </c>
    </row>
    <row r="9794" spans="1:50">
      <c r="A9794" s="1">
        <f>HYPERLINK("https://lsnyc.legalserver.org/matter/dynamic-profile/view/1888976","19-1888976")</f>
        <v>0</v>
      </c>
      <c r="B9794" t="s">
        <v>235</v>
      </c>
      <c r="C9794" t="s">
        <v>340</v>
      </c>
      <c r="D9794" t="s">
        <v>732</v>
      </c>
      <c r="F9794" t="s">
        <v>994</v>
      </c>
      <c r="G9794" t="s">
        <v>5563</v>
      </c>
      <c r="H9794" t="s">
        <v>16302</v>
      </c>
      <c r="I9794" t="s">
        <v>17527</v>
      </c>
      <c r="J9794" t="s">
        <v>18901</v>
      </c>
      <c r="K9794">
        <v>11434</v>
      </c>
      <c r="L9794" t="s">
        <v>18958</v>
      </c>
      <c r="M9794" t="s">
        <v>18958</v>
      </c>
      <c r="N9794" t="s">
        <v>25702</v>
      </c>
      <c r="O9794" t="s">
        <v>26523</v>
      </c>
      <c r="P9794" t="s">
        <v>26564</v>
      </c>
      <c r="R9794" t="s">
        <v>26583</v>
      </c>
      <c r="S9794" t="s">
        <v>18959</v>
      </c>
      <c r="U9794" t="s">
        <v>26604</v>
      </c>
      <c r="V9794" t="s">
        <v>26610</v>
      </c>
      <c r="X9794">
        <v>927</v>
      </c>
      <c r="Y9794" t="s">
        <v>26653</v>
      </c>
      <c r="Z9794" t="s">
        <v>26664</v>
      </c>
      <c r="AB9794" t="s">
        <v>31948</v>
      </c>
      <c r="AD9794" t="s">
        <v>44416</v>
      </c>
      <c r="AE9794">
        <v>293</v>
      </c>
      <c r="AF9794" t="s">
        <v>45553</v>
      </c>
      <c r="AG9794" t="s">
        <v>19330</v>
      </c>
      <c r="AH9794">
        <v>13</v>
      </c>
      <c r="AI9794">
        <v>1</v>
      </c>
      <c r="AJ9794">
        <v>0</v>
      </c>
      <c r="AK9794">
        <v>0</v>
      </c>
      <c r="AN9794" t="s">
        <v>7439</v>
      </c>
      <c r="AO9794">
        <v>0</v>
      </c>
      <c r="AU9794">
        <v>1.7</v>
      </c>
      <c r="AV9794" t="s">
        <v>754</v>
      </c>
      <c r="AW9794" t="s">
        <v>161</v>
      </c>
    </row>
    <row r="9795" spans="1:50">
      <c r="A9795" s="1">
        <f>HYPERLINK("https://lsnyc.legalserver.org/matter/dynamic-profile/view/1888875","19-1888875")</f>
        <v>0</v>
      </c>
      <c r="B9795" t="s">
        <v>235</v>
      </c>
      <c r="C9795" t="s">
        <v>340</v>
      </c>
      <c r="D9795" t="s">
        <v>732</v>
      </c>
      <c r="F9795" t="s">
        <v>1246</v>
      </c>
      <c r="G9795" t="s">
        <v>9168</v>
      </c>
      <c r="H9795" t="s">
        <v>16303</v>
      </c>
      <c r="I9795" t="s">
        <v>18714</v>
      </c>
      <c r="J9795" t="s">
        <v>18931</v>
      </c>
      <c r="K9795">
        <v>11412</v>
      </c>
      <c r="L9795" t="s">
        <v>18960</v>
      </c>
      <c r="M9795" t="s">
        <v>18960</v>
      </c>
      <c r="N9795" t="s">
        <v>25703</v>
      </c>
      <c r="P9795" t="s">
        <v>26564</v>
      </c>
      <c r="R9795" t="s">
        <v>26584</v>
      </c>
      <c r="U9795" t="s">
        <v>26604</v>
      </c>
      <c r="X9795">
        <v>0</v>
      </c>
      <c r="Y9795" t="s">
        <v>26653</v>
      </c>
      <c r="Z9795" t="s">
        <v>26664</v>
      </c>
      <c r="AB9795" t="s">
        <v>33630</v>
      </c>
      <c r="AD9795" t="s">
        <v>44417</v>
      </c>
      <c r="AE9795">
        <v>1</v>
      </c>
      <c r="AF9795" t="s">
        <v>45547</v>
      </c>
      <c r="AG9795" t="s">
        <v>19330</v>
      </c>
      <c r="AH9795">
        <v>9</v>
      </c>
      <c r="AI9795">
        <v>2</v>
      </c>
      <c r="AJ9795">
        <v>0</v>
      </c>
      <c r="AK9795">
        <v>19.07</v>
      </c>
      <c r="AO9795">
        <v>3224</v>
      </c>
      <c r="AU9795">
        <v>0</v>
      </c>
      <c r="AW9795" t="s">
        <v>122</v>
      </c>
    </row>
    <row r="9796" spans="1:50">
      <c r="A9796" s="1">
        <f>HYPERLINK("https://lsnyc.legalserver.org/matter/dynamic-profile/view/1889207","19-1889207")</f>
        <v>0</v>
      </c>
      <c r="B9796" t="s">
        <v>286</v>
      </c>
      <c r="C9796" t="s">
        <v>341</v>
      </c>
      <c r="D9796" t="s">
        <v>693</v>
      </c>
      <c r="E9796" t="s">
        <v>747</v>
      </c>
      <c r="F9796" t="s">
        <v>4657</v>
      </c>
      <c r="G9796" t="s">
        <v>9169</v>
      </c>
      <c r="H9796" t="s">
        <v>16304</v>
      </c>
      <c r="I9796" t="s">
        <v>17282</v>
      </c>
      <c r="J9796" t="s">
        <v>18894</v>
      </c>
      <c r="K9796">
        <v>11207</v>
      </c>
      <c r="L9796" t="s">
        <v>18959</v>
      </c>
      <c r="M9796" t="s">
        <v>18959</v>
      </c>
      <c r="N9796" t="s">
        <v>18997</v>
      </c>
      <c r="P9796" t="s">
        <v>26564</v>
      </c>
      <c r="Q9796" t="s">
        <v>26570</v>
      </c>
      <c r="R9796" t="s">
        <v>26578</v>
      </c>
      <c r="S9796" t="s">
        <v>18959</v>
      </c>
      <c r="U9796" t="s">
        <v>26604</v>
      </c>
      <c r="V9796" t="s">
        <v>26610</v>
      </c>
      <c r="X9796">
        <v>900</v>
      </c>
      <c r="Y9796" t="s">
        <v>26652</v>
      </c>
      <c r="Z9796" t="s">
        <v>26673</v>
      </c>
      <c r="AA9796" t="s">
        <v>26688</v>
      </c>
      <c r="AB9796" t="s">
        <v>33631</v>
      </c>
      <c r="AD9796" t="s">
        <v>44418</v>
      </c>
      <c r="AE9796">
        <v>6</v>
      </c>
      <c r="AH9796">
        <v>1</v>
      </c>
      <c r="AI9796">
        <v>1</v>
      </c>
      <c r="AJ9796">
        <v>0</v>
      </c>
      <c r="AK9796">
        <v>194.56</v>
      </c>
      <c r="AN9796" t="s">
        <v>45596</v>
      </c>
      <c r="AO9796">
        <v>24300</v>
      </c>
      <c r="AU9796">
        <v>0.5</v>
      </c>
      <c r="AV9796" t="s">
        <v>693</v>
      </c>
      <c r="AW9796" t="s">
        <v>46861</v>
      </c>
    </row>
    <row r="9797" spans="1:50">
      <c r="A9797" s="1">
        <f>HYPERLINK("https://lsnyc.legalserver.org/matter/dynamic-profile/view/1892211","19-1892211")</f>
        <v>0</v>
      </c>
      <c r="B9797" t="s">
        <v>186</v>
      </c>
      <c r="C9797" t="s">
        <v>341</v>
      </c>
      <c r="D9797" t="s">
        <v>693</v>
      </c>
      <c r="E9797" t="s">
        <v>832</v>
      </c>
      <c r="F9797" t="s">
        <v>1527</v>
      </c>
      <c r="G9797" t="s">
        <v>6987</v>
      </c>
      <c r="H9797" t="s">
        <v>16305</v>
      </c>
      <c r="I9797">
        <v>228</v>
      </c>
      <c r="J9797" t="s">
        <v>18894</v>
      </c>
      <c r="K9797">
        <v>11224</v>
      </c>
      <c r="L9797" t="s">
        <v>18960</v>
      </c>
      <c r="M9797" t="s">
        <v>18960</v>
      </c>
      <c r="O9797" t="s">
        <v>18997</v>
      </c>
      <c r="P9797" t="s">
        <v>26560</v>
      </c>
      <c r="Q9797" t="s">
        <v>26568</v>
      </c>
      <c r="R9797" t="s">
        <v>26586</v>
      </c>
      <c r="U9797" t="s">
        <v>26604</v>
      </c>
      <c r="X9797">
        <v>1117</v>
      </c>
      <c r="Y9797" t="s">
        <v>26652</v>
      </c>
      <c r="AA9797" t="s">
        <v>26678</v>
      </c>
      <c r="AB9797" t="s">
        <v>33632</v>
      </c>
      <c r="AD9797" t="s">
        <v>44419</v>
      </c>
      <c r="AE9797">
        <v>0</v>
      </c>
      <c r="AF9797" t="s">
        <v>20460</v>
      </c>
      <c r="AG9797" t="s">
        <v>19330</v>
      </c>
      <c r="AH9797">
        <v>18</v>
      </c>
      <c r="AI9797">
        <v>1</v>
      </c>
      <c r="AJ9797">
        <v>0</v>
      </c>
      <c r="AK9797">
        <v>172.94</v>
      </c>
      <c r="AN9797" t="s">
        <v>7439</v>
      </c>
      <c r="AO9797">
        <v>21600</v>
      </c>
      <c r="AR9797" t="s">
        <v>46380</v>
      </c>
      <c r="AS9797" t="s">
        <v>46499</v>
      </c>
      <c r="AT9797" t="s">
        <v>46749</v>
      </c>
      <c r="AU9797">
        <v>2.75</v>
      </c>
      <c r="AV9797" t="s">
        <v>832</v>
      </c>
      <c r="AW9797" t="s">
        <v>46882</v>
      </c>
    </row>
    <row r="9798" spans="1:50">
      <c r="A9798" s="1">
        <f>HYPERLINK("https://lsnyc.legalserver.org/matter/dynamic-profile/view/1889196","19-1889196")</f>
        <v>0</v>
      </c>
      <c r="B9798" t="s">
        <v>127</v>
      </c>
      <c r="C9798" t="s">
        <v>341</v>
      </c>
      <c r="D9798" t="s">
        <v>693</v>
      </c>
      <c r="E9798" t="s">
        <v>793</v>
      </c>
      <c r="F9798" t="s">
        <v>1489</v>
      </c>
      <c r="G9798" t="s">
        <v>9170</v>
      </c>
      <c r="H9798" t="s">
        <v>12316</v>
      </c>
      <c r="I9798" t="s">
        <v>17312</v>
      </c>
      <c r="J9798" t="s">
        <v>18894</v>
      </c>
      <c r="K9798">
        <v>11207</v>
      </c>
      <c r="L9798" t="s">
        <v>18958</v>
      </c>
      <c r="M9798" t="s">
        <v>18958</v>
      </c>
      <c r="N9798" t="s">
        <v>21501</v>
      </c>
      <c r="P9798" t="s">
        <v>26565</v>
      </c>
      <c r="Q9798" t="s">
        <v>26571</v>
      </c>
      <c r="R9798" t="s">
        <v>26578</v>
      </c>
      <c r="U9798" t="s">
        <v>26604</v>
      </c>
      <c r="X9798">
        <v>1775</v>
      </c>
      <c r="Y9798" t="s">
        <v>26652</v>
      </c>
      <c r="Z9798" t="s">
        <v>26673</v>
      </c>
      <c r="AA9798" t="s">
        <v>26679</v>
      </c>
      <c r="AB9798" t="s">
        <v>29596</v>
      </c>
      <c r="AD9798" t="s">
        <v>44420</v>
      </c>
      <c r="AE9798">
        <v>4</v>
      </c>
      <c r="AH9798">
        <v>2</v>
      </c>
      <c r="AI9798">
        <v>1</v>
      </c>
      <c r="AJ9798">
        <v>0</v>
      </c>
      <c r="AK9798">
        <v>192.15</v>
      </c>
      <c r="AN9798" t="s">
        <v>7439</v>
      </c>
      <c r="AO9798">
        <v>24000</v>
      </c>
      <c r="AP9798" t="s">
        <v>46202</v>
      </c>
      <c r="AU9798">
        <v>1.35</v>
      </c>
      <c r="AV9798" t="s">
        <v>793</v>
      </c>
      <c r="AW9798" t="s">
        <v>46861</v>
      </c>
    </row>
    <row r="9799" spans="1:50">
      <c r="A9799" s="1">
        <f>HYPERLINK("https://lsnyc.legalserver.org/matter/dynamic-profile/view/1889181","19-1889181")</f>
        <v>0</v>
      </c>
      <c r="B9799" t="s">
        <v>104</v>
      </c>
      <c r="C9799" t="s">
        <v>341</v>
      </c>
      <c r="D9799" t="s">
        <v>693</v>
      </c>
      <c r="E9799" t="s">
        <v>805</v>
      </c>
      <c r="F9799" t="s">
        <v>4658</v>
      </c>
      <c r="G9799" t="s">
        <v>6071</v>
      </c>
      <c r="H9799" t="s">
        <v>9902</v>
      </c>
      <c r="I9799" t="s">
        <v>17306</v>
      </c>
      <c r="J9799" t="s">
        <v>18902</v>
      </c>
      <c r="K9799">
        <v>10303</v>
      </c>
      <c r="L9799" t="s">
        <v>18958</v>
      </c>
      <c r="M9799" t="s">
        <v>18960</v>
      </c>
      <c r="N9799" t="s">
        <v>25704</v>
      </c>
      <c r="O9799" t="s">
        <v>26523</v>
      </c>
      <c r="P9799" t="s">
        <v>26560</v>
      </c>
      <c r="Q9799" t="s">
        <v>26568</v>
      </c>
      <c r="R9799" t="s">
        <v>26590</v>
      </c>
      <c r="S9799" t="s">
        <v>18959</v>
      </c>
      <c r="U9799" t="s">
        <v>26605</v>
      </c>
      <c r="V9799" t="s">
        <v>26610</v>
      </c>
      <c r="X9799">
        <v>868</v>
      </c>
      <c r="Y9799" t="s">
        <v>26654</v>
      </c>
      <c r="Z9799" t="s">
        <v>26668</v>
      </c>
      <c r="AA9799" t="s">
        <v>26680</v>
      </c>
      <c r="AB9799" t="s">
        <v>33633</v>
      </c>
      <c r="AD9799" t="s">
        <v>44421</v>
      </c>
      <c r="AE9799">
        <v>0</v>
      </c>
      <c r="AF9799" t="s">
        <v>45549</v>
      </c>
      <c r="AG9799" t="s">
        <v>45556</v>
      </c>
      <c r="AH9799">
        <v>50</v>
      </c>
      <c r="AI9799">
        <v>3</v>
      </c>
      <c r="AJ9799">
        <v>2</v>
      </c>
      <c r="AK9799">
        <v>64</v>
      </c>
      <c r="AN9799" t="s">
        <v>7439</v>
      </c>
      <c r="AO9799">
        <v>19308</v>
      </c>
      <c r="AR9799" t="s">
        <v>46380</v>
      </c>
      <c r="AS9799" t="s">
        <v>46499</v>
      </c>
      <c r="AT9799" t="s">
        <v>46704</v>
      </c>
      <c r="AU9799">
        <v>17.4</v>
      </c>
      <c r="AV9799" t="s">
        <v>764</v>
      </c>
      <c r="AW9799" t="s">
        <v>185</v>
      </c>
      <c r="AX9799" t="s">
        <v>46897</v>
      </c>
    </row>
    <row r="9800" spans="1:50">
      <c r="A9800" s="1">
        <f>HYPERLINK("https://lsnyc.legalserver.org/matter/dynamic-profile/view/1889138","19-1889138")</f>
        <v>0</v>
      </c>
      <c r="B9800" t="s">
        <v>195</v>
      </c>
      <c r="C9800" t="s">
        <v>340</v>
      </c>
      <c r="D9800" t="s">
        <v>693</v>
      </c>
      <c r="F9800" t="s">
        <v>1801</v>
      </c>
      <c r="G9800" t="s">
        <v>9171</v>
      </c>
      <c r="H9800" t="s">
        <v>16306</v>
      </c>
      <c r="I9800">
        <v>31</v>
      </c>
      <c r="J9800" t="s">
        <v>18893</v>
      </c>
      <c r="K9800">
        <v>10032</v>
      </c>
      <c r="L9800" t="s">
        <v>18959</v>
      </c>
      <c r="M9800" t="s">
        <v>18959</v>
      </c>
      <c r="N9800" t="s">
        <v>25705</v>
      </c>
      <c r="O9800" t="s">
        <v>26524</v>
      </c>
      <c r="P9800" t="s">
        <v>26563</v>
      </c>
      <c r="R9800" t="s">
        <v>26582</v>
      </c>
      <c r="S9800" t="s">
        <v>18959</v>
      </c>
      <c r="U9800" t="s">
        <v>26604</v>
      </c>
      <c r="X9800">
        <v>825</v>
      </c>
      <c r="Y9800" t="s">
        <v>26651</v>
      </c>
      <c r="Z9800" t="s">
        <v>26659</v>
      </c>
      <c r="AB9800" t="s">
        <v>27002</v>
      </c>
      <c r="AD9800" t="s">
        <v>44422</v>
      </c>
      <c r="AE9800">
        <v>0</v>
      </c>
      <c r="AF9800" t="s">
        <v>45544</v>
      </c>
      <c r="AG9800" t="s">
        <v>19330</v>
      </c>
      <c r="AH9800">
        <v>15</v>
      </c>
      <c r="AI9800">
        <v>1</v>
      </c>
      <c r="AJ9800">
        <v>1</v>
      </c>
      <c r="AK9800">
        <v>49.67</v>
      </c>
      <c r="AN9800" t="s">
        <v>7439</v>
      </c>
      <c r="AO9800">
        <v>8400</v>
      </c>
      <c r="AU9800">
        <v>1.4</v>
      </c>
      <c r="AV9800" t="s">
        <v>800</v>
      </c>
      <c r="AW9800" t="s">
        <v>314</v>
      </c>
    </row>
    <row r="9801" spans="1:50">
      <c r="A9801" s="1">
        <f>HYPERLINK("https://lsnyc.legalserver.org/matter/dynamic-profile/view/1889240","19-1889240")</f>
        <v>0</v>
      </c>
      <c r="B9801" t="s">
        <v>117</v>
      </c>
      <c r="C9801" t="s">
        <v>340</v>
      </c>
      <c r="D9801" t="s">
        <v>693</v>
      </c>
      <c r="F9801" t="s">
        <v>2111</v>
      </c>
      <c r="G9801" t="s">
        <v>6900</v>
      </c>
      <c r="H9801" t="s">
        <v>16307</v>
      </c>
      <c r="I9801" t="s">
        <v>17967</v>
      </c>
      <c r="J9801" t="s">
        <v>18894</v>
      </c>
      <c r="K9801">
        <v>11233</v>
      </c>
      <c r="L9801" t="s">
        <v>18959</v>
      </c>
      <c r="M9801" t="s">
        <v>18959</v>
      </c>
      <c r="N9801" t="s">
        <v>18997</v>
      </c>
      <c r="O9801" t="s">
        <v>26523</v>
      </c>
      <c r="R9801" t="s">
        <v>26578</v>
      </c>
      <c r="S9801" t="s">
        <v>18959</v>
      </c>
      <c r="U9801" t="s">
        <v>26604</v>
      </c>
      <c r="V9801" t="s">
        <v>26610</v>
      </c>
      <c r="X9801">
        <v>956</v>
      </c>
      <c r="Y9801" t="s">
        <v>26652</v>
      </c>
      <c r="Z9801" t="s">
        <v>26661</v>
      </c>
      <c r="AB9801" t="s">
        <v>30655</v>
      </c>
      <c r="AC9801" t="s">
        <v>19330</v>
      </c>
      <c r="AD9801" t="s">
        <v>44423</v>
      </c>
      <c r="AE9801">
        <v>34</v>
      </c>
      <c r="AF9801" t="s">
        <v>45543</v>
      </c>
      <c r="AG9801" t="s">
        <v>19330</v>
      </c>
      <c r="AH9801">
        <v>5</v>
      </c>
      <c r="AI9801">
        <v>1</v>
      </c>
      <c r="AJ9801">
        <v>0</v>
      </c>
      <c r="AK9801">
        <v>208.17</v>
      </c>
      <c r="AN9801" t="s">
        <v>7439</v>
      </c>
      <c r="AO9801">
        <v>26000</v>
      </c>
      <c r="AU9801">
        <v>0</v>
      </c>
      <c r="AW9801" t="s">
        <v>279</v>
      </c>
    </row>
    <row r="9802" spans="1:50">
      <c r="A9802" s="1">
        <f>HYPERLINK("https://lsnyc.legalserver.org/matter/dynamic-profile/view/1889195","19-1889195")</f>
        <v>0</v>
      </c>
      <c r="B9802" t="s">
        <v>56</v>
      </c>
      <c r="C9802" t="s">
        <v>340</v>
      </c>
      <c r="D9802" t="s">
        <v>693</v>
      </c>
      <c r="F9802" t="s">
        <v>3182</v>
      </c>
      <c r="G9802" t="s">
        <v>6242</v>
      </c>
      <c r="H9802" t="s">
        <v>16216</v>
      </c>
      <c r="I9802">
        <v>414</v>
      </c>
      <c r="J9802" t="s">
        <v>18892</v>
      </c>
      <c r="K9802">
        <v>10453</v>
      </c>
      <c r="L9802" t="s">
        <v>18958</v>
      </c>
      <c r="M9802" t="s">
        <v>18958</v>
      </c>
      <c r="N9802" t="s">
        <v>25706</v>
      </c>
      <c r="O9802" t="s">
        <v>26524</v>
      </c>
      <c r="P9802" t="s">
        <v>26564</v>
      </c>
      <c r="R9802" t="s">
        <v>26583</v>
      </c>
      <c r="U9802" t="s">
        <v>26604</v>
      </c>
      <c r="V9802" t="s">
        <v>26609</v>
      </c>
      <c r="X9802">
        <v>860</v>
      </c>
      <c r="Y9802" t="s">
        <v>26650</v>
      </c>
      <c r="Z9802" t="s">
        <v>26659</v>
      </c>
      <c r="AB9802" t="s">
        <v>33542</v>
      </c>
      <c r="AD9802" t="s">
        <v>44306</v>
      </c>
      <c r="AE9802">
        <v>135</v>
      </c>
      <c r="AF9802" t="s">
        <v>45541</v>
      </c>
      <c r="AG9802" t="s">
        <v>19330</v>
      </c>
      <c r="AH9802">
        <v>25</v>
      </c>
      <c r="AI9802">
        <v>2</v>
      </c>
      <c r="AJ9802">
        <v>0</v>
      </c>
      <c r="AK9802">
        <v>246.01</v>
      </c>
      <c r="AN9802" t="s">
        <v>7439</v>
      </c>
      <c r="AO9802">
        <v>41600</v>
      </c>
      <c r="AP9802" t="s">
        <v>45642</v>
      </c>
      <c r="AU9802">
        <v>16</v>
      </c>
      <c r="AV9802" t="s">
        <v>764</v>
      </c>
      <c r="AW9802" t="s">
        <v>46836</v>
      </c>
    </row>
    <row r="9803" spans="1:50">
      <c r="A9803" s="1">
        <f>HYPERLINK("https://lsnyc.legalserver.org/matter/dynamic-profile/view/1889122","19-1889122")</f>
        <v>0</v>
      </c>
      <c r="B9803" t="s">
        <v>63</v>
      </c>
      <c r="C9803" t="s">
        <v>340</v>
      </c>
      <c r="D9803" t="s">
        <v>693</v>
      </c>
      <c r="F9803" t="s">
        <v>4659</v>
      </c>
      <c r="G9803" t="s">
        <v>9172</v>
      </c>
      <c r="H9803" t="s">
        <v>16308</v>
      </c>
      <c r="I9803">
        <v>19</v>
      </c>
      <c r="J9803" t="s">
        <v>18892</v>
      </c>
      <c r="K9803">
        <v>10460</v>
      </c>
      <c r="L9803" t="s">
        <v>18960</v>
      </c>
      <c r="M9803" t="s">
        <v>18960</v>
      </c>
      <c r="R9803" t="s">
        <v>26591</v>
      </c>
      <c r="U9803" t="s">
        <v>26604</v>
      </c>
      <c r="X9803">
        <v>1496</v>
      </c>
      <c r="Y9803" t="s">
        <v>26650</v>
      </c>
      <c r="AB9803" t="s">
        <v>27244</v>
      </c>
      <c r="AD9803" t="s">
        <v>44424</v>
      </c>
      <c r="AE9803">
        <v>25</v>
      </c>
      <c r="AF9803" t="s">
        <v>45543</v>
      </c>
      <c r="AH9803">
        <v>3</v>
      </c>
      <c r="AI9803">
        <v>1</v>
      </c>
      <c r="AJ9803">
        <v>1</v>
      </c>
      <c r="AK9803">
        <v>165.58</v>
      </c>
      <c r="AN9803" t="s">
        <v>7439</v>
      </c>
      <c r="AO9803">
        <v>28000</v>
      </c>
      <c r="AU9803">
        <v>1.1</v>
      </c>
      <c r="AV9803" t="s">
        <v>739</v>
      </c>
      <c r="AW9803" t="s">
        <v>46857</v>
      </c>
    </row>
    <row r="9804" spans="1:50">
      <c r="A9804" s="1">
        <f>HYPERLINK("https://lsnyc.legalserver.org/matter/dynamic-profile/view/1874946","18-1874946")</f>
        <v>0</v>
      </c>
      <c r="B9804" t="s">
        <v>249</v>
      </c>
      <c r="C9804" t="s">
        <v>341</v>
      </c>
      <c r="D9804" t="s">
        <v>694</v>
      </c>
      <c r="E9804" t="s">
        <v>745</v>
      </c>
      <c r="F9804" t="s">
        <v>4660</v>
      </c>
      <c r="G9804" t="s">
        <v>9173</v>
      </c>
      <c r="H9804" t="s">
        <v>13431</v>
      </c>
      <c r="I9804">
        <v>122</v>
      </c>
      <c r="J9804" t="s">
        <v>18894</v>
      </c>
      <c r="K9804">
        <v>11208</v>
      </c>
      <c r="L9804" t="s">
        <v>18959</v>
      </c>
      <c r="M9804" t="s">
        <v>18959</v>
      </c>
      <c r="N9804" t="s">
        <v>18997</v>
      </c>
      <c r="O9804" t="s">
        <v>26545</v>
      </c>
      <c r="Q9804" t="s">
        <v>26570</v>
      </c>
      <c r="R9804" t="s">
        <v>26578</v>
      </c>
      <c r="S9804" t="s">
        <v>18959</v>
      </c>
      <c r="U9804" t="s">
        <v>26604</v>
      </c>
      <c r="V9804" t="s">
        <v>26610</v>
      </c>
      <c r="X9804">
        <v>1200</v>
      </c>
      <c r="Y9804" t="s">
        <v>26652</v>
      </c>
      <c r="AA9804" t="s">
        <v>26683</v>
      </c>
      <c r="AB9804" t="s">
        <v>33634</v>
      </c>
      <c r="AC9804" t="s">
        <v>36671</v>
      </c>
      <c r="AD9804" t="s">
        <v>44425</v>
      </c>
      <c r="AE9804">
        <v>266</v>
      </c>
      <c r="AF9804" t="s">
        <v>20460</v>
      </c>
      <c r="AG9804" t="s">
        <v>45562</v>
      </c>
      <c r="AH9804">
        <v>2</v>
      </c>
      <c r="AI9804">
        <v>1</v>
      </c>
      <c r="AJ9804">
        <v>0</v>
      </c>
      <c r="AK9804">
        <v>69.18000000000001</v>
      </c>
      <c r="AN9804" t="s">
        <v>7439</v>
      </c>
      <c r="AO9804">
        <v>8640</v>
      </c>
      <c r="AU9804">
        <v>1.5</v>
      </c>
      <c r="AV9804" t="s">
        <v>690</v>
      </c>
      <c r="AW9804" t="s">
        <v>279</v>
      </c>
    </row>
    <row r="9805" spans="1:50">
      <c r="A9805" s="1">
        <f>HYPERLINK("https://lsnyc.legalserver.org/matter/dynamic-profile/view/1888394","19-1888394")</f>
        <v>0</v>
      </c>
      <c r="B9805" t="s">
        <v>102</v>
      </c>
      <c r="C9805" t="s">
        <v>341</v>
      </c>
      <c r="D9805" t="s">
        <v>694</v>
      </c>
      <c r="E9805" t="s">
        <v>714</v>
      </c>
      <c r="F9805" t="s">
        <v>3904</v>
      </c>
      <c r="G9805" t="s">
        <v>5434</v>
      </c>
      <c r="H9805" t="s">
        <v>10296</v>
      </c>
      <c r="I9805" t="s">
        <v>17290</v>
      </c>
      <c r="J9805" t="s">
        <v>18902</v>
      </c>
      <c r="K9805">
        <v>10304</v>
      </c>
      <c r="L9805" t="s">
        <v>18960</v>
      </c>
      <c r="M9805" t="s">
        <v>18960</v>
      </c>
      <c r="P9805" t="s">
        <v>26565</v>
      </c>
      <c r="Q9805" t="s">
        <v>26571</v>
      </c>
      <c r="R9805" t="s">
        <v>26587</v>
      </c>
      <c r="U9805" t="s">
        <v>26605</v>
      </c>
      <c r="X9805">
        <v>0</v>
      </c>
      <c r="Y9805" t="s">
        <v>26654</v>
      </c>
      <c r="AA9805" t="s">
        <v>26683</v>
      </c>
      <c r="AB9805" t="s">
        <v>33635</v>
      </c>
      <c r="AD9805" t="s">
        <v>44426</v>
      </c>
      <c r="AE9805">
        <v>0</v>
      </c>
      <c r="AH9805">
        <v>0</v>
      </c>
      <c r="AI9805">
        <v>3</v>
      </c>
      <c r="AJ9805">
        <v>0</v>
      </c>
      <c r="AK9805">
        <v>162.21</v>
      </c>
      <c r="AN9805" t="s">
        <v>45581</v>
      </c>
      <c r="AO9805">
        <v>34600</v>
      </c>
      <c r="AU9805">
        <v>2.5</v>
      </c>
      <c r="AV9805" t="s">
        <v>735</v>
      </c>
      <c r="AW9805" t="s">
        <v>46852</v>
      </c>
    </row>
    <row r="9806" spans="1:50">
      <c r="A9806" s="1">
        <f>HYPERLINK("https://lsnyc.legalserver.org/matter/dynamic-profile/view/1889278","19-1889278")</f>
        <v>0</v>
      </c>
      <c r="B9806" t="s">
        <v>295</v>
      </c>
      <c r="C9806" t="s">
        <v>341</v>
      </c>
      <c r="D9806" t="s">
        <v>694</v>
      </c>
      <c r="E9806" t="s">
        <v>800</v>
      </c>
      <c r="F9806" t="s">
        <v>1375</v>
      </c>
      <c r="G9806" t="s">
        <v>8164</v>
      </c>
      <c r="H9806" t="s">
        <v>16309</v>
      </c>
      <c r="I9806" t="s">
        <v>18715</v>
      </c>
      <c r="J9806" t="s">
        <v>18894</v>
      </c>
      <c r="K9806">
        <v>11212</v>
      </c>
      <c r="L9806" t="s">
        <v>18959</v>
      </c>
      <c r="M9806" t="s">
        <v>18959</v>
      </c>
      <c r="N9806" t="s">
        <v>25707</v>
      </c>
      <c r="O9806" t="s">
        <v>26524</v>
      </c>
      <c r="P9806" t="s">
        <v>26565</v>
      </c>
      <c r="Q9806" t="s">
        <v>26570</v>
      </c>
      <c r="R9806" t="s">
        <v>26578</v>
      </c>
      <c r="S9806" t="s">
        <v>18959</v>
      </c>
      <c r="U9806" t="s">
        <v>26604</v>
      </c>
      <c r="V9806" t="s">
        <v>26610</v>
      </c>
      <c r="X9806">
        <v>800</v>
      </c>
      <c r="Y9806" t="s">
        <v>26652</v>
      </c>
      <c r="AA9806" t="s">
        <v>26683</v>
      </c>
      <c r="AB9806" t="s">
        <v>33636</v>
      </c>
      <c r="AD9806" t="s">
        <v>44427</v>
      </c>
      <c r="AE9806">
        <v>2</v>
      </c>
      <c r="AF9806" t="s">
        <v>45547</v>
      </c>
      <c r="AG9806" t="s">
        <v>45557</v>
      </c>
      <c r="AH9806">
        <v>1</v>
      </c>
      <c r="AI9806">
        <v>1</v>
      </c>
      <c r="AJ9806">
        <v>1</v>
      </c>
      <c r="AK9806">
        <v>92.25</v>
      </c>
      <c r="AN9806" t="s">
        <v>7439</v>
      </c>
      <c r="AO9806">
        <v>15600</v>
      </c>
      <c r="AU9806">
        <v>2.5</v>
      </c>
      <c r="AV9806" t="s">
        <v>793</v>
      </c>
      <c r="AW9806" t="s">
        <v>46850</v>
      </c>
    </row>
    <row r="9807" spans="1:50">
      <c r="A9807" s="1">
        <f>HYPERLINK("https://lsnyc.legalserver.org/matter/dynamic-profile/view/1889284","19-1889284")</f>
        <v>0</v>
      </c>
      <c r="B9807" t="s">
        <v>164</v>
      </c>
      <c r="C9807" t="s">
        <v>340</v>
      </c>
      <c r="D9807" t="s">
        <v>694</v>
      </c>
      <c r="F9807" t="s">
        <v>4661</v>
      </c>
      <c r="G9807" t="s">
        <v>9174</v>
      </c>
      <c r="H9807" t="s">
        <v>16310</v>
      </c>
      <c r="I9807" t="s">
        <v>18716</v>
      </c>
      <c r="J9807" t="s">
        <v>18900</v>
      </c>
      <c r="K9807">
        <v>11355</v>
      </c>
      <c r="L9807" t="s">
        <v>18958</v>
      </c>
      <c r="M9807" t="s">
        <v>18958</v>
      </c>
      <c r="N9807" t="s">
        <v>25708</v>
      </c>
      <c r="O9807" t="s">
        <v>26524</v>
      </c>
      <c r="P9807" t="s">
        <v>26564</v>
      </c>
      <c r="R9807" t="s">
        <v>26584</v>
      </c>
      <c r="S9807" t="s">
        <v>18959</v>
      </c>
      <c r="U9807" t="s">
        <v>26604</v>
      </c>
      <c r="X9807">
        <v>1900</v>
      </c>
      <c r="Y9807" t="s">
        <v>26653</v>
      </c>
      <c r="Z9807" t="s">
        <v>26664</v>
      </c>
      <c r="AB9807" t="s">
        <v>31448</v>
      </c>
      <c r="AD9807" t="s">
        <v>44428</v>
      </c>
      <c r="AE9807">
        <v>0</v>
      </c>
      <c r="AF9807" t="s">
        <v>20460</v>
      </c>
      <c r="AG9807" t="s">
        <v>19330</v>
      </c>
      <c r="AH9807">
        <v>7</v>
      </c>
      <c r="AI9807">
        <v>1</v>
      </c>
      <c r="AJ9807">
        <v>3</v>
      </c>
      <c r="AK9807">
        <v>93.2</v>
      </c>
      <c r="AN9807" t="s">
        <v>7439</v>
      </c>
      <c r="AO9807">
        <v>24000</v>
      </c>
      <c r="AU9807">
        <v>1.6</v>
      </c>
      <c r="AV9807" t="s">
        <v>735</v>
      </c>
      <c r="AW9807" t="s">
        <v>208</v>
      </c>
    </row>
    <row r="9808" spans="1:50">
      <c r="A9808" s="1">
        <f>HYPERLINK("https://lsnyc.legalserver.org/matter/dynamic-profile/view/1889298","19-1889298")</f>
        <v>0</v>
      </c>
      <c r="B9808" t="s">
        <v>164</v>
      </c>
      <c r="C9808" t="s">
        <v>340</v>
      </c>
      <c r="D9808" t="s">
        <v>694</v>
      </c>
      <c r="F9808" t="s">
        <v>887</v>
      </c>
      <c r="G9808" t="s">
        <v>9175</v>
      </c>
      <c r="H9808" t="s">
        <v>16311</v>
      </c>
      <c r="I9808" t="s">
        <v>17393</v>
      </c>
      <c r="J9808" t="s">
        <v>18899</v>
      </c>
      <c r="K9808">
        <v>11385</v>
      </c>
      <c r="L9808" t="s">
        <v>18958</v>
      </c>
      <c r="M9808" t="s">
        <v>18958</v>
      </c>
      <c r="N9808" t="s">
        <v>25709</v>
      </c>
      <c r="O9808" t="s">
        <v>26524</v>
      </c>
      <c r="P9808" t="s">
        <v>26563</v>
      </c>
      <c r="R9808" t="s">
        <v>26584</v>
      </c>
      <c r="S9808" t="s">
        <v>18959</v>
      </c>
      <c r="U9808" t="s">
        <v>26604</v>
      </c>
      <c r="X9808">
        <v>1730</v>
      </c>
      <c r="Y9808" t="s">
        <v>26653</v>
      </c>
      <c r="Z9808" t="s">
        <v>26659</v>
      </c>
      <c r="AB9808" t="s">
        <v>33637</v>
      </c>
      <c r="AD9808" t="s">
        <v>44429</v>
      </c>
      <c r="AE9808">
        <v>2</v>
      </c>
      <c r="AF9808" t="s">
        <v>20460</v>
      </c>
      <c r="AG9808" t="s">
        <v>45556</v>
      </c>
      <c r="AH9808">
        <v>11</v>
      </c>
      <c r="AI9808">
        <v>2</v>
      </c>
      <c r="AJ9808">
        <v>0</v>
      </c>
      <c r="AK9808">
        <v>183.32</v>
      </c>
      <c r="AN9808" t="s">
        <v>45581</v>
      </c>
      <c r="AO9808">
        <v>31000</v>
      </c>
      <c r="AU9808">
        <v>1.75</v>
      </c>
      <c r="AV9808" t="s">
        <v>714</v>
      </c>
      <c r="AW9808" t="s">
        <v>208</v>
      </c>
    </row>
    <row r="9809" spans="1:49">
      <c r="A9809" s="1">
        <f>HYPERLINK("https://lsnyc.legalserver.org/matter/dynamic-profile/view/1889373","19-1889373")</f>
        <v>0</v>
      </c>
      <c r="B9809" t="s">
        <v>322</v>
      </c>
      <c r="C9809" t="s">
        <v>340</v>
      </c>
      <c r="D9809" t="s">
        <v>694</v>
      </c>
      <c r="F9809" t="s">
        <v>928</v>
      </c>
      <c r="G9809" t="s">
        <v>9176</v>
      </c>
      <c r="H9809" t="s">
        <v>16312</v>
      </c>
      <c r="I9809" t="s">
        <v>17287</v>
      </c>
      <c r="J9809" t="s">
        <v>18893</v>
      </c>
      <c r="K9809">
        <v>10016</v>
      </c>
      <c r="L9809" t="s">
        <v>18960</v>
      </c>
      <c r="M9809" t="s">
        <v>18960</v>
      </c>
      <c r="N9809" t="s">
        <v>25710</v>
      </c>
      <c r="O9809" t="s">
        <v>26523</v>
      </c>
      <c r="R9809" t="s">
        <v>26591</v>
      </c>
      <c r="S9809" t="s">
        <v>18959</v>
      </c>
      <c r="U9809" t="s">
        <v>26604</v>
      </c>
      <c r="X9809">
        <v>1376</v>
      </c>
      <c r="Y9809" t="s">
        <v>26651</v>
      </c>
      <c r="Z9809" t="s">
        <v>26530</v>
      </c>
      <c r="AB9809" t="s">
        <v>30371</v>
      </c>
      <c r="AD9809" t="s">
        <v>44430</v>
      </c>
      <c r="AE9809">
        <v>70</v>
      </c>
      <c r="AF9809" t="s">
        <v>20460</v>
      </c>
      <c r="AG9809" t="s">
        <v>45563</v>
      </c>
      <c r="AH9809">
        <v>3</v>
      </c>
      <c r="AI9809">
        <v>1</v>
      </c>
      <c r="AJ9809">
        <v>0</v>
      </c>
      <c r="AK9809">
        <v>175.15</v>
      </c>
      <c r="AN9809" t="s">
        <v>7439</v>
      </c>
      <c r="AO9809">
        <v>21876</v>
      </c>
      <c r="AU9809">
        <v>0.7</v>
      </c>
      <c r="AV9809" t="s">
        <v>694</v>
      </c>
      <c r="AW9809" t="s">
        <v>46841</v>
      </c>
    </row>
    <row r="9810" spans="1:49">
      <c r="A9810" s="1">
        <f>HYPERLINK("https://lsnyc.legalserver.org/matter/dynamic-profile/view/1889392","19-1889392")</f>
        <v>0</v>
      </c>
      <c r="B9810" t="s">
        <v>282</v>
      </c>
      <c r="C9810" t="s">
        <v>340</v>
      </c>
      <c r="D9810" t="s">
        <v>694</v>
      </c>
      <c r="F9810" t="s">
        <v>4662</v>
      </c>
      <c r="G9810" t="s">
        <v>9177</v>
      </c>
      <c r="H9810" t="s">
        <v>16313</v>
      </c>
      <c r="I9810" t="s">
        <v>18717</v>
      </c>
      <c r="J9810" t="s">
        <v>18920</v>
      </c>
      <c r="K9810">
        <v>11369</v>
      </c>
      <c r="L9810" t="s">
        <v>18960</v>
      </c>
      <c r="M9810" t="s">
        <v>18960</v>
      </c>
      <c r="N9810" t="s">
        <v>25711</v>
      </c>
      <c r="O9810" t="s">
        <v>26523</v>
      </c>
      <c r="P9810" t="s">
        <v>26560</v>
      </c>
      <c r="R9810" t="s">
        <v>26584</v>
      </c>
      <c r="S9810" t="s">
        <v>18959</v>
      </c>
      <c r="U9810" t="s">
        <v>26604</v>
      </c>
      <c r="X9810">
        <v>1073</v>
      </c>
      <c r="Y9810" t="s">
        <v>26653</v>
      </c>
      <c r="Z9810" t="s">
        <v>26664</v>
      </c>
      <c r="AB9810" t="s">
        <v>31236</v>
      </c>
      <c r="AD9810" t="s">
        <v>44431</v>
      </c>
      <c r="AE9810">
        <v>16</v>
      </c>
      <c r="AF9810" t="s">
        <v>45552</v>
      </c>
      <c r="AG9810" t="s">
        <v>45556</v>
      </c>
      <c r="AH9810">
        <v>16</v>
      </c>
      <c r="AI9810">
        <v>2</v>
      </c>
      <c r="AJ9810">
        <v>0</v>
      </c>
      <c r="AK9810">
        <v>107.63</v>
      </c>
      <c r="AN9810" t="s">
        <v>45581</v>
      </c>
      <c r="AO9810">
        <v>18200</v>
      </c>
      <c r="AU9810">
        <v>54.68</v>
      </c>
      <c r="AV9810" t="s">
        <v>773</v>
      </c>
      <c r="AW9810" t="s">
        <v>122</v>
      </c>
    </row>
    <row r="9811" spans="1:49">
      <c r="A9811" s="1">
        <f>HYPERLINK("https://lsnyc.legalserver.org/matter/dynamic-profile/view/1889295","19-1889295")</f>
        <v>0</v>
      </c>
      <c r="B9811" t="s">
        <v>274</v>
      </c>
      <c r="C9811" t="s">
        <v>340</v>
      </c>
      <c r="D9811" t="s">
        <v>694</v>
      </c>
      <c r="F9811" t="s">
        <v>2185</v>
      </c>
      <c r="G9811" t="s">
        <v>5416</v>
      </c>
      <c r="H9811" t="s">
        <v>16314</v>
      </c>
      <c r="I9811" t="s">
        <v>17519</v>
      </c>
      <c r="J9811" t="s">
        <v>18894</v>
      </c>
      <c r="K9811">
        <v>11208</v>
      </c>
      <c r="L9811" t="s">
        <v>18960</v>
      </c>
      <c r="M9811" t="s">
        <v>18960</v>
      </c>
      <c r="N9811" t="s">
        <v>25712</v>
      </c>
      <c r="O9811" t="s">
        <v>26524</v>
      </c>
      <c r="P9811" t="s">
        <v>26560</v>
      </c>
      <c r="R9811" t="s">
        <v>26594</v>
      </c>
      <c r="U9811" t="s">
        <v>26604</v>
      </c>
      <c r="X9811">
        <v>0</v>
      </c>
      <c r="Y9811" t="s">
        <v>26652</v>
      </c>
      <c r="AB9811" t="s">
        <v>30184</v>
      </c>
      <c r="AD9811" t="s">
        <v>44432</v>
      </c>
      <c r="AE9811">
        <v>0</v>
      </c>
      <c r="AH9811">
        <v>0</v>
      </c>
      <c r="AI9811">
        <v>1</v>
      </c>
      <c r="AJ9811">
        <v>0</v>
      </c>
      <c r="AK9811">
        <v>16.65</v>
      </c>
      <c r="AN9811" t="s">
        <v>45581</v>
      </c>
      <c r="AO9811">
        <v>2080</v>
      </c>
      <c r="AU9811">
        <v>77</v>
      </c>
      <c r="AV9811" t="s">
        <v>836</v>
      </c>
      <c r="AW9811" t="s">
        <v>274</v>
      </c>
    </row>
    <row r="9812" spans="1:49">
      <c r="A9812" s="1">
        <f>HYPERLINK("https://lsnyc.legalserver.org/matter/dynamic-profile/view/1889302","19-1889302")</f>
        <v>0</v>
      </c>
      <c r="B9812" t="s">
        <v>200</v>
      </c>
      <c r="C9812" t="s">
        <v>340</v>
      </c>
      <c r="D9812" t="s">
        <v>694</v>
      </c>
      <c r="F9812" t="s">
        <v>1904</v>
      </c>
      <c r="G9812" t="s">
        <v>5121</v>
      </c>
      <c r="H9812" t="s">
        <v>12393</v>
      </c>
      <c r="I9812" t="s">
        <v>17347</v>
      </c>
      <c r="J9812" t="s">
        <v>18894</v>
      </c>
      <c r="K9812">
        <v>11221</v>
      </c>
      <c r="L9812" t="s">
        <v>18958</v>
      </c>
      <c r="M9812" t="s">
        <v>18958</v>
      </c>
      <c r="P9812" t="s">
        <v>26563</v>
      </c>
      <c r="R9812" t="s">
        <v>26588</v>
      </c>
      <c r="U9812" t="s">
        <v>26604</v>
      </c>
      <c r="X9812">
        <v>1413</v>
      </c>
      <c r="Y9812" t="s">
        <v>26652</v>
      </c>
      <c r="Z9812" t="s">
        <v>26659</v>
      </c>
      <c r="AB9812" t="s">
        <v>28921</v>
      </c>
      <c r="AD9812" t="s">
        <v>39757</v>
      </c>
      <c r="AE9812">
        <v>36</v>
      </c>
      <c r="AG9812" t="s">
        <v>19330</v>
      </c>
      <c r="AH9812">
        <v>4</v>
      </c>
      <c r="AI9812">
        <v>1</v>
      </c>
      <c r="AJ9812">
        <v>3</v>
      </c>
      <c r="AK9812">
        <v>60.21</v>
      </c>
      <c r="AN9812" t="s">
        <v>7439</v>
      </c>
      <c r="AO9812">
        <v>15504</v>
      </c>
      <c r="AU9812">
        <v>0.8</v>
      </c>
      <c r="AV9812" t="s">
        <v>694</v>
      </c>
      <c r="AW9812" t="s">
        <v>46862</v>
      </c>
    </row>
    <row r="9813" spans="1:49">
      <c r="A9813" s="1">
        <f>HYPERLINK("https://lsnyc.legalserver.org/matter/dynamic-profile/view/1889377","19-1889377")</f>
        <v>0</v>
      </c>
      <c r="B9813" t="s">
        <v>142</v>
      </c>
      <c r="C9813" t="s">
        <v>340</v>
      </c>
      <c r="D9813" t="s">
        <v>694</v>
      </c>
      <c r="F9813" t="s">
        <v>4663</v>
      </c>
      <c r="G9813" t="s">
        <v>6169</v>
      </c>
      <c r="H9813" t="s">
        <v>16315</v>
      </c>
      <c r="J9813" t="s">
        <v>18900</v>
      </c>
      <c r="K9813">
        <v>11355</v>
      </c>
      <c r="L9813" t="s">
        <v>18960</v>
      </c>
      <c r="M9813" t="s">
        <v>18960</v>
      </c>
      <c r="R9813" t="s">
        <v>26591</v>
      </c>
      <c r="U9813" t="s">
        <v>26604</v>
      </c>
      <c r="X9813">
        <v>1900</v>
      </c>
      <c r="Y9813" t="s">
        <v>26653</v>
      </c>
      <c r="AB9813" t="s">
        <v>32367</v>
      </c>
      <c r="AD9813" t="s">
        <v>44433</v>
      </c>
      <c r="AE9813">
        <v>2</v>
      </c>
      <c r="AH9813">
        <v>11</v>
      </c>
      <c r="AI9813">
        <v>2</v>
      </c>
      <c r="AJ9813">
        <v>0</v>
      </c>
      <c r="AK9813">
        <v>17.39</v>
      </c>
      <c r="AN9813" t="s">
        <v>45593</v>
      </c>
      <c r="AO9813">
        <v>2940</v>
      </c>
      <c r="AU9813">
        <v>2.7</v>
      </c>
      <c r="AV9813" t="s">
        <v>753</v>
      </c>
      <c r="AW9813" t="s">
        <v>46857</v>
      </c>
    </row>
    <row r="9814" spans="1:49">
      <c r="A9814" s="1">
        <f>HYPERLINK("https://lsnyc.legalserver.org/matter/dynamic-profile/view/1889401","19-1889401")</f>
        <v>0</v>
      </c>
      <c r="B9814" t="s">
        <v>273</v>
      </c>
      <c r="C9814" t="s">
        <v>340</v>
      </c>
      <c r="D9814" t="s">
        <v>694</v>
      </c>
      <c r="F9814" t="s">
        <v>4664</v>
      </c>
      <c r="G9814" t="s">
        <v>9178</v>
      </c>
      <c r="H9814" t="s">
        <v>16316</v>
      </c>
      <c r="I9814" t="s">
        <v>18718</v>
      </c>
      <c r="J9814" t="s">
        <v>18893</v>
      </c>
      <c r="K9814">
        <v>10031</v>
      </c>
      <c r="L9814" t="s">
        <v>18960</v>
      </c>
      <c r="M9814" t="s">
        <v>18960</v>
      </c>
      <c r="P9814" t="s">
        <v>26563</v>
      </c>
      <c r="R9814" t="s">
        <v>26589</v>
      </c>
      <c r="S9814" t="s">
        <v>18959</v>
      </c>
      <c r="U9814" t="s">
        <v>26604</v>
      </c>
      <c r="X9814">
        <v>0</v>
      </c>
      <c r="Y9814" t="s">
        <v>26651</v>
      </c>
      <c r="Z9814" t="s">
        <v>26671</v>
      </c>
      <c r="AB9814" t="s">
        <v>33638</v>
      </c>
      <c r="AE9814">
        <v>0</v>
      </c>
      <c r="AG9814" t="s">
        <v>19330</v>
      </c>
      <c r="AH9814">
        <v>0</v>
      </c>
      <c r="AI9814">
        <v>1</v>
      </c>
      <c r="AJ9814">
        <v>1</v>
      </c>
      <c r="AK9814">
        <v>0</v>
      </c>
      <c r="AN9814" t="s">
        <v>45581</v>
      </c>
      <c r="AO9814">
        <v>0</v>
      </c>
      <c r="AU9814">
        <v>7.65</v>
      </c>
      <c r="AV9814" t="s">
        <v>823</v>
      </c>
      <c r="AW9814" t="s">
        <v>46840</v>
      </c>
    </row>
    <row r="9815" spans="1:49">
      <c r="A9815" s="1">
        <f>HYPERLINK("https://lsnyc.legalserver.org/matter/dynamic-profile/view/1889331","19-1889331")</f>
        <v>0</v>
      </c>
      <c r="B9815" t="s">
        <v>91</v>
      </c>
      <c r="C9815" t="s">
        <v>340</v>
      </c>
      <c r="D9815" t="s">
        <v>694</v>
      </c>
      <c r="F9815" t="s">
        <v>886</v>
      </c>
      <c r="G9815" t="s">
        <v>9179</v>
      </c>
      <c r="H9815" t="s">
        <v>16317</v>
      </c>
      <c r="I9815">
        <v>521</v>
      </c>
      <c r="J9815" t="s">
        <v>18915</v>
      </c>
      <c r="K9815">
        <v>11372</v>
      </c>
      <c r="L9815" t="s">
        <v>18958</v>
      </c>
      <c r="M9815" t="s">
        <v>18958</v>
      </c>
      <c r="N9815" t="s">
        <v>25713</v>
      </c>
      <c r="O9815" t="s">
        <v>26523</v>
      </c>
      <c r="P9815" t="s">
        <v>26560</v>
      </c>
      <c r="R9815" t="s">
        <v>26584</v>
      </c>
      <c r="S9815" t="s">
        <v>18959</v>
      </c>
      <c r="U9815" t="s">
        <v>26604</v>
      </c>
      <c r="X9815">
        <v>850</v>
      </c>
      <c r="Y9815" t="s">
        <v>26653</v>
      </c>
      <c r="Z9815" t="s">
        <v>26664</v>
      </c>
      <c r="AB9815" t="s">
        <v>33639</v>
      </c>
      <c r="AC9815" t="s">
        <v>36672</v>
      </c>
      <c r="AD9815" t="s">
        <v>44434</v>
      </c>
      <c r="AE9815">
        <v>84</v>
      </c>
      <c r="AF9815" t="s">
        <v>20460</v>
      </c>
      <c r="AG9815" t="s">
        <v>45559</v>
      </c>
      <c r="AH9815">
        <v>43</v>
      </c>
      <c r="AI9815">
        <v>1</v>
      </c>
      <c r="AJ9815">
        <v>0</v>
      </c>
      <c r="AK9815">
        <v>116.64</v>
      </c>
      <c r="AN9815" t="s">
        <v>7439</v>
      </c>
      <c r="AO9815">
        <v>14568</v>
      </c>
      <c r="AU9815">
        <v>19.87</v>
      </c>
      <c r="AV9815" t="s">
        <v>833</v>
      </c>
      <c r="AW9815" t="s">
        <v>208</v>
      </c>
    </row>
    <row r="9816" spans="1:49">
      <c r="A9816" s="1">
        <f>HYPERLINK("https://lsnyc.legalserver.org/matter/dynamic-profile/view/1889391","19-1889391")</f>
        <v>0</v>
      </c>
      <c r="B9816" t="s">
        <v>91</v>
      </c>
      <c r="C9816" t="s">
        <v>340</v>
      </c>
      <c r="D9816" t="s">
        <v>694</v>
      </c>
      <c r="F9816" t="s">
        <v>2177</v>
      </c>
      <c r="G9816" t="s">
        <v>7974</v>
      </c>
      <c r="H9816" t="s">
        <v>16318</v>
      </c>
      <c r="I9816" t="s">
        <v>17436</v>
      </c>
      <c r="J9816" t="s">
        <v>18915</v>
      </c>
      <c r="K9816">
        <v>11372</v>
      </c>
      <c r="L9816" t="s">
        <v>18958</v>
      </c>
      <c r="M9816" t="s">
        <v>18958</v>
      </c>
      <c r="N9816" t="s">
        <v>25714</v>
      </c>
      <c r="O9816" t="s">
        <v>26523</v>
      </c>
      <c r="P9816" t="s">
        <v>26564</v>
      </c>
      <c r="R9816" t="s">
        <v>26584</v>
      </c>
      <c r="S9816" t="s">
        <v>18959</v>
      </c>
      <c r="U9816" t="s">
        <v>26604</v>
      </c>
      <c r="V9816" t="s">
        <v>26610</v>
      </c>
      <c r="X9816">
        <v>1907</v>
      </c>
      <c r="Y9816" t="s">
        <v>26653</v>
      </c>
      <c r="Z9816" t="s">
        <v>26664</v>
      </c>
      <c r="AB9816" t="s">
        <v>31901</v>
      </c>
      <c r="AD9816" t="s">
        <v>44435</v>
      </c>
      <c r="AE9816">
        <v>47</v>
      </c>
      <c r="AF9816" t="s">
        <v>45541</v>
      </c>
      <c r="AG9816" t="s">
        <v>19330</v>
      </c>
      <c r="AH9816">
        <v>4</v>
      </c>
      <c r="AI9816">
        <v>1</v>
      </c>
      <c r="AJ9816">
        <v>1</v>
      </c>
      <c r="AK9816">
        <v>159.67</v>
      </c>
      <c r="AN9816" t="s">
        <v>45581</v>
      </c>
      <c r="AO9816">
        <v>27000</v>
      </c>
      <c r="AU9816">
        <v>1.2</v>
      </c>
      <c r="AV9816" t="s">
        <v>777</v>
      </c>
      <c r="AW9816" t="s">
        <v>161</v>
      </c>
    </row>
    <row r="9817" spans="1:49">
      <c r="A9817" s="1">
        <f>HYPERLINK("https://lsnyc.legalserver.org/matter/dynamic-profile/view/1889384","19-1889384")</f>
        <v>0</v>
      </c>
      <c r="B9817" t="s">
        <v>114</v>
      </c>
      <c r="C9817" t="s">
        <v>340</v>
      </c>
      <c r="D9817" t="s">
        <v>694</v>
      </c>
      <c r="F9817" t="s">
        <v>1384</v>
      </c>
      <c r="G9817" t="s">
        <v>5423</v>
      </c>
      <c r="H9817" t="s">
        <v>16319</v>
      </c>
      <c r="I9817" t="s">
        <v>17965</v>
      </c>
      <c r="J9817" t="s">
        <v>18897</v>
      </c>
      <c r="K9817">
        <v>11415</v>
      </c>
      <c r="L9817" t="s">
        <v>18960</v>
      </c>
      <c r="M9817" t="s">
        <v>18960</v>
      </c>
      <c r="N9817" t="s">
        <v>25715</v>
      </c>
      <c r="R9817" t="s">
        <v>26584</v>
      </c>
      <c r="U9817" t="s">
        <v>26604</v>
      </c>
      <c r="X9817">
        <v>1601</v>
      </c>
      <c r="Y9817" t="s">
        <v>26653</v>
      </c>
      <c r="Z9817" t="s">
        <v>26664</v>
      </c>
      <c r="AB9817" t="s">
        <v>33640</v>
      </c>
      <c r="AD9817" t="s">
        <v>44436</v>
      </c>
      <c r="AE9817">
        <v>100</v>
      </c>
      <c r="AF9817" t="s">
        <v>45541</v>
      </c>
      <c r="AG9817" t="s">
        <v>19330</v>
      </c>
      <c r="AH9817">
        <v>15</v>
      </c>
      <c r="AI9817">
        <v>1</v>
      </c>
      <c r="AJ9817">
        <v>0</v>
      </c>
      <c r="AK9817">
        <v>122.5</v>
      </c>
      <c r="AN9817" t="s">
        <v>7439</v>
      </c>
      <c r="AO9817">
        <v>15300</v>
      </c>
      <c r="AU9817">
        <v>20.9</v>
      </c>
      <c r="AV9817" t="s">
        <v>807</v>
      </c>
      <c r="AW9817" t="s">
        <v>122</v>
      </c>
    </row>
    <row r="9818" spans="1:49">
      <c r="A9818" s="1">
        <f>HYPERLINK("https://lsnyc.legalserver.org/matter/dynamic-profile/view/1889343","19-1889343")</f>
        <v>0</v>
      </c>
      <c r="B9818" t="s">
        <v>59</v>
      </c>
      <c r="C9818" t="s">
        <v>340</v>
      </c>
      <c r="D9818" t="s">
        <v>694</v>
      </c>
      <c r="F9818" t="s">
        <v>1597</v>
      </c>
      <c r="G9818" t="s">
        <v>9036</v>
      </c>
      <c r="H9818" t="s">
        <v>16320</v>
      </c>
      <c r="I9818" t="s">
        <v>17406</v>
      </c>
      <c r="J9818" t="s">
        <v>18893</v>
      </c>
      <c r="K9818">
        <v>10023</v>
      </c>
      <c r="L9818" t="s">
        <v>18958</v>
      </c>
      <c r="M9818" t="s">
        <v>18958</v>
      </c>
      <c r="N9818" t="s">
        <v>25716</v>
      </c>
      <c r="O9818" t="s">
        <v>26523</v>
      </c>
      <c r="P9818" t="s">
        <v>26563</v>
      </c>
      <c r="R9818" t="s">
        <v>26582</v>
      </c>
      <c r="S9818" t="s">
        <v>18959</v>
      </c>
      <c r="U9818" t="s">
        <v>26604</v>
      </c>
      <c r="X9818">
        <v>585</v>
      </c>
      <c r="Y9818" t="s">
        <v>26651</v>
      </c>
      <c r="Z9818" t="s">
        <v>26655</v>
      </c>
      <c r="AB9818" t="s">
        <v>30957</v>
      </c>
      <c r="AC9818" t="s">
        <v>36673</v>
      </c>
      <c r="AD9818" t="s">
        <v>44437</v>
      </c>
      <c r="AE9818">
        <v>0</v>
      </c>
      <c r="AF9818" t="s">
        <v>45548</v>
      </c>
      <c r="AG9818" t="s">
        <v>19330</v>
      </c>
      <c r="AH9818">
        <v>16</v>
      </c>
      <c r="AI9818">
        <v>2</v>
      </c>
      <c r="AJ9818">
        <v>0</v>
      </c>
      <c r="AK9818">
        <v>20.3</v>
      </c>
      <c r="AN9818" t="s">
        <v>7439</v>
      </c>
      <c r="AO9818">
        <v>3432</v>
      </c>
      <c r="AU9818">
        <v>1.9</v>
      </c>
      <c r="AV9818" t="s">
        <v>740</v>
      </c>
      <c r="AW9818" t="s">
        <v>46859</v>
      </c>
    </row>
    <row r="9819" spans="1:49">
      <c r="A9819" s="1">
        <f>HYPERLINK("https://lsnyc.legalserver.org/matter/dynamic-profile/view/1889293","19-1889293")</f>
        <v>0</v>
      </c>
      <c r="B9819" t="s">
        <v>63</v>
      </c>
      <c r="C9819" t="s">
        <v>340</v>
      </c>
      <c r="D9819" t="s">
        <v>694</v>
      </c>
      <c r="F9819" t="s">
        <v>1858</v>
      </c>
      <c r="G9819" t="s">
        <v>3036</v>
      </c>
      <c r="H9819" t="s">
        <v>16321</v>
      </c>
      <c r="I9819" t="s">
        <v>18719</v>
      </c>
      <c r="J9819" t="s">
        <v>18892</v>
      </c>
      <c r="K9819">
        <v>10453</v>
      </c>
      <c r="L9819" t="s">
        <v>18960</v>
      </c>
      <c r="M9819" t="s">
        <v>18960</v>
      </c>
      <c r="R9819" t="s">
        <v>26591</v>
      </c>
      <c r="U9819" t="s">
        <v>26604</v>
      </c>
      <c r="X9819">
        <v>800</v>
      </c>
      <c r="Y9819" t="s">
        <v>26650</v>
      </c>
      <c r="Z9819" t="s">
        <v>26530</v>
      </c>
      <c r="AB9819" t="s">
        <v>32507</v>
      </c>
      <c r="AD9819" t="s">
        <v>44438</v>
      </c>
      <c r="AE9819">
        <v>400</v>
      </c>
      <c r="AF9819" t="s">
        <v>45543</v>
      </c>
      <c r="AH9819">
        <v>27</v>
      </c>
      <c r="AI9819">
        <v>2</v>
      </c>
      <c r="AJ9819">
        <v>0</v>
      </c>
      <c r="AK9819">
        <v>65.43000000000001</v>
      </c>
      <c r="AN9819" t="s">
        <v>7439</v>
      </c>
      <c r="AO9819">
        <v>11064</v>
      </c>
      <c r="AU9819">
        <v>1</v>
      </c>
      <c r="AV9819" t="s">
        <v>694</v>
      </c>
      <c r="AW9819" t="s">
        <v>46846</v>
      </c>
    </row>
    <row r="9820" spans="1:49">
      <c r="A9820" s="1">
        <f>HYPERLINK("https://lsnyc.legalserver.org/matter/dynamic-profile/view/1889323","19-1889323")</f>
        <v>0</v>
      </c>
      <c r="B9820" t="s">
        <v>63</v>
      </c>
      <c r="C9820" t="s">
        <v>340</v>
      </c>
      <c r="D9820" t="s">
        <v>694</v>
      </c>
      <c r="F9820" t="s">
        <v>1228</v>
      </c>
      <c r="G9820" t="s">
        <v>7035</v>
      </c>
      <c r="H9820" t="s">
        <v>12610</v>
      </c>
      <c r="I9820" t="s">
        <v>17397</v>
      </c>
      <c r="J9820" t="s">
        <v>18892</v>
      </c>
      <c r="K9820">
        <v>10452</v>
      </c>
      <c r="L9820" t="s">
        <v>18960</v>
      </c>
      <c r="M9820" t="s">
        <v>18960</v>
      </c>
      <c r="O9820" t="s">
        <v>26529</v>
      </c>
      <c r="R9820" t="s">
        <v>26591</v>
      </c>
      <c r="U9820" t="s">
        <v>26604</v>
      </c>
      <c r="X9820">
        <v>700</v>
      </c>
      <c r="Y9820" t="s">
        <v>26650</v>
      </c>
      <c r="Z9820" t="s">
        <v>26673</v>
      </c>
      <c r="AB9820" t="s">
        <v>29876</v>
      </c>
      <c r="AD9820" t="s">
        <v>44439</v>
      </c>
      <c r="AE9820">
        <v>25</v>
      </c>
      <c r="AH9820">
        <v>38</v>
      </c>
      <c r="AI9820">
        <v>1</v>
      </c>
      <c r="AJ9820">
        <v>0</v>
      </c>
      <c r="AK9820">
        <v>124.9</v>
      </c>
      <c r="AN9820" t="s">
        <v>45581</v>
      </c>
      <c r="AO9820">
        <v>15600</v>
      </c>
      <c r="AU9820">
        <v>1</v>
      </c>
      <c r="AV9820" t="s">
        <v>694</v>
      </c>
      <c r="AW9820" t="s">
        <v>46861</v>
      </c>
    </row>
    <row r="9821" spans="1:49">
      <c r="A9821" s="1">
        <f>HYPERLINK("https://lsnyc.legalserver.org/matter/dynamic-profile/view/1889277","19-1889277")</f>
        <v>0</v>
      </c>
      <c r="B9821" t="s">
        <v>125</v>
      </c>
      <c r="C9821" t="s">
        <v>340</v>
      </c>
      <c r="D9821" t="s">
        <v>694</v>
      </c>
      <c r="F9821" t="s">
        <v>2683</v>
      </c>
      <c r="G9821" t="s">
        <v>1165</v>
      </c>
      <c r="H9821" t="s">
        <v>16322</v>
      </c>
      <c r="I9821">
        <v>3</v>
      </c>
      <c r="J9821" t="s">
        <v>18894</v>
      </c>
      <c r="K9821">
        <v>11207</v>
      </c>
      <c r="L9821" t="s">
        <v>18959</v>
      </c>
      <c r="M9821" t="s">
        <v>18959</v>
      </c>
      <c r="N9821" t="s">
        <v>25717</v>
      </c>
      <c r="O9821" t="s">
        <v>26523</v>
      </c>
      <c r="R9821" t="s">
        <v>26578</v>
      </c>
      <c r="S9821" t="s">
        <v>18959</v>
      </c>
      <c r="U9821" t="s">
        <v>26604</v>
      </c>
      <c r="X9821">
        <v>2600</v>
      </c>
      <c r="Y9821" t="s">
        <v>26652</v>
      </c>
      <c r="Z9821" t="s">
        <v>26530</v>
      </c>
      <c r="AB9821" t="s">
        <v>33641</v>
      </c>
      <c r="AD9821" t="s">
        <v>44440</v>
      </c>
      <c r="AE9821">
        <v>3</v>
      </c>
      <c r="AF9821" t="s">
        <v>45547</v>
      </c>
      <c r="AG9821" t="s">
        <v>19330</v>
      </c>
      <c r="AH9821">
        <v>0</v>
      </c>
      <c r="AI9821">
        <v>1</v>
      </c>
      <c r="AJ9821">
        <v>1</v>
      </c>
      <c r="AK9821">
        <v>0</v>
      </c>
      <c r="AN9821" t="s">
        <v>7439</v>
      </c>
      <c r="AO9821">
        <v>0</v>
      </c>
      <c r="AU9821">
        <v>2.25</v>
      </c>
      <c r="AV9821" t="s">
        <v>751</v>
      </c>
      <c r="AW9821" t="s">
        <v>46846</v>
      </c>
    </row>
    <row r="9822" spans="1:49">
      <c r="A9822" s="1">
        <f>HYPERLINK("https://lsnyc.legalserver.org/matter/dynamic-profile/view/1889431","19-1889431")</f>
        <v>0</v>
      </c>
      <c r="B9822" t="s">
        <v>280</v>
      </c>
      <c r="C9822" t="s">
        <v>341</v>
      </c>
      <c r="D9822" t="s">
        <v>677</v>
      </c>
      <c r="E9822" t="s">
        <v>714</v>
      </c>
      <c r="F9822" t="s">
        <v>3602</v>
      </c>
      <c r="G9822" t="s">
        <v>7933</v>
      </c>
      <c r="H9822" t="s">
        <v>14101</v>
      </c>
      <c r="I9822" t="s">
        <v>17624</v>
      </c>
      <c r="J9822" t="s">
        <v>18904</v>
      </c>
      <c r="K9822">
        <v>11421</v>
      </c>
      <c r="L9822" t="s">
        <v>18959</v>
      </c>
      <c r="M9822" t="s">
        <v>18958</v>
      </c>
      <c r="N9822" t="s">
        <v>25718</v>
      </c>
      <c r="O9822" t="s">
        <v>26526</v>
      </c>
      <c r="P9822" t="s">
        <v>26564</v>
      </c>
      <c r="Q9822" t="s">
        <v>26570</v>
      </c>
      <c r="R9822" t="s">
        <v>26584</v>
      </c>
      <c r="S9822" t="s">
        <v>18959</v>
      </c>
      <c r="U9822" t="s">
        <v>26604</v>
      </c>
      <c r="V9822" t="s">
        <v>26610</v>
      </c>
      <c r="X9822">
        <v>2525</v>
      </c>
      <c r="Y9822" t="s">
        <v>26653</v>
      </c>
      <c r="Z9822" t="s">
        <v>26664</v>
      </c>
      <c r="AA9822" t="s">
        <v>26683</v>
      </c>
      <c r="AB9822" t="s">
        <v>31516</v>
      </c>
      <c r="AD9822" t="s">
        <v>41747</v>
      </c>
      <c r="AE9822">
        <v>2</v>
      </c>
      <c r="AG9822" t="s">
        <v>19330</v>
      </c>
      <c r="AH9822">
        <v>0</v>
      </c>
      <c r="AI9822">
        <v>2</v>
      </c>
      <c r="AJ9822">
        <v>4</v>
      </c>
      <c r="AK9822">
        <v>83.47</v>
      </c>
      <c r="AN9822" t="s">
        <v>7439</v>
      </c>
      <c r="AO9822">
        <v>28872</v>
      </c>
      <c r="AU9822">
        <v>0.25</v>
      </c>
      <c r="AV9822" t="s">
        <v>714</v>
      </c>
      <c r="AW9822" t="s">
        <v>161</v>
      </c>
    </row>
    <row r="9823" spans="1:49">
      <c r="A9823" s="1">
        <f>HYPERLINK("https://lsnyc.legalserver.org/matter/dynamic-profile/view/1889453","19-1889453")</f>
        <v>0</v>
      </c>
      <c r="B9823" t="s">
        <v>322</v>
      </c>
      <c r="C9823" t="s">
        <v>341</v>
      </c>
      <c r="D9823" t="s">
        <v>677</v>
      </c>
      <c r="E9823" t="s">
        <v>702</v>
      </c>
      <c r="F9823" t="s">
        <v>4665</v>
      </c>
      <c r="G9823" t="s">
        <v>9180</v>
      </c>
      <c r="H9823" t="s">
        <v>16323</v>
      </c>
      <c r="I9823" t="s">
        <v>17540</v>
      </c>
      <c r="J9823" t="s">
        <v>18893</v>
      </c>
      <c r="K9823">
        <v>10023</v>
      </c>
      <c r="L9823" t="s">
        <v>18960</v>
      </c>
      <c r="M9823" t="s">
        <v>18960</v>
      </c>
      <c r="N9823" t="s">
        <v>25719</v>
      </c>
      <c r="P9823" t="s">
        <v>26563</v>
      </c>
      <c r="Q9823" t="s">
        <v>26570</v>
      </c>
      <c r="R9823" t="s">
        <v>26583</v>
      </c>
      <c r="U9823" t="s">
        <v>26604</v>
      </c>
      <c r="X9823">
        <v>1167</v>
      </c>
      <c r="Y9823" t="s">
        <v>26651</v>
      </c>
      <c r="Z9823" t="s">
        <v>26661</v>
      </c>
      <c r="AA9823" t="s">
        <v>26683</v>
      </c>
      <c r="AB9823" t="s">
        <v>33642</v>
      </c>
      <c r="AD9823" t="s">
        <v>44441</v>
      </c>
      <c r="AE9823">
        <v>56</v>
      </c>
      <c r="AF9823" t="s">
        <v>45548</v>
      </c>
      <c r="AG9823" t="s">
        <v>19330</v>
      </c>
      <c r="AH9823">
        <v>42</v>
      </c>
      <c r="AI9823">
        <v>1</v>
      </c>
      <c r="AJ9823">
        <v>0</v>
      </c>
      <c r="AK9823">
        <v>215.02</v>
      </c>
      <c r="AN9823" t="s">
        <v>7439</v>
      </c>
      <c r="AO9823">
        <v>26856</v>
      </c>
      <c r="AU9823">
        <v>3</v>
      </c>
      <c r="AV9823" t="s">
        <v>747</v>
      </c>
      <c r="AW9823" t="s">
        <v>46858</v>
      </c>
    </row>
    <row r="9824" spans="1:49">
      <c r="A9824" s="1">
        <f>HYPERLINK("https://lsnyc.legalserver.org/matter/dynamic-profile/view/1889427","19-1889427")</f>
        <v>0</v>
      </c>
      <c r="B9824" t="s">
        <v>262</v>
      </c>
      <c r="C9824" t="s">
        <v>341</v>
      </c>
      <c r="D9824" t="s">
        <v>677</v>
      </c>
      <c r="E9824" t="s">
        <v>817</v>
      </c>
      <c r="F9824" t="s">
        <v>4666</v>
      </c>
      <c r="G9824" t="s">
        <v>945</v>
      </c>
      <c r="H9824" t="s">
        <v>16324</v>
      </c>
      <c r="I9824" t="s">
        <v>17306</v>
      </c>
      <c r="J9824" t="s">
        <v>18892</v>
      </c>
      <c r="K9824">
        <v>10462</v>
      </c>
      <c r="L9824" t="s">
        <v>18959</v>
      </c>
      <c r="M9824" t="s">
        <v>18959</v>
      </c>
      <c r="N9824" t="s">
        <v>25720</v>
      </c>
      <c r="O9824" t="s">
        <v>26523</v>
      </c>
      <c r="P9824" t="s">
        <v>26564</v>
      </c>
      <c r="Q9824" t="s">
        <v>26570</v>
      </c>
      <c r="R9824" t="s">
        <v>26591</v>
      </c>
      <c r="U9824" t="s">
        <v>26604</v>
      </c>
      <c r="X9824">
        <v>1500</v>
      </c>
      <c r="Y9824" t="s">
        <v>26650</v>
      </c>
      <c r="Z9824" t="s">
        <v>26673</v>
      </c>
      <c r="AA9824" t="s">
        <v>26683</v>
      </c>
      <c r="AB9824" t="s">
        <v>33643</v>
      </c>
      <c r="AD9824" t="s">
        <v>44442</v>
      </c>
      <c r="AE9824">
        <v>20</v>
      </c>
      <c r="AH9824">
        <v>3</v>
      </c>
      <c r="AI9824">
        <v>1</v>
      </c>
      <c r="AJ9824">
        <v>0</v>
      </c>
      <c r="AK9824">
        <v>187.35</v>
      </c>
      <c r="AN9824" t="s">
        <v>7439</v>
      </c>
      <c r="AO9824">
        <v>23400</v>
      </c>
      <c r="AP9824" t="s">
        <v>46203</v>
      </c>
      <c r="AU9824">
        <v>2</v>
      </c>
      <c r="AV9824" t="s">
        <v>817</v>
      </c>
      <c r="AW9824" t="s">
        <v>46861</v>
      </c>
    </row>
    <row r="9825" spans="1:50">
      <c r="A9825" s="1">
        <f>HYPERLINK("https://lsnyc.legalserver.org/matter/dynamic-profile/view/1889456","19-1889456")</f>
        <v>0</v>
      </c>
      <c r="B9825" t="s">
        <v>70</v>
      </c>
      <c r="C9825" t="s">
        <v>340</v>
      </c>
      <c r="D9825" t="s">
        <v>677</v>
      </c>
      <c r="F9825" t="s">
        <v>1283</v>
      </c>
      <c r="G9825" t="s">
        <v>7808</v>
      </c>
      <c r="H9825" t="s">
        <v>13857</v>
      </c>
      <c r="I9825" t="s">
        <v>17355</v>
      </c>
      <c r="J9825" t="s">
        <v>18892</v>
      </c>
      <c r="K9825">
        <v>10453</v>
      </c>
      <c r="L9825" t="s">
        <v>18958</v>
      </c>
      <c r="M9825" t="s">
        <v>18958</v>
      </c>
      <c r="N9825" t="s">
        <v>19045</v>
      </c>
      <c r="O9825" t="s">
        <v>26548</v>
      </c>
      <c r="P9825" t="s">
        <v>26566</v>
      </c>
      <c r="R9825" t="s">
        <v>26592</v>
      </c>
      <c r="S9825" t="s">
        <v>18959</v>
      </c>
      <c r="U9825" t="s">
        <v>26604</v>
      </c>
      <c r="V9825" t="s">
        <v>26611</v>
      </c>
      <c r="X9825">
        <v>1297.3</v>
      </c>
      <c r="Y9825" t="s">
        <v>26650</v>
      </c>
      <c r="Z9825" t="s">
        <v>26661</v>
      </c>
      <c r="AB9825" t="s">
        <v>31298</v>
      </c>
      <c r="AC9825" t="s">
        <v>36674</v>
      </c>
      <c r="AE9825">
        <v>48</v>
      </c>
      <c r="AF9825" t="s">
        <v>45541</v>
      </c>
      <c r="AG9825" t="s">
        <v>45556</v>
      </c>
      <c r="AH9825">
        <v>20</v>
      </c>
      <c r="AI9825">
        <v>1</v>
      </c>
      <c r="AJ9825">
        <v>0</v>
      </c>
      <c r="AK9825">
        <v>0</v>
      </c>
      <c r="AN9825" t="s">
        <v>7439</v>
      </c>
      <c r="AO9825">
        <v>0</v>
      </c>
      <c r="AU9825">
        <v>15.6</v>
      </c>
      <c r="AV9825" t="s">
        <v>801</v>
      </c>
      <c r="AW9825" t="s">
        <v>46870</v>
      </c>
    </row>
    <row r="9826" spans="1:50">
      <c r="A9826" s="1">
        <f>HYPERLINK("https://lsnyc.legalserver.org/matter/dynamic-profile/view/1889494","19-1889494")</f>
        <v>0</v>
      </c>
      <c r="B9826" t="s">
        <v>69</v>
      </c>
      <c r="C9826" t="s">
        <v>340</v>
      </c>
      <c r="D9826" t="s">
        <v>677</v>
      </c>
      <c r="F9826" t="s">
        <v>4667</v>
      </c>
      <c r="G9826" t="s">
        <v>9181</v>
      </c>
      <c r="H9826" t="s">
        <v>16325</v>
      </c>
      <c r="I9826" t="s">
        <v>17322</v>
      </c>
      <c r="J9826" t="s">
        <v>18892</v>
      </c>
      <c r="K9826">
        <v>10451</v>
      </c>
      <c r="L9826" t="s">
        <v>18960</v>
      </c>
      <c r="M9826" t="s">
        <v>18960</v>
      </c>
      <c r="N9826" t="s">
        <v>25721</v>
      </c>
      <c r="O9826" t="s">
        <v>26553</v>
      </c>
      <c r="P9826" t="s">
        <v>26560</v>
      </c>
      <c r="R9826" t="s">
        <v>26577</v>
      </c>
      <c r="S9826" t="s">
        <v>18959</v>
      </c>
      <c r="U9826" t="s">
        <v>26604</v>
      </c>
      <c r="V9826" t="s">
        <v>26610</v>
      </c>
      <c r="X9826">
        <v>0</v>
      </c>
      <c r="Y9826" t="s">
        <v>26650</v>
      </c>
      <c r="Z9826" t="s">
        <v>26530</v>
      </c>
      <c r="AE9826">
        <v>0</v>
      </c>
      <c r="AF9826" t="s">
        <v>45541</v>
      </c>
      <c r="AG9826" t="s">
        <v>45559</v>
      </c>
      <c r="AH9826">
        <v>40</v>
      </c>
      <c r="AI9826">
        <v>2</v>
      </c>
      <c r="AJ9826">
        <v>0</v>
      </c>
      <c r="AK9826">
        <v>70.95999999999999</v>
      </c>
      <c r="AN9826" t="s">
        <v>7439</v>
      </c>
      <c r="AO9826">
        <v>12000</v>
      </c>
      <c r="AP9826" t="s">
        <v>46129</v>
      </c>
      <c r="AU9826">
        <v>27.85</v>
      </c>
      <c r="AV9826" t="s">
        <v>804</v>
      </c>
      <c r="AW9826" t="s">
        <v>69</v>
      </c>
    </row>
    <row r="9827" spans="1:50">
      <c r="A9827" s="1">
        <f>HYPERLINK("https://lsnyc.legalserver.org/matter/dynamic-profile/view/1889530","19-1889530")</f>
        <v>0</v>
      </c>
      <c r="B9827" t="s">
        <v>143</v>
      </c>
      <c r="C9827" t="s">
        <v>341</v>
      </c>
      <c r="D9827" t="s">
        <v>735</v>
      </c>
      <c r="E9827" t="s">
        <v>763</v>
      </c>
      <c r="F9827" t="s">
        <v>1328</v>
      </c>
      <c r="G9827" t="s">
        <v>6789</v>
      </c>
      <c r="H9827" t="s">
        <v>16326</v>
      </c>
      <c r="I9827" t="s">
        <v>17593</v>
      </c>
      <c r="J9827" t="s">
        <v>18892</v>
      </c>
      <c r="K9827">
        <v>10473</v>
      </c>
      <c r="L9827" t="s">
        <v>18959</v>
      </c>
      <c r="M9827" t="s">
        <v>18958</v>
      </c>
      <c r="N9827" t="s">
        <v>25722</v>
      </c>
      <c r="O9827" t="s">
        <v>26524</v>
      </c>
      <c r="P9827" t="s">
        <v>26564</v>
      </c>
      <c r="Q9827" t="s">
        <v>26570</v>
      </c>
      <c r="R9827" t="s">
        <v>26591</v>
      </c>
      <c r="S9827" t="s">
        <v>18959</v>
      </c>
      <c r="U9827" t="s">
        <v>26604</v>
      </c>
      <c r="X9827">
        <v>0</v>
      </c>
      <c r="Y9827" t="s">
        <v>26650</v>
      </c>
      <c r="AA9827" t="s">
        <v>26683</v>
      </c>
      <c r="AB9827" t="s">
        <v>33644</v>
      </c>
      <c r="AE9827">
        <v>2</v>
      </c>
      <c r="AF9827" t="s">
        <v>20460</v>
      </c>
      <c r="AG9827" t="s">
        <v>19330</v>
      </c>
      <c r="AH9827">
        <v>0</v>
      </c>
      <c r="AI9827">
        <v>2</v>
      </c>
      <c r="AJ9827">
        <v>0</v>
      </c>
      <c r="AK9827">
        <v>70.95999999999999</v>
      </c>
      <c r="AO9827">
        <v>12000</v>
      </c>
      <c r="AP9827" t="s">
        <v>46204</v>
      </c>
      <c r="AU9827">
        <v>0.1</v>
      </c>
      <c r="AV9827" t="s">
        <v>763</v>
      </c>
      <c r="AW9827" t="s">
        <v>46847</v>
      </c>
    </row>
    <row r="9828" spans="1:50">
      <c r="A9828" s="1">
        <f>HYPERLINK("https://lsnyc.legalserver.org/matter/dynamic-profile/view/1889622","19-1889622")</f>
        <v>0</v>
      </c>
      <c r="B9828" t="s">
        <v>68</v>
      </c>
      <c r="C9828" t="s">
        <v>341</v>
      </c>
      <c r="D9828" t="s">
        <v>735</v>
      </c>
      <c r="E9828" t="s">
        <v>416</v>
      </c>
      <c r="F9828" t="s">
        <v>913</v>
      </c>
      <c r="G9828" t="s">
        <v>8919</v>
      </c>
      <c r="H9828" t="s">
        <v>16327</v>
      </c>
      <c r="I9828" t="s">
        <v>18014</v>
      </c>
      <c r="J9828" t="s">
        <v>18892</v>
      </c>
      <c r="K9828">
        <v>10462</v>
      </c>
      <c r="L9828" t="s">
        <v>18958</v>
      </c>
      <c r="M9828" t="s">
        <v>18958</v>
      </c>
      <c r="N9828" t="s">
        <v>25723</v>
      </c>
      <c r="O9828" t="s">
        <v>26523</v>
      </c>
      <c r="P9828" t="s">
        <v>26564</v>
      </c>
      <c r="Q9828" t="s">
        <v>26570</v>
      </c>
      <c r="R9828" t="s">
        <v>26591</v>
      </c>
      <c r="S9828" t="s">
        <v>18959</v>
      </c>
      <c r="U9828" t="s">
        <v>26604</v>
      </c>
      <c r="X9828">
        <v>1400</v>
      </c>
      <c r="Y9828" t="s">
        <v>26650</v>
      </c>
      <c r="AA9828" t="s">
        <v>26683</v>
      </c>
      <c r="AB9828" t="s">
        <v>33645</v>
      </c>
      <c r="AD9828" t="s">
        <v>44443</v>
      </c>
      <c r="AE9828">
        <v>15</v>
      </c>
      <c r="AF9828" t="s">
        <v>45541</v>
      </c>
      <c r="AG9828" t="s">
        <v>19330</v>
      </c>
      <c r="AH9828">
        <v>1</v>
      </c>
      <c r="AI9828">
        <v>1</v>
      </c>
      <c r="AJ9828">
        <v>1</v>
      </c>
      <c r="AK9828">
        <v>184.51</v>
      </c>
      <c r="AN9828" t="s">
        <v>7439</v>
      </c>
      <c r="AO9828">
        <v>31200</v>
      </c>
      <c r="AP9828" t="s">
        <v>46205</v>
      </c>
      <c r="AU9828">
        <v>1.1</v>
      </c>
      <c r="AV9828" t="s">
        <v>723</v>
      </c>
      <c r="AW9828" t="s">
        <v>46836</v>
      </c>
    </row>
    <row r="9829" spans="1:50">
      <c r="A9829" s="1">
        <f>HYPERLINK("https://lsnyc.legalserver.org/matter/dynamic-profile/view/1889577","19-1889577")</f>
        <v>0</v>
      </c>
      <c r="B9829" t="s">
        <v>68</v>
      </c>
      <c r="C9829" t="s">
        <v>341</v>
      </c>
      <c r="D9829" t="s">
        <v>735</v>
      </c>
      <c r="E9829" t="s">
        <v>759</v>
      </c>
      <c r="F9829" t="s">
        <v>1031</v>
      </c>
      <c r="G9829" t="s">
        <v>9182</v>
      </c>
      <c r="H9829" t="s">
        <v>16328</v>
      </c>
      <c r="I9829" t="s">
        <v>17410</v>
      </c>
      <c r="J9829" t="s">
        <v>18892</v>
      </c>
      <c r="K9829">
        <v>10466</v>
      </c>
      <c r="L9829" t="s">
        <v>18958</v>
      </c>
      <c r="M9829" t="s">
        <v>18958</v>
      </c>
      <c r="N9829" t="s">
        <v>25724</v>
      </c>
      <c r="O9829" t="s">
        <v>26524</v>
      </c>
      <c r="P9829" t="s">
        <v>26564</v>
      </c>
      <c r="Q9829" t="s">
        <v>26570</v>
      </c>
      <c r="R9829" t="s">
        <v>26583</v>
      </c>
      <c r="S9829" t="s">
        <v>18959</v>
      </c>
      <c r="U9829" t="s">
        <v>26604</v>
      </c>
      <c r="V9829" t="s">
        <v>26609</v>
      </c>
      <c r="X9829">
        <v>2000</v>
      </c>
      <c r="Y9829" t="s">
        <v>26650</v>
      </c>
      <c r="Z9829" t="s">
        <v>26668</v>
      </c>
      <c r="AA9829" t="s">
        <v>26683</v>
      </c>
      <c r="AB9829" t="s">
        <v>32588</v>
      </c>
      <c r="AD9829" t="s">
        <v>44444</v>
      </c>
      <c r="AE9829">
        <v>4</v>
      </c>
      <c r="AF9829" t="s">
        <v>45547</v>
      </c>
      <c r="AG9829" t="s">
        <v>19330</v>
      </c>
      <c r="AH9829">
        <v>1</v>
      </c>
      <c r="AI9829">
        <v>2</v>
      </c>
      <c r="AJ9829">
        <v>4</v>
      </c>
      <c r="AK9829">
        <v>208.15</v>
      </c>
      <c r="AN9829" t="s">
        <v>7439</v>
      </c>
      <c r="AO9829">
        <v>72000</v>
      </c>
      <c r="AP9829" t="s">
        <v>46141</v>
      </c>
      <c r="AU9829">
        <v>1.6</v>
      </c>
      <c r="AV9829" t="s">
        <v>756</v>
      </c>
      <c r="AW9829" t="s">
        <v>46836</v>
      </c>
    </row>
    <row r="9830" spans="1:50">
      <c r="A9830" s="1">
        <f>HYPERLINK("https://lsnyc.legalserver.org/matter/dynamic-profile/view/1889588","19-1889588")</f>
        <v>0</v>
      </c>
      <c r="B9830" t="s">
        <v>141</v>
      </c>
      <c r="C9830" t="s">
        <v>341</v>
      </c>
      <c r="D9830" t="s">
        <v>735</v>
      </c>
      <c r="E9830" t="s">
        <v>805</v>
      </c>
      <c r="F9830" t="s">
        <v>4668</v>
      </c>
      <c r="G9830" t="s">
        <v>9183</v>
      </c>
      <c r="H9830" t="s">
        <v>16329</v>
      </c>
      <c r="I9830" t="s">
        <v>17415</v>
      </c>
      <c r="J9830" t="s">
        <v>18900</v>
      </c>
      <c r="K9830">
        <v>11354</v>
      </c>
      <c r="L9830" t="s">
        <v>18960</v>
      </c>
      <c r="M9830" t="s">
        <v>18960</v>
      </c>
      <c r="N9830" t="s">
        <v>18993</v>
      </c>
      <c r="O9830" t="s">
        <v>18997</v>
      </c>
      <c r="P9830" t="s">
        <v>26564</v>
      </c>
      <c r="Q9830" t="s">
        <v>26570</v>
      </c>
      <c r="R9830" t="s">
        <v>26578</v>
      </c>
      <c r="S9830" t="s">
        <v>18959</v>
      </c>
      <c r="U9830" t="s">
        <v>26604</v>
      </c>
      <c r="V9830" t="s">
        <v>26610</v>
      </c>
      <c r="X9830">
        <v>0</v>
      </c>
      <c r="Y9830" t="s">
        <v>26653</v>
      </c>
      <c r="Z9830" t="s">
        <v>26672</v>
      </c>
      <c r="AA9830" t="s">
        <v>26683</v>
      </c>
      <c r="AB9830" t="s">
        <v>31286</v>
      </c>
      <c r="AC9830" t="s">
        <v>19330</v>
      </c>
      <c r="AD9830" t="s">
        <v>44445</v>
      </c>
      <c r="AE9830">
        <v>2</v>
      </c>
      <c r="AF9830" t="s">
        <v>45547</v>
      </c>
      <c r="AG9830" t="s">
        <v>19330</v>
      </c>
      <c r="AH9830">
        <v>1</v>
      </c>
      <c r="AI9830">
        <v>2</v>
      </c>
      <c r="AJ9830">
        <v>1</v>
      </c>
      <c r="AK9830">
        <v>0</v>
      </c>
      <c r="AN9830" t="s">
        <v>7439</v>
      </c>
      <c r="AO9830">
        <v>0</v>
      </c>
      <c r="AU9830">
        <v>1.9</v>
      </c>
      <c r="AV9830" t="s">
        <v>805</v>
      </c>
      <c r="AW9830" t="s">
        <v>46842</v>
      </c>
    </row>
    <row r="9831" spans="1:50">
      <c r="A9831" s="1">
        <f>HYPERLINK("https://lsnyc.legalserver.org/matter/dynamic-profile/view/1889538","19-1889538")</f>
        <v>0</v>
      </c>
      <c r="B9831" t="s">
        <v>164</v>
      </c>
      <c r="C9831" t="s">
        <v>340</v>
      </c>
      <c r="D9831" t="s">
        <v>735</v>
      </c>
      <c r="F9831" t="s">
        <v>4669</v>
      </c>
      <c r="G9831" t="s">
        <v>5311</v>
      </c>
      <c r="H9831" t="s">
        <v>16330</v>
      </c>
      <c r="I9831" t="s">
        <v>17291</v>
      </c>
      <c r="J9831" t="s">
        <v>7026</v>
      </c>
      <c r="K9831">
        <v>11368</v>
      </c>
      <c r="L9831" t="s">
        <v>18958</v>
      </c>
      <c r="M9831" t="s">
        <v>18958</v>
      </c>
      <c r="N9831" t="s">
        <v>25725</v>
      </c>
      <c r="O9831" t="s">
        <v>26524</v>
      </c>
      <c r="P9831" t="s">
        <v>26563</v>
      </c>
      <c r="R9831" t="s">
        <v>26584</v>
      </c>
      <c r="S9831" t="s">
        <v>18959</v>
      </c>
      <c r="U9831" t="s">
        <v>26604</v>
      </c>
      <c r="X9831">
        <v>1350</v>
      </c>
      <c r="Y9831" t="s">
        <v>26653</v>
      </c>
      <c r="Z9831" t="s">
        <v>26664</v>
      </c>
      <c r="AB9831" t="s">
        <v>33646</v>
      </c>
      <c r="AC9831" t="s">
        <v>36675</v>
      </c>
      <c r="AD9831" t="s">
        <v>44446</v>
      </c>
      <c r="AE9831">
        <v>2</v>
      </c>
      <c r="AF9831" t="s">
        <v>20460</v>
      </c>
      <c r="AG9831" t="s">
        <v>19330</v>
      </c>
      <c r="AH9831">
        <v>4</v>
      </c>
      <c r="AI9831">
        <v>1</v>
      </c>
      <c r="AJ9831">
        <v>1</v>
      </c>
      <c r="AK9831">
        <v>17.84</v>
      </c>
      <c r="AN9831" t="s">
        <v>7439</v>
      </c>
      <c r="AO9831">
        <v>3016</v>
      </c>
      <c r="AU9831">
        <v>0.6</v>
      </c>
      <c r="AV9831" t="s">
        <v>735</v>
      </c>
      <c r="AW9831" t="s">
        <v>208</v>
      </c>
    </row>
    <row r="9832" spans="1:50">
      <c r="A9832" s="1">
        <f>HYPERLINK("https://lsnyc.legalserver.org/matter/dynamic-profile/view/1889552","19-1889552")</f>
        <v>0</v>
      </c>
      <c r="B9832" t="s">
        <v>164</v>
      </c>
      <c r="C9832" t="s">
        <v>340</v>
      </c>
      <c r="D9832" t="s">
        <v>735</v>
      </c>
      <c r="F9832" t="s">
        <v>3628</v>
      </c>
      <c r="G9832" t="s">
        <v>5748</v>
      </c>
      <c r="H9832" t="s">
        <v>16331</v>
      </c>
      <c r="I9832" t="s">
        <v>18720</v>
      </c>
      <c r="J9832" t="s">
        <v>18929</v>
      </c>
      <c r="K9832">
        <v>11379</v>
      </c>
      <c r="L9832" t="s">
        <v>18958</v>
      </c>
      <c r="M9832" t="s">
        <v>18958</v>
      </c>
      <c r="N9832" t="s">
        <v>25726</v>
      </c>
      <c r="O9832" t="s">
        <v>26523</v>
      </c>
      <c r="P9832" t="s">
        <v>26563</v>
      </c>
      <c r="R9832" t="s">
        <v>26584</v>
      </c>
      <c r="S9832" t="s">
        <v>18959</v>
      </c>
      <c r="U9832" t="s">
        <v>26604</v>
      </c>
      <c r="X9832">
        <v>1153</v>
      </c>
      <c r="Y9832" t="s">
        <v>26653</v>
      </c>
      <c r="Z9832" t="s">
        <v>26664</v>
      </c>
      <c r="AB9832" t="s">
        <v>33647</v>
      </c>
      <c r="AC9832" t="s">
        <v>36676</v>
      </c>
      <c r="AD9832" t="s">
        <v>44447</v>
      </c>
      <c r="AE9832">
        <v>0</v>
      </c>
      <c r="AF9832" t="s">
        <v>20460</v>
      </c>
      <c r="AG9832" t="s">
        <v>45559</v>
      </c>
      <c r="AH9832">
        <v>39</v>
      </c>
      <c r="AI9832">
        <v>1</v>
      </c>
      <c r="AJ9832">
        <v>0</v>
      </c>
      <c r="AK9832">
        <v>105.68</v>
      </c>
      <c r="AN9832" t="s">
        <v>45581</v>
      </c>
      <c r="AO9832">
        <v>13200</v>
      </c>
      <c r="AU9832">
        <v>0.6</v>
      </c>
      <c r="AV9832" t="s">
        <v>735</v>
      </c>
      <c r="AW9832" t="s">
        <v>208</v>
      </c>
    </row>
    <row r="9833" spans="1:50">
      <c r="A9833" s="1">
        <f>HYPERLINK("https://lsnyc.legalserver.org/matter/dynamic-profile/view/1889590","19-1889590")</f>
        <v>0</v>
      </c>
      <c r="B9833" t="s">
        <v>200</v>
      </c>
      <c r="C9833" t="s">
        <v>340</v>
      </c>
      <c r="D9833" t="s">
        <v>735</v>
      </c>
      <c r="F9833" t="s">
        <v>1488</v>
      </c>
      <c r="G9833" t="s">
        <v>7840</v>
      </c>
      <c r="H9833" t="s">
        <v>13921</v>
      </c>
      <c r="I9833">
        <v>1</v>
      </c>
      <c r="J9833" t="s">
        <v>18894</v>
      </c>
      <c r="K9833">
        <v>11208</v>
      </c>
      <c r="L9833" t="s">
        <v>18960</v>
      </c>
      <c r="M9833" t="s">
        <v>18960</v>
      </c>
      <c r="R9833" t="s">
        <v>26591</v>
      </c>
      <c r="U9833" t="s">
        <v>26604</v>
      </c>
      <c r="X9833">
        <v>0</v>
      </c>
      <c r="Y9833" t="s">
        <v>26652</v>
      </c>
      <c r="Z9833" t="s">
        <v>26530</v>
      </c>
      <c r="AB9833" t="s">
        <v>31360</v>
      </c>
      <c r="AD9833" t="s">
        <v>44448</v>
      </c>
      <c r="AE9833">
        <v>1263</v>
      </c>
      <c r="AF9833" t="s">
        <v>20460</v>
      </c>
      <c r="AG9833" t="s">
        <v>45562</v>
      </c>
      <c r="AH9833">
        <v>0</v>
      </c>
      <c r="AI9833">
        <v>1</v>
      </c>
      <c r="AJ9833">
        <v>0</v>
      </c>
      <c r="AK9833">
        <v>87.43000000000001</v>
      </c>
      <c r="AN9833" t="s">
        <v>7439</v>
      </c>
      <c r="AO9833">
        <v>10920</v>
      </c>
      <c r="AU9833">
        <v>0.5</v>
      </c>
      <c r="AV9833" t="s">
        <v>735</v>
      </c>
      <c r="AW9833" t="s">
        <v>46841</v>
      </c>
    </row>
    <row r="9834" spans="1:50">
      <c r="A9834" s="1">
        <f>HYPERLINK("https://lsnyc.legalserver.org/matter/dynamic-profile/view/1889556","19-1889556")</f>
        <v>0</v>
      </c>
      <c r="B9834" t="s">
        <v>102</v>
      </c>
      <c r="C9834" t="s">
        <v>340</v>
      </c>
      <c r="D9834" t="s">
        <v>735</v>
      </c>
      <c r="F9834" t="s">
        <v>4209</v>
      </c>
      <c r="G9834" t="s">
        <v>5221</v>
      </c>
      <c r="H9834" t="s">
        <v>16332</v>
      </c>
      <c r="I9834" t="s">
        <v>17435</v>
      </c>
      <c r="J9834" t="s">
        <v>18902</v>
      </c>
      <c r="K9834">
        <v>10305</v>
      </c>
      <c r="L9834" t="s">
        <v>18960</v>
      </c>
      <c r="M9834" t="s">
        <v>18960</v>
      </c>
      <c r="R9834" t="s">
        <v>26587</v>
      </c>
      <c r="S9834" t="s">
        <v>18959</v>
      </c>
      <c r="U9834" t="s">
        <v>26604</v>
      </c>
      <c r="X9834">
        <v>775</v>
      </c>
      <c r="Y9834" t="s">
        <v>26654</v>
      </c>
      <c r="Z9834" t="s">
        <v>26530</v>
      </c>
      <c r="AB9834" t="s">
        <v>33648</v>
      </c>
      <c r="AD9834" t="s">
        <v>44449</v>
      </c>
      <c r="AE9834">
        <v>0</v>
      </c>
      <c r="AH9834">
        <v>6</v>
      </c>
      <c r="AI9834">
        <v>1</v>
      </c>
      <c r="AJ9834">
        <v>0</v>
      </c>
      <c r="AK9834">
        <v>120.96</v>
      </c>
      <c r="AN9834" t="s">
        <v>7439</v>
      </c>
      <c r="AO9834">
        <v>15108</v>
      </c>
      <c r="AU9834">
        <v>4.7</v>
      </c>
      <c r="AV9834" t="s">
        <v>809</v>
      </c>
      <c r="AW9834" t="s">
        <v>316</v>
      </c>
    </row>
    <row r="9835" spans="1:50">
      <c r="A9835" s="1">
        <f>HYPERLINK("https://lsnyc.legalserver.org/matter/dynamic-profile/view/1889570","19-1889570")</f>
        <v>0</v>
      </c>
      <c r="B9835" t="s">
        <v>161</v>
      </c>
      <c r="C9835" t="s">
        <v>340</v>
      </c>
      <c r="D9835" t="s">
        <v>735</v>
      </c>
      <c r="F9835" t="s">
        <v>4670</v>
      </c>
      <c r="G9835" t="s">
        <v>5785</v>
      </c>
      <c r="H9835" t="s">
        <v>16333</v>
      </c>
      <c r="I9835" t="s">
        <v>17430</v>
      </c>
      <c r="J9835" t="s">
        <v>18916</v>
      </c>
      <c r="K9835">
        <v>11693</v>
      </c>
      <c r="L9835" t="s">
        <v>18959</v>
      </c>
      <c r="M9835" t="s">
        <v>18958</v>
      </c>
      <c r="N9835" t="s">
        <v>25727</v>
      </c>
      <c r="O9835" t="s">
        <v>26526</v>
      </c>
      <c r="P9835" t="s">
        <v>26564</v>
      </c>
      <c r="R9835" t="s">
        <v>26584</v>
      </c>
      <c r="S9835" t="s">
        <v>18959</v>
      </c>
      <c r="U9835" t="s">
        <v>26604</v>
      </c>
      <c r="V9835" t="s">
        <v>26610</v>
      </c>
      <c r="X9835">
        <v>286</v>
      </c>
      <c r="Y9835" t="s">
        <v>26653</v>
      </c>
      <c r="Z9835" t="s">
        <v>26664</v>
      </c>
      <c r="AB9835" t="s">
        <v>33649</v>
      </c>
      <c r="AD9835" t="s">
        <v>44450</v>
      </c>
      <c r="AE9835">
        <v>2</v>
      </c>
      <c r="AF9835" t="s">
        <v>45547</v>
      </c>
      <c r="AG9835" t="s">
        <v>45556</v>
      </c>
      <c r="AH9835">
        <v>7</v>
      </c>
      <c r="AI9835">
        <v>2</v>
      </c>
      <c r="AJ9835">
        <v>0</v>
      </c>
      <c r="AK9835">
        <v>52.94</v>
      </c>
      <c r="AN9835" t="s">
        <v>45581</v>
      </c>
      <c r="AO9835">
        <v>8952</v>
      </c>
      <c r="AU9835">
        <v>0.25</v>
      </c>
      <c r="AV9835" t="s">
        <v>745</v>
      </c>
      <c r="AW9835" t="s">
        <v>161</v>
      </c>
    </row>
    <row r="9836" spans="1:50">
      <c r="A9836" s="1">
        <f>HYPERLINK("https://lsnyc.legalserver.org/matter/dynamic-profile/view/1889703","19-1889703")</f>
        <v>0</v>
      </c>
      <c r="B9836" t="s">
        <v>58</v>
      </c>
      <c r="C9836" t="s">
        <v>341</v>
      </c>
      <c r="D9836" t="s">
        <v>739</v>
      </c>
      <c r="E9836" t="s">
        <v>772</v>
      </c>
      <c r="F9836" t="s">
        <v>916</v>
      </c>
      <c r="G9836" t="s">
        <v>5785</v>
      </c>
      <c r="H9836" t="s">
        <v>13810</v>
      </c>
      <c r="I9836" t="s">
        <v>18721</v>
      </c>
      <c r="J9836" t="s">
        <v>18892</v>
      </c>
      <c r="K9836">
        <v>10457</v>
      </c>
      <c r="L9836" t="s">
        <v>18958</v>
      </c>
      <c r="M9836" t="s">
        <v>18958</v>
      </c>
      <c r="N9836" t="s">
        <v>25728</v>
      </c>
      <c r="O9836" t="s">
        <v>26523</v>
      </c>
      <c r="Q9836" t="s">
        <v>26568</v>
      </c>
      <c r="R9836" t="s">
        <v>26579</v>
      </c>
      <c r="U9836" t="s">
        <v>26605</v>
      </c>
      <c r="X9836">
        <v>277</v>
      </c>
      <c r="Y9836" t="s">
        <v>26650</v>
      </c>
      <c r="AA9836" t="s">
        <v>26680</v>
      </c>
      <c r="AB9836" t="s">
        <v>33650</v>
      </c>
      <c r="AC9836" t="s">
        <v>36677</v>
      </c>
      <c r="AD9836" t="s">
        <v>44451</v>
      </c>
      <c r="AE9836">
        <v>100</v>
      </c>
      <c r="AH9836">
        <v>23</v>
      </c>
      <c r="AI9836">
        <v>2</v>
      </c>
      <c r="AJ9836">
        <v>0</v>
      </c>
      <c r="AK9836">
        <v>20.58</v>
      </c>
      <c r="AN9836" t="s">
        <v>7439</v>
      </c>
      <c r="AO9836">
        <v>3480</v>
      </c>
      <c r="AP9836" t="s">
        <v>46206</v>
      </c>
      <c r="AS9836" t="s">
        <v>46499</v>
      </c>
      <c r="AU9836">
        <v>5</v>
      </c>
      <c r="AV9836" t="s">
        <v>772</v>
      </c>
      <c r="AW9836" t="s">
        <v>46850</v>
      </c>
      <c r="AX9836" t="s">
        <v>46898</v>
      </c>
    </row>
    <row r="9837" spans="1:50">
      <c r="A9837" s="1">
        <f>HYPERLINK("https://lsnyc.legalserver.org/matter/dynamic-profile/view/1889668","19-1889668")</f>
        <v>0</v>
      </c>
      <c r="B9837" t="s">
        <v>74</v>
      </c>
      <c r="C9837" t="s">
        <v>341</v>
      </c>
      <c r="D9837" t="s">
        <v>739</v>
      </c>
      <c r="E9837" t="s">
        <v>788</v>
      </c>
      <c r="F9837" t="s">
        <v>4671</v>
      </c>
      <c r="G9837" t="s">
        <v>5113</v>
      </c>
      <c r="H9837" t="s">
        <v>16334</v>
      </c>
      <c r="I9837" t="s">
        <v>17423</v>
      </c>
      <c r="J9837" t="s">
        <v>18892</v>
      </c>
      <c r="K9837">
        <v>10467</v>
      </c>
      <c r="L9837" t="s">
        <v>18960</v>
      </c>
      <c r="M9837" t="s">
        <v>18960</v>
      </c>
      <c r="P9837" t="s">
        <v>26564</v>
      </c>
      <c r="Q9837" t="s">
        <v>26570</v>
      </c>
      <c r="R9837" t="s">
        <v>26591</v>
      </c>
      <c r="U9837" t="s">
        <v>26604</v>
      </c>
      <c r="X9837">
        <v>1956</v>
      </c>
      <c r="Y9837" t="s">
        <v>26651</v>
      </c>
      <c r="Z9837" t="s">
        <v>26659</v>
      </c>
      <c r="AA9837" t="s">
        <v>26683</v>
      </c>
      <c r="AB9837" t="s">
        <v>33651</v>
      </c>
      <c r="AD9837" t="s">
        <v>44452</v>
      </c>
      <c r="AE9837">
        <v>3</v>
      </c>
      <c r="AF9837" t="s">
        <v>45541</v>
      </c>
      <c r="AG9837" t="s">
        <v>45562</v>
      </c>
      <c r="AH9837">
        <v>0</v>
      </c>
      <c r="AI9837">
        <v>2</v>
      </c>
      <c r="AJ9837">
        <v>4</v>
      </c>
      <c r="AK9837">
        <v>60.13</v>
      </c>
      <c r="AN9837" t="s">
        <v>7439</v>
      </c>
      <c r="AO9837">
        <v>20800</v>
      </c>
      <c r="AU9837">
        <v>1</v>
      </c>
      <c r="AV9837" t="s">
        <v>739</v>
      </c>
      <c r="AW9837" t="s">
        <v>46858</v>
      </c>
    </row>
    <row r="9838" spans="1:50">
      <c r="A9838" s="1">
        <f>HYPERLINK("https://lsnyc.legalserver.org/matter/dynamic-profile/view/1889495","19-1889495")</f>
        <v>0</v>
      </c>
      <c r="B9838" t="s">
        <v>249</v>
      </c>
      <c r="C9838" t="s">
        <v>341</v>
      </c>
      <c r="D9838" t="s">
        <v>739</v>
      </c>
      <c r="E9838" t="s">
        <v>657</v>
      </c>
      <c r="F9838" t="s">
        <v>974</v>
      </c>
      <c r="G9838" t="s">
        <v>8050</v>
      </c>
      <c r="H9838" t="s">
        <v>14319</v>
      </c>
      <c r="I9838" t="s">
        <v>17327</v>
      </c>
      <c r="J9838" t="s">
        <v>18894</v>
      </c>
      <c r="K9838">
        <v>11212</v>
      </c>
      <c r="L9838" t="s">
        <v>18958</v>
      </c>
      <c r="M9838" t="s">
        <v>18958</v>
      </c>
      <c r="N9838" t="s">
        <v>18997</v>
      </c>
      <c r="O9838" t="s">
        <v>18997</v>
      </c>
      <c r="P9838" t="s">
        <v>26564</v>
      </c>
      <c r="Q9838" t="s">
        <v>26570</v>
      </c>
      <c r="R9838" t="s">
        <v>26578</v>
      </c>
      <c r="S9838" t="s">
        <v>18959</v>
      </c>
      <c r="U9838" t="s">
        <v>26604</v>
      </c>
      <c r="V9838" t="s">
        <v>26610</v>
      </c>
      <c r="X9838">
        <v>135</v>
      </c>
      <c r="Y9838" t="s">
        <v>26652</v>
      </c>
      <c r="Z9838" t="s">
        <v>26659</v>
      </c>
      <c r="AA9838" t="s">
        <v>26683</v>
      </c>
      <c r="AB9838" t="s">
        <v>31732</v>
      </c>
      <c r="AC9838" t="s">
        <v>36678</v>
      </c>
      <c r="AD9838" t="s">
        <v>41992</v>
      </c>
      <c r="AE9838">
        <v>260</v>
      </c>
      <c r="AG9838" t="s">
        <v>45563</v>
      </c>
      <c r="AH9838">
        <v>39</v>
      </c>
      <c r="AI9838">
        <v>1</v>
      </c>
      <c r="AJ9838">
        <v>0</v>
      </c>
      <c r="AK9838">
        <v>74.36</v>
      </c>
      <c r="AN9838" t="s">
        <v>7439</v>
      </c>
      <c r="AO9838">
        <v>9288</v>
      </c>
      <c r="AU9838">
        <v>5.25</v>
      </c>
      <c r="AV9838" t="s">
        <v>657</v>
      </c>
      <c r="AW9838" t="s">
        <v>279</v>
      </c>
    </row>
    <row r="9839" spans="1:50">
      <c r="A9839" s="1">
        <f>HYPERLINK("https://lsnyc.legalserver.org/matter/dynamic-profile/view/1889665","19-1889665")</f>
        <v>0</v>
      </c>
      <c r="B9839" t="s">
        <v>175</v>
      </c>
      <c r="C9839" t="s">
        <v>341</v>
      </c>
      <c r="D9839" t="s">
        <v>739</v>
      </c>
      <c r="E9839" t="s">
        <v>839</v>
      </c>
      <c r="F9839" t="s">
        <v>1066</v>
      </c>
      <c r="G9839" t="s">
        <v>9184</v>
      </c>
      <c r="H9839" t="s">
        <v>16335</v>
      </c>
      <c r="I9839" t="s">
        <v>17496</v>
      </c>
      <c r="J9839" t="s">
        <v>18894</v>
      </c>
      <c r="K9839">
        <v>11223</v>
      </c>
      <c r="L9839" t="s">
        <v>18960</v>
      </c>
      <c r="M9839" t="s">
        <v>18960</v>
      </c>
      <c r="O9839" t="s">
        <v>18997</v>
      </c>
      <c r="P9839" t="s">
        <v>26565</v>
      </c>
      <c r="Q9839" t="s">
        <v>26571</v>
      </c>
      <c r="R9839" t="s">
        <v>26592</v>
      </c>
      <c r="U9839" t="s">
        <v>26607</v>
      </c>
      <c r="X9839">
        <v>0</v>
      </c>
      <c r="Y9839" t="s">
        <v>26652</v>
      </c>
      <c r="AA9839" t="s">
        <v>26681</v>
      </c>
      <c r="AB9839" t="s">
        <v>33652</v>
      </c>
      <c r="AE9839">
        <v>0</v>
      </c>
      <c r="AF9839" t="s">
        <v>45541</v>
      </c>
      <c r="AG9839" t="s">
        <v>45559</v>
      </c>
      <c r="AH9839">
        <v>0</v>
      </c>
      <c r="AI9839">
        <v>2</v>
      </c>
      <c r="AJ9839">
        <v>0</v>
      </c>
      <c r="AK9839">
        <v>66.23</v>
      </c>
      <c r="AN9839" t="s">
        <v>45586</v>
      </c>
      <c r="AO9839">
        <v>11200</v>
      </c>
      <c r="AU9839">
        <v>4.25</v>
      </c>
      <c r="AV9839" t="s">
        <v>839</v>
      </c>
      <c r="AW9839" t="s">
        <v>175</v>
      </c>
    </row>
    <row r="9840" spans="1:50">
      <c r="A9840" s="1">
        <f>HYPERLINK("https://lsnyc.legalserver.org/matter/dynamic-profile/view/1889641","19-1889641")</f>
        <v>0</v>
      </c>
      <c r="B9840" t="s">
        <v>165</v>
      </c>
      <c r="C9840" t="s">
        <v>340</v>
      </c>
      <c r="D9840" t="s">
        <v>739</v>
      </c>
      <c r="F9840" t="s">
        <v>4672</v>
      </c>
      <c r="G9840" t="s">
        <v>5342</v>
      </c>
      <c r="H9840" t="s">
        <v>16336</v>
      </c>
      <c r="I9840" t="s">
        <v>17316</v>
      </c>
      <c r="J9840" t="s">
        <v>18945</v>
      </c>
      <c r="K9840">
        <v>10030</v>
      </c>
      <c r="L9840" t="s">
        <v>18959</v>
      </c>
      <c r="M9840" t="s">
        <v>18959</v>
      </c>
      <c r="O9840" t="s">
        <v>18997</v>
      </c>
      <c r="P9840" t="s">
        <v>26563</v>
      </c>
      <c r="R9840" t="s">
        <v>26578</v>
      </c>
      <c r="U9840" t="s">
        <v>26604</v>
      </c>
      <c r="X9840">
        <v>697.34</v>
      </c>
      <c r="Y9840" t="s">
        <v>26651</v>
      </c>
      <c r="Z9840" t="s">
        <v>26659</v>
      </c>
      <c r="AB9840" t="s">
        <v>33653</v>
      </c>
      <c r="AD9840" t="s">
        <v>44453</v>
      </c>
      <c r="AE9840">
        <v>0</v>
      </c>
      <c r="AF9840" t="s">
        <v>45541</v>
      </c>
      <c r="AG9840" t="s">
        <v>19330</v>
      </c>
      <c r="AH9840">
        <v>20</v>
      </c>
      <c r="AI9840">
        <v>1</v>
      </c>
      <c r="AJ9840">
        <v>4</v>
      </c>
      <c r="AK9840">
        <v>56.99</v>
      </c>
      <c r="AN9840" t="s">
        <v>7439</v>
      </c>
      <c r="AO9840">
        <v>17193.42</v>
      </c>
      <c r="AS9840" t="s">
        <v>46499</v>
      </c>
      <c r="AT9840" t="s">
        <v>46812</v>
      </c>
      <c r="AU9840">
        <v>4.9</v>
      </c>
      <c r="AV9840" t="s">
        <v>833</v>
      </c>
      <c r="AW9840" t="s">
        <v>314</v>
      </c>
    </row>
    <row r="9841" spans="1:49">
      <c r="A9841" s="1">
        <f>HYPERLINK("https://lsnyc.legalserver.org/matter/dynamic-profile/view/1889630","19-1889630")</f>
        <v>0</v>
      </c>
      <c r="B9841" t="s">
        <v>200</v>
      </c>
      <c r="C9841" t="s">
        <v>340</v>
      </c>
      <c r="D9841" t="s">
        <v>739</v>
      </c>
      <c r="F9841" t="s">
        <v>1299</v>
      </c>
      <c r="G9841" t="s">
        <v>8560</v>
      </c>
      <c r="H9841" t="s">
        <v>12132</v>
      </c>
      <c r="I9841">
        <v>4</v>
      </c>
      <c r="J9841" t="s">
        <v>18894</v>
      </c>
      <c r="K9841">
        <v>11233</v>
      </c>
      <c r="L9841" t="s">
        <v>18959</v>
      </c>
      <c r="M9841" t="s">
        <v>18959</v>
      </c>
      <c r="O9841" t="s">
        <v>26526</v>
      </c>
      <c r="P9841" t="s">
        <v>26563</v>
      </c>
      <c r="R9841" t="s">
        <v>26578</v>
      </c>
      <c r="S9841" t="s">
        <v>18959</v>
      </c>
      <c r="U9841" t="s">
        <v>26604</v>
      </c>
      <c r="X9841">
        <v>1477</v>
      </c>
      <c r="Y9841" t="s">
        <v>26652</v>
      </c>
      <c r="Z9841" t="s">
        <v>26659</v>
      </c>
      <c r="AB9841" t="s">
        <v>32638</v>
      </c>
      <c r="AC9841" t="s">
        <v>36465</v>
      </c>
      <c r="AD9841" t="s">
        <v>43130</v>
      </c>
      <c r="AE9841">
        <v>8</v>
      </c>
      <c r="AF9841" t="s">
        <v>45541</v>
      </c>
      <c r="AG9841" t="s">
        <v>45556</v>
      </c>
      <c r="AH9841">
        <v>2</v>
      </c>
      <c r="AI9841">
        <v>3</v>
      </c>
      <c r="AJ9841">
        <v>1</v>
      </c>
      <c r="AK9841">
        <v>15.45</v>
      </c>
      <c r="AN9841" t="s">
        <v>7439</v>
      </c>
      <c r="AO9841">
        <v>3978</v>
      </c>
      <c r="AU9841">
        <v>0</v>
      </c>
      <c r="AW9841" t="s">
        <v>281</v>
      </c>
    </row>
    <row r="9842" spans="1:49">
      <c r="A9842" s="1">
        <f>HYPERLINK("https://lsnyc.legalserver.org/matter/dynamic-profile/view/1889647","19-1889647")</f>
        <v>0</v>
      </c>
      <c r="B9842" t="s">
        <v>200</v>
      </c>
      <c r="C9842" t="s">
        <v>340</v>
      </c>
      <c r="D9842" t="s">
        <v>739</v>
      </c>
      <c r="F9842" t="s">
        <v>3365</v>
      </c>
      <c r="G9842" t="s">
        <v>5241</v>
      </c>
      <c r="H9842" t="s">
        <v>16337</v>
      </c>
      <c r="I9842" t="s">
        <v>17428</v>
      </c>
      <c r="J9842" t="s">
        <v>18894</v>
      </c>
      <c r="K9842">
        <v>11212</v>
      </c>
      <c r="L9842" t="s">
        <v>18958</v>
      </c>
      <c r="M9842" t="s">
        <v>18958</v>
      </c>
      <c r="N9842" t="s">
        <v>25729</v>
      </c>
      <c r="O9842" t="s">
        <v>26526</v>
      </c>
      <c r="P9842" t="s">
        <v>26563</v>
      </c>
      <c r="R9842" t="s">
        <v>26578</v>
      </c>
      <c r="U9842" t="s">
        <v>26604</v>
      </c>
      <c r="X9842">
        <v>1100</v>
      </c>
      <c r="Y9842" t="s">
        <v>26652</v>
      </c>
      <c r="Z9842" t="s">
        <v>26664</v>
      </c>
      <c r="AB9842" t="s">
        <v>28645</v>
      </c>
      <c r="AD9842" t="s">
        <v>44454</v>
      </c>
      <c r="AE9842">
        <v>170</v>
      </c>
      <c r="AG9842" t="s">
        <v>45559</v>
      </c>
      <c r="AH9842">
        <v>0</v>
      </c>
      <c r="AI9842">
        <v>1</v>
      </c>
      <c r="AJ9842">
        <v>0</v>
      </c>
      <c r="AK9842">
        <v>105.68</v>
      </c>
      <c r="AN9842" t="s">
        <v>7439</v>
      </c>
      <c r="AO9842">
        <v>13200</v>
      </c>
      <c r="AU9842">
        <v>1.8</v>
      </c>
      <c r="AV9842" t="s">
        <v>714</v>
      </c>
      <c r="AW9842" t="s">
        <v>46862</v>
      </c>
    </row>
    <row r="9843" spans="1:49">
      <c r="A9843" s="1">
        <f>HYPERLINK("https://lsnyc.legalserver.org/matter/dynamic-profile/view/1889658","19-1889658")</f>
        <v>0</v>
      </c>
      <c r="B9843" t="s">
        <v>200</v>
      </c>
      <c r="C9843" t="s">
        <v>340</v>
      </c>
      <c r="D9843" t="s">
        <v>739</v>
      </c>
      <c r="F9843" t="s">
        <v>2480</v>
      </c>
      <c r="G9843" t="s">
        <v>9185</v>
      </c>
      <c r="H9843" t="s">
        <v>14493</v>
      </c>
      <c r="I9843" t="s">
        <v>18252</v>
      </c>
      <c r="J9843" t="s">
        <v>18894</v>
      </c>
      <c r="K9843">
        <v>11226</v>
      </c>
      <c r="L9843" t="s">
        <v>18960</v>
      </c>
      <c r="M9843" t="s">
        <v>18960</v>
      </c>
      <c r="O9843" t="s">
        <v>26526</v>
      </c>
      <c r="P9843" t="s">
        <v>26563</v>
      </c>
      <c r="R9843" t="s">
        <v>26588</v>
      </c>
      <c r="U9843" t="s">
        <v>26604</v>
      </c>
      <c r="X9843">
        <v>1478.64</v>
      </c>
      <c r="Y9843" t="s">
        <v>26652</v>
      </c>
      <c r="Z9843" t="s">
        <v>26672</v>
      </c>
      <c r="AB9843" t="s">
        <v>28239</v>
      </c>
      <c r="AE9843">
        <v>0</v>
      </c>
      <c r="AG9843" t="s">
        <v>19330</v>
      </c>
      <c r="AH9843">
        <v>35</v>
      </c>
      <c r="AI9843">
        <v>1</v>
      </c>
      <c r="AJ9843">
        <v>0</v>
      </c>
      <c r="AK9843">
        <v>0</v>
      </c>
      <c r="AN9843" t="s">
        <v>7439</v>
      </c>
      <c r="AO9843">
        <v>0</v>
      </c>
      <c r="AU9843">
        <v>5.6</v>
      </c>
      <c r="AV9843" t="s">
        <v>769</v>
      </c>
      <c r="AW9843" t="s">
        <v>46862</v>
      </c>
    </row>
    <row r="9844" spans="1:49">
      <c r="A9844" s="1">
        <f>HYPERLINK("https://lsnyc.legalserver.org/matter/dynamic-profile/view/1889865","19-1889865")</f>
        <v>0</v>
      </c>
      <c r="B9844" t="s">
        <v>105</v>
      </c>
      <c r="C9844" t="s">
        <v>341</v>
      </c>
      <c r="D9844" t="s">
        <v>714</v>
      </c>
      <c r="E9844" t="s">
        <v>813</v>
      </c>
      <c r="F9844" t="s">
        <v>916</v>
      </c>
      <c r="G9844" t="s">
        <v>5094</v>
      </c>
      <c r="H9844" t="s">
        <v>16338</v>
      </c>
      <c r="J9844" t="s">
        <v>18913</v>
      </c>
      <c r="K9844">
        <v>11102</v>
      </c>
      <c r="L9844" t="s">
        <v>18959</v>
      </c>
      <c r="M9844" t="s">
        <v>18958</v>
      </c>
      <c r="N9844" t="s">
        <v>25730</v>
      </c>
      <c r="O9844" t="s">
        <v>26526</v>
      </c>
      <c r="P9844" t="s">
        <v>26564</v>
      </c>
      <c r="Q9844" t="s">
        <v>26570</v>
      </c>
      <c r="R9844" t="s">
        <v>26584</v>
      </c>
      <c r="S9844" t="s">
        <v>18959</v>
      </c>
      <c r="U9844" t="s">
        <v>26604</v>
      </c>
      <c r="V9844" t="s">
        <v>26609</v>
      </c>
      <c r="X9844">
        <v>756</v>
      </c>
      <c r="Y9844" t="s">
        <v>26653</v>
      </c>
      <c r="Z9844" t="s">
        <v>26664</v>
      </c>
      <c r="AA9844" t="s">
        <v>26683</v>
      </c>
      <c r="AB9844" t="s">
        <v>31218</v>
      </c>
      <c r="AC9844" t="s">
        <v>36679</v>
      </c>
      <c r="AD9844" t="s">
        <v>34738</v>
      </c>
      <c r="AE9844">
        <v>2</v>
      </c>
      <c r="AF9844" t="s">
        <v>45541</v>
      </c>
      <c r="AG9844" t="s">
        <v>45556</v>
      </c>
      <c r="AH9844">
        <v>1</v>
      </c>
      <c r="AI9844">
        <v>3</v>
      </c>
      <c r="AJ9844">
        <v>2</v>
      </c>
      <c r="AK9844">
        <v>78.16</v>
      </c>
      <c r="AN9844" t="s">
        <v>45581</v>
      </c>
      <c r="AO9844">
        <v>23580</v>
      </c>
      <c r="AU9844">
        <v>0.1</v>
      </c>
      <c r="AV9844" t="s">
        <v>813</v>
      </c>
      <c r="AW9844" t="s">
        <v>161</v>
      </c>
    </row>
    <row r="9845" spans="1:49">
      <c r="A9845" s="1">
        <f>HYPERLINK("https://lsnyc.legalserver.org/matter/dynamic-profile/view/1889750","19-1889750")</f>
        <v>0</v>
      </c>
      <c r="B9845" t="s">
        <v>121</v>
      </c>
      <c r="C9845" t="s">
        <v>341</v>
      </c>
      <c r="D9845" t="s">
        <v>714</v>
      </c>
      <c r="E9845" t="s">
        <v>829</v>
      </c>
      <c r="F9845" t="s">
        <v>4673</v>
      </c>
      <c r="G9845" t="s">
        <v>5461</v>
      </c>
      <c r="H9845" t="s">
        <v>12255</v>
      </c>
      <c r="I9845" t="s">
        <v>17274</v>
      </c>
      <c r="J9845" t="s">
        <v>18892</v>
      </c>
      <c r="K9845">
        <v>10452</v>
      </c>
      <c r="L9845" t="s">
        <v>18958</v>
      </c>
      <c r="M9845" t="s">
        <v>18958</v>
      </c>
      <c r="N9845" t="s">
        <v>25731</v>
      </c>
      <c r="O9845" t="s">
        <v>26524</v>
      </c>
      <c r="P9845" t="s">
        <v>26564</v>
      </c>
      <c r="Q9845" t="s">
        <v>26570</v>
      </c>
      <c r="R9845" t="s">
        <v>26583</v>
      </c>
      <c r="S9845" t="s">
        <v>18959</v>
      </c>
      <c r="U9845" t="s">
        <v>26604</v>
      </c>
      <c r="X9845">
        <v>2373.54</v>
      </c>
      <c r="Y9845" t="s">
        <v>26650</v>
      </c>
      <c r="Z9845" t="s">
        <v>26668</v>
      </c>
      <c r="AA9845" t="s">
        <v>26683</v>
      </c>
      <c r="AB9845" t="s">
        <v>33654</v>
      </c>
      <c r="AD9845" t="s">
        <v>44455</v>
      </c>
      <c r="AE9845">
        <v>0</v>
      </c>
      <c r="AF9845" t="s">
        <v>45541</v>
      </c>
      <c r="AG9845" t="s">
        <v>19330</v>
      </c>
      <c r="AH9845">
        <v>7</v>
      </c>
      <c r="AI9845">
        <v>3</v>
      </c>
      <c r="AJ9845">
        <v>0</v>
      </c>
      <c r="AK9845">
        <v>241.91</v>
      </c>
      <c r="AN9845" t="s">
        <v>7439</v>
      </c>
      <c r="AO9845">
        <v>51600</v>
      </c>
      <c r="AP9845" t="s">
        <v>46207</v>
      </c>
      <c r="AU9845">
        <v>2.3</v>
      </c>
      <c r="AV9845" t="s">
        <v>747</v>
      </c>
      <c r="AW9845" t="s">
        <v>46870</v>
      </c>
    </row>
    <row r="9846" spans="1:49">
      <c r="A9846" s="1">
        <f>HYPERLINK("https://lsnyc.legalserver.org/matter/dynamic-profile/view/1889818","19-1889818")</f>
        <v>0</v>
      </c>
      <c r="B9846" t="s">
        <v>250</v>
      </c>
      <c r="C9846" t="s">
        <v>341</v>
      </c>
      <c r="D9846" t="s">
        <v>714</v>
      </c>
      <c r="E9846" t="s">
        <v>724</v>
      </c>
      <c r="F9846" t="s">
        <v>1592</v>
      </c>
      <c r="G9846" t="s">
        <v>9186</v>
      </c>
      <c r="H9846" t="s">
        <v>16339</v>
      </c>
      <c r="J9846" t="s">
        <v>18893</v>
      </c>
      <c r="K9846">
        <v>10002</v>
      </c>
      <c r="L9846" t="s">
        <v>18960</v>
      </c>
      <c r="M9846" t="s">
        <v>18960</v>
      </c>
      <c r="Q9846" t="s">
        <v>26570</v>
      </c>
      <c r="R9846" t="s">
        <v>26583</v>
      </c>
      <c r="U9846" t="s">
        <v>26607</v>
      </c>
      <c r="X9846">
        <v>0</v>
      </c>
      <c r="Y9846" t="s">
        <v>26651</v>
      </c>
      <c r="AA9846" t="s">
        <v>26683</v>
      </c>
      <c r="AB9846" t="s">
        <v>33655</v>
      </c>
      <c r="AD9846" t="s">
        <v>44456</v>
      </c>
      <c r="AE9846">
        <v>0</v>
      </c>
      <c r="AH9846">
        <v>0</v>
      </c>
      <c r="AI9846">
        <v>1</v>
      </c>
      <c r="AJ9846">
        <v>0</v>
      </c>
      <c r="AK9846">
        <v>293.8</v>
      </c>
      <c r="AO9846">
        <v>36696</v>
      </c>
      <c r="AU9846">
        <v>0.1</v>
      </c>
      <c r="AV9846" t="s">
        <v>756</v>
      </c>
      <c r="AW9846" t="s">
        <v>46892</v>
      </c>
    </row>
    <row r="9847" spans="1:49">
      <c r="A9847" s="1">
        <f>HYPERLINK("https://lsnyc.legalserver.org/matter/dynamic-profile/view/1889832","19-1889832")</f>
        <v>0</v>
      </c>
      <c r="B9847" t="s">
        <v>280</v>
      </c>
      <c r="C9847" t="s">
        <v>340</v>
      </c>
      <c r="D9847" t="s">
        <v>714</v>
      </c>
      <c r="F9847" t="s">
        <v>887</v>
      </c>
      <c r="G9847" t="s">
        <v>5122</v>
      </c>
      <c r="H9847" t="s">
        <v>16340</v>
      </c>
      <c r="I9847" t="s">
        <v>17298</v>
      </c>
      <c r="J9847" t="s">
        <v>18912</v>
      </c>
      <c r="K9847">
        <v>11374</v>
      </c>
      <c r="L9847" t="s">
        <v>18960</v>
      </c>
      <c r="M9847" t="s">
        <v>18960</v>
      </c>
      <c r="R9847" t="s">
        <v>26591</v>
      </c>
      <c r="U9847" t="s">
        <v>26604</v>
      </c>
      <c r="X9847">
        <v>1135.96</v>
      </c>
      <c r="Y9847" t="s">
        <v>26653</v>
      </c>
      <c r="Z9847" t="s">
        <v>26673</v>
      </c>
      <c r="AB9847" t="s">
        <v>31273</v>
      </c>
      <c r="AD9847" t="s">
        <v>44457</v>
      </c>
      <c r="AE9847">
        <v>70</v>
      </c>
      <c r="AF9847" t="s">
        <v>45548</v>
      </c>
      <c r="AG9847" t="s">
        <v>19330</v>
      </c>
      <c r="AH9847">
        <v>18</v>
      </c>
      <c r="AI9847">
        <v>1</v>
      </c>
      <c r="AJ9847">
        <v>1</v>
      </c>
      <c r="AK9847">
        <v>110.94</v>
      </c>
      <c r="AN9847" t="s">
        <v>45581</v>
      </c>
      <c r="AO9847">
        <v>18760</v>
      </c>
      <c r="AU9847">
        <v>2.2</v>
      </c>
      <c r="AV9847" t="s">
        <v>815</v>
      </c>
      <c r="AW9847" t="s">
        <v>46846</v>
      </c>
    </row>
    <row r="9848" spans="1:49">
      <c r="A9848" s="1">
        <f>HYPERLINK("https://lsnyc.legalserver.org/matter/dynamic-profile/view/1889800","19-1889800")</f>
        <v>0</v>
      </c>
      <c r="B9848" t="s">
        <v>133</v>
      </c>
      <c r="C9848" t="s">
        <v>340</v>
      </c>
      <c r="D9848" t="s">
        <v>714</v>
      </c>
      <c r="F9848" t="s">
        <v>1027</v>
      </c>
      <c r="G9848" t="s">
        <v>5685</v>
      </c>
      <c r="H9848" t="s">
        <v>14594</v>
      </c>
      <c r="I9848">
        <v>45</v>
      </c>
      <c r="J9848" t="s">
        <v>18892</v>
      </c>
      <c r="K9848">
        <v>10468</v>
      </c>
      <c r="L9848" t="s">
        <v>18959</v>
      </c>
      <c r="M9848" t="s">
        <v>18959</v>
      </c>
      <c r="N9848" t="s">
        <v>25732</v>
      </c>
      <c r="O9848" t="s">
        <v>26523</v>
      </c>
      <c r="P9848" t="s">
        <v>26560</v>
      </c>
      <c r="R9848" t="s">
        <v>26579</v>
      </c>
      <c r="S9848" t="s">
        <v>18959</v>
      </c>
      <c r="U9848" t="s">
        <v>26604</v>
      </c>
      <c r="X9848">
        <v>1515</v>
      </c>
      <c r="Y9848" t="s">
        <v>26650</v>
      </c>
      <c r="Z9848" t="s">
        <v>26664</v>
      </c>
      <c r="AB9848" t="s">
        <v>33656</v>
      </c>
      <c r="AC9848" t="s">
        <v>36680</v>
      </c>
      <c r="AD9848" t="s">
        <v>44458</v>
      </c>
      <c r="AE9848">
        <v>0</v>
      </c>
      <c r="AG9848" t="s">
        <v>45562</v>
      </c>
      <c r="AH9848">
        <v>4</v>
      </c>
      <c r="AI9848">
        <v>2</v>
      </c>
      <c r="AJ9848">
        <v>3</v>
      </c>
      <c r="AK9848">
        <v>35.8</v>
      </c>
      <c r="AN9848" t="s">
        <v>7439</v>
      </c>
      <c r="AO9848">
        <v>10800</v>
      </c>
      <c r="AP9848" t="s">
        <v>46208</v>
      </c>
      <c r="AU9848">
        <v>10.6</v>
      </c>
      <c r="AV9848" t="s">
        <v>695</v>
      </c>
      <c r="AW9848" t="s">
        <v>46870</v>
      </c>
    </row>
    <row r="9849" spans="1:49">
      <c r="A9849" s="1">
        <f>HYPERLINK("https://lsnyc.legalserver.org/matter/dynamic-profile/view/1889802","19-1889802")</f>
        <v>0</v>
      </c>
      <c r="B9849" t="s">
        <v>117</v>
      </c>
      <c r="C9849" t="s">
        <v>340</v>
      </c>
      <c r="D9849" t="s">
        <v>714</v>
      </c>
      <c r="F9849" t="s">
        <v>4674</v>
      </c>
      <c r="G9849" t="s">
        <v>9157</v>
      </c>
      <c r="H9849" t="s">
        <v>16341</v>
      </c>
      <c r="I9849" t="s">
        <v>17733</v>
      </c>
      <c r="J9849" t="s">
        <v>18894</v>
      </c>
      <c r="K9849">
        <v>11233</v>
      </c>
      <c r="L9849" t="s">
        <v>18958</v>
      </c>
      <c r="M9849" t="s">
        <v>18958</v>
      </c>
      <c r="N9849" t="s">
        <v>20460</v>
      </c>
      <c r="O9849" t="s">
        <v>26524</v>
      </c>
      <c r="P9849" t="s">
        <v>26564</v>
      </c>
      <c r="R9849" t="s">
        <v>26583</v>
      </c>
      <c r="S9849" t="s">
        <v>18959</v>
      </c>
      <c r="U9849" t="s">
        <v>26604</v>
      </c>
      <c r="X9849">
        <v>1600</v>
      </c>
      <c r="Y9849" t="s">
        <v>26652</v>
      </c>
      <c r="Z9849" t="s">
        <v>26660</v>
      </c>
      <c r="AB9849" t="s">
        <v>30558</v>
      </c>
      <c r="AD9849" t="s">
        <v>44459</v>
      </c>
      <c r="AE9849">
        <v>2</v>
      </c>
      <c r="AG9849" t="s">
        <v>19330</v>
      </c>
      <c r="AH9849">
        <v>10</v>
      </c>
      <c r="AI9849">
        <v>2</v>
      </c>
      <c r="AJ9849">
        <v>2</v>
      </c>
      <c r="AK9849">
        <v>258.64</v>
      </c>
      <c r="AN9849" t="s">
        <v>7439</v>
      </c>
      <c r="AO9849">
        <v>66600</v>
      </c>
      <c r="AU9849">
        <v>1.8</v>
      </c>
      <c r="AV9849" t="s">
        <v>757</v>
      </c>
      <c r="AW9849" t="s">
        <v>279</v>
      </c>
    </row>
    <row r="9850" spans="1:49">
      <c r="A9850" s="1">
        <f>HYPERLINK("https://lsnyc.legalserver.org/matter/dynamic-profile/view/1889730","19-1889730")</f>
        <v>0</v>
      </c>
      <c r="B9850" t="s">
        <v>60</v>
      </c>
      <c r="C9850" t="s">
        <v>340</v>
      </c>
      <c r="D9850" t="s">
        <v>714</v>
      </c>
      <c r="F9850" t="s">
        <v>919</v>
      </c>
      <c r="G9850" t="s">
        <v>6013</v>
      </c>
      <c r="H9850" t="s">
        <v>14619</v>
      </c>
      <c r="I9850" t="s">
        <v>17302</v>
      </c>
      <c r="J9850" t="s">
        <v>18892</v>
      </c>
      <c r="K9850">
        <v>10453</v>
      </c>
      <c r="L9850" t="s">
        <v>18958</v>
      </c>
      <c r="M9850" t="s">
        <v>18960</v>
      </c>
      <c r="N9850" t="s">
        <v>25733</v>
      </c>
      <c r="O9850" t="s">
        <v>26523</v>
      </c>
      <c r="P9850" t="s">
        <v>26560</v>
      </c>
      <c r="R9850" t="s">
        <v>26578</v>
      </c>
      <c r="S9850" t="s">
        <v>18959</v>
      </c>
      <c r="U9850" t="s">
        <v>26604</v>
      </c>
      <c r="X9850">
        <v>868</v>
      </c>
      <c r="Y9850" t="s">
        <v>26650</v>
      </c>
      <c r="Z9850" t="s">
        <v>26659</v>
      </c>
      <c r="AB9850" t="s">
        <v>26711</v>
      </c>
      <c r="AC9850" t="s">
        <v>36681</v>
      </c>
      <c r="AD9850" t="s">
        <v>44460</v>
      </c>
      <c r="AE9850">
        <v>87</v>
      </c>
      <c r="AF9850" t="s">
        <v>45544</v>
      </c>
      <c r="AG9850" t="s">
        <v>19330</v>
      </c>
      <c r="AH9850">
        <v>15</v>
      </c>
      <c r="AI9850">
        <v>2</v>
      </c>
      <c r="AJ9850">
        <v>1</v>
      </c>
      <c r="AK9850">
        <v>162.06</v>
      </c>
      <c r="AN9850" t="s">
        <v>7439</v>
      </c>
      <c r="AO9850">
        <v>34568</v>
      </c>
      <c r="AP9850" t="s">
        <v>46209</v>
      </c>
      <c r="AU9850">
        <v>31.9</v>
      </c>
      <c r="AV9850" t="s">
        <v>833</v>
      </c>
      <c r="AW9850" t="s">
        <v>46832</v>
      </c>
    </row>
    <row r="9851" spans="1:49">
      <c r="A9851" s="1">
        <f>HYPERLINK("https://lsnyc.legalserver.org/matter/dynamic-profile/view/1889819","19-1889819")</f>
        <v>0</v>
      </c>
      <c r="B9851" t="s">
        <v>135</v>
      </c>
      <c r="C9851" t="s">
        <v>340</v>
      </c>
      <c r="D9851" t="s">
        <v>714</v>
      </c>
      <c r="F9851" t="s">
        <v>995</v>
      </c>
      <c r="G9851" t="s">
        <v>5147</v>
      </c>
      <c r="H9851" t="s">
        <v>16342</v>
      </c>
      <c r="J9851" t="s">
        <v>18892</v>
      </c>
      <c r="K9851">
        <v>10463</v>
      </c>
      <c r="L9851" t="s">
        <v>18958</v>
      </c>
      <c r="M9851" t="s">
        <v>18958</v>
      </c>
      <c r="P9851" t="s">
        <v>26564</v>
      </c>
      <c r="R9851" t="s">
        <v>26578</v>
      </c>
      <c r="S9851" t="s">
        <v>18959</v>
      </c>
      <c r="U9851" t="s">
        <v>26604</v>
      </c>
      <c r="X9851">
        <v>900</v>
      </c>
      <c r="Y9851" t="s">
        <v>26650</v>
      </c>
      <c r="Z9851" t="s">
        <v>26663</v>
      </c>
      <c r="AB9851" t="s">
        <v>33657</v>
      </c>
      <c r="AD9851" t="s">
        <v>44461</v>
      </c>
      <c r="AE9851">
        <v>61</v>
      </c>
      <c r="AF9851" t="s">
        <v>20460</v>
      </c>
      <c r="AG9851" t="s">
        <v>19330</v>
      </c>
      <c r="AH9851">
        <v>10</v>
      </c>
      <c r="AI9851">
        <v>2</v>
      </c>
      <c r="AJ9851">
        <v>1</v>
      </c>
      <c r="AK9851">
        <v>142.09</v>
      </c>
      <c r="AN9851" t="s">
        <v>45581</v>
      </c>
      <c r="AO9851">
        <v>30308</v>
      </c>
      <c r="AP9851" t="s">
        <v>46210</v>
      </c>
      <c r="AU9851">
        <v>0</v>
      </c>
      <c r="AW9851" t="s">
        <v>46847</v>
      </c>
    </row>
    <row r="9852" spans="1:49">
      <c r="A9852" s="1">
        <f>HYPERLINK("https://lsnyc.legalserver.org/matter/dynamic-profile/view/1889788","19-1889788")</f>
        <v>0</v>
      </c>
      <c r="B9852" t="s">
        <v>63</v>
      </c>
      <c r="C9852" t="s">
        <v>340</v>
      </c>
      <c r="D9852" t="s">
        <v>714</v>
      </c>
      <c r="F9852" t="s">
        <v>900</v>
      </c>
      <c r="G9852" t="s">
        <v>4588</v>
      </c>
      <c r="H9852" t="s">
        <v>16343</v>
      </c>
      <c r="I9852" t="s">
        <v>17354</v>
      </c>
      <c r="J9852" t="s">
        <v>18892</v>
      </c>
      <c r="K9852">
        <v>10459</v>
      </c>
      <c r="L9852" t="s">
        <v>18960</v>
      </c>
      <c r="M9852" t="s">
        <v>18960</v>
      </c>
      <c r="O9852" t="s">
        <v>18997</v>
      </c>
      <c r="P9852" t="s">
        <v>26564</v>
      </c>
      <c r="R9852" t="s">
        <v>26578</v>
      </c>
      <c r="S9852" t="s">
        <v>18959</v>
      </c>
      <c r="U9852" t="s">
        <v>26604</v>
      </c>
      <c r="X9852">
        <v>1100</v>
      </c>
      <c r="Y9852" t="s">
        <v>26650</v>
      </c>
      <c r="AB9852" t="s">
        <v>33508</v>
      </c>
      <c r="AE9852">
        <v>4</v>
      </c>
      <c r="AF9852" t="s">
        <v>20460</v>
      </c>
      <c r="AG9852" t="s">
        <v>19330</v>
      </c>
      <c r="AH9852">
        <v>3</v>
      </c>
      <c r="AI9852">
        <v>1</v>
      </c>
      <c r="AJ9852">
        <v>0</v>
      </c>
      <c r="AK9852">
        <v>192.15</v>
      </c>
      <c r="AN9852" t="s">
        <v>7439</v>
      </c>
      <c r="AO9852">
        <v>24000</v>
      </c>
      <c r="AP9852" t="s">
        <v>46129</v>
      </c>
      <c r="AU9852">
        <v>2</v>
      </c>
      <c r="AV9852" t="s">
        <v>702</v>
      </c>
      <c r="AW9852" t="s">
        <v>46829</v>
      </c>
    </row>
    <row r="9853" spans="1:49">
      <c r="A9853" s="1">
        <f>HYPERLINK("https://lsnyc.legalserver.org/matter/dynamic-profile/view/1889055","19-1889055")</f>
        <v>0</v>
      </c>
      <c r="B9853" t="s">
        <v>177</v>
      </c>
      <c r="C9853" t="s">
        <v>341</v>
      </c>
      <c r="D9853" t="s">
        <v>744</v>
      </c>
      <c r="E9853" t="s">
        <v>779</v>
      </c>
      <c r="F9853" t="s">
        <v>940</v>
      </c>
      <c r="G9853" t="s">
        <v>6469</v>
      </c>
      <c r="H9853" t="s">
        <v>16344</v>
      </c>
      <c r="I9853" t="s">
        <v>17361</v>
      </c>
      <c r="J9853" t="s">
        <v>18892</v>
      </c>
      <c r="K9853">
        <v>10452</v>
      </c>
      <c r="L9853" t="s">
        <v>18960</v>
      </c>
      <c r="M9853" t="s">
        <v>18960</v>
      </c>
      <c r="N9853" t="s">
        <v>25734</v>
      </c>
      <c r="O9853" t="s">
        <v>26524</v>
      </c>
      <c r="P9853" t="s">
        <v>26564</v>
      </c>
      <c r="Q9853" t="s">
        <v>26570</v>
      </c>
      <c r="R9853" t="s">
        <v>26578</v>
      </c>
      <c r="S9853" t="s">
        <v>18959</v>
      </c>
      <c r="U9853" t="s">
        <v>26604</v>
      </c>
      <c r="X9853">
        <v>606.48</v>
      </c>
      <c r="Y9853" t="s">
        <v>26650</v>
      </c>
      <c r="Z9853" t="s">
        <v>26530</v>
      </c>
      <c r="AA9853" t="s">
        <v>26683</v>
      </c>
      <c r="AB9853" t="s">
        <v>33658</v>
      </c>
      <c r="AD9853" t="s">
        <v>44462</v>
      </c>
      <c r="AE9853">
        <v>25</v>
      </c>
      <c r="AF9853" t="s">
        <v>45541</v>
      </c>
      <c r="AG9853" t="s">
        <v>19330</v>
      </c>
      <c r="AH9853">
        <v>32</v>
      </c>
      <c r="AI9853">
        <v>2</v>
      </c>
      <c r="AJ9853">
        <v>0</v>
      </c>
      <c r="AK9853">
        <v>24.84</v>
      </c>
      <c r="AN9853" t="s">
        <v>45581</v>
      </c>
      <c r="AO9853">
        <v>4200</v>
      </c>
      <c r="AP9853" t="s">
        <v>45810</v>
      </c>
      <c r="AU9853">
        <v>8.26</v>
      </c>
      <c r="AV9853" t="s">
        <v>779</v>
      </c>
      <c r="AW9853" t="s">
        <v>46829</v>
      </c>
    </row>
    <row r="9854" spans="1:49">
      <c r="A9854" s="1">
        <f>HYPERLINK("https://lsnyc.legalserver.org/matter/dynamic-profile/view/1889965","19-1889965")</f>
        <v>0</v>
      </c>
      <c r="B9854" t="s">
        <v>174</v>
      </c>
      <c r="C9854" t="s">
        <v>340</v>
      </c>
      <c r="D9854" t="s">
        <v>744</v>
      </c>
      <c r="F9854" t="s">
        <v>1637</v>
      </c>
      <c r="G9854" t="s">
        <v>5849</v>
      </c>
      <c r="H9854" t="s">
        <v>12289</v>
      </c>
      <c r="I9854">
        <v>615</v>
      </c>
      <c r="J9854" t="s">
        <v>18894</v>
      </c>
      <c r="K9854">
        <v>11239</v>
      </c>
      <c r="L9854" t="s">
        <v>18959</v>
      </c>
      <c r="M9854" t="s">
        <v>18959</v>
      </c>
      <c r="N9854" t="s">
        <v>20460</v>
      </c>
      <c r="O9854" t="s">
        <v>26523</v>
      </c>
      <c r="R9854" t="s">
        <v>26583</v>
      </c>
      <c r="S9854" t="s">
        <v>18959</v>
      </c>
      <c r="U9854" t="s">
        <v>26604</v>
      </c>
      <c r="V9854" t="s">
        <v>26609</v>
      </c>
      <c r="X9854">
        <v>1205</v>
      </c>
      <c r="Y9854" t="s">
        <v>26652</v>
      </c>
      <c r="Z9854" t="s">
        <v>26661</v>
      </c>
      <c r="AB9854" t="s">
        <v>33659</v>
      </c>
      <c r="AC9854">
        <v>32263748</v>
      </c>
      <c r="AD9854" t="s">
        <v>44463</v>
      </c>
      <c r="AE9854">
        <v>137</v>
      </c>
      <c r="AF9854" t="s">
        <v>45541</v>
      </c>
      <c r="AG9854" t="s">
        <v>45556</v>
      </c>
      <c r="AH9854">
        <v>1</v>
      </c>
      <c r="AI9854">
        <v>2</v>
      </c>
      <c r="AJ9854">
        <v>1</v>
      </c>
      <c r="AK9854">
        <v>248.91</v>
      </c>
      <c r="AN9854" t="s">
        <v>7439</v>
      </c>
      <c r="AO9854">
        <v>53092</v>
      </c>
      <c r="AP9854" t="s">
        <v>46211</v>
      </c>
      <c r="AU9854">
        <v>26.6</v>
      </c>
      <c r="AV9854" t="s">
        <v>826</v>
      </c>
      <c r="AW9854" t="s">
        <v>279</v>
      </c>
    </row>
    <row r="9855" spans="1:49">
      <c r="A9855" s="1">
        <f>HYPERLINK("https://lsnyc.legalserver.org/matter/dynamic-profile/view/1889928","19-1889928")</f>
        <v>0</v>
      </c>
      <c r="B9855" t="s">
        <v>55</v>
      </c>
      <c r="C9855" t="s">
        <v>340</v>
      </c>
      <c r="D9855" t="s">
        <v>744</v>
      </c>
      <c r="F9855" t="s">
        <v>1096</v>
      </c>
      <c r="G9855" t="s">
        <v>8158</v>
      </c>
      <c r="H9855" t="s">
        <v>12199</v>
      </c>
      <c r="I9855" t="s">
        <v>17292</v>
      </c>
      <c r="J9855" t="s">
        <v>18892</v>
      </c>
      <c r="K9855">
        <v>10460</v>
      </c>
      <c r="L9855" t="s">
        <v>18960</v>
      </c>
      <c r="M9855" t="s">
        <v>18960</v>
      </c>
      <c r="P9855" t="s">
        <v>26560</v>
      </c>
      <c r="R9855" t="s">
        <v>26578</v>
      </c>
      <c r="U9855" t="s">
        <v>26604</v>
      </c>
      <c r="X9855">
        <v>970</v>
      </c>
      <c r="Y9855" t="s">
        <v>26650</v>
      </c>
      <c r="Z9855" t="s">
        <v>26659</v>
      </c>
      <c r="AB9855" t="s">
        <v>27870</v>
      </c>
      <c r="AD9855" t="s">
        <v>42245</v>
      </c>
      <c r="AE9855">
        <v>168</v>
      </c>
      <c r="AF9855" t="s">
        <v>45541</v>
      </c>
      <c r="AG9855" t="s">
        <v>19330</v>
      </c>
      <c r="AH9855">
        <v>11</v>
      </c>
      <c r="AI9855">
        <v>1</v>
      </c>
      <c r="AJ9855">
        <v>1</v>
      </c>
      <c r="AK9855">
        <v>153.45</v>
      </c>
      <c r="AN9855" t="s">
        <v>7439</v>
      </c>
      <c r="AO9855">
        <v>25948</v>
      </c>
      <c r="AP9855" t="s">
        <v>46212</v>
      </c>
      <c r="AU9855">
        <v>8.300000000000001</v>
      </c>
      <c r="AV9855" t="s">
        <v>818</v>
      </c>
      <c r="AW9855" t="s">
        <v>46832</v>
      </c>
    </row>
    <row r="9856" spans="1:49">
      <c r="A9856" s="1">
        <f>HYPERLINK("https://lsnyc.legalserver.org/matter/dynamic-profile/view/1889877","19-1889877")</f>
        <v>0</v>
      </c>
      <c r="B9856" t="s">
        <v>55</v>
      </c>
      <c r="C9856" t="s">
        <v>340</v>
      </c>
      <c r="D9856" t="s">
        <v>744</v>
      </c>
      <c r="F9856" t="s">
        <v>2150</v>
      </c>
      <c r="G9856" t="s">
        <v>8159</v>
      </c>
      <c r="H9856" t="s">
        <v>12199</v>
      </c>
      <c r="I9856" t="s">
        <v>18412</v>
      </c>
      <c r="J9856" t="s">
        <v>18892</v>
      </c>
      <c r="K9856">
        <v>10460</v>
      </c>
      <c r="L9856" t="s">
        <v>18960</v>
      </c>
      <c r="M9856" t="s">
        <v>18960</v>
      </c>
      <c r="O9856" t="s">
        <v>26523</v>
      </c>
      <c r="P9856" t="s">
        <v>26560</v>
      </c>
      <c r="R9856" t="s">
        <v>26578</v>
      </c>
      <c r="S9856" t="s">
        <v>18959</v>
      </c>
      <c r="U9856" t="s">
        <v>26604</v>
      </c>
      <c r="X9856">
        <v>1967</v>
      </c>
      <c r="Y9856" t="s">
        <v>26650</v>
      </c>
      <c r="Z9856" t="s">
        <v>26659</v>
      </c>
      <c r="AB9856" t="s">
        <v>31951</v>
      </c>
      <c r="AD9856" t="s">
        <v>42250</v>
      </c>
      <c r="AE9856">
        <v>169</v>
      </c>
      <c r="AF9856" t="s">
        <v>45551</v>
      </c>
      <c r="AG9856" t="s">
        <v>45556</v>
      </c>
      <c r="AH9856">
        <v>3</v>
      </c>
      <c r="AI9856">
        <v>2</v>
      </c>
      <c r="AJ9856">
        <v>0</v>
      </c>
      <c r="AK9856">
        <v>163.22</v>
      </c>
      <c r="AN9856" t="s">
        <v>7439</v>
      </c>
      <c r="AO9856">
        <v>27600</v>
      </c>
      <c r="AP9856" t="s">
        <v>46213</v>
      </c>
      <c r="AU9856">
        <v>41.5</v>
      </c>
      <c r="AV9856" t="s">
        <v>817</v>
      </c>
      <c r="AW9856" t="s">
        <v>46832</v>
      </c>
    </row>
    <row r="9857" spans="1:49">
      <c r="A9857" s="1">
        <f>HYPERLINK("https://lsnyc.legalserver.org/matter/dynamic-profile/view/1890006","19-1890006")</f>
        <v>0</v>
      </c>
      <c r="B9857" t="s">
        <v>152</v>
      </c>
      <c r="C9857" t="s">
        <v>340</v>
      </c>
      <c r="D9857" t="s">
        <v>744</v>
      </c>
      <c r="F9857" t="s">
        <v>893</v>
      </c>
      <c r="G9857" t="s">
        <v>7819</v>
      </c>
      <c r="H9857" t="s">
        <v>16345</v>
      </c>
      <c r="I9857" t="s">
        <v>18722</v>
      </c>
      <c r="J9857" t="s">
        <v>18892</v>
      </c>
      <c r="K9857">
        <v>10466</v>
      </c>
      <c r="L9857" t="s">
        <v>18958</v>
      </c>
      <c r="M9857" t="s">
        <v>18958</v>
      </c>
      <c r="P9857" t="s">
        <v>26564</v>
      </c>
      <c r="R9857" t="s">
        <v>26578</v>
      </c>
      <c r="U9857" t="s">
        <v>26604</v>
      </c>
      <c r="X9857">
        <v>700</v>
      </c>
      <c r="Y9857" t="s">
        <v>26650</v>
      </c>
      <c r="AB9857" t="s">
        <v>29882</v>
      </c>
      <c r="AD9857" t="s">
        <v>34738</v>
      </c>
      <c r="AE9857">
        <v>0</v>
      </c>
      <c r="AH9857">
        <v>1</v>
      </c>
      <c r="AI9857">
        <v>1</v>
      </c>
      <c r="AJ9857">
        <v>0</v>
      </c>
      <c r="AK9857">
        <v>62.45</v>
      </c>
      <c r="AN9857" t="s">
        <v>7439</v>
      </c>
      <c r="AO9857">
        <v>7800</v>
      </c>
      <c r="AP9857" t="s">
        <v>46214</v>
      </c>
      <c r="AU9857">
        <v>0</v>
      </c>
      <c r="AW9857" t="s">
        <v>302</v>
      </c>
    </row>
    <row r="9858" spans="1:49">
      <c r="A9858" s="1">
        <f>HYPERLINK("https://lsnyc.legalserver.org/matter/dynamic-profile/view/1889946","19-1889946")</f>
        <v>0</v>
      </c>
      <c r="B9858" t="s">
        <v>212</v>
      </c>
      <c r="C9858" t="s">
        <v>340</v>
      </c>
      <c r="D9858" t="s">
        <v>744</v>
      </c>
      <c r="F9858" t="s">
        <v>1125</v>
      </c>
      <c r="G9858" t="s">
        <v>9187</v>
      </c>
      <c r="H9858" t="s">
        <v>16346</v>
      </c>
      <c r="I9858">
        <v>1114</v>
      </c>
      <c r="J9858" t="s">
        <v>18909</v>
      </c>
      <c r="K9858">
        <v>11101</v>
      </c>
      <c r="L9858" t="s">
        <v>18960</v>
      </c>
      <c r="M9858" t="s">
        <v>18960</v>
      </c>
      <c r="N9858" t="s">
        <v>25735</v>
      </c>
      <c r="O9858" t="s">
        <v>26523</v>
      </c>
      <c r="R9858" t="s">
        <v>26591</v>
      </c>
      <c r="S9858" t="s">
        <v>18959</v>
      </c>
      <c r="U9858" t="s">
        <v>26604</v>
      </c>
      <c r="X9858">
        <v>2200</v>
      </c>
      <c r="Y9858" t="s">
        <v>26653</v>
      </c>
      <c r="Z9858" t="s">
        <v>26530</v>
      </c>
      <c r="AB9858" t="s">
        <v>28292</v>
      </c>
      <c r="AD9858" t="s">
        <v>44464</v>
      </c>
      <c r="AE9858">
        <v>260</v>
      </c>
      <c r="AF9858" t="s">
        <v>45541</v>
      </c>
      <c r="AG9858" t="s">
        <v>19330</v>
      </c>
      <c r="AH9858">
        <v>3</v>
      </c>
      <c r="AI9858">
        <v>1</v>
      </c>
      <c r="AJ9858">
        <v>0</v>
      </c>
      <c r="AK9858">
        <v>0</v>
      </c>
      <c r="AN9858" t="s">
        <v>7439</v>
      </c>
      <c r="AO9858">
        <v>0</v>
      </c>
      <c r="AU9858">
        <v>0.7</v>
      </c>
      <c r="AV9858" t="s">
        <v>690</v>
      </c>
      <c r="AW9858" t="s">
        <v>46841</v>
      </c>
    </row>
    <row r="9859" spans="1:49">
      <c r="A9859" s="1">
        <f>HYPERLINK("https://lsnyc.legalserver.org/matter/dynamic-profile/view/1889937","19-1889937")</f>
        <v>0</v>
      </c>
      <c r="B9859" t="s">
        <v>135</v>
      </c>
      <c r="C9859" t="s">
        <v>340</v>
      </c>
      <c r="D9859" t="s">
        <v>744</v>
      </c>
      <c r="F9859" t="s">
        <v>4675</v>
      </c>
      <c r="G9859" t="s">
        <v>5434</v>
      </c>
      <c r="H9859" t="s">
        <v>10022</v>
      </c>
      <c r="I9859" t="s">
        <v>18670</v>
      </c>
      <c r="J9859" t="s">
        <v>18892</v>
      </c>
      <c r="K9859">
        <v>10463</v>
      </c>
      <c r="L9859" t="s">
        <v>18960</v>
      </c>
      <c r="M9859" t="s">
        <v>18960</v>
      </c>
      <c r="R9859" t="s">
        <v>26591</v>
      </c>
      <c r="U9859" t="s">
        <v>26604</v>
      </c>
      <c r="X9859">
        <v>1144.98</v>
      </c>
      <c r="Y9859" t="s">
        <v>26650</v>
      </c>
      <c r="Z9859" t="s">
        <v>26660</v>
      </c>
      <c r="AB9859" t="s">
        <v>32027</v>
      </c>
      <c r="AD9859" t="s">
        <v>44465</v>
      </c>
      <c r="AE9859">
        <v>117</v>
      </c>
      <c r="AH9859">
        <v>23</v>
      </c>
      <c r="AI9859">
        <v>1</v>
      </c>
      <c r="AJ9859">
        <v>1</v>
      </c>
      <c r="AK9859">
        <v>141.93</v>
      </c>
      <c r="AN9859" t="s">
        <v>45581</v>
      </c>
      <c r="AO9859">
        <v>24000</v>
      </c>
      <c r="AU9859">
        <v>1.7</v>
      </c>
      <c r="AV9859" t="s">
        <v>784</v>
      </c>
      <c r="AW9859" t="s">
        <v>46850</v>
      </c>
    </row>
    <row r="9860" spans="1:49">
      <c r="A9860" s="1">
        <f>HYPERLINK("https://lsnyc.legalserver.org/matter/dynamic-profile/view/1889935","19-1889935")</f>
        <v>0</v>
      </c>
      <c r="B9860" t="s">
        <v>69</v>
      </c>
      <c r="C9860" t="s">
        <v>340</v>
      </c>
      <c r="D9860" t="s">
        <v>744</v>
      </c>
      <c r="F9860" t="s">
        <v>887</v>
      </c>
      <c r="G9860" t="s">
        <v>6066</v>
      </c>
      <c r="H9860" t="s">
        <v>16347</v>
      </c>
      <c r="I9860">
        <v>1</v>
      </c>
      <c r="J9860" t="s">
        <v>18892</v>
      </c>
      <c r="K9860">
        <v>10457</v>
      </c>
      <c r="L9860" t="s">
        <v>18960</v>
      </c>
      <c r="M9860" t="s">
        <v>18960</v>
      </c>
      <c r="N9860" t="s">
        <v>25736</v>
      </c>
      <c r="O9860" t="s">
        <v>26523</v>
      </c>
      <c r="P9860" t="s">
        <v>26560</v>
      </c>
      <c r="R9860" t="s">
        <v>26579</v>
      </c>
      <c r="U9860" t="s">
        <v>26604</v>
      </c>
      <c r="X9860">
        <v>795</v>
      </c>
      <c r="Y9860" t="s">
        <v>26650</v>
      </c>
      <c r="Z9860" t="s">
        <v>26668</v>
      </c>
      <c r="AB9860" t="s">
        <v>33660</v>
      </c>
      <c r="AD9860" t="s">
        <v>44466</v>
      </c>
      <c r="AE9860">
        <v>0</v>
      </c>
      <c r="AH9860">
        <v>12</v>
      </c>
      <c r="AI9860">
        <v>1</v>
      </c>
      <c r="AJ9860">
        <v>0</v>
      </c>
      <c r="AK9860">
        <v>19.12</v>
      </c>
      <c r="AN9860" t="s">
        <v>7439</v>
      </c>
      <c r="AO9860">
        <v>2388</v>
      </c>
      <c r="AP9860" t="s">
        <v>45810</v>
      </c>
      <c r="AU9860">
        <v>9.85</v>
      </c>
      <c r="AV9860" t="s">
        <v>835</v>
      </c>
      <c r="AW9860" t="s">
        <v>46836</v>
      </c>
    </row>
    <row r="9861" spans="1:49">
      <c r="A9861" s="1">
        <f>HYPERLINK("https://lsnyc.legalserver.org/matter/dynamic-profile/view/1889686","19-1889686")</f>
        <v>0</v>
      </c>
      <c r="B9861" t="s">
        <v>172</v>
      </c>
      <c r="C9861" t="s">
        <v>340</v>
      </c>
      <c r="D9861" t="s">
        <v>744</v>
      </c>
      <c r="F9861" t="s">
        <v>1297</v>
      </c>
      <c r="G9861" t="s">
        <v>9188</v>
      </c>
      <c r="H9861" t="s">
        <v>16348</v>
      </c>
      <c r="I9861" t="s">
        <v>17388</v>
      </c>
      <c r="J9861" t="s">
        <v>18894</v>
      </c>
      <c r="K9861">
        <v>11220</v>
      </c>
      <c r="L9861" t="s">
        <v>18959</v>
      </c>
      <c r="M9861" t="s">
        <v>18959</v>
      </c>
      <c r="N9861" t="s">
        <v>25737</v>
      </c>
      <c r="O9861" t="s">
        <v>26523</v>
      </c>
      <c r="P9861" t="s">
        <v>26560</v>
      </c>
      <c r="R9861" t="s">
        <v>26586</v>
      </c>
      <c r="U9861" t="s">
        <v>26604</v>
      </c>
      <c r="X9861">
        <v>535</v>
      </c>
      <c r="Y9861" t="s">
        <v>26652</v>
      </c>
      <c r="Z9861" t="s">
        <v>26663</v>
      </c>
      <c r="AB9861" t="s">
        <v>32972</v>
      </c>
      <c r="AE9861">
        <v>6</v>
      </c>
      <c r="AG9861" t="s">
        <v>19330</v>
      </c>
      <c r="AH9861">
        <v>7</v>
      </c>
      <c r="AI9861">
        <v>2</v>
      </c>
      <c r="AJ9861">
        <v>0</v>
      </c>
      <c r="AK9861">
        <v>79.95</v>
      </c>
      <c r="AN9861" t="s">
        <v>45581</v>
      </c>
      <c r="AO9861">
        <v>13520</v>
      </c>
      <c r="AU9861">
        <v>8</v>
      </c>
      <c r="AV9861" t="s">
        <v>814</v>
      </c>
      <c r="AW9861" t="s">
        <v>46853</v>
      </c>
    </row>
    <row r="9862" spans="1:49">
      <c r="A9862" s="1">
        <f>HYPERLINK("https://lsnyc.legalserver.org/matter/dynamic-profile/view/1890114","19-1890114")</f>
        <v>0</v>
      </c>
      <c r="B9862" t="s">
        <v>52</v>
      </c>
      <c r="C9862" t="s">
        <v>341</v>
      </c>
      <c r="D9862" t="s">
        <v>710</v>
      </c>
      <c r="E9862" t="s">
        <v>800</v>
      </c>
      <c r="F9862" t="s">
        <v>4676</v>
      </c>
      <c r="G9862" t="s">
        <v>6076</v>
      </c>
      <c r="H9862" t="s">
        <v>16349</v>
      </c>
      <c r="I9862">
        <v>2</v>
      </c>
      <c r="J9862" t="s">
        <v>18892</v>
      </c>
      <c r="K9862">
        <v>10453</v>
      </c>
      <c r="L9862" t="s">
        <v>18960</v>
      </c>
      <c r="M9862" t="s">
        <v>18960</v>
      </c>
      <c r="O9862" t="s">
        <v>18997</v>
      </c>
      <c r="P9862" t="s">
        <v>26564</v>
      </c>
      <c r="Q9862" t="s">
        <v>26570</v>
      </c>
      <c r="R9862" t="s">
        <v>26591</v>
      </c>
      <c r="U9862" t="s">
        <v>26604</v>
      </c>
      <c r="X9862">
        <v>1950</v>
      </c>
      <c r="Y9862" t="s">
        <v>26650</v>
      </c>
      <c r="AA9862" t="s">
        <v>26683</v>
      </c>
      <c r="AB9862" t="s">
        <v>33661</v>
      </c>
      <c r="AD9862" t="s">
        <v>44467</v>
      </c>
      <c r="AE9862">
        <v>0</v>
      </c>
      <c r="AG9862" t="s">
        <v>45556</v>
      </c>
      <c r="AH9862">
        <v>0</v>
      </c>
      <c r="AI9862">
        <v>1</v>
      </c>
      <c r="AJ9862">
        <v>2</v>
      </c>
      <c r="AK9862">
        <v>121.89</v>
      </c>
      <c r="AN9862" t="s">
        <v>7439</v>
      </c>
      <c r="AO9862">
        <v>26000</v>
      </c>
      <c r="AU9862">
        <v>1</v>
      </c>
      <c r="AV9862" t="s">
        <v>710</v>
      </c>
      <c r="AW9862" t="s">
        <v>46859</v>
      </c>
    </row>
    <row r="9863" spans="1:49">
      <c r="A9863" s="1">
        <f>HYPERLINK("https://lsnyc.legalserver.org/matter/dynamic-profile/view/1890151","19-1890151")</f>
        <v>0</v>
      </c>
      <c r="B9863" t="s">
        <v>303</v>
      </c>
      <c r="C9863" t="s">
        <v>340</v>
      </c>
      <c r="D9863" t="s">
        <v>710</v>
      </c>
      <c r="F9863" t="s">
        <v>4677</v>
      </c>
      <c r="G9863" t="s">
        <v>7089</v>
      </c>
      <c r="H9863" t="s">
        <v>16350</v>
      </c>
      <c r="I9863" t="s">
        <v>17436</v>
      </c>
      <c r="J9863" t="s">
        <v>18894</v>
      </c>
      <c r="K9863">
        <v>11209</v>
      </c>
      <c r="L9863" t="s">
        <v>18960</v>
      </c>
      <c r="M9863" t="s">
        <v>18960</v>
      </c>
      <c r="R9863" t="s">
        <v>26591</v>
      </c>
      <c r="U9863" t="s">
        <v>26607</v>
      </c>
      <c r="X9863">
        <v>0</v>
      </c>
      <c r="Y9863" t="s">
        <v>26652</v>
      </c>
      <c r="AB9863" t="s">
        <v>33662</v>
      </c>
      <c r="AD9863" t="s">
        <v>44468</v>
      </c>
      <c r="AE9863">
        <v>0</v>
      </c>
      <c r="AH9863">
        <v>0</v>
      </c>
      <c r="AI9863">
        <v>1</v>
      </c>
      <c r="AJ9863">
        <v>0</v>
      </c>
      <c r="AK9863">
        <v>17.29</v>
      </c>
      <c r="AN9863" t="s">
        <v>7439</v>
      </c>
      <c r="AO9863">
        <v>2160</v>
      </c>
      <c r="AU9863">
        <v>2</v>
      </c>
      <c r="AV9863" t="s">
        <v>762</v>
      </c>
      <c r="AW9863" t="s">
        <v>303</v>
      </c>
    </row>
    <row r="9864" spans="1:49">
      <c r="A9864" s="1">
        <f>HYPERLINK("https://lsnyc.legalserver.org/matter/dynamic-profile/view/1890141","19-1890141")</f>
        <v>0</v>
      </c>
      <c r="B9864" t="s">
        <v>57</v>
      </c>
      <c r="C9864" t="s">
        <v>340</v>
      </c>
      <c r="D9864" t="s">
        <v>710</v>
      </c>
      <c r="F9864" t="s">
        <v>2382</v>
      </c>
      <c r="G9864" t="s">
        <v>4085</v>
      </c>
      <c r="H9864" t="s">
        <v>16351</v>
      </c>
      <c r="I9864" t="s">
        <v>17390</v>
      </c>
      <c r="J9864" t="s">
        <v>18892</v>
      </c>
      <c r="K9864">
        <v>10462</v>
      </c>
      <c r="L9864" t="s">
        <v>18960</v>
      </c>
      <c r="M9864" t="s">
        <v>18960</v>
      </c>
      <c r="N9864" t="s">
        <v>25738</v>
      </c>
      <c r="O9864" t="s">
        <v>26523</v>
      </c>
      <c r="P9864" t="s">
        <v>26560</v>
      </c>
      <c r="R9864" t="s">
        <v>26579</v>
      </c>
      <c r="S9864" t="s">
        <v>18959</v>
      </c>
      <c r="U9864" t="s">
        <v>26604</v>
      </c>
      <c r="X9864">
        <v>1340</v>
      </c>
      <c r="Y9864" t="s">
        <v>26650</v>
      </c>
      <c r="Z9864" t="s">
        <v>26530</v>
      </c>
      <c r="AB9864" t="s">
        <v>33663</v>
      </c>
      <c r="AD9864" t="s">
        <v>44469</v>
      </c>
      <c r="AE9864">
        <v>60</v>
      </c>
      <c r="AF9864" t="s">
        <v>45547</v>
      </c>
      <c r="AG9864" t="s">
        <v>19330</v>
      </c>
      <c r="AH9864">
        <v>9</v>
      </c>
      <c r="AI9864">
        <v>1</v>
      </c>
      <c r="AJ9864">
        <v>0</v>
      </c>
      <c r="AK9864">
        <v>0</v>
      </c>
      <c r="AN9864" t="s">
        <v>7439</v>
      </c>
      <c r="AO9864">
        <v>0</v>
      </c>
      <c r="AP9864" t="s">
        <v>46215</v>
      </c>
      <c r="AU9864">
        <v>17.1</v>
      </c>
      <c r="AV9864" t="s">
        <v>833</v>
      </c>
      <c r="AW9864" t="s">
        <v>46842</v>
      </c>
    </row>
    <row r="9865" spans="1:49">
      <c r="A9865" s="1">
        <f>HYPERLINK("https://lsnyc.legalserver.org/matter/dynamic-profile/view/1890083","19-1890083")</f>
        <v>0</v>
      </c>
      <c r="B9865" t="s">
        <v>57</v>
      </c>
      <c r="C9865" t="s">
        <v>340</v>
      </c>
      <c r="D9865" t="s">
        <v>710</v>
      </c>
      <c r="F9865" t="s">
        <v>999</v>
      </c>
      <c r="G9865" t="s">
        <v>5956</v>
      </c>
      <c r="H9865" t="s">
        <v>10507</v>
      </c>
      <c r="I9865" t="s">
        <v>18723</v>
      </c>
      <c r="J9865" t="s">
        <v>18892</v>
      </c>
      <c r="K9865">
        <v>10468</v>
      </c>
      <c r="L9865" t="s">
        <v>18958</v>
      </c>
      <c r="M9865" t="s">
        <v>18959</v>
      </c>
      <c r="N9865" t="s">
        <v>25739</v>
      </c>
      <c r="O9865" t="s">
        <v>26523</v>
      </c>
      <c r="P9865" t="s">
        <v>26560</v>
      </c>
      <c r="R9865" t="s">
        <v>26579</v>
      </c>
      <c r="S9865" t="s">
        <v>18959</v>
      </c>
      <c r="U9865" t="s">
        <v>26604</v>
      </c>
      <c r="X9865">
        <v>1990</v>
      </c>
      <c r="Y9865" t="s">
        <v>26650</v>
      </c>
      <c r="Z9865" t="s">
        <v>26664</v>
      </c>
      <c r="AB9865" t="s">
        <v>29033</v>
      </c>
      <c r="AE9865">
        <v>0</v>
      </c>
      <c r="AF9865" t="s">
        <v>45541</v>
      </c>
      <c r="AG9865" t="s">
        <v>19330</v>
      </c>
      <c r="AH9865">
        <v>5</v>
      </c>
      <c r="AI9865">
        <v>3</v>
      </c>
      <c r="AJ9865">
        <v>3</v>
      </c>
      <c r="AK9865">
        <v>90.5</v>
      </c>
      <c r="AN9865" t="s">
        <v>45581</v>
      </c>
      <c r="AO9865">
        <v>31304</v>
      </c>
      <c r="AP9865" t="s">
        <v>46215</v>
      </c>
      <c r="AU9865">
        <v>8.1</v>
      </c>
      <c r="AV9865" t="s">
        <v>773</v>
      </c>
      <c r="AW9865" t="s">
        <v>46870</v>
      </c>
    </row>
    <row r="9866" spans="1:49">
      <c r="A9866" s="1">
        <f>HYPERLINK("https://lsnyc.legalserver.org/matter/dynamic-profile/view/1890826","19-1890826")</f>
        <v>0</v>
      </c>
      <c r="B9866" t="s">
        <v>186</v>
      </c>
      <c r="C9866" t="s">
        <v>340</v>
      </c>
      <c r="D9866" t="s">
        <v>710</v>
      </c>
      <c r="F9866" t="s">
        <v>1492</v>
      </c>
      <c r="G9866" t="s">
        <v>5143</v>
      </c>
      <c r="H9866" t="s">
        <v>16352</v>
      </c>
      <c r="I9866" t="s">
        <v>18724</v>
      </c>
      <c r="J9866" t="s">
        <v>18894</v>
      </c>
      <c r="K9866">
        <v>11216</v>
      </c>
      <c r="L9866" t="s">
        <v>18960</v>
      </c>
      <c r="M9866" t="s">
        <v>18960</v>
      </c>
      <c r="O9866" t="s">
        <v>18997</v>
      </c>
      <c r="P9866" t="s">
        <v>26560</v>
      </c>
      <c r="R9866" t="s">
        <v>26588</v>
      </c>
      <c r="S9866" t="s">
        <v>18959</v>
      </c>
      <c r="U9866" t="s">
        <v>26604</v>
      </c>
      <c r="X9866">
        <v>1314.12</v>
      </c>
      <c r="Y9866" t="s">
        <v>26652</v>
      </c>
      <c r="Z9866" t="s">
        <v>26659</v>
      </c>
      <c r="AB9866" t="s">
        <v>32789</v>
      </c>
      <c r="AD9866" t="s">
        <v>44470</v>
      </c>
      <c r="AE9866">
        <v>8</v>
      </c>
      <c r="AF9866" t="s">
        <v>45541</v>
      </c>
      <c r="AH9866">
        <v>16</v>
      </c>
      <c r="AI9866">
        <v>1</v>
      </c>
      <c r="AJ9866">
        <v>0</v>
      </c>
      <c r="AK9866">
        <v>37.47</v>
      </c>
      <c r="AN9866" t="s">
        <v>7439</v>
      </c>
      <c r="AO9866">
        <v>4680</v>
      </c>
      <c r="AU9866">
        <v>11</v>
      </c>
      <c r="AV9866" t="s">
        <v>834</v>
      </c>
      <c r="AW9866" t="s">
        <v>46882</v>
      </c>
    </row>
    <row r="9867" spans="1:49">
      <c r="A9867" s="1">
        <f>HYPERLINK("https://lsnyc.legalserver.org/matter/dynamic-profile/view/1890196","19-1890196")</f>
        <v>0</v>
      </c>
      <c r="B9867" t="s">
        <v>81</v>
      </c>
      <c r="C9867" t="s">
        <v>340</v>
      </c>
      <c r="D9867" t="s">
        <v>710</v>
      </c>
      <c r="F9867" t="s">
        <v>1687</v>
      </c>
      <c r="G9867" t="s">
        <v>5515</v>
      </c>
      <c r="H9867" t="s">
        <v>10877</v>
      </c>
      <c r="I9867" t="s">
        <v>17322</v>
      </c>
      <c r="J9867" t="s">
        <v>18892</v>
      </c>
      <c r="K9867">
        <v>10457</v>
      </c>
      <c r="L9867" t="s">
        <v>18960</v>
      </c>
      <c r="M9867" t="s">
        <v>18960</v>
      </c>
      <c r="N9867" t="s">
        <v>25740</v>
      </c>
      <c r="O9867" t="s">
        <v>26523</v>
      </c>
      <c r="P9867" t="s">
        <v>26560</v>
      </c>
      <c r="R9867" t="s">
        <v>26579</v>
      </c>
      <c r="S9867" t="s">
        <v>18959</v>
      </c>
      <c r="U9867" t="s">
        <v>26604</v>
      </c>
      <c r="V9867" t="s">
        <v>26609</v>
      </c>
      <c r="X9867">
        <v>2100</v>
      </c>
      <c r="Y9867" t="s">
        <v>26650</v>
      </c>
      <c r="Z9867" t="s">
        <v>26659</v>
      </c>
      <c r="AB9867" t="s">
        <v>28242</v>
      </c>
      <c r="AD9867" t="s">
        <v>38531</v>
      </c>
      <c r="AE9867">
        <v>23</v>
      </c>
      <c r="AF9867" t="s">
        <v>45541</v>
      </c>
      <c r="AG9867" t="s">
        <v>45556</v>
      </c>
      <c r="AH9867">
        <v>7</v>
      </c>
      <c r="AI9867">
        <v>2</v>
      </c>
      <c r="AJ9867">
        <v>2</v>
      </c>
      <c r="AK9867">
        <v>100.97</v>
      </c>
      <c r="AN9867" t="s">
        <v>7439</v>
      </c>
      <c r="AO9867">
        <v>26000</v>
      </c>
      <c r="AP9867" t="s">
        <v>46137</v>
      </c>
      <c r="AU9867">
        <v>7</v>
      </c>
      <c r="AV9867" t="s">
        <v>764</v>
      </c>
      <c r="AW9867" t="s">
        <v>336</v>
      </c>
    </row>
    <row r="9868" spans="1:49">
      <c r="A9868" s="1">
        <f>HYPERLINK("https://lsnyc.legalserver.org/matter/dynamic-profile/view/1890105","19-1890105")</f>
        <v>0</v>
      </c>
      <c r="B9868" t="s">
        <v>75</v>
      </c>
      <c r="C9868" t="s">
        <v>340</v>
      </c>
      <c r="D9868" t="s">
        <v>710</v>
      </c>
      <c r="F9868" t="s">
        <v>4678</v>
      </c>
      <c r="G9868" t="s">
        <v>9189</v>
      </c>
      <c r="H9868" t="s">
        <v>16353</v>
      </c>
      <c r="I9868" t="s">
        <v>17309</v>
      </c>
      <c r="J9868" t="s">
        <v>18892</v>
      </c>
      <c r="K9868">
        <v>10453</v>
      </c>
      <c r="L9868" t="s">
        <v>18958</v>
      </c>
      <c r="M9868" t="s">
        <v>18958</v>
      </c>
      <c r="N9868" t="s">
        <v>25741</v>
      </c>
      <c r="P9868" t="s">
        <v>26562</v>
      </c>
      <c r="R9868" t="s">
        <v>26589</v>
      </c>
      <c r="S9868" t="s">
        <v>18959</v>
      </c>
      <c r="U9868" t="s">
        <v>26604</v>
      </c>
      <c r="X9868">
        <v>1537</v>
      </c>
      <c r="Y9868" t="s">
        <v>26650</v>
      </c>
      <c r="Z9868" t="s">
        <v>26671</v>
      </c>
      <c r="AB9868" t="s">
        <v>32074</v>
      </c>
      <c r="AD9868" t="s">
        <v>44471</v>
      </c>
      <c r="AE9868">
        <v>0</v>
      </c>
      <c r="AF9868" t="s">
        <v>45541</v>
      </c>
      <c r="AG9868" t="s">
        <v>45556</v>
      </c>
      <c r="AH9868">
        <v>2</v>
      </c>
      <c r="AI9868">
        <v>2</v>
      </c>
      <c r="AJ9868">
        <v>0</v>
      </c>
      <c r="AK9868">
        <v>21.79</v>
      </c>
      <c r="AN9868" t="s">
        <v>45581</v>
      </c>
      <c r="AO9868">
        <v>3684</v>
      </c>
      <c r="AP9868" t="s">
        <v>46216</v>
      </c>
      <c r="AU9868">
        <v>11.05</v>
      </c>
      <c r="AV9868" t="s">
        <v>832</v>
      </c>
      <c r="AW9868" t="s">
        <v>336</v>
      </c>
    </row>
    <row r="9869" spans="1:49">
      <c r="A9869" s="1">
        <f>HYPERLINK("https://lsnyc.legalserver.org/matter/dynamic-profile/view/1890073","19-1890073")</f>
        <v>0</v>
      </c>
      <c r="B9869" t="s">
        <v>200</v>
      </c>
      <c r="C9869" t="s">
        <v>340</v>
      </c>
      <c r="D9869" t="s">
        <v>710</v>
      </c>
      <c r="F9869" t="s">
        <v>1964</v>
      </c>
      <c r="G9869" t="s">
        <v>5087</v>
      </c>
      <c r="H9869" t="s">
        <v>16354</v>
      </c>
      <c r="I9869" t="s">
        <v>17330</v>
      </c>
      <c r="J9869" t="s">
        <v>18894</v>
      </c>
      <c r="K9869">
        <v>11206</v>
      </c>
      <c r="L9869" t="s">
        <v>18960</v>
      </c>
      <c r="M9869" t="s">
        <v>18960</v>
      </c>
      <c r="R9869" t="s">
        <v>26591</v>
      </c>
      <c r="U9869" t="s">
        <v>26604</v>
      </c>
      <c r="X9869">
        <v>1554</v>
      </c>
      <c r="Y9869" t="s">
        <v>26652</v>
      </c>
      <c r="Z9869" t="s">
        <v>26530</v>
      </c>
      <c r="AB9869" t="s">
        <v>30462</v>
      </c>
      <c r="AE9869">
        <v>6</v>
      </c>
      <c r="AF9869" t="s">
        <v>20460</v>
      </c>
      <c r="AG9869" t="s">
        <v>19330</v>
      </c>
      <c r="AH9869">
        <v>7</v>
      </c>
      <c r="AI9869">
        <v>3</v>
      </c>
      <c r="AJ9869">
        <v>3</v>
      </c>
      <c r="AK9869">
        <v>60.13</v>
      </c>
      <c r="AN9869" t="s">
        <v>45581</v>
      </c>
      <c r="AO9869">
        <v>20800</v>
      </c>
      <c r="AU9869">
        <v>2.7</v>
      </c>
      <c r="AV9869" t="s">
        <v>752</v>
      </c>
      <c r="AW9869" t="s">
        <v>46846</v>
      </c>
    </row>
    <row r="9870" spans="1:49">
      <c r="A9870" s="1">
        <f>HYPERLINK("https://lsnyc.legalserver.org/matter/dynamic-profile/view/1890186","19-1890186")</f>
        <v>0</v>
      </c>
      <c r="B9870" t="s">
        <v>91</v>
      </c>
      <c r="C9870" t="s">
        <v>340</v>
      </c>
      <c r="D9870" t="s">
        <v>710</v>
      </c>
      <c r="F9870" t="s">
        <v>3117</v>
      </c>
      <c r="G9870" t="s">
        <v>9190</v>
      </c>
      <c r="H9870" t="s">
        <v>16355</v>
      </c>
      <c r="I9870" t="s">
        <v>17330</v>
      </c>
      <c r="J9870" t="s">
        <v>18899</v>
      </c>
      <c r="K9870">
        <v>11385</v>
      </c>
      <c r="L9870" t="s">
        <v>18958</v>
      </c>
      <c r="M9870" t="s">
        <v>18958</v>
      </c>
      <c r="N9870" t="s">
        <v>25742</v>
      </c>
      <c r="O9870" t="s">
        <v>26523</v>
      </c>
      <c r="P9870" t="s">
        <v>26560</v>
      </c>
      <c r="R9870" t="s">
        <v>26585</v>
      </c>
      <c r="S9870" t="s">
        <v>18959</v>
      </c>
      <c r="U9870" t="s">
        <v>26604</v>
      </c>
      <c r="V9870" t="s">
        <v>26611</v>
      </c>
      <c r="X9870">
        <v>204</v>
      </c>
      <c r="Y9870" t="s">
        <v>26653</v>
      </c>
      <c r="Z9870" t="s">
        <v>26659</v>
      </c>
      <c r="AB9870" t="s">
        <v>33664</v>
      </c>
      <c r="AD9870" t="s">
        <v>44472</v>
      </c>
      <c r="AE9870">
        <v>0</v>
      </c>
      <c r="AF9870" t="s">
        <v>45548</v>
      </c>
      <c r="AG9870" t="s">
        <v>19330</v>
      </c>
      <c r="AH9870">
        <v>52</v>
      </c>
      <c r="AI9870">
        <v>2</v>
      </c>
      <c r="AJ9870">
        <v>1</v>
      </c>
      <c r="AK9870">
        <v>0</v>
      </c>
      <c r="AN9870" t="s">
        <v>7439</v>
      </c>
      <c r="AO9870">
        <v>0</v>
      </c>
      <c r="AU9870">
        <v>35.22</v>
      </c>
      <c r="AV9870" t="s">
        <v>839</v>
      </c>
      <c r="AW9870" t="s">
        <v>91</v>
      </c>
    </row>
    <row r="9871" spans="1:49">
      <c r="A9871" s="1">
        <f>HYPERLINK("https://lsnyc.legalserver.org/matter/dynamic-profile/view/1890349","19-1890349")</f>
        <v>0</v>
      </c>
      <c r="B9871" t="s">
        <v>63</v>
      </c>
      <c r="C9871" t="s">
        <v>341</v>
      </c>
      <c r="D9871" t="s">
        <v>702</v>
      </c>
      <c r="E9871" t="s">
        <v>702</v>
      </c>
      <c r="F9871" t="s">
        <v>4679</v>
      </c>
      <c r="G9871" t="s">
        <v>5514</v>
      </c>
      <c r="H9871" t="s">
        <v>16356</v>
      </c>
      <c r="I9871" t="s">
        <v>17327</v>
      </c>
      <c r="J9871" t="s">
        <v>18892</v>
      </c>
      <c r="K9871">
        <v>10452</v>
      </c>
      <c r="L9871" t="s">
        <v>18960</v>
      </c>
      <c r="M9871" t="s">
        <v>18960</v>
      </c>
      <c r="O9871" t="s">
        <v>26523</v>
      </c>
      <c r="P9871" t="s">
        <v>26564</v>
      </c>
      <c r="Q9871" t="s">
        <v>26570</v>
      </c>
      <c r="R9871" t="s">
        <v>26578</v>
      </c>
      <c r="U9871" t="s">
        <v>26604</v>
      </c>
      <c r="X9871">
        <v>167</v>
      </c>
      <c r="Y9871" t="s">
        <v>26650</v>
      </c>
      <c r="AA9871" t="s">
        <v>26683</v>
      </c>
      <c r="AB9871" t="s">
        <v>33665</v>
      </c>
      <c r="AD9871" t="s">
        <v>44473</v>
      </c>
      <c r="AE9871">
        <v>0</v>
      </c>
      <c r="AH9871">
        <v>0</v>
      </c>
      <c r="AI9871">
        <v>1</v>
      </c>
      <c r="AJ9871">
        <v>0</v>
      </c>
      <c r="AK9871">
        <v>57.65</v>
      </c>
      <c r="AO9871">
        <v>7200</v>
      </c>
      <c r="AP9871" t="s">
        <v>46217</v>
      </c>
      <c r="AU9871">
        <v>1</v>
      </c>
      <c r="AV9871" t="s">
        <v>702</v>
      </c>
      <c r="AW9871" t="s">
        <v>63</v>
      </c>
    </row>
    <row r="9872" spans="1:49">
      <c r="A9872" s="1">
        <f>HYPERLINK("https://lsnyc.legalserver.org/matter/dynamic-profile/view/1890246","19-1890246")</f>
        <v>0</v>
      </c>
      <c r="B9872" t="s">
        <v>164</v>
      </c>
      <c r="C9872" t="s">
        <v>340</v>
      </c>
      <c r="D9872" t="s">
        <v>702</v>
      </c>
      <c r="F9872" t="s">
        <v>4680</v>
      </c>
      <c r="G9872" t="s">
        <v>9191</v>
      </c>
      <c r="H9872" t="s">
        <v>16357</v>
      </c>
      <c r="J9872" t="s">
        <v>18904</v>
      </c>
      <c r="K9872">
        <v>11421</v>
      </c>
      <c r="L9872" t="s">
        <v>18960</v>
      </c>
      <c r="M9872" t="s">
        <v>18960</v>
      </c>
      <c r="N9872" t="s">
        <v>25743</v>
      </c>
      <c r="O9872" t="s">
        <v>26524</v>
      </c>
      <c r="R9872" t="s">
        <v>26584</v>
      </c>
      <c r="U9872" t="s">
        <v>26604</v>
      </c>
      <c r="X9872">
        <v>1250</v>
      </c>
      <c r="Y9872" t="s">
        <v>26653</v>
      </c>
      <c r="Z9872" t="s">
        <v>26664</v>
      </c>
      <c r="AB9872" t="s">
        <v>33666</v>
      </c>
      <c r="AC9872" t="s">
        <v>36682</v>
      </c>
      <c r="AD9872" t="s">
        <v>44474</v>
      </c>
      <c r="AE9872">
        <v>0</v>
      </c>
      <c r="AF9872" t="s">
        <v>45547</v>
      </c>
      <c r="AG9872" t="s">
        <v>19330</v>
      </c>
      <c r="AH9872">
        <v>2</v>
      </c>
      <c r="AI9872">
        <v>1</v>
      </c>
      <c r="AJ9872">
        <v>1</v>
      </c>
      <c r="AK9872">
        <v>64.67</v>
      </c>
      <c r="AN9872" t="s">
        <v>45582</v>
      </c>
      <c r="AO9872">
        <v>10936</v>
      </c>
      <c r="AU9872">
        <v>2</v>
      </c>
      <c r="AV9872" t="s">
        <v>771</v>
      </c>
      <c r="AW9872" t="s">
        <v>122</v>
      </c>
    </row>
    <row r="9873" spans="1:49">
      <c r="A9873" s="1">
        <f>HYPERLINK("https://lsnyc.legalserver.org/matter/dynamic-profile/view/1889779","19-1889779")</f>
        <v>0</v>
      </c>
      <c r="B9873" t="s">
        <v>278</v>
      </c>
      <c r="C9873" t="s">
        <v>340</v>
      </c>
      <c r="D9873" t="s">
        <v>702</v>
      </c>
      <c r="F9873" t="s">
        <v>4681</v>
      </c>
      <c r="G9873" t="s">
        <v>6884</v>
      </c>
      <c r="H9873" t="s">
        <v>16358</v>
      </c>
      <c r="J9873" t="s">
        <v>18902</v>
      </c>
      <c r="K9873">
        <v>10301</v>
      </c>
      <c r="L9873" t="s">
        <v>18960</v>
      </c>
      <c r="M9873" t="s">
        <v>18960</v>
      </c>
      <c r="N9873" t="s">
        <v>25744</v>
      </c>
      <c r="R9873" t="s">
        <v>26578</v>
      </c>
      <c r="U9873" t="s">
        <v>26604</v>
      </c>
      <c r="X9873">
        <v>1956</v>
      </c>
      <c r="Y9873" t="s">
        <v>26654</v>
      </c>
      <c r="AB9873" t="s">
        <v>33667</v>
      </c>
      <c r="AD9873" t="s">
        <v>44475</v>
      </c>
      <c r="AE9873">
        <v>0</v>
      </c>
      <c r="AH9873">
        <v>1</v>
      </c>
      <c r="AI9873">
        <v>2</v>
      </c>
      <c r="AJ9873">
        <v>3</v>
      </c>
      <c r="AK9873">
        <v>28.44</v>
      </c>
      <c r="AN9873" t="s">
        <v>7439</v>
      </c>
      <c r="AO9873">
        <v>8580</v>
      </c>
      <c r="AU9873">
        <v>18.4</v>
      </c>
      <c r="AV9873" t="s">
        <v>830</v>
      </c>
      <c r="AW9873" t="s">
        <v>46855</v>
      </c>
    </row>
    <row r="9874" spans="1:49">
      <c r="A9874" s="1">
        <f>HYPERLINK("https://lsnyc.legalserver.org/matter/dynamic-profile/view/1890257","19-1890257")</f>
        <v>0</v>
      </c>
      <c r="B9874" t="s">
        <v>112</v>
      </c>
      <c r="C9874" t="s">
        <v>340</v>
      </c>
      <c r="D9874" t="s">
        <v>702</v>
      </c>
      <c r="F9874" t="s">
        <v>1021</v>
      </c>
      <c r="G9874" t="s">
        <v>9192</v>
      </c>
      <c r="H9874" t="s">
        <v>16359</v>
      </c>
      <c r="I9874">
        <v>2</v>
      </c>
      <c r="J9874" t="s">
        <v>18904</v>
      </c>
      <c r="K9874">
        <v>11421</v>
      </c>
      <c r="L9874" t="s">
        <v>18960</v>
      </c>
      <c r="M9874" t="s">
        <v>18960</v>
      </c>
      <c r="N9874" t="s">
        <v>25745</v>
      </c>
      <c r="O9874" t="s">
        <v>26524</v>
      </c>
      <c r="R9874" t="s">
        <v>26584</v>
      </c>
      <c r="U9874" t="s">
        <v>26604</v>
      </c>
      <c r="X9874">
        <v>750</v>
      </c>
      <c r="Y9874" t="s">
        <v>26653</v>
      </c>
      <c r="Z9874" t="s">
        <v>26664</v>
      </c>
      <c r="AB9874" t="s">
        <v>26705</v>
      </c>
      <c r="AD9874" t="s">
        <v>44476</v>
      </c>
      <c r="AE9874">
        <v>1</v>
      </c>
      <c r="AF9874" t="s">
        <v>45547</v>
      </c>
      <c r="AG9874" t="s">
        <v>19330</v>
      </c>
      <c r="AH9874">
        <v>5</v>
      </c>
      <c r="AI9874">
        <v>1</v>
      </c>
      <c r="AJ9874">
        <v>0</v>
      </c>
      <c r="AK9874">
        <v>17.29</v>
      </c>
      <c r="AN9874" t="s">
        <v>7439</v>
      </c>
      <c r="AO9874">
        <v>2160</v>
      </c>
      <c r="AU9874">
        <v>1</v>
      </c>
      <c r="AV9874" t="s">
        <v>702</v>
      </c>
      <c r="AW9874" t="s">
        <v>122</v>
      </c>
    </row>
    <row r="9875" spans="1:49">
      <c r="A9875" s="1">
        <f>HYPERLINK("https://lsnyc.legalserver.org/matter/dynamic-profile/view/1890271","19-1890271")</f>
        <v>0</v>
      </c>
      <c r="B9875" t="s">
        <v>112</v>
      </c>
      <c r="C9875" t="s">
        <v>340</v>
      </c>
      <c r="D9875" t="s">
        <v>702</v>
      </c>
      <c r="F9875" t="s">
        <v>999</v>
      </c>
      <c r="G9875" t="s">
        <v>9193</v>
      </c>
      <c r="H9875" t="s">
        <v>16360</v>
      </c>
      <c r="I9875" t="s">
        <v>18725</v>
      </c>
      <c r="J9875" t="s">
        <v>18913</v>
      </c>
      <c r="K9875">
        <v>11103</v>
      </c>
      <c r="L9875" t="s">
        <v>18960</v>
      </c>
      <c r="M9875" t="s">
        <v>18960</v>
      </c>
      <c r="N9875" t="s">
        <v>25746</v>
      </c>
      <c r="R9875" t="s">
        <v>26584</v>
      </c>
      <c r="U9875" t="s">
        <v>26604</v>
      </c>
      <c r="X9875">
        <v>1400</v>
      </c>
      <c r="Y9875" t="s">
        <v>26653</v>
      </c>
      <c r="Z9875" t="s">
        <v>26664</v>
      </c>
      <c r="AB9875" t="s">
        <v>33668</v>
      </c>
      <c r="AD9875" t="s">
        <v>44477</v>
      </c>
      <c r="AE9875">
        <v>3</v>
      </c>
      <c r="AF9875" t="s">
        <v>45547</v>
      </c>
      <c r="AG9875" t="s">
        <v>19330</v>
      </c>
      <c r="AH9875">
        <v>11</v>
      </c>
      <c r="AI9875">
        <v>3</v>
      </c>
      <c r="AJ9875">
        <v>1</v>
      </c>
      <c r="AK9875">
        <v>182.52</v>
      </c>
      <c r="AN9875" t="s">
        <v>7439</v>
      </c>
      <c r="AO9875">
        <v>47000</v>
      </c>
      <c r="AU9875">
        <v>1</v>
      </c>
      <c r="AV9875" t="s">
        <v>702</v>
      </c>
      <c r="AW9875" t="s">
        <v>122</v>
      </c>
    </row>
    <row r="9876" spans="1:49">
      <c r="A9876" s="1">
        <f>HYPERLINK("https://lsnyc.legalserver.org/matter/dynamic-profile/view/1890260","19-1890260")</f>
        <v>0</v>
      </c>
      <c r="B9876" t="s">
        <v>63</v>
      </c>
      <c r="C9876" t="s">
        <v>340</v>
      </c>
      <c r="D9876" t="s">
        <v>702</v>
      </c>
      <c r="F9876" t="s">
        <v>2058</v>
      </c>
      <c r="G9876" t="s">
        <v>9194</v>
      </c>
      <c r="H9876" t="s">
        <v>10147</v>
      </c>
      <c r="I9876" t="s">
        <v>18726</v>
      </c>
      <c r="J9876" t="s">
        <v>18892</v>
      </c>
      <c r="K9876">
        <v>10460</v>
      </c>
      <c r="L9876" t="s">
        <v>18960</v>
      </c>
      <c r="M9876" t="s">
        <v>18960</v>
      </c>
      <c r="O9876" t="s">
        <v>18997</v>
      </c>
      <c r="R9876" t="s">
        <v>26591</v>
      </c>
      <c r="S9876" t="s">
        <v>18959</v>
      </c>
      <c r="U9876" t="s">
        <v>26604</v>
      </c>
      <c r="X9876">
        <v>1400</v>
      </c>
      <c r="Y9876" t="s">
        <v>26650</v>
      </c>
      <c r="AB9876" t="s">
        <v>33669</v>
      </c>
      <c r="AD9876" t="s">
        <v>44478</v>
      </c>
      <c r="AE9876">
        <v>30</v>
      </c>
      <c r="AF9876" t="s">
        <v>45541</v>
      </c>
      <c r="AG9876" t="s">
        <v>19330</v>
      </c>
      <c r="AH9876">
        <v>2</v>
      </c>
      <c r="AI9876">
        <v>1</v>
      </c>
      <c r="AJ9876">
        <v>0</v>
      </c>
      <c r="AK9876">
        <v>135.47</v>
      </c>
      <c r="AN9876" t="s">
        <v>7439</v>
      </c>
      <c r="AO9876">
        <v>16920</v>
      </c>
      <c r="AU9876">
        <v>5.2</v>
      </c>
      <c r="AV9876" t="s">
        <v>808</v>
      </c>
      <c r="AW9876" t="s">
        <v>46829</v>
      </c>
    </row>
    <row r="9877" spans="1:49">
      <c r="A9877" s="1">
        <f>HYPERLINK("https://lsnyc.legalserver.org/matter/dynamic-profile/view/1890315","19-1890315")</f>
        <v>0</v>
      </c>
      <c r="B9877" t="s">
        <v>63</v>
      </c>
      <c r="C9877" t="s">
        <v>340</v>
      </c>
      <c r="D9877" t="s">
        <v>702</v>
      </c>
      <c r="F9877" t="s">
        <v>4682</v>
      </c>
      <c r="G9877" t="s">
        <v>9195</v>
      </c>
      <c r="H9877" t="s">
        <v>12797</v>
      </c>
      <c r="I9877" t="s">
        <v>17278</v>
      </c>
      <c r="J9877" t="s">
        <v>18892</v>
      </c>
      <c r="K9877">
        <v>10453</v>
      </c>
      <c r="L9877" t="s">
        <v>18960</v>
      </c>
      <c r="M9877" t="s">
        <v>18960</v>
      </c>
      <c r="O9877" t="s">
        <v>26523</v>
      </c>
      <c r="P9877" t="s">
        <v>26564</v>
      </c>
      <c r="R9877" t="s">
        <v>26578</v>
      </c>
      <c r="U9877" t="s">
        <v>26604</v>
      </c>
      <c r="X9877">
        <v>0</v>
      </c>
      <c r="Y9877" t="s">
        <v>26650</v>
      </c>
      <c r="AB9877" t="s">
        <v>33670</v>
      </c>
      <c r="AE9877">
        <v>0</v>
      </c>
      <c r="AH9877">
        <v>0</v>
      </c>
      <c r="AI9877">
        <v>2</v>
      </c>
      <c r="AJ9877">
        <v>1</v>
      </c>
      <c r="AK9877">
        <v>195.03</v>
      </c>
      <c r="AN9877" t="s">
        <v>7439</v>
      </c>
      <c r="AO9877">
        <v>41600</v>
      </c>
      <c r="AP9877" t="s">
        <v>45810</v>
      </c>
      <c r="AU9877">
        <v>0</v>
      </c>
      <c r="AW9877" t="s">
        <v>63</v>
      </c>
    </row>
    <row r="9878" spans="1:49">
      <c r="A9878" s="1">
        <f>HYPERLINK("https://lsnyc.legalserver.org/matter/dynamic-profile/view/1890475","19-1890475")</f>
        <v>0</v>
      </c>
      <c r="B9878" t="s">
        <v>280</v>
      </c>
      <c r="C9878" t="s">
        <v>341</v>
      </c>
      <c r="D9878" t="s">
        <v>690</v>
      </c>
      <c r="E9878" t="s">
        <v>740</v>
      </c>
      <c r="F9878" t="s">
        <v>4683</v>
      </c>
      <c r="G9878" t="s">
        <v>9196</v>
      </c>
      <c r="H9878" t="s">
        <v>13719</v>
      </c>
      <c r="I9878">
        <v>203</v>
      </c>
      <c r="J9878" t="s">
        <v>18909</v>
      </c>
      <c r="K9878">
        <v>11101</v>
      </c>
      <c r="L9878" t="s">
        <v>18959</v>
      </c>
      <c r="M9878" t="s">
        <v>18959</v>
      </c>
      <c r="N9878" t="s">
        <v>18993</v>
      </c>
      <c r="O9878" t="s">
        <v>18997</v>
      </c>
      <c r="P9878" t="s">
        <v>26564</v>
      </c>
      <c r="Q9878" t="s">
        <v>26570</v>
      </c>
      <c r="R9878" t="s">
        <v>26591</v>
      </c>
      <c r="S9878" t="s">
        <v>18959</v>
      </c>
      <c r="U9878" t="s">
        <v>26604</v>
      </c>
      <c r="V9878" t="s">
        <v>26610</v>
      </c>
      <c r="X9878">
        <v>2000</v>
      </c>
      <c r="Y9878" t="s">
        <v>26653</v>
      </c>
      <c r="Z9878" t="s">
        <v>26673</v>
      </c>
      <c r="AA9878" t="s">
        <v>26683</v>
      </c>
      <c r="AB9878" t="s">
        <v>33671</v>
      </c>
      <c r="AD9878" t="s">
        <v>44479</v>
      </c>
      <c r="AE9878">
        <v>80</v>
      </c>
      <c r="AF9878" t="s">
        <v>45547</v>
      </c>
      <c r="AG9878" t="s">
        <v>19330</v>
      </c>
      <c r="AH9878">
        <v>1</v>
      </c>
      <c r="AI9878">
        <v>1</v>
      </c>
      <c r="AJ9878">
        <v>0</v>
      </c>
      <c r="AK9878">
        <v>166.53</v>
      </c>
      <c r="AN9878" t="s">
        <v>45581</v>
      </c>
      <c r="AO9878">
        <v>20800</v>
      </c>
      <c r="AU9878">
        <v>0.55</v>
      </c>
      <c r="AV9878" t="s">
        <v>737</v>
      </c>
      <c r="AW9878" t="s">
        <v>46860</v>
      </c>
    </row>
    <row r="9879" spans="1:49">
      <c r="A9879" s="1">
        <f>HYPERLINK("https://lsnyc.legalserver.org/matter/dynamic-profile/view/1890470","19-1890470")</f>
        <v>0</v>
      </c>
      <c r="B9879" t="s">
        <v>169</v>
      </c>
      <c r="C9879" t="s">
        <v>341</v>
      </c>
      <c r="D9879" t="s">
        <v>690</v>
      </c>
      <c r="E9879" t="s">
        <v>779</v>
      </c>
      <c r="F9879" t="s">
        <v>1785</v>
      </c>
      <c r="G9879" t="s">
        <v>6183</v>
      </c>
      <c r="H9879" t="s">
        <v>16361</v>
      </c>
      <c r="I9879" t="s">
        <v>18727</v>
      </c>
      <c r="J9879" t="s">
        <v>18892</v>
      </c>
      <c r="K9879">
        <v>10452</v>
      </c>
      <c r="L9879" t="s">
        <v>18958</v>
      </c>
      <c r="M9879" t="s">
        <v>18958</v>
      </c>
      <c r="O9879" t="s">
        <v>26523</v>
      </c>
      <c r="P9879" t="s">
        <v>26564</v>
      </c>
      <c r="Q9879" t="s">
        <v>26570</v>
      </c>
      <c r="R9879" t="s">
        <v>26591</v>
      </c>
      <c r="U9879" t="s">
        <v>26604</v>
      </c>
      <c r="X9879">
        <v>1428</v>
      </c>
      <c r="Y9879" t="s">
        <v>26650</v>
      </c>
      <c r="AA9879" t="s">
        <v>26683</v>
      </c>
      <c r="AB9879" t="s">
        <v>28117</v>
      </c>
      <c r="AD9879" t="s">
        <v>44480</v>
      </c>
      <c r="AE9879">
        <v>0</v>
      </c>
      <c r="AH9879">
        <v>0</v>
      </c>
      <c r="AI9879">
        <v>2</v>
      </c>
      <c r="AJ9879">
        <v>1</v>
      </c>
      <c r="AK9879">
        <v>91.18000000000001</v>
      </c>
      <c r="AN9879" t="s">
        <v>45581</v>
      </c>
      <c r="AO9879">
        <v>19448</v>
      </c>
      <c r="AP9879" t="s">
        <v>46218</v>
      </c>
      <c r="AU9879">
        <v>1.8</v>
      </c>
      <c r="AV9879" t="s">
        <v>781</v>
      </c>
      <c r="AW9879" t="s">
        <v>46831</v>
      </c>
    </row>
    <row r="9880" spans="1:49">
      <c r="A9880" s="1">
        <f>HYPERLINK("https://lsnyc.legalserver.org/matter/dynamic-profile/view/1890501","19-1890501")</f>
        <v>0</v>
      </c>
      <c r="B9880" t="s">
        <v>58</v>
      </c>
      <c r="C9880" t="s">
        <v>341</v>
      </c>
      <c r="D9880" t="s">
        <v>690</v>
      </c>
      <c r="E9880" t="s">
        <v>772</v>
      </c>
      <c r="F9880" t="s">
        <v>4684</v>
      </c>
      <c r="G9880" t="s">
        <v>5207</v>
      </c>
      <c r="H9880" t="s">
        <v>13195</v>
      </c>
      <c r="I9880">
        <v>614</v>
      </c>
      <c r="J9880" t="s">
        <v>18892</v>
      </c>
      <c r="K9880">
        <v>10468</v>
      </c>
      <c r="L9880" t="s">
        <v>18958</v>
      </c>
      <c r="M9880" t="s">
        <v>18958</v>
      </c>
      <c r="N9880" t="s">
        <v>25747</v>
      </c>
      <c r="O9880" t="s">
        <v>26523</v>
      </c>
      <c r="Q9880" t="s">
        <v>26573</v>
      </c>
      <c r="R9880" t="s">
        <v>26579</v>
      </c>
      <c r="S9880" t="s">
        <v>18959</v>
      </c>
      <c r="U9880" t="s">
        <v>26604</v>
      </c>
      <c r="X9880">
        <v>829</v>
      </c>
      <c r="Y9880" t="s">
        <v>26650</v>
      </c>
      <c r="AA9880" t="s">
        <v>26678</v>
      </c>
      <c r="AB9880" t="s">
        <v>33672</v>
      </c>
      <c r="AD9880" t="s">
        <v>44481</v>
      </c>
      <c r="AE9880">
        <v>0</v>
      </c>
      <c r="AH9880">
        <v>24</v>
      </c>
      <c r="AI9880">
        <v>2</v>
      </c>
      <c r="AJ9880">
        <v>0</v>
      </c>
      <c r="AK9880">
        <v>101.48</v>
      </c>
      <c r="AN9880" t="s">
        <v>7439</v>
      </c>
      <c r="AO9880">
        <v>17160</v>
      </c>
      <c r="AP9880" t="s">
        <v>45838</v>
      </c>
      <c r="AS9880" t="s">
        <v>46499</v>
      </c>
      <c r="AU9880">
        <v>0.8</v>
      </c>
      <c r="AV9880" t="s">
        <v>772</v>
      </c>
      <c r="AW9880" t="s">
        <v>46871</v>
      </c>
    </row>
    <row r="9881" spans="1:49">
      <c r="A9881" s="1">
        <f>HYPERLINK("https://lsnyc.legalserver.org/matter/dynamic-profile/view/1890359","19-1890359")</f>
        <v>0</v>
      </c>
      <c r="B9881" t="s">
        <v>227</v>
      </c>
      <c r="C9881" t="s">
        <v>341</v>
      </c>
      <c r="D9881" t="s">
        <v>690</v>
      </c>
      <c r="E9881" t="s">
        <v>830</v>
      </c>
      <c r="F9881" t="s">
        <v>4685</v>
      </c>
      <c r="G9881" t="s">
        <v>9197</v>
      </c>
      <c r="H9881" t="s">
        <v>16362</v>
      </c>
      <c r="I9881" t="s">
        <v>17273</v>
      </c>
      <c r="J9881" t="s">
        <v>18894</v>
      </c>
      <c r="K9881">
        <v>11235</v>
      </c>
      <c r="L9881" t="s">
        <v>18959</v>
      </c>
      <c r="M9881" t="s">
        <v>18958</v>
      </c>
      <c r="N9881" t="s">
        <v>25748</v>
      </c>
      <c r="O9881" t="s">
        <v>26523</v>
      </c>
      <c r="P9881" t="s">
        <v>26560</v>
      </c>
      <c r="Q9881" t="s">
        <v>26568</v>
      </c>
      <c r="R9881" t="s">
        <v>26586</v>
      </c>
      <c r="U9881" t="s">
        <v>26604</v>
      </c>
      <c r="X9881">
        <v>1750</v>
      </c>
      <c r="Y9881" t="s">
        <v>26652</v>
      </c>
      <c r="Z9881" t="s">
        <v>26664</v>
      </c>
      <c r="AA9881" t="s">
        <v>26684</v>
      </c>
      <c r="AB9881" t="s">
        <v>27485</v>
      </c>
      <c r="AD9881" t="s">
        <v>44482</v>
      </c>
      <c r="AE9881">
        <v>7</v>
      </c>
      <c r="AG9881" t="s">
        <v>19330</v>
      </c>
      <c r="AH9881">
        <v>5</v>
      </c>
      <c r="AI9881">
        <v>1</v>
      </c>
      <c r="AJ9881">
        <v>0</v>
      </c>
      <c r="AK9881">
        <v>0</v>
      </c>
      <c r="AN9881" t="s">
        <v>7439</v>
      </c>
      <c r="AO9881">
        <v>0</v>
      </c>
      <c r="AU9881">
        <v>14</v>
      </c>
      <c r="AV9881" t="s">
        <v>808</v>
      </c>
      <c r="AW9881" t="s">
        <v>281</v>
      </c>
    </row>
    <row r="9882" spans="1:49">
      <c r="A9882" s="1">
        <f>HYPERLINK("https://lsnyc.legalserver.org/matter/dynamic-profile/view/1890245","19-1890245")</f>
        <v>0</v>
      </c>
      <c r="B9882" t="s">
        <v>200</v>
      </c>
      <c r="C9882" t="s">
        <v>341</v>
      </c>
      <c r="D9882" t="s">
        <v>690</v>
      </c>
      <c r="E9882" t="s">
        <v>755</v>
      </c>
      <c r="F9882" t="s">
        <v>3545</v>
      </c>
      <c r="G9882" t="s">
        <v>9198</v>
      </c>
      <c r="H9882" t="s">
        <v>16363</v>
      </c>
      <c r="I9882" t="s">
        <v>17388</v>
      </c>
      <c r="J9882" t="s">
        <v>18894</v>
      </c>
      <c r="K9882">
        <v>11233</v>
      </c>
      <c r="L9882" t="s">
        <v>18959</v>
      </c>
      <c r="M9882" t="s">
        <v>18959</v>
      </c>
      <c r="N9882" t="s">
        <v>25749</v>
      </c>
      <c r="O9882" t="s">
        <v>26523</v>
      </c>
      <c r="P9882" t="s">
        <v>26565</v>
      </c>
      <c r="Q9882" t="s">
        <v>26571</v>
      </c>
      <c r="R9882" t="s">
        <v>26578</v>
      </c>
      <c r="S9882" t="s">
        <v>18959</v>
      </c>
      <c r="U9882" t="s">
        <v>26604</v>
      </c>
      <c r="X9882">
        <v>902.95</v>
      </c>
      <c r="Y9882" t="s">
        <v>26652</v>
      </c>
      <c r="Z9882" t="s">
        <v>26660</v>
      </c>
      <c r="AA9882" t="s">
        <v>26681</v>
      </c>
      <c r="AB9882" t="s">
        <v>33673</v>
      </c>
      <c r="AD9882" t="s">
        <v>44483</v>
      </c>
      <c r="AE9882">
        <v>0</v>
      </c>
      <c r="AF9882" t="s">
        <v>45541</v>
      </c>
      <c r="AG9882" t="s">
        <v>19330</v>
      </c>
      <c r="AH9882">
        <v>0</v>
      </c>
      <c r="AI9882">
        <v>1</v>
      </c>
      <c r="AJ9882">
        <v>2</v>
      </c>
      <c r="AK9882">
        <v>18.89</v>
      </c>
      <c r="AN9882" t="s">
        <v>7439</v>
      </c>
      <c r="AO9882">
        <v>4030</v>
      </c>
      <c r="AU9882">
        <v>0.1</v>
      </c>
      <c r="AV9882" t="s">
        <v>755</v>
      </c>
      <c r="AW9882" t="s">
        <v>286</v>
      </c>
    </row>
    <row r="9883" spans="1:49">
      <c r="A9883" s="1">
        <f>HYPERLINK("https://lsnyc.legalserver.org/matter/dynamic-profile/view/1890485","19-1890485")</f>
        <v>0</v>
      </c>
      <c r="B9883" t="s">
        <v>280</v>
      </c>
      <c r="C9883" t="s">
        <v>340</v>
      </c>
      <c r="D9883" t="s">
        <v>690</v>
      </c>
      <c r="F9883" t="s">
        <v>893</v>
      </c>
      <c r="G9883" t="s">
        <v>8275</v>
      </c>
      <c r="H9883" t="s">
        <v>12756</v>
      </c>
      <c r="I9883" t="s">
        <v>18728</v>
      </c>
      <c r="J9883" t="s">
        <v>18898</v>
      </c>
      <c r="K9883">
        <v>11691</v>
      </c>
      <c r="L9883" t="s">
        <v>18960</v>
      </c>
      <c r="M9883" t="s">
        <v>18960</v>
      </c>
      <c r="O9883" t="s">
        <v>18997</v>
      </c>
      <c r="P9883" t="s">
        <v>26565</v>
      </c>
      <c r="R9883" t="s">
        <v>26591</v>
      </c>
      <c r="S9883" t="s">
        <v>18959</v>
      </c>
      <c r="U9883" t="s">
        <v>26604</v>
      </c>
      <c r="X9883">
        <v>155</v>
      </c>
      <c r="Y9883" t="s">
        <v>26653</v>
      </c>
      <c r="AB9883" t="s">
        <v>33674</v>
      </c>
      <c r="AD9883" t="s">
        <v>44484</v>
      </c>
      <c r="AE9883">
        <v>200</v>
      </c>
      <c r="AH9883">
        <v>19</v>
      </c>
      <c r="AI9883">
        <v>1</v>
      </c>
      <c r="AJ9883">
        <v>0</v>
      </c>
      <c r="AK9883">
        <v>74.75</v>
      </c>
      <c r="AN9883" t="s">
        <v>7439</v>
      </c>
      <c r="AO9883">
        <v>9336</v>
      </c>
      <c r="AU9883">
        <v>1.15</v>
      </c>
      <c r="AV9883" t="s">
        <v>815</v>
      </c>
      <c r="AW9883" t="s">
        <v>46829</v>
      </c>
    </row>
    <row r="9884" spans="1:49">
      <c r="A9884" s="1">
        <f>HYPERLINK("https://lsnyc.legalserver.org/matter/dynamic-profile/view/1890383","19-1890383")</f>
        <v>0</v>
      </c>
      <c r="B9884" t="s">
        <v>94</v>
      </c>
      <c r="C9884" t="s">
        <v>340</v>
      </c>
      <c r="D9884" t="s">
        <v>690</v>
      </c>
      <c r="F9884" t="s">
        <v>1219</v>
      </c>
      <c r="G9884" t="s">
        <v>5760</v>
      </c>
      <c r="H9884" t="s">
        <v>16364</v>
      </c>
      <c r="I9884" t="s">
        <v>17273</v>
      </c>
      <c r="J9884" t="s">
        <v>18893</v>
      </c>
      <c r="K9884">
        <v>10029</v>
      </c>
      <c r="L9884" t="s">
        <v>18958</v>
      </c>
      <c r="M9884" t="s">
        <v>18958</v>
      </c>
      <c r="N9884" t="s">
        <v>25750</v>
      </c>
      <c r="O9884" t="s">
        <v>26524</v>
      </c>
      <c r="P9884" t="s">
        <v>26560</v>
      </c>
      <c r="R9884" t="s">
        <v>26582</v>
      </c>
      <c r="S9884" t="s">
        <v>18959</v>
      </c>
      <c r="U9884" t="s">
        <v>26604</v>
      </c>
      <c r="V9884" t="s">
        <v>26610</v>
      </c>
      <c r="X9884">
        <v>1547</v>
      </c>
      <c r="Y9884" t="s">
        <v>26651</v>
      </c>
      <c r="Z9884" t="s">
        <v>26664</v>
      </c>
      <c r="AB9884" t="s">
        <v>33675</v>
      </c>
      <c r="AC9884" t="s">
        <v>36683</v>
      </c>
      <c r="AD9884" t="s">
        <v>44485</v>
      </c>
      <c r="AE9884">
        <v>0</v>
      </c>
      <c r="AF9884" t="s">
        <v>20460</v>
      </c>
      <c r="AG9884" t="s">
        <v>45556</v>
      </c>
      <c r="AH9884">
        <v>8</v>
      </c>
      <c r="AI9884">
        <v>1</v>
      </c>
      <c r="AJ9884">
        <v>2</v>
      </c>
      <c r="AK9884">
        <v>118.99</v>
      </c>
      <c r="AN9884" t="s">
        <v>7439</v>
      </c>
      <c r="AO9884">
        <v>25380</v>
      </c>
      <c r="AU9884">
        <v>15.4</v>
      </c>
      <c r="AV9884" t="s">
        <v>831</v>
      </c>
      <c r="AW9884" t="s">
        <v>46875</v>
      </c>
    </row>
    <row r="9885" spans="1:49">
      <c r="A9885" s="1">
        <f>HYPERLINK("https://lsnyc.legalserver.org/matter/dynamic-profile/view/1890428","19-1890428")</f>
        <v>0</v>
      </c>
      <c r="B9885" t="s">
        <v>224</v>
      </c>
      <c r="C9885" t="s">
        <v>340</v>
      </c>
      <c r="D9885" t="s">
        <v>690</v>
      </c>
      <c r="F9885" t="s">
        <v>4686</v>
      </c>
      <c r="G9885" t="s">
        <v>5849</v>
      </c>
      <c r="H9885" t="s">
        <v>16365</v>
      </c>
      <c r="I9885" t="s">
        <v>17348</v>
      </c>
      <c r="J9885" t="s">
        <v>18894</v>
      </c>
      <c r="K9885">
        <v>11233</v>
      </c>
      <c r="L9885" t="s">
        <v>18958</v>
      </c>
      <c r="M9885" t="s">
        <v>18958</v>
      </c>
      <c r="N9885" t="s">
        <v>19037</v>
      </c>
      <c r="O9885" t="s">
        <v>18997</v>
      </c>
      <c r="R9885" t="s">
        <v>26583</v>
      </c>
      <c r="S9885" t="s">
        <v>18959</v>
      </c>
      <c r="U9885" t="s">
        <v>26605</v>
      </c>
      <c r="V9885" t="s">
        <v>26610</v>
      </c>
      <c r="X9885">
        <v>252</v>
      </c>
      <c r="Y9885" t="s">
        <v>26652</v>
      </c>
      <c r="Z9885" t="s">
        <v>26670</v>
      </c>
      <c r="AB9885" t="s">
        <v>33676</v>
      </c>
      <c r="AC9885" t="s">
        <v>34508</v>
      </c>
      <c r="AD9885" t="s">
        <v>44486</v>
      </c>
      <c r="AE9885">
        <v>515</v>
      </c>
      <c r="AF9885" t="s">
        <v>45549</v>
      </c>
      <c r="AG9885" t="s">
        <v>45556</v>
      </c>
      <c r="AH9885">
        <v>35</v>
      </c>
      <c r="AI9885">
        <v>1</v>
      </c>
      <c r="AJ9885">
        <v>0</v>
      </c>
      <c r="AK9885">
        <v>81.56999999999999</v>
      </c>
      <c r="AN9885" t="s">
        <v>7439</v>
      </c>
      <c r="AO9885">
        <v>10188</v>
      </c>
      <c r="AU9885">
        <v>0</v>
      </c>
      <c r="AW9885" t="s">
        <v>279</v>
      </c>
    </row>
    <row r="9886" spans="1:49">
      <c r="A9886" s="1">
        <f>HYPERLINK("https://lsnyc.legalserver.org/matter/dynamic-profile/view/1890388","19-1890388")</f>
        <v>0</v>
      </c>
      <c r="B9886" t="s">
        <v>227</v>
      </c>
      <c r="C9886" t="s">
        <v>340</v>
      </c>
      <c r="D9886" t="s">
        <v>690</v>
      </c>
      <c r="F9886" t="s">
        <v>896</v>
      </c>
      <c r="G9886" t="s">
        <v>6652</v>
      </c>
      <c r="H9886" t="s">
        <v>16366</v>
      </c>
      <c r="I9886" t="s">
        <v>18729</v>
      </c>
      <c r="J9886" t="s">
        <v>18894</v>
      </c>
      <c r="K9886">
        <v>11225</v>
      </c>
      <c r="L9886" t="s">
        <v>18959</v>
      </c>
      <c r="M9886" t="s">
        <v>18958</v>
      </c>
      <c r="N9886" t="s">
        <v>25751</v>
      </c>
      <c r="O9886" t="s">
        <v>26523</v>
      </c>
      <c r="P9886" t="s">
        <v>26560</v>
      </c>
      <c r="R9886" t="s">
        <v>26588</v>
      </c>
      <c r="S9886" t="s">
        <v>18959</v>
      </c>
      <c r="U9886" t="s">
        <v>26604</v>
      </c>
      <c r="X9886">
        <v>850</v>
      </c>
      <c r="Y9886" t="s">
        <v>26652</v>
      </c>
      <c r="Z9886" t="s">
        <v>26669</v>
      </c>
      <c r="AB9886" t="s">
        <v>33677</v>
      </c>
      <c r="AD9886" t="s">
        <v>44487</v>
      </c>
      <c r="AE9886">
        <v>15</v>
      </c>
      <c r="AG9886" t="s">
        <v>19330</v>
      </c>
      <c r="AH9886">
        <v>8</v>
      </c>
      <c r="AI9886">
        <v>2</v>
      </c>
      <c r="AJ9886">
        <v>0</v>
      </c>
      <c r="AK9886">
        <v>292.13</v>
      </c>
      <c r="AN9886" t="s">
        <v>7439</v>
      </c>
      <c r="AO9886">
        <v>49400</v>
      </c>
      <c r="AU9886">
        <v>16.5</v>
      </c>
      <c r="AV9886" t="s">
        <v>832</v>
      </c>
      <c r="AW9886" t="s">
        <v>281</v>
      </c>
    </row>
    <row r="9887" spans="1:49">
      <c r="A9887" s="1">
        <f>HYPERLINK("https://lsnyc.legalserver.org/matter/dynamic-profile/view/1890458","19-1890458")</f>
        <v>0</v>
      </c>
      <c r="B9887" t="s">
        <v>124</v>
      </c>
      <c r="C9887" t="s">
        <v>340</v>
      </c>
      <c r="D9887" t="s">
        <v>690</v>
      </c>
      <c r="F9887" t="s">
        <v>1196</v>
      </c>
      <c r="G9887" t="s">
        <v>2928</v>
      </c>
      <c r="H9887" t="s">
        <v>16367</v>
      </c>
      <c r="I9887" t="s">
        <v>17282</v>
      </c>
      <c r="J9887" t="s">
        <v>18894</v>
      </c>
      <c r="K9887">
        <v>11233</v>
      </c>
      <c r="L9887" t="s">
        <v>18960</v>
      </c>
      <c r="M9887" t="s">
        <v>18960</v>
      </c>
      <c r="N9887" t="s">
        <v>25752</v>
      </c>
      <c r="O9887" t="s">
        <v>26523</v>
      </c>
      <c r="P9887" t="s">
        <v>26565</v>
      </c>
      <c r="R9887" t="s">
        <v>26586</v>
      </c>
      <c r="S9887" t="s">
        <v>18959</v>
      </c>
      <c r="U9887" t="s">
        <v>26604</v>
      </c>
      <c r="X9887">
        <v>490</v>
      </c>
      <c r="Y9887" t="s">
        <v>26652</v>
      </c>
      <c r="Z9887" t="s">
        <v>26659</v>
      </c>
      <c r="AB9887" t="s">
        <v>33678</v>
      </c>
      <c r="AE9887">
        <v>0</v>
      </c>
      <c r="AF9887" t="s">
        <v>45541</v>
      </c>
      <c r="AH9887">
        <v>14</v>
      </c>
      <c r="AI9887">
        <v>1</v>
      </c>
      <c r="AJ9887">
        <v>0</v>
      </c>
      <c r="AK9887">
        <v>37.05</v>
      </c>
      <c r="AN9887" t="s">
        <v>7439</v>
      </c>
      <c r="AO9887">
        <v>4628</v>
      </c>
      <c r="AU9887">
        <v>5.4</v>
      </c>
      <c r="AV9887" t="s">
        <v>838</v>
      </c>
      <c r="AW9887" t="s">
        <v>320</v>
      </c>
    </row>
    <row r="9888" spans="1:49">
      <c r="A9888" s="1">
        <f>HYPERLINK("https://lsnyc.legalserver.org/matter/dynamic-profile/view/1890405","19-1890405")</f>
        <v>0</v>
      </c>
      <c r="B9888" t="s">
        <v>82</v>
      </c>
      <c r="C9888" t="s">
        <v>340</v>
      </c>
      <c r="D9888" t="s">
        <v>690</v>
      </c>
      <c r="F9888" t="s">
        <v>3061</v>
      </c>
      <c r="G9888" t="s">
        <v>1725</v>
      </c>
      <c r="H9888" t="s">
        <v>16368</v>
      </c>
      <c r="I9888" t="s">
        <v>18730</v>
      </c>
      <c r="J9888" t="s">
        <v>18892</v>
      </c>
      <c r="K9888">
        <v>10456</v>
      </c>
      <c r="L9888" t="s">
        <v>18960</v>
      </c>
      <c r="M9888" t="s">
        <v>18960</v>
      </c>
      <c r="N9888" t="s">
        <v>25753</v>
      </c>
      <c r="O9888" t="s">
        <v>26523</v>
      </c>
      <c r="P9888" t="s">
        <v>26564</v>
      </c>
      <c r="R9888" t="s">
        <v>26577</v>
      </c>
      <c r="S9888" t="s">
        <v>18959</v>
      </c>
      <c r="U9888" t="s">
        <v>26604</v>
      </c>
      <c r="X9888">
        <v>1535</v>
      </c>
      <c r="Y9888" t="s">
        <v>26650</v>
      </c>
      <c r="AB9888" t="s">
        <v>33679</v>
      </c>
      <c r="AD9888" t="s">
        <v>44488</v>
      </c>
      <c r="AE9888">
        <v>322</v>
      </c>
      <c r="AF9888" t="s">
        <v>45541</v>
      </c>
      <c r="AG9888" t="s">
        <v>45557</v>
      </c>
      <c r="AH9888">
        <v>4</v>
      </c>
      <c r="AI9888">
        <v>1</v>
      </c>
      <c r="AJ9888">
        <v>5</v>
      </c>
      <c r="AK9888">
        <v>0</v>
      </c>
      <c r="AN9888" t="s">
        <v>45581</v>
      </c>
      <c r="AO9888">
        <v>0</v>
      </c>
      <c r="AP9888" t="s">
        <v>46219</v>
      </c>
      <c r="AU9888">
        <v>1</v>
      </c>
      <c r="AV9888" t="s">
        <v>741</v>
      </c>
      <c r="AW9888" t="s">
        <v>284</v>
      </c>
    </row>
    <row r="9889" spans="1:50">
      <c r="A9889" s="1">
        <f>HYPERLINK("https://lsnyc.legalserver.org/matter/dynamic-profile/view/1889795","19-1889795")</f>
        <v>0</v>
      </c>
      <c r="B9889" t="s">
        <v>102</v>
      </c>
      <c r="C9889" t="s">
        <v>340</v>
      </c>
      <c r="D9889" t="s">
        <v>690</v>
      </c>
      <c r="F9889" t="s">
        <v>887</v>
      </c>
      <c r="G9889" t="s">
        <v>5208</v>
      </c>
      <c r="H9889" t="s">
        <v>16369</v>
      </c>
      <c r="I9889" t="s">
        <v>18188</v>
      </c>
      <c r="J9889" t="s">
        <v>18902</v>
      </c>
      <c r="K9889">
        <v>10310</v>
      </c>
      <c r="L9889" t="s">
        <v>18960</v>
      </c>
      <c r="M9889" t="s">
        <v>18960</v>
      </c>
      <c r="R9889" t="s">
        <v>26578</v>
      </c>
      <c r="U9889" t="s">
        <v>26604</v>
      </c>
      <c r="X9889">
        <v>0</v>
      </c>
      <c r="Y9889" t="s">
        <v>26654</v>
      </c>
      <c r="AB9889" t="s">
        <v>27228</v>
      </c>
      <c r="AD9889" t="s">
        <v>44489</v>
      </c>
      <c r="AE9889">
        <v>0</v>
      </c>
      <c r="AH9889">
        <v>0</v>
      </c>
      <c r="AI9889">
        <v>2</v>
      </c>
      <c r="AJ9889">
        <v>0</v>
      </c>
      <c r="AK9889">
        <v>0</v>
      </c>
      <c r="AN9889" t="s">
        <v>45581</v>
      </c>
      <c r="AO9889">
        <v>0</v>
      </c>
      <c r="AU9889">
        <v>4.35</v>
      </c>
      <c r="AV9889" t="s">
        <v>833</v>
      </c>
      <c r="AW9889" t="s">
        <v>46852</v>
      </c>
    </row>
    <row r="9890" spans="1:50">
      <c r="A9890" s="1">
        <f>HYPERLINK("https://lsnyc.legalserver.org/matter/dynamic-profile/view/1890620","19-1890620")</f>
        <v>0</v>
      </c>
      <c r="B9890" t="s">
        <v>105</v>
      </c>
      <c r="C9890" t="s">
        <v>341</v>
      </c>
      <c r="D9890" t="s">
        <v>745</v>
      </c>
      <c r="E9890" t="s">
        <v>828</v>
      </c>
      <c r="F9890" t="s">
        <v>4687</v>
      </c>
      <c r="G9890" t="s">
        <v>9199</v>
      </c>
      <c r="H9890" t="s">
        <v>16370</v>
      </c>
      <c r="J9890" t="s">
        <v>18901</v>
      </c>
      <c r="K9890">
        <v>11434</v>
      </c>
      <c r="L9890" t="s">
        <v>18958</v>
      </c>
      <c r="M9890" t="s">
        <v>18958</v>
      </c>
      <c r="N9890" t="s">
        <v>25754</v>
      </c>
      <c r="O9890" t="s">
        <v>26523</v>
      </c>
      <c r="P9890" t="s">
        <v>26564</v>
      </c>
      <c r="Q9890" t="s">
        <v>26570</v>
      </c>
      <c r="R9890" t="s">
        <v>26585</v>
      </c>
      <c r="S9890" t="s">
        <v>18959</v>
      </c>
      <c r="U9890" t="s">
        <v>26604</v>
      </c>
      <c r="V9890" t="s">
        <v>26610</v>
      </c>
      <c r="X9890">
        <v>978</v>
      </c>
      <c r="Y9890" t="s">
        <v>26653</v>
      </c>
      <c r="Z9890" t="s">
        <v>26668</v>
      </c>
      <c r="AA9890" t="s">
        <v>26683</v>
      </c>
      <c r="AB9890" t="s">
        <v>33680</v>
      </c>
      <c r="AD9890" t="s">
        <v>34738</v>
      </c>
      <c r="AE9890">
        <v>0</v>
      </c>
      <c r="AF9890" t="s">
        <v>45550</v>
      </c>
      <c r="AG9890" t="s">
        <v>19330</v>
      </c>
      <c r="AH9890">
        <v>13</v>
      </c>
      <c r="AI9890">
        <v>1</v>
      </c>
      <c r="AJ9890">
        <v>1</v>
      </c>
      <c r="AK9890">
        <v>473.09</v>
      </c>
      <c r="AN9890" t="s">
        <v>7439</v>
      </c>
      <c r="AO9890">
        <v>80000</v>
      </c>
      <c r="AU9890">
        <v>0.4</v>
      </c>
      <c r="AV9890" t="s">
        <v>728</v>
      </c>
      <c r="AW9890" t="s">
        <v>208</v>
      </c>
      <c r="AX9890" t="s">
        <v>46897</v>
      </c>
    </row>
    <row r="9891" spans="1:50">
      <c r="A9891" s="1">
        <f>HYPERLINK("https://lsnyc.legalserver.org/matter/dynamic-profile/view/1890577","19-1890577")</f>
        <v>0</v>
      </c>
      <c r="B9891" t="s">
        <v>300</v>
      </c>
      <c r="C9891" t="s">
        <v>341</v>
      </c>
      <c r="D9891" t="s">
        <v>745</v>
      </c>
      <c r="E9891" t="s">
        <v>695</v>
      </c>
      <c r="F9891" t="s">
        <v>3920</v>
      </c>
      <c r="G9891" t="s">
        <v>8281</v>
      </c>
      <c r="H9891" t="s">
        <v>14691</v>
      </c>
      <c r="I9891" t="s">
        <v>17299</v>
      </c>
      <c r="J9891" t="s">
        <v>18893</v>
      </c>
      <c r="K9891">
        <v>10034</v>
      </c>
      <c r="L9891" t="s">
        <v>18960</v>
      </c>
      <c r="M9891" t="s">
        <v>18960</v>
      </c>
      <c r="N9891" t="s">
        <v>25755</v>
      </c>
      <c r="O9891" t="s">
        <v>26523</v>
      </c>
      <c r="Q9891" t="s">
        <v>26570</v>
      </c>
      <c r="R9891" t="s">
        <v>26591</v>
      </c>
      <c r="U9891" t="s">
        <v>26604</v>
      </c>
      <c r="X9891">
        <v>2000</v>
      </c>
      <c r="Y9891" t="s">
        <v>26651</v>
      </c>
      <c r="AA9891" t="s">
        <v>26683</v>
      </c>
      <c r="AB9891" t="s">
        <v>32183</v>
      </c>
      <c r="AD9891" t="s">
        <v>42540</v>
      </c>
      <c r="AE9891">
        <v>0</v>
      </c>
      <c r="AF9891" t="s">
        <v>45541</v>
      </c>
      <c r="AG9891" t="s">
        <v>19330</v>
      </c>
      <c r="AH9891">
        <v>11</v>
      </c>
      <c r="AI9891">
        <v>1</v>
      </c>
      <c r="AJ9891">
        <v>0</v>
      </c>
      <c r="AK9891">
        <v>131.63</v>
      </c>
      <c r="AN9891" t="s">
        <v>7439</v>
      </c>
      <c r="AO9891">
        <v>16440</v>
      </c>
      <c r="AU9891">
        <v>1.45</v>
      </c>
      <c r="AV9891" t="s">
        <v>792</v>
      </c>
      <c r="AW9891" t="s">
        <v>46859</v>
      </c>
    </row>
    <row r="9892" spans="1:50">
      <c r="A9892" s="1">
        <f>HYPERLINK("https://lsnyc.legalserver.org/matter/dynamic-profile/view/1890626","19-1890626")</f>
        <v>0</v>
      </c>
      <c r="B9892" t="s">
        <v>180</v>
      </c>
      <c r="C9892" t="s">
        <v>341</v>
      </c>
      <c r="D9892" t="s">
        <v>745</v>
      </c>
      <c r="E9892" t="s">
        <v>795</v>
      </c>
      <c r="F9892" t="s">
        <v>2111</v>
      </c>
      <c r="G9892" t="s">
        <v>5008</v>
      </c>
      <c r="H9892" t="s">
        <v>13035</v>
      </c>
      <c r="I9892" t="s">
        <v>17322</v>
      </c>
      <c r="J9892" t="s">
        <v>18894</v>
      </c>
      <c r="K9892">
        <v>11226</v>
      </c>
      <c r="L9892" t="s">
        <v>18958</v>
      </c>
      <c r="M9892" t="s">
        <v>18958</v>
      </c>
      <c r="N9892" t="s">
        <v>22297</v>
      </c>
      <c r="O9892" t="s">
        <v>26539</v>
      </c>
      <c r="P9892" t="s">
        <v>26562</v>
      </c>
      <c r="Q9892" t="s">
        <v>26573</v>
      </c>
      <c r="R9892" t="s">
        <v>26591</v>
      </c>
      <c r="S9892" t="s">
        <v>18959</v>
      </c>
      <c r="U9892" t="s">
        <v>26607</v>
      </c>
      <c r="X9892">
        <v>1457.98</v>
      </c>
      <c r="Y9892" t="s">
        <v>26652</v>
      </c>
      <c r="Z9892" t="s">
        <v>26659</v>
      </c>
      <c r="AA9892" t="s">
        <v>26682</v>
      </c>
      <c r="AB9892" t="s">
        <v>29189</v>
      </c>
      <c r="AD9892" t="s">
        <v>40539</v>
      </c>
      <c r="AE9892">
        <v>144</v>
      </c>
      <c r="AF9892" t="s">
        <v>45541</v>
      </c>
      <c r="AG9892" t="s">
        <v>19330</v>
      </c>
      <c r="AH9892">
        <v>22</v>
      </c>
      <c r="AI9892">
        <v>1</v>
      </c>
      <c r="AJ9892">
        <v>0</v>
      </c>
      <c r="AK9892">
        <v>76.86</v>
      </c>
      <c r="AN9892" t="s">
        <v>7439</v>
      </c>
      <c r="AO9892">
        <v>9600</v>
      </c>
      <c r="AU9892">
        <v>2.1</v>
      </c>
      <c r="AV9892" t="s">
        <v>795</v>
      </c>
      <c r="AW9892" t="s">
        <v>46862</v>
      </c>
    </row>
    <row r="9893" spans="1:50">
      <c r="A9893" s="1">
        <f>HYPERLINK("https://lsnyc.legalserver.org/matter/dynamic-profile/view/1890644","19-1890644")</f>
        <v>0</v>
      </c>
      <c r="B9893" t="s">
        <v>74</v>
      </c>
      <c r="C9893" t="s">
        <v>341</v>
      </c>
      <c r="D9893" t="s">
        <v>745</v>
      </c>
      <c r="E9893" t="s">
        <v>808</v>
      </c>
      <c r="F9893" t="s">
        <v>1675</v>
      </c>
      <c r="G9893" t="s">
        <v>5869</v>
      </c>
      <c r="H9893" t="s">
        <v>10694</v>
      </c>
      <c r="I9893" t="s">
        <v>17321</v>
      </c>
      <c r="J9893" t="s">
        <v>18893</v>
      </c>
      <c r="K9893">
        <v>10029</v>
      </c>
      <c r="L9893" t="s">
        <v>18960</v>
      </c>
      <c r="M9893" t="s">
        <v>18960</v>
      </c>
      <c r="P9893" t="s">
        <v>26564</v>
      </c>
      <c r="Q9893" t="s">
        <v>26570</v>
      </c>
      <c r="R9893" t="s">
        <v>26591</v>
      </c>
      <c r="U9893" t="s">
        <v>26604</v>
      </c>
      <c r="X9893">
        <v>1146</v>
      </c>
      <c r="Y9893" t="s">
        <v>26651</v>
      </c>
      <c r="AA9893" t="s">
        <v>26683</v>
      </c>
      <c r="AB9893" t="s">
        <v>27836</v>
      </c>
      <c r="AD9893" t="s">
        <v>44490</v>
      </c>
      <c r="AE9893">
        <v>200</v>
      </c>
      <c r="AH9893">
        <v>42</v>
      </c>
      <c r="AI9893">
        <v>1</v>
      </c>
      <c r="AJ9893">
        <v>0</v>
      </c>
      <c r="AK9893">
        <v>76.86</v>
      </c>
      <c r="AN9893" t="s">
        <v>7439</v>
      </c>
      <c r="AO9893">
        <v>9600</v>
      </c>
      <c r="AU9893">
        <v>0.8</v>
      </c>
      <c r="AV9893" t="s">
        <v>777</v>
      </c>
      <c r="AW9893" t="s">
        <v>46857</v>
      </c>
    </row>
    <row r="9894" spans="1:50">
      <c r="A9894" s="1">
        <f>HYPERLINK("https://lsnyc.legalserver.org/matter/dynamic-profile/view/1890566","19-1890566")</f>
        <v>0</v>
      </c>
      <c r="B9894" t="s">
        <v>136</v>
      </c>
      <c r="C9894" t="s">
        <v>340</v>
      </c>
      <c r="D9894" t="s">
        <v>745</v>
      </c>
      <c r="F9894" t="s">
        <v>1592</v>
      </c>
      <c r="G9894" t="s">
        <v>4588</v>
      </c>
      <c r="H9894" t="s">
        <v>13866</v>
      </c>
      <c r="I9894" t="s">
        <v>17669</v>
      </c>
      <c r="J9894" t="s">
        <v>18892</v>
      </c>
      <c r="K9894">
        <v>10451</v>
      </c>
      <c r="L9894" t="s">
        <v>18959</v>
      </c>
      <c r="M9894" t="s">
        <v>18958</v>
      </c>
      <c r="N9894" t="s">
        <v>25756</v>
      </c>
      <c r="O9894" t="s">
        <v>26524</v>
      </c>
      <c r="P9894" t="s">
        <v>26560</v>
      </c>
      <c r="R9894" t="s">
        <v>26577</v>
      </c>
      <c r="U9894" t="s">
        <v>26604</v>
      </c>
      <c r="V9894" t="s">
        <v>26610</v>
      </c>
      <c r="X9894">
        <v>1110.56</v>
      </c>
      <c r="Y9894" t="s">
        <v>26650</v>
      </c>
      <c r="AB9894" t="s">
        <v>33681</v>
      </c>
      <c r="AD9894" t="s">
        <v>44491</v>
      </c>
      <c r="AE9894">
        <v>0</v>
      </c>
      <c r="AH9894">
        <v>9</v>
      </c>
      <c r="AI9894">
        <v>3</v>
      </c>
      <c r="AJ9894">
        <v>1</v>
      </c>
      <c r="AK9894">
        <v>167.77</v>
      </c>
      <c r="AN9894" t="s">
        <v>45581</v>
      </c>
      <c r="AO9894">
        <v>43200</v>
      </c>
      <c r="AP9894" t="s">
        <v>46220</v>
      </c>
      <c r="AU9894">
        <v>11.25</v>
      </c>
      <c r="AV9894" t="s">
        <v>806</v>
      </c>
      <c r="AW9894" t="s">
        <v>46836</v>
      </c>
    </row>
    <row r="9895" spans="1:50">
      <c r="A9895" s="1">
        <f>HYPERLINK("https://lsnyc.legalserver.org/matter/dynamic-profile/view/1890618","19-1890618")</f>
        <v>0</v>
      </c>
      <c r="B9895" t="s">
        <v>75</v>
      </c>
      <c r="C9895" t="s">
        <v>340</v>
      </c>
      <c r="D9895" t="s">
        <v>745</v>
      </c>
      <c r="F9895" t="s">
        <v>973</v>
      </c>
      <c r="G9895" t="s">
        <v>5121</v>
      </c>
      <c r="H9895" t="s">
        <v>15461</v>
      </c>
      <c r="I9895">
        <v>610</v>
      </c>
      <c r="J9895" t="s">
        <v>18892</v>
      </c>
      <c r="K9895">
        <v>10459</v>
      </c>
      <c r="L9895" t="s">
        <v>18960</v>
      </c>
      <c r="M9895" t="s">
        <v>18960</v>
      </c>
      <c r="N9895" t="s">
        <v>25757</v>
      </c>
      <c r="O9895" t="s">
        <v>26523</v>
      </c>
      <c r="P9895" t="s">
        <v>26560</v>
      </c>
      <c r="R9895" t="s">
        <v>26578</v>
      </c>
      <c r="S9895" t="s">
        <v>18959</v>
      </c>
      <c r="U9895" t="s">
        <v>26604</v>
      </c>
      <c r="X9895">
        <v>1220.06</v>
      </c>
      <c r="Y9895" t="s">
        <v>26650</v>
      </c>
      <c r="Z9895" t="s">
        <v>26661</v>
      </c>
      <c r="AB9895" t="s">
        <v>29915</v>
      </c>
      <c r="AD9895" t="s">
        <v>44492</v>
      </c>
      <c r="AE9895">
        <v>135</v>
      </c>
      <c r="AF9895" t="s">
        <v>45541</v>
      </c>
      <c r="AH9895">
        <v>2</v>
      </c>
      <c r="AI9895">
        <v>2</v>
      </c>
      <c r="AJ9895">
        <v>0</v>
      </c>
      <c r="AK9895">
        <v>167.13</v>
      </c>
      <c r="AN9895" t="s">
        <v>7439</v>
      </c>
      <c r="AO9895">
        <v>28262</v>
      </c>
      <c r="AU9895">
        <v>10.05</v>
      </c>
      <c r="AV9895" t="s">
        <v>804</v>
      </c>
      <c r="AW9895" t="s">
        <v>46829</v>
      </c>
    </row>
    <row r="9896" spans="1:50">
      <c r="A9896" s="1">
        <f>HYPERLINK("https://lsnyc.legalserver.org/matter/dynamic-profile/view/1890533","19-1890533")</f>
        <v>0</v>
      </c>
      <c r="B9896" t="s">
        <v>213</v>
      </c>
      <c r="C9896" t="s">
        <v>340</v>
      </c>
      <c r="D9896" t="s">
        <v>745</v>
      </c>
      <c r="F9896" t="s">
        <v>4688</v>
      </c>
      <c r="G9896" t="s">
        <v>5208</v>
      </c>
      <c r="H9896" t="s">
        <v>16371</v>
      </c>
      <c r="I9896" t="s">
        <v>17325</v>
      </c>
      <c r="J9896" t="s">
        <v>18892</v>
      </c>
      <c r="K9896">
        <v>10474</v>
      </c>
      <c r="L9896" t="s">
        <v>18960</v>
      </c>
      <c r="M9896" t="s">
        <v>18960</v>
      </c>
      <c r="N9896" t="s">
        <v>25758</v>
      </c>
      <c r="O9896" t="s">
        <v>26524</v>
      </c>
      <c r="R9896" t="s">
        <v>26583</v>
      </c>
      <c r="S9896" t="s">
        <v>18959</v>
      </c>
      <c r="U9896" t="s">
        <v>26606</v>
      </c>
      <c r="X9896">
        <v>800</v>
      </c>
      <c r="Y9896" t="s">
        <v>26650</v>
      </c>
      <c r="Z9896" t="s">
        <v>26530</v>
      </c>
      <c r="AB9896" t="s">
        <v>30479</v>
      </c>
      <c r="AD9896" t="s">
        <v>44493</v>
      </c>
      <c r="AE9896">
        <v>0</v>
      </c>
      <c r="AF9896" t="s">
        <v>45544</v>
      </c>
      <c r="AG9896" t="s">
        <v>45556</v>
      </c>
      <c r="AH9896">
        <v>28</v>
      </c>
      <c r="AI9896">
        <v>2</v>
      </c>
      <c r="AJ9896">
        <v>0</v>
      </c>
      <c r="AK9896">
        <v>236.55</v>
      </c>
      <c r="AN9896" t="s">
        <v>7439</v>
      </c>
      <c r="AO9896">
        <v>40000</v>
      </c>
      <c r="AU9896">
        <v>67.75</v>
      </c>
      <c r="AV9896" t="s">
        <v>821</v>
      </c>
      <c r="AW9896" t="s">
        <v>46842</v>
      </c>
    </row>
    <row r="9897" spans="1:50">
      <c r="A9897" s="1">
        <f>HYPERLINK("https://lsnyc.legalserver.org/matter/dynamic-profile/view/1890634","19-1890634")</f>
        <v>0</v>
      </c>
      <c r="B9897" t="s">
        <v>95</v>
      </c>
      <c r="C9897" t="s">
        <v>340</v>
      </c>
      <c r="D9897" t="s">
        <v>745</v>
      </c>
      <c r="F9897" t="s">
        <v>928</v>
      </c>
      <c r="G9897" t="s">
        <v>1995</v>
      </c>
      <c r="H9897" t="s">
        <v>12646</v>
      </c>
      <c r="I9897" t="s">
        <v>17276</v>
      </c>
      <c r="J9897" t="s">
        <v>18894</v>
      </c>
      <c r="K9897">
        <v>11233</v>
      </c>
      <c r="L9897" t="s">
        <v>18958</v>
      </c>
      <c r="M9897" t="s">
        <v>18959</v>
      </c>
      <c r="N9897" t="s">
        <v>19330</v>
      </c>
      <c r="O9897" t="s">
        <v>26534</v>
      </c>
      <c r="P9897" t="s">
        <v>26561</v>
      </c>
      <c r="R9897" t="s">
        <v>26578</v>
      </c>
      <c r="S9897" t="s">
        <v>18958</v>
      </c>
      <c r="U9897" t="s">
        <v>26604</v>
      </c>
      <c r="V9897" t="s">
        <v>26610</v>
      </c>
      <c r="X9897">
        <v>776.46</v>
      </c>
      <c r="Y9897" t="s">
        <v>26652</v>
      </c>
      <c r="Z9897" t="s">
        <v>26530</v>
      </c>
      <c r="AB9897" t="s">
        <v>33682</v>
      </c>
      <c r="AE9897">
        <v>359</v>
      </c>
      <c r="AF9897" t="s">
        <v>45541</v>
      </c>
      <c r="AG9897" t="s">
        <v>19330</v>
      </c>
      <c r="AH9897">
        <v>2</v>
      </c>
      <c r="AI9897">
        <v>2</v>
      </c>
      <c r="AJ9897">
        <v>0</v>
      </c>
      <c r="AK9897">
        <v>543.35</v>
      </c>
      <c r="AN9897" t="s">
        <v>7439</v>
      </c>
      <c r="AO9897">
        <v>91879.89999999999</v>
      </c>
      <c r="AP9897" t="s">
        <v>46221</v>
      </c>
      <c r="AU9897">
        <v>0</v>
      </c>
      <c r="AW9897" t="s">
        <v>286</v>
      </c>
      <c r="AX9897" t="s">
        <v>19330</v>
      </c>
    </row>
    <row r="9898" spans="1:50">
      <c r="A9898" s="1">
        <f>HYPERLINK("https://lsnyc.legalserver.org/matter/dynamic-profile/view/1890598","19-1890598")</f>
        <v>0</v>
      </c>
      <c r="B9898" t="s">
        <v>193</v>
      </c>
      <c r="C9898" t="s">
        <v>340</v>
      </c>
      <c r="D9898" t="s">
        <v>745</v>
      </c>
      <c r="F9898" t="s">
        <v>1356</v>
      </c>
      <c r="G9898" t="s">
        <v>7258</v>
      </c>
      <c r="H9898" t="s">
        <v>12933</v>
      </c>
      <c r="I9898" t="s">
        <v>17352</v>
      </c>
      <c r="J9898" t="s">
        <v>18894</v>
      </c>
      <c r="K9898">
        <v>11218</v>
      </c>
      <c r="L9898" t="s">
        <v>18960</v>
      </c>
      <c r="M9898" t="s">
        <v>18960</v>
      </c>
      <c r="N9898" t="s">
        <v>22174</v>
      </c>
      <c r="O9898" t="s">
        <v>26523</v>
      </c>
      <c r="P9898" t="s">
        <v>26560</v>
      </c>
      <c r="R9898" t="s">
        <v>26586</v>
      </c>
      <c r="U9898" t="s">
        <v>26604</v>
      </c>
      <c r="X9898">
        <v>1442</v>
      </c>
      <c r="Y9898" t="s">
        <v>26652</v>
      </c>
      <c r="Z9898" t="s">
        <v>26664</v>
      </c>
      <c r="AB9898" t="s">
        <v>30287</v>
      </c>
      <c r="AD9898" t="s">
        <v>40427</v>
      </c>
      <c r="AE9898">
        <v>80</v>
      </c>
      <c r="AH9898">
        <v>9</v>
      </c>
      <c r="AI9898">
        <v>1</v>
      </c>
      <c r="AJ9898">
        <v>0</v>
      </c>
      <c r="AK9898">
        <v>62.45</v>
      </c>
      <c r="AN9898" t="s">
        <v>7439</v>
      </c>
      <c r="AO9898">
        <v>7800</v>
      </c>
      <c r="AU9898">
        <v>14.4</v>
      </c>
      <c r="AV9898" t="s">
        <v>762</v>
      </c>
      <c r="AW9898" t="s">
        <v>281</v>
      </c>
    </row>
    <row r="9899" spans="1:50">
      <c r="A9899" s="1">
        <f>HYPERLINK("https://lsnyc.legalserver.org/matter/dynamic-profile/view/1890649","19-1890649")</f>
        <v>0</v>
      </c>
      <c r="B9899" t="s">
        <v>91</v>
      </c>
      <c r="C9899" t="s">
        <v>340</v>
      </c>
      <c r="D9899" t="s">
        <v>745</v>
      </c>
      <c r="F9899" t="s">
        <v>2276</v>
      </c>
      <c r="G9899" t="s">
        <v>6491</v>
      </c>
      <c r="H9899" t="s">
        <v>11696</v>
      </c>
      <c r="I9899" t="s">
        <v>17308</v>
      </c>
      <c r="J9899" t="s">
        <v>18907</v>
      </c>
      <c r="K9899">
        <v>11377</v>
      </c>
      <c r="L9899" t="s">
        <v>18958</v>
      </c>
      <c r="M9899" t="s">
        <v>18958</v>
      </c>
      <c r="N9899" t="s">
        <v>20872</v>
      </c>
      <c r="O9899" t="s">
        <v>26524</v>
      </c>
      <c r="P9899" t="s">
        <v>26560</v>
      </c>
      <c r="R9899" t="s">
        <v>26584</v>
      </c>
      <c r="S9899" t="s">
        <v>18959</v>
      </c>
      <c r="U9899" t="s">
        <v>26604</v>
      </c>
      <c r="V9899" t="s">
        <v>26612</v>
      </c>
      <c r="X9899">
        <v>640</v>
      </c>
      <c r="Y9899" t="s">
        <v>26653</v>
      </c>
      <c r="Z9899" t="s">
        <v>26664</v>
      </c>
      <c r="AB9899" t="s">
        <v>28920</v>
      </c>
      <c r="AD9899" t="s">
        <v>38977</v>
      </c>
      <c r="AE9899">
        <v>2</v>
      </c>
      <c r="AF9899" t="s">
        <v>45547</v>
      </c>
      <c r="AG9899" t="s">
        <v>19330</v>
      </c>
      <c r="AH9899">
        <v>1</v>
      </c>
      <c r="AI9899">
        <v>1</v>
      </c>
      <c r="AJ9899">
        <v>0</v>
      </c>
      <c r="AK9899">
        <v>160.13</v>
      </c>
      <c r="AN9899" t="s">
        <v>7439</v>
      </c>
      <c r="AO9899">
        <v>20000</v>
      </c>
      <c r="AU9899">
        <v>29.1</v>
      </c>
      <c r="AV9899" t="s">
        <v>834</v>
      </c>
      <c r="AW9899" t="s">
        <v>91</v>
      </c>
    </row>
    <row r="9900" spans="1:50">
      <c r="A9900" s="1">
        <f>HYPERLINK("https://lsnyc.legalserver.org/matter/dynamic-profile/view/1890513","19-1890513")</f>
        <v>0</v>
      </c>
      <c r="B9900" t="s">
        <v>87</v>
      </c>
      <c r="C9900" t="s">
        <v>340</v>
      </c>
      <c r="D9900" t="s">
        <v>745</v>
      </c>
      <c r="F9900" t="s">
        <v>1562</v>
      </c>
      <c r="G9900" t="s">
        <v>9200</v>
      </c>
      <c r="H9900" t="s">
        <v>13681</v>
      </c>
      <c r="I9900" t="s">
        <v>17325</v>
      </c>
      <c r="J9900" t="s">
        <v>18892</v>
      </c>
      <c r="K9900">
        <v>10473</v>
      </c>
      <c r="L9900" t="s">
        <v>18958</v>
      </c>
      <c r="M9900" t="s">
        <v>18958</v>
      </c>
      <c r="N9900" t="s">
        <v>25759</v>
      </c>
      <c r="O9900" t="s">
        <v>26523</v>
      </c>
      <c r="P9900" t="s">
        <v>26560</v>
      </c>
      <c r="R9900" t="s">
        <v>26577</v>
      </c>
      <c r="U9900" t="s">
        <v>26604</v>
      </c>
      <c r="V9900" t="s">
        <v>26610</v>
      </c>
      <c r="X9900">
        <v>1121</v>
      </c>
      <c r="Y9900" t="s">
        <v>26650</v>
      </c>
      <c r="Z9900" t="s">
        <v>26670</v>
      </c>
      <c r="AB9900" t="s">
        <v>33683</v>
      </c>
      <c r="AC9900" t="s">
        <v>36684</v>
      </c>
      <c r="AD9900" t="s">
        <v>44494</v>
      </c>
      <c r="AE9900">
        <v>0</v>
      </c>
      <c r="AF9900" t="s">
        <v>45541</v>
      </c>
      <c r="AH9900">
        <v>25</v>
      </c>
      <c r="AI9900">
        <v>2</v>
      </c>
      <c r="AJ9900">
        <v>0</v>
      </c>
      <c r="AK9900">
        <v>276.76</v>
      </c>
      <c r="AO9900">
        <v>46800</v>
      </c>
      <c r="AP9900" t="s">
        <v>46222</v>
      </c>
      <c r="AU9900">
        <v>24.4</v>
      </c>
      <c r="AV9900" t="s">
        <v>806</v>
      </c>
      <c r="AW9900" t="s">
        <v>334</v>
      </c>
    </row>
    <row r="9901" spans="1:50">
      <c r="A9901" s="1">
        <f>HYPERLINK("https://lsnyc.legalserver.org/matter/dynamic-profile/view/1890727","19-1890727")</f>
        <v>0</v>
      </c>
      <c r="B9901" t="s">
        <v>128</v>
      </c>
      <c r="C9901" t="s">
        <v>341</v>
      </c>
      <c r="D9901" t="s">
        <v>737</v>
      </c>
      <c r="E9901" t="s">
        <v>830</v>
      </c>
      <c r="F9901" t="s">
        <v>4689</v>
      </c>
      <c r="G9901" t="s">
        <v>4398</v>
      </c>
      <c r="H9901" t="s">
        <v>16372</v>
      </c>
      <c r="I9901" t="s">
        <v>17307</v>
      </c>
      <c r="J9901" t="s">
        <v>18894</v>
      </c>
      <c r="K9901">
        <v>11216</v>
      </c>
      <c r="L9901" t="s">
        <v>18960</v>
      </c>
      <c r="M9901" t="s">
        <v>18960</v>
      </c>
      <c r="N9901" t="s">
        <v>25760</v>
      </c>
      <c r="O9901" t="s">
        <v>26523</v>
      </c>
      <c r="P9901" t="s">
        <v>26560</v>
      </c>
      <c r="Q9901" t="s">
        <v>26568</v>
      </c>
      <c r="R9901" t="s">
        <v>26588</v>
      </c>
      <c r="S9901" t="s">
        <v>18959</v>
      </c>
      <c r="U9901" t="s">
        <v>26605</v>
      </c>
      <c r="V9901" t="s">
        <v>26610</v>
      </c>
      <c r="X9901">
        <v>0</v>
      </c>
      <c r="Y9901" t="s">
        <v>26652</v>
      </c>
      <c r="AA9901" t="s">
        <v>26680</v>
      </c>
      <c r="AB9901" t="s">
        <v>33684</v>
      </c>
      <c r="AE9901">
        <v>0</v>
      </c>
      <c r="AF9901" t="s">
        <v>45549</v>
      </c>
      <c r="AH9901">
        <v>0</v>
      </c>
      <c r="AI9901">
        <v>2</v>
      </c>
      <c r="AJ9901">
        <v>7</v>
      </c>
      <c r="AK9901">
        <v>70.69</v>
      </c>
      <c r="AN9901" t="s">
        <v>7439</v>
      </c>
      <c r="AO9901">
        <v>33826</v>
      </c>
      <c r="AR9901" t="s">
        <v>46379</v>
      </c>
      <c r="AS9901" t="s">
        <v>46499</v>
      </c>
      <c r="AT9901" t="s">
        <v>46687</v>
      </c>
      <c r="AU9901">
        <v>0.6</v>
      </c>
      <c r="AV9901" t="s">
        <v>765</v>
      </c>
      <c r="AW9901" t="s">
        <v>281</v>
      </c>
    </row>
    <row r="9902" spans="1:50">
      <c r="A9902" s="1">
        <f>HYPERLINK("https://lsnyc.legalserver.org/matter/dynamic-profile/view/1890748","19-1890748")</f>
        <v>0</v>
      </c>
      <c r="B9902" t="s">
        <v>198</v>
      </c>
      <c r="C9902" t="s">
        <v>341</v>
      </c>
      <c r="D9902" t="s">
        <v>737</v>
      </c>
      <c r="E9902" t="s">
        <v>723</v>
      </c>
      <c r="F9902" t="s">
        <v>2816</v>
      </c>
      <c r="G9902" t="s">
        <v>9201</v>
      </c>
      <c r="H9902" t="s">
        <v>16373</v>
      </c>
      <c r="I9902" t="s">
        <v>17293</v>
      </c>
      <c r="J9902" t="s">
        <v>18894</v>
      </c>
      <c r="K9902">
        <v>11217</v>
      </c>
      <c r="L9902" t="s">
        <v>18960</v>
      </c>
      <c r="M9902" t="s">
        <v>18960</v>
      </c>
      <c r="Q9902" t="s">
        <v>26570</v>
      </c>
      <c r="R9902" t="s">
        <v>26578</v>
      </c>
      <c r="U9902" t="s">
        <v>26604</v>
      </c>
      <c r="X9902">
        <v>0</v>
      </c>
      <c r="Y9902" t="s">
        <v>26652</v>
      </c>
      <c r="AA9902" t="s">
        <v>26683</v>
      </c>
      <c r="AB9902" t="s">
        <v>33685</v>
      </c>
      <c r="AD9902" t="s">
        <v>44495</v>
      </c>
      <c r="AE9902">
        <v>0</v>
      </c>
      <c r="AH9902">
        <v>0</v>
      </c>
      <c r="AI9902">
        <v>2</v>
      </c>
      <c r="AJ9902">
        <v>0</v>
      </c>
      <c r="AK9902">
        <v>56.77</v>
      </c>
      <c r="AN9902" t="s">
        <v>7439</v>
      </c>
      <c r="AO9902">
        <v>9600</v>
      </c>
      <c r="AU9902">
        <v>1.3</v>
      </c>
      <c r="AV9902" t="s">
        <v>723</v>
      </c>
      <c r="AW9902" t="s">
        <v>198</v>
      </c>
    </row>
    <row r="9903" spans="1:50">
      <c r="A9903" s="1">
        <f>HYPERLINK("https://lsnyc.legalserver.org/matter/dynamic-profile/view/1890725","19-1890725")</f>
        <v>0</v>
      </c>
      <c r="B9903" t="s">
        <v>66</v>
      </c>
      <c r="C9903" t="s">
        <v>340</v>
      </c>
      <c r="D9903" t="s">
        <v>737</v>
      </c>
      <c r="F9903" t="s">
        <v>928</v>
      </c>
      <c r="G9903" t="s">
        <v>9202</v>
      </c>
      <c r="H9903" t="s">
        <v>16374</v>
      </c>
      <c r="I9903">
        <v>56</v>
      </c>
      <c r="J9903" t="s">
        <v>18893</v>
      </c>
      <c r="K9903">
        <v>10031</v>
      </c>
      <c r="L9903" t="s">
        <v>18958</v>
      </c>
      <c r="M9903" t="s">
        <v>18958</v>
      </c>
      <c r="N9903" t="s">
        <v>25761</v>
      </c>
      <c r="O9903" t="s">
        <v>26524</v>
      </c>
      <c r="P9903" t="s">
        <v>26560</v>
      </c>
      <c r="R9903" t="s">
        <v>26580</v>
      </c>
      <c r="S9903" t="s">
        <v>18959</v>
      </c>
      <c r="U9903" t="s">
        <v>26604</v>
      </c>
      <c r="X9903">
        <v>1100</v>
      </c>
      <c r="Y9903" t="s">
        <v>26651</v>
      </c>
      <c r="Z9903" t="s">
        <v>26668</v>
      </c>
      <c r="AB9903" t="s">
        <v>33686</v>
      </c>
      <c r="AD9903" t="s">
        <v>44496</v>
      </c>
      <c r="AE9903">
        <v>0</v>
      </c>
      <c r="AG9903" t="s">
        <v>45556</v>
      </c>
      <c r="AH9903">
        <v>30</v>
      </c>
      <c r="AI9903">
        <v>1</v>
      </c>
      <c r="AJ9903">
        <v>0</v>
      </c>
      <c r="AK9903">
        <v>81.67</v>
      </c>
      <c r="AN9903" t="s">
        <v>7439</v>
      </c>
      <c r="AO9903">
        <v>10200</v>
      </c>
      <c r="AU9903">
        <v>30.25</v>
      </c>
      <c r="AV9903" t="s">
        <v>836</v>
      </c>
      <c r="AW9903" t="s">
        <v>314</v>
      </c>
    </row>
    <row r="9904" spans="1:50">
      <c r="A9904" s="1">
        <f>HYPERLINK("https://lsnyc.legalserver.org/matter/dynamic-profile/view/1890745","19-1890745")</f>
        <v>0</v>
      </c>
      <c r="B9904" t="s">
        <v>60</v>
      </c>
      <c r="C9904" t="s">
        <v>340</v>
      </c>
      <c r="D9904" t="s">
        <v>737</v>
      </c>
      <c r="F9904" t="s">
        <v>4172</v>
      </c>
      <c r="G9904" t="s">
        <v>5075</v>
      </c>
      <c r="H9904" t="s">
        <v>15167</v>
      </c>
      <c r="I9904" t="s">
        <v>17274</v>
      </c>
      <c r="J9904" t="s">
        <v>18892</v>
      </c>
      <c r="K9904">
        <v>10452</v>
      </c>
      <c r="L9904" t="s">
        <v>18960</v>
      </c>
      <c r="M9904" t="s">
        <v>18960</v>
      </c>
      <c r="O9904" t="s">
        <v>18997</v>
      </c>
      <c r="P9904" t="s">
        <v>26564</v>
      </c>
      <c r="R9904" t="s">
        <v>26591</v>
      </c>
      <c r="S9904" t="s">
        <v>18958</v>
      </c>
      <c r="U9904" t="s">
        <v>26604</v>
      </c>
      <c r="X9904">
        <v>1189</v>
      </c>
      <c r="Y9904" t="s">
        <v>26650</v>
      </c>
      <c r="Z9904" t="s">
        <v>26673</v>
      </c>
      <c r="AB9904" t="s">
        <v>32641</v>
      </c>
      <c r="AD9904" t="s">
        <v>43134</v>
      </c>
      <c r="AE9904">
        <v>25</v>
      </c>
      <c r="AF9904" t="s">
        <v>20460</v>
      </c>
      <c r="AG9904" t="s">
        <v>19330</v>
      </c>
      <c r="AH9904">
        <v>4</v>
      </c>
      <c r="AI9904">
        <v>1</v>
      </c>
      <c r="AJ9904">
        <v>2</v>
      </c>
      <c r="AK9904">
        <v>84.58</v>
      </c>
      <c r="AN9904" t="s">
        <v>7439</v>
      </c>
      <c r="AO9904">
        <v>18040</v>
      </c>
      <c r="AP9904" t="s">
        <v>46223</v>
      </c>
      <c r="AU9904">
        <v>1.35</v>
      </c>
      <c r="AV9904" t="s">
        <v>741</v>
      </c>
      <c r="AW9904" t="s">
        <v>46829</v>
      </c>
    </row>
    <row r="9905" spans="1:49">
      <c r="A9905" s="1">
        <f>HYPERLINK("https://lsnyc.legalserver.org/matter/dynamic-profile/view/1890800","19-1890800")</f>
        <v>0</v>
      </c>
      <c r="B9905" t="s">
        <v>151</v>
      </c>
      <c r="C9905" t="s">
        <v>340</v>
      </c>
      <c r="D9905" t="s">
        <v>737</v>
      </c>
      <c r="F9905" t="s">
        <v>4690</v>
      </c>
      <c r="G9905" t="s">
        <v>9203</v>
      </c>
      <c r="H9905" t="s">
        <v>16375</v>
      </c>
      <c r="I9905">
        <v>34</v>
      </c>
      <c r="J9905" t="s">
        <v>18893</v>
      </c>
      <c r="K9905">
        <v>10027</v>
      </c>
      <c r="L9905" t="s">
        <v>18958</v>
      </c>
      <c r="M9905" t="s">
        <v>18958</v>
      </c>
      <c r="N9905" t="s">
        <v>25762</v>
      </c>
      <c r="O9905" t="s">
        <v>26523</v>
      </c>
      <c r="P9905" t="s">
        <v>26560</v>
      </c>
      <c r="R9905" t="s">
        <v>26580</v>
      </c>
      <c r="S9905" t="s">
        <v>18959</v>
      </c>
      <c r="U9905" t="s">
        <v>26604</v>
      </c>
      <c r="V9905" t="s">
        <v>26610</v>
      </c>
      <c r="X9905">
        <v>434.37</v>
      </c>
      <c r="Y9905" t="s">
        <v>26651</v>
      </c>
      <c r="AB9905" t="s">
        <v>33687</v>
      </c>
      <c r="AC9905" t="s">
        <v>36685</v>
      </c>
      <c r="AD9905" t="s">
        <v>44497</v>
      </c>
      <c r="AE9905">
        <v>0</v>
      </c>
      <c r="AF9905" t="s">
        <v>20460</v>
      </c>
      <c r="AG9905" t="s">
        <v>19330</v>
      </c>
      <c r="AH9905">
        <v>30</v>
      </c>
      <c r="AI9905">
        <v>1</v>
      </c>
      <c r="AJ9905">
        <v>0</v>
      </c>
      <c r="AK9905">
        <v>69.18000000000001</v>
      </c>
      <c r="AN9905" t="s">
        <v>7439</v>
      </c>
      <c r="AO9905">
        <v>8640</v>
      </c>
      <c r="AU9905">
        <v>6.2</v>
      </c>
      <c r="AV9905" t="s">
        <v>803</v>
      </c>
      <c r="AW9905" t="s">
        <v>314</v>
      </c>
    </row>
    <row r="9906" spans="1:49">
      <c r="A9906" s="1">
        <f>HYPERLINK("https://lsnyc.legalserver.org/matter/dynamic-profile/view/1890731","19-1890731")</f>
        <v>0</v>
      </c>
      <c r="B9906" t="s">
        <v>67</v>
      </c>
      <c r="C9906" t="s">
        <v>340</v>
      </c>
      <c r="D9906" t="s">
        <v>737</v>
      </c>
      <c r="F9906" t="s">
        <v>871</v>
      </c>
      <c r="G9906" t="s">
        <v>5103</v>
      </c>
      <c r="H9906" t="s">
        <v>16248</v>
      </c>
      <c r="I9906" t="s">
        <v>17284</v>
      </c>
      <c r="J9906" t="s">
        <v>18892</v>
      </c>
      <c r="K9906">
        <v>10456</v>
      </c>
      <c r="L9906" t="s">
        <v>18958</v>
      </c>
      <c r="M9906" t="s">
        <v>18958</v>
      </c>
      <c r="O9906" t="s">
        <v>26528</v>
      </c>
      <c r="P9906" t="s">
        <v>26560</v>
      </c>
      <c r="R9906" t="s">
        <v>26578</v>
      </c>
      <c r="S9906" t="s">
        <v>18958</v>
      </c>
      <c r="U9906" t="s">
        <v>26604</v>
      </c>
      <c r="X9906">
        <v>380.89</v>
      </c>
      <c r="Y9906" t="s">
        <v>26650</v>
      </c>
      <c r="Z9906" t="s">
        <v>26655</v>
      </c>
      <c r="AB9906" t="s">
        <v>33688</v>
      </c>
      <c r="AE9906">
        <v>0</v>
      </c>
      <c r="AF9906" t="s">
        <v>45548</v>
      </c>
      <c r="AG9906" t="s">
        <v>45559</v>
      </c>
      <c r="AH9906">
        <v>50</v>
      </c>
      <c r="AI9906">
        <v>3</v>
      </c>
      <c r="AJ9906">
        <v>0</v>
      </c>
      <c r="AK9906">
        <v>86.75</v>
      </c>
      <c r="AN9906" t="s">
        <v>45581</v>
      </c>
      <c r="AO9906">
        <v>18504</v>
      </c>
      <c r="AU9906">
        <v>5.5</v>
      </c>
      <c r="AV9906" t="s">
        <v>771</v>
      </c>
      <c r="AW9906" t="s">
        <v>226</v>
      </c>
    </row>
    <row r="9907" spans="1:49">
      <c r="A9907" s="1">
        <f>HYPERLINK("https://lsnyc.legalserver.org/matter/dynamic-profile/view/1890736","19-1890736")</f>
        <v>0</v>
      </c>
      <c r="B9907" t="s">
        <v>67</v>
      </c>
      <c r="C9907" t="s">
        <v>340</v>
      </c>
      <c r="D9907" t="s">
        <v>737</v>
      </c>
      <c r="F9907" t="s">
        <v>4691</v>
      </c>
      <c r="G9907" t="s">
        <v>5785</v>
      </c>
      <c r="H9907" t="s">
        <v>16248</v>
      </c>
      <c r="I9907" t="s">
        <v>17354</v>
      </c>
      <c r="J9907" t="s">
        <v>18892</v>
      </c>
      <c r="K9907">
        <v>10456</v>
      </c>
      <c r="L9907" t="s">
        <v>18958</v>
      </c>
      <c r="M9907" t="s">
        <v>18958</v>
      </c>
      <c r="O9907" t="s">
        <v>26528</v>
      </c>
      <c r="P9907" t="s">
        <v>26560</v>
      </c>
      <c r="R9907" t="s">
        <v>26578</v>
      </c>
      <c r="S9907" t="s">
        <v>18958</v>
      </c>
      <c r="U9907" t="s">
        <v>26604</v>
      </c>
      <c r="X9907">
        <v>972.76</v>
      </c>
      <c r="Y9907" t="s">
        <v>26650</v>
      </c>
      <c r="Z9907" t="s">
        <v>26655</v>
      </c>
      <c r="AB9907" t="s">
        <v>33689</v>
      </c>
      <c r="AE9907">
        <v>0</v>
      </c>
      <c r="AF9907" t="s">
        <v>45541</v>
      </c>
      <c r="AG9907" t="s">
        <v>19330</v>
      </c>
      <c r="AH9907">
        <v>28</v>
      </c>
      <c r="AI9907">
        <v>1</v>
      </c>
      <c r="AJ9907">
        <v>0</v>
      </c>
      <c r="AK9907">
        <v>224.18</v>
      </c>
      <c r="AN9907" t="s">
        <v>7439</v>
      </c>
      <c r="AO9907">
        <v>28000</v>
      </c>
      <c r="AU9907">
        <v>0</v>
      </c>
      <c r="AW9907" t="s">
        <v>226</v>
      </c>
    </row>
    <row r="9908" spans="1:49">
      <c r="A9908" s="1">
        <f>HYPERLINK("https://lsnyc.legalserver.org/matter/dynamic-profile/view/1890779","19-1890779")</f>
        <v>0</v>
      </c>
      <c r="B9908" t="s">
        <v>67</v>
      </c>
      <c r="C9908" t="s">
        <v>340</v>
      </c>
      <c r="D9908" t="s">
        <v>737</v>
      </c>
      <c r="F9908" t="s">
        <v>896</v>
      </c>
      <c r="G9908" t="s">
        <v>5349</v>
      </c>
      <c r="H9908" t="s">
        <v>16248</v>
      </c>
      <c r="I9908" t="s">
        <v>17277</v>
      </c>
      <c r="J9908" t="s">
        <v>18892</v>
      </c>
      <c r="K9908">
        <v>10456</v>
      </c>
      <c r="L9908" t="s">
        <v>18958</v>
      </c>
      <c r="M9908" t="s">
        <v>18958</v>
      </c>
      <c r="O9908" t="s">
        <v>26528</v>
      </c>
      <c r="P9908" t="s">
        <v>26560</v>
      </c>
      <c r="R9908" t="s">
        <v>26578</v>
      </c>
      <c r="S9908" t="s">
        <v>18958</v>
      </c>
      <c r="U9908" t="s">
        <v>26604</v>
      </c>
      <c r="X9908">
        <v>1800</v>
      </c>
      <c r="Y9908" t="s">
        <v>26650</v>
      </c>
      <c r="Z9908" t="s">
        <v>26655</v>
      </c>
      <c r="AB9908" t="s">
        <v>33690</v>
      </c>
      <c r="AE9908">
        <v>0</v>
      </c>
      <c r="AF9908" t="s">
        <v>45541</v>
      </c>
      <c r="AG9908" t="s">
        <v>19330</v>
      </c>
      <c r="AH9908">
        <v>0</v>
      </c>
      <c r="AI9908">
        <v>3</v>
      </c>
      <c r="AJ9908">
        <v>0</v>
      </c>
      <c r="AK9908">
        <v>344.96</v>
      </c>
      <c r="AN9908" t="s">
        <v>45581</v>
      </c>
      <c r="AO9908">
        <v>73580</v>
      </c>
      <c r="AU9908">
        <v>0</v>
      </c>
      <c r="AW9908" t="s">
        <v>226</v>
      </c>
    </row>
    <row r="9909" spans="1:49">
      <c r="A9909" s="1">
        <f>HYPERLINK("https://lsnyc.legalserver.org/matter/dynamic-profile/view/1890695","19-1890695")</f>
        <v>0</v>
      </c>
      <c r="B9909" t="s">
        <v>191</v>
      </c>
      <c r="C9909" t="s">
        <v>340</v>
      </c>
      <c r="D9909" t="s">
        <v>737</v>
      </c>
      <c r="F9909" t="s">
        <v>1251</v>
      </c>
      <c r="G9909" t="s">
        <v>5225</v>
      </c>
      <c r="H9909" t="s">
        <v>16376</v>
      </c>
      <c r="I9909" t="s">
        <v>17322</v>
      </c>
      <c r="J9909" t="s">
        <v>18893</v>
      </c>
      <c r="K9909">
        <v>10025</v>
      </c>
      <c r="L9909" t="s">
        <v>18958</v>
      </c>
      <c r="M9909" t="s">
        <v>18958</v>
      </c>
      <c r="N9909" t="s">
        <v>25763</v>
      </c>
      <c r="O9909" t="s">
        <v>26524</v>
      </c>
      <c r="P9909" t="s">
        <v>26560</v>
      </c>
      <c r="R9909" t="s">
        <v>26580</v>
      </c>
      <c r="S9909" t="s">
        <v>18959</v>
      </c>
      <c r="U9909" t="s">
        <v>26605</v>
      </c>
      <c r="X9909">
        <v>1443</v>
      </c>
      <c r="Y9909" t="s">
        <v>26651</v>
      </c>
      <c r="Z9909" t="s">
        <v>26530</v>
      </c>
      <c r="AB9909" t="s">
        <v>33691</v>
      </c>
      <c r="AD9909" t="s">
        <v>44498</v>
      </c>
      <c r="AE9909">
        <v>0</v>
      </c>
      <c r="AF9909" t="s">
        <v>45548</v>
      </c>
      <c r="AG9909" t="s">
        <v>19330</v>
      </c>
      <c r="AH9909">
        <v>50</v>
      </c>
      <c r="AI9909">
        <v>2</v>
      </c>
      <c r="AJ9909">
        <v>0</v>
      </c>
      <c r="AK9909">
        <v>175.99</v>
      </c>
      <c r="AN9909" t="s">
        <v>7439</v>
      </c>
      <c r="AO9909">
        <v>29760</v>
      </c>
      <c r="AU9909">
        <v>22.05</v>
      </c>
      <c r="AV9909" t="s">
        <v>838</v>
      </c>
      <c r="AW9909" t="s">
        <v>314</v>
      </c>
    </row>
    <row r="9910" spans="1:49">
      <c r="A9910" s="1">
        <f>HYPERLINK("https://lsnyc.legalserver.org/matter/dynamic-profile/view/1890832","19-1890832")</f>
        <v>0</v>
      </c>
      <c r="B9910" t="s">
        <v>75</v>
      </c>
      <c r="C9910" t="s">
        <v>341</v>
      </c>
      <c r="D9910" t="s">
        <v>731</v>
      </c>
      <c r="E9910" t="s">
        <v>815</v>
      </c>
      <c r="F9910" t="s">
        <v>4692</v>
      </c>
      <c r="G9910" t="s">
        <v>9172</v>
      </c>
      <c r="H9910" t="s">
        <v>16377</v>
      </c>
      <c r="I9910">
        <v>17</v>
      </c>
      <c r="J9910" t="s">
        <v>18892</v>
      </c>
      <c r="K9910">
        <v>10457</v>
      </c>
      <c r="L9910" t="s">
        <v>18960</v>
      </c>
      <c r="M9910" t="s">
        <v>18960</v>
      </c>
      <c r="N9910" t="s">
        <v>25764</v>
      </c>
      <c r="O9910" t="s">
        <v>26523</v>
      </c>
      <c r="P9910" t="s">
        <v>26564</v>
      </c>
      <c r="Q9910" t="s">
        <v>26570</v>
      </c>
      <c r="R9910" t="s">
        <v>26591</v>
      </c>
      <c r="U9910" t="s">
        <v>26604</v>
      </c>
      <c r="X9910">
        <v>0</v>
      </c>
      <c r="Y9910" t="s">
        <v>26650</v>
      </c>
      <c r="AA9910" t="s">
        <v>26683</v>
      </c>
      <c r="AB9910" t="s">
        <v>33212</v>
      </c>
      <c r="AD9910" t="s">
        <v>44499</v>
      </c>
      <c r="AE9910">
        <v>0</v>
      </c>
      <c r="AH9910">
        <v>0</v>
      </c>
      <c r="AI9910">
        <v>1</v>
      </c>
      <c r="AJ9910">
        <v>2</v>
      </c>
      <c r="AK9910">
        <v>71.81999999999999</v>
      </c>
      <c r="AN9910" t="s">
        <v>45581</v>
      </c>
      <c r="AO9910">
        <v>15320</v>
      </c>
      <c r="AP9910" t="s">
        <v>46224</v>
      </c>
      <c r="AU9910">
        <v>0.9</v>
      </c>
      <c r="AV9910" t="s">
        <v>756</v>
      </c>
      <c r="AW9910" t="s">
        <v>46849</v>
      </c>
    </row>
    <row r="9911" spans="1:49">
      <c r="A9911" s="1">
        <f>HYPERLINK("https://lsnyc.legalserver.org/matter/dynamic-profile/view/1890888","19-1890888")</f>
        <v>0</v>
      </c>
      <c r="B9911" t="s">
        <v>279</v>
      </c>
      <c r="C9911" t="s">
        <v>341</v>
      </c>
      <c r="D9911" t="s">
        <v>731</v>
      </c>
      <c r="E9911" t="s">
        <v>780</v>
      </c>
      <c r="F9911" t="s">
        <v>1878</v>
      </c>
      <c r="G9911" t="s">
        <v>9204</v>
      </c>
      <c r="H9911" t="s">
        <v>16378</v>
      </c>
      <c r="I9911" t="s">
        <v>17309</v>
      </c>
      <c r="J9911" t="s">
        <v>18894</v>
      </c>
      <c r="K9911">
        <v>11223</v>
      </c>
      <c r="L9911" t="s">
        <v>18960</v>
      </c>
      <c r="M9911" t="s">
        <v>18960</v>
      </c>
      <c r="N9911" t="s">
        <v>25765</v>
      </c>
      <c r="O9911" t="s">
        <v>26523</v>
      </c>
      <c r="Q9911" t="s">
        <v>26570</v>
      </c>
      <c r="R9911" t="s">
        <v>26591</v>
      </c>
      <c r="S9911" t="s">
        <v>18959</v>
      </c>
      <c r="U9911" t="s">
        <v>26604</v>
      </c>
      <c r="V9911" t="s">
        <v>26610</v>
      </c>
      <c r="X9911">
        <v>895</v>
      </c>
      <c r="Y9911" t="s">
        <v>26652</v>
      </c>
      <c r="Z9911" t="s">
        <v>26659</v>
      </c>
      <c r="AA9911" t="s">
        <v>26683</v>
      </c>
      <c r="AB9911" t="s">
        <v>33692</v>
      </c>
      <c r="AD9911" t="s">
        <v>44500</v>
      </c>
      <c r="AE9911">
        <v>8</v>
      </c>
      <c r="AF9911" t="s">
        <v>45547</v>
      </c>
      <c r="AG9911" t="s">
        <v>19330</v>
      </c>
      <c r="AH9911">
        <v>34</v>
      </c>
      <c r="AI9911">
        <v>1</v>
      </c>
      <c r="AJ9911">
        <v>0</v>
      </c>
      <c r="AK9911">
        <v>80.31999999999999</v>
      </c>
      <c r="AN9911" t="s">
        <v>7439</v>
      </c>
      <c r="AO9911">
        <v>10032</v>
      </c>
      <c r="AU9911">
        <v>0.5</v>
      </c>
      <c r="AV9911" t="s">
        <v>731</v>
      </c>
      <c r="AW9911" t="s">
        <v>46841</v>
      </c>
    </row>
    <row r="9912" spans="1:49">
      <c r="A9912" s="1">
        <f>HYPERLINK("https://lsnyc.legalserver.org/matter/dynamic-profile/view/1890975","19-1890975")</f>
        <v>0</v>
      </c>
      <c r="B9912" t="s">
        <v>105</v>
      </c>
      <c r="C9912" t="s">
        <v>340</v>
      </c>
      <c r="D9912" t="s">
        <v>731</v>
      </c>
      <c r="F9912" t="s">
        <v>928</v>
      </c>
      <c r="G9912" t="s">
        <v>5147</v>
      </c>
      <c r="H9912" t="s">
        <v>16379</v>
      </c>
      <c r="I9912" t="s">
        <v>18435</v>
      </c>
      <c r="J9912" t="s">
        <v>18911</v>
      </c>
      <c r="K9912">
        <v>11375</v>
      </c>
      <c r="L9912" t="s">
        <v>18958</v>
      </c>
      <c r="M9912" t="s">
        <v>18958</v>
      </c>
      <c r="N9912" t="s">
        <v>25766</v>
      </c>
      <c r="O9912" t="s">
        <v>26523</v>
      </c>
      <c r="P9912" t="s">
        <v>26563</v>
      </c>
      <c r="R9912" t="s">
        <v>26584</v>
      </c>
      <c r="S9912" t="s">
        <v>18959</v>
      </c>
      <c r="U9912" t="s">
        <v>26604</v>
      </c>
      <c r="V9912" t="s">
        <v>26609</v>
      </c>
      <c r="X9912">
        <v>1570</v>
      </c>
      <c r="Y9912" t="s">
        <v>26653</v>
      </c>
      <c r="Z9912" t="s">
        <v>26664</v>
      </c>
      <c r="AB9912" t="s">
        <v>33693</v>
      </c>
      <c r="AD9912" t="s">
        <v>44501</v>
      </c>
      <c r="AE9912">
        <v>120</v>
      </c>
      <c r="AF9912" t="s">
        <v>45541</v>
      </c>
      <c r="AG9912" t="s">
        <v>19330</v>
      </c>
      <c r="AH9912">
        <v>3</v>
      </c>
      <c r="AI9912">
        <v>1</v>
      </c>
      <c r="AJ9912">
        <v>0</v>
      </c>
      <c r="AK9912">
        <v>68.05</v>
      </c>
      <c r="AN9912" t="s">
        <v>7439</v>
      </c>
      <c r="AO9912">
        <v>8500</v>
      </c>
      <c r="AU9912">
        <v>0.25</v>
      </c>
      <c r="AV9912" t="s">
        <v>731</v>
      </c>
      <c r="AW9912" t="s">
        <v>161</v>
      </c>
    </row>
    <row r="9913" spans="1:49">
      <c r="A9913" s="1">
        <f>HYPERLINK("https://lsnyc.legalserver.org/matter/dynamic-profile/view/1890882","19-1890882")</f>
        <v>0</v>
      </c>
      <c r="B9913" t="s">
        <v>50</v>
      </c>
      <c r="C9913" t="s">
        <v>340</v>
      </c>
      <c r="D9913" t="s">
        <v>731</v>
      </c>
      <c r="F9913" t="s">
        <v>1555</v>
      </c>
      <c r="G9913" t="s">
        <v>1680</v>
      </c>
      <c r="H9913" t="s">
        <v>9971</v>
      </c>
      <c r="I9913" t="s">
        <v>17352</v>
      </c>
      <c r="J9913" t="s">
        <v>18892</v>
      </c>
      <c r="K9913">
        <v>10468</v>
      </c>
      <c r="L9913" t="s">
        <v>18958</v>
      </c>
      <c r="M9913" t="s">
        <v>18958</v>
      </c>
      <c r="O9913" t="s">
        <v>26526</v>
      </c>
      <c r="P9913" t="s">
        <v>26560</v>
      </c>
      <c r="R9913" t="s">
        <v>26577</v>
      </c>
      <c r="S9913" t="s">
        <v>18959</v>
      </c>
      <c r="U9913" t="s">
        <v>26604</v>
      </c>
      <c r="X9913">
        <v>1508</v>
      </c>
      <c r="Y9913" t="s">
        <v>26650</v>
      </c>
      <c r="Z9913" t="s">
        <v>26659</v>
      </c>
      <c r="AB9913" t="s">
        <v>30081</v>
      </c>
      <c r="AC9913" t="s">
        <v>35689</v>
      </c>
      <c r="AD9913" t="s">
        <v>40211</v>
      </c>
      <c r="AE9913">
        <v>46</v>
      </c>
      <c r="AF9913" t="s">
        <v>45541</v>
      </c>
      <c r="AG9913" t="s">
        <v>19330</v>
      </c>
      <c r="AH9913">
        <v>20</v>
      </c>
      <c r="AI9913">
        <v>3</v>
      </c>
      <c r="AJ9913">
        <v>0</v>
      </c>
      <c r="AK9913">
        <v>39.83</v>
      </c>
      <c r="AN9913" t="s">
        <v>7439</v>
      </c>
      <c r="AO9913">
        <v>8496</v>
      </c>
      <c r="AP9913" t="s">
        <v>46225</v>
      </c>
      <c r="AU9913">
        <v>1</v>
      </c>
      <c r="AV9913" t="s">
        <v>779</v>
      </c>
      <c r="AW9913" t="s">
        <v>46870</v>
      </c>
    </row>
    <row r="9914" spans="1:49">
      <c r="A9914" s="1">
        <f>HYPERLINK("https://lsnyc.legalserver.org/matter/dynamic-profile/view/1891121","19-1891121")</f>
        <v>0</v>
      </c>
      <c r="B9914" t="s">
        <v>230</v>
      </c>
      <c r="C9914" t="s">
        <v>341</v>
      </c>
      <c r="D9914" t="s">
        <v>740</v>
      </c>
      <c r="E9914" t="s">
        <v>830</v>
      </c>
      <c r="F9914" t="s">
        <v>1587</v>
      </c>
      <c r="G9914" t="s">
        <v>7755</v>
      </c>
      <c r="H9914" t="s">
        <v>13751</v>
      </c>
      <c r="I9914" t="s">
        <v>17277</v>
      </c>
      <c r="J9914" t="s">
        <v>18894</v>
      </c>
      <c r="K9914">
        <v>11233</v>
      </c>
      <c r="L9914" t="s">
        <v>18960</v>
      </c>
      <c r="M9914" t="s">
        <v>18960</v>
      </c>
      <c r="N9914" t="s">
        <v>23110</v>
      </c>
      <c r="O9914" t="s">
        <v>26523</v>
      </c>
      <c r="P9914" t="s">
        <v>26563</v>
      </c>
      <c r="Q9914" t="s">
        <v>26568</v>
      </c>
      <c r="R9914" t="s">
        <v>26586</v>
      </c>
      <c r="U9914" t="s">
        <v>26604</v>
      </c>
      <c r="X9914">
        <v>1995</v>
      </c>
      <c r="Y9914" t="s">
        <v>26652</v>
      </c>
      <c r="Z9914" t="s">
        <v>26664</v>
      </c>
      <c r="AA9914" t="s">
        <v>26678</v>
      </c>
      <c r="AB9914" t="s">
        <v>31204</v>
      </c>
      <c r="AE9914">
        <v>0</v>
      </c>
      <c r="AG9914" t="s">
        <v>19330</v>
      </c>
      <c r="AH9914">
        <v>1</v>
      </c>
      <c r="AI9914">
        <v>3</v>
      </c>
      <c r="AJ9914">
        <v>3</v>
      </c>
      <c r="AK9914">
        <v>0</v>
      </c>
      <c r="AN9914" t="s">
        <v>7439</v>
      </c>
      <c r="AO9914">
        <v>0</v>
      </c>
      <c r="AS9914" t="s">
        <v>46499</v>
      </c>
      <c r="AU9914">
        <v>26.1</v>
      </c>
      <c r="AV9914" t="s">
        <v>801</v>
      </c>
      <c r="AW9914" t="s">
        <v>46862</v>
      </c>
    </row>
    <row r="9915" spans="1:49">
      <c r="A9915" s="1">
        <f>HYPERLINK("https://lsnyc.legalserver.org/matter/dynamic-profile/view/1881458","18-1881458")</f>
        <v>0</v>
      </c>
      <c r="B9915" t="s">
        <v>309</v>
      </c>
      <c r="C9915" t="s">
        <v>341</v>
      </c>
      <c r="D9915" t="s">
        <v>740</v>
      </c>
      <c r="E9915" t="s">
        <v>740</v>
      </c>
      <c r="F9915" t="s">
        <v>4693</v>
      </c>
      <c r="G9915" t="s">
        <v>893</v>
      </c>
      <c r="H9915" t="s">
        <v>16380</v>
      </c>
      <c r="I9915">
        <v>2</v>
      </c>
      <c r="J9915" t="s">
        <v>18893</v>
      </c>
      <c r="K9915">
        <v>10031</v>
      </c>
      <c r="L9915" t="s">
        <v>18960</v>
      </c>
      <c r="M9915" t="s">
        <v>18960</v>
      </c>
      <c r="Q9915" t="s">
        <v>26570</v>
      </c>
      <c r="R9915" t="s">
        <v>26581</v>
      </c>
      <c r="U9915" t="s">
        <v>26604</v>
      </c>
      <c r="X9915">
        <v>0</v>
      </c>
      <c r="Y9915" t="s">
        <v>26651</v>
      </c>
      <c r="AA9915" t="s">
        <v>26683</v>
      </c>
      <c r="AB9915" t="s">
        <v>26872</v>
      </c>
      <c r="AE9915">
        <v>0</v>
      </c>
      <c r="AH9915">
        <v>0</v>
      </c>
      <c r="AI9915">
        <v>1</v>
      </c>
      <c r="AJ9915">
        <v>0</v>
      </c>
      <c r="AK9915">
        <v>288.3</v>
      </c>
      <c r="AN9915" t="s">
        <v>7439</v>
      </c>
      <c r="AO9915">
        <v>35000</v>
      </c>
      <c r="AU9915">
        <v>1.8</v>
      </c>
      <c r="AV9915" t="s">
        <v>740</v>
      </c>
      <c r="AW9915" t="s">
        <v>46874</v>
      </c>
    </row>
    <row r="9916" spans="1:49">
      <c r="A9916" s="1">
        <f>HYPERLINK("https://lsnyc.legalserver.org/matter/dynamic-profile/view/1891082","19-1891082")</f>
        <v>0</v>
      </c>
      <c r="B9916" t="s">
        <v>252</v>
      </c>
      <c r="C9916" t="s">
        <v>341</v>
      </c>
      <c r="D9916" t="s">
        <v>740</v>
      </c>
      <c r="E9916" t="s">
        <v>821</v>
      </c>
      <c r="F9916" t="s">
        <v>1328</v>
      </c>
      <c r="G9916" t="s">
        <v>6745</v>
      </c>
      <c r="H9916" t="s">
        <v>16381</v>
      </c>
      <c r="I9916" t="s">
        <v>17334</v>
      </c>
      <c r="J9916" t="s">
        <v>18894</v>
      </c>
      <c r="K9916">
        <v>11216</v>
      </c>
      <c r="L9916" t="s">
        <v>18960</v>
      </c>
      <c r="M9916" t="s">
        <v>18960</v>
      </c>
      <c r="Q9916" t="s">
        <v>26571</v>
      </c>
      <c r="R9916" t="s">
        <v>26583</v>
      </c>
      <c r="U9916" t="s">
        <v>26604</v>
      </c>
      <c r="X9916">
        <v>636.92</v>
      </c>
      <c r="Y9916" t="s">
        <v>26652</v>
      </c>
      <c r="Z9916" t="s">
        <v>26657</v>
      </c>
      <c r="AA9916" t="s">
        <v>26683</v>
      </c>
      <c r="AB9916" t="s">
        <v>33694</v>
      </c>
      <c r="AD9916" t="s">
        <v>44502</v>
      </c>
      <c r="AE9916">
        <v>6</v>
      </c>
      <c r="AF9916" t="s">
        <v>45548</v>
      </c>
      <c r="AG9916" t="s">
        <v>19330</v>
      </c>
      <c r="AH9916">
        <v>30</v>
      </c>
      <c r="AI9916">
        <v>1</v>
      </c>
      <c r="AJ9916">
        <v>0</v>
      </c>
      <c r="AK9916">
        <v>218.57</v>
      </c>
      <c r="AN9916" t="s">
        <v>7439</v>
      </c>
      <c r="AO9916">
        <v>27300</v>
      </c>
      <c r="AU9916">
        <v>4.1</v>
      </c>
      <c r="AV9916" t="s">
        <v>821</v>
      </c>
      <c r="AW9916" t="s">
        <v>46842</v>
      </c>
    </row>
    <row r="9917" spans="1:49">
      <c r="A9917" s="1">
        <f>HYPERLINK("https://lsnyc.legalserver.org/matter/dynamic-profile/view/1891108","19-1891108")</f>
        <v>0</v>
      </c>
      <c r="B9917" t="s">
        <v>179</v>
      </c>
      <c r="C9917" t="s">
        <v>340</v>
      </c>
      <c r="D9917" t="s">
        <v>740</v>
      </c>
      <c r="F9917" t="s">
        <v>1228</v>
      </c>
      <c r="G9917" t="s">
        <v>7223</v>
      </c>
      <c r="H9917" t="s">
        <v>16382</v>
      </c>
      <c r="I9917">
        <v>521</v>
      </c>
      <c r="J9917" t="s">
        <v>18894</v>
      </c>
      <c r="K9917">
        <v>11212</v>
      </c>
      <c r="L9917" t="s">
        <v>18960</v>
      </c>
      <c r="M9917" t="s">
        <v>18960</v>
      </c>
      <c r="P9917" t="s">
        <v>26561</v>
      </c>
      <c r="R9917" t="s">
        <v>26578</v>
      </c>
      <c r="U9917" t="s">
        <v>26604</v>
      </c>
      <c r="X9917">
        <v>160</v>
      </c>
      <c r="Y9917" t="s">
        <v>26652</v>
      </c>
      <c r="AB9917" t="s">
        <v>33695</v>
      </c>
      <c r="AD9917" t="s">
        <v>44503</v>
      </c>
      <c r="AE9917">
        <v>50</v>
      </c>
      <c r="AG9917" t="s">
        <v>45556</v>
      </c>
      <c r="AH9917">
        <v>5</v>
      </c>
      <c r="AI9917">
        <v>1</v>
      </c>
      <c r="AJ9917">
        <v>0</v>
      </c>
      <c r="AK9917">
        <v>104.92</v>
      </c>
      <c r="AN9917" t="s">
        <v>45581</v>
      </c>
      <c r="AO9917">
        <v>13104</v>
      </c>
      <c r="AU9917">
        <v>19.6</v>
      </c>
      <c r="AV9917" t="s">
        <v>838</v>
      </c>
      <c r="AW9917" t="s">
        <v>46857</v>
      </c>
    </row>
    <row r="9918" spans="1:49">
      <c r="A9918" s="1">
        <f>HYPERLINK("https://lsnyc.legalserver.org/matter/dynamic-profile/view/1890918","19-1890918")</f>
        <v>0</v>
      </c>
      <c r="B9918" t="s">
        <v>91</v>
      </c>
      <c r="C9918" t="s">
        <v>340</v>
      </c>
      <c r="D9918" t="s">
        <v>740</v>
      </c>
      <c r="F9918" t="s">
        <v>1221</v>
      </c>
      <c r="G9918" t="s">
        <v>1725</v>
      </c>
      <c r="H9918" t="s">
        <v>16383</v>
      </c>
      <c r="I9918" t="s">
        <v>18428</v>
      </c>
      <c r="J9918" t="s">
        <v>18899</v>
      </c>
      <c r="K9918">
        <v>11385</v>
      </c>
      <c r="L9918" t="s">
        <v>18958</v>
      </c>
      <c r="M9918" t="s">
        <v>18958</v>
      </c>
      <c r="N9918" t="s">
        <v>25767</v>
      </c>
      <c r="O9918" t="s">
        <v>26523</v>
      </c>
      <c r="P9918" t="s">
        <v>26564</v>
      </c>
      <c r="R9918" t="s">
        <v>26585</v>
      </c>
      <c r="S9918" t="s">
        <v>18959</v>
      </c>
      <c r="U9918" t="s">
        <v>26604</v>
      </c>
      <c r="V9918" t="s">
        <v>26614</v>
      </c>
      <c r="X9918">
        <v>1508</v>
      </c>
      <c r="Y9918" t="s">
        <v>26653</v>
      </c>
      <c r="Z9918" t="s">
        <v>26664</v>
      </c>
      <c r="AB9918" t="s">
        <v>28291</v>
      </c>
      <c r="AD9918" t="s">
        <v>44504</v>
      </c>
      <c r="AE9918">
        <v>0</v>
      </c>
      <c r="AF9918" t="s">
        <v>45541</v>
      </c>
      <c r="AH9918">
        <v>0</v>
      </c>
      <c r="AI9918">
        <v>1</v>
      </c>
      <c r="AJ9918">
        <v>1</v>
      </c>
      <c r="AK9918">
        <v>119.31</v>
      </c>
      <c r="AO9918">
        <v>20176</v>
      </c>
      <c r="AU9918">
        <v>0.6</v>
      </c>
      <c r="AV9918" t="s">
        <v>574</v>
      </c>
      <c r="AW9918" t="s">
        <v>91</v>
      </c>
    </row>
    <row r="9919" spans="1:49">
      <c r="A9919" s="1">
        <f>HYPERLINK("https://lsnyc.legalserver.org/matter/dynamic-profile/view/1890999","19-1890999")</f>
        <v>0</v>
      </c>
      <c r="B9919" t="s">
        <v>59</v>
      </c>
      <c r="C9919" t="s">
        <v>340</v>
      </c>
      <c r="D9919" t="s">
        <v>740</v>
      </c>
      <c r="F9919" t="s">
        <v>1191</v>
      </c>
      <c r="G9919" t="s">
        <v>9205</v>
      </c>
      <c r="H9919" t="s">
        <v>16384</v>
      </c>
      <c r="I9919" t="s">
        <v>17347</v>
      </c>
      <c r="J9919" t="s">
        <v>18893</v>
      </c>
      <c r="K9919">
        <v>10032</v>
      </c>
      <c r="L9919" t="s">
        <v>18958</v>
      </c>
      <c r="M9919" t="s">
        <v>18958</v>
      </c>
      <c r="N9919" t="s">
        <v>25768</v>
      </c>
      <c r="O9919" t="s">
        <v>26523</v>
      </c>
      <c r="P9919" t="s">
        <v>26563</v>
      </c>
      <c r="R9919" t="s">
        <v>26582</v>
      </c>
      <c r="S9919" t="s">
        <v>18959</v>
      </c>
      <c r="U9919" t="s">
        <v>26604</v>
      </c>
      <c r="X9919">
        <v>1081.42</v>
      </c>
      <c r="Y9919" t="s">
        <v>26651</v>
      </c>
      <c r="Z9919" t="s">
        <v>26660</v>
      </c>
      <c r="AB9919" t="s">
        <v>33696</v>
      </c>
      <c r="AD9919" t="s">
        <v>44505</v>
      </c>
      <c r="AE9919">
        <v>0</v>
      </c>
      <c r="AF9919" t="s">
        <v>45541</v>
      </c>
      <c r="AG9919" t="s">
        <v>19330</v>
      </c>
      <c r="AH9919">
        <v>39</v>
      </c>
      <c r="AI9919">
        <v>1</v>
      </c>
      <c r="AJ9919">
        <v>0</v>
      </c>
      <c r="AK9919">
        <v>136.14</v>
      </c>
      <c r="AN9919" t="s">
        <v>45596</v>
      </c>
      <c r="AO9919">
        <v>17004</v>
      </c>
      <c r="AU9919">
        <v>17.1</v>
      </c>
      <c r="AV9919" t="s">
        <v>839</v>
      </c>
      <c r="AW9919" t="s">
        <v>314</v>
      </c>
    </row>
    <row r="9920" spans="1:49">
      <c r="A9920" s="1">
        <f>HYPERLINK("https://lsnyc.legalserver.org/matter/dynamic-profile/view/1891207","19-1891207")</f>
        <v>0</v>
      </c>
      <c r="B9920" t="s">
        <v>280</v>
      </c>
      <c r="C9920" t="s">
        <v>341</v>
      </c>
      <c r="D9920" t="s">
        <v>756</v>
      </c>
      <c r="E9920" t="s">
        <v>751</v>
      </c>
      <c r="F9920" t="s">
        <v>4694</v>
      </c>
      <c r="G9920" t="s">
        <v>9206</v>
      </c>
      <c r="H9920" t="s">
        <v>16385</v>
      </c>
      <c r="J9920" t="s">
        <v>18915</v>
      </c>
      <c r="K9920">
        <v>11372</v>
      </c>
      <c r="L9920" t="s">
        <v>18959</v>
      </c>
      <c r="M9920" t="s">
        <v>18958</v>
      </c>
      <c r="N9920" t="s">
        <v>25769</v>
      </c>
      <c r="O9920" t="s">
        <v>26523</v>
      </c>
      <c r="P9920" t="s">
        <v>26565</v>
      </c>
      <c r="Q9920" t="s">
        <v>26571</v>
      </c>
      <c r="R9920" t="s">
        <v>26578</v>
      </c>
      <c r="S9920" t="s">
        <v>18959</v>
      </c>
      <c r="U9920" t="s">
        <v>26604</v>
      </c>
      <c r="V9920" t="s">
        <v>26610</v>
      </c>
      <c r="X9920">
        <v>1010.13</v>
      </c>
      <c r="Y9920" t="s">
        <v>26653</v>
      </c>
      <c r="Z9920" t="s">
        <v>26664</v>
      </c>
      <c r="AA9920" t="s">
        <v>26678</v>
      </c>
      <c r="AB9920" t="s">
        <v>33697</v>
      </c>
      <c r="AC9920" t="s">
        <v>34738</v>
      </c>
      <c r="AD9920" t="s">
        <v>44506</v>
      </c>
      <c r="AE9920">
        <v>50</v>
      </c>
      <c r="AF9920" t="s">
        <v>45541</v>
      </c>
      <c r="AH9920">
        <v>19</v>
      </c>
      <c r="AI9920">
        <v>3</v>
      </c>
      <c r="AJ9920">
        <v>0</v>
      </c>
      <c r="AK9920">
        <v>164.09</v>
      </c>
      <c r="AN9920" t="s">
        <v>45592</v>
      </c>
      <c r="AO9920">
        <v>35000</v>
      </c>
      <c r="AU9920">
        <v>1.6</v>
      </c>
      <c r="AV9920" t="s">
        <v>751</v>
      </c>
      <c r="AW9920" t="s">
        <v>91</v>
      </c>
    </row>
    <row r="9921" spans="1:49">
      <c r="A9921" s="1">
        <f>HYPERLINK("https://lsnyc.legalserver.org/matter/dynamic-profile/view/1891266","19-1891266")</f>
        <v>0</v>
      </c>
      <c r="B9921" t="s">
        <v>300</v>
      </c>
      <c r="C9921" t="s">
        <v>341</v>
      </c>
      <c r="D9921" t="s">
        <v>756</v>
      </c>
      <c r="E9921" t="s">
        <v>695</v>
      </c>
      <c r="F9921" t="s">
        <v>979</v>
      </c>
      <c r="G9921" t="s">
        <v>6065</v>
      </c>
      <c r="H9921" t="s">
        <v>16386</v>
      </c>
      <c r="I9921" t="s">
        <v>17360</v>
      </c>
      <c r="J9921" t="s">
        <v>18893</v>
      </c>
      <c r="K9921">
        <v>10034</v>
      </c>
      <c r="L9921" t="s">
        <v>18960</v>
      </c>
      <c r="M9921" t="s">
        <v>18960</v>
      </c>
      <c r="N9921" t="s">
        <v>25770</v>
      </c>
      <c r="O9921" t="s">
        <v>26524</v>
      </c>
      <c r="Q9921" t="s">
        <v>26570</v>
      </c>
      <c r="R9921" t="s">
        <v>26592</v>
      </c>
      <c r="S9921" t="s">
        <v>18959</v>
      </c>
      <c r="U9921" t="s">
        <v>26604</v>
      </c>
      <c r="X9921">
        <v>1375</v>
      </c>
      <c r="Y9921" t="s">
        <v>26651</v>
      </c>
      <c r="Z9921" t="s">
        <v>26659</v>
      </c>
      <c r="AA9921" t="s">
        <v>26683</v>
      </c>
      <c r="AB9921" t="s">
        <v>33698</v>
      </c>
      <c r="AD9921" t="s">
        <v>44507</v>
      </c>
      <c r="AE9921">
        <v>15</v>
      </c>
      <c r="AF9921" t="s">
        <v>45541</v>
      </c>
      <c r="AG9921" t="s">
        <v>19330</v>
      </c>
      <c r="AH9921">
        <v>5</v>
      </c>
      <c r="AI9921">
        <v>3</v>
      </c>
      <c r="AJ9921">
        <v>0</v>
      </c>
      <c r="AK9921">
        <v>97.05</v>
      </c>
      <c r="AN9921" t="s">
        <v>45581</v>
      </c>
      <c r="AO9921">
        <v>20700</v>
      </c>
      <c r="AU9921">
        <v>0.91</v>
      </c>
      <c r="AV9921" t="s">
        <v>759</v>
      </c>
      <c r="AW9921" t="s">
        <v>46860</v>
      </c>
    </row>
    <row r="9922" spans="1:49">
      <c r="A9922" s="1">
        <f>HYPERLINK("https://lsnyc.legalserver.org/matter/dynamic-profile/view/1891115","19-1891115")</f>
        <v>0</v>
      </c>
      <c r="B9922" t="s">
        <v>153</v>
      </c>
      <c r="C9922" t="s">
        <v>341</v>
      </c>
      <c r="D9922" t="s">
        <v>756</v>
      </c>
      <c r="E9922" t="s">
        <v>819</v>
      </c>
      <c r="F9922" t="s">
        <v>4695</v>
      </c>
      <c r="G9922" t="s">
        <v>9207</v>
      </c>
      <c r="H9922" t="s">
        <v>16387</v>
      </c>
      <c r="I9922" t="s">
        <v>18731</v>
      </c>
      <c r="J9922" t="s">
        <v>18902</v>
      </c>
      <c r="K9922">
        <v>10301</v>
      </c>
      <c r="L9922" t="s">
        <v>18960</v>
      </c>
      <c r="M9922" t="s">
        <v>18960</v>
      </c>
      <c r="Q9922" t="s">
        <v>26568</v>
      </c>
      <c r="R9922" t="s">
        <v>26578</v>
      </c>
      <c r="U9922" t="s">
        <v>26604</v>
      </c>
      <c r="X9922">
        <v>0</v>
      </c>
      <c r="Y9922" t="s">
        <v>26654</v>
      </c>
      <c r="AA9922" t="s">
        <v>26678</v>
      </c>
      <c r="AB9922" t="s">
        <v>33699</v>
      </c>
      <c r="AD9922" t="s">
        <v>44508</v>
      </c>
      <c r="AE9922">
        <v>0</v>
      </c>
      <c r="AH9922">
        <v>0</v>
      </c>
      <c r="AI9922">
        <v>3</v>
      </c>
      <c r="AJ9922">
        <v>1</v>
      </c>
      <c r="AK9922">
        <v>134.2</v>
      </c>
      <c r="AN9922" t="s">
        <v>7439</v>
      </c>
      <c r="AO9922">
        <v>34556</v>
      </c>
      <c r="AU9922">
        <v>14.8</v>
      </c>
      <c r="AV9922" t="s">
        <v>761</v>
      </c>
      <c r="AW9922" t="s">
        <v>46855</v>
      </c>
    </row>
    <row r="9923" spans="1:49">
      <c r="A9923" s="1">
        <f>HYPERLINK("https://lsnyc.legalserver.org/matter/dynamic-profile/view/1891238","19-1891238")</f>
        <v>0</v>
      </c>
      <c r="B9923" t="s">
        <v>162</v>
      </c>
      <c r="C9923" t="s">
        <v>341</v>
      </c>
      <c r="D9923" t="s">
        <v>756</v>
      </c>
      <c r="E9923" t="s">
        <v>836</v>
      </c>
      <c r="F9923" t="s">
        <v>2610</v>
      </c>
      <c r="G9923" t="s">
        <v>5100</v>
      </c>
      <c r="H9923" t="s">
        <v>16388</v>
      </c>
      <c r="I9923" t="s">
        <v>17550</v>
      </c>
      <c r="J9923" t="s">
        <v>18894</v>
      </c>
      <c r="K9923">
        <v>11220</v>
      </c>
      <c r="L9923" t="s">
        <v>18960</v>
      </c>
      <c r="M9923" t="s">
        <v>18960</v>
      </c>
      <c r="N9923" t="s">
        <v>25771</v>
      </c>
      <c r="O9923" t="s">
        <v>26523</v>
      </c>
      <c r="P9923" t="s">
        <v>26560</v>
      </c>
      <c r="Q9923" t="s">
        <v>26573</v>
      </c>
      <c r="R9923" t="s">
        <v>26586</v>
      </c>
      <c r="S9923" t="s">
        <v>18959</v>
      </c>
      <c r="U9923" t="s">
        <v>26604</v>
      </c>
      <c r="V9923" t="s">
        <v>26612</v>
      </c>
      <c r="X9923">
        <v>1273</v>
      </c>
      <c r="Y9923" t="s">
        <v>26652</v>
      </c>
      <c r="Z9923" t="s">
        <v>26664</v>
      </c>
      <c r="AA9923" t="s">
        <v>26678</v>
      </c>
      <c r="AB9923" t="s">
        <v>33700</v>
      </c>
      <c r="AE9923">
        <v>6</v>
      </c>
      <c r="AG9923" t="s">
        <v>45558</v>
      </c>
      <c r="AH9923">
        <v>5</v>
      </c>
      <c r="AI9923">
        <v>1</v>
      </c>
      <c r="AJ9923">
        <v>2</v>
      </c>
      <c r="AK9923">
        <v>3.99</v>
      </c>
      <c r="AN9923" t="s">
        <v>45581</v>
      </c>
      <c r="AO9923">
        <v>852</v>
      </c>
      <c r="AU9923">
        <v>28</v>
      </c>
      <c r="AV9923" t="s">
        <v>836</v>
      </c>
      <c r="AW9923" t="s">
        <v>281</v>
      </c>
    </row>
    <row r="9924" spans="1:49">
      <c r="A9924" s="1">
        <f>HYPERLINK("https://lsnyc.legalserver.org/matter/dynamic-profile/view/1891248","19-1891248")</f>
        <v>0</v>
      </c>
      <c r="B9924" t="s">
        <v>74</v>
      </c>
      <c r="C9924" t="s">
        <v>341</v>
      </c>
      <c r="D9924" t="s">
        <v>756</v>
      </c>
      <c r="E9924" t="s">
        <v>788</v>
      </c>
      <c r="F9924" t="s">
        <v>4696</v>
      </c>
      <c r="G9924" t="s">
        <v>7311</v>
      </c>
      <c r="H9924" t="s">
        <v>16389</v>
      </c>
      <c r="I9924" t="s">
        <v>17272</v>
      </c>
      <c r="J9924" t="s">
        <v>18893</v>
      </c>
      <c r="K9924">
        <v>10009</v>
      </c>
      <c r="L9924" t="s">
        <v>18960</v>
      </c>
      <c r="M9924" t="s">
        <v>18960</v>
      </c>
      <c r="N9924" t="s">
        <v>25772</v>
      </c>
      <c r="O9924" t="s">
        <v>26523</v>
      </c>
      <c r="P9924" t="s">
        <v>26564</v>
      </c>
      <c r="Q9924" t="s">
        <v>26570</v>
      </c>
      <c r="R9924" t="s">
        <v>26591</v>
      </c>
      <c r="U9924" t="s">
        <v>26604</v>
      </c>
      <c r="X9924">
        <v>2200</v>
      </c>
      <c r="Y9924" t="s">
        <v>26651</v>
      </c>
      <c r="AA9924" t="s">
        <v>26683</v>
      </c>
      <c r="AB9924" t="s">
        <v>33701</v>
      </c>
      <c r="AD9924" t="s">
        <v>44509</v>
      </c>
      <c r="AE9924">
        <v>20</v>
      </c>
      <c r="AH9924">
        <v>5</v>
      </c>
      <c r="AI9924">
        <v>1</v>
      </c>
      <c r="AJ9924">
        <v>0</v>
      </c>
      <c r="AK9924">
        <v>48.04</v>
      </c>
      <c r="AN9924" t="s">
        <v>7439</v>
      </c>
      <c r="AO9924">
        <v>6000</v>
      </c>
      <c r="AU9924">
        <v>0.7</v>
      </c>
      <c r="AV9924" t="s">
        <v>756</v>
      </c>
      <c r="AW9924" t="s">
        <v>46857</v>
      </c>
    </row>
    <row r="9925" spans="1:49">
      <c r="A9925" s="1">
        <f>HYPERLINK("https://lsnyc.legalserver.org/matter/dynamic-profile/view/1891254","19-1891254")</f>
        <v>0</v>
      </c>
      <c r="B9925" t="s">
        <v>75</v>
      </c>
      <c r="C9925" t="s">
        <v>341</v>
      </c>
      <c r="D9925" t="s">
        <v>756</v>
      </c>
      <c r="E9925" t="s">
        <v>814</v>
      </c>
      <c r="F9925" t="s">
        <v>2111</v>
      </c>
      <c r="G9925" t="s">
        <v>5748</v>
      </c>
      <c r="H9925" t="s">
        <v>16390</v>
      </c>
      <c r="I9925" t="s">
        <v>17512</v>
      </c>
      <c r="J9925" t="s">
        <v>18892</v>
      </c>
      <c r="K9925">
        <v>10452</v>
      </c>
      <c r="L9925" t="s">
        <v>18960</v>
      </c>
      <c r="M9925" t="s">
        <v>18960</v>
      </c>
      <c r="N9925" t="s">
        <v>19045</v>
      </c>
      <c r="O9925" t="s">
        <v>26529</v>
      </c>
      <c r="P9925" t="s">
        <v>26564</v>
      </c>
      <c r="Q9925" t="s">
        <v>26570</v>
      </c>
      <c r="R9925" t="s">
        <v>26578</v>
      </c>
      <c r="S9925" t="s">
        <v>18959</v>
      </c>
      <c r="U9925" t="s">
        <v>26604</v>
      </c>
      <c r="X9925">
        <v>1225</v>
      </c>
      <c r="Y9925" t="s">
        <v>26650</v>
      </c>
      <c r="Z9925" t="s">
        <v>26665</v>
      </c>
      <c r="AA9925" t="s">
        <v>26683</v>
      </c>
      <c r="AB9925" t="s">
        <v>33702</v>
      </c>
      <c r="AD9925" t="s">
        <v>44510</v>
      </c>
      <c r="AE9925">
        <v>0</v>
      </c>
      <c r="AF9925" t="s">
        <v>20460</v>
      </c>
      <c r="AH9925">
        <v>7</v>
      </c>
      <c r="AI9925">
        <v>2</v>
      </c>
      <c r="AJ9925">
        <v>0</v>
      </c>
      <c r="AK9925">
        <v>120.64</v>
      </c>
      <c r="AN9925" t="s">
        <v>45581</v>
      </c>
      <c r="AO9925">
        <v>20400</v>
      </c>
      <c r="AP9925" t="s">
        <v>45810</v>
      </c>
      <c r="AU9925">
        <v>1.5</v>
      </c>
      <c r="AV9925" t="s">
        <v>752</v>
      </c>
      <c r="AW9925" t="s">
        <v>46849</v>
      </c>
    </row>
    <row r="9926" spans="1:49">
      <c r="A9926" s="1">
        <f>HYPERLINK("https://lsnyc.legalserver.org/matter/dynamic-profile/view/1891225","19-1891225")</f>
        <v>0</v>
      </c>
      <c r="B9926" t="s">
        <v>172</v>
      </c>
      <c r="C9926" t="s">
        <v>341</v>
      </c>
      <c r="D9926" t="s">
        <v>756</v>
      </c>
      <c r="E9926" t="s">
        <v>830</v>
      </c>
      <c r="F9926" t="s">
        <v>1368</v>
      </c>
      <c r="G9926" t="s">
        <v>968</v>
      </c>
      <c r="H9926" t="s">
        <v>11540</v>
      </c>
      <c r="I9926">
        <v>606</v>
      </c>
      <c r="J9926" t="s">
        <v>18894</v>
      </c>
      <c r="K9926">
        <v>11210</v>
      </c>
      <c r="L9926" t="s">
        <v>18959</v>
      </c>
      <c r="M9926" t="s">
        <v>18958</v>
      </c>
      <c r="N9926" t="s">
        <v>25773</v>
      </c>
      <c r="O9926" t="s">
        <v>26523</v>
      </c>
      <c r="P9926" t="s">
        <v>26560</v>
      </c>
      <c r="Q9926" t="s">
        <v>26568</v>
      </c>
      <c r="R9926" t="s">
        <v>26586</v>
      </c>
      <c r="U9926" t="s">
        <v>26604</v>
      </c>
      <c r="X9926">
        <v>1552.67</v>
      </c>
      <c r="Y9926" t="s">
        <v>26652</v>
      </c>
      <c r="Z9926" t="s">
        <v>26664</v>
      </c>
      <c r="AA9926" t="s">
        <v>26678</v>
      </c>
      <c r="AB9926" t="s">
        <v>30659</v>
      </c>
      <c r="AD9926" t="s">
        <v>44511</v>
      </c>
      <c r="AE9926">
        <v>169</v>
      </c>
      <c r="AG9926" t="s">
        <v>19330</v>
      </c>
      <c r="AH9926">
        <v>14</v>
      </c>
      <c r="AI9926">
        <v>1</v>
      </c>
      <c r="AJ9926">
        <v>0</v>
      </c>
      <c r="AK9926">
        <v>124.1</v>
      </c>
      <c r="AN9926" t="s">
        <v>7439</v>
      </c>
      <c r="AO9926">
        <v>15500</v>
      </c>
      <c r="AS9926" t="s">
        <v>46499</v>
      </c>
      <c r="AU9926">
        <v>11.4</v>
      </c>
      <c r="AV9926" t="s">
        <v>830</v>
      </c>
      <c r="AW9926" t="s">
        <v>46862</v>
      </c>
    </row>
    <row r="9927" spans="1:49">
      <c r="A9927" s="1">
        <f>HYPERLINK("https://lsnyc.legalserver.org/matter/dynamic-profile/view/1891197","19-1891197")</f>
        <v>0</v>
      </c>
      <c r="B9927" t="s">
        <v>136</v>
      </c>
      <c r="C9927" t="s">
        <v>340</v>
      </c>
      <c r="D9927" t="s">
        <v>756</v>
      </c>
      <c r="F9927" t="s">
        <v>3252</v>
      </c>
      <c r="G9927" t="s">
        <v>9208</v>
      </c>
      <c r="H9927" t="s">
        <v>16391</v>
      </c>
      <c r="J9927" t="s">
        <v>18892</v>
      </c>
      <c r="K9927">
        <v>10458</v>
      </c>
      <c r="L9927" t="s">
        <v>18958</v>
      </c>
      <c r="M9927" t="s">
        <v>18958</v>
      </c>
      <c r="N9927" t="s">
        <v>25774</v>
      </c>
      <c r="O9927" t="s">
        <v>26523</v>
      </c>
      <c r="P9927" t="s">
        <v>26564</v>
      </c>
      <c r="R9927" t="s">
        <v>26577</v>
      </c>
      <c r="U9927" t="s">
        <v>26604</v>
      </c>
      <c r="X9927">
        <v>1057.57</v>
      </c>
      <c r="Y9927" t="s">
        <v>26650</v>
      </c>
      <c r="AB9927" t="s">
        <v>26747</v>
      </c>
      <c r="AD9927" t="s">
        <v>44512</v>
      </c>
      <c r="AE9927">
        <v>0</v>
      </c>
      <c r="AH9927">
        <v>21</v>
      </c>
      <c r="AI9927">
        <v>1</v>
      </c>
      <c r="AJ9927">
        <v>0</v>
      </c>
      <c r="AK9927">
        <v>64.28</v>
      </c>
      <c r="AN9927" t="s">
        <v>7439</v>
      </c>
      <c r="AO9927">
        <v>8028</v>
      </c>
      <c r="AP9927" t="s">
        <v>46226</v>
      </c>
      <c r="AU9927">
        <v>0</v>
      </c>
      <c r="AW9927" t="s">
        <v>284</v>
      </c>
    </row>
    <row r="9928" spans="1:49">
      <c r="A9928" s="1">
        <f>HYPERLINK("https://lsnyc.legalserver.org/matter/dynamic-profile/view/1891278","19-1891278")</f>
        <v>0</v>
      </c>
      <c r="B9928" t="s">
        <v>70</v>
      </c>
      <c r="C9928" t="s">
        <v>340</v>
      </c>
      <c r="D9928" t="s">
        <v>756</v>
      </c>
      <c r="F9928" t="s">
        <v>2769</v>
      </c>
      <c r="G9928" t="s">
        <v>7603</v>
      </c>
      <c r="H9928" t="s">
        <v>12830</v>
      </c>
      <c r="I9928" t="s">
        <v>17552</v>
      </c>
      <c r="J9928" t="s">
        <v>18892</v>
      </c>
      <c r="K9928">
        <v>10468</v>
      </c>
      <c r="L9928" t="s">
        <v>18958</v>
      </c>
      <c r="M9928" t="s">
        <v>18958</v>
      </c>
      <c r="O9928" t="s">
        <v>26526</v>
      </c>
      <c r="P9928" t="s">
        <v>26560</v>
      </c>
      <c r="R9928" t="s">
        <v>26577</v>
      </c>
      <c r="S9928" t="s">
        <v>18959</v>
      </c>
      <c r="U9928" t="s">
        <v>26604</v>
      </c>
      <c r="V9928" t="s">
        <v>26610</v>
      </c>
      <c r="X9928">
        <v>1007.45</v>
      </c>
      <c r="Y9928" t="s">
        <v>26650</v>
      </c>
      <c r="Z9928" t="s">
        <v>26664</v>
      </c>
      <c r="AB9928" t="s">
        <v>29303</v>
      </c>
      <c r="AD9928" t="s">
        <v>41187</v>
      </c>
      <c r="AE9928">
        <v>0</v>
      </c>
      <c r="AF9928" t="s">
        <v>45541</v>
      </c>
      <c r="AG9928" t="s">
        <v>45559</v>
      </c>
      <c r="AH9928">
        <v>21</v>
      </c>
      <c r="AI9928">
        <v>3</v>
      </c>
      <c r="AJ9928">
        <v>1</v>
      </c>
      <c r="AK9928">
        <v>33.69</v>
      </c>
      <c r="AN9928" t="s">
        <v>7439</v>
      </c>
      <c r="AO9928">
        <v>8676</v>
      </c>
      <c r="AP9928" t="s">
        <v>46227</v>
      </c>
      <c r="AU9928">
        <v>6.85</v>
      </c>
      <c r="AV9928" t="s">
        <v>834</v>
      </c>
      <c r="AW9928" t="s">
        <v>70</v>
      </c>
    </row>
    <row r="9929" spans="1:49">
      <c r="A9929" s="1">
        <f>HYPERLINK("https://lsnyc.legalserver.org/matter/dynamic-profile/view/1891156","19-1891156")</f>
        <v>0</v>
      </c>
      <c r="B9929" t="s">
        <v>191</v>
      </c>
      <c r="C9929" t="s">
        <v>340</v>
      </c>
      <c r="D9929" t="s">
        <v>756</v>
      </c>
      <c r="F9929" t="s">
        <v>4697</v>
      </c>
      <c r="G9929" t="s">
        <v>8081</v>
      </c>
      <c r="H9929" t="s">
        <v>16392</v>
      </c>
      <c r="I9929">
        <v>5</v>
      </c>
      <c r="J9929" t="s">
        <v>18893</v>
      </c>
      <c r="K9929">
        <v>10013</v>
      </c>
      <c r="L9929" t="s">
        <v>18959</v>
      </c>
      <c r="M9929" t="s">
        <v>18958</v>
      </c>
      <c r="O9929" t="s">
        <v>18997</v>
      </c>
      <c r="P9929" t="s">
        <v>26563</v>
      </c>
      <c r="R9929" t="s">
        <v>26578</v>
      </c>
      <c r="S9929" t="s">
        <v>18959</v>
      </c>
      <c r="U9929" t="s">
        <v>26604</v>
      </c>
      <c r="X9929">
        <v>0</v>
      </c>
      <c r="Y9929" t="s">
        <v>26651</v>
      </c>
      <c r="Z9929" t="s">
        <v>26667</v>
      </c>
      <c r="AB9929" t="s">
        <v>33703</v>
      </c>
      <c r="AE9929">
        <v>0</v>
      </c>
      <c r="AF9929" t="s">
        <v>20460</v>
      </c>
      <c r="AG9929" t="s">
        <v>19330</v>
      </c>
      <c r="AH9929">
        <v>3</v>
      </c>
      <c r="AI9929">
        <v>1</v>
      </c>
      <c r="AJ9929">
        <v>0</v>
      </c>
      <c r="AK9929">
        <v>249.8</v>
      </c>
      <c r="AN9929" t="s">
        <v>45599</v>
      </c>
      <c r="AO9929">
        <v>31200</v>
      </c>
      <c r="AU9929">
        <v>0</v>
      </c>
      <c r="AW9929" t="s">
        <v>314</v>
      </c>
    </row>
    <row r="9930" spans="1:49">
      <c r="A9930" s="1">
        <f>HYPERLINK("https://lsnyc.legalserver.org/matter/dynamic-profile/view/1890906","19-1890906")</f>
        <v>0</v>
      </c>
      <c r="B9930" t="s">
        <v>72</v>
      </c>
      <c r="C9930" t="s">
        <v>340</v>
      </c>
      <c r="D9930" t="s">
        <v>756</v>
      </c>
      <c r="F9930" t="s">
        <v>979</v>
      </c>
      <c r="G9930" t="s">
        <v>9209</v>
      </c>
      <c r="H9930" t="s">
        <v>12275</v>
      </c>
      <c r="I9930" t="s">
        <v>17553</v>
      </c>
      <c r="J9930" t="s">
        <v>18893</v>
      </c>
      <c r="K9930">
        <v>10025</v>
      </c>
      <c r="L9930" t="s">
        <v>18959</v>
      </c>
      <c r="M9930" t="s">
        <v>18959</v>
      </c>
      <c r="O9930" t="s">
        <v>18997</v>
      </c>
      <c r="P9930" t="s">
        <v>26564</v>
      </c>
      <c r="R9930" t="s">
        <v>26582</v>
      </c>
      <c r="S9930" t="s">
        <v>18959</v>
      </c>
      <c r="U9930" t="s">
        <v>26605</v>
      </c>
      <c r="X9930">
        <v>250</v>
      </c>
      <c r="Y9930" t="s">
        <v>26651</v>
      </c>
      <c r="Z9930" t="s">
        <v>26655</v>
      </c>
      <c r="AB9930" t="s">
        <v>33704</v>
      </c>
      <c r="AE9930">
        <v>0</v>
      </c>
      <c r="AF9930" t="s">
        <v>45542</v>
      </c>
      <c r="AG9930" t="s">
        <v>19330</v>
      </c>
      <c r="AH9930">
        <v>45</v>
      </c>
      <c r="AI9930">
        <v>2</v>
      </c>
      <c r="AJ9930">
        <v>2</v>
      </c>
      <c r="AK9930">
        <v>34.72</v>
      </c>
      <c r="AN9930" t="s">
        <v>7439</v>
      </c>
      <c r="AO9930">
        <v>8940</v>
      </c>
      <c r="AU9930">
        <v>0.35</v>
      </c>
      <c r="AV9930" t="s">
        <v>784</v>
      </c>
      <c r="AW9930" t="s">
        <v>314</v>
      </c>
    </row>
    <row r="9931" spans="1:49">
      <c r="A9931" s="1">
        <f>HYPERLINK("https://lsnyc.legalserver.org/matter/dynamic-profile/view/1891183","19-1891183")</f>
        <v>0</v>
      </c>
      <c r="B9931" t="s">
        <v>91</v>
      </c>
      <c r="C9931" t="s">
        <v>340</v>
      </c>
      <c r="D9931" t="s">
        <v>756</v>
      </c>
      <c r="F9931" t="s">
        <v>1597</v>
      </c>
      <c r="G9931" t="s">
        <v>5169</v>
      </c>
      <c r="H9931" t="s">
        <v>16393</v>
      </c>
      <c r="J9931" t="s">
        <v>7026</v>
      </c>
      <c r="K9931">
        <v>11368</v>
      </c>
      <c r="L9931" t="s">
        <v>18959</v>
      </c>
      <c r="M9931" t="s">
        <v>18958</v>
      </c>
      <c r="O9931" t="s">
        <v>26524</v>
      </c>
      <c r="P9931" t="s">
        <v>26563</v>
      </c>
      <c r="R9931" t="s">
        <v>26578</v>
      </c>
      <c r="S9931" t="s">
        <v>18959</v>
      </c>
      <c r="U9931" t="s">
        <v>26604</v>
      </c>
      <c r="X9931">
        <v>1400</v>
      </c>
      <c r="Y9931" t="s">
        <v>26653</v>
      </c>
      <c r="Z9931" t="s">
        <v>26664</v>
      </c>
      <c r="AB9931" t="s">
        <v>33705</v>
      </c>
      <c r="AC9931" t="s">
        <v>36686</v>
      </c>
      <c r="AD9931" t="s">
        <v>38313</v>
      </c>
      <c r="AE9931">
        <v>25</v>
      </c>
      <c r="AF9931" t="s">
        <v>45547</v>
      </c>
      <c r="AG9931" t="s">
        <v>45557</v>
      </c>
      <c r="AH9931">
        <v>6</v>
      </c>
      <c r="AI9931">
        <v>1</v>
      </c>
      <c r="AJ9931">
        <v>3</v>
      </c>
      <c r="AK9931">
        <v>46.6</v>
      </c>
      <c r="AN9931" t="s">
        <v>45581</v>
      </c>
      <c r="AO9931">
        <v>12000</v>
      </c>
      <c r="AU9931">
        <v>1.2</v>
      </c>
      <c r="AV9931" t="s">
        <v>659</v>
      </c>
      <c r="AW9931" t="s">
        <v>91</v>
      </c>
    </row>
    <row r="9932" spans="1:49">
      <c r="A9932" s="1">
        <f>HYPERLINK("https://lsnyc.legalserver.org/matter/dynamic-profile/view/1891160","19-1891160")</f>
        <v>0</v>
      </c>
      <c r="B9932" t="s">
        <v>235</v>
      </c>
      <c r="C9932" t="s">
        <v>340</v>
      </c>
      <c r="D9932" t="s">
        <v>756</v>
      </c>
      <c r="F9932" t="s">
        <v>893</v>
      </c>
      <c r="G9932" t="s">
        <v>9210</v>
      </c>
      <c r="H9932" t="s">
        <v>16394</v>
      </c>
      <c r="I9932" t="s">
        <v>17374</v>
      </c>
      <c r="J9932" t="s">
        <v>18934</v>
      </c>
      <c r="K9932">
        <v>11413</v>
      </c>
      <c r="L9932" t="s">
        <v>18960</v>
      </c>
      <c r="M9932" t="s">
        <v>18960</v>
      </c>
      <c r="N9932" t="s">
        <v>25775</v>
      </c>
      <c r="O9932" t="s">
        <v>26524</v>
      </c>
      <c r="R9932" t="s">
        <v>26584</v>
      </c>
      <c r="U9932" t="s">
        <v>26604</v>
      </c>
      <c r="X9932">
        <v>900</v>
      </c>
      <c r="Y9932" t="s">
        <v>26653</v>
      </c>
      <c r="Z9932" t="s">
        <v>26664</v>
      </c>
      <c r="AB9932" t="s">
        <v>33706</v>
      </c>
      <c r="AD9932" t="s">
        <v>44513</v>
      </c>
      <c r="AE9932">
        <v>1</v>
      </c>
      <c r="AF9932" t="s">
        <v>45547</v>
      </c>
      <c r="AG9932" t="s">
        <v>19330</v>
      </c>
      <c r="AH9932">
        <v>8</v>
      </c>
      <c r="AI9932">
        <v>1</v>
      </c>
      <c r="AJ9932">
        <v>0</v>
      </c>
      <c r="AK9932">
        <v>24.02</v>
      </c>
      <c r="AO9932">
        <v>3000</v>
      </c>
      <c r="AU9932">
        <v>1.56</v>
      </c>
      <c r="AV9932" t="s">
        <v>728</v>
      </c>
      <c r="AW9932" t="s">
        <v>122</v>
      </c>
    </row>
    <row r="9933" spans="1:49">
      <c r="A9933" s="1">
        <f>HYPERLINK("https://lsnyc.legalserver.org/matter/dynamic-profile/view/1890712","19-1890712")</f>
        <v>0</v>
      </c>
      <c r="B9933" t="s">
        <v>165</v>
      </c>
      <c r="C9933" t="s">
        <v>341</v>
      </c>
      <c r="D9933" t="s">
        <v>747</v>
      </c>
      <c r="E9933" t="s">
        <v>832</v>
      </c>
      <c r="F9933" t="s">
        <v>1091</v>
      </c>
      <c r="G9933" t="s">
        <v>5241</v>
      </c>
      <c r="H9933" t="s">
        <v>11461</v>
      </c>
      <c r="I9933">
        <v>62</v>
      </c>
      <c r="J9933" t="s">
        <v>18893</v>
      </c>
      <c r="K9933">
        <v>10031</v>
      </c>
      <c r="L9933" t="s">
        <v>18958</v>
      </c>
      <c r="M9933" t="s">
        <v>18958</v>
      </c>
      <c r="N9933" t="s">
        <v>25776</v>
      </c>
      <c r="O9933" t="s">
        <v>26523</v>
      </c>
      <c r="P9933" t="s">
        <v>26564</v>
      </c>
      <c r="Q9933" t="s">
        <v>26570</v>
      </c>
      <c r="R9933" t="s">
        <v>26582</v>
      </c>
      <c r="S9933" t="s">
        <v>18959</v>
      </c>
      <c r="U9933" t="s">
        <v>26604</v>
      </c>
      <c r="X9933">
        <v>1144.44</v>
      </c>
      <c r="Y9933" t="s">
        <v>26651</v>
      </c>
      <c r="Z9933" t="s">
        <v>26668</v>
      </c>
      <c r="AA9933" t="s">
        <v>26683</v>
      </c>
      <c r="AB9933" t="s">
        <v>33707</v>
      </c>
      <c r="AD9933" t="s">
        <v>44514</v>
      </c>
      <c r="AE9933">
        <v>24</v>
      </c>
      <c r="AF9933" t="s">
        <v>45544</v>
      </c>
      <c r="AG9933" t="s">
        <v>19330</v>
      </c>
      <c r="AH9933">
        <v>17</v>
      </c>
      <c r="AI9933">
        <v>2</v>
      </c>
      <c r="AJ9933">
        <v>0</v>
      </c>
      <c r="AK9933">
        <v>307.51</v>
      </c>
      <c r="AN9933" t="s">
        <v>7439</v>
      </c>
      <c r="AO9933">
        <v>52000</v>
      </c>
      <c r="AU9933">
        <v>0.4</v>
      </c>
      <c r="AV9933" t="s">
        <v>831</v>
      </c>
      <c r="AW9933" t="s">
        <v>314</v>
      </c>
    </row>
    <row r="9934" spans="1:49">
      <c r="A9934" s="1">
        <f>HYPERLINK("https://lsnyc.legalserver.org/matter/dynamic-profile/view/1891348","19-1891348")</f>
        <v>0</v>
      </c>
      <c r="B9934" t="s">
        <v>249</v>
      </c>
      <c r="C9934" t="s">
        <v>341</v>
      </c>
      <c r="D9934" t="s">
        <v>747</v>
      </c>
      <c r="E9934" t="s">
        <v>861</v>
      </c>
      <c r="F9934" t="s">
        <v>1767</v>
      </c>
      <c r="G9934" t="s">
        <v>4160</v>
      </c>
      <c r="H9934" t="s">
        <v>16395</v>
      </c>
      <c r="I9934">
        <v>8</v>
      </c>
      <c r="J9934" t="s">
        <v>18894</v>
      </c>
      <c r="K9934">
        <v>11233</v>
      </c>
      <c r="L9934" t="s">
        <v>18958</v>
      </c>
      <c r="M9934" t="s">
        <v>18958</v>
      </c>
      <c r="N9934" t="s">
        <v>18993</v>
      </c>
      <c r="O9934" t="s">
        <v>26542</v>
      </c>
      <c r="P9934" t="s">
        <v>26561</v>
      </c>
      <c r="Q9934" t="s">
        <v>26573</v>
      </c>
      <c r="R9934" t="s">
        <v>26578</v>
      </c>
      <c r="S9934" t="s">
        <v>18959</v>
      </c>
      <c r="U9934" t="s">
        <v>26604</v>
      </c>
      <c r="V9934" t="s">
        <v>26610</v>
      </c>
      <c r="X9934">
        <v>1280</v>
      </c>
      <c r="Y9934" t="s">
        <v>26652</v>
      </c>
      <c r="Z9934" t="s">
        <v>26663</v>
      </c>
      <c r="AA9934" t="s">
        <v>26682</v>
      </c>
      <c r="AB9934" t="s">
        <v>30036</v>
      </c>
      <c r="AC9934" t="s">
        <v>36687</v>
      </c>
      <c r="AD9934" t="s">
        <v>44515</v>
      </c>
      <c r="AE9934">
        <v>8</v>
      </c>
      <c r="AF9934" t="s">
        <v>45541</v>
      </c>
      <c r="AG9934" t="s">
        <v>45556</v>
      </c>
      <c r="AH9934">
        <v>8</v>
      </c>
      <c r="AI9934">
        <v>2</v>
      </c>
      <c r="AJ9934">
        <v>0</v>
      </c>
      <c r="AK9934">
        <v>184.51</v>
      </c>
      <c r="AN9934" t="s">
        <v>7439</v>
      </c>
      <c r="AO9934">
        <v>31200</v>
      </c>
      <c r="AU9934">
        <v>7</v>
      </c>
      <c r="AV9934" t="s">
        <v>861</v>
      </c>
      <c r="AW9934" t="s">
        <v>279</v>
      </c>
    </row>
    <row r="9935" spans="1:49">
      <c r="A9935" s="1">
        <f>HYPERLINK("https://lsnyc.legalserver.org/matter/dynamic-profile/view/1891411","19-1891411")</f>
        <v>0</v>
      </c>
      <c r="B9935" t="s">
        <v>117</v>
      </c>
      <c r="C9935" t="s">
        <v>340</v>
      </c>
      <c r="D9935" t="s">
        <v>747</v>
      </c>
      <c r="F9935" t="s">
        <v>1148</v>
      </c>
      <c r="G9935" t="s">
        <v>5473</v>
      </c>
      <c r="H9935" t="s">
        <v>16396</v>
      </c>
      <c r="I9935" t="s">
        <v>17393</v>
      </c>
      <c r="J9935" t="s">
        <v>18894</v>
      </c>
      <c r="K9935">
        <v>11233</v>
      </c>
      <c r="L9935" t="s">
        <v>18959</v>
      </c>
      <c r="M9935" t="s">
        <v>18959</v>
      </c>
      <c r="N9935" t="s">
        <v>25777</v>
      </c>
      <c r="O9935" t="s">
        <v>26524</v>
      </c>
      <c r="R9935" t="s">
        <v>26578</v>
      </c>
      <c r="S9935" t="s">
        <v>26598</v>
      </c>
      <c r="U9935" t="s">
        <v>26604</v>
      </c>
      <c r="V9935" t="s">
        <v>26610</v>
      </c>
      <c r="X9935">
        <v>1350</v>
      </c>
      <c r="Y9935" t="s">
        <v>26652</v>
      </c>
      <c r="Z9935" t="s">
        <v>26668</v>
      </c>
      <c r="AB9935" t="s">
        <v>33708</v>
      </c>
      <c r="AC9935" t="s">
        <v>36688</v>
      </c>
      <c r="AD9935" t="s">
        <v>44516</v>
      </c>
      <c r="AE9935">
        <v>7</v>
      </c>
      <c r="AF9935" t="s">
        <v>45547</v>
      </c>
      <c r="AG9935" t="s">
        <v>19330</v>
      </c>
      <c r="AH9935">
        <v>10</v>
      </c>
      <c r="AI9935">
        <v>2</v>
      </c>
      <c r="AJ9935">
        <v>4</v>
      </c>
      <c r="AK9935">
        <v>108.99</v>
      </c>
      <c r="AN9935" t="s">
        <v>7439</v>
      </c>
      <c r="AO9935">
        <v>37700</v>
      </c>
      <c r="AU9935">
        <v>0</v>
      </c>
      <c r="AW9935" t="s">
        <v>279</v>
      </c>
    </row>
    <row r="9936" spans="1:49">
      <c r="A9936" s="1">
        <f>HYPERLINK("https://lsnyc.legalserver.org/matter/dynamic-profile/view/1891418","19-1891418")</f>
        <v>0</v>
      </c>
      <c r="B9936" t="s">
        <v>186</v>
      </c>
      <c r="C9936" t="s">
        <v>340</v>
      </c>
      <c r="D9936" t="s">
        <v>747</v>
      </c>
      <c r="F9936" t="s">
        <v>3903</v>
      </c>
      <c r="G9936" t="s">
        <v>8330</v>
      </c>
      <c r="H9936" t="s">
        <v>16397</v>
      </c>
      <c r="I9936" t="s">
        <v>18638</v>
      </c>
      <c r="J9936" t="s">
        <v>18894</v>
      </c>
      <c r="K9936">
        <v>11207</v>
      </c>
      <c r="L9936" t="s">
        <v>18960</v>
      </c>
      <c r="M9936" t="s">
        <v>18960</v>
      </c>
      <c r="R9936" t="s">
        <v>26586</v>
      </c>
      <c r="U9936" t="s">
        <v>26604</v>
      </c>
      <c r="X9936">
        <v>0</v>
      </c>
      <c r="Y9936" t="s">
        <v>26652</v>
      </c>
      <c r="AB9936" t="s">
        <v>33709</v>
      </c>
      <c r="AD9936" t="s">
        <v>44517</v>
      </c>
      <c r="AE9936">
        <v>0</v>
      </c>
      <c r="AH9936">
        <v>0</v>
      </c>
      <c r="AI9936">
        <v>1</v>
      </c>
      <c r="AJ9936">
        <v>0</v>
      </c>
      <c r="AK9936">
        <v>124.9</v>
      </c>
      <c r="AN9936" t="s">
        <v>7439</v>
      </c>
      <c r="AO9936">
        <v>15600</v>
      </c>
      <c r="AU9936">
        <v>9</v>
      </c>
      <c r="AV9936" t="s">
        <v>772</v>
      </c>
      <c r="AW9936" t="s">
        <v>186</v>
      </c>
    </row>
    <row r="9937" spans="1:50">
      <c r="A9937" s="1">
        <f>HYPERLINK("https://lsnyc.legalserver.org/matter/dynamic-profile/view/1891445","19-1891445")</f>
        <v>0</v>
      </c>
      <c r="B9937" t="s">
        <v>75</v>
      </c>
      <c r="C9937" t="s">
        <v>341</v>
      </c>
      <c r="D9937" t="s">
        <v>757</v>
      </c>
      <c r="E9937" t="s">
        <v>741</v>
      </c>
      <c r="F9937" t="s">
        <v>1228</v>
      </c>
      <c r="G9937" t="s">
        <v>9211</v>
      </c>
      <c r="H9937" t="s">
        <v>9660</v>
      </c>
      <c r="I9937" t="s">
        <v>18732</v>
      </c>
      <c r="J9937" t="s">
        <v>18892</v>
      </c>
      <c r="K9937">
        <v>10467</v>
      </c>
      <c r="L9937" t="s">
        <v>18960</v>
      </c>
      <c r="M9937" t="s">
        <v>18960</v>
      </c>
      <c r="O9937" t="s">
        <v>26529</v>
      </c>
      <c r="P9937" t="s">
        <v>26564</v>
      </c>
      <c r="Q9937" t="s">
        <v>26570</v>
      </c>
      <c r="R9937" t="s">
        <v>26578</v>
      </c>
      <c r="S9937" t="s">
        <v>18959</v>
      </c>
      <c r="U9937" t="s">
        <v>26604</v>
      </c>
      <c r="X9937">
        <v>433</v>
      </c>
      <c r="Y9937" t="s">
        <v>26650</v>
      </c>
      <c r="Z9937" t="s">
        <v>26659</v>
      </c>
      <c r="AA9937" t="s">
        <v>26683</v>
      </c>
      <c r="AB9937" t="s">
        <v>29385</v>
      </c>
      <c r="AD9937" t="s">
        <v>44518</v>
      </c>
      <c r="AE9937">
        <v>0</v>
      </c>
      <c r="AF9937" t="s">
        <v>45547</v>
      </c>
      <c r="AH9937">
        <v>0</v>
      </c>
      <c r="AI9937">
        <v>1</v>
      </c>
      <c r="AJ9937">
        <v>0</v>
      </c>
      <c r="AK9937">
        <v>74.45999999999999</v>
      </c>
      <c r="AN9937" t="s">
        <v>7439</v>
      </c>
      <c r="AO9937">
        <v>9300</v>
      </c>
      <c r="AP9937" t="s">
        <v>46137</v>
      </c>
      <c r="AU9937">
        <v>0.5</v>
      </c>
      <c r="AV9937" t="s">
        <v>754</v>
      </c>
      <c r="AW9937" t="s">
        <v>75</v>
      </c>
    </row>
    <row r="9938" spans="1:50">
      <c r="A9938" s="1">
        <f>HYPERLINK("https://lsnyc.legalserver.org/matter/dynamic-profile/view/1891514","19-1891514")</f>
        <v>0</v>
      </c>
      <c r="B9938" t="s">
        <v>75</v>
      </c>
      <c r="C9938" t="s">
        <v>341</v>
      </c>
      <c r="D9938" t="s">
        <v>757</v>
      </c>
      <c r="E9938" t="s">
        <v>838</v>
      </c>
      <c r="F9938" t="s">
        <v>4698</v>
      </c>
      <c r="G9938" t="s">
        <v>1107</v>
      </c>
      <c r="H9938" t="s">
        <v>16398</v>
      </c>
      <c r="J9938" t="s">
        <v>18892</v>
      </c>
      <c r="K9938">
        <v>10467</v>
      </c>
      <c r="L9938" t="s">
        <v>18960</v>
      </c>
      <c r="M9938" t="s">
        <v>18960</v>
      </c>
      <c r="O9938" t="s">
        <v>26529</v>
      </c>
      <c r="P9938" t="s">
        <v>26564</v>
      </c>
      <c r="Q9938" t="s">
        <v>26570</v>
      </c>
      <c r="R9938" t="s">
        <v>26578</v>
      </c>
      <c r="S9938" t="s">
        <v>18959</v>
      </c>
      <c r="U9938" t="s">
        <v>26604</v>
      </c>
      <c r="X9938">
        <v>0</v>
      </c>
      <c r="Y9938" t="s">
        <v>26650</v>
      </c>
      <c r="Z9938" t="s">
        <v>26661</v>
      </c>
      <c r="AA9938" t="s">
        <v>26683</v>
      </c>
      <c r="AB9938" t="s">
        <v>33710</v>
      </c>
      <c r="AD9938" t="s">
        <v>44519</v>
      </c>
      <c r="AE9938">
        <v>0</v>
      </c>
      <c r="AF9938" t="s">
        <v>45547</v>
      </c>
      <c r="AH9938">
        <v>0</v>
      </c>
      <c r="AI9938">
        <v>1</v>
      </c>
      <c r="AJ9938">
        <v>0</v>
      </c>
      <c r="AK9938">
        <v>115.29</v>
      </c>
      <c r="AN9938" t="s">
        <v>7439</v>
      </c>
      <c r="AO9938">
        <v>14400</v>
      </c>
      <c r="AP9938" t="s">
        <v>46228</v>
      </c>
      <c r="AU9938">
        <v>0.1</v>
      </c>
      <c r="AV9938" t="s">
        <v>741</v>
      </c>
      <c r="AW9938" t="s">
        <v>75</v>
      </c>
    </row>
    <row r="9939" spans="1:50">
      <c r="A9939" s="1">
        <f>HYPERLINK("https://lsnyc.legalserver.org/matter/dynamic-profile/view/1891481","19-1891481")</f>
        <v>0</v>
      </c>
      <c r="B9939" t="s">
        <v>75</v>
      </c>
      <c r="C9939" t="s">
        <v>341</v>
      </c>
      <c r="D9939" t="s">
        <v>757</v>
      </c>
      <c r="E9939" t="s">
        <v>741</v>
      </c>
      <c r="F9939" t="s">
        <v>4699</v>
      </c>
      <c r="G9939" t="s">
        <v>5269</v>
      </c>
      <c r="J9939" t="s">
        <v>18892</v>
      </c>
      <c r="K9939">
        <v>10455</v>
      </c>
      <c r="L9939" t="s">
        <v>18958</v>
      </c>
      <c r="M9939" t="s">
        <v>18958</v>
      </c>
      <c r="O9939" t="s">
        <v>26529</v>
      </c>
      <c r="P9939" t="s">
        <v>26564</v>
      </c>
      <c r="Q9939" t="s">
        <v>26570</v>
      </c>
      <c r="R9939" t="s">
        <v>26578</v>
      </c>
      <c r="S9939" t="s">
        <v>18959</v>
      </c>
      <c r="U9939" t="s">
        <v>26604</v>
      </c>
      <c r="X9939">
        <v>983.5599999999999</v>
      </c>
      <c r="Y9939" t="s">
        <v>26650</v>
      </c>
      <c r="Z9939" t="s">
        <v>26663</v>
      </c>
      <c r="AA9939" t="s">
        <v>26683</v>
      </c>
      <c r="AB9939" t="s">
        <v>33711</v>
      </c>
      <c r="AE9939">
        <v>0</v>
      </c>
      <c r="AF9939" t="s">
        <v>45549</v>
      </c>
      <c r="AH9939">
        <v>10</v>
      </c>
      <c r="AI9939">
        <v>1</v>
      </c>
      <c r="AJ9939">
        <v>1</v>
      </c>
      <c r="AK9939">
        <v>171.83</v>
      </c>
      <c r="AO9939">
        <v>29055.96</v>
      </c>
      <c r="AP9939" t="s">
        <v>46137</v>
      </c>
      <c r="AU9939">
        <v>0.1</v>
      </c>
      <c r="AV9939" t="s">
        <v>741</v>
      </c>
      <c r="AW9939" t="s">
        <v>75</v>
      </c>
    </row>
    <row r="9940" spans="1:50">
      <c r="A9940" s="1">
        <f>HYPERLINK("https://lsnyc.legalserver.org/matter/dynamic-profile/view/1890310","19-1890310")</f>
        <v>0</v>
      </c>
      <c r="B9940" t="s">
        <v>278</v>
      </c>
      <c r="C9940" t="s">
        <v>340</v>
      </c>
      <c r="D9940" t="s">
        <v>757</v>
      </c>
      <c r="F9940" t="s">
        <v>4700</v>
      </c>
      <c r="G9940" t="s">
        <v>9212</v>
      </c>
      <c r="H9940" t="s">
        <v>12108</v>
      </c>
      <c r="I9940" t="s">
        <v>17325</v>
      </c>
      <c r="J9940" t="s">
        <v>18902</v>
      </c>
      <c r="K9940">
        <v>10304</v>
      </c>
      <c r="L9940" t="s">
        <v>18960</v>
      </c>
      <c r="M9940" t="s">
        <v>18960</v>
      </c>
      <c r="P9940" t="s">
        <v>26562</v>
      </c>
      <c r="R9940" t="s">
        <v>26578</v>
      </c>
      <c r="S9940" t="s">
        <v>18959</v>
      </c>
      <c r="U9940" t="s">
        <v>26604</v>
      </c>
      <c r="V9940" t="s">
        <v>26610</v>
      </c>
      <c r="X9940">
        <v>0</v>
      </c>
      <c r="Y9940" t="s">
        <v>26654</v>
      </c>
      <c r="AB9940" t="s">
        <v>33712</v>
      </c>
      <c r="AD9940" t="s">
        <v>44520</v>
      </c>
      <c r="AE9940">
        <v>0</v>
      </c>
      <c r="AH9940">
        <v>0</v>
      </c>
      <c r="AI9940">
        <v>1</v>
      </c>
      <c r="AJ9940">
        <v>4</v>
      </c>
      <c r="AK9940">
        <v>75.15000000000001</v>
      </c>
      <c r="AN9940" t="s">
        <v>7439</v>
      </c>
      <c r="AO9940">
        <v>22672</v>
      </c>
      <c r="AU9940">
        <v>3</v>
      </c>
      <c r="AV9940" t="s">
        <v>574</v>
      </c>
      <c r="AW9940" t="s">
        <v>46852</v>
      </c>
    </row>
    <row r="9941" spans="1:50">
      <c r="A9941" s="1">
        <f>HYPERLINK("https://lsnyc.legalserver.org/matter/dynamic-profile/view/1891517","19-1891517")</f>
        <v>0</v>
      </c>
      <c r="B9941" t="s">
        <v>97</v>
      </c>
      <c r="C9941" t="s">
        <v>340</v>
      </c>
      <c r="D9941" t="s">
        <v>757</v>
      </c>
      <c r="F9941" t="s">
        <v>928</v>
      </c>
      <c r="G9941" t="s">
        <v>5269</v>
      </c>
      <c r="H9941" t="s">
        <v>16399</v>
      </c>
      <c r="I9941" t="s">
        <v>17325</v>
      </c>
      <c r="J9941" t="s">
        <v>18892</v>
      </c>
      <c r="K9941">
        <v>10465</v>
      </c>
      <c r="L9941" t="s">
        <v>18958</v>
      </c>
      <c r="M9941" t="s">
        <v>18958</v>
      </c>
      <c r="N9941" t="s">
        <v>25778</v>
      </c>
      <c r="O9941" t="s">
        <v>26523</v>
      </c>
      <c r="P9941" t="s">
        <v>26564</v>
      </c>
      <c r="R9941" t="s">
        <v>26577</v>
      </c>
      <c r="S9941" t="s">
        <v>18959</v>
      </c>
      <c r="U9941" t="s">
        <v>26604</v>
      </c>
      <c r="X9941">
        <v>733</v>
      </c>
      <c r="Y9941" t="s">
        <v>26650</v>
      </c>
      <c r="Z9941" t="s">
        <v>26670</v>
      </c>
      <c r="AB9941" t="s">
        <v>29050</v>
      </c>
      <c r="AD9941" t="s">
        <v>44521</v>
      </c>
      <c r="AE9941">
        <v>220</v>
      </c>
      <c r="AF9941" t="s">
        <v>45549</v>
      </c>
      <c r="AG9941" t="s">
        <v>19330</v>
      </c>
      <c r="AH9941">
        <v>49</v>
      </c>
      <c r="AI9941">
        <v>1</v>
      </c>
      <c r="AJ9941">
        <v>0</v>
      </c>
      <c r="AK9941">
        <v>129.22</v>
      </c>
      <c r="AN9941" t="s">
        <v>7439</v>
      </c>
      <c r="AO9941">
        <v>16140</v>
      </c>
      <c r="AP9941" t="s">
        <v>46229</v>
      </c>
      <c r="AU9941">
        <v>8.15</v>
      </c>
      <c r="AV9941" t="s">
        <v>771</v>
      </c>
      <c r="AW9941" t="s">
        <v>46870</v>
      </c>
    </row>
    <row r="9942" spans="1:50">
      <c r="A9942" s="1">
        <f>HYPERLINK("https://lsnyc.legalserver.org/matter/dynamic-profile/view/1891473","19-1891473")</f>
        <v>0</v>
      </c>
      <c r="B9942" t="s">
        <v>191</v>
      </c>
      <c r="C9942" t="s">
        <v>340</v>
      </c>
      <c r="D9942" t="s">
        <v>757</v>
      </c>
      <c r="F9942" t="s">
        <v>3050</v>
      </c>
      <c r="G9942" t="s">
        <v>7303</v>
      </c>
      <c r="H9942" t="s">
        <v>13032</v>
      </c>
      <c r="I9942">
        <v>601</v>
      </c>
      <c r="J9942" t="s">
        <v>18893</v>
      </c>
      <c r="K9942">
        <v>10001</v>
      </c>
      <c r="L9942" t="s">
        <v>18958</v>
      </c>
      <c r="M9942" t="s">
        <v>18958</v>
      </c>
      <c r="P9942" t="s">
        <v>26563</v>
      </c>
      <c r="R9942" t="s">
        <v>26582</v>
      </c>
      <c r="S9942" t="s">
        <v>18959</v>
      </c>
      <c r="U9942" t="s">
        <v>26604</v>
      </c>
      <c r="X9942">
        <v>526.13</v>
      </c>
      <c r="Y9942" t="s">
        <v>26651</v>
      </c>
      <c r="Z9942" t="s">
        <v>26659</v>
      </c>
      <c r="AB9942" t="s">
        <v>30381</v>
      </c>
      <c r="AD9942" t="s">
        <v>40536</v>
      </c>
      <c r="AE9942">
        <v>0</v>
      </c>
      <c r="AF9942" t="s">
        <v>45548</v>
      </c>
      <c r="AG9942" t="s">
        <v>19330</v>
      </c>
      <c r="AH9942">
        <v>10</v>
      </c>
      <c r="AI9942">
        <v>3</v>
      </c>
      <c r="AJ9942">
        <v>0</v>
      </c>
      <c r="AK9942">
        <v>29.61</v>
      </c>
      <c r="AN9942" t="s">
        <v>45593</v>
      </c>
      <c r="AO9942">
        <v>6315.84</v>
      </c>
      <c r="AU9942">
        <v>54.6</v>
      </c>
      <c r="AV9942" t="s">
        <v>809</v>
      </c>
      <c r="AW9942" t="s">
        <v>314</v>
      </c>
    </row>
    <row r="9943" spans="1:50">
      <c r="A9943" s="1">
        <f>HYPERLINK("https://lsnyc.legalserver.org/matter/dynamic-profile/view/1891486","19-1891486")</f>
        <v>0</v>
      </c>
      <c r="B9943" t="s">
        <v>190</v>
      </c>
      <c r="C9943" t="s">
        <v>340</v>
      </c>
      <c r="D9943" t="s">
        <v>757</v>
      </c>
      <c r="F9943" t="s">
        <v>933</v>
      </c>
      <c r="G9943" t="s">
        <v>994</v>
      </c>
      <c r="H9943" t="s">
        <v>12989</v>
      </c>
      <c r="I9943" t="s">
        <v>17356</v>
      </c>
      <c r="J9943" t="s">
        <v>18894</v>
      </c>
      <c r="K9943">
        <v>11238</v>
      </c>
      <c r="L9943" t="s">
        <v>18958</v>
      </c>
      <c r="M9943" t="s">
        <v>18958</v>
      </c>
      <c r="N9943" t="s">
        <v>25779</v>
      </c>
      <c r="O9943" t="s">
        <v>26525</v>
      </c>
      <c r="P9943" t="s">
        <v>26561</v>
      </c>
      <c r="R9943" t="s">
        <v>26591</v>
      </c>
      <c r="S9943" t="s">
        <v>18959</v>
      </c>
      <c r="U9943" t="s">
        <v>26606</v>
      </c>
      <c r="V9943" t="s">
        <v>26610</v>
      </c>
      <c r="X9943">
        <v>1043</v>
      </c>
      <c r="Y9943" t="s">
        <v>26652</v>
      </c>
      <c r="Z9943" t="s">
        <v>26659</v>
      </c>
      <c r="AB9943" t="s">
        <v>30340</v>
      </c>
      <c r="AC9943" t="s">
        <v>36689</v>
      </c>
      <c r="AD9943" t="s">
        <v>40490</v>
      </c>
      <c r="AE9943">
        <v>102</v>
      </c>
      <c r="AF9943" t="s">
        <v>45549</v>
      </c>
      <c r="AG9943" t="s">
        <v>19330</v>
      </c>
      <c r="AH9943">
        <v>3</v>
      </c>
      <c r="AI9943">
        <v>1</v>
      </c>
      <c r="AJ9943">
        <v>2</v>
      </c>
      <c r="AK9943">
        <v>137.48</v>
      </c>
      <c r="AN9943" t="s">
        <v>7439</v>
      </c>
      <c r="AO9943">
        <v>29325.36</v>
      </c>
      <c r="AU9943">
        <v>18.5</v>
      </c>
      <c r="AV9943" t="s">
        <v>821</v>
      </c>
      <c r="AW9943" t="s">
        <v>190</v>
      </c>
    </row>
    <row r="9944" spans="1:50">
      <c r="A9944" s="1">
        <f>HYPERLINK("https://lsnyc.legalserver.org/matter/dynamic-profile/view/1891464","19-1891464")</f>
        <v>0</v>
      </c>
      <c r="B9944" t="s">
        <v>95</v>
      </c>
      <c r="C9944" t="s">
        <v>340</v>
      </c>
      <c r="D9944" t="s">
        <v>757</v>
      </c>
      <c r="F9944" t="s">
        <v>1820</v>
      </c>
      <c r="G9944" t="s">
        <v>4612</v>
      </c>
      <c r="H9944" t="s">
        <v>12646</v>
      </c>
      <c r="I9944" t="s">
        <v>17757</v>
      </c>
      <c r="J9944" t="s">
        <v>18894</v>
      </c>
      <c r="K9944">
        <v>11233</v>
      </c>
      <c r="L9944" t="s">
        <v>18958</v>
      </c>
      <c r="M9944" t="s">
        <v>18959</v>
      </c>
      <c r="O9944" t="s">
        <v>26531</v>
      </c>
      <c r="P9944" t="s">
        <v>26565</v>
      </c>
      <c r="R9944" t="s">
        <v>26578</v>
      </c>
      <c r="S9944" t="s">
        <v>18958</v>
      </c>
      <c r="U9944" t="s">
        <v>26604</v>
      </c>
      <c r="V9944" t="s">
        <v>26610</v>
      </c>
      <c r="X9944">
        <v>1027</v>
      </c>
      <c r="Y9944" t="s">
        <v>26652</v>
      </c>
      <c r="Z9944" t="s">
        <v>26666</v>
      </c>
      <c r="AB9944" t="s">
        <v>31036</v>
      </c>
      <c r="AC9944" t="s">
        <v>19330</v>
      </c>
      <c r="AE9944">
        <v>359</v>
      </c>
      <c r="AF9944" t="s">
        <v>45541</v>
      </c>
      <c r="AG9944" t="s">
        <v>19330</v>
      </c>
      <c r="AH9944">
        <v>7</v>
      </c>
      <c r="AI9944">
        <v>2</v>
      </c>
      <c r="AJ9944">
        <v>0</v>
      </c>
      <c r="AK9944">
        <v>420.19</v>
      </c>
      <c r="AN9944" t="s">
        <v>7439</v>
      </c>
      <c r="AO9944">
        <v>71054</v>
      </c>
      <c r="AP9944" t="s">
        <v>46230</v>
      </c>
      <c r="AU9944">
        <v>0</v>
      </c>
      <c r="AW9944" t="s">
        <v>286</v>
      </c>
      <c r="AX9944" t="s">
        <v>19330</v>
      </c>
    </row>
    <row r="9945" spans="1:50">
      <c r="A9945" s="1">
        <f>HYPERLINK("https://lsnyc.legalserver.org/matter/dynamic-profile/view/1891603","19-1891603")</f>
        <v>0</v>
      </c>
      <c r="B9945" t="s">
        <v>81</v>
      </c>
      <c r="C9945" t="s">
        <v>340</v>
      </c>
      <c r="D9945" t="s">
        <v>723</v>
      </c>
      <c r="F9945" t="s">
        <v>4701</v>
      </c>
      <c r="G9945" t="s">
        <v>5072</v>
      </c>
      <c r="H9945" t="s">
        <v>13681</v>
      </c>
      <c r="I9945" t="s">
        <v>17395</v>
      </c>
      <c r="J9945" t="s">
        <v>18892</v>
      </c>
      <c r="K9945">
        <v>10473</v>
      </c>
      <c r="L9945" t="s">
        <v>18959</v>
      </c>
      <c r="M9945" t="s">
        <v>18959</v>
      </c>
      <c r="P9945" t="s">
        <v>26560</v>
      </c>
      <c r="R9945" t="s">
        <v>26591</v>
      </c>
      <c r="S9945" t="s">
        <v>18959</v>
      </c>
      <c r="U9945" t="s">
        <v>26604</v>
      </c>
      <c r="X9945">
        <v>1203</v>
      </c>
      <c r="Y9945" t="s">
        <v>26650</v>
      </c>
      <c r="Z9945" t="s">
        <v>26659</v>
      </c>
      <c r="AB9945" t="s">
        <v>32816</v>
      </c>
      <c r="AD9945" t="s">
        <v>44522</v>
      </c>
      <c r="AE9945">
        <v>484</v>
      </c>
      <c r="AF9945" t="s">
        <v>45541</v>
      </c>
      <c r="AG9945" t="s">
        <v>19330</v>
      </c>
      <c r="AH9945">
        <v>10</v>
      </c>
      <c r="AI9945">
        <v>1</v>
      </c>
      <c r="AJ9945">
        <v>0</v>
      </c>
      <c r="AK9945">
        <v>194.01</v>
      </c>
      <c r="AN9945" t="s">
        <v>7439</v>
      </c>
      <c r="AO9945">
        <v>24232</v>
      </c>
      <c r="AU9945">
        <v>7.5</v>
      </c>
      <c r="AV9945" t="s">
        <v>797</v>
      </c>
      <c r="AW9945" t="s">
        <v>329</v>
      </c>
    </row>
    <row r="9946" spans="1:50">
      <c r="A9946" s="1">
        <f>HYPERLINK("https://lsnyc.legalserver.org/matter/dynamic-profile/view/1891669","19-1891669")</f>
        <v>0</v>
      </c>
      <c r="B9946" t="s">
        <v>294</v>
      </c>
      <c r="C9946" t="s">
        <v>340</v>
      </c>
      <c r="D9946" t="s">
        <v>723</v>
      </c>
      <c r="F9946" t="s">
        <v>4702</v>
      </c>
      <c r="G9946" t="s">
        <v>5269</v>
      </c>
      <c r="H9946" t="s">
        <v>16400</v>
      </c>
      <c r="I9946">
        <v>1</v>
      </c>
      <c r="J9946" t="s">
        <v>18898</v>
      </c>
      <c r="K9946">
        <v>11691</v>
      </c>
      <c r="L9946" t="s">
        <v>18960</v>
      </c>
      <c r="M9946" t="s">
        <v>18960</v>
      </c>
      <c r="O9946" t="s">
        <v>26524</v>
      </c>
      <c r="P9946" t="s">
        <v>26560</v>
      </c>
      <c r="R9946" t="s">
        <v>26578</v>
      </c>
      <c r="S9946" t="s">
        <v>18959</v>
      </c>
      <c r="U9946" t="s">
        <v>26604</v>
      </c>
      <c r="X9946">
        <v>1475</v>
      </c>
      <c r="Y9946" t="s">
        <v>26653</v>
      </c>
      <c r="AB9946" t="s">
        <v>33713</v>
      </c>
      <c r="AD9946" t="s">
        <v>44523</v>
      </c>
      <c r="AE9946">
        <v>0</v>
      </c>
      <c r="AF9946" t="s">
        <v>45541</v>
      </c>
      <c r="AG9946" t="s">
        <v>45556</v>
      </c>
      <c r="AH9946">
        <v>9</v>
      </c>
      <c r="AI9946">
        <v>1</v>
      </c>
      <c r="AJ9946">
        <v>0</v>
      </c>
      <c r="AK9946">
        <v>199.84</v>
      </c>
      <c r="AN9946" t="s">
        <v>7439</v>
      </c>
      <c r="AO9946">
        <v>24960</v>
      </c>
      <c r="AU9946">
        <v>4.6</v>
      </c>
      <c r="AV9946" t="s">
        <v>821</v>
      </c>
      <c r="AW9946" t="s">
        <v>46842</v>
      </c>
    </row>
    <row r="9947" spans="1:50">
      <c r="A9947" s="1">
        <f>HYPERLINK("https://lsnyc.legalserver.org/matter/dynamic-profile/view/1891694","19-1891694")</f>
        <v>0</v>
      </c>
      <c r="B9947" t="s">
        <v>203</v>
      </c>
      <c r="C9947" t="s">
        <v>340</v>
      </c>
      <c r="D9947" t="s">
        <v>723</v>
      </c>
      <c r="F9947" t="s">
        <v>4703</v>
      </c>
      <c r="G9947" t="s">
        <v>9213</v>
      </c>
      <c r="H9947" t="s">
        <v>15837</v>
      </c>
      <c r="I9947" t="s">
        <v>17520</v>
      </c>
      <c r="J9947" t="s">
        <v>18894</v>
      </c>
      <c r="K9947">
        <v>11226</v>
      </c>
      <c r="L9947" t="s">
        <v>18960</v>
      </c>
      <c r="M9947" t="s">
        <v>18960</v>
      </c>
      <c r="N9947" t="s">
        <v>25780</v>
      </c>
      <c r="O9947" t="s">
        <v>26523</v>
      </c>
      <c r="P9947" t="s">
        <v>26560</v>
      </c>
      <c r="R9947" t="s">
        <v>26588</v>
      </c>
      <c r="U9947" t="s">
        <v>26604</v>
      </c>
      <c r="X9947">
        <v>0</v>
      </c>
      <c r="Y9947" t="s">
        <v>26652</v>
      </c>
      <c r="Z9947" t="s">
        <v>26664</v>
      </c>
      <c r="AB9947" t="s">
        <v>33714</v>
      </c>
      <c r="AD9947" t="s">
        <v>44524</v>
      </c>
      <c r="AE9947">
        <v>79</v>
      </c>
      <c r="AH9947">
        <v>45</v>
      </c>
      <c r="AI9947">
        <v>2</v>
      </c>
      <c r="AJ9947">
        <v>2</v>
      </c>
      <c r="AK9947">
        <v>120.39</v>
      </c>
      <c r="AN9947" t="s">
        <v>7439</v>
      </c>
      <c r="AO9947">
        <v>31000</v>
      </c>
      <c r="AU9947">
        <v>2.8</v>
      </c>
      <c r="AV9947" t="s">
        <v>781</v>
      </c>
      <c r="AW9947" t="s">
        <v>46862</v>
      </c>
    </row>
    <row r="9948" spans="1:50">
      <c r="A9948" s="1">
        <f>HYPERLINK("https://lsnyc.legalserver.org/matter/dynamic-profile/view/1891639","19-1891639")</f>
        <v>0</v>
      </c>
      <c r="B9948" t="s">
        <v>82</v>
      </c>
      <c r="C9948" t="s">
        <v>340</v>
      </c>
      <c r="D9948" t="s">
        <v>723</v>
      </c>
      <c r="F9948" t="s">
        <v>3061</v>
      </c>
      <c r="G9948" t="s">
        <v>9214</v>
      </c>
      <c r="H9948" t="s">
        <v>16401</v>
      </c>
      <c r="I9948" t="s">
        <v>17274</v>
      </c>
      <c r="J9948" t="s">
        <v>18892</v>
      </c>
      <c r="K9948">
        <v>10451</v>
      </c>
      <c r="L9948" t="s">
        <v>18958</v>
      </c>
      <c r="M9948" t="s">
        <v>18958</v>
      </c>
      <c r="P9948" t="s">
        <v>26564</v>
      </c>
      <c r="R9948" t="s">
        <v>26577</v>
      </c>
      <c r="U9948" t="s">
        <v>26604</v>
      </c>
      <c r="X9948">
        <v>1357.63</v>
      </c>
      <c r="Y9948" t="s">
        <v>26650</v>
      </c>
      <c r="Z9948" t="s">
        <v>26668</v>
      </c>
      <c r="AB9948" t="s">
        <v>30175</v>
      </c>
      <c r="AE9948">
        <v>0</v>
      </c>
      <c r="AH9948">
        <v>8</v>
      </c>
      <c r="AI9948">
        <v>2</v>
      </c>
      <c r="AJ9948">
        <v>0</v>
      </c>
      <c r="AK9948">
        <v>261.38</v>
      </c>
      <c r="AN9948" t="s">
        <v>45581</v>
      </c>
      <c r="AO9948">
        <v>44200</v>
      </c>
      <c r="AP9948" t="s">
        <v>46231</v>
      </c>
      <c r="AU9948">
        <v>1</v>
      </c>
      <c r="AV9948" t="s">
        <v>788</v>
      </c>
      <c r="AW9948" t="s">
        <v>46870</v>
      </c>
    </row>
    <row r="9949" spans="1:50">
      <c r="A9949" s="1">
        <f>HYPERLINK("https://lsnyc.legalserver.org/matter/dynamic-profile/view/1891591","19-1891591")</f>
        <v>0</v>
      </c>
      <c r="B9949" t="s">
        <v>252</v>
      </c>
      <c r="C9949" t="s">
        <v>340</v>
      </c>
      <c r="D9949" t="s">
        <v>723</v>
      </c>
      <c r="F9949" t="s">
        <v>4704</v>
      </c>
      <c r="G9949" t="s">
        <v>9215</v>
      </c>
      <c r="H9949" t="s">
        <v>16402</v>
      </c>
      <c r="I9949" t="s">
        <v>17306</v>
      </c>
      <c r="J9949" t="s">
        <v>18894</v>
      </c>
      <c r="K9949">
        <v>11233</v>
      </c>
      <c r="L9949" t="s">
        <v>18960</v>
      </c>
      <c r="M9949" t="s">
        <v>18960</v>
      </c>
      <c r="N9949" t="s">
        <v>25781</v>
      </c>
      <c r="O9949" t="s">
        <v>26524</v>
      </c>
      <c r="R9949" t="s">
        <v>26583</v>
      </c>
      <c r="U9949" t="s">
        <v>26604</v>
      </c>
      <c r="X9949">
        <v>1900</v>
      </c>
      <c r="Y9949" t="s">
        <v>26652</v>
      </c>
      <c r="Z9949" t="s">
        <v>26530</v>
      </c>
      <c r="AB9949" t="s">
        <v>33715</v>
      </c>
      <c r="AD9949" t="s">
        <v>44525</v>
      </c>
      <c r="AE9949">
        <v>2</v>
      </c>
      <c r="AF9949" t="s">
        <v>45547</v>
      </c>
      <c r="AG9949" t="s">
        <v>19330</v>
      </c>
      <c r="AH9949">
        <v>2</v>
      </c>
      <c r="AI9949">
        <v>2</v>
      </c>
      <c r="AJ9949">
        <v>2</v>
      </c>
      <c r="AK9949">
        <v>271.84</v>
      </c>
      <c r="AN9949" t="s">
        <v>7439</v>
      </c>
      <c r="AO9949">
        <v>70000</v>
      </c>
      <c r="AU9949">
        <v>2.4</v>
      </c>
      <c r="AV9949" t="s">
        <v>657</v>
      </c>
      <c r="AW9949" t="s">
        <v>46841</v>
      </c>
    </row>
    <row r="9950" spans="1:50">
      <c r="A9950" s="1">
        <f>HYPERLINK("https://lsnyc.legalserver.org/matter/dynamic-profile/view/1891621","19-1891621")</f>
        <v>0</v>
      </c>
      <c r="B9950" t="s">
        <v>95</v>
      </c>
      <c r="C9950" t="s">
        <v>340</v>
      </c>
      <c r="D9950" t="s">
        <v>723</v>
      </c>
      <c r="F9950" t="s">
        <v>928</v>
      </c>
      <c r="G9950" t="s">
        <v>1995</v>
      </c>
      <c r="H9950" t="s">
        <v>12646</v>
      </c>
      <c r="I9950" t="s">
        <v>17276</v>
      </c>
      <c r="J9950" t="s">
        <v>18894</v>
      </c>
      <c r="K9950">
        <v>11233</v>
      </c>
      <c r="L9950" t="s">
        <v>18958</v>
      </c>
      <c r="M9950" t="s">
        <v>18959</v>
      </c>
      <c r="O9950" t="s">
        <v>26531</v>
      </c>
      <c r="P9950" t="s">
        <v>26565</v>
      </c>
      <c r="R9950" t="s">
        <v>26578</v>
      </c>
      <c r="S9950" t="s">
        <v>18958</v>
      </c>
      <c r="U9950" t="s">
        <v>26604</v>
      </c>
      <c r="V9950" t="s">
        <v>26610</v>
      </c>
      <c r="X9950">
        <v>776.46</v>
      </c>
      <c r="Y9950" t="s">
        <v>26652</v>
      </c>
      <c r="Z9950" t="s">
        <v>26530</v>
      </c>
      <c r="AB9950" t="s">
        <v>33682</v>
      </c>
      <c r="AC9950" t="s">
        <v>19330</v>
      </c>
      <c r="AE9950">
        <v>359</v>
      </c>
      <c r="AF9950" t="s">
        <v>45541</v>
      </c>
      <c r="AG9950" t="s">
        <v>19330</v>
      </c>
      <c r="AH9950">
        <v>2</v>
      </c>
      <c r="AI9950">
        <v>2</v>
      </c>
      <c r="AJ9950">
        <v>0</v>
      </c>
      <c r="AK9950">
        <v>543.35</v>
      </c>
      <c r="AN9950" t="s">
        <v>7439</v>
      </c>
      <c r="AO9950">
        <v>91879.89999999999</v>
      </c>
      <c r="AP9950" t="s">
        <v>46232</v>
      </c>
      <c r="AU9950">
        <v>0</v>
      </c>
      <c r="AW9950" t="s">
        <v>286</v>
      </c>
      <c r="AX9950" t="s">
        <v>19330</v>
      </c>
    </row>
    <row r="9951" spans="1:50">
      <c r="A9951" s="1">
        <f>HYPERLINK("https://lsnyc.legalserver.org/matter/dynamic-profile/view/1891712","19-1891712")</f>
        <v>0</v>
      </c>
      <c r="B9951" t="s">
        <v>194</v>
      </c>
      <c r="C9951" t="s">
        <v>340</v>
      </c>
      <c r="D9951" t="s">
        <v>723</v>
      </c>
      <c r="F9951" t="s">
        <v>1985</v>
      </c>
      <c r="G9951" t="s">
        <v>6769</v>
      </c>
      <c r="H9951" t="s">
        <v>12139</v>
      </c>
      <c r="I9951">
        <v>18</v>
      </c>
      <c r="J9951" t="s">
        <v>18893</v>
      </c>
      <c r="K9951">
        <v>10027</v>
      </c>
      <c r="L9951" t="s">
        <v>18958</v>
      </c>
      <c r="M9951" t="s">
        <v>18958</v>
      </c>
      <c r="P9951" t="s">
        <v>26560</v>
      </c>
      <c r="R9951" t="s">
        <v>26582</v>
      </c>
      <c r="U9951" t="s">
        <v>26604</v>
      </c>
      <c r="X9951">
        <v>1537.32</v>
      </c>
      <c r="Y9951" t="s">
        <v>26651</v>
      </c>
      <c r="Z9951" t="s">
        <v>26659</v>
      </c>
      <c r="AB9951" t="s">
        <v>29420</v>
      </c>
      <c r="AD9951" t="s">
        <v>39480</v>
      </c>
      <c r="AE9951">
        <v>0</v>
      </c>
      <c r="AF9951" t="s">
        <v>45541</v>
      </c>
      <c r="AG9951" t="s">
        <v>19330</v>
      </c>
      <c r="AH9951">
        <v>14</v>
      </c>
      <c r="AI9951">
        <v>1</v>
      </c>
      <c r="AJ9951">
        <v>0</v>
      </c>
      <c r="AK9951">
        <v>0</v>
      </c>
      <c r="AN9951" t="s">
        <v>7439</v>
      </c>
      <c r="AO9951">
        <v>0</v>
      </c>
      <c r="AU9951">
        <v>40.55</v>
      </c>
      <c r="AV9951" t="s">
        <v>834</v>
      </c>
      <c r="AW9951" t="s">
        <v>314</v>
      </c>
    </row>
    <row r="9952" spans="1:50">
      <c r="A9952" s="1">
        <f>HYPERLINK("https://lsnyc.legalserver.org/matter/dynamic-profile/view/1889073","19-1889073")</f>
        <v>0</v>
      </c>
      <c r="B9952" t="s">
        <v>324</v>
      </c>
      <c r="C9952" t="s">
        <v>341</v>
      </c>
      <c r="D9952" t="s">
        <v>728</v>
      </c>
      <c r="E9952" t="s">
        <v>784</v>
      </c>
      <c r="F9952" t="s">
        <v>1938</v>
      </c>
      <c r="G9952" t="s">
        <v>9216</v>
      </c>
      <c r="H9952" t="s">
        <v>16403</v>
      </c>
      <c r="I9952" t="s">
        <v>17332</v>
      </c>
      <c r="J9952" t="s">
        <v>18894</v>
      </c>
      <c r="K9952">
        <v>11207</v>
      </c>
      <c r="L9952" t="s">
        <v>18959</v>
      </c>
      <c r="M9952" t="s">
        <v>18958</v>
      </c>
      <c r="Q9952" t="s">
        <v>26570</v>
      </c>
      <c r="R9952" t="s">
        <v>26578</v>
      </c>
      <c r="U9952" t="s">
        <v>26604</v>
      </c>
      <c r="X9952">
        <v>0</v>
      </c>
      <c r="Y9952" t="s">
        <v>26652</v>
      </c>
      <c r="AA9952" t="s">
        <v>26683</v>
      </c>
      <c r="AB9952" t="s">
        <v>33716</v>
      </c>
      <c r="AE9952">
        <v>0</v>
      </c>
      <c r="AH9952">
        <v>0</v>
      </c>
      <c r="AI9952">
        <v>3</v>
      </c>
      <c r="AJ9952">
        <v>2</v>
      </c>
      <c r="AK9952">
        <v>95.22</v>
      </c>
      <c r="AN9952" t="s">
        <v>45581</v>
      </c>
      <c r="AO9952">
        <v>28728</v>
      </c>
      <c r="AU9952">
        <v>3.5</v>
      </c>
      <c r="AV9952" t="s">
        <v>784</v>
      </c>
      <c r="AW9952" t="s">
        <v>279</v>
      </c>
    </row>
    <row r="9953" spans="1:50">
      <c r="A9953" s="1">
        <f>HYPERLINK("https://lsnyc.legalserver.org/matter/dynamic-profile/view/1891735","19-1891735")</f>
        <v>0</v>
      </c>
      <c r="B9953" t="s">
        <v>60</v>
      </c>
      <c r="C9953" t="s">
        <v>341</v>
      </c>
      <c r="D9953" t="s">
        <v>728</v>
      </c>
      <c r="E9953" t="s">
        <v>800</v>
      </c>
      <c r="F9953" t="s">
        <v>4705</v>
      </c>
      <c r="G9953" t="s">
        <v>7214</v>
      </c>
      <c r="H9953" t="s">
        <v>16404</v>
      </c>
      <c r="I9953" t="s">
        <v>17358</v>
      </c>
      <c r="J9953" t="s">
        <v>18892</v>
      </c>
      <c r="K9953">
        <v>10459</v>
      </c>
      <c r="L9953" t="s">
        <v>18960</v>
      </c>
      <c r="M9953" t="s">
        <v>18960</v>
      </c>
      <c r="N9953">
        <v>7543</v>
      </c>
      <c r="O9953" t="s">
        <v>26523</v>
      </c>
      <c r="P9953" t="s">
        <v>26564</v>
      </c>
      <c r="Q9953" t="s">
        <v>26570</v>
      </c>
      <c r="R9953" t="s">
        <v>26591</v>
      </c>
      <c r="S9953" t="s">
        <v>18959</v>
      </c>
      <c r="U9953" t="s">
        <v>26604</v>
      </c>
      <c r="X9953">
        <v>295</v>
      </c>
      <c r="Y9953" t="s">
        <v>26650</v>
      </c>
      <c r="AA9953" t="s">
        <v>26683</v>
      </c>
      <c r="AB9953" t="s">
        <v>33717</v>
      </c>
      <c r="AD9953" t="s">
        <v>44526</v>
      </c>
      <c r="AE9953">
        <v>96</v>
      </c>
      <c r="AG9953" t="s">
        <v>45556</v>
      </c>
      <c r="AH9953">
        <v>20</v>
      </c>
      <c r="AI9953">
        <v>2</v>
      </c>
      <c r="AJ9953">
        <v>4</v>
      </c>
      <c r="AK9953">
        <v>53.5</v>
      </c>
      <c r="AN9953" t="s">
        <v>7439</v>
      </c>
      <c r="AO9953">
        <v>18504</v>
      </c>
      <c r="AU9953">
        <v>0.5</v>
      </c>
      <c r="AV9953" t="s">
        <v>728</v>
      </c>
      <c r="AW9953" t="s">
        <v>46829</v>
      </c>
    </row>
    <row r="9954" spans="1:50">
      <c r="A9954" s="1">
        <f>HYPERLINK("https://lsnyc.legalserver.org/matter/dynamic-profile/view/1891771","19-1891771")</f>
        <v>0</v>
      </c>
      <c r="B9954" t="s">
        <v>70</v>
      </c>
      <c r="C9954" t="s">
        <v>340</v>
      </c>
      <c r="D9954" t="s">
        <v>728</v>
      </c>
      <c r="F9954" t="s">
        <v>887</v>
      </c>
      <c r="G9954" t="s">
        <v>5244</v>
      </c>
      <c r="H9954" t="s">
        <v>11571</v>
      </c>
      <c r="I9954" t="s">
        <v>17436</v>
      </c>
      <c r="J9954" t="s">
        <v>18892</v>
      </c>
      <c r="K9954">
        <v>10461</v>
      </c>
      <c r="L9954" t="s">
        <v>18958</v>
      </c>
      <c r="M9954" t="s">
        <v>18958</v>
      </c>
      <c r="O9954" t="s">
        <v>26534</v>
      </c>
      <c r="P9954" t="s">
        <v>26561</v>
      </c>
      <c r="R9954" t="s">
        <v>26577</v>
      </c>
      <c r="S9954" t="s">
        <v>18959</v>
      </c>
      <c r="U9954" t="s">
        <v>26604</v>
      </c>
      <c r="X9954">
        <v>1800</v>
      </c>
      <c r="Y9954" t="s">
        <v>26650</v>
      </c>
      <c r="Z9954" t="s">
        <v>26664</v>
      </c>
      <c r="AB9954" t="s">
        <v>28780</v>
      </c>
      <c r="AC9954" t="s">
        <v>35214</v>
      </c>
      <c r="AE9954">
        <v>22</v>
      </c>
      <c r="AF9954" t="s">
        <v>45541</v>
      </c>
      <c r="AG9954" t="s">
        <v>19330</v>
      </c>
      <c r="AH9954">
        <v>4</v>
      </c>
      <c r="AI9954">
        <v>2</v>
      </c>
      <c r="AJ9954">
        <v>2</v>
      </c>
      <c r="AK9954">
        <v>174.28</v>
      </c>
      <c r="AN9954" t="s">
        <v>45581</v>
      </c>
      <c r="AO9954">
        <v>44876</v>
      </c>
      <c r="AP9954" t="s">
        <v>46233</v>
      </c>
      <c r="AU9954">
        <v>9</v>
      </c>
      <c r="AV9954" t="s">
        <v>810</v>
      </c>
      <c r="AW9954" t="s">
        <v>46870</v>
      </c>
    </row>
    <row r="9955" spans="1:50">
      <c r="A9955" s="1">
        <f>HYPERLINK("https://lsnyc.legalserver.org/matter/dynamic-profile/view/1891775","19-1891775")</f>
        <v>0</v>
      </c>
      <c r="B9955" t="s">
        <v>58</v>
      </c>
      <c r="C9955" t="s">
        <v>340</v>
      </c>
      <c r="D9955" t="s">
        <v>728</v>
      </c>
      <c r="F9955" t="s">
        <v>1964</v>
      </c>
      <c r="G9955" t="s">
        <v>6230</v>
      </c>
      <c r="H9955" t="s">
        <v>16405</v>
      </c>
      <c r="J9955" t="s">
        <v>18892</v>
      </c>
      <c r="K9955">
        <v>10467</v>
      </c>
      <c r="L9955" t="s">
        <v>18958</v>
      </c>
      <c r="M9955" t="s">
        <v>18958</v>
      </c>
      <c r="N9955" t="s">
        <v>25782</v>
      </c>
      <c r="O9955" t="s">
        <v>26523</v>
      </c>
      <c r="P9955" t="s">
        <v>26560</v>
      </c>
      <c r="R9955" t="s">
        <v>26579</v>
      </c>
      <c r="S9955" t="s">
        <v>18959</v>
      </c>
      <c r="U9955" t="s">
        <v>26604</v>
      </c>
      <c r="V9955" t="s">
        <v>26611</v>
      </c>
      <c r="X9955">
        <v>0</v>
      </c>
      <c r="Y9955" t="s">
        <v>26650</v>
      </c>
      <c r="AB9955" t="s">
        <v>30155</v>
      </c>
      <c r="AD9955" t="s">
        <v>44527</v>
      </c>
      <c r="AE9955">
        <v>8</v>
      </c>
      <c r="AG9955" t="s">
        <v>45556</v>
      </c>
      <c r="AH9955">
        <v>7</v>
      </c>
      <c r="AI9955">
        <v>1</v>
      </c>
      <c r="AJ9955">
        <v>0</v>
      </c>
      <c r="AK9955">
        <v>81.67</v>
      </c>
      <c r="AN9955" t="s">
        <v>7439</v>
      </c>
      <c r="AO9955">
        <v>10200</v>
      </c>
      <c r="AP9955" t="s">
        <v>46234</v>
      </c>
      <c r="AU9955">
        <v>5.45</v>
      </c>
      <c r="AV9955" t="s">
        <v>839</v>
      </c>
      <c r="AW9955" t="s">
        <v>46871</v>
      </c>
    </row>
    <row r="9956" spans="1:50">
      <c r="A9956" s="1">
        <f>HYPERLINK("https://lsnyc.legalserver.org/matter/dynamic-profile/view/1891781","19-1891781")</f>
        <v>0</v>
      </c>
      <c r="B9956" t="s">
        <v>322</v>
      </c>
      <c r="C9956" t="s">
        <v>340</v>
      </c>
      <c r="D9956" t="s">
        <v>728</v>
      </c>
      <c r="F9956" t="s">
        <v>1345</v>
      </c>
      <c r="G9956" t="s">
        <v>5657</v>
      </c>
      <c r="H9956" t="s">
        <v>14461</v>
      </c>
      <c r="I9956" t="s">
        <v>18733</v>
      </c>
      <c r="J9956" t="s">
        <v>18893</v>
      </c>
      <c r="K9956">
        <v>10025</v>
      </c>
      <c r="L9956" t="s">
        <v>18960</v>
      </c>
      <c r="M9956" t="s">
        <v>18960</v>
      </c>
      <c r="P9956" t="s">
        <v>26563</v>
      </c>
      <c r="R9956" t="s">
        <v>26591</v>
      </c>
      <c r="U9956" t="s">
        <v>26604</v>
      </c>
      <c r="X9956">
        <v>1400</v>
      </c>
      <c r="Y9956" t="s">
        <v>26651</v>
      </c>
      <c r="Z9956" t="s">
        <v>26661</v>
      </c>
      <c r="AB9956" t="s">
        <v>33718</v>
      </c>
      <c r="AD9956" t="s">
        <v>44528</v>
      </c>
      <c r="AE9956">
        <v>140</v>
      </c>
      <c r="AG9956" t="s">
        <v>45556</v>
      </c>
      <c r="AH9956">
        <v>11</v>
      </c>
      <c r="AI9956">
        <v>1</v>
      </c>
      <c r="AJ9956">
        <v>0</v>
      </c>
      <c r="AK9956">
        <v>72.63</v>
      </c>
      <c r="AN9956" t="s">
        <v>7439</v>
      </c>
      <c r="AO9956">
        <v>9072</v>
      </c>
      <c r="AU9956">
        <v>1</v>
      </c>
      <c r="AV9956" t="s">
        <v>728</v>
      </c>
      <c r="AW9956" t="s">
        <v>46858</v>
      </c>
    </row>
    <row r="9957" spans="1:50">
      <c r="A9957" s="1">
        <f>HYPERLINK("https://lsnyc.legalserver.org/matter/dynamic-profile/view/1891803","19-1891803")</f>
        <v>0</v>
      </c>
      <c r="B9957" t="s">
        <v>227</v>
      </c>
      <c r="C9957" t="s">
        <v>340</v>
      </c>
      <c r="D9957" t="s">
        <v>728</v>
      </c>
      <c r="F9957" t="s">
        <v>2362</v>
      </c>
      <c r="G9957" t="s">
        <v>9217</v>
      </c>
      <c r="H9957" t="s">
        <v>16406</v>
      </c>
      <c r="I9957" t="s">
        <v>17728</v>
      </c>
      <c r="J9957" t="s">
        <v>18894</v>
      </c>
      <c r="K9957">
        <v>11230</v>
      </c>
      <c r="L9957" t="s">
        <v>18960</v>
      </c>
      <c r="M9957" t="s">
        <v>18960</v>
      </c>
      <c r="N9957" t="s">
        <v>25783</v>
      </c>
      <c r="O9957" t="s">
        <v>26523</v>
      </c>
      <c r="P9957" t="s">
        <v>26560</v>
      </c>
      <c r="R9957" t="s">
        <v>26586</v>
      </c>
      <c r="U9957" t="s">
        <v>26604</v>
      </c>
      <c r="X9957">
        <v>1150</v>
      </c>
      <c r="Y9957" t="s">
        <v>26652</v>
      </c>
      <c r="Z9957" t="s">
        <v>26664</v>
      </c>
      <c r="AB9957" t="s">
        <v>33719</v>
      </c>
      <c r="AD9957" t="s">
        <v>44529</v>
      </c>
      <c r="AE9957">
        <v>43</v>
      </c>
      <c r="AH9957">
        <v>18</v>
      </c>
      <c r="AI9957">
        <v>2</v>
      </c>
      <c r="AJ9957">
        <v>2</v>
      </c>
      <c r="AK9957">
        <v>0</v>
      </c>
      <c r="AN9957" t="s">
        <v>45592</v>
      </c>
      <c r="AO9957">
        <v>0</v>
      </c>
      <c r="AU9957">
        <v>9.5</v>
      </c>
      <c r="AV9957" t="s">
        <v>834</v>
      </c>
      <c r="AW9957" t="s">
        <v>46862</v>
      </c>
    </row>
    <row r="9958" spans="1:50">
      <c r="A9958" s="1">
        <f>HYPERLINK("https://lsnyc.legalserver.org/matter/dynamic-profile/view/1891761","19-1891761")</f>
        <v>0</v>
      </c>
      <c r="B9958" t="s">
        <v>71</v>
      </c>
      <c r="C9958" t="s">
        <v>340</v>
      </c>
      <c r="D9958" t="s">
        <v>728</v>
      </c>
      <c r="F9958" t="s">
        <v>4706</v>
      </c>
      <c r="G9958" t="s">
        <v>9218</v>
      </c>
      <c r="H9958" t="s">
        <v>16407</v>
      </c>
      <c r="I9958" t="s">
        <v>17406</v>
      </c>
      <c r="J9958" t="s">
        <v>18892</v>
      </c>
      <c r="K9958">
        <v>10467</v>
      </c>
      <c r="L9958" t="s">
        <v>18960</v>
      </c>
      <c r="M9958" t="s">
        <v>18960</v>
      </c>
      <c r="N9958" t="s">
        <v>25784</v>
      </c>
      <c r="O9958" t="s">
        <v>26523</v>
      </c>
      <c r="P9958" t="s">
        <v>26560</v>
      </c>
      <c r="R9958" t="s">
        <v>26579</v>
      </c>
      <c r="S9958" t="s">
        <v>18959</v>
      </c>
      <c r="U9958" t="s">
        <v>26604</v>
      </c>
      <c r="X9958">
        <v>1200</v>
      </c>
      <c r="Y9958" t="s">
        <v>26650</v>
      </c>
      <c r="AB9958" t="s">
        <v>32899</v>
      </c>
      <c r="AD9958" t="s">
        <v>44530</v>
      </c>
      <c r="AE9958">
        <v>0</v>
      </c>
      <c r="AF9958" t="s">
        <v>45547</v>
      </c>
      <c r="AH9958">
        <v>9</v>
      </c>
      <c r="AI9958">
        <v>2</v>
      </c>
      <c r="AJ9958">
        <v>1</v>
      </c>
      <c r="AK9958">
        <v>73.14</v>
      </c>
      <c r="AN9958" t="s">
        <v>45584</v>
      </c>
      <c r="AO9958">
        <v>15600</v>
      </c>
      <c r="AP9958" t="s">
        <v>46235</v>
      </c>
      <c r="AU9958">
        <v>26.8</v>
      </c>
      <c r="AV9958" t="s">
        <v>839</v>
      </c>
      <c r="AW9958" t="s">
        <v>46871</v>
      </c>
    </row>
    <row r="9959" spans="1:50">
      <c r="A9959" s="1">
        <f>HYPERLINK("https://lsnyc.legalserver.org/matter/dynamic-profile/view/1891265","19-1891265")</f>
        <v>0</v>
      </c>
      <c r="B9959" t="s">
        <v>102</v>
      </c>
      <c r="C9959" t="s">
        <v>340</v>
      </c>
      <c r="D9959" t="s">
        <v>728</v>
      </c>
      <c r="F9959" t="s">
        <v>1082</v>
      </c>
      <c r="G9959" t="s">
        <v>6065</v>
      </c>
      <c r="H9959" t="s">
        <v>12218</v>
      </c>
      <c r="I9959" t="s">
        <v>17283</v>
      </c>
      <c r="J9959" t="s">
        <v>18902</v>
      </c>
      <c r="K9959">
        <v>10303</v>
      </c>
      <c r="L9959" t="s">
        <v>18958</v>
      </c>
      <c r="M9959" t="s">
        <v>18958</v>
      </c>
      <c r="N9959" t="s">
        <v>25785</v>
      </c>
      <c r="O9959" t="s">
        <v>26525</v>
      </c>
      <c r="R9959" t="s">
        <v>26587</v>
      </c>
      <c r="S9959" t="s">
        <v>18959</v>
      </c>
      <c r="U9959" t="s">
        <v>26605</v>
      </c>
      <c r="V9959" t="s">
        <v>26610</v>
      </c>
      <c r="X9959">
        <v>169</v>
      </c>
      <c r="Y9959" t="s">
        <v>26654</v>
      </c>
      <c r="Z9959" t="s">
        <v>26659</v>
      </c>
      <c r="AB9959" t="s">
        <v>28652</v>
      </c>
      <c r="AE9959">
        <v>0</v>
      </c>
      <c r="AF9959" t="s">
        <v>45549</v>
      </c>
      <c r="AG9959" t="s">
        <v>45556</v>
      </c>
      <c r="AH9959">
        <v>3</v>
      </c>
      <c r="AI9959">
        <v>1</v>
      </c>
      <c r="AJ9959">
        <v>2</v>
      </c>
      <c r="AK9959">
        <v>16.88</v>
      </c>
      <c r="AN9959" t="s">
        <v>45581</v>
      </c>
      <c r="AO9959">
        <v>3600</v>
      </c>
      <c r="AU9959">
        <v>0.5</v>
      </c>
      <c r="AV9959" t="s">
        <v>728</v>
      </c>
      <c r="AW9959" t="s">
        <v>210</v>
      </c>
    </row>
    <row r="9960" spans="1:50">
      <c r="A9960" s="1">
        <f>HYPERLINK("https://lsnyc.legalserver.org/matter/dynamic-profile/view/1891742","19-1891742")</f>
        <v>0</v>
      </c>
      <c r="B9960" t="s">
        <v>103</v>
      </c>
      <c r="C9960" t="s">
        <v>340</v>
      </c>
      <c r="D9960" t="s">
        <v>728</v>
      </c>
      <c r="F9960" t="s">
        <v>993</v>
      </c>
      <c r="G9960" t="s">
        <v>9219</v>
      </c>
      <c r="H9960" t="s">
        <v>16408</v>
      </c>
      <c r="J9960" t="s">
        <v>18902</v>
      </c>
      <c r="K9960">
        <v>10310</v>
      </c>
      <c r="L9960" t="s">
        <v>18960</v>
      </c>
      <c r="M9960" t="s">
        <v>18960</v>
      </c>
      <c r="P9960" t="s">
        <v>26564</v>
      </c>
      <c r="R9960" t="s">
        <v>26590</v>
      </c>
      <c r="U9960" t="s">
        <v>26604</v>
      </c>
      <c r="X9960">
        <v>0</v>
      </c>
      <c r="Y9960" t="s">
        <v>26654</v>
      </c>
      <c r="AB9960" t="s">
        <v>30565</v>
      </c>
      <c r="AD9960" t="s">
        <v>44531</v>
      </c>
      <c r="AE9960">
        <v>0</v>
      </c>
      <c r="AH9960">
        <v>0</v>
      </c>
      <c r="AI9960">
        <v>1</v>
      </c>
      <c r="AJ9960">
        <v>0</v>
      </c>
      <c r="AK9960">
        <v>362.21</v>
      </c>
      <c r="AN9960" t="s">
        <v>7439</v>
      </c>
      <c r="AO9960">
        <v>45240</v>
      </c>
      <c r="AU9960">
        <v>0.1</v>
      </c>
      <c r="AV9960" t="s">
        <v>789</v>
      </c>
      <c r="AW9960" t="s">
        <v>210</v>
      </c>
    </row>
    <row r="9961" spans="1:50">
      <c r="A9961" s="1">
        <f>HYPERLINK("https://lsnyc.legalserver.org/matter/dynamic-profile/view/1891901","19-1891901")</f>
        <v>0</v>
      </c>
      <c r="B9961" t="s">
        <v>137</v>
      </c>
      <c r="C9961" t="s">
        <v>341</v>
      </c>
      <c r="D9961" t="s">
        <v>574</v>
      </c>
      <c r="E9961" t="s">
        <v>816</v>
      </c>
      <c r="F9961" t="s">
        <v>2268</v>
      </c>
      <c r="G9961" t="s">
        <v>6460</v>
      </c>
      <c r="H9961" t="s">
        <v>11656</v>
      </c>
      <c r="I9961" t="s">
        <v>17275</v>
      </c>
      <c r="J9961" t="s">
        <v>18892</v>
      </c>
      <c r="K9961">
        <v>10455</v>
      </c>
      <c r="L9961" t="s">
        <v>18958</v>
      </c>
      <c r="M9961" t="s">
        <v>18958</v>
      </c>
      <c r="N9961" t="s">
        <v>25786</v>
      </c>
      <c r="O9961" t="s">
        <v>26523</v>
      </c>
      <c r="P9961" t="s">
        <v>26560</v>
      </c>
      <c r="Q9961" t="s">
        <v>26568</v>
      </c>
      <c r="R9961" t="s">
        <v>26577</v>
      </c>
      <c r="S9961" t="s">
        <v>18959</v>
      </c>
      <c r="U9961" t="s">
        <v>26604</v>
      </c>
      <c r="V9961" t="s">
        <v>26609</v>
      </c>
      <c r="X9961">
        <v>689</v>
      </c>
      <c r="Y9961" t="s">
        <v>26650</v>
      </c>
      <c r="Z9961" t="s">
        <v>26659</v>
      </c>
      <c r="AA9961" t="s">
        <v>26680</v>
      </c>
      <c r="AB9961" t="s">
        <v>28864</v>
      </c>
      <c r="AD9961" t="s">
        <v>38924</v>
      </c>
      <c r="AE9961">
        <v>46</v>
      </c>
      <c r="AF9961" t="s">
        <v>45543</v>
      </c>
      <c r="AG9961" t="s">
        <v>45563</v>
      </c>
      <c r="AH9961">
        <v>2</v>
      </c>
      <c r="AI9961">
        <v>2</v>
      </c>
      <c r="AJ9961">
        <v>1</v>
      </c>
      <c r="AK9961">
        <v>97.52</v>
      </c>
      <c r="AO9961">
        <v>20800</v>
      </c>
      <c r="AP9961" t="s">
        <v>46236</v>
      </c>
      <c r="AR9961" t="s">
        <v>46383</v>
      </c>
      <c r="AS9961" t="s">
        <v>46499</v>
      </c>
      <c r="AT9961" t="s">
        <v>46789</v>
      </c>
      <c r="AU9961">
        <v>4</v>
      </c>
      <c r="AV9961" t="s">
        <v>771</v>
      </c>
      <c r="AW9961" t="s">
        <v>46847</v>
      </c>
      <c r="AX9961" t="s">
        <v>46897</v>
      </c>
    </row>
    <row r="9962" spans="1:50">
      <c r="A9962" s="1">
        <f>HYPERLINK("https://lsnyc.legalserver.org/matter/dynamic-profile/view/1891887","19-1891887")</f>
        <v>0</v>
      </c>
      <c r="B9962" t="s">
        <v>286</v>
      </c>
      <c r="C9962" t="s">
        <v>341</v>
      </c>
      <c r="D9962" t="s">
        <v>574</v>
      </c>
      <c r="E9962" t="s">
        <v>754</v>
      </c>
      <c r="F9962" t="s">
        <v>916</v>
      </c>
      <c r="G9962" t="s">
        <v>6429</v>
      </c>
      <c r="H9962" t="s">
        <v>16409</v>
      </c>
      <c r="I9962" t="s">
        <v>17423</v>
      </c>
      <c r="J9962" t="s">
        <v>18894</v>
      </c>
      <c r="K9962">
        <v>11207</v>
      </c>
      <c r="L9962" t="s">
        <v>18960</v>
      </c>
      <c r="M9962" t="s">
        <v>18960</v>
      </c>
      <c r="P9962" t="s">
        <v>26564</v>
      </c>
      <c r="Q9962" t="s">
        <v>26570</v>
      </c>
      <c r="R9962" t="s">
        <v>26578</v>
      </c>
      <c r="U9962" t="s">
        <v>26604</v>
      </c>
      <c r="X9962">
        <v>1500</v>
      </c>
      <c r="Y9962" t="s">
        <v>26652</v>
      </c>
      <c r="Z9962" t="s">
        <v>26673</v>
      </c>
      <c r="AA9962" t="s">
        <v>26693</v>
      </c>
      <c r="AB9962" t="s">
        <v>33720</v>
      </c>
      <c r="AD9962" t="s">
        <v>44532</v>
      </c>
      <c r="AE9962">
        <v>2</v>
      </c>
      <c r="AG9962" t="s">
        <v>19330</v>
      </c>
      <c r="AH9962">
        <v>6</v>
      </c>
      <c r="AI9962">
        <v>1</v>
      </c>
      <c r="AJ9962">
        <v>1</v>
      </c>
      <c r="AK9962">
        <v>345.95</v>
      </c>
      <c r="AN9962" t="s">
        <v>45581</v>
      </c>
      <c r="AO9962">
        <v>58500</v>
      </c>
      <c r="AU9962">
        <v>0.3</v>
      </c>
      <c r="AV9962" t="s">
        <v>574</v>
      </c>
      <c r="AW9962" t="s">
        <v>46849</v>
      </c>
    </row>
    <row r="9963" spans="1:50">
      <c r="A9963" s="1">
        <f>HYPERLINK("https://lsnyc.legalserver.org/matter/dynamic-profile/view/1892245","19-1892245")</f>
        <v>0</v>
      </c>
      <c r="B9963" t="s">
        <v>166</v>
      </c>
      <c r="C9963" t="s">
        <v>341</v>
      </c>
      <c r="D9963" t="s">
        <v>574</v>
      </c>
      <c r="E9963" t="s">
        <v>764</v>
      </c>
      <c r="F9963" t="s">
        <v>887</v>
      </c>
      <c r="G9963" t="s">
        <v>1725</v>
      </c>
      <c r="H9963" t="s">
        <v>16410</v>
      </c>
      <c r="I9963">
        <v>4</v>
      </c>
      <c r="J9963" t="s">
        <v>18892</v>
      </c>
      <c r="K9963">
        <v>10451</v>
      </c>
      <c r="L9963" t="s">
        <v>18960</v>
      </c>
      <c r="M9963" t="s">
        <v>18960</v>
      </c>
      <c r="N9963" t="s">
        <v>25787</v>
      </c>
      <c r="O9963" t="s">
        <v>26523</v>
      </c>
      <c r="P9963" t="s">
        <v>26564</v>
      </c>
      <c r="Q9963" t="s">
        <v>26570</v>
      </c>
      <c r="R9963" t="s">
        <v>26583</v>
      </c>
      <c r="S9963" t="s">
        <v>18959</v>
      </c>
      <c r="U9963" t="s">
        <v>26604</v>
      </c>
      <c r="X9963">
        <v>0</v>
      </c>
      <c r="Y9963" t="s">
        <v>26650</v>
      </c>
      <c r="Z9963" t="s">
        <v>26661</v>
      </c>
      <c r="AA9963" t="s">
        <v>26683</v>
      </c>
      <c r="AB9963" t="s">
        <v>31493</v>
      </c>
      <c r="AD9963" t="s">
        <v>44533</v>
      </c>
      <c r="AE9963">
        <v>0</v>
      </c>
      <c r="AG9963" t="s">
        <v>45556</v>
      </c>
      <c r="AH9963">
        <v>0</v>
      </c>
      <c r="AI9963">
        <v>2</v>
      </c>
      <c r="AJ9963">
        <v>0</v>
      </c>
      <c r="AK9963">
        <v>425.78</v>
      </c>
      <c r="AN9963" t="s">
        <v>7439</v>
      </c>
      <c r="AO9963">
        <v>72000</v>
      </c>
      <c r="AU9963">
        <v>2</v>
      </c>
      <c r="AV9963" t="s">
        <v>763</v>
      </c>
      <c r="AW9963" t="s">
        <v>46832</v>
      </c>
    </row>
    <row r="9964" spans="1:50">
      <c r="A9964" s="1">
        <f>HYPERLINK("https://lsnyc.legalserver.org/matter/dynamic-profile/view/1891994","19-1891994")</f>
        <v>0</v>
      </c>
      <c r="B9964" t="s">
        <v>271</v>
      </c>
      <c r="C9964" t="s">
        <v>341</v>
      </c>
      <c r="D9964" t="s">
        <v>574</v>
      </c>
      <c r="E9964" t="s">
        <v>788</v>
      </c>
      <c r="F9964" t="s">
        <v>1188</v>
      </c>
      <c r="G9964" t="s">
        <v>6985</v>
      </c>
      <c r="H9964" t="s">
        <v>16411</v>
      </c>
      <c r="I9964" t="s">
        <v>18734</v>
      </c>
      <c r="J9964" t="s">
        <v>18894</v>
      </c>
      <c r="K9964">
        <v>11224</v>
      </c>
      <c r="L9964" t="s">
        <v>18960</v>
      </c>
      <c r="M9964" t="s">
        <v>18960</v>
      </c>
      <c r="N9964" t="s">
        <v>25788</v>
      </c>
      <c r="O9964" t="s">
        <v>26523</v>
      </c>
      <c r="P9964" t="s">
        <v>26563</v>
      </c>
      <c r="Q9964" t="s">
        <v>26571</v>
      </c>
      <c r="R9964" t="s">
        <v>26586</v>
      </c>
      <c r="U9964" t="s">
        <v>26605</v>
      </c>
      <c r="X9964">
        <v>241</v>
      </c>
      <c r="Y9964" t="s">
        <v>26652</v>
      </c>
      <c r="Z9964" t="s">
        <v>26664</v>
      </c>
      <c r="AA9964" t="s">
        <v>26683</v>
      </c>
      <c r="AB9964" t="s">
        <v>33721</v>
      </c>
      <c r="AD9964" t="s">
        <v>44534</v>
      </c>
      <c r="AE9964">
        <v>0</v>
      </c>
      <c r="AG9964" t="s">
        <v>26530</v>
      </c>
      <c r="AH9964">
        <v>0</v>
      </c>
      <c r="AI9964">
        <v>1</v>
      </c>
      <c r="AJ9964">
        <v>0</v>
      </c>
      <c r="AK9964">
        <v>0</v>
      </c>
      <c r="AO9964">
        <v>0</v>
      </c>
      <c r="AU9964">
        <v>2.8</v>
      </c>
      <c r="AV9964" t="s">
        <v>788</v>
      </c>
      <c r="AW9964" t="s">
        <v>46862</v>
      </c>
    </row>
    <row r="9965" spans="1:50">
      <c r="A9965" s="1">
        <f>HYPERLINK("https://lsnyc.legalserver.org/matter/dynamic-profile/view/1891907","19-1891907")</f>
        <v>0</v>
      </c>
      <c r="B9965" t="s">
        <v>186</v>
      </c>
      <c r="C9965" t="s">
        <v>341</v>
      </c>
      <c r="D9965" t="s">
        <v>574</v>
      </c>
      <c r="E9965" t="s">
        <v>794</v>
      </c>
      <c r="F9965" t="s">
        <v>1473</v>
      </c>
      <c r="G9965" t="s">
        <v>9220</v>
      </c>
      <c r="H9965" t="s">
        <v>16412</v>
      </c>
      <c r="I9965" t="s">
        <v>17325</v>
      </c>
      <c r="J9965" t="s">
        <v>18894</v>
      </c>
      <c r="K9965">
        <v>11208</v>
      </c>
      <c r="L9965" t="s">
        <v>18960</v>
      </c>
      <c r="M9965" t="s">
        <v>18960</v>
      </c>
      <c r="O9965" t="s">
        <v>18997</v>
      </c>
      <c r="Q9965" t="s">
        <v>26570</v>
      </c>
      <c r="R9965" t="s">
        <v>26591</v>
      </c>
      <c r="U9965" t="s">
        <v>26604</v>
      </c>
      <c r="X9965">
        <v>1259</v>
      </c>
      <c r="Y9965" t="s">
        <v>26652</v>
      </c>
      <c r="AA9965" t="s">
        <v>26683</v>
      </c>
      <c r="AB9965" t="s">
        <v>33722</v>
      </c>
      <c r="AD9965" t="s">
        <v>44535</v>
      </c>
      <c r="AE9965">
        <v>0</v>
      </c>
      <c r="AF9965" t="s">
        <v>20460</v>
      </c>
      <c r="AG9965" t="s">
        <v>45561</v>
      </c>
      <c r="AH9965">
        <v>9</v>
      </c>
      <c r="AI9965">
        <v>1</v>
      </c>
      <c r="AJ9965">
        <v>0</v>
      </c>
      <c r="AK9965">
        <v>111.64</v>
      </c>
      <c r="AN9965" t="s">
        <v>7439</v>
      </c>
      <c r="AO9965">
        <v>13944</v>
      </c>
      <c r="AU9965">
        <v>2.8</v>
      </c>
      <c r="AV9965" t="s">
        <v>794</v>
      </c>
      <c r="AW9965" t="s">
        <v>46859</v>
      </c>
    </row>
    <row r="9966" spans="1:50">
      <c r="A9966" s="1">
        <f>HYPERLINK("https://lsnyc.legalserver.org/matter/dynamic-profile/view/1892002","19-1892002")</f>
        <v>0</v>
      </c>
      <c r="B9966" t="s">
        <v>122</v>
      </c>
      <c r="C9966" t="s">
        <v>341</v>
      </c>
      <c r="D9966" t="s">
        <v>574</v>
      </c>
      <c r="E9966" t="s">
        <v>759</v>
      </c>
      <c r="F9966" t="s">
        <v>1551</v>
      </c>
      <c r="G9966" t="s">
        <v>2071</v>
      </c>
      <c r="H9966" t="s">
        <v>16413</v>
      </c>
      <c r="I9966">
        <v>67</v>
      </c>
      <c r="J9966" t="s">
        <v>7026</v>
      </c>
      <c r="K9966">
        <v>11368</v>
      </c>
      <c r="L9966" t="s">
        <v>18960</v>
      </c>
      <c r="M9966" t="s">
        <v>18960</v>
      </c>
      <c r="N9966" t="s">
        <v>25789</v>
      </c>
      <c r="O9966" t="s">
        <v>26526</v>
      </c>
      <c r="P9966" t="s">
        <v>26564</v>
      </c>
      <c r="Q9966" t="s">
        <v>26570</v>
      </c>
      <c r="R9966" t="s">
        <v>26584</v>
      </c>
      <c r="T9966" t="s">
        <v>26583</v>
      </c>
      <c r="U9966" t="s">
        <v>26604</v>
      </c>
      <c r="X9966">
        <v>1205.31</v>
      </c>
      <c r="Y9966" t="s">
        <v>26653</v>
      </c>
      <c r="Z9966" t="s">
        <v>26664</v>
      </c>
      <c r="AA9966" t="s">
        <v>26683</v>
      </c>
      <c r="AB9966" t="s">
        <v>33723</v>
      </c>
      <c r="AD9966" t="s">
        <v>44536</v>
      </c>
      <c r="AE9966">
        <v>0</v>
      </c>
      <c r="AF9966" t="s">
        <v>45553</v>
      </c>
      <c r="AG9966" t="s">
        <v>19330</v>
      </c>
      <c r="AH9966">
        <v>20</v>
      </c>
      <c r="AI9966">
        <v>4</v>
      </c>
      <c r="AJ9966">
        <v>0</v>
      </c>
      <c r="AK9966">
        <v>251.88</v>
      </c>
      <c r="AN9966" t="s">
        <v>7439</v>
      </c>
      <c r="AO9966">
        <v>64858</v>
      </c>
      <c r="AU9966">
        <v>0.75</v>
      </c>
      <c r="AV9966" t="s">
        <v>753</v>
      </c>
      <c r="AW9966" t="s">
        <v>208</v>
      </c>
    </row>
    <row r="9967" spans="1:50">
      <c r="A9967" s="1">
        <f>HYPERLINK("https://lsnyc.legalserver.org/matter/dynamic-profile/view/1891902","19-1891902")</f>
        <v>0</v>
      </c>
      <c r="B9967" t="s">
        <v>164</v>
      </c>
      <c r="C9967" t="s">
        <v>340</v>
      </c>
      <c r="D9967" t="s">
        <v>574</v>
      </c>
      <c r="F9967" t="s">
        <v>900</v>
      </c>
      <c r="G9967" t="s">
        <v>6657</v>
      </c>
      <c r="H9967" t="s">
        <v>16414</v>
      </c>
      <c r="I9967" t="s">
        <v>17276</v>
      </c>
      <c r="J9967" t="s">
        <v>18915</v>
      </c>
      <c r="K9967">
        <v>11372</v>
      </c>
      <c r="L9967" t="s">
        <v>18958</v>
      </c>
      <c r="M9967" t="s">
        <v>18958</v>
      </c>
      <c r="N9967" t="s">
        <v>25790</v>
      </c>
      <c r="O9967" t="s">
        <v>26523</v>
      </c>
      <c r="P9967" t="s">
        <v>26563</v>
      </c>
      <c r="R9967" t="s">
        <v>26584</v>
      </c>
      <c r="S9967" t="s">
        <v>18959</v>
      </c>
      <c r="U9967" t="s">
        <v>26604</v>
      </c>
      <c r="X9967">
        <v>1181.75</v>
      </c>
      <c r="Y9967" t="s">
        <v>26653</v>
      </c>
      <c r="Z9967" t="s">
        <v>26664</v>
      </c>
      <c r="AB9967" t="s">
        <v>31234</v>
      </c>
      <c r="AD9967" t="s">
        <v>44537</v>
      </c>
      <c r="AE9967">
        <v>0</v>
      </c>
      <c r="AF9967" t="s">
        <v>20460</v>
      </c>
      <c r="AG9967" t="s">
        <v>19330</v>
      </c>
      <c r="AH9967">
        <v>2</v>
      </c>
      <c r="AI9967">
        <v>1</v>
      </c>
      <c r="AJ9967">
        <v>0</v>
      </c>
      <c r="AK9967">
        <v>124.9</v>
      </c>
      <c r="AN9967" t="s">
        <v>7439</v>
      </c>
      <c r="AO9967">
        <v>15600</v>
      </c>
      <c r="AU9967">
        <v>1</v>
      </c>
      <c r="AV9967" t="s">
        <v>771</v>
      </c>
      <c r="AW9967" t="s">
        <v>208</v>
      </c>
    </row>
    <row r="9968" spans="1:50">
      <c r="A9968" s="1">
        <f>HYPERLINK("https://lsnyc.legalserver.org/matter/dynamic-profile/view/1891950","19-1891950")</f>
        <v>0</v>
      </c>
      <c r="B9968" t="s">
        <v>164</v>
      </c>
      <c r="C9968" t="s">
        <v>340</v>
      </c>
      <c r="D9968" t="s">
        <v>574</v>
      </c>
      <c r="F9968" t="s">
        <v>1480</v>
      </c>
      <c r="G9968" t="s">
        <v>5552</v>
      </c>
      <c r="H9968" t="s">
        <v>16415</v>
      </c>
      <c r="I9968" t="s">
        <v>17331</v>
      </c>
      <c r="J9968" t="s">
        <v>18939</v>
      </c>
      <c r="K9968">
        <v>11423</v>
      </c>
      <c r="L9968" t="s">
        <v>18958</v>
      </c>
      <c r="M9968" t="s">
        <v>18958</v>
      </c>
      <c r="N9968" t="s">
        <v>25791</v>
      </c>
      <c r="O9968" t="s">
        <v>26523</v>
      </c>
      <c r="P9968" t="s">
        <v>26563</v>
      </c>
      <c r="R9968" t="s">
        <v>26584</v>
      </c>
      <c r="S9968" t="s">
        <v>18959</v>
      </c>
      <c r="U9968" t="s">
        <v>26604</v>
      </c>
      <c r="X9968">
        <v>1000</v>
      </c>
      <c r="Y9968" t="s">
        <v>26653</v>
      </c>
      <c r="Z9968" t="s">
        <v>26664</v>
      </c>
      <c r="AB9968" t="s">
        <v>31956</v>
      </c>
      <c r="AC9968" t="s">
        <v>36690</v>
      </c>
      <c r="AD9968" t="s">
        <v>44538</v>
      </c>
      <c r="AE9968">
        <v>7</v>
      </c>
      <c r="AF9968" t="s">
        <v>20460</v>
      </c>
      <c r="AG9968" t="s">
        <v>19330</v>
      </c>
      <c r="AH9968">
        <v>16</v>
      </c>
      <c r="AI9968">
        <v>2</v>
      </c>
      <c r="AJ9968">
        <v>0</v>
      </c>
      <c r="AK9968">
        <v>325.25</v>
      </c>
      <c r="AN9968" t="s">
        <v>7439</v>
      </c>
      <c r="AO9968">
        <v>55000</v>
      </c>
      <c r="AU9968">
        <v>0.5</v>
      </c>
      <c r="AV9968" t="s">
        <v>574</v>
      </c>
      <c r="AW9968" t="s">
        <v>208</v>
      </c>
    </row>
    <row r="9969" spans="1:50">
      <c r="A9969" s="1">
        <f>HYPERLINK("https://lsnyc.legalserver.org/matter/dynamic-profile/view/1889748","19-1889748")</f>
        <v>0</v>
      </c>
      <c r="B9969" t="s">
        <v>278</v>
      </c>
      <c r="C9969" t="s">
        <v>340</v>
      </c>
      <c r="D9969" t="s">
        <v>574</v>
      </c>
      <c r="F9969" t="s">
        <v>4707</v>
      </c>
      <c r="G9969" t="s">
        <v>9221</v>
      </c>
      <c r="H9969" t="s">
        <v>16416</v>
      </c>
      <c r="I9969" t="s">
        <v>17402</v>
      </c>
      <c r="J9969" t="s">
        <v>18902</v>
      </c>
      <c r="K9969">
        <v>10301</v>
      </c>
      <c r="L9969" t="s">
        <v>18958</v>
      </c>
      <c r="M9969" t="s">
        <v>18960</v>
      </c>
      <c r="R9969" t="s">
        <v>26578</v>
      </c>
      <c r="U9969" t="s">
        <v>26604</v>
      </c>
      <c r="X9969">
        <v>0</v>
      </c>
      <c r="Y9969" t="s">
        <v>26654</v>
      </c>
      <c r="AB9969" t="s">
        <v>28639</v>
      </c>
      <c r="AD9969" t="s">
        <v>44539</v>
      </c>
      <c r="AE9969">
        <v>0</v>
      </c>
      <c r="AH9969">
        <v>0</v>
      </c>
      <c r="AI9969">
        <v>2</v>
      </c>
      <c r="AJ9969">
        <v>1</v>
      </c>
      <c r="AK9969">
        <v>134.08</v>
      </c>
      <c r="AN9969" t="s">
        <v>7439</v>
      </c>
      <c r="AO9969">
        <v>28600</v>
      </c>
      <c r="AU9969">
        <v>11.25</v>
      </c>
      <c r="AV9969" t="s">
        <v>832</v>
      </c>
      <c r="AW9969" t="s">
        <v>46852</v>
      </c>
      <c r="AX9969" t="s">
        <v>46897</v>
      </c>
    </row>
    <row r="9970" spans="1:50">
      <c r="A9970" s="1">
        <f>HYPERLINK("https://lsnyc.legalserver.org/matter/dynamic-profile/view/1891964","19-1891964")</f>
        <v>0</v>
      </c>
      <c r="B9970" t="s">
        <v>70</v>
      </c>
      <c r="C9970" t="s">
        <v>340</v>
      </c>
      <c r="D9970" t="s">
        <v>574</v>
      </c>
      <c r="F9970" t="s">
        <v>1283</v>
      </c>
      <c r="G9970" t="s">
        <v>7808</v>
      </c>
      <c r="H9970" t="s">
        <v>13857</v>
      </c>
      <c r="I9970" t="s">
        <v>17355</v>
      </c>
      <c r="J9970" t="s">
        <v>18892</v>
      </c>
      <c r="K9970">
        <v>10453</v>
      </c>
      <c r="L9970" t="s">
        <v>18958</v>
      </c>
      <c r="M9970" t="s">
        <v>18958</v>
      </c>
      <c r="N9970" t="s">
        <v>19045</v>
      </c>
      <c r="O9970" t="s">
        <v>26526</v>
      </c>
      <c r="P9970" t="s">
        <v>26560</v>
      </c>
      <c r="R9970" t="s">
        <v>26583</v>
      </c>
      <c r="S9970" t="s">
        <v>18959</v>
      </c>
      <c r="T9970" t="s">
        <v>26591</v>
      </c>
      <c r="U9970" t="s">
        <v>26604</v>
      </c>
      <c r="V9970" t="s">
        <v>26610</v>
      </c>
      <c r="X9970">
        <v>1297</v>
      </c>
      <c r="Y9970" t="s">
        <v>26650</v>
      </c>
      <c r="Z9970" t="s">
        <v>26655</v>
      </c>
      <c r="AB9970" t="s">
        <v>31298</v>
      </c>
      <c r="AE9970">
        <v>0</v>
      </c>
      <c r="AF9970" t="s">
        <v>45541</v>
      </c>
      <c r="AG9970" t="s">
        <v>45556</v>
      </c>
      <c r="AH9970">
        <v>20</v>
      </c>
      <c r="AI9970">
        <v>1</v>
      </c>
      <c r="AJ9970">
        <v>0</v>
      </c>
      <c r="AK9970">
        <v>0</v>
      </c>
      <c r="AN9970" t="s">
        <v>7439</v>
      </c>
      <c r="AO9970">
        <v>0</v>
      </c>
      <c r="AU9970">
        <v>2.9</v>
      </c>
      <c r="AV9970" t="s">
        <v>831</v>
      </c>
      <c r="AW9970" t="s">
        <v>70</v>
      </c>
    </row>
    <row r="9971" spans="1:50">
      <c r="A9971" s="1">
        <f>HYPERLINK("https://lsnyc.legalserver.org/matter/dynamic-profile/view/1892001","19-1892001")</f>
        <v>0</v>
      </c>
      <c r="B9971" t="s">
        <v>322</v>
      </c>
      <c r="C9971" t="s">
        <v>340</v>
      </c>
      <c r="D9971" t="s">
        <v>574</v>
      </c>
      <c r="F9971" t="s">
        <v>1470</v>
      </c>
      <c r="G9971" t="s">
        <v>9222</v>
      </c>
      <c r="H9971" t="s">
        <v>11643</v>
      </c>
      <c r="I9971" t="s">
        <v>17641</v>
      </c>
      <c r="J9971" t="s">
        <v>18893</v>
      </c>
      <c r="K9971">
        <v>10037</v>
      </c>
      <c r="L9971" t="s">
        <v>18960</v>
      </c>
      <c r="M9971" t="s">
        <v>18960</v>
      </c>
      <c r="N9971" t="s">
        <v>25792</v>
      </c>
      <c r="O9971" t="s">
        <v>26524</v>
      </c>
      <c r="R9971" t="s">
        <v>26591</v>
      </c>
      <c r="U9971" t="s">
        <v>26604</v>
      </c>
      <c r="X9971">
        <v>737</v>
      </c>
      <c r="Y9971" t="s">
        <v>26651</v>
      </c>
      <c r="Z9971" t="s">
        <v>26530</v>
      </c>
      <c r="AB9971" t="s">
        <v>29997</v>
      </c>
      <c r="AD9971" t="s">
        <v>44540</v>
      </c>
      <c r="AE9971">
        <v>176</v>
      </c>
      <c r="AF9971" t="s">
        <v>20460</v>
      </c>
      <c r="AG9971" t="s">
        <v>45556</v>
      </c>
      <c r="AH9971">
        <v>8</v>
      </c>
      <c r="AI9971">
        <v>4</v>
      </c>
      <c r="AJ9971">
        <v>0</v>
      </c>
      <c r="AK9971">
        <v>122.61</v>
      </c>
      <c r="AN9971" t="s">
        <v>7439</v>
      </c>
      <c r="AO9971">
        <v>31572</v>
      </c>
      <c r="AU9971">
        <v>1</v>
      </c>
      <c r="AV9971" t="s">
        <v>574</v>
      </c>
      <c r="AW9971" t="s">
        <v>46846</v>
      </c>
    </row>
    <row r="9972" spans="1:50">
      <c r="A9972" s="1">
        <f>HYPERLINK("https://lsnyc.legalserver.org/matter/dynamic-profile/view/1891886","19-1891886")</f>
        <v>0</v>
      </c>
      <c r="B9972" t="s">
        <v>322</v>
      </c>
      <c r="C9972" t="s">
        <v>340</v>
      </c>
      <c r="D9972" t="s">
        <v>574</v>
      </c>
      <c r="F9972" t="s">
        <v>1328</v>
      </c>
      <c r="G9972" t="s">
        <v>9223</v>
      </c>
      <c r="H9972" t="s">
        <v>16417</v>
      </c>
      <c r="I9972" t="s">
        <v>18735</v>
      </c>
      <c r="J9972" t="s">
        <v>18893</v>
      </c>
      <c r="K9972">
        <v>10037</v>
      </c>
      <c r="L9972" t="s">
        <v>18960</v>
      </c>
      <c r="M9972" t="s">
        <v>18960</v>
      </c>
      <c r="N9972" t="s">
        <v>25793</v>
      </c>
      <c r="O9972" t="s">
        <v>26523</v>
      </c>
      <c r="P9972" t="s">
        <v>26564</v>
      </c>
      <c r="R9972" t="s">
        <v>26583</v>
      </c>
      <c r="U9972" t="s">
        <v>26604</v>
      </c>
      <c r="X9972">
        <v>2300</v>
      </c>
      <c r="Y9972" t="s">
        <v>26651</v>
      </c>
      <c r="AB9972" t="s">
        <v>31433</v>
      </c>
      <c r="AD9972" t="s">
        <v>44541</v>
      </c>
      <c r="AE9972">
        <v>286</v>
      </c>
      <c r="AH9972">
        <v>3</v>
      </c>
      <c r="AI9972">
        <v>1</v>
      </c>
      <c r="AJ9972">
        <v>0</v>
      </c>
      <c r="AK9972">
        <v>317.05</v>
      </c>
      <c r="AN9972" t="s">
        <v>7439</v>
      </c>
      <c r="AO9972">
        <v>39600</v>
      </c>
      <c r="AU9972">
        <v>1.6</v>
      </c>
      <c r="AV9972" t="s">
        <v>809</v>
      </c>
      <c r="AW9972" t="s">
        <v>46850</v>
      </c>
    </row>
    <row r="9973" spans="1:50">
      <c r="A9973" s="1">
        <f>HYPERLINK("https://lsnyc.legalserver.org/matter/dynamic-profile/view/1891951","19-1891951")</f>
        <v>0</v>
      </c>
      <c r="B9973" t="s">
        <v>186</v>
      </c>
      <c r="C9973" t="s">
        <v>340</v>
      </c>
      <c r="D9973" t="s">
        <v>574</v>
      </c>
      <c r="F9973" t="s">
        <v>1079</v>
      </c>
      <c r="G9973" t="s">
        <v>9224</v>
      </c>
      <c r="H9973" t="s">
        <v>16418</v>
      </c>
      <c r="I9973" t="s">
        <v>17842</v>
      </c>
      <c r="J9973" t="s">
        <v>18894</v>
      </c>
      <c r="K9973">
        <v>11209</v>
      </c>
      <c r="L9973" t="s">
        <v>18960</v>
      </c>
      <c r="M9973" t="s">
        <v>18960</v>
      </c>
      <c r="N9973" t="s">
        <v>25794</v>
      </c>
      <c r="O9973" t="s">
        <v>26523</v>
      </c>
      <c r="P9973" t="s">
        <v>26560</v>
      </c>
      <c r="R9973" t="s">
        <v>26586</v>
      </c>
      <c r="U9973" t="s">
        <v>26604</v>
      </c>
      <c r="X9973">
        <v>0</v>
      </c>
      <c r="Y9973" t="s">
        <v>26652</v>
      </c>
      <c r="AB9973" t="s">
        <v>33507</v>
      </c>
      <c r="AD9973" t="s">
        <v>44542</v>
      </c>
      <c r="AE9973">
        <v>0</v>
      </c>
      <c r="AH9973">
        <v>0</v>
      </c>
      <c r="AI9973">
        <v>2</v>
      </c>
      <c r="AJ9973">
        <v>0</v>
      </c>
      <c r="AK9973">
        <v>127.74</v>
      </c>
      <c r="AN9973" t="s">
        <v>7439</v>
      </c>
      <c r="AO9973">
        <v>21600</v>
      </c>
      <c r="AU9973">
        <v>9.300000000000001</v>
      </c>
      <c r="AV9973" t="s">
        <v>834</v>
      </c>
      <c r="AW9973" t="s">
        <v>186</v>
      </c>
    </row>
    <row r="9974" spans="1:50">
      <c r="A9974" s="1">
        <f>HYPERLINK("https://lsnyc.legalserver.org/matter/dynamic-profile/view/1890372","19-1890372")</f>
        <v>0</v>
      </c>
      <c r="B9974" t="s">
        <v>153</v>
      </c>
      <c r="C9974" t="s">
        <v>340</v>
      </c>
      <c r="D9974" t="s">
        <v>574</v>
      </c>
      <c r="F9974" t="s">
        <v>1579</v>
      </c>
      <c r="G9974" t="s">
        <v>9225</v>
      </c>
      <c r="H9974" t="s">
        <v>16419</v>
      </c>
      <c r="J9974" t="s">
        <v>18902</v>
      </c>
      <c r="K9974">
        <v>10303</v>
      </c>
      <c r="L9974" t="s">
        <v>18960</v>
      </c>
      <c r="M9974" t="s">
        <v>18960</v>
      </c>
      <c r="N9974" t="s">
        <v>25795</v>
      </c>
      <c r="O9974" t="s">
        <v>26524</v>
      </c>
      <c r="P9974" t="s">
        <v>26560</v>
      </c>
      <c r="R9974" t="s">
        <v>26590</v>
      </c>
      <c r="S9974" t="s">
        <v>18959</v>
      </c>
      <c r="U9974" t="s">
        <v>26604</v>
      </c>
      <c r="V9974" t="s">
        <v>26610</v>
      </c>
      <c r="X9974">
        <v>0</v>
      </c>
      <c r="Y9974" t="s">
        <v>26654</v>
      </c>
      <c r="AB9974" t="s">
        <v>32844</v>
      </c>
      <c r="AD9974" t="s">
        <v>44543</v>
      </c>
      <c r="AE9974">
        <v>0</v>
      </c>
      <c r="AH9974">
        <v>0</v>
      </c>
      <c r="AI9974">
        <v>1</v>
      </c>
      <c r="AJ9974">
        <v>0</v>
      </c>
      <c r="AK9974">
        <v>82.43000000000001</v>
      </c>
      <c r="AN9974" t="s">
        <v>7439</v>
      </c>
      <c r="AO9974">
        <v>10296</v>
      </c>
      <c r="AU9974">
        <v>25.5</v>
      </c>
      <c r="AV9974" t="s">
        <v>835</v>
      </c>
      <c r="AW9974" t="s">
        <v>46855</v>
      </c>
    </row>
    <row r="9975" spans="1:50">
      <c r="A9975" s="1">
        <f>HYPERLINK("https://lsnyc.legalserver.org/matter/dynamic-profile/view/1891917","19-1891917")</f>
        <v>0</v>
      </c>
      <c r="B9975" t="s">
        <v>212</v>
      </c>
      <c r="C9975" t="s">
        <v>340</v>
      </c>
      <c r="D9975" t="s">
        <v>574</v>
      </c>
      <c r="F9975" t="s">
        <v>4708</v>
      </c>
      <c r="G9975" t="s">
        <v>9226</v>
      </c>
      <c r="H9975" t="s">
        <v>16420</v>
      </c>
      <c r="I9975" t="s">
        <v>17375</v>
      </c>
      <c r="J9975" t="s">
        <v>18909</v>
      </c>
      <c r="K9975">
        <v>11101</v>
      </c>
      <c r="L9975" t="s">
        <v>18958</v>
      </c>
      <c r="M9975" t="s">
        <v>18958</v>
      </c>
      <c r="N9975" t="s">
        <v>25796</v>
      </c>
      <c r="O9975" t="s">
        <v>26524</v>
      </c>
      <c r="P9975" t="s">
        <v>26560</v>
      </c>
      <c r="R9975" t="s">
        <v>26578</v>
      </c>
      <c r="S9975" t="s">
        <v>18959</v>
      </c>
      <c r="U9975" t="s">
        <v>26604</v>
      </c>
      <c r="X9975">
        <v>1500</v>
      </c>
      <c r="Y9975" t="s">
        <v>26653</v>
      </c>
      <c r="Z9975" t="s">
        <v>26664</v>
      </c>
      <c r="AB9975" t="s">
        <v>33724</v>
      </c>
      <c r="AD9975" t="s">
        <v>44544</v>
      </c>
      <c r="AE9975">
        <v>0</v>
      </c>
      <c r="AF9975" t="s">
        <v>20460</v>
      </c>
      <c r="AG9975" t="s">
        <v>19330</v>
      </c>
      <c r="AH9975">
        <v>4</v>
      </c>
      <c r="AI9975">
        <v>1</v>
      </c>
      <c r="AJ9975">
        <v>0</v>
      </c>
      <c r="AK9975">
        <v>74.08</v>
      </c>
      <c r="AN9975" t="s">
        <v>45581</v>
      </c>
      <c r="AO9975">
        <v>9252</v>
      </c>
      <c r="AU9975">
        <v>5.4</v>
      </c>
      <c r="AV9975" t="s">
        <v>809</v>
      </c>
      <c r="AW9975" t="s">
        <v>208</v>
      </c>
    </row>
    <row r="9976" spans="1:50">
      <c r="A9976" s="1">
        <f>HYPERLINK("https://lsnyc.legalserver.org/matter/dynamic-profile/view/1891993","19-1891993")</f>
        <v>0</v>
      </c>
      <c r="B9976" t="s">
        <v>124</v>
      </c>
      <c r="C9976" t="s">
        <v>340</v>
      </c>
      <c r="D9976" t="s">
        <v>574</v>
      </c>
      <c r="F9976" t="s">
        <v>1488</v>
      </c>
      <c r="G9976" t="s">
        <v>5655</v>
      </c>
      <c r="H9976" t="s">
        <v>10407</v>
      </c>
      <c r="I9976" t="s">
        <v>17277</v>
      </c>
      <c r="J9976" t="s">
        <v>18894</v>
      </c>
      <c r="K9976">
        <v>11221</v>
      </c>
      <c r="L9976" t="s">
        <v>18960</v>
      </c>
      <c r="M9976" t="s">
        <v>18960</v>
      </c>
      <c r="R9976" t="s">
        <v>26586</v>
      </c>
      <c r="U9976" t="s">
        <v>26604</v>
      </c>
      <c r="X9976">
        <v>0</v>
      </c>
      <c r="Y9976" t="s">
        <v>26652</v>
      </c>
      <c r="AB9976" t="s">
        <v>27520</v>
      </c>
      <c r="AD9976" t="s">
        <v>37578</v>
      </c>
      <c r="AE9976">
        <v>0</v>
      </c>
      <c r="AH9976">
        <v>0</v>
      </c>
      <c r="AI9976">
        <v>1</v>
      </c>
      <c r="AJ9976">
        <v>0</v>
      </c>
      <c r="AK9976">
        <v>106.45</v>
      </c>
      <c r="AN9976" t="s">
        <v>7439</v>
      </c>
      <c r="AO9976">
        <v>13296</v>
      </c>
      <c r="AU9976">
        <v>11.15</v>
      </c>
      <c r="AV9976" t="s">
        <v>773</v>
      </c>
      <c r="AW9976" t="s">
        <v>46882</v>
      </c>
    </row>
    <row r="9977" spans="1:50">
      <c r="A9977" s="1">
        <f>HYPERLINK("https://lsnyc.legalserver.org/matter/dynamic-profile/view/1891924","19-1891924")</f>
        <v>0</v>
      </c>
      <c r="B9977" t="s">
        <v>142</v>
      </c>
      <c r="C9977" t="s">
        <v>340</v>
      </c>
      <c r="D9977" t="s">
        <v>574</v>
      </c>
      <c r="F9977" t="s">
        <v>3722</v>
      </c>
      <c r="G9977" t="s">
        <v>5901</v>
      </c>
      <c r="H9977" t="s">
        <v>16421</v>
      </c>
      <c r="I9977" t="s">
        <v>17375</v>
      </c>
      <c r="J9977" t="s">
        <v>18901</v>
      </c>
      <c r="K9977">
        <v>11434</v>
      </c>
      <c r="L9977" t="s">
        <v>18958</v>
      </c>
      <c r="M9977" t="s">
        <v>18958</v>
      </c>
      <c r="N9977" t="s">
        <v>25797</v>
      </c>
      <c r="O9977" t="s">
        <v>26524</v>
      </c>
      <c r="P9977" t="s">
        <v>26560</v>
      </c>
      <c r="R9977" t="s">
        <v>26584</v>
      </c>
      <c r="S9977" t="s">
        <v>18959</v>
      </c>
      <c r="U9977" t="s">
        <v>26604</v>
      </c>
      <c r="V9977" t="s">
        <v>26610</v>
      </c>
      <c r="X9977">
        <v>600</v>
      </c>
      <c r="Y9977" t="s">
        <v>26653</v>
      </c>
      <c r="Z9977" t="s">
        <v>26664</v>
      </c>
      <c r="AB9977" t="s">
        <v>33725</v>
      </c>
      <c r="AC9977" t="s">
        <v>36487</v>
      </c>
      <c r="AD9977" t="s">
        <v>43258</v>
      </c>
      <c r="AE9977">
        <v>0</v>
      </c>
      <c r="AF9977" t="s">
        <v>20460</v>
      </c>
      <c r="AG9977" t="s">
        <v>19330</v>
      </c>
      <c r="AH9977">
        <v>12</v>
      </c>
      <c r="AI9977">
        <v>2</v>
      </c>
      <c r="AJ9977">
        <v>0</v>
      </c>
      <c r="AK9977">
        <v>63.87</v>
      </c>
      <c r="AN9977" t="s">
        <v>7439</v>
      </c>
      <c r="AO9977">
        <v>10800</v>
      </c>
      <c r="AU9977">
        <v>10.55</v>
      </c>
      <c r="AV9977" t="s">
        <v>836</v>
      </c>
      <c r="AW9977" t="s">
        <v>208</v>
      </c>
    </row>
    <row r="9978" spans="1:50">
      <c r="A9978" s="1">
        <f>HYPERLINK("https://lsnyc.legalserver.org/matter/dynamic-profile/view/1892014","19-1892014")</f>
        <v>0</v>
      </c>
      <c r="B9978" t="s">
        <v>91</v>
      </c>
      <c r="C9978" t="s">
        <v>340</v>
      </c>
      <c r="D9978" t="s">
        <v>574</v>
      </c>
      <c r="F9978" t="s">
        <v>4709</v>
      </c>
      <c r="G9978" t="s">
        <v>9227</v>
      </c>
      <c r="H9978" t="s">
        <v>16422</v>
      </c>
      <c r="J9978" t="s">
        <v>18901</v>
      </c>
      <c r="K9978">
        <v>11435</v>
      </c>
      <c r="L9978" t="s">
        <v>18958</v>
      </c>
      <c r="M9978" t="s">
        <v>18958</v>
      </c>
      <c r="N9978" t="s">
        <v>25798</v>
      </c>
      <c r="O9978" t="s">
        <v>26524</v>
      </c>
      <c r="P9978" t="s">
        <v>26560</v>
      </c>
      <c r="R9978" t="s">
        <v>26584</v>
      </c>
      <c r="S9978" t="s">
        <v>18959</v>
      </c>
      <c r="U9978" t="s">
        <v>26604</v>
      </c>
      <c r="X9978">
        <v>950</v>
      </c>
      <c r="Y9978" t="s">
        <v>26653</v>
      </c>
      <c r="Z9978" t="s">
        <v>26664</v>
      </c>
      <c r="AB9978" t="s">
        <v>31812</v>
      </c>
      <c r="AD9978" t="s">
        <v>44545</v>
      </c>
      <c r="AE9978">
        <v>0</v>
      </c>
      <c r="AF9978" t="s">
        <v>20460</v>
      </c>
      <c r="AG9978" t="s">
        <v>19330</v>
      </c>
      <c r="AH9978">
        <v>12</v>
      </c>
      <c r="AI9978">
        <v>1</v>
      </c>
      <c r="AJ9978">
        <v>2</v>
      </c>
      <c r="AK9978">
        <v>146.27</v>
      </c>
      <c r="AN9978" t="s">
        <v>7439</v>
      </c>
      <c r="AO9978">
        <v>31200</v>
      </c>
      <c r="AU9978">
        <v>30.05</v>
      </c>
      <c r="AV9978" t="s">
        <v>807</v>
      </c>
      <c r="AW9978" t="s">
        <v>208</v>
      </c>
    </row>
    <row r="9979" spans="1:50">
      <c r="A9979" s="1">
        <f>HYPERLINK("https://lsnyc.legalserver.org/matter/dynamic-profile/view/1891963","19-1891963")</f>
        <v>0</v>
      </c>
      <c r="B9979" t="s">
        <v>114</v>
      </c>
      <c r="C9979" t="s">
        <v>340</v>
      </c>
      <c r="D9979" t="s">
        <v>574</v>
      </c>
      <c r="F9979" t="s">
        <v>4710</v>
      </c>
      <c r="G9979" t="s">
        <v>9228</v>
      </c>
      <c r="H9979" t="s">
        <v>16423</v>
      </c>
      <c r="I9979" t="s">
        <v>17844</v>
      </c>
      <c r="J9979" t="s">
        <v>18901</v>
      </c>
      <c r="K9979">
        <v>11433</v>
      </c>
      <c r="L9979" t="s">
        <v>18958</v>
      </c>
      <c r="M9979" t="s">
        <v>18958</v>
      </c>
      <c r="N9979" t="s">
        <v>25799</v>
      </c>
      <c r="O9979" t="s">
        <v>26524</v>
      </c>
      <c r="P9979" t="s">
        <v>26563</v>
      </c>
      <c r="R9979" t="s">
        <v>26585</v>
      </c>
      <c r="S9979" t="s">
        <v>18959</v>
      </c>
      <c r="U9979" t="s">
        <v>26604</v>
      </c>
      <c r="X9979">
        <v>1000</v>
      </c>
      <c r="Y9979" t="s">
        <v>26653</v>
      </c>
      <c r="Z9979" t="s">
        <v>26664</v>
      </c>
      <c r="AB9979" t="s">
        <v>27939</v>
      </c>
      <c r="AC9979" t="s">
        <v>36691</v>
      </c>
      <c r="AD9979" t="s">
        <v>44546</v>
      </c>
      <c r="AE9979">
        <v>2</v>
      </c>
      <c r="AF9979" t="s">
        <v>20460</v>
      </c>
      <c r="AG9979" t="s">
        <v>19330</v>
      </c>
      <c r="AH9979">
        <v>2</v>
      </c>
      <c r="AI9979">
        <v>1</v>
      </c>
      <c r="AJ9979">
        <v>0</v>
      </c>
      <c r="AK9979">
        <v>19.05</v>
      </c>
      <c r="AN9979" t="s">
        <v>7439</v>
      </c>
      <c r="AO9979">
        <v>2379</v>
      </c>
      <c r="AU9979">
        <v>0.9</v>
      </c>
      <c r="AV9979" t="s">
        <v>768</v>
      </c>
      <c r="AW9979" t="s">
        <v>208</v>
      </c>
    </row>
    <row r="9980" spans="1:50">
      <c r="A9980" s="1">
        <f>HYPERLINK("https://lsnyc.legalserver.org/matter/dynamic-profile/view/1892133","19-1892133")</f>
        <v>0</v>
      </c>
      <c r="B9980" t="s">
        <v>70</v>
      </c>
      <c r="C9980" t="s">
        <v>341</v>
      </c>
      <c r="D9980" t="s">
        <v>758</v>
      </c>
      <c r="E9980" t="s">
        <v>763</v>
      </c>
      <c r="F9980" t="s">
        <v>1013</v>
      </c>
      <c r="G9980" t="s">
        <v>1189</v>
      </c>
      <c r="H9980" t="s">
        <v>13868</v>
      </c>
      <c r="I9980" t="s">
        <v>17300</v>
      </c>
      <c r="J9980" t="s">
        <v>18892</v>
      </c>
      <c r="K9980">
        <v>10473</v>
      </c>
      <c r="L9980" t="s">
        <v>18958</v>
      </c>
      <c r="M9980" t="s">
        <v>18958</v>
      </c>
      <c r="N9980" t="s">
        <v>25800</v>
      </c>
      <c r="O9980" t="s">
        <v>26543</v>
      </c>
      <c r="P9980" t="s">
        <v>26564</v>
      </c>
      <c r="Q9980" t="s">
        <v>26570</v>
      </c>
      <c r="R9980" t="s">
        <v>26591</v>
      </c>
      <c r="S9980" t="s">
        <v>18959</v>
      </c>
      <c r="U9980" t="s">
        <v>26605</v>
      </c>
      <c r="V9980" t="s">
        <v>26613</v>
      </c>
      <c r="X9980">
        <v>857</v>
      </c>
      <c r="Y9980" t="s">
        <v>26650</v>
      </c>
      <c r="Z9980" t="s">
        <v>26670</v>
      </c>
      <c r="AA9980" t="s">
        <v>26683</v>
      </c>
      <c r="AB9980" t="s">
        <v>31309</v>
      </c>
      <c r="AD9980" t="s">
        <v>41503</v>
      </c>
      <c r="AE9980">
        <v>0</v>
      </c>
      <c r="AF9980" t="s">
        <v>45549</v>
      </c>
      <c r="AH9980">
        <v>12</v>
      </c>
      <c r="AI9980">
        <v>4</v>
      </c>
      <c r="AJ9980">
        <v>1</v>
      </c>
      <c r="AK9980">
        <v>30.67</v>
      </c>
      <c r="AN9980" t="s">
        <v>7439</v>
      </c>
      <c r="AO9980">
        <v>9252</v>
      </c>
      <c r="AP9980" t="s">
        <v>46237</v>
      </c>
      <c r="AU9980">
        <v>0.1</v>
      </c>
      <c r="AV9980" t="s">
        <v>788</v>
      </c>
      <c r="AW9980" t="s">
        <v>70</v>
      </c>
    </row>
    <row r="9981" spans="1:50">
      <c r="A9981" s="1">
        <f>HYPERLINK("https://lsnyc.legalserver.org/matter/dynamic-profile/view/1892060","19-1892060")</f>
        <v>0</v>
      </c>
      <c r="B9981" t="s">
        <v>58</v>
      </c>
      <c r="C9981" t="s">
        <v>341</v>
      </c>
      <c r="D9981" t="s">
        <v>758</v>
      </c>
      <c r="E9981" t="s">
        <v>772</v>
      </c>
      <c r="F9981" t="s">
        <v>3667</v>
      </c>
      <c r="G9981" t="s">
        <v>9229</v>
      </c>
      <c r="H9981" t="s">
        <v>16424</v>
      </c>
      <c r="I9981" t="s">
        <v>17436</v>
      </c>
      <c r="J9981" t="s">
        <v>18892</v>
      </c>
      <c r="K9981">
        <v>10467</v>
      </c>
      <c r="L9981" t="s">
        <v>18958</v>
      </c>
      <c r="M9981" t="s">
        <v>18958</v>
      </c>
      <c r="O9981" t="s">
        <v>26542</v>
      </c>
      <c r="P9981" t="s">
        <v>26561</v>
      </c>
      <c r="Q9981" t="s">
        <v>26568</v>
      </c>
      <c r="R9981" t="s">
        <v>26583</v>
      </c>
      <c r="U9981" t="s">
        <v>26604</v>
      </c>
      <c r="X9981">
        <v>1087</v>
      </c>
      <c r="Y9981" t="s">
        <v>26650</v>
      </c>
      <c r="AA9981" t="s">
        <v>26677</v>
      </c>
      <c r="AB9981" t="s">
        <v>31526</v>
      </c>
      <c r="AD9981" t="s">
        <v>44547</v>
      </c>
      <c r="AE9981">
        <v>0</v>
      </c>
      <c r="AF9981" t="s">
        <v>20460</v>
      </c>
      <c r="AG9981" t="s">
        <v>45563</v>
      </c>
      <c r="AH9981">
        <v>9</v>
      </c>
      <c r="AI9981">
        <v>1</v>
      </c>
      <c r="AJ9981">
        <v>0</v>
      </c>
      <c r="AK9981">
        <v>448.36</v>
      </c>
      <c r="AN9981" t="s">
        <v>7439</v>
      </c>
      <c r="AO9981">
        <v>56000</v>
      </c>
      <c r="AU9981">
        <v>15.5</v>
      </c>
      <c r="AV9981" t="s">
        <v>772</v>
      </c>
      <c r="AW9981" t="s">
        <v>46859</v>
      </c>
    </row>
    <row r="9982" spans="1:50">
      <c r="A9982" s="1">
        <f>HYPERLINK("https://lsnyc.legalserver.org/matter/dynamic-profile/view/1892124","19-1892124")</f>
        <v>0</v>
      </c>
      <c r="B9982" t="s">
        <v>148</v>
      </c>
      <c r="C9982" t="s">
        <v>341</v>
      </c>
      <c r="D9982" t="s">
        <v>758</v>
      </c>
      <c r="E9982" t="s">
        <v>830</v>
      </c>
      <c r="F9982" t="s">
        <v>1013</v>
      </c>
      <c r="G9982" t="s">
        <v>9007</v>
      </c>
      <c r="H9982" t="s">
        <v>16425</v>
      </c>
      <c r="I9982" t="s">
        <v>17773</v>
      </c>
      <c r="J9982" t="s">
        <v>18894</v>
      </c>
      <c r="K9982">
        <v>11233</v>
      </c>
      <c r="L9982" t="s">
        <v>18960</v>
      </c>
      <c r="M9982" t="s">
        <v>18958</v>
      </c>
      <c r="N9982" t="s">
        <v>25801</v>
      </c>
      <c r="O9982" t="s">
        <v>26524</v>
      </c>
      <c r="P9982" t="s">
        <v>26563</v>
      </c>
      <c r="Q9982" t="s">
        <v>26570</v>
      </c>
      <c r="R9982" t="s">
        <v>26578</v>
      </c>
      <c r="S9982" t="s">
        <v>18959</v>
      </c>
      <c r="U9982" t="s">
        <v>26604</v>
      </c>
      <c r="X9982">
        <v>1400</v>
      </c>
      <c r="Y9982" t="s">
        <v>26652</v>
      </c>
      <c r="Z9982" t="s">
        <v>26664</v>
      </c>
      <c r="AA9982" t="s">
        <v>26683</v>
      </c>
      <c r="AB9982" t="s">
        <v>31985</v>
      </c>
      <c r="AC9982" t="s">
        <v>36692</v>
      </c>
      <c r="AD9982" t="s">
        <v>44548</v>
      </c>
      <c r="AE9982">
        <v>0</v>
      </c>
      <c r="AG9982" t="s">
        <v>45561</v>
      </c>
      <c r="AH9982">
        <v>7</v>
      </c>
      <c r="AI9982">
        <v>1</v>
      </c>
      <c r="AJ9982">
        <v>0</v>
      </c>
      <c r="AK9982">
        <v>171.02</v>
      </c>
      <c r="AN9982" t="s">
        <v>7439</v>
      </c>
      <c r="AO9982">
        <v>21360</v>
      </c>
      <c r="AU9982">
        <v>5.5</v>
      </c>
      <c r="AV9982" t="s">
        <v>794</v>
      </c>
      <c r="AW9982" t="s">
        <v>46853</v>
      </c>
    </row>
    <row r="9983" spans="1:50">
      <c r="A9983" s="1">
        <f>HYPERLINK("https://lsnyc.legalserver.org/matter/dynamic-profile/view/1892186","19-1892186")</f>
        <v>0</v>
      </c>
      <c r="B9983" t="s">
        <v>284</v>
      </c>
      <c r="C9983" t="s">
        <v>341</v>
      </c>
      <c r="D9983" t="s">
        <v>758</v>
      </c>
      <c r="E9983" t="s">
        <v>672</v>
      </c>
      <c r="F9983" t="s">
        <v>1162</v>
      </c>
      <c r="G9983" t="s">
        <v>2749</v>
      </c>
      <c r="H9983" t="s">
        <v>16426</v>
      </c>
      <c r="I9983" t="s">
        <v>18736</v>
      </c>
      <c r="J9983" t="s">
        <v>18892</v>
      </c>
      <c r="K9983">
        <v>10472</v>
      </c>
      <c r="L9983" t="s">
        <v>18958</v>
      </c>
      <c r="M9983" t="s">
        <v>18958</v>
      </c>
      <c r="N9983" t="s">
        <v>25802</v>
      </c>
      <c r="O9983" t="s">
        <v>26523</v>
      </c>
      <c r="P9983" t="s">
        <v>26564</v>
      </c>
      <c r="Q9983" t="s">
        <v>26570</v>
      </c>
      <c r="R9983" t="s">
        <v>26583</v>
      </c>
      <c r="U9983" t="s">
        <v>26604</v>
      </c>
      <c r="V9983" t="s">
        <v>26610</v>
      </c>
      <c r="X9983">
        <v>1154</v>
      </c>
      <c r="Y9983" t="s">
        <v>26650</v>
      </c>
      <c r="Z9983" t="s">
        <v>26668</v>
      </c>
      <c r="AA9983" t="s">
        <v>26683</v>
      </c>
      <c r="AB9983" t="s">
        <v>33726</v>
      </c>
      <c r="AD9983" t="s">
        <v>44549</v>
      </c>
      <c r="AE9983">
        <v>0</v>
      </c>
      <c r="AG9983" t="s">
        <v>45556</v>
      </c>
      <c r="AH9983">
        <v>18</v>
      </c>
      <c r="AI9983">
        <v>2</v>
      </c>
      <c r="AJ9983">
        <v>0</v>
      </c>
      <c r="AK9983">
        <v>224.72</v>
      </c>
      <c r="AN9983" t="s">
        <v>7439</v>
      </c>
      <c r="AO9983">
        <v>38000</v>
      </c>
      <c r="AP9983" t="s">
        <v>46238</v>
      </c>
      <c r="AU9983">
        <v>2.25</v>
      </c>
      <c r="AV9983" t="s">
        <v>672</v>
      </c>
      <c r="AW9983" t="s">
        <v>334</v>
      </c>
    </row>
    <row r="9984" spans="1:50">
      <c r="A9984" s="1">
        <f>HYPERLINK("https://lsnyc.legalserver.org/matter/dynamic-profile/view/1892079","19-1892079")</f>
        <v>0</v>
      </c>
      <c r="B9984" t="s">
        <v>107</v>
      </c>
      <c r="C9984" t="s">
        <v>340</v>
      </c>
      <c r="D9984" t="s">
        <v>758</v>
      </c>
      <c r="F9984" t="s">
        <v>1663</v>
      </c>
      <c r="G9984" t="s">
        <v>9230</v>
      </c>
      <c r="H9984" t="s">
        <v>16427</v>
      </c>
      <c r="I9984" t="s">
        <v>18737</v>
      </c>
      <c r="J9984" t="s">
        <v>18901</v>
      </c>
      <c r="K9984">
        <v>11434</v>
      </c>
      <c r="L9984" t="s">
        <v>18958</v>
      </c>
      <c r="M9984" t="s">
        <v>18958</v>
      </c>
      <c r="N9984" t="s">
        <v>25803</v>
      </c>
      <c r="P9984" t="s">
        <v>26560</v>
      </c>
      <c r="R9984" t="s">
        <v>26585</v>
      </c>
      <c r="S9984" t="s">
        <v>18959</v>
      </c>
      <c r="U9984" t="s">
        <v>26604</v>
      </c>
      <c r="X9984">
        <v>875</v>
      </c>
      <c r="Y9984" t="s">
        <v>26653</v>
      </c>
      <c r="Z9984" t="s">
        <v>26668</v>
      </c>
      <c r="AB9984" t="s">
        <v>33727</v>
      </c>
      <c r="AD9984" t="s">
        <v>44550</v>
      </c>
      <c r="AE9984">
        <v>0</v>
      </c>
      <c r="AG9984" t="s">
        <v>19330</v>
      </c>
      <c r="AH9984">
        <v>3</v>
      </c>
      <c r="AI9984">
        <v>1</v>
      </c>
      <c r="AJ9984">
        <v>0</v>
      </c>
      <c r="AK9984">
        <v>18.73</v>
      </c>
      <c r="AN9984" t="s">
        <v>45581</v>
      </c>
      <c r="AO9984">
        <v>2340</v>
      </c>
      <c r="AU9984">
        <v>20.3</v>
      </c>
      <c r="AV9984" t="s">
        <v>833</v>
      </c>
      <c r="AW9984" t="s">
        <v>208</v>
      </c>
    </row>
    <row r="9985" spans="1:49">
      <c r="A9985" s="1">
        <f>HYPERLINK("https://lsnyc.legalserver.org/matter/dynamic-profile/view/1892177","19-1892177")</f>
        <v>0</v>
      </c>
      <c r="B9985" t="s">
        <v>280</v>
      </c>
      <c r="C9985" t="s">
        <v>340</v>
      </c>
      <c r="D9985" t="s">
        <v>758</v>
      </c>
      <c r="F9985" t="s">
        <v>1079</v>
      </c>
      <c r="G9985" t="s">
        <v>5341</v>
      </c>
      <c r="H9985" t="s">
        <v>16428</v>
      </c>
      <c r="I9985" t="s">
        <v>17321</v>
      </c>
      <c r="J9985" t="s">
        <v>18898</v>
      </c>
      <c r="K9985">
        <v>11691</v>
      </c>
      <c r="L9985" t="s">
        <v>18960</v>
      </c>
      <c r="M9985" t="s">
        <v>18960</v>
      </c>
      <c r="O9985" t="s">
        <v>26523</v>
      </c>
      <c r="R9985" t="s">
        <v>26591</v>
      </c>
      <c r="U9985" t="s">
        <v>26604</v>
      </c>
      <c r="X9985">
        <v>0</v>
      </c>
      <c r="Y9985" t="s">
        <v>26653</v>
      </c>
      <c r="Z9985" t="s">
        <v>26661</v>
      </c>
      <c r="AB9985" t="s">
        <v>33728</v>
      </c>
      <c r="AD9985" t="s">
        <v>44551</v>
      </c>
      <c r="AE9985">
        <v>0</v>
      </c>
      <c r="AG9985" t="s">
        <v>45557</v>
      </c>
      <c r="AH9985">
        <v>0</v>
      </c>
      <c r="AI9985">
        <v>2</v>
      </c>
      <c r="AJ9985">
        <v>1</v>
      </c>
      <c r="AK9985">
        <v>78.76000000000001</v>
      </c>
      <c r="AN9985" t="s">
        <v>7439</v>
      </c>
      <c r="AO9985">
        <v>16800</v>
      </c>
      <c r="AU9985">
        <v>1.45</v>
      </c>
      <c r="AV9985" t="s">
        <v>815</v>
      </c>
      <c r="AW9985" t="s">
        <v>46849</v>
      </c>
    </row>
    <row r="9986" spans="1:49">
      <c r="A9986" s="1">
        <f>HYPERLINK("https://lsnyc.legalserver.org/matter/dynamic-profile/view/1892178","19-1892178")</f>
        <v>0</v>
      </c>
      <c r="B9986" t="s">
        <v>96</v>
      </c>
      <c r="C9986" t="s">
        <v>340</v>
      </c>
      <c r="D9986" t="s">
        <v>758</v>
      </c>
      <c r="F9986" t="s">
        <v>1834</v>
      </c>
      <c r="G9986" t="s">
        <v>5978</v>
      </c>
      <c r="H9986" t="s">
        <v>16429</v>
      </c>
      <c r="I9986" t="s">
        <v>17976</v>
      </c>
      <c r="J9986" t="s">
        <v>18892</v>
      </c>
      <c r="K9986">
        <v>10458</v>
      </c>
      <c r="L9986" t="s">
        <v>18959</v>
      </c>
      <c r="M9986" t="s">
        <v>18959</v>
      </c>
      <c r="P9986" t="s">
        <v>26566</v>
      </c>
      <c r="R9986" t="s">
        <v>26577</v>
      </c>
      <c r="U9986" t="s">
        <v>26604</v>
      </c>
      <c r="X9986">
        <v>0</v>
      </c>
      <c r="Y9986" t="s">
        <v>26650</v>
      </c>
      <c r="AE9986">
        <v>0</v>
      </c>
      <c r="AH9986">
        <v>0</v>
      </c>
      <c r="AI9986">
        <v>1</v>
      </c>
      <c r="AJ9986">
        <v>0</v>
      </c>
      <c r="AK9986">
        <v>0</v>
      </c>
      <c r="AN9986" t="s">
        <v>7439</v>
      </c>
      <c r="AO9986">
        <v>0</v>
      </c>
      <c r="AP9986" t="s">
        <v>46239</v>
      </c>
      <c r="AU9986">
        <v>2.6</v>
      </c>
      <c r="AV9986" t="s">
        <v>792</v>
      </c>
      <c r="AW9986" t="s">
        <v>46870</v>
      </c>
    </row>
    <row r="9987" spans="1:49">
      <c r="A9987" s="1">
        <f>HYPERLINK("https://lsnyc.legalserver.org/matter/dynamic-profile/view/1892047","19-1892047")</f>
        <v>0</v>
      </c>
      <c r="B9987" t="s">
        <v>202</v>
      </c>
      <c r="C9987" t="s">
        <v>340</v>
      </c>
      <c r="D9987" t="s">
        <v>758</v>
      </c>
      <c r="F9987" t="s">
        <v>4267</v>
      </c>
      <c r="G9987" t="s">
        <v>3369</v>
      </c>
      <c r="H9987" t="s">
        <v>15391</v>
      </c>
      <c r="I9987">
        <v>11</v>
      </c>
      <c r="J9987" t="s">
        <v>18894</v>
      </c>
      <c r="K9987">
        <v>11225</v>
      </c>
      <c r="L9987" t="s">
        <v>18960</v>
      </c>
      <c r="M9987" t="s">
        <v>18960</v>
      </c>
      <c r="N9987" t="s">
        <v>25804</v>
      </c>
      <c r="O9987" t="s">
        <v>26523</v>
      </c>
      <c r="P9987" t="s">
        <v>26560</v>
      </c>
      <c r="R9987" t="s">
        <v>26588</v>
      </c>
      <c r="U9987" t="s">
        <v>26604</v>
      </c>
      <c r="X9987">
        <v>713.16</v>
      </c>
      <c r="Y9987" t="s">
        <v>26652</v>
      </c>
      <c r="Z9987" t="s">
        <v>26669</v>
      </c>
      <c r="AB9987" t="s">
        <v>31488</v>
      </c>
      <c r="AD9987" t="s">
        <v>43401</v>
      </c>
      <c r="AE9987">
        <v>16</v>
      </c>
      <c r="AF9987" t="s">
        <v>45541</v>
      </c>
      <c r="AG9987" t="s">
        <v>19330</v>
      </c>
      <c r="AH9987">
        <v>40</v>
      </c>
      <c r="AI9987">
        <v>3</v>
      </c>
      <c r="AJ9987">
        <v>0</v>
      </c>
      <c r="AK9987">
        <v>10.3</v>
      </c>
      <c r="AN9987" t="s">
        <v>7439</v>
      </c>
      <c r="AO9987">
        <v>2196</v>
      </c>
      <c r="AU9987">
        <v>54.55</v>
      </c>
      <c r="AV9987" t="s">
        <v>825</v>
      </c>
      <c r="AW9987" t="s">
        <v>46853</v>
      </c>
    </row>
    <row r="9988" spans="1:49">
      <c r="A9988" s="1">
        <f>HYPERLINK("https://lsnyc.legalserver.org/matter/dynamic-profile/view/1892156","19-1892156")</f>
        <v>0</v>
      </c>
      <c r="B9988" t="s">
        <v>262</v>
      </c>
      <c r="C9988" t="s">
        <v>340</v>
      </c>
      <c r="D9988" t="s">
        <v>758</v>
      </c>
      <c r="F9988" t="s">
        <v>1244</v>
      </c>
      <c r="G9988" t="s">
        <v>973</v>
      </c>
      <c r="H9988" t="s">
        <v>16430</v>
      </c>
      <c r="I9988" t="s">
        <v>18323</v>
      </c>
      <c r="J9988" t="s">
        <v>18892</v>
      </c>
      <c r="K9988">
        <v>10456</v>
      </c>
      <c r="L9988" t="s">
        <v>18958</v>
      </c>
      <c r="M9988" t="s">
        <v>18958</v>
      </c>
      <c r="N9988" t="s">
        <v>25805</v>
      </c>
      <c r="O9988" t="s">
        <v>26524</v>
      </c>
      <c r="P9988" t="s">
        <v>26564</v>
      </c>
      <c r="R9988" t="s">
        <v>26583</v>
      </c>
      <c r="S9988" t="s">
        <v>18959</v>
      </c>
      <c r="U9988" t="s">
        <v>26604</v>
      </c>
      <c r="V9988" t="s">
        <v>26610</v>
      </c>
      <c r="X9988">
        <v>1230</v>
      </c>
      <c r="Y9988" t="s">
        <v>26650</v>
      </c>
      <c r="Z9988" t="s">
        <v>26668</v>
      </c>
      <c r="AB9988" t="s">
        <v>33729</v>
      </c>
      <c r="AD9988" t="s">
        <v>44552</v>
      </c>
      <c r="AE9988">
        <v>20</v>
      </c>
      <c r="AF9988" t="s">
        <v>45541</v>
      </c>
      <c r="AH9988">
        <v>2</v>
      </c>
      <c r="AI9988">
        <v>2</v>
      </c>
      <c r="AJ9988">
        <v>1</v>
      </c>
      <c r="AK9988">
        <v>372.25</v>
      </c>
      <c r="AN9988" t="s">
        <v>45581</v>
      </c>
      <c r="AO9988">
        <v>79400</v>
      </c>
      <c r="AP9988" t="s">
        <v>46240</v>
      </c>
      <c r="AU9988">
        <v>3.25</v>
      </c>
      <c r="AV9988" t="s">
        <v>777</v>
      </c>
      <c r="AW9988" t="s">
        <v>46831</v>
      </c>
    </row>
    <row r="9989" spans="1:49">
      <c r="A9989" s="1">
        <f>HYPERLINK("https://lsnyc.legalserver.org/matter/dynamic-profile/view/1892099","19-1892099")</f>
        <v>0</v>
      </c>
      <c r="B9989" t="s">
        <v>142</v>
      </c>
      <c r="C9989" t="s">
        <v>340</v>
      </c>
      <c r="D9989" t="s">
        <v>758</v>
      </c>
      <c r="F9989" t="s">
        <v>991</v>
      </c>
      <c r="G9989" t="s">
        <v>3036</v>
      </c>
      <c r="H9989" t="s">
        <v>16431</v>
      </c>
      <c r="I9989" t="s">
        <v>17375</v>
      </c>
      <c r="J9989" t="s">
        <v>18901</v>
      </c>
      <c r="K9989">
        <v>11434</v>
      </c>
      <c r="L9989" t="s">
        <v>18958</v>
      </c>
      <c r="M9989" t="s">
        <v>18958</v>
      </c>
      <c r="N9989" t="s">
        <v>25806</v>
      </c>
      <c r="O9989" t="s">
        <v>26524</v>
      </c>
      <c r="P9989" t="s">
        <v>26560</v>
      </c>
      <c r="R9989" t="s">
        <v>26585</v>
      </c>
      <c r="S9989" t="s">
        <v>18959</v>
      </c>
      <c r="U9989" t="s">
        <v>26604</v>
      </c>
      <c r="X9989">
        <v>1600</v>
      </c>
      <c r="Y9989" t="s">
        <v>26653</v>
      </c>
      <c r="Z9989" t="s">
        <v>26668</v>
      </c>
      <c r="AB9989" t="s">
        <v>33730</v>
      </c>
      <c r="AD9989" t="s">
        <v>44553</v>
      </c>
      <c r="AE9989">
        <v>0</v>
      </c>
      <c r="AF9989" t="s">
        <v>20460</v>
      </c>
      <c r="AG9989" t="s">
        <v>19330</v>
      </c>
      <c r="AH9989">
        <v>7</v>
      </c>
      <c r="AI9989">
        <v>2</v>
      </c>
      <c r="AJ9989">
        <v>0</v>
      </c>
      <c r="AK9989">
        <v>0</v>
      </c>
      <c r="AN9989" t="s">
        <v>7439</v>
      </c>
      <c r="AO9989">
        <v>0</v>
      </c>
      <c r="AQ9989" t="s">
        <v>46359</v>
      </c>
      <c r="AR9989" t="s">
        <v>46379</v>
      </c>
      <c r="AS9989" t="s">
        <v>46499</v>
      </c>
      <c r="AT9989" t="s">
        <v>46744</v>
      </c>
      <c r="AU9989">
        <v>7.9</v>
      </c>
      <c r="AV9989" t="s">
        <v>791</v>
      </c>
      <c r="AW9989" t="s">
        <v>208</v>
      </c>
    </row>
    <row r="9990" spans="1:49">
      <c r="A9990" s="1">
        <f>HYPERLINK("https://lsnyc.legalserver.org/matter/dynamic-profile/view/1892072","19-1892072")</f>
        <v>0</v>
      </c>
      <c r="B9990" t="s">
        <v>142</v>
      </c>
      <c r="C9990" t="s">
        <v>340</v>
      </c>
      <c r="D9990" t="s">
        <v>758</v>
      </c>
      <c r="F9990" t="s">
        <v>2063</v>
      </c>
      <c r="G9990" t="s">
        <v>868</v>
      </c>
      <c r="H9990" t="s">
        <v>16432</v>
      </c>
      <c r="I9990" t="s">
        <v>17814</v>
      </c>
      <c r="J9990" t="s">
        <v>18901</v>
      </c>
      <c r="K9990">
        <v>11434</v>
      </c>
      <c r="L9990" t="s">
        <v>18958</v>
      </c>
      <c r="M9990" t="s">
        <v>18958</v>
      </c>
      <c r="N9990" t="s">
        <v>25807</v>
      </c>
      <c r="O9990" t="s">
        <v>26523</v>
      </c>
      <c r="P9990" t="s">
        <v>26563</v>
      </c>
      <c r="R9990" t="s">
        <v>26585</v>
      </c>
      <c r="S9990" t="s">
        <v>18959</v>
      </c>
      <c r="U9990" t="s">
        <v>26604</v>
      </c>
      <c r="X9990">
        <v>895.14</v>
      </c>
      <c r="Y9990" t="s">
        <v>26653</v>
      </c>
      <c r="Z9990" t="s">
        <v>26668</v>
      </c>
      <c r="AB9990" t="s">
        <v>33721</v>
      </c>
      <c r="AD9990" t="s">
        <v>44554</v>
      </c>
      <c r="AE9990">
        <v>0</v>
      </c>
      <c r="AF9990" t="s">
        <v>45550</v>
      </c>
      <c r="AG9990" t="s">
        <v>19330</v>
      </c>
      <c r="AH9990">
        <v>37</v>
      </c>
      <c r="AI9990">
        <v>1</v>
      </c>
      <c r="AJ9990">
        <v>0</v>
      </c>
      <c r="AK9990">
        <v>280.22</v>
      </c>
      <c r="AN9990" t="s">
        <v>7439</v>
      </c>
      <c r="AO9990">
        <v>35000</v>
      </c>
      <c r="AQ9990" t="s">
        <v>46359</v>
      </c>
      <c r="AR9990" t="s">
        <v>46379</v>
      </c>
      <c r="AS9990" t="s">
        <v>46499</v>
      </c>
      <c r="AT9990" t="s">
        <v>46751</v>
      </c>
      <c r="AU9990">
        <v>10.6</v>
      </c>
      <c r="AV9990" t="s">
        <v>822</v>
      </c>
      <c r="AW9990" t="s">
        <v>208</v>
      </c>
    </row>
    <row r="9991" spans="1:49">
      <c r="A9991" s="1">
        <f>HYPERLINK("https://lsnyc.legalserver.org/matter/dynamic-profile/view/1892070","19-1892070")</f>
        <v>0</v>
      </c>
      <c r="B9991" t="s">
        <v>112</v>
      </c>
      <c r="C9991" t="s">
        <v>340</v>
      </c>
      <c r="D9991" t="s">
        <v>758</v>
      </c>
      <c r="F9991" t="s">
        <v>1072</v>
      </c>
      <c r="G9991" t="s">
        <v>9231</v>
      </c>
      <c r="H9991" t="s">
        <v>16433</v>
      </c>
      <c r="I9991" t="s">
        <v>18738</v>
      </c>
      <c r="J9991" t="s">
        <v>18906</v>
      </c>
      <c r="K9991">
        <v>11373</v>
      </c>
      <c r="L9991" t="s">
        <v>18958</v>
      </c>
      <c r="M9991" t="s">
        <v>18958</v>
      </c>
      <c r="N9991" t="s">
        <v>25808</v>
      </c>
      <c r="O9991" t="s">
        <v>26524</v>
      </c>
      <c r="P9991" t="s">
        <v>26560</v>
      </c>
      <c r="R9991" t="s">
        <v>26585</v>
      </c>
      <c r="S9991" t="s">
        <v>18959</v>
      </c>
      <c r="U9991" t="s">
        <v>26604</v>
      </c>
      <c r="X9991">
        <v>700</v>
      </c>
      <c r="Y9991" t="s">
        <v>26653</v>
      </c>
      <c r="Z9991" t="s">
        <v>26668</v>
      </c>
      <c r="AB9991" t="s">
        <v>33731</v>
      </c>
      <c r="AD9991" t="s">
        <v>44555</v>
      </c>
      <c r="AE9991">
        <v>0</v>
      </c>
      <c r="AF9991" t="s">
        <v>20460</v>
      </c>
      <c r="AG9991" t="s">
        <v>19330</v>
      </c>
      <c r="AH9991">
        <v>5</v>
      </c>
      <c r="AI9991">
        <v>1</v>
      </c>
      <c r="AJ9991">
        <v>0</v>
      </c>
      <c r="AK9991">
        <v>74.94</v>
      </c>
      <c r="AN9991" t="s">
        <v>7439</v>
      </c>
      <c r="AO9991">
        <v>9360</v>
      </c>
      <c r="AU9991">
        <v>17.6</v>
      </c>
      <c r="AV9991" t="s">
        <v>834</v>
      </c>
      <c r="AW9991" t="s">
        <v>208</v>
      </c>
    </row>
    <row r="9992" spans="1:49">
      <c r="A9992" s="1">
        <f>HYPERLINK("https://lsnyc.legalserver.org/matter/dynamic-profile/view/1892108","19-1892108")</f>
        <v>0</v>
      </c>
      <c r="B9992" t="s">
        <v>87</v>
      </c>
      <c r="C9992" t="s">
        <v>340</v>
      </c>
      <c r="D9992" t="s">
        <v>758</v>
      </c>
      <c r="F9992" t="s">
        <v>2207</v>
      </c>
      <c r="G9992" t="s">
        <v>5147</v>
      </c>
      <c r="H9992" t="s">
        <v>16434</v>
      </c>
      <c r="I9992" t="s">
        <v>18739</v>
      </c>
      <c r="J9992" t="s">
        <v>18892</v>
      </c>
      <c r="K9992">
        <v>10451</v>
      </c>
      <c r="L9992" t="s">
        <v>18958</v>
      </c>
      <c r="M9992" t="s">
        <v>18959</v>
      </c>
      <c r="N9992" t="s">
        <v>25809</v>
      </c>
      <c r="O9992" t="s">
        <v>26523</v>
      </c>
      <c r="P9992" t="s">
        <v>26564</v>
      </c>
      <c r="R9992" t="s">
        <v>26591</v>
      </c>
      <c r="U9992" t="s">
        <v>26604</v>
      </c>
      <c r="V9992" t="s">
        <v>26612</v>
      </c>
      <c r="X9992">
        <v>1202.15</v>
      </c>
      <c r="Y9992" t="s">
        <v>26650</v>
      </c>
      <c r="Z9992" t="s">
        <v>26668</v>
      </c>
      <c r="AB9992" t="s">
        <v>31117</v>
      </c>
      <c r="AD9992" t="s">
        <v>44556</v>
      </c>
      <c r="AE9992">
        <v>20</v>
      </c>
      <c r="AF9992" t="s">
        <v>20460</v>
      </c>
      <c r="AH9992">
        <v>10</v>
      </c>
      <c r="AI9992">
        <v>2</v>
      </c>
      <c r="AJ9992">
        <v>3</v>
      </c>
      <c r="AK9992">
        <v>112.69</v>
      </c>
      <c r="AN9992" t="s">
        <v>7439</v>
      </c>
      <c r="AO9992">
        <v>34000</v>
      </c>
      <c r="AP9992" t="s">
        <v>46241</v>
      </c>
      <c r="AU9992">
        <v>1.05</v>
      </c>
      <c r="AV9992" t="s">
        <v>741</v>
      </c>
      <c r="AW9992" t="s">
        <v>46831</v>
      </c>
    </row>
    <row r="9993" spans="1:49">
      <c r="A9993" s="1">
        <f>HYPERLINK("https://lsnyc.legalserver.org/matter/dynamic-profile/view/1892266","19-1892266")</f>
        <v>0</v>
      </c>
      <c r="B9993" t="s">
        <v>279</v>
      </c>
      <c r="C9993" t="s">
        <v>341</v>
      </c>
      <c r="D9993" t="s">
        <v>659</v>
      </c>
      <c r="E9993" t="s">
        <v>802</v>
      </c>
      <c r="F9993" t="s">
        <v>2942</v>
      </c>
      <c r="G9993" t="s">
        <v>7601</v>
      </c>
      <c r="H9993" t="s">
        <v>16435</v>
      </c>
      <c r="I9993">
        <v>2</v>
      </c>
      <c r="J9993" t="s">
        <v>18894</v>
      </c>
      <c r="K9993">
        <v>11208</v>
      </c>
      <c r="L9993" t="s">
        <v>18959</v>
      </c>
      <c r="M9993" t="s">
        <v>18959</v>
      </c>
      <c r="N9993" t="s">
        <v>25810</v>
      </c>
      <c r="O9993" t="s">
        <v>26524</v>
      </c>
      <c r="Q9993" t="s">
        <v>26570</v>
      </c>
      <c r="R9993" t="s">
        <v>26578</v>
      </c>
      <c r="S9993" t="s">
        <v>18959</v>
      </c>
      <c r="U9993" t="s">
        <v>26604</v>
      </c>
      <c r="V9993" t="s">
        <v>26610</v>
      </c>
      <c r="X9993">
        <v>1756</v>
      </c>
      <c r="Y9993" t="s">
        <v>26652</v>
      </c>
      <c r="AA9993" t="s">
        <v>26683</v>
      </c>
      <c r="AB9993" t="s">
        <v>33732</v>
      </c>
      <c r="AD9993" t="s">
        <v>44557</v>
      </c>
      <c r="AE9993">
        <v>3</v>
      </c>
      <c r="AF9993" t="s">
        <v>45547</v>
      </c>
      <c r="AG9993" t="s">
        <v>45556</v>
      </c>
      <c r="AH9993">
        <v>13</v>
      </c>
      <c r="AI9993">
        <v>2</v>
      </c>
      <c r="AJ9993">
        <v>0</v>
      </c>
      <c r="AK9993">
        <v>80.83</v>
      </c>
      <c r="AN9993" t="s">
        <v>7439</v>
      </c>
      <c r="AO9993">
        <v>13668</v>
      </c>
      <c r="AU9993">
        <v>1.25</v>
      </c>
      <c r="AV9993" t="s">
        <v>802</v>
      </c>
      <c r="AW9993" t="s">
        <v>46857</v>
      </c>
    </row>
    <row r="9994" spans="1:49">
      <c r="A9994" s="1">
        <f>HYPERLINK("https://lsnyc.legalserver.org/matter/dynamic-profile/view/1892253","19-1892253")</f>
        <v>0</v>
      </c>
      <c r="B9994" t="s">
        <v>85</v>
      </c>
      <c r="C9994" t="s">
        <v>340</v>
      </c>
      <c r="D9994" t="s">
        <v>659</v>
      </c>
      <c r="F9994" t="s">
        <v>4711</v>
      </c>
      <c r="G9994" t="s">
        <v>9232</v>
      </c>
      <c r="H9994" t="s">
        <v>16436</v>
      </c>
      <c r="I9994" t="s">
        <v>18590</v>
      </c>
      <c r="J9994" t="s">
        <v>18920</v>
      </c>
      <c r="K9994">
        <v>11369</v>
      </c>
      <c r="L9994" t="s">
        <v>18958</v>
      </c>
      <c r="M9994" t="s">
        <v>18958</v>
      </c>
      <c r="N9994" t="s">
        <v>25811</v>
      </c>
      <c r="O9994" t="s">
        <v>26523</v>
      </c>
      <c r="P9994" t="s">
        <v>26564</v>
      </c>
      <c r="R9994" t="s">
        <v>26584</v>
      </c>
      <c r="S9994" t="s">
        <v>18958</v>
      </c>
      <c r="U9994" t="s">
        <v>26604</v>
      </c>
      <c r="X9994">
        <v>1380.3</v>
      </c>
      <c r="Y9994" t="s">
        <v>26653</v>
      </c>
      <c r="Z9994" t="s">
        <v>26530</v>
      </c>
      <c r="AB9994" t="s">
        <v>33733</v>
      </c>
      <c r="AD9994" t="s">
        <v>44558</v>
      </c>
      <c r="AE9994">
        <v>0</v>
      </c>
      <c r="AH9994">
        <v>1</v>
      </c>
      <c r="AI9994">
        <v>1</v>
      </c>
      <c r="AJ9994">
        <v>2</v>
      </c>
      <c r="AK9994">
        <v>20.48</v>
      </c>
      <c r="AO9994">
        <v>4368</v>
      </c>
      <c r="AU9994">
        <v>1.2</v>
      </c>
      <c r="AV9994" t="s">
        <v>773</v>
      </c>
      <c r="AW9994" t="s">
        <v>85</v>
      </c>
    </row>
    <row r="9995" spans="1:49">
      <c r="A9995" s="1">
        <f>HYPERLINK("https://lsnyc.legalserver.org/matter/dynamic-profile/view/1892326","19-1892326")</f>
        <v>0</v>
      </c>
      <c r="B9995" t="s">
        <v>115</v>
      </c>
      <c r="C9995" t="s">
        <v>340</v>
      </c>
      <c r="D9995" t="s">
        <v>659</v>
      </c>
      <c r="F9995" t="s">
        <v>3146</v>
      </c>
      <c r="G9995" t="s">
        <v>5481</v>
      </c>
      <c r="H9995" t="s">
        <v>11894</v>
      </c>
      <c r="I9995" t="s">
        <v>18740</v>
      </c>
      <c r="J9995" t="s">
        <v>18892</v>
      </c>
      <c r="K9995">
        <v>10453</v>
      </c>
      <c r="L9995" t="s">
        <v>18959</v>
      </c>
      <c r="M9995" t="s">
        <v>18959</v>
      </c>
      <c r="O9995" t="s">
        <v>18997</v>
      </c>
      <c r="P9995" t="s">
        <v>26565</v>
      </c>
      <c r="R9995" t="s">
        <v>26578</v>
      </c>
      <c r="S9995" t="s">
        <v>18959</v>
      </c>
      <c r="U9995" t="s">
        <v>26604</v>
      </c>
      <c r="X9995">
        <v>0</v>
      </c>
      <c r="Y9995" t="s">
        <v>26650</v>
      </c>
      <c r="AB9995" t="s">
        <v>33734</v>
      </c>
      <c r="AE9995">
        <v>0</v>
      </c>
      <c r="AH9995">
        <v>0</v>
      </c>
      <c r="AI9995">
        <v>4</v>
      </c>
      <c r="AJ9995">
        <v>2</v>
      </c>
      <c r="AK9995">
        <v>90.2</v>
      </c>
      <c r="AN9995" t="s">
        <v>45581</v>
      </c>
      <c r="AO9995">
        <v>31200</v>
      </c>
      <c r="AP9995" t="s">
        <v>46242</v>
      </c>
      <c r="AU9995">
        <v>2.2</v>
      </c>
      <c r="AV9995" t="s">
        <v>784</v>
      </c>
      <c r="AW9995" t="s">
        <v>115</v>
      </c>
    </row>
    <row r="9996" spans="1:49">
      <c r="A9996" s="1">
        <f>HYPERLINK("https://lsnyc.legalserver.org/matter/dynamic-profile/view/1892246","19-1892246")</f>
        <v>0</v>
      </c>
      <c r="B9996" t="s">
        <v>91</v>
      </c>
      <c r="C9996" t="s">
        <v>340</v>
      </c>
      <c r="D9996" t="s">
        <v>659</v>
      </c>
      <c r="F9996" t="s">
        <v>4712</v>
      </c>
      <c r="G9996" t="s">
        <v>9233</v>
      </c>
      <c r="H9996" t="s">
        <v>16437</v>
      </c>
      <c r="I9996" t="s">
        <v>17378</v>
      </c>
      <c r="J9996" t="s">
        <v>18913</v>
      </c>
      <c r="K9996">
        <v>11105</v>
      </c>
      <c r="L9996" t="s">
        <v>18958</v>
      </c>
      <c r="M9996" t="s">
        <v>18958</v>
      </c>
      <c r="N9996" t="s">
        <v>25812</v>
      </c>
      <c r="O9996" t="s">
        <v>26523</v>
      </c>
      <c r="P9996" t="s">
        <v>26560</v>
      </c>
      <c r="R9996" t="s">
        <v>26584</v>
      </c>
      <c r="S9996" t="s">
        <v>18959</v>
      </c>
      <c r="U9996" t="s">
        <v>26604</v>
      </c>
      <c r="V9996" t="s">
        <v>26610</v>
      </c>
      <c r="X9996">
        <v>1574.77</v>
      </c>
      <c r="Y9996" t="s">
        <v>26653</v>
      </c>
      <c r="Z9996" t="s">
        <v>26664</v>
      </c>
      <c r="AB9996" t="s">
        <v>33735</v>
      </c>
      <c r="AD9996" t="s">
        <v>44559</v>
      </c>
      <c r="AE9996">
        <v>642</v>
      </c>
      <c r="AF9996" t="s">
        <v>45541</v>
      </c>
      <c r="AG9996" t="s">
        <v>19330</v>
      </c>
      <c r="AH9996">
        <v>10</v>
      </c>
      <c r="AI9996">
        <v>1</v>
      </c>
      <c r="AJ9996">
        <v>0</v>
      </c>
      <c r="AK9996">
        <v>47.08</v>
      </c>
      <c r="AN9996" t="s">
        <v>7439</v>
      </c>
      <c r="AO9996">
        <v>5880</v>
      </c>
      <c r="AU9996">
        <v>16.9</v>
      </c>
      <c r="AV9996" t="s">
        <v>814</v>
      </c>
      <c r="AW9996" t="s">
        <v>122</v>
      </c>
    </row>
    <row r="9997" spans="1:49">
      <c r="A9997" s="1">
        <f>HYPERLINK("https://lsnyc.legalserver.org/matter/dynamic-profile/view/1892277","19-1892277")</f>
        <v>0</v>
      </c>
      <c r="B9997" t="s">
        <v>87</v>
      </c>
      <c r="C9997" t="s">
        <v>340</v>
      </c>
      <c r="D9997" t="s">
        <v>659</v>
      </c>
      <c r="F9997" t="s">
        <v>928</v>
      </c>
      <c r="G9997" t="s">
        <v>9234</v>
      </c>
      <c r="H9997" t="s">
        <v>16438</v>
      </c>
      <c r="I9997">
        <v>104</v>
      </c>
      <c r="J9997" t="s">
        <v>18892</v>
      </c>
      <c r="K9997">
        <v>10463</v>
      </c>
      <c r="L9997" t="s">
        <v>18959</v>
      </c>
      <c r="M9997" t="s">
        <v>18959</v>
      </c>
      <c r="N9997" t="s">
        <v>25813</v>
      </c>
      <c r="O9997" t="s">
        <v>26523</v>
      </c>
      <c r="R9997" t="s">
        <v>26591</v>
      </c>
      <c r="S9997" t="s">
        <v>18959</v>
      </c>
      <c r="U9997" t="s">
        <v>26604</v>
      </c>
      <c r="X9997">
        <v>241</v>
      </c>
      <c r="Y9997" t="s">
        <v>26650</v>
      </c>
      <c r="Z9997" t="s">
        <v>26530</v>
      </c>
      <c r="AB9997" t="s">
        <v>28975</v>
      </c>
      <c r="AD9997" t="s">
        <v>44560</v>
      </c>
      <c r="AE9997">
        <v>80</v>
      </c>
      <c r="AF9997" t="s">
        <v>20460</v>
      </c>
      <c r="AG9997" t="s">
        <v>19330</v>
      </c>
      <c r="AH9997">
        <v>1</v>
      </c>
      <c r="AI9997">
        <v>1</v>
      </c>
      <c r="AJ9997">
        <v>0</v>
      </c>
      <c r="AK9997">
        <v>72.06</v>
      </c>
      <c r="AN9997" t="s">
        <v>7439</v>
      </c>
      <c r="AO9997">
        <v>9000</v>
      </c>
      <c r="AU9997">
        <v>7.95</v>
      </c>
      <c r="AV9997" t="s">
        <v>835</v>
      </c>
      <c r="AW9997" t="s">
        <v>46841</v>
      </c>
    </row>
    <row r="9998" spans="1:49">
      <c r="A9998" s="1">
        <f>HYPERLINK("https://lsnyc.legalserver.org/matter/dynamic-profile/view/1892244","19-1892244")</f>
        <v>0</v>
      </c>
      <c r="B9998" t="s">
        <v>275</v>
      </c>
      <c r="C9998" t="s">
        <v>340</v>
      </c>
      <c r="D9998" t="s">
        <v>659</v>
      </c>
      <c r="F9998" t="s">
        <v>4713</v>
      </c>
      <c r="G9998" t="s">
        <v>9235</v>
      </c>
      <c r="H9998" t="s">
        <v>16439</v>
      </c>
      <c r="I9998" t="s">
        <v>17312</v>
      </c>
      <c r="J9998" t="s">
        <v>18892</v>
      </c>
      <c r="K9998">
        <v>10466</v>
      </c>
      <c r="L9998" t="s">
        <v>18958</v>
      </c>
      <c r="M9998" t="s">
        <v>18958</v>
      </c>
      <c r="N9998" t="s">
        <v>25814</v>
      </c>
      <c r="O9998" t="s">
        <v>26524</v>
      </c>
      <c r="P9998" t="s">
        <v>26563</v>
      </c>
      <c r="R9998" t="s">
        <v>26577</v>
      </c>
      <c r="U9998" t="s">
        <v>26604</v>
      </c>
      <c r="V9998" t="s">
        <v>26612</v>
      </c>
      <c r="X9998">
        <v>1340</v>
      </c>
      <c r="Y9998" t="s">
        <v>26650</v>
      </c>
      <c r="Z9998" t="s">
        <v>26668</v>
      </c>
      <c r="AB9998" t="s">
        <v>33736</v>
      </c>
      <c r="AC9998" t="s">
        <v>36693</v>
      </c>
      <c r="AD9998" t="s">
        <v>44561</v>
      </c>
      <c r="AE9998">
        <v>21</v>
      </c>
      <c r="AF9998" t="s">
        <v>45553</v>
      </c>
      <c r="AG9998" t="s">
        <v>19330</v>
      </c>
      <c r="AH9998">
        <v>4</v>
      </c>
      <c r="AI9998">
        <v>1</v>
      </c>
      <c r="AJ9998">
        <v>0</v>
      </c>
      <c r="AK9998">
        <v>112.85</v>
      </c>
      <c r="AN9998" t="s">
        <v>7439</v>
      </c>
      <c r="AO9998">
        <v>14095</v>
      </c>
      <c r="AP9998" t="s">
        <v>46243</v>
      </c>
      <c r="AU9998">
        <v>9</v>
      </c>
      <c r="AV9998" t="s">
        <v>763</v>
      </c>
      <c r="AW9998" t="s">
        <v>334</v>
      </c>
    </row>
    <row r="9999" spans="1:49">
      <c r="A9999" s="1">
        <f>HYPERLINK("https://lsnyc.legalserver.org/matter/dynamic-profile/view/1892408","19-1892408")</f>
        <v>0</v>
      </c>
      <c r="B9999" t="s">
        <v>180</v>
      </c>
      <c r="C9999" t="s">
        <v>341</v>
      </c>
      <c r="D9999" t="s">
        <v>416</v>
      </c>
      <c r="E9999" t="s">
        <v>810</v>
      </c>
      <c r="F9999" t="s">
        <v>1428</v>
      </c>
      <c r="G9999" t="s">
        <v>5008</v>
      </c>
      <c r="H9999" t="s">
        <v>13495</v>
      </c>
      <c r="I9999" t="s">
        <v>18741</v>
      </c>
      <c r="J9999" t="s">
        <v>18894</v>
      </c>
      <c r="K9999">
        <v>11224</v>
      </c>
      <c r="L9999" t="s">
        <v>18960</v>
      </c>
      <c r="M9999" t="s">
        <v>18960</v>
      </c>
      <c r="N9999" t="s">
        <v>25815</v>
      </c>
      <c r="O9999" t="s">
        <v>26523</v>
      </c>
      <c r="P9999" t="s">
        <v>26560</v>
      </c>
      <c r="Q9999" t="s">
        <v>26568</v>
      </c>
      <c r="R9999" t="s">
        <v>26586</v>
      </c>
      <c r="U9999" t="s">
        <v>26604</v>
      </c>
      <c r="X9999">
        <v>921</v>
      </c>
      <c r="Y9999" t="s">
        <v>26652</v>
      </c>
      <c r="Z9999" t="s">
        <v>26664</v>
      </c>
      <c r="AA9999" t="s">
        <v>26678</v>
      </c>
      <c r="AB9999" t="s">
        <v>33737</v>
      </c>
      <c r="AD9999" t="s">
        <v>44562</v>
      </c>
      <c r="AE9999">
        <v>75</v>
      </c>
      <c r="AG9999" t="s">
        <v>19330</v>
      </c>
      <c r="AH9999">
        <v>10</v>
      </c>
      <c r="AI9999">
        <v>2</v>
      </c>
      <c r="AJ9999">
        <v>0</v>
      </c>
      <c r="AK9999">
        <v>99.34999999999999</v>
      </c>
      <c r="AN9999" t="s">
        <v>7439</v>
      </c>
      <c r="AO9999">
        <v>16800</v>
      </c>
      <c r="AS9999" t="s">
        <v>46499</v>
      </c>
      <c r="AU9999">
        <v>11.7</v>
      </c>
      <c r="AV9999" t="s">
        <v>816</v>
      </c>
      <c r="AW9999" t="s">
        <v>46853</v>
      </c>
    </row>
    <row r="10000" spans="1:49">
      <c r="A10000" s="1">
        <f>HYPERLINK("https://lsnyc.legalserver.org/matter/dynamic-profile/view/1892377","19-1892377")</f>
        <v>0</v>
      </c>
      <c r="B10000" t="s">
        <v>186</v>
      </c>
      <c r="C10000" t="s">
        <v>341</v>
      </c>
      <c r="D10000" t="s">
        <v>416</v>
      </c>
      <c r="E10000" t="s">
        <v>741</v>
      </c>
      <c r="F10000" t="s">
        <v>4714</v>
      </c>
      <c r="G10000" t="s">
        <v>9236</v>
      </c>
      <c r="H10000" t="s">
        <v>16440</v>
      </c>
      <c r="I10000" t="s">
        <v>17352</v>
      </c>
      <c r="J10000" t="s">
        <v>18894</v>
      </c>
      <c r="K10000">
        <v>11212</v>
      </c>
      <c r="L10000" t="s">
        <v>18960</v>
      </c>
      <c r="M10000" t="s">
        <v>18960</v>
      </c>
      <c r="P10000" t="s">
        <v>26564</v>
      </c>
      <c r="Q10000" t="s">
        <v>26570</v>
      </c>
      <c r="R10000" t="s">
        <v>26591</v>
      </c>
      <c r="U10000" t="s">
        <v>26604</v>
      </c>
      <c r="X10000">
        <v>150</v>
      </c>
      <c r="Y10000" t="s">
        <v>26652</v>
      </c>
      <c r="AA10000" t="s">
        <v>26683</v>
      </c>
      <c r="AB10000" t="s">
        <v>33738</v>
      </c>
      <c r="AD10000" t="s">
        <v>44563</v>
      </c>
      <c r="AE10000">
        <v>0</v>
      </c>
      <c r="AG10000" t="s">
        <v>45556</v>
      </c>
      <c r="AH10000">
        <v>0</v>
      </c>
      <c r="AI10000">
        <v>1</v>
      </c>
      <c r="AJ10000">
        <v>1</v>
      </c>
      <c r="AK10000">
        <v>0</v>
      </c>
      <c r="AN10000" t="s">
        <v>7439</v>
      </c>
      <c r="AO10000">
        <v>0</v>
      </c>
      <c r="AU10000">
        <v>2.5</v>
      </c>
      <c r="AV10000" t="s">
        <v>741</v>
      </c>
      <c r="AW10000" t="s">
        <v>46858</v>
      </c>
    </row>
    <row r="10001" spans="1:50">
      <c r="A10001" s="1">
        <f>HYPERLINK("https://lsnyc.legalserver.org/matter/dynamic-profile/view/1892463","19-1892463")</f>
        <v>0</v>
      </c>
      <c r="B10001" t="s">
        <v>270</v>
      </c>
      <c r="C10001" t="s">
        <v>341</v>
      </c>
      <c r="D10001" t="s">
        <v>416</v>
      </c>
      <c r="E10001" t="s">
        <v>768</v>
      </c>
      <c r="F10001" t="s">
        <v>1334</v>
      </c>
      <c r="G10001" t="s">
        <v>9033</v>
      </c>
      <c r="H10001" t="s">
        <v>15682</v>
      </c>
      <c r="I10001" t="s">
        <v>17440</v>
      </c>
      <c r="J10001" t="s">
        <v>18892</v>
      </c>
      <c r="K10001">
        <v>10453</v>
      </c>
      <c r="L10001" t="s">
        <v>18960</v>
      </c>
      <c r="M10001" t="s">
        <v>18960</v>
      </c>
      <c r="N10001" t="s">
        <v>25816</v>
      </c>
      <c r="O10001" t="s">
        <v>26523</v>
      </c>
      <c r="P10001" t="s">
        <v>26564</v>
      </c>
      <c r="Q10001" t="s">
        <v>26570</v>
      </c>
      <c r="R10001" t="s">
        <v>26591</v>
      </c>
      <c r="S10001" t="s">
        <v>18959</v>
      </c>
      <c r="U10001" t="s">
        <v>26604</v>
      </c>
      <c r="V10001" t="s">
        <v>26610</v>
      </c>
      <c r="X10001">
        <v>322.5</v>
      </c>
      <c r="Y10001" t="s">
        <v>26650</v>
      </c>
      <c r="Z10001" t="s">
        <v>26659</v>
      </c>
      <c r="AA10001" t="s">
        <v>26683</v>
      </c>
      <c r="AB10001" t="s">
        <v>33402</v>
      </c>
      <c r="AD10001" t="s">
        <v>44134</v>
      </c>
      <c r="AE10001">
        <v>0</v>
      </c>
      <c r="AF10001" t="s">
        <v>20460</v>
      </c>
      <c r="AH10001">
        <v>10</v>
      </c>
      <c r="AI10001">
        <v>1</v>
      </c>
      <c r="AJ10001">
        <v>0</v>
      </c>
      <c r="AK10001">
        <v>108.28</v>
      </c>
      <c r="AN10001" t="s">
        <v>7439</v>
      </c>
      <c r="AO10001">
        <v>13524</v>
      </c>
      <c r="AR10001" t="s">
        <v>26530</v>
      </c>
      <c r="AU10001">
        <v>9</v>
      </c>
      <c r="AV10001" t="s">
        <v>823</v>
      </c>
      <c r="AW10001" t="s">
        <v>46841</v>
      </c>
    </row>
    <row r="10002" spans="1:50">
      <c r="A10002" s="1">
        <f>HYPERLINK("https://lsnyc.legalserver.org/matter/dynamic-profile/view/1892429","19-1892429")</f>
        <v>0</v>
      </c>
      <c r="B10002" t="s">
        <v>320</v>
      </c>
      <c r="C10002" t="s">
        <v>341</v>
      </c>
      <c r="D10002" t="s">
        <v>416</v>
      </c>
      <c r="E10002" t="s">
        <v>752</v>
      </c>
      <c r="F10002" t="s">
        <v>1452</v>
      </c>
      <c r="G10002" t="s">
        <v>2564</v>
      </c>
      <c r="H10002" t="s">
        <v>16441</v>
      </c>
      <c r="I10002" t="s">
        <v>17733</v>
      </c>
      <c r="J10002" t="s">
        <v>18894</v>
      </c>
      <c r="K10002">
        <v>11208</v>
      </c>
      <c r="L10002" t="s">
        <v>18960</v>
      </c>
      <c r="M10002" t="s">
        <v>18960</v>
      </c>
      <c r="O10002" t="s">
        <v>18997</v>
      </c>
      <c r="Q10002" t="s">
        <v>26570</v>
      </c>
      <c r="R10002" t="s">
        <v>26591</v>
      </c>
      <c r="S10002" t="s">
        <v>18959</v>
      </c>
      <c r="U10002" t="s">
        <v>26604</v>
      </c>
      <c r="X10002">
        <v>1500</v>
      </c>
      <c r="Y10002" t="s">
        <v>26652</v>
      </c>
      <c r="Z10002" t="s">
        <v>26530</v>
      </c>
      <c r="AA10002" t="s">
        <v>26683</v>
      </c>
      <c r="AB10002" t="s">
        <v>33739</v>
      </c>
      <c r="AD10002" t="s">
        <v>44564</v>
      </c>
      <c r="AE10002">
        <v>2</v>
      </c>
      <c r="AF10002" t="s">
        <v>20460</v>
      </c>
      <c r="AG10002" t="s">
        <v>45561</v>
      </c>
      <c r="AH10002">
        <v>9</v>
      </c>
      <c r="AI10002">
        <v>1</v>
      </c>
      <c r="AJ10002">
        <v>0</v>
      </c>
      <c r="AK10002">
        <v>120.48</v>
      </c>
      <c r="AN10002" t="s">
        <v>7439</v>
      </c>
      <c r="AO10002">
        <v>15048</v>
      </c>
      <c r="AU10002">
        <v>2.95</v>
      </c>
      <c r="AV10002" t="s">
        <v>759</v>
      </c>
      <c r="AW10002" t="s">
        <v>46841</v>
      </c>
    </row>
    <row r="10003" spans="1:50">
      <c r="A10003" s="1">
        <f>HYPERLINK("https://lsnyc.legalserver.org/matter/dynamic-profile/view/1892380","19-1892380")</f>
        <v>0</v>
      </c>
      <c r="B10003" t="s">
        <v>60</v>
      </c>
      <c r="C10003" t="s">
        <v>340</v>
      </c>
      <c r="D10003" t="s">
        <v>416</v>
      </c>
      <c r="F10003" t="s">
        <v>887</v>
      </c>
      <c r="G10003" t="s">
        <v>5330</v>
      </c>
      <c r="H10003" t="s">
        <v>13160</v>
      </c>
      <c r="I10003" t="s">
        <v>17440</v>
      </c>
      <c r="J10003" t="s">
        <v>18892</v>
      </c>
      <c r="K10003">
        <v>10460</v>
      </c>
      <c r="L10003" t="s">
        <v>18958</v>
      </c>
      <c r="M10003" t="s">
        <v>18960</v>
      </c>
      <c r="N10003" t="s">
        <v>25817</v>
      </c>
      <c r="O10003" t="s">
        <v>26523</v>
      </c>
      <c r="P10003" t="s">
        <v>26564</v>
      </c>
      <c r="R10003" t="s">
        <v>26578</v>
      </c>
      <c r="U10003" t="s">
        <v>26604</v>
      </c>
      <c r="X10003">
        <v>970</v>
      </c>
      <c r="Y10003" t="s">
        <v>26650</v>
      </c>
      <c r="Z10003" t="s">
        <v>26661</v>
      </c>
      <c r="AB10003" t="s">
        <v>33740</v>
      </c>
      <c r="AC10003">
        <v>6532660</v>
      </c>
      <c r="AD10003" t="s">
        <v>44565</v>
      </c>
      <c r="AE10003">
        <v>85</v>
      </c>
      <c r="AF10003" t="s">
        <v>45551</v>
      </c>
      <c r="AG10003" t="s">
        <v>19330</v>
      </c>
      <c r="AH10003">
        <v>21</v>
      </c>
      <c r="AI10003">
        <v>2</v>
      </c>
      <c r="AJ10003">
        <v>0</v>
      </c>
      <c r="AK10003">
        <v>58.77</v>
      </c>
      <c r="AN10003" t="s">
        <v>7439</v>
      </c>
      <c r="AO10003">
        <v>9938.4</v>
      </c>
      <c r="AU10003">
        <v>1</v>
      </c>
      <c r="AV10003" t="s">
        <v>416</v>
      </c>
      <c r="AW10003" t="s">
        <v>46846</v>
      </c>
      <c r="AX10003" t="s">
        <v>46897</v>
      </c>
    </row>
    <row r="10004" spans="1:50">
      <c r="A10004" s="1">
        <f>HYPERLINK("https://lsnyc.legalserver.org/matter/dynamic-profile/view/1892419","19-1892419")</f>
        <v>0</v>
      </c>
      <c r="B10004" t="s">
        <v>200</v>
      </c>
      <c r="C10004" t="s">
        <v>340</v>
      </c>
      <c r="D10004" t="s">
        <v>416</v>
      </c>
      <c r="F10004" t="s">
        <v>4715</v>
      </c>
      <c r="G10004" t="s">
        <v>5806</v>
      </c>
      <c r="H10004" t="s">
        <v>16442</v>
      </c>
      <c r="I10004" t="s">
        <v>17334</v>
      </c>
      <c r="J10004" t="s">
        <v>18894</v>
      </c>
      <c r="K10004">
        <v>11236</v>
      </c>
      <c r="L10004" t="s">
        <v>18960</v>
      </c>
      <c r="M10004" t="s">
        <v>18960</v>
      </c>
      <c r="O10004" t="s">
        <v>18997</v>
      </c>
      <c r="P10004" t="s">
        <v>26564</v>
      </c>
      <c r="R10004" t="s">
        <v>26591</v>
      </c>
      <c r="S10004" t="s">
        <v>18959</v>
      </c>
      <c r="U10004" t="s">
        <v>26604</v>
      </c>
      <c r="X10004">
        <v>1300</v>
      </c>
      <c r="Y10004" t="s">
        <v>26652</v>
      </c>
      <c r="AB10004" t="s">
        <v>32653</v>
      </c>
      <c r="AD10004" t="s">
        <v>44566</v>
      </c>
      <c r="AE10004">
        <v>4</v>
      </c>
      <c r="AF10004" t="s">
        <v>20460</v>
      </c>
      <c r="AG10004" t="s">
        <v>19330</v>
      </c>
      <c r="AH10004">
        <v>12</v>
      </c>
      <c r="AI10004">
        <v>1</v>
      </c>
      <c r="AJ10004">
        <v>1</v>
      </c>
      <c r="AK10004">
        <v>158.39</v>
      </c>
      <c r="AN10004" t="s">
        <v>7439</v>
      </c>
      <c r="AO10004">
        <v>26784</v>
      </c>
      <c r="AU10004">
        <v>0.5</v>
      </c>
      <c r="AV10004" t="s">
        <v>416</v>
      </c>
      <c r="AW10004" t="s">
        <v>46829</v>
      </c>
    </row>
    <row r="10005" spans="1:50">
      <c r="A10005" s="1">
        <f>HYPERLINK("https://lsnyc.legalserver.org/matter/dynamic-profile/view/1892372","19-1892372")</f>
        <v>0</v>
      </c>
      <c r="B10005" t="s">
        <v>112</v>
      </c>
      <c r="C10005" t="s">
        <v>340</v>
      </c>
      <c r="D10005" t="s">
        <v>416</v>
      </c>
      <c r="F10005" t="s">
        <v>3857</v>
      </c>
      <c r="G10005" t="s">
        <v>9237</v>
      </c>
      <c r="H10005" t="s">
        <v>13274</v>
      </c>
      <c r="I10005" t="s">
        <v>18742</v>
      </c>
      <c r="J10005" t="s">
        <v>18906</v>
      </c>
      <c r="K10005">
        <v>11373</v>
      </c>
      <c r="L10005" t="s">
        <v>18958</v>
      </c>
      <c r="M10005" t="s">
        <v>18958</v>
      </c>
      <c r="N10005" t="s">
        <v>25818</v>
      </c>
      <c r="O10005" t="s">
        <v>26523</v>
      </c>
      <c r="P10005" t="s">
        <v>26560</v>
      </c>
      <c r="R10005" t="s">
        <v>26585</v>
      </c>
      <c r="S10005" t="s">
        <v>18959</v>
      </c>
      <c r="U10005" t="s">
        <v>26604</v>
      </c>
      <c r="V10005" t="s">
        <v>26610</v>
      </c>
      <c r="X10005">
        <v>2010</v>
      </c>
      <c r="Y10005" t="s">
        <v>26653</v>
      </c>
      <c r="Z10005" t="s">
        <v>26668</v>
      </c>
      <c r="AB10005" t="s">
        <v>33741</v>
      </c>
      <c r="AD10005" t="s">
        <v>44567</v>
      </c>
      <c r="AE10005">
        <v>200</v>
      </c>
      <c r="AF10005" t="s">
        <v>45541</v>
      </c>
      <c r="AG10005" t="s">
        <v>19330</v>
      </c>
      <c r="AH10005">
        <v>9</v>
      </c>
      <c r="AI10005">
        <v>2</v>
      </c>
      <c r="AJ10005">
        <v>1</v>
      </c>
      <c r="AK10005">
        <v>154.71</v>
      </c>
      <c r="AN10005" t="s">
        <v>7439</v>
      </c>
      <c r="AO10005">
        <v>33000</v>
      </c>
      <c r="AU10005">
        <v>3</v>
      </c>
      <c r="AV10005" t="s">
        <v>769</v>
      </c>
      <c r="AW10005" t="s">
        <v>112</v>
      </c>
    </row>
    <row r="10006" spans="1:50">
      <c r="A10006" s="1">
        <f>HYPERLINK("https://lsnyc.legalserver.org/matter/dynamic-profile/view/1892606","19-1892606")</f>
        <v>0</v>
      </c>
      <c r="B10006" t="s">
        <v>280</v>
      </c>
      <c r="C10006" t="s">
        <v>341</v>
      </c>
      <c r="D10006" t="s">
        <v>751</v>
      </c>
      <c r="E10006" t="s">
        <v>815</v>
      </c>
      <c r="F10006" t="s">
        <v>2166</v>
      </c>
      <c r="G10006" t="s">
        <v>9238</v>
      </c>
      <c r="H10006" t="s">
        <v>16443</v>
      </c>
      <c r="I10006" t="s">
        <v>18417</v>
      </c>
      <c r="J10006" t="s">
        <v>18898</v>
      </c>
      <c r="K10006">
        <v>11691</v>
      </c>
      <c r="L10006" t="s">
        <v>18960</v>
      </c>
      <c r="M10006" t="s">
        <v>18960</v>
      </c>
      <c r="N10006" t="s">
        <v>25819</v>
      </c>
      <c r="P10006" t="s">
        <v>26565</v>
      </c>
      <c r="Q10006" t="s">
        <v>26571</v>
      </c>
      <c r="R10006" t="s">
        <v>26591</v>
      </c>
      <c r="U10006" t="s">
        <v>26604</v>
      </c>
      <c r="X10006">
        <v>534</v>
      </c>
      <c r="Y10006" t="s">
        <v>26653</v>
      </c>
      <c r="AA10006" t="s">
        <v>26683</v>
      </c>
      <c r="AB10006" t="s">
        <v>33742</v>
      </c>
      <c r="AE10006">
        <v>0</v>
      </c>
      <c r="AF10006" t="s">
        <v>20460</v>
      </c>
      <c r="AG10006" t="s">
        <v>45559</v>
      </c>
      <c r="AH10006">
        <v>19</v>
      </c>
      <c r="AI10006">
        <v>1</v>
      </c>
      <c r="AJ10006">
        <v>0</v>
      </c>
      <c r="AK10006">
        <v>74.08</v>
      </c>
      <c r="AN10006" t="s">
        <v>7439</v>
      </c>
      <c r="AO10006">
        <v>9252</v>
      </c>
      <c r="AU10006">
        <v>1.15</v>
      </c>
      <c r="AV10006" t="s">
        <v>815</v>
      </c>
      <c r="AW10006" t="s">
        <v>46859</v>
      </c>
    </row>
    <row r="10007" spans="1:50">
      <c r="A10007" s="1">
        <f>HYPERLINK("https://lsnyc.legalserver.org/matter/dynamic-profile/view/1892560","19-1892560")</f>
        <v>0</v>
      </c>
      <c r="B10007" t="s">
        <v>130</v>
      </c>
      <c r="C10007" t="s">
        <v>340</v>
      </c>
      <c r="D10007" t="s">
        <v>751</v>
      </c>
      <c r="F10007" t="s">
        <v>4716</v>
      </c>
      <c r="G10007" t="s">
        <v>9239</v>
      </c>
      <c r="H10007" t="s">
        <v>16444</v>
      </c>
      <c r="I10007">
        <v>2</v>
      </c>
      <c r="J10007" t="s">
        <v>18901</v>
      </c>
      <c r="K10007">
        <v>11433</v>
      </c>
      <c r="L10007" t="s">
        <v>18958</v>
      </c>
      <c r="M10007" t="s">
        <v>18958</v>
      </c>
      <c r="N10007" t="s">
        <v>25820</v>
      </c>
      <c r="O10007" t="s">
        <v>26524</v>
      </c>
      <c r="P10007" t="s">
        <v>26560</v>
      </c>
      <c r="R10007" t="s">
        <v>26585</v>
      </c>
      <c r="S10007" t="s">
        <v>18959</v>
      </c>
      <c r="U10007" t="s">
        <v>26604</v>
      </c>
      <c r="V10007" t="s">
        <v>26610</v>
      </c>
      <c r="X10007">
        <v>1500</v>
      </c>
      <c r="Y10007" t="s">
        <v>26653</v>
      </c>
      <c r="Z10007" t="s">
        <v>26668</v>
      </c>
      <c r="AB10007" t="s">
        <v>33743</v>
      </c>
      <c r="AD10007" t="s">
        <v>44568</v>
      </c>
      <c r="AE10007">
        <v>2</v>
      </c>
      <c r="AF10007" t="s">
        <v>45547</v>
      </c>
      <c r="AG10007" t="s">
        <v>19330</v>
      </c>
      <c r="AH10007">
        <v>1</v>
      </c>
      <c r="AI10007">
        <v>1</v>
      </c>
      <c r="AJ10007">
        <v>0</v>
      </c>
      <c r="AK10007">
        <v>96.08</v>
      </c>
      <c r="AN10007" t="s">
        <v>7439</v>
      </c>
      <c r="AO10007">
        <v>12000</v>
      </c>
      <c r="AU10007">
        <v>29.2</v>
      </c>
      <c r="AV10007" t="s">
        <v>829</v>
      </c>
      <c r="AW10007" t="s">
        <v>130</v>
      </c>
      <c r="AX10007" t="s">
        <v>46897</v>
      </c>
    </row>
    <row r="10008" spans="1:50">
      <c r="A10008" s="1">
        <f>HYPERLINK("https://lsnyc.legalserver.org/matter/dynamic-profile/view/1892526","19-1892526")</f>
        <v>0</v>
      </c>
      <c r="B10008" t="s">
        <v>262</v>
      </c>
      <c r="C10008" t="s">
        <v>340</v>
      </c>
      <c r="D10008" t="s">
        <v>751</v>
      </c>
      <c r="F10008" t="s">
        <v>1543</v>
      </c>
      <c r="G10008" t="s">
        <v>7128</v>
      </c>
      <c r="H10008" t="s">
        <v>12755</v>
      </c>
      <c r="I10008" t="s">
        <v>17282</v>
      </c>
      <c r="J10008" t="s">
        <v>18892</v>
      </c>
      <c r="K10008">
        <v>10453</v>
      </c>
      <c r="L10008" t="s">
        <v>18958</v>
      </c>
      <c r="M10008" t="s">
        <v>18958</v>
      </c>
      <c r="N10008" t="s">
        <v>25821</v>
      </c>
      <c r="O10008" t="s">
        <v>26526</v>
      </c>
      <c r="P10008" t="s">
        <v>26560</v>
      </c>
      <c r="R10008" t="s">
        <v>26577</v>
      </c>
      <c r="U10008" t="s">
        <v>26604</v>
      </c>
      <c r="V10008" t="s">
        <v>26610</v>
      </c>
      <c r="X10008">
        <v>900</v>
      </c>
      <c r="Y10008" t="s">
        <v>26650</v>
      </c>
      <c r="Z10008" t="s">
        <v>26661</v>
      </c>
      <c r="AB10008" t="s">
        <v>30024</v>
      </c>
      <c r="AD10008" t="s">
        <v>40154</v>
      </c>
      <c r="AE10008">
        <v>40</v>
      </c>
      <c r="AF10008" t="s">
        <v>45541</v>
      </c>
      <c r="AG10008" t="s">
        <v>19330</v>
      </c>
      <c r="AH10008">
        <v>26</v>
      </c>
      <c r="AI10008">
        <v>1</v>
      </c>
      <c r="AJ10008">
        <v>2</v>
      </c>
      <c r="AK10008">
        <v>146.27</v>
      </c>
      <c r="AN10008" t="s">
        <v>7439</v>
      </c>
      <c r="AO10008">
        <v>31200</v>
      </c>
      <c r="AP10008" t="s">
        <v>25821</v>
      </c>
      <c r="AU10008">
        <v>15.5</v>
      </c>
      <c r="AV10008" t="s">
        <v>862</v>
      </c>
      <c r="AW10008" t="s">
        <v>336</v>
      </c>
    </row>
    <row r="10009" spans="1:50">
      <c r="A10009" s="1">
        <f>HYPERLINK("https://lsnyc.legalserver.org/matter/dynamic-profile/view/1892512","19-1892512")</f>
        <v>0</v>
      </c>
      <c r="B10009" t="s">
        <v>95</v>
      </c>
      <c r="C10009" t="s">
        <v>340</v>
      </c>
      <c r="D10009" t="s">
        <v>751</v>
      </c>
      <c r="F10009" t="s">
        <v>873</v>
      </c>
      <c r="G10009" t="s">
        <v>5269</v>
      </c>
      <c r="H10009" t="s">
        <v>12646</v>
      </c>
      <c r="I10009" t="s">
        <v>17478</v>
      </c>
      <c r="J10009" t="s">
        <v>18894</v>
      </c>
      <c r="K10009">
        <v>11233</v>
      </c>
      <c r="L10009" t="s">
        <v>18958</v>
      </c>
      <c r="M10009" t="s">
        <v>18959</v>
      </c>
      <c r="N10009" t="s">
        <v>19330</v>
      </c>
      <c r="O10009" t="s">
        <v>26534</v>
      </c>
      <c r="P10009" t="s">
        <v>26561</v>
      </c>
      <c r="R10009" t="s">
        <v>26578</v>
      </c>
      <c r="S10009" t="s">
        <v>18958</v>
      </c>
      <c r="U10009" t="s">
        <v>26604</v>
      </c>
      <c r="V10009" t="s">
        <v>26610</v>
      </c>
      <c r="X10009">
        <v>0</v>
      </c>
      <c r="Y10009" t="s">
        <v>26652</v>
      </c>
      <c r="Z10009" t="s">
        <v>26530</v>
      </c>
      <c r="AB10009" t="s">
        <v>27657</v>
      </c>
      <c r="AC10009" t="s">
        <v>19330</v>
      </c>
      <c r="AE10009">
        <v>359</v>
      </c>
      <c r="AF10009" t="s">
        <v>45541</v>
      </c>
      <c r="AG10009" t="s">
        <v>19330</v>
      </c>
      <c r="AH10009">
        <v>43</v>
      </c>
      <c r="AI10009">
        <v>2</v>
      </c>
      <c r="AJ10009">
        <v>0</v>
      </c>
      <c r="AK10009">
        <v>413.96</v>
      </c>
      <c r="AN10009" t="s">
        <v>7439</v>
      </c>
      <c r="AO10009">
        <v>70000</v>
      </c>
      <c r="AP10009" t="s">
        <v>45939</v>
      </c>
      <c r="AU10009">
        <v>0</v>
      </c>
      <c r="AW10009" t="s">
        <v>286</v>
      </c>
      <c r="AX10009" t="s">
        <v>19330</v>
      </c>
    </row>
    <row r="10010" spans="1:50">
      <c r="A10010" s="1">
        <f>HYPERLINK("https://lsnyc.legalserver.org/matter/dynamic-profile/view/1892703","19-1892703")</f>
        <v>0</v>
      </c>
      <c r="B10010" t="s">
        <v>70</v>
      </c>
      <c r="C10010" t="s">
        <v>341</v>
      </c>
      <c r="D10010" t="s">
        <v>752</v>
      </c>
      <c r="E10010" t="s">
        <v>761</v>
      </c>
      <c r="F10010" t="s">
        <v>3126</v>
      </c>
      <c r="G10010" t="s">
        <v>9240</v>
      </c>
      <c r="H10010" t="s">
        <v>16445</v>
      </c>
      <c r="I10010" t="s">
        <v>17348</v>
      </c>
      <c r="J10010" t="s">
        <v>18892</v>
      </c>
      <c r="K10010">
        <v>10467</v>
      </c>
      <c r="L10010" t="s">
        <v>18958</v>
      </c>
      <c r="M10010" t="s">
        <v>18959</v>
      </c>
      <c r="N10010" t="s">
        <v>25822</v>
      </c>
      <c r="O10010" t="s">
        <v>26523</v>
      </c>
      <c r="P10010" t="s">
        <v>26564</v>
      </c>
      <c r="Q10010" t="s">
        <v>26570</v>
      </c>
      <c r="R10010" t="s">
        <v>26591</v>
      </c>
      <c r="S10010" t="s">
        <v>18959</v>
      </c>
      <c r="U10010" t="s">
        <v>26604</v>
      </c>
      <c r="V10010" t="s">
        <v>26609</v>
      </c>
      <c r="X10010">
        <v>1420</v>
      </c>
      <c r="Y10010" t="s">
        <v>26650</v>
      </c>
      <c r="AA10010" t="s">
        <v>26683</v>
      </c>
      <c r="AB10010" t="s">
        <v>33744</v>
      </c>
      <c r="AE10010">
        <v>0</v>
      </c>
      <c r="AF10010" t="s">
        <v>20460</v>
      </c>
      <c r="AH10010">
        <v>20</v>
      </c>
      <c r="AI10010">
        <v>2</v>
      </c>
      <c r="AJ10010">
        <v>2</v>
      </c>
      <c r="AK10010">
        <v>0</v>
      </c>
      <c r="AN10010" t="s">
        <v>7439</v>
      </c>
      <c r="AO10010">
        <v>0</v>
      </c>
      <c r="AP10010" t="s">
        <v>45773</v>
      </c>
      <c r="AU10010">
        <v>0.3</v>
      </c>
      <c r="AV10010" t="s">
        <v>761</v>
      </c>
      <c r="AW10010" t="s">
        <v>46836</v>
      </c>
    </row>
    <row r="10011" spans="1:50">
      <c r="A10011" s="1">
        <f>HYPERLINK("https://lsnyc.legalserver.org/matter/dynamic-profile/view/1892719","19-1892719")</f>
        <v>0</v>
      </c>
      <c r="B10011" t="s">
        <v>113</v>
      </c>
      <c r="C10011" t="s">
        <v>341</v>
      </c>
      <c r="D10011" t="s">
        <v>752</v>
      </c>
      <c r="E10011" t="s">
        <v>779</v>
      </c>
      <c r="F10011" t="s">
        <v>899</v>
      </c>
      <c r="G10011" t="s">
        <v>5849</v>
      </c>
      <c r="H10011" t="s">
        <v>16446</v>
      </c>
      <c r="I10011">
        <v>306</v>
      </c>
      <c r="J10011" t="s">
        <v>18892</v>
      </c>
      <c r="K10011">
        <v>10459</v>
      </c>
      <c r="L10011" t="s">
        <v>18959</v>
      </c>
      <c r="M10011" t="s">
        <v>18959</v>
      </c>
      <c r="N10011" t="s">
        <v>25823</v>
      </c>
      <c r="O10011" t="s">
        <v>26524</v>
      </c>
      <c r="P10011" t="s">
        <v>26564</v>
      </c>
      <c r="Q10011" t="s">
        <v>26570</v>
      </c>
      <c r="R10011" t="s">
        <v>26591</v>
      </c>
      <c r="U10011" t="s">
        <v>26604</v>
      </c>
      <c r="X10011">
        <v>1585</v>
      </c>
      <c r="Y10011" t="s">
        <v>26650</v>
      </c>
      <c r="AA10011" t="s">
        <v>26683</v>
      </c>
      <c r="AB10011" t="s">
        <v>33745</v>
      </c>
      <c r="AE10011">
        <v>0</v>
      </c>
      <c r="AF10011" t="s">
        <v>20460</v>
      </c>
      <c r="AG10011" t="s">
        <v>45556</v>
      </c>
      <c r="AH10011">
        <v>3</v>
      </c>
      <c r="AI10011">
        <v>1</v>
      </c>
      <c r="AJ10011">
        <v>1</v>
      </c>
      <c r="AK10011">
        <v>19.59</v>
      </c>
      <c r="AN10011" t="s">
        <v>7439</v>
      </c>
      <c r="AO10011">
        <v>3312</v>
      </c>
      <c r="AP10011" t="s">
        <v>46244</v>
      </c>
      <c r="AU10011">
        <v>1</v>
      </c>
      <c r="AV10011" t="s">
        <v>752</v>
      </c>
      <c r="AW10011" t="s">
        <v>46859</v>
      </c>
    </row>
    <row r="10012" spans="1:50">
      <c r="A10012" s="1">
        <f>HYPERLINK("https://lsnyc.legalserver.org/matter/dynamic-profile/view/1892702","19-1892702")</f>
        <v>0</v>
      </c>
      <c r="B10012" t="s">
        <v>113</v>
      </c>
      <c r="C10012" t="s">
        <v>341</v>
      </c>
      <c r="D10012" t="s">
        <v>752</v>
      </c>
      <c r="E10012" t="s">
        <v>779</v>
      </c>
      <c r="F10012" t="s">
        <v>4717</v>
      </c>
      <c r="G10012" t="s">
        <v>5208</v>
      </c>
      <c r="H10012" t="s">
        <v>10116</v>
      </c>
      <c r="I10012" t="s">
        <v>17410</v>
      </c>
      <c r="J10012" t="s">
        <v>18892</v>
      </c>
      <c r="K10012">
        <v>10459</v>
      </c>
      <c r="L10012" t="s">
        <v>18959</v>
      </c>
      <c r="M10012" t="s">
        <v>18959</v>
      </c>
      <c r="N10012" t="s">
        <v>25824</v>
      </c>
      <c r="O10012" t="s">
        <v>26524</v>
      </c>
      <c r="P10012" t="s">
        <v>26564</v>
      </c>
      <c r="Q10012" t="s">
        <v>26570</v>
      </c>
      <c r="R10012" t="s">
        <v>26591</v>
      </c>
      <c r="U10012" t="s">
        <v>26604</v>
      </c>
      <c r="X10012">
        <v>1477</v>
      </c>
      <c r="Y10012" t="s">
        <v>26650</v>
      </c>
      <c r="AA10012" t="s">
        <v>26683</v>
      </c>
      <c r="AB10012" t="s">
        <v>29555</v>
      </c>
      <c r="AD10012" t="s">
        <v>44569</v>
      </c>
      <c r="AE10012">
        <v>0</v>
      </c>
      <c r="AF10012" t="s">
        <v>20460</v>
      </c>
      <c r="AG10012" t="s">
        <v>19330</v>
      </c>
      <c r="AH10012">
        <v>20</v>
      </c>
      <c r="AI10012">
        <v>2</v>
      </c>
      <c r="AJ10012">
        <v>2</v>
      </c>
      <c r="AK10012">
        <v>141.36</v>
      </c>
      <c r="AN10012" t="s">
        <v>7439</v>
      </c>
      <c r="AO10012">
        <v>36400</v>
      </c>
      <c r="AP10012" t="s">
        <v>46244</v>
      </c>
      <c r="AU10012">
        <v>1</v>
      </c>
      <c r="AV10012" t="s">
        <v>752</v>
      </c>
      <c r="AW10012" t="s">
        <v>46859</v>
      </c>
    </row>
    <row r="10013" spans="1:50">
      <c r="A10013" s="1">
        <f>HYPERLINK("https://lsnyc.legalserver.org/matter/dynamic-profile/view/1892662","19-1892662")</f>
        <v>0</v>
      </c>
      <c r="B10013" t="s">
        <v>113</v>
      </c>
      <c r="C10013" t="s">
        <v>341</v>
      </c>
      <c r="D10013" t="s">
        <v>752</v>
      </c>
      <c r="E10013" t="s">
        <v>779</v>
      </c>
      <c r="F10013" t="s">
        <v>1029</v>
      </c>
      <c r="G10013" t="s">
        <v>5086</v>
      </c>
      <c r="H10013" t="s">
        <v>9769</v>
      </c>
      <c r="I10013" t="s">
        <v>18743</v>
      </c>
      <c r="J10013" t="s">
        <v>18892</v>
      </c>
      <c r="K10013">
        <v>10453</v>
      </c>
      <c r="L10013" t="s">
        <v>18959</v>
      </c>
      <c r="M10013" t="s">
        <v>18959</v>
      </c>
      <c r="P10013" t="s">
        <v>26564</v>
      </c>
      <c r="Q10013" t="s">
        <v>26570</v>
      </c>
      <c r="R10013" t="s">
        <v>26591</v>
      </c>
      <c r="U10013" t="s">
        <v>26604</v>
      </c>
      <c r="X10013">
        <v>0</v>
      </c>
      <c r="Y10013" t="s">
        <v>26650</v>
      </c>
      <c r="AA10013" t="s">
        <v>26683</v>
      </c>
      <c r="AB10013" t="s">
        <v>33746</v>
      </c>
      <c r="AD10013" t="s">
        <v>44570</v>
      </c>
      <c r="AE10013">
        <v>0</v>
      </c>
      <c r="AH10013">
        <v>0</v>
      </c>
      <c r="AI10013">
        <v>1</v>
      </c>
      <c r="AJ10013">
        <v>0</v>
      </c>
      <c r="AK10013">
        <v>154.46</v>
      </c>
      <c r="AN10013" t="s">
        <v>7439</v>
      </c>
      <c r="AO10013">
        <v>19292</v>
      </c>
      <c r="AP10013" t="s">
        <v>46244</v>
      </c>
      <c r="AU10013">
        <v>0.4</v>
      </c>
      <c r="AV10013" t="s">
        <v>752</v>
      </c>
      <c r="AW10013" t="s">
        <v>46849</v>
      </c>
    </row>
    <row r="10014" spans="1:50">
      <c r="A10014" s="1">
        <f>HYPERLINK("https://lsnyc.legalserver.org/matter/dynamic-profile/view/1892640","19-1892640")</f>
        <v>0</v>
      </c>
      <c r="B10014" t="s">
        <v>113</v>
      </c>
      <c r="C10014" t="s">
        <v>341</v>
      </c>
      <c r="D10014" t="s">
        <v>752</v>
      </c>
      <c r="E10014" t="s">
        <v>779</v>
      </c>
      <c r="F10014" t="s">
        <v>4718</v>
      </c>
      <c r="G10014" t="s">
        <v>9241</v>
      </c>
      <c r="H10014" t="s">
        <v>16447</v>
      </c>
      <c r="I10014">
        <v>23</v>
      </c>
      <c r="J10014" t="s">
        <v>18892</v>
      </c>
      <c r="K10014">
        <v>10452</v>
      </c>
      <c r="L10014" t="s">
        <v>18959</v>
      </c>
      <c r="M10014" t="s">
        <v>18959</v>
      </c>
      <c r="N10014" t="s">
        <v>25825</v>
      </c>
      <c r="O10014" t="s">
        <v>26523</v>
      </c>
      <c r="P10014" t="s">
        <v>26564</v>
      </c>
      <c r="Q10014" t="s">
        <v>26570</v>
      </c>
      <c r="R10014" t="s">
        <v>26591</v>
      </c>
      <c r="U10014" t="s">
        <v>26604</v>
      </c>
      <c r="X10014">
        <v>1130</v>
      </c>
      <c r="Y10014" t="s">
        <v>26650</v>
      </c>
      <c r="Z10014" t="s">
        <v>26673</v>
      </c>
      <c r="AA10014" t="s">
        <v>26683</v>
      </c>
      <c r="AB10014" t="s">
        <v>33747</v>
      </c>
      <c r="AD10014" t="s">
        <v>44571</v>
      </c>
      <c r="AE10014">
        <v>25</v>
      </c>
      <c r="AH10014">
        <v>3</v>
      </c>
      <c r="AI10014">
        <v>1</v>
      </c>
      <c r="AJ10014">
        <v>0</v>
      </c>
      <c r="AK10014">
        <v>166.53</v>
      </c>
      <c r="AN10014" t="s">
        <v>45581</v>
      </c>
      <c r="AO10014">
        <v>20800</v>
      </c>
      <c r="AP10014" t="s">
        <v>46244</v>
      </c>
      <c r="AU10014">
        <v>1</v>
      </c>
      <c r="AV10014" t="s">
        <v>752</v>
      </c>
      <c r="AW10014" t="s">
        <v>46861</v>
      </c>
    </row>
    <row r="10015" spans="1:50">
      <c r="A10015" s="1">
        <f>HYPERLINK("https://lsnyc.legalserver.org/matter/dynamic-profile/view/1892114","19-1892114")</f>
        <v>0</v>
      </c>
      <c r="B10015" t="s">
        <v>198</v>
      </c>
      <c r="C10015" t="s">
        <v>341</v>
      </c>
      <c r="D10015" t="s">
        <v>752</v>
      </c>
      <c r="E10015" t="s">
        <v>766</v>
      </c>
      <c r="F10015" t="s">
        <v>1283</v>
      </c>
      <c r="G10015" t="s">
        <v>6399</v>
      </c>
      <c r="H10015" t="s">
        <v>16448</v>
      </c>
      <c r="I10015" t="s">
        <v>17298</v>
      </c>
      <c r="J10015" t="s">
        <v>18894</v>
      </c>
      <c r="K10015">
        <v>11231</v>
      </c>
      <c r="L10015" t="s">
        <v>18960</v>
      </c>
      <c r="M10015" t="s">
        <v>18960</v>
      </c>
      <c r="P10015" t="s">
        <v>26564</v>
      </c>
      <c r="Q10015" t="s">
        <v>26571</v>
      </c>
      <c r="R10015" t="s">
        <v>26591</v>
      </c>
      <c r="U10015" t="s">
        <v>26604</v>
      </c>
      <c r="X10015">
        <v>395</v>
      </c>
      <c r="Y10015" t="s">
        <v>26652</v>
      </c>
      <c r="Z10015" t="s">
        <v>26661</v>
      </c>
      <c r="AA10015" t="s">
        <v>26685</v>
      </c>
      <c r="AB10015" t="s">
        <v>33748</v>
      </c>
      <c r="AD10015" t="s">
        <v>44572</v>
      </c>
      <c r="AE10015">
        <v>0</v>
      </c>
      <c r="AF10015" t="s">
        <v>45552</v>
      </c>
      <c r="AG10015" t="s">
        <v>19330</v>
      </c>
      <c r="AH10015">
        <v>7</v>
      </c>
      <c r="AI10015">
        <v>1</v>
      </c>
      <c r="AJ10015">
        <v>0</v>
      </c>
      <c r="AK10015">
        <v>130.18</v>
      </c>
      <c r="AN10015" t="s">
        <v>7439</v>
      </c>
      <c r="AO10015">
        <v>16260</v>
      </c>
      <c r="AU10015">
        <v>2.8</v>
      </c>
      <c r="AV10015" t="s">
        <v>766</v>
      </c>
      <c r="AW10015" t="s">
        <v>46842</v>
      </c>
    </row>
    <row r="10016" spans="1:50">
      <c r="A10016" s="1">
        <f>HYPERLINK("https://lsnyc.legalserver.org/matter/dynamic-profile/view/1892689","19-1892689")</f>
        <v>0</v>
      </c>
      <c r="B10016" t="s">
        <v>80</v>
      </c>
      <c r="C10016" t="s">
        <v>341</v>
      </c>
      <c r="D10016" t="s">
        <v>752</v>
      </c>
      <c r="E10016" t="s">
        <v>779</v>
      </c>
      <c r="F10016" t="s">
        <v>1297</v>
      </c>
      <c r="G10016" t="s">
        <v>6407</v>
      </c>
      <c r="H10016" t="s">
        <v>16449</v>
      </c>
      <c r="I10016" t="s">
        <v>17277</v>
      </c>
      <c r="J10016" t="s">
        <v>18893</v>
      </c>
      <c r="K10016">
        <v>10034</v>
      </c>
      <c r="L10016" t="s">
        <v>18960</v>
      </c>
      <c r="M10016" t="s">
        <v>18960</v>
      </c>
      <c r="Q10016" t="s">
        <v>26570</v>
      </c>
      <c r="R10016" t="s">
        <v>26591</v>
      </c>
      <c r="U10016" t="s">
        <v>26604</v>
      </c>
      <c r="X10016">
        <v>0</v>
      </c>
      <c r="Y10016" t="s">
        <v>26651</v>
      </c>
      <c r="AA10016" t="s">
        <v>26683</v>
      </c>
      <c r="AB10016" t="s">
        <v>28882</v>
      </c>
      <c r="AE10016">
        <v>0</v>
      </c>
      <c r="AH10016">
        <v>0</v>
      </c>
      <c r="AI10016">
        <v>1</v>
      </c>
      <c r="AJ10016">
        <v>0</v>
      </c>
      <c r="AK10016">
        <v>134.51</v>
      </c>
      <c r="AN10016" t="s">
        <v>7439</v>
      </c>
      <c r="AO10016">
        <v>16800</v>
      </c>
      <c r="AU10016">
        <v>2.55</v>
      </c>
      <c r="AV10016" t="s">
        <v>695</v>
      </c>
      <c r="AW10016" t="s">
        <v>46874</v>
      </c>
    </row>
    <row r="10017" spans="1:50">
      <c r="A10017" s="1">
        <f>HYPERLINK("https://lsnyc.legalserver.org/matter/dynamic-profile/view/1892784","19-1892784")</f>
        <v>0</v>
      </c>
      <c r="B10017" t="s">
        <v>136</v>
      </c>
      <c r="C10017" t="s">
        <v>340</v>
      </c>
      <c r="D10017" t="s">
        <v>752</v>
      </c>
      <c r="F10017" t="s">
        <v>916</v>
      </c>
      <c r="G10017" t="s">
        <v>945</v>
      </c>
      <c r="H10017" t="s">
        <v>16450</v>
      </c>
      <c r="I10017" t="s">
        <v>17584</v>
      </c>
      <c r="J10017" t="s">
        <v>18892</v>
      </c>
      <c r="K10017">
        <v>10456</v>
      </c>
      <c r="L10017" t="s">
        <v>18958</v>
      </c>
      <c r="M10017" t="s">
        <v>18958</v>
      </c>
      <c r="N10017" t="s">
        <v>25826</v>
      </c>
      <c r="O10017" t="s">
        <v>26523</v>
      </c>
      <c r="P10017" t="s">
        <v>26564</v>
      </c>
      <c r="R10017" t="s">
        <v>26577</v>
      </c>
      <c r="S10017" t="s">
        <v>18959</v>
      </c>
      <c r="U10017" t="s">
        <v>26604</v>
      </c>
      <c r="X10017">
        <v>1413.03</v>
      </c>
      <c r="Y10017" t="s">
        <v>26650</v>
      </c>
      <c r="Z10017" t="s">
        <v>26657</v>
      </c>
      <c r="AB10017" t="s">
        <v>33749</v>
      </c>
      <c r="AD10017" t="s">
        <v>44573</v>
      </c>
      <c r="AE10017">
        <v>0</v>
      </c>
      <c r="AF10017" t="s">
        <v>45541</v>
      </c>
      <c r="AH10017">
        <v>12</v>
      </c>
      <c r="AI10017">
        <v>1</v>
      </c>
      <c r="AJ10017">
        <v>1</v>
      </c>
      <c r="AK10017">
        <v>106.45</v>
      </c>
      <c r="AN10017" t="s">
        <v>45581</v>
      </c>
      <c r="AO10017">
        <v>18000</v>
      </c>
      <c r="AP10017" t="s">
        <v>46044</v>
      </c>
      <c r="AU10017">
        <v>0.5</v>
      </c>
      <c r="AV10017" t="s">
        <v>752</v>
      </c>
      <c r="AW10017" t="s">
        <v>46870</v>
      </c>
      <c r="AX10017" t="s">
        <v>46897</v>
      </c>
    </row>
    <row r="10018" spans="1:50">
      <c r="A10018" s="1">
        <f>HYPERLINK("https://lsnyc.legalserver.org/matter/dynamic-profile/view/1892687","19-1892687")</f>
        <v>0</v>
      </c>
      <c r="B10018" t="s">
        <v>69</v>
      </c>
      <c r="C10018" t="s">
        <v>340</v>
      </c>
      <c r="D10018" t="s">
        <v>752</v>
      </c>
      <c r="F10018" t="s">
        <v>1826</v>
      </c>
      <c r="G10018" t="s">
        <v>7516</v>
      </c>
      <c r="H10018" t="s">
        <v>16451</v>
      </c>
      <c r="I10018" t="s">
        <v>18003</v>
      </c>
      <c r="J10018" t="s">
        <v>18892</v>
      </c>
      <c r="K10018">
        <v>10468</v>
      </c>
      <c r="L10018" t="s">
        <v>18960</v>
      </c>
      <c r="M10018" t="s">
        <v>18960</v>
      </c>
      <c r="N10018" t="s">
        <v>25827</v>
      </c>
      <c r="O10018" t="s">
        <v>26523</v>
      </c>
      <c r="P10018" t="s">
        <v>26560</v>
      </c>
      <c r="R10018" t="s">
        <v>26579</v>
      </c>
      <c r="U10018" t="s">
        <v>26604</v>
      </c>
      <c r="X10018">
        <v>879.71</v>
      </c>
      <c r="Y10018" t="s">
        <v>26650</v>
      </c>
      <c r="AB10018" t="s">
        <v>33750</v>
      </c>
      <c r="AD10018" t="s">
        <v>44574</v>
      </c>
      <c r="AE10018">
        <v>84</v>
      </c>
      <c r="AF10018" t="s">
        <v>45541</v>
      </c>
      <c r="AG10018" t="s">
        <v>45559</v>
      </c>
      <c r="AH10018">
        <v>39</v>
      </c>
      <c r="AI10018">
        <v>1</v>
      </c>
      <c r="AJ10018">
        <v>0</v>
      </c>
      <c r="AK10018">
        <v>74.08</v>
      </c>
      <c r="AN10018" t="s">
        <v>45581</v>
      </c>
      <c r="AO10018">
        <v>9252</v>
      </c>
      <c r="AP10018" t="s">
        <v>46245</v>
      </c>
      <c r="AU10018">
        <v>7.9</v>
      </c>
      <c r="AV10018" t="s">
        <v>826</v>
      </c>
      <c r="AW10018" t="s">
        <v>46836</v>
      </c>
    </row>
    <row r="10019" spans="1:50">
      <c r="A10019" s="1">
        <f>HYPERLINK("https://lsnyc.legalserver.org/matter/dynamic-profile/view/1892722","19-1892722")</f>
        <v>0</v>
      </c>
      <c r="B10019" t="s">
        <v>275</v>
      </c>
      <c r="C10019" t="s">
        <v>340</v>
      </c>
      <c r="D10019" t="s">
        <v>752</v>
      </c>
      <c r="F10019" t="s">
        <v>4719</v>
      </c>
      <c r="G10019" t="s">
        <v>4497</v>
      </c>
      <c r="H10019" t="s">
        <v>16452</v>
      </c>
      <c r="I10019">
        <v>2</v>
      </c>
      <c r="J10019" t="s">
        <v>18892</v>
      </c>
      <c r="K10019">
        <v>10469</v>
      </c>
      <c r="L10019" t="s">
        <v>18958</v>
      </c>
      <c r="M10019" t="s">
        <v>18958</v>
      </c>
      <c r="N10019" t="s">
        <v>25828</v>
      </c>
      <c r="O10019" t="s">
        <v>26524</v>
      </c>
      <c r="P10019" t="s">
        <v>26564</v>
      </c>
      <c r="R10019" t="s">
        <v>26577</v>
      </c>
      <c r="S10019" t="s">
        <v>18959</v>
      </c>
      <c r="U10019" t="s">
        <v>26604</v>
      </c>
      <c r="X10019">
        <v>758.1</v>
      </c>
      <c r="Y10019" t="s">
        <v>26650</v>
      </c>
      <c r="Z10019" t="s">
        <v>26668</v>
      </c>
      <c r="AB10019" t="s">
        <v>33751</v>
      </c>
      <c r="AE10019">
        <v>3</v>
      </c>
      <c r="AF10019" t="s">
        <v>45547</v>
      </c>
      <c r="AG10019" t="s">
        <v>45562</v>
      </c>
      <c r="AH10019">
        <v>1</v>
      </c>
      <c r="AI10019">
        <v>2</v>
      </c>
      <c r="AJ10019">
        <v>0</v>
      </c>
      <c r="AK10019">
        <v>223.54</v>
      </c>
      <c r="AN10019" t="s">
        <v>7439</v>
      </c>
      <c r="AO10019">
        <v>37800</v>
      </c>
      <c r="AP10019" t="s">
        <v>46246</v>
      </c>
      <c r="AU10019">
        <v>5.5</v>
      </c>
      <c r="AV10019" t="s">
        <v>789</v>
      </c>
      <c r="AW10019" t="s">
        <v>46836</v>
      </c>
    </row>
    <row r="10020" spans="1:50">
      <c r="A10020" s="1">
        <f>HYPERLINK("https://lsnyc.legalserver.org/matter/dynamic-profile/view/1892749","19-1892749")</f>
        <v>0</v>
      </c>
      <c r="B10020" t="s">
        <v>62</v>
      </c>
      <c r="C10020" t="s">
        <v>340</v>
      </c>
      <c r="D10020" t="s">
        <v>752</v>
      </c>
      <c r="F10020" t="s">
        <v>1878</v>
      </c>
      <c r="G10020" t="s">
        <v>5489</v>
      </c>
      <c r="H10020" t="s">
        <v>11923</v>
      </c>
      <c r="I10020">
        <v>6</v>
      </c>
      <c r="J10020" t="s">
        <v>18893</v>
      </c>
      <c r="K10020">
        <v>10031</v>
      </c>
      <c r="L10020" t="s">
        <v>18960</v>
      </c>
      <c r="M10020" t="s">
        <v>18960</v>
      </c>
      <c r="P10020" t="s">
        <v>26560</v>
      </c>
      <c r="R10020" t="s">
        <v>26578</v>
      </c>
      <c r="S10020" t="s">
        <v>18958</v>
      </c>
      <c r="U10020" t="s">
        <v>26604</v>
      </c>
      <c r="V10020" t="s">
        <v>26610</v>
      </c>
      <c r="X10020">
        <v>1400</v>
      </c>
      <c r="Y10020" t="s">
        <v>26651</v>
      </c>
      <c r="AB10020" t="s">
        <v>33752</v>
      </c>
      <c r="AD10020" t="s">
        <v>44575</v>
      </c>
      <c r="AE10020">
        <v>0</v>
      </c>
      <c r="AG10020" t="s">
        <v>45556</v>
      </c>
      <c r="AH10020">
        <v>15</v>
      </c>
      <c r="AI10020">
        <v>3</v>
      </c>
      <c r="AJ10020">
        <v>2</v>
      </c>
      <c r="AK10020">
        <v>111.13</v>
      </c>
      <c r="AO10020">
        <v>33528</v>
      </c>
      <c r="AU10020">
        <v>3.3</v>
      </c>
      <c r="AV10020" t="s">
        <v>762</v>
      </c>
      <c r="AW10020" t="s">
        <v>317</v>
      </c>
    </row>
    <row r="10021" spans="1:50">
      <c r="A10021" s="1">
        <f>HYPERLINK("https://lsnyc.legalserver.org/matter/dynamic-profile/view/1892742","19-1892742")</f>
        <v>0</v>
      </c>
      <c r="B10021" t="s">
        <v>172</v>
      </c>
      <c r="C10021" t="s">
        <v>340</v>
      </c>
      <c r="D10021" t="s">
        <v>752</v>
      </c>
      <c r="F10021" t="s">
        <v>1283</v>
      </c>
      <c r="G10021" t="s">
        <v>9242</v>
      </c>
      <c r="H10021" t="s">
        <v>16453</v>
      </c>
      <c r="I10021" t="s">
        <v>17520</v>
      </c>
      <c r="J10021" t="s">
        <v>18894</v>
      </c>
      <c r="K10021">
        <v>11213</v>
      </c>
      <c r="L10021" t="s">
        <v>18958</v>
      </c>
      <c r="M10021" t="s">
        <v>18958</v>
      </c>
      <c r="N10021" t="s">
        <v>25829</v>
      </c>
      <c r="O10021" t="s">
        <v>26523</v>
      </c>
      <c r="P10021" t="s">
        <v>26560</v>
      </c>
      <c r="R10021" t="s">
        <v>26583</v>
      </c>
      <c r="S10021" t="s">
        <v>18959</v>
      </c>
      <c r="U10021" t="s">
        <v>26604</v>
      </c>
      <c r="V10021" t="s">
        <v>26611</v>
      </c>
      <c r="X10021">
        <v>1213</v>
      </c>
      <c r="Y10021" t="s">
        <v>26652</v>
      </c>
      <c r="Z10021" t="s">
        <v>26659</v>
      </c>
      <c r="AB10021" t="s">
        <v>33753</v>
      </c>
      <c r="AC10021" t="s">
        <v>36694</v>
      </c>
      <c r="AD10021" t="s">
        <v>44576</v>
      </c>
      <c r="AE10021">
        <v>0</v>
      </c>
      <c r="AG10021" t="s">
        <v>45560</v>
      </c>
      <c r="AH10021">
        <v>4</v>
      </c>
      <c r="AI10021">
        <v>1</v>
      </c>
      <c r="AJ10021">
        <v>0</v>
      </c>
      <c r="AK10021">
        <v>126.53</v>
      </c>
      <c r="AN10021" t="s">
        <v>7439</v>
      </c>
      <c r="AO10021">
        <v>15804</v>
      </c>
      <c r="AU10021">
        <v>13.6</v>
      </c>
      <c r="AV10021" t="s">
        <v>838</v>
      </c>
      <c r="AW10021" t="s">
        <v>172</v>
      </c>
    </row>
    <row r="10022" spans="1:50">
      <c r="A10022" s="1">
        <f>HYPERLINK("https://lsnyc.legalserver.org/matter/dynamic-profile/view/1892945","19-1892945")</f>
        <v>0</v>
      </c>
      <c r="B10022" t="s">
        <v>325</v>
      </c>
      <c r="C10022" t="s">
        <v>341</v>
      </c>
      <c r="D10022" t="s">
        <v>753</v>
      </c>
      <c r="E10022" t="s">
        <v>793</v>
      </c>
      <c r="F10022" t="s">
        <v>995</v>
      </c>
      <c r="G10022" t="s">
        <v>5806</v>
      </c>
      <c r="H10022" t="s">
        <v>16454</v>
      </c>
      <c r="I10022" t="s">
        <v>18530</v>
      </c>
      <c r="J10022" t="s">
        <v>18894</v>
      </c>
      <c r="K10022">
        <v>11205</v>
      </c>
      <c r="L10022" t="s">
        <v>18960</v>
      </c>
      <c r="M10022" t="s">
        <v>18960</v>
      </c>
      <c r="Q10022" t="s">
        <v>26570</v>
      </c>
      <c r="R10022" t="s">
        <v>26591</v>
      </c>
      <c r="U10022" t="s">
        <v>26604</v>
      </c>
      <c r="X10022">
        <v>1150</v>
      </c>
      <c r="Y10022" t="s">
        <v>26652</v>
      </c>
      <c r="AA10022" t="s">
        <v>26683</v>
      </c>
      <c r="AB10022" t="s">
        <v>32857</v>
      </c>
      <c r="AD10022" t="s">
        <v>34738</v>
      </c>
      <c r="AE10022">
        <v>100</v>
      </c>
      <c r="AH10022">
        <v>1</v>
      </c>
      <c r="AI10022">
        <v>1</v>
      </c>
      <c r="AJ10022">
        <v>0</v>
      </c>
      <c r="AK10022">
        <v>157.73</v>
      </c>
      <c r="AN10022" t="s">
        <v>7439</v>
      </c>
      <c r="AO10022">
        <v>19700</v>
      </c>
      <c r="AU10022">
        <v>4.35</v>
      </c>
      <c r="AV10022" t="s">
        <v>814</v>
      </c>
      <c r="AW10022" t="s">
        <v>46850</v>
      </c>
    </row>
    <row r="10023" spans="1:50">
      <c r="A10023" s="1">
        <f>HYPERLINK("https://lsnyc.legalserver.org/matter/dynamic-profile/view/1892934","19-1892934")</f>
        <v>0</v>
      </c>
      <c r="B10023" t="s">
        <v>286</v>
      </c>
      <c r="C10023" t="s">
        <v>341</v>
      </c>
      <c r="D10023" t="s">
        <v>753</v>
      </c>
      <c r="E10023" t="s">
        <v>759</v>
      </c>
      <c r="F10023" t="s">
        <v>3203</v>
      </c>
      <c r="G10023" t="s">
        <v>5141</v>
      </c>
      <c r="H10023" t="s">
        <v>11073</v>
      </c>
      <c r="I10023" t="s">
        <v>18105</v>
      </c>
      <c r="J10023" t="s">
        <v>18894</v>
      </c>
      <c r="K10023">
        <v>11208</v>
      </c>
      <c r="L10023" t="s">
        <v>18960</v>
      </c>
      <c r="M10023" t="s">
        <v>18960</v>
      </c>
      <c r="O10023" t="s">
        <v>26523</v>
      </c>
      <c r="P10023" t="s">
        <v>26564</v>
      </c>
      <c r="Q10023" t="s">
        <v>26570</v>
      </c>
      <c r="R10023" t="s">
        <v>26578</v>
      </c>
      <c r="U10023" t="s">
        <v>26604</v>
      </c>
      <c r="X10023">
        <v>0</v>
      </c>
      <c r="Y10023" t="s">
        <v>26652</v>
      </c>
      <c r="AA10023" t="s">
        <v>26683</v>
      </c>
      <c r="AB10023" t="s">
        <v>29247</v>
      </c>
      <c r="AD10023" t="s">
        <v>44577</v>
      </c>
      <c r="AE10023">
        <v>0</v>
      </c>
      <c r="AH10023">
        <v>15</v>
      </c>
      <c r="AI10023">
        <v>1</v>
      </c>
      <c r="AJ10023">
        <v>1</v>
      </c>
      <c r="AK10023">
        <v>0</v>
      </c>
      <c r="AN10023" t="s">
        <v>7439</v>
      </c>
      <c r="AO10023">
        <v>0</v>
      </c>
      <c r="AU10023">
        <v>1</v>
      </c>
      <c r="AV10023" t="s">
        <v>753</v>
      </c>
      <c r="AW10023" t="s">
        <v>46859</v>
      </c>
    </row>
    <row r="10024" spans="1:50">
      <c r="A10024" s="1">
        <f>HYPERLINK("https://lsnyc.legalserver.org/matter/dynamic-profile/view/1892879","19-1892879")</f>
        <v>0</v>
      </c>
      <c r="B10024" t="s">
        <v>152</v>
      </c>
      <c r="C10024" t="s">
        <v>341</v>
      </c>
      <c r="D10024" t="s">
        <v>753</v>
      </c>
      <c r="E10024" t="s">
        <v>820</v>
      </c>
      <c r="F10024" t="s">
        <v>900</v>
      </c>
      <c r="G10024" t="s">
        <v>5143</v>
      </c>
      <c r="H10024" t="s">
        <v>16455</v>
      </c>
      <c r="I10024" t="s">
        <v>17343</v>
      </c>
      <c r="J10024" t="s">
        <v>18892</v>
      </c>
      <c r="K10024">
        <v>10459</v>
      </c>
      <c r="L10024" t="s">
        <v>18958</v>
      </c>
      <c r="M10024" t="s">
        <v>18958</v>
      </c>
      <c r="N10024" t="s">
        <v>25830</v>
      </c>
      <c r="O10024" t="s">
        <v>26524</v>
      </c>
      <c r="Q10024" t="s">
        <v>26573</v>
      </c>
      <c r="R10024" t="s">
        <v>26578</v>
      </c>
      <c r="S10024" t="s">
        <v>18959</v>
      </c>
      <c r="U10024" t="s">
        <v>26604</v>
      </c>
      <c r="X10024">
        <v>597.67</v>
      </c>
      <c r="Y10024" t="s">
        <v>26650</v>
      </c>
      <c r="Z10024" t="s">
        <v>26530</v>
      </c>
      <c r="AA10024" t="s">
        <v>26678</v>
      </c>
      <c r="AB10024" t="s">
        <v>33754</v>
      </c>
      <c r="AD10024" t="s">
        <v>44578</v>
      </c>
      <c r="AE10024">
        <v>31</v>
      </c>
      <c r="AF10024" t="s">
        <v>45541</v>
      </c>
      <c r="AG10024" t="s">
        <v>19330</v>
      </c>
      <c r="AH10024">
        <v>28</v>
      </c>
      <c r="AI10024">
        <v>2</v>
      </c>
      <c r="AJ10024">
        <v>1</v>
      </c>
      <c r="AK10024">
        <v>321.8</v>
      </c>
      <c r="AN10024" t="s">
        <v>45581</v>
      </c>
      <c r="AO10024">
        <v>68640</v>
      </c>
      <c r="AP10024" t="s">
        <v>46247</v>
      </c>
      <c r="AU10024">
        <v>2.3</v>
      </c>
      <c r="AV10024" t="s">
        <v>660</v>
      </c>
      <c r="AW10024" t="s">
        <v>329</v>
      </c>
    </row>
    <row r="10025" spans="1:50">
      <c r="A10025" s="1">
        <f>HYPERLINK("https://lsnyc.legalserver.org/matter/dynamic-profile/view/1892873","19-1892873")</f>
        <v>0</v>
      </c>
      <c r="B10025" t="s">
        <v>74</v>
      </c>
      <c r="C10025" t="s">
        <v>341</v>
      </c>
      <c r="D10025" t="s">
        <v>753</v>
      </c>
      <c r="E10025" t="s">
        <v>788</v>
      </c>
      <c r="F10025" t="s">
        <v>2734</v>
      </c>
      <c r="G10025" t="s">
        <v>5419</v>
      </c>
      <c r="H10025" t="s">
        <v>15853</v>
      </c>
      <c r="I10025" t="s">
        <v>17272</v>
      </c>
      <c r="J10025" t="s">
        <v>18893</v>
      </c>
      <c r="K10025">
        <v>10029</v>
      </c>
      <c r="L10025" t="s">
        <v>18960</v>
      </c>
      <c r="M10025" t="s">
        <v>18960</v>
      </c>
      <c r="P10025" t="s">
        <v>26564</v>
      </c>
      <c r="Q10025" t="s">
        <v>26570</v>
      </c>
      <c r="R10025" t="s">
        <v>26591</v>
      </c>
      <c r="U10025" t="s">
        <v>26605</v>
      </c>
      <c r="X10025">
        <v>695</v>
      </c>
      <c r="Y10025" t="s">
        <v>26651</v>
      </c>
      <c r="Z10025" t="s">
        <v>26661</v>
      </c>
      <c r="AA10025" t="s">
        <v>26683</v>
      </c>
      <c r="AB10025" t="s">
        <v>33755</v>
      </c>
      <c r="AD10025" t="s">
        <v>44579</v>
      </c>
      <c r="AE10025">
        <v>0</v>
      </c>
      <c r="AG10025" t="s">
        <v>19330</v>
      </c>
      <c r="AH10025">
        <v>20</v>
      </c>
      <c r="AI10025">
        <v>1</v>
      </c>
      <c r="AJ10025">
        <v>0</v>
      </c>
      <c r="AK10025">
        <v>67.25</v>
      </c>
      <c r="AN10025" t="s">
        <v>7439</v>
      </c>
      <c r="AO10025">
        <v>8400</v>
      </c>
      <c r="AU10025">
        <v>0.6</v>
      </c>
      <c r="AV10025" t="s">
        <v>753</v>
      </c>
      <c r="AW10025" t="s">
        <v>46842</v>
      </c>
    </row>
    <row r="10026" spans="1:50">
      <c r="A10026" s="1">
        <f>HYPERLINK("https://lsnyc.legalserver.org/matter/dynamic-profile/view/1892859","19-1892859")</f>
        <v>0</v>
      </c>
      <c r="B10026" t="s">
        <v>183</v>
      </c>
      <c r="C10026" t="s">
        <v>340</v>
      </c>
      <c r="D10026" t="s">
        <v>753</v>
      </c>
      <c r="F10026" t="s">
        <v>974</v>
      </c>
      <c r="G10026" t="s">
        <v>6218</v>
      </c>
      <c r="H10026" t="s">
        <v>16456</v>
      </c>
      <c r="J10026" t="s">
        <v>18893</v>
      </c>
      <c r="K10026">
        <v>10031</v>
      </c>
      <c r="L10026" t="s">
        <v>18960</v>
      </c>
      <c r="M10026" t="s">
        <v>18960</v>
      </c>
      <c r="R10026" t="s">
        <v>26580</v>
      </c>
      <c r="U10026" t="s">
        <v>26605</v>
      </c>
      <c r="X10026">
        <v>607</v>
      </c>
      <c r="Y10026" t="s">
        <v>26651</v>
      </c>
      <c r="AB10026" t="s">
        <v>31954</v>
      </c>
      <c r="AD10026" t="s">
        <v>44580</v>
      </c>
      <c r="AE10026">
        <v>150</v>
      </c>
      <c r="AH10026">
        <v>34</v>
      </c>
      <c r="AI10026">
        <v>1</v>
      </c>
      <c r="AJ10026">
        <v>0</v>
      </c>
      <c r="AK10026">
        <v>240.19</v>
      </c>
      <c r="AN10026" t="s">
        <v>7439</v>
      </c>
      <c r="AO10026">
        <v>30000</v>
      </c>
      <c r="AU10026">
        <v>6</v>
      </c>
      <c r="AV10026" t="s">
        <v>827</v>
      </c>
      <c r="AW10026" t="s">
        <v>264</v>
      </c>
    </row>
    <row r="10027" spans="1:50">
      <c r="A10027" s="1">
        <f>HYPERLINK("https://lsnyc.legalserver.org/matter/dynamic-profile/view/1892872","19-1892872")</f>
        <v>0</v>
      </c>
      <c r="B10027" t="s">
        <v>211</v>
      </c>
      <c r="C10027" t="s">
        <v>340</v>
      </c>
      <c r="D10027" t="s">
        <v>753</v>
      </c>
      <c r="F10027" t="s">
        <v>4720</v>
      </c>
      <c r="G10027" t="s">
        <v>5147</v>
      </c>
      <c r="H10027" t="s">
        <v>16457</v>
      </c>
      <c r="I10027" t="s">
        <v>17291</v>
      </c>
      <c r="J10027" t="s">
        <v>18894</v>
      </c>
      <c r="K10027">
        <v>11207</v>
      </c>
      <c r="L10027" t="s">
        <v>18958</v>
      </c>
      <c r="M10027" t="s">
        <v>18958</v>
      </c>
      <c r="N10027" t="s">
        <v>25831</v>
      </c>
      <c r="O10027" t="s">
        <v>26523</v>
      </c>
      <c r="P10027" t="s">
        <v>26560</v>
      </c>
      <c r="R10027" t="s">
        <v>26578</v>
      </c>
      <c r="U10027" t="s">
        <v>26604</v>
      </c>
      <c r="X10027">
        <v>1435</v>
      </c>
      <c r="Y10027" t="s">
        <v>26652</v>
      </c>
      <c r="AB10027" t="s">
        <v>33756</v>
      </c>
      <c r="AC10027">
        <v>9507238</v>
      </c>
      <c r="AD10027" t="s">
        <v>44581</v>
      </c>
      <c r="AE10027">
        <v>6</v>
      </c>
      <c r="AF10027" t="s">
        <v>45541</v>
      </c>
      <c r="AH10027">
        <v>7</v>
      </c>
      <c r="AI10027">
        <v>1</v>
      </c>
      <c r="AJ10027">
        <v>4</v>
      </c>
      <c r="AK10027">
        <v>10.02</v>
      </c>
      <c r="AN10027" t="s">
        <v>7439</v>
      </c>
      <c r="AO10027">
        <v>3024</v>
      </c>
      <c r="AU10027">
        <v>36.7</v>
      </c>
      <c r="AV10027" t="s">
        <v>817</v>
      </c>
      <c r="AW10027" t="s">
        <v>286</v>
      </c>
    </row>
    <row r="10028" spans="1:50">
      <c r="A10028" s="1">
        <f>HYPERLINK("https://lsnyc.legalserver.org/matter/dynamic-profile/view/1892953","19-1892953")</f>
        <v>0</v>
      </c>
      <c r="B10028" t="s">
        <v>60</v>
      </c>
      <c r="C10028" t="s">
        <v>340</v>
      </c>
      <c r="D10028" t="s">
        <v>753</v>
      </c>
      <c r="F10028" t="s">
        <v>4721</v>
      </c>
      <c r="G10028" t="s">
        <v>6338</v>
      </c>
      <c r="H10028" t="s">
        <v>10082</v>
      </c>
      <c r="I10028" t="s">
        <v>17325</v>
      </c>
      <c r="J10028" t="s">
        <v>18892</v>
      </c>
      <c r="K10028">
        <v>10467</v>
      </c>
      <c r="L10028" t="s">
        <v>18958</v>
      </c>
      <c r="M10028" t="s">
        <v>18958</v>
      </c>
      <c r="R10028" t="s">
        <v>26578</v>
      </c>
      <c r="S10028" t="s">
        <v>18958</v>
      </c>
      <c r="U10028" t="s">
        <v>26604</v>
      </c>
      <c r="X10028">
        <v>1950</v>
      </c>
      <c r="Y10028" t="s">
        <v>26650</v>
      </c>
      <c r="Z10028" t="s">
        <v>26667</v>
      </c>
      <c r="AB10028" t="s">
        <v>33757</v>
      </c>
      <c r="AE10028">
        <v>122</v>
      </c>
      <c r="AF10028" t="s">
        <v>20460</v>
      </c>
      <c r="AG10028" t="s">
        <v>45556</v>
      </c>
      <c r="AH10028">
        <v>32</v>
      </c>
      <c r="AI10028">
        <v>1</v>
      </c>
      <c r="AJ10028">
        <v>2</v>
      </c>
      <c r="AK10028">
        <v>109.7</v>
      </c>
      <c r="AN10028" t="s">
        <v>7439</v>
      </c>
      <c r="AO10028">
        <v>23400</v>
      </c>
      <c r="AU10028">
        <v>18.2</v>
      </c>
      <c r="AV10028" t="s">
        <v>772</v>
      </c>
      <c r="AW10028" t="s">
        <v>329</v>
      </c>
    </row>
    <row r="10029" spans="1:50">
      <c r="A10029" s="1">
        <f>HYPERLINK("https://lsnyc.legalserver.org/matter/dynamic-profile/view/1892849","19-1892849")</f>
        <v>0</v>
      </c>
      <c r="B10029" t="s">
        <v>191</v>
      </c>
      <c r="C10029" t="s">
        <v>340</v>
      </c>
      <c r="D10029" t="s">
        <v>753</v>
      </c>
      <c r="F10029" t="s">
        <v>886</v>
      </c>
      <c r="G10029" t="s">
        <v>9243</v>
      </c>
      <c r="H10029" t="s">
        <v>16458</v>
      </c>
      <c r="J10029" t="s">
        <v>18893</v>
      </c>
      <c r="K10029">
        <v>10027</v>
      </c>
      <c r="L10029" t="s">
        <v>18960</v>
      </c>
      <c r="M10029" t="s">
        <v>18960</v>
      </c>
      <c r="N10029" t="s">
        <v>25832</v>
      </c>
      <c r="O10029" t="s">
        <v>26523</v>
      </c>
      <c r="P10029" t="s">
        <v>26560</v>
      </c>
      <c r="R10029" t="s">
        <v>26580</v>
      </c>
      <c r="S10029" t="s">
        <v>18959</v>
      </c>
      <c r="U10029" t="s">
        <v>26605</v>
      </c>
      <c r="V10029" t="s">
        <v>26610</v>
      </c>
      <c r="X10029">
        <v>252</v>
      </c>
      <c r="Y10029" t="s">
        <v>26651</v>
      </c>
      <c r="AB10029" t="s">
        <v>32932</v>
      </c>
      <c r="AD10029" t="s">
        <v>44582</v>
      </c>
      <c r="AE10029">
        <v>0</v>
      </c>
      <c r="AF10029" t="s">
        <v>45544</v>
      </c>
      <c r="AG10029" t="s">
        <v>45556</v>
      </c>
      <c r="AH10029">
        <v>0</v>
      </c>
      <c r="AI10029">
        <v>1</v>
      </c>
      <c r="AJ10029">
        <v>0</v>
      </c>
      <c r="AK10029">
        <v>81.67</v>
      </c>
      <c r="AO10029">
        <v>10200</v>
      </c>
      <c r="AU10029">
        <v>6.5</v>
      </c>
      <c r="AV10029" t="s">
        <v>806</v>
      </c>
      <c r="AW10029" t="s">
        <v>264</v>
      </c>
    </row>
    <row r="10030" spans="1:50">
      <c r="A10030" s="1">
        <f>HYPERLINK("https://lsnyc.legalserver.org/matter/dynamic-profile/view/1892833","19-1892833")</f>
        <v>0</v>
      </c>
      <c r="B10030" t="s">
        <v>56</v>
      </c>
      <c r="C10030" t="s">
        <v>340</v>
      </c>
      <c r="D10030" t="s">
        <v>753</v>
      </c>
      <c r="F10030" t="s">
        <v>1964</v>
      </c>
      <c r="G10030" t="s">
        <v>9244</v>
      </c>
      <c r="H10030" t="s">
        <v>16459</v>
      </c>
      <c r="I10030" t="s">
        <v>18323</v>
      </c>
      <c r="J10030" t="s">
        <v>18892</v>
      </c>
      <c r="K10030">
        <v>10458</v>
      </c>
      <c r="L10030" t="s">
        <v>18960</v>
      </c>
      <c r="M10030" t="s">
        <v>18960</v>
      </c>
      <c r="R10030" t="s">
        <v>26577</v>
      </c>
      <c r="U10030" t="s">
        <v>26604</v>
      </c>
      <c r="X10030">
        <v>740</v>
      </c>
      <c r="Y10030" t="s">
        <v>26650</v>
      </c>
      <c r="Z10030" t="s">
        <v>26659</v>
      </c>
      <c r="AB10030" t="s">
        <v>33758</v>
      </c>
      <c r="AD10030" t="s">
        <v>44583</v>
      </c>
      <c r="AE10030">
        <v>0</v>
      </c>
      <c r="AF10030" t="s">
        <v>45541</v>
      </c>
      <c r="AH10030">
        <v>26</v>
      </c>
      <c r="AI10030">
        <v>1</v>
      </c>
      <c r="AJ10030">
        <v>3</v>
      </c>
      <c r="AK10030">
        <v>51.68</v>
      </c>
      <c r="AN10030" t="s">
        <v>7439</v>
      </c>
      <c r="AO10030">
        <v>13308</v>
      </c>
      <c r="AP10030" t="s">
        <v>46248</v>
      </c>
      <c r="AU10030">
        <v>0</v>
      </c>
      <c r="AW10030" t="s">
        <v>46836</v>
      </c>
    </row>
    <row r="10031" spans="1:50">
      <c r="A10031" s="1">
        <f>HYPERLINK("https://lsnyc.legalserver.org/matter/dynamic-profile/view/1892810","19-1892810")</f>
        <v>0</v>
      </c>
      <c r="B10031" t="s">
        <v>152</v>
      </c>
      <c r="C10031" t="s">
        <v>340</v>
      </c>
      <c r="D10031" t="s">
        <v>753</v>
      </c>
      <c r="F10031" t="s">
        <v>1299</v>
      </c>
      <c r="G10031" t="s">
        <v>6424</v>
      </c>
      <c r="H10031" t="s">
        <v>16460</v>
      </c>
      <c r="J10031" t="s">
        <v>18892</v>
      </c>
      <c r="K10031">
        <v>10452</v>
      </c>
      <c r="L10031" t="s">
        <v>18958</v>
      </c>
      <c r="M10031" t="s">
        <v>18958</v>
      </c>
      <c r="R10031" t="s">
        <v>26578</v>
      </c>
      <c r="S10031" t="s">
        <v>18959</v>
      </c>
      <c r="U10031" t="s">
        <v>26604</v>
      </c>
      <c r="X10031">
        <v>0</v>
      </c>
      <c r="Y10031" t="s">
        <v>26650</v>
      </c>
      <c r="AB10031" t="s">
        <v>30816</v>
      </c>
      <c r="AE10031">
        <v>0</v>
      </c>
      <c r="AH10031">
        <v>0</v>
      </c>
      <c r="AI10031">
        <v>1</v>
      </c>
      <c r="AJ10031">
        <v>0</v>
      </c>
      <c r="AK10031">
        <v>28.82</v>
      </c>
      <c r="AO10031">
        <v>3600</v>
      </c>
      <c r="AP10031" t="s">
        <v>46187</v>
      </c>
      <c r="AU10031">
        <v>1.5</v>
      </c>
      <c r="AV10031" t="s">
        <v>753</v>
      </c>
      <c r="AW10031" t="s">
        <v>329</v>
      </c>
    </row>
    <row r="10032" spans="1:50">
      <c r="A10032" s="1">
        <f>HYPERLINK("https://lsnyc.legalserver.org/matter/dynamic-profile/view/1892888","19-1892888")</f>
        <v>0</v>
      </c>
      <c r="B10032" t="s">
        <v>264</v>
      </c>
      <c r="C10032" t="s">
        <v>340</v>
      </c>
      <c r="D10032" t="s">
        <v>753</v>
      </c>
      <c r="F10032" t="s">
        <v>1048</v>
      </c>
      <c r="G10032" t="s">
        <v>9245</v>
      </c>
      <c r="H10032" t="s">
        <v>16461</v>
      </c>
      <c r="J10032" t="s">
        <v>18893</v>
      </c>
      <c r="K10032">
        <v>10027</v>
      </c>
      <c r="L10032" t="s">
        <v>18960</v>
      </c>
      <c r="M10032" t="s">
        <v>18960</v>
      </c>
      <c r="R10032" t="s">
        <v>26580</v>
      </c>
      <c r="U10032" t="s">
        <v>26604</v>
      </c>
      <c r="X10032">
        <v>900</v>
      </c>
      <c r="Y10032" t="s">
        <v>26651</v>
      </c>
      <c r="AB10032" t="s">
        <v>33759</v>
      </c>
      <c r="AD10032" t="s">
        <v>44584</v>
      </c>
      <c r="AE10032">
        <v>0</v>
      </c>
      <c r="AH10032">
        <v>7</v>
      </c>
      <c r="AI10032">
        <v>2</v>
      </c>
      <c r="AJ10032">
        <v>0</v>
      </c>
      <c r="AK10032">
        <v>134.83</v>
      </c>
      <c r="AN10032" t="s">
        <v>7439</v>
      </c>
      <c r="AO10032">
        <v>22800</v>
      </c>
      <c r="AU10032">
        <v>0</v>
      </c>
      <c r="AW10032" t="s">
        <v>264</v>
      </c>
    </row>
    <row r="10033" spans="1:49">
      <c r="A10033" s="1">
        <f>HYPERLINK("https://lsnyc.legalserver.org/matter/dynamic-profile/view/1892878","19-1892878")</f>
        <v>0</v>
      </c>
      <c r="B10033" t="s">
        <v>190</v>
      </c>
      <c r="C10033" t="s">
        <v>340</v>
      </c>
      <c r="D10033" t="s">
        <v>753</v>
      </c>
      <c r="F10033" t="s">
        <v>2854</v>
      </c>
      <c r="G10033" t="s">
        <v>2053</v>
      </c>
      <c r="H10033" t="s">
        <v>13045</v>
      </c>
      <c r="I10033" t="s">
        <v>17280</v>
      </c>
      <c r="J10033" t="s">
        <v>18894</v>
      </c>
      <c r="K10033">
        <v>11213</v>
      </c>
      <c r="L10033" t="s">
        <v>18958</v>
      </c>
      <c r="M10033" t="s">
        <v>18958</v>
      </c>
      <c r="N10033" t="s">
        <v>22310</v>
      </c>
      <c r="O10033" t="s">
        <v>26539</v>
      </c>
      <c r="P10033" t="s">
        <v>26562</v>
      </c>
      <c r="R10033" t="s">
        <v>26591</v>
      </c>
      <c r="S10033" t="s">
        <v>18959</v>
      </c>
      <c r="U10033" t="s">
        <v>26607</v>
      </c>
      <c r="X10033">
        <v>1198.97</v>
      </c>
      <c r="Y10033" t="s">
        <v>26652</v>
      </c>
      <c r="Z10033" t="s">
        <v>26659</v>
      </c>
      <c r="AB10033" t="s">
        <v>30392</v>
      </c>
      <c r="AD10033" t="s">
        <v>40550</v>
      </c>
      <c r="AE10033">
        <v>47</v>
      </c>
      <c r="AG10033" t="s">
        <v>19330</v>
      </c>
      <c r="AH10033">
        <v>9</v>
      </c>
      <c r="AI10033">
        <v>1</v>
      </c>
      <c r="AJ10033">
        <v>0</v>
      </c>
      <c r="AK10033">
        <v>80.13</v>
      </c>
      <c r="AN10033" t="s">
        <v>7439</v>
      </c>
      <c r="AO10033">
        <v>10008</v>
      </c>
      <c r="AU10033">
        <v>3.5</v>
      </c>
      <c r="AV10033" t="s">
        <v>825</v>
      </c>
      <c r="AW10033" t="s">
        <v>46862</v>
      </c>
    </row>
    <row r="10034" spans="1:49">
      <c r="A10034" s="1">
        <f>HYPERLINK("https://lsnyc.legalserver.org/matter/dynamic-profile/view/1892817","19-1892817")</f>
        <v>0</v>
      </c>
      <c r="B10034" t="s">
        <v>62</v>
      </c>
      <c r="C10034" t="s">
        <v>340</v>
      </c>
      <c r="D10034" t="s">
        <v>753</v>
      </c>
      <c r="F10034" t="s">
        <v>2691</v>
      </c>
      <c r="G10034" t="s">
        <v>5677</v>
      </c>
      <c r="H10034" t="s">
        <v>14640</v>
      </c>
      <c r="I10034" t="s">
        <v>18744</v>
      </c>
      <c r="J10034" t="s">
        <v>18893</v>
      </c>
      <c r="K10034">
        <v>10026</v>
      </c>
      <c r="L10034" t="s">
        <v>18958</v>
      </c>
      <c r="M10034" t="s">
        <v>18958</v>
      </c>
      <c r="N10034" t="s">
        <v>25833</v>
      </c>
      <c r="O10034" t="s">
        <v>26523</v>
      </c>
      <c r="P10034" t="s">
        <v>26560</v>
      </c>
      <c r="R10034" t="s">
        <v>26580</v>
      </c>
      <c r="S10034" t="s">
        <v>18959</v>
      </c>
      <c r="U10034" t="s">
        <v>26604</v>
      </c>
      <c r="V10034" t="s">
        <v>26610</v>
      </c>
      <c r="X10034">
        <v>275</v>
      </c>
      <c r="Y10034" t="s">
        <v>26651</v>
      </c>
      <c r="Z10034" t="s">
        <v>26668</v>
      </c>
      <c r="AB10034" t="s">
        <v>32466</v>
      </c>
      <c r="AD10034" t="s">
        <v>44585</v>
      </c>
      <c r="AE10034">
        <v>0</v>
      </c>
      <c r="AF10034" t="s">
        <v>20460</v>
      </c>
      <c r="AG10034" t="s">
        <v>19330</v>
      </c>
      <c r="AH10034">
        <v>2</v>
      </c>
      <c r="AI10034">
        <v>1</v>
      </c>
      <c r="AJ10034">
        <v>1</v>
      </c>
      <c r="AK10034">
        <v>22.29</v>
      </c>
      <c r="AN10034" t="s">
        <v>7439</v>
      </c>
      <c r="AO10034">
        <v>3770</v>
      </c>
      <c r="AU10034">
        <v>4.8</v>
      </c>
      <c r="AV10034" t="s">
        <v>766</v>
      </c>
      <c r="AW10034" t="s">
        <v>314</v>
      </c>
    </row>
    <row r="10035" spans="1:49">
      <c r="A10035" s="1">
        <f>HYPERLINK("https://lsnyc.legalserver.org/matter/dynamic-profile/view/1892867","19-1892867")</f>
        <v>0</v>
      </c>
      <c r="B10035" t="s">
        <v>62</v>
      </c>
      <c r="C10035" t="s">
        <v>340</v>
      </c>
      <c r="D10035" t="s">
        <v>753</v>
      </c>
      <c r="F10035" t="s">
        <v>1474</v>
      </c>
      <c r="G10035" t="s">
        <v>5340</v>
      </c>
      <c r="H10035" t="s">
        <v>16462</v>
      </c>
      <c r="J10035" t="s">
        <v>18893</v>
      </c>
      <c r="K10035">
        <v>10026</v>
      </c>
      <c r="L10035" t="s">
        <v>18960</v>
      </c>
      <c r="M10035" t="s">
        <v>18960</v>
      </c>
      <c r="R10035" t="s">
        <v>26580</v>
      </c>
      <c r="U10035" t="s">
        <v>26605</v>
      </c>
      <c r="V10035" t="s">
        <v>26610</v>
      </c>
      <c r="X10035">
        <v>688</v>
      </c>
      <c r="Y10035" t="s">
        <v>26651</v>
      </c>
      <c r="AB10035" t="s">
        <v>33760</v>
      </c>
      <c r="AD10035" t="s">
        <v>44586</v>
      </c>
      <c r="AE10035">
        <v>15</v>
      </c>
      <c r="AH10035">
        <v>21</v>
      </c>
      <c r="AI10035">
        <v>2</v>
      </c>
      <c r="AJ10035">
        <v>0</v>
      </c>
      <c r="AK10035">
        <v>256.18</v>
      </c>
      <c r="AN10035" t="s">
        <v>45581</v>
      </c>
      <c r="AO10035">
        <v>43320</v>
      </c>
      <c r="AU10035">
        <v>6.5</v>
      </c>
      <c r="AV10035" t="s">
        <v>811</v>
      </c>
      <c r="AW10035" t="s">
        <v>264</v>
      </c>
    </row>
    <row r="10036" spans="1:49">
      <c r="A10036" s="1">
        <f>HYPERLINK("https://lsnyc.legalserver.org/matter/dynamic-profile/view/1893124","19-1893124")</f>
        <v>0</v>
      </c>
      <c r="B10036" t="s">
        <v>108</v>
      </c>
      <c r="C10036" t="s">
        <v>341</v>
      </c>
      <c r="D10036" t="s">
        <v>754</v>
      </c>
      <c r="E10036" t="s">
        <v>820</v>
      </c>
      <c r="F10036" t="s">
        <v>4722</v>
      </c>
      <c r="G10036" t="s">
        <v>9246</v>
      </c>
      <c r="H10036" t="s">
        <v>16463</v>
      </c>
      <c r="I10036" t="s">
        <v>18745</v>
      </c>
      <c r="J10036" t="s">
        <v>18920</v>
      </c>
      <c r="K10036">
        <v>11370</v>
      </c>
      <c r="L10036" t="s">
        <v>18960</v>
      </c>
      <c r="M10036" t="s">
        <v>18958</v>
      </c>
      <c r="N10036" t="s">
        <v>25834</v>
      </c>
      <c r="O10036" t="s">
        <v>26524</v>
      </c>
      <c r="P10036" t="s">
        <v>26564</v>
      </c>
      <c r="Q10036" t="s">
        <v>26570</v>
      </c>
      <c r="R10036" t="s">
        <v>26583</v>
      </c>
      <c r="S10036" t="s">
        <v>18959</v>
      </c>
      <c r="U10036" t="s">
        <v>26604</v>
      </c>
      <c r="V10036" t="s">
        <v>26610</v>
      </c>
      <c r="X10036">
        <v>1429</v>
      </c>
      <c r="Y10036" t="s">
        <v>26653</v>
      </c>
      <c r="Z10036" t="s">
        <v>26664</v>
      </c>
      <c r="AA10036" t="s">
        <v>26683</v>
      </c>
      <c r="AB10036" t="s">
        <v>33761</v>
      </c>
      <c r="AE10036">
        <v>40</v>
      </c>
      <c r="AF10036" t="s">
        <v>45547</v>
      </c>
      <c r="AH10036">
        <v>3</v>
      </c>
      <c r="AI10036">
        <v>3</v>
      </c>
      <c r="AJ10036">
        <v>0</v>
      </c>
      <c r="AK10036">
        <v>98.45</v>
      </c>
      <c r="AN10036" t="s">
        <v>45598</v>
      </c>
      <c r="AO10036">
        <v>21000</v>
      </c>
      <c r="AU10036">
        <v>0.5</v>
      </c>
      <c r="AV10036" t="s">
        <v>754</v>
      </c>
      <c r="AW10036" t="s">
        <v>46884</v>
      </c>
    </row>
    <row r="10037" spans="1:49">
      <c r="A10037" s="1">
        <f>HYPERLINK("https://lsnyc.legalserver.org/matter/dynamic-profile/view/1893055","19-1893055")</f>
        <v>0</v>
      </c>
      <c r="B10037" t="s">
        <v>74</v>
      </c>
      <c r="C10037" t="s">
        <v>341</v>
      </c>
      <c r="D10037" t="s">
        <v>754</v>
      </c>
      <c r="E10037" t="s">
        <v>788</v>
      </c>
      <c r="F10037" t="s">
        <v>1523</v>
      </c>
      <c r="G10037" t="s">
        <v>9247</v>
      </c>
      <c r="H10037" t="s">
        <v>16464</v>
      </c>
      <c r="I10037" t="s">
        <v>17387</v>
      </c>
      <c r="J10037" t="s">
        <v>18892</v>
      </c>
      <c r="K10037">
        <v>10459</v>
      </c>
      <c r="L10037" t="s">
        <v>18960</v>
      </c>
      <c r="M10037" t="s">
        <v>18960</v>
      </c>
      <c r="P10037" t="s">
        <v>26564</v>
      </c>
      <c r="Q10037" t="s">
        <v>26570</v>
      </c>
      <c r="R10037" t="s">
        <v>26591</v>
      </c>
      <c r="U10037" t="s">
        <v>26604</v>
      </c>
      <c r="X10037">
        <v>800</v>
      </c>
      <c r="Y10037" t="s">
        <v>26651</v>
      </c>
      <c r="AA10037" t="s">
        <v>26683</v>
      </c>
      <c r="AB10037" t="s">
        <v>33762</v>
      </c>
      <c r="AD10037" t="s">
        <v>44587</v>
      </c>
      <c r="AE10037">
        <v>2</v>
      </c>
      <c r="AH10037">
        <v>1</v>
      </c>
      <c r="AI10037">
        <v>1</v>
      </c>
      <c r="AJ10037">
        <v>0</v>
      </c>
      <c r="AK10037">
        <v>0</v>
      </c>
      <c r="AN10037" t="s">
        <v>7439</v>
      </c>
      <c r="AO10037">
        <v>0</v>
      </c>
      <c r="AU10037">
        <v>1</v>
      </c>
      <c r="AV10037" t="s">
        <v>754</v>
      </c>
      <c r="AW10037" t="s">
        <v>46857</v>
      </c>
    </row>
    <row r="10038" spans="1:49">
      <c r="A10038" s="1">
        <f>HYPERLINK("https://lsnyc.legalserver.org/matter/dynamic-profile/view/1893033","19-1893033")</f>
        <v>0</v>
      </c>
      <c r="B10038" t="s">
        <v>60</v>
      </c>
      <c r="C10038" t="s">
        <v>340</v>
      </c>
      <c r="D10038" t="s">
        <v>754</v>
      </c>
      <c r="F10038" t="s">
        <v>4723</v>
      </c>
      <c r="G10038" t="s">
        <v>9248</v>
      </c>
      <c r="H10038" t="s">
        <v>11912</v>
      </c>
      <c r="I10038" t="s">
        <v>17362</v>
      </c>
      <c r="J10038" t="s">
        <v>18892</v>
      </c>
      <c r="K10038">
        <v>10467</v>
      </c>
      <c r="L10038" t="s">
        <v>18958</v>
      </c>
      <c r="M10038" t="s">
        <v>18958</v>
      </c>
      <c r="R10038" t="s">
        <v>26578</v>
      </c>
      <c r="S10038" t="s">
        <v>18958</v>
      </c>
      <c r="U10038" t="s">
        <v>26604</v>
      </c>
      <c r="X10038">
        <v>1500</v>
      </c>
      <c r="Y10038" t="s">
        <v>26650</v>
      </c>
      <c r="Z10038" t="s">
        <v>26667</v>
      </c>
      <c r="AB10038" t="s">
        <v>32666</v>
      </c>
      <c r="AE10038">
        <v>122</v>
      </c>
      <c r="AF10038" t="s">
        <v>20460</v>
      </c>
      <c r="AG10038" t="s">
        <v>19330</v>
      </c>
      <c r="AH10038">
        <v>6</v>
      </c>
      <c r="AI10038">
        <v>1</v>
      </c>
      <c r="AJ10038">
        <v>0</v>
      </c>
      <c r="AK10038">
        <v>0</v>
      </c>
      <c r="AN10038" t="s">
        <v>7439</v>
      </c>
      <c r="AO10038">
        <v>0</v>
      </c>
      <c r="AU10038">
        <v>0</v>
      </c>
      <c r="AW10038" t="s">
        <v>329</v>
      </c>
    </row>
    <row r="10039" spans="1:49">
      <c r="A10039" s="1">
        <f>HYPERLINK("https://lsnyc.legalserver.org/matter/dynamic-profile/view/1893025","19-1893025")</f>
        <v>0</v>
      </c>
      <c r="B10039" t="s">
        <v>60</v>
      </c>
      <c r="C10039" t="s">
        <v>340</v>
      </c>
      <c r="D10039" t="s">
        <v>754</v>
      </c>
      <c r="F10039" t="s">
        <v>1543</v>
      </c>
      <c r="G10039" t="s">
        <v>5074</v>
      </c>
      <c r="H10039" t="s">
        <v>11912</v>
      </c>
      <c r="I10039" t="s">
        <v>17356</v>
      </c>
      <c r="J10039" t="s">
        <v>18892</v>
      </c>
      <c r="K10039">
        <v>10467</v>
      </c>
      <c r="L10039" t="s">
        <v>18958</v>
      </c>
      <c r="M10039" t="s">
        <v>18958</v>
      </c>
      <c r="R10039" t="s">
        <v>26578</v>
      </c>
      <c r="S10039" t="s">
        <v>18958</v>
      </c>
      <c r="U10039" t="s">
        <v>26604</v>
      </c>
      <c r="X10039">
        <v>1284</v>
      </c>
      <c r="Y10039" t="s">
        <v>26650</v>
      </c>
      <c r="Z10039" t="s">
        <v>26667</v>
      </c>
      <c r="AB10039" t="s">
        <v>31197</v>
      </c>
      <c r="AE10039">
        <v>122</v>
      </c>
      <c r="AF10039" t="s">
        <v>20460</v>
      </c>
      <c r="AH10039">
        <v>4</v>
      </c>
      <c r="AI10039">
        <v>1</v>
      </c>
      <c r="AJ10039">
        <v>1</v>
      </c>
      <c r="AK10039">
        <v>18.3</v>
      </c>
      <c r="AN10039" t="s">
        <v>7439</v>
      </c>
      <c r="AO10039">
        <v>3094</v>
      </c>
      <c r="AU10039">
        <v>0</v>
      </c>
      <c r="AW10039" t="s">
        <v>329</v>
      </c>
    </row>
    <row r="10040" spans="1:49">
      <c r="A10040" s="1">
        <f>HYPERLINK("https://lsnyc.legalserver.org/matter/dynamic-profile/view/1893008","19-1893008")</f>
        <v>0</v>
      </c>
      <c r="B10040" t="s">
        <v>60</v>
      </c>
      <c r="C10040" t="s">
        <v>340</v>
      </c>
      <c r="D10040" t="s">
        <v>754</v>
      </c>
      <c r="F10040" t="s">
        <v>1283</v>
      </c>
      <c r="G10040" t="s">
        <v>5087</v>
      </c>
      <c r="H10040" t="s">
        <v>11912</v>
      </c>
      <c r="I10040" t="s">
        <v>17360</v>
      </c>
      <c r="J10040" t="s">
        <v>18892</v>
      </c>
      <c r="K10040">
        <v>10467</v>
      </c>
      <c r="L10040" t="s">
        <v>18958</v>
      </c>
      <c r="M10040" t="s">
        <v>18958</v>
      </c>
      <c r="R10040" t="s">
        <v>26578</v>
      </c>
      <c r="S10040" t="s">
        <v>18958</v>
      </c>
      <c r="U10040" t="s">
        <v>26604</v>
      </c>
      <c r="X10040">
        <v>164</v>
      </c>
      <c r="Y10040" t="s">
        <v>26650</v>
      </c>
      <c r="Z10040" t="s">
        <v>26667</v>
      </c>
      <c r="AB10040" t="s">
        <v>33763</v>
      </c>
      <c r="AD10040" t="s">
        <v>44588</v>
      </c>
      <c r="AE10040">
        <v>122</v>
      </c>
      <c r="AG10040" t="s">
        <v>45556</v>
      </c>
      <c r="AH10040">
        <v>35</v>
      </c>
      <c r="AI10040">
        <v>2</v>
      </c>
      <c r="AJ10040">
        <v>0</v>
      </c>
      <c r="AK10040">
        <v>54.71</v>
      </c>
      <c r="AN10040" t="s">
        <v>7439</v>
      </c>
      <c r="AO10040">
        <v>9252</v>
      </c>
      <c r="AU10040">
        <v>1.9</v>
      </c>
      <c r="AV10040" t="s">
        <v>792</v>
      </c>
      <c r="AW10040" t="s">
        <v>329</v>
      </c>
    </row>
    <row r="10041" spans="1:49">
      <c r="A10041" s="1">
        <f>HYPERLINK("https://lsnyc.legalserver.org/matter/dynamic-profile/view/1893019","19-1893019")</f>
        <v>0</v>
      </c>
      <c r="B10041" t="s">
        <v>60</v>
      </c>
      <c r="C10041" t="s">
        <v>340</v>
      </c>
      <c r="D10041" t="s">
        <v>754</v>
      </c>
      <c r="F10041" t="s">
        <v>1091</v>
      </c>
      <c r="G10041" t="s">
        <v>9249</v>
      </c>
      <c r="H10041" t="s">
        <v>11912</v>
      </c>
      <c r="I10041" t="s">
        <v>17274</v>
      </c>
      <c r="J10041" t="s">
        <v>18892</v>
      </c>
      <c r="K10041">
        <v>10467</v>
      </c>
      <c r="L10041" t="s">
        <v>18958</v>
      </c>
      <c r="M10041" t="s">
        <v>18958</v>
      </c>
      <c r="P10041" t="s">
        <v>26564</v>
      </c>
      <c r="R10041" t="s">
        <v>26578</v>
      </c>
      <c r="S10041" t="s">
        <v>18958</v>
      </c>
      <c r="U10041" t="s">
        <v>26604</v>
      </c>
      <c r="X10041">
        <v>286</v>
      </c>
      <c r="Y10041" t="s">
        <v>26650</v>
      </c>
      <c r="Z10041" t="s">
        <v>26667</v>
      </c>
      <c r="AB10041" t="s">
        <v>33764</v>
      </c>
      <c r="AD10041" t="s">
        <v>44589</v>
      </c>
      <c r="AE10041">
        <v>122</v>
      </c>
      <c r="AF10041" t="s">
        <v>20460</v>
      </c>
      <c r="AG10041" t="s">
        <v>45556</v>
      </c>
      <c r="AH10041">
        <v>1</v>
      </c>
      <c r="AI10041">
        <v>1</v>
      </c>
      <c r="AJ10041">
        <v>0</v>
      </c>
      <c r="AK10041">
        <v>72.15000000000001</v>
      </c>
      <c r="AN10041" t="s">
        <v>7439</v>
      </c>
      <c r="AO10041">
        <v>9012</v>
      </c>
      <c r="AU10041">
        <v>0.7</v>
      </c>
      <c r="AV10041" t="s">
        <v>775</v>
      </c>
      <c r="AW10041" t="s">
        <v>329</v>
      </c>
    </row>
    <row r="10042" spans="1:49">
      <c r="A10042" s="1">
        <f>HYPERLINK("https://lsnyc.legalserver.org/matter/dynamic-profile/view/1893027","19-1893027")</f>
        <v>0</v>
      </c>
      <c r="B10042" t="s">
        <v>60</v>
      </c>
      <c r="C10042" t="s">
        <v>340</v>
      </c>
      <c r="D10042" t="s">
        <v>754</v>
      </c>
      <c r="F10042" t="s">
        <v>1219</v>
      </c>
      <c r="G10042" t="s">
        <v>9250</v>
      </c>
      <c r="H10042" t="s">
        <v>11912</v>
      </c>
      <c r="I10042" t="s">
        <v>17348</v>
      </c>
      <c r="J10042" t="s">
        <v>18892</v>
      </c>
      <c r="K10042">
        <v>10467</v>
      </c>
      <c r="L10042" t="s">
        <v>18958</v>
      </c>
      <c r="M10042" t="s">
        <v>18958</v>
      </c>
      <c r="R10042" t="s">
        <v>26578</v>
      </c>
      <c r="S10042" t="s">
        <v>18958</v>
      </c>
      <c r="U10042" t="s">
        <v>26604</v>
      </c>
      <c r="X10042">
        <v>1400</v>
      </c>
      <c r="Y10042" t="s">
        <v>26650</v>
      </c>
      <c r="AB10042" t="s">
        <v>33765</v>
      </c>
      <c r="AD10042" t="s">
        <v>44590</v>
      </c>
      <c r="AE10042">
        <v>122</v>
      </c>
      <c r="AG10042" t="s">
        <v>45556</v>
      </c>
      <c r="AH10042">
        <v>18</v>
      </c>
      <c r="AI10042">
        <v>3</v>
      </c>
      <c r="AJ10042">
        <v>0</v>
      </c>
      <c r="AK10042">
        <v>164.09</v>
      </c>
      <c r="AN10042" t="s">
        <v>7439</v>
      </c>
      <c r="AO10042">
        <v>35000</v>
      </c>
      <c r="AU10042">
        <v>3</v>
      </c>
      <c r="AV10042" t="s">
        <v>829</v>
      </c>
      <c r="AW10042" t="s">
        <v>329</v>
      </c>
    </row>
    <row r="10043" spans="1:49">
      <c r="A10043" s="1">
        <f>HYPERLINK("https://lsnyc.legalserver.org/matter/dynamic-profile/view/1892989","19-1892989")</f>
        <v>0</v>
      </c>
      <c r="B10043" t="s">
        <v>60</v>
      </c>
      <c r="C10043" t="s">
        <v>340</v>
      </c>
      <c r="D10043" t="s">
        <v>754</v>
      </c>
      <c r="F10043" t="s">
        <v>4724</v>
      </c>
      <c r="G10043" t="s">
        <v>5147</v>
      </c>
      <c r="H10043" t="s">
        <v>10082</v>
      </c>
      <c r="I10043" t="s">
        <v>17440</v>
      </c>
      <c r="J10043" t="s">
        <v>18892</v>
      </c>
      <c r="K10043">
        <v>10467</v>
      </c>
      <c r="L10043" t="s">
        <v>18958</v>
      </c>
      <c r="M10043" t="s">
        <v>18958</v>
      </c>
      <c r="R10043" t="s">
        <v>26578</v>
      </c>
      <c r="S10043" t="s">
        <v>18958</v>
      </c>
      <c r="U10043" t="s">
        <v>26604</v>
      </c>
      <c r="X10043">
        <v>1450</v>
      </c>
      <c r="Y10043" t="s">
        <v>26650</v>
      </c>
      <c r="Z10043" t="s">
        <v>26667</v>
      </c>
      <c r="AB10043" t="s">
        <v>33766</v>
      </c>
      <c r="AD10043" t="s">
        <v>44591</v>
      </c>
      <c r="AE10043">
        <v>122</v>
      </c>
      <c r="AF10043" t="s">
        <v>20460</v>
      </c>
      <c r="AG10043" t="s">
        <v>19330</v>
      </c>
      <c r="AH10043">
        <v>3</v>
      </c>
      <c r="AI10043">
        <v>2</v>
      </c>
      <c r="AJ10043">
        <v>0</v>
      </c>
      <c r="AK10043">
        <v>184.51</v>
      </c>
      <c r="AO10043">
        <v>31200</v>
      </c>
      <c r="AU10043">
        <v>0</v>
      </c>
      <c r="AW10043" t="s">
        <v>329</v>
      </c>
    </row>
    <row r="10044" spans="1:49">
      <c r="A10044" s="1">
        <f>HYPERLINK("https://lsnyc.legalserver.org/matter/dynamic-profile/view/1893001","19-1893001")</f>
        <v>0</v>
      </c>
      <c r="B10044" t="s">
        <v>60</v>
      </c>
      <c r="C10044" t="s">
        <v>340</v>
      </c>
      <c r="D10044" t="s">
        <v>754</v>
      </c>
      <c r="F10044" t="s">
        <v>4157</v>
      </c>
      <c r="G10044" t="s">
        <v>5199</v>
      </c>
      <c r="H10044" t="s">
        <v>10082</v>
      </c>
      <c r="I10044" t="s">
        <v>17302</v>
      </c>
      <c r="J10044" t="s">
        <v>18892</v>
      </c>
      <c r="K10044">
        <v>10467</v>
      </c>
      <c r="L10044" t="s">
        <v>18958</v>
      </c>
      <c r="M10044" t="s">
        <v>18958</v>
      </c>
      <c r="R10044" t="s">
        <v>26578</v>
      </c>
      <c r="S10044" t="s">
        <v>18958</v>
      </c>
      <c r="U10044" t="s">
        <v>26604</v>
      </c>
      <c r="X10044">
        <v>1350</v>
      </c>
      <c r="Y10044" t="s">
        <v>26650</v>
      </c>
      <c r="Z10044" t="s">
        <v>26667</v>
      </c>
      <c r="AB10044" t="s">
        <v>32608</v>
      </c>
      <c r="AD10044" t="s">
        <v>43094</v>
      </c>
      <c r="AE10044">
        <v>0</v>
      </c>
      <c r="AF10044" t="s">
        <v>20460</v>
      </c>
      <c r="AG10044" t="s">
        <v>19330</v>
      </c>
      <c r="AH10044">
        <v>18</v>
      </c>
      <c r="AI10044">
        <v>1</v>
      </c>
      <c r="AJ10044">
        <v>0</v>
      </c>
      <c r="AK10044">
        <v>328.26</v>
      </c>
      <c r="AN10044" t="s">
        <v>7439</v>
      </c>
      <c r="AO10044">
        <v>41000</v>
      </c>
      <c r="AU10044">
        <v>5</v>
      </c>
      <c r="AV10044" t="s">
        <v>770</v>
      </c>
      <c r="AW10044" t="s">
        <v>329</v>
      </c>
    </row>
    <row r="10045" spans="1:49">
      <c r="A10045" s="1">
        <f>HYPERLINK("https://lsnyc.legalserver.org/matter/dynamic-profile/view/1892978","19-1892978")</f>
        <v>0</v>
      </c>
      <c r="B10045" t="s">
        <v>60</v>
      </c>
      <c r="C10045" t="s">
        <v>340</v>
      </c>
      <c r="D10045" t="s">
        <v>754</v>
      </c>
      <c r="F10045" t="s">
        <v>4725</v>
      </c>
      <c r="G10045" t="s">
        <v>4765</v>
      </c>
      <c r="H10045" t="s">
        <v>10082</v>
      </c>
      <c r="I10045" t="s">
        <v>17316</v>
      </c>
      <c r="J10045" t="s">
        <v>18892</v>
      </c>
      <c r="K10045">
        <v>10467</v>
      </c>
      <c r="L10045" t="s">
        <v>18958</v>
      </c>
      <c r="M10045" t="s">
        <v>18958</v>
      </c>
      <c r="R10045" t="s">
        <v>26578</v>
      </c>
      <c r="S10045" t="s">
        <v>18958</v>
      </c>
      <c r="U10045" t="s">
        <v>26604</v>
      </c>
      <c r="X10045">
        <v>1300</v>
      </c>
      <c r="Y10045" t="s">
        <v>26650</v>
      </c>
      <c r="Z10045" t="s">
        <v>26667</v>
      </c>
      <c r="AB10045" t="s">
        <v>33767</v>
      </c>
      <c r="AD10045" t="s">
        <v>44592</v>
      </c>
      <c r="AE10045">
        <v>122</v>
      </c>
      <c r="AF10045" t="s">
        <v>20460</v>
      </c>
      <c r="AG10045" t="s">
        <v>19330</v>
      </c>
      <c r="AH10045">
        <v>-1</v>
      </c>
      <c r="AI10045">
        <v>1</v>
      </c>
      <c r="AJ10045">
        <v>0</v>
      </c>
      <c r="AK10045">
        <v>400.32</v>
      </c>
      <c r="AN10045" t="s">
        <v>7439</v>
      </c>
      <c r="AO10045">
        <v>50000</v>
      </c>
      <c r="AU10045">
        <v>0</v>
      </c>
      <c r="AW10045" t="s">
        <v>329</v>
      </c>
    </row>
    <row r="10046" spans="1:49">
      <c r="A10046" s="1">
        <f>HYPERLINK("https://lsnyc.legalserver.org/matter/dynamic-profile/view/1893040","19-1893040")</f>
        <v>0</v>
      </c>
      <c r="B10046" t="s">
        <v>60</v>
      </c>
      <c r="C10046" t="s">
        <v>340</v>
      </c>
      <c r="D10046" t="s">
        <v>754</v>
      </c>
      <c r="F10046" t="s">
        <v>3402</v>
      </c>
      <c r="G10046" t="s">
        <v>5681</v>
      </c>
      <c r="H10046" t="s">
        <v>11912</v>
      </c>
      <c r="I10046" t="s">
        <v>17725</v>
      </c>
      <c r="J10046" t="s">
        <v>18892</v>
      </c>
      <c r="K10046">
        <v>10467</v>
      </c>
      <c r="L10046" t="s">
        <v>18958</v>
      </c>
      <c r="M10046" t="s">
        <v>18958</v>
      </c>
      <c r="R10046" t="s">
        <v>26578</v>
      </c>
      <c r="S10046" t="s">
        <v>18958</v>
      </c>
      <c r="U10046" t="s">
        <v>26604</v>
      </c>
      <c r="X10046">
        <v>1250</v>
      </c>
      <c r="Y10046" t="s">
        <v>26650</v>
      </c>
      <c r="Z10046" t="s">
        <v>26667</v>
      </c>
      <c r="AB10046" t="s">
        <v>33768</v>
      </c>
      <c r="AD10046" t="s">
        <v>44593</v>
      </c>
      <c r="AE10046">
        <v>122</v>
      </c>
      <c r="AH10046">
        <v>9</v>
      </c>
      <c r="AI10046">
        <v>1</v>
      </c>
      <c r="AJ10046">
        <v>0</v>
      </c>
      <c r="AK10046">
        <v>400.32</v>
      </c>
      <c r="AN10046" t="s">
        <v>7439</v>
      </c>
      <c r="AO10046">
        <v>50000</v>
      </c>
      <c r="AU10046">
        <v>0</v>
      </c>
      <c r="AW10046" t="s">
        <v>329</v>
      </c>
    </row>
    <row r="10047" spans="1:49">
      <c r="A10047" s="1">
        <f>HYPERLINK("https://lsnyc.legalserver.org/matter/dynamic-profile/view/1893050","19-1893050")</f>
        <v>0</v>
      </c>
      <c r="B10047" t="s">
        <v>60</v>
      </c>
      <c r="C10047" t="s">
        <v>340</v>
      </c>
      <c r="D10047" t="s">
        <v>754</v>
      </c>
      <c r="F10047" t="s">
        <v>4726</v>
      </c>
      <c r="G10047" t="s">
        <v>9055</v>
      </c>
      <c r="H10047" t="s">
        <v>11912</v>
      </c>
      <c r="I10047" t="s">
        <v>17288</v>
      </c>
      <c r="J10047" t="s">
        <v>18892</v>
      </c>
      <c r="K10047">
        <v>10467</v>
      </c>
      <c r="L10047" t="s">
        <v>18958</v>
      </c>
      <c r="M10047" t="s">
        <v>18958</v>
      </c>
      <c r="R10047" t="s">
        <v>26578</v>
      </c>
      <c r="S10047" t="s">
        <v>18958</v>
      </c>
      <c r="U10047" t="s">
        <v>26604</v>
      </c>
      <c r="X10047">
        <v>2150</v>
      </c>
      <c r="Y10047" t="s">
        <v>26650</v>
      </c>
      <c r="AB10047" t="s">
        <v>28857</v>
      </c>
      <c r="AD10047" t="s">
        <v>44594</v>
      </c>
      <c r="AE10047">
        <v>122</v>
      </c>
      <c r="AG10047" t="s">
        <v>19330</v>
      </c>
      <c r="AH10047">
        <v>-1</v>
      </c>
      <c r="AI10047">
        <v>1</v>
      </c>
      <c r="AJ10047">
        <v>0</v>
      </c>
      <c r="AK10047">
        <v>416.33</v>
      </c>
      <c r="AN10047" t="s">
        <v>7439</v>
      </c>
      <c r="AO10047">
        <v>52000</v>
      </c>
      <c r="AU10047">
        <v>0</v>
      </c>
      <c r="AW10047" t="s">
        <v>329</v>
      </c>
    </row>
    <row r="10048" spans="1:49">
      <c r="A10048" s="1">
        <f>HYPERLINK("https://lsnyc.legalserver.org/matter/dynamic-profile/view/1892999","19-1892999")</f>
        <v>0</v>
      </c>
      <c r="B10048" t="s">
        <v>60</v>
      </c>
      <c r="C10048" t="s">
        <v>340</v>
      </c>
      <c r="D10048" t="s">
        <v>754</v>
      </c>
      <c r="F10048" t="s">
        <v>1562</v>
      </c>
      <c r="G10048" t="s">
        <v>5419</v>
      </c>
      <c r="H10048" t="s">
        <v>10082</v>
      </c>
      <c r="I10048" t="s">
        <v>17425</v>
      </c>
      <c r="J10048" t="s">
        <v>18892</v>
      </c>
      <c r="K10048">
        <v>10467</v>
      </c>
      <c r="L10048" t="s">
        <v>18958</v>
      </c>
      <c r="M10048" t="s">
        <v>18958</v>
      </c>
      <c r="R10048" t="s">
        <v>26578</v>
      </c>
      <c r="S10048" t="s">
        <v>18958</v>
      </c>
      <c r="U10048" t="s">
        <v>26604</v>
      </c>
      <c r="X10048">
        <v>2000</v>
      </c>
      <c r="Y10048" t="s">
        <v>26650</v>
      </c>
      <c r="Z10048" t="s">
        <v>26667</v>
      </c>
      <c r="AB10048" t="s">
        <v>32004</v>
      </c>
      <c r="AD10048" t="s">
        <v>44595</v>
      </c>
      <c r="AE10048">
        <v>122</v>
      </c>
      <c r="AF10048" t="s">
        <v>20460</v>
      </c>
      <c r="AG10048" t="s">
        <v>19330</v>
      </c>
      <c r="AH10048">
        <v>3</v>
      </c>
      <c r="AI10048">
        <v>2</v>
      </c>
      <c r="AJ10048">
        <v>0</v>
      </c>
      <c r="AK10048">
        <v>443.52</v>
      </c>
      <c r="AN10048" t="s">
        <v>45598</v>
      </c>
      <c r="AO10048">
        <v>75000</v>
      </c>
      <c r="AU10048">
        <v>0</v>
      </c>
      <c r="AW10048" t="s">
        <v>329</v>
      </c>
    </row>
    <row r="10049" spans="1:50">
      <c r="A10049" s="1">
        <f>HYPERLINK("https://lsnyc.legalserver.org/matter/dynamic-profile/view/1893472","19-1893472")</f>
        <v>0</v>
      </c>
      <c r="B10049" t="s">
        <v>153</v>
      </c>
      <c r="C10049" t="s">
        <v>340</v>
      </c>
      <c r="D10049" t="s">
        <v>754</v>
      </c>
      <c r="F10049" t="s">
        <v>2574</v>
      </c>
      <c r="G10049" t="s">
        <v>6812</v>
      </c>
      <c r="H10049" t="s">
        <v>12135</v>
      </c>
      <c r="I10049" t="s">
        <v>17410</v>
      </c>
      <c r="J10049" t="s">
        <v>18902</v>
      </c>
      <c r="K10049">
        <v>10310</v>
      </c>
      <c r="L10049" t="s">
        <v>18958</v>
      </c>
      <c r="M10049" t="s">
        <v>18958</v>
      </c>
      <c r="R10049" t="s">
        <v>26587</v>
      </c>
      <c r="U10049" t="s">
        <v>26605</v>
      </c>
      <c r="X10049">
        <v>0</v>
      </c>
      <c r="Y10049" t="s">
        <v>26654</v>
      </c>
      <c r="AB10049" t="s">
        <v>29492</v>
      </c>
      <c r="AD10049" t="s">
        <v>39556</v>
      </c>
      <c r="AE10049">
        <v>0</v>
      </c>
      <c r="AH10049">
        <v>0</v>
      </c>
      <c r="AI10049">
        <v>1</v>
      </c>
      <c r="AJ10049">
        <v>1</v>
      </c>
      <c r="AK10049">
        <v>153.76</v>
      </c>
      <c r="AN10049" t="s">
        <v>7439</v>
      </c>
      <c r="AO10049">
        <v>26000</v>
      </c>
      <c r="AU10049">
        <v>3.5</v>
      </c>
      <c r="AV10049" t="s">
        <v>769</v>
      </c>
      <c r="AW10049" t="s">
        <v>46855</v>
      </c>
    </row>
    <row r="10050" spans="1:50">
      <c r="A10050" s="1">
        <f>HYPERLINK("https://lsnyc.legalserver.org/matter/dynamic-profile/view/1893037","19-1893037")</f>
        <v>0</v>
      </c>
      <c r="B10050" t="s">
        <v>74</v>
      </c>
      <c r="C10050" t="s">
        <v>340</v>
      </c>
      <c r="D10050" t="s">
        <v>754</v>
      </c>
      <c r="F10050" t="s">
        <v>2020</v>
      </c>
      <c r="G10050" t="s">
        <v>8275</v>
      </c>
      <c r="H10050" t="s">
        <v>16465</v>
      </c>
      <c r="I10050" t="s">
        <v>17677</v>
      </c>
      <c r="J10050" t="s">
        <v>18893</v>
      </c>
      <c r="K10050">
        <v>10030</v>
      </c>
      <c r="L10050" t="s">
        <v>18960</v>
      </c>
      <c r="M10050" t="s">
        <v>18960</v>
      </c>
      <c r="R10050" t="s">
        <v>26583</v>
      </c>
      <c r="U10050" t="s">
        <v>26605</v>
      </c>
      <c r="X10050">
        <v>253</v>
      </c>
      <c r="Y10050" t="s">
        <v>26651</v>
      </c>
      <c r="AB10050" t="s">
        <v>29776</v>
      </c>
      <c r="AD10050" t="s">
        <v>44596</v>
      </c>
      <c r="AE10050">
        <v>15</v>
      </c>
      <c r="AH10050">
        <v>27</v>
      </c>
      <c r="AI10050">
        <v>1</v>
      </c>
      <c r="AJ10050">
        <v>0</v>
      </c>
      <c r="AK10050">
        <v>278.62</v>
      </c>
      <c r="AN10050" t="s">
        <v>7439</v>
      </c>
      <c r="AO10050">
        <v>34800</v>
      </c>
      <c r="AU10050">
        <v>0.8</v>
      </c>
      <c r="AV10050" t="s">
        <v>793</v>
      </c>
      <c r="AW10050" t="s">
        <v>46850</v>
      </c>
    </row>
    <row r="10051" spans="1:50">
      <c r="A10051" s="1">
        <f>HYPERLINK("https://lsnyc.legalserver.org/matter/dynamic-profile/view/1893009","19-1893009")</f>
        <v>0</v>
      </c>
      <c r="B10051" t="s">
        <v>68</v>
      </c>
      <c r="C10051" t="s">
        <v>340</v>
      </c>
      <c r="D10051" t="s">
        <v>754</v>
      </c>
      <c r="F10051" t="s">
        <v>999</v>
      </c>
      <c r="G10051" t="s">
        <v>6469</v>
      </c>
      <c r="H10051" t="s">
        <v>11666</v>
      </c>
      <c r="I10051" t="s">
        <v>17274</v>
      </c>
      <c r="J10051" t="s">
        <v>18892</v>
      </c>
      <c r="K10051">
        <v>10468</v>
      </c>
      <c r="L10051" t="s">
        <v>18958</v>
      </c>
      <c r="M10051" t="s">
        <v>18960</v>
      </c>
      <c r="N10051" t="s">
        <v>25835</v>
      </c>
      <c r="O10051" t="s">
        <v>26524</v>
      </c>
      <c r="P10051" t="s">
        <v>26560</v>
      </c>
      <c r="R10051" t="s">
        <v>26579</v>
      </c>
      <c r="S10051" t="s">
        <v>18959</v>
      </c>
      <c r="U10051" t="s">
        <v>26604</v>
      </c>
      <c r="V10051" t="s">
        <v>26610</v>
      </c>
      <c r="X10051">
        <v>2300</v>
      </c>
      <c r="Y10051" t="s">
        <v>26650</v>
      </c>
      <c r="Z10051" t="s">
        <v>26659</v>
      </c>
      <c r="AB10051" t="s">
        <v>28880</v>
      </c>
      <c r="AD10051" t="s">
        <v>38938</v>
      </c>
      <c r="AE10051">
        <v>65</v>
      </c>
      <c r="AF10051" t="s">
        <v>45541</v>
      </c>
      <c r="AG10051" t="s">
        <v>19330</v>
      </c>
      <c r="AH10051">
        <v>7</v>
      </c>
      <c r="AI10051">
        <v>5</v>
      </c>
      <c r="AJ10051">
        <v>1</v>
      </c>
      <c r="AK10051">
        <v>135.88</v>
      </c>
      <c r="AN10051" t="s">
        <v>45581</v>
      </c>
      <c r="AO10051">
        <v>47000</v>
      </c>
      <c r="AP10051" t="s">
        <v>46215</v>
      </c>
      <c r="AU10051">
        <v>9.4</v>
      </c>
      <c r="AV10051" t="s">
        <v>804</v>
      </c>
      <c r="AW10051" t="s">
        <v>46836</v>
      </c>
      <c r="AX10051" t="s">
        <v>46897</v>
      </c>
    </row>
    <row r="10052" spans="1:50">
      <c r="A10052" s="1">
        <f>HYPERLINK("https://lsnyc.legalserver.org/matter/dynamic-profile/view/1893053","19-1893053")</f>
        <v>0</v>
      </c>
      <c r="B10052" t="s">
        <v>182</v>
      </c>
      <c r="C10052" t="s">
        <v>340</v>
      </c>
      <c r="D10052" t="s">
        <v>754</v>
      </c>
      <c r="F10052" t="s">
        <v>1010</v>
      </c>
      <c r="G10052" t="s">
        <v>3662</v>
      </c>
      <c r="H10052" t="s">
        <v>16466</v>
      </c>
      <c r="I10052" t="s">
        <v>17380</v>
      </c>
      <c r="J10052" t="s">
        <v>18892</v>
      </c>
      <c r="K10052">
        <v>10473</v>
      </c>
      <c r="L10052" t="s">
        <v>18958</v>
      </c>
      <c r="M10052" t="s">
        <v>18958</v>
      </c>
      <c r="N10052" t="s">
        <v>25836</v>
      </c>
      <c r="O10052" t="s">
        <v>26524</v>
      </c>
      <c r="P10052" t="s">
        <v>26564</v>
      </c>
      <c r="R10052" t="s">
        <v>26577</v>
      </c>
      <c r="U10052" t="s">
        <v>26605</v>
      </c>
      <c r="V10052" t="s">
        <v>26610</v>
      </c>
      <c r="X10052">
        <v>219</v>
      </c>
      <c r="Y10052" t="s">
        <v>26650</v>
      </c>
      <c r="Z10052" t="s">
        <v>26668</v>
      </c>
      <c r="AB10052" t="s">
        <v>33769</v>
      </c>
      <c r="AC10052" t="s">
        <v>36695</v>
      </c>
      <c r="AD10052" t="s">
        <v>44597</v>
      </c>
      <c r="AE10052">
        <v>0</v>
      </c>
      <c r="AF10052" t="s">
        <v>45549</v>
      </c>
      <c r="AH10052">
        <v>5</v>
      </c>
      <c r="AI10052">
        <v>1</v>
      </c>
      <c r="AJ10052">
        <v>0</v>
      </c>
      <c r="AK10052">
        <v>17.49</v>
      </c>
      <c r="AN10052" t="s">
        <v>7439</v>
      </c>
      <c r="AO10052">
        <v>2184</v>
      </c>
      <c r="AP10052" t="s">
        <v>46249</v>
      </c>
      <c r="AU10052">
        <v>3.1</v>
      </c>
      <c r="AV10052" t="s">
        <v>760</v>
      </c>
      <c r="AW10052" t="s">
        <v>334</v>
      </c>
      <c r="AX10052" t="s">
        <v>46898</v>
      </c>
    </row>
    <row r="10053" spans="1:50">
      <c r="A10053" s="1">
        <f>HYPERLINK("https://lsnyc.legalserver.org/matter/dynamic-profile/view/1893026","19-1893026")</f>
        <v>0</v>
      </c>
      <c r="B10053" t="s">
        <v>65</v>
      </c>
      <c r="C10053" t="s">
        <v>340</v>
      </c>
      <c r="D10053" t="s">
        <v>754</v>
      </c>
      <c r="F10053" t="s">
        <v>1197</v>
      </c>
      <c r="G10053" t="s">
        <v>9007</v>
      </c>
      <c r="H10053" t="s">
        <v>16467</v>
      </c>
      <c r="I10053" t="s">
        <v>17306</v>
      </c>
      <c r="J10053" t="s">
        <v>18892</v>
      </c>
      <c r="K10053">
        <v>10459</v>
      </c>
      <c r="L10053" t="s">
        <v>18958</v>
      </c>
      <c r="M10053" t="s">
        <v>18958</v>
      </c>
      <c r="N10053" t="s">
        <v>25837</v>
      </c>
      <c r="O10053" t="s">
        <v>26524</v>
      </c>
      <c r="P10053" t="s">
        <v>26563</v>
      </c>
      <c r="R10053" t="s">
        <v>26577</v>
      </c>
      <c r="U10053" t="s">
        <v>26604</v>
      </c>
      <c r="V10053" t="s">
        <v>26609</v>
      </c>
      <c r="X10053">
        <v>585</v>
      </c>
      <c r="Y10053" t="s">
        <v>26650</v>
      </c>
      <c r="Z10053" t="s">
        <v>26668</v>
      </c>
      <c r="AB10053" t="s">
        <v>32407</v>
      </c>
      <c r="AD10053" t="s">
        <v>44598</v>
      </c>
      <c r="AE10053">
        <v>0</v>
      </c>
      <c r="AF10053" t="s">
        <v>45549</v>
      </c>
      <c r="AG10053" t="s">
        <v>19330</v>
      </c>
      <c r="AH10053">
        <v>0</v>
      </c>
      <c r="AI10053">
        <v>1</v>
      </c>
      <c r="AJ10053">
        <v>0</v>
      </c>
      <c r="AK10053">
        <v>13.64</v>
      </c>
      <c r="AO10053">
        <v>1704</v>
      </c>
      <c r="AP10053" t="s">
        <v>46187</v>
      </c>
      <c r="AU10053">
        <v>2.8</v>
      </c>
      <c r="AV10053" t="s">
        <v>831</v>
      </c>
      <c r="AW10053" t="s">
        <v>334</v>
      </c>
    </row>
    <row r="10054" spans="1:50">
      <c r="A10054" s="1">
        <f>HYPERLINK("https://lsnyc.legalserver.org/matter/dynamic-profile/view/1893118","19-1893118")</f>
        <v>0</v>
      </c>
      <c r="B10054" t="s">
        <v>175</v>
      </c>
      <c r="C10054" t="s">
        <v>340</v>
      </c>
      <c r="D10054" t="s">
        <v>754</v>
      </c>
      <c r="F10054" t="s">
        <v>2795</v>
      </c>
      <c r="G10054" t="s">
        <v>9251</v>
      </c>
      <c r="H10054" t="s">
        <v>16468</v>
      </c>
      <c r="J10054" t="s">
        <v>18894</v>
      </c>
      <c r="K10054">
        <v>11229</v>
      </c>
      <c r="L10054" t="s">
        <v>18960</v>
      </c>
      <c r="M10054" t="s">
        <v>18960</v>
      </c>
      <c r="O10054" t="s">
        <v>18997</v>
      </c>
      <c r="P10054" t="s">
        <v>26564</v>
      </c>
      <c r="R10054" t="s">
        <v>26596</v>
      </c>
      <c r="U10054" t="s">
        <v>26604</v>
      </c>
      <c r="X10054">
        <v>0</v>
      </c>
      <c r="Y10054" t="s">
        <v>26652</v>
      </c>
      <c r="AB10054" t="s">
        <v>31331</v>
      </c>
      <c r="AD10054" t="s">
        <v>44599</v>
      </c>
      <c r="AE10054">
        <v>0</v>
      </c>
      <c r="AF10054" t="s">
        <v>45541</v>
      </c>
      <c r="AG10054" t="s">
        <v>45558</v>
      </c>
      <c r="AH10054">
        <v>1</v>
      </c>
      <c r="AI10054">
        <v>2</v>
      </c>
      <c r="AJ10054">
        <v>1</v>
      </c>
      <c r="AK10054">
        <v>22.5</v>
      </c>
      <c r="AN10054" t="s">
        <v>45586</v>
      </c>
      <c r="AO10054">
        <v>4800</v>
      </c>
      <c r="AU10054">
        <v>2.75</v>
      </c>
      <c r="AV10054" t="s">
        <v>695</v>
      </c>
      <c r="AW10054" t="s">
        <v>175</v>
      </c>
    </row>
    <row r="10055" spans="1:50">
      <c r="A10055" s="1">
        <f>HYPERLINK("https://lsnyc.legalserver.org/matter/dynamic-profile/view/1893149","19-1893149")</f>
        <v>0</v>
      </c>
      <c r="B10055" t="s">
        <v>280</v>
      </c>
      <c r="C10055" t="s">
        <v>341</v>
      </c>
      <c r="D10055" t="s">
        <v>759</v>
      </c>
      <c r="E10055" t="s">
        <v>815</v>
      </c>
      <c r="F10055" t="s">
        <v>1801</v>
      </c>
      <c r="G10055" t="s">
        <v>9252</v>
      </c>
      <c r="H10055" t="s">
        <v>9988</v>
      </c>
      <c r="I10055" t="s">
        <v>18746</v>
      </c>
      <c r="J10055" t="s">
        <v>18906</v>
      </c>
      <c r="K10055">
        <v>11373</v>
      </c>
      <c r="L10055" t="s">
        <v>18960</v>
      </c>
      <c r="M10055" t="s">
        <v>18960</v>
      </c>
      <c r="P10055" t="s">
        <v>26564</v>
      </c>
      <c r="Q10055" t="s">
        <v>26570</v>
      </c>
      <c r="R10055" t="s">
        <v>26591</v>
      </c>
      <c r="U10055" t="s">
        <v>26604</v>
      </c>
      <c r="X10055">
        <v>1095</v>
      </c>
      <c r="Y10055" t="s">
        <v>26653</v>
      </c>
      <c r="AA10055" t="s">
        <v>26683</v>
      </c>
      <c r="AB10055" t="s">
        <v>33770</v>
      </c>
      <c r="AD10055" t="s">
        <v>44600</v>
      </c>
      <c r="AE10055">
        <v>125</v>
      </c>
      <c r="AH10055">
        <v>13</v>
      </c>
      <c r="AI10055">
        <v>1</v>
      </c>
      <c r="AJ10055">
        <v>0</v>
      </c>
      <c r="AK10055">
        <v>91.27</v>
      </c>
      <c r="AN10055" t="s">
        <v>7439</v>
      </c>
      <c r="AO10055">
        <v>11400</v>
      </c>
      <c r="AU10055">
        <v>1</v>
      </c>
      <c r="AV10055" t="s">
        <v>759</v>
      </c>
      <c r="AW10055" t="s">
        <v>46850</v>
      </c>
    </row>
    <row r="10056" spans="1:50">
      <c r="A10056" s="1">
        <f>HYPERLINK("https://lsnyc.legalserver.org/matter/dynamic-profile/view/1893189","19-1893189")</f>
        <v>0</v>
      </c>
      <c r="B10056" t="s">
        <v>211</v>
      </c>
      <c r="C10056" t="s">
        <v>341</v>
      </c>
      <c r="D10056" t="s">
        <v>759</v>
      </c>
      <c r="E10056" t="s">
        <v>792</v>
      </c>
      <c r="F10056" t="s">
        <v>1191</v>
      </c>
      <c r="G10056" t="s">
        <v>2620</v>
      </c>
      <c r="H10056" t="s">
        <v>16469</v>
      </c>
      <c r="I10056">
        <v>2</v>
      </c>
      <c r="J10056" t="s">
        <v>18894</v>
      </c>
      <c r="K10056">
        <v>11208</v>
      </c>
      <c r="L10056" t="s">
        <v>18959</v>
      </c>
      <c r="M10056" t="s">
        <v>18958</v>
      </c>
      <c r="N10056" t="s">
        <v>25838</v>
      </c>
      <c r="O10056" t="s">
        <v>26524</v>
      </c>
      <c r="P10056" t="s">
        <v>26564</v>
      </c>
      <c r="Q10056" t="s">
        <v>26570</v>
      </c>
      <c r="R10056" t="s">
        <v>26578</v>
      </c>
      <c r="S10056" t="s">
        <v>18959</v>
      </c>
      <c r="U10056" t="s">
        <v>26604</v>
      </c>
      <c r="V10056" t="s">
        <v>26610</v>
      </c>
      <c r="X10056">
        <v>0</v>
      </c>
      <c r="Y10056" t="s">
        <v>26652</v>
      </c>
      <c r="Z10056" t="s">
        <v>26669</v>
      </c>
      <c r="AA10056" t="s">
        <v>26683</v>
      </c>
      <c r="AB10056" t="s">
        <v>28198</v>
      </c>
      <c r="AD10056" t="s">
        <v>44601</v>
      </c>
      <c r="AE10056">
        <v>2</v>
      </c>
      <c r="AF10056" t="s">
        <v>45547</v>
      </c>
      <c r="AG10056" t="s">
        <v>19330</v>
      </c>
      <c r="AH10056">
        <v>22</v>
      </c>
      <c r="AI10056">
        <v>4</v>
      </c>
      <c r="AJ10056">
        <v>0</v>
      </c>
      <c r="AK10056">
        <v>93.2</v>
      </c>
      <c r="AO10056">
        <v>24000</v>
      </c>
      <c r="AP10056" t="s">
        <v>46250</v>
      </c>
      <c r="AU10056">
        <v>4.9</v>
      </c>
      <c r="AV10056" t="s">
        <v>792</v>
      </c>
      <c r="AW10056" t="s">
        <v>279</v>
      </c>
      <c r="AX10056" t="s">
        <v>46897</v>
      </c>
    </row>
    <row r="10057" spans="1:50">
      <c r="A10057" s="1">
        <f>HYPERLINK("https://lsnyc.legalserver.org/matter/dynamic-profile/view/1888831","19-1888831")</f>
        <v>0</v>
      </c>
      <c r="B10057" t="s">
        <v>75</v>
      </c>
      <c r="C10057" t="s">
        <v>341</v>
      </c>
      <c r="D10057" t="s">
        <v>759</v>
      </c>
      <c r="E10057" t="s">
        <v>838</v>
      </c>
      <c r="F10057" t="s">
        <v>3510</v>
      </c>
      <c r="G10057" t="s">
        <v>1882</v>
      </c>
      <c r="H10057" t="s">
        <v>16470</v>
      </c>
      <c r="I10057" t="s">
        <v>18353</v>
      </c>
      <c r="J10057" t="s">
        <v>18892</v>
      </c>
      <c r="K10057">
        <v>10454</v>
      </c>
      <c r="L10057" t="s">
        <v>18960</v>
      </c>
      <c r="M10057" t="s">
        <v>18960</v>
      </c>
      <c r="N10057" t="s">
        <v>25839</v>
      </c>
      <c r="O10057" t="s">
        <v>26524</v>
      </c>
      <c r="P10057" t="s">
        <v>26564</v>
      </c>
      <c r="Q10057" t="s">
        <v>26570</v>
      </c>
      <c r="R10057" t="s">
        <v>26578</v>
      </c>
      <c r="S10057" t="s">
        <v>18959</v>
      </c>
      <c r="U10057" t="s">
        <v>26604</v>
      </c>
      <c r="V10057" t="s">
        <v>26610</v>
      </c>
      <c r="X10057">
        <v>2000</v>
      </c>
      <c r="Y10057" t="s">
        <v>26650</v>
      </c>
      <c r="Z10057" t="s">
        <v>26655</v>
      </c>
      <c r="AA10057" t="s">
        <v>26683</v>
      </c>
      <c r="AB10057" t="s">
        <v>33771</v>
      </c>
      <c r="AD10057" t="s">
        <v>44602</v>
      </c>
      <c r="AE10057">
        <v>0</v>
      </c>
      <c r="AF10057" t="s">
        <v>45541</v>
      </c>
      <c r="AG10057" t="s">
        <v>26530</v>
      </c>
      <c r="AH10057">
        <v>1</v>
      </c>
      <c r="AI10057">
        <v>1</v>
      </c>
      <c r="AJ10057">
        <v>1</v>
      </c>
      <c r="AK10057">
        <v>15.26</v>
      </c>
      <c r="AN10057" t="s">
        <v>7439</v>
      </c>
      <c r="AO10057">
        <v>2580</v>
      </c>
      <c r="AP10057" t="s">
        <v>46137</v>
      </c>
      <c r="AU10057">
        <v>6</v>
      </c>
      <c r="AV10057" t="s">
        <v>698</v>
      </c>
      <c r="AW10057" t="s">
        <v>75</v>
      </c>
    </row>
    <row r="10058" spans="1:50">
      <c r="A10058" s="1">
        <f>HYPERLINK("https://lsnyc.legalserver.org/matter/dynamic-profile/view/1893198","19-1893198")</f>
        <v>0</v>
      </c>
      <c r="B10058" t="s">
        <v>175</v>
      </c>
      <c r="C10058" t="s">
        <v>341</v>
      </c>
      <c r="D10058" t="s">
        <v>759</v>
      </c>
      <c r="E10058" t="s">
        <v>814</v>
      </c>
      <c r="F10058" t="s">
        <v>4727</v>
      </c>
      <c r="G10058" t="s">
        <v>9253</v>
      </c>
      <c r="H10058" t="s">
        <v>16471</v>
      </c>
      <c r="I10058" t="s">
        <v>17742</v>
      </c>
      <c r="J10058" t="s">
        <v>18894</v>
      </c>
      <c r="K10058">
        <v>11214</v>
      </c>
      <c r="L10058" t="s">
        <v>18960</v>
      </c>
      <c r="M10058" t="s">
        <v>18960</v>
      </c>
      <c r="O10058" t="s">
        <v>26523</v>
      </c>
      <c r="P10058" t="s">
        <v>26564</v>
      </c>
      <c r="Q10058" t="s">
        <v>26571</v>
      </c>
      <c r="R10058" t="s">
        <v>26596</v>
      </c>
      <c r="U10058" t="s">
        <v>26604</v>
      </c>
      <c r="X10058">
        <v>0</v>
      </c>
      <c r="Y10058" t="s">
        <v>26652</v>
      </c>
      <c r="AA10058" t="s">
        <v>26683</v>
      </c>
      <c r="AB10058" t="s">
        <v>33772</v>
      </c>
      <c r="AE10058">
        <v>66</v>
      </c>
      <c r="AF10058" t="s">
        <v>45547</v>
      </c>
      <c r="AG10058" t="s">
        <v>19330</v>
      </c>
      <c r="AH10058">
        <v>7</v>
      </c>
      <c r="AI10058">
        <v>1</v>
      </c>
      <c r="AJ10058">
        <v>1</v>
      </c>
      <c r="AK10058">
        <v>106.45</v>
      </c>
      <c r="AN10058" t="s">
        <v>45586</v>
      </c>
      <c r="AO10058">
        <v>18000</v>
      </c>
      <c r="AU10058">
        <v>4.5</v>
      </c>
      <c r="AV10058" t="s">
        <v>814</v>
      </c>
      <c r="AW10058" t="s">
        <v>175</v>
      </c>
    </row>
    <row r="10059" spans="1:50">
      <c r="A10059" s="1">
        <f>HYPERLINK("https://lsnyc.legalserver.org/matter/dynamic-profile/view/1893215","19-1893215")</f>
        <v>0</v>
      </c>
      <c r="B10059" t="s">
        <v>60</v>
      </c>
      <c r="C10059" t="s">
        <v>340</v>
      </c>
      <c r="D10059" t="s">
        <v>759</v>
      </c>
      <c r="F10059" t="s">
        <v>4728</v>
      </c>
      <c r="G10059" t="s">
        <v>9254</v>
      </c>
      <c r="H10059" t="s">
        <v>11912</v>
      </c>
      <c r="I10059" t="s">
        <v>18747</v>
      </c>
      <c r="J10059" t="s">
        <v>18892</v>
      </c>
      <c r="K10059">
        <v>10467</v>
      </c>
      <c r="L10059" t="s">
        <v>18958</v>
      </c>
      <c r="M10059" t="s">
        <v>18958</v>
      </c>
      <c r="O10059" t="s">
        <v>26529</v>
      </c>
      <c r="P10059" t="s">
        <v>26564</v>
      </c>
      <c r="R10059" t="s">
        <v>26578</v>
      </c>
      <c r="S10059" t="s">
        <v>18958</v>
      </c>
      <c r="U10059" t="s">
        <v>26604</v>
      </c>
      <c r="X10059">
        <v>1250</v>
      </c>
      <c r="Y10059" t="s">
        <v>26650</v>
      </c>
      <c r="Z10059" t="s">
        <v>26665</v>
      </c>
      <c r="AB10059" t="s">
        <v>33773</v>
      </c>
      <c r="AE10059">
        <v>123</v>
      </c>
      <c r="AF10059" t="s">
        <v>20460</v>
      </c>
      <c r="AG10059" t="s">
        <v>19330</v>
      </c>
      <c r="AH10059">
        <v>3</v>
      </c>
      <c r="AI10059">
        <v>1</v>
      </c>
      <c r="AJ10059">
        <v>0</v>
      </c>
      <c r="AK10059">
        <v>464.37</v>
      </c>
      <c r="AM10059" t="s">
        <v>45575</v>
      </c>
      <c r="AN10059" t="s">
        <v>7439</v>
      </c>
      <c r="AO10059">
        <v>58000</v>
      </c>
      <c r="AU10059">
        <v>0</v>
      </c>
      <c r="AW10059" t="s">
        <v>261</v>
      </c>
    </row>
    <row r="10060" spans="1:50">
      <c r="A10060" s="1">
        <f>HYPERLINK("https://lsnyc.legalserver.org/matter/dynamic-profile/view/1893207","19-1893207")</f>
        <v>0</v>
      </c>
      <c r="B10060" t="s">
        <v>257</v>
      </c>
      <c r="C10060" t="s">
        <v>340</v>
      </c>
      <c r="D10060" t="s">
        <v>759</v>
      </c>
      <c r="F10060" t="s">
        <v>4729</v>
      </c>
      <c r="G10060" t="s">
        <v>6311</v>
      </c>
      <c r="H10060" t="s">
        <v>16074</v>
      </c>
      <c r="I10060">
        <v>718</v>
      </c>
      <c r="J10060" t="s">
        <v>18894</v>
      </c>
      <c r="K10060">
        <v>11217</v>
      </c>
      <c r="L10060" t="s">
        <v>18960</v>
      </c>
      <c r="M10060" t="s">
        <v>18960</v>
      </c>
      <c r="P10060" t="s">
        <v>26560</v>
      </c>
      <c r="R10060" t="s">
        <v>26583</v>
      </c>
      <c r="U10060" t="s">
        <v>26604</v>
      </c>
      <c r="X10060">
        <v>0</v>
      </c>
      <c r="Y10060" t="s">
        <v>26652</v>
      </c>
      <c r="AB10060" t="s">
        <v>29274</v>
      </c>
      <c r="AD10060" t="s">
        <v>44603</v>
      </c>
      <c r="AE10060">
        <v>0</v>
      </c>
      <c r="AH10060">
        <v>0</v>
      </c>
      <c r="AI10060">
        <v>1</v>
      </c>
      <c r="AJ10060">
        <v>0</v>
      </c>
      <c r="AK10060">
        <v>326.37</v>
      </c>
      <c r="AN10060" t="s">
        <v>7439</v>
      </c>
      <c r="AO10060">
        <v>40764</v>
      </c>
      <c r="AU10060">
        <v>11.9</v>
      </c>
      <c r="AV10060" t="s">
        <v>831</v>
      </c>
      <c r="AW10060" t="s">
        <v>46849</v>
      </c>
    </row>
    <row r="10061" spans="1:50">
      <c r="A10061" s="1">
        <f>HYPERLINK("https://lsnyc.legalserver.org/matter/dynamic-profile/view/1893280","19-1893280")</f>
        <v>0</v>
      </c>
      <c r="B10061" t="s">
        <v>131</v>
      </c>
      <c r="C10061" t="s">
        <v>340</v>
      </c>
      <c r="D10061" t="s">
        <v>759</v>
      </c>
      <c r="F10061" t="s">
        <v>1918</v>
      </c>
      <c r="G10061" t="s">
        <v>1685</v>
      </c>
      <c r="H10061" t="s">
        <v>11046</v>
      </c>
      <c r="I10061" t="s">
        <v>17353</v>
      </c>
      <c r="J10061" t="s">
        <v>18902</v>
      </c>
      <c r="K10061">
        <v>10304</v>
      </c>
      <c r="L10061" t="s">
        <v>18960</v>
      </c>
      <c r="M10061" t="s">
        <v>18960</v>
      </c>
      <c r="R10061" t="s">
        <v>26587</v>
      </c>
      <c r="U10061" t="s">
        <v>26605</v>
      </c>
      <c r="X10061">
        <v>0</v>
      </c>
      <c r="Y10061" t="s">
        <v>26654</v>
      </c>
      <c r="AB10061" t="s">
        <v>28223</v>
      </c>
      <c r="AD10061" t="s">
        <v>38271</v>
      </c>
      <c r="AE10061">
        <v>0</v>
      </c>
      <c r="AH10061">
        <v>0</v>
      </c>
      <c r="AI10061">
        <v>2</v>
      </c>
      <c r="AJ10061">
        <v>2</v>
      </c>
      <c r="AK10061">
        <v>0</v>
      </c>
      <c r="AN10061" t="s">
        <v>7439</v>
      </c>
      <c r="AO10061">
        <v>0</v>
      </c>
      <c r="AU10061">
        <v>7.45</v>
      </c>
      <c r="AV10061" t="s">
        <v>821</v>
      </c>
      <c r="AW10061" t="s">
        <v>46852</v>
      </c>
    </row>
    <row r="10062" spans="1:50">
      <c r="A10062" s="1">
        <f>HYPERLINK("https://lsnyc.legalserver.org/matter/dynamic-profile/view/1893145","19-1893145")</f>
        <v>0</v>
      </c>
      <c r="B10062" t="s">
        <v>84</v>
      </c>
      <c r="C10062" t="s">
        <v>340</v>
      </c>
      <c r="D10062" t="s">
        <v>759</v>
      </c>
      <c r="F10062" t="s">
        <v>871</v>
      </c>
      <c r="G10062" t="s">
        <v>8310</v>
      </c>
      <c r="H10062" t="s">
        <v>16472</v>
      </c>
      <c r="I10062" t="s">
        <v>17361</v>
      </c>
      <c r="J10062" t="s">
        <v>18893</v>
      </c>
      <c r="K10062">
        <v>10032</v>
      </c>
      <c r="L10062" t="s">
        <v>18958</v>
      </c>
      <c r="M10062" t="s">
        <v>18958</v>
      </c>
      <c r="N10062" t="s">
        <v>25840</v>
      </c>
      <c r="O10062" t="s">
        <v>26523</v>
      </c>
      <c r="P10062" t="s">
        <v>26563</v>
      </c>
      <c r="R10062" t="s">
        <v>26582</v>
      </c>
      <c r="S10062" t="s">
        <v>18959</v>
      </c>
      <c r="U10062" t="s">
        <v>26604</v>
      </c>
      <c r="X10062">
        <v>909</v>
      </c>
      <c r="Y10062" t="s">
        <v>26651</v>
      </c>
      <c r="Z10062" t="s">
        <v>26664</v>
      </c>
      <c r="AB10062" t="s">
        <v>33774</v>
      </c>
      <c r="AD10062" t="s">
        <v>44604</v>
      </c>
      <c r="AE10062">
        <v>0</v>
      </c>
      <c r="AG10062" t="s">
        <v>45559</v>
      </c>
      <c r="AH10062">
        <v>40</v>
      </c>
      <c r="AI10062">
        <v>1</v>
      </c>
      <c r="AJ10062">
        <v>0</v>
      </c>
      <c r="AK10062">
        <v>92.23</v>
      </c>
      <c r="AN10062" t="s">
        <v>45581</v>
      </c>
      <c r="AO10062">
        <v>11520</v>
      </c>
      <c r="AU10062">
        <v>1</v>
      </c>
      <c r="AV10062" t="s">
        <v>759</v>
      </c>
      <c r="AW10062" t="s">
        <v>46875</v>
      </c>
    </row>
    <row r="10063" spans="1:50">
      <c r="A10063" s="1">
        <f>HYPERLINK("https://lsnyc.legalserver.org/matter/dynamic-profile/view/1893178","19-1893178")</f>
        <v>0</v>
      </c>
      <c r="B10063" t="s">
        <v>63</v>
      </c>
      <c r="C10063" t="s">
        <v>340</v>
      </c>
      <c r="D10063" t="s">
        <v>759</v>
      </c>
      <c r="F10063" t="s">
        <v>3011</v>
      </c>
      <c r="G10063" t="s">
        <v>5969</v>
      </c>
      <c r="H10063" t="s">
        <v>16473</v>
      </c>
      <c r="I10063" t="s">
        <v>17435</v>
      </c>
      <c r="J10063" t="s">
        <v>18892</v>
      </c>
      <c r="K10063">
        <v>10459</v>
      </c>
      <c r="L10063" t="s">
        <v>18960</v>
      </c>
      <c r="M10063" t="s">
        <v>18960</v>
      </c>
      <c r="N10063" t="s">
        <v>25841</v>
      </c>
      <c r="O10063" t="s">
        <v>26524</v>
      </c>
      <c r="R10063" t="s">
        <v>26591</v>
      </c>
      <c r="S10063" t="s">
        <v>18959</v>
      </c>
      <c r="U10063" t="s">
        <v>26604</v>
      </c>
      <c r="X10063">
        <v>1350</v>
      </c>
      <c r="Y10063" t="s">
        <v>26650</v>
      </c>
      <c r="AB10063" t="s">
        <v>33775</v>
      </c>
      <c r="AD10063" t="s">
        <v>44605</v>
      </c>
      <c r="AE10063">
        <v>6</v>
      </c>
      <c r="AF10063" t="s">
        <v>45547</v>
      </c>
      <c r="AG10063" t="s">
        <v>45557</v>
      </c>
      <c r="AH10063">
        <v>6</v>
      </c>
      <c r="AI10063">
        <v>3</v>
      </c>
      <c r="AJ10063">
        <v>3</v>
      </c>
      <c r="AK10063">
        <v>82.68000000000001</v>
      </c>
      <c r="AN10063" t="s">
        <v>7439</v>
      </c>
      <c r="AO10063">
        <v>28600</v>
      </c>
      <c r="AU10063">
        <v>0.5</v>
      </c>
      <c r="AV10063" t="s">
        <v>759</v>
      </c>
      <c r="AW10063" t="s">
        <v>46829</v>
      </c>
    </row>
    <row r="10064" spans="1:50">
      <c r="A10064" s="1">
        <f>HYPERLINK("https://lsnyc.legalserver.org/matter/dynamic-profile/view/1893293","19-1893293")</f>
        <v>0</v>
      </c>
      <c r="B10064" t="s">
        <v>169</v>
      </c>
      <c r="C10064" t="s">
        <v>341</v>
      </c>
      <c r="D10064" t="s">
        <v>657</v>
      </c>
      <c r="E10064" t="s">
        <v>803</v>
      </c>
      <c r="F10064" t="s">
        <v>1010</v>
      </c>
      <c r="G10064" t="s">
        <v>7801</v>
      </c>
      <c r="H10064" t="s">
        <v>13847</v>
      </c>
      <c r="I10064" t="s">
        <v>18287</v>
      </c>
      <c r="J10064" t="s">
        <v>18892</v>
      </c>
      <c r="K10064">
        <v>10452</v>
      </c>
      <c r="L10064" t="s">
        <v>18958</v>
      </c>
      <c r="M10064" t="s">
        <v>18958</v>
      </c>
      <c r="N10064" t="s">
        <v>23129</v>
      </c>
      <c r="O10064" t="s">
        <v>26539</v>
      </c>
      <c r="P10064" t="s">
        <v>26562</v>
      </c>
      <c r="Q10064" t="s">
        <v>26572</v>
      </c>
      <c r="R10064" t="s">
        <v>26583</v>
      </c>
      <c r="S10064" t="s">
        <v>18959</v>
      </c>
      <c r="U10064" t="s">
        <v>26607</v>
      </c>
      <c r="V10064" t="s">
        <v>26611</v>
      </c>
      <c r="X10064">
        <v>876</v>
      </c>
      <c r="Y10064" t="s">
        <v>26650</v>
      </c>
      <c r="Z10064" t="s">
        <v>26664</v>
      </c>
      <c r="AA10064" t="s">
        <v>26681</v>
      </c>
      <c r="AB10064" t="s">
        <v>31291</v>
      </c>
      <c r="AD10064" t="s">
        <v>41481</v>
      </c>
      <c r="AE10064">
        <v>120</v>
      </c>
      <c r="AF10064" t="s">
        <v>45541</v>
      </c>
      <c r="AH10064">
        <v>28</v>
      </c>
      <c r="AI10064">
        <v>1</v>
      </c>
      <c r="AJ10064">
        <v>0</v>
      </c>
      <c r="AK10064">
        <v>184.15</v>
      </c>
      <c r="AN10064" t="s">
        <v>7439</v>
      </c>
      <c r="AO10064">
        <v>23000</v>
      </c>
      <c r="AU10064">
        <v>0.3</v>
      </c>
      <c r="AV10064" t="s">
        <v>759</v>
      </c>
      <c r="AW10064" t="s">
        <v>329</v>
      </c>
    </row>
    <row r="10065" spans="1:50">
      <c r="A10065" s="1">
        <f>HYPERLINK("https://lsnyc.legalserver.org/matter/dynamic-profile/view/1893374","19-1893374")</f>
        <v>0</v>
      </c>
      <c r="B10065" t="s">
        <v>134</v>
      </c>
      <c r="C10065" t="s">
        <v>341</v>
      </c>
      <c r="D10065" t="s">
        <v>657</v>
      </c>
      <c r="E10065" t="s">
        <v>830</v>
      </c>
      <c r="F10065" t="s">
        <v>3650</v>
      </c>
      <c r="G10065" t="s">
        <v>1279</v>
      </c>
      <c r="H10065" t="s">
        <v>14106</v>
      </c>
      <c r="I10065" t="s">
        <v>17360</v>
      </c>
      <c r="J10065" t="s">
        <v>18894</v>
      </c>
      <c r="K10065">
        <v>11212</v>
      </c>
      <c r="L10065" t="s">
        <v>18958</v>
      </c>
      <c r="M10065" t="s">
        <v>18958</v>
      </c>
      <c r="N10065" t="s">
        <v>19037</v>
      </c>
      <c r="O10065" t="s">
        <v>26526</v>
      </c>
      <c r="P10065" t="s">
        <v>26564</v>
      </c>
      <c r="Q10065" t="s">
        <v>26570</v>
      </c>
      <c r="R10065" t="s">
        <v>26578</v>
      </c>
      <c r="S10065" t="s">
        <v>18958</v>
      </c>
      <c r="U10065" t="s">
        <v>26604</v>
      </c>
      <c r="V10065" t="s">
        <v>26610</v>
      </c>
      <c r="X10065">
        <v>1643.13</v>
      </c>
      <c r="Y10065" t="s">
        <v>26652</v>
      </c>
      <c r="Z10065" t="s">
        <v>26663</v>
      </c>
      <c r="AA10065" t="s">
        <v>26683</v>
      </c>
      <c r="AB10065" t="s">
        <v>31614</v>
      </c>
      <c r="AC10065" t="s">
        <v>19330</v>
      </c>
      <c r="AD10065" t="s">
        <v>41862</v>
      </c>
      <c r="AE10065">
        <v>38</v>
      </c>
      <c r="AF10065" t="s">
        <v>45541</v>
      </c>
      <c r="AG10065" t="s">
        <v>19330</v>
      </c>
      <c r="AH10065">
        <v>9</v>
      </c>
      <c r="AI10065">
        <v>4</v>
      </c>
      <c r="AJ10065">
        <v>0</v>
      </c>
      <c r="AK10065">
        <v>104.85</v>
      </c>
      <c r="AN10065" t="s">
        <v>7439</v>
      </c>
      <c r="AO10065">
        <v>27000</v>
      </c>
      <c r="AU10065">
        <v>0.1</v>
      </c>
      <c r="AV10065" t="s">
        <v>830</v>
      </c>
      <c r="AW10065" t="s">
        <v>279</v>
      </c>
      <c r="AX10065" t="s">
        <v>46897</v>
      </c>
    </row>
    <row r="10066" spans="1:50">
      <c r="A10066" s="1">
        <f>HYPERLINK("https://lsnyc.legalserver.org/matter/dynamic-profile/view/1893429","19-1893429")</f>
        <v>0</v>
      </c>
      <c r="B10066" t="s">
        <v>267</v>
      </c>
      <c r="C10066" t="s">
        <v>341</v>
      </c>
      <c r="D10066" t="s">
        <v>657</v>
      </c>
      <c r="E10066" t="s">
        <v>769</v>
      </c>
      <c r="F10066" t="s">
        <v>1351</v>
      </c>
      <c r="G10066" t="s">
        <v>5678</v>
      </c>
      <c r="H10066" t="s">
        <v>13626</v>
      </c>
      <c r="I10066">
        <v>14</v>
      </c>
      <c r="J10066" t="s">
        <v>18892</v>
      </c>
      <c r="K10066">
        <v>10457</v>
      </c>
      <c r="L10066" t="s">
        <v>18960</v>
      </c>
      <c r="M10066" t="s">
        <v>18960</v>
      </c>
      <c r="N10066" t="s">
        <v>22965</v>
      </c>
      <c r="O10066" t="s">
        <v>26523</v>
      </c>
      <c r="P10066" t="s">
        <v>26561</v>
      </c>
      <c r="Q10066" t="s">
        <v>26570</v>
      </c>
      <c r="R10066" t="s">
        <v>26591</v>
      </c>
      <c r="U10066" t="s">
        <v>26607</v>
      </c>
      <c r="X10066">
        <v>591</v>
      </c>
      <c r="Y10066" t="s">
        <v>26650</v>
      </c>
      <c r="AA10066" t="s">
        <v>26683</v>
      </c>
      <c r="AB10066" t="s">
        <v>30991</v>
      </c>
      <c r="AD10066" t="s">
        <v>41229</v>
      </c>
      <c r="AE10066">
        <v>0</v>
      </c>
      <c r="AF10066" t="s">
        <v>45541</v>
      </c>
      <c r="AH10066">
        <v>0</v>
      </c>
      <c r="AI10066">
        <v>2</v>
      </c>
      <c r="AJ10066">
        <v>0</v>
      </c>
      <c r="AK10066">
        <v>54.71</v>
      </c>
      <c r="AO10066">
        <v>9252</v>
      </c>
      <c r="AU10066">
        <v>1.25</v>
      </c>
      <c r="AV10066" t="s">
        <v>769</v>
      </c>
      <c r="AW10066" t="s">
        <v>267</v>
      </c>
    </row>
    <row r="10067" spans="1:50">
      <c r="A10067" s="1">
        <f>HYPERLINK("https://lsnyc.legalserver.org/matter/dynamic-profile/view/1893420","19-1893420")</f>
        <v>0</v>
      </c>
      <c r="B10067" t="s">
        <v>188</v>
      </c>
      <c r="C10067" t="s">
        <v>341</v>
      </c>
      <c r="D10067" t="s">
        <v>657</v>
      </c>
      <c r="E10067" t="s">
        <v>795</v>
      </c>
      <c r="F10067" t="s">
        <v>1442</v>
      </c>
      <c r="G10067" t="s">
        <v>2749</v>
      </c>
      <c r="H10067" t="s">
        <v>16474</v>
      </c>
      <c r="I10067" t="s">
        <v>18748</v>
      </c>
      <c r="J10067" t="s">
        <v>18892</v>
      </c>
      <c r="K10067">
        <v>10453</v>
      </c>
      <c r="L10067" t="s">
        <v>18958</v>
      </c>
      <c r="M10067" t="s">
        <v>18958</v>
      </c>
      <c r="N10067" t="s">
        <v>25800</v>
      </c>
      <c r="O10067" t="s">
        <v>26523</v>
      </c>
      <c r="P10067" t="s">
        <v>26564</v>
      </c>
      <c r="Q10067" t="s">
        <v>26570</v>
      </c>
      <c r="R10067" t="s">
        <v>26591</v>
      </c>
      <c r="S10067" t="s">
        <v>18959</v>
      </c>
      <c r="U10067" t="s">
        <v>26604</v>
      </c>
      <c r="V10067" t="s">
        <v>26610</v>
      </c>
      <c r="X10067">
        <v>836</v>
      </c>
      <c r="Y10067" t="s">
        <v>26650</v>
      </c>
      <c r="AA10067" t="s">
        <v>26683</v>
      </c>
      <c r="AB10067" t="s">
        <v>33776</v>
      </c>
      <c r="AD10067" t="s">
        <v>44606</v>
      </c>
      <c r="AE10067">
        <v>38</v>
      </c>
      <c r="AF10067" t="s">
        <v>20460</v>
      </c>
      <c r="AG10067" t="s">
        <v>19330</v>
      </c>
      <c r="AH10067">
        <v>11</v>
      </c>
      <c r="AI10067">
        <v>1</v>
      </c>
      <c r="AJ10067">
        <v>0</v>
      </c>
      <c r="AK10067">
        <v>105.68</v>
      </c>
      <c r="AN10067" t="s">
        <v>45581</v>
      </c>
      <c r="AO10067">
        <v>13200</v>
      </c>
      <c r="AU10067">
        <v>0.6</v>
      </c>
      <c r="AV10067" t="s">
        <v>657</v>
      </c>
      <c r="AW10067" t="s">
        <v>46850</v>
      </c>
    </row>
    <row r="10068" spans="1:50">
      <c r="A10068" s="1">
        <f>HYPERLINK("https://lsnyc.legalserver.org/matter/dynamic-profile/view/1893385","19-1893385")</f>
        <v>0</v>
      </c>
      <c r="B10068" t="s">
        <v>69</v>
      </c>
      <c r="C10068" t="s">
        <v>341</v>
      </c>
      <c r="D10068" t="s">
        <v>657</v>
      </c>
      <c r="E10068" t="s">
        <v>835</v>
      </c>
      <c r="F10068" t="s">
        <v>1175</v>
      </c>
      <c r="G10068" t="s">
        <v>5802</v>
      </c>
      <c r="H10068" t="s">
        <v>16475</v>
      </c>
      <c r="I10068" t="s">
        <v>17374</v>
      </c>
      <c r="J10068" t="s">
        <v>18892</v>
      </c>
      <c r="K10068">
        <v>10453</v>
      </c>
      <c r="L10068" t="s">
        <v>18960</v>
      </c>
      <c r="M10068" t="s">
        <v>18960</v>
      </c>
      <c r="N10068" t="s">
        <v>24432</v>
      </c>
      <c r="O10068" t="s">
        <v>26524</v>
      </c>
      <c r="P10068" t="s">
        <v>26564</v>
      </c>
      <c r="Q10068" t="s">
        <v>26570</v>
      </c>
      <c r="R10068" t="s">
        <v>26591</v>
      </c>
      <c r="U10068" t="s">
        <v>26604</v>
      </c>
      <c r="X10068">
        <v>0</v>
      </c>
      <c r="Y10068" t="s">
        <v>26650</v>
      </c>
      <c r="AA10068" t="s">
        <v>26683</v>
      </c>
      <c r="AB10068" t="s">
        <v>33777</v>
      </c>
      <c r="AD10068" t="s">
        <v>44607</v>
      </c>
      <c r="AE10068">
        <v>0</v>
      </c>
      <c r="AH10068">
        <v>0</v>
      </c>
      <c r="AI10068">
        <v>3</v>
      </c>
      <c r="AJ10068">
        <v>0</v>
      </c>
      <c r="AK10068">
        <v>87.76000000000001</v>
      </c>
      <c r="AN10068" t="s">
        <v>45581</v>
      </c>
      <c r="AO10068">
        <v>18720</v>
      </c>
      <c r="AU10068">
        <v>2.15</v>
      </c>
      <c r="AV10068" t="s">
        <v>775</v>
      </c>
      <c r="AW10068" t="s">
        <v>46849</v>
      </c>
    </row>
    <row r="10069" spans="1:50">
      <c r="A10069" s="1">
        <f>HYPERLINK("https://lsnyc.legalserver.org/matter/dynamic-profile/view/1893347","19-1893347")</f>
        <v>0</v>
      </c>
      <c r="B10069" t="s">
        <v>325</v>
      </c>
      <c r="C10069" t="s">
        <v>340</v>
      </c>
      <c r="D10069" t="s">
        <v>657</v>
      </c>
      <c r="F10069" t="s">
        <v>1323</v>
      </c>
      <c r="G10069" t="s">
        <v>8616</v>
      </c>
      <c r="H10069" t="s">
        <v>16476</v>
      </c>
      <c r="I10069" t="s">
        <v>17332</v>
      </c>
      <c r="J10069" t="s">
        <v>18894</v>
      </c>
      <c r="K10069">
        <v>11226</v>
      </c>
      <c r="L10069" t="s">
        <v>18960</v>
      </c>
      <c r="M10069" t="s">
        <v>18960</v>
      </c>
      <c r="R10069" t="s">
        <v>26591</v>
      </c>
      <c r="U10069" t="s">
        <v>26604</v>
      </c>
      <c r="X10069">
        <v>1900</v>
      </c>
      <c r="Y10069" t="s">
        <v>26652</v>
      </c>
      <c r="Z10069" t="s">
        <v>26663</v>
      </c>
      <c r="AB10069" t="s">
        <v>33778</v>
      </c>
      <c r="AD10069" t="s">
        <v>44608</v>
      </c>
      <c r="AE10069">
        <v>160</v>
      </c>
      <c r="AH10069">
        <v>4</v>
      </c>
      <c r="AI10069">
        <v>4</v>
      </c>
      <c r="AJ10069">
        <v>0</v>
      </c>
      <c r="AK10069">
        <v>73.79000000000001</v>
      </c>
      <c r="AN10069" t="s">
        <v>7439</v>
      </c>
      <c r="AO10069">
        <v>19000</v>
      </c>
      <c r="AU10069">
        <v>9.9</v>
      </c>
      <c r="AV10069" t="s">
        <v>832</v>
      </c>
      <c r="AW10069" t="s">
        <v>46850</v>
      </c>
    </row>
    <row r="10070" spans="1:50">
      <c r="A10070" s="1">
        <f>HYPERLINK("https://lsnyc.legalserver.org/matter/dynamic-profile/view/1893402","19-1893402")</f>
        <v>0</v>
      </c>
      <c r="B10070" t="s">
        <v>322</v>
      </c>
      <c r="C10070" t="s">
        <v>340</v>
      </c>
      <c r="D10070" t="s">
        <v>657</v>
      </c>
      <c r="F10070" t="s">
        <v>970</v>
      </c>
      <c r="G10070" t="s">
        <v>9255</v>
      </c>
      <c r="H10070" t="s">
        <v>11384</v>
      </c>
      <c r="I10070">
        <v>118</v>
      </c>
      <c r="J10070" t="s">
        <v>18893</v>
      </c>
      <c r="K10070">
        <v>10036</v>
      </c>
      <c r="L10070" t="s">
        <v>18960</v>
      </c>
      <c r="M10070" t="s">
        <v>18960</v>
      </c>
      <c r="N10070" t="s">
        <v>25842</v>
      </c>
      <c r="O10070" t="s">
        <v>26523</v>
      </c>
      <c r="P10070" t="s">
        <v>26563</v>
      </c>
      <c r="R10070" t="s">
        <v>26591</v>
      </c>
      <c r="U10070" t="s">
        <v>26604</v>
      </c>
      <c r="X10070">
        <v>230</v>
      </c>
      <c r="Y10070" t="s">
        <v>26651</v>
      </c>
      <c r="AB10070" t="s">
        <v>33779</v>
      </c>
      <c r="AD10070" t="s">
        <v>44609</v>
      </c>
      <c r="AE10070">
        <v>0</v>
      </c>
      <c r="AF10070" t="s">
        <v>20460</v>
      </c>
      <c r="AG10070" t="s">
        <v>45556</v>
      </c>
      <c r="AH10070">
        <v>11</v>
      </c>
      <c r="AI10070">
        <v>1</v>
      </c>
      <c r="AJ10070">
        <v>0</v>
      </c>
      <c r="AK10070">
        <v>78.59</v>
      </c>
      <c r="AN10070" t="s">
        <v>7439</v>
      </c>
      <c r="AO10070">
        <v>9816</v>
      </c>
      <c r="AU10070">
        <v>1</v>
      </c>
      <c r="AV10070" t="s">
        <v>657</v>
      </c>
      <c r="AW10070" t="s">
        <v>46859</v>
      </c>
    </row>
    <row r="10071" spans="1:50">
      <c r="A10071" s="1">
        <f>HYPERLINK("https://lsnyc.legalserver.org/matter/dynamic-profile/view/1893400","19-1893400")</f>
        <v>0</v>
      </c>
      <c r="B10071" t="s">
        <v>119</v>
      </c>
      <c r="C10071" t="s">
        <v>340</v>
      </c>
      <c r="D10071" t="s">
        <v>657</v>
      </c>
      <c r="F10071" t="s">
        <v>4730</v>
      </c>
      <c r="G10071" t="s">
        <v>9256</v>
      </c>
      <c r="H10071" t="s">
        <v>9838</v>
      </c>
      <c r="I10071" t="s">
        <v>17275</v>
      </c>
      <c r="J10071" t="s">
        <v>18893</v>
      </c>
      <c r="K10071">
        <v>10035</v>
      </c>
      <c r="L10071" t="s">
        <v>18960</v>
      </c>
      <c r="M10071" t="s">
        <v>18960</v>
      </c>
      <c r="N10071" t="s">
        <v>23620</v>
      </c>
      <c r="O10071" t="s">
        <v>26526</v>
      </c>
      <c r="P10071" t="s">
        <v>26560</v>
      </c>
      <c r="R10071" t="s">
        <v>26578</v>
      </c>
      <c r="S10071" t="s">
        <v>18958</v>
      </c>
      <c r="U10071" t="s">
        <v>26604</v>
      </c>
      <c r="V10071" t="s">
        <v>26610</v>
      </c>
      <c r="X10071">
        <v>1415</v>
      </c>
      <c r="Y10071" t="s">
        <v>26651</v>
      </c>
      <c r="Z10071" t="s">
        <v>26659</v>
      </c>
      <c r="AB10071" t="s">
        <v>28453</v>
      </c>
      <c r="AE10071">
        <v>35</v>
      </c>
      <c r="AF10071" t="s">
        <v>45541</v>
      </c>
      <c r="AH10071">
        <v>7</v>
      </c>
      <c r="AI10071">
        <v>3</v>
      </c>
      <c r="AJ10071">
        <v>0</v>
      </c>
      <c r="AK10071">
        <v>254.74</v>
      </c>
      <c r="AN10071" t="s">
        <v>45581</v>
      </c>
      <c r="AO10071">
        <v>54336</v>
      </c>
      <c r="AU10071">
        <v>2</v>
      </c>
      <c r="AV10071" t="s">
        <v>755</v>
      </c>
      <c r="AW10071" t="s">
        <v>46835</v>
      </c>
    </row>
    <row r="10072" spans="1:50">
      <c r="A10072" s="1">
        <f>HYPERLINK("https://lsnyc.legalserver.org/matter/dynamic-profile/view/1893392","19-1893392")</f>
        <v>0</v>
      </c>
      <c r="B10072" t="s">
        <v>200</v>
      </c>
      <c r="C10072" t="s">
        <v>340</v>
      </c>
      <c r="D10072" t="s">
        <v>657</v>
      </c>
      <c r="F10072" t="s">
        <v>1002</v>
      </c>
      <c r="G10072" t="s">
        <v>879</v>
      </c>
      <c r="H10072" t="s">
        <v>16477</v>
      </c>
      <c r="I10072" t="s">
        <v>17348</v>
      </c>
      <c r="J10072" t="s">
        <v>18894</v>
      </c>
      <c r="K10072">
        <v>11239</v>
      </c>
      <c r="L10072" t="s">
        <v>18960</v>
      </c>
      <c r="M10072" t="s">
        <v>18960</v>
      </c>
      <c r="O10072" t="s">
        <v>18997</v>
      </c>
      <c r="R10072" t="s">
        <v>26591</v>
      </c>
      <c r="U10072" t="s">
        <v>26604</v>
      </c>
      <c r="X10072">
        <v>700</v>
      </c>
      <c r="Y10072" t="s">
        <v>26652</v>
      </c>
      <c r="AB10072" t="s">
        <v>33780</v>
      </c>
      <c r="AE10072">
        <v>0</v>
      </c>
      <c r="AF10072" t="s">
        <v>20460</v>
      </c>
      <c r="AG10072" t="s">
        <v>45556</v>
      </c>
      <c r="AH10072">
        <v>27</v>
      </c>
      <c r="AI10072">
        <v>1</v>
      </c>
      <c r="AJ10072">
        <v>0</v>
      </c>
      <c r="AK10072">
        <v>115.29</v>
      </c>
      <c r="AN10072" t="s">
        <v>7439</v>
      </c>
      <c r="AO10072">
        <v>14400</v>
      </c>
      <c r="AU10072">
        <v>1</v>
      </c>
      <c r="AV10072" t="s">
        <v>657</v>
      </c>
      <c r="AW10072" t="s">
        <v>46859</v>
      </c>
    </row>
    <row r="10073" spans="1:50">
      <c r="A10073" s="1">
        <f>HYPERLINK("https://lsnyc.legalserver.org/matter/dynamic-profile/view/1893370","19-1893370")</f>
        <v>0</v>
      </c>
      <c r="B10073" t="s">
        <v>252</v>
      </c>
      <c r="C10073" t="s">
        <v>340</v>
      </c>
      <c r="D10073" t="s">
        <v>657</v>
      </c>
      <c r="F10073" t="s">
        <v>1192</v>
      </c>
      <c r="G10073" t="s">
        <v>9257</v>
      </c>
      <c r="H10073" t="s">
        <v>16478</v>
      </c>
      <c r="I10073" t="s">
        <v>17306</v>
      </c>
      <c r="J10073" t="s">
        <v>18894</v>
      </c>
      <c r="K10073">
        <v>11212</v>
      </c>
      <c r="L10073" t="s">
        <v>18960</v>
      </c>
      <c r="M10073" t="s">
        <v>18960</v>
      </c>
      <c r="P10073" t="s">
        <v>26563</v>
      </c>
      <c r="R10073" t="s">
        <v>26591</v>
      </c>
      <c r="U10073" t="s">
        <v>26604</v>
      </c>
      <c r="X10073">
        <v>829</v>
      </c>
      <c r="Y10073" t="s">
        <v>26652</v>
      </c>
      <c r="Z10073" t="s">
        <v>26675</v>
      </c>
      <c r="AB10073" t="s">
        <v>33781</v>
      </c>
      <c r="AD10073" t="s">
        <v>44610</v>
      </c>
      <c r="AE10073">
        <v>0</v>
      </c>
      <c r="AG10073" t="s">
        <v>45559</v>
      </c>
      <c r="AH10073">
        <v>41</v>
      </c>
      <c r="AI10073">
        <v>2</v>
      </c>
      <c r="AJ10073">
        <v>0</v>
      </c>
      <c r="AK10073">
        <v>70.95999999999999</v>
      </c>
      <c r="AN10073" t="s">
        <v>7439</v>
      </c>
      <c r="AO10073">
        <v>12000</v>
      </c>
      <c r="AU10073">
        <v>0.6</v>
      </c>
      <c r="AV10073" t="s">
        <v>657</v>
      </c>
      <c r="AW10073" t="s">
        <v>46842</v>
      </c>
    </row>
    <row r="10074" spans="1:50">
      <c r="A10074" s="1">
        <f>HYPERLINK("https://lsnyc.legalserver.org/matter/dynamic-profile/view/1893408","19-1893408")</f>
        <v>0</v>
      </c>
      <c r="B10074" t="s">
        <v>326</v>
      </c>
      <c r="C10074" t="s">
        <v>340</v>
      </c>
      <c r="D10074" t="s">
        <v>657</v>
      </c>
      <c r="F10074" t="s">
        <v>970</v>
      </c>
      <c r="G10074" t="s">
        <v>9255</v>
      </c>
      <c r="H10074" t="s">
        <v>11384</v>
      </c>
      <c r="I10074">
        <v>118</v>
      </c>
      <c r="J10074" t="s">
        <v>18893</v>
      </c>
      <c r="K10074">
        <v>10036</v>
      </c>
      <c r="L10074" t="s">
        <v>18960</v>
      </c>
      <c r="M10074" t="s">
        <v>18960</v>
      </c>
      <c r="R10074" t="s">
        <v>26591</v>
      </c>
      <c r="U10074" t="s">
        <v>26604</v>
      </c>
      <c r="X10074">
        <v>0</v>
      </c>
      <c r="Y10074" t="s">
        <v>26652</v>
      </c>
      <c r="AB10074" t="s">
        <v>33779</v>
      </c>
      <c r="AD10074" t="s">
        <v>44609</v>
      </c>
      <c r="AE10074">
        <v>0</v>
      </c>
      <c r="AH10074">
        <v>0</v>
      </c>
      <c r="AI10074">
        <v>1</v>
      </c>
      <c r="AJ10074">
        <v>0</v>
      </c>
      <c r="AK10074">
        <v>78.59</v>
      </c>
      <c r="AN10074" t="s">
        <v>7439</v>
      </c>
      <c r="AO10074">
        <v>9816</v>
      </c>
      <c r="AU10074">
        <v>1.5</v>
      </c>
      <c r="AV10074" t="s">
        <v>779</v>
      </c>
      <c r="AW10074" t="s">
        <v>46859</v>
      </c>
    </row>
    <row r="10075" spans="1:50">
      <c r="A10075" s="1">
        <f>HYPERLINK("https://lsnyc.legalserver.org/matter/dynamic-profile/view/1893481","19-1893481")</f>
        <v>0</v>
      </c>
      <c r="B10075" t="s">
        <v>316</v>
      </c>
      <c r="C10075" t="s">
        <v>341</v>
      </c>
      <c r="D10075" t="s">
        <v>784</v>
      </c>
      <c r="E10075" t="s">
        <v>800</v>
      </c>
      <c r="F10075" t="s">
        <v>1326</v>
      </c>
      <c r="G10075" t="s">
        <v>9258</v>
      </c>
      <c r="H10075" t="s">
        <v>14846</v>
      </c>
      <c r="I10075">
        <v>3027</v>
      </c>
      <c r="J10075" t="s">
        <v>18902</v>
      </c>
      <c r="K10075">
        <v>10304</v>
      </c>
      <c r="L10075" t="s">
        <v>18960</v>
      </c>
      <c r="M10075" t="s">
        <v>18960</v>
      </c>
      <c r="P10075" t="s">
        <v>26564</v>
      </c>
      <c r="Q10075" t="s">
        <v>26570</v>
      </c>
      <c r="R10075" t="s">
        <v>26591</v>
      </c>
      <c r="U10075" t="s">
        <v>26604</v>
      </c>
      <c r="X10075">
        <v>850</v>
      </c>
      <c r="Y10075" t="s">
        <v>26654</v>
      </c>
      <c r="Z10075" t="s">
        <v>26668</v>
      </c>
      <c r="AA10075" t="s">
        <v>26683</v>
      </c>
      <c r="AB10075" t="s">
        <v>31799</v>
      </c>
      <c r="AD10075" t="s">
        <v>44611</v>
      </c>
      <c r="AE10075">
        <v>200</v>
      </c>
      <c r="AG10075" t="s">
        <v>45561</v>
      </c>
      <c r="AH10075">
        <v>3</v>
      </c>
      <c r="AI10075">
        <v>1</v>
      </c>
      <c r="AJ10075">
        <v>0</v>
      </c>
      <c r="AK10075">
        <v>112.41</v>
      </c>
      <c r="AN10075" t="s">
        <v>7439</v>
      </c>
      <c r="AO10075">
        <v>14040</v>
      </c>
      <c r="AU10075">
        <v>1</v>
      </c>
      <c r="AV10075" t="s">
        <v>784</v>
      </c>
      <c r="AW10075" t="s">
        <v>46858</v>
      </c>
    </row>
    <row r="10076" spans="1:50">
      <c r="A10076" s="1">
        <f>HYPERLINK("https://lsnyc.legalserver.org/matter/dynamic-profile/view/1891040","19-1891040")</f>
        <v>0</v>
      </c>
      <c r="B10076" t="s">
        <v>278</v>
      </c>
      <c r="C10076" t="s">
        <v>340</v>
      </c>
      <c r="D10076" t="s">
        <v>784</v>
      </c>
      <c r="F10076" t="s">
        <v>2768</v>
      </c>
      <c r="G10076" t="s">
        <v>8229</v>
      </c>
      <c r="H10076" t="s">
        <v>10326</v>
      </c>
      <c r="I10076" t="s">
        <v>17757</v>
      </c>
      <c r="J10076" t="s">
        <v>18902</v>
      </c>
      <c r="K10076">
        <v>10304</v>
      </c>
      <c r="L10076" t="s">
        <v>18960</v>
      </c>
      <c r="M10076" t="s">
        <v>18960</v>
      </c>
      <c r="R10076" t="s">
        <v>26578</v>
      </c>
      <c r="U10076" t="s">
        <v>26604</v>
      </c>
      <c r="X10076">
        <v>0</v>
      </c>
      <c r="Y10076" t="s">
        <v>26654</v>
      </c>
      <c r="AB10076" t="s">
        <v>33782</v>
      </c>
      <c r="AD10076" t="s">
        <v>44612</v>
      </c>
      <c r="AE10076">
        <v>0</v>
      </c>
      <c r="AH10076">
        <v>0</v>
      </c>
      <c r="AI10076">
        <v>1</v>
      </c>
      <c r="AJ10076">
        <v>0</v>
      </c>
      <c r="AK10076">
        <v>124.9</v>
      </c>
      <c r="AN10076" t="s">
        <v>7439</v>
      </c>
      <c r="AO10076">
        <v>15600</v>
      </c>
      <c r="AU10076">
        <v>24.9</v>
      </c>
      <c r="AV10076" t="s">
        <v>833</v>
      </c>
      <c r="AW10076" t="s">
        <v>46852</v>
      </c>
    </row>
    <row r="10077" spans="1:50">
      <c r="A10077" s="1">
        <f>HYPERLINK("https://lsnyc.legalserver.org/matter/dynamic-profile/view/1893155","19-1893155")</f>
        <v>0</v>
      </c>
      <c r="B10077" t="s">
        <v>94</v>
      </c>
      <c r="C10077" t="s">
        <v>340</v>
      </c>
      <c r="D10077" t="s">
        <v>784</v>
      </c>
      <c r="F10077" t="s">
        <v>3984</v>
      </c>
      <c r="G10077" t="s">
        <v>5607</v>
      </c>
      <c r="H10077" t="s">
        <v>14230</v>
      </c>
      <c r="I10077">
        <v>54</v>
      </c>
      <c r="J10077" t="s">
        <v>18893</v>
      </c>
      <c r="K10077">
        <v>10034</v>
      </c>
      <c r="L10077" t="s">
        <v>18958</v>
      </c>
      <c r="M10077" t="s">
        <v>18958</v>
      </c>
      <c r="N10077" t="s">
        <v>25843</v>
      </c>
      <c r="O10077" t="s">
        <v>26523</v>
      </c>
      <c r="P10077" t="s">
        <v>26560</v>
      </c>
      <c r="R10077" t="s">
        <v>26582</v>
      </c>
      <c r="S10077" t="s">
        <v>18959</v>
      </c>
      <c r="U10077" t="s">
        <v>26604</v>
      </c>
      <c r="X10077">
        <v>922</v>
      </c>
      <c r="Y10077" t="s">
        <v>26651</v>
      </c>
      <c r="Z10077" t="s">
        <v>26664</v>
      </c>
      <c r="AB10077" t="s">
        <v>33726</v>
      </c>
      <c r="AD10077" t="s">
        <v>44613</v>
      </c>
      <c r="AE10077">
        <v>0</v>
      </c>
      <c r="AF10077" t="s">
        <v>20460</v>
      </c>
      <c r="AG10077" t="s">
        <v>26530</v>
      </c>
      <c r="AH10077">
        <v>24</v>
      </c>
      <c r="AI10077">
        <v>2</v>
      </c>
      <c r="AJ10077">
        <v>0</v>
      </c>
      <c r="AK10077">
        <v>191.56</v>
      </c>
      <c r="AN10077" t="s">
        <v>45581</v>
      </c>
      <c r="AO10077">
        <v>32392</v>
      </c>
      <c r="AU10077">
        <v>0.2</v>
      </c>
      <c r="AV10077" t="s">
        <v>785</v>
      </c>
      <c r="AW10077" t="s">
        <v>314</v>
      </c>
    </row>
    <row r="10078" spans="1:50">
      <c r="A10078" s="1">
        <f>HYPERLINK("https://lsnyc.legalserver.org/matter/dynamic-profile/view/1893560","19-1893560")</f>
        <v>0</v>
      </c>
      <c r="B10078" t="s">
        <v>179</v>
      </c>
      <c r="C10078" t="s">
        <v>340</v>
      </c>
      <c r="D10078" t="s">
        <v>784</v>
      </c>
      <c r="F10078" t="s">
        <v>933</v>
      </c>
      <c r="G10078" t="s">
        <v>7710</v>
      </c>
      <c r="H10078" t="s">
        <v>16479</v>
      </c>
      <c r="I10078" t="s">
        <v>17386</v>
      </c>
      <c r="J10078" t="s">
        <v>18894</v>
      </c>
      <c r="K10078">
        <v>11237</v>
      </c>
      <c r="L10078" t="s">
        <v>18960</v>
      </c>
      <c r="M10078" t="s">
        <v>18960</v>
      </c>
      <c r="N10078" t="s">
        <v>25844</v>
      </c>
      <c r="O10078" t="s">
        <v>26524</v>
      </c>
      <c r="P10078" t="s">
        <v>26560</v>
      </c>
      <c r="R10078" t="s">
        <v>26586</v>
      </c>
      <c r="U10078" t="s">
        <v>26604</v>
      </c>
      <c r="X10078">
        <v>0</v>
      </c>
      <c r="Y10078" t="s">
        <v>26652</v>
      </c>
      <c r="AB10078" t="s">
        <v>33783</v>
      </c>
      <c r="AD10078" t="s">
        <v>44614</v>
      </c>
      <c r="AE10078">
        <v>0</v>
      </c>
      <c r="AH10078">
        <v>30</v>
      </c>
      <c r="AI10078">
        <v>4</v>
      </c>
      <c r="AJ10078">
        <v>2</v>
      </c>
      <c r="AK10078">
        <v>126.28</v>
      </c>
      <c r="AN10078" t="s">
        <v>45581</v>
      </c>
      <c r="AO10078">
        <v>43680</v>
      </c>
      <c r="AU10078">
        <v>30.9</v>
      </c>
      <c r="AV10078" t="s">
        <v>833</v>
      </c>
      <c r="AW10078" t="s">
        <v>179</v>
      </c>
    </row>
    <row r="10079" spans="1:50">
      <c r="A10079" s="1">
        <f>HYPERLINK("https://lsnyc.legalserver.org/matter/dynamic-profile/view/1893492","19-1893492")</f>
        <v>0</v>
      </c>
      <c r="B10079" t="s">
        <v>212</v>
      </c>
      <c r="C10079" t="s">
        <v>340</v>
      </c>
      <c r="D10079" t="s">
        <v>784</v>
      </c>
      <c r="F10079" t="s">
        <v>1397</v>
      </c>
      <c r="G10079" t="s">
        <v>9259</v>
      </c>
      <c r="H10079" t="s">
        <v>16480</v>
      </c>
      <c r="I10079" t="s">
        <v>18749</v>
      </c>
      <c r="J10079" t="s">
        <v>18898</v>
      </c>
      <c r="K10079">
        <v>11691</v>
      </c>
      <c r="L10079" t="s">
        <v>18960</v>
      </c>
      <c r="M10079" t="s">
        <v>18960</v>
      </c>
      <c r="O10079" t="s">
        <v>26524</v>
      </c>
      <c r="P10079" t="s">
        <v>26560</v>
      </c>
      <c r="R10079" t="s">
        <v>26578</v>
      </c>
      <c r="S10079" t="s">
        <v>18959</v>
      </c>
      <c r="U10079" t="s">
        <v>26604</v>
      </c>
      <c r="X10079">
        <v>1200</v>
      </c>
      <c r="Y10079" t="s">
        <v>26653</v>
      </c>
      <c r="AB10079" t="s">
        <v>33784</v>
      </c>
      <c r="AD10079" t="s">
        <v>44615</v>
      </c>
      <c r="AE10079">
        <v>56</v>
      </c>
      <c r="AF10079" t="s">
        <v>45543</v>
      </c>
      <c r="AH10079">
        <v>1</v>
      </c>
      <c r="AI10079">
        <v>1</v>
      </c>
      <c r="AJ10079">
        <v>2</v>
      </c>
      <c r="AK10079">
        <v>16.88</v>
      </c>
      <c r="AN10079" t="s">
        <v>7439</v>
      </c>
      <c r="AO10079">
        <v>3600</v>
      </c>
      <c r="AU10079">
        <v>5.9</v>
      </c>
      <c r="AV10079" t="s">
        <v>809</v>
      </c>
      <c r="AW10079" t="s">
        <v>46850</v>
      </c>
    </row>
    <row r="10080" spans="1:50">
      <c r="A10080" s="1">
        <f>HYPERLINK("https://lsnyc.legalserver.org/matter/dynamic-profile/view/1893564","19-1893564")</f>
        <v>0</v>
      </c>
      <c r="B10080" t="s">
        <v>273</v>
      </c>
      <c r="C10080" t="s">
        <v>340</v>
      </c>
      <c r="D10080" t="s">
        <v>784</v>
      </c>
      <c r="F10080" t="s">
        <v>970</v>
      </c>
      <c r="G10080" t="s">
        <v>4612</v>
      </c>
      <c r="H10080" t="s">
        <v>10454</v>
      </c>
      <c r="I10080" t="s">
        <v>17390</v>
      </c>
      <c r="J10080" t="s">
        <v>18893</v>
      </c>
      <c r="K10080">
        <v>10034</v>
      </c>
      <c r="L10080" t="s">
        <v>18960</v>
      </c>
      <c r="M10080" t="s">
        <v>18960</v>
      </c>
      <c r="N10080" t="s">
        <v>25845</v>
      </c>
      <c r="O10080" t="s">
        <v>26523</v>
      </c>
      <c r="P10080" t="s">
        <v>26564</v>
      </c>
      <c r="R10080" t="s">
        <v>26578</v>
      </c>
      <c r="U10080" t="s">
        <v>26604</v>
      </c>
      <c r="X10080">
        <v>1250</v>
      </c>
      <c r="Y10080" t="s">
        <v>26651</v>
      </c>
      <c r="Z10080" t="s">
        <v>26659</v>
      </c>
      <c r="AB10080" t="s">
        <v>33785</v>
      </c>
      <c r="AD10080" t="s">
        <v>44616</v>
      </c>
      <c r="AE10080">
        <v>33</v>
      </c>
      <c r="AF10080" t="s">
        <v>45548</v>
      </c>
      <c r="AG10080" t="s">
        <v>45556</v>
      </c>
      <c r="AH10080">
        <v>15</v>
      </c>
      <c r="AI10080">
        <v>1</v>
      </c>
      <c r="AJ10080">
        <v>0</v>
      </c>
      <c r="AK10080">
        <v>112.27</v>
      </c>
      <c r="AN10080" t="s">
        <v>7439</v>
      </c>
      <c r="AO10080">
        <v>14022</v>
      </c>
      <c r="AU10080">
        <v>2.6</v>
      </c>
      <c r="AV10080" t="s">
        <v>763</v>
      </c>
      <c r="AW10080" t="s">
        <v>46858</v>
      </c>
    </row>
    <row r="10081" spans="1:49">
      <c r="A10081" s="1">
        <f>HYPERLINK("https://lsnyc.legalserver.org/matter/dynamic-profile/view/1893554","19-1893554")</f>
        <v>0</v>
      </c>
      <c r="B10081" t="s">
        <v>91</v>
      </c>
      <c r="C10081" t="s">
        <v>340</v>
      </c>
      <c r="D10081" t="s">
        <v>784</v>
      </c>
      <c r="F10081" t="s">
        <v>1036</v>
      </c>
      <c r="G10081" t="s">
        <v>5191</v>
      </c>
      <c r="H10081" t="s">
        <v>11206</v>
      </c>
      <c r="J10081" t="s">
        <v>7026</v>
      </c>
      <c r="K10081">
        <v>11368</v>
      </c>
      <c r="L10081" t="s">
        <v>18960</v>
      </c>
      <c r="M10081" t="s">
        <v>18960</v>
      </c>
      <c r="N10081" t="s">
        <v>20399</v>
      </c>
      <c r="O10081" t="s">
        <v>26534</v>
      </c>
      <c r="P10081" t="s">
        <v>26561</v>
      </c>
      <c r="R10081" t="s">
        <v>26578</v>
      </c>
      <c r="S10081" t="s">
        <v>18959</v>
      </c>
      <c r="U10081" t="s">
        <v>26604</v>
      </c>
      <c r="X10081">
        <v>1300</v>
      </c>
      <c r="Y10081" t="s">
        <v>26653</v>
      </c>
      <c r="Z10081" t="s">
        <v>26659</v>
      </c>
      <c r="AB10081" t="s">
        <v>28392</v>
      </c>
      <c r="AD10081" t="s">
        <v>38444</v>
      </c>
      <c r="AE10081">
        <v>8</v>
      </c>
      <c r="AF10081" t="s">
        <v>45541</v>
      </c>
      <c r="AG10081" t="s">
        <v>19330</v>
      </c>
      <c r="AH10081">
        <v>4</v>
      </c>
      <c r="AI10081">
        <v>1</v>
      </c>
      <c r="AJ10081">
        <v>1</v>
      </c>
      <c r="AK10081">
        <v>100.53</v>
      </c>
      <c r="AN10081" t="s">
        <v>45581</v>
      </c>
      <c r="AO10081">
        <v>17000</v>
      </c>
      <c r="AU10081">
        <v>0.8</v>
      </c>
      <c r="AV10081" t="s">
        <v>805</v>
      </c>
      <c r="AW10081" t="s">
        <v>91</v>
      </c>
    </row>
    <row r="10082" spans="1:49">
      <c r="A10082" s="1">
        <f>HYPERLINK("https://lsnyc.legalserver.org/matter/dynamic-profile/view/1894150","19-1894150")</f>
        <v>0</v>
      </c>
      <c r="B10082" t="s">
        <v>327</v>
      </c>
      <c r="C10082" t="s">
        <v>341</v>
      </c>
      <c r="D10082" t="s">
        <v>785</v>
      </c>
      <c r="E10082" t="s">
        <v>823</v>
      </c>
      <c r="F10082" t="s">
        <v>887</v>
      </c>
      <c r="G10082" t="s">
        <v>5678</v>
      </c>
      <c r="H10082" t="s">
        <v>16481</v>
      </c>
      <c r="I10082" t="s">
        <v>17306</v>
      </c>
      <c r="J10082" t="s">
        <v>18893</v>
      </c>
      <c r="K10082">
        <v>10002</v>
      </c>
      <c r="L10082" t="s">
        <v>18960</v>
      </c>
      <c r="M10082" t="s">
        <v>18960</v>
      </c>
      <c r="Q10082" t="s">
        <v>26570</v>
      </c>
      <c r="R10082" t="s">
        <v>26592</v>
      </c>
      <c r="U10082" t="s">
        <v>26604</v>
      </c>
      <c r="X10082">
        <v>0</v>
      </c>
      <c r="Y10082" t="s">
        <v>26651</v>
      </c>
      <c r="AA10082" t="s">
        <v>26683</v>
      </c>
      <c r="AB10082" t="s">
        <v>33786</v>
      </c>
      <c r="AD10082" t="s">
        <v>44617</v>
      </c>
      <c r="AE10082">
        <v>0</v>
      </c>
      <c r="AH10082">
        <v>0</v>
      </c>
      <c r="AI10082">
        <v>1</v>
      </c>
      <c r="AJ10082">
        <v>0</v>
      </c>
      <c r="AK10082">
        <v>124.9</v>
      </c>
      <c r="AN10082" t="s">
        <v>7439</v>
      </c>
      <c r="AO10082">
        <v>15600</v>
      </c>
      <c r="AU10082">
        <v>0.65</v>
      </c>
      <c r="AV10082" t="s">
        <v>46826</v>
      </c>
      <c r="AW10082" t="s">
        <v>46838</v>
      </c>
    </row>
    <row r="10083" spans="1:49">
      <c r="A10083" s="1">
        <f>HYPERLINK("https://lsnyc.legalserver.org/matter/dynamic-profile/view/1893699","19-1893699")</f>
        <v>0</v>
      </c>
      <c r="B10083" t="s">
        <v>80</v>
      </c>
      <c r="C10083" t="s">
        <v>341</v>
      </c>
      <c r="D10083" t="s">
        <v>785</v>
      </c>
      <c r="E10083" t="s">
        <v>773</v>
      </c>
      <c r="F10083" t="s">
        <v>4731</v>
      </c>
      <c r="G10083" t="s">
        <v>9013</v>
      </c>
      <c r="H10083" t="s">
        <v>16482</v>
      </c>
      <c r="I10083">
        <v>557</v>
      </c>
      <c r="J10083" t="s">
        <v>18893</v>
      </c>
      <c r="K10083">
        <v>10019</v>
      </c>
      <c r="L10083" t="s">
        <v>18960</v>
      </c>
      <c r="M10083" t="s">
        <v>18960</v>
      </c>
      <c r="Q10083" t="s">
        <v>26570</v>
      </c>
      <c r="R10083" t="s">
        <v>26591</v>
      </c>
      <c r="U10083" t="s">
        <v>26606</v>
      </c>
      <c r="X10083">
        <v>0</v>
      </c>
      <c r="Y10083" t="s">
        <v>26652</v>
      </c>
      <c r="AA10083" t="s">
        <v>26683</v>
      </c>
      <c r="AB10083" t="s">
        <v>33787</v>
      </c>
      <c r="AD10083" t="s">
        <v>44618</v>
      </c>
      <c r="AE10083">
        <v>0</v>
      </c>
      <c r="AH10083">
        <v>0</v>
      </c>
      <c r="AI10083">
        <v>1</v>
      </c>
      <c r="AJ10083">
        <v>0</v>
      </c>
      <c r="AK10083">
        <v>166.53</v>
      </c>
      <c r="AN10083" t="s">
        <v>7439</v>
      </c>
      <c r="AO10083">
        <v>20800</v>
      </c>
      <c r="AU10083">
        <v>6.55</v>
      </c>
      <c r="AV10083" t="s">
        <v>773</v>
      </c>
      <c r="AW10083" t="s">
        <v>303</v>
      </c>
    </row>
    <row r="10084" spans="1:49">
      <c r="A10084" s="1">
        <f>HYPERLINK("https://lsnyc.legalserver.org/matter/dynamic-profile/view/1893563","19-1893563")</f>
        <v>0</v>
      </c>
      <c r="B10084" t="s">
        <v>165</v>
      </c>
      <c r="C10084" t="s">
        <v>340</v>
      </c>
      <c r="D10084" t="s">
        <v>785</v>
      </c>
      <c r="F10084" t="s">
        <v>2441</v>
      </c>
      <c r="G10084" t="s">
        <v>6662</v>
      </c>
      <c r="H10084" t="s">
        <v>11931</v>
      </c>
      <c r="I10084" t="s">
        <v>17436</v>
      </c>
      <c r="J10084" t="s">
        <v>18893</v>
      </c>
      <c r="K10084">
        <v>10031</v>
      </c>
      <c r="L10084" t="s">
        <v>18959</v>
      </c>
      <c r="M10084" t="s">
        <v>18959</v>
      </c>
      <c r="N10084" t="s">
        <v>25846</v>
      </c>
      <c r="O10084" t="s">
        <v>26523</v>
      </c>
      <c r="P10084" t="s">
        <v>26560</v>
      </c>
      <c r="R10084" t="s">
        <v>26580</v>
      </c>
      <c r="S10084" t="s">
        <v>18959</v>
      </c>
      <c r="U10084" t="s">
        <v>26604</v>
      </c>
      <c r="X10084">
        <v>843.76</v>
      </c>
      <c r="Y10084" t="s">
        <v>26651</v>
      </c>
      <c r="Z10084" t="s">
        <v>26659</v>
      </c>
      <c r="AB10084" t="s">
        <v>29201</v>
      </c>
      <c r="AD10084" t="s">
        <v>39259</v>
      </c>
      <c r="AE10084">
        <v>0</v>
      </c>
      <c r="AF10084" t="s">
        <v>45548</v>
      </c>
      <c r="AG10084" t="s">
        <v>45559</v>
      </c>
      <c r="AH10084">
        <v>46</v>
      </c>
      <c r="AI10084">
        <v>1</v>
      </c>
      <c r="AJ10084">
        <v>0</v>
      </c>
      <c r="AK10084">
        <v>225.78</v>
      </c>
      <c r="AN10084" t="s">
        <v>7439</v>
      </c>
      <c r="AO10084">
        <v>28200</v>
      </c>
      <c r="AU10084">
        <v>10</v>
      </c>
      <c r="AV10084" t="s">
        <v>839</v>
      </c>
      <c r="AW10084" t="s">
        <v>314</v>
      </c>
    </row>
    <row r="10085" spans="1:49">
      <c r="A10085" s="1">
        <f>HYPERLINK("https://lsnyc.legalserver.org/matter/dynamic-profile/view/1893618","19-1893618")</f>
        <v>0</v>
      </c>
      <c r="B10085" t="s">
        <v>77</v>
      </c>
      <c r="C10085" t="s">
        <v>340</v>
      </c>
      <c r="D10085" t="s">
        <v>785</v>
      </c>
      <c r="F10085" t="s">
        <v>4732</v>
      </c>
      <c r="G10085" t="s">
        <v>5401</v>
      </c>
      <c r="H10085" t="s">
        <v>14250</v>
      </c>
      <c r="I10085">
        <v>67</v>
      </c>
      <c r="J10085" t="s">
        <v>18893</v>
      </c>
      <c r="K10085">
        <v>10027</v>
      </c>
      <c r="L10085" t="s">
        <v>18960</v>
      </c>
      <c r="M10085" t="s">
        <v>18960</v>
      </c>
      <c r="N10085">
        <v>55037</v>
      </c>
      <c r="O10085" t="s">
        <v>26524</v>
      </c>
      <c r="P10085" t="s">
        <v>26560</v>
      </c>
      <c r="R10085" t="s">
        <v>26582</v>
      </c>
      <c r="U10085" t="s">
        <v>26604</v>
      </c>
      <c r="V10085" t="s">
        <v>26610</v>
      </c>
      <c r="X10085">
        <v>776</v>
      </c>
      <c r="Y10085" t="s">
        <v>26651</v>
      </c>
      <c r="AB10085" t="s">
        <v>33788</v>
      </c>
      <c r="AD10085" t="s">
        <v>44619</v>
      </c>
      <c r="AE10085">
        <v>0</v>
      </c>
      <c r="AH10085">
        <v>5</v>
      </c>
      <c r="AI10085">
        <v>1</v>
      </c>
      <c r="AJ10085">
        <v>0</v>
      </c>
      <c r="AK10085">
        <v>38.24</v>
      </c>
      <c r="AN10085" t="s">
        <v>45581</v>
      </c>
      <c r="AO10085">
        <v>4776</v>
      </c>
      <c r="AU10085">
        <v>5.3</v>
      </c>
      <c r="AV10085" t="s">
        <v>797</v>
      </c>
      <c r="AW10085" t="s">
        <v>46838</v>
      </c>
    </row>
    <row r="10086" spans="1:49">
      <c r="A10086" s="1">
        <f>HYPERLINK("https://lsnyc.legalserver.org/matter/dynamic-profile/view/1893685","19-1893685")</f>
        <v>0</v>
      </c>
      <c r="B10086" t="s">
        <v>179</v>
      </c>
      <c r="C10086" t="s">
        <v>340</v>
      </c>
      <c r="D10086" t="s">
        <v>785</v>
      </c>
      <c r="F10086" t="s">
        <v>1417</v>
      </c>
      <c r="G10086" t="s">
        <v>5143</v>
      </c>
      <c r="H10086" t="s">
        <v>16483</v>
      </c>
      <c r="I10086">
        <v>9</v>
      </c>
      <c r="J10086" t="s">
        <v>18894</v>
      </c>
      <c r="K10086">
        <v>11213</v>
      </c>
      <c r="L10086" t="s">
        <v>18960</v>
      </c>
      <c r="M10086" t="s">
        <v>18960</v>
      </c>
      <c r="P10086" t="s">
        <v>26560</v>
      </c>
      <c r="R10086" t="s">
        <v>26591</v>
      </c>
      <c r="U10086" t="s">
        <v>26604</v>
      </c>
      <c r="X10086">
        <v>200</v>
      </c>
      <c r="Y10086" t="s">
        <v>26652</v>
      </c>
      <c r="Z10086" t="s">
        <v>26530</v>
      </c>
      <c r="AB10086" t="s">
        <v>29606</v>
      </c>
      <c r="AD10086" t="s">
        <v>44620</v>
      </c>
      <c r="AE10086">
        <v>20</v>
      </c>
      <c r="AF10086" t="s">
        <v>45548</v>
      </c>
      <c r="AG10086" t="s">
        <v>19330</v>
      </c>
      <c r="AH10086">
        <v>15</v>
      </c>
      <c r="AI10086">
        <v>4</v>
      </c>
      <c r="AJ10086">
        <v>0</v>
      </c>
      <c r="AK10086">
        <v>65.23999999999999</v>
      </c>
      <c r="AN10086" t="s">
        <v>7439</v>
      </c>
      <c r="AO10086">
        <v>16800</v>
      </c>
      <c r="AU10086">
        <v>33.8</v>
      </c>
      <c r="AV10086" t="s">
        <v>836</v>
      </c>
      <c r="AW10086" t="s">
        <v>46846</v>
      </c>
    </row>
    <row r="10087" spans="1:49">
      <c r="A10087" s="1">
        <f>HYPERLINK("https://lsnyc.legalserver.org/matter/dynamic-profile/view/1893593","19-1893593")</f>
        <v>0</v>
      </c>
      <c r="B10087" t="s">
        <v>191</v>
      </c>
      <c r="C10087" t="s">
        <v>340</v>
      </c>
      <c r="D10087" t="s">
        <v>785</v>
      </c>
      <c r="F10087" t="s">
        <v>1767</v>
      </c>
      <c r="G10087" t="s">
        <v>9260</v>
      </c>
      <c r="H10087" t="s">
        <v>16484</v>
      </c>
      <c r="I10087" t="s">
        <v>17277</v>
      </c>
      <c r="J10087" t="s">
        <v>18893</v>
      </c>
      <c r="K10087">
        <v>10027</v>
      </c>
      <c r="L10087" t="s">
        <v>18960</v>
      </c>
      <c r="M10087" t="s">
        <v>18960</v>
      </c>
      <c r="N10087">
        <v>69194</v>
      </c>
      <c r="O10087" t="s">
        <v>26523</v>
      </c>
      <c r="R10087" t="s">
        <v>26582</v>
      </c>
      <c r="U10087" t="s">
        <v>26604</v>
      </c>
      <c r="V10087" t="s">
        <v>26610</v>
      </c>
      <c r="X10087">
        <v>610</v>
      </c>
      <c r="Y10087" t="s">
        <v>26651</v>
      </c>
      <c r="AB10087" t="s">
        <v>32825</v>
      </c>
      <c r="AD10087" t="s">
        <v>44621</v>
      </c>
      <c r="AE10087">
        <v>0</v>
      </c>
      <c r="AF10087" t="s">
        <v>45541</v>
      </c>
      <c r="AH10087">
        <v>17</v>
      </c>
      <c r="AI10087">
        <v>1</v>
      </c>
      <c r="AJ10087">
        <v>3</v>
      </c>
      <c r="AK10087">
        <v>190.29</v>
      </c>
      <c r="AN10087" t="s">
        <v>7439</v>
      </c>
      <c r="AO10087">
        <v>49000</v>
      </c>
      <c r="AU10087">
        <v>10.4</v>
      </c>
      <c r="AV10087" t="s">
        <v>835</v>
      </c>
      <c r="AW10087" t="s">
        <v>46838</v>
      </c>
    </row>
    <row r="10088" spans="1:49">
      <c r="A10088" s="1">
        <f>HYPERLINK("https://lsnyc.legalserver.org/matter/dynamic-profile/view/1893630","19-1893630")</f>
        <v>0</v>
      </c>
      <c r="B10088" t="s">
        <v>63</v>
      </c>
      <c r="C10088" t="s">
        <v>340</v>
      </c>
      <c r="D10088" t="s">
        <v>785</v>
      </c>
      <c r="F10088" t="s">
        <v>1574</v>
      </c>
      <c r="G10088" t="s">
        <v>5285</v>
      </c>
      <c r="H10088" t="s">
        <v>12199</v>
      </c>
      <c r="I10088" t="s">
        <v>17380</v>
      </c>
      <c r="J10088" t="s">
        <v>18892</v>
      </c>
      <c r="K10088">
        <v>10460</v>
      </c>
      <c r="L10088" t="s">
        <v>18958</v>
      </c>
      <c r="M10088" t="s">
        <v>18958</v>
      </c>
      <c r="N10088" t="s">
        <v>25847</v>
      </c>
      <c r="O10088" t="s">
        <v>26523</v>
      </c>
      <c r="P10088" t="s">
        <v>26560</v>
      </c>
      <c r="R10088" t="s">
        <v>26578</v>
      </c>
      <c r="S10088" t="s">
        <v>18959</v>
      </c>
      <c r="U10088" t="s">
        <v>26604</v>
      </c>
      <c r="X10088">
        <v>1621</v>
      </c>
      <c r="Y10088" t="s">
        <v>26650</v>
      </c>
      <c r="Z10088" t="s">
        <v>26663</v>
      </c>
      <c r="AB10088" t="s">
        <v>31325</v>
      </c>
      <c r="AE10088">
        <v>168</v>
      </c>
      <c r="AF10088" t="s">
        <v>20460</v>
      </c>
      <c r="AG10088" t="s">
        <v>45556</v>
      </c>
      <c r="AH10088">
        <v>2</v>
      </c>
      <c r="AI10088">
        <v>2</v>
      </c>
      <c r="AJ10088">
        <v>0</v>
      </c>
      <c r="AK10088">
        <v>51.09</v>
      </c>
      <c r="AN10088" t="s">
        <v>7439</v>
      </c>
      <c r="AO10088">
        <v>8640</v>
      </c>
      <c r="AP10088" t="s">
        <v>46251</v>
      </c>
      <c r="AU10088">
        <v>12.8</v>
      </c>
      <c r="AV10088" t="s">
        <v>836</v>
      </c>
      <c r="AW10088" t="s">
        <v>336</v>
      </c>
    </row>
    <row r="10089" spans="1:49">
      <c r="A10089" s="1">
        <f>HYPERLINK("https://lsnyc.legalserver.org/matter/dynamic-profile/view/1893585","19-1893585")</f>
        <v>0</v>
      </c>
      <c r="B10089" t="s">
        <v>63</v>
      </c>
      <c r="C10089" t="s">
        <v>340</v>
      </c>
      <c r="D10089" t="s">
        <v>785</v>
      </c>
      <c r="F10089" t="s">
        <v>1402</v>
      </c>
      <c r="G10089" t="s">
        <v>5849</v>
      </c>
      <c r="H10089" t="s">
        <v>12199</v>
      </c>
      <c r="I10089" t="s">
        <v>18410</v>
      </c>
      <c r="J10089" t="s">
        <v>18892</v>
      </c>
      <c r="K10089">
        <v>10460</v>
      </c>
      <c r="L10089" t="s">
        <v>18958</v>
      </c>
      <c r="M10089" t="s">
        <v>18958</v>
      </c>
      <c r="N10089" t="s">
        <v>25848</v>
      </c>
      <c r="O10089" t="s">
        <v>26523</v>
      </c>
      <c r="R10089" t="s">
        <v>26578</v>
      </c>
      <c r="S10089" t="s">
        <v>18959</v>
      </c>
      <c r="U10089" t="s">
        <v>26604</v>
      </c>
      <c r="X10089">
        <v>751</v>
      </c>
      <c r="Y10089" t="s">
        <v>26650</v>
      </c>
      <c r="Z10089" t="s">
        <v>26663</v>
      </c>
      <c r="AB10089" t="s">
        <v>29491</v>
      </c>
      <c r="AD10089" t="s">
        <v>42234</v>
      </c>
      <c r="AE10089">
        <v>169</v>
      </c>
      <c r="AF10089" t="s">
        <v>20460</v>
      </c>
      <c r="AG10089" t="s">
        <v>45556</v>
      </c>
      <c r="AH10089">
        <v>15</v>
      </c>
      <c r="AI10089">
        <v>2</v>
      </c>
      <c r="AJ10089">
        <v>1</v>
      </c>
      <c r="AK10089">
        <v>169.95</v>
      </c>
      <c r="AN10089" t="s">
        <v>7439</v>
      </c>
      <c r="AO10089">
        <v>36250</v>
      </c>
      <c r="AP10089" t="s">
        <v>45838</v>
      </c>
      <c r="AU10089">
        <v>14.8</v>
      </c>
      <c r="AV10089" t="s">
        <v>821</v>
      </c>
      <c r="AW10089" t="s">
        <v>336</v>
      </c>
    </row>
    <row r="10090" spans="1:49">
      <c r="A10090" s="1">
        <f>HYPERLINK("https://lsnyc.legalserver.org/matter/dynamic-profile/view/1893797","19-1893797")</f>
        <v>0</v>
      </c>
      <c r="B10090" t="s">
        <v>230</v>
      </c>
      <c r="C10090" t="s">
        <v>341</v>
      </c>
      <c r="D10090" t="s">
        <v>660</v>
      </c>
      <c r="E10090" t="s">
        <v>830</v>
      </c>
      <c r="F10090" t="s">
        <v>4733</v>
      </c>
      <c r="G10090" t="s">
        <v>9261</v>
      </c>
      <c r="H10090" t="s">
        <v>16485</v>
      </c>
      <c r="I10090" t="s">
        <v>17331</v>
      </c>
      <c r="J10090" t="s">
        <v>18894</v>
      </c>
      <c r="K10090">
        <v>11237</v>
      </c>
      <c r="L10090" t="s">
        <v>18960</v>
      </c>
      <c r="M10090" t="s">
        <v>18960</v>
      </c>
      <c r="Q10090" t="s">
        <v>26570</v>
      </c>
      <c r="R10090" t="s">
        <v>26586</v>
      </c>
      <c r="U10090" t="s">
        <v>26604</v>
      </c>
      <c r="X10090">
        <v>525</v>
      </c>
      <c r="Y10090" t="s">
        <v>26652</v>
      </c>
      <c r="AA10090" t="s">
        <v>26683</v>
      </c>
      <c r="AB10090" t="s">
        <v>33789</v>
      </c>
      <c r="AD10090" t="s">
        <v>44622</v>
      </c>
      <c r="AE10090">
        <v>0</v>
      </c>
      <c r="AH10090">
        <v>0</v>
      </c>
      <c r="AI10090">
        <v>1</v>
      </c>
      <c r="AJ10090">
        <v>0</v>
      </c>
      <c r="AK10090">
        <v>0</v>
      </c>
      <c r="AN10090" t="s">
        <v>45581</v>
      </c>
      <c r="AO10090">
        <v>0</v>
      </c>
      <c r="AU10090">
        <v>0.7</v>
      </c>
      <c r="AV10090" t="s">
        <v>660</v>
      </c>
      <c r="AW10090" t="s">
        <v>46856</v>
      </c>
    </row>
    <row r="10091" spans="1:49">
      <c r="A10091" s="1">
        <f>HYPERLINK("https://lsnyc.legalserver.org/matter/dynamic-profile/view/1893749","19-1893749")</f>
        <v>0</v>
      </c>
      <c r="B10091" t="s">
        <v>227</v>
      </c>
      <c r="C10091" t="s">
        <v>341</v>
      </c>
      <c r="D10091" t="s">
        <v>660</v>
      </c>
      <c r="E10091" t="s">
        <v>830</v>
      </c>
      <c r="F10091" t="s">
        <v>4260</v>
      </c>
      <c r="G10091" t="s">
        <v>5916</v>
      </c>
      <c r="H10091" t="s">
        <v>16486</v>
      </c>
      <c r="I10091" t="s">
        <v>18750</v>
      </c>
      <c r="J10091" t="s">
        <v>18894</v>
      </c>
      <c r="K10091">
        <v>11206</v>
      </c>
      <c r="L10091" t="s">
        <v>18960</v>
      </c>
      <c r="M10091" t="s">
        <v>18960</v>
      </c>
      <c r="P10091" t="s">
        <v>26563</v>
      </c>
      <c r="Q10091" t="s">
        <v>26570</v>
      </c>
      <c r="R10091" t="s">
        <v>26586</v>
      </c>
      <c r="U10091" t="s">
        <v>26605</v>
      </c>
      <c r="X10091">
        <v>237</v>
      </c>
      <c r="Y10091" t="s">
        <v>26652</v>
      </c>
      <c r="AA10091" t="s">
        <v>26683</v>
      </c>
      <c r="AB10091" t="s">
        <v>33790</v>
      </c>
      <c r="AD10091" t="s">
        <v>44623</v>
      </c>
      <c r="AE10091">
        <v>0</v>
      </c>
      <c r="AH10091">
        <v>1</v>
      </c>
      <c r="AI10091">
        <v>1</v>
      </c>
      <c r="AJ10091">
        <v>0</v>
      </c>
      <c r="AK10091">
        <v>260.21</v>
      </c>
      <c r="AN10091" t="s">
        <v>7439</v>
      </c>
      <c r="AO10091">
        <v>32500</v>
      </c>
      <c r="AU10091">
        <v>1</v>
      </c>
      <c r="AV10091" t="s">
        <v>830</v>
      </c>
      <c r="AW10091" t="s">
        <v>46856</v>
      </c>
    </row>
    <row r="10092" spans="1:49">
      <c r="A10092" s="1">
        <f>HYPERLINK("https://lsnyc.legalserver.org/matter/dynamic-profile/view/1893809","19-1893809")</f>
        <v>0</v>
      </c>
      <c r="B10092" t="s">
        <v>126</v>
      </c>
      <c r="C10092" t="s">
        <v>341</v>
      </c>
      <c r="D10092" t="s">
        <v>660</v>
      </c>
      <c r="E10092" t="s">
        <v>775</v>
      </c>
      <c r="F10092" t="s">
        <v>4734</v>
      </c>
      <c r="G10092" t="s">
        <v>5330</v>
      </c>
      <c r="H10092" t="s">
        <v>16487</v>
      </c>
      <c r="I10092" t="s">
        <v>17285</v>
      </c>
      <c r="J10092" t="s">
        <v>18894</v>
      </c>
      <c r="K10092">
        <v>11207</v>
      </c>
      <c r="L10092" t="s">
        <v>18958</v>
      </c>
      <c r="M10092" t="s">
        <v>18958</v>
      </c>
      <c r="O10092" t="s">
        <v>18997</v>
      </c>
      <c r="P10092" t="s">
        <v>26564</v>
      </c>
      <c r="Q10092" t="s">
        <v>26571</v>
      </c>
      <c r="R10092" t="s">
        <v>26583</v>
      </c>
      <c r="U10092" t="s">
        <v>26605</v>
      </c>
      <c r="X10092">
        <v>244</v>
      </c>
      <c r="Y10092" t="s">
        <v>26652</v>
      </c>
      <c r="AA10092" t="s">
        <v>26688</v>
      </c>
      <c r="AB10092" t="s">
        <v>27657</v>
      </c>
      <c r="AE10092">
        <v>744</v>
      </c>
      <c r="AG10092" t="s">
        <v>26530</v>
      </c>
      <c r="AH10092">
        <v>8</v>
      </c>
      <c r="AI10092">
        <v>1</v>
      </c>
      <c r="AJ10092">
        <v>0</v>
      </c>
      <c r="AK10092">
        <v>0</v>
      </c>
      <c r="AN10092" t="s">
        <v>45581</v>
      </c>
      <c r="AO10092">
        <v>0</v>
      </c>
      <c r="AU10092">
        <v>1</v>
      </c>
      <c r="AV10092" t="s">
        <v>784</v>
      </c>
      <c r="AW10092" t="s">
        <v>279</v>
      </c>
    </row>
    <row r="10093" spans="1:49">
      <c r="A10093" s="1">
        <f>HYPERLINK("https://lsnyc.legalserver.org/matter/dynamic-profile/view/1893800","19-1893800")</f>
        <v>0</v>
      </c>
      <c r="B10093" t="s">
        <v>81</v>
      </c>
      <c r="C10093" t="s">
        <v>340</v>
      </c>
      <c r="D10093" t="s">
        <v>660</v>
      </c>
      <c r="F10093" t="s">
        <v>901</v>
      </c>
      <c r="G10093" t="s">
        <v>8660</v>
      </c>
      <c r="H10093" t="s">
        <v>15344</v>
      </c>
      <c r="I10093" t="s">
        <v>17863</v>
      </c>
      <c r="J10093" t="s">
        <v>18892</v>
      </c>
      <c r="K10093">
        <v>10474</v>
      </c>
      <c r="L10093" t="s">
        <v>18960</v>
      </c>
      <c r="M10093" t="s">
        <v>18960</v>
      </c>
      <c r="O10093" t="s">
        <v>26523</v>
      </c>
      <c r="P10093" t="s">
        <v>26564</v>
      </c>
      <c r="R10093" t="s">
        <v>26583</v>
      </c>
      <c r="U10093" t="s">
        <v>26604</v>
      </c>
      <c r="X10093">
        <v>1750</v>
      </c>
      <c r="Y10093" t="s">
        <v>26650</v>
      </c>
      <c r="AB10093" t="s">
        <v>32797</v>
      </c>
      <c r="AD10093" t="s">
        <v>43341</v>
      </c>
      <c r="AE10093">
        <v>60</v>
      </c>
      <c r="AH10093">
        <v>3</v>
      </c>
      <c r="AI10093">
        <v>1</v>
      </c>
      <c r="AJ10093">
        <v>0</v>
      </c>
      <c r="AK10093">
        <v>307.45</v>
      </c>
      <c r="AN10093" t="s">
        <v>7439</v>
      </c>
      <c r="AO10093">
        <v>38400</v>
      </c>
      <c r="AU10093">
        <v>1.2</v>
      </c>
      <c r="AV10093" t="s">
        <v>780</v>
      </c>
      <c r="AW10093" t="s">
        <v>46850</v>
      </c>
    </row>
    <row r="10094" spans="1:49">
      <c r="A10094" s="1">
        <f>HYPERLINK("https://lsnyc.legalserver.org/matter/dynamic-profile/view/1893583","19-1893583")</f>
        <v>0</v>
      </c>
      <c r="B10094" t="s">
        <v>50</v>
      </c>
      <c r="C10094" t="s">
        <v>340</v>
      </c>
      <c r="D10094" t="s">
        <v>660</v>
      </c>
      <c r="F10094" t="s">
        <v>1548</v>
      </c>
      <c r="G10094" t="s">
        <v>2564</v>
      </c>
      <c r="H10094" t="s">
        <v>13152</v>
      </c>
      <c r="I10094" t="s">
        <v>17325</v>
      </c>
      <c r="J10094" t="s">
        <v>18892</v>
      </c>
      <c r="K10094">
        <v>10456</v>
      </c>
      <c r="L10094" t="s">
        <v>18958</v>
      </c>
      <c r="M10094" t="s">
        <v>18958</v>
      </c>
      <c r="O10094" t="s">
        <v>26526</v>
      </c>
      <c r="P10094" t="s">
        <v>26560</v>
      </c>
      <c r="R10094" t="s">
        <v>26577</v>
      </c>
      <c r="U10094" t="s">
        <v>26604</v>
      </c>
      <c r="X10094">
        <v>1004.69</v>
      </c>
      <c r="Y10094" t="s">
        <v>26650</v>
      </c>
      <c r="Z10094" t="s">
        <v>26664</v>
      </c>
      <c r="AB10094" t="s">
        <v>30502</v>
      </c>
      <c r="AC10094" t="s">
        <v>35819</v>
      </c>
      <c r="AD10094" t="s">
        <v>40682</v>
      </c>
      <c r="AE10094">
        <v>0</v>
      </c>
      <c r="AF10094" t="s">
        <v>45541</v>
      </c>
      <c r="AG10094" t="s">
        <v>45560</v>
      </c>
      <c r="AH10094">
        <v>29</v>
      </c>
      <c r="AI10094">
        <v>2</v>
      </c>
      <c r="AJ10094">
        <v>0</v>
      </c>
      <c r="AK10094">
        <v>156.18</v>
      </c>
      <c r="AN10094" t="s">
        <v>7439</v>
      </c>
      <c r="AO10094">
        <v>26410</v>
      </c>
      <c r="AP10094" t="s">
        <v>46252</v>
      </c>
      <c r="AU10094">
        <v>4.25</v>
      </c>
      <c r="AV10094" t="s">
        <v>720</v>
      </c>
      <c r="AW10094" t="s">
        <v>46870</v>
      </c>
    </row>
    <row r="10095" spans="1:49">
      <c r="A10095" s="1">
        <f>HYPERLINK("https://lsnyc.legalserver.org/matter/dynamic-profile/view/1893856","19-1893856")</f>
        <v>0</v>
      </c>
      <c r="B10095" t="s">
        <v>91</v>
      </c>
      <c r="C10095" t="s">
        <v>340</v>
      </c>
      <c r="D10095" t="s">
        <v>660</v>
      </c>
      <c r="F10095" t="s">
        <v>4735</v>
      </c>
      <c r="G10095" t="s">
        <v>7274</v>
      </c>
      <c r="H10095" t="s">
        <v>16488</v>
      </c>
      <c r="J10095" t="s">
        <v>18901</v>
      </c>
      <c r="K10095">
        <v>11435</v>
      </c>
      <c r="L10095" t="s">
        <v>18958</v>
      </c>
      <c r="M10095" t="s">
        <v>18958</v>
      </c>
      <c r="N10095" t="s">
        <v>25849</v>
      </c>
      <c r="O10095" t="s">
        <v>26523</v>
      </c>
      <c r="P10095" t="s">
        <v>26560</v>
      </c>
      <c r="R10095" t="s">
        <v>26578</v>
      </c>
      <c r="S10095" t="s">
        <v>18959</v>
      </c>
      <c r="U10095" t="s">
        <v>26604</v>
      </c>
      <c r="V10095" t="s">
        <v>26611</v>
      </c>
      <c r="X10095">
        <v>1017.52</v>
      </c>
      <c r="Y10095" t="s">
        <v>26653</v>
      </c>
      <c r="Z10095" t="s">
        <v>26664</v>
      </c>
      <c r="AB10095" t="s">
        <v>33791</v>
      </c>
      <c r="AD10095" t="s">
        <v>44624</v>
      </c>
      <c r="AE10095">
        <v>70</v>
      </c>
      <c r="AF10095" t="s">
        <v>45541</v>
      </c>
      <c r="AG10095" t="s">
        <v>19330</v>
      </c>
      <c r="AH10095">
        <v>15</v>
      </c>
      <c r="AI10095">
        <v>2</v>
      </c>
      <c r="AJ10095">
        <v>2</v>
      </c>
      <c r="AK10095">
        <v>0</v>
      </c>
      <c r="AN10095" t="s">
        <v>45581</v>
      </c>
      <c r="AO10095">
        <v>0</v>
      </c>
      <c r="AU10095">
        <v>7</v>
      </c>
      <c r="AV10095" t="s">
        <v>831</v>
      </c>
      <c r="AW10095" t="s">
        <v>91</v>
      </c>
    </row>
    <row r="10096" spans="1:49">
      <c r="A10096" s="1">
        <f>HYPERLINK("https://lsnyc.legalserver.org/matter/dynamic-profile/view/1893741","19-1893741")</f>
        <v>0</v>
      </c>
      <c r="B10096" t="s">
        <v>125</v>
      </c>
      <c r="C10096" t="s">
        <v>340</v>
      </c>
      <c r="D10096" t="s">
        <v>660</v>
      </c>
      <c r="F10096" t="s">
        <v>980</v>
      </c>
      <c r="G10096" t="s">
        <v>4311</v>
      </c>
      <c r="H10096" t="s">
        <v>16195</v>
      </c>
      <c r="I10096" t="s">
        <v>17430</v>
      </c>
      <c r="J10096" t="s">
        <v>18894</v>
      </c>
      <c r="K10096">
        <v>11233</v>
      </c>
      <c r="L10096" t="s">
        <v>18959</v>
      </c>
      <c r="M10096" t="s">
        <v>18959</v>
      </c>
      <c r="N10096" t="s">
        <v>25850</v>
      </c>
      <c r="O10096" t="s">
        <v>26524</v>
      </c>
      <c r="R10096" t="s">
        <v>26578</v>
      </c>
      <c r="S10096" t="s">
        <v>18959</v>
      </c>
      <c r="U10096" t="s">
        <v>26604</v>
      </c>
      <c r="V10096" t="s">
        <v>26610</v>
      </c>
      <c r="X10096">
        <v>1100</v>
      </c>
      <c r="Y10096" t="s">
        <v>26652</v>
      </c>
      <c r="AB10096" t="s">
        <v>33032</v>
      </c>
      <c r="AC10096" t="s">
        <v>19045</v>
      </c>
      <c r="AD10096" t="s">
        <v>44284</v>
      </c>
      <c r="AE10096">
        <v>3</v>
      </c>
      <c r="AF10096" t="s">
        <v>45547</v>
      </c>
      <c r="AG10096" t="s">
        <v>19330</v>
      </c>
      <c r="AH10096">
        <v>13</v>
      </c>
      <c r="AI10096">
        <v>3</v>
      </c>
      <c r="AJ10096">
        <v>0</v>
      </c>
      <c r="AK10096">
        <v>201.59</v>
      </c>
      <c r="AN10096" t="s">
        <v>7439</v>
      </c>
      <c r="AO10096">
        <v>43000</v>
      </c>
      <c r="AU10096">
        <v>0</v>
      </c>
      <c r="AW10096" t="s">
        <v>279</v>
      </c>
    </row>
    <row r="10097" spans="1:49">
      <c r="A10097" s="1">
        <f>HYPERLINK("https://lsnyc.legalserver.org/matter/dynamic-profile/view/1893978","19-1893978")</f>
        <v>0</v>
      </c>
      <c r="B10097" t="s">
        <v>246</v>
      </c>
      <c r="C10097" t="s">
        <v>341</v>
      </c>
      <c r="D10097" t="s">
        <v>755</v>
      </c>
      <c r="E10097" t="s">
        <v>808</v>
      </c>
      <c r="F10097" t="s">
        <v>1022</v>
      </c>
      <c r="G10097" t="s">
        <v>1203</v>
      </c>
      <c r="H10097" t="s">
        <v>16489</v>
      </c>
      <c r="I10097">
        <v>9</v>
      </c>
      <c r="J10097" t="s">
        <v>18892</v>
      </c>
      <c r="K10097">
        <v>10458</v>
      </c>
      <c r="L10097" t="s">
        <v>18960</v>
      </c>
      <c r="M10097" t="s">
        <v>18960</v>
      </c>
      <c r="P10097" t="s">
        <v>26563</v>
      </c>
      <c r="Q10097" t="s">
        <v>26570</v>
      </c>
      <c r="R10097" t="s">
        <v>26591</v>
      </c>
      <c r="S10097" t="s">
        <v>18959</v>
      </c>
      <c r="U10097" t="s">
        <v>26604</v>
      </c>
      <c r="X10097">
        <v>1238</v>
      </c>
      <c r="Y10097" t="s">
        <v>26650</v>
      </c>
      <c r="Z10097" t="s">
        <v>26657</v>
      </c>
      <c r="AA10097" t="s">
        <v>26683</v>
      </c>
      <c r="AB10097" t="s">
        <v>33792</v>
      </c>
      <c r="AD10097" t="s">
        <v>44625</v>
      </c>
      <c r="AE10097">
        <v>30</v>
      </c>
      <c r="AF10097" t="s">
        <v>45541</v>
      </c>
      <c r="AG10097" t="s">
        <v>45556</v>
      </c>
      <c r="AH10097">
        <v>5</v>
      </c>
      <c r="AI10097">
        <v>1</v>
      </c>
      <c r="AJ10097">
        <v>0</v>
      </c>
      <c r="AK10097">
        <v>47.46</v>
      </c>
      <c r="AN10097" t="s">
        <v>7439</v>
      </c>
      <c r="AO10097">
        <v>5928</v>
      </c>
      <c r="AP10097" t="s">
        <v>46253</v>
      </c>
      <c r="AU10097">
        <v>4.95</v>
      </c>
      <c r="AV10097" t="s">
        <v>808</v>
      </c>
      <c r="AW10097" t="s">
        <v>46858</v>
      </c>
    </row>
    <row r="10098" spans="1:49">
      <c r="A10098" s="1">
        <f>HYPERLINK("https://lsnyc.legalserver.org/matter/dynamic-profile/view/1893907","19-1893907")</f>
        <v>0</v>
      </c>
      <c r="B10098" t="s">
        <v>200</v>
      </c>
      <c r="C10098" t="s">
        <v>341</v>
      </c>
      <c r="D10098" t="s">
        <v>755</v>
      </c>
      <c r="E10098" t="s">
        <v>763</v>
      </c>
      <c r="F10098" t="s">
        <v>4192</v>
      </c>
      <c r="G10098" t="s">
        <v>9262</v>
      </c>
      <c r="H10098" t="s">
        <v>14940</v>
      </c>
      <c r="I10098" t="s">
        <v>18751</v>
      </c>
      <c r="J10098" t="s">
        <v>18894</v>
      </c>
      <c r="K10098">
        <v>11226</v>
      </c>
      <c r="L10098" t="s">
        <v>18960</v>
      </c>
      <c r="M10098" t="s">
        <v>18960</v>
      </c>
      <c r="P10098" t="s">
        <v>26563</v>
      </c>
      <c r="Q10098" t="s">
        <v>26570</v>
      </c>
      <c r="R10098" t="s">
        <v>26586</v>
      </c>
      <c r="U10098" t="s">
        <v>26604</v>
      </c>
      <c r="X10098">
        <v>1802</v>
      </c>
      <c r="Y10098" t="s">
        <v>26652</v>
      </c>
      <c r="AA10098" t="s">
        <v>26683</v>
      </c>
      <c r="AB10098" t="s">
        <v>33793</v>
      </c>
      <c r="AE10098">
        <v>0</v>
      </c>
      <c r="AF10098" t="s">
        <v>45541</v>
      </c>
      <c r="AH10098">
        <v>4</v>
      </c>
      <c r="AI10098">
        <v>1</v>
      </c>
      <c r="AJ10098">
        <v>0</v>
      </c>
      <c r="AK10098">
        <v>144.12</v>
      </c>
      <c r="AN10098" t="s">
        <v>7439</v>
      </c>
      <c r="AO10098">
        <v>18000</v>
      </c>
      <c r="AU10098">
        <v>1.25</v>
      </c>
      <c r="AV10098" t="s">
        <v>763</v>
      </c>
      <c r="AW10098" t="s">
        <v>46862</v>
      </c>
    </row>
    <row r="10099" spans="1:49">
      <c r="A10099" s="1">
        <f>HYPERLINK("https://lsnyc.legalserver.org/matter/dynamic-profile/view/1893970","19-1893970")</f>
        <v>0</v>
      </c>
      <c r="B10099" t="s">
        <v>273</v>
      </c>
      <c r="C10099" t="s">
        <v>341</v>
      </c>
      <c r="D10099" t="s">
        <v>755</v>
      </c>
      <c r="E10099" t="s">
        <v>832</v>
      </c>
      <c r="F10099" t="s">
        <v>4736</v>
      </c>
      <c r="G10099" t="s">
        <v>5199</v>
      </c>
      <c r="H10099" t="s">
        <v>15023</v>
      </c>
      <c r="I10099">
        <v>54</v>
      </c>
      <c r="J10099" t="s">
        <v>18893</v>
      </c>
      <c r="K10099">
        <v>10034</v>
      </c>
      <c r="L10099" t="s">
        <v>18960</v>
      </c>
      <c r="M10099" t="s">
        <v>18960</v>
      </c>
      <c r="N10099" t="s">
        <v>25851</v>
      </c>
      <c r="O10099" t="s">
        <v>26523</v>
      </c>
      <c r="P10099" t="s">
        <v>26564</v>
      </c>
      <c r="Q10099" t="s">
        <v>26570</v>
      </c>
      <c r="R10099" t="s">
        <v>26592</v>
      </c>
      <c r="S10099" t="s">
        <v>18959</v>
      </c>
      <c r="U10099" t="s">
        <v>26604</v>
      </c>
      <c r="X10099">
        <v>1200</v>
      </c>
      <c r="Y10099" t="s">
        <v>26651</v>
      </c>
      <c r="Z10099" t="s">
        <v>26530</v>
      </c>
      <c r="AA10099" t="s">
        <v>26683</v>
      </c>
      <c r="AB10099" t="s">
        <v>31753</v>
      </c>
      <c r="AD10099" t="s">
        <v>44626</v>
      </c>
      <c r="AE10099">
        <v>25</v>
      </c>
      <c r="AF10099" t="s">
        <v>20460</v>
      </c>
      <c r="AG10099" t="s">
        <v>19330</v>
      </c>
      <c r="AH10099">
        <v>19</v>
      </c>
      <c r="AI10099">
        <v>1</v>
      </c>
      <c r="AJ10099">
        <v>1</v>
      </c>
      <c r="AK10099">
        <v>165.58</v>
      </c>
      <c r="AN10099" t="s">
        <v>45581</v>
      </c>
      <c r="AO10099">
        <v>28000</v>
      </c>
      <c r="AU10099">
        <v>1</v>
      </c>
      <c r="AV10099" t="s">
        <v>755</v>
      </c>
      <c r="AW10099" t="s">
        <v>46846</v>
      </c>
    </row>
    <row r="10100" spans="1:49">
      <c r="A10100" s="1">
        <f>HYPERLINK("https://lsnyc.legalserver.org/matter/dynamic-profile/view/1889772","19-1889772")</f>
        <v>0</v>
      </c>
      <c r="B10100" t="s">
        <v>135</v>
      </c>
      <c r="C10100" t="s">
        <v>340</v>
      </c>
      <c r="D10100" t="s">
        <v>755</v>
      </c>
      <c r="F10100" t="s">
        <v>4737</v>
      </c>
      <c r="G10100" t="s">
        <v>9263</v>
      </c>
      <c r="H10100" t="s">
        <v>12634</v>
      </c>
      <c r="I10100" t="s">
        <v>17343</v>
      </c>
      <c r="J10100" t="s">
        <v>18892</v>
      </c>
      <c r="K10100">
        <v>10452</v>
      </c>
      <c r="L10100" t="s">
        <v>18958</v>
      </c>
      <c r="M10100" t="s">
        <v>18958</v>
      </c>
      <c r="P10100" t="s">
        <v>26564</v>
      </c>
      <c r="R10100" t="s">
        <v>26578</v>
      </c>
      <c r="S10100" t="s">
        <v>18959</v>
      </c>
      <c r="U10100" t="s">
        <v>26604</v>
      </c>
      <c r="X10100">
        <v>1181.64</v>
      </c>
      <c r="Y10100" t="s">
        <v>26650</v>
      </c>
      <c r="Z10100" t="s">
        <v>26663</v>
      </c>
      <c r="AB10100" t="s">
        <v>29285</v>
      </c>
      <c r="AE10100">
        <v>52</v>
      </c>
      <c r="AF10100" t="s">
        <v>45541</v>
      </c>
      <c r="AG10100" t="s">
        <v>19330</v>
      </c>
      <c r="AH10100">
        <v>4</v>
      </c>
      <c r="AI10100">
        <v>1</v>
      </c>
      <c r="AJ10100">
        <v>0</v>
      </c>
      <c r="AK10100">
        <v>337.07</v>
      </c>
      <c r="AN10100" t="s">
        <v>7439</v>
      </c>
      <c r="AO10100">
        <v>42100</v>
      </c>
      <c r="AP10100" t="s">
        <v>46216</v>
      </c>
      <c r="AU10100">
        <v>4.6</v>
      </c>
      <c r="AV10100" t="s">
        <v>832</v>
      </c>
      <c r="AW10100" t="s">
        <v>46847</v>
      </c>
    </row>
    <row r="10101" spans="1:49">
      <c r="A10101" s="1">
        <f>HYPERLINK("https://lsnyc.legalserver.org/matter/dynamic-profile/view/1893994","19-1893994")</f>
        <v>0</v>
      </c>
      <c r="B10101" t="s">
        <v>124</v>
      </c>
      <c r="C10101" t="s">
        <v>340</v>
      </c>
      <c r="D10101" t="s">
        <v>755</v>
      </c>
      <c r="F10101" t="s">
        <v>4738</v>
      </c>
      <c r="G10101" t="s">
        <v>9264</v>
      </c>
      <c r="H10101" t="s">
        <v>16490</v>
      </c>
      <c r="J10101" t="s">
        <v>18894</v>
      </c>
      <c r="K10101">
        <v>11214</v>
      </c>
      <c r="L10101" t="s">
        <v>18960</v>
      </c>
      <c r="M10101" t="s">
        <v>18960</v>
      </c>
      <c r="R10101" t="s">
        <v>26583</v>
      </c>
      <c r="U10101" t="s">
        <v>26604</v>
      </c>
      <c r="X10101">
        <v>900</v>
      </c>
      <c r="Y10101" t="s">
        <v>26652</v>
      </c>
      <c r="AB10101" t="s">
        <v>33794</v>
      </c>
      <c r="AD10101" t="s">
        <v>44627</v>
      </c>
      <c r="AE10101">
        <v>2</v>
      </c>
      <c r="AH10101">
        <v>33</v>
      </c>
      <c r="AI10101">
        <v>1</v>
      </c>
      <c r="AJ10101">
        <v>0</v>
      </c>
      <c r="AK10101">
        <v>365.09</v>
      </c>
      <c r="AN10101" t="s">
        <v>7439</v>
      </c>
      <c r="AO10101">
        <v>45600</v>
      </c>
      <c r="AU10101">
        <v>3.9</v>
      </c>
      <c r="AV10101" t="s">
        <v>810</v>
      </c>
      <c r="AW10101" t="s">
        <v>46850</v>
      </c>
    </row>
    <row r="10102" spans="1:49">
      <c r="A10102" s="1">
        <f>HYPERLINK("https://lsnyc.legalserver.org/matter/dynamic-profile/view/1893865","19-1893865")</f>
        <v>0</v>
      </c>
      <c r="B10102" t="s">
        <v>200</v>
      </c>
      <c r="C10102" t="s">
        <v>340</v>
      </c>
      <c r="D10102" t="s">
        <v>755</v>
      </c>
      <c r="F10102" t="s">
        <v>1228</v>
      </c>
      <c r="G10102" t="s">
        <v>8927</v>
      </c>
      <c r="H10102" t="s">
        <v>16491</v>
      </c>
      <c r="I10102" t="s">
        <v>17393</v>
      </c>
      <c r="J10102" t="s">
        <v>18894</v>
      </c>
      <c r="K10102">
        <v>11216</v>
      </c>
      <c r="L10102" t="s">
        <v>18960</v>
      </c>
      <c r="M10102" t="s">
        <v>18960</v>
      </c>
      <c r="N10102" t="s">
        <v>25852</v>
      </c>
      <c r="O10102" t="s">
        <v>26526</v>
      </c>
      <c r="P10102" t="s">
        <v>26563</v>
      </c>
      <c r="R10102" t="s">
        <v>26586</v>
      </c>
      <c r="U10102" t="s">
        <v>26607</v>
      </c>
      <c r="X10102">
        <v>1000</v>
      </c>
      <c r="Y10102" t="s">
        <v>26652</v>
      </c>
      <c r="Z10102" t="s">
        <v>26664</v>
      </c>
      <c r="AB10102" t="s">
        <v>33795</v>
      </c>
      <c r="AD10102" t="s">
        <v>44628</v>
      </c>
      <c r="AE10102">
        <v>4</v>
      </c>
      <c r="AG10102" t="s">
        <v>19330</v>
      </c>
      <c r="AH10102">
        <v>8</v>
      </c>
      <c r="AI10102">
        <v>2</v>
      </c>
      <c r="AJ10102">
        <v>1</v>
      </c>
      <c r="AK10102">
        <v>29.82</v>
      </c>
      <c r="AN10102" t="s">
        <v>45581</v>
      </c>
      <c r="AO10102">
        <v>6360</v>
      </c>
      <c r="AU10102">
        <v>1</v>
      </c>
      <c r="AV10102" t="s">
        <v>781</v>
      </c>
      <c r="AW10102" t="s">
        <v>46853</v>
      </c>
    </row>
    <row r="10103" spans="1:49">
      <c r="A10103" s="1">
        <f>HYPERLINK("https://lsnyc.legalserver.org/matter/dynamic-profile/view/1893344","19-1893344")</f>
        <v>0</v>
      </c>
      <c r="B10103" t="s">
        <v>104</v>
      </c>
      <c r="C10103" t="s">
        <v>340</v>
      </c>
      <c r="D10103" t="s">
        <v>755</v>
      </c>
      <c r="F10103" t="s">
        <v>4739</v>
      </c>
      <c r="G10103" t="s">
        <v>5607</v>
      </c>
      <c r="H10103" t="s">
        <v>16492</v>
      </c>
      <c r="I10103" t="s">
        <v>17306</v>
      </c>
      <c r="J10103" t="s">
        <v>18902</v>
      </c>
      <c r="K10103">
        <v>10301</v>
      </c>
      <c r="L10103" t="s">
        <v>18960</v>
      </c>
      <c r="M10103" t="s">
        <v>18960</v>
      </c>
      <c r="R10103" t="s">
        <v>26578</v>
      </c>
      <c r="U10103" t="s">
        <v>26604</v>
      </c>
      <c r="X10103">
        <v>0</v>
      </c>
      <c r="Y10103" t="s">
        <v>26654</v>
      </c>
      <c r="AB10103" t="s">
        <v>31845</v>
      </c>
      <c r="AD10103" t="s">
        <v>44629</v>
      </c>
      <c r="AE10103">
        <v>0</v>
      </c>
      <c r="AH10103">
        <v>0</v>
      </c>
      <c r="AI10103">
        <v>2</v>
      </c>
      <c r="AJ10103">
        <v>0</v>
      </c>
      <c r="AK10103">
        <v>60.89</v>
      </c>
      <c r="AN10103" t="s">
        <v>7439</v>
      </c>
      <c r="AO10103">
        <v>10296</v>
      </c>
      <c r="AU10103">
        <v>10</v>
      </c>
      <c r="AV10103" t="s">
        <v>839</v>
      </c>
      <c r="AW10103" t="s">
        <v>46852</v>
      </c>
    </row>
    <row r="10104" spans="1:49">
      <c r="A10104" s="1">
        <f>HYPERLINK("https://lsnyc.legalserver.org/matter/dynamic-profile/view/1893888","19-1893888")</f>
        <v>0</v>
      </c>
      <c r="B10104" t="s">
        <v>188</v>
      </c>
      <c r="C10104" t="s">
        <v>340</v>
      </c>
      <c r="D10104" t="s">
        <v>755</v>
      </c>
      <c r="F10104" t="s">
        <v>1228</v>
      </c>
      <c r="G10104" t="s">
        <v>5691</v>
      </c>
      <c r="H10104" t="s">
        <v>14336</v>
      </c>
      <c r="I10104">
        <v>59</v>
      </c>
      <c r="J10104" t="s">
        <v>18892</v>
      </c>
      <c r="K10104">
        <v>10458</v>
      </c>
      <c r="L10104" t="s">
        <v>18958</v>
      </c>
      <c r="M10104" t="s">
        <v>18958</v>
      </c>
      <c r="O10104" t="s">
        <v>26526</v>
      </c>
      <c r="P10104" t="s">
        <v>26560</v>
      </c>
      <c r="R10104" t="s">
        <v>26578</v>
      </c>
      <c r="S10104" t="s">
        <v>18958</v>
      </c>
      <c r="U10104" t="s">
        <v>26604</v>
      </c>
      <c r="X10104">
        <v>1092</v>
      </c>
      <c r="Y10104" t="s">
        <v>26650</v>
      </c>
      <c r="Z10104" t="s">
        <v>26663</v>
      </c>
      <c r="AB10104" t="s">
        <v>29704</v>
      </c>
      <c r="AC10104" t="s">
        <v>36191</v>
      </c>
      <c r="AD10104" t="s">
        <v>42013</v>
      </c>
      <c r="AE10104">
        <v>48</v>
      </c>
      <c r="AF10104" t="s">
        <v>45541</v>
      </c>
      <c r="AG10104" t="s">
        <v>45557</v>
      </c>
      <c r="AH10104">
        <v>6</v>
      </c>
      <c r="AI10104">
        <v>2</v>
      </c>
      <c r="AJ10104">
        <v>3</v>
      </c>
      <c r="AK10104">
        <v>41.52</v>
      </c>
      <c r="AN10104" t="s">
        <v>7439</v>
      </c>
      <c r="AO10104">
        <v>12528</v>
      </c>
      <c r="AU10104">
        <v>27.7</v>
      </c>
      <c r="AV10104" t="s">
        <v>829</v>
      </c>
      <c r="AW10104" t="s">
        <v>226</v>
      </c>
    </row>
    <row r="10105" spans="1:49">
      <c r="A10105" s="1">
        <f>HYPERLINK("https://lsnyc.legalserver.org/matter/dynamic-profile/view/1893960","19-1893960")</f>
        <v>0</v>
      </c>
      <c r="B10105" t="s">
        <v>188</v>
      </c>
      <c r="C10105" t="s">
        <v>340</v>
      </c>
      <c r="D10105" t="s">
        <v>755</v>
      </c>
      <c r="F10105" t="s">
        <v>970</v>
      </c>
      <c r="G10105" t="s">
        <v>7284</v>
      </c>
      <c r="H10105" t="s">
        <v>14336</v>
      </c>
      <c r="I10105">
        <v>25</v>
      </c>
      <c r="J10105" t="s">
        <v>18892</v>
      </c>
      <c r="K10105">
        <v>10458</v>
      </c>
      <c r="L10105" t="s">
        <v>18958</v>
      </c>
      <c r="M10105" t="s">
        <v>18958</v>
      </c>
      <c r="O10105" t="s">
        <v>26526</v>
      </c>
      <c r="P10105" t="s">
        <v>26560</v>
      </c>
      <c r="R10105" t="s">
        <v>26578</v>
      </c>
      <c r="S10105" t="s">
        <v>18958</v>
      </c>
      <c r="U10105" t="s">
        <v>26604</v>
      </c>
      <c r="X10105">
        <v>1300</v>
      </c>
      <c r="Y10105" t="s">
        <v>26650</v>
      </c>
      <c r="Z10105" t="s">
        <v>26663</v>
      </c>
      <c r="AB10105" t="s">
        <v>33734</v>
      </c>
      <c r="AE10105">
        <v>48</v>
      </c>
      <c r="AF10105" t="s">
        <v>45541</v>
      </c>
      <c r="AG10105" t="s">
        <v>26530</v>
      </c>
      <c r="AH10105">
        <v>10</v>
      </c>
      <c r="AI10105">
        <v>1</v>
      </c>
      <c r="AJ10105">
        <v>0</v>
      </c>
      <c r="AK10105">
        <v>115.29</v>
      </c>
      <c r="AN10105" t="s">
        <v>7439</v>
      </c>
      <c r="AO10105">
        <v>14400</v>
      </c>
      <c r="AU10105">
        <v>0.7</v>
      </c>
      <c r="AV10105" t="s">
        <v>755</v>
      </c>
      <c r="AW10105" t="s">
        <v>226</v>
      </c>
    </row>
    <row r="10106" spans="1:49">
      <c r="A10106" s="1">
        <f>HYPERLINK("https://lsnyc.legalserver.org/matter/dynamic-profile/view/1894012","19-1894012")</f>
        <v>0</v>
      </c>
      <c r="B10106" t="s">
        <v>188</v>
      </c>
      <c r="C10106" t="s">
        <v>340</v>
      </c>
      <c r="D10106" t="s">
        <v>755</v>
      </c>
      <c r="F10106" t="s">
        <v>1673</v>
      </c>
      <c r="G10106" t="s">
        <v>5967</v>
      </c>
      <c r="H10106" t="s">
        <v>14336</v>
      </c>
      <c r="I10106">
        <v>38</v>
      </c>
      <c r="J10106" t="s">
        <v>18892</v>
      </c>
      <c r="K10106">
        <v>10458</v>
      </c>
      <c r="L10106" t="s">
        <v>18958</v>
      </c>
      <c r="M10106" t="s">
        <v>18958</v>
      </c>
      <c r="O10106" t="s">
        <v>26526</v>
      </c>
      <c r="P10106" t="s">
        <v>26560</v>
      </c>
      <c r="R10106" t="s">
        <v>26578</v>
      </c>
      <c r="S10106" t="s">
        <v>18958</v>
      </c>
      <c r="U10106" t="s">
        <v>26604</v>
      </c>
      <c r="X10106">
        <v>1648</v>
      </c>
      <c r="Y10106" t="s">
        <v>26650</v>
      </c>
      <c r="Z10106" t="s">
        <v>26663</v>
      </c>
      <c r="AB10106" t="s">
        <v>29619</v>
      </c>
      <c r="AE10106">
        <v>48</v>
      </c>
      <c r="AF10106" t="s">
        <v>45541</v>
      </c>
      <c r="AG10106" t="s">
        <v>45556</v>
      </c>
      <c r="AH10106">
        <v>6</v>
      </c>
      <c r="AI10106">
        <v>1</v>
      </c>
      <c r="AJ10106">
        <v>0</v>
      </c>
      <c r="AK10106">
        <v>134.89</v>
      </c>
      <c r="AN10106" t="s">
        <v>7439</v>
      </c>
      <c r="AO10106">
        <v>16848</v>
      </c>
      <c r="AU10106">
        <v>1</v>
      </c>
      <c r="AV10106" t="s">
        <v>755</v>
      </c>
      <c r="AW10106" t="s">
        <v>226</v>
      </c>
    </row>
    <row r="10107" spans="1:49">
      <c r="A10107" s="1">
        <f>HYPERLINK("https://lsnyc.legalserver.org/matter/dynamic-profile/view/1893963","19-1893963")</f>
        <v>0</v>
      </c>
      <c r="B10107" t="s">
        <v>188</v>
      </c>
      <c r="C10107" t="s">
        <v>340</v>
      </c>
      <c r="D10107" t="s">
        <v>755</v>
      </c>
      <c r="F10107" t="s">
        <v>4740</v>
      </c>
      <c r="G10107" t="s">
        <v>5966</v>
      </c>
      <c r="H10107" t="s">
        <v>14336</v>
      </c>
      <c r="I10107">
        <v>2</v>
      </c>
      <c r="J10107" t="s">
        <v>18892</v>
      </c>
      <c r="K10107">
        <v>10458</v>
      </c>
      <c r="L10107" t="s">
        <v>18958</v>
      </c>
      <c r="M10107" t="s">
        <v>18958</v>
      </c>
      <c r="O10107" t="s">
        <v>26526</v>
      </c>
      <c r="P10107" t="s">
        <v>26560</v>
      </c>
      <c r="R10107" t="s">
        <v>26578</v>
      </c>
      <c r="S10107" t="s">
        <v>18958</v>
      </c>
      <c r="U10107" t="s">
        <v>26604</v>
      </c>
      <c r="X10107">
        <v>1340</v>
      </c>
      <c r="Y10107" t="s">
        <v>26650</v>
      </c>
      <c r="Z10107" t="s">
        <v>26663</v>
      </c>
      <c r="AB10107" t="s">
        <v>33796</v>
      </c>
      <c r="AD10107" t="s">
        <v>44630</v>
      </c>
      <c r="AE10107">
        <v>48</v>
      </c>
      <c r="AF10107" t="s">
        <v>45541</v>
      </c>
      <c r="AG10107" t="s">
        <v>19330</v>
      </c>
      <c r="AH10107">
        <v>30</v>
      </c>
      <c r="AI10107">
        <v>4</v>
      </c>
      <c r="AJ10107">
        <v>0</v>
      </c>
      <c r="AK10107">
        <v>566.99</v>
      </c>
      <c r="AN10107" t="s">
        <v>7439</v>
      </c>
      <c r="AO10107">
        <v>146000</v>
      </c>
      <c r="AU10107">
        <v>1</v>
      </c>
      <c r="AV10107" t="s">
        <v>755</v>
      </c>
      <c r="AW10107" t="s">
        <v>226</v>
      </c>
    </row>
    <row r="10108" spans="1:49">
      <c r="A10108" s="1">
        <f>HYPERLINK("https://lsnyc.legalserver.org/matter/dynamic-profile/view/1893908","19-1893908")</f>
        <v>0</v>
      </c>
      <c r="B10108" t="s">
        <v>175</v>
      </c>
      <c r="C10108" t="s">
        <v>340</v>
      </c>
      <c r="D10108" t="s">
        <v>755</v>
      </c>
      <c r="F10108" t="s">
        <v>1066</v>
      </c>
      <c r="G10108" t="s">
        <v>9265</v>
      </c>
      <c r="H10108" t="s">
        <v>16493</v>
      </c>
      <c r="I10108" t="s">
        <v>17277</v>
      </c>
      <c r="J10108" t="s">
        <v>18894</v>
      </c>
      <c r="K10108">
        <v>11235</v>
      </c>
      <c r="L10108" t="s">
        <v>18960</v>
      </c>
      <c r="M10108" t="s">
        <v>18960</v>
      </c>
      <c r="P10108" t="s">
        <v>26565</v>
      </c>
      <c r="R10108" t="s">
        <v>26596</v>
      </c>
      <c r="U10108" t="s">
        <v>26607</v>
      </c>
      <c r="X10108">
        <v>0</v>
      </c>
      <c r="Y10108" t="s">
        <v>26652</v>
      </c>
      <c r="AB10108" t="s">
        <v>33797</v>
      </c>
      <c r="AD10108" t="s">
        <v>44631</v>
      </c>
      <c r="AE10108">
        <v>0</v>
      </c>
      <c r="AH10108">
        <v>0</v>
      </c>
      <c r="AI10108">
        <v>1</v>
      </c>
      <c r="AJ10108">
        <v>0</v>
      </c>
      <c r="AK10108">
        <v>81.76000000000001</v>
      </c>
      <c r="AN10108" t="s">
        <v>45586</v>
      </c>
      <c r="AO10108">
        <v>10212</v>
      </c>
      <c r="AU10108">
        <v>5.25</v>
      </c>
      <c r="AV10108" t="s">
        <v>825</v>
      </c>
      <c r="AW10108" t="s">
        <v>175</v>
      </c>
    </row>
    <row r="10109" spans="1:49">
      <c r="A10109" s="1">
        <f>HYPERLINK("https://lsnyc.legalserver.org/matter/dynamic-profile/view/1894116","19-1894116")</f>
        <v>0</v>
      </c>
      <c r="B10109" t="s">
        <v>300</v>
      </c>
      <c r="C10109" t="s">
        <v>341</v>
      </c>
      <c r="D10109" t="s">
        <v>786</v>
      </c>
      <c r="E10109" t="s">
        <v>818</v>
      </c>
      <c r="F10109" t="s">
        <v>3135</v>
      </c>
      <c r="G10109" t="s">
        <v>5827</v>
      </c>
      <c r="H10109" t="s">
        <v>16494</v>
      </c>
      <c r="I10109" t="s">
        <v>18752</v>
      </c>
      <c r="J10109" t="s">
        <v>18893</v>
      </c>
      <c r="K10109">
        <v>10034</v>
      </c>
      <c r="L10109" t="s">
        <v>18960</v>
      </c>
      <c r="M10109" t="s">
        <v>18960</v>
      </c>
      <c r="N10109" t="s">
        <v>25853</v>
      </c>
      <c r="O10109" t="s">
        <v>26524</v>
      </c>
      <c r="Q10109" t="s">
        <v>26570</v>
      </c>
      <c r="R10109" t="s">
        <v>26592</v>
      </c>
      <c r="U10109" t="s">
        <v>26604</v>
      </c>
      <c r="X10109">
        <v>1073</v>
      </c>
      <c r="Y10109" t="s">
        <v>26651</v>
      </c>
      <c r="Z10109" t="s">
        <v>26657</v>
      </c>
      <c r="AA10109" t="s">
        <v>26683</v>
      </c>
      <c r="AB10109" t="s">
        <v>33798</v>
      </c>
      <c r="AD10109" t="s">
        <v>44632</v>
      </c>
      <c r="AE10109">
        <v>100</v>
      </c>
      <c r="AF10109" t="s">
        <v>45548</v>
      </c>
      <c r="AH10109">
        <v>22</v>
      </c>
      <c r="AI10109">
        <v>4</v>
      </c>
      <c r="AJ10109">
        <v>0</v>
      </c>
      <c r="AK10109">
        <v>35.7</v>
      </c>
      <c r="AN10109" t="s">
        <v>7439</v>
      </c>
      <c r="AO10109">
        <v>9192</v>
      </c>
      <c r="AU10109">
        <v>0.1</v>
      </c>
      <c r="AV10109" t="s">
        <v>786</v>
      </c>
      <c r="AW10109" t="s">
        <v>46849</v>
      </c>
    </row>
    <row r="10110" spans="1:49">
      <c r="A10110" s="1">
        <f>HYPERLINK("https://lsnyc.legalserver.org/matter/dynamic-profile/view/1894041","19-1894041")</f>
        <v>0</v>
      </c>
      <c r="B10110" t="s">
        <v>257</v>
      </c>
      <c r="C10110" t="s">
        <v>341</v>
      </c>
      <c r="D10110" t="s">
        <v>786</v>
      </c>
      <c r="E10110" t="s">
        <v>761</v>
      </c>
      <c r="F10110" t="s">
        <v>1165</v>
      </c>
      <c r="G10110" t="s">
        <v>8402</v>
      </c>
      <c r="H10110" t="s">
        <v>16495</v>
      </c>
      <c r="I10110" t="s">
        <v>17334</v>
      </c>
      <c r="J10110" t="s">
        <v>18894</v>
      </c>
      <c r="K10110">
        <v>11233</v>
      </c>
      <c r="L10110" t="s">
        <v>18960</v>
      </c>
      <c r="M10110" t="s">
        <v>18960</v>
      </c>
      <c r="P10110" t="s">
        <v>26564</v>
      </c>
      <c r="Q10110" t="s">
        <v>26570</v>
      </c>
      <c r="R10110" t="s">
        <v>26583</v>
      </c>
      <c r="U10110" t="s">
        <v>26604</v>
      </c>
      <c r="X10110">
        <v>1168</v>
      </c>
      <c r="Y10110" t="s">
        <v>26652</v>
      </c>
      <c r="Z10110" t="s">
        <v>26530</v>
      </c>
      <c r="AA10110" t="s">
        <v>26679</v>
      </c>
      <c r="AB10110" t="s">
        <v>30616</v>
      </c>
      <c r="AD10110" t="s">
        <v>44633</v>
      </c>
      <c r="AE10110">
        <v>6</v>
      </c>
      <c r="AF10110" t="s">
        <v>20460</v>
      </c>
      <c r="AH10110">
        <v>10</v>
      </c>
      <c r="AI10110">
        <v>1</v>
      </c>
      <c r="AJ10110">
        <v>0</v>
      </c>
      <c r="AK10110">
        <v>170.44</v>
      </c>
      <c r="AN10110" t="s">
        <v>7439</v>
      </c>
      <c r="AO10110">
        <v>21288</v>
      </c>
      <c r="AU10110">
        <v>1.3</v>
      </c>
      <c r="AV10110" t="s">
        <v>775</v>
      </c>
      <c r="AW10110" t="s">
        <v>46849</v>
      </c>
    </row>
    <row r="10111" spans="1:49">
      <c r="A10111" s="1">
        <f>HYPERLINK("https://lsnyc.legalserver.org/matter/dynamic-profile/view/1894060","19-1894060")</f>
        <v>0</v>
      </c>
      <c r="B10111" t="s">
        <v>280</v>
      </c>
      <c r="C10111" t="s">
        <v>340</v>
      </c>
      <c r="D10111" t="s">
        <v>786</v>
      </c>
      <c r="F10111" t="s">
        <v>4741</v>
      </c>
      <c r="G10111" t="s">
        <v>9266</v>
      </c>
      <c r="H10111" t="s">
        <v>16496</v>
      </c>
      <c r="I10111" t="s">
        <v>18753</v>
      </c>
      <c r="J10111" t="s">
        <v>18915</v>
      </c>
      <c r="K10111">
        <v>11372</v>
      </c>
      <c r="L10111" t="s">
        <v>18960</v>
      </c>
      <c r="M10111" t="s">
        <v>18960</v>
      </c>
      <c r="R10111" t="s">
        <v>26591</v>
      </c>
      <c r="U10111" t="s">
        <v>26604</v>
      </c>
      <c r="X10111">
        <v>2000</v>
      </c>
      <c r="Y10111" t="s">
        <v>26653</v>
      </c>
      <c r="AB10111" t="s">
        <v>33799</v>
      </c>
      <c r="AD10111" t="s">
        <v>44634</v>
      </c>
      <c r="AE10111">
        <v>83</v>
      </c>
      <c r="AH10111">
        <v>45</v>
      </c>
      <c r="AI10111">
        <v>1</v>
      </c>
      <c r="AJ10111">
        <v>0</v>
      </c>
      <c r="AK10111">
        <v>74.94</v>
      </c>
      <c r="AN10111" t="s">
        <v>7439</v>
      </c>
      <c r="AO10111">
        <v>9360</v>
      </c>
      <c r="AU10111">
        <v>0.9</v>
      </c>
      <c r="AV10111" t="s">
        <v>819</v>
      </c>
      <c r="AW10111" t="s">
        <v>46850</v>
      </c>
    </row>
    <row r="10112" spans="1:49">
      <c r="A10112" s="1">
        <f>HYPERLINK("https://lsnyc.legalserver.org/matter/dynamic-profile/view/1894086","19-1894086")</f>
        <v>0</v>
      </c>
      <c r="B10112" t="s">
        <v>277</v>
      </c>
      <c r="C10112" t="s">
        <v>340</v>
      </c>
      <c r="D10112" t="s">
        <v>786</v>
      </c>
      <c r="F10112" t="s">
        <v>916</v>
      </c>
      <c r="G10112" t="s">
        <v>9267</v>
      </c>
      <c r="H10112" t="s">
        <v>16497</v>
      </c>
      <c r="I10112" t="s">
        <v>18754</v>
      </c>
      <c r="J10112" t="s">
        <v>18915</v>
      </c>
      <c r="K10112">
        <v>11372</v>
      </c>
      <c r="L10112" t="s">
        <v>18958</v>
      </c>
      <c r="M10112" t="s">
        <v>18958</v>
      </c>
      <c r="N10112" t="s">
        <v>25854</v>
      </c>
      <c r="O10112" t="s">
        <v>26523</v>
      </c>
      <c r="P10112" t="s">
        <v>26560</v>
      </c>
      <c r="R10112" t="s">
        <v>26584</v>
      </c>
      <c r="S10112" t="s">
        <v>18959</v>
      </c>
      <c r="U10112" t="s">
        <v>26604</v>
      </c>
      <c r="V10112" t="s">
        <v>26610</v>
      </c>
      <c r="X10112">
        <v>1410</v>
      </c>
      <c r="Y10112" t="s">
        <v>26653</v>
      </c>
      <c r="Z10112" t="s">
        <v>26664</v>
      </c>
      <c r="AB10112" t="s">
        <v>33800</v>
      </c>
      <c r="AC10112" t="s">
        <v>36696</v>
      </c>
      <c r="AD10112" t="s">
        <v>44635</v>
      </c>
      <c r="AE10112">
        <v>10</v>
      </c>
      <c r="AF10112" t="s">
        <v>45541</v>
      </c>
      <c r="AG10112" t="s">
        <v>45557</v>
      </c>
      <c r="AH10112">
        <v>4</v>
      </c>
      <c r="AI10112">
        <v>1</v>
      </c>
      <c r="AJ10112">
        <v>1</v>
      </c>
      <c r="AK10112">
        <v>0</v>
      </c>
      <c r="AM10112" t="s">
        <v>45575</v>
      </c>
      <c r="AN10112" t="s">
        <v>7439</v>
      </c>
      <c r="AO10112">
        <v>0</v>
      </c>
      <c r="AU10112">
        <v>12.5</v>
      </c>
      <c r="AV10112" t="s">
        <v>823</v>
      </c>
      <c r="AW10112" t="s">
        <v>93</v>
      </c>
    </row>
    <row r="10113" spans="1:49">
      <c r="A10113" s="1">
        <f>HYPERLINK("https://lsnyc.legalserver.org/matter/dynamic-profile/view/1893014","19-1893014")</f>
        <v>0</v>
      </c>
      <c r="B10113" t="s">
        <v>109</v>
      </c>
      <c r="C10113" t="s">
        <v>340</v>
      </c>
      <c r="D10113" t="s">
        <v>786</v>
      </c>
      <c r="F10113" t="s">
        <v>4717</v>
      </c>
      <c r="G10113" t="s">
        <v>6691</v>
      </c>
      <c r="H10113" t="s">
        <v>14626</v>
      </c>
      <c r="I10113">
        <v>211</v>
      </c>
      <c r="J10113" t="s">
        <v>18902</v>
      </c>
      <c r="K10113">
        <v>10305</v>
      </c>
      <c r="L10113" t="s">
        <v>18960</v>
      </c>
      <c r="M10113" t="s">
        <v>18960</v>
      </c>
      <c r="N10113" t="s">
        <v>25855</v>
      </c>
      <c r="O10113" t="s">
        <v>26523</v>
      </c>
      <c r="R10113" t="s">
        <v>26578</v>
      </c>
      <c r="S10113" t="s">
        <v>18959</v>
      </c>
      <c r="U10113" t="s">
        <v>26604</v>
      </c>
      <c r="V10113" t="s">
        <v>26610</v>
      </c>
      <c r="X10113">
        <v>740</v>
      </c>
      <c r="Y10113" t="s">
        <v>26654</v>
      </c>
      <c r="Z10113" t="s">
        <v>26657</v>
      </c>
      <c r="AB10113" t="s">
        <v>33801</v>
      </c>
      <c r="AD10113" t="s">
        <v>44636</v>
      </c>
      <c r="AE10113">
        <v>0</v>
      </c>
      <c r="AF10113" t="s">
        <v>45541</v>
      </c>
      <c r="AH10113">
        <v>9</v>
      </c>
      <c r="AI10113">
        <v>1</v>
      </c>
      <c r="AJ10113">
        <v>0</v>
      </c>
      <c r="AK10113">
        <v>220.98</v>
      </c>
      <c r="AN10113" t="s">
        <v>7439</v>
      </c>
      <c r="AO10113">
        <v>27600</v>
      </c>
      <c r="AU10113">
        <v>0.75</v>
      </c>
      <c r="AV10113" t="s">
        <v>786</v>
      </c>
      <c r="AW10113" t="s">
        <v>210</v>
      </c>
    </row>
    <row r="10114" spans="1:49">
      <c r="A10114" s="1">
        <f>HYPERLINK("https://lsnyc.legalserver.org/matter/dynamic-profile/view/1894324","19-1894324")</f>
        <v>0</v>
      </c>
      <c r="B10114" t="s">
        <v>325</v>
      </c>
      <c r="C10114" t="s">
        <v>341</v>
      </c>
      <c r="D10114" t="s">
        <v>775</v>
      </c>
      <c r="E10114" t="s">
        <v>831</v>
      </c>
      <c r="F10114" t="s">
        <v>874</v>
      </c>
      <c r="G10114" t="s">
        <v>9268</v>
      </c>
      <c r="H10114" t="s">
        <v>12937</v>
      </c>
      <c r="I10114">
        <v>724</v>
      </c>
      <c r="J10114" t="s">
        <v>18894</v>
      </c>
      <c r="K10114">
        <v>11217</v>
      </c>
      <c r="L10114" t="s">
        <v>18960</v>
      </c>
      <c r="M10114" t="s">
        <v>18960</v>
      </c>
      <c r="P10114" t="s">
        <v>26564</v>
      </c>
      <c r="Q10114" t="s">
        <v>26570</v>
      </c>
      <c r="R10114" t="s">
        <v>26591</v>
      </c>
      <c r="U10114" t="s">
        <v>26607</v>
      </c>
      <c r="X10114">
        <v>0</v>
      </c>
      <c r="Y10114" t="s">
        <v>26652</v>
      </c>
      <c r="AA10114" t="s">
        <v>26683</v>
      </c>
      <c r="AB10114" t="s">
        <v>33802</v>
      </c>
      <c r="AD10114" t="s">
        <v>44637</v>
      </c>
      <c r="AE10114">
        <v>0</v>
      </c>
      <c r="AH10114">
        <v>0</v>
      </c>
      <c r="AI10114">
        <v>1</v>
      </c>
      <c r="AJ10114">
        <v>0</v>
      </c>
      <c r="AK10114">
        <v>0</v>
      </c>
      <c r="AO10114">
        <v>0</v>
      </c>
      <c r="AU10114">
        <v>0.7</v>
      </c>
      <c r="AV10114" t="s">
        <v>831</v>
      </c>
      <c r="AW10114" t="s">
        <v>325</v>
      </c>
    </row>
    <row r="10115" spans="1:49">
      <c r="A10115" s="1">
        <f>HYPERLINK("https://lsnyc.legalserver.org/matter/dynamic-profile/view/1894327","19-1894327")</f>
        <v>0</v>
      </c>
      <c r="B10115" t="s">
        <v>93</v>
      </c>
      <c r="C10115" t="s">
        <v>341</v>
      </c>
      <c r="D10115" t="s">
        <v>775</v>
      </c>
      <c r="E10115" t="s">
        <v>802</v>
      </c>
      <c r="F10115" t="s">
        <v>4467</v>
      </c>
      <c r="G10115" t="s">
        <v>9269</v>
      </c>
      <c r="H10115" t="s">
        <v>16498</v>
      </c>
      <c r="I10115" t="s">
        <v>18755</v>
      </c>
      <c r="J10115" t="s">
        <v>18911</v>
      </c>
      <c r="K10115">
        <v>11375</v>
      </c>
      <c r="L10115" t="s">
        <v>18958</v>
      </c>
      <c r="M10115" t="s">
        <v>18958</v>
      </c>
      <c r="N10115" t="s">
        <v>25856</v>
      </c>
      <c r="O10115" t="s">
        <v>26523</v>
      </c>
      <c r="P10115" t="s">
        <v>26564</v>
      </c>
      <c r="Q10115" t="s">
        <v>26570</v>
      </c>
      <c r="R10115" t="s">
        <v>26584</v>
      </c>
      <c r="S10115" t="s">
        <v>18959</v>
      </c>
      <c r="U10115" t="s">
        <v>26604</v>
      </c>
      <c r="V10115" t="s">
        <v>26610</v>
      </c>
      <c r="X10115">
        <v>2062</v>
      </c>
      <c r="Y10115" t="s">
        <v>26653</v>
      </c>
      <c r="Z10115" t="s">
        <v>26664</v>
      </c>
      <c r="AA10115" t="s">
        <v>26683</v>
      </c>
      <c r="AB10115" t="s">
        <v>33803</v>
      </c>
      <c r="AC10115" t="s">
        <v>19045</v>
      </c>
      <c r="AD10115" t="s">
        <v>44638</v>
      </c>
      <c r="AE10115">
        <v>10</v>
      </c>
      <c r="AF10115" t="s">
        <v>45541</v>
      </c>
      <c r="AH10115">
        <v>6</v>
      </c>
      <c r="AI10115">
        <v>1</v>
      </c>
      <c r="AJ10115">
        <v>0</v>
      </c>
      <c r="AK10115">
        <v>176.14</v>
      </c>
      <c r="AN10115" t="s">
        <v>7439</v>
      </c>
      <c r="AO10115">
        <v>22000</v>
      </c>
      <c r="AU10115">
        <v>2.45</v>
      </c>
      <c r="AV10115" t="s">
        <v>793</v>
      </c>
      <c r="AW10115" t="s">
        <v>93</v>
      </c>
    </row>
    <row r="10116" spans="1:49">
      <c r="A10116" s="1">
        <f>HYPERLINK("https://lsnyc.legalserver.org/matter/dynamic-profile/view/1894198","19-1894198")</f>
        <v>0</v>
      </c>
      <c r="B10116" t="s">
        <v>280</v>
      </c>
      <c r="C10116" t="s">
        <v>340</v>
      </c>
      <c r="D10116" t="s">
        <v>775</v>
      </c>
      <c r="F10116" t="s">
        <v>4742</v>
      </c>
      <c r="G10116" t="s">
        <v>5366</v>
      </c>
      <c r="H10116" t="s">
        <v>16499</v>
      </c>
      <c r="I10116">
        <v>2</v>
      </c>
      <c r="J10116" t="s">
        <v>18898</v>
      </c>
      <c r="K10116">
        <v>11691</v>
      </c>
      <c r="L10116" t="s">
        <v>18960</v>
      </c>
      <c r="M10116" t="s">
        <v>18960</v>
      </c>
      <c r="R10116" t="s">
        <v>26591</v>
      </c>
      <c r="U10116" t="s">
        <v>26604</v>
      </c>
      <c r="X10116">
        <v>0</v>
      </c>
      <c r="Y10116" t="s">
        <v>26653</v>
      </c>
      <c r="AB10116" t="s">
        <v>32032</v>
      </c>
      <c r="AD10116" t="s">
        <v>44639</v>
      </c>
      <c r="AE10116">
        <v>0</v>
      </c>
      <c r="AG10116" t="s">
        <v>45556</v>
      </c>
      <c r="AH10116">
        <v>0</v>
      </c>
      <c r="AI10116">
        <v>1</v>
      </c>
      <c r="AJ10116">
        <v>1</v>
      </c>
      <c r="AK10116">
        <v>54.71</v>
      </c>
      <c r="AN10116" t="s">
        <v>7439</v>
      </c>
      <c r="AO10116">
        <v>9252</v>
      </c>
      <c r="AU10116">
        <v>1.3</v>
      </c>
      <c r="AV10116" t="s">
        <v>793</v>
      </c>
      <c r="AW10116" t="s">
        <v>46859</v>
      </c>
    </row>
    <row r="10117" spans="1:49">
      <c r="A10117" s="1">
        <f>HYPERLINK("https://lsnyc.legalserver.org/matter/dynamic-profile/view/1894205","19-1894205")</f>
        <v>0</v>
      </c>
      <c r="B10117" t="s">
        <v>153</v>
      </c>
      <c r="C10117" t="s">
        <v>340</v>
      </c>
      <c r="D10117" t="s">
        <v>775</v>
      </c>
      <c r="F10117" t="s">
        <v>1587</v>
      </c>
      <c r="G10117" t="s">
        <v>6066</v>
      </c>
      <c r="H10117" t="s">
        <v>16500</v>
      </c>
      <c r="I10117" t="s">
        <v>17331</v>
      </c>
      <c r="J10117" t="s">
        <v>18902</v>
      </c>
      <c r="K10117">
        <v>10302</v>
      </c>
      <c r="L10117" t="s">
        <v>18960</v>
      </c>
      <c r="M10117" t="s">
        <v>18960</v>
      </c>
      <c r="R10117" t="s">
        <v>26591</v>
      </c>
      <c r="U10117" t="s">
        <v>26604</v>
      </c>
      <c r="X10117">
        <v>1536</v>
      </c>
      <c r="Y10117" t="s">
        <v>26654</v>
      </c>
      <c r="Z10117" t="s">
        <v>26659</v>
      </c>
      <c r="AB10117" t="s">
        <v>33269</v>
      </c>
      <c r="AD10117" t="s">
        <v>44640</v>
      </c>
      <c r="AE10117">
        <v>4</v>
      </c>
      <c r="AG10117" t="s">
        <v>45557</v>
      </c>
      <c r="AH10117">
        <v>1</v>
      </c>
      <c r="AI10117">
        <v>1</v>
      </c>
      <c r="AJ10117">
        <v>2</v>
      </c>
      <c r="AK10117">
        <v>21.83</v>
      </c>
      <c r="AN10117" t="s">
        <v>7439</v>
      </c>
      <c r="AO10117">
        <v>4656</v>
      </c>
      <c r="AU10117">
        <v>4.8</v>
      </c>
      <c r="AV10117" t="s">
        <v>720</v>
      </c>
      <c r="AW10117" t="s">
        <v>46858</v>
      </c>
    </row>
    <row r="10118" spans="1:49">
      <c r="A10118" s="1">
        <f>HYPERLINK("https://lsnyc.legalserver.org/matter/dynamic-profile/view/1892835","19-1892835")</f>
        <v>0</v>
      </c>
      <c r="B10118" t="s">
        <v>153</v>
      </c>
      <c r="C10118" t="s">
        <v>340</v>
      </c>
      <c r="D10118" t="s">
        <v>775</v>
      </c>
      <c r="F10118" t="s">
        <v>1225</v>
      </c>
      <c r="G10118" t="s">
        <v>9270</v>
      </c>
      <c r="H10118" t="s">
        <v>16501</v>
      </c>
      <c r="J10118" t="s">
        <v>18902</v>
      </c>
      <c r="K10118">
        <v>10304</v>
      </c>
      <c r="L10118" t="s">
        <v>18960</v>
      </c>
      <c r="M10118" t="s">
        <v>18960</v>
      </c>
      <c r="R10118" t="s">
        <v>26578</v>
      </c>
      <c r="U10118" t="s">
        <v>26604</v>
      </c>
      <c r="X10118">
        <v>0</v>
      </c>
      <c r="Y10118" t="s">
        <v>26654</v>
      </c>
      <c r="AB10118" t="s">
        <v>33804</v>
      </c>
      <c r="AD10118" t="s">
        <v>44641</v>
      </c>
      <c r="AE10118">
        <v>0</v>
      </c>
      <c r="AH10118">
        <v>0</v>
      </c>
      <c r="AI10118">
        <v>4</v>
      </c>
      <c r="AJ10118">
        <v>1</v>
      </c>
      <c r="AK10118">
        <v>68.61</v>
      </c>
      <c r="AN10118" t="s">
        <v>7439</v>
      </c>
      <c r="AO10118">
        <v>20700</v>
      </c>
      <c r="AU10118">
        <v>7.3</v>
      </c>
      <c r="AV10118" t="s">
        <v>819</v>
      </c>
      <c r="AW10118" t="s">
        <v>46855</v>
      </c>
    </row>
    <row r="10119" spans="1:49">
      <c r="A10119" s="1">
        <f>HYPERLINK("https://lsnyc.legalserver.org/matter/dynamic-profile/view/1894248","19-1894248")</f>
        <v>0</v>
      </c>
      <c r="B10119" t="s">
        <v>232</v>
      </c>
      <c r="C10119" t="s">
        <v>340</v>
      </c>
      <c r="D10119" t="s">
        <v>775</v>
      </c>
      <c r="F10119" t="s">
        <v>2272</v>
      </c>
      <c r="G10119" t="s">
        <v>7285</v>
      </c>
      <c r="H10119" t="s">
        <v>16502</v>
      </c>
      <c r="I10119">
        <v>4</v>
      </c>
      <c r="J10119" t="s">
        <v>18894</v>
      </c>
      <c r="K10119">
        <v>11226</v>
      </c>
      <c r="L10119" t="s">
        <v>18959</v>
      </c>
      <c r="M10119" t="s">
        <v>18958</v>
      </c>
      <c r="N10119" t="s">
        <v>25857</v>
      </c>
      <c r="O10119" t="s">
        <v>26523</v>
      </c>
      <c r="P10119" t="s">
        <v>26563</v>
      </c>
      <c r="R10119" t="s">
        <v>26588</v>
      </c>
      <c r="U10119" t="s">
        <v>26604</v>
      </c>
      <c r="X10119">
        <v>705.87</v>
      </c>
      <c r="Y10119" t="s">
        <v>26652</v>
      </c>
      <c r="Z10119" t="s">
        <v>26664</v>
      </c>
      <c r="AB10119" t="s">
        <v>28817</v>
      </c>
      <c r="AE10119">
        <v>16</v>
      </c>
      <c r="AG10119" t="s">
        <v>19330</v>
      </c>
      <c r="AH10119">
        <v>40</v>
      </c>
      <c r="AI10119">
        <v>1</v>
      </c>
      <c r="AJ10119">
        <v>0</v>
      </c>
      <c r="AK10119">
        <v>160.13</v>
      </c>
      <c r="AN10119" t="s">
        <v>7439</v>
      </c>
      <c r="AO10119">
        <v>20000</v>
      </c>
      <c r="AU10119">
        <v>9.550000000000001</v>
      </c>
      <c r="AV10119" t="s">
        <v>806</v>
      </c>
      <c r="AW10119" t="s">
        <v>46862</v>
      </c>
    </row>
    <row r="10120" spans="1:49">
      <c r="A10120" s="1">
        <f>HYPERLINK("https://lsnyc.legalserver.org/matter/dynamic-profile/view/1894262","19-1894262")</f>
        <v>0</v>
      </c>
      <c r="B10120" t="s">
        <v>200</v>
      </c>
      <c r="C10120" t="s">
        <v>340</v>
      </c>
      <c r="D10120" t="s">
        <v>775</v>
      </c>
      <c r="F10120" t="s">
        <v>1527</v>
      </c>
      <c r="G10120" t="s">
        <v>5678</v>
      </c>
      <c r="H10120" t="s">
        <v>16503</v>
      </c>
      <c r="I10120" t="s">
        <v>17362</v>
      </c>
      <c r="J10120" t="s">
        <v>18894</v>
      </c>
      <c r="K10120">
        <v>11231</v>
      </c>
      <c r="L10120" t="s">
        <v>18960</v>
      </c>
      <c r="M10120" t="s">
        <v>18960</v>
      </c>
      <c r="R10120" t="s">
        <v>26591</v>
      </c>
      <c r="U10120" t="s">
        <v>26604</v>
      </c>
      <c r="X10120">
        <v>380</v>
      </c>
      <c r="Y10120" t="s">
        <v>26652</v>
      </c>
      <c r="Z10120" t="s">
        <v>26659</v>
      </c>
      <c r="AB10120" t="s">
        <v>27131</v>
      </c>
      <c r="AD10120" t="s">
        <v>44642</v>
      </c>
      <c r="AE10120">
        <v>140</v>
      </c>
      <c r="AF10120" t="s">
        <v>45549</v>
      </c>
      <c r="AG10120" t="s">
        <v>19330</v>
      </c>
      <c r="AH10120">
        <v>4</v>
      </c>
      <c r="AI10120">
        <v>1</v>
      </c>
      <c r="AJ10120">
        <v>2</v>
      </c>
      <c r="AK10120">
        <v>46.72</v>
      </c>
      <c r="AN10120" t="s">
        <v>7439</v>
      </c>
      <c r="AO10120">
        <v>9966</v>
      </c>
      <c r="AU10120">
        <v>1</v>
      </c>
      <c r="AV10120" t="s">
        <v>775</v>
      </c>
      <c r="AW10120" t="s">
        <v>46858</v>
      </c>
    </row>
    <row r="10121" spans="1:49">
      <c r="A10121" s="1">
        <f>HYPERLINK("https://lsnyc.legalserver.org/matter/dynamic-profile/view/1894309","19-1894309")</f>
        <v>0</v>
      </c>
      <c r="B10121" t="s">
        <v>122</v>
      </c>
      <c r="C10121" t="s">
        <v>340</v>
      </c>
      <c r="D10121" t="s">
        <v>775</v>
      </c>
      <c r="F10121" t="s">
        <v>4743</v>
      </c>
      <c r="G10121" t="s">
        <v>6367</v>
      </c>
      <c r="H10121" t="s">
        <v>16504</v>
      </c>
      <c r="I10121">
        <v>2</v>
      </c>
      <c r="J10121" t="s">
        <v>18901</v>
      </c>
      <c r="K10121">
        <v>11435</v>
      </c>
      <c r="L10121" t="s">
        <v>18958</v>
      </c>
      <c r="M10121" t="s">
        <v>18958</v>
      </c>
      <c r="N10121" t="s">
        <v>25858</v>
      </c>
      <c r="O10121" t="s">
        <v>26524</v>
      </c>
      <c r="P10121" t="s">
        <v>26564</v>
      </c>
      <c r="R10121" t="s">
        <v>26584</v>
      </c>
      <c r="U10121" t="s">
        <v>26604</v>
      </c>
      <c r="X10121">
        <v>1050</v>
      </c>
      <c r="Y10121" t="s">
        <v>26653</v>
      </c>
      <c r="Z10121" t="s">
        <v>26664</v>
      </c>
      <c r="AB10121" t="s">
        <v>30095</v>
      </c>
      <c r="AD10121" t="s">
        <v>44643</v>
      </c>
      <c r="AE10121">
        <v>2</v>
      </c>
      <c r="AF10121" t="s">
        <v>45547</v>
      </c>
      <c r="AG10121" t="s">
        <v>19330</v>
      </c>
      <c r="AH10121">
        <v>1</v>
      </c>
      <c r="AI10121">
        <v>2</v>
      </c>
      <c r="AJ10121">
        <v>1</v>
      </c>
      <c r="AK10121">
        <v>0</v>
      </c>
      <c r="AO10121">
        <v>0</v>
      </c>
      <c r="AU10121">
        <v>2.1</v>
      </c>
      <c r="AV10121" t="s">
        <v>777</v>
      </c>
      <c r="AW10121" t="s">
        <v>122</v>
      </c>
    </row>
    <row r="10122" spans="1:49">
      <c r="A10122" s="1">
        <f>HYPERLINK("https://lsnyc.legalserver.org/matter/dynamic-profile/view/1894300","19-1894300")</f>
        <v>0</v>
      </c>
      <c r="B10122" t="s">
        <v>91</v>
      </c>
      <c r="C10122" t="s">
        <v>340</v>
      </c>
      <c r="D10122" t="s">
        <v>775</v>
      </c>
      <c r="F10122" t="s">
        <v>3287</v>
      </c>
      <c r="G10122" t="s">
        <v>9271</v>
      </c>
      <c r="H10122" t="s">
        <v>16505</v>
      </c>
      <c r="I10122" t="s">
        <v>18756</v>
      </c>
      <c r="J10122" t="s">
        <v>18913</v>
      </c>
      <c r="K10122">
        <v>11106</v>
      </c>
      <c r="L10122" t="s">
        <v>18958</v>
      </c>
      <c r="M10122" t="s">
        <v>18958</v>
      </c>
      <c r="N10122" t="s">
        <v>25859</v>
      </c>
      <c r="O10122" t="s">
        <v>26523</v>
      </c>
      <c r="P10122" t="s">
        <v>26564</v>
      </c>
      <c r="R10122" t="s">
        <v>26584</v>
      </c>
      <c r="S10122" t="s">
        <v>18959</v>
      </c>
      <c r="U10122" t="s">
        <v>26604</v>
      </c>
      <c r="V10122" t="s">
        <v>26610</v>
      </c>
      <c r="X10122">
        <v>1300</v>
      </c>
      <c r="Y10122" t="s">
        <v>26653</v>
      </c>
      <c r="Z10122" t="s">
        <v>26664</v>
      </c>
      <c r="AB10122" t="s">
        <v>27243</v>
      </c>
      <c r="AD10122" t="s">
        <v>44644</v>
      </c>
      <c r="AE10122">
        <v>30</v>
      </c>
      <c r="AF10122" t="s">
        <v>45541</v>
      </c>
      <c r="AH10122">
        <v>11</v>
      </c>
      <c r="AI10122">
        <v>2</v>
      </c>
      <c r="AJ10122">
        <v>0</v>
      </c>
      <c r="AK10122">
        <v>31.08</v>
      </c>
      <c r="AN10122" t="s">
        <v>7439</v>
      </c>
      <c r="AO10122">
        <v>5256</v>
      </c>
      <c r="AU10122">
        <v>1.9</v>
      </c>
      <c r="AV10122" t="s">
        <v>789</v>
      </c>
      <c r="AW10122" t="s">
        <v>91</v>
      </c>
    </row>
    <row r="10123" spans="1:49">
      <c r="A10123" s="1">
        <f>HYPERLINK("https://lsnyc.legalserver.org/matter/dynamic-profile/view/1894176","19-1894176")</f>
        <v>0</v>
      </c>
      <c r="B10123" t="s">
        <v>91</v>
      </c>
      <c r="C10123" t="s">
        <v>340</v>
      </c>
      <c r="D10123" t="s">
        <v>775</v>
      </c>
      <c r="F10123" t="s">
        <v>4744</v>
      </c>
      <c r="G10123" t="s">
        <v>2795</v>
      </c>
      <c r="H10123" t="s">
        <v>16506</v>
      </c>
      <c r="I10123" t="s">
        <v>18757</v>
      </c>
      <c r="J10123" t="s">
        <v>18897</v>
      </c>
      <c r="K10123">
        <v>11415</v>
      </c>
      <c r="L10123" t="s">
        <v>18958</v>
      </c>
      <c r="M10123" t="s">
        <v>18958</v>
      </c>
      <c r="N10123" t="s">
        <v>25860</v>
      </c>
      <c r="O10123" t="s">
        <v>26523</v>
      </c>
      <c r="P10123" t="s">
        <v>26560</v>
      </c>
      <c r="R10123" t="s">
        <v>26584</v>
      </c>
      <c r="S10123" t="s">
        <v>18959</v>
      </c>
      <c r="U10123" t="s">
        <v>26604</v>
      </c>
      <c r="V10123" t="s">
        <v>26612</v>
      </c>
      <c r="X10123">
        <v>1212.32</v>
      </c>
      <c r="Y10123" t="s">
        <v>26653</v>
      </c>
      <c r="Z10123" t="s">
        <v>26530</v>
      </c>
      <c r="AB10123" t="s">
        <v>33805</v>
      </c>
      <c r="AC10123" t="s">
        <v>36697</v>
      </c>
      <c r="AD10123" t="s">
        <v>44645</v>
      </c>
      <c r="AE10123">
        <v>54</v>
      </c>
      <c r="AF10123" t="s">
        <v>45541</v>
      </c>
      <c r="AG10123" t="s">
        <v>45559</v>
      </c>
      <c r="AH10123">
        <v>24</v>
      </c>
      <c r="AI10123">
        <v>1</v>
      </c>
      <c r="AJ10123">
        <v>0</v>
      </c>
      <c r="AK10123">
        <v>76.06</v>
      </c>
      <c r="AN10123" t="s">
        <v>7439</v>
      </c>
      <c r="AO10123">
        <v>9500</v>
      </c>
      <c r="AU10123">
        <v>2.6</v>
      </c>
      <c r="AV10123" t="s">
        <v>821</v>
      </c>
      <c r="AW10123" t="s">
        <v>91</v>
      </c>
    </row>
    <row r="10124" spans="1:49">
      <c r="A10124" s="1">
        <f>HYPERLINK("https://lsnyc.legalserver.org/matter/dynamic-profile/view/1894204","19-1894204")</f>
        <v>0</v>
      </c>
      <c r="B10124" t="s">
        <v>59</v>
      </c>
      <c r="C10124" t="s">
        <v>340</v>
      </c>
      <c r="D10124" t="s">
        <v>775</v>
      </c>
      <c r="F10124" t="s">
        <v>2314</v>
      </c>
      <c r="G10124" t="s">
        <v>9272</v>
      </c>
      <c r="H10124" t="s">
        <v>16507</v>
      </c>
      <c r="I10124" t="s">
        <v>18758</v>
      </c>
      <c r="J10124" t="s">
        <v>18893</v>
      </c>
      <c r="K10124">
        <v>10027</v>
      </c>
      <c r="L10124" t="s">
        <v>18960</v>
      </c>
      <c r="M10124" t="s">
        <v>18960</v>
      </c>
      <c r="N10124" t="s">
        <v>25861</v>
      </c>
      <c r="O10124" t="s">
        <v>26523</v>
      </c>
      <c r="R10124" t="s">
        <v>26580</v>
      </c>
      <c r="U10124" t="s">
        <v>26605</v>
      </c>
      <c r="X10124">
        <v>453</v>
      </c>
      <c r="Y10124" t="s">
        <v>26651</v>
      </c>
      <c r="AB10124" t="s">
        <v>33806</v>
      </c>
      <c r="AD10124" t="s">
        <v>44646</v>
      </c>
      <c r="AE10124">
        <v>0</v>
      </c>
      <c r="AF10124" t="s">
        <v>45542</v>
      </c>
      <c r="AH10124">
        <v>16</v>
      </c>
      <c r="AI10124">
        <v>6</v>
      </c>
      <c r="AJ10124">
        <v>0</v>
      </c>
      <c r="AK10124">
        <v>26.02</v>
      </c>
      <c r="AN10124" t="s">
        <v>7439</v>
      </c>
      <c r="AO10124">
        <v>9000</v>
      </c>
      <c r="AU10124">
        <v>5.8</v>
      </c>
      <c r="AV10124" t="s">
        <v>839</v>
      </c>
      <c r="AW10124" t="s">
        <v>46838</v>
      </c>
    </row>
    <row r="10125" spans="1:49">
      <c r="A10125" s="1">
        <f>HYPERLINK("https://lsnyc.legalserver.org/matter/dynamic-profile/view/1894285","19-1894285")</f>
        <v>0</v>
      </c>
      <c r="B10125" t="s">
        <v>125</v>
      </c>
      <c r="C10125" t="s">
        <v>340</v>
      </c>
      <c r="D10125" t="s">
        <v>775</v>
      </c>
      <c r="F10125" t="s">
        <v>4618</v>
      </c>
      <c r="G10125" t="s">
        <v>6337</v>
      </c>
      <c r="H10125" t="s">
        <v>16508</v>
      </c>
      <c r="I10125" t="s">
        <v>17415</v>
      </c>
      <c r="J10125" t="s">
        <v>18894</v>
      </c>
      <c r="K10125">
        <v>11233</v>
      </c>
      <c r="L10125" t="s">
        <v>18960</v>
      </c>
      <c r="M10125" t="s">
        <v>18960</v>
      </c>
      <c r="N10125" t="s">
        <v>25862</v>
      </c>
      <c r="O10125" t="s">
        <v>26533</v>
      </c>
      <c r="R10125" t="s">
        <v>26591</v>
      </c>
      <c r="U10125" t="s">
        <v>26604</v>
      </c>
      <c r="X10125">
        <v>0</v>
      </c>
      <c r="Y10125" t="s">
        <v>26652</v>
      </c>
      <c r="Z10125" t="s">
        <v>26661</v>
      </c>
      <c r="AB10125" t="s">
        <v>30749</v>
      </c>
      <c r="AD10125" t="s">
        <v>44311</v>
      </c>
      <c r="AE10125">
        <v>0</v>
      </c>
      <c r="AG10125" t="s">
        <v>19330</v>
      </c>
      <c r="AH10125">
        <v>1</v>
      </c>
      <c r="AI10125">
        <v>1</v>
      </c>
      <c r="AJ10125">
        <v>0</v>
      </c>
      <c r="AK10125">
        <v>159.87</v>
      </c>
      <c r="AN10125" t="s">
        <v>7439</v>
      </c>
      <c r="AO10125">
        <v>19968</v>
      </c>
      <c r="AU10125">
        <v>2.1</v>
      </c>
      <c r="AV10125" t="s">
        <v>777</v>
      </c>
      <c r="AW10125" t="s">
        <v>46842</v>
      </c>
    </row>
    <row r="10126" spans="1:49">
      <c r="A10126" s="1">
        <f>HYPERLINK("https://lsnyc.legalserver.org/matter/dynamic-profile/view/1894898","19-1894898")</f>
        <v>0</v>
      </c>
      <c r="B10126" t="s">
        <v>165</v>
      </c>
      <c r="C10126" t="s">
        <v>341</v>
      </c>
      <c r="D10126" t="s">
        <v>741</v>
      </c>
      <c r="E10126" t="s">
        <v>810</v>
      </c>
      <c r="F10126" t="s">
        <v>4439</v>
      </c>
      <c r="G10126" t="s">
        <v>9273</v>
      </c>
      <c r="H10126" t="s">
        <v>16509</v>
      </c>
      <c r="I10126">
        <v>510</v>
      </c>
      <c r="J10126" t="s">
        <v>18898</v>
      </c>
      <c r="K10126">
        <v>11691</v>
      </c>
      <c r="L10126" t="s">
        <v>18960</v>
      </c>
      <c r="M10126" t="s">
        <v>18960</v>
      </c>
      <c r="O10126" t="s">
        <v>18997</v>
      </c>
      <c r="P10126" t="s">
        <v>26565</v>
      </c>
      <c r="Q10126" t="s">
        <v>26571</v>
      </c>
      <c r="R10126" t="s">
        <v>26582</v>
      </c>
      <c r="U10126" t="s">
        <v>26605</v>
      </c>
      <c r="X10126">
        <v>613</v>
      </c>
      <c r="Y10126" t="s">
        <v>26651</v>
      </c>
      <c r="AA10126" t="s">
        <v>26695</v>
      </c>
      <c r="AB10126" t="s">
        <v>33807</v>
      </c>
      <c r="AD10126" t="s">
        <v>44647</v>
      </c>
      <c r="AE10126">
        <v>0</v>
      </c>
      <c r="AH10126">
        <v>0</v>
      </c>
      <c r="AI10126">
        <v>1</v>
      </c>
      <c r="AJ10126">
        <v>0</v>
      </c>
      <c r="AK10126">
        <v>61.3</v>
      </c>
      <c r="AN10126" t="s">
        <v>45601</v>
      </c>
      <c r="AO10126">
        <v>7656</v>
      </c>
      <c r="AU10126">
        <v>0.3</v>
      </c>
      <c r="AV10126" t="s">
        <v>765</v>
      </c>
      <c r="AW10126" t="s">
        <v>46838</v>
      </c>
    </row>
    <row r="10127" spans="1:49">
      <c r="A10127" s="1">
        <f>HYPERLINK("https://lsnyc.legalserver.org/matter/dynamic-profile/view/1895043","19-1895043")</f>
        <v>0</v>
      </c>
      <c r="B10127" t="s">
        <v>165</v>
      </c>
      <c r="C10127" t="s">
        <v>341</v>
      </c>
      <c r="D10127" t="s">
        <v>741</v>
      </c>
      <c r="E10127" t="s">
        <v>810</v>
      </c>
      <c r="F10127" t="s">
        <v>928</v>
      </c>
      <c r="G10127" t="s">
        <v>9274</v>
      </c>
      <c r="H10127" t="s">
        <v>16510</v>
      </c>
      <c r="I10127" t="s">
        <v>17743</v>
      </c>
      <c r="J10127" t="s">
        <v>18893</v>
      </c>
      <c r="K10127">
        <v>10025</v>
      </c>
      <c r="L10127" t="s">
        <v>18960</v>
      </c>
      <c r="M10127" t="s">
        <v>18960</v>
      </c>
      <c r="O10127" t="s">
        <v>18997</v>
      </c>
      <c r="P10127" t="s">
        <v>26564</v>
      </c>
      <c r="Q10127" t="s">
        <v>26570</v>
      </c>
      <c r="R10127" t="s">
        <v>26582</v>
      </c>
      <c r="U10127" t="s">
        <v>26604</v>
      </c>
      <c r="X10127">
        <v>700</v>
      </c>
      <c r="Y10127" t="s">
        <v>26651</v>
      </c>
      <c r="AA10127" t="s">
        <v>26683</v>
      </c>
      <c r="AB10127" t="s">
        <v>33808</v>
      </c>
      <c r="AE10127">
        <v>0</v>
      </c>
      <c r="AH10127">
        <v>18</v>
      </c>
      <c r="AI10127">
        <v>2</v>
      </c>
      <c r="AJ10127">
        <v>0</v>
      </c>
      <c r="AK10127">
        <v>70.95999999999999</v>
      </c>
      <c r="AN10127" t="s">
        <v>7439</v>
      </c>
      <c r="AO10127">
        <v>12000</v>
      </c>
      <c r="AU10127">
        <v>0.1</v>
      </c>
      <c r="AV10127" t="s">
        <v>765</v>
      </c>
      <c r="AW10127" t="s">
        <v>46838</v>
      </c>
    </row>
    <row r="10128" spans="1:49">
      <c r="A10128" s="1">
        <f>HYPERLINK("https://lsnyc.legalserver.org/matter/dynamic-profile/view/1894913","19-1894913")</f>
        <v>0</v>
      </c>
      <c r="B10128" t="s">
        <v>165</v>
      </c>
      <c r="C10128" t="s">
        <v>341</v>
      </c>
      <c r="D10128" t="s">
        <v>741</v>
      </c>
      <c r="E10128" t="s">
        <v>810</v>
      </c>
      <c r="F10128" t="s">
        <v>1417</v>
      </c>
      <c r="G10128" t="s">
        <v>9275</v>
      </c>
      <c r="H10128" t="s">
        <v>16511</v>
      </c>
      <c r="I10128" t="s">
        <v>17277</v>
      </c>
      <c r="J10128" t="s">
        <v>18893</v>
      </c>
      <c r="K10128">
        <v>10002</v>
      </c>
      <c r="L10128" t="s">
        <v>18960</v>
      </c>
      <c r="M10128" t="s">
        <v>18960</v>
      </c>
      <c r="O10128" t="s">
        <v>18997</v>
      </c>
      <c r="Q10128" t="s">
        <v>26570</v>
      </c>
      <c r="R10128" t="s">
        <v>26582</v>
      </c>
      <c r="U10128" t="s">
        <v>26604</v>
      </c>
      <c r="X10128">
        <v>1700</v>
      </c>
      <c r="Y10128" t="s">
        <v>26651</v>
      </c>
      <c r="AA10128" t="s">
        <v>26683</v>
      </c>
      <c r="AB10128" t="s">
        <v>33809</v>
      </c>
      <c r="AD10128" t="s">
        <v>44648</v>
      </c>
      <c r="AE10128">
        <v>0</v>
      </c>
      <c r="AH10128">
        <v>8</v>
      </c>
      <c r="AI10128">
        <v>2</v>
      </c>
      <c r="AJ10128">
        <v>0</v>
      </c>
      <c r="AK10128">
        <v>76.88</v>
      </c>
      <c r="AN10128" t="s">
        <v>7439</v>
      </c>
      <c r="AO10128">
        <v>13000</v>
      </c>
      <c r="AU10128">
        <v>0.1</v>
      </c>
      <c r="AV10128" t="s">
        <v>765</v>
      </c>
      <c r="AW10128" t="s">
        <v>46838</v>
      </c>
    </row>
    <row r="10129" spans="1:50">
      <c r="A10129" s="1">
        <f>HYPERLINK("https://lsnyc.legalserver.org/matter/dynamic-profile/view/1894890","19-1894890")</f>
        <v>0</v>
      </c>
      <c r="B10129" t="s">
        <v>165</v>
      </c>
      <c r="C10129" t="s">
        <v>341</v>
      </c>
      <c r="D10129" t="s">
        <v>741</v>
      </c>
      <c r="E10129" t="s">
        <v>820</v>
      </c>
      <c r="F10129" t="s">
        <v>928</v>
      </c>
      <c r="G10129" t="s">
        <v>2797</v>
      </c>
      <c r="H10129" t="s">
        <v>14753</v>
      </c>
      <c r="I10129" t="s">
        <v>17293</v>
      </c>
      <c r="J10129" t="s">
        <v>18893</v>
      </c>
      <c r="K10129">
        <v>10002</v>
      </c>
      <c r="L10129" t="s">
        <v>18960</v>
      </c>
      <c r="M10129" t="s">
        <v>18960</v>
      </c>
      <c r="O10129" t="s">
        <v>18997</v>
      </c>
      <c r="P10129" t="s">
        <v>26564</v>
      </c>
      <c r="Q10129" t="s">
        <v>26570</v>
      </c>
      <c r="R10129" t="s">
        <v>26582</v>
      </c>
      <c r="U10129" t="s">
        <v>26605</v>
      </c>
      <c r="X10129">
        <v>586.6</v>
      </c>
      <c r="Y10129" t="s">
        <v>26651</v>
      </c>
      <c r="AA10129" t="s">
        <v>26683</v>
      </c>
      <c r="AB10129" t="s">
        <v>28761</v>
      </c>
      <c r="AD10129" t="s">
        <v>44649</v>
      </c>
      <c r="AE10129">
        <v>0</v>
      </c>
      <c r="AF10129" t="s">
        <v>45544</v>
      </c>
      <c r="AH10129">
        <v>0</v>
      </c>
      <c r="AI10129">
        <v>1</v>
      </c>
      <c r="AJ10129">
        <v>0</v>
      </c>
      <c r="AK10129">
        <v>176.14</v>
      </c>
      <c r="AN10129" t="s">
        <v>7439</v>
      </c>
      <c r="AO10129">
        <v>22000</v>
      </c>
      <c r="AU10129">
        <v>0.1</v>
      </c>
      <c r="AV10129" t="s">
        <v>765</v>
      </c>
      <c r="AW10129" t="s">
        <v>46838</v>
      </c>
    </row>
    <row r="10130" spans="1:50">
      <c r="A10130" s="1">
        <f>HYPERLINK("https://lsnyc.legalserver.org/matter/dynamic-profile/view/1894511","19-1894511")</f>
        <v>0</v>
      </c>
      <c r="B10130" t="s">
        <v>186</v>
      </c>
      <c r="C10130" t="s">
        <v>341</v>
      </c>
      <c r="D10130" t="s">
        <v>741</v>
      </c>
      <c r="E10130" t="s">
        <v>830</v>
      </c>
      <c r="F10130" t="s">
        <v>2995</v>
      </c>
      <c r="G10130" t="s">
        <v>9276</v>
      </c>
      <c r="H10130" t="s">
        <v>16512</v>
      </c>
      <c r="I10130" t="s">
        <v>18029</v>
      </c>
      <c r="J10130" t="s">
        <v>18909</v>
      </c>
      <c r="K10130">
        <v>11101</v>
      </c>
      <c r="L10130" t="s">
        <v>18960</v>
      </c>
      <c r="M10130" t="s">
        <v>18960</v>
      </c>
      <c r="P10130" t="s">
        <v>26564</v>
      </c>
      <c r="Q10130" t="s">
        <v>26570</v>
      </c>
      <c r="R10130" t="s">
        <v>26591</v>
      </c>
      <c r="U10130" t="s">
        <v>26604</v>
      </c>
      <c r="X10130">
        <v>0</v>
      </c>
      <c r="Y10130" t="s">
        <v>26652</v>
      </c>
      <c r="AA10130" t="s">
        <v>26683</v>
      </c>
      <c r="AB10130" t="s">
        <v>30646</v>
      </c>
      <c r="AD10130" t="s">
        <v>44650</v>
      </c>
      <c r="AE10130">
        <v>0</v>
      </c>
      <c r="AH10130">
        <v>0</v>
      </c>
      <c r="AI10130">
        <v>1</v>
      </c>
      <c r="AJ10130">
        <v>0</v>
      </c>
      <c r="AK10130">
        <v>17.29</v>
      </c>
      <c r="AN10130" t="s">
        <v>7439</v>
      </c>
      <c r="AO10130">
        <v>2160</v>
      </c>
      <c r="AU10130">
        <v>1.25</v>
      </c>
      <c r="AV10130" t="s">
        <v>830</v>
      </c>
      <c r="AW10130" t="s">
        <v>186</v>
      </c>
    </row>
    <row r="10131" spans="1:50">
      <c r="A10131" s="1">
        <f>HYPERLINK("https://lsnyc.legalserver.org/matter/dynamic-profile/view/1894331","19-1894331")</f>
        <v>0</v>
      </c>
      <c r="B10131" t="s">
        <v>257</v>
      </c>
      <c r="C10131" t="s">
        <v>341</v>
      </c>
      <c r="D10131" t="s">
        <v>741</v>
      </c>
      <c r="E10131" t="s">
        <v>818</v>
      </c>
      <c r="F10131" t="s">
        <v>2644</v>
      </c>
      <c r="G10131" t="s">
        <v>5086</v>
      </c>
      <c r="H10131" t="s">
        <v>16513</v>
      </c>
      <c r="I10131" t="s">
        <v>18759</v>
      </c>
      <c r="J10131" t="s">
        <v>18894</v>
      </c>
      <c r="K10131">
        <v>11223</v>
      </c>
      <c r="L10131" t="s">
        <v>18960</v>
      </c>
      <c r="M10131" t="s">
        <v>18960</v>
      </c>
      <c r="N10131" t="s">
        <v>25863</v>
      </c>
      <c r="O10131" t="s">
        <v>26523</v>
      </c>
      <c r="P10131" t="s">
        <v>26564</v>
      </c>
      <c r="Q10131" t="s">
        <v>26570</v>
      </c>
      <c r="R10131" t="s">
        <v>26591</v>
      </c>
      <c r="U10131" t="s">
        <v>26604</v>
      </c>
      <c r="X10131">
        <v>1748</v>
      </c>
      <c r="Y10131" t="s">
        <v>26652</v>
      </c>
      <c r="AA10131" t="s">
        <v>26689</v>
      </c>
      <c r="AB10131" t="s">
        <v>33810</v>
      </c>
      <c r="AD10131" t="s">
        <v>44651</v>
      </c>
      <c r="AE10131">
        <v>60</v>
      </c>
      <c r="AH10131">
        <v>2</v>
      </c>
      <c r="AI10131">
        <v>2</v>
      </c>
      <c r="AJ10131">
        <v>0</v>
      </c>
      <c r="AK10131">
        <v>182.14</v>
      </c>
      <c r="AN10131" t="s">
        <v>7439</v>
      </c>
      <c r="AO10131">
        <v>30800</v>
      </c>
      <c r="AU10131">
        <v>1.55</v>
      </c>
      <c r="AV10131" t="s">
        <v>793</v>
      </c>
      <c r="AW10131" t="s">
        <v>46850</v>
      </c>
    </row>
    <row r="10132" spans="1:50">
      <c r="A10132" s="1">
        <f>HYPERLINK("https://lsnyc.legalserver.org/matter/dynamic-profile/view/1894353","19-1894353")</f>
        <v>0</v>
      </c>
      <c r="B10132" t="s">
        <v>57</v>
      </c>
      <c r="C10132" t="s">
        <v>340</v>
      </c>
      <c r="D10132" t="s">
        <v>741</v>
      </c>
      <c r="F10132" t="s">
        <v>4745</v>
      </c>
      <c r="G10132" t="s">
        <v>5696</v>
      </c>
      <c r="H10132" t="s">
        <v>16514</v>
      </c>
      <c r="I10132" t="s">
        <v>17312</v>
      </c>
      <c r="J10132" t="s">
        <v>18892</v>
      </c>
      <c r="K10132">
        <v>10460</v>
      </c>
      <c r="L10132" t="s">
        <v>18960</v>
      </c>
      <c r="M10132" t="s">
        <v>18960</v>
      </c>
      <c r="N10132" t="s">
        <v>25864</v>
      </c>
      <c r="O10132" t="s">
        <v>26523</v>
      </c>
      <c r="P10132" t="s">
        <v>26560</v>
      </c>
      <c r="R10132" t="s">
        <v>26577</v>
      </c>
      <c r="U10132" t="s">
        <v>26604</v>
      </c>
      <c r="X10132">
        <v>557</v>
      </c>
      <c r="Y10132" t="s">
        <v>26650</v>
      </c>
      <c r="Z10132" t="s">
        <v>26668</v>
      </c>
      <c r="AB10132" t="s">
        <v>29726</v>
      </c>
      <c r="AD10132" t="s">
        <v>44652</v>
      </c>
      <c r="AE10132">
        <v>0</v>
      </c>
      <c r="AF10132" t="s">
        <v>45549</v>
      </c>
      <c r="AG10132" t="s">
        <v>19330</v>
      </c>
      <c r="AH10132">
        <v>5</v>
      </c>
      <c r="AI10132">
        <v>1</v>
      </c>
      <c r="AJ10132">
        <v>3</v>
      </c>
      <c r="AK10132">
        <v>67.11</v>
      </c>
      <c r="AN10132" t="s">
        <v>7439</v>
      </c>
      <c r="AO10132">
        <v>17280</v>
      </c>
      <c r="AP10132" t="s">
        <v>46254</v>
      </c>
      <c r="AU10132">
        <v>10.2</v>
      </c>
      <c r="AV10132" t="s">
        <v>773</v>
      </c>
      <c r="AW10132" t="s">
        <v>46836</v>
      </c>
    </row>
    <row r="10133" spans="1:50">
      <c r="A10133" s="1">
        <f>HYPERLINK("https://lsnyc.legalserver.org/matter/dynamic-profile/view/1893587","19-1893587")</f>
        <v>0</v>
      </c>
      <c r="B10133" t="s">
        <v>109</v>
      </c>
      <c r="C10133" t="s">
        <v>340</v>
      </c>
      <c r="D10133" t="s">
        <v>741</v>
      </c>
      <c r="F10133" t="s">
        <v>4746</v>
      </c>
      <c r="G10133" t="s">
        <v>9277</v>
      </c>
      <c r="H10133" t="s">
        <v>11697</v>
      </c>
      <c r="I10133" t="s">
        <v>17496</v>
      </c>
      <c r="J10133" t="s">
        <v>18902</v>
      </c>
      <c r="K10133">
        <v>10303</v>
      </c>
      <c r="L10133" t="s">
        <v>18958</v>
      </c>
      <c r="M10133" t="s">
        <v>18958</v>
      </c>
      <c r="N10133" t="s">
        <v>25865</v>
      </c>
      <c r="O10133" t="s">
        <v>26523</v>
      </c>
      <c r="P10133" t="s">
        <v>26564</v>
      </c>
      <c r="R10133" t="s">
        <v>26590</v>
      </c>
      <c r="U10133" t="s">
        <v>26604</v>
      </c>
      <c r="V10133" t="s">
        <v>26610</v>
      </c>
      <c r="X10133">
        <v>0</v>
      </c>
      <c r="Y10133" t="s">
        <v>26654</v>
      </c>
      <c r="Z10133" t="s">
        <v>26668</v>
      </c>
      <c r="AB10133" t="s">
        <v>28105</v>
      </c>
      <c r="AD10133" t="s">
        <v>44653</v>
      </c>
      <c r="AE10133">
        <v>0</v>
      </c>
      <c r="AH10133">
        <v>0</v>
      </c>
      <c r="AI10133">
        <v>1</v>
      </c>
      <c r="AJ10133">
        <v>0</v>
      </c>
      <c r="AK10133">
        <v>244.93</v>
      </c>
      <c r="AN10133" t="s">
        <v>7439</v>
      </c>
      <c r="AO10133">
        <v>30591.6</v>
      </c>
      <c r="AU10133">
        <v>0</v>
      </c>
      <c r="AW10133" t="s">
        <v>210</v>
      </c>
    </row>
    <row r="10134" spans="1:50">
      <c r="A10134" s="1">
        <f>HYPERLINK("https://lsnyc.legalserver.org/matter/dynamic-profile/view/1894359","19-1894359")</f>
        <v>0</v>
      </c>
      <c r="B10134" t="s">
        <v>194</v>
      </c>
      <c r="C10134" t="s">
        <v>340</v>
      </c>
      <c r="D10134" t="s">
        <v>741</v>
      </c>
      <c r="F10134" t="s">
        <v>4747</v>
      </c>
      <c r="G10134" t="s">
        <v>5330</v>
      </c>
      <c r="H10134" t="s">
        <v>14466</v>
      </c>
      <c r="I10134" t="s">
        <v>18760</v>
      </c>
      <c r="J10134" t="s">
        <v>18893</v>
      </c>
      <c r="K10134">
        <v>10027</v>
      </c>
      <c r="L10134" t="s">
        <v>18958</v>
      </c>
      <c r="M10134" t="s">
        <v>18958</v>
      </c>
      <c r="N10134" t="s">
        <v>25866</v>
      </c>
      <c r="O10134" t="s">
        <v>26523</v>
      </c>
      <c r="P10134" t="s">
        <v>26560</v>
      </c>
      <c r="R10134" t="s">
        <v>26580</v>
      </c>
      <c r="S10134" t="s">
        <v>18958</v>
      </c>
      <c r="U10134" t="s">
        <v>26605</v>
      </c>
      <c r="X10134">
        <v>475</v>
      </c>
      <c r="Y10134" t="s">
        <v>26651</v>
      </c>
      <c r="Z10134" t="s">
        <v>26664</v>
      </c>
      <c r="AB10134" t="s">
        <v>29154</v>
      </c>
      <c r="AC10134" t="s">
        <v>36698</v>
      </c>
      <c r="AD10134" t="s">
        <v>44654</v>
      </c>
      <c r="AE10134">
        <v>0</v>
      </c>
      <c r="AF10134" t="s">
        <v>45543</v>
      </c>
      <c r="AG10134" t="s">
        <v>19330</v>
      </c>
      <c r="AH10134">
        <v>23</v>
      </c>
      <c r="AI10134">
        <v>2</v>
      </c>
      <c r="AJ10134">
        <v>0</v>
      </c>
      <c r="AK10134">
        <v>54.71</v>
      </c>
      <c r="AN10134" t="s">
        <v>45581</v>
      </c>
      <c r="AO10134">
        <v>9252</v>
      </c>
      <c r="AU10134">
        <v>3.3</v>
      </c>
      <c r="AV10134" t="s">
        <v>764</v>
      </c>
      <c r="AW10134" t="s">
        <v>314</v>
      </c>
    </row>
    <row r="10135" spans="1:50">
      <c r="A10135" s="1">
        <f>HYPERLINK("https://lsnyc.legalserver.org/matter/dynamic-profile/view/1894467","19-1894467")</f>
        <v>0</v>
      </c>
      <c r="B10135" t="s">
        <v>246</v>
      </c>
      <c r="C10135" t="s">
        <v>341</v>
      </c>
      <c r="D10135" t="s">
        <v>777</v>
      </c>
      <c r="E10135" t="s">
        <v>809</v>
      </c>
      <c r="F10135" t="s">
        <v>1246</v>
      </c>
      <c r="G10135" t="s">
        <v>9278</v>
      </c>
      <c r="H10135" t="s">
        <v>16515</v>
      </c>
      <c r="I10135" t="s">
        <v>17277</v>
      </c>
      <c r="J10135" t="s">
        <v>18892</v>
      </c>
      <c r="K10135">
        <v>10453</v>
      </c>
      <c r="L10135" t="s">
        <v>18960</v>
      </c>
      <c r="M10135" t="s">
        <v>18960</v>
      </c>
      <c r="O10135" t="s">
        <v>26523</v>
      </c>
      <c r="P10135" t="s">
        <v>26564</v>
      </c>
      <c r="Q10135" t="s">
        <v>26570</v>
      </c>
      <c r="R10135" t="s">
        <v>26591</v>
      </c>
      <c r="S10135" t="s">
        <v>18959</v>
      </c>
      <c r="U10135" t="s">
        <v>26604</v>
      </c>
      <c r="V10135" t="s">
        <v>26614</v>
      </c>
      <c r="X10135">
        <v>1600</v>
      </c>
      <c r="Y10135" t="s">
        <v>26650</v>
      </c>
      <c r="Z10135" t="s">
        <v>26661</v>
      </c>
      <c r="AA10135" t="s">
        <v>26683</v>
      </c>
      <c r="AB10135" t="s">
        <v>33811</v>
      </c>
      <c r="AD10135" t="s">
        <v>44655</v>
      </c>
      <c r="AE10135">
        <v>37</v>
      </c>
      <c r="AF10135" t="s">
        <v>45555</v>
      </c>
      <c r="AG10135" t="s">
        <v>19330</v>
      </c>
      <c r="AH10135">
        <v>2</v>
      </c>
      <c r="AI10135">
        <v>2</v>
      </c>
      <c r="AJ10135">
        <v>0</v>
      </c>
      <c r="AK10135">
        <v>0</v>
      </c>
      <c r="AN10135" t="s">
        <v>7439</v>
      </c>
      <c r="AO10135">
        <v>0</v>
      </c>
      <c r="AP10135" t="s">
        <v>46255</v>
      </c>
      <c r="AU10135">
        <v>3.9</v>
      </c>
      <c r="AV10135" t="s">
        <v>808</v>
      </c>
      <c r="AW10135" t="s">
        <v>46836</v>
      </c>
    </row>
    <row r="10136" spans="1:50">
      <c r="A10136" s="1">
        <f>HYPERLINK("https://lsnyc.legalserver.org/matter/dynamic-profile/view/1894604","19-1894604")</f>
        <v>0</v>
      </c>
      <c r="B10136" t="s">
        <v>251</v>
      </c>
      <c r="C10136" t="s">
        <v>341</v>
      </c>
      <c r="D10136" t="s">
        <v>777</v>
      </c>
      <c r="E10136" t="s">
        <v>789</v>
      </c>
      <c r="F10136" t="s">
        <v>1820</v>
      </c>
      <c r="G10136" t="s">
        <v>6005</v>
      </c>
      <c r="H10136" t="s">
        <v>10911</v>
      </c>
      <c r="I10136" t="s">
        <v>17711</v>
      </c>
      <c r="J10136" t="s">
        <v>18892</v>
      </c>
      <c r="K10136">
        <v>10460</v>
      </c>
      <c r="L10136" t="s">
        <v>18958</v>
      </c>
      <c r="M10136" t="s">
        <v>18958</v>
      </c>
      <c r="N10136" t="s">
        <v>25867</v>
      </c>
      <c r="O10136" t="s">
        <v>26523</v>
      </c>
      <c r="P10136" t="s">
        <v>26564</v>
      </c>
      <c r="Q10136" t="s">
        <v>26570</v>
      </c>
      <c r="R10136" t="s">
        <v>26583</v>
      </c>
      <c r="S10136" t="s">
        <v>18959</v>
      </c>
      <c r="U10136" t="s">
        <v>26604</v>
      </c>
      <c r="V10136" t="s">
        <v>26610</v>
      </c>
      <c r="X10136">
        <v>1080</v>
      </c>
      <c r="Y10136" t="s">
        <v>26650</v>
      </c>
      <c r="Z10136" t="s">
        <v>26659</v>
      </c>
      <c r="AA10136" t="s">
        <v>26688</v>
      </c>
      <c r="AB10136" t="s">
        <v>32385</v>
      </c>
      <c r="AD10136" t="s">
        <v>44656</v>
      </c>
      <c r="AE10136">
        <v>26</v>
      </c>
      <c r="AF10136" t="s">
        <v>45541</v>
      </c>
      <c r="AH10136">
        <v>10</v>
      </c>
      <c r="AI10136">
        <v>2</v>
      </c>
      <c r="AJ10136">
        <v>0</v>
      </c>
      <c r="AK10136">
        <v>249.08</v>
      </c>
      <c r="AN10136" t="s">
        <v>7439</v>
      </c>
      <c r="AO10136">
        <v>42120</v>
      </c>
      <c r="AP10136" t="s">
        <v>46256</v>
      </c>
      <c r="AU10136">
        <v>3.75</v>
      </c>
      <c r="AV10136" t="s">
        <v>788</v>
      </c>
      <c r="AW10136" t="s">
        <v>334</v>
      </c>
    </row>
    <row r="10137" spans="1:50">
      <c r="A10137" s="1">
        <f>HYPERLINK("https://lsnyc.legalserver.org/matter/dynamic-profile/view/1894549","19-1894549")</f>
        <v>0</v>
      </c>
      <c r="B10137" t="s">
        <v>120</v>
      </c>
      <c r="C10137" t="s">
        <v>341</v>
      </c>
      <c r="D10137" t="s">
        <v>777</v>
      </c>
      <c r="E10137" t="s">
        <v>780</v>
      </c>
      <c r="F10137" t="s">
        <v>1457</v>
      </c>
      <c r="G10137" t="s">
        <v>1995</v>
      </c>
      <c r="H10137" t="s">
        <v>16516</v>
      </c>
      <c r="I10137" t="s">
        <v>17702</v>
      </c>
      <c r="J10137" t="s">
        <v>18892</v>
      </c>
      <c r="K10137">
        <v>10462</v>
      </c>
      <c r="L10137" t="s">
        <v>18958</v>
      </c>
      <c r="M10137" t="s">
        <v>18958</v>
      </c>
      <c r="N10137" t="s">
        <v>25868</v>
      </c>
      <c r="O10137" t="s">
        <v>26524</v>
      </c>
      <c r="P10137" t="s">
        <v>26564</v>
      </c>
      <c r="Q10137" t="s">
        <v>26570</v>
      </c>
      <c r="R10137" t="s">
        <v>26591</v>
      </c>
      <c r="S10137" t="s">
        <v>18959</v>
      </c>
      <c r="U10137" t="s">
        <v>26604</v>
      </c>
      <c r="V10137" t="s">
        <v>26612</v>
      </c>
      <c r="X10137">
        <v>1518.44</v>
      </c>
      <c r="Y10137" t="s">
        <v>26650</v>
      </c>
      <c r="Z10137" t="s">
        <v>26670</v>
      </c>
      <c r="AA10137" t="s">
        <v>26683</v>
      </c>
      <c r="AB10137" t="s">
        <v>33812</v>
      </c>
      <c r="AD10137" t="s">
        <v>44657</v>
      </c>
      <c r="AE10137">
        <v>20</v>
      </c>
      <c r="AF10137" t="s">
        <v>45543</v>
      </c>
      <c r="AG10137" t="s">
        <v>45556</v>
      </c>
      <c r="AH10137">
        <v>20</v>
      </c>
      <c r="AI10137">
        <v>1</v>
      </c>
      <c r="AJ10137">
        <v>0</v>
      </c>
      <c r="AK10137">
        <v>149.3</v>
      </c>
      <c r="AN10137" t="s">
        <v>7439</v>
      </c>
      <c r="AO10137">
        <v>18648</v>
      </c>
      <c r="AP10137" t="s">
        <v>46257</v>
      </c>
      <c r="AU10137">
        <v>2</v>
      </c>
      <c r="AV10137" t="s">
        <v>777</v>
      </c>
      <c r="AW10137" t="s">
        <v>46871</v>
      </c>
    </row>
    <row r="10138" spans="1:50">
      <c r="A10138" s="1">
        <f>HYPERLINK("https://lsnyc.legalserver.org/matter/dynamic-profile/view/1894510","19-1894510")</f>
        <v>0</v>
      </c>
      <c r="B10138" t="s">
        <v>65</v>
      </c>
      <c r="C10138" t="s">
        <v>341</v>
      </c>
      <c r="D10138" t="s">
        <v>777</v>
      </c>
      <c r="E10138" t="s">
        <v>830</v>
      </c>
      <c r="F10138" t="s">
        <v>1759</v>
      </c>
      <c r="G10138" t="s">
        <v>5115</v>
      </c>
      <c r="H10138" t="s">
        <v>15834</v>
      </c>
      <c r="I10138" t="s">
        <v>17358</v>
      </c>
      <c r="J10138" t="s">
        <v>18892</v>
      </c>
      <c r="K10138">
        <v>10451</v>
      </c>
      <c r="L10138" t="s">
        <v>18958</v>
      </c>
      <c r="M10138" t="s">
        <v>18958</v>
      </c>
      <c r="N10138" t="s">
        <v>25869</v>
      </c>
      <c r="O10138" t="s">
        <v>26524</v>
      </c>
      <c r="P10138" t="s">
        <v>26564</v>
      </c>
      <c r="Q10138" t="s">
        <v>26570</v>
      </c>
      <c r="R10138" t="s">
        <v>26577</v>
      </c>
      <c r="S10138" t="s">
        <v>18959</v>
      </c>
      <c r="U10138" t="s">
        <v>26604</v>
      </c>
      <c r="V10138" t="s">
        <v>26609</v>
      </c>
      <c r="X10138">
        <v>924</v>
      </c>
      <c r="Y10138" t="s">
        <v>26650</v>
      </c>
      <c r="Z10138" t="s">
        <v>26668</v>
      </c>
      <c r="AA10138" t="s">
        <v>26683</v>
      </c>
      <c r="AB10138" t="s">
        <v>33813</v>
      </c>
      <c r="AD10138" t="s">
        <v>44658</v>
      </c>
      <c r="AE10138">
        <v>0</v>
      </c>
      <c r="AF10138" t="s">
        <v>45541</v>
      </c>
      <c r="AG10138" t="s">
        <v>19330</v>
      </c>
      <c r="AH10138">
        <v>44</v>
      </c>
      <c r="AI10138">
        <v>2</v>
      </c>
      <c r="AJ10138">
        <v>0</v>
      </c>
      <c r="AK10138">
        <v>107.63</v>
      </c>
      <c r="AN10138" t="s">
        <v>7439</v>
      </c>
      <c r="AO10138">
        <v>18200</v>
      </c>
      <c r="AP10138" t="s">
        <v>46010</v>
      </c>
      <c r="AU10138">
        <v>4.9</v>
      </c>
      <c r="AV10138" t="s">
        <v>816</v>
      </c>
      <c r="AW10138" t="s">
        <v>46831</v>
      </c>
    </row>
    <row r="10139" spans="1:50">
      <c r="A10139" s="1">
        <f>HYPERLINK("https://lsnyc.legalserver.org/matter/dynamic-profile/view/1894592","19-1894592")</f>
        <v>0</v>
      </c>
      <c r="B10139" t="s">
        <v>122</v>
      </c>
      <c r="C10139" t="s">
        <v>341</v>
      </c>
      <c r="D10139" t="s">
        <v>777</v>
      </c>
      <c r="E10139" t="s">
        <v>789</v>
      </c>
      <c r="F10139" t="s">
        <v>2514</v>
      </c>
      <c r="G10139" t="s">
        <v>4275</v>
      </c>
      <c r="H10139" t="s">
        <v>16517</v>
      </c>
      <c r="I10139">
        <v>2</v>
      </c>
      <c r="J10139" t="s">
        <v>18908</v>
      </c>
      <c r="K10139">
        <v>11411</v>
      </c>
      <c r="L10139" t="s">
        <v>18960</v>
      </c>
      <c r="M10139" t="s">
        <v>18960</v>
      </c>
      <c r="N10139" t="s">
        <v>25870</v>
      </c>
      <c r="O10139" t="s">
        <v>26526</v>
      </c>
      <c r="P10139" t="s">
        <v>26564</v>
      </c>
      <c r="Q10139" t="s">
        <v>26570</v>
      </c>
      <c r="R10139" t="s">
        <v>26591</v>
      </c>
      <c r="U10139" t="s">
        <v>26607</v>
      </c>
      <c r="V10139" t="s">
        <v>26610</v>
      </c>
      <c r="X10139">
        <v>748.48</v>
      </c>
      <c r="Y10139" t="s">
        <v>26653</v>
      </c>
      <c r="Z10139" t="s">
        <v>26659</v>
      </c>
      <c r="AA10139" t="s">
        <v>26682</v>
      </c>
      <c r="AB10139" t="s">
        <v>33814</v>
      </c>
      <c r="AC10139" t="s">
        <v>36699</v>
      </c>
      <c r="AD10139" t="s">
        <v>44659</v>
      </c>
      <c r="AE10139">
        <v>30</v>
      </c>
      <c r="AF10139" t="s">
        <v>45541</v>
      </c>
      <c r="AG10139" t="s">
        <v>45559</v>
      </c>
      <c r="AH10139">
        <v>25</v>
      </c>
      <c r="AI10139">
        <v>1</v>
      </c>
      <c r="AJ10139">
        <v>0</v>
      </c>
      <c r="AK10139">
        <v>102.61</v>
      </c>
      <c r="AN10139" t="s">
        <v>7439</v>
      </c>
      <c r="AO10139">
        <v>12816</v>
      </c>
      <c r="AU10139">
        <v>4.75</v>
      </c>
      <c r="AV10139" t="s">
        <v>672</v>
      </c>
      <c r="AW10139" t="s">
        <v>122</v>
      </c>
    </row>
    <row r="10140" spans="1:50">
      <c r="A10140" s="1">
        <f>HYPERLINK("https://lsnyc.legalserver.org/matter/dynamic-profile/view/1894572","19-1894572")</f>
        <v>0</v>
      </c>
      <c r="B10140" t="s">
        <v>280</v>
      </c>
      <c r="C10140" t="s">
        <v>340</v>
      </c>
      <c r="D10140" t="s">
        <v>777</v>
      </c>
      <c r="F10140" t="s">
        <v>1767</v>
      </c>
      <c r="G10140" t="s">
        <v>1725</v>
      </c>
      <c r="H10140" t="s">
        <v>16518</v>
      </c>
      <c r="I10140" t="s">
        <v>17624</v>
      </c>
      <c r="J10140" t="s">
        <v>18909</v>
      </c>
      <c r="K10140">
        <v>11101</v>
      </c>
      <c r="L10140" t="s">
        <v>18960</v>
      </c>
      <c r="M10140" t="s">
        <v>18960</v>
      </c>
      <c r="O10140" t="s">
        <v>26524</v>
      </c>
      <c r="R10140" t="s">
        <v>26591</v>
      </c>
      <c r="U10140" t="s">
        <v>26604</v>
      </c>
      <c r="X10140">
        <v>1600</v>
      </c>
      <c r="Y10140" t="s">
        <v>26653</v>
      </c>
      <c r="AB10140" t="s">
        <v>33815</v>
      </c>
      <c r="AD10140" t="s">
        <v>44660</v>
      </c>
      <c r="AE10140">
        <v>8</v>
      </c>
      <c r="AH10140">
        <v>5</v>
      </c>
      <c r="AI10140">
        <v>2</v>
      </c>
      <c r="AJ10140">
        <v>0</v>
      </c>
      <c r="AK10140">
        <v>195.15</v>
      </c>
      <c r="AN10140" t="s">
        <v>7439</v>
      </c>
      <c r="AO10140">
        <v>33000</v>
      </c>
      <c r="AU10140">
        <v>0.65</v>
      </c>
      <c r="AV10140" t="s">
        <v>815</v>
      </c>
      <c r="AW10140" t="s">
        <v>46850</v>
      </c>
    </row>
    <row r="10141" spans="1:50">
      <c r="A10141" s="1">
        <f>HYPERLINK("https://lsnyc.legalserver.org/matter/dynamic-profile/view/1893501","19-1893501")</f>
        <v>0</v>
      </c>
      <c r="B10141" t="s">
        <v>278</v>
      </c>
      <c r="C10141" t="s">
        <v>340</v>
      </c>
      <c r="D10141" t="s">
        <v>777</v>
      </c>
      <c r="F10141" t="s">
        <v>3545</v>
      </c>
      <c r="G10141" t="s">
        <v>9279</v>
      </c>
      <c r="H10141" t="s">
        <v>16519</v>
      </c>
      <c r="I10141" t="s">
        <v>17435</v>
      </c>
      <c r="J10141" t="s">
        <v>18902</v>
      </c>
      <c r="K10141">
        <v>10304</v>
      </c>
      <c r="L10141" t="s">
        <v>18959</v>
      </c>
      <c r="M10141" t="s">
        <v>18959</v>
      </c>
      <c r="R10141" t="s">
        <v>26578</v>
      </c>
      <c r="U10141" t="s">
        <v>26604</v>
      </c>
      <c r="V10141" t="s">
        <v>26610</v>
      </c>
      <c r="X10141">
        <v>1515</v>
      </c>
      <c r="Y10141" t="s">
        <v>26654</v>
      </c>
      <c r="AB10141" t="s">
        <v>33816</v>
      </c>
      <c r="AD10141" t="s">
        <v>44661</v>
      </c>
      <c r="AE10141">
        <v>0</v>
      </c>
      <c r="AG10141" t="s">
        <v>45557</v>
      </c>
      <c r="AH10141">
        <v>1</v>
      </c>
      <c r="AI10141">
        <v>1</v>
      </c>
      <c r="AJ10141">
        <v>2</v>
      </c>
      <c r="AK10141">
        <v>156.02</v>
      </c>
      <c r="AN10141" t="s">
        <v>7439</v>
      </c>
      <c r="AO10141">
        <v>33280</v>
      </c>
      <c r="AU10141">
        <v>8.75</v>
      </c>
      <c r="AV10141" t="s">
        <v>829</v>
      </c>
      <c r="AW10141" t="s">
        <v>46883</v>
      </c>
    </row>
    <row r="10142" spans="1:50">
      <c r="A10142" s="1">
        <f>HYPERLINK("https://lsnyc.legalserver.org/matter/dynamic-profile/view/1894449","19-1894449")</f>
        <v>0</v>
      </c>
      <c r="B10142" t="s">
        <v>117</v>
      </c>
      <c r="C10142" t="s">
        <v>340</v>
      </c>
      <c r="D10142" t="s">
        <v>777</v>
      </c>
      <c r="F10142" t="s">
        <v>980</v>
      </c>
      <c r="G10142" t="s">
        <v>5073</v>
      </c>
      <c r="H10142" t="s">
        <v>16520</v>
      </c>
      <c r="I10142" t="s">
        <v>17293</v>
      </c>
      <c r="J10142" t="s">
        <v>18894</v>
      </c>
      <c r="K10142">
        <v>11233</v>
      </c>
      <c r="L10142" t="s">
        <v>18959</v>
      </c>
      <c r="M10142" t="s">
        <v>18959</v>
      </c>
      <c r="N10142" t="s">
        <v>25871</v>
      </c>
      <c r="O10142" t="s">
        <v>26523</v>
      </c>
      <c r="R10142" t="s">
        <v>26578</v>
      </c>
      <c r="S10142" t="s">
        <v>18959</v>
      </c>
      <c r="U10142" t="s">
        <v>26604</v>
      </c>
      <c r="V10142" t="s">
        <v>26610</v>
      </c>
      <c r="X10142">
        <v>1200</v>
      </c>
      <c r="Y10142" t="s">
        <v>26652</v>
      </c>
      <c r="Z10142" t="s">
        <v>26659</v>
      </c>
      <c r="AB10142" t="s">
        <v>33817</v>
      </c>
      <c r="AC10142" t="s">
        <v>36700</v>
      </c>
      <c r="AD10142" t="s">
        <v>44662</v>
      </c>
      <c r="AE10142">
        <v>6</v>
      </c>
      <c r="AF10142" t="s">
        <v>45541</v>
      </c>
      <c r="AG10142" t="s">
        <v>19330</v>
      </c>
      <c r="AH10142">
        <v>12</v>
      </c>
      <c r="AI10142">
        <v>1</v>
      </c>
      <c r="AJ10142">
        <v>3</v>
      </c>
      <c r="AK10142">
        <v>35.93</v>
      </c>
      <c r="AN10142" t="s">
        <v>7439</v>
      </c>
      <c r="AO10142">
        <v>9252</v>
      </c>
      <c r="AU10142">
        <v>0.3</v>
      </c>
      <c r="AV10142" t="s">
        <v>769</v>
      </c>
      <c r="AW10142" t="s">
        <v>279</v>
      </c>
    </row>
    <row r="10143" spans="1:50">
      <c r="A10143" s="1">
        <f>HYPERLINK("https://lsnyc.legalserver.org/matter/dynamic-profile/view/1894533","19-1894533")</f>
        <v>0</v>
      </c>
      <c r="B10143" t="s">
        <v>82</v>
      </c>
      <c r="C10143" t="s">
        <v>340</v>
      </c>
      <c r="D10143" t="s">
        <v>777</v>
      </c>
      <c r="F10143" t="s">
        <v>2655</v>
      </c>
      <c r="G10143" t="s">
        <v>5087</v>
      </c>
      <c r="H10143" t="s">
        <v>16521</v>
      </c>
      <c r="I10143" t="s">
        <v>18761</v>
      </c>
      <c r="J10143" t="s">
        <v>18892</v>
      </c>
      <c r="K10143">
        <v>10467</v>
      </c>
      <c r="L10143" t="s">
        <v>18958</v>
      </c>
      <c r="M10143" t="s">
        <v>18960</v>
      </c>
      <c r="N10143" t="s">
        <v>25872</v>
      </c>
      <c r="O10143" t="s">
        <v>26523</v>
      </c>
      <c r="P10143" t="s">
        <v>26560</v>
      </c>
      <c r="R10143" t="s">
        <v>26579</v>
      </c>
      <c r="U10143" t="s">
        <v>26604</v>
      </c>
      <c r="X10143">
        <v>1400</v>
      </c>
      <c r="Y10143" t="s">
        <v>26650</v>
      </c>
      <c r="AB10143" t="s">
        <v>32888</v>
      </c>
      <c r="AD10143" t="s">
        <v>44663</v>
      </c>
      <c r="AE10143">
        <v>0</v>
      </c>
      <c r="AF10143" t="s">
        <v>45541</v>
      </c>
      <c r="AH10143">
        <v>22</v>
      </c>
      <c r="AI10143">
        <v>1</v>
      </c>
      <c r="AJ10143">
        <v>0</v>
      </c>
      <c r="AK10143">
        <v>78.11</v>
      </c>
      <c r="AN10143" t="s">
        <v>45581</v>
      </c>
      <c r="AO10143">
        <v>9756</v>
      </c>
      <c r="AP10143" t="s">
        <v>46258</v>
      </c>
      <c r="AU10143">
        <v>0.1</v>
      </c>
      <c r="AV10143" t="s">
        <v>773</v>
      </c>
      <c r="AW10143" t="s">
        <v>46867</v>
      </c>
      <c r="AX10143" t="s">
        <v>46897</v>
      </c>
    </row>
    <row r="10144" spans="1:50">
      <c r="A10144" s="1">
        <f>HYPERLINK("https://lsnyc.legalserver.org/matter/dynamic-profile/view/1894492","19-1894492")</f>
        <v>0</v>
      </c>
      <c r="B10144" t="s">
        <v>126</v>
      </c>
      <c r="C10144" t="s">
        <v>340</v>
      </c>
      <c r="D10144" t="s">
        <v>777</v>
      </c>
      <c r="F10144" t="s">
        <v>1767</v>
      </c>
      <c r="G10144" t="s">
        <v>5762</v>
      </c>
      <c r="H10144" t="s">
        <v>12646</v>
      </c>
      <c r="I10144" t="s">
        <v>17907</v>
      </c>
      <c r="J10144" t="s">
        <v>18894</v>
      </c>
      <c r="K10144">
        <v>11233</v>
      </c>
      <c r="L10144" t="s">
        <v>18959</v>
      </c>
      <c r="M10144" t="s">
        <v>18959</v>
      </c>
      <c r="N10144" t="s">
        <v>25873</v>
      </c>
      <c r="O10144" t="s">
        <v>26523</v>
      </c>
      <c r="P10144" t="s">
        <v>26560</v>
      </c>
      <c r="R10144" t="s">
        <v>26583</v>
      </c>
      <c r="U10144" t="s">
        <v>26604</v>
      </c>
      <c r="X10144">
        <v>1056</v>
      </c>
      <c r="Y10144" t="s">
        <v>26652</v>
      </c>
      <c r="AB10144" t="s">
        <v>30525</v>
      </c>
      <c r="AE10144">
        <v>359</v>
      </c>
      <c r="AF10144" t="s">
        <v>45541</v>
      </c>
      <c r="AG10144" t="s">
        <v>19330</v>
      </c>
      <c r="AH10144">
        <v>9</v>
      </c>
      <c r="AI10144">
        <v>2</v>
      </c>
      <c r="AJ10144">
        <v>0</v>
      </c>
      <c r="AK10144">
        <v>295.68</v>
      </c>
      <c r="AN10144" t="s">
        <v>7439</v>
      </c>
      <c r="AO10144">
        <v>50000</v>
      </c>
      <c r="AP10144" t="s">
        <v>46259</v>
      </c>
      <c r="AU10144">
        <v>30.2</v>
      </c>
      <c r="AV10144" t="s">
        <v>839</v>
      </c>
      <c r="AW10144" t="s">
        <v>286</v>
      </c>
    </row>
    <row r="10145" spans="1:50">
      <c r="A10145" s="1">
        <f>HYPERLINK("https://lsnyc.legalserver.org/matter/dynamic-profile/view/1894558","19-1894558")</f>
        <v>0</v>
      </c>
      <c r="B10145" t="s">
        <v>91</v>
      </c>
      <c r="C10145" t="s">
        <v>340</v>
      </c>
      <c r="D10145" t="s">
        <v>777</v>
      </c>
      <c r="F10145" t="s">
        <v>4748</v>
      </c>
      <c r="G10145" t="s">
        <v>9280</v>
      </c>
      <c r="H10145" t="s">
        <v>16522</v>
      </c>
      <c r="J10145" t="s">
        <v>18900</v>
      </c>
      <c r="K10145">
        <v>11355</v>
      </c>
      <c r="L10145" t="s">
        <v>18958</v>
      </c>
      <c r="M10145" t="s">
        <v>18958</v>
      </c>
      <c r="N10145" t="s">
        <v>25874</v>
      </c>
      <c r="O10145" t="s">
        <v>26523</v>
      </c>
      <c r="P10145" t="s">
        <v>26563</v>
      </c>
      <c r="R10145" t="s">
        <v>26584</v>
      </c>
      <c r="S10145" t="s">
        <v>18958</v>
      </c>
      <c r="U10145" t="s">
        <v>26604</v>
      </c>
      <c r="X10145">
        <v>2050</v>
      </c>
      <c r="Y10145" t="s">
        <v>26653</v>
      </c>
      <c r="Z10145" t="s">
        <v>26664</v>
      </c>
      <c r="AB10145" t="s">
        <v>26845</v>
      </c>
      <c r="AE10145">
        <v>60</v>
      </c>
      <c r="AH10145">
        <v>2</v>
      </c>
      <c r="AI10145">
        <v>2</v>
      </c>
      <c r="AJ10145">
        <v>0</v>
      </c>
      <c r="AK10145">
        <v>0</v>
      </c>
      <c r="AN10145" t="s">
        <v>45593</v>
      </c>
      <c r="AO10145">
        <v>0</v>
      </c>
      <c r="AU10145">
        <v>2</v>
      </c>
      <c r="AV10145" t="s">
        <v>695</v>
      </c>
      <c r="AW10145" t="s">
        <v>46884</v>
      </c>
    </row>
    <row r="10146" spans="1:50">
      <c r="A10146" s="1">
        <f>HYPERLINK("https://lsnyc.legalserver.org/matter/dynamic-profile/view/1894487","19-1894487")</f>
        <v>0</v>
      </c>
      <c r="B10146" t="s">
        <v>188</v>
      </c>
      <c r="C10146" t="s">
        <v>340</v>
      </c>
      <c r="D10146" t="s">
        <v>777</v>
      </c>
      <c r="F10146" t="s">
        <v>4749</v>
      </c>
      <c r="G10146" t="s">
        <v>5515</v>
      </c>
      <c r="H10146" t="s">
        <v>16523</v>
      </c>
      <c r="I10146" t="s">
        <v>17316</v>
      </c>
      <c r="J10146" t="s">
        <v>18892</v>
      </c>
      <c r="K10146">
        <v>10452</v>
      </c>
      <c r="L10146" t="s">
        <v>18958</v>
      </c>
      <c r="M10146" t="s">
        <v>18958</v>
      </c>
      <c r="N10146" t="s">
        <v>25875</v>
      </c>
      <c r="O10146" t="s">
        <v>26524</v>
      </c>
      <c r="P10146" t="s">
        <v>26564</v>
      </c>
      <c r="R10146" t="s">
        <v>26578</v>
      </c>
      <c r="S10146" t="s">
        <v>18959</v>
      </c>
      <c r="U10146" t="s">
        <v>26604</v>
      </c>
      <c r="V10146" t="s">
        <v>26610</v>
      </c>
      <c r="X10146">
        <v>1136</v>
      </c>
      <c r="Y10146" t="s">
        <v>26650</v>
      </c>
      <c r="Z10146" t="s">
        <v>26667</v>
      </c>
      <c r="AB10146" t="s">
        <v>28303</v>
      </c>
      <c r="AD10146" t="s">
        <v>44664</v>
      </c>
      <c r="AE10146">
        <v>0</v>
      </c>
      <c r="AF10146" t="s">
        <v>45541</v>
      </c>
      <c r="AG10146" t="s">
        <v>19330</v>
      </c>
      <c r="AH10146">
        <v>10</v>
      </c>
      <c r="AI10146">
        <v>1</v>
      </c>
      <c r="AJ10146">
        <v>0</v>
      </c>
      <c r="AK10146">
        <v>249.8</v>
      </c>
      <c r="AN10146" t="s">
        <v>45581</v>
      </c>
      <c r="AO10146">
        <v>31200</v>
      </c>
      <c r="AP10146" t="s">
        <v>45810</v>
      </c>
      <c r="AU10146">
        <v>0.1</v>
      </c>
      <c r="AV10146" t="s">
        <v>836</v>
      </c>
      <c r="AW10146" t="s">
        <v>188</v>
      </c>
      <c r="AX10146" t="s">
        <v>46897</v>
      </c>
    </row>
    <row r="10147" spans="1:50">
      <c r="A10147" s="1">
        <f>HYPERLINK("https://lsnyc.legalserver.org/matter/dynamic-profile/view/1894473","19-1894473")</f>
        <v>0</v>
      </c>
      <c r="B10147" t="s">
        <v>63</v>
      </c>
      <c r="C10147" t="s">
        <v>340</v>
      </c>
      <c r="D10147" t="s">
        <v>777</v>
      </c>
      <c r="F10147" t="s">
        <v>1154</v>
      </c>
      <c r="G10147" t="s">
        <v>5143</v>
      </c>
      <c r="H10147" t="s">
        <v>16216</v>
      </c>
      <c r="I10147">
        <v>612</v>
      </c>
      <c r="J10147" t="s">
        <v>18892</v>
      </c>
      <c r="K10147">
        <v>10453</v>
      </c>
      <c r="L10147" t="s">
        <v>18960</v>
      </c>
      <c r="M10147" t="s">
        <v>18958</v>
      </c>
      <c r="R10147" t="s">
        <v>26578</v>
      </c>
      <c r="S10147" t="s">
        <v>18959</v>
      </c>
      <c r="U10147" t="s">
        <v>26604</v>
      </c>
      <c r="X10147">
        <v>948</v>
      </c>
      <c r="Y10147" t="s">
        <v>26650</v>
      </c>
      <c r="Z10147" t="s">
        <v>26663</v>
      </c>
      <c r="AB10147" t="s">
        <v>33818</v>
      </c>
      <c r="AD10147" t="s">
        <v>44665</v>
      </c>
      <c r="AE10147">
        <v>146</v>
      </c>
      <c r="AF10147" t="s">
        <v>45541</v>
      </c>
      <c r="AG10147" t="s">
        <v>45559</v>
      </c>
      <c r="AH10147">
        <v>12</v>
      </c>
      <c r="AI10147">
        <v>1</v>
      </c>
      <c r="AJ10147">
        <v>2</v>
      </c>
      <c r="AK10147">
        <v>45.74</v>
      </c>
      <c r="AN10147" t="s">
        <v>7439</v>
      </c>
      <c r="AO10147">
        <v>9756</v>
      </c>
      <c r="AP10147" t="s">
        <v>45838</v>
      </c>
      <c r="AU10147">
        <v>2.5</v>
      </c>
      <c r="AV10147" t="s">
        <v>777</v>
      </c>
      <c r="AW10147" t="s">
        <v>336</v>
      </c>
    </row>
    <row r="10148" spans="1:50">
      <c r="A10148" s="1">
        <f>HYPERLINK("https://lsnyc.legalserver.org/matter/dynamic-profile/view/1894636","19-1894636")</f>
        <v>0</v>
      </c>
      <c r="B10148" t="s">
        <v>204</v>
      </c>
      <c r="C10148" t="s">
        <v>341</v>
      </c>
      <c r="D10148" t="s">
        <v>787</v>
      </c>
      <c r="E10148" t="s">
        <v>788</v>
      </c>
      <c r="F10148" t="s">
        <v>1079</v>
      </c>
      <c r="G10148" t="s">
        <v>9281</v>
      </c>
      <c r="H10148" t="s">
        <v>10461</v>
      </c>
      <c r="I10148" t="s">
        <v>18762</v>
      </c>
      <c r="J10148" t="s">
        <v>18894</v>
      </c>
      <c r="K10148">
        <v>11226</v>
      </c>
      <c r="L10148" t="s">
        <v>18959</v>
      </c>
      <c r="M10148" t="s">
        <v>18959</v>
      </c>
      <c r="N10148" t="s">
        <v>25876</v>
      </c>
      <c r="O10148" t="s">
        <v>26523</v>
      </c>
      <c r="P10148" t="s">
        <v>26565</v>
      </c>
      <c r="Q10148" t="s">
        <v>26571</v>
      </c>
      <c r="R10148" t="s">
        <v>26588</v>
      </c>
      <c r="U10148" t="s">
        <v>26604</v>
      </c>
      <c r="X10148">
        <v>0</v>
      </c>
      <c r="Y10148" t="s">
        <v>26652</v>
      </c>
      <c r="Z10148" t="s">
        <v>26664</v>
      </c>
      <c r="AA10148" t="s">
        <v>26678</v>
      </c>
      <c r="AB10148" t="s">
        <v>30202</v>
      </c>
      <c r="AE10148">
        <v>0</v>
      </c>
      <c r="AH10148">
        <v>8</v>
      </c>
      <c r="AI10148">
        <v>1</v>
      </c>
      <c r="AJ10148">
        <v>0</v>
      </c>
      <c r="AK10148">
        <v>0</v>
      </c>
      <c r="AN10148" t="s">
        <v>7439</v>
      </c>
      <c r="AO10148">
        <v>0</v>
      </c>
      <c r="AR10148" t="s">
        <v>46379</v>
      </c>
      <c r="AS10148" t="s">
        <v>46499</v>
      </c>
      <c r="AT10148" t="s">
        <v>46606</v>
      </c>
      <c r="AU10148">
        <v>5.6</v>
      </c>
      <c r="AV10148" t="s">
        <v>775</v>
      </c>
      <c r="AW10148" t="s">
        <v>46853</v>
      </c>
    </row>
    <row r="10149" spans="1:50">
      <c r="A10149" s="1">
        <f>HYPERLINK("https://lsnyc.legalserver.org/matter/dynamic-profile/view/1894667","19-1894667")</f>
        <v>0</v>
      </c>
      <c r="B10149" t="s">
        <v>257</v>
      </c>
      <c r="C10149" t="s">
        <v>340</v>
      </c>
      <c r="D10149" t="s">
        <v>787</v>
      </c>
      <c r="F10149" t="s">
        <v>968</v>
      </c>
      <c r="G10149" t="s">
        <v>7516</v>
      </c>
      <c r="H10149" t="s">
        <v>16524</v>
      </c>
      <c r="I10149" t="s">
        <v>17299</v>
      </c>
      <c r="J10149" t="s">
        <v>18894</v>
      </c>
      <c r="K10149">
        <v>11224</v>
      </c>
      <c r="L10149" t="s">
        <v>18960</v>
      </c>
      <c r="M10149" t="s">
        <v>18960</v>
      </c>
      <c r="N10149" t="s">
        <v>25877</v>
      </c>
      <c r="O10149" t="s">
        <v>26524</v>
      </c>
      <c r="P10149" t="s">
        <v>26560</v>
      </c>
      <c r="R10149" t="s">
        <v>26591</v>
      </c>
      <c r="U10149" t="s">
        <v>26604</v>
      </c>
      <c r="X10149">
        <v>700</v>
      </c>
      <c r="Y10149" t="s">
        <v>26652</v>
      </c>
      <c r="AB10149" t="s">
        <v>33819</v>
      </c>
      <c r="AD10149" t="s">
        <v>44666</v>
      </c>
      <c r="AE10149">
        <v>4</v>
      </c>
      <c r="AF10149" t="s">
        <v>20460</v>
      </c>
      <c r="AG10149" t="s">
        <v>19330</v>
      </c>
      <c r="AH10149">
        <v>19</v>
      </c>
      <c r="AI10149">
        <v>1</v>
      </c>
      <c r="AJ10149">
        <v>0</v>
      </c>
      <c r="AK10149">
        <v>135.47</v>
      </c>
      <c r="AN10149" t="s">
        <v>7439</v>
      </c>
      <c r="AO10149">
        <v>16920</v>
      </c>
      <c r="AU10149">
        <v>15</v>
      </c>
      <c r="AV10149" t="s">
        <v>839</v>
      </c>
      <c r="AW10149" t="s">
        <v>46859</v>
      </c>
    </row>
    <row r="10150" spans="1:50">
      <c r="A10150" s="1">
        <f>HYPERLINK("https://lsnyc.legalserver.org/matter/dynamic-profile/view/1894692","19-1894692")</f>
        <v>0</v>
      </c>
      <c r="B10150" t="s">
        <v>71</v>
      </c>
      <c r="C10150" t="s">
        <v>340</v>
      </c>
      <c r="D10150" t="s">
        <v>787</v>
      </c>
      <c r="F10150" t="s">
        <v>1283</v>
      </c>
      <c r="G10150" t="s">
        <v>5438</v>
      </c>
      <c r="H10150" t="s">
        <v>16152</v>
      </c>
      <c r="I10150" t="s">
        <v>17942</v>
      </c>
      <c r="J10150" t="s">
        <v>18892</v>
      </c>
      <c r="K10150">
        <v>10456</v>
      </c>
      <c r="L10150" t="s">
        <v>18960</v>
      </c>
      <c r="M10150" t="s">
        <v>18960</v>
      </c>
      <c r="O10150" t="s">
        <v>26523</v>
      </c>
      <c r="P10150" t="s">
        <v>26563</v>
      </c>
      <c r="R10150" t="s">
        <v>26577</v>
      </c>
      <c r="S10150" t="s">
        <v>18959</v>
      </c>
      <c r="U10150" t="s">
        <v>26604</v>
      </c>
      <c r="V10150" t="s">
        <v>26610</v>
      </c>
      <c r="X10150">
        <v>723</v>
      </c>
      <c r="Y10150" t="s">
        <v>26650</v>
      </c>
      <c r="Z10150" t="s">
        <v>26659</v>
      </c>
      <c r="AB10150" t="s">
        <v>32332</v>
      </c>
      <c r="AD10150" t="s">
        <v>44240</v>
      </c>
      <c r="AE10150">
        <v>60</v>
      </c>
      <c r="AF10150" t="s">
        <v>45541</v>
      </c>
      <c r="AG10150" t="s">
        <v>45556</v>
      </c>
      <c r="AH10150">
        <v>11</v>
      </c>
      <c r="AI10150">
        <v>1</v>
      </c>
      <c r="AJ10150">
        <v>0</v>
      </c>
      <c r="AK10150">
        <v>81.67</v>
      </c>
      <c r="AN10150" t="s">
        <v>7439</v>
      </c>
      <c r="AO10150">
        <v>10200</v>
      </c>
      <c r="AP10150" t="s">
        <v>46260</v>
      </c>
      <c r="AU10150">
        <v>4.3</v>
      </c>
      <c r="AV10150" t="s">
        <v>843</v>
      </c>
      <c r="AW10150" t="s">
        <v>71</v>
      </c>
    </row>
    <row r="10151" spans="1:50">
      <c r="A10151" s="1">
        <f>HYPERLINK("https://lsnyc.legalserver.org/matter/dynamic-profile/view/1894720","19-1894720")</f>
        <v>0</v>
      </c>
      <c r="B10151" t="s">
        <v>124</v>
      </c>
      <c r="C10151" t="s">
        <v>340</v>
      </c>
      <c r="D10151" t="s">
        <v>787</v>
      </c>
      <c r="F10151" t="s">
        <v>2098</v>
      </c>
      <c r="G10151" t="s">
        <v>6540</v>
      </c>
      <c r="H10151" t="s">
        <v>16525</v>
      </c>
      <c r="I10151" t="s">
        <v>17895</v>
      </c>
      <c r="J10151" t="s">
        <v>18894</v>
      </c>
      <c r="K10151">
        <v>11238</v>
      </c>
      <c r="L10151" t="s">
        <v>18960</v>
      </c>
      <c r="M10151" t="s">
        <v>18960</v>
      </c>
      <c r="N10151" t="s">
        <v>25878</v>
      </c>
      <c r="O10151" t="s">
        <v>26523</v>
      </c>
      <c r="P10151" t="s">
        <v>26565</v>
      </c>
      <c r="R10151" t="s">
        <v>26586</v>
      </c>
      <c r="U10151" t="s">
        <v>26604</v>
      </c>
      <c r="X10151">
        <v>1380.76</v>
      </c>
      <c r="Y10151" t="s">
        <v>26652</v>
      </c>
      <c r="Z10151" t="s">
        <v>26659</v>
      </c>
      <c r="AB10151" t="s">
        <v>33820</v>
      </c>
      <c r="AD10151" t="s">
        <v>44667</v>
      </c>
      <c r="AE10151">
        <v>0</v>
      </c>
      <c r="AF10151" t="s">
        <v>45541</v>
      </c>
      <c r="AH10151">
        <v>19</v>
      </c>
      <c r="AI10151">
        <v>1</v>
      </c>
      <c r="AJ10151">
        <v>0</v>
      </c>
      <c r="AK10151">
        <v>36.12</v>
      </c>
      <c r="AN10151" t="s">
        <v>7439</v>
      </c>
      <c r="AO10151">
        <v>4512</v>
      </c>
      <c r="AU10151">
        <v>4.7</v>
      </c>
      <c r="AV10151" t="s">
        <v>819</v>
      </c>
      <c r="AW10151" t="s">
        <v>124</v>
      </c>
    </row>
    <row r="10152" spans="1:50">
      <c r="A10152" s="1">
        <f>HYPERLINK("https://lsnyc.legalserver.org/matter/dynamic-profile/view/1894700","19-1894700")</f>
        <v>0</v>
      </c>
      <c r="B10152" t="s">
        <v>82</v>
      </c>
      <c r="C10152" t="s">
        <v>340</v>
      </c>
      <c r="D10152" t="s">
        <v>787</v>
      </c>
      <c r="F10152" t="s">
        <v>1834</v>
      </c>
      <c r="G10152" t="s">
        <v>6424</v>
      </c>
      <c r="H10152" t="s">
        <v>14769</v>
      </c>
      <c r="I10152">
        <v>3</v>
      </c>
      <c r="J10152" t="s">
        <v>18892</v>
      </c>
      <c r="K10152">
        <v>10457</v>
      </c>
      <c r="L10152" t="s">
        <v>18958</v>
      </c>
      <c r="M10152" t="s">
        <v>18960</v>
      </c>
      <c r="N10152" t="s">
        <v>25879</v>
      </c>
      <c r="O10152" t="s">
        <v>26526</v>
      </c>
      <c r="P10152" t="s">
        <v>26560</v>
      </c>
      <c r="R10152" t="s">
        <v>26579</v>
      </c>
      <c r="U10152" t="s">
        <v>26604</v>
      </c>
      <c r="X10152">
        <v>0</v>
      </c>
      <c r="Y10152" t="s">
        <v>26650</v>
      </c>
      <c r="AB10152" t="s">
        <v>28805</v>
      </c>
      <c r="AD10152" t="s">
        <v>38860</v>
      </c>
      <c r="AE10152">
        <v>0</v>
      </c>
      <c r="AH10152">
        <v>0</v>
      </c>
      <c r="AI10152">
        <v>1</v>
      </c>
      <c r="AJ10152">
        <v>0</v>
      </c>
      <c r="AK10152">
        <v>166.53</v>
      </c>
      <c r="AN10152" t="s">
        <v>45581</v>
      </c>
      <c r="AO10152">
        <v>20800</v>
      </c>
      <c r="AP10152" t="s">
        <v>46261</v>
      </c>
      <c r="AU10152">
        <v>0.5</v>
      </c>
      <c r="AV10152" t="s">
        <v>787</v>
      </c>
      <c r="AW10152" t="s">
        <v>46867</v>
      </c>
    </row>
    <row r="10153" spans="1:50">
      <c r="A10153" s="1">
        <f>HYPERLINK("https://lsnyc.legalserver.org/matter/dynamic-profile/view/1894674","19-1894674")</f>
        <v>0</v>
      </c>
      <c r="B10153" t="s">
        <v>199</v>
      </c>
      <c r="C10153" t="s">
        <v>340</v>
      </c>
      <c r="D10153" t="s">
        <v>787</v>
      </c>
      <c r="F10153" t="s">
        <v>1084</v>
      </c>
      <c r="G10153" t="s">
        <v>9282</v>
      </c>
      <c r="H10153" t="s">
        <v>16526</v>
      </c>
      <c r="I10153" t="s">
        <v>17309</v>
      </c>
      <c r="J10153" t="s">
        <v>18894</v>
      </c>
      <c r="K10153">
        <v>11206</v>
      </c>
      <c r="L10153" t="s">
        <v>18960</v>
      </c>
      <c r="M10153" t="s">
        <v>18960</v>
      </c>
      <c r="O10153" t="s">
        <v>18997</v>
      </c>
      <c r="P10153" t="s">
        <v>26564</v>
      </c>
      <c r="R10153" t="s">
        <v>26591</v>
      </c>
      <c r="S10153" t="s">
        <v>18959</v>
      </c>
      <c r="U10153" t="s">
        <v>26604</v>
      </c>
      <c r="X10153">
        <v>0</v>
      </c>
      <c r="Y10153" t="s">
        <v>26652</v>
      </c>
      <c r="Z10153" t="s">
        <v>26659</v>
      </c>
      <c r="AB10153" t="s">
        <v>33821</v>
      </c>
      <c r="AD10153" t="s">
        <v>44668</v>
      </c>
      <c r="AE10153">
        <v>0</v>
      </c>
      <c r="AF10153" t="s">
        <v>20460</v>
      </c>
      <c r="AG10153" t="s">
        <v>19330</v>
      </c>
      <c r="AH10153">
        <v>1</v>
      </c>
      <c r="AI10153">
        <v>1</v>
      </c>
      <c r="AJ10153">
        <v>0</v>
      </c>
      <c r="AK10153">
        <v>0</v>
      </c>
      <c r="AN10153" t="s">
        <v>7439</v>
      </c>
      <c r="AO10153">
        <v>0</v>
      </c>
      <c r="AU10153">
        <v>2.1</v>
      </c>
      <c r="AV10153" t="s">
        <v>787</v>
      </c>
      <c r="AW10153" t="s">
        <v>46860</v>
      </c>
    </row>
    <row r="10154" spans="1:50">
      <c r="A10154" s="1">
        <f>HYPERLINK("https://lsnyc.legalserver.org/matter/dynamic-profile/view/1894703","19-1894703")</f>
        <v>0</v>
      </c>
      <c r="B10154" t="s">
        <v>221</v>
      </c>
      <c r="C10154" t="s">
        <v>340</v>
      </c>
      <c r="D10154" t="s">
        <v>787</v>
      </c>
      <c r="F10154" t="s">
        <v>1107</v>
      </c>
      <c r="G10154" t="s">
        <v>9283</v>
      </c>
      <c r="H10154" t="s">
        <v>16527</v>
      </c>
      <c r="I10154" t="s">
        <v>18763</v>
      </c>
      <c r="J10154" t="s">
        <v>18901</v>
      </c>
      <c r="K10154">
        <v>11434</v>
      </c>
      <c r="L10154" t="s">
        <v>18958</v>
      </c>
      <c r="M10154" t="s">
        <v>18958</v>
      </c>
      <c r="N10154" t="s">
        <v>25880</v>
      </c>
      <c r="O10154" t="s">
        <v>26523</v>
      </c>
      <c r="P10154" t="s">
        <v>26560</v>
      </c>
      <c r="R10154" t="s">
        <v>26585</v>
      </c>
      <c r="S10154" t="s">
        <v>18959</v>
      </c>
      <c r="U10154" t="s">
        <v>26604</v>
      </c>
      <c r="V10154" t="s">
        <v>26610</v>
      </c>
      <c r="X10154">
        <v>1366.68</v>
      </c>
      <c r="Y10154" t="s">
        <v>26653</v>
      </c>
      <c r="Z10154" t="s">
        <v>26668</v>
      </c>
      <c r="AB10154" t="s">
        <v>33822</v>
      </c>
      <c r="AD10154" t="s">
        <v>44669</v>
      </c>
      <c r="AE10154">
        <v>32</v>
      </c>
      <c r="AF10154" t="s">
        <v>45541</v>
      </c>
      <c r="AG10154" t="s">
        <v>19330</v>
      </c>
      <c r="AH10154">
        <v>5</v>
      </c>
      <c r="AI10154">
        <v>1</v>
      </c>
      <c r="AJ10154">
        <v>0</v>
      </c>
      <c r="AK10154">
        <v>115.29</v>
      </c>
      <c r="AN10154" t="s">
        <v>7439</v>
      </c>
      <c r="AO10154">
        <v>14400</v>
      </c>
      <c r="AU10154">
        <v>17.25</v>
      </c>
      <c r="AV10154" t="s">
        <v>830</v>
      </c>
      <c r="AW10154" t="s">
        <v>130</v>
      </c>
    </row>
    <row r="10155" spans="1:50">
      <c r="A10155" s="1">
        <f>HYPERLINK("https://lsnyc.legalserver.org/matter/dynamic-profile/view/1894740","19-1894740")</f>
        <v>0</v>
      </c>
      <c r="B10155" t="s">
        <v>300</v>
      </c>
      <c r="C10155" t="s">
        <v>341</v>
      </c>
      <c r="D10155" t="s">
        <v>788</v>
      </c>
      <c r="E10155" t="s">
        <v>827</v>
      </c>
      <c r="F10155" t="s">
        <v>4121</v>
      </c>
      <c r="G10155" t="s">
        <v>6986</v>
      </c>
      <c r="H10155" t="s">
        <v>16528</v>
      </c>
      <c r="I10155" t="s">
        <v>18764</v>
      </c>
      <c r="J10155" t="s">
        <v>18893</v>
      </c>
      <c r="K10155">
        <v>10034</v>
      </c>
      <c r="L10155" t="s">
        <v>18960</v>
      </c>
      <c r="M10155" t="s">
        <v>18960</v>
      </c>
      <c r="N10155" t="s">
        <v>25881</v>
      </c>
      <c r="O10155" t="s">
        <v>26524</v>
      </c>
      <c r="Q10155" t="s">
        <v>26570</v>
      </c>
      <c r="R10155" t="s">
        <v>26592</v>
      </c>
      <c r="U10155" t="s">
        <v>26604</v>
      </c>
      <c r="X10155">
        <v>1300</v>
      </c>
      <c r="Y10155" t="s">
        <v>26651</v>
      </c>
      <c r="AA10155" t="s">
        <v>26683</v>
      </c>
      <c r="AB10155" t="s">
        <v>33823</v>
      </c>
      <c r="AD10155" t="s">
        <v>44670</v>
      </c>
      <c r="AE10155">
        <v>0</v>
      </c>
      <c r="AF10155" t="s">
        <v>45541</v>
      </c>
      <c r="AG10155" t="s">
        <v>19330</v>
      </c>
      <c r="AH10155">
        <v>3</v>
      </c>
      <c r="AI10155">
        <v>2</v>
      </c>
      <c r="AJ10155">
        <v>1</v>
      </c>
      <c r="AK10155">
        <v>195.03</v>
      </c>
      <c r="AN10155" t="s">
        <v>7439</v>
      </c>
      <c r="AO10155">
        <v>41600</v>
      </c>
      <c r="AU10155">
        <v>1.25</v>
      </c>
      <c r="AV10155" t="s">
        <v>780</v>
      </c>
      <c r="AW10155" t="s">
        <v>46859</v>
      </c>
    </row>
    <row r="10156" spans="1:50">
      <c r="A10156" s="1">
        <f>HYPERLINK("https://lsnyc.legalserver.org/matter/dynamic-profile/view/1894804","19-1894804")</f>
        <v>0</v>
      </c>
      <c r="B10156" t="s">
        <v>252</v>
      </c>
      <c r="C10156" t="s">
        <v>341</v>
      </c>
      <c r="D10156" t="s">
        <v>788</v>
      </c>
      <c r="E10156" t="s">
        <v>773</v>
      </c>
      <c r="F10156" t="s">
        <v>2273</v>
      </c>
      <c r="G10156" t="s">
        <v>9284</v>
      </c>
      <c r="H10156" t="s">
        <v>16529</v>
      </c>
      <c r="I10156" t="s">
        <v>17541</v>
      </c>
      <c r="J10156" t="s">
        <v>18894</v>
      </c>
      <c r="K10156">
        <v>11203</v>
      </c>
      <c r="L10156" t="s">
        <v>18960</v>
      </c>
      <c r="M10156" t="s">
        <v>18960</v>
      </c>
      <c r="P10156" t="s">
        <v>26563</v>
      </c>
      <c r="Q10156" t="s">
        <v>26570</v>
      </c>
      <c r="R10156" t="s">
        <v>26583</v>
      </c>
      <c r="U10156" t="s">
        <v>26608</v>
      </c>
      <c r="X10156">
        <v>0</v>
      </c>
      <c r="Y10156" t="s">
        <v>26652</v>
      </c>
      <c r="AA10156" t="s">
        <v>26683</v>
      </c>
      <c r="AB10156" t="s">
        <v>29903</v>
      </c>
      <c r="AD10156" t="s">
        <v>44671</v>
      </c>
      <c r="AE10156">
        <v>0</v>
      </c>
      <c r="AH10156">
        <v>0</v>
      </c>
      <c r="AI10156">
        <v>2</v>
      </c>
      <c r="AJ10156">
        <v>0</v>
      </c>
      <c r="AK10156">
        <v>266.11</v>
      </c>
      <c r="AN10156" t="s">
        <v>7439</v>
      </c>
      <c r="AO10156">
        <v>45000</v>
      </c>
      <c r="AU10156">
        <v>1</v>
      </c>
      <c r="AV10156" t="s">
        <v>788</v>
      </c>
      <c r="AW10156" t="s">
        <v>46887</v>
      </c>
    </row>
    <row r="10157" spans="1:50">
      <c r="A10157" s="1">
        <f>HYPERLINK("https://lsnyc.legalserver.org/matter/dynamic-profile/view/1894787","19-1894787")</f>
        <v>0</v>
      </c>
      <c r="B10157" t="s">
        <v>122</v>
      </c>
      <c r="C10157" t="s">
        <v>341</v>
      </c>
      <c r="D10157" t="s">
        <v>788</v>
      </c>
      <c r="E10157" t="s">
        <v>779</v>
      </c>
      <c r="F10157" t="s">
        <v>1161</v>
      </c>
      <c r="G10157" t="s">
        <v>6391</v>
      </c>
      <c r="H10157" t="s">
        <v>16530</v>
      </c>
      <c r="I10157">
        <v>2</v>
      </c>
      <c r="J10157" t="s">
        <v>18901</v>
      </c>
      <c r="K10157">
        <v>11433</v>
      </c>
      <c r="L10157" t="s">
        <v>18958</v>
      </c>
      <c r="M10157" t="s">
        <v>18958</v>
      </c>
      <c r="N10157" t="s">
        <v>25882</v>
      </c>
      <c r="O10157" t="s">
        <v>26526</v>
      </c>
      <c r="P10157" t="s">
        <v>26564</v>
      </c>
      <c r="Q10157" t="s">
        <v>26570</v>
      </c>
      <c r="R10157" t="s">
        <v>26584</v>
      </c>
      <c r="S10157" t="s">
        <v>18959</v>
      </c>
      <c r="U10157" t="s">
        <v>26604</v>
      </c>
      <c r="V10157" t="s">
        <v>26610</v>
      </c>
      <c r="X10157">
        <v>1650</v>
      </c>
      <c r="Y10157" t="s">
        <v>26653</v>
      </c>
      <c r="Z10157" t="s">
        <v>26664</v>
      </c>
      <c r="AA10157" t="s">
        <v>26683</v>
      </c>
      <c r="AB10157" t="s">
        <v>33824</v>
      </c>
      <c r="AD10157" t="s">
        <v>44672</v>
      </c>
      <c r="AE10157">
        <v>2</v>
      </c>
      <c r="AF10157" t="s">
        <v>45547</v>
      </c>
      <c r="AG10157" t="s">
        <v>19330</v>
      </c>
      <c r="AH10157">
        <v>1</v>
      </c>
      <c r="AI10157">
        <v>2</v>
      </c>
      <c r="AJ10157">
        <v>2</v>
      </c>
      <c r="AK10157">
        <v>119.3</v>
      </c>
      <c r="AO10157">
        <v>30720</v>
      </c>
      <c r="AU10157">
        <v>3.5</v>
      </c>
      <c r="AV10157" t="s">
        <v>779</v>
      </c>
      <c r="AW10157" t="s">
        <v>122</v>
      </c>
    </row>
    <row r="10158" spans="1:50">
      <c r="A10158" s="1">
        <f>HYPERLINK("https://lsnyc.legalserver.org/matter/dynamic-profile/view/1892456","19-1892456")</f>
        <v>0</v>
      </c>
      <c r="B10158" t="s">
        <v>310</v>
      </c>
      <c r="C10158" t="s">
        <v>340</v>
      </c>
      <c r="D10158" t="s">
        <v>788</v>
      </c>
      <c r="F10158" t="s">
        <v>1473</v>
      </c>
      <c r="G10158" t="s">
        <v>9285</v>
      </c>
      <c r="H10158" t="s">
        <v>16531</v>
      </c>
      <c r="I10158" t="s">
        <v>18195</v>
      </c>
      <c r="J10158" t="s">
        <v>18893</v>
      </c>
      <c r="K10158">
        <v>10001</v>
      </c>
      <c r="L10158" t="s">
        <v>18960</v>
      </c>
      <c r="M10158" t="s">
        <v>18960</v>
      </c>
      <c r="R10158" t="s">
        <v>26591</v>
      </c>
      <c r="U10158" t="s">
        <v>26606</v>
      </c>
      <c r="X10158">
        <v>0</v>
      </c>
      <c r="Y10158" t="s">
        <v>26651</v>
      </c>
      <c r="AB10158" t="s">
        <v>33825</v>
      </c>
      <c r="AE10158">
        <v>0</v>
      </c>
      <c r="AH10158">
        <v>0</v>
      </c>
      <c r="AI10158">
        <v>1</v>
      </c>
      <c r="AJ10158">
        <v>0</v>
      </c>
      <c r="AK10158">
        <v>151.61</v>
      </c>
      <c r="AN10158" t="s">
        <v>7439</v>
      </c>
      <c r="AO10158">
        <v>18936</v>
      </c>
      <c r="AU10158">
        <v>3.2</v>
      </c>
      <c r="AV10158" t="s">
        <v>788</v>
      </c>
      <c r="AW10158" t="s">
        <v>46874</v>
      </c>
    </row>
    <row r="10159" spans="1:50">
      <c r="A10159" s="1">
        <f>HYPERLINK("https://lsnyc.legalserver.org/matter/dynamic-profile/view/1894796","19-1894796")</f>
        <v>0</v>
      </c>
      <c r="B10159" t="s">
        <v>96</v>
      </c>
      <c r="C10159" t="s">
        <v>340</v>
      </c>
      <c r="D10159" t="s">
        <v>788</v>
      </c>
      <c r="F10159" t="s">
        <v>1543</v>
      </c>
      <c r="G10159" t="s">
        <v>5476</v>
      </c>
      <c r="H10159" t="s">
        <v>14442</v>
      </c>
      <c r="I10159">
        <v>4</v>
      </c>
      <c r="J10159" t="s">
        <v>18892</v>
      </c>
      <c r="K10159">
        <v>10471</v>
      </c>
      <c r="L10159" t="s">
        <v>18960</v>
      </c>
      <c r="M10159" t="s">
        <v>18960</v>
      </c>
      <c r="R10159" t="s">
        <v>26591</v>
      </c>
      <c r="U10159" t="s">
        <v>26606</v>
      </c>
      <c r="X10159">
        <v>0</v>
      </c>
      <c r="Y10159" t="s">
        <v>26650</v>
      </c>
      <c r="AB10159" t="s">
        <v>31849</v>
      </c>
      <c r="AD10159" t="s">
        <v>42134</v>
      </c>
      <c r="AE10159">
        <v>0</v>
      </c>
      <c r="AH10159">
        <v>0</v>
      </c>
      <c r="AI10159">
        <v>1</v>
      </c>
      <c r="AJ10159">
        <v>0</v>
      </c>
      <c r="AK10159">
        <v>71.09999999999999</v>
      </c>
      <c r="AN10159" t="s">
        <v>7439</v>
      </c>
      <c r="AO10159">
        <v>8880</v>
      </c>
      <c r="AU10159">
        <v>3.1</v>
      </c>
      <c r="AV10159" t="s">
        <v>724</v>
      </c>
      <c r="AW10159" t="s">
        <v>46867</v>
      </c>
    </row>
    <row r="10160" spans="1:50">
      <c r="A10160" s="1">
        <f>HYPERLINK("https://lsnyc.legalserver.org/matter/dynamic-profile/view/1894785","19-1894785")</f>
        <v>0</v>
      </c>
      <c r="B10160" t="s">
        <v>169</v>
      </c>
      <c r="C10160" t="s">
        <v>340</v>
      </c>
      <c r="D10160" t="s">
        <v>788</v>
      </c>
      <c r="F10160" t="s">
        <v>1048</v>
      </c>
      <c r="G10160" t="s">
        <v>8982</v>
      </c>
      <c r="H10160" t="s">
        <v>10149</v>
      </c>
      <c r="I10160" t="s">
        <v>17772</v>
      </c>
      <c r="J10160" t="s">
        <v>18892</v>
      </c>
      <c r="K10160">
        <v>10458</v>
      </c>
      <c r="L10160" t="s">
        <v>18958</v>
      </c>
      <c r="M10160" t="s">
        <v>18960</v>
      </c>
      <c r="N10160" t="s">
        <v>25883</v>
      </c>
      <c r="O10160" t="s">
        <v>26534</v>
      </c>
      <c r="P10160" t="s">
        <v>26561</v>
      </c>
      <c r="R10160" t="s">
        <v>26578</v>
      </c>
      <c r="S10160" t="s">
        <v>18958</v>
      </c>
      <c r="U10160" t="s">
        <v>26604</v>
      </c>
      <c r="V10160" t="s">
        <v>26610</v>
      </c>
      <c r="X10160">
        <v>1252.6</v>
      </c>
      <c r="Y10160" t="s">
        <v>26650</v>
      </c>
      <c r="Z10160" t="s">
        <v>26663</v>
      </c>
      <c r="AB10160" t="s">
        <v>33314</v>
      </c>
      <c r="AD10160" t="s">
        <v>44016</v>
      </c>
      <c r="AE10160">
        <v>129</v>
      </c>
      <c r="AF10160" t="s">
        <v>45541</v>
      </c>
      <c r="AH10160">
        <v>11</v>
      </c>
      <c r="AI10160">
        <v>1</v>
      </c>
      <c r="AJ10160">
        <v>2</v>
      </c>
      <c r="AK10160">
        <v>76.42</v>
      </c>
      <c r="AN10160" t="s">
        <v>7439</v>
      </c>
      <c r="AO10160">
        <v>16300</v>
      </c>
      <c r="AU10160">
        <v>3.5</v>
      </c>
      <c r="AV10160" t="s">
        <v>835</v>
      </c>
      <c r="AW10160" t="s">
        <v>169</v>
      </c>
    </row>
    <row r="10161" spans="1:50">
      <c r="A10161" s="1">
        <f>HYPERLINK("https://lsnyc.legalserver.org/matter/dynamic-profile/view/1894789","19-1894789")</f>
        <v>0</v>
      </c>
      <c r="B10161" t="s">
        <v>81</v>
      </c>
      <c r="C10161" t="s">
        <v>340</v>
      </c>
      <c r="D10161" t="s">
        <v>788</v>
      </c>
      <c r="F10161" t="s">
        <v>1013</v>
      </c>
      <c r="G10161" t="s">
        <v>1263</v>
      </c>
      <c r="H10161" t="s">
        <v>14360</v>
      </c>
      <c r="I10161" t="s">
        <v>18375</v>
      </c>
      <c r="J10161" t="s">
        <v>18892</v>
      </c>
      <c r="K10161">
        <v>10473</v>
      </c>
      <c r="L10161" t="s">
        <v>18960</v>
      </c>
      <c r="M10161" t="s">
        <v>18960</v>
      </c>
      <c r="O10161" t="s">
        <v>26526</v>
      </c>
      <c r="P10161" t="s">
        <v>26564</v>
      </c>
      <c r="R10161" t="s">
        <v>26591</v>
      </c>
      <c r="S10161" t="s">
        <v>18959</v>
      </c>
      <c r="U10161" t="s">
        <v>26604</v>
      </c>
      <c r="X10161">
        <v>1167</v>
      </c>
      <c r="Y10161" t="s">
        <v>26650</v>
      </c>
      <c r="Z10161" t="s">
        <v>26668</v>
      </c>
      <c r="AB10161" t="s">
        <v>31771</v>
      </c>
      <c r="AD10161" t="s">
        <v>42033</v>
      </c>
      <c r="AE10161">
        <v>0</v>
      </c>
      <c r="AF10161" t="s">
        <v>45549</v>
      </c>
      <c r="AH10161">
        <v>1</v>
      </c>
      <c r="AI10161">
        <v>1</v>
      </c>
      <c r="AJ10161">
        <v>1</v>
      </c>
      <c r="AK10161">
        <v>195.15</v>
      </c>
      <c r="AN10161" t="s">
        <v>7439</v>
      </c>
      <c r="AO10161">
        <v>33000</v>
      </c>
      <c r="AP10161" t="s">
        <v>46262</v>
      </c>
      <c r="AU10161">
        <v>0.1</v>
      </c>
      <c r="AV10161" t="s">
        <v>802</v>
      </c>
      <c r="AW10161" t="s">
        <v>254</v>
      </c>
    </row>
    <row r="10162" spans="1:50">
      <c r="A10162" s="1">
        <f>HYPERLINK("https://lsnyc.legalserver.org/matter/dynamic-profile/view/1894735","19-1894735")</f>
        <v>0</v>
      </c>
      <c r="B10162" t="s">
        <v>191</v>
      </c>
      <c r="C10162" t="s">
        <v>340</v>
      </c>
      <c r="D10162" t="s">
        <v>788</v>
      </c>
      <c r="F10162" t="s">
        <v>4750</v>
      </c>
      <c r="G10162" t="s">
        <v>9286</v>
      </c>
      <c r="H10162" t="s">
        <v>16532</v>
      </c>
      <c r="J10162" t="s">
        <v>18894</v>
      </c>
      <c r="K10162">
        <v>11209</v>
      </c>
      <c r="L10162" t="s">
        <v>18958</v>
      </c>
      <c r="M10162" t="s">
        <v>18958</v>
      </c>
      <c r="O10162" t="s">
        <v>18997</v>
      </c>
      <c r="P10162" t="s">
        <v>26563</v>
      </c>
      <c r="R10162" t="s">
        <v>26578</v>
      </c>
      <c r="S10162" t="s">
        <v>18959</v>
      </c>
      <c r="U10162" t="s">
        <v>26604</v>
      </c>
      <c r="X10162">
        <v>0</v>
      </c>
      <c r="Y10162" t="s">
        <v>26651</v>
      </c>
      <c r="Z10162" t="s">
        <v>26667</v>
      </c>
      <c r="AB10162" t="s">
        <v>33826</v>
      </c>
      <c r="AE10162">
        <v>0</v>
      </c>
      <c r="AF10162" t="s">
        <v>20460</v>
      </c>
      <c r="AG10162" t="s">
        <v>19330</v>
      </c>
      <c r="AH10162">
        <v>0</v>
      </c>
      <c r="AI10162">
        <v>1</v>
      </c>
      <c r="AJ10162">
        <v>0</v>
      </c>
      <c r="AK10162">
        <v>57.65</v>
      </c>
      <c r="AN10162" t="s">
        <v>45599</v>
      </c>
      <c r="AO10162">
        <v>7200</v>
      </c>
      <c r="AU10162">
        <v>0.7</v>
      </c>
      <c r="AV10162" t="s">
        <v>766</v>
      </c>
      <c r="AW10162" t="s">
        <v>314</v>
      </c>
    </row>
    <row r="10163" spans="1:50">
      <c r="A10163" s="1">
        <f>HYPERLINK("https://lsnyc.legalserver.org/matter/dynamic-profile/view/1893692","19-1893692")</f>
        <v>0</v>
      </c>
      <c r="B10163" t="s">
        <v>153</v>
      </c>
      <c r="C10163" t="s">
        <v>340</v>
      </c>
      <c r="D10163" t="s">
        <v>788</v>
      </c>
      <c r="F10163" t="s">
        <v>1096</v>
      </c>
      <c r="G10163" t="s">
        <v>5608</v>
      </c>
      <c r="H10163" t="s">
        <v>11310</v>
      </c>
      <c r="I10163" t="s">
        <v>18422</v>
      </c>
      <c r="J10163" t="s">
        <v>18902</v>
      </c>
      <c r="K10163">
        <v>10303</v>
      </c>
      <c r="L10163" t="s">
        <v>18959</v>
      </c>
      <c r="M10163" t="s">
        <v>18960</v>
      </c>
      <c r="N10163" t="s">
        <v>25884</v>
      </c>
      <c r="P10163" t="s">
        <v>26560</v>
      </c>
      <c r="R10163" t="s">
        <v>26590</v>
      </c>
      <c r="U10163" t="s">
        <v>26606</v>
      </c>
      <c r="V10163" t="s">
        <v>26610</v>
      </c>
      <c r="X10163">
        <v>180</v>
      </c>
      <c r="Y10163" t="s">
        <v>26654</v>
      </c>
      <c r="Z10163" t="s">
        <v>26668</v>
      </c>
      <c r="AB10163" t="s">
        <v>33827</v>
      </c>
      <c r="AD10163" t="s">
        <v>44673</v>
      </c>
      <c r="AE10163">
        <v>0</v>
      </c>
      <c r="AF10163" t="s">
        <v>45543</v>
      </c>
      <c r="AG10163" t="s">
        <v>45556</v>
      </c>
      <c r="AH10163">
        <v>2</v>
      </c>
      <c r="AI10163">
        <v>1</v>
      </c>
      <c r="AJ10163">
        <v>1</v>
      </c>
      <c r="AK10163">
        <v>85.16</v>
      </c>
      <c r="AO10163">
        <v>14400</v>
      </c>
      <c r="AU10163">
        <v>3.4</v>
      </c>
      <c r="AV10163" t="s">
        <v>820</v>
      </c>
      <c r="AW10163" t="s">
        <v>46883</v>
      </c>
    </row>
    <row r="10164" spans="1:50">
      <c r="A10164" s="1">
        <f>HYPERLINK("https://lsnyc.legalserver.org/matter/dynamic-profile/view/1894832","19-1894832")</f>
        <v>0</v>
      </c>
      <c r="B10164" t="s">
        <v>295</v>
      </c>
      <c r="C10164" t="s">
        <v>340</v>
      </c>
      <c r="D10164" t="s">
        <v>788</v>
      </c>
      <c r="F10164" t="s">
        <v>1531</v>
      </c>
      <c r="G10164" t="s">
        <v>7105</v>
      </c>
      <c r="H10164" t="s">
        <v>9718</v>
      </c>
      <c r="I10164" t="s">
        <v>17334</v>
      </c>
      <c r="J10164" t="s">
        <v>18894</v>
      </c>
      <c r="K10164">
        <v>11233</v>
      </c>
      <c r="L10164" t="s">
        <v>18959</v>
      </c>
      <c r="M10164" t="s">
        <v>18959</v>
      </c>
      <c r="N10164" t="s">
        <v>25885</v>
      </c>
      <c r="O10164" t="s">
        <v>26523</v>
      </c>
      <c r="P10164" t="s">
        <v>26560</v>
      </c>
      <c r="R10164" t="s">
        <v>26578</v>
      </c>
      <c r="S10164" t="s">
        <v>18959</v>
      </c>
      <c r="U10164" t="s">
        <v>26604</v>
      </c>
      <c r="V10164" t="s">
        <v>26610</v>
      </c>
      <c r="X10164">
        <v>2350</v>
      </c>
      <c r="Y10164" t="s">
        <v>26652</v>
      </c>
      <c r="Z10164" t="s">
        <v>26659</v>
      </c>
      <c r="AB10164" t="s">
        <v>33828</v>
      </c>
      <c r="AD10164" t="s">
        <v>44674</v>
      </c>
      <c r="AE10164">
        <v>7</v>
      </c>
      <c r="AF10164" t="s">
        <v>45541</v>
      </c>
      <c r="AH10164">
        <v>2</v>
      </c>
      <c r="AI10164">
        <v>2</v>
      </c>
      <c r="AJ10164">
        <v>0</v>
      </c>
      <c r="AK10164">
        <v>85.16</v>
      </c>
      <c r="AN10164" t="s">
        <v>7439</v>
      </c>
      <c r="AO10164">
        <v>14400</v>
      </c>
      <c r="AU10164">
        <v>48.65</v>
      </c>
      <c r="AV10164" t="s">
        <v>834</v>
      </c>
      <c r="AW10164" t="s">
        <v>279</v>
      </c>
    </row>
    <row r="10165" spans="1:50">
      <c r="A10165" s="1">
        <f>HYPERLINK("https://lsnyc.legalserver.org/matter/dynamic-profile/view/1894894","19-1894894")</f>
        <v>0</v>
      </c>
      <c r="B10165" t="s">
        <v>257</v>
      </c>
      <c r="C10165" t="s">
        <v>341</v>
      </c>
      <c r="D10165" t="s">
        <v>789</v>
      </c>
      <c r="E10165" t="s">
        <v>800</v>
      </c>
      <c r="F10165" t="s">
        <v>881</v>
      </c>
      <c r="G10165" t="s">
        <v>9287</v>
      </c>
      <c r="H10165" t="s">
        <v>16533</v>
      </c>
      <c r="I10165">
        <v>12</v>
      </c>
      <c r="J10165" t="s">
        <v>18894</v>
      </c>
      <c r="K10165">
        <v>11211</v>
      </c>
      <c r="L10165" t="s">
        <v>18960</v>
      </c>
      <c r="M10165" t="s">
        <v>18960</v>
      </c>
      <c r="O10165" t="s">
        <v>18997</v>
      </c>
      <c r="P10165" t="s">
        <v>26564</v>
      </c>
      <c r="Q10165" t="s">
        <v>26570</v>
      </c>
      <c r="R10165" t="s">
        <v>26591</v>
      </c>
      <c r="U10165" t="s">
        <v>26604</v>
      </c>
      <c r="X10165">
        <v>381</v>
      </c>
      <c r="Y10165" t="s">
        <v>26652</v>
      </c>
      <c r="AA10165" t="s">
        <v>26683</v>
      </c>
      <c r="AB10165" t="s">
        <v>28381</v>
      </c>
      <c r="AD10165" t="s">
        <v>44675</v>
      </c>
      <c r="AE10165">
        <v>26</v>
      </c>
      <c r="AH10165">
        <v>35</v>
      </c>
      <c r="AI10165">
        <v>2</v>
      </c>
      <c r="AJ10165">
        <v>0</v>
      </c>
      <c r="AK10165">
        <v>153.99</v>
      </c>
      <c r="AN10165" t="s">
        <v>7439</v>
      </c>
      <c r="AO10165">
        <v>26040</v>
      </c>
      <c r="AU10165">
        <v>2.1</v>
      </c>
      <c r="AV10165" t="s">
        <v>800</v>
      </c>
      <c r="AW10165" t="s">
        <v>46859</v>
      </c>
    </row>
    <row r="10166" spans="1:50">
      <c r="A10166" s="1">
        <f>HYPERLINK("https://lsnyc.legalserver.org/matter/dynamic-profile/view/1892327","19-1892327")</f>
        <v>0</v>
      </c>
      <c r="B10166" t="s">
        <v>188</v>
      </c>
      <c r="C10166" t="s">
        <v>341</v>
      </c>
      <c r="D10166" t="s">
        <v>789</v>
      </c>
      <c r="E10166" t="s">
        <v>836</v>
      </c>
      <c r="F10166" t="s">
        <v>2871</v>
      </c>
      <c r="G10166" t="s">
        <v>5147</v>
      </c>
      <c r="H10166" t="s">
        <v>16534</v>
      </c>
      <c r="I10166" t="s">
        <v>17362</v>
      </c>
      <c r="J10166" t="s">
        <v>18892</v>
      </c>
      <c r="K10166">
        <v>10458</v>
      </c>
      <c r="L10166" t="s">
        <v>18958</v>
      </c>
      <c r="M10166" t="s">
        <v>18960</v>
      </c>
      <c r="N10166" t="s">
        <v>25886</v>
      </c>
      <c r="O10166" t="s">
        <v>26526</v>
      </c>
      <c r="P10166" t="s">
        <v>26564</v>
      </c>
      <c r="Q10166" t="s">
        <v>26570</v>
      </c>
      <c r="R10166" t="s">
        <v>26578</v>
      </c>
      <c r="S10166" t="s">
        <v>18959</v>
      </c>
      <c r="U10166" t="s">
        <v>26604</v>
      </c>
      <c r="V10166" t="s">
        <v>26610</v>
      </c>
      <c r="X10166">
        <v>2050</v>
      </c>
      <c r="Y10166" t="s">
        <v>26650</v>
      </c>
      <c r="Z10166" t="s">
        <v>26663</v>
      </c>
      <c r="AA10166" t="s">
        <v>26683</v>
      </c>
      <c r="AB10166" t="s">
        <v>33829</v>
      </c>
      <c r="AD10166" t="s">
        <v>44676</v>
      </c>
      <c r="AE10166">
        <v>0</v>
      </c>
      <c r="AF10166" t="s">
        <v>45541</v>
      </c>
      <c r="AG10166" t="s">
        <v>19330</v>
      </c>
      <c r="AH10166">
        <v>0</v>
      </c>
      <c r="AI10166">
        <v>3</v>
      </c>
      <c r="AJ10166">
        <v>3</v>
      </c>
      <c r="AK10166">
        <v>128.71</v>
      </c>
      <c r="AN10166" t="s">
        <v>45581</v>
      </c>
      <c r="AO10166">
        <v>44520</v>
      </c>
      <c r="AU10166">
        <v>0.3</v>
      </c>
      <c r="AV10166" t="s">
        <v>754</v>
      </c>
      <c r="AW10166" t="s">
        <v>188</v>
      </c>
      <c r="AX10166" t="s">
        <v>46897</v>
      </c>
    </row>
    <row r="10167" spans="1:50">
      <c r="A10167" s="1">
        <f>HYPERLINK("https://lsnyc.legalserver.org/matter/dynamic-profile/view/1894577","19-1894577")</f>
        <v>0</v>
      </c>
      <c r="B10167" t="s">
        <v>188</v>
      </c>
      <c r="C10167" t="s">
        <v>341</v>
      </c>
      <c r="D10167" t="s">
        <v>789</v>
      </c>
      <c r="E10167" t="s">
        <v>795</v>
      </c>
      <c r="F10167" t="s">
        <v>3006</v>
      </c>
      <c r="G10167" t="s">
        <v>5959</v>
      </c>
      <c r="H10167" t="s">
        <v>16535</v>
      </c>
      <c r="J10167" t="s">
        <v>18892</v>
      </c>
      <c r="K10167">
        <v>10453</v>
      </c>
      <c r="L10167" t="s">
        <v>18958</v>
      </c>
      <c r="M10167" t="s">
        <v>18958</v>
      </c>
      <c r="N10167" t="s">
        <v>25887</v>
      </c>
      <c r="O10167" t="s">
        <v>26523</v>
      </c>
      <c r="P10167" t="s">
        <v>26564</v>
      </c>
      <c r="Q10167" t="s">
        <v>26570</v>
      </c>
      <c r="R10167" t="s">
        <v>26578</v>
      </c>
      <c r="S10167" t="s">
        <v>18959</v>
      </c>
      <c r="U10167" t="s">
        <v>26604</v>
      </c>
      <c r="V10167" t="s">
        <v>26610</v>
      </c>
      <c r="X10167">
        <v>826.4</v>
      </c>
      <c r="Y10167" t="s">
        <v>26650</v>
      </c>
      <c r="Z10167" t="s">
        <v>26663</v>
      </c>
      <c r="AA10167" t="s">
        <v>26683</v>
      </c>
      <c r="AB10167" t="s">
        <v>33830</v>
      </c>
      <c r="AD10167" t="s">
        <v>44677</v>
      </c>
      <c r="AE10167">
        <v>0</v>
      </c>
      <c r="AF10167" t="s">
        <v>45541</v>
      </c>
      <c r="AG10167" t="s">
        <v>19330</v>
      </c>
      <c r="AH10167">
        <v>35</v>
      </c>
      <c r="AI10167">
        <v>2</v>
      </c>
      <c r="AJ10167">
        <v>0</v>
      </c>
      <c r="AK10167">
        <v>230.22</v>
      </c>
      <c r="AN10167" t="s">
        <v>7439</v>
      </c>
      <c r="AO10167">
        <v>38930.28</v>
      </c>
      <c r="AP10167" t="s">
        <v>46263</v>
      </c>
      <c r="AU10167">
        <v>0.1</v>
      </c>
      <c r="AV10167" t="s">
        <v>789</v>
      </c>
      <c r="AW10167" t="s">
        <v>188</v>
      </c>
    </row>
    <row r="10168" spans="1:50">
      <c r="A10168" s="1">
        <f>HYPERLINK("https://lsnyc.legalserver.org/matter/dynamic-profile/view/1894865","19-1894865")</f>
        <v>0</v>
      </c>
      <c r="B10168" t="s">
        <v>245</v>
      </c>
      <c r="C10168" t="s">
        <v>340</v>
      </c>
      <c r="D10168" t="s">
        <v>789</v>
      </c>
      <c r="F10168" t="s">
        <v>4751</v>
      </c>
      <c r="G10168" t="s">
        <v>9288</v>
      </c>
      <c r="H10168" t="s">
        <v>16536</v>
      </c>
      <c r="I10168" t="s">
        <v>18765</v>
      </c>
      <c r="J10168" t="s">
        <v>18892</v>
      </c>
      <c r="K10168">
        <v>10463</v>
      </c>
      <c r="L10168" t="s">
        <v>18958</v>
      </c>
      <c r="M10168" t="s">
        <v>18958</v>
      </c>
      <c r="N10168" t="s">
        <v>25888</v>
      </c>
      <c r="O10168" t="s">
        <v>26523</v>
      </c>
      <c r="P10168" t="s">
        <v>26563</v>
      </c>
      <c r="R10168" t="s">
        <v>26577</v>
      </c>
      <c r="U10168" t="s">
        <v>26604</v>
      </c>
      <c r="X10168">
        <v>1074.58</v>
      </c>
      <c r="Y10168" t="s">
        <v>26650</v>
      </c>
      <c r="Z10168" t="s">
        <v>26668</v>
      </c>
      <c r="AB10168" t="s">
        <v>31683</v>
      </c>
      <c r="AC10168" t="s">
        <v>36701</v>
      </c>
      <c r="AD10168" t="s">
        <v>44678</v>
      </c>
      <c r="AE10168">
        <v>0</v>
      </c>
      <c r="AG10168" t="s">
        <v>45557</v>
      </c>
      <c r="AH10168">
        <v>10</v>
      </c>
      <c r="AI10168">
        <v>1</v>
      </c>
      <c r="AJ10168">
        <v>2</v>
      </c>
      <c r="AK10168">
        <v>0</v>
      </c>
      <c r="AN10168" t="s">
        <v>45586</v>
      </c>
      <c r="AO10168">
        <v>0</v>
      </c>
      <c r="AP10168" t="s">
        <v>46010</v>
      </c>
      <c r="AU10168">
        <v>17.7</v>
      </c>
      <c r="AV10168" t="s">
        <v>821</v>
      </c>
      <c r="AW10168" t="s">
        <v>334</v>
      </c>
      <c r="AX10168" t="s">
        <v>46898</v>
      </c>
    </row>
    <row r="10169" spans="1:50">
      <c r="A10169" s="1">
        <f>HYPERLINK("https://lsnyc.legalserver.org/matter/dynamic-profile/view/1894931","19-1894931")</f>
        <v>0</v>
      </c>
      <c r="B10169" t="s">
        <v>197</v>
      </c>
      <c r="C10169" t="s">
        <v>340</v>
      </c>
      <c r="D10169" t="s">
        <v>789</v>
      </c>
      <c r="F10169" t="s">
        <v>996</v>
      </c>
      <c r="G10169" t="s">
        <v>9289</v>
      </c>
      <c r="H10169" t="s">
        <v>16537</v>
      </c>
      <c r="I10169" t="s">
        <v>18766</v>
      </c>
      <c r="J10169" t="s">
        <v>18894</v>
      </c>
      <c r="K10169">
        <v>11233</v>
      </c>
      <c r="L10169" t="s">
        <v>18959</v>
      </c>
      <c r="M10169" t="s">
        <v>18959</v>
      </c>
      <c r="N10169" t="s">
        <v>25889</v>
      </c>
      <c r="O10169" t="s">
        <v>26524</v>
      </c>
      <c r="P10169" t="s">
        <v>26563</v>
      </c>
      <c r="R10169" t="s">
        <v>26578</v>
      </c>
      <c r="S10169" t="s">
        <v>18959</v>
      </c>
      <c r="U10169" t="s">
        <v>26604</v>
      </c>
      <c r="V10169" t="s">
        <v>26609</v>
      </c>
      <c r="X10169">
        <v>700</v>
      </c>
      <c r="Y10169" t="s">
        <v>26652</v>
      </c>
      <c r="Z10169" t="s">
        <v>26668</v>
      </c>
      <c r="AB10169" t="s">
        <v>33831</v>
      </c>
      <c r="AC10169" t="s">
        <v>34807</v>
      </c>
      <c r="AE10169">
        <v>3</v>
      </c>
      <c r="AF10169" t="s">
        <v>20460</v>
      </c>
      <c r="AG10169" t="s">
        <v>19330</v>
      </c>
      <c r="AH10169">
        <v>17</v>
      </c>
      <c r="AI10169">
        <v>2</v>
      </c>
      <c r="AJ10169">
        <v>0</v>
      </c>
      <c r="AK10169">
        <v>55.21</v>
      </c>
      <c r="AN10169" t="s">
        <v>7439</v>
      </c>
      <c r="AO10169">
        <v>9336</v>
      </c>
      <c r="AU10169">
        <v>0</v>
      </c>
      <c r="AW10169" t="s">
        <v>279</v>
      </c>
    </row>
    <row r="10170" spans="1:50">
      <c r="A10170" s="1">
        <f>HYPERLINK("https://lsnyc.legalserver.org/matter/dynamic-profile/view/1894879","19-1894879")</f>
        <v>0</v>
      </c>
      <c r="B10170" t="s">
        <v>55</v>
      </c>
      <c r="C10170" t="s">
        <v>340</v>
      </c>
      <c r="D10170" t="s">
        <v>789</v>
      </c>
      <c r="F10170" t="s">
        <v>1091</v>
      </c>
      <c r="G10170" t="s">
        <v>5185</v>
      </c>
      <c r="H10170" t="s">
        <v>16045</v>
      </c>
      <c r="I10170" t="s">
        <v>17293</v>
      </c>
      <c r="J10170" t="s">
        <v>18892</v>
      </c>
      <c r="K10170">
        <v>10453</v>
      </c>
      <c r="L10170" t="s">
        <v>18960</v>
      </c>
      <c r="M10170" t="s">
        <v>18960</v>
      </c>
      <c r="O10170" t="s">
        <v>18997</v>
      </c>
      <c r="R10170" t="s">
        <v>26591</v>
      </c>
      <c r="U10170" t="s">
        <v>26604</v>
      </c>
      <c r="X10170">
        <v>726</v>
      </c>
      <c r="Y10170" t="s">
        <v>26650</v>
      </c>
      <c r="AB10170" t="s">
        <v>26962</v>
      </c>
      <c r="AD10170" t="s">
        <v>44679</v>
      </c>
      <c r="AE10170">
        <v>0</v>
      </c>
      <c r="AF10170" t="s">
        <v>45541</v>
      </c>
      <c r="AG10170" t="s">
        <v>19330</v>
      </c>
      <c r="AH10170">
        <v>30</v>
      </c>
      <c r="AI10170">
        <v>1</v>
      </c>
      <c r="AJ10170">
        <v>0</v>
      </c>
      <c r="AK10170">
        <v>187.35</v>
      </c>
      <c r="AN10170" t="s">
        <v>7439</v>
      </c>
      <c r="AO10170">
        <v>23400</v>
      </c>
      <c r="AU10170">
        <v>1</v>
      </c>
      <c r="AV10170" t="s">
        <v>789</v>
      </c>
      <c r="AW10170" t="s">
        <v>46859</v>
      </c>
    </row>
    <row r="10171" spans="1:50">
      <c r="A10171" s="1">
        <f>HYPERLINK("https://lsnyc.legalserver.org/matter/dynamic-profile/view/1894362","19-1894362")</f>
        <v>0</v>
      </c>
      <c r="B10171" t="s">
        <v>131</v>
      </c>
      <c r="C10171" t="s">
        <v>340</v>
      </c>
      <c r="D10171" t="s">
        <v>789</v>
      </c>
      <c r="F10171" t="s">
        <v>3839</v>
      </c>
      <c r="G10171" t="s">
        <v>5121</v>
      </c>
      <c r="H10171" t="s">
        <v>16538</v>
      </c>
      <c r="I10171" t="s">
        <v>17435</v>
      </c>
      <c r="J10171" t="s">
        <v>18902</v>
      </c>
      <c r="K10171">
        <v>10301</v>
      </c>
      <c r="L10171" t="s">
        <v>18960</v>
      </c>
      <c r="M10171" t="s">
        <v>18960</v>
      </c>
      <c r="N10171" t="s">
        <v>25890</v>
      </c>
      <c r="O10171" t="s">
        <v>26523</v>
      </c>
      <c r="R10171" t="s">
        <v>26578</v>
      </c>
      <c r="S10171" t="s">
        <v>18959</v>
      </c>
      <c r="U10171" t="s">
        <v>26604</v>
      </c>
      <c r="V10171" t="s">
        <v>26610</v>
      </c>
      <c r="X10171">
        <v>1515</v>
      </c>
      <c r="Y10171" t="s">
        <v>26654</v>
      </c>
      <c r="Z10171" t="s">
        <v>26668</v>
      </c>
      <c r="AB10171" t="s">
        <v>33832</v>
      </c>
      <c r="AD10171" t="s">
        <v>44680</v>
      </c>
      <c r="AE10171">
        <v>2</v>
      </c>
      <c r="AF10171" t="s">
        <v>45547</v>
      </c>
      <c r="AG10171" t="s">
        <v>45558</v>
      </c>
      <c r="AH10171">
        <v>-1</v>
      </c>
      <c r="AI10171">
        <v>1</v>
      </c>
      <c r="AJ10171">
        <v>2</v>
      </c>
      <c r="AK10171">
        <v>44.44</v>
      </c>
      <c r="AO10171">
        <v>9480</v>
      </c>
      <c r="AU10171">
        <v>3.6</v>
      </c>
      <c r="AV10171" t="s">
        <v>817</v>
      </c>
      <c r="AW10171" t="s">
        <v>46883</v>
      </c>
    </row>
    <row r="10172" spans="1:50">
      <c r="A10172" s="1">
        <f>HYPERLINK("https://lsnyc.legalserver.org/matter/dynamic-profile/view/1894983","19-1894983")</f>
        <v>0</v>
      </c>
      <c r="B10172" t="s">
        <v>267</v>
      </c>
      <c r="C10172" t="s">
        <v>340</v>
      </c>
      <c r="D10172" t="s">
        <v>789</v>
      </c>
      <c r="F10172" t="s">
        <v>1328</v>
      </c>
      <c r="G10172" t="s">
        <v>4785</v>
      </c>
      <c r="H10172" t="s">
        <v>16539</v>
      </c>
      <c r="I10172" t="s">
        <v>17268</v>
      </c>
      <c r="J10172" t="s">
        <v>18892</v>
      </c>
      <c r="K10172">
        <v>10455</v>
      </c>
      <c r="L10172" t="s">
        <v>18960</v>
      </c>
      <c r="M10172" t="s">
        <v>18960</v>
      </c>
      <c r="N10172" t="s">
        <v>25891</v>
      </c>
      <c r="O10172" t="s">
        <v>26523</v>
      </c>
      <c r="P10172" t="s">
        <v>26560</v>
      </c>
      <c r="R10172" t="s">
        <v>26577</v>
      </c>
      <c r="S10172" t="s">
        <v>18959</v>
      </c>
      <c r="U10172" t="s">
        <v>26604</v>
      </c>
      <c r="V10172" t="s">
        <v>26610</v>
      </c>
      <c r="X10172">
        <v>0</v>
      </c>
      <c r="Y10172" t="s">
        <v>26650</v>
      </c>
      <c r="Z10172" t="s">
        <v>26663</v>
      </c>
      <c r="AB10172" t="s">
        <v>33833</v>
      </c>
      <c r="AE10172">
        <v>0</v>
      </c>
      <c r="AF10172" t="s">
        <v>45549</v>
      </c>
      <c r="AH10172">
        <v>0</v>
      </c>
      <c r="AI10172">
        <v>1</v>
      </c>
      <c r="AJ10172">
        <v>0</v>
      </c>
      <c r="AK10172">
        <v>82.19</v>
      </c>
      <c r="AN10172" t="s">
        <v>7439</v>
      </c>
      <c r="AO10172">
        <v>10265.64</v>
      </c>
      <c r="AU10172">
        <v>1.35</v>
      </c>
      <c r="AV10172" t="s">
        <v>797</v>
      </c>
      <c r="AW10172" t="s">
        <v>267</v>
      </c>
    </row>
    <row r="10173" spans="1:50">
      <c r="A10173" s="1">
        <f>HYPERLINK("https://lsnyc.legalserver.org/matter/dynamic-profile/view/1894949","19-1894949")</f>
        <v>0</v>
      </c>
      <c r="B10173" t="s">
        <v>290</v>
      </c>
      <c r="C10173" t="s">
        <v>340</v>
      </c>
      <c r="D10173" t="s">
        <v>789</v>
      </c>
      <c r="F10173" t="s">
        <v>4752</v>
      </c>
      <c r="G10173" t="s">
        <v>5337</v>
      </c>
      <c r="H10173" t="s">
        <v>14340</v>
      </c>
      <c r="I10173" t="s">
        <v>18051</v>
      </c>
      <c r="J10173" t="s">
        <v>18894</v>
      </c>
      <c r="K10173">
        <v>11207</v>
      </c>
      <c r="L10173" t="s">
        <v>18958</v>
      </c>
      <c r="M10173" t="s">
        <v>18958</v>
      </c>
      <c r="N10173" t="s">
        <v>23883</v>
      </c>
      <c r="O10173" t="s">
        <v>26524</v>
      </c>
      <c r="R10173" t="s">
        <v>26583</v>
      </c>
      <c r="S10173" t="s">
        <v>18958</v>
      </c>
      <c r="U10173" t="s">
        <v>26604</v>
      </c>
      <c r="V10173" t="s">
        <v>26610</v>
      </c>
      <c r="X10173">
        <v>0</v>
      </c>
      <c r="Y10173" t="s">
        <v>26652</v>
      </c>
      <c r="AB10173" t="s">
        <v>32424</v>
      </c>
      <c r="AE10173">
        <v>2</v>
      </c>
      <c r="AG10173" t="s">
        <v>26530</v>
      </c>
      <c r="AH10173">
        <v>1</v>
      </c>
      <c r="AI10173">
        <v>2</v>
      </c>
      <c r="AJ10173">
        <v>0</v>
      </c>
      <c r="AK10173">
        <v>236.55</v>
      </c>
      <c r="AO10173">
        <v>40000</v>
      </c>
      <c r="AU10173">
        <v>0</v>
      </c>
      <c r="AW10173" t="s">
        <v>279</v>
      </c>
    </row>
    <row r="10174" spans="1:50">
      <c r="A10174" s="1">
        <f>HYPERLINK("https://lsnyc.legalserver.org/matter/dynamic-profile/view/1896177","19-1896177")</f>
        <v>0</v>
      </c>
      <c r="B10174" t="s">
        <v>124</v>
      </c>
      <c r="C10174" t="s">
        <v>340</v>
      </c>
      <c r="D10174" t="s">
        <v>789</v>
      </c>
      <c r="F10174" t="s">
        <v>4753</v>
      </c>
      <c r="G10174" t="s">
        <v>9290</v>
      </c>
      <c r="H10174" t="s">
        <v>16540</v>
      </c>
      <c r="J10174" t="s">
        <v>18894</v>
      </c>
      <c r="K10174">
        <v>11203</v>
      </c>
      <c r="L10174" t="s">
        <v>18960</v>
      </c>
      <c r="M10174" t="s">
        <v>18960</v>
      </c>
      <c r="O10174" t="s">
        <v>26523</v>
      </c>
      <c r="P10174" t="s">
        <v>26564</v>
      </c>
      <c r="R10174" t="s">
        <v>26586</v>
      </c>
      <c r="U10174" t="s">
        <v>26604</v>
      </c>
      <c r="V10174" t="s">
        <v>26610</v>
      </c>
      <c r="X10174">
        <v>0</v>
      </c>
      <c r="Y10174" t="s">
        <v>26652</v>
      </c>
      <c r="Z10174" t="s">
        <v>26659</v>
      </c>
      <c r="AB10174" t="s">
        <v>33561</v>
      </c>
      <c r="AD10174" t="s">
        <v>44681</v>
      </c>
      <c r="AE10174">
        <v>35</v>
      </c>
      <c r="AF10174" t="s">
        <v>20460</v>
      </c>
      <c r="AH10174">
        <v>8</v>
      </c>
      <c r="AI10174">
        <v>1</v>
      </c>
      <c r="AJ10174">
        <v>0</v>
      </c>
      <c r="AK10174">
        <v>84.55</v>
      </c>
      <c r="AN10174" t="s">
        <v>45581</v>
      </c>
      <c r="AO10174">
        <v>10560</v>
      </c>
      <c r="AU10174">
        <v>2.6</v>
      </c>
      <c r="AV10174" t="s">
        <v>811</v>
      </c>
      <c r="AW10174" t="s">
        <v>46882</v>
      </c>
    </row>
    <row r="10175" spans="1:50">
      <c r="A10175" s="1">
        <f>HYPERLINK("https://lsnyc.legalserver.org/matter/dynamic-profile/view/1894942","19-1894942")</f>
        <v>0</v>
      </c>
      <c r="B10175" t="s">
        <v>200</v>
      </c>
      <c r="C10175" t="s">
        <v>340</v>
      </c>
      <c r="D10175" t="s">
        <v>789</v>
      </c>
      <c r="F10175" t="s">
        <v>901</v>
      </c>
      <c r="G10175" t="s">
        <v>5515</v>
      </c>
      <c r="H10175" t="s">
        <v>16541</v>
      </c>
      <c r="I10175" t="s">
        <v>17333</v>
      </c>
      <c r="J10175" t="s">
        <v>18894</v>
      </c>
      <c r="K10175">
        <v>11220</v>
      </c>
      <c r="L10175" t="s">
        <v>18958</v>
      </c>
      <c r="M10175" t="s">
        <v>18958</v>
      </c>
      <c r="P10175" t="s">
        <v>26563</v>
      </c>
      <c r="R10175" t="s">
        <v>26586</v>
      </c>
      <c r="U10175" t="s">
        <v>26604</v>
      </c>
      <c r="X10175">
        <v>268.1</v>
      </c>
      <c r="Y10175" t="s">
        <v>26652</v>
      </c>
      <c r="AB10175" t="s">
        <v>33834</v>
      </c>
      <c r="AD10175" t="s">
        <v>44682</v>
      </c>
      <c r="AE10175">
        <v>6</v>
      </c>
      <c r="AF10175" t="s">
        <v>45548</v>
      </c>
      <c r="AH10175">
        <v>40</v>
      </c>
      <c r="AI10175">
        <v>2</v>
      </c>
      <c r="AJ10175">
        <v>0</v>
      </c>
      <c r="AK10175">
        <v>137.17</v>
      </c>
      <c r="AN10175" t="s">
        <v>45581</v>
      </c>
      <c r="AO10175">
        <v>23196</v>
      </c>
      <c r="AU10175">
        <v>1.6</v>
      </c>
      <c r="AV10175" t="s">
        <v>781</v>
      </c>
      <c r="AW10175" t="s">
        <v>46862</v>
      </c>
    </row>
    <row r="10176" spans="1:50">
      <c r="A10176" s="1">
        <f>HYPERLINK("https://lsnyc.legalserver.org/matter/dynamic-profile/view/1894948","19-1894948")</f>
        <v>0</v>
      </c>
      <c r="B10176" t="s">
        <v>188</v>
      </c>
      <c r="C10176" t="s">
        <v>340</v>
      </c>
      <c r="D10176" t="s">
        <v>789</v>
      </c>
      <c r="F10176" t="s">
        <v>1562</v>
      </c>
      <c r="G10176" t="s">
        <v>9291</v>
      </c>
      <c r="H10176" t="s">
        <v>16542</v>
      </c>
      <c r="I10176">
        <v>1</v>
      </c>
      <c r="J10176" t="s">
        <v>18892</v>
      </c>
      <c r="K10176">
        <v>10459</v>
      </c>
      <c r="L10176" t="s">
        <v>18958</v>
      </c>
      <c r="M10176" t="s">
        <v>18958</v>
      </c>
      <c r="N10176" t="s">
        <v>25892</v>
      </c>
      <c r="O10176" t="s">
        <v>26523</v>
      </c>
      <c r="R10176" t="s">
        <v>26578</v>
      </c>
      <c r="S10176" t="s">
        <v>18959</v>
      </c>
      <c r="U10176" t="s">
        <v>26604</v>
      </c>
      <c r="X10176">
        <v>1545</v>
      </c>
      <c r="Y10176" t="s">
        <v>26650</v>
      </c>
      <c r="Z10176" t="s">
        <v>26664</v>
      </c>
      <c r="AB10176" t="s">
        <v>33835</v>
      </c>
      <c r="AC10176" t="s">
        <v>36702</v>
      </c>
      <c r="AD10176" t="s">
        <v>44683</v>
      </c>
      <c r="AE10176">
        <v>0</v>
      </c>
      <c r="AF10176" t="s">
        <v>20460</v>
      </c>
      <c r="AG10176" t="s">
        <v>45562</v>
      </c>
      <c r="AH10176">
        <v>3</v>
      </c>
      <c r="AI10176">
        <v>2</v>
      </c>
      <c r="AJ10176">
        <v>1</v>
      </c>
      <c r="AK10176">
        <v>68.75</v>
      </c>
      <c r="AN10176" t="s">
        <v>7439</v>
      </c>
      <c r="AO10176">
        <v>14664</v>
      </c>
      <c r="AP10176" t="s">
        <v>45838</v>
      </c>
      <c r="AU10176">
        <v>14.7</v>
      </c>
      <c r="AV10176" t="s">
        <v>826</v>
      </c>
      <c r="AW10176" t="s">
        <v>329</v>
      </c>
      <c r="AX10176" t="s">
        <v>46898</v>
      </c>
    </row>
    <row r="10177" spans="1:50">
      <c r="A10177" s="1">
        <f>HYPERLINK("https://lsnyc.legalserver.org/matter/dynamic-profile/view/1892265","19-1892265")</f>
        <v>0</v>
      </c>
      <c r="B10177" t="s">
        <v>221</v>
      </c>
      <c r="C10177" t="s">
        <v>340</v>
      </c>
      <c r="D10177" t="s">
        <v>789</v>
      </c>
      <c r="F10177" t="s">
        <v>4217</v>
      </c>
      <c r="G10177" t="s">
        <v>9292</v>
      </c>
      <c r="H10177" t="s">
        <v>16543</v>
      </c>
      <c r="I10177" t="s">
        <v>18767</v>
      </c>
      <c r="J10177" t="s">
        <v>18915</v>
      </c>
      <c r="K10177">
        <v>11372</v>
      </c>
      <c r="L10177" t="s">
        <v>18960</v>
      </c>
      <c r="M10177" t="s">
        <v>18960</v>
      </c>
      <c r="N10177" t="s">
        <v>25893</v>
      </c>
      <c r="O10177" t="s">
        <v>26524</v>
      </c>
      <c r="P10177" t="s">
        <v>26560</v>
      </c>
      <c r="R10177" t="s">
        <v>26584</v>
      </c>
      <c r="U10177" t="s">
        <v>26604</v>
      </c>
      <c r="X10177">
        <v>1450</v>
      </c>
      <c r="Y10177" t="s">
        <v>26653</v>
      </c>
      <c r="Z10177" t="s">
        <v>26664</v>
      </c>
      <c r="AB10177" t="s">
        <v>33836</v>
      </c>
      <c r="AD10177" t="s">
        <v>44684</v>
      </c>
      <c r="AE10177">
        <v>0</v>
      </c>
      <c r="AH10177">
        <v>15</v>
      </c>
      <c r="AI10177">
        <v>2</v>
      </c>
      <c r="AJ10177">
        <v>0</v>
      </c>
      <c r="AK10177">
        <v>459.85</v>
      </c>
      <c r="AN10177" t="s">
        <v>7439</v>
      </c>
      <c r="AO10177">
        <v>77760</v>
      </c>
      <c r="AU10177">
        <v>60</v>
      </c>
      <c r="AV10177" t="s">
        <v>764</v>
      </c>
      <c r="AW10177" t="s">
        <v>247</v>
      </c>
    </row>
    <row r="10178" spans="1:50">
      <c r="A10178" s="1">
        <f>HYPERLINK("https://lsnyc.legalserver.org/matter/dynamic-profile/view/1895018","19-1895018")</f>
        <v>0</v>
      </c>
      <c r="B10178" t="s">
        <v>274</v>
      </c>
      <c r="C10178" t="s">
        <v>341</v>
      </c>
      <c r="D10178" t="s">
        <v>695</v>
      </c>
      <c r="E10178" t="s">
        <v>761</v>
      </c>
      <c r="F10178" t="s">
        <v>4754</v>
      </c>
      <c r="G10178" t="s">
        <v>6311</v>
      </c>
      <c r="H10178" t="s">
        <v>15637</v>
      </c>
      <c r="I10178" t="s">
        <v>18768</v>
      </c>
      <c r="J10178" t="s">
        <v>18894</v>
      </c>
      <c r="K10178">
        <v>11224</v>
      </c>
      <c r="L10178" t="s">
        <v>18960</v>
      </c>
      <c r="M10178" t="s">
        <v>18960</v>
      </c>
      <c r="P10178" t="s">
        <v>26563</v>
      </c>
      <c r="Q10178" t="s">
        <v>26570</v>
      </c>
      <c r="R10178" t="s">
        <v>26591</v>
      </c>
      <c r="U10178" t="s">
        <v>26604</v>
      </c>
      <c r="X10178">
        <v>1911.52</v>
      </c>
      <c r="Y10178" t="s">
        <v>26652</v>
      </c>
      <c r="AA10178" t="s">
        <v>26683</v>
      </c>
      <c r="AB10178" t="s">
        <v>33837</v>
      </c>
      <c r="AD10178" t="s">
        <v>44685</v>
      </c>
      <c r="AE10178">
        <v>0</v>
      </c>
      <c r="AF10178" t="s">
        <v>45543</v>
      </c>
      <c r="AH10178">
        <v>8</v>
      </c>
      <c r="AI10178">
        <v>1</v>
      </c>
      <c r="AJ10178">
        <v>0</v>
      </c>
      <c r="AK10178">
        <v>60.43</v>
      </c>
      <c r="AN10178" t="s">
        <v>7439</v>
      </c>
      <c r="AO10178">
        <v>7548</v>
      </c>
      <c r="AU10178">
        <v>4.25</v>
      </c>
      <c r="AV10178" t="s">
        <v>761</v>
      </c>
      <c r="AW10178" t="s">
        <v>46849</v>
      </c>
    </row>
    <row r="10179" spans="1:50">
      <c r="A10179" s="1">
        <f>HYPERLINK("https://lsnyc.legalserver.org/matter/dynamic-profile/view/1895028","19-1895028")</f>
        <v>0</v>
      </c>
      <c r="B10179" t="s">
        <v>322</v>
      </c>
      <c r="C10179" t="s">
        <v>340</v>
      </c>
      <c r="D10179" t="s">
        <v>695</v>
      </c>
      <c r="F10179" t="s">
        <v>4755</v>
      </c>
      <c r="G10179" t="s">
        <v>5360</v>
      </c>
      <c r="H10179" t="s">
        <v>16544</v>
      </c>
      <c r="I10179" t="s">
        <v>17516</v>
      </c>
      <c r="J10179" t="s">
        <v>18893</v>
      </c>
      <c r="K10179">
        <v>10029</v>
      </c>
      <c r="L10179" t="s">
        <v>18960</v>
      </c>
      <c r="M10179" t="s">
        <v>18960</v>
      </c>
      <c r="P10179" t="s">
        <v>26563</v>
      </c>
      <c r="R10179" t="s">
        <v>26591</v>
      </c>
      <c r="U10179" t="s">
        <v>26604</v>
      </c>
      <c r="X10179">
        <v>225</v>
      </c>
      <c r="Y10179" t="s">
        <v>26651</v>
      </c>
      <c r="Z10179" t="s">
        <v>26657</v>
      </c>
      <c r="AB10179" t="s">
        <v>33838</v>
      </c>
      <c r="AD10179" t="s">
        <v>44686</v>
      </c>
      <c r="AE10179">
        <v>152</v>
      </c>
      <c r="AF10179" t="s">
        <v>45549</v>
      </c>
      <c r="AG10179" t="s">
        <v>19330</v>
      </c>
      <c r="AH10179">
        <v>0</v>
      </c>
      <c r="AI10179">
        <v>1</v>
      </c>
      <c r="AJ10179">
        <v>0</v>
      </c>
      <c r="AK10179">
        <v>37.28</v>
      </c>
      <c r="AN10179" t="s">
        <v>7439</v>
      </c>
      <c r="AO10179">
        <v>4656</v>
      </c>
      <c r="AU10179">
        <v>1</v>
      </c>
      <c r="AV10179" t="s">
        <v>695</v>
      </c>
      <c r="AW10179" t="s">
        <v>46858</v>
      </c>
    </row>
    <row r="10180" spans="1:50">
      <c r="A10180" s="1">
        <f>HYPERLINK("https://lsnyc.legalserver.org/matter/dynamic-profile/view/1895448","19-1895448")</f>
        <v>0</v>
      </c>
      <c r="B10180" t="s">
        <v>262</v>
      </c>
      <c r="C10180" t="s">
        <v>340</v>
      </c>
      <c r="D10180" t="s">
        <v>695</v>
      </c>
      <c r="F10180" t="s">
        <v>3566</v>
      </c>
      <c r="G10180" t="s">
        <v>9293</v>
      </c>
      <c r="H10180" t="s">
        <v>16545</v>
      </c>
      <c r="I10180" t="s">
        <v>17410</v>
      </c>
      <c r="J10180" t="s">
        <v>18892</v>
      </c>
      <c r="K10180">
        <v>10458</v>
      </c>
      <c r="L10180" t="s">
        <v>18960</v>
      </c>
      <c r="M10180" t="s">
        <v>18958</v>
      </c>
      <c r="N10180" t="s">
        <v>25894</v>
      </c>
      <c r="O10180" t="s">
        <v>26524</v>
      </c>
      <c r="R10180" t="s">
        <v>26577</v>
      </c>
      <c r="S10180" t="s">
        <v>18959</v>
      </c>
      <c r="U10180" t="s">
        <v>26604</v>
      </c>
      <c r="X10180">
        <v>0</v>
      </c>
      <c r="Y10180" t="s">
        <v>26650</v>
      </c>
      <c r="Z10180" t="s">
        <v>26668</v>
      </c>
      <c r="AB10180" t="s">
        <v>33839</v>
      </c>
      <c r="AE10180">
        <v>55</v>
      </c>
      <c r="AF10180" t="s">
        <v>20460</v>
      </c>
      <c r="AH10180">
        <v>1</v>
      </c>
      <c r="AI10180">
        <v>2</v>
      </c>
      <c r="AJ10180">
        <v>1</v>
      </c>
      <c r="AK10180">
        <v>85.33</v>
      </c>
      <c r="AN10180" t="s">
        <v>7439</v>
      </c>
      <c r="AO10180">
        <v>18200</v>
      </c>
      <c r="AP10180" t="s">
        <v>46264</v>
      </c>
      <c r="AU10180">
        <v>0.6</v>
      </c>
      <c r="AV10180" t="s">
        <v>836</v>
      </c>
      <c r="AW10180" t="s">
        <v>336</v>
      </c>
    </row>
    <row r="10181" spans="1:50">
      <c r="A10181" s="1">
        <f>HYPERLINK("https://lsnyc.legalserver.org/matter/dynamic-profile/view/1895384","19-1895384")</f>
        <v>0</v>
      </c>
      <c r="B10181" t="s">
        <v>262</v>
      </c>
      <c r="C10181" t="s">
        <v>340</v>
      </c>
      <c r="D10181" t="s">
        <v>695</v>
      </c>
      <c r="F10181" t="s">
        <v>1955</v>
      </c>
      <c r="G10181" t="s">
        <v>5266</v>
      </c>
      <c r="H10181" t="s">
        <v>16546</v>
      </c>
      <c r="I10181" t="s">
        <v>18769</v>
      </c>
      <c r="J10181" t="s">
        <v>18892</v>
      </c>
      <c r="K10181">
        <v>10458</v>
      </c>
      <c r="L10181" t="s">
        <v>18959</v>
      </c>
      <c r="M10181" t="s">
        <v>18958</v>
      </c>
      <c r="N10181" t="s">
        <v>25895</v>
      </c>
      <c r="O10181" t="s">
        <v>26523</v>
      </c>
      <c r="R10181" t="s">
        <v>26577</v>
      </c>
      <c r="S10181" t="s">
        <v>18959</v>
      </c>
      <c r="U10181" t="s">
        <v>26604</v>
      </c>
      <c r="X10181">
        <v>2405</v>
      </c>
      <c r="Y10181" t="s">
        <v>26650</v>
      </c>
      <c r="Z10181" t="s">
        <v>26668</v>
      </c>
      <c r="AB10181" t="s">
        <v>33840</v>
      </c>
      <c r="AD10181" t="s">
        <v>44687</v>
      </c>
      <c r="AE10181">
        <v>312</v>
      </c>
      <c r="AF10181" t="s">
        <v>20460</v>
      </c>
      <c r="AG10181" t="s">
        <v>45556</v>
      </c>
      <c r="AH10181">
        <v>0</v>
      </c>
      <c r="AI10181">
        <v>3</v>
      </c>
      <c r="AJ10181">
        <v>1</v>
      </c>
      <c r="AK10181">
        <v>112.73</v>
      </c>
      <c r="AN10181" t="s">
        <v>7439</v>
      </c>
      <c r="AO10181">
        <v>29028</v>
      </c>
      <c r="AP10181" t="s">
        <v>46265</v>
      </c>
      <c r="AU10181">
        <v>0.6</v>
      </c>
      <c r="AV10181" t="s">
        <v>836</v>
      </c>
      <c r="AW10181" t="s">
        <v>336</v>
      </c>
    </row>
    <row r="10182" spans="1:50">
      <c r="A10182" s="1">
        <f>HYPERLINK("https://lsnyc.legalserver.org/matter/dynamic-profile/view/1895095","19-1895095")</f>
        <v>0</v>
      </c>
      <c r="B10182" t="s">
        <v>191</v>
      </c>
      <c r="C10182" t="s">
        <v>340</v>
      </c>
      <c r="D10182" t="s">
        <v>695</v>
      </c>
      <c r="F10182" t="s">
        <v>4756</v>
      </c>
      <c r="G10182" t="s">
        <v>9294</v>
      </c>
      <c r="H10182" t="s">
        <v>15592</v>
      </c>
      <c r="I10182" t="s">
        <v>17579</v>
      </c>
      <c r="J10182" t="s">
        <v>18893</v>
      </c>
      <c r="K10182">
        <v>10025</v>
      </c>
      <c r="L10182" t="s">
        <v>18958</v>
      </c>
      <c r="M10182" t="s">
        <v>18958</v>
      </c>
      <c r="N10182" t="s">
        <v>25896</v>
      </c>
      <c r="O10182" t="s">
        <v>26523</v>
      </c>
      <c r="P10182" t="s">
        <v>26560</v>
      </c>
      <c r="R10182" t="s">
        <v>26580</v>
      </c>
      <c r="S10182" t="s">
        <v>18959</v>
      </c>
      <c r="U10182" t="s">
        <v>26605</v>
      </c>
      <c r="X10182">
        <v>745</v>
      </c>
      <c r="Y10182" t="s">
        <v>26651</v>
      </c>
      <c r="Z10182" t="s">
        <v>26664</v>
      </c>
      <c r="AB10182" t="s">
        <v>33841</v>
      </c>
      <c r="AC10182" t="s">
        <v>36703</v>
      </c>
      <c r="AD10182" t="s">
        <v>44688</v>
      </c>
      <c r="AE10182">
        <v>0</v>
      </c>
      <c r="AF10182" t="s">
        <v>45549</v>
      </c>
      <c r="AG10182" t="s">
        <v>19330</v>
      </c>
      <c r="AH10182">
        <v>9</v>
      </c>
      <c r="AI10182">
        <v>1</v>
      </c>
      <c r="AJ10182">
        <v>3</v>
      </c>
      <c r="AK10182">
        <v>152.87</v>
      </c>
      <c r="AN10182" t="s">
        <v>7439</v>
      </c>
      <c r="AO10182">
        <v>39363.96</v>
      </c>
      <c r="AU10182">
        <v>4.3</v>
      </c>
      <c r="AV10182" t="s">
        <v>822</v>
      </c>
      <c r="AW10182" t="s">
        <v>314</v>
      </c>
    </row>
    <row r="10183" spans="1:50">
      <c r="A10183" s="1">
        <f>HYPERLINK("https://lsnyc.legalserver.org/matter/dynamic-profile/view/1895037","19-1895037")</f>
        <v>0</v>
      </c>
      <c r="B10183" t="s">
        <v>71</v>
      </c>
      <c r="C10183" t="s">
        <v>340</v>
      </c>
      <c r="D10183" t="s">
        <v>695</v>
      </c>
      <c r="F10183" t="s">
        <v>2517</v>
      </c>
      <c r="G10183" t="s">
        <v>7009</v>
      </c>
      <c r="H10183" t="s">
        <v>16547</v>
      </c>
      <c r="I10183" t="s">
        <v>18641</v>
      </c>
      <c r="J10183" t="s">
        <v>18892</v>
      </c>
      <c r="K10183">
        <v>10454</v>
      </c>
      <c r="L10183" t="s">
        <v>18960</v>
      </c>
      <c r="M10183" t="s">
        <v>18960</v>
      </c>
      <c r="N10183" t="s">
        <v>25897</v>
      </c>
      <c r="O10183" t="s">
        <v>26553</v>
      </c>
      <c r="P10183" t="s">
        <v>26563</v>
      </c>
      <c r="R10183" t="s">
        <v>26577</v>
      </c>
      <c r="S10183" t="s">
        <v>18959</v>
      </c>
      <c r="U10183" t="s">
        <v>26604</v>
      </c>
      <c r="X10183">
        <v>1626.61</v>
      </c>
      <c r="Y10183" t="s">
        <v>26650</v>
      </c>
      <c r="Z10183" t="s">
        <v>26659</v>
      </c>
      <c r="AB10183" t="s">
        <v>33842</v>
      </c>
      <c r="AD10183" t="s">
        <v>44689</v>
      </c>
      <c r="AE10183">
        <v>0</v>
      </c>
      <c r="AF10183" t="s">
        <v>45541</v>
      </c>
      <c r="AG10183" t="s">
        <v>45556</v>
      </c>
      <c r="AH10183">
        <v>46</v>
      </c>
      <c r="AI10183">
        <v>2</v>
      </c>
      <c r="AJ10183">
        <v>0</v>
      </c>
      <c r="AK10183">
        <v>30.3</v>
      </c>
      <c r="AN10183" t="s">
        <v>7439</v>
      </c>
      <c r="AO10183">
        <v>5124</v>
      </c>
      <c r="AP10183" t="s">
        <v>46266</v>
      </c>
      <c r="AU10183">
        <v>3.6</v>
      </c>
      <c r="AV10183" t="s">
        <v>832</v>
      </c>
      <c r="AW10183" t="s">
        <v>71</v>
      </c>
    </row>
    <row r="10184" spans="1:50">
      <c r="A10184" s="1">
        <f>HYPERLINK("https://lsnyc.legalserver.org/matter/dynamic-profile/view/1895668","19-1895668")</f>
        <v>0</v>
      </c>
      <c r="B10184" t="s">
        <v>124</v>
      </c>
      <c r="C10184" t="s">
        <v>340</v>
      </c>
      <c r="D10184" t="s">
        <v>695</v>
      </c>
      <c r="F10184" t="s">
        <v>4757</v>
      </c>
      <c r="G10184" t="s">
        <v>6106</v>
      </c>
      <c r="H10184" t="s">
        <v>16548</v>
      </c>
      <c r="J10184" t="s">
        <v>18894</v>
      </c>
      <c r="K10184">
        <v>11226</v>
      </c>
      <c r="L10184" t="s">
        <v>18960</v>
      </c>
      <c r="M10184" t="s">
        <v>18960</v>
      </c>
      <c r="N10184" t="s">
        <v>25898</v>
      </c>
      <c r="O10184" t="s">
        <v>26523</v>
      </c>
      <c r="P10184" t="s">
        <v>26563</v>
      </c>
      <c r="R10184" t="s">
        <v>26588</v>
      </c>
      <c r="S10184" t="s">
        <v>18959</v>
      </c>
      <c r="U10184" t="s">
        <v>26604</v>
      </c>
      <c r="V10184" t="s">
        <v>26610</v>
      </c>
      <c r="X10184">
        <v>881.14</v>
      </c>
      <c r="Y10184" t="s">
        <v>26652</v>
      </c>
      <c r="Z10184" t="s">
        <v>26661</v>
      </c>
      <c r="AB10184" t="s">
        <v>33548</v>
      </c>
      <c r="AD10184" t="s">
        <v>44690</v>
      </c>
      <c r="AE10184">
        <v>54</v>
      </c>
      <c r="AF10184" t="s">
        <v>45546</v>
      </c>
      <c r="AH10184">
        <v>5</v>
      </c>
      <c r="AI10184">
        <v>1</v>
      </c>
      <c r="AJ10184">
        <v>0</v>
      </c>
      <c r="AK10184">
        <v>84.66</v>
      </c>
      <c r="AN10184" t="s">
        <v>7439</v>
      </c>
      <c r="AO10184">
        <v>10573.68</v>
      </c>
      <c r="AU10184">
        <v>0.45</v>
      </c>
      <c r="AV10184" t="s">
        <v>764</v>
      </c>
      <c r="AW10184" t="s">
        <v>46882</v>
      </c>
    </row>
    <row r="10185" spans="1:50">
      <c r="A10185" s="1">
        <f>HYPERLINK("https://lsnyc.legalserver.org/matter/dynamic-profile/view/1895085","19-1895085")</f>
        <v>0</v>
      </c>
      <c r="B10185" t="s">
        <v>51</v>
      </c>
      <c r="C10185" t="s">
        <v>340</v>
      </c>
      <c r="D10185" t="s">
        <v>695</v>
      </c>
      <c r="F10185" t="s">
        <v>4758</v>
      </c>
      <c r="G10185" t="s">
        <v>9157</v>
      </c>
      <c r="H10185" t="s">
        <v>16549</v>
      </c>
      <c r="I10185">
        <v>3</v>
      </c>
      <c r="J10185" t="s">
        <v>18892</v>
      </c>
      <c r="K10185">
        <v>10455</v>
      </c>
      <c r="L10185" t="s">
        <v>18960</v>
      </c>
      <c r="M10185" t="s">
        <v>18960</v>
      </c>
      <c r="P10185" t="s">
        <v>26560</v>
      </c>
      <c r="R10185" t="s">
        <v>26583</v>
      </c>
      <c r="U10185" t="s">
        <v>26604</v>
      </c>
      <c r="X10185">
        <v>1386.46</v>
      </c>
      <c r="Y10185" t="s">
        <v>26650</v>
      </c>
      <c r="AB10185" t="s">
        <v>28972</v>
      </c>
      <c r="AD10185" t="s">
        <v>44691</v>
      </c>
      <c r="AE10185">
        <v>18</v>
      </c>
      <c r="AH10185">
        <v>10</v>
      </c>
      <c r="AI10185">
        <v>1</v>
      </c>
      <c r="AJ10185">
        <v>0</v>
      </c>
      <c r="AK10185">
        <v>326.66</v>
      </c>
      <c r="AN10185" t="s">
        <v>7439</v>
      </c>
      <c r="AO10185">
        <v>40800</v>
      </c>
      <c r="AU10185">
        <v>2.7</v>
      </c>
      <c r="AV10185" t="s">
        <v>772</v>
      </c>
      <c r="AW10185" t="s">
        <v>46867</v>
      </c>
    </row>
    <row r="10186" spans="1:50">
      <c r="A10186" s="1">
        <f>HYPERLINK("https://lsnyc.legalserver.org/matter/dynamic-profile/view/1892470","19-1892470")</f>
        <v>0</v>
      </c>
      <c r="B10186" t="s">
        <v>289</v>
      </c>
      <c r="C10186" t="s">
        <v>341</v>
      </c>
      <c r="D10186" t="s">
        <v>793</v>
      </c>
      <c r="E10186" t="s">
        <v>803</v>
      </c>
      <c r="F10186" t="s">
        <v>1276</v>
      </c>
      <c r="G10186" t="s">
        <v>9295</v>
      </c>
      <c r="H10186" t="s">
        <v>16550</v>
      </c>
      <c r="I10186">
        <v>3</v>
      </c>
      <c r="J10186" t="s">
        <v>18894</v>
      </c>
      <c r="K10186">
        <v>11215</v>
      </c>
      <c r="L10186" t="s">
        <v>18960</v>
      </c>
      <c r="M10186" t="s">
        <v>18960</v>
      </c>
      <c r="P10186" t="s">
        <v>26564</v>
      </c>
      <c r="Q10186" t="s">
        <v>26570</v>
      </c>
      <c r="R10186" t="s">
        <v>26591</v>
      </c>
      <c r="S10186" t="s">
        <v>18958</v>
      </c>
      <c r="U10186" t="s">
        <v>26604</v>
      </c>
      <c r="X10186">
        <v>0</v>
      </c>
      <c r="Y10186" t="s">
        <v>26652</v>
      </c>
      <c r="AA10186" t="s">
        <v>26683</v>
      </c>
      <c r="AB10186" t="s">
        <v>33843</v>
      </c>
      <c r="AE10186">
        <v>0</v>
      </c>
      <c r="AH10186">
        <v>0</v>
      </c>
      <c r="AI10186">
        <v>2</v>
      </c>
      <c r="AJ10186">
        <v>0</v>
      </c>
      <c r="AK10186">
        <v>83.73999999999999</v>
      </c>
      <c r="AN10186" t="s">
        <v>7439</v>
      </c>
      <c r="AO10186">
        <v>14160</v>
      </c>
      <c r="AU10186">
        <v>0.55</v>
      </c>
      <c r="AV10186" t="s">
        <v>793</v>
      </c>
      <c r="AW10186" t="s">
        <v>46880</v>
      </c>
    </row>
    <row r="10187" spans="1:50">
      <c r="A10187" s="1">
        <f>HYPERLINK("https://lsnyc.legalserver.org/matter/dynamic-profile/view/1895355","19-1895355")</f>
        <v>0</v>
      </c>
      <c r="B10187" t="s">
        <v>169</v>
      </c>
      <c r="C10187" t="s">
        <v>341</v>
      </c>
      <c r="D10187" t="s">
        <v>793</v>
      </c>
      <c r="E10187" t="s">
        <v>779</v>
      </c>
      <c r="F10187" t="s">
        <v>2251</v>
      </c>
      <c r="G10187" t="s">
        <v>5731</v>
      </c>
      <c r="H10187" t="s">
        <v>16551</v>
      </c>
      <c r="I10187" t="s">
        <v>17276</v>
      </c>
      <c r="J10187" t="s">
        <v>18892</v>
      </c>
      <c r="K10187">
        <v>10451</v>
      </c>
      <c r="L10187" t="s">
        <v>18958</v>
      </c>
      <c r="M10187" t="s">
        <v>18959</v>
      </c>
      <c r="O10187" t="s">
        <v>26534</v>
      </c>
      <c r="P10187" t="s">
        <v>26564</v>
      </c>
      <c r="Q10187" t="s">
        <v>26570</v>
      </c>
      <c r="R10187" t="s">
        <v>26578</v>
      </c>
      <c r="S10187" t="s">
        <v>18959</v>
      </c>
      <c r="U10187" t="s">
        <v>26604</v>
      </c>
      <c r="X10187">
        <v>1155</v>
      </c>
      <c r="Y10187" t="s">
        <v>26650</v>
      </c>
      <c r="AA10187" t="s">
        <v>26683</v>
      </c>
      <c r="AB10187" t="s">
        <v>29684</v>
      </c>
      <c r="AC10187" t="s">
        <v>36704</v>
      </c>
      <c r="AE10187">
        <v>0</v>
      </c>
      <c r="AG10187" t="s">
        <v>45557</v>
      </c>
      <c r="AH10187">
        <v>20</v>
      </c>
      <c r="AI10187">
        <v>1</v>
      </c>
      <c r="AJ10187">
        <v>3</v>
      </c>
      <c r="AK10187">
        <v>75.26000000000001</v>
      </c>
      <c r="AN10187" t="s">
        <v>45581</v>
      </c>
      <c r="AO10187">
        <v>19380</v>
      </c>
      <c r="AU10187">
        <v>1.1</v>
      </c>
      <c r="AV10187" t="s">
        <v>779</v>
      </c>
      <c r="AW10187" t="s">
        <v>169</v>
      </c>
      <c r="AX10187" t="s">
        <v>46897</v>
      </c>
    </row>
    <row r="10188" spans="1:50">
      <c r="A10188" s="1">
        <f>HYPERLINK("https://lsnyc.legalserver.org/matter/dynamic-profile/view/1895136","19-1895136")</f>
        <v>0</v>
      </c>
      <c r="B10188" t="s">
        <v>65</v>
      </c>
      <c r="C10188" t="s">
        <v>341</v>
      </c>
      <c r="D10188" t="s">
        <v>793</v>
      </c>
      <c r="E10188" t="s">
        <v>857</v>
      </c>
      <c r="F10188" t="s">
        <v>1002</v>
      </c>
      <c r="G10188" t="s">
        <v>9296</v>
      </c>
      <c r="H10188" t="s">
        <v>16552</v>
      </c>
      <c r="I10188" t="s">
        <v>17275</v>
      </c>
      <c r="J10188" t="s">
        <v>18892</v>
      </c>
      <c r="K10188">
        <v>10451</v>
      </c>
      <c r="L10188" t="s">
        <v>18958</v>
      </c>
      <c r="M10188" t="s">
        <v>18958</v>
      </c>
      <c r="N10188" t="s">
        <v>25899</v>
      </c>
      <c r="O10188" t="s">
        <v>26523</v>
      </c>
      <c r="P10188" t="s">
        <v>26564</v>
      </c>
      <c r="Q10188" t="s">
        <v>26570</v>
      </c>
      <c r="R10188" t="s">
        <v>26577</v>
      </c>
      <c r="U10188" t="s">
        <v>26604</v>
      </c>
      <c r="V10188" t="s">
        <v>26612</v>
      </c>
      <c r="X10188">
        <v>1456</v>
      </c>
      <c r="Y10188" t="s">
        <v>26650</v>
      </c>
      <c r="Z10188" t="s">
        <v>26661</v>
      </c>
      <c r="AA10188" t="s">
        <v>26683</v>
      </c>
      <c r="AB10188" t="s">
        <v>33844</v>
      </c>
      <c r="AD10188" t="s">
        <v>44692</v>
      </c>
      <c r="AE10188">
        <v>0</v>
      </c>
      <c r="AF10188" t="s">
        <v>45542</v>
      </c>
      <c r="AG10188" t="s">
        <v>19330</v>
      </c>
      <c r="AH10188">
        <v>14</v>
      </c>
      <c r="AI10188">
        <v>2</v>
      </c>
      <c r="AJ10188">
        <v>0</v>
      </c>
      <c r="AK10188">
        <v>319.34</v>
      </c>
      <c r="AN10188" t="s">
        <v>7439</v>
      </c>
      <c r="AO10188">
        <v>54000</v>
      </c>
      <c r="AP10188" t="s">
        <v>46267</v>
      </c>
      <c r="AU10188">
        <v>3.65</v>
      </c>
      <c r="AV10188" t="s">
        <v>857</v>
      </c>
      <c r="AW10188" t="s">
        <v>46831</v>
      </c>
    </row>
    <row r="10189" spans="1:50">
      <c r="A10189" s="1">
        <f>HYPERLINK("https://lsnyc.legalserver.org/matter/dynamic-profile/view/1893985","19-1893985")</f>
        <v>0</v>
      </c>
      <c r="B10189" t="s">
        <v>278</v>
      </c>
      <c r="C10189" t="s">
        <v>340</v>
      </c>
      <c r="D10189" t="s">
        <v>793</v>
      </c>
      <c r="F10189" t="s">
        <v>4759</v>
      </c>
      <c r="G10189" t="s">
        <v>7133</v>
      </c>
      <c r="H10189" t="s">
        <v>16553</v>
      </c>
      <c r="I10189" t="s">
        <v>17474</v>
      </c>
      <c r="J10189" t="s">
        <v>18902</v>
      </c>
      <c r="K10189">
        <v>10304</v>
      </c>
      <c r="L10189" t="s">
        <v>18960</v>
      </c>
      <c r="M10189" t="s">
        <v>18960</v>
      </c>
      <c r="N10189" t="s">
        <v>25900</v>
      </c>
      <c r="O10189" t="s">
        <v>26523</v>
      </c>
      <c r="R10189" t="s">
        <v>26578</v>
      </c>
      <c r="S10189" t="s">
        <v>18959</v>
      </c>
      <c r="U10189" t="s">
        <v>26604</v>
      </c>
      <c r="V10189" t="s">
        <v>26610</v>
      </c>
      <c r="X10189">
        <v>959</v>
      </c>
      <c r="Y10189" t="s">
        <v>26654</v>
      </c>
      <c r="Z10189" t="s">
        <v>26659</v>
      </c>
      <c r="AB10189" t="s">
        <v>29792</v>
      </c>
      <c r="AD10189" t="s">
        <v>44693</v>
      </c>
      <c r="AE10189">
        <v>0</v>
      </c>
      <c r="AH10189">
        <v>11</v>
      </c>
      <c r="AI10189">
        <v>2</v>
      </c>
      <c r="AJ10189">
        <v>0</v>
      </c>
      <c r="AK10189">
        <v>105.88</v>
      </c>
      <c r="AN10189" t="s">
        <v>7439</v>
      </c>
      <c r="AO10189">
        <v>17904</v>
      </c>
      <c r="AU10189">
        <v>4.45</v>
      </c>
      <c r="AV10189" t="s">
        <v>816</v>
      </c>
      <c r="AW10189" t="s">
        <v>46883</v>
      </c>
      <c r="AX10189" t="s">
        <v>46897</v>
      </c>
    </row>
    <row r="10190" spans="1:50">
      <c r="A10190" s="1">
        <f>HYPERLINK("https://lsnyc.legalserver.org/matter/dynamic-profile/view/1894945","19-1894945")</f>
        <v>0</v>
      </c>
      <c r="B10190" t="s">
        <v>278</v>
      </c>
      <c r="C10190" t="s">
        <v>340</v>
      </c>
      <c r="D10190" t="s">
        <v>793</v>
      </c>
      <c r="F10190" t="s">
        <v>2722</v>
      </c>
      <c r="G10190" t="s">
        <v>9297</v>
      </c>
      <c r="H10190" t="s">
        <v>14413</v>
      </c>
      <c r="I10190" t="s">
        <v>18770</v>
      </c>
      <c r="J10190" t="s">
        <v>18902</v>
      </c>
      <c r="K10190">
        <v>10301</v>
      </c>
      <c r="L10190" t="s">
        <v>18958</v>
      </c>
      <c r="M10190" t="s">
        <v>18960</v>
      </c>
      <c r="N10190" t="s">
        <v>25901</v>
      </c>
      <c r="O10190" t="s">
        <v>26526</v>
      </c>
      <c r="R10190" t="s">
        <v>26578</v>
      </c>
      <c r="S10190" t="s">
        <v>18959</v>
      </c>
      <c r="U10190" t="s">
        <v>26604</v>
      </c>
      <c r="V10190" t="s">
        <v>26610</v>
      </c>
      <c r="X10190">
        <v>1121.2</v>
      </c>
      <c r="Y10190" t="s">
        <v>26654</v>
      </c>
      <c r="Z10190" t="s">
        <v>26668</v>
      </c>
      <c r="AB10190" t="s">
        <v>33845</v>
      </c>
      <c r="AD10190" t="s">
        <v>44694</v>
      </c>
      <c r="AE10190">
        <v>120</v>
      </c>
      <c r="AF10190" t="s">
        <v>45541</v>
      </c>
      <c r="AG10190" t="s">
        <v>19330</v>
      </c>
      <c r="AH10190">
        <v>17</v>
      </c>
      <c r="AI10190">
        <v>1</v>
      </c>
      <c r="AJ10190">
        <v>0</v>
      </c>
      <c r="AK10190">
        <v>249.8</v>
      </c>
      <c r="AN10190" t="s">
        <v>7439</v>
      </c>
      <c r="AO10190">
        <v>31200</v>
      </c>
      <c r="AU10190">
        <v>12.05</v>
      </c>
      <c r="AV10190" t="s">
        <v>832</v>
      </c>
      <c r="AW10190" t="s">
        <v>46883</v>
      </c>
      <c r="AX10190" t="s">
        <v>46897</v>
      </c>
    </row>
    <row r="10191" spans="1:50">
      <c r="A10191" s="1">
        <f>HYPERLINK("https://lsnyc.legalserver.org/matter/dynamic-profile/view/1895129","19-1895129")</f>
        <v>0</v>
      </c>
      <c r="B10191" t="s">
        <v>97</v>
      </c>
      <c r="C10191" t="s">
        <v>340</v>
      </c>
      <c r="D10191" t="s">
        <v>793</v>
      </c>
      <c r="F10191" t="s">
        <v>4760</v>
      </c>
      <c r="G10191" t="s">
        <v>7558</v>
      </c>
      <c r="H10191" t="s">
        <v>16554</v>
      </c>
      <c r="I10191" t="s">
        <v>18771</v>
      </c>
      <c r="J10191" t="s">
        <v>18892</v>
      </c>
      <c r="K10191">
        <v>10474</v>
      </c>
      <c r="L10191" t="s">
        <v>18958</v>
      </c>
      <c r="M10191" t="s">
        <v>18960</v>
      </c>
      <c r="N10191" t="s">
        <v>25902</v>
      </c>
      <c r="O10191" t="s">
        <v>26523</v>
      </c>
      <c r="P10191" t="s">
        <v>26560</v>
      </c>
      <c r="R10191" t="s">
        <v>26577</v>
      </c>
      <c r="U10191" t="s">
        <v>26604</v>
      </c>
      <c r="V10191" t="s">
        <v>26610</v>
      </c>
      <c r="X10191">
        <v>1500</v>
      </c>
      <c r="Y10191" t="s">
        <v>26650</v>
      </c>
      <c r="Z10191" t="s">
        <v>26668</v>
      </c>
      <c r="AB10191" t="s">
        <v>33337</v>
      </c>
      <c r="AE10191">
        <v>68</v>
      </c>
      <c r="AF10191" t="s">
        <v>45544</v>
      </c>
      <c r="AG10191" t="s">
        <v>19330</v>
      </c>
      <c r="AH10191">
        <v>4</v>
      </c>
      <c r="AI10191">
        <v>1</v>
      </c>
      <c r="AJ10191">
        <v>3</v>
      </c>
      <c r="AK10191">
        <v>30.29</v>
      </c>
      <c r="AN10191" t="s">
        <v>45581</v>
      </c>
      <c r="AO10191">
        <v>7800</v>
      </c>
      <c r="AP10191" t="s">
        <v>45838</v>
      </c>
      <c r="AU10191">
        <v>7.75</v>
      </c>
      <c r="AV10191" t="s">
        <v>836</v>
      </c>
      <c r="AW10191" t="s">
        <v>46867</v>
      </c>
    </row>
    <row r="10192" spans="1:50">
      <c r="A10192" s="1">
        <f>HYPERLINK("https://lsnyc.legalserver.org/matter/dynamic-profile/view/1895169","19-1895169")</f>
        <v>0</v>
      </c>
      <c r="B10192" t="s">
        <v>81</v>
      </c>
      <c r="C10192" t="s">
        <v>340</v>
      </c>
      <c r="D10192" t="s">
        <v>793</v>
      </c>
      <c r="F10192" t="s">
        <v>4761</v>
      </c>
      <c r="G10192" t="s">
        <v>5868</v>
      </c>
      <c r="H10192" t="s">
        <v>16555</v>
      </c>
      <c r="I10192">
        <v>1</v>
      </c>
      <c r="J10192" t="s">
        <v>18892</v>
      </c>
      <c r="K10192">
        <v>10457</v>
      </c>
      <c r="L10192" t="s">
        <v>18960</v>
      </c>
      <c r="M10192" t="s">
        <v>18960</v>
      </c>
      <c r="N10192" t="s">
        <v>25903</v>
      </c>
      <c r="O10192" t="s">
        <v>26523</v>
      </c>
      <c r="P10192" t="s">
        <v>26560</v>
      </c>
      <c r="R10192" t="s">
        <v>26579</v>
      </c>
      <c r="U10192" t="s">
        <v>26604</v>
      </c>
      <c r="V10192" t="s">
        <v>26611</v>
      </c>
      <c r="X10192">
        <v>1934</v>
      </c>
      <c r="Y10192" t="s">
        <v>26650</v>
      </c>
      <c r="Z10192" t="s">
        <v>26530</v>
      </c>
      <c r="AB10192" t="s">
        <v>30499</v>
      </c>
      <c r="AC10192" t="s">
        <v>36705</v>
      </c>
      <c r="AD10192" t="s">
        <v>44695</v>
      </c>
      <c r="AE10192">
        <v>8</v>
      </c>
      <c r="AF10192" t="s">
        <v>45543</v>
      </c>
      <c r="AG10192" t="s">
        <v>45556</v>
      </c>
      <c r="AH10192">
        <v>10</v>
      </c>
      <c r="AI10192">
        <v>2</v>
      </c>
      <c r="AJ10192">
        <v>2</v>
      </c>
      <c r="AK10192">
        <v>21.61</v>
      </c>
      <c r="AN10192" t="s">
        <v>7439</v>
      </c>
      <c r="AO10192">
        <v>5564</v>
      </c>
      <c r="AP10192" t="s">
        <v>46268</v>
      </c>
      <c r="AU10192">
        <v>32.15</v>
      </c>
      <c r="AV10192" t="s">
        <v>806</v>
      </c>
      <c r="AW10192" t="s">
        <v>46849</v>
      </c>
      <c r="AX10192" t="s">
        <v>46898</v>
      </c>
    </row>
    <row r="10193" spans="1:50">
      <c r="A10193" s="1">
        <f>HYPERLINK("https://lsnyc.legalserver.org/matter/dynamic-profile/view/1895163","19-1895163")</f>
        <v>0</v>
      </c>
      <c r="B10193" t="s">
        <v>212</v>
      </c>
      <c r="C10193" t="s">
        <v>340</v>
      </c>
      <c r="D10193" t="s">
        <v>793</v>
      </c>
      <c r="F10193" t="s">
        <v>1598</v>
      </c>
      <c r="G10193" t="s">
        <v>5791</v>
      </c>
      <c r="H10193" t="s">
        <v>10594</v>
      </c>
      <c r="I10193">
        <v>41</v>
      </c>
      <c r="J10193" t="s">
        <v>18901</v>
      </c>
      <c r="K10193">
        <v>11432</v>
      </c>
      <c r="L10193" t="s">
        <v>18958</v>
      </c>
      <c r="M10193" t="s">
        <v>18958</v>
      </c>
      <c r="N10193" t="s">
        <v>25904</v>
      </c>
      <c r="O10193" t="s">
        <v>26523</v>
      </c>
      <c r="P10193" t="s">
        <v>26560</v>
      </c>
      <c r="R10193" t="s">
        <v>26578</v>
      </c>
      <c r="S10193" t="s">
        <v>18959</v>
      </c>
      <c r="U10193" t="s">
        <v>26604</v>
      </c>
      <c r="V10193" t="s">
        <v>26610</v>
      </c>
      <c r="X10193">
        <v>1421.57</v>
      </c>
      <c r="Y10193" t="s">
        <v>26653</v>
      </c>
      <c r="Z10193" t="s">
        <v>26659</v>
      </c>
      <c r="AB10193" t="s">
        <v>27720</v>
      </c>
      <c r="AD10193" t="s">
        <v>37771</v>
      </c>
      <c r="AE10193">
        <v>36</v>
      </c>
      <c r="AF10193" t="s">
        <v>45541</v>
      </c>
      <c r="AH10193">
        <v>26</v>
      </c>
      <c r="AI10193">
        <v>2</v>
      </c>
      <c r="AJ10193">
        <v>0</v>
      </c>
      <c r="AK10193">
        <v>0</v>
      </c>
      <c r="AN10193" t="s">
        <v>7439</v>
      </c>
      <c r="AO10193">
        <v>0</v>
      </c>
      <c r="AU10193">
        <v>18.75</v>
      </c>
      <c r="AV10193" t="s">
        <v>809</v>
      </c>
      <c r="AW10193" t="s">
        <v>212</v>
      </c>
    </row>
    <row r="10194" spans="1:50">
      <c r="A10194" s="1">
        <f>HYPERLINK("https://lsnyc.legalserver.org/matter/dynamic-profile/view/1895234","19-1895234")</f>
        <v>0</v>
      </c>
      <c r="B10194" t="s">
        <v>212</v>
      </c>
      <c r="C10194" t="s">
        <v>340</v>
      </c>
      <c r="D10194" t="s">
        <v>793</v>
      </c>
      <c r="F10194" t="s">
        <v>4762</v>
      </c>
      <c r="G10194" t="s">
        <v>1993</v>
      </c>
      <c r="H10194" t="s">
        <v>16556</v>
      </c>
      <c r="J10194" t="s">
        <v>18909</v>
      </c>
      <c r="K10194">
        <v>11101</v>
      </c>
      <c r="L10194" t="s">
        <v>18960</v>
      </c>
      <c r="M10194" t="s">
        <v>18960</v>
      </c>
      <c r="N10194" t="s">
        <v>25905</v>
      </c>
      <c r="O10194" t="s">
        <v>26523</v>
      </c>
      <c r="P10194" t="s">
        <v>26560</v>
      </c>
      <c r="R10194" t="s">
        <v>26578</v>
      </c>
      <c r="S10194" t="s">
        <v>18959</v>
      </c>
      <c r="U10194" t="s">
        <v>26604</v>
      </c>
      <c r="V10194" t="s">
        <v>26611</v>
      </c>
      <c r="X10194">
        <v>2200</v>
      </c>
      <c r="Y10194" t="s">
        <v>26653</v>
      </c>
      <c r="AB10194" t="s">
        <v>33846</v>
      </c>
      <c r="AD10194" t="s">
        <v>44696</v>
      </c>
      <c r="AE10194">
        <v>24</v>
      </c>
      <c r="AH10194">
        <v>2</v>
      </c>
      <c r="AI10194">
        <v>1</v>
      </c>
      <c r="AJ10194">
        <v>1</v>
      </c>
      <c r="AK10194">
        <v>153.76</v>
      </c>
      <c r="AN10194" t="s">
        <v>7439</v>
      </c>
      <c r="AO10194">
        <v>26000</v>
      </c>
      <c r="AU10194">
        <v>5.15</v>
      </c>
      <c r="AV10194" t="s">
        <v>809</v>
      </c>
      <c r="AW10194" t="s">
        <v>46884</v>
      </c>
    </row>
    <row r="10195" spans="1:50">
      <c r="A10195" s="1">
        <f>HYPERLINK("https://lsnyc.legalserver.org/matter/dynamic-profile/view/1895153","19-1895153")</f>
        <v>0</v>
      </c>
      <c r="B10195" t="s">
        <v>91</v>
      </c>
      <c r="C10195" t="s">
        <v>340</v>
      </c>
      <c r="D10195" t="s">
        <v>793</v>
      </c>
      <c r="F10195" t="s">
        <v>891</v>
      </c>
      <c r="G10195" t="s">
        <v>3798</v>
      </c>
      <c r="H10195" t="s">
        <v>16557</v>
      </c>
      <c r="J10195" t="s">
        <v>18901</v>
      </c>
      <c r="K10195">
        <v>11434</v>
      </c>
      <c r="L10195" t="s">
        <v>18958</v>
      </c>
      <c r="M10195" t="s">
        <v>18958</v>
      </c>
      <c r="N10195" t="s">
        <v>25906</v>
      </c>
      <c r="O10195" t="s">
        <v>26524</v>
      </c>
      <c r="P10195" t="s">
        <v>26560</v>
      </c>
      <c r="R10195" t="s">
        <v>26585</v>
      </c>
      <c r="S10195" t="s">
        <v>18959</v>
      </c>
      <c r="U10195" t="s">
        <v>26604</v>
      </c>
      <c r="V10195" t="s">
        <v>26610</v>
      </c>
      <c r="X10195">
        <v>2700</v>
      </c>
      <c r="Y10195" t="s">
        <v>26653</v>
      </c>
      <c r="Z10195" t="s">
        <v>26664</v>
      </c>
      <c r="AB10195" t="s">
        <v>33847</v>
      </c>
      <c r="AC10195" t="s">
        <v>36706</v>
      </c>
      <c r="AD10195" t="s">
        <v>44697</v>
      </c>
      <c r="AE10195">
        <v>1</v>
      </c>
      <c r="AF10195" t="s">
        <v>45547</v>
      </c>
      <c r="AG10195" t="s">
        <v>19330</v>
      </c>
      <c r="AH10195">
        <v>1</v>
      </c>
      <c r="AI10195">
        <v>1</v>
      </c>
      <c r="AJ10195">
        <v>2</v>
      </c>
      <c r="AK10195">
        <v>0</v>
      </c>
      <c r="AN10195" t="s">
        <v>7439</v>
      </c>
      <c r="AO10195">
        <v>0</v>
      </c>
      <c r="AU10195">
        <v>2.1</v>
      </c>
      <c r="AV10195" t="s">
        <v>805</v>
      </c>
      <c r="AW10195" t="s">
        <v>141</v>
      </c>
    </row>
    <row r="10196" spans="1:50">
      <c r="A10196" s="1">
        <f>HYPERLINK("https://lsnyc.legalserver.org/matter/dynamic-profile/view/1895161","19-1895161")</f>
        <v>0</v>
      </c>
      <c r="B10196" t="s">
        <v>63</v>
      </c>
      <c r="C10196" t="s">
        <v>340</v>
      </c>
      <c r="D10196" t="s">
        <v>793</v>
      </c>
      <c r="F10196" t="s">
        <v>3525</v>
      </c>
      <c r="G10196" t="s">
        <v>4160</v>
      </c>
      <c r="H10196" t="s">
        <v>15105</v>
      </c>
      <c r="I10196" t="s">
        <v>17410</v>
      </c>
      <c r="J10196" t="s">
        <v>18892</v>
      </c>
      <c r="K10196">
        <v>10453</v>
      </c>
      <c r="L10196" t="s">
        <v>18958</v>
      </c>
      <c r="M10196" t="s">
        <v>18958</v>
      </c>
      <c r="N10196" t="s">
        <v>25907</v>
      </c>
      <c r="P10196" t="s">
        <v>26563</v>
      </c>
      <c r="R10196" t="s">
        <v>26591</v>
      </c>
      <c r="U10196" t="s">
        <v>26604</v>
      </c>
      <c r="X10196">
        <v>950</v>
      </c>
      <c r="Y10196" t="s">
        <v>26650</v>
      </c>
      <c r="Z10196" t="s">
        <v>26657</v>
      </c>
      <c r="AB10196" t="s">
        <v>33848</v>
      </c>
      <c r="AD10196" t="s">
        <v>44698</v>
      </c>
      <c r="AE10196">
        <v>30</v>
      </c>
      <c r="AG10196" t="s">
        <v>19330</v>
      </c>
      <c r="AH10196">
        <v>14</v>
      </c>
      <c r="AI10196">
        <v>1</v>
      </c>
      <c r="AJ10196">
        <v>0</v>
      </c>
      <c r="AK10196">
        <v>160.13</v>
      </c>
      <c r="AN10196" t="s">
        <v>7439</v>
      </c>
      <c r="AO10196">
        <v>20000</v>
      </c>
      <c r="AU10196">
        <v>3.2</v>
      </c>
      <c r="AV10196" t="s">
        <v>672</v>
      </c>
      <c r="AW10196" t="s">
        <v>46858</v>
      </c>
    </row>
    <row r="10197" spans="1:50">
      <c r="A10197" s="1">
        <f>HYPERLINK("https://lsnyc.legalserver.org/matter/dynamic-profile/view/1895564","19-1895564")</f>
        <v>0</v>
      </c>
      <c r="B10197" t="s">
        <v>169</v>
      </c>
      <c r="C10197" t="s">
        <v>341</v>
      </c>
      <c r="D10197" t="s">
        <v>779</v>
      </c>
      <c r="E10197" t="s">
        <v>792</v>
      </c>
      <c r="F10197" t="s">
        <v>2944</v>
      </c>
      <c r="G10197" t="s">
        <v>9298</v>
      </c>
      <c r="H10197" t="s">
        <v>11024</v>
      </c>
      <c r="I10197">
        <v>22</v>
      </c>
      <c r="J10197" t="s">
        <v>18892</v>
      </c>
      <c r="K10197">
        <v>10452</v>
      </c>
      <c r="L10197" t="s">
        <v>18958</v>
      </c>
      <c r="M10197" t="s">
        <v>18959</v>
      </c>
      <c r="O10197" t="s">
        <v>26523</v>
      </c>
      <c r="P10197" t="s">
        <v>26564</v>
      </c>
      <c r="Q10197" t="s">
        <v>26570</v>
      </c>
      <c r="R10197" t="s">
        <v>26578</v>
      </c>
      <c r="S10197" t="s">
        <v>18959</v>
      </c>
      <c r="U10197" t="s">
        <v>26604</v>
      </c>
      <c r="V10197" t="s">
        <v>26612</v>
      </c>
      <c r="X10197">
        <v>822</v>
      </c>
      <c r="Y10197" t="s">
        <v>26650</v>
      </c>
      <c r="Z10197" t="s">
        <v>26663</v>
      </c>
      <c r="AA10197" t="s">
        <v>26683</v>
      </c>
      <c r="AB10197" t="s">
        <v>31150</v>
      </c>
      <c r="AE10197">
        <v>0</v>
      </c>
      <c r="AF10197" t="s">
        <v>45541</v>
      </c>
      <c r="AH10197">
        <v>6</v>
      </c>
      <c r="AI10197">
        <v>2</v>
      </c>
      <c r="AJ10197">
        <v>0</v>
      </c>
      <c r="AK10197">
        <v>709.64</v>
      </c>
      <c r="AN10197" t="s">
        <v>7439</v>
      </c>
      <c r="AO10197">
        <v>120000</v>
      </c>
      <c r="AP10197" t="s">
        <v>46269</v>
      </c>
      <c r="AU10197">
        <v>0.9</v>
      </c>
      <c r="AV10197" t="s">
        <v>792</v>
      </c>
      <c r="AW10197" t="s">
        <v>169</v>
      </c>
      <c r="AX10197" t="s">
        <v>46897</v>
      </c>
    </row>
    <row r="10198" spans="1:50">
      <c r="A10198" s="1">
        <f>HYPERLINK("https://lsnyc.legalserver.org/matter/dynamic-profile/view/1895353","19-1895353")</f>
        <v>0</v>
      </c>
      <c r="B10198" t="s">
        <v>257</v>
      </c>
      <c r="C10198" t="s">
        <v>341</v>
      </c>
      <c r="D10198" t="s">
        <v>779</v>
      </c>
      <c r="E10198" t="s">
        <v>818</v>
      </c>
      <c r="F10198" t="s">
        <v>1773</v>
      </c>
      <c r="G10198" t="s">
        <v>5631</v>
      </c>
      <c r="H10198" t="s">
        <v>10847</v>
      </c>
      <c r="I10198" t="s">
        <v>17342</v>
      </c>
      <c r="J10198" t="s">
        <v>18894</v>
      </c>
      <c r="K10198">
        <v>11237</v>
      </c>
      <c r="L10198" t="s">
        <v>18960</v>
      </c>
      <c r="M10198" t="s">
        <v>18960</v>
      </c>
      <c r="N10198" t="s">
        <v>25908</v>
      </c>
      <c r="P10198" t="s">
        <v>26563</v>
      </c>
      <c r="Q10198" t="s">
        <v>26570</v>
      </c>
      <c r="R10198" t="s">
        <v>26591</v>
      </c>
      <c r="U10198" t="s">
        <v>26604</v>
      </c>
      <c r="X10198">
        <v>1402</v>
      </c>
      <c r="Y10198" t="s">
        <v>26652</v>
      </c>
      <c r="Z10198" t="s">
        <v>26659</v>
      </c>
      <c r="AA10198" t="s">
        <v>26683</v>
      </c>
      <c r="AB10198" t="s">
        <v>28004</v>
      </c>
      <c r="AD10198" t="s">
        <v>38056</v>
      </c>
      <c r="AE10198">
        <v>8</v>
      </c>
      <c r="AG10198" t="s">
        <v>45556</v>
      </c>
      <c r="AH10198">
        <v>11</v>
      </c>
      <c r="AI10198">
        <v>1</v>
      </c>
      <c r="AJ10198">
        <v>0</v>
      </c>
      <c r="AK10198">
        <v>12.11</v>
      </c>
      <c r="AN10198" t="s">
        <v>7439</v>
      </c>
      <c r="AO10198">
        <v>1512</v>
      </c>
      <c r="AU10198">
        <v>4.1</v>
      </c>
      <c r="AV10198" t="s">
        <v>801</v>
      </c>
      <c r="AW10198" t="s">
        <v>46858</v>
      </c>
    </row>
    <row r="10199" spans="1:50">
      <c r="A10199" s="1">
        <f>HYPERLINK("https://lsnyc.legalserver.org/matter/dynamic-profile/view/1895387","19-1895387")</f>
        <v>0</v>
      </c>
      <c r="B10199" t="s">
        <v>110</v>
      </c>
      <c r="C10199" t="s">
        <v>341</v>
      </c>
      <c r="D10199" t="s">
        <v>779</v>
      </c>
      <c r="E10199" t="s">
        <v>805</v>
      </c>
      <c r="F10199" t="s">
        <v>4047</v>
      </c>
      <c r="G10199" t="s">
        <v>4777</v>
      </c>
      <c r="H10199" t="s">
        <v>16558</v>
      </c>
      <c r="J10199" t="s">
        <v>18910</v>
      </c>
      <c r="K10199">
        <v>11420</v>
      </c>
      <c r="L10199" t="s">
        <v>18960</v>
      </c>
      <c r="M10199" t="s">
        <v>18960</v>
      </c>
      <c r="N10199" t="s">
        <v>25909</v>
      </c>
      <c r="O10199" t="s">
        <v>26524</v>
      </c>
      <c r="P10199" t="s">
        <v>26564</v>
      </c>
      <c r="Q10199" t="s">
        <v>26570</v>
      </c>
      <c r="R10199" t="s">
        <v>26584</v>
      </c>
      <c r="S10199" t="s">
        <v>18959</v>
      </c>
      <c r="U10199" t="s">
        <v>26604</v>
      </c>
      <c r="V10199" t="s">
        <v>26610</v>
      </c>
      <c r="X10199">
        <v>1867</v>
      </c>
      <c r="Y10199" t="s">
        <v>26653</v>
      </c>
      <c r="Z10199" t="s">
        <v>26664</v>
      </c>
      <c r="AA10199" t="s">
        <v>26683</v>
      </c>
      <c r="AB10199" t="s">
        <v>33849</v>
      </c>
      <c r="AD10199" t="s">
        <v>44699</v>
      </c>
      <c r="AE10199">
        <v>0</v>
      </c>
      <c r="AF10199" t="s">
        <v>45547</v>
      </c>
      <c r="AG10199" t="s">
        <v>45556</v>
      </c>
      <c r="AH10199">
        <v>10</v>
      </c>
      <c r="AI10199">
        <v>1</v>
      </c>
      <c r="AJ10199">
        <v>2</v>
      </c>
      <c r="AK10199">
        <v>150.02</v>
      </c>
      <c r="AN10199" t="s">
        <v>7439</v>
      </c>
      <c r="AO10199">
        <v>32000</v>
      </c>
      <c r="AU10199">
        <v>1.45</v>
      </c>
      <c r="AV10199" t="s">
        <v>805</v>
      </c>
      <c r="AW10199" t="s">
        <v>110</v>
      </c>
    </row>
    <row r="10200" spans="1:50">
      <c r="A10200" s="1">
        <f>HYPERLINK("https://lsnyc.legalserver.org/matter/dynamic-profile/view/1895313","19-1895313")</f>
        <v>0</v>
      </c>
      <c r="B10200" t="s">
        <v>200</v>
      </c>
      <c r="C10200" t="s">
        <v>341</v>
      </c>
      <c r="D10200" t="s">
        <v>779</v>
      </c>
      <c r="E10200" t="s">
        <v>810</v>
      </c>
      <c r="F10200" t="s">
        <v>1904</v>
      </c>
      <c r="G10200" t="s">
        <v>6634</v>
      </c>
      <c r="H10200" t="s">
        <v>16559</v>
      </c>
      <c r="I10200">
        <v>415</v>
      </c>
      <c r="J10200" t="s">
        <v>18894</v>
      </c>
      <c r="K10200">
        <v>11212</v>
      </c>
      <c r="L10200" t="s">
        <v>18959</v>
      </c>
      <c r="M10200" t="s">
        <v>18959</v>
      </c>
      <c r="N10200" t="s">
        <v>25910</v>
      </c>
      <c r="O10200" t="s">
        <v>26523</v>
      </c>
      <c r="Q10200" t="s">
        <v>26570</v>
      </c>
      <c r="R10200" t="s">
        <v>26591</v>
      </c>
      <c r="S10200" t="s">
        <v>18959</v>
      </c>
      <c r="U10200" t="s">
        <v>26604</v>
      </c>
      <c r="X10200">
        <v>1432</v>
      </c>
      <c r="Y10200" t="s">
        <v>26652</v>
      </c>
      <c r="AA10200" t="s">
        <v>26683</v>
      </c>
      <c r="AB10200" t="s">
        <v>33850</v>
      </c>
      <c r="AD10200" t="s">
        <v>44700</v>
      </c>
      <c r="AE10200">
        <v>133</v>
      </c>
      <c r="AF10200" t="s">
        <v>45552</v>
      </c>
      <c r="AG10200" t="s">
        <v>45556</v>
      </c>
      <c r="AH10200">
        <v>1</v>
      </c>
      <c r="AI10200">
        <v>1</v>
      </c>
      <c r="AJ10200">
        <v>2</v>
      </c>
      <c r="AK10200">
        <v>21.83</v>
      </c>
      <c r="AN10200" t="s">
        <v>7439</v>
      </c>
      <c r="AO10200">
        <v>4656</v>
      </c>
      <c r="AU10200">
        <v>1.1</v>
      </c>
      <c r="AV10200" t="s">
        <v>762</v>
      </c>
      <c r="AW10200" t="s">
        <v>46860</v>
      </c>
    </row>
    <row r="10201" spans="1:50">
      <c r="A10201" s="1">
        <f>HYPERLINK("https://lsnyc.legalserver.org/matter/dynamic-profile/view/1895251","19-1895251")</f>
        <v>0</v>
      </c>
      <c r="B10201" t="s">
        <v>102</v>
      </c>
      <c r="C10201" t="s">
        <v>341</v>
      </c>
      <c r="D10201" t="s">
        <v>779</v>
      </c>
      <c r="E10201" t="s">
        <v>780</v>
      </c>
      <c r="F10201" t="s">
        <v>4763</v>
      </c>
      <c r="G10201" t="s">
        <v>6008</v>
      </c>
      <c r="H10201" t="s">
        <v>16560</v>
      </c>
      <c r="I10201" t="s">
        <v>17415</v>
      </c>
      <c r="J10201" t="s">
        <v>18902</v>
      </c>
      <c r="K10201">
        <v>10302</v>
      </c>
      <c r="L10201" t="s">
        <v>18960</v>
      </c>
      <c r="M10201" t="s">
        <v>18960</v>
      </c>
      <c r="N10201" t="s">
        <v>25911</v>
      </c>
      <c r="O10201" t="s">
        <v>26524</v>
      </c>
      <c r="P10201" t="s">
        <v>26567</v>
      </c>
      <c r="Q10201" t="s">
        <v>26568</v>
      </c>
      <c r="R10201" t="s">
        <v>26590</v>
      </c>
      <c r="S10201" t="s">
        <v>18959</v>
      </c>
      <c r="U10201" t="s">
        <v>26604</v>
      </c>
      <c r="V10201" t="s">
        <v>26610</v>
      </c>
      <c r="X10201">
        <v>400</v>
      </c>
      <c r="Y10201" t="s">
        <v>26654</v>
      </c>
      <c r="Z10201" t="s">
        <v>26668</v>
      </c>
      <c r="AA10201" t="s">
        <v>26678</v>
      </c>
      <c r="AB10201" t="s">
        <v>33851</v>
      </c>
      <c r="AD10201" t="s">
        <v>44701</v>
      </c>
      <c r="AE10201">
        <v>4</v>
      </c>
      <c r="AG10201" t="s">
        <v>19330</v>
      </c>
      <c r="AH10201">
        <v>2</v>
      </c>
      <c r="AI10201">
        <v>1</v>
      </c>
      <c r="AJ10201">
        <v>0</v>
      </c>
      <c r="AK10201">
        <v>18.45</v>
      </c>
      <c r="AN10201" t="s">
        <v>45581</v>
      </c>
      <c r="AO10201">
        <v>2304</v>
      </c>
      <c r="AS10201" t="s">
        <v>46499</v>
      </c>
      <c r="AU10201">
        <v>2</v>
      </c>
      <c r="AV10201" t="s">
        <v>672</v>
      </c>
      <c r="AW10201" t="s">
        <v>46883</v>
      </c>
    </row>
    <row r="10202" spans="1:50">
      <c r="A10202" s="1">
        <f>HYPERLINK("https://lsnyc.legalserver.org/matter/dynamic-profile/view/1895316","19-1895316")</f>
        <v>0</v>
      </c>
      <c r="B10202" t="s">
        <v>190</v>
      </c>
      <c r="C10202" t="s">
        <v>341</v>
      </c>
      <c r="D10202" t="s">
        <v>779</v>
      </c>
      <c r="E10202" t="s">
        <v>760</v>
      </c>
      <c r="F10202" t="s">
        <v>1376</v>
      </c>
      <c r="G10202" t="s">
        <v>9299</v>
      </c>
      <c r="H10202" t="s">
        <v>16561</v>
      </c>
      <c r="I10202">
        <v>2</v>
      </c>
      <c r="J10202" t="s">
        <v>18894</v>
      </c>
      <c r="K10202">
        <v>11220</v>
      </c>
      <c r="L10202" t="s">
        <v>18959</v>
      </c>
      <c r="M10202" t="s">
        <v>18958</v>
      </c>
      <c r="N10202" t="s">
        <v>25912</v>
      </c>
      <c r="O10202" t="s">
        <v>26524</v>
      </c>
      <c r="P10202" t="s">
        <v>26564</v>
      </c>
      <c r="Q10202" t="s">
        <v>26571</v>
      </c>
      <c r="R10202" t="s">
        <v>26586</v>
      </c>
      <c r="U10202" t="s">
        <v>26604</v>
      </c>
      <c r="X10202">
        <v>1000</v>
      </c>
      <c r="Y10202" t="s">
        <v>26652</v>
      </c>
      <c r="Z10202" t="s">
        <v>26664</v>
      </c>
      <c r="AA10202" t="s">
        <v>26681</v>
      </c>
      <c r="AB10202" t="s">
        <v>31362</v>
      </c>
      <c r="AD10202" t="s">
        <v>44702</v>
      </c>
      <c r="AE10202">
        <v>2</v>
      </c>
      <c r="AG10202" t="s">
        <v>19330</v>
      </c>
      <c r="AH10202">
        <v>17</v>
      </c>
      <c r="AI10202">
        <v>1</v>
      </c>
      <c r="AJ10202">
        <v>1</v>
      </c>
      <c r="AK10202">
        <v>0</v>
      </c>
      <c r="AN10202" t="s">
        <v>7439</v>
      </c>
      <c r="AO10202">
        <v>0</v>
      </c>
      <c r="AU10202">
        <v>1.4</v>
      </c>
      <c r="AV10202" t="s">
        <v>781</v>
      </c>
      <c r="AW10202" t="s">
        <v>46862</v>
      </c>
    </row>
    <row r="10203" spans="1:50">
      <c r="A10203" s="1">
        <f>HYPERLINK("https://lsnyc.legalserver.org/matter/dynamic-profile/view/1895380","19-1895380")</f>
        <v>0</v>
      </c>
      <c r="B10203" t="s">
        <v>318</v>
      </c>
      <c r="C10203" t="s">
        <v>341</v>
      </c>
      <c r="D10203" t="s">
        <v>779</v>
      </c>
      <c r="E10203" t="s">
        <v>672</v>
      </c>
      <c r="F10203" t="s">
        <v>2282</v>
      </c>
      <c r="G10203" t="s">
        <v>9300</v>
      </c>
      <c r="H10203" t="s">
        <v>16562</v>
      </c>
      <c r="I10203" t="s">
        <v>18772</v>
      </c>
      <c r="J10203" t="s">
        <v>18892</v>
      </c>
      <c r="K10203">
        <v>10454</v>
      </c>
      <c r="L10203" t="s">
        <v>18960</v>
      </c>
      <c r="M10203" t="s">
        <v>18960</v>
      </c>
      <c r="N10203" t="s">
        <v>19330</v>
      </c>
      <c r="O10203" t="s">
        <v>18997</v>
      </c>
      <c r="P10203" t="s">
        <v>26564</v>
      </c>
      <c r="Q10203" t="s">
        <v>26570</v>
      </c>
      <c r="R10203" t="s">
        <v>26591</v>
      </c>
      <c r="U10203" t="s">
        <v>26604</v>
      </c>
      <c r="X10203">
        <v>170</v>
      </c>
      <c r="Y10203" t="s">
        <v>26650</v>
      </c>
      <c r="Z10203" t="s">
        <v>26530</v>
      </c>
      <c r="AA10203" t="s">
        <v>26683</v>
      </c>
      <c r="AB10203" t="s">
        <v>33852</v>
      </c>
      <c r="AD10203" t="s">
        <v>34738</v>
      </c>
      <c r="AE10203">
        <v>0</v>
      </c>
      <c r="AG10203" t="s">
        <v>45559</v>
      </c>
      <c r="AH10203">
        <v>15</v>
      </c>
      <c r="AI10203">
        <v>1</v>
      </c>
      <c r="AJ10203">
        <v>0</v>
      </c>
      <c r="AK10203">
        <v>72.06</v>
      </c>
      <c r="AN10203" t="s">
        <v>7439</v>
      </c>
      <c r="AO10203">
        <v>9000</v>
      </c>
      <c r="AU10203">
        <v>1.7</v>
      </c>
      <c r="AV10203" t="s">
        <v>671</v>
      </c>
      <c r="AW10203" t="s">
        <v>46849</v>
      </c>
    </row>
    <row r="10204" spans="1:50">
      <c r="A10204" s="1">
        <f>HYPERLINK("https://lsnyc.legalserver.org/matter/dynamic-profile/view/1895391","19-1895391")</f>
        <v>0</v>
      </c>
      <c r="B10204" t="s">
        <v>133</v>
      </c>
      <c r="C10204" t="s">
        <v>340</v>
      </c>
      <c r="D10204" t="s">
        <v>779</v>
      </c>
      <c r="F10204" t="s">
        <v>1075</v>
      </c>
      <c r="G10204" t="s">
        <v>5295</v>
      </c>
      <c r="H10204" t="s">
        <v>16563</v>
      </c>
      <c r="I10204" t="s">
        <v>17410</v>
      </c>
      <c r="J10204" t="s">
        <v>18892</v>
      </c>
      <c r="K10204">
        <v>10461</v>
      </c>
      <c r="L10204" t="s">
        <v>18958</v>
      </c>
      <c r="M10204" t="s">
        <v>18958</v>
      </c>
      <c r="N10204" t="s">
        <v>25913</v>
      </c>
      <c r="O10204" t="s">
        <v>26523</v>
      </c>
      <c r="P10204" t="s">
        <v>26560</v>
      </c>
      <c r="R10204" t="s">
        <v>26591</v>
      </c>
      <c r="S10204" t="s">
        <v>18959</v>
      </c>
      <c r="U10204" t="s">
        <v>26604</v>
      </c>
      <c r="X10204">
        <v>1289</v>
      </c>
      <c r="Y10204" t="s">
        <v>26650</v>
      </c>
      <c r="Z10204" t="s">
        <v>26668</v>
      </c>
      <c r="AB10204" t="s">
        <v>33853</v>
      </c>
      <c r="AD10204" t="s">
        <v>44703</v>
      </c>
      <c r="AE10204">
        <v>0</v>
      </c>
      <c r="AF10204" t="s">
        <v>45541</v>
      </c>
      <c r="AG10204" t="s">
        <v>45556</v>
      </c>
      <c r="AH10204">
        <v>15</v>
      </c>
      <c r="AI10204">
        <v>1</v>
      </c>
      <c r="AJ10204">
        <v>0</v>
      </c>
      <c r="AK10204">
        <v>145.72</v>
      </c>
      <c r="AN10204" t="s">
        <v>7439</v>
      </c>
      <c r="AO10204">
        <v>18200</v>
      </c>
      <c r="AU10204">
        <v>10.3</v>
      </c>
      <c r="AV10204" t="s">
        <v>833</v>
      </c>
      <c r="AW10204" t="s">
        <v>46859</v>
      </c>
    </row>
    <row r="10205" spans="1:50">
      <c r="A10205" s="1">
        <f>HYPERLINK("https://lsnyc.legalserver.org/matter/dynamic-profile/view/1895273","19-1895273")</f>
        <v>0</v>
      </c>
      <c r="B10205" t="s">
        <v>116</v>
      </c>
      <c r="C10205" t="s">
        <v>340</v>
      </c>
      <c r="D10205" t="s">
        <v>779</v>
      </c>
      <c r="F10205" t="s">
        <v>1013</v>
      </c>
      <c r="G10205" t="s">
        <v>7065</v>
      </c>
      <c r="H10205" t="s">
        <v>10611</v>
      </c>
      <c r="I10205" t="s">
        <v>17307</v>
      </c>
      <c r="J10205" t="s">
        <v>18894</v>
      </c>
      <c r="K10205">
        <v>11212</v>
      </c>
      <c r="L10205" t="s">
        <v>18959</v>
      </c>
      <c r="M10205" t="s">
        <v>18959</v>
      </c>
      <c r="R10205" t="s">
        <v>26578</v>
      </c>
      <c r="S10205" t="s">
        <v>18958</v>
      </c>
      <c r="U10205" t="s">
        <v>26604</v>
      </c>
      <c r="X10205">
        <v>683</v>
      </c>
      <c r="Y10205" t="s">
        <v>26652</v>
      </c>
      <c r="AB10205" t="s">
        <v>32612</v>
      </c>
      <c r="AE10205">
        <v>0</v>
      </c>
      <c r="AF10205" t="s">
        <v>45541</v>
      </c>
      <c r="AG10205" t="s">
        <v>19330</v>
      </c>
      <c r="AH10205">
        <v>30</v>
      </c>
      <c r="AI10205">
        <v>2</v>
      </c>
      <c r="AJ10205">
        <v>0</v>
      </c>
      <c r="AK10205">
        <v>0</v>
      </c>
      <c r="AN10205" t="s">
        <v>7439</v>
      </c>
      <c r="AO10205">
        <v>0</v>
      </c>
      <c r="AU10205">
        <v>1</v>
      </c>
      <c r="AV10205" t="s">
        <v>770</v>
      </c>
      <c r="AW10205" t="s">
        <v>279</v>
      </c>
    </row>
    <row r="10206" spans="1:50">
      <c r="A10206" s="1">
        <f>HYPERLINK("https://lsnyc.legalserver.org/matter/dynamic-profile/view/1895410","19-1895410")</f>
        <v>0</v>
      </c>
      <c r="B10206" t="s">
        <v>110</v>
      </c>
      <c r="C10206" t="s">
        <v>340</v>
      </c>
      <c r="D10206" t="s">
        <v>779</v>
      </c>
      <c r="F10206" t="s">
        <v>4764</v>
      </c>
      <c r="G10206" t="s">
        <v>9301</v>
      </c>
      <c r="H10206" t="s">
        <v>16564</v>
      </c>
      <c r="I10206" t="s">
        <v>17316</v>
      </c>
      <c r="J10206" t="s">
        <v>18919</v>
      </c>
      <c r="K10206">
        <v>11428</v>
      </c>
      <c r="L10206" t="s">
        <v>18960</v>
      </c>
      <c r="M10206" t="s">
        <v>18960</v>
      </c>
      <c r="N10206" t="s">
        <v>25914</v>
      </c>
      <c r="O10206" t="s">
        <v>26523</v>
      </c>
      <c r="P10206" t="s">
        <v>26564</v>
      </c>
      <c r="R10206" t="s">
        <v>26584</v>
      </c>
      <c r="S10206" t="s">
        <v>18959</v>
      </c>
      <c r="U10206" t="s">
        <v>26604</v>
      </c>
      <c r="V10206" t="s">
        <v>26610</v>
      </c>
      <c r="X10206">
        <v>851.4</v>
      </c>
      <c r="Y10206" t="s">
        <v>26653</v>
      </c>
      <c r="Z10206" t="s">
        <v>26664</v>
      </c>
      <c r="AB10206" t="s">
        <v>33854</v>
      </c>
      <c r="AD10206" t="s">
        <v>44704</v>
      </c>
      <c r="AE10206">
        <v>54</v>
      </c>
      <c r="AF10206" t="s">
        <v>45553</v>
      </c>
      <c r="AH10206">
        <v>10</v>
      </c>
      <c r="AI10206">
        <v>1</v>
      </c>
      <c r="AJ10206">
        <v>0</v>
      </c>
      <c r="AK10206">
        <v>167.85</v>
      </c>
      <c r="AN10206" t="s">
        <v>45611</v>
      </c>
      <c r="AO10206">
        <v>20964</v>
      </c>
      <c r="AU10206">
        <v>1.1</v>
      </c>
      <c r="AV10206" t="s">
        <v>724</v>
      </c>
      <c r="AW10206" t="s">
        <v>110</v>
      </c>
    </row>
    <row r="10207" spans="1:50">
      <c r="A10207" s="1">
        <f>HYPERLINK("https://lsnyc.legalserver.org/matter/dynamic-profile/view/1895397","19-1895397")</f>
        <v>0</v>
      </c>
      <c r="B10207" t="s">
        <v>110</v>
      </c>
      <c r="C10207" t="s">
        <v>340</v>
      </c>
      <c r="D10207" t="s">
        <v>779</v>
      </c>
      <c r="F10207" t="s">
        <v>4765</v>
      </c>
      <c r="G10207" t="s">
        <v>5191</v>
      </c>
      <c r="H10207" t="s">
        <v>16565</v>
      </c>
      <c r="J10207" t="s">
        <v>18928</v>
      </c>
      <c r="K10207">
        <v>11365</v>
      </c>
      <c r="L10207" t="s">
        <v>18960</v>
      </c>
      <c r="M10207" t="s">
        <v>18960</v>
      </c>
      <c r="N10207" t="s">
        <v>25915</v>
      </c>
      <c r="O10207" t="s">
        <v>26524</v>
      </c>
      <c r="P10207" t="s">
        <v>26563</v>
      </c>
      <c r="R10207" t="s">
        <v>26584</v>
      </c>
      <c r="S10207" t="s">
        <v>18959</v>
      </c>
      <c r="U10207" t="s">
        <v>26604</v>
      </c>
      <c r="V10207" t="s">
        <v>26610</v>
      </c>
      <c r="X10207">
        <v>1377</v>
      </c>
      <c r="Y10207" t="s">
        <v>26653</v>
      </c>
      <c r="Z10207" t="s">
        <v>26664</v>
      </c>
      <c r="AB10207" t="s">
        <v>33855</v>
      </c>
      <c r="AD10207" t="s">
        <v>44705</v>
      </c>
      <c r="AE10207">
        <v>200</v>
      </c>
      <c r="AF10207" t="s">
        <v>45541</v>
      </c>
      <c r="AG10207" t="s">
        <v>19330</v>
      </c>
      <c r="AH10207">
        <v>9</v>
      </c>
      <c r="AI10207">
        <v>3</v>
      </c>
      <c r="AJ10207">
        <v>0</v>
      </c>
      <c r="AK10207">
        <v>326.58</v>
      </c>
      <c r="AN10207" t="s">
        <v>7439</v>
      </c>
      <c r="AO10207">
        <v>69660</v>
      </c>
      <c r="AU10207">
        <v>1.3</v>
      </c>
      <c r="AV10207" t="s">
        <v>766</v>
      </c>
      <c r="AW10207" t="s">
        <v>110</v>
      </c>
    </row>
    <row r="10208" spans="1:50">
      <c r="A10208" s="1">
        <f>HYPERLINK("https://lsnyc.legalserver.org/matter/dynamic-profile/view/1895290","19-1895290")</f>
        <v>0</v>
      </c>
      <c r="B10208" t="s">
        <v>182</v>
      </c>
      <c r="C10208" t="s">
        <v>340</v>
      </c>
      <c r="D10208" t="s">
        <v>779</v>
      </c>
      <c r="F10208" t="s">
        <v>4766</v>
      </c>
      <c r="G10208" t="s">
        <v>6777</v>
      </c>
      <c r="H10208" t="s">
        <v>16566</v>
      </c>
      <c r="I10208" t="s">
        <v>17292</v>
      </c>
      <c r="J10208" t="s">
        <v>18892</v>
      </c>
      <c r="K10208">
        <v>10462</v>
      </c>
      <c r="L10208" t="s">
        <v>18960</v>
      </c>
      <c r="M10208" t="s">
        <v>18960</v>
      </c>
      <c r="N10208" t="s">
        <v>25916</v>
      </c>
      <c r="O10208" t="s">
        <v>26523</v>
      </c>
      <c r="P10208" t="s">
        <v>26564</v>
      </c>
      <c r="R10208" t="s">
        <v>26579</v>
      </c>
      <c r="U10208" t="s">
        <v>26604</v>
      </c>
      <c r="V10208" t="s">
        <v>26610</v>
      </c>
      <c r="X10208">
        <v>640</v>
      </c>
      <c r="Y10208" t="s">
        <v>26650</v>
      </c>
      <c r="AB10208" t="s">
        <v>33856</v>
      </c>
      <c r="AD10208" t="s">
        <v>44706</v>
      </c>
      <c r="AE10208">
        <v>25</v>
      </c>
      <c r="AF10208" t="s">
        <v>45553</v>
      </c>
      <c r="AG10208" t="s">
        <v>19330</v>
      </c>
      <c r="AH10208">
        <v>16</v>
      </c>
      <c r="AI10208">
        <v>1</v>
      </c>
      <c r="AJ10208">
        <v>1</v>
      </c>
      <c r="AK10208">
        <v>167.47</v>
      </c>
      <c r="AN10208" t="s">
        <v>7439</v>
      </c>
      <c r="AO10208">
        <v>28320</v>
      </c>
      <c r="AP10208" t="s">
        <v>46270</v>
      </c>
      <c r="AU10208">
        <v>2.3</v>
      </c>
      <c r="AV10208" t="s">
        <v>671</v>
      </c>
      <c r="AW10208" t="s">
        <v>46857</v>
      </c>
    </row>
    <row r="10209" spans="1:50">
      <c r="A10209" s="1">
        <f>HYPERLINK("https://lsnyc.legalserver.org/matter/dynamic-profile/view/1895390","19-1895390")</f>
        <v>0</v>
      </c>
      <c r="B10209" t="s">
        <v>200</v>
      </c>
      <c r="C10209" t="s">
        <v>340</v>
      </c>
      <c r="D10209" t="s">
        <v>779</v>
      </c>
      <c r="F10209" t="s">
        <v>1250</v>
      </c>
      <c r="G10209" t="s">
        <v>5438</v>
      </c>
      <c r="H10209" t="s">
        <v>13938</v>
      </c>
      <c r="I10209" t="s">
        <v>17355</v>
      </c>
      <c r="J10209" t="s">
        <v>18894</v>
      </c>
      <c r="K10209">
        <v>11239</v>
      </c>
      <c r="L10209" t="s">
        <v>18958</v>
      </c>
      <c r="M10209" t="s">
        <v>18958</v>
      </c>
      <c r="N10209" t="s">
        <v>25917</v>
      </c>
      <c r="O10209" t="s">
        <v>26524</v>
      </c>
      <c r="R10209" t="s">
        <v>26578</v>
      </c>
      <c r="S10209" t="s">
        <v>18959</v>
      </c>
      <c r="U10209" t="s">
        <v>26604</v>
      </c>
      <c r="X10209">
        <v>3260</v>
      </c>
      <c r="Y10209" t="s">
        <v>26652</v>
      </c>
      <c r="Z10209" t="s">
        <v>26664</v>
      </c>
      <c r="AB10209" t="s">
        <v>31376</v>
      </c>
      <c r="AD10209" t="s">
        <v>41578</v>
      </c>
      <c r="AE10209">
        <v>84</v>
      </c>
      <c r="AG10209" t="s">
        <v>26530</v>
      </c>
      <c r="AH10209">
        <v>43</v>
      </c>
      <c r="AI10209">
        <v>1</v>
      </c>
      <c r="AJ10209">
        <v>1</v>
      </c>
      <c r="AK10209">
        <v>0</v>
      </c>
      <c r="AN10209" t="s">
        <v>7439</v>
      </c>
      <c r="AO10209">
        <v>0</v>
      </c>
      <c r="AU10209">
        <v>13.6</v>
      </c>
      <c r="AV10209" t="s">
        <v>838</v>
      </c>
      <c r="AW10209" t="s">
        <v>279</v>
      </c>
    </row>
    <row r="10210" spans="1:50">
      <c r="A10210" s="1">
        <f>HYPERLINK("https://lsnyc.legalserver.org/matter/dynamic-profile/view/1893930","19-1893930")</f>
        <v>0</v>
      </c>
      <c r="B10210" t="s">
        <v>104</v>
      </c>
      <c r="C10210" t="s">
        <v>340</v>
      </c>
      <c r="D10210" t="s">
        <v>779</v>
      </c>
      <c r="F10210" t="s">
        <v>2429</v>
      </c>
      <c r="G10210" t="s">
        <v>5147</v>
      </c>
      <c r="H10210" t="s">
        <v>16567</v>
      </c>
      <c r="I10210" t="s">
        <v>17423</v>
      </c>
      <c r="J10210" t="s">
        <v>18902</v>
      </c>
      <c r="K10210">
        <v>10304</v>
      </c>
      <c r="L10210" t="s">
        <v>18960</v>
      </c>
      <c r="M10210" t="s">
        <v>18960</v>
      </c>
      <c r="N10210" t="s">
        <v>25918</v>
      </c>
      <c r="O10210" t="s">
        <v>26523</v>
      </c>
      <c r="R10210" t="s">
        <v>26578</v>
      </c>
      <c r="S10210" t="s">
        <v>18959</v>
      </c>
      <c r="U10210" t="s">
        <v>26604</v>
      </c>
      <c r="V10210" t="s">
        <v>26610</v>
      </c>
      <c r="X10210">
        <v>1956</v>
      </c>
      <c r="Y10210" t="s">
        <v>26654</v>
      </c>
      <c r="Z10210" t="s">
        <v>26668</v>
      </c>
      <c r="AB10210" t="s">
        <v>33857</v>
      </c>
      <c r="AC10210">
        <v>5620117</v>
      </c>
      <c r="AD10210" t="s">
        <v>44707</v>
      </c>
      <c r="AE10210">
        <v>2</v>
      </c>
      <c r="AG10210" t="s">
        <v>45558</v>
      </c>
      <c r="AH10210">
        <v>2</v>
      </c>
      <c r="AI10210">
        <v>2</v>
      </c>
      <c r="AJ10210">
        <v>0</v>
      </c>
      <c r="AK10210">
        <v>13.22</v>
      </c>
      <c r="AN10210" t="s">
        <v>7439</v>
      </c>
      <c r="AO10210">
        <v>2236</v>
      </c>
      <c r="AU10210">
        <v>3.8</v>
      </c>
      <c r="AV10210" t="s">
        <v>835</v>
      </c>
      <c r="AW10210" t="s">
        <v>46883</v>
      </c>
    </row>
    <row r="10211" spans="1:50">
      <c r="A10211" s="1">
        <f>HYPERLINK("https://lsnyc.legalserver.org/matter/dynamic-profile/view/1895350","19-1895350")</f>
        <v>0</v>
      </c>
      <c r="B10211" t="s">
        <v>129</v>
      </c>
      <c r="C10211" t="s">
        <v>340</v>
      </c>
      <c r="D10211" t="s">
        <v>779</v>
      </c>
      <c r="F10211" t="s">
        <v>4767</v>
      </c>
      <c r="G10211" t="s">
        <v>902</v>
      </c>
      <c r="H10211" t="s">
        <v>16568</v>
      </c>
      <c r="I10211">
        <v>3</v>
      </c>
      <c r="J10211" t="s">
        <v>18894</v>
      </c>
      <c r="K10211">
        <v>11216</v>
      </c>
      <c r="L10211" t="s">
        <v>18960</v>
      </c>
      <c r="M10211" t="s">
        <v>18960</v>
      </c>
      <c r="N10211" t="s">
        <v>25919</v>
      </c>
      <c r="O10211" t="s">
        <v>26523</v>
      </c>
      <c r="P10211" t="s">
        <v>26560</v>
      </c>
      <c r="R10211" t="s">
        <v>26588</v>
      </c>
      <c r="S10211" t="s">
        <v>18959</v>
      </c>
      <c r="U10211" t="s">
        <v>26604</v>
      </c>
      <c r="V10211" t="s">
        <v>26610</v>
      </c>
      <c r="X10211">
        <v>573</v>
      </c>
      <c r="Y10211" t="s">
        <v>26652</v>
      </c>
      <c r="Z10211" t="s">
        <v>26669</v>
      </c>
      <c r="AB10211" t="s">
        <v>33858</v>
      </c>
      <c r="AD10211" t="s">
        <v>44708</v>
      </c>
      <c r="AE10211">
        <v>16</v>
      </c>
      <c r="AF10211" t="s">
        <v>45541</v>
      </c>
      <c r="AH10211">
        <v>38</v>
      </c>
      <c r="AI10211">
        <v>2</v>
      </c>
      <c r="AJ10211">
        <v>1</v>
      </c>
      <c r="AK10211">
        <v>56.26</v>
      </c>
      <c r="AN10211" t="s">
        <v>7439</v>
      </c>
      <c r="AO10211">
        <v>12000</v>
      </c>
      <c r="AU10211">
        <v>23.75</v>
      </c>
      <c r="AV10211" t="s">
        <v>833</v>
      </c>
      <c r="AW10211" t="s">
        <v>281</v>
      </c>
    </row>
    <row r="10212" spans="1:50">
      <c r="A10212" s="1">
        <f>HYPERLINK("https://lsnyc.legalserver.org/matter/dynamic-profile/view/1895292","19-1895292")</f>
        <v>0</v>
      </c>
      <c r="B10212" t="s">
        <v>78</v>
      </c>
      <c r="C10212" t="s">
        <v>340</v>
      </c>
      <c r="D10212" t="s">
        <v>779</v>
      </c>
      <c r="F10212" t="s">
        <v>1134</v>
      </c>
      <c r="G10212" t="s">
        <v>6617</v>
      </c>
      <c r="H10212" t="s">
        <v>10611</v>
      </c>
      <c r="I10212" t="s">
        <v>17316</v>
      </c>
      <c r="J10212" t="s">
        <v>18894</v>
      </c>
      <c r="K10212">
        <v>11212</v>
      </c>
      <c r="L10212" t="s">
        <v>18959</v>
      </c>
      <c r="M10212" t="s">
        <v>18959</v>
      </c>
      <c r="O10212" t="s">
        <v>26540</v>
      </c>
      <c r="R10212" t="s">
        <v>26578</v>
      </c>
      <c r="S10212" t="s">
        <v>18958</v>
      </c>
      <c r="U10212" t="s">
        <v>26604</v>
      </c>
      <c r="X10212">
        <v>663</v>
      </c>
      <c r="Y10212" t="s">
        <v>26652</v>
      </c>
      <c r="Z10212" t="s">
        <v>26530</v>
      </c>
      <c r="AB10212" t="s">
        <v>29478</v>
      </c>
      <c r="AE10212">
        <v>0</v>
      </c>
      <c r="AH10212">
        <v>25</v>
      </c>
      <c r="AI10212">
        <v>3</v>
      </c>
      <c r="AJ10212">
        <v>0</v>
      </c>
      <c r="AK10212">
        <v>150.02</v>
      </c>
      <c r="AN10212" t="s">
        <v>7439</v>
      </c>
      <c r="AO10212">
        <v>32000</v>
      </c>
      <c r="AU10212">
        <v>11.5</v>
      </c>
      <c r="AV10212" t="s">
        <v>838</v>
      </c>
      <c r="AW10212" t="s">
        <v>286</v>
      </c>
    </row>
    <row r="10213" spans="1:50">
      <c r="A10213" s="1">
        <f>HYPERLINK("https://lsnyc.legalserver.org/matter/dynamic-profile/view/1895505","19-1895505")</f>
        <v>0</v>
      </c>
      <c r="B10213" t="s">
        <v>286</v>
      </c>
      <c r="C10213" t="s">
        <v>341</v>
      </c>
      <c r="D10213" t="s">
        <v>781</v>
      </c>
      <c r="E10213" t="s">
        <v>822</v>
      </c>
      <c r="F10213" t="s">
        <v>1848</v>
      </c>
      <c r="G10213" t="s">
        <v>3718</v>
      </c>
      <c r="H10213" t="s">
        <v>16569</v>
      </c>
      <c r="I10213" t="s">
        <v>17410</v>
      </c>
      <c r="J10213" t="s">
        <v>18894</v>
      </c>
      <c r="K10213">
        <v>11212</v>
      </c>
      <c r="L10213" t="s">
        <v>18960</v>
      </c>
      <c r="M10213" t="s">
        <v>18959</v>
      </c>
      <c r="P10213" t="s">
        <v>26564</v>
      </c>
      <c r="Q10213" t="s">
        <v>26570</v>
      </c>
      <c r="R10213" t="s">
        <v>26578</v>
      </c>
      <c r="U10213" t="s">
        <v>26604</v>
      </c>
      <c r="X10213">
        <v>0</v>
      </c>
      <c r="Y10213" t="s">
        <v>26652</v>
      </c>
      <c r="Z10213" t="s">
        <v>26659</v>
      </c>
      <c r="AA10213" t="s">
        <v>26683</v>
      </c>
      <c r="AB10213" t="s">
        <v>33859</v>
      </c>
      <c r="AD10213" t="s">
        <v>44709</v>
      </c>
      <c r="AE10213">
        <v>4</v>
      </c>
      <c r="AG10213" t="s">
        <v>19330</v>
      </c>
      <c r="AH10213">
        <v>38</v>
      </c>
      <c r="AI10213">
        <v>1</v>
      </c>
      <c r="AJ10213">
        <v>0</v>
      </c>
      <c r="AK10213">
        <v>208.58</v>
      </c>
      <c r="AN10213" t="s">
        <v>7439</v>
      </c>
      <c r="AO10213">
        <v>26052</v>
      </c>
      <c r="AU10213">
        <v>0.6</v>
      </c>
      <c r="AV10213" t="s">
        <v>781</v>
      </c>
      <c r="AW10213" t="s">
        <v>46842</v>
      </c>
    </row>
    <row r="10214" spans="1:50">
      <c r="A10214" s="1">
        <f>HYPERLINK("https://lsnyc.legalserver.org/matter/dynamic-profile/view/1895455","19-1895455")</f>
        <v>0</v>
      </c>
      <c r="B10214" t="s">
        <v>286</v>
      </c>
      <c r="C10214" t="s">
        <v>341</v>
      </c>
      <c r="D10214" t="s">
        <v>781</v>
      </c>
      <c r="E10214" t="s">
        <v>780</v>
      </c>
      <c r="F10214" t="s">
        <v>1047</v>
      </c>
      <c r="G10214" t="s">
        <v>1000</v>
      </c>
      <c r="H10214" t="s">
        <v>16570</v>
      </c>
      <c r="I10214" t="s">
        <v>17274</v>
      </c>
      <c r="J10214" t="s">
        <v>18894</v>
      </c>
      <c r="K10214">
        <v>11212</v>
      </c>
      <c r="L10214" t="s">
        <v>18960</v>
      </c>
      <c r="M10214" t="s">
        <v>18960</v>
      </c>
      <c r="N10214" t="s">
        <v>25920</v>
      </c>
      <c r="P10214" t="s">
        <v>26564</v>
      </c>
      <c r="Q10214" t="s">
        <v>26570</v>
      </c>
      <c r="R10214" t="s">
        <v>26578</v>
      </c>
      <c r="U10214" t="s">
        <v>26604</v>
      </c>
      <c r="X10214">
        <v>1239</v>
      </c>
      <c r="Y10214" t="s">
        <v>26652</v>
      </c>
      <c r="Z10214" t="s">
        <v>26659</v>
      </c>
      <c r="AA10214" t="s">
        <v>26683</v>
      </c>
      <c r="AB10214" t="s">
        <v>26902</v>
      </c>
      <c r="AD10214" t="s">
        <v>36997</v>
      </c>
      <c r="AE10214">
        <v>12</v>
      </c>
      <c r="AH10214">
        <v>19</v>
      </c>
      <c r="AI10214">
        <v>1</v>
      </c>
      <c r="AJ10214">
        <v>0</v>
      </c>
      <c r="AK10214">
        <v>248.2</v>
      </c>
      <c r="AN10214" t="s">
        <v>7439</v>
      </c>
      <c r="AO10214">
        <v>31000</v>
      </c>
      <c r="AU10214">
        <v>1.1</v>
      </c>
      <c r="AV10214" t="s">
        <v>795</v>
      </c>
      <c r="AW10214" t="s">
        <v>46858</v>
      </c>
    </row>
    <row r="10215" spans="1:50">
      <c r="A10215" s="1">
        <f>HYPERLINK("https://lsnyc.legalserver.org/matter/dynamic-profile/view/1895858","19-1895858")</f>
        <v>0</v>
      </c>
      <c r="B10215" t="s">
        <v>186</v>
      </c>
      <c r="C10215" t="s">
        <v>341</v>
      </c>
      <c r="D10215" t="s">
        <v>781</v>
      </c>
      <c r="E10215" t="s">
        <v>831</v>
      </c>
      <c r="F10215" t="s">
        <v>1081</v>
      </c>
      <c r="G10215" t="s">
        <v>9302</v>
      </c>
      <c r="H10215" t="s">
        <v>16571</v>
      </c>
      <c r="J10215" t="s">
        <v>18894</v>
      </c>
      <c r="K10215">
        <v>11233</v>
      </c>
      <c r="L10215" t="s">
        <v>18960</v>
      </c>
      <c r="M10215" t="s">
        <v>18960</v>
      </c>
      <c r="P10215" t="s">
        <v>26560</v>
      </c>
      <c r="Q10215" t="s">
        <v>26568</v>
      </c>
      <c r="R10215" t="s">
        <v>26586</v>
      </c>
      <c r="U10215" t="s">
        <v>26604</v>
      </c>
      <c r="X10215">
        <v>0</v>
      </c>
      <c r="Y10215" t="s">
        <v>26652</v>
      </c>
      <c r="AA10215" t="s">
        <v>26678</v>
      </c>
      <c r="AB10215" t="s">
        <v>33860</v>
      </c>
      <c r="AD10215" t="s">
        <v>44710</v>
      </c>
      <c r="AE10215">
        <v>0</v>
      </c>
      <c r="AH10215">
        <v>6</v>
      </c>
      <c r="AI10215">
        <v>1</v>
      </c>
      <c r="AJ10215">
        <v>0</v>
      </c>
      <c r="AK10215">
        <v>36.12</v>
      </c>
      <c r="AO10215">
        <v>4512</v>
      </c>
      <c r="AQ10215" t="s">
        <v>46365</v>
      </c>
      <c r="AR10215" t="s">
        <v>46383</v>
      </c>
      <c r="AS10215" t="s">
        <v>46499</v>
      </c>
      <c r="AT10215" t="s">
        <v>46745</v>
      </c>
      <c r="AU10215">
        <v>5</v>
      </c>
      <c r="AV10215" t="s">
        <v>831</v>
      </c>
      <c r="AW10215" t="s">
        <v>46882</v>
      </c>
    </row>
    <row r="10216" spans="1:50">
      <c r="A10216" s="1">
        <f>HYPERLINK("https://lsnyc.legalserver.org/matter/dynamic-profile/view/1895436","19-1895436")</f>
        <v>0</v>
      </c>
      <c r="B10216" t="s">
        <v>284</v>
      </c>
      <c r="C10216" t="s">
        <v>341</v>
      </c>
      <c r="D10216" t="s">
        <v>781</v>
      </c>
      <c r="E10216" t="s">
        <v>811</v>
      </c>
      <c r="F10216" t="s">
        <v>4768</v>
      </c>
      <c r="G10216" t="s">
        <v>9303</v>
      </c>
      <c r="H10216" t="s">
        <v>16572</v>
      </c>
      <c r="I10216" t="s">
        <v>17401</v>
      </c>
      <c r="J10216" t="s">
        <v>18892</v>
      </c>
      <c r="K10216">
        <v>10462</v>
      </c>
      <c r="L10216" t="s">
        <v>18960</v>
      </c>
      <c r="M10216" t="s">
        <v>18960</v>
      </c>
      <c r="N10216" t="s">
        <v>25921</v>
      </c>
      <c r="O10216" t="s">
        <v>26524</v>
      </c>
      <c r="Q10216" t="s">
        <v>26570</v>
      </c>
      <c r="R10216" t="s">
        <v>26591</v>
      </c>
      <c r="U10216" t="s">
        <v>26604</v>
      </c>
      <c r="X10216">
        <v>1300</v>
      </c>
      <c r="Y10216" t="s">
        <v>26650</v>
      </c>
      <c r="AA10216" t="s">
        <v>26683</v>
      </c>
      <c r="AB10216" t="s">
        <v>33861</v>
      </c>
      <c r="AD10216" t="s">
        <v>44711</v>
      </c>
      <c r="AE10216">
        <v>0</v>
      </c>
      <c r="AF10216" t="s">
        <v>45547</v>
      </c>
      <c r="AG10216" t="s">
        <v>19330</v>
      </c>
      <c r="AH10216">
        <v>6</v>
      </c>
      <c r="AI10216">
        <v>1</v>
      </c>
      <c r="AJ10216">
        <v>1</v>
      </c>
      <c r="AK10216">
        <v>20.01</v>
      </c>
      <c r="AN10216" t="s">
        <v>7439</v>
      </c>
      <c r="AO10216">
        <v>3384</v>
      </c>
      <c r="AU10216">
        <v>1</v>
      </c>
      <c r="AV10216" t="s">
        <v>781</v>
      </c>
      <c r="AW10216" t="s">
        <v>46859</v>
      </c>
    </row>
    <row r="10217" spans="1:50">
      <c r="A10217" s="1">
        <f>HYPERLINK("https://lsnyc.legalserver.org/matter/dynamic-profile/view/1895446","19-1895446")</f>
        <v>0</v>
      </c>
      <c r="B10217" t="s">
        <v>263</v>
      </c>
      <c r="C10217" t="s">
        <v>341</v>
      </c>
      <c r="D10217" t="s">
        <v>781</v>
      </c>
      <c r="E10217" t="s">
        <v>767</v>
      </c>
      <c r="F10217" t="s">
        <v>1002</v>
      </c>
      <c r="G10217" t="s">
        <v>5331</v>
      </c>
      <c r="H10217" t="s">
        <v>16573</v>
      </c>
      <c r="I10217" t="s">
        <v>17630</v>
      </c>
      <c r="J10217" t="s">
        <v>18892</v>
      </c>
      <c r="K10217">
        <v>10455</v>
      </c>
      <c r="L10217" t="s">
        <v>18958</v>
      </c>
      <c r="M10217" t="s">
        <v>18958</v>
      </c>
      <c r="O10217" t="s">
        <v>18997</v>
      </c>
      <c r="P10217" t="s">
        <v>26564</v>
      </c>
      <c r="Q10217" t="s">
        <v>26570</v>
      </c>
      <c r="R10217" t="s">
        <v>26583</v>
      </c>
      <c r="S10217" t="s">
        <v>18959</v>
      </c>
      <c r="U10217" t="s">
        <v>26604</v>
      </c>
      <c r="X10217">
        <v>1008</v>
      </c>
      <c r="Y10217" t="s">
        <v>26650</v>
      </c>
      <c r="Z10217" t="s">
        <v>26668</v>
      </c>
      <c r="AA10217" t="s">
        <v>26683</v>
      </c>
      <c r="AB10217" t="s">
        <v>31144</v>
      </c>
      <c r="AD10217" t="s">
        <v>44712</v>
      </c>
      <c r="AE10217">
        <v>143</v>
      </c>
      <c r="AF10217" t="s">
        <v>45549</v>
      </c>
      <c r="AG10217" t="s">
        <v>19330</v>
      </c>
      <c r="AH10217">
        <v>5</v>
      </c>
      <c r="AI10217">
        <v>1</v>
      </c>
      <c r="AJ10217">
        <v>0</v>
      </c>
      <c r="AK10217">
        <v>249.8</v>
      </c>
      <c r="AN10217" t="s">
        <v>7439</v>
      </c>
      <c r="AO10217">
        <v>31200</v>
      </c>
      <c r="AU10217">
        <v>1.75</v>
      </c>
      <c r="AV10217" t="s">
        <v>781</v>
      </c>
      <c r="AW10217" t="s">
        <v>263</v>
      </c>
    </row>
    <row r="10218" spans="1:50">
      <c r="A10218" s="1">
        <f>HYPERLINK("https://lsnyc.legalserver.org/matter/dynamic-profile/view/1895429","19-1895429")</f>
        <v>0</v>
      </c>
      <c r="B10218" t="s">
        <v>61</v>
      </c>
      <c r="C10218" t="s">
        <v>340</v>
      </c>
      <c r="D10218" t="s">
        <v>781</v>
      </c>
      <c r="F10218" t="s">
        <v>871</v>
      </c>
      <c r="G10218" t="s">
        <v>9304</v>
      </c>
      <c r="H10218" t="s">
        <v>16574</v>
      </c>
      <c r="I10218" t="s">
        <v>18195</v>
      </c>
      <c r="J10218" t="s">
        <v>18893</v>
      </c>
      <c r="K10218">
        <v>10012</v>
      </c>
      <c r="L10218" t="s">
        <v>18959</v>
      </c>
      <c r="M10218" t="s">
        <v>18960</v>
      </c>
      <c r="N10218" t="s">
        <v>25922</v>
      </c>
      <c r="O10218" t="s">
        <v>26523</v>
      </c>
      <c r="P10218" t="s">
        <v>26565</v>
      </c>
      <c r="R10218" t="s">
        <v>26589</v>
      </c>
      <c r="S10218" t="s">
        <v>18959</v>
      </c>
      <c r="U10218" t="s">
        <v>26604</v>
      </c>
      <c r="V10218" t="s">
        <v>26610</v>
      </c>
      <c r="X10218">
        <v>757.71</v>
      </c>
      <c r="Y10218" t="s">
        <v>26651</v>
      </c>
      <c r="Z10218" t="s">
        <v>26671</v>
      </c>
      <c r="AB10218" t="s">
        <v>33862</v>
      </c>
      <c r="AD10218" t="s">
        <v>44713</v>
      </c>
      <c r="AE10218">
        <v>92</v>
      </c>
      <c r="AF10218" t="s">
        <v>20460</v>
      </c>
      <c r="AG10218" t="s">
        <v>19330</v>
      </c>
      <c r="AH10218">
        <v>12</v>
      </c>
      <c r="AI10218">
        <v>2</v>
      </c>
      <c r="AJ10218">
        <v>0</v>
      </c>
      <c r="AK10218">
        <v>0</v>
      </c>
      <c r="AN10218" t="s">
        <v>7439</v>
      </c>
      <c r="AO10218">
        <v>0</v>
      </c>
      <c r="AU10218">
        <v>19.6</v>
      </c>
      <c r="AV10218" t="s">
        <v>839</v>
      </c>
      <c r="AW10218" t="s">
        <v>46835</v>
      </c>
      <c r="AX10218" t="s">
        <v>19330</v>
      </c>
    </row>
    <row r="10219" spans="1:50">
      <c r="A10219" s="1">
        <f>HYPERLINK("https://lsnyc.legalserver.org/matter/dynamic-profile/view/1895548","19-1895548")</f>
        <v>0</v>
      </c>
      <c r="B10219" t="s">
        <v>67</v>
      </c>
      <c r="C10219" t="s">
        <v>340</v>
      </c>
      <c r="D10219" t="s">
        <v>781</v>
      </c>
      <c r="F10219" t="s">
        <v>4769</v>
      </c>
      <c r="G10219" t="s">
        <v>6613</v>
      </c>
      <c r="H10219" t="s">
        <v>16575</v>
      </c>
      <c r="I10219" t="s">
        <v>17435</v>
      </c>
      <c r="J10219" t="s">
        <v>18892</v>
      </c>
      <c r="K10219">
        <v>10453</v>
      </c>
      <c r="L10219" t="s">
        <v>18960</v>
      </c>
      <c r="M10219" t="s">
        <v>18960</v>
      </c>
      <c r="R10219" t="s">
        <v>26591</v>
      </c>
      <c r="U10219" t="s">
        <v>26607</v>
      </c>
      <c r="X10219">
        <v>1483</v>
      </c>
      <c r="Y10219" t="s">
        <v>26650</v>
      </c>
      <c r="AB10219" t="s">
        <v>33863</v>
      </c>
      <c r="AD10219" t="s">
        <v>44714</v>
      </c>
      <c r="AE10219">
        <v>0</v>
      </c>
      <c r="AG10219" t="s">
        <v>45556</v>
      </c>
      <c r="AH10219">
        <v>12</v>
      </c>
      <c r="AI10219">
        <v>2</v>
      </c>
      <c r="AJ10219">
        <v>2</v>
      </c>
      <c r="AK10219">
        <v>48.47</v>
      </c>
      <c r="AN10219" t="s">
        <v>7439</v>
      </c>
      <c r="AO10219">
        <v>12480</v>
      </c>
      <c r="AU10219">
        <v>1</v>
      </c>
      <c r="AV10219" t="s">
        <v>781</v>
      </c>
      <c r="AW10219" t="s">
        <v>46887</v>
      </c>
    </row>
    <row r="10220" spans="1:50">
      <c r="A10220" s="1">
        <f>HYPERLINK("https://lsnyc.legalserver.org/matter/dynamic-profile/view/1895483","19-1895483")</f>
        <v>0</v>
      </c>
      <c r="B10220" t="s">
        <v>294</v>
      </c>
      <c r="C10220" t="s">
        <v>340</v>
      </c>
      <c r="D10220" t="s">
        <v>781</v>
      </c>
      <c r="F10220" t="s">
        <v>1376</v>
      </c>
      <c r="G10220" t="s">
        <v>9305</v>
      </c>
      <c r="H10220" t="s">
        <v>16576</v>
      </c>
      <c r="I10220" t="s">
        <v>17325</v>
      </c>
      <c r="J10220" t="s">
        <v>18900</v>
      </c>
      <c r="K10220">
        <v>11354</v>
      </c>
      <c r="L10220" t="s">
        <v>18960</v>
      </c>
      <c r="M10220" t="s">
        <v>18960</v>
      </c>
      <c r="N10220" t="s">
        <v>25923</v>
      </c>
      <c r="O10220" t="s">
        <v>26523</v>
      </c>
      <c r="P10220" t="s">
        <v>26560</v>
      </c>
      <c r="R10220" t="s">
        <v>26578</v>
      </c>
      <c r="S10220" t="s">
        <v>18959</v>
      </c>
      <c r="U10220" t="s">
        <v>26604</v>
      </c>
      <c r="X10220">
        <v>1439</v>
      </c>
      <c r="Y10220" t="s">
        <v>26653</v>
      </c>
      <c r="Z10220" t="s">
        <v>26530</v>
      </c>
      <c r="AB10220" t="s">
        <v>27203</v>
      </c>
      <c r="AD10220" t="s">
        <v>44715</v>
      </c>
      <c r="AE10220">
        <v>0</v>
      </c>
      <c r="AF10220" t="s">
        <v>45541</v>
      </c>
      <c r="AG10220" t="s">
        <v>19330</v>
      </c>
      <c r="AH10220">
        <v>25</v>
      </c>
      <c r="AI10220">
        <v>2</v>
      </c>
      <c r="AJ10220">
        <v>1</v>
      </c>
      <c r="AK10220">
        <v>0</v>
      </c>
      <c r="AN10220" t="s">
        <v>7439</v>
      </c>
      <c r="AO10220">
        <v>0</v>
      </c>
      <c r="AU10220">
        <v>12.26</v>
      </c>
      <c r="AV10220" t="s">
        <v>834</v>
      </c>
      <c r="AW10220" t="s">
        <v>46860</v>
      </c>
    </row>
    <row r="10221" spans="1:50">
      <c r="A10221" s="1">
        <f>HYPERLINK("https://lsnyc.legalserver.org/matter/dynamic-profile/view/1895500","19-1895500")</f>
        <v>0</v>
      </c>
      <c r="B10221" t="s">
        <v>68</v>
      </c>
      <c r="C10221" t="s">
        <v>340</v>
      </c>
      <c r="D10221" t="s">
        <v>781</v>
      </c>
      <c r="F10221" t="s">
        <v>1592</v>
      </c>
      <c r="G10221" t="s">
        <v>6102</v>
      </c>
      <c r="H10221" t="s">
        <v>16459</v>
      </c>
      <c r="I10221" t="s">
        <v>18159</v>
      </c>
      <c r="J10221" t="s">
        <v>18892</v>
      </c>
      <c r="K10221">
        <v>10458</v>
      </c>
      <c r="L10221" t="s">
        <v>18958</v>
      </c>
      <c r="M10221" t="s">
        <v>18958</v>
      </c>
      <c r="N10221" t="s">
        <v>25924</v>
      </c>
      <c r="O10221" t="s">
        <v>26523</v>
      </c>
      <c r="P10221" t="s">
        <v>26564</v>
      </c>
      <c r="R10221" t="s">
        <v>26577</v>
      </c>
      <c r="S10221" t="s">
        <v>18959</v>
      </c>
      <c r="U10221" t="s">
        <v>26604</v>
      </c>
      <c r="V10221" t="s">
        <v>26610</v>
      </c>
      <c r="X10221">
        <v>1793.36</v>
      </c>
      <c r="Y10221" t="s">
        <v>26650</v>
      </c>
      <c r="Z10221" t="s">
        <v>26668</v>
      </c>
      <c r="AB10221" t="s">
        <v>32064</v>
      </c>
      <c r="AE10221">
        <v>32</v>
      </c>
      <c r="AF10221" t="s">
        <v>20460</v>
      </c>
      <c r="AG10221" t="s">
        <v>45562</v>
      </c>
      <c r="AH10221">
        <v>3</v>
      </c>
      <c r="AI10221">
        <v>2</v>
      </c>
      <c r="AJ10221">
        <v>0</v>
      </c>
      <c r="AK10221">
        <v>75.40000000000001</v>
      </c>
      <c r="AN10221" t="s">
        <v>7439</v>
      </c>
      <c r="AO10221">
        <v>12750</v>
      </c>
      <c r="AP10221" t="s">
        <v>46271</v>
      </c>
      <c r="AU10221">
        <v>1.2</v>
      </c>
      <c r="AV10221" t="s">
        <v>763</v>
      </c>
      <c r="AW10221" t="s">
        <v>46831</v>
      </c>
    </row>
    <row r="10222" spans="1:50">
      <c r="A10222" s="1">
        <f>HYPERLINK("https://lsnyc.legalserver.org/matter/dynamic-profile/view/1894927","19-1894927")</f>
        <v>0</v>
      </c>
      <c r="B10222" t="s">
        <v>253</v>
      </c>
      <c r="C10222" t="s">
        <v>340</v>
      </c>
      <c r="D10222" t="s">
        <v>781</v>
      </c>
      <c r="F10222" t="s">
        <v>1401</v>
      </c>
      <c r="G10222" t="s">
        <v>5691</v>
      </c>
      <c r="H10222" t="s">
        <v>16577</v>
      </c>
      <c r="I10222" t="s">
        <v>17646</v>
      </c>
      <c r="J10222" t="s">
        <v>18892</v>
      </c>
      <c r="K10222">
        <v>10457</v>
      </c>
      <c r="L10222" t="s">
        <v>18958</v>
      </c>
      <c r="M10222" t="s">
        <v>18958</v>
      </c>
      <c r="N10222" t="s">
        <v>25925</v>
      </c>
      <c r="O10222" t="s">
        <v>26524</v>
      </c>
      <c r="P10222" t="s">
        <v>26564</v>
      </c>
      <c r="R10222" t="s">
        <v>26579</v>
      </c>
      <c r="S10222" t="s">
        <v>18959</v>
      </c>
      <c r="U10222" t="s">
        <v>26604</v>
      </c>
      <c r="X10222">
        <v>198</v>
      </c>
      <c r="Y10222" t="s">
        <v>26650</v>
      </c>
      <c r="Z10222" t="s">
        <v>26668</v>
      </c>
      <c r="AB10222" t="s">
        <v>33864</v>
      </c>
      <c r="AD10222" t="s">
        <v>44716</v>
      </c>
      <c r="AE10222">
        <v>0</v>
      </c>
      <c r="AF10222" t="s">
        <v>20460</v>
      </c>
      <c r="AH10222">
        <v>1</v>
      </c>
      <c r="AI10222">
        <v>1</v>
      </c>
      <c r="AJ10222">
        <v>0</v>
      </c>
      <c r="AK10222">
        <v>82.43000000000001</v>
      </c>
      <c r="AN10222" t="s">
        <v>45581</v>
      </c>
      <c r="AO10222">
        <v>10296</v>
      </c>
      <c r="AU10222">
        <v>3.25</v>
      </c>
      <c r="AV10222" t="s">
        <v>760</v>
      </c>
      <c r="AW10222" t="s">
        <v>329</v>
      </c>
    </row>
    <row r="10223" spans="1:50">
      <c r="A10223" s="1">
        <f>HYPERLINK("https://lsnyc.legalserver.org/matter/dynamic-profile/view/1894814","19-1894814")</f>
        <v>0</v>
      </c>
      <c r="B10223" t="s">
        <v>102</v>
      </c>
      <c r="C10223" t="s">
        <v>340</v>
      </c>
      <c r="D10223" t="s">
        <v>781</v>
      </c>
      <c r="F10223" t="s">
        <v>1228</v>
      </c>
      <c r="G10223" t="s">
        <v>5748</v>
      </c>
      <c r="H10223" t="s">
        <v>16578</v>
      </c>
      <c r="I10223" t="s">
        <v>17435</v>
      </c>
      <c r="J10223" t="s">
        <v>18902</v>
      </c>
      <c r="K10223">
        <v>10301</v>
      </c>
      <c r="L10223" t="s">
        <v>18958</v>
      </c>
      <c r="M10223" t="s">
        <v>18958</v>
      </c>
      <c r="N10223" t="s">
        <v>25926</v>
      </c>
      <c r="O10223" t="s">
        <v>26523</v>
      </c>
      <c r="P10223" t="s">
        <v>26560</v>
      </c>
      <c r="R10223" t="s">
        <v>26578</v>
      </c>
      <c r="S10223" t="s">
        <v>18959</v>
      </c>
      <c r="U10223" t="s">
        <v>26604</v>
      </c>
      <c r="V10223" t="s">
        <v>26610</v>
      </c>
      <c r="X10223">
        <v>2037</v>
      </c>
      <c r="Y10223" t="s">
        <v>26654</v>
      </c>
      <c r="Z10223" t="s">
        <v>26668</v>
      </c>
      <c r="AB10223" t="s">
        <v>33865</v>
      </c>
      <c r="AD10223" t="s">
        <v>44717</v>
      </c>
      <c r="AE10223">
        <v>3</v>
      </c>
      <c r="AF10223" t="s">
        <v>45547</v>
      </c>
      <c r="AG10223" t="s">
        <v>19330</v>
      </c>
      <c r="AH10223">
        <v>1</v>
      </c>
      <c r="AI10223">
        <v>2</v>
      </c>
      <c r="AJ10223">
        <v>5</v>
      </c>
      <c r="AK10223">
        <v>79.98</v>
      </c>
      <c r="AN10223" t="s">
        <v>45581</v>
      </c>
      <c r="AO10223">
        <v>31200</v>
      </c>
      <c r="AU10223">
        <v>7.5</v>
      </c>
      <c r="AV10223" t="s">
        <v>806</v>
      </c>
      <c r="AW10223" t="s">
        <v>46883</v>
      </c>
    </row>
    <row r="10224" spans="1:50">
      <c r="A10224" s="1">
        <f>HYPERLINK("https://lsnyc.legalserver.org/matter/dynamic-profile/view/1895537","19-1895537")</f>
        <v>0</v>
      </c>
      <c r="B10224" t="s">
        <v>115</v>
      </c>
      <c r="C10224" t="s">
        <v>340</v>
      </c>
      <c r="D10224" t="s">
        <v>781</v>
      </c>
      <c r="F10224" t="s">
        <v>1074</v>
      </c>
      <c r="G10224" t="s">
        <v>9306</v>
      </c>
      <c r="H10224" t="s">
        <v>16579</v>
      </c>
      <c r="I10224" t="s">
        <v>17275</v>
      </c>
      <c r="J10224" t="s">
        <v>18892</v>
      </c>
      <c r="K10224">
        <v>10460</v>
      </c>
      <c r="L10224" t="s">
        <v>18958</v>
      </c>
      <c r="M10224" t="s">
        <v>18958</v>
      </c>
      <c r="N10224" t="s">
        <v>25927</v>
      </c>
      <c r="O10224" t="s">
        <v>26523</v>
      </c>
      <c r="P10224" t="s">
        <v>26564</v>
      </c>
      <c r="R10224" t="s">
        <v>26578</v>
      </c>
      <c r="S10224" t="s">
        <v>18959</v>
      </c>
      <c r="U10224" t="s">
        <v>26604</v>
      </c>
      <c r="V10224" t="s">
        <v>26612</v>
      </c>
      <c r="X10224">
        <v>10</v>
      </c>
      <c r="Y10224" t="s">
        <v>26650</v>
      </c>
      <c r="Z10224" t="s">
        <v>26668</v>
      </c>
      <c r="AB10224" t="s">
        <v>33866</v>
      </c>
      <c r="AD10224" t="s">
        <v>44718</v>
      </c>
      <c r="AE10224">
        <v>0</v>
      </c>
      <c r="AF10224" t="s">
        <v>45541</v>
      </c>
      <c r="AH10224">
        <v>0</v>
      </c>
      <c r="AI10224">
        <v>2</v>
      </c>
      <c r="AJ10224">
        <v>0</v>
      </c>
      <c r="AK10224">
        <v>54.71</v>
      </c>
      <c r="AN10224" t="s">
        <v>7439</v>
      </c>
      <c r="AO10224">
        <v>9252</v>
      </c>
      <c r="AP10224" t="s">
        <v>46011</v>
      </c>
      <c r="AU10224">
        <v>0.75</v>
      </c>
      <c r="AV10224" t="s">
        <v>781</v>
      </c>
      <c r="AW10224" t="s">
        <v>46831</v>
      </c>
    </row>
    <row r="10225" spans="1:50">
      <c r="A10225" s="1">
        <f>HYPERLINK("https://lsnyc.legalserver.org/matter/dynamic-profile/view/1895441","19-1895441")</f>
        <v>0</v>
      </c>
      <c r="B10225" t="s">
        <v>104</v>
      </c>
      <c r="C10225" t="s">
        <v>340</v>
      </c>
      <c r="D10225" t="s">
        <v>781</v>
      </c>
      <c r="F10225" t="s">
        <v>1235</v>
      </c>
      <c r="G10225" t="s">
        <v>9307</v>
      </c>
      <c r="H10225" t="s">
        <v>16580</v>
      </c>
      <c r="I10225" t="s">
        <v>18343</v>
      </c>
      <c r="J10225" t="s">
        <v>18902</v>
      </c>
      <c r="K10225">
        <v>10306</v>
      </c>
      <c r="L10225" t="s">
        <v>18959</v>
      </c>
      <c r="M10225" t="s">
        <v>18958</v>
      </c>
      <c r="N10225" t="s">
        <v>25928</v>
      </c>
      <c r="O10225" t="s">
        <v>26523</v>
      </c>
      <c r="P10225" t="s">
        <v>26560</v>
      </c>
      <c r="R10225" t="s">
        <v>26578</v>
      </c>
      <c r="S10225" t="s">
        <v>18959</v>
      </c>
      <c r="U10225" t="s">
        <v>26604</v>
      </c>
      <c r="V10225" t="s">
        <v>26610</v>
      </c>
      <c r="X10225">
        <v>1200</v>
      </c>
      <c r="Y10225" t="s">
        <v>26654</v>
      </c>
      <c r="Z10225" t="s">
        <v>26668</v>
      </c>
      <c r="AB10225" t="s">
        <v>33867</v>
      </c>
      <c r="AE10225">
        <v>0</v>
      </c>
      <c r="AH10225">
        <v>2</v>
      </c>
      <c r="AI10225">
        <v>2</v>
      </c>
      <c r="AJ10225">
        <v>0</v>
      </c>
      <c r="AK10225">
        <v>114.96</v>
      </c>
      <c r="AN10225" t="s">
        <v>7439</v>
      </c>
      <c r="AO10225">
        <v>19440</v>
      </c>
      <c r="AU10225">
        <v>7.35</v>
      </c>
      <c r="AV10225" t="s">
        <v>833</v>
      </c>
      <c r="AW10225" t="s">
        <v>104</v>
      </c>
    </row>
    <row r="10226" spans="1:50">
      <c r="A10226" s="1">
        <f>HYPERLINK("https://lsnyc.legalserver.org/matter/dynamic-profile/view/1895469","19-1895469")</f>
        <v>0</v>
      </c>
      <c r="B10226" t="s">
        <v>69</v>
      </c>
      <c r="C10226" t="s">
        <v>340</v>
      </c>
      <c r="D10226" t="s">
        <v>781</v>
      </c>
      <c r="F10226" t="s">
        <v>952</v>
      </c>
      <c r="G10226" t="s">
        <v>6346</v>
      </c>
      <c r="H10226" t="s">
        <v>10815</v>
      </c>
      <c r="I10226" t="s">
        <v>18161</v>
      </c>
      <c r="J10226" t="s">
        <v>18892</v>
      </c>
      <c r="K10226">
        <v>10453</v>
      </c>
      <c r="L10226" t="s">
        <v>18958</v>
      </c>
      <c r="M10226" t="s">
        <v>18958</v>
      </c>
      <c r="N10226" t="s">
        <v>25929</v>
      </c>
      <c r="O10226" t="s">
        <v>26526</v>
      </c>
      <c r="P10226" t="s">
        <v>26563</v>
      </c>
      <c r="R10226" t="s">
        <v>26577</v>
      </c>
      <c r="U10226" t="s">
        <v>26604</v>
      </c>
      <c r="V10226" t="s">
        <v>26610</v>
      </c>
      <c r="X10226">
        <v>1174</v>
      </c>
      <c r="Y10226" t="s">
        <v>26650</v>
      </c>
      <c r="Z10226" t="s">
        <v>26668</v>
      </c>
      <c r="AB10226" t="s">
        <v>27663</v>
      </c>
      <c r="AD10226" t="s">
        <v>44719</v>
      </c>
      <c r="AE10226">
        <v>43</v>
      </c>
      <c r="AF10226" t="s">
        <v>20460</v>
      </c>
      <c r="AH10226">
        <v>0</v>
      </c>
      <c r="AI10226">
        <v>1</v>
      </c>
      <c r="AJ10226">
        <v>1</v>
      </c>
      <c r="AK10226">
        <v>105.31</v>
      </c>
      <c r="AN10226" t="s">
        <v>7439</v>
      </c>
      <c r="AO10226">
        <v>17808</v>
      </c>
      <c r="AU10226">
        <v>2</v>
      </c>
      <c r="AV10226" t="s">
        <v>794</v>
      </c>
      <c r="AW10226" t="s">
        <v>334</v>
      </c>
    </row>
    <row r="10227" spans="1:50">
      <c r="A10227" s="1">
        <f>HYPERLINK("https://lsnyc.legalserver.org/matter/dynamic-profile/view/1895525","19-1895525")</f>
        <v>0</v>
      </c>
      <c r="B10227" t="s">
        <v>175</v>
      </c>
      <c r="C10227" t="s">
        <v>340</v>
      </c>
      <c r="D10227" t="s">
        <v>781</v>
      </c>
      <c r="F10227" t="s">
        <v>1538</v>
      </c>
      <c r="G10227" t="s">
        <v>9308</v>
      </c>
      <c r="H10227" t="s">
        <v>16581</v>
      </c>
      <c r="I10227">
        <v>329</v>
      </c>
      <c r="J10227" t="s">
        <v>18894</v>
      </c>
      <c r="K10227">
        <v>11224</v>
      </c>
      <c r="L10227" t="s">
        <v>18960</v>
      </c>
      <c r="M10227" t="s">
        <v>18960</v>
      </c>
      <c r="O10227" t="s">
        <v>26542</v>
      </c>
      <c r="P10227" t="s">
        <v>26563</v>
      </c>
      <c r="R10227" t="s">
        <v>26586</v>
      </c>
      <c r="U10227" t="s">
        <v>26606</v>
      </c>
      <c r="X10227">
        <v>0</v>
      </c>
      <c r="Y10227" t="s">
        <v>26652</v>
      </c>
      <c r="AB10227" t="s">
        <v>31138</v>
      </c>
      <c r="AE10227">
        <v>0</v>
      </c>
      <c r="AG10227" t="s">
        <v>45556</v>
      </c>
      <c r="AH10227">
        <v>0</v>
      </c>
      <c r="AI10227">
        <v>1</v>
      </c>
      <c r="AJ10227">
        <v>0</v>
      </c>
      <c r="AK10227">
        <v>83.68000000000001</v>
      </c>
      <c r="AN10227" t="s">
        <v>45586</v>
      </c>
      <c r="AO10227">
        <v>10452</v>
      </c>
      <c r="AU10227">
        <v>11.75</v>
      </c>
      <c r="AV10227" t="s">
        <v>828</v>
      </c>
      <c r="AW10227" t="s">
        <v>175</v>
      </c>
    </row>
    <row r="10228" spans="1:50">
      <c r="A10228" s="1">
        <f>HYPERLINK("https://lsnyc.legalserver.org/matter/dynamic-profile/view/1895115","19-1895115")</f>
        <v>0</v>
      </c>
      <c r="B10228" t="s">
        <v>325</v>
      </c>
      <c r="C10228" t="s">
        <v>341</v>
      </c>
      <c r="D10228" t="s">
        <v>794</v>
      </c>
      <c r="E10228" t="s">
        <v>794</v>
      </c>
      <c r="F10228" t="s">
        <v>2405</v>
      </c>
      <c r="G10228" t="s">
        <v>5008</v>
      </c>
      <c r="H10228" t="s">
        <v>16582</v>
      </c>
      <c r="J10228" t="s">
        <v>18894</v>
      </c>
      <c r="K10228">
        <v>11237</v>
      </c>
      <c r="L10228" t="s">
        <v>18960</v>
      </c>
      <c r="M10228" t="s">
        <v>18960</v>
      </c>
      <c r="Q10228" t="s">
        <v>26570</v>
      </c>
      <c r="R10228" t="s">
        <v>26583</v>
      </c>
      <c r="U10228" t="s">
        <v>26604</v>
      </c>
      <c r="X10228">
        <v>0</v>
      </c>
      <c r="Y10228" t="s">
        <v>26652</v>
      </c>
      <c r="AA10228" t="s">
        <v>26683</v>
      </c>
      <c r="AB10228" t="s">
        <v>33868</v>
      </c>
      <c r="AE10228">
        <v>0</v>
      </c>
      <c r="AH10228">
        <v>0</v>
      </c>
      <c r="AI10228">
        <v>1</v>
      </c>
      <c r="AJ10228">
        <v>0</v>
      </c>
      <c r="AK10228">
        <v>288.23</v>
      </c>
      <c r="AN10228" t="s">
        <v>7439</v>
      </c>
      <c r="AO10228">
        <v>36000</v>
      </c>
      <c r="AU10228">
        <v>2.1</v>
      </c>
      <c r="AV10228" t="s">
        <v>794</v>
      </c>
      <c r="AW10228" t="s">
        <v>46874</v>
      </c>
    </row>
    <row r="10229" spans="1:50">
      <c r="A10229" s="1">
        <f>HYPERLINK("https://lsnyc.legalserver.org/matter/dynamic-profile/view/1895611","19-1895611")</f>
        <v>0</v>
      </c>
      <c r="B10229" t="s">
        <v>179</v>
      </c>
      <c r="C10229" t="s">
        <v>341</v>
      </c>
      <c r="D10229" t="s">
        <v>794</v>
      </c>
      <c r="E10229" t="s">
        <v>810</v>
      </c>
      <c r="F10229" t="s">
        <v>1228</v>
      </c>
      <c r="G10229" t="s">
        <v>9309</v>
      </c>
      <c r="H10229" t="s">
        <v>16583</v>
      </c>
      <c r="I10229" t="s">
        <v>17871</v>
      </c>
      <c r="J10229" t="s">
        <v>18894</v>
      </c>
      <c r="K10229">
        <v>11220</v>
      </c>
      <c r="L10229" t="s">
        <v>18960</v>
      </c>
      <c r="M10229" t="s">
        <v>18960</v>
      </c>
      <c r="P10229" t="s">
        <v>26564</v>
      </c>
      <c r="Q10229" t="s">
        <v>26570</v>
      </c>
      <c r="R10229" t="s">
        <v>26583</v>
      </c>
      <c r="U10229" t="s">
        <v>26604</v>
      </c>
      <c r="X10229">
        <v>1850</v>
      </c>
      <c r="Y10229" t="s">
        <v>26652</v>
      </c>
      <c r="Z10229" t="s">
        <v>26657</v>
      </c>
      <c r="AA10229" t="s">
        <v>26683</v>
      </c>
      <c r="AB10229" t="s">
        <v>33869</v>
      </c>
      <c r="AD10229" t="s">
        <v>44720</v>
      </c>
      <c r="AE10229">
        <v>21</v>
      </c>
      <c r="AF10229" t="s">
        <v>20460</v>
      </c>
      <c r="AH10229">
        <v>2</v>
      </c>
      <c r="AI10229">
        <v>1</v>
      </c>
      <c r="AJ10229">
        <v>0</v>
      </c>
      <c r="AK10229">
        <v>376.78</v>
      </c>
      <c r="AN10229" t="s">
        <v>7439</v>
      </c>
      <c r="AO10229">
        <v>47059.56</v>
      </c>
      <c r="AU10229">
        <v>6.6</v>
      </c>
      <c r="AV10229" t="s">
        <v>810</v>
      </c>
      <c r="AW10229" t="s">
        <v>46849</v>
      </c>
    </row>
    <row r="10230" spans="1:50">
      <c r="A10230" s="1">
        <f>HYPERLINK("https://lsnyc.legalserver.org/matter/dynamic-profile/view/1895714","19-1895714")</f>
        <v>0</v>
      </c>
      <c r="B10230" t="s">
        <v>75</v>
      </c>
      <c r="C10230" t="s">
        <v>341</v>
      </c>
      <c r="D10230" t="s">
        <v>794</v>
      </c>
      <c r="E10230" t="s">
        <v>810</v>
      </c>
      <c r="F10230" t="s">
        <v>4770</v>
      </c>
      <c r="G10230" t="s">
        <v>9310</v>
      </c>
      <c r="H10230" t="s">
        <v>13880</v>
      </c>
      <c r="I10230" t="s">
        <v>17313</v>
      </c>
      <c r="J10230" t="s">
        <v>18892</v>
      </c>
      <c r="K10230">
        <v>10462</v>
      </c>
      <c r="L10230" t="s">
        <v>18960</v>
      </c>
      <c r="M10230" t="s">
        <v>18960</v>
      </c>
      <c r="N10230" t="s">
        <v>25930</v>
      </c>
      <c r="O10230" t="s">
        <v>26523</v>
      </c>
      <c r="P10230" t="s">
        <v>26560</v>
      </c>
      <c r="Q10230" t="s">
        <v>26568</v>
      </c>
      <c r="R10230" t="s">
        <v>26579</v>
      </c>
      <c r="S10230" t="s">
        <v>18959</v>
      </c>
      <c r="U10230" t="s">
        <v>26604</v>
      </c>
      <c r="V10230" t="s">
        <v>26611</v>
      </c>
      <c r="X10230">
        <v>1900</v>
      </c>
      <c r="Y10230" t="s">
        <v>26650</v>
      </c>
      <c r="Z10230" t="s">
        <v>26655</v>
      </c>
      <c r="AA10230" t="s">
        <v>26678</v>
      </c>
      <c r="AB10230" t="s">
        <v>33870</v>
      </c>
      <c r="AE10230">
        <v>0</v>
      </c>
      <c r="AF10230" t="s">
        <v>45541</v>
      </c>
      <c r="AG10230" t="s">
        <v>19330</v>
      </c>
      <c r="AH10230">
        <v>3</v>
      </c>
      <c r="AI10230">
        <v>1</v>
      </c>
      <c r="AJ10230">
        <v>0</v>
      </c>
      <c r="AK10230">
        <v>96.08</v>
      </c>
      <c r="AN10230" t="s">
        <v>45581</v>
      </c>
      <c r="AO10230">
        <v>12000</v>
      </c>
      <c r="AP10230" t="s">
        <v>46272</v>
      </c>
      <c r="AS10230" t="s">
        <v>46499</v>
      </c>
      <c r="AU10230">
        <v>33.9</v>
      </c>
      <c r="AV10230" t="s">
        <v>766</v>
      </c>
      <c r="AW10230" t="s">
        <v>46881</v>
      </c>
    </row>
    <row r="10231" spans="1:50">
      <c r="A10231" s="1">
        <f>HYPERLINK("https://lsnyc.legalserver.org/matter/dynamic-profile/view/1895589","19-1895589")</f>
        <v>0</v>
      </c>
      <c r="B10231" t="s">
        <v>254</v>
      </c>
      <c r="C10231" t="s">
        <v>341</v>
      </c>
      <c r="D10231" t="s">
        <v>794</v>
      </c>
      <c r="E10231" t="s">
        <v>791</v>
      </c>
      <c r="F10231" t="s">
        <v>1062</v>
      </c>
      <c r="G10231" t="s">
        <v>9311</v>
      </c>
      <c r="H10231" t="s">
        <v>16584</v>
      </c>
      <c r="J10231" t="s">
        <v>18892</v>
      </c>
      <c r="K10231">
        <v>10462</v>
      </c>
      <c r="L10231" t="s">
        <v>18960</v>
      </c>
      <c r="M10231" t="s">
        <v>18960</v>
      </c>
      <c r="N10231" t="s">
        <v>25931</v>
      </c>
      <c r="O10231" t="s">
        <v>26524</v>
      </c>
      <c r="P10231" t="s">
        <v>26564</v>
      </c>
      <c r="Q10231" t="s">
        <v>26570</v>
      </c>
      <c r="R10231" t="s">
        <v>26591</v>
      </c>
      <c r="U10231" t="s">
        <v>26607</v>
      </c>
      <c r="X10231">
        <v>2500</v>
      </c>
      <c r="Y10231" t="s">
        <v>26650</v>
      </c>
      <c r="Z10231" t="s">
        <v>26530</v>
      </c>
      <c r="AA10231" t="s">
        <v>26683</v>
      </c>
      <c r="AB10231" t="s">
        <v>33871</v>
      </c>
      <c r="AD10231" t="s">
        <v>44721</v>
      </c>
      <c r="AE10231">
        <v>0</v>
      </c>
      <c r="AG10231" t="s">
        <v>45556</v>
      </c>
      <c r="AH10231">
        <v>3</v>
      </c>
      <c r="AI10231">
        <v>1</v>
      </c>
      <c r="AJ10231">
        <v>5</v>
      </c>
      <c r="AK10231">
        <v>86.29000000000001</v>
      </c>
      <c r="AN10231" t="s">
        <v>7439</v>
      </c>
      <c r="AO10231">
        <v>29848</v>
      </c>
      <c r="AP10231" t="s">
        <v>46114</v>
      </c>
      <c r="AU10231">
        <v>1</v>
      </c>
      <c r="AV10231" t="s">
        <v>794</v>
      </c>
      <c r="AW10231" t="s">
        <v>46887</v>
      </c>
    </row>
    <row r="10232" spans="1:50">
      <c r="A10232" s="1">
        <f>HYPERLINK("https://lsnyc.legalserver.org/matter/dynamic-profile/view/1895673","19-1895673")</f>
        <v>0</v>
      </c>
      <c r="B10232" t="s">
        <v>198</v>
      </c>
      <c r="C10232" t="s">
        <v>341</v>
      </c>
      <c r="D10232" t="s">
        <v>794</v>
      </c>
      <c r="E10232" t="s">
        <v>794</v>
      </c>
      <c r="F10232" t="s">
        <v>4771</v>
      </c>
      <c r="G10232" t="s">
        <v>6975</v>
      </c>
      <c r="H10232" t="s">
        <v>15885</v>
      </c>
      <c r="I10232" t="s">
        <v>17406</v>
      </c>
      <c r="J10232" t="s">
        <v>18894</v>
      </c>
      <c r="K10232">
        <v>11216</v>
      </c>
      <c r="L10232" t="s">
        <v>18960</v>
      </c>
      <c r="M10232" t="s">
        <v>18960</v>
      </c>
      <c r="Q10232" t="s">
        <v>26570</v>
      </c>
      <c r="R10232" t="s">
        <v>26578</v>
      </c>
      <c r="U10232" t="s">
        <v>26604</v>
      </c>
      <c r="X10232">
        <v>0</v>
      </c>
      <c r="Y10232" t="s">
        <v>26652</v>
      </c>
      <c r="AA10232" t="s">
        <v>26683</v>
      </c>
      <c r="AB10232" t="s">
        <v>33872</v>
      </c>
      <c r="AD10232" t="s">
        <v>44722</v>
      </c>
      <c r="AE10232">
        <v>0</v>
      </c>
      <c r="AH10232">
        <v>0</v>
      </c>
      <c r="AI10232">
        <v>5</v>
      </c>
      <c r="AJ10232">
        <v>0</v>
      </c>
      <c r="AK10232">
        <v>91.90000000000001</v>
      </c>
      <c r="AN10232" t="s">
        <v>7439</v>
      </c>
      <c r="AO10232">
        <v>27726</v>
      </c>
      <c r="AU10232">
        <v>1.5</v>
      </c>
      <c r="AV10232" t="s">
        <v>780</v>
      </c>
      <c r="AW10232" t="s">
        <v>198</v>
      </c>
    </row>
    <row r="10233" spans="1:50">
      <c r="A10233" s="1">
        <f>HYPERLINK("https://lsnyc.legalserver.org/matter/dynamic-profile/view/1895660","19-1895660")</f>
        <v>0</v>
      </c>
      <c r="B10233" t="s">
        <v>157</v>
      </c>
      <c r="C10233" t="s">
        <v>341</v>
      </c>
      <c r="D10233" t="s">
        <v>794</v>
      </c>
      <c r="E10233" t="s">
        <v>802</v>
      </c>
      <c r="F10233" t="s">
        <v>1292</v>
      </c>
      <c r="G10233" t="s">
        <v>1725</v>
      </c>
      <c r="H10233" t="s">
        <v>16585</v>
      </c>
      <c r="I10233" t="s">
        <v>17343</v>
      </c>
      <c r="J10233" t="s">
        <v>18893</v>
      </c>
      <c r="K10233">
        <v>10033</v>
      </c>
      <c r="L10233" t="s">
        <v>18958</v>
      </c>
      <c r="M10233" t="s">
        <v>18958</v>
      </c>
      <c r="O10233" t="s">
        <v>26523</v>
      </c>
      <c r="Q10233" t="s">
        <v>26570</v>
      </c>
      <c r="R10233" t="s">
        <v>26589</v>
      </c>
      <c r="S10233" t="s">
        <v>18959</v>
      </c>
      <c r="U10233" t="s">
        <v>26604</v>
      </c>
      <c r="X10233">
        <v>1725</v>
      </c>
      <c r="Y10233" t="s">
        <v>26651</v>
      </c>
      <c r="Z10233" t="s">
        <v>26657</v>
      </c>
      <c r="AA10233" t="s">
        <v>26683</v>
      </c>
      <c r="AB10233" t="s">
        <v>27029</v>
      </c>
      <c r="AD10233" t="s">
        <v>44723</v>
      </c>
      <c r="AE10233">
        <v>0</v>
      </c>
      <c r="AH10233">
        <v>5</v>
      </c>
      <c r="AI10233">
        <v>2</v>
      </c>
      <c r="AJ10233">
        <v>0</v>
      </c>
      <c r="AK10233">
        <v>141.29</v>
      </c>
      <c r="AO10233">
        <v>23892</v>
      </c>
      <c r="AU10233">
        <v>2</v>
      </c>
      <c r="AV10233" t="s">
        <v>802</v>
      </c>
      <c r="AW10233" t="s">
        <v>317</v>
      </c>
    </row>
    <row r="10234" spans="1:50">
      <c r="A10234" s="1">
        <f>HYPERLINK("https://lsnyc.legalserver.org/matter/dynamic-profile/view/1895591","19-1895591")</f>
        <v>0</v>
      </c>
      <c r="B10234" t="s">
        <v>197</v>
      </c>
      <c r="C10234" t="s">
        <v>340</v>
      </c>
      <c r="D10234" t="s">
        <v>794</v>
      </c>
      <c r="F10234" t="s">
        <v>2196</v>
      </c>
      <c r="G10234" t="s">
        <v>6893</v>
      </c>
      <c r="H10234" t="s">
        <v>16586</v>
      </c>
      <c r="I10234" t="s">
        <v>17763</v>
      </c>
      <c r="J10234" t="s">
        <v>18894</v>
      </c>
      <c r="K10234">
        <v>11207</v>
      </c>
      <c r="L10234" t="s">
        <v>18959</v>
      </c>
      <c r="M10234" t="s">
        <v>18959</v>
      </c>
      <c r="N10234" t="s">
        <v>25932</v>
      </c>
      <c r="O10234" t="s">
        <v>26524</v>
      </c>
      <c r="P10234" t="s">
        <v>26563</v>
      </c>
      <c r="R10234" t="s">
        <v>26578</v>
      </c>
      <c r="U10234" t="s">
        <v>26604</v>
      </c>
      <c r="V10234" t="s">
        <v>26610</v>
      </c>
      <c r="X10234">
        <v>1000</v>
      </c>
      <c r="Y10234" t="s">
        <v>26652</v>
      </c>
      <c r="AB10234" t="s">
        <v>33492</v>
      </c>
      <c r="AD10234" t="s">
        <v>44724</v>
      </c>
      <c r="AE10234">
        <v>2</v>
      </c>
      <c r="AF10234" t="s">
        <v>20460</v>
      </c>
      <c r="AG10234" t="s">
        <v>19330</v>
      </c>
      <c r="AH10234">
        <v>4</v>
      </c>
      <c r="AI10234">
        <v>1</v>
      </c>
      <c r="AJ10234">
        <v>0</v>
      </c>
      <c r="AK10234">
        <v>145.72</v>
      </c>
      <c r="AN10234" t="s">
        <v>7439</v>
      </c>
      <c r="AO10234">
        <v>18200</v>
      </c>
      <c r="AU10234">
        <v>1</v>
      </c>
      <c r="AV10234" t="s">
        <v>794</v>
      </c>
      <c r="AW10234" t="s">
        <v>46859</v>
      </c>
    </row>
    <row r="10235" spans="1:50">
      <c r="A10235" s="1">
        <f>HYPERLINK("https://lsnyc.legalserver.org/matter/dynamic-profile/view/1895582","19-1895582")</f>
        <v>0</v>
      </c>
      <c r="B10235" t="s">
        <v>117</v>
      </c>
      <c r="C10235" t="s">
        <v>340</v>
      </c>
      <c r="D10235" t="s">
        <v>794</v>
      </c>
      <c r="F10235" t="s">
        <v>4772</v>
      </c>
      <c r="G10235" t="s">
        <v>5086</v>
      </c>
      <c r="H10235" t="s">
        <v>16587</v>
      </c>
      <c r="J10235" t="s">
        <v>18894</v>
      </c>
      <c r="K10235">
        <v>11233</v>
      </c>
      <c r="L10235" t="s">
        <v>18959</v>
      </c>
      <c r="M10235" t="s">
        <v>18959</v>
      </c>
      <c r="N10235" t="s">
        <v>25933</v>
      </c>
      <c r="O10235" t="s">
        <v>26524</v>
      </c>
      <c r="R10235" t="s">
        <v>26578</v>
      </c>
      <c r="S10235" t="s">
        <v>18959</v>
      </c>
      <c r="U10235" t="s">
        <v>26604</v>
      </c>
      <c r="V10235" t="s">
        <v>26610</v>
      </c>
      <c r="X10235">
        <v>750</v>
      </c>
      <c r="Y10235" t="s">
        <v>26652</v>
      </c>
      <c r="Z10235" t="s">
        <v>26668</v>
      </c>
      <c r="AB10235" t="s">
        <v>28398</v>
      </c>
      <c r="AC10235" t="s">
        <v>36707</v>
      </c>
      <c r="AD10235" t="s">
        <v>44725</v>
      </c>
      <c r="AE10235">
        <v>2</v>
      </c>
      <c r="AF10235" t="s">
        <v>45547</v>
      </c>
      <c r="AG10235" t="s">
        <v>19330</v>
      </c>
      <c r="AH10235">
        <v>2</v>
      </c>
      <c r="AI10235">
        <v>1</v>
      </c>
      <c r="AJ10235">
        <v>0</v>
      </c>
      <c r="AK10235">
        <v>124.11</v>
      </c>
      <c r="AN10235" t="s">
        <v>7439</v>
      </c>
      <c r="AO10235">
        <v>15501.6</v>
      </c>
      <c r="AU10235">
        <v>2.75</v>
      </c>
      <c r="AV10235" t="s">
        <v>826</v>
      </c>
      <c r="AW10235" t="s">
        <v>46849</v>
      </c>
      <c r="AX10235" t="s">
        <v>46898</v>
      </c>
    </row>
    <row r="10236" spans="1:50">
      <c r="A10236" s="1">
        <f>HYPERLINK("https://lsnyc.legalserver.org/matter/dynamic-profile/view/1895698","19-1895698")</f>
        <v>0</v>
      </c>
      <c r="B10236" t="s">
        <v>322</v>
      </c>
      <c r="C10236" t="s">
        <v>340</v>
      </c>
      <c r="D10236" t="s">
        <v>794</v>
      </c>
      <c r="F10236" t="s">
        <v>920</v>
      </c>
      <c r="G10236" t="s">
        <v>4381</v>
      </c>
      <c r="H10236" t="s">
        <v>16588</v>
      </c>
      <c r="I10236" t="s">
        <v>17283</v>
      </c>
      <c r="J10236" t="s">
        <v>18893</v>
      </c>
      <c r="K10236">
        <v>10010</v>
      </c>
      <c r="L10236" t="s">
        <v>18960</v>
      </c>
      <c r="M10236" t="s">
        <v>18960</v>
      </c>
      <c r="R10236" t="s">
        <v>26583</v>
      </c>
      <c r="U10236" t="s">
        <v>26604</v>
      </c>
      <c r="X10236">
        <v>537.0700000000001</v>
      </c>
      <c r="Y10236" t="s">
        <v>26651</v>
      </c>
      <c r="Z10236" t="s">
        <v>26673</v>
      </c>
      <c r="AB10236" t="s">
        <v>33873</v>
      </c>
      <c r="AD10236" t="s">
        <v>44726</v>
      </c>
      <c r="AE10236">
        <v>9</v>
      </c>
      <c r="AF10236" t="s">
        <v>45548</v>
      </c>
      <c r="AG10236" t="s">
        <v>19330</v>
      </c>
      <c r="AH10236">
        <v>51</v>
      </c>
      <c r="AI10236">
        <v>2</v>
      </c>
      <c r="AJ10236">
        <v>0</v>
      </c>
      <c r="AK10236">
        <v>254.19</v>
      </c>
      <c r="AN10236" t="s">
        <v>7439</v>
      </c>
      <c r="AO10236">
        <v>42984</v>
      </c>
      <c r="AU10236">
        <v>1</v>
      </c>
      <c r="AV10236" t="s">
        <v>794</v>
      </c>
      <c r="AW10236" t="s">
        <v>46846</v>
      </c>
    </row>
    <row r="10237" spans="1:50">
      <c r="A10237" s="1">
        <f>HYPERLINK("https://lsnyc.legalserver.org/matter/dynamic-profile/view/1894612","19-1894612")</f>
        <v>0</v>
      </c>
      <c r="B10237" t="s">
        <v>131</v>
      </c>
      <c r="C10237" t="s">
        <v>340</v>
      </c>
      <c r="D10237" t="s">
        <v>794</v>
      </c>
      <c r="F10237" t="s">
        <v>4773</v>
      </c>
      <c r="G10237" t="s">
        <v>5121</v>
      </c>
      <c r="H10237" t="s">
        <v>10691</v>
      </c>
      <c r="I10237" t="s">
        <v>17289</v>
      </c>
      <c r="J10237" t="s">
        <v>18902</v>
      </c>
      <c r="K10237">
        <v>10301</v>
      </c>
      <c r="L10237" t="s">
        <v>18960</v>
      </c>
      <c r="M10237" t="s">
        <v>18960</v>
      </c>
      <c r="N10237" t="s">
        <v>25934</v>
      </c>
      <c r="O10237" t="s">
        <v>26523</v>
      </c>
      <c r="R10237" t="s">
        <v>26578</v>
      </c>
      <c r="S10237" t="s">
        <v>18959</v>
      </c>
      <c r="U10237" t="s">
        <v>26604</v>
      </c>
      <c r="V10237" t="s">
        <v>26610</v>
      </c>
      <c r="X10237">
        <v>1724</v>
      </c>
      <c r="Y10237" t="s">
        <v>26654</v>
      </c>
      <c r="Z10237" t="s">
        <v>26668</v>
      </c>
      <c r="AB10237" t="s">
        <v>33874</v>
      </c>
      <c r="AD10237" t="s">
        <v>44727</v>
      </c>
      <c r="AE10237">
        <v>228</v>
      </c>
      <c r="AF10237" t="s">
        <v>45550</v>
      </c>
      <c r="AG10237" t="s">
        <v>45556</v>
      </c>
      <c r="AH10237">
        <v>7</v>
      </c>
      <c r="AI10237">
        <v>1</v>
      </c>
      <c r="AJ10237">
        <v>1</v>
      </c>
      <c r="AK10237">
        <v>283.86</v>
      </c>
      <c r="AL10237" t="s">
        <v>781</v>
      </c>
      <c r="AM10237" t="s">
        <v>45575</v>
      </c>
      <c r="AN10237" t="s">
        <v>7439</v>
      </c>
      <c r="AO10237">
        <v>48000</v>
      </c>
      <c r="AU10237">
        <v>13.9</v>
      </c>
      <c r="AV10237" t="s">
        <v>826</v>
      </c>
      <c r="AW10237" t="s">
        <v>46883</v>
      </c>
    </row>
    <row r="10238" spans="1:50">
      <c r="A10238" s="1">
        <f>HYPERLINK("https://lsnyc.legalserver.org/matter/dynamic-profile/view/1895615","19-1895615")</f>
        <v>0</v>
      </c>
      <c r="B10238" t="s">
        <v>212</v>
      </c>
      <c r="C10238" t="s">
        <v>340</v>
      </c>
      <c r="D10238" t="s">
        <v>794</v>
      </c>
      <c r="F10238" t="s">
        <v>1471</v>
      </c>
      <c r="G10238" t="s">
        <v>9312</v>
      </c>
      <c r="H10238" t="s">
        <v>16589</v>
      </c>
      <c r="I10238" t="s">
        <v>17548</v>
      </c>
      <c r="J10238" t="s">
        <v>18898</v>
      </c>
      <c r="K10238">
        <v>11691</v>
      </c>
      <c r="L10238" t="s">
        <v>18958</v>
      </c>
      <c r="M10238" t="s">
        <v>18958</v>
      </c>
      <c r="N10238" t="s">
        <v>25935</v>
      </c>
      <c r="O10238" t="s">
        <v>26524</v>
      </c>
      <c r="P10238" t="s">
        <v>26560</v>
      </c>
      <c r="R10238" t="s">
        <v>26578</v>
      </c>
      <c r="S10238" t="s">
        <v>18959</v>
      </c>
      <c r="U10238" t="s">
        <v>26604</v>
      </c>
      <c r="V10238" t="s">
        <v>26610</v>
      </c>
      <c r="X10238">
        <v>1956</v>
      </c>
      <c r="Y10238" t="s">
        <v>26653</v>
      </c>
      <c r="Z10238" t="s">
        <v>26664</v>
      </c>
      <c r="AB10238" t="s">
        <v>27613</v>
      </c>
      <c r="AC10238" t="s">
        <v>36708</v>
      </c>
      <c r="AD10238" t="s">
        <v>44728</v>
      </c>
      <c r="AE10238">
        <v>2</v>
      </c>
      <c r="AF10238" t="s">
        <v>20460</v>
      </c>
      <c r="AG10238" t="s">
        <v>45558</v>
      </c>
      <c r="AH10238">
        <v>1</v>
      </c>
      <c r="AI10238">
        <v>2</v>
      </c>
      <c r="AJ10238">
        <v>3</v>
      </c>
      <c r="AK10238">
        <v>116.34</v>
      </c>
      <c r="AN10238" t="s">
        <v>7439</v>
      </c>
      <c r="AO10238">
        <v>35100</v>
      </c>
      <c r="AU10238">
        <v>4.8</v>
      </c>
      <c r="AV10238" t="s">
        <v>809</v>
      </c>
      <c r="AW10238" t="s">
        <v>208</v>
      </c>
    </row>
    <row r="10239" spans="1:50">
      <c r="A10239" s="1">
        <f>HYPERLINK("https://lsnyc.legalserver.org/matter/dynamic-profile/view/1893596","19-1893596")</f>
        <v>0</v>
      </c>
      <c r="B10239" t="s">
        <v>103</v>
      </c>
      <c r="C10239" t="s">
        <v>340</v>
      </c>
      <c r="D10239" t="s">
        <v>794</v>
      </c>
      <c r="F10239" t="s">
        <v>4774</v>
      </c>
      <c r="G10239" t="s">
        <v>3718</v>
      </c>
      <c r="H10239" t="s">
        <v>10547</v>
      </c>
      <c r="I10239" t="s">
        <v>17585</v>
      </c>
      <c r="J10239" t="s">
        <v>18902</v>
      </c>
      <c r="K10239">
        <v>10303</v>
      </c>
      <c r="L10239" t="s">
        <v>18958</v>
      </c>
      <c r="M10239" t="s">
        <v>18958</v>
      </c>
      <c r="N10239" t="s">
        <v>25936</v>
      </c>
      <c r="O10239" t="s">
        <v>26523</v>
      </c>
      <c r="P10239" t="s">
        <v>26560</v>
      </c>
      <c r="R10239" t="s">
        <v>26590</v>
      </c>
      <c r="S10239" t="s">
        <v>18959</v>
      </c>
      <c r="U10239" t="s">
        <v>26606</v>
      </c>
      <c r="V10239" t="s">
        <v>26610</v>
      </c>
      <c r="X10239">
        <v>971</v>
      </c>
      <c r="Y10239" t="s">
        <v>26654</v>
      </c>
      <c r="Z10239" t="s">
        <v>26668</v>
      </c>
      <c r="AB10239" t="s">
        <v>33875</v>
      </c>
      <c r="AD10239" t="s">
        <v>44729</v>
      </c>
      <c r="AE10239">
        <v>130</v>
      </c>
      <c r="AF10239" t="s">
        <v>45543</v>
      </c>
      <c r="AG10239" t="s">
        <v>45556</v>
      </c>
      <c r="AH10239">
        <v>4</v>
      </c>
      <c r="AI10239">
        <v>2</v>
      </c>
      <c r="AJ10239">
        <v>0</v>
      </c>
      <c r="AK10239">
        <v>254.62</v>
      </c>
      <c r="AL10239" t="s">
        <v>800</v>
      </c>
      <c r="AM10239" t="s">
        <v>45575</v>
      </c>
      <c r="AN10239" t="s">
        <v>7439</v>
      </c>
      <c r="AO10239">
        <v>43056</v>
      </c>
      <c r="AU10239">
        <v>8.300000000000001</v>
      </c>
      <c r="AV10239" t="s">
        <v>839</v>
      </c>
      <c r="AW10239" t="s">
        <v>46883</v>
      </c>
    </row>
    <row r="10240" spans="1:50">
      <c r="A10240" s="1">
        <f>HYPERLINK("https://lsnyc.legalserver.org/matter/dynamic-profile/view/1893491","19-1893491")</f>
        <v>0</v>
      </c>
      <c r="B10240" t="s">
        <v>104</v>
      </c>
      <c r="C10240" t="s">
        <v>340</v>
      </c>
      <c r="D10240" t="s">
        <v>794</v>
      </c>
      <c r="F10240" t="s">
        <v>1042</v>
      </c>
      <c r="G10240" t="s">
        <v>5110</v>
      </c>
      <c r="H10240" t="s">
        <v>16590</v>
      </c>
      <c r="I10240" t="s">
        <v>18773</v>
      </c>
      <c r="J10240" t="s">
        <v>18902</v>
      </c>
      <c r="K10240">
        <v>10301</v>
      </c>
      <c r="L10240" t="s">
        <v>18959</v>
      </c>
      <c r="M10240" t="s">
        <v>18959</v>
      </c>
      <c r="R10240" t="s">
        <v>26578</v>
      </c>
      <c r="U10240" t="s">
        <v>26604</v>
      </c>
      <c r="V10240" t="s">
        <v>26610</v>
      </c>
      <c r="X10240">
        <v>1800</v>
      </c>
      <c r="Y10240" t="s">
        <v>26654</v>
      </c>
      <c r="Z10240" t="s">
        <v>26657</v>
      </c>
      <c r="AB10240" t="s">
        <v>33876</v>
      </c>
      <c r="AD10240" t="s">
        <v>44730</v>
      </c>
      <c r="AE10240">
        <v>3</v>
      </c>
      <c r="AG10240" t="s">
        <v>45556</v>
      </c>
      <c r="AH10240">
        <v>9</v>
      </c>
      <c r="AI10240">
        <v>2</v>
      </c>
      <c r="AJ10240">
        <v>1</v>
      </c>
      <c r="AK10240">
        <v>198.78</v>
      </c>
      <c r="AN10240" t="s">
        <v>7439</v>
      </c>
      <c r="AO10240">
        <v>42400</v>
      </c>
      <c r="AU10240">
        <v>9.699999999999999</v>
      </c>
      <c r="AV10240" t="s">
        <v>839</v>
      </c>
      <c r="AW10240" t="s">
        <v>46883</v>
      </c>
    </row>
    <row r="10241" spans="1:50">
      <c r="A10241" s="1">
        <f>HYPERLINK("https://lsnyc.legalserver.org/matter/dynamic-profile/view/1895622","19-1895622")</f>
        <v>0</v>
      </c>
      <c r="B10241" t="s">
        <v>172</v>
      </c>
      <c r="C10241" t="s">
        <v>340</v>
      </c>
      <c r="D10241" t="s">
        <v>794</v>
      </c>
      <c r="F10241" t="s">
        <v>887</v>
      </c>
      <c r="G10241" t="s">
        <v>6893</v>
      </c>
      <c r="H10241" t="s">
        <v>14721</v>
      </c>
      <c r="I10241" t="s">
        <v>17483</v>
      </c>
      <c r="J10241" t="s">
        <v>18894</v>
      </c>
      <c r="K10241">
        <v>11225</v>
      </c>
      <c r="L10241" t="s">
        <v>18960</v>
      </c>
      <c r="M10241" t="s">
        <v>18960</v>
      </c>
      <c r="N10241" t="s">
        <v>25937</v>
      </c>
      <c r="O10241" t="s">
        <v>26523</v>
      </c>
      <c r="P10241" t="s">
        <v>26560</v>
      </c>
      <c r="R10241" t="s">
        <v>26588</v>
      </c>
      <c r="U10241" t="s">
        <v>26604</v>
      </c>
      <c r="V10241" t="s">
        <v>26610</v>
      </c>
      <c r="X10241">
        <v>1058.31</v>
      </c>
      <c r="Y10241" t="s">
        <v>26652</v>
      </c>
      <c r="Z10241" t="s">
        <v>26669</v>
      </c>
      <c r="AB10241" t="s">
        <v>32757</v>
      </c>
      <c r="AC10241" t="s">
        <v>36709</v>
      </c>
      <c r="AE10241">
        <v>124</v>
      </c>
      <c r="AF10241" t="s">
        <v>45541</v>
      </c>
      <c r="AG10241" t="s">
        <v>45560</v>
      </c>
      <c r="AH10241">
        <v>35</v>
      </c>
      <c r="AI10241">
        <v>1</v>
      </c>
      <c r="AJ10241">
        <v>0</v>
      </c>
      <c r="AK10241">
        <v>0</v>
      </c>
      <c r="AO10241">
        <v>0</v>
      </c>
      <c r="AU10241">
        <v>9.300000000000001</v>
      </c>
      <c r="AV10241" t="s">
        <v>821</v>
      </c>
      <c r="AW10241" t="s">
        <v>46862</v>
      </c>
    </row>
    <row r="10242" spans="1:50">
      <c r="A10242" s="1">
        <f>HYPERLINK("https://lsnyc.legalserver.org/matter/dynamic-profile/view/0798772","16-0798772")</f>
        <v>0</v>
      </c>
      <c r="B10242" t="s">
        <v>195</v>
      </c>
      <c r="C10242" t="s">
        <v>341</v>
      </c>
      <c r="D10242" t="s">
        <v>795</v>
      </c>
      <c r="E10242" t="s">
        <v>795</v>
      </c>
      <c r="F10242" t="s">
        <v>1162</v>
      </c>
      <c r="G10242" t="s">
        <v>5147</v>
      </c>
      <c r="H10242" t="s">
        <v>16591</v>
      </c>
      <c r="I10242" t="s">
        <v>17312</v>
      </c>
      <c r="J10242" t="s">
        <v>18893</v>
      </c>
      <c r="K10242">
        <v>10001</v>
      </c>
      <c r="L10242" t="s">
        <v>18960</v>
      </c>
      <c r="M10242" t="s">
        <v>18960</v>
      </c>
      <c r="Q10242" t="s">
        <v>26570</v>
      </c>
      <c r="R10242" t="s">
        <v>26582</v>
      </c>
      <c r="U10242" t="s">
        <v>26605</v>
      </c>
      <c r="X10242">
        <v>0</v>
      </c>
      <c r="Y10242" t="s">
        <v>26651</v>
      </c>
      <c r="AA10242" t="s">
        <v>26683</v>
      </c>
      <c r="AB10242" t="s">
        <v>33877</v>
      </c>
      <c r="AD10242" t="s">
        <v>44731</v>
      </c>
      <c r="AE10242">
        <v>0</v>
      </c>
      <c r="AH10242">
        <v>0</v>
      </c>
      <c r="AI10242">
        <v>1</v>
      </c>
      <c r="AJ10242">
        <v>2</v>
      </c>
      <c r="AK10242">
        <v>20.89</v>
      </c>
      <c r="AO10242">
        <v>4212</v>
      </c>
      <c r="AU10242">
        <v>1.9</v>
      </c>
      <c r="AV10242" t="s">
        <v>46827</v>
      </c>
      <c r="AW10242" t="s">
        <v>195</v>
      </c>
    </row>
    <row r="10243" spans="1:50">
      <c r="A10243" s="1">
        <f>HYPERLINK("https://lsnyc.legalserver.org/matter/dynamic-profile/view/1895671","19-1895671")</f>
        <v>0</v>
      </c>
      <c r="B10243" t="s">
        <v>186</v>
      </c>
      <c r="C10243" t="s">
        <v>341</v>
      </c>
      <c r="D10243" t="s">
        <v>795</v>
      </c>
      <c r="E10243" t="s">
        <v>795</v>
      </c>
      <c r="F10243" t="s">
        <v>2625</v>
      </c>
      <c r="G10243" t="s">
        <v>9313</v>
      </c>
      <c r="H10243" t="s">
        <v>16592</v>
      </c>
      <c r="I10243">
        <v>1</v>
      </c>
      <c r="J10243" t="s">
        <v>18894</v>
      </c>
      <c r="K10243">
        <v>11206</v>
      </c>
      <c r="L10243" t="s">
        <v>18960</v>
      </c>
      <c r="M10243" t="s">
        <v>18960</v>
      </c>
      <c r="N10243" t="s">
        <v>25938</v>
      </c>
      <c r="O10243" t="s">
        <v>26524</v>
      </c>
      <c r="P10243" t="s">
        <v>26564</v>
      </c>
      <c r="Q10243" t="s">
        <v>26570</v>
      </c>
      <c r="R10243" t="s">
        <v>26591</v>
      </c>
      <c r="S10243" t="s">
        <v>26598</v>
      </c>
      <c r="U10243" t="s">
        <v>26604</v>
      </c>
      <c r="V10243" t="s">
        <v>26609</v>
      </c>
      <c r="X10243">
        <v>900</v>
      </c>
      <c r="Y10243" t="s">
        <v>26652</v>
      </c>
      <c r="Z10243" t="s">
        <v>26530</v>
      </c>
      <c r="AA10243" t="s">
        <v>26683</v>
      </c>
      <c r="AB10243" t="s">
        <v>33878</v>
      </c>
      <c r="AD10243" t="s">
        <v>44732</v>
      </c>
      <c r="AE10243">
        <v>2</v>
      </c>
      <c r="AH10243">
        <v>3</v>
      </c>
      <c r="AI10243">
        <v>2</v>
      </c>
      <c r="AJ10243">
        <v>0</v>
      </c>
      <c r="AK10243">
        <v>106.45</v>
      </c>
      <c r="AO10243">
        <v>18000</v>
      </c>
      <c r="AU10243">
        <v>5.25</v>
      </c>
      <c r="AV10243" t="s">
        <v>820</v>
      </c>
      <c r="AW10243" t="s">
        <v>46896</v>
      </c>
    </row>
    <row r="10244" spans="1:50">
      <c r="A10244" s="1">
        <f>HYPERLINK("https://lsnyc.legalserver.org/matter/dynamic-profile/view/1895791","19-1895791")</f>
        <v>0</v>
      </c>
      <c r="B10244" t="s">
        <v>270</v>
      </c>
      <c r="C10244" t="s">
        <v>341</v>
      </c>
      <c r="D10244" t="s">
        <v>795</v>
      </c>
      <c r="E10244" t="s">
        <v>838</v>
      </c>
      <c r="F10244" t="s">
        <v>2725</v>
      </c>
      <c r="G10244" t="s">
        <v>5419</v>
      </c>
      <c r="H10244" t="s">
        <v>10162</v>
      </c>
      <c r="I10244" t="s">
        <v>17801</v>
      </c>
      <c r="J10244" t="s">
        <v>18892</v>
      </c>
      <c r="K10244">
        <v>10457</v>
      </c>
      <c r="L10244" t="s">
        <v>18960</v>
      </c>
      <c r="M10244" t="s">
        <v>18960</v>
      </c>
      <c r="N10244" t="s">
        <v>25939</v>
      </c>
      <c r="O10244" t="s">
        <v>26523</v>
      </c>
      <c r="P10244" t="s">
        <v>26560</v>
      </c>
      <c r="Q10244" t="s">
        <v>26568</v>
      </c>
      <c r="R10244" t="s">
        <v>26591</v>
      </c>
      <c r="U10244" t="s">
        <v>26604</v>
      </c>
      <c r="V10244" t="s">
        <v>26610</v>
      </c>
      <c r="X10244">
        <v>1400</v>
      </c>
      <c r="Y10244" t="s">
        <v>26650</v>
      </c>
      <c r="Z10244" t="s">
        <v>26668</v>
      </c>
      <c r="AA10244" t="s">
        <v>26677</v>
      </c>
      <c r="AB10244" t="s">
        <v>33879</v>
      </c>
      <c r="AD10244" t="s">
        <v>44733</v>
      </c>
      <c r="AE10244">
        <v>30</v>
      </c>
      <c r="AF10244" t="s">
        <v>45552</v>
      </c>
      <c r="AH10244">
        <v>13</v>
      </c>
      <c r="AI10244">
        <v>1</v>
      </c>
      <c r="AJ10244">
        <v>0</v>
      </c>
      <c r="AK10244">
        <v>66.77</v>
      </c>
      <c r="AN10244" t="s">
        <v>7439</v>
      </c>
      <c r="AO10244">
        <v>8340</v>
      </c>
      <c r="AR10244" t="s">
        <v>46379</v>
      </c>
      <c r="AS10244" t="s">
        <v>46499</v>
      </c>
      <c r="AT10244" t="s">
        <v>46754</v>
      </c>
      <c r="AU10244">
        <v>15</v>
      </c>
      <c r="AV10244" t="s">
        <v>821</v>
      </c>
      <c r="AW10244" t="s">
        <v>46841</v>
      </c>
    </row>
    <row r="10245" spans="1:50">
      <c r="A10245" s="1">
        <f>HYPERLINK("https://lsnyc.legalserver.org/matter/dynamic-profile/view/1895862","19-1895862")</f>
        <v>0</v>
      </c>
      <c r="B10245" t="s">
        <v>133</v>
      </c>
      <c r="C10245" t="s">
        <v>340</v>
      </c>
      <c r="D10245" t="s">
        <v>795</v>
      </c>
      <c r="F10245" t="s">
        <v>1527</v>
      </c>
      <c r="G10245" t="s">
        <v>6346</v>
      </c>
      <c r="H10245" t="s">
        <v>14387</v>
      </c>
      <c r="I10245">
        <v>14</v>
      </c>
      <c r="J10245" t="s">
        <v>18892</v>
      </c>
      <c r="K10245">
        <v>10451</v>
      </c>
      <c r="L10245" t="s">
        <v>18958</v>
      </c>
      <c r="M10245" t="s">
        <v>18958</v>
      </c>
      <c r="N10245" t="s">
        <v>25940</v>
      </c>
      <c r="O10245" t="s">
        <v>26523</v>
      </c>
      <c r="P10245" t="s">
        <v>26564</v>
      </c>
      <c r="R10245" t="s">
        <v>26577</v>
      </c>
      <c r="S10245" t="s">
        <v>18959</v>
      </c>
      <c r="U10245" t="s">
        <v>26604</v>
      </c>
      <c r="X10245">
        <v>998</v>
      </c>
      <c r="Y10245" t="s">
        <v>26650</v>
      </c>
      <c r="Z10245" t="s">
        <v>26668</v>
      </c>
      <c r="AB10245" t="s">
        <v>33880</v>
      </c>
      <c r="AD10245" t="s">
        <v>44734</v>
      </c>
      <c r="AE10245">
        <v>0</v>
      </c>
      <c r="AF10245" t="s">
        <v>20460</v>
      </c>
      <c r="AG10245" t="s">
        <v>19330</v>
      </c>
      <c r="AH10245">
        <v>45</v>
      </c>
      <c r="AI10245">
        <v>2</v>
      </c>
      <c r="AJ10245">
        <v>0</v>
      </c>
      <c r="AK10245">
        <v>30.29</v>
      </c>
      <c r="AN10245" t="s">
        <v>7439</v>
      </c>
      <c r="AO10245">
        <v>5122</v>
      </c>
      <c r="AP10245" t="s">
        <v>46273</v>
      </c>
      <c r="AU10245">
        <v>0.5</v>
      </c>
      <c r="AV10245" t="s">
        <v>795</v>
      </c>
      <c r="AW10245" t="s">
        <v>46870</v>
      </c>
    </row>
    <row r="10246" spans="1:50">
      <c r="A10246" s="1">
        <f>HYPERLINK("https://lsnyc.legalserver.org/matter/dynamic-profile/view/1895780","19-1895780")</f>
        <v>0</v>
      </c>
      <c r="B10246" t="s">
        <v>57</v>
      </c>
      <c r="C10246" t="s">
        <v>340</v>
      </c>
      <c r="D10246" t="s">
        <v>795</v>
      </c>
      <c r="F10246" t="s">
        <v>3851</v>
      </c>
      <c r="G10246" t="s">
        <v>2975</v>
      </c>
      <c r="H10246" t="s">
        <v>14542</v>
      </c>
      <c r="I10246" t="s">
        <v>17272</v>
      </c>
      <c r="J10246" t="s">
        <v>18892</v>
      </c>
      <c r="K10246">
        <v>10455</v>
      </c>
      <c r="L10246" t="s">
        <v>18958</v>
      </c>
      <c r="M10246" t="s">
        <v>18958</v>
      </c>
      <c r="N10246" t="s">
        <v>25941</v>
      </c>
      <c r="O10246" t="s">
        <v>26525</v>
      </c>
      <c r="P10246" t="s">
        <v>26561</v>
      </c>
      <c r="R10246" t="s">
        <v>26577</v>
      </c>
      <c r="S10246" t="s">
        <v>18959</v>
      </c>
      <c r="U10246" t="s">
        <v>26605</v>
      </c>
      <c r="X10246">
        <v>218</v>
      </c>
      <c r="Y10246" t="s">
        <v>26650</v>
      </c>
      <c r="AB10246" t="s">
        <v>32043</v>
      </c>
      <c r="AD10246" t="s">
        <v>42357</v>
      </c>
      <c r="AE10246">
        <v>0</v>
      </c>
      <c r="AF10246" t="s">
        <v>45549</v>
      </c>
      <c r="AG10246" t="s">
        <v>19330</v>
      </c>
      <c r="AH10246">
        <v>0</v>
      </c>
      <c r="AI10246">
        <v>1</v>
      </c>
      <c r="AJ10246">
        <v>0</v>
      </c>
      <c r="AK10246">
        <v>74.08</v>
      </c>
      <c r="AN10246" t="s">
        <v>45581</v>
      </c>
      <c r="AO10246">
        <v>9252</v>
      </c>
      <c r="AP10246" t="s">
        <v>46035</v>
      </c>
      <c r="AU10246">
        <v>8.199999999999999</v>
      </c>
      <c r="AV10246" t="s">
        <v>822</v>
      </c>
      <c r="AW10246" t="s">
        <v>57</v>
      </c>
    </row>
    <row r="10247" spans="1:50">
      <c r="A10247" s="1">
        <f>HYPERLINK("https://lsnyc.legalserver.org/matter/dynamic-profile/view/1895864","19-1895864")</f>
        <v>0</v>
      </c>
      <c r="B10247" t="s">
        <v>56</v>
      </c>
      <c r="C10247" t="s">
        <v>340</v>
      </c>
      <c r="D10247" t="s">
        <v>795</v>
      </c>
      <c r="F10247" t="s">
        <v>1021</v>
      </c>
      <c r="G10247" t="s">
        <v>5147</v>
      </c>
      <c r="H10247" t="s">
        <v>16593</v>
      </c>
      <c r="I10247" t="s">
        <v>17446</v>
      </c>
      <c r="J10247" t="s">
        <v>18892</v>
      </c>
      <c r="K10247">
        <v>10456</v>
      </c>
      <c r="L10247" t="s">
        <v>18958</v>
      </c>
      <c r="M10247" t="s">
        <v>18958</v>
      </c>
      <c r="P10247" t="s">
        <v>26564</v>
      </c>
      <c r="R10247" t="s">
        <v>26577</v>
      </c>
      <c r="U10247" t="s">
        <v>26604</v>
      </c>
      <c r="X10247">
        <v>160</v>
      </c>
      <c r="Y10247" t="s">
        <v>26650</v>
      </c>
      <c r="AB10247" t="s">
        <v>31288</v>
      </c>
      <c r="AD10247" t="s">
        <v>44735</v>
      </c>
      <c r="AE10247">
        <v>0</v>
      </c>
      <c r="AF10247" t="s">
        <v>45545</v>
      </c>
      <c r="AG10247" t="s">
        <v>19330</v>
      </c>
      <c r="AH10247">
        <v>-1</v>
      </c>
      <c r="AI10247">
        <v>1</v>
      </c>
      <c r="AJ10247">
        <v>0</v>
      </c>
      <c r="AK10247">
        <v>0</v>
      </c>
      <c r="AN10247" t="s">
        <v>7439</v>
      </c>
      <c r="AO10247">
        <v>0</v>
      </c>
      <c r="AP10247" t="s">
        <v>46274</v>
      </c>
      <c r="AU10247">
        <v>0.5</v>
      </c>
      <c r="AV10247" t="s">
        <v>795</v>
      </c>
      <c r="AW10247" t="s">
        <v>46870</v>
      </c>
      <c r="AX10247" t="s">
        <v>46897</v>
      </c>
    </row>
    <row r="10248" spans="1:50">
      <c r="A10248" s="1">
        <f>HYPERLINK("https://lsnyc.legalserver.org/matter/dynamic-profile/view/1896436","19-1896436")</f>
        <v>0</v>
      </c>
      <c r="B10248" t="s">
        <v>253</v>
      </c>
      <c r="C10248" t="s">
        <v>340</v>
      </c>
      <c r="D10248" t="s">
        <v>795</v>
      </c>
      <c r="F10248" t="s">
        <v>990</v>
      </c>
      <c r="G10248" t="s">
        <v>9314</v>
      </c>
      <c r="H10248" t="s">
        <v>9762</v>
      </c>
      <c r="I10248" t="s">
        <v>17293</v>
      </c>
      <c r="J10248" t="s">
        <v>18892</v>
      </c>
      <c r="K10248">
        <v>10467</v>
      </c>
      <c r="L10248" t="s">
        <v>18960</v>
      </c>
      <c r="M10248" t="s">
        <v>18958</v>
      </c>
      <c r="N10248" t="s">
        <v>25942</v>
      </c>
      <c r="P10248" t="s">
        <v>26560</v>
      </c>
      <c r="R10248" t="s">
        <v>26579</v>
      </c>
      <c r="S10248" t="s">
        <v>18959</v>
      </c>
      <c r="U10248" t="s">
        <v>26604</v>
      </c>
      <c r="X10248">
        <v>1375</v>
      </c>
      <c r="Y10248" t="s">
        <v>26650</v>
      </c>
      <c r="AB10248" t="s">
        <v>27468</v>
      </c>
      <c r="AD10248" t="s">
        <v>44736</v>
      </c>
      <c r="AE10248">
        <v>6</v>
      </c>
      <c r="AG10248" t="s">
        <v>45561</v>
      </c>
      <c r="AH10248">
        <v>7</v>
      </c>
      <c r="AI10248">
        <v>1</v>
      </c>
      <c r="AJ10248">
        <v>0</v>
      </c>
      <c r="AK10248">
        <v>84.06999999999999</v>
      </c>
      <c r="AN10248" t="s">
        <v>7439</v>
      </c>
      <c r="AO10248">
        <v>10500</v>
      </c>
      <c r="AU10248">
        <v>26.6</v>
      </c>
      <c r="AV10248" t="s">
        <v>838</v>
      </c>
      <c r="AW10248" t="s">
        <v>336</v>
      </c>
    </row>
    <row r="10249" spans="1:50">
      <c r="A10249" s="1">
        <f>HYPERLINK("https://lsnyc.legalserver.org/matter/dynamic-profile/view/1895865","19-1895865")</f>
        <v>0</v>
      </c>
      <c r="B10249" t="s">
        <v>82</v>
      </c>
      <c r="C10249" t="s">
        <v>340</v>
      </c>
      <c r="D10249" t="s">
        <v>795</v>
      </c>
      <c r="F10249" t="s">
        <v>3743</v>
      </c>
      <c r="G10249" t="s">
        <v>5082</v>
      </c>
      <c r="H10249" t="s">
        <v>11750</v>
      </c>
      <c r="I10249" t="s">
        <v>17358</v>
      </c>
      <c r="J10249" t="s">
        <v>18892</v>
      </c>
      <c r="K10249">
        <v>10453</v>
      </c>
      <c r="L10249" t="s">
        <v>18958</v>
      </c>
      <c r="M10249" t="s">
        <v>18959</v>
      </c>
      <c r="N10249" t="s">
        <v>25943</v>
      </c>
      <c r="O10249" t="s">
        <v>26523</v>
      </c>
      <c r="P10249" t="s">
        <v>26564</v>
      </c>
      <c r="R10249" t="s">
        <v>26577</v>
      </c>
      <c r="U10249" t="s">
        <v>26604</v>
      </c>
      <c r="X10249">
        <v>1589</v>
      </c>
      <c r="Y10249" t="s">
        <v>26650</v>
      </c>
      <c r="AB10249" t="s">
        <v>31804</v>
      </c>
      <c r="AD10249" t="s">
        <v>42081</v>
      </c>
      <c r="AE10249">
        <v>0</v>
      </c>
      <c r="AF10249" t="s">
        <v>45549</v>
      </c>
      <c r="AG10249" t="s">
        <v>45558</v>
      </c>
      <c r="AH10249">
        <v>5</v>
      </c>
      <c r="AI10249">
        <v>1</v>
      </c>
      <c r="AJ10249">
        <v>2</v>
      </c>
      <c r="AK10249">
        <v>78.73999999999999</v>
      </c>
      <c r="AN10249" t="s">
        <v>45581</v>
      </c>
      <c r="AO10249">
        <v>16796</v>
      </c>
      <c r="AU10249">
        <v>1.5</v>
      </c>
      <c r="AV10249" t="s">
        <v>765</v>
      </c>
      <c r="AW10249" t="s">
        <v>46870</v>
      </c>
      <c r="AX10249" t="s">
        <v>46897</v>
      </c>
    </row>
    <row r="10250" spans="1:50">
      <c r="A10250" s="1">
        <f>HYPERLINK("https://lsnyc.legalserver.org/matter/dynamic-profile/view/1895838","19-1895838")</f>
        <v>0</v>
      </c>
      <c r="B10250" t="s">
        <v>200</v>
      </c>
      <c r="C10250" t="s">
        <v>340</v>
      </c>
      <c r="D10250" t="s">
        <v>795</v>
      </c>
      <c r="F10250" t="s">
        <v>1235</v>
      </c>
      <c r="G10250" t="s">
        <v>9315</v>
      </c>
      <c r="H10250" t="s">
        <v>16594</v>
      </c>
      <c r="J10250" t="s">
        <v>18894</v>
      </c>
      <c r="K10250">
        <v>11206</v>
      </c>
      <c r="L10250" t="s">
        <v>18960</v>
      </c>
      <c r="M10250" t="s">
        <v>18960</v>
      </c>
      <c r="O10250" t="s">
        <v>18997</v>
      </c>
      <c r="R10250" t="s">
        <v>26591</v>
      </c>
      <c r="U10250" t="s">
        <v>26605</v>
      </c>
      <c r="X10250">
        <v>489</v>
      </c>
      <c r="Y10250" t="s">
        <v>26652</v>
      </c>
      <c r="AB10250" t="s">
        <v>30796</v>
      </c>
      <c r="AD10250" t="s">
        <v>44737</v>
      </c>
      <c r="AE10250">
        <v>0</v>
      </c>
      <c r="AF10250" t="s">
        <v>45549</v>
      </c>
      <c r="AG10250" t="s">
        <v>19330</v>
      </c>
      <c r="AH10250">
        <v>3</v>
      </c>
      <c r="AI10250">
        <v>1</v>
      </c>
      <c r="AJ10250">
        <v>2</v>
      </c>
      <c r="AK10250">
        <v>48.16</v>
      </c>
      <c r="AN10250" t="s">
        <v>7439</v>
      </c>
      <c r="AO10250">
        <v>10272</v>
      </c>
      <c r="AU10250">
        <v>1</v>
      </c>
      <c r="AV10250" t="s">
        <v>795</v>
      </c>
      <c r="AW10250" t="s">
        <v>46859</v>
      </c>
    </row>
    <row r="10251" spans="1:50">
      <c r="A10251" s="1">
        <f>HYPERLINK("https://lsnyc.legalserver.org/matter/dynamic-profile/view/1899364","19-1899364")</f>
        <v>0</v>
      </c>
      <c r="B10251" t="s">
        <v>328</v>
      </c>
      <c r="C10251" t="s">
        <v>340</v>
      </c>
      <c r="D10251" t="s">
        <v>795</v>
      </c>
      <c r="F10251" t="s">
        <v>4775</v>
      </c>
      <c r="G10251" t="s">
        <v>5269</v>
      </c>
      <c r="H10251" t="s">
        <v>16595</v>
      </c>
      <c r="I10251" t="s">
        <v>17278</v>
      </c>
      <c r="J10251" t="s">
        <v>18893</v>
      </c>
      <c r="K10251">
        <v>10009</v>
      </c>
      <c r="L10251" t="s">
        <v>18960</v>
      </c>
      <c r="M10251" t="s">
        <v>18960</v>
      </c>
      <c r="O10251" t="s">
        <v>18997</v>
      </c>
      <c r="R10251" t="s">
        <v>26583</v>
      </c>
      <c r="U10251" t="s">
        <v>26605</v>
      </c>
      <c r="X10251">
        <v>1456</v>
      </c>
      <c r="Y10251" t="s">
        <v>26651</v>
      </c>
      <c r="AB10251" t="s">
        <v>33763</v>
      </c>
      <c r="AD10251" t="s">
        <v>44738</v>
      </c>
      <c r="AE10251">
        <v>0</v>
      </c>
      <c r="AH10251">
        <v>0</v>
      </c>
      <c r="AI10251">
        <v>1</v>
      </c>
      <c r="AJ10251">
        <v>0</v>
      </c>
      <c r="AK10251">
        <v>200.16</v>
      </c>
      <c r="AN10251" t="s">
        <v>7439</v>
      </c>
      <c r="AO10251">
        <v>25000</v>
      </c>
      <c r="AU10251">
        <v>3</v>
      </c>
      <c r="AV10251" t="s">
        <v>761</v>
      </c>
      <c r="AW10251" t="s">
        <v>46838</v>
      </c>
    </row>
    <row r="10252" spans="1:50">
      <c r="A10252" s="1">
        <f>HYPERLINK("https://lsnyc.legalserver.org/matter/dynamic-profile/view/1895742","19-1895742")</f>
        <v>0</v>
      </c>
      <c r="B10252" t="s">
        <v>115</v>
      </c>
      <c r="C10252" t="s">
        <v>340</v>
      </c>
      <c r="D10252" t="s">
        <v>795</v>
      </c>
      <c r="F10252" t="s">
        <v>1021</v>
      </c>
      <c r="G10252" t="s">
        <v>1523</v>
      </c>
      <c r="H10252" t="s">
        <v>12484</v>
      </c>
      <c r="I10252" t="s">
        <v>17327</v>
      </c>
      <c r="J10252" t="s">
        <v>18892</v>
      </c>
      <c r="K10252">
        <v>10452</v>
      </c>
      <c r="L10252" t="s">
        <v>18960</v>
      </c>
      <c r="M10252" t="s">
        <v>18960</v>
      </c>
      <c r="R10252" t="s">
        <v>26591</v>
      </c>
      <c r="U10252" t="s">
        <v>26604</v>
      </c>
      <c r="X10252">
        <v>1715</v>
      </c>
      <c r="Y10252" t="s">
        <v>26650</v>
      </c>
      <c r="Z10252" t="s">
        <v>26657</v>
      </c>
      <c r="AB10252" t="s">
        <v>27688</v>
      </c>
      <c r="AD10252" t="s">
        <v>44739</v>
      </c>
      <c r="AE10252">
        <v>30</v>
      </c>
      <c r="AF10252" t="s">
        <v>45554</v>
      </c>
      <c r="AG10252" t="s">
        <v>19330</v>
      </c>
      <c r="AH10252">
        <v>1</v>
      </c>
      <c r="AI10252">
        <v>1</v>
      </c>
      <c r="AJ10252">
        <v>0</v>
      </c>
      <c r="AK10252">
        <v>35.64</v>
      </c>
      <c r="AN10252" t="s">
        <v>7439</v>
      </c>
      <c r="AO10252">
        <v>4452</v>
      </c>
      <c r="AU10252">
        <v>1.1</v>
      </c>
      <c r="AV10252" t="s">
        <v>763</v>
      </c>
      <c r="AW10252" t="s">
        <v>46858</v>
      </c>
    </row>
    <row r="10253" spans="1:50">
      <c r="A10253" s="1">
        <f>HYPERLINK("https://lsnyc.legalserver.org/matter/dynamic-profile/view/1895855","19-1895855")</f>
        <v>0</v>
      </c>
      <c r="B10253" t="s">
        <v>91</v>
      </c>
      <c r="C10253" t="s">
        <v>340</v>
      </c>
      <c r="D10253" t="s">
        <v>795</v>
      </c>
      <c r="F10253" t="s">
        <v>994</v>
      </c>
      <c r="G10253" t="s">
        <v>7239</v>
      </c>
      <c r="H10253" t="s">
        <v>16596</v>
      </c>
      <c r="I10253" t="s">
        <v>17410</v>
      </c>
      <c r="J10253" t="s">
        <v>18907</v>
      </c>
      <c r="K10253">
        <v>11377</v>
      </c>
      <c r="L10253" t="s">
        <v>18958</v>
      </c>
      <c r="M10253" t="s">
        <v>18958</v>
      </c>
      <c r="N10253" t="s">
        <v>25944</v>
      </c>
      <c r="O10253" t="s">
        <v>26523</v>
      </c>
      <c r="P10253" t="s">
        <v>26564</v>
      </c>
      <c r="R10253" t="s">
        <v>26578</v>
      </c>
      <c r="U10253" t="s">
        <v>26604</v>
      </c>
      <c r="X10253">
        <v>1300</v>
      </c>
      <c r="Y10253" t="s">
        <v>26653</v>
      </c>
      <c r="Z10253" t="s">
        <v>26664</v>
      </c>
      <c r="AB10253" t="s">
        <v>31610</v>
      </c>
      <c r="AD10253" t="s">
        <v>44740</v>
      </c>
      <c r="AE10253">
        <v>22</v>
      </c>
      <c r="AF10253" t="s">
        <v>20460</v>
      </c>
      <c r="AG10253" t="s">
        <v>19330</v>
      </c>
      <c r="AH10253">
        <v>5</v>
      </c>
      <c r="AI10253">
        <v>1</v>
      </c>
      <c r="AJ10253">
        <v>0</v>
      </c>
      <c r="AK10253">
        <v>52.04</v>
      </c>
      <c r="AN10253" t="s">
        <v>7439</v>
      </c>
      <c r="AO10253">
        <v>6500</v>
      </c>
      <c r="AU10253">
        <v>1.25</v>
      </c>
      <c r="AV10253" t="s">
        <v>813</v>
      </c>
      <c r="AW10253" t="s">
        <v>122</v>
      </c>
    </row>
    <row r="10254" spans="1:50">
      <c r="A10254" s="1">
        <f>HYPERLINK("https://lsnyc.legalserver.org/matter/dynamic-profile/view/1896121","19-1896121")</f>
        <v>0</v>
      </c>
      <c r="B10254" t="s">
        <v>54</v>
      </c>
      <c r="C10254" t="s">
        <v>340</v>
      </c>
      <c r="D10254" t="s">
        <v>795</v>
      </c>
      <c r="F10254" t="s">
        <v>2913</v>
      </c>
      <c r="G10254" t="s">
        <v>7062</v>
      </c>
      <c r="H10254" t="s">
        <v>11436</v>
      </c>
      <c r="I10254" t="s">
        <v>17490</v>
      </c>
      <c r="J10254" t="s">
        <v>18892</v>
      </c>
      <c r="K10254">
        <v>10467</v>
      </c>
      <c r="L10254" t="s">
        <v>18958</v>
      </c>
      <c r="M10254" t="s">
        <v>18958</v>
      </c>
      <c r="N10254" t="s">
        <v>25945</v>
      </c>
      <c r="O10254" t="s">
        <v>26524</v>
      </c>
      <c r="P10254" t="s">
        <v>26560</v>
      </c>
      <c r="R10254" t="s">
        <v>26579</v>
      </c>
      <c r="S10254" t="s">
        <v>18959</v>
      </c>
      <c r="U10254" t="s">
        <v>26604</v>
      </c>
      <c r="V10254" t="s">
        <v>26610</v>
      </c>
      <c r="X10254">
        <v>1250</v>
      </c>
      <c r="Y10254" t="s">
        <v>26650</v>
      </c>
      <c r="Z10254" t="s">
        <v>26668</v>
      </c>
      <c r="AB10254" t="s">
        <v>33531</v>
      </c>
      <c r="AD10254" t="s">
        <v>44741</v>
      </c>
      <c r="AE10254">
        <v>49</v>
      </c>
      <c r="AF10254" t="s">
        <v>45541</v>
      </c>
      <c r="AG10254" t="s">
        <v>19330</v>
      </c>
      <c r="AH10254">
        <v>2</v>
      </c>
      <c r="AI10254">
        <v>2</v>
      </c>
      <c r="AJ10254">
        <v>0</v>
      </c>
      <c r="AK10254">
        <v>212.89</v>
      </c>
      <c r="AN10254" t="s">
        <v>7439</v>
      </c>
      <c r="AO10254">
        <v>36000</v>
      </c>
      <c r="AP10254" t="s">
        <v>46275</v>
      </c>
      <c r="AU10254">
        <v>4.3</v>
      </c>
      <c r="AV10254" t="s">
        <v>823</v>
      </c>
      <c r="AW10254" t="s">
        <v>46832</v>
      </c>
    </row>
    <row r="10255" spans="1:50">
      <c r="A10255" s="1">
        <f>HYPERLINK("https://lsnyc.legalserver.org/matter/dynamic-profile/view/1895856","19-1895856")</f>
        <v>0</v>
      </c>
      <c r="B10255" t="s">
        <v>59</v>
      </c>
      <c r="C10255" t="s">
        <v>340</v>
      </c>
      <c r="D10255" t="s">
        <v>795</v>
      </c>
      <c r="F10255" t="s">
        <v>952</v>
      </c>
      <c r="G10255" t="s">
        <v>9316</v>
      </c>
      <c r="H10255" t="s">
        <v>12388</v>
      </c>
      <c r="I10255" t="s">
        <v>18774</v>
      </c>
      <c r="J10255" t="s">
        <v>18893</v>
      </c>
      <c r="K10255">
        <v>10025</v>
      </c>
      <c r="L10255" t="s">
        <v>18958</v>
      </c>
      <c r="M10255" t="s">
        <v>18958</v>
      </c>
      <c r="N10255" t="s">
        <v>25946</v>
      </c>
      <c r="O10255" t="s">
        <v>26523</v>
      </c>
      <c r="P10255" t="s">
        <v>26560</v>
      </c>
      <c r="R10255" t="s">
        <v>26580</v>
      </c>
      <c r="S10255" t="s">
        <v>18959</v>
      </c>
      <c r="U10255" t="s">
        <v>26604</v>
      </c>
      <c r="V10255" t="s">
        <v>26614</v>
      </c>
      <c r="X10255">
        <v>897</v>
      </c>
      <c r="Y10255" t="s">
        <v>26651</v>
      </c>
      <c r="Z10255" t="s">
        <v>26668</v>
      </c>
      <c r="AB10255" t="s">
        <v>33881</v>
      </c>
      <c r="AE10255">
        <v>0</v>
      </c>
      <c r="AF10255" t="s">
        <v>20460</v>
      </c>
      <c r="AG10255" t="s">
        <v>45556</v>
      </c>
      <c r="AH10255">
        <v>3</v>
      </c>
      <c r="AI10255">
        <v>1</v>
      </c>
      <c r="AJ10255">
        <v>0</v>
      </c>
      <c r="AK10255">
        <v>16.45</v>
      </c>
      <c r="AN10255" t="s">
        <v>7439</v>
      </c>
      <c r="AO10255">
        <v>2054</v>
      </c>
      <c r="AU10255">
        <v>5.8</v>
      </c>
      <c r="AV10255" t="s">
        <v>765</v>
      </c>
      <c r="AW10255" t="s">
        <v>314</v>
      </c>
    </row>
    <row r="10256" spans="1:50">
      <c r="A10256" s="1">
        <f>HYPERLINK("https://lsnyc.legalserver.org/matter/dynamic-profile/view/1895747","19-1895747")</f>
        <v>0</v>
      </c>
      <c r="B10256" t="s">
        <v>221</v>
      </c>
      <c r="C10256" t="s">
        <v>340</v>
      </c>
      <c r="D10256" t="s">
        <v>795</v>
      </c>
      <c r="F10256" t="s">
        <v>1111</v>
      </c>
      <c r="G10256" t="s">
        <v>9317</v>
      </c>
      <c r="H10256" t="s">
        <v>11227</v>
      </c>
      <c r="I10256" t="s">
        <v>18775</v>
      </c>
      <c r="J10256" t="s">
        <v>18901</v>
      </c>
      <c r="K10256">
        <v>11434</v>
      </c>
      <c r="L10256" t="s">
        <v>18960</v>
      </c>
      <c r="M10256" t="s">
        <v>18960</v>
      </c>
      <c r="N10256" t="s">
        <v>25947</v>
      </c>
      <c r="O10256" t="s">
        <v>26523</v>
      </c>
      <c r="P10256" t="s">
        <v>26560</v>
      </c>
      <c r="R10256" t="s">
        <v>26591</v>
      </c>
      <c r="U10256" t="s">
        <v>26604</v>
      </c>
      <c r="X10256">
        <v>1497</v>
      </c>
      <c r="Y10256" t="s">
        <v>26653</v>
      </c>
      <c r="Z10256" t="s">
        <v>26668</v>
      </c>
      <c r="AB10256" t="s">
        <v>33882</v>
      </c>
      <c r="AD10256" t="s">
        <v>44742</v>
      </c>
      <c r="AE10256">
        <v>281</v>
      </c>
      <c r="AF10256" t="s">
        <v>45550</v>
      </c>
      <c r="AG10256" t="s">
        <v>19330</v>
      </c>
      <c r="AH10256">
        <v>20</v>
      </c>
      <c r="AI10256">
        <v>1</v>
      </c>
      <c r="AJ10256">
        <v>0</v>
      </c>
      <c r="AK10256">
        <v>171.5</v>
      </c>
      <c r="AN10256" t="s">
        <v>7439</v>
      </c>
      <c r="AO10256">
        <v>21420</v>
      </c>
      <c r="AU10256">
        <v>11.8</v>
      </c>
      <c r="AV10256" t="s">
        <v>833</v>
      </c>
      <c r="AW10256" t="s">
        <v>46849</v>
      </c>
    </row>
    <row r="10257" spans="1:50">
      <c r="A10257" s="1">
        <f>HYPERLINK("https://lsnyc.legalserver.org/matter/dynamic-profile/view/1895891","19-1895891")</f>
        <v>0</v>
      </c>
      <c r="B10257" t="s">
        <v>105</v>
      </c>
      <c r="C10257" t="s">
        <v>341</v>
      </c>
      <c r="D10257" t="s">
        <v>791</v>
      </c>
      <c r="E10257" t="s">
        <v>762</v>
      </c>
      <c r="F10257" t="s">
        <v>2124</v>
      </c>
      <c r="G10257" t="s">
        <v>5271</v>
      </c>
      <c r="H10257" t="s">
        <v>16120</v>
      </c>
      <c r="I10257" t="s">
        <v>18173</v>
      </c>
      <c r="J10257" t="s">
        <v>18901</v>
      </c>
      <c r="K10257">
        <v>11433</v>
      </c>
      <c r="L10257" t="s">
        <v>18960</v>
      </c>
      <c r="M10257" t="s">
        <v>18960</v>
      </c>
      <c r="N10257" t="s">
        <v>25948</v>
      </c>
      <c r="O10257" t="s">
        <v>26523</v>
      </c>
      <c r="P10257" t="s">
        <v>26564</v>
      </c>
      <c r="Q10257" t="s">
        <v>26570</v>
      </c>
      <c r="R10257" t="s">
        <v>26583</v>
      </c>
      <c r="U10257" t="s">
        <v>26605</v>
      </c>
      <c r="X10257">
        <v>1226</v>
      </c>
      <c r="Y10257" t="s">
        <v>26653</v>
      </c>
      <c r="AA10257" t="s">
        <v>26683</v>
      </c>
      <c r="AB10257" t="s">
        <v>30324</v>
      </c>
      <c r="AD10257" t="s">
        <v>44743</v>
      </c>
      <c r="AE10257">
        <v>45</v>
      </c>
      <c r="AH10257">
        <v>4</v>
      </c>
      <c r="AI10257">
        <v>1</v>
      </c>
      <c r="AJ10257">
        <v>0</v>
      </c>
      <c r="AK10257">
        <v>368.29</v>
      </c>
      <c r="AN10257" t="s">
        <v>7439</v>
      </c>
      <c r="AO10257">
        <v>46000</v>
      </c>
      <c r="AU10257">
        <v>1.4</v>
      </c>
      <c r="AV10257" t="s">
        <v>761</v>
      </c>
      <c r="AW10257" t="s">
        <v>46850</v>
      </c>
    </row>
    <row r="10258" spans="1:50">
      <c r="A10258" s="1">
        <f>HYPERLINK("https://lsnyc.legalserver.org/matter/dynamic-profile/view/1895983","19-1895983")</f>
        <v>0</v>
      </c>
      <c r="B10258" t="s">
        <v>169</v>
      </c>
      <c r="C10258" t="s">
        <v>340</v>
      </c>
      <c r="D10258" t="s">
        <v>791</v>
      </c>
      <c r="F10258" t="s">
        <v>2633</v>
      </c>
      <c r="G10258" t="s">
        <v>4588</v>
      </c>
      <c r="H10258" t="s">
        <v>10149</v>
      </c>
      <c r="I10258" t="s">
        <v>18649</v>
      </c>
      <c r="J10258" t="s">
        <v>18892</v>
      </c>
      <c r="K10258">
        <v>10458</v>
      </c>
      <c r="L10258" t="s">
        <v>18958</v>
      </c>
      <c r="M10258" t="s">
        <v>18958</v>
      </c>
      <c r="N10258" t="s">
        <v>23335</v>
      </c>
      <c r="O10258" t="s">
        <v>26534</v>
      </c>
      <c r="P10258" t="s">
        <v>26561</v>
      </c>
      <c r="R10258" t="s">
        <v>26578</v>
      </c>
      <c r="S10258" t="s">
        <v>18958</v>
      </c>
      <c r="U10258" t="s">
        <v>26604</v>
      </c>
      <c r="X10258">
        <v>1248.14</v>
      </c>
      <c r="Y10258" t="s">
        <v>26650</v>
      </c>
      <c r="Z10258" t="s">
        <v>26663</v>
      </c>
      <c r="AB10258" t="s">
        <v>33315</v>
      </c>
      <c r="AE10258">
        <v>142</v>
      </c>
      <c r="AF10258" t="s">
        <v>45547</v>
      </c>
      <c r="AG10258" t="s">
        <v>19330</v>
      </c>
      <c r="AH10258">
        <v>6</v>
      </c>
      <c r="AI10258">
        <v>3</v>
      </c>
      <c r="AJ10258">
        <v>2</v>
      </c>
      <c r="AK10258">
        <v>0</v>
      </c>
      <c r="AN10258" t="s">
        <v>45581</v>
      </c>
      <c r="AO10258">
        <v>0</v>
      </c>
      <c r="AU10258">
        <v>0</v>
      </c>
      <c r="AW10258" t="s">
        <v>329</v>
      </c>
    </row>
    <row r="10259" spans="1:50">
      <c r="A10259" s="1">
        <f>HYPERLINK("https://lsnyc.legalserver.org/matter/dynamic-profile/view/1895972","19-1895972")</f>
        <v>0</v>
      </c>
      <c r="B10259" t="s">
        <v>169</v>
      </c>
      <c r="C10259" t="s">
        <v>340</v>
      </c>
      <c r="D10259" t="s">
        <v>791</v>
      </c>
      <c r="F10259" t="s">
        <v>4546</v>
      </c>
      <c r="G10259" t="s">
        <v>9026</v>
      </c>
      <c r="H10259" t="s">
        <v>10149</v>
      </c>
      <c r="I10259" t="s">
        <v>18667</v>
      </c>
      <c r="J10259" t="s">
        <v>18892</v>
      </c>
      <c r="K10259">
        <v>10458</v>
      </c>
      <c r="L10259" t="s">
        <v>18958</v>
      </c>
      <c r="M10259" t="s">
        <v>18958</v>
      </c>
      <c r="N10259" t="s">
        <v>23335</v>
      </c>
      <c r="O10259" t="s">
        <v>26534</v>
      </c>
      <c r="P10259" t="s">
        <v>26561</v>
      </c>
      <c r="R10259" t="s">
        <v>26578</v>
      </c>
      <c r="S10259" t="s">
        <v>18958</v>
      </c>
      <c r="U10259" t="s">
        <v>26604</v>
      </c>
      <c r="X10259">
        <v>867</v>
      </c>
      <c r="Y10259" t="s">
        <v>26650</v>
      </c>
      <c r="Z10259" t="s">
        <v>26663</v>
      </c>
      <c r="AB10259" t="s">
        <v>31071</v>
      </c>
      <c r="AC10259">
        <v>4690917</v>
      </c>
      <c r="AE10259">
        <v>142</v>
      </c>
      <c r="AF10259" t="s">
        <v>45541</v>
      </c>
      <c r="AG10259" t="s">
        <v>26530</v>
      </c>
      <c r="AH10259">
        <v>39</v>
      </c>
      <c r="AI10259">
        <v>2</v>
      </c>
      <c r="AJ10259">
        <v>0</v>
      </c>
      <c r="AK10259">
        <v>86.20999999999999</v>
      </c>
      <c r="AN10259" t="s">
        <v>7439</v>
      </c>
      <c r="AO10259">
        <v>14000</v>
      </c>
      <c r="AU10259">
        <v>0.1</v>
      </c>
      <c r="AV10259" t="s">
        <v>816</v>
      </c>
      <c r="AW10259" t="s">
        <v>329</v>
      </c>
    </row>
    <row r="10260" spans="1:50">
      <c r="A10260" s="1">
        <f>HYPERLINK("https://lsnyc.legalserver.org/matter/dynamic-profile/view/1895944","19-1895944")</f>
        <v>0</v>
      </c>
      <c r="B10260" t="s">
        <v>169</v>
      </c>
      <c r="C10260" t="s">
        <v>340</v>
      </c>
      <c r="D10260" t="s">
        <v>791</v>
      </c>
      <c r="F10260" t="s">
        <v>3550</v>
      </c>
      <c r="G10260" t="s">
        <v>1725</v>
      </c>
      <c r="H10260" t="s">
        <v>10149</v>
      </c>
      <c r="I10260" t="s">
        <v>18305</v>
      </c>
      <c r="J10260" t="s">
        <v>18892</v>
      </c>
      <c r="K10260">
        <v>10458</v>
      </c>
      <c r="L10260" t="s">
        <v>18958</v>
      </c>
      <c r="M10260" t="s">
        <v>18958</v>
      </c>
      <c r="N10260" t="s">
        <v>23335</v>
      </c>
      <c r="O10260" t="s">
        <v>26534</v>
      </c>
      <c r="P10260" t="s">
        <v>26561</v>
      </c>
      <c r="R10260" t="s">
        <v>26578</v>
      </c>
      <c r="S10260" t="s">
        <v>18958</v>
      </c>
      <c r="U10260" t="s">
        <v>26604</v>
      </c>
      <c r="X10260">
        <v>1122.95</v>
      </c>
      <c r="Y10260" t="s">
        <v>26650</v>
      </c>
      <c r="Z10260" t="s">
        <v>26663</v>
      </c>
      <c r="AB10260" t="s">
        <v>31398</v>
      </c>
      <c r="AD10260" t="s">
        <v>41608</v>
      </c>
      <c r="AE10260">
        <v>142</v>
      </c>
      <c r="AF10260" t="s">
        <v>45541</v>
      </c>
      <c r="AG10260" t="s">
        <v>19330</v>
      </c>
      <c r="AH10260">
        <v>6</v>
      </c>
      <c r="AI10260">
        <v>2</v>
      </c>
      <c r="AJ10260">
        <v>2</v>
      </c>
      <c r="AK10260">
        <v>100.97</v>
      </c>
      <c r="AN10260" t="s">
        <v>45581</v>
      </c>
      <c r="AO10260">
        <v>26000</v>
      </c>
      <c r="AU10260">
        <v>0</v>
      </c>
      <c r="AW10260" t="s">
        <v>329</v>
      </c>
    </row>
    <row r="10261" spans="1:50">
      <c r="A10261" s="1">
        <f>HYPERLINK("https://lsnyc.legalserver.org/matter/dynamic-profile/view/1895947","19-1895947")</f>
        <v>0</v>
      </c>
      <c r="B10261" t="s">
        <v>169</v>
      </c>
      <c r="C10261" t="s">
        <v>340</v>
      </c>
      <c r="D10261" t="s">
        <v>791</v>
      </c>
      <c r="F10261" t="s">
        <v>887</v>
      </c>
      <c r="G10261" t="s">
        <v>5147</v>
      </c>
      <c r="H10261" t="s">
        <v>10149</v>
      </c>
      <c r="I10261" t="s">
        <v>18665</v>
      </c>
      <c r="J10261" t="s">
        <v>18892</v>
      </c>
      <c r="K10261">
        <v>10458</v>
      </c>
      <c r="L10261" t="s">
        <v>18958</v>
      </c>
      <c r="M10261" t="s">
        <v>18958</v>
      </c>
      <c r="N10261" t="s">
        <v>23335</v>
      </c>
      <c r="O10261" t="s">
        <v>26534</v>
      </c>
      <c r="P10261" t="s">
        <v>26561</v>
      </c>
      <c r="R10261" t="s">
        <v>26578</v>
      </c>
      <c r="S10261" t="s">
        <v>18958</v>
      </c>
      <c r="U10261" t="s">
        <v>26604</v>
      </c>
      <c r="V10261" t="s">
        <v>26610</v>
      </c>
      <c r="X10261">
        <v>1209.23</v>
      </c>
      <c r="Y10261" t="s">
        <v>26650</v>
      </c>
      <c r="Z10261" t="s">
        <v>26663</v>
      </c>
      <c r="AB10261" t="s">
        <v>29131</v>
      </c>
      <c r="AE10261">
        <v>142</v>
      </c>
      <c r="AG10261" t="s">
        <v>45559</v>
      </c>
      <c r="AH10261">
        <v>16</v>
      </c>
      <c r="AI10261">
        <v>3</v>
      </c>
      <c r="AJ10261">
        <v>0</v>
      </c>
      <c r="AK10261">
        <v>104.19</v>
      </c>
      <c r="AN10261" t="s">
        <v>45581</v>
      </c>
      <c r="AO10261">
        <v>22224</v>
      </c>
      <c r="AU10261">
        <v>0</v>
      </c>
      <c r="AW10261" t="s">
        <v>329</v>
      </c>
    </row>
    <row r="10262" spans="1:50">
      <c r="A10262" s="1">
        <f>HYPERLINK("https://lsnyc.legalserver.org/matter/dynamic-profile/view/1895986","19-1895986")</f>
        <v>0</v>
      </c>
      <c r="B10262" t="s">
        <v>169</v>
      </c>
      <c r="C10262" t="s">
        <v>340</v>
      </c>
      <c r="D10262" t="s">
        <v>791</v>
      </c>
      <c r="F10262" t="s">
        <v>900</v>
      </c>
      <c r="G10262" t="s">
        <v>1725</v>
      </c>
      <c r="H10262" t="s">
        <v>10149</v>
      </c>
      <c r="I10262" t="s">
        <v>17573</v>
      </c>
      <c r="J10262" t="s">
        <v>18892</v>
      </c>
      <c r="K10262">
        <v>10458</v>
      </c>
      <c r="L10262" t="s">
        <v>18958</v>
      </c>
      <c r="M10262" t="s">
        <v>18958</v>
      </c>
      <c r="N10262" t="s">
        <v>24432</v>
      </c>
      <c r="O10262" t="s">
        <v>26534</v>
      </c>
      <c r="P10262" t="s">
        <v>26561</v>
      </c>
      <c r="R10262" t="s">
        <v>26578</v>
      </c>
      <c r="S10262" t="s">
        <v>18958</v>
      </c>
      <c r="U10262" t="s">
        <v>26604</v>
      </c>
      <c r="X10262">
        <v>1129.54</v>
      </c>
      <c r="Y10262" t="s">
        <v>26650</v>
      </c>
      <c r="Z10262" t="s">
        <v>26668</v>
      </c>
      <c r="AB10262" t="s">
        <v>31578</v>
      </c>
      <c r="AC10262" t="s">
        <v>36372</v>
      </c>
      <c r="AD10262" t="s">
        <v>44110</v>
      </c>
      <c r="AE10262">
        <v>142</v>
      </c>
      <c r="AF10262" t="s">
        <v>45541</v>
      </c>
      <c r="AG10262" t="s">
        <v>19330</v>
      </c>
      <c r="AH10262">
        <v>4</v>
      </c>
      <c r="AI10262">
        <v>1</v>
      </c>
      <c r="AJ10262">
        <v>0</v>
      </c>
      <c r="AK10262">
        <v>148.27</v>
      </c>
      <c r="AN10262" t="s">
        <v>7439</v>
      </c>
      <c r="AO10262">
        <v>18000</v>
      </c>
      <c r="AU10262">
        <v>0</v>
      </c>
      <c r="AW10262" t="s">
        <v>329</v>
      </c>
    </row>
    <row r="10263" spans="1:50">
      <c r="A10263" s="1">
        <f>HYPERLINK("https://lsnyc.legalserver.org/matter/dynamic-profile/view/1895928","19-1895928")</f>
        <v>0</v>
      </c>
      <c r="B10263" t="s">
        <v>329</v>
      </c>
      <c r="C10263" t="s">
        <v>340</v>
      </c>
      <c r="D10263" t="s">
        <v>791</v>
      </c>
      <c r="F10263" t="s">
        <v>4545</v>
      </c>
      <c r="G10263" t="s">
        <v>9025</v>
      </c>
      <c r="H10263" t="s">
        <v>10149</v>
      </c>
      <c r="I10263" t="s">
        <v>18666</v>
      </c>
      <c r="J10263" t="s">
        <v>18892</v>
      </c>
      <c r="K10263">
        <v>10458</v>
      </c>
      <c r="L10263" t="s">
        <v>18958</v>
      </c>
      <c r="M10263" t="s">
        <v>18958</v>
      </c>
      <c r="N10263" t="s">
        <v>23335</v>
      </c>
      <c r="O10263" t="s">
        <v>26534</v>
      </c>
      <c r="P10263" t="s">
        <v>26561</v>
      </c>
      <c r="R10263" t="s">
        <v>26578</v>
      </c>
      <c r="S10263" t="s">
        <v>18958</v>
      </c>
      <c r="U10263" t="s">
        <v>26604</v>
      </c>
      <c r="X10263">
        <v>1125</v>
      </c>
      <c r="Y10263" t="s">
        <v>26650</v>
      </c>
      <c r="Z10263" t="s">
        <v>26667</v>
      </c>
      <c r="AB10263" t="s">
        <v>33387</v>
      </c>
      <c r="AE10263">
        <v>136</v>
      </c>
      <c r="AF10263" t="s">
        <v>45541</v>
      </c>
      <c r="AH10263">
        <v>19</v>
      </c>
      <c r="AI10263">
        <v>3</v>
      </c>
      <c r="AJ10263">
        <v>0</v>
      </c>
      <c r="AK10263">
        <v>169.92</v>
      </c>
      <c r="AN10263" t="s">
        <v>45581</v>
      </c>
      <c r="AO10263">
        <v>36244</v>
      </c>
      <c r="AU10263">
        <v>0</v>
      </c>
      <c r="AW10263" t="s">
        <v>329</v>
      </c>
    </row>
    <row r="10264" spans="1:50">
      <c r="A10264" s="1">
        <f>HYPERLINK("https://lsnyc.legalserver.org/matter/dynamic-profile/view/1896005","19-1896005")</f>
        <v>0</v>
      </c>
      <c r="B10264" t="s">
        <v>57</v>
      </c>
      <c r="C10264" t="s">
        <v>340</v>
      </c>
      <c r="D10264" t="s">
        <v>791</v>
      </c>
      <c r="F10264" t="s">
        <v>1738</v>
      </c>
      <c r="G10264" t="s">
        <v>5689</v>
      </c>
      <c r="H10264" t="s">
        <v>16597</v>
      </c>
      <c r="I10264" t="s">
        <v>17307</v>
      </c>
      <c r="J10264" t="s">
        <v>18892</v>
      </c>
      <c r="K10264">
        <v>10451</v>
      </c>
      <c r="L10264" t="s">
        <v>18958</v>
      </c>
      <c r="M10264" t="s">
        <v>18958</v>
      </c>
      <c r="N10264" t="s">
        <v>25949</v>
      </c>
      <c r="O10264" t="s">
        <v>26524</v>
      </c>
      <c r="P10264" t="s">
        <v>26564</v>
      </c>
      <c r="R10264" t="s">
        <v>26591</v>
      </c>
      <c r="U10264" t="s">
        <v>26604</v>
      </c>
      <c r="X10264">
        <v>1146.72</v>
      </c>
      <c r="Y10264" t="s">
        <v>26650</v>
      </c>
      <c r="Z10264" t="s">
        <v>26668</v>
      </c>
      <c r="AB10264" t="s">
        <v>33883</v>
      </c>
      <c r="AD10264" t="s">
        <v>44744</v>
      </c>
      <c r="AE10264">
        <v>0</v>
      </c>
      <c r="AF10264" t="s">
        <v>45541</v>
      </c>
      <c r="AG10264" t="s">
        <v>45559</v>
      </c>
      <c r="AH10264">
        <v>-1</v>
      </c>
      <c r="AI10264">
        <v>1</v>
      </c>
      <c r="AJ10264">
        <v>0</v>
      </c>
      <c r="AK10264">
        <v>68.41</v>
      </c>
      <c r="AN10264" t="s">
        <v>45581</v>
      </c>
      <c r="AO10264">
        <v>8544</v>
      </c>
      <c r="AP10264" t="s">
        <v>46276</v>
      </c>
      <c r="AU10264">
        <v>0.7</v>
      </c>
      <c r="AV10264" t="s">
        <v>826</v>
      </c>
      <c r="AW10264" t="s">
        <v>46870</v>
      </c>
      <c r="AX10264" t="s">
        <v>46897</v>
      </c>
    </row>
    <row r="10265" spans="1:50">
      <c r="A10265" s="1">
        <f>HYPERLINK("https://lsnyc.legalserver.org/matter/dynamic-profile/view/1895939","19-1895939")</f>
        <v>0</v>
      </c>
      <c r="B10265" t="s">
        <v>322</v>
      </c>
      <c r="C10265" t="s">
        <v>340</v>
      </c>
      <c r="D10265" t="s">
        <v>791</v>
      </c>
      <c r="F10265" t="s">
        <v>4776</v>
      </c>
      <c r="G10265" t="s">
        <v>9318</v>
      </c>
      <c r="H10265" t="s">
        <v>16598</v>
      </c>
      <c r="I10265">
        <v>26</v>
      </c>
      <c r="J10265" t="s">
        <v>18893</v>
      </c>
      <c r="K10265">
        <v>10027</v>
      </c>
      <c r="L10265" t="s">
        <v>18960</v>
      </c>
      <c r="M10265" t="s">
        <v>18960</v>
      </c>
      <c r="O10265" t="s">
        <v>18997</v>
      </c>
      <c r="P10265" t="s">
        <v>26564</v>
      </c>
      <c r="R10265" t="s">
        <v>26591</v>
      </c>
      <c r="S10265" t="s">
        <v>18959</v>
      </c>
      <c r="U10265" t="s">
        <v>26604</v>
      </c>
      <c r="X10265">
        <v>700</v>
      </c>
      <c r="Y10265" t="s">
        <v>26651</v>
      </c>
      <c r="Z10265" t="s">
        <v>26530</v>
      </c>
      <c r="AB10265" t="s">
        <v>33884</v>
      </c>
      <c r="AD10265" t="s">
        <v>44745</v>
      </c>
      <c r="AE10265">
        <v>0</v>
      </c>
      <c r="AF10265" t="s">
        <v>45553</v>
      </c>
      <c r="AG10265" t="s">
        <v>19330</v>
      </c>
      <c r="AH10265">
        <v>14</v>
      </c>
      <c r="AI10265">
        <v>1</v>
      </c>
      <c r="AJ10265">
        <v>4</v>
      </c>
      <c r="AK10265">
        <v>17.9</v>
      </c>
      <c r="AN10265" t="s">
        <v>7439</v>
      </c>
      <c r="AO10265">
        <v>5400</v>
      </c>
      <c r="AU10265">
        <v>0.6</v>
      </c>
      <c r="AV10265" t="s">
        <v>762</v>
      </c>
      <c r="AW10265" t="s">
        <v>46860</v>
      </c>
    </row>
    <row r="10266" spans="1:50">
      <c r="A10266" s="1">
        <f>HYPERLINK("https://lsnyc.legalserver.org/matter/dynamic-profile/view/1895976","19-1895976")</f>
        <v>0</v>
      </c>
      <c r="B10266" t="s">
        <v>60</v>
      </c>
      <c r="C10266" t="s">
        <v>340</v>
      </c>
      <c r="D10266" t="s">
        <v>791</v>
      </c>
      <c r="F10266" t="s">
        <v>4679</v>
      </c>
      <c r="G10266" t="s">
        <v>5514</v>
      </c>
      <c r="H10266" t="s">
        <v>16356</v>
      </c>
      <c r="I10266" t="s">
        <v>17327</v>
      </c>
      <c r="J10266" t="s">
        <v>18892</v>
      </c>
      <c r="K10266">
        <v>10452</v>
      </c>
      <c r="L10266" t="s">
        <v>18958</v>
      </c>
      <c r="M10266" t="s">
        <v>18960</v>
      </c>
      <c r="N10266" t="s">
        <v>25950</v>
      </c>
      <c r="O10266" t="s">
        <v>26523</v>
      </c>
      <c r="P10266" t="s">
        <v>26564</v>
      </c>
      <c r="R10266" t="s">
        <v>26578</v>
      </c>
      <c r="U10266" t="s">
        <v>26604</v>
      </c>
      <c r="X10266">
        <v>0</v>
      </c>
      <c r="Y10266" t="s">
        <v>26650</v>
      </c>
      <c r="AB10266" t="s">
        <v>33665</v>
      </c>
      <c r="AD10266" t="s">
        <v>44473</v>
      </c>
      <c r="AE10266">
        <v>0</v>
      </c>
      <c r="AH10266">
        <v>0</v>
      </c>
      <c r="AI10266">
        <v>1</v>
      </c>
      <c r="AJ10266">
        <v>0</v>
      </c>
      <c r="AK10266">
        <v>67.25</v>
      </c>
      <c r="AO10266">
        <v>8400</v>
      </c>
      <c r="AU10266">
        <v>0.5</v>
      </c>
      <c r="AV10266" t="s">
        <v>761</v>
      </c>
      <c r="AW10266" t="s">
        <v>60</v>
      </c>
      <c r="AX10266" t="s">
        <v>46897</v>
      </c>
    </row>
    <row r="10267" spans="1:50">
      <c r="A10267" s="1">
        <f>HYPERLINK("https://lsnyc.legalserver.org/matter/dynamic-profile/view/1895962","19-1895962")</f>
        <v>0</v>
      </c>
      <c r="B10267" t="s">
        <v>60</v>
      </c>
      <c r="C10267" t="s">
        <v>340</v>
      </c>
      <c r="D10267" t="s">
        <v>791</v>
      </c>
      <c r="F10267" t="s">
        <v>895</v>
      </c>
      <c r="G10267" t="s">
        <v>9319</v>
      </c>
      <c r="H10267" t="s">
        <v>16356</v>
      </c>
      <c r="I10267" t="s">
        <v>18776</v>
      </c>
      <c r="J10267" t="s">
        <v>18892</v>
      </c>
      <c r="K10267">
        <v>10452</v>
      </c>
      <c r="L10267" t="s">
        <v>18958</v>
      </c>
      <c r="M10267" t="s">
        <v>18958</v>
      </c>
      <c r="N10267" t="s">
        <v>19045</v>
      </c>
      <c r="O10267" t="s">
        <v>18997</v>
      </c>
      <c r="P10267" t="s">
        <v>26564</v>
      </c>
      <c r="R10267" t="s">
        <v>26578</v>
      </c>
      <c r="S10267" t="s">
        <v>18959</v>
      </c>
      <c r="U10267" t="s">
        <v>26606</v>
      </c>
      <c r="X10267">
        <v>390</v>
      </c>
      <c r="Y10267" t="s">
        <v>26650</v>
      </c>
      <c r="Z10267" t="s">
        <v>26661</v>
      </c>
      <c r="AB10267" t="s">
        <v>33885</v>
      </c>
      <c r="AD10267" t="s">
        <v>44746</v>
      </c>
      <c r="AE10267">
        <v>0</v>
      </c>
      <c r="AF10267" t="s">
        <v>45543</v>
      </c>
      <c r="AG10267" t="s">
        <v>45556</v>
      </c>
      <c r="AH10267">
        <v>27</v>
      </c>
      <c r="AI10267">
        <v>2</v>
      </c>
      <c r="AJ10267">
        <v>0</v>
      </c>
      <c r="AK10267">
        <v>105.42</v>
      </c>
      <c r="AN10267" t="s">
        <v>7439</v>
      </c>
      <c r="AO10267">
        <v>17826</v>
      </c>
      <c r="AP10267" t="s">
        <v>46037</v>
      </c>
      <c r="AU10267">
        <v>0.1</v>
      </c>
      <c r="AV10267" t="s">
        <v>839</v>
      </c>
      <c r="AW10267" t="s">
        <v>60</v>
      </c>
      <c r="AX10267" t="s">
        <v>46897</v>
      </c>
    </row>
    <row r="10268" spans="1:50">
      <c r="A10268" s="1">
        <f>HYPERLINK("https://lsnyc.legalserver.org/matter/dynamic-profile/view/1895879","19-1895879")</f>
        <v>0</v>
      </c>
      <c r="B10268" t="s">
        <v>159</v>
      </c>
      <c r="C10268" t="s">
        <v>340</v>
      </c>
      <c r="D10268" t="s">
        <v>791</v>
      </c>
      <c r="F10268" t="s">
        <v>4777</v>
      </c>
      <c r="G10268" t="s">
        <v>6719</v>
      </c>
      <c r="H10268" t="s">
        <v>13134</v>
      </c>
      <c r="I10268" t="s">
        <v>17348</v>
      </c>
      <c r="J10268" t="s">
        <v>18901</v>
      </c>
      <c r="K10268">
        <v>11433</v>
      </c>
      <c r="L10268" t="s">
        <v>18958</v>
      </c>
      <c r="M10268" t="s">
        <v>18958</v>
      </c>
      <c r="N10268" t="s">
        <v>25951</v>
      </c>
      <c r="O10268" t="s">
        <v>26524</v>
      </c>
      <c r="P10268" t="s">
        <v>26560</v>
      </c>
      <c r="R10268" t="s">
        <v>26585</v>
      </c>
      <c r="S10268" t="s">
        <v>18959</v>
      </c>
      <c r="U10268" t="s">
        <v>26605</v>
      </c>
      <c r="V10268" t="s">
        <v>26610</v>
      </c>
      <c r="X10268">
        <v>0</v>
      </c>
      <c r="Y10268" t="s">
        <v>26653</v>
      </c>
      <c r="Z10268" t="s">
        <v>26668</v>
      </c>
      <c r="AB10268" t="s">
        <v>33886</v>
      </c>
      <c r="AD10268" t="s">
        <v>44747</v>
      </c>
      <c r="AE10268">
        <v>0</v>
      </c>
      <c r="AF10268" t="s">
        <v>45542</v>
      </c>
      <c r="AG10268" t="s">
        <v>19330</v>
      </c>
      <c r="AH10268">
        <v>8</v>
      </c>
      <c r="AI10268">
        <v>1</v>
      </c>
      <c r="AJ10268">
        <v>0</v>
      </c>
      <c r="AK10268">
        <v>200.16</v>
      </c>
      <c r="AN10268" t="s">
        <v>7439</v>
      </c>
      <c r="AO10268">
        <v>25000</v>
      </c>
      <c r="AU10268">
        <v>6.4</v>
      </c>
      <c r="AV10268" t="s">
        <v>823</v>
      </c>
      <c r="AW10268" t="s">
        <v>46842</v>
      </c>
    </row>
    <row r="10269" spans="1:50">
      <c r="A10269" s="1">
        <f>HYPERLINK("https://lsnyc.legalserver.org/matter/dynamic-profile/view/1895995","19-1895995")</f>
        <v>0</v>
      </c>
      <c r="B10269" t="s">
        <v>200</v>
      </c>
      <c r="C10269" t="s">
        <v>340</v>
      </c>
      <c r="D10269" t="s">
        <v>791</v>
      </c>
      <c r="F10269" t="s">
        <v>1486</v>
      </c>
      <c r="G10269" t="s">
        <v>5691</v>
      </c>
      <c r="H10269" t="s">
        <v>16599</v>
      </c>
      <c r="I10269">
        <v>13</v>
      </c>
      <c r="J10269" t="s">
        <v>18894</v>
      </c>
      <c r="K10269">
        <v>11208</v>
      </c>
      <c r="L10269" t="s">
        <v>18960</v>
      </c>
      <c r="M10269" t="s">
        <v>18960</v>
      </c>
      <c r="R10269" t="s">
        <v>26591</v>
      </c>
      <c r="U10269" t="s">
        <v>26604</v>
      </c>
      <c r="X10269">
        <v>1515</v>
      </c>
      <c r="Y10269" t="s">
        <v>26652</v>
      </c>
      <c r="AB10269" t="s">
        <v>32732</v>
      </c>
      <c r="AD10269" t="s">
        <v>44748</v>
      </c>
      <c r="AE10269">
        <v>10</v>
      </c>
      <c r="AG10269" t="s">
        <v>45558</v>
      </c>
      <c r="AH10269">
        <v>1</v>
      </c>
      <c r="AI10269">
        <v>1</v>
      </c>
      <c r="AJ10269">
        <v>2</v>
      </c>
      <c r="AK10269">
        <v>23.4</v>
      </c>
      <c r="AN10269" t="s">
        <v>7439</v>
      </c>
      <c r="AO10269">
        <v>4992</v>
      </c>
      <c r="AU10269">
        <v>2.8</v>
      </c>
      <c r="AV10269" t="s">
        <v>813</v>
      </c>
      <c r="AW10269" t="s">
        <v>46857</v>
      </c>
    </row>
    <row r="10270" spans="1:50">
      <c r="A10270" s="1">
        <f>HYPERLINK("https://lsnyc.legalserver.org/matter/dynamic-profile/view/1896410","19-1896410")</f>
        <v>0</v>
      </c>
      <c r="B10270" t="s">
        <v>273</v>
      </c>
      <c r="C10270" t="s">
        <v>340</v>
      </c>
      <c r="D10270" t="s">
        <v>791</v>
      </c>
      <c r="F10270" t="s">
        <v>1081</v>
      </c>
      <c r="G10270" t="s">
        <v>9320</v>
      </c>
      <c r="H10270" t="s">
        <v>9675</v>
      </c>
      <c r="I10270" t="s">
        <v>18777</v>
      </c>
      <c r="J10270" t="s">
        <v>18893</v>
      </c>
      <c r="K10270">
        <v>10034</v>
      </c>
      <c r="L10270" t="s">
        <v>18960</v>
      </c>
      <c r="M10270" t="s">
        <v>18960</v>
      </c>
      <c r="N10270" t="s">
        <v>25952</v>
      </c>
      <c r="O10270" t="s">
        <v>26524</v>
      </c>
      <c r="R10270" t="s">
        <v>26589</v>
      </c>
      <c r="U10270" t="s">
        <v>26604</v>
      </c>
      <c r="X10270">
        <v>0</v>
      </c>
      <c r="Y10270" t="s">
        <v>26651</v>
      </c>
      <c r="AB10270" t="s">
        <v>33887</v>
      </c>
      <c r="AD10270" t="s">
        <v>44749</v>
      </c>
      <c r="AE10270">
        <v>0</v>
      </c>
      <c r="AH10270">
        <v>4</v>
      </c>
      <c r="AI10270">
        <v>2</v>
      </c>
      <c r="AJ10270">
        <v>1</v>
      </c>
      <c r="AK10270">
        <v>0</v>
      </c>
      <c r="AN10270" t="s">
        <v>45581</v>
      </c>
      <c r="AO10270">
        <v>0</v>
      </c>
      <c r="AU10270">
        <v>1.2</v>
      </c>
      <c r="AV10270" t="s">
        <v>762</v>
      </c>
      <c r="AW10270" t="s">
        <v>46838</v>
      </c>
    </row>
    <row r="10271" spans="1:50">
      <c r="A10271" s="1">
        <f>HYPERLINK("https://lsnyc.legalserver.org/matter/dynamic-profile/view/1896334","19-1896334")</f>
        <v>0</v>
      </c>
      <c r="B10271" t="s">
        <v>273</v>
      </c>
      <c r="C10271" t="s">
        <v>340</v>
      </c>
      <c r="D10271" t="s">
        <v>791</v>
      </c>
      <c r="F10271" t="s">
        <v>3904</v>
      </c>
      <c r="G10271" t="s">
        <v>7072</v>
      </c>
      <c r="H10271" t="s">
        <v>16600</v>
      </c>
      <c r="I10271" t="s">
        <v>17568</v>
      </c>
      <c r="J10271" t="s">
        <v>18893</v>
      </c>
      <c r="K10271">
        <v>10034</v>
      </c>
      <c r="L10271" t="s">
        <v>18960</v>
      </c>
      <c r="M10271" t="s">
        <v>18960</v>
      </c>
      <c r="N10271" t="s">
        <v>25953</v>
      </c>
      <c r="O10271" t="s">
        <v>26523</v>
      </c>
      <c r="R10271" t="s">
        <v>26589</v>
      </c>
      <c r="U10271" t="s">
        <v>26604</v>
      </c>
      <c r="X10271">
        <v>1250</v>
      </c>
      <c r="Y10271" t="s">
        <v>26651</v>
      </c>
      <c r="AB10271" t="s">
        <v>33888</v>
      </c>
      <c r="AE10271">
        <v>0</v>
      </c>
      <c r="AH10271">
        <v>13</v>
      </c>
      <c r="AI10271">
        <v>1</v>
      </c>
      <c r="AJ10271">
        <v>0</v>
      </c>
      <c r="AK10271">
        <v>0</v>
      </c>
      <c r="AN10271" t="s">
        <v>45581</v>
      </c>
      <c r="AO10271">
        <v>0</v>
      </c>
      <c r="AU10271">
        <v>1</v>
      </c>
      <c r="AV10271" t="s">
        <v>762</v>
      </c>
      <c r="AW10271" t="s">
        <v>46838</v>
      </c>
    </row>
    <row r="10272" spans="1:50">
      <c r="A10272" s="1">
        <f>HYPERLINK("https://lsnyc.legalserver.org/matter/dynamic-profile/view/1896374","19-1896374")</f>
        <v>0</v>
      </c>
      <c r="B10272" t="s">
        <v>273</v>
      </c>
      <c r="C10272" t="s">
        <v>340</v>
      </c>
      <c r="D10272" t="s">
        <v>791</v>
      </c>
      <c r="F10272" t="s">
        <v>4778</v>
      </c>
      <c r="G10272" t="s">
        <v>5292</v>
      </c>
      <c r="H10272" t="s">
        <v>14208</v>
      </c>
      <c r="I10272" t="s">
        <v>17276</v>
      </c>
      <c r="J10272" t="s">
        <v>18893</v>
      </c>
      <c r="K10272">
        <v>10033</v>
      </c>
      <c r="L10272" t="s">
        <v>18960</v>
      </c>
      <c r="M10272" t="s">
        <v>18960</v>
      </c>
      <c r="O10272" t="s">
        <v>18997</v>
      </c>
      <c r="P10272" t="s">
        <v>26563</v>
      </c>
      <c r="R10272" t="s">
        <v>26589</v>
      </c>
      <c r="U10272" t="s">
        <v>26604</v>
      </c>
      <c r="X10272">
        <v>1300</v>
      </c>
      <c r="Y10272" t="s">
        <v>26651</v>
      </c>
      <c r="AB10272" t="s">
        <v>33889</v>
      </c>
      <c r="AD10272" t="s">
        <v>44750</v>
      </c>
      <c r="AE10272">
        <v>0</v>
      </c>
      <c r="AH10272">
        <v>40</v>
      </c>
      <c r="AI10272">
        <v>1</v>
      </c>
      <c r="AJ10272">
        <v>0</v>
      </c>
      <c r="AK10272">
        <v>144.12</v>
      </c>
      <c r="AN10272" t="s">
        <v>45581</v>
      </c>
      <c r="AO10272">
        <v>18000</v>
      </c>
      <c r="AU10272">
        <v>0</v>
      </c>
      <c r="AW10272" t="s">
        <v>46838</v>
      </c>
    </row>
    <row r="10273" spans="1:49">
      <c r="A10273" s="1">
        <f>HYPERLINK("https://lsnyc.legalserver.org/matter/dynamic-profile/view/1896423","19-1896423")</f>
        <v>0</v>
      </c>
      <c r="B10273" t="s">
        <v>273</v>
      </c>
      <c r="C10273" t="s">
        <v>340</v>
      </c>
      <c r="D10273" t="s">
        <v>791</v>
      </c>
      <c r="F10273" t="s">
        <v>1228</v>
      </c>
      <c r="G10273" t="s">
        <v>5254</v>
      </c>
      <c r="H10273" t="s">
        <v>15426</v>
      </c>
      <c r="I10273">
        <v>3</v>
      </c>
      <c r="J10273" t="s">
        <v>18893</v>
      </c>
      <c r="K10273">
        <v>10033</v>
      </c>
      <c r="L10273" t="s">
        <v>18960</v>
      </c>
      <c r="M10273" t="s">
        <v>18960</v>
      </c>
      <c r="O10273" t="s">
        <v>18997</v>
      </c>
      <c r="P10273" t="s">
        <v>26563</v>
      </c>
      <c r="R10273" t="s">
        <v>26589</v>
      </c>
      <c r="U10273" t="s">
        <v>26604</v>
      </c>
      <c r="X10273">
        <v>0</v>
      </c>
      <c r="Y10273" t="s">
        <v>26651</v>
      </c>
      <c r="AB10273" t="s">
        <v>33890</v>
      </c>
      <c r="AD10273" t="s">
        <v>44751</v>
      </c>
      <c r="AE10273">
        <v>0</v>
      </c>
      <c r="AH10273">
        <v>0</v>
      </c>
      <c r="AI10273">
        <v>1</v>
      </c>
      <c r="AJ10273">
        <v>0</v>
      </c>
      <c r="AK10273">
        <v>163.23</v>
      </c>
      <c r="AN10273" t="s">
        <v>45581</v>
      </c>
      <c r="AO10273">
        <v>20388</v>
      </c>
      <c r="AU10273">
        <v>0</v>
      </c>
      <c r="AW10273" t="s">
        <v>46838</v>
      </c>
    </row>
    <row r="10274" spans="1:49">
      <c r="A10274" s="1">
        <f>HYPERLINK("https://lsnyc.legalserver.org/matter/dynamic-profile/view/1895907","19-1895907")</f>
        <v>0</v>
      </c>
      <c r="B10274" t="s">
        <v>112</v>
      </c>
      <c r="C10274" t="s">
        <v>340</v>
      </c>
      <c r="D10274" t="s">
        <v>791</v>
      </c>
      <c r="F10274" t="s">
        <v>4779</v>
      </c>
      <c r="G10274" t="s">
        <v>5435</v>
      </c>
      <c r="H10274" t="s">
        <v>13134</v>
      </c>
      <c r="I10274" t="s">
        <v>18778</v>
      </c>
      <c r="J10274" t="s">
        <v>18901</v>
      </c>
      <c r="K10274">
        <v>11433</v>
      </c>
      <c r="L10274" t="s">
        <v>18960</v>
      </c>
      <c r="M10274" t="s">
        <v>18960</v>
      </c>
      <c r="N10274" t="s">
        <v>25954</v>
      </c>
      <c r="O10274" t="s">
        <v>26523</v>
      </c>
      <c r="P10274" t="s">
        <v>26560</v>
      </c>
      <c r="R10274" t="s">
        <v>26585</v>
      </c>
      <c r="S10274" t="s">
        <v>18959</v>
      </c>
      <c r="U10274" t="s">
        <v>26605</v>
      </c>
      <c r="V10274" t="s">
        <v>26610</v>
      </c>
      <c r="X10274">
        <v>533</v>
      </c>
      <c r="Y10274" t="s">
        <v>26653</v>
      </c>
      <c r="Z10274" t="s">
        <v>26668</v>
      </c>
      <c r="AB10274" t="s">
        <v>33891</v>
      </c>
      <c r="AD10274" t="s">
        <v>44752</v>
      </c>
      <c r="AE10274">
        <v>100</v>
      </c>
      <c r="AF10274" t="s">
        <v>45549</v>
      </c>
      <c r="AH10274">
        <v>3</v>
      </c>
      <c r="AI10274">
        <v>1</v>
      </c>
      <c r="AJ10274">
        <v>0</v>
      </c>
      <c r="AK10274">
        <v>169.77</v>
      </c>
      <c r="AN10274" t="s">
        <v>7439</v>
      </c>
      <c r="AO10274">
        <v>21204</v>
      </c>
      <c r="AU10274">
        <v>8.300000000000001</v>
      </c>
      <c r="AV10274" t="s">
        <v>831</v>
      </c>
      <c r="AW10274" t="s">
        <v>46849</v>
      </c>
    </row>
    <row r="10275" spans="1:49">
      <c r="A10275" s="1">
        <f>HYPERLINK("https://lsnyc.legalserver.org/matter/dynamic-profile/view/1895913","19-1895913")</f>
        <v>0</v>
      </c>
      <c r="B10275" t="s">
        <v>69</v>
      </c>
      <c r="C10275" t="s">
        <v>340</v>
      </c>
      <c r="D10275" t="s">
        <v>791</v>
      </c>
      <c r="F10275" t="s">
        <v>4323</v>
      </c>
      <c r="G10275" t="s">
        <v>5515</v>
      </c>
      <c r="H10275" t="s">
        <v>16601</v>
      </c>
      <c r="I10275" t="s">
        <v>17458</v>
      </c>
      <c r="J10275" t="s">
        <v>18892</v>
      </c>
      <c r="K10275">
        <v>10451</v>
      </c>
      <c r="L10275" t="s">
        <v>18960</v>
      </c>
      <c r="M10275" t="s">
        <v>18960</v>
      </c>
      <c r="P10275" t="s">
        <v>26560</v>
      </c>
      <c r="R10275" t="s">
        <v>26577</v>
      </c>
      <c r="U10275" t="s">
        <v>26606</v>
      </c>
      <c r="X10275">
        <v>0</v>
      </c>
      <c r="Y10275" t="s">
        <v>26650</v>
      </c>
      <c r="AB10275" t="s">
        <v>33892</v>
      </c>
      <c r="AD10275" t="s">
        <v>44753</v>
      </c>
      <c r="AE10275">
        <v>0</v>
      </c>
      <c r="AF10275" t="s">
        <v>45549</v>
      </c>
      <c r="AH10275">
        <v>0</v>
      </c>
      <c r="AI10275">
        <v>1</v>
      </c>
      <c r="AJ10275">
        <v>3</v>
      </c>
      <c r="AK10275">
        <v>125.83</v>
      </c>
      <c r="AO10275">
        <v>32400</v>
      </c>
      <c r="AU10275">
        <v>3</v>
      </c>
      <c r="AV10275" t="s">
        <v>815</v>
      </c>
      <c r="AW10275" t="s">
        <v>46836</v>
      </c>
    </row>
    <row r="10276" spans="1:49">
      <c r="A10276" s="1">
        <f>HYPERLINK("https://lsnyc.legalserver.org/matter/dynamic-profile/view/1895872","19-1895872")</f>
        <v>0</v>
      </c>
      <c r="B10276" t="s">
        <v>69</v>
      </c>
      <c r="C10276" t="s">
        <v>340</v>
      </c>
      <c r="D10276" t="s">
        <v>791</v>
      </c>
      <c r="F10276" t="s">
        <v>4780</v>
      </c>
      <c r="G10276" t="s">
        <v>9321</v>
      </c>
      <c r="H10276" t="s">
        <v>16602</v>
      </c>
      <c r="I10276" t="s">
        <v>17378</v>
      </c>
      <c r="J10276" t="s">
        <v>18892</v>
      </c>
      <c r="K10276">
        <v>10467</v>
      </c>
      <c r="L10276" t="s">
        <v>18960</v>
      </c>
      <c r="M10276" t="s">
        <v>18958</v>
      </c>
      <c r="N10276" t="s">
        <v>25955</v>
      </c>
      <c r="O10276" t="s">
        <v>26523</v>
      </c>
      <c r="P10276" t="s">
        <v>26560</v>
      </c>
      <c r="R10276" t="s">
        <v>26579</v>
      </c>
      <c r="U10276" t="s">
        <v>26604</v>
      </c>
      <c r="X10276">
        <v>1962.23</v>
      </c>
      <c r="Y10276" t="s">
        <v>26650</v>
      </c>
      <c r="Z10276" t="s">
        <v>26664</v>
      </c>
      <c r="AB10276" t="s">
        <v>33893</v>
      </c>
      <c r="AD10276" t="s">
        <v>44754</v>
      </c>
      <c r="AE10276">
        <v>32</v>
      </c>
      <c r="AF10276" t="s">
        <v>20460</v>
      </c>
      <c r="AH10276">
        <v>4</v>
      </c>
      <c r="AI10276">
        <v>2</v>
      </c>
      <c r="AJ10276">
        <v>2</v>
      </c>
      <c r="AK10276">
        <v>184.98</v>
      </c>
      <c r="AN10276" t="s">
        <v>7439</v>
      </c>
      <c r="AO10276">
        <v>47632</v>
      </c>
      <c r="AP10276" t="s">
        <v>46277</v>
      </c>
      <c r="AU10276">
        <v>6.55</v>
      </c>
      <c r="AV10276" t="s">
        <v>767</v>
      </c>
      <c r="AW10276" t="s">
        <v>46836</v>
      </c>
    </row>
    <row r="10277" spans="1:49">
      <c r="A10277" s="1">
        <f>HYPERLINK("https://lsnyc.legalserver.org/matter/dynamic-profile/view/1895880","19-1895880")</f>
        <v>0</v>
      </c>
      <c r="B10277" t="s">
        <v>160</v>
      </c>
      <c r="C10277" t="s">
        <v>340</v>
      </c>
      <c r="D10277" t="s">
        <v>791</v>
      </c>
      <c r="F10277" t="s">
        <v>1733</v>
      </c>
      <c r="G10277" t="s">
        <v>5295</v>
      </c>
      <c r="H10277" t="s">
        <v>16603</v>
      </c>
      <c r="I10277" t="s">
        <v>17423</v>
      </c>
      <c r="J10277" t="s">
        <v>18894</v>
      </c>
      <c r="K10277">
        <v>11208</v>
      </c>
      <c r="L10277" t="s">
        <v>18960</v>
      </c>
      <c r="M10277" t="s">
        <v>18960</v>
      </c>
      <c r="P10277" t="s">
        <v>26564</v>
      </c>
      <c r="R10277" t="s">
        <v>26591</v>
      </c>
      <c r="U10277" t="s">
        <v>26604</v>
      </c>
      <c r="X10277">
        <v>1303</v>
      </c>
      <c r="Y10277" t="s">
        <v>26652</v>
      </c>
      <c r="Z10277" t="s">
        <v>26657</v>
      </c>
      <c r="AB10277" t="s">
        <v>29483</v>
      </c>
      <c r="AD10277" t="s">
        <v>44755</v>
      </c>
      <c r="AE10277">
        <v>2</v>
      </c>
      <c r="AF10277" t="s">
        <v>45551</v>
      </c>
      <c r="AG10277" t="s">
        <v>45558</v>
      </c>
      <c r="AH10277">
        <v>0</v>
      </c>
      <c r="AI10277">
        <v>1</v>
      </c>
      <c r="AJ10277">
        <v>1</v>
      </c>
      <c r="AK10277">
        <v>61.5</v>
      </c>
      <c r="AN10277" t="s">
        <v>7439</v>
      </c>
      <c r="AO10277">
        <v>10400</v>
      </c>
      <c r="AU10277">
        <v>1.2</v>
      </c>
      <c r="AV10277" t="s">
        <v>766</v>
      </c>
      <c r="AW10277" t="s">
        <v>46858</v>
      </c>
    </row>
    <row r="10278" spans="1:49">
      <c r="A10278" s="1">
        <f>HYPERLINK("https://lsnyc.legalserver.org/matter/dynamic-profile/view/1896443","19-1896443")</f>
        <v>0</v>
      </c>
      <c r="B10278" t="s">
        <v>168</v>
      </c>
      <c r="C10278" t="s">
        <v>340</v>
      </c>
      <c r="D10278" t="s">
        <v>791</v>
      </c>
      <c r="F10278" t="s">
        <v>986</v>
      </c>
      <c r="G10278" t="s">
        <v>5173</v>
      </c>
      <c r="H10278" t="s">
        <v>9751</v>
      </c>
      <c r="I10278">
        <v>41</v>
      </c>
      <c r="J10278" t="s">
        <v>18893</v>
      </c>
      <c r="K10278">
        <v>10034</v>
      </c>
      <c r="L10278" t="s">
        <v>18960</v>
      </c>
      <c r="M10278" t="s">
        <v>18960</v>
      </c>
      <c r="O10278" t="s">
        <v>18997</v>
      </c>
      <c r="P10278" t="s">
        <v>26563</v>
      </c>
      <c r="R10278" t="s">
        <v>26578</v>
      </c>
      <c r="U10278" t="s">
        <v>26604</v>
      </c>
      <c r="X10278">
        <v>541</v>
      </c>
      <c r="Y10278" t="s">
        <v>26651</v>
      </c>
      <c r="AB10278" t="s">
        <v>26828</v>
      </c>
      <c r="AD10278" t="s">
        <v>36932</v>
      </c>
      <c r="AE10278">
        <v>0</v>
      </c>
      <c r="AH10278">
        <v>43</v>
      </c>
      <c r="AI10278">
        <v>2</v>
      </c>
      <c r="AJ10278">
        <v>0</v>
      </c>
      <c r="AK10278">
        <v>151.45</v>
      </c>
      <c r="AN10278" t="s">
        <v>7439</v>
      </c>
      <c r="AO10278">
        <v>25610</v>
      </c>
      <c r="AU10278">
        <v>0</v>
      </c>
      <c r="AW10278" t="s">
        <v>46838</v>
      </c>
    </row>
    <row r="10279" spans="1:49">
      <c r="A10279" s="1">
        <f>HYPERLINK("https://lsnyc.legalserver.org/matter/dynamic-profile/view/1896072","19-1896072")</f>
        <v>0</v>
      </c>
      <c r="B10279" t="s">
        <v>316</v>
      </c>
      <c r="C10279" t="s">
        <v>341</v>
      </c>
      <c r="D10279" t="s">
        <v>800</v>
      </c>
      <c r="E10279" t="s">
        <v>763</v>
      </c>
      <c r="F10279" t="s">
        <v>2420</v>
      </c>
      <c r="G10279" t="s">
        <v>3662</v>
      </c>
      <c r="H10279" t="s">
        <v>12108</v>
      </c>
      <c r="I10279" t="s">
        <v>17276</v>
      </c>
      <c r="J10279" t="s">
        <v>18902</v>
      </c>
      <c r="K10279">
        <v>10304</v>
      </c>
      <c r="L10279" t="s">
        <v>18960</v>
      </c>
      <c r="M10279" t="s">
        <v>18960</v>
      </c>
      <c r="N10279" t="s">
        <v>25956</v>
      </c>
      <c r="O10279" t="s">
        <v>26524</v>
      </c>
      <c r="P10279" t="s">
        <v>26564</v>
      </c>
      <c r="Q10279" t="s">
        <v>26570</v>
      </c>
      <c r="R10279" t="s">
        <v>26591</v>
      </c>
      <c r="U10279" t="s">
        <v>26604</v>
      </c>
      <c r="X10279">
        <v>1300</v>
      </c>
      <c r="Y10279" t="s">
        <v>26654</v>
      </c>
      <c r="Z10279" t="s">
        <v>26530</v>
      </c>
      <c r="AA10279" t="s">
        <v>26683</v>
      </c>
      <c r="AB10279" t="s">
        <v>33894</v>
      </c>
      <c r="AD10279" t="s">
        <v>44756</v>
      </c>
      <c r="AE10279">
        <v>0</v>
      </c>
      <c r="AF10279" t="s">
        <v>45541</v>
      </c>
      <c r="AG10279" t="s">
        <v>45563</v>
      </c>
      <c r="AH10279">
        <v>3</v>
      </c>
      <c r="AI10279">
        <v>1</v>
      </c>
      <c r="AJ10279">
        <v>0</v>
      </c>
      <c r="AK10279">
        <v>36.7</v>
      </c>
      <c r="AN10279" t="s">
        <v>7439</v>
      </c>
      <c r="AO10279">
        <v>4584</v>
      </c>
      <c r="AU10279">
        <v>0.5</v>
      </c>
      <c r="AV10279" t="s">
        <v>800</v>
      </c>
      <c r="AW10279" t="s">
        <v>46841</v>
      </c>
    </row>
    <row r="10280" spans="1:49">
      <c r="A10280" s="1">
        <f>HYPERLINK("https://lsnyc.legalserver.org/matter/dynamic-profile/view/1896037","19-1896037")</f>
        <v>0</v>
      </c>
      <c r="B10280" t="s">
        <v>325</v>
      </c>
      <c r="C10280" t="s">
        <v>340</v>
      </c>
      <c r="D10280" t="s">
        <v>800</v>
      </c>
      <c r="F10280" t="s">
        <v>3252</v>
      </c>
      <c r="G10280" t="s">
        <v>5078</v>
      </c>
      <c r="H10280" t="s">
        <v>16604</v>
      </c>
      <c r="I10280" t="s">
        <v>17277</v>
      </c>
      <c r="J10280" t="s">
        <v>18894</v>
      </c>
      <c r="K10280">
        <v>11238</v>
      </c>
      <c r="L10280" t="s">
        <v>18960</v>
      </c>
      <c r="M10280" t="s">
        <v>18960</v>
      </c>
      <c r="P10280" t="s">
        <v>26565</v>
      </c>
      <c r="R10280" t="s">
        <v>26586</v>
      </c>
      <c r="U10280" t="s">
        <v>26604</v>
      </c>
      <c r="X10280">
        <v>981.67</v>
      </c>
      <c r="Y10280" t="s">
        <v>26652</v>
      </c>
      <c r="Z10280" t="s">
        <v>26659</v>
      </c>
      <c r="AB10280" t="s">
        <v>33895</v>
      </c>
      <c r="AD10280" t="s">
        <v>44757</v>
      </c>
      <c r="AE10280">
        <v>7</v>
      </c>
      <c r="AF10280" t="s">
        <v>45541</v>
      </c>
      <c r="AG10280" t="s">
        <v>19330</v>
      </c>
      <c r="AH10280">
        <v>30</v>
      </c>
      <c r="AI10280">
        <v>1</v>
      </c>
      <c r="AJ10280">
        <v>0</v>
      </c>
      <c r="AK10280">
        <v>20.82</v>
      </c>
      <c r="AN10280" t="s">
        <v>7439</v>
      </c>
      <c r="AO10280">
        <v>2600</v>
      </c>
      <c r="AU10280">
        <v>29.8</v>
      </c>
      <c r="AV10280" t="s">
        <v>836</v>
      </c>
      <c r="AW10280" t="s">
        <v>46858</v>
      </c>
    </row>
    <row r="10281" spans="1:49">
      <c r="A10281" s="1">
        <f>HYPERLINK("https://lsnyc.legalserver.org/matter/dynamic-profile/view/1896099","19-1896099")</f>
        <v>0</v>
      </c>
      <c r="B10281" t="s">
        <v>169</v>
      </c>
      <c r="C10281" t="s">
        <v>340</v>
      </c>
      <c r="D10281" t="s">
        <v>800</v>
      </c>
      <c r="F10281" t="s">
        <v>1252</v>
      </c>
      <c r="G10281" t="s">
        <v>5678</v>
      </c>
      <c r="H10281" t="s">
        <v>10149</v>
      </c>
      <c r="J10281" t="s">
        <v>18892</v>
      </c>
      <c r="K10281">
        <v>10458</v>
      </c>
      <c r="L10281" t="s">
        <v>18958</v>
      </c>
      <c r="M10281" t="s">
        <v>18958</v>
      </c>
      <c r="N10281" t="s">
        <v>23335</v>
      </c>
      <c r="O10281" t="s">
        <v>26534</v>
      </c>
      <c r="P10281" t="s">
        <v>26561</v>
      </c>
      <c r="R10281" t="s">
        <v>26578</v>
      </c>
      <c r="S10281" t="s">
        <v>18958</v>
      </c>
      <c r="U10281" t="s">
        <v>26604</v>
      </c>
      <c r="X10281">
        <v>1218</v>
      </c>
      <c r="Y10281" t="s">
        <v>26650</v>
      </c>
      <c r="Z10281" t="s">
        <v>26663</v>
      </c>
      <c r="AB10281" t="s">
        <v>33386</v>
      </c>
      <c r="AE10281">
        <v>142</v>
      </c>
      <c r="AF10281" t="s">
        <v>20460</v>
      </c>
      <c r="AG10281" t="s">
        <v>19330</v>
      </c>
      <c r="AH10281">
        <v>3</v>
      </c>
      <c r="AI10281">
        <v>1</v>
      </c>
      <c r="AJ10281">
        <v>1</v>
      </c>
      <c r="AK10281">
        <v>0</v>
      </c>
      <c r="AN10281" t="s">
        <v>45581</v>
      </c>
      <c r="AO10281">
        <v>0</v>
      </c>
      <c r="AU10281">
        <v>0</v>
      </c>
      <c r="AW10281" t="s">
        <v>329</v>
      </c>
    </row>
    <row r="10282" spans="1:49">
      <c r="A10282" s="1">
        <f>HYPERLINK("https://lsnyc.legalserver.org/matter/dynamic-profile/view/1896081","19-1896081")</f>
        <v>0</v>
      </c>
      <c r="B10282" t="s">
        <v>169</v>
      </c>
      <c r="C10282" t="s">
        <v>340</v>
      </c>
      <c r="D10282" t="s">
        <v>800</v>
      </c>
      <c r="F10282" t="s">
        <v>999</v>
      </c>
      <c r="G10282" t="s">
        <v>5125</v>
      </c>
      <c r="H10282" t="s">
        <v>10149</v>
      </c>
      <c r="I10282" t="s">
        <v>18706</v>
      </c>
      <c r="J10282" t="s">
        <v>18892</v>
      </c>
      <c r="K10282">
        <v>10458</v>
      </c>
      <c r="L10282" t="s">
        <v>18958</v>
      </c>
      <c r="M10282" t="s">
        <v>18958</v>
      </c>
      <c r="O10282" t="s">
        <v>26534</v>
      </c>
      <c r="P10282" t="s">
        <v>26561</v>
      </c>
      <c r="R10282" t="s">
        <v>26578</v>
      </c>
      <c r="S10282" t="s">
        <v>18958</v>
      </c>
      <c r="U10282" t="s">
        <v>26604</v>
      </c>
      <c r="X10282">
        <v>1127.78</v>
      </c>
      <c r="Y10282" t="s">
        <v>26650</v>
      </c>
      <c r="Z10282" t="s">
        <v>26663</v>
      </c>
      <c r="AB10282" t="s">
        <v>28190</v>
      </c>
      <c r="AC10282" t="s">
        <v>36657</v>
      </c>
      <c r="AD10282" t="s">
        <v>44338</v>
      </c>
      <c r="AE10282">
        <v>142</v>
      </c>
      <c r="AG10282" t="s">
        <v>45557</v>
      </c>
      <c r="AH10282">
        <v>10</v>
      </c>
      <c r="AI10282">
        <v>1</v>
      </c>
      <c r="AJ10282">
        <v>2</v>
      </c>
      <c r="AK10282">
        <v>67.56</v>
      </c>
      <c r="AN10282" t="s">
        <v>45581</v>
      </c>
      <c r="AO10282">
        <v>14040</v>
      </c>
      <c r="AU10282">
        <v>0.1</v>
      </c>
      <c r="AV10282" t="s">
        <v>724</v>
      </c>
      <c r="AW10282" t="s">
        <v>329</v>
      </c>
    </row>
    <row r="10283" spans="1:49">
      <c r="A10283" s="1">
        <f>HYPERLINK("https://lsnyc.legalserver.org/matter/dynamic-profile/view/1896074","19-1896074")</f>
        <v>0</v>
      </c>
      <c r="B10283" t="s">
        <v>169</v>
      </c>
      <c r="C10283" t="s">
        <v>340</v>
      </c>
      <c r="D10283" t="s">
        <v>800</v>
      </c>
      <c r="F10283" t="s">
        <v>1197</v>
      </c>
      <c r="G10283" t="s">
        <v>3305</v>
      </c>
      <c r="H10283" t="s">
        <v>10149</v>
      </c>
      <c r="I10283" t="s">
        <v>18664</v>
      </c>
      <c r="J10283" t="s">
        <v>18892</v>
      </c>
      <c r="K10283">
        <v>10458</v>
      </c>
      <c r="L10283" t="s">
        <v>18958</v>
      </c>
      <c r="M10283" t="s">
        <v>18958</v>
      </c>
      <c r="N10283" t="s">
        <v>23335</v>
      </c>
      <c r="O10283" t="s">
        <v>26534</v>
      </c>
      <c r="P10283" t="s">
        <v>26561</v>
      </c>
      <c r="R10283" t="s">
        <v>26578</v>
      </c>
      <c r="S10283" t="s">
        <v>18958</v>
      </c>
      <c r="U10283" t="s">
        <v>26604</v>
      </c>
      <c r="X10283">
        <v>1071</v>
      </c>
      <c r="Y10283" t="s">
        <v>26650</v>
      </c>
      <c r="Z10283" t="s">
        <v>26663</v>
      </c>
      <c r="AB10283" t="s">
        <v>33385</v>
      </c>
      <c r="AE10283">
        <v>142</v>
      </c>
      <c r="AG10283" t="s">
        <v>19330</v>
      </c>
      <c r="AH10283">
        <v>18</v>
      </c>
      <c r="AI10283">
        <v>1</v>
      </c>
      <c r="AJ10283">
        <v>0</v>
      </c>
      <c r="AK10283">
        <v>68.5</v>
      </c>
      <c r="AN10283" t="s">
        <v>45581</v>
      </c>
      <c r="AO10283">
        <v>8316</v>
      </c>
      <c r="AU10283">
        <v>0.1</v>
      </c>
      <c r="AV10283" t="s">
        <v>811</v>
      </c>
      <c r="AW10283" t="s">
        <v>329</v>
      </c>
    </row>
    <row r="10284" spans="1:49">
      <c r="A10284" s="1">
        <f>HYPERLINK("https://lsnyc.legalserver.org/matter/dynamic-profile/view/1896013","19-1896013")</f>
        <v>0</v>
      </c>
      <c r="B10284" t="s">
        <v>169</v>
      </c>
      <c r="C10284" t="s">
        <v>340</v>
      </c>
      <c r="D10284" t="s">
        <v>800</v>
      </c>
      <c r="F10284" t="s">
        <v>2240</v>
      </c>
      <c r="G10284" t="s">
        <v>1725</v>
      </c>
      <c r="H10284" t="s">
        <v>10149</v>
      </c>
      <c r="I10284" t="s">
        <v>18668</v>
      </c>
      <c r="J10284" t="s">
        <v>18892</v>
      </c>
      <c r="K10284">
        <v>10458</v>
      </c>
      <c r="L10284" t="s">
        <v>18958</v>
      </c>
      <c r="M10284" t="s">
        <v>18958</v>
      </c>
      <c r="N10284" t="s">
        <v>23335</v>
      </c>
      <c r="O10284" t="s">
        <v>26534</v>
      </c>
      <c r="P10284" t="s">
        <v>26561</v>
      </c>
      <c r="R10284" t="s">
        <v>26578</v>
      </c>
      <c r="S10284" t="s">
        <v>18958</v>
      </c>
      <c r="U10284" t="s">
        <v>26604</v>
      </c>
      <c r="X10284">
        <v>1071</v>
      </c>
      <c r="Y10284" t="s">
        <v>26650</v>
      </c>
      <c r="Z10284" t="s">
        <v>26663</v>
      </c>
      <c r="AB10284" t="s">
        <v>33388</v>
      </c>
      <c r="AD10284" t="s">
        <v>44111</v>
      </c>
      <c r="AE10284">
        <v>142</v>
      </c>
      <c r="AF10284" t="s">
        <v>45541</v>
      </c>
      <c r="AG10284" t="s">
        <v>19330</v>
      </c>
      <c r="AH10284">
        <v>18</v>
      </c>
      <c r="AI10284">
        <v>5</v>
      </c>
      <c r="AJ10284">
        <v>0</v>
      </c>
      <c r="AK10284">
        <v>303.13</v>
      </c>
      <c r="AN10284" t="s">
        <v>45581</v>
      </c>
      <c r="AO10284">
        <v>89180</v>
      </c>
      <c r="AU10284">
        <v>0</v>
      </c>
      <c r="AW10284" t="s">
        <v>329</v>
      </c>
    </row>
    <row r="10285" spans="1:49">
      <c r="A10285" s="1">
        <f>HYPERLINK("https://lsnyc.legalserver.org/matter/dynamic-profile/view/1896080","19-1896080")</f>
        <v>0</v>
      </c>
      <c r="B10285" t="s">
        <v>322</v>
      </c>
      <c r="C10285" t="s">
        <v>340</v>
      </c>
      <c r="D10285" t="s">
        <v>800</v>
      </c>
      <c r="F10285" t="s">
        <v>1572</v>
      </c>
      <c r="G10285" t="s">
        <v>5473</v>
      </c>
      <c r="H10285" t="s">
        <v>16605</v>
      </c>
      <c r="I10285" t="s">
        <v>18779</v>
      </c>
      <c r="J10285" t="s">
        <v>18893</v>
      </c>
      <c r="K10285">
        <v>10026</v>
      </c>
      <c r="L10285" t="s">
        <v>18960</v>
      </c>
      <c r="M10285" t="s">
        <v>18960</v>
      </c>
      <c r="P10285" t="s">
        <v>26564</v>
      </c>
      <c r="R10285" t="s">
        <v>26591</v>
      </c>
      <c r="U10285" t="s">
        <v>26604</v>
      </c>
      <c r="X10285">
        <v>1279</v>
      </c>
      <c r="Y10285" t="s">
        <v>26651</v>
      </c>
      <c r="Z10285" t="s">
        <v>26530</v>
      </c>
      <c r="AB10285" t="s">
        <v>33896</v>
      </c>
      <c r="AD10285" t="s">
        <v>44758</v>
      </c>
      <c r="AE10285">
        <v>120</v>
      </c>
      <c r="AF10285" t="s">
        <v>20460</v>
      </c>
      <c r="AH10285">
        <v>4</v>
      </c>
      <c r="AI10285">
        <v>1</v>
      </c>
      <c r="AJ10285">
        <v>0</v>
      </c>
      <c r="AK10285">
        <v>137.87</v>
      </c>
      <c r="AN10285" t="s">
        <v>7439</v>
      </c>
      <c r="AO10285">
        <v>17220</v>
      </c>
      <c r="AU10285">
        <v>0.4</v>
      </c>
      <c r="AV10285" t="s">
        <v>800</v>
      </c>
      <c r="AW10285" t="s">
        <v>46849</v>
      </c>
    </row>
    <row r="10286" spans="1:49">
      <c r="A10286" s="1">
        <f>HYPERLINK("https://lsnyc.legalserver.org/matter/dynamic-profile/view/1896083","19-1896083")</f>
        <v>0</v>
      </c>
      <c r="B10286" t="s">
        <v>294</v>
      </c>
      <c r="C10286" t="s">
        <v>340</v>
      </c>
      <c r="D10286" t="s">
        <v>800</v>
      </c>
      <c r="F10286" t="s">
        <v>1660</v>
      </c>
      <c r="G10286" t="s">
        <v>6071</v>
      </c>
      <c r="H10286" t="s">
        <v>11037</v>
      </c>
      <c r="I10286" t="s">
        <v>17965</v>
      </c>
      <c r="J10286" t="s">
        <v>18900</v>
      </c>
      <c r="K10286">
        <v>11354</v>
      </c>
      <c r="L10286" t="s">
        <v>18960</v>
      </c>
      <c r="M10286" t="s">
        <v>18960</v>
      </c>
      <c r="N10286" t="s">
        <v>25957</v>
      </c>
      <c r="O10286" t="s">
        <v>26524</v>
      </c>
      <c r="P10286" t="s">
        <v>26560</v>
      </c>
      <c r="R10286" t="s">
        <v>26578</v>
      </c>
      <c r="U10286" t="s">
        <v>26604</v>
      </c>
      <c r="X10286">
        <v>774</v>
      </c>
      <c r="Y10286" t="s">
        <v>26653</v>
      </c>
      <c r="AB10286" t="s">
        <v>33573</v>
      </c>
      <c r="AD10286" t="s">
        <v>44759</v>
      </c>
      <c r="AE10286">
        <v>0</v>
      </c>
      <c r="AF10286" t="s">
        <v>45541</v>
      </c>
      <c r="AG10286" t="s">
        <v>19330</v>
      </c>
      <c r="AH10286">
        <v>39</v>
      </c>
      <c r="AI10286">
        <v>2</v>
      </c>
      <c r="AJ10286">
        <v>0</v>
      </c>
      <c r="AK10286">
        <v>276.76</v>
      </c>
      <c r="AN10286" t="s">
        <v>7439</v>
      </c>
      <c r="AO10286">
        <v>46800</v>
      </c>
      <c r="AU10286">
        <v>7.15</v>
      </c>
      <c r="AV10286" t="s">
        <v>821</v>
      </c>
      <c r="AW10286" t="s">
        <v>46859</v>
      </c>
    </row>
    <row r="10287" spans="1:49">
      <c r="A10287" s="1">
        <f>HYPERLINK("https://lsnyc.legalserver.org/matter/dynamic-profile/view/1896041","19-1896041")</f>
        <v>0</v>
      </c>
      <c r="B10287" t="s">
        <v>200</v>
      </c>
      <c r="C10287" t="s">
        <v>340</v>
      </c>
      <c r="D10287" t="s">
        <v>800</v>
      </c>
      <c r="F10287" t="s">
        <v>3783</v>
      </c>
      <c r="G10287" t="s">
        <v>9322</v>
      </c>
      <c r="H10287" t="s">
        <v>16606</v>
      </c>
      <c r="I10287" t="s">
        <v>18780</v>
      </c>
      <c r="J10287" t="s">
        <v>18894</v>
      </c>
      <c r="K10287">
        <v>11224</v>
      </c>
      <c r="L10287" t="s">
        <v>18960</v>
      </c>
      <c r="M10287" t="s">
        <v>18960</v>
      </c>
      <c r="R10287" t="s">
        <v>26591</v>
      </c>
      <c r="U10287" t="s">
        <v>26604</v>
      </c>
      <c r="X10287">
        <v>2200</v>
      </c>
      <c r="Y10287" t="s">
        <v>26652</v>
      </c>
      <c r="AB10287" t="s">
        <v>33235</v>
      </c>
      <c r="AD10287" t="s">
        <v>44760</v>
      </c>
      <c r="AE10287">
        <v>160</v>
      </c>
      <c r="AH10287">
        <v>11</v>
      </c>
      <c r="AI10287">
        <v>1</v>
      </c>
      <c r="AJ10287">
        <v>2</v>
      </c>
      <c r="AK10287">
        <v>121.89</v>
      </c>
      <c r="AN10287" t="s">
        <v>7439</v>
      </c>
      <c r="AO10287">
        <v>26000</v>
      </c>
      <c r="AU10287">
        <v>0.5</v>
      </c>
      <c r="AV10287" t="s">
        <v>800</v>
      </c>
      <c r="AW10287" t="s">
        <v>46850</v>
      </c>
    </row>
    <row r="10288" spans="1:49">
      <c r="A10288" s="1">
        <f>HYPERLINK("https://lsnyc.legalserver.org/matter/dynamic-profile/view/1896292","19-1896292")</f>
        <v>0</v>
      </c>
      <c r="B10288" t="s">
        <v>325</v>
      </c>
      <c r="C10288" t="s">
        <v>341</v>
      </c>
      <c r="D10288" t="s">
        <v>792</v>
      </c>
      <c r="E10288" t="s">
        <v>724</v>
      </c>
      <c r="F10288" t="s">
        <v>1971</v>
      </c>
      <c r="G10288" t="s">
        <v>5086</v>
      </c>
      <c r="H10288" t="s">
        <v>16607</v>
      </c>
      <c r="I10288">
        <v>2</v>
      </c>
      <c r="J10288" t="s">
        <v>18894</v>
      </c>
      <c r="K10288">
        <v>11233</v>
      </c>
      <c r="L10288" t="s">
        <v>18960</v>
      </c>
      <c r="M10288" t="s">
        <v>18960</v>
      </c>
      <c r="Q10288" t="s">
        <v>26570</v>
      </c>
      <c r="R10288" t="s">
        <v>26591</v>
      </c>
      <c r="U10288" t="s">
        <v>26606</v>
      </c>
      <c r="X10288">
        <v>0</v>
      </c>
      <c r="Y10288" t="s">
        <v>26652</v>
      </c>
      <c r="AA10288" t="s">
        <v>26683</v>
      </c>
      <c r="AB10288" t="s">
        <v>33039</v>
      </c>
      <c r="AD10288" t="s">
        <v>44761</v>
      </c>
      <c r="AE10288">
        <v>0</v>
      </c>
      <c r="AH10288">
        <v>0</v>
      </c>
      <c r="AI10288">
        <v>2</v>
      </c>
      <c r="AJ10288">
        <v>0</v>
      </c>
      <c r="AK10288">
        <v>18.14</v>
      </c>
      <c r="AO10288">
        <v>3068</v>
      </c>
      <c r="AU10288">
        <v>0.25</v>
      </c>
      <c r="AV10288" t="s">
        <v>792</v>
      </c>
      <c r="AW10288" t="s">
        <v>325</v>
      </c>
    </row>
    <row r="10289" spans="1:50">
      <c r="A10289" s="1">
        <f>HYPERLINK("https://lsnyc.legalserver.org/matter/dynamic-profile/view/1896260","19-1896260")</f>
        <v>0</v>
      </c>
      <c r="B10289" t="s">
        <v>165</v>
      </c>
      <c r="C10289" t="s">
        <v>341</v>
      </c>
      <c r="D10289" t="s">
        <v>792</v>
      </c>
      <c r="E10289" t="s">
        <v>832</v>
      </c>
      <c r="F10289" t="s">
        <v>4781</v>
      </c>
      <c r="G10289" t="s">
        <v>9323</v>
      </c>
      <c r="H10289" t="s">
        <v>16608</v>
      </c>
      <c r="J10289" t="s">
        <v>18893</v>
      </c>
      <c r="K10289">
        <v>10025</v>
      </c>
      <c r="L10289" t="s">
        <v>18958</v>
      </c>
      <c r="M10289" t="s">
        <v>18960</v>
      </c>
      <c r="N10289" t="s">
        <v>25958</v>
      </c>
      <c r="O10289" t="s">
        <v>26524</v>
      </c>
      <c r="P10289" t="s">
        <v>26564</v>
      </c>
      <c r="Q10289" t="s">
        <v>26570</v>
      </c>
      <c r="R10289" t="s">
        <v>26580</v>
      </c>
      <c r="S10289" t="s">
        <v>18959</v>
      </c>
      <c r="U10289" t="s">
        <v>26604</v>
      </c>
      <c r="X10289">
        <v>0</v>
      </c>
      <c r="Y10289" t="s">
        <v>26651</v>
      </c>
      <c r="AA10289" t="s">
        <v>26683</v>
      </c>
      <c r="AB10289" t="s">
        <v>26941</v>
      </c>
      <c r="AD10289" t="s">
        <v>44762</v>
      </c>
      <c r="AE10289">
        <v>124</v>
      </c>
      <c r="AH10289">
        <v>0</v>
      </c>
      <c r="AI10289">
        <v>5</v>
      </c>
      <c r="AJ10289">
        <v>0</v>
      </c>
      <c r="AK10289">
        <v>361.29</v>
      </c>
      <c r="AN10289" t="s">
        <v>7439</v>
      </c>
      <c r="AO10289">
        <v>109000</v>
      </c>
      <c r="AU10289">
        <v>1.2</v>
      </c>
      <c r="AV10289" t="s">
        <v>831</v>
      </c>
      <c r="AW10289" t="s">
        <v>264</v>
      </c>
    </row>
    <row r="10290" spans="1:50">
      <c r="A10290" s="1">
        <f>HYPERLINK("https://lsnyc.legalserver.org/matter/dynamic-profile/view/1896208","19-1896208")</f>
        <v>0</v>
      </c>
      <c r="B10290" t="s">
        <v>187</v>
      </c>
      <c r="C10290" t="s">
        <v>341</v>
      </c>
      <c r="D10290" t="s">
        <v>792</v>
      </c>
      <c r="E10290" t="s">
        <v>806</v>
      </c>
      <c r="F10290" t="s">
        <v>1649</v>
      </c>
      <c r="G10290" t="s">
        <v>5208</v>
      </c>
      <c r="H10290" t="s">
        <v>12087</v>
      </c>
      <c r="I10290" t="s">
        <v>17743</v>
      </c>
      <c r="J10290" t="s">
        <v>18892</v>
      </c>
      <c r="K10290">
        <v>10467</v>
      </c>
      <c r="L10290" t="s">
        <v>18960</v>
      </c>
      <c r="M10290" t="s">
        <v>18960</v>
      </c>
      <c r="P10290" t="s">
        <v>26564</v>
      </c>
      <c r="Q10290" t="s">
        <v>26570</v>
      </c>
      <c r="R10290" t="s">
        <v>26579</v>
      </c>
      <c r="S10290" t="s">
        <v>18959</v>
      </c>
      <c r="U10290" t="s">
        <v>26605</v>
      </c>
      <c r="X10290">
        <v>230</v>
      </c>
      <c r="Y10290" t="s">
        <v>26650</v>
      </c>
      <c r="Z10290" t="s">
        <v>26530</v>
      </c>
      <c r="AA10290" t="s">
        <v>26683</v>
      </c>
      <c r="AB10290" t="s">
        <v>33897</v>
      </c>
      <c r="AD10290" t="s">
        <v>44763</v>
      </c>
      <c r="AE10290">
        <v>0</v>
      </c>
      <c r="AF10290" t="s">
        <v>45549</v>
      </c>
      <c r="AG10290" t="s">
        <v>19330</v>
      </c>
      <c r="AH10290">
        <v>10</v>
      </c>
      <c r="AI10290">
        <v>1</v>
      </c>
      <c r="AJ10290">
        <v>2</v>
      </c>
      <c r="AK10290">
        <v>97.52</v>
      </c>
      <c r="AN10290" t="s">
        <v>7439</v>
      </c>
      <c r="AO10290">
        <v>20800</v>
      </c>
      <c r="AT10290" t="s">
        <v>46619</v>
      </c>
      <c r="AU10290">
        <v>1.2</v>
      </c>
      <c r="AV10290" t="s">
        <v>802</v>
      </c>
      <c r="AW10290" t="s">
        <v>46859</v>
      </c>
    </row>
    <row r="10291" spans="1:50">
      <c r="A10291" s="1">
        <f>HYPERLINK("https://lsnyc.legalserver.org/matter/dynamic-profile/view/1896282","19-1896282")</f>
        <v>0</v>
      </c>
      <c r="B10291" t="s">
        <v>263</v>
      </c>
      <c r="C10291" t="s">
        <v>341</v>
      </c>
      <c r="D10291" t="s">
        <v>792</v>
      </c>
      <c r="E10291" t="s">
        <v>806</v>
      </c>
      <c r="F10291" t="s">
        <v>964</v>
      </c>
      <c r="G10291" t="s">
        <v>9127</v>
      </c>
      <c r="H10291" t="s">
        <v>13166</v>
      </c>
      <c r="I10291" t="s">
        <v>17421</v>
      </c>
      <c r="J10291" t="s">
        <v>18892</v>
      </c>
      <c r="K10291">
        <v>10467</v>
      </c>
      <c r="L10291" t="s">
        <v>18958</v>
      </c>
      <c r="M10291" t="s">
        <v>18958</v>
      </c>
      <c r="O10291" t="s">
        <v>26539</v>
      </c>
      <c r="P10291" t="s">
        <v>26565</v>
      </c>
      <c r="Q10291" t="s">
        <v>26571</v>
      </c>
      <c r="R10291" t="s">
        <v>26578</v>
      </c>
      <c r="S10291" t="s">
        <v>18959</v>
      </c>
      <c r="U10291" t="s">
        <v>26607</v>
      </c>
      <c r="X10291">
        <v>600</v>
      </c>
      <c r="Y10291" t="s">
        <v>26650</v>
      </c>
      <c r="Z10291" t="s">
        <v>26655</v>
      </c>
      <c r="AA10291" t="s">
        <v>26681</v>
      </c>
      <c r="AB10291" t="s">
        <v>27265</v>
      </c>
      <c r="AD10291" t="s">
        <v>44764</v>
      </c>
      <c r="AE10291">
        <v>59</v>
      </c>
      <c r="AF10291" t="s">
        <v>45541</v>
      </c>
      <c r="AG10291" t="s">
        <v>45559</v>
      </c>
      <c r="AH10291">
        <v>37</v>
      </c>
      <c r="AI10291">
        <v>1</v>
      </c>
      <c r="AJ10291">
        <v>0</v>
      </c>
      <c r="AK10291">
        <v>100.28</v>
      </c>
      <c r="AN10291" t="s">
        <v>7439</v>
      </c>
      <c r="AO10291">
        <v>12525</v>
      </c>
      <c r="AU10291">
        <v>3.5</v>
      </c>
      <c r="AV10291" t="s">
        <v>806</v>
      </c>
      <c r="AW10291" t="s">
        <v>263</v>
      </c>
      <c r="AX10291" t="s">
        <v>46897</v>
      </c>
    </row>
    <row r="10292" spans="1:50">
      <c r="A10292" s="1">
        <f>HYPERLINK("https://lsnyc.legalserver.org/matter/dynamic-profile/view/1896202","19-1896202")</f>
        <v>0</v>
      </c>
      <c r="B10292" t="s">
        <v>144</v>
      </c>
      <c r="C10292" t="s">
        <v>340</v>
      </c>
      <c r="D10292" t="s">
        <v>792</v>
      </c>
      <c r="F10292" t="s">
        <v>4782</v>
      </c>
      <c r="G10292" t="s">
        <v>9324</v>
      </c>
      <c r="H10292" t="s">
        <v>16609</v>
      </c>
      <c r="J10292" t="s">
        <v>18893</v>
      </c>
      <c r="K10292">
        <v>10025</v>
      </c>
      <c r="L10292" t="s">
        <v>18960</v>
      </c>
      <c r="M10292" t="s">
        <v>18960</v>
      </c>
      <c r="R10292" t="s">
        <v>26580</v>
      </c>
      <c r="U10292" t="s">
        <v>26604</v>
      </c>
      <c r="X10292">
        <v>0</v>
      </c>
      <c r="Y10292" t="s">
        <v>26651</v>
      </c>
      <c r="AB10292" t="s">
        <v>33898</v>
      </c>
      <c r="AD10292" t="s">
        <v>44765</v>
      </c>
      <c r="AE10292">
        <v>0</v>
      </c>
      <c r="AH10292">
        <v>0</v>
      </c>
      <c r="AI10292">
        <v>5</v>
      </c>
      <c r="AJ10292">
        <v>0</v>
      </c>
      <c r="AK10292">
        <v>49.72</v>
      </c>
      <c r="AN10292" t="s">
        <v>45592</v>
      </c>
      <c r="AO10292">
        <v>15000</v>
      </c>
      <c r="AU10292">
        <v>16.65</v>
      </c>
      <c r="AV10292" t="s">
        <v>836</v>
      </c>
      <c r="AW10292" t="s">
        <v>264</v>
      </c>
    </row>
    <row r="10293" spans="1:50">
      <c r="A10293" s="1">
        <f>HYPERLINK("https://lsnyc.legalserver.org/matter/dynamic-profile/view/1895694","19-1895694")</f>
        <v>0</v>
      </c>
      <c r="B10293" t="s">
        <v>330</v>
      </c>
      <c r="C10293" t="s">
        <v>340</v>
      </c>
      <c r="D10293" t="s">
        <v>792</v>
      </c>
      <c r="F10293" t="s">
        <v>1074</v>
      </c>
      <c r="G10293" t="s">
        <v>9325</v>
      </c>
      <c r="H10293" t="s">
        <v>16610</v>
      </c>
      <c r="J10293" t="s">
        <v>18892</v>
      </c>
      <c r="K10293">
        <v>10461</v>
      </c>
      <c r="L10293" t="s">
        <v>18960</v>
      </c>
      <c r="M10293" t="s">
        <v>18960</v>
      </c>
      <c r="R10293" t="s">
        <v>26592</v>
      </c>
      <c r="U10293" t="s">
        <v>26607</v>
      </c>
      <c r="X10293">
        <v>0</v>
      </c>
      <c r="Y10293" t="s">
        <v>26650</v>
      </c>
      <c r="AB10293" t="s">
        <v>28495</v>
      </c>
      <c r="AD10293" t="s">
        <v>44766</v>
      </c>
      <c r="AE10293">
        <v>0</v>
      </c>
      <c r="AH10293">
        <v>0</v>
      </c>
      <c r="AI10293">
        <v>1</v>
      </c>
      <c r="AJ10293">
        <v>1</v>
      </c>
      <c r="AK10293">
        <v>0</v>
      </c>
      <c r="AN10293" t="s">
        <v>7439</v>
      </c>
      <c r="AO10293">
        <v>0</v>
      </c>
      <c r="AU10293">
        <v>10.15</v>
      </c>
      <c r="AV10293" t="s">
        <v>720</v>
      </c>
      <c r="AW10293" t="s">
        <v>330</v>
      </c>
    </row>
    <row r="10294" spans="1:50">
      <c r="A10294" s="1">
        <f>HYPERLINK("https://lsnyc.legalserver.org/matter/dynamic-profile/view/1896154","19-1896154")</f>
        <v>0</v>
      </c>
      <c r="B10294" t="s">
        <v>165</v>
      </c>
      <c r="C10294" t="s">
        <v>340</v>
      </c>
      <c r="D10294" t="s">
        <v>792</v>
      </c>
      <c r="F10294" t="s">
        <v>2976</v>
      </c>
      <c r="G10294" t="s">
        <v>7190</v>
      </c>
      <c r="H10294" t="s">
        <v>16611</v>
      </c>
      <c r="I10294">
        <v>43</v>
      </c>
      <c r="J10294" t="s">
        <v>18893</v>
      </c>
      <c r="K10294">
        <v>10031</v>
      </c>
      <c r="L10294" t="s">
        <v>18958</v>
      </c>
      <c r="M10294" t="s">
        <v>18958</v>
      </c>
      <c r="O10294" t="s">
        <v>26523</v>
      </c>
      <c r="R10294" t="s">
        <v>26580</v>
      </c>
      <c r="S10294" t="s">
        <v>18959</v>
      </c>
      <c r="U10294" t="s">
        <v>26604</v>
      </c>
      <c r="X10294">
        <v>816.91</v>
      </c>
      <c r="Y10294" t="s">
        <v>26651</v>
      </c>
      <c r="Z10294" t="s">
        <v>26530</v>
      </c>
      <c r="AB10294" t="s">
        <v>33899</v>
      </c>
      <c r="AD10294" t="s">
        <v>44767</v>
      </c>
      <c r="AE10294">
        <v>0</v>
      </c>
      <c r="AH10294">
        <v>19</v>
      </c>
      <c r="AI10294">
        <v>2</v>
      </c>
      <c r="AJ10294">
        <v>0</v>
      </c>
      <c r="AK10294">
        <v>56.77</v>
      </c>
      <c r="AO10294">
        <v>9600</v>
      </c>
      <c r="AU10294">
        <v>2.4</v>
      </c>
      <c r="AV10294" t="s">
        <v>805</v>
      </c>
      <c r="AW10294" t="s">
        <v>317</v>
      </c>
    </row>
    <row r="10295" spans="1:50">
      <c r="A10295" s="1">
        <f>HYPERLINK("https://lsnyc.legalserver.org/matter/dynamic-profile/view/1896206","19-1896206")</f>
        <v>0</v>
      </c>
      <c r="B10295" t="s">
        <v>165</v>
      </c>
      <c r="C10295" t="s">
        <v>340</v>
      </c>
      <c r="D10295" t="s">
        <v>792</v>
      </c>
      <c r="F10295" t="s">
        <v>1066</v>
      </c>
      <c r="G10295" t="s">
        <v>5113</v>
      </c>
      <c r="H10295" t="s">
        <v>16612</v>
      </c>
      <c r="I10295" t="s">
        <v>17349</v>
      </c>
      <c r="J10295" t="s">
        <v>18893</v>
      </c>
      <c r="K10295">
        <v>10031</v>
      </c>
      <c r="L10295" t="s">
        <v>18958</v>
      </c>
      <c r="M10295" t="s">
        <v>18958</v>
      </c>
      <c r="O10295" t="s">
        <v>26523</v>
      </c>
      <c r="R10295" t="s">
        <v>26580</v>
      </c>
      <c r="S10295" t="s">
        <v>18959</v>
      </c>
      <c r="U10295" t="s">
        <v>26604</v>
      </c>
      <c r="X10295">
        <v>1108</v>
      </c>
      <c r="Y10295" t="s">
        <v>26651</v>
      </c>
      <c r="Z10295" t="s">
        <v>26530</v>
      </c>
      <c r="AB10295" t="s">
        <v>28987</v>
      </c>
      <c r="AD10295" t="s">
        <v>44768</v>
      </c>
      <c r="AE10295">
        <v>0</v>
      </c>
      <c r="AF10295" t="s">
        <v>45541</v>
      </c>
      <c r="AH10295">
        <v>14</v>
      </c>
      <c r="AI10295">
        <v>2</v>
      </c>
      <c r="AJ10295">
        <v>0</v>
      </c>
      <c r="AK10295">
        <v>107.63</v>
      </c>
      <c r="AO10295">
        <v>18200</v>
      </c>
      <c r="AU10295">
        <v>5</v>
      </c>
      <c r="AV10295" t="s">
        <v>822</v>
      </c>
      <c r="AW10295" t="s">
        <v>317</v>
      </c>
    </row>
    <row r="10296" spans="1:50">
      <c r="A10296" s="1">
        <f>HYPERLINK("https://lsnyc.legalserver.org/matter/dynamic-profile/view/1896194","19-1896194")</f>
        <v>0</v>
      </c>
      <c r="B10296" t="s">
        <v>292</v>
      </c>
      <c r="C10296" t="s">
        <v>340</v>
      </c>
      <c r="D10296" t="s">
        <v>792</v>
      </c>
      <c r="F10296" t="s">
        <v>1352</v>
      </c>
      <c r="G10296" t="s">
        <v>9326</v>
      </c>
      <c r="H10296" t="s">
        <v>16227</v>
      </c>
      <c r="I10296" t="s">
        <v>17362</v>
      </c>
      <c r="J10296" t="s">
        <v>18892</v>
      </c>
      <c r="K10296">
        <v>10453</v>
      </c>
      <c r="L10296" t="s">
        <v>18958</v>
      </c>
      <c r="M10296" t="s">
        <v>18958</v>
      </c>
      <c r="N10296" t="s">
        <v>25959</v>
      </c>
      <c r="O10296" t="s">
        <v>26524</v>
      </c>
      <c r="P10296" t="s">
        <v>26564</v>
      </c>
      <c r="R10296" t="s">
        <v>26578</v>
      </c>
      <c r="S10296" t="s">
        <v>18959</v>
      </c>
      <c r="U10296" t="s">
        <v>26604</v>
      </c>
      <c r="X10296">
        <v>1289.96</v>
      </c>
      <c r="Y10296" t="s">
        <v>26650</v>
      </c>
      <c r="Z10296" t="s">
        <v>26668</v>
      </c>
      <c r="AB10296" t="s">
        <v>33900</v>
      </c>
      <c r="AD10296" t="s">
        <v>44769</v>
      </c>
      <c r="AE10296">
        <v>225</v>
      </c>
      <c r="AF10296" t="s">
        <v>45541</v>
      </c>
      <c r="AG10296" t="s">
        <v>19330</v>
      </c>
      <c r="AH10296">
        <v>20</v>
      </c>
      <c r="AI10296">
        <v>1</v>
      </c>
      <c r="AJ10296">
        <v>0</v>
      </c>
      <c r="AK10296">
        <v>504.4</v>
      </c>
      <c r="AN10296" t="s">
        <v>7439</v>
      </c>
      <c r="AO10296">
        <v>63000</v>
      </c>
      <c r="AU10296">
        <v>0</v>
      </c>
      <c r="AW10296" t="s">
        <v>46871</v>
      </c>
      <c r="AX10296" t="s">
        <v>46897</v>
      </c>
    </row>
    <row r="10297" spans="1:50">
      <c r="A10297" s="1">
        <f>HYPERLINK("https://lsnyc.legalserver.org/matter/dynamic-profile/view/1896156","19-1896156")</f>
        <v>0</v>
      </c>
      <c r="B10297" t="s">
        <v>130</v>
      </c>
      <c r="C10297" t="s">
        <v>340</v>
      </c>
      <c r="D10297" t="s">
        <v>792</v>
      </c>
      <c r="F10297" t="s">
        <v>4668</v>
      </c>
      <c r="G10297" t="s">
        <v>6099</v>
      </c>
      <c r="H10297" t="s">
        <v>12818</v>
      </c>
      <c r="I10297" t="s">
        <v>17322</v>
      </c>
      <c r="J10297" t="s">
        <v>18901</v>
      </c>
      <c r="K10297">
        <v>11433</v>
      </c>
      <c r="L10297" t="s">
        <v>18958</v>
      </c>
      <c r="M10297" t="s">
        <v>18958</v>
      </c>
      <c r="N10297" t="s">
        <v>25960</v>
      </c>
      <c r="O10297" t="s">
        <v>26524</v>
      </c>
      <c r="P10297" t="s">
        <v>26560</v>
      </c>
      <c r="R10297" t="s">
        <v>26585</v>
      </c>
      <c r="S10297" t="s">
        <v>18959</v>
      </c>
      <c r="U10297" t="s">
        <v>26604</v>
      </c>
      <c r="X10297">
        <v>865</v>
      </c>
      <c r="Y10297" t="s">
        <v>26653</v>
      </c>
      <c r="Z10297" t="s">
        <v>26668</v>
      </c>
      <c r="AB10297" t="s">
        <v>27038</v>
      </c>
      <c r="AD10297" t="s">
        <v>44770</v>
      </c>
      <c r="AE10297">
        <v>0</v>
      </c>
      <c r="AF10297" t="s">
        <v>45541</v>
      </c>
      <c r="AG10297" t="s">
        <v>19330</v>
      </c>
      <c r="AH10297">
        <v>3</v>
      </c>
      <c r="AI10297">
        <v>1</v>
      </c>
      <c r="AJ10297">
        <v>0</v>
      </c>
      <c r="AK10297">
        <v>92.23</v>
      </c>
      <c r="AN10297" t="s">
        <v>7439</v>
      </c>
      <c r="AO10297">
        <v>11520</v>
      </c>
      <c r="AU10297">
        <v>4.15</v>
      </c>
      <c r="AV10297" t="s">
        <v>831</v>
      </c>
      <c r="AW10297" t="s">
        <v>208</v>
      </c>
      <c r="AX10297" t="s">
        <v>46897</v>
      </c>
    </row>
    <row r="10298" spans="1:50">
      <c r="A10298" s="1">
        <f>HYPERLINK("https://lsnyc.legalserver.org/matter/dynamic-profile/view/1896133","19-1896133")</f>
        <v>0</v>
      </c>
      <c r="B10298" t="s">
        <v>130</v>
      </c>
      <c r="C10298" t="s">
        <v>340</v>
      </c>
      <c r="D10298" t="s">
        <v>792</v>
      </c>
      <c r="F10298" t="s">
        <v>4783</v>
      </c>
      <c r="G10298" t="s">
        <v>9327</v>
      </c>
      <c r="H10298" t="s">
        <v>16613</v>
      </c>
      <c r="I10298" t="s">
        <v>17334</v>
      </c>
      <c r="J10298" t="s">
        <v>18899</v>
      </c>
      <c r="K10298">
        <v>11385</v>
      </c>
      <c r="L10298" t="s">
        <v>18958</v>
      </c>
      <c r="M10298" t="s">
        <v>18958</v>
      </c>
      <c r="N10298" t="s">
        <v>25961</v>
      </c>
      <c r="O10298" t="s">
        <v>26524</v>
      </c>
      <c r="P10298" t="s">
        <v>26560</v>
      </c>
      <c r="R10298" t="s">
        <v>26585</v>
      </c>
      <c r="S10298" t="s">
        <v>18959</v>
      </c>
      <c r="U10298" t="s">
        <v>26604</v>
      </c>
      <c r="V10298" t="s">
        <v>26610</v>
      </c>
      <c r="X10298">
        <v>1200</v>
      </c>
      <c r="Y10298" t="s">
        <v>26653</v>
      </c>
      <c r="Z10298" t="s">
        <v>26668</v>
      </c>
      <c r="AB10298" t="s">
        <v>33901</v>
      </c>
      <c r="AD10298" t="s">
        <v>44771</v>
      </c>
      <c r="AE10298">
        <v>5</v>
      </c>
      <c r="AF10298" t="s">
        <v>45547</v>
      </c>
      <c r="AG10298" t="s">
        <v>19330</v>
      </c>
      <c r="AH10298">
        <v>26</v>
      </c>
      <c r="AI10298">
        <v>2</v>
      </c>
      <c r="AJ10298">
        <v>0</v>
      </c>
      <c r="AK10298">
        <v>149.62</v>
      </c>
      <c r="AN10298" t="s">
        <v>7439</v>
      </c>
      <c r="AO10298">
        <v>25300</v>
      </c>
      <c r="AU10298">
        <v>14.4</v>
      </c>
      <c r="AV10298" t="s">
        <v>835</v>
      </c>
      <c r="AW10298" t="s">
        <v>208</v>
      </c>
    </row>
    <row r="10299" spans="1:50">
      <c r="A10299" s="1">
        <f>HYPERLINK("https://lsnyc.legalserver.org/matter/dynamic-profile/view/1896170","19-1896170")</f>
        <v>0</v>
      </c>
      <c r="B10299" t="s">
        <v>84</v>
      </c>
      <c r="C10299" t="s">
        <v>340</v>
      </c>
      <c r="D10299" t="s">
        <v>792</v>
      </c>
      <c r="F10299" t="s">
        <v>1562</v>
      </c>
      <c r="G10299" t="s">
        <v>5916</v>
      </c>
      <c r="H10299" t="s">
        <v>16614</v>
      </c>
      <c r="I10299" t="s">
        <v>17360</v>
      </c>
      <c r="J10299" t="s">
        <v>18893</v>
      </c>
      <c r="K10299">
        <v>10025</v>
      </c>
      <c r="L10299" t="s">
        <v>18958</v>
      </c>
      <c r="M10299" t="s">
        <v>18958</v>
      </c>
      <c r="O10299" t="s">
        <v>26524</v>
      </c>
      <c r="P10299" t="s">
        <v>26563</v>
      </c>
      <c r="R10299" t="s">
        <v>26580</v>
      </c>
      <c r="S10299" t="s">
        <v>18959</v>
      </c>
      <c r="U10299" t="s">
        <v>26604</v>
      </c>
      <c r="X10299">
        <v>1100</v>
      </c>
      <c r="Y10299" t="s">
        <v>26651</v>
      </c>
      <c r="Z10299" t="s">
        <v>26668</v>
      </c>
      <c r="AB10299" t="s">
        <v>33902</v>
      </c>
      <c r="AD10299" t="s">
        <v>44772</v>
      </c>
      <c r="AE10299">
        <v>0</v>
      </c>
      <c r="AH10299">
        <v>4</v>
      </c>
      <c r="AI10299">
        <v>2</v>
      </c>
      <c r="AJ10299">
        <v>0</v>
      </c>
      <c r="AK10299">
        <v>153.76</v>
      </c>
      <c r="AO10299">
        <v>26000</v>
      </c>
      <c r="AU10299">
        <v>8.449999999999999</v>
      </c>
      <c r="AV10299" t="s">
        <v>831</v>
      </c>
      <c r="AW10299" t="s">
        <v>317</v>
      </c>
    </row>
    <row r="10300" spans="1:50">
      <c r="A10300" s="1">
        <f>HYPERLINK("https://lsnyc.legalserver.org/matter/dynamic-profile/view/1896274","19-1896274")</f>
        <v>0</v>
      </c>
      <c r="B10300" t="s">
        <v>84</v>
      </c>
      <c r="C10300" t="s">
        <v>340</v>
      </c>
      <c r="D10300" t="s">
        <v>792</v>
      </c>
      <c r="F10300" t="s">
        <v>4784</v>
      </c>
      <c r="G10300" t="s">
        <v>9328</v>
      </c>
      <c r="H10300" t="s">
        <v>16615</v>
      </c>
      <c r="J10300" t="s">
        <v>18893</v>
      </c>
      <c r="K10300">
        <v>10025</v>
      </c>
      <c r="L10300" t="s">
        <v>18960</v>
      </c>
      <c r="M10300" t="s">
        <v>18960</v>
      </c>
      <c r="R10300" t="s">
        <v>26580</v>
      </c>
      <c r="U10300" t="s">
        <v>26604</v>
      </c>
      <c r="X10300">
        <v>0</v>
      </c>
      <c r="Y10300" t="s">
        <v>26651</v>
      </c>
      <c r="AB10300" t="s">
        <v>33903</v>
      </c>
      <c r="AD10300" t="s">
        <v>44773</v>
      </c>
      <c r="AE10300">
        <v>0</v>
      </c>
      <c r="AH10300">
        <v>0</v>
      </c>
      <c r="AI10300">
        <v>1</v>
      </c>
      <c r="AJ10300">
        <v>0</v>
      </c>
      <c r="AK10300">
        <v>400.32</v>
      </c>
      <c r="AN10300" t="s">
        <v>7439</v>
      </c>
      <c r="AO10300">
        <v>50000</v>
      </c>
      <c r="AU10300">
        <v>0</v>
      </c>
      <c r="AW10300" t="s">
        <v>264</v>
      </c>
    </row>
    <row r="10301" spans="1:50">
      <c r="A10301" s="1">
        <f>HYPERLINK("https://lsnyc.legalserver.org/matter/dynamic-profile/view/1896153","19-1896153")</f>
        <v>0</v>
      </c>
      <c r="B10301" t="s">
        <v>264</v>
      </c>
      <c r="C10301" t="s">
        <v>340</v>
      </c>
      <c r="D10301" t="s">
        <v>792</v>
      </c>
      <c r="F10301" t="s">
        <v>4785</v>
      </c>
      <c r="G10301" t="s">
        <v>6029</v>
      </c>
      <c r="H10301" t="s">
        <v>16616</v>
      </c>
      <c r="J10301" t="s">
        <v>18893</v>
      </c>
      <c r="K10301">
        <v>10026</v>
      </c>
      <c r="L10301" t="s">
        <v>18960</v>
      </c>
      <c r="M10301" t="s">
        <v>18960</v>
      </c>
      <c r="R10301" t="s">
        <v>26580</v>
      </c>
      <c r="U10301" t="s">
        <v>26604</v>
      </c>
      <c r="X10301">
        <v>0</v>
      </c>
      <c r="Y10301" t="s">
        <v>26651</v>
      </c>
      <c r="AB10301" t="s">
        <v>29288</v>
      </c>
      <c r="AD10301" t="s">
        <v>44774</v>
      </c>
      <c r="AE10301">
        <v>0</v>
      </c>
      <c r="AH10301">
        <v>0</v>
      </c>
      <c r="AI10301">
        <v>3</v>
      </c>
      <c r="AJ10301">
        <v>0</v>
      </c>
      <c r="AK10301">
        <v>0</v>
      </c>
      <c r="AN10301" t="s">
        <v>7439</v>
      </c>
      <c r="AO10301">
        <v>0</v>
      </c>
      <c r="AU10301">
        <v>2.7</v>
      </c>
      <c r="AV10301" t="s">
        <v>821</v>
      </c>
      <c r="AW10301" t="s">
        <v>264</v>
      </c>
    </row>
    <row r="10302" spans="1:50">
      <c r="A10302" s="1">
        <f>HYPERLINK("https://lsnyc.legalserver.org/matter/dynamic-profile/view/1894535","19-1894535")</f>
        <v>0</v>
      </c>
      <c r="B10302" t="s">
        <v>65</v>
      </c>
      <c r="C10302" t="s">
        <v>340</v>
      </c>
      <c r="D10302" t="s">
        <v>792</v>
      </c>
      <c r="F10302" t="s">
        <v>4786</v>
      </c>
      <c r="G10302" t="s">
        <v>9329</v>
      </c>
      <c r="H10302" t="s">
        <v>16470</v>
      </c>
      <c r="I10302" t="s">
        <v>17805</v>
      </c>
      <c r="J10302" t="s">
        <v>18892</v>
      </c>
      <c r="K10302">
        <v>10454</v>
      </c>
      <c r="L10302" t="s">
        <v>18958</v>
      </c>
      <c r="M10302" t="s">
        <v>18958</v>
      </c>
      <c r="N10302" t="s">
        <v>25962</v>
      </c>
      <c r="O10302" t="s">
        <v>26523</v>
      </c>
      <c r="P10302" t="s">
        <v>26564</v>
      </c>
      <c r="R10302" t="s">
        <v>26577</v>
      </c>
      <c r="S10302" t="s">
        <v>18959</v>
      </c>
      <c r="U10302" t="s">
        <v>26604</v>
      </c>
      <c r="X10302">
        <v>2350</v>
      </c>
      <c r="Y10302" t="s">
        <v>26650</v>
      </c>
      <c r="Z10302" t="s">
        <v>26668</v>
      </c>
      <c r="AB10302" t="s">
        <v>33904</v>
      </c>
      <c r="AD10302" t="s">
        <v>44775</v>
      </c>
      <c r="AE10302">
        <v>10</v>
      </c>
      <c r="AF10302" t="s">
        <v>20460</v>
      </c>
      <c r="AG10302" t="s">
        <v>19330</v>
      </c>
      <c r="AH10302">
        <v>1</v>
      </c>
      <c r="AI10302">
        <v>3</v>
      </c>
      <c r="AJ10302">
        <v>0</v>
      </c>
      <c r="AK10302">
        <v>292.55</v>
      </c>
      <c r="AN10302" t="s">
        <v>7439</v>
      </c>
      <c r="AO10302">
        <v>62400</v>
      </c>
      <c r="AP10302" t="s">
        <v>46278</v>
      </c>
      <c r="AU10302">
        <v>0.3</v>
      </c>
      <c r="AV10302" t="s">
        <v>830</v>
      </c>
      <c r="AW10302" t="s">
        <v>46871</v>
      </c>
      <c r="AX10302" t="s">
        <v>46897</v>
      </c>
    </row>
    <row r="10303" spans="1:50">
      <c r="A10303" s="1">
        <f>HYPERLINK("https://lsnyc.legalserver.org/matter/dynamic-profile/view/1896223","19-1896223")</f>
        <v>0</v>
      </c>
      <c r="B10303" t="s">
        <v>115</v>
      </c>
      <c r="C10303" t="s">
        <v>340</v>
      </c>
      <c r="D10303" t="s">
        <v>792</v>
      </c>
      <c r="F10303" t="s">
        <v>1021</v>
      </c>
      <c r="G10303" t="s">
        <v>1012</v>
      </c>
      <c r="H10303" t="s">
        <v>16617</v>
      </c>
      <c r="I10303" t="s">
        <v>17344</v>
      </c>
      <c r="J10303" t="s">
        <v>18892</v>
      </c>
      <c r="K10303">
        <v>10457</v>
      </c>
      <c r="L10303" t="s">
        <v>18960</v>
      </c>
      <c r="M10303" t="s">
        <v>18960</v>
      </c>
      <c r="R10303" t="s">
        <v>26578</v>
      </c>
      <c r="U10303" t="s">
        <v>26604</v>
      </c>
      <c r="X10303">
        <v>350</v>
      </c>
      <c r="Y10303" t="s">
        <v>26650</v>
      </c>
      <c r="Z10303" t="s">
        <v>26673</v>
      </c>
      <c r="AB10303" t="s">
        <v>33905</v>
      </c>
      <c r="AD10303" t="s">
        <v>44776</v>
      </c>
      <c r="AE10303">
        <v>20</v>
      </c>
      <c r="AF10303" t="s">
        <v>45548</v>
      </c>
      <c r="AG10303" t="s">
        <v>19330</v>
      </c>
      <c r="AH10303">
        <v>2</v>
      </c>
      <c r="AI10303">
        <v>1</v>
      </c>
      <c r="AJ10303">
        <v>0</v>
      </c>
      <c r="AK10303">
        <v>81.67</v>
      </c>
      <c r="AN10303" t="s">
        <v>7439</v>
      </c>
      <c r="AO10303">
        <v>10200</v>
      </c>
      <c r="AU10303">
        <v>1</v>
      </c>
      <c r="AV10303" t="s">
        <v>792</v>
      </c>
      <c r="AW10303" t="s">
        <v>46858</v>
      </c>
    </row>
    <row r="10304" spans="1:50">
      <c r="A10304" s="1">
        <f>HYPERLINK("https://lsnyc.legalserver.org/matter/dynamic-profile/view/1896149","19-1896149")</f>
        <v>0</v>
      </c>
      <c r="B10304" t="s">
        <v>256</v>
      </c>
      <c r="C10304" t="s">
        <v>340</v>
      </c>
      <c r="D10304" t="s">
        <v>792</v>
      </c>
      <c r="F10304" t="s">
        <v>1238</v>
      </c>
      <c r="G10304" t="s">
        <v>9330</v>
      </c>
      <c r="H10304" t="s">
        <v>14414</v>
      </c>
      <c r="I10304">
        <v>3</v>
      </c>
      <c r="J10304" t="s">
        <v>18894</v>
      </c>
      <c r="K10304">
        <v>11208</v>
      </c>
      <c r="L10304" t="s">
        <v>18958</v>
      </c>
      <c r="M10304" t="s">
        <v>18958</v>
      </c>
      <c r="O10304" t="s">
        <v>26524</v>
      </c>
      <c r="P10304" t="s">
        <v>26563</v>
      </c>
      <c r="R10304" t="s">
        <v>26578</v>
      </c>
      <c r="S10304" t="s">
        <v>18959</v>
      </c>
      <c r="U10304" t="s">
        <v>26604</v>
      </c>
      <c r="X10304">
        <v>1300</v>
      </c>
      <c r="Y10304" t="s">
        <v>26652</v>
      </c>
      <c r="AB10304" t="s">
        <v>29527</v>
      </c>
      <c r="AD10304" t="s">
        <v>44777</v>
      </c>
      <c r="AE10304">
        <v>0</v>
      </c>
      <c r="AH10304">
        <v>9</v>
      </c>
      <c r="AI10304">
        <v>2</v>
      </c>
      <c r="AJ10304">
        <v>0</v>
      </c>
      <c r="AK10304">
        <v>484.92</v>
      </c>
      <c r="AN10304" t="s">
        <v>7439</v>
      </c>
      <c r="AO10304">
        <v>82000</v>
      </c>
      <c r="AP10304" t="s">
        <v>46279</v>
      </c>
      <c r="AU10304">
        <v>1</v>
      </c>
      <c r="AV10304" t="s">
        <v>768</v>
      </c>
      <c r="AW10304" t="s">
        <v>219</v>
      </c>
    </row>
    <row r="10305" spans="1:50">
      <c r="A10305" s="1">
        <f>HYPERLINK("https://lsnyc.legalserver.org/matter/dynamic-profile/view/1896281","19-1896281")</f>
        <v>0</v>
      </c>
      <c r="B10305" t="s">
        <v>194</v>
      </c>
      <c r="C10305" t="s">
        <v>340</v>
      </c>
      <c r="D10305" t="s">
        <v>792</v>
      </c>
      <c r="F10305" t="s">
        <v>2949</v>
      </c>
      <c r="G10305" t="s">
        <v>5167</v>
      </c>
      <c r="H10305" t="s">
        <v>16618</v>
      </c>
      <c r="J10305" t="s">
        <v>18893</v>
      </c>
      <c r="K10305">
        <v>10031</v>
      </c>
      <c r="L10305" t="s">
        <v>18960</v>
      </c>
      <c r="M10305" t="s">
        <v>18960</v>
      </c>
      <c r="P10305" t="s">
        <v>26560</v>
      </c>
      <c r="R10305" t="s">
        <v>26580</v>
      </c>
      <c r="U10305" t="s">
        <v>26604</v>
      </c>
      <c r="X10305">
        <v>0</v>
      </c>
      <c r="Y10305" t="s">
        <v>26651</v>
      </c>
      <c r="AB10305" t="s">
        <v>33906</v>
      </c>
      <c r="AD10305" t="s">
        <v>44778</v>
      </c>
      <c r="AE10305">
        <v>0</v>
      </c>
      <c r="AH10305">
        <v>0</v>
      </c>
      <c r="AI10305">
        <v>1</v>
      </c>
      <c r="AJ10305">
        <v>0</v>
      </c>
      <c r="AK10305">
        <v>0</v>
      </c>
      <c r="AO10305">
        <v>0</v>
      </c>
      <c r="AU10305">
        <v>24.3</v>
      </c>
      <c r="AV10305" t="s">
        <v>821</v>
      </c>
      <c r="AW10305" t="s">
        <v>264</v>
      </c>
    </row>
    <row r="10306" spans="1:50">
      <c r="A10306" s="1">
        <f>HYPERLINK("https://lsnyc.legalserver.org/matter/dynamic-profile/view/1896162","19-1896162")</f>
        <v>0</v>
      </c>
      <c r="B10306" t="s">
        <v>62</v>
      </c>
      <c r="C10306" t="s">
        <v>340</v>
      </c>
      <c r="D10306" t="s">
        <v>792</v>
      </c>
      <c r="F10306" t="s">
        <v>1309</v>
      </c>
      <c r="G10306" t="s">
        <v>5177</v>
      </c>
      <c r="H10306" t="s">
        <v>16619</v>
      </c>
      <c r="J10306" t="s">
        <v>18893</v>
      </c>
      <c r="K10306">
        <v>10025</v>
      </c>
      <c r="L10306" t="s">
        <v>18960</v>
      </c>
      <c r="M10306" t="s">
        <v>18960</v>
      </c>
      <c r="R10306" t="s">
        <v>26580</v>
      </c>
      <c r="U10306" t="s">
        <v>26604</v>
      </c>
      <c r="X10306">
        <v>0</v>
      </c>
      <c r="Y10306" t="s">
        <v>26651</v>
      </c>
      <c r="AB10306" t="s">
        <v>27302</v>
      </c>
      <c r="AD10306" t="s">
        <v>44779</v>
      </c>
      <c r="AE10306">
        <v>0</v>
      </c>
      <c r="AH10306">
        <v>0</v>
      </c>
      <c r="AI10306">
        <v>1</v>
      </c>
      <c r="AJ10306">
        <v>0</v>
      </c>
      <c r="AK10306">
        <v>208.17</v>
      </c>
      <c r="AN10306" t="s">
        <v>7439</v>
      </c>
      <c r="AO10306">
        <v>26000</v>
      </c>
      <c r="AU10306">
        <v>0</v>
      </c>
      <c r="AW10306" t="s">
        <v>264</v>
      </c>
    </row>
    <row r="10307" spans="1:50">
      <c r="A10307" s="1">
        <f>HYPERLINK("https://lsnyc.legalserver.org/matter/dynamic-profile/view/1896150","19-1896150")</f>
        <v>0</v>
      </c>
      <c r="B10307" t="s">
        <v>173</v>
      </c>
      <c r="C10307" t="s">
        <v>340</v>
      </c>
      <c r="D10307" t="s">
        <v>792</v>
      </c>
      <c r="F10307" t="s">
        <v>2168</v>
      </c>
      <c r="G10307" t="s">
        <v>9331</v>
      </c>
      <c r="H10307" t="s">
        <v>16620</v>
      </c>
      <c r="J10307" t="s">
        <v>18893</v>
      </c>
      <c r="K10307">
        <v>10031</v>
      </c>
      <c r="L10307" t="s">
        <v>18960</v>
      </c>
      <c r="M10307" t="s">
        <v>18960</v>
      </c>
      <c r="N10307" t="s">
        <v>25963</v>
      </c>
      <c r="O10307" t="s">
        <v>26523</v>
      </c>
      <c r="R10307" t="s">
        <v>26580</v>
      </c>
      <c r="U10307" t="s">
        <v>26604</v>
      </c>
      <c r="X10307">
        <v>0</v>
      </c>
      <c r="Y10307" t="s">
        <v>26651</v>
      </c>
      <c r="AB10307" t="s">
        <v>31902</v>
      </c>
      <c r="AD10307" t="s">
        <v>44780</v>
      </c>
      <c r="AE10307">
        <v>0</v>
      </c>
      <c r="AH10307">
        <v>0</v>
      </c>
      <c r="AI10307">
        <v>1</v>
      </c>
      <c r="AJ10307">
        <v>0</v>
      </c>
      <c r="AK10307">
        <v>0</v>
      </c>
      <c r="AN10307" t="s">
        <v>7439</v>
      </c>
      <c r="AO10307">
        <v>0</v>
      </c>
      <c r="AU10307">
        <v>2.45</v>
      </c>
      <c r="AV10307" t="s">
        <v>834</v>
      </c>
      <c r="AW10307" t="s">
        <v>264</v>
      </c>
    </row>
    <row r="10308" spans="1:50">
      <c r="A10308" s="1">
        <f>HYPERLINK("https://lsnyc.legalserver.org/matter/dynamic-profile/view/1896171","19-1896171")</f>
        <v>0</v>
      </c>
      <c r="B10308" t="s">
        <v>173</v>
      </c>
      <c r="C10308" t="s">
        <v>340</v>
      </c>
      <c r="D10308" t="s">
        <v>792</v>
      </c>
      <c r="F10308" t="s">
        <v>1206</v>
      </c>
      <c r="G10308" t="s">
        <v>2564</v>
      </c>
      <c r="H10308" t="s">
        <v>16621</v>
      </c>
      <c r="J10308" t="s">
        <v>18893</v>
      </c>
      <c r="K10308">
        <v>10027</v>
      </c>
      <c r="L10308" t="s">
        <v>18960</v>
      </c>
      <c r="M10308" t="s">
        <v>18960</v>
      </c>
      <c r="R10308" t="s">
        <v>26580</v>
      </c>
      <c r="U10308" t="s">
        <v>26604</v>
      </c>
      <c r="X10308">
        <v>0</v>
      </c>
      <c r="Y10308" t="s">
        <v>26651</v>
      </c>
      <c r="AB10308" t="s">
        <v>33907</v>
      </c>
      <c r="AD10308" t="s">
        <v>44781</v>
      </c>
      <c r="AE10308">
        <v>0</v>
      </c>
      <c r="AH10308">
        <v>0</v>
      </c>
      <c r="AI10308">
        <v>2</v>
      </c>
      <c r="AJ10308">
        <v>1</v>
      </c>
      <c r="AK10308">
        <v>84.39</v>
      </c>
      <c r="AN10308" t="s">
        <v>45581</v>
      </c>
      <c r="AO10308">
        <v>18000</v>
      </c>
      <c r="AU10308">
        <v>6.85</v>
      </c>
      <c r="AV10308" t="s">
        <v>768</v>
      </c>
      <c r="AW10308" t="s">
        <v>264</v>
      </c>
    </row>
    <row r="10309" spans="1:50">
      <c r="A10309" s="1">
        <f>HYPERLINK("https://lsnyc.legalserver.org/matter/dynamic-profile/view/1896428","19-1896428")</f>
        <v>0</v>
      </c>
      <c r="B10309" t="s">
        <v>100</v>
      </c>
      <c r="C10309" t="s">
        <v>341</v>
      </c>
      <c r="D10309" t="s">
        <v>724</v>
      </c>
      <c r="E10309" t="s">
        <v>767</v>
      </c>
      <c r="F10309" t="s">
        <v>4787</v>
      </c>
      <c r="G10309" t="s">
        <v>5078</v>
      </c>
      <c r="H10309" t="s">
        <v>16622</v>
      </c>
      <c r="I10309">
        <v>2</v>
      </c>
      <c r="J10309" t="s">
        <v>18892</v>
      </c>
      <c r="K10309">
        <v>10452</v>
      </c>
      <c r="L10309" t="s">
        <v>18958</v>
      </c>
      <c r="M10309" t="s">
        <v>18958</v>
      </c>
      <c r="N10309" t="s">
        <v>25964</v>
      </c>
      <c r="O10309" t="s">
        <v>26524</v>
      </c>
      <c r="P10309" t="s">
        <v>26564</v>
      </c>
      <c r="Q10309" t="s">
        <v>26570</v>
      </c>
      <c r="R10309" t="s">
        <v>26578</v>
      </c>
      <c r="S10309" t="s">
        <v>18959</v>
      </c>
      <c r="U10309" t="s">
        <v>26604</v>
      </c>
      <c r="X10309">
        <v>1600</v>
      </c>
      <c r="Y10309" t="s">
        <v>26650</v>
      </c>
      <c r="Z10309" t="s">
        <v>26659</v>
      </c>
      <c r="AA10309" t="s">
        <v>26683</v>
      </c>
      <c r="AB10309" t="s">
        <v>33908</v>
      </c>
      <c r="AD10309" t="s">
        <v>44782</v>
      </c>
      <c r="AE10309">
        <v>3</v>
      </c>
      <c r="AF10309" t="s">
        <v>20460</v>
      </c>
      <c r="AG10309" t="s">
        <v>19330</v>
      </c>
      <c r="AH10309">
        <v>5</v>
      </c>
      <c r="AI10309">
        <v>4</v>
      </c>
      <c r="AJ10309">
        <v>2</v>
      </c>
      <c r="AK10309">
        <v>80.94</v>
      </c>
      <c r="AN10309" t="s">
        <v>45581</v>
      </c>
      <c r="AO10309">
        <v>27996</v>
      </c>
      <c r="AU10309">
        <v>0.85</v>
      </c>
      <c r="AV10309" t="s">
        <v>767</v>
      </c>
      <c r="AW10309" t="s">
        <v>46860</v>
      </c>
      <c r="AX10309" t="s">
        <v>46897</v>
      </c>
    </row>
    <row r="10310" spans="1:50">
      <c r="A10310" s="1">
        <f>HYPERLINK("https://lsnyc.legalserver.org/matter/dynamic-profile/view/1896372","19-1896372")</f>
        <v>0</v>
      </c>
      <c r="B10310" t="s">
        <v>257</v>
      </c>
      <c r="C10310" t="s">
        <v>341</v>
      </c>
      <c r="D10310" t="s">
        <v>724</v>
      </c>
      <c r="E10310" t="s">
        <v>826</v>
      </c>
      <c r="F10310" t="s">
        <v>1081</v>
      </c>
      <c r="G10310" t="s">
        <v>9332</v>
      </c>
      <c r="H10310" t="s">
        <v>16623</v>
      </c>
      <c r="I10310">
        <v>2</v>
      </c>
      <c r="J10310" t="s">
        <v>18894</v>
      </c>
      <c r="K10310">
        <v>11236</v>
      </c>
      <c r="L10310" t="s">
        <v>18960</v>
      </c>
      <c r="M10310" t="s">
        <v>18960</v>
      </c>
      <c r="O10310" t="s">
        <v>18997</v>
      </c>
      <c r="P10310" t="s">
        <v>26563</v>
      </c>
      <c r="Q10310" t="s">
        <v>26570</v>
      </c>
      <c r="R10310" t="s">
        <v>26583</v>
      </c>
      <c r="U10310" t="s">
        <v>26604</v>
      </c>
      <c r="X10310">
        <v>1600</v>
      </c>
      <c r="Y10310" t="s">
        <v>26652</v>
      </c>
      <c r="AA10310" t="s">
        <v>26678</v>
      </c>
      <c r="AB10310" t="s">
        <v>29484</v>
      </c>
      <c r="AD10310" t="s">
        <v>44783</v>
      </c>
      <c r="AE10310">
        <v>0</v>
      </c>
      <c r="AF10310" t="s">
        <v>20460</v>
      </c>
      <c r="AG10310" t="s">
        <v>19330</v>
      </c>
      <c r="AH10310">
        <v>4</v>
      </c>
      <c r="AI10310">
        <v>1</v>
      </c>
      <c r="AJ10310">
        <v>0</v>
      </c>
      <c r="AK10310">
        <v>230.58</v>
      </c>
      <c r="AN10310" t="s">
        <v>7439</v>
      </c>
      <c r="AO10310">
        <v>28800</v>
      </c>
      <c r="AU10310">
        <v>4.4</v>
      </c>
      <c r="AV10310" t="s">
        <v>809</v>
      </c>
      <c r="AW10310" t="s">
        <v>46859</v>
      </c>
    </row>
    <row r="10311" spans="1:50">
      <c r="A10311" s="1">
        <f>HYPERLINK("https://lsnyc.legalserver.org/matter/dynamic-profile/view/1896766","19-1896766")</f>
        <v>0</v>
      </c>
      <c r="B10311" t="s">
        <v>116</v>
      </c>
      <c r="C10311" t="s">
        <v>341</v>
      </c>
      <c r="D10311" t="s">
        <v>724</v>
      </c>
      <c r="E10311" t="s">
        <v>807</v>
      </c>
      <c r="F10311" t="s">
        <v>1336</v>
      </c>
      <c r="G10311" t="s">
        <v>5121</v>
      </c>
      <c r="H10311" t="s">
        <v>16624</v>
      </c>
      <c r="I10311" t="s">
        <v>17306</v>
      </c>
      <c r="J10311" t="s">
        <v>18894</v>
      </c>
      <c r="K10311">
        <v>11207</v>
      </c>
      <c r="L10311" t="s">
        <v>18958</v>
      </c>
      <c r="M10311" t="s">
        <v>18958</v>
      </c>
      <c r="Q10311" t="s">
        <v>26571</v>
      </c>
      <c r="R10311" t="s">
        <v>26583</v>
      </c>
      <c r="U10311" t="s">
        <v>26605</v>
      </c>
      <c r="X10311">
        <v>247</v>
      </c>
      <c r="Y10311" t="s">
        <v>26652</v>
      </c>
      <c r="AA10311" t="s">
        <v>26681</v>
      </c>
      <c r="AB10311" t="s">
        <v>29069</v>
      </c>
      <c r="AE10311">
        <v>64</v>
      </c>
      <c r="AH10311">
        <v>1</v>
      </c>
      <c r="AI10311">
        <v>1</v>
      </c>
      <c r="AJ10311">
        <v>0</v>
      </c>
      <c r="AK10311">
        <v>46.89</v>
      </c>
      <c r="AN10311" t="s">
        <v>45581</v>
      </c>
      <c r="AO10311">
        <v>5856</v>
      </c>
      <c r="AU10311">
        <v>0.1</v>
      </c>
      <c r="AV10311" t="s">
        <v>807</v>
      </c>
      <c r="AW10311" t="s">
        <v>279</v>
      </c>
    </row>
    <row r="10312" spans="1:50">
      <c r="A10312" s="1">
        <f>HYPERLINK("https://lsnyc.legalserver.org/matter/dynamic-profile/view/1896300","19-1896300")</f>
        <v>0</v>
      </c>
      <c r="B10312" t="s">
        <v>288</v>
      </c>
      <c r="C10312" t="s">
        <v>341</v>
      </c>
      <c r="D10312" t="s">
        <v>724</v>
      </c>
      <c r="E10312" t="s">
        <v>818</v>
      </c>
      <c r="F10312" t="s">
        <v>896</v>
      </c>
      <c r="G10312" t="s">
        <v>5079</v>
      </c>
      <c r="H10312" t="s">
        <v>16625</v>
      </c>
      <c r="I10312" t="s">
        <v>17560</v>
      </c>
      <c r="J10312" t="s">
        <v>18894</v>
      </c>
      <c r="K10312">
        <v>11213</v>
      </c>
      <c r="L10312" t="s">
        <v>18959</v>
      </c>
      <c r="M10312" t="s">
        <v>18959</v>
      </c>
      <c r="O10312" t="s">
        <v>18997</v>
      </c>
      <c r="P10312" t="s">
        <v>26564</v>
      </c>
      <c r="Q10312" t="s">
        <v>26570</v>
      </c>
      <c r="R10312" t="s">
        <v>26586</v>
      </c>
      <c r="U10312" t="s">
        <v>26604</v>
      </c>
      <c r="X10312">
        <v>800</v>
      </c>
      <c r="Y10312" t="s">
        <v>26652</v>
      </c>
      <c r="Z10312" t="s">
        <v>26670</v>
      </c>
      <c r="AA10312" t="s">
        <v>26683</v>
      </c>
      <c r="AB10312" t="s">
        <v>33909</v>
      </c>
      <c r="AE10312">
        <v>124</v>
      </c>
      <c r="AF10312" t="s">
        <v>45548</v>
      </c>
      <c r="AH10312">
        <v>42</v>
      </c>
      <c r="AI10312">
        <v>1</v>
      </c>
      <c r="AJ10312">
        <v>0</v>
      </c>
      <c r="AK10312">
        <v>48.04</v>
      </c>
      <c r="AN10312" t="s">
        <v>7439</v>
      </c>
      <c r="AO10312">
        <v>6000</v>
      </c>
      <c r="AU10312">
        <v>0.25</v>
      </c>
      <c r="AV10312" t="s">
        <v>766</v>
      </c>
      <c r="AW10312" t="s">
        <v>281</v>
      </c>
    </row>
    <row r="10313" spans="1:50">
      <c r="A10313" s="1">
        <f>HYPERLINK("https://lsnyc.legalserver.org/matter/dynamic-profile/view/1896446","19-1896446")</f>
        <v>0</v>
      </c>
      <c r="B10313" t="s">
        <v>61</v>
      </c>
      <c r="C10313" t="s">
        <v>340</v>
      </c>
      <c r="D10313" t="s">
        <v>724</v>
      </c>
      <c r="F10313" t="s">
        <v>887</v>
      </c>
      <c r="G10313" t="s">
        <v>5265</v>
      </c>
      <c r="H10313" t="s">
        <v>10183</v>
      </c>
      <c r="I10313" t="s">
        <v>17277</v>
      </c>
      <c r="J10313" t="s">
        <v>18893</v>
      </c>
      <c r="K10313">
        <v>10034</v>
      </c>
      <c r="L10313" t="s">
        <v>18960</v>
      </c>
      <c r="M10313" t="s">
        <v>18960</v>
      </c>
      <c r="N10313" t="s">
        <v>25965</v>
      </c>
      <c r="O10313" t="s">
        <v>26523</v>
      </c>
      <c r="P10313" t="s">
        <v>26565</v>
      </c>
      <c r="R10313" t="s">
        <v>26589</v>
      </c>
      <c r="S10313" t="s">
        <v>18959</v>
      </c>
      <c r="U10313" t="s">
        <v>26604</v>
      </c>
      <c r="X10313">
        <v>0</v>
      </c>
      <c r="Y10313" t="s">
        <v>26651</v>
      </c>
      <c r="Z10313" t="s">
        <v>26661</v>
      </c>
      <c r="AB10313" t="s">
        <v>33910</v>
      </c>
      <c r="AD10313" t="s">
        <v>44784</v>
      </c>
      <c r="AE10313">
        <v>44</v>
      </c>
      <c r="AF10313" t="s">
        <v>45541</v>
      </c>
      <c r="AG10313" t="s">
        <v>19330</v>
      </c>
      <c r="AH10313">
        <v>33</v>
      </c>
      <c r="AI10313">
        <v>1</v>
      </c>
      <c r="AJ10313">
        <v>0</v>
      </c>
      <c r="AK10313">
        <v>84.55</v>
      </c>
      <c r="AN10313" t="s">
        <v>45581</v>
      </c>
      <c r="AO10313">
        <v>10560</v>
      </c>
      <c r="AU10313">
        <v>1</v>
      </c>
      <c r="AV10313" t="s">
        <v>808</v>
      </c>
      <c r="AW10313" t="s">
        <v>46838</v>
      </c>
    </row>
    <row r="10314" spans="1:50">
      <c r="A10314" s="1">
        <f>HYPERLINK("https://lsnyc.legalserver.org/matter/dynamic-profile/view/1896361","19-1896361")</f>
        <v>0</v>
      </c>
      <c r="B10314" t="s">
        <v>89</v>
      </c>
      <c r="C10314" t="s">
        <v>340</v>
      </c>
      <c r="D10314" t="s">
        <v>724</v>
      </c>
      <c r="F10314" t="s">
        <v>1093</v>
      </c>
      <c r="G10314" t="s">
        <v>5686</v>
      </c>
      <c r="H10314" t="s">
        <v>9803</v>
      </c>
      <c r="I10314" t="s">
        <v>17755</v>
      </c>
      <c r="J10314" t="s">
        <v>18893</v>
      </c>
      <c r="K10314">
        <v>10002</v>
      </c>
      <c r="L10314" t="s">
        <v>18958</v>
      </c>
      <c r="M10314" t="s">
        <v>18958</v>
      </c>
      <c r="O10314" t="s">
        <v>18997</v>
      </c>
      <c r="P10314" t="s">
        <v>26564</v>
      </c>
      <c r="R10314" t="s">
        <v>26594</v>
      </c>
      <c r="S10314" t="s">
        <v>18959</v>
      </c>
      <c r="U10314" t="s">
        <v>26605</v>
      </c>
      <c r="X10314">
        <v>500</v>
      </c>
      <c r="Y10314" t="s">
        <v>26651</v>
      </c>
      <c r="Z10314" t="s">
        <v>26667</v>
      </c>
      <c r="AB10314" t="s">
        <v>33911</v>
      </c>
      <c r="AE10314">
        <v>0</v>
      </c>
      <c r="AF10314" t="s">
        <v>45549</v>
      </c>
      <c r="AG10314" t="s">
        <v>19330</v>
      </c>
      <c r="AH10314">
        <v>3</v>
      </c>
      <c r="AI10314">
        <v>1</v>
      </c>
      <c r="AJ10314">
        <v>0</v>
      </c>
      <c r="AK10314">
        <v>101.46</v>
      </c>
      <c r="AN10314" t="s">
        <v>45581</v>
      </c>
      <c r="AO10314">
        <v>12672</v>
      </c>
      <c r="AU10314">
        <v>1.5</v>
      </c>
      <c r="AV10314" t="s">
        <v>802</v>
      </c>
      <c r="AW10314" t="s">
        <v>314</v>
      </c>
    </row>
    <row r="10315" spans="1:50">
      <c r="A10315" s="1">
        <f>HYPERLINK("https://lsnyc.legalserver.org/matter/dynamic-profile/view/1896418","19-1896418")</f>
        <v>0</v>
      </c>
      <c r="B10315" t="s">
        <v>180</v>
      </c>
      <c r="C10315" t="s">
        <v>340</v>
      </c>
      <c r="D10315" t="s">
        <v>724</v>
      </c>
      <c r="F10315" t="s">
        <v>990</v>
      </c>
      <c r="G10315" t="s">
        <v>7883</v>
      </c>
      <c r="H10315" t="s">
        <v>14011</v>
      </c>
      <c r="I10315" t="s">
        <v>17410</v>
      </c>
      <c r="J10315" t="s">
        <v>18894</v>
      </c>
      <c r="K10315">
        <v>11226</v>
      </c>
      <c r="L10315" t="s">
        <v>18958</v>
      </c>
      <c r="M10315" t="s">
        <v>18958</v>
      </c>
      <c r="N10315" t="s">
        <v>23387</v>
      </c>
      <c r="P10315" t="s">
        <v>26563</v>
      </c>
      <c r="R10315" t="s">
        <v>26591</v>
      </c>
      <c r="U10315" t="s">
        <v>26607</v>
      </c>
      <c r="X10315">
        <v>537.25</v>
      </c>
      <c r="Y10315" t="s">
        <v>26652</v>
      </c>
      <c r="Z10315" t="s">
        <v>26659</v>
      </c>
      <c r="AB10315" t="s">
        <v>31437</v>
      </c>
      <c r="AE10315">
        <v>6</v>
      </c>
      <c r="AH10315">
        <v>0</v>
      </c>
      <c r="AI10315">
        <v>2</v>
      </c>
      <c r="AJ10315">
        <v>0</v>
      </c>
      <c r="AK10315">
        <v>99.17</v>
      </c>
      <c r="AN10315" t="s">
        <v>7439</v>
      </c>
      <c r="AO10315">
        <v>16770</v>
      </c>
      <c r="AU10315">
        <v>0.7</v>
      </c>
      <c r="AV10315" t="s">
        <v>729</v>
      </c>
      <c r="AW10315" t="s">
        <v>46862</v>
      </c>
    </row>
    <row r="10316" spans="1:50">
      <c r="A10316" s="1">
        <f>HYPERLINK("https://lsnyc.legalserver.org/matter/dynamic-profile/view/1896402","19-1896402")</f>
        <v>0</v>
      </c>
      <c r="B10316" t="s">
        <v>212</v>
      </c>
      <c r="C10316" t="s">
        <v>340</v>
      </c>
      <c r="D10316" t="s">
        <v>724</v>
      </c>
      <c r="F10316" t="s">
        <v>1292</v>
      </c>
      <c r="G10316" t="s">
        <v>5761</v>
      </c>
      <c r="H10316" t="s">
        <v>14551</v>
      </c>
      <c r="I10316">
        <v>40</v>
      </c>
      <c r="J10316" t="s">
        <v>18898</v>
      </c>
      <c r="K10316">
        <v>11691</v>
      </c>
      <c r="L10316" t="s">
        <v>18958</v>
      </c>
      <c r="M10316" t="s">
        <v>18958</v>
      </c>
      <c r="O10316" t="s">
        <v>26534</v>
      </c>
      <c r="P10316" t="s">
        <v>26561</v>
      </c>
      <c r="R10316" t="s">
        <v>26578</v>
      </c>
      <c r="S10316" t="s">
        <v>18958</v>
      </c>
      <c r="U10316" t="s">
        <v>26604</v>
      </c>
      <c r="X10316">
        <v>660</v>
      </c>
      <c r="Y10316" t="s">
        <v>26653</v>
      </c>
      <c r="Z10316" t="s">
        <v>26664</v>
      </c>
      <c r="AB10316" t="s">
        <v>32122</v>
      </c>
      <c r="AD10316" t="s">
        <v>42458</v>
      </c>
      <c r="AE10316">
        <v>43</v>
      </c>
      <c r="AH10316">
        <v>40</v>
      </c>
      <c r="AI10316">
        <v>2</v>
      </c>
      <c r="AJ10316">
        <v>0</v>
      </c>
      <c r="AK10316">
        <v>158.6</v>
      </c>
      <c r="AN10316" t="s">
        <v>7439</v>
      </c>
      <c r="AO10316">
        <v>26820</v>
      </c>
      <c r="AU10316">
        <v>0</v>
      </c>
      <c r="AW10316" t="s">
        <v>46884</v>
      </c>
    </row>
    <row r="10317" spans="1:50">
      <c r="A10317" s="1">
        <f>HYPERLINK("https://lsnyc.legalserver.org/matter/dynamic-profile/view/1896283","19-1896283")</f>
        <v>0</v>
      </c>
      <c r="B10317" t="s">
        <v>204</v>
      </c>
      <c r="C10317" t="s">
        <v>340</v>
      </c>
      <c r="D10317" t="s">
        <v>724</v>
      </c>
      <c r="F10317" t="s">
        <v>2897</v>
      </c>
      <c r="G10317" t="s">
        <v>5625</v>
      </c>
      <c r="H10317" t="s">
        <v>16626</v>
      </c>
      <c r="I10317">
        <v>6</v>
      </c>
      <c r="J10317" t="s">
        <v>18894</v>
      </c>
      <c r="K10317">
        <v>11220</v>
      </c>
      <c r="L10317" t="s">
        <v>18960</v>
      </c>
      <c r="M10317" t="s">
        <v>18960</v>
      </c>
      <c r="N10317" t="s">
        <v>25966</v>
      </c>
      <c r="O10317" t="s">
        <v>26524</v>
      </c>
      <c r="P10317" t="s">
        <v>26560</v>
      </c>
      <c r="R10317" t="s">
        <v>26586</v>
      </c>
      <c r="S10317" t="s">
        <v>18959</v>
      </c>
      <c r="U10317" t="s">
        <v>26604</v>
      </c>
      <c r="V10317" t="s">
        <v>26610</v>
      </c>
      <c r="X10317">
        <v>1552.92</v>
      </c>
      <c r="Y10317" t="s">
        <v>26652</v>
      </c>
      <c r="Z10317" t="s">
        <v>26664</v>
      </c>
      <c r="AB10317" t="s">
        <v>33912</v>
      </c>
      <c r="AD10317" t="s">
        <v>44785</v>
      </c>
      <c r="AE10317">
        <v>16</v>
      </c>
      <c r="AF10317" t="s">
        <v>45541</v>
      </c>
      <c r="AH10317">
        <v>26</v>
      </c>
      <c r="AI10317">
        <v>3</v>
      </c>
      <c r="AJ10317">
        <v>1</v>
      </c>
      <c r="AK10317">
        <v>0</v>
      </c>
      <c r="AN10317" t="s">
        <v>7439</v>
      </c>
      <c r="AO10317">
        <v>0</v>
      </c>
      <c r="AU10317">
        <v>11.4</v>
      </c>
      <c r="AV10317" t="s">
        <v>828</v>
      </c>
      <c r="AW10317" t="s">
        <v>46862</v>
      </c>
    </row>
    <row r="10318" spans="1:50">
      <c r="A10318" s="1">
        <f>HYPERLINK("https://lsnyc.legalserver.org/matter/dynamic-profile/view/1896340","19-1896340")</f>
        <v>0</v>
      </c>
      <c r="B10318" t="s">
        <v>200</v>
      </c>
      <c r="C10318" t="s">
        <v>340</v>
      </c>
      <c r="D10318" t="s">
        <v>724</v>
      </c>
      <c r="F10318" t="s">
        <v>3771</v>
      </c>
      <c r="G10318" t="s">
        <v>1146</v>
      </c>
      <c r="H10318" t="s">
        <v>16627</v>
      </c>
      <c r="I10318" t="s">
        <v>18013</v>
      </c>
      <c r="J10318" t="s">
        <v>18894</v>
      </c>
      <c r="K10318">
        <v>11233</v>
      </c>
      <c r="L10318" t="s">
        <v>18960</v>
      </c>
      <c r="M10318" t="s">
        <v>18960</v>
      </c>
      <c r="R10318" t="s">
        <v>26591</v>
      </c>
      <c r="U10318" t="s">
        <v>26604</v>
      </c>
      <c r="X10318">
        <v>1500</v>
      </c>
      <c r="Y10318" t="s">
        <v>26652</v>
      </c>
      <c r="AB10318" t="s">
        <v>28011</v>
      </c>
      <c r="AE10318">
        <v>1</v>
      </c>
      <c r="AH10318">
        <v>6</v>
      </c>
      <c r="AI10318">
        <v>1</v>
      </c>
      <c r="AJ10318">
        <v>0</v>
      </c>
      <c r="AK10318">
        <v>48.04</v>
      </c>
      <c r="AN10318" t="s">
        <v>7439</v>
      </c>
      <c r="AO10318">
        <v>6000</v>
      </c>
      <c r="AU10318">
        <v>1</v>
      </c>
      <c r="AV10318" t="s">
        <v>724</v>
      </c>
      <c r="AW10318" t="s">
        <v>46857</v>
      </c>
    </row>
    <row r="10319" spans="1:50">
      <c r="A10319" s="1">
        <f>HYPERLINK("https://lsnyc.legalserver.org/matter/dynamic-profile/view/1896438","19-1896438")</f>
        <v>0</v>
      </c>
      <c r="B10319" t="s">
        <v>200</v>
      </c>
      <c r="C10319" t="s">
        <v>340</v>
      </c>
      <c r="D10319" t="s">
        <v>724</v>
      </c>
      <c r="F10319" t="s">
        <v>979</v>
      </c>
      <c r="G10319" t="s">
        <v>4092</v>
      </c>
      <c r="H10319" t="s">
        <v>16628</v>
      </c>
      <c r="I10319" t="s">
        <v>18781</v>
      </c>
      <c r="J10319" t="s">
        <v>18894</v>
      </c>
      <c r="K10319">
        <v>11221</v>
      </c>
      <c r="L10319" t="s">
        <v>18960</v>
      </c>
      <c r="M10319" t="s">
        <v>18960</v>
      </c>
      <c r="R10319" t="s">
        <v>26591</v>
      </c>
      <c r="U10319" t="s">
        <v>26604</v>
      </c>
      <c r="X10319">
        <v>1094.01</v>
      </c>
      <c r="Y10319" t="s">
        <v>26652</v>
      </c>
      <c r="AB10319" t="s">
        <v>30028</v>
      </c>
      <c r="AD10319" t="s">
        <v>44786</v>
      </c>
      <c r="AE10319">
        <v>6</v>
      </c>
      <c r="AH10319">
        <v>15</v>
      </c>
      <c r="AI10319">
        <v>1</v>
      </c>
      <c r="AJ10319">
        <v>0</v>
      </c>
      <c r="AK10319">
        <v>152.38</v>
      </c>
      <c r="AN10319" t="s">
        <v>7439</v>
      </c>
      <c r="AO10319">
        <v>19032</v>
      </c>
      <c r="AU10319">
        <v>0.5</v>
      </c>
      <c r="AV10319" t="s">
        <v>724</v>
      </c>
      <c r="AW10319" t="s">
        <v>46850</v>
      </c>
    </row>
    <row r="10320" spans="1:50">
      <c r="A10320" s="1">
        <f>HYPERLINK("https://lsnyc.legalserver.org/matter/dynamic-profile/view/1896329","19-1896329")</f>
        <v>0</v>
      </c>
      <c r="B10320" t="s">
        <v>121</v>
      </c>
      <c r="C10320" t="s">
        <v>340</v>
      </c>
      <c r="D10320" t="s">
        <v>724</v>
      </c>
      <c r="F10320" t="s">
        <v>4788</v>
      </c>
      <c r="G10320" t="s">
        <v>5794</v>
      </c>
      <c r="H10320" t="s">
        <v>10598</v>
      </c>
      <c r="I10320" t="s">
        <v>17411</v>
      </c>
      <c r="J10320" t="s">
        <v>18892</v>
      </c>
      <c r="K10320">
        <v>10473</v>
      </c>
      <c r="L10320" t="s">
        <v>18958</v>
      </c>
      <c r="M10320" t="s">
        <v>18958</v>
      </c>
      <c r="N10320" t="s">
        <v>25967</v>
      </c>
      <c r="O10320" t="s">
        <v>26524</v>
      </c>
      <c r="P10320" t="s">
        <v>26560</v>
      </c>
      <c r="R10320" t="s">
        <v>26577</v>
      </c>
      <c r="U10320" t="s">
        <v>26605</v>
      </c>
      <c r="V10320" t="s">
        <v>26610</v>
      </c>
      <c r="X10320">
        <v>272</v>
      </c>
      <c r="Y10320" t="s">
        <v>26650</v>
      </c>
      <c r="Z10320" t="s">
        <v>26668</v>
      </c>
      <c r="AB10320" t="s">
        <v>27724</v>
      </c>
      <c r="AD10320" t="s">
        <v>37774</v>
      </c>
      <c r="AE10320">
        <v>0</v>
      </c>
      <c r="AF10320" t="s">
        <v>45549</v>
      </c>
      <c r="AG10320" t="s">
        <v>19330</v>
      </c>
      <c r="AH10320">
        <v>6</v>
      </c>
      <c r="AI10320">
        <v>1</v>
      </c>
      <c r="AJ10320">
        <v>0</v>
      </c>
      <c r="AK10320">
        <v>226.59</v>
      </c>
      <c r="AN10320" t="s">
        <v>7439</v>
      </c>
      <c r="AO10320">
        <v>28301</v>
      </c>
      <c r="AP10320" t="s">
        <v>46275</v>
      </c>
      <c r="AU10320">
        <v>5.4</v>
      </c>
      <c r="AV10320" t="s">
        <v>835</v>
      </c>
      <c r="AW10320" t="s">
        <v>334</v>
      </c>
    </row>
    <row r="10321" spans="1:50">
      <c r="A10321" s="1">
        <f>HYPERLINK("https://lsnyc.legalserver.org/matter/dynamic-profile/view/1896419","19-1896419")</f>
        <v>0</v>
      </c>
      <c r="B10321" t="s">
        <v>331</v>
      </c>
      <c r="C10321" t="s">
        <v>340</v>
      </c>
      <c r="D10321" t="s">
        <v>724</v>
      </c>
      <c r="F10321" t="s">
        <v>895</v>
      </c>
      <c r="G10321" t="s">
        <v>9333</v>
      </c>
      <c r="H10321" t="s">
        <v>16629</v>
      </c>
      <c r="I10321" t="s">
        <v>17924</v>
      </c>
      <c r="J10321" t="s">
        <v>18893</v>
      </c>
      <c r="K10321">
        <v>10033</v>
      </c>
      <c r="L10321" t="s">
        <v>18960</v>
      </c>
      <c r="M10321" t="s">
        <v>18960</v>
      </c>
      <c r="O10321" t="s">
        <v>18997</v>
      </c>
      <c r="R10321" t="s">
        <v>26582</v>
      </c>
      <c r="U10321" t="s">
        <v>26604</v>
      </c>
      <c r="X10321">
        <v>3300</v>
      </c>
      <c r="Y10321" t="s">
        <v>26651</v>
      </c>
      <c r="AB10321" t="s">
        <v>33913</v>
      </c>
      <c r="AD10321" t="s">
        <v>44787</v>
      </c>
      <c r="AE10321">
        <v>0</v>
      </c>
      <c r="AF10321" t="s">
        <v>45541</v>
      </c>
      <c r="AH10321">
        <v>1</v>
      </c>
      <c r="AI10321">
        <v>1</v>
      </c>
      <c r="AJ10321">
        <v>0</v>
      </c>
      <c r="AK10321">
        <v>92.06999999999999</v>
      </c>
      <c r="AN10321" t="s">
        <v>7439</v>
      </c>
      <c r="AO10321">
        <v>11500</v>
      </c>
      <c r="AU10321">
        <v>3.2</v>
      </c>
      <c r="AV10321" t="s">
        <v>815</v>
      </c>
      <c r="AW10321" t="s">
        <v>46838</v>
      </c>
    </row>
    <row r="10322" spans="1:50">
      <c r="A10322" s="1">
        <f>HYPERLINK("https://lsnyc.legalserver.org/matter/dynamic-profile/view/1896367","19-1896367")</f>
        <v>0</v>
      </c>
      <c r="B10322" t="s">
        <v>273</v>
      </c>
      <c r="C10322" t="s">
        <v>340</v>
      </c>
      <c r="D10322" t="s">
        <v>724</v>
      </c>
      <c r="F10322" t="s">
        <v>4789</v>
      </c>
      <c r="G10322" t="s">
        <v>5138</v>
      </c>
      <c r="H10322" t="s">
        <v>16630</v>
      </c>
      <c r="I10322" t="s">
        <v>17573</v>
      </c>
      <c r="J10322" t="s">
        <v>18893</v>
      </c>
      <c r="K10322">
        <v>10034</v>
      </c>
      <c r="L10322" t="s">
        <v>18960</v>
      </c>
      <c r="M10322" t="s">
        <v>18960</v>
      </c>
      <c r="O10322" t="s">
        <v>18997</v>
      </c>
      <c r="P10322" t="s">
        <v>26562</v>
      </c>
      <c r="R10322" t="s">
        <v>26589</v>
      </c>
      <c r="U10322" t="s">
        <v>26604</v>
      </c>
      <c r="X10322">
        <v>460</v>
      </c>
      <c r="Y10322" t="s">
        <v>26651</v>
      </c>
      <c r="AB10322" t="s">
        <v>33914</v>
      </c>
      <c r="AD10322" t="s">
        <v>44788</v>
      </c>
      <c r="AE10322">
        <v>0</v>
      </c>
      <c r="AH10322">
        <v>4</v>
      </c>
      <c r="AI10322">
        <v>2</v>
      </c>
      <c r="AJ10322">
        <v>0</v>
      </c>
      <c r="AK10322">
        <v>62.31</v>
      </c>
      <c r="AN10322" t="s">
        <v>45581</v>
      </c>
      <c r="AO10322">
        <v>10536</v>
      </c>
      <c r="AU10322">
        <v>9.35</v>
      </c>
      <c r="AV10322" t="s">
        <v>808</v>
      </c>
      <c r="AW10322" t="s">
        <v>46838</v>
      </c>
    </row>
    <row r="10323" spans="1:50">
      <c r="A10323" s="1">
        <f>HYPERLINK("https://lsnyc.legalserver.org/matter/dynamic-profile/view/1896429","19-1896429")</f>
        <v>0</v>
      </c>
      <c r="B10323" t="s">
        <v>273</v>
      </c>
      <c r="C10323" t="s">
        <v>340</v>
      </c>
      <c r="D10323" t="s">
        <v>724</v>
      </c>
      <c r="F10323" t="s">
        <v>2076</v>
      </c>
      <c r="G10323" t="s">
        <v>2975</v>
      </c>
      <c r="H10323" t="s">
        <v>14520</v>
      </c>
      <c r="I10323" t="s">
        <v>17283</v>
      </c>
      <c r="J10323" t="s">
        <v>18893</v>
      </c>
      <c r="K10323">
        <v>10034</v>
      </c>
      <c r="L10323" t="s">
        <v>18960</v>
      </c>
      <c r="M10323" t="s">
        <v>18960</v>
      </c>
      <c r="O10323" t="s">
        <v>18997</v>
      </c>
      <c r="P10323" t="s">
        <v>26563</v>
      </c>
      <c r="R10323" t="s">
        <v>26589</v>
      </c>
      <c r="U10323" t="s">
        <v>26604</v>
      </c>
      <c r="X10323">
        <v>0</v>
      </c>
      <c r="Y10323" t="s">
        <v>26651</v>
      </c>
      <c r="AB10323" t="s">
        <v>33915</v>
      </c>
      <c r="AD10323" t="s">
        <v>44789</v>
      </c>
      <c r="AE10323">
        <v>0</v>
      </c>
      <c r="AH10323">
        <v>43</v>
      </c>
      <c r="AI10323">
        <v>1</v>
      </c>
      <c r="AJ10323">
        <v>0</v>
      </c>
      <c r="AK10323">
        <v>144.12</v>
      </c>
      <c r="AN10323" t="s">
        <v>45581</v>
      </c>
      <c r="AO10323">
        <v>18000</v>
      </c>
      <c r="AU10323">
        <v>19</v>
      </c>
      <c r="AV10323" t="s">
        <v>766</v>
      </c>
      <c r="AW10323" t="s">
        <v>46838</v>
      </c>
    </row>
    <row r="10324" spans="1:50">
      <c r="A10324" s="1">
        <f>HYPERLINK("https://lsnyc.legalserver.org/matter/dynamic-profile/view/1896355","19-1896355")</f>
        <v>0</v>
      </c>
      <c r="B10324" t="s">
        <v>273</v>
      </c>
      <c r="C10324" t="s">
        <v>340</v>
      </c>
      <c r="D10324" t="s">
        <v>724</v>
      </c>
      <c r="F10324" t="s">
        <v>4410</v>
      </c>
      <c r="G10324" t="s">
        <v>6094</v>
      </c>
      <c r="H10324" t="s">
        <v>16631</v>
      </c>
      <c r="I10324" t="s">
        <v>17272</v>
      </c>
      <c r="J10324" t="s">
        <v>18893</v>
      </c>
      <c r="K10324">
        <v>10034</v>
      </c>
      <c r="L10324" t="s">
        <v>18960</v>
      </c>
      <c r="M10324" t="s">
        <v>18960</v>
      </c>
      <c r="N10324">
        <v>51766</v>
      </c>
      <c r="O10324" t="s">
        <v>26523</v>
      </c>
      <c r="P10324" t="s">
        <v>26563</v>
      </c>
      <c r="R10324" t="s">
        <v>26589</v>
      </c>
      <c r="U10324" t="s">
        <v>26604</v>
      </c>
      <c r="X10324">
        <v>1470</v>
      </c>
      <c r="Y10324" t="s">
        <v>26651</v>
      </c>
      <c r="AB10324" t="s">
        <v>33916</v>
      </c>
      <c r="AD10324" t="s">
        <v>44790</v>
      </c>
      <c r="AE10324">
        <v>0</v>
      </c>
      <c r="AH10324">
        <v>5</v>
      </c>
      <c r="AI10324">
        <v>2</v>
      </c>
      <c r="AJ10324">
        <v>2</v>
      </c>
      <c r="AK10324">
        <v>306.45</v>
      </c>
      <c r="AN10324" t="s">
        <v>7439</v>
      </c>
      <c r="AO10324">
        <v>78910</v>
      </c>
      <c r="AU10324">
        <v>1</v>
      </c>
      <c r="AV10324" t="s">
        <v>762</v>
      </c>
      <c r="AW10324" t="s">
        <v>46838</v>
      </c>
    </row>
    <row r="10325" spans="1:50">
      <c r="A10325" s="1">
        <f>HYPERLINK("https://lsnyc.legalserver.org/matter/dynamic-profile/view/1896378","19-1896378")</f>
        <v>0</v>
      </c>
      <c r="B10325" t="s">
        <v>273</v>
      </c>
      <c r="C10325" t="s">
        <v>340</v>
      </c>
      <c r="D10325" t="s">
        <v>724</v>
      </c>
      <c r="F10325" t="s">
        <v>3061</v>
      </c>
      <c r="G10325" t="s">
        <v>5147</v>
      </c>
      <c r="H10325" t="s">
        <v>16632</v>
      </c>
      <c r="I10325">
        <v>42</v>
      </c>
      <c r="J10325" t="s">
        <v>18893</v>
      </c>
      <c r="K10325">
        <v>10034</v>
      </c>
      <c r="L10325" t="s">
        <v>18960</v>
      </c>
      <c r="M10325" t="s">
        <v>18960</v>
      </c>
      <c r="O10325" t="s">
        <v>18997</v>
      </c>
      <c r="R10325" t="s">
        <v>26582</v>
      </c>
      <c r="U10325" t="s">
        <v>26604</v>
      </c>
      <c r="X10325">
        <v>937</v>
      </c>
      <c r="Y10325" t="s">
        <v>26651</v>
      </c>
      <c r="AB10325" t="s">
        <v>28984</v>
      </c>
      <c r="AD10325" t="s">
        <v>44791</v>
      </c>
      <c r="AE10325">
        <v>0</v>
      </c>
      <c r="AH10325">
        <v>45</v>
      </c>
      <c r="AI10325">
        <v>1</v>
      </c>
      <c r="AJ10325">
        <v>0</v>
      </c>
      <c r="AK10325">
        <v>240.19</v>
      </c>
      <c r="AN10325" t="s">
        <v>7439</v>
      </c>
      <c r="AO10325">
        <v>30000</v>
      </c>
      <c r="AU10325">
        <v>2.65</v>
      </c>
      <c r="AV10325" t="s">
        <v>806</v>
      </c>
      <c r="AW10325" t="s">
        <v>46838</v>
      </c>
    </row>
    <row r="10326" spans="1:50">
      <c r="A10326" s="1">
        <f>HYPERLINK("https://lsnyc.legalserver.org/matter/dynamic-profile/view/1896427","19-1896427")</f>
        <v>0</v>
      </c>
      <c r="B10326" t="s">
        <v>129</v>
      </c>
      <c r="C10326" t="s">
        <v>340</v>
      </c>
      <c r="D10326" t="s">
        <v>724</v>
      </c>
      <c r="F10326" t="s">
        <v>1548</v>
      </c>
      <c r="G10326" t="s">
        <v>5203</v>
      </c>
      <c r="H10326" t="s">
        <v>13303</v>
      </c>
      <c r="I10326" t="s">
        <v>17364</v>
      </c>
      <c r="J10326" t="s">
        <v>18894</v>
      </c>
      <c r="K10326">
        <v>11238</v>
      </c>
      <c r="L10326" t="s">
        <v>18958</v>
      </c>
      <c r="M10326" t="s">
        <v>18958</v>
      </c>
      <c r="N10326" t="s">
        <v>25968</v>
      </c>
      <c r="O10326" t="s">
        <v>26523</v>
      </c>
      <c r="P10326" t="s">
        <v>26560</v>
      </c>
      <c r="R10326" t="s">
        <v>26583</v>
      </c>
      <c r="U10326" t="s">
        <v>26604</v>
      </c>
      <c r="X10326">
        <v>843.15</v>
      </c>
      <c r="Y10326" t="s">
        <v>26652</v>
      </c>
      <c r="Z10326" t="s">
        <v>26659</v>
      </c>
      <c r="AB10326" t="s">
        <v>31935</v>
      </c>
      <c r="AD10326" t="s">
        <v>44792</v>
      </c>
      <c r="AE10326">
        <v>24</v>
      </c>
      <c r="AH10326">
        <v>19</v>
      </c>
      <c r="AI10326">
        <v>1</v>
      </c>
      <c r="AJ10326">
        <v>0</v>
      </c>
      <c r="AK10326">
        <v>360.29</v>
      </c>
      <c r="AL10326" t="s">
        <v>770</v>
      </c>
      <c r="AM10326" t="s">
        <v>45575</v>
      </c>
      <c r="AN10326" t="s">
        <v>7439</v>
      </c>
      <c r="AO10326">
        <v>45000</v>
      </c>
      <c r="AU10326">
        <v>11.75</v>
      </c>
      <c r="AV10326" t="s">
        <v>825</v>
      </c>
      <c r="AW10326" t="s">
        <v>46862</v>
      </c>
    </row>
    <row r="10327" spans="1:50">
      <c r="A10327" s="1">
        <f>HYPERLINK("https://lsnyc.legalserver.org/matter/dynamic-profile/view/1896425","19-1896425")</f>
        <v>0</v>
      </c>
      <c r="B10327" t="s">
        <v>188</v>
      </c>
      <c r="C10327" t="s">
        <v>340</v>
      </c>
      <c r="D10327" t="s">
        <v>724</v>
      </c>
      <c r="F10327" t="s">
        <v>3085</v>
      </c>
      <c r="G10327" t="s">
        <v>5205</v>
      </c>
      <c r="H10327" t="s">
        <v>11980</v>
      </c>
      <c r="I10327" t="s">
        <v>17355</v>
      </c>
      <c r="J10327" t="s">
        <v>18892</v>
      </c>
      <c r="K10327">
        <v>10459</v>
      </c>
      <c r="L10327" t="s">
        <v>18958</v>
      </c>
      <c r="M10327" t="s">
        <v>18958</v>
      </c>
      <c r="N10327" t="s">
        <v>25969</v>
      </c>
      <c r="O10327" t="s">
        <v>26523</v>
      </c>
      <c r="P10327" t="s">
        <v>26560</v>
      </c>
      <c r="R10327" t="s">
        <v>26578</v>
      </c>
      <c r="S10327" t="s">
        <v>18959</v>
      </c>
      <c r="U10327" t="s">
        <v>26604</v>
      </c>
      <c r="X10327">
        <v>520</v>
      </c>
      <c r="Y10327" t="s">
        <v>26650</v>
      </c>
      <c r="Z10327" t="s">
        <v>26667</v>
      </c>
      <c r="AB10327" t="s">
        <v>26780</v>
      </c>
      <c r="AC10327" t="s">
        <v>36710</v>
      </c>
      <c r="AD10327" t="s">
        <v>40612</v>
      </c>
      <c r="AE10327">
        <v>48</v>
      </c>
      <c r="AF10327" t="s">
        <v>45543</v>
      </c>
      <c r="AG10327" t="s">
        <v>19330</v>
      </c>
      <c r="AH10327">
        <v>28</v>
      </c>
      <c r="AI10327">
        <v>1</v>
      </c>
      <c r="AJ10327">
        <v>1</v>
      </c>
      <c r="AK10327">
        <v>113.54</v>
      </c>
      <c r="AN10327" t="s">
        <v>7439</v>
      </c>
      <c r="AO10327">
        <v>19200</v>
      </c>
      <c r="AU10327">
        <v>6.6</v>
      </c>
      <c r="AV10327" t="s">
        <v>836</v>
      </c>
      <c r="AW10327" t="s">
        <v>329</v>
      </c>
    </row>
    <row r="10328" spans="1:50">
      <c r="A10328" s="1">
        <f>HYPERLINK("https://lsnyc.legalserver.org/matter/dynamic-profile/view/1896368","19-1896368")</f>
        <v>0</v>
      </c>
      <c r="B10328" t="s">
        <v>63</v>
      </c>
      <c r="C10328" t="s">
        <v>340</v>
      </c>
      <c r="D10328" t="s">
        <v>724</v>
      </c>
      <c r="F10328" t="s">
        <v>3433</v>
      </c>
      <c r="G10328" t="s">
        <v>1865</v>
      </c>
      <c r="H10328" t="s">
        <v>16633</v>
      </c>
      <c r="I10328" t="s">
        <v>18782</v>
      </c>
      <c r="J10328" t="s">
        <v>18892</v>
      </c>
      <c r="K10328">
        <v>10459</v>
      </c>
      <c r="L10328" t="s">
        <v>18958</v>
      </c>
      <c r="M10328" t="s">
        <v>18958</v>
      </c>
      <c r="R10328" t="s">
        <v>26578</v>
      </c>
      <c r="U10328" t="s">
        <v>26604</v>
      </c>
      <c r="X10328">
        <v>1059</v>
      </c>
      <c r="Y10328" t="s">
        <v>26650</v>
      </c>
      <c r="Z10328" t="s">
        <v>26670</v>
      </c>
      <c r="AB10328" t="s">
        <v>27991</v>
      </c>
      <c r="AD10328" t="s">
        <v>44793</v>
      </c>
      <c r="AE10328">
        <v>35</v>
      </c>
      <c r="AF10328" t="s">
        <v>45541</v>
      </c>
      <c r="AG10328" t="s">
        <v>19330</v>
      </c>
      <c r="AH10328">
        <v>7</v>
      </c>
      <c r="AI10328">
        <v>1</v>
      </c>
      <c r="AJ10328">
        <v>2</v>
      </c>
      <c r="AK10328">
        <v>146.27</v>
      </c>
      <c r="AN10328" t="s">
        <v>45581</v>
      </c>
      <c r="AO10328">
        <v>31200</v>
      </c>
      <c r="AU10328">
        <v>1.5</v>
      </c>
      <c r="AV10328" t="s">
        <v>802</v>
      </c>
      <c r="AW10328" t="s">
        <v>336</v>
      </c>
    </row>
    <row r="10329" spans="1:50">
      <c r="A10329" s="1">
        <f>HYPERLINK("https://lsnyc.legalserver.org/matter/dynamic-profile/view/1896325","19-1896325")</f>
        <v>0</v>
      </c>
      <c r="B10329" t="s">
        <v>205</v>
      </c>
      <c r="C10329" t="s">
        <v>340</v>
      </c>
      <c r="D10329" t="s">
        <v>724</v>
      </c>
      <c r="F10329" t="s">
        <v>947</v>
      </c>
      <c r="G10329" t="s">
        <v>5103</v>
      </c>
      <c r="H10329" t="s">
        <v>15444</v>
      </c>
      <c r="I10329" t="s">
        <v>17416</v>
      </c>
      <c r="J10329" t="s">
        <v>18894</v>
      </c>
      <c r="K10329">
        <v>11208</v>
      </c>
      <c r="L10329" t="s">
        <v>18959</v>
      </c>
      <c r="M10329" t="s">
        <v>18959</v>
      </c>
      <c r="N10329" t="s">
        <v>25093</v>
      </c>
      <c r="O10329" t="s">
        <v>26524</v>
      </c>
      <c r="R10329" t="s">
        <v>26578</v>
      </c>
      <c r="S10329" t="s">
        <v>18959</v>
      </c>
      <c r="U10329" t="s">
        <v>26604</v>
      </c>
      <c r="X10329">
        <v>1297</v>
      </c>
      <c r="Y10329" t="s">
        <v>26652</v>
      </c>
      <c r="AB10329" t="s">
        <v>32897</v>
      </c>
      <c r="AD10329" t="s">
        <v>43463</v>
      </c>
      <c r="AE10329">
        <v>2</v>
      </c>
      <c r="AF10329" t="s">
        <v>45547</v>
      </c>
      <c r="AG10329" t="s">
        <v>45556</v>
      </c>
      <c r="AH10329">
        <v>12</v>
      </c>
      <c r="AI10329">
        <v>1</v>
      </c>
      <c r="AJ10329">
        <v>2</v>
      </c>
      <c r="AK10329">
        <v>14.14</v>
      </c>
      <c r="AN10329" t="s">
        <v>7439</v>
      </c>
      <c r="AO10329">
        <v>3016</v>
      </c>
      <c r="AU10329">
        <v>0.5</v>
      </c>
      <c r="AV10329" t="s">
        <v>810</v>
      </c>
      <c r="AW10329" t="s">
        <v>286</v>
      </c>
    </row>
    <row r="10330" spans="1:50">
      <c r="A10330" s="1">
        <f>HYPERLINK("https://lsnyc.legalserver.org/matter/dynamic-profile/view/1896603","19-1896603")</f>
        <v>0</v>
      </c>
      <c r="B10330" t="s">
        <v>186</v>
      </c>
      <c r="C10330" t="s">
        <v>341</v>
      </c>
      <c r="D10330" t="s">
        <v>802</v>
      </c>
      <c r="E10330" t="s">
        <v>831</v>
      </c>
      <c r="F10330" t="s">
        <v>996</v>
      </c>
      <c r="G10330" t="s">
        <v>9334</v>
      </c>
      <c r="H10330" t="s">
        <v>16634</v>
      </c>
      <c r="I10330" t="s">
        <v>17436</v>
      </c>
      <c r="J10330" t="s">
        <v>18894</v>
      </c>
      <c r="K10330">
        <v>11206</v>
      </c>
      <c r="L10330" t="s">
        <v>18960</v>
      </c>
      <c r="M10330" t="s">
        <v>18960</v>
      </c>
      <c r="P10330" t="s">
        <v>26564</v>
      </c>
      <c r="Q10330" t="s">
        <v>26570</v>
      </c>
      <c r="R10330" t="s">
        <v>26588</v>
      </c>
      <c r="U10330" t="s">
        <v>26604</v>
      </c>
      <c r="X10330">
        <v>0</v>
      </c>
      <c r="Y10330" t="s">
        <v>26652</v>
      </c>
      <c r="AA10330" t="s">
        <v>26683</v>
      </c>
      <c r="AB10330" t="s">
        <v>33917</v>
      </c>
      <c r="AE10330">
        <v>0</v>
      </c>
      <c r="AH10330">
        <v>0</v>
      </c>
      <c r="AI10330">
        <v>1</v>
      </c>
      <c r="AJ10330">
        <v>0</v>
      </c>
      <c r="AK10330">
        <v>400.32</v>
      </c>
      <c r="AN10330" t="s">
        <v>7439</v>
      </c>
      <c r="AO10330">
        <v>50000</v>
      </c>
      <c r="AU10330">
        <v>2.75</v>
      </c>
      <c r="AV10330" t="s">
        <v>831</v>
      </c>
      <c r="AW10330" t="s">
        <v>303</v>
      </c>
    </row>
    <row r="10331" spans="1:50">
      <c r="A10331" s="1">
        <f>HYPERLINK("https://lsnyc.legalserver.org/matter/dynamic-profile/view/1896512","19-1896512")</f>
        <v>0</v>
      </c>
      <c r="B10331" t="s">
        <v>179</v>
      </c>
      <c r="C10331" t="s">
        <v>341</v>
      </c>
      <c r="D10331" t="s">
        <v>802</v>
      </c>
      <c r="E10331" t="s">
        <v>780</v>
      </c>
      <c r="F10331" t="s">
        <v>899</v>
      </c>
      <c r="G10331" t="s">
        <v>8267</v>
      </c>
      <c r="H10331" t="s">
        <v>11956</v>
      </c>
      <c r="I10331" t="s">
        <v>17742</v>
      </c>
      <c r="J10331" t="s">
        <v>18894</v>
      </c>
      <c r="K10331">
        <v>11225</v>
      </c>
      <c r="L10331" t="s">
        <v>18960</v>
      </c>
      <c r="M10331" t="s">
        <v>18960</v>
      </c>
      <c r="P10331" t="s">
        <v>26564</v>
      </c>
      <c r="Q10331" t="s">
        <v>26570</v>
      </c>
      <c r="R10331" t="s">
        <v>26583</v>
      </c>
      <c r="U10331" t="s">
        <v>26604</v>
      </c>
      <c r="X10331">
        <v>1400</v>
      </c>
      <c r="Y10331" t="s">
        <v>26652</v>
      </c>
      <c r="Z10331" t="s">
        <v>26530</v>
      </c>
      <c r="AA10331" t="s">
        <v>26683</v>
      </c>
      <c r="AB10331" t="s">
        <v>33918</v>
      </c>
      <c r="AD10331" t="s">
        <v>44794</v>
      </c>
      <c r="AE10331">
        <v>60</v>
      </c>
      <c r="AF10331" t="s">
        <v>20460</v>
      </c>
      <c r="AG10331" t="s">
        <v>19330</v>
      </c>
      <c r="AH10331">
        <v>10</v>
      </c>
      <c r="AI10331">
        <v>1</v>
      </c>
      <c r="AJ10331">
        <v>0</v>
      </c>
      <c r="AK10331">
        <v>153.72</v>
      </c>
      <c r="AN10331" t="s">
        <v>7439</v>
      </c>
      <c r="AO10331">
        <v>19200</v>
      </c>
      <c r="AU10331">
        <v>1.5</v>
      </c>
      <c r="AV10331" t="s">
        <v>780</v>
      </c>
      <c r="AW10331" t="s">
        <v>46841</v>
      </c>
    </row>
    <row r="10332" spans="1:50">
      <c r="A10332" s="1">
        <f>HYPERLINK("https://lsnyc.legalserver.org/matter/dynamic-profile/view/1896599","19-1896599")</f>
        <v>0</v>
      </c>
      <c r="B10332" t="s">
        <v>64</v>
      </c>
      <c r="C10332" t="s">
        <v>341</v>
      </c>
      <c r="D10332" t="s">
        <v>802</v>
      </c>
      <c r="E10332" t="s">
        <v>765</v>
      </c>
      <c r="F10332" t="s">
        <v>2112</v>
      </c>
      <c r="G10332" t="s">
        <v>4587</v>
      </c>
      <c r="H10332" t="s">
        <v>16635</v>
      </c>
      <c r="I10332" t="s">
        <v>17464</v>
      </c>
      <c r="J10332" t="s">
        <v>18892</v>
      </c>
      <c r="K10332">
        <v>10456</v>
      </c>
      <c r="L10332" t="s">
        <v>18958</v>
      </c>
      <c r="M10332" t="s">
        <v>18959</v>
      </c>
      <c r="N10332" t="s">
        <v>25970</v>
      </c>
      <c r="O10332" t="s">
        <v>26523</v>
      </c>
      <c r="P10332" t="s">
        <v>26564</v>
      </c>
      <c r="Q10332" t="s">
        <v>26570</v>
      </c>
      <c r="R10332" t="s">
        <v>26577</v>
      </c>
      <c r="S10332" t="s">
        <v>18959</v>
      </c>
      <c r="U10332" t="s">
        <v>26604</v>
      </c>
      <c r="X10332">
        <v>1350</v>
      </c>
      <c r="Y10332" t="s">
        <v>26650</v>
      </c>
      <c r="AA10332" t="s">
        <v>26683</v>
      </c>
      <c r="AB10332" t="s">
        <v>30668</v>
      </c>
      <c r="AE10332">
        <v>0</v>
      </c>
      <c r="AH10332">
        <v>0</v>
      </c>
      <c r="AI10332">
        <v>4</v>
      </c>
      <c r="AJ10332">
        <v>0</v>
      </c>
      <c r="AK10332">
        <v>111.07</v>
      </c>
      <c r="AN10332" t="s">
        <v>45581</v>
      </c>
      <c r="AO10332">
        <v>28600</v>
      </c>
      <c r="AP10332" t="s">
        <v>46280</v>
      </c>
      <c r="AU10332">
        <v>1</v>
      </c>
      <c r="AV10332" t="s">
        <v>765</v>
      </c>
      <c r="AW10332" t="s">
        <v>46870</v>
      </c>
    </row>
    <row r="10333" spans="1:50">
      <c r="A10333" s="1">
        <f>HYPERLINK("https://lsnyc.legalserver.org/matter/dynamic-profile/view/1894440","19-1894440")</f>
        <v>0</v>
      </c>
      <c r="B10333" t="s">
        <v>278</v>
      </c>
      <c r="C10333" t="s">
        <v>340</v>
      </c>
      <c r="D10333" t="s">
        <v>802</v>
      </c>
      <c r="F10333" t="s">
        <v>1650</v>
      </c>
      <c r="G10333" t="s">
        <v>7435</v>
      </c>
      <c r="H10333" t="s">
        <v>16636</v>
      </c>
      <c r="I10333">
        <v>216</v>
      </c>
      <c r="J10333" t="s">
        <v>18902</v>
      </c>
      <c r="K10333">
        <v>10304</v>
      </c>
      <c r="L10333" t="s">
        <v>18958</v>
      </c>
      <c r="M10333" t="s">
        <v>18960</v>
      </c>
      <c r="N10333" t="s">
        <v>25971</v>
      </c>
      <c r="O10333" t="s">
        <v>26523</v>
      </c>
      <c r="R10333" t="s">
        <v>26578</v>
      </c>
      <c r="S10333" t="s">
        <v>18959</v>
      </c>
      <c r="U10333" t="s">
        <v>26604</v>
      </c>
      <c r="X10333">
        <v>1268</v>
      </c>
      <c r="Y10333" t="s">
        <v>26654</v>
      </c>
      <c r="Z10333" t="s">
        <v>26668</v>
      </c>
      <c r="AB10333" t="s">
        <v>33919</v>
      </c>
      <c r="AD10333" t="s">
        <v>44795</v>
      </c>
      <c r="AE10333">
        <v>0</v>
      </c>
      <c r="AF10333" t="s">
        <v>45541</v>
      </c>
      <c r="AH10333">
        <v>1</v>
      </c>
      <c r="AI10333">
        <v>1</v>
      </c>
      <c r="AJ10333">
        <v>1</v>
      </c>
      <c r="AK10333">
        <v>0</v>
      </c>
      <c r="AN10333" t="s">
        <v>7439</v>
      </c>
      <c r="AO10333">
        <v>0</v>
      </c>
      <c r="AU10333">
        <v>18.75</v>
      </c>
      <c r="AV10333" t="s">
        <v>773</v>
      </c>
      <c r="AW10333" t="s">
        <v>46883</v>
      </c>
      <c r="AX10333" t="s">
        <v>46897</v>
      </c>
    </row>
    <row r="10334" spans="1:50">
      <c r="A10334" s="1">
        <f>HYPERLINK("https://lsnyc.legalserver.org/matter/dynamic-profile/view/1894987","19-1894987")</f>
        <v>0</v>
      </c>
      <c r="B10334" t="s">
        <v>278</v>
      </c>
      <c r="C10334" t="s">
        <v>340</v>
      </c>
      <c r="D10334" t="s">
        <v>802</v>
      </c>
      <c r="F10334" t="s">
        <v>1253</v>
      </c>
      <c r="G10334" t="s">
        <v>6368</v>
      </c>
      <c r="H10334" t="s">
        <v>16637</v>
      </c>
      <c r="I10334" t="s">
        <v>17284</v>
      </c>
      <c r="J10334" t="s">
        <v>18902</v>
      </c>
      <c r="K10334">
        <v>10303</v>
      </c>
      <c r="L10334" t="s">
        <v>18958</v>
      </c>
      <c r="M10334" t="s">
        <v>18960</v>
      </c>
      <c r="N10334" t="s">
        <v>25972</v>
      </c>
      <c r="O10334" t="s">
        <v>26523</v>
      </c>
      <c r="P10334" t="s">
        <v>26563</v>
      </c>
      <c r="R10334" t="s">
        <v>26590</v>
      </c>
      <c r="S10334" t="s">
        <v>18959</v>
      </c>
      <c r="U10334" t="s">
        <v>26605</v>
      </c>
      <c r="V10334" t="s">
        <v>26610</v>
      </c>
      <c r="X10334">
        <v>462.62</v>
      </c>
      <c r="Y10334" t="s">
        <v>26654</v>
      </c>
      <c r="Z10334" t="s">
        <v>26668</v>
      </c>
      <c r="AB10334" t="s">
        <v>33920</v>
      </c>
      <c r="AD10334" t="s">
        <v>44796</v>
      </c>
      <c r="AE10334">
        <v>0</v>
      </c>
      <c r="AF10334" t="s">
        <v>45549</v>
      </c>
      <c r="AG10334" t="s">
        <v>45556</v>
      </c>
      <c r="AH10334">
        <v>20</v>
      </c>
      <c r="AI10334">
        <v>2</v>
      </c>
      <c r="AJ10334">
        <v>2</v>
      </c>
      <c r="AK10334">
        <v>210.6</v>
      </c>
      <c r="AN10334" t="s">
        <v>7439</v>
      </c>
      <c r="AO10334">
        <v>54230.4</v>
      </c>
      <c r="AU10334">
        <v>9.85</v>
      </c>
      <c r="AV10334" t="s">
        <v>809</v>
      </c>
      <c r="AW10334" t="s">
        <v>185</v>
      </c>
      <c r="AX10334" t="s">
        <v>46897</v>
      </c>
    </row>
    <row r="10335" spans="1:50">
      <c r="A10335" s="1">
        <f>HYPERLINK("https://lsnyc.legalserver.org/matter/dynamic-profile/view/1896477","19-1896477")</f>
        <v>0</v>
      </c>
      <c r="B10335" t="s">
        <v>180</v>
      </c>
      <c r="C10335" t="s">
        <v>340</v>
      </c>
      <c r="D10335" t="s">
        <v>802</v>
      </c>
      <c r="F10335" t="s">
        <v>1087</v>
      </c>
      <c r="G10335" t="s">
        <v>5141</v>
      </c>
      <c r="H10335" t="s">
        <v>11640</v>
      </c>
      <c r="I10335" t="s">
        <v>17436</v>
      </c>
      <c r="J10335" t="s">
        <v>18894</v>
      </c>
      <c r="K10335">
        <v>11233</v>
      </c>
      <c r="L10335" t="s">
        <v>18958</v>
      </c>
      <c r="M10335" t="s">
        <v>18958</v>
      </c>
      <c r="N10335" t="s">
        <v>25973</v>
      </c>
      <c r="O10335" t="s">
        <v>26523</v>
      </c>
      <c r="P10335" t="s">
        <v>26560</v>
      </c>
      <c r="R10335" t="s">
        <v>26583</v>
      </c>
      <c r="U10335" t="s">
        <v>26604</v>
      </c>
      <c r="X10335">
        <v>0</v>
      </c>
      <c r="Y10335" t="s">
        <v>26652</v>
      </c>
      <c r="Z10335" t="s">
        <v>26659</v>
      </c>
      <c r="AB10335" t="s">
        <v>30185</v>
      </c>
      <c r="AD10335" t="s">
        <v>44797</v>
      </c>
      <c r="AE10335">
        <v>0</v>
      </c>
      <c r="AH10335">
        <v>0</v>
      </c>
      <c r="AI10335">
        <v>1</v>
      </c>
      <c r="AJ10335">
        <v>0</v>
      </c>
      <c r="AK10335">
        <v>200.16</v>
      </c>
      <c r="AN10335" t="s">
        <v>7439</v>
      </c>
      <c r="AO10335">
        <v>25000</v>
      </c>
      <c r="AU10335">
        <v>5.6</v>
      </c>
      <c r="AV10335" t="s">
        <v>832</v>
      </c>
      <c r="AW10335" t="s">
        <v>46862</v>
      </c>
    </row>
    <row r="10336" spans="1:50">
      <c r="A10336" s="1">
        <f>HYPERLINK("https://lsnyc.legalserver.org/matter/dynamic-profile/view/1896565","19-1896565")</f>
        <v>0</v>
      </c>
      <c r="B10336" t="s">
        <v>66</v>
      </c>
      <c r="C10336" t="s">
        <v>340</v>
      </c>
      <c r="D10336" t="s">
        <v>802</v>
      </c>
      <c r="F10336" t="s">
        <v>4790</v>
      </c>
      <c r="G10336" t="s">
        <v>5122</v>
      </c>
      <c r="H10336" t="s">
        <v>16638</v>
      </c>
      <c r="I10336" t="s">
        <v>18783</v>
      </c>
      <c r="J10336" t="s">
        <v>18893</v>
      </c>
      <c r="K10336">
        <v>10026</v>
      </c>
      <c r="L10336" t="s">
        <v>18958</v>
      </c>
      <c r="M10336" t="s">
        <v>18958</v>
      </c>
      <c r="N10336" t="s">
        <v>25974</v>
      </c>
      <c r="O10336" t="s">
        <v>26523</v>
      </c>
      <c r="P10336" t="s">
        <v>26560</v>
      </c>
      <c r="R10336" t="s">
        <v>26580</v>
      </c>
      <c r="S10336" t="s">
        <v>18959</v>
      </c>
      <c r="U10336" t="s">
        <v>26604</v>
      </c>
      <c r="X10336">
        <v>57</v>
      </c>
      <c r="Y10336" t="s">
        <v>26651</v>
      </c>
      <c r="Z10336" t="s">
        <v>26668</v>
      </c>
      <c r="AB10336" t="s">
        <v>33536</v>
      </c>
      <c r="AD10336" t="s">
        <v>44798</v>
      </c>
      <c r="AE10336">
        <v>0</v>
      </c>
      <c r="AF10336" t="s">
        <v>45552</v>
      </c>
      <c r="AG10336" t="s">
        <v>19330</v>
      </c>
      <c r="AH10336">
        <v>16</v>
      </c>
      <c r="AI10336">
        <v>1</v>
      </c>
      <c r="AJ10336">
        <v>2</v>
      </c>
      <c r="AK10336">
        <v>168.78</v>
      </c>
      <c r="AN10336" t="s">
        <v>7439</v>
      </c>
      <c r="AO10336">
        <v>36000</v>
      </c>
      <c r="AU10336">
        <v>56.4</v>
      </c>
      <c r="AV10336" t="s">
        <v>836</v>
      </c>
      <c r="AW10336" t="s">
        <v>314</v>
      </c>
    </row>
    <row r="10337" spans="1:50">
      <c r="A10337" s="1">
        <f>HYPERLINK("https://lsnyc.legalserver.org/matter/dynamic-profile/view/1896496","19-1896496")</f>
        <v>0</v>
      </c>
      <c r="B10337" t="s">
        <v>94</v>
      </c>
      <c r="C10337" t="s">
        <v>340</v>
      </c>
      <c r="D10337" t="s">
        <v>802</v>
      </c>
      <c r="F10337" t="s">
        <v>4791</v>
      </c>
      <c r="G10337" t="s">
        <v>5073</v>
      </c>
      <c r="H10337" t="s">
        <v>16639</v>
      </c>
      <c r="I10337" t="s">
        <v>17272</v>
      </c>
      <c r="J10337" t="s">
        <v>18893</v>
      </c>
      <c r="K10337">
        <v>10026</v>
      </c>
      <c r="L10337" t="s">
        <v>18958</v>
      </c>
      <c r="M10337" t="s">
        <v>18958</v>
      </c>
      <c r="N10337" t="s">
        <v>25975</v>
      </c>
      <c r="O10337" t="s">
        <v>26524</v>
      </c>
      <c r="P10337" t="s">
        <v>26563</v>
      </c>
      <c r="R10337" t="s">
        <v>26582</v>
      </c>
      <c r="S10337" t="s">
        <v>18959</v>
      </c>
      <c r="U10337" t="s">
        <v>26604</v>
      </c>
      <c r="V10337" t="s">
        <v>26610</v>
      </c>
      <c r="X10337">
        <v>921</v>
      </c>
      <c r="Y10337" t="s">
        <v>26651</v>
      </c>
      <c r="Z10337" t="s">
        <v>26530</v>
      </c>
      <c r="AB10337" t="s">
        <v>33921</v>
      </c>
      <c r="AD10337" t="s">
        <v>44799</v>
      </c>
      <c r="AE10337">
        <v>0</v>
      </c>
      <c r="AF10337" t="s">
        <v>45548</v>
      </c>
      <c r="AG10337" t="s">
        <v>45559</v>
      </c>
      <c r="AH10337">
        <v>20</v>
      </c>
      <c r="AI10337">
        <v>2</v>
      </c>
      <c r="AJ10337">
        <v>0</v>
      </c>
      <c r="AK10337">
        <v>283.86</v>
      </c>
      <c r="AN10337" t="s">
        <v>7439</v>
      </c>
      <c r="AO10337">
        <v>48000</v>
      </c>
      <c r="AU10337">
        <v>16.2</v>
      </c>
      <c r="AV10337" t="s">
        <v>826</v>
      </c>
      <c r="AW10337" t="s">
        <v>314</v>
      </c>
    </row>
    <row r="10338" spans="1:50">
      <c r="A10338" s="1">
        <f>HYPERLINK("https://lsnyc.legalserver.org/matter/dynamic-profile/view/1896475","19-1896475")</f>
        <v>0</v>
      </c>
      <c r="B10338" t="s">
        <v>94</v>
      </c>
      <c r="C10338" t="s">
        <v>340</v>
      </c>
      <c r="D10338" t="s">
        <v>802</v>
      </c>
      <c r="F10338" t="s">
        <v>4792</v>
      </c>
      <c r="G10338" t="s">
        <v>5632</v>
      </c>
      <c r="H10338" t="s">
        <v>16640</v>
      </c>
      <c r="I10338" t="s">
        <v>17436</v>
      </c>
      <c r="J10338" t="s">
        <v>18893</v>
      </c>
      <c r="K10338">
        <v>10025</v>
      </c>
      <c r="L10338" t="s">
        <v>18958</v>
      </c>
      <c r="M10338" t="s">
        <v>18958</v>
      </c>
      <c r="N10338" t="s">
        <v>25976</v>
      </c>
      <c r="O10338" t="s">
        <v>26523</v>
      </c>
      <c r="P10338" t="s">
        <v>26564</v>
      </c>
      <c r="R10338" t="s">
        <v>26580</v>
      </c>
      <c r="S10338" t="s">
        <v>18959</v>
      </c>
      <c r="U10338" t="s">
        <v>26605</v>
      </c>
      <c r="V10338" t="s">
        <v>26610</v>
      </c>
      <c r="X10338">
        <v>284</v>
      </c>
      <c r="Y10338" t="s">
        <v>26651</v>
      </c>
      <c r="Z10338" t="s">
        <v>26664</v>
      </c>
      <c r="AB10338" t="s">
        <v>32472</v>
      </c>
      <c r="AC10338" t="s">
        <v>36711</v>
      </c>
      <c r="AD10338" t="s">
        <v>44800</v>
      </c>
      <c r="AE10338">
        <v>0</v>
      </c>
      <c r="AF10338" t="s">
        <v>45549</v>
      </c>
      <c r="AG10338" t="s">
        <v>19330</v>
      </c>
      <c r="AH10338">
        <v>3</v>
      </c>
      <c r="AI10338">
        <v>1</v>
      </c>
      <c r="AJ10338">
        <v>2</v>
      </c>
      <c r="AK10338">
        <v>14.14</v>
      </c>
      <c r="AN10338" t="s">
        <v>7439</v>
      </c>
      <c r="AO10338">
        <v>3016</v>
      </c>
      <c r="AU10338">
        <v>0.8</v>
      </c>
      <c r="AV10338" t="s">
        <v>802</v>
      </c>
      <c r="AW10338" t="s">
        <v>314</v>
      </c>
    </row>
    <row r="10339" spans="1:50">
      <c r="A10339" s="1">
        <f>HYPERLINK("https://lsnyc.legalserver.org/matter/dynamic-profile/view/1896531","19-1896531")</f>
        <v>0</v>
      </c>
      <c r="B10339" t="s">
        <v>94</v>
      </c>
      <c r="C10339" t="s">
        <v>340</v>
      </c>
      <c r="D10339" t="s">
        <v>802</v>
      </c>
      <c r="F10339" t="s">
        <v>1087</v>
      </c>
      <c r="G10339" t="s">
        <v>5273</v>
      </c>
      <c r="H10339" t="s">
        <v>16641</v>
      </c>
      <c r="I10339">
        <v>4</v>
      </c>
      <c r="J10339" t="s">
        <v>18893</v>
      </c>
      <c r="K10339">
        <v>10027</v>
      </c>
      <c r="L10339" t="s">
        <v>18958</v>
      </c>
      <c r="M10339" t="s">
        <v>18958</v>
      </c>
      <c r="N10339" t="s">
        <v>25977</v>
      </c>
      <c r="O10339" t="s">
        <v>26523</v>
      </c>
      <c r="P10339" t="s">
        <v>26563</v>
      </c>
      <c r="R10339" t="s">
        <v>26580</v>
      </c>
      <c r="S10339" t="s">
        <v>18959</v>
      </c>
      <c r="U10339" t="s">
        <v>26604</v>
      </c>
      <c r="X10339">
        <v>0</v>
      </c>
      <c r="Y10339" t="s">
        <v>26651</v>
      </c>
      <c r="Z10339" t="s">
        <v>26664</v>
      </c>
      <c r="AB10339" t="s">
        <v>33922</v>
      </c>
      <c r="AD10339" t="s">
        <v>44801</v>
      </c>
      <c r="AE10339">
        <v>0</v>
      </c>
      <c r="AF10339" t="s">
        <v>45541</v>
      </c>
      <c r="AG10339" t="s">
        <v>19330</v>
      </c>
      <c r="AH10339">
        <v>9</v>
      </c>
      <c r="AI10339">
        <v>2</v>
      </c>
      <c r="AJ10339">
        <v>0</v>
      </c>
      <c r="AK10339">
        <v>156.12</v>
      </c>
      <c r="AN10339" t="s">
        <v>7439</v>
      </c>
      <c r="AO10339">
        <v>26400</v>
      </c>
      <c r="AU10339">
        <v>22.9</v>
      </c>
      <c r="AV10339" t="s">
        <v>839</v>
      </c>
      <c r="AW10339" t="s">
        <v>314</v>
      </c>
    </row>
    <row r="10340" spans="1:50">
      <c r="A10340" s="1">
        <f>HYPERLINK("https://lsnyc.legalserver.org/matter/dynamic-profile/view/1896561","19-1896561")</f>
        <v>0</v>
      </c>
      <c r="B10340" t="s">
        <v>67</v>
      </c>
      <c r="C10340" t="s">
        <v>340</v>
      </c>
      <c r="D10340" t="s">
        <v>802</v>
      </c>
      <c r="F10340" t="s">
        <v>2082</v>
      </c>
      <c r="G10340" t="s">
        <v>5678</v>
      </c>
      <c r="H10340" t="s">
        <v>11348</v>
      </c>
      <c r="I10340" t="s">
        <v>17306</v>
      </c>
      <c r="J10340" t="s">
        <v>18892</v>
      </c>
      <c r="K10340">
        <v>10459</v>
      </c>
      <c r="L10340" t="s">
        <v>18958</v>
      </c>
      <c r="M10340" t="s">
        <v>18958</v>
      </c>
      <c r="P10340" t="s">
        <v>26560</v>
      </c>
      <c r="R10340" t="s">
        <v>26578</v>
      </c>
      <c r="S10340" t="s">
        <v>18959</v>
      </c>
      <c r="U10340" t="s">
        <v>26604</v>
      </c>
      <c r="X10340">
        <v>1023.44</v>
      </c>
      <c r="Y10340" t="s">
        <v>26650</v>
      </c>
      <c r="Z10340" t="s">
        <v>26659</v>
      </c>
      <c r="AB10340" t="s">
        <v>28152</v>
      </c>
      <c r="AC10340" t="s">
        <v>36712</v>
      </c>
      <c r="AD10340" t="s">
        <v>38593</v>
      </c>
      <c r="AE10340">
        <v>11</v>
      </c>
      <c r="AF10340" t="s">
        <v>45541</v>
      </c>
      <c r="AG10340" t="s">
        <v>45556</v>
      </c>
      <c r="AH10340">
        <v>9</v>
      </c>
      <c r="AI10340">
        <v>1</v>
      </c>
      <c r="AJ10340">
        <v>1</v>
      </c>
      <c r="AK10340">
        <v>60.32</v>
      </c>
      <c r="AN10340" t="s">
        <v>45581</v>
      </c>
      <c r="AO10340">
        <v>10200</v>
      </c>
      <c r="AU10340">
        <v>6</v>
      </c>
      <c r="AV10340" t="s">
        <v>822</v>
      </c>
      <c r="AW10340" t="s">
        <v>336</v>
      </c>
    </row>
    <row r="10341" spans="1:50">
      <c r="A10341" s="1">
        <f>HYPERLINK("https://lsnyc.legalserver.org/matter/dynamic-profile/view/1896537","19-1896537")</f>
        <v>0</v>
      </c>
      <c r="B10341" t="s">
        <v>56</v>
      </c>
      <c r="C10341" t="s">
        <v>340</v>
      </c>
      <c r="D10341" t="s">
        <v>802</v>
      </c>
      <c r="F10341" t="s">
        <v>4793</v>
      </c>
      <c r="G10341" t="s">
        <v>1627</v>
      </c>
      <c r="H10341" t="s">
        <v>14571</v>
      </c>
      <c r="I10341" t="s">
        <v>17798</v>
      </c>
      <c r="J10341" t="s">
        <v>18892</v>
      </c>
      <c r="K10341">
        <v>10452</v>
      </c>
      <c r="L10341" t="s">
        <v>18960</v>
      </c>
      <c r="M10341" t="s">
        <v>18960</v>
      </c>
      <c r="N10341" t="s">
        <v>25978</v>
      </c>
      <c r="P10341" t="s">
        <v>26560</v>
      </c>
      <c r="R10341" t="s">
        <v>26577</v>
      </c>
      <c r="U10341" t="s">
        <v>26604</v>
      </c>
      <c r="X10341">
        <v>618</v>
      </c>
      <c r="Y10341" t="s">
        <v>26650</v>
      </c>
      <c r="Z10341" t="s">
        <v>26659</v>
      </c>
      <c r="AB10341" t="s">
        <v>33923</v>
      </c>
      <c r="AC10341" t="s">
        <v>36713</v>
      </c>
      <c r="AD10341" t="s">
        <v>44802</v>
      </c>
      <c r="AE10341">
        <v>0</v>
      </c>
      <c r="AF10341" t="s">
        <v>45541</v>
      </c>
      <c r="AH10341">
        <v>19</v>
      </c>
      <c r="AI10341">
        <v>1</v>
      </c>
      <c r="AJ10341">
        <v>0</v>
      </c>
      <c r="AK10341">
        <v>87.01000000000001</v>
      </c>
      <c r="AN10341" t="s">
        <v>45581</v>
      </c>
      <c r="AO10341">
        <v>10868</v>
      </c>
      <c r="AU10341">
        <v>0.7</v>
      </c>
      <c r="AV10341" t="s">
        <v>811</v>
      </c>
      <c r="AW10341" t="s">
        <v>46836</v>
      </c>
    </row>
    <row r="10342" spans="1:50">
      <c r="A10342" s="1">
        <f>HYPERLINK("https://lsnyc.legalserver.org/matter/dynamic-profile/view/1898611","19-1898611")</f>
        <v>0</v>
      </c>
      <c r="B10342" t="s">
        <v>124</v>
      </c>
      <c r="C10342" t="s">
        <v>340</v>
      </c>
      <c r="D10342" t="s">
        <v>802</v>
      </c>
      <c r="F10342" t="s">
        <v>4794</v>
      </c>
      <c r="G10342" t="s">
        <v>3662</v>
      </c>
      <c r="H10342" t="s">
        <v>16642</v>
      </c>
      <c r="I10342" t="s">
        <v>17711</v>
      </c>
      <c r="J10342" t="s">
        <v>18894</v>
      </c>
      <c r="K10342">
        <v>11233</v>
      </c>
      <c r="L10342" t="s">
        <v>18960</v>
      </c>
      <c r="M10342" t="s">
        <v>18960</v>
      </c>
      <c r="P10342" t="s">
        <v>26560</v>
      </c>
      <c r="R10342" t="s">
        <v>26578</v>
      </c>
      <c r="U10342" t="s">
        <v>26604</v>
      </c>
      <c r="X10342">
        <v>1900</v>
      </c>
      <c r="Y10342" t="s">
        <v>26652</v>
      </c>
      <c r="Z10342" t="s">
        <v>26530</v>
      </c>
      <c r="AB10342" t="s">
        <v>29244</v>
      </c>
      <c r="AD10342" t="s">
        <v>44803</v>
      </c>
      <c r="AE10342">
        <v>0</v>
      </c>
      <c r="AF10342" t="s">
        <v>20460</v>
      </c>
      <c r="AG10342" t="s">
        <v>45561</v>
      </c>
      <c r="AH10342">
        <v>0</v>
      </c>
      <c r="AI10342">
        <v>2</v>
      </c>
      <c r="AJ10342">
        <v>0</v>
      </c>
      <c r="AK10342">
        <v>57.34</v>
      </c>
      <c r="AN10342" t="s">
        <v>7439</v>
      </c>
      <c r="AO10342">
        <v>9696</v>
      </c>
      <c r="AU10342">
        <v>7.3</v>
      </c>
      <c r="AV10342" t="s">
        <v>773</v>
      </c>
      <c r="AW10342" t="s">
        <v>46882</v>
      </c>
    </row>
    <row r="10343" spans="1:50">
      <c r="A10343" s="1">
        <f>HYPERLINK("https://lsnyc.legalserver.org/matter/dynamic-profile/view/1896539","19-1896539")</f>
        <v>0</v>
      </c>
      <c r="B10343" t="s">
        <v>91</v>
      </c>
      <c r="C10343" t="s">
        <v>340</v>
      </c>
      <c r="D10343" t="s">
        <v>802</v>
      </c>
      <c r="F10343" t="s">
        <v>4795</v>
      </c>
      <c r="G10343" t="s">
        <v>9335</v>
      </c>
      <c r="H10343" t="s">
        <v>16643</v>
      </c>
      <c r="I10343" t="s">
        <v>17416</v>
      </c>
      <c r="J10343" t="s">
        <v>18913</v>
      </c>
      <c r="K10343">
        <v>11103</v>
      </c>
      <c r="L10343" t="s">
        <v>18958</v>
      </c>
      <c r="M10343" t="s">
        <v>18959</v>
      </c>
      <c r="N10343" t="s">
        <v>25979</v>
      </c>
      <c r="O10343" t="s">
        <v>26524</v>
      </c>
      <c r="P10343" t="s">
        <v>26565</v>
      </c>
      <c r="R10343" t="s">
        <v>26578</v>
      </c>
      <c r="S10343" t="s">
        <v>18959</v>
      </c>
      <c r="U10343" t="s">
        <v>26604</v>
      </c>
      <c r="V10343" t="s">
        <v>26610</v>
      </c>
      <c r="X10343">
        <v>1750</v>
      </c>
      <c r="Y10343" t="s">
        <v>26653</v>
      </c>
      <c r="Z10343" t="s">
        <v>26664</v>
      </c>
      <c r="AB10343" t="s">
        <v>29499</v>
      </c>
      <c r="AD10343" t="s">
        <v>44804</v>
      </c>
      <c r="AE10343">
        <v>2</v>
      </c>
      <c r="AF10343" t="s">
        <v>45547</v>
      </c>
      <c r="AH10343">
        <v>1</v>
      </c>
      <c r="AI10343">
        <v>1</v>
      </c>
      <c r="AJ10343">
        <v>2</v>
      </c>
      <c r="AK10343">
        <v>0</v>
      </c>
      <c r="AN10343" t="s">
        <v>45582</v>
      </c>
      <c r="AO10343">
        <v>0</v>
      </c>
      <c r="AU10343">
        <v>2.15</v>
      </c>
      <c r="AV10343" t="s">
        <v>803</v>
      </c>
      <c r="AW10343" t="s">
        <v>91</v>
      </c>
    </row>
    <row r="10344" spans="1:50">
      <c r="A10344" s="1">
        <f>HYPERLINK("https://lsnyc.legalserver.org/matter/dynamic-profile/view/1896584","19-1896584")</f>
        <v>0</v>
      </c>
      <c r="B10344" t="s">
        <v>194</v>
      </c>
      <c r="C10344" t="s">
        <v>340</v>
      </c>
      <c r="D10344" t="s">
        <v>802</v>
      </c>
      <c r="F10344" t="s">
        <v>3848</v>
      </c>
      <c r="G10344" t="s">
        <v>9336</v>
      </c>
      <c r="H10344" t="s">
        <v>16644</v>
      </c>
      <c r="I10344" t="s">
        <v>17738</v>
      </c>
      <c r="J10344" t="s">
        <v>18893</v>
      </c>
      <c r="K10344">
        <v>10031</v>
      </c>
      <c r="L10344" t="s">
        <v>18958</v>
      </c>
      <c r="M10344" t="s">
        <v>18958</v>
      </c>
      <c r="N10344" t="s">
        <v>25980</v>
      </c>
      <c r="O10344" t="s">
        <v>26523</v>
      </c>
      <c r="P10344" t="s">
        <v>26560</v>
      </c>
      <c r="R10344" t="s">
        <v>26580</v>
      </c>
      <c r="S10344" t="s">
        <v>18959</v>
      </c>
      <c r="U10344" t="s">
        <v>26604</v>
      </c>
      <c r="V10344" t="s">
        <v>26610</v>
      </c>
      <c r="X10344">
        <v>1900</v>
      </c>
      <c r="Y10344" t="s">
        <v>26651</v>
      </c>
      <c r="Z10344" t="s">
        <v>26664</v>
      </c>
      <c r="AB10344" t="s">
        <v>33787</v>
      </c>
      <c r="AD10344" t="s">
        <v>44805</v>
      </c>
      <c r="AE10344">
        <v>0</v>
      </c>
      <c r="AF10344" t="s">
        <v>20460</v>
      </c>
      <c r="AG10344" t="s">
        <v>19330</v>
      </c>
      <c r="AH10344">
        <v>-1</v>
      </c>
      <c r="AI10344">
        <v>1</v>
      </c>
      <c r="AJ10344">
        <v>0</v>
      </c>
      <c r="AK10344">
        <v>0</v>
      </c>
      <c r="AN10344" t="s">
        <v>7439</v>
      </c>
      <c r="AO10344">
        <v>0</v>
      </c>
      <c r="AU10344">
        <v>10.5</v>
      </c>
      <c r="AV10344" t="s">
        <v>809</v>
      </c>
      <c r="AW10344" t="s">
        <v>314</v>
      </c>
    </row>
    <row r="10345" spans="1:50">
      <c r="A10345" s="1">
        <f>HYPERLINK("https://lsnyc.legalserver.org/matter/dynamic-profile/view/1896517","19-1896517")</f>
        <v>0</v>
      </c>
      <c r="B10345" t="s">
        <v>205</v>
      </c>
      <c r="C10345" t="s">
        <v>340</v>
      </c>
      <c r="D10345" t="s">
        <v>802</v>
      </c>
      <c r="F10345" t="s">
        <v>938</v>
      </c>
      <c r="G10345" t="s">
        <v>948</v>
      </c>
      <c r="H10345" t="s">
        <v>13216</v>
      </c>
      <c r="I10345" t="s">
        <v>17283</v>
      </c>
      <c r="J10345" t="s">
        <v>18894</v>
      </c>
      <c r="K10345">
        <v>11213</v>
      </c>
      <c r="L10345" t="s">
        <v>18958</v>
      </c>
      <c r="M10345" t="s">
        <v>18958</v>
      </c>
      <c r="N10345" t="s">
        <v>25981</v>
      </c>
      <c r="O10345" t="s">
        <v>26523</v>
      </c>
      <c r="R10345" t="s">
        <v>26578</v>
      </c>
      <c r="S10345" t="s">
        <v>18959</v>
      </c>
      <c r="U10345" t="s">
        <v>26604</v>
      </c>
      <c r="V10345" t="s">
        <v>26610</v>
      </c>
      <c r="X10345">
        <v>0</v>
      </c>
      <c r="Y10345" t="s">
        <v>26652</v>
      </c>
      <c r="AB10345" t="s">
        <v>33924</v>
      </c>
      <c r="AE10345">
        <v>0</v>
      </c>
      <c r="AH10345">
        <v>0</v>
      </c>
      <c r="AI10345">
        <v>1</v>
      </c>
      <c r="AJ10345">
        <v>0</v>
      </c>
      <c r="AK10345">
        <v>0</v>
      </c>
      <c r="AN10345" t="s">
        <v>7439</v>
      </c>
      <c r="AO10345">
        <v>0</v>
      </c>
      <c r="AU10345">
        <v>28.65</v>
      </c>
      <c r="AV10345" t="s">
        <v>773</v>
      </c>
      <c r="AW10345" t="s">
        <v>279</v>
      </c>
    </row>
    <row r="10346" spans="1:50">
      <c r="A10346" s="1">
        <f>HYPERLINK("https://lsnyc.legalserver.org/matter/dynamic-profile/view/1896669","19-1896669")</f>
        <v>0</v>
      </c>
      <c r="B10346" t="s">
        <v>257</v>
      </c>
      <c r="C10346" t="s">
        <v>341</v>
      </c>
      <c r="D10346" t="s">
        <v>671</v>
      </c>
      <c r="E10346" t="s">
        <v>805</v>
      </c>
      <c r="F10346" t="s">
        <v>1366</v>
      </c>
      <c r="G10346" t="s">
        <v>5269</v>
      </c>
      <c r="H10346" t="s">
        <v>14055</v>
      </c>
      <c r="I10346" t="s">
        <v>17487</v>
      </c>
      <c r="J10346" t="s">
        <v>18894</v>
      </c>
      <c r="K10346">
        <v>11207</v>
      </c>
      <c r="L10346" t="s">
        <v>18960</v>
      </c>
      <c r="M10346" t="s">
        <v>18960</v>
      </c>
      <c r="N10346" t="s">
        <v>25982</v>
      </c>
      <c r="O10346" t="s">
        <v>26523</v>
      </c>
      <c r="Q10346" t="s">
        <v>26570</v>
      </c>
      <c r="R10346" t="s">
        <v>26591</v>
      </c>
      <c r="U10346" t="s">
        <v>26605</v>
      </c>
      <c r="X10346">
        <v>305</v>
      </c>
      <c r="Y10346" t="s">
        <v>26652</v>
      </c>
      <c r="AA10346" t="s">
        <v>26683</v>
      </c>
      <c r="AB10346" t="s">
        <v>27752</v>
      </c>
      <c r="AD10346" t="s">
        <v>44806</v>
      </c>
      <c r="AE10346">
        <v>0</v>
      </c>
      <c r="AF10346" t="s">
        <v>45542</v>
      </c>
      <c r="AG10346" t="s">
        <v>45563</v>
      </c>
      <c r="AH10346">
        <v>1</v>
      </c>
      <c r="AI10346">
        <v>1</v>
      </c>
      <c r="AJ10346">
        <v>0</v>
      </c>
      <c r="AK10346">
        <v>111.74</v>
      </c>
      <c r="AN10346" t="s">
        <v>7439</v>
      </c>
      <c r="AO10346">
        <v>13956</v>
      </c>
      <c r="AU10346">
        <v>2.1</v>
      </c>
      <c r="AV10346" t="s">
        <v>765</v>
      </c>
      <c r="AW10346" t="s">
        <v>46842</v>
      </c>
    </row>
    <row r="10347" spans="1:50">
      <c r="A10347" s="1">
        <f>HYPERLINK("https://lsnyc.legalserver.org/matter/dynamic-profile/view/1896705","19-1896705")</f>
        <v>0</v>
      </c>
      <c r="B10347" t="s">
        <v>68</v>
      </c>
      <c r="C10347" t="s">
        <v>341</v>
      </c>
      <c r="D10347" t="s">
        <v>671</v>
      </c>
      <c r="E10347" t="s">
        <v>830</v>
      </c>
      <c r="F10347" t="s">
        <v>900</v>
      </c>
      <c r="G10347" t="s">
        <v>5125</v>
      </c>
      <c r="H10347" t="s">
        <v>13085</v>
      </c>
      <c r="I10347" t="s">
        <v>17388</v>
      </c>
      <c r="J10347" t="s">
        <v>18892</v>
      </c>
      <c r="K10347">
        <v>10462</v>
      </c>
      <c r="L10347" t="s">
        <v>18958</v>
      </c>
      <c r="M10347" t="s">
        <v>18958</v>
      </c>
      <c r="N10347" t="s">
        <v>25983</v>
      </c>
      <c r="O10347" t="s">
        <v>26523</v>
      </c>
      <c r="P10347" t="s">
        <v>26564</v>
      </c>
      <c r="Q10347" t="s">
        <v>26570</v>
      </c>
      <c r="R10347" t="s">
        <v>26579</v>
      </c>
      <c r="S10347" t="s">
        <v>18959</v>
      </c>
      <c r="U10347" t="s">
        <v>26604</v>
      </c>
      <c r="V10347" t="s">
        <v>26610</v>
      </c>
      <c r="X10347">
        <v>1525.4</v>
      </c>
      <c r="Y10347" t="s">
        <v>26650</v>
      </c>
      <c r="Z10347" t="s">
        <v>26668</v>
      </c>
      <c r="AA10347" t="s">
        <v>26683</v>
      </c>
      <c r="AB10347" t="s">
        <v>30122</v>
      </c>
      <c r="AD10347" t="s">
        <v>44807</v>
      </c>
      <c r="AE10347">
        <v>71</v>
      </c>
      <c r="AF10347" t="s">
        <v>45541</v>
      </c>
      <c r="AG10347" t="s">
        <v>19330</v>
      </c>
      <c r="AH10347">
        <v>12</v>
      </c>
      <c r="AI10347">
        <v>2</v>
      </c>
      <c r="AJ10347">
        <v>0</v>
      </c>
      <c r="AK10347">
        <v>231.98</v>
      </c>
      <c r="AN10347" t="s">
        <v>45581</v>
      </c>
      <c r="AO10347">
        <v>39228</v>
      </c>
      <c r="AP10347" t="s">
        <v>46281</v>
      </c>
      <c r="AU10347">
        <v>4.1</v>
      </c>
      <c r="AV10347" t="s">
        <v>826</v>
      </c>
      <c r="AW10347" t="s">
        <v>46870</v>
      </c>
    </row>
    <row r="10348" spans="1:50">
      <c r="A10348" s="1">
        <f>HYPERLINK("https://lsnyc.legalserver.org/matter/dynamic-profile/view/1896718","19-1896718")</f>
        <v>0</v>
      </c>
      <c r="B10348" t="s">
        <v>188</v>
      </c>
      <c r="C10348" t="s">
        <v>341</v>
      </c>
      <c r="D10348" t="s">
        <v>671</v>
      </c>
      <c r="E10348" t="s">
        <v>836</v>
      </c>
      <c r="F10348" t="s">
        <v>901</v>
      </c>
      <c r="G10348" t="s">
        <v>5103</v>
      </c>
      <c r="H10348" t="s">
        <v>10379</v>
      </c>
      <c r="I10348" t="s">
        <v>17436</v>
      </c>
      <c r="J10348" t="s">
        <v>18892</v>
      </c>
      <c r="K10348">
        <v>10457</v>
      </c>
      <c r="L10348" t="s">
        <v>18958</v>
      </c>
      <c r="M10348" t="s">
        <v>18958</v>
      </c>
      <c r="O10348" t="s">
        <v>26529</v>
      </c>
      <c r="P10348" t="s">
        <v>26564</v>
      </c>
      <c r="Q10348" t="s">
        <v>26570</v>
      </c>
      <c r="R10348" t="s">
        <v>26578</v>
      </c>
      <c r="S10348" t="s">
        <v>18959</v>
      </c>
      <c r="U10348" t="s">
        <v>26604</v>
      </c>
      <c r="V10348" t="s">
        <v>26610</v>
      </c>
      <c r="X10348">
        <v>1332.5</v>
      </c>
      <c r="Y10348" t="s">
        <v>26650</v>
      </c>
      <c r="Z10348" t="s">
        <v>26667</v>
      </c>
      <c r="AA10348" t="s">
        <v>26683</v>
      </c>
      <c r="AB10348" t="s">
        <v>29422</v>
      </c>
      <c r="AD10348" t="s">
        <v>44808</v>
      </c>
      <c r="AE10348">
        <v>0</v>
      </c>
      <c r="AF10348" t="s">
        <v>45541</v>
      </c>
      <c r="AG10348" t="s">
        <v>19330</v>
      </c>
      <c r="AH10348">
        <v>7</v>
      </c>
      <c r="AI10348">
        <v>1</v>
      </c>
      <c r="AJ10348">
        <v>0</v>
      </c>
      <c r="AK10348">
        <v>19.22</v>
      </c>
      <c r="AN10348" t="s">
        <v>45581</v>
      </c>
      <c r="AO10348">
        <v>2400</v>
      </c>
      <c r="AU10348">
        <v>2</v>
      </c>
      <c r="AV10348" t="s">
        <v>836</v>
      </c>
      <c r="AW10348" t="s">
        <v>188</v>
      </c>
      <c r="AX10348" t="s">
        <v>46897</v>
      </c>
    </row>
    <row r="10349" spans="1:50">
      <c r="A10349" s="1">
        <f>HYPERLINK("https://lsnyc.legalserver.org/matter/dynamic-profile/view/1896647","19-1896647")</f>
        <v>0</v>
      </c>
      <c r="B10349" t="s">
        <v>321</v>
      </c>
      <c r="C10349" t="s">
        <v>341</v>
      </c>
      <c r="D10349" t="s">
        <v>671</v>
      </c>
      <c r="E10349" t="s">
        <v>771</v>
      </c>
      <c r="F10349" t="s">
        <v>3311</v>
      </c>
      <c r="G10349" t="s">
        <v>5785</v>
      </c>
      <c r="H10349" t="s">
        <v>16645</v>
      </c>
      <c r="I10349">
        <v>19</v>
      </c>
      <c r="J10349" t="s">
        <v>18893</v>
      </c>
      <c r="K10349">
        <v>10002</v>
      </c>
      <c r="L10349" t="s">
        <v>18960</v>
      </c>
      <c r="M10349" t="s">
        <v>18960</v>
      </c>
      <c r="P10349" t="s">
        <v>26565</v>
      </c>
      <c r="Q10349" t="s">
        <v>26570</v>
      </c>
      <c r="R10349" t="s">
        <v>26592</v>
      </c>
      <c r="U10349" t="s">
        <v>26604</v>
      </c>
      <c r="X10349">
        <v>779</v>
      </c>
      <c r="Y10349" t="s">
        <v>26651</v>
      </c>
      <c r="AA10349" t="s">
        <v>26683</v>
      </c>
      <c r="AB10349" t="s">
        <v>33489</v>
      </c>
      <c r="AE10349">
        <v>24</v>
      </c>
      <c r="AF10349" t="s">
        <v>45541</v>
      </c>
      <c r="AH10349">
        <v>33</v>
      </c>
      <c r="AI10349">
        <v>2</v>
      </c>
      <c r="AJ10349">
        <v>1</v>
      </c>
      <c r="AK10349">
        <v>94.95999999999999</v>
      </c>
      <c r="AN10349" t="s">
        <v>45581</v>
      </c>
      <c r="AO10349">
        <v>20254</v>
      </c>
      <c r="AU10349">
        <v>1.65</v>
      </c>
      <c r="AV10349" t="s">
        <v>771</v>
      </c>
      <c r="AW10349" t="s">
        <v>321</v>
      </c>
    </row>
    <row r="10350" spans="1:50">
      <c r="A10350" s="1">
        <f>HYPERLINK("https://lsnyc.legalserver.org/matter/dynamic-profile/view/1896700","19-1896700")</f>
        <v>0</v>
      </c>
      <c r="B10350" t="s">
        <v>172</v>
      </c>
      <c r="C10350" t="s">
        <v>341</v>
      </c>
      <c r="D10350" t="s">
        <v>671</v>
      </c>
      <c r="E10350" t="s">
        <v>803</v>
      </c>
      <c r="F10350" t="s">
        <v>4796</v>
      </c>
      <c r="G10350" t="s">
        <v>9337</v>
      </c>
      <c r="H10350" t="s">
        <v>16646</v>
      </c>
      <c r="I10350" t="s">
        <v>17427</v>
      </c>
      <c r="J10350" t="s">
        <v>18894</v>
      </c>
      <c r="K10350">
        <v>11226</v>
      </c>
      <c r="L10350" t="s">
        <v>18960</v>
      </c>
      <c r="M10350" t="s">
        <v>18960</v>
      </c>
      <c r="N10350" t="s">
        <v>25984</v>
      </c>
      <c r="O10350" t="s">
        <v>26524</v>
      </c>
      <c r="P10350" t="s">
        <v>26564</v>
      </c>
      <c r="Q10350" t="s">
        <v>26570</v>
      </c>
      <c r="R10350" t="s">
        <v>26588</v>
      </c>
      <c r="S10350" t="s">
        <v>18959</v>
      </c>
      <c r="U10350" t="s">
        <v>26604</v>
      </c>
      <c r="V10350" t="s">
        <v>26609</v>
      </c>
      <c r="X10350">
        <v>600</v>
      </c>
      <c r="Y10350" t="s">
        <v>26652</v>
      </c>
      <c r="Z10350" t="s">
        <v>26668</v>
      </c>
      <c r="AA10350" t="s">
        <v>26683</v>
      </c>
      <c r="AB10350" t="s">
        <v>33925</v>
      </c>
      <c r="AD10350" t="s">
        <v>44809</v>
      </c>
      <c r="AE10350">
        <v>0</v>
      </c>
      <c r="AF10350" t="s">
        <v>20460</v>
      </c>
      <c r="AH10350">
        <v>29</v>
      </c>
      <c r="AI10350">
        <v>1</v>
      </c>
      <c r="AJ10350">
        <v>0</v>
      </c>
      <c r="AK10350">
        <v>67.25</v>
      </c>
      <c r="AN10350" t="s">
        <v>7439</v>
      </c>
      <c r="AO10350">
        <v>8400</v>
      </c>
      <c r="AU10350">
        <v>1</v>
      </c>
      <c r="AV10350" t="s">
        <v>671</v>
      </c>
      <c r="AW10350" t="s">
        <v>289</v>
      </c>
    </row>
    <row r="10351" spans="1:50">
      <c r="A10351" s="1">
        <f>HYPERLINK("https://lsnyc.legalserver.org/matter/dynamic-profile/view/1895291","19-1895291")</f>
        <v>0</v>
      </c>
      <c r="B10351" t="s">
        <v>278</v>
      </c>
      <c r="C10351" t="s">
        <v>340</v>
      </c>
      <c r="D10351" t="s">
        <v>671</v>
      </c>
      <c r="F10351" t="s">
        <v>999</v>
      </c>
      <c r="G10351" t="s">
        <v>5185</v>
      </c>
      <c r="H10351" t="s">
        <v>16647</v>
      </c>
      <c r="J10351" t="s">
        <v>18902</v>
      </c>
      <c r="K10351">
        <v>10312</v>
      </c>
      <c r="L10351" t="s">
        <v>18958</v>
      </c>
      <c r="M10351" t="s">
        <v>18960</v>
      </c>
      <c r="N10351" t="s">
        <v>25985</v>
      </c>
      <c r="O10351" t="s">
        <v>26524</v>
      </c>
      <c r="P10351" t="s">
        <v>26560</v>
      </c>
      <c r="R10351" t="s">
        <v>26578</v>
      </c>
      <c r="S10351" t="s">
        <v>18959</v>
      </c>
      <c r="U10351" t="s">
        <v>26604</v>
      </c>
      <c r="V10351" t="s">
        <v>26610</v>
      </c>
      <c r="X10351">
        <v>1400</v>
      </c>
      <c r="Y10351" t="s">
        <v>26654</v>
      </c>
      <c r="Z10351" t="s">
        <v>26530</v>
      </c>
      <c r="AB10351" t="s">
        <v>30604</v>
      </c>
      <c r="AD10351" t="s">
        <v>44810</v>
      </c>
      <c r="AE10351">
        <v>2</v>
      </c>
      <c r="AF10351" t="s">
        <v>45547</v>
      </c>
      <c r="AG10351" t="s">
        <v>45556</v>
      </c>
      <c r="AH10351">
        <v>1</v>
      </c>
      <c r="AI10351">
        <v>1</v>
      </c>
      <c r="AJ10351">
        <v>0</v>
      </c>
      <c r="AK10351">
        <v>76.86</v>
      </c>
      <c r="AN10351" t="s">
        <v>7439</v>
      </c>
      <c r="AO10351">
        <v>9600</v>
      </c>
      <c r="AU10351">
        <v>7.7</v>
      </c>
      <c r="AV10351" t="s">
        <v>828</v>
      </c>
      <c r="AW10351" t="s">
        <v>46883</v>
      </c>
      <c r="AX10351" t="s">
        <v>46897</v>
      </c>
    </row>
    <row r="10352" spans="1:50">
      <c r="A10352" s="1">
        <f>HYPERLINK("https://lsnyc.legalserver.org/matter/dynamic-profile/view/1896633","19-1896633")</f>
        <v>0</v>
      </c>
      <c r="B10352" t="s">
        <v>55</v>
      </c>
      <c r="C10352" t="s">
        <v>340</v>
      </c>
      <c r="D10352" t="s">
        <v>671</v>
      </c>
      <c r="F10352" t="s">
        <v>3694</v>
      </c>
      <c r="G10352" t="s">
        <v>6798</v>
      </c>
      <c r="H10352" t="s">
        <v>9741</v>
      </c>
      <c r="I10352" t="s">
        <v>17356</v>
      </c>
      <c r="J10352" t="s">
        <v>18892</v>
      </c>
      <c r="K10352">
        <v>10453</v>
      </c>
      <c r="L10352" t="s">
        <v>18958</v>
      </c>
      <c r="M10352" t="s">
        <v>18958</v>
      </c>
      <c r="O10352" t="s">
        <v>18997</v>
      </c>
      <c r="P10352" t="s">
        <v>26563</v>
      </c>
      <c r="R10352" t="s">
        <v>26578</v>
      </c>
      <c r="S10352" t="s">
        <v>18958</v>
      </c>
      <c r="U10352" t="s">
        <v>26604</v>
      </c>
      <c r="X10352">
        <v>169</v>
      </c>
      <c r="Y10352" t="s">
        <v>26650</v>
      </c>
      <c r="Z10352" t="s">
        <v>26663</v>
      </c>
      <c r="AB10352" t="s">
        <v>31714</v>
      </c>
      <c r="AE10352">
        <v>99</v>
      </c>
      <c r="AF10352" t="s">
        <v>45541</v>
      </c>
      <c r="AG10352" t="s">
        <v>45556</v>
      </c>
      <c r="AH10352">
        <v>6</v>
      </c>
      <c r="AI10352">
        <v>1</v>
      </c>
      <c r="AJ10352">
        <v>0</v>
      </c>
      <c r="AK10352">
        <v>0</v>
      </c>
      <c r="AN10352" t="s">
        <v>7439</v>
      </c>
      <c r="AO10352">
        <v>0</v>
      </c>
      <c r="AU10352">
        <v>0</v>
      </c>
      <c r="AW10352" t="s">
        <v>336</v>
      </c>
    </row>
    <row r="10353" spans="1:50">
      <c r="A10353" s="1">
        <f>HYPERLINK("https://lsnyc.legalserver.org/matter/dynamic-profile/view/1899473","19-1899473")</f>
        <v>0</v>
      </c>
      <c r="B10353" t="s">
        <v>67</v>
      </c>
      <c r="C10353" t="s">
        <v>340</v>
      </c>
      <c r="D10353" t="s">
        <v>671</v>
      </c>
      <c r="F10353" t="s">
        <v>2100</v>
      </c>
      <c r="G10353" t="s">
        <v>5706</v>
      </c>
      <c r="H10353" t="s">
        <v>16648</v>
      </c>
      <c r="I10353" t="s">
        <v>17293</v>
      </c>
      <c r="J10353" t="s">
        <v>18892</v>
      </c>
      <c r="K10353">
        <v>10456</v>
      </c>
      <c r="L10353" t="s">
        <v>18958</v>
      </c>
      <c r="M10353" t="s">
        <v>18960</v>
      </c>
      <c r="P10353" t="s">
        <v>26565</v>
      </c>
      <c r="R10353" t="s">
        <v>26578</v>
      </c>
      <c r="S10353" t="s">
        <v>18959</v>
      </c>
      <c r="U10353" t="s">
        <v>26604</v>
      </c>
      <c r="X10353">
        <v>0</v>
      </c>
      <c r="Y10353" t="s">
        <v>26650</v>
      </c>
      <c r="Z10353" t="s">
        <v>26663</v>
      </c>
      <c r="AB10353" t="s">
        <v>33926</v>
      </c>
      <c r="AD10353" t="s">
        <v>44811</v>
      </c>
      <c r="AE10353">
        <v>72</v>
      </c>
      <c r="AF10353" t="s">
        <v>20460</v>
      </c>
      <c r="AG10353" t="s">
        <v>45556</v>
      </c>
      <c r="AH10353">
        <v>25</v>
      </c>
      <c r="AI10353">
        <v>1</v>
      </c>
      <c r="AJ10353">
        <v>0</v>
      </c>
      <c r="AK10353">
        <v>76.95999999999999</v>
      </c>
      <c r="AN10353" t="s">
        <v>45581</v>
      </c>
      <c r="AO10353">
        <v>9612</v>
      </c>
      <c r="AP10353" t="s">
        <v>46282</v>
      </c>
      <c r="AU10353">
        <v>0.5</v>
      </c>
      <c r="AV10353" t="s">
        <v>773</v>
      </c>
      <c r="AW10353" t="s">
        <v>336</v>
      </c>
      <c r="AX10353" t="s">
        <v>46897</v>
      </c>
    </row>
    <row r="10354" spans="1:50">
      <c r="A10354" s="1">
        <f>HYPERLINK("https://lsnyc.legalserver.org/matter/dynamic-profile/view/1899726","19-1899726")</f>
        <v>0</v>
      </c>
      <c r="B10354" t="s">
        <v>67</v>
      </c>
      <c r="C10354" t="s">
        <v>340</v>
      </c>
      <c r="D10354" t="s">
        <v>671</v>
      </c>
      <c r="F10354" t="s">
        <v>1013</v>
      </c>
      <c r="G10354" t="s">
        <v>8726</v>
      </c>
      <c r="H10354" t="s">
        <v>15461</v>
      </c>
      <c r="I10354">
        <v>220</v>
      </c>
      <c r="J10354" t="s">
        <v>18892</v>
      </c>
      <c r="K10354">
        <v>10459</v>
      </c>
      <c r="L10354" t="s">
        <v>18958</v>
      </c>
      <c r="M10354" t="s">
        <v>18960</v>
      </c>
      <c r="P10354" t="s">
        <v>26564</v>
      </c>
      <c r="R10354" t="s">
        <v>26578</v>
      </c>
      <c r="S10354" t="s">
        <v>18959</v>
      </c>
      <c r="U10354" t="s">
        <v>26604</v>
      </c>
      <c r="X10354">
        <v>1041</v>
      </c>
      <c r="Y10354" t="s">
        <v>26650</v>
      </c>
      <c r="Z10354" t="s">
        <v>26663</v>
      </c>
      <c r="AB10354" t="s">
        <v>32909</v>
      </c>
      <c r="AD10354" t="s">
        <v>43480</v>
      </c>
      <c r="AE10354">
        <v>141</v>
      </c>
      <c r="AF10354" t="s">
        <v>20460</v>
      </c>
      <c r="AG10354" t="s">
        <v>45557</v>
      </c>
      <c r="AH10354">
        <v>3</v>
      </c>
      <c r="AI10354">
        <v>1</v>
      </c>
      <c r="AJ10354">
        <v>2</v>
      </c>
      <c r="AK10354">
        <v>78.95</v>
      </c>
      <c r="AN10354" t="s">
        <v>45581</v>
      </c>
      <c r="AO10354">
        <v>16840</v>
      </c>
      <c r="AU10354">
        <v>0.8</v>
      </c>
      <c r="AV10354" t="s">
        <v>809</v>
      </c>
      <c r="AW10354" t="s">
        <v>336</v>
      </c>
      <c r="AX10354" t="s">
        <v>46897</v>
      </c>
    </row>
    <row r="10355" spans="1:50">
      <c r="A10355" s="1">
        <f>HYPERLINK("https://lsnyc.legalserver.org/matter/dynamic-profile/view/1899522","19-1899522")</f>
        <v>0</v>
      </c>
      <c r="B10355" t="s">
        <v>67</v>
      </c>
      <c r="C10355" t="s">
        <v>340</v>
      </c>
      <c r="D10355" t="s">
        <v>671</v>
      </c>
      <c r="F10355" t="s">
        <v>1279</v>
      </c>
      <c r="G10355" t="s">
        <v>8213</v>
      </c>
      <c r="H10355" t="s">
        <v>14564</v>
      </c>
      <c r="J10355" t="s">
        <v>18892</v>
      </c>
      <c r="K10355">
        <v>10456</v>
      </c>
      <c r="L10355" t="s">
        <v>18958</v>
      </c>
      <c r="M10355" t="s">
        <v>18960</v>
      </c>
      <c r="P10355" t="s">
        <v>26564</v>
      </c>
      <c r="R10355" t="s">
        <v>26578</v>
      </c>
      <c r="S10355" t="s">
        <v>18959</v>
      </c>
      <c r="U10355" t="s">
        <v>26604</v>
      </c>
      <c r="X10355">
        <v>0</v>
      </c>
      <c r="Y10355" t="s">
        <v>26650</v>
      </c>
      <c r="Z10355" t="s">
        <v>26663</v>
      </c>
      <c r="AB10355" t="s">
        <v>29948</v>
      </c>
      <c r="AD10355" t="s">
        <v>42387</v>
      </c>
      <c r="AE10355">
        <v>1</v>
      </c>
      <c r="AF10355" t="s">
        <v>20460</v>
      </c>
      <c r="AG10355" t="s">
        <v>19330</v>
      </c>
      <c r="AH10355">
        <v>0</v>
      </c>
      <c r="AI10355">
        <v>1</v>
      </c>
      <c r="AJ10355">
        <v>0</v>
      </c>
      <c r="AK10355">
        <v>79.26000000000001</v>
      </c>
      <c r="AN10355" t="s">
        <v>7439</v>
      </c>
      <c r="AO10355">
        <v>9900</v>
      </c>
      <c r="AU10355">
        <v>0.5</v>
      </c>
      <c r="AV10355" t="s">
        <v>834</v>
      </c>
      <c r="AW10355" t="s">
        <v>336</v>
      </c>
      <c r="AX10355" t="s">
        <v>46897</v>
      </c>
    </row>
    <row r="10356" spans="1:50">
      <c r="A10356" s="1">
        <f>HYPERLINK("https://lsnyc.legalserver.org/matter/dynamic-profile/view/1899720","19-1899720")</f>
        <v>0</v>
      </c>
      <c r="B10356" t="s">
        <v>67</v>
      </c>
      <c r="C10356" t="s">
        <v>340</v>
      </c>
      <c r="D10356" t="s">
        <v>671</v>
      </c>
      <c r="F10356" t="s">
        <v>2526</v>
      </c>
      <c r="G10356" t="s">
        <v>6586</v>
      </c>
      <c r="H10356" t="s">
        <v>12097</v>
      </c>
      <c r="I10356" t="s">
        <v>17322</v>
      </c>
      <c r="J10356" t="s">
        <v>18892</v>
      </c>
      <c r="K10356">
        <v>10452</v>
      </c>
      <c r="L10356" t="s">
        <v>18958</v>
      </c>
      <c r="M10356" t="s">
        <v>18960</v>
      </c>
      <c r="P10356" t="s">
        <v>26564</v>
      </c>
      <c r="R10356" t="s">
        <v>26578</v>
      </c>
      <c r="S10356" t="s">
        <v>18959</v>
      </c>
      <c r="U10356" t="s">
        <v>26604</v>
      </c>
      <c r="X10356">
        <v>0</v>
      </c>
      <c r="Y10356" t="s">
        <v>26650</v>
      </c>
      <c r="Z10356" t="s">
        <v>26663</v>
      </c>
      <c r="AB10356" t="s">
        <v>29380</v>
      </c>
      <c r="AD10356" t="s">
        <v>44812</v>
      </c>
      <c r="AE10356">
        <v>50</v>
      </c>
      <c r="AF10356" t="s">
        <v>20460</v>
      </c>
      <c r="AG10356" t="s">
        <v>19330</v>
      </c>
      <c r="AH10356">
        <v>5</v>
      </c>
      <c r="AI10356">
        <v>1</v>
      </c>
      <c r="AJ10356">
        <v>2</v>
      </c>
      <c r="AK10356">
        <v>147.21</v>
      </c>
      <c r="AN10356" t="s">
        <v>45581</v>
      </c>
      <c r="AO10356">
        <v>31400</v>
      </c>
      <c r="AU10356">
        <v>0.5</v>
      </c>
      <c r="AV10356" t="s">
        <v>834</v>
      </c>
      <c r="AW10356" t="s">
        <v>336</v>
      </c>
      <c r="AX10356" t="s">
        <v>46897</v>
      </c>
    </row>
    <row r="10357" spans="1:50">
      <c r="A10357" s="1">
        <f>HYPERLINK("https://lsnyc.legalserver.org/matter/dynamic-profile/view/1899509","19-1899509")</f>
        <v>0</v>
      </c>
      <c r="B10357" t="s">
        <v>67</v>
      </c>
      <c r="C10357" t="s">
        <v>340</v>
      </c>
      <c r="D10357" t="s">
        <v>671</v>
      </c>
      <c r="F10357" t="s">
        <v>1592</v>
      </c>
      <c r="G10357" t="s">
        <v>5873</v>
      </c>
      <c r="H10357" t="s">
        <v>15533</v>
      </c>
      <c r="I10357" t="s">
        <v>17347</v>
      </c>
      <c r="J10357" t="s">
        <v>18892</v>
      </c>
      <c r="K10357">
        <v>10452</v>
      </c>
      <c r="L10357" t="s">
        <v>18958</v>
      </c>
      <c r="M10357" t="s">
        <v>18960</v>
      </c>
      <c r="P10357" t="s">
        <v>26564</v>
      </c>
      <c r="R10357" t="s">
        <v>26578</v>
      </c>
      <c r="S10357" t="s">
        <v>18959</v>
      </c>
      <c r="U10357" t="s">
        <v>26604</v>
      </c>
      <c r="X10357">
        <v>1153</v>
      </c>
      <c r="Y10357" t="s">
        <v>26650</v>
      </c>
      <c r="Z10357" t="s">
        <v>26663</v>
      </c>
      <c r="AB10357" t="s">
        <v>33927</v>
      </c>
      <c r="AD10357" t="s">
        <v>44813</v>
      </c>
      <c r="AE10357">
        <v>61</v>
      </c>
      <c r="AF10357" t="s">
        <v>20460</v>
      </c>
      <c r="AG10357" t="s">
        <v>45556</v>
      </c>
      <c r="AH10357">
        <v>4</v>
      </c>
      <c r="AI10357">
        <v>1</v>
      </c>
      <c r="AJ10357">
        <v>0</v>
      </c>
      <c r="AK10357">
        <v>200.62</v>
      </c>
      <c r="AN10357" t="s">
        <v>45581</v>
      </c>
      <c r="AO10357">
        <v>25057.2</v>
      </c>
      <c r="AP10357" t="s">
        <v>46282</v>
      </c>
      <c r="AU10357">
        <v>0.5</v>
      </c>
      <c r="AV10357" t="s">
        <v>834</v>
      </c>
      <c r="AW10357" t="s">
        <v>336</v>
      </c>
      <c r="AX10357" t="s">
        <v>46897</v>
      </c>
    </row>
    <row r="10358" spans="1:50">
      <c r="A10358" s="1">
        <f>HYPERLINK("https://lsnyc.legalserver.org/matter/dynamic-profile/view/1896721","19-1896721")</f>
        <v>0</v>
      </c>
      <c r="B10358" t="s">
        <v>101</v>
      </c>
      <c r="C10358" t="s">
        <v>340</v>
      </c>
      <c r="D10358" t="s">
        <v>671</v>
      </c>
      <c r="F10358" t="s">
        <v>4797</v>
      </c>
      <c r="G10358" t="s">
        <v>9338</v>
      </c>
      <c r="H10358" t="s">
        <v>16649</v>
      </c>
      <c r="I10358">
        <v>5</v>
      </c>
      <c r="J10358" t="s">
        <v>18894</v>
      </c>
      <c r="K10358">
        <v>11237</v>
      </c>
      <c r="L10358" t="s">
        <v>18960</v>
      </c>
      <c r="M10358" t="s">
        <v>18960</v>
      </c>
      <c r="O10358" t="s">
        <v>26523</v>
      </c>
      <c r="P10358" t="s">
        <v>26564</v>
      </c>
      <c r="R10358" t="s">
        <v>26591</v>
      </c>
      <c r="S10358" t="s">
        <v>18959</v>
      </c>
      <c r="U10358" t="s">
        <v>26604</v>
      </c>
      <c r="V10358" t="s">
        <v>26609</v>
      </c>
      <c r="X10358">
        <v>3500</v>
      </c>
      <c r="Y10358" t="s">
        <v>26652</v>
      </c>
      <c r="Z10358" t="s">
        <v>26663</v>
      </c>
      <c r="AB10358" t="s">
        <v>33928</v>
      </c>
      <c r="AE10358">
        <v>5</v>
      </c>
      <c r="AF10358" t="s">
        <v>45547</v>
      </c>
      <c r="AH10358">
        <v>1</v>
      </c>
      <c r="AI10358">
        <v>4</v>
      </c>
      <c r="AJ10358">
        <v>0</v>
      </c>
      <c r="AK10358">
        <v>0</v>
      </c>
      <c r="AN10358" t="s">
        <v>7439</v>
      </c>
      <c r="AO10358">
        <v>0</v>
      </c>
      <c r="AU10358">
        <v>1</v>
      </c>
      <c r="AV10358" t="s">
        <v>671</v>
      </c>
      <c r="AW10358" t="s">
        <v>101</v>
      </c>
    </row>
    <row r="10359" spans="1:50">
      <c r="A10359" s="1">
        <f>HYPERLINK("https://lsnyc.legalserver.org/matter/dynamic-profile/view/1896649","19-1896649")</f>
        <v>0</v>
      </c>
      <c r="B10359" t="s">
        <v>115</v>
      </c>
      <c r="C10359" t="s">
        <v>340</v>
      </c>
      <c r="D10359" t="s">
        <v>671</v>
      </c>
      <c r="F10359" t="s">
        <v>990</v>
      </c>
      <c r="G10359" t="s">
        <v>9117</v>
      </c>
      <c r="H10359" t="s">
        <v>13166</v>
      </c>
      <c r="I10359" t="s">
        <v>17490</v>
      </c>
      <c r="J10359" t="s">
        <v>18892</v>
      </c>
      <c r="K10359">
        <v>10467</v>
      </c>
      <c r="L10359" t="s">
        <v>18959</v>
      </c>
      <c r="M10359" t="s">
        <v>18959</v>
      </c>
      <c r="O10359" t="s">
        <v>26534</v>
      </c>
      <c r="P10359" t="s">
        <v>26562</v>
      </c>
      <c r="R10359" t="s">
        <v>26578</v>
      </c>
      <c r="S10359" t="s">
        <v>18959</v>
      </c>
      <c r="U10359" t="s">
        <v>26604</v>
      </c>
      <c r="X10359">
        <v>700</v>
      </c>
      <c r="Y10359" t="s">
        <v>26650</v>
      </c>
      <c r="Z10359" t="s">
        <v>26663</v>
      </c>
      <c r="AB10359" t="s">
        <v>33531</v>
      </c>
      <c r="AE10359">
        <v>59</v>
      </c>
      <c r="AF10359" t="s">
        <v>45541</v>
      </c>
      <c r="AG10359" t="s">
        <v>19330</v>
      </c>
      <c r="AH10359">
        <v>15</v>
      </c>
      <c r="AI10359">
        <v>1</v>
      </c>
      <c r="AJ10359">
        <v>0</v>
      </c>
      <c r="AK10359">
        <v>376.3</v>
      </c>
      <c r="AN10359" t="s">
        <v>7439</v>
      </c>
      <c r="AO10359">
        <v>47000</v>
      </c>
      <c r="AU10359">
        <v>0</v>
      </c>
      <c r="AW10359" t="s">
        <v>46847</v>
      </c>
    </row>
    <row r="10360" spans="1:50">
      <c r="A10360" s="1">
        <f>HYPERLINK("https://lsnyc.legalserver.org/matter/dynamic-profile/view/1896625","19-1896625")</f>
        <v>0</v>
      </c>
      <c r="B10360" t="s">
        <v>95</v>
      </c>
      <c r="C10360" t="s">
        <v>340</v>
      </c>
      <c r="D10360" t="s">
        <v>671</v>
      </c>
      <c r="F10360" t="s">
        <v>1767</v>
      </c>
      <c r="G10360" t="s">
        <v>5762</v>
      </c>
      <c r="H10360" t="s">
        <v>12646</v>
      </c>
      <c r="I10360" t="s">
        <v>17907</v>
      </c>
      <c r="J10360" t="s">
        <v>18894</v>
      </c>
      <c r="K10360">
        <v>11233</v>
      </c>
      <c r="L10360" t="s">
        <v>18959</v>
      </c>
      <c r="M10360" t="s">
        <v>18959</v>
      </c>
      <c r="O10360" t="s">
        <v>26534</v>
      </c>
      <c r="P10360" t="s">
        <v>26561</v>
      </c>
      <c r="R10360" t="s">
        <v>26578</v>
      </c>
      <c r="U10360" t="s">
        <v>26604</v>
      </c>
      <c r="V10360" t="s">
        <v>26610</v>
      </c>
      <c r="X10360">
        <v>1056</v>
      </c>
      <c r="Y10360" t="s">
        <v>26652</v>
      </c>
      <c r="AB10360" t="s">
        <v>30525</v>
      </c>
      <c r="AE10360">
        <v>359</v>
      </c>
      <c r="AF10360" t="s">
        <v>45541</v>
      </c>
      <c r="AG10360" t="s">
        <v>19330</v>
      </c>
      <c r="AH10360">
        <v>9</v>
      </c>
      <c r="AI10360">
        <v>2</v>
      </c>
      <c r="AJ10360">
        <v>0</v>
      </c>
      <c r="AK10360">
        <v>37.21</v>
      </c>
      <c r="AN10360" t="s">
        <v>7439</v>
      </c>
      <c r="AO10360">
        <v>6292</v>
      </c>
      <c r="AP10360" t="s">
        <v>46283</v>
      </c>
      <c r="AU10360">
        <v>0</v>
      </c>
      <c r="AW10360" t="s">
        <v>286</v>
      </c>
    </row>
    <row r="10361" spans="1:50">
      <c r="A10361" s="1">
        <f>HYPERLINK("https://lsnyc.legalserver.org/matter/dynamic-profile/view/1896627","19-1896627")</f>
        <v>0</v>
      </c>
      <c r="B10361" t="s">
        <v>95</v>
      </c>
      <c r="C10361" t="s">
        <v>340</v>
      </c>
      <c r="D10361" t="s">
        <v>671</v>
      </c>
      <c r="F10361" t="s">
        <v>1767</v>
      </c>
      <c r="G10361" t="s">
        <v>5762</v>
      </c>
      <c r="H10361" t="s">
        <v>12646</v>
      </c>
      <c r="I10361" t="s">
        <v>17907</v>
      </c>
      <c r="J10361" t="s">
        <v>18894</v>
      </c>
      <c r="K10361">
        <v>11233</v>
      </c>
      <c r="L10361" t="s">
        <v>18959</v>
      </c>
      <c r="M10361" t="s">
        <v>18959</v>
      </c>
      <c r="O10361" t="s">
        <v>26531</v>
      </c>
      <c r="P10361" t="s">
        <v>26565</v>
      </c>
      <c r="R10361" t="s">
        <v>26578</v>
      </c>
      <c r="S10361" t="s">
        <v>18958</v>
      </c>
      <c r="U10361" t="s">
        <v>26604</v>
      </c>
      <c r="V10361" t="s">
        <v>26610</v>
      </c>
      <c r="X10361">
        <v>1056</v>
      </c>
      <c r="Y10361" t="s">
        <v>26652</v>
      </c>
      <c r="AB10361" t="s">
        <v>30525</v>
      </c>
      <c r="AE10361">
        <v>359</v>
      </c>
      <c r="AF10361" t="s">
        <v>45541</v>
      </c>
      <c r="AG10361" t="s">
        <v>19330</v>
      </c>
      <c r="AH10361">
        <v>9</v>
      </c>
      <c r="AI10361">
        <v>2</v>
      </c>
      <c r="AJ10361">
        <v>0</v>
      </c>
      <c r="AK10361">
        <v>37.21</v>
      </c>
      <c r="AN10361" t="s">
        <v>7439</v>
      </c>
      <c r="AO10361">
        <v>6292</v>
      </c>
      <c r="AU10361">
        <v>0</v>
      </c>
      <c r="AW10361" t="s">
        <v>286</v>
      </c>
    </row>
    <row r="10362" spans="1:50">
      <c r="A10362" s="1">
        <f>HYPERLINK("https://lsnyc.legalserver.org/matter/dynamic-profile/view/1896692","19-1896692")</f>
        <v>0</v>
      </c>
      <c r="B10362" t="s">
        <v>327</v>
      </c>
      <c r="C10362" t="s">
        <v>340</v>
      </c>
      <c r="D10362" t="s">
        <v>671</v>
      </c>
      <c r="F10362" t="s">
        <v>928</v>
      </c>
      <c r="G10362" t="s">
        <v>5147</v>
      </c>
      <c r="H10362" t="s">
        <v>16650</v>
      </c>
      <c r="I10362" t="s">
        <v>17322</v>
      </c>
      <c r="J10362" t="s">
        <v>18893</v>
      </c>
      <c r="K10362">
        <v>10029</v>
      </c>
      <c r="L10362" t="s">
        <v>18960</v>
      </c>
      <c r="M10362" t="s">
        <v>18960</v>
      </c>
      <c r="R10362" t="s">
        <v>26591</v>
      </c>
      <c r="U10362" t="s">
        <v>26604</v>
      </c>
      <c r="X10362">
        <v>0</v>
      </c>
      <c r="Y10362" t="s">
        <v>26651</v>
      </c>
      <c r="AB10362" t="s">
        <v>33929</v>
      </c>
      <c r="AD10362" t="s">
        <v>44814</v>
      </c>
      <c r="AE10362">
        <v>0</v>
      </c>
      <c r="AH10362">
        <v>0</v>
      </c>
      <c r="AI10362">
        <v>1</v>
      </c>
      <c r="AJ10362">
        <v>0</v>
      </c>
      <c r="AK10362">
        <v>0</v>
      </c>
      <c r="AN10362" t="s">
        <v>45581</v>
      </c>
      <c r="AO10362">
        <v>0</v>
      </c>
      <c r="AU10362">
        <v>1.35</v>
      </c>
      <c r="AV10362" t="s">
        <v>819</v>
      </c>
      <c r="AW10362" t="s">
        <v>46829</v>
      </c>
    </row>
    <row r="10363" spans="1:50">
      <c r="A10363" s="1">
        <f>HYPERLINK("https://lsnyc.legalserver.org/matter/dynamic-profile/view/1896719","19-1896719")</f>
        <v>0</v>
      </c>
      <c r="B10363" t="s">
        <v>91</v>
      </c>
      <c r="C10363" t="s">
        <v>340</v>
      </c>
      <c r="D10363" t="s">
        <v>671</v>
      </c>
      <c r="F10363" t="s">
        <v>4709</v>
      </c>
      <c r="G10363" t="s">
        <v>9227</v>
      </c>
      <c r="H10363" t="s">
        <v>16422</v>
      </c>
      <c r="J10363" t="s">
        <v>18901</v>
      </c>
      <c r="K10363">
        <v>11435</v>
      </c>
      <c r="L10363" t="s">
        <v>18958</v>
      </c>
      <c r="M10363" t="s">
        <v>18958</v>
      </c>
      <c r="N10363" t="s">
        <v>25986</v>
      </c>
      <c r="O10363" t="s">
        <v>26534</v>
      </c>
      <c r="P10363" t="s">
        <v>26562</v>
      </c>
      <c r="R10363" t="s">
        <v>26578</v>
      </c>
      <c r="S10363" t="s">
        <v>18959</v>
      </c>
      <c r="U10363" t="s">
        <v>26604</v>
      </c>
      <c r="X10363">
        <v>950</v>
      </c>
      <c r="Y10363" t="s">
        <v>26653</v>
      </c>
      <c r="AB10363" t="s">
        <v>31812</v>
      </c>
      <c r="AD10363" t="s">
        <v>44545</v>
      </c>
      <c r="AE10363">
        <v>10</v>
      </c>
      <c r="AF10363" t="s">
        <v>20460</v>
      </c>
      <c r="AH10363">
        <v>15</v>
      </c>
      <c r="AI10363">
        <v>1</v>
      </c>
      <c r="AJ10363">
        <v>2</v>
      </c>
      <c r="AK10363">
        <v>146.27</v>
      </c>
      <c r="AN10363" t="s">
        <v>7439</v>
      </c>
      <c r="AO10363">
        <v>31200</v>
      </c>
      <c r="AU10363">
        <v>1.9</v>
      </c>
      <c r="AV10363" t="s">
        <v>672</v>
      </c>
      <c r="AW10363" t="s">
        <v>91</v>
      </c>
    </row>
    <row r="10364" spans="1:50">
      <c r="A10364" s="1">
        <f>HYPERLINK("https://lsnyc.legalserver.org/matter/dynamic-profile/view/1896801","19-1896801")</f>
        <v>0</v>
      </c>
      <c r="B10364" t="s">
        <v>175</v>
      </c>
      <c r="C10364" t="s">
        <v>341</v>
      </c>
      <c r="D10364" t="s">
        <v>672</v>
      </c>
      <c r="E10364" t="s">
        <v>780</v>
      </c>
      <c r="F10364" t="s">
        <v>4798</v>
      </c>
      <c r="G10364" t="s">
        <v>9339</v>
      </c>
      <c r="H10364" t="s">
        <v>16651</v>
      </c>
      <c r="I10364" t="s">
        <v>17353</v>
      </c>
      <c r="J10364" t="s">
        <v>18894</v>
      </c>
      <c r="K10364">
        <v>11223</v>
      </c>
      <c r="L10364" t="s">
        <v>18960</v>
      </c>
      <c r="M10364" t="s">
        <v>18960</v>
      </c>
      <c r="O10364" t="s">
        <v>18997</v>
      </c>
      <c r="P10364" t="s">
        <v>26565</v>
      </c>
      <c r="Q10364" t="s">
        <v>26570</v>
      </c>
      <c r="R10364" t="s">
        <v>26586</v>
      </c>
      <c r="U10364" t="s">
        <v>26607</v>
      </c>
      <c r="X10364">
        <v>0</v>
      </c>
      <c r="Y10364" t="s">
        <v>26652</v>
      </c>
      <c r="AA10364" t="s">
        <v>26683</v>
      </c>
      <c r="AB10364" t="s">
        <v>33930</v>
      </c>
      <c r="AE10364">
        <v>0</v>
      </c>
      <c r="AF10364" t="s">
        <v>45541</v>
      </c>
      <c r="AG10364" t="s">
        <v>19330</v>
      </c>
      <c r="AH10364">
        <v>0</v>
      </c>
      <c r="AI10364">
        <v>1</v>
      </c>
      <c r="AJ10364">
        <v>1</v>
      </c>
      <c r="AK10364">
        <v>169.13</v>
      </c>
      <c r="AO10364">
        <v>28600</v>
      </c>
      <c r="AU10364">
        <v>1.25</v>
      </c>
      <c r="AV10364" t="s">
        <v>780</v>
      </c>
      <c r="AW10364" t="s">
        <v>175</v>
      </c>
    </row>
    <row r="10365" spans="1:50">
      <c r="A10365" s="1">
        <f>HYPERLINK("https://lsnyc.legalserver.org/matter/dynamic-profile/view/1896827","19-1896827")</f>
        <v>0</v>
      </c>
      <c r="B10365" t="s">
        <v>108</v>
      </c>
      <c r="C10365" t="s">
        <v>340</v>
      </c>
      <c r="D10365" t="s">
        <v>672</v>
      </c>
      <c r="F10365" t="s">
        <v>4799</v>
      </c>
      <c r="G10365" t="s">
        <v>9340</v>
      </c>
      <c r="H10365" t="s">
        <v>11541</v>
      </c>
      <c r="I10365">
        <v>41</v>
      </c>
      <c r="J10365" t="s">
        <v>18900</v>
      </c>
      <c r="K10365">
        <v>11358</v>
      </c>
      <c r="L10365" t="s">
        <v>18960</v>
      </c>
      <c r="M10365" t="s">
        <v>18960</v>
      </c>
      <c r="O10365" t="s">
        <v>26553</v>
      </c>
      <c r="P10365" t="s">
        <v>26560</v>
      </c>
      <c r="R10365" t="s">
        <v>26584</v>
      </c>
      <c r="U10365" t="s">
        <v>26604</v>
      </c>
      <c r="X10365">
        <v>0</v>
      </c>
      <c r="Y10365" t="s">
        <v>26653</v>
      </c>
      <c r="AB10365" t="s">
        <v>28748</v>
      </c>
      <c r="AD10365" t="s">
        <v>38801</v>
      </c>
      <c r="AE10365">
        <v>0</v>
      </c>
      <c r="AH10365">
        <v>0</v>
      </c>
      <c r="AI10365">
        <v>1</v>
      </c>
      <c r="AJ10365">
        <v>0</v>
      </c>
      <c r="AK10365">
        <v>0</v>
      </c>
      <c r="AN10365" t="s">
        <v>7439</v>
      </c>
      <c r="AO10365">
        <v>0</v>
      </c>
      <c r="AU10365">
        <v>0</v>
      </c>
      <c r="AW10365" t="s">
        <v>105</v>
      </c>
    </row>
    <row r="10366" spans="1:50">
      <c r="A10366" s="1">
        <f>HYPERLINK("https://lsnyc.legalserver.org/matter/dynamic-profile/view/1896769","19-1896769")</f>
        <v>0</v>
      </c>
      <c r="B10366" t="s">
        <v>88</v>
      </c>
      <c r="C10366" t="s">
        <v>340</v>
      </c>
      <c r="D10366" t="s">
        <v>672</v>
      </c>
      <c r="F10366" t="s">
        <v>1024</v>
      </c>
      <c r="G10366" t="s">
        <v>5575</v>
      </c>
      <c r="H10366" t="s">
        <v>12249</v>
      </c>
      <c r="I10366" t="s">
        <v>17331</v>
      </c>
      <c r="J10366" t="s">
        <v>18894</v>
      </c>
      <c r="K10366">
        <v>11213</v>
      </c>
      <c r="L10366" t="s">
        <v>18958</v>
      </c>
      <c r="M10366" t="s">
        <v>18959</v>
      </c>
      <c r="N10366" t="s">
        <v>19330</v>
      </c>
      <c r="O10366" t="s">
        <v>26534</v>
      </c>
      <c r="P10366" t="s">
        <v>26561</v>
      </c>
      <c r="R10366" t="s">
        <v>26578</v>
      </c>
      <c r="S10366" t="s">
        <v>18958</v>
      </c>
      <c r="U10366" t="s">
        <v>26604</v>
      </c>
      <c r="X10366">
        <v>719</v>
      </c>
      <c r="Y10366" t="s">
        <v>26652</v>
      </c>
      <c r="Z10366" t="s">
        <v>26663</v>
      </c>
      <c r="AB10366" t="s">
        <v>29533</v>
      </c>
      <c r="AD10366" t="s">
        <v>39601</v>
      </c>
      <c r="AE10366">
        <v>6</v>
      </c>
      <c r="AF10366" t="s">
        <v>45541</v>
      </c>
      <c r="AG10366" t="s">
        <v>19330</v>
      </c>
      <c r="AH10366">
        <v>22</v>
      </c>
      <c r="AI10366">
        <v>5</v>
      </c>
      <c r="AJ10366">
        <v>1</v>
      </c>
      <c r="AK10366">
        <v>109.86</v>
      </c>
      <c r="AN10366" t="s">
        <v>7439</v>
      </c>
      <c r="AO10366">
        <v>38000</v>
      </c>
      <c r="AP10366" t="s">
        <v>46006</v>
      </c>
      <c r="AU10366">
        <v>0</v>
      </c>
      <c r="AW10366" t="s">
        <v>286</v>
      </c>
    </row>
    <row r="10367" spans="1:50">
      <c r="A10367" s="1">
        <f>HYPERLINK("https://lsnyc.legalserver.org/matter/dynamic-profile/view/1896825","19-1896825")</f>
        <v>0</v>
      </c>
      <c r="B10367" t="s">
        <v>116</v>
      </c>
      <c r="C10367" t="s">
        <v>340</v>
      </c>
      <c r="D10367" t="s">
        <v>672</v>
      </c>
      <c r="F10367" t="s">
        <v>875</v>
      </c>
      <c r="G10367" t="s">
        <v>5447</v>
      </c>
      <c r="H10367" t="s">
        <v>16652</v>
      </c>
      <c r="I10367">
        <v>1</v>
      </c>
      <c r="J10367" t="s">
        <v>18894</v>
      </c>
      <c r="K10367">
        <v>11208</v>
      </c>
      <c r="L10367" t="s">
        <v>18959</v>
      </c>
      <c r="M10367" t="s">
        <v>18959</v>
      </c>
      <c r="N10367" t="s">
        <v>25987</v>
      </c>
      <c r="O10367" t="s">
        <v>26524</v>
      </c>
      <c r="P10367" t="s">
        <v>26563</v>
      </c>
      <c r="R10367" t="s">
        <v>26578</v>
      </c>
      <c r="S10367" t="s">
        <v>18959</v>
      </c>
      <c r="U10367" t="s">
        <v>26604</v>
      </c>
      <c r="V10367" t="s">
        <v>26610</v>
      </c>
      <c r="X10367">
        <v>1550</v>
      </c>
      <c r="Y10367" t="s">
        <v>26652</v>
      </c>
      <c r="Z10367" t="s">
        <v>26666</v>
      </c>
      <c r="AB10367" t="s">
        <v>31185</v>
      </c>
      <c r="AC10367" t="s">
        <v>34807</v>
      </c>
      <c r="AD10367" t="s">
        <v>44815</v>
      </c>
      <c r="AE10367">
        <v>2</v>
      </c>
      <c r="AF10367" t="s">
        <v>45547</v>
      </c>
      <c r="AG10367" t="s">
        <v>19330</v>
      </c>
      <c r="AH10367">
        <v>5</v>
      </c>
      <c r="AI10367">
        <v>5</v>
      </c>
      <c r="AJ10367">
        <v>1</v>
      </c>
      <c r="AK10367">
        <v>99.73999999999999</v>
      </c>
      <c r="AN10367" t="s">
        <v>7439</v>
      </c>
      <c r="AO10367">
        <v>34500</v>
      </c>
      <c r="AU10367">
        <v>0</v>
      </c>
      <c r="AW10367" t="s">
        <v>279</v>
      </c>
      <c r="AX10367" t="s">
        <v>19330</v>
      </c>
    </row>
    <row r="10368" spans="1:50">
      <c r="A10368" s="1">
        <f>HYPERLINK("https://lsnyc.legalserver.org/matter/dynamic-profile/view/1896780","19-1896780")</f>
        <v>0</v>
      </c>
      <c r="B10368" t="s">
        <v>135</v>
      </c>
      <c r="C10368" t="s">
        <v>340</v>
      </c>
      <c r="D10368" t="s">
        <v>672</v>
      </c>
      <c r="F10368" t="s">
        <v>1095</v>
      </c>
      <c r="G10368" t="s">
        <v>6822</v>
      </c>
      <c r="H10368" t="s">
        <v>15059</v>
      </c>
      <c r="I10368" t="s">
        <v>17353</v>
      </c>
      <c r="J10368" t="s">
        <v>18892</v>
      </c>
      <c r="K10368">
        <v>10460</v>
      </c>
      <c r="L10368" t="s">
        <v>18958</v>
      </c>
      <c r="M10368" t="s">
        <v>18958</v>
      </c>
      <c r="N10368" t="s">
        <v>24637</v>
      </c>
      <c r="O10368" t="s">
        <v>26523</v>
      </c>
      <c r="P10368" t="s">
        <v>26564</v>
      </c>
      <c r="R10368" t="s">
        <v>26578</v>
      </c>
      <c r="U10368" t="s">
        <v>26604</v>
      </c>
      <c r="V10368" t="s">
        <v>26609</v>
      </c>
      <c r="X10368">
        <v>1330</v>
      </c>
      <c r="Y10368" t="s">
        <v>26650</v>
      </c>
      <c r="Z10368" t="s">
        <v>26668</v>
      </c>
      <c r="AA10368" t="s">
        <v>26683</v>
      </c>
      <c r="AB10368" t="s">
        <v>30925</v>
      </c>
      <c r="AD10368" t="s">
        <v>43008</v>
      </c>
      <c r="AE10368">
        <v>0</v>
      </c>
      <c r="AF10368" t="s">
        <v>45541</v>
      </c>
      <c r="AG10368" t="s">
        <v>45556</v>
      </c>
      <c r="AH10368">
        <v>8</v>
      </c>
      <c r="AI10368">
        <v>2</v>
      </c>
      <c r="AJ10368">
        <v>0</v>
      </c>
      <c r="AK10368">
        <v>13.06</v>
      </c>
      <c r="AN10368" t="s">
        <v>7439</v>
      </c>
      <c r="AO10368">
        <v>2208</v>
      </c>
      <c r="AP10368" t="s">
        <v>46284</v>
      </c>
      <c r="AU10368">
        <v>5.1</v>
      </c>
      <c r="AV10368" t="s">
        <v>828</v>
      </c>
      <c r="AW10368" t="s">
        <v>334</v>
      </c>
      <c r="AX10368" t="s">
        <v>46897</v>
      </c>
    </row>
    <row r="10369" spans="1:50">
      <c r="A10369" s="1">
        <f>HYPERLINK("https://lsnyc.legalserver.org/matter/dynamic-profile/view/1896830","19-1896830")</f>
        <v>0</v>
      </c>
      <c r="B10369" t="s">
        <v>87</v>
      </c>
      <c r="C10369" t="s">
        <v>340</v>
      </c>
      <c r="D10369" t="s">
        <v>672</v>
      </c>
      <c r="F10369" t="s">
        <v>1024</v>
      </c>
      <c r="G10369" t="s">
        <v>9341</v>
      </c>
      <c r="H10369" t="s">
        <v>16653</v>
      </c>
      <c r="I10369">
        <v>1</v>
      </c>
      <c r="J10369" t="s">
        <v>18892</v>
      </c>
      <c r="K10369">
        <v>10457</v>
      </c>
      <c r="L10369" t="s">
        <v>18958</v>
      </c>
      <c r="M10369" t="s">
        <v>18960</v>
      </c>
      <c r="N10369" t="s">
        <v>25988</v>
      </c>
      <c r="O10369" t="s">
        <v>26523</v>
      </c>
      <c r="P10369" t="s">
        <v>26560</v>
      </c>
      <c r="R10369" t="s">
        <v>26579</v>
      </c>
      <c r="S10369" t="s">
        <v>18959</v>
      </c>
      <c r="U10369" t="s">
        <v>26604</v>
      </c>
      <c r="X10369">
        <v>1269</v>
      </c>
      <c r="Y10369" t="s">
        <v>26650</v>
      </c>
      <c r="AB10369" t="s">
        <v>33931</v>
      </c>
      <c r="AD10369" t="s">
        <v>44816</v>
      </c>
      <c r="AE10369">
        <v>25</v>
      </c>
      <c r="AF10369" t="s">
        <v>45541</v>
      </c>
      <c r="AG10369" t="s">
        <v>45556</v>
      </c>
      <c r="AH10369">
        <v>11</v>
      </c>
      <c r="AI10369">
        <v>1</v>
      </c>
      <c r="AJ10369">
        <v>1</v>
      </c>
      <c r="AK10369">
        <v>64.08</v>
      </c>
      <c r="AN10369" t="s">
        <v>7439</v>
      </c>
      <c r="AO10369">
        <v>10836</v>
      </c>
      <c r="AU10369">
        <v>4.1</v>
      </c>
      <c r="AV10369" t="s">
        <v>797</v>
      </c>
      <c r="AW10369" t="s">
        <v>46829</v>
      </c>
      <c r="AX10369" t="s">
        <v>46897</v>
      </c>
    </row>
    <row r="10370" spans="1:50">
      <c r="A10370" s="1">
        <f>HYPERLINK("https://lsnyc.legalserver.org/matter/dynamic-profile/view/1896736","19-1896736")</f>
        <v>0</v>
      </c>
      <c r="B10370" t="s">
        <v>275</v>
      </c>
      <c r="C10370" t="s">
        <v>340</v>
      </c>
      <c r="D10370" t="s">
        <v>672</v>
      </c>
      <c r="F10370" t="s">
        <v>1376</v>
      </c>
      <c r="G10370" t="s">
        <v>9342</v>
      </c>
      <c r="H10370" t="s">
        <v>11255</v>
      </c>
      <c r="I10370" t="s">
        <v>17275</v>
      </c>
      <c r="J10370" t="s">
        <v>18892</v>
      </c>
      <c r="K10370">
        <v>10470</v>
      </c>
      <c r="L10370" t="s">
        <v>18958</v>
      </c>
      <c r="M10370" t="s">
        <v>18958</v>
      </c>
      <c r="N10370" t="s">
        <v>25989</v>
      </c>
      <c r="O10370" t="s">
        <v>26524</v>
      </c>
      <c r="P10370" t="s">
        <v>26564</v>
      </c>
      <c r="R10370" t="s">
        <v>26577</v>
      </c>
      <c r="U10370" t="s">
        <v>26604</v>
      </c>
      <c r="V10370" t="s">
        <v>26610</v>
      </c>
      <c r="X10370">
        <v>925</v>
      </c>
      <c r="Y10370" t="s">
        <v>26650</v>
      </c>
      <c r="Z10370" t="s">
        <v>26668</v>
      </c>
      <c r="AB10370" t="s">
        <v>33932</v>
      </c>
      <c r="AD10370" t="s">
        <v>44817</v>
      </c>
      <c r="AE10370">
        <v>0</v>
      </c>
      <c r="AF10370" t="s">
        <v>45541</v>
      </c>
      <c r="AG10370" t="s">
        <v>19330</v>
      </c>
      <c r="AH10370">
        <v>3</v>
      </c>
      <c r="AI10370">
        <v>1</v>
      </c>
      <c r="AJ10370">
        <v>0</v>
      </c>
      <c r="AK10370">
        <v>640.51</v>
      </c>
      <c r="AN10370" t="s">
        <v>7439</v>
      </c>
      <c r="AO10370">
        <v>80000</v>
      </c>
      <c r="AP10370" t="s">
        <v>46285</v>
      </c>
      <c r="AU10370">
        <v>12</v>
      </c>
      <c r="AV10370" t="s">
        <v>820</v>
      </c>
      <c r="AW10370" t="s">
        <v>334</v>
      </c>
    </row>
    <row r="10371" spans="1:50">
      <c r="A10371" s="1">
        <f>HYPERLINK("https://lsnyc.legalserver.org/matter/dynamic-profile/view/1896940","19-1896940")</f>
        <v>0</v>
      </c>
      <c r="B10371" t="s">
        <v>137</v>
      </c>
      <c r="C10371" t="s">
        <v>341</v>
      </c>
      <c r="D10371" t="s">
        <v>803</v>
      </c>
      <c r="E10371" t="s">
        <v>807</v>
      </c>
      <c r="F10371" t="s">
        <v>3715</v>
      </c>
      <c r="G10371" t="s">
        <v>9343</v>
      </c>
      <c r="H10371" t="s">
        <v>16654</v>
      </c>
      <c r="I10371" t="s">
        <v>17275</v>
      </c>
      <c r="J10371" t="s">
        <v>18892</v>
      </c>
      <c r="K10371">
        <v>10474</v>
      </c>
      <c r="L10371" t="s">
        <v>18958</v>
      </c>
      <c r="M10371" t="s">
        <v>18958</v>
      </c>
      <c r="N10371" t="s">
        <v>25990</v>
      </c>
      <c r="O10371" t="s">
        <v>26523</v>
      </c>
      <c r="P10371" t="s">
        <v>26564</v>
      </c>
      <c r="Q10371" t="s">
        <v>26570</v>
      </c>
      <c r="R10371" t="s">
        <v>26577</v>
      </c>
      <c r="U10371" t="s">
        <v>26604</v>
      </c>
      <c r="X10371">
        <v>1190.57</v>
      </c>
      <c r="Y10371" t="s">
        <v>26650</v>
      </c>
      <c r="Z10371" t="s">
        <v>26664</v>
      </c>
      <c r="AA10371" t="s">
        <v>26683</v>
      </c>
      <c r="AB10371" t="s">
        <v>33525</v>
      </c>
      <c r="AE10371">
        <v>44</v>
      </c>
      <c r="AF10371" t="s">
        <v>45543</v>
      </c>
      <c r="AG10371" t="s">
        <v>45556</v>
      </c>
      <c r="AH10371">
        <v>14</v>
      </c>
      <c r="AI10371">
        <v>2</v>
      </c>
      <c r="AJ10371">
        <v>3</v>
      </c>
      <c r="AK10371">
        <v>70.17</v>
      </c>
      <c r="AN10371" t="s">
        <v>7439</v>
      </c>
      <c r="AO10371">
        <v>21171</v>
      </c>
      <c r="AP10371" t="s">
        <v>46044</v>
      </c>
      <c r="AU10371">
        <v>0.15</v>
      </c>
      <c r="AV10371" t="s">
        <v>813</v>
      </c>
      <c r="AW10371" t="s">
        <v>46867</v>
      </c>
      <c r="AX10371" t="s">
        <v>46897</v>
      </c>
    </row>
    <row r="10372" spans="1:50">
      <c r="A10372" s="1">
        <f>HYPERLINK("https://lsnyc.legalserver.org/matter/dynamic-profile/view/1896870","19-1896870")</f>
        <v>0</v>
      </c>
      <c r="B10372" t="s">
        <v>74</v>
      </c>
      <c r="C10372" t="s">
        <v>341</v>
      </c>
      <c r="D10372" t="s">
        <v>803</v>
      </c>
      <c r="E10372" t="s">
        <v>808</v>
      </c>
      <c r="F10372" t="s">
        <v>4800</v>
      </c>
      <c r="G10372" t="s">
        <v>9344</v>
      </c>
      <c r="H10372" t="s">
        <v>16655</v>
      </c>
      <c r="I10372" t="s">
        <v>18784</v>
      </c>
      <c r="J10372" t="s">
        <v>18892</v>
      </c>
      <c r="K10372">
        <v>10463</v>
      </c>
      <c r="L10372" t="s">
        <v>18960</v>
      </c>
      <c r="M10372" t="s">
        <v>18960</v>
      </c>
      <c r="P10372" t="s">
        <v>26564</v>
      </c>
      <c r="Q10372" t="s">
        <v>26570</v>
      </c>
      <c r="R10372" t="s">
        <v>26591</v>
      </c>
      <c r="U10372" t="s">
        <v>26604</v>
      </c>
      <c r="X10372">
        <v>1000</v>
      </c>
      <c r="Y10372" t="s">
        <v>26651</v>
      </c>
      <c r="Z10372" t="s">
        <v>26530</v>
      </c>
      <c r="AA10372" t="s">
        <v>26683</v>
      </c>
      <c r="AB10372" t="s">
        <v>33933</v>
      </c>
      <c r="AD10372" t="s">
        <v>44818</v>
      </c>
      <c r="AE10372">
        <v>19</v>
      </c>
      <c r="AH10372">
        <v>11</v>
      </c>
      <c r="AI10372">
        <v>1</v>
      </c>
      <c r="AJ10372">
        <v>0</v>
      </c>
      <c r="AK10372">
        <v>106.16</v>
      </c>
      <c r="AN10372" t="s">
        <v>45581</v>
      </c>
      <c r="AO10372">
        <v>13260</v>
      </c>
      <c r="AU10372">
        <v>0.5</v>
      </c>
      <c r="AV10372" t="s">
        <v>803</v>
      </c>
      <c r="AW10372" t="s">
        <v>46850</v>
      </c>
    </row>
    <row r="10373" spans="1:50">
      <c r="A10373" s="1">
        <f>HYPERLINK("https://lsnyc.legalserver.org/matter/dynamic-profile/view/1896887","19-1896887")</f>
        <v>0</v>
      </c>
      <c r="B10373" t="s">
        <v>135</v>
      </c>
      <c r="C10373" t="s">
        <v>341</v>
      </c>
      <c r="D10373" t="s">
        <v>803</v>
      </c>
      <c r="E10373" t="s">
        <v>767</v>
      </c>
      <c r="F10373" t="s">
        <v>1904</v>
      </c>
      <c r="G10373" t="s">
        <v>3036</v>
      </c>
      <c r="H10373" t="s">
        <v>10447</v>
      </c>
      <c r="I10373" t="s">
        <v>18626</v>
      </c>
      <c r="J10373" t="s">
        <v>18892</v>
      </c>
      <c r="K10373">
        <v>10453</v>
      </c>
      <c r="L10373" t="s">
        <v>18960</v>
      </c>
      <c r="M10373" t="s">
        <v>18960</v>
      </c>
      <c r="Q10373" t="s">
        <v>26570</v>
      </c>
      <c r="R10373" t="s">
        <v>26591</v>
      </c>
      <c r="U10373" t="s">
        <v>26604</v>
      </c>
      <c r="X10373">
        <v>1527</v>
      </c>
      <c r="Y10373" t="s">
        <v>26650</v>
      </c>
      <c r="AA10373" t="s">
        <v>26683</v>
      </c>
      <c r="AB10373" t="s">
        <v>29067</v>
      </c>
      <c r="AD10373" t="s">
        <v>44819</v>
      </c>
      <c r="AE10373">
        <v>40</v>
      </c>
      <c r="AH10373">
        <v>5</v>
      </c>
      <c r="AI10373">
        <v>3</v>
      </c>
      <c r="AJ10373">
        <v>4</v>
      </c>
      <c r="AK10373">
        <v>131.38</v>
      </c>
      <c r="AN10373" t="s">
        <v>7439</v>
      </c>
      <c r="AO10373">
        <v>51252</v>
      </c>
      <c r="AU10373">
        <v>1.1</v>
      </c>
      <c r="AV10373" t="s">
        <v>767</v>
      </c>
      <c r="AW10373" t="s">
        <v>46857</v>
      </c>
    </row>
    <row r="10374" spans="1:50">
      <c r="A10374" s="1">
        <f>HYPERLINK("https://lsnyc.legalserver.org/matter/dynamic-profile/view/1896882","19-1896882")</f>
        <v>0</v>
      </c>
      <c r="B10374" t="s">
        <v>145</v>
      </c>
      <c r="C10374" t="s">
        <v>340</v>
      </c>
      <c r="D10374" t="s">
        <v>803</v>
      </c>
      <c r="F10374" t="s">
        <v>4801</v>
      </c>
      <c r="G10374" t="s">
        <v>3277</v>
      </c>
      <c r="H10374" t="s">
        <v>15512</v>
      </c>
      <c r="I10374" t="s">
        <v>18325</v>
      </c>
      <c r="J10374" t="s">
        <v>18894</v>
      </c>
      <c r="K10374">
        <v>11225</v>
      </c>
      <c r="L10374" t="s">
        <v>18959</v>
      </c>
      <c r="M10374" t="s">
        <v>18959</v>
      </c>
      <c r="N10374" t="s">
        <v>25991</v>
      </c>
      <c r="O10374" t="s">
        <v>26523</v>
      </c>
      <c r="P10374" t="s">
        <v>26560</v>
      </c>
      <c r="R10374" t="s">
        <v>26588</v>
      </c>
      <c r="U10374" t="s">
        <v>26604</v>
      </c>
      <c r="X10374">
        <v>975.76</v>
      </c>
      <c r="Y10374" t="s">
        <v>26652</v>
      </c>
      <c r="Z10374" t="s">
        <v>26659</v>
      </c>
      <c r="AB10374" t="s">
        <v>33934</v>
      </c>
      <c r="AD10374" t="s">
        <v>44820</v>
      </c>
      <c r="AE10374">
        <v>60</v>
      </c>
      <c r="AF10374" t="s">
        <v>45541</v>
      </c>
      <c r="AG10374" t="s">
        <v>45557</v>
      </c>
      <c r="AH10374">
        <v>21</v>
      </c>
      <c r="AI10374">
        <v>1</v>
      </c>
      <c r="AJ10374">
        <v>3</v>
      </c>
      <c r="AK10374">
        <v>0</v>
      </c>
      <c r="AN10374" t="s">
        <v>7439</v>
      </c>
      <c r="AO10374">
        <v>0</v>
      </c>
      <c r="AU10374">
        <v>6.4</v>
      </c>
      <c r="AV10374" t="s">
        <v>826</v>
      </c>
      <c r="AW10374" t="s">
        <v>46853</v>
      </c>
    </row>
    <row r="10375" spans="1:50">
      <c r="A10375" s="1">
        <f>HYPERLINK("https://lsnyc.legalserver.org/matter/dynamic-profile/view/1896947","19-1896947")</f>
        <v>0</v>
      </c>
      <c r="B10375" t="s">
        <v>283</v>
      </c>
      <c r="C10375" t="s">
        <v>340</v>
      </c>
      <c r="D10375" t="s">
        <v>803</v>
      </c>
      <c r="F10375" t="s">
        <v>947</v>
      </c>
      <c r="G10375" t="s">
        <v>9345</v>
      </c>
      <c r="H10375" t="s">
        <v>16656</v>
      </c>
      <c r="I10375" t="s">
        <v>17425</v>
      </c>
      <c r="J10375" t="s">
        <v>18894</v>
      </c>
      <c r="K10375">
        <v>11218</v>
      </c>
      <c r="L10375" t="s">
        <v>18958</v>
      </c>
      <c r="M10375" t="s">
        <v>18958</v>
      </c>
      <c r="N10375" t="s">
        <v>25992</v>
      </c>
      <c r="O10375" t="s">
        <v>26524</v>
      </c>
      <c r="P10375" t="s">
        <v>26564</v>
      </c>
      <c r="R10375" t="s">
        <v>26583</v>
      </c>
      <c r="U10375" t="s">
        <v>26604</v>
      </c>
      <c r="X10375">
        <v>0</v>
      </c>
      <c r="Y10375" t="s">
        <v>26652</v>
      </c>
      <c r="Z10375" t="s">
        <v>26664</v>
      </c>
      <c r="AB10375" t="s">
        <v>31360</v>
      </c>
      <c r="AD10375" t="s">
        <v>44821</v>
      </c>
      <c r="AE10375">
        <v>0</v>
      </c>
      <c r="AH10375">
        <v>0</v>
      </c>
      <c r="AI10375">
        <v>1</v>
      </c>
      <c r="AJ10375">
        <v>0</v>
      </c>
      <c r="AK10375">
        <v>374.7</v>
      </c>
      <c r="AN10375" t="s">
        <v>7439</v>
      </c>
      <c r="AO10375">
        <v>46800</v>
      </c>
      <c r="AU10375">
        <v>0.9</v>
      </c>
      <c r="AV10375" t="s">
        <v>803</v>
      </c>
      <c r="AW10375" t="s">
        <v>46862</v>
      </c>
    </row>
    <row r="10376" spans="1:50">
      <c r="A10376" s="1">
        <f>HYPERLINK("https://lsnyc.legalserver.org/matter/dynamic-profile/view/1895757","19-1895757")</f>
        <v>0</v>
      </c>
      <c r="B10376" t="s">
        <v>104</v>
      </c>
      <c r="C10376" t="s">
        <v>340</v>
      </c>
      <c r="D10376" t="s">
        <v>803</v>
      </c>
      <c r="F10376" t="s">
        <v>4802</v>
      </c>
      <c r="G10376" t="s">
        <v>1014</v>
      </c>
      <c r="H10376" t="s">
        <v>10296</v>
      </c>
      <c r="I10376" t="s">
        <v>17725</v>
      </c>
      <c r="J10376" t="s">
        <v>18902</v>
      </c>
      <c r="K10376">
        <v>10304</v>
      </c>
      <c r="L10376" t="s">
        <v>18960</v>
      </c>
      <c r="M10376" t="s">
        <v>18960</v>
      </c>
      <c r="N10376" t="s">
        <v>25993</v>
      </c>
      <c r="O10376" t="s">
        <v>26523</v>
      </c>
      <c r="R10376" t="s">
        <v>26578</v>
      </c>
      <c r="S10376" t="s">
        <v>18959</v>
      </c>
      <c r="U10376" t="s">
        <v>26604</v>
      </c>
      <c r="V10376" t="s">
        <v>26610</v>
      </c>
      <c r="X10376">
        <v>1200</v>
      </c>
      <c r="Y10376" t="s">
        <v>26654</v>
      </c>
      <c r="Z10376" t="s">
        <v>26668</v>
      </c>
      <c r="AB10376" t="s">
        <v>29306</v>
      </c>
      <c r="AD10376" t="s">
        <v>44822</v>
      </c>
      <c r="AE10376">
        <v>0</v>
      </c>
      <c r="AF10376" t="s">
        <v>45543</v>
      </c>
      <c r="AG10376" t="s">
        <v>45556</v>
      </c>
      <c r="AH10376">
        <v>11</v>
      </c>
      <c r="AI10376">
        <v>1</v>
      </c>
      <c r="AJ10376">
        <v>0</v>
      </c>
      <c r="AK10376">
        <v>145.72</v>
      </c>
      <c r="AN10376" t="s">
        <v>7439</v>
      </c>
      <c r="AO10376">
        <v>18200</v>
      </c>
      <c r="AU10376">
        <v>5</v>
      </c>
      <c r="AV10376" t="s">
        <v>835</v>
      </c>
      <c r="AW10376" t="s">
        <v>46852</v>
      </c>
    </row>
    <row r="10377" spans="1:50">
      <c r="A10377" s="1">
        <f>HYPERLINK("https://lsnyc.legalserver.org/matter/dynamic-profile/view/1896958","19-1896958")</f>
        <v>0</v>
      </c>
      <c r="B10377" t="s">
        <v>69</v>
      </c>
      <c r="C10377" t="s">
        <v>340</v>
      </c>
      <c r="D10377" t="s">
        <v>803</v>
      </c>
      <c r="F10377" t="s">
        <v>1068</v>
      </c>
      <c r="G10377" t="s">
        <v>4311</v>
      </c>
      <c r="H10377" t="s">
        <v>12186</v>
      </c>
      <c r="I10377" t="s">
        <v>18002</v>
      </c>
      <c r="J10377" t="s">
        <v>18892</v>
      </c>
      <c r="K10377">
        <v>10467</v>
      </c>
      <c r="L10377" t="s">
        <v>18958</v>
      </c>
      <c r="M10377" t="s">
        <v>18958</v>
      </c>
      <c r="N10377" t="s">
        <v>25994</v>
      </c>
      <c r="O10377" t="s">
        <v>26523</v>
      </c>
      <c r="P10377" t="s">
        <v>26560</v>
      </c>
      <c r="R10377" t="s">
        <v>26579</v>
      </c>
      <c r="S10377" t="s">
        <v>18959</v>
      </c>
      <c r="U10377" t="s">
        <v>26604</v>
      </c>
      <c r="X10377">
        <v>1118.03</v>
      </c>
      <c r="Y10377" t="s">
        <v>26650</v>
      </c>
      <c r="Z10377" t="s">
        <v>26657</v>
      </c>
      <c r="AB10377" t="s">
        <v>33935</v>
      </c>
      <c r="AD10377" t="s">
        <v>44823</v>
      </c>
      <c r="AE10377">
        <v>0</v>
      </c>
      <c r="AF10377" t="s">
        <v>45541</v>
      </c>
      <c r="AH10377">
        <v>9</v>
      </c>
      <c r="AI10377">
        <v>1</v>
      </c>
      <c r="AJ10377">
        <v>0</v>
      </c>
      <c r="AK10377">
        <v>68.69</v>
      </c>
      <c r="AN10377" t="s">
        <v>7439</v>
      </c>
      <c r="AO10377">
        <v>8580</v>
      </c>
      <c r="AP10377" t="s">
        <v>46286</v>
      </c>
      <c r="AU10377">
        <v>12.9</v>
      </c>
      <c r="AV10377" t="s">
        <v>839</v>
      </c>
      <c r="AW10377" t="s">
        <v>46870</v>
      </c>
      <c r="AX10377" t="s">
        <v>46897</v>
      </c>
    </row>
    <row r="10378" spans="1:50">
      <c r="A10378" s="1">
        <f>HYPERLINK("https://lsnyc.legalserver.org/matter/dynamic-profile/view/1896888","19-1896888")</f>
        <v>0</v>
      </c>
      <c r="B10378" t="s">
        <v>275</v>
      </c>
      <c r="C10378" t="s">
        <v>340</v>
      </c>
      <c r="D10378" t="s">
        <v>803</v>
      </c>
      <c r="F10378" t="s">
        <v>4803</v>
      </c>
      <c r="G10378" t="s">
        <v>1725</v>
      </c>
      <c r="H10378" t="s">
        <v>16657</v>
      </c>
      <c r="I10378" t="s">
        <v>17293</v>
      </c>
      <c r="J10378" t="s">
        <v>18892</v>
      </c>
      <c r="K10378">
        <v>10457</v>
      </c>
      <c r="L10378" t="s">
        <v>18960</v>
      </c>
      <c r="M10378" t="s">
        <v>18960</v>
      </c>
      <c r="N10378" t="s">
        <v>25995</v>
      </c>
      <c r="O10378" t="s">
        <v>26523</v>
      </c>
      <c r="P10378" t="s">
        <v>26564</v>
      </c>
      <c r="R10378" t="s">
        <v>26579</v>
      </c>
      <c r="S10378" t="s">
        <v>18959</v>
      </c>
      <c r="U10378" t="s">
        <v>26604</v>
      </c>
      <c r="X10378">
        <v>1300</v>
      </c>
      <c r="Y10378" t="s">
        <v>26650</v>
      </c>
      <c r="Z10378" t="s">
        <v>26673</v>
      </c>
      <c r="AB10378" t="s">
        <v>33936</v>
      </c>
      <c r="AD10378" t="s">
        <v>44824</v>
      </c>
      <c r="AE10378">
        <v>0</v>
      </c>
      <c r="AF10378" t="s">
        <v>45541</v>
      </c>
      <c r="AG10378" t="s">
        <v>19330</v>
      </c>
      <c r="AH10378">
        <v>6</v>
      </c>
      <c r="AI10378">
        <v>2</v>
      </c>
      <c r="AJ10378">
        <v>0</v>
      </c>
      <c r="AK10378">
        <v>92.25</v>
      </c>
      <c r="AN10378" t="s">
        <v>7439</v>
      </c>
      <c r="AO10378">
        <v>15600</v>
      </c>
      <c r="AP10378" t="s">
        <v>46287</v>
      </c>
      <c r="AU10378">
        <v>28.34</v>
      </c>
      <c r="AV10378" t="s">
        <v>832</v>
      </c>
      <c r="AW10378" t="s">
        <v>46860</v>
      </c>
    </row>
    <row r="10379" spans="1:50">
      <c r="A10379" s="1">
        <f>HYPERLINK("https://lsnyc.legalserver.org/matter/dynamic-profile/view/1897082","19-1897082")</f>
        <v>0</v>
      </c>
      <c r="B10379" t="s">
        <v>165</v>
      </c>
      <c r="C10379" t="s">
        <v>341</v>
      </c>
      <c r="D10379" t="s">
        <v>780</v>
      </c>
      <c r="E10379" t="s">
        <v>832</v>
      </c>
      <c r="F10379" t="s">
        <v>1326</v>
      </c>
      <c r="G10379" t="s">
        <v>6859</v>
      </c>
      <c r="H10379" t="s">
        <v>10208</v>
      </c>
      <c r="I10379" t="s">
        <v>18435</v>
      </c>
      <c r="J10379" t="s">
        <v>18893</v>
      </c>
      <c r="K10379">
        <v>10027</v>
      </c>
      <c r="L10379" t="s">
        <v>18958</v>
      </c>
      <c r="M10379" t="s">
        <v>18958</v>
      </c>
      <c r="N10379" t="s">
        <v>25996</v>
      </c>
      <c r="O10379" t="s">
        <v>26523</v>
      </c>
      <c r="P10379" t="s">
        <v>26564</v>
      </c>
      <c r="Q10379" t="s">
        <v>26570</v>
      </c>
      <c r="R10379" t="s">
        <v>26580</v>
      </c>
      <c r="S10379" t="s">
        <v>18959</v>
      </c>
      <c r="U10379" t="s">
        <v>26605</v>
      </c>
      <c r="X10379">
        <v>214</v>
      </c>
      <c r="Y10379" t="s">
        <v>26651</v>
      </c>
      <c r="AA10379" t="s">
        <v>26683</v>
      </c>
      <c r="AB10379" t="s">
        <v>33937</v>
      </c>
      <c r="AD10379" t="s">
        <v>44825</v>
      </c>
      <c r="AE10379">
        <v>0</v>
      </c>
      <c r="AH10379">
        <v>1</v>
      </c>
      <c r="AI10379">
        <v>2</v>
      </c>
      <c r="AJ10379">
        <v>0</v>
      </c>
      <c r="AK10379">
        <v>76.88</v>
      </c>
      <c r="AN10379" t="s">
        <v>7439</v>
      </c>
      <c r="AO10379">
        <v>13000</v>
      </c>
      <c r="AU10379">
        <v>1.1</v>
      </c>
      <c r="AV10379" t="s">
        <v>831</v>
      </c>
      <c r="AW10379" t="s">
        <v>46890</v>
      </c>
    </row>
    <row r="10380" spans="1:50">
      <c r="A10380" s="1">
        <f>HYPERLINK("https://lsnyc.legalserver.org/matter/dynamic-profile/view/1897047","19-1897047")</f>
        <v>0</v>
      </c>
      <c r="B10380" t="s">
        <v>286</v>
      </c>
      <c r="C10380" t="s">
        <v>341</v>
      </c>
      <c r="D10380" t="s">
        <v>780</v>
      </c>
      <c r="E10380" t="s">
        <v>780</v>
      </c>
      <c r="F10380" t="s">
        <v>3992</v>
      </c>
      <c r="G10380" t="s">
        <v>4309</v>
      </c>
      <c r="H10380" t="s">
        <v>14835</v>
      </c>
      <c r="I10380">
        <v>1</v>
      </c>
      <c r="J10380" t="s">
        <v>18894</v>
      </c>
      <c r="K10380">
        <v>11208</v>
      </c>
      <c r="L10380" t="s">
        <v>18960</v>
      </c>
      <c r="M10380" t="s">
        <v>18960</v>
      </c>
      <c r="O10380" t="s">
        <v>26524</v>
      </c>
      <c r="P10380" t="s">
        <v>26564</v>
      </c>
      <c r="Q10380" t="s">
        <v>26570</v>
      </c>
      <c r="R10380" t="s">
        <v>26578</v>
      </c>
      <c r="U10380" t="s">
        <v>26604</v>
      </c>
      <c r="X10380">
        <v>1600</v>
      </c>
      <c r="Y10380" t="s">
        <v>26652</v>
      </c>
      <c r="AA10380" t="s">
        <v>26689</v>
      </c>
      <c r="AB10380" t="s">
        <v>28608</v>
      </c>
      <c r="AD10380" t="s">
        <v>42729</v>
      </c>
      <c r="AE10380">
        <v>0</v>
      </c>
      <c r="AG10380" t="s">
        <v>19330</v>
      </c>
      <c r="AH10380">
        <v>1</v>
      </c>
      <c r="AI10380">
        <v>1</v>
      </c>
      <c r="AJ10380">
        <v>2</v>
      </c>
      <c r="AK10380">
        <v>60.95</v>
      </c>
      <c r="AN10380" t="s">
        <v>7439</v>
      </c>
      <c r="AO10380">
        <v>13000</v>
      </c>
      <c r="AU10380">
        <v>1</v>
      </c>
      <c r="AV10380" t="s">
        <v>780</v>
      </c>
      <c r="AW10380" t="s">
        <v>46859</v>
      </c>
    </row>
    <row r="10381" spans="1:50">
      <c r="A10381" s="1">
        <f>HYPERLINK("https://lsnyc.legalserver.org/matter/dynamic-profile/view/1896974","19-1896974")</f>
        <v>0</v>
      </c>
      <c r="B10381" t="s">
        <v>74</v>
      </c>
      <c r="C10381" t="s">
        <v>341</v>
      </c>
      <c r="D10381" t="s">
        <v>780</v>
      </c>
      <c r="E10381" t="s">
        <v>808</v>
      </c>
      <c r="F10381" t="s">
        <v>1532</v>
      </c>
      <c r="G10381" t="s">
        <v>5220</v>
      </c>
      <c r="H10381" t="s">
        <v>16658</v>
      </c>
      <c r="I10381" t="s">
        <v>17268</v>
      </c>
      <c r="J10381" t="s">
        <v>18893</v>
      </c>
      <c r="K10381">
        <v>10029</v>
      </c>
      <c r="L10381" t="s">
        <v>18960</v>
      </c>
      <c r="M10381" t="s">
        <v>18960</v>
      </c>
      <c r="P10381" t="s">
        <v>26564</v>
      </c>
      <c r="Q10381" t="s">
        <v>26570</v>
      </c>
      <c r="R10381" t="s">
        <v>26591</v>
      </c>
      <c r="U10381" t="s">
        <v>26605</v>
      </c>
      <c r="X10381">
        <v>420</v>
      </c>
      <c r="Y10381" t="s">
        <v>26651</v>
      </c>
      <c r="AA10381" t="s">
        <v>26683</v>
      </c>
      <c r="AB10381" t="s">
        <v>33938</v>
      </c>
      <c r="AD10381" t="s">
        <v>44826</v>
      </c>
      <c r="AE10381">
        <v>56</v>
      </c>
      <c r="AH10381">
        <v>19</v>
      </c>
      <c r="AI10381">
        <v>1</v>
      </c>
      <c r="AJ10381">
        <v>2</v>
      </c>
      <c r="AK10381">
        <v>21.33</v>
      </c>
      <c r="AN10381" t="s">
        <v>7439</v>
      </c>
      <c r="AO10381">
        <v>4550</v>
      </c>
      <c r="AU10381">
        <v>1</v>
      </c>
      <c r="AV10381" t="s">
        <v>780</v>
      </c>
      <c r="AW10381" t="s">
        <v>46857</v>
      </c>
    </row>
    <row r="10382" spans="1:50">
      <c r="A10382" s="1">
        <f>HYPERLINK("https://lsnyc.legalserver.org/matter/dynamic-profile/view/1897086","19-1897086")</f>
        <v>0</v>
      </c>
      <c r="B10382" t="s">
        <v>144</v>
      </c>
      <c r="C10382" t="s">
        <v>340</v>
      </c>
      <c r="D10382" t="s">
        <v>780</v>
      </c>
      <c r="F10382" t="s">
        <v>2727</v>
      </c>
      <c r="G10382" t="s">
        <v>6893</v>
      </c>
      <c r="H10382" t="s">
        <v>16659</v>
      </c>
      <c r="I10382" t="s">
        <v>17748</v>
      </c>
      <c r="J10382" t="s">
        <v>18893</v>
      </c>
      <c r="K10382">
        <v>10025</v>
      </c>
      <c r="L10382" t="s">
        <v>18958</v>
      </c>
      <c r="M10382" t="s">
        <v>18958</v>
      </c>
      <c r="R10382" t="s">
        <v>26580</v>
      </c>
      <c r="S10382" t="s">
        <v>18959</v>
      </c>
      <c r="U10382" t="s">
        <v>26605</v>
      </c>
      <c r="X10382">
        <v>621</v>
      </c>
      <c r="Y10382" t="s">
        <v>26651</v>
      </c>
      <c r="AB10382" t="s">
        <v>33939</v>
      </c>
      <c r="AD10382" t="s">
        <v>44827</v>
      </c>
      <c r="AE10382">
        <v>0</v>
      </c>
      <c r="AH10382">
        <v>13</v>
      </c>
      <c r="AI10382">
        <v>3</v>
      </c>
      <c r="AJ10382">
        <v>0</v>
      </c>
      <c r="AK10382">
        <v>42.66</v>
      </c>
      <c r="AO10382">
        <v>9100</v>
      </c>
      <c r="AU10382">
        <v>4.25</v>
      </c>
      <c r="AV10382" t="s">
        <v>809</v>
      </c>
      <c r="AW10382" t="s">
        <v>317</v>
      </c>
    </row>
    <row r="10383" spans="1:50">
      <c r="A10383" s="1">
        <f>HYPERLINK("https://lsnyc.legalserver.org/matter/dynamic-profile/view/1897095","19-1897095")</f>
        <v>0</v>
      </c>
      <c r="B10383" t="s">
        <v>144</v>
      </c>
      <c r="C10383" t="s">
        <v>340</v>
      </c>
      <c r="D10383" t="s">
        <v>780</v>
      </c>
      <c r="F10383" t="s">
        <v>3852</v>
      </c>
      <c r="G10383" t="s">
        <v>5169</v>
      </c>
      <c r="H10383" t="s">
        <v>16660</v>
      </c>
      <c r="I10383" t="s">
        <v>17397</v>
      </c>
      <c r="J10383" t="s">
        <v>18893</v>
      </c>
      <c r="K10383">
        <v>10024</v>
      </c>
      <c r="L10383" t="s">
        <v>18958</v>
      </c>
      <c r="M10383" t="s">
        <v>18958</v>
      </c>
      <c r="O10383" t="s">
        <v>26523</v>
      </c>
      <c r="R10383" t="s">
        <v>26580</v>
      </c>
      <c r="S10383" t="s">
        <v>18959</v>
      </c>
      <c r="U10383" t="s">
        <v>26605</v>
      </c>
      <c r="X10383">
        <v>858</v>
      </c>
      <c r="Y10383" t="s">
        <v>26651</v>
      </c>
      <c r="AB10383" t="s">
        <v>33940</v>
      </c>
      <c r="AD10383" t="s">
        <v>44828</v>
      </c>
      <c r="AE10383">
        <v>0</v>
      </c>
      <c r="AH10383">
        <v>7</v>
      </c>
      <c r="AI10383">
        <v>1</v>
      </c>
      <c r="AJ10383">
        <v>1</v>
      </c>
      <c r="AK10383">
        <v>276.76</v>
      </c>
      <c r="AL10383" t="s">
        <v>801</v>
      </c>
      <c r="AM10383" t="s">
        <v>45575</v>
      </c>
      <c r="AN10383" t="s">
        <v>7439</v>
      </c>
      <c r="AO10383">
        <v>46800</v>
      </c>
      <c r="AU10383">
        <v>55.75</v>
      </c>
      <c r="AV10383" t="s">
        <v>821</v>
      </c>
      <c r="AW10383" t="s">
        <v>46890</v>
      </c>
    </row>
    <row r="10384" spans="1:50">
      <c r="A10384" s="1">
        <f>HYPERLINK("https://lsnyc.legalserver.org/matter/dynamic-profile/view/1896981","19-1896981")</f>
        <v>0</v>
      </c>
      <c r="B10384" t="s">
        <v>283</v>
      </c>
      <c r="C10384" t="s">
        <v>340</v>
      </c>
      <c r="D10384" t="s">
        <v>780</v>
      </c>
      <c r="F10384" t="s">
        <v>1072</v>
      </c>
      <c r="G10384" t="s">
        <v>9346</v>
      </c>
      <c r="H10384" t="s">
        <v>16661</v>
      </c>
      <c r="I10384" t="s">
        <v>17273</v>
      </c>
      <c r="J10384" t="s">
        <v>18894</v>
      </c>
      <c r="K10384">
        <v>11220</v>
      </c>
      <c r="L10384" t="s">
        <v>18958</v>
      </c>
      <c r="M10384" t="s">
        <v>18958</v>
      </c>
      <c r="N10384" t="s">
        <v>25997</v>
      </c>
      <c r="O10384" t="s">
        <v>26523</v>
      </c>
      <c r="P10384" t="s">
        <v>26563</v>
      </c>
      <c r="R10384" t="s">
        <v>26583</v>
      </c>
      <c r="U10384" t="s">
        <v>26604</v>
      </c>
      <c r="X10384">
        <v>0</v>
      </c>
      <c r="Y10384" t="s">
        <v>26652</v>
      </c>
      <c r="Z10384" t="s">
        <v>26664</v>
      </c>
      <c r="AB10384" t="s">
        <v>28946</v>
      </c>
      <c r="AD10384" t="s">
        <v>44829</v>
      </c>
      <c r="AE10384">
        <v>33</v>
      </c>
      <c r="AH10384">
        <v>0</v>
      </c>
      <c r="AI10384">
        <v>3</v>
      </c>
      <c r="AJ10384">
        <v>0</v>
      </c>
      <c r="AK10384">
        <v>302.54</v>
      </c>
      <c r="AN10384" t="s">
        <v>7439</v>
      </c>
      <c r="AO10384">
        <v>64532</v>
      </c>
      <c r="AU10384">
        <v>1.1</v>
      </c>
      <c r="AV10384" t="s">
        <v>811</v>
      </c>
      <c r="AW10384" t="s">
        <v>46862</v>
      </c>
    </row>
    <row r="10385" spans="1:50">
      <c r="A10385" s="1">
        <f>HYPERLINK("https://lsnyc.legalserver.org/matter/dynamic-profile/view/1897024","19-1897024")</f>
        <v>0</v>
      </c>
      <c r="B10385" t="s">
        <v>56</v>
      </c>
      <c r="C10385" t="s">
        <v>340</v>
      </c>
      <c r="D10385" t="s">
        <v>780</v>
      </c>
      <c r="F10385" t="s">
        <v>4804</v>
      </c>
      <c r="G10385" t="s">
        <v>8236</v>
      </c>
      <c r="H10385" t="s">
        <v>16662</v>
      </c>
      <c r="I10385" t="s">
        <v>18785</v>
      </c>
      <c r="J10385" t="s">
        <v>18892</v>
      </c>
      <c r="K10385">
        <v>10462</v>
      </c>
      <c r="L10385" t="s">
        <v>18958</v>
      </c>
      <c r="M10385" t="s">
        <v>18960</v>
      </c>
      <c r="N10385" t="s">
        <v>25998</v>
      </c>
      <c r="O10385" t="s">
        <v>26523</v>
      </c>
      <c r="P10385" t="s">
        <v>26560</v>
      </c>
      <c r="R10385" t="s">
        <v>26579</v>
      </c>
      <c r="U10385" t="s">
        <v>26604</v>
      </c>
      <c r="V10385" t="s">
        <v>26610</v>
      </c>
      <c r="X10385">
        <v>982</v>
      </c>
      <c r="Y10385" t="s">
        <v>26650</v>
      </c>
      <c r="Z10385" t="s">
        <v>26659</v>
      </c>
      <c r="AB10385" t="s">
        <v>33941</v>
      </c>
      <c r="AD10385" t="s">
        <v>44830</v>
      </c>
      <c r="AE10385">
        <v>0</v>
      </c>
      <c r="AF10385" t="s">
        <v>45541</v>
      </c>
      <c r="AH10385">
        <v>7</v>
      </c>
      <c r="AI10385">
        <v>4</v>
      </c>
      <c r="AJ10385">
        <v>0</v>
      </c>
      <c r="AK10385">
        <v>69.90000000000001</v>
      </c>
      <c r="AN10385" t="s">
        <v>8151</v>
      </c>
      <c r="AO10385">
        <v>18000</v>
      </c>
      <c r="AP10385" t="s">
        <v>46288</v>
      </c>
      <c r="AS10385" t="s">
        <v>46499</v>
      </c>
      <c r="AT10385" t="s">
        <v>46708</v>
      </c>
      <c r="AU10385">
        <v>4.25</v>
      </c>
      <c r="AV10385" t="s">
        <v>843</v>
      </c>
      <c r="AW10385" t="s">
        <v>46836</v>
      </c>
      <c r="AX10385" t="s">
        <v>46897</v>
      </c>
    </row>
    <row r="10386" spans="1:50">
      <c r="A10386" s="1">
        <f>HYPERLINK("https://lsnyc.legalserver.org/matter/dynamic-profile/view/1897674","19-1897674")</f>
        <v>0</v>
      </c>
      <c r="B10386" t="s">
        <v>120</v>
      </c>
      <c r="C10386" t="s">
        <v>340</v>
      </c>
      <c r="D10386" t="s">
        <v>780</v>
      </c>
      <c r="F10386" t="s">
        <v>1133</v>
      </c>
      <c r="G10386" t="s">
        <v>9347</v>
      </c>
      <c r="H10386" t="s">
        <v>16663</v>
      </c>
      <c r="I10386">
        <v>2</v>
      </c>
      <c r="J10386" t="s">
        <v>18892</v>
      </c>
      <c r="K10386">
        <v>10472</v>
      </c>
      <c r="L10386" t="s">
        <v>18958</v>
      </c>
      <c r="M10386" t="s">
        <v>18958</v>
      </c>
      <c r="N10386" t="s">
        <v>25999</v>
      </c>
      <c r="O10386" t="s">
        <v>26524</v>
      </c>
      <c r="R10386" t="s">
        <v>26577</v>
      </c>
      <c r="S10386" t="s">
        <v>18959</v>
      </c>
      <c r="U10386" t="s">
        <v>26604</v>
      </c>
      <c r="X10386">
        <v>0</v>
      </c>
      <c r="Y10386" t="s">
        <v>26650</v>
      </c>
      <c r="Z10386" t="s">
        <v>26668</v>
      </c>
      <c r="AB10386" t="s">
        <v>33942</v>
      </c>
      <c r="AD10386" t="s">
        <v>44831</v>
      </c>
      <c r="AE10386">
        <v>2</v>
      </c>
      <c r="AF10386" t="s">
        <v>20460</v>
      </c>
      <c r="AG10386" t="s">
        <v>45558</v>
      </c>
      <c r="AH10386">
        <v>2</v>
      </c>
      <c r="AI10386">
        <v>2</v>
      </c>
      <c r="AJ10386">
        <v>2</v>
      </c>
      <c r="AK10386">
        <v>77.67</v>
      </c>
      <c r="AN10386" t="s">
        <v>7439</v>
      </c>
      <c r="AO10386">
        <v>20000</v>
      </c>
      <c r="AU10386">
        <v>0</v>
      </c>
      <c r="AW10386" t="s">
        <v>46832</v>
      </c>
    </row>
    <row r="10387" spans="1:50">
      <c r="A10387" s="1">
        <f>HYPERLINK("https://lsnyc.legalserver.org/matter/dynamic-profile/view/1896969","19-1896969")</f>
        <v>0</v>
      </c>
      <c r="B10387" t="s">
        <v>104</v>
      </c>
      <c r="C10387" t="s">
        <v>340</v>
      </c>
      <c r="D10387" t="s">
        <v>780</v>
      </c>
      <c r="F10387" t="s">
        <v>1345</v>
      </c>
      <c r="G10387" t="s">
        <v>5087</v>
      </c>
      <c r="H10387" t="s">
        <v>16664</v>
      </c>
      <c r="I10387" t="s">
        <v>17283</v>
      </c>
      <c r="J10387" t="s">
        <v>18902</v>
      </c>
      <c r="K10387">
        <v>10303</v>
      </c>
      <c r="L10387" t="s">
        <v>18960</v>
      </c>
      <c r="M10387" t="s">
        <v>18960</v>
      </c>
      <c r="N10387" t="s">
        <v>26000</v>
      </c>
      <c r="O10387" t="s">
        <v>26523</v>
      </c>
      <c r="P10387" t="s">
        <v>26560</v>
      </c>
      <c r="R10387" t="s">
        <v>26587</v>
      </c>
      <c r="S10387" t="s">
        <v>18959</v>
      </c>
      <c r="U10387" t="s">
        <v>26605</v>
      </c>
      <c r="V10387" t="s">
        <v>26610</v>
      </c>
      <c r="X10387">
        <v>228.6</v>
      </c>
      <c r="Y10387" t="s">
        <v>26654</v>
      </c>
      <c r="Z10387" t="s">
        <v>26668</v>
      </c>
      <c r="AB10387" t="s">
        <v>29714</v>
      </c>
      <c r="AD10387" t="s">
        <v>44832</v>
      </c>
      <c r="AE10387">
        <v>0</v>
      </c>
      <c r="AF10387" t="s">
        <v>45543</v>
      </c>
      <c r="AG10387" t="s">
        <v>19330</v>
      </c>
      <c r="AH10387">
        <v>25</v>
      </c>
      <c r="AI10387">
        <v>3</v>
      </c>
      <c r="AJ10387">
        <v>0</v>
      </c>
      <c r="AK10387">
        <v>42.76</v>
      </c>
      <c r="AN10387" t="s">
        <v>45581</v>
      </c>
      <c r="AO10387">
        <v>9120</v>
      </c>
      <c r="AU10387">
        <v>8.25</v>
      </c>
      <c r="AV10387" t="s">
        <v>834</v>
      </c>
      <c r="AW10387" t="s">
        <v>46883</v>
      </c>
    </row>
    <row r="10388" spans="1:50">
      <c r="A10388" s="1">
        <f>HYPERLINK("https://lsnyc.legalserver.org/matter/dynamic-profile/view/1897059","19-1897059")</f>
        <v>0</v>
      </c>
      <c r="B10388" t="s">
        <v>279</v>
      </c>
      <c r="C10388" t="s">
        <v>340</v>
      </c>
      <c r="D10388" t="s">
        <v>780</v>
      </c>
      <c r="F10388" t="s">
        <v>1471</v>
      </c>
      <c r="G10388" t="s">
        <v>8375</v>
      </c>
      <c r="H10388" t="s">
        <v>16665</v>
      </c>
      <c r="I10388" t="s">
        <v>17277</v>
      </c>
      <c r="J10388" t="s">
        <v>18894</v>
      </c>
      <c r="K10388">
        <v>11233</v>
      </c>
      <c r="L10388" t="s">
        <v>18958</v>
      </c>
      <c r="M10388" t="s">
        <v>18958</v>
      </c>
      <c r="N10388" t="s">
        <v>22611</v>
      </c>
      <c r="O10388" t="s">
        <v>26523</v>
      </c>
      <c r="R10388" t="s">
        <v>26578</v>
      </c>
      <c r="S10388" t="s">
        <v>26598</v>
      </c>
      <c r="U10388" t="s">
        <v>26604</v>
      </c>
      <c r="V10388" t="s">
        <v>26610</v>
      </c>
      <c r="X10388">
        <v>1343.5</v>
      </c>
      <c r="Y10388" t="s">
        <v>26652</v>
      </c>
      <c r="Z10388" t="s">
        <v>26666</v>
      </c>
      <c r="AB10388" t="s">
        <v>33943</v>
      </c>
      <c r="AC10388" t="s">
        <v>36714</v>
      </c>
      <c r="AD10388" t="s">
        <v>44833</v>
      </c>
      <c r="AE10388">
        <v>13</v>
      </c>
      <c r="AF10388" t="s">
        <v>45541</v>
      </c>
      <c r="AG10388" t="s">
        <v>45556</v>
      </c>
      <c r="AH10388">
        <v>10</v>
      </c>
      <c r="AI10388">
        <v>1</v>
      </c>
      <c r="AJ10388">
        <v>2</v>
      </c>
      <c r="AK10388">
        <v>47.59</v>
      </c>
      <c r="AN10388" t="s">
        <v>7439</v>
      </c>
      <c r="AO10388">
        <v>10152</v>
      </c>
      <c r="AP10388" t="s">
        <v>46289</v>
      </c>
      <c r="AU10388">
        <v>0</v>
      </c>
      <c r="AW10388" t="s">
        <v>279</v>
      </c>
      <c r="AX10388" t="s">
        <v>46898</v>
      </c>
    </row>
    <row r="10389" spans="1:50">
      <c r="A10389" s="1">
        <f>HYPERLINK("https://lsnyc.legalserver.org/matter/dynamic-profile/view/1897018","19-1897018")</f>
        <v>0</v>
      </c>
      <c r="B10389" t="s">
        <v>125</v>
      </c>
      <c r="C10389" t="s">
        <v>340</v>
      </c>
      <c r="D10389" t="s">
        <v>780</v>
      </c>
      <c r="F10389" t="s">
        <v>4805</v>
      </c>
      <c r="G10389" t="s">
        <v>3138</v>
      </c>
      <c r="H10389" t="s">
        <v>12431</v>
      </c>
      <c r="I10389" t="s">
        <v>17370</v>
      </c>
      <c r="J10389" t="s">
        <v>18894</v>
      </c>
      <c r="K10389">
        <v>11217</v>
      </c>
      <c r="L10389" t="s">
        <v>18959</v>
      </c>
      <c r="M10389" t="s">
        <v>18959</v>
      </c>
      <c r="N10389" t="s">
        <v>18993</v>
      </c>
      <c r="O10389" t="s">
        <v>26529</v>
      </c>
      <c r="P10389" t="s">
        <v>26565</v>
      </c>
      <c r="R10389" t="s">
        <v>26578</v>
      </c>
      <c r="S10389" t="s">
        <v>18959</v>
      </c>
      <c r="U10389" t="s">
        <v>26604</v>
      </c>
      <c r="V10389" t="s">
        <v>26610</v>
      </c>
      <c r="X10389">
        <v>2019.37</v>
      </c>
      <c r="Y10389" t="s">
        <v>26652</v>
      </c>
      <c r="Z10389" t="s">
        <v>26671</v>
      </c>
      <c r="AB10389" t="s">
        <v>26953</v>
      </c>
      <c r="AD10389" t="s">
        <v>44834</v>
      </c>
      <c r="AE10389">
        <v>0</v>
      </c>
      <c r="AF10389" t="s">
        <v>45541</v>
      </c>
      <c r="AG10389" t="s">
        <v>45562</v>
      </c>
      <c r="AH10389">
        <v>2</v>
      </c>
      <c r="AI10389">
        <v>1</v>
      </c>
      <c r="AJ10389">
        <v>2</v>
      </c>
      <c r="AK10389">
        <v>39.38</v>
      </c>
      <c r="AN10389" t="s">
        <v>7439</v>
      </c>
      <c r="AO10389">
        <v>8400</v>
      </c>
      <c r="AU10389">
        <v>3.5</v>
      </c>
      <c r="AV10389" t="s">
        <v>804</v>
      </c>
      <c r="AW10389" t="s">
        <v>279</v>
      </c>
    </row>
    <row r="10390" spans="1:50">
      <c r="A10390" s="1">
        <f>HYPERLINK("https://lsnyc.legalserver.org/matter/dynamic-profile/view/1897184","19-1897184")</f>
        <v>0</v>
      </c>
      <c r="B10390" t="s">
        <v>74</v>
      </c>
      <c r="C10390" t="s">
        <v>341</v>
      </c>
      <c r="D10390" t="s">
        <v>760</v>
      </c>
      <c r="E10390" t="s">
        <v>808</v>
      </c>
      <c r="F10390" t="s">
        <v>1363</v>
      </c>
      <c r="G10390" t="s">
        <v>1246</v>
      </c>
      <c r="H10390" t="s">
        <v>16666</v>
      </c>
      <c r="I10390" t="s">
        <v>18786</v>
      </c>
      <c r="J10390" t="s">
        <v>18892</v>
      </c>
      <c r="K10390">
        <v>10472</v>
      </c>
      <c r="L10390" t="s">
        <v>18960</v>
      </c>
      <c r="M10390" t="s">
        <v>18960</v>
      </c>
      <c r="P10390" t="s">
        <v>26564</v>
      </c>
      <c r="Q10390" t="s">
        <v>26570</v>
      </c>
      <c r="R10390" t="s">
        <v>26591</v>
      </c>
      <c r="U10390" t="s">
        <v>26604</v>
      </c>
      <c r="X10390">
        <v>1400</v>
      </c>
      <c r="Y10390" t="s">
        <v>26651</v>
      </c>
      <c r="AA10390" t="s">
        <v>26683</v>
      </c>
      <c r="AB10390" t="s">
        <v>33944</v>
      </c>
      <c r="AD10390" t="s">
        <v>44835</v>
      </c>
      <c r="AE10390">
        <v>35</v>
      </c>
      <c r="AH10390">
        <v>4</v>
      </c>
      <c r="AI10390">
        <v>2</v>
      </c>
      <c r="AJ10390">
        <v>3</v>
      </c>
      <c r="AK10390">
        <v>116.01</v>
      </c>
      <c r="AN10390" t="s">
        <v>45581</v>
      </c>
      <c r="AO10390">
        <v>35000</v>
      </c>
      <c r="AU10390">
        <v>0.5</v>
      </c>
      <c r="AV10390" t="s">
        <v>760</v>
      </c>
      <c r="AW10390" t="s">
        <v>46850</v>
      </c>
    </row>
    <row r="10391" spans="1:50">
      <c r="A10391" s="1">
        <f>HYPERLINK("https://lsnyc.legalserver.org/matter/dynamic-profile/view/1897266","19-1897266")</f>
        <v>0</v>
      </c>
      <c r="B10391" t="s">
        <v>68</v>
      </c>
      <c r="C10391" t="s">
        <v>341</v>
      </c>
      <c r="D10391" t="s">
        <v>760</v>
      </c>
      <c r="E10391" t="s">
        <v>831</v>
      </c>
      <c r="F10391" t="s">
        <v>1090</v>
      </c>
      <c r="G10391" t="s">
        <v>7796</v>
      </c>
      <c r="H10391" t="s">
        <v>16667</v>
      </c>
      <c r="I10391">
        <v>535</v>
      </c>
      <c r="J10391" t="s">
        <v>18892</v>
      </c>
      <c r="K10391">
        <v>10451</v>
      </c>
      <c r="L10391" t="s">
        <v>18958</v>
      </c>
      <c r="M10391" t="s">
        <v>18958</v>
      </c>
      <c r="N10391" t="s">
        <v>26001</v>
      </c>
      <c r="O10391" t="s">
        <v>26523</v>
      </c>
      <c r="P10391" t="s">
        <v>26564</v>
      </c>
      <c r="Q10391" t="s">
        <v>26570</v>
      </c>
      <c r="R10391" t="s">
        <v>26577</v>
      </c>
      <c r="S10391" t="s">
        <v>18959</v>
      </c>
      <c r="U10391" t="s">
        <v>26604</v>
      </c>
      <c r="X10391">
        <v>1098</v>
      </c>
      <c r="Y10391" t="s">
        <v>26650</v>
      </c>
      <c r="Z10391" t="s">
        <v>26670</v>
      </c>
      <c r="AA10391" t="s">
        <v>26683</v>
      </c>
      <c r="AB10391" t="s">
        <v>33945</v>
      </c>
      <c r="AD10391" t="s">
        <v>44836</v>
      </c>
      <c r="AE10391">
        <v>0</v>
      </c>
      <c r="AF10391" t="s">
        <v>45543</v>
      </c>
      <c r="AH10391">
        <v>23</v>
      </c>
      <c r="AI10391">
        <v>1</v>
      </c>
      <c r="AJ10391">
        <v>0</v>
      </c>
      <c r="AK10391">
        <v>208.17</v>
      </c>
      <c r="AN10391" t="s">
        <v>7439</v>
      </c>
      <c r="AO10391">
        <v>26000</v>
      </c>
      <c r="AP10391" t="s">
        <v>46267</v>
      </c>
      <c r="AU10391">
        <v>1.2</v>
      </c>
      <c r="AV10391" t="s">
        <v>831</v>
      </c>
      <c r="AW10391" t="s">
        <v>46870</v>
      </c>
    </row>
    <row r="10392" spans="1:50">
      <c r="A10392" s="1">
        <f>HYPERLINK("https://lsnyc.legalserver.org/matter/dynamic-profile/view/1897140","19-1897140")</f>
        <v>0</v>
      </c>
      <c r="B10392" t="s">
        <v>151</v>
      </c>
      <c r="C10392" t="s">
        <v>340</v>
      </c>
      <c r="D10392" t="s">
        <v>760</v>
      </c>
      <c r="F10392" t="s">
        <v>4806</v>
      </c>
      <c r="G10392" t="s">
        <v>5608</v>
      </c>
      <c r="H10392" t="s">
        <v>16668</v>
      </c>
      <c r="I10392" t="s">
        <v>17316</v>
      </c>
      <c r="J10392" t="s">
        <v>18893</v>
      </c>
      <c r="K10392">
        <v>10027</v>
      </c>
      <c r="L10392" t="s">
        <v>18958</v>
      </c>
      <c r="M10392" t="s">
        <v>18958</v>
      </c>
      <c r="N10392" t="s">
        <v>26002</v>
      </c>
      <c r="O10392" t="s">
        <v>26523</v>
      </c>
      <c r="P10392" t="s">
        <v>26560</v>
      </c>
      <c r="R10392" t="s">
        <v>26580</v>
      </c>
      <c r="S10392" t="s">
        <v>18959</v>
      </c>
      <c r="U10392" t="s">
        <v>26604</v>
      </c>
      <c r="V10392" t="s">
        <v>26610</v>
      </c>
      <c r="X10392">
        <v>720</v>
      </c>
      <c r="Y10392" t="s">
        <v>26651</v>
      </c>
      <c r="Z10392" t="s">
        <v>26668</v>
      </c>
      <c r="AB10392" t="s">
        <v>33946</v>
      </c>
      <c r="AD10392" t="s">
        <v>44837</v>
      </c>
      <c r="AE10392">
        <v>0</v>
      </c>
      <c r="AF10392" t="s">
        <v>20460</v>
      </c>
      <c r="AG10392" t="s">
        <v>45559</v>
      </c>
      <c r="AH10392">
        <v>19</v>
      </c>
      <c r="AI10392">
        <v>1</v>
      </c>
      <c r="AJ10392">
        <v>0</v>
      </c>
      <c r="AK10392">
        <v>100.59</v>
      </c>
      <c r="AN10392" t="s">
        <v>7439</v>
      </c>
      <c r="AO10392">
        <v>12564</v>
      </c>
      <c r="AU10392">
        <v>8.4</v>
      </c>
      <c r="AV10392" t="s">
        <v>831</v>
      </c>
      <c r="AW10392" t="s">
        <v>314</v>
      </c>
    </row>
    <row r="10393" spans="1:50">
      <c r="A10393" s="1">
        <f>HYPERLINK("https://lsnyc.legalserver.org/matter/dynamic-profile/view/1897669","19-1897669")</f>
        <v>0</v>
      </c>
      <c r="B10393" t="s">
        <v>84</v>
      </c>
      <c r="C10393" t="s">
        <v>340</v>
      </c>
      <c r="D10393" t="s">
        <v>760</v>
      </c>
      <c r="F10393" t="s">
        <v>970</v>
      </c>
      <c r="G10393" t="s">
        <v>5008</v>
      </c>
      <c r="H10393" t="s">
        <v>16669</v>
      </c>
      <c r="I10393" t="s">
        <v>17273</v>
      </c>
      <c r="J10393" t="s">
        <v>18893</v>
      </c>
      <c r="K10393">
        <v>10003</v>
      </c>
      <c r="L10393" t="s">
        <v>18960</v>
      </c>
      <c r="M10393" t="s">
        <v>18960</v>
      </c>
      <c r="O10393" t="s">
        <v>26523</v>
      </c>
      <c r="R10393" t="s">
        <v>26582</v>
      </c>
      <c r="U10393" t="s">
        <v>26604</v>
      </c>
      <c r="X10393">
        <v>900</v>
      </c>
      <c r="Y10393" t="s">
        <v>26651</v>
      </c>
      <c r="AB10393" t="s">
        <v>27538</v>
      </c>
      <c r="AD10393" t="s">
        <v>44838</v>
      </c>
      <c r="AE10393">
        <v>0</v>
      </c>
      <c r="AH10393">
        <v>10</v>
      </c>
      <c r="AI10393">
        <v>1</v>
      </c>
      <c r="AJ10393">
        <v>0</v>
      </c>
      <c r="AK10393">
        <v>82.43000000000001</v>
      </c>
      <c r="AN10393" t="s">
        <v>7439</v>
      </c>
      <c r="AO10393">
        <v>10296</v>
      </c>
      <c r="AU10393">
        <v>0</v>
      </c>
      <c r="AW10393" t="s">
        <v>46838</v>
      </c>
    </row>
    <row r="10394" spans="1:50">
      <c r="A10394" s="1">
        <f>HYPERLINK("https://lsnyc.legalserver.org/matter/dynamic-profile/view/1897716","19-1897716")</f>
        <v>0</v>
      </c>
      <c r="B10394" t="s">
        <v>84</v>
      </c>
      <c r="C10394" t="s">
        <v>340</v>
      </c>
      <c r="D10394" t="s">
        <v>760</v>
      </c>
      <c r="F10394" t="s">
        <v>4807</v>
      </c>
      <c r="G10394" t="s">
        <v>8710</v>
      </c>
      <c r="H10394" t="s">
        <v>16670</v>
      </c>
      <c r="I10394" t="s">
        <v>17272</v>
      </c>
      <c r="J10394" t="s">
        <v>18893</v>
      </c>
      <c r="K10394">
        <v>10002</v>
      </c>
      <c r="L10394" t="s">
        <v>18960</v>
      </c>
      <c r="M10394" t="s">
        <v>18960</v>
      </c>
      <c r="R10394" t="s">
        <v>26582</v>
      </c>
      <c r="U10394" t="s">
        <v>26604</v>
      </c>
      <c r="X10394">
        <v>0</v>
      </c>
      <c r="Y10394" t="s">
        <v>26651</v>
      </c>
      <c r="AB10394" t="s">
        <v>33947</v>
      </c>
      <c r="AE10394">
        <v>0</v>
      </c>
      <c r="AH10394">
        <v>2</v>
      </c>
      <c r="AI10394">
        <v>2</v>
      </c>
      <c r="AJ10394">
        <v>2</v>
      </c>
      <c r="AK10394">
        <v>85.44</v>
      </c>
      <c r="AO10394">
        <v>22000</v>
      </c>
      <c r="AU10394">
        <v>2</v>
      </c>
      <c r="AV10394" t="s">
        <v>768</v>
      </c>
      <c r="AW10394" t="s">
        <v>46838</v>
      </c>
    </row>
    <row r="10395" spans="1:50">
      <c r="A10395" s="1">
        <f>HYPERLINK("https://lsnyc.legalserver.org/matter/dynamic-profile/view/1897703","19-1897703")</f>
        <v>0</v>
      </c>
      <c r="B10395" t="s">
        <v>84</v>
      </c>
      <c r="C10395" t="s">
        <v>340</v>
      </c>
      <c r="D10395" t="s">
        <v>760</v>
      </c>
      <c r="F10395" t="s">
        <v>4070</v>
      </c>
      <c r="G10395" t="s">
        <v>6594</v>
      </c>
      <c r="H10395" t="s">
        <v>16671</v>
      </c>
      <c r="I10395" t="s">
        <v>18787</v>
      </c>
      <c r="J10395" t="s">
        <v>18893</v>
      </c>
      <c r="K10395">
        <v>10002</v>
      </c>
      <c r="L10395" t="s">
        <v>18960</v>
      </c>
      <c r="M10395" t="s">
        <v>18960</v>
      </c>
      <c r="O10395" t="s">
        <v>18997</v>
      </c>
      <c r="R10395" t="s">
        <v>26582</v>
      </c>
      <c r="U10395" t="s">
        <v>26604</v>
      </c>
      <c r="X10395">
        <v>809</v>
      </c>
      <c r="Y10395" t="s">
        <v>26651</v>
      </c>
      <c r="AB10395" t="s">
        <v>33948</v>
      </c>
      <c r="AD10395" t="s">
        <v>44839</v>
      </c>
      <c r="AE10395">
        <v>0</v>
      </c>
      <c r="AH10395">
        <v>29</v>
      </c>
      <c r="AI10395">
        <v>1</v>
      </c>
      <c r="AJ10395">
        <v>0</v>
      </c>
      <c r="AK10395">
        <v>101.17</v>
      </c>
      <c r="AN10395" t="s">
        <v>7439</v>
      </c>
      <c r="AO10395">
        <v>12636</v>
      </c>
      <c r="AU10395">
        <v>0</v>
      </c>
      <c r="AW10395" t="s">
        <v>46838</v>
      </c>
    </row>
    <row r="10396" spans="1:50">
      <c r="A10396" s="1">
        <f>HYPERLINK("https://lsnyc.legalserver.org/matter/dynamic-profile/view/1897189","19-1897189")</f>
        <v>0</v>
      </c>
      <c r="B10396" t="s">
        <v>56</v>
      </c>
      <c r="C10396" t="s">
        <v>340</v>
      </c>
      <c r="D10396" t="s">
        <v>760</v>
      </c>
      <c r="F10396" t="s">
        <v>1136</v>
      </c>
      <c r="G10396" t="s">
        <v>8786</v>
      </c>
      <c r="H10396" t="s">
        <v>12706</v>
      </c>
      <c r="I10396" t="s">
        <v>17504</v>
      </c>
      <c r="J10396" t="s">
        <v>18892</v>
      </c>
      <c r="K10396">
        <v>10454</v>
      </c>
      <c r="L10396" t="s">
        <v>18958</v>
      </c>
      <c r="M10396" t="s">
        <v>18958</v>
      </c>
      <c r="N10396" t="s">
        <v>26003</v>
      </c>
      <c r="O10396" t="s">
        <v>26524</v>
      </c>
      <c r="P10396" t="s">
        <v>26564</v>
      </c>
      <c r="R10396" t="s">
        <v>26577</v>
      </c>
      <c r="S10396" t="s">
        <v>18959</v>
      </c>
      <c r="U10396" t="s">
        <v>26604</v>
      </c>
      <c r="X10396">
        <v>151</v>
      </c>
      <c r="Y10396" t="s">
        <v>26650</v>
      </c>
      <c r="Z10396" t="s">
        <v>26663</v>
      </c>
      <c r="AB10396" t="s">
        <v>33949</v>
      </c>
      <c r="AD10396" t="s">
        <v>44840</v>
      </c>
      <c r="AE10396">
        <v>0</v>
      </c>
      <c r="AF10396" t="s">
        <v>45549</v>
      </c>
      <c r="AH10396">
        <v>16</v>
      </c>
      <c r="AI10396">
        <v>1</v>
      </c>
      <c r="AJ10396">
        <v>1</v>
      </c>
      <c r="AK10396">
        <v>0</v>
      </c>
      <c r="AN10396" t="s">
        <v>7439</v>
      </c>
      <c r="AO10396">
        <v>0</v>
      </c>
      <c r="AP10396" t="s">
        <v>46044</v>
      </c>
      <c r="AU10396">
        <v>0.5</v>
      </c>
      <c r="AV10396" t="s">
        <v>760</v>
      </c>
      <c r="AW10396" t="s">
        <v>46870</v>
      </c>
      <c r="AX10396" t="s">
        <v>46897</v>
      </c>
    </row>
    <row r="10397" spans="1:50">
      <c r="A10397" s="1">
        <f>HYPERLINK("https://lsnyc.legalserver.org/matter/dynamic-profile/view/1895230","19-1895230")</f>
        <v>0</v>
      </c>
      <c r="B10397" t="s">
        <v>153</v>
      </c>
      <c r="C10397" t="s">
        <v>340</v>
      </c>
      <c r="D10397" t="s">
        <v>760</v>
      </c>
      <c r="F10397" t="s">
        <v>1116</v>
      </c>
      <c r="G10397" t="s">
        <v>7062</v>
      </c>
      <c r="H10397" t="s">
        <v>16672</v>
      </c>
      <c r="I10397" t="s">
        <v>17430</v>
      </c>
      <c r="J10397" t="s">
        <v>18956</v>
      </c>
      <c r="K10397">
        <v>10312</v>
      </c>
      <c r="L10397" t="s">
        <v>18958</v>
      </c>
      <c r="M10397" t="s">
        <v>18958</v>
      </c>
      <c r="N10397" t="s">
        <v>26004</v>
      </c>
      <c r="O10397" t="s">
        <v>26524</v>
      </c>
      <c r="P10397" t="s">
        <v>26560</v>
      </c>
      <c r="R10397" t="s">
        <v>26587</v>
      </c>
      <c r="S10397" t="s">
        <v>18959</v>
      </c>
      <c r="U10397" t="s">
        <v>26604</v>
      </c>
      <c r="V10397" t="s">
        <v>26610</v>
      </c>
      <c r="X10397">
        <v>1400</v>
      </c>
      <c r="Y10397" t="s">
        <v>26654</v>
      </c>
      <c r="Z10397" t="s">
        <v>26668</v>
      </c>
      <c r="AB10397" t="s">
        <v>33950</v>
      </c>
      <c r="AD10397" t="s">
        <v>44841</v>
      </c>
      <c r="AE10397">
        <v>2</v>
      </c>
      <c r="AF10397" t="s">
        <v>45547</v>
      </c>
      <c r="AG10397" t="s">
        <v>19330</v>
      </c>
      <c r="AH10397">
        <v>2</v>
      </c>
      <c r="AI10397">
        <v>2</v>
      </c>
      <c r="AJ10397">
        <v>0</v>
      </c>
      <c r="AK10397">
        <v>151.51</v>
      </c>
      <c r="AO10397">
        <v>25620</v>
      </c>
      <c r="AU10397">
        <v>6.8</v>
      </c>
      <c r="AV10397" t="s">
        <v>839</v>
      </c>
      <c r="AW10397" t="s">
        <v>46883</v>
      </c>
    </row>
    <row r="10398" spans="1:50">
      <c r="A10398" s="1">
        <f>HYPERLINK("https://lsnyc.legalserver.org/matter/dynamic-profile/view/1897254","19-1897254")</f>
        <v>0</v>
      </c>
      <c r="B10398" t="s">
        <v>284</v>
      </c>
      <c r="C10398" t="s">
        <v>340</v>
      </c>
      <c r="D10398" t="s">
        <v>760</v>
      </c>
      <c r="F10398" t="s">
        <v>1339</v>
      </c>
      <c r="G10398" t="s">
        <v>5173</v>
      </c>
      <c r="H10398" t="s">
        <v>16673</v>
      </c>
      <c r="I10398" t="s">
        <v>17378</v>
      </c>
      <c r="J10398" t="s">
        <v>18892</v>
      </c>
      <c r="K10398">
        <v>10454</v>
      </c>
      <c r="L10398" t="s">
        <v>18958</v>
      </c>
      <c r="M10398" t="s">
        <v>18959</v>
      </c>
      <c r="N10398" t="s">
        <v>26005</v>
      </c>
      <c r="P10398" t="s">
        <v>26564</v>
      </c>
      <c r="R10398" t="s">
        <v>26577</v>
      </c>
      <c r="U10398" t="s">
        <v>26604</v>
      </c>
      <c r="X10398">
        <v>236</v>
      </c>
      <c r="Y10398" t="s">
        <v>26650</v>
      </c>
      <c r="Z10398" t="s">
        <v>26668</v>
      </c>
      <c r="AB10398" t="s">
        <v>33316</v>
      </c>
      <c r="AD10398" t="s">
        <v>44842</v>
      </c>
      <c r="AE10398">
        <v>0</v>
      </c>
      <c r="AF10398" t="s">
        <v>45549</v>
      </c>
      <c r="AH10398">
        <v>6</v>
      </c>
      <c r="AI10398">
        <v>1</v>
      </c>
      <c r="AJ10398">
        <v>0</v>
      </c>
      <c r="AK10398">
        <v>0</v>
      </c>
      <c r="AN10398" t="s">
        <v>7439</v>
      </c>
      <c r="AO10398">
        <v>0</v>
      </c>
      <c r="AP10398" t="s">
        <v>46290</v>
      </c>
      <c r="AU10398">
        <v>0.7</v>
      </c>
      <c r="AV10398" t="s">
        <v>815</v>
      </c>
      <c r="AW10398" t="s">
        <v>46870</v>
      </c>
    </row>
    <row r="10399" spans="1:50">
      <c r="A10399" s="1">
        <f>HYPERLINK("https://lsnyc.legalserver.org/matter/dynamic-profile/view/1897263","19-1897263")</f>
        <v>0</v>
      </c>
      <c r="B10399" t="s">
        <v>64</v>
      </c>
      <c r="C10399" t="s">
        <v>340</v>
      </c>
      <c r="D10399" t="s">
        <v>760</v>
      </c>
      <c r="F10399" t="s">
        <v>4808</v>
      </c>
      <c r="G10399" t="s">
        <v>9348</v>
      </c>
      <c r="H10399" t="s">
        <v>16674</v>
      </c>
      <c r="I10399">
        <v>1</v>
      </c>
      <c r="J10399" t="s">
        <v>18892</v>
      </c>
      <c r="K10399">
        <v>10472</v>
      </c>
      <c r="L10399" t="s">
        <v>18958</v>
      </c>
      <c r="M10399" t="s">
        <v>18958</v>
      </c>
      <c r="O10399" t="s">
        <v>26523</v>
      </c>
      <c r="P10399" t="s">
        <v>26564</v>
      </c>
      <c r="R10399" t="s">
        <v>26577</v>
      </c>
      <c r="U10399" t="s">
        <v>26604</v>
      </c>
      <c r="X10399">
        <v>0</v>
      </c>
      <c r="Y10399" t="s">
        <v>26650</v>
      </c>
      <c r="AB10399" t="s">
        <v>33115</v>
      </c>
      <c r="AD10399" t="s">
        <v>44843</v>
      </c>
      <c r="AE10399">
        <v>0</v>
      </c>
      <c r="AF10399" t="s">
        <v>45547</v>
      </c>
      <c r="AH10399">
        <v>0</v>
      </c>
      <c r="AI10399">
        <v>2</v>
      </c>
      <c r="AJ10399">
        <v>3</v>
      </c>
      <c r="AK10399">
        <v>75.56999999999999</v>
      </c>
      <c r="AN10399" t="s">
        <v>7439</v>
      </c>
      <c r="AO10399">
        <v>22800</v>
      </c>
      <c r="AP10399" t="s">
        <v>46290</v>
      </c>
      <c r="AU10399">
        <v>1</v>
      </c>
      <c r="AV10399" t="s">
        <v>808</v>
      </c>
      <c r="AW10399" t="s">
        <v>46870</v>
      </c>
      <c r="AX10399" t="s">
        <v>46897</v>
      </c>
    </row>
    <row r="10400" spans="1:50">
      <c r="A10400" s="1">
        <f>HYPERLINK("https://lsnyc.legalserver.org/matter/dynamic-profile/view/1897172","19-1897172")</f>
        <v>0</v>
      </c>
      <c r="B10400" t="s">
        <v>200</v>
      </c>
      <c r="C10400" t="s">
        <v>340</v>
      </c>
      <c r="D10400" t="s">
        <v>760</v>
      </c>
      <c r="F10400" t="s">
        <v>1253</v>
      </c>
      <c r="G10400" t="s">
        <v>5566</v>
      </c>
      <c r="H10400" t="s">
        <v>16675</v>
      </c>
      <c r="I10400">
        <v>3</v>
      </c>
      <c r="J10400" t="s">
        <v>18894</v>
      </c>
      <c r="K10400">
        <v>11221</v>
      </c>
      <c r="L10400" t="s">
        <v>18960</v>
      </c>
      <c r="M10400" t="s">
        <v>18960</v>
      </c>
      <c r="R10400" t="s">
        <v>26591</v>
      </c>
      <c r="U10400" t="s">
        <v>26604</v>
      </c>
      <c r="X10400">
        <v>900</v>
      </c>
      <c r="Y10400" t="s">
        <v>26652</v>
      </c>
      <c r="Z10400" t="s">
        <v>26673</v>
      </c>
      <c r="AB10400" t="s">
        <v>33951</v>
      </c>
      <c r="AD10400" t="s">
        <v>44844</v>
      </c>
      <c r="AE10400">
        <v>6</v>
      </c>
      <c r="AG10400" t="s">
        <v>19330</v>
      </c>
      <c r="AH10400">
        <v>2</v>
      </c>
      <c r="AI10400">
        <v>1</v>
      </c>
      <c r="AJ10400">
        <v>0</v>
      </c>
      <c r="AK10400">
        <v>80.06</v>
      </c>
      <c r="AN10400" t="s">
        <v>7439</v>
      </c>
      <c r="AO10400">
        <v>10000</v>
      </c>
      <c r="AU10400">
        <v>1</v>
      </c>
      <c r="AV10400" t="s">
        <v>760</v>
      </c>
      <c r="AW10400" t="s">
        <v>46858</v>
      </c>
    </row>
    <row r="10401" spans="1:50">
      <c r="A10401" s="1">
        <f>HYPERLINK("https://lsnyc.legalserver.org/matter/dynamic-profile/view/1897260","19-1897260")</f>
        <v>0</v>
      </c>
      <c r="B10401" t="s">
        <v>50</v>
      </c>
      <c r="C10401" t="s">
        <v>340</v>
      </c>
      <c r="D10401" t="s">
        <v>760</v>
      </c>
      <c r="F10401" t="s">
        <v>4809</v>
      </c>
      <c r="G10401" t="s">
        <v>2749</v>
      </c>
      <c r="H10401" t="s">
        <v>16676</v>
      </c>
      <c r="I10401">
        <v>40</v>
      </c>
      <c r="J10401" t="s">
        <v>18892</v>
      </c>
      <c r="K10401">
        <v>10458</v>
      </c>
      <c r="L10401" t="s">
        <v>18958</v>
      </c>
      <c r="M10401" t="s">
        <v>18958</v>
      </c>
      <c r="N10401" t="s">
        <v>26006</v>
      </c>
      <c r="O10401" t="s">
        <v>26524</v>
      </c>
      <c r="P10401" t="s">
        <v>26564</v>
      </c>
      <c r="R10401" t="s">
        <v>26577</v>
      </c>
      <c r="U10401" t="s">
        <v>26604</v>
      </c>
      <c r="X10401">
        <v>0</v>
      </c>
      <c r="Y10401" t="s">
        <v>26650</v>
      </c>
      <c r="AB10401" t="s">
        <v>33952</v>
      </c>
      <c r="AD10401" t="s">
        <v>44845</v>
      </c>
      <c r="AE10401">
        <v>0</v>
      </c>
      <c r="AF10401" t="s">
        <v>45543</v>
      </c>
      <c r="AG10401" t="s">
        <v>26530</v>
      </c>
      <c r="AH10401">
        <v>15</v>
      </c>
      <c r="AI10401">
        <v>2</v>
      </c>
      <c r="AJ10401">
        <v>2</v>
      </c>
      <c r="AK10401">
        <v>35.34</v>
      </c>
      <c r="AN10401" t="s">
        <v>7439</v>
      </c>
      <c r="AO10401">
        <v>9100</v>
      </c>
      <c r="AP10401" t="s">
        <v>46290</v>
      </c>
      <c r="AU10401">
        <v>0.75</v>
      </c>
      <c r="AV10401" t="s">
        <v>811</v>
      </c>
      <c r="AW10401" t="s">
        <v>46870</v>
      </c>
      <c r="AX10401" t="s">
        <v>46897</v>
      </c>
    </row>
    <row r="10402" spans="1:50">
      <c r="A10402" s="1">
        <f>HYPERLINK("https://lsnyc.legalserver.org/matter/dynamic-profile/view/1898796","19-1898796")</f>
        <v>0</v>
      </c>
      <c r="B10402" t="s">
        <v>169</v>
      </c>
      <c r="C10402" t="s">
        <v>341</v>
      </c>
      <c r="D10402" t="s">
        <v>761</v>
      </c>
      <c r="E10402" t="s">
        <v>823</v>
      </c>
      <c r="F10402" t="s">
        <v>3693</v>
      </c>
      <c r="G10402" t="s">
        <v>5868</v>
      </c>
      <c r="H10402" t="s">
        <v>14298</v>
      </c>
      <c r="I10402" t="s">
        <v>17522</v>
      </c>
      <c r="J10402" t="s">
        <v>18892</v>
      </c>
      <c r="K10402">
        <v>10452</v>
      </c>
      <c r="L10402" t="s">
        <v>18959</v>
      </c>
      <c r="M10402" t="s">
        <v>18958</v>
      </c>
      <c r="O10402" t="s">
        <v>26534</v>
      </c>
      <c r="P10402" t="s">
        <v>26565</v>
      </c>
      <c r="Q10402" t="s">
        <v>26571</v>
      </c>
      <c r="R10402" t="s">
        <v>26578</v>
      </c>
      <c r="S10402" t="s">
        <v>18959</v>
      </c>
      <c r="U10402" t="s">
        <v>26604</v>
      </c>
      <c r="V10402" t="s">
        <v>26610</v>
      </c>
      <c r="X10402">
        <v>283</v>
      </c>
      <c r="Y10402" t="s">
        <v>26650</v>
      </c>
      <c r="Z10402" t="s">
        <v>26663</v>
      </c>
      <c r="AA10402" t="s">
        <v>26681</v>
      </c>
      <c r="AB10402" t="s">
        <v>31711</v>
      </c>
      <c r="AC10402" t="s">
        <v>36715</v>
      </c>
      <c r="AE10402">
        <v>0</v>
      </c>
      <c r="AF10402" t="s">
        <v>45541</v>
      </c>
      <c r="AG10402" t="s">
        <v>45556</v>
      </c>
      <c r="AH10402">
        <v>10</v>
      </c>
      <c r="AI10402">
        <v>2</v>
      </c>
      <c r="AJ10402">
        <v>0</v>
      </c>
      <c r="AK10402">
        <v>17.88</v>
      </c>
      <c r="AN10402" t="s">
        <v>7439</v>
      </c>
      <c r="AO10402">
        <v>3024</v>
      </c>
      <c r="AP10402" t="s">
        <v>46291</v>
      </c>
      <c r="AU10402">
        <v>1</v>
      </c>
      <c r="AV10402" t="s">
        <v>769</v>
      </c>
      <c r="AW10402" t="s">
        <v>169</v>
      </c>
    </row>
    <row r="10403" spans="1:50">
      <c r="A10403" s="1">
        <f>HYPERLINK("https://lsnyc.legalserver.org/matter/dynamic-profile/view/1900161","19-1900161")</f>
        <v>0</v>
      </c>
      <c r="B10403" t="s">
        <v>169</v>
      </c>
      <c r="C10403" t="s">
        <v>341</v>
      </c>
      <c r="D10403" t="s">
        <v>761</v>
      </c>
      <c r="E10403" t="s">
        <v>820</v>
      </c>
      <c r="F10403" t="s">
        <v>1847</v>
      </c>
      <c r="G10403" t="s">
        <v>9349</v>
      </c>
      <c r="H10403" t="s">
        <v>16677</v>
      </c>
      <c r="I10403" t="s">
        <v>17388</v>
      </c>
      <c r="J10403" t="s">
        <v>18892</v>
      </c>
      <c r="K10403">
        <v>10456</v>
      </c>
      <c r="L10403" t="s">
        <v>18959</v>
      </c>
      <c r="M10403" t="s">
        <v>18960</v>
      </c>
      <c r="O10403" t="s">
        <v>18997</v>
      </c>
      <c r="P10403" t="s">
        <v>26564</v>
      </c>
      <c r="Q10403" t="s">
        <v>26570</v>
      </c>
      <c r="R10403" t="s">
        <v>26578</v>
      </c>
      <c r="S10403" t="s">
        <v>18959</v>
      </c>
      <c r="U10403" t="s">
        <v>26604</v>
      </c>
      <c r="X10403">
        <v>0</v>
      </c>
      <c r="Y10403" t="s">
        <v>26650</v>
      </c>
      <c r="Z10403" t="s">
        <v>26663</v>
      </c>
      <c r="AA10403" t="s">
        <v>26683</v>
      </c>
      <c r="AB10403" t="s">
        <v>33953</v>
      </c>
      <c r="AE10403">
        <v>0</v>
      </c>
      <c r="AF10403" t="s">
        <v>45541</v>
      </c>
      <c r="AG10403" t="s">
        <v>19330</v>
      </c>
      <c r="AH10403">
        <v>8</v>
      </c>
      <c r="AI10403">
        <v>1</v>
      </c>
      <c r="AJ10403">
        <v>3</v>
      </c>
      <c r="AK10403">
        <v>76.89</v>
      </c>
      <c r="AN10403" t="s">
        <v>26530</v>
      </c>
      <c r="AO10403">
        <v>19800</v>
      </c>
      <c r="AP10403" t="s">
        <v>46292</v>
      </c>
      <c r="AU10403">
        <v>0.6</v>
      </c>
      <c r="AV10403" t="s">
        <v>820</v>
      </c>
      <c r="AW10403" t="s">
        <v>169</v>
      </c>
      <c r="AX10403" t="s">
        <v>46897</v>
      </c>
    </row>
    <row r="10404" spans="1:50">
      <c r="A10404" s="1">
        <f>HYPERLINK("https://lsnyc.legalserver.org/matter/dynamic-profile/view/1897293","19-1897293")</f>
        <v>0</v>
      </c>
      <c r="B10404" t="s">
        <v>74</v>
      </c>
      <c r="C10404" t="s">
        <v>341</v>
      </c>
      <c r="D10404" t="s">
        <v>761</v>
      </c>
      <c r="E10404" t="s">
        <v>808</v>
      </c>
      <c r="F10404" t="s">
        <v>1221</v>
      </c>
      <c r="G10404" t="s">
        <v>9350</v>
      </c>
      <c r="H10404" t="s">
        <v>16678</v>
      </c>
      <c r="I10404" t="s">
        <v>17553</v>
      </c>
      <c r="J10404" t="s">
        <v>18893</v>
      </c>
      <c r="K10404">
        <v>10029</v>
      </c>
      <c r="L10404" t="s">
        <v>18960</v>
      </c>
      <c r="M10404" t="s">
        <v>18960</v>
      </c>
      <c r="P10404" t="s">
        <v>26564</v>
      </c>
      <c r="Q10404" t="s">
        <v>26570</v>
      </c>
      <c r="R10404" t="s">
        <v>26591</v>
      </c>
      <c r="U10404" t="s">
        <v>26605</v>
      </c>
      <c r="X10404">
        <v>219</v>
      </c>
      <c r="Y10404" t="s">
        <v>26651</v>
      </c>
      <c r="AA10404" t="s">
        <v>26683</v>
      </c>
      <c r="AB10404" t="s">
        <v>31413</v>
      </c>
      <c r="AD10404" t="s">
        <v>44846</v>
      </c>
      <c r="AE10404">
        <v>120</v>
      </c>
      <c r="AH10404">
        <v>54</v>
      </c>
      <c r="AI10404">
        <v>1</v>
      </c>
      <c r="AJ10404">
        <v>0</v>
      </c>
      <c r="AK10404">
        <v>0</v>
      </c>
      <c r="AN10404" t="s">
        <v>7439</v>
      </c>
      <c r="AO10404">
        <v>0</v>
      </c>
      <c r="AU10404">
        <v>1</v>
      </c>
      <c r="AV10404" t="s">
        <v>761</v>
      </c>
      <c r="AW10404" t="s">
        <v>46857</v>
      </c>
    </row>
    <row r="10405" spans="1:50">
      <c r="A10405" s="1">
        <f>HYPERLINK("https://lsnyc.legalserver.org/matter/dynamic-profile/view/1897258","19-1897258")</f>
        <v>0</v>
      </c>
      <c r="B10405" t="s">
        <v>278</v>
      </c>
      <c r="C10405" t="s">
        <v>340</v>
      </c>
      <c r="D10405" t="s">
        <v>761</v>
      </c>
      <c r="F10405" t="s">
        <v>1253</v>
      </c>
      <c r="G10405" t="s">
        <v>9351</v>
      </c>
      <c r="H10405" t="s">
        <v>9955</v>
      </c>
      <c r="I10405" t="s">
        <v>18788</v>
      </c>
      <c r="J10405" t="s">
        <v>18902</v>
      </c>
      <c r="K10405">
        <v>10304</v>
      </c>
      <c r="L10405" t="s">
        <v>18958</v>
      </c>
      <c r="M10405" t="s">
        <v>18960</v>
      </c>
      <c r="N10405" t="s">
        <v>26007</v>
      </c>
      <c r="O10405" t="s">
        <v>26523</v>
      </c>
      <c r="R10405" t="s">
        <v>26578</v>
      </c>
      <c r="S10405" t="s">
        <v>18959</v>
      </c>
      <c r="U10405" t="s">
        <v>26604</v>
      </c>
      <c r="V10405" t="s">
        <v>26610</v>
      </c>
      <c r="X10405">
        <v>2900</v>
      </c>
      <c r="Y10405" t="s">
        <v>26654</v>
      </c>
      <c r="Z10405" t="s">
        <v>26657</v>
      </c>
      <c r="AB10405" t="s">
        <v>33954</v>
      </c>
      <c r="AD10405" t="s">
        <v>44847</v>
      </c>
      <c r="AE10405">
        <v>900</v>
      </c>
      <c r="AF10405" t="s">
        <v>45541</v>
      </c>
      <c r="AG10405" t="s">
        <v>19330</v>
      </c>
      <c r="AH10405">
        <v>-1</v>
      </c>
      <c r="AI10405">
        <v>2</v>
      </c>
      <c r="AJ10405">
        <v>0</v>
      </c>
      <c r="AK10405">
        <v>70.95999999999999</v>
      </c>
      <c r="AN10405" t="s">
        <v>7439</v>
      </c>
      <c r="AO10405">
        <v>12000</v>
      </c>
      <c r="AU10405">
        <v>8.1</v>
      </c>
      <c r="AV10405" t="s">
        <v>806</v>
      </c>
      <c r="AW10405" t="s">
        <v>46883</v>
      </c>
      <c r="AX10405" t="s">
        <v>46897</v>
      </c>
    </row>
    <row r="10406" spans="1:50">
      <c r="A10406" s="1">
        <f>HYPERLINK("https://lsnyc.legalserver.org/matter/dynamic-profile/view/1897304","19-1897304")</f>
        <v>0</v>
      </c>
      <c r="B10406" t="s">
        <v>97</v>
      </c>
      <c r="C10406" t="s">
        <v>340</v>
      </c>
      <c r="D10406" t="s">
        <v>761</v>
      </c>
      <c r="F10406" t="s">
        <v>4810</v>
      </c>
      <c r="G10406" t="s">
        <v>2749</v>
      </c>
      <c r="H10406" t="s">
        <v>16679</v>
      </c>
      <c r="I10406" t="s">
        <v>18789</v>
      </c>
      <c r="J10406" t="s">
        <v>18892</v>
      </c>
      <c r="K10406">
        <v>10458</v>
      </c>
      <c r="L10406" t="s">
        <v>18958</v>
      </c>
      <c r="M10406" t="s">
        <v>18958</v>
      </c>
      <c r="N10406" t="s">
        <v>26008</v>
      </c>
      <c r="O10406" t="s">
        <v>26524</v>
      </c>
      <c r="P10406" t="s">
        <v>26560</v>
      </c>
      <c r="R10406" t="s">
        <v>26577</v>
      </c>
      <c r="U10406" t="s">
        <v>26604</v>
      </c>
      <c r="V10406" t="s">
        <v>26610</v>
      </c>
      <c r="X10406">
        <v>1600</v>
      </c>
      <c r="Y10406" t="s">
        <v>26650</v>
      </c>
      <c r="Z10406" t="s">
        <v>26668</v>
      </c>
      <c r="AB10406" t="s">
        <v>33955</v>
      </c>
      <c r="AC10406" t="s">
        <v>36716</v>
      </c>
      <c r="AD10406" t="s">
        <v>44848</v>
      </c>
      <c r="AE10406">
        <v>21</v>
      </c>
      <c r="AF10406" t="s">
        <v>45541</v>
      </c>
      <c r="AH10406">
        <v>9</v>
      </c>
      <c r="AI10406">
        <v>2</v>
      </c>
      <c r="AJ10406">
        <v>1</v>
      </c>
      <c r="AK10406">
        <v>168.21</v>
      </c>
      <c r="AN10406" t="s">
        <v>45581</v>
      </c>
      <c r="AO10406">
        <v>35880</v>
      </c>
      <c r="AU10406">
        <v>11.05</v>
      </c>
      <c r="AV10406" t="s">
        <v>832</v>
      </c>
      <c r="AW10406" t="s">
        <v>334</v>
      </c>
    </row>
    <row r="10407" spans="1:50">
      <c r="A10407" s="1">
        <f>HYPERLINK("https://lsnyc.legalserver.org/matter/dynamic-profile/view/1897277","19-1897277")</f>
        <v>0</v>
      </c>
      <c r="B10407" t="s">
        <v>159</v>
      </c>
      <c r="C10407" t="s">
        <v>340</v>
      </c>
      <c r="D10407" t="s">
        <v>761</v>
      </c>
      <c r="F10407" t="s">
        <v>1008</v>
      </c>
      <c r="G10407" t="s">
        <v>6985</v>
      </c>
      <c r="H10407" t="s">
        <v>16680</v>
      </c>
      <c r="I10407" t="s">
        <v>17425</v>
      </c>
      <c r="J10407" t="s">
        <v>18901</v>
      </c>
      <c r="K10407">
        <v>11434</v>
      </c>
      <c r="L10407" t="s">
        <v>18958</v>
      </c>
      <c r="M10407" t="s">
        <v>18958</v>
      </c>
      <c r="N10407" t="s">
        <v>26009</v>
      </c>
      <c r="O10407" t="s">
        <v>26524</v>
      </c>
      <c r="P10407" t="s">
        <v>26560</v>
      </c>
      <c r="R10407" t="s">
        <v>26585</v>
      </c>
      <c r="S10407" t="s">
        <v>18959</v>
      </c>
      <c r="U10407" t="s">
        <v>26604</v>
      </c>
      <c r="V10407" t="s">
        <v>26610</v>
      </c>
      <c r="X10407">
        <v>1268</v>
      </c>
      <c r="Y10407" t="s">
        <v>26653</v>
      </c>
      <c r="Z10407" t="s">
        <v>26668</v>
      </c>
      <c r="AB10407" t="s">
        <v>30733</v>
      </c>
      <c r="AD10407" t="s">
        <v>44849</v>
      </c>
      <c r="AE10407">
        <v>85</v>
      </c>
      <c r="AF10407" t="s">
        <v>45541</v>
      </c>
      <c r="AG10407" t="s">
        <v>45557</v>
      </c>
      <c r="AH10407">
        <v>1</v>
      </c>
      <c r="AI10407">
        <v>1</v>
      </c>
      <c r="AJ10407">
        <v>1</v>
      </c>
      <c r="AK10407">
        <v>0</v>
      </c>
      <c r="AN10407" t="s">
        <v>7439</v>
      </c>
      <c r="AO10407">
        <v>0</v>
      </c>
      <c r="AU10407">
        <v>16.9</v>
      </c>
      <c r="AV10407" t="s">
        <v>806</v>
      </c>
      <c r="AW10407" t="s">
        <v>159</v>
      </c>
    </row>
    <row r="10408" spans="1:50">
      <c r="A10408" s="1">
        <f>HYPERLINK("https://lsnyc.legalserver.org/matter/dynamic-profile/view/1897303","19-1897303")</f>
        <v>0</v>
      </c>
      <c r="B10408" t="s">
        <v>200</v>
      </c>
      <c r="C10408" t="s">
        <v>340</v>
      </c>
      <c r="D10408" t="s">
        <v>761</v>
      </c>
      <c r="F10408" t="s">
        <v>4811</v>
      </c>
      <c r="G10408" t="s">
        <v>3718</v>
      </c>
      <c r="H10408" t="s">
        <v>16681</v>
      </c>
      <c r="I10408" t="s">
        <v>17316</v>
      </c>
      <c r="J10408" t="s">
        <v>18894</v>
      </c>
      <c r="K10408">
        <v>11207</v>
      </c>
      <c r="L10408" t="s">
        <v>18960</v>
      </c>
      <c r="M10408" t="s">
        <v>18960</v>
      </c>
      <c r="N10408" t="s">
        <v>26010</v>
      </c>
      <c r="O10408" t="s">
        <v>26524</v>
      </c>
      <c r="R10408" t="s">
        <v>26578</v>
      </c>
      <c r="S10408" t="s">
        <v>18959</v>
      </c>
      <c r="U10408" t="s">
        <v>26604</v>
      </c>
      <c r="X10408">
        <v>1445</v>
      </c>
      <c r="Y10408" t="s">
        <v>26652</v>
      </c>
      <c r="Z10408" t="s">
        <v>26659</v>
      </c>
      <c r="AA10408" t="s">
        <v>26683</v>
      </c>
      <c r="AB10408" t="s">
        <v>32593</v>
      </c>
      <c r="AD10408" t="s">
        <v>44850</v>
      </c>
      <c r="AE10408">
        <v>12</v>
      </c>
      <c r="AF10408" t="s">
        <v>45541</v>
      </c>
      <c r="AG10408" t="s">
        <v>19330</v>
      </c>
      <c r="AH10408">
        <v>12</v>
      </c>
      <c r="AI10408">
        <v>1</v>
      </c>
      <c r="AJ10408">
        <v>4</v>
      </c>
      <c r="AK10408">
        <v>86.18000000000001</v>
      </c>
      <c r="AN10408" t="s">
        <v>7439</v>
      </c>
      <c r="AO10408">
        <v>26000</v>
      </c>
      <c r="AU10408">
        <v>0.7</v>
      </c>
      <c r="AV10408" t="s">
        <v>821</v>
      </c>
      <c r="AW10408" t="s">
        <v>46841</v>
      </c>
    </row>
    <row r="10409" spans="1:50">
      <c r="A10409" s="1">
        <f>HYPERLINK("https://lsnyc.legalserver.org/matter/dynamic-profile/view/1894125","19-1894125")</f>
        <v>0</v>
      </c>
      <c r="B10409" t="s">
        <v>104</v>
      </c>
      <c r="C10409" t="s">
        <v>340</v>
      </c>
      <c r="D10409" t="s">
        <v>761</v>
      </c>
      <c r="F10409" t="s">
        <v>4812</v>
      </c>
      <c r="G10409" t="s">
        <v>6151</v>
      </c>
      <c r="H10409" t="s">
        <v>11928</v>
      </c>
      <c r="I10409">
        <v>522</v>
      </c>
      <c r="J10409" t="s">
        <v>18902</v>
      </c>
      <c r="K10409">
        <v>10304</v>
      </c>
      <c r="L10409" t="s">
        <v>18960</v>
      </c>
      <c r="M10409" t="s">
        <v>18960</v>
      </c>
      <c r="N10409" t="s">
        <v>26011</v>
      </c>
      <c r="R10409" t="s">
        <v>26578</v>
      </c>
      <c r="S10409" t="s">
        <v>18959</v>
      </c>
      <c r="U10409" t="s">
        <v>26604</v>
      </c>
      <c r="V10409" t="s">
        <v>26610</v>
      </c>
      <c r="X10409">
        <v>1200</v>
      </c>
      <c r="Y10409" t="s">
        <v>26654</v>
      </c>
      <c r="Z10409" t="s">
        <v>26668</v>
      </c>
      <c r="AB10409" t="s">
        <v>33443</v>
      </c>
      <c r="AD10409" t="s">
        <v>44851</v>
      </c>
      <c r="AE10409">
        <v>0</v>
      </c>
      <c r="AH10409">
        <v>1</v>
      </c>
      <c r="AI10409">
        <v>1</v>
      </c>
      <c r="AJ10409">
        <v>1</v>
      </c>
      <c r="AK10409">
        <v>1.48</v>
      </c>
      <c r="AN10409" t="s">
        <v>7439</v>
      </c>
      <c r="AO10409">
        <v>250</v>
      </c>
      <c r="AU10409">
        <v>9.699999999999999</v>
      </c>
      <c r="AV10409" t="s">
        <v>834</v>
      </c>
      <c r="AW10409" t="s">
        <v>46883</v>
      </c>
    </row>
    <row r="10410" spans="1:50">
      <c r="A10410" s="1">
        <f>HYPERLINK("https://lsnyc.legalserver.org/matter/dynamic-profile/view/1896178","19-1896178")</f>
        <v>0</v>
      </c>
      <c r="B10410" t="s">
        <v>104</v>
      </c>
      <c r="C10410" t="s">
        <v>340</v>
      </c>
      <c r="D10410" t="s">
        <v>761</v>
      </c>
      <c r="F10410" t="s">
        <v>3468</v>
      </c>
      <c r="G10410" t="s">
        <v>9352</v>
      </c>
      <c r="H10410" t="s">
        <v>12035</v>
      </c>
      <c r="I10410" t="s">
        <v>17538</v>
      </c>
      <c r="J10410" t="s">
        <v>18902</v>
      </c>
      <c r="K10410">
        <v>10304</v>
      </c>
      <c r="L10410" t="s">
        <v>18958</v>
      </c>
      <c r="M10410" t="s">
        <v>18960</v>
      </c>
      <c r="N10410" t="s">
        <v>26012</v>
      </c>
      <c r="O10410" t="s">
        <v>26524</v>
      </c>
      <c r="P10410" t="s">
        <v>26560</v>
      </c>
      <c r="R10410" t="s">
        <v>26578</v>
      </c>
      <c r="S10410" t="s">
        <v>18959</v>
      </c>
      <c r="U10410" t="s">
        <v>26604</v>
      </c>
      <c r="V10410" t="s">
        <v>26610</v>
      </c>
      <c r="X10410">
        <v>225</v>
      </c>
      <c r="Y10410" t="s">
        <v>26654</v>
      </c>
      <c r="Z10410" t="s">
        <v>26660</v>
      </c>
      <c r="AB10410" t="s">
        <v>33956</v>
      </c>
      <c r="AD10410" t="s">
        <v>44852</v>
      </c>
      <c r="AE10410">
        <v>132</v>
      </c>
      <c r="AF10410" t="s">
        <v>45543</v>
      </c>
      <c r="AG10410" t="s">
        <v>19330</v>
      </c>
      <c r="AH10410">
        <v>0</v>
      </c>
      <c r="AI10410">
        <v>1</v>
      </c>
      <c r="AJ10410">
        <v>1</v>
      </c>
      <c r="AK10410">
        <v>138.38</v>
      </c>
      <c r="AN10410" t="s">
        <v>7439</v>
      </c>
      <c r="AO10410">
        <v>23400</v>
      </c>
      <c r="AU10410">
        <v>28.3</v>
      </c>
      <c r="AV10410" t="s">
        <v>839</v>
      </c>
      <c r="AW10410" t="s">
        <v>46883</v>
      </c>
    </row>
    <row r="10411" spans="1:50">
      <c r="A10411" s="1">
        <f>HYPERLINK("https://lsnyc.legalserver.org/matter/dynamic-profile/view/1897367","19-1897367")</f>
        <v>0</v>
      </c>
      <c r="B10411" t="s">
        <v>269</v>
      </c>
      <c r="C10411" t="s">
        <v>340</v>
      </c>
      <c r="D10411" t="s">
        <v>761</v>
      </c>
      <c r="F10411" t="s">
        <v>871</v>
      </c>
      <c r="G10411" t="s">
        <v>7812</v>
      </c>
      <c r="H10411" t="s">
        <v>13866</v>
      </c>
      <c r="I10411" t="s">
        <v>17304</v>
      </c>
      <c r="J10411" t="s">
        <v>18892</v>
      </c>
      <c r="K10411">
        <v>10451</v>
      </c>
      <c r="L10411" t="s">
        <v>18958</v>
      </c>
      <c r="M10411" t="s">
        <v>18958</v>
      </c>
      <c r="O10411" t="s">
        <v>26537</v>
      </c>
      <c r="P10411" t="s">
        <v>26564</v>
      </c>
      <c r="R10411" t="s">
        <v>26578</v>
      </c>
      <c r="S10411" t="s">
        <v>18959</v>
      </c>
      <c r="U10411" t="s">
        <v>26606</v>
      </c>
      <c r="X10411">
        <v>891.87</v>
      </c>
      <c r="Y10411" t="s">
        <v>26650</v>
      </c>
      <c r="Z10411" t="s">
        <v>26659</v>
      </c>
      <c r="AB10411" t="s">
        <v>31308</v>
      </c>
      <c r="AD10411" t="s">
        <v>41502</v>
      </c>
      <c r="AE10411">
        <v>84</v>
      </c>
      <c r="AF10411" t="s">
        <v>45541</v>
      </c>
      <c r="AG10411" t="s">
        <v>45558</v>
      </c>
      <c r="AH10411">
        <v>25</v>
      </c>
      <c r="AI10411">
        <v>1</v>
      </c>
      <c r="AJ10411">
        <v>2</v>
      </c>
      <c r="AK10411">
        <v>0</v>
      </c>
      <c r="AN10411" t="s">
        <v>45581</v>
      </c>
      <c r="AO10411">
        <v>0</v>
      </c>
      <c r="AP10411" t="s">
        <v>46293</v>
      </c>
      <c r="AU10411">
        <v>0.8</v>
      </c>
      <c r="AV10411" t="s">
        <v>839</v>
      </c>
      <c r="AW10411" t="s">
        <v>46847</v>
      </c>
      <c r="AX10411" t="s">
        <v>46897</v>
      </c>
    </row>
    <row r="10412" spans="1:50">
      <c r="A10412" s="1">
        <f>HYPERLINK("https://lsnyc.legalserver.org/matter/dynamic-profile/view/1897373","19-1897373")</f>
        <v>0</v>
      </c>
      <c r="B10412" t="s">
        <v>269</v>
      </c>
      <c r="C10412" t="s">
        <v>340</v>
      </c>
      <c r="D10412" t="s">
        <v>761</v>
      </c>
      <c r="F10412" t="s">
        <v>871</v>
      </c>
      <c r="G10412" t="s">
        <v>7812</v>
      </c>
      <c r="H10412" t="s">
        <v>13866</v>
      </c>
      <c r="I10412" t="s">
        <v>17304</v>
      </c>
      <c r="J10412" t="s">
        <v>18892</v>
      </c>
      <c r="K10412">
        <v>10451</v>
      </c>
      <c r="L10412" t="s">
        <v>18958</v>
      </c>
      <c r="M10412" t="s">
        <v>18958</v>
      </c>
      <c r="O10412" t="s">
        <v>26526</v>
      </c>
      <c r="P10412" t="s">
        <v>26564</v>
      </c>
      <c r="R10412" t="s">
        <v>26577</v>
      </c>
      <c r="S10412" t="s">
        <v>18959</v>
      </c>
      <c r="U10412" t="s">
        <v>26604</v>
      </c>
      <c r="X10412">
        <v>891.87</v>
      </c>
      <c r="Y10412" t="s">
        <v>26650</v>
      </c>
      <c r="Z10412" t="s">
        <v>26659</v>
      </c>
      <c r="AB10412" t="s">
        <v>31308</v>
      </c>
      <c r="AD10412" t="s">
        <v>41502</v>
      </c>
      <c r="AE10412">
        <v>84</v>
      </c>
      <c r="AF10412" t="s">
        <v>45541</v>
      </c>
      <c r="AG10412" t="s">
        <v>45558</v>
      </c>
      <c r="AH10412">
        <v>25</v>
      </c>
      <c r="AI10412">
        <v>1</v>
      </c>
      <c r="AJ10412">
        <v>2</v>
      </c>
      <c r="AK10412">
        <v>19.58</v>
      </c>
      <c r="AN10412" t="s">
        <v>45581</v>
      </c>
      <c r="AO10412">
        <v>4176</v>
      </c>
      <c r="AP10412" t="s">
        <v>46046</v>
      </c>
      <c r="AU10412">
        <v>0</v>
      </c>
      <c r="AW10412" t="s">
        <v>46847</v>
      </c>
      <c r="AX10412" t="s">
        <v>46897</v>
      </c>
    </row>
    <row r="10413" spans="1:50">
      <c r="A10413" s="1">
        <f>HYPERLINK("https://lsnyc.legalserver.org/matter/dynamic-profile/view/1897381","19-1897381")</f>
        <v>0</v>
      </c>
      <c r="B10413" t="s">
        <v>193</v>
      </c>
      <c r="C10413" t="s">
        <v>340</v>
      </c>
      <c r="D10413" t="s">
        <v>761</v>
      </c>
      <c r="F10413" t="s">
        <v>4813</v>
      </c>
      <c r="G10413" t="s">
        <v>5258</v>
      </c>
      <c r="H10413" t="s">
        <v>12762</v>
      </c>
      <c r="I10413" t="s">
        <v>17358</v>
      </c>
      <c r="J10413" t="s">
        <v>18894</v>
      </c>
      <c r="K10413">
        <v>11225</v>
      </c>
      <c r="L10413" t="s">
        <v>18960</v>
      </c>
      <c r="M10413" t="s">
        <v>18960</v>
      </c>
      <c r="N10413" t="s">
        <v>26013</v>
      </c>
      <c r="O10413" t="s">
        <v>26523</v>
      </c>
      <c r="P10413" t="s">
        <v>26560</v>
      </c>
      <c r="R10413" t="s">
        <v>26588</v>
      </c>
      <c r="S10413" t="s">
        <v>18959</v>
      </c>
      <c r="U10413" t="s">
        <v>26604</v>
      </c>
      <c r="X10413">
        <v>1069</v>
      </c>
      <c r="Y10413" t="s">
        <v>26652</v>
      </c>
      <c r="Z10413" t="s">
        <v>26669</v>
      </c>
      <c r="AB10413" t="s">
        <v>33957</v>
      </c>
      <c r="AD10413" t="s">
        <v>44853</v>
      </c>
      <c r="AE10413">
        <v>0</v>
      </c>
      <c r="AH10413">
        <v>5</v>
      </c>
      <c r="AI10413">
        <v>1</v>
      </c>
      <c r="AJ10413">
        <v>2</v>
      </c>
      <c r="AK10413">
        <v>68.5</v>
      </c>
      <c r="AN10413" t="s">
        <v>7439</v>
      </c>
      <c r="AO10413">
        <v>14612</v>
      </c>
      <c r="AU10413">
        <v>13.3</v>
      </c>
      <c r="AV10413" t="s">
        <v>825</v>
      </c>
      <c r="AW10413" t="s">
        <v>281</v>
      </c>
    </row>
    <row r="10414" spans="1:50">
      <c r="A10414" s="1">
        <f>HYPERLINK("https://lsnyc.legalserver.org/matter/dynamic-profile/view/1897511","19-1897511")</f>
        <v>0</v>
      </c>
      <c r="B10414" t="s">
        <v>191</v>
      </c>
      <c r="C10414" t="s">
        <v>341</v>
      </c>
      <c r="D10414" t="s">
        <v>762</v>
      </c>
      <c r="E10414" t="s">
        <v>762</v>
      </c>
      <c r="F10414" t="s">
        <v>879</v>
      </c>
      <c r="G10414" t="s">
        <v>9353</v>
      </c>
      <c r="H10414" t="s">
        <v>16682</v>
      </c>
      <c r="I10414">
        <v>30</v>
      </c>
      <c r="J10414" t="s">
        <v>18893</v>
      </c>
      <c r="K10414">
        <v>10039</v>
      </c>
      <c r="L10414" t="s">
        <v>18958</v>
      </c>
      <c r="M10414" t="s">
        <v>18958</v>
      </c>
      <c r="N10414" t="s">
        <v>26014</v>
      </c>
      <c r="O10414" t="s">
        <v>26523</v>
      </c>
      <c r="P10414" t="s">
        <v>26563</v>
      </c>
      <c r="Q10414" t="s">
        <v>26571</v>
      </c>
      <c r="R10414" t="s">
        <v>26582</v>
      </c>
      <c r="S10414" t="s">
        <v>18959</v>
      </c>
      <c r="U10414" t="s">
        <v>26604</v>
      </c>
      <c r="X10414">
        <v>1495</v>
      </c>
      <c r="Y10414" t="s">
        <v>26651</v>
      </c>
      <c r="Z10414" t="s">
        <v>26664</v>
      </c>
      <c r="AA10414" t="s">
        <v>26683</v>
      </c>
      <c r="AB10414" t="s">
        <v>33958</v>
      </c>
      <c r="AD10414" t="s">
        <v>44854</v>
      </c>
      <c r="AE10414">
        <v>0</v>
      </c>
      <c r="AF10414" t="s">
        <v>45541</v>
      </c>
      <c r="AG10414" t="s">
        <v>45561</v>
      </c>
      <c r="AH10414">
        <v>7</v>
      </c>
      <c r="AI10414">
        <v>1</v>
      </c>
      <c r="AJ10414">
        <v>0</v>
      </c>
      <c r="AK10414">
        <v>19.02</v>
      </c>
      <c r="AN10414" t="s">
        <v>7439</v>
      </c>
      <c r="AO10414">
        <v>2376</v>
      </c>
      <c r="AU10414">
        <v>0.1</v>
      </c>
      <c r="AV10414" t="s">
        <v>762</v>
      </c>
      <c r="AW10414" t="s">
        <v>314</v>
      </c>
    </row>
    <row r="10415" spans="1:50">
      <c r="A10415" s="1">
        <f>HYPERLINK("https://lsnyc.legalserver.org/matter/dynamic-profile/view/1897497","19-1897497")</f>
        <v>0</v>
      </c>
      <c r="B10415" t="s">
        <v>279</v>
      </c>
      <c r="C10415" t="s">
        <v>341</v>
      </c>
      <c r="D10415" t="s">
        <v>762</v>
      </c>
      <c r="E10415" t="s">
        <v>766</v>
      </c>
      <c r="F10415" t="s">
        <v>4814</v>
      </c>
      <c r="G10415" t="s">
        <v>6718</v>
      </c>
      <c r="H10415" t="s">
        <v>14411</v>
      </c>
      <c r="I10415" t="s">
        <v>17358</v>
      </c>
      <c r="J10415" t="s">
        <v>18894</v>
      </c>
      <c r="K10415">
        <v>11208</v>
      </c>
      <c r="L10415" t="s">
        <v>18960</v>
      </c>
      <c r="M10415" t="s">
        <v>18960</v>
      </c>
      <c r="Q10415" t="s">
        <v>26570</v>
      </c>
      <c r="R10415" t="s">
        <v>26591</v>
      </c>
      <c r="U10415" t="s">
        <v>26604</v>
      </c>
      <c r="X10415">
        <v>1057</v>
      </c>
      <c r="Y10415" t="s">
        <v>26652</v>
      </c>
      <c r="Z10415" t="s">
        <v>26661</v>
      </c>
      <c r="AA10415" t="s">
        <v>26683</v>
      </c>
      <c r="AB10415" t="s">
        <v>33959</v>
      </c>
      <c r="AD10415" t="s">
        <v>44855</v>
      </c>
      <c r="AE10415">
        <v>270</v>
      </c>
      <c r="AG10415" t="s">
        <v>45556</v>
      </c>
      <c r="AH10415">
        <v>6</v>
      </c>
      <c r="AI10415">
        <v>1</v>
      </c>
      <c r="AJ10415">
        <v>2</v>
      </c>
      <c r="AK10415">
        <v>28.69</v>
      </c>
      <c r="AN10415" t="s">
        <v>7439</v>
      </c>
      <c r="AO10415">
        <v>6120</v>
      </c>
      <c r="AU10415">
        <v>1.25</v>
      </c>
      <c r="AV10415" t="s">
        <v>764</v>
      </c>
      <c r="AW10415" t="s">
        <v>46858</v>
      </c>
    </row>
    <row r="10416" spans="1:50">
      <c r="A10416" s="1">
        <f>HYPERLINK("https://lsnyc.legalserver.org/matter/dynamic-profile/view/1897420","19-1897420")</f>
        <v>0</v>
      </c>
      <c r="B10416" t="s">
        <v>242</v>
      </c>
      <c r="C10416" t="s">
        <v>340</v>
      </c>
      <c r="D10416" t="s">
        <v>762</v>
      </c>
      <c r="F10416" t="s">
        <v>1457</v>
      </c>
      <c r="G10416" t="s">
        <v>5882</v>
      </c>
      <c r="H10416" t="s">
        <v>12763</v>
      </c>
      <c r="I10416" t="s">
        <v>18197</v>
      </c>
      <c r="J10416" t="s">
        <v>18894</v>
      </c>
      <c r="K10416">
        <v>11217</v>
      </c>
      <c r="L10416" t="s">
        <v>18959</v>
      </c>
      <c r="M10416" t="s">
        <v>18959</v>
      </c>
      <c r="N10416" t="s">
        <v>26015</v>
      </c>
      <c r="O10416" t="s">
        <v>26524</v>
      </c>
      <c r="P10416" t="s">
        <v>26563</v>
      </c>
      <c r="R10416" t="s">
        <v>26586</v>
      </c>
      <c r="U10416" t="s">
        <v>26605</v>
      </c>
      <c r="X10416">
        <v>422</v>
      </c>
      <c r="Y10416" t="s">
        <v>26652</v>
      </c>
      <c r="Z10416" t="s">
        <v>26670</v>
      </c>
      <c r="AB10416" t="s">
        <v>31601</v>
      </c>
      <c r="AE10416">
        <v>78</v>
      </c>
      <c r="AH10416">
        <v>5</v>
      </c>
      <c r="AI10416">
        <v>3</v>
      </c>
      <c r="AJ10416">
        <v>0</v>
      </c>
      <c r="AK10416">
        <v>10.24</v>
      </c>
      <c r="AN10416" t="s">
        <v>7439</v>
      </c>
      <c r="AO10416">
        <v>2184</v>
      </c>
      <c r="AU10416">
        <v>3.4</v>
      </c>
      <c r="AV10416" t="s">
        <v>729</v>
      </c>
      <c r="AW10416" t="s">
        <v>46853</v>
      </c>
    </row>
    <row r="10417" spans="1:50">
      <c r="A10417" s="1">
        <f>HYPERLINK("https://lsnyc.legalserver.org/matter/dynamic-profile/view/1897650","19-1897650")</f>
        <v>0</v>
      </c>
      <c r="B10417" t="s">
        <v>84</v>
      </c>
      <c r="C10417" t="s">
        <v>340</v>
      </c>
      <c r="D10417" t="s">
        <v>762</v>
      </c>
      <c r="F10417" t="s">
        <v>887</v>
      </c>
      <c r="G10417" t="s">
        <v>9354</v>
      </c>
      <c r="H10417" t="s">
        <v>16683</v>
      </c>
      <c r="I10417" t="s">
        <v>17352</v>
      </c>
      <c r="J10417" t="s">
        <v>18893</v>
      </c>
      <c r="K10417">
        <v>10009</v>
      </c>
      <c r="L10417" t="s">
        <v>18960</v>
      </c>
      <c r="M10417" t="s">
        <v>18960</v>
      </c>
      <c r="O10417" t="s">
        <v>18997</v>
      </c>
      <c r="R10417" t="s">
        <v>26582</v>
      </c>
      <c r="U10417" t="s">
        <v>26605</v>
      </c>
      <c r="X10417">
        <v>0</v>
      </c>
      <c r="Y10417" t="s">
        <v>26651</v>
      </c>
      <c r="AB10417" t="s">
        <v>33498</v>
      </c>
      <c r="AD10417" t="s">
        <v>44856</v>
      </c>
      <c r="AE10417">
        <v>0</v>
      </c>
      <c r="AH10417">
        <v>17</v>
      </c>
      <c r="AI10417">
        <v>3</v>
      </c>
      <c r="AJ10417">
        <v>1</v>
      </c>
      <c r="AK10417">
        <v>71.86</v>
      </c>
      <c r="AN10417" t="s">
        <v>45581</v>
      </c>
      <c r="AO10417">
        <v>18504</v>
      </c>
      <c r="AU10417">
        <v>0</v>
      </c>
      <c r="AW10417" t="s">
        <v>46838</v>
      </c>
    </row>
    <row r="10418" spans="1:50">
      <c r="A10418" s="1">
        <f>HYPERLINK("https://lsnyc.legalserver.org/matter/dynamic-profile/view/1897426","19-1897426")</f>
        <v>0</v>
      </c>
      <c r="B10418" t="s">
        <v>227</v>
      </c>
      <c r="C10418" t="s">
        <v>340</v>
      </c>
      <c r="D10418" t="s">
        <v>762</v>
      </c>
      <c r="F10418" t="s">
        <v>4815</v>
      </c>
      <c r="G10418" t="s">
        <v>5300</v>
      </c>
      <c r="H10418" t="s">
        <v>16684</v>
      </c>
      <c r="I10418">
        <v>2</v>
      </c>
      <c r="J10418" t="s">
        <v>18894</v>
      </c>
      <c r="K10418">
        <v>11221</v>
      </c>
      <c r="L10418" t="s">
        <v>18960</v>
      </c>
      <c r="M10418" t="s">
        <v>18960</v>
      </c>
      <c r="N10418" t="s">
        <v>26016</v>
      </c>
      <c r="O10418" t="s">
        <v>26524</v>
      </c>
      <c r="P10418" t="s">
        <v>26560</v>
      </c>
      <c r="R10418" t="s">
        <v>26588</v>
      </c>
      <c r="S10418" t="s">
        <v>18959</v>
      </c>
      <c r="U10418" t="s">
        <v>26604</v>
      </c>
      <c r="X10418">
        <v>0</v>
      </c>
      <c r="Y10418" t="s">
        <v>26652</v>
      </c>
      <c r="AB10418" t="s">
        <v>28225</v>
      </c>
      <c r="AD10418" t="s">
        <v>44857</v>
      </c>
      <c r="AE10418">
        <v>0</v>
      </c>
      <c r="AH10418">
        <v>0</v>
      </c>
      <c r="AI10418">
        <v>1</v>
      </c>
      <c r="AJ10418">
        <v>3</v>
      </c>
      <c r="AK10418">
        <v>0</v>
      </c>
      <c r="AN10418" t="s">
        <v>7439</v>
      </c>
      <c r="AO10418">
        <v>0</v>
      </c>
      <c r="AU10418">
        <v>5</v>
      </c>
      <c r="AV10418" t="s">
        <v>821</v>
      </c>
      <c r="AW10418" t="s">
        <v>281</v>
      </c>
    </row>
    <row r="10419" spans="1:50">
      <c r="A10419" s="1">
        <f>HYPERLINK("https://lsnyc.legalserver.org/matter/dynamic-profile/view/1897509","19-1897509")</f>
        <v>0</v>
      </c>
      <c r="B10419" t="s">
        <v>115</v>
      </c>
      <c r="C10419" t="s">
        <v>340</v>
      </c>
      <c r="D10419" t="s">
        <v>762</v>
      </c>
      <c r="F10419" t="s">
        <v>2915</v>
      </c>
      <c r="G10419" t="s">
        <v>3718</v>
      </c>
      <c r="H10419" t="s">
        <v>16685</v>
      </c>
      <c r="I10419" t="s">
        <v>18612</v>
      </c>
      <c r="J10419" t="s">
        <v>18892</v>
      </c>
      <c r="K10419">
        <v>10452</v>
      </c>
      <c r="L10419" t="s">
        <v>18958</v>
      </c>
      <c r="M10419" t="s">
        <v>18959</v>
      </c>
      <c r="P10419" t="s">
        <v>26565</v>
      </c>
      <c r="R10419" t="s">
        <v>26578</v>
      </c>
      <c r="S10419" t="s">
        <v>18959</v>
      </c>
      <c r="U10419" t="s">
        <v>26604</v>
      </c>
      <c r="X10419">
        <v>1800</v>
      </c>
      <c r="Y10419" t="s">
        <v>26650</v>
      </c>
      <c r="Z10419" t="s">
        <v>26661</v>
      </c>
      <c r="AD10419" t="s">
        <v>44858</v>
      </c>
      <c r="AE10419">
        <v>0</v>
      </c>
      <c r="AH10419">
        <v>6</v>
      </c>
      <c r="AI10419">
        <v>2</v>
      </c>
      <c r="AJ10419">
        <v>0</v>
      </c>
      <c r="AK10419">
        <v>61.5</v>
      </c>
      <c r="AN10419" t="s">
        <v>7439</v>
      </c>
      <c r="AO10419">
        <v>10400</v>
      </c>
      <c r="AP10419" t="s">
        <v>46294</v>
      </c>
      <c r="AU10419">
        <v>1.5</v>
      </c>
      <c r="AV10419" t="s">
        <v>762</v>
      </c>
      <c r="AW10419" t="s">
        <v>115</v>
      </c>
    </row>
    <row r="10420" spans="1:50">
      <c r="A10420" s="1">
        <f>HYPERLINK("https://lsnyc.legalserver.org/matter/dynamic-profile/view/1897503","19-1897503")</f>
        <v>0</v>
      </c>
      <c r="B10420" t="s">
        <v>91</v>
      </c>
      <c r="C10420" t="s">
        <v>340</v>
      </c>
      <c r="D10420" t="s">
        <v>762</v>
      </c>
      <c r="F10420" t="s">
        <v>1328</v>
      </c>
      <c r="G10420" t="s">
        <v>8269</v>
      </c>
      <c r="H10420" t="s">
        <v>12800</v>
      </c>
      <c r="I10420" t="s">
        <v>17395</v>
      </c>
      <c r="J10420" t="s">
        <v>7026</v>
      </c>
      <c r="K10420">
        <v>11368</v>
      </c>
      <c r="L10420" t="s">
        <v>18958</v>
      </c>
      <c r="M10420" t="s">
        <v>18958</v>
      </c>
      <c r="N10420" t="s">
        <v>26017</v>
      </c>
      <c r="O10420" t="s">
        <v>26534</v>
      </c>
      <c r="P10420" t="s">
        <v>26561</v>
      </c>
      <c r="R10420" t="s">
        <v>26578</v>
      </c>
      <c r="S10420" t="s">
        <v>18958</v>
      </c>
      <c r="U10420" t="s">
        <v>26604</v>
      </c>
      <c r="V10420" t="s">
        <v>26610</v>
      </c>
      <c r="X10420">
        <v>1290</v>
      </c>
      <c r="Y10420" t="s">
        <v>26653</v>
      </c>
      <c r="Z10420" t="s">
        <v>26530</v>
      </c>
      <c r="AB10420" t="s">
        <v>33960</v>
      </c>
      <c r="AD10420" t="s">
        <v>44859</v>
      </c>
      <c r="AE10420">
        <v>70</v>
      </c>
      <c r="AF10420" t="s">
        <v>45541</v>
      </c>
      <c r="AG10420" t="s">
        <v>19330</v>
      </c>
      <c r="AH10420">
        <v>45</v>
      </c>
      <c r="AI10420">
        <v>1</v>
      </c>
      <c r="AJ10420">
        <v>0</v>
      </c>
      <c r="AK10420">
        <v>168.13</v>
      </c>
      <c r="AN10420" t="s">
        <v>7439</v>
      </c>
      <c r="AO10420">
        <v>21000</v>
      </c>
      <c r="AU10420">
        <v>0.5</v>
      </c>
      <c r="AV10420" t="s">
        <v>772</v>
      </c>
      <c r="AW10420" t="s">
        <v>91</v>
      </c>
      <c r="AX10420" t="s">
        <v>46897</v>
      </c>
    </row>
    <row r="10421" spans="1:50">
      <c r="A10421" s="1">
        <f>HYPERLINK("https://lsnyc.legalserver.org/matter/dynamic-profile/view/1897510","19-1897510")</f>
        <v>0</v>
      </c>
      <c r="B10421" t="s">
        <v>91</v>
      </c>
      <c r="C10421" t="s">
        <v>340</v>
      </c>
      <c r="D10421" t="s">
        <v>762</v>
      </c>
      <c r="F10421" t="s">
        <v>938</v>
      </c>
      <c r="G10421" t="s">
        <v>9153</v>
      </c>
      <c r="H10421" t="s">
        <v>9744</v>
      </c>
      <c r="I10421" t="s">
        <v>17332</v>
      </c>
      <c r="J10421" t="s">
        <v>7026</v>
      </c>
      <c r="K10421">
        <v>11368</v>
      </c>
      <c r="L10421" t="s">
        <v>18958</v>
      </c>
      <c r="M10421" t="s">
        <v>18958</v>
      </c>
      <c r="N10421" t="s">
        <v>26018</v>
      </c>
      <c r="O10421" t="s">
        <v>26534</v>
      </c>
      <c r="P10421" t="s">
        <v>26561</v>
      </c>
      <c r="R10421" t="s">
        <v>26578</v>
      </c>
      <c r="S10421" t="s">
        <v>18958</v>
      </c>
      <c r="U10421" t="s">
        <v>26604</v>
      </c>
      <c r="V10421" t="s">
        <v>26610</v>
      </c>
      <c r="X10421">
        <v>1586</v>
      </c>
      <c r="Y10421" t="s">
        <v>26653</v>
      </c>
      <c r="Z10421" t="s">
        <v>26530</v>
      </c>
      <c r="AB10421" t="s">
        <v>33961</v>
      </c>
      <c r="AD10421" t="s">
        <v>44860</v>
      </c>
      <c r="AE10421">
        <v>50</v>
      </c>
      <c r="AF10421" t="s">
        <v>45541</v>
      </c>
      <c r="AH10421">
        <v>19</v>
      </c>
      <c r="AI10421">
        <v>1</v>
      </c>
      <c r="AJ10421">
        <v>0</v>
      </c>
      <c r="AK10421">
        <v>520.42</v>
      </c>
      <c r="AN10421" t="s">
        <v>7439</v>
      </c>
      <c r="AO10421">
        <v>65000</v>
      </c>
      <c r="AU10421">
        <v>0</v>
      </c>
      <c r="AW10421" t="s">
        <v>91</v>
      </c>
      <c r="AX10421" t="s">
        <v>46897</v>
      </c>
    </row>
    <row r="10422" spans="1:50">
      <c r="A10422" s="1">
        <f>HYPERLINK("https://lsnyc.legalserver.org/matter/dynamic-profile/view/1897470","19-1897470")</f>
        <v>0</v>
      </c>
      <c r="B10422" t="s">
        <v>87</v>
      </c>
      <c r="C10422" t="s">
        <v>340</v>
      </c>
      <c r="D10422" t="s">
        <v>762</v>
      </c>
      <c r="F10422" t="s">
        <v>886</v>
      </c>
      <c r="G10422" t="s">
        <v>7923</v>
      </c>
      <c r="H10422" t="s">
        <v>9662</v>
      </c>
      <c r="I10422">
        <v>512</v>
      </c>
      <c r="J10422" t="s">
        <v>18892</v>
      </c>
      <c r="K10422">
        <v>10457</v>
      </c>
      <c r="L10422" t="s">
        <v>18958</v>
      </c>
      <c r="M10422" t="s">
        <v>18959</v>
      </c>
      <c r="N10422" t="s">
        <v>26019</v>
      </c>
      <c r="O10422" t="s">
        <v>26523</v>
      </c>
      <c r="P10422" t="s">
        <v>26560</v>
      </c>
      <c r="R10422" t="s">
        <v>26579</v>
      </c>
      <c r="S10422" t="s">
        <v>18959</v>
      </c>
      <c r="U10422" t="s">
        <v>26604</v>
      </c>
      <c r="X10422">
        <v>1200</v>
      </c>
      <c r="Y10422" t="s">
        <v>26650</v>
      </c>
      <c r="Z10422" t="s">
        <v>26664</v>
      </c>
      <c r="AB10422" t="s">
        <v>33962</v>
      </c>
      <c r="AD10422" t="s">
        <v>44861</v>
      </c>
      <c r="AE10422">
        <v>0</v>
      </c>
      <c r="AF10422" t="s">
        <v>45551</v>
      </c>
      <c r="AG10422" t="s">
        <v>45556</v>
      </c>
      <c r="AH10422">
        <v>10</v>
      </c>
      <c r="AI10422">
        <v>1</v>
      </c>
      <c r="AJ10422">
        <v>0</v>
      </c>
      <c r="AK10422">
        <v>37.09</v>
      </c>
      <c r="AN10422" t="s">
        <v>7439</v>
      </c>
      <c r="AO10422">
        <v>4632</v>
      </c>
      <c r="AP10422" t="s">
        <v>46295</v>
      </c>
      <c r="AU10422">
        <v>3.75</v>
      </c>
      <c r="AV10422" t="s">
        <v>835</v>
      </c>
      <c r="AW10422" t="s">
        <v>46870</v>
      </c>
      <c r="AX10422" t="s">
        <v>46897</v>
      </c>
    </row>
    <row r="10423" spans="1:50">
      <c r="A10423" s="1">
        <f>HYPERLINK("https://lsnyc.legalserver.org/matter/dynamic-profile/view/1897464","19-1897464")</f>
        <v>0</v>
      </c>
      <c r="B10423" t="s">
        <v>87</v>
      </c>
      <c r="C10423" t="s">
        <v>340</v>
      </c>
      <c r="D10423" t="s">
        <v>762</v>
      </c>
      <c r="F10423" t="s">
        <v>1219</v>
      </c>
      <c r="G10423" t="s">
        <v>1938</v>
      </c>
      <c r="H10423" t="s">
        <v>10841</v>
      </c>
      <c r="I10423" t="s">
        <v>18145</v>
      </c>
      <c r="J10423" t="s">
        <v>18892</v>
      </c>
      <c r="K10423">
        <v>10467</v>
      </c>
      <c r="L10423" t="s">
        <v>18958</v>
      </c>
      <c r="M10423" t="s">
        <v>18959</v>
      </c>
      <c r="N10423" t="s">
        <v>26020</v>
      </c>
      <c r="O10423" t="s">
        <v>26523</v>
      </c>
      <c r="P10423" t="s">
        <v>26560</v>
      </c>
      <c r="R10423" t="s">
        <v>26579</v>
      </c>
      <c r="S10423" t="s">
        <v>18959</v>
      </c>
      <c r="U10423" t="s">
        <v>26604</v>
      </c>
      <c r="V10423" t="s">
        <v>26610</v>
      </c>
      <c r="X10423">
        <v>1328.18</v>
      </c>
      <c r="Y10423" t="s">
        <v>26650</v>
      </c>
      <c r="Z10423" t="s">
        <v>26668</v>
      </c>
      <c r="AB10423" t="s">
        <v>27998</v>
      </c>
      <c r="AC10423" t="s">
        <v>36717</v>
      </c>
      <c r="AD10423" t="s">
        <v>38048</v>
      </c>
      <c r="AE10423">
        <v>62</v>
      </c>
      <c r="AF10423" t="s">
        <v>45543</v>
      </c>
      <c r="AG10423" t="s">
        <v>45556</v>
      </c>
      <c r="AH10423">
        <v>9</v>
      </c>
      <c r="AI10423">
        <v>1</v>
      </c>
      <c r="AJ10423">
        <v>0</v>
      </c>
      <c r="AK10423">
        <v>70.62</v>
      </c>
      <c r="AN10423" t="s">
        <v>45581</v>
      </c>
      <c r="AO10423">
        <v>8820</v>
      </c>
      <c r="AP10423" t="s">
        <v>46296</v>
      </c>
      <c r="AU10423">
        <v>7</v>
      </c>
      <c r="AV10423" t="s">
        <v>839</v>
      </c>
      <c r="AW10423" t="s">
        <v>46870</v>
      </c>
      <c r="AX10423" t="s">
        <v>46898</v>
      </c>
    </row>
    <row r="10424" spans="1:50">
      <c r="A10424" s="1">
        <f>HYPERLINK("https://lsnyc.legalserver.org/matter/dynamic-profile/view/1897488","19-1897488")</f>
        <v>0</v>
      </c>
      <c r="B10424" t="s">
        <v>194</v>
      </c>
      <c r="C10424" t="s">
        <v>340</v>
      </c>
      <c r="D10424" t="s">
        <v>762</v>
      </c>
      <c r="F10424" t="s">
        <v>1106</v>
      </c>
      <c r="G10424" t="s">
        <v>5241</v>
      </c>
      <c r="H10424" t="s">
        <v>16686</v>
      </c>
      <c r="I10424" t="s">
        <v>18790</v>
      </c>
      <c r="J10424" t="s">
        <v>18893</v>
      </c>
      <c r="K10424">
        <v>10011</v>
      </c>
      <c r="L10424" t="s">
        <v>18958</v>
      </c>
      <c r="M10424" t="s">
        <v>18958</v>
      </c>
      <c r="N10424" t="s">
        <v>26021</v>
      </c>
      <c r="O10424" t="s">
        <v>26523</v>
      </c>
      <c r="P10424" t="s">
        <v>26564</v>
      </c>
      <c r="R10424" t="s">
        <v>26582</v>
      </c>
      <c r="S10424" t="s">
        <v>18959</v>
      </c>
      <c r="U10424" t="s">
        <v>26604</v>
      </c>
      <c r="X10424">
        <v>1100</v>
      </c>
      <c r="Y10424" t="s">
        <v>26651</v>
      </c>
      <c r="Z10424" t="s">
        <v>26664</v>
      </c>
      <c r="AB10424" t="s">
        <v>33963</v>
      </c>
      <c r="AC10424" t="s">
        <v>36718</v>
      </c>
      <c r="AD10424" t="s">
        <v>44862</v>
      </c>
      <c r="AE10424">
        <v>159</v>
      </c>
      <c r="AF10424" t="s">
        <v>20460</v>
      </c>
      <c r="AG10424" t="s">
        <v>19330</v>
      </c>
      <c r="AH10424">
        <v>15</v>
      </c>
      <c r="AI10424">
        <v>1</v>
      </c>
      <c r="AJ10424">
        <v>0</v>
      </c>
      <c r="AK10424">
        <v>0</v>
      </c>
      <c r="AN10424" t="s">
        <v>7439</v>
      </c>
      <c r="AO10424">
        <v>0</v>
      </c>
      <c r="AU10424">
        <v>0</v>
      </c>
      <c r="AW10424" t="s">
        <v>46875</v>
      </c>
    </row>
    <row r="10425" spans="1:50">
      <c r="A10425" s="1">
        <f>HYPERLINK("https://lsnyc.legalserver.org/matter/dynamic-profile/view/1897499","19-1897499")</f>
        <v>0</v>
      </c>
      <c r="B10425" t="s">
        <v>194</v>
      </c>
      <c r="C10425" t="s">
        <v>340</v>
      </c>
      <c r="D10425" t="s">
        <v>762</v>
      </c>
      <c r="F10425" t="s">
        <v>4816</v>
      </c>
      <c r="G10425" t="s">
        <v>5121</v>
      </c>
      <c r="H10425" t="s">
        <v>16687</v>
      </c>
      <c r="I10425" t="s">
        <v>18791</v>
      </c>
      <c r="J10425" t="s">
        <v>18893</v>
      </c>
      <c r="K10425">
        <v>10029</v>
      </c>
      <c r="L10425" t="s">
        <v>18958</v>
      </c>
      <c r="M10425" t="s">
        <v>18958</v>
      </c>
      <c r="N10425" t="s">
        <v>26022</v>
      </c>
      <c r="O10425" t="s">
        <v>26523</v>
      </c>
      <c r="P10425" t="s">
        <v>26560</v>
      </c>
      <c r="R10425" t="s">
        <v>26582</v>
      </c>
      <c r="S10425" t="s">
        <v>18959</v>
      </c>
      <c r="U10425" t="s">
        <v>26604</v>
      </c>
      <c r="X10425">
        <v>429</v>
      </c>
      <c r="Y10425" t="s">
        <v>26651</v>
      </c>
      <c r="Z10425" t="s">
        <v>26664</v>
      </c>
      <c r="AB10425" t="s">
        <v>33964</v>
      </c>
      <c r="AC10425" t="s">
        <v>36719</v>
      </c>
      <c r="AD10425" t="s">
        <v>44863</v>
      </c>
      <c r="AE10425">
        <v>0</v>
      </c>
      <c r="AF10425" t="s">
        <v>45543</v>
      </c>
      <c r="AG10425" t="s">
        <v>19330</v>
      </c>
      <c r="AH10425">
        <v>20</v>
      </c>
      <c r="AI10425">
        <v>2</v>
      </c>
      <c r="AJ10425">
        <v>0</v>
      </c>
      <c r="AK10425">
        <v>73.8</v>
      </c>
      <c r="AN10425" t="s">
        <v>7439</v>
      </c>
      <c r="AO10425">
        <v>12480</v>
      </c>
      <c r="AU10425">
        <v>1</v>
      </c>
      <c r="AV10425" t="s">
        <v>762</v>
      </c>
      <c r="AW10425" t="s">
        <v>314</v>
      </c>
    </row>
    <row r="10426" spans="1:50">
      <c r="A10426" s="1">
        <f>HYPERLINK("https://lsnyc.legalserver.org/matter/dynamic-profile/view/1897671","19-1897671")</f>
        <v>0</v>
      </c>
      <c r="B10426" t="s">
        <v>332</v>
      </c>
      <c r="C10426" t="s">
        <v>341</v>
      </c>
      <c r="D10426" t="s">
        <v>763</v>
      </c>
      <c r="E10426" t="s">
        <v>834</v>
      </c>
      <c r="F10426" t="s">
        <v>4817</v>
      </c>
      <c r="G10426" t="s">
        <v>9355</v>
      </c>
      <c r="H10426" t="s">
        <v>16688</v>
      </c>
      <c r="I10426" t="s">
        <v>17276</v>
      </c>
      <c r="J10426" t="s">
        <v>18893</v>
      </c>
      <c r="K10426">
        <v>10026</v>
      </c>
      <c r="L10426" t="s">
        <v>18960</v>
      </c>
      <c r="M10426" t="s">
        <v>18960</v>
      </c>
      <c r="O10426" t="s">
        <v>18997</v>
      </c>
      <c r="P10426" t="s">
        <v>26564</v>
      </c>
      <c r="Q10426" t="s">
        <v>26571</v>
      </c>
      <c r="R10426" t="s">
        <v>26591</v>
      </c>
      <c r="S10426" t="s">
        <v>18959</v>
      </c>
      <c r="U10426" t="s">
        <v>26604</v>
      </c>
      <c r="X10426">
        <v>700.34</v>
      </c>
      <c r="Y10426" t="s">
        <v>26651</v>
      </c>
      <c r="Z10426" t="s">
        <v>26530</v>
      </c>
      <c r="AA10426" t="s">
        <v>26683</v>
      </c>
      <c r="AB10426" t="s">
        <v>33965</v>
      </c>
      <c r="AD10426" t="s">
        <v>44864</v>
      </c>
      <c r="AE10426">
        <v>116</v>
      </c>
      <c r="AF10426" t="s">
        <v>45541</v>
      </c>
      <c r="AG10426" t="s">
        <v>45559</v>
      </c>
      <c r="AH10426">
        <v>14</v>
      </c>
      <c r="AI10426">
        <v>1</v>
      </c>
      <c r="AJ10426">
        <v>0</v>
      </c>
      <c r="AK10426">
        <v>86.56999999999999</v>
      </c>
      <c r="AN10426" t="s">
        <v>7439</v>
      </c>
      <c r="AO10426">
        <v>10812</v>
      </c>
      <c r="AU10426">
        <v>4.34</v>
      </c>
      <c r="AV10426" t="s">
        <v>834</v>
      </c>
      <c r="AW10426" t="s">
        <v>46860</v>
      </c>
    </row>
    <row r="10427" spans="1:50">
      <c r="A10427" s="1">
        <f>HYPERLINK("https://lsnyc.legalserver.org/matter/dynamic-profile/view/1897659","19-1897659")</f>
        <v>0</v>
      </c>
      <c r="B10427" t="s">
        <v>251</v>
      </c>
      <c r="C10427" t="s">
        <v>341</v>
      </c>
      <c r="D10427" t="s">
        <v>763</v>
      </c>
      <c r="E10427" t="s">
        <v>829</v>
      </c>
      <c r="F10427" t="s">
        <v>4818</v>
      </c>
      <c r="G10427" t="s">
        <v>9356</v>
      </c>
      <c r="H10427" t="s">
        <v>16689</v>
      </c>
      <c r="I10427" t="s">
        <v>17358</v>
      </c>
      <c r="J10427" t="s">
        <v>18892</v>
      </c>
      <c r="K10427">
        <v>10451</v>
      </c>
      <c r="L10427" t="s">
        <v>18958</v>
      </c>
      <c r="M10427" t="s">
        <v>18959</v>
      </c>
      <c r="O10427" t="s">
        <v>26523</v>
      </c>
      <c r="P10427" t="s">
        <v>26564</v>
      </c>
      <c r="Q10427" t="s">
        <v>26570</v>
      </c>
      <c r="R10427" t="s">
        <v>26577</v>
      </c>
      <c r="S10427" t="s">
        <v>18959</v>
      </c>
      <c r="U10427" t="s">
        <v>26604</v>
      </c>
      <c r="X10427">
        <v>1021</v>
      </c>
      <c r="Y10427" t="s">
        <v>26650</v>
      </c>
      <c r="Z10427" t="s">
        <v>26668</v>
      </c>
      <c r="AA10427" t="s">
        <v>26683</v>
      </c>
      <c r="AB10427" t="s">
        <v>33966</v>
      </c>
      <c r="AD10427" t="s">
        <v>44865</v>
      </c>
      <c r="AE10427">
        <v>93</v>
      </c>
      <c r="AF10427" t="s">
        <v>45541</v>
      </c>
      <c r="AH10427">
        <v>8</v>
      </c>
      <c r="AI10427">
        <v>1</v>
      </c>
      <c r="AJ10427">
        <v>2</v>
      </c>
      <c r="AK10427">
        <v>0</v>
      </c>
      <c r="AN10427" t="s">
        <v>7439</v>
      </c>
      <c r="AO10427">
        <v>0</v>
      </c>
      <c r="AP10427" t="s">
        <v>46297</v>
      </c>
      <c r="AU10427">
        <v>1.5</v>
      </c>
      <c r="AV10427" t="s">
        <v>818</v>
      </c>
      <c r="AW10427" t="s">
        <v>46871</v>
      </c>
    </row>
    <row r="10428" spans="1:50">
      <c r="A10428" s="1">
        <f>HYPERLINK("https://lsnyc.legalserver.org/matter/dynamic-profile/view/1897568","19-1897568")</f>
        <v>0</v>
      </c>
      <c r="B10428" t="s">
        <v>74</v>
      </c>
      <c r="C10428" t="s">
        <v>341</v>
      </c>
      <c r="D10428" t="s">
        <v>763</v>
      </c>
      <c r="E10428" t="s">
        <v>808</v>
      </c>
      <c r="F10428" t="s">
        <v>1339</v>
      </c>
      <c r="G10428" t="s">
        <v>9357</v>
      </c>
      <c r="H10428" t="s">
        <v>16690</v>
      </c>
      <c r="I10428" t="s">
        <v>17283</v>
      </c>
      <c r="J10428" t="s">
        <v>18893</v>
      </c>
      <c r="K10428">
        <v>10035</v>
      </c>
      <c r="L10428" t="s">
        <v>18960</v>
      </c>
      <c r="M10428" t="s">
        <v>18960</v>
      </c>
      <c r="P10428" t="s">
        <v>26564</v>
      </c>
      <c r="Q10428" t="s">
        <v>26570</v>
      </c>
      <c r="R10428" t="s">
        <v>26591</v>
      </c>
      <c r="U10428" t="s">
        <v>26607</v>
      </c>
      <c r="X10428">
        <v>0</v>
      </c>
      <c r="Y10428" t="s">
        <v>26651</v>
      </c>
      <c r="AA10428" t="s">
        <v>26683</v>
      </c>
      <c r="AB10428" t="s">
        <v>30756</v>
      </c>
      <c r="AD10428" t="s">
        <v>44866</v>
      </c>
      <c r="AE10428">
        <v>0</v>
      </c>
      <c r="AH10428">
        <v>0</v>
      </c>
      <c r="AI10428">
        <v>1</v>
      </c>
      <c r="AJ10428">
        <v>0</v>
      </c>
      <c r="AK10428">
        <v>74.08</v>
      </c>
      <c r="AN10428" t="s">
        <v>7439</v>
      </c>
      <c r="AO10428">
        <v>9252</v>
      </c>
      <c r="AU10428">
        <v>1</v>
      </c>
      <c r="AV10428" t="s">
        <v>763</v>
      </c>
      <c r="AW10428" t="s">
        <v>46887</v>
      </c>
    </row>
    <row r="10429" spans="1:50">
      <c r="A10429" s="1">
        <f>HYPERLINK("https://lsnyc.legalserver.org/matter/dynamic-profile/view/1897587","19-1897587")</f>
        <v>0</v>
      </c>
      <c r="B10429" t="s">
        <v>71</v>
      </c>
      <c r="C10429" t="s">
        <v>341</v>
      </c>
      <c r="D10429" t="s">
        <v>763</v>
      </c>
      <c r="E10429" t="s">
        <v>835</v>
      </c>
      <c r="F10429" t="s">
        <v>4819</v>
      </c>
      <c r="G10429" t="s">
        <v>5088</v>
      </c>
      <c r="H10429" t="s">
        <v>13508</v>
      </c>
      <c r="I10429" t="s">
        <v>17360</v>
      </c>
      <c r="J10429" t="s">
        <v>18892</v>
      </c>
      <c r="K10429">
        <v>10468</v>
      </c>
      <c r="L10429" t="s">
        <v>18958</v>
      </c>
      <c r="M10429" t="s">
        <v>18958</v>
      </c>
      <c r="O10429" t="s">
        <v>26523</v>
      </c>
      <c r="P10429" t="s">
        <v>26564</v>
      </c>
      <c r="Q10429" t="s">
        <v>26570</v>
      </c>
      <c r="R10429" t="s">
        <v>26579</v>
      </c>
      <c r="S10429" t="s">
        <v>18959</v>
      </c>
      <c r="U10429" t="s">
        <v>26604</v>
      </c>
      <c r="X10429">
        <v>1077</v>
      </c>
      <c r="Y10429" t="s">
        <v>26650</v>
      </c>
      <c r="Z10429" t="s">
        <v>26664</v>
      </c>
      <c r="AA10429" t="s">
        <v>26683</v>
      </c>
      <c r="AB10429" t="s">
        <v>33967</v>
      </c>
      <c r="AD10429" t="s">
        <v>44867</v>
      </c>
      <c r="AE10429">
        <v>0</v>
      </c>
      <c r="AH10429">
        <v>5</v>
      </c>
      <c r="AI10429">
        <v>1</v>
      </c>
      <c r="AJ10429">
        <v>0</v>
      </c>
      <c r="AK10429">
        <v>283.62</v>
      </c>
      <c r="AN10429" t="s">
        <v>7439</v>
      </c>
      <c r="AO10429">
        <v>35424</v>
      </c>
      <c r="AP10429" t="s">
        <v>46298</v>
      </c>
      <c r="AU10429">
        <v>1.3</v>
      </c>
      <c r="AV10429" t="s">
        <v>773</v>
      </c>
      <c r="AW10429" t="s">
        <v>46867</v>
      </c>
    </row>
    <row r="10430" spans="1:50">
      <c r="A10430" s="1">
        <f>HYPERLINK("https://lsnyc.legalserver.org/matter/dynamic-profile/view/1897560","19-1897560")</f>
        <v>0</v>
      </c>
      <c r="B10430" t="s">
        <v>284</v>
      </c>
      <c r="C10430" t="s">
        <v>341</v>
      </c>
      <c r="D10430" t="s">
        <v>763</v>
      </c>
      <c r="E10430" t="s">
        <v>764</v>
      </c>
      <c r="F10430" t="s">
        <v>4820</v>
      </c>
      <c r="G10430" t="s">
        <v>9358</v>
      </c>
      <c r="H10430" t="s">
        <v>16691</v>
      </c>
      <c r="I10430" t="s">
        <v>17516</v>
      </c>
      <c r="J10430" t="s">
        <v>18892</v>
      </c>
      <c r="K10430">
        <v>10457</v>
      </c>
      <c r="L10430" t="s">
        <v>18960</v>
      </c>
      <c r="M10430" t="s">
        <v>18960</v>
      </c>
      <c r="N10430" t="s">
        <v>26023</v>
      </c>
      <c r="O10430" t="s">
        <v>26523</v>
      </c>
      <c r="Q10430" t="s">
        <v>26570</v>
      </c>
      <c r="R10430" t="s">
        <v>26591</v>
      </c>
      <c r="S10430" t="s">
        <v>18959</v>
      </c>
      <c r="U10430" t="s">
        <v>26604</v>
      </c>
      <c r="X10430">
        <v>1347</v>
      </c>
      <c r="Y10430" t="s">
        <v>26650</v>
      </c>
      <c r="Z10430" t="s">
        <v>26657</v>
      </c>
      <c r="AA10430" t="s">
        <v>26683</v>
      </c>
      <c r="AB10430" t="s">
        <v>29450</v>
      </c>
      <c r="AD10430" t="s">
        <v>44868</v>
      </c>
      <c r="AE10430">
        <v>72</v>
      </c>
      <c r="AF10430" t="s">
        <v>45541</v>
      </c>
      <c r="AG10430" t="s">
        <v>19330</v>
      </c>
      <c r="AH10430">
        <v>4</v>
      </c>
      <c r="AI10430">
        <v>1</v>
      </c>
      <c r="AJ10430">
        <v>5</v>
      </c>
      <c r="AK10430">
        <v>97.59999999999999</v>
      </c>
      <c r="AN10430" t="s">
        <v>7439</v>
      </c>
      <c r="AO10430">
        <v>33760</v>
      </c>
      <c r="AU10430">
        <v>0.5</v>
      </c>
      <c r="AV10430" t="s">
        <v>763</v>
      </c>
      <c r="AW10430" t="s">
        <v>46841</v>
      </c>
    </row>
    <row r="10431" spans="1:50">
      <c r="A10431" s="1">
        <f>HYPERLINK("https://lsnyc.legalserver.org/matter/dynamic-profile/view/1897554","19-1897554")</f>
        <v>0</v>
      </c>
      <c r="B10431" t="s">
        <v>135</v>
      </c>
      <c r="C10431" t="s">
        <v>341</v>
      </c>
      <c r="D10431" t="s">
        <v>763</v>
      </c>
      <c r="E10431" t="s">
        <v>767</v>
      </c>
      <c r="F10431" t="s">
        <v>4821</v>
      </c>
      <c r="G10431" t="s">
        <v>994</v>
      </c>
      <c r="H10431" t="s">
        <v>16692</v>
      </c>
      <c r="I10431" t="s">
        <v>18231</v>
      </c>
      <c r="J10431" t="s">
        <v>18892</v>
      </c>
      <c r="K10431">
        <v>10452</v>
      </c>
      <c r="L10431" t="s">
        <v>18959</v>
      </c>
      <c r="M10431" t="s">
        <v>18959</v>
      </c>
      <c r="O10431" t="s">
        <v>26524</v>
      </c>
      <c r="P10431" t="s">
        <v>26564</v>
      </c>
      <c r="Q10431" t="s">
        <v>26570</v>
      </c>
      <c r="R10431" t="s">
        <v>26578</v>
      </c>
      <c r="U10431" t="s">
        <v>26604</v>
      </c>
      <c r="X10431">
        <v>1000</v>
      </c>
      <c r="Y10431" t="s">
        <v>26650</v>
      </c>
      <c r="AA10431" t="s">
        <v>26683</v>
      </c>
      <c r="AB10431" t="s">
        <v>33968</v>
      </c>
      <c r="AD10431" t="s">
        <v>44869</v>
      </c>
      <c r="AE10431">
        <v>0</v>
      </c>
      <c r="AF10431" t="s">
        <v>45541</v>
      </c>
      <c r="AG10431" t="s">
        <v>19330</v>
      </c>
      <c r="AH10431">
        <v>26</v>
      </c>
      <c r="AI10431">
        <v>1</v>
      </c>
      <c r="AJ10431">
        <v>0</v>
      </c>
      <c r="AK10431">
        <v>192.15</v>
      </c>
      <c r="AN10431" t="s">
        <v>7439</v>
      </c>
      <c r="AO10431">
        <v>24000</v>
      </c>
      <c r="AU10431">
        <v>1.4</v>
      </c>
      <c r="AV10431" t="s">
        <v>767</v>
      </c>
      <c r="AW10431" t="s">
        <v>46859</v>
      </c>
    </row>
    <row r="10432" spans="1:50">
      <c r="A10432" s="1">
        <f>HYPERLINK("https://lsnyc.legalserver.org/matter/dynamic-profile/view/1895579","19-1895579")</f>
        <v>0</v>
      </c>
      <c r="B10432" t="s">
        <v>278</v>
      </c>
      <c r="C10432" t="s">
        <v>340</v>
      </c>
      <c r="D10432" t="s">
        <v>763</v>
      </c>
      <c r="F10432" t="s">
        <v>4822</v>
      </c>
      <c r="G10432" t="s">
        <v>9359</v>
      </c>
      <c r="H10432" t="s">
        <v>16693</v>
      </c>
      <c r="J10432" t="s">
        <v>18902</v>
      </c>
      <c r="K10432">
        <v>10305</v>
      </c>
      <c r="L10432" t="s">
        <v>18958</v>
      </c>
      <c r="M10432" t="s">
        <v>18960</v>
      </c>
      <c r="N10432" t="s">
        <v>26024</v>
      </c>
      <c r="O10432" t="s">
        <v>26524</v>
      </c>
      <c r="R10432" t="s">
        <v>26578</v>
      </c>
      <c r="S10432" t="s">
        <v>18959</v>
      </c>
      <c r="U10432" t="s">
        <v>26604</v>
      </c>
      <c r="X10432">
        <v>0</v>
      </c>
      <c r="Y10432" t="s">
        <v>26654</v>
      </c>
      <c r="Z10432" t="s">
        <v>26530</v>
      </c>
      <c r="AB10432" t="s">
        <v>33969</v>
      </c>
      <c r="AD10432" t="s">
        <v>44870</v>
      </c>
      <c r="AE10432">
        <v>1</v>
      </c>
      <c r="AF10432" t="s">
        <v>45547</v>
      </c>
      <c r="AG10432" t="s">
        <v>19330</v>
      </c>
      <c r="AH10432">
        <v>10</v>
      </c>
      <c r="AI10432">
        <v>4</v>
      </c>
      <c r="AJ10432">
        <v>2</v>
      </c>
      <c r="AK10432">
        <v>112.75</v>
      </c>
      <c r="AN10432" t="s">
        <v>7439</v>
      </c>
      <c r="AO10432">
        <v>39000</v>
      </c>
      <c r="AU10432">
        <v>9.6</v>
      </c>
      <c r="AV10432" t="s">
        <v>835</v>
      </c>
      <c r="AW10432" t="s">
        <v>46855</v>
      </c>
      <c r="AX10432" t="s">
        <v>46897</v>
      </c>
    </row>
    <row r="10433" spans="1:50">
      <c r="A10433" s="1">
        <f>HYPERLINK("https://lsnyc.legalserver.org/matter/dynamic-profile/view/1897602","19-1897602")</f>
        <v>0</v>
      </c>
      <c r="B10433" t="s">
        <v>322</v>
      </c>
      <c r="C10433" t="s">
        <v>340</v>
      </c>
      <c r="D10433" t="s">
        <v>763</v>
      </c>
      <c r="F10433" t="s">
        <v>1253</v>
      </c>
      <c r="G10433" t="s">
        <v>5678</v>
      </c>
      <c r="H10433" t="s">
        <v>16694</v>
      </c>
      <c r="I10433" t="s">
        <v>17305</v>
      </c>
      <c r="J10433" t="s">
        <v>18893</v>
      </c>
      <c r="K10433">
        <v>10009</v>
      </c>
      <c r="L10433" t="s">
        <v>18960</v>
      </c>
      <c r="M10433" t="s">
        <v>18960</v>
      </c>
      <c r="R10433" t="s">
        <v>26591</v>
      </c>
      <c r="U10433" t="s">
        <v>26604</v>
      </c>
      <c r="X10433">
        <v>750</v>
      </c>
      <c r="Y10433" t="s">
        <v>26651</v>
      </c>
      <c r="Z10433" t="s">
        <v>26661</v>
      </c>
      <c r="AB10433" t="s">
        <v>32870</v>
      </c>
      <c r="AD10433" t="s">
        <v>44871</v>
      </c>
      <c r="AE10433">
        <v>0</v>
      </c>
      <c r="AG10433" t="s">
        <v>26530</v>
      </c>
      <c r="AH10433">
        <v>23</v>
      </c>
      <c r="AI10433">
        <v>1</v>
      </c>
      <c r="AJ10433">
        <v>0</v>
      </c>
      <c r="AK10433">
        <v>185.75</v>
      </c>
      <c r="AN10433" t="s">
        <v>7439</v>
      </c>
      <c r="AO10433">
        <v>23200</v>
      </c>
      <c r="AU10433">
        <v>1</v>
      </c>
      <c r="AV10433" t="s">
        <v>763</v>
      </c>
      <c r="AW10433" t="s">
        <v>46858</v>
      </c>
    </row>
    <row r="10434" spans="1:50">
      <c r="A10434" s="1">
        <f>HYPERLINK("https://lsnyc.legalserver.org/matter/dynamic-profile/view/1897677","19-1897677")</f>
        <v>0</v>
      </c>
      <c r="B10434" t="s">
        <v>84</v>
      </c>
      <c r="C10434" t="s">
        <v>340</v>
      </c>
      <c r="D10434" t="s">
        <v>763</v>
      </c>
      <c r="F10434" t="s">
        <v>4823</v>
      </c>
      <c r="G10434" t="s">
        <v>9360</v>
      </c>
      <c r="H10434" t="s">
        <v>16695</v>
      </c>
      <c r="I10434">
        <v>37</v>
      </c>
      <c r="J10434" t="s">
        <v>18893</v>
      </c>
      <c r="K10434">
        <v>10002</v>
      </c>
      <c r="L10434" t="s">
        <v>18960</v>
      </c>
      <c r="M10434" t="s">
        <v>18960</v>
      </c>
      <c r="R10434" t="s">
        <v>26582</v>
      </c>
      <c r="U10434" t="s">
        <v>26604</v>
      </c>
      <c r="X10434">
        <v>693</v>
      </c>
      <c r="Y10434" t="s">
        <v>26651</v>
      </c>
      <c r="AB10434" t="s">
        <v>33714</v>
      </c>
      <c r="AD10434" t="s">
        <v>44872</v>
      </c>
      <c r="AE10434">
        <v>0</v>
      </c>
      <c r="AH10434">
        <v>16</v>
      </c>
      <c r="AI10434">
        <v>2</v>
      </c>
      <c r="AJ10434">
        <v>0</v>
      </c>
      <c r="AK10434">
        <v>154.72</v>
      </c>
      <c r="AN10434" t="s">
        <v>7439</v>
      </c>
      <c r="AO10434">
        <v>26163.96</v>
      </c>
      <c r="AU10434">
        <v>0</v>
      </c>
      <c r="AW10434" t="s">
        <v>46838</v>
      </c>
    </row>
    <row r="10435" spans="1:50">
      <c r="A10435" s="1">
        <f>HYPERLINK("https://lsnyc.legalserver.org/matter/dynamic-profile/view/1897578","19-1897578")</f>
        <v>0</v>
      </c>
      <c r="B10435" t="s">
        <v>135</v>
      </c>
      <c r="C10435" t="s">
        <v>340</v>
      </c>
      <c r="D10435" t="s">
        <v>763</v>
      </c>
      <c r="F10435" t="s">
        <v>1282</v>
      </c>
      <c r="G10435" t="s">
        <v>5607</v>
      </c>
      <c r="H10435" t="s">
        <v>12044</v>
      </c>
      <c r="I10435" t="s">
        <v>17322</v>
      </c>
      <c r="J10435" t="s">
        <v>18892</v>
      </c>
      <c r="K10435">
        <v>10452</v>
      </c>
      <c r="L10435" t="s">
        <v>18960</v>
      </c>
      <c r="M10435" t="s">
        <v>18960</v>
      </c>
      <c r="N10435" t="s">
        <v>26025</v>
      </c>
      <c r="O10435" t="s">
        <v>26524</v>
      </c>
      <c r="P10435" t="s">
        <v>26564</v>
      </c>
      <c r="R10435" t="s">
        <v>26578</v>
      </c>
      <c r="S10435" t="s">
        <v>18959</v>
      </c>
      <c r="U10435" t="s">
        <v>26604</v>
      </c>
      <c r="X10435">
        <v>371.79</v>
      </c>
      <c r="Y10435" t="s">
        <v>26650</v>
      </c>
      <c r="Z10435" t="s">
        <v>26530</v>
      </c>
      <c r="AB10435" t="s">
        <v>29327</v>
      </c>
      <c r="AD10435" t="s">
        <v>39383</v>
      </c>
      <c r="AE10435">
        <v>8</v>
      </c>
      <c r="AF10435" t="s">
        <v>45541</v>
      </c>
      <c r="AG10435" t="s">
        <v>19330</v>
      </c>
      <c r="AH10435">
        <v>8</v>
      </c>
      <c r="AI10435">
        <v>1</v>
      </c>
      <c r="AJ10435">
        <v>1</v>
      </c>
      <c r="AK10435">
        <v>113.07</v>
      </c>
      <c r="AN10435" t="s">
        <v>7439</v>
      </c>
      <c r="AO10435">
        <v>19120</v>
      </c>
      <c r="AU10435">
        <v>0.9399999999999999</v>
      </c>
      <c r="AV10435" t="s">
        <v>835</v>
      </c>
      <c r="AW10435" t="s">
        <v>46860</v>
      </c>
    </row>
    <row r="10436" spans="1:50">
      <c r="A10436" s="1">
        <f>HYPERLINK("https://lsnyc.legalserver.org/matter/dynamic-profile/view/1897562","19-1897562")</f>
        <v>0</v>
      </c>
      <c r="B10436" t="s">
        <v>64</v>
      </c>
      <c r="C10436" t="s">
        <v>340</v>
      </c>
      <c r="D10436" t="s">
        <v>763</v>
      </c>
      <c r="F10436" t="s">
        <v>4824</v>
      </c>
      <c r="G10436" t="s">
        <v>9361</v>
      </c>
      <c r="H10436" t="s">
        <v>16696</v>
      </c>
      <c r="I10436" t="s">
        <v>18792</v>
      </c>
      <c r="J10436" t="s">
        <v>18892</v>
      </c>
      <c r="K10436">
        <v>10467</v>
      </c>
      <c r="L10436" t="s">
        <v>18958</v>
      </c>
      <c r="M10436" t="s">
        <v>18958</v>
      </c>
      <c r="N10436" t="s">
        <v>26026</v>
      </c>
      <c r="O10436" t="s">
        <v>26523</v>
      </c>
      <c r="R10436" t="s">
        <v>26579</v>
      </c>
      <c r="U10436" t="s">
        <v>26604</v>
      </c>
      <c r="X10436">
        <v>1698.49</v>
      </c>
      <c r="Y10436" t="s">
        <v>26650</v>
      </c>
      <c r="AB10436" t="s">
        <v>33970</v>
      </c>
      <c r="AD10436" t="s">
        <v>44873</v>
      </c>
      <c r="AE10436">
        <v>0</v>
      </c>
      <c r="AH10436">
        <v>3</v>
      </c>
      <c r="AI10436">
        <v>2</v>
      </c>
      <c r="AJ10436">
        <v>2</v>
      </c>
      <c r="AK10436">
        <v>139.81</v>
      </c>
      <c r="AN10436" t="s">
        <v>7439</v>
      </c>
      <c r="AO10436">
        <v>36000</v>
      </c>
      <c r="AP10436" t="s">
        <v>46059</v>
      </c>
      <c r="AU10436">
        <v>19.2</v>
      </c>
      <c r="AV10436" t="s">
        <v>773</v>
      </c>
      <c r="AW10436" t="s">
        <v>46867</v>
      </c>
      <c r="AX10436" t="s">
        <v>46897</v>
      </c>
    </row>
    <row r="10437" spans="1:50">
      <c r="A10437" s="1">
        <f>HYPERLINK("https://lsnyc.legalserver.org/matter/dynamic-profile/view/1897595","19-1897595")</f>
        <v>0</v>
      </c>
      <c r="B10437" t="s">
        <v>91</v>
      </c>
      <c r="C10437" t="s">
        <v>340</v>
      </c>
      <c r="D10437" t="s">
        <v>763</v>
      </c>
      <c r="F10437" t="s">
        <v>4825</v>
      </c>
      <c r="G10437" t="s">
        <v>4311</v>
      </c>
      <c r="H10437" t="s">
        <v>9737</v>
      </c>
      <c r="I10437" t="s">
        <v>18244</v>
      </c>
      <c r="J10437" t="s">
        <v>7026</v>
      </c>
      <c r="K10437">
        <v>11368</v>
      </c>
      <c r="L10437" t="s">
        <v>18958</v>
      </c>
      <c r="M10437" t="s">
        <v>18958</v>
      </c>
      <c r="O10437" t="s">
        <v>26534</v>
      </c>
      <c r="P10437" t="s">
        <v>26561</v>
      </c>
      <c r="R10437" t="s">
        <v>26578</v>
      </c>
      <c r="S10437" t="s">
        <v>18958</v>
      </c>
      <c r="U10437" t="s">
        <v>26604</v>
      </c>
      <c r="X10437">
        <v>1293</v>
      </c>
      <c r="Y10437" t="s">
        <v>26653</v>
      </c>
      <c r="Z10437" t="s">
        <v>26530</v>
      </c>
      <c r="AB10437" t="s">
        <v>33971</v>
      </c>
      <c r="AD10437" t="s">
        <v>44874</v>
      </c>
      <c r="AE10437">
        <v>70</v>
      </c>
      <c r="AF10437" t="s">
        <v>45541</v>
      </c>
      <c r="AG10437" t="s">
        <v>19330</v>
      </c>
      <c r="AH10437">
        <v>30</v>
      </c>
      <c r="AI10437">
        <v>2</v>
      </c>
      <c r="AJ10437">
        <v>0</v>
      </c>
      <c r="AK10437">
        <v>276.76</v>
      </c>
      <c r="AN10437" t="s">
        <v>7439</v>
      </c>
      <c r="AO10437">
        <v>46800</v>
      </c>
      <c r="AU10437">
        <v>0.3</v>
      </c>
      <c r="AV10437" t="s">
        <v>821</v>
      </c>
      <c r="AW10437" t="s">
        <v>91</v>
      </c>
    </row>
    <row r="10438" spans="1:50">
      <c r="A10438" s="1">
        <f>HYPERLINK("https://lsnyc.legalserver.org/matter/dynamic-profile/view/1897572","19-1897572")</f>
        <v>0</v>
      </c>
      <c r="B10438" t="s">
        <v>91</v>
      </c>
      <c r="C10438" t="s">
        <v>340</v>
      </c>
      <c r="D10438" t="s">
        <v>763</v>
      </c>
      <c r="F10438" t="s">
        <v>2239</v>
      </c>
      <c r="G10438" t="s">
        <v>5706</v>
      </c>
      <c r="H10438" t="s">
        <v>16697</v>
      </c>
      <c r="I10438" t="s">
        <v>18793</v>
      </c>
      <c r="J10438" t="s">
        <v>18899</v>
      </c>
      <c r="K10438">
        <v>11386</v>
      </c>
      <c r="L10438" t="s">
        <v>18958</v>
      </c>
      <c r="M10438" t="s">
        <v>18958</v>
      </c>
      <c r="N10438" t="s">
        <v>26018</v>
      </c>
      <c r="O10438" t="s">
        <v>26534</v>
      </c>
      <c r="P10438" t="s">
        <v>26561</v>
      </c>
      <c r="R10438" t="s">
        <v>26578</v>
      </c>
      <c r="S10438" t="s">
        <v>18958</v>
      </c>
      <c r="U10438" t="s">
        <v>26604</v>
      </c>
      <c r="X10438">
        <v>1260</v>
      </c>
      <c r="Y10438" t="s">
        <v>26653</v>
      </c>
      <c r="AB10438" t="s">
        <v>33972</v>
      </c>
      <c r="AD10438" t="s">
        <v>44875</v>
      </c>
      <c r="AE10438">
        <v>70</v>
      </c>
      <c r="AF10438" t="s">
        <v>45541</v>
      </c>
      <c r="AG10438" t="s">
        <v>19330</v>
      </c>
      <c r="AH10438">
        <v>19</v>
      </c>
      <c r="AI10438">
        <v>1</v>
      </c>
      <c r="AJ10438">
        <v>0</v>
      </c>
      <c r="AK10438">
        <v>376.3</v>
      </c>
      <c r="AN10438" t="s">
        <v>7439</v>
      </c>
      <c r="AO10438">
        <v>47000</v>
      </c>
      <c r="AU10438">
        <v>3.1</v>
      </c>
      <c r="AV10438" t="s">
        <v>838</v>
      </c>
      <c r="AW10438" t="s">
        <v>91</v>
      </c>
    </row>
    <row r="10439" spans="1:50">
      <c r="A10439" s="1">
        <f>HYPERLINK("https://lsnyc.legalserver.org/matter/dynamic-profile/view/1897589","19-1897589")</f>
        <v>0</v>
      </c>
      <c r="B10439" t="s">
        <v>91</v>
      </c>
      <c r="C10439" t="s">
        <v>340</v>
      </c>
      <c r="D10439" t="s">
        <v>763</v>
      </c>
      <c r="F10439" t="s">
        <v>4826</v>
      </c>
      <c r="G10439" t="s">
        <v>5079</v>
      </c>
      <c r="H10439" t="s">
        <v>9794</v>
      </c>
      <c r="I10439" t="s">
        <v>18794</v>
      </c>
      <c r="J10439" t="s">
        <v>7026</v>
      </c>
      <c r="K10439">
        <v>11368</v>
      </c>
      <c r="L10439" t="s">
        <v>18958</v>
      </c>
      <c r="M10439" t="s">
        <v>18958</v>
      </c>
      <c r="N10439" t="s">
        <v>26027</v>
      </c>
      <c r="O10439" t="s">
        <v>26534</v>
      </c>
      <c r="P10439" t="s">
        <v>26561</v>
      </c>
      <c r="R10439" t="s">
        <v>26578</v>
      </c>
      <c r="S10439" t="s">
        <v>18958</v>
      </c>
      <c r="U10439" t="s">
        <v>26604</v>
      </c>
      <c r="X10439">
        <v>1252.55</v>
      </c>
      <c r="Y10439" t="s">
        <v>26653</v>
      </c>
      <c r="Z10439" t="s">
        <v>26530</v>
      </c>
      <c r="AB10439" t="s">
        <v>33973</v>
      </c>
      <c r="AD10439" t="s">
        <v>44876</v>
      </c>
      <c r="AE10439">
        <v>70</v>
      </c>
      <c r="AF10439" t="s">
        <v>45541</v>
      </c>
      <c r="AG10439" t="s">
        <v>19330</v>
      </c>
      <c r="AH10439">
        <v>43</v>
      </c>
      <c r="AI10439">
        <v>1</v>
      </c>
      <c r="AJ10439">
        <v>0</v>
      </c>
      <c r="AK10439">
        <v>400.32</v>
      </c>
      <c r="AO10439">
        <v>50000</v>
      </c>
      <c r="AU10439">
        <v>0</v>
      </c>
      <c r="AW10439" t="s">
        <v>91</v>
      </c>
      <c r="AX10439" t="s">
        <v>46897</v>
      </c>
    </row>
    <row r="10440" spans="1:50">
      <c r="A10440" s="1">
        <f>HYPERLINK("https://lsnyc.legalserver.org/matter/dynamic-profile/view/1897726","19-1897726")</f>
        <v>0</v>
      </c>
      <c r="B10440" t="s">
        <v>300</v>
      </c>
      <c r="C10440" t="s">
        <v>341</v>
      </c>
      <c r="D10440" t="s">
        <v>764</v>
      </c>
      <c r="E10440" t="s">
        <v>827</v>
      </c>
      <c r="F10440" t="s">
        <v>890</v>
      </c>
      <c r="G10440" t="s">
        <v>9362</v>
      </c>
      <c r="H10440" t="s">
        <v>16698</v>
      </c>
      <c r="I10440" t="s">
        <v>17277</v>
      </c>
      <c r="J10440" t="s">
        <v>18893</v>
      </c>
      <c r="K10440">
        <v>10034</v>
      </c>
      <c r="L10440" t="s">
        <v>18960</v>
      </c>
      <c r="M10440" t="s">
        <v>18960</v>
      </c>
      <c r="N10440" t="s">
        <v>26028</v>
      </c>
      <c r="Q10440" t="s">
        <v>26570</v>
      </c>
      <c r="R10440" t="s">
        <v>26594</v>
      </c>
      <c r="U10440" t="s">
        <v>26604</v>
      </c>
      <c r="X10440">
        <v>930.6</v>
      </c>
      <c r="Y10440" t="s">
        <v>26651</v>
      </c>
      <c r="Z10440" t="s">
        <v>26657</v>
      </c>
      <c r="AA10440" t="s">
        <v>26683</v>
      </c>
      <c r="AB10440" t="s">
        <v>33974</v>
      </c>
      <c r="AD10440" t="s">
        <v>44877</v>
      </c>
      <c r="AE10440">
        <v>65</v>
      </c>
      <c r="AF10440" t="s">
        <v>45548</v>
      </c>
      <c r="AG10440" t="s">
        <v>19330</v>
      </c>
      <c r="AH10440">
        <v>52</v>
      </c>
      <c r="AI10440">
        <v>1</v>
      </c>
      <c r="AJ10440">
        <v>0</v>
      </c>
      <c r="AK10440">
        <v>0</v>
      </c>
      <c r="AN10440" t="s">
        <v>7439</v>
      </c>
      <c r="AO10440">
        <v>0</v>
      </c>
      <c r="AU10440">
        <v>1</v>
      </c>
      <c r="AV10440" t="s">
        <v>764</v>
      </c>
      <c r="AW10440" t="s">
        <v>46858</v>
      </c>
    </row>
    <row r="10441" spans="1:50">
      <c r="A10441" s="1">
        <f>HYPERLINK("https://lsnyc.legalserver.org/matter/dynamic-profile/view/1897788","19-1897788")</f>
        <v>0</v>
      </c>
      <c r="B10441" t="s">
        <v>179</v>
      </c>
      <c r="C10441" t="s">
        <v>341</v>
      </c>
      <c r="D10441" t="s">
        <v>764</v>
      </c>
      <c r="E10441" t="s">
        <v>771</v>
      </c>
      <c r="F10441" t="s">
        <v>1572</v>
      </c>
      <c r="G10441" t="s">
        <v>5813</v>
      </c>
      <c r="H10441" t="s">
        <v>16699</v>
      </c>
      <c r="I10441" t="s">
        <v>18795</v>
      </c>
      <c r="J10441" t="s">
        <v>18894</v>
      </c>
      <c r="K10441">
        <v>11236</v>
      </c>
      <c r="L10441" t="s">
        <v>18960</v>
      </c>
      <c r="M10441" t="s">
        <v>18960</v>
      </c>
      <c r="N10441" t="s">
        <v>26029</v>
      </c>
      <c r="O10441" t="s">
        <v>26524</v>
      </c>
      <c r="P10441" t="s">
        <v>26563</v>
      </c>
      <c r="Q10441" t="s">
        <v>26570</v>
      </c>
      <c r="R10441" t="s">
        <v>26583</v>
      </c>
      <c r="U10441" t="s">
        <v>26604</v>
      </c>
      <c r="X10441">
        <v>0</v>
      </c>
      <c r="Y10441" t="s">
        <v>26652</v>
      </c>
      <c r="AA10441" t="s">
        <v>26683</v>
      </c>
      <c r="AB10441" t="s">
        <v>33975</v>
      </c>
      <c r="AD10441" t="s">
        <v>44878</v>
      </c>
      <c r="AE10441">
        <v>0</v>
      </c>
      <c r="AG10441" t="s">
        <v>19330</v>
      </c>
      <c r="AH10441">
        <v>2</v>
      </c>
      <c r="AI10441">
        <v>1</v>
      </c>
      <c r="AJ10441">
        <v>0</v>
      </c>
      <c r="AK10441">
        <v>249.8</v>
      </c>
      <c r="AN10441" t="s">
        <v>7439</v>
      </c>
      <c r="AO10441">
        <v>31200</v>
      </c>
      <c r="AU10441">
        <v>2.6</v>
      </c>
      <c r="AV10441" t="s">
        <v>771</v>
      </c>
      <c r="AW10441" t="s">
        <v>46859</v>
      </c>
    </row>
    <row r="10442" spans="1:50">
      <c r="A10442" s="1">
        <f>HYPERLINK("https://lsnyc.legalserver.org/matter/dynamic-profile/view/1897789","19-1897789")</f>
        <v>0</v>
      </c>
      <c r="B10442" t="s">
        <v>149</v>
      </c>
      <c r="C10442" t="s">
        <v>340</v>
      </c>
      <c r="D10442" t="s">
        <v>764</v>
      </c>
      <c r="F10442" t="s">
        <v>4827</v>
      </c>
      <c r="G10442" t="s">
        <v>5266</v>
      </c>
      <c r="H10442" t="s">
        <v>16700</v>
      </c>
      <c r="I10442" t="s">
        <v>17291</v>
      </c>
      <c r="J10442" t="s">
        <v>18892</v>
      </c>
      <c r="K10442">
        <v>10454</v>
      </c>
      <c r="L10442" t="s">
        <v>18960</v>
      </c>
      <c r="M10442" t="s">
        <v>18960</v>
      </c>
      <c r="N10442" t="s">
        <v>26030</v>
      </c>
      <c r="O10442" t="s">
        <v>26524</v>
      </c>
      <c r="P10442" t="s">
        <v>26563</v>
      </c>
      <c r="R10442" t="s">
        <v>26577</v>
      </c>
      <c r="S10442" t="s">
        <v>18959</v>
      </c>
      <c r="U10442" t="s">
        <v>26604</v>
      </c>
      <c r="V10442" t="s">
        <v>26610</v>
      </c>
      <c r="X10442">
        <v>0</v>
      </c>
      <c r="Y10442" t="s">
        <v>26650</v>
      </c>
      <c r="Z10442" t="s">
        <v>26659</v>
      </c>
      <c r="AB10442" t="s">
        <v>33976</v>
      </c>
      <c r="AC10442" t="s">
        <v>36720</v>
      </c>
      <c r="AD10442" t="s">
        <v>44879</v>
      </c>
      <c r="AE10442">
        <v>74</v>
      </c>
      <c r="AG10442" t="s">
        <v>45557</v>
      </c>
      <c r="AH10442">
        <v>11</v>
      </c>
      <c r="AI10442">
        <v>2</v>
      </c>
      <c r="AJ10442">
        <v>2</v>
      </c>
      <c r="AK10442">
        <v>18.92</v>
      </c>
      <c r="AN10442" t="s">
        <v>7439</v>
      </c>
      <c r="AO10442">
        <v>4870.8</v>
      </c>
      <c r="AP10442" t="s">
        <v>46268</v>
      </c>
      <c r="AU10442">
        <v>8.050000000000001</v>
      </c>
      <c r="AV10442" t="s">
        <v>828</v>
      </c>
      <c r="AW10442" t="s">
        <v>336</v>
      </c>
      <c r="AX10442" t="s">
        <v>46898</v>
      </c>
    </row>
    <row r="10443" spans="1:50">
      <c r="A10443" s="1">
        <f>HYPERLINK("https://lsnyc.legalserver.org/matter/dynamic-profile/view/1897685","19-1897685")</f>
        <v>0</v>
      </c>
      <c r="B10443" t="s">
        <v>82</v>
      </c>
      <c r="C10443" t="s">
        <v>340</v>
      </c>
      <c r="D10443" t="s">
        <v>764</v>
      </c>
      <c r="F10443" t="s">
        <v>999</v>
      </c>
      <c r="G10443" t="s">
        <v>6322</v>
      </c>
      <c r="H10443" t="s">
        <v>16701</v>
      </c>
      <c r="I10443" t="s">
        <v>17283</v>
      </c>
      <c r="J10443" t="s">
        <v>18892</v>
      </c>
      <c r="K10443">
        <v>10467</v>
      </c>
      <c r="L10443" t="s">
        <v>18958</v>
      </c>
      <c r="M10443" t="s">
        <v>18958</v>
      </c>
      <c r="N10443" t="s">
        <v>26031</v>
      </c>
      <c r="O10443" t="s">
        <v>26523</v>
      </c>
      <c r="P10443" t="s">
        <v>26560</v>
      </c>
      <c r="R10443" t="s">
        <v>26579</v>
      </c>
      <c r="U10443" t="s">
        <v>26604</v>
      </c>
      <c r="V10443" t="s">
        <v>26610</v>
      </c>
      <c r="X10443">
        <v>1650</v>
      </c>
      <c r="Y10443" t="s">
        <v>26650</v>
      </c>
      <c r="Z10443" t="s">
        <v>26664</v>
      </c>
      <c r="AB10443" t="s">
        <v>28477</v>
      </c>
      <c r="AD10443" t="s">
        <v>44880</v>
      </c>
      <c r="AE10443">
        <v>0</v>
      </c>
      <c r="AF10443" t="s">
        <v>20460</v>
      </c>
      <c r="AG10443" t="s">
        <v>19330</v>
      </c>
      <c r="AH10443">
        <v>1</v>
      </c>
      <c r="AI10443">
        <v>1</v>
      </c>
      <c r="AJ10443">
        <v>2</v>
      </c>
      <c r="AK10443">
        <v>194.56</v>
      </c>
      <c r="AN10443" t="s">
        <v>7439</v>
      </c>
      <c r="AO10443">
        <v>41500</v>
      </c>
      <c r="AP10443" t="s">
        <v>46299</v>
      </c>
      <c r="AU10443">
        <v>3.75</v>
      </c>
      <c r="AV10443" t="s">
        <v>797</v>
      </c>
      <c r="AW10443" t="s">
        <v>334</v>
      </c>
    </row>
    <row r="10444" spans="1:50">
      <c r="A10444" s="1">
        <f>HYPERLINK("https://lsnyc.legalserver.org/matter/dynamic-profile/view/1897779","19-1897779")</f>
        <v>0</v>
      </c>
      <c r="B10444" t="s">
        <v>252</v>
      </c>
      <c r="C10444" t="s">
        <v>340</v>
      </c>
      <c r="D10444" t="s">
        <v>764</v>
      </c>
      <c r="F10444" t="s">
        <v>887</v>
      </c>
      <c r="G10444" t="s">
        <v>9363</v>
      </c>
      <c r="H10444" t="s">
        <v>16702</v>
      </c>
      <c r="I10444" t="s">
        <v>18003</v>
      </c>
      <c r="J10444" t="s">
        <v>18894</v>
      </c>
      <c r="K10444">
        <v>11226</v>
      </c>
      <c r="L10444" t="s">
        <v>18960</v>
      </c>
      <c r="M10444" t="s">
        <v>18960</v>
      </c>
      <c r="R10444" t="s">
        <v>26591</v>
      </c>
      <c r="U10444" t="s">
        <v>26604</v>
      </c>
      <c r="X10444">
        <v>1087.36</v>
      </c>
      <c r="Y10444" t="s">
        <v>26652</v>
      </c>
      <c r="Z10444" t="s">
        <v>26530</v>
      </c>
      <c r="AB10444" t="s">
        <v>31404</v>
      </c>
      <c r="AD10444" t="s">
        <v>44881</v>
      </c>
      <c r="AE10444">
        <v>48</v>
      </c>
      <c r="AF10444" t="s">
        <v>45541</v>
      </c>
      <c r="AG10444" t="s">
        <v>45557</v>
      </c>
      <c r="AH10444">
        <v>21</v>
      </c>
      <c r="AI10444">
        <v>1</v>
      </c>
      <c r="AJ10444">
        <v>1</v>
      </c>
      <c r="AK10444">
        <v>54.71</v>
      </c>
      <c r="AN10444" t="s">
        <v>7439</v>
      </c>
      <c r="AO10444">
        <v>9252</v>
      </c>
      <c r="AU10444">
        <v>3</v>
      </c>
      <c r="AV10444" t="s">
        <v>805</v>
      </c>
      <c r="AW10444" t="s">
        <v>46846</v>
      </c>
    </row>
    <row r="10445" spans="1:50">
      <c r="A10445" s="1">
        <f>HYPERLINK("https://lsnyc.legalserver.org/matter/dynamic-profile/view/1897701","19-1897701")</f>
        <v>0</v>
      </c>
      <c r="B10445" t="s">
        <v>65</v>
      </c>
      <c r="C10445" t="s">
        <v>340</v>
      </c>
      <c r="D10445" t="s">
        <v>764</v>
      </c>
      <c r="F10445" t="s">
        <v>1447</v>
      </c>
      <c r="G10445" t="s">
        <v>7126</v>
      </c>
      <c r="H10445" t="s">
        <v>16703</v>
      </c>
      <c r="I10445" t="s">
        <v>17293</v>
      </c>
      <c r="J10445" t="s">
        <v>18892</v>
      </c>
      <c r="K10445">
        <v>10456</v>
      </c>
      <c r="L10445" t="s">
        <v>18958</v>
      </c>
      <c r="M10445" t="s">
        <v>18958</v>
      </c>
      <c r="N10445" t="s">
        <v>26032</v>
      </c>
      <c r="O10445" t="s">
        <v>26523</v>
      </c>
      <c r="P10445" t="s">
        <v>26560</v>
      </c>
      <c r="R10445" t="s">
        <v>26577</v>
      </c>
      <c r="S10445" t="s">
        <v>18959</v>
      </c>
      <c r="U10445" t="s">
        <v>26604</v>
      </c>
      <c r="V10445" t="s">
        <v>26609</v>
      </c>
      <c r="X10445">
        <v>811</v>
      </c>
      <c r="Y10445" t="s">
        <v>26650</v>
      </c>
      <c r="Z10445" t="s">
        <v>26664</v>
      </c>
      <c r="AB10445" t="s">
        <v>33977</v>
      </c>
      <c r="AC10445" t="s">
        <v>36721</v>
      </c>
      <c r="AE10445">
        <v>42</v>
      </c>
      <c r="AF10445" t="s">
        <v>45543</v>
      </c>
      <c r="AG10445" t="s">
        <v>45556</v>
      </c>
      <c r="AH10445">
        <v>4</v>
      </c>
      <c r="AI10445">
        <v>4</v>
      </c>
      <c r="AJ10445">
        <v>1</v>
      </c>
      <c r="AK10445">
        <v>68.59</v>
      </c>
      <c r="AN10445" t="s">
        <v>7439</v>
      </c>
      <c r="AO10445">
        <v>20694.4</v>
      </c>
      <c r="AP10445" t="s">
        <v>46300</v>
      </c>
      <c r="AU10445">
        <v>4.7</v>
      </c>
      <c r="AV10445" t="s">
        <v>830</v>
      </c>
      <c r="AW10445" t="s">
        <v>46871</v>
      </c>
      <c r="AX10445" t="s">
        <v>46898</v>
      </c>
    </row>
    <row r="10446" spans="1:50">
      <c r="A10446" s="1">
        <f>HYPERLINK("https://lsnyc.legalserver.org/matter/dynamic-profile/view/1897684","19-1897684")</f>
        <v>0</v>
      </c>
      <c r="B10446" t="s">
        <v>122</v>
      </c>
      <c r="C10446" t="s">
        <v>340</v>
      </c>
      <c r="D10446" t="s">
        <v>764</v>
      </c>
      <c r="F10446" t="s">
        <v>2490</v>
      </c>
      <c r="G10446" t="s">
        <v>6708</v>
      </c>
      <c r="H10446" t="s">
        <v>12017</v>
      </c>
      <c r="I10446" t="s">
        <v>17332</v>
      </c>
      <c r="J10446" t="s">
        <v>18899</v>
      </c>
      <c r="K10446">
        <v>11385</v>
      </c>
      <c r="L10446" t="s">
        <v>18960</v>
      </c>
      <c r="M10446" t="s">
        <v>18960</v>
      </c>
      <c r="N10446" t="s">
        <v>26033</v>
      </c>
      <c r="O10446" t="s">
        <v>26524</v>
      </c>
      <c r="R10446" t="s">
        <v>26584</v>
      </c>
      <c r="U10446" t="s">
        <v>26604</v>
      </c>
      <c r="X10446">
        <v>1100</v>
      </c>
      <c r="Y10446" t="s">
        <v>26653</v>
      </c>
      <c r="AB10446" t="s">
        <v>29295</v>
      </c>
      <c r="AD10446" t="s">
        <v>39348</v>
      </c>
      <c r="AE10446">
        <v>6</v>
      </c>
      <c r="AH10446">
        <v>10</v>
      </c>
      <c r="AI10446">
        <v>1</v>
      </c>
      <c r="AJ10446">
        <v>1</v>
      </c>
      <c r="AK10446">
        <v>107.63</v>
      </c>
      <c r="AO10446">
        <v>18200.04</v>
      </c>
      <c r="AU10446">
        <v>14.55</v>
      </c>
      <c r="AV10446" t="s">
        <v>729</v>
      </c>
      <c r="AW10446" t="s">
        <v>122</v>
      </c>
    </row>
    <row r="10447" spans="1:50">
      <c r="A10447" s="1">
        <f>HYPERLINK("https://lsnyc.legalserver.org/matter/dynamic-profile/view/1897859","19-1897859")</f>
        <v>0</v>
      </c>
      <c r="B10447" t="s">
        <v>130</v>
      </c>
      <c r="C10447" t="s">
        <v>341</v>
      </c>
      <c r="D10447" t="s">
        <v>765</v>
      </c>
      <c r="E10447" t="s">
        <v>805</v>
      </c>
      <c r="F10447" t="s">
        <v>876</v>
      </c>
      <c r="G10447" t="s">
        <v>5112</v>
      </c>
      <c r="H10447" t="s">
        <v>16704</v>
      </c>
      <c r="I10447" t="s">
        <v>18796</v>
      </c>
      <c r="J10447" t="s">
        <v>18928</v>
      </c>
      <c r="K10447">
        <v>11365</v>
      </c>
      <c r="L10447" t="s">
        <v>18958</v>
      </c>
      <c r="M10447" t="s">
        <v>18958</v>
      </c>
      <c r="N10447" t="s">
        <v>26034</v>
      </c>
      <c r="O10447" t="s">
        <v>26523</v>
      </c>
      <c r="P10447" t="s">
        <v>26564</v>
      </c>
      <c r="Q10447" t="s">
        <v>26570</v>
      </c>
      <c r="R10447" t="s">
        <v>26584</v>
      </c>
      <c r="S10447" t="s">
        <v>18959</v>
      </c>
      <c r="U10447" t="s">
        <v>26604</v>
      </c>
      <c r="V10447" t="s">
        <v>26612</v>
      </c>
      <c r="X10447">
        <v>1850</v>
      </c>
      <c r="Y10447" t="s">
        <v>26653</v>
      </c>
      <c r="Z10447" t="s">
        <v>26664</v>
      </c>
      <c r="AA10447" t="s">
        <v>26683</v>
      </c>
      <c r="AB10447" t="s">
        <v>33978</v>
      </c>
      <c r="AD10447" t="s">
        <v>44882</v>
      </c>
      <c r="AE10447">
        <v>8</v>
      </c>
      <c r="AF10447" t="s">
        <v>45547</v>
      </c>
      <c r="AG10447" t="s">
        <v>19330</v>
      </c>
      <c r="AH10447">
        <v>2</v>
      </c>
      <c r="AI10447">
        <v>4</v>
      </c>
      <c r="AJ10447">
        <v>0</v>
      </c>
      <c r="AK10447">
        <v>175.64</v>
      </c>
      <c r="AN10447" t="s">
        <v>7439</v>
      </c>
      <c r="AO10447">
        <v>45227.85</v>
      </c>
      <c r="AU10447">
        <v>1.65</v>
      </c>
      <c r="AV10447" t="s">
        <v>805</v>
      </c>
      <c r="AW10447" t="s">
        <v>130</v>
      </c>
    </row>
    <row r="10448" spans="1:50">
      <c r="A10448" s="1">
        <f>HYPERLINK("https://lsnyc.legalserver.org/matter/dynamic-profile/view/1897895","19-1897895")</f>
        <v>0</v>
      </c>
      <c r="B10448" t="s">
        <v>286</v>
      </c>
      <c r="C10448" t="s">
        <v>341</v>
      </c>
      <c r="D10448" t="s">
        <v>765</v>
      </c>
      <c r="E10448" t="s">
        <v>822</v>
      </c>
      <c r="F10448" t="s">
        <v>1309</v>
      </c>
      <c r="G10448" t="s">
        <v>3138</v>
      </c>
      <c r="H10448" t="s">
        <v>16705</v>
      </c>
      <c r="I10448" t="s">
        <v>17334</v>
      </c>
      <c r="J10448" t="s">
        <v>18894</v>
      </c>
      <c r="K10448">
        <v>11212</v>
      </c>
      <c r="L10448" t="s">
        <v>18960</v>
      </c>
      <c r="M10448" t="s">
        <v>18960</v>
      </c>
      <c r="O10448" t="s">
        <v>18997</v>
      </c>
      <c r="P10448" t="s">
        <v>26564</v>
      </c>
      <c r="Q10448" t="s">
        <v>26570</v>
      </c>
      <c r="R10448" t="s">
        <v>26578</v>
      </c>
      <c r="U10448" t="s">
        <v>26604</v>
      </c>
      <c r="X10448">
        <v>204</v>
      </c>
      <c r="Y10448" t="s">
        <v>26652</v>
      </c>
      <c r="AA10448" t="s">
        <v>26683</v>
      </c>
      <c r="AB10448" t="s">
        <v>32957</v>
      </c>
      <c r="AD10448" t="s">
        <v>44883</v>
      </c>
      <c r="AE10448">
        <v>0</v>
      </c>
      <c r="AH10448">
        <v>2</v>
      </c>
      <c r="AI10448">
        <v>1</v>
      </c>
      <c r="AJ10448">
        <v>0</v>
      </c>
      <c r="AK10448">
        <v>72.06</v>
      </c>
      <c r="AN10448" t="s">
        <v>7439</v>
      </c>
      <c r="AO10448">
        <v>9000</v>
      </c>
      <c r="AU10448">
        <v>1.2</v>
      </c>
      <c r="AV10448" t="s">
        <v>832</v>
      </c>
      <c r="AW10448" t="s">
        <v>46859</v>
      </c>
    </row>
    <row r="10449" spans="1:50">
      <c r="A10449" s="1">
        <f>HYPERLINK("https://lsnyc.legalserver.org/matter/dynamic-profile/view/1897918","19-1897918")</f>
        <v>0</v>
      </c>
      <c r="B10449" t="s">
        <v>74</v>
      </c>
      <c r="C10449" t="s">
        <v>341</v>
      </c>
      <c r="D10449" t="s">
        <v>765</v>
      </c>
      <c r="E10449" t="s">
        <v>808</v>
      </c>
      <c r="F10449" t="s">
        <v>887</v>
      </c>
      <c r="G10449" t="s">
        <v>5078</v>
      </c>
      <c r="H10449" t="s">
        <v>16706</v>
      </c>
      <c r="I10449" t="s">
        <v>17272</v>
      </c>
      <c r="J10449" t="s">
        <v>18893</v>
      </c>
      <c r="K10449">
        <v>10034</v>
      </c>
      <c r="L10449" t="s">
        <v>18960</v>
      </c>
      <c r="M10449" t="s">
        <v>18960</v>
      </c>
      <c r="P10449" t="s">
        <v>26564</v>
      </c>
      <c r="Q10449" t="s">
        <v>26570</v>
      </c>
      <c r="R10449" t="s">
        <v>26591</v>
      </c>
      <c r="U10449" t="s">
        <v>26607</v>
      </c>
      <c r="X10449">
        <v>0</v>
      </c>
      <c r="Y10449" t="s">
        <v>26651</v>
      </c>
      <c r="AA10449" t="s">
        <v>26683</v>
      </c>
      <c r="AB10449" t="s">
        <v>33979</v>
      </c>
      <c r="AD10449" t="s">
        <v>44884</v>
      </c>
      <c r="AE10449">
        <v>0</v>
      </c>
      <c r="AH10449">
        <v>0</v>
      </c>
      <c r="AI10449">
        <v>1</v>
      </c>
      <c r="AJ10449">
        <v>0</v>
      </c>
      <c r="AK10449">
        <v>134.51</v>
      </c>
      <c r="AN10449" t="s">
        <v>7439</v>
      </c>
      <c r="AO10449">
        <v>16800</v>
      </c>
      <c r="AU10449">
        <v>1.2</v>
      </c>
      <c r="AV10449" t="s">
        <v>765</v>
      </c>
      <c r="AW10449" t="s">
        <v>46887</v>
      </c>
    </row>
    <row r="10450" spans="1:50">
      <c r="A10450" s="1">
        <f>HYPERLINK("https://lsnyc.legalserver.org/matter/dynamic-profile/view/1897865","19-1897865")</f>
        <v>0</v>
      </c>
      <c r="B10450" t="s">
        <v>250</v>
      </c>
      <c r="C10450" t="s">
        <v>341</v>
      </c>
      <c r="D10450" t="s">
        <v>765</v>
      </c>
      <c r="E10450" t="s">
        <v>765</v>
      </c>
      <c r="F10450" t="s">
        <v>871</v>
      </c>
      <c r="G10450" t="s">
        <v>5956</v>
      </c>
      <c r="H10450" t="s">
        <v>16707</v>
      </c>
      <c r="I10450" t="s">
        <v>18285</v>
      </c>
      <c r="J10450" t="s">
        <v>18893</v>
      </c>
      <c r="K10450">
        <v>10002</v>
      </c>
      <c r="L10450" t="s">
        <v>18960</v>
      </c>
      <c r="M10450" t="s">
        <v>18960</v>
      </c>
      <c r="O10450" t="s">
        <v>26524</v>
      </c>
      <c r="P10450" t="s">
        <v>26564</v>
      </c>
      <c r="Q10450" t="s">
        <v>26570</v>
      </c>
      <c r="R10450" t="s">
        <v>26591</v>
      </c>
      <c r="S10450" t="s">
        <v>18959</v>
      </c>
      <c r="T10450" t="s">
        <v>26603</v>
      </c>
      <c r="U10450" t="s">
        <v>26604</v>
      </c>
      <c r="X10450">
        <v>945</v>
      </c>
      <c r="Y10450" t="s">
        <v>26651</v>
      </c>
      <c r="Z10450" t="s">
        <v>26661</v>
      </c>
      <c r="AA10450" t="s">
        <v>26683</v>
      </c>
      <c r="AB10450" t="s">
        <v>30347</v>
      </c>
      <c r="AE10450">
        <v>240</v>
      </c>
      <c r="AF10450" t="s">
        <v>45541</v>
      </c>
      <c r="AG10450" t="s">
        <v>45556</v>
      </c>
      <c r="AH10450">
        <v>3</v>
      </c>
      <c r="AI10450">
        <v>1</v>
      </c>
      <c r="AJ10450">
        <v>0</v>
      </c>
      <c r="AK10450">
        <v>192.15</v>
      </c>
      <c r="AN10450" t="s">
        <v>7439</v>
      </c>
      <c r="AO10450">
        <v>24000</v>
      </c>
      <c r="AU10450">
        <v>0.9</v>
      </c>
      <c r="AV10450" t="s">
        <v>765</v>
      </c>
      <c r="AW10450" t="s">
        <v>46829</v>
      </c>
    </row>
    <row r="10451" spans="1:50">
      <c r="A10451" s="1">
        <f>HYPERLINK("https://lsnyc.legalserver.org/matter/dynamic-profile/view/1897868","19-1897868")</f>
        <v>0</v>
      </c>
      <c r="B10451" t="s">
        <v>131</v>
      </c>
      <c r="C10451" t="s">
        <v>340</v>
      </c>
      <c r="D10451" t="s">
        <v>765</v>
      </c>
      <c r="F10451" t="s">
        <v>4828</v>
      </c>
      <c r="G10451" t="s">
        <v>9364</v>
      </c>
      <c r="H10451" t="s">
        <v>16708</v>
      </c>
      <c r="J10451" t="s">
        <v>18902</v>
      </c>
      <c r="K10451">
        <v>10306</v>
      </c>
      <c r="L10451" t="s">
        <v>18960</v>
      </c>
      <c r="M10451" t="s">
        <v>18960</v>
      </c>
      <c r="R10451" t="s">
        <v>26589</v>
      </c>
      <c r="U10451" t="s">
        <v>26604</v>
      </c>
      <c r="X10451">
        <v>0</v>
      </c>
      <c r="Y10451" t="s">
        <v>26654</v>
      </c>
      <c r="AB10451" t="s">
        <v>33980</v>
      </c>
      <c r="AE10451">
        <v>0</v>
      </c>
      <c r="AH10451">
        <v>0</v>
      </c>
      <c r="AI10451">
        <v>1</v>
      </c>
      <c r="AJ10451">
        <v>1</v>
      </c>
      <c r="AK10451">
        <v>266.11</v>
      </c>
      <c r="AN10451" t="s">
        <v>45616</v>
      </c>
      <c r="AO10451">
        <v>45000</v>
      </c>
      <c r="AU10451">
        <v>5</v>
      </c>
      <c r="AV10451" t="s">
        <v>815</v>
      </c>
      <c r="AW10451" t="s">
        <v>131</v>
      </c>
    </row>
    <row r="10452" spans="1:50">
      <c r="A10452" s="1">
        <f>HYPERLINK("https://lsnyc.legalserver.org/matter/dynamic-profile/view/1896786","19-1896786")</f>
        <v>0</v>
      </c>
      <c r="B10452" t="s">
        <v>153</v>
      </c>
      <c r="C10452" t="s">
        <v>340</v>
      </c>
      <c r="D10452" t="s">
        <v>765</v>
      </c>
      <c r="F10452" t="s">
        <v>4829</v>
      </c>
      <c r="G10452" t="s">
        <v>9365</v>
      </c>
      <c r="H10452" t="s">
        <v>9911</v>
      </c>
      <c r="I10452" t="s">
        <v>17833</v>
      </c>
      <c r="J10452" t="s">
        <v>18902</v>
      </c>
      <c r="K10452">
        <v>10304</v>
      </c>
      <c r="L10452" t="s">
        <v>18960</v>
      </c>
      <c r="M10452" t="s">
        <v>18960</v>
      </c>
      <c r="N10452" t="s">
        <v>26035</v>
      </c>
      <c r="O10452" t="s">
        <v>26523</v>
      </c>
      <c r="R10452" t="s">
        <v>26578</v>
      </c>
      <c r="S10452" t="s">
        <v>18959</v>
      </c>
      <c r="U10452" t="s">
        <v>26604</v>
      </c>
      <c r="V10452" t="s">
        <v>26610</v>
      </c>
      <c r="X10452">
        <v>1570</v>
      </c>
      <c r="Y10452" t="s">
        <v>26654</v>
      </c>
      <c r="Z10452" t="s">
        <v>26668</v>
      </c>
      <c r="AB10452" t="s">
        <v>33981</v>
      </c>
      <c r="AD10452" t="s">
        <v>44885</v>
      </c>
      <c r="AE10452">
        <v>0</v>
      </c>
      <c r="AF10452" t="s">
        <v>45543</v>
      </c>
      <c r="AG10452" t="s">
        <v>19330</v>
      </c>
      <c r="AH10452">
        <v>16</v>
      </c>
      <c r="AI10452">
        <v>1</v>
      </c>
      <c r="AJ10452">
        <v>1</v>
      </c>
      <c r="AK10452">
        <v>276.76</v>
      </c>
      <c r="AM10452" t="s">
        <v>45575</v>
      </c>
      <c r="AN10452" t="s">
        <v>26530</v>
      </c>
      <c r="AO10452">
        <v>46800</v>
      </c>
      <c r="AU10452">
        <v>4.15</v>
      </c>
      <c r="AV10452" t="s">
        <v>821</v>
      </c>
      <c r="AW10452" t="s">
        <v>46883</v>
      </c>
    </row>
    <row r="10453" spans="1:50">
      <c r="A10453" s="1">
        <f>HYPERLINK("https://lsnyc.legalserver.org/matter/dynamic-profile/view/1897978","19-1897978")</f>
        <v>0</v>
      </c>
      <c r="B10453" t="s">
        <v>120</v>
      </c>
      <c r="C10453" t="s">
        <v>340</v>
      </c>
      <c r="D10453" t="s">
        <v>765</v>
      </c>
      <c r="F10453" t="s">
        <v>4830</v>
      </c>
      <c r="G10453" t="s">
        <v>5314</v>
      </c>
      <c r="H10453" t="s">
        <v>13116</v>
      </c>
      <c r="I10453">
        <v>214</v>
      </c>
      <c r="J10453" t="s">
        <v>18892</v>
      </c>
      <c r="K10453">
        <v>10457</v>
      </c>
      <c r="L10453" t="s">
        <v>18958</v>
      </c>
      <c r="M10453" t="s">
        <v>18958</v>
      </c>
      <c r="N10453" t="s">
        <v>26036</v>
      </c>
      <c r="O10453" t="s">
        <v>26523</v>
      </c>
      <c r="R10453" t="s">
        <v>26579</v>
      </c>
      <c r="S10453" t="s">
        <v>18959</v>
      </c>
      <c r="U10453" t="s">
        <v>26604</v>
      </c>
      <c r="X10453">
        <v>1585</v>
      </c>
      <c r="Y10453" t="s">
        <v>26650</v>
      </c>
      <c r="Z10453" t="s">
        <v>26668</v>
      </c>
      <c r="AB10453" t="s">
        <v>33982</v>
      </c>
      <c r="AC10453" t="s">
        <v>36722</v>
      </c>
      <c r="AD10453" t="s">
        <v>44886</v>
      </c>
      <c r="AE10453">
        <v>0</v>
      </c>
      <c r="AF10453" t="s">
        <v>20460</v>
      </c>
      <c r="AG10453" t="s">
        <v>19330</v>
      </c>
      <c r="AH10453">
        <v>11</v>
      </c>
      <c r="AI10453">
        <v>1</v>
      </c>
      <c r="AJ10453">
        <v>2</v>
      </c>
      <c r="AK10453">
        <v>19.69</v>
      </c>
      <c r="AN10453" t="s">
        <v>7439</v>
      </c>
      <c r="AO10453">
        <v>4200</v>
      </c>
      <c r="AP10453" t="s">
        <v>46301</v>
      </c>
      <c r="AU10453">
        <v>2.9</v>
      </c>
      <c r="AV10453" t="s">
        <v>814</v>
      </c>
      <c r="AW10453" t="s">
        <v>46832</v>
      </c>
      <c r="AX10453" t="s">
        <v>46898</v>
      </c>
    </row>
    <row r="10454" spans="1:50">
      <c r="A10454" s="1">
        <f>HYPERLINK("https://lsnyc.legalserver.org/matter/dynamic-profile/view/1898245","19-1898245")</f>
        <v>0</v>
      </c>
      <c r="B10454" t="s">
        <v>54</v>
      </c>
      <c r="C10454" t="s">
        <v>340</v>
      </c>
      <c r="D10454" t="s">
        <v>765</v>
      </c>
      <c r="F10454" t="s">
        <v>4831</v>
      </c>
      <c r="G10454" t="s">
        <v>5639</v>
      </c>
      <c r="H10454" t="s">
        <v>14804</v>
      </c>
      <c r="I10454" t="s">
        <v>17435</v>
      </c>
      <c r="J10454" t="s">
        <v>18892</v>
      </c>
      <c r="K10454">
        <v>10467</v>
      </c>
      <c r="L10454" t="s">
        <v>18958</v>
      </c>
      <c r="M10454" t="s">
        <v>18958</v>
      </c>
      <c r="N10454" t="s">
        <v>26037</v>
      </c>
      <c r="O10454" t="s">
        <v>26524</v>
      </c>
      <c r="P10454" t="s">
        <v>26560</v>
      </c>
      <c r="R10454" t="s">
        <v>26579</v>
      </c>
      <c r="S10454" t="s">
        <v>18959</v>
      </c>
      <c r="U10454" t="s">
        <v>26604</v>
      </c>
      <c r="V10454" t="s">
        <v>26610</v>
      </c>
      <c r="X10454">
        <v>1100</v>
      </c>
      <c r="Y10454" t="s">
        <v>26650</v>
      </c>
      <c r="Z10454" t="s">
        <v>26668</v>
      </c>
      <c r="AB10454" t="s">
        <v>33983</v>
      </c>
      <c r="AD10454" t="s">
        <v>44887</v>
      </c>
      <c r="AE10454">
        <v>5</v>
      </c>
      <c r="AF10454" t="s">
        <v>45547</v>
      </c>
      <c r="AG10454" t="s">
        <v>19330</v>
      </c>
      <c r="AH10454">
        <v>20</v>
      </c>
      <c r="AI10454">
        <v>1</v>
      </c>
      <c r="AJ10454">
        <v>0</v>
      </c>
      <c r="AK10454">
        <v>291.43</v>
      </c>
      <c r="AN10454" t="s">
        <v>7439</v>
      </c>
      <c r="AO10454">
        <v>36400</v>
      </c>
      <c r="AP10454" t="s">
        <v>46275</v>
      </c>
      <c r="AU10454">
        <v>6.1</v>
      </c>
      <c r="AV10454" t="s">
        <v>814</v>
      </c>
      <c r="AW10454" t="s">
        <v>46832</v>
      </c>
      <c r="AX10454" t="s">
        <v>46897</v>
      </c>
    </row>
    <row r="10455" spans="1:50">
      <c r="A10455" s="1">
        <f>HYPERLINK("https://lsnyc.legalserver.org/matter/dynamic-profile/view/1898041","19-1898041")</f>
        <v>0</v>
      </c>
      <c r="B10455" t="s">
        <v>275</v>
      </c>
      <c r="C10455" t="s">
        <v>340</v>
      </c>
      <c r="D10455" t="s">
        <v>765</v>
      </c>
      <c r="F10455" t="s">
        <v>1838</v>
      </c>
      <c r="G10455" t="s">
        <v>5273</v>
      </c>
      <c r="H10455" t="s">
        <v>16216</v>
      </c>
      <c r="I10455">
        <v>524</v>
      </c>
      <c r="J10455" t="s">
        <v>18892</v>
      </c>
      <c r="K10455">
        <v>10453</v>
      </c>
      <c r="L10455" t="s">
        <v>18958</v>
      </c>
      <c r="M10455" t="s">
        <v>18958</v>
      </c>
      <c r="N10455" t="s">
        <v>26038</v>
      </c>
      <c r="O10455" t="s">
        <v>26523</v>
      </c>
      <c r="R10455" t="s">
        <v>26577</v>
      </c>
      <c r="S10455" t="s">
        <v>18959</v>
      </c>
      <c r="U10455" t="s">
        <v>26604</v>
      </c>
      <c r="X10455">
        <v>1196.5</v>
      </c>
      <c r="Y10455" t="s">
        <v>26650</v>
      </c>
      <c r="Z10455" t="s">
        <v>26664</v>
      </c>
      <c r="AB10455" t="s">
        <v>33984</v>
      </c>
      <c r="AC10455" t="s">
        <v>36723</v>
      </c>
      <c r="AD10455" t="s">
        <v>44888</v>
      </c>
      <c r="AE10455">
        <v>146</v>
      </c>
      <c r="AF10455" t="s">
        <v>45541</v>
      </c>
      <c r="AG10455" t="s">
        <v>19330</v>
      </c>
      <c r="AH10455">
        <v>33</v>
      </c>
      <c r="AI10455">
        <v>1</v>
      </c>
      <c r="AJ10455">
        <v>0</v>
      </c>
      <c r="AK10455">
        <v>82.72</v>
      </c>
      <c r="AN10455" t="s">
        <v>7439</v>
      </c>
      <c r="AO10455">
        <v>10332</v>
      </c>
      <c r="AU10455">
        <v>14.5</v>
      </c>
      <c r="AV10455" t="s">
        <v>797</v>
      </c>
      <c r="AW10455" t="s">
        <v>336</v>
      </c>
      <c r="AX10455" t="s">
        <v>46898</v>
      </c>
    </row>
    <row r="10456" spans="1:50">
      <c r="A10456" s="1">
        <f>HYPERLINK("https://lsnyc.legalserver.org/matter/dynamic-profile/view/1898018","19-1898018")</f>
        <v>0</v>
      </c>
      <c r="B10456" t="s">
        <v>275</v>
      </c>
      <c r="C10456" t="s">
        <v>340</v>
      </c>
      <c r="D10456" t="s">
        <v>765</v>
      </c>
      <c r="F10456" t="s">
        <v>2317</v>
      </c>
      <c r="G10456" t="s">
        <v>1146</v>
      </c>
      <c r="H10456" t="s">
        <v>16709</v>
      </c>
      <c r="I10456" t="s">
        <v>17284</v>
      </c>
      <c r="J10456" t="s">
        <v>18892</v>
      </c>
      <c r="K10456">
        <v>10467</v>
      </c>
      <c r="L10456" t="s">
        <v>18958</v>
      </c>
      <c r="M10456" t="s">
        <v>18958</v>
      </c>
      <c r="N10456" t="s">
        <v>26039</v>
      </c>
      <c r="O10456" t="s">
        <v>26523</v>
      </c>
      <c r="R10456" t="s">
        <v>26579</v>
      </c>
      <c r="S10456" t="s">
        <v>18959</v>
      </c>
      <c r="U10456" t="s">
        <v>26604</v>
      </c>
      <c r="X10456">
        <v>1681</v>
      </c>
      <c r="Y10456" t="s">
        <v>26650</v>
      </c>
      <c r="Z10456" t="s">
        <v>26664</v>
      </c>
      <c r="AB10456" t="s">
        <v>33985</v>
      </c>
      <c r="AC10456" t="s">
        <v>36724</v>
      </c>
      <c r="AD10456" t="s">
        <v>44889</v>
      </c>
      <c r="AE10456">
        <v>50</v>
      </c>
      <c r="AG10456" t="s">
        <v>19330</v>
      </c>
      <c r="AH10456">
        <v>3</v>
      </c>
      <c r="AI10456">
        <v>1</v>
      </c>
      <c r="AJ10456">
        <v>1</v>
      </c>
      <c r="AK10456">
        <v>153.76</v>
      </c>
      <c r="AN10456" t="s">
        <v>7439</v>
      </c>
      <c r="AO10456">
        <v>26000</v>
      </c>
      <c r="AU10456">
        <v>9.5</v>
      </c>
      <c r="AV10456" t="s">
        <v>828</v>
      </c>
      <c r="AW10456" t="s">
        <v>336</v>
      </c>
      <c r="AX10456" t="s">
        <v>46897</v>
      </c>
    </row>
    <row r="10457" spans="1:50">
      <c r="A10457" s="1">
        <f>HYPERLINK("https://lsnyc.legalserver.org/matter/dynamic-profile/view/1897989","19-1897989")</f>
        <v>0</v>
      </c>
      <c r="B10457" t="s">
        <v>74</v>
      </c>
      <c r="C10457" t="s">
        <v>341</v>
      </c>
      <c r="D10457" t="s">
        <v>766</v>
      </c>
      <c r="E10457" t="s">
        <v>808</v>
      </c>
      <c r="F10457" t="s">
        <v>939</v>
      </c>
      <c r="G10457" t="s">
        <v>9366</v>
      </c>
      <c r="H10457" t="s">
        <v>16710</v>
      </c>
      <c r="I10457" t="s">
        <v>18534</v>
      </c>
      <c r="J10457" t="s">
        <v>18893</v>
      </c>
      <c r="K10457">
        <v>10025</v>
      </c>
      <c r="L10457" t="s">
        <v>18960</v>
      </c>
      <c r="M10457" t="s">
        <v>18960</v>
      </c>
      <c r="P10457" t="s">
        <v>26564</v>
      </c>
      <c r="Q10457" t="s">
        <v>26570</v>
      </c>
      <c r="R10457" t="s">
        <v>26591</v>
      </c>
      <c r="U10457" t="s">
        <v>26604</v>
      </c>
      <c r="X10457">
        <v>1130</v>
      </c>
      <c r="Y10457" t="s">
        <v>26651</v>
      </c>
      <c r="AA10457" t="s">
        <v>26683</v>
      </c>
      <c r="AB10457" t="s">
        <v>33986</v>
      </c>
      <c r="AD10457" t="s">
        <v>44890</v>
      </c>
      <c r="AE10457">
        <v>42</v>
      </c>
      <c r="AG10457" t="s">
        <v>45556</v>
      </c>
      <c r="AH10457">
        <v>15</v>
      </c>
      <c r="AI10457">
        <v>1</v>
      </c>
      <c r="AJ10457">
        <v>0</v>
      </c>
      <c r="AK10457">
        <v>69.08</v>
      </c>
      <c r="AN10457" t="s">
        <v>7439</v>
      </c>
      <c r="AO10457">
        <v>8628</v>
      </c>
      <c r="AU10457">
        <v>1</v>
      </c>
      <c r="AV10457" t="s">
        <v>766</v>
      </c>
      <c r="AW10457" t="s">
        <v>46857</v>
      </c>
    </row>
    <row r="10458" spans="1:50">
      <c r="A10458" s="1">
        <f>HYPERLINK("https://lsnyc.legalserver.org/matter/dynamic-profile/view/1897952","19-1897952")</f>
        <v>0</v>
      </c>
      <c r="B10458" t="s">
        <v>322</v>
      </c>
      <c r="C10458" t="s">
        <v>340</v>
      </c>
      <c r="D10458" t="s">
        <v>766</v>
      </c>
      <c r="F10458" t="s">
        <v>996</v>
      </c>
      <c r="G10458" t="s">
        <v>9367</v>
      </c>
      <c r="H10458" t="s">
        <v>16711</v>
      </c>
      <c r="I10458">
        <v>932</v>
      </c>
      <c r="J10458" t="s">
        <v>18893</v>
      </c>
      <c r="K10458">
        <v>10016</v>
      </c>
      <c r="L10458" t="s">
        <v>18960</v>
      </c>
      <c r="M10458" t="s">
        <v>18960</v>
      </c>
      <c r="N10458" t="s">
        <v>26040</v>
      </c>
      <c r="O10458" t="s">
        <v>26523</v>
      </c>
      <c r="R10458" t="s">
        <v>26583</v>
      </c>
      <c r="U10458" t="s">
        <v>26604</v>
      </c>
      <c r="X10458">
        <v>883</v>
      </c>
      <c r="Y10458" t="s">
        <v>26651</v>
      </c>
      <c r="Z10458" t="s">
        <v>26530</v>
      </c>
      <c r="AB10458" t="s">
        <v>33987</v>
      </c>
      <c r="AD10458" t="s">
        <v>44891</v>
      </c>
      <c r="AE10458">
        <v>409</v>
      </c>
      <c r="AG10458" t="s">
        <v>45556</v>
      </c>
      <c r="AH10458">
        <v>11</v>
      </c>
      <c r="AI10458">
        <v>1</v>
      </c>
      <c r="AJ10458">
        <v>0</v>
      </c>
      <c r="AK10458">
        <v>290.63</v>
      </c>
      <c r="AN10458" t="s">
        <v>7439</v>
      </c>
      <c r="AO10458">
        <v>36300</v>
      </c>
      <c r="AU10458">
        <v>0.6</v>
      </c>
      <c r="AV10458" t="s">
        <v>766</v>
      </c>
      <c r="AW10458" t="s">
        <v>46842</v>
      </c>
    </row>
    <row r="10459" spans="1:50">
      <c r="A10459" s="1">
        <f>HYPERLINK("https://lsnyc.legalserver.org/matter/dynamic-profile/view/1897976","19-1897976")</f>
        <v>0</v>
      </c>
      <c r="B10459" t="s">
        <v>66</v>
      </c>
      <c r="C10459" t="s">
        <v>340</v>
      </c>
      <c r="D10459" t="s">
        <v>766</v>
      </c>
      <c r="F10459" t="s">
        <v>1299</v>
      </c>
      <c r="G10459" t="s">
        <v>3662</v>
      </c>
      <c r="H10459" t="s">
        <v>10930</v>
      </c>
      <c r="I10459" t="s">
        <v>18293</v>
      </c>
      <c r="J10459" t="s">
        <v>18893</v>
      </c>
      <c r="K10459">
        <v>10025</v>
      </c>
      <c r="L10459" t="s">
        <v>18959</v>
      </c>
      <c r="M10459" t="s">
        <v>18959</v>
      </c>
      <c r="O10459" t="s">
        <v>26543</v>
      </c>
      <c r="P10459" t="s">
        <v>26561</v>
      </c>
      <c r="R10459" t="s">
        <v>26582</v>
      </c>
      <c r="S10459" t="s">
        <v>18959</v>
      </c>
      <c r="U10459" t="s">
        <v>26605</v>
      </c>
      <c r="V10459" t="s">
        <v>26610</v>
      </c>
      <c r="X10459">
        <v>383</v>
      </c>
      <c r="Y10459" t="s">
        <v>26651</v>
      </c>
      <c r="Z10459" t="s">
        <v>26659</v>
      </c>
      <c r="AB10459" t="s">
        <v>31318</v>
      </c>
      <c r="AD10459" t="s">
        <v>41513</v>
      </c>
      <c r="AE10459">
        <v>0</v>
      </c>
      <c r="AF10459" t="s">
        <v>45542</v>
      </c>
      <c r="AG10459" t="s">
        <v>19330</v>
      </c>
      <c r="AH10459">
        <v>46</v>
      </c>
      <c r="AI10459">
        <v>1</v>
      </c>
      <c r="AJ10459">
        <v>0</v>
      </c>
      <c r="AK10459">
        <v>41.63</v>
      </c>
      <c r="AN10459" t="s">
        <v>7439</v>
      </c>
      <c r="AO10459">
        <v>5200</v>
      </c>
      <c r="AU10459">
        <v>2</v>
      </c>
      <c r="AV10459" t="s">
        <v>830</v>
      </c>
      <c r="AW10459" t="s">
        <v>314</v>
      </c>
    </row>
    <row r="10460" spans="1:50">
      <c r="A10460" s="1">
        <f>HYPERLINK("https://lsnyc.legalserver.org/matter/dynamic-profile/view/1897946","19-1897946")</f>
        <v>0</v>
      </c>
      <c r="B10460" t="s">
        <v>68</v>
      </c>
      <c r="C10460" t="s">
        <v>340</v>
      </c>
      <c r="D10460" t="s">
        <v>766</v>
      </c>
      <c r="F10460" t="s">
        <v>4832</v>
      </c>
      <c r="G10460" t="s">
        <v>6399</v>
      </c>
      <c r="H10460" t="s">
        <v>16712</v>
      </c>
      <c r="I10460" t="s">
        <v>17356</v>
      </c>
      <c r="J10460" t="s">
        <v>18892</v>
      </c>
      <c r="K10460">
        <v>10467</v>
      </c>
      <c r="L10460" t="s">
        <v>18958</v>
      </c>
      <c r="M10460" t="s">
        <v>18958</v>
      </c>
      <c r="N10460" t="s">
        <v>26041</v>
      </c>
      <c r="O10460" t="s">
        <v>26524</v>
      </c>
      <c r="P10460" t="s">
        <v>26560</v>
      </c>
      <c r="R10460" t="s">
        <v>26579</v>
      </c>
      <c r="S10460" t="s">
        <v>18959</v>
      </c>
      <c r="U10460" t="s">
        <v>26604</v>
      </c>
      <c r="V10460" t="s">
        <v>26610</v>
      </c>
      <c r="X10460">
        <v>1026</v>
      </c>
      <c r="Y10460" t="s">
        <v>26650</v>
      </c>
      <c r="Z10460" t="s">
        <v>26664</v>
      </c>
      <c r="AB10460" t="s">
        <v>33988</v>
      </c>
      <c r="AD10460" t="s">
        <v>44892</v>
      </c>
      <c r="AE10460">
        <v>49</v>
      </c>
      <c r="AF10460" t="s">
        <v>45541</v>
      </c>
      <c r="AG10460" t="s">
        <v>45559</v>
      </c>
      <c r="AH10460">
        <v>13</v>
      </c>
      <c r="AI10460">
        <v>2</v>
      </c>
      <c r="AJ10460">
        <v>0</v>
      </c>
      <c r="AK10460">
        <v>213.25</v>
      </c>
      <c r="AN10460" t="s">
        <v>7439</v>
      </c>
      <c r="AO10460">
        <v>36060</v>
      </c>
      <c r="AP10460" t="s">
        <v>46275</v>
      </c>
      <c r="AU10460">
        <v>6.3</v>
      </c>
      <c r="AV10460" t="s">
        <v>830</v>
      </c>
      <c r="AW10460" t="s">
        <v>334</v>
      </c>
    </row>
    <row r="10461" spans="1:50">
      <c r="A10461" s="1">
        <f>HYPERLINK("https://lsnyc.legalserver.org/matter/dynamic-profile/view/1897947","19-1897947")</f>
        <v>0</v>
      </c>
      <c r="B10461" t="s">
        <v>135</v>
      </c>
      <c r="C10461" t="s">
        <v>340</v>
      </c>
      <c r="D10461" t="s">
        <v>766</v>
      </c>
      <c r="F10461" t="s">
        <v>3693</v>
      </c>
      <c r="G10461" t="s">
        <v>5868</v>
      </c>
      <c r="H10461" t="s">
        <v>14298</v>
      </c>
      <c r="I10461" t="s">
        <v>17522</v>
      </c>
      <c r="J10461" t="s">
        <v>18892</v>
      </c>
      <c r="K10461">
        <v>10452</v>
      </c>
      <c r="L10461" t="s">
        <v>18959</v>
      </c>
      <c r="M10461" t="s">
        <v>18958</v>
      </c>
      <c r="O10461" t="s">
        <v>26529</v>
      </c>
      <c r="P10461" t="s">
        <v>26564</v>
      </c>
      <c r="R10461" t="s">
        <v>26578</v>
      </c>
      <c r="S10461" t="s">
        <v>18959</v>
      </c>
      <c r="U10461" t="s">
        <v>26604</v>
      </c>
      <c r="X10461">
        <v>0</v>
      </c>
      <c r="Y10461" t="s">
        <v>26650</v>
      </c>
      <c r="Z10461" t="s">
        <v>26663</v>
      </c>
      <c r="AB10461" t="s">
        <v>31711</v>
      </c>
      <c r="AE10461">
        <v>92</v>
      </c>
      <c r="AF10461" t="s">
        <v>45541</v>
      </c>
      <c r="AG10461" t="s">
        <v>45556</v>
      </c>
      <c r="AH10461">
        <v>9</v>
      </c>
      <c r="AI10461">
        <v>2</v>
      </c>
      <c r="AJ10461">
        <v>0</v>
      </c>
      <c r="AK10461">
        <v>0</v>
      </c>
      <c r="AN10461" t="s">
        <v>7439</v>
      </c>
      <c r="AO10461">
        <v>0</v>
      </c>
      <c r="AP10461" t="s">
        <v>46302</v>
      </c>
      <c r="AU10461">
        <v>0</v>
      </c>
      <c r="AW10461" t="s">
        <v>46847</v>
      </c>
      <c r="AX10461" t="s">
        <v>46897</v>
      </c>
    </row>
    <row r="10462" spans="1:50">
      <c r="A10462" s="1">
        <f>HYPERLINK("https://lsnyc.legalserver.org/matter/dynamic-profile/view/1897977","19-1897977")</f>
        <v>0</v>
      </c>
      <c r="B10462" t="s">
        <v>87</v>
      </c>
      <c r="C10462" t="s">
        <v>340</v>
      </c>
      <c r="D10462" t="s">
        <v>766</v>
      </c>
      <c r="F10462" t="s">
        <v>2193</v>
      </c>
      <c r="G10462" t="s">
        <v>9368</v>
      </c>
      <c r="H10462" t="s">
        <v>13555</v>
      </c>
      <c r="I10462" t="s">
        <v>18797</v>
      </c>
      <c r="J10462" t="s">
        <v>18892</v>
      </c>
      <c r="K10462">
        <v>10457</v>
      </c>
      <c r="L10462" t="s">
        <v>18958</v>
      </c>
      <c r="M10462" t="s">
        <v>18958</v>
      </c>
      <c r="N10462" t="s">
        <v>26042</v>
      </c>
      <c r="O10462" t="s">
        <v>26523</v>
      </c>
      <c r="P10462" t="s">
        <v>26560</v>
      </c>
      <c r="R10462" t="s">
        <v>26579</v>
      </c>
      <c r="U10462" t="s">
        <v>26604</v>
      </c>
      <c r="V10462" t="s">
        <v>26610</v>
      </c>
      <c r="X10462">
        <v>1751</v>
      </c>
      <c r="Y10462" t="s">
        <v>26650</v>
      </c>
      <c r="Z10462" t="s">
        <v>26664</v>
      </c>
      <c r="AB10462" t="s">
        <v>29867</v>
      </c>
      <c r="AD10462" t="s">
        <v>44893</v>
      </c>
      <c r="AE10462">
        <v>0</v>
      </c>
      <c r="AF10462" t="s">
        <v>45541</v>
      </c>
      <c r="AG10462" t="s">
        <v>19330</v>
      </c>
      <c r="AH10462">
        <v>4</v>
      </c>
      <c r="AI10462">
        <v>2</v>
      </c>
      <c r="AJ10462">
        <v>3</v>
      </c>
      <c r="AK10462">
        <v>206.83</v>
      </c>
      <c r="AO10462">
        <v>62400</v>
      </c>
      <c r="AP10462" t="s">
        <v>46303</v>
      </c>
      <c r="AU10462">
        <v>1.5</v>
      </c>
      <c r="AV10462" t="s">
        <v>769</v>
      </c>
      <c r="AW10462" t="s">
        <v>334</v>
      </c>
    </row>
    <row r="10463" spans="1:50">
      <c r="A10463" s="1">
        <f>HYPERLINK("https://lsnyc.legalserver.org/matter/dynamic-profile/view/1898149","19-1898149")</f>
        <v>0</v>
      </c>
      <c r="B10463" t="s">
        <v>169</v>
      </c>
      <c r="C10463" t="s">
        <v>341</v>
      </c>
      <c r="D10463" t="s">
        <v>801</v>
      </c>
      <c r="E10463" t="s">
        <v>767</v>
      </c>
      <c r="F10463" t="s">
        <v>887</v>
      </c>
      <c r="G10463" t="s">
        <v>5113</v>
      </c>
      <c r="H10463" t="s">
        <v>16713</v>
      </c>
      <c r="I10463" t="s">
        <v>17299</v>
      </c>
      <c r="J10463" t="s">
        <v>18892</v>
      </c>
      <c r="K10463">
        <v>10453</v>
      </c>
      <c r="L10463" t="s">
        <v>18958</v>
      </c>
      <c r="M10463" t="s">
        <v>18958</v>
      </c>
      <c r="P10463" t="s">
        <v>26564</v>
      </c>
      <c r="Q10463" t="s">
        <v>26570</v>
      </c>
      <c r="R10463" t="s">
        <v>26578</v>
      </c>
      <c r="S10463" t="s">
        <v>18959</v>
      </c>
      <c r="U10463" t="s">
        <v>26604</v>
      </c>
      <c r="X10463">
        <v>903</v>
      </c>
      <c r="Y10463" t="s">
        <v>26650</v>
      </c>
      <c r="AA10463" t="s">
        <v>26683</v>
      </c>
      <c r="AB10463" t="s">
        <v>31801</v>
      </c>
      <c r="AE10463">
        <v>0</v>
      </c>
      <c r="AF10463" t="s">
        <v>45548</v>
      </c>
      <c r="AG10463" t="s">
        <v>45556</v>
      </c>
      <c r="AH10463">
        <v>29</v>
      </c>
      <c r="AI10463">
        <v>3</v>
      </c>
      <c r="AJ10463">
        <v>0</v>
      </c>
      <c r="AK10463">
        <v>60.95</v>
      </c>
      <c r="AN10463" t="s">
        <v>45581</v>
      </c>
      <c r="AO10463">
        <v>13000</v>
      </c>
      <c r="AU10463">
        <v>0.3</v>
      </c>
      <c r="AV10463" t="s">
        <v>767</v>
      </c>
      <c r="AW10463" t="s">
        <v>329</v>
      </c>
    </row>
    <row r="10464" spans="1:50">
      <c r="A10464" s="1">
        <f>HYPERLINK("https://lsnyc.legalserver.org/matter/dynamic-profile/view/1898074","19-1898074")</f>
        <v>0</v>
      </c>
      <c r="B10464" t="s">
        <v>169</v>
      </c>
      <c r="C10464" t="s">
        <v>341</v>
      </c>
      <c r="D10464" t="s">
        <v>801</v>
      </c>
      <c r="E10464" t="s">
        <v>767</v>
      </c>
      <c r="F10464" t="s">
        <v>1092</v>
      </c>
      <c r="G10464" t="s">
        <v>9369</v>
      </c>
      <c r="H10464" t="s">
        <v>13057</v>
      </c>
      <c r="I10464" t="s">
        <v>18798</v>
      </c>
      <c r="J10464" t="s">
        <v>18892</v>
      </c>
      <c r="K10464">
        <v>10452</v>
      </c>
      <c r="L10464" t="s">
        <v>18958</v>
      </c>
      <c r="M10464" t="s">
        <v>18958</v>
      </c>
      <c r="P10464" t="s">
        <v>26564</v>
      </c>
      <c r="Q10464" t="s">
        <v>26570</v>
      </c>
      <c r="R10464" t="s">
        <v>26578</v>
      </c>
      <c r="S10464" t="s">
        <v>18959</v>
      </c>
      <c r="U10464" t="s">
        <v>26604</v>
      </c>
      <c r="X10464">
        <v>1160</v>
      </c>
      <c r="Y10464" t="s">
        <v>26650</v>
      </c>
      <c r="AA10464" t="s">
        <v>26683</v>
      </c>
      <c r="AB10464" t="s">
        <v>33989</v>
      </c>
      <c r="AC10464" t="s">
        <v>36725</v>
      </c>
      <c r="AD10464" t="s">
        <v>44894</v>
      </c>
      <c r="AE10464">
        <v>0</v>
      </c>
      <c r="AF10464" t="s">
        <v>45547</v>
      </c>
      <c r="AG10464" t="s">
        <v>26530</v>
      </c>
      <c r="AH10464">
        <v>4</v>
      </c>
      <c r="AI10464">
        <v>1</v>
      </c>
      <c r="AJ10464">
        <v>0</v>
      </c>
      <c r="AK10464">
        <v>76.86</v>
      </c>
      <c r="AN10464" t="s">
        <v>7439</v>
      </c>
      <c r="AO10464">
        <v>9600</v>
      </c>
      <c r="AU10464">
        <v>0.5</v>
      </c>
      <c r="AV10464" t="s">
        <v>801</v>
      </c>
      <c r="AW10464" t="s">
        <v>329</v>
      </c>
    </row>
    <row r="10465" spans="1:49">
      <c r="A10465" s="1">
        <f>HYPERLINK("https://lsnyc.legalserver.org/matter/dynamic-profile/view/1898161","19-1898161")</f>
        <v>0</v>
      </c>
      <c r="B10465" t="s">
        <v>169</v>
      </c>
      <c r="C10465" t="s">
        <v>341</v>
      </c>
      <c r="D10465" t="s">
        <v>801</v>
      </c>
      <c r="E10465" t="s">
        <v>767</v>
      </c>
      <c r="F10465" t="s">
        <v>4833</v>
      </c>
      <c r="G10465" t="s">
        <v>9370</v>
      </c>
      <c r="H10465" t="s">
        <v>16714</v>
      </c>
      <c r="I10465" t="s">
        <v>17641</v>
      </c>
      <c r="J10465" t="s">
        <v>18892</v>
      </c>
      <c r="K10465">
        <v>10456</v>
      </c>
      <c r="L10465" t="s">
        <v>18958</v>
      </c>
      <c r="M10465" t="s">
        <v>18958</v>
      </c>
      <c r="P10465" t="s">
        <v>26564</v>
      </c>
      <c r="Q10465" t="s">
        <v>26570</v>
      </c>
      <c r="R10465" t="s">
        <v>26578</v>
      </c>
      <c r="S10465" t="s">
        <v>18959</v>
      </c>
      <c r="U10465" t="s">
        <v>26604</v>
      </c>
      <c r="X10465">
        <v>510</v>
      </c>
      <c r="Y10465" t="s">
        <v>26650</v>
      </c>
      <c r="AA10465" t="s">
        <v>26683</v>
      </c>
      <c r="AB10465" t="s">
        <v>33990</v>
      </c>
      <c r="AD10465" t="s">
        <v>44895</v>
      </c>
      <c r="AE10465">
        <v>0</v>
      </c>
      <c r="AF10465" t="s">
        <v>20460</v>
      </c>
      <c r="AG10465" t="s">
        <v>19330</v>
      </c>
      <c r="AH10465">
        <v>9</v>
      </c>
      <c r="AI10465">
        <v>1</v>
      </c>
      <c r="AJ10465">
        <v>3</v>
      </c>
      <c r="AK10465">
        <v>100.97</v>
      </c>
      <c r="AN10465" t="s">
        <v>7439</v>
      </c>
      <c r="AO10465">
        <v>26000</v>
      </c>
      <c r="AU10465">
        <v>0.3</v>
      </c>
      <c r="AV10465" t="s">
        <v>801</v>
      </c>
      <c r="AW10465" t="s">
        <v>329</v>
      </c>
    </row>
    <row r="10466" spans="1:49">
      <c r="A10466" s="1">
        <f>HYPERLINK("https://lsnyc.legalserver.org/matter/dynamic-profile/view/1898173","19-1898173")</f>
        <v>0</v>
      </c>
      <c r="B10466" t="s">
        <v>230</v>
      </c>
      <c r="C10466" t="s">
        <v>341</v>
      </c>
      <c r="D10466" t="s">
        <v>801</v>
      </c>
      <c r="E10466" t="s">
        <v>768</v>
      </c>
      <c r="F10466" t="s">
        <v>3259</v>
      </c>
      <c r="G10466" t="s">
        <v>7915</v>
      </c>
      <c r="H10466" t="s">
        <v>15457</v>
      </c>
      <c r="I10466" t="s">
        <v>18799</v>
      </c>
      <c r="J10466" t="s">
        <v>18894</v>
      </c>
      <c r="K10466">
        <v>11224</v>
      </c>
      <c r="L10466" t="s">
        <v>18959</v>
      </c>
      <c r="M10466" t="s">
        <v>18959</v>
      </c>
      <c r="N10466" t="s">
        <v>26043</v>
      </c>
      <c r="O10466" t="s">
        <v>26524</v>
      </c>
      <c r="Q10466" t="s">
        <v>26570</v>
      </c>
      <c r="R10466" t="s">
        <v>26586</v>
      </c>
      <c r="U10466" t="s">
        <v>26605</v>
      </c>
      <c r="X10466">
        <v>513</v>
      </c>
      <c r="Y10466" t="s">
        <v>26652</v>
      </c>
      <c r="Z10466" t="s">
        <v>26664</v>
      </c>
      <c r="AA10466" t="s">
        <v>26683</v>
      </c>
      <c r="AB10466" t="s">
        <v>33991</v>
      </c>
      <c r="AC10466" t="s">
        <v>36726</v>
      </c>
      <c r="AD10466" t="s">
        <v>44896</v>
      </c>
      <c r="AE10466">
        <v>0</v>
      </c>
      <c r="AH10466">
        <v>0</v>
      </c>
      <c r="AI10466">
        <v>1</v>
      </c>
      <c r="AJ10466">
        <v>0</v>
      </c>
      <c r="AK10466">
        <v>178.99</v>
      </c>
      <c r="AN10466" t="s">
        <v>7439</v>
      </c>
      <c r="AO10466">
        <v>22356</v>
      </c>
      <c r="AU10466">
        <v>2</v>
      </c>
      <c r="AV10466" t="s">
        <v>768</v>
      </c>
      <c r="AW10466" t="s">
        <v>46853</v>
      </c>
    </row>
    <row r="10467" spans="1:49">
      <c r="A10467" s="1">
        <f>HYPERLINK("https://lsnyc.legalserver.org/matter/dynamic-profile/view/1898086","19-1898086")</f>
        <v>0</v>
      </c>
      <c r="B10467" t="s">
        <v>284</v>
      </c>
      <c r="C10467" t="s">
        <v>341</v>
      </c>
      <c r="D10467" t="s">
        <v>801</v>
      </c>
      <c r="E10467" t="s">
        <v>811</v>
      </c>
      <c r="F10467" t="s">
        <v>4834</v>
      </c>
      <c r="G10467" t="s">
        <v>9371</v>
      </c>
      <c r="H10467" t="s">
        <v>16715</v>
      </c>
      <c r="I10467" t="s">
        <v>17312</v>
      </c>
      <c r="J10467" t="s">
        <v>18892</v>
      </c>
      <c r="K10467">
        <v>10467</v>
      </c>
      <c r="L10467" t="s">
        <v>18960</v>
      </c>
      <c r="M10467" t="s">
        <v>18960</v>
      </c>
      <c r="N10467" t="s">
        <v>26044</v>
      </c>
      <c r="O10467" t="s">
        <v>26526</v>
      </c>
      <c r="Q10467" t="s">
        <v>26570</v>
      </c>
      <c r="R10467" t="s">
        <v>26591</v>
      </c>
      <c r="U10467" t="s">
        <v>26604</v>
      </c>
      <c r="X10467">
        <v>1060</v>
      </c>
      <c r="Y10467" t="s">
        <v>26650</v>
      </c>
      <c r="AA10467" t="s">
        <v>26683</v>
      </c>
      <c r="AB10467" t="s">
        <v>32294</v>
      </c>
      <c r="AD10467" t="s">
        <v>44897</v>
      </c>
      <c r="AE10467">
        <v>5</v>
      </c>
      <c r="AH10467">
        <v>1</v>
      </c>
      <c r="AI10467">
        <v>5</v>
      </c>
      <c r="AJ10467">
        <v>0</v>
      </c>
      <c r="AK10467">
        <v>0</v>
      </c>
      <c r="AN10467" t="s">
        <v>7439</v>
      </c>
      <c r="AO10467">
        <v>0</v>
      </c>
      <c r="AP10467" t="s">
        <v>46109</v>
      </c>
      <c r="AU10467">
        <v>1</v>
      </c>
      <c r="AV10467" t="s">
        <v>801</v>
      </c>
      <c r="AW10467" t="s">
        <v>46887</v>
      </c>
    </row>
    <row r="10468" spans="1:49">
      <c r="A10468" s="1">
        <f>HYPERLINK("https://lsnyc.legalserver.org/matter/dynamic-profile/view/1897065","19-1897065")</f>
        <v>0</v>
      </c>
      <c r="B10468" t="s">
        <v>198</v>
      </c>
      <c r="C10468" t="s">
        <v>341</v>
      </c>
      <c r="D10468" t="s">
        <v>801</v>
      </c>
      <c r="E10468" t="s">
        <v>811</v>
      </c>
      <c r="F10468" t="s">
        <v>4835</v>
      </c>
      <c r="G10468" t="s">
        <v>7074</v>
      </c>
      <c r="H10468" t="s">
        <v>16716</v>
      </c>
      <c r="I10468" t="s">
        <v>17272</v>
      </c>
      <c r="J10468" t="s">
        <v>18894</v>
      </c>
      <c r="K10468">
        <v>11216</v>
      </c>
      <c r="L10468" t="s">
        <v>18960</v>
      </c>
      <c r="M10468" t="s">
        <v>18960</v>
      </c>
      <c r="O10468" t="s">
        <v>18997</v>
      </c>
      <c r="P10468" t="s">
        <v>26564</v>
      </c>
      <c r="Q10468" t="s">
        <v>26570</v>
      </c>
      <c r="R10468" t="s">
        <v>26591</v>
      </c>
      <c r="S10468" t="s">
        <v>18959</v>
      </c>
      <c r="U10468" t="s">
        <v>26604</v>
      </c>
      <c r="X10468">
        <v>1268</v>
      </c>
      <c r="Y10468" t="s">
        <v>26652</v>
      </c>
      <c r="Z10468" t="s">
        <v>26665</v>
      </c>
      <c r="AA10468" t="s">
        <v>26683</v>
      </c>
      <c r="AB10468" t="s">
        <v>33992</v>
      </c>
      <c r="AD10468" t="s">
        <v>44898</v>
      </c>
      <c r="AE10468">
        <v>7</v>
      </c>
      <c r="AF10468" t="s">
        <v>45541</v>
      </c>
      <c r="AG10468" t="s">
        <v>45557</v>
      </c>
      <c r="AH10468">
        <v>1</v>
      </c>
      <c r="AI10468">
        <v>1</v>
      </c>
      <c r="AJ10468">
        <v>1</v>
      </c>
      <c r="AK10468">
        <v>20.58</v>
      </c>
      <c r="AN10468" t="s">
        <v>7439</v>
      </c>
      <c r="AO10468">
        <v>3480</v>
      </c>
      <c r="AU10468">
        <v>0.8</v>
      </c>
      <c r="AV10468" t="s">
        <v>811</v>
      </c>
      <c r="AW10468" t="s">
        <v>46860</v>
      </c>
    </row>
    <row r="10469" spans="1:49">
      <c r="A10469" s="1">
        <f>HYPERLINK("https://lsnyc.legalserver.org/matter/dynamic-profile/view/1897364","19-1897364")</f>
        <v>0</v>
      </c>
      <c r="B10469" t="s">
        <v>198</v>
      </c>
      <c r="C10469" t="s">
        <v>341</v>
      </c>
      <c r="D10469" t="s">
        <v>801</v>
      </c>
      <c r="E10469" t="s">
        <v>811</v>
      </c>
      <c r="F10469" t="s">
        <v>4129</v>
      </c>
      <c r="G10469" t="s">
        <v>9372</v>
      </c>
      <c r="H10469" t="s">
        <v>14054</v>
      </c>
      <c r="I10469" t="s">
        <v>17435</v>
      </c>
      <c r="J10469" t="s">
        <v>18894</v>
      </c>
      <c r="K10469">
        <v>11208</v>
      </c>
      <c r="L10469" t="s">
        <v>18960</v>
      </c>
      <c r="M10469" t="s">
        <v>18960</v>
      </c>
      <c r="Q10469" t="s">
        <v>26570</v>
      </c>
      <c r="R10469" t="s">
        <v>26591</v>
      </c>
      <c r="U10469" t="s">
        <v>26607</v>
      </c>
      <c r="X10469">
        <v>0</v>
      </c>
      <c r="Y10469" t="s">
        <v>26652</v>
      </c>
      <c r="AA10469" t="s">
        <v>26683</v>
      </c>
      <c r="AB10469" t="s">
        <v>33993</v>
      </c>
      <c r="AD10469" t="s">
        <v>44899</v>
      </c>
      <c r="AE10469">
        <v>0</v>
      </c>
      <c r="AH10469">
        <v>0</v>
      </c>
      <c r="AI10469">
        <v>2</v>
      </c>
      <c r="AJ10469">
        <v>0</v>
      </c>
      <c r="AK10469">
        <v>169.13</v>
      </c>
      <c r="AN10469" t="s">
        <v>7439</v>
      </c>
      <c r="AO10469">
        <v>28600</v>
      </c>
      <c r="AU10469">
        <v>1.6</v>
      </c>
      <c r="AV10469" t="s">
        <v>811</v>
      </c>
      <c r="AW10469" t="s">
        <v>46887</v>
      </c>
    </row>
    <row r="10470" spans="1:49">
      <c r="A10470" s="1">
        <f>HYPERLINK("https://lsnyc.legalserver.org/matter/dynamic-profile/view/1897698","19-1897698")</f>
        <v>0</v>
      </c>
      <c r="B10470" t="s">
        <v>278</v>
      </c>
      <c r="C10470" t="s">
        <v>340</v>
      </c>
      <c r="D10470" t="s">
        <v>801</v>
      </c>
      <c r="F10470" t="s">
        <v>2087</v>
      </c>
      <c r="G10470" t="s">
        <v>5125</v>
      </c>
      <c r="H10470" t="s">
        <v>16717</v>
      </c>
      <c r="J10470" t="s">
        <v>18902</v>
      </c>
      <c r="K10470">
        <v>10305</v>
      </c>
      <c r="L10470" t="s">
        <v>18960</v>
      </c>
      <c r="M10470" t="s">
        <v>18960</v>
      </c>
      <c r="N10470" t="s">
        <v>26045</v>
      </c>
      <c r="O10470" t="s">
        <v>26524</v>
      </c>
      <c r="R10470" t="s">
        <v>26578</v>
      </c>
      <c r="S10470" t="s">
        <v>18959</v>
      </c>
      <c r="U10470" t="s">
        <v>26604</v>
      </c>
      <c r="V10470" t="s">
        <v>26610</v>
      </c>
      <c r="X10470">
        <v>0</v>
      </c>
      <c r="Y10470" t="s">
        <v>26654</v>
      </c>
      <c r="Z10470" t="s">
        <v>26668</v>
      </c>
      <c r="AB10470" t="s">
        <v>33746</v>
      </c>
      <c r="AD10470" t="s">
        <v>44900</v>
      </c>
      <c r="AE10470">
        <v>3</v>
      </c>
      <c r="AF10470" t="s">
        <v>45547</v>
      </c>
      <c r="AG10470" t="s">
        <v>19330</v>
      </c>
      <c r="AH10470">
        <v>1</v>
      </c>
      <c r="AI10470">
        <v>2</v>
      </c>
      <c r="AJ10470">
        <v>0</v>
      </c>
      <c r="AK10470">
        <v>42.58</v>
      </c>
      <c r="AN10470" t="s">
        <v>7439</v>
      </c>
      <c r="AO10470">
        <v>7200</v>
      </c>
      <c r="AU10470">
        <v>2.5</v>
      </c>
      <c r="AV10470" t="s">
        <v>801</v>
      </c>
      <c r="AW10470" t="s">
        <v>46883</v>
      </c>
    </row>
    <row r="10471" spans="1:49">
      <c r="A10471" s="1">
        <f>HYPERLINK("https://lsnyc.legalserver.org/matter/dynamic-profile/view/1896339","19-1896339")</f>
        <v>0</v>
      </c>
      <c r="B10471" t="s">
        <v>278</v>
      </c>
      <c r="C10471" t="s">
        <v>340</v>
      </c>
      <c r="D10471" t="s">
        <v>801</v>
      </c>
      <c r="F10471" t="s">
        <v>1192</v>
      </c>
      <c r="G10471" t="s">
        <v>9373</v>
      </c>
      <c r="H10471" t="s">
        <v>16718</v>
      </c>
      <c r="I10471" t="s">
        <v>17352</v>
      </c>
      <c r="J10471" t="s">
        <v>18902</v>
      </c>
      <c r="K10471">
        <v>10305</v>
      </c>
      <c r="L10471" t="s">
        <v>18960</v>
      </c>
      <c r="M10471" t="s">
        <v>18960</v>
      </c>
      <c r="N10471" t="s">
        <v>26046</v>
      </c>
      <c r="O10471" t="s">
        <v>26523</v>
      </c>
      <c r="R10471" t="s">
        <v>26587</v>
      </c>
      <c r="S10471" t="s">
        <v>18959</v>
      </c>
      <c r="U10471" t="s">
        <v>26606</v>
      </c>
      <c r="V10471" t="s">
        <v>26610</v>
      </c>
      <c r="X10471">
        <v>215</v>
      </c>
      <c r="Y10471" t="s">
        <v>26654</v>
      </c>
      <c r="Z10471" t="s">
        <v>26668</v>
      </c>
      <c r="AB10471" t="s">
        <v>33994</v>
      </c>
      <c r="AD10471" t="s">
        <v>44901</v>
      </c>
      <c r="AE10471">
        <v>24</v>
      </c>
      <c r="AF10471" t="s">
        <v>45549</v>
      </c>
      <c r="AG10471" t="s">
        <v>45556</v>
      </c>
      <c r="AH10471">
        <v>6</v>
      </c>
      <c r="AI10471">
        <v>1</v>
      </c>
      <c r="AJ10471">
        <v>1</v>
      </c>
      <c r="AK10471">
        <v>54.93</v>
      </c>
      <c r="AN10471" t="s">
        <v>7439</v>
      </c>
      <c r="AO10471">
        <v>9288</v>
      </c>
      <c r="AU10471">
        <v>3.5</v>
      </c>
      <c r="AV10471" t="s">
        <v>729</v>
      </c>
      <c r="AW10471" t="s">
        <v>46883</v>
      </c>
    </row>
    <row r="10472" spans="1:49">
      <c r="A10472" s="1">
        <f>HYPERLINK("https://lsnyc.legalserver.org/matter/dynamic-profile/view/1898167","19-1898167")</f>
        <v>0</v>
      </c>
      <c r="B10472" t="s">
        <v>278</v>
      </c>
      <c r="C10472" t="s">
        <v>340</v>
      </c>
      <c r="D10472" t="s">
        <v>801</v>
      </c>
      <c r="F10472" t="s">
        <v>990</v>
      </c>
      <c r="G10472" t="s">
        <v>7473</v>
      </c>
      <c r="H10472" t="s">
        <v>13337</v>
      </c>
      <c r="J10472" t="s">
        <v>18902</v>
      </c>
      <c r="K10472">
        <v>10303</v>
      </c>
      <c r="L10472" t="s">
        <v>18960</v>
      </c>
      <c r="M10472" t="s">
        <v>18960</v>
      </c>
      <c r="N10472" t="s">
        <v>26047</v>
      </c>
      <c r="O10472" t="s">
        <v>26523</v>
      </c>
      <c r="R10472" t="s">
        <v>26590</v>
      </c>
      <c r="S10472" t="s">
        <v>18959</v>
      </c>
      <c r="U10472" t="s">
        <v>26604</v>
      </c>
      <c r="V10472" t="s">
        <v>26610</v>
      </c>
      <c r="X10472">
        <v>775</v>
      </c>
      <c r="Y10472" t="s">
        <v>26654</v>
      </c>
      <c r="Z10472" t="s">
        <v>26659</v>
      </c>
      <c r="AB10472" t="s">
        <v>27119</v>
      </c>
      <c r="AD10472" t="s">
        <v>40908</v>
      </c>
      <c r="AE10472">
        <v>0</v>
      </c>
      <c r="AF10472" t="s">
        <v>45541</v>
      </c>
      <c r="AG10472" t="s">
        <v>19330</v>
      </c>
      <c r="AH10472">
        <v>7</v>
      </c>
      <c r="AI10472">
        <v>1</v>
      </c>
      <c r="AJ10472">
        <v>0</v>
      </c>
      <c r="AK10472">
        <v>115.29</v>
      </c>
      <c r="AN10472" t="s">
        <v>7439</v>
      </c>
      <c r="AO10472">
        <v>14400</v>
      </c>
      <c r="AU10472">
        <v>9.300000000000001</v>
      </c>
      <c r="AV10472" t="s">
        <v>797</v>
      </c>
      <c r="AW10472" t="s">
        <v>46883</v>
      </c>
    </row>
    <row r="10473" spans="1:49">
      <c r="A10473" s="1">
        <f>HYPERLINK("https://lsnyc.legalserver.org/matter/dynamic-profile/view/1898136","19-1898136")</f>
        <v>0</v>
      </c>
      <c r="B10473" t="s">
        <v>148</v>
      </c>
      <c r="C10473" t="s">
        <v>340</v>
      </c>
      <c r="D10473" t="s">
        <v>801</v>
      </c>
      <c r="F10473" t="s">
        <v>880</v>
      </c>
      <c r="G10473" t="s">
        <v>9324</v>
      </c>
      <c r="H10473" t="s">
        <v>16719</v>
      </c>
      <c r="J10473" t="s">
        <v>18894</v>
      </c>
      <c r="K10473">
        <v>11218</v>
      </c>
      <c r="L10473" t="s">
        <v>18958</v>
      </c>
      <c r="M10473" t="s">
        <v>18958</v>
      </c>
      <c r="N10473" t="s">
        <v>26048</v>
      </c>
      <c r="O10473" t="s">
        <v>26523</v>
      </c>
      <c r="P10473" t="s">
        <v>26563</v>
      </c>
      <c r="R10473" t="s">
        <v>26586</v>
      </c>
      <c r="S10473" t="s">
        <v>18959</v>
      </c>
      <c r="U10473" t="s">
        <v>26604</v>
      </c>
      <c r="X10473">
        <v>0</v>
      </c>
      <c r="Y10473" t="s">
        <v>26652</v>
      </c>
      <c r="Z10473" t="s">
        <v>26669</v>
      </c>
      <c r="AB10473" t="s">
        <v>27989</v>
      </c>
      <c r="AD10473" t="s">
        <v>44902</v>
      </c>
      <c r="AE10473">
        <v>0</v>
      </c>
      <c r="AH10473">
        <v>0</v>
      </c>
      <c r="AI10473">
        <v>1</v>
      </c>
      <c r="AJ10473">
        <v>0</v>
      </c>
      <c r="AK10473">
        <v>96.08</v>
      </c>
      <c r="AN10473" t="s">
        <v>45592</v>
      </c>
      <c r="AO10473">
        <v>12000</v>
      </c>
      <c r="AU10473">
        <v>0</v>
      </c>
      <c r="AW10473" t="s">
        <v>281</v>
      </c>
    </row>
    <row r="10474" spans="1:49">
      <c r="A10474" s="1">
        <f>HYPERLINK("https://lsnyc.legalserver.org/matter/dynamic-profile/view/1896853","19-1896853")</f>
        <v>0</v>
      </c>
      <c r="B10474" t="s">
        <v>153</v>
      </c>
      <c r="C10474" t="s">
        <v>340</v>
      </c>
      <c r="D10474" t="s">
        <v>801</v>
      </c>
      <c r="F10474" t="s">
        <v>4836</v>
      </c>
      <c r="G10474" t="s">
        <v>937</v>
      </c>
      <c r="H10474" t="s">
        <v>16720</v>
      </c>
      <c r="I10474">
        <v>1</v>
      </c>
      <c r="J10474" t="s">
        <v>18902</v>
      </c>
      <c r="K10474">
        <v>10304</v>
      </c>
      <c r="L10474" t="s">
        <v>18958</v>
      </c>
      <c r="M10474" t="s">
        <v>18960</v>
      </c>
      <c r="N10474" t="s">
        <v>26049</v>
      </c>
      <c r="O10474" t="s">
        <v>26524</v>
      </c>
      <c r="R10474" t="s">
        <v>26578</v>
      </c>
      <c r="S10474" t="s">
        <v>18959</v>
      </c>
      <c r="U10474" t="s">
        <v>26604</v>
      </c>
      <c r="V10474" t="s">
        <v>26610</v>
      </c>
      <c r="X10474">
        <v>1900</v>
      </c>
      <c r="Y10474" t="s">
        <v>26654</v>
      </c>
      <c r="Z10474" t="s">
        <v>26668</v>
      </c>
      <c r="AB10474" t="s">
        <v>33592</v>
      </c>
      <c r="AD10474" t="s">
        <v>44903</v>
      </c>
      <c r="AE10474">
        <v>0</v>
      </c>
      <c r="AF10474" t="s">
        <v>45547</v>
      </c>
      <c r="AG10474" t="s">
        <v>45556</v>
      </c>
      <c r="AH10474">
        <v>5</v>
      </c>
      <c r="AI10474">
        <v>1</v>
      </c>
      <c r="AJ10474">
        <v>1</v>
      </c>
      <c r="AK10474">
        <v>96.87</v>
      </c>
      <c r="AN10474" t="s">
        <v>7439</v>
      </c>
      <c r="AO10474">
        <v>16380</v>
      </c>
      <c r="AU10474">
        <v>3.3</v>
      </c>
      <c r="AV10474" t="s">
        <v>820</v>
      </c>
      <c r="AW10474" t="s">
        <v>46883</v>
      </c>
    </row>
    <row r="10475" spans="1:49">
      <c r="A10475" s="1">
        <f>HYPERLINK("https://lsnyc.legalserver.org/matter/dynamic-profile/view/1897901","19-1897901")</f>
        <v>0</v>
      </c>
      <c r="B10475" t="s">
        <v>140</v>
      </c>
      <c r="C10475" t="s">
        <v>340</v>
      </c>
      <c r="D10475" t="s">
        <v>801</v>
      </c>
      <c r="F10475" t="s">
        <v>4477</v>
      </c>
      <c r="G10475" t="s">
        <v>5177</v>
      </c>
      <c r="H10475" t="s">
        <v>15897</v>
      </c>
      <c r="I10475">
        <v>3</v>
      </c>
      <c r="J10475" t="s">
        <v>18894</v>
      </c>
      <c r="K10475">
        <v>11236</v>
      </c>
      <c r="L10475" t="s">
        <v>18960</v>
      </c>
      <c r="M10475" t="s">
        <v>18960</v>
      </c>
      <c r="N10475" t="s">
        <v>26050</v>
      </c>
      <c r="O10475" t="s">
        <v>26523</v>
      </c>
      <c r="P10475" t="s">
        <v>26560</v>
      </c>
      <c r="R10475" t="s">
        <v>26583</v>
      </c>
      <c r="S10475" t="s">
        <v>18959</v>
      </c>
      <c r="U10475" t="s">
        <v>26604</v>
      </c>
      <c r="V10475" t="s">
        <v>26610</v>
      </c>
      <c r="X10475">
        <v>0</v>
      </c>
      <c r="Y10475" t="s">
        <v>26652</v>
      </c>
      <c r="AB10475" t="s">
        <v>33261</v>
      </c>
      <c r="AD10475" t="s">
        <v>43949</v>
      </c>
      <c r="AE10475">
        <v>0</v>
      </c>
      <c r="AF10475" t="s">
        <v>45541</v>
      </c>
      <c r="AH10475">
        <v>11</v>
      </c>
      <c r="AI10475">
        <v>2</v>
      </c>
      <c r="AJ10475">
        <v>1</v>
      </c>
      <c r="AK10475">
        <v>304.74</v>
      </c>
      <c r="AL10475" t="s">
        <v>770</v>
      </c>
      <c r="AM10475" t="s">
        <v>45575</v>
      </c>
      <c r="AN10475" t="s">
        <v>7439</v>
      </c>
      <c r="AO10475">
        <v>65000</v>
      </c>
      <c r="AU10475">
        <v>19.6</v>
      </c>
      <c r="AV10475" t="s">
        <v>833</v>
      </c>
      <c r="AW10475" t="s">
        <v>46862</v>
      </c>
    </row>
    <row r="10476" spans="1:49">
      <c r="A10476" s="1">
        <f>HYPERLINK("https://lsnyc.legalserver.org/matter/dynamic-profile/view/1898129","19-1898129")</f>
        <v>0</v>
      </c>
      <c r="B10476" t="s">
        <v>288</v>
      </c>
      <c r="C10476" t="s">
        <v>340</v>
      </c>
      <c r="D10476" t="s">
        <v>801</v>
      </c>
      <c r="F10476" t="s">
        <v>1106</v>
      </c>
      <c r="G10476" t="s">
        <v>9374</v>
      </c>
      <c r="H10476" t="s">
        <v>13962</v>
      </c>
      <c r="I10476" t="s">
        <v>18800</v>
      </c>
      <c r="J10476" t="s">
        <v>18894</v>
      </c>
      <c r="K10476">
        <v>11206</v>
      </c>
      <c r="L10476" t="s">
        <v>18959</v>
      </c>
      <c r="M10476" t="s">
        <v>18958</v>
      </c>
      <c r="N10476" t="s">
        <v>26051</v>
      </c>
      <c r="O10476" t="s">
        <v>26523</v>
      </c>
      <c r="R10476" t="s">
        <v>26586</v>
      </c>
      <c r="U10476" t="s">
        <v>26604</v>
      </c>
      <c r="X10476">
        <v>954</v>
      </c>
      <c r="Y10476" t="s">
        <v>26652</v>
      </c>
      <c r="Z10476" t="s">
        <v>26664</v>
      </c>
      <c r="AB10476" t="s">
        <v>33995</v>
      </c>
      <c r="AD10476" t="s">
        <v>44904</v>
      </c>
      <c r="AE10476">
        <v>0</v>
      </c>
      <c r="AH10476">
        <v>0</v>
      </c>
      <c r="AI10476">
        <v>1</v>
      </c>
      <c r="AJ10476">
        <v>0</v>
      </c>
      <c r="AK10476">
        <v>159.58</v>
      </c>
      <c r="AN10476" t="s">
        <v>7439</v>
      </c>
      <c r="AO10476">
        <v>19932</v>
      </c>
      <c r="AU10476">
        <v>6.6</v>
      </c>
      <c r="AV10476" t="s">
        <v>821</v>
      </c>
      <c r="AW10476" t="s">
        <v>46853</v>
      </c>
    </row>
    <row r="10477" spans="1:49">
      <c r="A10477" s="1">
        <f>HYPERLINK("https://lsnyc.legalserver.org/matter/dynamic-profile/view/1898110","19-1898110")</f>
        <v>0</v>
      </c>
      <c r="B10477" t="s">
        <v>333</v>
      </c>
      <c r="C10477" t="s">
        <v>340</v>
      </c>
      <c r="D10477" t="s">
        <v>801</v>
      </c>
      <c r="F10477" t="s">
        <v>875</v>
      </c>
      <c r="G10477" t="s">
        <v>9375</v>
      </c>
      <c r="H10477" t="s">
        <v>16721</v>
      </c>
      <c r="J10477" t="s">
        <v>18892</v>
      </c>
      <c r="K10477">
        <v>10462</v>
      </c>
      <c r="L10477" t="s">
        <v>18960</v>
      </c>
      <c r="M10477" t="s">
        <v>18960</v>
      </c>
      <c r="O10477" t="s">
        <v>18997</v>
      </c>
      <c r="P10477" t="s">
        <v>26564</v>
      </c>
      <c r="R10477" t="s">
        <v>26583</v>
      </c>
      <c r="S10477" t="s">
        <v>18959</v>
      </c>
      <c r="U10477" t="s">
        <v>26604</v>
      </c>
      <c r="X10477">
        <v>0</v>
      </c>
      <c r="Y10477" t="s">
        <v>26650</v>
      </c>
      <c r="AB10477" t="s">
        <v>27489</v>
      </c>
      <c r="AE10477">
        <v>3</v>
      </c>
      <c r="AH10477">
        <v>13</v>
      </c>
      <c r="AI10477">
        <v>2</v>
      </c>
      <c r="AJ10477">
        <v>0</v>
      </c>
      <c r="AK10477">
        <v>318.56</v>
      </c>
      <c r="AN10477" t="s">
        <v>7439</v>
      </c>
      <c r="AO10477">
        <v>53868</v>
      </c>
      <c r="AU10477">
        <v>2.25</v>
      </c>
      <c r="AV10477" t="s">
        <v>797</v>
      </c>
      <c r="AW10477" t="s">
        <v>46829</v>
      </c>
    </row>
    <row r="10478" spans="1:49">
      <c r="A10478" s="1">
        <f>HYPERLINK("https://lsnyc.legalserver.org/matter/dynamic-profile/view/1898158","19-1898158")</f>
        <v>0</v>
      </c>
      <c r="B10478" t="s">
        <v>82</v>
      </c>
      <c r="C10478" t="s">
        <v>340</v>
      </c>
      <c r="D10478" t="s">
        <v>801</v>
      </c>
      <c r="F10478" t="s">
        <v>3718</v>
      </c>
      <c r="G10478" t="s">
        <v>9376</v>
      </c>
      <c r="H10478" t="s">
        <v>16722</v>
      </c>
      <c r="I10478">
        <v>1</v>
      </c>
      <c r="J10478" t="s">
        <v>18892</v>
      </c>
      <c r="K10478">
        <v>10461</v>
      </c>
      <c r="L10478" t="s">
        <v>18958</v>
      </c>
      <c r="M10478" t="s">
        <v>18958</v>
      </c>
      <c r="N10478" t="s">
        <v>26052</v>
      </c>
      <c r="O10478" t="s">
        <v>26523</v>
      </c>
      <c r="P10478" t="s">
        <v>26560</v>
      </c>
      <c r="R10478" t="s">
        <v>26577</v>
      </c>
      <c r="U10478" t="s">
        <v>26604</v>
      </c>
      <c r="V10478" t="s">
        <v>26610</v>
      </c>
      <c r="X10478">
        <v>0</v>
      </c>
      <c r="Y10478" t="s">
        <v>26650</v>
      </c>
      <c r="Z10478" t="s">
        <v>26659</v>
      </c>
      <c r="AB10478" t="s">
        <v>33996</v>
      </c>
      <c r="AD10478" t="s">
        <v>44905</v>
      </c>
      <c r="AE10478">
        <v>0</v>
      </c>
      <c r="AF10478" t="s">
        <v>20460</v>
      </c>
      <c r="AG10478" t="s">
        <v>19330</v>
      </c>
      <c r="AH10478">
        <v>0</v>
      </c>
      <c r="AI10478">
        <v>2</v>
      </c>
      <c r="AJ10478">
        <v>0</v>
      </c>
      <c r="AK10478">
        <v>59.4</v>
      </c>
      <c r="AO10478">
        <v>10044</v>
      </c>
      <c r="AP10478" t="s">
        <v>46076</v>
      </c>
      <c r="AU10478">
        <v>5.8</v>
      </c>
      <c r="AV10478" t="s">
        <v>838</v>
      </c>
      <c r="AW10478" t="s">
        <v>334</v>
      </c>
    </row>
    <row r="10479" spans="1:49">
      <c r="A10479" s="1">
        <f>HYPERLINK("https://lsnyc.legalserver.org/matter/dynamic-profile/view/1898089","19-1898089")</f>
        <v>0</v>
      </c>
      <c r="B10479" t="s">
        <v>115</v>
      </c>
      <c r="C10479" t="s">
        <v>340</v>
      </c>
      <c r="D10479" t="s">
        <v>801</v>
      </c>
      <c r="F10479" t="s">
        <v>1789</v>
      </c>
      <c r="G10479" t="s">
        <v>9377</v>
      </c>
      <c r="H10479" t="s">
        <v>14135</v>
      </c>
      <c r="I10479" t="s">
        <v>18801</v>
      </c>
      <c r="J10479" t="s">
        <v>18892</v>
      </c>
      <c r="K10479">
        <v>10452</v>
      </c>
      <c r="L10479" t="s">
        <v>18958</v>
      </c>
      <c r="M10479" t="s">
        <v>18958</v>
      </c>
      <c r="O10479" t="s">
        <v>18997</v>
      </c>
      <c r="P10479" t="s">
        <v>26562</v>
      </c>
      <c r="R10479" t="s">
        <v>26578</v>
      </c>
      <c r="S10479" t="s">
        <v>18958</v>
      </c>
      <c r="U10479" t="s">
        <v>26604</v>
      </c>
      <c r="X10479">
        <v>858.6900000000001</v>
      </c>
      <c r="Y10479" t="s">
        <v>26650</v>
      </c>
      <c r="Z10479" t="s">
        <v>26663</v>
      </c>
      <c r="AD10479" t="s">
        <v>44906</v>
      </c>
      <c r="AE10479">
        <v>60</v>
      </c>
      <c r="AF10479" t="s">
        <v>45541</v>
      </c>
      <c r="AG10479" t="s">
        <v>45556</v>
      </c>
      <c r="AH10479">
        <v>20</v>
      </c>
      <c r="AI10479">
        <v>1</v>
      </c>
      <c r="AJ10479">
        <v>0</v>
      </c>
      <c r="AK10479">
        <v>0</v>
      </c>
      <c r="AN10479" t="s">
        <v>45581</v>
      </c>
      <c r="AO10479">
        <v>0</v>
      </c>
      <c r="AU10479">
        <v>0</v>
      </c>
      <c r="AW10479" t="s">
        <v>46847</v>
      </c>
    </row>
    <row r="10480" spans="1:49">
      <c r="A10480" s="1">
        <f>HYPERLINK("https://lsnyc.legalserver.org/matter/dynamic-profile/view/1898118","19-1898118")</f>
        <v>0</v>
      </c>
      <c r="B10480" t="s">
        <v>115</v>
      </c>
      <c r="C10480" t="s">
        <v>340</v>
      </c>
      <c r="D10480" t="s">
        <v>801</v>
      </c>
      <c r="F10480" t="s">
        <v>900</v>
      </c>
      <c r="G10480" t="s">
        <v>5174</v>
      </c>
      <c r="H10480" t="s">
        <v>14135</v>
      </c>
      <c r="I10480" t="s">
        <v>17290</v>
      </c>
      <c r="J10480" t="s">
        <v>18892</v>
      </c>
      <c r="K10480">
        <v>10452</v>
      </c>
      <c r="L10480" t="s">
        <v>18958</v>
      </c>
      <c r="M10480" t="s">
        <v>18958</v>
      </c>
      <c r="O10480" t="s">
        <v>18997</v>
      </c>
      <c r="P10480" t="s">
        <v>26562</v>
      </c>
      <c r="R10480" t="s">
        <v>26578</v>
      </c>
      <c r="S10480" t="s">
        <v>18958</v>
      </c>
      <c r="U10480" t="s">
        <v>26604</v>
      </c>
      <c r="X10480">
        <v>673.6799999999999</v>
      </c>
      <c r="Y10480" t="s">
        <v>26650</v>
      </c>
      <c r="Z10480" t="s">
        <v>26663</v>
      </c>
      <c r="AB10480" t="s">
        <v>33997</v>
      </c>
      <c r="AC10480" t="s">
        <v>36727</v>
      </c>
      <c r="AD10480" t="s">
        <v>44907</v>
      </c>
      <c r="AE10480">
        <v>60</v>
      </c>
      <c r="AF10480" t="s">
        <v>45541</v>
      </c>
      <c r="AG10480" t="s">
        <v>19330</v>
      </c>
      <c r="AH10480">
        <v>31</v>
      </c>
      <c r="AI10480">
        <v>2</v>
      </c>
      <c r="AJ10480">
        <v>0</v>
      </c>
      <c r="AK10480">
        <v>71.73999999999999</v>
      </c>
      <c r="AN10480" t="s">
        <v>45581</v>
      </c>
      <c r="AO10480">
        <v>12132</v>
      </c>
      <c r="AU10480">
        <v>0</v>
      </c>
      <c r="AW10480" t="s">
        <v>46847</v>
      </c>
    </row>
    <row r="10481" spans="1:50">
      <c r="A10481" s="1">
        <f>HYPERLINK("https://lsnyc.legalserver.org/matter/dynamic-profile/view/1898112","19-1898112")</f>
        <v>0</v>
      </c>
      <c r="B10481" t="s">
        <v>115</v>
      </c>
      <c r="C10481" t="s">
        <v>340</v>
      </c>
      <c r="D10481" t="s">
        <v>801</v>
      </c>
      <c r="F10481" t="s">
        <v>2362</v>
      </c>
      <c r="G10481" t="s">
        <v>9378</v>
      </c>
      <c r="H10481" t="s">
        <v>16103</v>
      </c>
      <c r="I10481" t="s">
        <v>17293</v>
      </c>
      <c r="J10481" t="s">
        <v>18892</v>
      </c>
      <c r="K10481">
        <v>10452</v>
      </c>
      <c r="L10481" t="s">
        <v>18958</v>
      </c>
      <c r="M10481" t="s">
        <v>18958</v>
      </c>
      <c r="O10481" t="s">
        <v>18997</v>
      </c>
      <c r="P10481" t="s">
        <v>26562</v>
      </c>
      <c r="R10481" t="s">
        <v>26578</v>
      </c>
      <c r="S10481" t="s">
        <v>18958</v>
      </c>
      <c r="U10481" t="s">
        <v>26604</v>
      </c>
      <c r="X10481">
        <v>831.73</v>
      </c>
      <c r="Y10481" t="s">
        <v>26650</v>
      </c>
      <c r="Z10481" t="s">
        <v>26663</v>
      </c>
      <c r="AB10481" t="s">
        <v>27225</v>
      </c>
      <c r="AC10481">
        <v>86252178934</v>
      </c>
      <c r="AD10481" t="s">
        <v>44908</v>
      </c>
      <c r="AE10481">
        <v>60</v>
      </c>
      <c r="AF10481" t="s">
        <v>45541</v>
      </c>
      <c r="AG10481" t="s">
        <v>19330</v>
      </c>
      <c r="AH10481">
        <v>0</v>
      </c>
      <c r="AI10481">
        <v>1</v>
      </c>
      <c r="AJ10481">
        <v>0</v>
      </c>
      <c r="AK10481">
        <v>86.51000000000001</v>
      </c>
      <c r="AN10481" t="s">
        <v>7439</v>
      </c>
      <c r="AO10481">
        <v>10804.8</v>
      </c>
      <c r="AU10481">
        <v>0</v>
      </c>
      <c r="AW10481" t="s">
        <v>46847</v>
      </c>
    </row>
    <row r="10482" spans="1:50">
      <c r="A10482" s="1">
        <f>HYPERLINK("https://lsnyc.legalserver.org/matter/dynamic-profile/view/1898073","19-1898073")</f>
        <v>0</v>
      </c>
      <c r="B10482" t="s">
        <v>115</v>
      </c>
      <c r="C10482" t="s">
        <v>340</v>
      </c>
      <c r="D10482" t="s">
        <v>801</v>
      </c>
      <c r="F10482" t="s">
        <v>1763</v>
      </c>
      <c r="G10482" t="s">
        <v>5138</v>
      </c>
      <c r="H10482" t="s">
        <v>14135</v>
      </c>
      <c r="I10482" t="s">
        <v>18802</v>
      </c>
      <c r="J10482" t="s">
        <v>18892</v>
      </c>
      <c r="K10482">
        <v>10452</v>
      </c>
      <c r="L10482" t="s">
        <v>18958</v>
      </c>
      <c r="M10482" t="s">
        <v>18958</v>
      </c>
      <c r="O10482" t="s">
        <v>18997</v>
      </c>
      <c r="P10482" t="s">
        <v>26562</v>
      </c>
      <c r="R10482" t="s">
        <v>26578</v>
      </c>
      <c r="S10482" t="s">
        <v>18958</v>
      </c>
      <c r="U10482" t="s">
        <v>26604</v>
      </c>
      <c r="X10482">
        <v>360</v>
      </c>
      <c r="Y10482" t="s">
        <v>26650</v>
      </c>
      <c r="Z10482" t="s">
        <v>26663</v>
      </c>
      <c r="AB10482" t="s">
        <v>33998</v>
      </c>
      <c r="AE10482">
        <v>60</v>
      </c>
      <c r="AF10482" t="s">
        <v>45541</v>
      </c>
      <c r="AG10482" t="s">
        <v>45559</v>
      </c>
      <c r="AH10482">
        <v>50</v>
      </c>
      <c r="AI10482">
        <v>2</v>
      </c>
      <c r="AJ10482">
        <v>0</v>
      </c>
      <c r="AK10482">
        <v>89.41</v>
      </c>
      <c r="AN10482" t="s">
        <v>45581</v>
      </c>
      <c r="AO10482">
        <v>15120</v>
      </c>
      <c r="AU10482">
        <v>0</v>
      </c>
      <c r="AW10482" t="s">
        <v>46847</v>
      </c>
    </row>
    <row r="10483" spans="1:50">
      <c r="A10483" s="1">
        <f>HYPERLINK("https://lsnyc.legalserver.org/matter/dynamic-profile/view/1898095","19-1898095")</f>
        <v>0</v>
      </c>
      <c r="B10483" t="s">
        <v>115</v>
      </c>
      <c r="C10483" t="s">
        <v>340</v>
      </c>
      <c r="D10483" t="s">
        <v>801</v>
      </c>
      <c r="F10483" t="s">
        <v>958</v>
      </c>
      <c r="G10483" t="s">
        <v>5125</v>
      </c>
      <c r="H10483" t="s">
        <v>14135</v>
      </c>
      <c r="I10483" t="s">
        <v>17332</v>
      </c>
      <c r="J10483" t="s">
        <v>18892</v>
      </c>
      <c r="K10483">
        <v>10452</v>
      </c>
      <c r="L10483" t="s">
        <v>18958</v>
      </c>
      <c r="M10483" t="s">
        <v>18958</v>
      </c>
      <c r="O10483" t="s">
        <v>18997</v>
      </c>
      <c r="P10483" t="s">
        <v>26562</v>
      </c>
      <c r="R10483" t="s">
        <v>26578</v>
      </c>
      <c r="S10483" t="s">
        <v>18958</v>
      </c>
      <c r="U10483" t="s">
        <v>26604</v>
      </c>
      <c r="X10483">
        <v>460.75</v>
      </c>
      <c r="Y10483" t="s">
        <v>26650</v>
      </c>
      <c r="Z10483" t="s">
        <v>26663</v>
      </c>
      <c r="AB10483" t="s">
        <v>33999</v>
      </c>
      <c r="AD10483" t="s">
        <v>44909</v>
      </c>
      <c r="AE10483">
        <v>60</v>
      </c>
      <c r="AF10483" t="s">
        <v>45541</v>
      </c>
      <c r="AG10483" t="s">
        <v>45559</v>
      </c>
      <c r="AH10483">
        <v>39</v>
      </c>
      <c r="AI10483">
        <v>1</v>
      </c>
      <c r="AJ10483">
        <v>0</v>
      </c>
      <c r="AK10483">
        <v>91.18000000000001</v>
      </c>
      <c r="AN10483" t="s">
        <v>7439</v>
      </c>
      <c r="AO10483">
        <v>11388</v>
      </c>
      <c r="AU10483">
        <v>0</v>
      </c>
      <c r="AW10483" t="s">
        <v>46847</v>
      </c>
    </row>
    <row r="10484" spans="1:50">
      <c r="A10484" s="1">
        <f>HYPERLINK("https://lsnyc.legalserver.org/matter/dynamic-profile/view/1898119","19-1898119")</f>
        <v>0</v>
      </c>
      <c r="B10484" t="s">
        <v>115</v>
      </c>
      <c r="C10484" t="s">
        <v>340</v>
      </c>
      <c r="D10484" t="s">
        <v>801</v>
      </c>
      <c r="F10484" t="s">
        <v>901</v>
      </c>
      <c r="G10484" t="s">
        <v>5392</v>
      </c>
      <c r="H10484" t="s">
        <v>14135</v>
      </c>
      <c r="I10484" t="s">
        <v>17490</v>
      </c>
      <c r="J10484" t="s">
        <v>18892</v>
      </c>
      <c r="K10484">
        <v>10452</v>
      </c>
      <c r="L10484" t="s">
        <v>18958</v>
      </c>
      <c r="M10484" t="s">
        <v>18958</v>
      </c>
      <c r="O10484" t="s">
        <v>18997</v>
      </c>
      <c r="P10484" t="s">
        <v>26562</v>
      </c>
      <c r="R10484" t="s">
        <v>26578</v>
      </c>
      <c r="S10484" t="s">
        <v>18958</v>
      </c>
      <c r="U10484" t="s">
        <v>26604</v>
      </c>
      <c r="X10484">
        <v>926.15</v>
      </c>
      <c r="Y10484" t="s">
        <v>26650</v>
      </c>
      <c r="Z10484" t="s">
        <v>26663</v>
      </c>
      <c r="AB10484" t="s">
        <v>31533</v>
      </c>
      <c r="AC10484" t="s">
        <v>36114</v>
      </c>
      <c r="AD10484" t="s">
        <v>41785</v>
      </c>
      <c r="AE10484">
        <v>60</v>
      </c>
      <c r="AF10484" t="s">
        <v>45541</v>
      </c>
      <c r="AG10484" t="s">
        <v>19330</v>
      </c>
      <c r="AH10484">
        <v>17</v>
      </c>
      <c r="AI10484">
        <v>1</v>
      </c>
      <c r="AJ10484">
        <v>0</v>
      </c>
      <c r="AK10484">
        <v>107.35</v>
      </c>
      <c r="AN10484" t="s">
        <v>45581</v>
      </c>
      <c r="AO10484">
        <v>13408.4</v>
      </c>
      <c r="AU10484">
        <v>2.2</v>
      </c>
      <c r="AV10484" t="s">
        <v>807</v>
      </c>
      <c r="AW10484" t="s">
        <v>46847</v>
      </c>
    </row>
    <row r="10485" spans="1:50">
      <c r="A10485" s="1">
        <f>HYPERLINK("https://lsnyc.legalserver.org/matter/dynamic-profile/view/1898099","19-1898099")</f>
        <v>0</v>
      </c>
      <c r="B10485" t="s">
        <v>115</v>
      </c>
      <c r="C10485" t="s">
        <v>340</v>
      </c>
      <c r="D10485" t="s">
        <v>801</v>
      </c>
      <c r="F10485" t="s">
        <v>2251</v>
      </c>
      <c r="G10485" t="s">
        <v>9379</v>
      </c>
      <c r="H10485" t="s">
        <v>14135</v>
      </c>
      <c r="I10485" t="s">
        <v>17603</v>
      </c>
      <c r="J10485" t="s">
        <v>18892</v>
      </c>
      <c r="K10485">
        <v>10452</v>
      </c>
      <c r="L10485" t="s">
        <v>18958</v>
      </c>
      <c r="M10485" t="s">
        <v>18958</v>
      </c>
      <c r="O10485" t="s">
        <v>18997</v>
      </c>
      <c r="P10485" t="s">
        <v>26562</v>
      </c>
      <c r="R10485" t="s">
        <v>26578</v>
      </c>
      <c r="S10485" t="s">
        <v>18958</v>
      </c>
      <c r="U10485" t="s">
        <v>26604</v>
      </c>
      <c r="X10485">
        <v>622</v>
      </c>
      <c r="Y10485" t="s">
        <v>26650</v>
      </c>
      <c r="Z10485" t="s">
        <v>26663</v>
      </c>
      <c r="AB10485" t="s">
        <v>29129</v>
      </c>
      <c r="AE10485">
        <v>60</v>
      </c>
      <c r="AF10485" t="s">
        <v>45541</v>
      </c>
      <c r="AG10485" t="s">
        <v>19330</v>
      </c>
      <c r="AH10485">
        <v>12</v>
      </c>
      <c r="AI10485">
        <v>2</v>
      </c>
      <c r="AJ10485">
        <v>0</v>
      </c>
      <c r="AK10485">
        <v>147.84</v>
      </c>
      <c r="AN10485" t="s">
        <v>45581</v>
      </c>
      <c r="AO10485">
        <v>25000</v>
      </c>
      <c r="AU10485">
        <v>0</v>
      </c>
      <c r="AW10485" t="s">
        <v>46847</v>
      </c>
    </row>
    <row r="10486" spans="1:50">
      <c r="A10486" s="1">
        <f>HYPERLINK("https://lsnyc.legalserver.org/matter/dynamic-profile/view/1897098","19-1897098")</f>
        <v>0</v>
      </c>
      <c r="B10486" t="s">
        <v>104</v>
      </c>
      <c r="C10486" t="s">
        <v>340</v>
      </c>
      <c r="D10486" t="s">
        <v>801</v>
      </c>
      <c r="F10486" t="s">
        <v>4837</v>
      </c>
      <c r="G10486" t="s">
        <v>6253</v>
      </c>
      <c r="H10486" t="s">
        <v>11330</v>
      </c>
      <c r="I10486" t="s">
        <v>17430</v>
      </c>
      <c r="J10486" t="s">
        <v>18902</v>
      </c>
      <c r="K10486">
        <v>10307</v>
      </c>
      <c r="L10486" t="s">
        <v>18958</v>
      </c>
      <c r="M10486" t="s">
        <v>18960</v>
      </c>
      <c r="N10486" t="s">
        <v>26053</v>
      </c>
      <c r="O10486" t="s">
        <v>26524</v>
      </c>
      <c r="P10486" t="s">
        <v>26560</v>
      </c>
      <c r="R10486" t="s">
        <v>26587</v>
      </c>
      <c r="S10486" t="s">
        <v>18959</v>
      </c>
      <c r="U10486" t="s">
        <v>26604</v>
      </c>
      <c r="V10486" t="s">
        <v>26610</v>
      </c>
      <c r="X10486">
        <v>0</v>
      </c>
      <c r="Y10486" t="s">
        <v>26654</v>
      </c>
      <c r="Z10486" t="s">
        <v>26530</v>
      </c>
      <c r="AB10486" t="s">
        <v>34000</v>
      </c>
      <c r="AD10486" t="s">
        <v>44910</v>
      </c>
      <c r="AE10486">
        <v>2</v>
      </c>
      <c r="AF10486" t="s">
        <v>45547</v>
      </c>
      <c r="AG10486" t="s">
        <v>19330</v>
      </c>
      <c r="AH10486">
        <v>18</v>
      </c>
      <c r="AI10486">
        <v>2</v>
      </c>
      <c r="AJ10486">
        <v>1</v>
      </c>
      <c r="AK10486">
        <v>14.63</v>
      </c>
      <c r="AN10486" t="s">
        <v>7439</v>
      </c>
      <c r="AO10486">
        <v>3120</v>
      </c>
      <c r="AU10486">
        <v>3.2</v>
      </c>
      <c r="AV10486" t="s">
        <v>835</v>
      </c>
      <c r="AW10486" t="s">
        <v>46883</v>
      </c>
      <c r="AX10486" t="s">
        <v>46897</v>
      </c>
    </row>
    <row r="10487" spans="1:50">
      <c r="A10487" s="1">
        <f>HYPERLINK("https://lsnyc.legalserver.org/matter/dynamic-profile/view/1896528","19-1896528")</f>
        <v>0</v>
      </c>
      <c r="B10487" t="s">
        <v>104</v>
      </c>
      <c r="C10487" t="s">
        <v>340</v>
      </c>
      <c r="D10487" t="s">
        <v>801</v>
      </c>
      <c r="F10487" t="s">
        <v>1830</v>
      </c>
      <c r="G10487" t="s">
        <v>9380</v>
      </c>
      <c r="H10487" t="s">
        <v>16723</v>
      </c>
      <c r="I10487" t="s">
        <v>17976</v>
      </c>
      <c r="J10487" t="s">
        <v>18902</v>
      </c>
      <c r="K10487">
        <v>10305</v>
      </c>
      <c r="L10487" t="s">
        <v>18960</v>
      </c>
      <c r="M10487" t="s">
        <v>18960</v>
      </c>
      <c r="N10487" t="s">
        <v>26054</v>
      </c>
      <c r="O10487" t="s">
        <v>26523</v>
      </c>
      <c r="R10487" t="s">
        <v>26587</v>
      </c>
      <c r="S10487" t="s">
        <v>18959</v>
      </c>
      <c r="U10487" t="s">
        <v>26604</v>
      </c>
      <c r="V10487" t="s">
        <v>26610</v>
      </c>
      <c r="X10487">
        <v>1250</v>
      </c>
      <c r="Y10487" t="s">
        <v>26654</v>
      </c>
      <c r="Z10487" t="s">
        <v>26668</v>
      </c>
      <c r="AB10487" t="s">
        <v>34001</v>
      </c>
      <c r="AD10487" t="s">
        <v>44911</v>
      </c>
      <c r="AE10487">
        <v>6</v>
      </c>
      <c r="AG10487" t="s">
        <v>19330</v>
      </c>
      <c r="AH10487">
        <v>1</v>
      </c>
      <c r="AI10487">
        <v>1</v>
      </c>
      <c r="AJ10487">
        <v>1</v>
      </c>
      <c r="AK10487">
        <v>137</v>
      </c>
      <c r="AN10487" t="s">
        <v>7439</v>
      </c>
      <c r="AO10487">
        <v>23166</v>
      </c>
      <c r="AU10487">
        <v>11.2</v>
      </c>
      <c r="AV10487" t="s">
        <v>835</v>
      </c>
      <c r="AW10487" t="s">
        <v>46883</v>
      </c>
    </row>
    <row r="10488" spans="1:50">
      <c r="A10488" s="1">
        <f>HYPERLINK("https://lsnyc.legalserver.org/matter/dynamic-profile/view/1898171","19-1898171")</f>
        <v>0</v>
      </c>
      <c r="B10488" t="s">
        <v>205</v>
      </c>
      <c r="C10488" t="s">
        <v>340</v>
      </c>
      <c r="D10488" t="s">
        <v>801</v>
      </c>
      <c r="F10488" t="s">
        <v>4838</v>
      </c>
      <c r="G10488" t="s">
        <v>4668</v>
      </c>
      <c r="H10488" t="s">
        <v>11062</v>
      </c>
      <c r="I10488" t="s">
        <v>17309</v>
      </c>
      <c r="J10488" t="s">
        <v>18894</v>
      </c>
      <c r="K10488">
        <v>11213</v>
      </c>
      <c r="L10488" t="s">
        <v>18958</v>
      </c>
      <c r="M10488" t="s">
        <v>18958</v>
      </c>
      <c r="O10488" t="s">
        <v>26534</v>
      </c>
      <c r="P10488" t="s">
        <v>26561</v>
      </c>
      <c r="R10488" t="s">
        <v>26578</v>
      </c>
      <c r="S10488" t="s">
        <v>18958</v>
      </c>
      <c r="U10488" t="s">
        <v>26604</v>
      </c>
      <c r="V10488" t="s">
        <v>26610</v>
      </c>
      <c r="X10488">
        <v>0</v>
      </c>
      <c r="Y10488" t="s">
        <v>26652</v>
      </c>
      <c r="AB10488" t="s">
        <v>34002</v>
      </c>
      <c r="AE10488">
        <v>0</v>
      </c>
      <c r="AH10488">
        <v>0</v>
      </c>
      <c r="AI10488">
        <v>3</v>
      </c>
      <c r="AJ10488">
        <v>1</v>
      </c>
      <c r="AK10488">
        <v>75.5</v>
      </c>
      <c r="AN10488" t="s">
        <v>7439</v>
      </c>
      <c r="AO10488">
        <v>19440</v>
      </c>
      <c r="AU10488">
        <v>1.6</v>
      </c>
      <c r="AV10488" t="s">
        <v>772</v>
      </c>
      <c r="AW10488" t="s">
        <v>279</v>
      </c>
    </row>
    <row r="10489" spans="1:50">
      <c r="A10489" s="1">
        <f>HYPERLINK("https://lsnyc.legalserver.org/matter/dynamic-profile/view/1898300","19-1898300")</f>
        <v>0</v>
      </c>
      <c r="B10489" t="s">
        <v>280</v>
      </c>
      <c r="C10489" t="s">
        <v>341</v>
      </c>
      <c r="D10489" t="s">
        <v>767</v>
      </c>
      <c r="E10489" t="s">
        <v>805</v>
      </c>
      <c r="F10489" t="s">
        <v>4839</v>
      </c>
      <c r="G10489" t="s">
        <v>7303</v>
      </c>
      <c r="H10489" t="s">
        <v>15133</v>
      </c>
      <c r="I10489" t="s">
        <v>17439</v>
      </c>
      <c r="J10489" t="s">
        <v>18900</v>
      </c>
      <c r="K10489">
        <v>11355</v>
      </c>
      <c r="L10489" t="s">
        <v>18960</v>
      </c>
      <c r="M10489" t="s">
        <v>18960</v>
      </c>
      <c r="N10489" t="s">
        <v>19037</v>
      </c>
      <c r="O10489" t="s">
        <v>26526</v>
      </c>
      <c r="P10489" t="s">
        <v>26564</v>
      </c>
      <c r="Q10489" t="s">
        <v>26570</v>
      </c>
      <c r="R10489" t="s">
        <v>26591</v>
      </c>
      <c r="S10489" t="s">
        <v>18959</v>
      </c>
      <c r="U10489" t="s">
        <v>26604</v>
      </c>
      <c r="V10489" t="s">
        <v>26610</v>
      </c>
      <c r="X10489">
        <v>1500</v>
      </c>
      <c r="Y10489" t="s">
        <v>26653</v>
      </c>
      <c r="AA10489" t="s">
        <v>26683</v>
      </c>
      <c r="AB10489" t="s">
        <v>32610</v>
      </c>
      <c r="AC10489" t="s">
        <v>34738</v>
      </c>
      <c r="AD10489" t="s">
        <v>43097</v>
      </c>
      <c r="AE10489">
        <v>5</v>
      </c>
      <c r="AF10489" t="s">
        <v>45547</v>
      </c>
      <c r="AG10489" t="s">
        <v>19330</v>
      </c>
      <c r="AH10489">
        <v>8</v>
      </c>
      <c r="AI10489">
        <v>1</v>
      </c>
      <c r="AJ10489">
        <v>0</v>
      </c>
      <c r="AK10489">
        <v>187.35</v>
      </c>
      <c r="AN10489" t="s">
        <v>45593</v>
      </c>
      <c r="AO10489">
        <v>23400</v>
      </c>
      <c r="AU10489">
        <v>2.25</v>
      </c>
      <c r="AV10489" t="s">
        <v>813</v>
      </c>
      <c r="AW10489" t="s">
        <v>46857</v>
      </c>
    </row>
    <row r="10490" spans="1:50">
      <c r="A10490" s="1">
        <f>HYPERLINK("https://lsnyc.legalserver.org/matter/dynamic-profile/view/1898193","19-1898193")</f>
        <v>0</v>
      </c>
      <c r="B10490" t="s">
        <v>169</v>
      </c>
      <c r="C10490" t="s">
        <v>341</v>
      </c>
      <c r="D10490" t="s">
        <v>767</v>
      </c>
      <c r="E10490" t="s">
        <v>767</v>
      </c>
      <c r="F10490" t="s">
        <v>1241</v>
      </c>
      <c r="G10490" t="s">
        <v>7713</v>
      </c>
      <c r="H10490" t="s">
        <v>13696</v>
      </c>
      <c r="I10490" t="s">
        <v>17374</v>
      </c>
      <c r="J10490" t="s">
        <v>18892</v>
      </c>
      <c r="K10490">
        <v>10459</v>
      </c>
      <c r="L10490" t="s">
        <v>18958</v>
      </c>
      <c r="M10490" t="s">
        <v>18958</v>
      </c>
      <c r="N10490" t="s">
        <v>23044</v>
      </c>
      <c r="O10490" t="s">
        <v>26534</v>
      </c>
      <c r="P10490" t="s">
        <v>26565</v>
      </c>
      <c r="Q10490" t="s">
        <v>26571</v>
      </c>
      <c r="R10490" t="s">
        <v>26578</v>
      </c>
      <c r="S10490" t="s">
        <v>18959</v>
      </c>
      <c r="U10490" t="s">
        <v>26604</v>
      </c>
      <c r="X10490">
        <v>915</v>
      </c>
      <c r="Y10490" t="s">
        <v>26650</v>
      </c>
      <c r="AA10490" t="s">
        <v>26682</v>
      </c>
      <c r="AB10490" t="s">
        <v>28180</v>
      </c>
      <c r="AE10490">
        <v>20</v>
      </c>
      <c r="AF10490" t="s">
        <v>45541</v>
      </c>
      <c r="AG10490" t="s">
        <v>19330</v>
      </c>
      <c r="AH10490">
        <v>23</v>
      </c>
      <c r="AI10490">
        <v>2</v>
      </c>
      <c r="AJ10490">
        <v>0</v>
      </c>
      <c r="AK10490">
        <v>2.96</v>
      </c>
      <c r="AN10490" t="s">
        <v>45581</v>
      </c>
      <c r="AO10490">
        <v>500</v>
      </c>
      <c r="AP10490" t="s">
        <v>46304</v>
      </c>
      <c r="AU10490">
        <v>1.5</v>
      </c>
      <c r="AV10490" t="s">
        <v>767</v>
      </c>
      <c r="AW10490" t="s">
        <v>329</v>
      </c>
    </row>
    <row r="10491" spans="1:50">
      <c r="A10491" s="1">
        <f>HYPERLINK("https://lsnyc.legalserver.org/matter/dynamic-profile/view/1898256","19-1898256")</f>
        <v>0</v>
      </c>
      <c r="B10491" t="s">
        <v>257</v>
      </c>
      <c r="C10491" t="s">
        <v>341</v>
      </c>
      <c r="D10491" t="s">
        <v>767</v>
      </c>
      <c r="E10491" t="s">
        <v>809</v>
      </c>
      <c r="F10491" t="s">
        <v>1352</v>
      </c>
      <c r="G10491" t="s">
        <v>7276</v>
      </c>
      <c r="H10491" t="s">
        <v>16724</v>
      </c>
      <c r="I10491" t="s">
        <v>17436</v>
      </c>
      <c r="J10491" t="s">
        <v>18894</v>
      </c>
      <c r="K10491">
        <v>11226</v>
      </c>
      <c r="L10491" t="s">
        <v>18960</v>
      </c>
      <c r="M10491" t="s">
        <v>18960</v>
      </c>
      <c r="P10491" t="s">
        <v>26563</v>
      </c>
      <c r="Q10491" t="s">
        <v>26570</v>
      </c>
      <c r="R10491" t="s">
        <v>26591</v>
      </c>
      <c r="U10491" t="s">
        <v>26604</v>
      </c>
      <c r="X10491">
        <v>425.99</v>
      </c>
      <c r="Y10491" t="s">
        <v>26652</v>
      </c>
      <c r="Z10491" t="s">
        <v>26673</v>
      </c>
      <c r="AA10491" t="s">
        <v>26683</v>
      </c>
      <c r="AB10491" t="s">
        <v>34003</v>
      </c>
      <c r="AD10491" t="s">
        <v>44912</v>
      </c>
      <c r="AE10491">
        <v>75</v>
      </c>
      <c r="AF10491" t="s">
        <v>45548</v>
      </c>
      <c r="AG10491" t="s">
        <v>45556</v>
      </c>
      <c r="AH10491">
        <v>16</v>
      </c>
      <c r="AI10491">
        <v>1</v>
      </c>
      <c r="AJ10491">
        <v>0</v>
      </c>
      <c r="AK10491">
        <v>52.27</v>
      </c>
      <c r="AN10491" t="s">
        <v>7439</v>
      </c>
      <c r="AO10491">
        <v>6528</v>
      </c>
      <c r="AU10491">
        <v>5.4</v>
      </c>
      <c r="AV10491" t="s">
        <v>822</v>
      </c>
      <c r="AW10491" t="s">
        <v>46858</v>
      </c>
    </row>
    <row r="10492" spans="1:50">
      <c r="A10492" s="1">
        <f>HYPERLINK("https://lsnyc.legalserver.org/matter/dynamic-profile/view/1898217","19-1898217")</f>
        <v>0</v>
      </c>
      <c r="B10492" t="s">
        <v>179</v>
      </c>
      <c r="C10492" t="s">
        <v>341</v>
      </c>
      <c r="D10492" t="s">
        <v>767</v>
      </c>
      <c r="E10492" t="s">
        <v>830</v>
      </c>
      <c r="F10492" t="s">
        <v>893</v>
      </c>
      <c r="G10492" t="s">
        <v>9381</v>
      </c>
      <c r="H10492" t="s">
        <v>16725</v>
      </c>
      <c r="I10492" t="s">
        <v>18803</v>
      </c>
      <c r="J10492" t="s">
        <v>18894</v>
      </c>
      <c r="K10492">
        <v>11209</v>
      </c>
      <c r="L10492" t="s">
        <v>18960</v>
      </c>
      <c r="M10492" t="s">
        <v>18960</v>
      </c>
      <c r="P10492" t="s">
        <v>26564</v>
      </c>
      <c r="Q10492" t="s">
        <v>26570</v>
      </c>
      <c r="R10492" t="s">
        <v>26591</v>
      </c>
      <c r="U10492" t="s">
        <v>26604</v>
      </c>
      <c r="X10492">
        <v>845.66</v>
      </c>
      <c r="Y10492" t="s">
        <v>26652</v>
      </c>
      <c r="Z10492" t="s">
        <v>26659</v>
      </c>
      <c r="AA10492" t="s">
        <v>26683</v>
      </c>
      <c r="AB10492" t="s">
        <v>34004</v>
      </c>
      <c r="AD10492" t="s">
        <v>44913</v>
      </c>
      <c r="AE10492">
        <v>250</v>
      </c>
      <c r="AG10492" t="s">
        <v>19330</v>
      </c>
      <c r="AH10492">
        <v>49</v>
      </c>
      <c r="AI10492">
        <v>1</v>
      </c>
      <c r="AJ10492">
        <v>0</v>
      </c>
      <c r="AK10492">
        <v>192.15</v>
      </c>
      <c r="AN10492" t="s">
        <v>7439</v>
      </c>
      <c r="AO10492">
        <v>24000</v>
      </c>
      <c r="AU10492">
        <v>4.1</v>
      </c>
      <c r="AV10492" t="s">
        <v>830</v>
      </c>
      <c r="AW10492" t="s">
        <v>46858</v>
      </c>
    </row>
    <row r="10493" spans="1:50">
      <c r="A10493" s="1">
        <f>HYPERLINK("https://lsnyc.legalserver.org/matter/dynamic-profile/view/1898312","19-1898312")</f>
        <v>0</v>
      </c>
      <c r="B10493" t="s">
        <v>74</v>
      </c>
      <c r="C10493" t="s">
        <v>341</v>
      </c>
      <c r="D10493" t="s">
        <v>767</v>
      </c>
      <c r="E10493" t="s">
        <v>808</v>
      </c>
      <c r="F10493" t="s">
        <v>875</v>
      </c>
      <c r="G10493" t="s">
        <v>9382</v>
      </c>
      <c r="H10493" t="s">
        <v>16726</v>
      </c>
      <c r="I10493">
        <v>53</v>
      </c>
      <c r="J10493" t="s">
        <v>18893</v>
      </c>
      <c r="K10493">
        <v>10032</v>
      </c>
      <c r="L10493" t="s">
        <v>18960</v>
      </c>
      <c r="M10493" t="s">
        <v>18960</v>
      </c>
      <c r="P10493" t="s">
        <v>26564</v>
      </c>
      <c r="Q10493" t="s">
        <v>26570</v>
      </c>
      <c r="R10493" t="s">
        <v>26591</v>
      </c>
      <c r="U10493" t="s">
        <v>26604</v>
      </c>
      <c r="X10493">
        <v>1500</v>
      </c>
      <c r="Y10493" t="s">
        <v>26651</v>
      </c>
      <c r="Z10493" t="s">
        <v>26661</v>
      </c>
      <c r="AA10493" t="s">
        <v>26683</v>
      </c>
      <c r="AB10493" t="s">
        <v>28674</v>
      </c>
      <c r="AE10493">
        <v>12</v>
      </c>
      <c r="AF10493" t="s">
        <v>20460</v>
      </c>
      <c r="AH10493">
        <v>12</v>
      </c>
      <c r="AI10493">
        <v>1</v>
      </c>
      <c r="AJ10493">
        <v>2</v>
      </c>
      <c r="AK10493">
        <v>0</v>
      </c>
      <c r="AN10493" t="s">
        <v>7439</v>
      </c>
      <c r="AO10493">
        <v>0</v>
      </c>
      <c r="AU10493">
        <v>0.75</v>
      </c>
      <c r="AV10493" t="s">
        <v>767</v>
      </c>
      <c r="AW10493" t="s">
        <v>46829</v>
      </c>
    </row>
    <row r="10494" spans="1:50">
      <c r="A10494" s="1">
        <f>HYPERLINK("https://lsnyc.legalserver.org/matter/dynamic-profile/view/1898250","19-1898250")</f>
        <v>0</v>
      </c>
      <c r="B10494" t="s">
        <v>187</v>
      </c>
      <c r="C10494" t="s">
        <v>341</v>
      </c>
      <c r="D10494" t="s">
        <v>767</v>
      </c>
      <c r="E10494" t="s">
        <v>828</v>
      </c>
      <c r="F10494" t="s">
        <v>1252</v>
      </c>
      <c r="G10494" t="s">
        <v>5305</v>
      </c>
      <c r="H10494" t="s">
        <v>16727</v>
      </c>
      <c r="I10494">
        <v>1</v>
      </c>
      <c r="J10494" t="s">
        <v>18892</v>
      </c>
      <c r="K10494">
        <v>10459</v>
      </c>
      <c r="L10494" t="s">
        <v>18960</v>
      </c>
      <c r="M10494" t="s">
        <v>18960</v>
      </c>
      <c r="N10494" t="s">
        <v>26055</v>
      </c>
      <c r="O10494" t="s">
        <v>26524</v>
      </c>
      <c r="P10494" t="s">
        <v>26564</v>
      </c>
      <c r="Q10494" t="s">
        <v>26570</v>
      </c>
      <c r="R10494" t="s">
        <v>26577</v>
      </c>
      <c r="U10494" t="s">
        <v>26604</v>
      </c>
      <c r="V10494" t="s">
        <v>26610</v>
      </c>
      <c r="X10494">
        <v>1400</v>
      </c>
      <c r="Y10494" t="s">
        <v>26650</v>
      </c>
      <c r="AA10494" t="s">
        <v>26683</v>
      </c>
      <c r="AB10494" t="s">
        <v>33894</v>
      </c>
      <c r="AE10494">
        <v>3</v>
      </c>
      <c r="AH10494">
        <v>5</v>
      </c>
      <c r="AI10494">
        <v>2</v>
      </c>
      <c r="AJ10494">
        <v>0</v>
      </c>
      <c r="AK10494">
        <v>145.48</v>
      </c>
      <c r="AN10494" t="s">
        <v>7439</v>
      </c>
      <c r="AO10494">
        <v>24600</v>
      </c>
      <c r="AP10494" t="s">
        <v>46044</v>
      </c>
      <c r="AT10494" t="s">
        <v>46665</v>
      </c>
      <c r="AU10494">
        <v>0.1</v>
      </c>
      <c r="AV10494" t="s">
        <v>815</v>
      </c>
      <c r="AW10494" t="s">
        <v>284</v>
      </c>
    </row>
    <row r="10495" spans="1:50">
      <c r="A10495" s="1">
        <f>HYPERLINK("https://lsnyc.legalserver.org/matter/dynamic-profile/view/1898228","19-1898228")</f>
        <v>0</v>
      </c>
      <c r="B10495" t="s">
        <v>126</v>
      </c>
      <c r="C10495" t="s">
        <v>341</v>
      </c>
      <c r="D10495" t="s">
        <v>767</v>
      </c>
      <c r="E10495" t="s">
        <v>729</v>
      </c>
      <c r="F10495" t="s">
        <v>4840</v>
      </c>
      <c r="G10495" t="s">
        <v>1279</v>
      </c>
      <c r="H10495" t="s">
        <v>16728</v>
      </c>
      <c r="I10495" t="s">
        <v>17316</v>
      </c>
      <c r="J10495" t="s">
        <v>18894</v>
      </c>
      <c r="K10495">
        <v>11233</v>
      </c>
      <c r="L10495" t="s">
        <v>18959</v>
      </c>
      <c r="M10495" t="s">
        <v>18959</v>
      </c>
      <c r="N10495" t="s">
        <v>26056</v>
      </c>
      <c r="O10495" t="s">
        <v>26524</v>
      </c>
      <c r="P10495" t="s">
        <v>26564</v>
      </c>
      <c r="Q10495" t="s">
        <v>26571</v>
      </c>
      <c r="R10495" t="s">
        <v>26583</v>
      </c>
      <c r="S10495" t="s">
        <v>18959</v>
      </c>
      <c r="U10495" t="s">
        <v>26604</v>
      </c>
      <c r="V10495" t="s">
        <v>26609</v>
      </c>
      <c r="X10495">
        <v>578.83</v>
      </c>
      <c r="Y10495" t="s">
        <v>26652</v>
      </c>
      <c r="Z10495" t="s">
        <v>26661</v>
      </c>
      <c r="AA10495" t="s">
        <v>26683</v>
      </c>
      <c r="AB10495" t="s">
        <v>34005</v>
      </c>
      <c r="AD10495" t="s">
        <v>44914</v>
      </c>
      <c r="AE10495">
        <v>6</v>
      </c>
      <c r="AF10495" t="s">
        <v>45541</v>
      </c>
      <c r="AG10495" t="s">
        <v>19330</v>
      </c>
      <c r="AH10495">
        <v>1</v>
      </c>
      <c r="AI10495">
        <v>1</v>
      </c>
      <c r="AJ10495">
        <v>1</v>
      </c>
      <c r="AK10495">
        <v>215.26</v>
      </c>
      <c r="AN10495" t="s">
        <v>7439</v>
      </c>
      <c r="AO10495">
        <v>36400</v>
      </c>
      <c r="AU10495">
        <v>1.9</v>
      </c>
      <c r="AV10495" t="s">
        <v>729</v>
      </c>
      <c r="AW10495" t="s">
        <v>279</v>
      </c>
    </row>
    <row r="10496" spans="1:50">
      <c r="A10496" s="1">
        <f>HYPERLINK("https://lsnyc.legalserver.org/matter/dynamic-profile/view/1898241","19-1898241")</f>
        <v>0</v>
      </c>
      <c r="B10496" t="s">
        <v>144</v>
      </c>
      <c r="C10496" t="s">
        <v>340</v>
      </c>
      <c r="D10496" t="s">
        <v>767</v>
      </c>
      <c r="F10496" t="s">
        <v>4841</v>
      </c>
      <c r="G10496" t="s">
        <v>9383</v>
      </c>
      <c r="H10496" t="s">
        <v>16729</v>
      </c>
      <c r="I10496">
        <v>409</v>
      </c>
      <c r="J10496" t="s">
        <v>18893</v>
      </c>
      <c r="K10496">
        <v>10026</v>
      </c>
      <c r="L10496" t="s">
        <v>18960</v>
      </c>
      <c r="M10496" t="s">
        <v>18960</v>
      </c>
      <c r="N10496" t="s">
        <v>26057</v>
      </c>
      <c r="O10496" t="s">
        <v>26523</v>
      </c>
      <c r="P10496" t="s">
        <v>26560</v>
      </c>
      <c r="R10496" t="s">
        <v>26582</v>
      </c>
      <c r="S10496" t="s">
        <v>18959</v>
      </c>
      <c r="U10496" t="s">
        <v>26604</v>
      </c>
      <c r="X10496">
        <v>1777</v>
      </c>
      <c r="Y10496" t="s">
        <v>26651</v>
      </c>
      <c r="AB10496" t="s">
        <v>29228</v>
      </c>
      <c r="AD10496" t="s">
        <v>44915</v>
      </c>
      <c r="AE10496">
        <v>0</v>
      </c>
      <c r="AH10496">
        <v>17</v>
      </c>
      <c r="AI10496">
        <v>1</v>
      </c>
      <c r="AJ10496">
        <v>0</v>
      </c>
      <c r="AK10496">
        <v>173.86</v>
      </c>
      <c r="AN10496" t="s">
        <v>7439</v>
      </c>
      <c r="AO10496">
        <v>21715.72</v>
      </c>
      <c r="AU10496">
        <v>8</v>
      </c>
      <c r="AV10496" t="s">
        <v>826</v>
      </c>
      <c r="AW10496" t="s">
        <v>46838</v>
      </c>
    </row>
    <row r="10497" spans="1:50">
      <c r="A10497" s="1">
        <f>HYPERLINK("https://lsnyc.legalserver.org/matter/dynamic-profile/view/1898239","19-1898239")</f>
        <v>0</v>
      </c>
      <c r="B10497" t="s">
        <v>60</v>
      </c>
      <c r="C10497" t="s">
        <v>340</v>
      </c>
      <c r="D10497" t="s">
        <v>767</v>
      </c>
      <c r="F10497" t="s">
        <v>868</v>
      </c>
      <c r="G10497" t="s">
        <v>1748</v>
      </c>
      <c r="H10497" t="s">
        <v>16730</v>
      </c>
      <c r="I10497" t="s">
        <v>17301</v>
      </c>
      <c r="J10497" t="s">
        <v>18892</v>
      </c>
      <c r="K10497">
        <v>10453</v>
      </c>
      <c r="L10497" t="s">
        <v>18958</v>
      </c>
      <c r="M10497" t="s">
        <v>18958</v>
      </c>
      <c r="P10497" t="s">
        <v>26565</v>
      </c>
      <c r="R10497" t="s">
        <v>26583</v>
      </c>
      <c r="S10497" t="s">
        <v>18959</v>
      </c>
      <c r="U10497" t="s">
        <v>26604</v>
      </c>
      <c r="X10497">
        <v>1138.7</v>
      </c>
      <c r="Y10497" t="s">
        <v>26650</v>
      </c>
      <c r="Z10497" t="s">
        <v>26661</v>
      </c>
      <c r="AB10497" t="s">
        <v>34006</v>
      </c>
      <c r="AD10497" t="s">
        <v>44916</v>
      </c>
      <c r="AE10497">
        <v>0</v>
      </c>
      <c r="AF10497" t="s">
        <v>45541</v>
      </c>
      <c r="AG10497" t="s">
        <v>45559</v>
      </c>
      <c r="AH10497">
        <v>2</v>
      </c>
      <c r="AI10497">
        <v>1</v>
      </c>
      <c r="AJ10497">
        <v>0</v>
      </c>
      <c r="AK10497">
        <v>248.77</v>
      </c>
      <c r="AN10497" t="s">
        <v>7439</v>
      </c>
      <c r="AO10497">
        <v>31071</v>
      </c>
      <c r="AU10497">
        <v>1</v>
      </c>
      <c r="AV10497" t="s">
        <v>780</v>
      </c>
      <c r="AW10497" t="s">
        <v>60</v>
      </c>
    </row>
    <row r="10498" spans="1:50">
      <c r="A10498" s="1">
        <f>HYPERLINK("https://lsnyc.legalserver.org/matter/dynamic-profile/view/1898204","19-1898204")</f>
        <v>0</v>
      </c>
      <c r="B10498" t="s">
        <v>84</v>
      </c>
      <c r="C10498" t="s">
        <v>340</v>
      </c>
      <c r="D10498" t="s">
        <v>767</v>
      </c>
      <c r="F10498" t="s">
        <v>1072</v>
      </c>
      <c r="G10498" t="s">
        <v>7251</v>
      </c>
      <c r="H10498" t="s">
        <v>12926</v>
      </c>
      <c r="I10498" t="s">
        <v>18097</v>
      </c>
      <c r="J10498" t="s">
        <v>18893</v>
      </c>
      <c r="K10498">
        <v>10025</v>
      </c>
      <c r="L10498" t="s">
        <v>18960</v>
      </c>
      <c r="M10498" t="s">
        <v>18960</v>
      </c>
      <c r="N10498">
        <v>57954</v>
      </c>
      <c r="O10498" t="s">
        <v>26523</v>
      </c>
      <c r="R10498" t="s">
        <v>26582</v>
      </c>
      <c r="S10498" t="s">
        <v>18959</v>
      </c>
      <c r="U10498" t="s">
        <v>26604</v>
      </c>
      <c r="X10498">
        <v>380</v>
      </c>
      <c r="Y10498" t="s">
        <v>26651</v>
      </c>
      <c r="AB10498" t="s">
        <v>30280</v>
      </c>
      <c r="AD10498" t="s">
        <v>40417</v>
      </c>
      <c r="AE10498">
        <v>0</v>
      </c>
      <c r="AH10498">
        <v>20</v>
      </c>
      <c r="AI10498">
        <v>1</v>
      </c>
      <c r="AJ10498">
        <v>0</v>
      </c>
      <c r="AK10498">
        <v>127.69</v>
      </c>
      <c r="AN10498" t="s">
        <v>7439</v>
      </c>
      <c r="AO10498">
        <v>15948</v>
      </c>
      <c r="AU10498">
        <v>8.83</v>
      </c>
      <c r="AV10498" t="s">
        <v>839</v>
      </c>
      <c r="AW10498" t="s">
        <v>46838</v>
      </c>
    </row>
    <row r="10499" spans="1:50">
      <c r="A10499" s="1">
        <f>HYPERLINK("https://lsnyc.legalserver.org/matter/dynamic-profile/view/1898223","19-1898223")</f>
        <v>0</v>
      </c>
      <c r="B10499" t="s">
        <v>84</v>
      </c>
      <c r="C10499" t="s">
        <v>340</v>
      </c>
      <c r="D10499" t="s">
        <v>767</v>
      </c>
      <c r="F10499" t="s">
        <v>4842</v>
      </c>
      <c r="G10499" t="s">
        <v>5308</v>
      </c>
      <c r="H10499" t="s">
        <v>14650</v>
      </c>
      <c r="I10499" t="s">
        <v>18226</v>
      </c>
      <c r="J10499" t="s">
        <v>18893</v>
      </c>
      <c r="K10499">
        <v>10027</v>
      </c>
      <c r="L10499" t="s">
        <v>18960</v>
      </c>
      <c r="M10499" t="s">
        <v>18960</v>
      </c>
      <c r="N10499">
        <v>13597</v>
      </c>
      <c r="O10499" t="s">
        <v>26523</v>
      </c>
      <c r="P10499" t="s">
        <v>26560</v>
      </c>
      <c r="R10499" t="s">
        <v>26580</v>
      </c>
      <c r="U10499" t="s">
        <v>26604</v>
      </c>
      <c r="X10499">
        <v>466</v>
      </c>
      <c r="Y10499" t="s">
        <v>26651</v>
      </c>
      <c r="AB10499" t="s">
        <v>27894</v>
      </c>
      <c r="AD10499" t="s">
        <v>44917</v>
      </c>
      <c r="AE10499">
        <v>0</v>
      </c>
      <c r="AH10499">
        <v>7</v>
      </c>
      <c r="AI10499">
        <v>2</v>
      </c>
      <c r="AJ10499">
        <v>0</v>
      </c>
      <c r="AK10499">
        <v>72.95</v>
      </c>
      <c r="AN10499" t="s">
        <v>7439</v>
      </c>
      <c r="AO10499">
        <v>12336</v>
      </c>
      <c r="AU10499">
        <v>4.1</v>
      </c>
      <c r="AV10499" t="s">
        <v>834</v>
      </c>
      <c r="AW10499" t="s">
        <v>46838</v>
      </c>
    </row>
    <row r="10500" spans="1:50">
      <c r="A10500" s="1">
        <f>HYPERLINK("https://lsnyc.legalserver.org/matter/dynamic-profile/view/1898294","19-1898294")</f>
        <v>0</v>
      </c>
      <c r="B10500" t="s">
        <v>68</v>
      </c>
      <c r="C10500" t="s">
        <v>340</v>
      </c>
      <c r="D10500" t="s">
        <v>767</v>
      </c>
      <c r="F10500" t="s">
        <v>933</v>
      </c>
      <c r="G10500" t="s">
        <v>5806</v>
      </c>
      <c r="H10500" t="s">
        <v>16731</v>
      </c>
      <c r="I10500" t="s">
        <v>17743</v>
      </c>
      <c r="J10500" t="s">
        <v>18892</v>
      </c>
      <c r="K10500">
        <v>10468</v>
      </c>
      <c r="L10500" t="s">
        <v>18960</v>
      </c>
      <c r="M10500" t="s">
        <v>18960</v>
      </c>
      <c r="N10500" t="s">
        <v>24290</v>
      </c>
      <c r="O10500" t="s">
        <v>26523</v>
      </c>
      <c r="P10500" t="s">
        <v>26560</v>
      </c>
      <c r="R10500" t="s">
        <v>26579</v>
      </c>
      <c r="U10500" t="s">
        <v>26604</v>
      </c>
      <c r="X10500">
        <v>88.04000000000001</v>
      </c>
      <c r="Y10500" t="s">
        <v>26650</v>
      </c>
      <c r="Z10500" t="s">
        <v>26668</v>
      </c>
      <c r="AB10500" t="s">
        <v>32286</v>
      </c>
      <c r="AD10500" t="s">
        <v>44918</v>
      </c>
      <c r="AE10500">
        <v>48</v>
      </c>
      <c r="AF10500" t="s">
        <v>45541</v>
      </c>
      <c r="AH10500">
        <v>17</v>
      </c>
      <c r="AI10500">
        <v>2</v>
      </c>
      <c r="AJ10500">
        <v>0</v>
      </c>
      <c r="AK10500">
        <v>18.45</v>
      </c>
      <c r="AN10500" t="s">
        <v>7439</v>
      </c>
      <c r="AO10500">
        <v>3120</v>
      </c>
      <c r="AP10500" t="s">
        <v>46305</v>
      </c>
      <c r="AU10500">
        <v>0</v>
      </c>
      <c r="AW10500" t="s">
        <v>46836</v>
      </c>
    </row>
    <row r="10501" spans="1:50">
      <c r="A10501" s="1">
        <f>HYPERLINK("https://lsnyc.legalserver.org/matter/dynamic-profile/view/1898211","19-1898211")</f>
        <v>0</v>
      </c>
      <c r="B10501" t="s">
        <v>82</v>
      </c>
      <c r="C10501" t="s">
        <v>340</v>
      </c>
      <c r="D10501" t="s">
        <v>767</v>
      </c>
      <c r="F10501" t="s">
        <v>4843</v>
      </c>
      <c r="G10501" t="s">
        <v>5308</v>
      </c>
      <c r="H10501" t="s">
        <v>16732</v>
      </c>
      <c r="I10501" t="s">
        <v>17272</v>
      </c>
      <c r="J10501" t="s">
        <v>18892</v>
      </c>
      <c r="K10501">
        <v>10470</v>
      </c>
      <c r="L10501" t="s">
        <v>18958</v>
      </c>
      <c r="M10501" t="s">
        <v>18958</v>
      </c>
      <c r="O10501" t="s">
        <v>26524</v>
      </c>
      <c r="P10501" t="s">
        <v>26564</v>
      </c>
      <c r="R10501" t="s">
        <v>26577</v>
      </c>
      <c r="U10501" t="s">
        <v>26604</v>
      </c>
      <c r="X10501">
        <v>1850</v>
      </c>
      <c r="Y10501" t="s">
        <v>26650</v>
      </c>
      <c r="AB10501" t="s">
        <v>34007</v>
      </c>
      <c r="AD10501" t="s">
        <v>44919</v>
      </c>
      <c r="AE10501">
        <v>0</v>
      </c>
      <c r="AH10501">
        <v>2</v>
      </c>
      <c r="AI10501">
        <v>2</v>
      </c>
      <c r="AJ10501">
        <v>0</v>
      </c>
      <c r="AK10501">
        <v>331.16</v>
      </c>
      <c r="AN10501" t="s">
        <v>7439</v>
      </c>
      <c r="AO10501">
        <v>56000</v>
      </c>
      <c r="AP10501" t="s">
        <v>46306</v>
      </c>
      <c r="AU10501">
        <v>0</v>
      </c>
      <c r="AW10501" t="s">
        <v>284</v>
      </c>
    </row>
    <row r="10502" spans="1:50">
      <c r="A10502" s="1">
        <f>HYPERLINK("https://lsnyc.legalserver.org/matter/dynamic-profile/view/1898153","19-1898153")</f>
        <v>0</v>
      </c>
      <c r="B10502" t="s">
        <v>64</v>
      </c>
      <c r="C10502" t="s">
        <v>340</v>
      </c>
      <c r="D10502" t="s">
        <v>767</v>
      </c>
      <c r="F10502" t="s">
        <v>1187</v>
      </c>
      <c r="G10502" t="s">
        <v>6525</v>
      </c>
      <c r="H10502" t="s">
        <v>10475</v>
      </c>
      <c r="I10502" t="s">
        <v>17307</v>
      </c>
      <c r="J10502" t="s">
        <v>18892</v>
      </c>
      <c r="K10502">
        <v>10457</v>
      </c>
      <c r="L10502" t="s">
        <v>18958</v>
      </c>
      <c r="M10502" t="s">
        <v>18959</v>
      </c>
      <c r="P10502" t="s">
        <v>26562</v>
      </c>
      <c r="R10502" t="s">
        <v>26579</v>
      </c>
      <c r="U10502" t="s">
        <v>26604</v>
      </c>
      <c r="X10502">
        <v>1351.7</v>
      </c>
      <c r="Y10502" t="s">
        <v>26650</v>
      </c>
      <c r="Z10502" t="s">
        <v>26664</v>
      </c>
      <c r="AB10502" t="s">
        <v>34008</v>
      </c>
      <c r="AC10502" t="s">
        <v>36728</v>
      </c>
      <c r="AD10502" t="s">
        <v>44920</v>
      </c>
      <c r="AE10502">
        <v>0</v>
      </c>
      <c r="AG10502" t="s">
        <v>45556</v>
      </c>
      <c r="AH10502">
        <v>45</v>
      </c>
      <c r="AI10502">
        <v>1</v>
      </c>
      <c r="AJ10502">
        <v>0</v>
      </c>
      <c r="AK10502">
        <v>86.47</v>
      </c>
      <c r="AN10502" t="s">
        <v>45581</v>
      </c>
      <c r="AO10502">
        <v>10800</v>
      </c>
      <c r="AU10502">
        <v>1.75</v>
      </c>
      <c r="AV10502" t="s">
        <v>839</v>
      </c>
      <c r="AW10502" t="s">
        <v>46870</v>
      </c>
      <c r="AX10502" t="s">
        <v>46897</v>
      </c>
    </row>
    <row r="10503" spans="1:50">
      <c r="A10503" s="1">
        <f>HYPERLINK("https://lsnyc.legalserver.org/matter/dynamic-profile/view/1898295","19-1898295")</f>
        <v>0</v>
      </c>
      <c r="B10503" t="s">
        <v>115</v>
      </c>
      <c r="C10503" t="s">
        <v>340</v>
      </c>
      <c r="D10503" t="s">
        <v>767</v>
      </c>
      <c r="F10503" t="s">
        <v>1594</v>
      </c>
      <c r="G10503" t="s">
        <v>5121</v>
      </c>
      <c r="H10503" t="s">
        <v>13166</v>
      </c>
      <c r="I10503" t="s">
        <v>17298</v>
      </c>
      <c r="J10503" t="s">
        <v>18892</v>
      </c>
      <c r="K10503">
        <v>10467</v>
      </c>
      <c r="L10503" t="s">
        <v>18958</v>
      </c>
      <c r="M10503" t="s">
        <v>18958</v>
      </c>
      <c r="O10503" t="s">
        <v>26526</v>
      </c>
      <c r="P10503" t="s">
        <v>26560</v>
      </c>
      <c r="R10503" t="s">
        <v>26578</v>
      </c>
      <c r="S10503" t="s">
        <v>18958</v>
      </c>
      <c r="U10503" t="s">
        <v>26604</v>
      </c>
      <c r="X10503">
        <v>0</v>
      </c>
      <c r="Y10503" t="s">
        <v>26650</v>
      </c>
      <c r="Z10503" t="s">
        <v>26663</v>
      </c>
      <c r="AB10503" t="s">
        <v>30319</v>
      </c>
      <c r="AD10503" t="s">
        <v>44299</v>
      </c>
      <c r="AE10503">
        <v>60</v>
      </c>
      <c r="AF10503" t="s">
        <v>45541</v>
      </c>
      <c r="AG10503" t="s">
        <v>19330</v>
      </c>
      <c r="AH10503">
        <v>1</v>
      </c>
      <c r="AI10503">
        <v>1</v>
      </c>
      <c r="AJ10503">
        <v>0</v>
      </c>
      <c r="AK10503">
        <v>48.04</v>
      </c>
      <c r="AN10503" t="s">
        <v>7439</v>
      </c>
      <c r="AO10503">
        <v>6000</v>
      </c>
      <c r="AU10503">
        <v>0</v>
      </c>
      <c r="AW10503" t="s">
        <v>46847</v>
      </c>
    </row>
    <row r="10504" spans="1:50">
      <c r="A10504" s="1">
        <f>HYPERLINK("https://lsnyc.legalserver.org/matter/dynamic-profile/view/1898303","19-1898303")</f>
        <v>0</v>
      </c>
      <c r="B10504" t="s">
        <v>115</v>
      </c>
      <c r="C10504" t="s">
        <v>340</v>
      </c>
      <c r="D10504" t="s">
        <v>767</v>
      </c>
      <c r="F10504" t="s">
        <v>1858</v>
      </c>
      <c r="G10504" t="s">
        <v>7379</v>
      </c>
      <c r="H10504" t="s">
        <v>13166</v>
      </c>
      <c r="I10504" t="s">
        <v>17279</v>
      </c>
      <c r="J10504" t="s">
        <v>18892</v>
      </c>
      <c r="K10504">
        <v>10467</v>
      </c>
      <c r="L10504" t="s">
        <v>18958</v>
      </c>
      <c r="M10504" t="s">
        <v>18958</v>
      </c>
      <c r="O10504" t="s">
        <v>26526</v>
      </c>
      <c r="P10504" t="s">
        <v>26560</v>
      </c>
      <c r="R10504" t="s">
        <v>26578</v>
      </c>
      <c r="S10504" t="s">
        <v>18958</v>
      </c>
      <c r="U10504" t="s">
        <v>26604</v>
      </c>
      <c r="X10504">
        <v>542.6900000000001</v>
      </c>
      <c r="Y10504" t="s">
        <v>26650</v>
      </c>
      <c r="Z10504" t="s">
        <v>26663</v>
      </c>
      <c r="AB10504" t="s">
        <v>30515</v>
      </c>
      <c r="AE10504">
        <v>60</v>
      </c>
      <c r="AF10504" t="s">
        <v>45541</v>
      </c>
      <c r="AG10504" t="s">
        <v>45559</v>
      </c>
      <c r="AH10504">
        <v>43</v>
      </c>
      <c r="AI10504">
        <v>1</v>
      </c>
      <c r="AJ10504">
        <v>0</v>
      </c>
      <c r="AK10504">
        <v>72.06</v>
      </c>
      <c r="AN10504" t="s">
        <v>7439</v>
      </c>
      <c r="AO10504">
        <v>9000</v>
      </c>
      <c r="AU10504">
        <v>0</v>
      </c>
      <c r="AW10504" t="s">
        <v>46847</v>
      </c>
    </row>
    <row r="10505" spans="1:50">
      <c r="A10505" s="1">
        <f>HYPERLINK("https://lsnyc.legalserver.org/matter/dynamic-profile/view/1898233","19-1898233")</f>
        <v>0</v>
      </c>
      <c r="B10505" t="s">
        <v>115</v>
      </c>
      <c r="C10505" t="s">
        <v>340</v>
      </c>
      <c r="D10505" t="s">
        <v>767</v>
      </c>
      <c r="F10505" t="s">
        <v>964</v>
      </c>
      <c r="G10505" t="s">
        <v>9127</v>
      </c>
      <c r="H10505" t="s">
        <v>13166</v>
      </c>
      <c r="I10505" t="s">
        <v>17421</v>
      </c>
      <c r="J10505" t="s">
        <v>18892</v>
      </c>
      <c r="K10505">
        <v>10467</v>
      </c>
      <c r="L10505" t="s">
        <v>18958</v>
      </c>
      <c r="M10505" t="s">
        <v>18958</v>
      </c>
      <c r="O10505" t="s">
        <v>26526</v>
      </c>
      <c r="P10505" t="s">
        <v>26560</v>
      </c>
      <c r="R10505" t="s">
        <v>26578</v>
      </c>
      <c r="S10505" t="s">
        <v>18958</v>
      </c>
      <c r="U10505" t="s">
        <v>26604</v>
      </c>
      <c r="X10505">
        <v>0</v>
      </c>
      <c r="Y10505" t="s">
        <v>26650</v>
      </c>
      <c r="Z10505" t="s">
        <v>26663</v>
      </c>
      <c r="AB10505" t="s">
        <v>27265</v>
      </c>
      <c r="AE10505">
        <v>37</v>
      </c>
      <c r="AF10505" t="s">
        <v>20460</v>
      </c>
      <c r="AG10505" t="s">
        <v>19330</v>
      </c>
      <c r="AH10505">
        <v>37</v>
      </c>
      <c r="AI10505">
        <v>1</v>
      </c>
      <c r="AJ10505">
        <v>0</v>
      </c>
      <c r="AK10505">
        <v>100.28</v>
      </c>
      <c r="AN10505" t="s">
        <v>7439</v>
      </c>
      <c r="AO10505">
        <v>12525</v>
      </c>
      <c r="AU10505">
        <v>0</v>
      </c>
      <c r="AW10505" t="s">
        <v>46847</v>
      </c>
    </row>
    <row r="10506" spans="1:50">
      <c r="A10506" s="1">
        <f>HYPERLINK("https://lsnyc.legalserver.org/matter/dynamic-profile/view/1898305","19-1898305")</f>
        <v>0</v>
      </c>
      <c r="B10506" t="s">
        <v>115</v>
      </c>
      <c r="C10506" t="s">
        <v>340</v>
      </c>
      <c r="D10506" t="s">
        <v>767</v>
      </c>
      <c r="F10506" t="s">
        <v>964</v>
      </c>
      <c r="G10506" t="s">
        <v>9127</v>
      </c>
      <c r="H10506" t="s">
        <v>13166</v>
      </c>
      <c r="I10506" t="s">
        <v>17421</v>
      </c>
      <c r="J10506" t="s">
        <v>18892</v>
      </c>
      <c r="K10506">
        <v>10467</v>
      </c>
      <c r="L10506" t="s">
        <v>18958</v>
      </c>
      <c r="M10506" t="s">
        <v>18958</v>
      </c>
      <c r="O10506" t="s">
        <v>26526</v>
      </c>
      <c r="P10506" t="s">
        <v>26560</v>
      </c>
      <c r="R10506" t="s">
        <v>26578</v>
      </c>
      <c r="S10506" t="s">
        <v>18958</v>
      </c>
      <c r="U10506" t="s">
        <v>26604</v>
      </c>
      <c r="X10506">
        <v>0</v>
      </c>
      <c r="Y10506" t="s">
        <v>26650</v>
      </c>
      <c r="Z10506" t="s">
        <v>26663</v>
      </c>
      <c r="AB10506" t="s">
        <v>27265</v>
      </c>
      <c r="AE10506">
        <v>60</v>
      </c>
      <c r="AF10506" t="s">
        <v>20460</v>
      </c>
      <c r="AG10506" t="s">
        <v>19330</v>
      </c>
      <c r="AH10506">
        <v>37</v>
      </c>
      <c r="AI10506">
        <v>1</v>
      </c>
      <c r="AJ10506">
        <v>0</v>
      </c>
      <c r="AK10506">
        <v>100.28</v>
      </c>
      <c r="AN10506" t="s">
        <v>7439</v>
      </c>
      <c r="AO10506">
        <v>12525</v>
      </c>
      <c r="AU10506">
        <v>0</v>
      </c>
      <c r="AW10506" t="s">
        <v>46847</v>
      </c>
    </row>
    <row r="10507" spans="1:50">
      <c r="A10507" s="1">
        <f>HYPERLINK("https://lsnyc.legalserver.org/matter/dynamic-profile/view/1898326","19-1898326")</f>
        <v>0</v>
      </c>
      <c r="B10507" t="s">
        <v>115</v>
      </c>
      <c r="C10507" t="s">
        <v>340</v>
      </c>
      <c r="D10507" t="s">
        <v>767</v>
      </c>
      <c r="F10507" t="s">
        <v>4619</v>
      </c>
      <c r="G10507" t="s">
        <v>8098</v>
      </c>
      <c r="H10507" t="s">
        <v>13166</v>
      </c>
      <c r="I10507" t="s">
        <v>17290</v>
      </c>
      <c r="J10507" t="s">
        <v>18892</v>
      </c>
      <c r="K10507">
        <v>10467</v>
      </c>
      <c r="L10507" t="s">
        <v>18958</v>
      </c>
      <c r="M10507" t="s">
        <v>18958</v>
      </c>
      <c r="O10507" t="s">
        <v>26526</v>
      </c>
      <c r="P10507" t="s">
        <v>26560</v>
      </c>
      <c r="R10507" t="s">
        <v>26578</v>
      </c>
      <c r="S10507" t="s">
        <v>18958</v>
      </c>
      <c r="U10507" t="s">
        <v>26604</v>
      </c>
      <c r="X10507">
        <v>1020</v>
      </c>
      <c r="Y10507" t="s">
        <v>26650</v>
      </c>
      <c r="Z10507" t="s">
        <v>26663</v>
      </c>
      <c r="AB10507" t="s">
        <v>33548</v>
      </c>
      <c r="AD10507" t="s">
        <v>44313</v>
      </c>
      <c r="AE10507">
        <v>60</v>
      </c>
      <c r="AF10507" t="s">
        <v>45541</v>
      </c>
      <c r="AG10507" t="s">
        <v>19330</v>
      </c>
      <c r="AH10507">
        <v>20</v>
      </c>
      <c r="AI10507">
        <v>3</v>
      </c>
      <c r="AJ10507">
        <v>0</v>
      </c>
      <c r="AK10507">
        <v>130.33</v>
      </c>
      <c r="AN10507" t="s">
        <v>7439</v>
      </c>
      <c r="AO10507">
        <v>27800</v>
      </c>
      <c r="AU10507">
        <v>0</v>
      </c>
      <c r="AW10507" t="s">
        <v>46847</v>
      </c>
    </row>
    <row r="10508" spans="1:50">
      <c r="A10508" s="1">
        <f>HYPERLINK("https://lsnyc.legalserver.org/matter/dynamic-profile/view/1898230","19-1898230")</f>
        <v>0</v>
      </c>
      <c r="B10508" t="s">
        <v>115</v>
      </c>
      <c r="C10508" t="s">
        <v>340</v>
      </c>
      <c r="D10508" t="s">
        <v>767</v>
      </c>
      <c r="F10508" t="s">
        <v>4470</v>
      </c>
      <c r="G10508" t="s">
        <v>9128</v>
      </c>
      <c r="H10508" t="s">
        <v>13166</v>
      </c>
      <c r="I10508" t="s">
        <v>17410</v>
      </c>
      <c r="J10508" t="s">
        <v>18892</v>
      </c>
      <c r="K10508">
        <v>10467</v>
      </c>
      <c r="L10508" t="s">
        <v>18958</v>
      </c>
      <c r="M10508" t="s">
        <v>18958</v>
      </c>
      <c r="O10508" t="s">
        <v>26526</v>
      </c>
      <c r="R10508" t="s">
        <v>26578</v>
      </c>
      <c r="S10508" t="s">
        <v>18958</v>
      </c>
      <c r="U10508" t="s">
        <v>26604</v>
      </c>
      <c r="X10508">
        <v>811.72</v>
      </c>
      <c r="Y10508" t="s">
        <v>26650</v>
      </c>
      <c r="Z10508" t="s">
        <v>26663</v>
      </c>
      <c r="AB10508" t="s">
        <v>33549</v>
      </c>
      <c r="AE10508">
        <v>59</v>
      </c>
      <c r="AF10508" t="s">
        <v>20460</v>
      </c>
      <c r="AG10508" t="s">
        <v>19330</v>
      </c>
      <c r="AH10508">
        <v>11</v>
      </c>
      <c r="AI10508">
        <v>1</v>
      </c>
      <c r="AJ10508">
        <v>1</v>
      </c>
      <c r="AK10508">
        <v>147.84</v>
      </c>
      <c r="AN10508" t="s">
        <v>7439</v>
      </c>
      <c r="AO10508">
        <v>25000</v>
      </c>
      <c r="AU10508">
        <v>0</v>
      </c>
      <c r="AW10508" t="s">
        <v>46847</v>
      </c>
    </row>
    <row r="10509" spans="1:50">
      <c r="A10509" s="1">
        <f>HYPERLINK("https://lsnyc.legalserver.org/matter/dynamic-profile/view/1898314","19-1898314")</f>
        <v>0</v>
      </c>
      <c r="B10509" t="s">
        <v>115</v>
      </c>
      <c r="C10509" t="s">
        <v>340</v>
      </c>
      <c r="D10509" t="s">
        <v>767</v>
      </c>
      <c r="F10509" t="s">
        <v>4470</v>
      </c>
      <c r="G10509" t="s">
        <v>9128</v>
      </c>
      <c r="H10509" t="s">
        <v>13166</v>
      </c>
      <c r="I10509" t="s">
        <v>17410</v>
      </c>
      <c r="J10509" t="s">
        <v>18892</v>
      </c>
      <c r="K10509">
        <v>10467</v>
      </c>
      <c r="L10509" t="s">
        <v>18958</v>
      </c>
      <c r="M10509" t="s">
        <v>18958</v>
      </c>
      <c r="O10509" t="s">
        <v>26526</v>
      </c>
      <c r="P10509" t="s">
        <v>26560</v>
      </c>
      <c r="R10509" t="s">
        <v>26578</v>
      </c>
      <c r="S10509" t="s">
        <v>18958</v>
      </c>
      <c r="U10509" t="s">
        <v>26604</v>
      </c>
      <c r="X10509">
        <v>811.72</v>
      </c>
      <c r="Y10509" t="s">
        <v>26650</v>
      </c>
      <c r="Z10509" t="s">
        <v>26663</v>
      </c>
      <c r="AB10509" t="s">
        <v>33549</v>
      </c>
      <c r="AE10509">
        <v>60</v>
      </c>
      <c r="AF10509" t="s">
        <v>20460</v>
      </c>
      <c r="AG10509" t="s">
        <v>19330</v>
      </c>
      <c r="AH10509">
        <v>11</v>
      </c>
      <c r="AI10509">
        <v>1</v>
      </c>
      <c r="AJ10509">
        <v>1</v>
      </c>
      <c r="AK10509">
        <v>147.84</v>
      </c>
      <c r="AN10509" t="s">
        <v>7439</v>
      </c>
      <c r="AO10509">
        <v>25000</v>
      </c>
      <c r="AU10509">
        <v>0</v>
      </c>
      <c r="AW10509" t="s">
        <v>46847</v>
      </c>
    </row>
    <row r="10510" spans="1:50">
      <c r="A10510" s="1">
        <f>HYPERLINK("https://lsnyc.legalserver.org/matter/dynamic-profile/view/1898292","19-1898292")</f>
        <v>0</v>
      </c>
      <c r="B10510" t="s">
        <v>115</v>
      </c>
      <c r="C10510" t="s">
        <v>340</v>
      </c>
      <c r="D10510" t="s">
        <v>767</v>
      </c>
      <c r="F10510" t="s">
        <v>986</v>
      </c>
      <c r="G10510" t="s">
        <v>9118</v>
      </c>
      <c r="H10510" t="s">
        <v>13166</v>
      </c>
      <c r="I10510" t="s">
        <v>17352</v>
      </c>
      <c r="J10510" t="s">
        <v>18892</v>
      </c>
      <c r="K10510">
        <v>10467</v>
      </c>
      <c r="L10510" t="s">
        <v>18958</v>
      </c>
      <c r="M10510" t="s">
        <v>18958</v>
      </c>
      <c r="O10510" t="s">
        <v>26526</v>
      </c>
      <c r="P10510" t="s">
        <v>26560</v>
      </c>
      <c r="R10510" t="s">
        <v>26578</v>
      </c>
      <c r="S10510" t="s">
        <v>18958</v>
      </c>
      <c r="U10510" t="s">
        <v>26604</v>
      </c>
      <c r="X10510">
        <v>1522.5</v>
      </c>
      <c r="Y10510" t="s">
        <v>26650</v>
      </c>
      <c r="Z10510" t="s">
        <v>26663</v>
      </c>
      <c r="AB10510" t="s">
        <v>33534</v>
      </c>
      <c r="AE10510">
        <v>60</v>
      </c>
      <c r="AF10510" t="s">
        <v>45541</v>
      </c>
      <c r="AG10510" t="s">
        <v>19330</v>
      </c>
      <c r="AH10510">
        <v>3</v>
      </c>
      <c r="AI10510">
        <v>2</v>
      </c>
      <c r="AJ10510">
        <v>2</v>
      </c>
      <c r="AK10510">
        <v>209.15</v>
      </c>
      <c r="AN10510" t="s">
        <v>7439</v>
      </c>
      <c r="AO10510">
        <v>53856</v>
      </c>
      <c r="AU10510">
        <v>0</v>
      </c>
      <c r="AW10510" t="s">
        <v>46847</v>
      </c>
    </row>
    <row r="10511" spans="1:50">
      <c r="A10511" s="1">
        <f>HYPERLINK("https://lsnyc.legalserver.org/matter/dynamic-profile/view/1898235","19-1898235")</f>
        <v>0</v>
      </c>
      <c r="B10511" t="s">
        <v>115</v>
      </c>
      <c r="C10511" t="s">
        <v>340</v>
      </c>
      <c r="D10511" t="s">
        <v>767</v>
      </c>
      <c r="F10511" t="s">
        <v>1235</v>
      </c>
      <c r="G10511" t="s">
        <v>7146</v>
      </c>
      <c r="H10511" t="s">
        <v>13166</v>
      </c>
      <c r="I10511" t="s">
        <v>17293</v>
      </c>
      <c r="J10511" t="s">
        <v>18892</v>
      </c>
      <c r="K10511">
        <v>10467</v>
      </c>
      <c r="L10511" t="s">
        <v>18958</v>
      </c>
      <c r="M10511" t="s">
        <v>18958</v>
      </c>
      <c r="O10511" t="s">
        <v>26526</v>
      </c>
      <c r="P10511" t="s">
        <v>26560</v>
      </c>
      <c r="R10511" t="s">
        <v>26578</v>
      </c>
      <c r="S10511" t="s">
        <v>18958</v>
      </c>
      <c r="U10511" t="s">
        <v>26604</v>
      </c>
      <c r="X10511">
        <v>752</v>
      </c>
      <c r="Y10511" t="s">
        <v>26650</v>
      </c>
      <c r="Z10511" t="s">
        <v>26659</v>
      </c>
      <c r="AB10511" t="s">
        <v>33570</v>
      </c>
      <c r="AD10511" t="s">
        <v>44343</v>
      </c>
      <c r="AE10511">
        <v>59</v>
      </c>
      <c r="AF10511" t="s">
        <v>45541</v>
      </c>
      <c r="AG10511" t="s">
        <v>19330</v>
      </c>
      <c r="AH10511">
        <v>19</v>
      </c>
      <c r="AI10511">
        <v>1</v>
      </c>
      <c r="AJ10511">
        <v>0</v>
      </c>
      <c r="AK10511">
        <v>340.27</v>
      </c>
      <c r="AN10511" t="s">
        <v>7439</v>
      </c>
      <c r="AO10511">
        <v>42500</v>
      </c>
      <c r="AU10511">
        <v>0</v>
      </c>
      <c r="AW10511" t="s">
        <v>46847</v>
      </c>
    </row>
    <row r="10512" spans="1:50">
      <c r="A10512" s="1">
        <f>HYPERLINK("https://lsnyc.legalserver.org/matter/dynamic-profile/view/1898330","19-1898330")</f>
        <v>0</v>
      </c>
      <c r="B10512" t="s">
        <v>115</v>
      </c>
      <c r="C10512" t="s">
        <v>340</v>
      </c>
      <c r="D10512" t="s">
        <v>767</v>
      </c>
      <c r="F10512" t="s">
        <v>1235</v>
      </c>
      <c r="G10512" t="s">
        <v>7146</v>
      </c>
      <c r="H10512" t="s">
        <v>13166</v>
      </c>
      <c r="I10512" t="s">
        <v>17293</v>
      </c>
      <c r="J10512" t="s">
        <v>18892</v>
      </c>
      <c r="K10512">
        <v>10467</v>
      </c>
      <c r="L10512" t="s">
        <v>18958</v>
      </c>
      <c r="M10512" t="s">
        <v>18958</v>
      </c>
      <c r="O10512" t="s">
        <v>26526</v>
      </c>
      <c r="P10512" t="s">
        <v>26560</v>
      </c>
      <c r="R10512" t="s">
        <v>26578</v>
      </c>
      <c r="S10512" t="s">
        <v>18958</v>
      </c>
      <c r="U10512" t="s">
        <v>26604</v>
      </c>
      <c r="X10512">
        <v>752</v>
      </c>
      <c r="Y10512" t="s">
        <v>26650</v>
      </c>
      <c r="Z10512" t="s">
        <v>26663</v>
      </c>
      <c r="AB10512" t="s">
        <v>33570</v>
      </c>
      <c r="AD10512" t="s">
        <v>44343</v>
      </c>
      <c r="AE10512">
        <v>60</v>
      </c>
      <c r="AF10512" t="s">
        <v>45541</v>
      </c>
      <c r="AG10512" t="s">
        <v>19330</v>
      </c>
      <c r="AH10512">
        <v>19</v>
      </c>
      <c r="AI10512">
        <v>1</v>
      </c>
      <c r="AJ10512">
        <v>0</v>
      </c>
      <c r="AK10512">
        <v>340.27</v>
      </c>
      <c r="AN10512" t="s">
        <v>7439</v>
      </c>
      <c r="AO10512">
        <v>42500</v>
      </c>
      <c r="AU10512">
        <v>0</v>
      </c>
      <c r="AW10512" t="s">
        <v>46847</v>
      </c>
    </row>
    <row r="10513" spans="1:50">
      <c r="A10513" s="1">
        <f>HYPERLINK("https://lsnyc.legalserver.org/matter/dynamic-profile/view/1898306","19-1898306")</f>
        <v>0</v>
      </c>
      <c r="B10513" t="s">
        <v>115</v>
      </c>
      <c r="C10513" t="s">
        <v>340</v>
      </c>
      <c r="D10513" t="s">
        <v>767</v>
      </c>
      <c r="F10513" t="s">
        <v>998</v>
      </c>
      <c r="G10513" t="s">
        <v>9129</v>
      </c>
      <c r="H10513" t="s">
        <v>13166</v>
      </c>
      <c r="I10513" t="s">
        <v>17306</v>
      </c>
      <c r="J10513" t="s">
        <v>18892</v>
      </c>
      <c r="K10513">
        <v>10467</v>
      </c>
      <c r="L10513" t="s">
        <v>18958</v>
      </c>
      <c r="M10513" t="s">
        <v>18958</v>
      </c>
      <c r="O10513" t="s">
        <v>26526</v>
      </c>
      <c r="P10513" t="s">
        <v>26560</v>
      </c>
      <c r="R10513" t="s">
        <v>26578</v>
      </c>
      <c r="S10513" t="s">
        <v>18958</v>
      </c>
      <c r="U10513" t="s">
        <v>26604</v>
      </c>
      <c r="X10513">
        <v>842</v>
      </c>
      <c r="Y10513" t="s">
        <v>26650</v>
      </c>
      <c r="Z10513" t="s">
        <v>26663</v>
      </c>
      <c r="AB10513" t="s">
        <v>33550</v>
      </c>
      <c r="AD10513" t="s">
        <v>44314</v>
      </c>
      <c r="AE10513">
        <v>60</v>
      </c>
      <c r="AF10513" t="s">
        <v>20460</v>
      </c>
      <c r="AG10513" t="s">
        <v>19330</v>
      </c>
      <c r="AH10513">
        <v>10</v>
      </c>
      <c r="AI10513">
        <v>2</v>
      </c>
      <c r="AJ10513">
        <v>1</v>
      </c>
      <c r="AK10513">
        <v>370.93</v>
      </c>
      <c r="AN10513" t="s">
        <v>7439</v>
      </c>
      <c r="AO10513">
        <v>79120</v>
      </c>
      <c r="AU10513">
        <v>0</v>
      </c>
      <c r="AW10513" t="s">
        <v>46847</v>
      </c>
    </row>
    <row r="10514" spans="1:50">
      <c r="A10514" s="1">
        <f>HYPERLINK("https://lsnyc.legalserver.org/matter/dynamic-profile/view/1898227","19-1898227")</f>
        <v>0</v>
      </c>
      <c r="B10514" t="s">
        <v>115</v>
      </c>
      <c r="C10514" t="s">
        <v>340</v>
      </c>
      <c r="D10514" t="s">
        <v>767</v>
      </c>
      <c r="F10514" t="s">
        <v>990</v>
      </c>
      <c r="G10514" t="s">
        <v>9117</v>
      </c>
      <c r="H10514" t="s">
        <v>13166</v>
      </c>
      <c r="I10514" t="s">
        <v>17490</v>
      </c>
      <c r="J10514" t="s">
        <v>18892</v>
      </c>
      <c r="K10514">
        <v>10467</v>
      </c>
      <c r="L10514" t="s">
        <v>18958</v>
      </c>
      <c r="M10514" t="s">
        <v>18958</v>
      </c>
      <c r="O10514" t="s">
        <v>26526</v>
      </c>
      <c r="R10514" t="s">
        <v>26578</v>
      </c>
      <c r="S10514" t="s">
        <v>18958</v>
      </c>
      <c r="U10514" t="s">
        <v>26604</v>
      </c>
      <c r="X10514">
        <v>700</v>
      </c>
      <c r="Y10514" t="s">
        <v>26650</v>
      </c>
      <c r="Z10514" t="s">
        <v>26663</v>
      </c>
      <c r="AB10514" t="s">
        <v>33531</v>
      </c>
      <c r="AE10514">
        <v>61</v>
      </c>
      <c r="AF10514" t="s">
        <v>20460</v>
      </c>
      <c r="AG10514" t="s">
        <v>19330</v>
      </c>
      <c r="AH10514">
        <v>15</v>
      </c>
      <c r="AI10514">
        <v>1</v>
      </c>
      <c r="AJ10514">
        <v>0</v>
      </c>
      <c r="AK10514">
        <v>376.3</v>
      </c>
      <c r="AN10514" t="s">
        <v>7439</v>
      </c>
      <c r="AO10514">
        <v>47000</v>
      </c>
      <c r="AU10514">
        <v>0</v>
      </c>
      <c r="AW10514" t="s">
        <v>46847</v>
      </c>
    </row>
    <row r="10515" spans="1:50">
      <c r="A10515" s="1">
        <f>HYPERLINK("https://lsnyc.legalserver.org/matter/dynamic-profile/view/1898298","19-1898298")</f>
        <v>0</v>
      </c>
      <c r="B10515" t="s">
        <v>220</v>
      </c>
      <c r="C10515" t="s">
        <v>340</v>
      </c>
      <c r="D10515" t="s">
        <v>767</v>
      </c>
      <c r="F10515" t="s">
        <v>3649</v>
      </c>
      <c r="G10515" t="s">
        <v>9384</v>
      </c>
      <c r="H10515" t="s">
        <v>16733</v>
      </c>
      <c r="I10515" t="s">
        <v>17545</v>
      </c>
      <c r="J10515" t="s">
        <v>7026</v>
      </c>
      <c r="K10515">
        <v>11368</v>
      </c>
      <c r="L10515" t="s">
        <v>18958</v>
      </c>
      <c r="M10515" t="s">
        <v>18958</v>
      </c>
      <c r="O10515" t="s">
        <v>26534</v>
      </c>
      <c r="P10515" t="s">
        <v>26563</v>
      </c>
      <c r="R10515" t="s">
        <v>26578</v>
      </c>
      <c r="S10515" t="s">
        <v>18958</v>
      </c>
      <c r="U10515" t="s">
        <v>26604</v>
      </c>
      <c r="X10515">
        <v>1022</v>
      </c>
      <c r="Y10515" t="s">
        <v>26653</v>
      </c>
      <c r="Z10515" t="s">
        <v>26530</v>
      </c>
      <c r="AB10515" t="s">
        <v>34009</v>
      </c>
      <c r="AD10515" t="s">
        <v>44921</v>
      </c>
      <c r="AE10515">
        <v>231</v>
      </c>
      <c r="AF10515" t="s">
        <v>45541</v>
      </c>
      <c r="AG10515" t="s">
        <v>45559</v>
      </c>
      <c r="AH10515">
        <v>37</v>
      </c>
      <c r="AI10515">
        <v>2</v>
      </c>
      <c r="AJ10515">
        <v>0</v>
      </c>
      <c r="AK10515">
        <v>92.91</v>
      </c>
      <c r="AN10515" t="s">
        <v>7439</v>
      </c>
      <c r="AO10515">
        <v>15711</v>
      </c>
      <c r="AU10515">
        <v>0</v>
      </c>
      <c r="AW10515" t="s">
        <v>220</v>
      </c>
    </row>
    <row r="10516" spans="1:50">
      <c r="A10516" s="1">
        <f>HYPERLINK("https://lsnyc.legalserver.org/matter/dynamic-profile/view/1898434","19-1898434")</f>
        <v>0</v>
      </c>
      <c r="B10516" t="s">
        <v>286</v>
      </c>
      <c r="C10516" t="s">
        <v>341</v>
      </c>
      <c r="D10516" t="s">
        <v>768</v>
      </c>
      <c r="E10516" t="s">
        <v>829</v>
      </c>
      <c r="F10516" t="s">
        <v>886</v>
      </c>
      <c r="G10516" t="s">
        <v>9385</v>
      </c>
      <c r="H10516" t="s">
        <v>16734</v>
      </c>
      <c r="I10516" t="s">
        <v>18761</v>
      </c>
      <c r="J10516" t="s">
        <v>18894</v>
      </c>
      <c r="K10516">
        <v>11212</v>
      </c>
      <c r="L10516" t="s">
        <v>18960</v>
      </c>
      <c r="M10516" t="s">
        <v>18960</v>
      </c>
      <c r="O10516" t="s">
        <v>18997</v>
      </c>
      <c r="P10516" t="s">
        <v>26564</v>
      </c>
      <c r="Q10516" t="s">
        <v>26570</v>
      </c>
      <c r="R10516" t="s">
        <v>26578</v>
      </c>
      <c r="U10516" t="s">
        <v>26604</v>
      </c>
      <c r="X10516">
        <v>1098</v>
      </c>
      <c r="Y10516" t="s">
        <v>26652</v>
      </c>
      <c r="AA10516" t="s">
        <v>26683</v>
      </c>
      <c r="AB10516" t="s">
        <v>28133</v>
      </c>
      <c r="AD10516" t="s">
        <v>44922</v>
      </c>
      <c r="AE10516">
        <v>8</v>
      </c>
      <c r="AF10516" t="s">
        <v>45541</v>
      </c>
      <c r="AG10516" t="s">
        <v>45557</v>
      </c>
      <c r="AH10516">
        <v>14</v>
      </c>
      <c r="AI10516">
        <v>1</v>
      </c>
      <c r="AJ10516">
        <v>2</v>
      </c>
      <c r="AK10516">
        <v>27.06</v>
      </c>
      <c r="AN10516" t="s">
        <v>7439</v>
      </c>
      <c r="AO10516">
        <v>5772</v>
      </c>
      <c r="AU10516">
        <v>1</v>
      </c>
      <c r="AV10516" t="s">
        <v>768</v>
      </c>
      <c r="AW10516" t="s">
        <v>46859</v>
      </c>
    </row>
    <row r="10517" spans="1:50">
      <c r="A10517" s="1">
        <f>HYPERLINK("https://lsnyc.legalserver.org/matter/dynamic-profile/view/1898407","19-1898407")</f>
        <v>0</v>
      </c>
      <c r="B10517" t="s">
        <v>74</v>
      </c>
      <c r="C10517" t="s">
        <v>341</v>
      </c>
      <c r="D10517" t="s">
        <v>768</v>
      </c>
      <c r="E10517" t="s">
        <v>808</v>
      </c>
      <c r="F10517" t="s">
        <v>916</v>
      </c>
      <c r="G10517" t="s">
        <v>5673</v>
      </c>
      <c r="H10517" t="s">
        <v>16735</v>
      </c>
      <c r="I10517" t="s">
        <v>17919</v>
      </c>
      <c r="J10517" t="s">
        <v>18893</v>
      </c>
      <c r="K10517">
        <v>10029</v>
      </c>
      <c r="L10517" t="s">
        <v>18960</v>
      </c>
      <c r="M10517" t="s">
        <v>18960</v>
      </c>
      <c r="P10517" t="s">
        <v>26564</v>
      </c>
      <c r="Q10517" t="s">
        <v>26570</v>
      </c>
      <c r="R10517" t="s">
        <v>26591</v>
      </c>
      <c r="U10517" t="s">
        <v>26604</v>
      </c>
      <c r="X10517">
        <v>952</v>
      </c>
      <c r="Y10517" t="s">
        <v>26651</v>
      </c>
      <c r="AA10517" t="s">
        <v>26683</v>
      </c>
      <c r="AB10517" t="s">
        <v>34010</v>
      </c>
      <c r="AD10517" t="s">
        <v>44923</v>
      </c>
      <c r="AE10517">
        <v>17</v>
      </c>
      <c r="AH10517">
        <v>50</v>
      </c>
      <c r="AI10517">
        <v>1</v>
      </c>
      <c r="AJ10517">
        <v>0</v>
      </c>
      <c r="AK10517">
        <v>84.36</v>
      </c>
      <c r="AN10517" t="s">
        <v>45581</v>
      </c>
      <c r="AO10517">
        <v>10536</v>
      </c>
      <c r="AU10517">
        <v>1</v>
      </c>
      <c r="AV10517" t="s">
        <v>768</v>
      </c>
      <c r="AW10517" t="s">
        <v>46857</v>
      </c>
    </row>
    <row r="10518" spans="1:50">
      <c r="A10518" s="1">
        <f>HYPERLINK("https://lsnyc.legalserver.org/matter/dynamic-profile/view/1898459","19-1898459")</f>
        <v>0</v>
      </c>
      <c r="B10518" t="s">
        <v>136</v>
      </c>
      <c r="C10518" t="s">
        <v>340</v>
      </c>
      <c r="D10518" t="s">
        <v>768</v>
      </c>
      <c r="F10518" t="s">
        <v>4844</v>
      </c>
      <c r="G10518" t="s">
        <v>2564</v>
      </c>
      <c r="H10518" t="s">
        <v>16736</v>
      </c>
      <c r="I10518" t="s">
        <v>17385</v>
      </c>
      <c r="J10518" t="s">
        <v>18892</v>
      </c>
      <c r="K10518">
        <v>10467</v>
      </c>
      <c r="L10518" t="s">
        <v>18960</v>
      </c>
      <c r="M10518" t="s">
        <v>18960</v>
      </c>
      <c r="N10518" t="s">
        <v>26058</v>
      </c>
      <c r="O10518" t="s">
        <v>26526</v>
      </c>
      <c r="P10518" t="s">
        <v>26564</v>
      </c>
      <c r="R10518" t="s">
        <v>26591</v>
      </c>
      <c r="S10518" t="s">
        <v>18959</v>
      </c>
      <c r="U10518" t="s">
        <v>26604</v>
      </c>
      <c r="V10518" t="s">
        <v>26610</v>
      </c>
      <c r="X10518">
        <v>1071</v>
      </c>
      <c r="Y10518" t="s">
        <v>26650</v>
      </c>
      <c r="Z10518" t="s">
        <v>26666</v>
      </c>
      <c r="AB10518" t="s">
        <v>31480</v>
      </c>
      <c r="AE10518">
        <v>51</v>
      </c>
      <c r="AF10518" t="s">
        <v>45541</v>
      </c>
      <c r="AG10518" t="s">
        <v>19330</v>
      </c>
      <c r="AH10518">
        <v>9</v>
      </c>
      <c r="AI10518">
        <v>1</v>
      </c>
      <c r="AJ10518">
        <v>0</v>
      </c>
      <c r="AK10518">
        <v>0</v>
      </c>
      <c r="AN10518" t="s">
        <v>45581</v>
      </c>
      <c r="AO10518">
        <v>0</v>
      </c>
      <c r="AU10518">
        <v>2.75</v>
      </c>
      <c r="AV10518" t="s">
        <v>820</v>
      </c>
      <c r="AW10518" t="s">
        <v>46850</v>
      </c>
    </row>
    <row r="10519" spans="1:50">
      <c r="A10519" s="1">
        <f>HYPERLINK("https://lsnyc.legalserver.org/matter/dynamic-profile/view/1898483","19-1898483")</f>
        <v>0</v>
      </c>
      <c r="B10519" t="s">
        <v>105</v>
      </c>
      <c r="C10519" t="s">
        <v>340</v>
      </c>
      <c r="D10519" t="s">
        <v>768</v>
      </c>
      <c r="F10519" t="s">
        <v>1100</v>
      </c>
      <c r="G10519" t="s">
        <v>9386</v>
      </c>
      <c r="H10519" t="s">
        <v>16737</v>
      </c>
      <c r="J10519" t="s">
        <v>18922</v>
      </c>
      <c r="K10519">
        <v>11694</v>
      </c>
      <c r="L10519" t="s">
        <v>18960</v>
      </c>
      <c r="M10519" t="s">
        <v>18960</v>
      </c>
      <c r="N10519" t="s">
        <v>26059</v>
      </c>
      <c r="P10519" t="s">
        <v>26564</v>
      </c>
      <c r="R10519" t="s">
        <v>26591</v>
      </c>
      <c r="U10519" t="s">
        <v>26607</v>
      </c>
      <c r="X10519">
        <v>0</v>
      </c>
      <c r="Y10519" t="s">
        <v>26653</v>
      </c>
      <c r="AB10519" t="s">
        <v>34011</v>
      </c>
      <c r="AD10519" t="s">
        <v>44924</v>
      </c>
      <c r="AE10519">
        <v>0</v>
      </c>
      <c r="AH10519">
        <v>50</v>
      </c>
      <c r="AI10519">
        <v>2</v>
      </c>
      <c r="AJ10519">
        <v>0</v>
      </c>
      <c r="AK10519">
        <v>92.61</v>
      </c>
      <c r="AN10519" t="s">
        <v>7439</v>
      </c>
      <c r="AO10519">
        <v>15660</v>
      </c>
      <c r="AU10519">
        <v>2.85</v>
      </c>
      <c r="AV10519" t="s">
        <v>816</v>
      </c>
      <c r="AW10519" t="s">
        <v>46887</v>
      </c>
    </row>
    <row r="10520" spans="1:50">
      <c r="A10520" s="1">
        <f>HYPERLINK("https://lsnyc.legalserver.org/matter/dynamic-profile/view/1897092","19-1897092")</f>
        <v>0</v>
      </c>
      <c r="B10520" t="s">
        <v>195</v>
      </c>
      <c r="C10520" t="s">
        <v>340</v>
      </c>
      <c r="D10520" t="s">
        <v>768</v>
      </c>
      <c r="F10520" t="s">
        <v>4845</v>
      </c>
      <c r="G10520" t="s">
        <v>5460</v>
      </c>
      <c r="H10520" t="s">
        <v>16738</v>
      </c>
      <c r="I10520" t="s">
        <v>18804</v>
      </c>
      <c r="J10520" t="s">
        <v>18893</v>
      </c>
      <c r="K10520">
        <v>10039</v>
      </c>
      <c r="L10520" t="s">
        <v>18959</v>
      </c>
      <c r="M10520" t="s">
        <v>18959</v>
      </c>
      <c r="P10520" t="s">
        <v>26563</v>
      </c>
      <c r="R10520" t="s">
        <v>26582</v>
      </c>
      <c r="U10520" t="s">
        <v>26604</v>
      </c>
      <c r="X10520">
        <v>1064</v>
      </c>
      <c r="Y10520" t="s">
        <v>26651</v>
      </c>
      <c r="Z10520" t="s">
        <v>26655</v>
      </c>
      <c r="AB10520" t="s">
        <v>34012</v>
      </c>
      <c r="AD10520" t="s">
        <v>44925</v>
      </c>
      <c r="AE10520">
        <v>0</v>
      </c>
      <c r="AF10520" t="s">
        <v>45541</v>
      </c>
      <c r="AG10520" t="s">
        <v>45557</v>
      </c>
      <c r="AH10520">
        <v>10</v>
      </c>
      <c r="AI10520">
        <v>1</v>
      </c>
      <c r="AJ10520">
        <v>3</v>
      </c>
      <c r="AK10520">
        <v>170.1</v>
      </c>
      <c r="AN10520" t="s">
        <v>7439</v>
      </c>
      <c r="AO10520">
        <v>43800</v>
      </c>
      <c r="AU10520">
        <v>0.5</v>
      </c>
      <c r="AV10520" t="s">
        <v>813</v>
      </c>
      <c r="AW10520" t="s">
        <v>314</v>
      </c>
    </row>
    <row r="10521" spans="1:50">
      <c r="A10521" s="1">
        <f>HYPERLINK("https://lsnyc.legalserver.org/matter/dynamic-profile/view/1898474","19-1898474")</f>
        <v>0</v>
      </c>
      <c r="B10521" t="s">
        <v>97</v>
      </c>
      <c r="C10521" t="s">
        <v>340</v>
      </c>
      <c r="D10521" t="s">
        <v>768</v>
      </c>
      <c r="F10521" t="s">
        <v>2137</v>
      </c>
      <c r="G10521" t="s">
        <v>7327</v>
      </c>
      <c r="H10521" t="s">
        <v>16739</v>
      </c>
      <c r="I10521" t="s">
        <v>18805</v>
      </c>
      <c r="J10521" t="s">
        <v>18892</v>
      </c>
      <c r="K10521">
        <v>10468</v>
      </c>
      <c r="L10521" t="s">
        <v>18958</v>
      </c>
      <c r="M10521" t="s">
        <v>18959</v>
      </c>
      <c r="N10521" t="s">
        <v>26060</v>
      </c>
      <c r="O10521" t="s">
        <v>26523</v>
      </c>
      <c r="P10521" t="s">
        <v>26560</v>
      </c>
      <c r="R10521" t="s">
        <v>26579</v>
      </c>
      <c r="S10521" t="s">
        <v>18959</v>
      </c>
      <c r="U10521" t="s">
        <v>26604</v>
      </c>
      <c r="X10521">
        <v>0</v>
      </c>
      <c r="Y10521" t="s">
        <v>26650</v>
      </c>
      <c r="Z10521" t="s">
        <v>26668</v>
      </c>
      <c r="AB10521" t="s">
        <v>34013</v>
      </c>
      <c r="AD10521" t="s">
        <v>44926</v>
      </c>
      <c r="AE10521">
        <v>56</v>
      </c>
      <c r="AG10521" t="s">
        <v>19330</v>
      </c>
      <c r="AH10521">
        <v>0</v>
      </c>
      <c r="AI10521">
        <v>1</v>
      </c>
      <c r="AJ10521">
        <v>0</v>
      </c>
      <c r="AK10521">
        <v>187.35</v>
      </c>
      <c r="AN10521" t="s">
        <v>45581</v>
      </c>
      <c r="AO10521">
        <v>23400</v>
      </c>
      <c r="AP10521" t="s">
        <v>46277</v>
      </c>
      <c r="AU10521">
        <v>4.95</v>
      </c>
      <c r="AV10521" t="s">
        <v>834</v>
      </c>
      <c r="AW10521" t="s">
        <v>46871</v>
      </c>
    </row>
    <row r="10522" spans="1:50">
      <c r="A10522" s="1">
        <f>HYPERLINK("https://lsnyc.legalserver.org/matter/dynamic-profile/view/1898492","19-1898492")</f>
        <v>0</v>
      </c>
      <c r="B10522" t="s">
        <v>100</v>
      </c>
      <c r="C10522" t="s">
        <v>340</v>
      </c>
      <c r="D10522" t="s">
        <v>768</v>
      </c>
      <c r="F10522" t="s">
        <v>1009</v>
      </c>
      <c r="G10522" t="s">
        <v>5949</v>
      </c>
      <c r="H10522" t="s">
        <v>10817</v>
      </c>
      <c r="I10522" t="s">
        <v>17456</v>
      </c>
      <c r="J10522" t="s">
        <v>18892</v>
      </c>
      <c r="K10522">
        <v>10455</v>
      </c>
      <c r="L10522" t="s">
        <v>18958</v>
      </c>
      <c r="M10522" t="s">
        <v>18958</v>
      </c>
      <c r="P10522" t="s">
        <v>26563</v>
      </c>
      <c r="R10522" t="s">
        <v>26578</v>
      </c>
      <c r="S10522" t="s">
        <v>18958</v>
      </c>
      <c r="U10522" t="s">
        <v>26604</v>
      </c>
      <c r="X10522">
        <v>1515</v>
      </c>
      <c r="Y10522" t="s">
        <v>26650</v>
      </c>
      <c r="Z10522" t="s">
        <v>26659</v>
      </c>
      <c r="AB10522" t="s">
        <v>27846</v>
      </c>
      <c r="AD10522" t="s">
        <v>38025</v>
      </c>
      <c r="AE10522">
        <v>49</v>
      </c>
      <c r="AF10522" t="s">
        <v>45541</v>
      </c>
      <c r="AH10522">
        <v>3</v>
      </c>
      <c r="AI10522">
        <v>1</v>
      </c>
      <c r="AJ10522">
        <v>2</v>
      </c>
      <c r="AK10522">
        <v>11.7</v>
      </c>
      <c r="AN10522" t="s">
        <v>7439</v>
      </c>
      <c r="AO10522">
        <v>2496</v>
      </c>
      <c r="AU10522">
        <v>48.65</v>
      </c>
      <c r="AV10522" t="s">
        <v>836</v>
      </c>
    </row>
    <row r="10523" spans="1:50">
      <c r="A10523" s="1">
        <f>HYPERLINK("https://lsnyc.legalserver.org/matter/dynamic-profile/view/1898456","19-1898456")</f>
        <v>0</v>
      </c>
      <c r="B10523" t="s">
        <v>57</v>
      </c>
      <c r="C10523" t="s">
        <v>340</v>
      </c>
      <c r="D10523" t="s">
        <v>768</v>
      </c>
      <c r="F10523" t="s">
        <v>937</v>
      </c>
      <c r="G10523" t="s">
        <v>9387</v>
      </c>
      <c r="H10523" t="s">
        <v>16740</v>
      </c>
      <c r="I10523" t="s">
        <v>18343</v>
      </c>
      <c r="J10523" t="s">
        <v>18892</v>
      </c>
      <c r="K10523">
        <v>10468</v>
      </c>
      <c r="L10523" t="s">
        <v>18958</v>
      </c>
      <c r="M10523" t="s">
        <v>18958</v>
      </c>
      <c r="N10523" t="s">
        <v>26061</v>
      </c>
      <c r="O10523" t="s">
        <v>26524</v>
      </c>
      <c r="R10523" t="s">
        <v>26579</v>
      </c>
      <c r="U10523" t="s">
        <v>26604</v>
      </c>
      <c r="X10523">
        <v>615</v>
      </c>
      <c r="Y10523" t="s">
        <v>26650</v>
      </c>
      <c r="AB10523" t="s">
        <v>32027</v>
      </c>
      <c r="AC10523" t="s">
        <v>36729</v>
      </c>
      <c r="AE10523">
        <v>0</v>
      </c>
      <c r="AH10523">
        <v>6</v>
      </c>
      <c r="AI10523">
        <v>1</v>
      </c>
      <c r="AJ10523">
        <v>0</v>
      </c>
      <c r="AK10523">
        <v>17.58</v>
      </c>
      <c r="AN10523" t="s">
        <v>45581</v>
      </c>
      <c r="AO10523">
        <v>2196</v>
      </c>
      <c r="AP10523" t="s">
        <v>46020</v>
      </c>
      <c r="AU10523">
        <v>1.5</v>
      </c>
      <c r="AV10523" t="s">
        <v>810</v>
      </c>
      <c r="AW10523" t="s">
        <v>46867</v>
      </c>
      <c r="AX10523" t="s">
        <v>46898</v>
      </c>
    </row>
    <row r="10524" spans="1:50">
      <c r="A10524" s="1">
        <f>HYPERLINK("https://lsnyc.legalserver.org/matter/dynamic-profile/view/1898390","19-1898390")</f>
        <v>0</v>
      </c>
      <c r="B10524" t="s">
        <v>322</v>
      </c>
      <c r="C10524" t="s">
        <v>340</v>
      </c>
      <c r="D10524" t="s">
        <v>768</v>
      </c>
      <c r="F10524" t="s">
        <v>1366</v>
      </c>
      <c r="G10524" t="s">
        <v>9388</v>
      </c>
      <c r="H10524" t="s">
        <v>16741</v>
      </c>
      <c r="I10524" t="s">
        <v>17424</v>
      </c>
      <c r="J10524" t="s">
        <v>18893</v>
      </c>
      <c r="K10524">
        <v>10037</v>
      </c>
      <c r="L10524" t="s">
        <v>18960</v>
      </c>
      <c r="M10524" t="s">
        <v>18960</v>
      </c>
      <c r="N10524" t="s">
        <v>26062</v>
      </c>
      <c r="O10524" t="s">
        <v>26523</v>
      </c>
      <c r="P10524" t="s">
        <v>26563</v>
      </c>
      <c r="R10524" t="s">
        <v>26591</v>
      </c>
      <c r="U10524" t="s">
        <v>26605</v>
      </c>
      <c r="X10524">
        <v>1138</v>
      </c>
      <c r="Y10524" t="s">
        <v>26651</v>
      </c>
      <c r="AB10524" t="s">
        <v>34014</v>
      </c>
      <c r="AD10524" t="s">
        <v>44927</v>
      </c>
      <c r="AE10524">
        <v>80</v>
      </c>
      <c r="AH10524">
        <v>7</v>
      </c>
      <c r="AI10524">
        <v>2</v>
      </c>
      <c r="AJ10524">
        <v>1</v>
      </c>
      <c r="AK10524">
        <v>199.72</v>
      </c>
      <c r="AN10524" t="s">
        <v>7439</v>
      </c>
      <c r="AO10524">
        <v>42600</v>
      </c>
      <c r="AU10524">
        <v>1</v>
      </c>
      <c r="AV10524" t="s">
        <v>768</v>
      </c>
      <c r="AW10524" t="s">
        <v>46857</v>
      </c>
    </row>
    <row r="10525" spans="1:50">
      <c r="A10525" s="1">
        <f>HYPERLINK("https://lsnyc.legalserver.org/matter/dynamic-profile/view/1898400","19-1898400")</f>
        <v>0</v>
      </c>
      <c r="B10525" t="s">
        <v>152</v>
      </c>
      <c r="C10525" t="s">
        <v>340</v>
      </c>
      <c r="D10525" t="s">
        <v>768</v>
      </c>
      <c r="F10525" t="s">
        <v>4846</v>
      </c>
      <c r="G10525" t="s">
        <v>9389</v>
      </c>
      <c r="H10525" t="s">
        <v>16742</v>
      </c>
      <c r="I10525">
        <v>29</v>
      </c>
      <c r="J10525" t="s">
        <v>18892</v>
      </c>
      <c r="K10525">
        <v>10460</v>
      </c>
      <c r="L10525" t="s">
        <v>18960</v>
      </c>
      <c r="M10525" t="s">
        <v>18960</v>
      </c>
      <c r="O10525" t="s">
        <v>26523</v>
      </c>
      <c r="R10525" t="s">
        <v>26578</v>
      </c>
      <c r="U10525" t="s">
        <v>26604</v>
      </c>
      <c r="X10525">
        <v>950</v>
      </c>
      <c r="Y10525" t="s">
        <v>26650</v>
      </c>
      <c r="Z10525" t="s">
        <v>26673</v>
      </c>
      <c r="AB10525" t="s">
        <v>33621</v>
      </c>
      <c r="AD10525" t="s">
        <v>44928</v>
      </c>
      <c r="AE10525">
        <v>29</v>
      </c>
      <c r="AH10525">
        <v>10</v>
      </c>
      <c r="AI10525">
        <v>1</v>
      </c>
      <c r="AJ10525">
        <v>0</v>
      </c>
      <c r="AK10525">
        <v>187.35</v>
      </c>
      <c r="AN10525" t="s">
        <v>7439</v>
      </c>
      <c r="AO10525">
        <v>23400</v>
      </c>
      <c r="AU10525">
        <v>1.2</v>
      </c>
      <c r="AV10525" t="s">
        <v>816</v>
      </c>
      <c r="AW10525" t="s">
        <v>46861</v>
      </c>
    </row>
    <row r="10526" spans="1:50">
      <c r="A10526" s="1">
        <f>HYPERLINK("https://lsnyc.legalserver.org/matter/dynamic-profile/view/1898448","19-1898448")</f>
        <v>0</v>
      </c>
      <c r="B10526" t="s">
        <v>124</v>
      </c>
      <c r="C10526" t="s">
        <v>340</v>
      </c>
      <c r="D10526" t="s">
        <v>768</v>
      </c>
      <c r="F10526" t="s">
        <v>947</v>
      </c>
      <c r="G10526" t="s">
        <v>6634</v>
      </c>
      <c r="H10526" t="s">
        <v>16743</v>
      </c>
      <c r="I10526" t="s">
        <v>17509</v>
      </c>
      <c r="J10526" t="s">
        <v>18894</v>
      </c>
      <c r="K10526">
        <v>11213</v>
      </c>
      <c r="L10526" t="s">
        <v>18960</v>
      </c>
      <c r="M10526" t="s">
        <v>18960</v>
      </c>
      <c r="N10526" t="s">
        <v>26063</v>
      </c>
      <c r="O10526" t="s">
        <v>26523</v>
      </c>
      <c r="P10526" t="s">
        <v>26560</v>
      </c>
      <c r="R10526" t="s">
        <v>26578</v>
      </c>
      <c r="S10526" t="s">
        <v>18959</v>
      </c>
      <c r="U10526" t="s">
        <v>26604</v>
      </c>
      <c r="X10526">
        <v>659.4299999999999</v>
      </c>
      <c r="Y10526" t="s">
        <v>26652</v>
      </c>
      <c r="Z10526" t="s">
        <v>26659</v>
      </c>
      <c r="AB10526" t="s">
        <v>29163</v>
      </c>
      <c r="AD10526" t="s">
        <v>44929</v>
      </c>
      <c r="AE10526">
        <v>8</v>
      </c>
      <c r="AF10526" t="s">
        <v>45544</v>
      </c>
      <c r="AH10526">
        <v>18</v>
      </c>
      <c r="AI10526">
        <v>2</v>
      </c>
      <c r="AJ10526">
        <v>2</v>
      </c>
      <c r="AK10526">
        <v>36.12</v>
      </c>
      <c r="AN10526" t="s">
        <v>7439</v>
      </c>
      <c r="AO10526">
        <v>9300</v>
      </c>
      <c r="AU10526">
        <v>3.8</v>
      </c>
      <c r="AV10526" t="s">
        <v>807</v>
      </c>
      <c r="AW10526" t="s">
        <v>320</v>
      </c>
    </row>
    <row r="10527" spans="1:50">
      <c r="A10527" s="1">
        <f>HYPERLINK("https://lsnyc.legalserver.org/matter/dynamic-profile/view/1898364","19-1898364")</f>
        <v>0</v>
      </c>
      <c r="B10527" t="s">
        <v>120</v>
      </c>
      <c r="C10527" t="s">
        <v>340</v>
      </c>
      <c r="D10527" t="s">
        <v>768</v>
      </c>
      <c r="F10527" t="s">
        <v>4092</v>
      </c>
      <c r="G10527" t="s">
        <v>9390</v>
      </c>
      <c r="H10527" t="s">
        <v>16744</v>
      </c>
      <c r="I10527" t="s">
        <v>17273</v>
      </c>
      <c r="J10527" t="s">
        <v>18892</v>
      </c>
      <c r="K10527">
        <v>10458</v>
      </c>
      <c r="L10527" t="s">
        <v>18958</v>
      </c>
      <c r="M10527" t="s">
        <v>18958</v>
      </c>
      <c r="N10527" t="s">
        <v>26064</v>
      </c>
      <c r="P10527" t="s">
        <v>26564</v>
      </c>
      <c r="R10527" t="s">
        <v>26577</v>
      </c>
      <c r="U10527" t="s">
        <v>26604</v>
      </c>
      <c r="X10527">
        <v>2225</v>
      </c>
      <c r="Y10527" t="s">
        <v>26650</v>
      </c>
      <c r="AB10527" t="s">
        <v>34015</v>
      </c>
      <c r="AD10527" t="s">
        <v>44930</v>
      </c>
      <c r="AE10527">
        <v>0</v>
      </c>
      <c r="AF10527" t="s">
        <v>45549</v>
      </c>
      <c r="AG10527" t="s">
        <v>45556</v>
      </c>
      <c r="AH10527">
        <v>1</v>
      </c>
      <c r="AI10527">
        <v>1</v>
      </c>
      <c r="AJ10527">
        <v>4</v>
      </c>
      <c r="AK10527">
        <v>103.41</v>
      </c>
      <c r="AN10527" t="s">
        <v>7439</v>
      </c>
      <c r="AO10527">
        <v>31200</v>
      </c>
      <c r="AU10527">
        <v>1.1</v>
      </c>
      <c r="AV10527" t="s">
        <v>806</v>
      </c>
      <c r="AW10527" t="s">
        <v>284</v>
      </c>
    </row>
    <row r="10528" spans="1:50">
      <c r="A10528" s="1">
        <f>HYPERLINK("https://lsnyc.legalserver.org/matter/dynamic-profile/view/1898462","19-1898462")</f>
        <v>0</v>
      </c>
      <c r="B10528" t="s">
        <v>233</v>
      </c>
      <c r="C10528" t="s">
        <v>340</v>
      </c>
      <c r="D10528" t="s">
        <v>768</v>
      </c>
      <c r="F10528" t="s">
        <v>4847</v>
      </c>
      <c r="G10528" t="s">
        <v>6065</v>
      </c>
      <c r="H10528" t="s">
        <v>14656</v>
      </c>
      <c r="I10528" t="s">
        <v>18726</v>
      </c>
      <c r="J10528" t="s">
        <v>18892</v>
      </c>
      <c r="K10528">
        <v>10467</v>
      </c>
      <c r="L10528" t="s">
        <v>18958</v>
      </c>
      <c r="M10528" t="s">
        <v>18960</v>
      </c>
      <c r="N10528" t="s">
        <v>26065</v>
      </c>
      <c r="P10528" t="s">
        <v>26560</v>
      </c>
      <c r="R10528" t="s">
        <v>26583</v>
      </c>
      <c r="U10528" t="s">
        <v>26604</v>
      </c>
      <c r="X10528">
        <v>1230</v>
      </c>
      <c r="Y10528" t="s">
        <v>26650</v>
      </c>
      <c r="Z10528" t="s">
        <v>26657</v>
      </c>
      <c r="AB10528" t="s">
        <v>26788</v>
      </c>
      <c r="AD10528" t="s">
        <v>44931</v>
      </c>
      <c r="AE10528">
        <v>0</v>
      </c>
      <c r="AG10528" t="s">
        <v>19330</v>
      </c>
      <c r="AH10528">
        <v>4</v>
      </c>
      <c r="AI10528">
        <v>1</v>
      </c>
      <c r="AJ10528">
        <v>0</v>
      </c>
      <c r="AK10528">
        <v>296.43</v>
      </c>
      <c r="AN10528" t="s">
        <v>7439</v>
      </c>
      <c r="AO10528">
        <v>37024</v>
      </c>
      <c r="AP10528" t="s">
        <v>46307</v>
      </c>
      <c r="AU10528">
        <v>28</v>
      </c>
      <c r="AV10528" t="s">
        <v>821</v>
      </c>
      <c r="AW10528" t="s">
        <v>46858</v>
      </c>
      <c r="AX10528" t="s">
        <v>46897</v>
      </c>
    </row>
    <row r="10529" spans="1:50">
      <c r="A10529" s="1">
        <f>HYPERLINK("https://lsnyc.legalserver.org/matter/dynamic-profile/view/1898428","19-1898428")</f>
        <v>0</v>
      </c>
      <c r="B10529" t="s">
        <v>250</v>
      </c>
      <c r="C10529" t="s">
        <v>340</v>
      </c>
      <c r="D10529" t="s">
        <v>768</v>
      </c>
      <c r="F10529" t="s">
        <v>1208</v>
      </c>
      <c r="G10529" t="s">
        <v>5221</v>
      </c>
      <c r="H10529" t="s">
        <v>16745</v>
      </c>
      <c r="I10529" t="s">
        <v>17301</v>
      </c>
      <c r="J10529" t="s">
        <v>18893</v>
      </c>
      <c r="K10529">
        <v>10026</v>
      </c>
      <c r="L10529" t="s">
        <v>18960</v>
      </c>
      <c r="M10529" t="s">
        <v>18960</v>
      </c>
      <c r="O10529" t="s">
        <v>18997</v>
      </c>
      <c r="P10529" t="s">
        <v>26564</v>
      </c>
      <c r="R10529" t="s">
        <v>26591</v>
      </c>
      <c r="S10529" t="s">
        <v>18959</v>
      </c>
      <c r="U10529" t="s">
        <v>26604</v>
      </c>
      <c r="X10529">
        <v>665</v>
      </c>
      <c r="Y10529" t="s">
        <v>26651</v>
      </c>
      <c r="AA10529" t="s">
        <v>26683</v>
      </c>
      <c r="AB10529" t="s">
        <v>27722</v>
      </c>
      <c r="AD10529" t="s">
        <v>44932</v>
      </c>
      <c r="AE10529">
        <v>60</v>
      </c>
      <c r="AF10529" t="s">
        <v>45541</v>
      </c>
      <c r="AG10529" t="s">
        <v>45559</v>
      </c>
      <c r="AH10529">
        <v>27</v>
      </c>
      <c r="AI10529">
        <v>1</v>
      </c>
      <c r="AJ10529">
        <v>0</v>
      </c>
      <c r="AK10529">
        <v>144.12</v>
      </c>
      <c r="AN10529" t="s">
        <v>7439</v>
      </c>
      <c r="AO10529">
        <v>18000</v>
      </c>
      <c r="AU10529">
        <v>4.86</v>
      </c>
      <c r="AV10529" t="s">
        <v>772</v>
      </c>
      <c r="AW10529" t="s">
        <v>46829</v>
      </c>
    </row>
    <row r="10530" spans="1:50">
      <c r="A10530" s="1">
        <f>HYPERLINK("https://lsnyc.legalserver.org/matter/dynamic-profile/view/1898443","19-1898443")</f>
        <v>0</v>
      </c>
      <c r="B10530" t="s">
        <v>275</v>
      </c>
      <c r="C10530" t="s">
        <v>340</v>
      </c>
      <c r="D10530" t="s">
        <v>768</v>
      </c>
      <c r="F10530" t="s">
        <v>1182</v>
      </c>
      <c r="G10530" t="s">
        <v>5685</v>
      </c>
      <c r="H10530" t="s">
        <v>11624</v>
      </c>
      <c r="I10530" t="s">
        <v>17863</v>
      </c>
      <c r="J10530" t="s">
        <v>18892</v>
      </c>
      <c r="K10530">
        <v>10467</v>
      </c>
      <c r="L10530" t="s">
        <v>18960</v>
      </c>
      <c r="M10530" t="s">
        <v>18960</v>
      </c>
      <c r="N10530" t="s">
        <v>26066</v>
      </c>
      <c r="O10530" t="s">
        <v>26523</v>
      </c>
      <c r="R10530" t="s">
        <v>26591</v>
      </c>
      <c r="U10530" t="s">
        <v>26604</v>
      </c>
      <c r="X10530">
        <v>1275</v>
      </c>
      <c r="Y10530" t="s">
        <v>26650</v>
      </c>
      <c r="Z10530" t="s">
        <v>26666</v>
      </c>
      <c r="AB10530" t="s">
        <v>34016</v>
      </c>
      <c r="AD10530" t="s">
        <v>44933</v>
      </c>
      <c r="AE10530">
        <v>27</v>
      </c>
      <c r="AH10530">
        <v>8</v>
      </c>
      <c r="AI10530">
        <v>1</v>
      </c>
      <c r="AJ10530">
        <v>0</v>
      </c>
      <c r="AK10530">
        <v>67.25</v>
      </c>
      <c r="AN10530" t="s">
        <v>7439</v>
      </c>
      <c r="AO10530">
        <v>8400</v>
      </c>
      <c r="AU10530">
        <v>1.5</v>
      </c>
      <c r="AV10530" t="s">
        <v>813</v>
      </c>
      <c r="AW10530" t="s">
        <v>46850</v>
      </c>
    </row>
    <row r="10531" spans="1:50">
      <c r="A10531" s="1">
        <f>HYPERLINK("https://lsnyc.legalserver.org/matter/dynamic-profile/view/1898547","19-1898547")</f>
        <v>0</v>
      </c>
      <c r="B10531" t="s">
        <v>247</v>
      </c>
      <c r="C10531" t="s">
        <v>341</v>
      </c>
      <c r="D10531" t="s">
        <v>810</v>
      </c>
      <c r="E10531" t="s">
        <v>820</v>
      </c>
      <c r="F10531" t="s">
        <v>916</v>
      </c>
      <c r="G10531" t="s">
        <v>9391</v>
      </c>
      <c r="H10531" t="s">
        <v>16746</v>
      </c>
      <c r="I10531" t="s">
        <v>17885</v>
      </c>
      <c r="J10531" t="s">
        <v>18913</v>
      </c>
      <c r="K10531">
        <v>11105</v>
      </c>
      <c r="L10531" t="s">
        <v>18958</v>
      </c>
      <c r="M10531" t="s">
        <v>18958</v>
      </c>
      <c r="N10531" t="s">
        <v>26067</v>
      </c>
      <c r="O10531" t="s">
        <v>26524</v>
      </c>
      <c r="P10531" t="s">
        <v>26564</v>
      </c>
      <c r="Q10531" t="s">
        <v>26570</v>
      </c>
      <c r="R10531" t="s">
        <v>26584</v>
      </c>
      <c r="S10531" t="s">
        <v>18959</v>
      </c>
      <c r="U10531" t="s">
        <v>26604</v>
      </c>
      <c r="X10531">
        <v>1195.97</v>
      </c>
      <c r="Y10531" t="s">
        <v>26653</v>
      </c>
      <c r="Z10531" t="s">
        <v>26664</v>
      </c>
      <c r="AA10531" t="s">
        <v>26683</v>
      </c>
      <c r="AB10531" t="s">
        <v>32630</v>
      </c>
      <c r="AD10531" t="s">
        <v>44934</v>
      </c>
      <c r="AE10531">
        <v>16</v>
      </c>
      <c r="AF10531" t="s">
        <v>20460</v>
      </c>
      <c r="AG10531" t="s">
        <v>19330</v>
      </c>
      <c r="AH10531">
        <v>3</v>
      </c>
      <c r="AI10531">
        <v>2</v>
      </c>
      <c r="AJ10531">
        <v>1</v>
      </c>
      <c r="AK10531">
        <v>75.01000000000001</v>
      </c>
      <c r="AN10531" t="s">
        <v>45581</v>
      </c>
      <c r="AO10531">
        <v>16000</v>
      </c>
      <c r="AU10531">
        <v>1.48</v>
      </c>
      <c r="AV10531" t="s">
        <v>810</v>
      </c>
      <c r="AW10531" t="s">
        <v>208</v>
      </c>
    </row>
    <row r="10532" spans="1:50">
      <c r="A10532" s="1">
        <f>HYPERLINK("https://lsnyc.legalserver.org/matter/dynamic-profile/view/1898585","19-1898585")</f>
        <v>0</v>
      </c>
      <c r="B10532" t="s">
        <v>179</v>
      </c>
      <c r="C10532" t="s">
        <v>341</v>
      </c>
      <c r="D10532" t="s">
        <v>810</v>
      </c>
      <c r="E10532" t="s">
        <v>817</v>
      </c>
      <c r="F10532" t="s">
        <v>2065</v>
      </c>
      <c r="G10532" t="s">
        <v>9392</v>
      </c>
      <c r="H10532" t="s">
        <v>16747</v>
      </c>
      <c r="I10532" t="s">
        <v>18806</v>
      </c>
      <c r="J10532" t="s">
        <v>18902</v>
      </c>
      <c r="K10532">
        <v>10306</v>
      </c>
      <c r="L10532" t="s">
        <v>18960</v>
      </c>
      <c r="M10532" t="s">
        <v>18960</v>
      </c>
      <c r="P10532" t="s">
        <v>26564</v>
      </c>
      <c r="Q10532" t="s">
        <v>26570</v>
      </c>
      <c r="R10532" t="s">
        <v>26583</v>
      </c>
      <c r="U10532" t="s">
        <v>26604</v>
      </c>
      <c r="X10532">
        <v>500</v>
      </c>
      <c r="Y10532" t="s">
        <v>26651</v>
      </c>
      <c r="Z10532" t="s">
        <v>26661</v>
      </c>
      <c r="AA10532" t="s">
        <v>26683</v>
      </c>
      <c r="AB10532" t="s">
        <v>34017</v>
      </c>
      <c r="AD10532" t="s">
        <v>44935</v>
      </c>
      <c r="AE10532">
        <v>2</v>
      </c>
      <c r="AG10532" t="s">
        <v>19330</v>
      </c>
      <c r="AH10532">
        <v>0</v>
      </c>
      <c r="AI10532">
        <v>1</v>
      </c>
      <c r="AJ10532">
        <v>0</v>
      </c>
      <c r="AK10532">
        <v>293.71</v>
      </c>
      <c r="AN10532" t="s">
        <v>7439</v>
      </c>
      <c r="AO10532">
        <v>36684</v>
      </c>
      <c r="AU10532">
        <v>1.5</v>
      </c>
      <c r="AV10532" t="s">
        <v>817</v>
      </c>
      <c r="AW10532" t="s">
        <v>46858</v>
      </c>
    </row>
    <row r="10533" spans="1:50">
      <c r="A10533" s="1">
        <f>HYPERLINK("https://lsnyc.legalserver.org/matter/dynamic-profile/view/1898601","19-1898601")</f>
        <v>0</v>
      </c>
      <c r="B10533" t="s">
        <v>75</v>
      </c>
      <c r="C10533" t="s">
        <v>341</v>
      </c>
      <c r="D10533" t="s">
        <v>810</v>
      </c>
      <c r="E10533" t="s">
        <v>819</v>
      </c>
      <c r="F10533" t="s">
        <v>887</v>
      </c>
      <c r="G10533" t="s">
        <v>9393</v>
      </c>
      <c r="H10533" t="s">
        <v>11555</v>
      </c>
      <c r="I10533" t="s">
        <v>17290</v>
      </c>
      <c r="J10533" t="s">
        <v>18892</v>
      </c>
      <c r="K10533">
        <v>10468</v>
      </c>
      <c r="L10533" t="s">
        <v>18958</v>
      </c>
      <c r="M10533" t="s">
        <v>18960</v>
      </c>
      <c r="N10533" t="s">
        <v>26068</v>
      </c>
      <c r="O10533" t="s">
        <v>26524</v>
      </c>
      <c r="P10533" t="s">
        <v>26564</v>
      </c>
      <c r="Q10533" t="s">
        <v>26571</v>
      </c>
      <c r="R10533" t="s">
        <v>26591</v>
      </c>
      <c r="U10533" t="s">
        <v>26604</v>
      </c>
      <c r="X10533">
        <v>782</v>
      </c>
      <c r="Y10533" t="s">
        <v>26650</v>
      </c>
      <c r="Z10533" t="s">
        <v>26530</v>
      </c>
      <c r="AA10533" t="s">
        <v>26679</v>
      </c>
      <c r="AB10533" t="s">
        <v>34018</v>
      </c>
      <c r="AC10533" t="s">
        <v>36730</v>
      </c>
      <c r="AD10533" t="s">
        <v>44936</v>
      </c>
      <c r="AE10533">
        <v>0</v>
      </c>
      <c r="AF10533" t="s">
        <v>20460</v>
      </c>
      <c r="AG10533" t="s">
        <v>19330</v>
      </c>
      <c r="AH10533">
        <v>15</v>
      </c>
      <c r="AI10533">
        <v>2</v>
      </c>
      <c r="AJ10533">
        <v>5</v>
      </c>
      <c r="AK10533">
        <v>92.98999999999999</v>
      </c>
      <c r="AN10533" t="s">
        <v>45581</v>
      </c>
      <c r="AO10533">
        <v>36276</v>
      </c>
      <c r="AP10533" t="s">
        <v>45773</v>
      </c>
      <c r="AU10533">
        <v>14</v>
      </c>
      <c r="AV10533" t="s">
        <v>813</v>
      </c>
      <c r="AW10533" t="s">
        <v>46846</v>
      </c>
      <c r="AX10533" t="s">
        <v>46898</v>
      </c>
    </row>
    <row r="10534" spans="1:50">
      <c r="A10534" s="1">
        <f>HYPERLINK("https://lsnyc.legalserver.org/matter/dynamic-profile/view/1898523","19-1898523")</f>
        <v>0</v>
      </c>
      <c r="B10534" t="s">
        <v>183</v>
      </c>
      <c r="C10534" t="s">
        <v>340</v>
      </c>
      <c r="D10534" t="s">
        <v>810</v>
      </c>
      <c r="F10534" t="s">
        <v>4318</v>
      </c>
      <c r="G10534" t="s">
        <v>5748</v>
      </c>
      <c r="H10534" t="s">
        <v>14707</v>
      </c>
      <c r="I10534" t="s">
        <v>17366</v>
      </c>
      <c r="J10534" t="s">
        <v>18893</v>
      </c>
      <c r="K10534">
        <v>10031</v>
      </c>
      <c r="L10534" t="s">
        <v>18960</v>
      </c>
      <c r="M10534" t="s">
        <v>18960</v>
      </c>
      <c r="N10534" t="s">
        <v>26069</v>
      </c>
      <c r="O10534" t="s">
        <v>26523</v>
      </c>
      <c r="P10534" t="s">
        <v>26560</v>
      </c>
      <c r="R10534" t="s">
        <v>26580</v>
      </c>
      <c r="S10534" t="s">
        <v>18959</v>
      </c>
      <c r="U10534" t="s">
        <v>26604</v>
      </c>
      <c r="X10534">
        <v>601.98</v>
      </c>
      <c r="Y10534" t="s">
        <v>26651</v>
      </c>
      <c r="AB10534" t="s">
        <v>34019</v>
      </c>
      <c r="AC10534" t="s">
        <v>36731</v>
      </c>
      <c r="AD10534" t="s">
        <v>44937</v>
      </c>
      <c r="AE10534">
        <v>0</v>
      </c>
      <c r="AF10534" t="s">
        <v>20460</v>
      </c>
      <c r="AH10534">
        <v>24</v>
      </c>
      <c r="AI10534">
        <v>1</v>
      </c>
      <c r="AJ10534">
        <v>0</v>
      </c>
      <c r="AK10534">
        <v>76.29000000000001</v>
      </c>
      <c r="AN10534" t="s">
        <v>7439</v>
      </c>
      <c r="AO10534">
        <v>9528</v>
      </c>
      <c r="AU10534">
        <v>0.9</v>
      </c>
      <c r="AV10534" t="s">
        <v>771</v>
      </c>
      <c r="AW10534" t="s">
        <v>314</v>
      </c>
    </row>
    <row r="10535" spans="1:50">
      <c r="A10535" s="1">
        <f>HYPERLINK("https://lsnyc.legalserver.org/matter/dynamic-profile/view/1898630","19-1898630")</f>
        <v>0</v>
      </c>
      <c r="B10535" t="s">
        <v>70</v>
      </c>
      <c r="C10535" t="s">
        <v>340</v>
      </c>
      <c r="D10535" t="s">
        <v>810</v>
      </c>
      <c r="F10535" t="s">
        <v>4848</v>
      </c>
      <c r="G10535" t="s">
        <v>5864</v>
      </c>
      <c r="H10535" t="s">
        <v>16748</v>
      </c>
      <c r="I10535" t="s">
        <v>17323</v>
      </c>
      <c r="J10535" t="s">
        <v>18892</v>
      </c>
      <c r="K10535">
        <v>10454</v>
      </c>
      <c r="L10535" t="s">
        <v>18959</v>
      </c>
      <c r="M10535" t="s">
        <v>18959</v>
      </c>
      <c r="N10535" t="s">
        <v>19045</v>
      </c>
      <c r="O10535" t="s">
        <v>26531</v>
      </c>
      <c r="P10535" t="s">
        <v>26565</v>
      </c>
      <c r="R10535" t="s">
        <v>26578</v>
      </c>
      <c r="S10535" t="s">
        <v>18959</v>
      </c>
      <c r="U10535" t="s">
        <v>26604</v>
      </c>
      <c r="V10535" t="s">
        <v>26610</v>
      </c>
      <c r="X10535">
        <v>1334</v>
      </c>
      <c r="Y10535" t="s">
        <v>26650</v>
      </c>
      <c r="Z10535" t="s">
        <v>26655</v>
      </c>
      <c r="AB10535" t="s">
        <v>34020</v>
      </c>
      <c r="AD10535" t="s">
        <v>44938</v>
      </c>
      <c r="AE10535">
        <v>0</v>
      </c>
      <c r="AF10535" t="s">
        <v>45550</v>
      </c>
      <c r="AG10535" t="s">
        <v>45556</v>
      </c>
      <c r="AH10535">
        <v>8</v>
      </c>
      <c r="AI10535">
        <v>2</v>
      </c>
      <c r="AJ10535">
        <v>3</v>
      </c>
      <c r="AK10535">
        <v>0</v>
      </c>
      <c r="AN10535" t="s">
        <v>45581</v>
      </c>
      <c r="AO10535">
        <v>0</v>
      </c>
      <c r="AU10535">
        <v>1</v>
      </c>
      <c r="AV10535" t="s">
        <v>813</v>
      </c>
      <c r="AW10535" t="s">
        <v>70</v>
      </c>
    </row>
    <row r="10536" spans="1:50">
      <c r="A10536" s="1">
        <f>HYPERLINK("https://lsnyc.legalserver.org/matter/dynamic-profile/view/1898628","19-1898628")</f>
        <v>0</v>
      </c>
      <c r="B10536" t="s">
        <v>117</v>
      </c>
      <c r="C10536" t="s">
        <v>340</v>
      </c>
      <c r="D10536" t="s">
        <v>810</v>
      </c>
      <c r="F10536" t="s">
        <v>2120</v>
      </c>
      <c r="G10536" t="s">
        <v>9394</v>
      </c>
      <c r="H10536" t="s">
        <v>16749</v>
      </c>
      <c r="I10536" t="s">
        <v>17972</v>
      </c>
      <c r="J10536" t="s">
        <v>18894</v>
      </c>
      <c r="K10536">
        <v>11238</v>
      </c>
      <c r="L10536" t="s">
        <v>18958</v>
      </c>
      <c r="M10536" t="s">
        <v>18958</v>
      </c>
      <c r="R10536" t="s">
        <v>26583</v>
      </c>
      <c r="U10536" t="s">
        <v>26604</v>
      </c>
      <c r="X10536">
        <v>781</v>
      </c>
      <c r="Y10536" t="s">
        <v>26652</v>
      </c>
      <c r="AB10536" t="s">
        <v>31827</v>
      </c>
      <c r="AD10536" t="s">
        <v>44939</v>
      </c>
      <c r="AE10536">
        <v>328</v>
      </c>
      <c r="AG10536" t="s">
        <v>19330</v>
      </c>
      <c r="AH10536">
        <v>1</v>
      </c>
      <c r="AI10536">
        <v>1</v>
      </c>
      <c r="AJ10536">
        <v>0</v>
      </c>
      <c r="AK10536">
        <v>211.37</v>
      </c>
      <c r="AN10536" t="s">
        <v>7439</v>
      </c>
      <c r="AO10536">
        <v>26400</v>
      </c>
      <c r="AU10536">
        <v>0.3</v>
      </c>
      <c r="AV10536" t="s">
        <v>768</v>
      </c>
      <c r="AW10536" t="s">
        <v>279</v>
      </c>
    </row>
    <row r="10537" spans="1:50">
      <c r="A10537" s="1">
        <f>HYPERLINK("https://lsnyc.legalserver.org/matter/dynamic-profile/view/1898504","19-1898504")</f>
        <v>0</v>
      </c>
      <c r="B10537" t="s">
        <v>57</v>
      </c>
      <c r="C10537" t="s">
        <v>340</v>
      </c>
      <c r="D10537" t="s">
        <v>810</v>
      </c>
      <c r="F10537" t="s">
        <v>4370</v>
      </c>
      <c r="G10537" t="s">
        <v>945</v>
      </c>
      <c r="H10537" t="s">
        <v>11436</v>
      </c>
      <c r="I10537" t="s">
        <v>17312</v>
      </c>
      <c r="J10537" t="s">
        <v>18892</v>
      </c>
      <c r="K10537">
        <v>10467</v>
      </c>
      <c r="L10537" t="s">
        <v>18958</v>
      </c>
      <c r="M10537" t="s">
        <v>18960</v>
      </c>
      <c r="N10537" t="s">
        <v>26070</v>
      </c>
      <c r="O10537" t="s">
        <v>26523</v>
      </c>
      <c r="P10537" t="s">
        <v>26560</v>
      </c>
      <c r="R10537" t="s">
        <v>26579</v>
      </c>
      <c r="U10537" t="s">
        <v>26604</v>
      </c>
      <c r="X10537">
        <v>0</v>
      </c>
      <c r="Y10537" t="s">
        <v>26650</v>
      </c>
      <c r="Z10537" t="s">
        <v>26668</v>
      </c>
      <c r="AB10537" t="s">
        <v>34021</v>
      </c>
      <c r="AE10537">
        <v>0</v>
      </c>
      <c r="AF10537" t="s">
        <v>20460</v>
      </c>
      <c r="AH10537">
        <v>0</v>
      </c>
      <c r="AI10537">
        <v>2</v>
      </c>
      <c r="AJ10537">
        <v>0</v>
      </c>
      <c r="AK10537">
        <v>131.78</v>
      </c>
      <c r="AN10537" t="s">
        <v>7439</v>
      </c>
      <c r="AO10537">
        <v>22284</v>
      </c>
      <c r="AP10537" t="s">
        <v>46308</v>
      </c>
      <c r="AU10537">
        <v>4.5</v>
      </c>
      <c r="AV10537" t="s">
        <v>825</v>
      </c>
      <c r="AW10537" t="s">
        <v>46836</v>
      </c>
      <c r="AX10537" t="s">
        <v>46897</v>
      </c>
    </row>
    <row r="10538" spans="1:50">
      <c r="A10538" s="1">
        <f>HYPERLINK("https://lsnyc.legalserver.org/matter/dynamic-profile/view/1898098","19-1898098")</f>
        <v>0</v>
      </c>
      <c r="B10538" t="s">
        <v>131</v>
      </c>
      <c r="C10538" t="s">
        <v>340</v>
      </c>
      <c r="D10538" t="s">
        <v>810</v>
      </c>
      <c r="F10538" t="s">
        <v>1029</v>
      </c>
      <c r="G10538" t="s">
        <v>5473</v>
      </c>
      <c r="H10538" t="s">
        <v>16750</v>
      </c>
      <c r="I10538" t="s">
        <v>17410</v>
      </c>
      <c r="J10538" t="s">
        <v>18902</v>
      </c>
      <c r="K10538">
        <v>10301</v>
      </c>
      <c r="L10538" t="s">
        <v>18958</v>
      </c>
      <c r="M10538" t="s">
        <v>18958</v>
      </c>
      <c r="O10538" t="s">
        <v>18997</v>
      </c>
      <c r="P10538" t="s">
        <v>26560</v>
      </c>
      <c r="R10538" t="s">
        <v>26578</v>
      </c>
      <c r="S10538" t="s">
        <v>18959</v>
      </c>
      <c r="U10538" t="s">
        <v>26604</v>
      </c>
      <c r="X10538">
        <v>2186</v>
      </c>
      <c r="Y10538" t="s">
        <v>26654</v>
      </c>
      <c r="Z10538" t="s">
        <v>26664</v>
      </c>
      <c r="AB10538" t="s">
        <v>34022</v>
      </c>
      <c r="AD10538" t="s">
        <v>44940</v>
      </c>
      <c r="AE10538">
        <v>0</v>
      </c>
      <c r="AG10538" t="s">
        <v>45556</v>
      </c>
      <c r="AH10538">
        <v>2</v>
      </c>
      <c r="AI10538">
        <v>2</v>
      </c>
      <c r="AJ10538">
        <v>2</v>
      </c>
      <c r="AK10538">
        <v>109.1</v>
      </c>
      <c r="AN10538" t="s">
        <v>7439</v>
      </c>
      <c r="AO10538">
        <v>28092</v>
      </c>
      <c r="AU10538">
        <v>17.7</v>
      </c>
      <c r="AV10538" t="s">
        <v>839</v>
      </c>
      <c r="AW10538" t="s">
        <v>46883</v>
      </c>
    </row>
    <row r="10539" spans="1:50">
      <c r="A10539" s="1">
        <f>HYPERLINK("https://lsnyc.legalserver.org/matter/dynamic-profile/view/1898507","19-1898507")</f>
        <v>0</v>
      </c>
      <c r="B10539" t="s">
        <v>191</v>
      </c>
      <c r="C10539" t="s">
        <v>340</v>
      </c>
      <c r="D10539" t="s">
        <v>810</v>
      </c>
      <c r="F10539" t="s">
        <v>1241</v>
      </c>
      <c r="G10539" t="s">
        <v>5208</v>
      </c>
      <c r="H10539" t="s">
        <v>14386</v>
      </c>
      <c r="I10539" t="s">
        <v>17362</v>
      </c>
      <c r="J10539" t="s">
        <v>18893</v>
      </c>
      <c r="K10539">
        <v>10027</v>
      </c>
      <c r="L10539" t="s">
        <v>18958</v>
      </c>
      <c r="M10539" t="s">
        <v>18958</v>
      </c>
      <c r="N10539" t="s">
        <v>26071</v>
      </c>
      <c r="O10539" t="s">
        <v>26523</v>
      </c>
      <c r="P10539" t="s">
        <v>26563</v>
      </c>
      <c r="R10539" t="s">
        <v>26582</v>
      </c>
      <c r="S10539" t="s">
        <v>18959</v>
      </c>
      <c r="U10539" t="s">
        <v>26604</v>
      </c>
      <c r="V10539" t="s">
        <v>26610</v>
      </c>
      <c r="X10539">
        <v>886</v>
      </c>
      <c r="Y10539" t="s">
        <v>26651</v>
      </c>
      <c r="Z10539" t="s">
        <v>26668</v>
      </c>
      <c r="AB10539" t="s">
        <v>34023</v>
      </c>
      <c r="AD10539" t="s">
        <v>44941</v>
      </c>
      <c r="AE10539">
        <v>0</v>
      </c>
      <c r="AF10539" t="s">
        <v>20460</v>
      </c>
      <c r="AG10539" t="s">
        <v>45556</v>
      </c>
      <c r="AH10539">
        <v>27</v>
      </c>
      <c r="AI10539">
        <v>1</v>
      </c>
      <c r="AJ10539">
        <v>3</v>
      </c>
      <c r="AK10539">
        <v>204.27</v>
      </c>
      <c r="AN10539" t="s">
        <v>45581</v>
      </c>
      <c r="AO10539">
        <v>52600</v>
      </c>
      <c r="AU10539">
        <v>3</v>
      </c>
      <c r="AV10539" t="s">
        <v>832</v>
      </c>
      <c r="AW10539" t="s">
        <v>314</v>
      </c>
    </row>
    <row r="10540" spans="1:50">
      <c r="A10540" s="1">
        <f>HYPERLINK("https://lsnyc.legalserver.org/matter/dynamic-profile/view/1898348","19-1898348")</f>
        <v>0</v>
      </c>
      <c r="B10540" t="s">
        <v>153</v>
      </c>
      <c r="C10540" t="s">
        <v>340</v>
      </c>
      <c r="D10540" t="s">
        <v>810</v>
      </c>
      <c r="F10540" t="s">
        <v>1314</v>
      </c>
      <c r="G10540" t="s">
        <v>9395</v>
      </c>
      <c r="H10540" t="s">
        <v>16751</v>
      </c>
      <c r="I10540" t="s">
        <v>17322</v>
      </c>
      <c r="J10540" t="s">
        <v>18902</v>
      </c>
      <c r="K10540">
        <v>10301</v>
      </c>
      <c r="L10540" t="s">
        <v>18960</v>
      </c>
      <c r="M10540" t="s">
        <v>18960</v>
      </c>
      <c r="O10540" t="s">
        <v>18997</v>
      </c>
      <c r="P10540" t="s">
        <v>26562</v>
      </c>
      <c r="R10540" t="s">
        <v>26587</v>
      </c>
      <c r="U10540" t="s">
        <v>26604</v>
      </c>
      <c r="X10540">
        <v>1327</v>
      </c>
      <c r="Y10540" t="s">
        <v>26654</v>
      </c>
      <c r="Z10540" t="s">
        <v>26661</v>
      </c>
      <c r="AB10540" t="s">
        <v>31256</v>
      </c>
      <c r="AD10540" t="s">
        <v>44942</v>
      </c>
      <c r="AE10540">
        <v>111</v>
      </c>
      <c r="AF10540" t="s">
        <v>45541</v>
      </c>
      <c r="AH10540">
        <v>8</v>
      </c>
      <c r="AI10540">
        <v>2</v>
      </c>
      <c r="AJ10540">
        <v>0</v>
      </c>
      <c r="AK10540">
        <v>69.62</v>
      </c>
      <c r="AN10540" t="s">
        <v>45581</v>
      </c>
      <c r="AO10540">
        <v>11772</v>
      </c>
      <c r="AU10540">
        <v>2.5</v>
      </c>
      <c r="AV10540" t="s">
        <v>822</v>
      </c>
      <c r="AW10540" t="s">
        <v>46883</v>
      </c>
    </row>
    <row r="10541" spans="1:50">
      <c r="A10541" s="1">
        <f>HYPERLINK("https://lsnyc.legalserver.org/matter/dynamic-profile/view/1898518","19-1898518")</f>
        <v>0</v>
      </c>
      <c r="B10541" t="s">
        <v>152</v>
      </c>
      <c r="C10541" t="s">
        <v>340</v>
      </c>
      <c r="D10541" t="s">
        <v>810</v>
      </c>
      <c r="F10541" t="s">
        <v>1197</v>
      </c>
      <c r="G10541" t="s">
        <v>1345</v>
      </c>
      <c r="H10541" t="s">
        <v>16752</v>
      </c>
      <c r="I10541">
        <v>1</v>
      </c>
      <c r="J10541" t="s">
        <v>18892</v>
      </c>
      <c r="K10541">
        <v>10452</v>
      </c>
      <c r="L10541" t="s">
        <v>18960</v>
      </c>
      <c r="M10541" t="s">
        <v>18960</v>
      </c>
      <c r="N10541" t="s">
        <v>26072</v>
      </c>
      <c r="R10541" t="s">
        <v>26591</v>
      </c>
      <c r="U10541" t="s">
        <v>26604</v>
      </c>
      <c r="X10541">
        <v>1189</v>
      </c>
      <c r="Y10541" t="s">
        <v>26650</v>
      </c>
      <c r="Z10541" t="s">
        <v>26530</v>
      </c>
      <c r="AB10541" t="s">
        <v>34024</v>
      </c>
      <c r="AE10541">
        <v>30</v>
      </c>
      <c r="AF10541" t="s">
        <v>20460</v>
      </c>
      <c r="AG10541" t="s">
        <v>19330</v>
      </c>
      <c r="AH10541">
        <v>8</v>
      </c>
      <c r="AI10541">
        <v>1</v>
      </c>
      <c r="AJ10541">
        <v>2</v>
      </c>
      <c r="AK10541">
        <v>41.63</v>
      </c>
      <c r="AN10541" t="s">
        <v>45581</v>
      </c>
      <c r="AO10541">
        <v>8880</v>
      </c>
      <c r="AU10541">
        <v>1</v>
      </c>
      <c r="AV10541" t="s">
        <v>810</v>
      </c>
      <c r="AW10541" t="s">
        <v>46846</v>
      </c>
    </row>
    <row r="10542" spans="1:50">
      <c r="A10542" s="1">
        <f>HYPERLINK("https://lsnyc.legalserver.org/matter/dynamic-profile/view/1898625","19-1898625")</f>
        <v>0</v>
      </c>
      <c r="B10542" t="s">
        <v>200</v>
      </c>
      <c r="C10542" t="s">
        <v>340</v>
      </c>
      <c r="D10542" t="s">
        <v>810</v>
      </c>
      <c r="F10542" t="s">
        <v>1004</v>
      </c>
      <c r="G10542" t="s">
        <v>5434</v>
      </c>
      <c r="H10542" t="s">
        <v>16753</v>
      </c>
      <c r="I10542" t="s">
        <v>17272</v>
      </c>
      <c r="J10542" t="s">
        <v>18894</v>
      </c>
      <c r="K10542">
        <v>11230</v>
      </c>
      <c r="L10542" t="s">
        <v>18960</v>
      </c>
      <c r="M10542" t="s">
        <v>18960</v>
      </c>
      <c r="P10542" t="s">
        <v>26563</v>
      </c>
      <c r="R10542" t="s">
        <v>26586</v>
      </c>
      <c r="U10542" t="s">
        <v>26604</v>
      </c>
      <c r="X10542">
        <v>856.72</v>
      </c>
      <c r="Y10542" t="s">
        <v>26652</v>
      </c>
      <c r="Z10542" t="s">
        <v>26659</v>
      </c>
      <c r="AB10542" t="s">
        <v>34025</v>
      </c>
      <c r="AD10542" t="s">
        <v>44943</v>
      </c>
      <c r="AE10542">
        <v>72</v>
      </c>
      <c r="AG10542" t="s">
        <v>45557</v>
      </c>
      <c r="AH10542">
        <v>36</v>
      </c>
      <c r="AI10542">
        <v>3</v>
      </c>
      <c r="AJ10542">
        <v>2</v>
      </c>
      <c r="AK10542">
        <v>59.83</v>
      </c>
      <c r="AN10542" t="s">
        <v>7439</v>
      </c>
      <c r="AO10542">
        <v>18052</v>
      </c>
      <c r="AU10542">
        <v>0.7</v>
      </c>
      <c r="AV10542" t="s">
        <v>810</v>
      </c>
      <c r="AW10542" t="s">
        <v>46862</v>
      </c>
    </row>
    <row r="10543" spans="1:50">
      <c r="A10543" s="1">
        <f>HYPERLINK("https://lsnyc.legalserver.org/matter/dynamic-profile/view/1898548","19-1898548")</f>
        <v>0</v>
      </c>
      <c r="B10543" t="s">
        <v>115</v>
      </c>
      <c r="C10543" t="s">
        <v>340</v>
      </c>
      <c r="D10543" t="s">
        <v>810</v>
      </c>
      <c r="F10543" t="s">
        <v>1276</v>
      </c>
      <c r="G10543" t="s">
        <v>5760</v>
      </c>
      <c r="H10543" t="s">
        <v>16754</v>
      </c>
      <c r="I10543" t="s">
        <v>17527</v>
      </c>
      <c r="J10543" t="s">
        <v>18892</v>
      </c>
      <c r="K10543">
        <v>10473</v>
      </c>
      <c r="L10543" t="s">
        <v>18958</v>
      </c>
      <c r="M10543" t="s">
        <v>18959</v>
      </c>
      <c r="O10543" t="s">
        <v>18997</v>
      </c>
      <c r="P10543" t="s">
        <v>26565</v>
      </c>
      <c r="R10543" t="s">
        <v>26578</v>
      </c>
      <c r="S10543" t="s">
        <v>18959</v>
      </c>
      <c r="U10543" t="s">
        <v>26607</v>
      </c>
      <c r="X10543">
        <v>286</v>
      </c>
      <c r="Y10543" t="s">
        <v>26650</v>
      </c>
      <c r="Z10543" t="s">
        <v>26530</v>
      </c>
      <c r="AB10543" t="s">
        <v>34026</v>
      </c>
      <c r="AD10543" t="s">
        <v>44944</v>
      </c>
      <c r="AE10543">
        <v>0</v>
      </c>
      <c r="AF10543" t="s">
        <v>45549</v>
      </c>
      <c r="AH10543">
        <v>7</v>
      </c>
      <c r="AI10543">
        <v>1</v>
      </c>
      <c r="AJ10543">
        <v>0</v>
      </c>
      <c r="AK10543">
        <v>98.95999999999999</v>
      </c>
      <c r="AN10543" t="s">
        <v>45581</v>
      </c>
      <c r="AO10543">
        <v>12360</v>
      </c>
      <c r="AU10543">
        <v>7.8</v>
      </c>
      <c r="AV10543" t="s">
        <v>836</v>
      </c>
      <c r="AW10543" t="s">
        <v>115</v>
      </c>
    </row>
    <row r="10544" spans="1:50">
      <c r="A10544" s="1">
        <f>HYPERLINK("https://lsnyc.legalserver.org/matter/dynamic-profile/view/1899086","19-1899086")</f>
        <v>0</v>
      </c>
      <c r="B10544" t="s">
        <v>297</v>
      </c>
      <c r="C10544" t="s">
        <v>340</v>
      </c>
      <c r="D10544" t="s">
        <v>810</v>
      </c>
      <c r="F10544" t="s">
        <v>1114</v>
      </c>
      <c r="G10544" t="s">
        <v>9396</v>
      </c>
      <c r="H10544" t="s">
        <v>12100</v>
      </c>
      <c r="I10544" t="s">
        <v>17312</v>
      </c>
      <c r="J10544" t="s">
        <v>18892</v>
      </c>
      <c r="K10544">
        <v>10467</v>
      </c>
      <c r="L10544" t="s">
        <v>18958</v>
      </c>
      <c r="M10544" t="s">
        <v>18960</v>
      </c>
      <c r="N10544" t="s">
        <v>26073</v>
      </c>
      <c r="O10544" t="s">
        <v>26523</v>
      </c>
      <c r="P10544" t="s">
        <v>26560</v>
      </c>
      <c r="R10544" t="s">
        <v>26579</v>
      </c>
      <c r="S10544" t="s">
        <v>18959</v>
      </c>
      <c r="U10544" t="s">
        <v>26604</v>
      </c>
      <c r="V10544" t="s">
        <v>26610</v>
      </c>
      <c r="X10544">
        <v>1156.83</v>
      </c>
      <c r="Y10544" t="s">
        <v>26650</v>
      </c>
      <c r="Z10544" t="s">
        <v>26664</v>
      </c>
      <c r="AB10544" t="s">
        <v>34027</v>
      </c>
      <c r="AD10544" t="s">
        <v>44945</v>
      </c>
      <c r="AE10544">
        <v>59</v>
      </c>
      <c r="AH10544">
        <v>17</v>
      </c>
      <c r="AI10544">
        <v>1</v>
      </c>
      <c r="AJ10544">
        <v>0</v>
      </c>
      <c r="AK10544">
        <v>208.17</v>
      </c>
      <c r="AN10544" t="s">
        <v>7439</v>
      </c>
      <c r="AO10544">
        <v>26000</v>
      </c>
      <c r="AP10544" t="s">
        <v>46275</v>
      </c>
      <c r="AU10544">
        <v>10.6</v>
      </c>
      <c r="AV10544" t="s">
        <v>838</v>
      </c>
      <c r="AW10544" t="s">
        <v>336</v>
      </c>
      <c r="AX10544" t="s">
        <v>46897</v>
      </c>
    </row>
    <row r="10545" spans="1:49">
      <c r="A10545" s="1">
        <f>HYPERLINK("https://lsnyc.legalserver.org/matter/dynamic-profile/view/1898577","19-1898577")</f>
        <v>0</v>
      </c>
      <c r="B10545" t="s">
        <v>193</v>
      </c>
      <c r="C10545" t="s">
        <v>340</v>
      </c>
      <c r="D10545" t="s">
        <v>810</v>
      </c>
      <c r="F10545" t="s">
        <v>1729</v>
      </c>
      <c r="G10545" t="s">
        <v>9397</v>
      </c>
      <c r="H10545" t="s">
        <v>16755</v>
      </c>
      <c r="I10545" t="s">
        <v>18365</v>
      </c>
      <c r="J10545" t="s">
        <v>18894</v>
      </c>
      <c r="K10545">
        <v>11233</v>
      </c>
      <c r="L10545" t="s">
        <v>18959</v>
      </c>
      <c r="M10545" t="s">
        <v>18959</v>
      </c>
      <c r="N10545" t="s">
        <v>26074</v>
      </c>
      <c r="O10545" t="s">
        <v>26523</v>
      </c>
      <c r="P10545" t="s">
        <v>26560</v>
      </c>
      <c r="R10545" t="s">
        <v>26586</v>
      </c>
      <c r="U10545" t="s">
        <v>26605</v>
      </c>
      <c r="X10545">
        <v>751</v>
      </c>
      <c r="Y10545" t="s">
        <v>26652</v>
      </c>
      <c r="Z10545" t="s">
        <v>26664</v>
      </c>
      <c r="AB10545" t="s">
        <v>34028</v>
      </c>
      <c r="AC10545" t="s">
        <v>36732</v>
      </c>
      <c r="AD10545" t="s">
        <v>44946</v>
      </c>
      <c r="AE10545">
        <v>0</v>
      </c>
      <c r="AH10545">
        <v>0</v>
      </c>
      <c r="AI10545">
        <v>2</v>
      </c>
      <c r="AJ10545">
        <v>0</v>
      </c>
      <c r="AK10545">
        <v>32</v>
      </c>
      <c r="AN10545" t="s">
        <v>45581</v>
      </c>
      <c r="AO10545">
        <v>5412</v>
      </c>
      <c r="AU10545">
        <v>3.7</v>
      </c>
      <c r="AV10545" t="s">
        <v>836</v>
      </c>
      <c r="AW10545" t="s">
        <v>46853</v>
      </c>
    </row>
    <row r="10546" spans="1:49">
      <c r="A10546" s="1">
        <f>HYPERLINK("https://lsnyc.legalserver.org/matter/dynamic-profile/view/1898572","19-1898572")</f>
        <v>0</v>
      </c>
      <c r="B10546" t="s">
        <v>91</v>
      </c>
      <c r="C10546" t="s">
        <v>340</v>
      </c>
      <c r="D10546" t="s">
        <v>810</v>
      </c>
      <c r="F10546" t="s">
        <v>1376</v>
      </c>
      <c r="G10546" t="s">
        <v>6932</v>
      </c>
      <c r="H10546" t="s">
        <v>10049</v>
      </c>
      <c r="J10546" t="s">
        <v>18901</v>
      </c>
      <c r="K10546">
        <v>11436</v>
      </c>
      <c r="L10546" t="s">
        <v>18960</v>
      </c>
      <c r="M10546" t="s">
        <v>18958</v>
      </c>
      <c r="N10546" t="s">
        <v>26075</v>
      </c>
      <c r="O10546" t="s">
        <v>26524</v>
      </c>
      <c r="P10546" t="s">
        <v>26564</v>
      </c>
      <c r="R10546" t="s">
        <v>26584</v>
      </c>
      <c r="S10546" t="s">
        <v>18959</v>
      </c>
      <c r="U10546" t="s">
        <v>26604</v>
      </c>
      <c r="V10546" t="s">
        <v>26611</v>
      </c>
      <c r="X10546">
        <v>1800</v>
      </c>
      <c r="Y10546" t="s">
        <v>26653</v>
      </c>
      <c r="AB10546" t="s">
        <v>34029</v>
      </c>
      <c r="AD10546" t="s">
        <v>44947</v>
      </c>
      <c r="AE10546">
        <v>3</v>
      </c>
      <c r="AG10546" t="s">
        <v>19330</v>
      </c>
      <c r="AH10546">
        <v>1</v>
      </c>
      <c r="AI10546">
        <v>1</v>
      </c>
      <c r="AJ10546">
        <v>2</v>
      </c>
      <c r="AK10546">
        <v>89.08</v>
      </c>
      <c r="AO10546">
        <v>19000</v>
      </c>
      <c r="AU10546">
        <v>0.7</v>
      </c>
      <c r="AV10546" t="s">
        <v>810</v>
      </c>
      <c r="AW10546" t="s">
        <v>91</v>
      </c>
    </row>
    <row r="10547" spans="1:49">
      <c r="A10547" s="1">
        <f>HYPERLINK("https://lsnyc.legalserver.org/matter/dynamic-profile/view/1898608","19-1898608")</f>
        <v>0</v>
      </c>
      <c r="B10547" t="s">
        <v>91</v>
      </c>
      <c r="C10547" t="s">
        <v>340</v>
      </c>
      <c r="D10547" t="s">
        <v>810</v>
      </c>
      <c r="F10547" t="s">
        <v>2128</v>
      </c>
      <c r="G10547" t="s">
        <v>7516</v>
      </c>
      <c r="H10547" t="s">
        <v>16756</v>
      </c>
      <c r="J10547" t="s">
        <v>7026</v>
      </c>
      <c r="K10547">
        <v>11368</v>
      </c>
      <c r="L10547" t="s">
        <v>18958</v>
      </c>
      <c r="M10547" t="s">
        <v>18958</v>
      </c>
      <c r="N10547" t="s">
        <v>26076</v>
      </c>
      <c r="O10547" t="s">
        <v>26523</v>
      </c>
      <c r="P10547" t="s">
        <v>26564</v>
      </c>
      <c r="R10547" t="s">
        <v>26584</v>
      </c>
      <c r="S10547" t="s">
        <v>18959</v>
      </c>
      <c r="U10547" t="s">
        <v>26604</v>
      </c>
      <c r="V10547" t="s">
        <v>26612</v>
      </c>
      <c r="X10547">
        <v>2600</v>
      </c>
      <c r="Y10547" t="s">
        <v>26653</v>
      </c>
      <c r="Z10547" t="s">
        <v>26664</v>
      </c>
      <c r="AB10547" t="s">
        <v>27225</v>
      </c>
      <c r="AD10547" t="s">
        <v>44948</v>
      </c>
      <c r="AE10547">
        <v>3</v>
      </c>
      <c r="AF10547" t="s">
        <v>45547</v>
      </c>
      <c r="AG10547" t="s">
        <v>19330</v>
      </c>
      <c r="AH10547">
        <v>1</v>
      </c>
      <c r="AI10547">
        <v>2</v>
      </c>
      <c r="AJ10547">
        <v>0</v>
      </c>
      <c r="AK10547">
        <v>196.92</v>
      </c>
      <c r="AN10547" t="s">
        <v>45581</v>
      </c>
      <c r="AO10547">
        <v>33300</v>
      </c>
      <c r="AU10547">
        <v>0.8</v>
      </c>
      <c r="AV10547" t="s">
        <v>769</v>
      </c>
      <c r="AW10547" t="s">
        <v>91</v>
      </c>
    </row>
    <row r="10548" spans="1:49">
      <c r="A10548" s="1">
        <f>HYPERLINK("https://lsnyc.legalserver.org/matter/dynamic-profile/view/1898624","19-1898624")</f>
        <v>0</v>
      </c>
      <c r="B10548" t="s">
        <v>194</v>
      </c>
      <c r="C10548" t="s">
        <v>340</v>
      </c>
      <c r="D10548" t="s">
        <v>810</v>
      </c>
      <c r="F10548" t="s">
        <v>1703</v>
      </c>
      <c r="G10548" t="s">
        <v>5089</v>
      </c>
      <c r="H10548" t="s">
        <v>16757</v>
      </c>
      <c r="I10548" t="s">
        <v>17352</v>
      </c>
      <c r="J10548" t="s">
        <v>18893</v>
      </c>
      <c r="K10548">
        <v>10031</v>
      </c>
      <c r="L10548" t="s">
        <v>18958</v>
      </c>
      <c r="M10548" t="s">
        <v>18958</v>
      </c>
      <c r="N10548" t="s">
        <v>26077</v>
      </c>
      <c r="O10548" t="s">
        <v>26523</v>
      </c>
      <c r="P10548" t="s">
        <v>26560</v>
      </c>
      <c r="R10548" t="s">
        <v>26582</v>
      </c>
      <c r="S10548" t="s">
        <v>18959</v>
      </c>
      <c r="U10548" t="s">
        <v>26604</v>
      </c>
      <c r="X10548">
        <v>1241.25</v>
      </c>
      <c r="Y10548" t="s">
        <v>26651</v>
      </c>
      <c r="AB10548" t="s">
        <v>31577</v>
      </c>
      <c r="AD10548" t="s">
        <v>44949</v>
      </c>
      <c r="AE10548">
        <v>0</v>
      </c>
      <c r="AF10548" t="s">
        <v>45541</v>
      </c>
      <c r="AG10548" t="s">
        <v>45559</v>
      </c>
      <c r="AH10548">
        <v>18</v>
      </c>
      <c r="AI10548">
        <v>1</v>
      </c>
      <c r="AJ10548">
        <v>0</v>
      </c>
      <c r="AK10548">
        <v>201.76</v>
      </c>
      <c r="AL10548" t="s">
        <v>769</v>
      </c>
      <c r="AM10548" t="s">
        <v>45575</v>
      </c>
      <c r="AN10548" t="s">
        <v>7439</v>
      </c>
      <c r="AO10548">
        <v>25200</v>
      </c>
      <c r="AU10548">
        <v>3.5</v>
      </c>
      <c r="AV10548" t="s">
        <v>832</v>
      </c>
      <c r="AW10548" t="s">
        <v>46875</v>
      </c>
    </row>
    <row r="10549" spans="1:49">
      <c r="A10549" s="1">
        <f>HYPERLINK("https://lsnyc.legalserver.org/matter/dynamic-profile/view/1898534","19-1898534")</f>
        <v>0</v>
      </c>
      <c r="B10549" t="s">
        <v>59</v>
      </c>
      <c r="C10549" t="s">
        <v>340</v>
      </c>
      <c r="D10549" t="s">
        <v>810</v>
      </c>
      <c r="F10549" t="s">
        <v>4849</v>
      </c>
      <c r="G10549" t="s">
        <v>7605</v>
      </c>
      <c r="H10549" t="s">
        <v>14386</v>
      </c>
      <c r="I10549" t="s">
        <v>17496</v>
      </c>
      <c r="J10549" t="s">
        <v>18893</v>
      </c>
      <c r="K10549">
        <v>10027</v>
      </c>
      <c r="L10549" t="s">
        <v>18958</v>
      </c>
      <c r="M10549" t="s">
        <v>18958</v>
      </c>
      <c r="N10549" t="s">
        <v>26078</v>
      </c>
      <c r="O10549" t="s">
        <v>26523</v>
      </c>
      <c r="P10549" t="s">
        <v>26560</v>
      </c>
      <c r="R10549" t="s">
        <v>26580</v>
      </c>
      <c r="S10549" t="s">
        <v>18959</v>
      </c>
      <c r="U10549" t="s">
        <v>26604</v>
      </c>
      <c r="X10549">
        <v>524.97</v>
      </c>
      <c r="Y10549" t="s">
        <v>26651</v>
      </c>
      <c r="Z10549" t="s">
        <v>26668</v>
      </c>
      <c r="AB10549" t="s">
        <v>27730</v>
      </c>
      <c r="AD10549" t="s">
        <v>44950</v>
      </c>
      <c r="AE10549">
        <v>0</v>
      </c>
      <c r="AF10549" t="s">
        <v>20460</v>
      </c>
      <c r="AG10549" t="s">
        <v>45556</v>
      </c>
      <c r="AH10549">
        <v>20</v>
      </c>
      <c r="AI10549">
        <v>2</v>
      </c>
      <c r="AJ10549">
        <v>0</v>
      </c>
      <c r="AK10549">
        <v>0</v>
      </c>
      <c r="AN10549" t="s">
        <v>7439</v>
      </c>
      <c r="AO10549">
        <v>0</v>
      </c>
      <c r="AU10549">
        <v>4.7</v>
      </c>
      <c r="AV10549" t="s">
        <v>832</v>
      </c>
      <c r="AW10549" t="s">
        <v>314</v>
      </c>
    </row>
    <row r="10550" spans="1:49">
      <c r="A10550" s="1">
        <f>HYPERLINK("https://lsnyc.legalserver.org/matter/dynamic-profile/view/1898549","19-1898549")</f>
        <v>0</v>
      </c>
      <c r="B10550" t="s">
        <v>173</v>
      </c>
      <c r="C10550" t="s">
        <v>340</v>
      </c>
      <c r="D10550" t="s">
        <v>810</v>
      </c>
      <c r="F10550" t="s">
        <v>1062</v>
      </c>
      <c r="G10550" t="s">
        <v>994</v>
      </c>
      <c r="H10550" t="s">
        <v>16758</v>
      </c>
      <c r="I10550" t="s">
        <v>17312</v>
      </c>
      <c r="J10550" t="s">
        <v>18893</v>
      </c>
      <c r="K10550">
        <v>10027</v>
      </c>
      <c r="L10550" t="s">
        <v>18958</v>
      </c>
      <c r="M10550" t="s">
        <v>18958</v>
      </c>
      <c r="N10550" t="s">
        <v>26079</v>
      </c>
      <c r="O10550" t="s">
        <v>26523</v>
      </c>
      <c r="P10550" t="s">
        <v>26560</v>
      </c>
      <c r="R10550" t="s">
        <v>26580</v>
      </c>
      <c r="S10550" t="s">
        <v>18959</v>
      </c>
      <c r="U10550" t="s">
        <v>26604</v>
      </c>
      <c r="V10550" t="s">
        <v>26610</v>
      </c>
      <c r="X10550">
        <v>1238</v>
      </c>
      <c r="Y10550" t="s">
        <v>26651</v>
      </c>
      <c r="Z10550" t="s">
        <v>26664</v>
      </c>
      <c r="AB10550" t="s">
        <v>34030</v>
      </c>
      <c r="AC10550" t="s">
        <v>36733</v>
      </c>
      <c r="AD10550" t="s">
        <v>44951</v>
      </c>
      <c r="AE10550">
        <v>0</v>
      </c>
      <c r="AF10550" t="s">
        <v>45541</v>
      </c>
      <c r="AG10550" t="s">
        <v>19330</v>
      </c>
      <c r="AH10550">
        <v>9</v>
      </c>
      <c r="AI10550">
        <v>1</v>
      </c>
      <c r="AJ10550">
        <v>0</v>
      </c>
      <c r="AK10550">
        <v>98.38</v>
      </c>
      <c r="AN10550" t="s">
        <v>7439</v>
      </c>
      <c r="AO10550">
        <v>12288</v>
      </c>
      <c r="AU10550">
        <v>2.25</v>
      </c>
      <c r="AV10550" t="s">
        <v>827</v>
      </c>
      <c r="AW10550" t="s">
        <v>314</v>
      </c>
    </row>
    <row r="10551" spans="1:49">
      <c r="A10551" s="1">
        <f>HYPERLINK("https://lsnyc.legalserver.org/matter/dynamic-profile/view/1898792","19-1898792")</f>
        <v>0</v>
      </c>
      <c r="B10551" t="s">
        <v>153</v>
      </c>
      <c r="C10551" t="s">
        <v>341</v>
      </c>
      <c r="D10551" t="s">
        <v>769</v>
      </c>
      <c r="E10551" t="s">
        <v>806</v>
      </c>
      <c r="F10551" t="s">
        <v>928</v>
      </c>
      <c r="G10551" t="s">
        <v>9398</v>
      </c>
      <c r="H10551" t="s">
        <v>12522</v>
      </c>
      <c r="I10551" t="s">
        <v>18807</v>
      </c>
      <c r="J10551" t="s">
        <v>18902</v>
      </c>
      <c r="K10551">
        <v>10301</v>
      </c>
      <c r="L10551" t="s">
        <v>18960</v>
      </c>
      <c r="M10551" t="s">
        <v>18960</v>
      </c>
      <c r="P10551" t="s">
        <v>26564</v>
      </c>
      <c r="Q10551" t="s">
        <v>26570</v>
      </c>
      <c r="R10551" t="s">
        <v>26578</v>
      </c>
      <c r="U10551" t="s">
        <v>26604</v>
      </c>
      <c r="X10551">
        <v>0</v>
      </c>
      <c r="Y10551" t="s">
        <v>26654</v>
      </c>
      <c r="AA10551" t="s">
        <v>26683</v>
      </c>
      <c r="AB10551" t="s">
        <v>29190</v>
      </c>
      <c r="AD10551" t="s">
        <v>44952</v>
      </c>
      <c r="AE10551">
        <v>0</v>
      </c>
      <c r="AH10551">
        <v>0</v>
      </c>
      <c r="AI10551">
        <v>1</v>
      </c>
      <c r="AJ10551">
        <v>0</v>
      </c>
      <c r="AK10551">
        <v>251.36</v>
      </c>
      <c r="AN10551" t="s">
        <v>7439</v>
      </c>
      <c r="AO10551">
        <v>31395</v>
      </c>
      <c r="AU10551">
        <v>4.4</v>
      </c>
      <c r="AV10551" t="s">
        <v>828</v>
      </c>
      <c r="AW10551" t="s">
        <v>46849</v>
      </c>
    </row>
    <row r="10552" spans="1:49">
      <c r="A10552" s="1">
        <f>HYPERLINK("https://lsnyc.legalserver.org/matter/dynamic-profile/view/1898717","19-1898717")</f>
        <v>0</v>
      </c>
      <c r="B10552" t="s">
        <v>74</v>
      </c>
      <c r="C10552" t="s">
        <v>341</v>
      </c>
      <c r="D10552" t="s">
        <v>769</v>
      </c>
      <c r="E10552" t="s">
        <v>808</v>
      </c>
      <c r="F10552" t="s">
        <v>4770</v>
      </c>
      <c r="G10552" t="s">
        <v>9399</v>
      </c>
      <c r="H10552" t="s">
        <v>16759</v>
      </c>
      <c r="I10552">
        <v>1</v>
      </c>
      <c r="J10552" t="s">
        <v>18893</v>
      </c>
      <c r="K10552">
        <v>10019</v>
      </c>
      <c r="L10552" t="s">
        <v>18960</v>
      </c>
      <c r="M10552" t="s">
        <v>18960</v>
      </c>
      <c r="P10552" t="s">
        <v>26564</v>
      </c>
      <c r="Q10552" t="s">
        <v>26570</v>
      </c>
      <c r="R10552" t="s">
        <v>26583</v>
      </c>
      <c r="U10552" t="s">
        <v>26604</v>
      </c>
      <c r="X10552">
        <v>0</v>
      </c>
      <c r="Y10552" t="s">
        <v>26651</v>
      </c>
      <c r="AA10552" t="s">
        <v>26683</v>
      </c>
      <c r="AB10552" t="s">
        <v>34031</v>
      </c>
      <c r="AD10552" t="s">
        <v>44953</v>
      </c>
      <c r="AE10552">
        <v>0</v>
      </c>
      <c r="AH10552">
        <v>0</v>
      </c>
      <c r="AI10552">
        <v>2</v>
      </c>
      <c r="AJ10552">
        <v>0</v>
      </c>
      <c r="AK10552">
        <v>276.76</v>
      </c>
      <c r="AN10552" t="s">
        <v>45581</v>
      </c>
      <c r="AO10552">
        <v>46800</v>
      </c>
      <c r="AU10552">
        <v>0.8</v>
      </c>
      <c r="AV10552" t="s">
        <v>769</v>
      </c>
      <c r="AW10552" t="s">
        <v>46849</v>
      </c>
    </row>
    <row r="10553" spans="1:49">
      <c r="A10553" s="1">
        <f>HYPERLINK("https://lsnyc.legalserver.org/matter/dynamic-profile/view/1898803","19-1898803")</f>
        <v>0</v>
      </c>
      <c r="B10553" t="s">
        <v>75</v>
      </c>
      <c r="C10553" t="s">
        <v>341</v>
      </c>
      <c r="D10553" t="s">
        <v>769</v>
      </c>
      <c r="E10553" t="s">
        <v>822</v>
      </c>
      <c r="F10553" t="s">
        <v>1942</v>
      </c>
      <c r="G10553" t="s">
        <v>2620</v>
      </c>
      <c r="H10553" t="s">
        <v>16760</v>
      </c>
      <c r="I10553" t="s">
        <v>17299</v>
      </c>
      <c r="J10553" t="s">
        <v>18892</v>
      </c>
      <c r="K10553">
        <v>10472</v>
      </c>
      <c r="L10553" t="s">
        <v>18960</v>
      </c>
      <c r="M10553" t="s">
        <v>18960</v>
      </c>
      <c r="N10553" t="s">
        <v>26080</v>
      </c>
      <c r="O10553" t="s">
        <v>26523</v>
      </c>
      <c r="P10553" t="s">
        <v>26560</v>
      </c>
      <c r="Q10553" t="s">
        <v>26568</v>
      </c>
      <c r="R10553" t="s">
        <v>26578</v>
      </c>
      <c r="S10553" t="s">
        <v>18959</v>
      </c>
      <c r="U10553" t="s">
        <v>26604</v>
      </c>
      <c r="V10553" t="s">
        <v>26614</v>
      </c>
      <c r="X10553">
        <v>820</v>
      </c>
      <c r="Y10553" t="s">
        <v>26650</v>
      </c>
      <c r="Z10553" t="s">
        <v>26665</v>
      </c>
      <c r="AA10553" t="s">
        <v>26678</v>
      </c>
      <c r="AB10553" t="s">
        <v>34032</v>
      </c>
      <c r="AD10553" t="s">
        <v>44954</v>
      </c>
      <c r="AE10553">
        <v>0</v>
      </c>
      <c r="AF10553" t="s">
        <v>45541</v>
      </c>
      <c r="AH10553">
        <v>20</v>
      </c>
      <c r="AI10553">
        <v>2</v>
      </c>
      <c r="AJ10553">
        <v>0</v>
      </c>
      <c r="AK10553">
        <v>85.16</v>
      </c>
      <c r="AO10553">
        <v>14400</v>
      </c>
      <c r="AU10553">
        <v>6</v>
      </c>
      <c r="AV10553" t="s">
        <v>770</v>
      </c>
      <c r="AW10553" t="s">
        <v>75</v>
      </c>
    </row>
    <row r="10554" spans="1:49">
      <c r="A10554" s="1">
        <f>HYPERLINK("https://lsnyc.legalserver.org/matter/dynamic-profile/view/1898692","19-1898692")</f>
        <v>0</v>
      </c>
      <c r="B10554" t="s">
        <v>97</v>
      </c>
      <c r="C10554" t="s">
        <v>340</v>
      </c>
      <c r="D10554" t="s">
        <v>769</v>
      </c>
      <c r="F10554" t="s">
        <v>1225</v>
      </c>
      <c r="G10554" t="s">
        <v>4160</v>
      </c>
      <c r="H10554" t="s">
        <v>16761</v>
      </c>
      <c r="I10554">
        <v>3</v>
      </c>
      <c r="J10554" t="s">
        <v>18892</v>
      </c>
      <c r="K10554">
        <v>10467</v>
      </c>
      <c r="L10554" t="s">
        <v>18960</v>
      </c>
      <c r="M10554" t="s">
        <v>18960</v>
      </c>
      <c r="R10554" t="s">
        <v>26591</v>
      </c>
      <c r="U10554" t="s">
        <v>26607</v>
      </c>
      <c r="X10554">
        <v>0</v>
      </c>
      <c r="Y10554" t="s">
        <v>26650</v>
      </c>
      <c r="AB10554" t="s">
        <v>30609</v>
      </c>
      <c r="AD10554" t="s">
        <v>40803</v>
      </c>
      <c r="AE10554">
        <v>0</v>
      </c>
      <c r="AH10554">
        <v>0</v>
      </c>
      <c r="AI10554">
        <v>1</v>
      </c>
      <c r="AJ10554">
        <v>3</v>
      </c>
      <c r="AK10554">
        <v>32.62</v>
      </c>
      <c r="AN10554" t="s">
        <v>7439</v>
      </c>
      <c r="AO10554">
        <v>8400</v>
      </c>
      <c r="AU10554">
        <v>1.5</v>
      </c>
      <c r="AV10554" t="s">
        <v>819</v>
      </c>
      <c r="AW10554" t="s">
        <v>46887</v>
      </c>
    </row>
    <row r="10555" spans="1:49">
      <c r="A10555" s="1">
        <f>HYPERLINK("https://lsnyc.legalserver.org/matter/dynamic-profile/view/1898776","19-1898776")</f>
        <v>0</v>
      </c>
      <c r="B10555" t="s">
        <v>117</v>
      </c>
      <c r="C10555" t="s">
        <v>340</v>
      </c>
      <c r="D10555" t="s">
        <v>769</v>
      </c>
      <c r="F10555" t="s">
        <v>1190</v>
      </c>
      <c r="G10555" t="s">
        <v>6080</v>
      </c>
      <c r="H10555" t="s">
        <v>16762</v>
      </c>
      <c r="I10555" t="s">
        <v>17299</v>
      </c>
      <c r="J10555" t="s">
        <v>18894</v>
      </c>
      <c r="K10555">
        <v>11212</v>
      </c>
      <c r="L10555" t="s">
        <v>18959</v>
      </c>
      <c r="M10555" t="s">
        <v>18959</v>
      </c>
      <c r="N10555" t="s">
        <v>26081</v>
      </c>
      <c r="O10555" t="s">
        <v>26523</v>
      </c>
      <c r="R10555" t="s">
        <v>26578</v>
      </c>
      <c r="S10555" t="s">
        <v>18959</v>
      </c>
      <c r="U10555" t="s">
        <v>26604</v>
      </c>
      <c r="V10555" t="s">
        <v>26610</v>
      </c>
      <c r="X10555">
        <v>402</v>
      </c>
      <c r="Y10555" t="s">
        <v>26652</v>
      </c>
      <c r="Z10555" t="s">
        <v>26660</v>
      </c>
      <c r="AB10555" t="s">
        <v>34033</v>
      </c>
      <c r="AC10555" t="s">
        <v>36734</v>
      </c>
      <c r="AD10555" t="s">
        <v>44955</v>
      </c>
      <c r="AE10555">
        <v>24</v>
      </c>
      <c r="AF10555" t="s">
        <v>45543</v>
      </c>
      <c r="AG10555" t="s">
        <v>45556</v>
      </c>
      <c r="AH10555">
        <v>34</v>
      </c>
      <c r="AI10555">
        <v>1</v>
      </c>
      <c r="AJ10555">
        <v>0</v>
      </c>
      <c r="AK10555">
        <v>36.61</v>
      </c>
      <c r="AN10555" t="s">
        <v>7439</v>
      </c>
      <c r="AO10555">
        <v>4572</v>
      </c>
      <c r="AU10555">
        <v>0.2</v>
      </c>
      <c r="AV10555" t="s">
        <v>816</v>
      </c>
      <c r="AW10555" t="s">
        <v>279</v>
      </c>
    </row>
    <row r="10556" spans="1:49">
      <c r="A10556" s="1">
        <f>HYPERLINK("https://lsnyc.legalserver.org/matter/dynamic-profile/view/1898702","19-1898702")</f>
        <v>0</v>
      </c>
      <c r="B10556" t="s">
        <v>117</v>
      </c>
      <c r="C10556" t="s">
        <v>340</v>
      </c>
      <c r="D10556" t="s">
        <v>769</v>
      </c>
      <c r="F10556" t="s">
        <v>4850</v>
      </c>
      <c r="G10556" t="s">
        <v>4588</v>
      </c>
      <c r="H10556" t="s">
        <v>16763</v>
      </c>
      <c r="I10556">
        <v>1</v>
      </c>
      <c r="J10556" t="s">
        <v>18894</v>
      </c>
      <c r="K10556">
        <v>11207</v>
      </c>
      <c r="L10556" t="s">
        <v>18958</v>
      </c>
      <c r="M10556" t="s">
        <v>18958</v>
      </c>
      <c r="R10556" t="s">
        <v>26578</v>
      </c>
      <c r="U10556" t="s">
        <v>26604</v>
      </c>
      <c r="X10556">
        <v>870</v>
      </c>
      <c r="Y10556" t="s">
        <v>26652</v>
      </c>
      <c r="AB10556" t="s">
        <v>30954</v>
      </c>
      <c r="AE10556">
        <v>2</v>
      </c>
      <c r="AF10556" t="s">
        <v>45547</v>
      </c>
      <c r="AH10556">
        <v>2</v>
      </c>
      <c r="AI10556">
        <v>2</v>
      </c>
      <c r="AJ10556">
        <v>2</v>
      </c>
      <c r="AK10556">
        <v>149.44</v>
      </c>
      <c r="AN10556" t="s">
        <v>45581</v>
      </c>
      <c r="AO10556">
        <v>38480</v>
      </c>
      <c r="AU10556">
        <v>0</v>
      </c>
      <c r="AW10556" t="s">
        <v>279</v>
      </c>
    </row>
    <row r="10557" spans="1:49">
      <c r="A10557" s="1">
        <f>HYPERLINK("https://lsnyc.legalserver.org/matter/dynamic-profile/view/1898652","19-1898652")</f>
        <v>0</v>
      </c>
      <c r="B10557" t="s">
        <v>117</v>
      </c>
      <c r="C10557" t="s">
        <v>340</v>
      </c>
      <c r="D10557" t="s">
        <v>769</v>
      </c>
      <c r="F10557" t="s">
        <v>916</v>
      </c>
      <c r="G10557" t="s">
        <v>5208</v>
      </c>
      <c r="H10557" t="s">
        <v>13495</v>
      </c>
      <c r="I10557" t="s">
        <v>18808</v>
      </c>
      <c r="J10557" t="s">
        <v>18894</v>
      </c>
      <c r="K10557">
        <v>11224</v>
      </c>
      <c r="L10557" t="s">
        <v>18958</v>
      </c>
      <c r="M10557" t="s">
        <v>18958</v>
      </c>
      <c r="R10557" t="s">
        <v>26583</v>
      </c>
      <c r="S10557" t="s">
        <v>18959</v>
      </c>
      <c r="U10557" t="s">
        <v>26604</v>
      </c>
      <c r="V10557" t="s">
        <v>26610</v>
      </c>
      <c r="X10557">
        <v>0</v>
      </c>
      <c r="Y10557" t="s">
        <v>26652</v>
      </c>
      <c r="AB10557" t="s">
        <v>29002</v>
      </c>
      <c r="AC10557" t="s">
        <v>25800</v>
      </c>
      <c r="AE10557">
        <v>0</v>
      </c>
      <c r="AG10557" t="s">
        <v>45556</v>
      </c>
      <c r="AH10557">
        <v>0</v>
      </c>
      <c r="AI10557">
        <v>1</v>
      </c>
      <c r="AJ10557">
        <v>0</v>
      </c>
      <c r="AK10557">
        <v>83.59</v>
      </c>
      <c r="AO10557">
        <v>10440</v>
      </c>
      <c r="AU10557">
        <v>0.5</v>
      </c>
      <c r="AV10557" t="s">
        <v>810</v>
      </c>
      <c r="AW10557" t="s">
        <v>279</v>
      </c>
    </row>
    <row r="10558" spans="1:49">
      <c r="A10558" s="1">
        <f>HYPERLINK("https://lsnyc.legalserver.org/matter/dynamic-profile/view/1898656","19-1898656")</f>
        <v>0</v>
      </c>
      <c r="B10558" t="s">
        <v>117</v>
      </c>
      <c r="C10558" t="s">
        <v>340</v>
      </c>
      <c r="D10558" t="s">
        <v>769</v>
      </c>
      <c r="F10558" t="s">
        <v>4851</v>
      </c>
      <c r="G10558" t="s">
        <v>9400</v>
      </c>
      <c r="H10558" t="s">
        <v>16764</v>
      </c>
      <c r="I10558" t="s">
        <v>17282</v>
      </c>
      <c r="J10558" t="s">
        <v>18894</v>
      </c>
      <c r="K10558">
        <v>11222</v>
      </c>
      <c r="L10558" t="s">
        <v>18958</v>
      </c>
      <c r="M10558" t="s">
        <v>18958</v>
      </c>
      <c r="R10558" t="s">
        <v>26583</v>
      </c>
      <c r="S10558" t="s">
        <v>18959</v>
      </c>
      <c r="U10558" t="s">
        <v>26604</v>
      </c>
      <c r="V10558" t="s">
        <v>26610</v>
      </c>
      <c r="X10558">
        <v>0</v>
      </c>
      <c r="Y10558" t="s">
        <v>26652</v>
      </c>
      <c r="AB10558" t="s">
        <v>27164</v>
      </c>
      <c r="AE10558">
        <v>0</v>
      </c>
      <c r="AG10558" t="s">
        <v>26530</v>
      </c>
      <c r="AH10558">
        <v>3</v>
      </c>
      <c r="AI10558">
        <v>2</v>
      </c>
      <c r="AJ10558">
        <v>1</v>
      </c>
      <c r="AK10558">
        <v>129.4</v>
      </c>
      <c r="AN10558" t="s">
        <v>7439</v>
      </c>
      <c r="AO10558">
        <v>27600</v>
      </c>
      <c r="AU10558">
        <v>0.4</v>
      </c>
      <c r="AV10558" t="s">
        <v>768</v>
      </c>
      <c r="AW10558" t="s">
        <v>279</v>
      </c>
    </row>
    <row r="10559" spans="1:49">
      <c r="A10559" s="1">
        <f>HYPERLINK("https://lsnyc.legalserver.org/matter/dynamic-profile/view/1898680","19-1898680")</f>
        <v>0</v>
      </c>
      <c r="B10559" t="s">
        <v>167</v>
      </c>
      <c r="C10559" t="s">
        <v>340</v>
      </c>
      <c r="D10559" t="s">
        <v>769</v>
      </c>
      <c r="F10559" t="s">
        <v>3004</v>
      </c>
      <c r="G10559" t="s">
        <v>4309</v>
      </c>
      <c r="H10559" t="s">
        <v>13459</v>
      </c>
      <c r="I10559" t="s">
        <v>17356</v>
      </c>
      <c r="J10559" t="s">
        <v>18894</v>
      </c>
      <c r="K10559">
        <v>11206</v>
      </c>
      <c r="L10559" t="s">
        <v>18960</v>
      </c>
      <c r="M10559" t="s">
        <v>18960</v>
      </c>
      <c r="P10559" t="s">
        <v>26563</v>
      </c>
      <c r="R10559" t="s">
        <v>26586</v>
      </c>
      <c r="U10559" t="s">
        <v>26604</v>
      </c>
      <c r="X10559">
        <v>0</v>
      </c>
      <c r="Y10559" t="s">
        <v>26652</v>
      </c>
      <c r="Z10559" t="s">
        <v>26664</v>
      </c>
      <c r="AB10559" t="s">
        <v>27856</v>
      </c>
      <c r="AD10559" t="s">
        <v>41045</v>
      </c>
      <c r="AE10559">
        <v>100</v>
      </c>
      <c r="AH10559">
        <v>2</v>
      </c>
      <c r="AI10559">
        <v>1</v>
      </c>
      <c r="AJ10559">
        <v>0</v>
      </c>
      <c r="AK10559">
        <v>72.06</v>
      </c>
      <c r="AN10559" t="s">
        <v>7439</v>
      </c>
      <c r="AO10559">
        <v>9000</v>
      </c>
      <c r="AU10559">
        <v>4</v>
      </c>
      <c r="AV10559" t="s">
        <v>829</v>
      </c>
      <c r="AW10559" t="s">
        <v>46856</v>
      </c>
    </row>
    <row r="10560" spans="1:49">
      <c r="A10560" s="1">
        <f>HYPERLINK("https://lsnyc.legalserver.org/matter/dynamic-profile/view/1898791","19-1898791")</f>
        <v>0</v>
      </c>
      <c r="B10560" t="s">
        <v>200</v>
      </c>
      <c r="C10560" t="s">
        <v>340</v>
      </c>
      <c r="D10560" t="s">
        <v>769</v>
      </c>
      <c r="F10560" t="s">
        <v>4852</v>
      </c>
      <c r="G10560" t="s">
        <v>9401</v>
      </c>
      <c r="H10560" t="s">
        <v>16765</v>
      </c>
      <c r="I10560" t="s">
        <v>17309</v>
      </c>
      <c r="J10560" t="s">
        <v>18894</v>
      </c>
      <c r="K10560">
        <v>11230</v>
      </c>
      <c r="L10560" t="s">
        <v>18960</v>
      </c>
      <c r="M10560" t="s">
        <v>18960</v>
      </c>
      <c r="O10560" t="s">
        <v>18997</v>
      </c>
      <c r="R10560" t="s">
        <v>26583</v>
      </c>
      <c r="U10560" t="s">
        <v>26604</v>
      </c>
      <c r="X10560">
        <v>1560</v>
      </c>
      <c r="Y10560" t="s">
        <v>26652</v>
      </c>
      <c r="AB10560" t="s">
        <v>28642</v>
      </c>
      <c r="AD10560" t="s">
        <v>44956</v>
      </c>
      <c r="AE10560">
        <v>0</v>
      </c>
      <c r="AF10560" t="s">
        <v>20460</v>
      </c>
      <c r="AG10560" t="s">
        <v>19330</v>
      </c>
      <c r="AH10560">
        <v>3</v>
      </c>
      <c r="AI10560">
        <v>1</v>
      </c>
      <c r="AJ10560">
        <v>0</v>
      </c>
      <c r="AK10560">
        <v>291.43</v>
      </c>
      <c r="AN10560" t="s">
        <v>45586</v>
      </c>
      <c r="AO10560">
        <v>36400</v>
      </c>
      <c r="AU10560">
        <v>1</v>
      </c>
      <c r="AV10560" t="s">
        <v>769</v>
      </c>
      <c r="AW10560" t="s">
        <v>46859</v>
      </c>
    </row>
    <row r="10561" spans="1:50">
      <c r="A10561" s="1">
        <f>HYPERLINK("https://lsnyc.legalserver.org/matter/dynamic-profile/view/1898627","19-1898627")</f>
        <v>0</v>
      </c>
      <c r="B10561" t="s">
        <v>50</v>
      </c>
      <c r="C10561" t="s">
        <v>340</v>
      </c>
      <c r="D10561" t="s">
        <v>769</v>
      </c>
      <c r="F10561" t="s">
        <v>4853</v>
      </c>
      <c r="G10561" t="s">
        <v>5284</v>
      </c>
      <c r="H10561" t="s">
        <v>16766</v>
      </c>
      <c r="I10561" t="s">
        <v>17334</v>
      </c>
      <c r="J10561" t="s">
        <v>18892</v>
      </c>
      <c r="K10561">
        <v>10461</v>
      </c>
      <c r="L10561" t="s">
        <v>18958</v>
      </c>
      <c r="M10561" t="s">
        <v>18958</v>
      </c>
      <c r="N10561" t="s">
        <v>26082</v>
      </c>
      <c r="O10561" t="s">
        <v>26523</v>
      </c>
      <c r="R10561" t="s">
        <v>26577</v>
      </c>
      <c r="S10561" t="s">
        <v>18959</v>
      </c>
      <c r="U10561" t="s">
        <v>26604</v>
      </c>
      <c r="X10561">
        <v>0</v>
      </c>
      <c r="Y10561" t="s">
        <v>26650</v>
      </c>
      <c r="Z10561" t="s">
        <v>26668</v>
      </c>
      <c r="AB10561" t="s">
        <v>34034</v>
      </c>
      <c r="AC10561" t="s">
        <v>36735</v>
      </c>
      <c r="AD10561" t="s">
        <v>44957</v>
      </c>
      <c r="AE10561">
        <v>6</v>
      </c>
      <c r="AF10561" t="s">
        <v>45549</v>
      </c>
      <c r="AG10561" t="s">
        <v>45556</v>
      </c>
      <c r="AH10561">
        <v>0</v>
      </c>
      <c r="AI10561">
        <v>1</v>
      </c>
      <c r="AJ10561">
        <v>0</v>
      </c>
      <c r="AK10561">
        <v>55.44</v>
      </c>
      <c r="AN10561" t="s">
        <v>7439</v>
      </c>
      <c r="AO10561">
        <v>6924</v>
      </c>
      <c r="AP10561" t="s">
        <v>46309</v>
      </c>
      <c r="AU10561">
        <v>1.25</v>
      </c>
      <c r="AV10561" t="s">
        <v>811</v>
      </c>
      <c r="AW10561" t="s">
        <v>46870</v>
      </c>
      <c r="AX10561" t="s">
        <v>46898</v>
      </c>
    </row>
    <row r="10562" spans="1:50">
      <c r="A10562" s="1">
        <f>HYPERLINK("https://lsnyc.legalserver.org/matter/dynamic-profile/view/1898706","19-1898706")</f>
        <v>0</v>
      </c>
      <c r="B10562" t="s">
        <v>233</v>
      </c>
      <c r="C10562" t="s">
        <v>340</v>
      </c>
      <c r="D10562" t="s">
        <v>769</v>
      </c>
      <c r="F10562" t="s">
        <v>913</v>
      </c>
      <c r="G10562" t="s">
        <v>5008</v>
      </c>
      <c r="H10562" t="s">
        <v>16767</v>
      </c>
      <c r="I10562" t="s">
        <v>18431</v>
      </c>
      <c r="J10562" t="s">
        <v>18892</v>
      </c>
      <c r="K10562">
        <v>10467</v>
      </c>
      <c r="L10562" t="s">
        <v>18958</v>
      </c>
      <c r="M10562" t="s">
        <v>18958</v>
      </c>
      <c r="N10562" t="s">
        <v>26083</v>
      </c>
      <c r="O10562" t="s">
        <v>26523</v>
      </c>
      <c r="P10562" t="s">
        <v>26560</v>
      </c>
      <c r="R10562" t="s">
        <v>26579</v>
      </c>
      <c r="U10562" t="s">
        <v>26604</v>
      </c>
      <c r="X10562">
        <v>0</v>
      </c>
      <c r="Y10562" t="s">
        <v>26650</v>
      </c>
      <c r="AB10562" t="s">
        <v>34035</v>
      </c>
      <c r="AE10562">
        <v>0</v>
      </c>
      <c r="AF10562" t="s">
        <v>45549</v>
      </c>
      <c r="AH10562">
        <v>0</v>
      </c>
      <c r="AI10562">
        <v>2</v>
      </c>
      <c r="AJ10562">
        <v>0</v>
      </c>
      <c r="AK10562">
        <v>248.37</v>
      </c>
      <c r="AN10562" t="s">
        <v>7439</v>
      </c>
      <c r="AO10562">
        <v>42000</v>
      </c>
      <c r="AU10562">
        <v>15</v>
      </c>
      <c r="AV10562" t="s">
        <v>773</v>
      </c>
      <c r="AW10562" t="s">
        <v>335</v>
      </c>
    </row>
    <row r="10563" spans="1:50">
      <c r="A10563" s="1">
        <f>HYPERLINK("https://lsnyc.legalserver.org/matter/dynamic-profile/view/1899537","19-1899537")</f>
        <v>0</v>
      </c>
      <c r="B10563" t="s">
        <v>188</v>
      </c>
      <c r="C10563" t="s">
        <v>340</v>
      </c>
      <c r="D10563" t="s">
        <v>769</v>
      </c>
      <c r="F10563" t="s">
        <v>2587</v>
      </c>
      <c r="G10563" t="s">
        <v>6734</v>
      </c>
      <c r="H10563" t="s">
        <v>16768</v>
      </c>
      <c r="I10563" t="s">
        <v>17827</v>
      </c>
      <c r="J10563" t="s">
        <v>18892</v>
      </c>
      <c r="K10563">
        <v>10453</v>
      </c>
      <c r="L10563" t="s">
        <v>18958</v>
      </c>
      <c r="M10563" t="s">
        <v>18960</v>
      </c>
      <c r="N10563" t="s">
        <v>26084</v>
      </c>
      <c r="O10563" t="s">
        <v>26523</v>
      </c>
      <c r="P10563" t="s">
        <v>26560</v>
      </c>
      <c r="R10563" t="s">
        <v>26578</v>
      </c>
      <c r="S10563" t="s">
        <v>18959</v>
      </c>
      <c r="U10563" t="s">
        <v>26604</v>
      </c>
      <c r="V10563" t="s">
        <v>26614</v>
      </c>
      <c r="X10563">
        <v>175.5</v>
      </c>
      <c r="Y10563" t="s">
        <v>26650</v>
      </c>
      <c r="Z10563" t="s">
        <v>26667</v>
      </c>
      <c r="AB10563" t="s">
        <v>29524</v>
      </c>
      <c r="AC10563" t="s">
        <v>36736</v>
      </c>
      <c r="AD10563" t="s">
        <v>44958</v>
      </c>
      <c r="AE10563">
        <v>0</v>
      </c>
      <c r="AF10563" t="s">
        <v>45554</v>
      </c>
      <c r="AG10563" t="s">
        <v>26530</v>
      </c>
      <c r="AH10563">
        <v>3</v>
      </c>
      <c r="AI10563">
        <v>1</v>
      </c>
      <c r="AJ10563">
        <v>0</v>
      </c>
      <c r="AK10563">
        <v>82.43000000000001</v>
      </c>
      <c r="AN10563" t="s">
        <v>45581</v>
      </c>
      <c r="AO10563">
        <v>10296</v>
      </c>
      <c r="AU10563">
        <v>2.5</v>
      </c>
      <c r="AV10563" t="s">
        <v>822</v>
      </c>
      <c r="AW10563" t="s">
        <v>188</v>
      </c>
      <c r="AX10563" t="s">
        <v>46897</v>
      </c>
    </row>
    <row r="10564" spans="1:50">
      <c r="A10564" s="1">
        <f>HYPERLINK("https://lsnyc.legalserver.org/matter/dynamic-profile/view/1898827","19-1898827")</f>
        <v>0</v>
      </c>
      <c r="B10564" t="s">
        <v>179</v>
      </c>
      <c r="C10564" t="s">
        <v>341</v>
      </c>
      <c r="D10564" t="s">
        <v>770</v>
      </c>
      <c r="E10564" t="s">
        <v>770</v>
      </c>
      <c r="F10564" t="s">
        <v>893</v>
      </c>
      <c r="G10564" t="s">
        <v>6289</v>
      </c>
      <c r="H10564" t="s">
        <v>11382</v>
      </c>
      <c r="I10564" t="s">
        <v>17700</v>
      </c>
      <c r="J10564" t="s">
        <v>18894</v>
      </c>
      <c r="K10564">
        <v>11207</v>
      </c>
      <c r="L10564" t="s">
        <v>18960</v>
      </c>
      <c r="M10564" t="s">
        <v>18960</v>
      </c>
      <c r="P10564" t="s">
        <v>26563</v>
      </c>
      <c r="Q10564" t="s">
        <v>26570</v>
      </c>
      <c r="R10564" t="s">
        <v>26591</v>
      </c>
      <c r="U10564" t="s">
        <v>26605</v>
      </c>
      <c r="X10564">
        <v>0</v>
      </c>
      <c r="Y10564" t="s">
        <v>26652</v>
      </c>
      <c r="AA10564" t="s">
        <v>26683</v>
      </c>
      <c r="AB10564" t="s">
        <v>28582</v>
      </c>
      <c r="AD10564" t="s">
        <v>38635</v>
      </c>
      <c r="AE10564">
        <v>0</v>
      </c>
      <c r="AF10564" t="s">
        <v>45549</v>
      </c>
      <c r="AH10564">
        <v>1</v>
      </c>
      <c r="AI10564">
        <v>1</v>
      </c>
      <c r="AJ10564">
        <v>0</v>
      </c>
      <c r="AK10564">
        <v>76.86</v>
      </c>
      <c r="AN10564" t="s">
        <v>7439</v>
      </c>
      <c r="AO10564">
        <v>9600</v>
      </c>
      <c r="AU10564">
        <v>1.5</v>
      </c>
      <c r="AV10564" t="s">
        <v>770</v>
      </c>
      <c r="AW10564" t="s">
        <v>46858</v>
      </c>
    </row>
    <row r="10565" spans="1:50">
      <c r="A10565" s="1">
        <f>HYPERLINK("https://lsnyc.legalserver.org/matter/dynamic-profile/view/1898829","19-1898829")</f>
        <v>0</v>
      </c>
      <c r="B10565" t="s">
        <v>165</v>
      </c>
      <c r="C10565" t="s">
        <v>340</v>
      </c>
      <c r="D10565" t="s">
        <v>770</v>
      </c>
      <c r="F10565" t="s">
        <v>1191</v>
      </c>
      <c r="G10565" t="s">
        <v>5738</v>
      </c>
      <c r="H10565" t="s">
        <v>16769</v>
      </c>
      <c r="I10565" t="s">
        <v>17440</v>
      </c>
      <c r="J10565" t="s">
        <v>18893</v>
      </c>
      <c r="K10565">
        <v>10009</v>
      </c>
      <c r="L10565" t="s">
        <v>18958</v>
      </c>
      <c r="M10565" t="s">
        <v>18958</v>
      </c>
      <c r="N10565" t="s">
        <v>26085</v>
      </c>
      <c r="O10565" t="s">
        <v>26524</v>
      </c>
      <c r="P10565" t="s">
        <v>26563</v>
      </c>
      <c r="R10565" t="s">
        <v>26582</v>
      </c>
      <c r="S10565" t="s">
        <v>18959</v>
      </c>
      <c r="U10565" t="s">
        <v>26604</v>
      </c>
      <c r="X10565">
        <v>151</v>
      </c>
      <c r="Y10565" t="s">
        <v>26651</v>
      </c>
      <c r="Z10565" t="s">
        <v>26664</v>
      </c>
      <c r="AB10565" t="s">
        <v>34036</v>
      </c>
      <c r="AC10565" t="s">
        <v>36737</v>
      </c>
      <c r="AD10565" t="s">
        <v>44959</v>
      </c>
      <c r="AE10565">
        <v>0</v>
      </c>
      <c r="AF10565" t="s">
        <v>45541</v>
      </c>
      <c r="AG10565" t="s">
        <v>45556</v>
      </c>
      <c r="AH10565">
        <v>3</v>
      </c>
      <c r="AI10565">
        <v>1</v>
      </c>
      <c r="AJ10565">
        <v>0</v>
      </c>
      <c r="AK10565">
        <v>74.65000000000001</v>
      </c>
      <c r="AN10565" t="s">
        <v>7439</v>
      </c>
      <c r="AO10565">
        <v>9324</v>
      </c>
      <c r="AU10565">
        <v>10.85</v>
      </c>
      <c r="AV10565" t="s">
        <v>839</v>
      </c>
      <c r="AW10565" t="s">
        <v>314</v>
      </c>
    </row>
    <row r="10566" spans="1:50">
      <c r="A10566" s="1">
        <f>HYPERLINK("https://lsnyc.legalserver.org/matter/dynamic-profile/view/1898840","19-1898840")</f>
        <v>0</v>
      </c>
      <c r="B10566" t="s">
        <v>66</v>
      </c>
      <c r="C10566" t="s">
        <v>340</v>
      </c>
      <c r="D10566" t="s">
        <v>770</v>
      </c>
      <c r="F10566" t="s">
        <v>1300</v>
      </c>
      <c r="G10566" t="s">
        <v>5419</v>
      </c>
      <c r="H10566" t="s">
        <v>15795</v>
      </c>
      <c r="I10566">
        <v>4</v>
      </c>
      <c r="J10566" t="s">
        <v>18893</v>
      </c>
      <c r="K10566">
        <v>10030</v>
      </c>
      <c r="L10566" t="s">
        <v>18958</v>
      </c>
      <c r="M10566" t="s">
        <v>18958</v>
      </c>
      <c r="N10566" t="s">
        <v>26086</v>
      </c>
      <c r="P10566" t="s">
        <v>26563</v>
      </c>
      <c r="R10566" t="s">
        <v>26582</v>
      </c>
      <c r="S10566" t="s">
        <v>18959</v>
      </c>
      <c r="U10566" t="s">
        <v>26604</v>
      </c>
      <c r="X10566">
        <v>1255</v>
      </c>
      <c r="Y10566" t="s">
        <v>26651</v>
      </c>
      <c r="Z10566" t="s">
        <v>26661</v>
      </c>
      <c r="AB10566" t="s">
        <v>33191</v>
      </c>
      <c r="AC10566" t="s">
        <v>36738</v>
      </c>
      <c r="AD10566" t="s">
        <v>43856</v>
      </c>
      <c r="AE10566">
        <v>0</v>
      </c>
      <c r="AF10566" t="s">
        <v>45541</v>
      </c>
      <c r="AG10566" t="s">
        <v>19330</v>
      </c>
      <c r="AH10566">
        <v>8</v>
      </c>
      <c r="AI10566">
        <v>1</v>
      </c>
      <c r="AJ10566">
        <v>4</v>
      </c>
      <c r="AK10566">
        <v>51.71</v>
      </c>
      <c r="AN10566" t="s">
        <v>7439</v>
      </c>
      <c r="AO10566">
        <v>15600</v>
      </c>
      <c r="AU10566">
        <v>0.75</v>
      </c>
      <c r="AV10566" t="s">
        <v>770</v>
      </c>
      <c r="AW10566" t="s">
        <v>314</v>
      </c>
    </row>
    <row r="10567" spans="1:50">
      <c r="A10567" s="1">
        <f>HYPERLINK("https://lsnyc.legalserver.org/matter/dynamic-profile/view/1898911","19-1898911")</f>
        <v>0</v>
      </c>
      <c r="B10567" t="s">
        <v>242</v>
      </c>
      <c r="C10567" t="s">
        <v>340</v>
      </c>
      <c r="D10567" t="s">
        <v>770</v>
      </c>
      <c r="F10567" t="s">
        <v>4854</v>
      </c>
      <c r="G10567" t="s">
        <v>9402</v>
      </c>
      <c r="H10567" t="s">
        <v>16770</v>
      </c>
      <c r="I10567" t="s">
        <v>17372</v>
      </c>
      <c r="J10567" t="s">
        <v>18894</v>
      </c>
      <c r="K10567">
        <v>11225</v>
      </c>
      <c r="L10567" t="s">
        <v>18959</v>
      </c>
      <c r="M10567" t="s">
        <v>18958</v>
      </c>
      <c r="N10567" t="s">
        <v>26087</v>
      </c>
      <c r="O10567" t="s">
        <v>26524</v>
      </c>
      <c r="R10567" t="s">
        <v>26588</v>
      </c>
      <c r="U10567" t="s">
        <v>26604</v>
      </c>
      <c r="X10567">
        <v>0</v>
      </c>
      <c r="Y10567" t="s">
        <v>26652</v>
      </c>
      <c r="Z10567" t="s">
        <v>26669</v>
      </c>
      <c r="AB10567" t="s">
        <v>34037</v>
      </c>
      <c r="AD10567" t="s">
        <v>44960</v>
      </c>
      <c r="AE10567">
        <v>0</v>
      </c>
      <c r="AH10567">
        <v>0</v>
      </c>
      <c r="AI10567">
        <v>2</v>
      </c>
      <c r="AJ10567">
        <v>2</v>
      </c>
      <c r="AK10567">
        <v>0</v>
      </c>
      <c r="AN10567" t="s">
        <v>7439</v>
      </c>
      <c r="AO10567">
        <v>0</v>
      </c>
      <c r="AU10567">
        <v>6.5</v>
      </c>
      <c r="AV10567" t="s">
        <v>804</v>
      </c>
      <c r="AW10567" t="s">
        <v>46853</v>
      </c>
    </row>
    <row r="10568" spans="1:50">
      <c r="A10568" s="1">
        <f>HYPERLINK("https://lsnyc.legalserver.org/matter/dynamic-profile/view/1898859","19-1898859")</f>
        <v>0</v>
      </c>
      <c r="B10568" t="s">
        <v>84</v>
      </c>
      <c r="C10568" t="s">
        <v>340</v>
      </c>
      <c r="D10568" t="s">
        <v>770</v>
      </c>
      <c r="F10568" t="s">
        <v>1025</v>
      </c>
      <c r="G10568" t="s">
        <v>9403</v>
      </c>
      <c r="H10568" t="s">
        <v>12894</v>
      </c>
      <c r="I10568" t="s">
        <v>17390</v>
      </c>
      <c r="J10568" t="s">
        <v>18893</v>
      </c>
      <c r="K10568">
        <v>10040</v>
      </c>
      <c r="L10568" t="s">
        <v>18958</v>
      </c>
      <c r="M10568" t="s">
        <v>18958</v>
      </c>
      <c r="N10568" t="s">
        <v>26088</v>
      </c>
      <c r="O10568" t="s">
        <v>26524</v>
      </c>
      <c r="P10568" t="s">
        <v>26563</v>
      </c>
      <c r="R10568" t="s">
        <v>26582</v>
      </c>
      <c r="S10568" t="s">
        <v>18959</v>
      </c>
      <c r="U10568" t="s">
        <v>26604</v>
      </c>
      <c r="X10568">
        <v>1430</v>
      </c>
      <c r="Y10568" t="s">
        <v>26651</v>
      </c>
      <c r="Z10568" t="s">
        <v>26664</v>
      </c>
      <c r="AB10568" t="s">
        <v>34038</v>
      </c>
      <c r="AD10568" t="s">
        <v>44961</v>
      </c>
      <c r="AE10568">
        <v>0</v>
      </c>
      <c r="AF10568" t="s">
        <v>45548</v>
      </c>
      <c r="AG10568" t="s">
        <v>19330</v>
      </c>
      <c r="AH10568">
        <v>30</v>
      </c>
      <c r="AI10568">
        <v>2</v>
      </c>
      <c r="AJ10568">
        <v>0</v>
      </c>
      <c r="AK10568">
        <v>92.25</v>
      </c>
      <c r="AN10568" t="s">
        <v>7439</v>
      </c>
      <c r="AO10568">
        <v>15600</v>
      </c>
      <c r="AU10568">
        <v>2.2</v>
      </c>
      <c r="AV10568" t="s">
        <v>720</v>
      </c>
      <c r="AW10568" t="s">
        <v>314</v>
      </c>
    </row>
    <row r="10569" spans="1:50">
      <c r="A10569" s="1">
        <f>HYPERLINK("https://lsnyc.legalserver.org/matter/dynamic-profile/view/1898841","19-1898841")</f>
        <v>0</v>
      </c>
      <c r="B10569" t="s">
        <v>140</v>
      </c>
      <c r="C10569" t="s">
        <v>340</v>
      </c>
      <c r="D10569" t="s">
        <v>770</v>
      </c>
      <c r="F10569" t="s">
        <v>1281</v>
      </c>
      <c r="G10569" t="s">
        <v>7901</v>
      </c>
      <c r="H10569" t="s">
        <v>16771</v>
      </c>
      <c r="J10569" t="s">
        <v>18901</v>
      </c>
      <c r="K10569">
        <v>11433</v>
      </c>
      <c r="L10569" t="s">
        <v>18959</v>
      </c>
      <c r="M10569" t="s">
        <v>18959</v>
      </c>
      <c r="O10569" t="s">
        <v>18997</v>
      </c>
      <c r="P10569" t="s">
        <v>26565</v>
      </c>
      <c r="R10569" t="s">
        <v>26586</v>
      </c>
      <c r="S10569" t="s">
        <v>18959</v>
      </c>
      <c r="U10569" t="s">
        <v>26606</v>
      </c>
      <c r="X10569">
        <v>0</v>
      </c>
      <c r="Y10569" t="s">
        <v>26652</v>
      </c>
      <c r="AB10569" t="s">
        <v>32876</v>
      </c>
      <c r="AD10569" t="s">
        <v>44962</v>
      </c>
      <c r="AE10569">
        <v>0</v>
      </c>
      <c r="AG10569" t="s">
        <v>45556</v>
      </c>
      <c r="AH10569">
        <v>0</v>
      </c>
      <c r="AI10569">
        <v>1</v>
      </c>
      <c r="AJ10569">
        <v>0</v>
      </c>
      <c r="AK10569">
        <v>144.88</v>
      </c>
      <c r="AN10569" t="s">
        <v>7439</v>
      </c>
      <c r="AO10569">
        <v>18096</v>
      </c>
      <c r="AU10569">
        <v>3</v>
      </c>
      <c r="AV10569" t="s">
        <v>830</v>
      </c>
      <c r="AW10569" t="s">
        <v>140</v>
      </c>
    </row>
    <row r="10570" spans="1:50">
      <c r="A10570" s="1">
        <f>HYPERLINK("https://lsnyc.legalserver.org/matter/dynamic-profile/view/1898832","19-1898832")</f>
        <v>0</v>
      </c>
      <c r="B10570" t="s">
        <v>253</v>
      </c>
      <c r="C10570" t="s">
        <v>340</v>
      </c>
      <c r="D10570" t="s">
        <v>770</v>
      </c>
      <c r="F10570" t="s">
        <v>2362</v>
      </c>
      <c r="G10570" t="s">
        <v>6773</v>
      </c>
      <c r="H10570" t="s">
        <v>15105</v>
      </c>
      <c r="I10570" t="s">
        <v>17272</v>
      </c>
      <c r="J10570" t="s">
        <v>18892</v>
      </c>
      <c r="K10570">
        <v>10453</v>
      </c>
      <c r="L10570" t="s">
        <v>18958</v>
      </c>
      <c r="M10570" t="s">
        <v>18958</v>
      </c>
      <c r="N10570" t="s">
        <v>26089</v>
      </c>
      <c r="O10570" t="s">
        <v>26523</v>
      </c>
      <c r="P10570" t="s">
        <v>26560</v>
      </c>
      <c r="R10570" t="s">
        <v>26577</v>
      </c>
      <c r="S10570" t="s">
        <v>18959</v>
      </c>
      <c r="U10570" t="s">
        <v>26604</v>
      </c>
      <c r="V10570" t="s">
        <v>26610</v>
      </c>
      <c r="X10570">
        <v>0</v>
      </c>
      <c r="Y10570" t="s">
        <v>26650</v>
      </c>
      <c r="Z10570" t="s">
        <v>26668</v>
      </c>
      <c r="AB10570" t="s">
        <v>28772</v>
      </c>
      <c r="AD10570" t="s">
        <v>44963</v>
      </c>
      <c r="AE10570">
        <v>0</v>
      </c>
      <c r="AF10570" t="s">
        <v>45541</v>
      </c>
      <c r="AG10570" t="s">
        <v>19330</v>
      </c>
      <c r="AH10570">
        <v>0</v>
      </c>
      <c r="AI10570">
        <v>2</v>
      </c>
      <c r="AJ10570">
        <v>1</v>
      </c>
      <c r="AK10570">
        <v>256.75</v>
      </c>
      <c r="AN10570" t="s">
        <v>7439</v>
      </c>
      <c r="AO10570">
        <v>54763.8</v>
      </c>
      <c r="AP10570" t="s">
        <v>46310</v>
      </c>
      <c r="AU10570">
        <v>7.2</v>
      </c>
      <c r="AV10570" t="s">
        <v>839</v>
      </c>
      <c r="AW10570" t="s">
        <v>46832</v>
      </c>
      <c r="AX10570" t="s">
        <v>46897</v>
      </c>
    </row>
    <row r="10571" spans="1:50">
      <c r="A10571" s="1">
        <f>HYPERLINK("https://lsnyc.legalserver.org/matter/dynamic-profile/view/1898908","19-1898908")</f>
        <v>0</v>
      </c>
      <c r="B10571" t="s">
        <v>249</v>
      </c>
      <c r="C10571" t="s">
        <v>340</v>
      </c>
      <c r="D10571" t="s">
        <v>770</v>
      </c>
      <c r="F10571" t="s">
        <v>947</v>
      </c>
      <c r="G10571" t="s">
        <v>5103</v>
      </c>
      <c r="H10571" t="s">
        <v>15444</v>
      </c>
      <c r="I10571" t="s">
        <v>17416</v>
      </c>
      <c r="J10571" t="s">
        <v>18894</v>
      </c>
      <c r="K10571">
        <v>11208</v>
      </c>
      <c r="L10571" t="s">
        <v>18958</v>
      </c>
      <c r="M10571" t="s">
        <v>18959</v>
      </c>
      <c r="O10571" t="s">
        <v>26542</v>
      </c>
      <c r="P10571" t="s">
        <v>26561</v>
      </c>
      <c r="R10571" t="s">
        <v>26578</v>
      </c>
      <c r="S10571" t="s">
        <v>18959</v>
      </c>
      <c r="U10571" t="s">
        <v>26604</v>
      </c>
      <c r="V10571" t="s">
        <v>26609</v>
      </c>
      <c r="X10571">
        <v>1297</v>
      </c>
      <c r="Y10571" t="s">
        <v>26652</v>
      </c>
      <c r="AB10571" t="s">
        <v>32897</v>
      </c>
      <c r="AC10571">
        <v>4798867</v>
      </c>
      <c r="AD10571" t="s">
        <v>43463</v>
      </c>
      <c r="AE10571">
        <v>2</v>
      </c>
      <c r="AF10571" t="s">
        <v>45547</v>
      </c>
      <c r="AG10571" t="s">
        <v>45556</v>
      </c>
      <c r="AH10571">
        <v>12</v>
      </c>
      <c r="AI10571">
        <v>1</v>
      </c>
      <c r="AJ10571">
        <v>2</v>
      </c>
      <c r="AK10571">
        <v>14.14</v>
      </c>
      <c r="AN10571" t="s">
        <v>7439</v>
      </c>
      <c r="AO10571">
        <v>3016</v>
      </c>
      <c r="AU10571">
        <v>4.5</v>
      </c>
      <c r="AV10571" t="s">
        <v>832</v>
      </c>
      <c r="AW10571" t="s">
        <v>279</v>
      </c>
      <c r="AX10571" t="s">
        <v>46898</v>
      </c>
    </row>
    <row r="10572" spans="1:50">
      <c r="A10572" s="1">
        <f>HYPERLINK("https://lsnyc.legalserver.org/matter/dynamic-profile/view/1898923","19-1898923")</f>
        <v>0</v>
      </c>
      <c r="B10572" t="s">
        <v>263</v>
      </c>
      <c r="C10572" t="s">
        <v>340</v>
      </c>
      <c r="D10572" t="s">
        <v>770</v>
      </c>
      <c r="F10572" t="s">
        <v>1995</v>
      </c>
      <c r="G10572" t="s">
        <v>5205</v>
      </c>
      <c r="H10572" t="s">
        <v>12274</v>
      </c>
      <c r="I10572" t="s">
        <v>18809</v>
      </c>
      <c r="J10572" t="s">
        <v>18892</v>
      </c>
      <c r="K10572">
        <v>10457</v>
      </c>
      <c r="L10572" t="s">
        <v>18959</v>
      </c>
      <c r="M10572" t="s">
        <v>18959</v>
      </c>
      <c r="O10572" t="s">
        <v>26529</v>
      </c>
      <c r="P10572" t="s">
        <v>26565</v>
      </c>
      <c r="R10572" t="s">
        <v>26578</v>
      </c>
      <c r="S10572" t="s">
        <v>18959</v>
      </c>
      <c r="U10572" t="s">
        <v>26604</v>
      </c>
      <c r="X10572">
        <v>833.4</v>
      </c>
      <c r="Y10572" t="s">
        <v>26650</v>
      </c>
      <c r="Z10572" t="s">
        <v>26663</v>
      </c>
      <c r="AB10572" t="s">
        <v>32050</v>
      </c>
      <c r="AE10572">
        <v>0</v>
      </c>
      <c r="AF10572" t="s">
        <v>45541</v>
      </c>
      <c r="AG10572" t="s">
        <v>19330</v>
      </c>
      <c r="AH10572">
        <v>30</v>
      </c>
      <c r="AI10572">
        <v>1</v>
      </c>
      <c r="AJ10572">
        <v>0</v>
      </c>
      <c r="AK10572">
        <v>0</v>
      </c>
      <c r="AN10572" t="s">
        <v>7439</v>
      </c>
      <c r="AO10572">
        <v>0</v>
      </c>
      <c r="AU10572">
        <v>4.6</v>
      </c>
      <c r="AV10572" t="s">
        <v>797</v>
      </c>
      <c r="AW10572" t="s">
        <v>263</v>
      </c>
    </row>
    <row r="10573" spans="1:50">
      <c r="A10573" s="1">
        <f>HYPERLINK("https://lsnyc.legalserver.org/matter/dynamic-profile/view/1898282","19-1898282")</f>
        <v>0</v>
      </c>
      <c r="B10573" t="s">
        <v>310</v>
      </c>
      <c r="C10573" t="s">
        <v>341</v>
      </c>
      <c r="D10573" t="s">
        <v>771</v>
      </c>
      <c r="E10573" t="s">
        <v>771</v>
      </c>
      <c r="F10573" t="s">
        <v>1113</v>
      </c>
      <c r="G10573" t="s">
        <v>9404</v>
      </c>
      <c r="H10573" t="s">
        <v>16772</v>
      </c>
      <c r="I10573" t="s">
        <v>17331</v>
      </c>
      <c r="J10573" t="s">
        <v>18893</v>
      </c>
      <c r="K10573">
        <v>10025</v>
      </c>
      <c r="L10573" t="s">
        <v>18960</v>
      </c>
      <c r="M10573" t="s">
        <v>18960</v>
      </c>
      <c r="Q10573" t="s">
        <v>26570</v>
      </c>
      <c r="R10573" t="s">
        <v>26583</v>
      </c>
      <c r="U10573" t="s">
        <v>26604</v>
      </c>
      <c r="X10573">
        <v>0</v>
      </c>
      <c r="Y10573" t="s">
        <v>26651</v>
      </c>
      <c r="AA10573" t="s">
        <v>26683</v>
      </c>
      <c r="AB10573" t="s">
        <v>34039</v>
      </c>
      <c r="AE10573">
        <v>0</v>
      </c>
      <c r="AH10573">
        <v>0</v>
      </c>
      <c r="AI10573">
        <v>1</v>
      </c>
      <c r="AJ10573">
        <v>0</v>
      </c>
      <c r="AK10573">
        <v>344.28</v>
      </c>
      <c r="AN10573" t="s">
        <v>7439</v>
      </c>
      <c r="AO10573">
        <v>43000</v>
      </c>
      <c r="AU10573">
        <v>1.6</v>
      </c>
      <c r="AV10573" t="s">
        <v>771</v>
      </c>
      <c r="AW10573" t="s">
        <v>46874</v>
      </c>
    </row>
    <row r="10574" spans="1:50">
      <c r="A10574" s="1">
        <f>HYPERLINK("https://lsnyc.legalserver.org/matter/dynamic-profile/view/1898933","19-1898933")</f>
        <v>0</v>
      </c>
      <c r="B10574" t="s">
        <v>100</v>
      </c>
      <c r="C10574" t="s">
        <v>341</v>
      </c>
      <c r="D10574" t="s">
        <v>771</v>
      </c>
      <c r="E10574" t="s">
        <v>835</v>
      </c>
      <c r="F10574" t="s">
        <v>4855</v>
      </c>
      <c r="G10574" t="s">
        <v>9405</v>
      </c>
      <c r="H10574" t="s">
        <v>16773</v>
      </c>
      <c r="I10574" t="s">
        <v>17423</v>
      </c>
      <c r="J10574" t="s">
        <v>18892</v>
      </c>
      <c r="K10574">
        <v>10469</v>
      </c>
      <c r="L10574" t="s">
        <v>18958</v>
      </c>
      <c r="M10574" t="s">
        <v>18958</v>
      </c>
      <c r="P10574" t="s">
        <v>26564</v>
      </c>
      <c r="Q10574" t="s">
        <v>26570</v>
      </c>
      <c r="R10574" t="s">
        <v>26578</v>
      </c>
      <c r="S10574" t="s">
        <v>18959</v>
      </c>
      <c r="U10574" t="s">
        <v>26604</v>
      </c>
      <c r="X10574">
        <v>1811</v>
      </c>
      <c r="Y10574" t="s">
        <v>26650</v>
      </c>
      <c r="Z10574" t="s">
        <v>26663</v>
      </c>
      <c r="AA10574" t="s">
        <v>26683</v>
      </c>
      <c r="AB10574" t="s">
        <v>32135</v>
      </c>
      <c r="AC10574">
        <v>3760288201</v>
      </c>
      <c r="AE10574">
        <v>2</v>
      </c>
      <c r="AF10574" t="s">
        <v>20460</v>
      </c>
      <c r="AG10574" t="s">
        <v>45556</v>
      </c>
      <c r="AH10574">
        <v>8</v>
      </c>
      <c r="AI10574">
        <v>2</v>
      </c>
      <c r="AJ10574">
        <v>2</v>
      </c>
      <c r="AK10574">
        <v>19.85</v>
      </c>
      <c r="AN10574" t="s">
        <v>7439</v>
      </c>
      <c r="AO10574">
        <v>5112</v>
      </c>
      <c r="AU10574">
        <v>0.1</v>
      </c>
      <c r="AV10574" t="s">
        <v>835</v>
      </c>
      <c r="AW10574" t="s">
        <v>46847</v>
      </c>
      <c r="AX10574" t="s">
        <v>46897</v>
      </c>
    </row>
    <row r="10575" spans="1:50">
      <c r="A10575" s="1">
        <f>HYPERLINK("https://lsnyc.legalserver.org/matter/dynamic-profile/view/1898939","19-1898939")</f>
        <v>0</v>
      </c>
      <c r="B10575" t="s">
        <v>100</v>
      </c>
      <c r="C10575" t="s">
        <v>341</v>
      </c>
      <c r="D10575" t="s">
        <v>771</v>
      </c>
      <c r="E10575" t="s">
        <v>835</v>
      </c>
      <c r="F10575" t="s">
        <v>1258</v>
      </c>
      <c r="G10575" t="s">
        <v>7598</v>
      </c>
      <c r="H10575" t="s">
        <v>13577</v>
      </c>
      <c r="I10575">
        <v>3</v>
      </c>
      <c r="J10575" t="s">
        <v>18892</v>
      </c>
      <c r="K10575">
        <v>10462</v>
      </c>
      <c r="L10575" t="s">
        <v>18958</v>
      </c>
      <c r="M10575" t="s">
        <v>18960</v>
      </c>
      <c r="P10575" t="s">
        <v>26564</v>
      </c>
      <c r="Q10575" t="s">
        <v>26570</v>
      </c>
      <c r="R10575" t="s">
        <v>26578</v>
      </c>
      <c r="S10575" t="s">
        <v>18959</v>
      </c>
      <c r="U10575" t="s">
        <v>26604</v>
      </c>
      <c r="X10575">
        <v>850</v>
      </c>
      <c r="Y10575" t="s">
        <v>26650</v>
      </c>
      <c r="Z10575" t="s">
        <v>26663</v>
      </c>
      <c r="AA10575" t="s">
        <v>26683</v>
      </c>
      <c r="AB10575" t="s">
        <v>30941</v>
      </c>
      <c r="AD10575" t="s">
        <v>41172</v>
      </c>
      <c r="AE10575">
        <v>2</v>
      </c>
      <c r="AF10575" t="s">
        <v>20460</v>
      </c>
      <c r="AG10575" t="s">
        <v>45562</v>
      </c>
      <c r="AH10575">
        <v>1</v>
      </c>
      <c r="AI10575">
        <v>1</v>
      </c>
      <c r="AJ10575">
        <v>0</v>
      </c>
      <c r="AK10575">
        <v>96.16</v>
      </c>
      <c r="AN10575" t="s">
        <v>7439</v>
      </c>
      <c r="AO10575">
        <v>12010.68</v>
      </c>
      <c r="AU10575">
        <v>4.1</v>
      </c>
      <c r="AV10575" t="s">
        <v>772</v>
      </c>
      <c r="AW10575" t="s">
        <v>46847</v>
      </c>
      <c r="AX10575" t="s">
        <v>46897</v>
      </c>
    </row>
    <row r="10576" spans="1:50">
      <c r="A10576" s="1">
        <f>HYPERLINK("https://lsnyc.legalserver.org/matter/dynamic-profile/view/1898954","19-1898954")</f>
        <v>0</v>
      </c>
      <c r="B10576" t="s">
        <v>100</v>
      </c>
      <c r="C10576" t="s">
        <v>341</v>
      </c>
      <c r="D10576" t="s">
        <v>771</v>
      </c>
      <c r="E10576" t="s">
        <v>834</v>
      </c>
      <c r="F10576" t="s">
        <v>1251</v>
      </c>
      <c r="G10576" t="s">
        <v>5711</v>
      </c>
      <c r="H10576" t="s">
        <v>11854</v>
      </c>
      <c r="I10576">
        <v>205</v>
      </c>
      <c r="J10576" t="s">
        <v>18892</v>
      </c>
      <c r="K10576">
        <v>10457</v>
      </c>
      <c r="L10576" t="s">
        <v>18958</v>
      </c>
      <c r="M10576" t="s">
        <v>18960</v>
      </c>
      <c r="P10576" t="s">
        <v>26564</v>
      </c>
      <c r="Q10576" t="s">
        <v>26570</v>
      </c>
      <c r="R10576" t="s">
        <v>26578</v>
      </c>
      <c r="S10576" t="s">
        <v>18959</v>
      </c>
      <c r="U10576" t="s">
        <v>26604</v>
      </c>
      <c r="X10576">
        <v>530</v>
      </c>
      <c r="Y10576" t="s">
        <v>26650</v>
      </c>
      <c r="Z10576" t="s">
        <v>26663</v>
      </c>
      <c r="AA10576" t="s">
        <v>26683</v>
      </c>
      <c r="AB10576" t="s">
        <v>34040</v>
      </c>
      <c r="AD10576" t="s">
        <v>44964</v>
      </c>
      <c r="AE10576">
        <v>2</v>
      </c>
      <c r="AF10576" t="s">
        <v>20460</v>
      </c>
      <c r="AG10576" t="s">
        <v>45556</v>
      </c>
      <c r="AH10576">
        <v>1</v>
      </c>
      <c r="AI10576">
        <v>2</v>
      </c>
      <c r="AJ10576">
        <v>0</v>
      </c>
      <c r="AK10576">
        <v>236.64</v>
      </c>
      <c r="AN10576" t="s">
        <v>7439</v>
      </c>
      <c r="AO10576">
        <v>40016</v>
      </c>
      <c r="AU10576">
        <v>0.1</v>
      </c>
      <c r="AV10576" t="s">
        <v>834</v>
      </c>
      <c r="AW10576" t="s">
        <v>46847</v>
      </c>
      <c r="AX10576" t="s">
        <v>46897</v>
      </c>
    </row>
    <row r="10577" spans="1:50">
      <c r="A10577" s="1">
        <f>HYPERLINK("https://lsnyc.legalserver.org/matter/dynamic-profile/view/1898984","19-1898984")</f>
        <v>0</v>
      </c>
      <c r="B10577" t="s">
        <v>113</v>
      </c>
      <c r="C10577" t="s">
        <v>341</v>
      </c>
      <c r="D10577" t="s">
        <v>771</v>
      </c>
      <c r="E10577" t="s">
        <v>797</v>
      </c>
      <c r="F10577" t="s">
        <v>1602</v>
      </c>
      <c r="G10577" t="s">
        <v>6134</v>
      </c>
      <c r="H10577" t="s">
        <v>11133</v>
      </c>
      <c r="I10577">
        <v>804</v>
      </c>
      <c r="J10577" t="s">
        <v>18892</v>
      </c>
      <c r="K10577">
        <v>10457</v>
      </c>
      <c r="L10577" t="s">
        <v>18960</v>
      </c>
      <c r="M10577" t="s">
        <v>18960</v>
      </c>
      <c r="P10577" t="s">
        <v>26564</v>
      </c>
      <c r="Q10577" t="s">
        <v>26570</v>
      </c>
      <c r="R10577" t="s">
        <v>26591</v>
      </c>
      <c r="U10577" t="s">
        <v>26604</v>
      </c>
      <c r="X10577">
        <v>1058</v>
      </c>
      <c r="Y10577" t="s">
        <v>26650</v>
      </c>
      <c r="AA10577" t="s">
        <v>26683</v>
      </c>
      <c r="AB10577" t="s">
        <v>28315</v>
      </c>
      <c r="AD10577" t="s">
        <v>38363</v>
      </c>
      <c r="AE10577">
        <v>152</v>
      </c>
      <c r="AH10577">
        <v>7</v>
      </c>
      <c r="AI10577">
        <v>1</v>
      </c>
      <c r="AJ10577">
        <v>1</v>
      </c>
      <c r="AK10577">
        <v>183.32</v>
      </c>
      <c r="AN10577" t="s">
        <v>7439</v>
      </c>
      <c r="AO10577">
        <v>31000</v>
      </c>
      <c r="AP10577" t="s">
        <v>46311</v>
      </c>
      <c r="AU10577">
        <v>1</v>
      </c>
      <c r="AV10577" t="s">
        <v>771</v>
      </c>
      <c r="AW10577" t="s">
        <v>46857</v>
      </c>
    </row>
    <row r="10578" spans="1:50">
      <c r="A10578" s="1">
        <f>HYPERLINK("https://lsnyc.legalserver.org/matter/dynamic-profile/view/1899015","19-1899015")</f>
        <v>0</v>
      </c>
      <c r="B10578" t="s">
        <v>230</v>
      </c>
      <c r="C10578" t="s">
        <v>340</v>
      </c>
      <c r="D10578" t="s">
        <v>771</v>
      </c>
      <c r="F10578" t="s">
        <v>4856</v>
      </c>
      <c r="G10578" t="s">
        <v>9406</v>
      </c>
      <c r="H10578" t="s">
        <v>14972</v>
      </c>
      <c r="I10578" t="s">
        <v>17696</v>
      </c>
      <c r="J10578" t="s">
        <v>18894</v>
      </c>
      <c r="K10578">
        <v>11226</v>
      </c>
      <c r="L10578" t="s">
        <v>18959</v>
      </c>
      <c r="M10578" t="s">
        <v>18960</v>
      </c>
      <c r="N10578" t="s">
        <v>26090</v>
      </c>
      <c r="O10578" t="s">
        <v>26523</v>
      </c>
      <c r="P10578" t="s">
        <v>26560</v>
      </c>
      <c r="R10578" t="s">
        <v>26588</v>
      </c>
      <c r="U10578" t="s">
        <v>26604</v>
      </c>
      <c r="X10578">
        <v>1070</v>
      </c>
      <c r="Y10578" t="s">
        <v>26652</v>
      </c>
      <c r="Z10578" t="s">
        <v>26664</v>
      </c>
      <c r="AB10578" t="s">
        <v>34041</v>
      </c>
      <c r="AD10578" t="s">
        <v>44965</v>
      </c>
      <c r="AE10578">
        <v>95</v>
      </c>
      <c r="AH10578">
        <v>9</v>
      </c>
      <c r="AI10578">
        <v>2</v>
      </c>
      <c r="AJ10578">
        <v>0</v>
      </c>
      <c r="AK10578">
        <v>281.5</v>
      </c>
      <c r="AN10578" t="s">
        <v>7439</v>
      </c>
      <c r="AO10578">
        <v>47602</v>
      </c>
      <c r="AU10578">
        <v>13.3</v>
      </c>
      <c r="AV10578" t="s">
        <v>831</v>
      </c>
      <c r="AW10578" t="s">
        <v>46862</v>
      </c>
    </row>
    <row r="10579" spans="1:50">
      <c r="A10579" s="1">
        <f>HYPERLINK("https://lsnyc.legalserver.org/matter/dynamic-profile/view/1899005","19-1899005")</f>
        <v>0</v>
      </c>
      <c r="B10579" t="s">
        <v>113</v>
      </c>
      <c r="C10579" t="s">
        <v>340</v>
      </c>
      <c r="D10579" t="s">
        <v>771</v>
      </c>
      <c r="F10579" t="s">
        <v>4857</v>
      </c>
      <c r="G10579" t="s">
        <v>6849</v>
      </c>
      <c r="H10579" t="s">
        <v>16774</v>
      </c>
      <c r="I10579" t="s">
        <v>17643</v>
      </c>
      <c r="J10579" t="s">
        <v>18892</v>
      </c>
      <c r="K10579">
        <v>10453</v>
      </c>
      <c r="L10579" t="s">
        <v>18960</v>
      </c>
      <c r="M10579" t="s">
        <v>18960</v>
      </c>
      <c r="R10579" t="s">
        <v>26591</v>
      </c>
      <c r="U10579" t="s">
        <v>26604</v>
      </c>
      <c r="X10579">
        <v>0</v>
      </c>
      <c r="Y10579" t="s">
        <v>26650</v>
      </c>
      <c r="AB10579" t="s">
        <v>29012</v>
      </c>
      <c r="AD10579" t="s">
        <v>44966</v>
      </c>
      <c r="AE10579">
        <v>0</v>
      </c>
      <c r="AH10579">
        <v>0</v>
      </c>
      <c r="AI10579">
        <v>1</v>
      </c>
      <c r="AJ10579">
        <v>1</v>
      </c>
      <c r="AK10579">
        <v>16.45</v>
      </c>
      <c r="AN10579" t="s">
        <v>7439</v>
      </c>
      <c r="AO10579">
        <v>2782</v>
      </c>
      <c r="AU10579">
        <v>0.5</v>
      </c>
      <c r="AV10579" t="s">
        <v>771</v>
      </c>
      <c r="AW10579" t="s">
        <v>46849</v>
      </c>
    </row>
    <row r="10580" spans="1:50">
      <c r="A10580" s="1">
        <f>HYPERLINK("https://lsnyc.legalserver.org/matter/dynamic-profile/view/1899035","19-1899035")</f>
        <v>0</v>
      </c>
      <c r="B10580" t="s">
        <v>322</v>
      </c>
      <c r="C10580" t="s">
        <v>340</v>
      </c>
      <c r="D10580" t="s">
        <v>771</v>
      </c>
      <c r="F10580" t="s">
        <v>881</v>
      </c>
      <c r="G10580" t="s">
        <v>5125</v>
      </c>
      <c r="H10580" t="s">
        <v>16775</v>
      </c>
      <c r="I10580" t="s">
        <v>17322</v>
      </c>
      <c r="J10580" t="s">
        <v>18893</v>
      </c>
      <c r="K10580">
        <v>10035</v>
      </c>
      <c r="L10580" t="s">
        <v>18960</v>
      </c>
      <c r="M10580" t="s">
        <v>18960</v>
      </c>
      <c r="R10580" t="s">
        <v>26591</v>
      </c>
      <c r="U10580" t="s">
        <v>26605</v>
      </c>
      <c r="X10580">
        <v>215</v>
      </c>
      <c r="Y10580" t="s">
        <v>26651</v>
      </c>
      <c r="AB10580" t="s">
        <v>30470</v>
      </c>
      <c r="AD10580" t="s">
        <v>44967</v>
      </c>
      <c r="AE10580">
        <v>0</v>
      </c>
      <c r="AF10580" t="s">
        <v>45542</v>
      </c>
      <c r="AG10580" t="s">
        <v>19330</v>
      </c>
      <c r="AH10580">
        <v>62</v>
      </c>
      <c r="AI10580">
        <v>1</v>
      </c>
      <c r="AJ10580">
        <v>0</v>
      </c>
      <c r="AK10580">
        <v>17.29</v>
      </c>
      <c r="AN10580" t="s">
        <v>7439</v>
      </c>
      <c r="AO10580">
        <v>2160</v>
      </c>
      <c r="AU10580">
        <v>1</v>
      </c>
      <c r="AV10580" t="s">
        <v>771</v>
      </c>
      <c r="AW10580" t="s">
        <v>46846</v>
      </c>
    </row>
    <row r="10581" spans="1:50">
      <c r="A10581" s="1">
        <f>HYPERLINK("https://lsnyc.legalserver.org/matter/dynamic-profile/view/1898974","19-1898974")</f>
        <v>0</v>
      </c>
      <c r="B10581" t="s">
        <v>322</v>
      </c>
      <c r="C10581" t="s">
        <v>340</v>
      </c>
      <c r="D10581" t="s">
        <v>771</v>
      </c>
      <c r="F10581" t="s">
        <v>1775</v>
      </c>
      <c r="G10581" t="s">
        <v>5208</v>
      </c>
      <c r="H10581" t="s">
        <v>16776</v>
      </c>
      <c r="I10581" t="s">
        <v>18743</v>
      </c>
      <c r="J10581" t="s">
        <v>18893</v>
      </c>
      <c r="K10581">
        <v>10002</v>
      </c>
      <c r="L10581" t="s">
        <v>18960</v>
      </c>
      <c r="M10581" t="s">
        <v>18960</v>
      </c>
      <c r="P10581" t="s">
        <v>26564</v>
      </c>
      <c r="R10581" t="s">
        <v>26591</v>
      </c>
      <c r="U10581" t="s">
        <v>26605</v>
      </c>
      <c r="X10581">
        <v>255.6</v>
      </c>
      <c r="Y10581" t="s">
        <v>26651</v>
      </c>
      <c r="AB10581" t="s">
        <v>31279</v>
      </c>
      <c r="AD10581" t="s">
        <v>44968</v>
      </c>
      <c r="AE10581">
        <v>0</v>
      </c>
      <c r="AF10581" t="s">
        <v>45549</v>
      </c>
      <c r="AH10581">
        <v>11</v>
      </c>
      <c r="AI10581">
        <v>1</v>
      </c>
      <c r="AJ10581">
        <v>0</v>
      </c>
      <c r="AK10581">
        <v>81.86</v>
      </c>
      <c r="AN10581" t="s">
        <v>7439</v>
      </c>
      <c r="AO10581">
        <v>10224</v>
      </c>
      <c r="AU10581">
        <v>0.4</v>
      </c>
      <c r="AV10581" t="s">
        <v>771</v>
      </c>
      <c r="AW10581" t="s">
        <v>46849</v>
      </c>
    </row>
    <row r="10582" spans="1:50">
      <c r="A10582" s="1">
        <f>HYPERLINK("https://lsnyc.legalserver.org/matter/dynamic-profile/view/1898993","19-1898993")</f>
        <v>0</v>
      </c>
      <c r="B10582" t="s">
        <v>186</v>
      </c>
      <c r="C10582" t="s">
        <v>340</v>
      </c>
      <c r="D10582" t="s">
        <v>771</v>
      </c>
      <c r="F10582" t="s">
        <v>1253</v>
      </c>
      <c r="G10582" t="s">
        <v>4195</v>
      </c>
      <c r="H10582" t="s">
        <v>12958</v>
      </c>
      <c r="I10582" t="s">
        <v>17380</v>
      </c>
      <c r="J10582" t="s">
        <v>18894</v>
      </c>
      <c r="K10582">
        <v>11206</v>
      </c>
      <c r="L10582" t="s">
        <v>18960</v>
      </c>
      <c r="M10582" t="s">
        <v>18960</v>
      </c>
      <c r="N10582" t="s">
        <v>26091</v>
      </c>
      <c r="O10582" t="s">
        <v>26523</v>
      </c>
      <c r="R10582" t="s">
        <v>26591</v>
      </c>
      <c r="U10582" t="s">
        <v>26605</v>
      </c>
      <c r="X10582">
        <v>912</v>
      </c>
      <c r="Y10582" t="s">
        <v>26652</v>
      </c>
      <c r="AB10582" t="s">
        <v>32732</v>
      </c>
      <c r="AD10582" t="s">
        <v>44969</v>
      </c>
      <c r="AE10582">
        <v>0</v>
      </c>
      <c r="AF10582" t="s">
        <v>45549</v>
      </c>
      <c r="AH10582">
        <v>27</v>
      </c>
      <c r="AI10582">
        <v>1</v>
      </c>
      <c r="AJ10582">
        <v>0</v>
      </c>
      <c r="AK10582">
        <v>43.23</v>
      </c>
      <c r="AN10582" t="s">
        <v>7439</v>
      </c>
      <c r="AO10582">
        <v>5400</v>
      </c>
      <c r="AU10582">
        <v>7</v>
      </c>
      <c r="AV10582" t="s">
        <v>828</v>
      </c>
      <c r="AW10582" t="s">
        <v>46859</v>
      </c>
    </row>
    <row r="10583" spans="1:50">
      <c r="A10583" s="1">
        <f>HYPERLINK("https://lsnyc.legalserver.org/matter/dynamic-profile/view/1898936","19-1898936")</f>
        <v>0</v>
      </c>
      <c r="B10583" t="s">
        <v>158</v>
      </c>
      <c r="C10583" t="s">
        <v>340</v>
      </c>
      <c r="D10583" t="s">
        <v>771</v>
      </c>
      <c r="F10583" t="s">
        <v>2825</v>
      </c>
      <c r="G10583" t="s">
        <v>9400</v>
      </c>
      <c r="H10583" t="s">
        <v>16777</v>
      </c>
      <c r="I10583" t="s">
        <v>17362</v>
      </c>
      <c r="J10583" t="s">
        <v>18894</v>
      </c>
      <c r="K10583">
        <v>11221</v>
      </c>
      <c r="L10583" t="s">
        <v>18960</v>
      </c>
      <c r="M10583" t="s">
        <v>18960</v>
      </c>
      <c r="N10583" t="s">
        <v>26092</v>
      </c>
      <c r="O10583" t="s">
        <v>26523</v>
      </c>
      <c r="P10583" t="s">
        <v>26560</v>
      </c>
      <c r="R10583" t="s">
        <v>26588</v>
      </c>
      <c r="S10583" t="s">
        <v>18959</v>
      </c>
      <c r="U10583" t="s">
        <v>26604</v>
      </c>
      <c r="V10583" t="s">
        <v>26610</v>
      </c>
      <c r="X10583">
        <v>0</v>
      </c>
      <c r="Y10583" t="s">
        <v>26652</v>
      </c>
      <c r="Z10583" t="s">
        <v>26669</v>
      </c>
      <c r="AB10583" t="s">
        <v>34042</v>
      </c>
      <c r="AD10583" t="s">
        <v>44970</v>
      </c>
      <c r="AE10583">
        <v>0</v>
      </c>
      <c r="AF10583" t="s">
        <v>45541</v>
      </c>
      <c r="AG10583" t="s">
        <v>45556</v>
      </c>
      <c r="AH10583">
        <v>0</v>
      </c>
      <c r="AI10583">
        <v>1</v>
      </c>
      <c r="AJ10583">
        <v>1</v>
      </c>
      <c r="AK10583">
        <v>95.93000000000001</v>
      </c>
      <c r="AN10583" t="s">
        <v>7439</v>
      </c>
      <c r="AO10583">
        <v>16222</v>
      </c>
      <c r="AU10583">
        <v>7.2</v>
      </c>
      <c r="AV10583" t="s">
        <v>828</v>
      </c>
      <c r="AW10583" t="s">
        <v>281</v>
      </c>
    </row>
    <row r="10584" spans="1:50">
      <c r="A10584" s="1">
        <f>HYPERLINK("https://lsnyc.legalserver.org/matter/dynamic-profile/view/1898925","19-1898925")</f>
        <v>0</v>
      </c>
      <c r="B10584" t="s">
        <v>251</v>
      </c>
      <c r="C10584" t="s">
        <v>340</v>
      </c>
      <c r="D10584" t="s">
        <v>771</v>
      </c>
      <c r="F10584" t="s">
        <v>1036</v>
      </c>
      <c r="G10584" t="s">
        <v>5973</v>
      </c>
      <c r="H10584" t="s">
        <v>10523</v>
      </c>
      <c r="I10584">
        <v>302</v>
      </c>
      <c r="J10584" t="s">
        <v>18892</v>
      </c>
      <c r="K10584">
        <v>10457</v>
      </c>
      <c r="L10584" t="s">
        <v>18958</v>
      </c>
      <c r="M10584" t="s">
        <v>18958</v>
      </c>
      <c r="N10584" t="s">
        <v>26093</v>
      </c>
      <c r="O10584" t="s">
        <v>26523</v>
      </c>
      <c r="P10584" t="s">
        <v>26565</v>
      </c>
      <c r="R10584" t="s">
        <v>26579</v>
      </c>
      <c r="U10584" t="s">
        <v>26604</v>
      </c>
      <c r="V10584" t="s">
        <v>26609</v>
      </c>
      <c r="X10584">
        <v>0</v>
      </c>
      <c r="Y10584" t="s">
        <v>26650</v>
      </c>
      <c r="Z10584" t="s">
        <v>26664</v>
      </c>
      <c r="AB10584" t="s">
        <v>34043</v>
      </c>
      <c r="AD10584" t="s">
        <v>44971</v>
      </c>
      <c r="AE10584">
        <v>0</v>
      </c>
      <c r="AG10584" t="s">
        <v>45556</v>
      </c>
      <c r="AH10584">
        <v>0</v>
      </c>
      <c r="AI10584">
        <v>1</v>
      </c>
      <c r="AJ10584">
        <v>0</v>
      </c>
      <c r="AK10584">
        <v>82.43000000000001</v>
      </c>
      <c r="AN10584" t="s">
        <v>45581</v>
      </c>
      <c r="AO10584">
        <v>10296</v>
      </c>
      <c r="AU10584">
        <v>1.5</v>
      </c>
      <c r="AV10584" t="s">
        <v>831</v>
      </c>
      <c r="AW10584" t="s">
        <v>335</v>
      </c>
      <c r="AX10584" t="s">
        <v>46897</v>
      </c>
    </row>
    <row r="10585" spans="1:50">
      <c r="A10585" s="1">
        <f>HYPERLINK("https://lsnyc.legalserver.org/matter/dynamic-profile/view/1899021","19-1899021")</f>
        <v>0</v>
      </c>
      <c r="B10585" t="s">
        <v>56</v>
      </c>
      <c r="C10585" t="s">
        <v>340</v>
      </c>
      <c r="D10585" t="s">
        <v>771</v>
      </c>
      <c r="F10585" t="s">
        <v>4858</v>
      </c>
      <c r="G10585" t="s">
        <v>6064</v>
      </c>
      <c r="H10585" t="s">
        <v>16778</v>
      </c>
      <c r="I10585" t="s">
        <v>17315</v>
      </c>
      <c r="J10585" t="s">
        <v>18892</v>
      </c>
      <c r="K10585">
        <v>10459</v>
      </c>
      <c r="L10585" t="s">
        <v>18958</v>
      </c>
      <c r="M10585" t="s">
        <v>18960</v>
      </c>
      <c r="N10585" t="s">
        <v>26094</v>
      </c>
      <c r="O10585" t="s">
        <v>26523</v>
      </c>
      <c r="P10585" t="s">
        <v>26560</v>
      </c>
      <c r="R10585" t="s">
        <v>26578</v>
      </c>
      <c r="U10585" t="s">
        <v>26604</v>
      </c>
      <c r="V10585" t="s">
        <v>26609</v>
      </c>
      <c r="X10585">
        <v>860</v>
      </c>
      <c r="Y10585" t="s">
        <v>26650</v>
      </c>
      <c r="Z10585" t="s">
        <v>26668</v>
      </c>
      <c r="AB10585" t="s">
        <v>34044</v>
      </c>
      <c r="AE10585">
        <v>0</v>
      </c>
      <c r="AH10585">
        <v>36</v>
      </c>
      <c r="AI10585">
        <v>3</v>
      </c>
      <c r="AJ10585">
        <v>2</v>
      </c>
      <c r="AK10585">
        <v>119.32</v>
      </c>
      <c r="AN10585" t="s">
        <v>7439</v>
      </c>
      <c r="AO10585">
        <v>36000</v>
      </c>
      <c r="AP10585" t="s">
        <v>46312</v>
      </c>
      <c r="AU10585">
        <v>5</v>
      </c>
      <c r="AV10585" t="s">
        <v>809</v>
      </c>
      <c r="AW10585" t="s">
        <v>46836</v>
      </c>
      <c r="AX10585" t="s">
        <v>46897</v>
      </c>
    </row>
    <row r="10586" spans="1:50">
      <c r="A10586" s="1">
        <f>HYPERLINK("https://lsnyc.legalserver.org/matter/dynamic-profile/view/1898959","19-1898959")</f>
        <v>0</v>
      </c>
      <c r="B10586" t="s">
        <v>56</v>
      </c>
      <c r="C10586" t="s">
        <v>340</v>
      </c>
      <c r="D10586" t="s">
        <v>771</v>
      </c>
      <c r="F10586" t="s">
        <v>4859</v>
      </c>
      <c r="G10586" t="s">
        <v>9407</v>
      </c>
      <c r="H10586" t="s">
        <v>16779</v>
      </c>
      <c r="I10586" t="s">
        <v>18202</v>
      </c>
      <c r="J10586" t="s">
        <v>18892</v>
      </c>
      <c r="K10586">
        <v>10469</v>
      </c>
      <c r="L10586" t="s">
        <v>18960</v>
      </c>
      <c r="M10586" t="s">
        <v>18960</v>
      </c>
      <c r="N10586" t="s">
        <v>26095</v>
      </c>
      <c r="O10586" t="s">
        <v>26524</v>
      </c>
      <c r="P10586" t="s">
        <v>26560</v>
      </c>
      <c r="R10586" t="s">
        <v>26577</v>
      </c>
      <c r="U10586" t="s">
        <v>26604</v>
      </c>
      <c r="X10586">
        <v>3500</v>
      </c>
      <c r="Y10586" t="s">
        <v>26650</v>
      </c>
      <c r="Z10586" t="s">
        <v>26668</v>
      </c>
      <c r="AB10586" t="s">
        <v>34045</v>
      </c>
      <c r="AE10586">
        <v>0</v>
      </c>
      <c r="AF10586" t="s">
        <v>45547</v>
      </c>
      <c r="AH10586">
        <v>3</v>
      </c>
      <c r="AI10586">
        <v>1</v>
      </c>
      <c r="AJ10586">
        <v>4</v>
      </c>
      <c r="AK10586">
        <v>47.81</v>
      </c>
      <c r="AN10586" t="s">
        <v>7439</v>
      </c>
      <c r="AO10586">
        <v>14424</v>
      </c>
      <c r="AP10586" t="s">
        <v>46076</v>
      </c>
      <c r="AU10586">
        <v>0</v>
      </c>
      <c r="AW10586" t="s">
        <v>46836</v>
      </c>
    </row>
    <row r="10587" spans="1:50">
      <c r="A10587" s="1">
        <f>HYPERLINK("https://lsnyc.legalserver.org/matter/dynamic-profile/view/1899040","19-1899040")</f>
        <v>0</v>
      </c>
      <c r="B10587" t="s">
        <v>121</v>
      </c>
      <c r="C10587" t="s">
        <v>340</v>
      </c>
      <c r="D10587" t="s">
        <v>771</v>
      </c>
      <c r="F10587" t="s">
        <v>1471</v>
      </c>
      <c r="G10587" t="s">
        <v>7025</v>
      </c>
      <c r="H10587" t="s">
        <v>14668</v>
      </c>
      <c r="I10587" t="s">
        <v>17343</v>
      </c>
      <c r="J10587" t="s">
        <v>18892</v>
      </c>
      <c r="K10587">
        <v>10451</v>
      </c>
      <c r="L10587" t="s">
        <v>18960</v>
      </c>
      <c r="M10587" t="s">
        <v>18960</v>
      </c>
      <c r="N10587" t="s">
        <v>26096</v>
      </c>
      <c r="O10587" t="s">
        <v>26526</v>
      </c>
      <c r="P10587" t="s">
        <v>26560</v>
      </c>
      <c r="R10587" t="s">
        <v>26592</v>
      </c>
      <c r="U10587" t="s">
        <v>26604</v>
      </c>
      <c r="X10587">
        <v>400</v>
      </c>
      <c r="Y10587" t="s">
        <v>26650</v>
      </c>
      <c r="Z10587" t="s">
        <v>26659</v>
      </c>
      <c r="AB10587" t="s">
        <v>32161</v>
      </c>
      <c r="AC10587" t="s">
        <v>36303</v>
      </c>
      <c r="AD10587" t="s">
        <v>42512</v>
      </c>
      <c r="AE10587">
        <v>0</v>
      </c>
      <c r="AF10587" t="s">
        <v>45549</v>
      </c>
      <c r="AH10587">
        <v>16</v>
      </c>
      <c r="AI10587">
        <v>3</v>
      </c>
      <c r="AJ10587">
        <v>1</v>
      </c>
      <c r="AK10587">
        <v>14.45</v>
      </c>
      <c r="AN10587" t="s">
        <v>7439</v>
      </c>
      <c r="AO10587">
        <v>3720</v>
      </c>
      <c r="AU10587">
        <v>0.8</v>
      </c>
      <c r="AV10587" t="s">
        <v>823</v>
      </c>
      <c r="AW10587" t="s">
        <v>46836</v>
      </c>
    </row>
    <row r="10588" spans="1:50">
      <c r="A10588" s="1">
        <f>HYPERLINK("https://lsnyc.legalserver.org/matter/dynamic-profile/view/1899008","19-1899008")</f>
        <v>0</v>
      </c>
      <c r="B10588" t="s">
        <v>188</v>
      </c>
      <c r="C10588" t="s">
        <v>340</v>
      </c>
      <c r="D10588" t="s">
        <v>771</v>
      </c>
      <c r="F10588" t="s">
        <v>1371</v>
      </c>
      <c r="G10588" t="s">
        <v>5191</v>
      </c>
      <c r="H10588" t="s">
        <v>16780</v>
      </c>
      <c r="I10588" t="s">
        <v>18171</v>
      </c>
      <c r="J10588" t="s">
        <v>18892</v>
      </c>
      <c r="K10588">
        <v>10452</v>
      </c>
      <c r="L10588" t="s">
        <v>18960</v>
      </c>
      <c r="M10588" t="s">
        <v>18960</v>
      </c>
      <c r="R10588" t="s">
        <v>26591</v>
      </c>
      <c r="U10588" t="s">
        <v>26604</v>
      </c>
      <c r="X10588">
        <v>1303</v>
      </c>
      <c r="Y10588" t="s">
        <v>26650</v>
      </c>
      <c r="Z10588" t="s">
        <v>26668</v>
      </c>
      <c r="AB10588" t="s">
        <v>28669</v>
      </c>
      <c r="AD10588" t="s">
        <v>44972</v>
      </c>
      <c r="AE10588">
        <v>0</v>
      </c>
      <c r="AH10588">
        <v>1</v>
      </c>
      <c r="AI10588">
        <v>1</v>
      </c>
      <c r="AJ10588">
        <v>1</v>
      </c>
      <c r="AK10588">
        <v>0</v>
      </c>
      <c r="AN10588" t="s">
        <v>45581</v>
      </c>
      <c r="AO10588">
        <v>0</v>
      </c>
      <c r="AU10588">
        <v>1.2</v>
      </c>
      <c r="AV10588" t="s">
        <v>808</v>
      </c>
      <c r="AW10588" t="s">
        <v>46858</v>
      </c>
    </row>
    <row r="10589" spans="1:50">
      <c r="A10589" s="1">
        <f>HYPERLINK("https://lsnyc.legalserver.org/matter/dynamic-profile/view/1898754","19-1898754")</f>
        <v>0</v>
      </c>
      <c r="B10589" t="s">
        <v>62</v>
      </c>
      <c r="C10589" t="s">
        <v>340</v>
      </c>
      <c r="D10589" t="s">
        <v>771</v>
      </c>
      <c r="F10589" t="s">
        <v>4860</v>
      </c>
      <c r="G10589" t="s">
        <v>7354</v>
      </c>
      <c r="H10589" t="s">
        <v>16417</v>
      </c>
      <c r="I10589" t="s">
        <v>17965</v>
      </c>
      <c r="J10589" t="s">
        <v>18893</v>
      </c>
      <c r="K10589">
        <v>10037</v>
      </c>
      <c r="L10589" t="s">
        <v>18959</v>
      </c>
      <c r="M10589" t="s">
        <v>18960</v>
      </c>
      <c r="N10589" t="s">
        <v>26097</v>
      </c>
      <c r="O10589" t="s">
        <v>26524</v>
      </c>
      <c r="P10589" t="s">
        <v>26560</v>
      </c>
      <c r="R10589" t="s">
        <v>26582</v>
      </c>
      <c r="S10589" t="s">
        <v>18959</v>
      </c>
      <c r="U10589" t="s">
        <v>26604</v>
      </c>
      <c r="V10589" t="s">
        <v>26610</v>
      </c>
      <c r="X10589">
        <v>1925</v>
      </c>
      <c r="Y10589" t="s">
        <v>26651</v>
      </c>
      <c r="Z10589" t="s">
        <v>26659</v>
      </c>
      <c r="AB10589" t="s">
        <v>29859</v>
      </c>
      <c r="AD10589" t="s">
        <v>44973</v>
      </c>
      <c r="AE10589">
        <v>0</v>
      </c>
      <c r="AF10589" t="s">
        <v>45547</v>
      </c>
      <c r="AG10589" t="s">
        <v>19330</v>
      </c>
      <c r="AH10589">
        <v>8</v>
      </c>
      <c r="AI10589">
        <v>1</v>
      </c>
      <c r="AJ10589">
        <v>0</v>
      </c>
      <c r="AK10589">
        <v>0</v>
      </c>
      <c r="AN10589" t="s">
        <v>7439</v>
      </c>
      <c r="AO10589">
        <v>0</v>
      </c>
      <c r="AU10589">
        <v>3.7</v>
      </c>
      <c r="AV10589" t="s">
        <v>821</v>
      </c>
      <c r="AW10589" t="s">
        <v>314</v>
      </c>
      <c r="AX10589" t="s">
        <v>19330</v>
      </c>
    </row>
    <row r="10590" spans="1:50">
      <c r="A10590" s="1">
        <f>HYPERLINK("https://lsnyc.legalserver.org/matter/dynamic-profile/view/1899046","19-1899046")</f>
        <v>0</v>
      </c>
      <c r="B10590" t="s">
        <v>245</v>
      </c>
      <c r="C10590" t="s">
        <v>340</v>
      </c>
      <c r="D10590" t="s">
        <v>811</v>
      </c>
      <c r="F10590" t="s">
        <v>3842</v>
      </c>
      <c r="G10590" t="s">
        <v>5100</v>
      </c>
      <c r="H10590" t="s">
        <v>14232</v>
      </c>
      <c r="I10590" t="s">
        <v>17757</v>
      </c>
      <c r="J10590" t="s">
        <v>18892</v>
      </c>
      <c r="K10590">
        <v>10457</v>
      </c>
      <c r="L10590" t="s">
        <v>18958</v>
      </c>
      <c r="M10590" t="s">
        <v>18960</v>
      </c>
      <c r="N10590" t="s">
        <v>26098</v>
      </c>
      <c r="O10590" t="s">
        <v>26523</v>
      </c>
      <c r="R10590" t="s">
        <v>26579</v>
      </c>
      <c r="S10590" t="s">
        <v>18959</v>
      </c>
      <c r="U10590" t="s">
        <v>26604</v>
      </c>
      <c r="X10590">
        <v>0</v>
      </c>
      <c r="Y10590" t="s">
        <v>26650</v>
      </c>
      <c r="Z10590" t="s">
        <v>26664</v>
      </c>
      <c r="AB10590" t="s">
        <v>34046</v>
      </c>
      <c r="AE10590">
        <v>0</v>
      </c>
      <c r="AG10590" t="s">
        <v>45556</v>
      </c>
      <c r="AH10590">
        <v>0</v>
      </c>
      <c r="AI10590">
        <v>1</v>
      </c>
      <c r="AJ10590">
        <v>1</v>
      </c>
      <c r="AK10590">
        <v>88.7</v>
      </c>
      <c r="AN10590" t="s">
        <v>7439</v>
      </c>
      <c r="AO10590">
        <v>15000</v>
      </c>
      <c r="AU10590">
        <v>0.75</v>
      </c>
      <c r="AV10590" t="s">
        <v>834</v>
      </c>
      <c r="AW10590" t="s">
        <v>46870</v>
      </c>
      <c r="AX10590" t="s">
        <v>46897</v>
      </c>
    </row>
    <row r="10591" spans="1:50">
      <c r="A10591" s="1">
        <f>HYPERLINK("https://lsnyc.legalserver.org/matter/dynamic-profile/view/1899161","19-1899161")</f>
        <v>0</v>
      </c>
      <c r="B10591" t="s">
        <v>334</v>
      </c>
      <c r="C10591" t="s">
        <v>340</v>
      </c>
      <c r="D10591" t="s">
        <v>811</v>
      </c>
      <c r="F10591" t="s">
        <v>974</v>
      </c>
      <c r="G10591" t="s">
        <v>9408</v>
      </c>
      <c r="H10591" t="s">
        <v>16781</v>
      </c>
      <c r="I10591" t="s">
        <v>17273</v>
      </c>
      <c r="J10591" t="s">
        <v>18892</v>
      </c>
      <c r="K10591">
        <v>10467</v>
      </c>
      <c r="L10591" t="s">
        <v>18958</v>
      </c>
      <c r="M10591" t="s">
        <v>18960</v>
      </c>
      <c r="R10591" t="s">
        <v>26578</v>
      </c>
      <c r="U10591" t="s">
        <v>26606</v>
      </c>
      <c r="X10591">
        <v>0</v>
      </c>
      <c r="Y10591" t="s">
        <v>26650</v>
      </c>
      <c r="AB10591" t="s">
        <v>34047</v>
      </c>
      <c r="AD10591" t="s">
        <v>44974</v>
      </c>
      <c r="AE10591">
        <v>0</v>
      </c>
      <c r="AH10591">
        <v>0</v>
      </c>
      <c r="AI10591">
        <v>2</v>
      </c>
      <c r="AJ10591">
        <v>0</v>
      </c>
      <c r="AK10591">
        <v>167.72</v>
      </c>
      <c r="AN10591" t="s">
        <v>7439</v>
      </c>
      <c r="AO10591">
        <v>28362</v>
      </c>
      <c r="AU10591">
        <v>11.75</v>
      </c>
      <c r="AV10591" t="s">
        <v>836</v>
      </c>
      <c r="AW10591" t="s">
        <v>46871</v>
      </c>
      <c r="AX10591" t="s">
        <v>46897</v>
      </c>
    </row>
    <row r="10592" spans="1:50">
      <c r="A10592" s="1">
        <f>HYPERLINK("https://lsnyc.legalserver.org/matter/dynamic-profile/view/1899081","19-1899081")</f>
        <v>0</v>
      </c>
      <c r="B10592" t="s">
        <v>133</v>
      </c>
      <c r="C10592" t="s">
        <v>340</v>
      </c>
      <c r="D10592" t="s">
        <v>811</v>
      </c>
      <c r="F10592" t="s">
        <v>4861</v>
      </c>
      <c r="G10592" t="s">
        <v>4160</v>
      </c>
      <c r="H10592" t="s">
        <v>16782</v>
      </c>
      <c r="I10592" t="s">
        <v>18098</v>
      </c>
      <c r="J10592" t="s">
        <v>18892</v>
      </c>
      <c r="K10592">
        <v>10456</v>
      </c>
      <c r="L10592" t="s">
        <v>18960</v>
      </c>
      <c r="M10592" t="s">
        <v>18960</v>
      </c>
      <c r="O10592" t="s">
        <v>26523</v>
      </c>
      <c r="P10592" t="s">
        <v>26560</v>
      </c>
      <c r="R10592" t="s">
        <v>26577</v>
      </c>
      <c r="U10592" t="s">
        <v>26604</v>
      </c>
      <c r="X10592">
        <v>1700</v>
      </c>
      <c r="Y10592" t="s">
        <v>26650</v>
      </c>
      <c r="Z10592" t="s">
        <v>26659</v>
      </c>
      <c r="AB10592" t="s">
        <v>34048</v>
      </c>
      <c r="AD10592" t="s">
        <v>44975</v>
      </c>
      <c r="AE10592">
        <v>0</v>
      </c>
      <c r="AG10592" t="s">
        <v>45556</v>
      </c>
      <c r="AH10592">
        <v>5</v>
      </c>
      <c r="AI10592">
        <v>2</v>
      </c>
      <c r="AJ10592">
        <v>1</v>
      </c>
      <c r="AK10592">
        <v>77.64</v>
      </c>
      <c r="AN10592" t="s">
        <v>7439</v>
      </c>
      <c r="AO10592">
        <v>16560</v>
      </c>
      <c r="AP10592" t="s">
        <v>46290</v>
      </c>
      <c r="AU10592">
        <v>0</v>
      </c>
      <c r="AW10592" t="s">
        <v>46836</v>
      </c>
    </row>
    <row r="10593" spans="1:50">
      <c r="A10593" s="1">
        <f>HYPERLINK("https://lsnyc.legalserver.org/matter/dynamic-profile/view/1899139","19-1899139")</f>
        <v>0</v>
      </c>
      <c r="B10593" t="s">
        <v>202</v>
      </c>
      <c r="C10593" t="s">
        <v>340</v>
      </c>
      <c r="D10593" t="s">
        <v>811</v>
      </c>
      <c r="F10593" t="s">
        <v>1072</v>
      </c>
      <c r="G10593" t="s">
        <v>8493</v>
      </c>
      <c r="H10593" t="s">
        <v>12478</v>
      </c>
      <c r="I10593" t="s">
        <v>17349</v>
      </c>
      <c r="J10593" t="s">
        <v>18894</v>
      </c>
      <c r="K10593">
        <v>11221</v>
      </c>
      <c r="L10593" t="s">
        <v>18960</v>
      </c>
      <c r="M10593" t="s">
        <v>18960</v>
      </c>
      <c r="P10593" t="s">
        <v>26566</v>
      </c>
      <c r="R10593" t="s">
        <v>26586</v>
      </c>
      <c r="U10593" t="s">
        <v>26604</v>
      </c>
      <c r="X10593">
        <v>129300</v>
      </c>
      <c r="Y10593" t="s">
        <v>26652</v>
      </c>
      <c r="Z10593" t="s">
        <v>26659</v>
      </c>
      <c r="AB10593" t="s">
        <v>32518</v>
      </c>
      <c r="AD10593" t="s">
        <v>42974</v>
      </c>
      <c r="AE10593">
        <v>6</v>
      </c>
      <c r="AF10593" t="s">
        <v>45541</v>
      </c>
      <c r="AH10593">
        <v>8</v>
      </c>
      <c r="AI10593">
        <v>1</v>
      </c>
      <c r="AJ10593">
        <v>0</v>
      </c>
      <c r="AK10593">
        <v>124.9</v>
      </c>
      <c r="AN10593" t="s">
        <v>7439</v>
      </c>
      <c r="AO10593">
        <v>15600</v>
      </c>
      <c r="AU10593">
        <v>8.25</v>
      </c>
      <c r="AV10593" t="s">
        <v>729</v>
      </c>
      <c r="AW10593" t="s">
        <v>46856</v>
      </c>
    </row>
    <row r="10594" spans="1:50">
      <c r="A10594" s="1">
        <f>HYPERLINK("https://lsnyc.legalserver.org/matter/dynamic-profile/view/1899154","19-1899154")</f>
        <v>0</v>
      </c>
      <c r="B10594" t="s">
        <v>99</v>
      </c>
      <c r="C10594" t="s">
        <v>340</v>
      </c>
      <c r="D10594" t="s">
        <v>811</v>
      </c>
      <c r="F10594" t="s">
        <v>899</v>
      </c>
      <c r="G10594" t="s">
        <v>5664</v>
      </c>
      <c r="H10594" t="s">
        <v>15369</v>
      </c>
      <c r="I10594" t="s">
        <v>17307</v>
      </c>
      <c r="J10594" t="s">
        <v>18894</v>
      </c>
      <c r="K10594">
        <v>11216</v>
      </c>
      <c r="L10594" t="s">
        <v>18960</v>
      </c>
      <c r="M10594" t="s">
        <v>18960</v>
      </c>
      <c r="N10594" t="s">
        <v>26099</v>
      </c>
      <c r="O10594" t="s">
        <v>26523</v>
      </c>
      <c r="R10594" t="s">
        <v>26588</v>
      </c>
      <c r="S10594" t="s">
        <v>18958</v>
      </c>
      <c r="U10594" t="s">
        <v>26606</v>
      </c>
      <c r="X10594">
        <v>0</v>
      </c>
      <c r="Y10594" t="s">
        <v>26652</v>
      </c>
      <c r="AB10594" t="s">
        <v>31795</v>
      </c>
      <c r="AD10594" t="s">
        <v>44976</v>
      </c>
      <c r="AE10594">
        <v>0</v>
      </c>
      <c r="AF10594" t="s">
        <v>45541</v>
      </c>
      <c r="AH10594">
        <v>11</v>
      </c>
      <c r="AI10594">
        <v>1</v>
      </c>
      <c r="AJ10594">
        <v>1</v>
      </c>
      <c r="AK10594">
        <v>7.86</v>
      </c>
      <c r="AN10594" t="s">
        <v>7439</v>
      </c>
      <c r="AO10594">
        <v>1328.6</v>
      </c>
      <c r="AU10594">
        <v>7.1</v>
      </c>
      <c r="AV10594" t="s">
        <v>834</v>
      </c>
      <c r="AW10594" t="s">
        <v>46877</v>
      </c>
    </row>
    <row r="10595" spans="1:50">
      <c r="A10595" s="1">
        <f>HYPERLINK("https://lsnyc.legalserver.org/matter/dynamic-profile/view/1899175","19-1899175")</f>
        <v>0</v>
      </c>
      <c r="B10595" t="s">
        <v>151</v>
      </c>
      <c r="C10595" t="s">
        <v>340</v>
      </c>
      <c r="D10595" t="s">
        <v>811</v>
      </c>
      <c r="F10595" t="s">
        <v>3061</v>
      </c>
      <c r="G10595" t="s">
        <v>6399</v>
      </c>
      <c r="H10595" t="s">
        <v>16783</v>
      </c>
      <c r="I10595">
        <v>55</v>
      </c>
      <c r="J10595" t="s">
        <v>18893</v>
      </c>
      <c r="K10595">
        <v>10040</v>
      </c>
      <c r="L10595" t="s">
        <v>18960</v>
      </c>
      <c r="M10595" t="s">
        <v>18960</v>
      </c>
      <c r="P10595" t="s">
        <v>26560</v>
      </c>
      <c r="R10595" t="s">
        <v>26582</v>
      </c>
      <c r="U10595" t="s">
        <v>26604</v>
      </c>
      <c r="X10595">
        <v>1325</v>
      </c>
      <c r="Y10595" t="s">
        <v>26651</v>
      </c>
      <c r="Z10595" t="s">
        <v>26659</v>
      </c>
      <c r="AB10595" t="s">
        <v>34049</v>
      </c>
      <c r="AD10595" t="s">
        <v>44977</v>
      </c>
      <c r="AE10595">
        <v>0</v>
      </c>
      <c r="AF10595" t="s">
        <v>45541</v>
      </c>
      <c r="AG10595" t="s">
        <v>19330</v>
      </c>
      <c r="AH10595">
        <v>4</v>
      </c>
      <c r="AI10595">
        <v>1</v>
      </c>
      <c r="AJ10595">
        <v>2</v>
      </c>
      <c r="AK10595">
        <v>117.21</v>
      </c>
      <c r="AN10595" t="s">
        <v>45581</v>
      </c>
      <c r="AO10595">
        <v>25000</v>
      </c>
      <c r="AU10595">
        <v>0.7</v>
      </c>
      <c r="AV10595" t="s">
        <v>807</v>
      </c>
      <c r="AW10595" t="s">
        <v>314</v>
      </c>
    </row>
    <row r="10596" spans="1:50">
      <c r="A10596" s="1">
        <f>HYPERLINK("https://lsnyc.legalserver.org/matter/dynamic-profile/view/1898014","19-1898014")</f>
        <v>0</v>
      </c>
      <c r="B10596" t="s">
        <v>131</v>
      </c>
      <c r="C10596" t="s">
        <v>340</v>
      </c>
      <c r="D10596" t="s">
        <v>811</v>
      </c>
      <c r="F10596" t="s">
        <v>1228</v>
      </c>
      <c r="G10596" t="s">
        <v>5330</v>
      </c>
      <c r="H10596" t="s">
        <v>16784</v>
      </c>
      <c r="I10596" t="s">
        <v>17435</v>
      </c>
      <c r="J10596" t="s">
        <v>18902</v>
      </c>
      <c r="K10596">
        <v>10306</v>
      </c>
      <c r="L10596" t="s">
        <v>18958</v>
      </c>
      <c r="M10596" t="s">
        <v>18960</v>
      </c>
      <c r="N10596" t="s">
        <v>26100</v>
      </c>
      <c r="O10596" t="s">
        <v>26524</v>
      </c>
      <c r="R10596" t="s">
        <v>26578</v>
      </c>
      <c r="S10596" t="s">
        <v>18959</v>
      </c>
      <c r="U10596" t="s">
        <v>26604</v>
      </c>
      <c r="V10596" t="s">
        <v>26610</v>
      </c>
      <c r="X10596">
        <v>1350</v>
      </c>
      <c r="Y10596" t="s">
        <v>26654</v>
      </c>
      <c r="Z10596" t="s">
        <v>26668</v>
      </c>
      <c r="AB10596" t="s">
        <v>34050</v>
      </c>
      <c r="AD10596" t="s">
        <v>44978</v>
      </c>
      <c r="AE10596">
        <v>0</v>
      </c>
      <c r="AF10596" t="s">
        <v>45547</v>
      </c>
      <c r="AG10596" t="s">
        <v>19330</v>
      </c>
      <c r="AH10596">
        <v>5</v>
      </c>
      <c r="AI10596">
        <v>2</v>
      </c>
      <c r="AJ10596">
        <v>0</v>
      </c>
      <c r="AK10596">
        <v>202.96</v>
      </c>
      <c r="AL10596" t="s">
        <v>767</v>
      </c>
      <c r="AM10596" t="s">
        <v>45575</v>
      </c>
      <c r="AN10596" t="s">
        <v>7439</v>
      </c>
      <c r="AO10596">
        <v>34320</v>
      </c>
      <c r="AU10596">
        <v>3.1</v>
      </c>
      <c r="AV10596" t="s">
        <v>823</v>
      </c>
      <c r="AW10596" t="s">
        <v>46883</v>
      </c>
      <c r="AX10596" t="s">
        <v>46897</v>
      </c>
    </row>
    <row r="10597" spans="1:50">
      <c r="A10597" s="1">
        <f>HYPERLINK("https://lsnyc.legalserver.org/matter/dynamic-profile/view/1899075","19-1899075")</f>
        <v>0</v>
      </c>
      <c r="B10597" t="s">
        <v>56</v>
      </c>
      <c r="C10597" t="s">
        <v>340</v>
      </c>
      <c r="D10597" t="s">
        <v>811</v>
      </c>
      <c r="F10597" t="s">
        <v>2854</v>
      </c>
      <c r="G10597" t="s">
        <v>7516</v>
      </c>
      <c r="H10597" t="s">
        <v>15105</v>
      </c>
      <c r="I10597" t="s">
        <v>17349</v>
      </c>
      <c r="J10597" t="s">
        <v>18892</v>
      </c>
      <c r="K10597">
        <v>10453</v>
      </c>
      <c r="L10597" t="s">
        <v>18958</v>
      </c>
      <c r="M10597" t="s">
        <v>18960</v>
      </c>
      <c r="N10597" t="s">
        <v>26101</v>
      </c>
      <c r="O10597" t="s">
        <v>26523</v>
      </c>
      <c r="P10597" t="s">
        <v>26560</v>
      </c>
      <c r="R10597" t="s">
        <v>26577</v>
      </c>
      <c r="U10597" t="s">
        <v>26604</v>
      </c>
      <c r="X10597">
        <v>1002</v>
      </c>
      <c r="Y10597" t="s">
        <v>26650</v>
      </c>
      <c r="Z10597" t="s">
        <v>26659</v>
      </c>
      <c r="AB10597" t="s">
        <v>28360</v>
      </c>
      <c r="AC10597" t="s">
        <v>36739</v>
      </c>
      <c r="AE10597">
        <v>6</v>
      </c>
      <c r="AF10597" t="s">
        <v>45541</v>
      </c>
      <c r="AG10597" t="s">
        <v>45558</v>
      </c>
      <c r="AH10597">
        <v>3</v>
      </c>
      <c r="AI10597">
        <v>1</v>
      </c>
      <c r="AJ10597">
        <v>2</v>
      </c>
      <c r="AK10597">
        <v>50.78</v>
      </c>
      <c r="AN10597" t="s">
        <v>45581</v>
      </c>
      <c r="AO10597">
        <v>10832</v>
      </c>
      <c r="AP10597" t="s">
        <v>46313</v>
      </c>
      <c r="AU10597">
        <v>4</v>
      </c>
      <c r="AV10597" t="s">
        <v>797</v>
      </c>
      <c r="AW10597" t="s">
        <v>46836</v>
      </c>
      <c r="AX10597" t="s">
        <v>46898</v>
      </c>
    </row>
    <row r="10598" spans="1:50">
      <c r="A10598" s="1">
        <f>HYPERLINK("https://lsnyc.legalserver.org/matter/dynamic-profile/view/1899049","19-1899049")</f>
        <v>0</v>
      </c>
      <c r="B10598" t="s">
        <v>135</v>
      </c>
      <c r="C10598" t="s">
        <v>340</v>
      </c>
      <c r="D10598" t="s">
        <v>811</v>
      </c>
      <c r="F10598" t="s">
        <v>940</v>
      </c>
      <c r="G10598" t="s">
        <v>9409</v>
      </c>
      <c r="H10598" t="s">
        <v>16785</v>
      </c>
      <c r="I10598" t="s">
        <v>17306</v>
      </c>
      <c r="J10598" t="s">
        <v>18892</v>
      </c>
      <c r="K10598">
        <v>10451</v>
      </c>
      <c r="L10598" t="s">
        <v>18958</v>
      </c>
      <c r="M10598" t="s">
        <v>18960</v>
      </c>
      <c r="P10598" t="s">
        <v>26564</v>
      </c>
      <c r="R10598" t="s">
        <v>26578</v>
      </c>
      <c r="S10598" t="s">
        <v>18959</v>
      </c>
      <c r="U10598" t="s">
        <v>26604</v>
      </c>
      <c r="X10598">
        <v>975</v>
      </c>
      <c r="Y10598" t="s">
        <v>26650</v>
      </c>
      <c r="Z10598" t="s">
        <v>26663</v>
      </c>
      <c r="AB10598" t="s">
        <v>34051</v>
      </c>
      <c r="AD10598" t="s">
        <v>44979</v>
      </c>
      <c r="AE10598">
        <v>84</v>
      </c>
      <c r="AF10598" t="s">
        <v>45548</v>
      </c>
      <c r="AG10598" t="s">
        <v>45559</v>
      </c>
      <c r="AH10598">
        <v>7</v>
      </c>
      <c r="AI10598">
        <v>2</v>
      </c>
      <c r="AJ10598">
        <v>0</v>
      </c>
      <c r="AK10598">
        <v>20.44</v>
      </c>
      <c r="AO10598">
        <v>3456</v>
      </c>
      <c r="AU10598">
        <v>0</v>
      </c>
      <c r="AW10598" t="s">
        <v>46847</v>
      </c>
      <c r="AX10598" t="s">
        <v>46897</v>
      </c>
    </row>
    <row r="10599" spans="1:50">
      <c r="A10599" s="1">
        <f>HYPERLINK("https://lsnyc.legalserver.org/matter/dynamic-profile/view/1899050","19-1899050")</f>
        <v>0</v>
      </c>
      <c r="B10599" t="s">
        <v>135</v>
      </c>
      <c r="C10599" t="s">
        <v>340</v>
      </c>
      <c r="D10599" t="s">
        <v>811</v>
      </c>
      <c r="F10599" t="s">
        <v>4862</v>
      </c>
      <c r="G10599" t="s">
        <v>9410</v>
      </c>
      <c r="H10599" t="s">
        <v>16786</v>
      </c>
      <c r="I10599" t="s">
        <v>17272</v>
      </c>
      <c r="J10599" t="s">
        <v>18892</v>
      </c>
      <c r="K10599">
        <v>10452</v>
      </c>
      <c r="L10599" t="s">
        <v>18958</v>
      </c>
      <c r="M10599" t="s">
        <v>18960</v>
      </c>
      <c r="P10599" t="s">
        <v>26564</v>
      </c>
      <c r="R10599" t="s">
        <v>26578</v>
      </c>
      <c r="S10599" t="s">
        <v>18959</v>
      </c>
      <c r="U10599" t="s">
        <v>26604</v>
      </c>
      <c r="X10599">
        <v>1980</v>
      </c>
      <c r="Y10599" t="s">
        <v>26650</v>
      </c>
      <c r="Z10599" t="s">
        <v>26663</v>
      </c>
      <c r="AB10599" t="s">
        <v>34052</v>
      </c>
      <c r="AD10599" t="s">
        <v>44980</v>
      </c>
      <c r="AE10599">
        <v>3</v>
      </c>
      <c r="AF10599" t="s">
        <v>20460</v>
      </c>
      <c r="AG10599" t="s">
        <v>45557</v>
      </c>
      <c r="AH10599">
        <v>4</v>
      </c>
      <c r="AI10599">
        <v>2</v>
      </c>
      <c r="AJ10599">
        <v>3</v>
      </c>
      <c r="AK10599">
        <v>47.85</v>
      </c>
      <c r="AN10599" t="s">
        <v>7439</v>
      </c>
      <c r="AO10599">
        <v>14436</v>
      </c>
      <c r="AU10599">
        <v>0</v>
      </c>
      <c r="AW10599" t="s">
        <v>46847</v>
      </c>
      <c r="AX10599" t="s">
        <v>46897</v>
      </c>
    </row>
    <row r="10600" spans="1:50">
      <c r="A10600" s="1">
        <f>HYPERLINK("https://lsnyc.legalserver.org/matter/dynamic-profile/view/1899066","19-1899066")</f>
        <v>0</v>
      </c>
      <c r="B10600" t="s">
        <v>135</v>
      </c>
      <c r="C10600" t="s">
        <v>340</v>
      </c>
      <c r="D10600" t="s">
        <v>811</v>
      </c>
      <c r="F10600" t="s">
        <v>4863</v>
      </c>
      <c r="G10600" t="s">
        <v>9411</v>
      </c>
      <c r="H10600" t="s">
        <v>16787</v>
      </c>
      <c r="I10600" t="s">
        <v>18810</v>
      </c>
      <c r="J10600" t="s">
        <v>18892</v>
      </c>
      <c r="K10600">
        <v>10458</v>
      </c>
      <c r="L10600" t="s">
        <v>18958</v>
      </c>
      <c r="M10600" t="s">
        <v>18960</v>
      </c>
      <c r="P10600" t="s">
        <v>26564</v>
      </c>
      <c r="R10600" t="s">
        <v>26578</v>
      </c>
      <c r="S10600" t="s">
        <v>18959</v>
      </c>
      <c r="U10600" t="s">
        <v>26604</v>
      </c>
      <c r="X10600">
        <v>195</v>
      </c>
      <c r="Y10600" t="s">
        <v>26650</v>
      </c>
      <c r="Z10600" t="s">
        <v>26663</v>
      </c>
      <c r="AD10600" t="s">
        <v>44981</v>
      </c>
      <c r="AE10600">
        <v>62</v>
      </c>
      <c r="AF10600" t="s">
        <v>45541</v>
      </c>
      <c r="AG10600" t="s">
        <v>26530</v>
      </c>
      <c r="AH10600">
        <v>10</v>
      </c>
      <c r="AI10600">
        <v>1</v>
      </c>
      <c r="AJ10600">
        <v>0</v>
      </c>
      <c r="AK10600">
        <v>82.43000000000001</v>
      </c>
      <c r="AN10600" t="s">
        <v>7439</v>
      </c>
      <c r="AO10600">
        <v>10296</v>
      </c>
      <c r="AU10600">
        <v>0.8</v>
      </c>
      <c r="AV10600" t="s">
        <v>771</v>
      </c>
      <c r="AW10600" t="s">
        <v>46847</v>
      </c>
      <c r="AX10600" t="s">
        <v>19330</v>
      </c>
    </row>
    <row r="10601" spans="1:50">
      <c r="A10601" s="1">
        <f>HYPERLINK("https://lsnyc.legalserver.org/matter/dynamic-profile/view/1899060","19-1899060")</f>
        <v>0</v>
      </c>
      <c r="B10601" t="s">
        <v>135</v>
      </c>
      <c r="C10601" t="s">
        <v>340</v>
      </c>
      <c r="D10601" t="s">
        <v>811</v>
      </c>
      <c r="F10601" t="s">
        <v>936</v>
      </c>
      <c r="G10601" t="s">
        <v>9412</v>
      </c>
      <c r="H10601" t="s">
        <v>16788</v>
      </c>
      <c r="I10601">
        <v>1</v>
      </c>
      <c r="J10601" t="s">
        <v>18892</v>
      </c>
      <c r="K10601">
        <v>10456</v>
      </c>
      <c r="L10601" t="s">
        <v>18958</v>
      </c>
      <c r="M10601" t="s">
        <v>18960</v>
      </c>
      <c r="N10601" t="s">
        <v>26102</v>
      </c>
      <c r="O10601" t="s">
        <v>26524</v>
      </c>
      <c r="P10601" t="s">
        <v>26560</v>
      </c>
      <c r="R10601" t="s">
        <v>26578</v>
      </c>
      <c r="S10601" t="s">
        <v>18959</v>
      </c>
      <c r="U10601" t="s">
        <v>26604</v>
      </c>
      <c r="V10601" t="s">
        <v>26610</v>
      </c>
      <c r="X10601">
        <v>0</v>
      </c>
      <c r="Y10601" t="s">
        <v>26650</v>
      </c>
      <c r="Z10601" t="s">
        <v>26663</v>
      </c>
      <c r="AB10601" t="s">
        <v>34053</v>
      </c>
      <c r="AD10601" t="s">
        <v>44982</v>
      </c>
      <c r="AE10601">
        <v>2</v>
      </c>
      <c r="AF10601" t="s">
        <v>20460</v>
      </c>
      <c r="AG10601" t="s">
        <v>45556</v>
      </c>
      <c r="AH10601">
        <v>20</v>
      </c>
      <c r="AI10601">
        <v>2</v>
      </c>
      <c r="AJ10601">
        <v>1</v>
      </c>
      <c r="AK10601">
        <v>91.77</v>
      </c>
      <c r="AN10601" t="s">
        <v>7439</v>
      </c>
      <c r="AO10601">
        <v>19574</v>
      </c>
      <c r="AU10601">
        <v>32.1</v>
      </c>
      <c r="AV10601" t="s">
        <v>772</v>
      </c>
      <c r="AW10601" t="s">
        <v>46847</v>
      </c>
      <c r="AX10601" t="s">
        <v>46897</v>
      </c>
    </row>
    <row r="10602" spans="1:50">
      <c r="A10602" s="1">
        <f>HYPERLINK("https://lsnyc.legalserver.org/matter/dynamic-profile/view/1899069","19-1899069")</f>
        <v>0</v>
      </c>
      <c r="B10602" t="s">
        <v>135</v>
      </c>
      <c r="C10602" t="s">
        <v>340</v>
      </c>
      <c r="D10602" t="s">
        <v>811</v>
      </c>
      <c r="F10602" t="s">
        <v>1603</v>
      </c>
      <c r="G10602" t="s">
        <v>5447</v>
      </c>
      <c r="H10602" t="s">
        <v>14985</v>
      </c>
      <c r="I10602" t="s">
        <v>17283</v>
      </c>
      <c r="J10602" t="s">
        <v>18892</v>
      </c>
      <c r="K10602">
        <v>10460</v>
      </c>
      <c r="L10602" t="s">
        <v>18959</v>
      </c>
      <c r="M10602" t="s">
        <v>18960</v>
      </c>
      <c r="P10602" t="s">
        <v>26564</v>
      </c>
      <c r="R10602" t="s">
        <v>26578</v>
      </c>
      <c r="S10602" t="s">
        <v>18959</v>
      </c>
      <c r="U10602" t="s">
        <v>26604</v>
      </c>
      <c r="X10602">
        <v>1248</v>
      </c>
      <c r="Y10602" t="s">
        <v>26650</v>
      </c>
      <c r="Z10602" t="s">
        <v>26663</v>
      </c>
      <c r="AB10602" t="s">
        <v>34054</v>
      </c>
      <c r="AD10602" t="s">
        <v>44983</v>
      </c>
      <c r="AE10602">
        <v>16</v>
      </c>
      <c r="AF10602" t="s">
        <v>45547</v>
      </c>
      <c r="AG10602" t="s">
        <v>19330</v>
      </c>
      <c r="AH10602">
        <v>7</v>
      </c>
      <c r="AI10602">
        <v>1</v>
      </c>
      <c r="AJ10602">
        <v>1</v>
      </c>
      <c r="AK10602">
        <v>215.26</v>
      </c>
      <c r="AN10602" t="s">
        <v>7439</v>
      </c>
      <c r="AO10602">
        <v>36400</v>
      </c>
      <c r="AU10602">
        <v>0</v>
      </c>
      <c r="AW10602" t="s">
        <v>46847</v>
      </c>
      <c r="AX10602" t="s">
        <v>46897</v>
      </c>
    </row>
    <row r="10603" spans="1:50">
      <c r="A10603" s="1">
        <f>HYPERLINK("https://lsnyc.legalserver.org/matter/dynamic-profile/view/1899056","19-1899056")</f>
        <v>0</v>
      </c>
      <c r="B10603" t="s">
        <v>135</v>
      </c>
      <c r="C10603" t="s">
        <v>340</v>
      </c>
      <c r="D10603" t="s">
        <v>811</v>
      </c>
      <c r="F10603" t="s">
        <v>4864</v>
      </c>
      <c r="G10603" t="s">
        <v>5147</v>
      </c>
      <c r="H10603" t="s">
        <v>16788</v>
      </c>
      <c r="I10603">
        <v>2</v>
      </c>
      <c r="J10603" t="s">
        <v>18892</v>
      </c>
      <c r="K10603">
        <v>10456</v>
      </c>
      <c r="L10603" t="s">
        <v>18958</v>
      </c>
      <c r="M10603" t="s">
        <v>18960</v>
      </c>
      <c r="P10603" t="s">
        <v>26564</v>
      </c>
      <c r="R10603" t="s">
        <v>26578</v>
      </c>
      <c r="S10603" t="s">
        <v>18959</v>
      </c>
      <c r="U10603" t="s">
        <v>26604</v>
      </c>
      <c r="X10603">
        <v>0</v>
      </c>
      <c r="Y10603" t="s">
        <v>26650</v>
      </c>
      <c r="Z10603" t="s">
        <v>26663</v>
      </c>
      <c r="AB10603" t="s">
        <v>31360</v>
      </c>
      <c r="AD10603" t="s">
        <v>44984</v>
      </c>
      <c r="AE10603">
        <v>2</v>
      </c>
      <c r="AF10603" t="s">
        <v>20460</v>
      </c>
      <c r="AG10603" t="s">
        <v>45557</v>
      </c>
      <c r="AH10603">
        <v>7</v>
      </c>
      <c r="AI10603">
        <v>3</v>
      </c>
      <c r="AJ10603">
        <v>1</v>
      </c>
      <c r="AK10603">
        <v>232.96</v>
      </c>
      <c r="AN10603" t="s">
        <v>7439</v>
      </c>
      <c r="AO10603">
        <v>59988</v>
      </c>
      <c r="AU10603">
        <v>0.1</v>
      </c>
      <c r="AV10603" t="s">
        <v>811</v>
      </c>
      <c r="AW10603" t="s">
        <v>46847</v>
      </c>
      <c r="AX10603" t="s">
        <v>46897</v>
      </c>
    </row>
    <row r="10604" spans="1:50">
      <c r="A10604" s="1">
        <f>HYPERLINK("https://lsnyc.legalserver.org/matter/dynamic-profile/view/1899137","19-1899137")</f>
        <v>0</v>
      </c>
      <c r="B10604" t="s">
        <v>200</v>
      </c>
      <c r="C10604" t="s">
        <v>340</v>
      </c>
      <c r="D10604" t="s">
        <v>811</v>
      </c>
      <c r="F10604" t="s">
        <v>4865</v>
      </c>
      <c r="G10604" t="s">
        <v>5121</v>
      </c>
      <c r="H10604" t="s">
        <v>16789</v>
      </c>
      <c r="I10604" t="s">
        <v>18811</v>
      </c>
      <c r="J10604" t="s">
        <v>18894</v>
      </c>
      <c r="K10604">
        <v>11233</v>
      </c>
      <c r="L10604" t="s">
        <v>18959</v>
      </c>
      <c r="M10604" t="s">
        <v>18960</v>
      </c>
      <c r="N10604" t="s">
        <v>18993</v>
      </c>
      <c r="O10604" t="s">
        <v>26526</v>
      </c>
      <c r="R10604" t="s">
        <v>26583</v>
      </c>
      <c r="S10604" t="s">
        <v>18959</v>
      </c>
      <c r="U10604" t="s">
        <v>26604</v>
      </c>
      <c r="V10604" t="s">
        <v>26610</v>
      </c>
      <c r="X10604">
        <v>1173.22</v>
      </c>
      <c r="Y10604" t="s">
        <v>26652</v>
      </c>
      <c r="AB10604" t="s">
        <v>34055</v>
      </c>
      <c r="AC10604" t="s">
        <v>19330</v>
      </c>
      <c r="AD10604" t="s">
        <v>44985</v>
      </c>
      <c r="AE10604">
        <v>6</v>
      </c>
      <c r="AF10604" t="s">
        <v>45541</v>
      </c>
      <c r="AH10604">
        <v>12</v>
      </c>
      <c r="AI10604">
        <v>2</v>
      </c>
      <c r="AJ10604">
        <v>0</v>
      </c>
      <c r="AK10604">
        <v>276.76</v>
      </c>
      <c r="AN10604" t="s">
        <v>7439</v>
      </c>
      <c r="AO10604">
        <v>46800</v>
      </c>
      <c r="AU10604">
        <v>1.5</v>
      </c>
      <c r="AV10604" t="s">
        <v>729</v>
      </c>
      <c r="AW10604" t="s">
        <v>46849</v>
      </c>
      <c r="AX10604" t="s">
        <v>19330</v>
      </c>
    </row>
    <row r="10605" spans="1:50">
      <c r="A10605" s="1">
        <f>HYPERLINK("https://lsnyc.legalserver.org/matter/dynamic-profile/view/1899084","19-1899084")</f>
        <v>0</v>
      </c>
      <c r="B10605" t="s">
        <v>249</v>
      </c>
      <c r="C10605" t="s">
        <v>340</v>
      </c>
      <c r="D10605" t="s">
        <v>811</v>
      </c>
      <c r="F10605" t="s">
        <v>4866</v>
      </c>
      <c r="G10605" t="s">
        <v>5419</v>
      </c>
      <c r="H10605" t="s">
        <v>16790</v>
      </c>
      <c r="I10605" t="s">
        <v>18812</v>
      </c>
      <c r="J10605" t="s">
        <v>18894</v>
      </c>
      <c r="K10605">
        <v>11212</v>
      </c>
      <c r="L10605" t="s">
        <v>18960</v>
      </c>
      <c r="M10605" t="s">
        <v>18960</v>
      </c>
      <c r="O10605" t="s">
        <v>26542</v>
      </c>
      <c r="R10605" t="s">
        <v>26578</v>
      </c>
      <c r="U10605" t="s">
        <v>26607</v>
      </c>
      <c r="X10605">
        <v>0</v>
      </c>
      <c r="Y10605" t="s">
        <v>26652</v>
      </c>
      <c r="Z10605" t="s">
        <v>26530</v>
      </c>
      <c r="AB10605" t="s">
        <v>30296</v>
      </c>
      <c r="AD10605" t="s">
        <v>44986</v>
      </c>
      <c r="AE10605">
        <v>0</v>
      </c>
      <c r="AH10605">
        <v>0</v>
      </c>
      <c r="AI10605">
        <v>2</v>
      </c>
      <c r="AJ10605">
        <v>2</v>
      </c>
      <c r="AK10605">
        <v>121.17</v>
      </c>
      <c r="AN10605" t="s">
        <v>7439</v>
      </c>
      <c r="AO10605">
        <v>31200</v>
      </c>
      <c r="AU10605">
        <v>0.5</v>
      </c>
      <c r="AV10605" t="s">
        <v>811</v>
      </c>
      <c r="AW10605" t="s">
        <v>46850</v>
      </c>
    </row>
    <row r="10606" spans="1:50">
      <c r="A10606" s="1">
        <f>HYPERLINK("https://lsnyc.legalserver.org/matter/dynamic-profile/view/1899098","19-1899098")</f>
        <v>0</v>
      </c>
      <c r="B10606" t="s">
        <v>65</v>
      </c>
      <c r="C10606" t="s">
        <v>340</v>
      </c>
      <c r="D10606" t="s">
        <v>811</v>
      </c>
      <c r="F10606" t="s">
        <v>4867</v>
      </c>
      <c r="G10606" t="s">
        <v>5269</v>
      </c>
      <c r="H10606" t="s">
        <v>16791</v>
      </c>
      <c r="I10606">
        <v>2</v>
      </c>
      <c r="J10606" t="s">
        <v>18892</v>
      </c>
      <c r="K10606">
        <v>10469</v>
      </c>
      <c r="L10606" t="s">
        <v>18960</v>
      </c>
      <c r="M10606" t="s">
        <v>18960</v>
      </c>
      <c r="N10606" t="s">
        <v>26103</v>
      </c>
      <c r="P10606" t="s">
        <v>26564</v>
      </c>
      <c r="R10606" t="s">
        <v>26577</v>
      </c>
      <c r="U10606" t="s">
        <v>26604</v>
      </c>
      <c r="X10606">
        <v>0</v>
      </c>
      <c r="Y10606" t="s">
        <v>26650</v>
      </c>
      <c r="AB10606" t="s">
        <v>34056</v>
      </c>
      <c r="AD10606" t="s">
        <v>44987</v>
      </c>
      <c r="AE10606">
        <v>0</v>
      </c>
      <c r="AH10606">
        <v>0</v>
      </c>
      <c r="AI10606">
        <v>1</v>
      </c>
      <c r="AJ10606">
        <v>3</v>
      </c>
      <c r="AK10606">
        <v>53.01</v>
      </c>
      <c r="AN10606" t="s">
        <v>7439</v>
      </c>
      <c r="AO10606">
        <v>13650</v>
      </c>
      <c r="AU10606">
        <v>0.3</v>
      </c>
      <c r="AV10606" t="s">
        <v>830</v>
      </c>
      <c r="AW10606" t="s">
        <v>46836</v>
      </c>
    </row>
    <row r="10607" spans="1:50">
      <c r="A10607" s="1">
        <f>HYPERLINK("https://lsnyc.legalserver.org/matter/dynamic-profile/view/1899248","19-1899248")</f>
        <v>0</v>
      </c>
      <c r="B10607" t="s">
        <v>70</v>
      </c>
      <c r="C10607" t="s">
        <v>341</v>
      </c>
      <c r="D10607" t="s">
        <v>815</v>
      </c>
      <c r="E10607" t="s">
        <v>805</v>
      </c>
      <c r="F10607" t="s">
        <v>2373</v>
      </c>
      <c r="G10607" t="s">
        <v>1725</v>
      </c>
      <c r="H10607" t="s">
        <v>16792</v>
      </c>
      <c r="I10607" t="s">
        <v>17306</v>
      </c>
      <c r="J10607" t="s">
        <v>18892</v>
      </c>
      <c r="K10607">
        <v>10467</v>
      </c>
      <c r="L10607" t="s">
        <v>18958</v>
      </c>
      <c r="M10607" t="s">
        <v>18960</v>
      </c>
      <c r="O10607" t="s">
        <v>26523</v>
      </c>
      <c r="P10607" t="s">
        <v>26564</v>
      </c>
      <c r="Q10607" t="s">
        <v>26570</v>
      </c>
      <c r="R10607" t="s">
        <v>26579</v>
      </c>
      <c r="S10607" t="s">
        <v>18959</v>
      </c>
      <c r="U10607" t="s">
        <v>26604</v>
      </c>
      <c r="V10607" t="s">
        <v>26612</v>
      </c>
      <c r="X10607">
        <v>952</v>
      </c>
      <c r="Y10607" t="s">
        <v>26650</v>
      </c>
      <c r="Z10607" t="s">
        <v>26664</v>
      </c>
      <c r="AA10607" t="s">
        <v>26683</v>
      </c>
      <c r="AB10607" t="s">
        <v>34057</v>
      </c>
      <c r="AE10607">
        <v>0</v>
      </c>
      <c r="AF10607" t="s">
        <v>45541</v>
      </c>
      <c r="AH10607">
        <v>5</v>
      </c>
      <c r="AI10607">
        <v>2</v>
      </c>
      <c r="AJ10607">
        <v>1</v>
      </c>
      <c r="AK10607">
        <v>210.97</v>
      </c>
      <c r="AN10607" t="s">
        <v>45581</v>
      </c>
      <c r="AO10607">
        <v>45000</v>
      </c>
      <c r="AP10607" t="s">
        <v>46314</v>
      </c>
      <c r="AU10607">
        <v>1.2</v>
      </c>
      <c r="AV10607" t="s">
        <v>813</v>
      </c>
      <c r="AW10607" t="s">
        <v>46870</v>
      </c>
      <c r="AX10607" t="s">
        <v>46897</v>
      </c>
    </row>
    <row r="10608" spans="1:50">
      <c r="A10608" s="1">
        <f>HYPERLINK("https://lsnyc.legalserver.org/matter/dynamic-profile/view/1899204","19-1899204")</f>
        <v>0</v>
      </c>
      <c r="B10608" t="s">
        <v>94</v>
      </c>
      <c r="C10608" t="s">
        <v>340</v>
      </c>
      <c r="D10608" t="s">
        <v>815</v>
      </c>
      <c r="F10608" t="s">
        <v>1982</v>
      </c>
      <c r="G10608" t="s">
        <v>7558</v>
      </c>
      <c r="H10608" t="s">
        <v>16793</v>
      </c>
      <c r="I10608" t="s">
        <v>17781</v>
      </c>
      <c r="J10608" t="s">
        <v>18893</v>
      </c>
      <c r="K10608">
        <v>10026</v>
      </c>
      <c r="L10608" t="s">
        <v>18958</v>
      </c>
      <c r="M10608" t="s">
        <v>18960</v>
      </c>
      <c r="N10608" t="s">
        <v>26104</v>
      </c>
      <c r="O10608" t="s">
        <v>26523</v>
      </c>
      <c r="P10608" t="s">
        <v>26560</v>
      </c>
      <c r="R10608" t="s">
        <v>26580</v>
      </c>
      <c r="S10608" t="s">
        <v>18959</v>
      </c>
      <c r="U10608" t="s">
        <v>26604</v>
      </c>
      <c r="V10608" t="s">
        <v>26610</v>
      </c>
      <c r="X10608">
        <v>1725</v>
      </c>
      <c r="Y10608" t="s">
        <v>26651</v>
      </c>
      <c r="Z10608" t="s">
        <v>26664</v>
      </c>
      <c r="AB10608" t="s">
        <v>32871</v>
      </c>
      <c r="AC10608" t="s">
        <v>36740</v>
      </c>
      <c r="AD10608" t="s">
        <v>44988</v>
      </c>
      <c r="AE10608">
        <v>0</v>
      </c>
      <c r="AF10608" t="s">
        <v>45548</v>
      </c>
      <c r="AG10608" t="s">
        <v>26530</v>
      </c>
      <c r="AH10608">
        <v>2</v>
      </c>
      <c r="AI10608">
        <v>1</v>
      </c>
      <c r="AJ10608">
        <v>2</v>
      </c>
      <c r="AK10608">
        <v>19.99</v>
      </c>
      <c r="AN10608" t="s">
        <v>7439</v>
      </c>
      <c r="AO10608">
        <v>4264</v>
      </c>
      <c r="AU10608">
        <v>1.6</v>
      </c>
      <c r="AV10608" t="s">
        <v>835</v>
      </c>
      <c r="AW10608" t="s">
        <v>314</v>
      </c>
    </row>
    <row r="10609" spans="1:50">
      <c r="A10609" s="1">
        <f>HYPERLINK("https://lsnyc.legalserver.org/matter/dynamic-profile/view/1899282","19-1899282")</f>
        <v>0</v>
      </c>
      <c r="B10609" t="s">
        <v>94</v>
      </c>
      <c r="C10609" t="s">
        <v>340</v>
      </c>
      <c r="D10609" t="s">
        <v>815</v>
      </c>
      <c r="F10609" t="s">
        <v>1789</v>
      </c>
      <c r="G10609" t="s">
        <v>5138</v>
      </c>
      <c r="H10609" t="s">
        <v>16794</v>
      </c>
      <c r="I10609" t="s">
        <v>17309</v>
      </c>
      <c r="J10609" t="s">
        <v>18893</v>
      </c>
      <c r="K10609">
        <v>10040</v>
      </c>
      <c r="L10609" t="s">
        <v>18958</v>
      </c>
      <c r="M10609" t="s">
        <v>18960</v>
      </c>
      <c r="N10609" t="s">
        <v>26105</v>
      </c>
      <c r="O10609" t="s">
        <v>26523</v>
      </c>
      <c r="P10609" t="s">
        <v>26563</v>
      </c>
      <c r="R10609" t="s">
        <v>26580</v>
      </c>
      <c r="S10609" t="s">
        <v>18959</v>
      </c>
      <c r="U10609" t="s">
        <v>26604</v>
      </c>
      <c r="V10609" t="s">
        <v>26614</v>
      </c>
      <c r="X10609">
        <v>925</v>
      </c>
      <c r="Y10609" t="s">
        <v>26651</v>
      </c>
      <c r="Z10609" t="s">
        <v>26664</v>
      </c>
      <c r="AB10609" t="s">
        <v>30181</v>
      </c>
      <c r="AD10609" t="s">
        <v>44989</v>
      </c>
      <c r="AE10609">
        <v>0</v>
      </c>
      <c r="AF10609" t="s">
        <v>45548</v>
      </c>
      <c r="AG10609" t="s">
        <v>45559</v>
      </c>
      <c r="AH10609">
        <v>25</v>
      </c>
      <c r="AI10609">
        <v>1</v>
      </c>
      <c r="AJ10609">
        <v>0</v>
      </c>
      <c r="AK10609">
        <v>80.06</v>
      </c>
      <c r="AN10609" t="s">
        <v>7439</v>
      </c>
      <c r="AO10609">
        <v>10000</v>
      </c>
      <c r="AU10609">
        <v>0</v>
      </c>
      <c r="AW10609" t="s">
        <v>314</v>
      </c>
    </row>
    <row r="10610" spans="1:50">
      <c r="A10610" s="1">
        <f>HYPERLINK("https://lsnyc.legalserver.org/matter/dynamic-profile/view/1899221","19-1899221")</f>
        <v>0</v>
      </c>
      <c r="B10610" t="s">
        <v>55</v>
      </c>
      <c r="C10610" t="s">
        <v>340</v>
      </c>
      <c r="D10610" t="s">
        <v>815</v>
      </c>
      <c r="F10610" t="s">
        <v>1091</v>
      </c>
      <c r="G10610" t="s">
        <v>6824</v>
      </c>
      <c r="H10610" t="s">
        <v>12199</v>
      </c>
      <c r="I10610" t="s">
        <v>17695</v>
      </c>
      <c r="J10610" t="s">
        <v>18892</v>
      </c>
      <c r="K10610">
        <v>10460</v>
      </c>
      <c r="L10610" t="s">
        <v>18958</v>
      </c>
      <c r="M10610" t="s">
        <v>18960</v>
      </c>
      <c r="N10610" t="s">
        <v>26106</v>
      </c>
      <c r="O10610" t="s">
        <v>26524</v>
      </c>
      <c r="R10610" t="s">
        <v>26578</v>
      </c>
      <c r="S10610" t="s">
        <v>18959</v>
      </c>
      <c r="U10610" t="s">
        <v>26604</v>
      </c>
      <c r="X10610">
        <v>1967</v>
      </c>
      <c r="Y10610" t="s">
        <v>26650</v>
      </c>
      <c r="Z10610" t="s">
        <v>26659</v>
      </c>
      <c r="AB10610" t="s">
        <v>31959</v>
      </c>
      <c r="AD10610" t="s">
        <v>42259</v>
      </c>
      <c r="AE10610">
        <v>0</v>
      </c>
      <c r="AF10610" t="s">
        <v>45541</v>
      </c>
      <c r="AG10610" t="s">
        <v>19330</v>
      </c>
      <c r="AH10610">
        <v>20</v>
      </c>
      <c r="AI10610">
        <v>1</v>
      </c>
      <c r="AJ10610">
        <v>0</v>
      </c>
      <c r="AK10610">
        <v>153.72</v>
      </c>
      <c r="AN10610" t="s">
        <v>7439</v>
      </c>
      <c r="AO10610">
        <v>19200</v>
      </c>
      <c r="AU10610">
        <v>3.1</v>
      </c>
      <c r="AV10610" t="s">
        <v>831</v>
      </c>
      <c r="AW10610" t="s">
        <v>336</v>
      </c>
      <c r="AX10610" t="s">
        <v>46897</v>
      </c>
    </row>
    <row r="10611" spans="1:50">
      <c r="A10611" s="1">
        <f>HYPERLINK("https://lsnyc.legalserver.org/matter/dynamic-profile/view/1899217","19-1899217")</f>
        <v>0</v>
      </c>
      <c r="B10611" t="s">
        <v>142</v>
      </c>
      <c r="C10611" t="s">
        <v>340</v>
      </c>
      <c r="D10611" t="s">
        <v>815</v>
      </c>
      <c r="F10611" t="s">
        <v>3007</v>
      </c>
      <c r="G10611" t="s">
        <v>5562</v>
      </c>
      <c r="H10611" t="s">
        <v>16795</v>
      </c>
      <c r="J10611" t="s">
        <v>18901</v>
      </c>
      <c r="K10611">
        <v>11434</v>
      </c>
      <c r="L10611" t="s">
        <v>18960</v>
      </c>
      <c r="M10611" t="s">
        <v>18960</v>
      </c>
      <c r="N10611" t="s">
        <v>26107</v>
      </c>
      <c r="O10611" t="s">
        <v>26523</v>
      </c>
      <c r="P10611" t="s">
        <v>26560</v>
      </c>
      <c r="R10611" t="s">
        <v>26585</v>
      </c>
      <c r="U10611" t="s">
        <v>26604</v>
      </c>
      <c r="X10611">
        <v>1300</v>
      </c>
      <c r="Y10611" t="s">
        <v>26653</v>
      </c>
      <c r="Z10611" t="s">
        <v>26668</v>
      </c>
      <c r="AB10611" t="s">
        <v>34058</v>
      </c>
      <c r="AD10611" t="s">
        <v>44990</v>
      </c>
      <c r="AE10611">
        <v>2</v>
      </c>
      <c r="AH10611">
        <v>2</v>
      </c>
      <c r="AI10611">
        <v>1</v>
      </c>
      <c r="AJ10611">
        <v>0</v>
      </c>
      <c r="AK10611">
        <v>83.27</v>
      </c>
      <c r="AN10611" t="s">
        <v>7439</v>
      </c>
      <c r="AO10611">
        <v>10400</v>
      </c>
      <c r="AU10611">
        <v>4.45</v>
      </c>
      <c r="AV10611" t="s">
        <v>772</v>
      </c>
      <c r="AW10611" t="s">
        <v>46861</v>
      </c>
    </row>
    <row r="10612" spans="1:50">
      <c r="A10612" s="1">
        <f>HYPERLINK("https://lsnyc.legalserver.org/matter/dynamic-profile/view/1899520","19-1899520")</f>
        <v>0</v>
      </c>
      <c r="B10612" t="s">
        <v>120</v>
      </c>
      <c r="C10612" t="s">
        <v>340</v>
      </c>
      <c r="D10612" t="s">
        <v>815</v>
      </c>
      <c r="F10612" t="s">
        <v>875</v>
      </c>
      <c r="G10612" t="s">
        <v>5109</v>
      </c>
      <c r="H10612" t="s">
        <v>16796</v>
      </c>
      <c r="I10612">
        <v>2</v>
      </c>
      <c r="J10612" t="s">
        <v>18892</v>
      </c>
      <c r="K10612">
        <v>10473</v>
      </c>
      <c r="L10612" t="s">
        <v>18958</v>
      </c>
      <c r="M10612" t="s">
        <v>18960</v>
      </c>
      <c r="N10612" t="s">
        <v>26108</v>
      </c>
      <c r="O10612" t="s">
        <v>26523</v>
      </c>
      <c r="P10612" t="s">
        <v>26560</v>
      </c>
      <c r="R10612" t="s">
        <v>26577</v>
      </c>
      <c r="S10612" t="s">
        <v>18959</v>
      </c>
      <c r="U10612" t="s">
        <v>26604</v>
      </c>
      <c r="X10612">
        <v>2239</v>
      </c>
      <c r="Y10612" t="s">
        <v>26650</v>
      </c>
      <c r="Z10612" t="s">
        <v>26668</v>
      </c>
      <c r="AB10612" t="s">
        <v>28130</v>
      </c>
      <c r="AC10612" t="s">
        <v>36741</v>
      </c>
      <c r="AD10612" t="s">
        <v>44991</v>
      </c>
      <c r="AE10612">
        <v>2</v>
      </c>
      <c r="AF10612" t="s">
        <v>45543</v>
      </c>
      <c r="AG10612" t="s">
        <v>45556</v>
      </c>
      <c r="AH10612">
        <v>7</v>
      </c>
      <c r="AI10612">
        <v>2</v>
      </c>
      <c r="AJ10612">
        <v>2</v>
      </c>
      <c r="AK10612">
        <v>50</v>
      </c>
      <c r="AN10612" t="s">
        <v>45581</v>
      </c>
      <c r="AO10612">
        <v>12875</v>
      </c>
      <c r="AP10612" t="s">
        <v>46315</v>
      </c>
      <c r="AU10612">
        <v>8.800000000000001</v>
      </c>
      <c r="AV10612" t="s">
        <v>838</v>
      </c>
      <c r="AW10612" t="s">
        <v>46832</v>
      </c>
      <c r="AX10612" t="s">
        <v>46898</v>
      </c>
    </row>
    <row r="10613" spans="1:50">
      <c r="A10613" s="1">
        <f>HYPERLINK("https://lsnyc.legalserver.org/matter/dynamic-profile/view/1899253","19-1899253")</f>
        <v>0</v>
      </c>
      <c r="B10613" t="s">
        <v>252</v>
      </c>
      <c r="C10613" t="s">
        <v>340</v>
      </c>
      <c r="D10613" t="s">
        <v>815</v>
      </c>
      <c r="F10613" t="s">
        <v>1025</v>
      </c>
      <c r="G10613" t="s">
        <v>9413</v>
      </c>
      <c r="H10613" t="s">
        <v>16797</v>
      </c>
      <c r="I10613">
        <v>1103</v>
      </c>
      <c r="J10613" t="s">
        <v>18894</v>
      </c>
      <c r="K10613">
        <v>11201</v>
      </c>
      <c r="L10613" t="s">
        <v>18960</v>
      </c>
      <c r="M10613" t="s">
        <v>18960</v>
      </c>
      <c r="R10613" t="s">
        <v>26591</v>
      </c>
      <c r="U10613" t="s">
        <v>26604</v>
      </c>
      <c r="X10613">
        <v>841</v>
      </c>
      <c r="Y10613" t="s">
        <v>26652</v>
      </c>
      <c r="Z10613" t="s">
        <v>26661</v>
      </c>
      <c r="AB10613" t="s">
        <v>27332</v>
      </c>
      <c r="AD10613" t="s">
        <v>44992</v>
      </c>
      <c r="AE10613">
        <v>714</v>
      </c>
      <c r="AG10613" t="s">
        <v>45562</v>
      </c>
      <c r="AH10613">
        <v>1</v>
      </c>
      <c r="AI10613">
        <v>1</v>
      </c>
      <c r="AJ10613">
        <v>0</v>
      </c>
      <c r="AK10613">
        <v>109.43</v>
      </c>
      <c r="AN10613" t="s">
        <v>7439</v>
      </c>
      <c r="AO10613">
        <v>13668</v>
      </c>
      <c r="AU10613">
        <v>0.6</v>
      </c>
      <c r="AV10613" t="s">
        <v>815</v>
      </c>
      <c r="AW10613" t="s">
        <v>46842</v>
      </c>
    </row>
    <row r="10614" spans="1:50">
      <c r="A10614" s="1">
        <f>HYPERLINK("https://lsnyc.legalserver.org/matter/dynamic-profile/view/1899225","19-1899225")</f>
        <v>0</v>
      </c>
      <c r="B10614" t="s">
        <v>54</v>
      </c>
      <c r="C10614" t="s">
        <v>340</v>
      </c>
      <c r="D10614" t="s">
        <v>815</v>
      </c>
      <c r="F10614" t="s">
        <v>1330</v>
      </c>
      <c r="G10614" t="s">
        <v>7708</v>
      </c>
      <c r="H10614" t="s">
        <v>13688</v>
      </c>
      <c r="I10614" t="s">
        <v>17354</v>
      </c>
      <c r="J10614" t="s">
        <v>18892</v>
      </c>
      <c r="K10614">
        <v>10467</v>
      </c>
      <c r="L10614" t="s">
        <v>18958</v>
      </c>
      <c r="M10614" t="s">
        <v>18960</v>
      </c>
      <c r="O10614" t="s">
        <v>26539</v>
      </c>
      <c r="P10614" t="s">
        <v>26562</v>
      </c>
      <c r="R10614" t="s">
        <v>26578</v>
      </c>
      <c r="S10614" t="s">
        <v>18959</v>
      </c>
      <c r="U10614" t="s">
        <v>26607</v>
      </c>
      <c r="X10614">
        <v>1238.17</v>
      </c>
      <c r="Y10614" t="s">
        <v>26650</v>
      </c>
      <c r="Z10614" t="s">
        <v>26655</v>
      </c>
      <c r="AB10614" t="s">
        <v>31125</v>
      </c>
      <c r="AD10614" t="s">
        <v>41295</v>
      </c>
      <c r="AE10614">
        <v>26</v>
      </c>
      <c r="AF10614" t="s">
        <v>45541</v>
      </c>
      <c r="AG10614" t="s">
        <v>19330</v>
      </c>
      <c r="AH10614">
        <v>4</v>
      </c>
      <c r="AI10614">
        <v>2</v>
      </c>
      <c r="AJ10614">
        <v>0</v>
      </c>
      <c r="AK10614">
        <v>158.58</v>
      </c>
      <c r="AN10614" t="s">
        <v>7439</v>
      </c>
      <c r="AO10614">
        <v>26816.52</v>
      </c>
      <c r="AU10614">
        <v>1</v>
      </c>
      <c r="AV10614" t="s">
        <v>811</v>
      </c>
      <c r="AW10614" t="s">
        <v>46832</v>
      </c>
    </row>
    <row r="10615" spans="1:50">
      <c r="A10615" s="1">
        <f>HYPERLINK("https://lsnyc.legalserver.org/matter/dynamic-profile/view/1899279","19-1899279")</f>
        <v>0</v>
      </c>
      <c r="B10615" t="s">
        <v>63</v>
      </c>
      <c r="C10615" t="s">
        <v>340</v>
      </c>
      <c r="D10615" t="s">
        <v>815</v>
      </c>
      <c r="F10615" t="s">
        <v>1572</v>
      </c>
      <c r="G10615" t="s">
        <v>5657</v>
      </c>
      <c r="H10615" t="s">
        <v>16798</v>
      </c>
      <c r="I10615" t="s">
        <v>17290</v>
      </c>
      <c r="J10615" t="s">
        <v>18892</v>
      </c>
      <c r="K10615">
        <v>10453</v>
      </c>
      <c r="L10615" t="s">
        <v>18960</v>
      </c>
      <c r="M10615" t="s">
        <v>18960</v>
      </c>
      <c r="P10615" t="s">
        <v>26562</v>
      </c>
      <c r="R10615" t="s">
        <v>26578</v>
      </c>
      <c r="U10615" t="s">
        <v>26607</v>
      </c>
      <c r="X10615">
        <v>0</v>
      </c>
      <c r="Y10615" t="s">
        <v>26650</v>
      </c>
      <c r="AB10615" t="s">
        <v>32554</v>
      </c>
      <c r="AD10615" t="s">
        <v>44993</v>
      </c>
      <c r="AE10615">
        <v>0</v>
      </c>
      <c r="AH10615">
        <v>0</v>
      </c>
      <c r="AI10615">
        <v>1</v>
      </c>
      <c r="AJ10615">
        <v>0</v>
      </c>
      <c r="AK10615">
        <v>11.53</v>
      </c>
      <c r="AN10615" t="s">
        <v>45581</v>
      </c>
      <c r="AO10615">
        <v>1440</v>
      </c>
      <c r="AU10615">
        <v>0.5</v>
      </c>
      <c r="AV10615" t="s">
        <v>815</v>
      </c>
      <c r="AW10615" t="s">
        <v>63</v>
      </c>
    </row>
    <row r="10616" spans="1:50">
      <c r="A10616" s="1">
        <f>HYPERLINK("https://lsnyc.legalserver.org/matter/dynamic-profile/view/1899352","19-1899352")</f>
        <v>0</v>
      </c>
      <c r="B10616" t="s">
        <v>97</v>
      </c>
      <c r="C10616" t="s">
        <v>340</v>
      </c>
      <c r="D10616" t="s">
        <v>816</v>
      </c>
      <c r="F10616" t="s">
        <v>4868</v>
      </c>
      <c r="G10616" t="s">
        <v>9414</v>
      </c>
      <c r="H10616" t="s">
        <v>16799</v>
      </c>
      <c r="I10616" t="s">
        <v>17378</v>
      </c>
      <c r="J10616" t="s">
        <v>18892</v>
      </c>
      <c r="K10616">
        <v>10458</v>
      </c>
      <c r="L10616" t="s">
        <v>18958</v>
      </c>
      <c r="M10616" t="s">
        <v>18960</v>
      </c>
      <c r="N10616" t="s">
        <v>26109</v>
      </c>
      <c r="O10616" t="s">
        <v>26524</v>
      </c>
      <c r="P10616" t="s">
        <v>26564</v>
      </c>
      <c r="R10616" t="s">
        <v>26577</v>
      </c>
      <c r="S10616" t="s">
        <v>18959</v>
      </c>
      <c r="U10616" t="s">
        <v>26604</v>
      </c>
      <c r="X10616">
        <v>1453</v>
      </c>
      <c r="Y10616" t="s">
        <v>26650</v>
      </c>
      <c r="AB10616" t="s">
        <v>34059</v>
      </c>
      <c r="AD10616" t="s">
        <v>44994</v>
      </c>
      <c r="AE10616">
        <v>0</v>
      </c>
      <c r="AF10616" t="s">
        <v>20460</v>
      </c>
      <c r="AH10616">
        <v>10</v>
      </c>
      <c r="AI10616">
        <v>1</v>
      </c>
      <c r="AJ10616">
        <v>0</v>
      </c>
      <c r="AK10616">
        <v>72.34999999999999</v>
      </c>
      <c r="AN10616" t="s">
        <v>8151</v>
      </c>
      <c r="AO10616">
        <v>9036</v>
      </c>
      <c r="AU10616">
        <v>1.25</v>
      </c>
      <c r="AV10616" t="s">
        <v>805</v>
      </c>
      <c r="AW10616" t="s">
        <v>46871</v>
      </c>
      <c r="AX10616" t="s">
        <v>46897</v>
      </c>
    </row>
    <row r="10617" spans="1:50">
      <c r="A10617" s="1">
        <f>HYPERLINK("https://lsnyc.legalserver.org/matter/dynamic-profile/view/1899321","19-1899321")</f>
        <v>0</v>
      </c>
      <c r="B10617" t="s">
        <v>335</v>
      </c>
      <c r="C10617" t="s">
        <v>340</v>
      </c>
      <c r="D10617" t="s">
        <v>816</v>
      </c>
      <c r="F10617" t="s">
        <v>1641</v>
      </c>
      <c r="G10617" t="s">
        <v>5314</v>
      </c>
      <c r="H10617" t="s">
        <v>16800</v>
      </c>
      <c r="I10617">
        <v>2</v>
      </c>
      <c r="J10617" t="s">
        <v>18892</v>
      </c>
      <c r="K10617">
        <v>10467</v>
      </c>
      <c r="L10617" t="s">
        <v>18960</v>
      </c>
      <c r="M10617" t="s">
        <v>18960</v>
      </c>
      <c r="N10617">
        <v>6084012</v>
      </c>
      <c r="R10617" t="s">
        <v>26591</v>
      </c>
      <c r="U10617" t="s">
        <v>26604</v>
      </c>
      <c r="X10617">
        <v>960</v>
      </c>
      <c r="Y10617" t="s">
        <v>26650</v>
      </c>
      <c r="Z10617" t="s">
        <v>26673</v>
      </c>
      <c r="AB10617" t="s">
        <v>34060</v>
      </c>
      <c r="AD10617" t="s">
        <v>44995</v>
      </c>
      <c r="AE10617">
        <v>0</v>
      </c>
      <c r="AH10617">
        <v>9</v>
      </c>
      <c r="AI10617">
        <v>1</v>
      </c>
      <c r="AJ10617">
        <v>0</v>
      </c>
      <c r="AK10617">
        <v>187.35</v>
      </c>
      <c r="AN10617" t="s">
        <v>7439</v>
      </c>
      <c r="AO10617">
        <v>23400</v>
      </c>
      <c r="AU10617">
        <v>1</v>
      </c>
      <c r="AV10617" t="s">
        <v>816</v>
      </c>
      <c r="AW10617" t="s">
        <v>46861</v>
      </c>
    </row>
    <row r="10618" spans="1:50">
      <c r="A10618" s="1">
        <f>HYPERLINK("https://lsnyc.legalserver.org/matter/dynamic-profile/view/1899311","19-1899311")</f>
        <v>0</v>
      </c>
      <c r="B10618" t="s">
        <v>257</v>
      </c>
      <c r="C10618" t="s">
        <v>340</v>
      </c>
      <c r="D10618" t="s">
        <v>816</v>
      </c>
      <c r="F10618" t="s">
        <v>1119</v>
      </c>
      <c r="G10618" t="s">
        <v>2749</v>
      </c>
      <c r="H10618" t="s">
        <v>16801</v>
      </c>
      <c r="I10618" t="s">
        <v>18652</v>
      </c>
      <c r="J10618" t="s">
        <v>18894</v>
      </c>
      <c r="K10618">
        <v>11207</v>
      </c>
      <c r="L10618" t="s">
        <v>18960</v>
      </c>
      <c r="M10618" t="s">
        <v>18960</v>
      </c>
      <c r="P10618" t="s">
        <v>26563</v>
      </c>
      <c r="R10618" t="s">
        <v>26583</v>
      </c>
      <c r="U10618" t="s">
        <v>26604</v>
      </c>
      <c r="X10618">
        <v>0</v>
      </c>
      <c r="Y10618" t="s">
        <v>26652</v>
      </c>
      <c r="Z10618" t="s">
        <v>26530</v>
      </c>
      <c r="AB10618" t="s">
        <v>34061</v>
      </c>
      <c r="AD10618" t="s">
        <v>44996</v>
      </c>
      <c r="AE10618">
        <v>6</v>
      </c>
      <c r="AH10618">
        <v>0</v>
      </c>
      <c r="AI10618">
        <v>2</v>
      </c>
      <c r="AJ10618">
        <v>1</v>
      </c>
      <c r="AK10618">
        <v>222.41</v>
      </c>
      <c r="AN10618" t="s">
        <v>7439</v>
      </c>
      <c r="AO10618">
        <v>47440</v>
      </c>
      <c r="AU10618">
        <v>1.9</v>
      </c>
      <c r="AV10618" t="s">
        <v>773</v>
      </c>
      <c r="AW10618" t="s">
        <v>46850</v>
      </c>
    </row>
    <row r="10619" spans="1:50">
      <c r="A10619" s="1">
        <f>HYPERLINK("https://lsnyc.legalserver.org/matter/dynamic-profile/view/1899397","19-1899397")</f>
        <v>0</v>
      </c>
      <c r="B10619" t="s">
        <v>56</v>
      </c>
      <c r="C10619" t="s">
        <v>340</v>
      </c>
      <c r="D10619" t="s">
        <v>816</v>
      </c>
      <c r="F10619" t="s">
        <v>4869</v>
      </c>
      <c r="G10619" t="s">
        <v>9415</v>
      </c>
      <c r="H10619" t="s">
        <v>16802</v>
      </c>
      <c r="I10619" t="s">
        <v>17315</v>
      </c>
      <c r="J10619" t="s">
        <v>18892</v>
      </c>
      <c r="K10619">
        <v>10462</v>
      </c>
      <c r="L10619" t="s">
        <v>18958</v>
      </c>
      <c r="M10619" t="s">
        <v>18960</v>
      </c>
      <c r="N10619" t="s">
        <v>26110</v>
      </c>
      <c r="O10619" t="s">
        <v>26524</v>
      </c>
      <c r="R10619" t="s">
        <v>26579</v>
      </c>
      <c r="U10619" t="s">
        <v>26604</v>
      </c>
      <c r="X10619">
        <v>0</v>
      </c>
      <c r="Y10619" t="s">
        <v>26650</v>
      </c>
      <c r="AB10619" t="s">
        <v>34062</v>
      </c>
      <c r="AD10619" t="s">
        <v>44997</v>
      </c>
      <c r="AE10619">
        <v>0</v>
      </c>
      <c r="AG10619" t="s">
        <v>45556</v>
      </c>
      <c r="AH10619">
        <v>0</v>
      </c>
      <c r="AI10619">
        <v>1</v>
      </c>
      <c r="AJ10619">
        <v>1</v>
      </c>
      <c r="AK10619">
        <v>212.89</v>
      </c>
      <c r="AN10619" t="s">
        <v>7439</v>
      </c>
      <c r="AO10619">
        <v>36000</v>
      </c>
      <c r="AP10619" t="s">
        <v>46316</v>
      </c>
      <c r="AU10619">
        <v>5</v>
      </c>
      <c r="AV10619" t="s">
        <v>833</v>
      </c>
      <c r="AW10619" t="s">
        <v>335</v>
      </c>
      <c r="AX10619" t="s">
        <v>46897</v>
      </c>
    </row>
    <row r="10620" spans="1:50">
      <c r="A10620" s="1">
        <f>HYPERLINK("https://lsnyc.legalserver.org/matter/dynamic-profile/view/1899388","19-1899388")</f>
        <v>0</v>
      </c>
      <c r="B10620" t="s">
        <v>153</v>
      </c>
      <c r="C10620" t="s">
        <v>340</v>
      </c>
      <c r="D10620" t="s">
        <v>816</v>
      </c>
      <c r="F10620" t="s">
        <v>3721</v>
      </c>
      <c r="G10620" t="s">
        <v>5086</v>
      </c>
      <c r="H10620" t="s">
        <v>14356</v>
      </c>
      <c r="I10620" t="s">
        <v>17416</v>
      </c>
      <c r="J10620" t="s">
        <v>18902</v>
      </c>
      <c r="K10620">
        <v>10301</v>
      </c>
      <c r="L10620" t="s">
        <v>18960</v>
      </c>
      <c r="M10620" t="s">
        <v>18960</v>
      </c>
      <c r="O10620" t="s">
        <v>26524</v>
      </c>
      <c r="R10620" t="s">
        <v>26578</v>
      </c>
      <c r="S10620" t="s">
        <v>18959</v>
      </c>
      <c r="U10620" t="s">
        <v>26604</v>
      </c>
      <c r="V10620" t="s">
        <v>26610</v>
      </c>
      <c r="X10620">
        <v>433</v>
      </c>
      <c r="Y10620" t="s">
        <v>26654</v>
      </c>
      <c r="Z10620" t="s">
        <v>26659</v>
      </c>
      <c r="AB10620" t="s">
        <v>31549</v>
      </c>
      <c r="AD10620" t="s">
        <v>40658</v>
      </c>
      <c r="AE10620">
        <v>0</v>
      </c>
      <c r="AH10620">
        <v>1</v>
      </c>
      <c r="AI10620">
        <v>1</v>
      </c>
      <c r="AJ10620">
        <v>2</v>
      </c>
      <c r="AK10620">
        <v>86.75</v>
      </c>
      <c r="AN10620" t="s">
        <v>7439</v>
      </c>
      <c r="AO10620">
        <v>18504</v>
      </c>
      <c r="AU10620">
        <v>0.1</v>
      </c>
      <c r="AV10620" t="s">
        <v>817</v>
      </c>
      <c r="AW10620" t="s">
        <v>46883</v>
      </c>
    </row>
    <row r="10621" spans="1:50">
      <c r="A10621" s="1">
        <f>HYPERLINK("https://lsnyc.legalserver.org/matter/dynamic-profile/view/1899327","19-1899327")</f>
        <v>0</v>
      </c>
      <c r="B10621" t="s">
        <v>200</v>
      </c>
      <c r="C10621" t="s">
        <v>340</v>
      </c>
      <c r="D10621" t="s">
        <v>816</v>
      </c>
      <c r="F10621" t="s">
        <v>2005</v>
      </c>
      <c r="G10621" t="s">
        <v>9416</v>
      </c>
      <c r="H10621" t="s">
        <v>16803</v>
      </c>
      <c r="I10621" t="s">
        <v>17410</v>
      </c>
      <c r="J10621" t="s">
        <v>18894</v>
      </c>
      <c r="K10621">
        <v>11224</v>
      </c>
      <c r="L10621" t="s">
        <v>18960</v>
      </c>
      <c r="M10621" t="s">
        <v>18960</v>
      </c>
      <c r="O10621" t="s">
        <v>18997</v>
      </c>
      <c r="P10621" t="s">
        <v>26564</v>
      </c>
      <c r="R10621" t="s">
        <v>26591</v>
      </c>
      <c r="S10621" t="s">
        <v>18959</v>
      </c>
      <c r="U10621" t="s">
        <v>26604</v>
      </c>
      <c r="X10621">
        <v>1248</v>
      </c>
      <c r="Y10621" t="s">
        <v>26652</v>
      </c>
      <c r="AB10621" t="s">
        <v>34063</v>
      </c>
      <c r="AE10621">
        <v>6</v>
      </c>
      <c r="AF10621" t="s">
        <v>20460</v>
      </c>
      <c r="AG10621" t="s">
        <v>45557</v>
      </c>
      <c r="AH10621">
        <v>15</v>
      </c>
      <c r="AI10621">
        <v>1</v>
      </c>
      <c r="AJ10621">
        <v>0</v>
      </c>
      <c r="AK10621">
        <v>85.97</v>
      </c>
      <c r="AN10621" t="s">
        <v>7439</v>
      </c>
      <c r="AO10621">
        <v>10738</v>
      </c>
      <c r="AU10621">
        <v>0.8</v>
      </c>
      <c r="AV10621" t="s">
        <v>807</v>
      </c>
      <c r="AW10621" t="s">
        <v>46829</v>
      </c>
    </row>
    <row r="10622" spans="1:50">
      <c r="A10622" s="1">
        <f>HYPERLINK("https://lsnyc.legalserver.org/matter/dynamic-profile/view/1898174","19-1898174")</f>
        <v>0</v>
      </c>
      <c r="B10622" t="s">
        <v>104</v>
      </c>
      <c r="C10622" t="s">
        <v>340</v>
      </c>
      <c r="D10622" t="s">
        <v>816</v>
      </c>
      <c r="F10622" t="s">
        <v>903</v>
      </c>
      <c r="G10622" t="s">
        <v>5599</v>
      </c>
      <c r="H10622" t="s">
        <v>16804</v>
      </c>
      <c r="I10622" t="s">
        <v>17415</v>
      </c>
      <c r="J10622" t="s">
        <v>18902</v>
      </c>
      <c r="K10622">
        <v>10305</v>
      </c>
      <c r="L10622" t="s">
        <v>18958</v>
      </c>
      <c r="M10622" t="s">
        <v>18960</v>
      </c>
      <c r="O10622" t="s">
        <v>26523</v>
      </c>
      <c r="R10622" t="s">
        <v>26587</v>
      </c>
      <c r="S10622" t="s">
        <v>18959</v>
      </c>
      <c r="U10622" t="s">
        <v>26604</v>
      </c>
      <c r="V10622" t="s">
        <v>26610</v>
      </c>
      <c r="X10622">
        <v>1515</v>
      </c>
      <c r="Y10622" t="s">
        <v>26654</v>
      </c>
      <c r="Z10622" t="s">
        <v>26674</v>
      </c>
      <c r="AB10622" t="s">
        <v>34064</v>
      </c>
      <c r="AD10622" t="s">
        <v>44998</v>
      </c>
      <c r="AE10622">
        <v>0</v>
      </c>
      <c r="AF10622" t="s">
        <v>45547</v>
      </c>
      <c r="AH10622">
        <v>2</v>
      </c>
      <c r="AI10622">
        <v>1</v>
      </c>
      <c r="AJ10622">
        <v>2</v>
      </c>
      <c r="AK10622">
        <v>21.34</v>
      </c>
      <c r="AN10622" t="s">
        <v>8151</v>
      </c>
      <c r="AO10622">
        <v>4551.3</v>
      </c>
      <c r="AU10622">
        <v>13.55</v>
      </c>
      <c r="AV10622" t="s">
        <v>835</v>
      </c>
      <c r="AW10622" t="s">
        <v>46883</v>
      </c>
      <c r="AX10622" t="s">
        <v>46897</v>
      </c>
    </row>
    <row r="10623" spans="1:50">
      <c r="A10623" s="1">
        <f>HYPERLINK("https://lsnyc.legalserver.org/matter/dynamic-profile/view/1899376","19-1899376")</f>
        <v>0</v>
      </c>
      <c r="B10623" t="s">
        <v>320</v>
      </c>
      <c r="C10623" t="s">
        <v>340</v>
      </c>
      <c r="D10623" t="s">
        <v>816</v>
      </c>
      <c r="F10623" t="s">
        <v>1523</v>
      </c>
      <c r="G10623" t="s">
        <v>9417</v>
      </c>
      <c r="H10623" t="s">
        <v>16805</v>
      </c>
      <c r="I10623">
        <v>1</v>
      </c>
      <c r="J10623" t="s">
        <v>18894</v>
      </c>
      <c r="K10623">
        <v>11206</v>
      </c>
      <c r="L10623" t="s">
        <v>18960</v>
      </c>
      <c r="M10623" t="s">
        <v>18960</v>
      </c>
      <c r="R10623" t="s">
        <v>26583</v>
      </c>
      <c r="U10623" t="s">
        <v>26604</v>
      </c>
      <c r="X10623">
        <v>2250</v>
      </c>
      <c r="Y10623" t="s">
        <v>26652</v>
      </c>
      <c r="Z10623" t="s">
        <v>26661</v>
      </c>
      <c r="AB10623" t="s">
        <v>34065</v>
      </c>
      <c r="AD10623" t="s">
        <v>44999</v>
      </c>
      <c r="AE10623">
        <v>3</v>
      </c>
      <c r="AG10623" t="s">
        <v>19330</v>
      </c>
      <c r="AH10623">
        <v>9</v>
      </c>
      <c r="AI10623">
        <v>1</v>
      </c>
      <c r="AJ10623">
        <v>0</v>
      </c>
      <c r="AK10623">
        <v>240.19</v>
      </c>
      <c r="AN10623" t="s">
        <v>7439</v>
      </c>
      <c r="AO10623">
        <v>30000</v>
      </c>
      <c r="AU10623">
        <v>3</v>
      </c>
      <c r="AV10623" t="s">
        <v>773</v>
      </c>
      <c r="AW10623" t="s">
        <v>46858</v>
      </c>
    </row>
    <row r="10624" spans="1:50">
      <c r="A10624" s="1">
        <f>HYPERLINK("https://lsnyc.legalserver.org/matter/dynamic-profile/view/1899458","19-1899458")</f>
        <v>0</v>
      </c>
      <c r="B10624" t="s">
        <v>325</v>
      </c>
      <c r="C10624" t="s">
        <v>341</v>
      </c>
      <c r="D10624" t="s">
        <v>817</v>
      </c>
      <c r="E10624" t="s">
        <v>729</v>
      </c>
      <c r="F10624" t="s">
        <v>1366</v>
      </c>
      <c r="G10624" t="s">
        <v>5639</v>
      </c>
      <c r="H10624" t="s">
        <v>16806</v>
      </c>
      <c r="I10624" t="s">
        <v>17711</v>
      </c>
      <c r="J10624" t="s">
        <v>18894</v>
      </c>
      <c r="K10624">
        <v>11233</v>
      </c>
      <c r="L10624" t="s">
        <v>18960</v>
      </c>
      <c r="M10624" t="s">
        <v>18960</v>
      </c>
      <c r="Q10624" t="s">
        <v>26570</v>
      </c>
      <c r="R10624" t="s">
        <v>26583</v>
      </c>
      <c r="U10624" t="s">
        <v>26604</v>
      </c>
      <c r="X10624">
        <v>3000</v>
      </c>
      <c r="Y10624" t="s">
        <v>26652</v>
      </c>
      <c r="Z10624" t="s">
        <v>26530</v>
      </c>
      <c r="AA10624" t="s">
        <v>26683</v>
      </c>
      <c r="AB10624" t="s">
        <v>34066</v>
      </c>
      <c r="AD10624" t="s">
        <v>45000</v>
      </c>
      <c r="AE10624">
        <v>2</v>
      </c>
      <c r="AH10624">
        <v>1</v>
      </c>
      <c r="AI10624">
        <v>1</v>
      </c>
      <c r="AJ10624">
        <v>0</v>
      </c>
      <c r="AK10624">
        <v>249.8</v>
      </c>
      <c r="AN10624" t="s">
        <v>7439</v>
      </c>
      <c r="AO10624">
        <v>31200</v>
      </c>
      <c r="AU10624">
        <v>5.1</v>
      </c>
      <c r="AV10624" t="s">
        <v>729</v>
      </c>
      <c r="AW10624" t="s">
        <v>46850</v>
      </c>
    </row>
    <row r="10625" spans="1:50">
      <c r="A10625" s="1">
        <f>HYPERLINK("https://lsnyc.legalserver.org/matter/dynamic-profile/view/1898767","19-1898767")</f>
        <v>0</v>
      </c>
      <c r="B10625" t="s">
        <v>104</v>
      </c>
      <c r="C10625" t="s">
        <v>341</v>
      </c>
      <c r="D10625" t="s">
        <v>817</v>
      </c>
      <c r="E10625" t="s">
        <v>819</v>
      </c>
      <c r="F10625" t="s">
        <v>1763</v>
      </c>
      <c r="G10625" t="s">
        <v>9418</v>
      </c>
      <c r="H10625" t="s">
        <v>16807</v>
      </c>
      <c r="I10625" t="s">
        <v>17354</v>
      </c>
      <c r="J10625" t="s">
        <v>18902</v>
      </c>
      <c r="K10625">
        <v>10306</v>
      </c>
      <c r="L10625" t="s">
        <v>18958</v>
      </c>
      <c r="M10625" t="s">
        <v>18960</v>
      </c>
      <c r="N10625" t="s">
        <v>26111</v>
      </c>
      <c r="O10625" t="s">
        <v>26523</v>
      </c>
      <c r="P10625" t="s">
        <v>26564</v>
      </c>
      <c r="Q10625" t="s">
        <v>26570</v>
      </c>
      <c r="R10625" t="s">
        <v>26587</v>
      </c>
      <c r="S10625" t="s">
        <v>18959</v>
      </c>
      <c r="U10625" t="s">
        <v>26604</v>
      </c>
      <c r="V10625" t="s">
        <v>26610</v>
      </c>
      <c r="X10625">
        <v>1395</v>
      </c>
      <c r="Y10625" t="s">
        <v>26654</v>
      </c>
      <c r="Z10625" t="s">
        <v>26668</v>
      </c>
      <c r="AA10625" t="s">
        <v>26683</v>
      </c>
      <c r="AB10625" t="s">
        <v>34067</v>
      </c>
      <c r="AD10625" t="s">
        <v>45001</v>
      </c>
      <c r="AE10625">
        <v>4</v>
      </c>
      <c r="AF10625" t="s">
        <v>45541</v>
      </c>
      <c r="AG10625" t="s">
        <v>19330</v>
      </c>
      <c r="AH10625">
        <v>1</v>
      </c>
      <c r="AI10625">
        <v>1</v>
      </c>
      <c r="AJ10625">
        <v>0</v>
      </c>
      <c r="AK10625">
        <v>124.9</v>
      </c>
      <c r="AN10625" t="s">
        <v>7439</v>
      </c>
      <c r="AO10625">
        <v>15600</v>
      </c>
      <c r="AU10625">
        <v>1.1</v>
      </c>
      <c r="AV10625" t="s">
        <v>813</v>
      </c>
      <c r="AW10625" t="s">
        <v>46883</v>
      </c>
      <c r="AX10625" t="s">
        <v>46897</v>
      </c>
    </row>
    <row r="10626" spans="1:50">
      <c r="A10626" s="1">
        <f>HYPERLINK("https://lsnyc.legalserver.org/matter/dynamic-profile/view/1899524","19-1899524")</f>
        <v>0</v>
      </c>
      <c r="B10626" t="s">
        <v>149</v>
      </c>
      <c r="C10626" t="s">
        <v>340</v>
      </c>
      <c r="D10626" t="s">
        <v>817</v>
      </c>
      <c r="F10626" t="s">
        <v>4870</v>
      </c>
      <c r="G10626" t="s">
        <v>879</v>
      </c>
      <c r="H10626" t="s">
        <v>16808</v>
      </c>
      <c r="I10626" t="s">
        <v>18813</v>
      </c>
      <c r="J10626" t="s">
        <v>18892</v>
      </c>
      <c r="K10626">
        <v>10467</v>
      </c>
      <c r="L10626" t="s">
        <v>18960</v>
      </c>
      <c r="M10626" t="s">
        <v>18960</v>
      </c>
      <c r="N10626" t="s">
        <v>26112</v>
      </c>
      <c r="O10626" t="s">
        <v>26524</v>
      </c>
      <c r="P10626" t="s">
        <v>26560</v>
      </c>
      <c r="R10626" t="s">
        <v>26579</v>
      </c>
      <c r="S10626" t="s">
        <v>18959</v>
      </c>
      <c r="U10626" t="s">
        <v>26604</v>
      </c>
      <c r="V10626" t="s">
        <v>26610</v>
      </c>
      <c r="X10626">
        <v>1515</v>
      </c>
      <c r="Y10626" t="s">
        <v>26650</v>
      </c>
      <c r="Z10626" t="s">
        <v>26664</v>
      </c>
      <c r="AB10626" t="s">
        <v>34068</v>
      </c>
      <c r="AE10626">
        <v>4</v>
      </c>
      <c r="AG10626" t="s">
        <v>45558</v>
      </c>
      <c r="AH10626">
        <v>0</v>
      </c>
      <c r="AI10626">
        <v>1</v>
      </c>
      <c r="AJ10626">
        <v>2</v>
      </c>
      <c r="AK10626">
        <v>0</v>
      </c>
      <c r="AN10626" t="s">
        <v>7439</v>
      </c>
      <c r="AO10626">
        <v>0</v>
      </c>
      <c r="AU10626">
        <v>6.65</v>
      </c>
      <c r="AV10626" t="s">
        <v>835</v>
      </c>
      <c r="AW10626" t="s">
        <v>336</v>
      </c>
    </row>
    <row r="10627" spans="1:50">
      <c r="A10627" s="1">
        <f>HYPERLINK("https://lsnyc.legalserver.org/matter/dynamic-profile/view/1899535","19-1899535")</f>
        <v>0</v>
      </c>
      <c r="B10627" t="s">
        <v>97</v>
      </c>
      <c r="C10627" t="s">
        <v>340</v>
      </c>
      <c r="D10627" t="s">
        <v>817</v>
      </c>
      <c r="F10627" t="s">
        <v>2456</v>
      </c>
      <c r="G10627" t="s">
        <v>5008</v>
      </c>
      <c r="H10627" t="s">
        <v>11242</v>
      </c>
      <c r="I10627" t="s">
        <v>18814</v>
      </c>
      <c r="J10627" t="s">
        <v>18892</v>
      </c>
      <c r="K10627">
        <v>10453</v>
      </c>
      <c r="L10627" t="s">
        <v>18958</v>
      </c>
      <c r="M10627" t="s">
        <v>18960</v>
      </c>
      <c r="N10627" t="s">
        <v>26113</v>
      </c>
      <c r="O10627" t="s">
        <v>26523</v>
      </c>
      <c r="R10627" t="s">
        <v>26577</v>
      </c>
      <c r="S10627" t="s">
        <v>18959</v>
      </c>
      <c r="U10627" t="s">
        <v>26604</v>
      </c>
      <c r="X10627">
        <v>1078</v>
      </c>
      <c r="Y10627" t="s">
        <v>26650</v>
      </c>
      <c r="AB10627" t="s">
        <v>34069</v>
      </c>
      <c r="AD10627" t="s">
        <v>45002</v>
      </c>
      <c r="AE10627">
        <v>0</v>
      </c>
      <c r="AG10627" t="s">
        <v>45556</v>
      </c>
      <c r="AH10627">
        <v>22</v>
      </c>
      <c r="AI10627">
        <v>1</v>
      </c>
      <c r="AJ10627">
        <v>1</v>
      </c>
      <c r="AK10627">
        <v>78.06</v>
      </c>
      <c r="AN10627" t="s">
        <v>7439</v>
      </c>
      <c r="AO10627">
        <v>13200</v>
      </c>
      <c r="AU10627">
        <v>1.7</v>
      </c>
      <c r="AV10627" t="s">
        <v>797</v>
      </c>
      <c r="AW10627" t="s">
        <v>335</v>
      </c>
      <c r="AX10627" t="s">
        <v>46897</v>
      </c>
    </row>
    <row r="10628" spans="1:50">
      <c r="A10628" s="1">
        <f>HYPERLINK("https://lsnyc.legalserver.org/matter/dynamic-profile/view/1899487","19-1899487")</f>
        <v>0</v>
      </c>
      <c r="B10628" t="s">
        <v>322</v>
      </c>
      <c r="C10628" t="s">
        <v>340</v>
      </c>
      <c r="D10628" t="s">
        <v>817</v>
      </c>
      <c r="F10628" t="s">
        <v>4871</v>
      </c>
      <c r="G10628" t="s">
        <v>5828</v>
      </c>
      <c r="H10628" t="s">
        <v>16809</v>
      </c>
      <c r="I10628" t="s">
        <v>18815</v>
      </c>
      <c r="J10628" t="s">
        <v>18893</v>
      </c>
      <c r="K10628">
        <v>10036</v>
      </c>
      <c r="L10628" t="s">
        <v>18960</v>
      </c>
      <c r="M10628" t="s">
        <v>18960</v>
      </c>
      <c r="P10628" t="s">
        <v>26563</v>
      </c>
      <c r="R10628" t="s">
        <v>26591</v>
      </c>
      <c r="U10628" t="s">
        <v>26606</v>
      </c>
      <c r="X10628">
        <v>700</v>
      </c>
      <c r="Y10628" t="s">
        <v>26651</v>
      </c>
      <c r="AB10628" t="s">
        <v>34070</v>
      </c>
      <c r="AD10628" t="s">
        <v>45003</v>
      </c>
      <c r="AE10628">
        <v>104</v>
      </c>
      <c r="AH10628">
        <v>0</v>
      </c>
      <c r="AI10628">
        <v>1</v>
      </c>
      <c r="AJ10628">
        <v>1</v>
      </c>
      <c r="AK10628">
        <v>169.84</v>
      </c>
      <c r="AN10628" t="s">
        <v>7439</v>
      </c>
      <c r="AO10628">
        <v>28720</v>
      </c>
      <c r="AU10628">
        <v>0.5</v>
      </c>
      <c r="AV10628" t="s">
        <v>817</v>
      </c>
      <c r="AW10628" t="s">
        <v>46850</v>
      </c>
    </row>
    <row r="10629" spans="1:50">
      <c r="A10629" s="1">
        <f>HYPERLINK("https://lsnyc.legalserver.org/matter/dynamic-profile/view/1899480","19-1899480")</f>
        <v>0</v>
      </c>
      <c r="B10629" t="s">
        <v>140</v>
      </c>
      <c r="C10629" t="s">
        <v>340</v>
      </c>
      <c r="D10629" t="s">
        <v>817</v>
      </c>
      <c r="F10629" t="s">
        <v>1652</v>
      </c>
      <c r="G10629" t="s">
        <v>7877</v>
      </c>
      <c r="H10629" t="s">
        <v>14001</v>
      </c>
      <c r="I10629" t="s">
        <v>18309</v>
      </c>
      <c r="J10629" t="s">
        <v>18894</v>
      </c>
      <c r="K10629">
        <v>11210</v>
      </c>
      <c r="L10629" t="s">
        <v>18958</v>
      </c>
      <c r="M10629" t="s">
        <v>18960</v>
      </c>
      <c r="N10629" t="s">
        <v>23379</v>
      </c>
      <c r="P10629" t="s">
        <v>26563</v>
      </c>
      <c r="R10629" t="s">
        <v>26591</v>
      </c>
      <c r="U10629" t="s">
        <v>26607</v>
      </c>
      <c r="X10629">
        <v>1065.36</v>
      </c>
      <c r="Y10629" t="s">
        <v>26652</v>
      </c>
      <c r="Z10629" t="s">
        <v>26659</v>
      </c>
      <c r="AB10629" t="s">
        <v>31428</v>
      </c>
      <c r="AD10629" t="s">
        <v>41640</v>
      </c>
      <c r="AE10629">
        <v>6</v>
      </c>
      <c r="AG10629" t="s">
        <v>19330</v>
      </c>
      <c r="AH10629">
        <v>36</v>
      </c>
      <c r="AI10629">
        <v>2</v>
      </c>
      <c r="AJ10629">
        <v>0</v>
      </c>
      <c r="AK10629">
        <v>50.38</v>
      </c>
      <c r="AN10629" t="s">
        <v>7439</v>
      </c>
      <c r="AO10629">
        <v>8520</v>
      </c>
      <c r="AU10629">
        <v>0.3</v>
      </c>
      <c r="AV10629" t="s">
        <v>817</v>
      </c>
      <c r="AW10629" t="s">
        <v>46862</v>
      </c>
    </row>
    <row r="10630" spans="1:50">
      <c r="A10630" s="1">
        <f>HYPERLINK("https://lsnyc.legalserver.org/matter/dynamic-profile/view/1899451","19-1899451")</f>
        <v>0</v>
      </c>
      <c r="B10630" t="s">
        <v>159</v>
      </c>
      <c r="C10630" t="s">
        <v>340</v>
      </c>
      <c r="D10630" t="s">
        <v>817</v>
      </c>
      <c r="F10630" t="s">
        <v>2120</v>
      </c>
      <c r="G10630" t="s">
        <v>1146</v>
      </c>
      <c r="H10630" t="s">
        <v>15612</v>
      </c>
      <c r="I10630" t="s">
        <v>17626</v>
      </c>
      <c r="J10630" t="s">
        <v>18901</v>
      </c>
      <c r="K10630">
        <v>11434</v>
      </c>
      <c r="L10630" t="s">
        <v>18958</v>
      </c>
      <c r="M10630" t="s">
        <v>18960</v>
      </c>
      <c r="N10630" t="s">
        <v>26114</v>
      </c>
      <c r="O10630" t="s">
        <v>26523</v>
      </c>
      <c r="P10630" t="s">
        <v>26560</v>
      </c>
      <c r="R10630" t="s">
        <v>26585</v>
      </c>
      <c r="S10630" t="s">
        <v>18959</v>
      </c>
      <c r="U10630" t="s">
        <v>26604</v>
      </c>
      <c r="X10630">
        <v>1020.36</v>
      </c>
      <c r="Y10630" t="s">
        <v>26653</v>
      </c>
      <c r="Z10630" t="s">
        <v>26668</v>
      </c>
      <c r="AB10630" t="s">
        <v>34071</v>
      </c>
      <c r="AD10630" t="s">
        <v>34738</v>
      </c>
      <c r="AE10630">
        <v>0</v>
      </c>
      <c r="AF10630" t="s">
        <v>45550</v>
      </c>
      <c r="AG10630" t="s">
        <v>19330</v>
      </c>
      <c r="AH10630">
        <v>26</v>
      </c>
      <c r="AI10630">
        <v>2</v>
      </c>
      <c r="AJ10630">
        <v>0</v>
      </c>
      <c r="AK10630">
        <v>358.37</v>
      </c>
      <c r="AL10630" t="s">
        <v>808</v>
      </c>
      <c r="AM10630" t="s">
        <v>45575</v>
      </c>
      <c r="AN10630" t="s">
        <v>7439</v>
      </c>
      <c r="AO10630">
        <v>60600</v>
      </c>
      <c r="AU10630">
        <v>6.4</v>
      </c>
      <c r="AV10630" t="s">
        <v>836</v>
      </c>
      <c r="AW10630" t="s">
        <v>208</v>
      </c>
      <c r="AX10630" t="s">
        <v>46897</v>
      </c>
    </row>
    <row r="10631" spans="1:50">
      <c r="A10631" s="1">
        <f>HYPERLINK("https://lsnyc.legalserver.org/matter/dynamic-profile/view/1899508","19-1899508")</f>
        <v>0</v>
      </c>
      <c r="B10631" t="s">
        <v>82</v>
      </c>
      <c r="C10631" t="s">
        <v>340</v>
      </c>
      <c r="D10631" t="s">
        <v>817</v>
      </c>
      <c r="F10631" t="s">
        <v>3465</v>
      </c>
      <c r="G10631" t="s">
        <v>5909</v>
      </c>
      <c r="H10631" t="s">
        <v>12096</v>
      </c>
      <c r="I10631" t="s">
        <v>17299</v>
      </c>
      <c r="J10631" t="s">
        <v>18892</v>
      </c>
      <c r="K10631">
        <v>10458</v>
      </c>
      <c r="L10631" t="s">
        <v>18959</v>
      </c>
      <c r="M10631" t="s">
        <v>18960</v>
      </c>
      <c r="N10631" t="s">
        <v>26115</v>
      </c>
      <c r="O10631" t="s">
        <v>26524</v>
      </c>
      <c r="P10631" t="s">
        <v>26563</v>
      </c>
      <c r="R10631" t="s">
        <v>26577</v>
      </c>
      <c r="S10631" t="s">
        <v>18959</v>
      </c>
      <c r="U10631" t="s">
        <v>26604</v>
      </c>
      <c r="X10631">
        <v>0</v>
      </c>
      <c r="Y10631" t="s">
        <v>26650</v>
      </c>
      <c r="AB10631" t="s">
        <v>34072</v>
      </c>
      <c r="AE10631">
        <v>0</v>
      </c>
      <c r="AH10631">
        <v>0</v>
      </c>
      <c r="AI10631">
        <v>2</v>
      </c>
      <c r="AJ10631">
        <v>0</v>
      </c>
      <c r="AK10631">
        <v>0</v>
      </c>
      <c r="AN10631" t="s">
        <v>45581</v>
      </c>
      <c r="AO10631">
        <v>0</v>
      </c>
      <c r="AU10631">
        <v>2</v>
      </c>
      <c r="AV10631" t="s">
        <v>828</v>
      </c>
      <c r="AW10631" t="s">
        <v>335</v>
      </c>
    </row>
    <row r="10632" spans="1:50">
      <c r="A10632" s="1">
        <f>HYPERLINK("https://lsnyc.legalserver.org/matter/dynamic-profile/view/1893600","19-1893600")</f>
        <v>0</v>
      </c>
      <c r="B10632" t="s">
        <v>104</v>
      </c>
      <c r="C10632" t="s">
        <v>340</v>
      </c>
      <c r="D10632" t="s">
        <v>817</v>
      </c>
      <c r="F10632" t="s">
        <v>1292</v>
      </c>
      <c r="G10632" t="s">
        <v>5592</v>
      </c>
      <c r="H10632" t="s">
        <v>16810</v>
      </c>
      <c r="I10632" t="s">
        <v>17366</v>
      </c>
      <c r="J10632" t="s">
        <v>18902</v>
      </c>
      <c r="K10632">
        <v>10314</v>
      </c>
      <c r="L10632" t="s">
        <v>18960</v>
      </c>
      <c r="M10632" t="s">
        <v>18960</v>
      </c>
      <c r="R10632" t="s">
        <v>26587</v>
      </c>
      <c r="U10632" t="s">
        <v>26605</v>
      </c>
      <c r="X10632">
        <v>0</v>
      </c>
      <c r="Y10632" t="s">
        <v>26654</v>
      </c>
      <c r="AB10632" t="s">
        <v>30487</v>
      </c>
      <c r="AD10632" t="s">
        <v>45004</v>
      </c>
      <c r="AE10632">
        <v>0</v>
      </c>
      <c r="AH10632">
        <v>0</v>
      </c>
      <c r="AI10632">
        <v>2</v>
      </c>
      <c r="AJ10632">
        <v>0</v>
      </c>
      <c r="AK10632">
        <v>36.92</v>
      </c>
      <c r="AN10632" t="s">
        <v>7439</v>
      </c>
      <c r="AO10632">
        <v>6244</v>
      </c>
      <c r="AU10632">
        <v>6.2</v>
      </c>
      <c r="AV10632" t="s">
        <v>833</v>
      </c>
      <c r="AW10632" t="s">
        <v>46852</v>
      </c>
    </row>
    <row r="10633" spans="1:50">
      <c r="A10633" s="1">
        <f>HYPERLINK("https://lsnyc.legalserver.org/matter/dynamic-profile/view/1898236","19-1898236")</f>
        <v>0</v>
      </c>
      <c r="B10633" t="s">
        <v>104</v>
      </c>
      <c r="C10633" t="s">
        <v>340</v>
      </c>
      <c r="D10633" t="s">
        <v>817</v>
      </c>
      <c r="F10633" t="s">
        <v>2621</v>
      </c>
      <c r="G10633" t="s">
        <v>9154</v>
      </c>
      <c r="H10633" t="s">
        <v>16811</v>
      </c>
      <c r="J10633" t="s">
        <v>18902</v>
      </c>
      <c r="K10633">
        <v>10312</v>
      </c>
      <c r="L10633" t="s">
        <v>18960</v>
      </c>
      <c r="M10633" t="s">
        <v>18960</v>
      </c>
      <c r="N10633" t="s">
        <v>26116</v>
      </c>
      <c r="O10633" t="s">
        <v>26524</v>
      </c>
      <c r="R10633" t="s">
        <v>26587</v>
      </c>
      <c r="S10633" t="s">
        <v>18959</v>
      </c>
      <c r="U10633" t="s">
        <v>26604</v>
      </c>
      <c r="V10633" t="s">
        <v>26610</v>
      </c>
      <c r="X10633">
        <v>1500</v>
      </c>
      <c r="Y10633" t="s">
        <v>26654</v>
      </c>
      <c r="Z10633" t="s">
        <v>26668</v>
      </c>
      <c r="AB10633" t="s">
        <v>34073</v>
      </c>
      <c r="AD10633" t="s">
        <v>45005</v>
      </c>
      <c r="AE10633">
        <v>1</v>
      </c>
      <c r="AF10633" t="s">
        <v>45547</v>
      </c>
      <c r="AG10633" t="s">
        <v>19330</v>
      </c>
      <c r="AH10633">
        <v>13</v>
      </c>
      <c r="AI10633">
        <v>4</v>
      </c>
      <c r="AJ10633">
        <v>5</v>
      </c>
      <c r="AK10633">
        <v>80.45999999999999</v>
      </c>
      <c r="AN10633" t="s">
        <v>7439</v>
      </c>
      <c r="AO10633">
        <v>38500</v>
      </c>
      <c r="AU10633">
        <v>4.5</v>
      </c>
      <c r="AV10633" t="s">
        <v>772</v>
      </c>
      <c r="AW10633" t="s">
        <v>46883</v>
      </c>
    </row>
    <row r="10634" spans="1:50">
      <c r="A10634" s="1">
        <f>HYPERLINK("https://lsnyc.legalserver.org/matter/dynamic-profile/view/1899467","19-1899467")</f>
        <v>0</v>
      </c>
      <c r="B10634" t="s">
        <v>269</v>
      </c>
      <c r="C10634" t="s">
        <v>340</v>
      </c>
      <c r="D10634" t="s">
        <v>817</v>
      </c>
      <c r="F10634" t="s">
        <v>1827</v>
      </c>
      <c r="G10634" t="s">
        <v>6816</v>
      </c>
      <c r="H10634" t="s">
        <v>16812</v>
      </c>
      <c r="I10634" t="s">
        <v>17424</v>
      </c>
      <c r="J10634" t="s">
        <v>18892</v>
      </c>
      <c r="K10634">
        <v>10460</v>
      </c>
      <c r="L10634" t="s">
        <v>18959</v>
      </c>
      <c r="M10634" t="s">
        <v>18960</v>
      </c>
      <c r="N10634" t="s">
        <v>26117</v>
      </c>
      <c r="O10634" t="s">
        <v>26524</v>
      </c>
      <c r="P10634" t="s">
        <v>26560</v>
      </c>
      <c r="R10634" t="s">
        <v>26577</v>
      </c>
      <c r="U10634" t="s">
        <v>26604</v>
      </c>
      <c r="V10634" t="s">
        <v>26610</v>
      </c>
      <c r="X10634">
        <v>0</v>
      </c>
      <c r="Y10634" t="s">
        <v>26650</v>
      </c>
      <c r="AB10634" t="s">
        <v>34074</v>
      </c>
      <c r="AD10634" t="s">
        <v>45006</v>
      </c>
      <c r="AE10634">
        <v>0</v>
      </c>
      <c r="AF10634" t="s">
        <v>45549</v>
      </c>
      <c r="AH10634">
        <v>5</v>
      </c>
      <c r="AI10634">
        <v>2</v>
      </c>
      <c r="AJ10634">
        <v>1</v>
      </c>
      <c r="AK10634">
        <v>158.46</v>
      </c>
      <c r="AN10634" t="s">
        <v>7439</v>
      </c>
      <c r="AO10634">
        <v>33800</v>
      </c>
      <c r="AU10634">
        <v>48.5</v>
      </c>
      <c r="AV10634" t="s">
        <v>839</v>
      </c>
      <c r="AW10634" t="s">
        <v>335</v>
      </c>
      <c r="AX10634" t="s">
        <v>19330</v>
      </c>
    </row>
    <row r="10635" spans="1:50">
      <c r="A10635" s="1">
        <f>HYPERLINK("https://lsnyc.legalserver.org/matter/dynamic-profile/view/1899461","19-1899461")</f>
        <v>0</v>
      </c>
      <c r="B10635" t="s">
        <v>87</v>
      </c>
      <c r="C10635" t="s">
        <v>340</v>
      </c>
      <c r="D10635" t="s">
        <v>817</v>
      </c>
      <c r="F10635" t="s">
        <v>4872</v>
      </c>
      <c r="G10635" t="s">
        <v>9419</v>
      </c>
      <c r="H10635" t="s">
        <v>16813</v>
      </c>
      <c r="I10635" t="s">
        <v>17471</v>
      </c>
      <c r="J10635" t="s">
        <v>18892</v>
      </c>
      <c r="K10635">
        <v>10467</v>
      </c>
      <c r="L10635" t="s">
        <v>18958</v>
      </c>
      <c r="M10635" t="s">
        <v>18960</v>
      </c>
      <c r="N10635" t="s">
        <v>26118</v>
      </c>
      <c r="O10635" t="s">
        <v>26523</v>
      </c>
      <c r="R10635" t="s">
        <v>26579</v>
      </c>
      <c r="S10635" t="s">
        <v>18959</v>
      </c>
      <c r="U10635" t="s">
        <v>26604</v>
      </c>
      <c r="X10635">
        <v>844</v>
      </c>
      <c r="Y10635" t="s">
        <v>26650</v>
      </c>
      <c r="Z10635" t="s">
        <v>26664</v>
      </c>
      <c r="AB10635" t="s">
        <v>34075</v>
      </c>
      <c r="AD10635" t="s">
        <v>45007</v>
      </c>
      <c r="AE10635">
        <v>0</v>
      </c>
      <c r="AH10635">
        <v>17</v>
      </c>
      <c r="AI10635">
        <v>3</v>
      </c>
      <c r="AJ10635">
        <v>0</v>
      </c>
      <c r="AK10635">
        <v>170.65</v>
      </c>
      <c r="AN10635" t="s">
        <v>7439</v>
      </c>
      <c r="AO10635">
        <v>36400</v>
      </c>
      <c r="AU10635">
        <v>2.5</v>
      </c>
      <c r="AV10635" t="s">
        <v>838</v>
      </c>
      <c r="AW10635" t="s">
        <v>46870</v>
      </c>
      <c r="AX10635" t="s">
        <v>46897</v>
      </c>
    </row>
    <row r="10636" spans="1:50">
      <c r="A10636" s="1">
        <f>HYPERLINK("https://lsnyc.legalserver.org/matter/dynamic-profile/view/1899530","19-1899530")</f>
        <v>0</v>
      </c>
      <c r="B10636" t="s">
        <v>221</v>
      </c>
      <c r="C10636" t="s">
        <v>340</v>
      </c>
      <c r="D10636" t="s">
        <v>817</v>
      </c>
      <c r="F10636" t="s">
        <v>3155</v>
      </c>
      <c r="G10636" t="s">
        <v>7407</v>
      </c>
      <c r="H10636" t="s">
        <v>13209</v>
      </c>
      <c r="J10636" t="s">
        <v>18901</v>
      </c>
      <c r="K10636">
        <v>11434</v>
      </c>
      <c r="L10636" t="s">
        <v>18960</v>
      </c>
      <c r="M10636" t="s">
        <v>18960</v>
      </c>
      <c r="N10636" t="s">
        <v>26119</v>
      </c>
      <c r="P10636" t="s">
        <v>26560</v>
      </c>
      <c r="R10636" t="s">
        <v>26585</v>
      </c>
      <c r="U10636" t="s">
        <v>26604</v>
      </c>
      <c r="X10636">
        <v>0</v>
      </c>
      <c r="Y10636" t="s">
        <v>26653</v>
      </c>
      <c r="AB10636" t="s">
        <v>28570</v>
      </c>
      <c r="AC10636" t="s">
        <v>35839</v>
      </c>
      <c r="AE10636">
        <v>0</v>
      </c>
      <c r="AH10636">
        <v>0</v>
      </c>
      <c r="AI10636">
        <v>1</v>
      </c>
      <c r="AJ10636">
        <v>4</v>
      </c>
      <c r="AK10636">
        <v>20.68</v>
      </c>
      <c r="AO10636">
        <v>6240</v>
      </c>
      <c r="AU10636">
        <v>16.5</v>
      </c>
      <c r="AV10636" t="s">
        <v>834</v>
      </c>
      <c r="AW10636" t="s">
        <v>282</v>
      </c>
    </row>
    <row r="10637" spans="1:50">
      <c r="A10637" s="1">
        <f>HYPERLINK("https://lsnyc.legalserver.org/matter/dynamic-profile/view/1899110","19-1899110")</f>
        <v>0</v>
      </c>
      <c r="B10637" t="s">
        <v>278</v>
      </c>
      <c r="C10637" t="s">
        <v>341</v>
      </c>
      <c r="D10637" t="s">
        <v>813</v>
      </c>
      <c r="E10637" t="s">
        <v>830</v>
      </c>
      <c r="F10637" t="s">
        <v>1830</v>
      </c>
      <c r="G10637" t="s">
        <v>7383</v>
      </c>
      <c r="H10637" t="s">
        <v>16814</v>
      </c>
      <c r="I10637" t="s">
        <v>17415</v>
      </c>
      <c r="J10637" t="s">
        <v>18902</v>
      </c>
      <c r="K10637">
        <v>10303</v>
      </c>
      <c r="L10637" t="s">
        <v>18960</v>
      </c>
      <c r="M10637" t="s">
        <v>18960</v>
      </c>
      <c r="O10637" t="s">
        <v>26524</v>
      </c>
      <c r="Q10637" t="s">
        <v>26568</v>
      </c>
      <c r="R10637" t="s">
        <v>26590</v>
      </c>
      <c r="U10637" t="s">
        <v>26604</v>
      </c>
      <c r="X10637">
        <v>1500</v>
      </c>
      <c r="Y10637" t="s">
        <v>26654</v>
      </c>
      <c r="Z10637" t="s">
        <v>26530</v>
      </c>
      <c r="AA10637" t="s">
        <v>26679</v>
      </c>
      <c r="AB10637" t="s">
        <v>34076</v>
      </c>
      <c r="AD10637" t="s">
        <v>45008</v>
      </c>
      <c r="AE10637">
        <v>2</v>
      </c>
      <c r="AF10637" t="s">
        <v>45545</v>
      </c>
      <c r="AH10637">
        <v>0</v>
      </c>
      <c r="AI10637">
        <v>3</v>
      </c>
      <c r="AJ10637">
        <v>0</v>
      </c>
      <c r="AK10637">
        <v>165.96</v>
      </c>
      <c r="AN10637" t="s">
        <v>7439</v>
      </c>
      <c r="AO10637">
        <v>35400</v>
      </c>
      <c r="AU10637">
        <v>14.4</v>
      </c>
      <c r="AV10637" t="s">
        <v>830</v>
      </c>
      <c r="AW10637" t="s">
        <v>316</v>
      </c>
    </row>
    <row r="10638" spans="1:50">
      <c r="A10638" s="1">
        <f>HYPERLINK("https://lsnyc.legalserver.org/matter/dynamic-profile/view/1899550","19-1899550")</f>
        <v>0</v>
      </c>
      <c r="B10638" t="s">
        <v>279</v>
      </c>
      <c r="C10638" t="s">
        <v>341</v>
      </c>
      <c r="D10638" t="s">
        <v>813</v>
      </c>
      <c r="E10638" t="s">
        <v>805</v>
      </c>
      <c r="F10638" t="s">
        <v>4873</v>
      </c>
      <c r="G10638" t="s">
        <v>5212</v>
      </c>
      <c r="H10638" t="s">
        <v>15953</v>
      </c>
      <c r="I10638" t="s">
        <v>17283</v>
      </c>
      <c r="J10638" t="s">
        <v>18894</v>
      </c>
      <c r="K10638">
        <v>11233</v>
      </c>
      <c r="L10638" t="s">
        <v>18959</v>
      </c>
      <c r="M10638" t="s">
        <v>18960</v>
      </c>
      <c r="O10638" t="s">
        <v>18997</v>
      </c>
      <c r="Q10638" t="s">
        <v>26570</v>
      </c>
      <c r="R10638" t="s">
        <v>26578</v>
      </c>
      <c r="S10638" t="s">
        <v>18959</v>
      </c>
      <c r="U10638" t="s">
        <v>26604</v>
      </c>
      <c r="V10638" t="s">
        <v>26610</v>
      </c>
      <c r="X10638">
        <v>650</v>
      </c>
      <c r="Y10638" t="s">
        <v>26652</v>
      </c>
      <c r="AA10638" t="s">
        <v>26683</v>
      </c>
      <c r="AB10638" t="s">
        <v>34077</v>
      </c>
      <c r="AD10638" t="s">
        <v>45009</v>
      </c>
      <c r="AE10638">
        <v>12</v>
      </c>
      <c r="AF10638" t="s">
        <v>45541</v>
      </c>
      <c r="AG10638" t="s">
        <v>19330</v>
      </c>
      <c r="AH10638">
        <v>2</v>
      </c>
      <c r="AI10638">
        <v>1</v>
      </c>
      <c r="AJ10638">
        <v>0</v>
      </c>
      <c r="AK10638">
        <v>82.23999999999999</v>
      </c>
      <c r="AN10638" t="s">
        <v>7439</v>
      </c>
      <c r="AO10638">
        <v>10272</v>
      </c>
      <c r="AP10638" t="s">
        <v>46317</v>
      </c>
      <c r="AU10638">
        <v>1.25</v>
      </c>
      <c r="AV10638" t="s">
        <v>805</v>
      </c>
      <c r="AW10638" t="s">
        <v>46859</v>
      </c>
      <c r="AX10638" t="s">
        <v>19330</v>
      </c>
    </row>
    <row r="10639" spans="1:50">
      <c r="A10639" s="1">
        <f>HYPERLINK("https://lsnyc.legalserver.org/matter/dynamic-profile/view/1899549","19-1899549")</f>
        <v>0</v>
      </c>
      <c r="B10639" t="s">
        <v>245</v>
      </c>
      <c r="C10639" t="s">
        <v>340</v>
      </c>
      <c r="D10639" t="s">
        <v>813</v>
      </c>
      <c r="F10639" t="s">
        <v>1697</v>
      </c>
      <c r="G10639" t="s">
        <v>1339</v>
      </c>
      <c r="H10639" t="s">
        <v>16815</v>
      </c>
      <c r="I10639">
        <v>7</v>
      </c>
      <c r="J10639" t="s">
        <v>18892</v>
      </c>
      <c r="K10639">
        <v>10457</v>
      </c>
      <c r="L10639" t="s">
        <v>18958</v>
      </c>
      <c r="M10639" t="s">
        <v>18960</v>
      </c>
      <c r="N10639" t="s">
        <v>26120</v>
      </c>
      <c r="O10639" t="s">
        <v>26523</v>
      </c>
      <c r="P10639" t="s">
        <v>26560</v>
      </c>
      <c r="R10639" t="s">
        <v>26579</v>
      </c>
      <c r="S10639" t="s">
        <v>18959</v>
      </c>
      <c r="U10639" t="s">
        <v>26604</v>
      </c>
      <c r="X10639">
        <v>0</v>
      </c>
      <c r="Y10639" t="s">
        <v>26650</v>
      </c>
      <c r="AB10639" t="s">
        <v>34078</v>
      </c>
      <c r="AD10639" t="s">
        <v>45010</v>
      </c>
      <c r="AE10639">
        <v>0</v>
      </c>
      <c r="AH10639">
        <v>2</v>
      </c>
      <c r="AI10639">
        <v>1</v>
      </c>
      <c r="AJ10639">
        <v>4</v>
      </c>
      <c r="AK10639">
        <v>128.88</v>
      </c>
      <c r="AN10639" t="s">
        <v>7439</v>
      </c>
      <c r="AO10639">
        <v>38883</v>
      </c>
      <c r="AU10639">
        <v>18.3</v>
      </c>
      <c r="AV10639" t="s">
        <v>833</v>
      </c>
      <c r="AW10639" t="s">
        <v>335</v>
      </c>
      <c r="AX10639" t="s">
        <v>46897</v>
      </c>
    </row>
    <row r="10640" spans="1:50">
      <c r="A10640" s="1">
        <f>HYPERLINK("https://lsnyc.legalserver.org/matter/dynamic-profile/view/1899541","19-1899541")</f>
        <v>0</v>
      </c>
      <c r="B10640" t="s">
        <v>96</v>
      </c>
      <c r="C10640" t="s">
        <v>340</v>
      </c>
      <c r="D10640" t="s">
        <v>813</v>
      </c>
      <c r="F10640" t="s">
        <v>4874</v>
      </c>
      <c r="G10640" t="s">
        <v>7065</v>
      </c>
      <c r="H10640" t="s">
        <v>13639</v>
      </c>
      <c r="I10640" t="s">
        <v>18816</v>
      </c>
      <c r="J10640" t="s">
        <v>18892</v>
      </c>
      <c r="K10640">
        <v>10460</v>
      </c>
      <c r="L10640" t="s">
        <v>18958</v>
      </c>
      <c r="M10640" t="s">
        <v>18960</v>
      </c>
      <c r="N10640" t="s">
        <v>26121</v>
      </c>
      <c r="O10640" t="s">
        <v>26523</v>
      </c>
      <c r="P10640" t="s">
        <v>26560</v>
      </c>
      <c r="R10640" t="s">
        <v>26577</v>
      </c>
      <c r="S10640" t="s">
        <v>18959</v>
      </c>
      <c r="U10640" t="s">
        <v>26604</v>
      </c>
      <c r="X10640">
        <v>0</v>
      </c>
      <c r="Y10640" t="s">
        <v>26650</v>
      </c>
      <c r="AB10640" t="s">
        <v>34079</v>
      </c>
      <c r="AD10640" t="s">
        <v>44818</v>
      </c>
      <c r="AE10640">
        <v>0</v>
      </c>
      <c r="AG10640" t="s">
        <v>45556</v>
      </c>
      <c r="AH10640">
        <v>0</v>
      </c>
      <c r="AI10640">
        <v>1</v>
      </c>
      <c r="AJ10640">
        <v>2</v>
      </c>
      <c r="AK10640">
        <v>106.66</v>
      </c>
      <c r="AN10640" t="s">
        <v>7439</v>
      </c>
      <c r="AO10640">
        <v>22750</v>
      </c>
      <c r="AU10640">
        <v>2.5</v>
      </c>
      <c r="AV10640" t="s">
        <v>833</v>
      </c>
      <c r="AW10640" t="s">
        <v>335</v>
      </c>
      <c r="AX10640" t="s">
        <v>46897</v>
      </c>
    </row>
    <row r="10641" spans="1:50">
      <c r="A10641" s="1">
        <f>HYPERLINK("https://lsnyc.legalserver.org/matter/dynamic-profile/view/1899598","19-1899598")</f>
        <v>0</v>
      </c>
      <c r="B10641" t="s">
        <v>278</v>
      </c>
      <c r="C10641" t="s">
        <v>340</v>
      </c>
      <c r="D10641" t="s">
        <v>813</v>
      </c>
      <c r="F10641" t="s">
        <v>4875</v>
      </c>
      <c r="G10641" t="s">
        <v>9420</v>
      </c>
      <c r="H10641" t="s">
        <v>16816</v>
      </c>
      <c r="I10641" t="s">
        <v>17601</v>
      </c>
      <c r="J10641" t="s">
        <v>18902</v>
      </c>
      <c r="K10641">
        <v>10304</v>
      </c>
      <c r="L10641" t="s">
        <v>18960</v>
      </c>
      <c r="M10641" t="s">
        <v>18960</v>
      </c>
      <c r="N10641" t="s">
        <v>26122</v>
      </c>
      <c r="O10641" t="s">
        <v>26524</v>
      </c>
      <c r="R10641" t="s">
        <v>26578</v>
      </c>
      <c r="U10641" t="s">
        <v>26604</v>
      </c>
      <c r="X10641">
        <v>241</v>
      </c>
      <c r="Y10641" t="s">
        <v>26654</v>
      </c>
      <c r="Z10641" t="s">
        <v>26530</v>
      </c>
      <c r="AB10641" t="s">
        <v>26837</v>
      </c>
      <c r="AD10641" t="s">
        <v>45011</v>
      </c>
      <c r="AE10641">
        <v>0</v>
      </c>
      <c r="AH10641">
        <v>13</v>
      </c>
      <c r="AI10641">
        <v>1</v>
      </c>
      <c r="AJ10641">
        <v>0</v>
      </c>
      <c r="AK10641">
        <v>91.56</v>
      </c>
      <c r="AN10641" t="s">
        <v>7439</v>
      </c>
      <c r="AO10641">
        <v>11436</v>
      </c>
      <c r="AU10641">
        <v>7.55</v>
      </c>
      <c r="AV10641" t="s">
        <v>833</v>
      </c>
      <c r="AW10641" t="s">
        <v>46842</v>
      </c>
    </row>
    <row r="10642" spans="1:50">
      <c r="A10642" s="1">
        <f>HYPERLINK("https://lsnyc.legalserver.org/matter/dynamic-profile/view/1897829","19-1897829")</f>
        <v>0</v>
      </c>
      <c r="B10642" t="s">
        <v>278</v>
      </c>
      <c r="C10642" t="s">
        <v>340</v>
      </c>
      <c r="D10642" t="s">
        <v>813</v>
      </c>
      <c r="F10642" t="s">
        <v>4876</v>
      </c>
      <c r="G10642" t="s">
        <v>5121</v>
      </c>
      <c r="H10642" t="s">
        <v>16817</v>
      </c>
      <c r="I10642" t="s">
        <v>17416</v>
      </c>
      <c r="J10642" t="s">
        <v>18902</v>
      </c>
      <c r="K10642">
        <v>10306</v>
      </c>
      <c r="L10642" t="s">
        <v>18960</v>
      </c>
      <c r="M10642" t="s">
        <v>18960</v>
      </c>
      <c r="N10642" t="s">
        <v>26123</v>
      </c>
      <c r="O10642" t="s">
        <v>26524</v>
      </c>
      <c r="R10642" t="s">
        <v>26578</v>
      </c>
      <c r="S10642" t="s">
        <v>18959</v>
      </c>
      <c r="U10642" t="s">
        <v>26604</v>
      </c>
      <c r="X10642">
        <v>0</v>
      </c>
      <c r="Y10642" t="s">
        <v>26654</v>
      </c>
      <c r="AB10642" t="s">
        <v>34080</v>
      </c>
      <c r="AD10642" t="s">
        <v>45012</v>
      </c>
      <c r="AE10642">
        <v>0</v>
      </c>
      <c r="AH10642">
        <v>2</v>
      </c>
      <c r="AI10642">
        <v>1</v>
      </c>
      <c r="AJ10642">
        <v>0</v>
      </c>
      <c r="AK10642">
        <v>105.68</v>
      </c>
      <c r="AN10642" t="s">
        <v>7439</v>
      </c>
      <c r="AO10642">
        <v>13200</v>
      </c>
      <c r="AU10642">
        <v>12.05</v>
      </c>
      <c r="AV10642" t="s">
        <v>834</v>
      </c>
      <c r="AW10642" t="s">
        <v>46852</v>
      </c>
    </row>
    <row r="10643" spans="1:50">
      <c r="A10643" s="1">
        <f>HYPERLINK("https://lsnyc.legalserver.org/matter/dynamic-profile/view/1899654","19-1899654")</f>
        <v>0</v>
      </c>
      <c r="B10643" t="s">
        <v>149</v>
      </c>
      <c r="C10643" t="s">
        <v>340</v>
      </c>
      <c r="D10643" t="s">
        <v>813</v>
      </c>
      <c r="F10643" t="s">
        <v>3625</v>
      </c>
      <c r="G10643" t="s">
        <v>7721</v>
      </c>
      <c r="H10643" t="s">
        <v>13810</v>
      </c>
      <c r="I10643" t="s">
        <v>17306</v>
      </c>
      <c r="J10643" t="s">
        <v>18892</v>
      </c>
      <c r="K10643">
        <v>10457</v>
      </c>
      <c r="L10643" t="s">
        <v>18960</v>
      </c>
      <c r="M10643" t="s">
        <v>18960</v>
      </c>
      <c r="R10643" t="s">
        <v>26579</v>
      </c>
      <c r="S10643" t="s">
        <v>18959</v>
      </c>
      <c r="U10643" t="s">
        <v>26604</v>
      </c>
      <c r="X10643">
        <v>900</v>
      </c>
      <c r="Y10643" t="s">
        <v>26650</v>
      </c>
      <c r="Z10643" t="s">
        <v>26664</v>
      </c>
      <c r="AB10643" t="s">
        <v>28189</v>
      </c>
      <c r="AE10643">
        <v>448</v>
      </c>
      <c r="AF10643" t="s">
        <v>45549</v>
      </c>
      <c r="AG10643" t="s">
        <v>45557</v>
      </c>
      <c r="AH10643">
        <v>0</v>
      </c>
      <c r="AI10643">
        <v>2</v>
      </c>
      <c r="AJ10643">
        <v>1</v>
      </c>
      <c r="AK10643">
        <v>0</v>
      </c>
      <c r="AN10643" t="s">
        <v>45581</v>
      </c>
      <c r="AO10643">
        <v>0</v>
      </c>
      <c r="AU10643">
        <v>0</v>
      </c>
      <c r="AW10643" t="s">
        <v>336</v>
      </c>
    </row>
    <row r="10644" spans="1:50">
      <c r="A10644" s="1">
        <f>HYPERLINK("https://lsnyc.legalserver.org/matter/dynamic-profile/view/1899567","19-1899567")</f>
        <v>0</v>
      </c>
      <c r="B10644" t="s">
        <v>186</v>
      </c>
      <c r="C10644" t="s">
        <v>340</v>
      </c>
      <c r="D10644" t="s">
        <v>813</v>
      </c>
      <c r="F10644" t="s">
        <v>2704</v>
      </c>
      <c r="G10644" t="s">
        <v>7507</v>
      </c>
      <c r="H10644" t="s">
        <v>16818</v>
      </c>
      <c r="J10644" t="s">
        <v>18894</v>
      </c>
      <c r="K10644">
        <v>11221</v>
      </c>
      <c r="L10644" t="s">
        <v>18960</v>
      </c>
      <c r="M10644" t="s">
        <v>18960</v>
      </c>
      <c r="R10644" t="s">
        <v>26591</v>
      </c>
      <c r="U10644" t="s">
        <v>26604</v>
      </c>
      <c r="X10644">
        <v>0</v>
      </c>
      <c r="Y10644" t="s">
        <v>26652</v>
      </c>
      <c r="AB10644" t="s">
        <v>34081</v>
      </c>
      <c r="AD10644" t="s">
        <v>45013</v>
      </c>
      <c r="AE10644">
        <v>0</v>
      </c>
      <c r="AH10644">
        <v>0</v>
      </c>
      <c r="AI10644">
        <v>1</v>
      </c>
      <c r="AJ10644">
        <v>0</v>
      </c>
      <c r="AK10644">
        <v>82.43000000000001</v>
      </c>
      <c r="AN10644" t="s">
        <v>7439</v>
      </c>
      <c r="AO10644">
        <v>10296</v>
      </c>
      <c r="AU10644">
        <v>0.5</v>
      </c>
      <c r="AV10644" t="s">
        <v>813</v>
      </c>
      <c r="AW10644" t="s">
        <v>320</v>
      </c>
    </row>
    <row r="10645" spans="1:50">
      <c r="A10645" s="1">
        <f>HYPERLINK("https://lsnyc.legalserver.org/matter/dynamic-profile/view/1899322","19-1899322")</f>
        <v>0</v>
      </c>
      <c r="B10645" t="s">
        <v>151</v>
      </c>
      <c r="C10645" t="s">
        <v>340</v>
      </c>
      <c r="D10645" t="s">
        <v>813</v>
      </c>
      <c r="F10645" t="s">
        <v>1195</v>
      </c>
      <c r="G10645" t="s">
        <v>9421</v>
      </c>
      <c r="H10645" t="s">
        <v>16819</v>
      </c>
      <c r="I10645">
        <v>41</v>
      </c>
      <c r="J10645" t="s">
        <v>18893</v>
      </c>
      <c r="K10645">
        <v>10031</v>
      </c>
      <c r="L10645" t="s">
        <v>18960</v>
      </c>
      <c r="M10645" t="s">
        <v>18960</v>
      </c>
      <c r="P10645" t="s">
        <v>26563</v>
      </c>
      <c r="R10645" t="s">
        <v>26582</v>
      </c>
      <c r="S10645" t="s">
        <v>18959</v>
      </c>
      <c r="U10645" t="s">
        <v>26604</v>
      </c>
      <c r="V10645" t="s">
        <v>26613</v>
      </c>
      <c r="X10645">
        <v>2088</v>
      </c>
      <c r="Y10645" t="s">
        <v>26651</v>
      </c>
      <c r="Z10645" t="s">
        <v>26659</v>
      </c>
      <c r="AB10645" t="s">
        <v>28928</v>
      </c>
      <c r="AD10645" t="s">
        <v>45014</v>
      </c>
      <c r="AE10645">
        <v>0</v>
      </c>
      <c r="AF10645" t="s">
        <v>45541</v>
      </c>
      <c r="AG10645" t="s">
        <v>19330</v>
      </c>
      <c r="AH10645">
        <v>6</v>
      </c>
      <c r="AI10645">
        <v>1</v>
      </c>
      <c r="AJ10645">
        <v>0</v>
      </c>
      <c r="AK10645">
        <v>270.55</v>
      </c>
      <c r="AN10645" t="s">
        <v>7439</v>
      </c>
      <c r="AO10645">
        <v>33792</v>
      </c>
      <c r="AU10645">
        <v>0.1</v>
      </c>
      <c r="AV10645" t="s">
        <v>805</v>
      </c>
      <c r="AW10645" t="s">
        <v>314</v>
      </c>
    </row>
    <row r="10646" spans="1:50">
      <c r="A10646" s="1">
        <f>HYPERLINK("https://lsnyc.legalserver.org/matter/dynamic-profile/view/1899542","19-1899542")</f>
        <v>0</v>
      </c>
      <c r="B10646" t="s">
        <v>251</v>
      </c>
      <c r="C10646" t="s">
        <v>340</v>
      </c>
      <c r="D10646" t="s">
        <v>813</v>
      </c>
      <c r="F10646" t="s">
        <v>4877</v>
      </c>
      <c r="G10646" t="s">
        <v>9422</v>
      </c>
      <c r="H10646" t="s">
        <v>16820</v>
      </c>
      <c r="I10646" t="s">
        <v>18085</v>
      </c>
      <c r="J10646" t="s">
        <v>18892</v>
      </c>
      <c r="K10646">
        <v>10451</v>
      </c>
      <c r="L10646" t="s">
        <v>18958</v>
      </c>
      <c r="M10646" t="s">
        <v>18960</v>
      </c>
      <c r="N10646" t="s">
        <v>26124</v>
      </c>
      <c r="O10646" t="s">
        <v>26523</v>
      </c>
      <c r="P10646" t="s">
        <v>26560</v>
      </c>
      <c r="R10646" t="s">
        <v>26577</v>
      </c>
      <c r="U10646" t="s">
        <v>26604</v>
      </c>
      <c r="V10646" t="s">
        <v>26610</v>
      </c>
      <c r="X10646">
        <v>1550</v>
      </c>
      <c r="Y10646" t="s">
        <v>26650</v>
      </c>
      <c r="AB10646" t="s">
        <v>34082</v>
      </c>
      <c r="AC10646" t="s">
        <v>36742</v>
      </c>
      <c r="AD10646" t="s">
        <v>45015</v>
      </c>
      <c r="AE10646">
        <v>60</v>
      </c>
      <c r="AF10646" t="s">
        <v>45541</v>
      </c>
      <c r="AG10646" t="s">
        <v>45557</v>
      </c>
      <c r="AH10646">
        <v>0</v>
      </c>
      <c r="AI10646">
        <v>1</v>
      </c>
      <c r="AJ10646">
        <v>0</v>
      </c>
      <c r="AK10646">
        <v>0</v>
      </c>
      <c r="AN10646" t="s">
        <v>7439</v>
      </c>
      <c r="AO10646">
        <v>0</v>
      </c>
      <c r="AU10646">
        <v>9.75</v>
      </c>
      <c r="AV10646" t="s">
        <v>834</v>
      </c>
      <c r="AW10646" t="s">
        <v>46871</v>
      </c>
      <c r="AX10646" t="s">
        <v>46898</v>
      </c>
    </row>
    <row r="10647" spans="1:50">
      <c r="A10647" s="1">
        <f>HYPERLINK("https://lsnyc.legalserver.org/matter/dynamic-profile/view/1899566","19-1899566")</f>
        <v>0</v>
      </c>
      <c r="B10647" t="s">
        <v>251</v>
      </c>
      <c r="C10647" t="s">
        <v>340</v>
      </c>
      <c r="D10647" t="s">
        <v>813</v>
      </c>
      <c r="F10647" t="s">
        <v>2117</v>
      </c>
      <c r="G10647" t="s">
        <v>5122</v>
      </c>
      <c r="H10647" t="s">
        <v>16821</v>
      </c>
      <c r="I10647" t="s">
        <v>18142</v>
      </c>
      <c r="J10647" t="s">
        <v>18892</v>
      </c>
      <c r="K10647">
        <v>10453</v>
      </c>
      <c r="L10647" t="s">
        <v>18960</v>
      </c>
      <c r="M10647" t="s">
        <v>18960</v>
      </c>
      <c r="N10647" t="s">
        <v>26125</v>
      </c>
      <c r="O10647" t="s">
        <v>26524</v>
      </c>
      <c r="P10647" t="s">
        <v>26560</v>
      </c>
      <c r="R10647" t="s">
        <v>26577</v>
      </c>
      <c r="U10647" t="s">
        <v>26604</v>
      </c>
      <c r="V10647" t="s">
        <v>26610</v>
      </c>
      <c r="X10647">
        <v>185</v>
      </c>
      <c r="Y10647" t="s">
        <v>26650</v>
      </c>
      <c r="Z10647" t="s">
        <v>26668</v>
      </c>
      <c r="AB10647" t="s">
        <v>28750</v>
      </c>
      <c r="AD10647" t="s">
        <v>45016</v>
      </c>
      <c r="AE10647">
        <v>0</v>
      </c>
      <c r="AF10647" t="s">
        <v>45549</v>
      </c>
      <c r="AG10647" t="s">
        <v>19330</v>
      </c>
      <c r="AH10647">
        <v>27</v>
      </c>
      <c r="AI10647">
        <v>1</v>
      </c>
      <c r="AJ10647">
        <v>1</v>
      </c>
      <c r="AK10647">
        <v>55.85</v>
      </c>
      <c r="AN10647" t="s">
        <v>7439</v>
      </c>
      <c r="AO10647">
        <v>9444</v>
      </c>
      <c r="AU10647">
        <v>4.6</v>
      </c>
      <c r="AV10647" t="s">
        <v>773</v>
      </c>
      <c r="AW10647" t="s">
        <v>46836</v>
      </c>
    </row>
    <row r="10648" spans="1:50">
      <c r="A10648" s="1">
        <f>HYPERLINK("https://lsnyc.legalserver.org/matter/dynamic-profile/view/1899597","19-1899597")</f>
        <v>0</v>
      </c>
      <c r="B10648" t="s">
        <v>152</v>
      </c>
      <c r="C10648" t="s">
        <v>340</v>
      </c>
      <c r="D10648" t="s">
        <v>813</v>
      </c>
      <c r="F10648" t="s">
        <v>4878</v>
      </c>
      <c r="G10648" t="s">
        <v>5086</v>
      </c>
      <c r="H10648" t="s">
        <v>16822</v>
      </c>
      <c r="I10648" t="s">
        <v>17378</v>
      </c>
      <c r="J10648" t="s">
        <v>18892</v>
      </c>
      <c r="K10648">
        <v>10470</v>
      </c>
      <c r="L10648" t="s">
        <v>18958</v>
      </c>
      <c r="M10648" t="s">
        <v>18960</v>
      </c>
      <c r="P10648" t="s">
        <v>26564</v>
      </c>
      <c r="R10648" t="s">
        <v>26578</v>
      </c>
      <c r="S10648" t="s">
        <v>18959</v>
      </c>
      <c r="U10648" t="s">
        <v>26604</v>
      </c>
      <c r="X10648">
        <v>0</v>
      </c>
      <c r="Y10648" t="s">
        <v>26650</v>
      </c>
      <c r="Z10648" t="s">
        <v>26667</v>
      </c>
      <c r="AB10648" t="s">
        <v>30445</v>
      </c>
      <c r="AE10648">
        <v>61</v>
      </c>
      <c r="AF10648" t="s">
        <v>20460</v>
      </c>
      <c r="AG10648" t="s">
        <v>19330</v>
      </c>
      <c r="AH10648">
        <v>0</v>
      </c>
      <c r="AI10648">
        <v>1</v>
      </c>
      <c r="AJ10648">
        <v>0</v>
      </c>
      <c r="AK10648">
        <v>0</v>
      </c>
      <c r="AN10648" t="s">
        <v>7439</v>
      </c>
      <c r="AO10648">
        <v>0</v>
      </c>
      <c r="AU10648">
        <v>0</v>
      </c>
      <c r="AW10648" t="s">
        <v>46847</v>
      </c>
      <c r="AX10648" t="s">
        <v>46897</v>
      </c>
    </row>
    <row r="10649" spans="1:50">
      <c r="A10649" s="1">
        <f>HYPERLINK("https://lsnyc.legalserver.org/matter/dynamic-profile/view/1899628","19-1899628")</f>
        <v>0</v>
      </c>
      <c r="B10649" t="s">
        <v>152</v>
      </c>
      <c r="C10649" t="s">
        <v>340</v>
      </c>
      <c r="D10649" t="s">
        <v>813</v>
      </c>
      <c r="F10649" t="s">
        <v>1250</v>
      </c>
      <c r="G10649" t="s">
        <v>5100</v>
      </c>
      <c r="H10649" t="s">
        <v>16823</v>
      </c>
      <c r="I10649" t="s">
        <v>17891</v>
      </c>
      <c r="J10649" t="s">
        <v>18892</v>
      </c>
      <c r="K10649">
        <v>10456</v>
      </c>
      <c r="L10649" t="s">
        <v>18959</v>
      </c>
      <c r="M10649" t="s">
        <v>18960</v>
      </c>
      <c r="P10649" t="s">
        <v>26564</v>
      </c>
      <c r="R10649" t="s">
        <v>26578</v>
      </c>
      <c r="S10649" t="s">
        <v>18959</v>
      </c>
      <c r="U10649" t="s">
        <v>26604</v>
      </c>
      <c r="X10649">
        <v>695</v>
      </c>
      <c r="Y10649" t="s">
        <v>26650</v>
      </c>
      <c r="Z10649" t="s">
        <v>26663</v>
      </c>
      <c r="AB10649" t="s">
        <v>34083</v>
      </c>
      <c r="AD10649" t="s">
        <v>45017</v>
      </c>
      <c r="AE10649">
        <v>44</v>
      </c>
      <c r="AF10649" t="s">
        <v>20460</v>
      </c>
      <c r="AG10649" t="s">
        <v>19330</v>
      </c>
      <c r="AH10649">
        <v>37</v>
      </c>
      <c r="AI10649">
        <v>1</v>
      </c>
      <c r="AJ10649">
        <v>0</v>
      </c>
      <c r="AK10649">
        <v>0</v>
      </c>
      <c r="AN10649" t="s">
        <v>45581</v>
      </c>
      <c r="AO10649">
        <v>0</v>
      </c>
      <c r="AU10649">
        <v>0</v>
      </c>
      <c r="AW10649" t="s">
        <v>46847</v>
      </c>
      <c r="AX10649" t="s">
        <v>19330</v>
      </c>
    </row>
    <row r="10650" spans="1:50">
      <c r="A10650" s="1">
        <f>HYPERLINK("https://lsnyc.legalserver.org/matter/dynamic-profile/view/1899633","19-1899633")</f>
        <v>0</v>
      </c>
      <c r="B10650" t="s">
        <v>152</v>
      </c>
      <c r="C10650" t="s">
        <v>340</v>
      </c>
      <c r="D10650" t="s">
        <v>813</v>
      </c>
      <c r="F10650" t="s">
        <v>872</v>
      </c>
      <c r="G10650" t="s">
        <v>7012</v>
      </c>
      <c r="H10650" t="s">
        <v>10413</v>
      </c>
      <c r="I10650" t="s">
        <v>17302</v>
      </c>
      <c r="J10650" t="s">
        <v>18892</v>
      </c>
      <c r="K10650">
        <v>10467</v>
      </c>
      <c r="L10650" t="s">
        <v>18958</v>
      </c>
      <c r="M10650" t="s">
        <v>18960</v>
      </c>
      <c r="P10650" t="s">
        <v>26564</v>
      </c>
      <c r="R10650" t="s">
        <v>26578</v>
      </c>
      <c r="S10650" t="s">
        <v>18959</v>
      </c>
      <c r="U10650" t="s">
        <v>26604</v>
      </c>
      <c r="X10650">
        <v>1531.65</v>
      </c>
      <c r="Y10650" t="s">
        <v>26650</v>
      </c>
      <c r="Z10650" t="s">
        <v>26667</v>
      </c>
      <c r="AB10650" t="s">
        <v>27526</v>
      </c>
      <c r="AC10650">
        <v>4043580</v>
      </c>
      <c r="AD10650" t="s">
        <v>37584</v>
      </c>
      <c r="AE10650">
        <v>65</v>
      </c>
      <c r="AF10650" t="s">
        <v>45541</v>
      </c>
      <c r="AG10650" t="s">
        <v>45556</v>
      </c>
      <c r="AH10650">
        <v>15</v>
      </c>
      <c r="AI10650">
        <v>2</v>
      </c>
      <c r="AJ10650">
        <v>0</v>
      </c>
      <c r="AK10650">
        <v>65.06999999999999</v>
      </c>
      <c r="AN10650" t="s">
        <v>7439</v>
      </c>
      <c r="AO10650">
        <v>11004</v>
      </c>
      <c r="AU10650">
        <v>0</v>
      </c>
      <c r="AW10650" t="s">
        <v>46847</v>
      </c>
      <c r="AX10650" t="s">
        <v>46897</v>
      </c>
    </row>
    <row r="10651" spans="1:50">
      <c r="A10651" s="1">
        <f>HYPERLINK("https://lsnyc.legalserver.org/matter/dynamic-profile/view/1899593","19-1899593")</f>
        <v>0</v>
      </c>
      <c r="B10651" t="s">
        <v>152</v>
      </c>
      <c r="C10651" t="s">
        <v>340</v>
      </c>
      <c r="D10651" t="s">
        <v>813</v>
      </c>
      <c r="F10651" t="s">
        <v>887</v>
      </c>
      <c r="G10651" t="s">
        <v>2564</v>
      </c>
      <c r="H10651" t="s">
        <v>16824</v>
      </c>
      <c r="I10651">
        <v>6</v>
      </c>
      <c r="J10651" t="s">
        <v>18892</v>
      </c>
      <c r="K10651">
        <v>10452</v>
      </c>
      <c r="L10651" t="s">
        <v>18958</v>
      </c>
      <c r="M10651" t="s">
        <v>18960</v>
      </c>
      <c r="O10651" t="s">
        <v>26551</v>
      </c>
      <c r="P10651" t="s">
        <v>26564</v>
      </c>
      <c r="R10651" t="s">
        <v>26578</v>
      </c>
      <c r="S10651" t="s">
        <v>18959</v>
      </c>
      <c r="U10651" t="s">
        <v>26604</v>
      </c>
      <c r="X10651">
        <v>2000</v>
      </c>
      <c r="Y10651" t="s">
        <v>26650</v>
      </c>
      <c r="Z10651" t="s">
        <v>26667</v>
      </c>
      <c r="AB10651" t="s">
        <v>34084</v>
      </c>
      <c r="AE10651">
        <v>2</v>
      </c>
      <c r="AF10651" t="s">
        <v>20460</v>
      </c>
      <c r="AG10651" t="s">
        <v>19330</v>
      </c>
      <c r="AH10651">
        <v>1</v>
      </c>
      <c r="AI10651">
        <v>3</v>
      </c>
      <c r="AJ10651">
        <v>1</v>
      </c>
      <c r="AK10651">
        <v>91.68000000000001</v>
      </c>
      <c r="AN10651" t="s">
        <v>45581</v>
      </c>
      <c r="AO10651">
        <v>23608</v>
      </c>
      <c r="AU10651">
        <v>0.25</v>
      </c>
      <c r="AV10651" t="s">
        <v>819</v>
      </c>
      <c r="AW10651" t="s">
        <v>46847</v>
      </c>
      <c r="AX10651" t="s">
        <v>46897</v>
      </c>
    </row>
    <row r="10652" spans="1:50">
      <c r="A10652" s="1">
        <f>HYPERLINK("https://lsnyc.legalserver.org/matter/dynamic-profile/view/1899623","19-1899623")</f>
        <v>0</v>
      </c>
      <c r="B10652" t="s">
        <v>152</v>
      </c>
      <c r="C10652" t="s">
        <v>340</v>
      </c>
      <c r="D10652" t="s">
        <v>813</v>
      </c>
      <c r="F10652" t="s">
        <v>1133</v>
      </c>
      <c r="G10652" t="s">
        <v>5602</v>
      </c>
      <c r="H10652" t="s">
        <v>10319</v>
      </c>
      <c r="I10652" t="s">
        <v>17388</v>
      </c>
      <c r="J10652" t="s">
        <v>18892</v>
      </c>
      <c r="K10652">
        <v>10456</v>
      </c>
      <c r="L10652" t="s">
        <v>18958</v>
      </c>
      <c r="M10652" t="s">
        <v>18960</v>
      </c>
      <c r="P10652" t="s">
        <v>26564</v>
      </c>
      <c r="R10652" t="s">
        <v>26578</v>
      </c>
      <c r="S10652" t="s">
        <v>18959</v>
      </c>
      <c r="U10652" t="s">
        <v>26604</v>
      </c>
      <c r="X10652">
        <v>879</v>
      </c>
      <c r="Y10652" t="s">
        <v>26650</v>
      </c>
      <c r="Z10652" t="s">
        <v>26667</v>
      </c>
      <c r="AB10652" t="s">
        <v>34085</v>
      </c>
      <c r="AD10652" t="s">
        <v>37490</v>
      </c>
      <c r="AE10652">
        <v>46</v>
      </c>
      <c r="AF10652" t="s">
        <v>45547</v>
      </c>
      <c r="AG10652" t="s">
        <v>19330</v>
      </c>
      <c r="AH10652">
        <v>30</v>
      </c>
      <c r="AI10652">
        <v>1</v>
      </c>
      <c r="AJ10652">
        <v>0</v>
      </c>
      <c r="AK10652">
        <v>120.96</v>
      </c>
      <c r="AN10652" t="s">
        <v>45581</v>
      </c>
      <c r="AO10652">
        <v>15108</v>
      </c>
      <c r="AU10652">
        <v>0</v>
      </c>
      <c r="AW10652" t="s">
        <v>46847</v>
      </c>
      <c r="AX10652" t="s">
        <v>46897</v>
      </c>
    </row>
    <row r="10653" spans="1:50">
      <c r="A10653" s="1">
        <f>HYPERLINK("https://lsnyc.legalserver.org/matter/dynamic-profile/view/1899626","19-1899626")</f>
        <v>0</v>
      </c>
      <c r="B10653" t="s">
        <v>152</v>
      </c>
      <c r="C10653" t="s">
        <v>340</v>
      </c>
      <c r="D10653" t="s">
        <v>813</v>
      </c>
      <c r="F10653" t="s">
        <v>4879</v>
      </c>
      <c r="G10653" t="s">
        <v>9423</v>
      </c>
      <c r="H10653" t="s">
        <v>11279</v>
      </c>
      <c r="I10653" t="s">
        <v>17272</v>
      </c>
      <c r="J10653" t="s">
        <v>18892</v>
      </c>
      <c r="K10653">
        <v>10457</v>
      </c>
      <c r="L10653" t="s">
        <v>18958</v>
      </c>
      <c r="M10653" t="s">
        <v>18960</v>
      </c>
      <c r="P10653" t="s">
        <v>26564</v>
      </c>
      <c r="R10653" t="s">
        <v>26578</v>
      </c>
      <c r="S10653" t="s">
        <v>18959</v>
      </c>
      <c r="U10653" t="s">
        <v>26604</v>
      </c>
      <c r="X10653">
        <v>1226</v>
      </c>
      <c r="Y10653" t="s">
        <v>26650</v>
      </c>
      <c r="Z10653" t="s">
        <v>26667</v>
      </c>
      <c r="AB10653" t="s">
        <v>34086</v>
      </c>
      <c r="AD10653" t="s">
        <v>45018</v>
      </c>
      <c r="AE10653">
        <v>19</v>
      </c>
      <c r="AF10653" t="s">
        <v>45541</v>
      </c>
      <c r="AG10653" t="s">
        <v>19330</v>
      </c>
      <c r="AH10653">
        <v>27</v>
      </c>
      <c r="AI10653">
        <v>1</v>
      </c>
      <c r="AJ10653">
        <v>1</v>
      </c>
      <c r="AK10653">
        <v>124.19</v>
      </c>
      <c r="AN10653" t="s">
        <v>7439</v>
      </c>
      <c r="AO10653">
        <v>21000</v>
      </c>
      <c r="AU10653">
        <v>0</v>
      </c>
      <c r="AW10653" t="s">
        <v>46847</v>
      </c>
      <c r="AX10653" t="s">
        <v>46897</v>
      </c>
    </row>
    <row r="10654" spans="1:50">
      <c r="A10654" s="1">
        <f>HYPERLINK("https://lsnyc.legalserver.org/matter/dynamic-profile/view/1899630","19-1899630")</f>
        <v>0</v>
      </c>
      <c r="B10654" t="s">
        <v>152</v>
      </c>
      <c r="C10654" t="s">
        <v>340</v>
      </c>
      <c r="D10654" t="s">
        <v>813</v>
      </c>
      <c r="F10654" t="s">
        <v>1002</v>
      </c>
      <c r="G10654" t="s">
        <v>5331</v>
      </c>
      <c r="H10654" t="s">
        <v>16573</v>
      </c>
      <c r="I10654" t="s">
        <v>17630</v>
      </c>
      <c r="J10654" t="s">
        <v>18892</v>
      </c>
      <c r="K10654">
        <v>10455</v>
      </c>
      <c r="L10654" t="s">
        <v>18959</v>
      </c>
      <c r="M10654" t="s">
        <v>18960</v>
      </c>
      <c r="P10654" t="s">
        <v>26564</v>
      </c>
      <c r="R10654" t="s">
        <v>26578</v>
      </c>
      <c r="S10654" t="s">
        <v>18959</v>
      </c>
      <c r="U10654" t="s">
        <v>26604</v>
      </c>
      <c r="X10654">
        <v>1008</v>
      </c>
      <c r="Y10654" t="s">
        <v>26650</v>
      </c>
      <c r="Z10654" t="s">
        <v>26668</v>
      </c>
      <c r="AB10654" t="s">
        <v>31144</v>
      </c>
      <c r="AD10654" t="s">
        <v>44712</v>
      </c>
      <c r="AE10654">
        <v>143</v>
      </c>
      <c r="AF10654" t="s">
        <v>45549</v>
      </c>
      <c r="AG10654" t="s">
        <v>19330</v>
      </c>
      <c r="AH10654">
        <v>5</v>
      </c>
      <c r="AI10654">
        <v>1</v>
      </c>
      <c r="AJ10654">
        <v>0</v>
      </c>
      <c r="AK10654">
        <v>243.49</v>
      </c>
      <c r="AN10654" t="s">
        <v>7439</v>
      </c>
      <c r="AO10654">
        <v>30411.84</v>
      </c>
      <c r="AU10654">
        <v>0</v>
      </c>
      <c r="AW10654" t="s">
        <v>46847</v>
      </c>
      <c r="AX10654" t="s">
        <v>19330</v>
      </c>
    </row>
    <row r="10655" spans="1:50">
      <c r="A10655" s="1">
        <f>HYPERLINK("https://lsnyc.legalserver.org/matter/dynamic-profile/view/1899671","19-1899671")</f>
        <v>0</v>
      </c>
      <c r="B10655" t="s">
        <v>253</v>
      </c>
      <c r="C10655" t="s">
        <v>340</v>
      </c>
      <c r="D10655" t="s">
        <v>813</v>
      </c>
      <c r="F10655" t="s">
        <v>891</v>
      </c>
      <c r="G10655" t="s">
        <v>5330</v>
      </c>
      <c r="H10655" t="s">
        <v>16825</v>
      </c>
      <c r="I10655">
        <v>9</v>
      </c>
      <c r="J10655" t="s">
        <v>18892</v>
      </c>
      <c r="K10655">
        <v>10458</v>
      </c>
      <c r="L10655" t="s">
        <v>18958</v>
      </c>
      <c r="M10655" t="s">
        <v>18960</v>
      </c>
      <c r="O10655" t="s">
        <v>26523</v>
      </c>
      <c r="R10655" t="s">
        <v>26577</v>
      </c>
      <c r="U10655" t="s">
        <v>26604</v>
      </c>
      <c r="X10655">
        <v>0</v>
      </c>
      <c r="Y10655" t="s">
        <v>26650</v>
      </c>
      <c r="AB10655" t="s">
        <v>31213</v>
      </c>
      <c r="AD10655" t="s">
        <v>45019</v>
      </c>
      <c r="AE10655">
        <v>0</v>
      </c>
      <c r="AH10655">
        <v>0</v>
      </c>
      <c r="AI10655">
        <v>1</v>
      </c>
      <c r="AJ10655">
        <v>3</v>
      </c>
      <c r="AK10655">
        <v>40.39</v>
      </c>
      <c r="AN10655" t="s">
        <v>7439</v>
      </c>
      <c r="AO10655">
        <v>10400</v>
      </c>
      <c r="AP10655" t="s">
        <v>46318</v>
      </c>
      <c r="AU10655">
        <v>0.75</v>
      </c>
      <c r="AV10655" t="s">
        <v>829</v>
      </c>
      <c r="AW10655" t="s">
        <v>335</v>
      </c>
      <c r="AX10655" t="s">
        <v>46897</v>
      </c>
    </row>
    <row r="10656" spans="1:50">
      <c r="A10656" s="1">
        <f>HYPERLINK("https://lsnyc.legalserver.org/matter/dynamic-profile/view/1899648","19-1899648")</f>
        <v>0</v>
      </c>
      <c r="B10656" t="s">
        <v>200</v>
      </c>
      <c r="C10656" t="s">
        <v>340</v>
      </c>
      <c r="D10656" t="s">
        <v>813</v>
      </c>
      <c r="F10656" t="s">
        <v>893</v>
      </c>
      <c r="G10656" t="s">
        <v>5720</v>
      </c>
      <c r="H10656" t="s">
        <v>16826</v>
      </c>
      <c r="I10656" t="s">
        <v>17312</v>
      </c>
      <c r="J10656" t="s">
        <v>18894</v>
      </c>
      <c r="K10656">
        <v>11212</v>
      </c>
      <c r="L10656" t="s">
        <v>18960</v>
      </c>
      <c r="M10656" t="s">
        <v>18960</v>
      </c>
      <c r="R10656" t="s">
        <v>26591</v>
      </c>
      <c r="U10656" t="s">
        <v>26604</v>
      </c>
      <c r="X10656">
        <v>1800</v>
      </c>
      <c r="Y10656" t="s">
        <v>26652</v>
      </c>
      <c r="AB10656" t="s">
        <v>28329</v>
      </c>
      <c r="AD10656" t="s">
        <v>45020</v>
      </c>
      <c r="AE10656">
        <v>4</v>
      </c>
      <c r="AH10656">
        <v>4</v>
      </c>
      <c r="AI10656">
        <v>4</v>
      </c>
      <c r="AJ10656">
        <v>0</v>
      </c>
      <c r="AK10656">
        <v>111.01</v>
      </c>
      <c r="AN10656" t="s">
        <v>7439</v>
      </c>
      <c r="AO10656">
        <v>28584</v>
      </c>
      <c r="AU10656">
        <v>1.2</v>
      </c>
      <c r="AV10656" t="s">
        <v>807</v>
      </c>
      <c r="AW10656" t="s">
        <v>46857</v>
      </c>
    </row>
    <row r="10657" spans="1:50">
      <c r="A10657" s="1">
        <f>HYPERLINK("https://lsnyc.legalserver.org/matter/dynamic-profile/view/1899590","19-1899590")</f>
        <v>0</v>
      </c>
      <c r="B10657" t="s">
        <v>295</v>
      </c>
      <c r="C10657" t="s">
        <v>340</v>
      </c>
      <c r="D10657" t="s">
        <v>813</v>
      </c>
      <c r="F10657" t="s">
        <v>4880</v>
      </c>
      <c r="G10657" t="s">
        <v>994</v>
      </c>
      <c r="H10657" t="s">
        <v>16827</v>
      </c>
      <c r="I10657" t="s">
        <v>17272</v>
      </c>
      <c r="J10657" t="s">
        <v>18894</v>
      </c>
      <c r="K10657">
        <v>11206</v>
      </c>
      <c r="L10657" t="s">
        <v>18959</v>
      </c>
      <c r="M10657" t="s">
        <v>18960</v>
      </c>
      <c r="N10657" t="s">
        <v>26126</v>
      </c>
      <c r="O10657" t="s">
        <v>26523</v>
      </c>
      <c r="P10657" t="s">
        <v>26560</v>
      </c>
      <c r="R10657" t="s">
        <v>26578</v>
      </c>
      <c r="S10657" t="s">
        <v>18959</v>
      </c>
      <c r="U10657" t="s">
        <v>26604</v>
      </c>
      <c r="V10657" t="s">
        <v>26610</v>
      </c>
      <c r="X10657">
        <v>1155.44</v>
      </c>
      <c r="Y10657" t="s">
        <v>26652</v>
      </c>
      <c r="Z10657" t="s">
        <v>26659</v>
      </c>
      <c r="AB10657" t="s">
        <v>32417</v>
      </c>
      <c r="AD10657" t="s">
        <v>45021</v>
      </c>
      <c r="AE10657">
        <v>25</v>
      </c>
      <c r="AF10657" t="s">
        <v>45541</v>
      </c>
      <c r="AH10657">
        <v>0</v>
      </c>
      <c r="AI10657">
        <v>6</v>
      </c>
      <c r="AJ10657">
        <v>1</v>
      </c>
      <c r="AK10657">
        <v>178.42</v>
      </c>
      <c r="AN10657" t="s">
        <v>7439</v>
      </c>
      <c r="AO10657">
        <v>69600</v>
      </c>
      <c r="AU10657">
        <v>5.5</v>
      </c>
      <c r="AV10657" t="s">
        <v>772</v>
      </c>
      <c r="AW10657" t="s">
        <v>279</v>
      </c>
      <c r="AX10657" t="s">
        <v>19330</v>
      </c>
    </row>
    <row r="10658" spans="1:50">
      <c r="A10658" s="1">
        <f>HYPERLINK("https://lsnyc.legalserver.org/matter/dynamic-profile/view/1899587","19-1899587")</f>
        <v>0</v>
      </c>
      <c r="B10658" t="s">
        <v>91</v>
      </c>
      <c r="C10658" t="s">
        <v>340</v>
      </c>
      <c r="D10658" t="s">
        <v>813</v>
      </c>
      <c r="F10658" t="s">
        <v>2515</v>
      </c>
      <c r="G10658" t="s">
        <v>6075</v>
      </c>
      <c r="H10658" t="s">
        <v>12076</v>
      </c>
      <c r="I10658" t="s">
        <v>17471</v>
      </c>
      <c r="J10658" t="s">
        <v>18901</v>
      </c>
      <c r="K10658">
        <v>11434</v>
      </c>
      <c r="L10658" t="s">
        <v>18958</v>
      </c>
      <c r="M10658" t="s">
        <v>18960</v>
      </c>
      <c r="N10658" t="s">
        <v>26127</v>
      </c>
      <c r="O10658" t="s">
        <v>26523</v>
      </c>
      <c r="P10658" t="s">
        <v>26560</v>
      </c>
      <c r="R10658" t="s">
        <v>26585</v>
      </c>
      <c r="S10658" t="s">
        <v>18959</v>
      </c>
      <c r="U10658" t="s">
        <v>26604</v>
      </c>
      <c r="X10658">
        <v>1023</v>
      </c>
      <c r="Y10658" t="s">
        <v>26653</v>
      </c>
      <c r="AB10658" t="s">
        <v>29359</v>
      </c>
      <c r="AD10658" t="s">
        <v>39414</v>
      </c>
      <c r="AE10658">
        <v>77</v>
      </c>
      <c r="AF10658" t="s">
        <v>45549</v>
      </c>
      <c r="AG10658" t="s">
        <v>19330</v>
      </c>
      <c r="AH10658">
        <v>28</v>
      </c>
      <c r="AI10658">
        <v>1</v>
      </c>
      <c r="AJ10658">
        <v>1</v>
      </c>
      <c r="AK10658">
        <v>0</v>
      </c>
      <c r="AN10658" t="s">
        <v>7439</v>
      </c>
      <c r="AO10658">
        <v>0</v>
      </c>
      <c r="AU10658">
        <v>1.85</v>
      </c>
      <c r="AV10658" t="s">
        <v>835</v>
      </c>
      <c r="AW10658" t="s">
        <v>91</v>
      </c>
    </row>
    <row r="10659" spans="1:50">
      <c r="A10659" s="1">
        <f>HYPERLINK("https://lsnyc.legalserver.org/matter/dynamic-profile/view/1899768","19-1899768")</f>
        <v>0</v>
      </c>
      <c r="B10659" t="s">
        <v>325</v>
      </c>
      <c r="C10659" t="s">
        <v>340</v>
      </c>
      <c r="D10659" t="s">
        <v>818</v>
      </c>
      <c r="F10659" t="s">
        <v>4881</v>
      </c>
      <c r="G10659" t="s">
        <v>2975</v>
      </c>
      <c r="H10659" t="s">
        <v>16797</v>
      </c>
      <c r="I10659">
        <v>1414</v>
      </c>
      <c r="J10659" t="s">
        <v>18894</v>
      </c>
      <c r="K10659">
        <v>11201</v>
      </c>
      <c r="L10659" t="s">
        <v>18960</v>
      </c>
      <c r="M10659" t="s">
        <v>18960</v>
      </c>
      <c r="O10659" t="s">
        <v>26523</v>
      </c>
      <c r="R10659" t="s">
        <v>26586</v>
      </c>
      <c r="S10659" t="s">
        <v>18959</v>
      </c>
      <c r="U10659" t="s">
        <v>26604</v>
      </c>
      <c r="X10659">
        <v>977.4400000000001</v>
      </c>
      <c r="Y10659" t="s">
        <v>26652</v>
      </c>
      <c r="Z10659" t="s">
        <v>26663</v>
      </c>
      <c r="AB10659" t="s">
        <v>34087</v>
      </c>
      <c r="AD10659" t="s">
        <v>45022</v>
      </c>
      <c r="AE10659">
        <v>250</v>
      </c>
      <c r="AF10659" t="s">
        <v>45541</v>
      </c>
      <c r="AG10659" t="s">
        <v>45556</v>
      </c>
      <c r="AH10659">
        <v>1</v>
      </c>
      <c r="AI10659">
        <v>1</v>
      </c>
      <c r="AJ10659">
        <v>0</v>
      </c>
      <c r="AK10659">
        <v>17.29</v>
      </c>
      <c r="AO10659">
        <v>2160</v>
      </c>
      <c r="AU10659">
        <v>15.1</v>
      </c>
      <c r="AV10659" t="s">
        <v>836</v>
      </c>
      <c r="AW10659" t="s">
        <v>320</v>
      </c>
    </row>
    <row r="10660" spans="1:50">
      <c r="A10660" s="1">
        <f>HYPERLINK("https://lsnyc.legalserver.org/matter/dynamic-profile/view/1899747","19-1899747")</f>
        <v>0</v>
      </c>
      <c r="B10660" t="s">
        <v>186</v>
      </c>
      <c r="C10660" t="s">
        <v>340</v>
      </c>
      <c r="D10660" t="s">
        <v>818</v>
      </c>
      <c r="F10660" t="s">
        <v>923</v>
      </c>
      <c r="G10660" t="s">
        <v>6218</v>
      </c>
      <c r="H10660" t="s">
        <v>10964</v>
      </c>
      <c r="I10660" t="s">
        <v>18243</v>
      </c>
      <c r="J10660" t="s">
        <v>18894</v>
      </c>
      <c r="K10660">
        <v>11225</v>
      </c>
      <c r="L10660" t="s">
        <v>18960</v>
      </c>
      <c r="M10660" t="s">
        <v>18960</v>
      </c>
      <c r="R10660" t="s">
        <v>26586</v>
      </c>
      <c r="U10660" t="s">
        <v>26604</v>
      </c>
      <c r="X10660">
        <v>0</v>
      </c>
      <c r="Y10660" t="s">
        <v>26652</v>
      </c>
      <c r="AB10660" t="s">
        <v>30414</v>
      </c>
      <c r="AD10660" t="s">
        <v>45023</v>
      </c>
      <c r="AE10660">
        <v>0</v>
      </c>
      <c r="AH10660">
        <v>0</v>
      </c>
      <c r="AI10660">
        <v>1</v>
      </c>
      <c r="AJ10660">
        <v>0</v>
      </c>
      <c r="AK10660">
        <v>39.14</v>
      </c>
      <c r="AO10660">
        <v>4888</v>
      </c>
      <c r="AU10660">
        <v>0.25</v>
      </c>
      <c r="AV10660" t="s">
        <v>822</v>
      </c>
      <c r="AW10660" t="s">
        <v>320</v>
      </c>
    </row>
    <row r="10661" spans="1:50">
      <c r="A10661" s="1">
        <f>HYPERLINK("https://lsnyc.legalserver.org/matter/dynamic-profile/view/1899695","19-1899695")</f>
        <v>0</v>
      </c>
      <c r="B10661" t="s">
        <v>335</v>
      </c>
      <c r="C10661" t="s">
        <v>340</v>
      </c>
      <c r="D10661" t="s">
        <v>818</v>
      </c>
      <c r="F10661" t="s">
        <v>4882</v>
      </c>
      <c r="G10661" t="s">
        <v>7855</v>
      </c>
      <c r="H10661" t="s">
        <v>12016</v>
      </c>
      <c r="I10661" t="s">
        <v>17343</v>
      </c>
      <c r="J10661" t="s">
        <v>18892</v>
      </c>
      <c r="K10661">
        <v>10462</v>
      </c>
      <c r="L10661" t="s">
        <v>18960</v>
      </c>
      <c r="M10661" t="s">
        <v>18960</v>
      </c>
      <c r="R10661" t="s">
        <v>26591</v>
      </c>
      <c r="U10661" t="s">
        <v>26604</v>
      </c>
      <c r="X10661">
        <v>1208.7</v>
      </c>
      <c r="Y10661" t="s">
        <v>26650</v>
      </c>
      <c r="Z10661" t="s">
        <v>26661</v>
      </c>
      <c r="AB10661" t="s">
        <v>30335</v>
      </c>
      <c r="AD10661" t="s">
        <v>45024</v>
      </c>
      <c r="AE10661">
        <v>130</v>
      </c>
      <c r="AG10661" t="s">
        <v>45556</v>
      </c>
      <c r="AH10661">
        <v>3</v>
      </c>
      <c r="AI10661">
        <v>1</v>
      </c>
      <c r="AJ10661">
        <v>0</v>
      </c>
      <c r="AK10661">
        <v>74.08</v>
      </c>
      <c r="AN10661" t="s">
        <v>7439</v>
      </c>
      <c r="AO10661">
        <v>9252</v>
      </c>
      <c r="AU10661">
        <v>1</v>
      </c>
      <c r="AV10661" t="s">
        <v>818</v>
      </c>
      <c r="AW10661" t="s">
        <v>46858</v>
      </c>
    </row>
    <row r="10662" spans="1:50">
      <c r="A10662" s="1">
        <f>HYPERLINK("https://lsnyc.legalserver.org/matter/dynamic-profile/view/1899757","19-1899757")</f>
        <v>0</v>
      </c>
      <c r="B10662" t="s">
        <v>85</v>
      </c>
      <c r="C10662" t="s">
        <v>340</v>
      </c>
      <c r="D10662" t="s">
        <v>818</v>
      </c>
      <c r="F10662" t="s">
        <v>2889</v>
      </c>
      <c r="G10662" t="s">
        <v>9072</v>
      </c>
      <c r="H10662" t="s">
        <v>16121</v>
      </c>
      <c r="I10662" t="s">
        <v>17312</v>
      </c>
      <c r="J10662" t="s">
        <v>18912</v>
      </c>
      <c r="K10662">
        <v>11374</v>
      </c>
      <c r="L10662" t="s">
        <v>18960</v>
      </c>
      <c r="M10662" t="s">
        <v>18960</v>
      </c>
      <c r="O10662" t="s">
        <v>26523</v>
      </c>
      <c r="R10662" t="s">
        <v>26584</v>
      </c>
      <c r="U10662" t="s">
        <v>26604</v>
      </c>
      <c r="X10662">
        <v>1313.8</v>
      </c>
      <c r="Y10662" t="s">
        <v>26653</v>
      </c>
      <c r="AB10662" t="s">
        <v>33456</v>
      </c>
      <c r="AD10662" t="s">
        <v>44205</v>
      </c>
      <c r="AE10662">
        <v>0</v>
      </c>
      <c r="AG10662" t="s">
        <v>45559</v>
      </c>
      <c r="AH10662">
        <v>0</v>
      </c>
      <c r="AI10662">
        <v>2</v>
      </c>
      <c r="AJ10662">
        <v>0</v>
      </c>
      <c r="AK10662">
        <v>140.08</v>
      </c>
      <c r="AN10662" t="s">
        <v>45581</v>
      </c>
      <c r="AO10662">
        <v>23688</v>
      </c>
      <c r="AU10662">
        <v>3</v>
      </c>
      <c r="AV10662" t="s">
        <v>835</v>
      </c>
      <c r="AW10662" t="s">
        <v>46846</v>
      </c>
    </row>
    <row r="10663" spans="1:50">
      <c r="A10663" s="1">
        <f>HYPERLINK("https://lsnyc.legalserver.org/matter/dynamic-profile/view/1899736","19-1899736")</f>
        <v>0</v>
      </c>
      <c r="B10663" t="s">
        <v>257</v>
      </c>
      <c r="C10663" t="s">
        <v>340</v>
      </c>
      <c r="D10663" t="s">
        <v>818</v>
      </c>
      <c r="F10663" t="s">
        <v>1000</v>
      </c>
      <c r="G10663" t="s">
        <v>5331</v>
      </c>
      <c r="H10663" t="s">
        <v>16828</v>
      </c>
      <c r="I10663" t="s">
        <v>17293</v>
      </c>
      <c r="J10663" t="s">
        <v>18894</v>
      </c>
      <c r="K10663">
        <v>11231</v>
      </c>
      <c r="L10663" t="s">
        <v>18960</v>
      </c>
      <c r="M10663" t="s">
        <v>18960</v>
      </c>
      <c r="R10663" t="s">
        <v>26583</v>
      </c>
      <c r="U10663" t="s">
        <v>26604</v>
      </c>
      <c r="X10663">
        <v>1377</v>
      </c>
      <c r="Y10663" t="s">
        <v>26652</v>
      </c>
      <c r="AB10663" t="s">
        <v>34088</v>
      </c>
      <c r="AD10663" t="s">
        <v>45025</v>
      </c>
      <c r="AE10663">
        <v>52</v>
      </c>
      <c r="AH10663">
        <v>12</v>
      </c>
      <c r="AI10663">
        <v>1</v>
      </c>
      <c r="AJ10663">
        <v>0</v>
      </c>
      <c r="AK10663">
        <v>353.18</v>
      </c>
      <c r="AN10663" t="s">
        <v>7439</v>
      </c>
      <c r="AO10663">
        <v>44112</v>
      </c>
      <c r="AU10663">
        <v>5</v>
      </c>
      <c r="AV10663" t="s">
        <v>797</v>
      </c>
      <c r="AW10663" t="s">
        <v>46857</v>
      </c>
    </row>
    <row r="10664" spans="1:50">
      <c r="A10664" s="1">
        <f>HYPERLINK("https://lsnyc.legalserver.org/matter/dynamic-profile/view/1899756","19-1899756")</f>
        <v>0</v>
      </c>
      <c r="B10664" t="s">
        <v>109</v>
      </c>
      <c r="C10664" t="s">
        <v>340</v>
      </c>
      <c r="D10664" t="s">
        <v>818</v>
      </c>
      <c r="F10664" t="s">
        <v>4883</v>
      </c>
      <c r="G10664" t="s">
        <v>9424</v>
      </c>
      <c r="H10664" t="s">
        <v>16829</v>
      </c>
      <c r="I10664" t="s">
        <v>17331</v>
      </c>
      <c r="J10664" t="s">
        <v>18902</v>
      </c>
      <c r="K10664">
        <v>10301</v>
      </c>
      <c r="L10664" t="s">
        <v>18960</v>
      </c>
      <c r="M10664" t="s">
        <v>18960</v>
      </c>
      <c r="N10664" t="s">
        <v>26128</v>
      </c>
      <c r="O10664" t="s">
        <v>26523</v>
      </c>
      <c r="R10664" t="s">
        <v>26578</v>
      </c>
      <c r="U10664" t="s">
        <v>26604</v>
      </c>
      <c r="X10664">
        <v>1200</v>
      </c>
      <c r="Y10664" t="s">
        <v>26654</v>
      </c>
      <c r="Z10664" t="s">
        <v>26530</v>
      </c>
      <c r="AB10664" t="s">
        <v>34089</v>
      </c>
      <c r="AD10664" t="s">
        <v>45026</v>
      </c>
      <c r="AE10664">
        <v>5</v>
      </c>
      <c r="AF10664" t="s">
        <v>20460</v>
      </c>
      <c r="AG10664" t="s">
        <v>19330</v>
      </c>
      <c r="AH10664">
        <v>3</v>
      </c>
      <c r="AI10664">
        <v>1</v>
      </c>
      <c r="AJ10664">
        <v>0</v>
      </c>
      <c r="AK10664">
        <v>57.65</v>
      </c>
      <c r="AN10664" t="s">
        <v>7439</v>
      </c>
      <c r="AO10664">
        <v>7200</v>
      </c>
      <c r="AU10664">
        <v>0.5</v>
      </c>
      <c r="AV10664" t="s">
        <v>818</v>
      </c>
      <c r="AW10664" t="s">
        <v>46841</v>
      </c>
    </row>
    <row r="10665" spans="1:50">
      <c r="A10665" s="1">
        <f>HYPERLINK("https://lsnyc.legalserver.org/matter/dynamic-profile/view/1897715","19-1897715")</f>
        <v>0</v>
      </c>
      <c r="B10665" t="s">
        <v>131</v>
      </c>
      <c r="C10665" t="s">
        <v>340</v>
      </c>
      <c r="D10665" t="s">
        <v>818</v>
      </c>
      <c r="F10665" t="s">
        <v>873</v>
      </c>
      <c r="G10665" t="s">
        <v>9425</v>
      </c>
      <c r="H10665" t="s">
        <v>16830</v>
      </c>
      <c r="I10665" t="s">
        <v>17415</v>
      </c>
      <c r="J10665" t="s">
        <v>18902</v>
      </c>
      <c r="K10665">
        <v>10306</v>
      </c>
      <c r="L10665" t="s">
        <v>18960</v>
      </c>
      <c r="M10665" t="s">
        <v>18960</v>
      </c>
      <c r="N10665" t="s">
        <v>26129</v>
      </c>
      <c r="O10665" t="s">
        <v>26524</v>
      </c>
      <c r="P10665" t="s">
        <v>26560</v>
      </c>
      <c r="R10665" t="s">
        <v>26578</v>
      </c>
      <c r="S10665" t="s">
        <v>18959</v>
      </c>
      <c r="U10665" t="s">
        <v>26604</v>
      </c>
      <c r="V10665" t="s">
        <v>26610</v>
      </c>
      <c r="X10665">
        <v>600</v>
      </c>
      <c r="Y10665" t="s">
        <v>26654</v>
      </c>
      <c r="Z10665" t="s">
        <v>26661</v>
      </c>
      <c r="AB10665" t="s">
        <v>27997</v>
      </c>
      <c r="AD10665" t="s">
        <v>45027</v>
      </c>
      <c r="AE10665">
        <v>0</v>
      </c>
      <c r="AF10665" t="s">
        <v>45547</v>
      </c>
      <c r="AG10665" t="s">
        <v>19330</v>
      </c>
      <c r="AH10665">
        <v>-1</v>
      </c>
      <c r="AI10665">
        <v>1</v>
      </c>
      <c r="AJ10665">
        <v>0</v>
      </c>
      <c r="AK10665">
        <v>72.06</v>
      </c>
      <c r="AN10665" t="s">
        <v>7439</v>
      </c>
      <c r="AO10665">
        <v>9000</v>
      </c>
      <c r="AU10665">
        <v>27.8</v>
      </c>
      <c r="AV10665" t="s">
        <v>836</v>
      </c>
      <c r="AW10665" t="s">
        <v>46883</v>
      </c>
    </row>
    <row r="10666" spans="1:50">
      <c r="A10666" s="1">
        <f>HYPERLINK("https://lsnyc.legalserver.org/matter/dynamic-profile/view/1897679","19-1897679")</f>
        <v>0</v>
      </c>
      <c r="B10666" t="s">
        <v>131</v>
      </c>
      <c r="C10666" t="s">
        <v>340</v>
      </c>
      <c r="D10666" t="s">
        <v>818</v>
      </c>
      <c r="F10666" t="s">
        <v>1893</v>
      </c>
      <c r="G10666" t="s">
        <v>5996</v>
      </c>
      <c r="H10666" t="s">
        <v>16831</v>
      </c>
      <c r="I10666" t="s">
        <v>18817</v>
      </c>
      <c r="J10666" t="s">
        <v>18902</v>
      </c>
      <c r="K10666">
        <v>10308</v>
      </c>
      <c r="L10666" t="s">
        <v>18958</v>
      </c>
      <c r="M10666" t="s">
        <v>18960</v>
      </c>
      <c r="N10666" t="s">
        <v>18997</v>
      </c>
      <c r="O10666" t="s">
        <v>18997</v>
      </c>
      <c r="R10666" t="s">
        <v>26578</v>
      </c>
      <c r="S10666" t="s">
        <v>18959</v>
      </c>
      <c r="U10666" t="s">
        <v>26604</v>
      </c>
      <c r="X10666">
        <v>888</v>
      </c>
      <c r="Y10666" t="s">
        <v>26654</v>
      </c>
      <c r="Z10666" t="s">
        <v>26661</v>
      </c>
      <c r="AB10666" t="s">
        <v>34090</v>
      </c>
      <c r="AD10666" t="s">
        <v>34738</v>
      </c>
      <c r="AE10666">
        <v>0</v>
      </c>
      <c r="AH10666">
        <v>46</v>
      </c>
      <c r="AI10666">
        <v>1</v>
      </c>
      <c r="AJ10666">
        <v>0</v>
      </c>
      <c r="AK10666">
        <v>230.58</v>
      </c>
      <c r="AL10666" t="s">
        <v>820</v>
      </c>
      <c r="AM10666" t="s">
        <v>45575</v>
      </c>
      <c r="AO10666">
        <v>28800</v>
      </c>
      <c r="AU10666">
        <v>1.9</v>
      </c>
      <c r="AV10666" t="s">
        <v>818</v>
      </c>
      <c r="AW10666" t="s">
        <v>46883</v>
      </c>
    </row>
    <row r="10667" spans="1:50">
      <c r="A10667" s="1">
        <f>HYPERLINK("https://lsnyc.legalserver.org/matter/dynamic-profile/view/1899543","19-1899543")</f>
        <v>0</v>
      </c>
      <c r="B10667" t="s">
        <v>81</v>
      </c>
      <c r="C10667" t="s">
        <v>340</v>
      </c>
      <c r="D10667" t="s">
        <v>818</v>
      </c>
      <c r="F10667" t="s">
        <v>1128</v>
      </c>
      <c r="G10667" t="s">
        <v>9426</v>
      </c>
      <c r="H10667" t="s">
        <v>16832</v>
      </c>
      <c r="I10667" t="s">
        <v>17356</v>
      </c>
      <c r="J10667" t="s">
        <v>18892</v>
      </c>
      <c r="K10667">
        <v>10456</v>
      </c>
      <c r="L10667" t="s">
        <v>18958</v>
      </c>
      <c r="M10667" t="s">
        <v>18960</v>
      </c>
      <c r="N10667" t="s">
        <v>26130</v>
      </c>
      <c r="O10667" t="s">
        <v>26523</v>
      </c>
      <c r="P10667" t="s">
        <v>26560</v>
      </c>
      <c r="R10667" t="s">
        <v>26577</v>
      </c>
      <c r="S10667" t="s">
        <v>18959</v>
      </c>
      <c r="U10667" t="s">
        <v>26604</v>
      </c>
      <c r="V10667" t="s">
        <v>26610</v>
      </c>
      <c r="X10667">
        <v>875</v>
      </c>
      <c r="Y10667" t="s">
        <v>26650</v>
      </c>
      <c r="Z10667" t="s">
        <v>26668</v>
      </c>
      <c r="AB10667" t="s">
        <v>34091</v>
      </c>
      <c r="AE10667">
        <v>60</v>
      </c>
      <c r="AF10667" t="s">
        <v>20460</v>
      </c>
      <c r="AG10667" t="s">
        <v>19330</v>
      </c>
      <c r="AH10667">
        <v>25</v>
      </c>
      <c r="AI10667">
        <v>2</v>
      </c>
      <c r="AJ10667">
        <v>2</v>
      </c>
      <c r="AK10667">
        <v>136.7</v>
      </c>
      <c r="AN10667" t="s">
        <v>7439</v>
      </c>
      <c r="AO10667">
        <v>35200</v>
      </c>
      <c r="AU10667">
        <v>0</v>
      </c>
      <c r="AW10667" t="s">
        <v>329</v>
      </c>
    </row>
    <row r="10668" spans="1:50">
      <c r="A10668" s="1">
        <f>HYPERLINK("https://lsnyc.legalserver.org/matter/dynamic-profile/view/1899763","19-1899763")</f>
        <v>0</v>
      </c>
      <c r="B10668" t="s">
        <v>141</v>
      </c>
      <c r="C10668" t="s">
        <v>340</v>
      </c>
      <c r="D10668" t="s">
        <v>818</v>
      </c>
      <c r="F10668" t="s">
        <v>1062</v>
      </c>
      <c r="G10668" t="s">
        <v>6874</v>
      </c>
      <c r="H10668" t="s">
        <v>16833</v>
      </c>
      <c r="I10668" t="s">
        <v>17430</v>
      </c>
      <c r="J10668" t="s">
        <v>18905</v>
      </c>
      <c r="K10668">
        <v>11692</v>
      </c>
      <c r="L10668" t="s">
        <v>18958</v>
      </c>
      <c r="M10668" t="s">
        <v>18960</v>
      </c>
      <c r="N10668" t="s">
        <v>26131</v>
      </c>
      <c r="O10668" t="s">
        <v>26523</v>
      </c>
      <c r="P10668" t="s">
        <v>26560</v>
      </c>
      <c r="R10668" t="s">
        <v>26589</v>
      </c>
      <c r="S10668" t="s">
        <v>18959</v>
      </c>
      <c r="U10668" t="s">
        <v>26604</v>
      </c>
      <c r="V10668" t="s">
        <v>26610</v>
      </c>
      <c r="X10668">
        <v>2200</v>
      </c>
      <c r="Y10668" t="s">
        <v>26653</v>
      </c>
      <c r="Z10668" t="s">
        <v>26671</v>
      </c>
      <c r="AB10668" t="s">
        <v>34092</v>
      </c>
      <c r="AD10668" t="s">
        <v>45028</v>
      </c>
      <c r="AE10668">
        <v>2</v>
      </c>
      <c r="AF10668" t="s">
        <v>45547</v>
      </c>
      <c r="AH10668">
        <v>-1</v>
      </c>
      <c r="AI10668">
        <v>1</v>
      </c>
      <c r="AJ10668">
        <v>4</v>
      </c>
      <c r="AK10668">
        <v>0</v>
      </c>
      <c r="AN10668" t="s">
        <v>7439</v>
      </c>
      <c r="AO10668">
        <v>0</v>
      </c>
      <c r="AU10668">
        <v>3.6</v>
      </c>
      <c r="AV10668" t="s">
        <v>835</v>
      </c>
      <c r="AW10668" t="s">
        <v>141</v>
      </c>
      <c r="AX10668" t="s">
        <v>46897</v>
      </c>
    </row>
    <row r="10669" spans="1:50">
      <c r="A10669" s="1">
        <f>HYPERLINK("https://lsnyc.legalserver.org/matter/dynamic-profile/view/1899683","19-1899683")</f>
        <v>0</v>
      </c>
      <c r="B10669" t="s">
        <v>252</v>
      </c>
      <c r="C10669" t="s">
        <v>340</v>
      </c>
      <c r="D10669" t="s">
        <v>818</v>
      </c>
      <c r="F10669" t="s">
        <v>3071</v>
      </c>
      <c r="G10669" t="s">
        <v>9427</v>
      </c>
      <c r="H10669" t="s">
        <v>16834</v>
      </c>
      <c r="I10669" t="s">
        <v>17356</v>
      </c>
      <c r="J10669" t="s">
        <v>18894</v>
      </c>
      <c r="K10669">
        <v>11231</v>
      </c>
      <c r="L10669" t="s">
        <v>18960</v>
      </c>
      <c r="M10669" t="s">
        <v>18960</v>
      </c>
      <c r="O10669" t="s">
        <v>18997</v>
      </c>
      <c r="R10669" t="s">
        <v>26591</v>
      </c>
      <c r="U10669" t="s">
        <v>26605</v>
      </c>
      <c r="X10669">
        <v>268</v>
      </c>
      <c r="Y10669" t="s">
        <v>26652</v>
      </c>
      <c r="AB10669" t="s">
        <v>34093</v>
      </c>
      <c r="AD10669" t="s">
        <v>45029</v>
      </c>
      <c r="AE10669">
        <v>0</v>
      </c>
      <c r="AF10669" t="s">
        <v>45549</v>
      </c>
      <c r="AG10669" t="s">
        <v>19330</v>
      </c>
      <c r="AH10669">
        <v>6</v>
      </c>
      <c r="AI10669">
        <v>1</v>
      </c>
      <c r="AJ10669">
        <v>0</v>
      </c>
      <c r="AK10669">
        <v>105.68</v>
      </c>
      <c r="AN10669" t="s">
        <v>45586</v>
      </c>
      <c r="AO10669">
        <v>13200</v>
      </c>
      <c r="AU10669">
        <v>1</v>
      </c>
      <c r="AV10669" t="s">
        <v>818</v>
      </c>
      <c r="AW10669" t="s">
        <v>46859</v>
      </c>
    </row>
    <row r="10670" spans="1:50">
      <c r="A10670" s="1">
        <f>HYPERLINK("https://lsnyc.legalserver.org/matter/dynamic-profile/view/1899685","19-1899685")</f>
        <v>0</v>
      </c>
      <c r="B10670" t="s">
        <v>236</v>
      </c>
      <c r="C10670" t="s">
        <v>340</v>
      </c>
      <c r="D10670" t="s">
        <v>818</v>
      </c>
      <c r="F10670" t="s">
        <v>1068</v>
      </c>
      <c r="G10670" t="s">
        <v>9428</v>
      </c>
      <c r="H10670" t="s">
        <v>16835</v>
      </c>
      <c r="I10670">
        <v>28</v>
      </c>
      <c r="J10670" t="s">
        <v>18892</v>
      </c>
      <c r="K10670">
        <v>10460</v>
      </c>
      <c r="L10670" t="s">
        <v>18960</v>
      </c>
      <c r="M10670" t="s">
        <v>18960</v>
      </c>
      <c r="R10670" t="s">
        <v>26591</v>
      </c>
      <c r="U10670" t="s">
        <v>26604</v>
      </c>
      <c r="X10670">
        <v>1640</v>
      </c>
      <c r="Y10670" t="s">
        <v>26650</v>
      </c>
      <c r="Z10670" t="s">
        <v>26659</v>
      </c>
      <c r="AB10670" t="s">
        <v>34094</v>
      </c>
      <c r="AD10670" t="s">
        <v>45030</v>
      </c>
      <c r="AE10670">
        <v>29</v>
      </c>
      <c r="AF10670" t="s">
        <v>45552</v>
      </c>
      <c r="AG10670" t="s">
        <v>45557</v>
      </c>
      <c r="AH10670">
        <v>13</v>
      </c>
      <c r="AI10670">
        <v>1</v>
      </c>
      <c r="AJ10670">
        <v>0</v>
      </c>
      <c r="AK10670">
        <v>72.44</v>
      </c>
      <c r="AN10670" t="s">
        <v>7439</v>
      </c>
      <c r="AO10670">
        <v>9048</v>
      </c>
      <c r="AU10670">
        <v>1</v>
      </c>
      <c r="AV10670" t="s">
        <v>818</v>
      </c>
      <c r="AW10670" t="s">
        <v>46858</v>
      </c>
    </row>
    <row r="10671" spans="1:50">
      <c r="A10671" s="1">
        <f>HYPERLINK("https://lsnyc.legalserver.org/matter/dynamic-profile/view/1899758","19-1899758")</f>
        <v>0</v>
      </c>
      <c r="B10671" t="s">
        <v>63</v>
      </c>
      <c r="C10671" t="s">
        <v>340</v>
      </c>
      <c r="D10671" t="s">
        <v>818</v>
      </c>
      <c r="F10671" t="s">
        <v>890</v>
      </c>
      <c r="G10671" t="s">
        <v>9122</v>
      </c>
      <c r="H10671" t="s">
        <v>12199</v>
      </c>
      <c r="I10671" t="s">
        <v>17939</v>
      </c>
      <c r="J10671" t="s">
        <v>18892</v>
      </c>
      <c r="K10671">
        <v>10460</v>
      </c>
      <c r="L10671" t="s">
        <v>18958</v>
      </c>
      <c r="M10671" t="s">
        <v>18960</v>
      </c>
      <c r="N10671" t="s">
        <v>26132</v>
      </c>
      <c r="O10671" t="s">
        <v>26523</v>
      </c>
      <c r="P10671" t="s">
        <v>26560</v>
      </c>
      <c r="R10671" t="s">
        <v>26578</v>
      </c>
      <c r="S10671" t="s">
        <v>18959</v>
      </c>
      <c r="U10671" t="s">
        <v>26604</v>
      </c>
      <c r="X10671">
        <v>832.5</v>
      </c>
      <c r="Y10671" t="s">
        <v>26650</v>
      </c>
      <c r="Z10671" t="s">
        <v>26659</v>
      </c>
      <c r="AB10671" t="s">
        <v>33540</v>
      </c>
      <c r="AD10671" t="s">
        <v>44304</v>
      </c>
      <c r="AE10671">
        <v>169</v>
      </c>
      <c r="AF10671" t="s">
        <v>45541</v>
      </c>
      <c r="AG10671" t="s">
        <v>45556</v>
      </c>
      <c r="AH10671">
        <v>15</v>
      </c>
      <c r="AI10671">
        <v>2</v>
      </c>
      <c r="AJ10671">
        <v>1</v>
      </c>
      <c r="AK10671">
        <v>64.81</v>
      </c>
      <c r="AN10671" t="s">
        <v>7439</v>
      </c>
      <c r="AO10671">
        <v>13824</v>
      </c>
      <c r="AU10671">
        <v>6.5</v>
      </c>
      <c r="AV10671" t="s">
        <v>773</v>
      </c>
      <c r="AW10671" t="s">
        <v>336</v>
      </c>
      <c r="AX10671" t="s">
        <v>46897</v>
      </c>
    </row>
    <row r="10672" spans="1:50">
      <c r="A10672" s="1">
        <f>HYPERLINK("https://lsnyc.legalserver.org/matter/dynamic-profile/view/1900128","19-1900128")</f>
        <v>0</v>
      </c>
      <c r="B10672" t="s">
        <v>144</v>
      </c>
      <c r="C10672" t="s">
        <v>341</v>
      </c>
      <c r="D10672" t="s">
        <v>805</v>
      </c>
      <c r="E10672" t="s">
        <v>831</v>
      </c>
      <c r="F10672" t="s">
        <v>2076</v>
      </c>
      <c r="G10672" t="s">
        <v>5199</v>
      </c>
      <c r="H10672" t="s">
        <v>9804</v>
      </c>
      <c r="I10672" t="s">
        <v>17627</v>
      </c>
      <c r="J10672" t="s">
        <v>18893</v>
      </c>
      <c r="K10672">
        <v>10002</v>
      </c>
      <c r="L10672" t="s">
        <v>18960</v>
      </c>
      <c r="M10672" t="s">
        <v>18960</v>
      </c>
      <c r="O10672" t="s">
        <v>18997</v>
      </c>
      <c r="Q10672" t="s">
        <v>26570</v>
      </c>
      <c r="R10672" t="s">
        <v>26582</v>
      </c>
      <c r="U10672" t="s">
        <v>26604</v>
      </c>
      <c r="X10672">
        <v>0</v>
      </c>
      <c r="Y10672" t="s">
        <v>26651</v>
      </c>
      <c r="AA10672" t="s">
        <v>26683</v>
      </c>
      <c r="AB10672" t="s">
        <v>34095</v>
      </c>
      <c r="AD10672" t="s">
        <v>45031</v>
      </c>
      <c r="AE10672">
        <v>0</v>
      </c>
      <c r="AH10672">
        <v>38</v>
      </c>
      <c r="AI10672">
        <v>2</v>
      </c>
      <c r="AJ10672">
        <v>0</v>
      </c>
      <c r="AK10672">
        <v>114.11</v>
      </c>
      <c r="AN10672" t="s">
        <v>7439</v>
      </c>
      <c r="AO10672">
        <v>19296</v>
      </c>
      <c r="AU10672">
        <v>1</v>
      </c>
      <c r="AV10672" t="s">
        <v>805</v>
      </c>
      <c r="AW10672" t="s">
        <v>46838</v>
      </c>
    </row>
    <row r="10673" spans="1:50">
      <c r="A10673" s="1">
        <f>HYPERLINK("https://lsnyc.legalserver.org/matter/dynamic-profile/view/1900146","19-1900146")</f>
        <v>0</v>
      </c>
      <c r="B10673" t="s">
        <v>144</v>
      </c>
      <c r="C10673" t="s">
        <v>341</v>
      </c>
      <c r="D10673" t="s">
        <v>805</v>
      </c>
      <c r="E10673" t="s">
        <v>831</v>
      </c>
      <c r="F10673" t="s">
        <v>1594</v>
      </c>
      <c r="G10673" t="s">
        <v>9429</v>
      </c>
      <c r="H10673" t="s">
        <v>16836</v>
      </c>
      <c r="J10673" t="s">
        <v>18899</v>
      </c>
      <c r="K10673">
        <v>11385</v>
      </c>
      <c r="L10673" t="s">
        <v>18960</v>
      </c>
      <c r="M10673" t="s">
        <v>18960</v>
      </c>
      <c r="O10673" t="s">
        <v>18997</v>
      </c>
      <c r="Q10673" t="s">
        <v>26570</v>
      </c>
      <c r="R10673" t="s">
        <v>26582</v>
      </c>
      <c r="U10673" t="s">
        <v>26604</v>
      </c>
      <c r="X10673">
        <v>920</v>
      </c>
      <c r="Y10673" t="s">
        <v>26651</v>
      </c>
      <c r="AA10673" t="s">
        <v>26683</v>
      </c>
      <c r="AB10673" t="s">
        <v>34096</v>
      </c>
      <c r="AE10673">
        <v>0</v>
      </c>
      <c r="AH10673">
        <v>8</v>
      </c>
      <c r="AI10673">
        <v>2</v>
      </c>
      <c r="AJ10673">
        <v>0</v>
      </c>
      <c r="AK10673">
        <v>202.96</v>
      </c>
      <c r="AN10673" t="s">
        <v>7439</v>
      </c>
      <c r="AO10673">
        <v>34320</v>
      </c>
      <c r="AU10673">
        <v>1</v>
      </c>
      <c r="AV10673" t="s">
        <v>805</v>
      </c>
      <c r="AW10673" t="s">
        <v>46838</v>
      </c>
    </row>
    <row r="10674" spans="1:50">
      <c r="A10674" s="1">
        <f>HYPERLINK("https://lsnyc.legalserver.org/matter/dynamic-profile/view/1899903","19-1899903")</f>
        <v>0</v>
      </c>
      <c r="B10674" t="s">
        <v>113</v>
      </c>
      <c r="C10674" t="s">
        <v>341</v>
      </c>
      <c r="D10674" t="s">
        <v>805</v>
      </c>
      <c r="E10674" t="s">
        <v>797</v>
      </c>
      <c r="F10674" t="s">
        <v>1697</v>
      </c>
      <c r="G10674" t="s">
        <v>5590</v>
      </c>
      <c r="H10674" t="s">
        <v>16837</v>
      </c>
      <c r="I10674" t="s">
        <v>17360</v>
      </c>
      <c r="J10674" t="s">
        <v>18892</v>
      </c>
      <c r="K10674">
        <v>10452</v>
      </c>
      <c r="L10674" t="s">
        <v>18959</v>
      </c>
      <c r="M10674" t="s">
        <v>18960</v>
      </c>
      <c r="N10674" t="s">
        <v>26133</v>
      </c>
      <c r="O10674" t="s">
        <v>26523</v>
      </c>
      <c r="P10674" t="s">
        <v>26564</v>
      </c>
      <c r="Q10674" t="s">
        <v>26570</v>
      </c>
      <c r="R10674" t="s">
        <v>26591</v>
      </c>
      <c r="S10674" t="s">
        <v>18959</v>
      </c>
      <c r="U10674" t="s">
        <v>26604</v>
      </c>
      <c r="X10674">
        <v>1183</v>
      </c>
      <c r="Y10674" t="s">
        <v>26650</v>
      </c>
      <c r="AA10674" t="s">
        <v>26683</v>
      </c>
      <c r="AB10674" t="s">
        <v>34097</v>
      </c>
      <c r="AE10674">
        <v>60</v>
      </c>
      <c r="AF10674" t="s">
        <v>45548</v>
      </c>
      <c r="AG10674" t="s">
        <v>19330</v>
      </c>
      <c r="AH10674">
        <v>18</v>
      </c>
      <c r="AI10674">
        <v>2</v>
      </c>
      <c r="AJ10674">
        <v>2</v>
      </c>
      <c r="AK10674">
        <v>181.75</v>
      </c>
      <c r="AN10674" t="s">
        <v>7439</v>
      </c>
      <c r="AO10674">
        <v>46800</v>
      </c>
      <c r="AP10674" t="s">
        <v>46319</v>
      </c>
      <c r="AU10674">
        <v>1.35</v>
      </c>
      <c r="AV10674" t="s">
        <v>819</v>
      </c>
      <c r="AW10674" t="s">
        <v>46829</v>
      </c>
      <c r="AX10674" t="s">
        <v>19330</v>
      </c>
    </row>
    <row r="10675" spans="1:50">
      <c r="A10675" s="1">
        <f>HYPERLINK("https://lsnyc.legalserver.org/matter/dynamic-profile/view/1899561","19-1899561")</f>
        <v>0</v>
      </c>
      <c r="B10675" t="s">
        <v>131</v>
      </c>
      <c r="C10675" t="s">
        <v>341</v>
      </c>
      <c r="D10675" t="s">
        <v>805</v>
      </c>
      <c r="E10675" t="s">
        <v>805</v>
      </c>
      <c r="F10675" t="s">
        <v>1480</v>
      </c>
      <c r="G10675" t="s">
        <v>3036</v>
      </c>
      <c r="H10675" t="s">
        <v>11815</v>
      </c>
      <c r="I10675" t="s">
        <v>17965</v>
      </c>
      <c r="J10675" t="s">
        <v>18902</v>
      </c>
      <c r="K10675">
        <v>10304</v>
      </c>
      <c r="L10675" t="s">
        <v>18960</v>
      </c>
      <c r="M10675" t="s">
        <v>18960</v>
      </c>
      <c r="O10675" t="s">
        <v>18997</v>
      </c>
      <c r="P10675" t="s">
        <v>26564</v>
      </c>
      <c r="Q10675" t="s">
        <v>26570</v>
      </c>
      <c r="R10675" t="s">
        <v>26578</v>
      </c>
      <c r="S10675" t="s">
        <v>18959</v>
      </c>
      <c r="U10675" t="s">
        <v>26606</v>
      </c>
      <c r="X10675">
        <v>294</v>
      </c>
      <c r="Y10675" t="s">
        <v>26654</v>
      </c>
      <c r="AA10675" t="s">
        <v>26683</v>
      </c>
      <c r="AB10675" t="s">
        <v>29073</v>
      </c>
      <c r="AD10675" t="s">
        <v>39127</v>
      </c>
      <c r="AE10675">
        <v>0</v>
      </c>
      <c r="AF10675" t="s">
        <v>45543</v>
      </c>
      <c r="AG10675" t="s">
        <v>19330</v>
      </c>
      <c r="AH10675">
        <v>32</v>
      </c>
      <c r="AI10675">
        <v>1</v>
      </c>
      <c r="AJ10675">
        <v>0</v>
      </c>
      <c r="AK10675">
        <v>123.07</v>
      </c>
      <c r="AO10675">
        <v>15372</v>
      </c>
      <c r="AU10675">
        <v>2.95</v>
      </c>
      <c r="AV10675" t="s">
        <v>773</v>
      </c>
      <c r="AW10675" t="s">
        <v>46883</v>
      </c>
    </row>
    <row r="10676" spans="1:50">
      <c r="A10676" s="1">
        <f>HYPERLINK("https://lsnyc.legalserver.org/matter/dynamic-profile/view/1899934","19-1899934")</f>
        <v>0</v>
      </c>
      <c r="B10676" t="s">
        <v>70</v>
      </c>
      <c r="C10676" t="s">
        <v>340</v>
      </c>
      <c r="D10676" t="s">
        <v>805</v>
      </c>
      <c r="F10676" t="s">
        <v>1718</v>
      </c>
      <c r="G10676" t="s">
        <v>5307</v>
      </c>
      <c r="H10676" t="s">
        <v>10762</v>
      </c>
      <c r="I10676" t="s">
        <v>17639</v>
      </c>
      <c r="J10676" t="s">
        <v>18892</v>
      </c>
      <c r="K10676">
        <v>10467</v>
      </c>
      <c r="L10676" t="s">
        <v>18959</v>
      </c>
      <c r="M10676" t="s">
        <v>18960</v>
      </c>
      <c r="N10676" t="s">
        <v>26134</v>
      </c>
      <c r="O10676" t="s">
        <v>26524</v>
      </c>
      <c r="P10676" t="s">
        <v>26560</v>
      </c>
      <c r="R10676" t="s">
        <v>26579</v>
      </c>
      <c r="S10676" t="s">
        <v>18959</v>
      </c>
      <c r="U10676" t="s">
        <v>26604</v>
      </c>
      <c r="V10676" t="s">
        <v>26611</v>
      </c>
      <c r="X10676">
        <v>1</v>
      </c>
      <c r="Y10676" t="s">
        <v>26650</v>
      </c>
      <c r="Z10676" t="s">
        <v>26659</v>
      </c>
      <c r="AB10676" t="s">
        <v>27914</v>
      </c>
      <c r="AD10676" t="s">
        <v>37964</v>
      </c>
      <c r="AE10676">
        <v>0</v>
      </c>
      <c r="AF10676" t="s">
        <v>45541</v>
      </c>
      <c r="AG10676" t="s">
        <v>45556</v>
      </c>
      <c r="AH10676">
        <v>9</v>
      </c>
      <c r="AI10676">
        <v>3</v>
      </c>
      <c r="AJ10676">
        <v>1</v>
      </c>
      <c r="AK10676">
        <v>43.01</v>
      </c>
      <c r="AN10676" t="s">
        <v>7439</v>
      </c>
      <c r="AO10676">
        <v>11076</v>
      </c>
      <c r="AU10676">
        <v>1.1</v>
      </c>
      <c r="AV10676" t="s">
        <v>835</v>
      </c>
      <c r="AW10676" t="s">
        <v>70</v>
      </c>
      <c r="AX10676" t="s">
        <v>46898</v>
      </c>
    </row>
    <row r="10677" spans="1:50">
      <c r="A10677" s="1">
        <f>HYPERLINK("https://lsnyc.legalserver.org/matter/dynamic-profile/view/1900571","19-1900571")</f>
        <v>0</v>
      </c>
      <c r="B10677" t="s">
        <v>149</v>
      </c>
      <c r="C10677" t="s">
        <v>340</v>
      </c>
      <c r="D10677" t="s">
        <v>805</v>
      </c>
      <c r="F10677" t="s">
        <v>4884</v>
      </c>
      <c r="G10677" t="s">
        <v>9430</v>
      </c>
      <c r="H10677" t="s">
        <v>16838</v>
      </c>
      <c r="I10677" t="s">
        <v>17347</v>
      </c>
      <c r="J10677" t="s">
        <v>18892</v>
      </c>
      <c r="K10677">
        <v>10460</v>
      </c>
      <c r="L10677" t="s">
        <v>18958</v>
      </c>
      <c r="M10677" t="s">
        <v>18960</v>
      </c>
      <c r="N10677" t="s">
        <v>26135</v>
      </c>
      <c r="O10677" t="s">
        <v>26523</v>
      </c>
      <c r="R10677" t="s">
        <v>26577</v>
      </c>
      <c r="S10677" t="s">
        <v>18959</v>
      </c>
      <c r="U10677" t="s">
        <v>26604</v>
      </c>
      <c r="X10677">
        <v>530</v>
      </c>
      <c r="Y10677" t="s">
        <v>26650</v>
      </c>
      <c r="Z10677" t="s">
        <v>26668</v>
      </c>
      <c r="AB10677" t="s">
        <v>34098</v>
      </c>
      <c r="AD10677" t="s">
        <v>45032</v>
      </c>
      <c r="AE10677">
        <v>19</v>
      </c>
      <c r="AG10677" t="s">
        <v>19330</v>
      </c>
      <c r="AH10677">
        <v>25</v>
      </c>
      <c r="AI10677">
        <v>1</v>
      </c>
      <c r="AJ10677">
        <v>0</v>
      </c>
      <c r="AK10677">
        <v>104.15</v>
      </c>
      <c r="AN10677" t="s">
        <v>7439</v>
      </c>
      <c r="AO10677">
        <v>13008</v>
      </c>
      <c r="AU10677">
        <v>4.45</v>
      </c>
      <c r="AV10677" t="s">
        <v>836</v>
      </c>
      <c r="AW10677" t="s">
        <v>336</v>
      </c>
      <c r="AX10677" t="s">
        <v>46897</v>
      </c>
    </row>
    <row r="10678" spans="1:50">
      <c r="A10678" s="1">
        <f>HYPERLINK("https://lsnyc.legalserver.org/matter/dynamic-profile/view/1900694","19-1900694")</f>
        <v>0</v>
      </c>
      <c r="B10678" t="s">
        <v>149</v>
      </c>
      <c r="C10678" t="s">
        <v>340</v>
      </c>
      <c r="D10678" t="s">
        <v>805</v>
      </c>
      <c r="F10678" t="s">
        <v>1250</v>
      </c>
      <c r="G10678" t="s">
        <v>6171</v>
      </c>
      <c r="H10678" t="s">
        <v>16839</v>
      </c>
      <c r="I10678">
        <v>1</v>
      </c>
      <c r="J10678" t="s">
        <v>18892</v>
      </c>
      <c r="K10678">
        <v>10467</v>
      </c>
      <c r="L10678" t="s">
        <v>18958</v>
      </c>
      <c r="M10678" t="s">
        <v>18960</v>
      </c>
      <c r="N10678" t="s">
        <v>26136</v>
      </c>
      <c r="O10678" t="s">
        <v>26523</v>
      </c>
      <c r="R10678" t="s">
        <v>26579</v>
      </c>
      <c r="S10678" t="s">
        <v>18959</v>
      </c>
      <c r="U10678" t="s">
        <v>26604</v>
      </c>
      <c r="X10678">
        <v>2500</v>
      </c>
      <c r="Y10678" t="s">
        <v>26650</v>
      </c>
      <c r="Z10678" t="s">
        <v>26664</v>
      </c>
      <c r="AB10678" t="s">
        <v>28154</v>
      </c>
      <c r="AD10678" t="s">
        <v>45033</v>
      </c>
      <c r="AE10678">
        <v>2</v>
      </c>
      <c r="AF10678" t="s">
        <v>45545</v>
      </c>
      <c r="AG10678" t="s">
        <v>19330</v>
      </c>
      <c r="AH10678">
        <v>1</v>
      </c>
      <c r="AI10678">
        <v>2</v>
      </c>
      <c r="AJ10678">
        <v>0</v>
      </c>
      <c r="AK10678">
        <v>92.25</v>
      </c>
      <c r="AN10678" t="s">
        <v>45581</v>
      </c>
      <c r="AO10678">
        <v>15600</v>
      </c>
      <c r="AU10678">
        <v>1.75</v>
      </c>
      <c r="AV10678" t="s">
        <v>836</v>
      </c>
      <c r="AW10678" t="s">
        <v>336</v>
      </c>
      <c r="AX10678" t="s">
        <v>46897</v>
      </c>
    </row>
    <row r="10679" spans="1:50">
      <c r="A10679" s="1">
        <f>HYPERLINK("https://lsnyc.legalserver.org/matter/dynamic-profile/view/1899834","19-1899834")</f>
        <v>0</v>
      </c>
      <c r="B10679" t="s">
        <v>100</v>
      </c>
      <c r="C10679" t="s">
        <v>340</v>
      </c>
      <c r="D10679" t="s">
        <v>805</v>
      </c>
      <c r="F10679" t="s">
        <v>1283</v>
      </c>
      <c r="G10679" t="s">
        <v>8673</v>
      </c>
      <c r="H10679" t="s">
        <v>10817</v>
      </c>
      <c r="I10679" t="s">
        <v>17562</v>
      </c>
      <c r="J10679" t="s">
        <v>18892</v>
      </c>
      <c r="K10679">
        <v>10455</v>
      </c>
      <c r="L10679" t="s">
        <v>18958</v>
      </c>
      <c r="M10679" t="s">
        <v>18960</v>
      </c>
      <c r="O10679" t="s">
        <v>26526</v>
      </c>
      <c r="P10679" t="s">
        <v>26560</v>
      </c>
      <c r="R10679" t="s">
        <v>26578</v>
      </c>
      <c r="S10679" t="s">
        <v>18958</v>
      </c>
      <c r="U10679" t="s">
        <v>26604</v>
      </c>
      <c r="X10679">
        <v>1534</v>
      </c>
      <c r="Y10679" t="s">
        <v>26650</v>
      </c>
      <c r="Z10679" t="s">
        <v>26663</v>
      </c>
      <c r="AB10679" t="s">
        <v>34099</v>
      </c>
      <c r="AD10679" t="s">
        <v>45034</v>
      </c>
      <c r="AE10679">
        <v>99</v>
      </c>
      <c r="AF10679" t="s">
        <v>45541</v>
      </c>
      <c r="AG10679" t="s">
        <v>45558</v>
      </c>
      <c r="AH10679">
        <v>1</v>
      </c>
      <c r="AI10679">
        <v>1</v>
      </c>
      <c r="AJ10679">
        <v>3</v>
      </c>
      <c r="AK10679">
        <v>18.92</v>
      </c>
      <c r="AN10679" t="s">
        <v>7439</v>
      </c>
      <c r="AO10679">
        <v>4870.8</v>
      </c>
      <c r="AU10679">
        <v>0</v>
      </c>
      <c r="AW10679" t="s">
        <v>329</v>
      </c>
    </row>
    <row r="10680" spans="1:50">
      <c r="A10680" s="1">
        <f>HYPERLINK("https://lsnyc.legalserver.org/matter/dynamic-profile/view/1899819","19-1899819")</f>
        <v>0</v>
      </c>
      <c r="B10680" t="s">
        <v>100</v>
      </c>
      <c r="C10680" t="s">
        <v>340</v>
      </c>
      <c r="D10680" t="s">
        <v>805</v>
      </c>
      <c r="F10680" t="s">
        <v>4885</v>
      </c>
      <c r="G10680" t="s">
        <v>6407</v>
      </c>
      <c r="H10680" t="s">
        <v>10817</v>
      </c>
      <c r="J10680" t="s">
        <v>18892</v>
      </c>
      <c r="K10680">
        <v>10455</v>
      </c>
      <c r="L10680" t="s">
        <v>18958</v>
      </c>
      <c r="M10680" t="s">
        <v>18960</v>
      </c>
      <c r="O10680" t="s">
        <v>26526</v>
      </c>
      <c r="P10680" t="s">
        <v>26560</v>
      </c>
      <c r="R10680" t="s">
        <v>26578</v>
      </c>
      <c r="S10680" t="s">
        <v>18958</v>
      </c>
      <c r="U10680" t="s">
        <v>26604</v>
      </c>
      <c r="X10680">
        <v>222.4</v>
      </c>
      <c r="Y10680" t="s">
        <v>26650</v>
      </c>
      <c r="Z10680" t="s">
        <v>26663</v>
      </c>
      <c r="AB10680" t="s">
        <v>29892</v>
      </c>
      <c r="AD10680" t="s">
        <v>45035</v>
      </c>
      <c r="AE10680">
        <v>99</v>
      </c>
      <c r="AF10680" t="s">
        <v>20460</v>
      </c>
      <c r="AH10680">
        <v>1</v>
      </c>
      <c r="AI10680">
        <v>1</v>
      </c>
      <c r="AJ10680">
        <v>0</v>
      </c>
      <c r="AK10680">
        <v>83.68000000000001</v>
      </c>
      <c r="AN10680" t="s">
        <v>7439</v>
      </c>
      <c r="AO10680">
        <v>10452</v>
      </c>
      <c r="AU10680">
        <v>0</v>
      </c>
      <c r="AW10680" t="s">
        <v>329</v>
      </c>
    </row>
    <row r="10681" spans="1:50">
      <c r="A10681" s="1">
        <f>HYPERLINK("https://lsnyc.legalserver.org/matter/dynamic-profile/view/1899850","19-1899850")</f>
        <v>0</v>
      </c>
      <c r="B10681" t="s">
        <v>100</v>
      </c>
      <c r="C10681" t="s">
        <v>340</v>
      </c>
      <c r="D10681" t="s">
        <v>805</v>
      </c>
      <c r="F10681" t="s">
        <v>4886</v>
      </c>
      <c r="G10681" t="s">
        <v>5205</v>
      </c>
      <c r="H10681" t="s">
        <v>10817</v>
      </c>
      <c r="I10681" t="s">
        <v>17439</v>
      </c>
      <c r="J10681" t="s">
        <v>18892</v>
      </c>
      <c r="K10681">
        <v>10455</v>
      </c>
      <c r="L10681" t="s">
        <v>18958</v>
      </c>
      <c r="M10681" t="s">
        <v>18960</v>
      </c>
      <c r="O10681" t="s">
        <v>26526</v>
      </c>
      <c r="P10681" t="s">
        <v>26560</v>
      </c>
      <c r="R10681" t="s">
        <v>26578</v>
      </c>
      <c r="S10681" t="s">
        <v>18958</v>
      </c>
      <c r="U10681" t="s">
        <v>26604</v>
      </c>
      <c r="X10681">
        <v>1779</v>
      </c>
      <c r="Y10681" t="s">
        <v>26650</v>
      </c>
      <c r="Z10681" t="s">
        <v>26663</v>
      </c>
      <c r="AB10681" t="s">
        <v>34100</v>
      </c>
      <c r="AD10681" t="s">
        <v>45036</v>
      </c>
      <c r="AE10681">
        <v>99</v>
      </c>
      <c r="AF10681" t="s">
        <v>45541</v>
      </c>
      <c r="AG10681" t="s">
        <v>45558</v>
      </c>
      <c r="AH10681">
        <v>2</v>
      </c>
      <c r="AI10681">
        <v>1</v>
      </c>
      <c r="AJ10681">
        <v>4</v>
      </c>
      <c r="AK10681">
        <v>120.65</v>
      </c>
      <c r="AN10681" t="s">
        <v>7439</v>
      </c>
      <c r="AO10681">
        <v>36400</v>
      </c>
      <c r="AU10681">
        <v>0</v>
      </c>
      <c r="AW10681" t="s">
        <v>329</v>
      </c>
    </row>
    <row r="10682" spans="1:50">
      <c r="A10682" s="1">
        <f>HYPERLINK("https://lsnyc.legalserver.org/matter/dynamic-profile/view/1899906","19-1899906")</f>
        <v>0</v>
      </c>
      <c r="B10682" t="s">
        <v>108</v>
      </c>
      <c r="C10682" t="s">
        <v>340</v>
      </c>
      <c r="D10682" t="s">
        <v>805</v>
      </c>
      <c r="F10682" t="s">
        <v>1081</v>
      </c>
      <c r="G10682" t="s">
        <v>9431</v>
      </c>
      <c r="H10682" t="s">
        <v>16840</v>
      </c>
      <c r="I10682" t="s">
        <v>17430</v>
      </c>
      <c r="J10682" t="s">
        <v>18910</v>
      </c>
      <c r="K10682">
        <v>11420</v>
      </c>
      <c r="L10682" t="s">
        <v>18960</v>
      </c>
      <c r="M10682" t="s">
        <v>18960</v>
      </c>
      <c r="N10682" t="s">
        <v>26137</v>
      </c>
      <c r="O10682" t="s">
        <v>26524</v>
      </c>
      <c r="R10682" t="s">
        <v>26584</v>
      </c>
      <c r="U10682" t="s">
        <v>26604</v>
      </c>
      <c r="X10682">
        <v>1200</v>
      </c>
      <c r="Y10682" t="s">
        <v>26653</v>
      </c>
      <c r="Z10682" t="s">
        <v>26664</v>
      </c>
      <c r="AB10682" t="s">
        <v>34101</v>
      </c>
      <c r="AC10682" t="s">
        <v>36743</v>
      </c>
      <c r="AD10682" t="s">
        <v>45037</v>
      </c>
      <c r="AE10682">
        <v>2</v>
      </c>
      <c r="AF10682" t="s">
        <v>45547</v>
      </c>
      <c r="AG10682" t="s">
        <v>19330</v>
      </c>
      <c r="AH10682">
        <v>7</v>
      </c>
      <c r="AI10682">
        <v>2</v>
      </c>
      <c r="AJ10682">
        <v>2</v>
      </c>
      <c r="AK10682">
        <v>0</v>
      </c>
      <c r="AN10682" t="s">
        <v>7439</v>
      </c>
      <c r="AO10682">
        <v>0</v>
      </c>
      <c r="AU10682">
        <v>1</v>
      </c>
      <c r="AV10682" t="s">
        <v>805</v>
      </c>
      <c r="AW10682" t="s">
        <v>46846</v>
      </c>
    </row>
    <row r="10683" spans="1:50">
      <c r="A10683" s="1">
        <f>HYPERLINK("https://lsnyc.legalserver.org/matter/dynamic-profile/view/1899930","19-1899930")</f>
        <v>0</v>
      </c>
      <c r="B10683" t="s">
        <v>186</v>
      </c>
      <c r="C10683" t="s">
        <v>340</v>
      </c>
      <c r="D10683" t="s">
        <v>805</v>
      </c>
      <c r="F10683" t="s">
        <v>4467</v>
      </c>
      <c r="G10683" t="s">
        <v>9432</v>
      </c>
      <c r="H10683" t="s">
        <v>16841</v>
      </c>
      <c r="I10683" t="s">
        <v>17657</v>
      </c>
      <c r="J10683" t="s">
        <v>18894</v>
      </c>
      <c r="K10683">
        <v>11226</v>
      </c>
      <c r="L10683" t="s">
        <v>18960</v>
      </c>
      <c r="M10683" t="s">
        <v>18960</v>
      </c>
      <c r="R10683" t="s">
        <v>26591</v>
      </c>
      <c r="U10683" t="s">
        <v>26604</v>
      </c>
      <c r="X10683">
        <v>0</v>
      </c>
      <c r="Y10683" t="s">
        <v>26652</v>
      </c>
      <c r="AB10683" t="s">
        <v>34102</v>
      </c>
      <c r="AE10683">
        <v>0</v>
      </c>
      <c r="AH10683">
        <v>0</v>
      </c>
      <c r="AI10683">
        <v>1</v>
      </c>
      <c r="AJ10683">
        <v>0</v>
      </c>
      <c r="AK10683">
        <v>163.33</v>
      </c>
      <c r="AO10683">
        <v>20400</v>
      </c>
      <c r="AU10683">
        <v>0.75</v>
      </c>
      <c r="AV10683" t="s">
        <v>805</v>
      </c>
      <c r="AW10683" t="s">
        <v>186</v>
      </c>
    </row>
    <row r="10684" spans="1:50">
      <c r="A10684" s="1">
        <f>HYPERLINK("https://lsnyc.legalserver.org/matter/dynamic-profile/view/1899796","19-1899796")</f>
        <v>0</v>
      </c>
      <c r="B10684" t="s">
        <v>186</v>
      </c>
      <c r="C10684" t="s">
        <v>340</v>
      </c>
      <c r="D10684" t="s">
        <v>805</v>
      </c>
      <c r="F10684" t="s">
        <v>1234</v>
      </c>
      <c r="G10684" t="s">
        <v>7290</v>
      </c>
      <c r="H10684" t="s">
        <v>16842</v>
      </c>
      <c r="I10684" t="s">
        <v>17306</v>
      </c>
      <c r="J10684" t="s">
        <v>18894</v>
      </c>
      <c r="K10684">
        <v>11212</v>
      </c>
      <c r="L10684" t="s">
        <v>18960</v>
      </c>
      <c r="M10684" t="s">
        <v>18960</v>
      </c>
      <c r="N10684" t="s">
        <v>26138</v>
      </c>
      <c r="O10684" t="s">
        <v>26523</v>
      </c>
      <c r="R10684" t="s">
        <v>26578</v>
      </c>
      <c r="U10684" t="s">
        <v>26604</v>
      </c>
      <c r="X10684">
        <v>1025</v>
      </c>
      <c r="Y10684" t="s">
        <v>26652</v>
      </c>
      <c r="Z10684" t="s">
        <v>26661</v>
      </c>
      <c r="AB10684" t="s">
        <v>34103</v>
      </c>
      <c r="AD10684" t="s">
        <v>45038</v>
      </c>
      <c r="AE10684">
        <v>0</v>
      </c>
      <c r="AF10684" t="s">
        <v>45541</v>
      </c>
      <c r="AG10684" t="s">
        <v>45561</v>
      </c>
      <c r="AH10684">
        <v>6</v>
      </c>
      <c r="AI10684">
        <v>1</v>
      </c>
      <c r="AJ10684">
        <v>0</v>
      </c>
      <c r="AK10684">
        <v>99.92</v>
      </c>
      <c r="AN10684" t="s">
        <v>7439</v>
      </c>
      <c r="AO10684">
        <v>12480</v>
      </c>
      <c r="AU10684">
        <v>2.05</v>
      </c>
      <c r="AV10684" t="s">
        <v>829</v>
      </c>
      <c r="AW10684" t="s">
        <v>46842</v>
      </c>
    </row>
    <row r="10685" spans="1:50">
      <c r="A10685" s="1">
        <f>HYPERLINK("https://lsnyc.legalserver.org/matter/dynamic-profile/view/1899916","19-1899916")</f>
        <v>0</v>
      </c>
      <c r="B10685" t="s">
        <v>134</v>
      </c>
      <c r="C10685" t="s">
        <v>340</v>
      </c>
      <c r="D10685" t="s">
        <v>805</v>
      </c>
      <c r="F10685" t="s">
        <v>4149</v>
      </c>
      <c r="G10685" t="s">
        <v>8542</v>
      </c>
      <c r="H10685" t="s">
        <v>15112</v>
      </c>
      <c r="I10685" t="s">
        <v>17707</v>
      </c>
      <c r="J10685" t="s">
        <v>18894</v>
      </c>
      <c r="K10685">
        <v>11212</v>
      </c>
      <c r="L10685" t="s">
        <v>18958</v>
      </c>
      <c r="M10685" t="s">
        <v>18960</v>
      </c>
      <c r="O10685" t="s">
        <v>26529</v>
      </c>
      <c r="R10685" t="s">
        <v>26578</v>
      </c>
      <c r="S10685" t="s">
        <v>26598</v>
      </c>
      <c r="U10685" t="s">
        <v>26604</v>
      </c>
      <c r="V10685" t="s">
        <v>26610</v>
      </c>
      <c r="X10685">
        <v>911</v>
      </c>
      <c r="Y10685" t="s">
        <v>26652</v>
      </c>
      <c r="Z10685" t="s">
        <v>26664</v>
      </c>
      <c r="AB10685" t="s">
        <v>28144</v>
      </c>
      <c r="AD10685" t="s">
        <v>43075</v>
      </c>
      <c r="AE10685">
        <v>0</v>
      </c>
      <c r="AF10685" t="s">
        <v>45541</v>
      </c>
      <c r="AH10685">
        <v>9</v>
      </c>
      <c r="AI10685">
        <v>1</v>
      </c>
      <c r="AJ10685">
        <v>2</v>
      </c>
      <c r="AK10685">
        <v>23.65</v>
      </c>
      <c r="AN10685" t="s">
        <v>7439</v>
      </c>
      <c r="AO10685">
        <v>5044</v>
      </c>
      <c r="AU10685">
        <v>1.1</v>
      </c>
      <c r="AV10685" t="s">
        <v>809</v>
      </c>
      <c r="AW10685" t="s">
        <v>279</v>
      </c>
      <c r="AX10685" t="s">
        <v>46897</v>
      </c>
    </row>
    <row r="10686" spans="1:50">
      <c r="A10686" s="1">
        <f>HYPERLINK("https://lsnyc.legalserver.org/matter/dynamic-profile/view/1899862","19-1899862")</f>
        <v>0</v>
      </c>
      <c r="B10686" t="s">
        <v>55</v>
      </c>
      <c r="C10686" t="s">
        <v>340</v>
      </c>
      <c r="D10686" t="s">
        <v>805</v>
      </c>
      <c r="F10686" t="s">
        <v>1548</v>
      </c>
      <c r="G10686" t="s">
        <v>8148</v>
      </c>
      <c r="H10686" t="s">
        <v>12199</v>
      </c>
      <c r="I10686" t="s">
        <v>18406</v>
      </c>
      <c r="J10686" t="s">
        <v>18892</v>
      </c>
      <c r="K10686">
        <v>10460</v>
      </c>
      <c r="L10686" t="s">
        <v>18958</v>
      </c>
      <c r="M10686" t="s">
        <v>18960</v>
      </c>
      <c r="O10686" t="s">
        <v>18997</v>
      </c>
      <c r="P10686" t="s">
        <v>26562</v>
      </c>
      <c r="R10686" t="s">
        <v>26578</v>
      </c>
      <c r="S10686" t="s">
        <v>18958</v>
      </c>
      <c r="U10686" t="s">
        <v>26604</v>
      </c>
      <c r="X10686">
        <v>400</v>
      </c>
      <c r="Y10686" t="s">
        <v>26650</v>
      </c>
      <c r="Z10686" t="s">
        <v>26663</v>
      </c>
      <c r="AB10686" t="s">
        <v>30044</v>
      </c>
      <c r="AD10686" t="s">
        <v>42230</v>
      </c>
      <c r="AE10686">
        <v>169</v>
      </c>
      <c r="AF10686" t="s">
        <v>45541</v>
      </c>
      <c r="AG10686" t="s">
        <v>45556</v>
      </c>
      <c r="AH10686">
        <v>8</v>
      </c>
      <c r="AI10686">
        <v>1</v>
      </c>
      <c r="AJ10686">
        <v>2</v>
      </c>
      <c r="AK10686">
        <v>23.65</v>
      </c>
      <c r="AN10686" t="s">
        <v>7439</v>
      </c>
      <c r="AO10686">
        <v>5044</v>
      </c>
      <c r="AU10686">
        <v>0</v>
      </c>
      <c r="AW10686" t="s">
        <v>336</v>
      </c>
      <c r="AX10686" t="s">
        <v>46897</v>
      </c>
    </row>
    <row r="10687" spans="1:50">
      <c r="A10687" s="1">
        <f>HYPERLINK("https://lsnyc.legalserver.org/matter/dynamic-profile/view/1899914","19-1899914")</f>
        <v>0</v>
      </c>
      <c r="B10687" t="s">
        <v>55</v>
      </c>
      <c r="C10687" t="s">
        <v>340</v>
      </c>
      <c r="D10687" t="s">
        <v>805</v>
      </c>
      <c r="F10687" t="s">
        <v>1196</v>
      </c>
      <c r="G10687" t="s">
        <v>7120</v>
      </c>
      <c r="H10687" t="s">
        <v>12199</v>
      </c>
      <c r="I10687" t="s">
        <v>18031</v>
      </c>
      <c r="J10687" t="s">
        <v>18892</v>
      </c>
      <c r="K10687">
        <v>10460</v>
      </c>
      <c r="L10687" t="s">
        <v>18958</v>
      </c>
      <c r="M10687" t="s">
        <v>18960</v>
      </c>
      <c r="O10687" t="s">
        <v>18997</v>
      </c>
      <c r="P10687" t="s">
        <v>26562</v>
      </c>
      <c r="R10687" t="s">
        <v>26578</v>
      </c>
      <c r="S10687" t="s">
        <v>18958</v>
      </c>
      <c r="U10687" t="s">
        <v>26604</v>
      </c>
      <c r="X10687">
        <v>1300</v>
      </c>
      <c r="Y10687" t="s">
        <v>26650</v>
      </c>
      <c r="Z10687" t="s">
        <v>26663</v>
      </c>
      <c r="AB10687" t="s">
        <v>30004</v>
      </c>
      <c r="AD10687" t="s">
        <v>40134</v>
      </c>
      <c r="AE10687">
        <v>168</v>
      </c>
      <c r="AF10687" t="s">
        <v>45541</v>
      </c>
      <c r="AG10687" t="s">
        <v>45556</v>
      </c>
      <c r="AH10687">
        <v>19</v>
      </c>
      <c r="AI10687">
        <v>1</v>
      </c>
      <c r="AJ10687">
        <v>0</v>
      </c>
      <c r="AK10687">
        <v>40.03</v>
      </c>
      <c r="AN10687" t="s">
        <v>7439</v>
      </c>
      <c r="AO10687">
        <v>5000.04</v>
      </c>
      <c r="AU10687">
        <v>0</v>
      </c>
      <c r="AW10687" t="s">
        <v>46832</v>
      </c>
      <c r="AX10687" t="s">
        <v>46897</v>
      </c>
    </row>
    <row r="10688" spans="1:50">
      <c r="A10688" s="1">
        <f>HYPERLINK("https://lsnyc.legalserver.org/matter/dynamic-profile/view/1899841","19-1899841")</f>
        <v>0</v>
      </c>
      <c r="B10688" t="s">
        <v>55</v>
      </c>
      <c r="C10688" t="s">
        <v>340</v>
      </c>
      <c r="D10688" t="s">
        <v>805</v>
      </c>
      <c r="F10688" t="s">
        <v>3795</v>
      </c>
      <c r="G10688" t="s">
        <v>8144</v>
      </c>
      <c r="H10688" t="s">
        <v>12199</v>
      </c>
      <c r="I10688" t="s">
        <v>18394</v>
      </c>
      <c r="J10688" t="s">
        <v>18892</v>
      </c>
      <c r="K10688">
        <v>10460</v>
      </c>
      <c r="L10688" t="s">
        <v>18958</v>
      </c>
      <c r="M10688" t="s">
        <v>18960</v>
      </c>
      <c r="O10688" t="s">
        <v>18997</v>
      </c>
      <c r="P10688" t="s">
        <v>26562</v>
      </c>
      <c r="R10688" t="s">
        <v>26578</v>
      </c>
      <c r="S10688" t="s">
        <v>18958</v>
      </c>
      <c r="U10688" t="s">
        <v>26604</v>
      </c>
      <c r="X10688">
        <v>1789</v>
      </c>
      <c r="Y10688" t="s">
        <v>26650</v>
      </c>
      <c r="Z10688" t="s">
        <v>26663</v>
      </c>
      <c r="AB10688" t="s">
        <v>29464</v>
      </c>
      <c r="AD10688" t="s">
        <v>42220</v>
      </c>
      <c r="AE10688">
        <v>168</v>
      </c>
      <c r="AF10688" t="s">
        <v>45541</v>
      </c>
      <c r="AG10688" t="s">
        <v>45556</v>
      </c>
      <c r="AH10688">
        <v>12</v>
      </c>
      <c r="AI10688">
        <v>2</v>
      </c>
      <c r="AJ10688">
        <v>0</v>
      </c>
      <c r="AK10688">
        <v>53.22</v>
      </c>
      <c r="AN10688" t="s">
        <v>7439</v>
      </c>
      <c r="AO10688">
        <v>9000</v>
      </c>
      <c r="AU10688">
        <v>0</v>
      </c>
      <c r="AW10688" t="s">
        <v>336</v>
      </c>
      <c r="AX10688" t="s">
        <v>46897</v>
      </c>
    </row>
    <row r="10689" spans="1:50">
      <c r="A10689" s="1">
        <f>HYPERLINK("https://lsnyc.legalserver.org/matter/dynamic-profile/view/1899865","19-1899865")</f>
        <v>0</v>
      </c>
      <c r="B10689" t="s">
        <v>55</v>
      </c>
      <c r="C10689" t="s">
        <v>340</v>
      </c>
      <c r="D10689" t="s">
        <v>805</v>
      </c>
      <c r="F10689" t="s">
        <v>3794</v>
      </c>
      <c r="G10689" t="s">
        <v>7214</v>
      </c>
      <c r="H10689" t="s">
        <v>12199</v>
      </c>
      <c r="I10689" t="s">
        <v>17440</v>
      </c>
      <c r="J10689" t="s">
        <v>18892</v>
      </c>
      <c r="K10689">
        <v>10460</v>
      </c>
      <c r="L10689" t="s">
        <v>18958</v>
      </c>
      <c r="M10689" t="s">
        <v>18960</v>
      </c>
      <c r="O10689" t="s">
        <v>18997</v>
      </c>
      <c r="P10689" t="s">
        <v>26562</v>
      </c>
      <c r="R10689" t="s">
        <v>26578</v>
      </c>
      <c r="S10689" t="s">
        <v>18958</v>
      </c>
      <c r="U10689" t="s">
        <v>26604</v>
      </c>
      <c r="X10689">
        <v>266.5</v>
      </c>
      <c r="Y10689" t="s">
        <v>26650</v>
      </c>
      <c r="Z10689" t="s">
        <v>26663</v>
      </c>
      <c r="AB10689" t="s">
        <v>31925</v>
      </c>
      <c r="AD10689" t="s">
        <v>42219</v>
      </c>
      <c r="AE10689">
        <v>168</v>
      </c>
      <c r="AF10689" t="s">
        <v>45541</v>
      </c>
      <c r="AG10689" t="s">
        <v>45556</v>
      </c>
      <c r="AH10689">
        <v>8</v>
      </c>
      <c r="AI10689">
        <v>1</v>
      </c>
      <c r="AJ10689">
        <v>0</v>
      </c>
      <c r="AK10689">
        <v>68.20999999999999</v>
      </c>
      <c r="AN10689" t="s">
        <v>45581</v>
      </c>
      <c r="AO10689">
        <v>8520</v>
      </c>
      <c r="AU10689">
        <v>0</v>
      </c>
      <c r="AW10689" t="s">
        <v>46832</v>
      </c>
      <c r="AX10689" t="s">
        <v>46897</v>
      </c>
    </row>
    <row r="10690" spans="1:50">
      <c r="A10690" s="1">
        <f>HYPERLINK("https://lsnyc.legalserver.org/matter/dynamic-profile/view/1899848","19-1899848")</f>
        <v>0</v>
      </c>
      <c r="B10690" t="s">
        <v>55</v>
      </c>
      <c r="C10690" t="s">
        <v>340</v>
      </c>
      <c r="D10690" t="s">
        <v>805</v>
      </c>
      <c r="F10690" t="s">
        <v>999</v>
      </c>
      <c r="G10690" t="s">
        <v>8163</v>
      </c>
      <c r="H10690" t="s">
        <v>12199</v>
      </c>
      <c r="I10690" t="s">
        <v>17277</v>
      </c>
      <c r="J10690" t="s">
        <v>18892</v>
      </c>
      <c r="K10690">
        <v>10460</v>
      </c>
      <c r="L10690" t="s">
        <v>18958</v>
      </c>
      <c r="M10690" t="s">
        <v>18960</v>
      </c>
      <c r="O10690" t="s">
        <v>18997</v>
      </c>
      <c r="P10690" t="s">
        <v>26562</v>
      </c>
      <c r="R10690" t="s">
        <v>26578</v>
      </c>
      <c r="S10690" t="s">
        <v>18958</v>
      </c>
      <c r="U10690" t="s">
        <v>26604</v>
      </c>
      <c r="X10690">
        <v>326</v>
      </c>
      <c r="Y10690" t="s">
        <v>26650</v>
      </c>
      <c r="Z10690" t="s">
        <v>26663</v>
      </c>
      <c r="AB10690" t="s">
        <v>31957</v>
      </c>
      <c r="AD10690" t="s">
        <v>42257</v>
      </c>
      <c r="AE10690">
        <v>168</v>
      </c>
      <c r="AF10690" t="s">
        <v>45541</v>
      </c>
      <c r="AG10690" t="s">
        <v>45561</v>
      </c>
      <c r="AH10690">
        <v>5</v>
      </c>
      <c r="AI10690">
        <v>1</v>
      </c>
      <c r="AJ10690">
        <v>0</v>
      </c>
      <c r="AK10690">
        <v>72.06</v>
      </c>
      <c r="AN10690" t="s">
        <v>45581</v>
      </c>
      <c r="AO10690">
        <v>9000</v>
      </c>
      <c r="AU10690">
        <v>0</v>
      </c>
      <c r="AW10690" t="s">
        <v>46832</v>
      </c>
      <c r="AX10690" t="s">
        <v>46897</v>
      </c>
    </row>
    <row r="10691" spans="1:50">
      <c r="A10691" s="1">
        <f>HYPERLINK("https://lsnyc.legalserver.org/matter/dynamic-profile/view/1899795","19-1899795")</f>
        <v>0</v>
      </c>
      <c r="B10691" t="s">
        <v>55</v>
      </c>
      <c r="C10691" t="s">
        <v>340</v>
      </c>
      <c r="D10691" t="s">
        <v>805</v>
      </c>
      <c r="F10691" t="s">
        <v>918</v>
      </c>
      <c r="G10691" t="s">
        <v>5265</v>
      </c>
      <c r="H10691" t="s">
        <v>12199</v>
      </c>
      <c r="I10691" t="s">
        <v>17349</v>
      </c>
      <c r="J10691" t="s">
        <v>18892</v>
      </c>
      <c r="K10691">
        <v>10460</v>
      </c>
      <c r="L10691" t="s">
        <v>18958</v>
      </c>
      <c r="M10691" t="s">
        <v>18960</v>
      </c>
      <c r="O10691" t="s">
        <v>18997</v>
      </c>
      <c r="P10691" t="s">
        <v>26562</v>
      </c>
      <c r="R10691" t="s">
        <v>26578</v>
      </c>
      <c r="S10691" t="s">
        <v>18958</v>
      </c>
      <c r="U10691" t="s">
        <v>26604</v>
      </c>
      <c r="X10691">
        <v>1583</v>
      </c>
      <c r="Y10691" t="s">
        <v>26650</v>
      </c>
      <c r="Z10691" t="s">
        <v>26663</v>
      </c>
      <c r="AB10691" t="s">
        <v>31956</v>
      </c>
      <c r="AC10691" t="s">
        <v>36447</v>
      </c>
      <c r="AD10691" t="s">
        <v>42256</v>
      </c>
      <c r="AE10691">
        <v>168</v>
      </c>
      <c r="AF10691" t="s">
        <v>45541</v>
      </c>
      <c r="AG10691" t="s">
        <v>45556</v>
      </c>
      <c r="AH10691">
        <v>3</v>
      </c>
      <c r="AI10691">
        <v>1</v>
      </c>
      <c r="AJ10691">
        <v>0</v>
      </c>
      <c r="AK10691">
        <v>74.08</v>
      </c>
      <c r="AN10691" t="s">
        <v>7439</v>
      </c>
      <c r="AO10691">
        <v>9252</v>
      </c>
      <c r="AU10691">
        <v>0</v>
      </c>
      <c r="AW10691" t="s">
        <v>46832</v>
      </c>
      <c r="AX10691" t="s">
        <v>46897</v>
      </c>
    </row>
    <row r="10692" spans="1:50">
      <c r="A10692" s="1">
        <f>HYPERLINK("https://lsnyc.legalserver.org/matter/dynamic-profile/view/1899829","19-1899829")</f>
        <v>0</v>
      </c>
      <c r="B10692" t="s">
        <v>55</v>
      </c>
      <c r="C10692" t="s">
        <v>340</v>
      </c>
      <c r="D10692" t="s">
        <v>805</v>
      </c>
      <c r="F10692" t="s">
        <v>887</v>
      </c>
      <c r="G10692" t="s">
        <v>5147</v>
      </c>
      <c r="H10692" t="s">
        <v>12199</v>
      </c>
      <c r="I10692" t="s">
        <v>18398</v>
      </c>
      <c r="J10692" t="s">
        <v>18892</v>
      </c>
      <c r="K10692">
        <v>10460</v>
      </c>
      <c r="L10692" t="s">
        <v>18958</v>
      </c>
      <c r="M10692" t="s">
        <v>18960</v>
      </c>
      <c r="O10692" t="s">
        <v>18997</v>
      </c>
      <c r="P10692" t="s">
        <v>26562</v>
      </c>
      <c r="R10692" t="s">
        <v>26578</v>
      </c>
      <c r="S10692" t="s">
        <v>18958</v>
      </c>
      <c r="U10692" t="s">
        <v>26604</v>
      </c>
      <c r="X10692">
        <v>1500</v>
      </c>
      <c r="Y10692" t="s">
        <v>26650</v>
      </c>
      <c r="Z10692" t="s">
        <v>26663</v>
      </c>
      <c r="AB10692" t="s">
        <v>29251</v>
      </c>
      <c r="AD10692" t="s">
        <v>42225</v>
      </c>
      <c r="AE10692">
        <v>168</v>
      </c>
      <c r="AG10692" t="s">
        <v>45559</v>
      </c>
      <c r="AH10692">
        <v>2</v>
      </c>
      <c r="AI10692">
        <v>1</v>
      </c>
      <c r="AJ10692">
        <v>0</v>
      </c>
      <c r="AK10692">
        <v>79.55</v>
      </c>
      <c r="AN10692" t="s">
        <v>45581</v>
      </c>
      <c r="AO10692">
        <v>9936</v>
      </c>
      <c r="AU10692">
        <v>0</v>
      </c>
      <c r="AW10692" t="s">
        <v>336</v>
      </c>
      <c r="AX10692" t="s">
        <v>46897</v>
      </c>
    </row>
    <row r="10693" spans="1:50">
      <c r="A10693" s="1">
        <f>HYPERLINK("https://lsnyc.legalserver.org/matter/dynamic-profile/view/1899868","19-1899868")</f>
        <v>0</v>
      </c>
      <c r="B10693" t="s">
        <v>55</v>
      </c>
      <c r="C10693" t="s">
        <v>340</v>
      </c>
      <c r="D10693" t="s">
        <v>805</v>
      </c>
      <c r="F10693" t="s">
        <v>2112</v>
      </c>
      <c r="G10693" t="s">
        <v>5466</v>
      </c>
      <c r="H10693" t="s">
        <v>12199</v>
      </c>
      <c r="I10693" t="s">
        <v>17471</v>
      </c>
      <c r="J10693" t="s">
        <v>18892</v>
      </c>
      <c r="K10693">
        <v>10460</v>
      </c>
      <c r="L10693" t="s">
        <v>18958</v>
      </c>
      <c r="M10693" t="s">
        <v>18960</v>
      </c>
      <c r="O10693" t="s">
        <v>18997</v>
      </c>
      <c r="P10693" t="s">
        <v>26562</v>
      </c>
      <c r="R10693" t="s">
        <v>26578</v>
      </c>
      <c r="S10693" t="s">
        <v>18958</v>
      </c>
      <c r="U10693" t="s">
        <v>26604</v>
      </c>
      <c r="X10693">
        <v>391</v>
      </c>
      <c r="Y10693" t="s">
        <v>26650</v>
      </c>
      <c r="Z10693" t="s">
        <v>26663</v>
      </c>
      <c r="AB10693" t="s">
        <v>31942</v>
      </c>
      <c r="AD10693" t="s">
        <v>42242</v>
      </c>
      <c r="AE10693">
        <v>168</v>
      </c>
      <c r="AF10693" t="s">
        <v>45541</v>
      </c>
      <c r="AG10693" t="s">
        <v>45556</v>
      </c>
      <c r="AH10693">
        <v>10</v>
      </c>
      <c r="AI10693">
        <v>2</v>
      </c>
      <c r="AJ10693">
        <v>0</v>
      </c>
      <c r="AK10693">
        <v>81.75</v>
      </c>
      <c r="AN10693" t="s">
        <v>45581</v>
      </c>
      <c r="AO10693">
        <v>13824</v>
      </c>
      <c r="AU10693">
        <v>0</v>
      </c>
      <c r="AW10693" t="s">
        <v>336</v>
      </c>
      <c r="AX10693" t="s">
        <v>46897</v>
      </c>
    </row>
    <row r="10694" spans="1:50">
      <c r="A10694" s="1">
        <f>HYPERLINK("https://lsnyc.legalserver.org/matter/dynamic-profile/view/1899798","19-1899798")</f>
        <v>0</v>
      </c>
      <c r="B10694" t="s">
        <v>55</v>
      </c>
      <c r="C10694" t="s">
        <v>340</v>
      </c>
      <c r="D10694" t="s">
        <v>805</v>
      </c>
      <c r="F10694" t="s">
        <v>3798</v>
      </c>
      <c r="G10694" t="s">
        <v>3846</v>
      </c>
      <c r="H10694" t="s">
        <v>12199</v>
      </c>
      <c r="I10694" t="s">
        <v>18399</v>
      </c>
      <c r="J10694" t="s">
        <v>18892</v>
      </c>
      <c r="K10694">
        <v>10460</v>
      </c>
      <c r="L10694" t="s">
        <v>18958</v>
      </c>
      <c r="M10694" t="s">
        <v>18960</v>
      </c>
      <c r="O10694" t="s">
        <v>18997</v>
      </c>
      <c r="P10694" t="s">
        <v>26562</v>
      </c>
      <c r="R10694" t="s">
        <v>26578</v>
      </c>
      <c r="S10694" t="s">
        <v>18958</v>
      </c>
      <c r="U10694" t="s">
        <v>26604</v>
      </c>
      <c r="X10694">
        <v>262</v>
      </c>
      <c r="Y10694" t="s">
        <v>26650</v>
      </c>
      <c r="Z10694" t="s">
        <v>26663</v>
      </c>
      <c r="AB10694" t="s">
        <v>31929</v>
      </c>
      <c r="AD10694" t="s">
        <v>42226</v>
      </c>
      <c r="AE10694">
        <v>168</v>
      </c>
      <c r="AF10694" t="s">
        <v>45552</v>
      </c>
      <c r="AG10694" t="s">
        <v>45556</v>
      </c>
      <c r="AH10694">
        <v>27</v>
      </c>
      <c r="AI10694">
        <v>1</v>
      </c>
      <c r="AJ10694">
        <v>0</v>
      </c>
      <c r="AK10694">
        <v>89.67</v>
      </c>
      <c r="AN10694" t="s">
        <v>7439</v>
      </c>
      <c r="AO10694">
        <v>11199.96</v>
      </c>
      <c r="AU10694">
        <v>0</v>
      </c>
      <c r="AW10694" t="s">
        <v>336</v>
      </c>
      <c r="AX10694" t="s">
        <v>46897</v>
      </c>
    </row>
    <row r="10695" spans="1:50">
      <c r="A10695" s="1">
        <f>HYPERLINK("https://lsnyc.legalserver.org/matter/dynamic-profile/view/1899837","19-1899837")</f>
        <v>0</v>
      </c>
      <c r="B10695" t="s">
        <v>55</v>
      </c>
      <c r="C10695" t="s">
        <v>340</v>
      </c>
      <c r="D10695" t="s">
        <v>805</v>
      </c>
      <c r="F10695" t="s">
        <v>2117</v>
      </c>
      <c r="G10695" t="s">
        <v>5475</v>
      </c>
      <c r="H10695" t="s">
        <v>12199</v>
      </c>
      <c r="I10695" t="s">
        <v>18407</v>
      </c>
      <c r="J10695" t="s">
        <v>18892</v>
      </c>
      <c r="K10695">
        <v>10460</v>
      </c>
      <c r="L10695" t="s">
        <v>18958</v>
      </c>
      <c r="M10695" t="s">
        <v>18960</v>
      </c>
      <c r="O10695" t="s">
        <v>18997</v>
      </c>
      <c r="P10695" t="s">
        <v>26562</v>
      </c>
      <c r="R10695" t="s">
        <v>26578</v>
      </c>
      <c r="S10695" t="s">
        <v>18958</v>
      </c>
      <c r="U10695" t="s">
        <v>26604</v>
      </c>
      <c r="X10695">
        <v>1543</v>
      </c>
      <c r="Y10695" t="s">
        <v>26650</v>
      </c>
      <c r="Z10695" t="s">
        <v>26663</v>
      </c>
      <c r="AB10695" t="s">
        <v>31934</v>
      </c>
      <c r="AD10695" t="s">
        <v>42231</v>
      </c>
      <c r="AE10695">
        <v>168</v>
      </c>
      <c r="AF10695" t="s">
        <v>45541</v>
      </c>
      <c r="AG10695" t="s">
        <v>45556</v>
      </c>
      <c r="AH10695">
        <v>24</v>
      </c>
      <c r="AI10695">
        <v>2</v>
      </c>
      <c r="AJ10695">
        <v>0</v>
      </c>
      <c r="AK10695">
        <v>92.25</v>
      </c>
      <c r="AN10695" t="s">
        <v>7439</v>
      </c>
      <c r="AO10695">
        <v>15600</v>
      </c>
      <c r="AU10695">
        <v>0</v>
      </c>
      <c r="AW10695" t="s">
        <v>336</v>
      </c>
      <c r="AX10695" t="s">
        <v>46897</v>
      </c>
    </row>
    <row r="10696" spans="1:50">
      <c r="A10696" s="1">
        <f>HYPERLINK("https://lsnyc.legalserver.org/matter/dynamic-profile/view/1899885","19-1899885")</f>
        <v>0</v>
      </c>
      <c r="B10696" t="s">
        <v>55</v>
      </c>
      <c r="C10696" t="s">
        <v>340</v>
      </c>
      <c r="D10696" t="s">
        <v>805</v>
      </c>
      <c r="F10696" t="s">
        <v>3067</v>
      </c>
      <c r="G10696" t="s">
        <v>5966</v>
      </c>
      <c r="H10696" t="s">
        <v>12199</v>
      </c>
      <c r="I10696" t="s">
        <v>18411</v>
      </c>
      <c r="J10696" t="s">
        <v>18892</v>
      </c>
      <c r="K10696">
        <v>10460</v>
      </c>
      <c r="L10696" t="s">
        <v>18958</v>
      </c>
      <c r="M10696" t="s">
        <v>18960</v>
      </c>
      <c r="O10696" t="s">
        <v>18997</v>
      </c>
      <c r="P10696" t="s">
        <v>26562</v>
      </c>
      <c r="R10696" t="s">
        <v>26578</v>
      </c>
      <c r="S10696" t="s">
        <v>18958</v>
      </c>
      <c r="U10696" t="s">
        <v>26604</v>
      </c>
      <c r="X10696">
        <v>397</v>
      </c>
      <c r="Y10696" t="s">
        <v>26650</v>
      </c>
      <c r="Z10696" t="s">
        <v>26663</v>
      </c>
      <c r="AB10696" t="s">
        <v>31949</v>
      </c>
      <c r="AD10696" t="s">
        <v>42248</v>
      </c>
      <c r="AE10696">
        <v>168</v>
      </c>
      <c r="AF10696" t="s">
        <v>45541</v>
      </c>
      <c r="AG10696" t="s">
        <v>45556</v>
      </c>
      <c r="AH10696">
        <v>5</v>
      </c>
      <c r="AI10696">
        <v>1</v>
      </c>
      <c r="AJ10696">
        <v>0</v>
      </c>
      <c r="AK10696">
        <v>98.19</v>
      </c>
      <c r="AN10696" t="s">
        <v>45581</v>
      </c>
      <c r="AO10696">
        <v>12264</v>
      </c>
      <c r="AU10696">
        <v>0</v>
      </c>
      <c r="AW10696" t="s">
        <v>46832</v>
      </c>
      <c r="AX10696" t="s">
        <v>46897</v>
      </c>
    </row>
    <row r="10697" spans="1:50">
      <c r="A10697" s="1">
        <f>HYPERLINK("https://lsnyc.legalserver.org/matter/dynamic-profile/view/1899842","19-1899842")</f>
        <v>0</v>
      </c>
      <c r="B10697" t="s">
        <v>55</v>
      </c>
      <c r="C10697" t="s">
        <v>340</v>
      </c>
      <c r="D10697" t="s">
        <v>805</v>
      </c>
      <c r="F10697" t="s">
        <v>1328</v>
      </c>
      <c r="G10697" t="s">
        <v>8164</v>
      </c>
      <c r="H10697" t="s">
        <v>12199</v>
      </c>
      <c r="I10697" t="s">
        <v>17347</v>
      </c>
      <c r="J10697" t="s">
        <v>18892</v>
      </c>
      <c r="K10697">
        <v>10460</v>
      </c>
      <c r="L10697" t="s">
        <v>18958</v>
      </c>
      <c r="M10697" t="s">
        <v>18960</v>
      </c>
      <c r="O10697" t="s">
        <v>18997</v>
      </c>
      <c r="P10697" t="s">
        <v>26562</v>
      </c>
      <c r="R10697" t="s">
        <v>26578</v>
      </c>
      <c r="S10697" t="s">
        <v>18958</v>
      </c>
      <c r="U10697" t="s">
        <v>26604</v>
      </c>
      <c r="X10697">
        <v>304</v>
      </c>
      <c r="Y10697" t="s">
        <v>26650</v>
      </c>
      <c r="Z10697" t="s">
        <v>26663</v>
      </c>
      <c r="AB10697" t="s">
        <v>31958</v>
      </c>
      <c r="AD10697" t="s">
        <v>42258</v>
      </c>
      <c r="AE10697">
        <v>168</v>
      </c>
      <c r="AF10697" t="s">
        <v>45541</v>
      </c>
      <c r="AG10697" t="s">
        <v>45556</v>
      </c>
      <c r="AH10697">
        <v>1</v>
      </c>
      <c r="AI10697">
        <v>1</v>
      </c>
      <c r="AJ10697">
        <v>0</v>
      </c>
      <c r="AK10697">
        <v>100.88</v>
      </c>
      <c r="AN10697" t="s">
        <v>7439</v>
      </c>
      <c r="AO10697">
        <v>12600</v>
      </c>
      <c r="AU10697">
        <v>0</v>
      </c>
      <c r="AW10697" t="s">
        <v>46832</v>
      </c>
      <c r="AX10697" t="s">
        <v>46897</v>
      </c>
    </row>
    <row r="10698" spans="1:50">
      <c r="A10698" s="1">
        <f>HYPERLINK("https://lsnyc.legalserver.org/matter/dynamic-profile/view/1899812","19-1899812")</f>
        <v>0</v>
      </c>
      <c r="B10698" t="s">
        <v>55</v>
      </c>
      <c r="C10698" t="s">
        <v>340</v>
      </c>
      <c r="D10698" t="s">
        <v>805</v>
      </c>
      <c r="F10698" t="s">
        <v>913</v>
      </c>
      <c r="G10698" t="s">
        <v>6233</v>
      </c>
      <c r="H10698" t="s">
        <v>12199</v>
      </c>
      <c r="I10698" t="s">
        <v>18196</v>
      </c>
      <c r="J10698" t="s">
        <v>18892</v>
      </c>
      <c r="K10698">
        <v>10460</v>
      </c>
      <c r="L10698" t="s">
        <v>18958</v>
      </c>
      <c r="M10698" t="s">
        <v>18960</v>
      </c>
      <c r="O10698" t="s">
        <v>18997</v>
      </c>
      <c r="P10698" t="s">
        <v>26562</v>
      </c>
      <c r="R10698" t="s">
        <v>26578</v>
      </c>
      <c r="S10698" t="s">
        <v>18958</v>
      </c>
      <c r="U10698" t="s">
        <v>26604</v>
      </c>
      <c r="X10698">
        <v>500</v>
      </c>
      <c r="Y10698" t="s">
        <v>26650</v>
      </c>
      <c r="Z10698" t="s">
        <v>26663</v>
      </c>
      <c r="AB10698" t="s">
        <v>27408</v>
      </c>
      <c r="AD10698" t="s">
        <v>42217</v>
      </c>
      <c r="AE10698">
        <v>168</v>
      </c>
      <c r="AF10698" t="s">
        <v>20460</v>
      </c>
      <c r="AG10698" t="s">
        <v>45556</v>
      </c>
      <c r="AH10698">
        <v>5</v>
      </c>
      <c r="AI10698">
        <v>1</v>
      </c>
      <c r="AJ10698">
        <v>0</v>
      </c>
      <c r="AK10698">
        <v>144.12</v>
      </c>
      <c r="AN10698" t="s">
        <v>7439</v>
      </c>
      <c r="AO10698">
        <v>18000</v>
      </c>
      <c r="AU10698">
        <v>0</v>
      </c>
      <c r="AW10698" t="s">
        <v>336</v>
      </c>
      <c r="AX10698" t="s">
        <v>46897</v>
      </c>
    </row>
    <row r="10699" spans="1:50">
      <c r="A10699" s="1">
        <f>HYPERLINK("https://lsnyc.legalserver.org/matter/dynamic-profile/view/1899923","19-1899923")</f>
        <v>0</v>
      </c>
      <c r="B10699" t="s">
        <v>55</v>
      </c>
      <c r="C10699" t="s">
        <v>340</v>
      </c>
      <c r="D10699" t="s">
        <v>805</v>
      </c>
      <c r="F10699" t="s">
        <v>1402</v>
      </c>
      <c r="G10699" t="s">
        <v>5849</v>
      </c>
      <c r="H10699" t="s">
        <v>12199</v>
      </c>
      <c r="I10699" t="s">
        <v>18410</v>
      </c>
      <c r="J10699" t="s">
        <v>18892</v>
      </c>
      <c r="K10699">
        <v>10460</v>
      </c>
      <c r="L10699" t="s">
        <v>18958</v>
      </c>
      <c r="M10699" t="s">
        <v>18960</v>
      </c>
      <c r="O10699" t="s">
        <v>18997</v>
      </c>
      <c r="P10699" t="s">
        <v>26562</v>
      </c>
      <c r="R10699" t="s">
        <v>26578</v>
      </c>
      <c r="S10699" t="s">
        <v>18958</v>
      </c>
      <c r="U10699" t="s">
        <v>26604</v>
      </c>
      <c r="X10699">
        <v>751</v>
      </c>
      <c r="Y10699" t="s">
        <v>26650</v>
      </c>
      <c r="Z10699" t="s">
        <v>26663</v>
      </c>
      <c r="AB10699" t="s">
        <v>29491</v>
      </c>
      <c r="AD10699" t="s">
        <v>42234</v>
      </c>
      <c r="AE10699">
        <v>168</v>
      </c>
      <c r="AF10699" t="s">
        <v>45541</v>
      </c>
      <c r="AG10699" t="s">
        <v>45556</v>
      </c>
      <c r="AH10699">
        <v>15</v>
      </c>
      <c r="AI10699">
        <v>2</v>
      </c>
      <c r="AJ10699">
        <v>1</v>
      </c>
      <c r="AK10699">
        <v>169.95</v>
      </c>
      <c r="AN10699" t="s">
        <v>7439</v>
      </c>
      <c r="AO10699">
        <v>36250</v>
      </c>
      <c r="AU10699">
        <v>0</v>
      </c>
      <c r="AW10699" t="s">
        <v>46832</v>
      </c>
      <c r="AX10699" t="s">
        <v>46897</v>
      </c>
    </row>
    <row r="10700" spans="1:50">
      <c r="A10700" s="1">
        <f>HYPERLINK("https://lsnyc.legalserver.org/matter/dynamic-profile/view/1899854","19-1899854")</f>
        <v>0</v>
      </c>
      <c r="B10700" t="s">
        <v>55</v>
      </c>
      <c r="C10700" t="s">
        <v>340</v>
      </c>
      <c r="D10700" t="s">
        <v>805</v>
      </c>
      <c r="F10700" t="s">
        <v>1929</v>
      </c>
      <c r="G10700" t="s">
        <v>8147</v>
      </c>
      <c r="H10700" t="s">
        <v>12199</v>
      </c>
      <c r="I10700" t="s">
        <v>18402</v>
      </c>
      <c r="J10700" t="s">
        <v>18892</v>
      </c>
      <c r="K10700">
        <v>10460</v>
      </c>
      <c r="L10700" t="s">
        <v>18958</v>
      </c>
      <c r="M10700" t="s">
        <v>18960</v>
      </c>
      <c r="O10700" t="s">
        <v>18997</v>
      </c>
      <c r="P10700" t="s">
        <v>26562</v>
      </c>
      <c r="R10700" t="s">
        <v>26578</v>
      </c>
      <c r="S10700" t="s">
        <v>18958</v>
      </c>
      <c r="U10700" t="s">
        <v>26604</v>
      </c>
      <c r="X10700">
        <v>895</v>
      </c>
      <c r="Y10700" t="s">
        <v>26650</v>
      </c>
      <c r="Z10700" t="s">
        <v>26663</v>
      </c>
      <c r="AB10700" t="s">
        <v>31931</v>
      </c>
      <c r="AE10700">
        <v>168</v>
      </c>
      <c r="AF10700" t="s">
        <v>45541</v>
      </c>
      <c r="AG10700" t="s">
        <v>45556</v>
      </c>
      <c r="AH10700">
        <v>5</v>
      </c>
      <c r="AI10700">
        <v>1</v>
      </c>
      <c r="AJ10700">
        <v>0</v>
      </c>
      <c r="AK10700">
        <v>252.2</v>
      </c>
      <c r="AN10700" t="s">
        <v>7439</v>
      </c>
      <c r="AO10700">
        <v>31500</v>
      </c>
      <c r="AU10700">
        <v>0</v>
      </c>
      <c r="AW10700" t="s">
        <v>336</v>
      </c>
      <c r="AX10700" t="s">
        <v>46897</v>
      </c>
    </row>
    <row r="10701" spans="1:50">
      <c r="A10701" s="1">
        <f>HYPERLINK("https://lsnyc.legalserver.org/matter/dynamic-profile/view/1899902","19-1899902")</f>
        <v>0</v>
      </c>
      <c r="B10701" t="s">
        <v>55</v>
      </c>
      <c r="C10701" t="s">
        <v>340</v>
      </c>
      <c r="D10701" t="s">
        <v>805</v>
      </c>
      <c r="F10701" t="s">
        <v>3803</v>
      </c>
      <c r="G10701" t="s">
        <v>3036</v>
      </c>
      <c r="H10701" t="s">
        <v>12199</v>
      </c>
      <c r="I10701" t="s">
        <v>17422</v>
      </c>
      <c r="J10701" t="s">
        <v>18892</v>
      </c>
      <c r="K10701">
        <v>10460</v>
      </c>
      <c r="L10701" t="s">
        <v>18958</v>
      </c>
      <c r="M10701" t="s">
        <v>18960</v>
      </c>
      <c r="N10701" t="s">
        <v>23962</v>
      </c>
      <c r="O10701" t="s">
        <v>18997</v>
      </c>
      <c r="P10701" t="s">
        <v>26562</v>
      </c>
      <c r="R10701" t="s">
        <v>26578</v>
      </c>
      <c r="S10701" t="s">
        <v>18958</v>
      </c>
      <c r="U10701" t="s">
        <v>26604</v>
      </c>
      <c r="X10701">
        <v>1071</v>
      </c>
      <c r="Y10701" t="s">
        <v>26650</v>
      </c>
      <c r="Z10701" t="s">
        <v>26663</v>
      </c>
      <c r="AB10701" t="s">
        <v>31947</v>
      </c>
      <c r="AD10701" t="s">
        <v>42246</v>
      </c>
      <c r="AE10701">
        <v>168</v>
      </c>
      <c r="AF10701" t="s">
        <v>20460</v>
      </c>
      <c r="AG10701" t="s">
        <v>45556</v>
      </c>
      <c r="AH10701">
        <v>10</v>
      </c>
      <c r="AI10701">
        <v>1</v>
      </c>
      <c r="AJ10701">
        <v>1</v>
      </c>
      <c r="AK10701">
        <v>280.9</v>
      </c>
      <c r="AN10701" t="s">
        <v>7439</v>
      </c>
      <c r="AO10701">
        <v>47500</v>
      </c>
      <c r="AU10701">
        <v>0</v>
      </c>
      <c r="AW10701" t="s">
        <v>329</v>
      </c>
    </row>
    <row r="10702" spans="1:50">
      <c r="A10702" s="1">
        <f>HYPERLINK("https://lsnyc.legalserver.org/matter/dynamic-profile/view/1899820","19-1899820")</f>
        <v>0</v>
      </c>
      <c r="B10702" t="s">
        <v>55</v>
      </c>
      <c r="C10702" t="s">
        <v>340</v>
      </c>
      <c r="D10702" t="s">
        <v>805</v>
      </c>
      <c r="F10702" t="s">
        <v>1493</v>
      </c>
      <c r="G10702" t="s">
        <v>7043</v>
      </c>
      <c r="H10702" t="s">
        <v>12199</v>
      </c>
      <c r="I10702" t="s">
        <v>18403</v>
      </c>
      <c r="J10702" t="s">
        <v>18892</v>
      </c>
      <c r="K10702">
        <v>10460</v>
      </c>
      <c r="L10702" t="s">
        <v>18958</v>
      </c>
      <c r="M10702" t="s">
        <v>18960</v>
      </c>
      <c r="O10702" t="s">
        <v>18997</v>
      </c>
      <c r="P10702" t="s">
        <v>26562</v>
      </c>
      <c r="R10702" t="s">
        <v>26578</v>
      </c>
      <c r="S10702" t="s">
        <v>18959</v>
      </c>
      <c r="U10702" t="s">
        <v>26604</v>
      </c>
      <c r="X10702">
        <v>378</v>
      </c>
      <c r="Y10702" t="s">
        <v>26650</v>
      </c>
      <c r="Z10702" t="s">
        <v>26663</v>
      </c>
      <c r="AB10702" t="s">
        <v>31932</v>
      </c>
      <c r="AE10702">
        <v>168</v>
      </c>
      <c r="AF10702" t="s">
        <v>45543</v>
      </c>
      <c r="AG10702" t="s">
        <v>45556</v>
      </c>
      <c r="AH10702">
        <v>14</v>
      </c>
      <c r="AI10702">
        <v>2</v>
      </c>
      <c r="AJ10702">
        <v>1</v>
      </c>
      <c r="AK10702">
        <v>306.14</v>
      </c>
      <c r="AN10702" t="s">
        <v>7439</v>
      </c>
      <c r="AO10702">
        <v>65300</v>
      </c>
      <c r="AU10702">
        <v>0</v>
      </c>
      <c r="AW10702" t="s">
        <v>336</v>
      </c>
      <c r="AX10702" t="s">
        <v>46897</v>
      </c>
    </row>
    <row r="10703" spans="1:50">
      <c r="A10703" s="1">
        <f>HYPERLINK("https://lsnyc.legalserver.org/matter/dynamic-profile/view/1899894","19-1899894")</f>
        <v>0</v>
      </c>
      <c r="B10703" t="s">
        <v>55</v>
      </c>
      <c r="C10703" t="s">
        <v>340</v>
      </c>
      <c r="D10703" t="s">
        <v>805</v>
      </c>
      <c r="F10703" t="s">
        <v>2150</v>
      </c>
      <c r="G10703" t="s">
        <v>8159</v>
      </c>
      <c r="H10703" t="s">
        <v>12199</v>
      </c>
      <c r="I10703" t="s">
        <v>18412</v>
      </c>
      <c r="J10703" t="s">
        <v>18892</v>
      </c>
      <c r="K10703">
        <v>10460</v>
      </c>
      <c r="L10703" t="s">
        <v>18958</v>
      </c>
      <c r="M10703" t="s">
        <v>18960</v>
      </c>
      <c r="O10703" t="s">
        <v>18997</v>
      </c>
      <c r="P10703" t="s">
        <v>26562</v>
      </c>
      <c r="R10703" t="s">
        <v>26578</v>
      </c>
      <c r="S10703" t="s">
        <v>18958</v>
      </c>
      <c r="U10703" t="s">
        <v>26604</v>
      </c>
      <c r="X10703">
        <v>1967</v>
      </c>
      <c r="Y10703" t="s">
        <v>26650</v>
      </c>
      <c r="Z10703" t="s">
        <v>26663</v>
      </c>
      <c r="AB10703" t="s">
        <v>31951</v>
      </c>
      <c r="AD10703" t="s">
        <v>42250</v>
      </c>
      <c r="AE10703">
        <v>0</v>
      </c>
      <c r="AF10703" t="s">
        <v>45541</v>
      </c>
      <c r="AG10703" t="s">
        <v>45556</v>
      </c>
      <c r="AH10703">
        <v>3</v>
      </c>
      <c r="AI10703">
        <v>2</v>
      </c>
      <c r="AJ10703">
        <v>0</v>
      </c>
      <c r="AK10703">
        <v>353.64</v>
      </c>
      <c r="AN10703" t="s">
        <v>7439</v>
      </c>
      <c r="AO10703">
        <v>59800</v>
      </c>
      <c r="AU10703">
        <v>0</v>
      </c>
      <c r="AW10703" t="s">
        <v>46832</v>
      </c>
      <c r="AX10703" t="s">
        <v>46897</v>
      </c>
    </row>
    <row r="10704" spans="1:50">
      <c r="A10704" s="1">
        <f>HYPERLINK("https://lsnyc.legalserver.org/matter/dynamic-profile/view/1899804","19-1899804")</f>
        <v>0</v>
      </c>
      <c r="B10704" t="s">
        <v>55</v>
      </c>
      <c r="C10704" t="s">
        <v>340</v>
      </c>
      <c r="D10704" t="s">
        <v>805</v>
      </c>
      <c r="F10704" t="s">
        <v>3799</v>
      </c>
      <c r="G10704" t="s">
        <v>6864</v>
      </c>
      <c r="H10704" t="s">
        <v>12199</v>
      </c>
      <c r="I10704" t="s">
        <v>18405</v>
      </c>
      <c r="J10704" t="s">
        <v>18892</v>
      </c>
      <c r="K10704">
        <v>10460</v>
      </c>
      <c r="L10704" t="s">
        <v>18958</v>
      </c>
      <c r="M10704" t="s">
        <v>18960</v>
      </c>
      <c r="O10704" t="s">
        <v>18997</v>
      </c>
      <c r="P10704" t="s">
        <v>26562</v>
      </c>
      <c r="R10704" t="s">
        <v>26578</v>
      </c>
      <c r="S10704" t="s">
        <v>18958</v>
      </c>
      <c r="U10704" t="s">
        <v>26604</v>
      </c>
      <c r="X10704">
        <v>1367</v>
      </c>
      <c r="Y10704" t="s">
        <v>26650</v>
      </c>
      <c r="Z10704" t="s">
        <v>26663</v>
      </c>
      <c r="AB10704" t="s">
        <v>29113</v>
      </c>
      <c r="AD10704" t="s">
        <v>42229</v>
      </c>
      <c r="AE10704">
        <v>168</v>
      </c>
      <c r="AF10704" t="s">
        <v>45551</v>
      </c>
      <c r="AG10704" t="s">
        <v>19330</v>
      </c>
      <c r="AH10704">
        <v>24</v>
      </c>
      <c r="AI10704">
        <v>1</v>
      </c>
      <c r="AJ10704">
        <v>0</v>
      </c>
      <c r="AK10704">
        <v>354.77</v>
      </c>
      <c r="AN10704" t="s">
        <v>7439</v>
      </c>
      <c r="AO10704">
        <v>44310.96</v>
      </c>
      <c r="AU10704">
        <v>0</v>
      </c>
      <c r="AW10704" t="s">
        <v>336</v>
      </c>
      <c r="AX10704" t="s">
        <v>46897</v>
      </c>
    </row>
    <row r="10705" spans="1:50">
      <c r="A10705" s="1">
        <f>HYPERLINK("https://lsnyc.legalserver.org/matter/dynamic-profile/view/1899832","19-1899832")</f>
        <v>0</v>
      </c>
      <c r="B10705" t="s">
        <v>151</v>
      </c>
      <c r="C10705" t="s">
        <v>340</v>
      </c>
      <c r="D10705" t="s">
        <v>805</v>
      </c>
      <c r="F10705" t="s">
        <v>2532</v>
      </c>
      <c r="G10705" t="s">
        <v>5147</v>
      </c>
      <c r="H10705" t="s">
        <v>15181</v>
      </c>
      <c r="I10705" t="s">
        <v>17298</v>
      </c>
      <c r="J10705" t="s">
        <v>18893</v>
      </c>
      <c r="K10705">
        <v>10027</v>
      </c>
      <c r="L10705" t="s">
        <v>18958</v>
      </c>
      <c r="M10705" t="s">
        <v>18960</v>
      </c>
      <c r="O10705" t="s">
        <v>26523</v>
      </c>
      <c r="P10705" t="s">
        <v>26560</v>
      </c>
      <c r="R10705" t="s">
        <v>26580</v>
      </c>
      <c r="S10705" t="s">
        <v>18959</v>
      </c>
      <c r="U10705" t="s">
        <v>26605</v>
      </c>
      <c r="X10705">
        <v>441</v>
      </c>
      <c r="Y10705" t="s">
        <v>26651</v>
      </c>
      <c r="Z10705" t="s">
        <v>26664</v>
      </c>
      <c r="AB10705" t="s">
        <v>34104</v>
      </c>
      <c r="AD10705" t="s">
        <v>45039</v>
      </c>
      <c r="AE10705">
        <v>0</v>
      </c>
      <c r="AF10705" t="s">
        <v>45549</v>
      </c>
      <c r="AH10705">
        <v>1</v>
      </c>
      <c r="AI10705">
        <v>1</v>
      </c>
      <c r="AJ10705">
        <v>2</v>
      </c>
      <c r="AK10705">
        <v>60.44</v>
      </c>
      <c r="AO10705">
        <v>12892</v>
      </c>
      <c r="AU10705">
        <v>3</v>
      </c>
      <c r="AV10705" t="s">
        <v>809</v>
      </c>
      <c r="AW10705" t="s">
        <v>317</v>
      </c>
      <c r="AX10705" t="s">
        <v>46897</v>
      </c>
    </row>
    <row r="10706" spans="1:50">
      <c r="A10706" s="1">
        <f>HYPERLINK("https://lsnyc.legalserver.org/matter/dynamic-profile/view/1899830","19-1899830")</f>
        <v>0</v>
      </c>
      <c r="B10706" t="s">
        <v>151</v>
      </c>
      <c r="C10706" t="s">
        <v>340</v>
      </c>
      <c r="D10706" t="s">
        <v>805</v>
      </c>
      <c r="F10706" t="s">
        <v>4887</v>
      </c>
      <c r="G10706" t="s">
        <v>9433</v>
      </c>
      <c r="H10706" t="s">
        <v>16843</v>
      </c>
      <c r="I10706" t="s">
        <v>17355</v>
      </c>
      <c r="J10706" t="s">
        <v>18893</v>
      </c>
      <c r="K10706">
        <v>10026</v>
      </c>
      <c r="L10706" t="s">
        <v>18960</v>
      </c>
      <c r="M10706" t="s">
        <v>18960</v>
      </c>
      <c r="N10706" t="s">
        <v>26139</v>
      </c>
      <c r="O10706" t="s">
        <v>26523</v>
      </c>
      <c r="P10706" t="s">
        <v>26560</v>
      </c>
      <c r="R10706" t="s">
        <v>26580</v>
      </c>
      <c r="S10706" t="s">
        <v>18959</v>
      </c>
      <c r="U10706" t="s">
        <v>26604</v>
      </c>
      <c r="X10706">
        <v>908.54</v>
      </c>
      <c r="Y10706" t="s">
        <v>26651</v>
      </c>
      <c r="AB10706" t="s">
        <v>34105</v>
      </c>
      <c r="AD10706" t="s">
        <v>45040</v>
      </c>
      <c r="AE10706">
        <v>0</v>
      </c>
      <c r="AH10706">
        <v>20</v>
      </c>
      <c r="AI10706">
        <v>1</v>
      </c>
      <c r="AJ10706">
        <v>0</v>
      </c>
      <c r="AK10706">
        <v>124.9</v>
      </c>
      <c r="AN10706" t="s">
        <v>7439</v>
      </c>
      <c r="AO10706">
        <v>15600</v>
      </c>
      <c r="AU10706">
        <v>5.2</v>
      </c>
      <c r="AV10706" t="s">
        <v>729</v>
      </c>
      <c r="AW10706" t="s">
        <v>46838</v>
      </c>
    </row>
    <row r="10707" spans="1:50">
      <c r="A10707" s="1">
        <f>HYPERLINK("https://lsnyc.legalserver.org/matter/dynamic-profile/view/1898247","19-1898247")</f>
        <v>0</v>
      </c>
      <c r="B10707" t="s">
        <v>131</v>
      </c>
      <c r="C10707" t="s">
        <v>340</v>
      </c>
      <c r="D10707" t="s">
        <v>805</v>
      </c>
      <c r="F10707" t="s">
        <v>2456</v>
      </c>
      <c r="G10707" t="s">
        <v>5086</v>
      </c>
      <c r="H10707" t="s">
        <v>11872</v>
      </c>
      <c r="I10707" t="s">
        <v>18818</v>
      </c>
      <c r="J10707" t="s">
        <v>18902</v>
      </c>
      <c r="K10707">
        <v>10304</v>
      </c>
      <c r="L10707" t="s">
        <v>18960</v>
      </c>
      <c r="M10707" t="s">
        <v>18960</v>
      </c>
      <c r="R10707" t="s">
        <v>26578</v>
      </c>
      <c r="U10707" t="s">
        <v>26604</v>
      </c>
      <c r="V10707" t="s">
        <v>26610</v>
      </c>
      <c r="X10707">
        <v>372</v>
      </c>
      <c r="Y10707" t="s">
        <v>26654</v>
      </c>
      <c r="Z10707" t="s">
        <v>26659</v>
      </c>
      <c r="AB10707" t="s">
        <v>31198</v>
      </c>
      <c r="AD10707" t="s">
        <v>45041</v>
      </c>
      <c r="AE10707">
        <v>403</v>
      </c>
      <c r="AF10707" t="s">
        <v>45543</v>
      </c>
      <c r="AG10707" t="s">
        <v>45556</v>
      </c>
      <c r="AH10707">
        <v>449</v>
      </c>
      <c r="AI10707">
        <v>1</v>
      </c>
      <c r="AJ10707">
        <v>0</v>
      </c>
      <c r="AK10707">
        <v>79.26000000000001</v>
      </c>
      <c r="AN10707" t="s">
        <v>7439</v>
      </c>
      <c r="AO10707">
        <v>9900</v>
      </c>
      <c r="AU10707">
        <v>4.3</v>
      </c>
      <c r="AV10707" t="s">
        <v>773</v>
      </c>
      <c r="AW10707" t="s">
        <v>46883</v>
      </c>
    </row>
    <row r="10708" spans="1:50">
      <c r="A10708" s="1">
        <f>HYPERLINK("https://lsnyc.legalserver.org/matter/dynamic-profile/view/1900494","19-1900494")</f>
        <v>0</v>
      </c>
      <c r="B10708" t="s">
        <v>81</v>
      </c>
      <c r="C10708" t="s">
        <v>340</v>
      </c>
      <c r="D10708" t="s">
        <v>805</v>
      </c>
      <c r="F10708" t="s">
        <v>868</v>
      </c>
      <c r="G10708" t="s">
        <v>9434</v>
      </c>
      <c r="H10708" t="s">
        <v>16844</v>
      </c>
      <c r="I10708" t="s">
        <v>17416</v>
      </c>
      <c r="J10708" t="s">
        <v>18892</v>
      </c>
      <c r="K10708">
        <v>10467</v>
      </c>
      <c r="L10708" t="s">
        <v>18958</v>
      </c>
      <c r="M10708" t="s">
        <v>18960</v>
      </c>
      <c r="N10708" t="s">
        <v>26140</v>
      </c>
      <c r="O10708" t="s">
        <v>26524</v>
      </c>
      <c r="P10708" t="s">
        <v>26560</v>
      </c>
      <c r="R10708" t="s">
        <v>26579</v>
      </c>
      <c r="S10708" t="s">
        <v>18959</v>
      </c>
      <c r="U10708" t="s">
        <v>26604</v>
      </c>
      <c r="V10708" t="s">
        <v>26610</v>
      </c>
      <c r="X10708">
        <v>1700</v>
      </c>
      <c r="Y10708" t="s">
        <v>26650</v>
      </c>
      <c r="Z10708" t="s">
        <v>26664</v>
      </c>
      <c r="AB10708" t="s">
        <v>31394</v>
      </c>
      <c r="AD10708" t="s">
        <v>45042</v>
      </c>
      <c r="AE10708">
        <v>3</v>
      </c>
      <c r="AF10708" t="s">
        <v>45547</v>
      </c>
      <c r="AG10708" t="s">
        <v>19330</v>
      </c>
      <c r="AH10708">
        <v>14</v>
      </c>
      <c r="AI10708">
        <v>4</v>
      </c>
      <c r="AJ10708">
        <v>0</v>
      </c>
      <c r="AK10708">
        <v>153.48</v>
      </c>
      <c r="AN10708" t="s">
        <v>7439</v>
      </c>
      <c r="AO10708">
        <v>39520</v>
      </c>
      <c r="AU10708">
        <v>0.75</v>
      </c>
      <c r="AV10708" t="s">
        <v>807</v>
      </c>
      <c r="AW10708" t="s">
        <v>336</v>
      </c>
      <c r="AX10708" t="s">
        <v>46897</v>
      </c>
    </row>
    <row r="10709" spans="1:50">
      <c r="A10709" s="1">
        <f>HYPERLINK("https://lsnyc.legalserver.org/matter/dynamic-profile/view/1899840","19-1899840")</f>
        <v>0</v>
      </c>
      <c r="B10709" t="s">
        <v>234</v>
      </c>
      <c r="C10709" t="s">
        <v>340</v>
      </c>
      <c r="D10709" t="s">
        <v>805</v>
      </c>
      <c r="F10709" t="s">
        <v>4888</v>
      </c>
      <c r="G10709" t="s">
        <v>1876</v>
      </c>
      <c r="H10709" t="s">
        <v>16845</v>
      </c>
      <c r="I10709" t="s">
        <v>17283</v>
      </c>
      <c r="J10709" t="s">
        <v>18893</v>
      </c>
      <c r="K10709">
        <v>10027</v>
      </c>
      <c r="L10709" t="s">
        <v>18960</v>
      </c>
      <c r="M10709" t="s">
        <v>18960</v>
      </c>
      <c r="N10709" t="s">
        <v>26141</v>
      </c>
      <c r="O10709" t="s">
        <v>26523</v>
      </c>
      <c r="P10709" t="s">
        <v>26560</v>
      </c>
      <c r="R10709" t="s">
        <v>26580</v>
      </c>
      <c r="U10709" t="s">
        <v>26604</v>
      </c>
      <c r="X10709">
        <v>1016.25</v>
      </c>
      <c r="Y10709" t="s">
        <v>26651</v>
      </c>
      <c r="AB10709" t="s">
        <v>34106</v>
      </c>
      <c r="AD10709" t="s">
        <v>45043</v>
      </c>
      <c r="AE10709">
        <v>0</v>
      </c>
      <c r="AH10709">
        <v>40</v>
      </c>
      <c r="AI10709">
        <v>1</v>
      </c>
      <c r="AJ10709">
        <v>0</v>
      </c>
      <c r="AK10709">
        <v>317.05</v>
      </c>
      <c r="AL10709" t="s">
        <v>819</v>
      </c>
      <c r="AM10709" t="s">
        <v>45575</v>
      </c>
      <c r="AN10709" t="s">
        <v>45583</v>
      </c>
      <c r="AO10709">
        <v>39600</v>
      </c>
      <c r="AU10709">
        <v>8.85</v>
      </c>
      <c r="AV10709" t="s">
        <v>838</v>
      </c>
      <c r="AW10709" t="s">
        <v>46838</v>
      </c>
    </row>
    <row r="10710" spans="1:50">
      <c r="A10710" s="1">
        <f>HYPERLINK("https://lsnyc.legalserver.org/matter/dynamic-profile/view/1899921","19-1899921")</f>
        <v>0</v>
      </c>
      <c r="B10710" t="s">
        <v>232</v>
      </c>
      <c r="C10710" t="s">
        <v>340</v>
      </c>
      <c r="D10710" t="s">
        <v>805</v>
      </c>
      <c r="F10710" t="s">
        <v>4889</v>
      </c>
      <c r="G10710" t="s">
        <v>6346</v>
      </c>
      <c r="H10710" t="s">
        <v>13648</v>
      </c>
      <c r="I10710" t="s">
        <v>17847</v>
      </c>
      <c r="J10710" t="s">
        <v>18894</v>
      </c>
      <c r="K10710">
        <v>11226</v>
      </c>
      <c r="L10710" t="s">
        <v>18960</v>
      </c>
      <c r="M10710" t="s">
        <v>18960</v>
      </c>
      <c r="N10710" t="s">
        <v>26142</v>
      </c>
      <c r="O10710" t="s">
        <v>26523</v>
      </c>
      <c r="R10710" t="s">
        <v>26578</v>
      </c>
      <c r="S10710" t="s">
        <v>18958</v>
      </c>
      <c r="U10710" t="s">
        <v>26604</v>
      </c>
      <c r="X10710">
        <v>771.66</v>
      </c>
      <c r="Y10710" t="s">
        <v>26652</v>
      </c>
      <c r="Z10710" t="s">
        <v>26659</v>
      </c>
      <c r="AB10710" t="s">
        <v>34107</v>
      </c>
      <c r="AC10710">
        <v>35037572</v>
      </c>
      <c r="AD10710" t="s">
        <v>45044</v>
      </c>
      <c r="AE10710">
        <v>16</v>
      </c>
      <c r="AF10710" t="s">
        <v>45541</v>
      </c>
      <c r="AH10710">
        <v>36</v>
      </c>
      <c r="AI10710">
        <v>4</v>
      </c>
      <c r="AJ10710">
        <v>1</v>
      </c>
      <c r="AK10710">
        <v>76.23</v>
      </c>
      <c r="AN10710" t="s">
        <v>7439</v>
      </c>
      <c r="AO10710">
        <v>23000</v>
      </c>
      <c r="AU10710">
        <v>5.35</v>
      </c>
      <c r="AV10710" t="s">
        <v>836</v>
      </c>
      <c r="AW10710" t="s">
        <v>46877</v>
      </c>
    </row>
    <row r="10711" spans="1:50">
      <c r="A10711" s="1">
        <f>HYPERLINK("https://lsnyc.legalserver.org/matter/dynamic-profile/view/1899810","19-1899810")</f>
        <v>0</v>
      </c>
      <c r="B10711" t="s">
        <v>200</v>
      </c>
      <c r="C10711" t="s">
        <v>340</v>
      </c>
      <c r="D10711" t="s">
        <v>805</v>
      </c>
      <c r="F10711" t="s">
        <v>1190</v>
      </c>
      <c r="G10711" t="s">
        <v>5126</v>
      </c>
      <c r="H10711" t="s">
        <v>16846</v>
      </c>
      <c r="I10711" t="s">
        <v>17388</v>
      </c>
      <c r="J10711" t="s">
        <v>18894</v>
      </c>
      <c r="K10711">
        <v>11233</v>
      </c>
      <c r="L10711" t="s">
        <v>18959</v>
      </c>
      <c r="M10711" t="s">
        <v>18960</v>
      </c>
      <c r="N10711" t="s">
        <v>26143</v>
      </c>
      <c r="O10711" t="s">
        <v>26526</v>
      </c>
      <c r="R10711" t="s">
        <v>26583</v>
      </c>
      <c r="S10711" t="s">
        <v>18959</v>
      </c>
      <c r="U10711" t="s">
        <v>26605</v>
      </c>
      <c r="V10711" t="s">
        <v>26610</v>
      </c>
      <c r="X10711">
        <v>189</v>
      </c>
      <c r="Y10711" t="s">
        <v>26652</v>
      </c>
      <c r="Z10711" t="s">
        <v>26661</v>
      </c>
      <c r="AB10711" t="s">
        <v>34108</v>
      </c>
      <c r="AC10711" t="s">
        <v>19330</v>
      </c>
      <c r="AD10711" t="s">
        <v>45045</v>
      </c>
      <c r="AE10711">
        <v>0</v>
      </c>
      <c r="AF10711" t="s">
        <v>45549</v>
      </c>
      <c r="AG10711" t="s">
        <v>19330</v>
      </c>
      <c r="AH10711">
        <v>4</v>
      </c>
      <c r="AI10711">
        <v>1</v>
      </c>
      <c r="AJ10711">
        <v>0</v>
      </c>
      <c r="AK10711">
        <v>80.22</v>
      </c>
      <c r="AN10711" t="s">
        <v>7439</v>
      </c>
      <c r="AO10711">
        <v>10020</v>
      </c>
      <c r="AU10711">
        <v>1.2</v>
      </c>
      <c r="AV10711" t="s">
        <v>729</v>
      </c>
      <c r="AW10711" t="s">
        <v>279</v>
      </c>
      <c r="AX10711" t="s">
        <v>19330</v>
      </c>
    </row>
    <row r="10712" spans="1:50">
      <c r="A10712" s="1">
        <f>HYPERLINK("https://lsnyc.legalserver.org/matter/dynamic-profile/view/1899801","19-1899801")</f>
        <v>0</v>
      </c>
      <c r="B10712" t="s">
        <v>104</v>
      </c>
      <c r="C10712" t="s">
        <v>340</v>
      </c>
      <c r="D10712" t="s">
        <v>805</v>
      </c>
      <c r="F10712" t="s">
        <v>4083</v>
      </c>
      <c r="G10712" t="s">
        <v>9435</v>
      </c>
      <c r="H10712" t="s">
        <v>16847</v>
      </c>
      <c r="J10712" t="s">
        <v>18902</v>
      </c>
      <c r="K10712">
        <v>10303</v>
      </c>
      <c r="L10712" t="s">
        <v>18960</v>
      </c>
      <c r="M10712" t="s">
        <v>18960</v>
      </c>
      <c r="R10712" t="s">
        <v>26589</v>
      </c>
      <c r="U10712" t="s">
        <v>26607</v>
      </c>
      <c r="X10712">
        <v>0</v>
      </c>
      <c r="Y10712" t="s">
        <v>26654</v>
      </c>
      <c r="AB10712" t="s">
        <v>27248</v>
      </c>
      <c r="AE10712">
        <v>0</v>
      </c>
      <c r="AH10712">
        <v>0</v>
      </c>
      <c r="AI10712">
        <v>7</v>
      </c>
      <c r="AJ10712">
        <v>3</v>
      </c>
      <c r="AK10712">
        <v>84.94</v>
      </c>
      <c r="AN10712" t="s">
        <v>7439</v>
      </c>
      <c r="AO10712">
        <v>44400</v>
      </c>
      <c r="AU10712">
        <v>1</v>
      </c>
      <c r="AV10712" t="s">
        <v>805</v>
      </c>
      <c r="AW10712" t="s">
        <v>104</v>
      </c>
    </row>
    <row r="10713" spans="1:50">
      <c r="A10713" s="1">
        <f>HYPERLINK("https://lsnyc.legalserver.org/matter/dynamic-profile/view/1899382","19-1899382")</f>
        <v>0</v>
      </c>
      <c r="B10713" t="s">
        <v>104</v>
      </c>
      <c r="C10713" t="s">
        <v>340</v>
      </c>
      <c r="D10713" t="s">
        <v>805</v>
      </c>
      <c r="F10713" t="s">
        <v>4890</v>
      </c>
      <c r="G10713" t="s">
        <v>7983</v>
      </c>
      <c r="H10713" t="s">
        <v>11872</v>
      </c>
      <c r="I10713" t="s">
        <v>17293</v>
      </c>
      <c r="J10713" t="s">
        <v>18902</v>
      </c>
      <c r="K10713">
        <v>10304</v>
      </c>
      <c r="L10713" t="s">
        <v>18958</v>
      </c>
      <c r="M10713" t="s">
        <v>18960</v>
      </c>
      <c r="N10713" t="s">
        <v>26144</v>
      </c>
      <c r="O10713" t="s">
        <v>26523</v>
      </c>
      <c r="R10713" t="s">
        <v>26578</v>
      </c>
      <c r="S10713" t="s">
        <v>18959</v>
      </c>
      <c r="U10713" t="s">
        <v>26604</v>
      </c>
      <c r="V10713" t="s">
        <v>26610</v>
      </c>
      <c r="X10713">
        <v>1600</v>
      </c>
      <c r="Y10713" t="s">
        <v>26654</v>
      </c>
      <c r="Z10713" t="s">
        <v>26668</v>
      </c>
      <c r="AB10713" t="s">
        <v>34109</v>
      </c>
      <c r="AD10713" t="s">
        <v>45046</v>
      </c>
      <c r="AE10713">
        <v>0</v>
      </c>
      <c r="AF10713" t="s">
        <v>45541</v>
      </c>
      <c r="AG10713" t="s">
        <v>45563</v>
      </c>
      <c r="AH10713">
        <v>5</v>
      </c>
      <c r="AI10713">
        <v>1</v>
      </c>
      <c r="AJ10713">
        <v>2</v>
      </c>
      <c r="AK10713">
        <v>150.02</v>
      </c>
      <c r="AO10713">
        <v>32000</v>
      </c>
      <c r="AU10713">
        <v>4.65</v>
      </c>
      <c r="AV10713" t="s">
        <v>833</v>
      </c>
      <c r="AW10713" t="s">
        <v>46883</v>
      </c>
      <c r="AX10713" t="s">
        <v>46897</v>
      </c>
    </row>
    <row r="10714" spans="1:50">
      <c r="A10714" s="1">
        <f>HYPERLINK("https://lsnyc.legalserver.org/matter/dynamic-profile/view/1899803","19-1899803")</f>
        <v>0</v>
      </c>
      <c r="B10714" t="s">
        <v>126</v>
      </c>
      <c r="C10714" t="s">
        <v>340</v>
      </c>
      <c r="D10714" t="s">
        <v>805</v>
      </c>
      <c r="F10714" t="s">
        <v>4891</v>
      </c>
      <c r="G10714" t="s">
        <v>5164</v>
      </c>
      <c r="H10714" t="s">
        <v>16848</v>
      </c>
      <c r="I10714" t="s">
        <v>17312</v>
      </c>
      <c r="J10714" t="s">
        <v>18894</v>
      </c>
      <c r="K10714">
        <v>11212</v>
      </c>
      <c r="L10714" t="s">
        <v>18959</v>
      </c>
      <c r="M10714" t="s">
        <v>18960</v>
      </c>
      <c r="N10714" t="s">
        <v>26145</v>
      </c>
      <c r="O10714" t="s">
        <v>26524</v>
      </c>
      <c r="R10714" t="s">
        <v>26578</v>
      </c>
      <c r="S10714" t="s">
        <v>18959</v>
      </c>
      <c r="U10714" t="s">
        <v>26604</v>
      </c>
      <c r="V10714" t="s">
        <v>26610</v>
      </c>
      <c r="X10714">
        <v>2200</v>
      </c>
      <c r="Y10714" t="s">
        <v>26652</v>
      </c>
      <c r="AB10714" t="s">
        <v>34110</v>
      </c>
      <c r="AD10714" t="s">
        <v>45047</v>
      </c>
      <c r="AE10714">
        <v>5</v>
      </c>
      <c r="AF10714" t="s">
        <v>45547</v>
      </c>
      <c r="AG10714" t="s">
        <v>19330</v>
      </c>
      <c r="AH10714">
        <v>1</v>
      </c>
      <c r="AI10714">
        <v>1</v>
      </c>
      <c r="AJ10714">
        <v>1</v>
      </c>
      <c r="AK10714">
        <v>218.1</v>
      </c>
      <c r="AN10714" t="s">
        <v>7439</v>
      </c>
      <c r="AO10714">
        <v>36880</v>
      </c>
      <c r="AU10714">
        <v>4.6</v>
      </c>
      <c r="AV10714" t="s">
        <v>839</v>
      </c>
      <c r="AW10714" t="s">
        <v>46841</v>
      </c>
      <c r="AX10714" t="s">
        <v>19330</v>
      </c>
    </row>
    <row r="10715" spans="1:50">
      <c r="A10715" s="1">
        <f>HYPERLINK("https://lsnyc.legalserver.org/matter/dynamic-profile/view/1900064","19-1900064")</f>
        <v>0</v>
      </c>
      <c r="B10715" t="s">
        <v>198</v>
      </c>
      <c r="C10715" t="s">
        <v>341</v>
      </c>
      <c r="D10715" t="s">
        <v>819</v>
      </c>
      <c r="E10715" t="s">
        <v>820</v>
      </c>
      <c r="F10715" t="s">
        <v>4892</v>
      </c>
      <c r="G10715" t="s">
        <v>9436</v>
      </c>
      <c r="H10715" t="s">
        <v>16849</v>
      </c>
      <c r="I10715" t="s">
        <v>17423</v>
      </c>
      <c r="J10715" t="s">
        <v>18894</v>
      </c>
      <c r="K10715">
        <v>11203</v>
      </c>
      <c r="L10715" t="s">
        <v>18960</v>
      </c>
      <c r="M10715" t="s">
        <v>18960</v>
      </c>
      <c r="Q10715" t="s">
        <v>26570</v>
      </c>
      <c r="R10715" t="s">
        <v>26578</v>
      </c>
      <c r="U10715" t="s">
        <v>26604</v>
      </c>
      <c r="X10715">
        <v>0</v>
      </c>
      <c r="Y10715" t="s">
        <v>26652</v>
      </c>
      <c r="AA10715" t="s">
        <v>26683</v>
      </c>
      <c r="AB10715" t="s">
        <v>28466</v>
      </c>
      <c r="AE10715">
        <v>0</v>
      </c>
      <c r="AH10715">
        <v>0</v>
      </c>
      <c r="AI10715">
        <v>3</v>
      </c>
      <c r="AJ10715">
        <v>1</v>
      </c>
      <c r="AK10715">
        <v>156.5</v>
      </c>
      <c r="AN10715" t="s">
        <v>45585</v>
      </c>
      <c r="AO10715">
        <v>40300</v>
      </c>
      <c r="AU10715">
        <v>0.8</v>
      </c>
      <c r="AV10715" t="s">
        <v>820</v>
      </c>
      <c r="AW10715" t="s">
        <v>198</v>
      </c>
    </row>
    <row r="10716" spans="1:50">
      <c r="A10716" s="1">
        <f>HYPERLINK("https://lsnyc.legalserver.org/matter/dynamic-profile/view/1900003","19-1900003")</f>
        <v>0</v>
      </c>
      <c r="B10716" t="s">
        <v>245</v>
      </c>
      <c r="C10716" t="s">
        <v>340</v>
      </c>
      <c r="D10716" t="s">
        <v>819</v>
      </c>
      <c r="F10716" t="s">
        <v>1417</v>
      </c>
      <c r="G10716" t="s">
        <v>5026</v>
      </c>
      <c r="H10716" t="s">
        <v>16850</v>
      </c>
      <c r="I10716" t="s">
        <v>18202</v>
      </c>
      <c r="J10716" t="s">
        <v>18892</v>
      </c>
      <c r="K10716">
        <v>10460</v>
      </c>
      <c r="L10716" t="s">
        <v>18960</v>
      </c>
      <c r="M10716" t="s">
        <v>18960</v>
      </c>
      <c r="N10716" t="s">
        <v>26146</v>
      </c>
      <c r="O10716" t="s">
        <v>26524</v>
      </c>
      <c r="P10716" t="s">
        <v>26564</v>
      </c>
      <c r="R10716" t="s">
        <v>26577</v>
      </c>
      <c r="U10716" t="s">
        <v>26604</v>
      </c>
      <c r="X10716">
        <v>0</v>
      </c>
      <c r="Y10716" t="s">
        <v>26650</v>
      </c>
      <c r="Z10716" t="s">
        <v>26668</v>
      </c>
      <c r="AB10716" t="s">
        <v>34111</v>
      </c>
      <c r="AE10716">
        <v>0</v>
      </c>
      <c r="AH10716">
        <v>0</v>
      </c>
      <c r="AI10716">
        <v>1</v>
      </c>
      <c r="AJ10716">
        <v>0</v>
      </c>
      <c r="AK10716">
        <v>75.42</v>
      </c>
      <c r="AN10716" t="s">
        <v>7439</v>
      </c>
      <c r="AO10716">
        <v>9420</v>
      </c>
      <c r="AU10716">
        <v>0</v>
      </c>
      <c r="AW10716" t="s">
        <v>46836</v>
      </c>
    </row>
    <row r="10717" spans="1:50">
      <c r="A10717" s="1">
        <f>HYPERLINK("https://lsnyc.legalserver.org/matter/dynamic-profile/view/1900007","19-1900007")</f>
        <v>0</v>
      </c>
      <c r="B10717" t="s">
        <v>329</v>
      </c>
      <c r="C10717" t="s">
        <v>340</v>
      </c>
      <c r="D10717" t="s">
        <v>819</v>
      </c>
      <c r="F10717" t="s">
        <v>3203</v>
      </c>
      <c r="G10717" t="s">
        <v>8146</v>
      </c>
      <c r="H10717" t="s">
        <v>12199</v>
      </c>
      <c r="I10717" t="s">
        <v>18401</v>
      </c>
      <c r="J10717" t="s">
        <v>18892</v>
      </c>
      <c r="K10717">
        <v>10460</v>
      </c>
      <c r="L10717" t="s">
        <v>18958</v>
      </c>
      <c r="M10717" t="s">
        <v>18960</v>
      </c>
      <c r="N10717" t="s">
        <v>26147</v>
      </c>
      <c r="O10717" t="s">
        <v>26526</v>
      </c>
      <c r="P10717" t="s">
        <v>26562</v>
      </c>
      <c r="R10717" t="s">
        <v>26578</v>
      </c>
      <c r="S10717" t="s">
        <v>18958</v>
      </c>
      <c r="U10717" t="s">
        <v>26604</v>
      </c>
      <c r="X10717">
        <v>1169</v>
      </c>
      <c r="Y10717" t="s">
        <v>26650</v>
      </c>
      <c r="Z10717" t="s">
        <v>26663</v>
      </c>
      <c r="AB10717" t="s">
        <v>29369</v>
      </c>
      <c r="AE10717">
        <v>168</v>
      </c>
      <c r="AF10717" t="s">
        <v>45541</v>
      </c>
      <c r="AG10717" t="s">
        <v>45556</v>
      </c>
      <c r="AH10717">
        <v>-1</v>
      </c>
      <c r="AI10717">
        <v>2</v>
      </c>
      <c r="AJ10717">
        <v>0</v>
      </c>
      <c r="AK10717">
        <v>206.98</v>
      </c>
      <c r="AN10717" t="s">
        <v>7439</v>
      </c>
      <c r="AO10717">
        <v>35000</v>
      </c>
      <c r="AU10717">
        <v>0</v>
      </c>
      <c r="AW10717" t="s">
        <v>329</v>
      </c>
    </row>
    <row r="10718" spans="1:50">
      <c r="A10718" s="1">
        <f>HYPERLINK("https://lsnyc.legalserver.org/matter/dynamic-profile/view/1899949","19-1899949")</f>
        <v>0</v>
      </c>
      <c r="B10718" t="s">
        <v>99</v>
      </c>
      <c r="C10718" t="s">
        <v>340</v>
      </c>
      <c r="D10718" t="s">
        <v>819</v>
      </c>
      <c r="F10718" t="s">
        <v>4893</v>
      </c>
      <c r="G10718" t="s">
        <v>5419</v>
      </c>
      <c r="H10718" t="s">
        <v>11256</v>
      </c>
      <c r="I10718">
        <v>546</v>
      </c>
      <c r="J10718" t="s">
        <v>18894</v>
      </c>
      <c r="K10718">
        <v>11224</v>
      </c>
      <c r="L10718" t="s">
        <v>18960</v>
      </c>
      <c r="M10718" t="s">
        <v>18960</v>
      </c>
      <c r="N10718" t="s">
        <v>26148</v>
      </c>
      <c r="O10718" t="s">
        <v>26523</v>
      </c>
      <c r="P10718" t="s">
        <v>26560</v>
      </c>
      <c r="R10718" t="s">
        <v>26586</v>
      </c>
      <c r="U10718" t="s">
        <v>26604</v>
      </c>
      <c r="X10718">
        <v>1553</v>
      </c>
      <c r="Y10718" t="s">
        <v>26652</v>
      </c>
      <c r="AB10718" t="s">
        <v>27961</v>
      </c>
      <c r="AD10718" t="s">
        <v>45048</v>
      </c>
      <c r="AE10718">
        <v>0</v>
      </c>
      <c r="AF10718" t="s">
        <v>20460</v>
      </c>
      <c r="AG10718" t="s">
        <v>45557</v>
      </c>
      <c r="AH10718">
        <v>5</v>
      </c>
      <c r="AI10718">
        <v>1</v>
      </c>
      <c r="AJ10718">
        <v>4</v>
      </c>
      <c r="AK10718">
        <v>0</v>
      </c>
      <c r="AN10718" t="s">
        <v>7439</v>
      </c>
      <c r="AO10718">
        <v>0</v>
      </c>
      <c r="AU10718">
        <v>4.3</v>
      </c>
      <c r="AV10718" t="s">
        <v>838</v>
      </c>
      <c r="AW10718" t="s">
        <v>46859</v>
      </c>
    </row>
    <row r="10719" spans="1:50">
      <c r="A10719" s="1">
        <f>HYPERLINK("https://lsnyc.legalserver.org/matter/dynamic-profile/view/1900060","19-1900060")</f>
        <v>0</v>
      </c>
      <c r="B10719" t="s">
        <v>113</v>
      </c>
      <c r="C10719" t="s">
        <v>340</v>
      </c>
      <c r="D10719" t="s">
        <v>819</v>
      </c>
      <c r="F10719" t="s">
        <v>4894</v>
      </c>
      <c r="G10719" t="s">
        <v>5441</v>
      </c>
      <c r="H10719" t="s">
        <v>16851</v>
      </c>
      <c r="I10719" t="s">
        <v>17283</v>
      </c>
      <c r="J10719" t="s">
        <v>18892</v>
      </c>
      <c r="K10719">
        <v>10458</v>
      </c>
      <c r="L10719" t="s">
        <v>18958</v>
      </c>
      <c r="M10719" t="s">
        <v>18960</v>
      </c>
      <c r="O10719" t="s">
        <v>18997</v>
      </c>
      <c r="P10719" t="s">
        <v>26565</v>
      </c>
      <c r="R10719" t="s">
        <v>26578</v>
      </c>
      <c r="S10719" t="s">
        <v>18959</v>
      </c>
      <c r="U10719" t="s">
        <v>26604</v>
      </c>
      <c r="X10719">
        <v>1108</v>
      </c>
      <c r="Y10719" t="s">
        <v>26650</v>
      </c>
      <c r="Z10719" t="s">
        <v>26661</v>
      </c>
      <c r="AB10719" t="s">
        <v>34112</v>
      </c>
      <c r="AD10719" t="s">
        <v>45049</v>
      </c>
      <c r="AE10719">
        <v>37</v>
      </c>
      <c r="AF10719" t="s">
        <v>45541</v>
      </c>
      <c r="AH10719">
        <v>9</v>
      </c>
      <c r="AI10719">
        <v>1</v>
      </c>
      <c r="AJ10719">
        <v>0</v>
      </c>
      <c r="AK10719">
        <v>291.43</v>
      </c>
      <c r="AN10719" t="s">
        <v>7439</v>
      </c>
      <c r="AO10719">
        <v>36400</v>
      </c>
      <c r="AP10719" t="s">
        <v>46320</v>
      </c>
      <c r="AU10719">
        <v>1.1</v>
      </c>
      <c r="AV10719" t="s">
        <v>825</v>
      </c>
      <c r="AW10719" t="s">
        <v>113</v>
      </c>
      <c r="AX10719" t="s">
        <v>46897</v>
      </c>
    </row>
    <row r="10720" spans="1:50">
      <c r="A10720" s="1">
        <f>HYPERLINK("https://lsnyc.legalserver.org/matter/dynamic-profile/view/1899959","19-1899959")</f>
        <v>0</v>
      </c>
      <c r="B10720" t="s">
        <v>55</v>
      </c>
      <c r="C10720" t="s">
        <v>340</v>
      </c>
      <c r="D10720" t="s">
        <v>819</v>
      </c>
      <c r="F10720" t="s">
        <v>3805</v>
      </c>
      <c r="G10720" t="s">
        <v>5285</v>
      </c>
      <c r="H10720" t="s">
        <v>12199</v>
      </c>
      <c r="I10720" t="s">
        <v>18377</v>
      </c>
      <c r="J10720" t="s">
        <v>18892</v>
      </c>
      <c r="K10720">
        <v>10460</v>
      </c>
      <c r="L10720" t="s">
        <v>18958</v>
      </c>
      <c r="M10720" t="s">
        <v>18960</v>
      </c>
      <c r="O10720" t="s">
        <v>18997</v>
      </c>
      <c r="P10720" t="s">
        <v>26562</v>
      </c>
      <c r="R10720" t="s">
        <v>26578</v>
      </c>
      <c r="S10720" t="s">
        <v>18958</v>
      </c>
      <c r="U10720" t="s">
        <v>26604</v>
      </c>
      <c r="X10720">
        <v>129</v>
      </c>
      <c r="Y10720" t="s">
        <v>26650</v>
      </c>
      <c r="Z10720" t="s">
        <v>26663</v>
      </c>
      <c r="AB10720" t="s">
        <v>28480</v>
      </c>
      <c r="AE10720">
        <v>168</v>
      </c>
      <c r="AF10720" t="s">
        <v>45541</v>
      </c>
      <c r="AG10720" t="s">
        <v>45556</v>
      </c>
      <c r="AH10720">
        <v>3</v>
      </c>
      <c r="AI10720">
        <v>1</v>
      </c>
      <c r="AJ10720">
        <v>3</v>
      </c>
      <c r="AK10720">
        <v>25.63</v>
      </c>
      <c r="AN10720" t="s">
        <v>45581</v>
      </c>
      <c r="AO10720">
        <v>6600</v>
      </c>
      <c r="AU10720">
        <v>0</v>
      </c>
      <c r="AW10720" t="s">
        <v>46832</v>
      </c>
      <c r="AX10720" t="s">
        <v>46897</v>
      </c>
    </row>
    <row r="10721" spans="1:50">
      <c r="A10721" s="1">
        <f>HYPERLINK("https://lsnyc.legalserver.org/matter/dynamic-profile/view/1899977","19-1899977")</f>
        <v>0</v>
      </c>
      <c r="B10721" t="s">
        <v>55</v>
      </c>
      <c r="C10721" t="s">
        <v>340</v>
      </c>
      <c r="D10721" t="s">
        <v>819</v>
      </c>
      <c r="F10721" t="s">
        <v>1923</v>
      </c>
      <c r="G10721" t="s">
        <v>8145</v>
      </c>
      <c r="H10721" t="s">
        <v>12199</v>
      </c>
      <c r="I10721" t="s">
        <v>18395</v>
      </c>
      <c r="J10721" t="s">
        <v>18892</v>
      </c>
      <c r="K10721">
        <v>10460</v>
      </c>
      <c r="L10721" t="s">
        <v>18958</v>
      </c>
      <c r="M10721" t="s">
        <v>18960</v>
      </c>
      <c r="N10721" t="s">
        <v>23963</v>
      </c>
      <c r="O10721" t="s">
        <v>26526</v>
      </c>
      <c r="P10721" t="s">
        <v>26562</v>
      </c>
      <c r="R10721" t="s">
        <v>26578</v>
      </c>
      <c r="S10721" t="s">
        <v>18958</v>
      </c>
      <c r="U10721" t="s">
        <v>26604</v>
      </c>
      <c r="X10721">
        <v>967</v>
      </c>
      <c r="Y10721" t="s">
        <v>26650</v>
      </c>
      <c r="Z10721" t="s">
        <v>26663</v>
      </c>
      <c r="AB10721" t="s">
        <v>31926</v>
      </c>
      <c r="AD10721" t="s">
        <v>42221</v>
      </c>
      <c r="AE10721">
        <v>169</v>
      </c>
      <c r="AF10721" t="s">
        <v>20460</v>
      </c>
      <c r="AG10721" t="s">
        <v>45556</v>
      </c>
      <c r="AH10721">
        <v>5</v>
      </c>
      <c r="AI10721">
        <v>1</v>
      </c>
      <c r="AJ10721">
        <v>0</v>
      </c>
      <c r="AK10721">
        <v>59.57</v>
      </c>
      <c r="AN10721" t="s">
        <v>7439</v>
      </c>
      <c r="AO10721">
        <v>7440</v>
      </c>
      <c r="AU10721">
        <v>0</v>
      </c>
      <c r="AW10721" t="s">
        <v>329</v>
      </c>
    </row>
    <row r="10722" spans="1:50">
      <c r="A10722" s="1">
        <f>HYPERLINK("https://lsnyc.legalserver.org/matter/dynamic-profile/view/1900009","19-1900009")</f>
        <v>0</v>
      </c>
      <c r="B10722" t="s">
        <v>55</v>
      </c>
      <c r="C10722" t="s">
        <v>340</v>
      </c>
      <c r="D10722" t="s">
        <v>819</v>
      </c>
      <c r="F10722" t="s">
        <v>3796</v>
      </c>
      <c r="G10722" t="s">
        <v>5752</v>
      </c>
      <c r="H10722" t="s">
        <v>12199</v>
      </c>
      <c r="I10722" t="s">
        <v>18396</v>
      </c>
      <c r="J10722" t="s">
        <v>18892</v>
      </c>
      <c r="K10722">
        <v>10460</v>
      </c>
      <c r="L10722" t="s">
        <v>18958</v>
      </c>
      <c r="M10722" t="s">
        <v>18960</v>
      </c>
      <c r="N10722" t="s">
        <v>26149</v>
      </c>
      <c r="O10722" t="s">
        <v>26526</v>
      </c>
      <c r="P10722" t="s">
        <v>26562</v>
      </c>
      <c r="R10722" t="s">
        <v>26578</v>
      </c>
      <c r="S10722" t="s">
        <v>18958</v>
      </c>
      <c r="U10722" t="s">
        <v>26604</v>
      </c>
      <c r="X10722">
        <v>990</v>
      </c>
      <c r="Y10722" t="s">
        <v>26650</v>
      </c>
      <c r="Z10722" t="s">
        <v>26663</v>
      </c>
      <c r="AB10722" t="s">
        <v>31927</v>
      </c>
      <c r="AD10722" t="s">
        <v>42222</v>
      </c>
      <c r="AE10722">
        <v>168</v>
      </c>
      <c r="AF10722" t="s">
        <v>45541</v>
      </c>
      <c r="AG10722" t="s">
        <v>45556</v>
      </c>
      <c r="AH10722">
        <v>11</v>
      </c>
      <c r="AI10722">
        <v>1</v>
      </c>
      <c r="AJ10722">
        <v>0</v>
      </c>
      <c r="AK10722">
        <v>72.06</v>
      </c>
      <c r="AN10722" t="s">
        <v>7439</v>
      </c>
      <c r="AO10722">
        <v>9000</v>
      </c>
      <c r="AU10722">
        <v>0</v>
      </c>
      <c r="AW10722" t="s">
        <v>329</v>
      </c>
    </row>
    <row r="10723" spans="1:50">
      <c r="A10723" s="1">
        <f>HYPERLINK("https://lsnyc.legalserver.org/matter/dynamic-profile/view/1899990","19-1899990")</f>
        <v>0</v>
      </c>
      <c r="B10723" t="s">
        <v>55</v>
      </c>
      <c r="C10723" t="s">
        <v>340</v>
      </c>
      <c r="D10723" t="s">
        <v>819</v>
      </c>
      <c r="F10723" t="s">
        <v>3797</v>
      </c>
      <c r="G10723" t="s">
        <v>6782</v>
      </c>
      <c r="H10723" t="s">
        <v>12199</v>
      </c>
      <c r="I10723" t="s">
        <v>18397</v>
      </c>
      <c r="J10723" t="s">
        <v>18892</v>
      </c>
      <c r="K10723">
        <v>10460</v>
      </c>
      <c r="L10723" t="s">
        <v>18958</v>
      </c>
      <c r="M10723" t="s">
        <v>18960</v>
      </c>
      <c r="N10723" t="s">
        <v>23963</v>
      </c>
      <c r="O10723" t="s">
        <v>26526</v>
      </c>
      <c r="P10723" t="s">
        <v>26562</v>
      </c>
      <c r="R10723" t="s">
        <v>26578</v>
      </c>
      <c r="S10723" t="s">
        <v>18958</v>
      </c>
      <c r="U10723" t="s">
        <v>26604</v>
      </c>
      <c r="X10723">
        <v>241</v>
      </c>
      <c r="Y10723" t="s">
        <v>26650</v>
      </c>
      <c r="Z10723" t="s">
        <v>26663</v>
      </c>
      <c r="AB10723" t="s">
        <v>29276</v>
      </c>
      <c r="AD10723" t="s">
        <v>42223</v>
      </c>
      <c r="AE10723">
        <v>168</v>
      </c>
      <c r="AF10723" t="s">
        <v>45541</v>
      </c>
      <c r="AG10723" t="s">
        <v>45556</v>
      </c>
      <c r="AH10723">
        <v>12</v>
      </c>
      <c r="AI10723">
        <v>1</v>
      </c>
      <c r="AJ10723">
        <v>0</v>
      </c>
      <c r="AK10723">
        <v>74.45999999999999</v>
      </c>
      <c r="AN10723" t="s">
        <v>7439</v>
      </c>
      <c r="AO10723">
        <v>9300</v>
      </c>
      <c r="AU10723">
        <v>10.5</v>
      </c>
      <c r="AV10723" t="s">
        <v>843</v>
      </c>
      <c r="AW10723" t="s">
        <v>329</v>
      </c>
    </row>
    <row r="10724" spans="1:50">
      <c r="A10724" s="1">
        <f>HYPERLINK("https://lsnyc.legalserver.org/matter/dynamic-profile/view/1899942","19-1899942")</f>
        <v>0</v>
      </c>
      <c r="B10724" t="s">
        <v>55</v>
      </c>
      <c r="C10724" t="s">
        <v>340</v>
      </c>
      <c r="D10724" t="s">
        <v>819</v>
      </c>
      <c r="F10724" t="s">
        <v>939</v>
      </c>
      <c r="G10724" t="s">
        <v>8150</v>
      </c>
      <c r="H10724" t="s">
        <v>12199</v>
      </c>
      <c r="I10724" t="s">
        <v>18409</v>
      </c>
      <c r="J10724" t="s">
        <v>18892</v>
      </c>
      <c r="K10724">
        <v>10460</v>
      </c>
      <c r="L10724" t="s">
        <v>18958</v>
      </c>
      <c r="M10724" t="s">
        <v>18960</v>
      </c>
      <c r="N10724" t="s">
        <v>23963</v>
      </c>
      <c r="O10724" t="s">
        <v>26526</v>
      </c>
      <c r="P10724" t="s">
        <v>26562</v>
      </c>
      <c r="R10724" t="s">
        <v>26578</v>
      </c>
      <c r="S10724" t="s">
        <v>18958</v>
      </c>
      <c r="U10724" t="s">
        <v>26604</v>
      </c>
      <c r="X10724">
        <v>263</v>
      </c>
      <c r="Y10724" t="s">
        <v>26650</v>
      </c>
      <c r="Z10724" t="s">
        <v>26663</v>
      </c>
      <c r="AB10724" t="s">
        <v>31937</v>
      </c>
      <c r="AD10724" t="s">
        <v>42233</v>
      </c>
      <c r="AE10724">
        <v>168</v>
      </c>
      <c r="AF10724" t="s">
        <v>45543</v>
      </c>
      <c r="AG10724" t="s">
        <v>45556</v>
      </c>
      <c r="AH10724">
        <v>44</v>
      </c>
      <c r="AI10724">
        <v>1</v>
      </c>
      <c r="AJ10724">
        <v>0</v>
      </c>
      <c r="AK10724">
        <v>77.34</v>
      </c>
      <c r="AN10724" t="s">
        <v>7439</v>
      </c>
      <c r="AO10724">
        <v>9660</v>
      </c>
      <c r="AU10724">
        <v>0</v>
      </c>
      <c r="AW10724" t="s">
        <v>329</v>
      </c>
    </row>
    <row r="10725" spans="1:50">
      <c r="A10725" s="1">
        <f>HYPERLINK("https://lsnyc.legalserver.org/matter/dynamic-profile/view/1899937","19-1899937")</f>
        <v>0</v>
      </c>
      <c r="B10725" t="s">
        <v>55</v>
      </c>
      <c r="C10725" t="s">
        <v>340</v>
      </c>
      <c r="D10725" t="s">
        <v>819</v>
      </c>
      <c r="F10725" t="s">
        <v>1016</v>
      </c>
      <c r="G10725" t="s">
        <v>6422</v>
      </c>
      <c r="H10725" t="s">
        <v>12199</v>
      </c>
      <c r="I10725" t="s">
        <v>18404</v>
      </c>
      <c r="J10725" t="s">
        <v>18892</v>
      </c>
      <c r="K10725">
        <v>10460</v>
      </c>
      <c r="L10725" t="s">
        <v>18958</v>
      </c>
      <c r="M10725" t="s">
        <v>18960</v>
      </c>
      <c r="N10725" t="s">
        <v>23963</v>
      </c>
      <c r="O10725" t="s">
        <v>26526</v>
      </c>
      <c r="P10725" t="s">
        <v>26562</v>
      </c>
      <c r="R10725" t="s">
        <v>26578</v>
      </c>
      <c r="S10725" t="s">
        <v>18958</v>
      </c>
      <c r="U10725" t="s">
        <v>26604</v>
      </c>
      <c r="X10725">
        <v>238</v>
      </c>
      <c r="Y10725" t="s">
        <v>26650</v>
      </c>
      <c r="Z10725" t="s">
        <v>26663</v>
      </c>
      <c r="AB10725" t="s">
        <v>31933</v>
      </c>
      <c r="AC10725" t="s">
        <v>36240</v>
      </c>
      <c r="AD10725" t="s">
        <v>42228</v>
      </c>
      <c r="AE10725">
        <v>168</v>
      </c>
      <c r="AF10725" t="s">
        <v>45541</v>
      </c>
      <c r="AG10725" t="s">
        <v>45556</v>
      </c>
      <c r="AH10725">
        <v>24</v>
      </c>
      <c r="AI10725">
        <v>1</v>
      </c>
      <c r="AJ10725">
        <v>0</v>
      </c>
      <c r="AK10725">
        <v>79.36</v>
      </c>
      <c r="AN10725" t="s">
        <v>7439</v>
      </c>
      <c r="AO10725">
        <v>9912</v>
      </c>
      <c r="AU10725">
        <v>0</v>
      </c>
      <c r="AW10725" t="s">
        <v>329</v>
      </c>
    </row>
    <row r="10726" spans="1:50">
      <c r="A10726" s="1">
        <f>HYPERLINK("https://lsnyc.legalserver.org/matter/dynamic-profile/view/1900025","19-1900025")</f>
        <v>0</v>
      </c>
      <c r="B10726" t="s">
        <v>55</v>
      </c>
      <c r="C10726" t="s">
        <v>340</v>
      </c>
      <c r="D10726" t="s">
        <v>819</v>
      </c>
      <c r="F10726" t="s">
        <v>916</v>
      </c>
      <c r="G10726" t="s">
        <v>5673</v>
      </c>
      <c r="H10726" t="s">
        <v>12199</v>
      </c>
      <c r="I10726" t="s">
        <v>18400</v>
      </c>
      <c r="J10726" t="s">
        <v>18892</v>
      </c>
      <c r="K10726">
        <v>10460</v>
      </c>
      <c r="L10726" t="s">
        <v>18958</v>
      </c>
      <c r="M10726" t="s">
        <v>18960</v>
      </c>
      <c r="N10726" t="s">
        <v>23963</v>
      </c>
      <c r="O10726" t="s">
        <v>26526</v>
      </c>
      <c r="P10726" t="s">
        <v>26562</v>
      </c>
      <c r="R10726" t="s">
        <v>26578</v>
      </c>
      <c r="S10726" t="s">
        <v>18958</v>
      </c>
      <c r="U10726" t="s">
        <v>26604</v>
      </c>
      <c r="X10726">
        <v>343</v>
      </c>
      <c r="Y10726" t="s">
        <v>26650</v>
      </c>
      <c r="Z10726" t="s">
        <v>26663</v>
      </c>
      <c r="AB10726" t="s">
        <v>31930</v>
      </c>
      <c r="AD10726" t="s">
        <v>42227</v>
      </c>
      <c r="AE10726">
        <v>168</v>
      </c>
      <c r="AF10726" t="s">
        <v>45541</v>
      </c>
      <c r="AG10726" t="s">
        <v>45556</v>
      </c>
      <c r="AH10726">
        <v>1</v>
      </c>
      <c r="AI10726">
        <v>1</v>
      </c>
      <c r="AJ10726">
        <v>0</v>
      </c>
      <c r="AK10726">
        <v>112.89</v>
      </c>
      <c r="AN10726" t="s">
        <v>45581</v>
      </c>
      <c r="AO10726">
        <v>14100</v>
      </c>
      <c r="AU10726">
        <v>0</v>
      </c>
      <c r="AW10726" t="s">
        <v>329</v>
      </c>
    </row>
    <row r="10727" spans="1:50">
      <c r="A10727" s="1">
        <f>HYPERLINK("https://lsnyc.legalserver.org/matter/dynamic-profile/view/1900038","19-1900038")</f>
        <v>0</v>
      </c>
      <c r="B10727" t="s">
        <v>55</v>
      </c>
      <c r="C10727" t="s">
        <v>340</v>
      </c>
      <c r="D10727" t="s">
        <v>819</v>
      </c>
      <c r="F10727" t="s">
        <v>1091</v>
      </c>
      <c r="G10727" t="s">
        <v>6824</v>
      </c>
      <c r="H10727" t="s">
        <v>12199</v>
      </c>
      <c r="I10727" t="s">
        <v>17695</v>
      </c>
      <c r="J10727" t="s">
        <v>18892</v>
      </c>
      <c r="K10727">
        <v>10460</v>
      </c>
      <c r="L10727" t="s">
        <v>18958</v>
      </c>
      <c r="M10727" t="s">
        <v>18960</v>
      </c>
      <c r="N10727" t="s">
        <v>26149</v>
      </c>
      <c r="O10727" t="s">
        <v>26526</v>
      </c>
      <c r="P10727" t="s">
        <v>26562</v>
      </c>
      <c r="R10727" t="s">
        <v>26578</v>
      </c>
      <c r="S10727" t="s">
        <v>18958</v>
      </c>
      <c r="U10727" t="s">
        <v>26604</v>
      </c>
      <c r="X10727">
        <v>1600</v>
      </c>
      <c r="Y10727" t="s">
        <v>26650</v>
      </c>
      <c r="Z10727" t="s">
        <v>26663</v>
      </c>
      <c r="AB10727" t="s">
        <v>31959</v>
      </c>
      <c r="AD10727" t="s">
        <v>42259</v>
      </c>
      <c r="AE10727">
        <v>168</v>
      </c>
      <c r="AF10727" t="s">
        <v>45541</v>
      </c>
      <c r="AG10727" t="s">
        <v>19330</v>
      </c>
      <c r="AH10727">
        <v>18</v>
      </c>
      <c r="AI10727">
        <v>1</v>
      </c>
      <c r="AJ10727">
        <v>0</v>
      </c>
      <c r="AK10727">
        <v>124.9</v>
      </c>
      <c r="AN10727" t="s">
        <v>7439</v>
      </c>
      <c r="AO10727">
        <v>15600</v>
      </c>
      <c r="AU10727">
        <v>1.5</v>
      </c>
      <c r="AV10727" t="s">
        <v>843</v>
      </c>
      <c r="AW10727" t="s">
        <v>329</v>
      </c>
    </row>
    <row r="10728" spans="1:50">
      <c r="A10728" s="1">
        <f>HYPERLINK("https://lsnyc.legalserver.org/matter/dynamic-profile/view/1899947","19-1899947")</f>
        <v>0</v>
      </c>
      <c r="B10728" t="s">
        <v>55</v>
      </c>
      <c r="C10728" t="s">
        <v>340</v>
      </c>
      <c r="D10728" t="s">
        <v>819</v>
      </c>
      <c r="F10728" t="s">
        <v>887</v>
      </c>
      <c r="G10728" t="s">
        <v>6338</v>
      </c>
      <c r="H10728" t="s">
        <v>12199</v>
      </c>
      <c r="I10728" t="s">
        <v>18393</v>
      </c>
      <c r="J10728" t="s">
        <v>18892</v>
      </c>
      <c r="K10728">
        <v>10460</v>
      </c>
      <c r="L10728" t="s">
        <v>18958</v>
      </c>
      <c r="M10728" t="s">
        <v>18960</v>
      </c>
      <c r="N10728" t="s">
        <v>23963</v>
      </c>
      <c r="O10728" t="s">
        <v>26526</v>
      </c>
      <c r="P10728" t="s">
        <v>26562</v>
      </c>
      <c r="R10728" t="s">
        <v>26578</v>
      </c>
      <c r="S10728" t="s">
        <v>18958</v>
      </c>
      <c r="U10728" t="s">
        <v>26604</v>
      </c>
      <c r="X10728">
        <v>960</v>
      </c>
      <c r="Y10728" t="s">
        <v>26650</v>
      </c>
      <c r="Z10728" t="s">
        <v>26663</v>
      </c>
      <c r="AB10728" t="s">
        <v>31924</v>
      </c>
      <c r="AD10728" t="s">
        <v>42218</v>
      </c>
      <c r="AE10728">
        <v>168</v>
      </c>
      <c r="AF10728" t="s">
        <v>45541</v>
      </c>
      <c r="AG10728" t="s">
        <v>19330</v>
      </c>
      <c r="AH10728">
        <v>25</v>
      </c>
      <c r="AI10728">
        <v>2</v>
      </c>
      <c r="AJ10728">
        <v>0</v>
      </c>
      <c r="AK10728">
        <v>149.88</v>
      </c>
      <c r="AN10728" t="s">
        <v>45581</v>
      </c>
      <c r="AO10728">
        <v>25344</v>
      </c>
      <c r="AU10728">
        <v>0</v>
      </c>
      <c r="AW10728" t="s">
        <v>329</v>
      </c>
    </row>
    <row r="10729" spans="1:50">
      <c r="A10729" s="1">
        <f>HYPERLINK("https://lsnyc.legalserver.org/matter/dynamic-profile/view/1899976","19-1899976")</f>
        <v>0</v>
      </c>
      <c r="B10729" t="s">
        <v>55</v>
      </c>
      <c r="C10729" t="s">
        <v>340</v>
      </c>
      <c r="D10729" t="s">
        <v>819</v>
      </c>
      <c r="F10729" t="s">
        <v>1822</v>
      </c>
      <c r="G10729" t="s">
        <v>4311</v>
      </c>
      <c r="H10729" t="s">
        <v>12199</v>
      </c>
      <c r="I10729" t="s">
        <v>17376</v>
      </c>
      <c r="J10729" t="s">
        <v>18892</v>
      </c>
      <c r="K10729">
        <v>10460</v>
      </c>
      <c r="L10729" t="s">
        <v>18958</v>
      </c>
      <c r="M10729" t="s">
        <v>18960</v>
      </c>
      <c r="O10729" t="s">
        <v>18997</v>
      </c>
      <c r="P10729" t="s">
        <v>26562</v>
      </c>
      <c r="R10729" t="s">
        <v>26578</v>
      </c>
      <c r="S10729" t="s">
        <v>18958</v>
      </c>
      <c r="U10729" t="s">
        <v>26604</v>
      </c>
      <c r="X10729">
        <v>1018</v>
      </c>
      <c r="Y10729" t="s">
        <v>26650</v>
      </c>
      <c r="Z10729" t="s">
        <v>26663</v>
      </c>
      <c r="AB10729" t="s">
        <v>31950</v>
      </c>
      <c r="AD10729" t="s">
        <v>42249</v>
      </c>
      <c r="AE10729">
        <v>168</v>
      </c>
      <c r="AF10729" t="s">
        <v>45541</v>
      </c>
      <c r="AG10729" t="s">
        <v>45556</v>
      </c>
      <c r="AH10729">
        <v>14</v>
      </c>
      <c r="AI10729">
        <v>1</v>
      </c>
      <c r="AJ10729">
        <v>1</v>
      </c>
      <c r="AK10729">
        <v>195.88</v>
      </c>
      <c r="AN10729" t="s">
        <v>7439</v>
      </c>
      <c r="AO10729">
        <v>33124</v>
      </c>
      <c r="AU10729">
        <v>0</v>
      </c>
      <c r="AW10729" t="s">
        <v>46832</v>
      </c>
      <c r="AX10729" t="s">
        <v>46897</v>
      </c>
    </row>
    <row r="10730" spans="1:50">
      <c r="A10730" s="1">
        <f>HYPERLINK("https://lsnyc.legalserver.org/matter/dynamic-profile/view/1900037","19-1900037")</f>
        <v>0</v>
      </c>
      <c r="B10730" t="s">
        <v>55</v>
      </c>
      <c r="C10730" t="s">
        <v>340</v>
      </c>
      <c r="D10730" t="s">
        <v>819</v>
      </c>
      <c r="F10730" t="s">
        <v>3806</v>
      </c>
      <c r="G10730" t="s">
        <v>5986</v>
      </c>
      <c r="H10730" t="s">
        <v>12199</v>
      </c>
      <c r="I10730" t="s">
        <v>17316</v>
      </c>
      <c r="J10730" t="s">
        <v>18892</v>
      </c>
      <c r="K10730">
        <v>10460</v>
      </c>
      <c r="L10730" t="s">
        <v>18958</v>
      </c>
      <c r="M10730" t="s">
        <v>18960</v>
      </c>
      <c r="O10730" t="s">
        <v>18997</v>
      </c>
      <c r="P10730" t="s">
        <v>26562</v>
      </c>
      <c r="R10730" t="s">
        <v>26578</v>
      </c>
      <c r="S10730" t="s">
        <v>18958</v>
      </c>
      <c r="U10730" t="s">
        <v>26604</v>
      </c>
      <c r="X10730">
        <v>582</v>
      </c>
      <c r="Y10730" t="s">
        <v>26650</v>
      </c>
      <c r="Z10730" t="s">
        <v>26663</v>
      </c>
      <c r="AB10730" t="s">
        <v>26879</v>
      </c>
      <c r="AE10730">
        <v>168</v>
      </c>
      <c r="AF10730" t="s">
        <v>45541</v>
      </c>
      <c r="AG10730" t="s">
        <v>45556</v>
      </c>
      <c r="AH10730">
        <v>3</v>
      </c>
      <c r="AI10730">
        <v>1</v>
      </c>
      <c r="AJ10730">
        <v>0</v>
      </c>
      <c r="AK10730">
        <v>196.77</v>
      </c>
      <c r="AN10730" t="s">
        <v>7439</v>
      </c>
      <c r="AO10730">
        <v>24576</v>
      </c>
      <c r="AU10730">
        <v>0</v>
      </c>
      <c r="AW10730" t="s">
        <v>46832</v>
      </c>
      <c r="AX10730" t="s">
        <v>46897</v>
      </c>
    </row>
    <row r="10731" spans="1:50">
      <c r="A10731" s="1">
        <f>HYPERLINK("https://lsnyc.legalserver.org/matter/dynamic-profile/view/1900001","19-1900001")</f>
        <v>0</v>
      </c>
      <c r="B10731" t="s">
        <v>55</v>
      </c>
      <c r="C10731" t="s">
        <v>340</v>
      </c>
      <c r="D10731" t="s">
        <v>819</v>
      </c>
      <c r="F10731" t="s">
        <v>1983</v>
      </c>
      <c r="G10731" t="s">
        <v>8149</v>
      </c>
      <c r="H10731" t="s">
        <v>12199</v>
      </c>
      <c r="I10731" t="s">
        <v>18408</v>
      </c>
      <c r="J10731" t="s">
        <v>18892</v>
      </c>
      <c r="K10731">
        <v>10460</v>
      </c>
      <c r="L10731" t="s">
        <v>18958</v>
      </c>
      <c r="M10731" t="s">
        <v>18960</v>
      </c>
      <c r="N10731" t="s">
        <v>23963</v>
      </c>
      <c r="O10731" t="s">
        <v>26526</v>
      </c>
      <c r="P10731" t="s">
        <v>26562</v>
      </c>
      <c r="R10731" t="s">
        <v>26578</v>
      </c>
      <c r="S10731" t="s">
        <v>18958</v>
      </c>
      <c r="U10731" t="s">
        <v>26604</v>
      </c>
      <c r="X10731">
        <v>1960</v>
      </c>
      <c r="Y10731" t="s">
        <v>26650</v>
      </c>
      <c r="Z10731" t="s">
        <v>26663</v>
      </c>
      <c r="AB10731" t="s">
        <v>31935</v>
      </c>
      <c r="AD10731" t="s">
        <v>42232</v>
      </c>
      <c r="AE10731">
        <v>168</v>
      </c>
      <c r="AF10731" t="s">
        <v>45543</v>
      </c>
      <c r="AG10731" t="s">
        <v>45556</v>
      </c>
      <c r="AH10731">
        <v>11</v>
      </c>
      <c r="AI10731">
        <v>1</v>
      </c>
      <c r="AJ10731">
        <v>1</v>
      </c>
      <c r="AK10731">
        <v>206.98</v>
      </c>
      <c r="AN10731" t="s">
        <v>7439</v>
      </c>
      <c r="AO10731">
        <v>35000</v>
      </c>
      <c r="AU10731">
        <v>0</v>
      </c>
      <c r="AW10731" t="s">
        <v>329</v>
      </c>
    </row>
    <row r="10732" spans="1:50">
      <c r="A10732" s="1">
        <f>HYPERLINK("https://lsnyc.legalserver.org/matter/dynamic-profile/view/1900023","19-1900023")</f>
        <v>0</v>
      </c>
      <c r="B10732" t="s">
        <v>55</v>
      </c>
      <c r="C10732" t="s">
        <v>340</v>
      </c>
      <c r="D10732" t="s">
        <v>819</v>
      </c>
      <c r="F10732" t="s">
        <v>1107</v>
      </c>
      <c r="G10732" t="s">
        <v>6807</v>
      </c>
      <c r="H10732" t="s">
        <v>12199</v>
      </c>
      <c r="I10732" t="s">
        <v>17940</v>
      </c>
      <c r="J10732" t="s">
        <v>18892</v>
      </c>
      <c r="K10732">
        <v>10460</v>
      </c>
      <c r="L10732" t="s">
        <v>18958</v>
      </c>
      <c r="M10732" t="s">
        <v>18960</v>
      </c>
      <c r="O10732" t="s">
        <v>26526</v>
      </c>
      <c r="P10732" t="s">
        <v>26562</v>
      </c>
      <c r="R10732" t="s">
        <v>26578</v>
      </c>
      <c r="S10732" t="s">
        <v>18958</v>
      </c>
      <c r="U10732" t="s">
        <v>26604</v>
      </c>
      <c r="X10732">
        <v>955</v>
      </c>
      <c r="Y10732" t="s">
        <v>26650</v>
      </c>
      <c r="Z10732" t="s">
        <v>26663</v>
      </c>
      <c r="AB10732" t="s">
        <v>29480</v>
      </c>
      <c r="AD10732" t="s">
        <v>39545</v>
      </c>
      <c r="AE10732">
        <v>168</v>
      </c>
      <c r="AF10732" t="s">
        <v>45541</v>
      </c>
      <c r="AG10732" t="s">
        <v>45556</v>
      </c>
      <c r="AH10732">
        <v>34</v>
      </c>
      <c r="AI10732">
        <v>1</v>
      </c>
      <c r="AJ10732">
        <v>0</v>
      </c>
      <c r="AK10732">
        <v>249.8</v>
      </c>
      <c r="AN10732" t="s">
        <v>7439</v>
      </c>
      <c r="AO10732">
        <v>31200</v>
      </c>
      <c r="AU10732">
        <v>0</v>
      </c>
      <c r="AW10732" t="s">
        <v>329</v>
      </c>
    </row>
    <row r="10733" spans="1:50">
      <c r="A10733" s="1">
        <f>HYPERLINK("https://lsnyc.legalserver.org/matter/dynamic-profile/view/1900045","19-1900045")</f>
        <v>0</v>
      </c>
      <c r="B10733" t="s">
        <v>55</v>
      </c>
      <c r="C10733" t="s">
        <v>340</v>
      </c>
      <c r="D10733" t="s">
        <v>819</v>
      </c>
      <c r="F10733" t="s">
        <v>873</v>
      </c>
      <c r="G10733" t="s">
        <v>8165</v>
      </c>
      <c r="H10733" t="s">
        <v>12199</v>
      </c>
      <c r="J10733" t="s">
        <v>18892</v>
      </c>
      <c r="K10733">
        <v>10460</v>
      </c>
      <c r="L10733" t="s">
        <v>18958</v>
      </c>
      <c r="M10733" t="s">
        <v>18960</v>
      </c>
      <c r="N10733" t="s">
        <v>26149</v>
      </c>
      <c r="O10733" t="s">
        <v>26526</v>
      </c>
      <c r="P10733" t="s">
        <v>26562</v>
      </c>
      <c r="R10733" t="s">
        <v>26578</v>
      </c>
      <c r="S10733" t="s">
        <v>18958</v>
      </c>
      <c r="U10733" t="s">
        <v>26604</v>
      </c>
      <c r="X10733">
        <v>1367</v>
      </c>
      <c r="Y10733" t="s">
        <v>26650</v>
      </c>
      <c r="Z10733" t="s">
        <v>26663</v>
      </c>
      <c r="AB10733" t="s">
        <v>31960</v>
      </c>
      <c r="AD10733" t="s">
        <v>42260</v>
      </c>
      <c r="AE10733">
        <v>168</v>
      </c>
      <c r="AF10733" t="s">
        <v>45541</v>
      </c>
      <c r="AG10733" t="s">
        <v>19330</v>
      </c>
      <c r="AH10733">
        <v>34</v>
      </c>
      <c r="AI10733">
        <v>1</v>
      </c>
      <c r="AJ10733">
        <v>0</v>
      </c>
      <c r="AK10733">
        <v>480.26</v>
      </c>
      <c r="AN10733" t="s">
        <v>7439</v>
      </c>
      <c r="AO10733">
        <v>59985</v>
      </c>
      <c r="AU10733">
        <v>0</v>
      </c>
      <c r="AW10733" t="s">
        <v>329</v>
      </c>
    </row>
    <row r="10734" spans="1:50">
      <c r="A10734" s="1">
        <f>HYPERLINK("https://lsnyc.legalserver.org/matter/dynamic-profile/view/1899968","19-1899968")</f>
        <v>0</v>
      </c>
      <c r="B10734" t="s">
        <v>317</v>
      </c>
      <c r="C10734" t="s">
        <v>340</v>
      </c>
      <c r="D10734" t="s">
        <v>819</v>
      </c>
      <c r="F10734" t="s">
        <v>3175</v>
      </c>
      <c r="G10734" t="s">
        <v>9437</v>
      </c>
      <c r="H10734" t="s">
        <v>16852</v>
      </c>
      <c r="I10734" t="s">
        <v>18020</v>
      </c>
      <c r="J10734" t="s">
        <v>18893</v>
      </c>
      <c r="K10734">
        <v>10022</v>
      </c>
      <c r="L10734" t="s">
        <v>18960</v>
      </c>
      <c r="M10734" t="s">
        <v>18960</v>
      </c>
      <c r="N10734">
        <v>60858</v>
      </c>
      <c r="O10734" t="s">
        <v>26524</v>
      </c>
      <c r="R10734" t="s">
        <v>26591</v>
      </c>
      <c r="S10734" t="s">
        <v>18959</v>
      </c>
      <c r="U10734" t="s">
        <v>26604</v>
      </c>
      <c r="X10734">
        <v>1568</v>
      </c>
      <c r="Y10734" t="s">
        <v>26651</v>
      </c>
      <c r="AB10734" t="s">
        <v>34113</v>
      </c>
      <c r="AD10734" t="s">
        <v>45050</v>
      </c>
      <c r="AE10734">
        <v>300</v>
      </c>
      <c r="AF10734" t="s">
        <v>45547</v>
      </c>
      <c r="AG10734" t="s">
        <v>19330</v>
      </c>
      <c r="AH10734">
        <v>53</v>
      </c>
      <c r="AI10734">
        <v>1</v>
      </c>
      <c r="AJ10734">
        <v>0</v>
      </c>
      <c r="AK10734">
        <v>197.63</v>
      </c>
      <c r="AN10734" t="s">
        <v>7439</v>
      </c>
      <c r="AO10734">
        <v>24684</v>
      </c>
      <c r="AU10734">
        <v>0.5</v>
      </c>
      <c r="AV10734" t="s">
        <v>819</v>
      </c>
      <c r="AW10734" t="s">
        <v>46829</v>
      </c>
    </row>
    <row r="10735" spans="1:50">
      <c r="A10735" s="1">
        <f>HYPERLINK("https://lsnyc.legalserver.org/matter/dynamic-profile/view/1899972","19-1899972")</f>
        <v>0</v>
      </c>
      <c r="B10735" t="s">
        <v>167</v>
      </c>
      <c r="C10735" t="s">
        <v>340</v>
      </c>
      <c r="D10735" t="s">
        <v>819</v>
      </c>
      <c r="F10735" t="s">
        <v>990</v>
      </c>
      <c r="G10735" t="s">
        <v>6883</v>
      </c>
      <c r="H10735" t="s">
        <v>12348</v>
      </c>
      <c r="I10735" t="s">
        <v>17742</v>
      </c>
      <c r="J10735" t="s">
        <v>18894</v>
      </c>
      <c r="K10735">
        <v>11203</v>
      </c>
      <c r="L10735" t="s">
        <v>18960</v>
      </c>
      <c r="M10735" t="s">
        <v>18960</v>
      </c>
      <c r="P10735" t="s">
        <v>26563</v>
      </c>
      <c r="R10735" t="s">
        <v>26586</v>
      </c>
      <c r="U10735" t="s">
        <v>26604</v>
      </c>
      <c r="X10735">
        <v>1450</v>
      </c>
      <c r="Y10735" t="s">
        <v>26652</v>
      </c>
      <c r="Z10735" t="s">
        <v>26659</v>
      </c>
      <c r="AB10735" t="s">
        <v>29624</v>
      </c>
      <c r="AD10735" t="s">
        <v>39708</v>
      </c>
      <c r="AE10735">
        <v>59</v>
      </c>
      <c r="AF10735" t="s">
        <v>45541</v>
      </c>
      <c r="AH10735">
        <v>8</v>
      </c>
      <c r="AI10735">
        <v>1</v>
      </c>
      <c r="AJ10735">
        <v>0</v>
      </c>
      <c r="AK10735">
        <v>78.78</v>
      </c>
      <c r="AN10735" t="s">
        <v>7439</v>
      </c>
      <c r="AO10735">
        <v>9840</v>
      </c>
      <c r="AU10735">
        <v>4.9</v>
      </c>
      <c r="AV10735" t="s">
        <v>834</v>
      </c>
      <c r="AW10735" t="s">
        <v>46856</v>
      </c>
    </row>
    <row r="10736" spans="1:50">
      <c r="A10736" s="1">
        <f>HYPERLINK("https://lsnyc.legalserver.org/matter/dynamic-profile/view/1900018","19-1900018")</f>
        <v>0</v>
      </c>
      <c r="B10736" t="s">
        <v>234</v>
      </c>
      <c r="C10736" t="s">
        <v>340</v>
      </c>
      <c r="D10736" t="s">
        <v>819</v>
      </c>
      <c r="F10736" t="s">
        <v>4895</v>
      </c>
      <c r="G10736" t="s">
        <v>5453</v>
      </c>
      <c r="H10736" t="s">
        <v>16853</v>
      </c>
      <c r="I10736" t="s">
        <v>17283</v>
      </c>
      <c r="J10736" t="s">
        <v>18893</v>
      </c>
      <c r="K10736">
        <v>10002</v>
      </c>
      <c r="L10736" t="s">
        <v>18958</v>
      </c>
      <c r="M10736" t="s">
        <v>18960</v>
      </c>
      <c r="N10736" t="s">
        <v>26150</v>
      </c>
      <c r="O10736" t="s">
        <v>26524</v>
      </c>
      <c r="P10736" t="s">
        <v>26560</v>
      </c>
      <c r="R10736" t="s">
        <v>26578</v>
      </c>
      <c r="S10736" t="s">
        <v>18959</v>
      </c>
      <c r="U10736" t="s">
        <v>26604</v>
      </c>
      <c r="X10736">
        <v>927.62</v>
      </c>
      <c r="Y10736" t="s">
        <v>26651</v>
      </c>
      <c r="Z10736" t="s">
        <v>26663</v>
      </c>
      <c r="AB10736" t="s">
        <v>27037</v>
      </c>
      <c r="AD10736" t="s">
        <v>45051</v>
      </c>
      <c r="AE10736">
        <v>0</v>
      </c>
      <c r="AF10736" t="s">
        <v>45541</v>
      </c>
      <c r="AG10736" t="s">
        <v>19330</v>
      </c>
      <c r="AH10736">
        <v>15</v>
      </c>
      <c r="AI10736">
        <v>2</v>
      </c>
      <c r="AJ10736">
        <v>1</v>
      </c>
      <c r="AK10736">
        <v>229.72</v>
      </c>
      <c r="AN10736" t="s">
        <v>45593</v>
      </c>
      <c r="AO10736">
        <v>49000</v>
      </c>
      <c r="AU10736">
        <v>22.3</v>
      </c>
      <c r="AV10736" t="s">
        <v>836</v>
      </c>
      <c r="AW10736" t="s">
        <v>314</v>
      </c>
    </row>
    <row r="10737" spans="1:50">
      <c r="A10737" s="1">
        <f>HYPERLINK("https://lsnyc.legalserver.org/matter/dynamic-profile/view/1899548","19-1899548")</f>
        <v>0</v>
      </c>
      <c r="B10737" t="s">
        <v>153</v>
      </c>
      <c r="C10737" t="s">
        <v>340</v>
      </c>
      <c r="D10737" t="s">
        <v>819</v>
      </c>
      <c r="F10737" t="s">
        <v>4896</v>
      </c>
      <c r="G10737" t="s">
        <v>5340</v>
      </c>
      <c r="H10737" t="s">
        <v>16854</v>
      </c>
      <c r="I10737" t="s">
        <v>17362</v>
      </c>
      <c r="J10737" t="s">
        <v>18902</v>
      </c>
      <c r="K10737">
        <v>10304</v>
      </c>
      <c r="L10737" t="s">
        <v>18960</v>
      </c>
      <c r="M10737" t="s">
        <v>18960</v>
      </c>
      <c r="N10737" t="s">
        <v>26151</v>
      </c>
      <c r="O10737" t="s">
        <v>26523</v>
      </c>
      <c r="R10737" t="s">
        <v>26587</v>
      </c>
      <c r="S10737" t="s">
        <v>18959</v>
      </c>
      <c r="U10737" t="s">
        <v>26605</v>
      </c>
      <c r="V10737" t="s">
        <v>26610</v>
      </c>
      <c r="X10737">
        <v>657</v>
      </c>
      <c r="Y10737" t="s">
        <v>26654</v>
      </c>
      <c r="Z10737" t="s">
        <v>26667</v>
      </c>
      <c r="AB10737" t="s">
        <v>34114</v>
      </c>
      <c r="AD10737" t="s">
        <v>45052</v>
      </c>
      <c r="AE10737">
        <v>693</v>
      </c>
      <c r="AF10737" t="s">
        <v>45543</v>
      </c>
      <c r="AG10737" t="s">
        <v>19330</v>
      </c>
      <c r="AH10737">
        <v>4</v>
      </c>
      <c r="AI10737">
        <v>1</v>
      </c>
      <c r="AJ10737">
        <v>2</v>
      </c>
      <c r="AK10737">
        <v>127.03</v>
      </c>
      <c r="AN10737" t="s">
        <v>45605</v>
      </c>
      <c r="AO10737">
        <v>27096</v>
      </c>
      <c r="AU10737">
        <v>3.3</v>
      </c>
      <c r="AV10737" t="s">
        <v>828</v>
      </c>
      <c r="AW10737" t="s">
        <v>46883</v>
      </c>
    </row>
    <row r="10738" spans="1:50">
      <c r="A10738" s="1">
        <f>HYPERLINK("https://lsnyc.legalserver.org/matter/dynamic-profile/view/1899979","19-1899979")</f>
        <v>0</v>
      </c>
      <c r="B10738" t="s">
        <v>74</v>
      </c>
      <c r="C10738" t="s">
        <v>340</v>
      </c>
      <c r="D10738" t="s">
        <v>819</v>
      </c>
      <c r="F10738" t="s">
        <v>2889</v>
      </c>
      <c r="G10738" t="s">
        <v>5330</v>
      </c>
      <c r="H10738" t="s">
        <v>16855</v>
      </c>
      <c r="I10738" t="s">
        <v>18819</v>
      </c>
      <c r="J10738" t="s">
        <v>18892</v>
      </c>
      <c r="K10738">
        <v>10455</v>
      </c>
      <c r="L10738" t="s">
        <v>18960</v>
      </c>
      <c r="M10738" t="s">
        <v>18960</v>
      </c>
      <c r="P10738" t="s">
        <v>26564</v>
      </c>
      <c r="R10738" t="s">
        <v>26591</v>
      </c>
      <c r="U10738" t="s">
        <v>26604</v>
      </c>
      <c r="X10738">
        <v>0</v>
      </c>
      <c r="Y10738" t="s">
        <v>26651</v>
      </c>
      <c r="Z10738" t="s">
        <v>26673</v>
      </c>
      <c r="AB10738" t="s">
        <v>32154</v>
      </c>
      <c r="AD10738" t="s">
        <v>34738</v>
      </c>
      <c r="AE10738">
        <v>0</v>
      </c>
      <c r="AH10738">
        <v>0</v>
      </c>
      <c r="AI10738">
        <v>1</v>
      </c>
      <c r="AJ10738">
        <v>0</v>
      </c>
      <c r="AK10738">
        <v>116.57</v>
      </c>
      <c r="AN10738" t="s">
        <v>45581</v>
      </c>
      <c r="AO10738">
        <v>14560</v>
      </c>
      <c r="AU10738">
        <v>0.5</v>
      </c>
      <c r="AV10738" t="s">
        <v>819</v>
      </c>
      <c r="AW10738" t="s">
        <v>46849</v>
      </c>
    </row>
    <row r="10739" spans="1:50">
      <c r="A10739" s="1">
        <f>HYPERLINK("https://lsnyc.legalserver.org/matter/dynamic-profile/view/1899948","19-1899948")</f>
        <v>0</v>
      </c>
      <c r="B10739" t="s">
        <v>124</v>
      </c>
      <c r="C10739" t="s">
        <v>340</v>
      </c>
      <c r="D10739" t="s">
        <v>819</v>
      </c>
      <c r="F10739" t="s">
        <v>1043</v>
      </c>
      <c r="G10739" t="s">
        <v>5570</v>
      </c>
      <c r="H10739" t="s">
        <v>16856</v>
      </c>
      <c r="I10739" t="s">
        <v>17342</v>
      </c>
      <c r="J10739" t="s">
        <v>18894</v>
      </c>
      <c r="K10739">
        <v>11203</v>
      </c>
      <c r="L10739" t="s">
        <v>18960</v>
      </c>
      <c r="M10739" t="s">
        <v>18960</v>
      </c>
      <c r="N10739" t="s">
        <v>26152</v>
      </c>
      <c r="O10739" t="s">
        <v>26523</v>
      </c>
      <c r="R10739" t="s">
        <v>26586</v>
      </c>
      <c r="U10739" t="s">
        <v>26604</v>
      </c>
      <c r="X10739">
        <v>1535</v>
      </c>
      <c r="Y10739" t="s">
        <v>26652</v>
      </c>
      <c r="Z10739" t="s">
        <v>26664</v>
      </c>
      <c r="AB10739" t="s">
        <v>33139</v>
      </c>
      <c r="AD10739" t="s">
        <v>45053</v>
      </c>
      <c r="AE10739">
        <v>67</v>
      </c>
      <c r="AG10739" t="s">
        <v>45561</v>
      </c>
      <c r="AH10739">
        <v>0</v>
      </c>
      <c r="AI10739">
        <v>1</v>
      </c>
      <c r="AJ10739">
        <v>0</v>
      </c>
      <c r="AK10739">
        <v>115.29</v>
      </c>
      <c r="AN10739" t="s">
        <v>7439</v>
      </c>
      <c r="AO10739">
        <v>14400</v>
      </c>
      <c r="AU10739">
        <v>3.05</v>
      </c>
      <c r="AV10739" t="s">
        <v>832</v>
      </c>
      <c r="AW10739" t="s">
        <v>46842</v>
      </c>
    </row>
    <row r="10740" spans="1:50">
      <c r="A10740" s="1">
        <f>HYPERLINK("https://lsnyc.legalserver.org/matter/dynamic-profile/view/1899938","19-1899938")</f>
        <v>0</v>
      </c>
      <c r="B10740" t="s">
        <v>121</v>
      </c>
      <c r="C10740" t="s">
        <v>340</v>
      </c>
      <c r="D10740" t="s">
        <v>819</v>
      </c>
      <c r="F10740" t="s">
        <v>1673</v>
      </c>
      <c r="G10740" t="s">
        <v>3718</v>
      </c>
      <c r="H10740" t="s">
        <v>16857</v>
      </c>
      <c r="I10740">
        <v>1215</v>
      </c>
      <c r="J10740" t="s">
        <v>18892</v>
      </c>
      <c r="K10740">
        <v>10471</v>
      </c>
      <c r="L10740" t="s">
        <v>18958</v>
      </c>
      <c r="M10740" t="s">
        <v>18960</v>
      </c>
      <c r="N10740" t="s">
        <v>26153</v>
      </c>
      <c r="O10740" t="s">
        <v>26523</v>
      </c>
      <c r="P10740" t="s">
        <v>26560</v>
      </c>
      <c r="R10740" t="s">
        <v>26577</v>
      </c>
      <c r="S10740" t="s">
        <v>18959</v>
      </c>
      <c r="U10740" t="s">
        <v>26604</v>
      </c>
      <c r="X10740">
        <v>1597.25</v>
      </c>
      <c r="Y10740" t="s">
        <v>26650</v>
      </c>
      <c r="AB10740" t="s">
        <v>34115</v>
      </c>
      <c r="AC10740" t="s">
        <v>36744</v>
      </c>
      <c r="AD10740" t="s">
        <v>45054</v>
      </c>
      <c r="AE10740">
        <v>200</v>
      </c>
      <c r="AF10740" t="s">
        <v>45541</v>
      </c>
      <c r="AG10740" t="s">
        <v>45559</v>
      </c>
      <c r="AH10740">
        <v>18</v>
      </c>
      <c r="AI10740">
        <v>1</v>
      </c>
      <c r="AJ10740">
        <v>0</v>
      </c>
      <c r="AK10740">
        <v>86.28</v>
      </c>
      <c r="AN10740" t="s">
        <v>7439</v>
      </c>
      <c r="AO10740">
        <v>10776</v>
      </c>
      <c r="AU10740">
        <v>4.7</v>
      </c>
      <c r="AV10740" t="s">
        <v>832</v>
      </c>
      <c r="AW10740" t="s">
        <v>335</v>
      </c>
      <c r="AX10740" t="s">
        <v>46898</v>
      </c>
    </row>
    <row r="10741" spans="1:50">
      <c r="A10741" s="1">
        <f>HYPERLINK("https://lsnyc.legalserver.org/matter/dynamic-profile/view/1899986","19-1899986")</f>
        <v>0</v>
      </c>
      <c r="B10741" t="s">
        <v>236</v>
      </c>
      <c r="C10741" t="s">
        <v>340</v>
      </c>
      <c r="D10741" t="s">
        <v>819</v>
      </c>
      <c r="F10741" t="s">
        <v>887</v>
      </c>
      <c r="G10741" t="s">
        <v>5147</v>
      </c>
      <c r="H10741" t="s">
        <v>16858</v>
      </c>
      <c r="I10741" t="s">
        <v>17272</v>
      </c>
      <c r="J10741" t="s">
        <v>18892</v>
      </c>
      <c r="K10741">
        <v>10452</v>
      </c>
      <c r="L10741" t="s">
        <v>18958</v>
      </c>
      <c r="M10741" t="s">
        <v>18960</v>
      </c>
      <c r="O10741" t="s">
        <v>26523</v>
      </c>
      <c r="P10741" t="s">
        <v>26565</v>
      </c>
      <c r="R10741" t="s">
        <v>26578</v>
      </c>
      <c r="S10741" t="s">
        <v>18959</v>
      </c>
      <c r="U10741" t="s">
        <v>26604</v>
      </c>
      <c r="X10741">
        <v>339</v>
      </c>
      <c r="Y10741" t="s">
        <v>26650</v>
      </c>
      <c r="Z10741" t="s">
        <v>26663</v>
      </c>
      <c r="AB10741" t="s">
        <v>34116</v>
      </c>
      <c r="AD10741" t="s">
        <v>45055</v>
      </c>
      <c r="AE10741">
        <v>0</v>
      </c>
      <c r="AF10741" t="s">
        <v>45543</v>
      </c>
      <c r="AG10741" t="s">
        <v>45556</v>
      </c>
      <c r="AH10741">
        <v>37</v>
      </c>
      <c r="AI10741">
        <v>2</v>
      </c>
      <c r="AJ10741">
        <v>0</v>
      </c>
      <c r="AK10741">
        <v>103.89</v>
      </c>
      <c r="AN10741" t="s">
        <v>45581</v>
      </c>
      <c r="AO10741">
        <v>17568</v>
      </c>
      <c r="AU10741">
        <v>0</v>
      </c>
      <c r="AW10741" t="s">
        <v>236</v>
      </c>
      <c r="AX10741" t="s">
        <v>46897</v>
      </c>
    </row>
    <row r="10742" spans="1:50">
      <c r="A10742" s="1">
        <f>HYPERLINK("https://lsnyc.legalserver.org/matter/dynamic-profile/view/1900008","19-1900008")</f>
        <v>0</v>
      </c>
      <c r="B10742" t="s">
        <v>236</v>
      </c>
      <c r="C10742" t="s">
        <v>340</v>
      </c>
      <c r="D10742" t="s">
        <v>819</v>
      </c>
      <c r="F10742" t="s">
        <v>2100</v>
      </c>
      <c r="G10742" t="s">
        <v>7229</v>
      </c>
      <c r="H10742" t="s">
        <v>15582</v>
      </c>
      <c r="I10742" t="s">
        <v>17347</v>
      </c>
      <c r="J10742" t="s">
        <v>18892</v>
      </c>
      <c r="K10742">
        <v>10452</v>
      </c>
      <c r="L10742" t="s">
        <v>18958</v>
      </c>
      <c r="M10742" t="s">
        <v>18960</v>
      </c>
      <c r="R10742" t="s">
        <v>26578</v>
      </c>
      <c r="S10742" t="s">
        <v>18959</v>
      </c>
      <c r="U10742" t="s">
        <v>26604</v>
      </c>
      <c r="X10742">
        <v>1085</v>
      </c>
      <c r="Y10742" t="s">
        <v>26650</v>
      </c>
      <c r="Z10742" t="s">
        <v>26663</v>
      </c>
      <c r="AB10742" t="s">
        <v>33009</v>
      </c>
      <c r="AD10742" t="s">
        <v>43616</v>
      </c>
      <c r="AE10742">
        <v>0</v>
      </c>
      <c r="AF10742" t="s">
        <v>45541</v>
      </c>
      <c r="AH10742">
        <v>20</v>
      </c>
      <c r="AI10742">
        <v>1</v>
      </c>
      <c r="AJ10742">
        <v>0</v>
      </c>
      <c r="AK10742">
        <v>2403.84</v>
      </c>
      <c r="AN10742" t="s">
        <v>7439</v>
      </c>
      <c r="AO10742">
        <v>300240</v>
      </c>
      <c r="AU10742">
        <v>0</v>
      </c>
      <c r="AW10742" t="s">
        <v>236</v>
      </c>
      <c r="AX10742" t="s">
        <v>46897</v>
      </c>
    </row>
    <row r="10743" spans="1:50">
      <c r="A10743" s="1">
        <f>HYPERLINK("https://lsnyc.legalserver.org/matter/dynamic-profile/view/1900051","19-1900051")</f>
        <v>0</v>
      </c>
      <c r="B10743" t="s">
        <v>91</v>
      </c>
      <c r="C10743" t="s">
        <v>340</v>
      </c>
      <c r="D10743" t="s">
        <v>819</v>
      </c>
      <c r="F10743" t="s">
        <v>4478</v>
      </c>
      <c r="G10743" t="s">
        <v>9438</v>
      </c>
      <c r="H10743" t="s">
        <v>16859</v>
      </c>
      <c r="I10743" t="s">
        <v>17374</v>
      </c>
      <c r="J10743" t="s">
        <v>18918</v>
      </c>
      <c r="K10743">
        <v>11417</v>
      </c>
      <c r="L10743" t="s">
        <v>18958</v>
      </c>
      <c r="M10743" t="s">
        <v>18960</v>
      </c>
      <c r="N10743" t="s">
        <v>26154</v>
      </c>
      <c r="O10743" t="s">
        <v>26524</v>
      </c>
      <c r="P10743" t="s">
        <v>26565</v>
      </c>
      <c r="R10743" t="s">
        <v>26584</v>
      </c>
      <c r="S10743" t="s">
        <v>18959</v>
      </c>
      <c r="U10743" t="s">
        <v>26604</v>
      </c>
      <c r="X10743">
        <v>1150</v>
      </c>
      <c r="Y10743" t="s">
        <v>26653</v>
      </c>
      <c r="Z10743" t="s">
        <v>26664</v>
      </c>
      <c r="AB10743" t="s">
        <v>31417</v>
      </c>
      <c r="AD10743" t="s">
        <v>45056</v>
      </c>
      <c r="AE10743">
        <v>1</v>
      </c>
      <c r="AF10743" t="s">
        <v>45547</v>
      </c>
      <c r="AG10743" t="s">
        <v>19330</v>
      </c>
      <c r="AH10743">
        <v>4</v>
      </c>
      <c r="AI10743">
        <v>1</v>
      </c>
      <c r="AJ10743">
        <v>0</v>
      </c>
      <c r="AK10743">
        <v>0</v>
      </c>
      <c r="AN10743" t="s">
        <v>7439</v>
      </c>
      <c r="AO10743">
        <v>0</v>
      </c>
      <c r="AU10743">
        <v>2.15</v>
      </c>
      <c r="AV10743" t="s">
        <v>836</v>
      </c>
      <c r="AW10743" t="s">
        <v>46846</v>
      </c>
      <c r="AX10743" t="s">
        <v>46897</v>
      </c>
    </row>
    <row r="10744" spans="1:50">
      <c r="A10744" s="1">
        <f>HYPERLINK("https://lsnyc.legalserver.org/matter/dynamic-profile/view/1899952","19-1899952")</f>
        <v>0</v>
      </c>
      <c r="B10744" t="s">
        <v>69</v>
      </c>
      <c r="C10744" t="s">
        <v>340</v>
      </c>
      <c r="D10744" t="s">
        <v>819</v>
      </c>
      <c r="F10744" t="s">
        <v>2420</v>
      </c>
      <c r="G10744" t="s">
        <v>1775</v>
      </c>
      <c r="H10744" t="s">
        <v>16860</v>
      </c>
      <c r="I10744" t="s">
        <v>17389</v>
      </c>
      <c r="J10744" t="s">
        <v>18892</v>
      </c>
      <c r="K10744">
        <v>10457</v>
      </c>
      <c r="L10744" t="s">
        <v>18959</v>
      </c>
      <c r="M10744" t="s">
        <v>18960</v>
      </c>
      <c r="N10744" t="s">
        <v>26155</v>
      </c>
      <c r="O10744" t="s">
        <v>26523</v>
      </c>
      <c r="R10744" t="s">
        <v>26579</v>
      </c>
      <c r="U10744" t="s">
        <v>26604</v>
      </c>
      <c r="X10744">
        <v>1151.46</v>
      </c>
      <c r="Y10744" t="s">
        <v>26650</v>
      </c>
      <c r="AB10744" t="s">
        <v>34117</v>
      </c>
      <c r="AE10744">
        <v>0</v>
      </c>
      <c r="AH10744">
        <v>6</v>
      </c>
      <c r="AI10744">
        <v>1</v>
      </c>
      <c r="AJ10744">
        <v>0</v>
      </c>
      <c r="AK10744">
        <v>0</v>
      </c>
      <c r="AN10744" t="s">
        <v>7439</v>
      </c>
      <c r="AO10744">
        <v>0</v>
      </c>
      <c r="AP10744" t="s">
        <v>46321</v>
      </c>
      <c r="AU10744">
        <v>0.5</v>
      </c>
      <c r="AV10744" t="s">
        <v>835</v>
      </c>
      <c r="AW10744" t="s">
        <v>335</v>
      </c>
      <c r="AX10744" t="s">
        <v>46897</v>
      </c>
    </row>
    <row r="10745" spans="1:50">
      <c r="A10745" s="1">
        <f>HYPERLINK("https://lsnyc.legalserver.org/matter/dynamic-profile/view/1900154","19-1900154")</f>
        <v>0</v>
      </c>
      <c r="B10745" t="s">
        <v>144</v>
      </c>
      <c r="C10745" t="s">
        <v>341</v>
      </c>
      <c r="D10745" t="s">
        <v>820</v>
      </c>
      <c r="E10745" t="s">
        <v>831</v>
      </c>
      <c r="F10745" t="s">
        <v>4897</v>
      </c>
      <c r="G10745" t="s">
        <v>5078</v>
      </c>
      <c r="H10745" t="s">
        <v>16861</v>
      </c>
      <c r="I10745" t="s">
        <v>17332</v>
      </c>
      <c r="J10745" t="s">
        <v>18893</v>
      </c>
      <c r="K10745">
        <v>10017</v>
      </c>
      <c r="L10745" t="s">
        <v>18960</v>
      </c>
      <c r="M10745" t="s">
        <v>18960</v>
      </c>
      <c r="O10745" t="s">
        <v>18997</v>
      </c>
      <c r="Q10745" t="s">
        <v>26570</v>
      </c>
      <c r="R10745" t="s">
        <v>26582</v>
      </c>
      <c r="U10745" t="s">
        <v>26605</v>
      </c>
      <c r="X10745">
        <v>1440.6</v>
      </c>
      <c r="Y10745" t="s">
        <v>26651</v>
      </c>
      <c r="AA10745" t="s">
        <v>26683</v>
      </c>
      <c r="AB10745" t="s">
        <v>28202</v>
      </c>
      <c r="AE10745">
        <v>0</v>
      </c>
      <c r="AH10745">
        <v>33</v>
      </c>
      <c r="AI10745">
        <v>3</v>
      </c>
      <c r="AJ10745">
        <v>1</v>
      </c>
      <c r="AK10745">
        <v>0</v>
      </c>
      <c r="AN10745" t="s">
        <v>7439</v>
      </c>
      <c r="AO10745">
        <v>0</v>
      </c>
      <c r="AU10745">
        <v>1</v>
      </c>
      <c r="AV10745" t="s">
        <v>805</v>
      </c>
      <c r="AW10745" t="s">
        <v>46838</v>
      </c>
    </row>
    <row r="10746" spans="1:50">
      <c r="A10746" s="1">
        <f>HYPERLINK("https://lsnyc.legalserver.org/matter/dynamic-profile/view/1900123","19-1900123")</f>
        <v>0</v>
      </c>
      <c r="B10746" t="s">
        <v>144</v>
      </c>
      <c r="C10746" t="s">
        <v>341</v>
      </c>
      <c r="D10746" t="s">
        <v>820</v>
      </c>
      <c r="E10746" t="s">
        <v>831</v>
      </c>
      <c r="F10746" t="s">
        <v>4154</v>
      </c>
      <c r="G10746" t="s">
        <v>5100</v>
      </c>
      <c r="H10746" t="s">
        <v>16862</v>
      </c>
      <c r="I10746" t="s">
        <v>17953</v>
      </c>
      <c r="J10746" t="s">
        <v>18945</v>
      </c>
      <c r="K10746">
        <v>10002</v>
      </c>
      <c r="L10746" t="s">
        <v>18960</v>
      </c>
      <c r="M10746" t="s">
        <v>18960</v>
      </c>
      <c r="O10746" t="s">
        <v>18997</v>
      </c>
      <c r="Q10746" t="s">
        <v>26570</v>
      </c>
      <c r="R10746" t="s">
        <v>26582</v>
      </c>
      <c r="U10746" t="s">
        <v>26604</v>
      </c>
      <c r="X10746">
        <v>559.8</v>
      </c>
      <c r="Y10746" t="s">
        <v>26651</v>
      </c>
      <c r="Z10746" t="s">
        <v>26670</v>
      </c>
      <c r="AA10746" t="s">
        <v>26683</v>
      </c>
      <c r="AB10746" t="s">
        <v>34118</v>
      </c>
      <c r="AD10746" t="s">
        <v>45057</v>
      </c>
      <c r="AE10746">
        <v>0</v>
      </c>
      <c r="AH10746">
        <v>35</v>
      </c>
      <c r="AI10746">
        <v>2</v>
      </c>
      <c r="AJ10746">
        <v>1</v>
      </c>
      <c r="AK10746">
        <v>95.64</v>
      </c>
      <c r="AN10746" t="s">
        <v>45581</v>
      </c>
      <c r="AO10746">
        <v>20400</v>
      </c>
      <c r="AU10746">
        <v>1</v>
      </c>
      <c r="AV10746" t="s">
        <v>805</v>
      </c>
      <c r="AW10746" t="s">
        <v>46838</v>
      </c>
    </row>
    <row r="10747" spans="1:50">
      <c r="A10747" s="1">
        <f>HYPERLINK("https://lsnyc.legalserver.org/matter/dynamic-profile/view/1900077","19-1900077")</f>
        <v>0</v>
      </c>
      <c r="B10747" t="s">
        <v>105</v>
      </c>
      <c r="C10747" t="s">
        <v>341</v>
      </c>
      <c r="D10747" t="s">
        <v>820</v>
      </c>
      <c r="E10747" t="s">
        <v>814</v>
      </c>
      <c r="F10747" t="s">
        <v>1616</v>
      </c>
      <c r="G10747" t="s">
        <v>5177</v>
      </c>
      <c r="H10747" t="s">
        <v>16863</v>
      </c>
      <c r="J10747" t="s">
        <v>18901</v>
      </c>
      <c r="K10747">
        <v>11433</v>
      </c>
      <c r="L10747" t="s">
        <v>18959</v>
      </c>
      <c r="M10747" t="s">
        <v>18960</v>
      </c>
      <c r="N10747" t="s">
        <v>26156</v>
      </c>
      <c r="O10747" t="s">
        <v>26523</v>
      </c>
      <c r="P10747" t="s">
        <v>26564</v>
      </c>
      <c r="Q10747" t="s">
        <v>26570</v>
      </c>
      <c r="R10747" t="s">
        <v>26583</v>
      </c>
      <c r="S10747" t="s">
        <v>18959</v>
      </c>
      <c r="U10747" t="s">
        <v>26604</v>
      </c>
      <c r="V10747" t="s">
        <v>26611</v>
      </c>
      <c r="X10747">
        <v>1521</v>
      </c>
      <c r="Y10747" t="s">
        <v>26653</v>
      </c>
      <c r="AA10747" t="s">
        <v>26683</v>
      </c>
      <c r="AC10747" t="s">
        <v>19045</v>
      </c>
      <c r="AE10747">
        <v>2</v>
      </c>
      <c r="AF10747" t="s">
        <v>45547</v>
      </c>
      <c r="AG10747" t="s">
        <v>45556</v>
      </c>
      <c r="AH10747">
        <v>0</v>
      </c>
      <c r="AI10747">
        <v>2</v>
      </c>
      <c r="AJ10747">
        <v>0</v>
      </c>
      <c r="AK10747">
        <v>230.02</v>
      </c>
      <c r="AN10747" t="s">
        <v>7439</v>
      </c>
      <c r="AO10747">
        <v>38896</v>
      </c>
      <c r="AU10747">
        <v>1.3</v>
      </c>
      <c r="AV10747" t="s">
        <v>814</v>
      </c>
      <c r="AW10747" t="s">
        <v>105</v>
      </c>
    </row>
    <row r="10748" spans="1:50">
      <c r="A10748" s="1">
        <f>HYPERLINK("https://lsnyc.legalserver.org/matter/dynamic-profile/view/1900090","19-1900090")</f>
        <v>0</v>
      </c>
      <c r="B10748" t="s">
        <v>279</v>
      </c>
      <c r="C10748" t="s">
        <v>341</v>
      </c>
      <c r="D10748" t="s">
        <v>820</v>
      </c>
      <c r="E10748" t="s">
        <v>834</v>
      </c>
      <c r="F10748" t="s">
        <v>4898</v>
      </c>
      <c r="G10748" t="s">
        <v>5761</v>
      </c>
      <c r="H10748" t="s">
        <v>16864</v>
      </c>
      <c r="I10748" t="s">
        <v>17334</v>
      </c>
      <c r="J10748" t="s">
        <v>18894</v>
      </c>
      <c r="K10748">
        <v>11207</v>
      </c>
      <c r="L10748" t="s">
        <v>18959</v>
      </c>
      <c r="M10748" t="s">
        <v>18960</v>
      </c>
      <c r="N10748" t="s">
        <v>18993</v>
      </c>
      <c r="O10748" t="s">
        <v>26524</v>
      </c>
      <c r="P10748" t="s">
        <v>26564</v>
      </c>
      <c r="Q10748" t="s">
        <v>26570</v>
      </c>
      <c r="R10748" t="s">
        <v>26578</v>
      </c>
      <c r="S10748" t="s">
        <v>18959</v>
      </c>
      <c r="U10748" t="s">
        <v>26604</v>
      </c>
      <c r="V10748" t="s">
        <v>26610</v>
      </c>
      <c r="X10748">
        <v>1100</v>
      </c>
      <c r="Y10748" t="s">
        <v>26652</v>
      </c>
      <c r="Z10748" t="s">
        <v>26666</v>
      </c>
      <c r="AA10748" t="s">
        <v>26683</v>
      </c>
      <c r="AB10748" t="s">
        <v>33454</v>
      </c>
      <c r="AC10748" t="s">
        <v>19045</v>
      </c>
      <c r="AD10748" t="s">
        <v>45058</v>
      </c>
      <c r="AE10748">
        <v>3</v>
      </c>
      <c r="AF10748" t="s">
        <v>20460</v>
      </c>
      <c r="AG10748" t="s">
        <v>19330</v>
      </c>
      <c r="AH10748">
        <v>14</v>
      </c>
      <c r="AI10748">
        <v>1</v>
      </c>
      <c r="AJ10748">
        <v>0</v>
      </c>
      <c r="AK10748">
        <v>153.72</v>
      </c>
      <c r="AN10748" t="s">
        <v>7439</v>
      </c>
      <c r="AO10748">
        <v>19200</v>
      </c>
      <c r="AU10748">
        <v>0.5</v>
      </c>
      <c r="AV10748" t="s">
        <v>820</v>
      </c>
      <c r="AW10748" t="s">
        <v>46829</v>
      </c>
      <c r="AX10748" t="s">
        <v>19330</v>
      </c>
    </row>
    <row r="10749" spans="1:50">
      <c r="A10749" s="1">
        <f>HYPERLINK("https://lsnyc.legalserver.org/matter/dynamic-profile/view/1900141","19-1900141")</f>
        <v>0</v>
      </c>
      <c r="B10749" t="s">
        <v>164</v>
      </c>
      <c r="C10749" t="s">
        <v>340</v>
      </c>
      <c r="D10749" t="s">
        <v>820</v>
      </c>
      <c r="F10749" t="s">
        <v>1225</v>
      </c>
      <c r="G10749" t="s">
        <v>7185</v>
      </c>
      <c r="H10749" t="s">
        <v>13274</v>
      </c>
      <c r="I10749" t="s">
        <v>18820</v>
      </c>
      <c r="J10749" t="s">
        <v>18906</v>
      </c>
      <c r="K10749">
        <v>11373</v>
      </c>
      <c r="L10749" t="s">
        <v>18960</v>
      </c>
      <c r="M10749" t="s">
        <v>18960</v>
      </c>
      <c r="R10749" t="s">
        <v>26592</v>
      </c>
      <c r="U10749" t="s">
        <v>26604</v>
      </c>
      <c r="X10749">
        <v>0</v>
      </c>
      <c r="Y10749" t="s">
        <v>26653</v>
      </c>
      <c r="AB10749" t="s">
        <v>34119</v>
      </c>
      <c r="AD10749" t="s">
        <v>45059</v>
      </c>
      <c r="AE10749">
        <v>0</v>
      </c>
      <c r="AH10749">
        <v>0</v>
      </c>
      <c r="AI10749">
        <v>2</v>
      </c>
      <c r="AJ10749">
        <v>0</v>
      </c>
      <c r="AK10749">
        <v>49.67</v>
      </c>
      <c r="AN10749" t="s">
        <v>7439</v>
      </c>
      <c r="AO10749">
        <v>8400</v>
      </c>
      <c r="AU10749">
        <v>3.9</v>
      </c>
      <c r="AV10749" t="s">
        <v>821</v>
      </c>
      <c r="AW10749" t="s">
        <v>122</v>
      </c>
    </row>
    <row r="10750" spans="1:50">
      <c r="A10750" s="1">
        <f>HYPERLINK("https://lsnyc.legalserver.org/matter/dynamic-profile/view/1900081","19-1900081")</f>
        <v>0</v>
      </c>
      <c r="B10750" t="s">
        <v>97</v>
      </c>
      <c r="C10750" t="s">
        <v>340</v>
      </c>
      <c r="D10750" t="s">
        <v>820</v>
      </c>
      <c r="F10750" t="s">
        <v>2201</v>
      </c>
      <c r="G10750" t="s">
        <v>5121</v>
      </c>
      <c r="H10750" t="s">
        <v>11538</v>
      </c>
      <c r="I10750" t="s">
        <v>17757</v>
      </c>
      <c r="J10750" t="s">
        <v>18892</v>
      </c>
      <c r="K10750">
        <v>10467</v>
      </c>
      <c r="L10750" t="s">
        <v>18958</v>
      </c>
      <c r="M10750" t="s">
        <v>18960</v>
      </c>
      <c r="N10750" t="s">
        <v>26157</v>
      </c>
      <c r="O10750" t="s">
        <v>26523</v>
      </c>
      <c r="P10750" t="s">
        <v>26560</v>
      </c>
      <c r="R10750" t="s">
        <v>26579</v>
      </c>
      <c r="S10750" t="s">
        <v>18959</v>
      </c>
      <c r="U10750" t="s">
        <v>26604</v>
      </c>
      <c r="V10750" t="s">
        <v>26610</v>
      </c>
      <c r="X10750">
        <v>927.33</v>
      </c>
      <c r="Y10750" t="s">
        <v>26650</v>
      </c>
      <c r="Z10750" t="s">
        <v>26664</v>
      </c>
      <c r="AB10750" t="s">
        <v>28143</v>
      </c>
      <c r="AC10750" t="s">
        <v>36745</v>
      </c>
      <c r="AD10750" t="s">
        <v>38799</v>
      </c>
      <c r="AE10750">
        <v>53</v>
      </c>
      <c r="AF10750" t="s">
        <v>45541</v>
      </c>
      <c r="AH10750">
        <v>7</v>
      </c>
      <c r="AI10750">
        <v>1</v>
      </c>
      <c r="AJ10750">
        <v>0</v>
      </c>
      <c r="AK10750">
        <v>179.02</v>
      </c>
      <c r="AN10750" t="s">
        <v>7439</v>
      </c>
      <c r="AO10750">
        <v>22360</v>
      </c>
      <c r="AU10750">
        <v>2.2</v>
      </c>
      <c r="AV10750" t="s">
        <v>833</v>
      </c>
      <c r="AW10750" t="s">
        <v>335</v>
      </c>
      <c r="AX10750" t="s">
        <v>46898</v>
      </c>
    </row>
    <row r="10751" spans="1:50">
      <c r="A10751" s="1">
        <f>HYPERLINK("https://lsnyc.legalserver.org/matter/dynamic-profile/view/1900138","19-1900138")</f>
        <v>0</v>
      </c>
      <c r="B10751" t="s">
        <v>108</v>
      </c>
      <c r="C10751" t="s">
        <v>340</v>
      </c>
      <c r="D10751" t="s">
        <v>820</v>
      </c>
      <c r="F10751" t="s">
        <v>1225</v>
      </c>
      <c r="G10751" t="s">
        <v>7185</v>
      </c>
      <c r="H10751" t="s">
        <v>13274</v>
      </c>
      <c r="I10751" t="s">
        <v>18820</v>
      </c>
      <c r="J10751" t="s">
        <v>18906</v>
      </c>
      <c r="K10751">
        <v>11373</v>
      </c>
      <c r="L10751" t="s">
        <v>18960</v>
      </c>
      <c r="M10751" t="s">
        <v>18960</v>
      </c>
      <c r="R10751" t="s">
        <v>26584</v>
      </c>
      <c r="U10751" t="s">
        <v>26604</v>
      </c>
      <c r="X10751">
        <v>0</v>
      </c>
      <c r="Y10751" t="s">
        <v>26653</v>
      </c>
      <c r="AB10751" t="s">
        <v>34119</v>
      </c>
      <c r="AD10751" t="s">
        <v>45059</v>
      </c>
      <c r="AE10751">
        <v>0</v>
      </c>
      <c r="AH10751">
        <v>0</v>
      </c>
      <c r="AI10751">
        <v>2</v>
      </c>
      <c r="AJ10751">
        <v>0</v>
      </c>
      <c r="AK10751">
        <v>49.67</v>
      </c>
      <c r="AN10751" t="s">
        <v>7439</v>
      </c>
      <c r="AO10751">
        <v>8400</v>
      </c>
      <c r="AU10751">
        <v>0.9</v>
      </c>
      <c r="AV10751" t="s">
        <v>814</v>
      </c>
      <c r="AW10751" t="s">
        <v>122</v>
      </c>
    </row>
    <row r="10752" spans="1:50">
      <c r="A10752" s="1">
        <f>HYPERLINK("https://lsnyc.legalserver.org/matter/dynamic-profile/view/1900130","19-1900130")</f>
        <v>0</v>
      </c>
      <c r="B10752" t="s">
        <v>55</v>
      </c>
      <c r="C10752" t="s">
        <v>340</v>
      </c>
      <c r="D10752" t="s">
        <v>820</v>
      </c>
      <c r="F10752" t="s">
        <v>1292</v>
      </c>
      <c r="G10752" t="s">
        <v>8167</v>
      </c>
      <c r="H10752" t="s">
        <v>12199</v>
      </c>
      <c r="I10752" t="s">
        <v>17457</v>
      </c>
      <c r="J10752" t="s">
        <v>18892</v>
      </c>
      <c r="K10752">
        <v>10460</v>
      </c>
      <c r="L10752" t="s">
        <v>18958</v>
      </c>
      <c r="M10752" t="s">
        <v>18960</v>
      </c>
      <c r="N10752" t="s">
        <v>19045</v>
      </c>
      <c r="O10752" t="s">
        <v>18997</v>
      </c>
      <c r="P10752" t="s">
        <v>26562</v>
      </c>
      <c r="R10752" t="s">
        <v>26578</v>
      </c>
      <c r="S10752" t="s">
        <v>18959</v>
      </c>
      <c r="U10752" t="s">
        <v>26604</v>
      </c>
      <c r="X10752">
        <v>1694</v>
      </c>
      <c r="Y10752" t="s">
        <v>26650</v>
      </c>
      <c r="Z10752" t="s">
        <v>26663</v>
      </c>
      <c r="AB10752" t="s">
        <v>28766</v>
      </c>
      <c r="AD10752" t="s">
        <v>42272</v>
      </c>
      <c r="AE10752">
        <v>168</v>
      </c>
      <c r="AF10752" t="s">
        <v>45541</v>
      </c>
      <c r="AG10752" t="s">
        <v>45556</v>
      </c>
      <c r="AH10752">
        <v>35</v>
      </c>
      <c r="AI10752">
        <v>1</v>
      </c>
      <c r="AJ10752">
        <v>0</v>
      </c>
      <c r="AK10752">
        <v>73.31</v>
      </c>
      <c r="AN10752" t="s">
        <v>7439</v>
      </c>
      <c r="AO10752">
        <v>9156</v>
      </c>
      <c r="AU10752">
        <v>0</v>
      </c>
      <c r="AW10752" t="s">
        <v>46832</v>
      </c>
      <c r="AX10752" t="s">
        <v>46897</v>
      </c>
    </row>
    <row r="10753" spans="1:50">
      <c r="A10753" s="1">
        <f>HYPERLINK("https://lsnyc.legalserver.org/matter/dynamic-profile/view/1900129","19-1900129")</f>
        <v>0</v>
      </c>
      <c r="B10753" t="s">
        <v>55</v>
      </c>
      <c r="C10753" t="s">
        <v>340</v>
      </c>
      <c r="D10753" t="s">
        <v>820</v>
      </c>
      <c r="F10753" t="s">
        <v>928</v>
      </c>
      <c r="G10753" t="s">
        <v>6634</v>
      </c>
      <c r="H10753" t="s">
        <v>12199</v>
      </c>
      <c r="I10753" t="s">
        <v>17366</v>
      </c>
      <c r="J10753" t="s">
        <v>18892</v>
      </c>
      <c r="K10753">
        <v>10460</v>
      </c>
      <c r="L10753" t="s">
        <v>18958</v>
      </c>
      <c r="M10753" t="s">
        <v>18960</v>
      </c>
      <c r="O10753" t="s">
        <v>18997</v>
      </c>
      <c r="P10753" t="s">
        <v>26562</v>
      </c>
      <c r="R10753" t="s">
        <v>26578</v>
      </c>
      <c r="S10753" t="s">
        <v>18958</v>
      </c>
      <c r="U10753" t="s">
        <v>26604</v>
      </c>
      <c r="X10753">
        <v>1200</v>
      </c>
      <c r="Y10753" t="s">
        <v>26650</v>
      </c>
      <c r="Z10753" t="s">
        <v>26663</v>
      </c>
      <c r="AB10753" t="s">
        <v>31969</v>
      </c>
      <c r="AD10753" t="s">
        <v>42273</v>
      </c>
      <c r="AE10753">
        <v>168</v>
      </c>
      <c r="AF10753" t="s">
        <v>45541</v>
      </c>
      <c r="AG10753" t="s">
        <v>45556</v>
      </c>
      <c r="AH10753">
        <v>4</v>
      </c>
      <c r="AI10753">
        <v>1</v>
      </c>
      <c r="AJ10753">
        <v>0</v>
      </c>
      <c r="AK10753">
        <v>81.67</v>
      </c>
      <c r="AN10753" t="s">
        <v>7439</v>
      </c>
      <c r="AO10753">
        <v>10200</v>
      </c>
      <c r="AU10753">
        <v>0</v>
      </c>
      <c r="AW10753" t="s">
        <v>46832</v>
      </c>
      <c r="AX10753" t="s">
        <v>46897</v>
      </c>
    </row>
    <row r="10754" spans="1:50">
      <c r="A10754" s="1">
        <f>HYPERLINK("https://lsnyc.legalserver.org/matter/dynamic-profile/view/1900092","19-1900092")</f>
        <v>0</v>
      </c>
      <c r="B10754" t="s">
        <v>252</v>
      </c>
      <c r="C10754" t="s">
        <v>340</v>
      </c>
      <c r="D10754" t="s">
        <v>820</v>
      </c>
      <c r="F10754" t="s">
        <v>1072</v>
      </c>
      <c r="G10754" t="s">
        <v>7172</v>
      </c>
      <c r="H10754" t="s">
        <v>16865</v>
      </c>
      <c r="I10754" t="s">
        <v>17283</v>
      </c>
      <c r="J10754" t="s">
        <v>18894</v>
      </c>
      <c r="K10754">
        <v>11214</v>
      </c>
      <c r="L10754" t="s">
        <v>18960</v>
      </c>
      <c r="M10754" t="s">
        <v>18960</v>
      </c>
      <c r="O10754" t="s">
        <v>18997</v>
      </c>
      <c r="R10754" t="s">
        <v>26591</v>
      </c>
      <c r="U10754" t="s">
        <v>26604</v>
      </c>
      <c r="X10754">
        <v>996</v>
      </c>
      <c r="Y10754" t="s">
        <v>26652</v>
      </c>
      <c r="AB10754" t="s">
        <v>29980</v>
      </c>
      <c r="AD10754" t="s">
        <v>45060</v>
      </c>
      <c r="AE10754">
        <v>0</v>
      </c>
      <c r="AF10754" t="s">
        <v>20460</v>
      </c>
      <c r="AG10754" t="s">
        <v>45559</v>
      </c>
      <c r="AH10754">
        <v>12</v>
      </c>
      <c r="AI10754">
        <v>1</v>
      </c>
      <c r="AJ10754">
        <v>0</v>
      </c>
      <c r="AK10754">
        <v>74.08</v>
      </c>
      <c r="AN10754" t="s">
        <v>7439</v>
      </c>
      <c r="AO10754">
        <v>9252</v>
      </c>
      <c r="AU10754">
        <v>1</v>
      </c>
      <c r="AV10754" t="s">
        <v>820</v>
      </c>
      <c r="AW10754" t="s">
        <v>46859</v>
      </c>
    </row>
    <row r="10755" spans="1:50">
      <c r="A10755" s="1">
        <f>HYPERLINK("https://lsnyc.legalserver.org/matter/dynamic-profile/view/1900158","19-1900158")</f>
        <v>0</v>
      </c>
      <c r="B10755" t="s">
        <v>199</v>
      </c>
      <c r="C10755" t="s">
        <v>340</v>
      </c>
      <c r="D10755" t="s">
        <v>820</v>
      </c>
      <c r="F10755" t="s">
        <v>1367</v>
      </c>
      <c r="G10755" t="s">
        <v>6564</v>
      </c>
      <c r="H10755" t="s">
        <v>11788</v>
      </c>
      <c r="I10755" t="s">
        <v>17864</v>
      </c>
      <c r="J10755" t="s">
        <v>18937</v>
      </c>
      <c r="K10755">
        <v>11238</v>
      </c>
      <c r="L10755" t="s">
        <v>18960</v>
      </c>
      <c r="M10755" t="s">
        <v>18960</v>
      </c>
      <c r="N10755" t="s">
        <v>26158</v>
      </c>
      <c r="O10755" t="s">
        <v>26534</v>
      </c>
      <c r="P10755" t="s">
        <v>26563</v>
      </c>
      <c r="R10755" t="s">
        <v>26578</v>
      </c>
      <c r="S10755" t="s">
        <v>18958</v>
      </c>
      <c r="U10755" t="s">
        <v>26604</v>
      </c>
      <c r="V10755" t="s">
        <v>26610</v>
      </c>
      <c r="X10755">
        <v>0</v>
      </c>
      <c r="Y10755" t="s">
        <v>26652</v>
      </c>
      <c r="Z10755" t="s">
        <v>26659</v>
      </c>
      <c r="AB10755" t="s">
        <v>29044</v>
      </c>
      <c r="AD10755" t="s">
        <v>39098</v>
      </c>
      <c r="AE10755">
        <v>29</v>
      </c>
      <c r="AF10755" t="s">
        <v>45541</v>
      </c>
      <c r="AH10755">
        <v>0</v>
      </c>
      <c r="AI10755">
        <v>1</v>
      </c>
      <c r="AJ10755">
        <v>0</v>
      </c>
      <c r="AK10755">
        <v>0</v>
      </c>
      <c r="AN10755" t="s">
        <v>7439</v>
      </c>
      <c r="AO10755">
        <v>0</v>
      </c>
      <c r="AU10755">
        <v>4</v>
      </c>
      <c r="AV10755" t="s">
        <v>773</v>
      </c>
      <c r="AW10755" t="s">
        <v>199</v>
      </c>
    </row>
    <row r="10756" spans="1:50">
      <c r="A10756" s="1">
        <f>HYPERLINK("https://lsnyc.legalserver.org/matter/dynamic-profile/view/1900136","19-1900136")</f>
        <v>0</v>
      </c>
      <c r="B10756" t="s">
        <v>269</v>
      </c>
      <c r="C10756" t="s">
        <v>340</v>
      </c>
      <c r="D10756" t="s">
        <v>820</v>
      </c>
      <c r="F10756" t="s">
        <v>2111</v>
      </c>
      <c r="G10756" t="s">
        <v>5635</v>
      </c>
      <c r="H10756" t="s">
        <v>16866</v>
      </c>
      <c r="I10756" t="s">
        <v>17326</v>
      </c>
      <c r="J10756" t="s">
        <v>18892</v>
      </c>
      <c r="K10756">
        <v>10453</v>
      </c>
      <c r="L10756" t="s">
        <v>18959</v>
      </c>
      <c r="M10756" t="s">
        <v>18960</v>
      </c>
      <c r="N10756" t="s">
        <v>26159</v>
      </c>
      <c r="P10756" t="s">
        <v>26564</v>
      </c>
      <c r="R10756" t="s">
        <v>26577</v>
      </c>
      <c r="S10756" t="s">
        <v>18959</v>
      </c>
      <c r="U10756" t="s">
        <v>26604</v>
      </c>
      <c r="X10756">
        <v>0</v>
      </c>
      <c r="Y10756" t="s">
        <v>26650</v>
      </c>
      <c r="AB10756" t="s">
        <v>32131</v>
      </c>
      <c r="AD10756" t="s">
        <v>45061</v>
      </c>
      <c r="AE10756">
        <v>0</v>
      </c>
      <c r="AH10756">
        <v>0</v>
      </c>
      <c r="AI10756">
        <v>2</v>
      </c>
      <c r="AJ10756">
        <v>1</v>
      </c>
      <c r="AK10756">
        <v>150.02</v>
      </c>
      <c r="AN10756" t="s">
        <v>7439</v>
      </c>
      <c r="AO10756">
        <v>32000</v>
      </c>
      <c r="AU10756">
        <v>0.3</v>
      </c>
      <c r="AV10756" t="s">
        <v>836</v>
      </c>
      <c r="AW10756" t="s">
        <v>335</v>
      </c>
      <c r="AX10756" t="s">
        <v>19330</v>
      </c>
    </row>
    <row r="10757" spans="1:50">
      <c r="A10757" s="1">
        <f>HYPERLINK("https://lsnyc.legalserver.org/matter/dynamic-profile/view/1900069","19-1900069")</f>
        <v>0</v>
      </c>
      <c r="B10757" t="s">
        <v>91</v>
      </c>
      <c r="C10757" t="s">
        <v>340</v>
      </c>
      <c r="D10757" t="s">
        <v>820</v>
      </c>
      <c r="F10757" t="s">
        <v>3117</v>
      </c>
      <c r="G10757" t="s">
        <v>9190</v>
      </c>
      <c r="H10757" t="s">
        <v>16355</v>
      </c>
      <c r="I10757" t="s">
        <v>17330</v>
      </c>
      <c r="J10757" t="s">
        <v>18899</v>
      </c>
      <c r="K10757">
        <v>11385</v>
      </c>
      <c r="L10757" t="s">
        <v>18960</v>
      </c>
      <c r="M10757" t="s">
        <v>18960</v>
      </c>
      <c r="O10757" t="s">
        <v>26526</v>
      </c>
      <c r="P10757" t="s">
        <v>26560</v>
      </c>
      <c r="R10757" t="s">
        <v>26578</v>
      </c>
      <c r="S10757" t="s">
        <v>18959</v>
      </c>
      <c r="U10757" t="s">
        <v>26604</v>
      </c>
      <c r="V10757" t="s">
        <v>26610</v>
      </c>
      <c r="X10757">
        <v>204</v>
      </c>
      <c r="Y10757" t="s">
        <v>26653</v>
      </c>
      <c r="Z10757" t="s">
        <v>26659</v>
      </c>
      <c r="AB10757" t="s">
        <v>33664</v>
      </c>
      <c r="AD10757" t="s">
        <v>44472</v>
      </c>
      <c r="AE10757">
        <v>0</v>
      </c>
      <c r="AF10757" t="s">
        <v>45548</v>
      </c>
      <c r="AH10757">
        <v>52</v>
      </c>
      <c r="AI10757">
        <v>2</v>
      </c>
      <c r="AJ10757">
        <v>1</v>
      </c>
      <c r="AK10757">
        <v>0</v>
      </c>
      <c r="AN10757" t="s">
        <v>7439</v>
      </c>
      <c r="AO10757">
        <v>0</v>
      </c>
      <c r="AU10757">
        <v>11.57</v>
      </c>
      <c r="AV10757" t="s">
        <v>834</v>
      </c>
      <c r="AW10757" t="s">
        <v>91</v>
      </c>
    </row>
    <row r="10758" spans="1:50">
      <c r="A10758" s="1">
        <f>HYPERLINK("https://lsnyc.legalserver.org/matter/dynamic-profile/view/1900094","19-1900094")</f>
        <v>0</v>
      </c>
      <c r="B10758" t="s">
        <v>69</v>
      </c>
      <c r="C10758" t="s">
        <v>340</v>
      </c>
      <c r="D10758" t="s">
        <v>820</v>
      </c>
      <c r="F10758" t="s">
        <v>3739</v>
      </c>
      <c r="G10758" t="s">
        <v>9439</v>
      </c>
      <c r="H10758" t="s">
        <v>16867</v>
      </c>
      <c r="I10758">
        <v>1</v>
      </c>
      <c r="J10758" t="s">
        <v>18892</v>
      </c>
      <c r="K10758">
        <v>10457</v>
      </c>
      <c r="L10758" t="s">
        <v>18958</v>
      </c>
      <c r="M10758" t="s">
        <v>18960</v>
      </c>
      <c r="N10758" t="s">
        <v>26160</v>
      </c>
      <c r="O10758" t="s">
        <v>26524</v>
      </c>
      <c r="R10758" t="s">
        <v>26579</v>
      </c>
      <c r="U10758" t="s">
        <v>26604</v>
      </c>
      <c r="X10758">
        <v>2197</v>
      </c>
      <c r="Y10758" t="s">
        <v>26650</v>
      </c>
      <c r="AB10758" t="s">
        <v>34120</v>
      </c>
      <c r="AC10758" t="s">
        <v>36746</v>
      </c>
      <c r="AD10758" t="s">
        <v>45062</v>
      </c>
      <c r="AE10758">
        <v>0</v>
      </c>
      <c r="AH10758">
        <v>1</v>
      </c>
      <c r="AI10758">
        <v>2</v>
      </c>
      <c r="AJ10758">
        <v>5</v>
      </c>
      <c r="AK10758">
        <v>54.52</v>
      </c>
      <c r="AN10758" t="s">
        <v>7439</v>
      </c>
      <c r="AO10758">
        <v>21268</v>
      </c>
      <c r="AU10758">
        <v>1</v>
      </c>
      <c r="AV10758" t="s">
        <v>809</v>
      </c>
      <c r="AW10758" t="s">
        <v>335</v>
      </c>
      <c r="AX10758" t="s">
        <v>46898</v>
      </c>
    </row>
    <row r="10759" spans="1:50">
      <c r="A10759" s="1">
        <f>HYPERLINK("https://lsnyc.legalserver.org/matter/dynamic-profile/view/1900083","19-1900083")</f>
        <v>0</v>
      </c>
      <c r="B10759" t="s">
        <v>177</v>
      </c>
      <c r="C10759" t="s">
        <v>340</v>
      </c>
      <c r="D10759" t="s">
        <v>820</v>
      </c>
      <c r="F10759" t="s">
        <v>4136</v>
      </c>
      <c r="G10759" t="s">
        <v>3500</v>
      </c>
      <c r="H10759" t="s">
        <v>16868</v>
      </c>
      <c r="I10759" t="s">
        <v>17566</v>
      </c>
      <c r="J10759" t="s">
        <v>18892</v>
      </c>
      <c r="K10759">
        <v>10452</v>
      </c>
      <c r="L10759" t="s">
        <v>18960</v>
      </c>
      <c r="M10759" t="s">
        <v>18960</v>
      </c>
      <c r="N10759" t="s">
        <v>26161</v>
      </c>
      <c r="O10759" t="s">
        <v>26523</v>
      </c>
      <c r="P10759" t="s">
        <v>26560</v>
      </c>
      <c r="R10759" t="s">
        <v>26578</v>
      </c>
      <c r="S10759" t="s">
        <v>18959</v>
      </c>
      <c r="U10759" t="s">
        <v>26604</v>
      </c>
      <c r="X10759">
        <v>899.79</v>
      </c>
      <c r="Y10759" t="s">
        <v>26650</v>
      </c>
      <c r="Z10759" t="s">
        <v>26659</v>
      </c>
      <c r="AB10759" t="s">
        <v>34121</v>
      </c>
      <c r="AD10759" t="s">
        <v>45063</v>
      </c>
      <c r="AE10759">
        <v>50</v>
      </c>
      <c r="AF10759" t="s">
        <v>45541</v>
      </c>
      <c r="AG10759" t="s">
        <v>19330</v>
      </c>
      <c r="AH10759">
        <v>43</v>
      </c>
      <c r="AI10759">
        <v>2</v>
      </c>
      <c r="AJ10759">
        <v>0</v>
      </c>
      <c r="AK10759">
        <v>277.73</v>
      </c>
      <c r="AN10759" t="s">
        <v>7439</v>
      </c>
      <c r="AO10759">
        <v>46964</v>
      </c>
      <c r="AU10759">
        <v>1</v>
      </c>
      <c r="AV10759" t="s">
        <v>820</v>
      </c>
      <c r="AW10759" t="s">
        <v>46832</v>
      </c>
    </row>
    <row r="10760" spans="1:50">
      <c r="A10760" s="1">
        <f>HYPERLINK("https://lsnyc.legalserver.org/matter/dynamic-profile/view/1900179","19-1900179")</f>
        <v>0</v>
      </c>
      <c r="B10760" t="s">
        <v>144</v>
      </c>
      <c r="C10760" t="s">
        <v>341</v>
      </c>
      <c r="D10760" t="s">
        <v>823</v>
      </c>
      <c r="E10760" t="s">
        <v>831</v>
      </c>
      <c r="F10760" t="s">
        <v>1492</v>
      </c>
      <c r="G10760" t="s">
        <v>9440</v>
      </c>
      <c r="H10760" t="s">
        <v>16869</v>
      </c>
      <c r="I10760" t="s">
        <v>17343</v>
      </c>
      <c r="J10760" t="s">
        <v>18893</v>
      </c>
      <c r="K10760">
        <v>10002</v>
      </c>
      <c r="L10760" t="s">
        <v>18960</v>
      </c>
      <c r="M10760" t="s">
        <v>18960</v>
      </c>
      <c r="O10760" t="s">
        <v>18997</v>
      </c>
      <c r="Q10760" t="s">
        <v>26570</v>
      </c>
      <c r="R10760" t="s">
        <v>26582</v>
      </c>
      <c r="U10760" t="s">
        <v>26605</v>
      </c>
      <c r="X10760">
        <v>366</v>
      </c>
      <c r="Y10760" t="s">
        <v>26651</v>
      </c>
      <c r="AA10760" t="s">
        <v>26683</v>
      </c>
      <c r="AB10760" t="s">
        <v>34122</v>
      </c>
      <c r="AE10760">
        <v>0</v>
      </c>
      <c r="AH10760">
        <v>43</v>
      </c>
      <c r="AI10760">
        <v>2</v>
      </c>
      <c r="AJ10760">
        <v>0</v>
      </c>
      <c r="AK10760">
        <v>79.41</v>
      </c>
      <c r="AN10760" t="s">
        <v>45595</v>
      </c>
      <c r="AO10760">
        <v>13428</v>
      </c>
      <c r="AU10760">
        <v>1</v>
      </c>
      <c r="AV10760" t="s">
        <v>805</v>
      </c>
      <c r="AW10760" t="s">
        <v>46838</v>
      </c>
    </row>
    <row r="10761" spans="1:50">
      <c r="A10761" s="1">
        <f>HYPERLINK("https://lsnyc.legalserver.org/matter/dynamic-profile/view/1900172","19-1900172")</f>
        <v>0</v>
      </c>
      <c r="B10761" t="s">
        <v>169</v>
      </c>
      <c r="C10761" t="s">
        <v>341</v>
      </c>
      <c r="D10761" t="s">
        <v>823</v>
      </c>
      <c r="E10761" t="s">
        <v>832</v>
      </c>
      <c r="F10761" t="s">
        <v>3146</v>
      </c>
      <c r="G10761" t="s">
        <v>1000</v>
      </c>
      <c r="H10761" t="s">
        <v>10402</v>
      </c>
      <c r="I10761" t="s">
        <v>17289</v>
      </c>
      <c r="J10761" t="s">
        <v>18892</v>
      </c>
      <c r="K10761">
        <v>10473</v>
      </c>
      <c r="L10761" t="s">
        <v>18958</v>
      </c>
      <c r="M10761" t="s">
        <v>18960</v>
      </c>
      <c r="N10761" t="s">
        <v>26162</v>
      </c>
      <c r="O10761" t="s">
        <v>26523</v>
      </c>
      <c r="P10761" t="s">
        <v>26560</v>
      </c>
      <c r="Q10761" t="s">
        <v>26568</v>
      </c>
      <c r="R10761" t="s">
        <v>26579</v>
      </c>
      <c r="S10761" t="s">
        <v>18959</v>
      </c>
      <c r="U10761" t="s">
        <v>26604</v>
      </c>
      <c r="V10761" t="s">
        <v>26611</v>
      </c>
      <c r="X10761">
        <v>958</v>
      </c>
      <c r="Y10761" t="s">
        <v>26650</v>
      </c>
      <c r="Z10761" t="s">
        <v>26659</v>
      </c>
      <c r="AA10761" t="s">
        <v>26678</v>
      </c>
      <c r="AB10761" t="s">
        <v>34123</v>
      </c>
      <c r="AC10761" t="s">
        <v>36747</v>
      </c>
      <c r="AD10761" t="s">
        <v>45064</v>
      </c>
      <c r="AE10761">
        <v>244</v>
      </c>
      <c r="AF10761" t="s">
        <v>45541</v>
      </c>
      <c r="AG10761" t="s">
        <v>45559</v>
      </c>
      <c r="AH10761">
        <v>46</v>
      </c>
      <c r="AI10761">
        <v>1</v>
      </c>
      <c r="AJ10761">
        <v>0</v>
      </c>
      <c r="AK10761">
        <v>84.08</v>
      </c>
      <c r="AN10761" t="s">
        <v>7439</v>
      </c>
      <c r="AO10761">
        <v>10501</v>
      </c>
      <c r="AR10761" t="s">
        <v>46380</v>
      </c>
      <c r="AS10761" t="s">
        <v>46499</v>
      </c>
      <c r="AT10761" t="s">
        <v>46764</v>
      </c>
      <c r="AU10761">
        <v>5.2</v>
      </c>
      <c r="AV10761" t="s">
        <v>828</v>
      </c>
      <c r="AW10761" t="s">
        <v>46847</v>
      </c>
      <c r="AX10761" t="s">
        <v>46897</v>
      </c>
    </row>
    <row r="10762" spans="1:50">
      <c r="A10762" s="1">
        <f>HYPERLINK("https://lsnyc.legalserver.org/matter/dynamic-profile/view/1900200","19-1900200")</f>
        <v>0</v>
      </c>
      <c r="B10762" t="s">
        <v>179</v>
      </c>
      <c r="C10762" t="s">
        <v>341</v>
      </c>
      <c r="D10762" t="s">
        <v>823</v>
      </c>
      <c r="E10762" t="s">
        <v>830</v>
      </c>
      <c r="F10762" t="s">
        <v>4899</v>
      </c>
      <c r="G10762" t="s">
        <v>9441</v>
      </c>
      <c r="H10762" t="s">
        <v>16870</v>
      </c>
      <c r="I10762" t="s">
        <v>17711</v>
      </c>
      <c r="J10762" t="s">
        <v>18894</v>
      </c>
      <c r="K10762">
        <v>11203</v>
      </c>
      <c r="L10762" t="s">
        <v>18960</v>
      </c>
      <c r="M10762" t="s">
        <v>18960</v>
      </c>
      <c r="N10762" t="s">
        <v>26163</v>
      </c>
      <c r="O10762" t="s">
        <v>26524</v>
      </c>
      <c r="P10762" t="s">
        <v>26564</v>
      </c>
      <c r="Q10762" t="s">
        <v>26570</v>
      </c>
      <c r="R10762" t="s">
        <v>26591</v>
      </c>
      <c r="U10762" t="s">
        <v>26604</v>
      </c>
      <c r="X10762">
        <v>1850</v>
      </c>
      <c r="Y10762" t="s">
        <v>26652</v>
      </c>
      <c r="Z10762" t="s">
        <v>26530</v>
      </c>
      <c r="AA10762" t="s">
        <v>26683</v>
      </c>
      <c r="AB10762" t="s">
        <v>34124</v>
      </c>
      <c r="AD10762" t="s">
        <v>45065</v>
      </c>
      <c r="AE10762">
        <v>3</v>
      </c>
      <c r="AH10762">
        <v>4</v>
      </c>
      <c r="AI10762">
        <v>1</v>
      </c>
      <c r="AJ10762">
        <v>3</v>
      </c>
      <c r="AK10762">
        <v>18.64</v>
      </c>
      <c r="AN10762" t="s">
        <v>7439</v>
      </c>
      <c r="AO10762">
        <v>4800</v>
      </c>
      <c r="AU10762">
        <v>2.9</v>
      </c>
      <c r="AV10762" t="s">
        <v>830</v>
      </c>
      <c r="AW10762" t="s">
        <v>46850</v>
      </c>
    </row>
    <row r="10763" spans="1:50">
      <c r="A10763" s="1">
        <f>HYPERLINK("https://lsnyc.legalserver.org/matter/dynamic-profile/view/1900236","19-1900236")</f>
        <v>0</v>
      </c>
      <c r="B10763" t="s">
        <v>179</v>
      </c>
      <c r="C10763" t="s">
        <v>341</v>
      </c>
      <c r="D10763" t="s">
        <v>823</v>
      </c>
      <c r="E10763" t="s">
        <v>830</v>
      </c>
      <c r="F10763" t="s">
        <v>995</v>
      </c>
      <c r="G10763" t="s">
        <v>9442</v>
      </c>
      <c r="H10763" t="s">
        <v>16871</v>
      </c>
      <c r="I10763" t="s">
        <v>17519</v>
      </c>
      <c r="J10763" t="s">
        <v>18894</v>
      </c>
      <c r="K10763">
        <v>11235</v>
      </c>
      <c r="L10763" t="s">
        <v>18960</v>
      </c>
      <c r="M10763" t="s">
        <v>18960</v>
      </c>
      <c r="O10763" t="s">
        <v>18997</v>
      </c>
      <c r="P10763" t="s">
        <v>26564</v>
      </c>
      <c r="Q10763" t="s">
        <v>26570</v>
      </c>
      <c r="R10763" t="s">
        <v>26591</v>
      </c>
      <c r="S10763" t="s">
        <v>18959</v>
      </c>
      <c r="U10763" t="s">
        <v>26604</v>
      </c>
      <c r="X10763">
        <v>800</v>
      </c>
      <c r="Y10763" t="s">
        <v>26652</v>
      </c>
      <c r="Z10763" t="s">
        <v>26657</v>
      </c>
      <c r="AA10763" t="s">
        <v>26683</v>
      </c>
      <c r="AB10763" t="s">
        <v>34125</v>
      </c>
      <c r="AD10763" t="s">
        <v>45066</v>
      </c>
      <c r="AE10763">
        <v>0</v>
      </c>
      <c r="AF10763" t="s">
        <v>20460</v>
      </c>
      <c r="AG10763" t="s">
        <v>45560</v>
      </c>
      <c r="AH10763">
        <v>1</v>
      </c>
      <c r="AI10763">
        <v>1</v>
      </c>
      <c r="AJ10763">
        <v>0</v>
      </c>
      <c r="AK10763">
        <v>148.25</v>
      </c>
      <c r="AN10763" t="s">
        <v>7439</v>
      </c>
      <c r="AO10763">
        <v>18516</v>
      </c>
      <c r="AU10763">
        <v>2.56</v>
      </c>
      <c r="AV10763" t="s">
        <v>830</v>
      </c>
      <c r="AW10763" t="s">
        <v>46860</v>
      </c>
    </row>
    <row r="10764" spans="1:50">
      <c r="A10764" s="1">
        <f>HYPERLINK("https://lsnyc.legalserver.org/matter/dynamic-profile/view/1900246","19-1900246")</f>
        <v>0</v>
      </c>
      <c r="B10764" t="s">
        <v>75</v>
      </c>
      <c r="C10764" t="s">
        <v>341</v>
      </c>
      <c r="D10764" t="s">
        <v>823</v>
      </c>
      <c r="E10764" t="s">
        <v>814</v>
      </c>
      <c r="F10764" t="s">
        <v>1486</v>
      </c>
      <c r="G10764" t="s">
        <v>5147</v>
      </c>
      <c r="H10764" t="s">
        <v>16872</v>
      </c>
      <c r="I10764">
        <v>203</v>
      </c>
      <c r="J10764" t="s">
        <v>18892</v>
      </c>
      <c r="K10764">
        <v>10459</v>
      </c>
      <c r="L10764" t="s">
        <v>18960</v>
      </c>
      <c r="M10764" t="s">
        <v>18960</v>
      </c>
      <c r="Q10764" t="s">
        <v>26570</v>
      </c>
      <c r="R10764" t="s">
        <v>26591</v>
      </c>
      <c r="U10764" t="s">
        <v>26604</v>
      </c>
      <c r="X10764">
        <v>1985</v>
      </c>
      <c r="Y10764" t="s">
        <v>26650</v>
      </c>
      <c r="Z10764" t="s">
        <v>26659</v>
      </c>
      <c r="AA10764" t="s">
        <v>26683</v>
      </c>
      <c r="AB10764" t="s">
        <v>34126</v>
      </c>
      <c r="AD10764" t="s">
        <v>45067</v>
      </c>
      <c r="AE10764">
        <v>0</v>
      </c>
      <c r="AF10764" t="s">
        <v>45541</v>
      </c>
      <c r="AG10764" t="s">
        <v>45556</v>
      </c>
      <c r="AH10764">
        <v>5</v>
      </c>
      <c r="AI10764">
        <v>1</v>
      </c>
      <c r="AJ10764">
        <v>4</v>
      </c>
      <c r="AK10764">
        <v>44.55</v>
      </c>
      <c r="AN10764" t="s">
        <v>7439</v>
      </c>
      <c r="AO10764">
        <v>13440</v>
      </c>
      <c r="AU10764">
        <v>1.2</v>
      </c>
      <c r="AV10764" t="s">
        <v>772</v>
      </c>
      <c r="AW10764" t="s">
        <v>46858</v>
      </c>
    </row>
    <row r="10765" spans="1:50">
      <c r="A10765" s="1">
        <f>HYPERLINK("https://lsnyc.legalserver.org/matter/dynamic-profile/view/1900192","19-1900192")</f>
        <v>0</v>
      </c>
      <c r="B10765" t="s">
        <v>249</v>
      </c>
      <c r="C10765" t="s">
        <v>341</v>
      </c>
      <c r="D10765" t="s">
        <v>823</v>
      </c>
      <c r="E10765" t="s">
        <v>833</v>
      </c>
      <c r="F10765" t="s">
        <v>2822</v>
      </c>
      <c r="G10765" t="s">
        <v>3718</v>
      </c>
      <c r="H10765" t="s">
        <v>16873</v>
      </c>
      <c r="I10765" t="s">
        <v>17274</v>
      </c>
      <c r="J10765" t="s">
        <v>18894</v>
      </c>
      <c r="K10765">
        <v>11212</v>
      </c>
      <c r="L10765" t="s">
        <v>18959</v>
      </c>
      <c r="M10765" t="s">
        <v>18960</v>
      </c>
      <c r="N10765" t="s">
        <v>18993</v>
      </c>
      <c r="O10765" t="s">
        <v>18997</v>
      </c>
      <c r="P10765" t="s">
        <v>26564</v>
      </c>
      <c r="Q10765" t="s">
        <v>26570</v>
      </c>
      <c r="R10765" t="s">
        <v>26591</v>
      </c>
      <c r="S10765" t="s">
        <v>18959</v>
      </c>
      <c r="U10765" t="s">
        <v>26604</v>
      </c>
      <c r="V10765" t="s">
        <v>26610</v>
      </c>
      <c r="X10765">
        <v>1800</v>
      </c>
      <c r="Y10765" t="s">
        <v>26652</v>
      </c>
      <c r="AA10765" t="s">
        <v>26683</v>
      </c>
      <c r="AB10765" t="s">
        <v>34127</v>
      </c>
      <c r="AC10765" t="s">
        <v>36590</v>
      </c>
      <c r="AD10765" t="s">
        <v>45068</v>
      </c>
      <c r="AE10765">
        <v>4</v>
      </c>
      <c r="AF10765" t="s">
        <v>45547</v>
      </c>
      <c r="AG10765" t="s">
        <v>19330</v>
      </c>
      <c r="AH10765">
        <v>1</v>
      </c>
      <c r="AI10765">
        <v>3</v>
      </c>
      <c r="AJ10765">
        <v>0</v>
      </c>
      <c r="AK10765">
        <v>112.52</v>
      </c>
      <c r="AN10765" t="s">
        <v>7439</v>
      </c>
      <c r="AO10765">
        <v>24000</v>
      </c>
      <c r="AU10765">
        <v>3.25</v>
      </c>
      <c r="AV10765" t="s">
        <v>833</v>
      </c>
      <c r="AW10765" t="s">
        <v>46887</v>
      </c>
      <c r="AX10765" t="s">
        <v>19330</v>
      </c>
    </row>
    <row r="10766" spans="1:50">
      <c r="A10766" s="1">
        <f>HYPERLINK("https://lsnyc.legalserver.org/matter/dynamic-profile/view/1900259","19-1900259")</f>
        <v>0</v>
      </c>
      <c r="B10766" t="s">
        <v>198</v>
      </c>
      <c r="C10766" t="s">
        <v>341</v>
      </c>
      <c r="D10766" t="s">
        <v>823</v>
      </c>
      <c r="E10766" t="s">
        <v>823</v>
      </c>
      <c r="F10766" t="s">
        <v>1527</v>
      </c>
      <c r="G10766" t="s">
        <v>1081</v>
      </c>
      <c r="H10766" t="s">
        <v>16874</v>
      </c>
      <c r="I10766">
        <v>2</v>
      </c>
      <c r="J10766" t="s">
        <v>18894</v>
      </c>
      <c r="K10766">
        <v>11206</v>
      </c>
      <c r="L10766" t="s">
        <v>18960</v>
      </c>
      <c r="M10766" t="s">
        <v>18960</v>
      </c>
      <c r="O10766" t="s">
        <v>26524</v>
      </c>
      <c r="P10766" t="s">
        <v>26564</v>
      </c>
      <c r="Q10766" t="s">
        <v>26570</v>
      </c>
      <c r="R10766" t="s">
        <v>26578</v>
      </c>
      <c r="U10766" t="s">
        <v>26604</v>
      </c>
      <c r="X10766">
        <v>0</v>
      </c>
      <c r="Y10766" t="s">
        <v>26652</v>
      </c>
      <c r="AA10766" t="s">
        <v>26683</v>
      </c>
      <c r="AB10766" t="s">
        <v>27841</v>
      </c>
      <c r="AE10766">
        <v>0</v>
      </c>
      <c r="AH10766">
        <v>0</v>
      </c>
      <c r="AI10766">
        <v>3</v>
      </c>
      <c r="AJ10766">
        <v>1</v>
      </c>
      <c r="AK10766">
        <v>73.79000000000001</v>
      </c>
      <c r="AN10766" t="s">
        <v>7439</v>
      </c>
      <c r="AO10766">
        <v>19000</v>
      </c>
      <c r="AU10766">
        <v>0.5</v>
      </c>
      <c r="AV10766" t="s">
        <v>823</v>
      </c>
      <c r="AW10766" t="s">
        <v>198</v>
      </c>
    </row>
    <row r="10767" spans="1:50">
      <c r="A10767" s="1">
        <f>HYPERLINK("https://lsnyc.legalserver.org/matter/dynamic-profile/view/1900208","19-1900208")</f>
        <v>0</v>
      </c>
      <c r="B10767" t="s">
        <v>87</v>
      </c>
      <c r="C10767" t="s">
        <v>341</v>
      </c>
      <c r="D10767" t="s">
        <v>823</v>
      </c>
      <c r="E10767" t="s">
        <v>772</v>
      </c>
      <c r="F10767" t="s">
        <v>4900</v>
      </c>
      <c r="G10767" t="s">
        <v>9443</v>
      </c>
      <c r="H10767" t="s">
        <v>16875</v>
      </c>
      <c r="I10767" t="s">
        <v>17306</v>
      </c>
      <c r="J10767" t="s">
        <v>18892</v>
      </c>
      <c r="K10767">
        <v>10457</v>
      </c>
      <c r="L10767" t="s">
        <v>18958</v>
      </c>
      <c r="M10767" t="s">
        <v>18960</v>
      </c>
      <c r="N10767" t="s">
        <v>26164</v>
      </c>
      <c r="O10767" t="s">
        <v>26523</v>
      </c>
      <c r="P10767" t="s">
        <v>26564</v>
      </c>
      <c r="Q10767" t="s">
        <v>26570</v>
      </c>
      <c r="R10767" t="s">
        <v>26577</v>
      </c>
      <c r="S10767" t="s">
        <v>18959</v>
      </c>
      <c r="U10767" t="s">
        <v>26604</v>
      </c>
      <c r="V10767" t="s">
        <v>26614</v>
      </c>
      <c r="X10767">
        <v>1286</v>
      </c>
      <c r="Y10767" t="s">
        <v>26650</v>
      </c>
      <c r="Z10767" t="s">
        <v>26668</v>
      </c>
      <c r="AA10767" t="s">
        <v>26679</v>
      </c>
      <c r="AB10767" t="s">
        <v>34128</v>
      </c>
      <c r="AD10767" t="s">
        <v>45069</v>
      </c>
      <c r="AE10767">
        <v>0</v>
      </c>
      <c r="AG10767" t="s">
        <v>45562</v>
      </c>
      <c r="AH10767">
        <v>2</v>
      </c>
      <c r="AI10767">
        <v>2</v>
      </c>
      <c r="AJ10767">
        <v>0</v>
      </c>
      <c r="AK10767">
        <v>0</v>
      </c>
      <c r="AN10767" t="s">
        <v>7439</v>
      </c>
      <c r="AO10767">
        <v>0</v>
      </c>
      <c r="AU10767">
        <v>3</v>
      </c>
      <c r="AV10767" t="s">
        <v>834</v>
      </c>
      <c r="AW10767" t="s">
        <v>46871</v>
      </c>
      <c r="AX10767" t="s">
        <v>46897</v>
      </c>
    </row>
    <row r="10768" spans="1:50">
      <c r="A10768" s="1">
        <f>HYPERLINK("https://lsnyc.legalserver.org/matter/dynamic-profile/view/1900212","19-1900212")</f>
        <v>0</v>
      </c>
      <c r="B10768" t="s">
        <v>301</v>
      </c>
      <c r="C10768" t="s">
        <v>340</v>
      </c>
      <c r="D10768" t="s">
        <v>823</v>
      </c>
      <c r="F10768" t="s">
        <v>1106</v>
      </c>
      <c r="G10768" t="s">
        <v>9374</v>
      </c>
      <c r="H10768" t="s">
        <v>13962</v>
      </c>
      <c r="I10768" t="s">
        <v>18800</v>
      </c>
      <c r="J10768" t="s">
        <v>18894</v>
      </c>
      <c r="K10768">
        <v>11206</v>
      </c>
      <c r="L10768" t="s">
        <v>18958</v>
      </c>
      <c r="M10768" t="s">
        <v>18960</v>
      </c>
      <c r="N10768" t="s">
        <v>26165</v>
      </c>
      <c r="P10768" t="s">
        <v>26565</v>
      </c>
      <c r="R10768" t="s">
        <v>26591</v>
      </c>
      <c r="U10768" t="s">
        <v>26607</v>
      </c>
      <c r="X10768">
        <v>954</v>
      </c>
      <c r="Y10768" t="s">
        <v>26652</v>
      </c>
      <c r="Z10768" t="s">
        <v>26664</v>
      </c>
      <c r="AB10768" t="s">
        <v>33995</v>
      </c>
      <c r="AD10768" t="s">
        <v>44904</v>
      </c>
      <c r="AE10768">
        <v>0</v>
      </c>
      <c r="AH10768">
        <v>0</v>
      </c>
      <c r="AI10768">
        <v>1</v>
      </c>
      <c r="AJ10768">
        <v>0</v>
      </c>
      <c r="AK10768">
        <v>159.58</v>
      </c>
      <c r="AN10768" t="s">
        <v>7439</v>
      </c>
      <c r="AO10768">
        <v>19932</v>
      </c>
      <c r="AU10768">
        <v>2.8</v>
      </c>
      <c r="AV10768" t="s">
        <v>729</v>
      </c>
      <c r="AW10768" t="s">
        <v>46856</v>
      </c>
      <c r="AX10768" t="s">
        <v>46897</v>
      </c>
    </row>
    <row r="10769" spans="1:50">
      <c r="A10769" s="1">
        <f>HYPERLINK("https://lsnyc.legalserver.org/matter/dynamic-profile/view/1900199","19-1900199")</f>
        <v>0</v>
      </c>
      <c r="B10769" t="s">
        <v>60</v>
      </c>
      <c r="C10769" t="s">
        <v>340</v>
      </c>
      <c r="D10769" t="s">
        <v>823</v>
      </c>
      <c r="F10769" t="s">
        <v>3688</v>
      </c>
      <c r="G10769" t="s">
        <v>3780</v>
      </c>
      <c r="H10769" t="s">
        <v>9769</v>
      </c>
      <c r="I10769" t="s">
        <v>17376</v>
      </c>
      <c r="J10769" t="s">
        <v>18892</v>
      </c>
      <c r="K10769">
        <v>10453</v>
      </c>
      <c r="L10769" t="s">
        <v>18958</v>
      </c>
      <c r="M10769" t="s">
        <v>18960</v>
      </c>
      <c r="N10769" t="s">
        <v>26166</v>
      </c>
      <c r="O10769" t="s">
        <v>26526</v>
      </c>
      <c r="P10769" t="s">
        <v>26560</v>
      </c>
      <c r="R10769" t="s">
        <v>26578</v>
      </c>
      <c r="S10769" t="s">
        <v>18959</v>
      </c>
      <c r="U10769" t="s">
        <v>26604</v>
      </c>
      <c r="X10769">
        <v>176</v>
      </c>
      <c r="Y10769" t="s">
        <v>26650</v>
      </c>
      <c r="Z10769" t="s">
        <v>26659</v>
      </c>
      <c r="AB10769" t="s">
        <v>34129</v>
      </c>
      <c r="AD10769" t="s">
        <v>45070</v>
      </c>
      <c r="AE10769">
        <v>0</v>
      </c>
      <c r="AF10769" t="s">
        <v>45543</v>
      </c>
      <c r="AG10769" t="s">
        <v>45556</v>
      </c>
      <c r="AH10769">
        <v>12</v>
      </c>
      <c r="AI10769">
        <v>1</v>
      </c>
      <c r="AJ10769">
        <v>0</v>
      </c>
      <c r="AK10769">
        <v>0</v>
      </c>
      <c r="AN10769" t="s">
        <v>7439</v>
      </c>
      <c r="AO10769">
        <v>0</v>
      </c>
      <c r="AU10769">
        <v>10</v>
      </c>
      <c r="AV10769" t="s">
        <v>831</v>
      </c>
      <c r="AW10769" t="s">
        <v>60</v>
      </c>
      <c r="AX10769" t="s">
        <v>46897</v>
      </c>
    </row>
    <row r="10770" spans="1:50">
      <c r="A10770" s="1">
        <f>HYPERLINK("https://lsnyc.legalserver.org/matter/dynamic-profile/view/1900258","19-1900258")</f>
        <v>0</v>
      </c>
      <c r="B10770" t="s">
        <v>56</v>
      </c>
      <c r="C10770" t="s">
        <v>340</v>
      </c>
      <c r="D10770" t="s">
        <v>823</v>
      </c>
      <c r="F10770" t="s">
        <v>2566</v>
      </c>
      <c r="G10770" t="s">
        <v>4612</v>
      </c>
      <c r="H10770" t="s">
        <v>12197</v>
      </c>
      <c r="I10770" t="s">
        <v>17356</v>
      </c>
      <c r="J10770" t="s">
        <v>18892</v>
      </c>
      <c r="K10770">
        <v>10453</v>
      </c>
      <c r="L10770" t="s">
        <v>18960</v>
      </c>
      <c r="M10770" t="s">
        <v>18960</v>
      </c>
      <c r="N10770" t="s">
        <v>26167</v>
      </c>
      <c r="O10770" t="s">
        <v>26523</v>
      </c>
      <c r="R10770" t="s">
        <v>26577</v>
      </c>
      <c r="S10770" t="s">
        <v>18959</v>
      </c>
      <c r="U10770" t="s">
        <v>26604</v>
      </c>
      <c r="X10770">
        <v>0</v>
      </c>
      <c r="Y10770" t="s">
        <v>26650</v>
      </c>
      <c r="AB10770" t="s">
        <v>29478</v>
      </c>
      <c r="AD10770" t="s">
        <v>39543</v>
      </c>
      <c r="AE10770">
        <v>0</v>
      </c>
      <c r="AH10770">
        <v>0</v>
      </c>
      <c r="AI10770">
        <v>2</v>
      </c>
      <c r="AJ10770">
        <v>4</v>
      </c>
      <c r="AK10770">
        <v>95.20999999999999</v>
      </c>
      <c r="AN10770" t="s">
        <v>7439</v>
      </c>
      <c r="AO10770">
        <v>32933</v>
      </c>
      <c r="AU10770">
        <v>4</v>
      </c>
      <c r="AV10770" t="s">
        <v>818</v>
      </c>
      <c r="AW10770" t="s">
        <v>335</v>
      </c>
      <c r="AX10770" t="s">
        <v>19330</v>
      </c>
    </row>
    <row r="10771" spans="1:50">
      <c r="A10771" s="1">
        <f>HYPERLINK("https://lsnyc.legalserver.org/matter/dynamic-profile/view/1900241","19-1900241")</f>
        <v>0</v>
      </c>
      <c r="B10771" t="s">
        <v>56</v>
      </c>
      <c r="C10771" t="s">
        <v>340</v>
      </c>
      <c r="D10771" t="s">
        <v>823</v>
      </c>
      <c r="F10771" t="s">
        <v>2640</v>
      </c>
      <c r="G10771" t="s">
        <v>2307</v>
      </c>
      <c r="H10771" t="s">
        <v>10762</v>
      </c>
      <c r="I10771" t="s">
        <v>17464</v>
      </c>
      <c r="J10771" t="s">
        <v>18892</v>
      </c>
      <c r="K10771">
        <v>10467</v>
      </c>
      <c r="L10771" t="s">
        <v>18959</v>
      </c>
      <c r="M10771" t="s">
        <v>18960</v>
      </c>
      <c r="R10771" t="s">
        <v>26579</v>
      </c>
      <c r="U10771" t="s">
        <v>26604</v>
      </c>
      <c r="X10771">
        <v>0</v>
      </c>
      <c r="Y10771" t="s">
        <v>26650</v>
      </c>
      <c r="AB10771" t="s">
        <v>26839</v>
      </c>
      <c r="AD10771" t="s">
        <v>39670</v>
      </c>
      <c r="AE10771">
        <v>0</v>
      </c>
      <c r="AH10771">
        <v>0</v>
      </c>
      <c r="AI10771">
        <v>1</v>
      </c>
      <c r="AJ10771">
        <v>1</v>
      </c>
      <c r="AK10771">
        <v>59.04</v>
      </c>
      <c r="AN10771" t="s">
        <v>7439</v>
      </c>
      <c r="AO10771">
        <v>9984</v>
      </c>
      <c r="AU10771">
        <v>0.5</v>
      </c>
      <c r="AV10771" t="s">
        <v>804</v>
      </c>
      <c r="AW10771" t="s">
        <v>335</v>
      </c>
      <c r="AX10771" t="s">
        <v>19330</v>
      </c>
    </row>
    <row r="10772" spans="1:50">
      <c r="A10772" s="1">
        <f>HYPERLINK("https://lsnyc.legalserver.org/matter/dynamic-profile/view/1898293","19-1898293")</f>
        <v>0</v>
      </c>
      <c r="B10772" t="s">
        <v>153</v>
      </c>
      <c r="C10772" t="s">
        <v>340</v>
      </c>
      <c r="D10772" t="s">
        <v>823</v>
      </c>
      <c r="F10772" t="s">
        <v>948</v>
      </c>
      <c r="G10772" t="s">
        <v>9444</v>
      </c>
      <c r="H10772" t="s">
        <v>16876</v>
      </c>
      <c r="I10772" t="s">
        <v>17309</v>
      </c>
      <c r="J10772" t="s">
        <v>18902</v>
      </c>
      <c r="K10772">
        <v>10306</v>
      </c>
      <c r="L10772" t="s">
        <v>18960</v>
      </c>
      <c r="M10772" t="s">
        <v>18960</v>
      </c>
      <c r="O10772" t="s">
        <v>26525</v>
      </c>
      <c r="R10772" t="s">
        <v>26587</v>
      </c>
      <c r="S10772" t="s">
        <v>18959</v>
      </c>
      <c r="U10772" t="s">
        <v>26605</v>
      </c>
      <c r="X10772">
        <v>259.6</v>
      </c>
      <c r="Y10772" t="s">
        <v>26654</v>
      </c>
      <c r="AB10772" t="s">
        <v>28142</v>
      </c>
      <c r="AD10772" t="s">
        <v>45071</v>
      </c>
      <c r="AE10772">
        <v>0</v>
      </c>
      <c r="AF10772" t="s">
        <v>45549</v>
      </c>
      <c r="AG10772" t="s">
        <v>19330</v>
      </c>
      <c r="AH10772">
        <v>13</v>
      </c>
      <c r="AI10772">
        <v>2</v>
      </c>
      <c r="AJ10772">
        <v>0</v>
      </c>
      <c r="AK10772">
        <v>62.59</v>
      </c>
      <c r="AN10772" t="s">
        <v>7439</v>
      </c>
      <c r="AO10772">
        <v>10584</v>
      </c>
      <c r="AU10772">
        <v>2</v>
      </c>
      <c r="AV10772" t="s">
        <v>836</v>
      </c>
      <c r="AW10772" t="s">
        <v>46883</v>
      </c>
    </row>
    <row r="10773" spans="1:50">
      <c r="A10773" s="1">
        <f>HYPERLINK("https://lsnyc.legalserver.org/matter/dynamic-profile/view/1900257","19-1900257")</f>
        <v>0</v>
      </c>
      <c r="B10773" t="s">
        <v>124</v>
      </c>
      <c r="C10773" t="s">
        <v>340</v>
      </c>
      <c r="D10773" t="s">
        <v>823</v>
      </c>
      <c r="F10773" t="s">
        <v>4901</v>
      </c>
      <c r="G10773" t="s">
        <v>1901</v>
      </c>
      <c r="H10773" t="s">
        <v>16877</v>
      </c>
      <c r="I10773" t="s">
        <v>18821</v>
      </c>
      <c r="J10773" t="s">
        <v>18894</v>
      </c>
      <c r="K10773">
        <v>11237</v>
      </c>
      <c r="L10773" t="s">
        <v>18960</v>
      </c>
      <c r="M10773" t="s">
        <v>18960</v>
      </c>
      <c r="R10773" t="s">
        <v>26578</v>
      </c>
      <c r="U10773" t="s">
        <v>26604</v>
      </c>
      <c r="X10773">
        <v>1950</v>
      </c>
      <c r="Y10773" t="s">
        <v>26652</v>
      </c>
      <c r="Z10773" t="s">
        <v>26530</v>
      </c>
      <c r="AB10773" t="s">
        <v>34130</v>
      </c>
      <c r="AD10773" t="s">
        <v>45072</v>
      </c>
      <c r="AE10773">
        <v>0</v>
      </c>
      <c r="AF10773" t="s">
        <v>45548</v>
      </c>
      <c r="AH10773">
        <v>3</v>
      </c>
      <c r="AI10773">
        <v>1</v>
      </c>
      <c r="AJ10773">
        <v>0</v>
      </c>
      <c r="AK10773">
        <v>39.14</v>
      </c>
      <c r="AN10773" t="s">
        <v>7439</v>
      </c>
      <c r="AO10773">
        <v>4888</v>
      </c>
      <c r="AU10773">
        <v>1.3</v>
      </c>
      <c r="AV10773" t="s">
        <v>729</v>
      </c>
      <c r="AW10773" t="s">
        <v>46849</v>
      </c>
    </row>
    <row r="10774" spans="1:50">
      <c r="A10774" s="1">
        <f>HYPERLINK("https://lsnyc.legalserver.org/matter/dynamic-profile/view/1900171","19-1900171")</f>
        <v>0</v>
      </c>
      <c r="B10774" t="s">
        <v>50</v>
      </c>
      <c r="C10774" t="s">
        <v>340</v>
      </c>
      <c r="D10774" t="s">
        <v>823</v>
      </c>
      <c r="F10774" t="s">
        <v>3551</v>
      </c>
      <c r="G10774" t="s">
        <v>9445</v>
      </c>
      <c r="H10774" t="s">
        <v>16878</v>
      </c>
      <c r="I10774" t="s">
        <v>17347</v>
      </c>
      <c r="J10774" t="s">
        <v>18892</v>
      </c>
      <c r="K10774">
        <v>10472</v>
      </c>
      <c r="L10774" t="s">
        <v>18958</v>
      </c>
      <c r="M10774" t="s">
        <v>18960</v>
      </c>
      <c r="N10774" t="s">
        <v>26168</v>
      </c>
      <c r="O10774" t="s">
        <v>26523</v>
      </c>
      <c r="P10774" t="s">
        <v>26563</v>
      </c>
      <c r="R10774" t="s">
        <v>26577</v>
      </c>
      <c r="S10774" t="s">
        <v>18959</v>
      </c>
      <c r="U10774" t="s">
        <v>26604</v>
      </c>
      <c r="V10774" t="s">
        <v>26614</v>
      </c>
      <c r="X10774">
        <v>1350</v>
      </c>
      <c r="Y10774" t="s">
        <v>26650</v>
      </c>
      <c r="AB10774" t="s">
        <v>34131</v>
      </c>
      <c r="AD10774" t="s">
        <v>45073</v>
      </c>
      <c r="AE10774">
        <v>46</v>
      </c>
      <c r="AF10774" t="s">
        <v>45541</v>
      </c>
      <c r="AG10774" t="s">
        <v>19330</v>
      </c>
      <c r="AH10774">
        <v>6</v>
      </c>
      <c r="AI10774">
        <v>3</v>
      </c>
      <c r="AJ10774">
        <v>0</v>
      </c>
      <c r="AK10774">
        <v>91.03</v>
      </c>
      <c r="AN10774" t="s">
        <v>8151</v>
      </c>
      <c r="AO10774">
        <v>19417</v>
      </c>
      <c r="AU10774">
        <v>5</v>
      </c>
      <c r="AV10774" t="s">
        <v>826</v>
      </c>
      <c r="AW10774" t="s">
        <v>335</v>
      </c>
      <c r="AX10774" t="s">
        <v>46897</v>
      </c>
    </row>
    <row r="10775" spans="1:50">
      <c r="A10775" s="1">
        <f>HYPERLINK("https://lsnyc.legalserver.org/matter/dynamic-profile/view/1900249","19-1900249")</f>
        <v>0</v>
      </c>
      <c r="B10775" t="s">
        <v>336</v>
      </c>
      <c r="C10775" t="s">
        <v>340</v>
      </c>
      <c r="D10775" t="s">
        <v>823</v>
      </c>
      <c r="F10775" t="s">
        <v>4902</v>
      </c>
      <c r="G10775" t="s">
        <v>9446</v>
      </c>
      <c r="H10775" t="s">
        <v>16879</v>
      </c>
      <c r="I10775">
        <v>2</v>
      </c>
      <c r="J10775" t="s">
        <v>18892</v>
      </c>
      <c r="K10775">
        <v>10451</v>
      </c>
      <c r="L10775" t="s">
        <v>18960</v>
      </c>
      <c r="M10775" t="s">
        <v>18960</v>
      </c>
      <c r="R10775" t="s">
        <v>26578</v>
      </c>
      <c r="U10775" t="s">
        <v>26604</v>
      </c>
      <c r="X10775">
        <v>1600</v>
      </c>
      <c r="Y10775" t="s">
        <v>26650</v>
      </c>
      <c r="Z10775" t="s">
        <v>26668</v>
      </c>
      <c r="AB10775" t="s">
        <v>30234</v>
      </c>
      <c r="AD10775" t="s">
        <v>34738</v>
      </c>
      <c r="AE10775">
        <v>0</v>
      </c>
      <c r="AG10775" t="s">
        <v>19330</v>
      </c>
      <c r="AH10775">
        <v>10</v>
      </c>
      <c r="AI10775">
        <v>1</v>
      </c>
      <c r="AJ10775">
        <v>1</v>
      </c>
      <c r="AK10775">
        <v>21.29</v>
      </c>
      <c r="AN10775" t="s">
        <v>7439</v>
      </c>
      <c r="AO10775">
        <v>3600</v>
      </c>
      <c r="AU10775">
        <v>0</v>
      </c>
      <c r="AW10775" t="s">
        <v>336</v>
      </c>
    </row>
    <row r="10776" spans="1:50">
      <c r="A10776" s="1">
        <f>HYPERLINK("https://lsnyc.legalserver.org/matter/dynamic-profile/view/1900318","19-1900318")</f>
        <v>0</v>
      </c>
      <c r="B10776" t="s">
        <v>286</v>
      </c>
      <c r="C10776" t="s">
        <v>341</v>
      </c>
      <c r="D10776" t="s">
        <v>822</v>
      </c>
      <c r="E10776" t="s">
        <v>822</v>
      </c>
      <c r="F10776" t="s">
        <v>2352</v>
      </c>
      <c r="G10776" t="s">
        <v>9447</v>
      </c>
      <c r="H10776" t="s">
        <v>16880</v>
      </c>
      <c r="I10776" t="s">
        <v>17415</v>
      </c>
      <c r="J10776" t="s">
        <v>18894</v>
      </c>
      <c r="K10776">
        <v>11207</v>
      </c>
      <c r="L10776" t="s">
        <v>18960</v>
      </c>
      <c r="M10776" t="s">
        <v>18960</v>
      </c>
      <c r="Q10776" t="s">
        <v>26570</v>
      </c>
      <c r="R10776" t="s">
        <v>26578</v>
      </c>
      <c r="U10776" t="s">
        <v>26607</v>
      </c>
      <c r="X10776">
        <v>500</v>
      </c>
      <c r="Y10776" t="s">
        <v>26652</v>
      </c>
      <c r="AA10776" t="s">
        <v>26683</v>
      </c>
      <c r="AB10776" t="s">
        <v>34132</v>
      </c>
      <c r="AD10776" t="s">
        <v>45074</v>
      </c>
      <c r="AE10776">
        <v>3</v>
      </c>
      <c r="AH10776">
        <v>23</v>
      </c>
      <c r="AI10776">
        <v>1</v>
      </c>
      <c r="AJ10776">
        <v>0</v>
      </c>
      <c r="AK10776">
        <v>62.45</v>
      </c>
      <c r="AN10776" t="s">
        <v>7439</v>
      </c>
      <c r="AO10776">
        <v>7800</v>
      </c>
      <c r="AU10776">
        <v>1</v>
      </c>
      <c r="AV10776" t="s">
        <v>822</v>
      </c>
      <c r="AW10776" t="s">
        <v>46887</v>
      </c>
    </row>
    <row r="10777" spans="1:50">
      <c r="A10777" s="1">
        <f>HYPERLINK("https://lsnyc.legalserver.org/matter/dynamic-profile/view/1900288","19-1900288")</f>
        <v>0</v>
      </c>
      <c r="B10777" t="s">
        <v>286</v>
      </c>
      <c r="C10777" t="s">
        <v>340</v>
      </c>
      <c r="D10777" t="s">
        <v>822</v>
      </c>
      <c r="F10777" t="s">
        <v>4903</v>
      </c>
      <c r="G10777" t="s">
        <v>7451</v>
      </c>
      <c r="H10777" t="s">
        <v>16881</v>
      </c>
      <c r="I10777">
        <v>1</v>
      </c>
      <c r="J10777" t="s">
        <v>18894</v>
      </c>
      <c r="K10777">
        <v>11207</v>
      </c>
      <c r="L10777" t="s">
        <v>18960</v>
      </c>
      <c r="M10777" t="s">
        <v>18960</v>
      </c>
      <c r="P10777" t="s">
        <v>26563</v>
      </c>
      <c r="R10777" t="s">
        <v>26578</v>
      </c>
      <c r="U10777" t="s">
        <v>26604</v>
      </c>
      <c r="X10777">
        <v>2450</v>
      </c>
      <c r="Y10777" t="s">
        <v>26652</v>
      </c>
      <c r="Z10777" t="s">
        <v>26657</v>
      </c>
      <c r="AB10777" t="s">
        <v>34133</v>
      </c>
      <c r="AD10777" t="s">
        <v>45075</v>
      </c>
      <c r="AE10777">
        <v>3245</v>
      </c>
      <c r="AH10777">
        <v>0</v>
      </c>
      <c r="AI10777">
        <v>1</v>
      </c>
      <c r="AJ10777">
        <v>0</v>
      </c>
      <c r="AK10777">
        <v>96.08</v>
      </c>
      <c r="AN10777" t="s">
        <v>7439</v>
      </c>
      <c r="AO10777">
        <v>12000</v>
      </c>
      <c r="AU10777">
        <v>1</v>
      </c>
      <c r="AV10777" t="s">
        <v>822</v>
      </c>
      <c r="AW10777" t="s">
        <v>46858</v>
      </c>
    </row>
    <row r="10778" spans="1:50">
      <c r="A10778" s="1">
        <f>HYPERLINK("https://lsnyc.legalserver.org/matter/dynamic-profile/view/1900040","19-1900040")</f>
        <v>0</v>
      </c>
      <c r="B10778" t="s">
        <v>131</v>
      </c>
      <c r="C10778" t="s">
        <v>340</v>
      </c>
      <c r="D10778" t="s">
        <v>822</v>
      </c>
      <c r="F10778" t="s">
        <v>968</v>
      </c>
      <c r="G10778" t="s">
        <v>9448</v>
      </c>
      <c r="H10778" t="s">
        <v>16882</v>
      </c>
      <c r="I10778" t="s">
        <v>17808</v>
      </c>
      <c r="J10778" t="s">
        <v>18902</v>
      </c>
      <c r="K10778">
        <v>10301</v>
      </c>
      <c r="L10778" t="s">
        <v>18960</v>
      </c>
      <c r="M10778" t="s">
        <v>18960</v>
      </c>
      <c r="N10778" t="s">
        <v>26169</v>
      </c>
      <c r="O10778" t="s">
        <v>26524</v>
      </c>
      <c r="R10778" t="s">
        <v>26578</v>
      </c>
      <c r="S10778" t="s">
        <v>18959</v>
      </c>
      <c r="U10778" t="s">
        <v>26604</v>
      </c>
      <c r="V10778" t="s">
        <v>26610</v>
      </c>
      <c r="X10778">
        <v>0</v>
      </c>
      <c r="Y10778" t="s">
        <v>26654</v>
      </c>
      <c r="Z10778" t="s">
        <v>26668</v>
      </c>
      <c r="AB10778" t="s">
        <v>33592</v>
      </c>
      <c r="AD10778" t="s">
        <v>45076</v>
      </c>
      <c r="AE10778">
        <v>1</v>
      </c>
      <c r="AF10778" t="s">
        <v>45547</v>
      </c>
      <c r="AG10778" t="s">
        <v>19330</v>
      </c>
      <c r="AH10778">
        <v>25</v>
      </c>
      <c r="AI10778">
        <v>1</v>
      </c>
      <c r="AJ10778">
        <v>0</v>
      </c>
      <c r="AK10778">
        <v>86.47</v>
      </c>
      <c r="AN10778" t="s">
        <v>7439</v>
      </c>
      <c r="AO10778">
        <v>10800</v>
      </c>
      <c r="AU10778">
        <v>13.5</v>
      </c>
      <c r="AV10778" t="s">
        <v>830</v>
      </c>
      <c r="AW10778" t="s">
        <v>46883</v>
      </c>
    </row>
    <row r="10779" spans="1:50">
      <c r="A10779" s="1">
        <f>HYPERLINK("https://lsnyc.legalserver.org/matter/dynamic-profile/view/1900347","19-1900347")</f>
        <v>0</v>
      </c>
      <c r="B10779" t="s">
        <v>200</v>
      </c>
      <c r="C10779" t="s">
        <v>340</v>
      </c>
      <c r="D10779" t="s">
        <v>822</v>
      </c>
      <c r="F10779" t="s">
        <v>1972</v>
      </c>
      <c r="G10779" t="s">
        <v>2840</v>
      </c>
      <c r="H10779" t="s">
        <v>15429</v>
      </c>
      <c r="I10779" t="s">
        <v>17356</v>
      </c>
      <c r="J10779" t="s">
        <v>18894</v>
      </c>
      <c r="K10779">
        <v>11206</v>
      </c>
      <c r="L10779" t="s">
        <v>18960</v>
      </c>
      <c r="M10779" t="s">
        <v>18960</v>
      </c>
      <c r="R10779" t="s">
        <v>26591</v>
      </c>
      <c r="U10779" t="s">
        <v>26604</v>
      </c>
      <c r="X10779">
        <v>657</v>
      </c>
      <c r="Y10779" t="s">
        <v>26652</v>
      </c>
      <c r="Z10779" t="s">
        <v>26657</v>
      </c>
      <c r="AB10779" t="s">
        <v>34134</v>
      </c>
      <c r="AD10779" t="s">
        <v>45077</v>
      </c>
      <c r="AE10779">
        <v>36</v>
      </c>
      <c r="AG10779" t="s">
        <v>19330</v>
      </c>
      <c r="AH10779">
        <v>25</v>
      </c>
      <c r="AI10779">
        <v>2</v>
      </c>
      <c r="AJ10779">
        <v>1</v>
      </c>
      <c r="AK10779">
        <v>70.58</v>
      </c>
      <c r="AN10779" t="s">
        <v>7439</v>
      </c>
      <c r="AO10779">
        <v>15054</v>
      </c>
      <c r="AU10779">
        <v>1.9</v>
      </c>
      <c r="AV10779" t="s">
        <v>807</v>
      </c>
      <c r="AW10779" t="s">
        <v>46858</v>
      </c>
    </row>
    <row r="10780" spans="1:50">
      <c r="A10780" s="1">
        <f>HYPERLINK("https://lsnyc.legalserver.org/matter/dynamic-profile/view/1895799","19-1895799")</f>
        <v>0</v>
      </c>
      <c r="B10780" t="s">
        <v>115</v>
      </c>
      <c r="C10780" t="s">
        <v>340</v>
      </c>
      <c r="D10780" t="s">
        <v>822</v>
      </c>
      <c r="F10780" t="s">
        <v>986</v>
      </c>
      <c r="G10780" t="s">
        <v>9449</v>
      </c>
      <c r="H10780" t="s">
        <v>16883</v>
      </c>
      <c r="I10780" t="s">
        <v>17282</v>
      </c>
      <c r="J10780" t="s">
        <v>18892</v>
      </c>
      <c r="K10780">
        <v>10452</v>
      </c>
      <c r="L10780" t="s">
        <v>18960</v>
      </c>
      <c r="M10780" t="s">
        <v>18960</v>
      </c>
      <c r="O10780" t="s">
        <v>26534</v>
      </c>
      <c r="P10780" t="s">
        <v>26561</v>
      </c>
      <c r="R10780" t="s">
        <v>26578</v>
      </c>
      <c r="S10780" t="s">
        <v>18958</v>
      </c>
      <c r="U10780" t="s">
        <v>26604</v>
      </c>
      <c r="X10780">
        <v>1047</v>
      </c>
      <c r="Y10780" t="s">
        <v>26650</v>
      </c>
      <c r="Z10780" t="s">
        <v>26661</v>
      </c>
      <c r="AB10780" t="s">
        <v>31241</v>
      </c>
      <c r="AD10780" t="s">
        <v>45078</v>
      </c>
      <c r="AE10780">
        <v>52</v>
      </c>
      <c r="AF10780" t="s">
        <v>45541</v>
      </c>
      <c r="AH10780">
        <v>19</v>
      </c>
      <c r="AI10780">
        <v>1</v>
      </c>
      <c r="AJ10780">
        <v>0</v>
      </c>
      <c r="AK10780">
        <v>72.34999999999999</v>
      </c>
      <c r="AN10780" t="s">
        <v>7439</v>
      </c>
      <c r="AO10780">
        <v>9036</v>
      </c>
      <c r="AU10780">
        <v>15.6</v>
      </c>
      <c r="AV10780" t="s">
        <v>729</v>
      </c>
      <c r="AW10780" t="s">
        <v>115</v>
      </c>
    </row>
    <row r="10781" spans="1:50">
      <c r="A10781" s="1">
        <f>HYPERLINK("https://lsnyc.legalserver.org/matter/dynamic-profile/view/1900369","19-1900369")</f>
        <v>0</v>
      </c>
      <c r="B10781" t="s">
        <v>122</v>
      </c>
      <c r="C10781" t="s">
        <v>340</v>
      </c>
      <c r="D10781" t="s">
        <v>822</v>
      </c>
      <c r="F10781" t="s">
        <v>1826</v>
      </c>
      <c r="G10781" t="s">
        <v>8088</v>
      </c>
      <c r="H10781" t="s">
        <v>10944</v>
      </c>
      <c r="I10781" t="s">
        <v>17284</v>
      </c>
      <c r="J10781" t="s">
        <v>18901</v>
      </c>
      <c r="K10781">
        <v>11435</v>
      </c>
      <c r="L10781" t="s">
        <v>18960</v>
      </c>
      <c r="M10781" t="s">
        <v>18960</v>
      </c>
      <c r="O10781" t="s">
        <v>26523</v>
      </c>
      <c r="P10781" t="s">
        <v>26560</v>
      </c>
      <c r="R10781" t="s">
        <v>26592</v>
      </c>
      <c r="U10781" t="s">
        <v>26604</v>
      </c>
      <c r="X10781">
        <v>1025</v>
      </c>
      <c r="Y10781" t="s">
        <v>26653</v>
      </c>
      <c r="Z10781" t="s">
        <v>26655</v>
      </c>
      <c r="AB10781" t="s">
        <v>31816</v>
      </c>
      <c r="AD10781" t="s">
        <v>42095</v>
      </c>
      <c r="AE10781">
        <v>60</v>
      </c>
      <c r="AF10781" t="s">
        <v>45541</v>
      </c>
      <c r="AH10781">
        <v>25</v>
      </c>
      <c r="AI10781">
        <v>1</v>
      </c>
      <c r="AJ10781">
        <v>0</v>
      </c>
      <c r="AK10781">
        <v>32.03</v>
      </c>
      <c r="AN10781" t="s">
        <v>45581</v>
      </c>
      <c r="AO10781">
        <v>4000</v>
      </c>
      <c r="AU10781">
        <v>8.699999999999999</v>
      </c>
      <c r="AV10781" t="s">
        <v>838</v>
      </c>
      <c r="AW10781" t="s">
        <v>122</v>
      </c>
    </row>
    <row r="10782" spans="1:50">
      <c r="A10782" s="1">
        <f>HYPERLINK("https://lsnyc.legalserver.org/matter/dynamic-profile/view/1900502","19-1900502")</f>
        <v>0</v>
      </c>
      <c r="B10782" t="s">
        <v>275</v>
      </c>
      <c r="C10782" t="s">
        <v>340</v>
      </c>
      <c r="D10782" t="s">
        <v>822</v>
      </c>
      <c r="F10782" t="s">
        <v>1233</v>
      </c>
      <c r="G10782" t="s">
        <v>5513</v>
      </c>
      <c r="H10782" t="s">
        <v>10901</v>
      </c>
      <c r="I10782" t="s">
        <v>18111</v>
      </c>
      <c r="J10782" t="s">
        <v>18892</v>
      </c>
      <c r="K10782">
        <v>10457</v>
      </c>
      <c r="L10782" t="s">
        <v>18958</v>
      </c>
      <c r="M10782" t="s">
        <v>18960</v>
      </c>
      <c r="N10782" t="s">
        <v>26170</v>
      </c>
      <c r="O10782" t="s">
        <v>26524</v>
      </c>
      <c r="R10782" t="s">
        <v>26579</v>
      </c>
      <c r="S10782" t="s">
        <v>18959</v>
      </c>
      <c r="U10782" t="s">
        <v>26604</v>
      </c>
      <c r="X10782">
        <v>1213.21</v>
      </c>
      <c r="Y10782" t="s">
        <v>26650</v>
      </c>
      <c r="Z10782" t="s">
        <v>26664</v>
      </c>
      <c r="AB10782" t="s">
        <v>31027</v>
      </c>
      <c r="AD10782" t="s">
        <v>45079</v>
      </c>
      <c r="AE10782">
        <v>89</v>
      </c>
      <c r="AF10782" t="s">
        <v>20460</v>
      </c>
      <c r="AG10782" t="s">
        <v>19330</v>
      </c>
      <c r="AH10782">
        <v>0</v>
      </c>
      <c r="AI10782">
        <v>2</v>
      </c>
      <c r="AJ10782">
        <v>1</v>
      </c>
      <c r="AK10782">
        <v>73.14</v>
      </c>
      <c r="AN10782" t="s">
        <v>7439</v>
      </c>
      <c r="AO10782">
        <v>15600</v>
      </c>
      <c r="AU10782">
        <v>2.5</v>
      </c>
      <c r="AV10782" t="s">
        <v>828</v>
      </c>
      <c r="AW10782" t="s">
        <v>336</v>
      </c>
      <c r="AX10782" t="s">
        <v>46897</v>
      </c>
    </row>
    <row r="10783" spans="1:50">
      <c r="A10783" s="1">
        <f>HYPERLINK("https://lsnyc.legalserver.org/matter/dynamic-profile/view/1900424","19-1900424")</f>
        <v>0</v>
      </c>
      <c r="B10783" t="s">
        <v>249</v>
      </c>
      <c r="C10783" t="s">
        <v>341</v>
      </c>
      <c r="D10783" t="s">
        <v>804</v>
      </c>
      <c r="E10783" t="s">
        <v>833</v>
      </c>
      <c r="F10783" t="s">
        <v>1079</v>
      </c>
      <c r="G10783" t="s">
        <v>5269</v>
      </c>
      <c r="H10783" t="s">
        <v>16884</v>
      </c>
      <c r="I10783" t="s">
        <v>17274</v>
      </c>
      <c r="J10783" t="s">
        <v>18894</v>
      </c>
      <c r="K10783">
        <v>11239</v>
      </c>
      <c r="L10783" t="s">
        <v>18959</v>
      </c>
      <c r="M10783" t="s">
        <v>18960</v>
      </c>
      <c r="N10783" t="s">
        <v>19037</v>
      </c>
      <c r="O10783" t="s">
        <v>26537</v>
      </c>
      <c r="Q10783" t="s">
        <v>26570</v>
      </c>
      <c r="R10783" t="s">
        <v>26578</v>
      </c>
      <c r="S10783" t="s">
        <v>18959</v>
      </c>
      <c r="U10783" t="s">
        <v>26604</v>
      </c>
      <c r="V10783" t="s">
        <v>26610</v>
      </c>
      <c r="X10783">
        <v>0</v>
      </c>
      <c r="Y10783" t="s">
        <v>26652</v>
      </c>
      <c r="Z10783" t="s">
        <v>26657</v>
      </c>
      <c r="AA10783" t="s">
        <v>26683</v>
      </c>
      <c r="AB10783" t="s">
        <v>34135</v>
      </c>
      <c r="AD10783" t="s">
        <v>45080</v>
      </c>
      <c r="AE10783">
        <v>24</v>
      </c>
      <c r="AG10783" t="s">
        <v>45556</v>
      </c>
      <c r="AH10783">
        <v>6</v>
      </c>
      <c r="AI10783">
        <v>1</v>
      </c>
      <c r="AJ10783">
        <v>0</v>
      </c>
      <c r="AK10783">
        <v>0</v>
      </c>
      <c r="AN10783" t="s">
        <v>7439</v>
      </c>
      <c r="AO10783">
        <v>0</v>
      </c>
      <c r="AU10783">
        <v>2.75</v>
      </c>
      <c r="AV10783" t="s">
        <v>833</v>
      </c>
      <c r="AW10783" t="s">
        <v>46858</v>
      </c>
      <c r="AX10783" t="s">
        <v>19330</v>
      </c>
    </row>
    <row r="10784" spans="1:50">
      <c r="A10784" s="1">
        <f>HYPERLINK("https://lsnyc.legalserver.org/matter/dynamic-profile/view/1900470","19-1900470")</f>
        <v>0</v>
      </c>
      <c r="B10784" t="s">
        <v>136</v>
      </c>
      <c r="C10784" t="s">
        <v>340</v>
      </c>
      <c r="D10784" t="s">
        <v>804</v>
      </c>
      <c r="F10784" t="s">
        <v>4904</v>
      </c>
      <c r="G10784" t="s">
        <v>5241</v>
      </c>
      <c r="H10784" t="s">
        <v>16885</v>
      </c>
      <c r="I10784">
        <v>1</v>
      </c>
      <c r="J10784" t="s">
        <v>18892</v>
      </c>
      <c r="K10784">
        <v>10467</v>
      </c>
      <c r="L10784" t="s">
        <v>18958</v>
      </c>
      <c r="M10784" t="s">
        <v>18960</v>
      </c>
      <c r="O10784" t="s">
        <v>26524</v>
      </c>
      <c r="R10784" t="s">
        <v>26579</v>
      </c>
      <c r="U10784" t="s">
        <v>26604</v>
      </c>
      <c r="X10784">
        <v>1900</v>
      </c>
      <c r="Y10784" t="s">
        <v>26650</v>
      </c>
      <c r="AB10784" t="s">
        <v>34136</v>
      </c>
      <c r="AD10784" t="s">
        <v>45081</v>
      </c>
      <c r="AE10784">
        <v>3</v>
      </c>
      <c r="AF10784" t="s">
        <v>45547</v>
      </c>
      <c r="AH10784">
        <v>5</v>
      </c>
      <c r="AI10784">
        <v>5</v>
      </c>
      <c r="AJ10784">
        <v>1</v>
      </c>
      <c r="AK10784">
        <v>96.20999999999999</v>
      </c>
      <c r="AN10784" t="s">
        <v>7439</v>
      </c>
      <c r="AO10784">
        <v>33280</v>
      </c>
      <c r="AU10784">
        <v>2.25</v>
      </c>
      <c r="AV10784" t="s">
        <v>829</v>
      </c>
      <c r="AW10784" t="s">
        <v>335</v>
      </c>
      <c r="AX10784" t="s">
        <v>46897</v>
      </c>
    </row>
    <row r="10785" spans="1:50">
      <c r="A10785" s="1">
        <f>HYPERLINK("https://lsnyc.legalserver.org/matter/dynamic-profile/view/1900448","19-1900448")</f>
        <v>0</v>
      </c>
      <c r="B10785" t="s">
        <v>147</v>
      </c>
      <c r="C10785" t="s">
        <v>340</v>
      </c>
      <c r="D10785" t="s">
        <v>804</v>
      </c>
      <c r="F10785" t="s">
        <v>4905</v>
      </c>
      <c r="G10785" t="s">
        <v>8065</v>
      </c>
      <c r="H10785" t="s">
        <v>15196</v>
      </c>
      <c r="I10785" t="s">
        <v>17629</v>
      </c>
      <c r="J10785" t="s">
        <v>18894</v>
      </c>
      <c r="K10785">
        <v>11226</v>
      </c>
      <c r="L10785" t="s">
        <v>18958</v>
      </c>
      <c r="M10785" t="s">
        <v>18960</v>
      </c>
      <c r="N10785" t="s">
        <v>24818</v>
      </c>
      <c r="O10785" t="s">
        <v>26526</v>
      </c>
      <c r="P10785" t="s">
        <v>26560</v>
      </c>
      <c r="R10785" t="s">
        <v>26578</v>
      </c>
      <c r="S10785" t="s">
        <v>18958</v>
      </c>
      <c r="U10785" t="s">
        <v>26604</v>
      </c>
      <c r="V10785" t="s">
        <v>26610</v>
      </c>
      <c r="X10785">
        <v>1050.15</v>
      </c>
      <c r="Y10785" t="s">
        <v>26652</v>
      </c>
      <c r="Z10785" t="s">
        <v>26667</v>
      </c>
      <c r="AB10785" t="s">
        <v>34137</v>
      </c>
      <c r="AE10785">
        <v>36</v>
      </c>
      <c r="AF10785" t="s">
        <v>45541</v>
      </c>
      <c r="AH10785">
        <v>21</v>
      </c>
      <c r="AI10785">
        <v>2</v>
      </c>
      <c r="AJ10785">
        <v>1</v>
      </c>
      <c r="AK10785">
        <v>48.76</v>
      </c>
      <c r="AN10785" t="s">
        <v>45581</v>
      </c>
      <c r="AO10785">
        <v>10400</v>
      </c>
      <c r="AU10785">
        <v>0.2</v>
      </c>
      <c r="AV10785" t="s">
        <v>804</v>
      </c>
      <c r="AW10785" t="s">
        <v>198</v>
      </c>
    </row>
    <row r="10786" spans="1:50">
      <c r="A10786" s="1">
        <f>HYPERLINK("https://lsnyc.legalserver.org/matter/dynamic-profile/view/1900466","19-1900466")</f>
        <v>0</v>
      </c>
      <c r="B10786" t="s">
        <v>282</v>
      </c>
      <c r="C10786" t="s">
        <v>340</v>
      </c>
      <c r="D10786" t="s">
        <v>804</v>
      </c>
      <c r="F10786" t="s">
        <v>4906</v>
      </c>
      <c r="G10786" t="s">
        <v>4336</v>
      </c>
      <c r="H10786" t="s">
        <v>16886</v>
      </c>
      <c r="J10786" t="s">
        <v>18901</v>
      </c>
      <c r="K10786">
        <v>11434</v>
      </c>
      <c r="L10786" t="s">
        <v>18960</v>
      </c>
      <c r="M10786" t="s">
        <v>18960</v>
      </c>
      <c r="N10786" t="s">
        <v>26171</v>
      </c>
      <c r="O10786" t="s">
        <v>26524</v>
      </c>
      <c r="P10786" t="s">
        <v>26560</v>
      </c>
      <c r="R10786" t="s">
        <v>26585</v>
      </c>
      <c r="S10786" t="s">
        <v>18959</v>
      </c>
      <c r="U10786" t="s">
        <v>26604</v>
      </c>
      <c r="V10786" t="s">
        <v>26611</v>
      </c>
      <c r="X10786">
        <v>1850</v>
      </c>
      <c r="Y10786" t="s">
        <v>26653</v>
      </c>
      <c r="Z10786" t="s">
        <v>26668</v>
      </c>
      <c r="AB10786" t="s">
        <v>34138</v>
      </c>
      <c r="AE10786">
        <v>1</v>
      </c>
      <c r="AF10786" t="s">
        <v>45547</v>
      </c>
      <c r="AG10786" t="s">
        <v>19330</v>
      </c>
      <c r="AH10786">
        <v>1</v>
      </c>
      <c r="AI10786">
        <v>4</v>
      </c>
      <c r="AJ10786">
        <v>0</v>
      </c>
      <c r="AK10786">
        <v>139.81</v>
      </c>
      <c r="AO10786">
        <v>36000</v>
      </c>
      <c r="AU10786">
        <v>6.2</v>
      </c>
      <c r="AV10786" t="s">
        <v>772</v>
      </c>
      <c r="AW10786" t="s">
        <v>282</v>
      </c>
    </row>
    <row r="10787" spans="1:50">
      <c r="A10787" s="1">
        <f>HYPERLINK("https://lsnyc.legalserver.org/matter/dynamic-profile/view/1900472","19-1900472")</f>
        <v>0</v>
      </c>
      <c r="B10787" t="s">
        <v>294</v>
      </c>
      <c r="C10787" t="s">
        <v>340</v>
      </c>
      <c r="D10787" t="s">
        <v>804</v>
      </c>
      <c r="F10787" t="s">
        <v>1345</v>
      </c>
      <c r="G10787" t="s">
        <v>5634</v>
      </c>
      <c r="H10787" t="s">
        <v>16887</v>
      </c>
      <c r="I10787" t="s">
        <v>17541</v>
      </c>
      <c r="J10787" t="s">
        <v>18907</v>
      </c>
      <c r="K10787">
        <v>11377</v>
      </c>
      <c r="L10787" t="s">
        <v>18960</v>
      </c>
      <c r="M10787" t="s">
        <v>18960</v>
      </c>
      <c r="N10787" t="s">
        <v>26172</v>
      </c>
      <c r="O10787" t="s">
        <v>26524</v>
      </c>
      <c r="P10787" t="s">
        <v>26560</v>
      </c>
      <c r="R10787" t="s">
        <v>26578</v>
      </c>
      <c r="S10787" t="s">
        <v>18959</v>
      </c>
      <c r="U10787" t="s">
        <v>26604</v>
      </c>
      <c r="V10787" t="s">
        <v>26610</v>
      </c>
      <c r="X10787">
        <v>864.95</v>
      </c>
      <c r="Y10787" t="s">
        <v>26653</v>
      </c>
      <c r="Z10787" t="s">
        <v>26663</v>
      </c>
      <c r="AB10787" t="s">
        <v>34139</v>
      </c>
      <c r="AD10787" t="s">
        <v>45082</v>
      </c>
      <c r="AE10787">
        <v>0</v>
      </c>
      <c r="AF10787" t="s">
        <v>45541</v>
      </c>
      <c r="AH10787">
        <v>5</v>
      </c>
      <c r="AI10787">
        <v>1</v>
      </c>
      <c r="AJ10787">
        <v>0</v>
      </c>
      <c r="AK10787">
        <v>555.04</v>
      </c>
      <c r="AN10787" t="s">
        <v>45581</v>
      </c>
      <c r="AO10787">
        <v>69324.60000000001</v>
      </c>
      <c r="AU10787">
        <v>2.75</v>
      </c>
      <c r="AV10787" t="s">
        <v>835</v>
      </c>
      <c r="AW10787" t="s">
        <v>294</v>
      </c>
    </row>
    <row r="10788" spans="1:50">
      <c r="A10788" s="1">
        <f>HYPERLINK("https://lsnyc.legalserver.org/matter/dynamic-profile/view/1900397","19-1900397")</f>
        <v>0</v>
      </c>
      <c r="B10788" t="s">
        <v>56</v>
      </c>
      <c r="C10788" t="s">
        <v>340</v>
      </c>
      <c r="D10788" t="s">
        <v>804</v>
      </c>
      <c r="F10788" t="s">
        <v>4907</v>
      </c>
      <c r="G10788" t="s">
        <v>5330</v>
      </c>
      <c r="H10788" t="s">
        <v>14792</v>
      </c>
      <c r="I10788" t="s">
        <v>17490</v>
      </c>
      <c r="J10788" t="s">
        <v>18892</v>
      </c>
      <c r="K10788">
        <v>10467</v>
      </c>
      <c r="L10788" t="s">
        <v>18958</v>
      </c>
      <c r="M10788" t="s">
        <v>18960</v>
      </c>
      <c r="N10788" t="s">
        <v>26173</v>
      </c>
      <c r="O10788" t="s">
        <v>26523</v>
      </c>
      <c r="P10788" t="s">
        <v>26560</v>
      </c>
      <c r="R10788" t="s">
        <v>26579</v>
      </c>
      <c r="S10788" t="s">
        <v>18959</v>
      </c>
      <c r="U10788" t="s">
        <v>26604</v>
      </c>
      <c r="V10788" t="s">
        <v>26609</v>
      </c>
      <c r="X10788">
        <v>1295</v>
      </c>
      <c r="Y10788" t="s">
        <v>26650</v>
      </c>
      <c r="AB10788" t="s">
        <v>34140</v>
      </c>
      <c r="AC10788" t="s">
        <v>36748</v>
      </c>
      <c r="AD10788" t="s">
        <v>45083</v>
      </c>
      <c r="AE10788">
        <v>0</v>
      </c>
      <c r="AF10788" t="s">
        <v>45541</v>
      </c>
      <c r="AH10788">
        <v>14</v>
      </c>
      <c r="AI10788">
        <v>2</v>
      </c>
      <c r="AJ10788">
        <v>1</v>
      </c>
      <c r="AK10788">
        <v>0</v>
      </c>
      <c r="AN10788" t="s">
        <v>45581</v>
      </c>
      <c r="AO10788">
        <v>0</v>
      </c>
      <c r="AU10788">
        <v>1</v>
      </c>
      <c r="AV10788" t="s">
        <v>829</v>
      </c>
      <c r="AW10788" t="s">
        <v>284</v>
      </c>
      <c r="AX10788" t="s">
        <v>46898</v>
      </c>
    </row>
    <row r="10789" spans="1:50">
      <c r="A10789" s="1">
        <f>HYPERLINK("https://lsnyc.legalserver.org/matter/dynamic-profile/view/1900489","19-1900489")</f>
        <v>0</v>
      </c>
      <c r="B10789" t="s">
        <v>284</v>
      </c>
      <c r="C10789" t="s">
        <v>340</v>
      </c>
      <c r="D10789" t="s">
        <v>804</v>
      </c>
      <c r="F10789" t="s">
        <v>1237</v>
      </c>
      <c r="G10789" t="s">
        <v>9450</v>
      </c>
      <c r="H10789" t="s">
        <v>11762</v>
      </c>
      <c r="I10789">
        <v>323</v>
      </c>
      <c r="J10789" t="s">
        <v>18892</v>
      </c>
      <c r="K10789">
        <v>10457</v>
      </c>
      <c r="L10789" t="s">
        <v>18958</v>
      </c>
      <c r="M10789" t="s">
        <v>18960</v>
      </c>
      <c r="N10789" t="s">
        <v>26174</v>
      </c>
      <c r="O10789" t="s">
        <v>26523</v>
      </c>
      <c r="R10789" t="s">
        <v>26579</v>
      </c>
      <c r="U10789" t="s">
        <v>26604</v>
      </c>
      <c r="X10789">
        <v>548</v>
      </c>
      <c r="Y10789" t="s">
        <v>26650</v>
      </c>
      <c r="AB10789" t="s">
        <v>34141</v>
      </c>
      <c r="AD10789" t="s">
        <v>45084</v>
      </c>
      <c r="AE10789">
        <v>0</v>
      </c>
      <c r="AG10789" t="s">
        <v>45556</v>
      </c>
      <c r="AH10789">
        <v>30</v>
      </c>
      <c r="AI10789">
        <v>2</v>
      </c>
      <c r="AJ10789">
        <v>0</v>
      </c>
      <c r="AK10789">
        <v>14.76</v>
      </c>
      <c r="AN10789" t="s">
        <v>7439</v>
      </c>
      <c r="AO10789">
        <v>2496</v>
      </c>
      <c r="AU10789">
        <v>0.25</v>
      </c>
      <c r="AV10789" t="s">
        <v>829</v>
      </c>
      <c r="AW10789" t="s">
        <v>335</v>
      </c>
      <c r="AX10789" t="s">
        <v>46897</v>
      </c>
    </row>
    <row r="10790" spans="1:50">
      <c r="A10790" s="1">
        <f>HYPERLINK("https://lsnyc.legalserver.org/matter/dynamic-profile/view/1900373","19-1900373")</f>
        <v>0</v>
      </c>
      <c r="B10790" t="s">
        <v>213</v>
      </c>
      <c r="C10790" t="s">
        <v>340</v>
      </c>
      <c r="D10790" t="s">
        <v>804</v>
      </c>
      <c r="F10790" t="s">
        <v>875</v>
      </c>
      <c r="G10790" t="s">
        <v>2749</v>
      </c>
      <c r="H10790" t="s">
        <v>16888</v>
      </c>
      <c r="J10790" t="s">
        <v>18892</v>
      </c>
      <c r="K10790">
        <v>10458</v>
      </c>
      <c r="L10790" t="s">
        <v>18960</v>
      </c>
      <c r="M10790" t="s">
        <v>18960</v>
      </c>
      <c r="N10790" t="s">
        <v>26175</v>
      </c>
      <c r="O10790" t="s">
        <v>26523</v>
      </c>
      <c r="P10790" t="s">
        <v>26564</v>
      </c>
      <c r="R10790" t="s">
        <v>26577</v>
      </c>
      <c r="U10790" t="s">
        <v>26604</v>
      </c>
      <c r="X10790">
        <v>991.76</v>
      </c>
      <c r="Y10790" t="s">
        <v>26650</v>
      </c>
      <c r="AB10790" t="s">
        <v>34142</v>
      </c>
      <c r="AC10790">
        <v>1059293</v>
      </c>
      <c r="AD10790" t="s">
        <v>45085</v>
      </c>
      <c r="AE10790">
        <v>0</v>
      </c>
      <c r="AH10790">
        <v>23</v>
      </c>
      <c r="AI10790">
        <v>1</v>
      </c>
      <c r="AJ10790">
        <v>2</v>
      </c>
      <c r="AK10790">
        <v>15.08</v>
      </c>
      <c r="AN10790" t="s">
        <v>45581</v>
      </c>
      <c r="AO10790">
        <v>3216</v>
      </c>
      <c r="AP10790" t="s">
        <v>46318</v>
      </c>
      <c r="AU10790">
        <v>0.4</v>
      </c>
      <c r="AV10790" t="s">
        <v>838</v>
      </c>
      <c r="AW10790" t="s">
        <v>46836</v>
      </c>
    </row>
    <row r="10791" spans="1:50">
      <c r="A10791" s="1">
        <f>HYPERLINK("https://lsnyc.legalserver.org/matter/dynamic-profile/view/1900423","19-1900423")</f>
        <v>0</v>
      </c>
      <c r="B10791" t="s">
        <v>200</v>
      </c>
      <c r="C10791" t="s">
        <v>340</v>
      </c>
      <c r="D10791" t="s">
        <v>804</v>
      </c>
      <c r="F10791" t="s">
        <v>3180</v>
      </c>
      <c r="G10791" t="s">
        <v>1031</v>
      </c>
      <c r="H10791" t="s">
        <v>16889</v>
      </c>
      <c r="I10791" t="s">
        <v>18822</v>
      </c>
      <c r="J10791" t="s">
        <v>18894</v>
      </c>
      <c r="K10791">
        <v>11212</v>
      </c>
      <c r="L10791" t="s">
        <v>18959</v>
      </c>
      <c r="M10791" t="s">
        <v>18960</v>
      </c>
      <c r="O10791" t="s">
        <v>18997</v>
      </c>
      <c r="R10791" t="s">
        <v>26586</v>
      </c>
      <c r="U10791" t="s">
        <v>26607</v>
      </c>
      <c r="X10791">
        <v>1433</v>
      </c>
      <c r="Y10791" t="s">
        <v>26652</v>
      </c>
      <c r="Z10791" t="s">
        <v>26530</v>
      </c>
      <c r="AB10791" t="s">
        <v>29882</v>
      </c>
      <c r="AD10791" t="s">
        <v>45086</v>
      </c>
      <c r="AE10791">
        <v>0</v>
      </c>
      <c r="AG10791" t="s">
        <v>26530</v>
      </c>
      <c r="AH10791">
        <v>8</v>
      </c>
      <c r="AI10791">
        <v>1</v>
      </c>
      <c r="AJ10791">
        <v>0</v>
      </c>
      <c r="AK10791">
        <v>36.12</v>
      </c>
      <c r="AN10791" t="s">
        <v>7439</v>
      </c>
      <c r="AO10791">
        <v>4512</v>
      </c>
      <c r="AU10791">
        <v>0.2</v>
      </c>
      <c r="AV10791" t="s">
        <v>807</v>
      </c>
      <c r="AW10791" t="s">
        <v>46853</v>
      </c>
    </row>
    <row r="10792" spans="1:50">
      <c r="A10792" s="1">
        <f>HYPERLINK("https://lsnyc.legalserver.org/matter/dynamic-profile/view/1900451","19-1900451")</f>
        <v>0</v>
      </c>
      <c r="B10792" t="s">
        <v>101</v>
      </c>
      <c r="C10792" t="s">
        <v>340</v>
      </c>
      <c r="D10792" t="s">
        <v>804</v>
      </c>
      <c r="F10792" t="s">
        <v>4908</v>
      </c>
      <c r="G10792" t="s">
        <v>3599</v>
      </c>
      <c r="H10792" t="s">
        <v>16890</v>
      </c>
      <c r="I10792" t="s">
        <v>18680</v>
      </c>
      <c r="J10792" t="s">
        <v>18894</v>
      </c>
      <c r="K10792">
        <v>11213</v>
      </c>
      <c r="L10792" t="s">
        <v>18959</v>
      </c>
      <c r="M10792" t="s">
        <v>18960</v>
      </c>
      <c r="N10792" t="s">
        <v>26176</v>
      </c>
      <c r="O10792" t="s">
        <v>26524</v>
      </c>
      <c r="P10792" t="s">
        <v>26563</v>
      </c>
      <c r="R10792" t="s">
        <v>26586</v>
      </c>
      <c r="U10792" t="s">
        <v>26604</v>
      </c>
      <c r="X10792">
        <v>551.34</v>
      </c>
      <c r="Y10792" t="s">
        <v>26652</v>
      </c>
      <c r="Z10792" t="s">
        <v>26663</v>
      </c>
      <c r="AB10792" t="s">
        <v>33928</v>
      </c>
      <c r="AD10792" t="s">
        <v>38310</v>
      </c>
      <c r="AE10792">
        <v>4</v>
      </c>
      <c r="AH10792">
        <v>13</v>
      </c>
      <c r="AI10792">
        <v>1</v>
      </c>
      <c r="AJ10792">
        <v>0</v>
      </c>
      <c r="AK10792">
        <v>229.4</v>
      </c>
      <c r="AL10792" t="s">
        <v>835</v>
      </c>
      <c r="AM10792" t="s">
        <v>45575</v>
      </c>
      <c r="AN10792" t="s">
        <v>7439</v>
      </c>
      <c r="AO10792">
        <v>28652</v>
      </c>
      <c r="AU10792">
        <v>8.6</v>
      </c>
      <c r="AV10792" t="s">
        <v>720</v>
      </c>
      <c r="AW10792" t="s">
        <v>46856</v>
      </c>
    </row>
    <row r="10793" spans="1:50">
      <c r="A10793" s="1">
        <f>HYPERLINK("https://lsnyc.legalserver.org/matter/dynamic-profile/view/1900456","19-1900456")</f>
        <v>0</v>
      </c>
      <c r="B10793" t="s">
        <v>142</v>
      </c>
      <c r="C10793" t="s">
        <v>340</v>
      </c>
      <c r="D10793" t="s">
        <v>804</v>
      </c>
      <c r="F10793" t="s">
        <v>2329</v>
      </c>
      <c r="G10793" t="s">
        <v>9451</v>
      </c>
      <c r="H10793" t="s">
        <v>16891</v>
      </c>
      <c r="I10793" t="s">
        <v>18823</v>
      </c>
      <c r="J10793" t="s">
        <v>18900</v>
      </c>
      <c r="K10793">
        <v>11367</v>
      </c>
      <c r="L10793" t="s">
        <v>18958</v>
      </c>
      <c r="M10793" t="s">
        <v>18960</v>
      </c>
      <c r="N10793" t="s">
        <v>26177</v>
      </c>
      <c r="O10793" t="s">
        <v>26523</v>
      </c>
      <c r="P10793" t="s">
        <v>26560</v>
      </c>
      <c r="R10793" t="s">
        <v>26584</v>
      </c>
      <c r="S10793" t="s">
        <v>18959</v>
      </c>
      <c r="U10793" t="s">
        <v>26604</v>
      </c>
      <c r="V10793" t="s">
        <v>26610</v>
      </c>
      <c r="X10793">
        <v>1396.94</v>
      </c>
      <c r="Y10793" t="s">
        <v>26653</v>
      </c>
      <c r="AB10793" t="s">
        <v>33760</v>
      </c>
      <c r="AD10793" t="s">
        <v>45087</v>
      </c>
      <c r="AE10793">
        <v>174</v>
      </c>
      <c r="AF10793" t="s">
        <v>45541</v>
      </c>
      <c r="AH10793">
        <v>6</v>
      </c>
      <c r="AI10793">
        <v>1</v>
      </c>
      <c r="AJ10793">
        <v>0</v>
      </c>
      <c r="AK10793">
        <v>117.12</v>
      </c>
      <c r="AN10793" t="s">
        <v>7439</v>
      </c>
      <c r="AO10793">
        <v>14628</v>
      </c>
      <c r="AU10793">
        <v>3.75</v>
      </c>
      <c r="AV10793" t="s">
        <v>836</v>
      </c>
      <c r="AW10793" t="s">
        <v>141</v>
      </c>
      <c r="AX10793" t="s">
        <v>46897</v>
      </c>
    </row>
    <row r="10794" spans="1:50">
      <c r="A10794" s="1">
        <f>HYPERLINK("https://lsnyc.legalserver.org/matter/dynamic-profile/view/1900453","19-1900453")</f>
        <v>0</v>
      </c>
      <c r="B10794" t="s">
        <v>121</v>
      </c>
      <c r="C10794" t="s">
        <v>340</v>
      </c>
      <c r="D10794" t="s">
        <v>804</v>
      </c>
      <c r="F10794" t="s">
        <v>4909</v>
      </c>
      <c r="G10794" t="s">
        <v>5224</v>
      </c>
      <c r="H10794" t="s">
        <v>16892</v>
      </c>
      <c r="I10794" t="s">
        <v>17360</v>
      </c>
      <c r="J10794" t="s">
        <v>18892</v>
      </c>
      <c r="K10794">
        <v>10460</v>
      </c>
      <c r="L10794" t="s">
        <v>18958</v>
      </c>
      <c r="M10794" t="s">
        <v>18960</v>
      </c>
      <c r="N10794" t="s">
        <v>26178</v>
      </c>
      <c r="O10794" t="s">
        <v>26523</v>
      </c>
      <c r="P10794" t="s">
        <v>26560</v>
      </c>
      <c r="R10794" t="s">
        <v>26577</v>
      </c>
      <c r="U10794" t="s">
        <v>26604</v>
      </c>
      <c r="X10794">
        <v>258.43</v>
      </c>
      <c r="Y10794" t="s">
        <v>26650</v>
      </c>
      <c r="Z10794" t="s">
        <v>26659</v>
      </c>
      <c r="AB10794" t="s">
        <v>34143</v>
      </c>
      <c r="AD10794" t="s">
        <v>45088</v>
      </c>
      <c r="AE10794">
        <v>0</v>
      </c>
      <c r="AF10794" t="s">
        <v>45541</v>
      </c>
      <c r="AG10794" t="s">
        <v>45556</v>
      </c>
      <c r="AH10794">
        <v>39</v>
      </c>
      <c r="AI10794">
        <v>1</v>
      </c>
      <c r="AJ10794">
        <v>0</v>
      </c>
      <c r="AK10794">
        <v>115.29</v>
      </c>
      <c r="AN10794" t="s">
        <v>7439</v>
      </c>
      <c r="AO10794">
        <v>14400</v>
      </c>
      <c r="AU10794">
        <v>1.7</v>
      </c>
      <c r="AV10794" t="s">
        <v>828</v>
      </c>
      <c r="AW10794" t="s">
        <v>46836</v>
      </c>
      <c r="AX10794" t="s">
        <v>46897</v>
      </c>
    </row>
    <row r="10795" spans="1:50">
      <c r="A10795" s="1">
        <f>HYPERLINK("https://lsnyc.legalserver.org/matter/dynamic-profile/view/1900481","19-1900481")</f>
        <v>0</v>
      </c>
      <c r="B10795" t="s">
        <v>263</v>
      </c>
      <c r="C10795" t="s">
        <v>340</v>
      </c>
      <c r="D10795" t="s">
        <v>804</v>
      </c>
      <c r="F10795" t="s">
        <v>3369</v>
      </c>
      <c r="G10795" t="s">
        <v>9452</v>
      </c>
      <c r="H10795" t="s">
        <v>16893</v>
      </c>
      <c r="I10795" t="s">
        <v>17522</v>
      </c>
      <c r="J10795" t="s">
        <v>18892</v>
      </c>
      <c r="K10795">
        <v>10463</v>
      </c>
      <c r="L10795" t="s">
        <v>18960</v>
      </c>
      <c r="M10795" t="s">
        <v>18960</v>
      </c>
      <c r="P10795" t="s">
        <v>26564</v>
      </c>
      <c r="R10795" t="s">
        <v>26591</v>
      </c>
      <c r="U10795" t="s">
        <v>26604</v>
      </c>
      <c r="X10795">
        <v>1404.97</v>
      </c>
      <c r="Y10795" t="s">
        <v>26650</v>
      </c>
      <c r="Z10795" t="s">
        <v>26673</v>
      </c>
      <c r="AB10795" t="s">
        <v>34144</v>
      </c>
      <c r="AD10795" t="s">
        <v>45089</v>
      </c>
      <c r="AE10795">
        <v>0</v>
      </c>
      <c r="AF10795" t="s">
        <v>45541</v>
      </c>
      <c r="AG10795" t="s">
        <v>45556</v>
      </c>
      <c r="AH10795">
        <v>15</v>
      </c>
      <c r="AI10795">
        <v>1</v>
      </c>
      <c r="AJ10795">
        <v>0</v>
      </c>
      <c r="AK10795">
        <v>26.9</v>
      </c>
      <c r="AN10795" t="s">
        <v>7439</v>
      </c>
      <c r="AO10795">
        <v>3360</v>
      </c>
      <c r="AU10795">
        <v>2</v>
      </c>
      <c r="AV10795" t="s">
        <v>797</v>
      </c>
      <c r="AW10795" t="s">
        <v>46858</v>
      </c>
    </row>
    <row r="10796" spans="1:50">
      <c r="A10796" s="1">
        <f>HYPERLINK("https://lsnyc.legalserver.org/matter/dynamic-profile/view/1900422","19-1900422")</f>
        <v>0</v>
      </c>
      <c r="B10796" t="s">
        <v>194</v>
      </c>
      <c r="C10796" t="s">
        <v>340</v>
      </c>
      <c r="D10796" t="s">
        <v>804</v>
      </c>
      <c r="F10796" t="s">
        <v>1467</v>
      </c>
      <c r="G10796" t="s">
        <v>6745</v>
      </c>
      <c r="H10796" t="s">
        <v>16894</v>
      </c>
      <c r="J10796" t="s">
        <v>18893</v>
      </c>
      <c r="K10796">
        <v>10031</v>
      </c>
      <c r="L10796" t="s">
        <v>18960</v>
      </c>
      <c r="M10796" t="s">
        <v>18960</v>
      </c>
      <c r="O10796" t="s">
        <v>26523</v>
      </c>
      <c r="P10796" t="s">
        <v>26560</v>
      </c>
      <c r="R10796" t="s">
        <v>26578</v>
      </c>
      <c r="U10796" t="s">
        <v>26604</v>
      </c>
      <c r="X10796">
        <v>0</v>
      </c>
      <c r="Y10796" t="s">
        <v>26651</v>
      </c>
      <c r="AB10796" t="s">
        <v>34145</v>
      </c>
      <c r="AD10796" t="s">
        <v>45090</v>
      </c>
      <c r="AE10796">
        <v>0</v>
      </c>
      <c r="AH10796">
        <v>0</v>
      </c>
      <c r="AI10796">
        <v>1</v>
      </c>
      <c r="AJ10796">
        <v>0</v>
      </c>
      <c r="AK10796">
        <v>181.68</v>
      </c>
      <c r="AN10796" t="s">
        <v>7439</v>
      </c>
      <c r="AO10796">
        <v>22692</v>
      </c>
      <c r="AU10796">
        <v>1.7</v>
      </c>
      <c r="AV10796" t="s">
        <v>834</v>
      </c>
      <c r="AW10796" t="s">
        <v>264</v>
      </c>
    </row>
    <row r="10797" spans="1:50">
      <c r="A10797" s="1">
        <f>HYPERLINK("https://lsnyc.legalserver.org/matter/dynamic-profile/view/1900409","19-1900409")</f>
        <v>0</v>
      </c>
      <c r="B10797" t="s">
        <v>194</v>
      </c>
      <c r="C10797" t="s">
        <v>340</v>
      </c>
      <c r="D10797" t="s">
        <v>804</v>
      </c>
      <c r="F10797" t="s">
        <v>2819</v>
      </c>
      <c r="G10797" t="s">
        <v>994</v>
      </c>
      <c r="H10797" t="s">
        <v>16895</v>
      </c>
      <c r="J10797" t="s">
        <v>18893</v>
      </c>
      <c r="K10797">
        <v>10031</v>
      </c>
      <c r="L10797" t="s">
        <v>18960</v>
      </c>
      <c r="M10797" t="s">
        <v>18960</v>
      </c>
      <c r="N10797" t="s">
        <v>26179</v>
      </c>
      <c r="O10797" t="s">
        <v>26523</v>
      </c>
      <c r="P10797" t="s">
        <v>26560</v>
      </c>
      <c r="R10797" t="s">
        <v>26580</v>
      </c>
      <c r="S10797" t="s">
        <v>18959</v>
      </c>
      <c r="U10797" t="s">
        <v>26604</v>
      </c>
      <c r="X10797">
        <v>800</v>
      </c>
      <c r="Y10797" t="s">
        <v>26651</v>
      </c>
      <c r="Z10797" t="s">
        <v>26664</v>
      </c>
      <c r="AB10797" t="s">
        <v>34146</v>
      </c>
      <c r="AD10797" t="s">
        <v>45091</v>
      </c>
      <c r="AE10797">
        <v>14</v>
      </c>
      <c r="AH10797">
        <v>2</v>
      </c>
      <c r="AI10797">
        <v>1</v>
      </c>
      <c r="AJ10797">
        <v>0</v>
      </c>
      <c r="AK10797">
        <v>112.09</v>
      </c>
      <c r="AN10797" t="s">
        <v>7439</v>
      </c>
      <c r="AO10797">
        <v>14000</v>
      </c>
      <c r="AU10797">
        <v>15.6</v>
      </c>
      <c r="AV10797" t="s">
        <v>821</v>
      </c>
      <c r="AW10797" t="s">
        <v>264</v>
      </c>
    </row>
    <row r="10798" spans="1:50">
      <c r="A10798" s="1">
        <f>HYPERLINK("https://lsnyc.legalserver.org/matter/dynamic-profile/view/1900505","19-1900505")</f>
        <v>0</v>
      </c>
      <c r="B10798" t="s">
        <v>69</v>
      </c>
      <c r="C10798" t="s">
        <v>340</v>
      </c>
      <c r="D10798" t="s">
        <v>804</v>
      </c>
      <c r="F10798" t="s">
        <v>1730</v>
      </c>
      <c r="G10798" t="s">
        <v>3036</v>
      </c>
      <c r="H10798" t="s">
        <v>16896</v>
      </c>
      <c r="I10798">
        <v>1</v>
      </c>
      <c r="J10798" t="s">
        <v>18892</v>
      </c>
      <c r="K10798">
        <v>10460</v>
      </c>
      <c r="L10798" t="s">
        <v>18958</v>
      </c>
      <c r="M10798" t="s">
        <v>18960</v>
      </c>
      <c r="O10798" t="s">
        <v>26524</v>
      </c>
      <c r="P10798" t="s">
        <v>26564</v>
      </c>
      <c r="R10798" t="s">
        <v>26577</v>
      </c>
      <c r="U10798" t="s">
        <v>26604</v>
      </c>
      <c r="X10798">
        <v>1635</v>
      </c>
      <c r="Y10798" t="s">
        <v>26650</v>
      </c>
      <c r="AB10798" t="s">
        <v>34147</v>
      </c>
      <c r="AD10798" t="s">
        <v>45092</v>
      </c>
      <c r="AE10798">
        <v>2</v>
      </c>
      <c r="AF10798" t="s">
        <v>45547</v>
      </c>
      <c r="AG10798" t="s">
        <v>45556</v>
      </c>
      <c r="AH10798">
        <v>10</v>
      </c>
      <c r="AI10798">
        <v>1</v>
      </c>
      <c r="AJ10798">
        <v>0</v>
      </c>
      <c r="AK10798">
        <v>3.36</v>
      </c>
      <c r="AN10798" t="s">
        <v>7439</v>
      </c>
      <c r="AO10798">
        <v>420</v>
      </c>
      <c r="AP10798" t="s">
        <v>46322</v>
      </c>
      <c r="AU10798">
        <v>0.5</v>
      </c>
      <c r="AV10798" t="s">
        <v>804</v>
      </c>
      <c r="AW10798" t="s">
        <v>46870</v>
      </c>
      <c r="AX10798" t="s">
        <v>46897</v>
      </c>
    </row>
    <row r="10799" spans="1:50">
      <c r="A10799" s="1">
        <f>HYPERLINK("https://lsnyc.legalserver.org/matter/dynamic-profile/view/1900388","19-1900388")</f>
        <v>0</v>
      </c>
      <c r="B10799" t="s">
        <v>221</v>
      </c>
      <c r="C10799" t="s">
        <v>340</v>
      </c>
      <c r="D10799" t="s">
        <v>804</v>
      </c>
      <c r="F10799" t="s">
        <v>1603</v>
      </c>
      <c r="G10799" t="s">
        <v>5706</v>
      </c>
      <c r="H10799" t="s">
        <v>16897</v>
      </c>
      <c r="I10799" t="s">
        <v>18824</v>
      </c>
      <c r="J10799" t="s">
        <v>18906</v>
      </c>
      <c r="K10799">
        <v>11373</v>
      </c>
      <c r="L10799" t="s">
        <v>18960</v>
      </c>
      <c r="M10799" t="s">
        <v>18960</v>
      </c>
      <c r="N10799" t="s">
        <v>26180</v>
      </c>
      <c r="O10799" t="s">
        <v>26524</v>
      </c>
      <c r="P10799" t="s">
        <v>26560</v>
      </c>
      <c r="R10799" t="s">
        <v>26591</v>
      </c>
      <c r="U10799" t="s">
        <v>26604</v>
      </c>
      <c r="X10799">
        <v>1262.03</v>
      </c>
      <c r="Y10799" t="s">
        <v>26653</v>
      </c>
      <c r="AB10799" t="s">
        <v>27158</v>
      </c>
      <c r="AD10799" t="s">
        <v>45093</v>
      </c>
      <c r="AE10799">
        <v>139</v>
      </c>
      <c r="AH10799">
        <v>12</v>
      </c>
      <c r="AI10799">
        <v>2</v>
      </c>
      <c r="AJ10799">
        <v>4</v>
      </c>
      <c r="AK10799">
        <v>131.15</v>
      </c>
      <c r="AN10799" t="s">
        <v>7439</v>
      </c>
      <c r="AO10799">
        <v>45364.8</v>
      </c>
      <c r="AU10799">
        <v>25.15</v>
      </c>
      <c r="AV10799" t="s">
        <v>838</v>
      </c>
      <c r="AW10799" t="s">
        <v>46850</v>
      </c>
    </row>
    <row r="10800" spans="1:50">
      <c r="A10800" s="1">
        <f>HYPERLINK("https://lsnyc.legalserver.org/matter/dynamic-profile/view/1900597","19-1900597")</f>
        <v>0</v>
      </c>
      <c r="B10800" t="s">
        <v>162</v>
      </c>
      <c r="C10800" t="s">
        <v>341</v>
      </c>
      <c r="D10800" t="s">
        <v>806</v>
      </c>
      <c r="E10800" t="s">
        <v>839</v>
      </c>
      <c r="F10800" t="s">
        <v>4715</v>
      </c>
      <c r="G10800" t="s">
        <v>5806</v>
      </c>
      <c r="H10800" t="s">
        <v>16442</v>
      </c>
      <c r="I10800" t="s">
        <v>17317</v>
      </c>
      <c r="J10800" t="s">
        <v>18894</v>
      </c>
      <c r="K10800">
        <v>11236</v>
      </c>
      <c r="L10800" t="s">
        <v>18960</v>
      </c>
      <c r="M10800" t="s">
        <v>18960</v>
      </c>
      <c r="Q10800" t="s">
        <v>26570</v>
      </c>
      <c r="R10800" t="s">
        <v>26591</v>
      </c>
      <c r="U10800" t="s">
        <v>26604</v>
      </c>
      <c r="X10800">
        <v>0</v>
      </c>
      <c r="Y10800" t="s">
        <v>26652</v>
      </c>
      <c r="AA10800" t="s">
        <v>26683</v>
      </c>
      <c r="AB10800" t="s">
        <v>32653</v>
      </c>
      <c r="AD10800" t="s">
        <v>44566</v>
      </c>
      <c r="AE10800">
        <v>0</v>
      </c>
      <c r="AH10800">
        <v>0</v>
      </c>
      <c r="AI10800">
        <v>2</v>
      </c>
      <c r="AJ10800">
        <v>1</v>
      </c>
      <c r="AK10800">
        <v>106.54</v>
      </c>
      <c r="AN10800" t="s">
        <v>7439</v>
      </c>
      <c r="AO10800">
        <v>22724</v>
      </c>
      <c r="AU10800">
        <v>1</v>
      </c>
      <c r="AV10800" t="s">
        <v>806</v>
      </c>
      <c r="AW10800" t="s">
        <v>46850</v>
      </c>
    </row>
    <row r="10801" spans="1:50">
      <c r="A10801" s="1">
        <f>HYPERLINK("https://lsnyc.legalserver.org/matter/dynamic-profile/view/1900628","19-1900628")</f>
        <v>0</v>
      </c>
      <c r="B10801" t="s">
        <v>162</v>
      </c>
      <c r="C10801" t="s">
        <v>341</v>
      </c>
      <c r="D10801" t="s">
        <v>806</v>
      </c>
      <c r="E10801" t="s">
        <v>839</v>
      </c>
      <c r="F10801" t="s">
        <v>4612</v>
      </c>
      <c r="G10801" t="s">
        <v>1901</v>
      </c>
      <c r="H10801" t="s">
        <v>16898</v>
      </c>
      <c r="I10801" t="s">
        <v>18825</v>
      </c>
      <c r="J10801" t="s">
        <v>18894</v>
      </c>
      <c r="K10801">
        <v>11235</v>
      </c>
      <c r="L10801" t="s">
        <v>18958</v>
      </c>
      <c r="M10801" t="s">
        <v>18960</v>
      </c>
      <c r="N10801" t="s">
        <v>26181</v>
      </c>
      <c r="O10801" t="s">
        <v>26523</v>
      </c>
      <c r="P10801" t="s">
        <v>26560</v>
      </c>
      <c r="Q10801" t="s">
        <v>26570</v>
      </c>
      <c r="R10801" t="s">
        <v>26586</v>
      </c>
      <c r="U10801" t="s">
        <v>26604</v>
      </c>
      <c r="X10801">
        <v>2275</v>
      </c>
      <c r="Y10801" t="s">
        <v>26652</v>
      </c>
      <c r="Z10801" t="s">
        <v>26664</v>
      </c>
      <c r="AA10801" t="s">
        <v>26683</v>
      </c>
      <c r="AB10801" t="s">
        <v>32458</v>
      </c>
      <c r="AD10801" t="s">
        <v>45094</v>
      </c>
      <c r="AE10801">
        <v>0</v>
      </c>
      <c r="AH10801">
        <v>5</v>
      </c>
      <c r="AI10801">
        <v>1</v>
      </c>
      <c r="AJ10801">
        <v>0</v>
      </c>
      <c r="AK10801">
        <v>162.37</v>
      </c>
      <c r="AN10801" t="s">
        <v>7439</v>
      </c>
      <c r="AO10801">
        <v>20280</v>
      </c>
      <c r="AU10801">
        <v>0.5</v>
      </c>
      <c r="AV10801" t="s">
        <v>806</v>
      </c>
      <c r="AW10801" t="s">
        <v>46849</v>
      </c>
    </row>
    <row r="10802" spans="1:50">
      <c r="A10802" s="1">
        <f>HYPERLINK("https://lsnyc.legalserver.org/matter/dynamic-profile/view/1900633","19-1900633")</f>
        <v>0</v>
      </c>
      <c r="B10802" t="s">
        <v>232</v>
      </c>
      <c r="C10802" t="s">
        <v>341</v>
      </c>
      <c r="D10802" t="s">
        <v>806</v>
      </c>
      <c r="E10802" t="s">
        <v>827</v>
      </c>
      <c r="F10802" t="s">
        <v>1757</v>
      </c>
      <c r="G10802" t="s">
        <v>9453</v>
      </c>
      <c r="J10802" t="s">
        <v>18894</v>
      </c>
      <c r="K10802">
        <v>11228</v>
      </c>
      <c r="L10802" t="s">
        <v>18960</v>
      </c>
      <c r="M10802" t="s">
        <v>18960</v>
      </c>
      <c r="P10802" t="s">
        <v>26565</v>
      </c>
      <c r="Q10802" t="s">
        <v>26570</v>
      </c>
      <c r="R10802" t="s">
        <v>26591</v>
      </c>
      <c r="U10802" t="s">
        <v>26604</v>
      </c>
      <c r="X10802">
        <v>0</v>
      </c>
      <c r="Y10802" t="s">
        <v>26652</v>
      </c>
      <c r="AA10802" t="s">
        <v>26683</v>
      </c>
      <c r="AE10802">
        <v>0</v>
      </c>
      <c r="AH10802">
        <v>0</v>
      </c>
      <c r="AI10802">
        <v>1</v>
      </c>
      <c r="AJ10802">
        <v>0</v>
      </c>
      <c r="AK10802">
        <v>0</v>
      </c>
      <c r="AN10802" t="s">
        <v>7439</v>
      </c>
      <c r="AO10802">
        <v>0</v>
      </c>
      <c r="AU10802">
        <v>1</v>
      </c>
      <c r="AV10802" t="s">
        <v>806</v>
      </c>
      <c r="AW10802" t="s">
        <v>46856</v>
      </c>
    </row>
    <row r="10803" spans="1:50">
      <c r="A10803" s="1">
        <f>HYPERLINK("https://lsnyc.legalserver.org/matter/dynamic-profile/view/1900585","19-1900585")</f>
        <v>0</v>
      </c>
      <c r="B10803" t="s">
        <v>230</v>
      </c>
      <c r="C10803" t="s">
        <v>340</v>
      </c>
      <c r="D10803" t="s">
        <v>806</v>
      </c>
      <c r="F10803" t="s">
        <v>2536</v>
      </c>
      <c r="G10803" t="s">
        <v>6302</v>
      </c>
      <c r="H10803" t="s">
        <v>16899</v>
      </c>
      <c r="I10803" t="s">
        <v>18826</v>
      </c>
      <c r="J10803" t="s">
        <v>18894</v>
      </c>
      <c r="K10803">
        <v>11238</v>
      </c>
      <c r="L10803" t="s">
        <v>18960</v>
      </c>
      <c r="M10803" t="s">
        <v>18960</v>
      </c>
      <c r="N10803" t="s">
        <v>26182</v>
      </c>
      <c r="R10803" t="s">
        <v>26586</v>
      </c>
      <c r="U10803" t="s">
        <v>26605</v>
      </c>
      <c r="X10803">
        <v>0</v>
      </c>
      <c r="Y10803" t="s">
        <v>26652</v>
      </c>
      <c r="AB10803" t="s">
        <v>30857</v>
      </c>
      <c r="AD10803" t="s">
        <v>45095</v>
      </c>
      <c r="AE10803">
        <v>0</v>
      </c>
      <c r="AH10803">
        <v>7</v>
      </c>
      <c r="AI10803">
        <v>1</v>
      </c>
      <c r="AJ10803">
        <v>0</v>
      </c>
      <c r="AK10803">
        <v>76.86</v>
      </c>
      <c r="AN10803" t="s">
        <v>7439</v>
      </c>
      <c r="AO10803">
        <v>9600</v>
      </c>
      <c r="AU10803">
        <v>2.8</v>
      </c>
      <c r="AV10803" t="s">
        <v>835</v>
      </c>
      <c r="AW10803" t="s">
        <v>46857</v>
      </c>
    </row>
    <row r="10804" spans="1:50">
      <c r="A10804" s="1">
        <f>HYPERLINK("https://lsnyc.legalserver.org/matter/dynamic-profile/view/1900593","19-1900593")</f>
        <v>0</v>
      </c>
      <c r="B10804" t="s">
        <v>180</v>
      </c>
      <c r="C10804" t="s">
        <v>340</v>
      </c>
      <c r="D10804" t="s">
        <v>806</v>
      </c>
      <c r="F10804" t="s">
        <v>4910</v>
      </c>
      <c r="G10804" t="s">
        <v>8843</v>
      </c>
      <c r="H10804" t="s">
        <v>16900</v>
      </c>
      <c r="I10804">
        <v>3</v>
      </c>
      <c r="J10804" t="s">
        <v>18894</v>
      </c>
      <c r="K10804">
        <v>11236</v>
      </c>
      <c r="L10804" t="s">
        <v>18960</v>
      </c>
      <c r="M10804" t="s">
        <v>18960</v>
      </c>
      <c r="N10804" t="s">
        <v>26183</v>
      </c>
      <c r="O10804" t="s">
        <v>26524</v>
      </c>
      <c r="P10804" t="s">
        <v>26564</v>
      </c>
      <c r="R10804" t="s">
        <v>26586</v>
      </c>
      <c r="U10804" t="s">
        <v>26604</v>
      </c>
      <c r="X10804">
        <v>1956</v>
      </c>
      <c r="Y10804" t="s">
        <v>26652</v>
      </c>
      <c r="AB10804" t="s">
        <v>30998</v>
      </c>
      <c r="AD10804" t="s">
        <v>45096</v>
      </c>
      <c r="AE10804">
        <v>2</v>
      </c>
      <c r="AG10804" t="s">
        <v>45562</v>
      </c>
      <c r="AH10804">
        <v>3</v>
      </c>
      <c r="AI10804">
        <v>1</v>
      </c>
      <c r="AJ10804">
        <v>3</v>
      </c>
      <c r="AK10804">
        <v>25.24</v>
      </c>
      <c r="AN10804" t="s">
        <v>7439</v>
      </c>
      <c r="AO10804">
        <v>6500</v>
      </c>
      <c r="AU10804">
        <v>1.9</v>
      </c>
      <c r="AV10804" t="s">
        <v>772</v>
      </c>
      <c r="AW10804" t="s">
        <v>46849</v>
      </c>
    </row>
    <row r="10805" spans="1:50">
      <c r="A10805" s="1">
        <f>HYPERLINK("https://lsnyc.legalserver.org/matter/dynamic-profile/view/1900711","19-1900711")</f>
        <v>0</v>
      </c>
      <c r="B10805" t="s">
        <v>186</v>
      </c>
      <c r="C10805" t="s">
        <v>340</v>
      </c>
      <c r="D10805" t="s">
        <v>806</v>
      </c>
      <c r="F10805" t="s">
        <v>4911</v>
      </c>
      <c r="G10805" t="s">
        <v>4528</v>
      </c>
      <c r="H10805" t="s">
        <v>16901</v>
      </c>
      <c r="I10805">
        <v>303</v>
      </c>
      <c r="J10805" t="s">
        <v>18894</v>
      </c>
      <c r="K10805">
        <v>11231</v>
      </c>
      <c r="L10805" t="s">
        <v>18960</v>
      </c>
      <c r="M10805" t="s">
        <v>18960</v>
      </c>
      <c r="N10805" t="s">
        <v>26184</v>
      </c>
      <c r="O10805" t="s">
        <v>26523</v>
      </c>
      <c r="P10805" t="s">
        <v>26563</v>
      </c>
      <c r="R10805" t="s">
        <v>26583</v>
      </c>
      <c r="S10805" t="s">
        <v>18959</v>
      </c>
      <c r="U10805" t="s">
        <v>26604</v>
      </c>
      <c r="V10805" t="s">
        <v>26611</v>
      </c>
      <c r="X10805">
        <v>2825</v>
      </c>
      <c r="Y10805" t="s">
        <v>26652</v>
      </c>
      <c r="Z10805" t="s">
        <v>26663</v>
      </c>
      <c r="AB10805" t="s">
        <v>34148</v>
      </c>
      <c r="AD10805" t="s">
        <v>45097</v>
      </c>
      <c r="AE10805">
        <v>100</v>
      </c>
      <c r="AF10805" t="s">
        <v>20460</v>
      </c>
      <c r="AH10805">
        <v>0</v>
      </c>
      <c r="AI10805">
        <v>2</v>
      </c>
      <c r="AJ10805">
        <v>0</v>
      </c>
      <c r="AK10805">
        <v>650.5</v>
      </c>
      <c r="AN10805" t="s">
        <v>7439</v>
      </c>
      <c r="AO10805">
        <v>110000</v>
      </c>
      <c r="AU10805">
        <v>8.75</v>
      </c>
      <c r="AV10805" t="s">
        <v>833</v>
      </c>
      <c r="AW10805" t="s">
        <v>252</v>
      </c>
    </row>
    <row r="10806" spans="1:50">
      <c r="A10806" s="1">
        <f>HYPERLINK("https://lsnyc.legalserver.org/matter/dynamic-profile/view/1897000","19-1897000")</f>
        <v>0</v>
      </c>
      <c r="B10806" t="s">
        <v>66</v>
      </c>
      <c r="C10806" t="s">
        <v>340</v>
      </c>
      <c r="D10806" t="s">
        <v>806</v>
      </c>
      <c r="F10806" t="s">
        <v>4001</v>
      </c>
      <c r="G10806" t="s">
        <v>6434</v>
      </c>
      <c r="H10806" t="s">
        <v>15588</v>
      </c>
      <c r="I10806" t="s">
        <v>17316</v>
      </c>
      <c r="J10806" t="s">
        <v>18893</v>
      </c>
      <c r="K10806">
        <v>10027</v>
      </c>
      <c r="L10806" t="s">
        <v>18958</v>
      </c>
      <c r="M10806" t="s">
        <v>18958</v>
      </c>
      <c r="O10806" t="s">
        <v>26523</v>
      </c>
      <c r="R10806" t="s">
        <v>26580</v>
      </c>
      <c r="S10806" t="s">
        <v>18959</v>
      </c>
      <c r="U10806" t="s">
        <v>26605</v>
      </c>
      <c r="X10806">
        <v>1074</v>
      </c>
      <c r="Y10806" t="s">
        <v>26651</v>
      </c>
      <c r="Z10806" t="s">
        <v>26664</v>
      </c>
      <c r="AB10806" t="s">
        <v>27944</v>
      </c>
      <c r="AD10806" t="s">
        <v>45098</v>
      </c>
      <c r="AE10806">
        <v>0</v>
      </c>
      <c r="AF10806" t="s">
        <v>45549</v>
      </c>
      <c r="AH10806">
        <v>37</v>
      </c>
      <c r="AI10806">
        <v>3</v>
      </c>
      <c r="AJ10806">
        <v>0</v>
      </c>
      <c r="AK10806">
        <v>262.88</v>
      </c>
      <c r="AN10806" t="s">
        <v>7439</v>
      </c>
      <c r="AO10806">
        <v>56072</v>
      </c>
      <c r="AU10806">
        <v>6.25</v>
      </c>
      <c r="AV10806" t="s">
        <v>809</v>
      </c>
      <c r="AW10806" t="s">
        <v>317</v>
      </c>
    </row>
    <row r="10807" spans="1:50">
      <c r="A10807" s="1">
        <f>HYPERLINK("https://lsnyc.legalserver.org/matter/dynamic-profile/view/1900522","19-1900522")</f>
        <v>0</v>
      </c>
      <c r="B10807" t="s">
        <v>55</v>
      </c>
      <c r="C10807" t="s">
        <v>340</v>
      </c>
      <c r="D10807" t="s">
        <v>806</v>
      </c>
      <c r="F10807" t="s">
        <v>887</v>
      </c>
      <c r="G10807" t="s">
        <v>8152</v>
      </c>
      <c r="H10807" t="s">
        <v>12199</v>
      </c>
      <c r="I10807" t="s">
        <v>17312</v>
      </c>
      <c r="J10807" t="s">
        <v>18892</v>
      </c>
      <c r="K10807">
        <v>10460</v>
      </c>
      <c r="L10807" t="s">
        <v>18958</v>
      </c>
      <c r="M10807" t="s">
        <v>18960</v>
      </c>
      <c r="O10807" t="s">
        <v>18997</v>
      </c>
      <c r="P10807" t="s">
        <v>26562</v>
      </c>
      <c r="R10807" t="s">
        <v>26578</v>
      </c>
      <c r="S10807" t="s">
        <v>18959</v>
      </c>
      <c r="U10807" t="s">
        <v>26604</v>
      </c>
      <c r="X10807">
        <v>0</v>
      </c>
      <c r="Y10807" t="s">
        <v>26650</v>
      </c>
      <c r="Z10807" t="s">
        <v>26659</v>
      </c>
      <c r="AB10807" t="s">
        <v>26912</v>
      </c>
      <c r="AD10807" t="s">
        <v>42238</v>
      </c>
      <c r="AE10807">
        <v>168</v>
      </c>
      <c r="AF10807" t="s">
        <v>45548</v>
      </c>
      <c r="AG10807" t="s">
        <v>45556</v>
      </c>
      <c r="AH10807">
        <v>3</v>
      </c>
      <c r="AI10807">
        <v>2</v>
      </c>
      <c r="AJ10807">
        <v>1</v>
      </c>
      <c r="AK10807">
        <v>0</v>
      </c>
      <c r="AN10807" t="s">
        <v>7439</v>
      </c>
      <c r="AO10807">
        <v>0</v>
      </c>
      <c r="AU10807">
        <v>0</v>
      </c>
      <c r="AW10807" t="s">
        <v>46847</v>
      </c>
      <c r="AX10807" t="s">
        <v>46897</v>
      </c>
    </row>
    <row r="10808" spans="1:50">
      <c r="A10808" s="1">
        <f>HYPERLINK("https://lsnyc.legalserver.org/matter/dynamic-profile/view/1900526","19-1900526")</f>
        <v>0</v>
      </c>
      <c r="B10808" t="s">
        <v>55</v>
      </c>
      <c r="C10808" t="s">
        <v>340</v>
      </c>
      <c r="D10808" t="s">
        <v>806</v>
      </c>
      <c r="F10808" t="s">
        <v>2276</v>
      </c>
      <c r="G10808" t="s">
        <v>8153</v>
      </c>
      <c r="H10808" t="s">
        <v>12199</v>
      </c>
      <c r="I10808" t="s">
        <v>17355</v>
      </c>
      <c r="J10808" t="s">
        <v>18892</v>
      </c>
      <c r="K10808">
        <v>10460</v>
      </c>
      <c r="L10808" t="s">
        <v>18958</v>
      </c>
      <c r="M10808" t="s">
        <v>18960</v>
      </c>
      <c r="O10808" t="s">
        <v>18997</v>
      </c>
      <c r="P10808" t="s">
        <v>26562</v>
      </c>
      <c r="R10808" t="s">
        <v>26578</v>
      </c>
      <c r="S10808" t="s">
        <v>18958</v>
      </c>
      <c r="U10808" t="s">
        <v>26604</v>
      </c>
      <c r="X10808">
        <v>1100</v>
      </c>
      <c r="Y10808" t="s">
        <v>26650</v>
      </c>
      <c r="Z10808" t="s">
        <v>26659</v>
      </c>
      <c r="AB10808" t="s">
        <v>31941</v>
      </c>
      <c r="AD10808" t="s">
        <v>42239</v>
      </c>
      <c r="AE10808">
        <v>168</v>
      </c>
      <c r="AF10808" t="s">
        <v>45541</v>
      </c>
      <c r="AG10808" t="s">
        <v>26530</v>
      </c>
      <c r="AH10808">
        <v>4</v>
      </c>
      <c r="AI10808">
        <v>2</v>
      </c>
      <c r="AJ10808">
        <v>0</v>
      </c>
      <c r="AK10808">
        <v>0</v>
      </c>
      <c r="AN10808" t="s">
        <v>7439</v>
      </c>
      <c r="AO10808">
        <v>0</v>
      </c>
      <c r="AU10808">
        <v>0</v>
      </c>
      <c r="AW10808" t="s">
        <v>46847</v>
      </c>
      <c r="AX10808" t="s">
        <v>46897</v>
      </c>
    </row>
    <row r="10809" spans="1:50">
      <c r="A10809" s="1">
        <f>HYPERLINK("https://lsnyc.legalserver.org/matter/dynamic-profile/view/1900523","19-1900523")</f>
        <v>0</v>
      </c>
      <c r="B10809" t="s">
        <v>55</v>
      </c>
      <c r="C10809" t="s">
        <v>340</v>
      </c>
      <c r="D10809" t="s">
        <v>806</v>
      </c>
      <c r="F10809" t="s">
        <v>2112</v>
      </c>
      <c r="G10809" t="s">
        <v>8154</v>
      </c>
      <c r="H10809" t="s">
        <v>12199</v>
      </c>
      <c r="I10809" t="s">
        <v>17283</v>
      </c>
      <c r="J10809" t="s">
        <v>18892</v>
      </c>
      <c r="K10809">
        <v>10460</v>
      </c>
      <c r="L10809" t="s">
        <v>18958</v>
      </c>
      <c r="M10809" t="s">
        <v>18960</v>
      </c>
      <c r="O10809" t="s">
        <v>18997</v>
      </c>
      <c r="P10809" t="s">
        <v>26562</v>
      </c>
      <c r="R10809" t="s">
        <v>26578</v>
      </c>
      <c r="S10809" t="s">
        <v>18958</v>
      </c>
      <c r="U10809" t="s">
        <v>26604</v>
      </c>
      <c r="X10809">
        <v>1000</v>
      </c>
      <c r="Y10809" t="s">
        <v>26650</v>
      </c>
      <c r="Z10809" t="s">
        <v>26659</v>
      </c>
      <c r="AB10809" t="s">
        <v>30805</v>
      </c>
      <c r="AD10809" t="s">
        <v>42240</v>
      </c>
      <c r="AE10809">
        <v>168</v>
      </c>
      <c r="AF10809" t="s">
        <v>45541</v>
      </c>
      <c r="AG10809" t="s">
        <v>19330</v>
      </c>
      <c r="AH10809">
        <v>4</v>
      </c>
      <c r="AI10809">
        <v>1</v>
      </c>
      <c r="AJ10809">
        <v>0</v>
      </c>
      <c r="AK10809">
        <v>39.14</v>
      </c>
      <c r="AN10809" t="s">
        <v>45581</v>
      </c>
      <c r="AO10809">
        <v>4888</v>
      </c>
      <c r="AU10809">
        <v>0</v>
      </c>
      <c r="AW10809" t="s">
        <v>46847</v>
      </c>
      <c r="AX10809" t="s">
        <v>46897</v>
      </c>
    </row>
    <row r="10810" spans="1:50">
      <c r="A10810" s="1">
        <f>HYPERLINK("https://lsnyc.legalserver.org/matter/dynamic-profile/view/1900610","19-1900610")</f>
        <v>0</v>
      </c>
      <c r="B10810" t="s">
        <v>55</v>
      </c>
      <c r="C10810" t="s">
        <v>340</v>
      </c>
      <c r="D10810" t="s">
        <v>806</v>
      </c>
      <c r="F10810" t="s">
        <v>1417</v>
      </c>
      <c r="G10810" t="s">
        <v>2975</v>
      </c>
      <c r="H10810" t="s">
        <v>12199</v>
      </c>
      <c r="I10810" t="s">
        <v>17628</v>
      </c>
      <c r="J10810" t="s">
        <v>18892</v>
      </c>
      <c r="K10810">
        <v>10460</v>
      </c>
      <c r="L10810" t="s">
        <v>18958</v>
      </c>
      <c r="M10810" t="s">
        <v>18960</v>
      </c>
      <c r="O10810" t="s">
        <v>18997</v>
      </c>
      <c r="P10810" t="s">
        <v>26562</v>
      </c>
      <c r="R10810" t="s">
        <v>26578</v>
      </c>
      <c r="S10810" t="s">
        <v>18958</v>
      </c>
      <c r="U10810" t="s">
        <v>26604</v>
      </c>
      <c r="X10810">
        <v>242</v>
      </c>
      <c r="Y10810" t="s">
        <v>26650</v>
      </c>
      <c r="Z10810" t="s">
        <v>26659</v>
      </c>
      <c r="AB10810" t="s">
        <v>31229</v>
      </c>
      <c r="AD10810" t="s">
        <v>42241</v>
      </c>
      <c r="AE10810">
        <v>168</v>
      </c>
      <c r="AF10810" t="s">
        <v>20460</v>
      </c>
      <c r="AG10810" t="s">
        <v>26530</v>
      </c>
      <c r="AH10810">
        <v>1</v>
      </c>
      <c r="AI10810">
        <v>2</v>
      </c>
      <c r="AJ10810">
        <v>0</v>
      </c>
      <c r="AK10810">
        <v>54.64</v>
      </c>
      <c r="AN10810" t="s">
        <v>7439</v>
      </c>
      <c r="AO10810">
        <v>9240</v>
      </c>
      <c r="AU10810">
        <v>0.2</v>
      </c>
      <c r="AV10810" t="s">
        <v>809</v>
      </c>
      <c r="AW10810" t="s">
        <v>46847</v>
      </c>
      <c r="AX10810" t="s">
        <v>46897</v>
      </c>
    </row>
    <row r="10811" spans="1:50">
      <c r="A10811" s="1">
        <f>HYPERLINK("https://lsnyc.legalserver.org/matter/dynamic-profile/view/1900560","19-1900560")</f>
        <v>0</v>
      </c>
      <c r="B10811" t="s">
        <v>55</v>
      </c>
      <c r="C10811" t="s">
        <v>340</v>
      </c>
      <c r="D10811" t="s">
        <v>806</v>
      </c>
      <c r="F10811" t="s">
        <v>1574</v>
      </c>
      <c r="G10811" t="s">
        <v>5285</v>
      </c>
      <c r="H10811" t="s">
        <v>12199</v>
      </c>
      <c r="I10811" t="s">
        <v>17380</v>
      </c>
      <c r="J10811" t="s">
        <v>18892</v>
      </c>
      <c r="K10811">
        <v>10460</v>
      </c>
      <c r="L10811" t="s">
        <v>18958</v>
      </c>
      <c r="M10811" t="s">
        <v>18960</v>
      </c>
      <c r="O10811" t="s">
        <v>18997</v>
      </c>
      <c r="P10811" t="s">
        <v>26562</v>
      </c>
      <c r="R10811" t="s">
        <v>26578</v>
      </c>
      <c r="S10811" t="s">
        <v>18958</v>
      </c>
      <c r="U10811" t="s">
        <v>26604</v>
      </c>
      <c r="X10811">
        <v>1621</v>
      </c>
      <c r="Y10811" t="s">
        <v>26650</v>
      </c>
      <c r="Z10811" t="s">
        <v>26659</v>
      </c>
      <c r="AB10811" t="s">
        <v>31325</v>
      </c>
      <c r="AE10811">
        <v>168</v>
      </c>
      <c r="AF10811" t="s">
        <v>20460</v>
      </c>
      <c r="AG10811" t="s">
        <v>45556</v>
      </c>
      <c r="AH10811">
        <v>2</v>
      </c>
      <c r="AI10811">
        <v>2</v>
      </c>
      <c r="AJ10811">
        <v>0</v>
      </c>
      <c r="AK10811">
        <v>83.03</v>
      </c>
      <c r="AN10811" t="s">
        <v>7439</v>
      </c>
      <c r="AO10811">
        <v>14040</v>
      </c>
      <c r="AU10811">
        <v>0</v>
      </c>
      <c r="AW10811" t="s">
        <v>46847</v>
      </c>
      <c r="AX10811" t="s">
        <v>46897</v>
      </c>
    </row>
    <row r="10812" spans="1:50">
      <c r="A10812" s="1">
        <f>HYPERLINK("https://lsnyc.legalserver.org/matter/dynamic-profile/view/1900553","19-1900553")</f>
        <v>0</v>
      </c>
      <c r="B10812" t="s">
        <v>55</v>
      </c>
      <c r="C10812" t="s">
        <v>340</v>
      </c>
      <c r="D10812" t="s">
        <v>806</v>
      </c>
      <c r="F10812" t="s">
        <v>982</v>
      </c>
      <c r="G10812" t="s">
        <v>5982</v>
      </c>
      <c r="H10812" t="s">
        <v>12199</v>
      </c>
      <c r="I10812" t="s">
        <v>17406</v>
      </c>
      <c r="J10812" t="s">
        <v>18892</v>
      </c>
      <c r="K10812">
        <v>10460</v>
      </c>
      <c r="L10812" t="s">
        <v>18958</v>
      </c>
      <c r="M10812" t="s">
        <v>18960</v>
      </c>
      <c r="O10812" t="s">
        <v>18997</v>
      </c>
      <c r="P10812" t="s">
        <v>26562</v>
      </c>
      <c r="R10812" t="s">
        <v>26578</v>
      </c>
      <c r="S10812" t="s">
        <v>18958</v>
      </c>
      <c r="U10812" t="s">
        <v>26604</v>
      </c>
      <c r="X10812">
        <v>466</v>
      </c>
      <c r="Y10812" t="s">
        <v>26650</v>
      </c>
      <c r="Z10812" t="s">
        <v>26659</v>
      </c>
      <c r="AB10812" t="s">
        <v>30009</v>
      </c>
      <c r="AE10812">
        <v>168</v>
      </c>
      <c r="AF10812" t="s">
        <v>45545</v>
      </c>
      <c r="AG10812" t="s">
        <v>45556</v>
      </c>
      <c r="AH10812">
        <v>4</v>
      </c>
      <c r="AI10812">
        <v>1</v>
      </c>
      <c r="AJ10812">
        <v>0</v>
      </c>
      <c r="AK10812">
        <v>83.2</v>
      </c>
      <c r="AN10812" t="s">
        <v>7439</v>
      </c>
      <c r="AO10812">
        <v>10392</v>
      </c>
      <c r="AU10812">
        <v>0</v>
      </c>
      <c r="AW10812" t="s">
        <v>46847</v>
      </c>
      <c r="AX10812" t="s">
        <v>46897</v>
      </c>
    </row>
    <row r="10813" spans="1:50">
      <c r="A10813" s="1">
        <f>HYPERLINK("https://lsnyc.legalserver.org/matter/dynamic-profile/view/1900606","19-1900606")</f>
        <v>0</v>
      </c>
      <c r="B10813" t="s">
        <v>55</v>
      </c>
      <c r="C10813" t="s">
        <v>340</v>
      </c>
      <c r="D10813" t="s">
        <v>806</v>
      </c>
      <c r="F10813" t="s">
        <v>2435</v>
      </c>
      <c r="G10813" t="s">
        <v>5341</v>
      </c>
      <c r="H10813" t="s">
        <v>12199</v>
      </c>
      <c r="I10813" t="s">
        <v>17527</v>
      </c>
      <c r="J10813" t="s">
        <v>18892</v>
      </c>
      <c r="K10813">
        <v>10460</v>
      </c>
      <c r="L10813" t="s">
        <v>18958</v>
      </c>
      <c r="M10813" t="s">
        <v>18960</v>
      </c>
      <c r="O10813" t="s">
        <v>18997</v>
      </c>
      <c r="P10813" t="s">
        <v>26562</v>
      </c>
      <c r="R10813" t="s">
        <v>26578</v>
      </c>
      <c r="S10813" t="s">
        <v>18958</v>
      </c>
      <c r="U10813" t="s">
        <v>26604</v>
      </c>
      <c r="X10813">
        <v>287</v>
      </c>
      <c r="Y10813" t="s">
        <v>26650</v>
      </c>
      <c r="Z10813" t="s">
        <v>26659</v>
      </c>
      <c r="AB10813" t="s">
        <v>31943</v>
      </c>
      <c r="AD10813" t="s">
        <v>42243</v>
      </c>
      <c r="AE10813">
        <v>168</v>
      </c>
      <c r="AF10813" t="s">
        <v>45548</v>
      </c>
      <c r="AG10813" t="s">
        <v>45556</v>
      </c>
      <c r="AH10813">
        <v>19</v>
      </c>
      <c r="AI10813">
        <v>1</v>
      </c>
      <c r="AJ10813">
        <v>0</v>
      </c>
      <c r="AK10813">
        <v>91.84999999999999</v>
      </c>
      <c r="AN10813" t="s">
        <v>7439</v>
      </c>
      <c r="AO10813">
        <v>11472</v>
      </c>
      <c r="AU10813">
        <v>0</v>
      </c>
      <c r="AW10813" t="s">
        <v>46847</v>
      </c>
      <c r="AX10813" t="s">
        <v>46897</v>
      </c>
    </row>
    <row r="10814" spans="1:50">
      <c r="A10814" s="1">
        <f>HYPERLINK("https://lsnyc.legalserver.org/matter/dynamic-profile/view/1900608","19-1900608")</f>
        <v>0</v>
      </c>
      <c r="B10814" t="s">
        <v>55</v>
      </c>
      <c r="C10814" t="s">
        <v>340</v>
      </c>
      <c r="D10814" t="s">
        <v>806</v>
      </c>
      <c r="F10814" t="s">
        <v>2094</v>
      </c>
      <c r="G10814" t="s">
        <v>8155</v>
      </c>
      <c r="H10814" t="s">
        <v>12199</v>
      </c>
      <c r="I10814" t="s">
        <v>17320</v>
      </c>
      <c r="J10814" t="s">
        <v>18892</v>
      </c>
      <c r="K10814">
        <v>10460</v>
      </c>
      <c r="L10814" t="s">
        <v>18958</v>
      </c>
      <c r="M10814" t="s">
        <v>18960</v>
      </c>
      <c r="O10814" t="s">
        <v>18997</v>
      </c>
      <c r="P10814" t="s">
        <v>26562</v>
      </c>
      <c r="R10814" t="s">
        <v>26578</v>
      </c>
      <c r="S10814" t="s">
        <v>18958</v>
      </c>
      <c r="U10814" t="s">
        <v>26604</v>
      </c>
      <c r="X10814">
        <v>517</v>
      </c>
      <c r="Y10814" t="s">
        <v>26650</v>
      </c>
      <c r="Z10814" t="s">
        <v>26659</v>
      </c>
      <c r="AB10814" t="s">
        <v>31944</v>
      </c>
      <c r="AE10814">
        <v>168</v>
      </c>
      <c r="AF10814" t="s">
        <v>20460</v>
      </c>
      <c r="AG10814" t="s">
        <v>45556</v>
      </c>
      <c r="AH10814">
        <v>24</v>
      </c>
      <c r="AI10814">
        <v>2</v>
      </c>
      <c r="AJ10814">
        <v>0</v>
      </c>
      <c r="AK10814">
        <v>100.53</v>
      </c>
      <c r="AN10814" t="s">
        <v>7439</v>
      </c>
      <c r="AO10814">
        <v>17000</v>
      </c>
      <c r="AU10814">
        <v>0</v>
      </c>
      <c r="AW10814" t="s">
        <v>46847</v>
      </c>
      <c r="AX10814" t="s">
        <v>46897</v>
      </c>
    </row>
    <row r="10815" spans="1:50">
      <c r="A10815" s="1">
        <f>HYPERLINK("https://lsnyc.legalserver.org/matter/dynamic-profile/view/1900520","19-1900520")</f>
        <v>0</v>
      </c>
      <c r="B10815" t="s">
        <v>55</v>
      </c>
      <c r="C10815" t="s">
        <v>340</v>
      </c>
      <c r="D10815" t="s">
        <v>806</v>
      </c>
      <c r="F10815" t="s">
        <v>1221</v>
      </c>
      <c r="G10815" t="s">
        <v>8156</v>
      </c>
      <c r="H10815" t="s">
        <v>12199</v>
      </c>
      <c r="I10815" t="s">
        <v>17274</v>
      </c>
      <c r="J10815" t="s">
        <v>18892</v>
      </c>
      <c r="K10815">
        <v>10460</v>
      </c>
      <c r="L10815" t="s">
        <v>18958</v>
      </c>
      <c r="M10815" t="s">
        <v>18960</v>
      </c>
      <c r="O10815" t="s">
        <v>18997</v>
      </c>
      <c r="P10815" t="s">
        <v>26562</v>
      </c>
      <c r="R10815" t="s">
        <v>26578</v>
      </c>
      <c r="S10815" t="s">
        <v>18958</v>
      </c>
      <c r="U10815" t="s">
        <v>26604</v>
      </c>
      <c r="X10815">
        <v>377</v>
      </c>
      <c r="Y10815" t="s">
        <v>26650</v>
      </c>
      <c r="Z10815" t="s">
        <v>26659</v>
      </c>
      <c r="AB10815" t="s">
        <v>28326</v>
      </c>
      <c r="AD10815" t="s">
        <v>42244</v>
      </c>
      <c r="AE10815">
        <v>248</v>
      </c>
      <c r="AF10815" t="s">
        <v>20460</v>
      </c>
      <c r="AG10815" t="s">
        <v>26530</v>
      </c>
      <c r="AH10815">
        <v>10</v>
      </c>
      <c r="AI10815">
        <v>1</v>
      </c>
      <c r="AJ10815">
        <v>0</v>
      </c>
      <c r="AK10815">
        <v>123.75</v>
      </c>
      <c r="AN10815" t="s">
        <v>7439</v>
      </c>
      <c r="AO10815">
        <v>15456</v>
      </c>
      <c r="AU10815">
        <v>0</v>
      </c>
      <c r="AW10815" t="s">
        <v>46847</v>
      </c>
      <c r="AX10815" t="s">
        <v>46897</v>
      </c>
    </row>
    <row r="10816" spans="1:50">
      <c r="A10816" s="1">
        <f>HYPERLINK("https://lsnyc.legalserver.org/matter/dynamic-profile/view/1900542","19-1900542")</f>
        <v>0</v>
      </c>
      <c r="B10816" t="s">
        <v>55</v>
      </c>
      <c r="C10816" t="s">
        <v>340</v>
      </c>
      <c r="D10816" t="s">
        <v>806</v>
      </c>
      <c r="F10816" t="s">
        <v>3802</v>
      </c>
      <c r="G10816" t="s">
        <v>8157</v>
      </c>
      <c r="H10816" t="s">
        <v>12199</v>
      </c>
      <c r="I10816" t="s">
        <v>17275</v>
      </c>
      <c r="J10816" t="s">
        <v>18892</v>
      </c>
      <c r="K10816">
        <v>10460</v>
      </c>
      <c r="L10816" t="s">
        <v>18958</v>
      </c>
      <c r="M10816" t="s">
        <v>18960</v>
      </c>
      <c r="O10816" t="s">
        <v>18997</v>
      </c>
      <c r="P10816" t="s">
        <v>26562</v>
      </c>
      <c r="R10816" t="s">
        <v>26578</v>
      </c>
      <c r="S10816" t="s">
        <v>18958</v>
      </c>
      <c r="U10816" t="s">
        <v>26604</v>
      </c>
      <c r="X10816">
        <v>1796</v>
      </c>
      <c r="Y10816" t="s">
        <v>26650</v>
      </c>
      <c r="Z10816" t="s">
        <v>26659</v>
      </c>
      <c r="AB10816" t="s">
        <v>31945</v>
      </c>
      <c r="AE10816">
        <v>168</v>
      </c>
      <c r="AF10816" t="s">
        <v>45541</v>
      </c>
      <c r="AG10816" t="s">
        <v>45556</v>
      </c>
      <c r="AH10816">
        <v>23</v>
      </c>
      <c r="AI10816">
        <v>2</v>
      </c>
      <c r="AJ10816">
        <v>0</v>
      </c>
      <c r="AK10816">
        <v>127.38</v>
      </c>
      <c r="AN10816" t="s">
        <v>7439</v>
      </c>
      <c r="AO10816">
        <v>21540</v>
      </c>
      <c r="AU10816">
        <v>0</v>
      </c>
      <c r="AW10816" t="s">
        <v>46847</v>
      </c>
      <c r="AX10816" t="s">
        <v>46897</v>
      </c>
    </row>
    <row r="10817" spans="1:50">
      <c r="A10817" s="1">
        <f>HYPERLINK("https://lsnyc.legalserver.org/matter/dynamic-profile/view/1900603","19-1900603")</f>
        <v>0</v>
      </c>
      <c r="B10817" t="s">
        <v>55</v>
      </c>
      <c r="C10817" t="s">
        <v>340</v>
      </c>
      <c r="D10817" t="s">
        <v>806</v>
      </c>
      <c r="F10817" t="s">
        <v>1489</v>
      </c>
      <c r="G10817" t="s">
        <v>7971</v>
      </c>
      <c r="H10817" t="s">
        <v>12199</v>
      </c>
      <c r="I10817" t="s">
        <v>17325</v>
      </c>
      <c r="J10817" t="s">
        <v>18892</v>
      </c>
      <c r="K10817">
        <v>10460</v>
      </c>
      <c r="L10817" t="s">
        <v>18958</v>
      </c>
      <c r="M10817" t="s">
        <v>18960</v>
      </c>
      <c r="O10817" t="s">
        <v>18997</v>
      </c>
      <c r="P10817" t="s">
        <v>26562</v>
      </c>
      <c r="R10817" t="s">
        <v>26578</v>
      </c>
      <c r="S10817" t="s">
        <v>18958</v>
      </c>
      <c r="U10817" t="s">
        <v>26604</v>
      </c>
      <c r="X10817">
        <v>792</v>
      </c>
      <c r="Y10817" t="s">
        <v>26650</v>
      </c>
      <c r="Z10817" t="s">
        <v>26663</v>
      </c>
      <c r="AB10817" t="s">
        <v>31946</v>
      </c>
      <c r="AE10817">
        <v>168</v>
      </c>
      <c r="AF10817" t="s">
        <v>45552</v>
      </c>
      <c r="AG10817" t="s">
        <v>26530</v>
      </c>
      <c r="AH10817">
        <v>3</v>
      </c>
      <c r="AI10817">
        <v>1</v>
      </c>
      <c r="AJ10817">
        <v>1</v>
      </c>
      <c r="AK10817">
        <v>146.04</v>
      </c>
      <c r="AN10817" t="s">
        <v>7439</v>
      </c>
      <c r="AO10817">
        <v>24696</v>
      </c>
      <c r="AU10817">
        <v>0</v>
      </c>
      <c r="AW10817" t="s">
        <v>46847</v>
      </c>
      <c r="AX10817" t="s">
        <v>46897</v>
      </c>
    </row>
    <row r="10818" spans="1:50">
      <c r="A10818" s="1">
        <f>HYPERLINK("https://lsnyc.legalserver.org/matter/dynamic-profile/view/1900604","19-1900604")</f>
        <v>0</v>
      </c>
      <c r="B10818" t="s">
        <v>55</v>
      </c>
      <c r="C10818" t="s">
        <v>340</v>
      </c>
      <c r="D10818" t="s">
        <v>806</v>
      </c>
      <c r="F10818" t="s">
        <v>1096</v>
      </c>
      <c r="G10818" t="s">
        <v>8158</v>
      </c>
      <c r="H10818" t="s">
        <v>12199</v>
      </c>
      <c r="I10818" t="s">
        <v>17292</v>
      </c>
      <c r="J10818" t="s">
        <v>18892</v>
      </c>
      <c r="K10818">
        <v>10460</v>
      </c>
      <c r="L10818" t="s">
        <v>18958</v>
      </c>
      <c r="M10818" t="s">
        <v>18960</v>
      </c>
      <c r="O10818" t="s">
        <v>18997</v>
      </c>
      <c r="P10818" t="s">
        <v>26562</v>
      </c>
      <c r="R10818" t="s">
        <v>26578</v>
      </c>
      <c r="S10818" t="s">
        <v>18958</v>
      </c>
      <c r="U10818" t="s">
        <v>26604</v>
      </c>
      <c r="X10818">
        <v>970</v>
      </c>
      <c r="Y10818" t="s">
        <v>26650</v>
      </c>
      <c r="Z10818" t="s">
        <v>26663</v>
      </c>
      <c r="AB10818" t="s">
        <v>27870</v>
      </c>
      <c r="AD10818" t="s">
        <v>42245</v>
      </c>
      <c r="AE10818">
        <v>168</v>
      </c>
      <c r="AF10818" t="s">
        <v>45541</v>
      </c>
      <c r="AG10818" t="s">
        <v>19330</v>
      </c>
      <c r="AH10818">
        <v>11</v>
      </c>
      <c r="AI10818">
        <v>1</v>
      </c>
      <c r="AJ10818">
        <v>1</v>
      </c>
      <c r="AK10818">
        <v>153.45</v>
      </c>
      <c r="AN10818" t="s">
        <v>7439</v>
      </c>
      <c r="AO10818">
        <v>25948</v>
      </c>
      <c r="AU10818">
        <v>0</v>
      </c>
      <c r="AW10818" t="s">
        <v>46847</v>
      </c>
      <c r="AX10818" t="s">
        <v>46897</v>
      </c>
    </row>
    <row r="10819" spans="1:50">
      <c r="A10819" s="1">
        <f>HYPERLINK("https://lsnyc.legalserver.org/matter/dynamic-profile/view/1900549","19-1900549")</f>
        <v>0</v>
      </c>
      <c r="B10819" t="s">
        <v>55</v>
      </c>
      <c r="C10819" t="s">
        <v>340</v>
      </c>
      <c r="D10819" t="s">
        <v>806</v>
      </c>
      <c r="F10819" t="s">
        <v>3804</v>
      </c>
      <c r="G10819" t="s">
        <v>3036</v>
      </c>
      <c r="H10819" t="s">
        <v>12199</v>
      </c>
      <c r="I10819" t="s">
        <v>17298</v>
      </c>
      <c r="J10819" t="s">
        <v>18892</v>
      </c>
      <c r="K10819">
        <v>10460</v>
      </c>
      <c r="L10819" t="s">
        <v>18958</v>
      </c>
      <c r="M10819" t="s">
        <v>18960</v>
      </c>
      <c r="O10819" t="s">
        <v>18997</v>
      </c>
      <c r="P10819" t="s">
        <v>26562</v>
      </c>
      <c r="R10819" t="s">
        <v>26578</v>
      </c>
      <c r="S10819" t="s">
        <v>18958</v>
      </c>
      <c r="U10819" t="s">
        <v>26604</v>
      </c>
      <c r="X10819">
        <v>1169</v>
      </c>
      <c r="Y10819" t="s">
        <v>26650</v>
      </c>
      <c r="Z10819" t="s">
        <v>26663</v>
      </c>
      <c r="AB10819" t="s">
        <v>29372</v>
      </c>
      <c r="AE10819">
        <v>168</v>
      </c>
      <c r="AF10819" t="s">
        <v>45548</v>
      </c>
      <c r="AG10819" t="s">
        <v>26530</v>
      </c>
      <c r="AH10819">
        <v>11</v>
      </c>
      <c r="AI10819">
        <v>1</v>
      </c>
      <c r="AJ10819">
        <v>0</v>
      </c>
      <c r="AK10819">
        <v>400.32</v>
      </c>
      <c r="AN10819" t="s">
        <v>7439</v>
      </c>
      <c r="AO10819">
        <v>50000</v>
      </c>
      <c r="AU10819">
        <v>0</v>
      </c>
      <c r="AW10819" t="s">
        <v>46847</v>
      </c>
      <c r="AX10819" t="s">
        <v>46897</v>
      </c>
    </row>
    <row r="10820" spans="1:50">
      <c r="A10820" s="1">
        <f>HYPERLINK("https://lsnyc.legalserver.org/matter/dynamic-profile/view/1900666","19-1900666")</f>
        <v>0</v>
      </c>
      <c r="B10820" t="s">
        <v>251</v>
      </c>
      <c r="C10820" t="s">
        <v>340</v>
      </c>
      <c r="D10820" t="s">
        <v>806</v>
      </c>
      <c r="F10820" t="s">
        <v>1944</v>
      </c>
      <c r="G10820" t="s">
        <v>5147</v>
      </c>
      <c r="H10820" t="s">
        <v>10637</v>
      </c>
      <c r="I10820" t="s">
        <v>17496</v>
      </c>
      <c r="J10820" t="s">
        <v>18892</v>
      </c>
      <c r="K10820">
        <v>10457</v>
      </c>
      <c r="L10820" t="s">
        <v>18960</v>
      </c>
      <c r="M10820" t="s">
        <v>18960</v>
      </c>
      <c r="N10820" t="s">
        <v>26185</v>
      </c>
      <c r="O10820" t="s">
        <v>26523</v>
      </c>
      <c r="P10820" t="s">
        <v>26560</v>
      </c>
      <c r="R10820" t="s">
        <v>26577</v>
      </c>
      <c r="U10820" t="s">
        <v>26604</v>
      </c>
      <c r="V10820" t="s">
        <v>26610</v>
      </c>
      <c r="X10820">
        <v>974.12</v>
      </c>
      <c r="Y10820" t="s">
        <v>26650</v>
      </c>
      <c r="Z10820" t="s">
        <v>26659</v>
      </c>
      <c r="AB10820" t="s">
        <v>34149</v>
      </c>
      <c r="AD10820" t="s">
        <v>45099</v>
      </c>
      <c r="AE10820">
        <v>59</v>
      </c>
      <c r="AF10820" t="s">
        <v>45541</v>
      </c>
      <c r="AG10820" t="s">
        <v>19330</v>
      </c>
      <c r="AH10820">
        <v>18</v>
      </c>
      <c r="AI10820">
        <v>1</v>
      </c>
      <c r="AJ10820">
        <v>0</v>
      </c>
      <c r="AK10820">
        <v>291.43</v>
      </c>
      <c r="AN10820" t="s">
        <v>45581</v>
      </c>
      <c r="AO10820">
        <v>36400</v>
      </c>
      <c r="AU10820">
        <v>3.25</v>
      </c>
      <c r="AV10820" t="s">
        <v>834</v>
      </c>
      <c r="AW10820" t="s">
        <v>46836</v>
      </c>
    </row>
    <row r="10821" spans="1:50">
      <c r="A10821" s="1">
        <f>HYPERLINK("https://lsnyc.legalserver.org/matter/dynamic-profile/view/1900587","19-1900587")</f>
        <v>0</v>
      </c>
      <c r="B10821" t="s">
        <v>191</v>
      </c>
      <c r="C10821" t="s">
        <v>340</v>
      </c>
      <c r="D10821" t="s">
        <v>806</v>
      </c>
      <c r="F10821" t="s">
        <v>4912</v>
      </c>
      <c r="G10821" t="s">
        <v>9454</v>
      </c>
      <c r="H10821" t="s">
        <v>16902</v>
      </c>
      <c r="J10821" t="s">
        <v>18894</v>
      </c>
      <c r="K10821">
        <v>11219</v>
      </c>
      <c r="L10821" t="s">
        <v>18958</v>
      </c>
      <c r="M10821" t="s">
        <v>18960</v>
      </c>
      <c r="O10821" t="s">
        <v>18997</v>
      </c>
      <c r="P10821" t="s">
        <v>26565</v>
      </c>
      <c r="R10821" t="s">
        <v>26578</v>
      </c>
      <c r="S10821" t="s">
        <v>18959</v>
      </c>
      <c r="U10821" t="s">
        <v>26604</v>
      </c>
      <c r="X10821">
        <v>0</v>
      </c>
      <c r="Y10821" t="s">
        <v>26651</v>
      </c>
      <c r="Z10821" t="s">
        <v>26667</v>
      </c>
      <c r="AB10821" t="s">
        <v>30922</v>
      </c>
      <c r="AE10821">
        <v>0</v>
      </c>
      <c r="AF10821" t="s">
        <v>20460</v>
      </c>
      <c r="AG10821" t="s">
        <v>19330</v>
      </c>
      <c r="AH10821">
        <v>0</v>
      </c>
      <c r="AI10821">
        <v>2</v>
      </c>
      <c r="AJ10821">
        <v>0</v>
      </c>
      <c r="AK10821">
        <v>88.63</v>
      </c>
      <c r="AN10821" t="s">
        <v>45599</v>
      </c>
      <c r="AO10821">
        <v>14988</v>
      </c>
      <c r="AU10821">
        <v>0</v>
      </c>
      <c r="AW10821" t="s">
        <v>314</v>
      </c>
      <c r="AX10821" t="s">
        <v>46897</v>
      </c>
    </row>
    <row r="10822" spans="1:50">
      <c r="A10822" s="1">
        <f>HYPERLINK("https://lsnyc.legalserver.org/matter/dynamic-profile/view/1900533","19-1900533")</f>
        <v>0</v>
      </c>
      <c r="B10822" t="s">
        <v>162</v>
      </c>
      <c r="C10822" t="s">
        <v>340</v>
      </c>
      <c r="D10822" t="s">
        <v>806</v>
      </c>
      <c r="F10822" t="s">
        <v>2282</v>
      </c>
      <c r="G10822" t="s">
        <v>9455</v>
      </c>
      <c r="H10822" t="s">
        <v>16903</v>
      </c>
      <c r="I10822" t="s">
        <v>17274</v>
      </c>
      <c r="J10822" t="s">
        <v>18894</v>
      </c>
      <c r="K10822">
        <v>11205</v>
      </c>
      <c r="L10822" t="s">
        <v>18960</v>
      </c>
      <c r="M10822" t="s">
        <v>18960</v>
      </c>
      <c r="N10822" t="s">
        <v>26186</v>
      </c>
      <c r="O10822" t="s">
        <v>26523</v>
      </c>
      <c r="P10822" t="s">
        <v>26563</v>
      </c>
      <c r="R10822" t="s">
        <v>26586</v>
      </c>
      <c r="U10822" t="s">
        <v>26605</v>
      </c>
      <c r="V10822" t="s">
        <v>26610</v>
      </c>
      <c r="X10822">
        <v>677</v>
      </c>
      <c r="Y10822" t="s">
        <v>26652</v>
      </c>
      <c r="Z10822" t="s">
        <v>26664</v>
      </c>
      <c r="AB10822" t="s">
        <v>34150</v>
      </c>
      <c r="AC10822" t="s">
        <v>36749</v>
      </c>
      <c r="AD10822" t="s">
        <v>45100</v>
      </c>
      <c r="AE10822">
        <v>0</v>
      </c>
      <c r="AH10822">
        <v>0</v>
      </c>
      <c r="AI10822">
        <v>7</v>
      </c>
      <c r="AJ10822">
        <v>4</v>
      </c>
      <c r="AK10822">
        <v>14.18</v>
      </c>
      <c r="AN10822" t="s">
        <v>45581</v>
      </c>
      <c r="AO10822">
        <v>8040</v>
      </c>
      <c r="AU10822">
        <v>0</v>
      </c>
      <c r="AW10822" t="s">
        <v>162</v>
      </c>
      <c r="AX10822" t="s">
        <v>46898</v>
      </c>
    </row>
    <row r="10823" spans="1:50">
      <c r="A10823" s="1">
        <f>HYPERLINK("https://lsnyc.legalserver.org/matter/dynamic-profile/view/1900517","19-1900517")</f>
        <v>0</v>
      </c>
      <c r="B10823" t="s">
        <v>288</v>
      </c>
      <c r="C10823" t="s">
        <v>340</v>
      </c>
      <c r="D10823" t="s">
        <v>806</v>
      </c>
      <c r="F10823" t="s">
        <v>1729</v>
      </c>
      <c r="G10823" t="s">
        <v>1938</v>
      </c>
      <c r="H10823" t="s">
        <v>9780</v>
      </c>
      <c r="I10823" t="s">
        <v>18827</v>
      </c>
      <c r="J10823" t="s">
        <v>18894</v>
      </c>
      <c r="K10823">
        <v>11206</v>
      </c>
      <c r="L10823" t="s">
        <v>18960</v>
      </c>
      <c r="M10823" t="s">
        <v>18960</v>
      </c>
      <c r="P10823" t="s">
        <v>26564</v>
      </c>
      <c r="R10823" t="s">
        <v>26586</v>
      </c>
      <c r="U10823" t="s">
        <v>26605</v>
      </c>
      <c r="X10823">
        <v>0</v>
      </c>
      <c r="Y10823" t="s">
        <v>26652</v>
      </c>
      <c r="AB10823" t="s">
        <v>34151</v>
      </c>
      <c r="AD10823" t="s">
        <v>45101</v>
      </c>
      <c r="AE10823">
        <v>0</v>
      </c>
      <c r="AH10823">
        <v>0</v>
      </c>
      <c r="AI10823">
        <v>1</v>
      </c>
      <c r="AJ10823">
        <v>1</v>
      </c>
      <c r="AK10823">
        <v>0</v>
      </c>
      <c r="AN10823" t="s">
        <v>7439</v>
      </c>
      <c r="AO10823">
        <v>0</v>
      </c>
      <c r="AU10823">
        <v>1.5</v>
      </c>
      <c r="AV10823" t="s">
        <v>825</v>
      </c>
      <c r="AW10823" t="s">
        <v>46849</v>
      </c>
    </row>
    <row r="10824" spans="1:50">
      <c r="A10824" s="1">
        <f>HYPERLINK("https://lsnyc.legalserver.org/matter/dynamic-profile/view/1900559","19-1900559")</f>
        <v>0</v>
      </c>
      <c r="B10824" t="s">
        <v>87</v>
      </c>
      <c r="C10824" t="s">
        <v>340</v>
      </c>
      <c r="D10824" t="s">
        <v>806</v>
      </c>
      <c r="F10824" t="s">
        <v>1447</v>
      </c>
      <c r="G10824" t="s">
        <v>7314</v>
      </c>
      <c r="H10824" t="s">
        <v>16904</v>
      </c>
      <c r="I10824" t="s">
        <v>17415</v>
      </c>
      <c r="J10824" t="s">
        <v>18892</v>
      </c>
      <c r="K10824">
        <v>10462</v>
      </c>
      <c r="L10824" t="s">
        <v>18958</v>
      </c>
      <c r="M10824" t="s">
        <v>18960</v>
      </c>
      <c r="N10824" t="s">
        <v>26187</v>
      </c>
      <c r="O10824" t="s">
        <v>26524</v>
      </c>
      <c r="R10824" t="s">
        <v>26579</v>
      </c>
      <c r="S10824" t="s">
        <v>18959</v>
      </c>
      <c r="U10824" t="s">
        <v>26604</v>
      </c>
      <c r="X10824">
        <v>1470</v>
      </c>
      <c r="Y10824" t="s">
        <v>26650</v>
      </c>
      <c r="AB10824" t="s">
        <v>34152</v>
      </c>
      <c r="AC10824" t="s">
        <v>36750</v>
      </c>
      <c r="AD10824" t="s">
        <v>45102</v>
      </c>
      <c r="AE10824">
        <v>0</v>
      </c>
      <c r="AH10824">
        <v>0</v>
      </c>
      <c r="AI10824">
        <v>1</v>
      </c>
      <c r="AJ10824">
        <v>0</v>
      </c>
      <c r="AK10824">
        <v>72.06</v>
      </c>
      <c r="AN10824" t="s">
        <v>7439</v>
      </c>
      <c r="AO10824">
        <v>9000</v>
      </c>
      <c r="AU10824">
        <v>1.5</v>
      </c>
      <c r="AV10824" t="s">
        <v>808</v>
      </c>
      <c r="AW10824" t="s">
        <v>335</v>
      </c>
      <c r="AX10824" t="s">
        <v>46898</v>
      </c>
    </row>
    <row r="10825" spans="1:50">
      <c r="A10825" s="1">
        <f>HYPERLINK("https://lsnyc.legalserver.org/matter/dynamic-profile/view/1900570","19-1900570")</f>
        <v>0</v>
      </c>
      <c r="B10825" t="s">
        <v>155</v>
      </c>
      <c r="C10825" t="s">
        <v>340</v>
      </c>
      <c r="D10825" t="s">
        <v>806</v>
      </c>
      <c r="F10825" t="s">
        <v>1830</v>
      </c>
      <c r="G10825" t="s">
        <v>3436</v>
      </c>
      <c r="H10825" t="s">
        <v>15367</v>
      </c>
      <c r="I10825">
        <v>3</v>
      </c>
      <c r="J10825" t="s">
        <v>18894</v>
      </c>
      <c r="K10825">
        <v>11208</v>
      </c>
      <c r="L10825" t="s">
        <v>18958</v>
      </c>
      <c r="M10825" t="s">
        <v>18960</v>
      </c>
      <c r="N10825" t="s">
        <v>26188</v>
      </c>
      <c r="O10825" t="s">
        <v>26524</v>
      </c>
      <c r="P10825" t="s">
        <v>26564</v>
      </c>
      <c r="R10825" t="s">
        <v>26591</v>
      </c>
      <c r="U10825" t="s">
        <v>26604</v>
      </c>
      <c r="X10825">
        <v>0</v>
      </c>
      <c r="Y10825" t="s">
        <v>26652</v>
      </c>
      <c r="Z10825" t="s">
        <v>26664</v>
      </c>
      <c r="AB10825" t="s">
        <v>34153</v>
      </c>
      <c r="AD10825" t="s">
        <v>45103</v>
      </c>
      <c r="AE10825">
        <v>3</v>
      </c>
      <c r="AH10825">
        <v>8</v>
      </c>
      <c r="AI10825">
        <v>1</v>
      </c>
      <c r="AJ10825">
        <v>2</v>
      </c>
      <c r="AK10825">
        <v>33.66</v>
      </c>
      <c r="AN10825" t="s">
        <v>7439</v>
      </c>
      <c r="AO10825">
        <v>7180</v>
      </c>
      <c r="AU10825">
        <v>1.3</v>
      </c>
      <c r="AV10825" t="s">
        <v>806</v>
      </c>
      <c r="AW10825" t="s">
        <v>46849</v>
      </c>
      <c r="AX10825" t="s">
        <v>46897</v>
      </c>
    </row>
    <row r="10826" spans="1:50">
      <c r="A10826" s="1">
        <f>HYPERLINK("https://lsnyc.legalserver.org/matter/dynamic-profile/view/1900581","19-1900581")</f>
        <v>0</v>
      </c>
      <c r="B10826" t="s">
        <v>155</v>
      </c>
      <c r="C10826" t="s">
        <v>340</v>
      </c>
      <c r="D10826" t="s">
        <v>806</v>
      </c>
      <c r="F10826" t="s">
        <v>1191</v>
      </c>
      <c r="G10826" t="s">
        <v>5224</v>
      </c>
      <c r="H10826" t="s">
        <v>16905</v>
      </c>
      <c r="I10826" t="s">
        <v>18167</v>
      </c>
      <c r="J10826" t="s">
        <v>18894</v>
      </c>
      <c r="K10826">
        <v>11236</v>
      </c>
      <c r="L10826" t="s">
        <v>18958</v>
      </c>
      <c r="M10826" t="s">
        <v>18960</v>
      </c>
      <c r="N10826" t="s">
        <v>26189</v>
      </c>
      <c r="O10826" t="s">
        <v>26523</v>
      </c>
      <c r="P10826" t="s">
        <v>26563</v>
      </c>
      <c r="R10826" t="s">
        <v>26586</v>
      </c>
      <c r="U10826" t="s">
        <v>26605</v>
      </c>
      <c r="X10826">
        <v>414</v>
      </c>
      <c r="Y10826" t="s">
        <v>26652</v>
      </c>
      <c r="Z10826" t="s">
        <v>26668</v>
      </c>
      <c r="AB10826" t="s">
        <v>34154</v>
      </c>
      <c r="AC10826" t="s">
        <v>36751</v>
      </c>
      <c r="AD10826" t="s">
        <v>45104</v>
      </c>
      <c r="AE10826">
        <v>0</v>
      </c>
      <c r="AF10826" t="s">
        <v>45549</v>
      </c>
      <c r="AG10826" t="s">
        <v>45556</v>
      </c>
      <c r="AH10826">
        <v>6</v>
      </c>
      <c r="AI10826">
        <v>1</v>
      </c>
      <c r="AJ10826">
        <v>1</v>
      </c>
      <c r="AK10826">
        <v>82.81</v>
      </c>
      <c r="AN10826" t="s">
        <v>7439</v>
      </c>
      <c r="AO10826">
        <v>14004</v>
      </c>
      <c r="AU10826">
        <v>1.2</v>
      </c>
      <c r="AV10826" t="s">
        <v>806</v>
      </c>
      <c r="AW10826" t="s">
        <v>46849</v>
      </c>
      <c r="AX10826" t="s">
        <v>46897</v>
      </c>
    </row>
    <row r="10827" spans="1:50">
      <c r="A10827" s="1">
        <f>HYPERLINK("https://lsnyc.legalserver.org/matter/dynamic-profile/view/1900532","19-1900532")</f>
        <v>0</v>
      </c>
      <c r="B10827" t="s">
        <v>155</v>
      </c>
      <c r="C10827" t="s">
        <v>340</v>
      </c>
      <c r="D10827" t="s">
        <v>806</v>
      </c>
      <c r="F10827" t="s">
        <v>4913</v>
      </c>
      <c r="G10827" t="s">
        <v>9456</v>
      </c>
      <c r="H10827" t="s">
        <v>14960</v>
      </c>
      <c r="I10827" t="s">
        <v>18323</v>
      </c>
      <c r="J10827" t="s">
        <v>18894</v>
      </c>
      <c r="K10827">
        <v>11226</v>
      </c>
      <c r="L10827" t="s">
        <v>18960</v>
      </c>
      <c r="M10827" t="s">
        <v>18960</v>
      </c>
      <c r="P10827" t="s">
        <v>26560</v>
      </c>
      <c r="R10827" t="s">
        <v>26588</v>
      </c>
      <c r="U10827" t="s">
        <v>26604</v>
      </c>
      <c r="X10827">
        <v>1413</v>
      </c>
      <c r="Y10827" t="s">
        <v>26652</v>
      </c>
      <c r="AB10827" t="s">
        <v>31003</v>
      </c>
      <c r="AD10827" t="s">
        <v>45105</v>
      </c>
      <c r="AE10827">
        <v>0</v>
      </c>
      <c r="AH10827">
        <v>18</v>
      </c>
      <c r="AI10827">
        <v>1</v>
      </c>
      <c r="AJ10827">
        <v>3</v>
      </c>
      <c r="AK10827">
        <v>55.47</v>
      </c>
      <c r="AN10827" t="s">
        <v>7439</v>
      </c>
      <c r="AO10827">
        <v>14284</v>
      </c>
      <c r="AU10827">
        <v>1.5</v>
      </c>
      <c r="AV10827" t="s">
        <v>797</v>
      </c>
      <c r="AW10827" t="s">
        <v>288</v>
      </c>
    </row>
    <row r="10828" spans="1:50">
      <c r="A10828" s="1">
        <f>HYPERLINK("https://lsnyc.legalserver.org/matter/dynamic-profile/view/1900519","19-1900519")</f>
        <v>0</v>
      </c>
      <c r="B10828" t="s">
        <v>155</v>
      </c>
      <c r="C10828" t="s">
        <v>340</v>
      </c>
      <c r="D10828" t="s">
        <v>806</v>
      </c>
      <c r="F10828" t="s">
        <v>2727</v>
      </c>
      <c r="G10828" t="s">
        <v>3353</v>
      </c>
      <c r="H10828" t="s">
        <v>16906</v>
      </c>
      <c r="I10828" t="s">
        <v>17919</v>
      </c>
      <c r="J10828" t="s">
        <v>18894</v>
      </c>
      <c r="K10828">
        <v>11226</v>
      </c>
      <c r="L10828" t="s">
        <v>18960</v>
      </c>
      <c r="M10828" t="s">
        <v>18960</v>
      </c>
      <c r="N10828" t="s">
        <v>26190</v>
      </c>
      <c r="O10828" t="s">
        <v>26523</v>
      </c>
      <c r="P10828" t="s">
        <v>26560</v>
      </c>
      <c r="R10828" t="s">
        <v>26588</v>
      </c>
      <c r="U10828" t="s">
        <v>26604</v>
      </c>
      <c r="X10828">
        <v>2400</v>
      </c>
      <c r="Y10828" t="s">
        <v>26652</v>
      </c>
      <c r="AB10828" t="s">
        <v>34155</v>
      </c>
      <c r="AD10828" t="s">
        <v>45106</v>
      </c>
      <c r="AE10828">
        <v>0</v>
      </c>
      <c r="AH10828">
        <v>5</v>
      </c>
      <c r="AI10828">
        <v>2</v>
      </c>
      <c r="AJ10828">
        <v>2</v>
      </c>
      <c r="AK10828">
        <v>141.36</v>
      </c>
      <c r="AN10828" t="s">
        <v>7439</v>
      </c>
      <c r="AO10828">
        <v>36400</v>
      </c>
      <c r="AU10828">
        <v>2.35</v>
      </c>
      <c r="AV10828" t="s">
        <v>836</v>
      </c>
      <c r="AW10828" t="s">
        <v>46857</v>
      </c>
    </row>
    <row r="10829" spans="1:50">
      <c r="A10829" s="1">
        <f>HYPERLINK("https://lsnyc.legalserver.org/matter/dynamic-profile/view/1900614","19-1900614")</f>
        <v>0</v>
      </c>
      <c r="B10829" t="s">
        <v>63</v>
      </c>
      <c r="C10829" t="s">
        <v>340</v>
      </c>
      <c r="D10829" t="s">
        <v>806</v>
      </c>
      <c r="F10829" t="s">
        <v>1235</v>
      </c>
      <c r="G10829" t="s">
        <v>5515</v>
      </c>
      <c r="H10829" t="s">
        <v>16907</v>
      </c>
      <c r="I10829" t="s">
        <v>18828</v>
      </c>
      <c r="J10829" t="s">
        <v>18892</v>
      </c>
      <c r="K10829">
        <v>10452</v>
      </c>
      <c r="L10829" t="s">
        <v>18958</v>
      </c>
      <c r="M10829" t="s">
        <v>18960</v>
      </c>
      <c r="N10829" t="s">
        <v>26191</v>
      </c>
      <c r="O10829" t="s">
        <v>26523</v>
      </c>
      <c r="P10829" t="s">
        <v>26560</v>
      </c>
      <c r="R10829" t="s">
        <v>26578</v>
      </c>
      <c r="S10829" t="s">
        <v>18959</v>
      </c>
      <c r="U10829" t="s">
        <v>26604</v>
      </c>
      <c r="X10829">
        <v>1000</v>
      </c>
      <c r="Y10829" t="s">
        <v>26650</v>
      </c>
      <c r="AB10829" t="s">
        <v>34156</v>
      </c>
      <c r="AC10829" t="s">
        <v>36752</v>
      </c>
      <c r="AD10829" t="s">
        <v>45107</v>
      </c>
      <c r="AE10829">
        <v>0</v>
      </c>
      <c r="AG10829" t="s">
        <v>45558</v>
      </c>
      <c r="AH10829">
        <v>22</v>
      </c>
      <c r="AI10829">
        <v>1</v>
      </c>
      <c r="AJ10829">
        <v>3</v>
      </c>
      <c r="AK10829">
        <v>0</v>
      </c>
      <c r="AN10829" t="s">
        <v>7439</v>
      </c>
      <c r="AO10829">
        <v>0</v>
      </c>
      <c r="AU10829">
        <v>7.5</v>
      </c>
      <c r="AV10829" t="s">
        <v>772</v>
      </c>
      <c r="AW10829" t="s">
        <v>335</v>
      </c>
      <c r="AX10829" t="s">
        <v>46898</v>
      </c>
    </row>
    <row r="10830" spans="1:50">
      <c r="A10830" s="1">
        <f>HYPERLINK("https://lsnyc.legalserver.org/matter/dynamic-profile/view/1892794","19-1892794")</f>
        <v>0</v>
      </c>
      <c r="B10830" t="s">
        <v>105</v>
      </c>
      <c r="C10830" t="s">
        <v>341</v>
      </c>
      <c r="D10830" t="s">
        <v>808</v>
      </c>
      <c r="E10830" t="s">
        <v>808</v>
      </c>
      <c r="F10830" t="s">
        <v>4378</v>
      </c>
      <c r="G10830" t="s">
        <v>7542</v>
      </c>
      <c r="H10830" t="s">
        <v>16908</v>
      </c>
      <c r="J10830" t="s">
        <v>18917</v>
      </c>
      <c r="K10830">
        <v>11356</v>
      </c>
      <c r="L10830" t="s">
        <v>18960</v>
      </c>
      <c r="M10830" t="s">
        <v>18960</v>
      </c>
      <c r="N10830" t="s">
        <v>26192</v>
      </c>
      <c r="O10830" t="s">
        <v>26524</v>
      </c>
      <c r="P10830" t="s">
        <v>26564</v>
      </c>
      <c r="Q10830" t="s">
        <v>26570</v>
      </c>
      <c r="R10830" t="s">
        <v>26584</v>
      </c>
      <c r="S10830" t="s">
        <v>18959</v>
      </c>
      <c r="U10830" t="s">
        <v>26604</v>
      </c>
      <c r="X10830">
        <v>1500</v>
      </c>
      <c r="Y10830" t="s">
        <v>26653</v>
      </c>
      <c r="Z10830" t="s">
        <v>26664</v>
      </c>
      <c r="AA10830" t="s">
        <v>26683</v>
      </c>
      <c r="AB10830" t="s">
        <v>31538</v>
      </c>
      <c r="AD10830" t="s">
        <v>41771</v>
      </c>
      <c r="AE10830">
        <v>4</v>
      </c>
      <c r="AF10830" t="s">
        <v>45547</v>
      </c>
      <c r="AH10830">
        <v>2</v>
      </c>
      <c r="AI10830">
        <v>1</v>
      </c>
      <c r="AJ10830">
        <v>2</v>
      </c>
      <c r="AK10830">
        <v>140.65</v>
      </c>
      <c r="AN10830" t="s">
        <v>45581</v>
      </c>
      <c r="AO10830">
        <v>30000</v>
      </c>
      <c r="AU10830">
        <v>1</v>
      </c>
      <c r="AV10830" t="s">
        <v>752</v>
      </c>
      <c r="AW10830" t="s">
        <v>247</v>
      </c>
    </row>
    <row r="10831" spans="1:50">
      <c r="A10831" s="1">
        <f>HYPERLINK("https://lsnyc.legalserver.org/matter/dynamic-profile/view/1898558","19-1898558")</f>
        <v>0</v>
      </c>
      <c r="B10831" t="s">
        <v>278</v>
      </c>
      <c r="C10831" t="s">
        <v>340</v>
      </c>
      <c r="D10831" t="s">
        <v>808</v>
      </c>
      <c r="F10831" t="s">
        <v>1008</v>
      </c>
      <c r="G10831" t="s">
        <v>5475</v>
      </c>
      <c r="H10831" t="s">
        <v>9911</v>
      </c>
      <c r="I10831" t="s">
        <v>17347</v>
      </c>
      <c r="J10831" t="s">
        <v>18902</v>
      </c>
      <c r="K10831">
        <v>10304</v>
      </c>
      <c r="L10831" t="s">
        <v>18960</v>
      </c>
      <c r="M10831" t="s">
        <v>18960</v>
      </c>
      <c r="N10831" t="s">
        <v>26193</v>
      </c>
      <c r="O10831" t="s">
        <v>26523</v>
      </c>
      <c r="R10831" t="s">
        <v>26578</v>
      </c>
      <c r="S10831" t="s">
        <v>18959</v>
      </c>
      <c r="U10831" t="s">
        <v>26604</v>
      </c>
      <c r="X10831">
        <v>183</v>
      </c>
      <c r="Y10831" t="s">
        <v>26654</v>
      </c>
      <c r="Z10831" t="s">
        <v>26668</v>
      </c>
      <c r="AB10831" t="s">
        <v>34157</v>
      </c>
      <c r="AD10831" t="s">
        <v>45108</v>
      </c>
      <c r="AE10831">
        <v>0</v>
      </c>
      <c r="AF10831" t="s">
        <v>45543</v>
      </c>
      <c r="AG10831" t="s">
        <v>19330</v>
      </c>
      <c r="AH10831">
        <v>20</v>
      </c>
      <c r="AI10831">
        <v>1</v>
      </c>
      <c r="AJ10831">
        <v>0</v>
      </c>
      <c r="AK10831">
        <v>91.27</v>
      </c>
      <c r="AN10831" t="s">
        <v>7439</v>
      </c>
      <c r="AO10831">
        <v>11400</v>
      </c>
      <c r="AU10831">
        <v>5.8</v>
      </c>
      <c r="AV10831" t="s">
        <v>831</v>
      </c>
      <c r="AW10831" t="s">
        <v>46883</v>
      </c>
    </row>
    <row r="10832" spans="1:50">
      <c r="A10832" s="1">
        <f>HYPERLINK("https://lsnyc.legalserver.org/matter/dynamic-profile/view/1900706","19-1900706")</f>
        <v>0</v>
      </c>
      <c r="B10832" t="s">
        <v>130</v>
      </c>
      <c r="C10832" t="s">
        <v>340</v>
      </c>
      <c r="D10832" t="s">
        <v>808</v>
      </c>
      <c r="F10832" t="s">
        <v>4914</v>
      </c>
      <c r="G10832" t="s">
        <v>9457</v>
      </c>
      <c r="H10832" t="s">
        <v>16909</v>
      </c>
      <c r="I10832" t="s">
        <v>17331</v>
      </c>
      <c r="J10832" t="s">
        <v>18899</v>
      </c>
      <c r="K10832">
        <v>11385</v>
      </c>
      <c r="L10832" t="s">
        <v>18958</v>
      </c>
      <c r="M10832" t="s">
        <v>18960</v>
      </c>
      <c r="N10832" t="s">
        <v>26194</v>
      </c>
      <c r="O10832" t="s">
        <v>26523</v>
      </c>
      <c r="P10832" t="s">
        <v>26560</v>
      </c>
      <c r="R10832" t="s">
        <v>26585</v>
      </c>
      <c r="S10832" t="s">
        <v>18959</v>
      </c>
      <c r="U10832" t="s">
        <v>26604</v>
      </c>
      <c r="V10832" t="s">
        <v>26610</v>
      </c>
      <c r="X10832">
        <v>1490.65</v>
      </c>
      <c r="Y10832" t="s">
        <v>26653</v>
      </c>
      <c r="Z10832" t="s">
        <v>26668</v>
      </c>
      <c r="AB10832" t="s">
        <v>34158</v>
      </c>
      <c r="AD10832" t="s">
        <v>45109</v>
      </c>
      <c r="AE10832">
        <v>6</v>
      </c>
      <c r="AF10832" t="s">
        <v>20460</v>
      </c>
      <c r="AG10832" t="s">
        <v>45556</v>
      </c>
      <c r="AH10832">
        <v>10</v>
      </c>
      <c r="AI10832">
        <v>2</v>
      </c>
      <c r="AJ10832">
        <v>1</v>
      </c>
      <c r="AK10832">
        <v>108.11</v>
      </c>
      <c r="AN10832" t="s">
        <v>45581</v>
      </c>
      <c r="AO10832">
        <v>23060.25</v>
      </c>
      <c r="AU10832">
        <v>12.65</v>
      </c>
      <c r="AV10832" t="s">
        <v>836</v>
      </c>
      <c r="AW10832" t="s">
        <v>208</v>
      </c>
      <c r="AX10832" t="s">
        <v>46897</v>
      </c>
    </row>
    <row r="10833" spans="1:50">
      <c r="A10833" s="1">
        <f>HYPERLINK("https://lsnyc.legalserver.org/matter/dynamic-profile/view/1900690","19-1900690")</f>
        <v>0</v>
      </c>
      <c r="B10833" t="s">
        <v>135</v>
      </c>
      <c r="C10833" t="s">
        <v>340</v>
      </c>
      <c r="D10833" t="s">
        <v>808</v>
      </c>
      <c r="F10833" t="s">
        <v>3175</v>
      </c>
      <c r="G10833" t="s">
        <v>7423</v>
      </c>
      <c r="H10833" t="s">
        <v>12199</v>
      </c>
      <c r="I10833" t="s">
        <v>18151</v>
      </c>
      <c r="J10833" t="s">
        <v>18892</v>
      </c>
      <c r="K10833">
        <v>10460</v>
      </c>
      <c r="L10833" t="s">
        <v>18959</v>
      </c>
      <c r="M10833" t="s">
        <v>18960</v>
      </c>
      <c r="R10833" t="s">
        <v>26578</v>
      </c>
      <c r="S10833" t="s">
        <v>18959</v>
      </c>
      <c r="U10833" t="s">
        <v>26604</v>
      </c>
      <c r="X10833">
        <v>233</v>
      </c>
      <c r="Y10833" t="s">
        <v>26650</v>
      </c>
      <c r="Z10833" t="s">
        <v>26659</v>
      </c>
      <c r="AB10833" t="s">
        <v>26886</v>
      </c>
      <c r="AD10833" t="s">
        <v>40798</v>
      </c>
      <c r="AE10833">
        <v>248</v>
      </c>
      <c r="AF10833" t="s">
        <v>45551</v>
      </c>
      <c r="AG10833" t="s">
        <v>45561</v>
      </c>
      <c r="AH10833">
        <v>25</v>
      </c>
      <c r="AI10833">
        <v>2</v>
      </c>
      <c r="AJ10833">
        <v>0</v>
      </c>
      <c r="AK10833">
        <v>11.6</v>
      </c>
      <c r="AN10833" t="s">
        <v>7439</v>
      </c>
      <c r="AO10833">
        <v>1962</v>
      </c>
      <c r="AU10833">
        <v>9.800000000000001</v>
      </c>
      <c r="AV10833" t="s">
        <v>830</v>
      </c>
      <c r="AW10833" t="s">
        <v>46847</v>
      </c>
      <c r="AX10833" t="s">
        <v>46897</v>
      </c>
    </row>
    <row r="10834" spans="1:50">
      <c r="A10834" s="1">
        <f>HYPERLINK("https://lsnyc.legalserver.org/matter/dynamic-profile/view/1901247","19-1901247")</f>
        <v>0</v>
      </c>
      <c r="B10834" t="s">
        <v>233</v>
      </c>
      <c r="C10834" t="s">
        <v>340</v>
      </c>
      <c r="D10834" t="s">
        <v>808</v>
      </c>
      <c r="F10834" t="s">
        <v>4915</v>
      </c>
      <c r="G10834" t="s">
        <v>5720</v>
      </c>
      <c r="H10834" t="s">
        <v>12621</v>
      </c>
      <c r="I10834" t="s">
        <v>17527</v>
      </c>
      <c r="J10834" t="s">
        <v>18892</v>
      </c>
      <c r="K10834">
        <v>10462</v>
      </c>
      <c r="L10834" t="s">
        <v>18958</v>
      </c>
      <c r="M10834" t="s">
        <v>18960</v>
      </c>
      <c r="N10834" t="s">
        <v>26195</v>
      </c>
      <c r="O10834" t="s">
        <v>26523</v>
      </c>
      <c r="R10834" t="s">
        <v>26579</v>
      </c>
      <c r="S10834" t="s">
        <v>18959</v>
      </c>
      <c r="U10834" t="s">
        <v>26604</v>
      </c>
      <c r="X10834">
        <v>1444</v>
      </c>
      <c r="Y10834" t="s">
        <v>26650</v>
      </c>
      <c r="Z10834" t="s">
        <v>26668</v>
      </c>
      <c r="AB10834" t="s">
        <v>28599</v>
      </c>
      <c r="AC10834" t="s">
        <v>36753</v>
      </c>
      <c r="AD10834" t="s">
        <v>45110</v>
      </c>
      <c r="AE10834">
        <v>90</v>
      </c>
      <c r="AF10834" t="s">
        <v>45543</v>
      </c>
      <c r="AG10834" t="s">
        <v>45556</v>
      </c>
      <c r="AH10834">
        <v>17</v>
      </c>
      <c r="AI10834">
        <v>1</v>
      </c>
      <c r="AJ10834">
        <v>0</v>
      </c>
      <c r="AK10834">
        <v>124.89</v>
      </c>
      <c r="AN10834" t="s">
        <v>7439</v>
      </c>
      <c r="AO10834">
        <v>15598.7</v>
      </c>
      <c r="AU10834">
        <v>3</v>
      </c>
      <c r="AV10834" t="s">
        <v>836</v>
      </c>
      <c r="AW10834" t="s">
        <v>46832</v>
      </c>
      <c r="AX10834" t="s">
        <v>46898</v>
      </c>
    </row>
    <row r="10835" spans="1:50">
      <c r="A10835" s="1">
        <f>HYPERLINK("https://lsnyc.legalserver.org/matter/dynamic-profile/view/1899494","19-1899494")</f>
        <v>0</v>
      </c>
      <c r="B10835" t="s">
        <v>104</v>
      </c>
      <c r="C10835" t="s">
        <v>340</v>
      </c>
      <c r="D10835" t="s">
        <v>808</v>
      </c>
      <c r="F10835" t="s">
        <v>4916</v>
      </c>
      <c r="G10835" t="s">
        <v>9458</v>
      </c>
      <c r="H10835" t="s">
        <v>16910</v>
      </c>
      <c r="I10835" t="s">
        <v>17415</v>
      </c>
      <c r="J10835" t="s">
        <v>18902</v>
      </c>
      <c r="K10835">
        <v>10304</v>
      </c>
      <c r="L10835" t="s">
        <v>18958</v>
      </c>
      <c r="M10835" t="s">
        <v>18960</v>
      </c>
      <c r="N10835" t="s">
        <v>26196</v>
      </c>
      <c r="O10835" t="s">
        <v>26523</v>
      </c>
      <c r="R10835" t="s">
        <v>26578</v>
      </c>
      <c r="S10835" t="s">
        <v>18959</v>
      </c>
      <c r="U10835" t="s">
        <v>26604</v>
      </c>
      <c r="V10835" t="s">
        <v>26610</v>
      </c>
      <c r="X10835">
        <v>1515</v>
      </c>
      <c r="Y10835" t="s">
        <v>26654</v>
      </c>
      <c r="Z10835" t="s">
        <v>26668</v>
      </c>
      <c r="AB10835" t="s">
        <v>28383</v>
      </c>
      <c r="AD10835" t="s">
        <v>45111</v>
      </c>
      <c r="AE10835">
        <v>2</v>
      </c>
      <c r="AF10835" t="s">
        <v>45547</v>
      </c>
      <c r="AG10835" t="s">
        <v>19330</v>
      </c>
      <c r="AH10835">
        <v>3</v>
      </c>
      <c r="AI10835">
        <v>1</v>
      </c>
      <c r="AJ10835">
        <v>2</v>
      </c>
      <c r="AK10835">
        <v>146.27</v>
      </c>
      <c r="AN10835" t="s">
        <v>7439</v>
      </c>
      <c r="AO10835">
        <v>31200</v>
      </c>
      <c r="AU10835">
        <v>4.85</v>
      </c>
      <c r="AV10835" t="s">
        <v>834</v>
      </c>
      <c r="AW10835" t="s">
        <v>46883</v>
      </c>
      <c r="AX10835" t="s">
        <v>46897</v>
      </c>
    </row>
    <row r="10836" spans="1:50">
      <c r="A10836" s="1">
        <f>HYPERLINK("https://lsnyc.legalserver.org/matter/dynamic-profile/view/1899773","19-1899773")</f>
        <v>0</v>
      </c>
      <c r="B10836" t="s">
        <v>104</v>
      </c>
      <c r="C10836" t="s">
        <v>340</v>
      </c>
      <c r="D10836" t="s">
        <v>808</v>
      </c>
      <c r="F10836" t="s">
        <v>3756</v>
      </c>
      <c r="G10836" t="s">
        <v>887</v>
      </c>
      <c r="H10836" t="s">
        <v>14422</v>
      </c>
      <c r="J10836" t="s">
        <v>18902</v>
      </c>
      <c r="K10836">
        <v>10312</v>
      </c>
      <c r="L10836" t="s">
        <v>18960</v>
      </c>
      <c r="M10836" t="s">
        <v>18960</v>
      </c>
      <c r="N10836" t="s">
        <v>26197</v>
      </c>
      <c r="O10836" t="s">
        <v>26524</v>
      </c>
      <c r="R10836" t="s">
        <v>26578</v>
      </c>
      <c r="S10836" t="s">
        <v>18959</v>
      </c>
      <c r="U10836" t="s">
        <v>26604</v>
      </c>
      <c r="V10836" t="s">
        <v>26610</v>
      </c>
      <c r="X10836">
        <v>2200</v>
      </c>
      <c r="Y10836" t="s">
        <v>26654</v>
      </c>
      <c r="Z10836" t="s">
        <v>26659</v>
      </c>
      <c r="AB10836" t="s">
        <v>31831</v>
      </c>
      <c r="AD10836" t="s">
        <v>42111</v>
      </c>
      <c r="AE10836">
        <v>1</v>
      </c>
      <c r="AF10836" t="s">
        <v>45547</v>
      </c>
      <c r="AG10836" t="s">
        <v>19330</v>
      </c>
      <c r="AH10836">
        <v>2</v>
      </c>
      <c r="AI10836">
        <v>1</v>
      </c>
      <c r="AJ10836">
        <v>2</v>
      </c>
      <c r="AK10836">
        <v>168.78</v>
      </c>
      <c r="AN10836" t="s">
        <v>45582</v>
      </c>
      <c r="AO10836">
        <v>36000</v>
      </c>
      <c r="AU10836">
        <v>6.7</v>
      </c>
      <c r="AV10836" t="s">
        <v>834</v>
      </c>
      <c r="AW10836" t="s">
        <v>46883</v>
      </c>
    </row>
    <row r="10837" spans="1:50">
      <c r="A10837" s="1">
        <f>HYPERLINK("https://lsnyc.legalserver.org/matter/dynamic-profile/view/1900703","19-1900703")</f>
        <v>0</v>
      </c>
      <c r="B10837" t="s">
        <v>78</v>
      </c>
      <c r="C10837" t="s">
        <v>340</v>
      </c>
      <c r="D10837" t="s">
        <v>808</v>
      </c>
      <c r="F10837" t="s">
        <v>3157</v>
      </c>
      <c r="G10837" t="s">
        <v>5932</v>
      </c>
      <c r="H10837" t="s">
        <v>13216</v>
      </c>
      <c r="I10837" t="s">
        <v>17277</v>
      </c>
      <c r="J10837" t="s">
        <v>18894</v>
      </c>
      <c r="K10837">
        <v>11213</v>
      </c>
      <c r="L10837" t="s">
        <v>18958</v>
      </c>
      <c r="M10837" t="s">
        <v>18960</v>
      </c>
      <c r="O10837" t="s">
        <v>18997</v>
      </c>
      <c r="P10837" t="s">
        <v>26562</v>
      </c>
      <c r="R10837" t="s">
        <v>26578</v>
      </c>
      <c r="S10837" t="s">
        <v>18958</v>
      </c>
      <c r="U10837" t="s">
        <v>26604</v>
      </c>
      <c r="V10837" t="s">
        <v>26610</v>
      </c>
      <c r="X10837">
        <v>862</v>
      </c>
      <c r="Y10837" t="s">
        <v>26652</v>
      </c>
      <c r="Z10837" t="s">
        <v>26663</v>
      </c>
      <c r="AB10837" t="s">
        <v>30575</v>
      </c>
      <c r="AD10837" t="s">
        <v>40765</v>
      </c>
      <c r="AE10837">
        <v>23</v>
      </c>
      <c r="AF10837" t="s">
        <v>45541</v>
      </c>
      <c r="AG10837" t="s">
        <v>19330</v>
      </c>
      <c r="AH10837">
        <v>20</v>
      </c>
      <c r="AI10837">
        <v>2</v>
      </c>
      <c r="AJ10837">
        <v>0</v>
      </c>
      <c r="AK10837">
        <v>0</v>
      </c>
      <c r="AN10837" t="s">
        <v>7439</v>
      </c>
      <c r="AO10837">
        <v>0</v>
      </c>
      <c r="AP10837" t="s">
        <v>46323</v>
      </c>
      <c r="AU10837">
        <v>0.1</v>
      </c>
      <c r="AV10837" t="s">
        <v>825</v>
      </c>
      <c r="AW10837" t="s">
        <v>279</v>
      </c>
      <c r="AX10837" t="s">
        <v>19330</v>
      </c>
    </row>
    <row r="10838" spans="1:50">
      <c r="A10838" s="1">
        <f>HYPERLINK("https://lsnyc.legalserver.org/matter/dynamic-profile/view/1900688","19-1900688")</f>
        <v>0</v>
      </c>
      <c r="B10838" t="s">
        <v>78</v>
      </c>
      <c r="C10838" t="s">
        <v>340</v>
      </c>
      <c r="D10838" t="s">
        <v>808</v>
      </c>
      <c r="F10838" t="s">
        <v>2396</v>
      </c>
      <c r="G10838" t="s">
        <v>6537</v>
      </c>
      <c r="H10838" t="s">
        <v>11062</v>
      </c>
      <c r="I10838" t="s">
        <v>17361</v>
      </c>
      <c r="J10838" t="s">
        <v>18894</v>
      </c>
      <c r="K10838">
        <v>11213</v>
      </c>
      <c r="L10838" t="s">
        <v>18958</v>
      </c>
      <c r="M10838" t="s">
        <v>18960</v>
      </c>
      <c r="O10838" t="s">
        <v>18997</v>
      </c>
      <c r="P10838" t="s">
        <v>26562</v>
      </c>
      <c r="R10838" t="s">
        <v>26578</v>
      </c>
      <c r="S10838" t="s">
        <v>18958</v>
      </c>
      <c r="U10838" t="s">
        <v>26604</v>
      </c>
      <c r="V10838" t="s">
        <v>26610</v>
      </c>
      <c r="X10838">
        <v>1169.88</v>
      </c>
      <c r="Y10838" t="s">
        <v>26652</v>
      </c>
      <c r="Z10838" t="s">
        <v>26663</v>
      </c>
      <c r="AB10838" t="s">
        <v>29111</v>
      </c>
      <c r="AD10838" t="s">
        <v>39163</v>
      </c>
      <c r="AE10838">
        <v>35</v>
      </c>
      <c r="AF10838" t="s">
        <v>45541</v>
      </c>
      <c r="AG10838" t="s">
        <v>19330</v>
      </c>
      <c r="AH10838">
        <v>5</v>
      </c>
      <c r="AI10838">
        <v>2</v>
      </c>
      <c r="AJ10838">
        <v>0</v>
      </c>
      <c r="AK10838">
        <v>425.78</v>
      </c>
      <c r="AN10838" t="s">
        <v>7439</v>
      </c>
      <c r="AO10838">
        <v>72000</v>
      </c>
      <c r="AP10838" t="s">
        <v>46324</v>
      </c>
      <c r="AU10838">
        <v>0</v>
      </c>
      <c r="AW10838" t="s">
        <v>279</v>
      </c>
      <c r="AX10838" t="s">
        <v>46897</v>
      </c>
    </row>
    <row r="10839" spans="1:50">
      <c r="A10839" s="1">
        <f>HYPERLINK("https://lsnyc.legalserver.org/matter/dynamic-profile/view/1900712","19-1900712")</f>
        <v>0</v>
      </c>
      <c r="B10839" t="s">
        <v>78</v>
      </c>
      <c r="C10839" t="s">
        <v>340</v>
      </c>
      <c r="D10839" t="s">
        <v>808</v>
      </c>
      <c r="F10839" t="s">
        <v>1299</v>
      </c>
      <c r="G10839" t="s">
        <v>968</v>
      </c>
      <c r="H10839" t="s">
        <v>10751</v>
      </c>
      <c r="I10839" t="s">
        <v>17845</v>
      </c>
      <c r="J10839" t="s">
        <v>18894</v>
      </c>
      <c r="K10839">
        <v>11213</v>
      </c>
      <c r="L10839" t="s">
        <v>18958</v>
      </c>
      <c r="M10839" t="s">
        <v>18960</v>
      </c>
      <c r="O10839" t="s">
        <v>18997</v>
      </c>
      <c r="P10839" t="s">
        <v>26562</v>
      </c>
      <c r="R10839" t="s">
        <v>26578</v>
      </c>
      <c r="S10839" t="s">
        <v>18958</v>
      </c>
      <c r="U10839" t="s">
        <v>26604</v>
      </c>
      <c r="V10839" t="s">
        <v>26610</v>
      </c>
      <c r="X10839">
        <v>1197</v>
      </c>
      <c r="Y10839" t="s">
        <v>26652</v>
      </c>
      <c r="Z10839" t="s">
        <v>26663</v>
      </c>
      <c r="AB10839" t="s">
        <v>29874</v>
      </c>
      <c r="AC10839" t="s">
        <v>19330</v>
      </c>
      <c r="AD10839" t="s">
        <v>39994</v>
      </c>
      <c r="AE10839">
        <v>34</v>
      </c>
      <c r="AF10839" t="s">
        <v>45541</v>
      </c>
      <c r="AG10839" t="s">
        <v>19330</v>
      </c>
      <c r="AH10839">
        <v>7</v>
      </c>
      <c r="AI10839">
        <v>3</v>
      </c>
      <c r="AJ10839">
        <v>0</v>
      </c>
      <c r="AK10839">
        <v>445.62</v>
      </c>
      <c r="AN10839" t="s">
        <v>7439</v>
      </c>
      <c r="AO10839">
        <v>95050.08</v>
      </c>
      <c r="AP10839" t="s">
        <v>46325</v>
      </c>
      <c r="AU10839">
        <v>0</v>
      </c>
      <c r="AW10839" t="s">
        <v>279</v>
      </c>
      <c r="AX10839" t="s">
        <v>46897</v>
      </c>
    </row>
    <row r="10840" spans="1:50">
      <c r="A10840" s="1">
        <f>HYPERLINK("https://lsnyc.legalserver.org/matter/dynamic-profile/view/1900699","19-1900699")</f>
        <v>0</v>
      </c>
      <c r="B10840" t="s">
        <v>91</v>
      </c>
      <c r="C10840" t="s">
        <v>340</v>
      </c>
      <c r="D10840" t="s">
        <v>808</v>
      </c>
      <c r="F10840" t="s">
        <v>2398</v>
      </c>
      <c r="G10840" t="s">
        <v>6612</v>
      </c>
      <c r="H10840" t="s">
        <v>9698</v>
      </c>
      <c r="J10840" t="s">
        <v>18897</v>
      </c>
      <c r="K10840">
        <v>11415</v>
      </c>
      <c r="L10840" t="s">
        <v>18958</v>
      </c>
      <c r="M10840" t="s">
        <v>18960</v>
      </c>
      <c r="O10840" t="s">
        <v>18997</v>
      </c>
      <c r="P10840" t="s">
        <v>26562</v>
      </c>
      <c r="R10840" t="s">
        <v>26584</v>
      </c>
      <c r="S10840" t="s">
        <v>18959</v>
      </c>
      <c r="U10840" t="s">
        <v>26604</v>
      </c>
      <c r="V10840" t="s">
        <v>26610</v>
      </c>
      <c r="X10840">
        <v>1800</v>
      </c>
      <c r="Y10840" t="s">
        <v>26653</v>
      </c>
      <c r="Z10840" t="s">
        <v>26659</v>
      </c>
      <c r="AB10840" t="s">
        <v>29113</v>
      </c>
      <c r="AD10840" t="s">
        <v>39166</v>
      </c>
      <c r="AE10840">
        <v>50</v>
      </c>
      <c r="AF10840" t="s">
        <v>45541</v>
      </c>
      <c r="AG10840" t="s">
        <v>45557</v>
      </c>
      <c r="AH10840">
        <v>4</v>
      </c>
      <c r="AI10840">
        <v>2</v>
      </c>
      <c r="AJ10840">
        <v>3</v>
      </c>
      <c r="AK10840">
        <v>39.77</v>
      </c>
      <c r="AN10840" t="s">
        <v>45582</v>
      </c>
      <c r="AO10840">
        <v>12000</v>
      </c>
      <c r="AU10840">
        <v>2.1</v>
      </c>
      <c r="AV10840" t="s">
        <v>830</v>
      </c>
      <c r="AW10840" t="s">
        <v>91</v>
      </c>
    </row>
    <row r="10841" spans="1:50">
      <c r="A10841" s="1">
        <f>HYPERLINK("https://lsnyc.legalserver.org/matter/dynamic-profile/view/1900704","19-1900704")</f>
        <v>0</v>
      </c>
      <c r="B10841" t="s">
        <v>188</v>
      </c>
      <c r="C10841" t="s">
        <v>340</v>
      </c>
      <c r="D10841" t="s">
        <v>808</v>
      </c>
      <c r="F10841" t="s">
        <v>1062</v>
      </c>
      <c r="G10841" t="s">
        <v>5339</v>
      </c>
      <c r="H10841" t="s">
        <v>16911</v>
      </c>
      <c r="J10841" t="s">
        <v>18892</v>
      </c>
      <c r="K10841">
        <v>10457</v>
      </c>
      <c r="L10841" t="s">
        <v>18958</v>
      </c>
      <c r="M10841" t="s">
        <v>18960</v>
      </c>
      <c r="R10841" t="s">
        <v>26591</v>
      </c>
      <c r="U10841" t="s">
        <v>26604</v>
      </c>
      <c r="X10841">
        <v>1657</v>
      </c>
      <c r="Y10841" t="s">
        <v>26650</v>
      </c>
      <c r="AB10841" t="s">
        <v>29019</v>
      </c>
      <c r="AC10841">
        <v>8477874</v>
      </c>
      <c r="AD10841" t="s">
        <v>45112</v>
      </c>
      <c r="AE10841">
        <v>110</v>
      </c>
      <c r="AF10841" t="s">
        <v>45555</v>
      </c>
      <c r="AG10841" t="s">
        <v>45558</v>
      </c>
      <c r="AH10841">
        <v>1</v>
      </c>
      <c r="AI10841">
        <v>1</v>
      </c>
      <c r="AJ10841">
        <v>3</v>
      </c>
      <c r="AK10841">
        <v>50.33</v>
      </c>
      <c r="AN10841" t="s">
        <v>7439</v>
      </c>
      <c r="AO10841">
        <v>12960</v>
      </c>
      <c r="AU10841">
        <v>1</v>
      </c>
      <c r="AV10841" t="s">
        <v>808</v>
      </c>
      <c r="AW10841" t="s">
        <v>46887</v>
      </c>
    </row>
    <row r="10842" spans="1:50">
      <c r="A10842" s="1">
        <f>HYPERLINK("https://lsnyc.legalserver.org/matter/dynamic-profile/view/1900774","19-1900774")</f>
        <v>0</v>
      </c>
      <c r="B10842" t="s">
        <v>91</v>
      </c>
      <c r="C10842" t="s">
        <v>340</v>
      </c>
      <c r="D10842" t="s">
        <v>824</v>
      </c>
      <c r="F10842" t="s">
        <v>4917</v>
      </c>
      <c r="G10842" t="s">
        <v>5174</v>
      </c>
      <c r="H10842" t="s">
        <v>9794</v>
      </c>
      <c r="I10842" t="s">
        <v>18829</v>
      </c>
      <c r="J10842" t="s">
        <v>7026</v>
      </c>
      <c r="K10842">
        <v>11368</v>
      </c>
      <c r="L10842" t="s">
        <v>18958</v>
      </c>
      <c r="M10842" t="s">
        <v>18960</v>
      </c>
      <c r="N10842" t="s">
        <v>26027</v>
      </c>
      <c r="O10842" t="s">
        <v>26534</v>
      </c>
      <c r="P10842" t="s">
        <v>26561</v>
      </c>
      <c r="R10842" t="s">
        <v>26578</v>
      </c>
      <c r="S10842" t="s">
        <v>18958</v>
      </c>
      <c r="U10842" t="s">
        <v>26604</v>
      </c>
      <c r="V10842" t="s">
        <v>26610</v>
      </c>
      <c r="X10842">
        <v>940</v>
      </c>
      <c r="Y10842" t="s">
        <v>26653</v>
      </c>
      <c r="AB10842" t="s">
        <v>34159</v>
      </c>
      <c r="AD10842" t="s">
        <v>45113</v>
      </c>
      <c r="AE10842">
        <v>50</v>
      </c>
      <c r="AF10842" t="s">
        <v>45541</v>
      </c>
      <c r="AH10842">
        <v>19</v>
      </c>
      <c r="AI10842">
        <v>1</v>
      </c>
      <c r="AJ10842">
        <v>0</v>
      </c>
      <c r="AK10842">
        <v>129.7</v>
      </c>
      <c r="AN10842" t="s">
        <v>7439</v>
      </c>
      <c r="AO10842">
        <v>16200</v>
      </c>
      <c r="AU10842">
        <v>0.2</v>
      </c>
      <c r="AV10842" t="s">
        <v>839</v>
      </c>
      <c r="AW10842" t="s">
        <v>91</v>
      </c>
      <c r="AX10842" t="s">
        <v>46897</v>
      </c>
    </row>
    <row r="10843" spans="1:50">
      <c r="A10843" s="1">
        <f>HYPERLINK("https://lsnyc.legalserver.org/matter/dynamic-profile/view/1900915","19-1900915")</f>
        <v>0</v>
      </c>
      <c r="B10843" t="s">
        <v>318</v>
      </c>
      <c r="C10843" t="s">
        <v>341</v>
      </c>
      <c r="D10843" t="s">
        <v>809</v>
      </c>
      <c r="E10843" t="s">
        <v>807</v>
      </c>
      <c r="F10843" t="s">
        <v>3100</v>
      </c>
      <c r="G10843" t="s">
        <v>5205</v>
      </c>
      <c r="H10843" t="s">
        <v>16912</v>
      </c>
      <c r="I10843" t="s">
        <v>17307</v>
      </c>
      <c r="J10843" t="s">
        <v>18892</v>
      </c>
      <c r="K10843">
        <v>10460</v>
      </c>
      <c r="L10843" t="s">
        <v>18960</v>
      </c>
      <c r="M10843" t="s">
        <v>18960</v>
      </c>
      <c r="N10843" t="s">
        <v>26198</v>
      </c>
      <c r="O10843" t="s">
        <v>26523</v>
      </c>
      <c r="Q10843" t="s">
        <v>26570</v>
      </c>
      <c r="R10843" t="s">
        <v>26591</v>
      </c>
      <c r="S10843" t="s">
        <v>18959</v>
      </c>
      <c r="T10843" t="s">
        <v>26603</v>
      </c>
      <c r="U10843" t="s">
        <v>26604</v>
      </c>
      <c r="X10843">
        <v>1300</v>
      </c>
      <c r="Y10843" t="s">
        <v>26650</v>
      </c>
      <c r="AA10843" t="s">
        <v>26683</v>
      </c>
      <c r="AB10843" t="s">
        <v>33314</v>
      </c>
      <c r="AE10843">
        <v>35</v>
      </c>
      <c r="AF10843" t="s">
        <v>20460</v>
      </c>
      <c r="AG10843" t="s">
        <v>19330</v>
      </c>
      <c r="AH10843">
        <v>28</v>
      </c>
      <c r="AI10843">
        <v>1</v>
      </c>
      <c r="AJ10843">
        <v>0</v>
      </c>
      <c r="AK10843">
        <v>166.53</v>
      </c>
      <c r="AN10843" t="s">
        <v>7439</v>
      </c>
      <c r="AO10843">
        <v>20800</v>
      </c>
      <c r="AU10843">
        <v>0.75</v>
      </c>
      <c r="AV10843" t="s">
        <v>807</v>
      </c>
      <c r="AW10843" t="s">
        <v>46829</v>
      </c>
    </row>
    <row r="10844" spans="1:50">
      <c r="A10844" s="1">
        <f>HYPERLINK("https://lsnyc.legalserver.org/matter/dynamic-profile/view/1900784","19-1900784")</f>
        <v>0</v>
      </c>
      <c r="B10844" t="s">
        <v>280</v>
      </c>
      <c r="C10844" t="s">
        <v>340</v>
      </c>
      <c r="D10844" t="s">
        <v>809</v>
      </c>
      <c r="F10844" t="s">
        <v>1092</v>
      </c>
      <c r="G10844" t="s">
        <v>9459</v>
      </c>
      <c r="H10844" t="s">
        <v>16913</v>
      </c>
      <c r="I10844" t="s">
        <v>17309</v>
      </c>
      <c r="J10844" t="s">
        <v>18900</v>
      </c>
      <c r="K10844">
        <v>11354</v>
      </c>
      <c r="L10844" t="s">
        <v>18960</v>
      </c>
      <c r="M10844" t="s">
        <v>18960</v>
      </c>
      <c r="N10844" t="s">
        <v>19330</v>
      </c>
      <c r="O10844" t="s">
        <v>18997</v>
      </c>
      <c r="P10844" t="s">
        <v>26564</v>
      </c>
      <c r="R10844" t="s">
        <v>26591</v>
      </c>
      <c r="S10844" t="s">
        <v>18959</v>
      </c>
      <c r="U10844" t="s">
        <v>26604</v>
      </c>
      <c r="V10844" t="s">
        <v>26610</v>
      </c>
      <c r="X10844">
        <v>1000</v>
      </c>
      <c r="Y10844" t="s">
        <v>26653</v>
      </c>
      <c r="Z10844" t="s">
        <v>26673</v>
      </c>
      <c r="AB10844" t="s">
        <v>34160</v>
      </c>
      <c r="AE10844">
        <v>70</v>
      </c>
      <c r="AF10844" t="s">
        <v>45541</v>
      </c>
      <c r="AG10844" t="s">
        <v>19330</v>
      </c>
      <c r="AH10844">
        <v>40</v>
      </c>
      <c r="AI10844">
        <v>1</v>
      </c>
      <c r="AJ10844">
        <v>0</v>
      </c>
      <c r="AK10844">
        <v>197.76</v>
      </c>
      <c r="AN10844" t="s">
        <v>7439</v>
      </c>
      <c r="AO10844">
        <v>24700</v>
      </c>
      <c r="AU10844">
        <v>1.65</v>
      </c>
      <c r="AV10844" t="s">
        <v>807</v>
      </c>
      <c r="AW10844" t="s">
        <v>46857</v>
      </c>
    </row>
    <row r="10845" spans="1:50">
      <c r="A10845" s="1">
        <f>HYPERLINK("https://lsnyc.legalserver.org/matter/dynamic-profile/view/1900798","19-1900798")</f>
        <v>0</v>
      </c>
      <c r="B10845" t="s">
        <v>133</v>
      </c>
      <c r="C10845" t="s">
        <v>340</v>
      </c>
      <c r="D10845" t="s">
        <v>809</v>
      </c>
      <c r="F10845" t="s">
        <v>4918</v>
      </c>
      <c r="G10845" t="s">
        <v>9460</v>
      </c>
      <c r="H10845" t="s">
        <v>16914</v>
      </c>
      <c r="I10845" t="s">
        <v>17306</v>
      </c>
      <c r="J10845" t="s">
        <v>18892</v>
      </c>
      <c r="K10845">
        <v>10457</v>
      </c>
      <c r="L10845" t="s">
        <v>18958</v>
      </c>
      <c r="M10845" t="s">
        <v>18960</v>
      </c>
      <c r="N10845" t="s">
        <v>26199</v>
      </c>
      <c r="O10845" t="s">
        <v>26523</v>
      </c>
      <c r="R10845" t="s">
        <v>26579</v>
      </c>
      <c r="S10845" t="s">
        <v>18959</v>
      </c>
      <c r="U10845" t="s">
        <v>26604</v>
      </c>
      <c r="X10845">
        <v>1381.64</v>
      </c>
      <c r="Y10845" t="s">
        <v>26650</v>
      </c>
      <c r="AB10845" t="s">
        <v>28011</v>
      </c>
      <c r="AD10845" t="s">
        <v>45114</v>
      </c>
      <c r="AE10845">
        <v>0</v>
      </c>
      <c r="AH10845">
        <v>3</v>
      </c>
      <c r="AI10845">
        <v>2</v>
      </c>
      <c r="AJ10845">
        <v>0</v>
      </c>
      <c r="AK10845">
        <v>206.65</v>
      </c>
      <c r="AN10845" t="s">
        <v>45581</v>
      </c>
      <c r="AO10845">
        <v>34944</v>
      </c>
      <c r="AP10845" t="s">
        <v>46298</v>
      </c>
      <c r="AU10845">
        <v>1.3</v>
      </c>
      <c r="AV10845" t="s">
        <v>830</v>
      </c>
      <c r="AW10845" t="s">
        <v>335</v>
      </c>
      <c r="AX10845" t="s">
        <v>46897</v>
      </c>
    </row>
    <row r="10846" spans="1:50">
      <c r="A10846" s="1">
        <f>HYPERLINK("https://lsnyc.legalserver.org/matter/dynamic-profile/view/1900781","19-1900781")</f>
        <v>0</v>
      </c>
      <c r="B10846" t="s">
        <v>262</v>
      </c>
      <c r="C10846" t="s">
        <v>340</v>
      </c>
      <c r="D10846" t="s">
        <v>809</v>
      </c>
      <c r="F10846" t="s">
        <v>4919</v>
      </c>
      <c r="G10846" t="s">
        <v>9461</v>
      </c>
      <c r="H10846" t="s">
        <v>15070</v>
      </c>
      <c r="I10846" t="s">
        <v>17312</v>
      </c>
      <c r="J10846" t="s">
        <v>18892</v>
      </c>
      <c r="K10846">
        <v>10453</v>
      </c>
      <c r="L10846" t="s">
        <v>18960</v>
      </c>
      <c r="M10846" t="s">
        <v>18960</v>
      </c>
      <c r="R10846" t="s">
        <v>26577</v>
      </c>
      <c r="U10846" t="s">
        <v>26604</v>
      </c>
      <c r="X10846">
        <v>0</v>
      </c>
      <c r="Y10846" t="s">
        <v>26650</v>
      </c>
      <c r="AB10846" t="s">
        <v>31812</v>
      </c>
      <c r="AD10846" t="s">
        <v>45115</v>
      </c>
      <c r="AE10846">
        <v>0</v>
      </c>
      <c r="AH10846">
        <v>0</v>
      </c>
      <c r="AI10846">
        <v>1</v>
      </c>
      <c r="AJ10846">
        <v>2</v>
      </c>
      <c r="AK10846">
        <v>0</v>
      </c>
      <c r="AN10846" t="s">
        <v>7439</v>
      </c>
      <c r="AO10846">
        <v>0</v>
      </c>
      <c r="AU10846">
        <v>9.199999999999999</v>
      </c>
      <c r="AV10846" t="s">
        <v>836</v>
      </c>
      <c r="AW10846" t="s">
        <v>335</v>
      </c>
    </row>
    <row r="10847" spans="1:50">
      <c r="A10847" s="1">
        <f>HYPERLINK("https://lsnyc.legalserver.org/matter/dynamic-profile/view/1900932","19-1900932")</f>
        <v>0</v>
      </c>
      <c r="B10847" t="s">
        <v>124</v>
      </c>
      <c r="C10847" t="s">
        <v>340</v>
      </c>
      <c r="D10847" t="s">
        <v>809</v>
      </c>
      <c r="F10847" t="s">
        <v>1932</v>
      </c>
      <c r="G10847" t="s">
        <v>4931</v>
      </c>
      <c r="H10847" t="s">
        <v>16915</v>
      </c>
      <c r="I10847" t="s">
        <v>18830</v>
      </c>
      <c r="J10847" t="s">
        <v>18894</v>
      </c>
      <c r="K10847">
        <v>11226</v>
      </c>
      <c r="L10847" t="s">
        <v>18960</v>
      </c>
      <c r="M10847" t="s">
        <v>18960</v>
      </c>
      <c r="R10847" t="s">
        <v>26588</v>
      </c>
      <c r="U10847" t="s">
        <v>26604</v>
      </c>
      <c r="X10847">
        <v>0</v>
      </c>
      <c r="Y10847" t="s">
        <v>26652</v>
      </c>
      <c r="AB10847" t="s">
        <v>34161</v>
      </c>
      <c r="AD10847" t="s">
        <v>45116</v>
      </c>
      <c r="AE10847">
        <v>0</v>
      </c>
      <c r="AH10847">
        <v>0</v>
      </c>
      <c r="AI10847">
        <v>3</v>
      </c>
      <c r="AJ10847">
        <v>0</v>
      </c>
      <c r="AK10847">
        <v>196.4</v>
      </c>
      <c r="AN10847" t="s">
        <v>7439</v>
      </c>
      <c r="AO10847">
        <v>41892</v>
      </c>
      <c r="AU10847">
        <v>1.75</v>
      </c>
      <c r="AV10847" t="s">
        <v>832</v>
      </c>
      <c r="AW10847" t="s">
        <v>320</v>
      </c>
    </row>
    <row r="10848" spans="1:50">
      <c r="A10848" s="1">
        <f>HYPERLINK("https://lsnyc.legalserver.org/matter/dynamic-profile/view/1900913","19-1900913")</f>
        <v>0</v>
      </c>
      <c r="B10848" t="s">
        <v>200</v>
      </c>
      <c r="C10848" t="s">
        <v>340</v>
      </c>
      <c r="D10848" t="s">
        <v>809</v>
      </c>
      <c r="F10848" t="s">
        <v>1352</v>
      </c>
      <c r="G10848" t="s">
        <v>9462</v>
      </c>
      <c r="H10848" t="s">
        <v>16916</v>
      </c>
      <c r="I10848" t="s">
        <v>17278</v>
      </c>
      <c r="J10848" t="s">
        <v>18894</v>
      </c>
      <c r="K10848">
        <v>11218</v>
      </c>
      <c r="L10848" t="s">
        <v>18960</v>
      </c>
      <c r="M10848" t="s">
        <v>18960</v>
      </c>
      <c r="R10848" t="s">
        <v>26591</v>
      </c>
      <c r="U10848" t="s">
        <v>26604</v>
      </c>
      <c r="X10848">
        <v>1100</v>
      </c>
      <c r="Y10848" t="s">
        <v>26652</v>
      </c>
      <c r="AB10848" t="s">
        <v>34162</v>
      </c>
      <c r="AD10848" t="s">
        <v>45117</v>
      </c>
      <c r="AE10848">
        <v>49</v>
      </c>
      <c r="AH10848">
        <v>1</v>
      </c>
      <c r="AI10848">
        <v>1</v>
      </c>
      <c r="AJ10848">
        <v>0</v>
      </c>
      <c r="AK10848">
        <v>187.35</v>
      </c>
      <c r="AN10848" t="s">
        <v>7439</v>
      </c>
      <c r="AO10848">
        <v>23400</v>
      </c>
      <c r="AU10848">
        <v>2.1</v>
      </c>
      <c r="AV10848" t="s">
        <v>729</v>
      </c>
      <c r="AW10848" t="s">
        <v>46857</v>
      </c>
    </row>
    <row r="10849" spans="1:50">
      <c r="A10849" s="1">
        <f>HYPERLINK("https://lsnyc.legalserver.org/matter/dynamic-profile/view/1900728","19-1900728")</f>
        <v>0</v>
      </c>
      <c r="B10849" t="s">
        <v>121</v>
      </c>
      <c r="C10849" t="s">
        <v>340</v>
      </c>
      <c r="D10849" t="s">
        <v>809</v>
      </c>
      <c r="F10849" t="s">
        <v>881</v>
      </c>
      <c r="G10849" t="s">
        <v>5478</v>
      </c>
      <c r="H10849" t="s">
        <v>16917</v>
      </c>
      <c r="I10849" t="s">
        <v>18350</v>
      </c>
      <c r="J10849" t="s">
        <v>18892</v>
      </c>
      <c r="K10849">
        <v>10460</v>
      </c>
      <c r="L10849" t="s">
        <v>18959</v>
      </c>
      <c r="M10849" t="s">
        <v>18960</v>
      </c>
      <c r="N10849" t="s">
        <v>26200</v>
      </c>
      <c r="O10849" t="s">
        <v>26524</v>
      </c>
      <c r="P10849" t="s">
        <v>26564</v>
      </c>
      <c r="R10849" t="s">
        <v>26577</v>
      </c>
      <c r="S10849" t="s">
        <v>18959</v>
      </c>
      <c r="U10849" t="s">
        <v>26604</v>
      </c>
      <c r="X10849">
        <v>0</v>
      </c>
      <c r="Y10849" t="s">
        <v>26650</v>
      </c>
      <c r="AB10849" t="s">
        <v>34163</v>
      </c>
      <c r="AD10849" t="s">
        <v>45118</v>
      </c>
      <c r="AE10849">
        <v>0</v>
      </c>
      <c r="AF10849" t="s">
        <v>45554</v>
      </c>
      <c r="AH10849">
        <v>0</v>
      </c>
      <c r="AI10849">
        <v>1</v>
      </c>
      <c r="AJ10849">
        <v>0</v>
      </c>
      <c r="AK10849">
        <v>0</v>
      </c>
      <c r="AN10849" t="s">
        <v>7439</v>
      </c>
      <c r="AO10849">
        <v>0</v>
      </c>
      <c r="AP10849" t="s">
        <v>46326</v>
      </c>
      <c r="AU10849">
        <v>0.2</v>
      </c>
      <c r="AV10849" t="s">
        <v>827</v>
      </c>
      <c r="AW10849" t="s">
        <v>46871</v>
      </c>
    </row>
    <row r="10850" spans="1:50">
      <c r="A10850" s="1">
        <f>HYPERLINK("https://lsnyc.legalserver.org/matter/dynamic-profile/view/1900919","19-1900919")</f>
        <v>0</v>
      </c>
      <c r="B10850" t="s">
        <v>121</v>
      </c>
      <c r="C10850" t="s">
        <v>340</v>
      </c>
      <c r="D10850" t="s">
        <v>809</v>
      </c>
      <c r="F10850" t="s">
        <v>1228</v>
      </c>
      <c r="G10850" t="s">
        <v>5953</v>
      </c>
      <c r="H10850" t="s">
        <v>13375</v>
      </c>
      <c r="I10850" t="s">
        <v>17272</v>
      </c>
      <c r="J10850" t="s">
        <v>18892</v>
      </c>
      <c r="K10850">
        <v>10457</v>
      </c>
      <c r="L10850" t="s">
        <v>18960</v>
      </c>
      <c r="M10850" t="s">
        <v>18960</v>
      </c>
      <c r="N10850" t="s">
        <v>26201</v>
      </c>
      <c r="O10850" t="s">
        <v>26549</v>
      </c>
      <c r="P10850" t="s">
        <v>26560</v>
      </c>
      <c r="R10850" t="s">
        <v>26577</v>
      </c>
      <c r="S10850" t="s">
        <v>18959</v>
      </c>
      <c r="U10850" t="s">
        <v>26606</v>
      </c>
      <c r="V10850" t="s">
        <v>26610</v>
      </c>
      <c r="X10850">
        <v>1650</v>
      </c>
      <c r="Y10850" t="s">
        <v>26650</v>
      </c>
      <c r="Z10850" t="s">
        <v>26668</v>
      </c>
      <c r="AB10850" t="s">
        <v>30743</v>
      </c>
      <c r="AD10850" t="s">
        <v>40950</v>
      </c>
      <c r="AE10850">
        <v>27</v>
      </c>
      <c r="AF10850" t="s">
        <v>45541</v>
      </c>
      <c r="AG10850" t="s">
        <v>45556</v>
      </c>
      <c r="AH10850">
        <v>2</v>
      </c>
      <c r="AI10850">
        <v>1</v>
      </c>
      <c r="AJ10850">
        <v>1</v>
      </c>
      <c r="AK10850">
        <v>58.05</v>
      </c>
      <c r="AN10850" t="s">
        <v>45581</v>
      </c>
      <c r="AO10850">
        <v>9816</v>
      </c>
      <c r="AU10850">
        <v>17.5</v>
      </c>
      <c r="AV10850" t="s">
        <v>835</v>
      </c>
      <c r="AW10850" t="s">
        <v>71</v>
      </c>
    </row>
    <row r="10851" spans="1:50">
      <c r="A10851" s="1">
        <f>HYPERLINK("https://lsnyc.legalserver.org/matter/dynamic-profile/view/1900813","19-1900813")</f>
        <v>0</v>
      </c>
      <c r="B10851" t="s">
        <v>263</v>
      </c>
      <c r="C10851" t="s">
        <v>340</v>
      </c>
      <c r="D10851" t="s">
        <v>809</v>
      </c>
      <c r="F10851" t="s">
        <v>1682</v>
      </c>
      <c r="G10851" t="s">
        <v>5409</v>
      </c>
      <c r="H10851" t="s">
        <v>16918</v>
      </c>
      <c r="I10851" t="s">
        <v>17348</v>
      </c>
      <c r="J10851" t="s">
        <v>18892</v>
      </c>
      <c r="K10851">
        <v>10457</v>
      </c>
      <c r="L10851" t="s">
        <v>18958</v>
      </c>
      <c r="M10851" t="s">
        <v>18960</v>
      </c>
      <c r="O10851" t="s">
        <v>18997</v>
      </c>
      <c r="P10851" t="s">
        <v>26564</v>
      </c>
      <c r="R10851" t="s">
        <v>26578</v>
      </c>
      <c r="S10851" t="s">
        <v>18959</v>
      </c>
      <c r="U10851" t="s">
        <v>26604</v>
      </c>
      <c r="X10851">
        <v>1360</v>
      </c>
      <c r="Y10851" t="s">
        <v>26650</v>
      </c>
      <c r="Z10851" t="s">
        <v>26663</v>
      </c>
      <c r="AB10851" t="s">
        <v>34164</v>
      </c>
      <c r="AD10851" t="s">
        <v>45119</v>
      </c>
      <c r="AE10851">
        <v>70</v>
      </c>
      <c r="AF10851" t="s">
        <v>45541</v>
      </c>
      <c r="AG10851" t="s">
        <v>19330</v>
      </c>
      <c r="AH10851">
        <v>22</v>
      </c>
      <c r="AI10851">
        <v>1</v>
      </c>
      <c r="AJ10851">
        <v>0</v>
      </c>
      <c r="AK10851">
        <v>175.63</v>
      </c>
      <c r="AN10851" t="s">
        <v>45581</v>
      </c>
      <c r="AO10851">
        <v>21936</v>
      </c>
      <c r="AU10851">
        <v>1.5</v>
      </c>
      <c r="AV10851" t="s">
        <v>797</v>
      </c>
      <c r="AW10851" t="s">
        <v>46829</v>
      </c>
      <c r="AX10851" t="s">
        <v>46897</v>
      </c>
    </row>
    <row r="10852" spans="1:50">
      <c r="A10852" s="1">
        <f>HYPERLINK("https://lsnyc.legalserver.org/matter/dynamic-profile/view/1900809","19-1900809")</f>
        <v>0</v>
      </c>
      <c r="B10852" t="s">
        <v>78</v>
      </c>
      <c r="C10852" t="s">
        <v>340</v>
      </c>
      <c r="D10852" t="s">
        <v>809</v>
      </c>
      <c r="F10852" t="s">
        <v>2014</v>
      </c>
      <c r="G10852" t="s">
        <v>3599</v>
      </c>
      <c r="H10852" t="s">
        <v>10751</v>
      </c>
      <c r="I10852" t="s">
        <v>17334</v>
      </c>
      <c r="J10852" t="s">
        <v>18894</v>
      </c>
      <c r="K10852">
        <v>11213</v>
      </c>
      <c r="L10852" t="s">
        <v>18958</v>
      </c>
      <c r="M10852" t="s">
        <v>18960</v>
      </c>
      <c r="O10852" t="s">
        <v>18997</v>
      </c>
      <c r="P10852" t="s">
        <v>26562</v>
      </c>
      <c r="R10852" t="s">
        <v>26578</v>
      </c>
      <c r="S10852" t="s">
        <v>18958</v>
      </c>
      <c r="U10852" t="s">
        <v>26604</v>
      </c>
      <c r="V10852" t="s">
        <v>26610</v>
      </c>
      <c r="X10852">
        <v>0</v>
      </c>
      <c r="Y10852" t="s">
        <v>26652</v>
      </c>
      <c r="Z10852" t="s">
        <v>26663</v>
      </c>
      <c r="AB10852" t="s">
        <v>28410</v>
      </c>
      <c r="AC10852" t="s">
        <v>19330</v>
      </c>
      <c r="AD10852" t="s">
        <v>38460</v>
      </c>
      <c r="AE10852">
        <v>34</v>
      </c>
      <c r="AF10852" t="s">
        <v>45541</v>
      </c>
      <c r="AG10852" t="s">
        <v>19330</v>
      </c>
      <c r="AH10852">
        <v>0</v>
      </c>
      <c r="AI10852">
        <v>1</v>
      </c>
      <c r="AJ10852">
        <v>0</v>
      </c>
      <c r="AK10852">
        <v>448.36</v>
      </c>
      <c r="AN10852" t="s">
        <v>7439</v>
      </c>
      <c r="AO10852">
        <v>56000</v>
      </c>
      <c r="AP10852" t="s">
        <v>46327</v>
      </c>
      <c r="AU10852">
        <v>0</v>
      </c>
      <c r="AW10852" t="s">
        <v>279</v>
      </c>
      <c r="AX10852" t="s">
        <v>46897</v>
      </c>
    </row>
    <row r="10853" spans="1:50">
      <c r="A10853" s="1">
        <f>HYPERLINK("https://lsnyc.legalserver.org/matter/dynamic-profile/view/1900869","19-1900869")</f>
        <v>0</v>
      </c>
      <c r="B10853" t="s">
        <v>198</v>
      </c>
      <c r="C10853" t="s">
        <v>340</v>
      </c>
      <c r="D10853" t="s">
        <v>809</v>
      </c>
      <c r="F10853" t="s">
        <v>994</v>
      </c>
      <c r="G10853" t="s">
        <v>9463</v>
      </c>
      <c r="H10853" t="s">
        <v>16919</v>
      </c>
      <c r="I10853" t="s">
        <v>17332</v>
      </c>
      <c r="J10853" t="s">
        <v>18894</v>
      </c>
      <c r="K10853">
        <v>11237</v>
      </c>
      <c r="L10853" t="s">
        <v>18960</v>
      </c>
      <c r="M10853" t="s">
        <v>18960</v>
      </c>
      <c r="R10853" t="s">
        <v>26578</v>
      </c>
      <c r="U10853" t="s">
        <v>26604</v>
      </c>
      <c r="X10853">
        <v>0</v>
      </c>
      <c r="Y10853" t="s">
        <v>26652</v>
      </c>
      <c r="AB10853" t="s">
        <v>34165</v>
      </c>
      <c r="AD10853" t="s">
        <v>45120</v>
      </c>
      <c r="AE10853">
        <v>0</v>
      </c>
      <c r="AH10853">
        <v>0</v>
      </c>
      <c r="AI10853">
        <v>1</v>
      </c>
      <c r="AJ10853">
        <v>0</v>
      </c>
      <c r="AK10853">
        <v>0</v>
      </c>
      <c r="AN10853" t="s">
        <v>7439</v>
      </c>
      <c r="AO10853">
        <v>0</v>
      </c>
      <c r="AU10853">
        <v>0.7</v>
      </c>
      <c r="AV10853" t="s">
        <v>831</v>
      </c>
      <c r="AW10853" t="s">
        <v>198</v>
      </c>
    </row>
    <row r="10854" spans="1:50">
      <c r="A10854" s="1">
        <f>HYPERLINK("https://lsnyc.legalserver.org/matter/dynamic-profile/view/1900865","19-1900865")</f>
        <v>0</v>
      </c>
      <c r="B10854" t="s">
        <v>198</v>
      </c>
      <c r="C10854" t="s">
        <v>340</v>
      </c>
      <c r="D10854" t="s">
        <v>809</v>
      </c>
      <c r="F10854" t="s">
        <v>1555</v>
      </c>
      <c r="G10854" t="s">
        <v>6494</v>
      </c>
      <c r="H10854" t="s">
        <v>15405</v>
      </c>
      <c r="I10854" t="s">
        <v>17505</v>
      </c>
      <c r="J10854" t="s">
        <v>18894</v>
      </c>
      <c r="K10854">
        <v>11225</v>
      </c>
      <c r="L10854" t="s">
        <v>18960</v>
      </c>
      <c r="M10854" t="s">
        <v>18960</v>
      </c>
      <c r="R10854" t="s">
        <v>26578</v>
      </c>
      <c r="U10854" t="s">
        <v>26604</v>
      </c>
      <c r="X10854">
        <v>0</v>
      </c>
      <c r="Y10854" t="s">
        <v>26652</v>
      </c>
      <c r="AB10854" t="s">
        <v>33611</v>
      </c>
      <c r="AD10854" t="s">
        <v>45121</v>
      </c>
      <c r="AE10854">
        <v>0</v>
      </c>
      <c r="AH10854">
        <v>0</v>
      </c>
      <c r="AI10854">
        <v>1</v>
      </c>
      <c r="AJ10854">
        <v>2</v>
      </c>
      <c r="AK10854">
        <v>109.7</v>
      </c>
      <c r="AN10854" t="s">
        <v>7439</v>
      </c>
      <c r="AO10854">
        <v>23400</v>
      </c>
      <c r="AU10854">
        <v>1</v>
      </c>
      <c r="AV10854" t="s">
        <v>809</v>
      </c>
      <c r="AW10854" t="s">
        <v>198</v>
      </c>
    </row>
    <row r="10855" spans="1:50">
      <c r="A10855" s="1">
        <f>HYPERLINK("https://lsnyc.legalserver.org/matter/dynamic-profile/view/1900892","19-1900892")</f>
        <v>0</v>
      </c>
      <c r="B10855" t="s">
        <v>193</v>
      </c>
      <c r="C10855" t="s">
        <v>340</v>
      </c>
      <c r="D10855" t="s">
        <v>809</v>
      </c>
      <c r="F10855" t="s">
        <v>3598</v>
      </c>
      <c r="G10855" t="s">
        <v>5806</v>
      </c>
      <c r="H10855" t="s">
        <v>16920</v>
      </c>
      <c r="I10855" t="s">
        <v>17371</v>
      </c>
      <c r="J10855" t="s">
        <v>18894</v>
      </c>
      <c r="K10855">
        <v>11216</v>
      </c>
      <c r="L10855" t="s">
        <v>18960</v>
      </c>
      <c r="M10855" t="s">
        <v>18960</v>
      </c>
      <c r="N10855" t="s">
        <v>26202</v>
      </c>
      <c r="O10855" t="s">
        <v>26524</v>
      </c>
      <c r="P10855" t="s">
        <v>26560</v>
      </c>
      <c r="R10855" t="s">
        <v>26588</v>
      </c>
      <c r="U10855" t="s">
        <v>26604</v>
      </c>
      <c r="X10855">
        <v>1172</v>
      </c>
      <c r="Y10855" t="s">
        <v>26652</v>
      </c>
      <c r="Z10855" t="s">
        <v>26669</v>
      </c>
      <c r="AB10855" t="s">
        <v>34166</v>
      </c>
      <c r="AD10855" t="s">
        <v>45122</v>
      </c>
      <c r="AE10855">
        <v>0</v>
      </c>
      <c r="AH10855">
        <v>4</v>
      </c>
      <c r="AI10855">
        <v>1</v>
      </c>
      <c r="AJ10855">
        <v>0</v>
      </c>
      <c r="AK10855">
        <v>2.88</v>
      </c>
      <c r="AN10855" t="s">
        <v>7439</v>
      </c>
      <c r="AO10855">
        <v>360</v>
      </c>
      <c r="AU10855">
        <v>18.5</v>
      </c>
      <c r="AV10855" t="s">
        <v>821</v>
      </c>
      <c r="AW10855" t="s">
        <v>46853</v>
      </c>
    </row>
    <row r="10856" spans="1:50">
      <c r="A10856" s="1">
        <f>HYPERLINK("https://lsnyc.legalserver.org/matter/dynamic-profile/view/1900849","19-1900849")</f>
        <v>0</v>
      </c>
      <c r="B10856" t="s">
        <v>188</v>
      </c>
      <c r="C10856" t="s">
        <v>340</v>
      </c>
      <c r="D10856" t="s">
        <v>809</v>
      </c>
      <c r="F10856" t="s">
        <v>881</v>
      </c>
      <c r="G10856" t="s">
        <v>5078</v>
      </c>
      <c r="H10856" t="s">
        <v>16918</v>
      </c>
      <c r="I10856" t="s">
        <v>17490</v>
      </c>
      <c r="J10856" t="s">
        <v>18892</v>
      </c>
      <c r="K10856">
        <v>10457</v>
      </c>
      <c r="L10856" t="s">
        <v>18960</v>
      </c>
      <c r="M10856" t="s">
        <v>18960</v>
      </c>
      <c r="O10856" t="s">
        <v>18997</v>
      </c>
      <c r="P10856" t="s">
        <v>26564</v>
      </c>
      <c r="R10856" t="s">
        <v>26591</v>
      </c>
      <c r="S10856" t="s">
        <v>18958</v>
      </c>
      <c r="U10856" t="s">
        <v>26604</v>
      </c>
      <c r="X10856">
        <v>1752</v>
      </c>
      <c r="Y10856" t="s">
        <v>26650</v>
      </c>
      <c r="Z10856" t="s">
        <v>26530</v>
      </c>
      <c r="AB10856" t="s">
        <v>32859</v>
      </c>
      <c r="AD10856" t="s">
        <v>45123</v>
      </c>
      <c r="AE10856">
        <v>0</v>
      </c>
      <c r="AF10856" t="s">
        <v>20460</v>
      </c>
      <c r="AG10856" t="s">
        <v>26530</v>
      </c>
      <c r="AH10856">
        <v>22</v>
      </c>
      <c r="AI10856">
        <v>2</v>
      </c>
      <c r="AJ10856">
        <v>0</v>
      </c>
      <c r="AK10856">
        <v>35.48</v>
      </c>
      <c r="AN10856" t="s">
        <v>45581</v>
      </c>
      <c r="AO10856">
        <v>6000</v>
      </c>
      <c r="AU10856">
        <v>0.66</v>
      </c>
      <c r="AV10856" t="s">
        <v>809</v>
      </c>
      <c r="AW10856" t="s">
        <v>46860</v>
      </c>
    </row>
    <row r="10857" spans="1:50">
      <c r="A10857" s="1">
        <f>HYPERLINK("https://lsnyc.legalserver.org/matter/dynamic-profile/view/1900830","19-1900830")</f>
        <v>0</v>
      </c>
      <c r="B10857" t="s">
        <v>188</v>
      </c>
      <c r="C10857" t="s">
        <v>340</v>
      </c>
      <c r="D10857" t="s">
        <v>809</v>
      </c>
      <c r="F10857" t="s">
        <v>947</v>
      </c>
      <c r="G10857" t="s">
        <v>2749</v>
      </c>
      <c r="H10857" t="s">
        <v>12199</v>
      </c>
      <c r="I10857" t="s">
        <v>18831</v>
      </c>
      <c r="J10857" t="s">
        <v>18892</v>
      </c>
      <c r="K10857">
        <v>10460</v>
      </c>
      <c r="L10857" t="s">
        <v>18960</v>
      </c>
      <c r="M10857" t="s">
        <v>18960</v>
      </c>
      <c r="N10857" t="s">
        <v>26203</v>
      </c>
      <c r="O10857" t="s">
        <v>26523</v>
      </c>
      <c r="R10857" t="s">
        <v>26591</v>
      </c>
      <c r="U10857" t="s">
        <v>26604</v>
      </c>
      <c r="X10857">
        <v>1967</v>
      </c>
      <c r="Y10857" t="s">
        <v>26650</v>
      </c>
      <c r="AB10857" t="s">
        <v>34167</v>
      </c>
      <c r="AD10857" t="s">
        <v>45124</v>
      </c>
      <c r="AE10857">
        <v>168</v>
      </c>
      <c r="AH10857">
        <v>11</v>
      </c>
      <c r="AI10857">
        <v>1</v>
      </c>
      <c r="AJ10857">
        <v>1</v>
      </c>
      <c r="AK10857">
        <v>192.19</v>
      </c>
      <c r="AN10857" t="s">
        <v>7439</v>
      </c>
      <c r="AO10857">
        <v>32500</v>
      </c>
      <c r="AU10857">
        <v>0.5</v>
      </c>
      <c r="AV10857" t="s">
        <v>809</v>
      </c>
      <c r="AW10857" t="s">
        <v>46850</v>
      </c>
    </row>
    <row r="10858" spans="1:50">
      <c r="A10858" s="1">
        <f>HYPERLINK("https://lsnyc.legalserver.org/matter/dynamic-profile/view/1900543","19-1900543")</f>
        <v>0</v>
      </c>
      <c r="B10858" t="s">
        <v>155</v>
      </c>
      <c r="C10858" t="s">
        <v>340</v>
      </c>
      <c r="D10858" t="s">
        <v>809</v>
      </c>
      <c r="F10858" t="s">
        <v>1435</v>
      </c>
      <c r="G10858" t="s">
        <v>9464</v>
      </c>
      <c r="H10858" t="s">
        <v>16921</v>
      </c>
      <c r="I10858" t="s">
        <v>17389</v>
      </c>
      <c r="J10858" t="s">
        <v>18894</v>
      </c>
      <c r="K10858">
        <v>11226</v>
      </c>
      <c r="L10858" t="s">
        <v>18958</v>
      </c>
      <c r="M10858" t="s">
        <v>18960</v>
      </c>
      <c r="N10858" t="s">
        <v>26204</v>
      </c>
      <c r="O10858" t="s">
        <v>26523</v>
      </c>
      <c r="P10858" t="s">
        <v>26563</v>
      </c>
      <c r="R10858" t="s">
        <v>26588</v>
      </c>
      <c r="U10858" t="s">
        <v>26604</v>
      </c>
      <c r="X10858">
        <v>107</v>
      </c>
      <c r="Y10858" t="s">
        <v>26652</v>
      </c>
      <c r="Z10858" t="s">
        <v>26664</v>
      </c>
      <c r="AB10858" t="s">
        <v>32835</v>
      </c>
      <c r="AD10858" t="s">
        <v>45125</v>
      </c>
      <c r="AE10858">
        <v>34</v>
      </c>
      <c r="AG10858" t="s">
        <v>45556</v>
      </c>
      <c r="AH10858">
        <v>12</v>
      </c>
      <c r="AI10858">
        <v>1</v>
      </c>
      <c r="AJ10858">
        <v>0</v>
      </c>
      <c r="AK10858">
        <v>0</v>
      </c>
      <c r="AN10858" t="s">
        <v>7439</v>
      </c>
      <c r="AO10858">
        <v>0</v>
      </c>
      <c r="AU10858">
        <v>2</v>
      </c>
      <c r="AV10858" t="s">
        <v>797</v>
      </c>
      <c r="AW10858" t="s">
        <v>46862</v>
      </c>
      <c r="AX10858" t="s">
        <v>46897</v>
      </c>
    </row>
    <row r="10859" spans="1:50">
      <c r="A10859" s="1">
        <f>HYPERLINK("https://lsnyc.legalserver.org/matter/dynamic-profile/view/1900550","19-1900550")</f>
        <v>0</v>
      </c>
      <c r="B10859" t="s">
        <v>275</v>
      </c>
      <c r="C10859" t="s">
        <v>340</v>
      </c>
      <c r="D10859" t="s">
        <v>809</v>
      </c>
      <c r="F10859" t="s">
        <v>4920</v>
      </c>
      <c r="G10859" t="s">
        <v>9465</v>
      </c>
      <c r="H10859" t="s">
        <v>15229</v>
      </c>
      <c r="I10859" t="s">
        <v>18252</v>
      </c>
      <c r="J10859" t="s">
        <v>18892</v>
      </c>
      <c r="K10859">
        <v>10473</v>
      </c>
      <c r="L10859" t="s">
        <v>18958</v>
      </c>
      <c r="M10859" t="s">
        <v>18960</v>
      </c>
      <c r="N10859" t="s">
        <v>26205</v>
      </c>
      <c r="O10859" t="s">
        <v>26524</v>
      </c>
      <c r="P10859" t="s">
        <v>26564</v>
      </c>
      <c r="R10859" t="s">
        <v>26577</v>
      </c>
      <c r="S10859" t="s">
        <v>18959</v>
      </c>
      <c r="U10859" t="s">
        <v>26604</v>
      </c>
      <c r="X10859">
        <v>59</v>
      </c>
      <c r="Y10859" t="s">
        <v>26650</v>
      </c>
      <c r="Z10859" t="s">
        <v>26668</v>
      </c>
      <c r="AB10859" t="s">
        <v>34168</v>
      </c>
      <c r="AE10859">
        <v>900</v>
      </c>
      <c r="AF10859" t="s">
        <v>45541</v>
      </c>
      <c r="AG10859" t="s">
        <v>19330</v>
      </c>
      <c r="AH10859">
        <v>25</v>
      </c>
      <c r="AI10859">
        <v>2</v>
      </c>
      <c r="AJ10859">
        <v>0</v>
      </c>
      <c r="AK10859">
        <v>350.56</v>
      </c>
      <c r="AN10859" t="s">
        <v>7439</v>
      </c>
      <c r="AO10859">
        <v>59280</v>
      </c>
      <c r="AP10859" t="s">
        <v>46326</v>
      </c>
      <c r="AU10859">
        <v>3.1</v>
      </c>
      <c r="AV10859" t="s">
        <v>831</v>
      </c>
      <c r="AW10859" t="s">
        <v>46870</v>
      </c>
      <c r="AX10859" t="s">
        <v>46897</v>
      </c>
    </row>
    <row r="10860" spans="1:50">
      <c r="A10860" s="1">
        <f>HYPERLINK("https://lsnyc.legalserver.org/matter/dynamic-profile/view/1900863","19-1900863")</f>
        <v>0</v>
      </c>
      <c r="B10860" t="s">
        <v>320</v>
      </c>
      <c r="C10860" t="s">
        <v>340</v>
      </c>
      <c r="D10860" t="s">
        <v>809</v>
      </c>
      <c r="F10860" t="s">
        <v>2736</v>
      </c>
      <c r="G10860" t="s">
        <v>5078</v>
      </c>
      <c r="H10860" t="s">
        <v>16922</v>
      </c>
      <c r="I10860">
        <v>303</v>
      </c>
      <c r="J10860" t="s">
        <v>18894</v>
      </c>
      <c r="K10860">
        <v>11212</v>
      </c>
      <c r="L10860" t="s">
        <v>18960</v>
      </c>
      <c r="M10860" t="s">
        <v>18960</v>
      </c>
      <c r="O10860" t="s">
        <v>18997</v>
      </c>
      <c r="R10860" t="s">
        <v>26591</v>
      </c>
      <c r="U10860" t="s">
        <v>26604</v>
      </c>
      <c r="X10860">
        <v>3000</v>
      </c>
      <c r="Y10860" t="s">
        <v>26652</v>
      </c>
      <c r="AB10860" t="s">
        <v>34169</v>
      </c>
      <c r="AD10860" t="s">
        <v>45126</v>
      </c>
      <c r="AE10860">
        <v>0</v>
      </c>
      <c r="AG10860" t="s">
        <v>45561</v>
      </c>
      <c r="AH10860">
        <v>3</v>
      </c>
      <c r="AI10860">
        <v>1</v>
      </c>
      <c r="AJ10860">
        <v>3</v>
      </c>
      <c r="AK10860">
        <v>64.87</v>
      </c>
      <c r="AN10860" t="s">
        <v>7439</v>
      </c>
      <c r="AO10860">
        <v>16704</v>
      </c>
      <c r="AU10860">
        <v>2.75</v>
      </c>
      <c r="AV10860" t="s">
        <v>833</v>
      </c>
      <c r="AW10860" t="s">
        <v>46859</v>
      </c>
    </row>
    <row r="10861" spans="1:50">
      <c r="A10861" s="1">
        <f>HYPERLINK("https://lsnyc.legalserver.org/matter/dynamic-profile/view/1900891","19-1900891")</f>
        <v>0</v>
      </c>
      <c r="B10861" t="s">
        <v>172</v>
      </c>
      <c r="C10861" t="s">
        <v>340</v>
      </c>
      <c r="D10861" t="s">
        <v>809</v>
      </c>
      <c r="F10861" t="s">
        <v>3844</v>
      </c>
      <c r="G10861" t="s">
        <v>5269</v>
      </c>
      <c r="H10861" t="s">
        <v>13036</v>
      </c>
      <c r="I10861" t="s">
        <v>17343</v>
      </c>
      <c r="J10861" t="s">
        <v>18894</v>
      </c>
      <c r="K10861">
        <v>11226</v>
      </c>
      <c r="L10861" t="s">
        <v>18958</v>
      </c>
      <c r="M10861" t="s">
        <v>18960</v>
      </c>
      <c r="N10861" t="s">
        <v>26206</v>
      </c>
      <c r="O10861" t="s">
        <v>26523</v>
      </c>
      <c r="P10861" t="s">
        <v>26560</v>
      </c>
      <c r="R10861" t="s">
        <v>26588</v>
      </c>
      <c r="U10861" t="s">
        <v>26604</v>
      </c>
      <c r="X10861">
        <v>648.53</v>
      </c>
      <c r="Y10861" t="s">
        <v>26652</v>
      </c>
      <c r="Z10861" t="s">
        <v>26664</v>
      </c>
      <c r="AB10861" t="s">
        <v>34170</v>
      </c>
      <c r="AD10861" t="s">
        <v>45127</v>
      </c>
      <c r="AE10861">
        <v>48</v>
      </c>
      <c r="AG10861" t="s">
        <v>45559</v>
      </c>
      <c r="AH10861">
        <v>20</v>
      </c>
      <c r="AI10861">
        <v>1</v>
      </c>
      <c r="AJ10861">
        <v>0</v>
      </c>
      <c r="AK10861">
        <v>200.16</v>
      </c>
      <c r="AL10861" t="s">
        <v>835</v>
      </c>
      <c r="AN10861" t="s">
        <v>7439</v>
      </c>
      <c r="AO10861">
        <v>25000</v>
      </c>
      <c r="AU10861">
        <v>1.9</v>
      </c>
      <c r="AV10861" t="s">
        <v>833</v>
      </c>
      <c r="AW10861" t="s">
        <v>46862</v>
      </c>
      <c r="AX10861" t="s">
        <v>46897</v>
      </c>
    </row>
    <row r="10862" spans="1:50">
      <c r="A10862" s="1">
        <f>HYPERLINK("https://lsnyc.legalserver.org/matter/dynamic-profile/view/1900992","19-1900992")</f>
        <v>0</v>
      </c>
      <c r="B10862" t="s">
        <v>77</v>
      </c>
      <c r="C10862" t="s">
        <v>341</v>
      </c>
      <c r="D10862" t="s">
        <v>825</v>
      </c>
      <c r="E10862" t="s">
        <v>729</v>
      </c>
      <c r="F10862" t="s">
        <v>893</v>
      </c>
      <c r="G10862" t="s">
        <v>6218</v>
      </c>
      <c r="H10862" t="s">
        <v>16923</v>
      </c>
      <c r="I10862" t="s">
        <v>17272</v>
      </c>
      <c r="J10862" t="s">
        <v>18893</v>
      </c>
      <c r="K10862">
        <v>10027</v>
      </c>
      <c r="L10862" t="s">
        <v>18958</v>
      </c>
      <c r="M10862" t="s">
        <v>18960</v>
      </c>
      <c r="N10862" t="s">
        <v>26207</v>
      </c>
      <c r="O10862" t="s">
        <v>26524</v>
      </c>
      <c r="P10862" t="s">
        <v>26564</v>
      </c>
      <c r="Q10862" t="s">
        <v>26570</v>
      </c>
      <c r="R10862" t="s">
        <v>26580</v>
      </c>
      <c r="S10862" t="s">
        <v>18959</v>
      </c>
      <c r="U10862" t="s">
        <v>26604</v>
      </c>
      <c r="V10862" t="s">
        <v>26610</v>
      </c>
      <c r="X10862">
        <v>1037</v>
      </c>
      <c r="Y10862" t="s">
        <v>26651</v>
      </c>
      <c r="Z10862" t="s">
        <v>26664</v>
      </c>
      <c r="AA10862" t="s">
        <v>26683</v>
      </c>
      <c r="AB10862" t="s">
        <v>34171</v>
      </c>
      <c r="AC10862" t="s">
        <v>36754</v>
      </c>
      <c r="AD10862" t="s">
        <v>45128</v>
      </c>
      <c r="AE10862">
        <v>0</v>
      </c>
      <c r="AF10862" t="s">
        <v>45541</v>
      </c>
      <c r="AG10862" t="s">
        <v>19330</v>
      </c>
      <c r="AH10862">
        <v>4</v>
      </c>
      <c r="AI10862">
        <v>2</v>
      </c>
      <c r="AJ10862">
        <v>1</v>
      </c>
      <c r="AK10862">
        <v>0</v>
      </c>
      <c r="AN10862" t="s">
        <v>7439</v>
      </c>
      <c r="AO10862">
        <v>0</v>
      </c>
      <c r="AU10862">
        <v>1</v>
      </c>
      <c r="AV10862" t="s">
        <v>825</v>
      </c>
      <c r="AW10862" t="s">
        <v>314</v>
      </c>
      <c r="AX10862" t="s">
        <v>46898</v>
      </c>
    </row>
    <row r="10863" spans="1:50">
      <c r="A10863" s="1">
        <f>HYPERLINK("https://lsnyc.legalserver.org/matter/dynamic-profile/view/1900981","19-1900981")</f>
        <v>0</v>
      </c>
      <c r="B10863" t="s">
        <v>64</v>
      </c>
      <c r="C10863" t="s">
        <v>341</v>
      </c>
      <c r="D10863" t="s">
        <v>825</v>
      </c>
      <c r="E10863" t="s">
        <v>828</v>
      </c>
      <c r="F10863" t="s">
        <v>4921</v>
      </c>
      <c r="G10863" t="s">
        <v>9466</v>
      </c>
      <c r="H10863" t="s">
        <v>16924</v>
      </c>
      <c r="I10863" t="s">
        <v>17283</v>
      </c>
      <c r="J10863" t="s">
        <v>18892</v>
      </c>
      <c r="K10863">
        <v>10451</v>
      </c>
      <c r="L10863" t="s">
        <v>18958</v>
      </c>
      <c r="M10863" t="s">
        <v>18960</v>
      </c>
      <c r="N10863" t="s">
        <v>26208</v>
      </c>
      <c r="P10863" t="s">
        <v>26564</v>
      </c>
      <c r="Q10863" t="s">
        <v>26570</v>
      </c>
      <c r="R10863" t="s">
        <v>26577</v>
      </c>
      <c r="S10863" t="s">
        <v>18959</v>
      </c>
      <c r="U10863" t="s">
        <v>26604</v>
      </c>
      <c r="V10863" t="s">
        <v>26609</v>
      </c>
      <c r="X10863">
        <v>1597</v>
      </c>
      <c r="Y10863" t="s">
        <v>26650</v>
      </c>
      <c r="Z10863" t="s">
        <v>26668</v>
      </c>
      <c r="AA10863" t="s">
        <v>26683</v>
      </c>
      <c r="AB10863" t="s">
        <v>34172</v>
      </c>
      <c r="AD10863" t="s">
        <v>43347</v>
      </c>
      <c r="AE10863">
        <v>0</v>
      </c>
      <c r="AF10863" t="s">
        <v>45541</v>
      </c>
      <c r="AG10863" t="s">
        <v>45556</v>
      </c>
      <c r="AH10863">
        <v>4</v>
      </c>
      <c r="AI10863">
        <v>2</v>
      </c>
      <c r="AJ10863">
        <v>0</v>
      </c>
      <c r="AK10863">
        <v>20.91</v>
      </c>
      <c r="AN10863" t="s">
        <v>7439</v>
      </c>
      <c r="AO10863">
        <v>3536</v>
      </c>
      <c r="AP10863" t="s">
        <v>46328</v>
      </c>
      <c r="AU10863">
        <v>1</v>
      </c>
      <c r="AV10863" t="s">
        <v>828</v>
      </c>
      <c r="AW10863" t="s">
        <v>46870</v>
      </c>
      <c r="AX10863" t="s">
        <v>46897</v>
      </c>
    </row>
    <row r="10864" spans="1:50">
      <c r="A10864" s="1">
        <f>HYPERLINK("https://lsnyc.legalserver.org/matter/dynamic-profile/view/1901033","19-1901033")</f>
        <v>0</v>
      </c>
      <c r="B10864" t="s">
        <v>256</v>
      </c>
      <c r="C10864" t="s">
        <v>341</v>
      </c>
      <c r="D10864" t="s">
        <v>825</v>
      </c>
      <c r="E10864" t="s">
        <v>720</v>
      </c>
      <c r="F10864" t="s">
        <v>4528</v>
      </c>
      <c r="G10864" t="s">
        <v>9467</v>
      </c>
      <c r="H10864" t="s">
        <v>16925</v>
      </c>
      <c r="I10864" t="s">
        <v>17334</v>
      </c>
      <c r="J10864" t="s">
        <v>18894</v>
      </c>
      <c r="K10864">
        <v>11210</v>
      </c>
      <c r="L10864" t="s">
        <v>18960</v>
      </c>
      <c r="M10864" t="s">
        <v>18960</v>
      </c>
      <c r="N10864" t="s">
        <v>26209</v>
      </c>
      <c r="P10864" t="s">
        <v>26563</v>
      </c>
      <c r="Q10864" t="s">
        <v>26571</v>
      </c>
      <c r="R10864" t="s">
        <v>26591</v>
      </c>
      <c r="U10864" t="s">
        <v>26604</v>
      </c>
      <c r="X10864">
        <v>900</v>
      </c>
      <c r="Y10864" t="s">
        <v>26652</v>
      </c>
      <c r="Z10864" t="s">
        <v>26657</v>
      </c>
      <c r="AA10864" t="s">
        <v>26681</v>
      </c>
      <c r="AB10864" t="s">
        <v>31668</v>
      </c>
      <c r="AD10864" t="s">
        <v>45129</v>
      </c>
      <c r="AE10864">
        <v>2</v>
      </c>
      <c r="AG10864" t="s">
        <v>19330</v>
      </c>
      <c r="AH10864">
        <v>5</v>
      </c>
      <c r="AI10864">
        <v>1</v>
      </c>
      <c r="AJ10864">
        <v>0</v>
      </c>
      <c r="AK10864">
        <v>124.9</v>
      </c>
      <c r="AN10864" t="s">
        <v>7439</v>
      </c>
      <c r="AO10864">
        <v>15600</v>
      </c>
      <c r="AU10864">
        <v>1</v>
      </c>
      <c r="AV10864" t="s">
        <v>825</v>
      </c>
      <c r="AW10864" t="s">
        <v>46858</v>
      </c>
    </row>
    <row r="10865" spans="1:50">
      <c r="A10865" s="1">
        <f>HYPERLINK("https://lsnyc.legalserver.org/matter/dynamic-profile/view/1901028","19-1901028")</f>
        <v>0</v>
      </c>
      <c r="B10865" t="s">
        <v>256</v>
      </c>
      <c r="C10865" t="s">
        <v>341</v>
      </c>
      <c r="D10865" t="s">
        <v>825</v>
      </c>
      <c r="E10865" t="s">
        <v>772</v>
      </c>
      <c r="F10865" t="s">
        <v>1328</v>
      </c>
      <c r="G10865" t="s">
        <v>5241</v>
      </c>
      <c r="H10865" t="s">
        <v>14905</v>
      </c>
      <c r="I10865" t="s">
        <v>18832</v>
      </c>
      <c r="J10865" t="s">
        <v>18894</v>
      </c>
      <c r="K10865">
        <v>11217</v>
      </c>
      <c r="L10865" t="s">
        <v>18960</v>
      </c>
      <c r="M10865" t="s">
        <v>18960</v>
      </c>
      <c r="O10865" t="s">
        <v>18997</v>
      </c>
      <c r="Q10865" t="s">
        <v>26570</v>
      </c>
      <c r="R10865" t="s">
        <v>26591</v>
      </c>
      <c r="S10865" t="s">
        <v>18959</v>
      </c>
      <c r="U10865" t="s">
        <v>26604</v>
      </c>
      <c r="X10865">
        <v>3830</v>
      </c>
      <c r="Y10865" t="s">
        <v>26652</v>
      </c>
      <c r="Z10865" t="s">
        <v>26530</v>
      </c>
      <c r="AA10865" t="s">
        <v>26681</v>
      </c>
      <c r="AB10865" t="s">
        <v>34173</v>
      </c>
      <c r="AE10865">
        <v>700</v>
      </c>
      <c r="AF10865" t="s">
        <v>45541</v>
      </c>
      <c r="AG10865" t="s">
        <v>45559</v>
      </c>
      <c r="AH10865">
        <v>1</v>
      </c>
      <c r="AI10865">
        <v>1</v>
      </c>
      <c r="AJ10865">
        <v>0</v>
      </c>
      <c r="AK10865">
        <v>134.8</v>
      </c>
      <c r="AN10865" t="s">
        <v>7439</v>
      </c>
      <c r="AO10865">
        <v>16836</v>
      </c>
      <c r="AU10865">
        <v>0.5</v>
      </c>
      <c r="AV10865" t="s">
        <v>825</v>
      </c>
      <c r="AW10865" t="s">
        <v>46841</v>
      </c>
    </row>
    <row r="10866" spans="1:50">
      <c r="A10866" s="1">
        <f>HYPERLINK("https://lsnyc.legalserver.org/matter/dynamic-profile/view/1901046","19-1901046")</f>
        <v>0</v>
      </c>
      <c r="B10866" t="s">
        <v>52</v>
      </c>
      <c r="C10866" t="s">
        <v>341</v>
      </c>
      <c r="D10866" t="s">
        <v>825</v>
      </c>
      <c r="E10866" t="s">
        <v>829</v>
      </c>
      <c r="F10866" t="s">
        <v>1578</v>
      </c>
      <c r="G10866" t="s">
        <v>5655</v>
      </c>
      <c r="H10866" t="s">
        <v>12157</v>
      </c>
      <c r="I10866" t="s">
        <v>17299</v>
      </c>
      <c r="J10866" t="s">
        <v>18892</v>
      </c>
      <c r="K10866">
        <v>10452</v>
      </c>
      <c r="L10866" t="s">
        <v>18958</v>
      </c>
      <c r="M10866" t="s">
        <v>18960</v>
      </c>
      <c r="O10866" t="s">
        <v>18997</v>
      </c>
      <c r="P10866" t="s">
        <v>26564</v>
      </c>
      <c r="Q10866" t="s">
        <v>26570</v>
      </c>
      <c r="R10866" t="s">
        <v>26583</v>
      </c>
      <c r="S10866" t="s">
        <v>18959</v>
      </c>
      <c r="U10866" t="s">
        <v>26604</v>
      </c>
      <c r="X10866">
        <v>1250</v>
      </c>
      <c r="Y10866" t="s">
        <v>26650</v>
      </c>
      <c r="Z10866" t="s">
        <v>26667</v>
      </c>
      <c r="AA10866" t="s">
        <v>26683</v>
      </c>
      <c r="AB10866" t="s">
        <v>28575</v>
      </c>
      <c r="AD10866" t="s">
        <v>45130</v>
      </c>
      <c r="AE10866">
        <v>59</v>
      </c>
      <c r="AF10866" t="s">
        <v>45541</v>
      </c>
      <c r="AG10866" t="s">
        <v>19330</v>
      </c>
      <c r="AH10866">
        <v>6</v>
      </c>
      <c r="AI10866">
        <v>1</v>
      </c>
      <c r="AJ10866">
        <v>0</v>
      </c>
      <c r="AK10866">
        <v>327.03</v>
      </c>
      <c r="AO10866">
        <v>40846</v>
      </c>
      <c r="AP10866" t="s">
        <v>46329</v>
      </c>
      <c r="AU10866">
        <v>1</v>
      </c>
      <c r="AV10866" t="s">
        <v>825</v>
      </c>
      <c r="AW10866" t="s">
        <v>329</v>
      </c>
      <c r="AX10866" t="s">
        <v>46897</v>
      </c>
    </row>
    <row r="10867" spans="1:50">
      <c r="A10867" s="1">
        <f>HYPERLINK("https://lsnyc.legalserver.org/matter/dynamic-profile/view/1900946","19-1900946")</f>
        <v>0</v>
      </c>
      <c r="B10867" t="s">
        <v>165</v>
      </c>
      <c r="C10867" t="s">
        <v>340</v>
      </c>
      <c r="D10867" t="s">
        <v>825</v>
      </c>
      <c r="F10867" t="s">
        <v>886</v>
      </c>
      <c r="G10867" t="s">
        <v>9468</v>
      </c>
      <c r="H10867" t="s">
        <v>16926</v>
      </c>
      <c r="I10867" t="s">
        <v>17356</v>
      </c>
      <c r="J10867" t="s">
        <v>18893</v>
      </c>
      <c r="K10867">
        <v>10031</v>
      </c>
      <c r="L10867" t="s">
        <v>18958</v>
      </c>
      <c r="M10867" t="s">
        <v>18960</v>
      </c>
      <c r="N10867" t="s">
        <v>26210</v>
      </c>
      <c r="O10867" t="s">
        <v>26523</v>
      </c>
      <c r="P10867" t="s">
        <v>26563</v>
      </c>
      <c r="R10867" t="s">
        <v>26582</v>
      </c>
      <c r="S10867" t="s">
        <v>18959</v>
      </c>
      <c r="U10867" t="s">
        <v>26604</v>
      </c>
      <c r="V10867" t="s">
        <v>26610</v>
      </c>
      <c r="X10867">
        <v>2500</v>
      </c>
      <c r="Y10867" t="s">
        <v>26651</v>
      </c>
      <c r="Z10867" t="s">
        <v>26668</v>
      </c>
      <c r="AB10867" t="s">
        <v>34174</v>
      </c>
      <c r="AD10867" t="s">
        <v>45131</v>
      </c>
      <c r="AE10867">
        <v>0</v>
      </c>
      <c r="AF10867" t="s">
        <v>45541</v>
      </c>
      <c r="AG10867" t="s">
        <v>19330</v>
      </c>
      <c r="AH10867">
        <v>3</v>
      </c>
      <c r="AI10867">
        <v>3</v>
      </c>
      <c r="AJ10867">
        <v>1</v>
      </c>
      <c r="AK10867">
        <v>355.81</v>
      </c>
      <c r="AN10867" t="s">
        <v>7439</v>
      </c>
      <c r="AO10867">
        <v>91619.96000000001</v>
      </c>
      <c r="AU10867">
        <v>2</v>
      </c>
      <c r="AV10867" t="s">
        <v>825</v>
      </c>
      <c r="AW10867" t="s">
        <v>314</v>
      </c>
      <c r="AX10867" t="s">
        <v>46897</v>
      </c>
    </row>
    <row r="10868" spans="1:50">
      <c r="A10868" s="1">
        <f>HYPERLINK("https://lsnyc.legalserver.org/matter/dynamic-profile/view/1901035","19-1901035")</f>
        <v>0</v>
      </c>
      <c r="B10868" t="s">
        <v>165</v>
      </c>
      <c r="C10868" t="s">
        <v>340</v>
      </c>
      <c r="D10868" t="s">
        <v>825</v>
      </c>
      <c r="F10868" t="s">
        <v>901</v>
      </c>
      <c r="G10868" t="s">
        <v>5785</v>
      </c>
      <c r="H10868" t="s">
        <v>11405</v>
      </c>
      <c r="I10868" t="s">
        <v>18833</v>
      </c>
      <c r="J10868" t="s">
        <v>18893</v>
      </c>
      <c r="K10868">
        <v>10031</v>
      </c>
      <c r="L10868" t="s">
        <v>18958</v>
      </c>
      <c r="M10868" t="s">
        <v>18960</v>
      </c>
      <c r="N10868" t="s">
        <v>26211</v>
      </c>
      <c r="O10868" t="s">
        <v>26524</v>
      </c>
      <c r="P10868" t="s">
        <v>26560</v>
      </c>
      <c r="R10868" t="s">
        <v>26580</v>
      </c>
      <c r="S10868" t="s">
        <v>18959</v>
      </c>
      <c r="U10868" t="s">
        <v>26604</v>
      </c>
      <c r="X10868">
        <v>648.83</v>
      </c>
      <c r="Y10868" t="s">
        <v>26651</v>
      </c>
      <c r="Z10868" t="s">
        <v>26664</v>
      </c>
      <c r="AB10868" t="s">
        <v>34175</v>
      </c>
      <c r="AC10868" t="s">
        <v>36755</v>
      </c>
      <c r="AD10868" t="s">
        <v>45132</v>
      </c>
      <c r="AE10868">
        <v>0</v>
      </c>
      <c r="AF10868" t="s">
        <v>45541</v>
      </c>
      <c r="AG10868" t="s">
        <v>19330</v>
      </c>
      <c r="AH10868">
        <v>14</v>
      </c>
      <c r="AI10868">
        <v>1</v>
      </c>
      <c r="AJ10868">
        <v>0</v>
      </c>
      <c r="AK10868">
        <v>81.67</v>
      </c>
      <c r="AN10868" t="s">
        <v>45581</v>
      </c>
      <c r="AO10868">
        <v>10200</v>
      </c>
      <c r="AU10868">
        <v>2.5</v>
      </c>
      <c r="AV10868" t="s">
        <v>826</v>
      </c>
      <c r="AW10868" t="s">
        <v>314</v>
      </c>
      <c r="AX10868" t="s">
        <v>46898</v>
      </c>
    </row>
    <row r="10869" spans="1:50">
      <c r="A10869" s="1">
        <f>HYPERLINK("https://lsnyc.legalserver.org/matter/dynamic-profile/view/1901726","19-1901726")</f>
        <v>0</v>
      </c>
      <c r="B10869" t="s">
        <v>149</v>
      </c>
      <c r="C10869" t="s">
        <v>340</v>
      </c>
      <c r="D10869" t="s">
        <v>825</v>
      </c>
      <c r="F10869" t="s">
        <v>1279</v>
      </c>
      <c r="G10869" t="s">
        <v>9469</v>
      </c>
      <c r="H10869" t="s">
        <v>16927</v>
      </c>
      <c r="I10869" t="s">
        <v>17331</v>
      </c>
      <c r="J10869" t="s">
        <v>18892</v>
      </c>
      <c r="K10869">
        <v>10467</v>
      </c>
      <c r="L10869" t="s">
        <v>18958</v>
      </c>
      <c r="M10869" t="s">
        <v>18960</v>
      </c>
      <c r="N10869" t="s">
        <v>26212</v>
      </c>
      <c r="O10869" t="s">
        <v>26524</v>
      </c>
      <c r="P10869" t="s">
        <v>26560</v>
      </c>
      <c r="R10869" t="s">
        <v>26579</v>
      </c>
      <c r="S10869" t="s">
        <v>18959</v>
      </c>
      <c r="U10869" t="s">
        <v>26604</v>
      </c>
      <c r="V10869" t="s">
        <v>26610</v>
      </c>
      <c r="X10869">
        <v>950</v>
      </c>
      <c r="Y10869" t="s">
        <v>26650</v>
      </c>
      <c r="Z10869" t="s">
        <v>26664</v>
      </c>
      <c r="AB10869" t="s">
        <v>33297</v>
      </c>
      <c r="AD10869" t="s">
        <v>45133</v>
      </c>
      <c r="AE10869">
        <v>4</v>
      </c>
      <c r="AF10869" t="s">
        <v>45547</v>
      </c>
      <c r="AG10869" t="s">
        <v>19330</v>
      </c>
      <c r="AH10869">
        <v>31</v>
      </c>
      <c r="AI10869">
        <v>2</v>
      </c>
      <c r="AJ10869">
        <v>0</v>
      </c>
      <c r="AK10869">
        <v>284.45</v>
      </c>
      <c r="AN10869" t="s">
        <v>7439</v>
      </c>
      <c r="AO10869">
        <v>48100</v>
      </c>
      <c r="AP10869" t="s">
        <v>46330</v>
      </c>
      <c r="AU10869">
        <v>1.5</v>
      </c>
      <c r="AV10869" t="s">
        <v>834</v>
      </c>
      <c r="AW10869" t="s">
        <v>336</v>
      </c>
      <c r="AX10869" t="s">
        <v>46897</v>
      </c>
    </row>
    <row r="10870" spans="1:50">
      <c r="A10870" s="1">
        <f>HYPERLINK("https://lsnyc.legalserver.org/matter/dynamic-profile/view/1901058","19-1901058")</f>
        <v>0</v>
      </c>
      <c r="B10870" t="s">
        <v>130</v>
      </c>
      <c r="C10870" t="s">
        <v>340</v>
      </c>
      <c r="D10870" t="s">
        <v>825</v>
      </c>
      <c r="F10870" t="s">
        <v>4922</v>
      </c>
      <c r="G10870" t="s">
        <v>5266</v>
      </c>
      <c r="H10870" t="s">
        <v>16928</v>
      </c>
      <c r="I10870" t="s">
        <v>17582</v>
      </c>
      <c r="J10870" t="s">
        <v>18901</v>
      </c>
      <c r="K10870">
        <v>11433</v>
      </c>
      <c r="L10870" t="s">
        <v>18958</v>
      </c>
      <c r="M10870" t="s">
        <v>18960</v>
      </c>
      <c r="N10870" t="s">
        <v>26213</v>
      </c>
      <c r="O10870" t="s">
        <v>26524</v>
      </c>
      <c r="P10870" t="s">
        <v>26563</v>
      </c>
      <c r="R10870" t="s">
        <v>26585</v>
      </c>
      <c r="S10870" t="s">
        <v>18959</v>
      </c>
      <c r="U10870" t="s">
        <v>26604</v>
      </c>
      <c r="V10870" t="s">
        <v>26610</v>
      </c>
      <c r="X10870">
        <v>1000</v>
      </c>
      <c r="Y10870" t="s">
        <v>26653</v>
      </c>
      <c r="Z10870" t="s">
        <v>26664</v>
      </c>
      <c r="AB10870" t="s">
        <v>34176</v>
      </c>
      <c r="AD10870" t="s">
        <v>45134</v>
      </c>
      <c r="AE10870">
        <v>2</v>
      </c>
      <c r="AF10870" t="s">
        <v>45547</v>
      </c>
      <c r="AG10870" t="s">
        <v>19330</v>
      </c>
      <c r="AH10870">
        <v>9</v>
      </c>
      <c r="AI10870">
        <v>3</v>
      </c>
      <c r="AJ10870">
        <v>3</v>
      </c>
      <c r="AK10870">
        <v>153.22</v>
      </c>
      <c r="AN10870" t="s">
        <v>7439</v>
      </c>
      <c r="AO10870">
        <v>53000</v>
      </c>
      <c r="AU10870">
        <v>1.5</v>
      </c>
      <c r="AV10870" t="s">
        <v>835</v>
      </c>
      <c r="AW10870" t="s">
        <v>122</v>
      </c>
      <c r="AX10870" t="s">
        <v>46897</v>
      </c>
    </row>
    <row r="10871" spans="1:50">
      <c r="A10871" s="1">
        <f>HYPERLINK("https://lsnyc.legalserver.org/matter/dynamic-profile/view/1901015","19-1901015")</f>
        <v>0</v>
      </c>
      <c r="B10871" t="s">
        <v>100</v>
      </c>
      <c r="C10871" t="s">
        <v>340</v>
      </c>
      <c r="D10871" t="s">
        <v>825</v>
      </c>
      <c r="F10871" t="s">
        <v>1914</v>
      </c>
      <c r="G10871" t="s">
        <v>9470</v>
      </c>
      <c r="H10871" t="s">
        <v>10817</v>
      </c>
      <c r="I10871" t="s">
        <v>18003</v>
      </c>
      <c r="J10871" t="s">
        <v>18892</v>
      </c>
      <c r="K10871">
        <v>10455</v>
      </c>
      <c r="L10871" t="s">
        <v>18958</v>
      </c>
      <c r="M10871" t="s">
        <v>18960</v>
      </c>
      <c r="O10871" t="s">
        <v>26526</v>
      </c>
      <c r="P10871" t="s">
        <v>26560</v>
      </c>
      <c r="R10871" t="s">
        <v>26578</v>
      </c>
      <c r="U10871" t="s">
        <v>26604</v>
      </c>
      <c r="X10871">
        <v>1421</v>
      </c>
      <c r="Y10871" t="s">
        <v>26650</v>
      </c>
      <c r="AB10871" t="s">
        <v>33390</v>
      </c>
      <c r="AD10871" t="s">
        <v>45135</v>
      </c>
      <c r="AE10871">
        <v>49</v>
      </c>
      <c r="AF10871" t="s">
        <v>45541</v>
      </c>
      <c r="AG10871" t="s">
        <v>19330</v>
      </c>
      <c r="AH10871">
        <v>5</v>
      </c>
      <c r="AI10871">
        <v>2</v>
      </c>
      <c r="AJ10871">
        <v>0</v>
      </c>
      <c r="AK10871">
        <v>0</v>
      </c>
      <c r="AN10871" t="s">
        <v>45581</v>
      </c>
      <c r="AO10871">
        <v>0</v>
      </c>
      <c r="AU10871">
        <v>0</v>
      </c>
      <c r="AW10871" t="s">
        <v>263</v>
      </c>
      <c r="AX10871" t="s">
        <v>46897</v>
      </c>
    </row>
    <row r="10872" spans="1:50">
      <c r="A10872" s="1">
        <f>HYPERLINK("https://lsnyc.legalserver.org/matter/dynamic-profile/view/1900929","19-1900929")</f>
        <v>0</v>
      </c>
      <c r="B10872" t="s">
        <v>57</v>
      </c>
      <c r="C10872" t="s">
        <v>340</v>
      </c>
      <c r="D10872" t="s">
        <v>825</v>
      </c>
      <c r="F10872" t="s">
        <v>2769</v>
      </c>
      <c r="G10872" t="s">
        <v>7315</v>
      </c>
      <c r="H10872" t="s">
        <v>16929</v>
      </c>
      <c r="I10872">
        <v>20</v>
      </c>
      <c r="J10872" t="s">
        <v>18892</v>
      </c>
      <c r="K10872">
        <v>10460</v>
      </c>
      <c r="L10872" t="s">
        <v>18960</v>
      </c>
      <c r="M10872" t="s">
        <v>18960</v>
      </c>
      <c r="N10872" t="s">
        <v>26214</v>
      </c>
      <c r="O10872" t="s">
        <v>26523</v>
      </c>
      <c r="P10872" t="s">
        <v>26560</v>
      </c>
      <c r="R10872" t="s">
        <v>26579</v>
      </c>
      <c r="S10872" t="s">
        <v>18959</v>
      </c>
      <c r="U10872" t="s">
        <v>26606</v>
      </c>
      <c r="V10872" t="s">
        <v>26610</v>
      </c>
      <c r="X10872">
        <v>0</v>
      </c>
      <c r="Y10872" t="s">
        <v>26650</v>
      </c>
      <c r="Z10872" t="s">
        <v>26659</v>
      </c>
      <c r="AB10872" t="s">
        <v>34177</v>
      </c>
      <c r="AD10872" t="s">
        <v>45136</v>
      </c>
      <c r="AE10872">
        <v>0</v>
      </c>
      <c r="AF10872" t="s">
        <v>45543</v>
      </c>
      <c r="AH10872">
        <v>0</v>
      </c>
      <c r="AI10872">
        <v>2</v>
      </c>
      <c r="AJ10872">
        <v>0</v>
      </c>
      <c r="AK10872">
        <v>195.15</v>
      </c>
      <c r="AN10872" t="s">
        <v>7439</v>
      </c>
      <c r="AO10872">
        <v>33000</v>
      </c>
      <c r="AU10872">
        <v>1.7</v>
      </c>
      <c r="AV10872" t="s">
        <v>830</v>
      </c>
      <c r="AW10872" t="s">
        <v>57</v>
      </c>
    </row>
    <row r="10873" spans="1:50">
      <c r="A10873" s="1">
        <f>HYPERLINK("https://lsnyc.legalserver.org/matter/dynamic-profile/view/1901054","19-1901054")</f>
        <v>0</v>
      </c>
      <c r="B10873" t="s">
        <v>108</v>
      </c>
      <c r="C10873" t="s">
        <v>340</v>
      </c>
      <c r="D10873" t="s">
        <v>825</v>
      </c>
      <c r="F10873" t="s">
        <v>1297</v>
      </c>
      <c r="G10873" t="s">
        <v>6322</v>
      </c>
      <c r="H10873" t="s">
        <v>16930</v>
      </c>
      <c r="I10873" t="s">
        <v>17469</v>
      </c>
      <c r="J10873" t="s">
        <v>7026</v>
      </c>
      <c r="K10873">
        <v>11368</v>
      </c>
      <c r="L10873" t="s">
        <v>18958</v>
      </c>
      <c r="M10873" t="s">
        <v>18960</v>
      </c>
      <c r="N10873" t="s">
        <v>26215</v>
      </c>
      <c r="O10873" t="s">
        <v>26524</v>
      </c>
      <c r="P10873" t="s">
        <v>26563</v>
      </c>
      <c r="R10873" t="s">
        <v>26584</v>
      </c>
      <c r="S10873" t="s">
        <v>18959</v>
      </c>
      <c r="U10873" t="s">
        <v>26604</v>
      </c>
      <c r="X10873">
        <v>1800</v>
      </c>
      <c r="Y10873" t="s">
        <v>26653</v>
      </c>
      <c r="Z10873" t="s">
        <v>26664</v>
      </c>
      <c r="AB10873" t="s">
        <v>34178</v>
      </c>
      <c r="AD10873" t="s">
        <v>45137</v>
      </c>
      <c r="AE10873">
        <v>3</v>
      </c>
      <c r="AF10873" t="s">
        <v>45547</v>
      </c>
      <c r="AG10873" t="s">
        <v>19330</v>
      </c>
      <c r="AH10873">
        <v>15</v>
      </c>
      <c r="AI10873">
        <v>2</v>
      </c>
      <c r="AJ10873">
        <v>2</v>
      </c>
      <c r="AK10873">
        <v>179.73</v>
      </c>
      <c r="AN10873" t="s">
        <v>45581</v>
      </c>
      <c r="AO10873">
        <v>46280</v>
      </c>
      <c r="AU10873">
        <v>14</v>
      </c>
      <c r="AV10873" t="s">
        <v>833</v>
      </c>
      <c r="AW10873" t="s">
        <v>46846</v>
      </c>
      <c r="AX10873" t="s">
        <v>46897</v>
      </c>
    </row>
    <row r="10874" spans="1:50">
      <c r="A10874" s="1">
        <f>HYPERLINK("https://lsnyc.legalserver.org/matter/dynamic-profile/view/1901009","19-1901009")</f>
        <v>0</v>
      </c>
      <c r="B10874" t="s">
        <v>179</v>
      </c>
      <c r="C10874" t="s">
        <v>340</v>
      </c>
      <c r="D10874" t="s">
        <v>825</v>
      </c>
      <c r="F10874" t="s">
        <v>1128</v>
      </c>
      <c r="G10874" t="s">
        <v>6346</v>
      </c>
      <c r="H10874" t="s">
        <v>16931</v>
      </c>
      <c r="J10874" t="s">
        <v>18902</v>
      </c>
      <c r="K10874">
        <v>10308</v>
      </c>
      <c r="L10874" t="s">
        <v>18960</v>
      </c>
      <c r="M10874" t="s">
        <v>18960</v>
      </c>
      <c r="O10874" t="s">
        <v>18997</v>
      </c>
      <c r="P10874" t="s">
        <v>26564</v>
      </c>
      <c r="R10874" t="s">
        <v>26583</v>
      </c>
      <c r="U10874" t="s">
        <v>26604</v>
      </c>
      <c r="X10874">
        <v>977</v>
      </c>
      <c r="Y10874" t="s">
        <v>26652</v>
      </c>
      <c r="AB10874" t="s">
        <v>26910</v>
      </c>
      <c r="AD10874" t="s">
        <v>45138</v>
      </c>
      <c r="AE10874">
        <v>0</v>
      </c>
      <c r="AF10874" t="s">
        <v>45554</v>
      </c>
      <c r="AG10874" t="s">
        <v>19330</v>
      </c>
      <c r="AH10874">
        <v>1</v>
      </c>
      <c r="AI10874">
        <v>1</v>
      </c>
      <c r="AJ10874">
        <v>0</v>
      </c>
      <c r="AK10874">
        <v>232.51</v>
      </c>
      <c r="AN10874" t="s">
        <v>7439</v>
      </c>
      <c r="AO10874">
        <v>29040</v>
      </c>
      <c r="AU10874">
        <v>1.5</v>
      </c>
      <c r="AV10874" t="s">
        <v>797</v>
      </c>
      <c r="AW10874" t="s">
        <v>46859</v>
      </c>
    </row>
    <row r="10875" spans="1:50">
      <c r="A10875" s="1">
        <f>HYPERLINK("https://lsnyc.legalserver.org/matter/dynamic-profile/view/1900957","19-1900957")</f>
        <v>0</v>
      </c>
      <c r="B10875" t="s">
        <v>251</v>
      </c>
      <c r="C10875" t="s">
        <v>340</v>
      </c>
      <c r="D10875" t="s">
        <v>825</v>
      </c>
      <c r="F10875" t="s">
        <v>974</v>
      </c>
      <c r="G10875" t="s">
        <v>2749</v>
      </c>
      <c r="H10875" t="s">
        <v>16932</v>
      </c>
      <c r="I10875" t="s">
        <v>18834</v>
      </c>
      <c r="J10875" t="s">
        <v>18892</v>
      </c>
      <c r="K10875">
        <v>10457</v>
      </c>
      <c r="L10875" t="s">
        <v>18960</v>
      </c>
      <c r="M10875" t="s">
        <v>18960</v>
      </c>
      <c r="N10875" t="s">
        <v>26216</v>
      </c>
      <c r="O10875" t="s">
        <v>26523</v>
      </c>
      <c r="P10875" t="s">
        <v>26560</v>
      </c>
      <c r="R10875" t="s">
        <v>26577</v>
      </c>
      <c r="U10875" t="s">
        <v>26604</v>
      </c>
      <c r="V10875" t="s">
        <v>26610</v>
      </c>
      <c r="X10875">
        <v>1213</v>
      </c>
      <c r="Y10875" t="s">
        <v>26650</v>
      </c>
      <c r="Z10875" t="s">
        <v>26668</v>
      </c>
      <c r="AB10875" t="s">
        <v>34179</v>
      </c>
      <c r="AD10875" t="s">
        <v>45139</v>
      </c>
      <c r="AE10875">
        <v>0</v>
      </c>
      <c r="AF10875" t="s">
        <v>45541</v>
      </c>
      <c r="AG10875" t="s">
        <v>45560</v>
      </c>
      <c r="AH10875">
        <v>1</v>
      </c>
      <c r="AI10875">
        <v>1</v>
      </c>
      <c r="AJ10875">
        <v>0</v>
      </c>
      <c r="AK10875">
        <v>76.19</v>
      </c>
      <c r="AN10875" t="s">
        <v>7439</v>
      </c>
      <c r="AO10875">
        <v>9516</v>
      </c>
      <c r="AU10875">
        <v>4.5</v>
      </c>
      <c r="AV10875" t="s">
        <v>831</v>
      </c>
      <c r="AW10875" t="s">
        <v>46836</v>
      </c>
    </row>
    <row r="10876" spans="1:50">
      <c r="A10876" s="1">
        <f>HYPERLINK("https://lsnyc.legalserver.org/matter/dynamic-profile/view/1900953","19-1900953")</f>
        <v>0</v>
      </c>
      <c r="B10876" t="s">
        <v>159</v>
      </c>
      <c r="C10876" t="s">
        <v>340</v>
      </c>
      <c r="D10876" t="s">
        <v>825</v>
      </c>
      <c r="F10876" t="s">
        <v>4923</v>
      </c>
      <c r="G10876" t="s">
        <v>6719</v>
      </c>
      <c r="H10876" t="s">
        <v>16933</v>
      </c>
      <c r="I10876" t="s">
        <v>17333</v>
      </c>
      <c r="J10876" t="s">
        <v>18899</v>
      </c>
      <c r="K10876">
        <v>11385</v>
      </c>
      <c r="L10876" t="s">
        <v>18960</v>
      </c>
      <c r="M10876" t="s">
        <v>18960</v>
      </c>
      <c r="N10876" t="s">
        <v>26217</v>
      </c>
      <c r="O10876" t="s">
        <v>26524</v>
      </c>
      <c r="P10876" t="s">
        <v>26563</v>
      </c>
      <c r="R10876" t="s">
        <v>26584</v>
      </c>
      <c r="S10876" t="s">
        <v>18959</v>
      </c>
      <c r="U10876" t="s">
        <v>26604</v>
      </c>
      <c r="X10876">
        <v>1200</v>
      </c>
      <c r="Y10876" t="s">
        <v>26653</v>
      </c>
      <c r="Z10876" t="s">
        <v>26664</v>
      </c>
      <c r="AB10876" t="s">
        <v>31070</v>
      </c>
      <c r="AD10876" t="s">
        <v>45140</v>
      </c>
      <c r="AE10876">
        <v>6</v>
      </c>
      <c r="AF10876" t="s">
        <v>45547</v>
      </c>
      <c r="AG10876" t="s">
        <v>19330</v>
      </c>
      <c r="AH10876">
        <v>4</v>
      </c>
      <c r="AI10876">
        <v>1</v>
      </c>
      <c r="AJ10876">
        <v>0</v>
      </c>
      <c r="AK10876">
        <v>187.35</v>
      </c>
      <c r="AN10876" t="s">
        <v>7439</v>
      </c>
      <c r="AO10876">
        <v>23400</v>
      </c>
      <c r="AU10876">
        <v>20</v>
      </c>
      <c r="AV10876" t="s">
        <v>836</v>
      </c>
      <c r="AW10876" t="s">
        <v>46846</v>
      </c>
      <c r="AX10876" t="s">
        <v>46897</v>
      </c>
    </row>
    <row r="10877" spans="1:50">
      <c r="A10877" s="1">
        <f>HYPERLINK("https://lsnyc.legalserver.org/matter/dynamic-profile/view/1901047","19-1901047")</f>
        <v>0</v>
      </c>
      <c r="B10877" t="s">
        <v>122</v>
      </c>
      <c r="C10877" t="s">
        <v>340</v>
      </c>
      <c r="D10877" t="s">
        <v>825</v>
      </c>
      <c r="F10877" t="s">
        <v>1234</v>
      </c>
      <c r="G10877" t="s">
        <v>9471</v>
      </c>
      <c r="H10877" t="s">
        <v>16934</v>
      </c>
      <c r="I10877" t="s">
        <v>18835</v>
      </c>
      <c r="J10877" t="s">
        <v>18901</v>
      </c>
      <c r="K10877">
        <v>11434</v>
      </c>
      <c r="L10877" t="s">
        <v>18960</v>
      </c>
      <c r="M10877" t="s">
        <v>18960</v>
      </c>
      <c r="N10877" t="s">
        <v>26218</v>
      </c>
      <c r="O10877" t="s">
        <v>26524</v>
      </c>
      <c r="R10877" t="s">
        <v>26584</v>
      </c>
      <c r="U10877" t="s">
        <v>26604</v>
      </c>
      <c r="X10877">
        <v>1400</v>
      </c>
      <c r="Y10877" t="s">
        <v>26653</v>
      </c>
      <c r="AB10877" t="s">
        <v>34180</v>
      </c>
      <c r="AD10877" t="s">
        <v>45141</v>
      </c>
      <c r="AE10877">
        <v>2</v>
      </c>
      <c r="AG10877" t="s">
        <v>19330</v>
      </c>
      <c r="AH10877">
        <v>1</v>
      </c>
      <c r="AI10877">
        <v>2</v>
      </c>
      <c r="AJ10877">
        <v>0</v>
      </c>
      <c r="AK10877">
        <v>0</v>
      </c>
      <c r="AO10877">
        <v>0</v>
      </c>
      <c r="AU10877">
        <v>24</v>
      </c>
      <c r="AV10877" t="s">
        <v>821</v>
      </c>
      <c r="AW10877" t="s">
        <v>122</v>
      </c>
    </row>
    <row r="10878" spans="1:50">
      <c r="A10878" s="1">
        <f>HYPERLINK("https://lsnyc.legalserver.org/matter/dynamic-profile/view/1901014","19-1901014")</f>
        <v>0</v>
      </c>
      <c r="B10878" t="s">
        <v>122</v>
      </c>
      <c r="C10878" t="s">
        <v>340</v>
      </c>
      <c r="D10878" t="s">
        <v>825</v>
      </c>
      <c r="F10878" t="s">
        <v>3277</v>
      </c>
      <c r="G10878" t="s">
        <v>9472</v>
      </c>
      <c r="H10878" t="s">
        <v>16935</v>
      </c>
      <c r="I10878" t="s">
        <v>17468</v>
      </c>
      <c r="J10878" t="s">
        <v>18913</v>
      </c>
      <c r="K10878">
        <v>11103</v>
      </c>
      <c r="L10878" t="s">
        <v>18960</v>
      </c>
      <c r="M10878" t="s">
        <v>18960</v>
      </c>
      <c r="N10878" t="s">
        <v>26219</v>
      </c>
      <c r="O10878" t="s">
        <v>26523</v>
      </c>
      <c r="R10878" t="s">
        <v>26584</v>
      </c>
      <c r="U10878" t="s">
        <v>26604</v>
      </c>
      <c r="X10878">
        <v>1168</v>
      </c>
      <c r="Y10878" t="s">
        <v>26653</v>
      </c>
      <c r="Z10878" t="s">
        <v>26664</v>
      </c>
      <c r="AB10878" t="s">
        <v>30864</v>
      </c>
      <c r="AD10878" t="s">
        <v>45142</v>
      </c>
      <c r="AE10878">
        <v>60</v>
      </c>
      <c r="AG10878" t="s">
        <v>19330</v>
      </c>
      <c r="AH10878">
        <v>7</v>
      </c>
      <c r="AI10878">
        <v>2</v>
      </c>
      <c r="AJ10878">
        <v>0</v>
      </c>
      <c r="AK10878">
        <v>64.86</v>
      </c>
      <c r="AN10878" t="s">
        <v>7439</v>
      </c>
      <c r="AO10878">
        <v>10968</v>
      </c>
      <c r="AU10878">
        <v>2.7</v>
      </c>
      <c r="AV10878" t="s">
        <v>830</v>
      </c>
      <c r="AW10878" t="s">
        <v>122</v>
      </c>
    </row>
    <row r="10879" spans="1:50">
      <c r="A10879" s="1">
        <f>HYPERLINK("https://lsnyc.legalserver.org/matter/dynamic-profile/view/1901016","19-1901016")</f>
        <v>0</v>
      </c>
      <c r="B10879" t="s">
        <v>122</v>
      </c>
      <c r="C10879" t="s">
        <v>340</v>
      </c>
      <c r="D10879" t="s">
        <v>825</v>
      </c>
      <c r="F10879" t="s">
        <v>983</v>
      </c>
      <c r="G10879" t="s">
        <v>3396</v>
      </c>
      <c r="H10879" t="s">
        <v>16936</v>
      </c>
      <c r="I10879" t="s">
        <v>17576</v>
      </c>
      <c r="J10879" t="s">
        <v>18928</v>
      </c>
      <c r="K10879">
        <v>11365</v>
      </c>
      <c r="L10879" t="s">
        <v>18960</v>
      </c>
      <c r="M10879" t="s">
        <v>18960</v>
      </c>
      <c r="N10879" t="s">
        <v>26220</v>
      </c>
      <c r="O10879" t="s">
        <v>26524</v>
      </c>
      <c r="R10879" t="s">
        <v>26584</v>
      </c>
      <c r="S10879" t="s">
        <v>18959</v>
      </c>
      <c r="U10879" t="s">
        <v>26604</v>
      </c>
      <c r="V10879" t="s">
        <v>26610</v>
      </c>
      <c r="X10879">
        <v>2000</v>
      </c>
      <c r="Y10879" t="s">
        <v>26653</v>
      </c>
      <c r="Z10879" t="s">
        <v>26664</v>
      </c>
      <c r="AB10879" t="s">
        <v>34181</v>
      </c>
      <c r="AD10879" t="s">
        <v>45143</v>
      </c>
      <c r="AE10879">
        <v>3</v>
      </c>
      <c r="AF10879" t="s">
        <v>45547</v>
      </c>
      <c r="AG10879" t="s">
        <v>19330</v>
      </c>
      <c r="AH10879">
        <v>8</v>
      </c>
      <c r="AI10879">
        <v>2</v>
      </c>
      <c r="AJ10879">
        <v>3</v>
      </c>
      <c r="AK10879">
        <v>79.55</v>
      </c>
      <c r="AN10879" t="s">
        <v>7439</v>
      </c>
      <c r="AO10879">
        <v>24000</v>
      </c>
      <c r="AU10879">
        <v>1</v>
      </c>
      <c r="AV10879" t="s">
        <v>825</v>
      </c>
      <c r="AW10879" t="s">
        <v>122</v>
      </c>
    </row>
    <row r="10880" spans="1:50">
      <c r="A10880" s="1">
        <f>HYPERLINK("https://lsnyc.legalserver.org/matter/dynamic-profile/view/1901052","19-1901052")</f>
        <v>0</v>
      </c>
      <c r="B10880" t="s">
        <v>122</v>
      </c>
      <c r="C10880" t="s">
        <v>340</v>
      </c>
      <c r="D10880" t="s">
        <v>825</v>
      </c>
      <c r="F10880" t="s">
        <v>2536</v>
      </c>
      <c r="G10880" t="s">
        <v>7169</v>
      </c>
      <c r="H10880" t="s">
        <v>16937</v>
      </c>
      <c r="I10880" t="s">
        <v>18659</v>
      </c>
      <c r="J10880" t="s">
        <v>18901</v>
      </c>
      <c r="K10880">
        <v>11432</v>
      </c>
      <c r="L10880" t="s">
        <v>18960</v>
      </c>
      <c r="M10880" t="s">
        <v>18960</v>
      </c>
      <c r="N10880" t="s">
        <v>26221</v>
      </c>
      <c r="O10880" t="s">
        <v>26524</v>
      </c>
      <c r="R10880" t="s">
        <v>26584</v>
      </c>
      <c r="U10880" t="s">
        <v>26604</v>
      </c>
      <c r="X10880">
        <v>1325</v>
      </c>
      <c r="Y10880" t="s">
        <v>26653</v>
      </c>
      <c r="Z10880" t="s">
        <v>26664</v>
      </c>
      <c r="AB10880" t="s">
        <v>33372</v>
      </c>
      <c r="AD10880" t="s">
        <v>45144</v>
      </c>
      <c r="AE10880">
        <v>4</v>
      </c>
      <c r="AG10880" t="s">
        <v>26530</v>
      </c>
      <c r="AH10880">
        <v>5</v>
      </c>
      <c r="AI10880">
        <v>2</v>
      </c>
      <c r="AJ10880">
        <v>2</v>
      </c>
      <c r="AK10880">
        <v>251.65</v>
      </c>
      <c r="AO10880">
        <v>64800</v>
      </c>
      <c r="AU10880">
        <v>1.5</v>
      </c>
      <c r="AV10880" t="s">
        <v>825</v>
      </c>
      <c r="AW10880" t="s">
        <v>122</v>
      </c>
    </row>
    <row r="10881" spans="1:50">
      <c r="A10881" s="1">
        <f>HYPERLINK("https://lsnyc.legalserver.org/matter/dynamic-profile/view/1901043","19-1901043")</f>
        <v>0</v>
      </c>
      <c r="B10881" t="s">
        <v>122</v>
      </c>
      <c r="C10881" t="s">
        <v>340</v>
      </c>
      <c r="D10881" t="s">
        <v>825</v>
      </c>
      <c r="F10881" t="s">
        <v>2111</v>
      </c>
      <c r="G10881" t="s">
        <v>2267</v>
      </c>
      <c r="H10881" t="s">
        <v>15284</v>
      </c>
      <c r="I10881" t="s">
        <v>17299</v>
      </c>
      <c r="J10881" t="s">
        <v>18900</v>
      </c>
      <c r="K10881">
        <v>11355</v>
      </c>
      <c r="L10881" t="s">
        <v>18960</v>
      </c>
      <c r="M10881" t="s">
        <v>18960</v>
      </c>
      <c r="N10881" t="s">
        <v>26222</v>
      </c>
      <c r="O10881" t="s">
        <v>26523</v>
      </c>
      <c r="R10881" t="s">
        <v>26592</v>
      </c>
      <c r="U10881" t="s">
        <v>26604</v>
      </c>
      <c r="X10881">
        <v>1085.21</v>
      </c>
      <c r="Y10881" t="s">
        <v>26653</v>
      </c>
      <c r="Z10881" t="s">
        <v>26655</v>
      </c>
      <c r="AB10881" t="s">
        <v>32750</v>
      </c>
      <c r="AD10881" t="s">
        <v>43279</v>
      </c>
      <c r="AE10881">
        <v>0</v>
      </c>
      <c r="AF10881" t="s">
        <v>45541</v>
      </c>
      <c r="AH10881">
        <v>0</v>
      </c>
      <c r="AI10881">
        <v>3</v>
      </c>
      <c r="AJ10881">
        <v>1</v>
      </c>
      <c r="AK10881">
        <v>72.11</v>
      </c>
      <c r="AN10881" t="s">
        <v>7439</v>
      </c>
      <c r="AO10881">
        <v>18567.6</v>
      </c>
      <c r="AU10881">
        <v>8.6</v>
      </c>
      <c r="AV10881" t="s">
        <v>821</v>
      </c>
      <c r="AW10881" t="s">
        <v>122</v>
      </c>
    </row>
    <row r="10882" spans="1:50">
      <c r="A10882" s="1">
        <f>HYPERLINK("https://lsnyc.legalserver.org/matter/dynamic-profile/view/1900971","19-1900971")</f>
        <v>0</v>
      </c>
      <c r="B10882" t="s">
        <v>122</v>
      </c>
      <c r="C10882" t="s">
        <v>340</v>
      </c>
      <c r="D10882" t="s">
        <v>825</v>
      </c>
      <c r="F10882" t="s">
        <v>1119</v>
      </c>
      <c r="G10882" t="s">
        <v>7956</v>
      </c>
      <c r="H10882" t="s">
        <v>14151</v>
      </c>
      <c r="I10882" t="s">
        <v>18245</v>
      </c>
      <c r="J10882" t="s">
        <v>18906</v>
      </c>
      <c r="K10882">
        <v>11373</v>
      </c>
      <c r="L10882" t="s">
        <v>18960</v>
      </c>
      <c r="M10882" t="s">
        <v>18960</v>
      </c>
      <c r="N10882" t="s">
        <v>23555</v>
      </c>
      <c r="O10882" t="s">
        <v>26523</v>
      </c>
      <c r="P10882" t="s">
        <v>26565</v>
      </c>
      <c r="R10882" t="s">
        <v>26592</v>
      </c>
      <c r="U10882" t="s">
        <v>26604</v>
      </c>
      <c r="X10882">
        <v>1525</v>
      </c>
      <c r="Y10882" t="s">
        <v>26653</v>
      </c>
      <c r="Z10882" t="s">
        <v>26664</v>
      </c>
      <c r="AB10882" t="s">
        <v>31566</v>
      </c>
      <c r="AC10882" t="s">
        <v>36756</v>
      </c>
      <c r="AD10882" t="s">
        <v>41802</v>
      </c>
      <c r="AE10882">
        <v>75</v>
      </c>
      <c r="AF10882" t="s">
        <v>45541</v>
      </c>
      <c r="AH10882">
        <v>7</v>
      </c>
      <c r="AI10882">
        <v>2</v>
      </c>
      <c r="AJ10882">
        <v>0</v>
      </c>
      <c r="AK10882">
        <v>132.77</v>
      </c>
      <c r="AN10882" t="s">
        <v>45581</v>
      </c>
      <c r="AO10882">
        <v>22452</v>
      </c>
      <c r="AU10882">
        <v>3</v>
      </c>
      <c r="AV10882" t="s">
        <v>826</v>
      </c>
      <c r="AW10882" t="s">
        <v>122</v>
      </c>
    </row>
    <row r="10883" spans="1:50">
      <c r="A10883" s="1">
        <f>HYPERLINK("https://lsnyc.legalserver.org/matter/dynamic-profile/view/1900986","19-1900986")</f>
        <v>0</v>
      </c>
      <c r="B10883" t="s">
        <v>233</v>
      </c>
      <c r="C10883" t="s">
        <v>340</v>
      </c>
      <c r="D10883" t="s">
        <v>825</v>
      </c>
      <c r="F10883" t="s">
        <v>4924</v>
      </c>
      <c r="G10883" t="s">
        <v>5079</v>
      </c>
      <c r="H10883" t="s">
        <v>16938</v>
      </c>
      <c r="I10883" t="s">
        <v>17362</v>
      </c>
      <c r="J10883" t="s">
        <v>18892</v>
      </c>
      <c r="K10883">
        <v>10472</v>
      </c>
      <c r="L10883" t="s">
        <v>18958</v>
      </c>
      <c r="M10883" t="s">
        <v>18960</v>
      </c>
      <c r="N10883" t="s">
        <v>26223</v>
      </c>
      <c r="O10883" t="s">
        <v>26523</v>
      </c>
      <c r="P10883" t="s">
        <v>26563</v>
      </c>
      <c r="R10883" t="s">
        <v>26578</v>
      </c>
      <c r="S10883" t="s">
        <v>18959</v>
      </c>
      <c r="U10883" t="s">
        <v>26604</v>
      </c>
      <c r="X10883">
        <v>896</v>
      </c>
      <c r="Y10883" t="s">
        <v>26650</v>
      </c>
      <c r="Z10883" t="s">
        <v>26667</v>
      </c>
      <c r="AB10883" t="s">
        <v>34182</v>
      </c>
      <c r="AD10883" t="s">
        <v>45145</v>
      </c>
      <c r="AE10883">
        <v>594</v>
      </c>
      <c r="AG10883" t="s">
        <v>45556</v>
      </c>
      <c r="AH10883">
        <v>10</v>
      </c>
      <c r="AI10883">
        <v>2</v>
      </c>
      <c r="AJ10883">
        <v>0</v>
      </c>
      <c r="AK10883">
        <v>146.68</v>
      </c>
      <c r="AN10883" t="s">
        <v>7439</v>
      </c>
      <c r="AO10883">
        <v>24804</v>
      </c>
      <c r="AU10883">
        <v>3.5</v>
      </c>
      <c r="AV10883" t="s">
        <v>773</v>
      </c>
      <c r="AW10883" t="s">
        <v>329</v>
      </c>
      <c r="AX10883" t="s">
        <v>46897</v>
      </c>
    </row>
    <row r="10884" spans="1:50">
      <c r="A10884" s="1">
        <f>HYPERLINK("https://lsnyc.legalserver.org/matter/dynamic-profile/view/1901041","19-1901041")</f>
        <v>0</v>
      </c>
      <c r="B10884" t="s">
        <v>256</v>
      </c>
      <c r="C10884" t="s">
        <v>340</v>
      </c>
      <c r="D10884" t="s">
        <v>825</v>
      </c>
      <c r="F10884" t="s">
        <v>1831</v>
      </c>
      <c r="G10884" t="s">
        <v>879</v>
      </c>
      <c r="H10884" t="s">
        <v>16939</v>
      </c>
      <c r="I10884" t="s">
        <v>17277</v>
      </c>
      <c r="J10884" t="s">
        <v>18894</v>
      </c>
      <c r="K10884">
        <v>11226</v>
      </c>
      <c r="L10884" t="s">
        <v>18960</v>
      </c>
      <c r="M10884" t="s">
        <v>18960</v>
      </c>
      <c r="R10884" t="s">
        <v>26591</v>
      </c>
      <c r="U10884" t="s">
        <v>26607</v>
      </c>
      <c r="X10884">
        <v>1457</v>
      </c>
      <c r="Y10884" t="s">
        <v>26652</v>
      </c>
      <c r="AB10884" t="s">
        <v>29618</v>
      </c>
      <c r="AD10884" t="s">
        <v>45146</v>
      </c>
      <c r="AE10884">
        <v>60</v>
      </c>
      <c r="AH10884">
        <v>14</v>
      </c>
      <c r="AI10884">
        <v>1</v>
      </c>
      <c r="AJ10884">
        <v>1</v>
      </c>
      <c r="AK10884">
        <v>56.77</v>
      </c>
      <c r="AN10884" t="s">
        <v>7439</v>
      </c>
      <c r="AO10884">
        <v>9600</v>
      </c>
      <c r="AU10884">
        <v>1.1</v>
      </c>
      <c r="AV10884" t="s">
        <v>831</v>
      </c>
      <c r="AW10884" t="s">
        <v>46887</v>
      </c>
    </row>
    <row r="10885" spans="1:50">
      <c r="A10885" s="1">
        <f>HYPERLINK("https://lsnyc.legalserver.org/matter/dynamic-profile/view/1901742","19-1901742")</f>
        <v>0</v>
      </c>
      <c r="B10885" t="s">
        <v>275</v>
      </c>
      <c r="C10885" t="s">
        <v>340</v>
      </c>
      <c r="D10885" t="s">
        <v>825</v>
      </c>
      <c r="F10885" t="s">
        <v>4106</v>
      </c>
      <c r="G10885" t="s">
        <v>5447</v>
      </c>
      <c r="H10885" t="s">
        <v>16940</v>
      </c>
      <c r="I10885" t="s">
        <v>17355</v>
      </c>
      <c r="J10885" t="s">
        <v>18892</v>
      </c>
      <c r="K10885">
        <v>10467</v>
      </c>
      <c r="L10885" t="s">
        <v>18960</v>
      </c>
      <c r="M10885" t="s">
        <v>18960</v>
      </c>
      <c r="P10885" t="s">
        <v>26560</v>
      </c>
      <c r="R10885" t="s">
        <v>26579</v>
      </c>
      <c r="U10885" t="s">
        <v>26604</v>
      </c>
      <c r="X10885">
        <v>0</v>
      </c>
      <c r="Y10885" t="s">
        <v>26650</v>
      </c>
      <c r="AB10885" t="s">
        <v>34183</v>
      </c>
      <c r="AD10885" t="s">
        <v>45147</v>
      </c>
      <c r="AE10885">
        <v>73</v>
      </c>
      <c r="AH10885">
        <v>0</v>
      </c>
      <c r="AI10885">
        <v>4</v>
      </c>
      <c r="AJ10885">
        <v>0</v>
      </c>
      <c r="AK10885">
        <v>0</v>
      </c>
      <c r="AN10885" t="s">
        <v>45581</v>
      </c>
      <c r="AO10885">
        <v>0</v>
      </c>
      <c r="AU10885">
        <v>2</v>
      </c>
      <c r="AV10885" t="s">
        <v>720</v>
      </c>
      <c r="AW10885" t="s">
        <v>336</v>
      </c>
    </row>
    <row r="10886" spans="1:50">
      <c r="A10886" s="1">
        <f>HYPERLINK("https://lsnyc.legalserver.org/matter/dynamic-profile/view/1900687","19-1900687")</f>
        <v>0</v>
      </c>
      <c r="B10886" t="s">
        <v>300</v>
      </c>
      <c r="C10886" t="s">
        <v>341</v>
      </c>
      <c r="D10886" t="s">
        <v>797</v>
      </c>
      <c r="E10886" t="s">
        <v>832</v>
      </c>
      <c r="F10886" t="s">
        <v>4925</v>
      </c>
      <c r="G10886" t="s">
        <v>9473</v>
      </c>
      <c r="H10886" t="s">
        <v>16941</v>
      </c>
      <c r="I10886" t="s">
        <v>17513</v>
      </c>
      <c r="J10886" t="s">
        <v>18893</v>
      </c>
      <c r="K10886">
        <v>10023</v>
      </c>
      <c r="L10886" t="s">
        <v>18960</v>
      </c>
      <c r="M10886" t="s">
        <v>18960</v>
      </c>
      <c r="O10886" t="s">
        <v>26526</v>
      </c>
      <c r="P10886" t="s">
        <v>26565</v>
      </c>
      <c r="Q10886" t="s">
        <v>26571</v>
      </c>
      <c r="R10886" t="s">
        <v>26595</v>
      </c>
      <c r="U10886" t="s">
        <v>26604</v>
      </c>
      <c r="X10886">
        <v>1653.12</v>
      </c>
      <c r="Y10886" t="s">
        <v>26651</v>
      </c>
      <c r="Z10886" t="s">
        <v>26655</v>
      </c>
      <c r="AA10886" t="s">
        <v>26682</v>
      </c>
      <c r="AB10886" t="s">
        <v>34184</v>
      </c>
      <c r="AD10886" t="s">
        <v>45148</v>
      </c>
      <c r="AE10886">
        <v>0</v>
      </c>
      <c r="AF10886" t="s">
        <v>45541</v>
      </c>
      <c r="AG10886" t="s">
        <v>19330</v>
      </c>
      <c r="AH10886">
        <v>29</v>
      </c>
      <c r="AI10886">
        <v>1</v>
      </c>
      <c r="AJ10886">
        <v>2</v>
      </c>
      <c r="AK10886">
        <v>182.84</v>
      </c>
      <c r="AN10886" t="s">
        <v>7439</v>
      </c>
      <c r="AO10886">
        <v>39000</v>
      </c>
      <c r="AU10886">
        <v>1</v>
      </c>
      <c r="AV10886" t="s">
        <v>828</v>
      </c>
      <c r="AW10886" t="s">
        <v>314</v>
      </c>
    </row>
    <row r="10887" spans="1:50">
      <c r="A10887" s="1">
        <f>HYPERLINK("https://lsnyc.legalserver.org/matter/dynamic-profile/view/1901464","19-1901464")</f>
        <v>0</v>
      </c>
      <c r="B10887" t="s">
        <v>75</v>
      </c>
      <c r="C10887" t="s">
        <v>341</v>
      </c>
      <c r="D10887" t="s">
        <v>797</v>
      </c>
      <c r="E10887" t="s">
        <v>729</v>
      </c>
      <c r="F10887" t="s">
        <v>3086</v>
      </c>
      <c r="G10887" t="s">
        <v>9474</v>
      </c>
      <c r="H10887" t="s">
        <v>16942</v>
      </c>
      <c r="J10887" t="s">
        <v>18892</v>
      </c>
      <c r="K10887">
        <v>10457</v>
      </c>
      <c r="L10887" t="s">
        <v>18959</v>
      </c>
      <c r="M10887" t="s">
        <v>18960</v>
      </c>
      <c r="P10887" t="s">
        <v>26564</v>
      </c>
      <c r="Q10887" t="s">
        <v>26570</v>
      </c>
      <c r="R10887" t="s">
        <v>26578</v>
      </c>
      <c r="S10887" t="s">
        <v>18959</v>
      </c>
      <c r="U10887" t="s">
        <v>26604</v>
      </c>
      <c r="X10887">
        <v>2950</v>
      </c>
      <c r="Y10887" t="s">
        <v>26650</v>
      </c>
      <c r="Z10887" t="s">
        <v>26663</v>
      </c>
      <c r="AA10887" t="s">
        <v>26683</v>
      </c>
      <c r="AB10887" t="s">
        <v>28303</v>
      </c>
      <c r="AE10887">
        <v>1</v>
      </c>
      <c r="AF10887" t="s">
        <v>20460</v>
      </c>
      <c r="AG10887" t="s">
        <v>19330</v>
      </c>
      <c r="AH10887">
        <v>16</v>
      </c>
      <c r="AI10887">
        <v>2</v>
      </c>
      <c r="AJ10887">
        <v>0</v>
      </c>
      <c r="AK10887">
        <v>0</v>
      </c>
      <c r="AN10887" t="s">
        <v>45581</v>
      </c>
      <c r="AO10887">
        <v>0</v>
      </c>
      <c r="AU10887">
        <v>1.5</v>
      </c>
      <c r="AV10887" t="s">
        <v>797</v>
      </c>
      <c r="AW10887" t="s">
        <v>336</v>
      </c>
      <c r="AX10887" t="s">
        <v>46897</v>
      </c>
    </row>
    <row r="10888" spans="1:50">
      <c r="A10888" s="1">
        <f>HYPERLINK("https://lsnyc.legalserver.org/matter/dynamic-profile/view/1901480","19-1901480")</f>
        <v>0</v>
      </c>
      <c r="B10888" t="s">
        <v>75</v>
      </c>
      <c r="C10888" t="s">
        <v>341</v>
      </c>
      <c r="D10888" t="s">
        <v>797</v>
      </c>
      <c r="E10888" t="s">
        <v>729</v>
      </c>
      <c r="F10888" t="s">
        <v>872</v>
      </c>
      <c r="G10888" t="s">
        <v>5659</v>
      </c>
      <c r="H10888" t="s">
        <v>10413</v>
      </c>
      <c r="I10888" t="s">
        <v>17302</v>
      </c>
      <c r="J10888" t="s">
        <v>18892</v>
      </c>
      <c r="K10888">
        <v>10467</v>
      </c>
      <c r="L10888" t="s">
        <v>18958</v>
      </c>
      <c r="M10888" t="s">
        <v>18960</v>
      </c>
      <c r="P10888" t="s">
        <v>26564</v>
      </c>
      <c r="Q10888" t="s">
        <v>26570</v>
      </c>
      <c r="R10888" t="s">
        <v>26578</v>
      </c>
      <c r="S10888" t="s">
        <v>18959</v>
      </c>
      <c r="U10888" t="s">
        <v>26604</v>
      </c>
      <c r="X10888">
        <v>1531.65</v>
      </c>
      <c r="Y10888" t="s">
        <v>26650</v>
      </c>
      <c r="Z10888" t="s">
        <v>26663</v>
      </c>
      <c r="AA10888" t="s">
        <v>26683</v>
      </c>
      <c r="AB10888" t="s">
        <v>27526</v>
      </c>
      <c r="AC10888">
        <v>4043580</v>
      </c>
      <c r="AD10888" t="s">
        <v>37584</v>
      </c>
      <c r="AE10888">
        <v>65</v>
      </c>
      <c r="AF10888" t="s">
        <v>45541</v>
      </c>
      <c r="AG10888" t="s">
        <v>45556</v>
      </c>
      <c r="AH10888">
        <v>15</v>
      </c>
      <c r="AI10888">
        <v>2</v>
      </c>
      <c r="AJ10888">
        <v>0</v>
      </c>
      <c r="AK10888">
        <v>66.48999999999999</v>
      </c>
      <c r="AN10888" t="s">
        <v>7439</v>
      </c>
      <c r="AO10888">
        <v>11244</v>
      </c>
      <c r="AU10888">
        <v>0.75</v>
      </c>
      <c r="AV10888" t="s">
        <v>797</v>
      </c>
      <c r="AW10888" t="s">
        <v>336</v>
      </c>
      <c r="AX10888" t="s">
        <v>46897</v>
      </c>
    </row>
    <row r="10889" spans="1:50">
      <c r="A10889" s="1">
        <f>HYPERLINK("https://lsnyc.legalserver.org/matter/dynamic-profile/view/1901607","19-1901607")</f>
        <v>0</v>
      </c>
      <c r="B10889" t="s">
        <v>75</v>
      </c>
      <c r="C10889" t="s">
        <v>341</v>
      </c>
      <c r="D10889" t="s">
        <v>797</v>
      </c>
      <c r="E10889" t="s">
        <v>814</v>
      </c>
      <c r="F10889" t="s">
        <v>1228</v>
      </c>
      <c r="G10889" t="s">
        <v>5078</v>
      </c>
      <c r="H10889" t="s">
        <v>11401</v>
      </c>
      <c r="I10889" t="s">
        <v>17775</v>
      </c>
      <c r="J10889" t="s">
        <v>18892</v>
      </c>
      <c r="K10889">
        <v>10457</v>
      </c>
      <c r="L10889" t="s">
        <v>18958</v>
      </c>
      <c r="M10889" t="s">
        <v>18960</v>
      </c>
      <c r="N10889" t="s">
        <v>19045</v>
      </c>
      <c r="O10889" t="s">
        <v>26524</v>
      </c>
      <c r="P10889" t="s">
        <v>26564</v>
      </c>
      <c r="Q10889" t="s">
        <v>26570</v>
      </c>
      <c r="R10889" t="s">
        <v>26578</v>
      </c>
      <c r="S10889" t="s">
        <v>18959</v>
      </c>
      <c r="U10889" t="s">
        <v>26604</v>
      </c>
      <c r="X10889">
        <v>1476.04</v>
      </c>
      <c r="Y10889" t="s">
        <v>26650</v>
      </c>
      <c r="Z10889" t="s">
        <v>26663</v>
      </c>
      <c r="AA10889" t="s">
        <v>26683</v>
      </c>
      <c r="AB10889" t="s">
        <v>28601</v>
      </c>
      <c r="AD10889" t="s">
        <v>38655</v>
      </c>
      <c r="AE10889">
        <v>222</v>
      </c>
      <c r="AF10889" t="s">
        <v>45541</v>
      </c>
      <c r="AG10889" t="s">
        <v>19330</v>
      </c>
      <c r="AH10889">
        <v>8</v>
      </c>
      <c r="AI10889">
        <v>4</v>
      </c>
      <c r="AJ10889">
        <v>1</v>
      </c>
      <c r="AK10889">
        <v>103.41</v>
      </c>
      <c r="AN10889" t="s">
        <v>45581</v>
      </c>
      <c r="AO10889">
        <v>31200</v>
      </c>
      <c r="AU10889">
        <v>0.5</v>
      </c>
      <c r="AV10889" t="s">
        <v>797</v>
      </c>
      <c r="AW10889" t="s">
        <v>336</v>
      </c>
      <c r="AX10889" t="s">
        <v>46897</v>
      </c>
    </row>
    <row r="10890" spans="1:50">
      <c r="A10890" s="1">
        <f>HYPERLINK("https://lsnyc.legalserver.org/matter/dynamic-profile/view/1901676","19-1901676")</f>
        <v>0</v>
      </c>
      <c r="B10890" t="s">
        <v>75</v>
      </c>
      <c r="C10890" t="s">
        <v>341</v>
      </c>
      <c r="D10890" t="s">
        <v>797</v>
      </c>
      <c r="E10890" t="s">
        <v>814</v>
      </c>
      <c r="F10890" t="s">
        <v>4926</v>
      </c>
      <c r="G10890" t="s">
        <v>7971</v>
      </c>
      <c r="H10890" t="s">
        <v>16216</v>
      </c>
      <c r="I10890">
        <v>402</v>
      </c>
      <c r="J10890" t="s">
        <v>18892</v>
      </c>
      <c r="K10890">
        <v>10453</v>
      </c>
      <c r="L10890" t="s">
        <v>18958</v>
      </c>
      <c r="M10890" t="s">
        <v>18960</v>
      </c>
      <c r="P10890" t="s">
        <v>26564</v>
      </c>
      <c r="Q10890" t="s">
        <v>26570</v>
      </c>
      <c r="R10890" t="s">
        <v>26578</v>
      </c>
      <c r="S10890" t="s">
        <v>18959</v>
      </c>
      <c r="U10890" t="s">
        <v>26604</v>
      </c>
      <c r="X10890">
        <v>1048</v>
      </c>
      <c r="Y10890" t="s">
        <v>26650</v>
      </c>
      <c r="Z10890" t="s">
        <v>26663</v>
      </c>
      <c r="AA10890" t="s">
        <v>26683</v>
      </c>
      <c r="AB10890" t="s">
        <v>26994</v>
      </c>
      <c r="AE10890">
        <v>146</v>
      </c>
      <c r="AF10890" t="s">
        <v>20460</v>
      </c>
      <c r="AG10890" t="s">
        <v>19330</v>
      </c>
      <c r="AH10890">
        <v>4</v>
      </c>
      <c r="AI10890">
        <v>2</v>
      </c>
      <c r="AJ10890">
        <v>1</v>
      </c>
      <c r="AK10890">
        <v>109.7</v>
      </c>
      <c r="AN10890" t="s">
        <v>45581</v>
      </c>
      <c r="AO10890">
        <v>23400</v>
      </c>
      <c r="AU10890">
        <v>1</v>
      </c>
      <c r="AV10890" t="s">
        <v>797</v>
      </c>
      <c r="AW10890" t="s">
        <v>336</v>
      </c>
      <c r="AX10890" t="s">
        <v>46897</v>
      </c>
    </row>
    <row r="10891" spans="1:50">
      <c r="A10891" s="1">
        <f>HYPERLINK("https://lsnyc.legalserver.org/matter/dynamic-profile/view/1901604","19-1901604")</f>
        <v>0</v>
      </c>
      <c r="B10891" t="s">
        <v>75</v>
      </c>
      <c r="C10891" t="s">
        <v>341</v>
      </c>
      <c r="D10891" t="s">
        <v>797</v>
      </c>
      <c r="E10891" t="s">
        <v>814</v>
      </c>
      <c r="F10891" t="s">
        <v>4927</v>
      </c>
      <c r="G10891" t="s">
        <v>5147</v>
      </c>
      <c r="H10891" t="s">
        <v>16943</v>
      </c>
      <c r="I10891" t="s">
        <v>17352</v>
      </c>
      <c r="J10891" t="s">
        <v>18892</v>
      </c>
      <c r="K10891">
        <v>10460</v>
      </c>
      <c r="L10891" t="s">
        <v>18958</v>
      </c>
      <c r="M10891" t="s">
        <v>18960</v>
      </c>
      <c r="N10891" t="s">
        <v>19045</v>
      </c>
      <c r="P10891" t="s">
        <v>26564</v>
      </c>
      <c r="Q10891" t="s">
        <v>26570</v>
      </c>
      <c r="R10891" t="s">
        <v>26578</v>
      </c>
      <c r="S10891" t="s">
        <v>18959</v>
      </c>
      <c r="U10891" t="s">
        <v>26604</v>
      </c>
      <c r="X10891">
        <v>1060</v>
      </c>
      <c r="Y10891" t="s">
        <v>26650</v>
      </c>
      <c r="Z10891" t="s">
        <v>26663</v>
      </c>
      <c r="AA10891" t="s">
        <v>26683</v>
      </c>
      <c r="AB10891" t="s">
        <v>33335</v>
      </c>
      <c r="AD10891" t="s">
        <v>45149</v>
      </c>
      <c r="AE10891">
        <v>102</v>
      </c>
      <c r="AF10891" t="s">
        <v>45541</v>
      </c>
      <c r="AG10891" t="s">
        <v>45556</v>
      </c>
      <c r="AH10891">
        <v>30</v>
      </c>
      <c r="AI10891">
        <v>3</v>
      </c>
      <c r="AJ10891">
        <v>1</v>
      </c>
      <c r="AK10891">
        <v>153.93</v>
      </c>
      <c r="AN10891" t="s">
        <v>7439</v>
      </c>
      <c r="AO10891">
        <v>39636</v>
      </c>
      <c r="AU10891">
        <v>0.5</v>
      </c>
      <c r="AV10891" t="s">
        <v>814</v>
      </c>
      <c r="AW10891" t="s">
        <v>336</v>
      </c>
      <c r="AX10891" t="s">
        <v>46897</v>
      </c>
    </row>
    <row r="10892" spans="1:50">
      <c r="A10892" s="1">
        <f>HYPERLINK("https://lsnyc.legalserver.org/matter/dynamic-profile/view/1901473","19-1901473")</f>
        <v>0</v>
      </c>
      <c r="B10892" t="s">
        <v>75</v>
      </c>
      <c r="C10892" t="s">
        <v>341</v>
      </c>
      <c r="D10892" t="s">
        <v>797</v>
      </c>
      <c r="E10892" t="s">
        <v>814</v>
      </c>
      <c r="F10892" t="s">
        <v>4106</v>
      </c>
      <c r="G10892" t="s">
        <v>5147</v>
      </c>
      <c r="H10892" t="s">
        <v>16944</v>
      </c>
      <c r="I10892" t="s">
        <v>17347</v>
      </c>
      <c r="J10892" t="s">
        <v>18892</v>
      </c>
      <c r="K10892">
        <v>10451</v>
      </c>
      <c r="L10892" t="s">
        <v>18960</v>
      </c>
      <c r="M10892" t="s">
        <v>18960</v>
      </c>
      <c r="P10892" t="s">
        <v>26564</v>
      </c>
      <c r="Q10892" t="s">
        <v>26570</v>
      </c>
      <c r="R10892" t="s">
        <v>26578</v>
      </c>
      <c r="S10892" t="s">
        <v>18959</v>
      </c>
      <c r="U10892" t="s">
        <v>26604</v>
      </c>
      <c r="X10892">
        <v>1464</v>
      </c>
      <c r="Y10892" t="s">
        <v>26650</v>
      </c>
      <c r="Z10892" t="s">
        <v>26663</v>
      </c>
      <c r="AA10892" t="s">
        <v>26683</v>
      </c>
      <c r="AB10892" t="s">
        <v>32158</v>
      </c>
      <c r="AE10892">
        <v>867</v>
      </c>
      <c r="AF10892" t="s">
        <v>20460</v>
      </c>
      <c r="AG10892" t="s">
        <v>19330</v>
      </c>
      <c r="AH10892">
        <v>18</v>
      </c>
      <c r="AI10892">
        <v>2</v>
      </c>
      <c r="AJ10892">
        <v>0</v>
      </c>
      <c r="AK10892">
        <v>205.26</v>
      </c>
      <c r="AN10892" t="s">
        <v>7439</v>
      </c>
      <c r="AO10892">
        <v>34710</v>
      </c>
      <c r="AU10892">
        <v>1.2</v>
      </c>
      <c r="AV10892" t="s">
        <v>827</v>
      </c>
      <c r="AW10892" t="s">
        <v>336</v>
      </c>
      <c r="AX10892" t="s">
        <v>46897</v>
      </c>
    </row>
    <row r="10893" spans="1:50">
      <c r="A10893" s="1">
        <f>HYPERLINK("https://lsnyc.legalserver.org/matter/dynamic-profile/view/1901160","19-1901160")</f>
        <v>0</v>
      </c>
      <c r="B10893" t="s">
        <v>256</v>
      </c>
      <c r="C10893" t="s">
        <v>341</v>
      </c>
      <c r="D10893" t="s">
        <v>797</v>
      </c>
      <c r="E10893" t="s">
        <v>720</v>
      </c>
      <c r="F10893" t="s">
        <v>4928</v>
      </c>
      <c r="G10893" t="s">
        <v>7516</v>
      </c>
      <c r="H10893" t="s">
        <v>16945</v>
      </c>
      <c r="I10893" t="s">
        <v>17272</v>
      </c>
      <c r="J10893" t="s">
        <v>18894</v>
      </c>
      <c r="K10893">
        <v>11206</v>
      </c>
      <c r="L10893" t="s">
        <v>18960</v>
      </c>
      <c r="M10893" t="s">
        <v>18960</v>
      </c>
      <c r="N10893" t="s">
        <v>26224</v>
      </c>
      <c r="Q10893" t="s">
        <v>26571</v>
      </c>
      <c r="R10893" t="s">
        <v>26591</v>
      </c>
      <c r="U10893" t="s">
        <v>26604</v>
      </c>
      <c r="X10893">
        <v>650</v>
      </c>
      <c r="Y10893" t="s">
        <v>26652</v>
      </c>
      <c r="AA10893" t="s">
        <v>26681</v>
      </c>
      <c r="AB10893" t="s">
        <v>31394</v>
      </c>
      <c r="AD10893" t="s">
        <v>45150</v>
      </c>
      <c r="AE10893">
        <v>0</v>
      </c>
      <c r="AH10893">
        <v>6</v>
      </c>
      <c r="AI10893">
        <v>1</v>
      </c>
      <c r="AJ10893">
        <v>0</v>
      </c>
      <c r="AK10893">
        <v>145.72</v>
      </c>
      <c r="AN10893" t="s">
        <v>45581</v>
      </c>
      <c r="AO10893">
        <v>18200</v>
      </c>
      <c r="AU10893">
        <v>1</v>
      </c>
      <c r="AV10893" t="s">
        <v>797</v>
      </c>
      <c r="AW10893" t="s">
        <v>46857</v>
      </c>
    </row>
    <row r="10894" spans="1:50">
      <c r="A10894" s="1">
        <f>HYPERLINK("https://lsnyc.legalserver.org/matter/dynamic-profile/view/1901109","19-1901109")</f>
        <v>0</v>
      </c>
      <c r="B10894" t="s">
        <v>279</v>
      </c>
      <c r="C10894" t="s">
        <v>341</v>
      </c>
      <c r="D10894" t="s">
        <v>797</v>
      </c>
      <c r="E10894" t="s">
        <v>828</v>
      </c>
      <c r="F10894" t="s">
        <v>1079</v>
      </c>
      <c r="G10894" t="s">
        <v>9475</v>
      </c>
      <c r="H10894" t="s">
        <v>16946</v>
      </c>
      <c r="I10894" t="s">
        <v>17331</v>
      </c>
      <c r="J10894" t="s">
        <v>18894</v>
      </c>
      <c r="K10894">
        <v>11207</v>
      </c>
      <c r="L10894" t="s">
        <v>18958</v>
      </c>
      <c r="M10894" t="s">
        <v>18960</v>
      </c>
      <c r="O10894" t="s">
        <v>18997</v>
      </c>
      <c r="P10894" t="s">
        <v>26564</v>
      </c>
      <c r="Q10894" t="s">
        <v>26570</v>
      </c>
      <c r="R10894" t="s">
        <v>26578</v>
      </c>
      <c r="S10894" t="s">
        <v>18959</v>
      </c>
      <c r="U10894" t="s">
        <v>26604</v>
      </c>
      <c r="V10894" t="s">
        <v>26610</v>
      </c>
      <c r="X10894">
        <v>850</v>
      </c>
      <c r="Y10894" t="s">
        <v>26652</v>
      </c>
      <c r="AA10894" t="s">
        <v>26683</v>
      </c>
      <c r="AB10894" t="s">
        <v>34185</v>
      </c>
      <c r="AE10894">
        <v>8</v>
      </c>
      <c r="AF10894" t="s">
        <v>45541</v>
      </c>
      <c r="AG10894" t="s">
        <v>19330</v>
      </c>
      <c r="AH10894">
        <v>1</v>
      </c>
      <c r="AI10894">
        <v>1</v>
      </c>
      <c r="AJ10894">
        <v>0</v>
      </c>
      <c r="AK10894">
        <v>240.19</v>
      </c>
      <c r="AN10894" t="s">
        <v>7439</v>
      </c>
      <c r="AO10894">
        <v>30000</v>
      </c>
      <c r="AP10894" t="s">
        <v>46331</v>
      </c>
      <c r="AU10894">
        <v>0.9</v>
      </c>
      <c r="AV10894" t="s">
        <v>828</v>
      </c>
      <c r="AW10894" t="s">
        <v>46829</v>
      </c>
      <c r="AX10894" t="s">
        <v>46897</v>
      </c>
    </row>
    <row r="10895" spans="1:50">
      <c r="A10895" s="1">
        <f>HYPERLINK("https://lsnyc.legalserver.org/matter/dynamic-profile/view/1901073","19-1901073")</f>
        <v>0</v>
      </c>
      <c r="B10895" t="s">
        <v>245</v>
      </c>
      <c r="C10895" t="s">
        <v>340</v>
      </c>
      <c r="D10895" t="s">
        <v>797</v>
      </c>
      <c r="F10895" t="s">
        <v>2159</v>
      </c>
      <c r="G10895" t="s">
        <v>3604</v>
      </c>
      <c r="H10895" t="s">
        <v>11550</v>
      </c>
      <c r="I10895" t="s">
        <v>17390</v>
      </c>
      <c r="J10895" t="s">
        <v>18892</v>
      </c>
      <c r="K10895">
        <v>10453</v>
      </c>
      <c r="L10895" t="s">
        <v>18958</v>
      </c>
      <c r="M10895" t="s">
        <v>18960</v>
      </c>
      <c r="N10895" t="s">
        <v>26225</v>
      </c>
      <c r="O10895" t="s">
        <v>26523</v>
      </c>
      <c r="R10895" t="s">
        <v>26577</v>
      </c>
      <c r="S10895" t="s">
        <v>18959</v>
      </c>
      <c r="U10895" t="s">
        <v>26604</v>
      </c>
      <c r="V10895" t="s">
        <v>26614</v>
      </c>
      <c r="X10895">
        <v>1515.45</v>
      </c>
      <c r="Y10895" t="s">
        <v>26650</v>
      </c>
      <c r="AB10895" t="s">
        <v>34186</v>
      </c>
      <c r="AD10895" t="s">
        <v>45151</v>
      </c>
      <c r="AE10895">
        <v>0</v>
      </c>
      <c r="AF10895" t="s">
        <v>45541</v>
      </c>
      <c r="AG10895" t="s">
        <v>45557</v>
      </c>
      <c r="AH10895">
        <v>3</v>
      </c>
      <c r="AI10895">
        <v>1</v>
      </c>
      <c r="AJ10895">
        <v>2</v>
      </c>
      <c r="AK10895">
        <v>123.77</v>
      </c>
      <c r="AN10895" t="s">
        <v>7439</v>
      </c>
      <c r="AO10895">
        <v>26400</v>
      </c>
      <c r="AU10895">
        <v>0.5</v>
      </c>
      <c r="AV10895" t="s">
        <v>827</v>
      </c>
      <c r="AW10895" t="s">
        <v>335</v>
      </c>
      <c r="AX10895" t="s">
        <v>46897</v>
      </c>
    </row>
    <row r="10896" spans="1:50">
      <c r="A10896" s="1">
        <f>HYPERLINK("https://lsnyc.legalserver.org/matter/dynamic-profile/view/1901118","19-1901118")</f>
        <v>0</v>
      </c>
      <c r="B10896" t="s">
        <v>107</v>
      </c>
      <c r="C10896" t="s">
        <v>340</v>
      </c>
      <c r="D10896" t="s">
        <v>797</v>
      </c>
      <c r="F10896" t="s">
        <v>887</v>
      </c>
      <c r="G10896" t="s">
        <v>9476</v>
      </c>
      <c r="H10896" t="s">
        <v>16947</v>
      </c>
      <c r="I10896" t="s">
        <v>17464</v>
      </c>
      <c r="J10896" t="s">
        <v>18914</v>
      </c>
      <c r="K10896">
        <v>11104</v>
      </c>
      <c r="L10896" t="s">
        <v>18958</v>
      </c>
      <c r="M10896" t="s">
        <v>18960</v>
      </c>
      <c r="N10896" t="s">
        <v>26226</v>
      </c>
      <c r="O10896" t="s">
        <v>26523</v>
      </c>
      <c r="P10896" t="s">
        <v>26560</v>
      </c>
      <c r="R10896" t="s">
        <v>26584</v>
      </c>
      <c r="S10896" t="s">
        <v>18959</v>
      </c>
      <c r="U10896" t="s">
        <v>26604</v>
      </c>
      <c r="X10896">
        <v>1156</v>
      </c>
      <c r="Y10896" t="s">
        <v>26653</v>
      </c>
      <c r="Z10896" t="s">
        <v>26664</v>
      </c>
      <c r="AB10896" t="s">
        <v>34187</v>
      </c>
      <c r="AE10896">
        <v>54</v>
      </c>
      <c r="AF10896" t="s">
        <v>20460</v>
      </c>
      <c r="AG10896" t="s">
        <v>19330</v>
      </c>
      <c r="AH10896">
        <v>26</v>
      </c>
      <c r="AI10896">
        <v>2</v>
      </c>
      <c r="AJ10896">
        <v>0</v>
      </c>
      <c r="AK10896">
        <v>68.13</v>
      </c>
      <c r="AN10896" t="s">
        <v>7439</v>
      </c>
      <c r="AO10896">
        <v>11520</v>
      </c>
      <c r="AU10896">
        <v>8.199999999999999</v>
      </c>
      <c r="AV10896" t="s">
        <v>833</v>
      </c>
      <c r="AW10896" t="s">
        <v>46846</v>
      </c>
      <c r="AX10896" t="s">
        <v>46897</v>
      </c>
    </row>
    <row r="10897" spans="1:50">
      <c r="A10897" s="1">
        <f>HYPERLINK("https://lsnyc.legalserver.org/matter/dynamic-profile/view/1901130","19-1901130")</f>
        <v>0</v>
      </c>
      <c r="B10897" t="s">
        <v>96</v>
      </c>
      <c r="C10897" t="s">
        <v>340</v>
      </c>
      <c r="D10897" t="s">
        <v>797</v>
      </c>
      <c r="F10897" t="s">
        <v>1442</v>
      </c>
      <c r="G10897" t="s">
        <v>2749</v>
      </c>
      <c r="H10897" t="s">
        <v>16474</v>
      </c>
      <c r="I10897" t="s">
        <v>18748</v>
      </c>
      <c r="J10897" t="s">
        <v>18892</v>
      </c>
      <c r="K10897">
        <v>10453</v>
      </c>
      <c r="L10897" t="s">
        <v>18958</v>
      </c>
      <c r="M10897" t="s">
        <v>18960</v>
      </c>
      <c r="N10897" t="s">
        <v>26227</v>
      </c>
      <c r="O10897" t="s">
        <v>26523</v>
      </c>
      <c r="R10897" t="s">
        <v>26577</v>
      </c>
      <c r="U10897" t="s">
        <v>26604</v>
      </c>
      <c r="X10897">
        <v>818</v>
      </c>
      <c r="Y10897" t="s">
        <v>26650</v>
      </c>
      <c r="AB10897" t="s">
        <v>33776</v>
      </c>
      <c r="AD10897" t="s">
        <v>44606</v>
      </c>
      <c r="AE10897">
        <v>0</v>
      </c>
      <c r="AH10897">
        <v>0</v>
      </c>
      <c r="AI10897">
        <v>2</v>
      </c>
      <c r="AJ10897">
        <v>0</v>
      </c>
      <c r="AK10897">
        <v>78.06</v>
      </c>
      <c r="AN10897" t="s">
        <v>45581</v>
      </c>
      <c r="AO10897">
        <v>13200</v>
      </c>
      <c r="AU10897">
        <v>2.5</v>
      </c>
      <c r="AV10897" t="s">
        <v>826</v>
      </c>
      <c r="AW10897" t="s">
        <v>335</v>
      </c>
      <c r="AX10897" t="s">
        <v>46897</v>
      </c>
    </row>
    <row r="10898" spans="1:50">
      <c r="A10898" s="1">
        <f>HYPERLINK("https://lsnyc.legalserver.org/matter/dynamic-profile/view/1901074","19-1901074")</f>
        <v>0</v>
      </c>
      <c r="B10898" t="s">
        <v>133</v>
      </c>
      <c r="C10898" t="s">
        <v>340</v>
      </c>
      <c r="D10898" t="s">
        <v>797</v>
      </c>
      <c r="F10898" t="s">
        <v>3106</v>
      </c>
      <c r="G10898" t="s">
        <v>9477</v>
      </c>
      <c r="H10898" t="s">
        <v>16948</v>
      </c>
      <c r="I10898" t="s">
        <v>17316</v>
      </c>
      <c r="J10898" t="s">
        <v>18892</v>
      </c>
      <c r="K10898">
        <v>10457</v>
      </c>
      <c r="L10898" t="s">
        <v>18958</v>
      </c>
      <c r="M10898" t="s">
        <v>18960</v>
      </c>
      <c r="N10898" t="s">
        <v>26228</v>
      </c>
      <c r="O10898" t="s">
        <v>26523</v>
      </c>
      <c r="R10898" t="s">
        <v>26579</v>
      </c>
      <c r="S10898" t="s">
        <v>18959</v>
      </c>
      <c r="U10898" t="s">
        <v>26604</v>
      </c>
      <c r="X10898">
        <v>1715</v>
      </c>
      <c r="Y10898" t="s">
        <v>26650</v>
      </c>
      <c r="Z10898" t="s">
        <v>26664</v>
      </c>
      <c r="AB10898" t="s">
        <v>34188</v>
      </c>
      <c r="AD10898" t="s">
        <v>45152</v>
      </c>
      <c r="AE10898">
        <v>0</v>
      </c>
      <c r="AG10898" t="s">
        <v>45556</v>
      </c>
      <c r="AH10898">
        <v>-1</v>
      </c>
      <c r="AI10898">
        <v>2</v>
      </c>
      <c r="AJ10898">
        <v>4</v>
      </c>
      <c r="AK10898">
        <v>27.75</v>
      </c>
      <c r="AN10898" t="s">
        <v>7439</v>
      </c>
      <c r="AO10898">
        <v>9600</v>
      </c>
      <c r="AU10898">
        <v>0.5</v>
      </c>
      <c r="AV10898" t="s">
        <v>797</v>
      </c>
      <c r="AW10898" t="s">
        <v>46870</v>
      </c>
      <c r="AX10898" t="s">
        <v>46897</v>
      </c>
    </row>
    <row r="10899" spans="1:50">
      <c r="A10899" s="1">
        <f>HYPERLINK("https://lsnyc.legalserver.org/matter/dynamic-profile/view/1901107","19-1901107")</f>
        <v>0</v>
      </c>
      <c r="B10899" t="s">
        <v>149</v>
      </c>
      <c r="C10899" t="s">
        <v>340</v>
      </c>
      <c r="D10899" t="s">
        <v>797</v>
      </c>
      <c r="F10899" t="s">
        <v>952</v>
      </c>
      <c r="G10899" t="s">
        <v>8372</v>
      </c>
      <c r="H10899" t="s">
        <v>14847</v>
      </c>
      <c r="I10899" t="s">
        <v>17643</v>
      </c>
      <c r="J10899" t="s">
        <v>18892</v>
      </c>
      <c r="K10899">
        <v>10452</v>
      </c>
      <c r="L10899" t="s">
        <v>18960</v>
      </c>
      <c r="M10899" t="s">
        <v>18960</v>
      </c>
      <c r="N10899" t="s">
        <v>26229</v>
      </c>
      <c r="O10899" t="s">
        <v>26524</v>
      </c>
      <c r="P10899" t="s">
        <v>26560</v>
      </c>
      <c r="R10899" t="s">
        <v>26578</v>
      </c>
      <c r="S10899" t="s">
        <v>18959</v>
      </c>
      <c r="U10899" t="s">
        <v>26604</v>
      </c>
      <c r="V10899" t="s">
        <v>26610</v>
      </c>
      <c r="X10899">
        <v>278</v>
      </c>
      <c r="Y10899" t="s">
        <v>26650</v>
      </c>
      <c r="Z10899" t="s">
        <v>26659</v>
      </c>
      <c r="AB10899" t="s">
        <v>33013</v>
      </c>
      <c r="AD10899" t="s">
        <v>45153</v>
      </c>
      <c r="AE10899">
        <v>42</v>
      </c>
      <c r="AF10899" t="s">
        <v>45541</v>
      </c>
      <c r="AG10899" t="s">
        <v>19330</v>
      </c>
      <c r="AH10899">
        <v>15</v>
      </c>
      <c r="AI10899">
        <v>1</v>
      </c>
      <c r="AJ10899">
        <v>0</v>
      </c>
      <c r="AK10899">
        <v>240.38</v>
      </c>
      <c r="AN10899" t="s">
        <v>7439</v>
      </c>
      <c r="AO10899">
        <v>30024</v>
      </c>
      <c r="AU10899">
        <v>15.7</v>
      </c>
      <c r="AV10899" t="s">
        <v>836</v>
      </c>
      <c r="AW10899" t="s">
        <v>336</v>
      </c>
    </row>
    <row r="10900" spans="1:50">
      <c r="A10900" s="1">
        <f>HYPERLINK("https://lsnyc.legalserver.org/matter/dynamic-profile/view/1901135","19-1901135")</f>
        <v>0</v>
      </c>
      <c r="B10900" t="s">
        <v>97</v>
      </c>
      <c r="C10900" t="s">
        <v>340</v>
      </c>
      <c r="D10900" t="s">
        <v>797</v>
      </c>
      <c r="F10900" t="s">
        <v>4929</v>
      </c>
      <c r="G10900" t="s">
        <v>5608</v>
      </c>
      <c r="H10900" t="s">
        <v>16949</v>
      </c>
      <c r="I10900" t="s">
        <v>17284</v>
      </c>
      <c r="J10900" t="s">
        <v>18892</v>
      </c>
      <c r="K10900">
        <v>10468</v>
      </c>
      <c r="L10900" t="s">
        <v>18960</v>
      </c>
      <c r="M10900" t="s">
        <v>18960</v>
      </c>
      <c r="N10900" t="s">
        <v>26230</v>
      </c>
      <c r="P10900" t="s">
        <v>26560</v>
      </c>
      <c r="R10900" t="s">
        <v>26577</v>
      </c>
      <c r="U10900" t="s">
        <v>26604</v>
      </c>
      <c r="X10900">
        <v>1750</v>
      </c>
      <c r="Y10900" t="s">
        <v>26650</v>
      </c>
      <c r="Z10900" t="s">
        <v>26668</v>
      </c>
      <c r="AB10900" t="s">
        <v>28327</v>
      </c>
      <c r="AD10900" t="s">
        <v>45154</v>
      </c>
      <c r="AE10900">
        <v>0</v>
      </c>
      <c r="AG10900" t="s">
        <v>45556</v>
      </c>
      <c r="AH10900">
        <v>2</v>
      </c>
      <c r="AI10900">
        <v>2</v>
      </c>
      <c r="AJ10900">
        <v>2</v>
      </c>
      <c r="AK10900">
        <v>89.31999999999999</v>
      </c>
      <c r="AN10900" t="s">
        <v>7439</v>
      </c>
      <c r="AO10900">
        <v>23000</v>
      </c>
      <c r="AU10900">
        <v>2.65</v>
      </c>
      <c r="AV10900" t="s">
        <v>821</v>
      </c>
      <c r="AW10900" t="s">
        <v>46836</v>
      </c>
    </row>
    <row r="10901" spans="1:50">
      <c r="A10901" s="1">
        <f>HYPERLINK("https://lsnyc.legalserver.org/matter/dynamic-profile/view/1901106","19-1901106")</f>
        <v>0</v>
      </c>
      <c r="B10901" t="s">
        <v>251</v>
      </c>
      <c r="C10901" t="s">
        <v>340</v>
      </c>
      <c r="D10901" t="s">
        <v>797</v>
      </c>
      <c r="F10901" t="s">
        <v>4668</v>
      </c>
      <c r="G10901" t="s">
        <v>1058</v>
      </c>
      <c r="H10901" t="s">
        <v>13856</v>
      </c>
      <c r="I10901" t="s">
        <v>17471</v>
      </c>
      <c r="J10901" t="s">
        <v>18892</v>
      </c>
      <c r="K10901">
        <v>10467</v>
      </c>
      <c r="L10901" t="s">
        <v>18960</v>
      </c>
      <c r="M10901" t="s">
        <v>18960</v>
      </c>
      <c r="N10901" t="s">
        <v>26231</v>
      </c>
      <c r="O10901" t="s">
        <v>26523</v>
      </c>
      <c r="P10901" t="s">
        <v>26560</v>
      </c>
      <c r="R10901" t="s">
        <v>26577</v>
      </c>
      <c r="U10901" t="s">
        <v>26604</v>
      </c>
      <c r="V10901" t="s">
        <v>26610</v>
      </c>
      <c r="X10901">
        <v>1278.15</v>
      </c>
      <c r="Y10901" t="s">
        <v>26650</v>
      </c>
      <c r="Z10901" t="s">
        <v>26668</v>
      </c>
      <c r="AB10901" t="s">
        <v>34189</v>
      </c>
      <c r="AD10901" t="s">
        <v>45155</v>
      </c>
      <c r="AE10901">
        <v>0</v>
      </c>
      <c r="AH10901">
        <v>9</v>
      </c>
      <c r="AI10901">
        <v>1</v>
      </c>
      <c r="AJ10901">
        <v>2</v>
      </c>
      <c r="AK10901">
        <v>127.52</v>
      </c>
      <c r="AN10901" t="s">
        <v>7439</v>
      </c>
      <c r="AO10901">
        <v>27200</v>
      </c>
      <c r="AU10901">
        <v>0.75</v>
      </c>
      <c r="AV10901" t="s">
        <v>836</v>
      </c>
      <c r="AW10901" t="s">
        <v>46836</v>
      </c>
    </row>
    <row r="10902" spans="1:50">
      <c r="A10902" s="1">
        <f>HYPERLINK("https://lsnyc.legalserver.org/matter/dynamic-profile/view/1901139","19-1901139")</f>
        <v>0</v>
      </c>
      <c r="B10902" t="s">
        <v>294</v>
      </c>
      <c r="C10902" t="s">
        <v>340</v>
      </c>
      <c r="D10902" t="s">
        <v>797</v>
      </c>
      <c r="F10902" t="s">
        <v>4930</v>
      </c>
      <c r="G10902" t="s">
        <v>1901</v>
      </c>
      <c r="H10902" t="s">
        <v>16950</v>
      </c>
      <c r="I10902" t="s">
        <v>17325</v>
      </c>
      <c r="J10902" t="s">
        <v>18900</v>
      </c>
      <c r="K10902">
        <v>11354</v>
      </c>
      <c r="L10902" t="s">
        <v>18960</v>
      </c>
      <c r="M10902" t="s">
        <v>18960</v>
      </c>
      <c r="N10902" t="s">
        <v>19840</v>
      </c>
      <c r="O10902" t="s">
        <v>26526</v>
      </c>
      <c r="P10902" t="s">
        <v>26560</v>
      </c>
      <c r="R10902" t="s">
        <v>26578</v>
      </c>
      <c r="U10902" t="s">
        <v>26604</v>
      </c>
      <c r="V10902" t="s">
        <v>26610</v>
      </c>
      <c r="X10902">
        <v>1664.64</v>
      </c>
      <c r="Y10902" t="s">
        <v>26653</v>
      </c>
      <c r="Z10902" t="s">
        <v>26663</v>
      </c>
      <c r="AB10902" t="s">
        <v>28456</v>
      </c>
      <c r="AC10902" t="s">
        <v>35263</v>
      </c>
      <c r="AD10902" t="s">
        <v>45156</v>
      </c>
      <c r="AE10902">
        <v>72</v>
      </c>
      <c r="AG10902" t="s">
        <v>19330</v>
      </c>
      <c r="AH10902">
        <v>11</v>
      </c>
      <c r="AI10902">
        <v>3</v>
      </c>
      <c r="AJ10902">
        <v>0</v>
      </c>
      <c r="AK10902">
        <v>131.27</v>
      </c>
      <c r="AN10902" t="s">
        <v>45583</v>
      </c>
      <c r="AO10902">
        <v>28000</v>
      </c>
      <c r="AU10902">
        <v>3.35</v>
      </c>
      <c r="AV10902" t="s">
        <v>834</v>
      </c>
      <c r="AW10902" t="s">
        <v>214</v>
      </c>
    </row>
    <row r="10903" spans="1:50">
      <c r="A10903" s="1">
        <f>HYPERLINK("https://lsnyc.legalserver.org/matter/dynamic-profile/view/1901093","19-1901093")</f>
        <v>0</v>
      </c>
      <c r="B10903" t="s">
        <v>56</v>
      </c>
      <c r="C10903" t="s">
        <v>340</v>
      </c>
      <c r="D10903" t="s">
        <v>797</v>
      </c>
      <c r="F10903" t="s">
        <v>1253</v>
      </c>
      <c r="G10903" t="s">
        <v>989</v>
      </c>
      <c r="H10903" t="s">
        <v>16951</v>
      </c>
      <c r="I10903" t="s">
        <v>17509</v>
      </c>
      <c r="J10903" t="s">
        <v>18892</v>
      </c>
      <c r="K10903">
        <v>10467</v>
      </c>
      <c r="L10903" t="s">
        <v>18960</v>
      </c>
      <c r="M10903" t="s">
        <v>18960</v>
      </c>
      <c r="O10903" t="s">
        <v>26523</v>
      </c>
      <c r="P10903" t="s">
        <v>26563</v>
      </c>
      <c r="R10903" t="s">
        <v>26579</v>
      </c>
      <c r="S10903" t="s">
        <v>18959</v>
      </c>
      <c r="U10903" t="s">
        <v>26604</v>
      </c>
      <c r="X10903">
        <v>1010</v>
      </c>
      <c r="Y10903" t="s">
        <v>26650</v>
      </c>
      <c r="Z10903" t="s">
        <v>26657</v>
      </c>
      <c r="AB10903" t="s">
        <v>34190</v>
      </c>
      <c r="AD10903" t="s">
        <v>45157</v>
      </c>
      <c r="AE10903">
        <v>8</v>
      </c>
      <c r="AF10903" t="s">
        <v>20460</v>
      </c>
      <c r="AG10903" t="s">
        <v>19330</v>
      </c>
      <c r="AH10903">
        <v>9</v>
      </c>
      <c r="AI10903">
        <v>1</v>
      </c>
      <c r="AJ10903">
        <v>0</v>
      </c>
      <c r="AK10903">
        <v>163.33</v>
      </c>
      <c r="AN10903" t="s">
        <v>7439</v>
      </c>
      <c r="AO10903">
        <v>20400</v>
      </c>
      <c r="AU10903">
        <v>6.46</v>
      </c>
      <c r="AV10903" t="s">
        <v>839</v>
      </c>
      <c r="AW10903" t="s">
        <v>46860</v>
      </c>
    </row>
    <row r="10904" spans="1:50">
      <c r="A10904" s="1">
        <f>HYPERLINK("https://lsnyc.legalserver.org/matter/dynamic-profile/view/1901159","19-1901159")</f>
        <v>0</v>
      </c>
      <c r="B10904" t="s">
        <v>68</v>
      </c>
      <c r="C10904" t="s">
        <v>340</v>
      </c>
      <c r="D10904" t="s">
        <v>797</v>
      </c>
      <c r="F10904" t="s">
        <v>1119</v>
      </c>
      <c r="G10904" t="s">
        <v>4381</v>
      </c>
      <c r="H10904" t="s">
        <v>16952</v>
      </c>
      <c r="I10904">
        <v>1206</v>
      </c>
      <c r="J10904" t="s">
        <v>18892</v>
      </c>
      <c r="K10904">
        <v>10456</v>
      </c>
      <c r="L10904" t="s">
        <v>18958</v>
      </c>
      <c r="M10904" t="s">
        <v>18960</v>
      </c>
      <c r="N10904" t="s">
        <v>26232</v>
      </c>
      <c r="O10904" t="s">
        <v>26524</v>
      </c>
      <c r="P10904" t="s">
        <v>26564</v>
      </c>
      <c r="R10904" t="s">
        <v>26577</v>
      </c>
      <c r="S10904" t="s">
        <v>18959</v>
      </c>
      <c r="U10904" t="s">
        <v>26604</v>
      </c>
      <c r="X10904">
        <v>1682</v>
      </c>
      <c r="Y10904" t="s">
        <v>26650</v>
      </c>
      <c r="AB10904" t="s">
        <v>34191</v>
      </c>
      <c r="AE10904">
        <v>120</v>
      </c>
      <c r="AF10904" t="s">
        <v>45543</v>
      </c>
      <c r="AG10904" t="s">
        <v>45556</v>
      </c>
      <c r="AH10904">
        <v>1</v>
      </c>
      <c r="AI10904">
        <v>1</v>
      </c>
      <c r="AJ10904">
        <v>0</v>
      </c>
      <c r="AK10904">
        <v>74.75</v>
      </c>
      <c r="AN10904" t="s">
        <v>7439</v>
      </c>
      <c r="AO10904">
        <v>9336</v>
      </c>
      <c r="AP10904" t="s">
        <v>46332</v>
      </c>
      <c r="AU10904">
        <v>0.9</v>
      </c>
      <c r="AV10904" t="s">
        <v>821</v>
      </c>
      <c r="AW10904" t="s">
        <v>46870</v>
      </c>
      <c r="AX10904" t="s">
        <v>46897</v>
      </c>
    </row>
    <row r="10905" spans="1:50">
      <c r="A10905" s="1">
        <f>HYPERLINK("https://lsnyc.legalserver.org/matter/dynamic-profile/view/1901125","19-1901125")</f>
        <v>0</v>
      </c>
      <c r="B10905" t="s">
        <v>159</v>
      </c>
      <c r="C10905" t="s">
        <v>340</v>
      </c>
      <c r="D10905" t="s">
        <v>797</v>
      </c>
      <c r="F10905" t="s">
        <v>4931</v>
      </c>
      <c r="G10905" t="s">
        <v>9478</v>
      </c>
      <c r="H10905" t="s">
        <v>16953</v>
      </c>
      <c r="I10905" t="s">
        <v>18836</v>
      </c>
      <c r="J10905" t="s">
        <v>18933</v>
      </c>
      <c r="K10905">
        <v>11422</v>
      </c>
      <c r="L10905" t="s">
        <v>18958</v>
      </c>
      <c r="M10905" t="s">
        <v>18960</v>
      </c>
      <c r="N10905" t="s">
        <v>26233</v>
      </c>
      <c r="O10905" t="s">
        <v>26524</v>
      </c>
      <c r="P10905" t="s">
        <v>26563</v>
      </c>
      <c r="R10905" t="s">
        <v>26584</v>
      </c>
      <c r="S10905" t="s">
        <v>18959</v>
      </c>
      <c r="U10905" t="s">
        <v>26604</v>
      </c>
      <c r="X10905">
        <v>0</v>
      </c>
      <c r="Y10905" t="s">
        <v>26653</v>
      </c>
      <c r="Z10905" t="s">
        <v>26664</v>
      </c>
      <c r="AB10905" t="s">
        <v>34192</v>
      </c>
      <c r="AD10905" t="s">
        <v>45158</v>
      </c>
      <c r="AE10905">
        <v>2</v>
      </c>
      <c r="AG10905" t="s">
        <v>19330</v>
      </c>
      <c r="AH10905">
        <v>3</v>
      </c>
      <c r="AI10905">
        <v>1</v>
      </c>
      <c r="AJ10905">
        <v>1</v>
      </c>
      <c r="AK10905">
        <v>0</v>
      </c>
      <c r="AN10905" t="s">
        <v>7439</v>
      </c>
      <c r="AO10905">
        <v>0</v>
      </c>
      <c r="AU10905">
        <v>5.7</v>
      </c>
      <c r="AV10905" t="s">
        <v>838</v>
      </c>
      <c r="AW10905" t="s">
        <v>46846</v>
      </c>
      <c r="AX10905" t="s">
        <v>46897</v>
      </c>
    </row>
    <row r="10906" spans="1:50">
      <c r="A10906" s="1">
        <f>HYPERLINK("https://lsnyc.legalserver.org/matter/dynamic-profile/view/1901177","19-1901177")</f>
        <v>0</v>
      </c>
      <c r="B10906" t="s">
        <v>182</v>
      </c>
      <c r="C10906" t="s">
        <v>340</v>
      </c>
      <c r="D10906" t="s">
        <v>797</v>
      </c>
      <c r="F10906" t="s">
        <v>1136</v>
      </c>
      <c r="G10906" t="s">
        <v>9479</v>
      </c>
      <c r="H10906" t="s">
        <v>15577</v>
      </c>
      <c r="I10906" t="s">
        <v>17637</v>
      </c>
      <c r="J10906" t="s">
        <v>18892</v>
      </c>
      <c r="K10906">
        <v>10462</v>
      </c>
      <c r="L10906" t="s">
        <v>18958</v>
      </c>
      <c r="M10906" t="s">
        <v>18960</v>
      </c>
      <c r="N10906" t="s">
        <v>26234</v>
      </c>
      <c r="O10906" t="s">
        <v>26523</v>
      </c>
      <c r="R10906" t="s">
        <v>26579</v>
      </c>
      <c r="S10906" t="s">
        <v>18959</v>
      </c>
      <c r="U10906" t="s">
        <v>26604</v>
      </c>
      <c r="X10906">
        <v>1118.55</v>
      </c>
      <c r="Y10906" t="s">
        <v>26650</v>
      </c>
      <c r="AB10906" t="s">
        <v>28520</v>
      </c>
      <c r="AC10906" t="s">
        <v>36757</v>
      </c>
      <c r="AD10906" t="s">
        <v>45159</v>
      </c>
      <c r="AE10906">
        <v>0</v>
      </c>
      <c r="AH10906">
        <v>16</v>
      </c>
      <c r="AI10906">
        <v>1</v>
      </c>
      <c r="AJ10906">
        <v>0</v>
      </c>
      <c r="AK10906">
        <v>87.43000000000001</v>
      </c>
      <c r="AN10906" t="s">
        <v>7439</v>
      </c>
      <c r="AO10906">
        <v>10920</v>
      </c>
      <c r="AU10906">
        <v>1</v>
      </c>
      <c r="AV10906" t="s">
        <v>814</v>
      </c>
      <c r="AW10906" t="s">
        <v>335</v>
      </c>
      <c r="AX10906" t="s">
        <v>46898</v>
      </c>
    </row>
    <row r="10907" spans="1:50">
      <c r="A10907" s="1">
        <f>HYPERLINK("https://lsnyc.legalserver.org/matter/dynamic-profile/view/1901176","19-1901176")</f>
        <v>0</v>
      </c>
      <c r="B10907" t="s">
        <v>249</v>
      </c>
      <c r="C10907" t="s">
        <v>340</v>
      </c>
      <c r="D10907" t="s">
        <v>797</v>
      </c>
      <c r="F10907" t="s">
        <v>1237</v>
      </c>
      <c r="G10907" t="s">
        <v>2749</v>
      </c>
      <c r="H10907" t="s">
        <v>16954</v>
      </c>
      <c r="I10907" t="s">
        <v>17272</v>
      </c>
      <c r="J10907" t="s">
        <v>18894</v>
      </c>
      <c r="K10907">
        <v>11233</v>
      </c>
      <c r="L10907" t="s">
        <v>18958</v>
      </c>
      <c r="M10907" t="s">
        <v>18960</v>
      </c>
      <c r="O10907" t="s">
        <v>18997</v>
      </c>
      <c r="R10907" t="s">
        <v>26578</v>
      </c>
      <c r="S10907" t="s">
        <v>18959</v>
      </c>
      <c r="U10907" t="s">
        <v>26604</v>
      </c>
      <c r="V10907" t="s">
        <v>26610</v>
      </c>
      <c r="X10907">
        <v>1546.83</v>
      </c>
      <c r="Y10907" t="s">
        <v>26652</v>
      </c>
      <c r="Z10907" t="s">
        <v>26661</v>
      </c>
      <c r="AB10907" t="s">
        <v>31323</v>
      </c>
      <c r="AD10907" t="s">
        <v>45160</v>
      </c>
      <c r="AE10907">
        <v>16</v>
      </c>
      <c r="AF10907" t="s">
        <v>45541</v>
      </c>
      <c r="AG10907" t="s">
        <v>45556</v>
      </c>
      <c r="AH10907">
        <v>9</v>
      </c>
      <c r="AI10907">
        <v>1</v>
      </c>
      <c r="AJ10907">
        <v>2</v>
      </c>
      <c r="AK10907">
        <v>57.33</v>
      </c>
      <c r="AN10907" t="s">
        <v>7439</v>
      </c>
      <c r="AO10907">
        <v>12228</v>
      </c>
      <c r="AU10907">
        <v>2.25</v>
      </c>
      <c r="AV10907" t="s">
        <v>829</v>
      </c>
      <c r="AW10907" t="s">
        <v>279</v>
      </c>
      <c r="AX10907" t="s">
        <v>46897</v>
      </c>
    </row>
    <row r="10908" spans="1:50">
      <c r="A10908" s="1">
        <f>HYPERLINK("https://lsnyc.legalserver.org/matter/dynamic-profile/view/1901137","19-1901137")</f>
        <v>0</v>
      </c>
      <c r="B10908" t="s">
        <v>91</v>
      </c>
      <c r="C10908" t="s">
        <v>340</v>
      </c>
      <c r="D10908" t="s">
        <v>797</v>
      </c>
      <c r="F10908" t="s">
        <v>1652</v>
      </c>
      <c r="G10908" t="s">
        <v>9480</v>
      </c>
      <c r="H10908" t="s">
        <v>16955</v>
      </c>
      <c r="I10908" t="s">
        <v>18837</v>
      </c>
      <c r="J10908" t="s">
        <v>18912</v>
      </c>
      <c r="K10908">
        <v>11374</v>
      </c>
      <c r="L10908" t="s">
        <v>18958</v>
      </c>
      <c r="M10908" t="s">
        <v>18960</v>
      </c>
      <c r="N10908" t="s">
        <v>26235</v>
      </c>
      <c r="O10908" t="s">
        <v>26524</v>
      </c>
      <c r="P10908" t="s">
        <v>26563</v>
      </c>
      <c r="R10908" t="s">
        <v>26584</v>
      </c>
      <c r="S10908" t="s">
        <v>18959</v>
      </c>
      <c r="U10908" t="s">
        <v>26604</v>
      </c>
      <c r="V10908" t="s">
        <v>26610</v>
      </c>
      <c r="X10908">
        <v>868</v>
      </c>
      <c r="Y10908" t="s">
        <v>26653</v>
      </c>
      <c r="AB10908" t="s">
        <v>26745</v>
      </c>
      <c r="AD10908" t="s">
        <v>45161</v>
      </c>
      <c r="AE10908">
        <v>50</v>
      </c>
      <c r="AF10908" t="s">
        <v>45541</v>
      </c>
      <c r="AG10908" t="s">
        <v>19330</v>
      </c>
      <c r="AH10908">
        <v>21</v>
      </c>
      <c r="AI10908">
        <v>1</v>
      </c>
      <c r="AJ10908">
        <v>0</v>
      </c>
      <c r="AK10908">
        <v>160.13</v>
      </c>
      <c r="AN10908" t="s">
        <v>7439</v>
      </c>
      <c r="AO10908">
        <v>20000</v>
      </c>
      <c r="AU10908">
        <v>0.9</v>
      </c>
      <c r="AV10908" t="s">
        <v>828</v>
      </c>
      <c r="AW10908" t="s">
        <v>91</v>
      </c>
      <c r="AX10908" t="s">
        <v>46897</v>
      </c>
    </row>
    <row r="10909" spans="1:50">
      <c r="A10909" s="1">
        <f>HYPERLINK("https://lsnyc.legalserver.org/matter/dynamic-profile/view/1901090","19-1901090")</f>
        <v>0</v>
      </c>
      <c r="B10909" t="s">
        <v>114</v>
      </c>
      <c r="C10909" t="s">
        <v>340</v>
      </c>
      <c r="D10909" t="s">
        <v>797</v>
      </c>
      <c r="F10909" t="s">
        <v>895</v>
      </c>
      <c r="G10909" t="s">
        <v>9481</v>
      </c>
      <c r="H10909" t="s">
        <v>9794</v>
      </c>
      <c r="I10909" t="s">
        <v>17516</v>
      </c>
      <c r="J10909" t="s">
        <v>7026</v>
      </c>
      <c r="K10909">
        <v>11368</v>
      </c>
      <c r="L10909" t="s">
        <v>18958</v>
      </c>
      <c r="M10909" t="s">
        <v>18960</v>
      </c>
      <c r="N10909" t="s">
        <v>26236</v>
      </c>
      <c r="O10909" t="s">
        <v>26523</v>
      </c>
      <c r="P10909" t="s">
        <v>26563</v>
      </c>
      <c r="R10909" t="s">
        <v>26584</v>
      </c>
      <c r="S10909" t="s">
        <v>18959</v>
      </c>
      <c r="U10909" t="s">
        <v>26604</v>
      </c>
      <c r="X10909">
        <v>2066.54</v>
      </c>
      <c r="Y10909" t="s">
        <v>26653</v>
      </c>
      <c r="Z10909" t="s">
        <v>26664</v>
      </c>
      <c r="AB10909" t="s">
        <v>27460</v>
      </c>
      <c r="AC10909" t="s">
        <v>36758</v>
      </c>
      <c r="AD10909" t="s">
        <v>45162</v>
      </c>
      <c r="AE10909">
        <v>348</v>
      </c>
      <c r="AF10909" t="s">
        <v>45547</v>
      </c>
      <c r="AG10909" t="s">
        <v>19330</v>
      </c>
      <c r="AH10909">
        <v>10</v>
      </c>
      <c r="AI10909">
        <v>1</v>
      </c>
      <c r="AJ10909">
        <v>2</v>
      </c>
      <c r="AK10909">
        <v>32.52</v>
      </c>
      <c r="AN10909" t="s">
        <v>7439</v>
      </c>
      <c r="AO10909">
        <v>6936</v>
      </c>
      <c r="AU10909">
        <v>1</v>
      </c>
      <c r="AV10909" t="s">
        <v>797</v>
      </c>
      <c r="AW10909" t="s">
        <v>46846</v>
      </c>
      <c r="AX10909" t="s">
        <v>46897</v>
      </c>
    </row>
    <row r="10910" spans="1:50">
      <c r="A10910" s="1">
        <f>HYPERLINK("https://lsnyc.legalserver.org/matter/dynamic-profile/view/1901103","19-1901103")</f>
        <v>0</v>
      </c>
      <c r="B10910" t="s">
        <v>114</v>
      </c>
      <c r="C10910" t="s">
        <v>340</v>
      </c>
      <c r="D10910" t="s">
        <v>797</v>
      </c>
      <c r="F10910" t="s">
        <v>1189</v>
      </c>
      <c r="G10910" t="s">
        <v>6311</v>
      </c>
      <c r="H10910" t="s">
        <v>16956</v>
      </c>
      <c r="J10910" t="s">
        <v>18930</v>
      </c>
      <c r="K10910">
        <v>11413</v>
      </c>
      <c r="L10910" t="s">
        <v>18958</v>
      </c>
      <c r="M10910" t="s">
        <v>18960</v>
      </c>
      <c r="N10910" t="s">
        <v>26237</v>
      </c>
      <c r="O10910" t="s">
        <v>26524</v>
      </c>
      <c r="P10910" t="s">
        <v>26563</v>
      </c>
      <c r="R10910" t="s">
        <v>26584</v>
      </c>
      <c r="S10910" t="s">
        <v>18959</v>
      </c>
      <c r="U10910" t="s">
        <v>26604</v>
      </c>
      <c r="X10910">
        <v>2000</v>
      </c>
      <c r="Y10910" t="s">
        <v>26653</v>
      </c>
      <c r="Z10910" t="s">
        <v>26664</v>
      </c>
      <c r="AB10910" t="s">
        <v>33386</v>
      </c>
      <c r="AD10910" t="s">
        <v>45163</v>
      </c>
      <c r="AE10910">
        <v>1</v>
      </c>
      <c r="AF10910" t="s">
        <v>45547</v>
      </c>
      <c r="AG10910" t="s">
        <v>45556</v>
      </c>
      <c r="AH10910">
        <v>10</v>
      </c>
      <c r="AI10910">
        <v>2</v>
      </c>
      <c r="AJ10910">
        <v>4</v>
      </c>
      <c r="AK10910">
        <v>183.17</v>
      </c>
      <c r="AN10910" t="s">
        <v>7439</v>
      </c>
      <c r="AO10910">
        <v>63360</v>
      </c>
      <c r="AU10910">
        <v>1</v>
      </c>
      <c r="AV10910" t="s">
        <v>797</v>
      </c>
      <c r="AW10910" t="s">
        <v>46846</v>
      </c>
      <c r="AX10910" t="s">
        <v>46897</v>
      </c>
    </row>
    <row r="10911" spans="1:50">
      <c r="A10911" s="1">
        <f>HYPERLINK("https://lsnyc.legalserver.org/matter/dynamic-profile/view/1901147","19-1901147")</f>
        <v>0</v>
      </c>
      <c r="B10911" t="s">
        <v>256</v>
      </c>
      <c r="C10911" t="s">
        <v>340</v>
      </c>
      <c r="D10911" t="s">
        <v>797</v>
      </c>
      <c r="F10911" t="s">
        <v>1555</v>
      </c>
      <c r="G10911" t="s">
        <v>3310</v>
      </c>
      <c r="H10911" t="s">
        <v>16957</v>
      </c>
      <c r="I10911" t="s">
        <v>17331</v>
      </c>
      <c r="J10911" t="s">
        <v>18894</v>
      </c>
      <c r="K10911">
        <v>11215</v>
      </c>
      <c r="L10911" t="s">
        <v>18960</v>
      </c>
      <c r="M10911" t="s">
        <v>18960</v>
      </c>
      <c r="R10911" t="s">
        <v>26591</v>
      </c>
      <c r="U10911" t="s">
        <v>26604</v>
      </c>
      <c r="X10911">
        <v>985</v>
      </c>
      <c r="Y10911" t="s">
        <v>26652</v>
      </c>
      <c r="Z10911" t="s">
        <v>26657</v>
      </c>
      <c r="AB10911" t="s">
        <v>34193</v>
      </c>
      <c r="AD10911" t="s">
        <v>45164</v>
      </c>
      <c r="AE10911">
        <v>8</v>
      </c>
      <c r="AF10911" t="s">
        <v>45541</v>
      </c>
      <c r="AG10911" t="s">
        <v>45559</v>
      </c>
      <c r="AH10911">
        <v>39</v>
      </c>
      <c r="AI10911">
        <v>1</v>
      </c>
      <c r="AJ10911">
        <v>0</v>
      </c>
      <c r="AK10911">
        <v>100.4</v>
      </c>
      <c r="AN10911" t="s">
        <v>7439</v>
      </c>
      <c r="AO10911">
        <v>12540</v>
      </c>
      <c r="AU10911">
        <v>1.3</v>
      </c>
      <c r="AV10911" t="s">
        <v>831</v>
      </c>
      <c r="AW10911" t="s">
        <v>46858</v>
      </c>
    </row>
    <row r="10912" spans="1:50">
      <c r="A10912" s="1">
        <f>HYPERLINK("https://lsnyc.legalserver.org/matter/dynamic-profile/view/1901166","19-1901166")</f>
        <v>0</v>
      </c>
      <c r="B10912" t="s">
        <v>256</v>
      </c>
      <c r="C10912" t="s">
        <v>340</v>
      </c>
      <c r="D10912" t="s">
        <v>797</v>
      </c>
      <c r="F10912" t="s">
        <v>4932</v>
      </c>
      <c r="G10912" t="s">
        <v>5761</v>
      </c>
      <c r="H10912" t="s">
        <v>16958</v>
      </c>
      <c r="I10912" t="s">
        <v>17430</v>
      </c>
      <c r="J10912" t="s">
        <v>18894</v>
      </c>
      <c r="K10912">
        <v>11203</v>
      </c>
      <c r="L10912" t="s">
        <v>18960</v>
      </c>
      <c r="M10912" t="s">
        <v>18960</v>
      </c>
      <c r="R10912" t="s">
        <v>26591</v>
      </c>
      <c r="U10912" t="s">
        <v>26604</v>
      </c>
      <c r="X10912">
        <v>800</v>
      </c>
      <c r="Y10912" t="s">
        <v>26652</v>
      </c>
      <c r="AB10912" t="s">
        <v>33757</v>
      </c>
      <c r="AD10912" t="s">
        <v>45165</v>
      </c>
      <c r="AE10912">
        <v>2</v>
      </c>
      <c r="AH10912">
        <v>11</v>
      </c>
      <c r="AI10912">
        <v>1</v>
      </c>
      <c r="AJ10912">
        <v>0</v>
      </c>
      <c r="AK10912">
        <v>192.15</v>
      </c>
      <c r="AN10912" t="s">
        <v>7439</v>
      </c>
      <c r="AO10912">
        <v>24000</v>
      </c>
      <c r="AU10912">
        <v>1</v>
      </c>
      <c r="AV10912" t="s">
        <v>797</v>
      </c>
      <c r="AW10912" t="s">
        <v>46857</v>
      </c>
    </row>
    <row r="10913" spans="1:50">
      <c r="A10913" s="1">
        <f>HYPERLINK("https://lsnyc.legalserver.org/matter/dynamic-profile/view/1901141","19-1901141")</f>
        <v>0</v>
      </c>
      <c r="B10913" t="s">
        <v>205</v>
      </c>
      <c r="C10913" t="s">
        <v>340</v>
      </c>
      <c r="D10913" t="s">
        <v>797</v>
      </c>
      <c r="F10913" t="s">
        <v>1018</v>
      </c>
      <c r="G10913" t="s">
        <v>5177</v>
      </c>
      <c r="H10913" t="s">
        <v>16959</v>
      </c>
      <c r="I10913" t="s">
        <v>17928</v>
      </c>
      <c r="J10913" t="s">
        <v>18894</v>
      </c>
      <c r="K10913">
        <v>11212</v>
      </c>
      <c r="L10913" t="s">
        <v>18960</v>
      </c>
      <c r="M10913" t="s">
        <v>18960</v>
      </c>
      <c r="O10913" t="s">
        <v>26523</v>
      </c>
      <c r="P10913" t="s">
        <v>26563</v>
      </c>
      <c r="R10913" t="s">
        <v>26578</v>
      </c>
      <c r="S10913" t="s">
        <v>18959</v>
      </c>
      <c r="U10913" t="s">
        <v>26604</v>
      </c>
      <c r="X10913">
        <v>247</v>
      </c>
      <c r="Y10913" t="s">
        <v>26652</v>
      </c>
      <c r="AB10913" t="s">
        <v>34194</v>
      </c>
      <c r="AE10913">
        <v>0</v>
      </c>
      <c r="AG10913" t="s">
        <v>45556</v>
      </c>
      <c r="AH10913">
        <v>0</v>
      </c>
      <c r="AI10913">
        <v>1</v>
      </c>
      <c r="AJ10913">
        <v>0</v>
      </c>
      <c r="AK10913">
        <v>76.86</v>
      </c>
      <c r="AN10913" t="s">
        <v>7439</v>
      </c>
      <c r="AO10913">
        <v>9600</v>
      </c>
      <c r="AU10913">
        <v>2.05</v>
      </c>
      <c r="AV10913" t="s">
        <v>829</v>
      </c>
      <c r="AW10913" t="s">
        <v>205</v>
      </c>
    </row>
    <row r="10914" spans="1:50">
      <c r="A10914" s="1">
        <f>HYPERLINK("https://lsnyc.legalserver.org/matter/dynamic-profile/view/1901207","19-1901207")</f>
        <v>0</v>
      </c>
      <c r="B10914" t="s">
        <v>325</v>
      </c>
      <c r="C10914" t="s">
        <v>341</v>
      </c>
      <c r="D10914" t="s">
        <v>827</v>
      </c>
      <c r="E10914" t="s">
        <v>836</v>
      </c>
      <c r="F10914" t="s">
        <v>4933</v>
      </c>
      <c r="G10914" t="s">
        <v>9482</v>
      </c>
      <c r="H10914" t="s">
        <v>16960</v>
      </c>
      <c r="I10914" t="s">
        <v>17435</v>
      </c>
      <c r="J10914" t="s">
        <v>18894</v>
      </c>
      <c r="K10914">
        <v>11218</v>
      </c>
      <c r="L10914" t="s">
        <v>18960</v>
      </c>
      <c r="M10914" t="s">
        <v>18960</v>
      </c>
      <c r="O10914" t="s">
        <v>18997</v>
      </c>
      <c r="P10914" t="s">
        <v>26563</v>
      </c>
      <c r="Q10914" t="s">
        <v>26573</v>
      </c>
      <c r="R10914" t="s">
        <v>26586</v>
      </c>
      <c r="S10914" t="s">
        <v>18959</v>
      </c>
      <c r="U10914" t="s">
        <v>26604</v>
      </c>
      <c r="X10914">
        <v>2330</v>
      </c>
      <c r="Y10914" t="s">
        <v>26652</v>
      </c>
      <c r="Z10914" t="s">
        <v>26663</v>
      </c>
      <c r="AA10914" t="s">
        <v>26678</v>
      </c>
      <c r="AB10914" t="s">
        <v>28532</v>
      </c>
      <c r="AD10914" t="s">
        <v>45166</v>
      </c>
      <c r="AE10914">
        <v>18</v>
      </c>
      <c r="AH10914">
        <v>9</v>
      </c>
      <c r="AI10914">
        <v>1</v>
      </c>
      <c r="AJ10914">
        <v>2</v>
      </c>
      <c r="AK10914">
        <v>547.23</v>
      </c>
      <c r="AO10914">
        <v>116724</v>
      </c>
      <c r="AS10914" t="s">
        <v>46499</v>
      </c>
      <c r="AU10914">
        <v>5.25</v>
      </c>
      <c r="AV10914" t="s">
        <v>836</v>
      </c>
      <c r="AW10914" t="s">
        <v>320</v>
      </c>
    </row>
    <row r="10915" spans="1:50">
      <c r="A10915" s="1">
        <f>HYPERLINK("https://lsnyc.legalserver.org/matter/dynamic-profile/view/1901237","19-1901237")</f>
        <v>0</v>
      </c>
      <c r="B10915" t="s">
        <v>70</v>
      </c>
      <c r="C10915" t="s">
        <v>341</v>
      </c>
      <c r="D10915" t="s">
        <v>827</v>
      </c>
      <c r="E10915" t="s">
        <v>834</v>
      </c>
      <c r="F10915" t="s">
        <v>1028</v>
      </c>
      <c r="G10915" t="s">
        <v>5269</v>
      </c>
      <c r="H10915" t="s">
        <v>16961</v>
      </c>
      <c r="I10915" t="s">
        <v>17421</v>
      </c>
      <c r="J10915" t="s">
        <v>18892</v>
      </c>
      <c r="K10915">
        <v>10473</v>
      </c>
      <c r="L10915" t="s">
        <v>18960</v>
      </c>
      <c r="M10915" t="s">
        <v>18960</v>
      </c>
      <c r="N10915" t="s">
        <v>26238</v>
      </c>
      <c r="O10915" t="s">
        <v>26523</v>
      </c>
      <c r="P10915" t="s">
        <v>26565</v>
      </c>
      <c r="Q10915" t="s">
        <v>26571</v>
      </c>
      <c r="R10915" t="s">
        <v>26583</v>
      </c>
      <c r="S10915" t="s">
        <v>18959</v>
      </c>
      <c r="U10915" t="s">
        <v>26604</v>
      </c>
      <c r="V10915" t="s">
        <v>26609</v>
      </c>
      <c r="X10915">
        <v>1318</v>
      </c>
      <c r="Y10915" t="s">
        <v>26650</v>
      </c>
      <c r="Z10915" t="s">
        <v>26668</v>
      </c>
      <c r="AA10915" t="s">
        <v>26682</v>
      </c>
      <c r="AB10915" t="s">
        <v>33763</v>
      </c>
      <c r="AD10915" t="s">
        <v>45167</v>
      </c>
      <c r="AE10915">
        <v>982</v>
      </c>
      <c r="AF10915" t="s">
        <v>45550</v>
      </c>
      <c r="AH10915">
        <v>0</v>
      </c>
      <c r="AI10915">
        <v>1</v>
      </c>
      <c r="AJ10915">
        <v>0</v>
      </c>
      <c r="AK10915">
        <v>382.69</v>
      </c>
      <c r="AN10915" t="s">
        <v>45597</v>
      </c>
      <c r="AO10915">
        <v>47798</v>
      </c>
      <c r="AP10915" t="s">
        <v>46333</v>
      </c>
      <c r="AU10915">
        <v>1.1</v>
      </c>
      <c r="AV10915" t="s">
        <v>834</v>
      </c>
      <c r="AW10915" t="s">
        <v>284</v>
      </c>
    </row>
    <row r="10916" spans="1:50">
      <c r="A10916" s="1">
        <f>HYPERLINK("https://lsnyc.legalserver.org/matter/dynamic-profile/view/1901268","19-1901268")</f>
        <v>0</v>
      </c>
      <c r="B10916" t="s">
        <v>133</v>
      </c>
      <c r="C10916" t="s">
        <v>340</v>
      </c>
      <c r="D10916" t="s">
        <v>827</v>
      </c>
      <c r="F10916" t="s">
        <v>4934</v>
      </c>
      <c r="G10916" t="s">
        <v>9483</v>
      </c>
      <c r="H10916" t="s">
        <v>16962</v>
      </c>
      <c r="I10916" t="s">
        <v>17496</v>
      </c>
      <c r="J10916" t="s">
        <v>18892</v>
      </c>
      <c r="K10916">
        <v>10457</v>
      </c>
      <c r="L10916" t="s">
        <v>18958</v>
      </c>
      <c r="M10916" t="s">
        <v>18960</v>
      </c>
      <c r="N10916" t="s">
        <v>26239</v>
      </c>
      <c r="O10916" t="s">
        <v>26523</v>
      </c>
      <c r="P10916" t="s">
        <v>26560</v>
      </c>
      <c r="R10916" t="s">
        <v>26579</v>
      </c>
      <c r="S10916" t="s">
        <v>18959</v>
      </c>
      <c r="U10916" t="s">
        <v>26604</v>
      </c>
      <c r="V10916" t="s">
        <v>26610</v>
      </c>
      <c r="X10916">
        <v>1089</v>
      </c>
      <c r="Y10916" t="s">
        <v>26650</v>
      </c>
      <c r="AB10916" t="s">
        <v>27469</v>
      </c>
      <c r="AD10916" t="s">
        <v>45168</v>
      </c>
      <c r="AE10916">
        <v>55</v>
      </c>
      <c r="AF10916" t="s">
        <v>45541</v>
      </c>
      <c r="AH10916">
        <v>2</v>
      </c>
      <c r="AI10916">
        <v>1</v>
      </c>
      <c r="AJ10916">
        <v>1</v>
      </c>
      <c r="AK10916">
        <v>179.18</v>
      </c>
      <c r="AN10916" t="s">
        <v>7439</v>
      </c>
      <c r="AO10916">
        <v>30300</v>
      </c>
      <c r="AU10916">
        <v>5.8</v>
      </c>
      <c r="AV10916" t="s">
        <v>46824</v>
      </c>
      <c r="AW10916" t="s">
        <v>335</v>
      </c>
      <c r="AX10916" t="s">
        <v>46897</v>
      </c>
    </row>
    <row r="10917" spans="1:50">
      <c r="A10917" s="1">
        <f>HYPERLINK("https://lsnyc.legalserver.org/matter/dynamic-profile/view/1901291","19-1901291")</f>
        <v>0</v>
      </c>
      <c r="B10917" t="s">
        <v>180</v>
      </c>
      <c r="C10917" t="s">
        <v>340</v>
      </c>
      <c r="D10917" t="s">
        <v>827</v>
      </c>
      <c r="F10917" t="s">
        <v>964</v>
      </c>
      <c r="G10917" t="s">
        <v>9484</v>
      </c>
      <c r="H10917" t="s">
        <v>12944</v>
      </c>
      <c r="I10917" t="s">
        <v>17273</v>
      </c>
      <c r="J10917" t="s">
        <v>18894</v>
      </c>
      <c r="K10917">
        <v>11225</v>
      </c>
      <c r="L10917" t="s">
        <v>18960</v>
      </c>
      <c r="M10917" t="s">
        <v>18960</v>
      </c>
      <c r="N10917" t="s">
        <v>26240</v>
      </c>
      <c r="O10917" t="s">
        <v>26523</v>
      </c>
      <c r="P10917" t="s">
        <v>26563</v>
      </c>
      <c r="R10917" t="s">
        <v>26588</v>
      </c>
      <c r="U10917" t="s">
        <v>26604</v>
      </c>
      <c r="X10917">
        <v>1200</v>
      </c>
      <c r="Y10917" t="s">
        <v>26652</v>
      </c>
      <c r="AB10917" t="s">
        <v>30914</v>
      </c>
      <c r="AD10917" t="s">
        <v>45169</v>
      </c>
      <c r="AE10917">
        <v>30</v>
      </c>
      <c r="AG10917" t="s">
        <v>19330</v>
      </c>
      <c r="AH10917">
        <v>27</v>
      </c>
      <c r="AI10917">
        <v>2</v>
      </c>
      <c r="AJ10917">
        <v>1</v>
      </c>
      <c r="AK10917">
        <v>85.33</v>
      </c>
      <c r="AN10917" t="s">
        <v>7439</v>
      </c>
      <c r="AO10917">
        <v>18200</v>
      </c>
      <c r="AU10917">
        <v>4.4</v>
      </c>
      <c r="AV10917" t="s">
        <v>773</v>
      </c>
      <c r="AW10917" t="s">
        <v>46862</v>
      </c>
    </row>
    <row r="10918" spans="1:50">
      <c r="A10918" s="1">
        <f>HYPERLINK("https://lsnyc.legalserver.org/matter/dynamic-profile/view/1901223","19-1901223")</f>
        <v>0</v>
      </c>
      <c r="B10918" t="s">
        <v>322</v>
      </c>
      <c r="C10918" t="s">
        <v>340</v>
      </c>
      <c r="D10918" t="s">
        <v>827</v>
      </c>
      <c r="F10918" t="s">
        <v>4935</v>
      </c>
      <c r="G10918" t="s">
        <v>5483</v>
      </c>
      <c r="H10918" t="s">
        <v>16963</v>
      </c>
      <c r="I10918" t="s">
        <v>18838</v>
      </c>
      <c r="J10918" t="s">
        <v>18893</v>
      </c>
      <c r="K10918">
        <v>10065</v>
      </c>
      <c r="L10918" t="s">
        <v>18960</v>
      </c>
      <c r="M10918" t="s">
        <v>18960</v>
      </c>
      <c r="P10918" t="s">
        <v>26563</v>
      </c>
      <c r="R10918" t="s">
        <v>26583</v>
      </c>
      <c r="U10918" t="s">
        <v>26604</v>
      </c>
      <c r="X10918">
        <v>1136.96</v>
      </c>
      <c r="Y10918" t="s">
        <v>26651</v>
      </c>
      <c r="Z10918" t="s">
        <v>26666</v>
      </c>
      <c r="AB10918" t="s">
        <v>34195</v>
      </c>
      <c r="AD10918" t="s">
        <v>45170</v>
      </c>
      <c r="AE10918">
        <v>608</v>
      </c>
      <c r="AH10918">
        <v>25</v>
      </c>
      <c r="AI10918">
        <v>2</v>
      </c>
      <c r="AJ10918">
        <v>0</v>
      </c>
      <c r="AK10918">
        <v>300.25</v>
      </c>
      <c r="AN10918" t="s">
        <v>7439</v>
      </c>
      <c r="AO10918">
        <v>50772</v>
      </c>
      <c r="AU10918">
        <v>1.4</v>
      </c>
      <c r="AV10918" t="s">
        <v>839</v>
      </c>
      <c r="AW10918" t="s">
        <v>46850</v>
      </c>
    </row>
    <row r="10919" spans="1:50">
      <c r="A10919" s="1">
        <f>HYPERLINK("https://lsnyc.legalserver.org/matter/dynamic-profile/view/1901250","19-1901250")</f>
        <v>0</v>
      </c>
      <c r="B10919" t="s">
        <v>251</v>
      </c>
      <c r="C10919" t="s">
        <v>340</v>
      </c>
      <c r="D10919" t="s">
        <v>827</v>
      </c>
      <c r="F10919" t="s">
        <v>1206</v>
      </c>
      <c r="G10919" t="s">
        <v>5651</v>
      </c>
      <c r="H10919" t="s">
        <v>16964</v>
      </c>
      <c r="I10919" t="s">
        <v>17272</v>
      </c>
      <c r="J10919" t="s">
        <v>18892</v>
      </c>
      <c r="K10919">
        <v>10456</v>
      </c>
      <c r="L10919" t="s">
        <v>18958</v>
      </c>
      <c r="M10919" t="s">
        <v>18960</v>
      </c>
      <c r="N10919" t="s">
        <v>26241</v>
      </c>
      <c r="O10919" t="s">
        <v>26523</v>
      </c>
      <c r="R10919" t="s">
        <v>26577</v>
      </c>
      <c r="S10919" t="s">
        <v>18959</v>
      </c>
      <c r="U10919" t="s">
        <v>26604</v>
      </c>
      <c r="V10919" t="s">
        <v>26612</v>
      </c>
      <c r="X10919">
        <v>1036</v>
      </c>
      <c r="Y10919" t="s">
        <v>26650</v>
      </c>
      <c r="Z10919" t="s">
        <v>26668</v>
      </c>
      <c r="AB10919" t="s">
        <v>34196</v>
      </c>
      <c r="AC10919" t="s">
        <v>36759</v>
      </c>
      <c r="AD10919" t="s">
        <v>45171</v>
      </c>
      <c r="AE10919">
        <v>0</v>
      </c>
      <c r="AF10919" t="s">
        <v>45541</v>
      </c>
      <c r="AG10919" t="s">
        <v>45560</v>
      </c>
      <c r="AH10919">
        <v>0</v>
      </c>
      <c r="AI10919">
        <v>1</v>
      </c>
      <c r="AJ10919">
        <v>0</v>
      </c>
      <c r="AK10919">
        <v>72.06</v>
      </c>
      <c r="AN10919" t="s">
        <v>7439</v>
      </c>
      <c r="AO10919">
        <v>9000</v>
      </c>
      <c r="AU10919">
        <v>8.25</v>
      </c>
      <c r="AV10919" t="s">
        <v>833</v>
      </c>
      <c r="AW10919" t="s">
        <v>335</v>
      </c>
      <c r="AX10919" t="s">
        <v>46898</v>
      </c>
    </row>
    <row r="10920" spans="1:50">
      <c r="A10920" s="1">
        <f>HYPERLINK("https://lsnyc.legalserver.org/matter/dynamic-profile/view/1901277","19-1901277")</f>
        <v>0</v>
      </c>
      <c r="B10920" t="s">
        <v>251</v>
      </c>
      <c r="C10920" t="s">
        <v>340</v>
      </c>
      <c r="D10920" t="s">
        <v>827</v>
      </c>
      <c r="F10920" t="s">
        <v>871</v>
      </c>
      <c r="G10920" t="s">
        <v>5673</v>
      </c>
      <c r="H10920" t="s">
        <v>16965</v>
      </c>
      <c r="I10920" t="s">
        <v>18839</v>
      </c>
      <c r="J10920" t="s">
        <v>18892</v>
      </c>
      <c r="K10920">
        <v>10468</v>
      </c>
      <c r="L10920" t="s">
        <v>18958</v>
      </c>
      <c r="M10920" t="s">
        <v>18960</v>
      </c>
      <c r="N10920" t="s">
        <v>26242</v>
      </c>
      <c r="O10920" t="s">
        <v>26523</v>
      </c>
      <c r="P10920" t="s">
        <v>26560</v>
      </c>
      <c r="R10920" t="s">
        <v>26579</v>
      </c>
      <c r="U10920" t="s">
        <v>26604</v>
      </c>
      <c r="V10920" t="s">
        <v>26610</v>
      </c>
      <c r="X10920">
        <v>1672.27</v>
      </c>
      <c r="Y10920" t="s">
        <v>26650</v>
      </c>
      <c r="AB10920" t="s">
        <v>28658</v>
      </c>
      <c r="AD10920" t="s">
        <v>45172</v>
      </c>
      <c r="AE10920">
        <v>0</v>
      </c>
      <c r="AF10920" t="s">
        <v>45541</v>
      </c>
      <c r="AG10920" t="s">
        <v>19330</v>
      </c>
      <c r="AH10920">
        <v>14</v>
      </c>
      <c r="AI10920">
        <v>1</v>
      </c>
      <c r="AJ10920">
        <v>4</v>
      </c>
      <c r="AK10920">
        <v>135.73</v>
      </c>
      <c r="AN10920" t="s">
        <v>45581</v>
      </c>
      <c r="AO10920">
        <v>40950</v>
      </c>
      <c r="AU10920">
        <v>2.75</v>
      </c>
      <c r="AV10920" t="s">
        <v>772</v>
      </c>
      <c r="AW10920" t="s">
        <v>335</v>
      </c>
      <c r="AX10920" t="s">
        <v>46897</v>
      </c>
    </row>
    <row r="10921" spans="1:50">
      <c r="A10921" s="1">
        <f>HYPERLINK("https://lsnyc.legalserver.org/matter/dynamic-profile/view/1901220","19-1901220")</f>
        <v>0</v>
      </c>
      <c r="B10921" t="s">
        <v>84</v>
      </c>
      <c r="C10921" t="s">
        <v>340</v>
      </c>
      <c r="D10921" t="s">
        <v>827</v>
      </c>
      <c r="F10921" t="s">
        <v>968</v>
      </c>
      <c r="G10921" t="s">
        <v>9485</v>
      </c>
      <c r="H10921" t="s">
        <v>16966</v>
      </c>
      <c r="I10921" t="s">
        <v>17273</v>
      </c>
      <c r="J10921" t="s">
        <v>18893</v>
      </c>
      <c r="K10921">
        <v>10011</v>
      </c>
      <c r="L10921" t="s">
        <v>18958</v>
      </c>
      <c r="M10921" t="s">
        <v>18960</v>
      </c>
      <c r="N10921" t="s">
        <v>26243</v>
      </c>
      <c r="O10921" t="s">
        <v>26523</v>
      </c>
      <c r="P10921" t="s">
        <v>26564</v>
      </c>
      <c r="R10921" t="s">
        <v>26578</v>
      </c>
      <c r="S10921" t="s">
        <v>18959</v>
      </c>
      <c r="U10921" t="s">
        <v>26604</v>
      </c>
      <c r="X10921">
        <v>881.61</v>
      </c>
      <c r="Y10921" t="s">
        <v>26651</v>
      </c>
      <c r="Z10921" t="s">
        <v>26668</v>
      </c>
      <c r="AB10921" t="s">
        <v>34197</v>
      </c>
      <c r="AD10921" t="s">
        <v>45173</v>
      </c>
      <c r="AE10921">
        <v>0</v>
      </c>
      <c r="AF10921" t="s">
        <v>45541</v>
      </c>
      <c r="AG10921" t="s">
        <v>19330</v>
      </c>
      <c r="AH10921">
        <v>41</v>
      </c>
      <c r="AI10921">
        <v>2</v>
      </c>
      <c r="AJ10921">
        <v>0</v>
      </c>
      <c r="AK10921">
        <v>231.48</v>
      </c>
      <c r="AN10921" t="s">
        <v>45582</v>
      </c>
      <c r="AO10921">
        <v>39144</v>
      </c>
      <c r="AU10921">
        <v>0</v>
      </c>
      <c r="AW10921" t="s">
        <v>46875</v>
      </c>
      <c r="AX10921" t="s">
        <v>46897</v>
      </c>
    </row>
    <row r="10922" spans="1:50">
      <c r="A10922" s="1">
        <f>HYPERLINK("https://lsnyc.legalserver.org/matter/dynamic-profile/view/1901189","19-1901189")</f>
        <v>0</v>
      </c>
      <c r="B10922" t="s">
        <v>84</v>
      </c>
      <c r="C10922" t="s">
        <v>340</v>
      </c>
      <c r="D10922" t="s">
        <v>827</v>
      </c>
      <c r="F10922" t="s">
        <v>1944</v>
      </c>
      <c r="G10922" t="s">
        <v>7219</v>
      </c>
      <c r="H10922" t="s">
        <v>16967</v>
      </c>
      <c r="I10922" t="s">
        <v>17442</v>
      </c>
      <c r="J10922" t="s">
        <v>18893</v>
      </c>
      <c r="K10922">
        <v>10128</v>
      </c>
      <c r="L10922" t="s">
        <v>18958</v>
      </c>
      <c r="M10922" t="s">
        <v>18960</v>
      </c>
      <c r="N10922" t="s">
        <v>26244</v>
      </c>
      <c r="O10922" t="s">
        <v>26523</v>
      </c>
      <c r="P10922" t="s">
        <v>26563</v>
      </c>
      <c r="R10922" t="s">
        <v>26582</v>
      </c>
      <c r="S10922" t="s">
        <v>18959</v>
      </c>
      <c r="U10922" t="s">
        <v>26605</v>
      </c>
      <c r="X10922">
        <v>488.1</v>
      </c>
      <c r="Y10922" t="s">
        <v>26651</v>
      </c>
      <c r="Z10922" t="s">
        <v>26664</v>
      </c>
      <c r="AB10922" t="s">
        <v>34198</v>
      </c>
      <c r="AC10922" t="s">
        <v>36760</v>
      </c>
      <c r="AD10922" t="s">
        <v>45174</v>
      </c>
      <c r="AE10922">
        <v>0</v>
      </c>
      <c r="AF10922" t="s">
        <v>45549</v>
      </c>
      <c r="AG10922" t="s">
        <v>19330</v>
      </c>
      <c r="AH10922">
        <v>12</v>
      </c>
      <c r="AI10922">
        <v>2</v>
      </c>
      <c r="AJ10922">
        <v>1</v>
      </c>
      <c r="AK10922">
        <v>88.95</v>
      </c>
      <c r="AN10922" t="s">
        <v>45581</v>
      </c>
      <c r="AO10922">
        <v>18972</v>
      </c>
      <c r="AU10922">
        <v>0.2</v>
      </c>
      <c r="AV10922" t="s">
        <v>720</v>
      </c>
      <c r="AW10922" t="s">
        <v>46875</v>
      </c>
      <c r="AX10922" t="s">
        <v>46898</v>
      </c>
    </row>
    <row r="10923" spans="1:50">
      <c r="A10923" s="1">
        <f>HYPERLINK("https://lsnyc.legalserver.org/matter/dynamic-profile/view/1901275","19-1901275")</f>
        <v>0</v>
      </c>
      <c r="B10923" t="s">
        <v>231</v>
      </c>
      <c r="C10923" t="s">
        <v>340</v>
      </c>
      <c r="D10923" t="s">
        <v>827</v>
      </c>
      <c r="F10923" t="s">
        <v>2483</v>
      </c>
      <c r="G10923" t="s">
        <v>5755</v>
      </c>
      <c r="H10923" t="s">
        <v>14581</v>
      </c>
      <c r="I10923" t="s">
        <v>17390</v>
      </c>
      <c r="J10923" t="s">
        <v>18892</v>
      </c>
      <c r="K10923">
        <v>10467</v>
      </c>
      <c r="L10923" t="s">
        <v>18960</v>
      </c>
      <c r="M10923" t="s">
        <v>18960</v>
      </c>
      <c r="R10923" t="s">
        <v>26578</v>
      </c>
      <c r="U10923" t="s">
        <v>26607</v>
      </c>
      <c r="X10923">
        <v>0</v>
      </c>
      <c r="Y10923" t="s">
        <v>26650</v>
      </c>
      <c r="AB10923" t="s">
        <v>32079</v>
      </c>
      <c r="AD10923" t="s">
        <v>42406</v>
      </c>
      <c r="AE10923">
        <v>0</v>
      </c>
      <c r="AH10923">
        <v>0</v>
      </c>
      <c r="AI10923">
        <v>4</v>
      </c>
      <c r="AJ10923">
        <v>0</v>
      </c>
      <c r="AK10923">
        <v>0</v>
      </c>
      <c r="AN10923" t="s">
        <v>7439</v>
      </c>
      <c r="AO10923">
        <v>0</v>
      </c>
      <c r="AU10923">
        <v>4.1</v>
      </c>
      <c r="AV10923" t="s">
        <v>839</v>
      </c>
      <c r="AW10923" t="s">
        <v>231</v>
      </c>
    </row>
    <row r="10924" spans="1:50">
      <c r="A10924" s="1">
        <f>HYPERLINK("https://lsnyc.legalserver.org/matter/dynamic-profile/view/1901290","19-1901290")</f>
        <v>0</v>
      </c>
      <c r="B10924" t="s">
        <v>233</v>
      </c>
      <c r="C10924" t="s">
        <v>340</v>
      </c>
      <c r="D10924" t="s">
        <v>827</v>
      </c>
      <c r="F10924" t="s">
        <v>4936</v>
      </c>
      <c r="G10924" t="s">
        <v>1725</v>
      </c>
      <c r="H10924" t="s">
        <v>13802</v>
      </c>
      <c r="I10924">
        <v>302</v>
      </c>
      <c r="J10924" t="s">
        <v>18892</v>
      </c>
      <c r="K10924">
        <v>10457</v>
      </c>
      <c r="L10924" t="s">
        <v>18958</v>
      </c>
      <c r="M10924" t="s">
        <v>18960</v>
      </c>
      <c r="N10924" t="s">
        <v>26245</v>
      </c>
      <c r="O10924" t="s">
        <v>26523</v>
      </c>
      <c r="R10924" t="s">
        <v>26579</v>
      </c>
      <c r="S10924" t="s">
        <v>18959</v>
      </c>
      <c r="U10924" t="s">
        <v>26604</v>
      </c>
      <c r="X10924">
        <v>859</v>
      </c>
      <c r="Y10924" t="s">
        <v>26650</v>
      </c>
      <c r="AB10924" t="s">
        <v>34199</v>
      </c>
      <c r="AC10924" t="s">
        <v>36761</v>
      </c>
      <c r="AD10924" t="s">
        <v>45175</v>
      </c>
      <c r="AE10924">
        <v>0</v>
      </c>
      <c r="AH10924">
        <v>1</v>
      </c>
      <c r="AI10924">
        <v>1</v>
      </c>
      <c r="AJ10924">
        <v>1</v>
      </c>
      <c r="AK10924">
        <v>159.41</v>
      </c>
      <c r="AN10924" t="s">
        <v>7439</v>
      </c>
      <c r="AO10924">
        <v>26956</v>
      </c>
      <c r="AU10924">
        <v>6.5</v>
      </c>
      <c r="AV10924" t="s">
        <v>836</v>
      </c>
      <c r="AW10924" t="s">
        <v>335</v>
      </c>
      <c r="AX10924" t="s">
        <v>46898</v>
      </c>
    </row>
    <row r="10925" spans="1:50">
      <c r="A10925" s="1">
        <f>HYPERLINK("https://lsnyc.legalserver.org/matter/dynamic-profile/view/1901200","19-1901200")</f>
        <v>0</v>
      </c>
      <c r="B10925" t="s">
        <v>129</v>
      </c>
      <c r="C10925" t="s">
        <v>340</v>
      </c>
      <c r="D10925" t="s">
        <v>827</v>
      </c>
      <c r="F10925" t="s">
        <v>4937</v>
      </c>
      <c r="G10925" t="s">
        <v>1677</v>
      </c>
      <c r="H10925" t="s">
        <v>14721</v>
      </c>
      <c r="I10925" t="s">
        <v>18840</v>
      </c>
      <c r="J10925" t="s">
        <v>18894</v>
      </c>
      <c r="K10925">
        <v>11225</v>
      </c>
      <c r="L10925" t="s">
        <v>18959</v>
      </c>
      <c r="M10925" t="s">
        <v>18960</v>
      </c>
      <c r="N10925" t="s">
        <v>26246</v>
      </c>
      <c r="O10925" t="s">
        <v>26523</v>
      </c>
      <c r="P10925" t="s">
        <v>26560</v>
      </c>
      <c r="R10925" t="s">
        <v>26588</v>
      </c>
      <c r="U10925" t="s">
        <v>26604</v>
      </c>
      <c r="X10925">
        <v>1010</v>
      </c>
      <c r="Y10925" t="s">
        <v>26652</v>
      </c>
      <c r="Z10925" t="s">
        <v>26669</v>
      </c>
      <c r="AB10925" t="s">
        <v>34200</v>
      </c>
      <c r="AD10925" t="s">
        <v>45176</v>
      </c>
      <c r="AE10925">
        <v>0</v>
      </c>
      <c r="AG10925" t="s">
        <v>45556</v>
      </c>
      <c r="AH10925">
        <v>17</v>
      </c>
      <c r="AI10925">
        <v>1</v>
      </c>
      <c r="AJ10925">
        <v>1</v>
      </c>
      <c r="AK10925">
        <v>235.36</v>
      </c>
      <c r="AL10925" t="s">
        <v>835</v>
      </c>
      <c r="AM10925" t="s">
        <v>45575</v>
      </c>
      <c r="AN10925" t="s">
        <v>7439</v>
      </c>
      <c r="AO10925">
        <v>39800</v>
      </c>
      <c r="AU10925">
        <v>3.75</v>
      </c>
      <c r="AV10925" t="s">
        <v>720</v>
      </c>
      <c r="AW10925" t="s">
        <v>46853</v>
      </c>
      <c r="AX10925" t="s">
        <v>46897</v>
      </c>
    </row>
    <row r="10926" spans="1:50">
      <c r="A10926" s="1">
        <f>HYPERLINK("https://lsnyc.legalserver.org/matter/dynamic-profile/view/1901281","19-1901281")</f>
        <v>0</v>
      </c>
      <c r="B10926" t="s">
        <v>91</v>
      </c>
      <c r="C10926" t="s">
        <v>340</v>
      </c>
      <c r="D10926" t="s">
        <v>827</v>
      </c>
      <c r="F10926" t="s">
        <v>887</v>
      </c>
      <c r="G10926" t="s">
        <v>9486</v>
      </c>
      <c r="H10926" t="s">
        <v>16968</v>
      </c>
      <c r="I10926">
        <v>516</v>
      </c>
      <c r="J10926" t="s">
        <v>18900</v>
      </c>
      <c r="K10926">
        <v>11355</v>
      </c>
      <c r="L10926" t="s">
        <v>18958</v>
      </c>
      <c r="M10926" t="s">
        <v>18960</v>
      </c>
      <c r="N10926" t="s">
        <v>26247</v>
      </c>
      <c r="O10926" t="s">
        <v>26524</v>
      </c>
      <c r="P10926" t="s">
        <v>26563</v>
      </c>
      <c r="R10926" t="s">
        <v>26584</v>
      </c>
      <c r="S10926" t="s">
        <v>18959</v>
      </c>
      <c r="U10926" t="s">
        <v>26604</v>
      </c>
      <c r="V10926" t="s">
        <v>26610</v>
      </c>
      <c r="X10926">
        <v>1378.85</v>
      </c>
      <c r="Y10926" t="s">
        <v>26653</v>
      </c>
      <c r="Z10926" t="s">
        <v>26664</v>
      </c>
      <c r="AB10926" t="s">
        <v>34201</v>
      </c>
      <c r="AD10926" t="s">
        <v>45177</v>
      </c>
      <c r="AE10926">
        <v>50</v>
      </c>
      <c r="AF10926" t="s">
        <v>45553</v>
      </c>
      <c r="AG10926" t="s">
        <v>19330</v>
      </c>
      <c r="AH10926">
        <v>11</v>
      </c>
      <c r="AI10926">
        <v>4</v>
      </c>
      <c r="AJ10926">
        <v>0</v>
      </c>
      <c r="AK10926">
        <v>132.04</v>
      </c>
      <c r="AN10926" t="s">
        <v>7439</v>
      </c>
      <c r="AO10926">
        <v>34000</v>
      </c>
      <c r="AU10926">
        <v>1</v>
      </c>
      <c r="AV10926" t="s">
        <v>720</v>
      </c>
      <c r="AW10926" t="s">
        <v>91</v>
      </c>
      <c r="AX10926" t="s">
        <v>46897</v>
      </c>
    </row>
    <row r="10927" spans="1:50">
      <c r="A10927" s="1">
        <f>HYPERLINK("https://lsnyc.legalserver.org/matter/dynamic-profile/view/1901292","19-1901292")</f>
        <v>0</v>
      </c>
      <c r="B10927" t="s">
        <v>87</v>
      </c>
      <c r="C10927" t="s">
        <v>340</v>
      </c>
      <c r="D10927" t="s">
        <v>827</v>
      </c>
      <c r="F10927" t="s">
        <v>875</v>
      </c>
      <c r="G10927" t="s">
        <v>5691</v>
      </c>
      <c r="H10927" t="s">
        <v>12016</v>
      </c>
      <c r="I10927" t="s">
        <v>17444</v>
      </c>
      <c r="J10927" t="s">
        <v>18892</v>
      </c>
      <c r="K10927">
        <v>10462</v>
      </c>
      <c r="L10927" t="s">
        <v>18958</v>
      </c>
      <c r="M10927" t="s">
        <v>18960</v>
      </c>
      <c r="N10927" t="s">
        <v>26248</v>
      </c>
      <c r="O10927" t="s">
        <v>26523</v>
      </c>
      <c r="R10927" t="s">
        <v>26579</v>
      </c>
      <c r="U10927" t="s">
        <v>26604</v>
      </c>
      <c r="X10927">
        <v>813</v>
      </c>
      <c r="Y10927" t="s">
        <v>26650</v>
      </c>
      <c r="AB10927" t="s">
        <v>30464</v>
      </c>
      <c r="AC10927" t="s">
        <v>36762</v>
      </c>
      <c r="AD10927" t="s">
        <v>45178</v>
      </c>
      <c r="AE10927">
        <v>0</v>
      </c>
      <c r="AH10927">
        <v>2</v>
      </c>
      <c r="AI10927">
        <v>1</v>
      </c>
      <c r="AJ10927">
        <v>0</v>
      </c>
      <c r="AK10927">
        <v>18.94</v>
      </c>
      <c r="AN10927" t="s">
        <v>45581</v>
      </c>
      <c r="AO10927">
        <v>2366</v>
      </c>
      <c r="AU10927">
        <v>2.5</v>
      </c>
      <c r="AV10927" t="s">
        <v>836</v>
      </c>
      <c r="AW10927" t="s">
        <v>335</v>
      </c>
      <c r="AX10927" t="s">
        <v>46898</v>
      </c>
    </row>
    <row r="10928" spans="1:50">
      <c r="A10928" s="1">
        <f>HYPERLINK("https://lsnyc.legalserver.org/matter/dynamic-profile/view/1901215","19-1901215")</f>
        <v>0</v>
      </c>
      <c r="B10928" t="s">
        <v>87</v>
      </c>
      <c r="C10928" t="s">
        <v>340</v>
      </c>
      <c r="D10928" t="s">
        <v>827</v>
      </c>
      <c r="F10928" t="s">
        <v>4938</v>
      </c>
      <c r="G10928" t="s">
        <v>1680</v>
      </c>
      <c r="H10928" t="s">
        <v>16969</v>
      </c>
      <c r="I10928">
        <v>55</v>
      </c>
      <c r="J10928" t="s">
        <v>18892</v>
      </c>
      <c r="K10928">
        <v>10468</v>
      </c>
      <c r="L10928" t="s">
        <v>18958</v>
      </c>
      <c r="M10928" t="s">
        <v>18960</v>
      </c>
      <c r="N10928" t="s">
        <v>26249</v>
      </c>
      <c r="O10928" t="s">
        <v>26523</v>
      </c>
      <c r="R10928" t="s">
        <v>26579</v>
      </c>
      <c r="S10928" t="s">
        <v>18959</v>
      </c>
      <c r="U10928" t="s">
        <v>26604</v>
      </c>
      <c r="V10928" t="s">
        <v>26610</v>
      </c>
      <c r="X10928">
        <v>1215</v>
      </c>
      <c r="Y10928" t="s">
        <v>26650</v>
      </c>
      <c r="AB10928" t="s">
        <v>27272</v>
      </c>
      <c r="AE10928">
        <v>31</v>
      </c>
      <c r="AF10928" t="s">
        <v>45541</v>
      </c>
      <c r="AH10928">
        <v>5</v>
      </c>
      <c r="AI10928">
        <v>1</v>
      </c>
      <c r="AJ10928">
        <v>3</v>
      </c>
      <c r="AK10928">
        <v>100.97</v>
      </c>
      <c r="AN10928" t="s">
        <v>7439</v>
      </c>
      <c r="AO10928">
        <v>26000</v>
      </c>
      <c r="AU10928">
        <v>1.5</v>
      </c>
      <c r="AV10928" t="s">
        <v>830</v>
      </c>
      <c r="AW10928" t="s">
        <v>335</v>
      </c>
      <c r="AX10928" t="s">
        <v>46897</v>
      </c>
    </row>
    <row r="10929" spans="1:50">
      <c r="A10929" s="1">
        <f>HYPERLINK("https://lsnyc.legalserver.org/matter/dynamic-profile/view/1901264","19-1901264")</f>
        <v>0</v>
      </c>
      <c r="B10929" t="s">
        <v>69</v>
      </c>
      <c r="C10929" t="s">
        <v>340</v>
      </c>
      <c r="D10929" t="s">
        <v>827</v>
      </c>
      <c r="F10929" t="s">
        <v>1309</v>
      </c>
      <c r="G10929" t="s">
        <v>9487</v>
      </c>
      <c r="H10929" t="s">
        <v>16970</v>
      </c>
      <c r="I10929" t="s">
        <v>17641</v>
      </c>
      <c r="J10929" t="s">
        <v>18892</v>
      </c>
      <c r="K10929">
        <v>10468</v>
      </c>
      <c r="L10929" t="s">
        <v>18958</v>
      </c>
      <c r="M10929" t="s">
        <v>18960</v>
      </c>
      <c r="N10929" t="s">
        <v>26250</v>
      </c>
      <c r="O10929" t="s">
        <v>26523</v>
      </c>
      <c r="R10929" t="s">
        <v>26579</v>
      </c>
      <c r="S10929" t="s">
        <v>18959</v>
      </c>
      <c r="U10929" t="s">
        <v>26604</v>
      </c>
      <c r="X10929">
        <v>0</v>
      </c>
      <c r="Y10929" t="s">
        <v>26650</v>
      </c>
      <c r="AB10929" t="s">
        <v>34202</v>
      </c>
      <c r="AC10929" t="s">
        <v>36763</v>
      </c>
      <c r="AD10929" t="s">
        <v>45179</v>
      </c>
      <c r="AE10929">
        <v>0</v>
      </c>
      <c r="AF10929" t="s">
        <v>45541</v>
      </c>
      <c r="AH10929">
        <v>15</v>
      </c>
      <c r="AI10929">
        <v>2</v>
      </c>
      <c r="AJ10929">
        <v>1</v>
      </c>
      <c r="AK10929">
        <v>0</v>
      </c>
      <c r="AN10929" t="s">
        <v>7439</v>
      </c>
      <c r="AO10929">
        <v>0</v>
      </c>
      <c r="AU10929">
        <v>1</v>
      </c>
      <c r="AV10929" t="s">
        <v>830</v>
      </c>
      <c r="AW10929" t="s">
        <v>335</v>
      </c>
      <c r="AX10929" t="s">
        <v>46897</v>
      </c>
    </row>
    <row r="10930" spans="1:50">
      <c r="A10930" s="1">
        <f>HYPERLINK("https://lsnyc.legalserver.org/matter/dynamic-profile/view/1901240","19-1901240")</f>
        <v>0</v>
      </c>
      <c r="B10930" t="s">
        <v>69</v>
      </c>
      <c r="C10930" t="s">
        <v>340</v>
      </c>
      <c r="D10930" t="s">
        <v>827</v>
      </c>
      <c r="F10930" t="s">
        <v>4939</v>
      </c>
      <c r="G10930" t="s">
        <v>9488</v>
      </c>
      <c r="H10930" t="s">
        <v>9658</v>
      </c>
      <c r="I10930" t="s">
        <v>18794</v>
      </c>
      <c r="J10930" t="s">
        <v>18892</v>
      </c>
      <c r="K10930">
        <v>10457</v>
      </c>
      <c r="L10930" t="s">
        <v>18958</v>
      </c>
      <c r="M10930" t="s">
        <v>18960</v>
      </c>
      <c r="N10930" t="s">
        <v>26251</v>
      </c>
      <c r="O10930" t="s">
        <v>26524</v>
      </c>
      <c r="R10930" t="s">
        <v>26579</v>
      </c>
      <c r="S10930" t="s">
        <v>18959</v>
      </c>
      <c r="U10930" t="s">
        <v>26604</v>
      </c>
      <c r="V10930" t="s">
        <v>26610</v>
      </c>
      <c r="X10930">
        <v>1651</v>
      </c>
      <c r="Y10930" t="s">
        <v>26650</v>
      </c>
      <c r="AB10930" t="s">
        <v>34203</v>
      </c>
      <c r="AC10930" t="s">
        <v>36764</v>
      </c>
      <c r="AD10930" t="s">
        <v>45180</v>
      </c>
      <c r="AE10930">
        <v>0</v>
      </c>
      <c r="AF10930" t="s">
        <v>45543</v>
      </c>
      <c r="AH10930">
        <v>15</v>
      </c>
      <c r="AI10930">
        <v>3</v>
      </c>
      <c r="AJ10930">
        <v>1</v>
      </c>
      <c r="AK10930">
        <v>44.37</v>
      </c>
      <c r="AN10930" t="s">
        <v>7439</v>
      </c>
      <c r="AO10930">
        <v>11424</v>
      </c>
      <c r="AU10930">
        <v>0.2</v>
      </c>
      <c r="AV10930" t="s">
        <v>829</v>
      </c>
      <c r="AW10930" t="s">
        <v>335</v>
      </c>
      <c r="AX10930" t="s">
        <v>46898</v>
      </c>
    </row>
    <row r="10931" spans="1:50">
      <c r="A10931" s="1">
        <f>HYPERLINK("https://lsnyc.legalserver.org/matter/dynamic-profile/view/1901293","19-1901293")</f>
        <v>0</v>
      </c>
      <c r="B10931" t="s">
        <v>69</v>
      </c>
      <c r="C10931" t="s">
        <v>340</v>
      </c>
      <c r="D10931" t="s">
        <v>827</v>
      </c>
      <c r="F10931" t="s">
        <v>1371</v>
      </c>
      <c r="G10931" t="s">
        <v>9489</v>
      </c>
      <c r="H10931" t="s">
        <v>9658</v>
      </c>
      <c r="I10931" t="s">
        <v>18586</v>
      </c>
      <c r="J10931" t="s">
        <v>18892</v>
      </c>
      <c r="K10931">
        <v>10457</v>
      </c>
      <c r="L10931" t="s">
        <v>18958</v>
      </c>
      <c r="M10931" t="s">
        <v>18960</v>
      </c>
      <c r="N10931" t="s">
        <v>26252</v>
      </c>
      <c r="R10931" t="s">
        <v>26579</v>
      </c>
      <c r="U10931" t="s">
        <v>26604</v>
      </c>
      <c r="X10931">
        <v>2175</v>
      </c>
      <c r="Y10931" t="s">
        <v>26650</v>
      </c>
      <c r="AB10931" t="s">
        <v>34204</v>
      </c>
      <c r="AD10931" t="s">
        <v>45181</v>
      </c>
      <c r="AE10931">
        <v>0</v>
      </c>
      <c r="AH10931">
        <v>7</v>
      </c>
      <c r="AI10931">
        <v>3</v>
      </c>
      <c r="AJ10931">
        <v>3</v>
      </c>
      <c r="AK10931">
        <v>85.76000000000001</v>
      </c>
      <c r="AN10931" t="s">
        <v>7439</v>
      </c>
      <c r="AO10931">
        <v>29666</v>
      </c>
      <c r="AU10931">
        <v>0.1</v>
      </c>
      <c r="AV10931" t="s">
        <v>835</v>
      </c>
      <c r="AW10931" t="s">
        <v>335</v>
      </c>
      <c r="AX10931" t="s">
        <v>46897</v>
      </c>
    </row>
    <row r="10932" spans="1:50">
      <c r="A10932" s="1">
        <f>HYPERLINK("https://lsnyc.legalserver.org/matter/dynamic-profile/view/1901255","19-1901255")</f>
        <v>0</v>
      </c>
      <c r="B10932" t="s">
        <v>275</v>
      </c>
      <c r="C10932" t="s">
        <v>340</v>
      </c>
      <c r="D10932" t="s">
        <v>827</v>
      </c>
      <c r="F10932" t="s">
        <v>4940</v>
      </c>
      <c r="G10932" t="s">
        <v>9490</v>
      </c>
      <c r="H10932" t="s">
        <v>16971</v>
      </c>
      <c r="I10932" t="s">
        <v>17288</v>
      </c>
      <c r="J10932" t="s">
        <v>18892</v>
      </c>
      <c r="K10932">
        <v>10462</v>
      </c>
      <c r="L10932" t="s">
        <v>18958</v>
      </c>
      <c r="M10932" t="s">
        <v>18960</v>
      </c>
      <c r="N10932" t="s">
        <v>26253</v>
      </c>
      <c r="O10932" t="s">
        <v>26523</v>
      </c>
      <c r="R10932" t="s">
        <v>26579</v>
      </c>
      <c r="S10932" t="s">
        <v>18959</v>
      </c>
      <c r="U10932" t="s">
        <v>26604</v>
      </c>
      <c r="X10932">
        <v>1336.1</v>
      </c>
      <c r="Y10932" t="s">
        <v>26650</v>
      </c>
      <c r="AB10932" t="s">
        <v>34205</v>
      </c>
      <c r="AD10932" t="s">
        <v>45182</v>
      </c>
      <c r="AE10932">
        <v>0</v>
      </c>
      <c r="AF10932" t="s">
        <v>45541</v>
      </c>
      <c r="AH10932">
        <v>0</v>
      </c>
      <c r="AI10932">
        <v>1</v>
      </c>
      <c r="AJ10932">
        <v>0</v>
      </c>
      <c r="AK10932">
        <v>232.11</v>
      </c>
      <c r="AN10932" t="s">
        <v>7439</v>
      </c>
      <c r="AO10932">
        <v>28990</v>
      </c>
      <c r="AP10932" t="s">
        <v>46334</v>
      </c>
      <c r="AU10932">
        <v>0</v>
      </c>
      <c r="AW10932" t="s">
        <v>335</v>
      </c>
      <c r="AX10932" t="s">
        <v>46897</v>
      </c>
    </row>
    <row r="10933" spans="1:50">
      <c r="A10933" s="1">
        <f>HYPERLINK("https://lsnyc.legalserver.org/matter/dynamic-profile/view/1901340","19-1901340")</f>
        <v>0</v>
      </c>
      <c r="B10933" t="s">
        <v>325</v>
      </c>
      <c r="C10933" t="s">
        <v>341</v>
      </c>
      <c r="D10933" t="s">
        <v>807</v>
      </c>
      <c r="E10933" t="s">
        <v>773</v>
      </c>
      <c r="F10933" t="s">
        <v>2104</v>
      </c>
      <c r="G10933" t="s">
        <v>5008</v>
      </c>
      <c r="H10933" t="s">
        <v>16972</v>
      </c>
      <c r="I10933" t="s">
        <v>17436</v>
      </c>
      <c r="J10933" t="s">
        <v>18894</v>
      </c>
      <c r="K10933">
        <v>11205</v>
      </c>
      <c r="L10933" t="s">
        <v>18960</v>
      </c>
      <c r="M10933" t="s">
        <v>18960</v>
      </c>
      <c r="O10933" t="s">
        <v>18997</v>
      </c>
      <c r="P10933" t="s">
        <v>26563</v>
      </c>
      <c r="Q10933" t="s">
        <v>26570</v>
      </c>
      <c r="R10933" t="s">
        <v>26588</v>
      </c>
      <c r="S10933" t="s">
        <v>18959</v>
      </c>
      <c r="U10933" t="s">
        <v>26604</v>
      </c>
      <c r="X10933">
        <v>236</v>
      </c>
      <c r="Y10933" t="s">
        <v>26652</v>
      </c>
      <c r="Z10933" t="s">
        <v>26663</v>
      </c>
      <c r="AA10933" t="s">
        <v>26683</v>
      </c>
      <c r="AB10933" t="s">
        <v>34206</v>
      </c>
      <c r="AD10933" t="s">
        <v>45183</v>
      </c>
      <c r="AE10933">
        <v>90</v>
      </c>
      <c r="AF10933" t="s">
        <v>45549</v>
      </c>
      <c r="AH10933">
        <v>2</v>
      </c>
      <c r="AI10933">
        <v>1</v>
      </c>
      <c r="AJ10933">
        <v>0</v>
      </c>
      <c r="AK10933">
        <v>39.71</v>
      </c>
      <c r="AO10933">
        <v>4960</v>
      </c>
      <c r="AU10933">
        <v>3.35</v>
      </c>
      <c r="AV10933" t="s">
        <v>773</v>
      </c>
      <c r="AW10933" t="s">
        <v>320</v>
      </c>
    </row>
    <row r="10934" spans="1:50">
      <c r="A10934" s="1">
        <f>HYPERLINK("https://lsnyc.legalserver.org/matter/dynamic-profile/view/1901351","19-1901351")</f>
        <v>0</v>
      </c>
      <c r="B10934" t="s">
        <v>179</v>
      </c>
      <c r="C10934" t="s">
        <v>341</v>
      </c>
      <c r="D10934" t="s">
        <v>807</v>
      </c>
      <c r="E10934" t="s">
        <v>829</v>
      </c>
      <c r="F10934" t="s">
        <v>4941</v>
      </c>
      <c r="G10934" t="s">
        <v>9491</v>
      </c>
      <c r="H10934" t="s">
        <v>16973</v>
      </c>
      <c r="I10934" t="s">
        <v>17290</v>
      </c>
      <c r="J10934" t="s">
        <v>18894</v>
      </c>
      <c r="K10934">
        <v>11219</v>
      </c>
      <c r="L10934" t="s">
        <v>18960</v>
      </c>
      <c r="M10934" t="s">
        <v>18960</v>
      </c>
      <c r="Q10934" t="s">
        <v>26570</v>
      </c>
      <c r="R10934" t="s">
        <v>26583</v>
      </c>
      <c r="U10934" t="s">
        <v>26607</v>
      </c>
      <c r="X10934">
        <v>0</v>
      </c>
      <c r="Y10934" t="s">
        <v>26652</v>
      </c>
      <c r="AA10934" t="s">
        <v>26683</v>
      </c>
      <c r="AB10934" t="s">
        <v>34207</v>
      </c>
      <c r="AD10934" t="s">
        <v>45184</v>
      </c>
      <c r="AE10934">
        <v>0</v>
      </c>
      <c r="AH10934">
        <v>0</v>
      </c>
      <c r="AI10934">
        <v>1</v>
      </c>
      <c r="AJ10934">
        <v>0</v>
      </c>
      <c r="AK10934">
        <v>317.05</v>
      </c>
      <c r="AO10934">
        <v>39600</v>
      </c>
      <c r="AU10934">
        <v>0.1</v>
      </c>
      <c r="AV10934" t="s">
        <v>829</v>
      </c>
      <c r="AW10934" t="s">
        <v>46892</v>
      </c>
    </row>
    <row r="10935" spans="1:50">
      <c r="A10935" s="1">
        <f>HYPERLINK("https://lsnyc.legalserver.org/matter/dynamic-profile/view/1901354","19-1901354")</f>
        <v>0</v>
      </c>
      <c r="B10935" t="s">
        <v>179</v>
      </c>
      <c r="C10935" t="s">
        <v>341</v>
      </c>
      <c r="D10935" t="s">
        <v>807</v>
      </c>
      <c r="E10935" t="s">
        <v>829</v>
      </c>
      <c r="F10935" t="s">
        <v>4942</v>
      </c>
      <c r="G10935" t="s">
        <v>5269</v>
      </c>
      <c r="H10935" t="s">
        <v>16974</v>
      </c>
      <c r="I10935" t="s">
        <v>17465</v>
      </c>
      <c r="J10935" t="s">
        <v>18894</v>
      </c>
      <c r="K10935">
        <v>11203</v>
      </c>
      <c r="L10935" t="s">
        <v>18960</v>
      </c>
      <c r="M10935" t="s">
        <v>18960</v>
      </c>
      <c r="P10935" t="s">
        <v>26564</v>
      </c>
      <c r="Q10935" t="s">
        <v>26570</v>
      </c>
      <c r="R10935" t="s">
        <v>26583</v>
      </c>
      <c r="U10935" t="s">
        <v>26604</v>
      </c>
      <c r="X10935">
        <v>0</v>
      </c>
      <c r="Y10935" t="s">
        <v>26652</v>
      </c>
      <c r="AA10935" t="s">
        <v>26683</v>
      </c>
      <c r="AB10935" t="s">
        <v>34208</v>
      </c>
      <c r="AD10935" t="s">
        <v>45185</v>
      </c>
      <c r="AE10935">
        <v>0</v>
      </c>
      <c r="AH10935">
        <v>0</v>
      </c>
      <c r="AI10935">
        <v>1</v>
      </c>
      <c r="AJ10935">
        <v>0</v>
      </c>
      <c r="AK10935">
        <v>326.66</v>
      </c>
      <c r="AO10935">
        <v>40800</v>
      </c>
      <c r="AU10935">
        <v>0.1</v>
      </c>
      <c r="AV10935" t="s">
        <v>829</v>
      </c>
      <c r="AW10935" t="s">
        <v>46892</v>
      </c>
    </row>
    <row r="10936" spans="1:50">
      <c r="A10936" s="1">
        <f>HYPERLINK("https://lsnyc.legalserver.org/matter/dynamic-profile/view/1896762","19-1896762")</f>
        <v>0</v>
      </c>
      <c r="B10936" t="s">
        <v>116</v>
      </c>
      <c r="C10936" t="s">
        <v>341</v>
      </c>
      <c r="D10936" t="s">
        <v>807</v>
      </c>
      <c r="E10936" t="s">
        <v>807</v>
      </c>
      <c r="F10936" t="s">
        <v>1150</v>
      </c>
      <c r="G10936" t="s">
        <v>5434</v>
      </c>
      <c r="H10936" t="s">
        <v>16975</v>
      </c>
      <c r="I10936" t="s">
        <v>17334</v>
      </c>
      <c r="J10936" t="s">
        <v>18894</v>
      </c>
      <c r="K10936">
        <v>11221</v>
      </c>
      <c r="L10936" t="s">
        <v>18958</v>
      </c>
      <c r="M10936" t="s">
        <v>18958</v>
      </c>
      <c r="Q10936" t="s">
        <v>26571</v>
      </c>
      <c r="R10936" t="s">
        <v>26583</v>
      </c>
      <c r="U10936" t="s">
        <v>26604</v>
      </c>
      <c r="X10936">
        <v>0</v>
      </c>
      <c r="Y10936" t="s">
        <v>26652</v>
      </c>
      <c r="AA10936" t="s">
        <v>26681</v>
      </c>
      <c r="AB10936" t="s">
        <v>34209</v>
      </c>
      <c r="AE10936">
        <v>0</v>
      </c>
      <c r="AH10936">
        <v>0</v>
      </c>
      <c r="AI10936">
        <v>1</v>
      </c>
      <c r="AJ10936">
        <v>0</v>
      </c>
      <c r="AK10936">
        <v>106.82</v>
      </c>
      <c r="AN10936" t="s">
        <v>45581</v>
      </c>
      <c r="AO10936">
        <v>13342</v>
      </c>
      <c r="AU10936">
        <v>0.1</v>
      </c>
      <c r="AV10936" t="s">
        <v>807</v>
      </c>
      <c r="AW10936" t="s">
        <v>279</v>
      </c>
    </row>
    <row r="10937" spans="1:50">
      <c r="A10937" s="1">
        <f>HYPERLINK("https://lsnyc.legalserver.org/matter/dynamic-profile/view/1900376","19-1900376")</f>
        <v>0</v>
      </c>
      <c r="B10937" t="s">
        <v>153</v>
      </c>
      <c r="C10937" t="s">
        <v>341</v>
      </c>
      <c r="D10937" t="s">
        <v>807</v>
      </c>
      <c r="E10937" t="s">
        <v>830</v>
      </c>
      <c r="F10937" t="s">
        <v>898</v>
      </c>
      <c r="G10937" t="s">
        <v>9492</v>
      </c>
      <c r="H10937" t="s">
        <v>16976</v>
      </c>
      <c r="I10937" t="s">
        <v>17374</v>
      </c>
      <c r="J10937" t="s">
        <v>18902</v>
      </c>
      <c r="K10937">
        <v>10301</v>
      </c>
      <c r="L10937" t="s">
        <v>18960</v>
      </c>
      <c r="M10937" t="s">
        <v>18960</v>
      </c>
      <c r="O10937" t="s">
        <v>26533</v>
      </c>
      <c r="P10937" t="s">
        <v>26561</v>
      </c>
      <c r="Q10937" t="s">
        <v>26568</v>
      </c>
      <c r="R10937" t="s">
        <v>26578</v>
      </c>
      <c r="S10937" t="s">
        <v>18959</v>
      </c>
      <c r="U10937" t="s">
        <v>26604</v>
      </c>
      <c r="V10937" t="s">
        <v>26610</v>
      </c>
      <c r="X10937">
        <v>1213</v>
      </c>
      <c r="Y10937" t="s">
        <v>26654</v>
      </c>
      <c r="Z10937" t="s">
        <v>26530</v>
      </c>
      <c r="AA10937" t="s">
        <v>26691</v>
      </c>
      <c r="AB10937" t="s">
        <v>34210</v>
      </c>
      <c r="AD10937" t="s">
        <v>45186</v>
      </c>
      <c r="AE10937">
        <v>0</v>
      </c>
      <c r="AG10937" t="s">
        <v>45562</v>
      </c>
      <c r="AH10937">
        <v>1</v>
      </c>
      <c r="AI10937">
        <v>1</v>
      </c>
      <c r="AJ10937">
        <v>0</v>
      </c>
      <c r="AK10937">
        <v>74.08</v>
      </c>
      <c r="AN10937" t="s">
        <v>7439</v>
      </c>
      <c r="AO10937">
        <v>9252</v>
      </c>
      <c r="AU10937">
        <v>4.45</v>
      </c>
      <c r="AV10937" t="s">
        <v>772</v>
      </c>
      <c r="AW10937" t="s">
        <v>46883</v>
      </c>
    </row>
    <row r="10938" spans="1:50">
      <c r="A10938" s="1">
        <f>HYPERLINK("https://lsnyc.legalserver.org/matter/dynamic-profile/view/1901350","19-1901350")</f>
        <v>0</v>
      </c>
      <c r="B10938" t="s">
        <v>256</v>
      </c>
      <c r="C10938" t="s">
        <v>341</v>
      </c>
      <c r="D10938" t="s">
        <v>807</v>
      </c>
      <c r="E10938" t="s">
        <v>720</v>
      </c>
      <c r="F10938" t="s">
        <v>1345</v>
      </c>
      <c r="G10938" t="s">
        <v>5636</v>
      </c>
      <c r="H10938" t="s">
        <v>12431</v>
      </c>
      <c r="I10938" t="s">
        <v>17867</v>
      </c>
      <c r="J10938" t="s">
        <v>18894</v>
      </c>
      <c r="K10938">
        <v>11217</v>
      </c>
      <c r="L10938" t="s">
        <v>18960</v>
      </c>
      <c r="M10938" t="s">
        <v>18960</v>
      </c>
      <c r="O10938" t="s">
        <v>26523</v>
      </c>
      <c r="Q10938" t="s">
        <v>26571</v>
      </c>
      <c r="R10938" t="s">
        <v>26591</v>
      </c>
      <c r="U10938" t="s">
        <v>26604</v>
      </c>
      <c r="X10938">
        <v>718</v>
      </c>
      <c r="Y10938" t="s">
        <v>26652</v>
      </c>
      <c r="AA10938" t="s">
        <v>26681</v>
      </c>
      <c r="AB10938" t="s">
        <v>31526</v>
      </c>
      <c r="AD10938" t="s">
        <v>45187</v>
      </c>
      <c r="AE10938">
        <v>12</v>
      </c>
      <c r="AG10938" t="s">
        <v>45557</v>
      </c>
      <c r="AH10938">
        <v>2</v>
      </c>
      <c r="AI10938">
        <v>1</v>
      </c>
      <c r="AJ10938">
        <v>0</v>
      </c>
      <c r="AK10938">
        <v>79.26000000000001</v>
      </c>
      <c r="AN10938" t="s">
        <v>7439</v>
      </c>
      <c r="AO10938">
        <v>9900</v>
      </c>
      <c r="AU10938">
        <v>1</v>
      </c>
      <c r="AV10938" t="s">
        <v>807</v>
      </c>
      <c r="AW10938" t="s">
        <v>46857</v>
      </c>
    </row>
    <row r="10939" spans="1:50">
      <c r="A10939" s="1">
        <f>HYPERLINK("https://lsnyc.legalserver.org/matter/dynamic-profile/view/1901353","19-1901353")</f>
        <v>0</v>
      </c>
      <c r="B10939" t="s">
        <v>279</v>
      </c>
      <c r="C10939" t="s">
        <v>341</v>
      </c>
      <c r="D10939" t="s">
        <v>807</v>
      </c>
      <c r="E10939" t="s">
        <v>773</v>
      </c>
      <c r="F10939" t="s">
        <v>4943</v>
      </c>
      <c r="G10939" t="s">
        <v>5419</v>
      </c>
      <c r="H10939" t="s">
        <v>16977</v>
      </c>
      <c r="I10939" t="s">
        <v>17380</v>
      </c>
      <c r="J10939" t="s">
        <v>18894</v>
      </c>
      <c r="K10939">
        <v>11233</v>
      </c>
      <c r="L10939" t="s">
        <v>18959</v>
      </c>
      <c r="M10939" t="s">
        <v>18960</v>
      </c>
      <c r="N10939" t="s">
        <v>26254</v>
      </c>
      <c r="O10939" t="s">
        <v>26523</v>
      </c>
      <c r="P10939" t="s">
        <v>26564</v>
      </c>
      <c r="Q10939" t="s">
        <v>26570</v>
      </c>
      <c r="R10939" t="s">
        <v>26578</v>
      </c>
      <c r="S10939" t="s">
        <v>18959</v>
      </c>
      <c r="U10939" t="s">
        <v>26604</v>
      </c>
      <c r="V10939" t="s">
        <v>26610</v>
      </c>
      <c r="X10939">
        <v>1030.12</v>
      </c>
      <c r="Y10939" t="s">
        <v>26652</v>
      </c>
      <c r="Z10939" t="s">
        <v>26661</v>
      </c>
      <c r="AA10939" t="s">
        <v>26683</v>
      </c>
      <c r="AB10939" t="s">
        <v>34211</v>
      </c>
      <c r="AC10939" t="s">
        <v>19330</v>
      </c>
      <c r="AD10939" t="s">
        <v>45188</v>
      </c>
      <c r="AE10939">
        <v>60</v>
      </c>
      <c r="AF10939" t="s">
        <v>20460</v>
      </c>
      <c r="AG10939" t="s">
        <v>19330</v>
      </c>
      <c r="AH10939">
        <v>4</v>
      </c>
      <c r="AI10939">
        <v>2</v>
      </c>
      <c r="AJ10939">
        <v>0</v>
      </c>
      <c r="AK10939">
        <v>80.76000000000001</v>
      </c>
      <c r="AN10939" t="s">
        <v>7439</v>
      </c>
      <c r="AO10939">
        <v>13656</v>
      </c>
      <c r="AP10939" t="s">
        <v>46335</v>
      </c>
      <c r="AU10939">
        <v>0.5</v>
      </c>
      <c r="AV10939" t="s">
        <v>807</v>
      </c>
      <c r="AW10939" t="s">
        <v>46829</v>
      </c>
      <c r="AX10939" t="s">
        <v>19330</v>
      </c>
    </row>
    <row r="10940" spans="1:50">
      <c r="A10940" s="1">
        <f>HYPERLINK("https://lsnyc.legalserver.org/matter/dynamic-profile/view/1901315","19-1901315")</f>
        <v>0</v>
      </c>
      <c r="B10940" t="s">
        <v>133</v>
      </c>
      <c r="C10940" t="s">
        <v>340</v>
      </c>
      <c r="D10940" t="s">
        <v>807</v>
      </c>
      <c r="F10940" t="s">
        <v>4100</v>
      </c>
      <c r="G10940" t="s">
        <v>5147</v>
      </c>
      <c r="H10940" t="s">
        <v>16978</v>
      </c>
      <c r="J10940" t="s">
        <v>18892</v>
      </c>
      <c r="K10940">
        <v>10458</v>
      </c>
      <c r="L10940" t="s">
        <v>18958</v>
      </c>
      <c r="M10940" t="s">
        <v>18960</v>
      </c>
      <c r="P10940" t="s">
        <v>26564</v>
      </c>
      <c r="R10940" t="s">
        <v>26577</v>
      </c>
      <c r="U10940" t="s">
        <v>26604</v>
      </c>
      <c r="X10940">
        <v>0</v>
      </c>
      <c r="Y10940" t="s">
        <v>26650</v>
      </c>
      <c r="AB10940" t="s">
        <v>27798</v>
      </c>
      <c r="AE10940">
        <v>0</v>
      </c>
      <c r="AH10940">
        <v>0</v>
      </c>
      <c r="AI10940">
        <v>1</v>
      </c>
      <c r="AJ10940">
        <v>3</v>
      </c>
      <c r="AK10940">
        <v>118.94</v>
      </c>
      <c r="AN10940" t="s">
        <v>7439</v>
      </c>
      <c r="AO10940">
        <v>30628</v>
      </c>
      <c r="AP10940" t="s">
        <v>46336</v>
      </c>
      <c r="AU10940">
        <v>0</v>
      </c>
      <c r="AW10940" t="s">
        <v>284</v>
      </c>
      <c r="AX10940" t="s">
        <v>46897</v>
      </c>
    </row>
    <row r="10941" spans="1:50">
      <c r="A10941" s="1">
        <f>HYPERLINK("https://lsnyc.legalserver.org/matter/dynamic-profile/view/1901396","19-1901396")</f>
        <v>0</v>
      </c>
      <c r="B10941" t="s">
        <v>57</v>
      </c>
      <c r="C10941" t="s">
        <v>340</v>
      </c>
      <c r="D10941" t="s">
        <v>807</v>
      </c>
      <c r="F10941" t="s">
        <v>2676</v>
      </c>
      <c r="G10941" t="s">
        <v>3310</v>
      </c>
      <c r="H10941" t="s">
        <v>9758</v>
      </c>
      <c r="I10941" t="s">
        <v>17406</v>
      </c>
      <c r="J10941" t="s">
        <v>18892</v>
      </c>
      <c r="K10941">
        <v>10460</v>
      </c>
      <c r="L10941" t="s">
        <v>18958</v>
      </c>
      <c r="M10941" t="s">
        <v>18960</v>
      </c>
      <c r="P10941" t="s">
        <v>26564</v>
      </c>
      <c r="R10941" t="s">
        <v>26577</v>
      </c>
      <c r="U10941" t="s">
        <v>26604</v>
      </c>
      <c r="X10941">
        <v>0</v>
      </c>
      <c r="Y10941" t="s">
        <v>26650</v>
      </c>
      <c r="Z10941" t="s">
        <v>26668</v>
      </c>
      <c r="AB10941" t="s">
        <v>29744</v>
      </c>
      <c r="AD10941" t="s">
        <v>45189</v>
      </c>
      <c r="AE10941">
        <v>0</v>
      </c>
      <c r="AH10941">
        <v>0</v>
      </c>
      <c r="AI10941">
        <v>1</v>
      </c>
      <c r="AJ10941">
        <v>0</v>
      </c>
      <c r="AK10941">
        <v>125.57</v>
      </c>
      <c r="AN10941" t="s">
        <v>7439</v>
      </c>
      <c r="AO10941">
        <v>15684</v>
      </c>
      <c r="AP10941" t="s">
        <v>46337</v>
      </c>
      <c r="AU10941">
        <v>0.6</v>
      </c>
      <c r="AV10941" t="s">
        <v>826</v>
      </c>
      <c r="AW10941" t="s">
        <v>46870</v>
      </c>
      <c r="AX10941" t="s">
        <v>46897</v>
      </c>
    </row>
    <row r="10942" spans="1:50">
      <c r="A10942" s="1">
        <f>HYPERLINK("https://lsnyc.legalserver.org/matter/dynamic-profile/view/1901337","19-1901337")</f>
        <v>0</v>
      </c>
      <c r="B10942" t="s">
        <v>180</v>
      </c>
      <c r="C10942" t="s">
        <v>340</v>
      </c>
      <c r="D10942" t="s">
        <v>807</v>
      </c>
      <c r="F10942" t="s">
        <v>901</v>
      </c>
      <c r="G10942" t="s">
        <v>8464</v>
      </c>
      <c r="H10942" t="s">
        <v>12462</v>
      </c>
      <c r="I10942" t="s">
        <v>18676</v>
      </c>
      <c r="J10942" t="s">
        <v>18894</v>
      </c>
      <c r="K10942">
        <v>11220</v>
      </c>
      <c r="L10942" t="s">
        <v>18960</v>
      </c>
      <c r="M10942" t="s">
        <v>18960</v>
      </c>
      <c r="P10942" t="s">
        <v>26560</v>
      </c>
      <c r="R10942" t="s">
        <v>26586</v>
      </c>
      <c r="U10942" t="s">
        <v>26604</v>
      </c>
      <c r="X10942">
        <v>1344</v>
      </c>
      <c r="Y10942" t="s">
        <v>26652</v>
      </c>
      <c r="Z10942" t="s">
        <v>26659</v>
      </c>
      <c r="AB10942" t="s">
        <v>33413</v>
      </c>
      <c r="AC10942" t="s">
        <v>36638</v>
      </c>
      <c r="AD10942" t="s">
        <v>44146</v>
      </c>
      <c r="AE10942">
        <v>6</v>
      </c>
      <c r="AF10942" t="s">
        <v>45541</v>
      </c>
      <c r="AG10942" t="s">
        <v>45556</v>
      </c>
      <c r="AH10942">
        <v>9</v>
      </c>
      <c r="AI10942">
        <v>1</v>
      </c>
      <c r="AJ10942">
        <v>0</v>
      </c>
      <c r="AK10942">
        <v>81.86</v>
      </c>
      <c r="AN10942" t="s">
        <v>7439</v>
      </c>
      <c r="AO10942">
        <v>10224</v>
      </c>
      <c r="AU10942">
        <v>4</v>
      </c>
      <c r="AV10942" t="s">
        <v>838</v>
      </c>
      <c r="AW10942" t="s">
        <v>46862</v>
      </c>
    </row>
    <row r="10943" spans="1:50">
      <c r="A10943" s="1">
        <f>HYPERLINK("https://lsnyc.legalserver.org/matter/dynamic-profile/view/1901391","19-1901391")</f>
        <v>0</v>
      </c>
      <c r="B10943" t="s">
        <v>134</v>
      </c>
      <c r="C10943" t="s">
        <v>340</v>
      </c>
      <c r="D10943" t="s">
        <v>807</v>
      </c>
      <c r="F10943" t="s">
        <v>4944</v>
      </c>
      <c r="G10943" t="s">
        <v>8382</v>
      </c>
      <c r="H10943" t="s">
        <v>14512</v>
      </c>
      <c r="I10943" t="s">
        <v>17316</v>
      </c>
      <c r="J10943" t="s">
        <v>18894</v>
      </c>
      <c r="K10943">
        <v>11212</v>
      </c>
      <c r="L10943" t="s">
        <v>18958</v>
      </c>
      <c r="M10943" t="s">
        <v>18960</v>
      </c>
      <c r="O10943" t="s">
        <v>26523</v>
      </c>
      <c r="P10943" t="s">
        <v>26560</v>
      </c>
      <c r="R10943" t="s">
        <v>26578</v>
      </c>
      <c r="S10943" t="s">
        <v>18959</v>
      </c>
      <c r="U10943" t="s">
        <v>26604</v>
      </c>
      <c r="V10943" t="s">
        <v>26610</v>
      </c>
      <c r="X10943">
        <v>0</v>
      </c>
      <c r="Y10943" t="s">
        <v>26652</v>
      </c>
      <c r="Z10943" t="s">
        <v>26667</v>
      </c>
      <c r="AB10943" t="s">
        <v>34212</v>
      </c>
      <c r="AD10943" t="s">
        <v>45190</v>
      </c>
      <c r="AE10943">
        <v>23</v>
      </c>
      <c r="AF10943" t="s">
        <v>45541</v>
      </c>
      <c r="AG10943" t="s">
        <v>19330</v>
      </c>
      <c r="AH10943">
        <v>0</v>
      </c>
      <c r="AI10943">
        <v>1</v>
      </c>
      <c r="AJ10943">
        <v>0</v>
      </c>
      <c r="AK10943">
        <v>88.29000000000001</v>
      </c>
      <c r="AN10943" t="s">
        <v>7439</v>
      </c>
      <c r="AO10943">
        <v>11028</v>
      </c>
      <c r="AP10943" t="s">
        <v>46338</v>
      </c>
      <c r="AU10943">
        <v>5.5</v>
      </c>
      <c r="AV10943" t="s">
        <v>833</v>
      </c>
      <c r="AW10943" t="s">
        <v>279</v>
      </c>
      <c r="AX10943" t="s">
        <v>46897</v>
      </c>
    </row>
    <row r="10944" spans="1:50">
      <c r="A10944" s="1">
        <f>HYPERLINK("https://lsnyc.legalserver.org/matter/dynamic-profile/view/1901333","19-1901333")</f>
        <v>0</v>
      </c>
      <c r="B10944" t="s">
        <v>251</v>
      </c>
      <c r="C10944" t="s">
        <v>340</v>
      </c>
      <c r="D10944" t="s">
        <v>807</v>
      </c>
      <c r="F10944" t="s">
        <v>913</v>
      </c>
      <c r="G10944" t="s">
        <v>7022</v>
      </c>
      <c r="H10944" t="s">
        <v>16979</v>
      </c>
      <c r="I10944" t="s">
        <v>17425</v>
      </c>
      <c r="J10944" t="s">
        <v>18892</v>
      </c>
      <c r="K10944">
        <v>10474</v>
      </c>
      <c r="L10944" t="s">
        <v>18958</v>
      </c>
      <c r="M10944" t="s">
        <v>18960</v>
      </c>
      <c r="N10944" t="s">
        <v>26255</v>
      </c>
      <c r="O10944" t="s">
        <v>26523</v>
      </c>
      <c r="P10944" t="s">
        <v>26560</v>
      </c>
      <c r="R10944" t="s">
        <v>26577</v>
      </c>
      <c r="S10944" t="s">
        <v>18959</v>
      </c>
      <c r="U10944" t="s">
        <v>26604</v>
      </c>
      <c r="V10944" t="s">
        <v>26612</v>
      </c>
      <c r="X10944">
        <v>790</v>
      </c>
      <c r="Y10944" t="s">
        <v>26650</v>
      </c>
      <c r="Z10944" t="s">
        <v>26668</v>
      </c>
      <c r="AB10944" t="s">
        <v>27359</v>
      </c>
      <c r="AC10944" t="s">
        <v>36765</v>
      </c>
      <c r="AD10944" t="s">
        <v>45191</v>
      </c>
      <c r="AE10944">
        <v>0</v>
      </c>
      <c r="AF10944" t="s">
        <v>45541</v>
      </c>
      <c r="AG10944" t="s">
        <v>45556</v>
      </c>
      <c r="AH10944">
        <v>9</v>
      </c>
      <c r="AI10944">
        <v>1</v>
      </c>
      <c r="AJ10944">
        <v>2</v>
      </c>
      <c r="AK10944">
        <v>146.27</v>
      </c>
      <c r="AN10944" t="s">
        <v>7439</v>
      </c>
      <c r="AO10944">
        <v>31200</v>
      </c>
      <c r="AU10944">
        <v>5.5</v>
      </c>
      <c r="AV10944" t="s">
        <v>834</v>
      </c>
      <c r="AW10944" t="s">
        <v>335</v>
      </c>
      <c r="AX10944" t="s">
        <v>46898</v>
      </c>
    </row>
    <row r="10945" spans="1:50">
      <c r="A10945" s="1">
        <f>HYPERLINK("https://lsnyc.legalserver.org/matter/dynamic-profile/view/1901387","19-1901387")</f>
        <v>0</v>
      </c>
      <c r="B10945" t="s">
        <v>81</v>
      </c>
      <c r="C10945" t="s">
        <v>340</v>
      </c>
      <c r="D10945" t="s">
        <v>807</v>
      </c>
      <c r="F10945" t="s">
        <v>4945</v>
      </c>
      <c r="G10945" t="s">
        <v>9493</v>
      </c>
      <c r="H10945" t="s">
        <v>10762</v>
      </c>
      <c r="I10945" t="s">
        <v>18243</v>
      </c>
      <c r="J10945" t="s">
        <v>18892</v>
      </c>
      <c r="K10945">
        <v>10467</v>
      </c>
      <c r="L10945" t="s">
        <v>18958</v>
      </c>
      <c r="M10945" t="s">
        <v>18960</v>
      </c>
      <c r="N10945" t="s">
        <v>26256</v>
      </c>
      <c r="O10945" t="s">
        <v>26523</v>
      </c>
      <c r="P10945" t="s">
        <v>26560</v>
      </c>
      <c r="R10945" t="s">
        <v>26579</v>
      </c>
      <c r="S10945" t="s">
        <v>18959</v>
      </c>
      <c r="U10945" t="s">
        <v>26604</v>
      </c>
      <c r="V10945" t="s">
        <v>26610</v>
      </c>
      <c r="X10945">
        <v>1202</v>
      </c>
      <c r="Y10945" t="s">
        <v>26650</v>
      </c>
      <c r="Z10945" t="s">
        <v>26664</v>
      </c>
      <c r="AB10945" t="s">
        <v>34213</v>
      </c>
      <c r="AC10945" t="s">
        <v>36766</v>
      </c>
      <c r="AD10945" t="s">
        <v>45192</v>
      </c>
      <c r="AE10945">
        <v>3</v>
      </c>
      <c r="AF10945" t="s">
        <v>45541</v>
      </c>
      <c r="AG10945" t="s">
        <v>45562</v>
      </c>
      <c r="AH10945">
        <v>3</v>
      </c>
      <c r="AI10945">
        <v>2</v>
      </c>
      <c r="AJ10945">
        <v>2</v>
      </c>
      <c r="AK10945">
        <v>119.1</v>
      </c>
      <c r="AN10945" t="s">
        <v>7439</v>
      </c>
      <c r="AO10945">
        <v>30668</v>
      </c>
      <c r="AU10945">
        <v>0</v>
      </c>
      <c r="AW10945" t="s">
        <v>329</v>
      </c>
    </row>
    <row r="10946" spans="1:50">
      <c r="A10946" s="1">
        <f>HYPERLINK("https://lsnyc.legalserver.org/matter/dynamic-profile/view/1901314","19-1901314")</f>
        <v>0</v>
      </c>
      <c r="B10946" t="s">
        <v>56</v>
      </c>
      <c r="C10946" t="s">
        <v>340</v>
      </c>
      <c r="D10946" t="s">
        <v>807</v>
      </c>
      <c r="F10946" t="s">
        <v>4946</v>
      </c>
      <c r="G10946" t="s">
        <v>9494</v>
      </c>
      <c r="H10946" t="s">
        <v>16546</v>
      </c>
      <c r="I10946" t="s">
        <v>18841</v>
      </c>
      <c r="J10946" t="s">
        <v>18892</v>
      </c>
      <c r="K10946">
        <v>10458</v>
      </c>
      <c r="L10946" t="s">
        <v>18958</v>
      </c>
      <c r="M10946" t="s">
        <v>18960</v>
      </c>
      <c r="P10946" t="s">
        <v>26564</v>
      </c>
      <c r="R10946" t="s">
        <v>26577</v>
      </c>
      <c r="U10946" t="s">
        <v>26604</v>
      </c>
      <c r="X10946">
        <v>0</v>
      </c>
      <c r="Y10946" t="s">
        <v>26650</v>
      </c>
      <c r="AB10946" t="s">
        <v>32044</v>
      </c>
      <c r="AD10946" t="s">
        <v>45193</v>
      </c>
      <c r="AE10946">
        <v>0</v>
      </c>
      <c r="AH10946">
        <v>0</v>
      </c>
      <c r="AI10946">
        <v>5</v>
      </c>
      <c r="AJ10946">
        <v>1</v>
      </c>
      <c r="AK10946">
        <v>0.41</v>
      </c>
      <c r="AN10946" t="s">
        <v>7439</v>
      </c>
      <c r="AO10946">
        <v>141</v>
      </c>
      <c r="AP10946" t="s">
        <v>46336</v>
      </c>
      <c r="AU10946">
        <v>0.5</v>
      </c>
      <c r="AV10946" t="s">
        <v>807</v>
      </c>
      <c r="AW10946" t="s">
        <v>46870</v>
      </c>
      <c r="AX10946" t="s">
        <v>46897</v>
      </c>
    </row>
    <row r="10947" spans="1:50">
      <c r="A10947" s="1">
        <f>HYPERLINK("https://lsnyc.legalserver.org/matter/dynamic-profile/view/1901402","19-1901402")</f>
        <v>0</v>
      </c>
      <c r="B10947" t="s">
        <v>209</v>
      </c>
      <c r="C10947" t="s">
        <v>340</v>
      </c>
      <c r="D10947" t="s">
        <v>807</v>
      </c>
      <c r="F10947" t="s">
        <v>879</v>
      </c>
      <c r="G10947" t="s">
        <v>6933</v>
      </c>
      <c r="H10947" t="s">
        <v>16980</v>
      </c>
      <c r="I10947" t="s">
        <v>17293</v>
      </c>
      <c r="J10947" t="s">
        <v>18892</v>
      </c>
      <c r="K10947">
        <v>10457</v>
      </c>
      <c r="L10947" t="s">
        <v>18958</v>
      </c>
      <c r="M10947" t="s">
        <v>18960</v>
      </c>
      <c r="P10947" t="s">
        <v>26563</v>
      </c>
      <c r="R10947" t="s">
        <v>26591</v>
      </c>
      <c r="U10947" t="s">
        <v>26604</v>
      </c>
      <c r="X10947">
        <v>0</v>
      </c>
      <c r="Y10947" t="s">
        <v>26650</v>
      </c>
      <c r="AB10947" t="s">
        <v>34214</v>
      </c>
      <c r="AD10947" t="s">
        <v>45194</v>
      </c>
      <c r="AE10947">
        <v>0</v>
      </c>
      <c r="AH10947">
        <v>0</v>
      </c>
      <c r="AI10947">
        <v>1</v>
      </c>
      <c r="AJ10947">
        <v>0</v>
      </c>
      <c r="AK10947">
        <v>0</v>
      </c>
      <c r="AN10947" t="s">
        <v>7439</v>
      </c>
      <c r="AO10947">
        <v>0</v>
      </c>
      <c r="AU10947">
        <v>0.5</v>
      </c>
      <c r="AV10947" t="s">
        <v>807</v>
      </c>
      <c r="AW10947" t="s">
        <v>46870</v>
      </c>
      <c r="AX10947" t="s">
        <v>46897</v>
      </c>
    </row>
    <row r="10948" spans="1:50">
      <c r="A10948" s="1">
        <f>HYPERLINK("https://lsnyc.legalserver.org/matter/dynamic-profile/view/1901325","19-1901325")</f>
        <v>0</v>
      </c>
      <c r="B10948" t="s">
        <v>141</v>
      </c>
      <c r="C10948" t="s">
        <v>340</v>
      </c>
      <c r="D10948" t="s">
        <v>807</v>
      </c>
      <c r="F10948" t="s">
        <v>4612</v>
      </c>
      <c r="G10948" t="s">
        <v>8098</v>
      </c>
      <c r="H10948" t="s">
        <v>16981</v>
      </c>
      <c r="I10948" t="s">
        <v>18842</v>
      </c>
      <c r="J10948" t="s">
        <v>18900</v>
      </c>
      <c r="K10948">
        <v>11354</v>
      </c>
      <c r="L10948" t="s">
        <v>18960</v>
      </c>
      <c r="M10948" t="s">
        <v>18960</v>
      </c>
      <c r="P10948" t="s">
        <v>26563</v>
      </c>
      <c r="R10948" t="s">
        <v>26578</v>
      </c>
      <c r="S10948" t="s">
        <v>18959</v>
      </c>
      <c r="U10948" t="s">
        <v>26604</v>
      </c>
      <c r="V10948" t="s">
        <v>26610</v>
      </c>
      <c r="X10948">
        <v>1700</v>
      </c>
      <c r="Y10948" t="s">
        <v>26653</v>
      </c>
      <c r="Z10948" t="s">
        <v>26668</v>
      </c>
      <c r="AB10948" t="s">
        <v>28311</v>
      </c>
      <c r="AC10948" t="s">
        <v>19330</v>
      </c>
      <c r="AD10948" t="s">
        <v>45195</v>
      </c>
      <c r="AE10948">
        <v>104</v>
      </c>
      <c r="AF10948" t="s">
        <v>45553</v>
      </c>
      <c r="AG10948" t="s">
        <v>19330</v>
      </c>
      <c r="AH10948">
        <v>3</v>
      </c>
      <c r="AI10948">
        <v>2</v>
      </c>
      <c r="AJ10948">
        <v>0</v>
      </c>
      <c r="AK10948">
        <v>159.67</v>
      </c>
      <c r="AN10948" t="s">
        <v>45583</v>
      </c>
      <c r="AO10948">
        <v>27000</v>
      </c>
      <c r="AU10948">
        <v>2.8</v>
      </c>
      <c r="AV10948" t="s">
        <v>834</v>
      </c>
      <c r="AW10948" t="s">
        <v>46842</v>
      </c>
    </row>
    <row r="10949" spans="1:50">
      <c r="A10949" s="1">
        <f>HYPERLINK("https://lsnyc.legalserver.org/matter/dynamic-profile/view/1901327","19-1901327")</f>
        <v>0</v>
      </c>
      <c r="B10949" t="s">
        <v>82</v>
      </c>
      <c r="C10949" t="s">
        <v>340</v>
      </c>
      <c r="D10949" t="s">
        <v>807</v>
      </c>
      <c r="F10949" t="s">
        <v>1562</v>
      </c>
      <c r="G10949" t="s">
        <v>7229</v>
      </c>
      <c r="H10949" t="s">
        <v>16982</v>
      </c>
      <c r="I10949">
        <v>23</v>
      </c>
      <c r="J10949" t="s">
        <v>18892</v>
      </c>
      <c r="K10949">
        <v>10457</v>
      </c>
      <c r="L10949" t="s">
        <v>18960</v>
      </c>
      <c r="M10949" t="s">
        <v>18960</v>
      </c>
      <c r="N10949" t="s">
        <v>26257</v>
      </c>
      <c r="O10949" t="s">
        <v>26523</v>
      </c>
      <c r="P10949" t="s">
        <v>26560</v>
      </c>
      <c r="R10949" t="s">
        <v>26577</v>
      </c>
      <c r="U10949" t="s">
        <v>26604</v>
      </c>
      <c r="X10949">
        <v>1311.61</v>
      </c>
      <c r="Y10949" t="s">
        <v>26650</v>
      </c>
      <c r="AB10949" t="s">
        <v>30437</v>
      </c>
      <c r="AD10949" t="s">
        <v>45196</v>
      </c>
      <c r="AE10949">
        <v>0</v>
      </c>
      <c r="AG10949" t="s">
        <v>45557</v>
      </c>
      <c r="AH10949">
        <v>7</v>
      </c>
      <c r="AI10949">
        <v>1</v>
      </c>
      <c r="AJ10949">
        <v>4</v>
      </c>
      <c r="AK10949">
        <v>18.3</v>
      </c>
      <c r="AN10949" t="s">
        <v>7439</v>
      </c>
      <c r="AO10949">
        <v>5520</v>
      </c>
      <c r="AU10949">
        <v>1</v>
      </c>
      <c r="AV10949" t="s">
        <v>772</v>
      </c>
      <c r="AW10949" t="s">
        <v>46836</v>
      </c>
    </row>
    <row r="10950" spans="1:50">
      <c r="A10950" s="1">
        <f>HYPERLINK("https://lsnyc.legalserver.org/matter/dynamic-profile/view/1901312","19-1901312")</f>
        <v>0</v>
      </c>
      <c r="B10950" t="s">
        <v>82</v>
      </c>
      <c r="C10950" t="s">
        <v>340</v>
      </c>
      <c r="D10950" t="s">
        <v>807</v>
      </c>
      <c r="F10950" t="s">
        <v>1315</v>
      </c>
      <c r="G10950" t="s">
        <v>9495</v>
      </c>
      <c r="H10950" t="s">
        <v>16983</v>
      </c>
      <c r="I10950" t="s">
        <v>18843</v>
      </c>
      <c r="J10950" t="s">
        <v>18892</v>
      </c>
      <c r="K10950">
        <v>10468</v>
      </c>
      <c r="L10950" t="s">
        <v>18960</v>
      </c>
      <c r="M10950" t="s">
        <v>18960</v>
      </c>
      <c r="N10950" t="s">
        <v>26258</v>
      </c>
      <c r="O10950" t="s">
        <v>26523</v>
      </c>
      <c r="P10950" t="s">
        <v>26560</v>
      </c>
      <c r="R10950" t="s">
        <v>26577</v>
      </c>
      <c r="S10950" t="s">
        <v>18959</v>
      </c>
      <c r="U10950" t="s">
        <v>26604</v>
      </c>
      <c r="V10950" t="s">
        <v>26610</v>
      </c>
      <c r="X10950">
        <v>1086.26</v>
      </c>
      <c r="Y10950" t="s">
        <v>26650</v>
      </c>
      <c r="AB10950" t="s">
        <v>34215</v>
      </c>
      <c r="AD10950" t="s">
        <v>45197</v>
      </c>
      <c r="AE10950">
        <v>871</v>
      </c>
      <c r="AG10950" t="s">
        <v>45556</v>
      </c>
      <c r="AH10950">
        <v>5</v>
      </c>
      <c r="AI10950">
        <v>1</v>
      </c>
      <c r="AJ10950">
        <v>0</v>
      </c>
      <c r="AK10950">
        <v>104.08</v>
      </c>
      <c r="AN10950" t="s">
        <v>7439</v>
      </c>
      <c r="AO10950">
        <v>13000</v>
      </c>
      <c r="AU10950">
        <v>1</v>
      </c>
      <c r="AV10950" t="s">
        <v>729</v>
      </c>
      <c r="AW10950" t="s">
        <v>46836</v>
      </c>
    </row>
    <row r="10951" spans="1:50">
      <c r="A10951" s="1">
        <f>HYPERLINK("https://lsnyc.legalserver.org/matter/dynamic-profile/view/1901399","19-1901399")</f>
        <v>0</v>
      </c>
      <c r="B10951" t="s">
        <v>82</v>
      </c>
      <c r="C10951" t="s">
        <v>340</v>
      </c>
      <c r="D10951" t="s">
        <v>807</v>
      </c>
      <c r="F10951" t="s">
        <v>4947</v>
      </c>
      <c r="G10951" t="s">
        <v>9496</v>
      </c>
      <c r="H10951" t="s">
        <v>13224</v>
      </c>
      <c r="I10951">
        <v>63</v>
      </c>
      <c r="J10951" t="s">
        <v>18892</v>
      </c>
      <c r="K10951">
        <v>10452</v>
      </c>
      <c r="L10951" t="s">
        <v>18958</v>
      </c>
      <c r="M10951" t="s">
        <v>18960</v>
      </c>
      <c r="N10951" t="s">
        <v>26259</v>
      </c>
      <c r="O10951" t="s">
        <v>26524</v>
      </c>
      <c r="P10951" t="s">
        <v>26564</v>
      </c>
      <c r="R10951" t="s">
        <v>26577</v>
      </c>
      <c r="S10951" t="s">
        <v>18959</v>
      </c>
      <c r="U10951" t="s">
        <v>26604</v>
      </c>
      <c r="X10951">
        <v>0</v>
      </c>
      <c r="Y10951" t="s">
        <v>26650</v>
      </c>
      <c r="AB10951" t="s">
        <v>27691</v>
      </c>
      <c r="AE10951">
        <v>0</v>
      </c>
      <c r="AH10951">
        <v>0</v>
      </c>
      <c r="AI10951">
        <v>2</v>
      </c>
      <c r="AJ10951">
        <v>0</v>
      </c>
      <c r="AK10951">
        <v>177.41</v>
      </c>
      <c r="AN10951" t="s">
        <v>7439</v>
      </c>
      <c r="AO10951">
        <v>30000</v>
      </c>
      <c r="AP10951" t="s">
        <v>46337</v>
      </c>
      <c r="AU10951">
        <v>0</v>
      </c>
      <c r="AW10951" t="s">
        <v>335</v>
      </c>
      <c r="AX10951" t="s">
        <v>46897</v>
      </c>
    </row>
    <row r="10952" spans="1:50">
      <c r="A10952" s="1">
        <f>HYPERLINK("https://lsnyc.legalserver.org/matter/dynamic-profile/view/1901332","19-1901332")</f>
        <v>0</v>
      </c>
      <c r="B10952" t="s">
        <v>200</v>
      </c>
      <c r="C10952" t="s">
        <v>340</v>
      </c>
      <c r="D10952" t="s">
        <v>807</v>
      </c>
      <c r="F10952" t="s">
        <v>1079</v>
      </c>
      <c r="G10952" t="s">
        <v>9475</v>
      </c>
      <c r="H10952" t="s">
        <v>16946</v>
      </c>
      <c r="I10952" t="s">
        <v>17331</v>
      </c>
      <c r="J10952" t="s">
        <v>18894</v>
      </c>
      <c r="K10952">
        <v>11207</v>
      </c>
      <c r="L10952" t="s">
        <v>18959</v>
      </c>
      <c r="M10952" t="s">
        <v>18960</v>
      </c>
      <c r="N10952" t="s">
        <v>19037</v>
      </c>
      <c r="O10952" t="s">
        <v>18997</v>
      </c>
      <c r="R10952" t="s">
        <v>26578</v>
      </c>
      <c r="S10952" t="s">
        <v>18959</v>
      </c>
      <c r="U10952" t="s">
        <v>26604</v>
      </c>
      <c r="X10952">
        <v>850</v>
      </c>
      <c r="Y10952" t="s">
        <v>26652</v>
      </c>
      <c r="Z10952" t="s">
        <v>26661</v>
      </c>
      <c r="AB10952" t="s">
        <v>34185</v>
      </c>
      <c r="AE10952">
        <v>8</v>
      </c>
      <c r="AF10952" t="s">
        <v>45541</v>
      </c>
      <c r="AG10952" t="s">
        <v>19330</v>
      </c>
      <c r="AH10952">
        <v>1</v>
      </c>
      <c r="AI10952">
        <v>1</v>
      </c>
      <c r="AJ10952">
        <v>0</v>
      </c>
      <c r="AK10952">
        <v>240.19</v>
      </c>
      <c r="AN10952" t="s">
        <v>7439</v>
      </c>
      <c r="AO10952">
        <v>30000</v>
      </c>
      <c r="AU10952">
        <v>0.8</v>
      </c>
      <c r="AV10952" t="s">
        <v>729</v>
      </c>
      <c r="AW10952" t="s">
        <v>279</v>
      </c>
      <c r="AX10952" t="s">
        <v>19330</v>
      </c>
    </row>
    <row r="10953" spans="1:50">
      <c r="A10953" s="1">
        <f>HYPERLINK("https://lsnyc.legalserver.org/matter/dynamic-profile/view/1901338","19-1901338")</f>
        <v>0</v>
      </c>
      <c r="B10953" t="s">
        <v>121</v>
      </c>
      <c r="C10953" t="s">
        <v>340</v>
      </c>
      <c r="D10953" t="s">
        <v>807</v>
      </c>
      <c r="F10953" t="s">
        <v>1047</v>
      </c>
      <c r="G10953" t="s">
        <v>8276</v>
      </c>
      <c r="H10953" t="s">
        <v>16984</v>
      </c>
      <c r="I10953" t="s">
        <v>17274</v>
      </c>
      <c r="J10953" t="s">
        <v>18892</v>
      </c>
      <c r="K10953">
        <v>10462</v>
      </c>
      <c r="L10953" t="s">
        <v>18960</v>
      </c>
      <c r="M10953" t="s">
        <v>18960</v>
      </c>
      <c r="N10953" t="s">
        <v>26260</v>
      </c>
      <c r="O10953" t="s">
        <v>26523</v>
      </c>
      <c r="P10953" t="s">
        <v>26560</v>
      </c>
      <c r="R10953" t="s">
        <v>26577</v>
      </c>
      <c r="U10953" t="s">
        <v>26604</v>
      </c>
      <c r="X10953">
        <v>1608</v>
      </c>
      <c r="Y10953" t="s">
        <v>26650</v>
      </c>
      <c r="Z10953" t="s">
        <v>26668</v>
      </c>
      <c r="AB10953" t="s">
        <v>29963</v>
      </c>
      <c r="AC10953" t="s">
        <v>36767</v>
      </c>
      <c r="AD10953" t="s">
        <v>45198</v>
      </c>
      <c r="AE10953">
        <v>6</v>
      </c>
      <c r="AF10953" t="s">
        <v>45548</v>
      </c>
      <c r="AG10953" t="s">
        <v>45558</v>
      </c>
      <c r="AH10953">
        <v>3</v>
      </c>
      <c r="AI10953">
        <v>2</v>
      </c>
      <c r="AJ10953">
        <v>0</v>
      </c>
      <c r="AK10953">
        <v>66.56</v>
      </c>
      <c r="AN10953" t="s">
        <v>7439</v>
      </c>
      <c r="AO10953">
        <v>11256</v>
      </c>
      <c r="AU10953">
        <v>2.7</v>
      </c>
      <c r="AV10953" t="s">
        <v>835</v>
      </c>
      <c r="AW10953" t="s">
        <v>46836</v>
      </c>
    </row>
    <row r="10954" spans="1:50">
      <c r="A10954" s="1">
        <f>HYPERLINK("https://lsnyc.legalserver.org/matter/dynamic-profile/view/1901335","19-1901335")</f>
        <v>0</v>
      </c>
      <c r="B10954" t="s">
        <v>187</v>
      </c>
      <c r="C10954" t="s">
        <v>340</v>
      </c>
      <c r="D10954" t="s">
        <v>807</v>
      </c>
      <c r="F10954" t="s">
        <v>3672</v>
      </c>
      <c r="G10954" t="s">
        <v>6979</v>
      </c>
      <c r="H10954" t="s">
        <v>16985</v>
      </c>
      <c r="I10954" t="s">
        <v>17452</v>
      </c>
      <c r="J10954" t="s">
        <v>18892</v>
      </c>
      <c r="K10954">
        <v>10473</v>
      </c>
      <c r="L10954" t="s">
        <v>18958</v>
      </c>
      <c r="M10954" t="s">
        <v>18960</v>
      </c>
      <c r="O10954" t="s">
        <v>26524</v>
      </c>
      <c r="P10954" t="s">
        <v>26564</v>
      </c>
      <c r="R10954" t="s">
        <v>26577</v>
      </c>
      <c r="U10954" t="s">
        <v>26604</v>
      </c>
      <c r="X10954">
        <v>0</v>
      </c>
      <c r="Y10954" t="s">
        <v>26650</v>
      </c>
      <c r="AB10954" t="s">
        <v>30445</v>
      </c>
      <c r="AD10954" t="s">
        <v>45199</v>
      </c>
      <c r="AE10954">
        <v>0</v>
      </c>
      <c r="AF10954" t="s">
        <v>45549</v>
      </c>
      <c r="AH10954">
        <v>30</v>
      </c>
      <c r="AI10954">
        <v>4</v>
      </c>
      <c r="AJ10954">
        <v>3</v>
      </c>
      <c r="AK10954">
        <v>0</v>
      </c>
      <c r="AN10954" t="s">
        <v>7439</v>
      </c>
      <c r="AO10954">
        <v>0</v>
      </c>
      <c r="AP10954" t="s">
        <v>46337</v>
      </c>
      <c r="AU10954">
        <v>0</v>
      </c>
      <c r="AW10954" t="s">
        <v>284</v>
      </c>
      <c r="AX10954" t="s">
        <v>46897</v>
      </c>
    </row>
    <row r="10955" spans="1:50">
      <c r="A10955" s="1">
        <f>HYPERLINK("https://lsnyc.legalserver.org/matter/dynamic-profile/view/1901323","19-1901323")</f>
        <v>0</v>
      </c>
      <c r="B10955" t="s">
        <v>170</v>
      </c>
      <c r="C10955" t="s">
        <v>340</v>
      </c>
      <c r="D10955" t="s">
        <v>807</v>
      </c>
      <c r="F10955" t="s">
        <v>1695</v>
      </c>
      <c r="G10955" t="s">
        <v>7273</v>
      </c>
      <c r="H10955" t="s">
        <v>12957</v>
      </c>
      <c r="I10955">
        <v>4</v>
      </c>
      <c r="J10955" t="s">
        <v>18894</v>
      </c>
      <c r="K10955">
        <v>11220</v>
      </c>
      <c r="L10955" t="s">
        <v>18960</v>
      </c>
      <c r="M10955" t="s">
        <v>18960</v>
      </c>
      <c r="N10955" t="s">
        <v>26261</v>
      </c>
      <c r="O10955" t="s">
        <v>26523</v>
      </c>
      <c r="P10955" t="s">
        <v>26563</v>
      </c>
      <c r="R10955" t="s">
        <v>26586</v>
      </c>
      <c r="U10955" t="s">
        <v>26604</v>
      </c>
      <c r="X10955">
        <v>1068.5</v>
      </c>
      <c r="Y10955" t="s">
        <v>26652</v>
      </c>
      <c r="Z10955" t="s">
        <v>26659</v>
      </c>
      <c r="AB10955" t="s">
        <v>30311</v>
      </c>
      <c r="AD10955" t="s">
        <v>40454</v>
      </c>
      <c r="AE10955">
        <v>6</v>
      </c>
      <c r="AF10955" t="s">
        <v>45541</v>
      </c>
      <c r="AG10955" t="s">
        <v>19330</v>
      </c>
      <c r="AH10955">
        <v>24</v>
      </c>
      <c r="AI10955">
        <v>2</v>
      </c>
      <c r="AJ10955">
        <v>2</v>
      </c>
      <c r="AK10955">
        <v>77.67</v>
      </c>
      <c r="AN10955" t="s">
        <v>7439</v>
      </c>
      <c r="AO10955">
        <v>20000</v>
      </c>
      <c r="AU10955">
        <v>1.5</v>
      </c>
      <c r="AV10955" t="s">
        <v>833</v>
      </c>
      <c r="AW10955" t="s">
        <v>46862</v>
      </c>
    </row>
    <row r="10956" spans="1:50">
      <c r="A10956" s="1">
        <f>HYPERLINK("https://lsnyc.legalserver.org/matter/dynamic-profile/view/1901405","19-1901405")</f>
        <v>0</v>
      </c>
      <c r="B10956" t="s">
        <v>263</v>
      </c>
      <c r="C10956" t="s">
        <v>340</v>
      </c>
      <c r="D10956" t="s">
        <v>807</v>
      </c>
      <c r="F10956" t="s">
        <v>4948</v>
      </c>
      <c r="G10956" t="s">
        <v>5311</v>
      </c>
      <c r="H10956" t="s">
        <v>16986</v>
      </c>
      <c r="I10956" t="s">
        <v>18796</v>
      </c>
      <c r="J10956" t="s">
        <v>18892</v>
      </c>
      <c r="K10956">
        <v>10452</v>
      </c>
      <c r="L10956" t="s">
        <v>18958</v>
      </c>
      <c r="M10956" t="s">
        <v>18960</v>
      </c>
      <c r="O10956" t="s">
        <v>18997</v>
      </c>
      <c r="P10956" t="s">
        <v>26564</v>
      </c>
      <c r="R10956" t="s">
        <v>26578</v>
      </c>
      <c r="S10956" t="s">
        <v>18959</v>
      </c>
      <c r="U10956" t="s">
        <v>26604</v>
      </c>
      <c r="X10956">
        <v>808.88</v>
      </c>
      <c r="Y10956" t="s">
        <v>26650</v>
      </c>
      <c r="Z10956" t="s">
        <v>26663</v>
      </c>
      <c r="AB10956" t="s">
        <v>31434</v>
      </c>
      <c r="AE10956">
        <v>0</v>
      </c>
      <c r="AF10956" t="s">
        <v>45541</v>
      </c>
      <c r="AH10956">
        <v>37</v>
      </c>
      <c r="AI10956">
        <v>1</v>
      </c>
      <c r="AJ10956">
        <v>0</v>
      </c>
      <c r="AK10956">
        <v>0</v>
      </c>
      <c r="AN10956" t="s">
        <v>7439</v>
      </c>
      <c r="AO10956">
        <v>0</v>
      </c>
      <c r="AU10956">
        <v>1</v>
      </c>
      <c r="AV10956" t="s">
        <v>797</v>
      </c>
      <c r="AW10956" t="s">
        <v>263</v>
      </c>
      <c r="AX10956" t="s">
        <v>46897</v>
      </c>
    </row>
    <row r="10957" spans="1:50">
      <c r="A10957" s="1">
        <f>HYPERLINK("https://lsnyc.legalserver.org/matter/dynamic-profile/view/1901369","19-1901369")</f>
        <v>0</v>
      </c>
      <c r="B10957" t="s">
        <v>263</v>
      </c>
      <c r="C10957" t="s">
        <v>340</v>
      </c>
      <c r="D10957" t="s">
        <v>807</v>
      </c>
      <c r="F10957" t="s">
        <v>1767</v>
      </c>
      <c r="G10957" t="s">
        <v>1938</v>
      </c>
      <c r="H10957" t="s">
        <v>16987</v>
      </c>
      <c r="I10957" t="s">
        <v>17309</v>
      </c>
      <c r="J10957" t="s">
        <v>18892</v>
      </c>
      <c r="K10957">
        <v>10472</v>
      </c>
      <c r="L10957" t="s">
        <v>18958</v>
      </c>
      <c r="M10957" t="s">
        <v>18960</v>
      </c>
      <c r="O10957" t="s">
        <v>18997</v>
      </c>
      <c r="P10957" t="s">
        <v>26564</v>
      </c>
      <c r="R10957" t="s">
        <v>26578</v>
      </c>
      <c r="S10957" t="s">
        <v>18959</v>
      </c>
      <c r="U10957" t="s">
        <v>26604</v>
      </c>
      <c r="X10957">
        <v>1303</v>
      </c>
      <c r="Y10957" t="s">
        <v>26650</v>
      </c>
      <c r="Z10957" t="s">
        <v>26663</v>
      </c>
      <c r="AB10957" t="s">
        <v>34216</v>
      </c>
      <c r="AD10957" t="s">
        <v>34738</v>
      </c>
      <c r="AE10957">
        <v>0</v>
      </c>
      <c r="AF10957" t="s">
        <v>45541</v>
      </c>
      <c r="AG10957" t="s">
        <v>45558</v>
      </c>
      <c r="AH10957">
        <v>0</v>
      </c>
      <c r="AI10957">
        <v>1</v>
      </c>
      <c r="AJ10957">
        <v>1</v>
      </c>
      <c r="AK10957">
        <v>44.74</v>
      </c>
      <c r="AN10957" t="s">
        <v>7439</v>
      </c>
      <c r="AO10957">
        <v>7566</v>
      </c>
      <c r="AU10957">
        <v>3</v>
      </c>
      <c r="AV10957" t="s">
        <v>839</v>
      </c>
      <c r="AW10957" t="s">
        <v>263</v>
      </c>
      <c r="AX10957" t="s">
        <v>46897</v>
      </c>
    </row>
    <row r="10958" spans="1:50">
      <c r="A10958" s="1">
        <f>HYPERLINK("https://lsnyc.legalserver.org/matter/dynamic-profile/view/1901408","19-1901408")</f>
        <v>0</v>
      </c>
      <c r="B10958" t="s">
        <v>263</v>
      </c>
      <c r="C10958" t="s">
        <v>340</v>
      </c>
      <c r="D10958" t="s">
        <v>807</v>
      </c>
      <c r="F10958" t="s">
        <v>1251</v>
      </c>
      <c r="G10958" t="s">
        <v>5711</v>
      </c>
      <c r="H10958" t="s">
        <v>11854</v>
      </c>
      <c r="I10958">
        <v>205</v>
      </c>
      <c r="J10958" t="s">
        <v>18892</v>
      </c>
      <c r="K10958">
        <v>10457</v>
      </c>
      <c r="L10958" t="s">
        <v>18958</v>
      </c>
      <c r="M10958" t="s">
        <v>18960</v>
      </c>
      <c r="O10958" t="s">
        <v>18997</v>
      </c>
      <c r="P10958" t="s">
        <v>26564</v>
      </c>
      <c r="R10958" t="s">
        <v>26578</v>
      </c>
      <c r="S10958" t="s">
        <v>18959</v>
      </c>
      <c r="U10958" t="s">
        <v>26604</v>
      </c>
      <c r="X10958">
        <v>574</v>
      </c>
      <c r="Y10958" t="s">
        <v>26650</v>
      </c>
      <c r="Z10958" t="s">
        <v>26663</v>
      </c>
      <c r="AB10958" t="s">
        <v>28354</v>
      </c>
      <c r="AD10958" t="s">
        <v>45200</v>
      </c>
      <c r="AE10958">
        <v>0</v>
      </c>
      <c r="AF10958" t="s">
        <v>20460</v>
      </c>
      <c r="AG10958" t="s">
        <v>45556</v>
      </c>
      <c r="AH10958">
        <v>5</v>
      </c>
      <c r="AI10958">
        <v>2</v>
      </c>
      <c r="AJ10958">
        <v>0</v>
      </c>
      <c r="AK10958">
        <v>52.55</v>
      </c>
      <c r="AN10958" t="s">
        <v>45588</v>
      </c>
      <c r="AO10958">
        <v>8887</v>
      </c>
      <c r="AU10958">
        <v>2.5</v>
      </c>
      <c r="AV10958" t="s">
        <v>832</v>
      </c>
      <c r="AW10958" t="s">
        <v>263</v>
      </c>
      <c r="AX10958" t="s">
        <v>46897</v>
      </c>
    </row>
    <row r="10959" spans="1:50">
      <c r="A10959" s="1">
        <f>HYPERLINK("https://lsnyc.legalserver.org/matter/dynamic-profile/view/1901296","19-1901296")</f>
        <v>0</v>
      </c>
      <c r="B10959" t="s">
        <v>103</v>
      </c>
      <c r="C10959" t="s">
        <v>340</v>
      </c>
      <c r="D10959" t="s">
        <v>807</v>
      </c>
      <c r="F10959" t="s">
        <v>999</v>
      </c>
      <c r="G10959" t="s">
        <v>7356</v>
      </c>
      <c r="H10959" t="s">
        <v>13126</v>
      </c>
      <c r="I10959" t="s">
        <v>17277</v>
      </c>
      <c r="J10959" t="s">
        <v>18902</v>
      </c>
      <c r="K10959">
        <v>10301</v>
      </c>
      <c r="L10959" t="s">
        <v>18960</v>
      </c>
      <c r="M10959" t="s">
        <v>18960</v>
      </c>
      <c r="O10959" t="s">
        <v>26549</v>
      </c>
      <c r="P10959" t="s">
        <v>26560</v>
      </c>
      <c r="R10959" t="s">
        <v>26578</v>
      </c>
      <c r="S10959" t="s">
        <v>18959</v>
      </c>
      <c r="U10959" t="s">
        <v>26606</v>
      </c>
      <c r="V10959" t="s">
        <v>26610</v>
      </c>
      <c r="X10959">
        <v>2200</v>
      </c>
      <c r="Y10959" t="s">
        <v>26654</v>
      </c>
      <c r="Z10959" t="s">
        <v>26659</v>
      </c>
      <c r="AB10959" t="s">
        <v>30477</v>
      </c>
      <c r="AD10959" t="s">
        <v>40651</v>
      </c>
      <c r="AE10959">
        <v>227</v>
      </c>
      <c r="AF10959" t="s">
        <v>45550</v>
      </c>
      <c r="AG10959" t="s">
        <v>45556</v>
      </c>
      <c r="AH10959">
        <v>7</v>
      </c>
      <c r="AI10959">
        <v>2</v>
      </c>
      <c r="AJ10959">
        <v>0</v>
      </c>
      <c r="AK10959">
        <v>0</v>
      </c>
      <c r="AN10959" t="s">
        <v>7439</v>
      </c>
      <c r="AO10959">
        <v>0</v>
      </c>
      <c r="AU10959">
        <v>22.6</v>
      </c>
      <c r="AV10959" t="s">
        <v>836</v>
      </c>
      <c r="AW10959" t="s">
        <v>103</v>
      </c>
    </row>
    <row r="10960" spans="1:50">
      <c r="A10960" s="1">
        <f>HYPERLINK("https://lsnyc.legalserver.org/matter/dynamic-profile/view/1901370","19-1901370")</f>
        <v>0</v>
      </c>
      <c r="B10960" t="s">
        <v>198</v>
      </c>
      <c r="C10960" t="s">
        <v>340</v>
      </c>
      <c r="D10960" t="s">
        <v>807</v>
      </c>
      <c r="F10960" t="s">
        <v>4949</v>
      </c>
      <c r="G10960" t="s">
        <v>9497</v>
      </c>
      <c r="H10960" t="s">
        <v>16988</v>
      </c>
      <c r="I10960" t="s">
        <v>17331</v>
      </c>
      <c r="J10960" t="s">
        <v>18894</v>
      </c>
      <c r="K10960">
        <v>11218</v>
      </c>
      <c r="L10960" t="s">
        <v>18960</v>
      </c>
      <c r="M10960" t="s">
        <v>18960</v>
      </c>
      <c r="O10960" t="s">
        <v>18997</v>
      </c>
      <c r="R10960" t="s">
        <v>26578</v>
      </c>
      <c r="S10960" t="s">
        <v>18959</v>
      </c>
      <c r="U10960" t="s">
        <v>26604</v>
      </c>
      <c r="X10960">
        <v>1100</v>
      </c>
      <c r="Y10960" t="s">
        <v>26652</v>
      </c>
      <c r="Z10960" t="s">
        <v>26661</v>
      </c>
      <c r="AB10960" t="s">
        <v>34217</v>
      </c>
      <c r="AD10960" t="s">
        <v>45201</v>
      </c>
      <c r="AE10960">
        <v>6</v>
      </c>
      <c r="AF10960" t="s">
        <v>45541</v>
      </c>
      <c r="AG10960" t="s">
        <v>19330</v>
      </c>
      <c r="AH10960">
        <v>25</v>
      </c>
      <c r="AI10960">
        <v>2</v>
      </c>
      <c r="AJ10960">
        <v>0</v>
      </c>
      <c r="AK10960">
        <v>106.45</v>
      </c>
      <c r="AN10960" t="s">
        <v>7439</v>
      </c>
      <c r="AO10960">
        <v>18000</v>
      </c>
      <c r="AU10960">
        <v>2</v>
      </c>
      <c r="AV10960" t="s">
        <v>834</v>
      </c>
      <c r="AW10960" t="s">
        <v>46841</v>
      </c>
    </row>
    <row r="10961" spans="1:50">
      <c r="A10961" s="1">
        <f>HYPERLINK("https://lsnyc.legalserver.org/matter/dynamic-profile/view/1901326","19-1901326")</f>
        <v>0</v>
      </c>
      <c r="B10961" t="s">
        <v>256</v>
      </c>
      <c r="C10961" t="s">
        <v>340</v>
      </c>
      <c r="D10961" t="s">
        <v>807</v>
      </c>
      <c r="F10961" t="s">
        <v>2495</v>
      </c>
      <c r="G10961" t="s">
        <v>6099</v>
      </c>
      <c r="H10961" t="s">
        <v>16989</v>
      </c>
      <c r="I10961" t="s">
        <v>17416</v>
      </c>
      <c r="J10961" t="s">
        <v>18894</v>
      </c>
      <c r="K10961">
        <v>11226</v>
      </c>
      <c r="L10961" t="s">
        <v>18960</v>
      </c>
      <c r="M10961" t="s">
        <v>18960</v>
      </c>
      <c r="R10961" t="s">
        <v>26583</v>
      </c>
      <c r="U10961" t="s">
        <v>26604</v>
      </c>
      <c r="X10961">
        <v>1800</v>
      </c>
      <c r="Y10961" t="s">
        <v>26652</v>
      </c>
      <c r="Z10961" t="s">
        <v>26530</v>
      </c>
      <c r="AB10961" t="s">
        <v>34218</v>
      </c>
      <c r="AD10961" t="s">
        <v>45202</v>
      </c>
      <c r="AE10961">
        <v>2</v>
      </c>
      <c r="AH10961">
        <v>3</v>
      </c>
      <c r="AI10961">
        <v>3</v>
      </c>
      <c r="AJ10961">
        <v>2</v>
      </c>
      <c r="AK10961">
        <v>348.03</v>
      </c>
      <c r="AN10961" t="s">
        <v>7439</v>
      </c>
      <c r="AO10961">
        <v>105000</v>
      </c>
      <c r="AU10961">
        <v>0.5</v>
      </c>
      <c r="AV10961" t="s">
        <v>807</v>
      </c>
      <c r="AW10961" t="s">
        <v>46849</v>
      </c>
    </row>
    <row r="10962" spans="1:50">
      <c r="A10962" s="1">
        <f>HYPERLINK("https://lsnyc.legalserver.org/matter/dynamic-profile/view/1901306","19-1901306")</f>
        <v>0</v>
      </c>
      <c r="B10962" t="s">
        <v>275</v>
      </c>
      <c r="C10962" t="s">
        <v>340</v>
      </c>
      <c r="D10962" t="s">
        <v>807</v>
      </c>
      <c r="F10962" t="s">
        <v>2173</v>
      </c>
      <c r="G10962" t="s">
        <v>9498</v>
      </c>
      <c r="H10962" t="s">
        <v>16990</v>
      </c>
      <c r="I10962" t="s">
        <v>17316</v>
      </c>
      <c r="J10962" t="s">
        <v>18892</v>
      </c>
      <c r="K10962">
        <v>10468</v>
      </c>
      <c r="L10962" t="s">
        <v>18958</v>
      </c>
      <c r="M10962" t="s">
        <v>18960</v>
      </c>
      <c r="N10962" t="s">
        <v>26262</v>
      </c>
      <c r="O10962" t="s">
        <v>26524</v>
      </c>
      <c r="R10962" t="s">
        <v>26579</v>
      </c>
      <c r="S10962" t="s">
        <v>18959</v>
      </c>
      <c r="U10962" t="s">
        <v>26604</v>
      </c>
      <c r="V10962" t="s">
        <v>26610</v>
      </c>
      <c r="X10962">
        <v>325.22</v>
      </c>
      <c r="Y10962" t="s">
        <v>26650</v>
      </c>
      <c r="AB10962" t="s">
        <v>29647</v>
      </c>
      <c r="AD10962" t="s">
        <v>45203</v>
      </c>
      <c r="AE10962">
        <v>20</v>
      </c>
      <c r="AF10962" t="s">
        <v>45541</v>
      </c>
      <c r="AH10962">
        <v>47</v>
      </c>
      <c r="AI10962">
        <v>1</v>
      </c>
      <c r="AJ10962">
        <v>0</v>
      </c>
      <c r="AK10962">
        <v>127.01</v>
      </c>
      <c r="AN10962" t="s">
        <v>7439</v>
      </c>
      <c r="AO10962">
        <v>15864</v>
      </c>
      <c r="AU10962">
        <v>0</v>
      </c>
      <c r="AW10962" t="s">
        <v>335</v>
      </c>
      <c r="AX10962" t="s">
        <v>46897</v>
      </c>
    </row>
    <row r="10963" spans="1:50">
      <c r="A10963" s="1">
        <f>HYPERLINK("https://lsnyc.legalserver.org/matter/dynamic-profile/view/1901549","19-1901549")</f>
        <v>0</v>
      </c>
      <c r="B10963" t="s">
        <v>256</v>
      </c>
      <c r="C10963" t="s">
        <v>341</v>
      </c>
      <c r="D10963" t="s">
        <v>729</v>
      </c>
      <c r="E10963" t="s">
        <v>729</v>
      </c>
      <c r="F10963" t="s">
        <v>4950</v>
      </c>
      <c r="G10963" t="s">
        <v>6737</v>
      </c>
      <c r="H10963" t="s">
        <v>16991</v>
      </c>
      <c r="I10963" t="s">
        <v>18844</v>
      </c>
      <c r="J10963" t="s">
        <v>18894</v>
      </c>
      <c r="K10963">
        <v>11230</v>
      </c>
      <c r="L10963" t="s">
        <v>18960</v>
      </c>
      <c r="M10963" t="s">
        <v>18960</v>
      </c>
      <c r="O10963" t="s">
        <v>18997</v>
      </c>
      <c r="P10963" t="s">
        <v>26564</v>
      </c>
      <c r="Q10963" t="s">
        <v>26570</v>
      </c>
      <c r="R10963" t="s">
        <v>26591</v>
      </c>
      <c r="S10963" t="s">
        <v>18959</v>
      </c>
      <c r="U10963" t="s">
        <v>26604</v>
      </c>
      <c r="X10963">
        <v>1632</v>
      </c>
      <c r="Y10963" t="s">
        <v>26652</v>
      </c>
      <c r="AA10963" t="s">
        <v>26683</v>
      </c>
      <c r="AB10963" t="s">
        <v>34219</v>
      </c>
      <c r="AD10963" t="s">
        <v>45204</v>
      </c>
      <c r="AE10963">
        <v>60</v>
      </c>
      <c r="AF10963" t="s">
        <v>20460</v>
      </c>
      <c r="AG10963" t="s">
        <v>19330</v>
      </c>
      <c r="AH10963">
        <v>3</v>
      </c>
      <c r="AI10963">
        <v>1</v>
      </c>
      <c r="AJ10963">
        <v>0</v>
      </c>
      <c r="AK10963">
        <v>28.82</v>
      </c>
      <c r="AN10963" t="s">
        <v>7439</v>
      </c>
      <c r="AO10963">
        <v>3600</v>
      </c>
      <c r="AU10963">
        <v>0.7</v>
      </c>
      <c r="AV10963" t="s">
        <v>729</v>
      </c>
      <c r="AW10963" t="s">
        <v>46829</v>
      </c>
    </row>
    <row r="10964" spans="1:50">
      <c r="A10964" s="1">
        <f>HYPERLINK("https://lsnyc.legalserver.org/matter/dynamic-profile/view/1901559","19-1901559")</f>
        <v>0</v>
      </c>
      <c r="B10964" t="s">
        <v>70</v>
      </c>
      <c r="C10964" t="s">
        <v>340</v>
      </c>
      <c r="D10964" t="s">
        <v>729</v>
      </c>
      <c r="F10964" t="s">
        <v>4951</v>
      </c>
      <c r="G10964" t="s">
        <v>890</v>
      </c>
      <c r="H10964" t="s">
        <v>12150</v>
      </c>
      <c r="I10964">
        <v>415</v>
      </c>
      <c r="J10964" t="s">
        <v>18892</v>
      </c>
      <c r="K10964">
        <v>10462</v>
      </c>
      <c r="L10964" t="s">
        <v>18958</v>
      </c>
      <c r="M10964" t="s">
        <v>18960</v>
      </c>
      <c r="N10964" t="s">
        <v>26263</v>
      </c>
      <c r="O10964" t="s">
        <v>26523</v>
      </c>
      <c r="P10964" t="s">
        <v>26563</v>
      </c>
      <c r="R10964" t="s">
        <v>26579</v>
      </c>
      <c r="S10964" t="s">
        <v>18959</v>
      </c>
      <c r="U10964" t="s">
        <v>26604</v>
      </c>
      <c r="X10964">
        <v>1125.56</v>
      </c>
      <c r="Y10964" t="s">
        <v>26650</v>
      </c>
      <c r="Z10964" t="s">
        <v>26664</v>
      </c>
      <c r="AB10964" t="s">
        <v>34220</v>
      </c>
      <c r="AC10964" t="s">
        <v>36768</v>
      </c>
      <c r="AD10964" t="s">
        <v>45205</v>
      </c>
      <c r="AE10964">
        <v>0</v>
      </c>
      <c r="AG10964" t="s">
        <v>26530</v>
      </c>
      <c r="AH10964">
        <v>4</v>
      </c>
      <c r="AI10964">
        <v>1</v>
      </c>
      <c r="AJ10964">
        <v>1</v>
      </c>
      <c r="AK10964">
        <v>65.77</v>
      </c>
      <c r="AN10964" t="s">
        <v>7439</v>
      </c>
      <c r="AO10964">
        <v>11122</v>
      </c>
      <c r="AU10964">
        <v>2</v>
      </c>
      <c r="AV10964" t="s">
        <v>828</v>
      </c>
      <c r="AW10964" t="s">
        <v>46870</v>
      </c>
      <c r="AX10964" t="s">
        <v>46898</v>
      </c>
    </row>
    <row r="10965" spans="1:50">
      <c r="A10965" s="1">
        <f>HYPERLINK("https://lsnyc.legalserver.org/matter/dynamic-profile/view/1901506","19-1901506")</f>
        <v>0</v>
      </c>
      <c r="B10965" t="s">
        <v>97</v>
      </c>
      <c r="C10965" t="s">
        <v>340</v>
      </c>
      <c r="D10965" t="s">
        <v>729</v>
      </c>
      <c r="F10965" t="s">
        <v>4583</v>
      </c>
      <c r="G10965" t="s">
        <v>5089</v>
      </c>
      <c r="H10965" t="s">
        <v>16992</v>
      </c>
      <c r="I10965" t="s">
        <v>17301</v>
      </c>
      <c r="J10965" t="s">
        <v>18892</v>
      </c>
      <c r="K10965">
        <v>10467</v>
      </c>
      <c r="L10965" t="s">
        <v>18958</v>
      </c>
      <c r="M10965" t="s">
        <v>18960</v>
      </c>
      <c r="N10965" t="s">
        <v>26264</v>
      </c>
      <c r="O10965" t="s">
        <v>26523</v>
      </c>
      <c r="P10965" t="s">
        <v>26560</v>
      </c>
      <c r="R10965" t="s">
        <v>26579</v>
      </c>
      <c r="S10965" t="s">
        <v>18959</v>
      </c>
      <c r="U10965" t="s">
        <v>26604</v>
      </c>
      <c r="X10965">
        <v>1246</v>
      </c>
      <c r="Y10965" t="s">
        <v>26650</v>
      </c>
      <c r="AB10965" t="s">
        <v>34221</v>
      </c>
      <c r="AD10965" t="s">
        <v>45206</v>
      </c>
      <c r="AE10965">
        <v>0</v>
      </c>
      <c r="AH10965">
        <v>0</v>
      </c>
      <c r="AI10965">
        <v>1</v>
      </c>
      <c r="AJ10965">
        <v>2</v>
      </c>
      <c r="AK10965">
        <v>205.39</v>
      </c>
      <c r="AN10965" t="s">
        <v>7439</v>
      </c>
      <c r="AO10965">
        <v>43810</v>
      </c>
      <c r="AU10965">
        <v>0.25</v>
      </c>
      <c r="AV10965" t="s">
        <v>826</v>
      </c>
      <c r="AW10965" t="s">
        <v>335</v>
      </c>
      <c r="AX10965" t="s">
        <v>46897</v>
      </c>
    </row>
    <row r="10966" spans="1:50">
      <c r="A10966" s="1">
        <f>HYPERLINK("https://lsnyc.legalserver.org/matter/dynamic-profile/view/1901425","19-1901425")</f>
        <v>0</v>
      </c>
      <c r="B10966" t="s">
        <v>276</v>
      </c>
      <c r="C10966" t="s">
        <v>340</v>
      </c>
      <c r="D10966" t="s">
        <v>729</v>
      </c>
      <c r="F10966" t="s">
        <v>916</v>
      </c>
      <c r="G10966" t="s">
        <v>9499</v>
      </c>
      <c r="H10966" t="s">
        <v>16993</v>
      </c>
      <c r="I10966" t="s">
        <v>18748</v>
      </c>
      <c r="J10966" t="s">
        <v>18894</v>
      </c>
      <c r="K10966">
        <v>11210</v>
      </c>
      <c r="L10966" t="s">
        <v>18960</v>
      </c>
      <c r="M10966" t="s">
        <v>18960</v>
      </c>
      <c r="R10966" t="s">
        <v>26591</v>
      </c>
      <c r="U10966" t="s">
        <v>26604</v>
      </c>
      <c r="X10966">
        <v>975</v>
      </c>
      <c r="Y10966" t="s">
        <v>26652</v>
      </c>
      <c r="AB10966" t="s">
        <v>28393</v>
      </c>
      <c r="AD10966" t="s">
        <v>34738</v>
      </c>
      <c r="AE10966">
        <v>16</v>
      </c>
      <c r="AH10966">
        <v>20</v>
      </c>
      <c r="AI10966">
        <v>4</v>
      </c>
      <c r="AJ10966">
        <v>0</v>
      </c>
      <c r="AK10966">
        <v>171.65</v>
      </c>
      <c r="AN10966" t="s">
        <v>45581</v>
      </c>
      <c r="AO10966">
        <v>44200</v>
      </c>
      <c r="AU10966">
        <v>0.6</v>
      </c>
      <c r="AV10966" t="s">
        <v>826</v>
      </c>
      <c r="AW10966" t="s">
        <v>46850</v>
      </c>
    </row>
    <row r="10967" spans="1:50">
      <c r="A10967" s="1">
        <f>HYPERLINK("https://lsnyc.legalserver.org/matter/dynamic-profile/view/1901520","19-1901520")</f>
        <v>0</v>
      </c>
      <c r="B10967" t="s">
        <v>60</v>
      </c>
      <c r="C10967" t="s">
        <v>340</v>
      </c>
      <c r="D10967" t="s">
        <v>729</v>
      </c>
      <c r="F10967" t="s">
        <v>4952</v>
      </c>
      <c r="G10967" t="s">
        <v>5691</v>
      </c>
      <c r="H10967" t="s">
        <v>11750</v>
      </c>
      <c r="I10967" t="s">
        <v>18845</v>
      </c>
      <c r="J10967" t="s">
        <v>18892</v>
      </c>
      <c r="K10967">
        <v>10453</v>
      </c>
      <c r="L10967" t="s">
        <v>18960</v>
      </c>
      <c r="M10967" t="s">
        <v>18960</v>
      </c>
      <c r="N10967" t="s">
        <v>26265</v>
      </c>
      <c r="O10967" t="s">
        <v>26523</v>
      </c>
      <c r="P10967" t="s">
        <v>26564</v>
      </c>
      <c r="R10967" t="s">
        <v>26591</v>
      </c>
      <c r="S10967" t="s">
        <v>18959</v>
      </c>
      <c r="U10967" t="s">
        <v>26604</v>
      </c>
      <c r="X10967">
        <v>1515</v>
      </c>
      <c r="Y10967" t="s">
        <v>26650</v>
      </c>
      <c r="AB10967" t="s">
        <v>34222</v>
      </c>
      <c r="AD10967" t="s">
        <v>45207</v>
      </c>
      <c r="AE10967">
        <v>400</v>
      </c>
      <c r="AF10967" t="s">
        <v>20460</v>
      </c>
      <c r="AH10967">
        <v>0</v>
      </c>
      <c r="AI10967">
        <v>1</v>
      </c>
      <c r="AJ10967">
        <v>3</v>
      </c>
      <c r="AK10967">
        <v>60.82</v>
      </c>
      <c r="AN10967" t="s">
        <v>45581</v>
      </c>
      <c r="AO10967">
        <v>15660</v>
      </c>
      <c r="AU10967">
        <v>1.2</v>
      </c>
      <c r="AV10967" t="s">
        <v>826</v>
      </c>
      <c r="AW10967" t="s">
        <v>46829</v>
      </c>
    </row>
    <row r="10968" spans="1:50">
      <c r="A10968" s="1">
        <f>HYPERLINK("https://lsnyc.legalserver.org/matter/dynamic-profile/view/1901470","19-1901470")</f>
        <v>0</v>
      </c>
      <c r="B10968" t="s">
        <v>60</v>
      </c>
      <c r="C10968" t="s">
        <v>340</v>
      </c>
      <c r="D10968" t="s">
        <v>729</v>
      </c>
      <c r="F10968" t="s">
        <v>1366</v>
      </c>
      <c r="G10968" t="s">
        <v>6093</v>
      </c>
      <c r="H10968" t="s">
        <v>16994</v>
      </c>
      <c r="I10968">
        <v>2</v>
      </c>
      <c r="J10968" t="s">
        <v>18892</v>
      </c>
      <c r="K10968">
        <v>10452</v>
      </c>
      <c r="L10968" t="s">
        <v>18960</v>
      </c>
      <c r="M10968" t="s">
        <v>18960</v>
      </c>
      <c r="R10968" t="s">
        <v>26591</v>
      </c>
      <c r="U10968" t="s">
        <v>26604</v>
      </c>
      <c r="X10968">
        <v>1750</v>
      </c>
      <c r="Y10968" t="s">
        <v>26650</v>
      </c>
      <c r="AB10968" t="s">
        <v>33670</v>
      </c>
      <c r="AD10968" t="s">
        <v>43775</v>
      </c>
      <c r="AE10968">
        <v>3</v>
      </c>
      <c r="AG10968" t="s">
        <v>45556</v>
      </c>
      <c r="AH10968">
        <v>0</v>
      </c>
      <c r="AI10968">
        <v>1</v>
      </c>
      <c r="AJ10968">
        <v>0</v>
      </c>
      <c r="AK10968">
        <v>70.62</v>
      </c>
      <c r="AN10968" t="s">
        <v>7439</v>
      </c>
      <c r="AO10968">
        <v>8820</v>
      </c>
      <c r="AU10968">
        <v>1</v>
      </c>
      <c r="AV10968" t="s">
        <v>729</v>
      </c>
      <c r="AW10968" t="s">
        <v>46857</v>
      </c>
    </row>
    <row r="10969" spans="1:50">
      <c r="A10969" s="1">
        <f>HYPERLINK("https://lsnyc.legalserver.org/matter/dynamic-profile/view/1901422","19-1901422")</f>
        <v>0</v>
      </c>
      <c r="B10969" t="s">
        <v>60</v>
      </c>
      <c r="C10969" t="s">
        <v>340</v>
      </c>
      <c r="D10969" t="s">
        <v>729</v>
      </c>
      <c r="F10969" t="s">
        <v>3766</v>
      </c>
      <c r="G10969" t="s">
        <v>3273</v>
      </c>
      <c r="H10969" t="s">
        <v>10447</v>
      </c>
      <c r="I10969" t="s">
        <v>18846</v>
      </c>
      <c r="J10969" t="s">
        <v>18892</v>
      </c>
      <c r="K10969">
        <v>10453</v>
      </c>
      <c r="L10969" t="s">
        <v>18960</v>
      </c>
      <c r="M10969" t="s">
        <v>18960</v>
      </c>
      <c r="R10969" t="s">
        <v>26591</v>
      </c>
      <c r="U10969" t="s">
        <v>26604</v>
      </c>
      <c r="X10969">
        <v>1002</v>
      </c>
      <c r="Y10969" t="s">
        <v>26650</v>
      </c>
      <c r="Z10969" t="s">
        <v>26659</v>
      </c>
      <c r="AB10969" t="s">
        <v>34223</v>
      </c>
      <c r="AD10969" t="s">
        <v>45208</v>
      </c>
      <c r="AE10969">
        <v>400</v>
      </c>
      <c r="AG10969" t="s">
        <v>19330</v>
      </c>
      <c r="AH10969">
        <v>4</v>
      </c>
      <c r="AI10969">
        <v>1</v>
      </c>
      <c r="AJ10969">
        <v>0</v>
      </c>
      <c r="AK10969">
        <v>75.31999999999999</v>
      </c>
      <c r="AN10969" t="s">
        <v>7439</v>
      </c>
      <c r="AO10969">
        <v>9408</v>
      </c>
      <c r="AU10969">
        <v>1.8</v>
      </c>
      <c r="AV10969" t="s">
        <v>826</v>
      </c>
      <c r="AW10969" t="s">
        <v>46858</v>
      </c>
    </row>
    <row r="10970" spans="1:50">
      <c r="A10970" s="1">
        <f>HYPERLINK("https://lsnyc.legalserver.org/matter/dynamic-profile/view/1901496","19-1901496")</f>
        <v>0</v>
      </c>
      <c r="B10970" t="s">
        <v>179</v>
      </c>
      <c r="C10970" t="s">
        <v>340</v>
      </c>
      <c r="D10970" t="s">
        <v>729</v>
      </c>
      <c r="F10970" t="s">
        <v>979</v>
      </c>
      <c r="G10970" t="s">
        <v>9500</v>
      </c>
      <c r="H10970" t="s">
        <v>16995</v>
      </c>
      <c r="I10970" t="s">
        <v>18847</v>
      </c>
      <c r="J10970" t="s">
        <v>18902</v>
      </c>
      <c r="K10970">
        <v>10308</v>
      </c>
      <c r="L10970" t="s">
        <v>18960</v>
      </c>
      <c r="M10970" t="s">
        <v>18960</v>
      </c>
      <c r="N10970" t="s">
        <v>26266</v>
      </c>
      <c r="O10970" t="s">
        <v>26523</v>
      </c>
      <c r="R10970" t="s">
        <v>26591</v>
      </c>
      <c r="U10970" t="s">
        <v>26604</v>
      </c>
      <c r="X10970">
        <v>2000</v>
      </c>
      <c r="Y10970" t="s">
        <v>26652</v>
      </c>
      <c r="Z10970" t="s">
        <v>26530</v>
      </c>
      <c r="AB10970" t="s">
        <v>34224</v>
      </c>
      <c r="AD10970" t="s">
        <v>45209</v>
      </c>
      <c r="AE10970">
        <v>0</v>
      </c>
      <c r="AG10970" t="s">
        <v>19330</v>
      </c>
      <c r="AH10970">
        <v>0</v>
      </c>
      <c r="AI10970">
        <v>2</v>
      </c>
      <c r="AJ10970">
        <v>1</v>
      </c>
      <c r="AK10970">
        <v>0</v>
      </c>
      <c r="AN10970" t="s">
        <v>7439</v>
      </c>
      <c r="AO10970">
        <v>0</v>
      </c>
      <c r="AU10970">
        <v>1.4</v>
      </c>
      <c r="AV10970" t="s">
        <v>839</v>
      </c>
      <c r="AW10970" t="s">
        <v>46842</v>
      </c>
    </row>
    <row r="10971" spans="1:50">
      <c r="A10971" s="1">
        <f>HYPERLINK("https://lsnyc.legalserver.org/matter/dynamic-profile/view/1901459","19-1901459")</f>
        <v>0</v>
      </c>
      <c r="B10971" t="s">
        <v>81</v>
      </c>
      <c r="C10971" t="s">
        <v>340</v>
      </c>
      <c r="D10971" t="s">
        <v>729</v>
      </c>
      <c r="F10971" t="s">
        <v>4953</v>
      </c>
      <c r="G10971" t="s">
        <v>6267</v>
      </c>
      <c r="H10971" t="s">
        <v>16996</v>
      </c>
      <c r="I10971" t="s">
        <v>17352</v>
      </c>
      <c r="J10971" t="s">
        <v>18892</v>
      </c>
      <c r="K10971">
        <v>10472</v>
      </c>
      <c r="L10971" t="s">
        <v>18958</v>
      </c>
      <c r="M10971" t="s">
        <v>18960</v>
      </c>
      <c r="N10971" t="s">
        <v>26267</v>
      </c>
      <c r="O10971" t="s">
        <v>26523</v>
      </c>
      <c r="P10971" t="s">
        <v>26564</v>
      </c>
      <c r="R10971" t="s">
        <v>26577</v>
      </c>
      <c r="S10971" t="s">
        <v>18959</v>
      </c>
      <c r="U10971" t="s">
        <v>26604</v>
      </c>
      <c r="V10971" t="s">
        <v>26610</v>
      </c>
      <c r="X10971">
        <v>1800</v>
      </c>
      <c r="Y10971" t="s">
        <v>26650</v>
      </c>
      <c r="Z10971" t="s">
        <v>26668</v>
      </c>
      <c r="AB10971" t="s">
        <v>34225</v>
      </c>
      <c r="AD10971" t="s">
        <v>45210</v>
      </c>
      <c r="AE10971">
        <v>90</v>
      </c>
      <c r="AF10971" t="s">
        <v>20460</v>
      </c>
      <c r="AG10971" t="s">
        <v>19330</v>
      </c>
      <c r="AH10971">
        <v>1</v>
      </c>
      <c r="AI10971">
        <v>2</v>
      </c>
      <c r="AJ10971">
        <v>0</v>
      </c>
      <c r="AK10971">
        <v>177.41</v>
      </c>
      <c r="AN10971" t="s">
        <v>7439</v>
      </c>
      <c r="AO10971">
        <v>30000</v>
      </c>
      <c r="AP10971" t="s">
        <v>46337</v>
      </c>
      <c r="AU10971">
        <v>0.5</v>
      </c>
      <c r="AV10971" t="s">
        <v>729</v>
      </c>
      <c r="AW10971" t="s">
        <v>46870</v>
      </c>
      <c r="AX10971" t="s">
        <v>46897</v>
      </c>
    </row>
    <row r="10972" spans="1:50">
      <c r="A10972" s="1">
        <f>HYPERLINK("https://lsnyc.legalserver.org/matter/dynamic-profile/view/1901542","19-1901542")</f>
        <v>0</v>
      </c>
      <c r="B10972" t="s">
        <v>253</v>
      </c>
      <c r="C10972" t="s">
        <v>340</v>
      </c>
      <c r="D10972" t="s">
        <v>729</v>
      </c>
      <c r="F10972" t="s">
        <v>4954</v>
      </c>
      <c r="G10972" t="s">
        <v>6958</v>
      </c>
      <c r="H10972" t="s">
        <v>14377</v>
      </c>
      <c r="I10972" t="s">
        <v>18378</v>
      </c>
      <c r="J10972" t="s">
        <v>18892</v>
      </c>
      <c r="K10972">
        <v>10467</v>
      </c>
      <c r="L10972" t="s">
        <v>18958</v>
      </c>
      <c r="M10972" t="s">
        <v>18960</v>
      </c>
      <c r="N10972" t="s">
        <v>23805</v>
      </c>
      <c r="R10972" t="s">
        <v>26579</v>
      </c>
      <c r="S10972" t="s">
        <v>18959</v>
      </c>
      <c r="U10972" t="s">
        <v>26604</v>
      </c>
      <c r="X10972">
        <v>1178</v>
      </c>
      <c r="Y10972" t="s">
        <v>26650</v>
      </c>
      <c r="Z10972" t="s">
        <v>26659</v>
      </c>
      <c r="AB10972" t="s">
        <v>34226</v>
      </c>
      <c r="AD10972" t="s">
        <v>45211</v>
      </c>
      <c r="AE10972">
        <v>10</v>
      </c>
      <c r="AF10972" t="s">
        <v>45541</v>
      </c>
      <c r="AG10972" t="s">
        <v>19330</v>
      </c>
      <c r="AH10972">
        <v>19</v>
      </c>
      <c r="AI10972">
        <v>1</v>
      </c>
      <c r="AJ10972">
        <v>0</v>
      </c>
      <c r="AK10972">
        <v>0</v>
      </c>
      <c r="AN10972" t="s">
        <v>7439</v>
      </c>
      <c r="AO10972">
        <v>0</v>
      </c>
      <c r="AU10972">
        <v>6.15</v>
      </c>
      <c r="AV10972" t="s">
        <v>772</v>
      </c>
      <c r="AW10972" t="s">
        <v>46847</v>
      </c>
      <c r="AX10972" t="s">
        <v>46897</v>
      </c>
    </row>
    <row r="10973" spans="1:50">
      <c r="A10973" s="1">
        <f>HYPERLINK("https://lsnyc.legalserver.org/matter/dynamic-profile/view/1901426","19-1901426")</f>
        <v>0</v>
      </c>
      <c r="B10973" t="s">
        <v>124</v>
      </c>
      <c r="C10973" t="s">
        <v>340</v>
      </c>
      <c r="D10973" t="s">
        <v>729</v>
      </c>
      <c r="F10973" t="s">
        <v>3844</v>
      </c>
      <c r="G10973" t="s">
        <v>5266</v>
      </c>
      <c r="H10973" t="s">
        <v>16915</v>
      </c>
      <c r="I10973" t="s">
        <v>17362</v>
      </c>
      <c r="J10973" t="s">
        <v>18894</v>
      </c>
      <c r="K10973">
        <v>11226</v>
      </c>
      <c r="L10973" t="s">
        <v>18960</v>
      </c>
      <c r="M10973" t="s">
        <v>18960</v>
      </c>
      <c r="N10973" t="s">
        <v>26268</v>
      </c>
      <c r="O10973" t="s">
        <v>26523</v>
      </c>
      <c r="R10973" t="s">
        <v>26588</v>
      </c>
      <c r="U10973" t="s">
        <v>26604</v>
      </c>
      <c r="X10973">
        <v>1294</v>
      </c>
      <c r="Y10973" t="s">
        <v>26652</v>
      </c>
      <c r="Z10973" t="s">
        <v>26663</v>
      </c>
      <c r="AB10973" t="s">
        <v>34227</v>
      </c>
      <c r="AD10973" t="s">
        <v>45212</v>
      </c>
      <c r="AE10973">
        <v>30</v>
      </c>
      <c r="AG10973" t="s">
        <v>45561</v>
      </c>
      <c r="AH10973">
        <v>10</v>
      </c>
      <c r="AI10973">
        <v>1</v>
      </c>
      <c r="AJ10973">
        <v>0</v>
      </c>
      <c r="AK10973">
        <v>81.67</v>
      </c>
      <c r="AN10973" t="s">
        <v>7439</v>
      </c>
      <c r="AO10973">
        <v>10200</v>
      </c>
      <c r="AU10973">
        <v>1.25</v>
      </c>
      <c r="AV10973" t="s">
        <v>831</v>
      </c>
      <c r="AW10973" t="s">
        <v>46857</v>
      </c>
    </row>
    <row r="10974" spans="1:50">
      <c r="A10974" s="1">
        <f>HYPERLINK("https://lsnyc.legalserver.org/matter/dynamic-profile/view/1901534","19-1901534")</f>
        <v>0</v>
      </c>
      <c r="B10974" t="s">
        <v>64</v>
      </c>
      <c r="C10974" t="s">
        <v>340</v>
      </c>
      <c r="D10974" t="s">
        <v>729</v>
      </c>
      <c r="F10974" t="s">
        <v>1736</v>
      </c>
      <c r="G10974" t="s">
        <v>9501</v>
      </c>
      <c r="H10974" t="s">
        <v>11774</v>
      </c>
      <c r="I10974" t="s">
        <v>17748</v>
      </c>
      <c r="J10974" t="s">
        <v>18892</v>
      </c>
      <c r="K10974">
        <v>10455</v>
      </c>
      <c r="L10974" t="s">
        <v>18960</v>
      </c>
      <c r="M10974" t="s">
        <v>18960</v>
      </c>
      <c r="N10974" t="s">
        <v>26269</v>
      </c>
      <c r="O10974" t="s">
        <v>26523</v>
      </c>
      <c r="P10974" t="s">
        <v>26560</v>
      </c>
      <c r="R10974" t="s">
        <v>26577</v>
      </c>
      <c r="U10974" t="s">
        <v>26604</v>
      </c>
      <c r="V10974" t="s">
        <v>26614</v>
      </c>
      <c r="X10974">
        <v>296</v>
      </c>
      <c r="Y10974" t="s">
        <v>26650</v>
      </c>
      <c r="Z10974" t="s">
        <v>26673</v>
      </c>
      <c r="AB10974" t="s">
        <v>34228</v>
      </c>
      <c r="AD10974" t="s">
        <v>45213</v>
      </c>
      <c r="AE10974">
        <v>100</v>
      </c>
      <c r="AF10974" t="s">
        <v>45550</v>
      </c>
      <c r="AH10974">
        <v>18</v>
      </c>
      <c r="AI10974">
        <v>1</v>
      </c>
      <c r="AJ10974">
        <v>0</v>
      </c>
      <c r="AK10974">
        <v>208.17</v>
      </c>
      <c r="AN10974" t="s">
        <v>7439</v>
      </c>
      <c r="AO10974">
        <v>26000</v>
      </c>
      <c r="AU10974">
        <v>11.7</v>
      </c>
      <c r="AV10974" t="s">
        <v>830</v>
      </c>
      <c r="AW10974" t="s">
        <v>46861</v>
      </c>
    </row>
    <row r="10975" spans="1:50">
      <c r="A10975" s="1">
        <f>HYPERLINK("https://lsnyc.legalserver.org/matter/dynamic-profile/view/1901547","19-1901547")</f>
        <v>0</v>
      </c>
      <c r="B10975" t="s">
        <v>249</v>
      </c>
      <c r="C10975" t="s">
        <v>340</v>
      </c>
      <c r="D10975" t="s">
        <v>729</v>
      </c>
      <c r="F10975" t="s">
        <v>4955</v>
      </c>
      <c r="G10975" t="s">
        <v>7241</v>
      </c>
      <c r="H10975" t="s">
        <v>16665</v>
      </c>
      <c r="I10975" t="s">
        <v>17306</v>
      </c>
      <c r="J10975" t="s">
        <v>18894</v>
      </c>
      <c r="K10975">
        <v>11233</v>
      </c>
      <c r="L10975" t="s">
        <v>18958</v>
      </c>
      <c r="M10975" t="s">
        <v>18960</v>
      </c>
      <c r="O10975" t="s">
        <v>18997</v>
      </c>
      <c r="R10975" t="s">
        <v>26578</v>
      </c>
      <c r="S10975" t="s">
        <v>18959</v>
      </c>
      <c r="U10975" t="s">
        <v>26604</v>
      </c>
      <c r="V10975" t="s">
        <v>26610</v>
      </c>
      <c r="X10975">
        <v>1879.2</v>
      </c>
      <c r="Y10975" t="s">
        <v>26652</v>
      </c>
      <c r="Z10975" t="s">
        <v>26661</v>
      </c>
      <c r="AB10975" t="s">
        <v>34229</v>
      </c>
      <c r="AC10975" t="s">
        <v>36769</v>
      </c>
      <c r="AD10975" t="s">
        <v>45214</v>
      </c>
      <c r="AE10975">
        <v>13</v>
      </c>
      <c r="AF10975" t="s">
        <v>45541</v>
      </c>
      <c r="AG10975" t="s">
        <v>45558</v>
      </c>
      <c r="AH10975">
        <v>0</v>
      </c>
      <c r="AI10975">
        <v>3</v>
      </c>
      <c r="AJ10975">
        <v>2</v>
      </c>
      <c r="AK10975">
        <v>122.98</v>
      </c>
      <c r="AN10975" t="s">
        <v>7439</v>
      </c>
      <c r="AO10975">
        <v>37104</v>
      </c>
      <c r="AU10975">
        <v>0.5</v>
      </c>
      <c r="AV10975" t="s">
        <v>773</v>
      </c>
      <c r="AW10975" t="s">
        <v>279</v>
      </c>
      <c r="AX10975" t="s">
        <v>46897</v>
      </c>
    </row>
    <row r="10976" spans="1:50">
      <c r="A10976" s="1">
        <f>HYPERLINK("https://lsnyc.legalserver.org/matter/dynamic-profile/view/1901484","19-1901484")</f>
        <v>0</v>
      </c>
      <c r="B10976" t="s">
        <v>50</v>
      </c>
      <c r="C10976" t="s">
        <v>340</v>
      </c>
      <c r="D10976" t="s">
        <v>729</v>
      </c>
      <c r="F10976" t="s">
        <v>2536</v>
      </c>
      <c r="G10976" t="s">
        <v>5266</v>
      </c>
      <c r="H10976" t="s">
        <v>12116</v>
      </c>
      <c r="I10976" t="s">
        <v>17388</v>
      </c>
      <c r="J10976" t="s">
        <v>18892</v>
      </c>
      <c r="K10976">
        <v>10460</v>
      </c>
      <c r="L10976" t="s">
        <v>18958</v>
      </c>
      <c r="M10976" t="s">
        <v>18960</v>
      </c>
      <c r="O10976" t="s">
        <v>26526</v>
      </c>
      <c r="P10976" t="s">
        <v>26560</v>
      </c>
      <c r="R10976" t="s">
        <v>26578</v>
      </c>
      <c r="S10976" t="s">
        <v>18959</v>
      </c>
      <c r="U10976" t="s">
        <v>26604</v>
      </c>
      <c r="X10976">
        <v>219</v>
      </c>
      <c r="Y10976" t="s">
        <v>26650</v>
      </c>
      <c r="Z10976" t="s">
        <v>26659</v>
      </c>
      <c r="AB10976" t="s">
        <v>29397</v>
      </c>
      <c r="AC10976" t="s">
        <v>35425</v>
      </c>
      <c r="AD10976" t="s">
        <v>39456</v>
      </c>
      <c r="AE10976">
        <v>52</v>
      </c>
      <c r="AF10976" t="s">
        <v>45554</v>
      </c>
      <c r="AG10976" t="s">
        <v>26530</v>
      </c>
      <c r="AH10976">
        <v>3</v>
      </c>
      <c r="AI10976">
        <v>1</v>
      </c>
      <c r="AJ10976">
        <v>0</v>
      </c>
      <c r="AK10976">
        <v>72.06</v>
      </c>
      <c r="AN10976" t="s">
        <v>7439</v>
      </c>
      <c r="AO10976">
        <v>9000</v>
      </c>
      <c r="AU10976">
        <v>1</v>
      </c>
      <c r="AV10976" t="s">
        <v>729</v>
      </c>
      <c r="AW10976" t="s">
        <v>46870</v>
      </c>
      <c r="AX10976" t="s">
        <v>46897</v>
      </c>
    </row>
    <row r="10977" spans="1:50">
      <c r="A10977" s="1">
        <f>HYPERLINK("https://lsnyc.legalserver.org/matter/dynamic-profile/view/1901436","19-1901436")</f>
        <v>0</v>
      </c>
      <c r="B10977" t="s">
        <v>102</v>
      </c>
      <c r="C10977" t="s">
        <v>340</v>
      </c>
      <c r="D10977" t="s">
        <v>729</v>
      </c>
      <c r="F10977" t="s">
        <v>3708</v>
      </c>
      <c r="G10977" t="s">
        <v>3138</v>
      </c>
      <c r="H10977" t="s">
        <v>16997</v>
      </c>
      <c r="J10977" t="s">
        <v>18902</v>
      </c>
      <c r="K10977">
        <v>10304</v>
      </c>
      <c r="L10977" t="s">
        <v>18958</v>
      </c>
      <c r="M10977" t="s">
        <v>18960</v>
      </c>
      <c r="N10977" t="s">
        <v>26270</v>
      </c>
      <c r="O10977" t="s">
        <v>26523</v>
      </c>
      <c r="R10977" t="s">
        <v>26591</v>
      </c>
      <c r="S10977" t="s">
        <v>18959</v>
      </c>
      <c r="U10977" t="s">
        <v>26604</v>
      </c>
      <c r="X10977">
        <v>1000</v>
      </c>
      <c r="Y10977" t="s">
        <v>26654</v>
      </c>
      <c r="AB10977" t="s">
        <v>27302</v>
      </c>
      <c r="AD10977" t="s">
        <v>45215</v>
      </c>
      <c r="AE10977">
        <v>0</v>
      </c>
      <c r="AF10977" t="s">
        <v>20460</v>
      </c>
      <c r="AG10977" t="s">
        <v>19330</v>
      </c>
      <c r="AH10977">
        <v>1</v>
      </c>
      <c r="AI10977">
        <v>1</v>
      </c>
      <c r="AJ10977">
        <v>1</v>
      </c>
      <c r="AK10977">
        <v>97.29000000000001</v>
      </c>
      <c r="AN10977" t="s">
        <v>45581</v>
      </c>
      <c r="AO10977">
        <v>16452</v>
      </c>
      <c r="AU10977">
        <v>1</v>
      </c>
      <c r="AV10977" t="s">
        <v>729</v>
      </c>
      <c r="AW10977" t="s">
        <v>46859</v>
      </c>
      <c r="AX10977" t="s">
        <v>46897</v>
      </c>
    </row>
    <row r="10978" spans="1:50">
      <c r="A10978" s="1">
        <f>HYPERLINK("https://lsnyc.legalserver.org/matter/dynamic-profile/view/1901511","19-1901511")</f>
        <v>0</v>
      </c>
      <c r="B10978" t="s">
        <v>252</v>
      </c>
      <c r="C10978" t="s">
        <v>340</v>
      </c>
      <c r="D10978" t="s">
        <v>729</v>
      </c>
      <c r="F10978" t="s">
        <v>2801</v>
      </c>
      <c r="G10978" t="s">
        <v>9502</v>
      </c>
      <c r="H10978" t="s">
        <v>16998</v>
      </c>
      <c r="J10978" t="s">
        <v>18894</v>
      </c>
      <c r="K10978">
        <v>11234</v>
      </c>
      <c r="L10978" t="s">
        <v>18960</v>
      </c>
      <c r="M10978" t="s">
        <v>18960</v>
      </c>
      <c r="R10978" t="s">
        <v>26591</v>
      </c>
      <c r="U10978" t="s">
        <v>26604</v>
      </c>
      <c r="X10978">
        <v>850</v>
      </c>
      <c r="Y10978" t="s">
        <v>26652</v>
      </c>
      <c r="Z10978" t="s">
        <v>26659</v>
      </c>
      <c r="AB10978" t="s">
        <v>34230</v>
      </c>
      <c r="AD10978" t="s">
        <v>45216</v>
      </c>
      <c r="AE10978">
        <v>0</v>
      </c>
      <c r="AG10978" t="s">
        <v>19330</v>
      </c>
      <c r="AH10978">
        <v>4</v>
      </c>
      <c r="AI10978">
        <v>1</v>
      </c>
      <c r="AJ10978">
        <v>0</v>
      </c>
      <c r="AK10978">
        <v>87.72</v>
      </c>
      <c r="AN10978" t="s">
        <v>7439</v>
      </c>
      <c r="AO10978">
        <v>10956</v>
      </c>
      <c r="AU10978">
        <v>1</v>
      </c>
      <c r="AV10978" t="s">
        <v>729</v>
      </c>
      <c r="AW10978" t="s">
        <v>46858</v>
      </c>
    </row>
    <row r="10979" spans="1:50">
      <c r="A10979" s="1">
        <f>HYPERLINK("https://lsnyc.legalserver.org/matter/dynamic-profile/view/1901479","19-1901479")</f>
        <v>0</v>
      </c>
      <c r="B10979" t="s">
        <v>115</v>
      </c>
      <c r="C10979" t="s">
        <v>340</v>
      </c>
      <c r="D10979" t="s">
        <v>729</v>
      </c>
      <c r="F10979" t="s">
        <v>990</v>
      </c>
      <c r="G10979" t="s">
        <v>9503</v>
      </c>
      <c r="H10979" t="s">
        <v>16883</v>
      </c>
      <c r="I10979" t="s">
        <v>17307</v>
      </c>
      <c r="J10979" t="s">
        <v>18892</v>
      </c>
      <c r="K10979">
        <v>10452</v>
      </c>
      <c r="L10979" t="s">
        <v>18958</v>
      </c>
      <c r="M10979" t="s">
        <v>18960</v>
      </c>
      <c r="O10979" t="s">
        <v>26534</v>
      </c>
      <c r="P10979" t="s">
        <v>26561</v>
      </c>
      <c r="R10979" t="s">
        <v>26578</v>
      </c>
      <c r="S10979" t="s">
        <v>18958</v>
      </c>
      <c r="U10979" t="s">
        <v>26604</v>
      </c>
      <c r="X10979">
        <v>1310</v>
      </c>
      <c r="Y10979" t="s">
        <v>26650</v>
      </c>
      <c r="Z10979" t="s">
        <v>26663</v>
      </c>
      <c r="AB10979" t="s">
        <v>28521</v>
      </c>
      <c r="AC10979">
        <v>4268720</v>
      </c>
      <c r="AD10979" t="s">
        <v>45217</v>
      </c>
      <c r="AE10979">
        <v>52</v>
      </c>
      <c r="AF10979" t="s">
        <v>20460</v>
      </c>
      <c r="AG10979" t="s">
        <v>45557</v>
      </c>
      <c r="AH10979">
        <v>10</v>
      </c>
      <c r="AI10979">
        <v>3</v>
      </c>
      <c r="AJ10979">
        <v>2</v>
      </c>
      <c r="AK10979">
        <v>41.64</v>
      </c>
      <c r="AN10979" t="s">
        <v>7439</v>
      </c>
      <c r="AO10979">
        <v>12564</v>
      </c>
      <c r="AU10979">
        <v>0</v>
      </c>
      <c r="AW10979" t="s">
        <v>329</v>
      </c>
    </row>
    <row r="10980" spans="1:50">
      <c r="A10980" s="1">
        <f>HYPERLINK("https://lsnyc.legalserver.org/matter/dynamic-profile/view/1901417","19-1901417")</f>
        <v>0</v>
      </c>
      <c r="B10980" t="s">
        <v>115</v>
      </c>
      <c r="C10980" t="s">
        <v>340</v>
      </c>
      <c r="D10980" t="s">
        <v>729</v>
      </c>
      <c r="F10980" t="s">
        <v>1021</v>
      </c>
      <c r="G10980" t="s">
        <v>1339</v>
      </c>
      <c r="H10980" t="s">
        <v>16883</v>
      </c>
      <c r="I10980" t="s">
        <v>17316</v>
      </c>
      <c r="J10980" t="s">
        <v>18892</v>
      </c>
      <c r="K10980">
        <v>10452</v>
      </c>
      <c r="L10980" t="s">
        <v>18958</v>
      </c>
      <c r="M10980" t="s">
        <v>18960</v>
      </c>
      <c r="O10980" t="s">
        <v>26534</v>
      </c>
      <c r="R10980" t="s">
        <v>26578</v>
      </c>
      <c r="U10980" t="s">
        <v>26604</v>
      </c>
      <c r="X10980">
        <v>1200</v>
      </c>
      <c r="Y10980" t="s">
        <v>26650</v>
      </c>
      <c r="Z10980" t="s">
        <v>26667</v>
      </c>
      <c r="AB10980" t="s">
        <v>34231</v>
      </c>
      <c r="AE10980">
        <v>52</v>
      </c>
      <c r="AF10980" t="s">
        <v>45541</v>
      </c>
      <c r="AG10980" t="s">
        <v>45561</v>
      </c>
      <c r="AH10980">
        <v>1</v>
      </c>
      <c r="AI10980">
        <v>1</v>
      </c>
      <c r="AJ10980">
        <v>0</v>
      </c>
      <c r="AK10980">
        <v>85.03</v>
      </c>
      <c r="AN10980" t="s">
        <v>7439</v>
      </c>
      <c r="AO10980">
        <v>10620</v>
      </c>
      <c r="AU10980">
        <v>0</v>
      </c>
      <c r="AW10980" t="s">
        <v>329</v>
      </c>
    </row>
    <row r="10981" spans="1:50">
      <c r="A10981" s="1">
        <f>HYPERLINK("https://lsnyc.legalserver.org/matter/dynamic-profile/view/1901441","19-1901441")</f>
        <v>0</v>
      </c>
      <c r="B10981" t="s">
        <v>115</v>
      </c>
      <c r="C10981" t="s">
        <v>340</v>
      </c>
      <c r="D10981" t="s">
        <v>729</v>
      </c>
      <c r="F10981" t="s">
        <v>2314</v>
      </c>
      <c r="G10981" t="s">
        <v>5086</v>
      </c>
      <c r="H10981" t="s">
        <v>16883</v>
      </c>
      <c r="I10981" t="s">
        <v>17390</v>
      </c>
      <c r="J10981" t="s">
        <v>18892</v>
      </c>
      <c r="K10981">
        <v>10452</v>
      </c>
      <c r="L10981" t="s">
        <v>18958</v>
      </c>
      <c r="M10981" t="s">
        <v>18960</v>
      </c>
      <c r="O10981" t="s">
        <v>26534</v>
      </c>
      <c r="P10981" t="s">
        <v>26561</v>
      </c>
      <c r="R10981" t="s">
        <v>26578</v>
      </c>
      <c r="S10981" t="s">
        <v>18958</v>
      </c>
      <c r="U10981" t="s">
        <v>26604</v>
      </c>
      <c r="X10981">
        <v>1151.46</v>
      </c>
      <c r="Y10981" t="s">
        <v>26650</v>
      </c>
      <c r="Z10981" t="s">
        <v>26663</v>
      </c>
      <c r="AB10981" t="s">
        <v>34232</v>
      </c>
      <c r="AD10981" t="s">
        <v>45218</v>
      </c>
      <c r="AE10981">
        <v>52</v>
      </c>
      <c r="AF10981" t="s">
        <v>45541</v>
      </c>
      <c r="AG10981" t="s">
        <v>19330</v>
      </c>
      <c r="AH10981">
        <v>7</v>
      </c>
      <c r="AI10981">
        <v>1</v>
      </c>
      <c r="AJ10981">
        <v>0</v>
      </c>
      <c r="AK10981">
        <v>201.7</v>
      </c>
      <c r="AN10981" t="s">
        <v>7439</v>
      </c>
      <c r="AO10981">
        <v>25192</v>
      </c>
      <c r="AU10981">
        <v>0</v>
      </c>
      <c r="AW10981" t="s">
        <v>329</v>
      </c>
    </row>
    <row r="10982" spans="1:50">
      <c r="A10982" s="1">
        <f>HYPERLINK("https://lsnyc.legalserver.org/matter/dynamic-profile/view/1901453","19-1901453")</f>
        <v>0</v>
      </c>
      <c r="B10982" t="s">
        <v>115</v>
      </c>
      <c r="C10982" t="s">
        <v>340</v>
      </c>
      <c r="D10982" t="s">
        <v>729</v>
      </c>
      <c r="F10982" t="s">
        <v>1377</v>
      </c>
      <c r="G10982" t="s">
        <v>7920</v>
      </c>
      <c r="H10982" t="s">
        <v>16883</v>
      </c>
      <c r="I10982" t="s">
        <v>17410</v>
      </c>
      <c r="J10982" t="s">
        <v>18892</v>
      </c>
      <c r="K10982">
        <v>10452</v>
      </c>
      <c r="L10982" t="s">
        <v>18958</v>
      </c>
      <c r="M10982" t="s">
        <v>18960</v>
      </c>
      <c r="O10982" t="s">
        <v>26534</v>
      </c>
      <c r="P10982" t="s">
        <v>26561</v>
      </c>
      <c r="R10982" t="s">
        <v>26578</v>
      </c>
      <c r="S10982" t="s">
        <v>18958</v>
      </c>
      <c r="U10982" t="s">
        <v>26604</v>
      </c>
      <c r="X10982">
        <v>837</v>
      </c>
      <c r="Y10982" t="s">
        <v>26650</v>
      </c>
      <c r="Z10982" t="s">
        <v>26663</v>
      </c>
      <c r="AB10982" t="s">
        <v>34233</v>
      </c>
      <c r="AD10982" t="s">
        <v>45219</v>
      </c>
      <c r="AE10982">
        <v>52</v>
      </c>
      <c r="AF10982" t="s">
        <v>20460</v>
      </c>
      <c r="AG10982" t="s">
        <v>19330</v>
      </c>
      <c r="AH10982">
        <v>17</v>
      </c>
      <c r="AI10982">
        <v>1</v>
      </c>
      <c r="AJ10982">
        <v>1</v>
      </c>
      <c r="AK10982">
        <v>266.11</v>
      </c>
      <c r="AN10982" t="s">
        <v>7439</v>
      </c>
      <c r="AO10982">
        <v>45000</v>
      </c>
      <c r="AU10982">
        <v>0</v>
      </c>
      <c r="AW10982" t="s">
        <v>329</v>
      </c>
    </row>
    <row r="10983" spans="1:50">
      <c r="A10983" s="1">
        <f>HYPERLINK("https://lsnyc.legalserver.org/matter/dynamic-profile/view/1901431","19-1901431")</f>
        <v>0</v>
      </c>
      <c r="B10983" t="s">
        <v>115</v>
      </c>
      <c r="C10983" t="s">
        <v>340</v>
      </c>
      <c r="D10983" t="s">
        <v>729</v>
      </c>
      <c r="F10983" t="s">
        <v>4956</v>
      </c>
      <c r="G10983" t="s">
        <v>1031</v>
      </c>
      <c r="H10983" t="s">
        <v>16883</v>
      </c>
      <c r="I10983" t="s">
        <v>17360</v>
      </c>
      <c r="J10983" t="s">
        <v>18892</v>
      </c>
      <c r="K10983">
        <v>10452</v>
      </c>
      <c r="L10983" t="s">
        <v>18958</v>
      </c>
      <c r="M10983" t="s">
        <v>18960</v>
      </c>
      <c r="O10983" t="s">
        <v>26534</v>
      </c>
      <c r="P10983" t="s">
        <v>26561</v>
      </c>
      <c r="R10983" t="s">
        <v>26578</v>
      </c>
      <c r="S10983" t="s">
        <v>18958</v>
      </c>
      <c r="U10983" t="s">
        <v>26604</v>
      </c>
      <c r="X10983">
        <v>783.86</v>
      </c>
      <c r="Y10983" t="s">
        <v>26650</v>
      </c>
      <c r="Z10983" t="s">
        <v>26667</v>
      </c>
      <c r="AB10983" t="s">
        <v>27306</v>
      </c>
      <c r="AD10983" t="s">
        <v>45220</v>
      </c>
      <c r="AE10983">
        <v>52</v>
      </c>
      <c r="AF10983" t="s">
        <v>20460</v>
      </c>
      <c r="AG10983" t="s">
        <v>19330</v>
      </c>
      <c r="AH10983">
        <v>20</v>
      </c>
      <c r="AI10983">
        <v>1</v>
      </c>
      <c r="AJ10983">
        <v>0</v>
      </c>
      <c r="AK10983">
        <v>320.26</v>
      </c>
      <c r="AN10983" t="s">
        <v>7439</v>
      </c>
      <c r="AO10983">
        <v>40000</v>
      </c>
      <c r="AU10983">
        <v>0</v>
      </c>
      <c r="AW10983" t="s">
        <v>329</v>
      </c>
    </row>
    <row r="10984" spans="1:50">
      <c r="A10984" s="1">
        <f>HYPERLINK("https://lsnyc.legalserver.org/matter/dynamic-profile/view/1901465","19-1901465")</f>
        <v>0</v>
      </c>
      <c r="B10984" t="s">
        <v>115</v>
      </c>
      <c r="C10984" t="s">
        <v>340</v>
      </c>
      <c r="D10984" t="s">
        <v>729</v>
      </c>
      <c r="F10984" t="s">
        <v>1106</v>
      </c>
      <c r="G10984" t="s">
        <v>1128</v>
      </c>
      <c r="H10984" t="s">
        <v>16883</v>
      </c>
      <c r="I10984" t="s">
        <v>17298</v>
      </c>
      <c r="J10984" t="s">
        <v>18892</v>
      </c>
      <c r="K10984">
        <v>10452</v>
      </c>
      <c r="L10984" t="s">
        <v>18958</v>
      </c>
      <c r="M10984" t="s">
        <v>18960</v>
      </c>
      <c r="O10984" t="s">
        <v>26534</v>
      </c>
      <c r="P10984" t="s">
        <v>26561</v>
      </c>
      <c r="R10984" t="s">
        <v>26578</v>
      </c>
      <c r="S10984" t="s">
        <v>18958</v>
      </c>
      <c r="U10984" t="s">
        <v>26604</v>
      </c>
      <c r="X10984">
        <v>1113.95</v>
      </c>
      <c r="Y10984" t="s">
        <v>26650</v>
      </c>
      <c r="Z10984" t="s">
        <v>26663</v>
      </c>
      <c r="AB10984" t="s">
        <v>29029</v>
      </c>
      <c r="AD10984" t="s">
        <v>45221</v>
      </c>
      <c r="AE10984">
        <v>52</v>
      </c>
      <c r="AF10984" t="s">
        <v>45541</v>
      </c>
      <c r="AG10984" t="s">
        <v>19330</v>
      </c>
      <c r="AH10984">
        <v>36</v>
      </c>
      <c r="AI10984">
        <v>1</v>
      </c>
      <c r="AJ10984">
        <v>0</v>
      </c>
      <c r="AK10984">
        <v>544.4400000000001</v>
      </c>
      <c r="AN10984" t="s">
        <v>7439</v>
      </c>
      <c r="AO10984">
        <v>68000</v>
      </c>
      <c r="AU10984">
        <v>0</v>
      </c>
      <c r="AW10984" t="s">
        <v>329</v>
      </c>
    </row>
    <row r="10985" spans="1:50">
      <c r="A10985" s="1">
        <f>HYPERLINK("https://lsnyc.legalserver.org/matter/dynamic-profile/view/1901428","19-1901428")</f>
        <v>0</v>
      </c>
      <c r="B10985" t="s">
        <v>115</v>
      </c>
      <c r="C10985" t="s">
        <v>340</v>
      </c>
      <c r="D10985" t="s">
        <v>729</v>
      </c>
      <c r="F10985" t="s">
        <v>4957</v>
      </c>
      <c r="G10985" t="s">
        <v>9504</v>
      </c>
      <c r="H10985" t="s">
        <v>16883</v>
      </c>
      <c r="I10985" t="s">
        <v>17355</v>
      </c>
      <c r="J10985" t="s">
        <v>18892</v>
      </c>
      <c r="K10985">
        <v>10452</v>
      </c>
      <c r="L10985" t="s">
        <v>18958</v>
      </c>
      <c r="M10985" t="s">
        <v>18960</v>
      </c>
      <c r="O10985" t="s">
        <v>26534</v>
      </c>
      <c r="P10985" t="s">
        <v>26561</v>
      </c>
      <c r="R10985" t="s">
        <v>26578</v>
      </c>
      <c r="S10985" t="s">
        <v>18958</v>
      </c>
      <c r="U10985" t="s">
        <v>26604</v>
      </c>
      <c r="X10985">
        <v>1800</v>
      </c>
      <c r="Y10985" t="s">
        <v>26650</v>
      </c>
      <c r="Z10985" t="s">
        <v>26667</v>
      </c>
      <c r="AB10985" t="s">
        <v>34234</v>
      </c>
      <c r="AD10985" t="s">
        <v>45222</v>
      </c>
      <c r="AE10985">
        <v>52</v>
      </c>
      <c r="AG10985" t="s">
        <v>19330</v>
      </c>
      <c r="AH10985">
        <v>1</v>
      </c>
      <c r="AI10985">
        <v>2</v>
      </c>
      <c r="AJ10985">
        <v>0</v>
      </c>
      <c r="AK10985">
        <v>561.8</v>
      </c>
      <c r="AN10985" t="s">
        <v>7439</v>
      </c>
      <c r="AO10985">
        <v>95000</v>
      </c>
      <c r="AU10985">
        <v>0</v>
      </c>
      <c r="AW10985" t="s">
        <v>329</v>
      </c>
    </row>
    <row r="10986" spans="1:50">
      <c r="A10986" s="1">
        <f>HYPERLINK("https://lsnyc.legalserver.org/matter/dynamic-profile/view/1901474","19-1901474")</f>
        <v>0</v>
      </c>
      <c r="B10986" t="s">
        <v>115</v>
      </c>
      <c r="C10986" t="s">
        <v>340</v>
      </c>
      <c r="D10986" t="s">
        <v>729</v>
      </c>
      <c r="F10986" t="s">
        <v>2587</v>
      </c>
      <c r="G10986" t="s">
        <v>9505</v>
      </c>
      <c r="H10986" t="s">
        <v>16883</v>
      </c>
      <c r="I10986" t="s">
        <v>17288</v>
      </c>
      <c r="J10986" t="s">
        <v>18892</v>
      </c>
      <c r="K10986">
        <v>10452</v>
      </c>
      <c r="L10986" t="s">
        <v>18958</v>
      </c>
      <c r="M10986" t="s">
        <v>18960</v>
      </c>
      <c r="O10986" t="s">
        <v>26534</v>
      </c>
      <c r="P10986" t="s">
        <v>26561</v>
      </c>
      <c r="R10986" t="s">
        <v>26578</v>
      </c>
      <c r="S10986" t="s">
        <v>18958</v>
      </c>
      <c r="U10986" t="s">
        <v>26604</v>
      </c>
      <c r="X10986">
        <v>2250</v>
      </c>
      <c r="Y10986" t="s">
        <v>26650</v>
      </c>
      <c r="Z10986" t="s">
        <v>26663</v>
      </c>
      <c r="AB10986" t="s">
        <v>32583</v>
      </c>
      <c r="AD10986" t="s">
        <v>45223</v>
      </c>
      <c r="AE10986">
        <v>52</v>
      </c>
      <c r="AF10986" t="s">
        <v>45541</v>
      </c>
      <c r="AG10986" t="s">
        <v>19330</v>
      </c>
      <c r="AH10986">
        <v>1</v>
      </c>
      <c r="AI10986">
        <v>3</v>
      </c>
      <c r="AJ10986">
        <v>0</v>
      </c>
      <c r="AK10986">
        <v>609.47</v>
      </c>
      <c r="AN10986" t="s">
        <v>45581</v>
      </c>
      <c r="AO10986">
        <v>130000</v>
      </c>
      <c r="AU10986">
        <v>0</v>
      </c>
      <c r="AW10986" t="s">
        <v>329</v>
      </c>
    </row>
    <row r="10987" spans="1:50">
      <c r="A10987" s="1">
        <f>HYPERLINK("https://lsnyc.legalserver.org/matter/dynamic-profile/view/1901563","19-1901563")</f>
        <v>0</v>
      </c>
      <c r="B10987" t="s">
        <v>199</v>
      </c>
      <c r="C10987" t="s">
        <v>340</v>
      </c>
      <c r="D10987" t="s">
        <v>729</v>
      </c>
      <c r="F10987" t="s">
        <v>3660</v>
      </c>
      <c r="G10987" t="s">
        <v>879</v>
      </c>
      <c r="H10987" t="s">
        <v>12614</v>
      </c>
      <c r="I10987" t="s">
        <v>18357</v>
      </c>
      <c r="J10987" t="s">
        <v>18894</v>
      </c>
      <c r="K10987">
        <v>11206</v>
      </c>
      <c r="L10987" t="s">
        <v>18960</v>
      </c>
      <c r="M10987" t="s">
        <v>18960</v>
      </c>
      <c r="P10987" t="s">
        <v>26562</v>
      </c>
      <c r="R10987" t="s">
        <v>26578</v>
      </c>
      <c r="U10987" t="s">
        <v>26604</v>
      </c>
      <c r="X10987">
        <v>0</v>
      </c>
      <c r="Y10987" t="s">
        <v>26652</v>
      </c>
      <c r="AB10987" t="s">
        <v>29753</v>
      </c>
      <c r="AD10987" t="s">
        <v>41893</v>
      </c>
      <c r="AE10987">
        <v>0</v>
      </c>
      <c r="AH10987">
        <v>0</v>
      </c>
      <c r="AI10987">
        <v>1</v>
      </c>
      <c r="AJ10987">
        <v>0</v>
      </c>
      <c r="AK10987">
        <v>14.78</v>
      </c>
      <c r="AN10987" t="s">
        <v>7439</v>
      </c>
      <c r="AO10987">
        <v>1846</v>
      </c>
      <c r="AU10987">
        <v>0.1</v>
      </c>
      <c r="AV10987" t="s">
        <v>729</v>
      </c>
      <c r="AW10987" t="s">
        <v>198</v>
      </c>
    </row>
    <row r="10988" spans="1:50">
      <c r="A10988" s="1">
        <f>HYPERLINK("https://lsnyc.legalserver.org/matter/dynamic-profile/view/1901561","19-1901561")</f>
        <v>0</v>
      </c>
      <c r="B10988" t="s">
        <v>199</v>
      </c>
      <c r="C10988" t="s">
        <v>340</v>
      </c>
      <c r="D10988" t="s">
        <v>729</v>
      </c>
      <c r="F10988" t="s">
        <v>3229</v>
      </c>
      <c r="G10988" t="s">
        <v>5794</v>
      </c>
      <c r="H10988" t="s">
        <v>13346</v>
      </c>
      <c r="J10988" t="s">
        <v>18894</v>
      </c>
      <c r="K10988">
        <v>11238</v>
      </c>
      <c r="L10988" t="s">
        <v>18960</v>
      </c>
      <c r="M10988" t="s">
        <v>18960</v>
      </c>
      <c r="R10988" t="s">
        <v>26578</v>
      </c>
      <c r="U10988" t="s">
        <v>26604</v>
      </c>
      <c r="X10988">
        <v>0</v>
      </c>
      <c r="Y10988" t="s">
        <v>26652</v>
      </c>
      <c r="AB10988" t="s">
        <v>30714</v>
      </c>
      <c r="AE10988">
        <v>0</v>
      </c>
      <c r="AH10988">
        <v>0</v>
      </c>
      <c r="AI10988">
        <v>2</v>
      </c>
      <c r="AJ10988">
        <v>1</v>
      </c>
      <c r="AK10988">
        <v>187.53</v>
      </c>
      <c r="AN10988" t="s">
        <v>7439</v>
      </c>
      <c r="AO10988">
        <v>40000</v>
      </c>
      <c r="AU10988">
        <v>2.2</v>
      </c>
      <c r="AV10988" t="s">
        <v>729</v>
      </c>
      <c r="AW10988" t="s">
        <v>198</v>
      </c>
    </row>
    <row r="10989" spans="1:50">
      <c r="A10989" s="1">
        <f>HYPERLINK("https://lsnyc.legalserver.org/matter/dynamic-profile/view/1901500","19-1901500")</f>
        <v>0</v>
      </c>
      <c r="B10989" t="s">
        <v>263</v>
      </c>
      <c r="C10989" t="s">
        <v>340</v>
      </c>
      <c r="D10989" t="s">
        <v>729</v>
      </c>
      <c r="F10989" t="s">
        <v>895</v>
      </c>
      <c r="G10989" t="s">
        <v>5340</v>
      </c>
      <c r="H10989" t="s">
        <v>13914</v>
      </c>
      <c r="I10989" t="s">
        <v>17436</v>
      </c>
      <c r="J10989" t="s">
        <v>18892</v>
      </c>
      <c r="K10989">
        <v>10451</v>
      </c>
      <c r="L10989" t="s">
        <v>18958</v>
      </c>
      <c r="M10989" t="s">
        <v>18960</v>
      </c>
      <c r="O10989" t="s">
        <v>18997</v>
      </c>
      <c r="P10989" t="s">
        <v>26564</v>
      </c>
      <c r="R10989" t="s">
        <v>26578</v>
      </c>
      <c r="S10989" t="s">
        <v>18959</v>
      </c>
      <c r="U10989" t="s">
        <v>26604</v>
      </c>
      <c r="X10989">
        <v>2325</v>
      </c>
      <c r="Y10989" t="s">
        <v>26650</v>
      </c>
      <c r="Z10989" t="s">
        <v>26663</v>
      </c>
      <c r="AB10989" t="s">
        <v>30518</v>
      </c>
      <c r="AE10989">
        <v>0</v>
      </c>
      <c r="AF10989" t="s">
        <v>45541</v>
      </c>
      <c r="AG10989" t="s">
        <v>19330</v>
      </c>
      <c r="AH10989">
        <v>5</v>
      </c>
      <c r="AI10989">
        <v>1</v>
      </c>
      <c r="AJ10989">
        <v>1</v>
      </c>
      <c r="AK10989">
        <v>136.01</v>
      </c>
      <c r="AN10989" t="s">
        <v>45581</v>
      </c>
      <c r="AO10989">
        <v>23000</v>
      </c>
      <c r="AU10989">
        <v>1</v>
      </c>
      <c r="AV10989" t="s">
        <v>797</v>
      </c>
      <c r="AW10989" t="s">
        <v>263</v>
      </c>
      <c r="AX10989" t="s">
        <v>46897</v>
      </c>
    </row>
    <row r="10990" spans="1:50">
      <c r="A10990" s="1">
        <f>HYPERLINK("https://lsnyc.legalserver.org/matter/dynamic-profile/view/1901481","19-1901481")</f>
        <v>0</v>
      </c>
      <c r="B10990" t="s">
        <v>263</v>
      </c>
      <c r="C10990" t="s">
        <v>340</v>
      </c>
      <c r="D10990" t="s">
        <v>729</v>
      </c>
      <c r="F10990" t="s">
        <v>871</v>
      </c>
      <c r="G10990" t="s">
        <v>6498</v>
      </c>
      <c r="H10990" t="s">
        <v>10141</v>
      </c>
      <c r="I10990">
        <v>315</v>
      </c>
      <c r="J10990" t="s">
        <v>18892</v>
      </c>
      <c r="K10990">
        <v>10457</v>
      </c>
      <c r="L10990" t="s">
        <v>18958</v>
      </c>
      <c r="M10990" t="s">
        <v>18960</v>
      </c>
      <c r="O10990" t="s">
        <v>18997</v>
      </c>
      <c r="P10990" t="s">
        <v>26565</v>
      </c>
      <c r="R10990" t="s">
        <v>26578</v>
      </c>
      <c r="S10990" t="s">
        <v>18959</v>
      </c>
      <c r="U10990" t="s">
        <v>26604</v>
      </c>
      <c r="X10990">
        <v>1257</v>
      </c>
      <c r="Y10990" t="s">
        <v>26650</v>
      </c>
      <c r="Z10990" t="s">
        <v>26663</v>
      </c>
      <c r="AB10990" t="s">
        <v>27893</v>
      </c>
      <c r="AE10990">
        <v>0</v>
      </c>
      <c r="AF10990" t="s">
        <v>45541</v>
      </c>
      <c r="AG10990" t="s">
        <v>19330</v>
      </c>
      <c r="AH10990">
        <v>8</v>
      </c>
      <c r="AI10990">
        <v>1</v>
      </c>
      <c r="AJ10990">
        <v>1</v>
      </c>
      <c r="AK10990">
        <v>153.76</v>
      </c>
      <c r="AN10990" t="s">
        <v>45581</v>
      </c>
      <c r="AO10990">
        <v>26000</v>
      </c>
      <c r="AU10990">
        <v>1</v>
      </c>
      <c r="AV10990" t="s">
        <v>797</v>
      </c>
      <c r="AW10990" t="s">
        <v>263</v>
      </c>
      <c r="AX10990" t="s">
        <v>46897</v>
      </c>
    </row>
    <row r="10991" spans="1:50">
      <c r="A10991" s="1">
        <f>HYPERLINK("https://lsnyc.legalserver.org/matter/dynamic-profile/view/1901418","19-1901418")</f>
        <v>0</v>
      </c>
      <c r="B10991" t="s">
        <v>269</v>
      </c>
      <c r="C10991" t="s">
        <v>340</v>
      </c>
      <c r="D10991" t="s">
        <v>729</v>
      </c>
      <c r="F10991" t="s">
        <v>1364</v>
      </c>
      <c r="G10991" t="s">
        <v>5982</v>
      </c>
      <c r="H10991" t="s">
        <v>13304</v>
      </c>
      <c r="I10991">
        <v>3</v>
      </c>
      <c r="J10991" t="s">
        <v>18892</v>
      </c>
      <c r="K10991">
        <v>10457</v>
      </c>
      <c r="L10991" t="s">
        <v>18958</v>
      </c>
      <c r="M10991" t="s">
        <v>18960</v>
      </c>
      <c r="R10991" t="s">
        <v>26579</v>
      </c>
      <c r="S10991" t="s">
        <v>18959</v>
      </c>
      <c r="U10991" t="s">
        <v>26604</v>
      </c>
      <c r="X10991">
        <v>2000</v>
      </c>
      <c r="Y10991" t="s">
        <v>26650</v>
      </c>
      <c r="Z10991" t="s">
        <v>26668</v>
      </c>
      <c r="AB10991" t="s">
        <v>30668</v>
      </c>
      <c r="AC10991" t="s">
        <v>36770</v>
      </c>
      <c r="AD10991" t="s">
        <v>40873</v>
      </c>
      <c r="AE10991">
        <v>3</v>
      </c>
      <c r="AF10991" t="s">
        <v>20460</v>
      </c>
      <c r="AG10991" t="s">
        <v>45561</v>
      </c>
      <c r="AH10991">
        <v>19</v>
      </c>
      <c r="AI10991">
        <v>2</v>
      </c>
      <c r="AJ10991">
        <v>3</v>
      </c>
      <c r="AK10991">
        <v>30.98</v>
      </c>
      <c r="AN10991" t="s">
        <v>7439</v>
      </c>
      <c r="AO10991">
        <v>9348</v>
      </c>
      <c r="AU10991">
        <v>3.5</v>
      </c>
      <c r="AV10991" t="s">
        <v>830</v>
      </c>
      <c r="AW10991" t="s">
        <v>46847</v>
      </c>
      <c r="AX10991" t="s">
        <v>46897</v>
      </c>
    </row>
    <row r="10992" spans="1:50">
      <c r="A10992" s="1">
        <f>HYPERLINK("https://lsnyc.legalserver.org/matter/dynamic-profile/view/1901457","19-1901457")</f>
        <v>0</v>
      </c>
      <c r="B10992" t="s">
        <v>256</v>
      </c>
      <c r="C10992" t="s">
        <v>340</v>
      </c>
      <c r="D10992" t="s">
        <v>729</v>
      </c>
      <c r="F10992" t="s">
        <v>4958</v>
      </c>
      <c r="G10992" t="s">
        <v>9093</v>
      </c>
      <c r="H10992" t="s">
        <v>15666</v>
      </c>
      <c r="I10992" t="s">
        <v>17317</v>
      </c>
      <c r="J10992" t="s">
        <v>18894</v>
      </c>
      <c r="K10992">
        <v>11203</v>
      </c>
      <c r="L10992" t="s">
        <v>18960</v>
      </c>
      <c r="M10992" t="s">
        <v>18960</v>
      </c>
      <c r="N10992" t="s">
        <v>26271</v>
      </c>
      <c r="O10992" t="s">
        <v>26523</v>
      </c>
      <c r="R10992" t="s">
        <v>26591</v>
      </c>
      <c r="U10992" t="s">
        <v>26604</v>
      </c>
      <c r="X10992">
        <v>1700</v>
      </c>
      <c r="Y10992" t="s">
        <v>26652</v>
      </c>
      <c r="Z10992" t="s">
        <v>26665</v>
      </c>
      <c r="AB10992" t="s">
        <v>27910</v>
      </c>
      <c r="AD10992" t="s">
        <v>45224</v>
      </c>
      <c r="AE10992">
        <v>6</v>
      </c>
      <c r="AH10992">
        <v>14</v>
      </c>
      <c r="AI10992">
        <v>1</v>
      </c>
      <c r="AJ10992">
        <v>1</v>
      </c>
      <c r="AK10992">
        <v>166.06</v>
      </c>
      <c r="AN10992" t="s">
        <v>7439</v>
      </c>
      <c r="AO10992">
        <v>28080</v>
      </c>
      <c r="AU10992">
        <v>0.5</v>
      </c>
      <c r="AV10992" t="s">
        <v>729</v>
      </c>
      <c r="AW10992" t="s">
        <v>46850</v>
      </c>
    </row>
    <row r="10993" spans="1:50">
      <c r="A10993" s="1">
        <f>HYPERLINK("https://lsnyc.legalserver.org/matter/dynamic-profile/view/1901468","19-1901468")</f>
        <v>0</v>
      </c>
      <c r="B10993" t="s">
        <v>154</v>
      </c>
      <c r="C10993" t="s">
        <v>340</v>
      </c>
      <c r="D10993" t="s">
        <v>729</v>
      </c>
      <c r="F10993" t="s">
        <v>1562</v>
      </c>
      <c r="G10993" t="s">
        <v>5639</v>
      </c>
      <c r="H10993" t="s">
        <v>16625</v>
      </c>
      <c r="I10993" t="s">
        <v>17390</v>
      </c>
      <c r="J10993" t="s">
        <v>18894</v>
      </c>
      <c r="K10993">
        <v>11213</v>
      </c>
      <c r="L10993" t="s">
        <v>18960</v>
      </c>
      <c r="M10993" t="s">
        <v>18960</v>
      </c>
      <c r="N10993" t="s">
        <v>26272</v>
      </c>
      <c r="O10993" t="s">
        <v>26524</v>
      </c>
      <c r="P10993" t="s">
        <v>26560</v>
      </c>
      <c r="R10993" t="s">
        <v>26591</v>
      </c>
      <c r="S10993" t="s">
        <v>18959</v>
      </c>
      <c r="U10993" t="s">
        <v>26604</v>
      </c>
      <c r="V10993" t="s">
        <v>26610</v>
      </c>
      <c r="X10993">
        <v>1200</v>
      </c>
      <c r="Y10993" t="s">
        <v>26652</v>
      </c>
      <c r="Z10993" t="s">
        <v>26660</v>
      </c>
      <c r="AB10993" t="s">
        <v>34235</v>
      </c>
      <c r="AD10993" t="s">
        <v>45225</v>
      </c>
      <c r="AE10993">
        <v>0</v>
      </c>
      <c r="AF10993" t="s">
        <v>45541</v>
      </c>
      <c r="AH10993">
        <v>32</v>
      </c>
      <c r="AI10993">
        <v>2</v>
      </c>
      <c r="AJ10993">
        <v>0</v>
      </c>
      <c r="AK10993">
        <v>147.84</v>
      </c>
      <c r="AO10993">
        <v>25000</v>
      </c>
      <c r="AU10993">
        <v>18.5</v>
      </c>
      <c r="AV10993" t="s">
        <v>836</v>
      </c>
      <c r="AW10993" t="s">
        <v>154</v>
      </c>
    </row>
    <row r="10994" spans="1:50">
      <c r="A10994" s="1">
        <f>HYPERLINK("https://lsnyc.legalserver.org/matter/dynamic-profile/view/1900444","19-1900444")</f>
        <v>0</v>
      </c>
      <c r="B10994" t="s">
        <v>125</v>
      </c>
      <c r="C10994" t="s">
        <v>340</v>
      </c>
      <c r="D10994" t="s">
        <v>729</v>
      </c>
      <c r="F10994" t="s">
        <v>4959</v>
      </c>
      <c r="G10994" t="s">
        <v>9506</v>
      </c>
      <c r="H10994" t="s">
        <v>16999</v>
      </c>
      <c r="I10994">
        <v>3</v>
      </c>
      <c r="J10994" t="s">
        <v>18894</v>
      </c>
      <c r="K10994">
        <v>11233</v>
      </c>
      <c r="L10994" t="s">
        <v>18959</v>
      </c>
      <c r="M10994" t="s">
        <v>18960</v>
      </c>
      <c r="N10994" t="s">
        <v>26273</v>
      </c>
      <c r="O10994" t="s">
        <v>26523</v>
      </c>
      <c r="R10994" t="s">
        <v>26583</v>
      </c>
      <c r="S10994" t="s">
        <v>18959</v>
      </c>
      <c r="U10994" t="s">
        <v>26604</v>
      </c>
      <c r="V10994" t="s">
        <v>26609</v>
      </c>
      <c r="X10994">
        <v>2200</v>
      </c>
      <c r="Y10994" t="s">
        <v>26652</v>
      </c>
      <c r="Z10994" t="s">
        <v>26668</v>
      </c>
      <c r="AB10994" t="s">
        <v>32806</v>
      </c>
      <c r="AE10994">
        <v>5</v>
      </c>
      <c r="AF10994" t="s">
        <v>45547</v>
      </c>
      <c r="AG10994" t="s">
        <v>19330</v>
      </c>
      <c r="AH10994">
        <v>5</v>
      </c>
      <c r="AI10994">
        <v>3</v>
      </c>
      <c r="AJ10994">
        <v>0</v>
      </c>
      <c r="AK10994">
        <v>371.78</v>
      </c>
      <c r="AN10994" t="s">
        <v>7439</v>
      </c>
      <c r="AO10994">
        <v>79300</v>
      </c>
      <c r="AU10994">
        <v>0.5</v>
      </c>
      <c r="AV10994" t="s">
        <v>833</v>
      </c>
      <c r="AW10994" t="s">
        <v>279</v>
      </c>
      <c r="AX10994" t="s">
        <v>19330</v>
      </c>
    </row>
    <row r="10995" spans="1:50">
      <c r="A10995" s="1">
        <f>HYPERLINK("https://lsnyc.legalserver.org/matter/dynamic-profile/view/1901579","19-1901579")</f>
        <v>0</v>
      </c>
      <c r="B10995" t="s">
        <v>286</v>
      </c>
      <c r="C10995" t="s">
        <v>341</v>
      </c>
      <c r="D10995" t="s">
        <v>828</v>
      </c>
      <c r="E10995" t="s">
        <v>828</v>
      </c>
      <c r="F10995" t="s">
        <v>4960</v>
      </c>
      <c r="G10995" t="s">
        <v>8534</v>
      </c>
      <c r="H10995" t="s">
        <v>17000</v>
      </c>
      <c r="I10995" t="s">
        <v>17338</v>
      </c>
      <c r="J10995" t="s">
        <v>18894</v>
      </c>
      <c r="K10995">
        <v>11207</v>
      </c>
      <c r="L10995" t="s">
        <v>18960</v>
      </c>
      <c r="M10995" t="s">
        <v>18960</v>
      </c>
      <c r="P10995" t="s">
        <v>26564</v>
      </c>
      <c r="Q10995" t="s">
        <v>26570</v>
      </c>
      <c r="R10995" t="s">
        <v>26578</v>
      </c>
      <c r="U10995" t="s">
        <v>26604</v>
      </c>
      <c r="X10995">
        <v>0</v>
      </c>
      <c r="Y10995" t="s">
        <v>26652</v>
      </c>
      <c r="AA10995" t="s">
        <v>26683</v>
      </c>
      <c r="AB10995" t="s">
        <v>27870</v>
      </c>
      <c r="AD10995" t="s">
        <v>45226</v>
      </c>
      <c r="AE10995">
        <v>0</v>
      </c>
      <c r="AH10995">
        <v>3</v>
      </c>
      <c r="AI10995">
        <v>1</v>
      </c>
      <c r="AJ10995">
        <v>0</v>
      </c>
      <c r="AK10995">
        <v>78.20999999999999</v>
      </c>
      <c r="AN10995" t="s">
        <v>7439</v>
      </c>
      <c r="AO10995">
        <v>9768</v>
      </c>
      <c r="AU10995">
        <v>0.6</v>
      </c>
      <c r="AV10995" t="s">
        <v>828</v>
      </c>
      <c r="AW10995" t="s">
        <v>46842</v>
      </c>
    </row>
    <row r="10996" spans="1:50">
      <c r="A10996" s="1">
        <f>HYPERLINK("https://lsnyc.legalserver.org/matter/dynamic-profile/view/1901634","19-1901634")</f>
        <v>0</v>
      </c>
      <c r="B10996" t="s">
        <v>286</v>
      </c>
      <c r="C10996" t="s">
        <v>341</v>
      </c>
      <c r="D10996" t="s">
        <v>828</v>
      </c>
      <c r="E10996" t="s">
        <v>814</v>
      </c>
      <c r="F10996" t="s">
        <v>1283</v>
      </c>
      <c r="G10996" t="s">
        <v>5673</v>
      </c>
      <c r="H10996" t="s">
        <v>17001</v>
      </c>
      <c r="I10996" t="s">
        <v>17333</v>
      </c>
      <c r="J10996" t="s">
        <v>18894</v>
      </c>
      <c r="K10996">
        <v>11207</v>
      </c>
      <c r="L10996" t="s">
        <v>18960</v>
      </c>
      <c r="M10996" t="s">
        <v>18960</v>
      </c>
      <c r="O10996" t="s">
        <v>26529</v>
      </c>
      <c r="Q10996" t="s">
        <v>26570</v>
      </c>
      <c r="R10996" t="s">
        <v>26578</v>
      </c>
      <c r="U10996" t="s">
        <v>26604</v>
      </c>
      <c r="X10996">
        <v>835</v>
      </c>
      <c r="Y10996" t="s">
        <v>26652</v>
      </c>
      <c r="Z10996" t="s">
        <v>26673</v>
      </c>
      <c r="AA10996" t="s">
        <v>26683</v>
      </c>
      <c r="AB10996" t="s">
        <v>34236</v>
      </c>
      <c r="AD10996" t="s">
        <v>45227</v>
      </c>
      <c r="AE10996">
        <v>52</v>
      </c>
      <c r="AH10996">
        <v>30</v>
      </c>
      <c r="AI10996">
        <v>1</v>
      </c>
      <c r="AJ10996">
        <v>0</v>
      </c>
      <c r="AK10996">
        <v>187.35</v>
      </c>
      <c r="AN10996" t="s">
        <v>7439</v>
      </c>
      <c r="AO10996">
        <v>23400</v>
      </c>
      <c r="AU10996">
        <v>1</v>
      </c>
      <c r="AV10996" t="s">
        <v>828</v>
      </c>
      <c r="AW10996" t="s">
        <v>46861</v>
      </c>
    </row>
    <row r="10997" spans="1:50">
      <c r="A10997" s="1">
        <f>HYPERLINK("https://lsnyc.legalserver.org/matter/dynamic-profile/view/1901597","19-1901597")</f>
        <v>0</v>
      </c>
      <c r="B10997" t="s">
        <v>136</v>
      </c>
      <c r="C10997" t="s">
        <v>340</v>
      </c>
      <c r="D10997" t="s">
        <v>828</v>
      </c>
      <c r="F10997" t="s">
        <v>4961</v>
      </c>
      <c r="G10997" t="s">
        <v>5785</v>
      </c>
      <c r="H10997" t="s">
        <v>17002</v>
      </c>
      <c r="I10997" t="s">
        <v>17436</v>
      </c>
      <c r="J10997" t="s">
        <v>18892</v>
      </c>
      <c r="K10997">
        <v>10453</v>
      </c>
      <c r="L10997" t="s">
        <v>18960</v>
      </c>
      <c r="M10997" t="s">
        <v>18960</v>
      </c>
      <c r="P10997" t="s">
        <v>26564</v>
      </c>
      <c r="R10997" t="s">
        <v>26577</v>
      </c>
      <c r="U10997" t="s">
        <v>26604</v>
      </c>
      <c r="X10997">
        <v>0</v>
      </c>
      <c r="Y10997" t="s">
        <v>26650</v>
      </c>
      <c r="AB10997" t="s">
        <v>34237</v>
      </c>
      <c r="AE10997">
        <v>0</v>
      </c>
      <c r="AH10997">
        <v>0</v>
      </c>
      <c r="AI10997">
        <v>2</v>
      </c>
      <c r="AJ10997">
        <v>0</v>
      </c>
      <c r="AK10997">
        <v>0</v>
      </c>
      <c r="AN10997" t="s">
        <v>7439</v>
      </c>
      <c r="AO10997">
        <v>0</v>
      </c>
      <c r="AP10997" t="s">
        <v>46339</v>
      </c>
      <c r="AU10997">
        <v>0</v>
      </c>
      <c r="AW10997" t="s">
        <v>284</v>
      </c>
    </row>
    <row r="10998" spans="1:50">
      <c r="A10998" s="1">
        <f>HYPERLINK("https://lsnyc.legalserver.org/matter/dynamic-profile/view/1903054","19-1903054")</f>
        <v>0</v>
      </c>
      <c r="B10998" t="s">
        <v>149</v>
      </c>
      <c r="C10998" t="s">
        <v>340</v>
      </c>
      <c r="D10998" t="s">
        <v>828</v>
      </c>
      <c r="F10998" t="s">
        <v>4962</v>
      </c>
      <c r="G10998" t="s">
        <v>5311</v>
      </c>
      <c r="H10998" t="s">
        <v>17003</v>
      </c>
      <c r="I10998" t="s">
        <v>17309</v>
      </c>
      <c r="J10998" t="s">
        <v>18892</v>
      </c>
      <c r="K10998">
        <v>10467</v>
      </c>
      <c r="L10998" t="s">
        <v>18958</v>
      </c>
      <c r="M10998" t="s">
        <v>18960</v>
      </c>
      <c r="R10998" t="s">
        <v>26579</v>
      </c>
      <c r="S10998" t="s">
        <v>18959</v>
      </c>
      <c r="U10998" t="s">
        <v>26604</v>
      </c>
      <c r="X10998">
        <v>1383.75</v>
      </c>
      <c r="Y10998" t="s">
        <v>26650</v>
      </c>
      <c r="Z10998" t="s">
        <v>26668</v>
      </c>
      <c r="AB10998" t="s">
        <v>34238</v>
      </c>
      <c r="AE10998">
        <v>0</v>
      </c>
      <c r="AF10998" t="s">
        <v>20460</v>
      </c>
      <c r="AG10998" t="s">
        <v>19330</v>
      </c>
      <c r="AH10998">
        <v>4</v>
      </c>
      <c r="AI10998">
        <v>1</v>
      </c>
      <c r="AJ10998">
        <v>1</v>
      </c>
      <c r="AK10998">
        <v>92.25</v>
      </c>
      <c r="AN10998" t="s">
        <v>45581</v>
      </c>
      <c r="AO10998">
        <v>15600</v>
      </c>
      <c r="AU10998">
        <v>0.2</v>
      </c>
      <c r="AV10998" t="s">
        <v>838</v>
      </c>
      <c r="AW10998" t="s">
        <v>46832</v>
      </c>
      <c r="AX10998" t="s">
        <v>46897</v>
      </c>
    </row>
    <row r="10999" spans="1:50">
      <c r="A10999" s="1">
        <f>HYPERLINK("https://lsnyc.legalserver.org/matter/dynamic-profile/view/1901750","19-1901750")</f>
        <v>0</v>
      </c>
      <c r="B10999" t="s">
        <v>149</v>
      </c>
      <c r="C10999" t="s">
        <v>340</v>
      </c>
      <c r="D10999" t="s">
        <v>828</v>
      </c>
      <c r="F10999" t="s">
        <v>1155</v>
      </c>
      <c r="G10999" t="s">
        <v>1627</v>
      </c>
      <c r="H10999" t="s">
        <v>17004</v>
      </c>
      <c r="I10999" t="s">
        <v>17327</v>
      </c>
      <c r="J10999" t="s">
        <v>18892</v>
      </c>
      <c r="K10999">
        <v>10467</v>
      </c>
      <c r="L10999" t="s">
        <v>18960</v>
      </c>
      <c r="M10999" t="s">
        <v>18960</v>
      </c>
      <c r="N10999" t="s">
        <v>26274</v>
      </c>
      <c r="O10999" t="s">
        <v>26523</v>
      </c>
      <c r="P10999" t="s">
        <v>26560</v>
      </c>
      <c r="R10999" t="s">
        <v>26579</v>
      </c>
      <c r="S10999" t="s">
        <v>18959</v>
      </c>
      <c r="U10999" t="s">
        <v>26604</v>
      </c>
      <c r="V10999" t="s">
        <v>26610</v>
      </c>
      <c r="X10999">
        <v>1398</v>
      </c>
      <c r="Y10999" t="s">
        <v>26650</v>
      </c>
      <c r="AB10999" t="s">
        <v>34239</v>
      </c>
      <c r="AD10999" t="s">
        <v>45228</v>
      </c>
      <c r="AE10999">
        <v>49</v>
      </c>
      <c r="AF10999" t="s">
        <v>20460</v>
      </c>
      <c r="AG10999" t="s">
        <v>19330</v>
      </c>
      <c r="AH10999">
        <v>5</v>
      </c>
      <c r="AI10999">
        <v>2</v>
      </c>
      <c r="AJ10999">
        <v>0</v>
      </c>
      <c r="AK10999">
        <v>215.26</v>
      </c>
      <c r="AN10999" t="s">
        <v>7439</v>
      </c>
      <c r="AO10999">
        <v>36400</v>
      </c>
      <c r="AU10999">
        <v>2.65</v>
      </c>
      <c r="AV10999" t="s">
        <v>836</v>
      </c>
      <c r="AW10999" t="s">
        <v>336</v>
      </c>
      <c r="AX10999" t="s">
        <v>46897</v>
      </c>
    </row>
    <row r="11000" spans="1:50">
      <c r="A11000" s="1">
        <f>HYPERLINK("https://lsnyc.legalserver.org/matter/dynamic-profile/view/1901671","19-1901671")</f>
        <v>0</v>
      </c>
      <c r="B11000" t="s">
        <v>60</v>
      </c>
      <c r="C11000" t="s">
        <v>340</v>
      </c>
      <c r="D11000" t="s">
        <v>828</v>
      </c>
      <c r="F11000" t="s">
        <v>4636</v>
      </c>
      <c r="G11000" t="s">
        <v>992</v>
      </c>
      <c r="H11000" t="s">
        <v>17005</v>
      </c>
      <c r="J11000" t="s">
        <v>18892</v>
      </c>
      <c r="K11000">
        <v>10466</v>
      </c>
      <c r="L11000" t="s">
        <v>18960</v>
      </c>
      <c r="M11000" t="s">
        <v>18960</v>
      </c>
      <c r="R11000" t="s">
        <v>26591</v>
      </c>
      <c r="U11000" t="s">
        <v>26604</v>
      </c>
      <c r="X11000">
        <v>600</v>
      </c>
      <c r="Y11000" t="s">
        <v>26650</v>
      </c>
      <c r="Z11000" t="s">
        <v>26657</v>
      </c>
      <c r="AB11000" t="s">
        <v>27282</v>
      </c>
      <c r="AD11000" t="s">
        <v>45229</v>
      </c>
      <c r="AE11000">
        <v>0</v>
      </c>
      <c r="AG11000" t="s">
        <v>19330</v>
      </c>
      <c r="AH11000">
        <v>0</v>
      </c>
      <c r="AI11000">
        <v>2</v>
      </c>
      <c r="AJ11000">
        <v>0</v>
      </c>
      <c r="AK11000">
        <v>70.95999999999999</v>
      </c>
      <c r="AN11000" t="s">
        <v>7439</v>
      </c>
      <c r="AO11000">
        <v>12000</v>
      </c>
      <c r="AU11000">
        <v>1.2</v>
      </c>
      <c r="AV11000" t="s">
        <v>826</v>
      </c>
      <c r="AW11000" t="s">
        <v>46858</v>
      </c>
    </row>
    <row r="11001" spans="1:50">
      <c r="A11001" s="1">
        <f>HYPERLINK("https://lsnyc.legalserver.org/matter/dynamic-profile/view/1901641","19-1901641")</f>
        <v>0</v>
      </c>
      <c r="B11001" t="s">
        <v>158</v>
      </c>
      <c r="C11001" t="s">
        <v>340</v>
      </c>
      <c r="D11001" t="s">
        <v>828</v>
      </c>
      <c r="F11001" t="s">
        <v>1021</v>
      </c>
      <c r="G11001" t="s">
        <v>1495</v>
      </c>
      <c r="H11001" t="s">
        <v>17006</v>
      </c>
      <c r="I11001" t="s">
        <v>17299</v>
      </c>
      <c r="J11001" t="s">
        <v>18894</v>
      </c>
      <c r="K11001">
        <v>11226</v>
      </c>
      <c r="L11001" t="s">
        <v>18960</v>
      </c>
      <c r="M11001" t="s">
        <v>18960</v>
      </c>
      <c r="N11001" t="s">
        <v>26275</v>
      </c>
      <c r="O11001" t="s">
        <v>26523</v>
      </c>
      <c r="P11001" t="s">
        <v>26563</v>
      </c>
      <c r="R11001" t="s">
        <v>26588</v>
      </c>
      <c r="S11001" t="s">
        <v>18959</v>
      </c>
      <c r="U11001" t="s">
        <v>26604</v>
      </c>
      <c r="V11001" t="s">
        <v>26610</v>
      </c>
      <c r="X11001">
        <v>1378.1</v>
      </c>
      <c r="Y11001" t="s">
        <v>26652</v>
      </c>
      <c r="Z11001" t="s">
        <v>26659</v>
      </c>
      <c r="AB11001" t="s">
        <v>34240</v>
      </c>
      <c r="AD11001" t="s">
        <v>45230</v>
      </c>
      <c r="AE11001">
        <v>0</v>
      </c>
      <c r="AF11001" t="s">
        <v>45541</v>
      </c>
      <c r="AG11001" t="s">
        <v>45556</v>
      </c>
      <c r="AH11001">
        <v>35</v>
      </c>
      <c r="AI11001">
        <v>2</v>
      </c>
      <c r="AJ11001">
        <v>2</v>
      </c>
      <c r="AK11001">
        <v>0</v>
      </c>
      <c r="AN11001" t="s">
        <v>7439</v>
      </c>
      <c r="AO11001">
        <v>0</v>
      </c>
      <c r="AU11001">
        <v>2.1</v>
      </c>
      <c r="AV11001" t="s">
        <v>829</v>
      </c>
      <c r="AW11001" t="s">
        <v>158</v>
      </c>
    </row>
    <row r="11002" spans="1:50">
      <c r="A11002" s="1">
        <f>HYPERLINK("https://lsnyc.legalserver.org/matter/dynamic-profile/view/1901630","19-1901630")</f>
        <v>0</v>
      </c>
      <c r="B11002" t="s">
        <v>294</v>
      </c>
      <c r="C11002" t="s">
        <v>340</v>
      </c>
      <c r="D11002" t="s">
        <v>828</v>
      </c>
      <c r="F11002" t="s">
        <v>4963</v>
      </c>
      <c r="G11002" t="s">
        <v>9507</v>
      </c>
      <c r="H11002" t="s">
        <v>17007</v>
      </c>
      <c r="I11002" t="s">
        <v>18848</v>
      </c>
      <c r="J11002" t="s">
        <v>7026</v>
      </c>
      <c r="K11002">
        <v>11368</v>
      </c>
      <c r="L11002" t="s">
        <v>18958</v>
      </c>
      <c r="M11002" t="s">
        <v>18960</v>
      </c>
      <c r="N11002" t="s">
        <v>26276</v>
      </c>
      <c r="O11002" t="s">
        <v>26524</v>
      </c>
      <c r="P11002" t="s">
        <v>26564</v>
      </c>
      <c r="R11002" t="s">
        <v>26584</v>
      </c>
      <c r="S11002" t="s">
        <v>18959</v>
      </c>
      <c r="U11002" t="s">
        <v>26604</v>
      </c>
      <c r="X11002">
        <v>1800</v>
      </c>
      <c r="Y11002" t="s">
        <v>26653</v>
      </c>
      <c r="Z11002" t="s">
        <v>26664</v>
      </c>
      <c r="AB11002" t="s">
        <v>29965</v>
      </c>
      <c r="AC11002" t="s">
        <v>36771</v>
      </c>
      <c r="AD11002" t="s">
        <v>45231</v>
      </c>
      <c r="AE11002">
        <v>3</v>
      </c>
      <c r="AF11002" t="s">
        <v>20460</v>
      </c>
      <c r="AG11002" t="s">
        <v>19330</v>
      </c>
      <c r="AH11002">
        <v>21</v>
      </c>
      <c r="AI11002">
        <v>2</v>
      </c>
      <c r="AJ11002">
        <v>2</v>
      </c>
      <c r="AK11002">
        <v>102.52</v>
      </c>
      <c r="AN11002" t="s">
        <v>45581</v>
      </c>
      <c r="AO11002">
        <v>26400</v>
      </c>
      <c r="AU11002">
        <v>0.42</v>
      </c>
      <c r="AV11002" t="s">
        <v>828</v>
      </c>
      <c r="AW11002" t="s">
        <v>46846</v>
      </c>
      <c r="AX11002" t="s">
        <v>46897</v>
      </c>
    </row>
    <row r="11003" spans="1:50">
      <c r="A11003" s="1">
        <f>HYPERLINK("https://lsnyc.legalserver.org/matter/dynamic-profile/view/1901603","19-1901603")</f>
        <v>0</v>
      </c>
      <c r="B11003" t="s">
        <v>212</v>
      </c>
      <c r="C11003" t="s">
        <v>340</v>
      </c>
      <c r="D11003" t="s">
        <v>828</v>
      </c>
      <c r="F11003" t="s">
        <v>3889</v>
      </c>
      <c r="G11003" t="s">
        <v>6691</v>
      </c>
      <c r="H11003" t="s">
        <v>17008</v>
      </c>
      <c r="I11003" t="s">
        <v>18849</v>
      </c>
      <c r="J11003" t="s">
        <v>18900</v>
      </c>
      <c r="K11003">
        <v>11367</v>
      </c>
      <c r="L11003" t="s">
        <v>18958</v>
      </c>
      <c r="M11003" t="s">
        <v>18960</v>
      </c>
      <c r="N11003" t="s">
        <v>26277</v>
      </c>
      <c r="O11003" t="s">
        <v>26523</v>
      </c>
      <c r="R11003" t="s">
        <v>26584</v>
      </c>
      <c r="S11003" t="s">
        <v>18958</v>
      </c>
      <c r="U11003" t="s">
        <v>26605</v>
      </c>
      <c r="X11003">
        <v>293</v>
      </c>
      <c r="Y11003" t="s">
        <v>26653</v>
      </c>
      <c r="Z11003" t="s">
        <v>26664</v>
      </c>
      <c r="AB11003" t="s">
        <v>34241</v>
      </c>
      <c r="AC11003" t="s">
        <v>36772</v>
      </c>
      <c r="AD11003" t="s">
        <v>45232</v>
      </c>
      <c r="AE11003">
        <v>28</v>
      </c>
      <c r="AF11003" t="s">
        <v>45549</v>
      </c>
      <c r="AG11003" t="s">
        <v>19330</v>
      </c>
      <c r="AH11003">
        <v>4</v>
      </c>
      <c r="AI11003">
        <v>1</v>
      </c>
      <c r="AJ11003">
        <v>1</v>
      </c>
      <c r="AK11003">
        <v>10.16</v>
      </c>
      <c r="AO11003">
        <v>1718.4</v>
      </c>
      <c r="AU11003">
        <v>0.92</v>
      </c>
      <c r="AV11003" t="s">
        <v>828</v>
      </c>
      <c r="AW11003" t="s">
        <v>46846</v>
      </c>
      <c r="AX11003" t="s">
        <v>46897</v>
      </c>
    </row>
    <row r="11004" spans="1:50">
      <c r="A11004" s="1">
        <f>HYPERLINK("https://lsnyc.legalserver.org/matter/dynamic-profile/view/1901609","19-1901609")</f>
        <v>0</v>
      </c>
      <c r="B11004" t="s">
        <v>159</v>
      </c>
      <c r="C11004" t="s">
        <v>340</v>
      </c>
      <c r="D11004" t="s">
        <v>828</v>
      </c>
      <c r="F11004" t="s">
        <v>4964</v>
      </c>
      <c r="G11004" t="s">
        <v>7412</v>
      </c>
      <c r="H11004" t="s">
        <v>17009</v>
      </c>
      <c r="I11004" t="s">
        <v>18036</v>
      </c>
      <c r="J11004" t="s">
        <v>18911</v>
      </c>
      <c r="K11004">
        <v>11375</v>
      </c>
      <c r="L11004" t="s">
        <v>18958</v>
      </c>
      <c r="M11004" t="s">
        <v>18960</v>
      </c>
      <c r="N11004" t="s">
        <v>26278</v>
      </c>
      <c r="O11004" t="s">
        <v>26524</v>
      </c>
      <c r="R11004" t="s">
        <v>26584</v>
      </c>
      <c r="U11004" t="s">
        <v>26604</v>
      </c>
      <c r="X11004">
        <v>1500</v>
      </c>
      <c r="Y11004" t="s">
        <v>26653</v>
      </c>
      <c r="Z11004" t="s">
        <v>26664</v>
      </c>
      <c r="AB11004" t="s">
        <v>34242</v>
      </c>
      <c r="AC11004" t="s">
        <v>19330</v>
      </c>
      <c r="AD11004" t="s">
        <v>45233</v>
      </c>
      <c r="AE11004">
        <v>96</v>
      </c>
      <c r="AF11004" t="s">
        <v>45548</v>
      </c>
      <c r="AG11004" t="s">
        <v>19330</v>
      </c>
      <c r="AH11004">
        <v>3</v>
      </c>
      <c r="AI11004">
        <v>1</v>
      </c>
      <c r="AJ11004">
        <v>0</v>
      </c>
      <c r="AK11004">
        <v>160.13</v>
      </c>
      <c r="AO11004">
        <v>20000</v>
      </c>
      <c r="AU11004">
        <v>11.42</v>
      </c>
      <c r="AV11004" t="s">
        <v>836</v>
      </c>
      <c r="AW11004" t="s">
        <v>46846</v>
      </c>
      <c r="AX11004" t="s">
        <v>46897</v>
      </c>
    </row>
    <row r="11005" spans="1:50">
      <c r="A11005" s="1">
        <f>HYPERLINK("https://lsnyc.legalserver.org/matter/dynamic-profile/view/1901601","19-1901601")</f>
        <v>0</v>
      </c>
      <c r="B11005" t="s">
        <v>213</v>
      </c>
      <c r="C11005" t="s">
        <v>340</v>
      </c>
      <c r="D11005" t="s">
        <v>828</v>
      </c>
      <c r="F11005" t="s">
        <v>4965</v>
      </c>
      <c r="G11005" t="s">
        <v>1627</v>
      </c>
      <c r="H11005" t="s">
        <v>17010</v>
      </c>
      <c r="I11005" t="s">
        <v>17316</v>
      </c>
      <c r="J11005" t="s">
        <v>18892</v>
      </c>
      <c r="K11005">
        <v>10453</v>
      </c>
      <c r="L11005" t="s">
        <v>18959</v>
      </c>
      <c r="M11005" t="s">
        <v>18960</v>
      </c>
      <c r="O11005" t="s">
        <v>26523</v>
      </c>
      <c r="P11005" t="s">
        <v>26564</v>
      </c>
      <c r="R11005" t="s">
        <v>26577</v>
      </c>
      <c r="U11005" t="s">
        <v>26604</v>
      </c>
      <c r="X11005">
        <v>1591</v>
      </c>
      <c r="Y11005" t="s">
        <v>26650</v>
      </c>
      <c r="AB11005" t="s">
        <v>34243</v>
      </c>
      <c r="AE11005">
        <v>0</v>
      </c>
      <c r="AH11005">
        <v>7</v>
      </c>
      <c r="AI11005">
        <v>1</v>
      </c>
      <c r="AJ11005">
        <v>1</v>
      </c>
      <c r="AK11005">
        <v>147.6</v>
      </c>
      <c r="AN11005" t="s">
        <v>7439</v>
      </c>
      <c r="AO11005">
        <v>24960</v>
      </c>
      <c r="AP11005" t="s">
        <v>46339</v>
      </c>
      <c r="AU11005">
        <v>0.1</v>
      </c>
      <c r="AV11005" t="s">
        <v>838</v>
      </c>
      <c r="AW11005" t="s">
        <v>284</v>
      </c>
      <c r="AX11005" t="s">
        <v>19330</v>
      </c>
    </row>
    <row r="11006" spans="1:50">
      <c r="A11006" s="1">
        <f>HYPERLINK("https://lsnyc.legalserver.org/matter/dynamic-profile/view/1901618","19-1901618")</f>
        <v>0</v>
      </c>
      <c r="B11006" t="s">
        <v>200</v>
      </c>
      <c r="C11006" t="s">
        <v>340</v>
      </c>
      <c r="D11006" t="s">
        <v>828</v>
      </c>
      <c r="F11006" t="s">
        <v>1281</v>
      </c>
      <c r="G11006" t="s">
        <v>2382</v>
      </c>
      <c r="H11006" t="s">
        <v>17011</v>
      </c>
      <c r="I11006" t="s">
        <v>17299</v>
      </c>
      <c r="J11006" t="s">
        <v>18894</v>
      </c>
      <c r="K11006">
        <v>11233</v>
      </c>
      <c r="L11006" t="s">
        <v>18958</v>
      </c>
      <c r="M11006" t="s">
        <v>18960</v>
      </c>
      <c r="N11006" t="s">
        <v>26279</v>
      </c>
      <c r="O11006" t="s">
        <v>26523</v>
      </c>
      <c r="R11006" t="s">
        <v>26578</v>
      </c>
      <c r="S11006" t="s">
        <v>18959</v>
      </c>
      <c r="U11006" t="s">
        <v>26604</v>
      </c>
      <c r="V11006" t="s">
        <v>26610</v>
      </c>
      <c r="X11006">
        <v>1585</v>
      </c>
      <c r="Y11006" t="s">
        <v>26652</v>
      </c>
      <c r="Z11006" t="s">
        <v>26660</v>
      </c>
      <c r="AB11006" t="s">
        <v>34244</v>
      </c>
      <c r="AC11006" t="s">
        <v>19330</v>
      </c>
      <c r="AD11006" t="s">
        <v>45234</v>
      </c>
      <c r="AE11006">
        <v>8</v>
      </c>
      <c r="AF11006" t="s">
        <v>45541</v>
      </c>
      <c r="AG11006" t="s">
        <v>19330</v>
      </c>
      <c r="AH11006">
        <v>5</v>
      </c>
      <c r="AI11006">
        <v>2</v>
      </c>
      <c r="AJ11006">
        <v>0</v>
      </c>
      <c r="AK11006">
        <v>285.04</v>
      </c>
      <c r="AN11006" t="s">
        <v>7439</v>
      </c>
      <c r="AO11006">
        <v>48200</v>
      </c>
      <c r="AP11006" t="s">
        <v>46340</v>
      </c>
      <c r="AU11006">
        <v>2.45</v>
      </c>
      <c r="AV11006" t="s">
        <v>834</v>
      </c>
      <c r="AW11006" t="s">
        <v>279</v>
      </c>
      <c r="AX11006" t="s">
        <v>46897</v>
      </c>
    </row>
    <row r="11007" spans="1:50">
      <c r="A11007" s="1">
        <f>HYPERLINK("https://lsnyc.legalserver.org/matter/dynamic-profile/view/1901593","19-1901593")</f>
        <v>0</v>
      </c>
      <c r="B11007" t="s">
        <v>65</v>
      </c>
      <c r="C11007" t="s">
        <v>340</v>
      </c>
      <c r="D11007" t="s">
        <v>828</v>
      </c>
      <c r="F11007" t="s">
        <v>1266</v>
      </c>
      <c r="G11007" t="s">
        <v>5169</v>
      </c>
      <c r="H11007" t="s">
        <v>13375</v>
      </c>
      <c r="I11007" t="s">
        <v>17299</v>
      </c>
      <c r="J11007" t="s">
        <v>18892</v>
      </c>
      <c r="K11007">
        <v>10457</v>
      </c>
      <c r="L11007" t="s">
        <v>18958</v>
      </c>
      <c r="M11007" t="s">
        <v>18960</v>
      </c>
      <c r="N11007" t="s">
        <v>26280</v>
      </c>
      <c r="O11007" t="s">
        <v>26523</v>
      </c>
      <c r="P11007" t="s">
        <v>26560</v>
      </c>
      <c r="R11007" t="s">
        <v>26579</v>
      </c>
      <c r="S11007" t="s">
        <v>18959</v>
      </c>
      <c r="U11007" t="s">
        <v>26604</v>
      </c>
      <c r="V11007" t="s">
        <v>26609</v>
      </c>
      <c r="X11007">
        <v>1534</v>
      </c>
      <c r="Y11007" t="s">
        <v>26650</v>
      </c>
      <c r="Z11007" t="s">
        <v>26668</v>
      </c>
      <c r="AB11007" t="s">
        <v>33693</v>
      </c>
      <c r="AC11007" t="s">
        <v>36773</v>
      </c>
      <c r="AD11007" t="s">
        <v>45235</v>
      </c>
      <c r="AE11007">
        <v>27</v>
      </c>
      <c r="AF11007" t="s">
        <v>45541</v>
      </c>
      <c r="AG11007" t="s">
        <v>45557</v>
      </c>
      <c r="AH11007">
        <v>5</v>
      </c>
      <c r="AI11007">
        <v>1</v>
      </c>
      <c r="AJ11007">
        <v>2</v>
      </c>
      <c r="AK11007">
        <v>66.16</v>
      </c>
      <c r="AN11007" t="s">
        <v>7439</v>
      </c>
      <c r="AO11007">
        <v>14112</v>
      </c>
      <c r="AU11007">
        <v>1.5</v>
      </c>
      <c r="AV11007" t="s">
        <v>814</v>
      </c>
      <c r="AW11007" t="s">
        <v>46871</v>
      </c>
      <c r="AX11007" t="s">
        <v>46897</v>
      </c>
    </row>
    <row r="11008" spans="1:50">
      <c r="A11008" s="1">
        <f>HYPERLINK("https://lsnyc.legalserver.org/matter/dynamic-profile/view/1901592","19-1901592")</f>
        <v>0</v>
      </c>
      <c r="B11008" t="s">
        <v>233</v>
      </c>
      <c r="C11008" t="s">
        <v>340</v>
      </c>
      <c r="D11008" t="s">
        <v>828</v>
      </c>
      <c r="F11008" t="s">
        <v>1210</v>
      </c>
      <c r="G11008" t="s">
        <v>9508</v>
      </c>
      <c r="H11008" t="s">
        <v>10895</v>
      </c>
      <c r="I11008" t="s">
        <v>18850</v>
      </c>
      <c r="J11008" t="s">
        <v>18892</v>
      </c>
      <c r="K11008">
        <v>10451</v>
      </c>
      <c r="L11008" t="s">
        <v>18959</v>
      </c>
      <c r="M11008" t="s">
        <v>18960</v>
      </c>
      <c r="P11008" t="s">
        <v>26560</v>
      </c>
      <c r="R11008" t="s">
        <v>26577</v>
      </c>
      <c r="U11008" t="s">
        <v>26604</v>
      </c>
      <c r="X11008">
        <v>0</v>
      </c>
      <c r="Y11008" t="s">
        <v>26650</v>
      </c>
      <c r="AB11008" t="s">
        <v>34245</v>
      </c>
      <c r="AD11008" t="s">
        <v>45236</v>
      </c>
      <c r="AE11008">
        <v>0</v>
      </c>
      <c r="AH11008">
        <v>0</v>
      </c>
      <c r="AI11008">
        <v>2</v>
      </c>
      <c r="AJ11008">
        <v>1</v>
      </c>
      <c r="AK11008">
        <v>0</v>
      </c>
      <c r="AN11008" t="s">
        <v>45581</v>
      </c>
      <c r="AO11008">
        <v>0</v>
      </c>
      <c r="AP11008" t="s">
        <v>46341</v>
      </c>
      <c r="AU11008">
        <v>14.7</v>
      </c>
      <c r="AV11008" t="s">
        <v>839</v>
      </c>
      <c r="AW11008" t="s">
        <v>284</v>
      </c>
      <c r="AX11008" t="s">
        <v>19330</v>
      </c>
    </row>
    <row r="11009" spans="1:50">
      <c r="A11009" s="1">
        <f>HYPERLINK("https://lsnyc.legalserver.org/matter/dynamic-profile/view/1900326","19-1900326")</f>
        <v>0</v>
      </c>
      <c r="B11009" t="s">
        <v>104</v>
      </c>
      <c r="C11009" t="s">
        <v>340</v>
      </c>
      <c r="D11009" t="s">
        <v>828</v>
      </c>
      <c r="F11009" t="s">
        <v>1540</v>
      </c>
      <c r="G11009" t="s">
        <v>5121</v>
      </c>
      <c r="H11009" t="s">
        <v>17012</v>
      </c>
      <c r="J11009" t="s">
        <v>18902</v>
      </c>
      <c r="K11009">
        <v>10306</v>
      </c>
      <c r="L11009" t="s">
        <v>18960</v>
      </c>
      <c r="M11009" t="s">
        <v>18960</v>
      </c>
      <c r="N11009" t="s">
        <v>26281</v>
      </c>
      <c r="O11009" t="s">
        <v>26524</v>
      </c>
      <c r="R11009" t="s">
        <v>26587</v>
      </c>
      <c r="S11009" t="s">
        <v>18959</v>
      </c>
      <c r="U11009" t="s">
        <v>26604</v>
      </c>
      <c r="V11009" t="s">
        <v>26610</v>
      </c>
      <c r="X11009">
        <v>2200</v>
      </c>
      <c r="Y11009" t="s">
        <v>26654</v>
      </c>
      <c r="Z11009" t="s">
        <v>26663</v>
      </c>
      <c r="AB11009" t="s">
        <v>30041</v>
      </c>
      <c r="AD11009" t="s">
        <v>45237</v>
      </c>
      <c r="AE11009">
        <v>0</v>
      </c>
      <c r="AF11009" t="s">
        <v>45547</v>
      </c>
      <c r="AG11009" t="s">
        <v>19330</v>
      </c>
      <c r="AH11009">
        <v>5</v>
      </c>
      <c r="AI11009">
        <v>5</v>
      </c>
      <c r="AJ11009">
        <v>1</v>
      </c>
      <c r="AK11009">
        <v>41.05</v>
      </c>
      <c r="AN11009" t="s">
        <v>7439</v>
      </c>
      <c r="AO11009">
        <v>14200</v>
      </c>
      <c r="AU11009">
        <v>5.4</v>
      </c>
      <c r="AV11009" t="s">
        <v>814</v>
      </c>
      <c r="AW11009" t="s">
        <v>46883</v>
      </c>
      <c r="AX11009" t="s">
        <v>46897</v>
      </c>
    </row>
    <row r="11010" spans="1:50">
      <c r="A11010" s="1">
        <f>HYPERLINK("https://lsnyc.legalserver.org/matter/dynamic-profile/view/1900379","19-1900379")</f>
        <v>0</v>
      </c>
      <c r="B11010" t="s">
        <v>104</v>
      </c>
      <c r="C11010" t="s">
        <v>340</v>
      </c>
      <c r="D11010" t="s">
        <v>828</v>
      </c>
      <c r="F11010" t="s">
        <v>4966</v>
      </c>
      <c r="G11010" t="s">
        <v>5599</v>
      </c>
      <c r="H11010" t="s">
        <v>17013</v>
      </c>
      <c r="I11010" t="s">
        <v>17435</v>
      </c>
      <c r="J11010" t="s">
        <v>18902</v>
      </c>
      <c r="K11010">
        <v>10307</v>
      </c>
      <c r="L11010" t="s">
        <v>18960</v>
      </c>
      <c r="M11010" t="s">
        <v>18960</v>
      </c>
      <c r="N11010" t="s">
        <v>26282</v>
      </c>
      <c r="O11010" t="s">
        <v>26523</v>
      </c>
      <c r="R11010" t="s">
        <v>26587</v>
      </c>
      <c r="S11010" t="s">
        <v>18959</v>
      </c>
      <c r="U11010" t="s">
        <v>26604</v>
      </c>
      <c r="V11010" t="s">
        <v>26610</v>
      </c>
      <c r="X11010">
        <v>750</v>
      </c>
      <c r="Y11010" t="s">
        <v>26654</v>
      </c>
      <c r="Z11010" t="s">
        <v>26530</v>
      </c>
      <c r="AB11010" t="s">
        <v>34246</v>
      </c>
      <c r="AD11010" t="s">
        <v>45238</v>
      </c>
      <c r="AE11010">
        <v>0</v>
      </c>
      <c r="AG11010" t="s">
        <v>19330</v>
      </c>
      <c r="AH11010">
        <v>6</v>
      </c>
      <c r="AI11010">
        <v>1</v>
      </c>
      <c r="AJ11010">
        <v>0</v>
      </c>
      <c r="AK11010">
        <v>99.34</v>
      </c>
      <c r="AN11010" t="s">
        <v>7439</v>
      </c>
      <c r="AO11010">
        <v>12408</v>
      </c>
      <c r="AU11010">
        <v>3.95</v>
      </c>
      <c r="AV11010" t="s">
        <v>720</v>
      </c>
      <c r="AW11010" t="s">
        <v>46883</v>
      </c>
    </row>
    <row r="11011" spans="1:50">
      <c r="A11011" s="1">
        <f>HYPERLINK("https://lsnyc.legalserver.org/matter/dynamic-profile/view/1901611","19-1901611")</f>
        <v>0</v>
      </c>
      <c r="B11011" t="s">
        <v>269</v>
      </c>
      <c r="C11011" t="s">
        <v>340</v>
      </c>
      <c r="D11011" t="s">
        <v>828</v>
      </c>
      <c r="F11011" t="s">
        <v>1812</v>
      </c>
      <c r="G11011" t="s">
        <v>9509</v>
      </c>
      <c r="H11011" t="s">
        <v>17014</v>
      </c>
      <c r="I11011" t="s">
        <v>17307</v>
      </c>
      <c r="J11011" t="s">
        <v>18892</v>
      </c>
      <c r="K11011">
        <v>10459</v>
      </c>
      <c r="L11011" t="s">
        <v>18958</v>
      </c>
      <c r="M11011" t="s">
        <v>18960</v>
      </c>
      <c r="O11011" t="s">
        <v>26524</v>
      </c>
      <c r="P11011" t="s">
        <v>26564</v>
      </c>
      <c r="R11011" t="s">
        <v>26577</v>
      </c>
      <c r="U11011" t="s">
        <v>26604</v>
      </c>
      <c r="X11011">
        <v>1414</v>
      </c>
      <c r="Y11011" t="s">
        <v>26650</v>
      </c>
      <c r="Z11011" t="s">
        <v>26664</v>
      </c>
      <c r="AB11011" t="s">
        <v>34247</v>
      </c>
      <c r="AD11011" t="s">
        <v>45239</v>
      </c>
      <c r="AE11011">
        <v>0</v>
      </c>
      <c r="AH11011">
        <v>3</v>
      </c>
      <c r="AI11011">
        <v>2</v>
      </c>
      <c r="AJ11011">
        <v>5</v>
      </c>
      <c r="AK11011">
        <v>21.32</v>
      </c>
      <c r="AN11011" t="s">
        <v>7439</v>
      </c>
      <c r="AO11011">
        <v>8316</v>
      </c>
      <c r="AP11011" t="s">
        <v>46339</v>
      </c>
      <c r="AU11011">
        <v>0.4</v>
      </c>
      <c r="AV11011" t="s">
        <v>836</v>
      </c>
      <c r="AW11011" t="s">
        <v>284</v>
      </c>
      <c r="AX11011" t="s">
        <v>46897</v>
      </c>
    </row>
    <row r="11012" spans="1:50">
      <c r="A11012" s="1">
        <f>HYPERLINK("https://lsnyc.legalserver.org/matter/dynamic-profile/view/1901622","19-1901622")</f>
        <v>0</v>
      </c>
      <c r="B11012" t="s">
        <v>112</v>
      </c>
      <c r="C11012" t="s">
        <v>340</v>
      </c>
      <c r="D11012" t="s">
        <v>828</v>
      </c>
      <c r="F11012" t="s">
        <v>4967</v>
      </c>
      <c r="G11012" t="s">
        <v>9510</v>
      </c>
      <c r="H11012" t="s">
        <v>17015</v>
      </c>
      <c r="I11012" t="s">
        <v>17272</v>
      </c>
      <c r="J11012" t="s">
        <v>18906</v>
      </c>
      <c r="K11012">
        <v>11373</v>
      </c>
      <c r="L11012" t="s">
        <v>18958</v>
      </c>
      <c r="M11012" t="s">
        <v>18960</v>
      </c>
      <c r="N11012" t="s">
        <v>26283</v>
      </c>
      <c r="O11012" t="s">
        <v>26524</v>
      </c>
      <c r="P11012" t="s">
        <v>26560</v>
      </c>
      <c r="R11012" t="s">
        <v>26585</v>
      </c>
      <c r="S11012" t="s">
        <v>18959</v>
      </c>
      <c r="U11012" t="s">
        <v>26604</v>
      </c>
      <c r="X11012">
        <v>1750</v>
      </c>
      <c r="Y11012" t="s">
        <v>26653</v>
      </c>
      <c r="Z11012" t="s">
        <v>26664</v>
      </c>
      <c r="AB11012" t="s">
        <v>30333</v>
      </c>
      <c r="AC11012" t="s">
        <v>36774</v>
      </c>
      <c r="AD11012" t="s">
        <v>45240</v>
      </c>
      <c r="AE11012">
        <v>19</v>
      </c>
      <c r="AF11012" t="s">
        <v>45548</v>
      </c>
      <c r="AG11012" t="s">
        <v>19330</v>
      </c>
      <c r="AH11012">
        <v>1</v>
      </c>
      <c r="AI11012">
        <v>1</v>
      </c>
      <c r="AJ11012">
        <v>2</v>
      </c>
      <c r="AK11012">
        <v>22.5</v>
      </c>
      <c r="AN11012" t="s">
        <v>45603</v>
      </c>
      <c r="AO11012">
        <v>4800</v>
      </c>
      <c r="AU11012">
        <v>2.7</v>
      </c>
      <c r="AV11012" t="s">
        <v>833</v>
      </c>
      <c r="AW11012" t="s">
        <v>46846</v>
      </c>
      <c r="AX11012" t="s">
        <v>46898</v>
      </c>
    </row>
    <row r="11013" spans="1:50">
      <c r="A11013" s="1">
        <f>HYPERLINK("https://lsnyc.legalserver.org/matter/dynamic-profile/view/1901625","19-1901625")</f>
        <v>0</v>
      </c>
      <c r="B11013" t="s">
        <v>106</v>
      </c>
      <c r="C11013" t="s">
        <v>340</v>
      </c>
      <c r="D11013" t="s">
        <v>828</v>
      </c>
      <c r="F11013" t="s">
        <v>964</v>
      </c>
      <c r="G11013" t="s">
        <v>8671</v>
      </c>
      <c r="H11013" t="s">
        <v>17016</v>
      </c>
      <c r="I11013" t="s">
        <v>18078</v>
      </c>
      <c r="J11013" t="s">
        <v>18894</v>
      </c>
      <c r="K11013">
        <v>11225</v>
      </c>
      <c r="L11013" t="s">
        <v>18960</v>
      </c>
      <c r="M11013" t="s">
        <v>18960</v>
      </c>
      <c r="N11013" t="s">
        <v>26284</v>
      </c>
      <c r="O11013" t="s">
        <v>26523</v>
      </c>
      <c r="P11013" t="s">
        <v>26563</v>
      </c>
      <c r="R11013" t="s">
        <v>26588</v>
      </c>
      <c r="U11013" t="s">
        <v>26604</v>
      </c>
      <c r="X11013">
        <v>399.28</v>
      </c>
      <c r="Y11013" t="s">
        <v>26652</v>
      </c>
      <c r="Z11013" t="s">
        <v>26668</v>
      </c>
      <c r="AB11013" t="s">
        <v>28239</v>
      </c>
      <c r="AE11013">
        <v>77</v>
      </c>
      <c r="AH11013">
        <v>0</v>
      </c>
      <c r="AI11013">
        <v>1</v>
      </c>
      <c r="AJ11013">
        <v>0</v>
      </c>
      <c r="AK11013">
        <v>0</v>
      </c>
      <c r="AO11013">
        <v>0</v>
      </c>
      <c r="AU11013">
        <v>3.9</v>
      </c>
      <c r="AV11013" t="s">
        <v>830</v>
      </c>
      <c r="AW11013" t="s">
        <v>46862</v>
      </c>
    </row>
    <row r="11014" spans="1:50">
      <c r="A11014" s="1">
        <f>HYPERLINK("https://lsnyc.legalserver.org/matter/dynamic-profile/view/1901756","19-1901756")</f>
        <v>0</v>
      </c>
      <c r="B11014" t="s">
        <v>188</v>
      </c>
      <c r="C11014" t="s">
        <v>341</v>
      </c>
      <c r="D11014" t="s">
        <v>814</v>
      </c>
      <c r="E11014" t="s">
        <v>836</v>
      </c>
      <c r="F11014" t="s">
        <v>872</v>
      </c>
      <c r="G11014" t="s">
        <v>5659</v>
      </c>
      <c r="H11014" t="s">
        <v>10413</v>
      </c>
      <c r="I11014" t="s">
        <v>17302</v>
      </c>
      <c r="J11014" t="s">
        <v>18892</v>
      </c>
      <c r="K11014">
        <v>10467</v>
      </c>
      <c r="L11014" t="s">
        <v>18958</v>
      </c>
      <c r="M11014" t="s">
        <v>18960</v>
      </c>
      <c r="N11014" t="s">
        <v>21792</v>
      </c>
      <c r="O11014" t="s">
        <v>26526</v>
      </c>
      <c r="P11014" t="s">
        <v>26564</v>
      </c>
      <c r="Q11014" t="s">
        <v>26570</v>
      </c>
      <c r="R11014" t="s">
        <v>26578</v>
      </c>
      <c r="S11014" t="s">
        <v>18959</v>
      </c>
      <c r="U11014" t="s">
        <v>26604</v>
      </c>
      <c r="V11014" t="s">
        <v>26610</v>
      </c>
      <c r="X11014">
        <v>1531.65</v>
      </c>
      <c r="Y11014" t="s">
        <v>26650</v>
      </c>
      <c r="Z11014" t="s">
        <v>26663</v>
      </c>
      <c r="AA11014" t="s">
        <v>26683</v>
      </c>
      <c r="AB11014" t="s">
        <v>27526</v>
      </c>
      <c r="AD11014" t="s">
        <v>37584</v>
      </c>
      <c r="AE11014">
        <v>0</v>
      </c>
      <c r="AF11014" t="s">
        <v>45541</v>
      </c>
      <c r="AG11014" t="s">
        <v>19330</v>
      </c>
      <c r="AH11014">
        <v>15</v>
      </c>
      <c r="AI11014">
        <v>2</v>
      </c>
      <c r="AJ11014">
        <v>0</v>
      </c>
      <c r="AK11014">
        <v>66.48999999999999</v>
      </c>
      <c r="AN11014" t="s">
        <v>7439</v>
      </c>
      <c r="AO11014">
        <v>11244</v>
      </c>
      <c r="AU11014">
        <v>0.1</v>
      </c>
      <c r="AV11014" t="s">
        <v>836</v>
      </c>
      <c r="AW11014" t="s">
        <v>188</v>
      </c>
      <c r="AX11014" t="s">
        <v>46897</v>
      </c>
    </row>
    <row r="11015" spans="1:50">
      <c r="A11015" s="1">
        <f>HYPERLINK("https://lsnyc.legalserver.org/matter/dynamic-profile/view/1901850","19-1901850")</f>
        <v>0</v>
      </c>
      <c r="B11015" t="s">
        <v>136</v>
      </c>
      <c r="C11015" t="s">
        <v>340</v>
      </c>
      <c r="D11015" t="s">
        <v>814</v>
      </c>
      <c r="F11015" t="s">
        <v>2137</v>
      </c>
      <c r="G11015" t="s">
        <v>7093</v>
      </c>
      <c r="H11015" t="s">
        <v>17017</v>
      </c>
      <c r="I11015" t="s">
        <v>17600</v>
      </c>
      <c r="J11015" t="s">
        <v>18892</v>
      </c>
      <c r="K11015">
        <v>10453</v>
      </c>
      <c r="L11015" t="s">
        <v>18958</v>
      </c>
      <c r="M11015" t="s">
        <v>18960</v>
      </c>
      <c r="N11015" t="s">
        <v>26285</v>
      </c>
      <c r="O11015" t="s">
        <v>26523</v>
      </c>
      <c r="P11015" t="s">
        <v>26560</v>
      </c>
      <c r="R11015" t="s">
        <v>26578</v>
      </c>
      <c r="S11015" t="s">
        <v>18959</v>
      </c>
      <c r="U11015" t="s">
        <v>26604</v>
      </c>
      <c r="V11015" t="s">
        <v>26612</v>
      </c>
      <c r="X11015">
        <v>1152.86</v>
      </c>
      <c r="Y11015" t="s">
        <v>26650</v>
      </c>
      <c r="Z11015" t="s">
        <v>26659</v>
      </c>
      <c r="AB11015" t="s">
        <v>523</v>
      </c>
      <c r="AC11015" t="s">
        <v>36775</v>
      </c>
      <c r="AD11015" t="s">
        <v>40087</v>
      </c>
      <c r="AE11015">
        <v>0</v>
      </c>
      <c r="AF11015" t="s">
        <v>45541</v>
      </c>
      <c r="AG11015" t="s">
        <v>45557</v>
      </c>
      <c r="AH11015">
        <v>6</v>
      </c>
      <c r="AI11015">
        <v>1</v>
      </c>
      <c r="AJ11015">
        <v>2</v>
      </c>
      <c r="AK11015">
        <v>21.88</v>
      </c>
      <c r="AN11015" t="s">
        <v>45581</v>
      </c>
      <c r="AO11015">
        <v>4668</v>
      </c>
      <c r="AU11015">
        <v>0</v>
      </c>
      <c r="AW11015" t="s">
        <v>136</v>
      </c>
      <c r="AX11015" t="s">
        <v>46897</v>
      </c>
    </row>
    <row r="11016" spans="1:50">
      <c r="A11016" s="1">
        <f>HYPERLINK("https://lsnyc.legalserver.org/matter/dynamic-profile/view/1901768","19-1901768")</f>
        <v>0</v>
      </c>
      <c r="B11016" t="s">
        <v>136</v>
      </c>
      <c r="C11016" t="s">
        <v>340</v>
      </c>
      <c r="D11016" t="s">
        <v>814</v>
      </c>
      <c r="F11016" t="s">
        <v>1234</v>
      </c>
      <c r="G11016" t="s">
        <v>9511</v>
      </c>
      <c r="H11016" t="s">
        <v>17018</v>
      </c>
      <c r="I11016" t="s">
        <v>17316</v>
      </c>
      <c r="J11016" t="s">
        <v>18892</v>
      </c>
      <c r="K11016">
        <v>10457</v>
      </c>
      <c r="L11016" t="s">
        <v>18958</v>
      </c>
      <c r="M11016" t="s">
        <v>18960</v>
      </c>
      <c r="N11016" t="s">
        <v>26286</v>
      </c>
      <c r="O11016" t="s">
        <v>26523</v>
      </c>
      <c r="R11016" t="s">
        <v>26579</v>
      </c>
      <c r="S11016" t="s">
        <v>18959</v>
      </c>
      <c r="U11016" t="s">
        <v>26604</v>
      </c>
      <c r="X11016">
        <v>912.1799999999999</v>
      </c>
      <c r="Y11016" t="s">
        <v>26650</v>
      </c>
      <c r="AB11016" t="s">
        <v>27560</v>
      </c>
      <c r="AD11016" t="s">
        <v>45241</v>
      </c>
      <c r="AE11016">
        <v>0</v>
      </c>
      <c r="AH11016">
        <v>0</v>
      </c>
      <c r="AI11016">
        <v>3</v>
      </c>
      <c r="AJ11016">
        <v>5</v>
      </c>
      <c r="AK11016">
        <v>0</v>
      </c>
      <c r="AN11016" t="s">
        <v>45581</v>
      </c>
      <c r="AO11016">
        <v>0</v>
      </c>
      <c r="AU11016">
        <v>0</v>
      </c>
      <c r="AW11016" t="s">
        <v>335</v>
      </c>
      <c r="AX11016" t="s">
        <v>46897</v>
      </c>
    </row>
    <row r="11017" spans="1:50">
      <c r="A11017" s="1">
        <f>HYPERLINK("https://lsnyc.legalserver.org/matter/dynamic-profile/view/1901732","19-1901732")</f>
        <v>0</v>
      </c>
      <c r="B11017" t="s">
        <v>133</v>
      </c>
      <c r="C11017" t="s">
        <v>340</v>
      </c>
      <c r="D11017" t="s">
        <v>814</v>
      </c>
      <c r="F11017" t="s">
        <v>1113</v>
      </c>
      <c r="G11017" t="s">
        <v>5079</v>
      </c>
      <c r="H11017" t="s">
        <v>17019</v>
      </c>
      <c r="J11017" t="s">
        <v>18892</v>
      </c>
      <c r="K11017">
        <v>10467</v>
      </c>
      <c r="L11017" t="s">
        <v>18958</v>
      </c>
      <c r="M11017" t="s">
        <v>18960</v>
      </c>
      <c r="N11017" t="s">
        <v>26287</v>
      </c>
      <c r="O11017" t="s">
        <v>26523</v>
      </c>
      <c r="P11017" t="s">
        <v>26560</v>
      </c>
      <c r="R11017" t="s">
        <v>26579</v>
      </c>
      <c r="S11017" t="s">
        <v>18959</v>
      </c>
      <c r="U11017" t="s">
        <v>26604</v>
      </c>
      <c r="V11017" t="s">
        <v>26612</v>
      </c>
      <c r="X11017">
        <v>1475</v>
      </c>
      <c r="Y11017" t="s">
        <v>26650</v>
      </c>
      <c r="AB11017" t="s">
        <v>29232</v>
      </c>
      <c r="AD11017" t="s">
        <v>45242</v>
      </c>
      <c r="AE11017">
        <v>40</v>
      </c>
      <c r="AF11017" t="s">
        <v>45541</v>
      </c>
      <c r="AH11017">
        <v>3</v>
      </c>
      <c r="AI11017">
        <v>1</v>
      </c>
      <c r="AJ11017">
        <v>0</v>
      </c>
      <c r="AK11017">
        <v>51.89</v>
      </c>
      <c r="AN11017" t="s">
        <v>7439</v>
      </c>
      <c r="AO11017">
        <v>6480.6</v>
      </c>
      <c r="AU11017">
        <v>3.3</v>
      </c>
      <c r="AV11017" t="s">
        <v>832</v>
      </c>
      <c r="AW11017" t="s">
        <v>335</v>
      </c>
      <c r="AX11017" t="s">
        <v>46897</v>
      </c>
    </row>
    <row r="11018" spans="1:50">
      <c r="A11018" s="1">
        <f>HYPERLINK("https://lsnyc.legalserver.org/matter/dynamic-profile/view/1901836","19-1901836")</f>
        <v>0</v>
      </c>
      <c r="B11018" t="s">
        <v>117</v>
      </c>
      <c r="C11018" t="s">
        <v>340</v>
      </c>
      <c r="D11018" t="s">
        <v>814</v>
      </c>
      <c r="F11018" t="s">
        <v>1136</v>
      </c>
      <c r="G11018" t="s">
        <v>5266</v>
      </c>
      <c r="H11018" t="s">
        <v>13452</v>
      </c>
      <c r="I11018" t="s">
        <v>18606</v>
      </c>
      <c r="J11018" t="s">
        <v>18894</v>
      </c>
      <c r="K11018">
        <v>11233</v>
      </c>
      <c r="L11018" t="s">
        <v>18959</v>
      </c>
      <c r="M11018" t="s">
        <v>18960</v>
      </c>
      <c r="N11018" t="s">
        <v>26288</v>
      </c>
      <c r="O11018" t="s">
        <v>26523</v>
      </c>
      <c r="R11018" t="s">
        <v>26578</v>
      </c>
      <c r="S11018" t="s">
        <v>18959</v>
      </c>
      <c r="U11018" t="s">
        <v>26604</v>
      </c>
      <c r="V11018" t="s">
        <v>26612</v>
      </c>
      <c r="X11018">
        <v>0</v>
      </c>
      <c r="Y11018" t="s">
        <v>26652</v>
      </c>
      <c r="Z11018" t="s">
        <v>26665</v>
      </c>
      <c r="AB11018" t="s">
        <v>29718</v>
      </c>
      <c r="AC11018" t="s">
        <v>36776</v>
      </c>
      <c r="AD11018" t="s">
        <v>45243</v>
      </c>
      <c r="AE11018">
        <v>36</v>
      </c>
      <c r="AF11018" t="s">
        <v>45541</v>
      </c>
      <c r="AG11018" t="s">
        <v>45556</v>
      </c>
      <c r="AH11018">
        <v>15</v>
      </c>
      <c r="AI11018">
        <v>2</v>
      </c>
      <c r="AJ11018">
        <v>0</v>
      </c>
      <c r="AK11018">
        <v>64.87</v>
      </c>
      <c r="AN11018" t="s">
        <v>7439</v>
      </c>
      <c r="AO11018">
        <v>10970.16</v>
      </c>
      <c r="AU11018">
        <v>6.6</v>
      </c>
      <c r="AV11018" t="s">
        <v>833</v>
      </c>
      <c r="AW11018" t="s">
        <v>46842</v>
      </c>
      <c r="AX11018" t="s">
        <v>46898</v>
      </c>
    </row>
    <row r="11019" spans="1:50">
      <c r="A11019" s="1">
        <f>HYPERLINK("https://lsnyc.legalserver.org/matter/dynamic-profile/view/1901735","19-1901735")</f>
        <v>0</v>
      </c>
      <c r="B11019" t="s">
        <v>108</v>
      </c>
      <c r="C11019" t="s">
        <v>340</v>
      </c>
      <c r="D11019" t="s">
        <v>814</v>
      </c>
      <c r="F11019" t="s">
        <v>4008</v>
      </c>
      <c r="G11019" t="s">
        <v>7573</v>
      </c>
      <c r="H11019" t="s">
        <v>14858</v>
      </c>
      <c r="I11019" t="s">
        <v>17867</v>
      </c>
      <c r="J11019" t="s">
        <v>18901</v>
      </c>
      <c r="K11019">
        <v>11434</v>
      </c>
      <c r="L11019" t="s">
        <v>18959</v>
      </c>
      <c r="M11019" t="s">
        <v>18960</v>
      </c>
      <c r="N11019" t="s">
        <v>26289</v>
      </c>
      <c r="O11019" t="s">
        <v>26523</v>
      </c>
      <c r="P11019" t="s">
        <v>26560</v>
      </c>
      <c r="R11019" t="s">
        <v>26585</v>
      </c>
      <c r="S11019" t="s">
        <v>18958</v>
      </c>
      <c r="U11019" t="s">
        <v>26604</v>
      </c>
      <c r="X11019">
        <v>743</v>
      </c>
      <c r="Y11019" t="s">
        <v>26653</v>
      </c>
      <c r="AB11019" t="s">
        <v>32355</v>
      </c>
      <c r="AC11019" t="s">
        <v>19330</v>
      </c>
      <c r="AD11019" t="s">
        <v>42760</v>
      </c>
      <c r="AE11019">
        <v>5860</v>
      </c>
      <c r="AF11019" t="s">
        <v>20460</v>
      </c>
      <c r="AG11019" t="s">
        <v>19330</v>
      </c>
      <c r="AH11019">
        <v>14</v>
      </c>
      <c r="AI11019">
        <v>1</v>
      </c>
      <c r="AJ11019">
        <v>0</v>
      </c>
      <c r="AK11019">
        <v>0</v>
      </c>
      <c r="AN11019" t="s">
        <v>7439</v>
      </c>
      <c r="AO11019">
        <v>0</v>
      </c>
      <c r="AU11019">
        <v>1.25</v>
      </c>
      <c r="AV11019" t="s">
        <v>773</v>
      </c>
      <c r="AW11019" t="s">
        <v>46846</v>
      </c>
      <c r="AX11019" t="s">
        <v>19330</v>
      </c>
    </row>
    <row r="11020" spans="1:50">
      <c r="A11020" s="1">
        <f>HYPERLINK("https://lsnyc.legalserver.org/matter/dynamic-profile/view/1901753","19-1901753")</f>
        <v>0</v>
      </c>
      <c r="B11020" t="s">
        <v>335</v>
      </c>
      <c r="C11020" t="s">
        <v>340</v>
      </c>
      <c r="D11020" t="s">
        <v>814</v>
      </c>
      <c r="F11020" t="s">
        <v>1113</v>
      </c>
      <c r="G11020" t="s">
        <v>5079</v>
      </c>
      <c r="H11020" t="s">
        <v>17019</v>
      </c>
      <c r="J11020" t="s">
        <v>18892</v>
      </c>
      <c r="K11020">
        <v>10467</v>
      </c>
      <c r="L11020" t="s">
        <v>18958</v>
      </c>
      <c r="M11020" t="s">
        <v>18960</v>
      </c>
      <c r="N11020" t="s">
        <v>26287</v>
      </c>
      <c r="O11020" t="s">
        <v>26523</v>
      </c>
      <c r="R11020" t="s">
        <v>26591</v>
      </c>
      <c r="S11020" t="s">
        <v>18959</v>
      </c>
      <c r="U11020" t="s">
        <v>26604</v>
      </c>
      <c r="X11020">
        <v>1475</v>
      </c>
      <c r="Y11020" t="s">
        <v>26650</v>
      </c>
      <c r="AB11020" t="s">
        <v>29232</v>
      </c>
      <c r="AD11020" t="s">
        <v>45242</v>
      </c>
      <c r="AE11020">
        <v>0</v>
      </c>
      <c r="AH11020">
        <v>3</v>
      </c>
      <c r="AI11020">
        <v>1</v>
      </c>
      <c r="AJ11020">
        <v>0</v>
      </c>
      <c r="AK11020">
        <v>51.88</v>
      </c>
      <c r="AN11020" t="s">
        <v>7439</v>
      </c>
      <c r="AO11020">
        <v>6480</v>
      </c>
      <c r="AU11020">
        <v>0</v>
      </c>
      <c r="AW11020" t="s">
        <v>335</v>
      </c>
      <c r="AX11020" t="s">
        <v>46897</v>
      </c>
    </row>
    <row r="11021" spans="1:50">
      <c r="A11021" s="1">
        <f>HYPERLINK("https://lsnyc.legalserver.org/matter/dynamic-profile/view/1901812","19-1901812")</f>
        <v>0</v>
      </c>
      <c r="B11021" t="s">
        <v>257</v>
      </c>
      <c r="C11021" t="s">
        <v>340</v>
      </c>
      <c r="D11021" t="s">
        <v>814</v>
      </c>
      <c r="F11021" t="s">
        <v>1397</v>
      </c>
      <c r="G11021" t="s">
        <v>3599</v>
      </c>
      <c r="H11021" t="s">
        <v>17020</v>
      </c>
      <c r="I11021" t="s">
        <v>18851</v>
      </c>
      <c r="J11021" t="s">
        <v>18894</v>
      </c>
      <c r="K11021">
        <v>11224</v>
      </c>
      <c r="L11021" t="s">
        <v>18960</v>
      </c>
      <c r="M11021" t="s">
        <v>18960</v>
      </c>
      <c r="P11021" t="s">
        <v>26563</v>
      </c>
      <c r="R11021" t="s">
        <v>26591</v>
      </c>
      <c r="U11021" t="s">
        <v>26604</v>
      </c>
      <c r="X11021">
        <v>2300</v>
      </c>
      <c r="Y11021" t="s">
        <v>26652</v>
      </c>
      <c r="AB11021" t="s">
        <v>34105</v>
      </c>
      <c r="AD11021" t="s">
        <v>45244</v>
      </c>
      <c r="AE11021">
        <v>3</v>
      </c>
      <c r="AH11021">
        <v>300</v>
      </c>
      <c r="AI11021">
        <v>5</v>
      </c>
      <c r="AJ11021">
        <v>3</v>
      </c>
      <c r="AK11021">
        <v>35.64</v>
      </c>
      <c r="AN11021" t="s">
        <v>7439</v>
      </c>
      <c r="AO11021">
        <v>15480</v>
      </c>
      <c r="AU11021">
        <v>2.6</v>
      </c>
      <c r="AV11021" t="s">
        <v>839</v>
      </c>
      <c r="AW11021" t="s">
        <v>46850</v>
      </c>
    </row>
    <row r="11022" spans="1:50">
      <c r="A11022" s="1">
        <f>HYPERLINK("https://lsnyc.legalserver.org/matter/dynamic-profile/view/1901820","19-1901820")</f>
        <v>0</v>
      </c>
      <c r="B11022" t="s">
        <v>67</v>
      </c>
      <c r="C11022" t="s">
        <v>340</v>
      </c>
      <c r="D11022" t="s">
        <v>814</v>
      </c>
      <c r="F11022" t="s">
        <v>1106</v>
      </c>
      <c r="G11022" t="s">
        <v>5089</v>
      </c>
      <c r="H11022" t="s">
        <v>17021</v>
      </c>
      <c r="I11022" t="s">
        <v>17293</v>
      </c>
      <c r="J11022" t="s">
        <v>18892</v>
      </c>
      <c r="K11022">
        <v>10452</v>
      </c>
      <c r="L11022" t="s">
        <v>18958</v>
      </c>
      <c r="M11022" t="s">
        <v>18960</v>
      </c>
      <c r="O11022" t="s">
        <v>18997</v>
      </c>
      <c r="P11022" t="s">
        <v>26564</v>
      </c>
      <c r="R11022" t="s">
        <v>26578</v>
      </c>
      <c r="S11022" t="s">
        <v>18959</v>
      </c>
      <c r="U11022" t="s">
        <v>26604</v>
      </c>
      <c r="X11022">
        <v>937.48</v>
      </c>
      <c r="Y11022" t="s">
        <v>26650</v>
      </c>
      <c r="Z11022" t="s">
        <v>26663</v>
      </c>
      <c r="AB11022" t="s">
        <v>28659</v>
      </c>
      <c r="AE11022">
        <v>59</v>
      </c>
      <c r="AF11022" t="s">
        <v>45541</v>
      </c>
      <c r="AG11022" t="s">
        <v>45559</v>
      </c>
      <c r="AH11022">
        <v>20</v>
      </c>
      <c r="AI11022">
        <v>1</v>
      </c>
      <c r="AJ11022">
        <v>0</v>
      </c>
      <c r="AK11022">
        <v>152.84</v>
      </c>
      <c r="AN11022" t="s">
        <v>7439</v>
      </c>
      <c r="AO11022">
        <v>19089.6</v>
      </c>
      <c r="AU11022">
        <v>0</v>
      </c>
      <c r="AW11022" t="s">
        <v>67</v>
      </c>
    </row>
    <row r="11023" spans="1:50">
      <c r="A11023" s="1">
        <f>HYPERLINK("https://lsnyc.legalserver.org/matter/dynamic-profile/view/1901787","19-1901787")</f>
        <v>0</v>
      </c>
      <c r="B11023" t="s">
        <v>81</v>
      </c>
      <c r="C11023" t="s">
        <v>340</v>
      </c>
      <c r="D11023" t="s">
        <v>814</v>
      </c>
      <c r="F11023" t="s">
        <v>1548</v>
      </c>
      <c r="G11023" t="s">
        <v>7205</v>
      </c>
      <c r="H11023" t="s">
        <v>17022</v>
      </c>
      <c r="I11023" t="s">
        <v>17410</v>
      </c>
      <c r="J11023" t="s">
        <v>18892</v>
      </c>
      <c r="K11023">
        <v>10457</v>
      </c>
      <c r="L11023" t="s">
        <v>18958</v>
      </c>
      <c r="M11023" t="s">
        <v>18960</v>
      </c>
      <c r="N11023" t="s">
        <v>26290</v>
      </c>
      <c r="O11023" t="s">
        <v>26523</v>
      </c>
      <c r="P11023" t="s">
        <v>26560</v>
      </c>
      <c r="R11023" t="s">
        <v>26579</v>
      </c>
      <c r="S11023" t="s">
        <v>18959</v>
      </c>
      <c r="U11023" t="s">
        <v>26604</v>
      </c>
      <c r="V11023" t="s">
        <v>26610</v>
      </c>
      <c r="X11023">
        <v>1073</v>
      </c>
      <c r="Y11023" t="s">
        <v>26650</v>
      </c>
      <c r="Z11023" t="s">
        <v>26668</v>
      </c>
      <c r="AB11023" t="s">
        <v>27201</v>
      </c>
      <c r="AD11023" t="s">
        <v>45245</v>
      </c>
      <c r="AE11023">
        <v>28</v>
      </c>
      <c r="AF11023" t="s">
        <v>20460</v>
      </c>
      <c r="AG11023" t="s">
        <v>45557</v>
      </c>
      <c r="AH11023">
        <v>5</v>
      </c>
      <c r="AI11023">
        <v>1</v>
      </c>
      <c r="AJ11023">
        <v>3</v>
      </c>
      <c r="AK11023">
        <v>33.93</v>
      </c>
      <c r="AN11023" t="s">
        <v>7439</v>
      </c>
      <c r="AO11023">
        <v>8736</v>
      </c>
      <c r="AU11023">
        <v>0</v>
      </c>
      <c r="AW11023" t="s">
        <v>329</v>
      </c>
    </row>
    <row r="11024" spans="1:50">
      <c r="A11024" s="1">
        <f>HYPERLINK("https://lsnyc.legalserver.org/matter/dynamic-profile/view/1901839","19-1901839")</f>
        <v>0</v>
      </c>
      <c r="B11024" t="s">
        <v>258</v>
      </c>
      <c r="C11024" t="s">
        <v>340</v>
      </c>
      <c r="D11024" t="s">
        <v>814</v>
      </c>
      <c r="F11024" t="s">
        <v>2002</v>
      </c>
      <c r="G11024" t="s">
        <v>5189</v>
      </c>
      <c r="H11024" t="s">
        <v>17023</v>
      </c>
      <c r="I11024" t="s">
        <v>17366</v>
      </c>
      <c r="J11024" t="s">
        <v>18913</v>
      </c>
      <c r="K11024">
        <v>11102</v>
      </c>
      <c r="L11024" t="s">
        <v>18958</v>
      </c>
      <c r="M11024" t="s">
        <v>18960</v>
      </c>
      <c r="N11024" t="s">
        <v>26291</v>
      </c>
      <c r="O11024" t="s">
        <v>26543</v>
      </c>
      <c r="R11024" t="s">
        <v>26584</v>
      </c>
      <c r="S11024" t="s">
        <v>18958</v>
      </c>
      <c r="U11024" t="s">
        <v>26605</v>
      </c>
      <c r="X11024">
        <v>300</v>
      </c>
      <c r="Y11024" t="s">
        <v>26653</v>
      </c>
      <c r="Z11024" t="s">
        <v>26664</v>
      </c>
      <c r="AB11024" t="s">
        <v>34248</v>
      </c>
      <c r="AD11024" t="s">
        <v>45246</v>
      </c>
      <c r="AE11024">
        <v>0</v>
      </c>
      <c r="AF11024" t="s">
        <v>45542</v>
      </c>
      <c r="AG11024" t="s">
        <v>19330</v>
      </c>
      <c r="AH11024">
        <v>40</v>
      </c>
      <c r="AI11024">
        <v>2</v>
      </c>
      <c r="AJ11024">
        <v>0</v>
      </c>
      <c r="AK11024">
        <v>54.71</v>
      </c>
      <c r="AN11024" t="s">
        <v>7439</v>
      </c>
      <c r="AO11024">
        <v>9252</v>
      </c>
      <c r="AU11024">
        <v>0.92</v>
      </c>
      <c r="AV11024" t="s">
        <v>814</v>
      </c>
      <c r="AW11024" t="s">
        <v>46846</v>
      </c>
      <c r="AX11024" t="s">
        <v>46897</v>
      </c>
    </row>
    <row r="11025" spans="1:50">
      <c r="A11025" s="1">
        <f>HYPERLINK("https://lsnyc.legalserver.org/matter/dynamic-profile/view/1901809","19-1901809")</f>
        <v>0</v>
      </c>
      <c r="B11025" t="s">
        <v>82</v>
      </c>
      <c r="C11025" t="s">
        <v>340</v>
      </c>
      <c r="D11025" t="s">
        <v>814</v>
      </c>
      <c r="F11025" t="s">
        <v>1022</v>
      </c>
      <c r="G11025" t="s">
        <v>5734</v>
      </c>
      <c r="H11025" t="s">
        <v>11624</v>
      </c>
      <c r="I11025" t="s">
        <v>17274</v>
      </c>
      <c r="J11025" t="s">
        <v>18892</v>
      </c>
      <c r="K11025">
        <v>10467</v>
      </c>
      <c r="L11025" t="s">
        <v>18958</v>
      </c>
      <c r="M11025" t="s">
        <v>18960</v>
      </c>
      <c r="N11025" t="s">
        <v>26292</v>
      </c>
      <c r="O11025" t="s">
        <v>26523</v>
      </c>
      <c r="R11025" t="s">
        <v>26579</v>
      </c>
      <c r="U11025" t="s">
        <v>26604</v>
      </c>
      <c r="X11025">
        <v>1268.44</v>
      </c>
      <c r="Y11025" t="s">
        <v>26650</v>
      </c>
      <c r="AB11025" t="s">
        <v>32319</v>
      </c>
      <c r="AC11025" t="s">
        <v>36777</v>
      </c>
      <c r="AD11025" t="s">
        <v>45247</v>
      </c>
      <c r="AE11025">
        <v>0</v>
      </c>
      <c r="AH11025">
        <v>10</v>
      </c>
      <c r="AI11025">
        <v>2</v>
      </c>
      <c r="AJ11025">
        <v>1</v>
      </c>
      <c r="AK11025">
        <v>53.06</v>
      </c>
      <c r="AN11025" t="s">
        <v>7439</v>
      </c>
      <c r="AO11025">
        <v>11318</v>
      </c>
      <c r="AU11025">
        <v>0</v>
      </c>
      <c r="AW11025" t="s">
        <v>335</v>
      </c>
      <c r="AX11025" t="s">
        <v>46898</v>
      </c>
    </row>
    <row r="11026" spans="1:50">
      <c r="A11026" s="1">
        <f>HYPERLINK("https://lsnyc.legalserver.org/matter/dynamic-profile/view/1901690","19-1901690")</f>
        <v>0</v>
      </c>
      <c r="B11026" t="s">
        <v>249</v>
      </c>
      <c r="C11026" t="s">
        <v>340</v>
      </c>
      <c r="D11026" t="s">
        <v>814</v>
      </c>
      <c r="F11026" t="s">
        <v>1013</v>
      </c>
      <c r="G11026" t="s">
        <v>5295</v>
      </c>
      <c r="H11026" t="s">
        <v>17024</v>
      </c>
      <c r="I11026" t="s">
        <v>17423</v>
      </c>
      <c r="J11026" t="s">
        <v>18894</v>
      </c>
      <c r="K11026">
        <v>11208</v>
      </c>
      <c r="L11026" t="s">
        <v>18959</v>
      </c>
      <c r="M11026" t="s">
        <v>18960</v>
      </c>
      <c r="O11026" t="s">
        <v>18997</v>
      </c>
      <c r="R11026" t="s">
        <v>26578</v>
      </c>
      <c r="S11026" t="s">
        <v>18959</v>
      </c>
      <c r="U11026" t="s">
        <v>26604</v>
      </c>
      <c r="V11026" t="s">
        <v>26610</v>
      </c>
      <c r="X11026">
        <v>2300</v>
      </c>
      <c r="Y11026" t="s">
        <v>26652</v>
      </c>
      <c r="Z11026" t="s">
        <v>26673</v>
      </c>
      <c r="AB11026" t="s">
        <v>34249</v>
      </c>
      <c r="AC11026" t="s">
        <v>19045</v>
      </c>
      <c r="AD11026" t="s">
        <v>45248</v>
      </c>
      <c r="AE11026">
        <v>2</v>
      </c>
      <c r="AF11026" t="s">
        <v>45547</v>
      </c>
      <c r="AG11026" t="s">
        <v>19330</v>
      </c>
      <c r="AH11026">
        <v>0</v>
      </c>
      <c r="AI11026">
        <v>2</v>
      </c>
      <c r="AJ11026">
        <v>1</v>
      </c>
      <c r="AK11026">
        <v>54.85</v>
      </c>
      <c r="AN11026" t="s">
        <v>7439</v>
      </c>
      <c r="AO11026">
        <v>11700</v>
      </c>
      <c r="AU11026">
        <v>0.5</v>
      </c>
      <c r="AV11026" t="s">
        <v>720</v>
      </c>
      <c r="AW11026" t="s">
        <v>279</v>
      </c>
      <c r="AX11026" t="s">
        <v>19330</v>
      </c>
    </row>
    <row r="11027" spans="1:50">
      <c r="A11027" s="1">
        <f>HYPERLINK("https://lsnyc.legalserver.org/matter/dynamic-profile/view/1901828","19-1901828")</f>
        <v>0</v>
      </c>
      <c r="B11027" t="s">
        <v>199</v>
      </c>
      <c r="C11027" t="s">
        <v>340</v>
      </c>
      <c r="D11027" t="s">
        <v>814</v>
      </c>
      <c r="F11027" t="s">
        <v>2769</v>
      </c>
      <c r="G11027" t="s">
        <v>5881</v>
      </c>
      <c r="H11027" t="s">
        <v>15272</v>
      </c>
      <c r="I11027" t="s">
        <v>18550</v>
      </c>
      <c r="J11027" t="s">
        <v>18894</v>
      </c>
      <c r="K11027">
        <v>11225</v>
      </c>
      <c r="L11027" t="s">
        <v>18960</v>
      </c>
      <c r="M11027" t="s">
        <v>18960</v>
      </c>
      <c r="R11027" t="s">
        <v>26578</v>
      </c>
      <c r="U11027" t="s">
        <v>26604</v>
      </c>
      <c r="X11027">
        <v>0</v>
      </c>
      <c r="Y11027" t="s">
        <v>26652</v>
      </c>
      <c r="AB11027" t="s">
        <v>32743</v>
      </c>
      <c r="AD11027" t="s">
        <v>43264</v>
      </c>
      <c r="AE11027">
        <v>0</v>
      </c>
      <c r="AH11027">
        <v>0</v>
      </c>
      <c r="AI11027">
        <v>2</v>
      </c>
      <c r="AJ11027">
        <v>0</v>
      </c>
      <c r="AK11027">
        <v>214.67</v>
      </c>
      <c r="AN11027" t="s">
        <v>7439</v>
      </c>
      <c r="AO11027">
        <v>36300</v>
      </c>
      <c r="AU11027">
        <v>3.7</v>
      </c>
      <c r="AV11027" t="s">
        <v>831</v>
      </c>
      <c r="AW11027" t="s">
        <v>198</v>
      </c>
    </row>
    <row r="11028" spans="1:50">
      <c r="A11028" s="1">
        <f>HYPERLINK("https://lsnyc.legalserver.org/matter/dynamic-profile/view/1900002","19-1900002")</f>
        <v>0</v>
      </c>
      <c r="B11028" t="s">
        <v>295</v>
      </c>
      <c r="C11028" t="s">
        <v>340</v>
      </c>
      <c r="D11028" t="s">
        <v>814</v>
      </c>
      <c r="F11028" t="s">
        <v>1923</v>
      </c>
      <c r="G11028" t="s">
        <v>9512</v>
      </c>
      <c r="H11028" t="s">
        <v>9775</v>
      </c>
      <c r="I11028" t="s">
        <v>17278</v>
      </c>
      <c r="J11028" t="s">
        <v>18894</v>
      </c>
      <c r="K11028">
        <v>11206</v>
      </c>
      <c r="L11028" t="s">
        <v>18959</v>
      </c>
      <c r="M11028" t="s">
        <v>18960</v>
      </c>
      <c r="N11028" t="s">
        <v>26293</v>
      </c>
      <c r="O11028" t="s">
        <v>26523</v>
      </c>
      <c r="P11028" t="s">
        <v>26560</v>
      </c>
      <c r="R11028" t="s">
        <v>26578</v>
      </c>
      <c r="S11028" t="s">
        <v>18959</v>
      </c>
      <c r="U11028" t="s">
        <v>26604</v>
      </c>
      <c r="V11028" t="s">
        <v>26610</v>
      </c>
      <c r="X11028">
        <v>473</v>
      </c>
      <c r="Y11028" t="s">
        <v>26652</v>
      </c>
      <c r="Z11028" t="s">
        <v>26659</v>
      </c>
      <c r="AB11028" t="s">
        <v>34250</v>
      </c>
      <c r="AD11028" t="s">
        <v>45249</v>
      </c>
      <c r="AE11028">
        <v>16</v>
      </c>
      <c r="AF11028" t="s">
        <v>45541</v>
      </c>
      <c r="AH11028">
        <v>7</v>
      </c>
      <c r="AI11028">
        <v>1</v>
      </c>
      <c r="AJ11028">
        <v>0</v>
      </c>
      <c r="AK11028">
        <v>73.98</v>
      </c>
      <c r="AN11028" t="s">
        <v>7439</v>
      </c>
      <c r="AO11028">
        <v>9240</v>
      </c>
      <c r="AP11028" t="s">
        <v>46342</v>
      </c>
      <c r="AU11028">
        <v>3.5</v>
      </c>
      <c r="AV11028" t="s">
        <v>829</v>
      </c>
      <c r="AW11028" t="s">
        <v>279</v>
      </c>
      <c r="AX11028" t="s">
        <v>19330</v>
      </c>
    </row>
    <row r="11029" spans="1:50">
      <c r="A11029" s="1">
        <f>HYPERLINK("https://lsnyc.legalserver.org/matter/dynamic-profile/view/1901745","19-1901745")</f>
        <v>0</v>
      </c>
      <c r="B11029" t="s">
        <v>125</v>
      </c>
      <c r="C11029" t="s">
        <v>340</v>
      </c>
      <c r="D11029" t="s">
        <v>814</v>
      </c>
      <c r="F11029" t="s">
        <v>1252</v>
      </c>
      <c r="G11029" t="s">
        <v>7277</v>
      </c>
      <c r="H11029" t="s">
        <v>17025</v>
      </c>
      <c r="I11029" t="s">
        <v>17322</v>
      </c>
      <c r="J11029" t="s">
        <v>18894</v>
      </c>
      <c r="K11029">
        <v>11233</v>
      </c>
      <c r="L11029" t="s">
        <v>18959</v>
      </c>
      <c r="M11029" t="s">
        <v>18960</v>
      </c>
      <c r="N11029" t="s">
        <v>26294</v>
      </c>
      <c r="O11029" t="s">
        <v>26523</v>
      </c>
      <c r="R11029" t="s">
        <v>26578</v>
      </c>
      <c r="S11029" t="s">
        <v>18959</v>
      </c>
      <c r="U11029" t="s">
        <v>26604</v>
      </c>
      <c r="V11029" t="s">
        <v>26610</v>
      </c>
      <c r="X11029">
        <v>1032</v>
      </c>
      <c r="Y11029" t="s">
        <v>26652</v>
      </c>
      <c r="AB11029" t="s">
        <v>34251</v>
      </c>
      <c r="AC11029" t="s">
        <v>19045</v>
      </c>
      <c r="AD11029" t="s">
        <v>45250</v>
      </c>
      <c r="AE11029">
        <v>6</v>
      </c>
      <c r="AF11029" t="s">
        <v>45541</v>
      </c>
      <c r="AG11029" t="s">
        <v>19330</v>
      </c>
      <c r="AH11029">
        <v>3</v>
      </c>
      <c r="AI11029">
        <v>1</v>
      </c>
      <c r="AJ11029">
        <v>0</v>
      </c>
      <c r="AK11029">
        <v>134.51</v>
      </c>
      <c r="AN11029" t="s">
        <v>7439</v>
      </c>
      <c r="AO11029">
        <v>16800</v>
      </c>
      <c r="AU11029">
        <v>2.5</v>
      </c>
      <c r="AV11029" t="s">
        <v>838</v>
      </c>
      <c r="AW11029" t="s">
        <v>46857</v>
      </c>
      <c r="AX11029" t="s">
        <v>19330</v>
      </c>
    </row>
    <row r="11030" spans="1:50">
      <c r="A11030" s="1">
        <f>HYPERLINK("https://lsnyc.legalserver.org/matter/dynamic-profile/view/1901889","19-1901889")</f>
        <v>0</v>
      </c>
      <c r="B11030" t="s">
        <v>245</v>
      </c>
      <c r="C11030" t="s">
        <v>340</v>
      </c>
      <c r="D11030" t="s">
        <v>829</v>
      </c>
      <c r="F11030" t="s">
        <v>890</v>
      </c>
      <c r="G11030" t="s">
        <v>5727</v>
      </c>
      <c r="H11030" t="s">
        <v>17026</v>
      </c>
      <c r="I11030" t="s">
        <v>17312</v>
      </c>
      <c r="J11030" t="s">
        <v>18892</v>
      </c>
      <c r="K11030">
        <v>10453</v>
      </c>
      <c r="L11030" t="s">
        <v>18960</v>
      </c>
      <c r="M11030" t="s">
        <v>18960</v>
      </c>
      <c r="P11030" t="s">
        <v>26564</v>
      </c>
      <c r="R11030" t="s">
        <v>26577</v>
      </c>
      <c r="U11030" t="s">
        <v>26604</v>
      </c>
      <c r="X11030">
        <v>690</v>
      </c>
      <c r="Y11030" t="s">
        <v>26650</v>
      </c>
      <c r="AB11030" t="s">
        <v>34252</v>
      </c>
      <c r="AD11030" t="s">
        <v>45251</v>
      </c>
      <c r="AE11030">
        <v>0</v>
      </c>
      <c r="AH11030">
        <v>40</v>
      </c>
      <c r="AI11030">
        <v>1</v>
      </c>
      <c r="AJ11030">
        <v>0</v>
      </c>
      <c r="AK11030">
        <v>84.36</v>
      </c>
      <c r="AN11030" t="s">
        <v>7439</v>
      </c>
      <c r="AO11030">
        <v>10536</v>
      </c>
      <c r="AP11030" t="s">
        <v>46343</v>
      </c>
      <c r="AU11030">
        <v>0</v>
      </c>
      <c r="AW11030" t="s">
        <v>284</v>
      </c>
    </row>
    <row r="11031" spans="1:50">
      <c r="A11031" s="1">
        <f>HYPERLINK("https://lsnyc.legalserver.org/matter/dynamic-profile/view/1901574","19-1901574")</f>
        <v>0</v>
      </c>
      <c r="B11031" t="s">
        <v>278</v>
      </c>
      <c r="C11031" t="s">
        <v>340</v>
      </c>
      <c r="D11031" t="s">
        <v>829</v>
      </c>
      <c r="F11031" t="s">
        <v>4587</v>
      </c>
      <c r="G11031" t="s">
        <v>1725</v>
      </c>
      <c r="H11031" t="s">
        <v>17027</v>
      </c>
      <c r="I11031">
        <v>1</v>
      </c>
      <c r="J11031" t="s">
        <v>18902</v>
      </c>
      <c r="K11031">
        <v>10302</v>
      </c>
      <c r="L11031" t="s">
        <v>18958</v>
      </c>
      <c r="M11031" t="s">
        <v>18960</v>
      </c>
      <c r="O11031" t="s">
        <v>26524</v>
      </c>
      <c r="P11031" t="s">
        <v>26563</v>
      </c>
      <c r="R11031" t="s">
        <v>26589</v>
      </c>
      <c r="U11031" t="s">
        <v>26604</v>
      </c>
      <c r="X11031">
        <v>1300</v>
      </c>
      <c r="Y11031" t="s">
        <v>26654</v>
      </c>
      <c r="Z11031" t="s">
        <v>26659</v>
      </c>
      <c r="AB11031" t="s">
        <v>34253</v>
      </c>
      <c r="AE11031">
        <v>0</v>
      </c>
      <c r="AH11031">
        <v>6</v>
      </c>
      <c r="AI11031">
        <v>4</v>
      </c>
      <c r="AJ11031">
        <v>2</v>
      </c>
      <c r="AK11031">
        <v>38.16</v>
      </c>
      <c r="AM11031" t="s">
        <v>45577</v>
      </c>
      <c r="AN11031" t="s">
        <v>45581</v>
      </c>
      <c r="AO11031">
        <v>13200</v>
      </c>
      <c r="AU11031">
        <v>1</v>
      </c>
      <c r="AV11031" t="s">
        <v>828</v>
      </c>
      <c r="AW11031" t="s">
        <v>278</v>
      </c>
    </row>
    <row r="11032" spans="1:50">
      <c r="A11032" s="1">
        <f>HYPERLINK("https://lsnyc.legalserver.org/matter/dynamic-profile/view/1901697","19-1901697")</f>
        <v>0</v>
      </c>
      <c r="B11032" t="s">
        <v>278</v>
      </c>
      <c r="C11032" t="s">
        <v>340</v>
      </c>
      <c r="D11032" t="s">
        <v>829</v>
      </c>
      <c r="F11032" t="s">
        <v>913</v>
      </c>
      <c r="G11032" t="s">
        <v>9513</v>
      </c>
      <c r="H11032" t="s">
        <v>17028</v>
      </c>
      <c r="I11032" t="s">
        <v>17416</v>
      </c>
      <c r="J11032" t="s">
        <v>18902</v>
      </c>
      <c r="K11032">
        <v>10305</v>
      </c>
      <c r="L11032" t="s">
        <v>18958</v>
      </c>
      <c r="M11032" t="s">
        <v>18960</v>
      </c>
      <c r="N11032" t="s">
        <v>26295</v>
      </c>
      <c r="O11032" t="s">
        <v>26524</v>
      </c>
      <c r="P11032" t="s">
        <v>26563</v>
      </c>
      <c r="R11032" t="s">
        <v>26589</v>
      </c>
      <c r="S11032" t="s">
        <v>18959</v>
      </c>
      <c r="U11032" t="s">
        <v>26604</v>
      </c>
      <c r="V11032" t="s">
        <v>26610</v>
      </c>
      <c r="X11032">
        <v>1700</v>
      </c>
      <c r="Y11032" t="s">
        <v>26654</v>
      </c>
      <c r="Z11032" t="s">
        <v>26671</v>
      </c>
      <c r="AB11032" t="s">
        <v>34254</v>
      </c>
      <c r="AD11032" t="s">
        <v>45252</v>
      </c>
      <c r="AE11032">
        <v>2</v>
      </c>
      <c r="AH11032">
        <v>5</v>
      </c>
      <c r="AI11032">
        <v>1</v>
      </c>
      <c r="AJ11032">
        <v>3</v>
      </c>
      <c r="AK11032">
        <v>111.07</v>
      </c>
      <c r="AM11032" t="s">
        <v>45577</v>
      </c>
      <c r="AN11032" t="s">
        <v>7439</v>
      </c>
      <c r="AO11032">
        <v>28600</v>
      </c>
      <c r="AU11032">
        <v>5.5</v>
      </c>
      <c r="AV11032" t="s">
        <v>772</v>
      </c>
      <c r="AW11032" t="s">
        <v>278</v>
      </c>
      <c r="AX11032" t="s">
        <v>46897</v>
      </c>
    </row>
    <row r="11033" spans="1:50">
      <c r="A11033" s="1">
        <f>HYPERLINK("https://lsnyc.legalserver.org/matter/dynamic-profile/view/1901915","19-1901915")</f>
        <v>0</v>
      </c>
      <c r="B11033" t="s">
        <v>169</v>
      </c>
      <c r="C11033" t="s">
        <v>340</v>
      </c>
      <c r="D11033" t="s">
        <v>829</v>
      </c>
      <c r="F11033" t="s">
        <v>901</v>
      </c>
      <c r="G11033" t="s">
        <v>5199</v>
      </c>
      <c r="H11033" t="s">
        <v>17029</v>
      </c>
      <c r="I11033" t="s">
        <v>17389</v>
      </c>
      <c r="J11033" t="s">
        <v>18892</v>
      </c>
      <c r="K11033">
        <v>10455</v>
      </c>
      <c r="L11033" t="s">
        <v>18958</v>
      </c>
      <c r="M11033" t="s">
        <v>18960</v>
      </c>
      <c r="N11033" t="s">
        <v>26296</v>
      </c>
      <c r="O11033" t="s">
        <v>26523</v>
      </c>
      <c r="P11033" t="s">
        <v>26560</v>
      </c>
      <c r="R11033" t="s">
        <v>26577</v>
      </c>
      <c r="S11033" t="s">
        <v>18959</v>
      </c>
      <c r="U11033" t="s">
        <v>26604</v>
      </c>
      <c r="V11033" t="s">
        <v>26609</v>
      </c>
      <c r="X11033">
        <v>347</v>
      </c>
      <c r="Y11033" t="s">
        <v>26650</v>
      </c>
      <c r="Z11033" t="s">
        <v>26655</v>
      </c>
      <c r="AB11033" t="s">
        <v>30930</v>
      </c>
      <c r="AD11033" t="s">
        <v>45253</v>
      </c>
      <c r="AE11033">
        <v>0</v>
      </c>
      <c r="AF11033" t="s">
        <v>45543</v>
      </c>
      <c r="AG11033" t="s">
        <v>19330</v>
      </c>
      <c r="AH11033">
        <v>16</v>
      </c>
      <c r="AI11033">
        <v>2</v>
      </c>
      <c r="AJ11033">
        <v>0</v>
      </c>
      <c r="AK11033">
        <v>61.5</v>
      </c>
      <c r="AN11033" t="s">
        <v>7439</v>
      </c>
      <c r="AO11033">
        <v>10400</v>
      </c>
      <c r="AU11033">
        <v>6.1</v>
      </c>
      <c r="AV11033" t="s">
        <v>835</v>
      </c>
      <c r="AW11033" t="s">
        <v>329</v>
      </c>
      <c r="AX11033" t="s">
        <v>46897</v>
      </c>
    </row>
    <row r="11034" spans="1:50">
      <c r="A11034" s="1">
        <f>HYPERLINK("https://lsnyc.legalserver.org/matter/dynamic-profile/view/1901910","19-1901910")</f>
        <v>0</v>
      </c>
      <c r="B11034" t="s">
        <v>97</v>
      </c>
      <c r="C11034" t="s">
        <v>340</v>
      </c>
      <c r="D11034" t="s">
        <v>829</v>
      </c>
      <c r="F11034" t="s">
        <v>887</v>
      </c>
      <c r="G11034" t="s">
        <v>2749</v>
      </c>
      <c r="H11034" t="s">
        <v>17030</v>
      </c>
      <c r="I11034" t="s">
        <v>17272</v>
      </c>
      <c r="J11034" t="s">
        <v>18892</v>
      </c>
      <c r="K11034">
        <v>10460</v>
      </c>
      <c r="L11034" t="s">
        <v>18958</v>
      </c>
      <c r="M11034" t="s">
        <v>18960</v>
      </c>
      <c r="N11034" t="s">
        <v>26297</v>
      </c>
      <c r="O11034" t="s">
        <v>26523</v>
      </c>
      <c r="P11034" t="s">
        <v>26564</v>
      </c>
      <c r="R11034" t="s">
        <v>26577</v>
      </c>
      <c r="U11034" t="s">
        <v>26604</v>
      </c>
      <c r="V11034" t="s">
        <v>26610</v>
      </c>
      <c r="X11034">
        <v>589</v>
      </c>
      <c r="Y11034" t="s">
        <v>26650</v>
      </c>
      <c r="AB11034" t="s">
        <v>30742</v>
      </c>
      <c r="AD11034" t="s">
        <v>45254</v>
      </c>
      <c r="AE11034">
        <v>0</v>
      </c>
      <c r="AH11034">
        <v>23</v>
      </c>
      <c r="AI11034">
        <v>1</v>
      </c>
      <c r="AJ11034">
        <v>0</v>
      </c>
      <c r="AK11034">
        <v>74.27</v>
      </c>
      <c r="AN11034" t="s">
        <v>7439</v>
      </c>
      <c r="AO11034">
        <v>9276</v>
      </c>
      <c r="AP11034" t="s">
        <v>46343</v>
      </c>
      <c r="AU11034">
        <v>1.25</v>
      </c>
      <c r="AV11034" t="s">
        <v>834</v>
      </c>
      <c r="AW11034" t="s">
        <v>335</v>
      </c>
      <c r="AX11034" t="s">
        <v>46897</v>
      </c>
    </row>
    <row r="11035" spans="1:50">
      <c r="A11035" s="1">
        <f>HYPERLINK("https://lsnyc.legalserver.org/matter/dynamic-profile/view/1901896","19-1901896")</f>
        <v>0</v>
      </c>
      <c r="B11035" t="s">
        <v>262</v>
      </c>
      <c r="C11035" t="s">
        <v>340</v>
      </c>
      <c r="D11035" t="s">
        <v>829</v>
      </c>
      <c r="F11035" t="s">
        <v>2456</v>
      </c>
      <c r="G11035" t="s">
        <v>7343</v>
      </c>
      <c r="H11035" t="s">
        <v>17031</v>
      </c>
      <c r="I11035" t="s">
        <v>17306</v>
      </c>
      <c r="J11035" t="s">
        <v>18892</v>
      </c>
      <c r="K11035">
        <v>10458</v>
      </c>
      <c r="L11035" t="s">
        <v>18958</v>
      </c>
      <c r="M11035" t="s">
        <v>18960</v>
      </c>
      <c r="N11035" t="s">
        <v>26298</v>
      </c>
      <c r="O11035" t="s">
        <v>26523</v>
      </c>
      <c r="P11035" t="s">
        <v>26564</v>
      </c>
      <c r="R11035" t="s">
        <v>26577</v>
      </c>
      <c r="S11035" t="s">
        <v>18959</v>
      </c>
      <c r="U11035" t="s">
        <v>26604</v>
      </c>
      <c r="V11035" t="s">
        <v>26610</v>
      </c>
      <c r="X11035">
        <v>241</v>
      </c>
      <c r="Y11035" t="s">
        <v>26650</v>
      </c>
      <c r="Z11035" t="s">
        <v>26668</v>
      </c>
      <c r="AB11035" t="s">
        <v>34201</v>
      </c>
      <c r="AE11035">
        <v>30</v>
      </c>
      <c r="AF11035" t="s">
        <v>45541</v>
      </c>
      <c r="AG11035" t="s">
        <v>19330</v>
      </c>
      <c r="AH11035">
        <v>50</v>
      </c>
      <c r="AI11035">
        <v>1</v>
      </c>
      <c r="AJ11035">
        <v>0</v>
      </c>
      <c r="AK11035">
        <v>46.21</v>
      </c>
      <c r="AN11035" t="s">
        <v>7439</v>
      </c>
      <c r="AO11035">
        <v>5772</v>
      </c>
      <c r="AP11035" t="s">
        <v>46344</v>
      </c>
      <c r="AU11035">
        <v>0.6</v>
      </c>
      <c r="AV11035" t="s">
        <v>836</v>
      </c>
      <c r="AW11035" t="s">
        <v>335</v>
      </c>
      <c r="AX11035" t="s">
        <v>46897</v>
      </c>
    </row>
    <row r="11036" spans="1:50">
      <c r="A11036" s="1">
        <f>HYPERLINK("https://lsnyc.legalserver.org/matter/dynamic-profile/view/1901840","19-1901840")</f>
        <v>0</v>
      </c>
      <c r="B11036" t="s">
        <v>179</v>
      </c>
      <c r="C11036" t="s">
        <v>340</v>
      </c>
      <c r="D11036" t="s">
        <v>829</v>
      </c>
      <c r="F11036" t="s">
        <v>1113</v>
      </c>
      <c r="G11036" t="s">
        <v>5817</v>
      </c>
      <c r="H11036" t="s">
        <v>16086</v>
      </c>
      <c r="I11036" t="s">
        <v>18331</v>
      </c>
      <c r="J11036" t="s">
        <v>18894</v>
      </c>
      <c r="K11036">
        <v>11226</v>
      </c>
      <c r="L11036" t="s">
        <v>18958</v>
      </c>
      <c r="M11036" t="s">
        <v>18960</v>
      </c>
      <c r="N11036" t="s">
        <v>26299</v>
      </c>
      <c r="O11036" t="s">
        <v>26523</v>
      </c>
      <c r="P11036" t="s">
        <v>26560</v>
      </c>
      <c r="R11036" t="s">
        <v>26588</v>
      </c>
      <c r="U11036" t="s">
        <v>26604</v>
      </c>
      <c r="X11036">
        <v>1809.23</v>
      </c>
      <c r="Y11036" t="s">
        <v>26652</v>
      </c>
      <c r="Z11036" t="s">
        <v>26669</v>
      </c>
      <c r="AB11036" t="s">
        <v>34255</v>
      </c>
      <c r="AD11036" t="s">
        <v>45255</v>
      </c>
      <c r="AE11036">
        <v>0</v>
      </c>
      <c r="AG11036" t="s">
        <v>45559</v>
      </c>
      <c r="AH11036">
        <v>10</v>
      </c>
      <c r="AI11036">
        <v>4</v>
      </c>
      <c r="AJ11036">
        <v>3</v>
      </c>
      <c r="AK11036">
        <v>165.56</v>
      </c>
      <c r="AN11036" t="s">
        <v>7439</v>
      </c>
      <c r="AO11036">
        <v>64584</v>
      </c>
      <c r="AU11036">
        <v>1.2</v>
      </c>
      <c r="AV11036" t="s">
        <v>838</v>
      </c>
      <c r="AW11036" t="s">
        <v>46853</v>
      </c>
      <c r="AX11036" t="s">
        <v>46897</v>
      </c>
    </row>
    <row r="11037" spans="1:50">
      <c r="A11037" s="1">
        <f>HYPERLINK("https://lsnyc.legalserver.org/matter/dynamic-profile/view/1901907","19-1901907")</f>
        <v>0</v>
      </c>
      <c r="B11037" t="s">
        <v>56</v>
      </c>
      <c r="C11037" t="s">
        <v>340</v>
      </c>
      <c r="D11037" t="s">
        <v>829</v>
      </c>
      <c r="F11037" t="s">
        <v>1831</v>
      </c>
      <c r="G11037" t="s">
        <v>5147</v>
      </c>
      <c r="H11037" t="s">
        <v>17032</v>
      </c>
      <c r="I11037" t="s">
        <v>17284</v>
      </c>
      <c r="J11037" t="s">
        <v>18892</v>
      </c>
      <c r="K11037">
        <v>10454</v>
      </c>
      <c r="L11037" t="s">
        <v>18958</v>
      </c>
      <c r="M11037" t="s">
        <v>18960</v>
      </c>
      <c r="P11037" t="s">
        <v>26564</v>
      </c>
      <c r="R11037" t="s">
        <v>26577</v>
      </c>
      <c r="U11037" t="s">
        <v>26604</v>
      </c>
      <c r="X11037">
        <v>0</v>
      </c>
      <c r="Y11037" t="s">
        <v>26650</v>
      </c>
      <c r="AB11037" t="s">
        <v>34256</v>
      </c>
      <c r="AD11037" t="s">
        <v>45256</v>
      </c>
      <c r="AE11037">
        <v>0</v>
      </c>
      <c r="AH11037">
        <v>0</v>
      </c>
      <c r="AI11037">
        <v>3</v>
      </c>
      <c r="AJ11037">
        <v>0</v>
      </c>
      <c r="AK11037">
        <v>84.67</v>
      </c>
      <c r="AN11037" t="s">
        <v>7439</v>
      </c>
      <c r="AO11037">
        <v>18060</v>
      </c>
      <c r="AP11037" t="s">
        <v>46343</v>
      </c>
      <c r="AU11037">
        <v>0</v>
      </c>
      <c r="AW11037" t="s">
        <v>335</v>
      </c>
      <c r="AX11037" t="s">
        <v>46897</v>
      </c>
    </row>
    <row r="11038" spans="1:50">
      <c r="A11038" s="1">
        <f>HYPERLINK("https://lsnyc.legalserver.org/matter/dynamic-profile/view/1901911","19-1901911")</f>
        <v>0</v>
      </c>
      <c r="B11038" t="s">
        <v>68</v>
      </c>
      <c r="C11038" t="s">
        <v>340</v>
      </c>
      <c r="D11038" t="s">
        <v>829</v>
      </c>
      <c r="F11038" t="s">
        <v>2111</v>
      </c>
      <c r="G11038" t="s">
        <v>5635</v>
      </c>
      <c r="H11038" t="s">
        <v>16866</v>
      </c>
      <c r="I11038" t="s">
        <v>17326</v>
      </c>
      <c r="J11038" t="s">
        <v>18892</v>
      </c>
      <c r="K11038">
        <v>10453</v>
      </c>
      <c r="L11038" t="s">
        <v>18959</v>
      </c>
      <c r="M11038" t="s">
        <v>18960</v>
      </c>
      <c r="N11038" t="s">
        <v>26159</v>
      </c>
      <c r="O11038" t="s">
        <v>26523</v>
      </c>
      <c r="P11038" t="s">
        <v>26564</v>
      </c>
      <c r="R11038" t="s">
        <v>26577</v>
      </c>
      <c r="S11038" t="s">
        <v>18959</v>
      </c>
      <c r="U11038" t="s">
        <v>26604</v>
      </c>
      <c r="X11038">
        <v>0</v>
      </c>
      <c r="Y11038" t="s">
        <v>26650</v>
      </c>
      <c r="AB11038" t="s">
        <v>32131</v>
      </c>
      <c r="AE11038">
        <v>0</v>
      </c>
      <c r="AH11038">
        <v>0</v>
      </c>
      <c r="AI11038">
        <v>2</v>
      </c>
      <c r="AJ11038">
        <v>1</v>
      </c>
      <c r="AK11038">
        <v>15</v>
      </c>
      <c r="AN11038" t="s">
        <v>7439</v>
      </c>
      <c r="AO11038">
        <v>3200</v>
      </c>
      <c r="AP11038" t="s">
        <v>46343</v>
      </c>
      <c r="AU11038">
        <v>0.2</v>
      </c>
      <c r="AV11038" t="s">
        <v>821</v>
      </c>
      <c r="AW11038" t="s">
        <v>335</v>
      </c>
      <c r="AX11038" t="s">
        <v>19330</v>
      </c>
    </row>
    <row r="11039" spans="1:50">
      <c r="A11039" s="1">
        <f>HYPERLINK("https://lsnyc.legalserver.org/matter/dynamic-profile/view/1901887","19-1901887")</f>
        <v>0</v>
      </c>
      <c r="B11039" t="s">
        <v>253</v>
      </c>
      <c r="C11039" t="s">
        <v>340</v>
      </c>
      <c r="D11039" t="s">
        <v>829</v>
      </c>
      <c r="F11039" t="s">
        <v>4968</v>
      </c>
      <c r="G11039" t="s">
        <v>9514</v>
      </c>
      <c r="H11039" t="s">
        <v>10815</v>
      </c>
      <c r="I11039" t="s">
        <v>17358</v>
      </c>
      <c r="J11039" t="s">
        <v>18892</v>
      </c>
      <c r="K11039">
        <v>10453</v>
      </c>
      <c r="L11039" t="s">
        <v>18958</v>
      </c>
      <c r="M11039" t="s">
        <v>18960</v>
      </c>
      <c r="N11039" t="s">
        <v>26300</v>
      </c>
      <c r="O11039" t="s">
        <v>26523</v>
      </c>
      <c r="P11039" t="s">
        <v>26564</v>
      </c>
      <c r="R11039" t="s">
        <v>26577</v>
      </c>
      <c r="S11039" t="s">
        <v>18959</v>
      </c>
      <c r="U11039" t="s">
        <v>26604</v>
      </c>
      <c r="X11039">
        <v>1391</v>
      </c>
      <c r="Y11039" t="s">
        <v>26650</v>
      </c>
      <c r="AB11039" t="s">
        <v>34257</v>
      </c>
      <c r="AD11039" t="s">
        <v>45257</v>
      </c>
      <c r="AE11039">
        <v>0</v>
      </c>
      <c r="AG11039" t="s">
        <v>45559</v>
      </c>
      <c r="AH11039">
        <v>35</v>
      </c>
      <c r="AI11039">
        <v>2</v>
      </c>
      <c r="AJ11039">
        <v>0</v>
      </c>
      <c r="AK11039">
        <v>46.94</v>
      </c>
      <c r="AN11039" t="s">
        <v>45581</v>
      </c>
      <c r="AO11039">
        <v>7938</v>
      </c>
      <c r="AP11039" t="s">
        <v>46343</v>
      </c>
      <c r="AU11039">
        <v>0</v>
      </c>
      <c r="AW11039" t="s">
        <v>335</v>
      </c>
      <c r="AX11039" t="s">
        <v>46897</v>
      </c>
    </row>
    <row r="11040" spans="1:50">
      <c r="A11040" s="1">
        <f>HYPERLINK("https://lsnyc.legalserver.org/matter/dynamic-profile/view/1901881","19-1901881")</f>
        <v>0</v>
      </c>
      <c r="B11040" t="s">
        <v>64</v>
      </c>
      <c r="C11040" t="s">
        <v>340</v>
      </c>
      <c r="D11040" t="s">
        <v>829</v>
      </c>
      <c r="F11040" t="s">
        <v>3788</v>
      </c>
      <c r="G11040" t="s">
        <v>4309</v>
      </c>
      <c r="H11040" t="s">
        <v>11980</v>
      </c>
      <c r="I11040" t="s">
        <v>17348</v>
      </c>
      <c r="J11040" t="s">
        <v>18892</v>
      </c>
      <c r="K11040">
        <v>10459</v>
      </c>
      <c r="L11040" t="s">
        <v>18958</v>
      </c>
      <c r="M11040" t="s">
        <v>18960</v>
      </c>
      <c r="N11040" t="s">
        <v>23950</v>
      </c>
      <c r="O11040" t="s">
        <v>26523</v>
      </c>
      <c r="P11040" t="s">
        <v>26564</v>
      </c>
      <c r="R11040" t="s">
        <v>26577</v>
      </c>
      <c r="S11040" t="s">
        <v>18959</v>
      </c>
      <c r="U11040" t="s">
        <v>26604</v>
      </c>
      <c r="X11040">
        <v>0</v>
      </c>
      <c r="Y11040" t="s">
        <v>26650</v>
      </c>
      <c r="AB11040" t="s">
        <v>31916</v>
      </c>
      <c r="AD11040" t="s">
        <v>42205</v>
      </c>
      <c r="AE11040">
        <v>0</v>
      </c>
      <c r="AH11040">
        <v>0</v>
      </c>
      <c r="AI11040">
        <v>2</v>
      </c>
      <c r="AJ11040">
        <v>0</v>
      </c>
      <c r="AK11040">
        <v>115.81</v>
      </c>
      <c r="AN11040" t="s">
        <v>7439</v>
      </c>
      <c r="AO11040">
        <v>19584</v>
      </c>
      <c r="AP11040" t="s">
        <v>46343</v>
      </c>
      <c r="AU11040">
        <v>0</v>
      </c>
      <c r="AW11040" t="s">
        <v>335</v>
      </c>
      <c r="AX11040" t="s">
        <v>46897</v>
      </c>
    </row>
    <row r="11041" spans="1:50">
      <c r="A11041" s="1">
        <f>HYPERLINK("https://lsnyc.legalserver.org/matter/dynamic-profile/view/1901942","19-1901942")</f>
        <v>0</v>
      </c>
      <c r="B11041" t="s">
        <v>64</v>
      </c>
      <c r="C11041" t="s">
        <v>340</v>
      </c>
      <c r="D11041" t="s">
        <v>829</v>
      </c>
      <c r="F11041" t="s">
        <v>2648</v>
      </c>
      <c r="G11041" t="s">
        <v>6871</v>
      </c>
      <c r="H11041" t="s">
        <v>12327</v>
      </c>
      <c r="I11041" t="s">
        <v>17293</v>
      </c>
      <c r="J11041" t="s">
        <v>18892</v>
      </c>
      <c r="K11041">
        <v>10468</v>
      </c>
      <c r="L11041" t="s">
        <v>18958</v>
      </c>
      <c r="M11041" t="s">
        <v>18960</v>
      </c>
      <c r="N11041" t="s">
        <v>26301</v>
      </c>
      <c r="O11041" t="s">
        <v>26523</v>
      </c>
      <c r="R11041" t="s">
        <v>26579</v>
      </c>
      <c r="S11041" t="s">
        <v>18959</v>
      </c>
      <c r="U11041" t="s">
        <v>26604</v>
      </c>
      <c r="V11041" t="s">
        <v>26610</v>
      </c>
      <c r="X11041">
        <v>0</v>
      </c>
      <c r="Y11041" t="s">
        <v>26650</v>
      </c>
      <c r="Z11041" t="s">
        <v>26659</v>
      </c>
      <c r="AB11041" t="s">
        <v>29603</v>
      </c>
      <c r="AD11041" t="s">
        <v>39687</v>
      </c>
      <c r="AE11041">
        <v>0</v>
      </c>
      <c r="AF11041" t="s">
        <v>45541</v>
      </c>
      <c r="AH11041">
        <v>29</v>
      </c>
      <c r="AI11041">
        <v>2</v>
      </c>
      <c r="AJ11041">
        <v>3</v>
      </c>
      <c r="AK11041">
        <v>147.13</v>
      </c>
      <c r="AN11041" t="s">
        <v>45581</v>
      </c>
      <c r="AO11041">
        <v>44388.96</v>
      </c>
      <c r="AU11041">
        <v>2</v>
      </c>
      <c r="AV11041" t="s">
        <v>809</v>
      </c>
      <c r="AW11041" t="s">
        <v>335</v>
      </c>
      <c r="AX11041" t="s">
        <v>46897</v>
      </c>
    </row>
    <row r="11042" spans="1:50">
      <c r="A11042" s="1">
        <f>HYPERLINK("https://lsnyc.legalserver.org/matter/dynamic-profile/view/1901868","19-1901868")</f>
        <v>0</v>
      </c>
      <c r="B11042" t="s">
        <v>200</v>
      </c>
      <c r="C11042" t="s">
        <v>340</v>
      </c>
      <c r="D11042" t="s">
        <v>829</v>
      </c>
      <c r="F11042" t="s">
        <v>4969</v>
      </c>
      <c r="G11042" t="s">
        <v>9515</v>
      </c>
      <c r="H11042" t="s">
        <v>17033</v>
      </c>
      <c r="I11042" t="s">
        <v>18145</v>
      </c>
      <c r="J11042" t="s">
        <v>18894</v>
      </c>
      <c r="K11042">
        <v>11219</v>
      </c>
      <c r="L11042" t="s">
        <v>18959</v>
      </c>
      <c r="M11042" t="s">
        <v>18960</v>
      </c>
      <c r="N11042" t="s">
        <v>26302</v>
      </c>
      <c r="O11042" t="s">
        <v>26553</v>
      </c>
      <c r="P11042" t="s">
        <v>26560</v>
      </c>
      <c r="R11042" t="s">
        <v>26578</v>
      </c>
      <c r="S11042" t="s">
        <v>18959</v>
      </c>
      <c r="U11042" t="s">
        <v>26604</v>
      </c>
      <c r="X11042">
        <v>1000</v>
      </c>
      <c r="Y11042" t="s">
        <v>26652</v>
      </c>
      <c r="Z11042" t="s">
        <v>26668</v>
      </c>
      <c r="AB11042" t="s">
        <v>28272</v>
      </c>
      <c r="AD11042" t="s">
        <v>45258</v>
      </c>
      <c r="AE11042">
        <v>35</v>
      </c>
      <c r="AF11042" t="s">
        <v>45541</v>
      </c>
      <c r="AG11042" t="s">
        <v>19330</v>
      </c>
      <c r="AH11042">
        <v>12</v>
      </c>
      <c r="AI11042">
        <v>4</v>
      </c>
      <c r="AJ11042">
        <v>0</v>
      </c>
      <c r="AK11042">
        <v>121.17</v>
      </c>
      <c r="AN11042" t="s">
        <v>45581</v>
      </c>
      <c r="AO11042">
        <v>31200</v>
      </c>
      <c r="AU11042">
        <v>2.7</v>
      </c>
      <c r="AV11042" t="s">
        <v>829</v>
      </c>
      <c r="AW11042" t="s">
        <v>286</v>
      </c>
    </row>
    <row r="11043" spans="1:50">
      <c r="A11043" s="1">
        <f>HYPERLINK("https://lsnyc.legalserver.org/matter/dynamic-profile/view/1901865","19-1901865")</f>
        <v>0</v>
      </c>
      <c r="B11043" t="s">
        <v>200</v>
      </c>
      <c r="C11043" t="s">
        <v>340</v>
      </c>
      <c r="D11043" t="s">
        <v>829</v>
      </c>
      <c r="F11043" t="s">
        <v>4969</v>
      </c>
      <c r="G11043" t="s">
        <v>9515</v>
      </c>
      <c r="H11043" t="s">
        <v>17033</v>
      </c>
      <c r="I11043" t="s">
        <v>18145</v>
      </c>
      <c r="J11043" t="s">
        <v>18894</v>
      </c>
      <c r="K11043">
        <v>11219</v>
      </c>
      <c r="L11043" t="s">
        <v>18959</v>
      </c>
      <c r="M11043" t="s">
        <v>18960</v>
      </c>
      <c r="N11043" t="s">
        <v>26303</v>
      </c>
      <c r="O11043" t="s">
        <v>26523</v>
      </c>
      <c r="P11043" t="s">
        <v>26560</v>
      </c>
      <c r="R11043" t="s">
        <v>26578</v>
      </c>
      <c r="S11043" t="s">
        <v>18959</v>
      </c>
      <c r="U11043" t="s">
        <v>26604</v>
      </c>
      <c r="X11043">
        <v>1000</v>
      </c>
      <c r="Y11043" t="s">
        <v>26652</v>
      </c>
      <c r="Z11043" t="s">
        <v>26668</v>
      </c>
      <c r="AB11043" t="s">
        <v>28272</v>
      </c>
      <c r="AD11043" t="s">
        <v>45258</v>
      </c>
      <c r="AE11043">
        <v>35</v>
      </c>
      <c r="AF11043" t="s">
        <v>45541</v>
      </c>
      <c r="AG11043" t="s">
        <v>19330</v>
      </c>
      <c r="AH11043">
        <v>12</v>
      </c>
      <c r="AI11043">
        <v>4</v>
      </c>
      <c r="AJ11043">
        <v>0</v>
      </c>
      <c r="AK11043">
        <v>121.17</v>
      </c>
      <c r="AN11043" t="s">
        <v>45581</v>
      </c>
      <c r="AO11043">
        <v>31200</v>
      </c>
      <c r="AU11043">
        <v>0.2</v>
      </c>
      <c r="AV11043" t="s">
        <v>829</v>
      </c>
      <c r="AW11043" t="s">
        <v>286</v>
      </c>
    </row>
    <row r="11044" spans="1:50">
      <c r="A11044" s="1">
        <f>HYPERLINK("https://lsnyc.legalserver.org/matter/dynamic-profile/view/1901902","19-1901902")</f>
        <v>0</v>
      </c>
      <c r="B11044" t="s">
        <v>252</v>
      </c>
      <c r="C11044" t="s">
        <v>340</v>
      </c>
      <c r="D11044" t="s">
        <v>829</v>
      </c>
      <c r="F11044" t="s">
        <v>887</v>
      </c>
      <c r="G11044" t="s">
        <v>5078</v>
      </c>
      <c r="H11044" t="s">
        <v>17034</v>
      </c>
      <c r="I11044" t="s">
        <v>17390</v>
      </c>
      <c r="J11044" t="s">
        <v>18894</v>
      </c>
      <c r="K11044">
        <v>11218</v>
      </c>
      <c r="L11044" t="s">
        <v>18960</v>
      </c>
      <c r="M11044" t="s">
        <v>18960</v>
      </c>
      <c r="R11044" t="s">
        <v>26591</v>
      </c>
      <c r="U11044" t="s">
        <v>26604</v>
      </c>
      <c r="V11044" t="s">
        <v>26614</v>
      </c>
      <c r="X11044">
        <v>635</v>
      </c>
      <c r="Y11044" t="s">
        <v>26652</v>
      </c>
      <c r="AB11044" t="s">
        <v>34258</v>
      </c>
      <c r="AD11044" t="s">
        <v>45259</v>
      </c>
      <c r="AE11044">
        <v>32</v>
      </c>
      <c r="AG11044" t="s">
        <v>45556</v>
      </c>
      <c r="AH11044">
        <v>11</v>
      </c>
      <c r="AI11044">
        <v>1</v>
      </c>
      <c r="AJ11044">
        <v>0</v>
      </c>
      <c r="AK11044">
        <v>69.08</v>
      </c>
      <c r="AN11044" t="s">
        <v>45581</v>
      </c>
      <c r="AO11044">
        <v>8628</v>
      </c>
      <c r="AU11044">
        <v>1</v>
      </c>
      <c r="AV11044" t="s">
        <v>829</v>
      </c>
      <c r="AW11044" t="s">
        <v>46857</v>
      </c>
    </row>
    <row r="11045" spans="1:50">
      <c r="A11045" s="1">
        <f>HYPERLINK("https://lsnyc.legalserver.org/matter/dynamic-profile/view/1901903","19-1901903")</f>
        <v>0</v>
      </c>
      <c r="B11045" t="s">
        <v>65</v>
      </c>
      <c r="C11045" t="s">
        <v>340</v>
      </c>
      <c r="D11045" t="s">
        <v>829</v>
      </c>
      <c r="F11045" t="s">
        <v>4970</v>
      </c>
      <c r="G11045" t="s">
        <v>9516</v>
      </c>
      <c r="H11045" t="s">
        <v>17035</v>
      </c>
      <c r="I11045">
        <v>614</v>
      </c>
      <c r="J11045" t="s">
        <v>18892</v>
      </c>
      <c r="K11045">
        <v>10473</v>
      </c>
      <c r="L11045" t="s">
        <v>18958</v>
      </c>
      <c r="M11045" t="s">
        <v>18960</v>
      </c>
      <c r="P11045" t="s">
        <v>26564</v>
      </c>
      <c r="R11045" t="s">
        <v>26577</v>
      </c>
      <c r="U11045" t="s">
        <v>26604</v>
      </c>
      <c r="X11045">
        <v>12000</v>
      </c>
      <c r="Y11045" t="s">
        <v>26650</v>
      </c>
      <c r="AB11045" t="s">
        <v>34259</v>
      </c>
      <c r="AE11045">
        <v>0</v>
      </c>
      <c r="AH11045">
        <v>3</v>
      </c>
      <c r="AI11045">
        <v>1</v>
      </c>
      <c r="AJ11045">
        <v>2</v>
      </c>
      <c r="AK11045">
        <v>150.02</v>
      </c>
      <c r="AN11045" t="s">
        <v>7439</v>
      </c>
      <c r="AO11045">
        <v>32000</v>
      </c>
      <c r="AP11045" t="s">
        <v>46343</v>
      </c>
      <c r="AU11045">
        <v>0.3</v>
      </c>
      <c r="AV11045" t="s">
        <v>830</v>
      </c>
      <c r="AW11045" t="s">
        <v>335</v>
      </c>
      <c r="AX11045" t="s">
        <v>46897</v>
      </c>
    </row>
    <row r="11046" spans="1:50">
      <c r="A11046" s="1">
        <f>HYPERLINK("https://lsnyc.legalserver.org/matter/dynamic-profile/view/1901938","19-1901938")</f>
        <v>0</v>
      </c>
      <c r="B11046" t="s">
        <v>121</v>
      </c>
      <c r="C11046" t="s">
        <v>340</v>
      </c>
      <c r="D11046" t="s">
        <v>829</v>
      </c>
      <c r="F11046" t="s">
        <v>4971</v>
      </c>
      <c r="G11046" t="s">
        <v>1339</v>
      </c>
      <c r="H11046" t="s">
        <v>17036</v>
      </c>
      <c r="I11046" t="s">
        <v>17424</v>
      </c>
      <c r="J11046" t="s">
        <v>18892</v>
      </c>
      <c r="K11046">
        <v>10466</v>
      </c>
      <c r="L11046" t="s">
        <v>18958</v>
      </c>
      <c r="M11046" t="s">
        <v>18960</v>
      </c>
      <c r="N11046" t="s">
        <v>26304</v>
      </c>
      <c r="O11046" t="s">
        <v>26524</v>
      </c>
      <c r="P11046" t="s">
        <v>26564</v>
      </c>
      <c r="R11046" t="s">
        <v>26577</v>
      </c>
      <c r="U11046" t="s">
        <v>26604</v>
      </c>
      <c r="X11046">
        <v>1600</v>
      </c>
      <c r="Y11046" t="s">
        <v>26650</v>
      </c>
      <c r="AB11046" t="s">
        <v>34260</v>
      </c>
      <c r="AD11046" t="s">
        <v>45260</v>
      </c>
      <c r="AE11046">
        <v>0</v>
      </c>
      <c r="AH11046">
        <v>0</v>
      </c>
      <c r="AI11046">
        <v>1</v>
      </c>
      <c r="AJ11046">
        <v>0</v>
      </c>
      <c r="AK11046">
        <v>36.89</v>
      </c>
      <c r="AN11046" t="s">
        <v>7439</v>
      </c>
      <c r="AO11046">
        <v>4608</v>
      </c>
      <c r="AP11046" t="s">
        <v>46343</v>
      </c>
      <c r="AU11046">
        <v>0</v>
      </c>
      <c r="AW11046" t="s">
        <v>284</v>
      </c>
      <c r="AX11046" t="s">
        <v>46897</v>
      </c>
    </row>
    <row r="11047" spans="1:50">
      <c r="A11047" s="1">
        <f>HYPERLINK("https://lsnyc.legalserver.org/matter/dynamic-profile/view/1901897","19-1901897")</f>
        <v>0</v>
      </c>
      <c r="B11047" t="s">
        <v>103</v>
      </c>
      <c r="C11047" t="s">
        <v>340</v>
      </c>
      <c r="D11047" t="s">
        <v>829</v>
      </c>
      <c r="F11047" t="s">
        <v>1022</v>
      </c>
      <c r="G11047" t="s">
        <v>9517</v>
      </c>
      <c r="H11047" t="s">
        <v>17037</v>
      </c>
      <c r="I11047" t="s">
        <v>18852</v>
      </c>
      <c r="J11047" t="s">
        <v>18902</v>
      </c>
      <c r="K11047">
        <v>10314</v>
      </c>
      <c r="L11047" t="s">
        <v>18958</v>
      </c>
      <c r="M11047" t="s">
        <v>18960</v>
      </c>
      <c r="O11047" t="s">
        <v>26534</v>
      </c>
      <c r="R11047" t="s">
        <v>26578</v>
      </c>
      <c r="S11047" t="s">
        <v>18958</v>
      </c>
      <c r="U11047" t="s">
        <v>26604</v>
      </c>
      <c r="X11047">
        <v>0</v>
      </c>
      <c r="Y11047" t="s">
        <v>26654</v>
      </c>
      <c r="Z11047" t="s">
        <v>26659</v>
      </c>
      <c r="AB11047" t="s">
        <v>34261</v>
      </c>
      <c r="AD11047" t="s">
        <v>45261</v>
      </c>
      <c r="AE11047">
        <v>96</v>
      </c>
      <c r="AF11047" t="s">
        <v>45541</v>
      </c>
      <c r="AG11047" t="s">
        <v>45559</v>
      </c>
      <c r="AH11047">
        <v>8</v>
      </c>
      <c r="AI11047">
        <v>1</v>
      </c>
      <c r="AJ11047">
        <v>0</v>
      </c>
      <c r="AK11047">
        <v>138.34</v>
      </c>
      <c r="AN11047" t="s">
        <v>7439</v>
      </c>
      <c r="AO11047">
        <v>17278.8</v>
      </c>
      <c r="AU11047">
        <v>0.2</v>
      </c>
      <c r="AV11047" t="s">
        <v>814</v>
      </c>
      <c r="AW11047" t="s">
        <v>46883</v>
      </c>
      <c r="AX11047" t="s">
        <v>46897</v>
      </c>
    </row>
    <row r="11048" spans="1:50">
      <c r="A11048" s="1">
        <f>HYPERLINK("https://lsnyc.legalserver.org/matter/dynamic-profile/view/1902099","19-1902099")</f>
        <v>0</v>
      </c>
      <c r="B11048" t="s">
        <v>327</v>
      </c>
      <c r="C11048" t="s">
        <v>340</v>
      </c>
      <c r="D11048" t="s">
        <v>829</v>
      </c>
      <c r="F11048" t="s">
        <v>4972</v>
      </c>
      <c r="G11048" t="s">
        <v>9518</v>
      </c>
      <c r="H11048" t="s">
        <v>17038</v>
      </c>
      <c r="I11048" t="s">
        <v>18533</v>
      </c>
      <c r="J11048" t="s">
        <v>18893</v>
      </c>
      <c r="K11048">
        <v>10014</v>
      </c>
      <c r="L11048" t="s">
        <v>18960</v>
      </c>
      <c r="M11048" t="s">
        <v>18960</v>
      </c>
      <c r="O11048" t="s">
        <v>18997</v>
      </c>
      <c r="R11048" t="s">
        <v>26592</v>
      </c>
      <c r="U11048" t="s">
        <v>26607</v>
      </c>
      <c r="X11048">
        <v>0</v>
      </c>
      <c r="Y11048" t="s">
        <v>26651</v>
      </c>
      <c r="AB11048" t="s">
        <v>33929</v>
      </c>
      <c r="AE11048">
        <v>0</v>
      </c>
      <c r="AH11048">
        <v>0</v>
      </c>
      <c r="AI11048">
        <v>1</v>
      </c>
      <c r="AJ11048">
        <v>0</v>
      </c>
      <c r="AK11048">
        <v>136.91</v>
      </c>
      <c r="AN11048" t="s">
        <v>7439</v>
      </c>
      <c r="AO11048">
        <v>17100</v>
      </c>
      <c r="AU11048">
        <v>2.6</v>
      </c>
      <c r="AV11048" t="s">
        <v>835</v>
      </c>
      <c r="AW11048" t="s">
        <v>46838</v>
      </c>
    </row>
    <row r="11049" spans="1:50">
      <c r="A11049" s="1">
        <f>HYPERLINK("https://lsnyc.legalserver.org/matter/dynamic-profile/view/1901929","19-1901929")</f>
        <v>0</v>
      </c>
      <c r="B11049" t="s">
        <v>126</v>
      </c>
      <c r="C11049" t="s">
        <v>340</v>
      </c>
      <c r="D11049" t="s">
        <v>829</v>
      </c>
      <c r="F11049" t="s">
        <v>1703</v>
      </c>
      <c r="G11049" t="s">
        <v>9135</v>
      </c>
      <c r="H11049" t="s">
        <v>16520</v>
      </c>
      <c r="I11049" t="s">
        <v>17316</v>
      </c>
      <c r="J11049" t="s">
        <v>18894</v>
      </c>
      <c r="K11049">
        <v>11233</v>
      </c>
      <c r="L11049" t="s">
        <v>18959</v>
      </c>
      <c r="M11049" t="s">
        <v>18960</v>
      </c>
      <c r="N11049" t="s">
        <v>26305</v>
      </c>
      <c r="O11049" t="s">
        <v>26523</v>
      </c>
      <c r="R11049" t="s">
        <v>26578</v>
      </c>
      <c r="S11049" t="s">
        <v>18959</v>
      </c>
      <c r="U11049" t="s">
        <v>26604</v>
      </c>
      <c r="V11049" t="s">
        <v>26610</v>
      </c>
      <c r="X11049">
        <v>1052</v>
      </c>
      <c r="Y11049" t="s">
        <v>26652</v>
      </c>
      <c r="Z11049" t="s">
        <v>26659</v>
      </c>
      <c r="AB11049" t="s">
        <v>28799</v>
      </c>
      <c r="AC11049" t="s">
        <v>19330</v>
      </c>
      <c r="AD11049" t="s">
        <v>44325</v>
      </c>
      <c r="AE11049">
        <v>12</v>
      </c>
      <c r="AF11049" t="s">
        <v>45541</v>
      </c>
      <c r="AG11049" t="s">
        <v>19330</v>
      </c>
      <c r="AH11049">
        <v>8</v>
      </c>
      <c r="AI11049">
        <v>2</v>
      </c>
      <c r="AJ11049">
        <v>0</v>
      </c>
      <c r="AK11049">
        <v>153.76</v>
      </c>
      <c r="AN11049" t="s">
        <v>7439</v>
      </c>
      <c r="AO11049">
        <v>26000</v>
      </c>
      <c r="AU11049">
        <v>6.7</v>
      </c>
      <c r="AV11049" t="s">
        <v>838</v>
      </c>
      <c r="AW11049" t="s">
        <v>279</v>
      </c>
      <c r="AX11049" t="s">
        <v>19330</v>
      </c>
    </row>
    <row r="11050" spans="1:50">
      <c r="A11050" s="1">
        <f>HYPERLINK("https://lsnyc.legalserver.org/matter/dynamic-profile/view/1901899","19-1901899")</f>
        <v>0</v>
      </c>
      <c r="B11050" t="s">
        <v>69</v>
      </c>
      <c r="C11050" t="s">
        <v>340</v>
      </c>
      <c r="D11050" t="s">
        <v>829</v>
      </c>
      <c r="F11050" t="s">
        <v>4973</v>
      </c>
      <c r="G11050" t="s">
        <v>9519</v>
      </c>
      <c r="H11050" t="s">
        <v>17039</v>
      </c>
      <c r="I11050" t="s">
        <v>17283</v>
      </c>
      <c r="J11050" t="s">
        <v>18892</v>
      </c>
      <c r="K11050">
        <v>10458</v>
      </c>
      <c r="L11050" t="s">
        <v>18958</v>
      </c>
      <c r="M11050" t="s">
        <v>18960</v>
      </c>
      <c r="P11050" t="s">
        <v>26564</v>
      </c>
      <c r="R11050" t="s">
        <v>26583</v>
      </c>
      <c r="U11050" t="s">
        <v>26604</v>
      </c>
      <c r="X11050">
        <v>1850</v>
      </c>
      <c r="Y11050" t="s">
        <v>26650</v>
      </c>
      <c r="AB11050" t="s">
        <v>30620</v>
      </c>
      <c r="AD11050" t="s">
        <v>45262</v>
      </c>
      <c r="AE11050">
        <v>0</v>
      </c>
      <c r="AF11050" t="s">
        <v>45541</v>
      </c>
      <c r="AH11050">
        <v>1</v>
      </c>
      <c r="AI11050">
        <v>2</v>
      </c>
      <c r="AJ11050">
        <v>0</v>
      </c>
      <c r="AK11050">
        <v>224.72</v>
      </c>
      <c r="AN11050" t="s">
        <v>7439</v>
      </c>
      <c r="AO11050">
        <v>38000</v>
      </c>
      <c r="AP11050" t="s">
        <v>46345</v>
      </c>
      <c r="AU11050">
        <v>0</v>
      </c>
      <c r="AW11050" t="s">
        <v>284</v>
      </c>
      <c r="AX11050" t="s">
        <v>46897</v>
      </c>
    </row>
    <row r="11051" spans="1:50">
      <c r="A11051" s="1">
        <f>HYPERLINK("https://lsnyc.legalserver.org/matter/dynamic-profile/view/1901904","19-1901904")</f>
        <v>0</v>
      </c>
      <c r="B11051" t="s">
        <v>54</v>
      </c>
      <c r="C11051" t="s">
        <v>340</v>
      </c>
      <c r="D11051" t="s">
        <v>829</v>
      </c>
      <c r="F11051" t="s">
        <v>1930</v>
      </c>
      <c r="G11051" t="s">
        <v>9036</v>
      </c>
      <c r="H11051" t="s">
        <v>16216</v>
      </c>
      <c r="I11051">
        <v>214</v>
      </c>
      <c r="J11051" t="s">
        <v>18892</v>
      </c>
      <c r="K11051">
        <v>10453</v>
      </c>
      <c r="L11051" t="s">
        <v>18960</v>
      </c>
      <c r="M11051" t="s">
        <v>18960</v>
      </c>
      <c r="P11051" t="s">
        <v>26564</v>
      </c>
      <c r="R11051" t="s">
        <v>26583</v>
      </c>
      <c r="U11051" t="s">
        <v>26604</v>
      </c>
      <c r="X11051">
        <v>560</v>
      </c>
      <c r="Y11051" t="s">
        <v>26650</v>
      </c>
      <c r="AB11051" t="s">
        <v>34262</v>
      </c>
      <c r="AE11051">
        <v>0</v>
      </c>
      <c r="AH11051">
        <v>28</v>
      </c>
      <c r="AI11051">
        <v>1</v>
      </c>
      <c r="AJ11051">
        <v>0</v>
      </c>
      <c r="AK11051">
        <v>224.18</v>
      </c>
      <c r="AN11051" t="s">
        <v>7439</v>
      </c>
      <c r="AO11051">
        <v>28000</v>
      </c>
      <c r="AP11051" t="s">
        <v>46346</v>
      </c>
      <c r="AU11051">
        <v>1.2</v>
      </c>
      <c r="AV11051" t="s">
        <v>831</v>
      </c>
      <c r="AW11051" t="s">
        <v>284</v>
      </c>
    </row>
    <row r="11052" spans="1:50">
      <c r="A11052" s="1">
        <f>HYPERLINK("https://lsnyc.legalserver.org/matter/dynamic-profile/view/1901927","19-1901927")</f>
        <v>0</v>
      </c>
      <c r="B11052" t="s">
        <v>275</v>
      </c>
      <c r="C11052" t="s">
        <v>340</v>
      </c>
      <c r="D11052" t="s">
        <v>829</v>
      </c>
      <c r="F11052" t="s">
        <v>4121</v>
      </c>
      <c r="G11052" t="s">
        <v>9520</v>
      </c>
      <c r="H11052" t="s">
        <v>17040</v>
      </c>
      <c r="I11052">
        <v>1</v>
      </c>
      <c r="J11052" t="s">
        <v>18892</v>
      </c>
      <c r="K11052">
        <v>10461</v>
      </c>
      <c r="L11052" t="s">
        <v>18958</v>
      </c>
      <c r="M11052" t="s">
        <v>18960</v>
      </c>
      <c r="N11052" t="s">
        <v>26306</v>
      </c>
      <c r="O11052" t="s">
        <v>26524</v>
      </c>
      <c r="P11052" t="s">
        <v>26564</v>
      </c>
      <c r="R11052" t="s">
        <v>26577</v>
      </c>
      <c r="U11052" t="s">
        <v>26604</v>
      </c>
      <c r="X11052">
        <v>1275</v>
      </c>
      <c r="Y11052" t="s">
        <v>26650</v>
      </c>
      <c r="Z11052" t="s">
        <v>26664</v>
      </c>
      <c r="AB11052" t="s">
        <v>32137</v>
      </c>
      <c r="AD11052" t="s">
        <v>45263</v>
      </c>
      <c r="AE11052">
        <v>0</v>
      </c>
      <c r="AF11052" t="s">
        <v>45547</v>
      </c>
      <c r="AH11052">
        <v>8</v>
      </c>
      <c r="AI11052">
        <v>1</v>
      </c>
      <c r="AJ11052">
        <v>0</v>
      </c>
      <c r="AK11052">
        <v>80.03</v>
      </c>
      <c r="AN11052" t="s">
        <v>7439</v>
      </c>
      <c r="AO11052">
        <v>9996</v>
      </c>
      <c r="AP11052" t="s">
        <v>46343</v>
      </c>
      <c r="AU11052">
        <v>0</v>
      </c>
      <c r="AW11052" t="s">
        <v>284</v>
      </c>
      <c r="AX11052" t="s">
        <v>46897</v>
      </c>
    </row>
    <row r="11053" spans="1:50">
      <c r="A11053" s="1">
        <f>HYPERLINK("https://lsnyc.legalserver.org/matter/dynamic-profile/view/1901962","19-1901962")</f>
        <v>0</v>
      </c>
      <c r="B11053" t="s">
        <v>70</v>
      </c>
      <c r="C11053" t="s">
        <v>340</v>
      </c>
      <c r="D11053" t="s">
        <v>842</v>
      </c>
      <c r="F11053" t="s">
        <v>1068</v>
      </c>
      <c r="G11053" t="s">
        <v>9521</v>
      </c>
      <c r="H11053" t="s">
        <v>17041</v>
      </c>
      <c r="J11053" t="s">
        <v>18892</v>
      </c>
      <c r="K11053">
        <v>10462</v>
      </c>
      <c r="L11053" t="s">
        <v>18958</v>
      </c>
      <c r="M11053" t="s">
        <v>18960</v>
      </c>
      <c r="N11053" t="s">
        <v>26307</v>
      </c>
      <c r="O11053" t="s">
        <v>26528</v>
      </c>
      <c r="P11053" t="s">
        <v>26563</v>
      </c>
      <c r="R11053" t="s">
        <v>26579</v>
      </c>
      <c r="S11053" t="s">
        <v>18959</v>
      </c>
      <c r="U11053" t="s">
        <v>26607</v>
      </c>
      <c r="V11053" t="s">
        <v>26610</v>
      </c>
      <c r="X11053">
        <v>1467</v>
      </c>
      <c r="Y11053" t="s">
        <v>26650</v>
      </c>
      <c r="Z11053" t="s">
        <v>26661</v>
      </c>
      <c r="AB11053" t="s">
        <v>34263</v>
      </c>
      <c r="AD11053" t="s">
        <v>45264</v>
      </c>
      <c r="AE11053">
        <v>2659</v>
      </c>
      <c r="AF11053" t="s">
        <v>45548</v>
      </c>
      <c r="AH11053">
        <v>54</v>
      </c>
      <c r="AI11053">
        <v>1</v>
      </c>
      <c r="AJ11053">
        <v>0</v>
      </c>
      <c r="AK11053">
        <v>136.43</v>
      </c>
      <c r="AN11053" t="s">
        <v>7439</v>
      </c>
      <c r="AO11053">
        <v>17040</v>
      </c>
      <c r="AU11053">
        <v>1.3</v>
      </c>
      <c r="AV11053" t="s">
        <v>720</v>
      </c>
      <c r="AW11053" t="s">
        <v>70</v>
      </c>
      <c r="AX11053" t="s">
        <v>46897</v>
      </c>
    </row>
    <row r="11054" spans="1:50">
      <c r="A11054" s="1">
        <f>HYPERLINK("https://lsnyc.legalserver.org/matter/dynamic-profile/view/1901961","19-1901961")</f>
        <v>0</v>
      </c>
      <c r="B11054" t="s">
        <v>70</v>
      </c>
      <c r="C11054" t="s">
        <v>340</v>
      </c>
      <c r="D11054" t="s">
        <v>842</v>
      </c>
      <c r="F11054" t="s">
        <v>1068</v>
      </c>
      <c r="G11054" t="s">
        <v>9521</v>
      </c>
      <c r="H11054" t="s">
        <v>17041</v>
      </c>
      <c r="J11054" t="s">
        <v>18892</v>
      </c>
      <c r="K11054">
        <v>10462</v>
      </c>
      <c r="L11054" t="s">
        <v>18958</v>
      </c>
      <c r="M11054" t="s">
        <v>18960</v>
      </c>
      <c r="N11054" t="s">
        <v>26308</v>
      </c>
      <c r="O11054" t="s">
        <v>26524</v>
      </c>
      <c r="P11054" t="s">
        <v>26560</v>
      </c>
      <c r="R11054" t="s">
        <v>26579</v>
      </c>
      <c r="S11054" t="s">
        <v>18959</v>
      </c>
      <c r="U11054" t="s">
        <v>26604</v>
      </c>
      <c r="V11054" t="s">
        <v>26613</v>
      </c>
      <c r="X11054">
        <v>1467</v>
      </c>
      <c r="Y11054" t="s">
        <v>26650</v>
      </c>
      <c r="Z11054" t="s">
        <v>26668</v>
      </c>
      <c r="AB11054" t="s">
        <v>34263</v>
      </c>
      <c r="AD11054" t="s">
        <v>45264</v>
      </c>
      <c r="AE11054">
        <v>2659</v>
      </c>
      <c r="AF11054" t="s">
        <v>45548</v>
      </c>
      <c r="AG11054" t="s">
        <v>45559</v>
      </c>
      <c r="AH11054">
        <v>54</v>
      </c>
      <c r="AI11054">
        <v>1</v>
      </c>
      <c r="AJ11054">
        <v>0</v>
      </c>
      <c r="AK11054">
        <v>136.43</v>
      </c>
      <c r="AN11054" t="s">
        <v>7439</v>
      </c>
      <c r="AO11054">
        <v>17040</v>
      </c>
      <c r="AP11054" t="s">
        <v>46347</v>
      </c>
      <c r="AU11054">
        <v>14.8</v>
      </c>
      <c r="AV11054" t="s">
        <v>839</v>
      </c>
      <c r="AW11054" t="s">
        <v>70</v>
      </c>
    </row>
    <row r="11055" spans="1:50">
      <c r="A11055" s="1">
        <f>HYPERLINK("https://lsnyc.legalserver.org/matter/dynamic-profile/view/1901996","19-1901996")</f>
        <v>0</v>
      </c>
      <c r="B11055" t="s">
        <v>133</v>
      </c>
      <c r="C11055" t="s">
        <v>340</v>
      </c>
      <c r="D11055" t="s">
        <v>720</v>
      </c>
      <c r="F11055" t="s">
        <v>1145</v>
      </c>
      <c r="G11055" t="s">
        <v>9522</v>
      </c>
      <c r="H11055" t="s">
        <v>17042</v>
      </c>
      <c r="I11055" t="s">
        <v>17347</v>
      </c>
      <c r="J11055" t="s">
        <v>18892</v>
      </c>
      <c r="K11055">
        <v>10467</v>
      </c>
      <c r="L11055" t="s">
        <v>18958</v>
      </c>
      <c r="M11055" t="s">
        <v>18960</v>
      </c>
      <c r="N11055" t="s">
        <v>26309</v>
      </c>
      <c r="O11055" t="s">
        <v>26523</v>
      </c>
      <c r="R11055" t="s">
        <v>26579</v>
      </c>
      <c r="U11055" t="s">
        <v>26604</v>
      </c>
      <c r="X11055">
        <v>1354.91</v>
      </c>
      <c r="Y11055" t="s">
        <v>26650</v>
      </c>
      <c r="AB11055" t="s">
        <v>34264</v>
      </c>
      <c r="AD11055" t="s">
        <v>45265</v>
      </c>
      <c r="AE11055">
        <v>0</v>
      </c>
      <c r="AH11055">
        <v>5</v>
      </c>
      <c r="AI11055">
        <v>1</v>
      </c>
      <c r="AJ11055">
        <v>0</v>
      </c>
      <c r="AK11055">
        <v>115.29</v>
      </c>
      <c r="AO11055">
        <v>14400</v>
      </c>
      <c r="AU11055">
        <v>0</v>
      </c>
      <c r="AW11055" t="s">
        <v>335</v>
      </c>
      <c r="AX11055" t="s">
        <v>46897</v>
      </c>
    </row>
    <row r="11056" spans="1:50">
      <c r="A11056" s="1">
        <f>HYPERLINK("https://lsnyc.legalserver.org/matter/dynamic-profile/view/1902055","19-1902055")</f>
        <v>0</v>
      </c>
      <c r="B11056" t="s">
        <v>70</v>
      </c>
      <c r="C11056" t="s">
        <v>340</v>
      </c>
      <c r="D11056" t="s">
        <v>720</v>
      </c>
      <c r="F11056" t="s">
        <v>1235</v>
      </c>
      <c r="G11056" t="s">
        <v>1339</v>
      </c>
      <c r="H11056" t="s">
        <v>10142</v>
      </c>
      <c r="I11056" t="s">
        <v>17471</v>
      </c>
      <c r="J11056" t="s">
        <v>18892</v>
      </c>
      <c r="K11056">
        <v>10472</v>
      </c>
      <c r="L11056" t="s">
        <v>18958</v>
      </c>
      <c r="M11056" t="s">
        <v>18960</v>
      </c>
      <c r="O11056" t="s">
        <v>26526</v>
      </c>
      <c r="P11056" t="s">
        <v>26560</v>
      </c>
      <c r="R11056" t="s">
        <v>26577</v>
      </c>
      <c r="S11056" t="s">
        <v>18959</v>
      </c>
      <c r="U11056" t="s">
        <v>26605</v>
      </c>
      <c r="V11056" t="s">
        <v>26610</v>
      </c>
      <c r="X11056">
        <v>1000</v>
      </c>
      <c r="Y11056" t="s">
        <v>26650</v>
      </c>
      <c r="Z11056" t="s">
        <v>26655</v>
      </c>
      <c r="AB11056" t="s">
        <v>27235</v>
      </c>
      <c r="AD11056" t="s">
        <v>37309</v>
      </c>
      <c r="AE11056">
        <v>0</v>
      </c>
      <c r="AF11056" t="s">
        <v>45549</v>
      </c>
      <c r="AG11056" t="s">
        <v>19330</v>
      </c>
      <c r="AH11056">
        <v>40</v>
      </c>
      <c r="AI11056">
        <v>1</v>
      </c>
      <c r="AJ11056">
        <v>0</v>
      </c>
      <c r="AK11056">
        <v>324.74</v>
      </c>
      <c r="AN11056" t="s">
        <v>7439</v>
      </c>
      <c r="AO11056">
        <v>40560</v>
      </c>
      <c r="AU11056">
        <v>0</v>
      </c>
      <c r="AW11056" t="s">
        <v>70</v>
      </c>
      <c r="AX11056" t="s">
        <v>46897</v>
      </c>
    </row>
    <row r="11057" spans="1:50">
      <c r="A11057" s="1">
        <f>HYPERLINK("https://lsnyc.legalserver.org/matter/dynamic-profile/view/1902019","19-1902019")</f>
        <v>0</v>
      </c>
      <c r="B11057" t="s">
        <v>97</v>
      </c>
      <c r="C11057" t="s">
        <v>340</v>
      </c>
      <c r="D11057" t="s">
        <v>720</v>
      </c>
      <c r="F11057" t="s">
        <v>4693</v>
      </c>
      <c r="G11057" t="s">
        <v>6877</v>
      </c>
      <c r="H11057" t="s">
        <v>13622</v>
      </c>
      <c r="I11057" t="s">
        <v>17293</v>
      </c>
      <c r="J11057" t="s">
        <v>18892</v>
      </c>
      <c r="K11057">
        <v>10468</v>
      </c>
      <c r="L11057" t="s">
        <v>18958</v>
      </c>
      <c r="M11057" t="s">
        <v>18960</v>
      </c>
      <c r="N11057" t="s">
        <v>26310</v>
      </c>
      <c r="O11057" t="s">
        <v>26524</v>
      </c>
      <c r="R11057" t="s">
        <v>26579</v>
      </c>
      <c r="S11057" t="s">
        <v>18959</v>
      </c>
      <c r="U11057" t="s">
        <v>26604</v>
      </c>
      <c r="X11057">
        <v>0</v>
      </c>
      <c r="Y11057" t="s">
        <v>26650</v>
      </c>
      <c r="AB11057" t="s">
        <v>34265</v>
      </c>
      <c r="AC11057" t="s">
        <v>36778</v>
      </c>
      <c r="AD11057" t="s">
        <v>45266</v>
      </c>
      <c r="AE11057">
        <v>0</v>
      </c>
      <c r="AH11057">
        <v>0</v>
      </c>
      <c r="AI11057">
        <v>1</v>
      </c>
      <c r="AJ11057">
        <v>0</v>
      </c>
      <c r="AK11057">
        <v>76.86</v>
      </c>
      <c r="AN11057" t="s">
        <v>7439</v>
      </c>
      <c r="AO11057">
        <v>9600</v>
      </c>
      <c r="AU11057">
        <v>0.25</v>
      </c>
      <c r="AV11057" t="s">
        <v>826</v>
      </c>
      <c r="AW11057" t="s">
        <v>335</v>
      </c>
      <c r="AX11057" t="s">
        <v>46898</v>
      </c>
    </row>
    <row r="11058" spans="1:50">
      <c r="A11058" s="1">
        <f>HYPERLINK("https://lsnyc.legalserver.org/matter/dynamic-profile/view/1902101","19-1902101")</f>
        <v>0</v>
      </c>
      <c r="B11058" t="s">
        <v>134</v>
      </c>
      <c r="C11058" t="s">
        <v>340</v>
      </c>
      <c r="D11058" t="s">
        <v>720</v>
      </c>
      <c r="F11058" t="s">
        <v>4974</v>
      </c>
      <c r="G11058" t="s">
        <v>9523</v>
      </c>
      <c r="H11058" t="s">
        <v>10439</v>
      </c>
      <c r="I11058" t="s">
        <v>17496</v>
      </c>
      <c r="J11058" t="s">
        <v>18894</v>
      </c>
      <c r="K11058">
        <v>11216</v>
      </c>
      <c r="L11058" t="s">
        <v>18958</v>
      </c>
      <c r="M11058" t="s">
        <v>18960</v>
      </c>
      <c r="N11058" t="s">
        <v>24360</v>
      </c>
      <c r="O11058" t="s">
        <v>26528</v>
      </c>
      <c r="P11058" t="s">
        <v>26560</v>
      </c>
      <c r="R11058" t="s">
        <v>26578</v>
      </c>
      <c r="S11058" t="s">
        <v>18958</v>
      </c>
      <c r="U11058" t="s">
        <v>26604</v>
      </c>
      <c r="V11058" t="s">
        <v>26610</v>
      </c>
      <c r="X11058">
        <v>0</v>
      </c>
      <c r="Y11058" t="s">
        <v>26652</v>
      </c>
      <c r="Z11058" t="s">
        <v>26667</v>
      </c>
      <c r="AB11058" t="s">
        <v>32960</v>
      </c>
      <c r="AC11058" t="s">
        <v>19330</v>
      </c>
      <c r="AD11058" t="s">
        <v>45267</v>
      </c>
      <c r="AE11058">
        <v>82</v>
      </c>
      <c r="AF11058" t="s">
        <v>45541</v>
      </c>
      <c r="AG11058" t="s">
        <v>19330</v>
      </c>
      <c r="AH11058">
        <v>0</v>
      </c>
      <c r="AI11058">
        <v>1</v>
      </c>
      <c r="AJ11058">
        <v>0</v>
      </c>
      <c r="AK11058">
        <v>426.31</v>
      </c>
      <c r="AN11058" t="s">
        <v>7439</v>
      </c>
      <c r="AO11058">
        <v>53246.66</v>
      </c>
      <c r="AP11058" t="s">
        <v>46348</v>
      </c>
      <c r="AU11058">
        <v>0</v>
      </c>
      <c r="AW11058" t="s">
        <v>279</v>
      </c>
      <c r="AX11058" t="s">
        <v>46897</v>
      </c>
    </row>
    <row r="11059" spans="1:50">
      <c r="A11059" s="1">
        <f>HYPERLINK("https://lsnyc.legalserver.org/matter/dynamic-profile/view/1902106","19-1902106")</f>
        <v>0</v>
      </c>
      <c r="B11059" t="s">
        <v>134</v>
      </c>
      <c r="C11059" t="s">
        <v>340</v>
      </c>
      <c r="D11059" t="s">
        <v>720</v>
      </c>
      <c r="F11059" t="s">
        <v>4975</v>
      </c>
      <c r="G11059" t="s">
        <v>9524</v>
      </c>
      <c r="H11059" t="s">
        <v>10439</v>
      </c>
      <c r="I11059" t="s">
        <v>17389</v>
      </c>
      <c r="J11059" t="s">
        <v>18894</v>
      </c>
      <c r="K11059">
        <v>11216</v>
      </c>
      <c r="L11059" t="s">
        <v>18958</v>
      </c>
      <c r="M11059" t="s">
        <v>18960</v>
      </c>
      <c r="N11059" t="s">
        <v>24360</v>
      </c>
      <c r="O11059" t="s">
        <v>26528</v>
      </c>
      <c r="P11059" t="s">
        <v>26560</v>
      </c>
      <c r="R11059" t="s">
        <v>26578</v>
      </c>
      <c r="S11059" t="s">
        <v>18958</v>
      </c>
      <c r="U11059" t="s">
        <v>26604</v>
      </c>
      <c r="V11059" t="s">
        <v>26610</v>
      </c>
      <c r="X11059">
        <v>0</v>
      </c>
      <c r="Y11059" t="s">
        <v>26652</v>
      </c>
      <c r="Z11059" t="s">
        <v>26667</v>
      </c>
      <c r="AB11059" t="s">
        <v>34266</v>
      </c>
      <c r="AC11059" t="s">
        <v>19045</v>
      </c>
      <c r="AD11059" t="s">
        <v>45268</v>
      </c>
      <c r="AE11059">
        <v>82</v>
      </c>
      <c r="AF11059" t="s">
        <v>45541</v>
      </c>
      <c r="AG11059" t="s">
        <v>19330</v>
      </c>
      <c r="AH11059">
        <v>0</v>
      </c>
      <c r="AI11059">
        <v>1</v>
      </c>
      <c r="AJ11059">
        <v>0</v>
      </c>
      <c r="AK11059">
        <v>730.1799999999999</v>
      </c>
      <c r="AN11059" t="s">
        <v>45590</v>
      </c>
      <c r="AO11059">
        <v>91200</v>
      </c>
      <c r="AP11059" t="s">
        <v>46348</v>
      </c>
      <c r="AU11059">
        <v>0</v>
      </c>
      <c r="AW11059" t="s">
        <v>279</v>
      </c>
      <c r="AX11059" t="s">
        <v>46897</v>
      </c>
    </row>
    <row r="11060" spans="1:50">
      <c r="A11060" s="1">
        <f>HYPERLINK("https://lsnyc.legalserver.org/matter/dynamic-profile/view/1902067","19-1902067")</f>
        <v>0</v>
      </c>
      <c r="B11060" t="s">
        <v>190</v>
      </c>
      <c r="C11060" t="s">
        <v>340</v>
      </c>
      <c r="D11060" t="s">
        <v>720</v>
      </c>
      <c r="F11060" t="s">
        <v>1028</v>
      </c>
      <c r="G11060" t="s">
        <v>7908</v>
      </c>
      <c r="H11060" t="s">
        <v>14056</v>
      </c>
      <c r="I11060" t="s">
        <v>17456</v>
      </c>
      <c r="J11060" t="s">
        <v>18894</v>
      </c>
      <c r="K11060">
        <v>11225</v>
      </c>
      <c r="L11060" t="s">
        <v>18958</v>
      </c>
      <c r="M11060" t="s">
        <v>18960</v>
      </c>
      <c r="N11060" t="s">
        <v>23435</v>
      </c>
      <c r="O11060" t="s">
        <v>26539</v>
      </c>
      <c r="P11060" t="s">
        <v>26562</v>
      </c>
      <c r="R11060" t="s">
        <v>26591</v>
      </c>
      <c r="S11060" t="s">
        <v>18959</v>
      </c>
      <c r="U11060" t="s">
        <v>26607</v>
      </c>
      <c r="X11060">
        <v>1008.26</v>
      </c>
      <c r="Y11060" t="s">
        <v>26652</v>
      </c>
      <c r="Z11060" t="s">
        <v>26659</v>
      </c>
      <c r="AB11060" t="s">
        <v>31473</v>
      </c>
      <c r="AD11060" t="s">
        <v>41693</v>
      </c>
      <c r="AE11060">
        <v>40</v>
      </c>
      <c r="AH11060">
        <v>30</v>
      </c>
      <c r="AI11060">
        <v>1</v>
      </c>
      <c r="AJ11060">
        <v>0</v>
      </c>
      <c r="AK11060">
        <v>88.68000000000001</v>
      </c>
      <c r="AN11060" t="s">
        <v>7439</v>
      </c>
      <c r="AO11060">
        <v>11076</v>
      </c>
      <c r="AU11060">
        <v>1.6</v>
      </c>
      <c r="AV11060" t="s">
        <v>831</v>
      </c>
      <c r="AW11060" t="s">
        <v>46862</v>
      </c>
    </row>
    <row r="11061" spans="1:50">
      <c r="A11061" s="1">
        <f>HYPERLINK("https://lsnyc.legalserver.org/matter/dynamic-profile/view/1899502","19-1899502")</f>
        <v>0</v>
      </c>
      <c r="B11061" t="s">
        <v>104</v>
      </c>
      <c r="C11061" t="s">
        <v>340</v>
      </c>
      <c r="D11061" t="s">
        <v>720</v>
      </c>
      <c r="F11061" t="s">
        <v>887</v>
      </c>
      <c r="G11061" t="s">
        <v>5087</v>
      </c>
      <c r="H11061" t="s">
        <v>17043</v>
      </c>
      <c r="I11061" t="s">
        <v>17306</v>
      </c>
      <c r="J11061" t="s">
        <v>18902</v>
      </c>
      <c r="K11061">
        <v>10305</v>
      </c>
      <c r="L11061" t="s">
        <v>18958</v>
      </c>
      <c r="M11061" t="s">
        <v>18960</v>
      </c>
      <c r="N11061" t="s">
        <v>26311</v>
      </c>
      <c r="O11061" t="s">
        <v>26523</v>
      </c>
      <c r="R11061" t="s">
        <v>26587</v>
      </c>
      <c r="S11061" t="s">
        <v>18959</v>
      </c>
      <c r="U11061" t="s">
        <v>26605</v>
      </c>
      <c r="V11061" t="s">
        <v>26610</v>
      </c>
      <c r="X11061">
        <v>256</v>
      </c>
      <c r="Y11061" t="s">
        <v>26654</v>
      </c>
      <c r="Z11061" t="s">
        <v>26667</v>
      </c>
      <c r="AB11061" t="s">
        <v>29045</v>
      </c>
      <c r="AD11061" t="s">
        <v>45269</v>
      </c>
      <c r="AE11061">
        <v>0</v>
      </c>
      <c r="AF11061" t="s">
        <v>45543</v>
      </c>
      <c r="AG11061" t="s">
        <v>19330</v>
      </c>
      <c r="AH11061">
        <v>26</v>
      </c>
      <c r="AI11061">
        <v>1</v>
      </c>
      <c r="AJ11061">
        <v>0</v>
      </c>
      <c r="AK11061">
        <v>74.08</v>
      </c>
      <c r="AN11061" t="s">
        <v>7439</v>
      </c>
      <c r="AO11061">
        <v>9252</v>
      </c>
      <c r="AU11061">
        <v>2.25</v>
      </c>
      <c r="AV11061" t="s">
        <v>826</v>
      </c>
      <c r="AW11061" t="s">
        <v>46883</v>
      </c>
      <c r="AX11061" t="s">
        <v>46897</v>
      </c>
    </row>
    <row r="11062" spans="1:50">
      <c r="A11062" s="1">
        <f>HYPERLINK("https://lsnyc.legalserver.org/matter/dynamic-profile/view/1898898","19-1898898")</f>
        <v>0</v>
      </c>
      <c r="B11062" t="s">
        <v>114</v>
      </c>
      <c r="C11062" t="s">
        <v>340</v>
      </c>
      <c r="D11062" t="s">
        <v>720</v>
      </c>
      <c r="F11062" t="s">
        <v>4976</v>
      </c>
      <c r="G11062" t="s">
        <v>9525</v>
      </c>
      <c r="H11062" t="s">
        <v>17044</v>
      </c>
      <c r="I11062" t="s">
        <v>17331</v>
      </c>
      <c r="J11062" t="s">
        <v>18899</v>
      </c>
      <c r="K11062">
        <v>11385</v>
      </c>
      <c r="L11062" t="s">
        <v>18959</v>
      </c>
      <c r="M11062" t="s">
        <v>18959</v>
      </c>
      <c r="N11062" t="s">
        <v>26312</v>
      </c>
      <c r="O11062" t="s">
        <v>26524</v>
      </c>
      <c r="P11062" t="s">
        <v>26560</v>
      </c>
      <c r="R11062" t="s">
        <v>26585</v>
      </c>
      <c r="S11062" t="s">
        <v>18959</v>
      </c>
      <c r="U11062" t="s">
        <v>26604</v>
      </c>
      <c r="V11062" t="s">
        <v>26610</v>
      </c>
      <c r="X11062">
        <v>944.8200000000001</v>
      </c>
      <c r="Y11062" t="s">
        <v>26653</v>
      </c>
      <c r="Z11062" t="s">
        <v>26666</v>
      </c>
      <c r="AB11062" t="s">
        <v>34267</v>
      </c>
      <c r="AD11062" t="s">
        <v>45270</v>
      </c>
      <c r="AE11062">
        <v>6</v>
      </c>
      <c r="AF11062" t="s">
        <v>45541</v>
      </c>
      <c r="AH11062">
        <v>11</v>
      </c>
      <c r="AI11062">
        <v>1</v>
      </c>
      <c r="AJ11062">
        <v>0</v>
      </c>
      <c r="AK11062">
        <v>166.53</v>
      </c>
      <c r="AN11062" t="s">
        <v>45616</v>
      </c>
      <c r="AO11062">
        <v>20800</v>
      </c>
      <c r="AU11062">
        <v>8</v>
      </c>
      <c r="AV11062" t="s">
        <v>833</v>
      </c>
      <c r="AW11062" t="s">
        <v>114</v>
      </c>
    </row>
    <row r="11063" spans="1:50">
      <c r="A11063" s="1">
        <f>HYPERLINK("https://lsnyc.legalserver.org/matter/dynamic-profile/view/1902023","19-1902023")</f>
        <v>0</v>
      </c>
      <c r="B11063" t="s">
        <v>188</v>
      </c>
      <c r="C11063" t="s">
        <v>340</v>
      </c>
      <c r="D11063" t="s">
        <v>720</v>
      </c>
      <c r="F11063" t="s">
        <v>4977</v>
      </c>
      <c r="G11063" t="s">
        <v>5285</v>
      </c>
      <c r="H11063" t="s">
        <v>12634</v>
      </c>
      <c r="I11063" t="s">
        <v>17282</v>
      </c>
      <c r="J11063" t="s">
        <v>18892</v>
      </c>
      <c r="K11063">
        <v>10452</v>
      </c>
      <c r="L11063" t="s">
        <v>18958</v>
      </c>
      <c r="M11063" t="s">
        <v>18960</v>
      </c>
      <c r="O11063" t="s">
        <v>26529</v>
      </c>
      <c r="P11063" t="s">
        <v>26563</v>
      </c>
      <c r="R11063" t="s">
        <v>26578</v>
      </c>
      <c r="S11063" t="s">
        <v>18958</v>
      </c>
      <c r="U11063" t="s">
        <v>26604</v>
      </c>
      <c r="X11063">
        <v>1700</v>
      </c>
      <c r="Y11063" t="s">
        <v>26650</v>
      </c>
      <c r="Z11063" t="s">
        <v>26663</v>
      </c>
      <c r="AB11063" t="s">
        <v>30680</v>
      </c>
      <c r="AC11063" t="s">
        <v>36779</v>
      </c>
      <c r="AE11063">
        <v>52</v>
      </c>
      <c r="AF11063" t="s">
        <v>45541</v>
      </c>
      <c r="AG11063" t="s">
        <v>45558</v>
      </c>
      <c r="AH11063">
        <v>6</v>
      </c>
      <c r="AI11063">
        <v>1</v>
      </c>
      <c r="AJ11063">
        <v>2</v>
      </c>
      <c r="AK11063">
        <v>15.6</v>
      </c>
      <c r="AN11063" t="s">
        <v>7439</v>
      </c>
      <c r="AO11063">
        <v>3328</v>
      </c>
      <c r="AU11063">
        <v>1.2</v>
      </c>
      <c r="AV11063" t="s">
        <v>720</v>
      </c>
      <c r="AW11063" t="s">
        <v>226</v>
      </c>
      <c r="AX11063" t="s">
        <v>46897</v>
      </c>
    </row>
    <row r="11064" spans="1:50">
      <c r="A11064" s="1">
        <f>HYPERLINK("https://lsnyc.legalserver.org/matter/dynamic-profile/view/1902069","19-1902069")</f>
        <v>0</v>
      </c>
      <c r="B11064" t="s">
        <v>188</v>
      </c>
      <c r="C11064" t="s">
        <v>340</v>
      </c>
      <c r="D11064" t="s">
        <v>720</v>
      </c>
      <c r="F11064" t="s">
        <v>4978</v>
      </c>
      <c r="G11064" t="s">
        <v>8738</v>
      </c>
      <c r="H11064" t="s">
        <v>12634</v>
      </c>
      <c r="I11064" t="s">
        <v>17496</v>
      </c>
      <c r="J11064" t="s">
        <v>18892</v>
      </c>
      <c r="K11064">
        <v>10452</v>
      </c>
      <c r="L11064" t="s">
        <v>18958</v>
      </c>
      <c r="M11064" t="s">
        <v>18960</v>
      </c>
      <c r="O11064" t="s">
        <v>26529</v>
      </c>
      <c r="P11064" t="s">
        <v>26563</v>
      </c>
      <c r="R11064" t="s">
        <v>26578</v>
      </c>
      <c r="S11064" t="s">
        <v>18958</v>
      </c>
      <c r="U11064" t="s">
        <v>26604</v>
      </c>
      <c r="X11064">
        <v>928.47</v>
      </c>
      <c r="Y11064" t="s">
        <v>26650</v>
      </c>
      <c r="Z11064" t="s">
        <v>26663</v>
      </c>
      <c r="AB11064" t="s">
        <v>34268</v>
      </c>
      <c r="AD11064" t="s">
        <v>45271</v>
      </c>
      <c r="AE11064">
        <v>52</v>
      </c>
      <c r="AF11064" t="s">
        <v>45541</v>
      </c>
      <c r="AG11064" t="s">
        <v>19330</v>
      </c>
      <c r="AH11064">
        <v>27</v>
      </c>
      <c r="AI11064">
        <v>3</v>
      </c>
      <c r="AJ11064">
        <v>2</v>
      </c>
      <c r="AK11064">
        <v>153.98</v>
      </c>
      <c r="AN11064" t="s">
        <v>7439</v>
      </c>
      <c r="AO11064">
        <v>46456</v>
      </c>
      <c r="AU11064">
        <v>1.2</v>
      </c>
      <c r="AV11064" t="s">
        <v>720</v>
      </c>
      <c r="AW11064" t="s">
        <v>226</v>
      </c>
      <c r="AX11064" t="s">
        <v>46897</v>
      </c>
    </row>
    <row r="11065" spans="1:50">
      <c r="A11065" s="1">
        <f>HYPERLINK("https://lsnyc.legalserver.org/matter/dynamic-profile/view/1902114","19-1902114")</f>
        <v>0</v>
      </c>
      <c r="B11065" t="s">
        <v>188</v>
      </c>
      <c r="C11065" t="s">
        <v>340</v>
      </c>
      <c r="D11065" t="s">
        <v>720</v>
      </c>
      <c r="F11065" t="s">
        <v>968</v>
      </c>
      <c r="G11065" t="s">
        <v>9526</v>
      </c>
      <c r="H11065" t="s">
        <v>11122</v>
      </c>
      <c r="I11065" t="s">
        <v>17306</v>
      </c>
      <c r="J11065" t="s">
        <v>18892</v>
      </c>
      <c r="K11065">
        <v>10452</v>
      </c>
      <c r="L11065" t="s">
        <v>18958</v>
      </c>
      <c r="M11065" t="s">
        <v>18960</v>
      </c>
      <c r="O11065" t="s">
        <v>26529</v>
      </c>
      <c r="P11065" t="s">
        <v>26563</v>
      </c>
      <c r="R11065" t="s">
        <v>26578</v>
      </c>
      <c r="S11065" t="s">
        <v>18958</v>
      </c>
      <c r="U11065" t="s">
        <v>26604</v>
      </c>
      <c r="V11065" t="s">
        <v>26610</v>
      </c>
      <c r="X11065">
        <v>1370</v>
      </c>
      <c r="Y11065" t="s">
        <v>26650</v>
      </c>
      <c r="Z11065" t="s">
        <v>26663</v>
      </c>
      <c r="AB11065" t="s">
        <v>34269</v>
      </c>
      <c r="AD11065" t="s">
        <v>45272</v>
      </c>
      <c r="AE11065">
        <v>52</v>
      </c>
      <c r="AF11065" t="s">
        <v>45541</v>
      </c>
      <c r="AG11065" t="s">
        <v>19330</v>
      </c>
      <c r="AH11065">
        <v>15</v>
      </c>
      <c r="AI11065">
        <v>2</v>
      </c>
      <c r="AJ11065">
        <v>0</v>
      </c>
      <c r="AK11065">
        <v>413.96</v>
      </c>
      <c r="AN11065" t="s">
        <v>7439</v>
      </c>
      <c r="AO11065">
        <v>70000</v>
      </c>
      <c r="AU11065">
        <v>1.2</v>
      </c>
      <c r="AV11065" t="s">
        <v>720</v>
      </c>
      <c r="AW11065" t="s">
        <v>226</v>
      </c>
      <c r="AX11065" t="s">
        <v>46897</v>
      </c>
    </row>
    <row r="11066" spans="1:50">
      <c r="A11066" s="1">
        <f>HYPERLINK("https://lsnyc.legalserver.org/matter/dynamic-profile/view/1902015","19-1902015")</f>
        <v>0</v>
      </c>
      <c r="B11066" t="s">
        <v>188</v>
      </c>
      <c r="C11066" t="s">
        <v>340</v>
      </c>
      <c r="D11066" t="s">
        <v>720</v>
      </c>
      <c r="F11066" t="s">
        <v>4979</v>
      </c>
      <c r="G11066" t="s">
        <v>5221</v>
      </c>
      <c r="H11066" t="s">
        <v>12634</v>
      </c>
      <c r="I11066" t="s">
        <v>17389</v>
      </c>
      <c r="J11066" t="s">
        <v>18892</v>
      </c>
      <c r="K11066">
        <v>10452</v>
      </c>
      <c r="L11066" t="s">
        <v>18958</v>
      </c>
      <c r="M11066" t="s">
        <v>18960</v>
      </c>
      <c r="O11066" t="s">
        <v>26529</v>
      </c>
      <c r="P11066" t="s">
        <v>26563</v>
      </c>
      <c r="R11066" t="s">
        <v>26578</v>
      </c>
      <c r="S11066" t="s">
        <v>18958</v>
      </c>
      <c r="U11066" t="s">
        <v>26604</v>
      </c>
      <c r="X11066">
        <v>1277.74</v>
      </c>
      <c r="Y11066" t="s">
        <v>26650</v>
      </c>
      <c r="Z11066" t="s">
        <v>26663</v>
      </c>
      <c r="AB11066" t="s">
        <v>29904</v>
      </c>
      <c r="AD11066" t="s">
        <v>45273</v>
      </c>
      <c r="AE11066">
        <v>52</v>
      </c>
      <c r="AF11066" t="s">
        <v>45541</v>
      </c>
      <c r="AG11066" t="s">
        <v>19330</v>
      </c>
      <c r="AH11066">
        <v>20</v>
      </c>
      <c r="AI11066">
        <v>2</v>
      </c>
      <c r="AJ11066">
        <v>0</v>
      </c>
      <c r="AK11066">
        <v>425.78</v>
      </c>
      <c r="AN11066" t="s">
        <v>7439</v>
      </c>
      <c r="AO11066">
        <v>72000</v>
      </c>
      <c r="AU11066">
        <v>18.6</v>
      </c>
      <c r="AV11066" t="s">
        <v>836</v>
      </c>
      <c r="AW11066" t="s">
        <v>226</v>
      </c>
      <c r="AX11066" t="s">
        <v>46897</v>
      </c>
    </row>
    <row r="11067" spans="1:50">
      <c r="A11067" s="1">
        <f>HYPERLINK("https://lsnyc.legalserver.org/matter/dynamic-profile/view/1902043","19-1902043")</f>
        <v>0</v>
      </c>
      <c r="B11067" t="s">
        <v>188</v>
      </c>
      <c r="C11067" t="s">
        <v>340</v>
      </c>
      <c r="D11067" t="s">
        <v>720</v>
      </c>
      <c r="F11067" t="s">
        <v>953</v>
      </c>
      <c r="G11067" t="s">
        <v>9527</v>
      </c>
      <c r="H11067" t="s">
        <v>12634</v>
      </c>
      <c r="I11067" t="s">
        <v>17352</v>
      </c>
      <c r="J11067" t="s">
        <v>18892</v>
      </c>
      <c r="K11067">
        <v>10452</v>
      </c>
      <c r="L11067" t="s">
        <v>18958</v>
      </c>
      <c r="M11067" t="s">
        <v>18960</v>
      </c>
      <c r="O11067" t="s">
        <v>26529</v>
      </c>
      <c r="P11067" t="s">
        <v>26563</v>
      </c>
      <c r="R11067" t="s">
        <v>26578</v>
      </c>
      <c r="S11067" t="s">
        <v>18958</v>
      </c>
      <c r="U11067" t="s">
        <v>26604</v>
      </c>
      <c r="X11067">
        <v>1156.92</v>
      </c>
      <c r="Y11067" t="s">
        <v>26650</v>
      </c>
      <c r="Z11067" t="s">
        <v>26663</v>
      </c>
      <c r="AB11067" t="s">
        <v>28634</v>
      </c>
      <c r="AD11067" t="s">
        <v>45274</v>
      </c>
      <c r="AE11067">
        <v>52</v>
      </c>
      <c r="AF11067" t="s">
        <v>45541</v>
      </c>
      <c r="AG11067" t="s">
        <v>19330</v>
      </c>
      <c r="AH11067">
        <v>16</v>
      </c>
      <c r="AI11067">
        <v>2</v>
      </c>
      <c r="AJ11067">
        <v>0</v>
      </c>
      <c r="AK11067">
        <v>603.1900000000001</v>
      </c>
      <c r="AN11067" t="s">
        <v>7439</v>
      </c>
      <c r="AO11067">
        <v>102000</v>
      </c>
      <c r="AU11067">
        <v>1.2</v>
      </c>
      <c r="AV11067" t="s">
        <v>720</v>
      </c>
      <c r="AW11067" t="s">
        <v>226</v>
      </c>
      <c r="AX11067" t="s">
        <v>46897</v>
      </c>
    </row>
    <row r="11068" spans="1:50">
      <c r="A11068" s="1">
        <f>HYPERLINK("https://lsnyc.legalserver.org/matter/dynamic-profile/view/1902058","19-1902058")</f>
        <v>0</v>
      </c>
      <c r="B11068" t="s">
        <v>87</v>
      </c>
      <c r="C11068" t="s">
        <v>340</v>
      </c>
      <c r="D11068" t="s">
        <v>720</v>
      </c>
      <c r="F11068" t="s">
        <v>948</v>
      </c>
      <c r="G11068" t="s">
        <v>9528</v>
      </c>
      <c r="H11068" t="s">
        <v>14745</v>
      </c>
      <c r="I11068" t="s">
        <v>18853</v>
      </c>
      <c r="J11068" t="s">
        <v>18892</v>
      </c>
      <c r="K11068">
        <v>10468</v>
      </c>
      <c r="L11068" t="s">
        <v>18958</v>
      </c>
      <c r="M11068" t="s">
        <v>18960</v>
      </c>
      <c r="N11068" t="s">
        <v>26313</v>
      </c>
      <c r="O11068" t="s">
        <v>26523</v>
      </c>
      <c r="R11068" t="s">
        <v>26579</v>
      </c>
      <c r="S11068" t="s">
        <v>18959</v>
      </c>
      <c r="U11068" t="s">
        <v>26604</v>
      </c>
      <c r="X11068">
        <v>1518</v>
      </c>
      <c r="Y11068" t="s">
        <v>26650</v>
      </c>
      <c r="AB11068" t="s">
        <v>34270</v>
      </c>
      <c r="AE11068">
        <v>0</v>
      </c>
      <c r="AG11068" t="s">
        <v>45556</v>
      </c>
      <c r="AH11068">
        <v>14</v>
      </c>
      <c r="AI11068">
        <v>1</v>
      </c>
      <c r="AJ11068">
        <v>0</v>
      </c>
      <c r="AK11068">
        <v>73.02</v>
      </c>
      <c r="AN11068" t="s">
        <v>7439</v>
      </c>
      <c r="AO11068">
        <v>9120</v>
      </c>
      <c r="AU11068">
        <v>0</v>
      </c>
      <c r="AW11068" t="s">
        <v>335</v>
      </c>
      <c r="AX11068" t="s">
        <v>46897</v>
      </c>
    </row>
    <row r="11069" spans="1:50">
      <c r="A11069" s="1">
        <f>HYPERLINK("https://lsnyc.legalserver.org/matter/dynamic-profile/view/1902047","19-1902047")</f>
        <v>0</v>
      </c>
      <c r="B11069" t="s">
        <v>279</v>
      </c>
      <c r="C11069" t="s">
        <v>340</v>
      </c>
      <c r="D11069" t="s">
        <v>720</v>
      </c>
      <c r="F11069" t="s">
        <v>3758</v>
      </c>
      <c r="G11069" t="s">
        <v>5363</v>
      </c>
      <c r="H11069" t="s">
        <v>17045</v>
      </c>
      <c r="I11069" t="s">
        <v>17388</v>
      </c>
      <c r="J11069" t="s">
        <v>18894</v>
      </c>
      <c r="K11069">
        <v>11233</v>
      </c>
      <c r="L11069" t="s">
        <v>18959</v>
      </c>
      <c r="M11069" t="s">
        <v>18960</v>
      </c>
      <c r="O11069" t="s">
        <v>18997</v>
      </c>
      <c r="R11069" t="s">
        <v>26578</v>
      </c>
      <c r="S11069" t="s">
        <v>18959</v>
      </c>
      <c r="U11069" t="s">
        <v>26604</v>
      </c>
      <c r="V11069" t="s">
        <v>26610</v>
      </c>
      <c r="X11069">
        <v>1135</v>
      </c>
      <c r="Y11069" t="s">
        <v>26652</v>
      </c>
      <c r="Z11069" t="s">
        <v>26530</v>
      </c>
      <c r="AB11069" t="s">
        <v>30159</v>
      </c>
      <c r="AC11069" t="s">
        <v>34805</v>
      </c>
      <c r="AD11069" t="s">
        <v>45275</v>
      </c>
      <c r="AE11069">
        <v>70</v>
      </c>
      <c r="AF11069" t="s">
        <v>45548</v>
      </c>
      <c r="AG11069" t="s">
        <v>19330</v>
      </c>
      <c r="AH11069">
        <v>14</v>
      </c>
      <c r="AI11069">
        <v>1</v>
      </c>
      <c r="AJ11069">
        <v>1</v>
      </c>
      <c r="AK11069">
        <v>133.91</v>
      </c>
      <c r="AN11069" t="s">
        <v>7439</v>
      </c>
      <c r="AO11069">
        <v>22644</v>
      </c>
      <c r="AU11069">
        <v>0.5</v>
      </c>
      <c r="AV11069" t="s">
        <v>720</v>
      </c>
      <c r="AW11069" t="s">
        <v>46841</v>
      </c>
      <c r="AX11069" t="s">
        <v>19330</v>
      </c>
    </row>
    <row r="11070" spans="1:50">
      <c r="A11070" s="1">
        <f>HYPERLINK("https://lsnyc.legalserver.org/matter/dynamic-profile/view/1902075","19-1902075")</f>
        <v>0</v>
      </c>
      <c r="B11070" t="s">
        <v>63</v>
      </c>
      <c r="C11070" t="s">
        <v>340</v>
      </c>
      <c r="D11070" t="s">
        <v>720</v>
      </c>
      <c r="F11070" t="s">
        <v>879</v>
      </c>
      <c r="G11070" t="s">
        <v>8916</v>
      </c>
      <c r="H11070" t="s">
        <v>17046</v>
      </c>
      <c r="I11070" t="s">
        <v>17268</v>
      </c>
      <c r="J11070" t="s">
        <v>18892</v>
      </c>
      <c r="K11070">
        <v>10460</v>
      </c>
      <c r="L11070" t="s">
        <v>18960</v>
      </c>
      <c r="M11070" t="s">
        <v>18960</v>
      </c>
      <c r="O11070" t="s">
        <v>18997</v>
      </c>
      <c r="R11070" t="s">
        <v>26591</v>
      </c>
      <c r="U11070" t="s">
        <v>26604</v>
      </c>
      <c r="X11070">
        <v>1600</v>
      </c>
      <c r="Y11070" t="s">
        <v>26650</v>
      </c>
      <c r="Z11070" t="s">
        <v>26530</v>
      </c>
      <c r="AB11070" t="s">
        <v>34271</v>
      </c>
      <c r="AD11070" t="s">
        <v>45276</v>
      </c>
      <c r="AE11070">
        <v>56</v>
      </c>
      <c r="AF11070" t="s">
        <v>20460</v>
      </c>
      <c r="AG11070" t="s">
        <v>45563</v>
      </c>
      <c r="AH11070">
        <v>2</v>
      </c>
      <c r="AI11070">
        <v>1</v>
      </c>
      <c r="AJ11070">
        <v>0</v>
      </c>
      <c r="AK11070">
        <v>124.9</v>
      </c>
      <c r="AN11070" t="s">
        <v>7439</v>
      </c>
      <c r="AO11070">
        <v>15600</v>
      </c>
      <c r="AU11070">
        <v>0.6</v>
      </c>
      <c r="AV11070" t="s">
        <v>720</v>
      </c>
      <c r="AW11070" t="s">
        <v>46841</v>
      </c>
    </row>
    <row r="11071" spans="1:50">
      <c r="A11071" s="1">
        <f>HYPERLINK("https://lsnyc.legalserver.org/matter/dynamic-profile/view/1901971","19-1901971")</f>
        <v>0</v>
      </c>
      <c r="B11071" t="s">
        <v>275</v>
      </c>
      <c r="C11071" t="s">
        <v>340</v>
      </c>
      <c r="D11071" t="s">
        <v>720</v>
      </c>
      <c r="F11071" t="s">
        <v>1244</v>
      </c>
      <c r="G11071" t="s">
        <v>9529</v>
      </c>
      <c r="H11071" t="s">
        <v>10172</v>
      </c>
      <c r="I11071" t="s">
        <v>17390</v>
      </c>
      <c r="J11071" t="s">
        <v>18892</v>
      </c>
      <c r="K11071">
        <v>10467</v>
      </c>
      <c r="L11071" t="s">
        <v>18960</v>
      </c>
      <c r="M11071" t="s">
        <v>18960</v>
      </c>
      <c r="N11071" t="s">
        <v>26314</v>
      </c>
      <c r="O11071" t="s">
        <v>26523</v>
      </c>
      <c r="R11071" t="s">
        <v>26579</v>
      </c>
      <c r="S11071" t="s">
        <v>18959</v>
      </c>
      <c r="U11071" t="s">
        <v>26604</v>
      </c>
      <c r="X11071">
        <v>1285</v>
      </c>
      <c r="Y11071" t="s">
        <v>26650</v>
      </c>
      <c r="Z11071" t="s">
        <v>26668</v>
      </c>
      <c r="AB11071" t="s">
        <v>30395</v>
      </c>
      <c r="AE11071">
        <v>0</v>
      </c>
      <c r="AG11071" t="s">
        <v>19330</v>
      </c>
      <c r="AH11071">
        <v>3</v>
      </c>
      <c r="AI11071">
        <v>1</v>
      </c>
      <c r="AJ11071">
        <v>4</v>
      </c>
      <c r="AK11071">
        <v>23.86</v>
      </c>
      <c r="AN11071" t="s">
        <v>45581</v>
      </c>
      <c r="AO11071">
        <v>7200</v>
      </c>
      <c r="AU11071">
        <v>3.5</v>
      </c>
      <c r="AV11071" t="s">
        <v>720</v>
      </c>
      <c r="AW11071" t="s">
        <v>329</v>
      </c>
    </row>
    <row r="11072" spans="1:50">
      <c r="A11072" s="1">
        <f>HYPERLINK("https://lsnyc.legalserver.org/matter/dynamic-profile/view/1902432","19-1902432")</f>
        <v>0</v>
      </c>
      <c r="B11072" t="s">
        <v>156</v>
      </c>
      <c r="C11072" t="s">
        <v>340</v>
      </c>
      <c r="D11072" t="s">
        <v>772</v>
      </c>
      <c r="F11072" t="s">
        <v>1494</v>
      </c>
      <c r="G11072" t="s">
        <v>9530</v>
      </c>
      <c r="H11072" t="s">
        <v>17047</v>
      </c>
      <c r="I11072" t="s">
        <v>17440</v>
      </c>
      <c r="J11072" t="s">
        <v>18893</v>
      </c>
      <c r="K11072">
        <v>10040</v>
      </c>
      <c r="L11072" t="s">
        <v>18960</v>
      </c>
      <c r="M11072" t="s">
        <v>18960</v>
      </c>
      <c r="R11072" t="s">
        <v>26592</v>
      </c>
      <c r="U11072" t="s">
        <v>26604</v>
      </c>
      <c r="X11072">
        <v>0</v>
      </c>
      <c r="Y11072" t="s">
        <v>26651</v>
      </c>
      <c r="AB11072" t="s">
        <v>34272</v>
      </c>
      <c r="AD11072" t="s">
        <v>45277</v>
      </c>
      <c r="AE11072">
        <v>0</v>
      </c>
      <c r="AH11072">
        <v>0</v>
      </c>
      <c r="AI11072">
        <v>1</v>
      </c>
      <c r="AJ11072">
        <v>0</v>
      </c>
      <c r="AK11072">
        <v>0</v>
      </c>
      <c r="AO11072">
        <v>0</v>
      </c>
      <c r="AU11072">
        <v>6.25</v>
      </c>
      <c r="AV11072" t="s">
        <v>833</v>
      </c>
      <c r="AW11072" t="s">
        <v>317</v>
      </c>
    </row>
    <row r="11073" spans="1:50">
      <c r="A11073" s="1">
        <f>HYPERLINK("https://lsnyc.legalserver.org/matter/dynamic-profile/view/1902628","19-1902628")</f>
        <v>0</v>
      </c>
      <c r="B11073" t="s">
        <v>149</v>
      </c>
      <c r="C11073" t="s">
        <v>340</v>
      </c>
      <c r="D11073" t="s">
        <v>772</v>
      </c>
      <c r="F11073" t="s">
        <v>1764</v>
      </c>
      <c r="G11073" t="s">
        <v>5208</v>
      </c>
      <c r="H11073" t="s">
        <v>17048</v>
      </c>
      <c r="I11073" t="s">
        <v>17283</v>
      </c>
      <c r="J11073" t="s">
        <v>18892</v>
      </c>
      <c r="K11073">
        <v>10468</v>
      </c>
      <c r="L11073" t="s">
        <v>18958</v>
      </c>
      <c r="M11073" t="s">
        <v>18960</v>
      </c>
      <c r="N11073" t="s">
        <v>26315</v>
      </c>
      <c r="O11073" t="s">
        <v>26523</v>
      </c>
      <c r="P11073" t="s">
        <v>26560</v>
      </c>
      <c r="R11073" t="s">
        <v>26579</v>
      </c>
      <c r="S11073" t="s">
        <v>18959</v>
      </c>
      <c r="U11073" t="s">
        <v>26604</v>
      </c>
      <c r="X11073">
        <v>0</v>
      </c>
      <c r="Y11073" t="s">
        <v>26650</v>
      </c>
      <c r="AB11073" t="s">
        <v>27708</v>
      </c>
      <c r="AD11073" t="s">
        <v>45278</v>
      </c>
      <c r="AE11073">
        <v>0</v>
      </c>
      <c r="AH11073">
        <v>0</v>
      </c>
      <c r="AI11073">
        <v>2</v>
      </c>
      <c r="AJ11073">
        <v>0</v>
      </c>
      <c r="AK11073">
        <v>25.55</v>
      </c>
      <c r="AN11073" t="s">
        <v>45581</v>
      </c>
      <c r="AO11073">
        <v>4320</v>
      </c>
      <c r="AU11073">
        <v>0.2</v>
      </c>
      <c r="AV11073" t="s">
        <v>838</v>
      </c>
      <c r="AW11073" t="s">
        <v>336</v>
      </c>
      <c r="AX11073" t="s">
        <v>46897</v>
      </c>
    </row>
    <row r="11074" spans="1:50">
      <c r="A11074" s="1">
        <f>HYPERLINK("https://lsnyc.legalserver.org/matter/dynamic-profile/view/1902180","19-1902180")</f>
        <v>0</v>
      </c>
      <c r="B11074" t="s">
        <v>130</v>
      </c>
      <c r="C11074" t="s">
        <v>340</v>
      </c>
      <c r="D11074" t="s">
        <v>772</v>
      </c>
      <c r="F11074" t="s">
        <v>1191</v>
      </c>
      <c r="G11074" t="s">
        <v>989</v>
      </c>
      <c r="H11074" t="s">
        <v>17049</v>
      </c>
      <c r="J11074" t="s">
        <v>18901</v>
      </c>
      <c r="K11074">
        <v>11434</v>
      </c>
      <c r="L11074" t="s">
        <v>18958</v>
      </c>
      <c r="M11074" t="s">
        <v>18960</v>
      </c>
      <c r="N11074" t="s">
        <v>26316</v>
      </c>
      <c r="O11074" t="s">
        <v>26523</v>
      </c>
      <c r="P11074" t="s">
        <v>26563</v>
      </c>
      <c r="R11074" t="s">
        <v>26585</v>
      </c>
      <c r="S11074" t="s">
        <v>18959</v>
      </c>
      <c r="U11074" t="s">
        <v>26604</v>
      </c>
      <c r="V11074" t="s">
        <v>26610</v>
      </c>
      <c r="X11074">
        <v>1500</v>
      </c>
      <c r="Y11074" t="s">
        <v>26653</v>
      </c>
      <c r="Z11074" t="s">
        <v>26668</v>
      </c>
      <c r="AB11074" t="s">
        <v>31824</v>
      </c>
      <c r="AD11074" t="s">
        <v>45279</v>
      </c>
      <c r="AE11074">
        <v>2</v>
      </c>
      <c r="AF11074" t="s">
        <v>45547</v>
      </c>
      <c r="AG11074" t="s">
        <v>19330</v>
      </c>
      <c r="AH11074">
        <v>5</v>
      </c>
      <c r="AI11074">
        <v>1</v>
      </c>
      <c r="AJ11074">
        <v>0</v>
      </c>
      <c r="AK11074">
        <v>177.74</v>
      </c>
      <c r="AN11074" t="s">
        <v>7439</v>
      </c>
      <c r="AO11074">
        <v>22200</v>
      </c>
      <c r="AU11074">
        <v>1.8</v>
      </c>
      <c r="AV11074" t="s">
        <v>839</v>
      </c>
      <c r="AW11074" t="s">
        <v>46849</v>
      </c>
      <c r="AX11074" t="s">
        <v>46897</v>
      </c>
    </row>
    <row r="11075" spans="1:50">
      <c r="A11075" s="1">
        <f>HYPERLINK("https://lsnyc.legalserver.org/matter/dynamic-profile/view/1902207","19-1902207")</f>
        <v>0</v>
      </c>
      <c r="B11075" t="s">
        <v>211</v>
      </c>
      <c r="C11075" t="s">
        <v>340</v>
      </c>
      <c r="D11075" t="s">
        <v>772</v>
      </c>
      <c r="F11075" t="s">
        <v>2111</v>
      </c>
      <c r="G11075" t="s">
        <v>9531</v>
      </c>
      <c r="H11075" t="s">
        <v>17050</v>
      </c>
      <c r="I11075" t="s">
        <v>17334</v>
      </c>
      <c r="J11075" t="s">
        <v>18894</v>
      </c>
      <c r="K11075">
        <v>11207</v>
      </c>
      <c r="L11075" t="s">
        <v>18958</v>
      </c>
      <c r="M11075" t="s">
        <v>18960</v>
      </c>
      <c r="O11075" t="s">
        <v>26523</v>
      </c>
      <c r="P11075" t="s">
        <v>26560</v>
      </c>
      <c r="R11075" t="s">
        <v>26578</v>
      </c>
      <c r="S11075" t="s">
        <v>18959</v>
      </c>
      <c r="U11075" t="s">
        <v>26604</v>
      </c>
      <c r="V11075" t="s">
        <v>26610</v>
      </c>
      <c r="X11075">
        <v>1400</v>
      </c>
      <c r="Y11075" t="s">
        <v>26652</v>
      </c>
      <c r="Z11075" t="s">
        <v>26659</v>
      </c>
      <c r="AB11075" t="s">
        <v>34273</v>
      </c>
      <c r="AC11075" t="s">
        <v>34805</v>
      </c>
      <c r="AD11075" t="s">
        <v>45280</v>
      </c>
      <c r="AE11075">
        <v>6</v>
      </c>
      <c r="AF11075" t="s">
        <v>45541</v>
      </c>
      <c r="AG11075" t="s">
        <v>19330</v>
      </c>
      <c r="AH11075">
        <v>10</v>
      </c>
      <c r="AI11075">
        <v>2</v>
      </c>
      <c r="AJ11075">
        <v>0</v>
      </c>
      <c r="AK11075">
        <v>118.37</v>
      </c>
      <c r="AN11075" t="s">
        <v>45581</v>
      </c>
      <c r="AO11075">
        <v>20016</v>
      </c>
      <c r="AU11075">
        <v>6.5</v>
      </c>
      <c r="AV11075" t="s">
        <v>833</v>
      </c>
      <c r="AW11075" t="s">
        <v>279</v>
      </c>
      <c r="AX11075" t="s">
        <v>46897</v>
      </c>
    </row>
    <row r="11076" spans="1:50">
      <c r="A11076" s="1">
        <f>HYPERLINK("https://lsnyc.legalserver.org/matter/dynamic-profile/view/1902193","19-1902193")</f>
        <v>0</v>
      </c>
      <c r="B11076" t="s">
        <v>174</v>
      </c>
      <c r="C11076" t="s">
        <v>340</v>
      </c>
      <c r="D11076" t="s">
        <v>772</v>
      </c>
      <c r="F11076" t="s">
        <v>4549</v>
      </c>
      <c r="G11076" t="s">
        <v>1279</v>
      </c>
      <c r="H11076" t="s">
        <v>17051</v>
      </c>
      <c r="I11076">
        <v>2</v>
      </c>
      <c r="J11076" t="s">
        <v>18894</v>
      </c>
      <c r="K11076">
        <v>11207</v>
      </c>
      <c r="L11076" t="s">
        <v>18960</v>
      </c>
      <c r="M11076" t="s">
        <v>18960</v>
      </c>
      <c r="N11076" t="s">
        <v>26317</v>
      </c>
      <c r="O11076" t="s">
        <v>26524</v>
      </c>
      <c r="P11076" t="s">
        <v>26563</v>
      </c>
      <c r="R11076" t="s">
        <v>26578</v>
      </c>
      <c r="S11076" t="s">
        <v>18959</v>
      </c>
      <c r="U11076" t="s">
        <v>26604</v>
      </c>
      <c r="X11076">
        <v>0</v>
      </c>
      <c r="Y11076" t="s">
        <v>26652</v>
      </c>
      <c r="Z11076" t="s">
        <v>26530</v>
      </c>
      <c r="AB11076" t="s">
        <v>34274</v>
      </c>
      <c r="AD11076" t="s">
        <v>45281</v>
      </c>
      <c r="AE11076">
        <v>9</v>
      </c>
      <c r="AF11076" t="s">
        <v>45547</v>
      </c>
      <c r="AG11076" t="s">
        <v>45562</v>
      </c>
      <c r="AH11076">
        <v>3</v>
      </c>
      <c r="AI11076">
        <v>1</v>
      </c>
      <c r="AJ11076">
        <v>0</v>
      </c>
      <c r="AK11076">
        <v>75.52</v>
      </c>
      <c r="AN11076" t="s">
        <v>7439</v>
      </c>
      <c r="AO11076">
        <v>9432</v>
      </c>
      <c r="AU11076">
        <v>3.1</v>
      </c>
      <c r="AV11076" t="s">
        <v>821</v>
      </c>
      <c r="AW11076" t="s">
        <v>46849</v>
      </c>
    </row>
    <row r="11077" spans="1:50">
      <c r="A11077" s="1">
        <f>HYPERLINK("https://lsnyc.legalserver.org/matter/dynamic-profile/view/1902220","19-1902220")</f>
        <v>0</v>
      </c>
      <c r="B11077" t="s">
        <v>179</v>
      </c>
      <c r="C11077" t="s">
        <v>340</v>
      </c>
      <c r="D11077" t="s">
        <v>772</v>
      </c>
      <c r="F11077" t="s">
        <v>4980</v>
      </c>
      <c r="G11077" t="s">
        <v>5694</v>
      </c>
      <c r="H11077" t="s">
        <v>17052</v>
      </c>
      <c r="I11077" t="s">
        <v>17362</v>
      </c>
      <c r="J11077" t="s">
        <v>18894</v>
      </c>
      <c r="K11077">
        <v>11226</v>
      </c>
      <c r="L11077" t="s">
        <v>18960</v>
      </c>
      <c r="M11077" t="s">
        <v>18960</v>
      </c>
      <c r="P11077" t="s">
        <v>26565</v>
      </c>
      <c r="R11077" t="s">
        <v>26591</v>
      </c>
      <c r="U11077" t="s">
        <v>26604</v>
      </c>
      <c r="X11077">
        <v>0</v>
      </c>
      <c r="Y11077" t="s">
        <v>26652</v>
      </c>
      <c r="AB11077" t="s">
        <v>33287</v>
      </c>
      <c r="AE11077">
        <v>0</v>
      </c>
      <c r="AH11077">
        <v>0</v>
      </c>
      <c r="AI11077">
        <v>2</v>
      </c>
      <c r="AJ11077">
        <v>1</v>
      </c>
      <c r="AK11077">
        <v>5.63</v>
      </c>
      <c r="AN11077" t="s">
        <v>7439</v>
      </c>
      <c r="AO11077">
        <v>1200</v>
      </c>
      <c r="AU11077">
        <v>3.8</v>
      </c>
      <c r="AV11077" t="s">
        <v>821</v>
      </c>
      <c r="AW11077" t="s">
        <v>46829</v>
      </c>
    </row>
    <row r="11078" spans="1:50">
      <c r="A11078" s="1">
        <f>HYPERLINK("https://lsnyc.legalserver.org/matter/dynamic-profile/view/1902140","19-1902140")</f>
        <v>0</v>
      </c>
      <c r="B11078" t="s">
        <v>74</v>
      </c>
      <c r="C11078" t="s">
        <v>340</v>
      </c>
      <c r="D11078" t="s">
        <v>772</v>
      </c>
      <c r="F11078" t="s">
        <v>4981</v>
      </c>
      <c r="G11078" t="s">
        <v>9532</v>
      </c>
      <c r="H11078" t="s">
        <v>17053</v>
      </c>
      <c r="I11078" t="s">
        <v>18854</v>
      </c>
      <c r="J11078" t="s">
        <v>18893</v>
      </c>
      <c r="K11078">
        <v>10065</v>
      </c>
      <c r="L11078" t="s">
        <v>18960</v>
      </c>
      <c r="M11078" t="s">
        <v>18960</v>
      </c>
      <c r="R11078" t="s">
        <v>26591</v>
      </c>
      <c r="U11078" t="s">
        <v>26604</v>
      </c>
      <c r="X11078">
        <v>0</v>
      </c>
      <c r="Y11078" t="s">
        <v>26651</v>
      </c>
      <c r="AB11078" t="s">
        <v>34275</v>
      </c>
      <c r="AD11078" t="s">
        <v>45282</v>
      </c>
      <c r="AE11078">
        <v>0</v>
      </c>
      <c r="AH11078">
        <v>6</v>
      </c>
      <c r="AI11078">
        <v>1</v>
      </c>
      <c r="AJ11078">
        <v>0</v>
      </c>
      <c r="AK11078">
        <v>0</v>
      </c>
      <c r="AN11078" t="s">
        <v>7439</v>
      </c>
      <c r="AO11078">
        <v>0</v>
      </c>
      <c r="AU11078">
        <v>0.6</v>
      </c>
      <c r="AV11078" t="s">
        <v>772</v>
      </c>
      <c r="AW11078" t="s">
        <v>46842</v>
      </c>
    </row>
    <row r="11079" spans="1:50">
      <c r="A11079" s="1">
        <f>HYPERLINK("https://lsnyc.legalserver.org/matter/dynamic-profile/view/1902168","19-1902168")</f>
        <v>0</v>
      </c>
      <c r="B11079" t="s">
        <v>141</v>
      </c>
      <c r="C11079" t="s">
        <v>340</v>
      </c>
      <c r="D11079" t="s">
        <v>772</v>
      </c>
      <c r="F11079" t="s">
        <v>939</v>
      </c>
      <c r="G11079" t="s">
        <v>1000</v>
      </c>
      <c r="H11079" t="s">
        <v>17054</v>
      </c>
      <c r="I11079" t="s">
        <v>17275</v>
      </c>
      <c r="J11079" t="s">
        <v>18900</v>
      </c>
      <c r="K11079">
        <v>11358</v>
      </c>
      <c r="L11079" t="s">
        <v>18958</v>
      </c>
      <c r="M11079" t="s">
        <v>18960</v>
      </c>
      <c r="N11079" t="s">
        <v>26318</v>
      </c>
      <c r="O11079" t="s">
        <v>26524</v>
      </c>
      <c r="P11079" t="s">
        <v>26560</v>
      </c>
      <c r="R11079" t="s">
        <v>26578</v>
      </c>
      <c r="S11079" t="s">
        <v>18959</v>
      </c>
      <c r="U11079" t="s">
        <v>26604</v>
      </c>
      <c r="V11079" t="s">
        <v>26610</v>
      </c>
      <c r="X11079">
        <v>1156</v>
      </c>
      <c r="Y11079" t="s">
        <v>26653</v>
      </c>
      <c r="Z11079" t="s">
        <v>26672</v>
      </c>
      <c r="AB11079" t="s">
        <v>27329</v>
      </c>
      <c r="AC11079" t="s">
        <v>19330</v>
      </c>
      <c r="AE11079">
        <v>20</v>
      </c>
      <c r="AF11079" t="s">
        <v>45541</v>
      </c>
      <c r="AG11079" t="s">
        <v>19330</v>
      </c>
      <c r="AH11079">
        <v>8</v>
      </c>
      <c r="AI11079">
        <v>1</v>
      </c>
      <c r="AJ11079">
        <v>0</v>
      </c>
      <c r="AK11079">
        <v>149.72</v>
      </c>
      <c r="AN11079" t="s">
        <v>7439</v>
      </c>
      <c r="AO11079">
        <v>18700</v>
      </c>
      <c r="AU11079">
        <v>8.699999999999999</v>
      </c>
      <c r="AV11079" t="s">
        <v>836</v>
      </c>
      <c r="AW11079" t="s">
        <v>46857</v>
      </c>
      <c r="AX11079" t="s">
        <v>46897</v>
      </c>
    </row>
    <row r="11080" spans="1:50">
      <c r="A11080" s="1">
        <f>HYPERLINK("https://lsnyc.legalserver.org/matter/dynamic-profile/view/1902160","19-1902160")</f>
        <v>0</v>
      </c>
      <c r="B11080" t="s">
        <v>200</v>
      </c>
      <c r="C11080" t="s">
        <v>340</v>
      </c>
      <c r="D11080" t="s">
        <v>772</v>
      </c>
      <c r="F11080" t="s">
        <v>2365</v>
      </c>
      <c r="G11080" t="s">
        <v>5199</v>
      </c>
      <c r="H11080" t="s">
        <v>17055</v>
      </c>
      <c r="I11080" t="s">
        <v>17451</v>
      </c>
      <c r="J11080" t="s">
        <v>18894</v>
      </c>
      <c r="K11080">
        <v>11212</v>
      </c>
      <c r="L11080" t="s">
        <v>18960</v>
      </c>
      <c r="M11080" t="s">
        <v>18960</v>
      </c>
      <c r="N11080" t="s">
        <v>26319</v>
      </c>
      <c r="O11080" t="s">
        <v>26524</v>
      </c>
      <c r="P11080" t="s">
        <v>26563</v>
      </c>
      <c r="R11080" t="s">
        <v>26578</v>
      </c>
      <c r="S11080" t="s">
        <v>18959</v>
      </c>
      <c r="U11080" t="s">
        <v>26604</v>
      </c>
      <c r="X11080">
        <v>0</v>
      </c>
      <c r="Y11080" t="s">
        <v>26652</v>
      </c>
      <c r="Z11080" t="s">
        <v>26530</v>
      </c>
      <c r="AB11080" t="s">
        <v>28587</v>
      </c>
      <c r="AD11080" t="s">
        <v>45283</v>
      </c>
      <c r="AE11080">
        <v>48</v>
      </c>
      <c r="AF11080" t="s">
        <v>45541</v>
      </c>
      <c r="AG11080" t="s">
        <v>19330</v>
      </c>
      <c r="AH11080">
        <v>3</v>
      </c>
      <c r="AI11080">
        <v>3</v>
      </c>
      <c r="AJ11080">
        <v>2</v>
      </c>
      <c r="AK11080">
        <v>31.82</v>
      </c>
      <c r="AN11080" t="s">
        <v>7439</v>
      </c>
      <c r="AO11080">
        <v>9600</v>
      </c>
      <c r="AU11080">
        <v>1.4</v>
      </c>
      <c r="AV11080" t="s">
        <v>821</v>
      </c>
      <c r="AW11080" t="s">
        <v>46887</v>
      </c>
    </row>
    <row r="11081" spans="1:50">
      <c r="A11081" s="1">
        <f>HYPERLINK("https://lsnyc.legalserver.org/matter/dynamic-profile/view/1902184","19-1902184")</f>
        <v>0</v>
      </c>
      <c r="B11081" t="s">
        <v>200</v>
      </c>
      <c r="C11081" t="s">
        <v>340</v>
      </c>
      <c r="D11081" t="s">
        <v>772</v>
      </c>
      <c r="F11081" t="s">
        <v>4982</v>
      </c>
      <c r="G11081" t="s">
        <v>7923</v>
      </c>
      <c r="H11081" t="s">
        <v>17056</v>
      </c>
      <c r="I11081">
        <v>2</v>
      </c>
      <c r="J11081" t="s">
        <v>18894</v>
      </c>
      <c r="K11081">
        <v>11207</v>
      </c>
      <c r="L11081" t="s">
        <v>18959</v>
      </c>
      <c r="M11081" t="s">
        <v>18960</v>
      </c>
      <c r="N11081" t="s">
        <v>26320</v>
      </c>
      <c r="O11081" t="s">
        <v>26526</v>
      </c>
      <c r="R11081" t="s">
        <v>26578</v>
      </c>
      <c r="S11081" t="s">
        <v>18959</v>
      </c>
      <c r="U11081" t="s">
        <v>26604</v>
      </c>
      <c r="V11081" t="s">
        <v>26610</v>
      </c>
      <c r="X11081">
        <v>2379</v>
      </c>
      <c r="Y11081" t="s">
        <v>26652</v>
      </c>
      <c r="Z11081" t="s">
        <v>26661</v>
      </c>
      <c r="AB11081" t="s">
        <v>33197</v>
      </c>
      <c r="AC11081" t="s">
        <v>34805</v>
      </c>
      <c r="AD11081" t="s">
        <v>45284</v>
      </c>
      <c r="AE11081">
        <v>4</v>
      </c>
      <c r="AF11081" t="s">
        <v>45547</v>
      </c>
      <c r="AG11081" t="s">
        <v>45556</v>
      </c>
      <c r="AH11081">
        <v>0</v>
      </c>
      <c r="AI11081">
        <v>2</v>
      </c>
      <c r="AJ11081">
        <v>2</v>
      </c>
      <c r="AK11081">
        <v>143.69</v>
      </c>
      <c r="AN11081" t="s">
        <v>7439</v>
      </c>
      <c r="AO11081">
        <v>37000</v>
      </c>
      <c r="AU11081">
        <v>0.7</v>
      </c>
      <c r="AV11081" t="s">
        <v>832</v>
      </c>
      <c r="AW11081" t="s">
        <v>46842</v>
      </c>
      <c r="AX11081" t="s">
        <v>19330</v>
      </c>
    </row>
    <row r="11082" spans="1:50">
      <c r="A11082" s="1">
        <f>HYPERLINK("https://lsnyc.legalserver.org/matter/dynamic-profile/view/1902243","19-1902243")</f>
        <v>0</v>
      </c>
      <c r="B11082" t="s">
        <v>200</v>
      </c>
      <c r="C11082" t="s">
        <v>340</v>
      </c>
      <c r="D11082" t="s">
        <v>772</v>
      </c>
      <c r="F11082" t="s">
        <v>4983</v>
      </c>
      <c r="G11082" t="s">
        <v>2644</v>
      </c>
      <c r="H11082" t="s">
        <v>17057</v>
      </c>
      <c r="I11082" t="s">
        <v>18308</v>
      </c>
      <c r="J11082" t="s">
        <v>18894</v>
      </c>
      <c r="K11082">
        <v>11234</v>
      </c>
      <c r="L11082" t="s">
        <v>18958</v>
      </c>
      <c r="M11082" t="s">
        <v>18960</v>
      </c>
      <c r="N11082" t="s">
        <v>26321</v>
      </c>
      <c r="O11082" t="s">
        <v>26526</v>
      </c>
      <c r="P11082" t="s">
        <v>26564</v>
      </c>
      <c r="R11082" t="s">
        <v>26586</v>
      </c>
      <c r="U11082" t="s">
        <v>26607</v>
      </c>
      <c r="X11082">
        <v>0</v>
      </c>
      <c r="Y11082" t="s">
        <v>26652</v>
      </c>
      <c r="Z11082" t="s">
        <v>26664</v>
      </c>
      <c r="AB11082" t="s">
        <v>29434</v>
      </c>
      <c r="AD11082" t="s">
        <v>45285</v>
      </c>
      <c r="AE11082">
        <v>710</v>
      </c>
      <c r="AH11082">
        <v>0</v>
      </c>
      <c r="AI11082">
        <v>1</v>
      </c>
      <c r="AJ11082">
        <v>1</v>
      </c>
      <c r="AK11082">
        <v>162.67</v>
      </c>
      <c r="AN11082" t="s">
        <v>7439</v>
      </c>
      <c r="AO11082">
        <v>27508</v>
      </c>
      <c r="AU11082">
        <v>0.1</v>
      </c>
      <c r="AV11082" t="s">
        <v>832</v>
      </c>
      <c r="AW11082" t="s">
        <v>46853</v>
      </c>
      <c r="AX11082" t="s">
        <v>46897</v>
      </c>
    </row>
    <row r="11083" spans="1:50">
      <c r="A11083" s="1">
        <f>HYPERLINK("https://lsnyc.legalserver.org/matter/dynamic-profile/view/1902219","19-1902219")</f>
        <v>0</v>
      </c>
      <c r="B11083" t="s">
        <v>50</v>
      </c>
      <c r="C11083" t="s">
        <v>340</v>
      </c>
      <c r="D11083" t="s">
        <v>772</v>
      </c>
      <c r="F11083" t="s">
        <v>1548</v>
      </c>
      <c r="G11083" t="s">
        <v>2564</v>
      </c>
      <c r="H11083" t="s">
        <v>13152</v>
      </c>
      <c r="I11083" t="s">
        <v>17325</v>
      </c>
      <c r="J11083" t="s">
        <v>18892</v>
      </c>
      <c r="K11083">
        <v>10456</v>
      </c>
      <c r="L11083" t="s">
        <v>18958</v>
      </c>
      <c r="M11083" t="s">
        <v>18960</v>
      </c>
      <c r="O11083" t="s">
        <v>26534</v>
      </c>
      <c r="P11083" t="s">
        <v>26562</v>
      </c>
      <c r="R11083" t="s">
        <v>26578</v>
      </c>
      <c r="U11083" t="s">
        <v>26604</v>
      </c>
      <c r="X11083">
        <v>0</v>
      </c>
      <c r="Y11083" t="s">
        <v>26650</v>
      </c>
      <c r="Z11083" t="s">
        <v>26664</v>
      </c>
      <c r="AB11083" t="s">
        <v>30502</v>
      </c>
      <c r="AC11083" t="s">
        <v>35819</v>
      </c>
      <c r="AD11083" t="s">
        <v>40682</v>
      </c>
      <c r="AE11083">
        <v>48</v>
      </c>
      <c r="AF11083" t="s">
        <v>45541</v>
      </c>
      <c r="AG11083" t="s">
        <v>45560</v>
      </c>
      <c r="AH11083">
        <v>0</v>
      </c>
      <c r="AI11083">
        <v>2</v>
      </c>
      <c r="AJ11083">
        <v>0</v>
      </c>
      <c r="AK11083">
        <v>156.18</v>
      </c>
      <c r="AN11083" t="s">
        <v>7439</v>
      </c>
      <c r="AO11083">
        <v>26410</v>
      </c>
      <c r="AU11083">
        <v>0.5</v>
      </c>
      <c r="AV11083" t="s">
        <v>772</v>
      </c>
      <c r="AW11083" t="s">
        <v>46870</v>
      </c>
      <c r="AX11083" t="s">
        <v>46897</v>
      </c>
    </row>
    <row r="11084" spans="1:50">
      <c r="A11084" s="1">
        <f>HYPERLINK("https://lsnyc.legalserver.org/matter/dynamic-profile/view/1902175","19-1902175")</f>
        <v>0</v>
      </c>
      <c r="B11084" t="s">
        <v>252</v>
      </c>
      <c r="C11084" t="s">
        <v>340</v>
      </c>
      <c r="D11084" t="s">
        <v>772</v>
      </c>
      <c r="F11084" t="s">
        <v>1858</v>
      </c>
      <c r="G11084" t="s">
        <v>6472</v>
      </c>
      <c r="H11084" t="s">
        <v>17058</v>
      </c>
      <c r="I11084" t="s">
        <v>17582</v>
      </c>
      <c r="J11084" t="s">
        <v>18894</v>
      </c>
      <c r="K11084">
        <v>11234</v>
      </c>
      <c r="L11084" t="s">
        <v>18960</v>
      </c>
      <c r="M11084" t="s">
        <v>18960</v>
      </c>
      <c r="O11084" t="s">
        <v>26524</v>
      </c>
      <c r="R11084" t="s">
        <v>26591</v>
      </c>
      <c r="U11084" t="s">
        <v>26604</v>
      </c>
      <c r="X11084">
        <v>750</v>
      </c>
      <c r="Y11084" t="s">
        <v>26650</v>
      </c>
      <c r="Z11084" t="s">
        <v>26673</v>
      </c>
      <c r="AB11084" t="s">
        <v>34276</v>
      </c>
      <c r="AD11084" t="s">
        <v>45286</v>
      </c>
      <c r="AE11084">
        <v>1</v>
      </c>
      <c r="AG11084" t="s">
        <v>45556</v>
      </c>
      <c r="AH11084">
        <v>9</v>
      </c>
      <c r="AI11084">
        <v>1</v>
      </c>
      <c r="AJ11084">
        <v>0</v>
      </c>
      <c r="AK11084">
        <v>94.16</v>
      </c>
      <c r="AN11084" t="s">
        <v>7439</v>
      </c>
      <c r="AO11084">
        <v>11760</v>
      </c>
      <c r="AU11084">
        <v>0.6</v>
      </c>
      <c r="AV11084" t="s">
        <v>772</v>
      </c>
      <c r="AW11084" t="s">
        <v>46842</v>
      </c>
    </row>
    <row r="11085" spans="1:50">
      <c r="A11085" s="1">
        <f>HYPERLINK("https://lsnyc.legalserver.org/matter/dynamic-profile/view/1902224","19-1902224")</f>
        <v>0</v>
      </c>
      <c r="B11085" t="s">
        <v>112</v>
      </c>
      <c r="C11085" t="s">
        <v>340</v>
      </c>
      <c r="D11085" t="s">
        <v>772</v>
      </c>
      <c r="F11085" t="s">
        <v>1934</v>
      </c>
      <c r="G11085" t="s">
        <v>9533</v>
      </c>
      <c r="H11085" t="s">
        <v>17059</v>
      </c>
      <c r="I11085" t="s">
        <v>17374</v>
      </c>
      <c r="J11085" t="s">
        <v>18901</v>
      </c>
      <c r="K11085">
        <v>11434</v>
      </c>
      <c r="L11085" t="s">
        <v>18959</v>
      </c>
      <c r="M11085" t="s">
        <v>18960</v>
      </c>
      <c r="N11085" t="s">
        <v>26322</v>
      </c>
      <c r="O11085" t="s">
        <v>26524</v>
      </c>
      <c r="P11085" t="s">
        <v>26563</v>
      </c>
      <c r="R11085" t="s">
        <v>26585</v>
      </c>
      <c r="S11085" t="s">
        <v>18958</v>
      </c>
      <c r="U11085" t="s">
        <v>26604</v>
      </c>
      <c r="X11085">
        <v>0</v>
      </c>
      <c r="Y11085" t="s">
        <v>26653</v>
      </c>
      <c r="Z11085" t="s">
        <v>26668</v>
      </c>
      <c r="AB11085" t="s">
        <v>34277</v>
      </c>
      <c r="AC11085" t="s">
        <v>19330</v>
      </c>
      <c r="AD11085" t="s">
        <v>45287</v>
      </c>
      <c r="AE11085">
        <v>1</v>
      </c>
      <c r="AF11085" t="s">
        <v>20460</v>
      </c>
      <c r="AG11085" t="s">
        <v>19330</v>
      </c>
      <c r="AH11085">
        <v>48</v>
      </c>
      <c r="AI11085">
        <v>3</v>
      </c>
      <c r="AJ11085">
        <v>0</v>
      </c>
      <c r="AK11085">
        <v>0</v>
      </c>
      <c r="AN11085" t="s">
        <v>7439</v>
      </c>
      <c r="AO11085">
        <v>0</v>
      </c>
      <c r="AU11085">
        <v>1.33</v>
      </c>
      <c r="AV11085" t="s">
        <v>772</v>
      </c>
      <c r="AW11085" t="s">
        <v>46846</v>
      </c>
      <c r="AX11085" t="s">
        <v>46897</v>
      </c>
    </row>
    <row r="11086" spans="1:50">
      <c r="A11086" s="1">
        <f>HYPERLINK("https://lsnyc.legalserver.org/matter/dynamic-profile/view/1902145","19-1902145")</f>
        <v>0</v>
      </c>
      <c r="B11086" t="s">
        <v>51</v>
      </c>
      <c r="C11086" t="s">
        <v>340</v>
      </c>
      <c r="D11086" t="s">
        <v>772</v>
      </c>
      <c r="F11086" t="s">
        <v>4984</v>
      </c>
      <c r="G11086" t="s">
        <v>9534</v>
      </c>
      <c r="H11086" t="s">
        <v>17060</v>
      </c>
      <c r="I11086" t="s">
        <v>17356</v>
      </c>
      <c r="J11086" t="s">
        <v>18892</v>
      </c>
      <c r="K11086">
        <v>10453</v>
      </c>
      <c r="L11086" t="s">
        <v>18960</v>
      </c>
      <c r="M11086" t="s">
        <v>18960</v>
      </c>
      <c r="O11086" t="s">
        <v>26523</v>
      </c>
      <c r="R11086" t="s">
        <v>26577</v>
      </c>
      <c r="U11086" t="s">
        <v>26604</v>
      </c>
      <c r="X11086">
        <v>1665</v>
      </c>
      <c r="Y11086" t="s">
        <v>26650</v>
      </c>
      <c r="AB11086" t="s">
        <v>28317</v>
      </c>
      <c r="AD11086" t="s">
        <v>45288</v>
      </c>
      <c r="AE11086">
        <v>75</v>
      </c>
      <c r="AG11086" t="s">
        <v>45563</v>
      </c>
      <c r="AH11086">
        <v>1</v>
      </c>
      <c r="AI11086">
        <v>1</v>
      </c>
      <c r="AJ11086">
        <v>0</v>
      </c>
      <c r="AK11086">
        <v>68.20999999999999</v>
      </c>
      <c r="AN11086" t="s">
        <v>7439</v>
      </c>
      <c r="AO11086">
        <v>8520</v>
      </c>
      <c r="AU11086">
        <v>1.4</v>
      </c>
      <c r="AV11086" t="s">
        <v>836</v>
      </c>
      <c r="AW11086" t="s">
        <v>46857</v>
      </c>
    </row>
    <row r="11087" spans="1:50">
      <c r="A11087" s="1">
        <f>HYPERLINK("https://lsnyc.legalserver.org/matter/dynamic-profile/view/1902138","19-1902138")</f>
        <v>0</v>
      </c>
      <c r="B11087" t="s">
        <v>235</v>
      </c>
      <c r="C11087" t="s">
        <v>340</v>
      </c>
      <c r="D11087" t="s">
        <v>772</v>
      </c>
      <c r="F11087" t="s">
        <v>1021</v>
      </c>
      <c r="G11087" t="s">
        <v>7640</v>
      </c>
      <c r="H11087" t="s">
        <v>17061</v>
      </c>
      <c r="I11087" t="s">
        <v>17293</v>
      </c>
      <c r="J11087" t="s">
        <v>18901</v>
      </c>
      <c r="K11087">
        <v>11433</v>
      </c>
      <c r="L11087" t="s">
        <v>18958</v>
      </c>
      <c r="M11087" t="s">
        <v>18960</v>
      </c>
      <c r="N11087" t="s">
        <v>26323</v>
      </c>
      <c r="O11087" t="s">
        <v>26523</v>
      </c>
      <c r="R11087" t="s">
        <v>26585</v>
      </c>
      <c r="U11087" t="s">
        <v>26605</v>
      </c>
      <c r="X11087">
        <v>491</v>
      </c>
      <c r="Y11087" t="s">
        <v>26653</v>
      </c>
      <c r="AB11087" t="s">
        <v>34278</v>
      </c>
      <c r="AC11087" t="s">
        <v>19330</v>
      </c>
      <c r="AE11087">
        <v>0</v>
      </c>
      <c r="AF11087" t="s">
        <v>45549</v>
      </c>
      <c r="AG11087" t="s">
        <v>19330</v>
      </c>
      <c r="AH11087">
        <v>0</v>
      </c>
      <c r="AI11087">
        <v>2</v>
      </c>
      <c r="AJ11087">
        <v>2</v>
      </c>
      <c r="AK11087">
        <v>116.5</v>
      </c>
      <c r="AN11087" t="s">
        <v>7439</v>
      </c>
      <c r="AO11087">
        <v>30000</v>
      </c>
      <c r="AU11087">
        <v>6.2</v>
      </c>
      <c r="AV11087" t="s">
        <v>826</v>
      </c>
      <c r="AW11087" t="s">
        <v>46846</v>
      </c>
      <c r="AX11087" t="s">
        <v>46897</v>
      </c>
    </row>
    <row r="11088" spans="1:50">
      <c r="A11088" s="1">
        <f>HYPERLINK("https://lsnyc.legalserver.org/matter/dynamic-profile/view/1902136","19-1902136")</f>
        <v>0</v>
      </c>
      <c r="B11088" t="s">
        <v>63</v>
      </c>
      <c r="C11088" t="s">
        <v>340</v>
      </c>
      <c r="D11088" t="s">
        <v>772</v>
      </c>
      <c r="F11088" t="s">
        <v>4985</v>
      </c>
      <c r="G11088" t="s">
        <v>9535</v>
      </c>
      <c r="H11088" t="s">
        <v>17062</v>
      </c>
      <c r="I11088">
        <v>1</v>
      </c>
      <c r="J11088" t="s">
        <v>18892</v>
      </c>
      <c r="K11088">
        <v>10459</v>
      </c>
      <c r="L11088" t="s">
        <v>18958</v>
      </c>
      <c r="M11088" t="s">
        <v>18960</v>
      </c>
      <c r="O11088" t="s">
        <v>18997</v>
      </c>
      <c r="R11088" t="s">
        <v>26591</v>
      </c>
      <c r="S11088" t="s">
        <v>18959</v>
      </c>
      <c r="U11088" t="s">
        <v>26604</v>
      </c>
      <c r="X11088">
        <v>1200</v>
      </c>
      <c r="Y11088" t="s">
        <v>26650</v>
      </c>
      <c r="AB11088" t="s">
        <v>34279</v>
      </c>
      <c r="AE11088">
        <v>3</v>
      </c>
      <c r="AF11088" t="s">
        <v>20460</v>
      </c>
      <c r="AG11088" t="s">
        <v>19330</v>
      </c>
      <c r="AH11088">
        <v>11</v>
      </c>
      <c r="AI11088">
        <v>2</v>
      </c>
      <c r="AJ11088">
        <v>1</v>
      </c>
      <c r="AK11088">
        <v>60.95</v>
      </c>
      <c r="AN11088" t="s">
        <v>45581</v>
      </c>
      <c r="AO11088">
        <v>13000</v>
      </c>
      <c r="AU11088">
        <v>2.5</v>
      </c>
      <c r="AV11088" t="s">
        <v>821</v>
      </c>
      <c r="AW11088" t="s">
        <v>46829</v>
      </c>
      <c r="AX11088" t="s">
        <v>46897</v>
      </c>
    </row>
    <row r="11089" spans="1:50">
      <c r="A11089" s="1">
        <f>HYPERLINK("https://lsnyc.legalserver.org/matter/dynamic-profile/view/1902137","19-1902137")</f>
        <v>0</v>
      </c>
      <c r="B11089" t="s">
        <v>63</v>
      </c>
      <c r="C11089" t="s">
        <v>340</v>
      </c>
      <c r="D11089" t="s">
        <v>772</v>
      </c>
      <c r="F11089" t="s">
        <v>1045</v>
      </c>
      <c r="G11089" t="s">
        <v>5550</v>
      </c>
      <c r="H11089" t="s">
        <v>11813</v>
      </c>
      <c r="I11089" t="s">
        <v>17389</v>
      </c>
      <c r="J11089" t="s">
        <v>18892</v>
      </c>
      <c r="K11089">
        <v>10452</v>
      </c>
      <c r="L11089" t="s">
        <v>18960</v>
      </c>
      <c r="M11089" t="s">
        <v>18960</v>
      </c>
      <c r="R11089" t="s">
        <v>26591</v>
      </c>
      <c r="U11089" t="s">
        <v>26604</v>
      </c>
      <c r="X11089">
        <v>10024</v>
      </c>
      <c r="Y11089" t="s">
        <v>26650</v>
      </c>
      <c r="Z11089" t="s">
        <v>26659</v>
      </c>
      <c r="AB11089" t="s">
        <v>34280</v>
      </c>
      <c r="AD11089" t="s">
        <v>45289</v>
      </c>
      <c r="AE11089">
        <v>200</v>
      </c>
      <c r="AG11089" t="s">
        <v>26530</v>
      </c>
      <c r="AH11089">
        <v>6</v>
      </c>
      <c r="AI11089">
        <v>1</v>
      </c>
      <c r="AJ11089">
        <v>0</v>
      </c>
      <c r="AK11089">
        <v>69.18000000000001</v>
      </c>
      <c r="AN11089" t="s">
        <v>7439</v>
      </c>
      <c r="AO11089">
        <v>8640</v>
      </c>
      <c r="AU11089">
        <v>1</v>
      </c>
      <c r="AV11089" t="s">
        <v>772</v>
      </c>
      <c r="AW11089" t="s">
        <v>46858</v>
      </c>
    </row>
    <row r="11090" spans="1:50">
      <c r="A11090" s="1">
        <f>HYPERLINK("https://lsnyc.legalserver.org/matter/dynamic-profile/view/1902183","19-1902183")</f>
        <v>0</v>
      </c>
      <c r="B11090" t="s">
        <v>63</v>
      </c>
      <c r="C11090" t="s">
        <v>340</v>
      </c>
      <c r="D11090" t="s">
        <v>772</v>
      </c>
      <c r="F11090" t="s">
        <v>883</v>
      </c>
      <c r="G11090" t="s">
        <v>7549</v>
      </c>
      <c r="H11090" t="s">
        <v>17063</v>
      </c>
      <c r="I11090">
        <v>404</v>
      </c>
      <c r="J11090" t="s">
        <v>18892</v>
      </c>
      <c r="K11090">
        <v>10457</v>
      </c>
      <c r="L11090" t="s">
        <v>18960</v>
      </c>
      <c r="M11090" t="s">
        <v>18960</v>
      </c>
      <c r="O11090" t="s">
        <v>26523</v>
      </c>
      <c r="P11090" t="s">
        <v>26563</v>
      </c>
      <c r="R11090" t="s">
        <v>26591</v>
      </c>
      <c r="U11090" t="s">
        <v>26604</v>
      </c>
      <c r="X11090">
        <v>1275</v>
      </c>
      <c r="Y11090" t="s">
        <v>26650</v>
      </c>
      <c r="AB11090" t="s">
        <v>34281</v>
      </c>
      <c r="AD11090" t="s">
        <v>45290</v>
      </c>
      <c r="AE11090">
        <v>0</v>
      </c>
      <c r="AF11090" t="s">
        <v>45543</v>
      </c>
      <c r="AG11090" t="s">
        <v>45563</v>
      </c>
      <c r="AH11090">
        <v>8</v>
      </c>
      <c r="AI11090">
        <v>1</v>
      </c>
      <c r="AJ11090">
        <v>0</v>
      </c>
      <c r="AK11090">
        <v>74.56</v>
      </c>
      <c r="AN11090" t="s">
        <v>7439</v>
      </c>
      <c r="AO11090">
        <v>9312</v>
      </c>
      <c r="AU11090">
        <v>1</v>
      </c>
      <c r="AV11090" t="s">
        <v>772</v>
      </c>
      <c r="AW11090" t="s">
        <v>46859</v>
      </c>
    </row>
    <row r="11091" spans="1:50">
      <c r="A11091" s="1">
        <f>HYPERLINK("https://lsnyc.legalserver.org/matter/dynamic-profile/view/1902251","19-1902251")</f>
        <v>0</v>
      </c>
      <c r="B11091" t="s">
        <v>275</v>
      </c>
      <c r="C11091" t="s">
        <v>340</v>
      </c>
      <c r="D11091" t="s">
        <v>772</v>
      </c>
      <c r="F11091" t="s">
        <v>4986</v>
      </c>
      <c r="G11091" t="s">
        <v>9536</v>
      </c>
      <c r="H11091" t="s">
        <v>17064</v>
      </c>
      <c r="I11091" t="s">
        <v>17348</v>
      </c>
      <c r="J11091" t="s">
        <v>18892</v>
      </c>
      <c r="K11091">
        <v>10467</v>
      </c>
      <c r="L11091" t="s">
        <v>18958</v>
      </c>
      <c r="M11091" t="s">
        <v>18960</v>
      </c>
      <c r="N11091" t="s">
        <v>26324</v>
      </c>
      <c r="O11091" t="s">
        <v>26523</v>
      </c>
      <c r="P11091" t="s">
        <v>26560</v>
      </c>
      <c r="R11091" t="s">
        <v>26579</v>
      </c>
      <c r="S11091" t="s">
        <v>18959</v>
      </c>
      <c r="U11091" t="s">
        <v>26604</v>
      </c>
      <c r="V11091" t="s">
        <v>26610</v>
      </c>
      <c r="X11091">
        <v>2250</v>
      </c>
      <c r="Y11091" t="s">
        <v>26650</v>
      </c>
      <c r="Z11091" t="s">
        <v>26664</v>
      </c>
      <c r="AB11091" t="s">
        <v>34282</v>
      </c>
      <c r="AD11091" t="s">
        <v>45291</v>
      </c>
      <c r="AE11091">
        <v>0</v>
      </c>
      <c r="AF11091" t="s">
        <v>45541</v>
      </c>
      <c r="AG11091" t="s">
        <v>19330</v>
      </c>
      <c r="AH11091">
        <v>2</v>
      </c>
      <c r="AI11091">
        <v>1</v>
      </c>
      <c r="AJ11091">
        <v>0</v>
      </c>
      <c r="AK11091">
        <v>187.35</v>
      </c>
      <c r="AN11091" t="s">
        <v>7439</v>
      </c>
      <c r="AO11091">
        <v>23400</v>
      </c>
      <c r="AU11091">
        <v>6</v>
      </c>
      <c r="AV11091" t="s">
        <v>773</v>
      </c>
      <c r="AW11091" t="s">
        <v>336</v>
      </c>
      <c r="AX11091" t="s">
        <v>19330</v>
      </c>
    </row>
    <row r="11092" spans="1:50">
      <c r="A11092" s="1">
        <f>HYPERLINK("https://lsnyc.legalserver.org/matter/dynamic-profile/view/1902236","19-1902236")</f>
        <v>0</v>
      </c>
      <c r="B11092" t="s">
        <v>320</v>
      </c>
      <c r="C11092" t="s">
        <v>340</v>
      </c>
      <c r="D11092" t="s">
        <v>772</v>
      </c>
      <c r="F11092" t="s">
        <v>2018</v>
      </c>
      <c r="G11092" t="s">
        <v>8220</v>
      </c>
      <c r="H11092" t="s">
        <v>17065</v>
      </c>
      <c r="I11092" t="s">
        <v>17284</v>
      </c>
      <c r="J11092" t="s">
        <v>18894</v>
      </c>
      <c r="K11092">
        <v>11238</v>
      </c>
      <c r="L11092" t="s">
        <v>18960</v>
      </c>
      <c r="M11092" t="s">
        <v>18960</v>
      </c>
      <c r="N11092" t="s">
        <v>26325</v>
      </c>
      <c r="O11092" t="s">
        <v>26523</v>
      </c>
      <c r="R11092" t="s">
        <v>26591</v>
      </c>
      <c r="U11092" t="s">
        <v>26604</v>
      </c>
      <c r="X11092">
        <v>787</v>
      </c>
      <c r="Y11092" t="s">
        <v>26652</v>
      </c>
      <c r="Z11092" t="s">
        <v>26657</v>
      </c>
      <c r="AB11092" t="s">
        <v>34283</v>
      </c>
      <c r="AD11092" t="s">
        <v>45292</v>
      </c>
      <c r="AE11092">
        <v>20</v>
      </c>
      <c r="AG11092" t="s">
        <v>19330</v>
      </c>
      <c r="AH11092">
        <v>8</v>
      </c>
      <c r="AI11092">
        <v>1</v>
      </c>
      <c r="AJ11092">
        <v>0</v>
      </c>
      <c r="AK11092">
        <v>193.39</v>
      </c>
      <c r="AN11092" t="s">
        <v>7439</v>
      </c>
      <c r="AO11092">
        <v>24154</v>
      </c>
      <c r="AU11092">
        <v>2</v>
      </c>
      <c r="AV11092" t="s">
        <v>830</v>
      </c>
      <c r="AW11092" t="s">
        <v>46858</v>
      </c>
    </row>
    <row r="11093" spans="1:50">
      <c r="A11093" s="1">
        <f>HYPERLINK("https://lsnyc.legalserver.org/matter/dynamic-profile/view/1902313","19-1902313")</f>
        <v>0</v>
      </c>
      <c r="B11093" t="s">
        <v>136</v>
      </c>
      <c r="C11093" t="s">
        <v>340</v>
      </c>
      <c r="D11093" t="s">
        <v>826</v>
      </c>
      <c r="F11093" t="s">
        <v>1457</v>
      </c>
      <c r="G11093" t="s">
        <v>875</v>
      </c>
      <c r="H11093" t="s">
        <v>17066</v>
      </c>
      <c r="I11093" t="s">
        <v>17343</v>
      </c>
      <c r="J11093" t="s">
        <v>18892</v>
      </c>
      <c r="K11093">
        <v>10457</v>
      </c>
      <c r="L11093" t="s">
        <v>18960</v>
      </c>
      <c r="M11093" t="s">
        <v>18960</v>
      </c>
      <c r="N11093" t="s">
        <v>26326</v>
      </c>
      <c r="O11093" t="s">
        <v>26523</v>
      </c>
      <c r="P11093" t="s">
        <v>26560</v>
      </c>
      <c r="R11093" t="s">
        <v>26577</v>
      </c>
      <c r="U11093" t="s">
        <v>26604</v>
      </c>
      <c r="X11093">
        <v>1108.23</v>
      </c>
      <c r="Y11093" t="s">
        <v>26650</v>
      </c>
      <c r="AB11093" t="s">
        <v>33361</v>
      </c>
      <c r="AC11093" t="s">
        <v>36780</v>
      </c>
      <c r="AD11093" t="s">
        <v>45293</v>
      </c>
      <c r="AE11093">
        <v>0</v>
      </c>
      <c r="AH11093">
        <v>3</v>
      </c>
      <c r="AI11093">
        <v>2</v>
      </c>
      <c r="AJ11093">
        <v>0</v>
      </c>
      <c r="AK11093">
        <v>171.9</v>
      </c>
      <c r="AN11093" t="s">
        <v>7439</v>
      </c>
      <c r="AO11093">
        <v>29068</v>
      </c>
      <c r="AU11093">
        <v>2.5</v>
      </c>
      <c r="AV11093" t="s">
        <v>831</v>
      </c>
      <c r="AW11093" t="s">
        <v>46836</v>
      </c>
    </row>
    <row r="11094" spans="1:50">
      <c r="A11094" s="1">
        <f>HYPERLINK("https://lsnyc.legalserver.org/matter/dynamic-profile/view/1902290","19-1902290")</f>
        <v>0</v>
      </c>
      <c r="B11094" t="s">
        <v>105</v>
      </c>
      <c r="C11094" t="s">
        <v>340</v>
      </c>
      <c r="D11094" t="s">
        <v>826</v>
      </c>
      <c r="F11094" t="s">
        <v>1021</v>
      </c>
      <c r="G11094" t="s">
        <v>9537</v>
      </c>
      <c r="H11094" t="s">
        <v>17067</v>
      </c>
      <c r="I11094" t="s">
        <v>17273</v>
      </c>
      <c r="J11094" t="s">
        <v>18901</v>
      </c>
      <c r="K11094">
        <v>11433</v>
      </c>
      <c r="L11094" t="s">
        <v>18960</v>
      </c>
      <c r="M11094" t="s">
        <v>18960</v>
      </c>
      <c r="N11094" t="s">
        <v>26327</v>
      </c>
      <c r="O11094" t="s">
        <v>26523</v>
      </c>
      <c r="P11094" t="s">
        <v>26560</v>
      </c>
      <c r="R11094" t="s">
        <v>26585</v>
      </c>
      <c r="U11094" t="s">
        <v>26604</v>
      </c>
      <c r="X11094">
        <v>250</v>
      </c>
      <c r="Y11094" t="s">
        <v>26653</v>
      </c>
      <c r="AB11094" t="s">
        <v>34284</v>
      </c>
      <c r="AD11094" t="s">
        <v>45294</v>
      </c>
      <c r="AE11094">
        <v>56</v>
      </c>
      <c r="AF11094" t="s">
        <v>45549</v>
      </c>
      <c r="AH11094">
        <v>4</v>
      </c>
      <c r="AI11094">
        <v>1</v>
      </c>
      <c r="AJ11094">
        <v>0</v>
      </c>
      <c r="AK11094">
        <v>0</v>
      </c>
      <c r="AN11094" t="s">
        <v>7439</v>
      </c>
      <c r="AO11094">
        <v>0</v>
      </c>
      <c r="AU11094">
        <v>2</v>
      </c>
      <c r="AV11094" t="s">
        <v>826</v>
      </c>
      <c r="AW11094" t="s">
        <v>46857</v>
      </c>
    </row>
    <row r="11095" spans="1:50">
      <c r="A11095" s="1">
        <f>HYPERLINK("https://lsnyc.legalserver.org/matter/dynamic-profile/view/1902270","19-1902270")</f>
        <v>0</v>
      </c>
      <c r="B11095" t="s">
        <v>107</v>
      </c>
      <c r="C11095" t="s">
        <v>340</v>
      </c>
      <c r="D11095" t="s">
        <v>826</v>
      </c>
      <c r="F11095" t="s">
        <v>4987</v>
      </c>
      <c r="G11095" t="s">
        <v>9538</v>
      </c>
      <c r="H11095" t="s">
        <v>17068</v>
      </c>
      <c r="J11095" t="s">
        <v>18901</v>
      </c>
      <c r="K11095">
        <v>11434</v>
      </c>
      <c r="L11095" t="s">
        <v>18959</v>
      </c>
      <c r="M11095" t="s">
        <v>18960</v>
      </c>
      <c r="N11095" t="s">
        <v>26328</v>
      </c>
      <c r="O11095" t="s">
        <v>26524</v>
      </c>
      <c r="P11095" t="s">
        <v>26560</v>
      </c>
      <c r="R11095" t="s">
        <v>26585</v>
      </c>
      <c r="S11095" t="s">
        <v>18959</v>
      </c>
      <c r="U11095" t="s">
        <v>26604</v>
      </c>
      <c r="X11095">
        <v>0</v>
      </c>
      <c r="Y11095" t="s">
        <v>26653</v>
      </c>
      <c r="Z11095" t="s">
        <v>26668</v>
      </c>
      <c r="AB11095" t="s">
        <v>34285</v>
      </c>
      <c r="AC11095" t="s">
        <v>19330</v>
      </c>
      <c r="AD11095" t="s">
        <v>45295</v>
      </c>
      <c r="AE11095">
        <v>4</v>
      </c>
      <c r="AF11095" t="s">
        <v>45547</v>
      </c>
      <c r="AG11095" t="s">
        <v>19330</v>
      </c>
      <c r="AH11095">
        <v>3</v>
      </c>
      <c r="AI11095">
        <v>1</v>
      </c>
      <c r="AJ11095">
        <v>0</v>
      </c>
      <c r="AK11095">
        <v>115.29</v>
      </c>
      <c r="AN11095" t="s">
        <v>7439</v>
      </c>
      <c r="AO11095">
        <v>14400</v>
      </c>
      <c r="AU11095">
        <v>12.22</v>
      </c>
      <c r="AV11095" t="s">
        <v>839</v>
      </c>
      <c r="AW11095" t="s">
        <v>46846</v>
      </c>
      <c r="AX11095" t="s">
        <v>46897</v>
      </c>
    </row>
    <row r="11096" spans="1:50">
      <c r="A11096" s="1">
        <f>HYPERLINK("https://lsnyc.legalserver.org/matter/dynamic-profile/view/1902279","19-1902279")</f>
        <v>0</v>
      </c>
      <c r="B11096" t="s">
        <v>219</v>
      </c>
      <c r="C11096" t="s">
        <v>340</v>
      </c>
      <c r="D11096" t="s">
        <v>826</v>
      </c>
      <c r="F11096" t="s">
        <v>4988</v>
      </c>
      <c r="G11096" t="s">
        <v>9539</v>
      </c>
      <c r="H11096" t="s">
        <v>17069</v>
      </c>
      <c r="I11096" t="s">
        <v>17807</v>
      </c>
      <c r="J11096" t="s">
        <v>18894</v>
      </c>
      <c r="K11096">
        <v>11226</v>
      </c>
      <c r="L11096" t="s">
        <v>18960</v>
      </c>
      <c r="M11096" t="s">
        <v>18960</v>
      </c>
      <c r="R11096" t="s">
        <v>26583</v>
      </c>
      <c r="U11096" t="s">
        <v>26604</v>
      </c>
      <c r="X11096">
        <v>1462</v>
      </c>
      <c r="Y11096" t="s">
        <v>26652</v>
      </c>
      <c r="Z11096" t="s">
        <v>26661</v>
      </c>
      <c r="AB11096" t="s">
        <v>27398</v>
      </c>
      <c r="AD11096" t="s">
        <v>45296</v>
      </c>
      <c r="AE11096">
        <v>42</v>
      </c>
      <c r="AF11096" t="s">
        <v>45541</v>
      </c>
      <c r="AG11096" t="s">
        <v>19330</v>
      </c>
      <c r="AH11096">
        <v>4</v>
      </c>
      <c r="AI11096">
        <v>1</v>
      </c>
      <c r="AJ11096">
        <v>0</v>
      </c>
      <c r="AK11096">
        <v>364.29</v>
      </c>
      <c r="AN11096" t="s">
        <v>7439</v>
      </c>
      <c r="AO11096">
        <v>45500</v>
      </c>
      <c r="AU11096">
        <v>1</v>
      </c>
      <c r="AV11096" t="s">
        <v>826</v>
      </c>
      <c r="AW11096" t="s">
        <v>46858</v>
      </c>
    </row>
    <row r="11097" spans="1:50">
      <c r="A11097" s="1">
        <f>HYPERLINK("https://lsnyc.legalserver.org/matter/dynamic-profile/view/1902332","19-1902332")</f>
        <v>0</v>
      </c>
      <c r="B11097" t="s">
        <v>98</v>
      </c>
      <c r="C11097" t="s">
        <v>340</v>
      </c>
      <c r="D11097" t="s">
        <v>826</v>
      </c>
      <c r="F11097" t="s">
        <v>4989</v>
      </c>
      <c r="G11097" t="s">
        <v>5244</v>
      </c>
      <c r="H11097" t="s">
        <v>17070</v>
      </c>
      <c r="I11097" t="s">
        <v>18855</v>
      </c>
      <c r="J11097" t="s">
        <v>18892</v>
      </c>
      <c r="K11097">
        <v>10452</v>
      </c>
      <c r="L11097" t="s">
        <v>18958</v>
      </c>
      <c r="M11097" t="s">
        <v>18960</v>
      </c>
      <c r="O11097" t="s">
        <v>18997</v>
      </c>
      <c r="P11097" t="s">
        <v>26565</v>
      </c>
      <c r="R11097" t="s">
        <v>26578</v>
      </c>
      <c r="S11097" t="s">
        <v>18959</v>
      </c>
      <c r="U11097" t="s">
        <v>26604</v>
      </c>
      <c r="X11097">
        <v>121</v>
      </c>
      <c r="Y11097" t="s">
        <v>26650</v>
      </c>
      <c r="Z11097" t="s">
        <v>26663</v>
      </c>
      <c r="AB11097" t="s">
        <v>34286</v>
      </c>
      <c r="AE11097">
        <v>57</v>
      </c>
      <c r="AF11097" t="s">
        <v>45541</v>
      </c>
      <c r="AG11097" t="s">
        <v>45556</v>
      </c>
      <c r="AH11097">
        <v>30</v>
      </c>
      <c r="AI11097">
        <v>2</v>
      </c>
      <c r="AJ11097">
        <v>2</v>
      </c>
      <c r="AK11097">
        <v>35.23</v>
      </c>
      <c r="AN11097" t="s">
        <v>45581</v>
      </c>
      <c r="AO11097">
        <v>9072</v>
      </c>
      <c r="AU11097">
        <v>1</v>
      </c>
      <c r="AV11097" t="s">
        <v>826</v>
      </c>
      <c r="AW11097" t="s">
        <v>98</v>
      </c>
      <c r="AX11097" t="s">
        <v>46897</v>
      </c>
    </row>
    <row r="11098" spans="1:50">
      <c r="A11098" s="1">
        <f>HYPERLINK("https://lsnyc.legalserver.org/matter/dynamic-profile/view/1902317","19-1902317")</f>
        <v>0</v>
      </c>
      <c r="B11098" t="s">
        <v>98</v>
      </c>
      <c r="C11098" t="s">
        <v>340</v>
      </c>
      <c r="D11098" t="s">
        <v>826</v>
      </c>
      <c r="F11098" t="s">
        <v>4990</v>
      </c>
      <c r="G11098" t="s">
        <v>983</v>
      </c>
      <c r="H11098" t="s">
        <v>17071</v>
      </c>
      <c r="I11098" t="s">
        <v>18856</v>
      </c>
      <c r="J11098" t="s">
        <v>18892</v>
      </c>
      <c r="K11098">
        <v>10453</v>
      </c>
      <c r="L11098" t="s">
        <v>18958</v>
      </c>
      <c r="M11098" t="s">
        <v>18960</v>
      </c>
      <c r="O11098" t="s">
        <v>18997</v>
      </c>
      <c r="P11098" t="s">
        <v>26564</v>
      </c>
      <c r="R11098" t="s">
        <v>26578</v>
      </c>
      <c r="S11098" t="s">
        <v>18959</v>
      </c>
      <c r="U11098" t="s">
        <v>26604</v>
      </c>
      <c r="X11098">
        <v>942.33</v>
      </c>
      <c r="Y11098" t="s">
        <v>26650</v>
      </c>
      <c r="Z11098" t="s">
        <v>26663</v>
      </c>
      <c r="AB11098" t="s">
        <v>34287</v>
      </c>
      <c r="AD11098" t="s">
        <v>45297</v>
      </c>
      <c r="AE11098">
        <v>37</v>
      </c>
      <c r="AF11098" t="s">
        <v>45541</v>
      </c>
      <c r="AG11098" t="s">
        <v>19330</v>
      </c>
      <c r="AH11098">
        <v>4</v>
      </c>
      <c r="AI11098">
        <v>2</v>
      </c>
      <c r="AJ11098">
        <v>2</v>
      </c>
      <c r="AK11098">
        <v>46.6</v>
      </c>
      <c r="AN11098" t="s">
        <v>26530</v>
      </c>
      <c r="AO11098">
        <v>12000</v>
      </c>
      <c r="AU11098">
        <v>1</v>
      </c>
      <c r="AV11098" t="s">
        <v>826</v>
      </c>
      <c r="AW11098" t="s">
        <v>98</v>
      </c>
      <c r="AX11098" t="s">
        <v>46897</v>
      </c>
    </row>
    <row r="11099" spans="1:50">
      <c r="A11099" s="1">
        <f>HYPERLINK("https://lsnyc.legalserver.org/matter/dynamic-profile/view/1902310","19-1902310")</f>
        <v>0</v>
      </c>
      <c r="B11099" t="s">
        <v>98</v>
      </c>
      <c r="C11099" t="s">
        <v>340</v>
      </c>
      <c r="D11099" t="s">
        <v>826</v>
      </c>
      <c r="F11099" t="s">
        <v>1167</v>
      </c>
      <c r="G11099" t="s">
        <v>6469</v>
      </c>
      <c r="H11099" t="s">
        <v>17072</v>
      </c>
      <c r="I11099" t="s">
        <v>18857</v>
      </c>
      <c r="J11099" t="s">
        <v>18892</v>
      </c>
      <c r="K11099">
        <v>10452</v>
      </c>
      <c r="L11099" t="s">
        <v>18958</v>
      </c>
      <c r="M11099" t="s">
        <v>18960</v>
      </c>
      <c r="O11099" t="s">
        <v>18997</v>
      </c>
      <c r="P11099" t="s">
        <v>26564</v>
      </c>
      <c r="R11099" t="s">
        <v>26578</v>
      </c>
      <c r="S11099" t="s">
        <v>18959</v>
      </c>
      <c r="U11099" t="s">
        <v>26604</v>
      </c>
      <c r="X11099">
        <v>1597.96</v>
      </c>
      <c r="Y11099" t="s">
        <v>26650</v>
      </c>
      <c r="Z11099" t="s">
        <v>26663</v>
      </c>
      <c r="AB11099" t="s">
        <v>29095</v>
      </c>
      <c r="AE11099">
        <v>55</v>
      </c>
      <c r="AF11099" t="s">
        <v>45541</v>
      </c>
      <c r="AG11099" t="s">
        <v>45556</v>
      </c>
      <c r="AH11099">
        <v>17</v>
      </c>
      <c r="AI11099">
        <v>1</v>
      </c>
      <c r="AJ11099">
        <v>0</v>
      </c>
      <c r="AK11099">
        <v>72.63</v>
      </c>
      <c r="AN11099" t="s">
        <v>45581</v>
      </c>
      <c r="AO11099">
        <v>9072</v>
      </c>
      <c r="AU11099">
        <v>1</v>
      </c>
      <c r="AV11099" t="s">
        <v>826</v>
      </c>
      <c r="AW11099" t="s">
        <v>98</v>
      </c>
      <c r="AX11099" t="s">
        <v>46897</v>
      </c>
    </row>
    <row r="11100" spans="1:50">
      <c r="A11100" s="1">
        <f>HYPERLINK("https://lsnyc.legalserver.org/matter/dynamic-profile/view/1902269","19-1902269")</f>
        <v>0</v>
      </c>
      <c r="B11100" t="s">
        <v>169</v>
      </c>
      <c r="C11100" t="s">
        <v>340</v>
      </c>
      <c r="D11100" t="s">
        <v>826</v>
      </c>
      <c r="F11100" t="s">
        <v>4099</v>
      </c>
      <c r="G11100" t="s">
        <v>992</v>
      </c>
      <c r="H11100" t="s">
        <v>15029</v>
      </c>
      <c r="I11100" t="s">
        <v>17316</v>
      </c>
      <c r="J11100" t="s">
        <v>18892</v>
      </c>
      <c r="K11100">
        <v>10460</v>
      </c>
      <c r="L11100" t="s">
        <v>18958</v>
      </c>
      <c r="M11100" t="s">
        <v>18960</v>
      </c>
      <c r="N11100" t="s">
        <v>24603</v>
      </c>
      <c r="O11100" t="s">
        <v>26526</v>
      </c>
      <c r="P11100" t="s">
        <v>26560</v>
      </c>
      <c r="R11100" t="s">
        <v>26578</v>
      </c>
      <c r="S11100" t="s">
        <v>18959</v>
      </c>
      <c r="U11100" t="s">
        <v>26604</v>
      </c>
      <c r="X11100">
        <v>1980.45</v>
      </c>
      <c r="Y11100" t="s">
        <v>26650</v>
      </c>
      <c r="Z11100" t="s">
        <v>26659</v>
      </c>
      <c r="AB11100" t="s">
        <v>32515</v>
      </c>
      <c r="AC11100" t="s">
        <v>36419</v>
      </c>
      <c r="AD11100" t="s">
        <v>42968</v>
      </c>
      <c r="AE11100">
        <v>0</v>
      </c>
      <c r="AF11100" t="s">
        <v>45541</v>
      </c>
      <c r="AG11100" t="s">
        <v>45558</v>
      </c>
      <c r="AH11100">
        <v>2</v>
      </c>
      <c r="AI11100">
        <v>4</v>
      </c>
      <c r="AJ11100">
        <v>1</v>
      </c>
      <c r="AK11100">
        <v>8.029999999999999</v>
      </c>
      <c r="AN11100" t="s">
        <v>7439</v>
      </c>
      <c r="AO11100">
        <v>2424</v>
      </c>
      <c r="AU11100">
        <v>4</v>
      </c>
      <c r="AV11100" t="s">
        <v>826</v>
      </c>
      <c r="AW11100" t="s">
        <v>329</v>
      </c>
      <c r="AX11100" t="s">
        <v>46898</v>
      </c>
    </row>
    <row r="11101" spans="1:50">
      <c r="A11101" s="1">
        <f>HYPERLINK("https://lsnyc.legalserver.org/matter/dynamic-profile/view/1902275","19-1902275")</f>
        <v>0</v>
      </c>
      <c r="B11101" t="s">
        <v>97</v>
      </c>
      <c r="C11101" t="s">
        <v>340</v>
      </c>
      <c r="D11101" t="s">
        <v>826</v>
      </c>
      <c r="F11101" t="s">
        <v>2632</v>
      </c>
      <c r="G11101" t="s">
        <v>4429</v>
      </c>
      <c r="H11101" t="s">
        <v>12299</v>
      </c>
      <c r="I11101" t="s">
        <v>17322</v>
      </c>
      <c r="J11101" t="s">
        <v>18892</v>
      </c>
      <c r="K11101">
        <v>10457</v>
      </c>
      <c r="L11101" t="s">
        <v>18958</v>
      </c>
      <c r="M11101" t="s">
        <v>18960</v>
      </c>
      <c r="N11101" t="s">
        <v>26329</v>
      </c>
      <c r="O11101" t="s">
        <v>26523</v>
      </c>
      <c r="P11101" t="s">
        <v>26560</v>
      </c>
      <c r="R11101" t="s">
        <v>26579</v>
      </c>
      <c r="S11101" t="s">
        <v>18959</v>
      </c>
      <c r="U11101" t="s">
        <v>26604</v>
      </c>
      <c r="V11101" t="s">
        <v>26610</v>
      </c>
      <c r="X11101">
        <v>1145.45</v>
      </c>
      <c r="Y11101" t="s">
        <v>26650</v>
      </c>
      <c r="Z11101" t="s">
        <v>26664</v>
      </c>
      <c r="AB11101" t="s">
        <v>29581</v>
      </c>
      <c r="AD11101" t="s">
        <v>39660</v>
      </c>
      <c r="AE11101">
        <v>41</v>
      </c>
      <c r="AF11101" t="s">
        <v>45541</v>
      </c>
      <c r="AG11101" t="s">
        <v>19330</v>
      </c>
      <c r="AH11101">
        <v>2</v>
      </c>
      <c r="AI11101">
        <v>2</v>
      </c>
      <c r="AJ11101">
        <v>1</v>
      </c>
      <c r="AK11101">
        <v>89.08</v>
      </c>
      <c r="AN11101" t="s">
        <v>7439</v>
      </c>
      <c r="AO11101">
        <v>19000</v>
      </c>
      <c r="AU11101">
        <v>1.6</v>
      </c>
      <c r="AV11101" t="s">
        <v>826</v>
      </c>
      <c r="AW11101" t="s">
        <v>46870</v>
      </c>
      <c r="AX11101" t="s">
        <v>46897</v>
      </c>
    </row>
    <row r="11102" spans="1:50">
      <c r="A11102" s="1">
        <f>HYPERLINK("https://lsnyc.legalserver.org/matter/dynamic-profile/view/1902303","19-1902303")</f>
        <v>0</v>
      </c>
      <c r="B11102" t="s">
        <v>130</v>
      </c>
      <c r="C11102" t="s">
        <v>340</v>
      </c>
      <c r="D11102" t="s">
        <v>826</v>
      </c>
      <c r="F11102" t="s">
        <v>1221</v>
      </c>
      <c r="G11102" t="s">
        <v>6812</v>
      </c>
      <c r="H11102" t="s">
        <v>12818</v>
      </c>
      <c r="J11102" t="s">
        <v>18901</v>
      </c>
      <c r="K11102">
        <v>11433</v>
      </c>
      <c r="L11102" t="s">
        <v>18958</v>
      </c>
      <c r="M11102" t="s">
        <v>18960</v>
      </c>
      <c r="N11102" t="s">
        <v>26330</v>
      </c>
      <c r="O11102" t="s">
        <v>26523</v>
      </c>
      <c r="P11102" t="s">
        <v>26563</v>
      </c>
      <c r="R11102" t="s">
        <v>26585</v>
      </c>
      <c r="S11102" t="s">
        <v>18959</v>
      </c>
      <c r="U11102" t="s">
        <v>26604</v>
      </c>
      <c r="V11102" t="s">
        <v>26612</v>
      </c>
      <c r="X11102">
        <v>784.13</v>
      </c>
      <c r="Y11102" t="s">
        <v>26653</v>
      </c>
      <c r="Z11102" t="s">
        <v>26668</v>
      </c>
      <c r="AB11102" t="s">
        <v>34288</v>
      </c>
      <c r="AC11102" t="s">
        <v>36781</v>
      </c>
      <c r="AD11102" t="s">
        <v>45298</v>
      </c>
      <c r="AE11102">
        <v>221</v>
      </c>
      <c r="AF11102" t="s">
        <v>45541</v>
      </c>
      <c r="AG11102" t="s">
        <v>19330</v>
      </c>
      <c r="AH11102">
        <v>3</v>
      </c>
      <c r="AI11102">
        <v>1</v>
      </c>
      <c r="AJ11102">
        <v>0</v>
      </c>
      <c r="AK11102">
        <v>84.45</v>
      </c>
      <c r="AN11102" t="s">
        <v>7439</v>
      </c>
      <c r="AO11102">
        <v>10548</v>
      </c>
      <c r="AU11102">
        <v>1.78</v>
      </c>
      <c r="AV11102" t="s">
        <v>835</v>
      </c>
      <c r="AW11102" t="s">
        <v>46846</v>
      </c>
      <c r="AX11102" t="s">
        <v>46897</v>
      </c>
    </row>
    <row r="11103" spans="1:50">
      <c r="A11103" s="1">
        <f>HYPERLINK("https://lsnyc.legalserver.org/matter/dynamic-profile/view/1902406","19-1902406")</f>
        <v>0</v>
      </c>
      <c r="B11103" t="s">
        <v>130</v>
      </c>
      <c r="C11103" t="s">
        <v>340</v>
      </c>
      <c r="D11103" t="s">
        <v>826</v>
      </c>
      <c r="F11103" t="s">
        <v>2111</v>
      </c>
      <c r="G11103" t="s">
        <v>1092</v>
      </c>
      <c r="H11103" t="s">
        <v>17073</v>
      </c>
      <c r="I11103" t="s">
        <v>17416</v>
      </c>
      <c r="J11103" t="s">
        <v>18899</v>
      </c>
      <c r="K11103">
        <v>11385</v>
      </c>
      <c r="L11103" t="s">
        <v>18958</v>
      </c>
      <c r="M11103" t="s">
        <v>18960</v>
      </c>
      <c r="N11103" t="s">
        <v>26331</v>
      </c>
      <c r="O11103" t="s">
        <v>26523</v>
      </c>
      <c r="P11103" t="s">
        <v>26563</v>
      </c>
      <c r="R11103" t="s">
        <v>26585</v>
      </c>
      <c r="S11103" t="s">
        <v>18959</v>
      </c>
      <c r="U11103" t="s">
        <v>26604</v>
      </c>
      <c r="X11103">
        <v>2000</v>
      </c>
      <c r="Y11103" t="s">
        <v>26653</v>
      </c>
      <c r="Z11103" t="s">
        <v>26664</v>
      </c>
      <c r="AB11103" t="s">
        <v>34289</v>
      </c>
      <c r="AC11103" t="s">
        <v>19330</v>
      </c>
      <c r="AD11103" t="s">
        <v>45299</v>
      </c>
      <c r="AE11103">
        <v>2</v>
      </c>
      <c r="AF11103" t="s">
        <v>20460</v>
      </c>
      <c r="AG11103" t="s">
        <v>19330</v>
      </c>
      <c r="AH11103">
        <v>1</v>
      </c>
      <c r="AI11103">
        <v>2</v>
      </c>
      <c r="AJ11103">
        <v>0</v>
      </c>
      <c r="AK11103">
        <v>199.05</v>
      </c>
      <c r="AN11103" t="s">
        <v>7439</v>
      </c>
      <c r="AO11103">
        <v>33660</v>
      </c>
      <c r="AU11103">
        <v>1.38</v>
      </c>
      <c r="AV11103" t="s">
        <v>826</v>
      </c>
      <c r="AW11103" t="s">
        <v>46846</v>
      </c>
      <c r="AX11103" t="s">
        <v>46897</v>
      </c>
    </row>
    <row r="11104" spans="1:50">
      <c r="A11104" s="1">
        <f>HYPERLINK("https://lsnyc.legalserver.org/matter/dynamic-profile/view/1902314","19-1902314")</f>
        <v>0</v>
      </c>
      <c r="B11104" t="s">
        <v>57</v>
      </c>
      <c r="C11104" t="s">
        <v>340</v>
      </c>
      <c r="D11104" t="s">
        <v>826</v>
      </c>
      <c r="F11104" t="s">
        <v>4991</v>
      </c>
      <c r="G11104" t="s">
        <v>9540</v>
      </c>
      <c r="H11104" t="s">
        <v>17074</v>
      </c>
      <c r="I11104" t="s">
        <v>17284</v>
      </c>
      <c r="J11104" t="s">
        <v>18892</v>
      </c>
      <c r="K11104">
        <v>10457</v>
      </c>
      <c r="L11104" t="s">
        <v>18958</v>
      </c>
      <c r="M11104" t="s">
        <v>18960</v>
      </c>
      <c r="N11104" t="s">
        <v>26332</v>
      </c>
      <c r="O11104" t="s">
        <v>26523</v>
      </c>
      <c r="R11104" t="s">
        <v>26579</v>
      </c>
      <c r="S11104" t="s">
        <v>18959</v>
      </c>
      <c r="U11104" t="s">
        <v>26604</v>
      </c>
      <c r="X11104">
        <v>1683</v>
      </c>
      <c r="Y11104" t="s">
        <v>26650</v>
      </c>
      <c r="AB11104" t="s">
        <v>34290</v>
      </c>
      <c r="AE11104">
        <v>0</v>
      </c>
      <c r="AH11104">
        <v>0</v>
      </c>
      <c r="AI11104">
        <v>3</v>
      </c>
      <c r="AJ11104">
        <v>0</v>
      </c>
      <c r="AK11104">
        <v>250.07</v>
      </c>
      <c r="AN11104" t="s">
        <v>7439</v>
      </c>
      <c r="AO11104">
        <v>53339</v>
      </c>
      <c r="AU11104">
        <v>0</v>
      </c>
      <c r="AW11104" t="s">
        <v>335</v>
      </c>
      <c r="AX11104" t="s">
        <v>46897</v>
      </c>
    </row>
    <row r="11105" spans="1:50">
      <c r="A11105" s="1">
        <f>HYPERLINK("https://lsnyc.legalserver.org/matter/dynamic-profile/view/1902413","19-1902413")</f>
        <v>0</v>
      </c>
      <c r="B11105" t="s">
        <v>186</v>
      </c>
      <c r="C11105" t="s">
        <v>340</v>
      </c>
      <c r="D11105" t="s">
        <v>826</v>
      </c>
      <c r="F11105" t="s">
        <v>1377</v>
      </c>
      <c r="G11105" t="s">
        <v>9541</v>
      </c>
      <c r="H11105" t="s">
        <v>17075</v>
      </c>
      <c r="I11105" t="s">
        <v>17667</v>
      </c>
      <c r="J11105" t="s">
        <v>18894</v>
      </c>
      <c r="K11105">
        <v>11213</v>
      </c>
      <c r="L11105" t="s">
        <v>18960</v>
      </c>
      <c r="M11105" t="s">
        <v>18960</v>
      </c>
      <c r="R11105" t="s">
        <v>26586</v>
      </c>
      <c r="U11105" t="s">
        <v>26604</v>
      </c>
      <c r="X11105">
        <v>0</v>
      </c>
      <c r="Y11105" t="s">
        <v>26652</v>
      </c>
      <c r="AB11105" t="s">
        <v>30907</v>
      </c>
      <c r="AD11105" t="s">
        <v>45300</v>
      </c>
      <c r="AE11105">
        <v>0</v>
      </c>
      <c r="AH11105">
        <v>0</v>
      </c>
      <c r="AI11105">
        <v>1</v>
      </c>
      <c r="AJ11105">
        <v>0</v>
      </c>
      <c r="AK11105">
        <v>39.14</v>
      </c>
      <c r="AN11105" t="s">
        <v>45585</v>
      </c>
      <c r="AO11105">
        <v>4888</v>
      </c>
      <c r="AU11105">
        <v>0</v>
      </c>
      <c r="AW11105" t="s">
        <v>320</v>
      </c>
    </row>
    <row r="11106" spans="1:50">
      <c r="A11106" s="1">
        <f>HYPERLINK("https://lsnyc.legalserver.org/matter/dynamic-profile/view/1902364","19-1902364")</f>
        <v>0</v>
      </c>
      <c r="B11106" t="s">
        <v>60</v>
      </c>
      <c r="C11106" t="s">
        <v>340</v>
      </c>
      <c r="D11106" t="s">
        <v>826</v>
      </c>
      <c r="F11106" t="s">
        <v>2020</v>
      </c>
      <c r="G11106" t="s">
        <v>5086</v>
      </c>
      <c r="H11106" t="s">
        <v>17076</v>
      </c>
      <c r="I11106">
        <v>11</v>
      </c>
      <c r="J11106" t="s">
        <v>18892</v>
      </c>
      <c r="K11106">
        <v>10467</v>
      </c>
      <c r="L11106" t="s">
        <v>18958</v>
      </c>
      <c r="M11106" t="s">
        <v>18960</v>
      </c>
      <c r="N11106" t="s">
        <v>26333</v>
      </c>
      <c r="O11106" t="s">
        <v>18997</v>
      </c>
      <c r="P11106" t="s">
        <v>26564</v>
      </c>
      <c r="R11106" t="s">
        <v>26578</v>
      </c>
      <c r="U11106" t="s">
        <v>26604</v>
      </c>
      <c r="X11106">
        <v>500</v>
      </c>
      <c r="Y11106" t="s">
        <v>26650</v>
      </c>
      <c r="Z11106" t="s">
        <v>26661</v>
      </c>
      <c r="AB11106" t="s">
        <v>34291</v>
      </c>
      <c r="AD11106" t="s">
        <v>45301</v>
      </c>
      <c r="AE11106">
        <v>1</v>
      </c>
      <c r="AF11106" t="s">
        <v>45547</v>
      </c>
      <c r="AG11106" t="s">
        <v>19330</v>
      </c>
      <c r="AH11106">
        <v>35</v>
      </c>
      <c r="AI11106">
        <v>4</v>
      </c>
      <c r="AJ11106">
        <v>1</v>
      </c>
      <c r="AK11106">
        <v>74.62</v>
      </c>
      <c r="AN11106" t="s">
        <v>7439</v>
      </c>
      <c r="AO11106">
        <v>22512</v>
      </c>
      <c r="AU11106">
        <v>0.1</v>
      </c>
      <c r="AV11106" t="s">
        <v>838</v>
      </c>
      <c r="AW11106" t="s">
        <v>60</v>
      </c>
      <c r="AX11106" t="s">
        <v>46897</v>
      </c>
    </row>
    <row r="11107" spans="1:50">
      <c r="A11107" s="1">
        <f>HYPERLINK("https://lsnyc.legalserver.org/matter/dynamic-profile/view/1902340","19-1902340")</f>
        <v>0</v>
      </c>
      <c r="B11107" t="s">
        <v>60</v>
      </c>
      <c r="C11107" t="s">
        <v>340</v>
      </c>
      <c r="D11107" t="s">
        <v>826</v>
      </c>
      <c r="F11107" t="s">
        <v>948</v>
      </c>
      <c r="G11107" t="s">
        <v>7098</v>
      </c>
      <c r="H11107" t="s">
        <v>17077</v>
      </c>
      <c r="I11107" t="s">
        <v>18858</v>
      </c>
      <c r="J11107" t="s">
        <v>18892</v>
      </c>
      <c r="K11107">
        <v>10452</v>
      </c>
      <c r="L11107" t="s">
        <v>18958</v>
      </c>
      <c r="M11107" t="s">
        <v>18960</v>
      </c>
      <c r="N11107" t="s">
        <v>26333</v>
      </c>
      <c r="O11107" t="s">
        <v>18997</v>
      </c>
      <c r="P11107" t="s">
        <v>26564</v>
      </c>
      <c r="R11107" t="s">
        <v>26578</v>
      </c>
      <c r="U11107" t="s">
        <v>26604</v>
      </c>
      <c r="X11107">
        <v>1329</v>
      </c>
      <c r="Y11107" t="s">
        <v>26650</v>
      </c>
      <c r="Z11107" t="s">
        <v>26661</v>
      </c>
      <c r="AB11107" t="s">
        <v>30073</v>
      </c>
      <c r="AD11107" t="s">
        <v>45302</v>
      </c>
      <c r="AE11107">
        <v>120</v>
      </c>
      <c r="AF11107" t="s">
        <v>45544</v>
      </c>
      <c r="AG11107" t="s">
        <v>19330</v>
      </c>
      <c r="AH11107">
        <v>7</v>
      </c>
      <c r="AI11107">
        <v>2</v>
      </c>
      <c r="AJ11107">
        <v>0</v>
      </c>
      <c r="AK11107">
        <v>147.84</v>
      </c>
      <c r="AN11107" t="s">
        <v>7439</v>
      </c>
      <c r="AO11107">
        <v>25000</v>
      </c>
      <c r="AU11107">
        <v>1.5</v>
      </c>
      <c r="AV11107" t="s">
        <v>834</v>
      </c>
      <c r="AW11107" t="s">
        <v>60</v>
      </c>
      <c r="AX11107" t="s">
        <v>46897</v>
      </c>
    </row>
    <row r="11108" spans="1:50">
      <c r="A11108" s="1">
        <f>HYPERLINK("https://lsnyc.legalserver.org/matter/dynamic-profile/view/1902357","19-1902357")</f>
        <v>0</v>
      </c>
      <c r="B11108" t="s">
        <v>85</v>
      </c>
      <c r="C11108" t="s">
        <v>340</v>
      </c>
      <c r="D11108" t="s">
        <v>826</v>
      </c>
      <c r="F11108" t="s">
        <v>1104</v>
      </c>
      <c r="G11108" t="s">
        <v>5748</v>
      </c>
      <c r="H11108" t="s">
        <v>17078</v>
      </c>
      <c r="I11108">
        <v>3</v>
      </c>
      <c r="J11108" t="s">
        <v>18932</v>
      </c>
      <c r="K11108">
        <v>11385</v>
      </c>
      <c r="L11108" t="s">
        <v>18960</v>
      </c>
      <c r="M11108" t="s">
        <v>18960</v>
      </c>
      <c r="N11108" t="s">
        <v>26334</v>
      </c>
      <c r="O11108" t="s">
        <v>26524</v>
      </c>
      <c r="P11108" t="s">
        <v>26563</v>
      </c>
      <c r="R11108" t="s">
        <v>26585</v>
      </c>
      <c r="S11108" t="s">
        <v>18959</v>
      </c>
      <c r="U11108" t="s">
        <v>26604</v>
      </c>
      <c r="X11108">
        <v>1875</v>
      </c>
      <c r="Y11108" t="s">
        <v>26653</v>
      </c>
      <c r="AB11108" t="s">
        <v>34292</v>
      </c>
      <c r="AD11108" t="s">
        <v>45303</v>
      </c>
      <c r="AE11108">
        <v>0</v>
      </c>
      <c r="AG11108" t="s">
        <v>19330</v>
      </c>
      <c r="AH11108">
        <v>4</v>
      </c>
      <c r="AI11108">
        <v>1</v>
      </c>
      <c r="AJ11108">
        <v>3</v>
      </c>
      <c r="AK11108">
        <v>0</v>
      </c>
      <c r="AN11108" t="s">
        <v>7439</v>
      </c>
      <c r="AO11108">
        <v>0</v>
      </c>
      <c r="AU11108">
        <v>0.33</v>
      </c>
      <c r="AV11108" t="s">
        <v>826</v>
      </c>
      <c r="AW11108" t="s">
        <v>46846</v>
      </c>
      <c r="AX11108" t="s">
        <v>46897</v>
      </c>
    </row>
    <row r="11109" spans="1:50">
      <c r="A11109" s="1">
        <f>HYPERLINK("https://lsnyc.legalserver.org/matter/dynamic-profile/view/1902294","19-1902294")</f>
        <v>0</v>
      </c>
      <c r="B11109" t="s">
        <v>282</v>
      </c>
      <c r="C11109" t="s">
        <v>340</v>
      </c>
      <c r="D11109" t="s">
        <v>826</v>
      </c>
      <c r="F11109" t="s">
        <v>2530</v>
      </c>
      <c r="G11109" t="s">
        <v>6752</v>
      </c>
      <c r="H11109" t="s">
        <v>12102</v>
      </c>
      <c r="I11109">
        <v>11</v>
      </c>
      <c r="J11109" t="s">
        <v>18913</v>
      </c>
      <c r="K11109">
        <v>11105</v>
      </c>
      <c r="L11109" t="s">
        <v>18960</v>
      </c>
      <c r="M11109" t="s">
        <v>18960</v>
      </c>
      <c r="N11109" t="s">
        <v>21282</v>
      </c>
      <c r="O11109" t="s">
        <v>26523</v>
      </c>
      <c r="P11109" t="s">
        <v>26560</v>
      </c>
      <c r="R11109" t="s">
        <v>26584</v>
      </c>
      <c r="S11109" t="s">
        <v>18959</v>
      </c>
      <c r="U11109" t="s">
        <v>26604</v>
      </c>
      <c r="V11109" t="s">
        <v>26611</v>
      </c>
      <c r="X11109">
        <v>1176</v>
      </c>
      <c r="Y11109" t="s">
        <v>26653</v>
      </c>
      <c r="AB11109" t="s">
        <v>29385</v>
      </c>
      <c r="AD11109" t="s">
        <v>39443</v>
      </c>
      <c r="AE11109">
        <v>12</v>
      </c>
      <c r="AF11109" t="s">
        <v>45541</v>
      </c>
      <c r="AH11109">
        <v>35</v>
      </c>
      <c r="AI11109">
        <v>1</v>
      </c>
      <c r="AJ11109">
        <v>0</v>
      </c>
      <c r="AK11109">
        <v>2.4</v>
      </c>
      <c r="AN11109" t="s">
        <v>7439</v>
      </c>
      <c r="AO11109">
        <v>300</v>
      </c>
      <c r="AU11109">
        <v>14.5</v>
      </c>
      <c r="AV11109" t="s">
        <v>838</v>
      </c>
      <c r="AW11109" t="s">
        <v>105</v>
      </c>
    </row>
    <row r="11110" spans="1:50">
      <c r="A11110" s="1">
        <f>HYPERLINK("https://lsnyc.legalserver.org/matter/dynamic-profile/view/1902388","19-1902388")</f>
        <v>0</v>
      </c>
      <c r="B11110" t="s">
        <v>282</v>
      </c>
      <c r="C11110" t="s">
        <v>340</v>
      </c>
      <c r="D11110" t="s">
        <v>826</v>
      </c>
      <c r="F11110" t="s">
        <v>4992</v>
      </c>
      <c r="G11110" t="s">
        <v>9542</v>
      </c>
      <c r="H11110" t="s">
        <v>17079</v>
      </c>
      <c r="I11110" t="s">
        <v>17312</v>
      </c>
      <c r="J11110" t="s">
        <v>18918</v>
      </c>
      <c r="K11110">
        <v>11417</v>
      </c>
      <c r="L11110" t="s">
        <v>18958</v>
      </c>
      <c r="M11110" t="s">
        <v>18960</v>
      </c>
      <c r="N11110" t="s">
        <v>26335</v>
      </c>
      <c r="O11110" t="s">
        <v>26524</v>
      </c>
      <c r="P11110" t="s">
        <v>26564</v>
      </c>
      <c r="R11110" t="s">
        <v>26584</v>
      </c>
      <c r="S11110" t="s">
        <v>18959</v>
      </c>
      <c r="U11110" t="s">
        <v>26604</v>
      </c>
      <c r="X11110">
        <v>1050</v>
      </c>
      <c r="Y11110" t="s">
        <v>26653</v>
      </c>
      <c r="Z11110" t="s">
        <v>26664</v>
      </c>
      <c r="AB11110" t="s">
        <v>28113</v>
      </c>
      <c r="AC11110" t="s">
        <v>19330</v>
      </c>
      <c r="AD11110" t="s">
        <v>45304</v>
      </c>
      <c r="AE11110">
        <v>4</v>
      </c>
      <c r="AF11110" t="s">
        <v>45547</v>
      </c>
      <c r="AG11110" t="s">
        <v>19330</v>
      </c>
      <c r="AH11110">
        <v>5</v>
      </c>
      <c r="AI11110">
        <v>2</v>
      </c>
      <c r="AJ11110">
        <v>0</v>
      </c>
      <c r="AK11110">
        <v>153.76</v>
      </c>
      <c r="AN11110" t="s">
        <v>7439</v>
      </c>
      <c r="AO11110">
        <v>26000</v>
      </c>
      <c r="AU11110">
        <v>1.83</v>
      </c>
      <c r="AV11110" t="s">
        <v>832</v>
      </c>
      <c r="AW11110" t="s">
        <v>46846</v>
      </c>
      <c r="AX11110" t="s">
        <v>46897</v>
      </c>
    </row>
    <row r="11111" spans="1:50">
      <c r="A11111" s="1">
        <f>HYPERLINK("https://lsnyc.legalserver.org/matter/dynamic-profile/view/1902346","19-1902346")</f>
        <v>0</v>
      </c>
      <c r="B11111" t="s">
        <v>251</v>
      </c>
      <c r="C11111" t="s">
        <v>340</v>
      </c>
      <c r="D11111" t="s">
        <v>826</v>
      </c>
      <c r="F11111" t="s">
        <v>953</v>
      </c>
      <c r="G11111" t="s">
        <v>5185</v>
      </c>
      <c r="H11111" t="s">
        <v>10109</v>
      </c>
      <c r="I11111" t="s">
        <v>17282</v>
      </c>
      <c r="J11111" t="s">
        <v>18892</v>
      </c>
      <c r="K11111">
        <v>10457</v>
      </c>
      <c r="L11111" t="s">
        <v>18958</v>
      </c>
      <c r="M11111" t="s">
        <v>18960</v>
      </c>
      <c r="N11111" t="s">
        <v>26336</v>
      </c>
      <c r="O11111" t="s">
        <v>26523</v>
      </c>
      <c r="P11111" t="s">
        <v>26560</v>
      </c>
      <c r="R11111" t="s">
        <v>26579</v>
      </c>
      <c r="S11111" t="s">
        <v>18959</v>
      </c>
      <c r="U11111" t="s">
        <v>26604</v>
      </c>
      <c r="V11111" t="s">
        <v>26610</v>
      </c>
      <c r="X11111">
        <v>1995</v>
      </c>
      <c r="Y11111" t="s">
        <v>26650</v>
      </c>
      <c r="Z11111" t="s">
        <v>26664</v>
      </c>
      <c r="AB11111" t="s">
        <v>29963</v>
      </c>
      <c r="AC11111" t="s">
        <v>36782</v>
      </c>
      <c r="AD11111" t="s">
        <v>45305</v>
      </c>
      <c r="AE11111">
        <v>0</v>
      </c>
      <c r="AH11111">
        <v>3</v>
      </c>
      <c r="AI11111">
        <v>1</v>
      </c>
      <c r="AJ11111">
        <v>4</v>
      </c>
      <c r="AK11111">
        <v>103.41</v>
      </c>
      <c r="AN11111" t="s">
        <v>7439</v>
      </c>
      <c r="AO11111">
        <v>31200</v>
      </c>
      <c r="AU11111">
        <v>1.25</v>
      </c>
      <c r="AV11111" t="s">
        <v>838</v>
      </c>
      <c r="AW11111" t="s">
        <v>335</v>
      </c>
      <c r="AX11111" t="s">
        <v>46898</v>
      </c>
    </row>
    <row r="11112" spans="1:50">
      <c r="A11112" s="1">
        <f>HYPERLINK("https://lsnyc.legalserver.org/matter/dynamic-profile/view/1902338","19-1902338")</f>
        <v>0</v>
      </c>
      <c r="B11112" t="s">
        <v>212</v>
      </c>
      <c r="C11112" t="s">
        <v>340</v>
      </c>
      <c r="D11112" t="s">
        <v>826</v>
      </c>
      <c r="F11112" t="s">
        <v>1283</v>
      </c>
      <c r="G11112" t="s">
        <v>5978</v>
      </c>
      <c r="H11112" t="s">
        <v>9742</v>
      </c>
      <c r="J11112" t="s">
        <v>18898</v>
      </c>
      <c r="K11112">
        <v>11691</v>
      </c>
      <c r="L11112" t="s">
        <v>18958</v>
      </c>
      <c r="M11112" t="s">
        <v>18960</v>
      </c>
      <c r="N11112" t="s">
        <v>26337</v>
      </c>
      <c r="O11112" t="s">
        <v>26523</v>
      </c>
      <c r="P11112" t="s">
        <v>26560</v>
      </c>
      <c r="R11112" t="s">
        <v>26578</v>
      </c>
      <c r="S11112" t="s">
        <v>18959</v>
      </c>
      <c r="U11112" t="s">
        <v>26604</v>
      </c>
      <c r="V11112" t="s">
        <v>26610</v>
      </c>
      <c r="X11112">
        <v>1075</v>
      </c>
      <c r="Y11112" t="s">
        <v>26653</v>
      </c>
      <c r="Z11112" t="s">
        <v>26530</v>
      </c>
      <c r="AB11112" t="s">
        <v>34293</v>
      </c>
      <c r="AD11112" t="s">
        <v>45306</v>
      </c>
      <c r="AE11112">
        <v>0</v>
      </c>
      <c r="AH11112">
        <v>3</v>
      </c>
      <c r="AI11112">
        <v>1</v>
      </c>
      <c r="AJ11112">
        <v>0</v>
      </c>
      <c r="AK11112">
        <v>258.54</v>
      </c>
      <c r="AN11112" t="s">
        <v>45581</v>
      </c>
      <c r="AO11112">
        <v>32292</v>
      </c>
      <c r="AU11112">
        <v>0.2</v>
      </c>
      <c r="AV11112" t="s">
        <v>830</v>
      </c>
      <c r="AW11112" t="s">
        <v>85</v>
      </c>
      <c r="AX11112" t="s">
        <v>46897</v>
      </c>
    </row>
    <row r="11113" spans="1:50">
      <c r="A11113" s="1">
        <f>HYPERLINK("https://lsnyc.legalserver.org/matter/dynamic-profile/view/1902376","19-1902376")</f>
        <v>0</v>
      </c>
      <c r="B11113" t="s">
        <v>74</v>
      </c>
      <c r="C11113" t="s">
        <v>340</v>
      </c>
      <c r="D11113" t="s">
        <v>826</v>
      </c>
      <c r="F11113" t="s">
        <v>1075</v>
      </c>
      <c r="G11113" t="s">
        <v>994</v>
      </c>
      <c r="H11113" t="s">
        <v>16611</v>
      </c>
      <c r="I11113">
        <v>41</v>
      </c>
      <c r="J11113" t="s">
        <v>18893</v>
      </c>
      <c r="K11113">
        <v>10031</v>
      </c>
      <c r="L11113" t="s">
        <v>18960</v>
      </c>
      <c r="M11113" t="s">
        <v>18960</v>
      </c>
      <c r="R11113" t="s">
        <v>26591</v>
      </c>
      <c r="U11113" t="s">
        <v>26604</v>
      </c>
      <c r="X11113">
        <v>618</v>
      </c>
      <c r="Y11113" t="s">
        <v>26651</v>
      </c>
      <c r="Z11113" t="s">
        <v>26659</v>
      </c>
      <c r="AB11113" t="s">
        <v>34294</v>
      </c>
      <c r="AD11113" t="s">
        <v>45307</v>
      </c>
      <c r="AE11113">
        <v>18</v>
      </c>
      <c r="AF11113" t="s">
        <v>45541</v>
      </c>
      <c r="AG11113" t="s">
        <v>19330</v>
      </c>
      <c r="AH11113">
        <v>33</v>
      </c>
      <c r="AI11113">
        <v>2</v>
      </c>
      <c r="AJ11113">
        <v>0</v>
      </c>
      <c r="AK11113">
        <v>105.31</v>
      </c>
      <c r="AN11113" t="s">
        <v>7439</v>
      </c>
      <c r="AO11113">
        <v>17808</v>
      </c>
      <c r="AU11113">
        <v>1</v>
      </c>
      <c r="AV11113" t="s">
        <v>826</v>
      </c>
      <c r="AW11113" t="s">
        <v>46858</v>
      </c>
    </row>
    <row r="11114" spans="1:50">
      <c r="A11114" s="1">
        <f>HYPERLINK("https://lsnyc.legalserver.org/matter/dynamic-profile/view/1902308","19-1902308")</f>
        <v>0</v>
      </c>
      <c r="B11114" t="s">
        <v>71</v>
      </c>
      <c r="C11114" t="s">
        <v>340</v>
      </c>
      <c r="D11114" t="s">
        <v>826</v>
      </c>
      <c r="F11114" t="s">
        <v>4993</v>
      </c>
      <c r="G11114" t="s">
        <v>5143</v>
      </c>
      <c r="H11114" t="s">
        <v>13427</v>
      </c>
      <c r="I11114" t="s">
        <v>17389</v>
      </c>
      <c r="J11114" t="s">
        <v>18892</v>
      </c>
      <c r="K11114">
        <v>10457</v>
      </c>
      <c r="L11114" t="s">
        <v>18958</v>
      </c>
      <c r="M11114" t="s">
        <v>18960</v>
      </c>
      <c r="N11114" t="s">
        <v>26338</v>
      </c>
      <c r="O11114" t="s">
        <v>26523</v>
      </c>
      <c r="P11114" t="s">
        <v>26560</v>
      </c>
      <c r="R11114" t="s">
        <v>26579</v>
      </c>
      <c r="U11114" t="s">
        <v>26604</v>
      </c>
      <c r="X11114">
        <v>0</v>
      </c>
      <c r="Y11114" t="s">
        <v>26650</v>
      </c>
      <c r="AB11114" t="s">
        <v>31841</v>
      </c>
      <c r="AD11114" t="s">
        <v>45308</v>
      </c>
      <c r="AE11114">
        <v>0</v>
      </c>
      <c r="AH11114">
        <v>7</v>
      </c>
      <c r="AI11114">
        <v>4</v>
      </c>
      <c r="AJ11114">
        <v>4</v>
      </c>
      <c r="AK11114">
        <v>119.73</v>
      </c>
      <c r="AN11114" t="s">
        <v>45581</v>
      </c>
      <c r="AO11114">
        <v>52000</v>
      </c>
      <c r="AU11114">
        <v>1.5</v>
      </c>
      <c r="AV11114" t="s">
        <v>772</v>
      </c>
      <c r="AW11114" t="s">
        <v>46867</v>
      </c>
    </row>
    <row r="11115" spans="1:50">
      <c r="A11115" s="1">
        <f>HYPERLINK("https://lsnyc.legalserver.org/matter/dynamic-profile/view/1902402","19-1902402")</f>
        <v>0</v>
      </c>
      <c r="B11115" t="s">
        <v>159</v>
      </c>
      <c r="C11115" t="s">
        <v>340</v>
      </c>
      <c r="D11115" t="s">
        <v>826</v>
      </c>
      <c r="F11115" t="s">
        <v>4994</v>
      </c>
      <c r="G11115" t="s">
        <v>5169</v>
      </c>
      <c r="H11115" t="s">
        <v>17080</v>
      </c>
      <c r="I11115" t="s">
        <v>18859</v>
      </c>
      <c r="J11115" t="s">
        <v>18901</v>
      </c>
      <c r="K11115">
        <v>11433</v>
      </c>
      <c r="L11115" t="s">
        <v>18960</v>
      </c>
      <c r="M11115" t="s">
        <v>18960</v>
      </c>
      <c r="N11115" t="s">
        <v>26339</v>
      </c>
      <c r="O11115" t="s">
        <v>26524</v>
      </c>
      <c r="P11115" t="s">
        <v>26563</v>
      </c>
      <c r="R11115" t="s">
        <v>26585</v>
      </c>
      <c r="S11115" t="s">
        <v>18959</v>
      </c>
      <c r="U11115" t="s">
        <v>26604</v>
      </c>
      <c r="X11115">
        <v>800</v>
      </c>
      <c r="Y11115" t="s">
        <v>26653</v>
      </c>
      <c r="Z11115" t="s">
        <v>26668</v>
      </c>
      <c r="AB11115" t="s">
        <v>34295</v>
      </c>
      <c r="AC11115" t="s">
        <v>19330</v>
      </c>
      <c r="AD11115" t="s">
        <v>45309</v>
      </c>
      <c r="AE11115">
        <v>0</v>
      </c>
      <c r="AF11115" t="s">
        <v>45547</v>
      </c>
      <c r="AG11115" t="s">
        <v>19330</v>
      </c>
      <c r="AH11115">
        <v>1</v>
      </c>
      <c r="AI11115">
        <v>1</v>
      </c>
      <c r="AJ11115">
        <v>0</v>
      </c>
      <c r="AK11115">
        <v>96.08</v>
      </c>
      <c r="AN11115" t="s">
        <v>45581</v>
      </c>
      <c r="AO11115">
        <v>12000</v>
      </c>
      <c r="AU11115">
        <v>4.74</v>
      </c>
      <c r="AV11115" t="s">
        <v>835</v>
      </c>
      <c r="AW11115" t="s">
        <v>46846</v>
      </c>
      <c r="AX11115" t="s">
        <v>46897</v>
      </c>
    </row>
    <row r="11116" spans="1:50">
      <c r="A11116" s="1">
        <f>HYPERLINK("https://lsnyc.legalserver.org/matter/dynamic-profile/view/1902323","19-1902323")</f>
        <v>0</v>
      </c>
      <c r="B11116" t="s">
        <v>200</v>
      </c>
      <c r="C11116" t="s">
        <v>340</v>
      </c>
      <c r="D11116" t="s">
        <v>826</v>
      </c>
      <c r="F11116" t="s">
        <v>2993</v>
      </c>
      <c r="G11116" t="s">
        <v>5475</v>
      </c>
      <c r="H11116" t="s">
        <v>17081</v>
      </c>
      <c r="I11116" t="s">
        <v>17291</v>
      </c>
      <c r="J11116" t="s">
        <v>18894</v>
      </c>
      <c r="K11116">
        <v>11217</v>
      </c>
      <c r="L11116" t="s">
        <v>18960</v>
      </c>
      <c r="M11116" t="s">
        <v>18960</v>
      </c>
      <c r="R11116" t="s">
        <v>26591</v>
      </c>
      <c r="U11116" t="s">
        <v>26607</v>
      </c>
      <c r="X11116">
        <v>1550</v>
      </c>
      <c r="Y11116" t="s">
        <v>26652</v>
      </c>
      <c r="AB11116" t="s">
        <v>29366</v>
      </c>
      <c r="AD11116" t="s">
        <v>45310</v>
      </c>
      <c r="AE11116">
        <v>6</v>
      </c>
      <c r="AH11116">
        <v>9</v>
      </c>
      <c r="AI11116">
        <v>1</v>
      </c>
      <c r="AJ11116">
        <v>0</v>
      </c>
      <c r="AK11116">
        <v>0</v>
      </c>
      <c r="AN11116" t="s">
        <v>7439</v>
      </c>
      <c r="AO11116">
        <v>0</v>
      </c>
      <c r="AU11116">
        <v>1.1</v>
      </c>
      <c r="AV11116" t="s">
        <v>832</v>
      </c>
      <c r="AW11116" t="s">
        <v>46887</v>
      </c>
    </row>
    <row r="11117" spans="1:50">
      <c r="A11117" s="1">
        <f>HYPERLINK("https://lsnyc.legalserver.org/matter/dynamic-profile/view/1902280","19-1902280")</f>
        <v>0</v>
      </c>
      <c r="B11117" t="s">
        <v>200</v>
      </c>
      <c r="C11117" t="s">
        <v>340</v>
      </c>
      <c r="D11117" t="s">
        <v>826</v>
      </c>
      <c r="F11117" t="s">
        <v>4995</v>
      </c>
      <c r="G11117" t="s">
        <v>5138</v>
      </c>
      <c r="H11117" t="s">
        <v>17082</v>
      </c>
      <c r="J11117" t="s">
        <v>18894</v>
      </c>
      <c r="K11117">
        <v>11208</v>
      </c>
      <c r="L11117" t="s">
        <v>18960</v>
      </c>
      <c r="M11117" t="s">
        <v>18960</v>
      </c>
      <c r="R11117" t="s">
        <v>26578</v>
      </c>
      <c r="U11117" t="s">
        <v>26604</v>
      </c>
      <c r="X11117">
        <v>2000</v>
      </c>
      <c r="Y11117" t="s">
        <v>26652</v>
      </c>
      <c r="AB11117" t="s">
        <v>31014</v>
      </c>
      <c r="AD11117" t="s">
        <v>45311</v>
      </c>
      <c r="AE11117">
        <v>2</v>
      </c>
      <c r="AH11117">
        <v>0</v>
      </c>
      <c r="AI11117">
        <v>1</v>
      </c>
      <c r="AJ11117">
        <v>2</v>
      </c>
      <c r="AK11117">
        <v>50.16</v>
      </c>
      <c r="AN11117" t="s">
        <v>45581</v>
      </c>
      <c r="AO11117">
        <v>10700</v>
      </c>
      <c r="AU11117">
        <v>0.6</v>
      </c>
      <c r="AV11117" t="s">
        <v>832</v>
      </c>
      <c r="AW11117" t="s">
        <v>46850</v>
      </c>
    </row>
    <row r="11118" spans="1:50">
      <c r="A11118" s="1">
        <f>HYPERLINK("https://lsnyc.legalserver.org/matter/dynamic-profile/view/1902322","19-1902322")</f>
        <v>0</v>
      </c>
      <c r="B11118" t="s">
        <v>249</v>
      </c>
      <c r="C11118" t="s">
        <v>340</v>
      </c>
      <c r="D11118" t="s">
        <v>826</v>
      </c>
      <c r="F11118" t="s">
        <v>2946</v>
      </c>
      <c r="G11118" t="s">
        <v>7233</v>
      </c>
      <c r="H11118" t="s">
        <v>17083</v>
      </c>
      <c r="I11118" t="s">
        <v>17639</v>
      </c>
      <c r="J11118" t="s">
        <v>18894</v>
      </c>
      <c r="K11118">
        <v>11239</v>
      </c>
      <c r="L11118" t="s">
        <v>18959</v>
      </c>
      <c r="M11118" t="s">
        <v>18960</v>
      </c>
      <c r="N11118" t="s">
        <v>19330</v>
      </c>
      <c r="O11118" t="s">
        <v>18997</v>
      </c>
      <c r="P11118" t="s">
        <v>26563</v>
      </c>
      <c r="R11118" t="s">
        <v>26578</v>
      </c>
      <c r="S11118" t="s">
        <v>18959</v>
      </c>
      <c r="U11118" t="s">
        <v>26604</v>
      </c>
      <c r="V11118" t="s">
        <v>26610</v>
      </c>
      <c r="X11118">
        <v>1618</v>
      </c>
      <c r="Y11118" t="s">
        <v>26652</v>
      </c>
      <c r="Z11118" t="s">
        <v>26660</v>
      </c>
      <c r="AB11118" t="s">
        <v>34296</v>
      </c>
      <c r="AC11118" t="s">
        <v>19330</v>
      </c>
      <c r="AD11118" t="s">
        <v>45312</v>
      </c>
      <c r="AE11118">
        <v>1164</v>
      </c>
      <c r="AF11118" t="s">
        <v>45543</v>
      </c>
      <c r="AG11118" t="s">
        <v>45556</v>
      </c>
      <c r="AH11118">
        <v>4</v>
      </c>
      <c r="AI11118">
        <v>1</v>
      </c>
      <c r="AJ11118">
        <v>0</v>
      </c>
      <c r="AK11118">
        <v>83.27</v>
      </c>
      <c r="AN11118" t="s">
        <v>7439</v>
      </c>
      <c r="AO11118">
        <v>10400</v>
      </c>
      <c r="AU11118">
        <v>3</v>
      </c>
      <c r="AV11118" t="s">
        <v>832</v>
      </c>
      <c r="AW11118" t="s">
        <v>46859</v>
      </c>
      <c r="AX11118" t="s">
        <v>19330</v>
      </c>
    </row>
    <row r="11119" spans="1:50">
      <c r="A11119" s="1">
        <f>HYPERLINK("https://lsnyc.legalserver.org/matter/dynamic-profile/view/1902407","19-1902407")</f>
        <v>0</v>
      </c>
      <c r="B11119" t="s">
        <v>50</v>
      </c>
      <c r="C11119" t="s">
        <v>340</v>
      </c>
      <c r="D11119" t="s">
        <v>826</v>
      </c>
      <c r="F11119" t="s">
        <v>893</v>
      </c>
      <c r="G11119" t="s">
        <v>7819</v>
      </c>
      <c r="H11119" t="s">
        <v>16345</v>
      </c>
      <c r="I11119" t="s">
        <v>18722</v>
      </c>
      <c r="J11119" t="s">
        <v>18892</v>
      </c>
      <c r="K11119">
        <v>10466</v>
      </c>
      <c r="L11119" t="s">
        <v>18958</v>
      </c>
      <c r="M11119" t="s">
        <v>18960</v>
      </c>
      <c r="N11119" t="s">
        <v>26340</v>
      </c>
      <c r="O11119" t="s">
        <v>26524</v>
      </c>
      <c r="P11119" t="s">
        <v>26563</v>
      </c>
      <c r="R11119" t="s">
        <v>26591</v>
      </c>
      <c r="S11119" t="s">
        <v>18959</v>
      </c>
      <c r="U11119" t="s">
        <v>26604</v>
      </c>
      <c r="X11119">
        <v>700</v>
      </c>
      <c r="Y11119" t="s">
        <v>26650</v>
      </c>
      <c r="Z11119" t="s">
        <v>26659</v>
      </c>
      <c r="AB11119" t="s">
        <v>29882</v>
      </c>
      <c r="AD11119" t="s">
        <v>34738</v>
      </c>
      <c r="AE11119">
        <v>0</v>
      </c>
      <c r="AG11119" t="s">
        <v>19330</v>
      </c>
      <c r="AH11119">
        <v>1</v>
      </c>
      <c r="AI11119">
        <v>1</v>
      </c>
      <c r="AJ11119">
        <v>0</v>
      </c>
      <c r="AK11119">
        <v>72.86</v>
      </c>
      <c r="AN11119" t="s">
        <v>7439</v>
      </c>
      <c r="AO11119">
        <v>9100</v>
      </c>
      <c r="AP11119" t="s">
        <v>46349</v>
      </c>
      <c r="AU11119">
        <v>2.5</v>
      </c>
      <c r="AV11119" t="s">
        <v>831</v>
      </c>
      <c r="AW11119" t="s">
        <v>46870</v>
      </c>
      <c r="AX11119" t="s">
        <v>46897</v>
      </c>
    </row>
    <row r="11120" spans="1:50">
      <c r="A11120" s="1">
        <f>HYPERLINK("https://lsnyc.legalserver.org/matter/dynamic-profile/view/1901062","19-1901062")</f>
        <v>0</v>
      </c>
      <c r="B11120" t="s">
        <v>102</v>
      </c>
      <c r="C11120" t="s">
        <v>340</v>
      </c>
      <c r="D11120" t="s">
        <v>826</v>
      </c>
      <c r="F11120" t="s">
        <v>4701</v>
      </c>
      <c r="G11120" t="s">
        <v>5639</v>
      </c>
      <c r="H11120" t="s">
        <v>17084</v>
      </c>
      <c r="I11120" t="s">
        <v>17761</v>
      </c>
      <c r="J11120" t="s">
        <v>18902</v>
      </c>
      <c r="K11120">
        <v>10301</v>
      </c>
      <c r="L11120" t="s">
        <v>18960</v>
      </c>
      <c r="M11120" t="s">
        <v>18960</v>
      </c>
      <c r="N11120" t="s">
        <v>26341</v>
      </c>
      <c r="O11120" t="s">
        <v>26523</v>
      </c>
      <c r="R11120" t="s">
        <v>26578</v>
      </c>
      <c r="S11120" t="s">
        <v>18959</v>
      </c>
      <c r="U11120" t="s">
        <v>26604</v>
      </c>
      <c r="V11120" t="s">
        <v>26610</v>
      </c>
      <c r="X11120">
        <v>2197</v>
      </c>
      <c r="Y11120" t="s">
        <v>26654</v>
      </c>
      <c r="Z11120" t="s">
        <v>26674</v>
      </c>
      <c r="AB11120" t="s">
        <v>34297</v>
      </c>
      <c r="AD11120" t="s">
        <v>45313</v>
      </c>
      <c r="AE11120">
        <v>1</v>
      </c>
      <c r="AG11120" t="s">
        <v>45558</v>
      </c>
      <c r="AH11120">
        <v>1</v>
      </c>
      <c r="AI11120">
        <v>1</v>
      </c>
      <c r="AJ11120">
        <v>6</v>
      </c>
      <c r="AK11120">
        <v>56.05</v>
      </c>
      <c r="AN11120" t="s">
        <v>7439</v>
      </c>
      <c r="AO11120">
        <v>21864</v>
      </c>
      <c r="AU11120">
        <v>8.550000000000001</v>
      </c>
      <c r="AV11120" t="s">
        <v>836</v>
      </c>
      <c r="AW11120" t="s">
        <v>46883</v>
      </c>
    </row>
    <row r="11121" spans="1:50">
      <c r="A11121" s="1">
        <f>HYPERLINK("https://lsnyc.legalserver.org/matter/dynamic-profile/view/1900880","19-1900880")</f>
        <v>0</v>
      </c>
      <c r="B11121" t="s">
        <v>102</v>
      </c>
      <c r="C11121" t="s">
        <v>340</v>
      </c>
      <c r="D11121" t="s">
        <v>826</v>
      </c>
      <c r="F11121" t="s">
        <v>2159</v>
      </c>
      <c r="G11121" t="s">
        <v>5990</v>
      </c>
      <c r="H11121" t="s">
        <v>17085</v>
      </c>
      <c r="I11121">
        <v>2</v>
      </c>
      <c r="J11121" t="s">
        <v>18902</v>
      </c>
      <c r="K11121">
        <v>10302</v>
      </c>
      <c r="L11121" t="s">
        <v>18960</v>
      </c>
      <c r="M11121" t="s">
        <v>18960</v>
      </c>
      <c r="N11121" t="s">
        <v>26342</v>
      </c>
      <c r="O11121" t="s">
        <v>26524</v>
      </c>
      <c r="R11121" t="s">
        <v>26590</v>
      </c>
      <c r="S11121" t="s">
        <v>18959</v>
      </c>
      <c r="U11121" t="s">
        <v>26604</v>
      </c>
      <c r="V11121" t="s">
        <v>26610</v>
      </c>
      <c r="X11121">
        <v>1850</v>
      </c>
      <c r="Y11121" t="s">
        <v>26654</v>
      </c>
      <c r="Z11121" t="s">
        <v>26668</v>
      </c>
      <c r="AB11121" t="s">
        <v>34298</v>
      </c>
      <c r="AD11121" t="s">
        <v>45314</v>
      </c>
      <c r="AE11121">
        <v>2</v>
      </c>
      <c r="AG11121" t="s">
        <v>45556</v>
      </c>
      <c r="AH11121">
        <v>4</v>
      </c>
      <c r="AI11121">
        <v>2</v>
      </c>
      <c r="AJ11121">
        <v>0</v>
      </c>
      <c r="AK11121">
        <v>37.82</v>
      </c>
      <c r="AN11121" t="s">
        <v>7439</v>
      </c>
      <c r="AO11121">
        <v>6396</v>
      </c>
      <c r="AU11121">
        <v>15</v>
      </c>
      <c r="AV11121" t="s">
        <v>834</v>
      </c>
      <c r="AW11121" t="s">
        <v>46883</v>
      </c>
    </row>
    <row r="11122" spans="1:50">
      <c r="A11122" s="1">
        <f>HYPERLINK("https://lsnyc.legalserver.org/matter/dynamic-profile/view/1902390","19-1902390")</f>
        <v>0</v>
      </c>
      <c r="B11122" t="s">
        <v>121</v>
      </c>
      <c r="C11122" t="s">
        <v>340</v>
      </c>
      <c r="D11122" t="s">
        <v>826</v>
      </c>
      <c r="F11122" t="s">
        <v>2022</v>
      </c>
      <c r="G11122" t="s">
        <v>6198</v>
      </c>
      <c r="H11122" t="s">
        <v>11230</v>
      </c>
      <c r="I11122" t="s">
        <v>17748</v>
      </c>
      <c r="J11122" t="s">
        <v>18892</v>
      </c>
      <c r="K11122">
        <v>10460</v>
      </c>
      <c r="L11122" t="s">
        <v>18960</v>
      </c>
      <c r="M11122" t="s">
        <v>18960</v>
      </c>
      <c r="N11122" t="s">
        <v>26343</v>
      </c>
      <c r="O11122" t="s">
        <v>26523</v>
      </c>
      <c r="P11122" t="s">
        <v>26560</v>
      </c>
      <c r="R11122" t="s">
        <v>26577</v>
      </c>
      <c r="U11122" t="s">
        <v>26604</v>
      </c>
      <c r="X11122">
        <v>800</v>
      </c>
      <c r="Y11122" t="s">
        <v>26650</v>
      </c>
      <c r="Z11122" t="s">
        <v>26659</v>
      </c>
      <c r="AB11122" t="s">
        <v>28422</v>
      </c>
      <c r="AD11122" t="s">
        <v>38477</v>
      </c>
      <c r="AE11122">
        <v>102</v>
      </c>
      <c r="AF11122" t="s">
        <v>45553</v>
      </c>
      <c r="AH11122">
        <v>5</v>
      </c>
      <c r="AI11122">
        <v>1</v>
      </c>
      <c r="AJ11122">
        <v>1</v>
      </c>
      <c r="AK11122">
        <v>15.26</v>
      </c>
      <c r="AN11122" t="s">
        <v>7439</v>
      </c>
      <c r="AO11122">
        <v>2580</v>
      </c>
      <c r="AU11122">
        <v>2.5</v>
      </c>
      <c r="AV11122" t="s">
        <v>773</v>
      </c>
      <c r="AW11122" t="s">
        <v>46836</v>
      </c>
    </row>
    <row r="11123" spans="1:50">
      <c r="A11123" s="1">
        <f>HYPERLINK("https://lsnyc.legalserver.org/matter/dynamic-profile/view/1902393","19-1902393")</f>
        <v>0</v>
      </c>
      <c r="B11123" t="s">
        <v>121</v>
      </c>
      <c r="C11123" t="s">
        <v>340</v>
      </c>
      <c r="D11123" t="s">
        <v>826</v>
      </c>
      <c r="F11123" t="s">
        <v>4996</v>
      </c>
      <c r="G11123" t="s">
        <v>5375</v>
      </c>
      <c r="H11123" t="s">
        <v>17086</v>
      </c>
      <c r="I11123" t="s">
        <v>17316</v>
      </c>
      <c r="J11123" t="s">
        <v>18892</v>
      </c>
      <c r="K11123">
        <v>10456</v>
      </c>
      <c r="L11123" t="s">
        <v>18960</v>
      </c>
      <c r="M11123" t="s">
        <v>18960</v>
      </c>
      <c r="N11123" t="s">
        <v>26344</v>
      </c>
      <c r="O11123" t="s">
        <v>26523</v>
      </c>
      <c r="P11123" t="s">
        <v>26560</v>
      </c>
      <c r="R11123" t="s">
        <v>26577</v>
      </c>
      <c r="U11123" t="s">
        <v>26604</v>
      </c>
      <c r="X11123">
        <v>1847.89</v>
      </c>
      <c r="Y11123" t="s">
        <v>26650</v>
      </c>
      <c r="Z11123" t="s">
        <v>26659</v>
      </c>
      <c r="AB11123" t="s">
        <v>28347</v>
      </c>
      <c r="AD11123" t="s">
        <v>45315</v>
      </c>
      <c r="AE11123">
        <v>0</v>
      </c>
      <c r="AF11123" t="s">
        <v>45541</v>
      </c>
      <c r="AH11123">
        <v>4</v>
      </c>
      <c r="AI11123">
        <v>1</v>
      </c>
      <c r="AJ11123">
        <v>0</v>
      </c>
      <c r="AK11123">
        <v>124.9</v>
      </c>
      <c r="AO11123">
        <v>15600</v>
      </c>
      <c r="AU11123">
        <v>6.1</v>
      </c>
      <c r="AV11123" t="s">
        <v>836</v>
      </c>
      <c r="AW11123" t="s">
        <v>46836</v>
      </c>
    </row>
    <row r="11124" spans="1:50">
      <c r="A11124" s="1">
        <f>HYPERLINK("https://lsnyc.legalserver.org/matter/dynamic-profile/view/1902297","19-1902297")</f>
        <v>0</v>
      </c>
      <c r="B11124" t="s">
        <v>187</v>
      </c>
      <c r="C11124" t="s">
        <v>340</v>
      </c>
      <c r="D11124" t="s">
        <v>826</v>
      </c>
      <c r="F11124" t="s">
        <v>1798</v>
      </c>
      <c r="G11124" t="s">
        <v>5313</v>
      </c>
      <c r="H11124" t="s">
        <v>9841</v>
      </c>
      <c r="I11124" t="s">
        <v>17424</v>
      </c>
      <c r="J11124" t="s">
        <v>18892</v>
      </c>
      <c r="K11124">
        <v>10461</v>
      </c>
      <c r="L11124" t="s">
        <v>18958</v>
      </c>
      <c r="M11124" t="s">
        <v>18960</v>
      </c>
      <c r="R11124" t="s">
        <v>26577</v>
      </c>
      <c r="S11124" t="s">
        <v>18959</v>
      </c>
      <c r="U11124" t="s">
        <v>26604</v>
      </c>
      <c r="X11124">
        <v>1500</v>
      </c>
      <c r="Y11124" t="s">
        <v>26650</v>
      </c>
      <c r="Z11124" t="s">
        <v>26655</v>
      </c>
      <c r="AB11124" t="s">
        <v>28863</v>
      </c>
      <c r="AC11124" t="s">
        <v>36783</v>
      </c>
      <c r="AD11124" t="s">
        <v>38923</v>
      </c>
      <c r="AE11124">
        <v>0</v>
      </c>
      <c r="AF11124" t="s">
        <v>45541</v>
      </c>
      <c r="AG11124" t="s">
        <v>19330</v>
      </c>
      <c r="AH11124">
        <v>10</v>
      </c>
      <c r="AI11124">
        <v>2</v>
      </c>
      <c r="AJ11124">
        <v>1</v>
      </c>
      <c r="AK11124">
        <v>210.97</v>
      </c>
      <c r="AN11124" t="s">
        <v>7439</v>
      </c>
      <c r="AO11124">
        <v>45000</v>
      </c>
      <c r="AU11124">
        <v>0</v>
      </c>
      <c r="AW11124" t="s">
        <v>46832</v>
      </c>
      <c r="AX11124" t="s">
        <v>46898</v>
      </c>
    </row>
    <row r="11125" spans="1:50">
      <c r="A11125" s="1">
        <f>HYPERLINK("https://lsnyc.legalserver.org/matter/dynamic-profile/view/1902367","19-1902367")</f>
        <v>0</v>
      </c>
      <c r="B11125" t="s">
        <v>233</v>
      </c>
      <c r="C11125" t="s">
        <v>340</v>
      </c>
      <c r="D11125" t="s">
        <v>826</v>
      </c>
      <c r="F11125" t="s">
        <v>4997</v>
      </c>
      <c r="G11125" t="s">
        <v>5147</v>
      </c>
      <c r="H11125" t="s">
        <v>10303</v>
      </c>
      <c r="I11125" t="s">
        <v>17496</v>
      </c>
      <c r="J11125" t="s">
        <v>18892</v>
      </c>
      <c r="K11125">
        <v>10457</v>
      </c>
      <c r="L11125" t="s">
        <v>18958</v>
      </c>
      <c r="M11125" t="s">
        <v>18960</v>
      </c>
      <c r="N11125" t="s">
        <v>26345</v>
      </c>
      <c r="O11125" t="s">
        <v>26523</v>
      </c>
      <c r="R11125" t="s">
        <v>26579</v>
      </c>
      <c r="S11125" t="s">
        <v>18959</v>
      </c>
      <c r="U11125" t="s">
        <v>26604</v>
      </c>
      <c r="X11125">
        <v>1122</v>
      </c>
      <c r="Y11125" t="s">
        <v>26650</v>
      </c>
      <c r="AB11125" t="s">
        <v>34299</v>
      </c>
      <c r="AD11125" t="s">
        <v>45316</v>
      </c>
      <c r="AE11125">
        <v>0</v>
      </c>
      <c r="AF11125" t="s">
        <v>45541</v>
      </c>
      <c r="AH11125">
        <v>3</v>
      </c>
      <c r="AI11125">
        <v>3</v>
      </c>
      <c r="AJ11125">
        <v>1</v>
      </c>
      <c r="AK11125">
        <v>157.67</v>
      </c>
      <c r="AN11125" t="s">
        <v>45581</v>
      </c>
      <c r="AO11125">
        <v>40600</v>
      </c>
      <c r="AU11125">
        <v>1</v>
      </c>
      <c r="AV11125" t="s">
        <v>834</v>
      </c>
      <c r="AW11125" t="s">
        <v>335</v>
      </c>
      <c r="AX11125" t="s">
        <v>46897</v>
      </c>
    </row>
    <row r="11126" spans="1:50">
      <c r="A11126" s="1">
        <f>HYPERLINK("https://lsnyc.legalserver.org/matter/dynamic-profile/view/1902307","19-1902307")</f>
        <v>0</v>
      </c>
      <c r="B11126" t="s">
        <v>293</v>
      </c>
      <c r="C11126" t="s">
        <v>340</v>
      </c>
      <c r="D11126" t="s">
        <v>826</v>
      </c>
      <c r="F11126" t="s">
        <v>1062</v>
      </c>
      <c r="G11126" t="s">
        <v>6689</v>
      </c>
      <c r="H11126" t="s">
        <v>17087</v>
      </c>
      <c r="I11126" t="s">
        <v>17272</v>
      </c>
      <c r="J11126" t="s">
        <v>18892</v>
      </c>
      <c r="K11126">
        <v>10469</v>
      </c>
      <c r="L11126" t="s">
        <v>18958</v>
      </c>
      <c r="M11126" t="s">
        <v>18960</v>
      </c>
      <c r="N11126" t="s">
        <v>26346</v>
      </c>
      <c r="O11126" t="s">
        <v>26523</v>
      </c>
      <c r="P11126" t="s">
        <v>26560</v>
      </c>
      <c r="R11126" t="s">
        <v>26577</v>
      </c>
      <c r="S11126" t="s">
        <v>18959</v>
      </c>
      <c r="U11126" t="s">
        <v>26604</v>
      </c>
      <c r="V11126" t="s">
        <v>26610</v>
      </c>
      <c r="X11126">
        <v>1048</v>
      </c>
      <c r="Y11126" t="s">
        <v>26650</v>
      </c>
      <c r="Z11126" t="s">
        <v>26659</v>
      </c>
      <c r="AB11126" t="s">
        <v>34300</v>
      </c>
      <c r="AD11126" t="s">
        <v>45317</v>
      </c>
      <c r="AE11126">
        <v>0</v>
      </c>
      <c r="AF11126" t="s">
        <v>20460</v>
      </c>
      <c r="AG11126" t="s">
        <v>45557</v>
      </c>
      <c r="AH11126">
        <v>6</v>
      </c>
      <c r="AI11126">
        <v>1</v>
      </c>
      <c r="AJ11126">
        <v>1</v>
      </c>
      <c r="AK11126">
        <v>71.52</v>
      </c>
      <c r="AN11126" t="s">
        <v>7439</v>
      </c>
      <c r="AO11126">
        <v>12094</v>
      </c>
      <c r="AU11126">
        <v>1</v>
      </c>
      <c r="AV11126" t="s">
        <v>830</v>
      </c>
      <c r="AW11126" t="s">
        <v>329</v>
      </c>
      <c r="AX11126" t="s">
        <v>46897</v>
      </c>
    </row>
    <row r="11127" spans="1:50">
      <c r="A11127" s="1">
        <f>HYPERLINK("https://lsnyc.legalserver.org/matter/dynamic-profile/view/1902292","19-1902292")</f>
        <v>0</v>
      </c>
      <c r="B11127" t="s">
        <v>91</v>
      </c>
      <c r="C11127" t="s">
        <v>340</v>
      </c>
      <c r="D11127" t="s">
        <v>826</v>
      </c>
      <c r="F11127" t="s">
        <v>4206</v>
      </c>
      <c r="G11127" t="s">
        <v>6886</v>
      </c>
      <c r="H11127" t="s">
        <v>17088</v>
      </c>
      <c r="I11127" t="s">
        <v>17430</v>
      </c>
      <c r="J11127" t="s">
        <v>18932</v>
      </c>
      <c r="K11127">
        <v>11385</v>
      </c>
      <c r="L11127" t="s">
        <v>18958</v>
      </c>
      <c r="M11127" t="s">
        <v>18960</v>
      </c>
      <c r="N11127" t="s">
        <v>26347</v>
      </c>
      <c r="O11127" t="s">
        <v>26523</v>
      </c>
      <c r="P11127" t="s">
        <v>26560</v>
      </c>
      <c r="R11127" t="s">
        <v>26585</v>
      </c>
      <c r="S11127" t="s">
        <v>18959</v>
      </c>
      <c r="U11127" t="s">
        <v>26604</v>
      </c>
      <c r="V11127" t="s">
        <v>26612</v>
      </c>
      <c r="X11127">
        <v>2050</v>
      </c>
      <c r="Y11127" t="s">
        <v>26653</v>
      </c>
      <c r="Z11127" t="s">
        <v>26668</v>
      </c>
      <c r="AB11127" t="s">
        <v>34301</v>
      </c>
      <c r="AC11127" t="s">
        <v>36784</v>
      </c>
      <c r="AD11127" t="s">
        <v>45318</v>
      </c>
      <c r="AE11127">
        <v>3</v>
      </c>
      <c r="AF11127" t="s">
        <v>45547</v>
      </c>
      <c r="AG11127" t="s">
        <v>26530</v>
      </c>
      <c r="AH11127">
        <v>1</v>
      </c>
      <c r="AI11127">
        <v>1</v>
      </c>
      <c r="AJ11127">
        <v>3</v>
      </c>
      <c r="AK11127">
        <v>23.3</v>
      </c>
      <c r="AN11127" t="s">
        <v>7439</v>
      </c>
      <c r="AO11127">
        <v>6000</v>
      </c>
      <c r="AU11127">
        <v>1.87</v>
      </c>
      <c r="AV11127" t="s">
        <v>835</v>
      </c>
      <c r="AW11127" t="s">
        <v>46846</v>
      </c>
      <c r="AX11127" t="s">
        <v>46897</v>
      </c>
    </row>
    <row r="11128" spans="1:50">
      <c r="A11128" s="1">
        <f>HYPERLINK("https://lsnyc.legalserver.org/matter/dynamic-profile/view/1902347","19-1902347")</f>
        <v>0</v>
      </c>
      <c r="B11128" t="s">
        <v>91</v>
      </c>
      <c r="C11128" t="s">
        <v>340</v>
      </c>
      <c r="D11128" t="s">
        <v>826</v>
      </c>
      <c r="F11128" t="s">
        <v>1081</v>
      </c>
      <c r="G11128" t="s">
        <v>7424</v>
      </c>
      <c r="H11128" t="s">
        <v>17089</v>
      </c>
      <c r="I11128" t="s">
        <v>17334</v>
      </c>
      <c r="J11128" t="s">
        <v>18932</v>
      </c>
      <c r="K11128">
        <v>11385</v>
      </c>
      <c r="L11128" t="s">
        <v>18958</v>
      </c>
      <c r="M11128" t="s">
        <v>18960</v>
      </c>
      <c r="N11128" t="s">
        <v>26348</v>
      </c>
      <c r="O11128" t="s">
        <v>26524</v>
      </c>
      <c r="P11128" t="s">
        <v>26560</v>
      </c>
      <c r="R11128" t="s">
        <v>26585</v>
      </c>
      <c r="S11128" t="s">
        <v>18959</v>
      </c>
      <c r="U11128" t="s">
        <v>26604</v>
      </c>
      <c r="X11128">
        <v>1400</v>
      </c>
      <c r="Y11128" t="s">
        <v>26653</v>
      </c>
      <c r="Z11128" t="s">
        <v>26668</v>
      </c>
      <c r="AB11128" t="s">
        <v>34302</v>
      </c>
      <c r="AC11128" t="s">
        <v>19330</v>
      </c>
      <c r="AD11128" t="s">
        <v>45319</v>
      </c>
      <c r="AE11128">
        <v>3</v>
      </c>
      <c r="AH11128">
        <v>10</v>
      </c>
      <c r="AI11128">
        <v>2</v>
      </c>
      <c r="AJ11128">
        <v>0</v>
      </c>
      <c r="AK11128">
        <v>142</v>
      </c>
      <c r="AN11128" t="s">
        <v>7439</v>
      </c>
      <c r="AO11128">
        <v>24012</v>
      </c>
      <c r="AU11128">
        <v>1.33</v>
      </c>
      <c r="AV11128" t="s">
        <v>835</v>
      </c>
      <c r="AW11128" t="s">
        <v>46846</v>
      </c>
      <c r="AX11128" t="s">
        <v>46897</v>
      </c>
    </row>
    <row r="11129" spans="1:50">
      <c r="A11129" s="1">
        <f>HYPERLINK("https://lsnyc.legalserver.org/matter/dynamic-profile/view/1902377","19-1902377")</f>
        <v>0</v>
      </c>
      <c r="B11129" t="s">
        <v>114</v>
      </c>
      <c r="C11129" t="s">
        <v>340</v>
      </c>
      <c r="D11129" t="s">
        <v>826</v>
      </c>
      <c r="F11129" t="s">
        <v>4730</v>
      </c>
      <c r="G11129" t="s">
        <v>9543</v>
      </c>
      <c r="H11129" t="s">
        <v>12581</v>
      </c>
      <c r="I11129" t="s">
        <v>17312</v>
      </c>
      <c r="J11129" t="s">
        <v>18897</v>
      </c>
      <c r="K11129">
        <v>11415</v>
      </c>
      <c r="L11129" t="s">
        <v>18958</v>
      </c>
      <c r="M11129" t="s">
        <v>18960</v>
      </c>
      <c r="N11129" t="s">
        <v>26349</v>
      </c>
      <c r="O11129" t="s">
        <v>26523</v>
      </c>
      <c r="P11129" t="s">
        <v>26563</v>
      </c>
      <c r="R11129" t="s">
        <v>26584</v>
      </c>
      <c r="U11129" t="s">
        <v>26604</v>
      </c>
      <c r="X11129">
        <v>1825</v>
      </c>
      <c r="Y11129" t="s">
        <v>26653</v>
      </c>
      <c r="Z11129" t="s">
        <v>26664</v>
      </c>
      <c r="AB11129" t="s">
        <v>34303</v>
      </c>
      <c r="AC11129" t="s">
        <v>19330</v>
      </c>
      <c r="AD11129" t="s">
        <v>45320</v>
      </c>
      <c r="AE11129">
        <v>46</v>
      </c>
      <c r="AF11129" t="s">
        <v>20460</v>
      </c>
      <c r="AG11129" t="s">
        <v>19330</v>
      </c>
      <c r="AH11129">
        <v>1</v>
      </c>
      <c r="AI11129">
        <v>2</v>
      </c>
      <c r="AJ11129">
        <v>3</v>
      </c>
      <c r="AK11129">
        <v>122.64</v>
      </c>
      <c r="AN11129" t="s">
        <v>7439</v>
      </c>
      <c r="AO11129">
        <v>37000</v>
      </c>
      <c r="AU11129">
        <v>0</v>
      </c>
      <c r="AW11129" t="s">
        <v>46846</v>
      </c>
      <c r="AX11129" t="s">
        <v>46897</v>
      </c>
    </row>
    <row r="11130" spans="1:50">
      <c r="A11130" s="1">
        <f>HYPERLINK("https://lsnyc.legalserver.org/matter/dynamic-profile/view/1902333","19-1902333")</f>
        <v>0</v>
      </c>
      <c r="B11130" t="s">
        <v>69</v>
      </c>
      <c r="C11130" t="s">
        <v>340</v>
      </c>
      <c r="D11130" t="s">
        <v>826</v>
      </c>
      <c r="F11130" t="s">
        <v>1080</v>
      </c>
      <c r="G11130" t="s">
        <v>1627</v>
      </c>
      <c r="H11130" t="s">
        <v>12100</v>
      </c>
      <c r="I11130" t="s">
        <v>18344</v>
      </c>
      <c r="J11130" t="s">
        <v>18892</v>
      </c>
      <c r="K11130">
        <v>10467</v>
      </c>
      <c r="L11130" t="s">
        <v>18958</v>
      </c>
      <c r="M11130" t="s">
        <v>18960</v>
      </c>
      <c r="N11130" t="s">
        <v>26350</v>
      </c>
      <c r="O11130" t="s">
        <v>26523</v>
      </c>
      <c r="R11130" t="s">
        <v>26579</v>
      </c>
      <c r="S11130" t="s">
        <v>18959</v>
      </c>
      <c r="U11130" t="s">
        <v>26604</v>
      </c>
      <c r="X11130">
        <v>237</v>
      </c>
      <c r="Y11130" t="s">
        <v>26650</v>
      </c>
      <c r="AB11130" t="s">
        <v>34304</v>
      </c>
      <c r="AD11130" t="s">
        <v>45321</v>
      </c>
      <c r="AE11130">
        <v>0</v>
      </c>
      <c r="AH11130">
        <v>0</v>
      </c>
      <c r="AI11130">
        <v>1</v>
      </c>
      <c r="AJ11130">
        <v>0</v>
      </c>
      <c r="AK11130">
        <v>12.28</v>
      </c>
      <c r="AN11130" t="s">
        <v>7439</v>
      </c>
      <c r="AO11130">
        <v>1534</v>
      </c>
      <c r="AU11130">
        <v>0</v>
      </c>
      <c r="AW11130" t="s">
        <v>335</v>
      </c>
      <c r="AX11130" t="s">
        <v>46897</v>
      </c>
    </row>
    <row r="11131" spans="1:50">
      <c r="A11131" s="1">
        <f>HYPERLINK("https://lsnyc.legalserver.org/matter/dynamic-profile/view/1902352","19-1902352")</f>
        <v>0</v>
      </c>
      <c r="B11131" t="s">
        <v>69</v>
      </c>
      <c r="C11131" t="s">
        <v>340</v>
      </c>
      <c r="D11131" t="s">
        <v>826</v>
      </c>
      <c r="F11131" t="s">
        <v>4998</v>
      </c>
      <c r="G11131" t="s">
        <v>5394</v>
      </c>
      <c r="H11131" t="s">
        <v>12066</v>
      </c>
      <c r="I11131" t="s">
        <v>17389</v>
      </c>
      <c r="J11131" t="s">
        <v>18892</v>
      </c>
      <c r="K11131">
        <v>10468</v>
      </c>
      <c r="L11131" t="s">
        <v>18958</v>
      </c>
      <c r="M11131" t="s">
        <v>18960</v>
      </c>
      <c r="N11131" t="s">
        <v>26351</v>
      </c>
      <c r="O11131" t="s">
        <v>26523</v>
      </c>
      <c r="R11131" t="s">
        <v>26579</v>
      </c>
      <c r="S11131" t="s">
        <v>18959</v>
      </c>
      <c r="U11131" t="s">
        <v>26604</v>
      </c>
      <c r="X11131">
        <v>1397</v>
      </c>
      <c r="Y11131" t="s">
        <v>26650</v>
      </c>
      <c r="AB11131" t="s">
        <v>34305</v>
      </c>
      <c r="AD11131" t="s">
        <v>45322</v>
      </c>
      <c r="AE11131">
        <v>0</v>
      </c>
      <c r="AF11131" t="s">
        <v>45541</v>
      </c>
      <c r="AH11131">
        <v>0</v>
      </c>
      <c r="AI11131">
        <v>1</v>
      </c>
      <c r="AJ11131">
        <v>1</v>
      </c>
      <c r="AK11131">
        <v>123</v>
      </c>
      <c r="AN11131" t="s">
        <v>45581</v>
      </c>
      <c r="AO11131">
        <v>20800</v>
      </c>
      <c r="AU11131">
        <v>1</v>
      </c>
      <c r="AV11131" t="s">
        <v>821</v>
      </c>
      <c r="AW11131" t="s">
        <v>335</v>
      </c>
      <c r="AX11131" t="s">
        <v>46897</v>
      </c>
    </row>
    <row r="11132" spans="1:50">
      <c r="A11132" s="1">
        <f>HYPERLINK("https://lsnyc.legalserver.org/matter/dynamic-profile/view/1902336","19-1902336")</f>
        <v>0</v>
      </c>
      <c r="B11132" t="s">
        <v>279</v>
      </c>
      <c r="C11132" t="s">
        <v>340</v>
      </c>
      <c r="D11132" t="s">
        <v>826</v>
      </c>
      <c r="F11132" t="s">
        <v>4379</v>
      </c>
      <c r="G11132" t="s">
        <v>5026</v>
      </c>
      <c r="H11132" t="s">
        <v>17090</v>
      </c>
      <c r="I11132">
        <v>1</v>
      </c>
      <c r="J11132" t="s">
        <v>18894</v>
      </c>
      <c r="K11132">
        <v>11233</v>
      </c>
      <c r="L11132" t="s">
        <v>18959</v>
      </c>
      <c r="M11132" t="s">
        <v>18960</v>
      </c>
      <c r="N11132" t="s">
        <v>18993</v>
      </c>
      <c r="O11132" t="s">
        <v>18997</v>
      </c>
      <c r="R11132" t="s">
        <v>26578</v>
      </c>
      <c r="S11132" t="s">
        <v>18959</v>
      </c>
      <c r="U11132" t="s">
        <v>26604</v>
      </c>
      <c r="V11132" t="s">
        <v>26610</v>
      </c>
      <c r="X11132">
        <v>1300</v>
      </c>
      <c r="Y11132" t="s">
        <v>26652</v>
      </c>
      <c r="Z11132" t="s">
        <v>26661</v>
      </c>
      <c r="AB11132" t="s">
        <v>34306</v>
      </c>
      <c r="AC11132" t="s">
        <v>34805</v>
      </c>
      <c r="AD11132" t="s">
        <v>45323</v>
      </c>
      <c r="AE11132">
        <v>3</v>
      </c>
      <c r="AF11132" t="s">
        <v>45547</v>
      </c>
      <c r="AG11132" t="s">
        <v>19330</v>
      </c>
      <c r="AH11132">
        <v>9</v>
      </c>
      <c r="AI11132">
        <v>2</v>
      </c>
      <c r="AJ11132">
        <v>0</v>
      </c>
      <c r="AK11132">
        <v>159.67</v>
      </c>
      <c r="AN11132" t="s">
        <v>7439</v>
      </c>
      <c r="AO11132">
        <v>27000</v>
      </c>
      <c r="AU11132">
        <v>1</v>
      </c>
      <c r="AV11132" t="s">
        <v>826</v>
      </c>
      <c r="AW11132" t="s">
        <v>46857</v>
      </c>
      <c r="AX11132" t="s">
        <v>19330</v>
      </c>
    </row>
    <row r="11133" spans="1:50">
      <c r="A11133" s="1">
        <f>HYPERLINK("https://lsnyc.legalserver.org/matter/dynamic-profile/view/1902319","19-1902319")</f>
        <v>0</v>
      </c>
      <c r="B11133" t="s">
        <v>250</v>
      </c>
      <c r="C11133" t="s">
        <v>340</v>
      </c>
      <c r="D11133" t="s">
        <v>826</v>
      </c>
      <c r="F11133" t="s">
        <v>2372</v>
      </c>
      <c r="G11133" t="s">
        <v>7290</v>
      </c>
      <c r="H11133" t="s">
        <v>17091</v>
      </c>
      <c r="I11133" t="s">
        <v>18860</v>
      </c>
      <c r="J11133" t="s">
        <v>18893</v>
      </c>
      <c r="K11133">
        <v>10031</v>
      </c>
      <c r="L11133" t="s">
        <v>18960</v>
      </c>
      <c r="M11133" t="s">
        <v>18960</v>
      </c>
      <c r="P11133" t="s">
        <v>26561</v>
      </c>
      <c r="R11133" t="s">
        <v>26591</v>
      </c>
      <c r="U11133" t="s">
        <v>26604</v>
      </c>
      <c r="X11133">
        <v>0</v>
      </c>
      <c r="Y11133" t="s">
        <v>26651</v>
      </c>
      <c r="AB11133" t="s">
        <v>32961</v>
      </c>
      <c r="AD11133" t="s">
        <v>45324</v>
      </c>
      <c r="AE11133">
        <v>20</v>
      </c>
      <c r="AH11133">
        <v>1</v>
      </c>
      <c r="AI11133">
        <v>1</v>
      </c>
      <c r="AJ11133">
        <v>0</v>
      </c>
      <c r="AK11133">
        <v>0</v>
      </c>
      <c r="AN11133" t="s">
        <v>7439</v>
      </c>
      <c r="AO11133">
        <v>0</v>
      </c>
      <c r="AU11133">
        <v>1.75</v>
      </c>
      <c r="AV11133" t="s">
        <v>839</v>
      </c>
      <c r="AW11133" t="s">
        <v>46857</v>
      </c>
    </row>
    <row r="11134" spans="1:50">
      <c r="A11134" s="1">
        <f>HYPERLINK("https://lsnyc.legalserver.org/matter/dynamic-profile/view/1902425","19-1902425")</f>
        <v>0</v>
      </c>
      <c r="B11134" t="s">
        <v>245</v>
      </c>
      <c r="C11134" t="s">
        <v>340</v>
      </c>
      <c r="D11134" t="s">
        <v>830</v>
      </c>
      <c r="F11134" t="s">
        <v>1237</v>
      </c>
      <c r="G11134" t="s">
        <v>1685</v>
      </c>
      <c r="H11134" t="s">
        <v>17092</v>
      </c>
      <c r="I11134" t="s">
        <v>17577</v>
      </c>
      <c r="J11134" t="s">
        <v>18892</v>
      </c>
      <c r="K11134">
        <v>10468</v>
      </c>
      <c r="L11134" t="s">
        <v>18958</v>
      </c>
      <c r="M11134" t="s">
        <v>18960</v>
      </c>
      <c r="N11134" t="s">
        <v>26352</v>
      </c>
      <c r="O11134" t="s">
        <v>26523</v>
      </c>
      <c r="R11134" t="s">
        <v>26579</v>
      </c>
      <c r="S11134" t="s">
        <v>18959</v>
      </c>
      <c r="U11134" t="s">
        <v>26604</v>
      </c>
      <c r="X11134">
        <v>1271.72</v>
      </c>
      <c r="Y11134" t="s">
        <v>26650</v>
      </c>
      <c r="AB11134" t="s">
        <v>34307</v>
      </c>
      <c r="AC11134" t="s">
        <v>36785</v>
      </c>
      <c r="AD11134" t="s">
        <v>45325</v>
      </c>
      <c r="AE11134">
        <v>0</v>
      </c>
      <c r="AF11134" t="s">
        <v>45541</v>
      </c>
      <c r="AG11134" t="s">
        <v>45556</v>
      </c>
      <c r="AH11134">
        <v>10</v>
      </c>
      <c r="AI11134">
        <v>1</v>
      </c>
      <c r="AJ11134">
        <v>0</v>
      </c>
      <c r="AK11134">
        <v>19.05</v>
      </c>
      <c r="AN11134" t="s">
        <v>7439</v>
      </c>
      <c r="AO11134">
        <v>2379</v>
      </c>
      <c r="AU11134">
        <v>0</v>
      </c>
      <c r="AW11134" t="s">
        <v>335</v>
      </c>
      <c r="AX11134" t="s">
        <v>46898</v>
      </c>
    </row>
    <row r="11135" spans="1:50">
      <c r="A11135" s="1">
        <f>HYPERLINK("https://lsnyc.legalserver.org/matter/dynamic-profile/view/1902493","19-1902493")</f>
        <v>0</v>
      </c>
      <c r="B11135" t="s">
        <v>219</v>
      </c>
      <c r="C11135" t="s">
        <v>340</v>
      </c>
      <c r="D11135" t="s">
        <v>830</v>
      </c>
      <c r="F11135" t="s">
        <v>1163</v>
      </c>
      <c r="G11135" t="s">
        <v>879</v>
      </c>
      <c r="H11135" t="s">
        <v>17093</v>
      </c>
      <c r="I11135">
        <v>305</v>
      </c>
      <c r="J11135" t="s">
        <v>18894</v>
      </c>
      <c r="K11135">
        <v>11206</v>
      </c>
      <c r="L11135" t="s">
        <v>18960</v>
      </c>
      <c r="M11135" t="s">
        <v>18960</v>
      </c>
      <c r="N11135" t="s">
        <v>26353</v>
      </c>
      <c r="O11135" t="s">
        <v>26524</v>
      </c>
      <c r="R11135" t="s">
        <v>26591</v>
      </c>
      <c r="U11135" t="s">
        <v>26604</v>
      </c>
      <c r="X11135">
        <v>2100</v>
      </c>
      <c r="Y11135" t="s">
        <v>26652</v>
      </c>
      <c r="Z11135" t="s">
        <v>26530</v>
      </c>
      <c r="AB11135" t="s">
        <v>34308</v>
      </c>
      <c r="AD11135" t="s">
        <v>45326</v>
      </c>
      <c r="AE11135">
        <v>50</v>
      </c>
      <c r="AF11135" t="s">
        <v>20460</v>
      </c>
      <c r="AH11135">
        <v>5</v>
      </c>
      <c r="AI11135">
        <v>1</v>
      </c>
      <c r="AJ11135">
        <v>0</v>
      </c>
      <c r="AK11135">
        <v>0</v>
      </c>
      <c r="AN11135" t="s">
        <v>7439</v>
      </c>
      <c r="AO11135">
        <v>0</v>
      </c>
      <c r="AU11135">
        <v>1.1</v>
      </c>
      <c r="AV11135" t="s">
        <v>832</v>
      </c>
      <c r="AW11135" t="s">
        <v>46849</v>
      </c>
    </row>
    <row r="11136" spans="1:50">
      <c r="A11136" s="1">
        <f>HYPERLINK("https://lsnyc.legalserver.org/matter/dynamic-profile/view/1902456","19-1902456")</f>
        <v>0</v>
      </c>
      <c r="B11136" t="s">
        <v>219</v>
      </c>
      <c r="C11136" t="s">
        <v>340</v>
      </c>
      <c r="D11136" t="s">
        <v>830</v>
      </c>
      <c r="F11136" t="s">
        <v>1452</v>
      </c>
      <c r="G11136" t="s">
        <v>6066</v>
      </c>
      <c r="H11136" t="s">
        <v>17094</v>
      </c>
      <c r="I11136" t="s">
        <v>17356</v>
      </c>
      <c r="J11136" t="s">
        <v>18894</v>
      </c>
      <c r="K11136">
        <v>11215</v>
      </c>
      <c r="L11136" t="s">
        <v>18960</v>
      </c>
      <c r="M11136" t="s">
        <v>18960</v>
      </c>
      <c r="N11136" t="s">
        <v>26354</v>
      </c>
      <c r="O11136" t="s">
        <v>26524</v>
      </c>
      <c r="R11136" t="s">
        <v>26591</v>
      </c>
      <c r="U11136" t="s">
        <v>26604</v>
      </c>
      <c r="X11136">
        <v>186</v>
      </c>
      <c r="Y11136" t="s">
        <v>26652</v>
      </c>
      <c r="AB11136" t="s">
        <v>34309</v>
      </c>
      <c r="AD11136" t="s">
        <v>45327</v>
      </c>
      <c r="AE11136">
        <v>49</v>
      </c>
      <c r="AH11136">
        <v>7</v>
      </c>
      <c r="AI11136">
        <v>1</v>
      </c>
      <c r="AJ11136">
        <v>0</v>
      </c>
      <c r="AK11136">
        <v>63.6</v>
      </c>
      <c r="AN11136" t="s">
        <v>7439</v>
      </c>
      <c r="AO11136">
        <v>7944</v>
      </c>
      <c r="AU11136">
        <v>0.6</v>
      </c>
      <c r="AV11136" t="s">
        <v>830</v>
      </c>
      <c r="AW11136" t="s">
        <v>46842</v>
      </c>
    </row>
    <row r="11137" spans="1:50">
      <c r="A11137" s="1">
        <f>HYPERLINK("https://lsnyc.legalserver.org/matter/dynamic-profile/view/1902506","19-1902506")</f>
        <v>0</v>
      </c>
      <c r="B11137" t="s">
        <v>165</v>
      </c>
      <c r="C11137" t="s">
        <v>340</v>
      </c>
      <c r="D11137" t="s">
        <v>830</v>
      </c>
      <c r="F11137" t="s">
        <v>3095</v>
      </c>
      <c r="G11137" t="s">
        <v>7350</v>
      </c>
      <c r="H11137" t="s">
        <v>13115</v>
      </c>
      <c r="I11137" t="s">
        <v>17322</v>
      </c>
      <c r="J11137" t="s">
        <v>18893</v>
      </c>
      <c r="K11137">
        <v>10026</v>
      </c>
      <c r="L11137" t="s">
        <v>18958</v>
      </c>
      <c r="M11137" t="s">
        <v>18960</v>
      </c>
      <c r="N11137" t="s">
        <v>26355</v>
      </c>
      <c r="O11137" t="s">
        <v>26524</v>
      </c>
      <c r="P11137" t="s">
        <v>26560</v>
      </c>
      <c r="R11137" t="s">
        <v>26580</v>
      </c>
      <c r="S11137" t="s">
        <v>18959</v>
      </c>
      <c r="U11137" t="s">
        <v>26604</v>
      </c>
      <c r="X11137">
        <v>294</v>
      </c>
      <c r="Y11137" t="s">
        <v>26651</v>
      </c>
      <c r="Z11137" t="s">
        <v>26659</v>
      </c>
      <c r="AB11137" t="s">
        <v>27438</v>
      </c>
      <c r="AD11137" t="s">
        <v>40639</v>
      </c>
      <c r="AE11137">
        <v>0</v>
      </c>
      <c r="AF11137" t="s">
        <v>45541</v>
      </c>
      <c r="AG11137" t="s">
        <v>19330</v>
      </c>
      <c r="AH11137">
        <v>6</v>
      </c>
      <c r="AI11137">
        <v>1</v>
      </c>
      <c r="AJ11137">
        <v>0</v>
      </c>
      <c r="AK11137">
        <v>69.94</v>
      </c>
      <c r="AN11137" t="s">
        <v>7439</v>
      </c>
      <c r="AO11137">
        <v>8736</v>
      </c>
      <c r="AU11137">
        <v>3.2</v>
      </c>
      <c r="AV11137" t="s">
        <v>839</v>
      </c>
      <c r="AW11137" t="s">
        <v>314</v>
      </c>
      <c r="AX11137" t="s">
        <v>46897</v>
      </c>
    </row>
    <row r="11138" spans="1:50">
      <c r="A11138" s="1">
        <f>HYPERLINK("https://lsnyc.legalserver.org/matter/dynamic-profile/view/1902419","19-1902419")</f>
        <v>0</v>
      </c>
      <c r="B11138" t="s">
        <v>94</v>
      </c>
      <c r="C11138" t="s">
        <v>340</v>
      </c>
      <c r="D11138" t="s">
        <v>830</v>
      </c>
      <c r="F11138" t="s">
        <v>3252</v>
      </c>
      <c r="G11138" t="s">
        <v>5147</v>
      </c>
      <c r="H11138" t="s">
        <v>17095</v>
      </c>
      <c r="I11138" t="s">
        <v>17306</v>
      </c>
      <c r="J11138" t="s">
        <v>18893</v>
      </c>
      <c r="K11138">
        <v>10029</v>
      </c>
      <c r="L11138" t="s">
        <v>18958</v>
      </c>
      <c r="M11138" t="s">
        <v>18960</v>
      </c>
      <c r="N11138" t="s">
        <v>26356</v>
      </c>
      <c r="O11138" t="s">
        <v>26523</v>
      </c>
      <c r="P11138" t="s">
        <v>26563</v>
      </c>
      <c r="R11138" t="s">
        <v>26578</v>
      </c>
      <c r="S11138" t="s">
        <v>18959</v>
      </c>
      <c r="U11138" t="s">
        <v>26604</v>
      </c>
      <c r="X11138">
        <v>369.12</v>
      </c>
      <c r="Y11138" t="s">
        <v>26651</v>
      </c>
      <c r="Z11138" t="s">
        <v>26664</v>
      </c>
      <c r="AB11138" t="s">
        <v>34310</v>
      </c>
      <c r="AD11138" t="s">
        <v>45328</v>
      </c>
      <c r="AE11138">
        <v>0</v>
      </c>
      <c r="AF11138" t="s">
        <v>20460</v>
      </c>
      <c r="AG11138" t="s">
        <v>19330</v>
      </c>
      <c r="AH11138">
        <v>7</v>
      </c>
      <c r="AI11138">
        <v>1</v>
      </c>
      <c r="AJ11138">
        <v>0</v>
      </c>
      <c r="AK11138">
        <v>74.08</v>
      </c>
      <c r="AN11138" t="s">
        <v>45581</v>
      </c>
      <c r="AO11138">
        <v>9252</v>
      </c>
      <c r="AU11138">
        <v>3.3</v>
      </c>
      <c r="AV11138" t="s">
        <v>839</v>
      </c>
      <c r="AW11138" t="s">
        <v>314</v>
      </c>
      <c r="AX11138" t="s">
        <v>46897</v>
      </c>
    </row>
    <row r="11139" spans="1:50">
      <c r="A11139" s="1">
        <f>HYPERLINK("https://lsnyc.legalserver.org/matter/dynamic-profile/view/1902417","19-1902417")</f>
        <v>0</v>
      </c>
      <c r="B11139" t="s">
        <v>94</v>
      </c>
      <c r="C11139" t="s">
        <v>340</v>
      </c>
      <c r="D11139" t="s">
        <v>830</v>
      </c>
      <c r="F11139" t="s">
        <v>4999</v>
      </c>
      <c r="G11139" t="s">
        <v>6242</v>
      </c>
      <c r="H11139" t="s">
        <v>12280</v>
      </c>
      <c r="I11139" t="s">
        <v>17347</v>
      </c>
      <c r="J11139" t="s">
        <v>18893</v>
      </c>
      <c r="K11139">
        <v>10029</v>
      </c>
      <c r="L11139" t="s">
        <v>18960</v>
      </c>
      <c r="M11139" t="s">
        <v>18960</v>
      </c>
      <c r="N11139" t="s">
        <v>26357</v>
      </c>
      <c r="O11139" t="s">
        <v>26524</v>
      </c>
      <c r="P11139" t="s">
        <v>26563</v>
      </c>
      <c r="R11139" t="s">
        <v>26578</v>
      </c>
      <c r="S11139" t="s">
        <v>18959</v>
      </c>
      <c r="U11139" t="s">
        <v>26606</v>
      </c>
      <c r="X11139">
        <v>1124</v>
      </c>
      <c r="Y11139" t="s">
        <v>26651</v>
      </c>
      <c r="AB11139" t="s">
        <v>34001</v>
      </c>
      <c r="AD11139" t="s">
        <v>45329</v>
      </c>
      <c r="AE11139">
        <v>0</v>
      </c>
      <c r="AF11139" t="s">
        <v>45543</v>
      </c>
      <c r="AG11139" t="s">
        <v>45556</v>
      </c>
      <c r="AH11139">
        <v>2</v>
      </c>
      <c r="AI11139">
        <v>1</v>
      </c>
      <c r="AJ11139">
        <v>0</v>
      </c>
      <c r="AK11139">
        <v>200.16</v>
      </c>
      <c r="AN11139" t="s">
        <v>7439</v>
      </c>
      <c r="AO11139">
        <v>25000</v>
      </c>
      <c r="AU11139">
        <v>1.7</v>
      </c>
      <c r="AV11139" t="s">
        <v>835</v>
      </c>
      <c r="AW11139" t="s">
        <v>314</v>
      </c>
    </row>
    <row r="11140" spans="1:50">
      <c r="A11140" s="1">
        <f>HYPERLINK("https://lsnyc.legalserver.org/matter/dynamic-profile/view/1902446","19-1902446")</f>
        <v>0</v>
      </c>
      <c r="B11140" t="s">
        <v>234</v>
      </c>
      <c r="C11140" t="s">
        <v>340</v>
      </c>
      <c r="D11140" t="s">
        <v>830</v>
      </c>
      <c r="F11140" t="s">
        <v>5000</v>
      </c>
      <c r="G11140" t="s">
        <v>5691</v>
      </c>
      <c r="H11140" t="s">
        <v>17096</v>
      </c>
      <c r="I11140" t="s">
        <v>17292</v>
      </c>
      <c r="J11140" t="s">
        <v>18893</v>
      </c>
      <c r="K11140">
        <v>10029</v>
      </c>
      <c r="L11140" t="s">
        <v>18958</v>
      </c>
      <c r="M11140" t="s">
        <v>18960</v>
      </c>
      <c r="N11140" t="s">
        <v>26358</v>
      </c>
      <c r="O11140" t="s">
        <v>26523</v>
      </c>
      <c r="P11140" t="s">
        <v>26563</v>
      </c>
      <c r="R11140" t="s">
        <v>26582</v>
      </c>
      <c r="S11140" t="s">
        <v>18959</v>
      </c>
      <c r="U11140" t="s">
        <v>26605</v>
      </c>
      <c r="X11140">
        <v>223</v>
      </c>
      <c r="Y11140" t="s">
        <v>26651</v>
      </c>
      <c r="Z11140" t="s">
        <v>26664</v>
      </c>
      <c r="AB11140" t="s">
        <v>29394</v>
      </c>
      <c r="AC11140" t="s">
        <v>36786</v>
      </c>
      <c r="AD11140" t="s">
        <v>45330</v>
      </c>
      <c r="AE11140">
        <v>0</v>
      </c>
      <c r="AF11140" t="s">
        <v>45549</v>
      </c>
      <c r="AG11140" t="s">
        <v>19330</v>
      </c>
      <c r="AH11140">
        <v>15</v>
      </c>
      <c r="AI11140">
        <v>1</v>
      </c>
      <c r="AJ11140">
        <v>0</v>
      </c>
      <c r="AK11140">
        <v>74.36</v>
      </c>
      <c r="AN11140" t="s">
        <v>7439</v>
      </c>
      <c r="AO11140">
        <v>9288</v>
      </c>
      <c r="AU11140">
        <v>0</v>
      </c>
      <c r="AW11140" t="s">
        <v>314</v>
      </c>
      <c r="AX11140" t="s">
        <v>46898</v>
      </c>
    </row>
    <row r="11141" spans="1:50">
      <c r="A11141" s="1">
        <f>HYPERLINK("https://lsnyc.legalserver.org/matter/dynamic-profile/view/1902472","19-1902472")</f>
        <v>0</v>
      </c>
      <c r="B11141" t="s">
        <v>82</v>
      </c>
      <c r="C11141" t="s">
        <v>340</v>
      </c>
      <c r="D11141" t="s">
        <v>830</v>
      </c>
      <c r="F11141" t="s">
        <v>5001</v>
      </c>
      <c r="G11141" t="s">
        <v>9544</v>
      </c>
      <c r="H11141" t="s">
        <v>14130</v>
      </c>
      <c r="I11141">
        <v>705</v>
      </c>
      <c r="J11141" t="s">
        <v>18892</v>
      </c>
      <c r="K11141">
        <v>10467</v>
      </c>
      <c r="L11141" t="s">
        <v>18958</v>
      </c>
      <c r="M11141" t="s">
        <v>18960</v>
      </c>
      <c r="N11141" t="s">
        <v>26359</v>
      </c>
      <c r="O11141" t="s">
        <v>26523</v>
      </c>
      <c r="R11141" t="s">
        <v>26579</v>
      </c>
      <c r="S11141" t="s">
        <v>18959</v>
      </c>
      <c r="U11141" t="s">
        <v>26604</v>
      </c>
      <c r="X11141">
        <v>178</v>
      </c>
      <c r="Y11141" t="s">
        <v>26650</v>
      </c>
      <c r="AB11141" t="s">
        <v>33576</v>
      </c>
      <c r="AC11141" t="s">
        <v>36787</v>
      </c>
      <c r="AD11141" t="s">
        <v>45331</v>
      </c>
      <c r="AE11141">
        <v>0</v>
      </c>
      <c r="AH11141">
        <v>7</v>
      </c>
      <c r="AI11141">
        <v>1</v>
      </c>
      <c r="AJ11141">
        <v>0</v>
      </c>
      <c r="AK11141">
        <v>81.67</v>
      </c>
      <c r="AN11141" t="s">
        <v>7439</v>
      </c>
      <c r="AO11141">
        <v>10200</v>
      </c>
      <c r="AU11141">
        <v>1</v>
      </c>
      <c r="AV11141" t="s">
        <v>773</v>
      </c>
      <c r="AW11141" t="s">
        <v>335</v>
      </c>
      <c r="AX11141" t="s">
        <v>46898</v>
      </c>
    </row>
    <row r="11142" spans="1:50">
      <c r="A11142" s="1">
        <f>HYPERLINK("https://lsnyc.legalserver.org/matter/dynamic-profile/view/1902499","19-1902499")</f>
        <v>0</v>
      </c>
      <c r="B11142" t="s">
        <v>252</v>
      </c>
      <c r="C11142" t="s">
        <v>340</v>
      </c>
      <c r="D11142" t="s">
        <v>830</v>
      </c>
      <c r="F11142" t="s">
        <v>962</v>
      </c>
      <c r="G11142" t="s">
        <v>9545</v>
      </c>
      <c r="H11142" t="s">
        <v>17097</v>
      </c>
      <c r="I11142" t="s">
        <v>17309</v>
      </c>
      <c r="J11142" t="s">
        <v>18894</v>
      </c>
      <c r="K11142">
        <v>11220</v>
      </c>
      <c r="L11142" t="s">
        <v>18960</v>
      </c>
      <c r="M11142" t="s">
        <v>18960</v>
      </c>
      <c r="N11142" t="s">
        <v>26360</v>
      </c>
      <c r="O11142" t="s">
        <v>26523</v>
      </c>
      <c r="R11142" t="s">
        <v>26591</v>
      </c>
      <c r="U11142" t="s">
        <v>26604</v>
      </c>
      <c r="X11142">
        <v>400</v>
      </c>
      <c r="Y11142" t="s">
        <v>26652</v>
      </c>
      <c r="Z11142" t="s">
        <v>26661</v>
      </c>
      <c r="AB11142" t="s">
        <v>34311</v>
      </c>
      <c r="AD11142" t="s">
        <v>45332</v>
      </c>
      <c r="AE11142">
        <v>6</v>
      </c>
      <c r="AF11142" t="s">
        <v>45541</v>
      </c>
      <c r="AG11142" t="s">
        <v>19330</v>
      </c>
      <c r="AH11142">
        <v>20</v>
      </c>
      <c r="AI11142">
        <v>1</v>
      </c>
      <c r="AJ11142">
        <v>0</v>
      </c>
      <c r="AK11142">
        <v>77.63</v>
      </c>
      <c r="AN11142" t="s">
        <v>7439</v>
      </c>
      <c r="AO11142">
        <v>9696</v>
      </c>
      <c r="AU11142">
        <v>0.6</v>
      </c>
      <c r="AV11142" t="s">
        <v>830</v>
      </c>
      <c r="AW11142" t="s">
        <v>46842</v>
      </c>
    </row>
    <row r="11143" spans="1:50">
      <c r="A11143" s="1">
        <f>HYPERLINK("https://lsnyc.legalserver.org/matter/dynamic-profile/view/1902450","19-1902450")</f>
        <v>0</v>
      </c>
      <c r="B11143" t="s">
        <v>121</v>
      </c>
      <c r="C11143" t="s">
        <v>340</v>
      </c>
      <c r="D11143" t="s">
        <v>830</v>
      </c>
      <c r="F11143" t="s">
        <v>1106</v>
      </c>
      <c r="G11143" t="s">
        <v>9546</v>
      </c>
      <c r="H11143" t="s">
        <v>14618</v>
      </c>
      <c r="I11143" t="s">
        <v>17637</v>
      </c>
      <c r="J11143" t="s">
        <v>18892</v>
      </c>
      <c r="K11143">
        <v>10457</v>
      </c>
      <c r="L11143" t="s">
        <v>18958</v>
      </c>
      <c r="M11143" t="s">
        <v>18960</v>
      </c>
      <c r="N11143" t="s">
        <v>26361</v>
      </c>
      <c r="O11143" t="s">
        <v>26523</v>
      </c>
      <c r="P11143" t="s">
        <v>26560</v>
      </c>
      <c r="R11143" t="s">
        <v>26579</v>
      </c>
      <c r="S11143" t="s">
        <v>18959</v>
      </c>
      <c r="U11143" t="s">
        <v>26604</v>
      </c>
      <c r="X11143">
        <v>980.05</v>
      </c>
      <c r="Y11143" t="s">
        <v>26650</v>
      </c>
      <c r="AB11143" t="s">
        <v>34312</v>
      </c>
      <c r="AD11143" t="s">
        <v>45333</v>
      </c>
      <c r="AE11143">
        <v>0</v>
      </c>
      <c r="AH11143">
        <v>20</v>
      </c>
      <c r="AI11143">
        <v>2</v>
      </c>
      <c r="AJ11143">
        <v>0</v>
      </c>
      <c r="AK11143">
        <v>85.54000000000001</v>
      </c>
      <c r="AN11143" t="s">
        <v>7439</v>
      </c>
      <c r="AO11143">
        <v>14465.52</v>
      </c>
      <c r="AU11143">
        <v>0.7</v>
      </c>
      <c r="AV11143" t="s">
        <v>838</v>
      </c>
      <c r="AW11143" t="s">
        <v>335</v>
      </c>
      <c r="AX11143" t="s">
        <v>46897</v>
      </c>
    </row>
    <row r="11144" spans="1:50">
      <c r="A11144" s="1">
        <f>HYPERLINK("https://lsnyc.legalserver.org/matter/dynamic-profile/view/1902441","19-1902441")</f>
        <v>0</v>
      </c>
      <c r="B11144" t="s">
        <v>233</v>
      </c>
      <c r="C11144" t="s">
        <v>340</v>
      </c>
      <c r="D11144" t="s">
        <v>830</v>
      </c>
      <c r="F11144" t="s">
        <v>5002</v>
      </c>
      <c r="G11144" t="s">
        <v>5208</v>
      </c>
      <c r="H11144" t="s">
        <v>17098</v>
      </c>
      <c r="I11144" t="s">
        <v>18479</v>
      </c>
      <c r="J11144" t="s">
        <v>18892</v>
      </c>
      <c r="K11144">
        <v>10467</v>
      </c>
      <c r="L11144" t="s">
        <v>18958</v>
      </c>
      <c r="M11144" t="s">
        <v>18960</v>
      </c>
      <c r="N11144" t="s">
        <v>26362</v>
      </c>
      <c r="O11144" t="s">
        <v>26523</v>
      </c>
      <c r="R11144" t="s">
        <v>26579</v>
      </c>
      <c r="S11144" t="s">
        <v>18959</v>
      </c>
      <c r="U11144" t="s">
        <v>26604</v>
      </c>
      <c r="X11144">
        <v>1200</v>
      </c>
      <c r="Y11144" t="s">
        <v>26650</v>
      </c>
      <c r="AB11144" t="s">
        <v>34313</v>
      </c>
      <c r="AC11144" t="s">
        <v>36788</v>
      </c>
      <c r="AD11144" t="s">
        <v>45334</v>
      </c>
      <c r="AE11144">
        <v>0</v>
      </c>
      <c r="AF11144" t="s">
        <v>45541</v>
      </c>
      <c r="AH11144">
        <v>2</v>
      </c>
      <c r="AI11144">
        <v>2</v>
      </c>
      <c r="AJ11144">
        <v>0</v>
      </c>
      <c r="AK11144">
        <v>0</v>
      </c>
      <c r="AN11144" t="s">
        <v>7439</v>
      </c>
      <c r="AO11144">
        <v>0</v>
      </c>
      <c r="AU11144">
        <v>1</v>
      </c>
      <c r="AV11144" t="s">
        <v>834</v>
      </c>
      <c r="AW11144" t="s">
        <v>335</v>
      </c>
      <c r="AX11144" t="s">
        <v>46898</v>
      </c>
    </row>
    <row r="11145" spans="1:50">
      <c r="A11145" s="1">
        <f>HYPERLINK("https://lsnyc.legalserver.org/matter/dynamic-profile/view/1900285","19-1900285")</f>
        <v>0</v>
      </c>
      <c r="B11145" t="s">
        <v>104</v>
      </c>
      <c r="C11145" t="s">
        <v>340</v>
      </c>
      <c r="D11145" t="s">
        <v>830</v>
      </c>
      <c r="F11145" t="s">
        <v>5003</v>
      </c>
      <c r="G11145" t="s">
        <v>1203</v>
      </c>
      <c r="H11145" t="s">
        <v>14116</v>
      </c>
      <c r="I11145" t="s">
        <v>17293</v>
      </c>
      <c r="J11145" t="s">
        <v>18902</v>
      </c>
      <c r="K11145">
        <v>10310</v>
      </c>
      <c r="L11145" t="s">
        <v>18958</v>
      </c>
      <c r="M11145" t="s">
        <v>18960</v>
      </c>
      <c r="N11145" t="s">
        <v>26363</v>
      </c>
      <c r="O11145" t="s">
        <v>26523</v>
      </c>
      <c r="R11145" t="s">
        <v>26590</v>
      </c>
      <c r="S11145" t="s">
        <v>18959</v>
      </c>
      <c r="U11145" t="s">
        <v>26605</v>
      </c>
      <c r="V11145" t="s">
        <v>26610</v>
      </c>
      <c r="X11145">
        <v>1779</v>
      </c>
      <c r="Y11145" t="s">
        <v>26654</v>
      </c>
      <c r="Z11145" t="s">
        <v>26668</v>
      </c>
      <c r="AB11145" t="s">
        <v>34314</v>
      </c>
      <c r="AD11145" t="s">
        <v>45335</v>
      </c>
      <c r="AE11145">
        <v>634</v>
      </c>
      <c r="AF11145" t="s">
        <v>45543</v>
      </c>
      <c r="AG11145" t="s">
        <v>19330</v>
      </c>
      <c r="AH11145">
        <v>20</v>
      </c>
      <c r="AI11145">
        <v>1</v>
      </c>
      <c r="AJ11145">
        <v>1</v>
      </c>
      <c r="AK11145">
        <v>274.15</v>
      </c>
      <c r="AN11145" t="s">
        <v>7439</v>
      </c>
      <c r="AO11145">
        <v>46359</v>
      </c>
      <c r="AU11145">
        <v>1.55</v>
      </c>
      <c r="AV11145" t="s">
        <v>839</v>
      </c>
      <c r="AW11145" t="s">
        <v>46883</v>
      </c>
      <c r="AX11145" t="s">
        <v>46897</v>
      </c>
    </row>
    <row r="11146" spans="1:50">
      <c r="A11146" s="1">
        <f>HYPERLINK("https://lsnyc.legalserver.org/matter/dynamic-profile/view/1902281","19-1902281")</f>
        <v>0</v>
      </c>
      <c r="B11146" t="s">
        <v>123</v>
      </c>
      <c r="C11146" t="s">
        <v>340</v>
      </c>
      <c r="D11146" t="s">
        <v>830</v>
      </c>
      <c r="F11146" t="s">
        <v>1287</v>
      </c>
      <c r="G11146" t="s">
        <v>9547</v>
      </c>
      <c r="H11146" t="s">
        <v>17099</v>
      </c>
      <c r="I11146" t="s">
        <v>18861</v>
      </c>
      <c r="J11146" t="s">
        <v>18894</v>
      </c>
      <c r="K11146">
        <v>11201</v>
      </c>
      <c r="L11146" t="s">
        <v>18960</v>
      </c>
      <c r="M11146" t="s">
        <v>18960</v>
      </c>
      <c r="N11146" t="s">
        <v>26364</v>
      </c>
      <c r="O11146" t="s">
        <v>26549</v>
      </c>
      <c r="P11146" t="s">
        <v>26560</v>
      </c>
      <c r="R11146" t="s">
        <v>26586</v>
      </c>
      <c r="S11146" t="s">
        <v>18959</v>
      </c>
      <c r="U11146" t="s">
        <v>26604</v>
      </c>
      <c r="V11146" t="s">
        <v>26610</v>
      </c>
      <c r="X11146">
        <v>281</v>
      </c>
      <c r="Y11146" t="s">
        <v>26652</v>
      </c>
      <c r="Z11146" t="s">
        <v>26659</v>
      </c>
      <c r="AB11146" t="s">
        <v>34315</v>
      </c>
      <c r="AD11146" t="s">
        <v>45336</v>
      </c>
      <c r="AE11146">
        <v>30</v>
      </c>
      <c r="AF11146" t="s">
        <v>45542</v>
      </c>
      <c r="AH11146">
        <v>47</v>
      </c>
      <c r="AI11146">
        <v>1</v>
      </c>
      <c r="AJ11146">
        <v>0</v>
      </c>
      <c r="AK11146">
        <v>38.24</v>
      </c>
      <c r="AN11146" t="s">
        <v>7439</v>
      </c>
      <c r="AO11146">
        <v>4776</v>
      </c>
      <c r="AU11146">
        <v>33.45</v>
      </c>
      <c r="AV11146" t="s">
        <v>821</v>
      </c>
      <c r="AW11146" t="s">
        <v>46862</v>
      </c>
    </row>
    <row r="11147" spans="1:50">
      <c r="A11147" s="1">
        <f>HYPERLINK("https://lsnyc.legalserver.org/matter/dynamic-profile/view/1902588","19-1902588")</f>
        <v>0</v>
      </c>
      <c r="B11147" t="s">
        <v>50</v>
      </c>
      <c r="C11147" t="s">
        <v>341</v>
      </c>
      <c r="D11147" t="s">
        <v>831</v>
      </c>
      <c r="E11147" t="s">
        <v>834</v>
      </c>
      <c r="F11147" t="s">
        <v>4078</v>
      </c>
      <c r="G11147" t="s">
        <v>6093</v>
      </c>
      <c r="H11147" t="s">
        <v>17100</v>
      </c>
      <c r="I11147" t="s">
        <v>17306</v>
      </c>
      <c r="J11147" t="s">
        <v>18892</v>
      </c>
      <c r="K11147">
        <v>10473</v>
      </c>
      <c r="L11147" t="s">
        <v>18958</v>
      </c>
      <c r="M11147" t="s">
        <v>18960</v>
      </c>
      <c r="N11147" t="s">
        <v>26365</v>
      </c>
      <c r="O11147" t="s">
        <v>26523</v>
      </c>
      <c r="P11147" t="s">
        <v>26564</v>
      </c>
      <c r="Q11147" t="s">
        <v>26570</v>
      </c>
      <c r="R11147" t="s">
        <v>26591</v>
      </c>
      <c r="S11147" t="s">
        <v>18959</v>
      </c>
      <c r="U11147" t="s">
        <v>26604</v>
      </c>
      <c r="X11147">
        <v>1718</v>
      </c>
      <c r="Y11147" t="s">
        <v>26650</v>
      </c>
      <c r="AA11147" t="s">
        <v>26683</v>
      </c>
      <c r="AB11147" t="s">
        <v>34316</v>
      </c>
      <c r="AE11147">
        <v>157</v>
      </c>
      <c r="AF11147" t="s">
        <v>45541</v>
      </c>
      <c r="AG11147" t="s">
        <v>45556</v>
      </c>
      <c r="AH11147">
        <v>20</v>
      </c>
      <c r="AI11147">
        <v>1</v>
      </c>
      <c r="AJ11147">
        <v>2</v>
      </c>
      <c r="AK11147">
        <v>43.38</v>
      </c>
      <c r="AO11147">
        <v>9252</v>
      </c>
      <c r="AP11147" t="s">
        <v>46350</v>
      </c>
      <c r="AU11147">
        <v>2.75</v>
      </c>
      <c r="AV11147" t="s">
        <v>834</v>
      </c>
      <c r="AW11147" t="s">
        <v>335</v>
      </c>
      <c r="AX11147" t="s">
        <v>19330</v>
      </c>
    </row>
    <row r="11148" spans="1:50">
      <c r="A11148" s="1">
        <f>HYPERLINK("https://lsnyc.legalserver.org/matter/dynamic-profile/view/1902595","19-1902595")</f>
        <v>0</v>
      </c>
      <c r="B11148" t="s">
        <v>198</v>
      </c>
      <c r="C11148" t="s">
        <v>341</v>
      </c>
      <c r="D11148" t="s">
        <v>831</v>
      </c>
      <c r="E11148" t="s">
        <v>834</v>
      </c>
      <c r="F11148" t="s">
        <v>2240</v>
      </c>
      <c r="G11148" t="s">
        <v>9548</v>
      </c>
      <c r="H11148" t="s">
        <v>17101</v>
      </c>
      <c r="I11148" t="s">
        <v>17277</v>
      </c>
      <c r="J11148" t="s">
        <v>18894</v>
      </c>
      <c r="K11148">
        <v>11230</v>
      </c>
      <c r="L11148" t="s">
        <v>18960</v>
      </c>
      <c r="M11148" t="s">
        <v>18960</v>
      </c>
      <c r="Q11148" t="s">
        <v>26570</v>
      </c>
      <c r="R11148" t="s">
        <v>26578</v>
      </c>
      <c r="U11148" t="s">
        <v>26604</v>
      </c>
      <c r="X11148">
        <v>0</v>
      </c>
      <c r="Y11148" t="s">
        <v>26652</v>
      </c>
      <c r="AA11148" t="s">
        <v>26683</v>
      </c>
      <c r="AB11148" t="s">
        <v>31739</v>
      </c>
      <c r="AD11148" t="s">
        <v>45337</v>
      </c>
      <c r="AE11148">
        <v>0</v>
      </c>
      <c r="AH11148">
        <v>0</v>
      </c>
      <c r="AI11148">
        <v>2</v>
      </c>
      <c r="AJ11148">
        <v>2</v>
      </c>
      <c r="AK11148">
        <v>159.84</v>
      </c>
      <c r="AN11148" t="s">
        <v>7439</v>
      </c>
      <c r="AO11148">
        <v>41160</v>
      </c>
      <c r="AU11148">
        <v>1.2</v>
      </c>
      <c r="AV11148" t="s">
        <v>834</v>
      </c>
      <c r="AW11148" t="s">
        <v>198</v>
      </c>
    </row>
    <row r="11149" spans="1:50">
      <c r="A11149" s="1">
        <f>HYPERLINK("https://lsnyc.legalserver.org/matter/dynamic-profile/view/1902539","19-1902539")</f>
        <v>0</v>
      </c>
      <c r="B11149" t="s">
        <v>219</v>
      </c>
      <c r="C11149" t="s">
        <v>340</v>
      </c>
      <c r="D11149" t="s">
        <v>831</v>
      </c>
      <c r="F11149" t="s">
        <v>1113</v>
      </c>
      <c r="G11149" t="s">
        <v>9549</v>
      </c>
      <c r="H11149" t="s">
        <v>17102</v>
      </c>
      <c r="I11149" t="s">
        <v>17339</v>
      </c>
      <c r="J11149" t="s">
        <v>18894</v>
      </c>
      <c r="K11149">
        <v>11210</v>
      </c>
      <c r="L11149" t="s">
        <v>18960</v>
      </c>
      <c r="M11149" t="s">
        <v>18960</v>
      </c>
      <c r="N11149" t="s">
        <v>26366</v>
      </c>
      <c r="O11149" t="s">
        <v>26524</v>
      </c>
      <c r="R11149" t="s">
        <v>26591</v>
      </c>
      <c r="S11149" t="s">
        <v>18959</v>
      </c>
      <c r="U11149" t="s">
        <v>26604</v>
      </c>
      <c r="X11149">
        <v>1350</v>
      </c>
      <c r="Y11149" t="s">
        <v>26652</v>
      </c>
      <c r="Z11149" t="s">
        <v>26530</v>
      </c>
      <c r="AB11149" t="s">
        <v>34317</v>
      </c>
      <c r="AD11149" t="s">
        <v>45338</v>
      </c>
      <c r="AE11149">
        <v>70</v>
      </c>
      <c r="AF11149" t="s">
        <v>20460</v>
      </c>
      <c r="AG11149" t="s">
        <v>19330</v>
      </c>
      <c r="AH11149">
        <v>5</v>
      </c>
      <c r="AI11149">
        <v>1</v>
      </c>
      <c r="AJ11149">
        <v>0</v>
      </c>
      <c r="AK11149">
        <v>27.29</v>
      </c>
      <c r="AN11149" t="s">
        <v>7439</v>
      </c>
      <c r="AO11149">
        <v>3408</v>
      </c>
      <c r="AU11149">
        <v>0.7</v>
      </c>
      <c r="AV11149" t="s">
        <v>832</v>
      </c>
      <c r="AW11149" t="s">
        <v>46841</v>
      </c>
    </row>
    <row r="11150" spans="1:50">
      <c r="A11150" s="1">
        <f>HYPERLINK("https://lsnyc.legalserver.org/matter/dynamic-profile/view/1902523","19-1902523")</f>
        <v>0</v>
      </c>
      <c r="B11150" t="s">
        <v>219</v>
      </c>
      <c r="C11150" t="s">
        <v>340</v>
      </c>
      <c r="D11150" t="s">
        <v>831</v>
      </c>
      <c r="F11150" t="s">
        <v>2816</v>
      </c>
      <c r="G11150" t="s">
        <v>9201</v>
      </c>
      <c r="H11150" t="s">
        <v>16373</v>
      </c>
      <c r="I11150" t="s">
        <v>17293</v>
      </c>
      <c r="J11150" t="s">
        <v>18894</v>
      </c>
      <c r="K11150">
        <v>11217</v>
      </c>
      <c r="L11150" t="s">
        <v>18960</v>
      </c>
      <c r="M11150" t="s">
        <v>18960</v>
      </c>
      <c r="O11150" t="s">
        <v>18997</v>
      </c>
      <c r="R11150" t="s">
        <v>26591</v>
      </c>
      <c r="U11150" t="s">
        <v>26604</v>
      </c>
      <c r="X11150">
        <v>3400</v>
      </c>
      <c r="Y11150" t="s">
        <v>26652</v>
      </c>
      <c r="AB11150" t="s">
        <v>33685</v>
      </c>
      <c r="AD11150" t="s">
        <v>44495</v>
      </c>
      <c r="AE11150">
        <v>0</v>
      </c>
      <c r="AF11150" t="s">
        <v>45543</v>
      </c>
      <c r="AG11150" t="s">
        <v>26530</v>
      </c>
      <c r="AH11150">
        <v>16</v>
      </c>
      <c r="AI11150">
        <v>1</v>
      </c>
      <c r="AJ11150">
        <v>0</v>
      </c>
      <c r="AK11150">
        <v>76</v>
      </c>
      <c r="AN11150" t="s">
        <v>7439</v>
      </c>
      <c r="AO11150">
        <v>9492</v>
      </c>
      <c r="AU11150">
        <v>1</v>
      </c>
      <c r="AV11150" t="s">
        <v>831</v>
      </c>
      <c r="AW11150" t="s">
        <v>46859</v>
      </c>
    </row>
    <row r="11151" spans="1:50">
      <c r="A11151" s="1">
        <f>HYPERLINK("https://lsnyc.legalserver.org/matter/dynamic-profile/view/1902565","19-1902565")</f>
        <v>0</v>
      </c>
      <c r="B11151" t="s">
        <v>300</v>
      </c>
      <c r="C11151" t="s">
        <v>340</v>
      </c>
      <c r="D11151" t="s">
        <v>831</v>
      </c>
      <c r="F11151" t="s">
        <v>2965</v>
      </c>
      <c r="G11151" t="s">
        <v>5497</v>
      </c>
      <c r="H11151" t="s">
        <v>17103</v>
      </c>
      <c r="I11151" t="s">
        <v>17327</v>
      </c>
      <c r="J11151" t="s">
        <v>18893</v>
      </c>
      <c r="K11151">
        <v>10034</v>
      </c>
      <c r="L11151" t="s">
        <v>18960</v>
      </c>
      <c r="M11151" t="s">
        <v>18960</v>
      </c>
      <c r="O11151" t="s">
        <v>18997</v>
      </c>
      <c r="P11151" t="s">
        <v>26564</v>
      </c>
      <c r="R11151" t="s">
        <v>26591</v>
      </c>
      <c r="S11151" t="s">
        <v>18959</v>
      </c>
      <c r="U11151" t="s">
        <v>26604</v>
      </c>
      <c r="X11151">
        <v>1042</v>
      </c>
      <c r="Y11151" t="s">
        <v>26651</v>
      </c>
      <c r="AB11151" t="s">
        <v>27282</v>
      </c>
      <c r="AD11151" t="s">
        <v>45339</v>
      </c>
      <c r="AE11151">
        <v>30</v>
      </c>
      <c r="AF11151" t="s">
        <v>20460</v>
      </c>
      <c r="AG11151" t="s">
        <v>19330</v>
      </c>
      <c r="AH11151">
        <v>4</v>
      </c>
      <c r="AI11151">
        <v>2</v>
      </c>
      <c r="AJ11151">
        <v>0</v>
      </c>
      <c r="AK11151">
        <v>0</v>
      </c>
      <c r="AN11151" t="s">
        <v>45581</v>
      </c>
      <c r="AO11151">
        <v>0</v>
      </c>
      <c r="AU11151">
        <v>0.5</v>
      </c>
      <c r="AV11151" t="s">
        <v>831</v>
      </c>
      <c r="AW11151" t="s">
        <v>46829</v>
      </c>
    </row>
    <row r="11152" spans="1:50">
      <c r="A11152" s="1">
        <f>HYPERLINK("https://lsnyc.legalserver.org/matter/dynamic-profile/view/1902596","19-1902596")</f>
        <v>0</v>
      </c>
      <c r="B11152" t="s">
        <v>180</v>
      </c>
      <c r="C11152" t="s">
        <v>340</v>
      </c>
      <c r="D11152" t="s">
        <v>831</v>
      </c>
      <c r="F11152" t="s">
        <v>964</v>
      </c>
      <c r="G11152" t="s">
        <v>9484</v>
      </c>
      <c r="H11152" t="s">
        <v>12944</v>
      </c>
      <c r="I11152" t="s">
        <v>17273</v>
      </c>
      <c r="J11152" t="s">
        <v>18894</v>
      </c>
      <c r="K11152">
        <v>11225</v>
      </c>
      <c r="L11152" t="s">
        <v>18960</v>
      </c>
      <c r="M11152" t="s">
        <v>18960</v>
      </c>
      <c r="N11152" t="s">
        <v>26367</v>
      </c>
      <c r="O11152" t="s">
        <v>26523</v>
      </c>
      <c r="P11152" t="s">
        <v>26563</v>
      </c>
      <c r="R11152" t="s">
        <v>26588</v>
      </c>
      <c r="U11152" t="s">
        <v>26604</v>
      </c>
      <c r="X11152">
        <v>1200</v>
      </c>
      <c r="Y11152" t="s">
        <v>26652</v>
      </c>
      <c r="Z11152" t="s">
        <v>26659</v>
      </c>
      <c r="AB11152" t="s">
        <v>30914</v>
      </c>
      <c r="AD11152" t="s">
        <v>45169</v>
      </c>
      <c r="AE11152">
        <v>30</v>
      </c>
      <c r="AG11152" t="s">
        <v>19330</v>
      </c>
      <c r="AH11152">
        <v>27</v>
      </c>
      <c r="AI11152">
        <v>2</v>
      </c>
      <c r="AJ11152">
        <v>1</v>
      </c>
      <c r="AK11152">
        <v>85.33</v>
      </c>
      <c r="AN11152" t="s">
        <v>7439</v>
      </c>
      <c r="AO11152">
        <v>18200</v>
      </c>
      <c r="AU11152">
        <v>0.9</v>
      </c>
      <c r="AV11152" t="s">
        <v>833</v>
      </c>
      <c r="AW11152" t="s">
        <v>46862</v>
      </c>
    </row>
    <row r="11153" spans="1:50">
      <c r="A11153" s="1">
        <f>HYPERLINK("https://lsnyc.legalserver.org/matter/dynamic-profile/view/1902557","19-1902557")</f>
        <v>0</v>
      </c>
      <c r="B11153" t="s">
        <v>322</v>
      </c>
      <c r="C11153" t="s">
        <v>340</v>
      </c>
      <c r="D11153" t="s">
        <v>831</v>
      </c>
      <c r="F11153" t="s">
        <v>2276</v>
      </c>
      <c r="G11153" t="s">
        <v>9550</v>
      </c>
      <c r="H11153" t="s">
        <v>10784</v>
      </c>
      <c r="I11153" t="s">
        <v>17306</v>
      </c>
      <c r="J11153" t="s">
        <v>18893</v>
      </c>
      <c r="K11153">
        <v>10037</v>
      </c>
      <c r="L11153" t="s">
        <v>18960</v>
      </c>
      <c r="M11153" t="s">
        <v>18960</v>
      </c>
      <c r="P11153" t="s">
        <v>26563</v>
      </c>
      <c r="R11153" t="s">
        <v>26583</v>
      </c>
      <c r="U11153" t="s">
        <v>26604</v>
      </c>
      <c r="X11153">
        <v>2000</v>
      </c>
      <c r="Y11153" t="s">
        <v>26651</v>
      </c>
      <c r="AB11153" t="s">
        <v>29777</v>
      </c>
      <c r="AD11153" t="s">
        <v>45340</v>
      </c>
      <c r="AE11153">
        <v>120</v>
      </c>
      <c r="AH11153">
        <v>3</v>
      </c>
      <c r="AI11153">
        <v>1</v>
      </c>
      <c r="AJ11153">
        <v>1</v>
      </c>
      <c r="AK11153">
        <v>359.55</v>
      </c>
      <c r="AN11153" t="s">
        <v>7439</v>
      </c>
      <c r="AO11153">
        <v>60800</v>
      </c>
      <c r="AU11153">
        <v>1</v>
      </c>
      <c r="AV11153" t="s">
        <v>831</v>
      </c>
      <c r="AW11153" t="s">
        <v>46857</v>
      </c>
    </row>
    <row r="11154" spans="1:50">
      <c r="A11154" s="1">
        <f>HYPERLINK("https://lsnyc.legalserver.org/matter/dynamic-profile/view/1902515","19-1902515")</f>
        <v>0</v>
      </c>
      <c r="B11154" t="s">
        <v>242</v>
      </c>
      <c r="C11154" t="s">
        <v>340</v>
      </c>
      <c r="D11154" t="s">
        <v>831</v>
      </c>
      <c r="F11154" t="s">
        <v>5004</v>
      </c>
      <c r="G11154" t="s">
        <v>9551</v>
      </c>
      <c r="H11154" t="s">
        <v>17104</v>
      </c>
      <c r="I11154" t="s">
        <v>17576</v>
      </c>
      <c r="J11154" t="s">
        <v>18894</v>
      </c>
      <c r="K11154">
        <v>11234</v>
      </c>
      <c r="L11154" t="s">
        <v>18958</v>
      </c>
      <c r="M11154" t="s">
        <v>18960</v>
      </c>
      <c r="N11154" t="s">
        <v>26368</v>
      </c>
      <c r="O11154" t="s">
        <v>26524</v>
      </c>
      <c r="P11154" t="s">
        <v>26563</v>
      </c>
      <c r="R11154" t="s">
        <v>26586</v>
      </c>
      <c r="U11154" t="s">
        <v>26604</v>
      </c>
      <c r="X11154">
        <v>2900</v>
      </c>
      <c r="Y11154" t="s">
        <v>26652</v>
      </c>
      <c r="Z11154" t="s">
        <v>26664</v>
      </c>
      <c r="AB11154" t="s">
        <v>27485</v>
      </c>
      <c r="AD11154" t="s">
        <v>45341</v>
      </c>
      <c r="AE11154">
        <v>0</v>
      </c>
      <c r="AH11154">
        <v>0</v>
      </c>
      <c r="AI11154">
        <v>1</v>
      </c>
      <c r="AJ11154">
        <v>3</v>
      </c>
      <c r="AK11154">
        <v>0</v>
      </c>
      <c r="AN11154" t="s">
        <v>7439</v>
      </c>
      <c r="AO11154">
        <v>0</v>
      </c>
      <c r="AU11154">
        <v>0.2</v>
      </c>
      <c r="AV11154" t="s">
        <v>773</v>
      </c>
      <c r="AW11154" t="s">
        <v>46853</v>
      </c>
    </row>
    <row r="11155" spans="1:50">
      <c r="A11155" s="1">
        <f>HYPERLINK("https://lsnyc.legalserver.org/matter/dynamic-profile/view/1902543","19-1902543")</f>
        <v>0</v>
      </c>
      <c r="B11155" t="s">
        <v>242</v>
      </c>
      <c r="C11155" t="s">
        <v>340</v>
      </c>
      <c r="D11155" t="s">
        <v>831</v>
      </c>
      <c r="F11155" t="s">
        <v>1062</v>
      </c>
      <c r="G11155" t="s">
        <v>9552</v>
      </c>
      <c r="H11155" t="s">
        <v>12962</v>
      </c>
      <c r="I11155" t="s">
        <v>18321</v>
      </c>
      <c r="J11155" t="s">
        <v>18894</v>
      </c>
      <c r="K11155">
        <v>11213</v>
      </c>
      <c r="L11155" t="s">
        <v>18958</v>
      </c>
      <c r="M11155" t="s">
        <v>18960</v>
      </c>
      <c r="N11155" t="s">
        <v>26369</v>
      </c>
      <c r="O11155" t="s">
        <v>26523</v>
      </c>
      <c r="P11155" t="s">
        <v>26563</v>
      </c>
      <c r="R11155" t="s">
        <v>26586</v>
      </c>
      <c r="U11155" t="s">
        <v>26604</v>
      </c>
      <c r="X11155">
        <v>1887</v>
      </c>
      <c r="Y11155" t="s">
        <v>26652</v>
      </c>
      <c r="Z11155" t="s">
        <v>26664</v>
      </c>
      <c r="AB11155" t="s">
        <v>29830</v>
      </c>
      <c r="AC11155" t="s">
        <v>36789</v>
      </c>
      <c r="AD11155" t="s">
        <v>45342</v>
      </c>
      <c r="AE11155">
        <v>0</v>
      </c>
      <c r="AG11155" t="s">
        <v>45556</v>
      </c>
      <c r="AH11155">
        <v>1</v>
      </c>
      <c r="AI11155">
        <v>1</v>
      </c>
      <c r="AJ11155">
        <v>1</v>
      </c>
      <c r="AK11155">
        <v>15.47</v>
      </c>
      <c r="AN11155" t="s">
        <v>7439</v>
      </c>
      <c r="AO11155">
        <v>2616</v>
      </c>
      <c r="AU11155">
        <v>1.9</v>
      </c>
      <c r="AV11155" t="s">
        <v>773</v>
      </c>
      <c r="AW11155" t="s">
        <v>46853</v>
      </c>
      <c r="AX11155" t="s">
        <v>46897</v>
      </c>
    </row>
    <row r="11156" spans="1:50">
      <c r="A11156" s="1">
        <f>HYPERLINK("https://lsnyc.legalserver.org/matter/dynamic-profile/view/1902524","19-1902524")</f>
        <v>0</v>
      </c>
      <c r="B11156" t="s">
        <v>242</v>
      </c>
      <c r="C11156" t="s">
        <v>340</v>
      </c>
      <c r="D11156" t="s">
        <v>831</v>
      </c>
      <c r="F11156" t="s">
        <v>1834</v>
      </c>
      <c r="G11156" t="s">
        <v>7569</v>
      </c>
      <c r="H11156" t="s">
        <v>13216</v>
      </c>
      <c r="I11156" t="s">
        <v>17399</v>
      </c>
      <c r="J11156" t="s">
        <v>18894</v>
      </c>
      <c r="K11156">
        <v>11213</v>
      </c>
      <c r="L11156" t="s">
        <v>18958</v>
      </c>
      <c r="M11156" t="s">
        <v>18960</v>
      </c>
      <c r="N11156" t="s">
        <v>26370</v>
      </c>
      <c r="O11156" t="s">
        <v>26524</v>
      </c>
      <c r="P11156" t="s">
        <v>26563</v>
      </c>
      <c r="R11156" t="s">
        <v>26586</v>
      </c>
      <c r="U11156" t="s">
        <v>26604</v>
      </c>
      <c r="X11156">
        <v>0</v>
      </c>
      <c r="Y11156" t="s">
        <v>26652</v>
      </c>
      <c r="Z11156" t="s">
        <v>26664</v>
      </c>
      <c r="AB11156" t="s">
        <v>32327</v>
      </c>
      <c r="AD11156" t="s">
        <v>45343</v>
      </c>
      <c r="AE11156">
        <v>0</v>
      </c>
      <c r="AH11156">
        <v>0</v>
      </c>
      <c r="AI11156">
        <v>3</v>
      </c>
      <c r="AJ11156">
        <v>0</v>
      </c>
      <c r="AK11156">
        <v>168.78</v>
      </c>
      <c r="AN11156" t="s">
        <v>7439</v>
      </c>
      <c r="AO11156">
        <v>36000</v>
      </c>
      <c r="AU11156">
        <v>0.3</v>
      </c>
      <c r="AV11156" t="s">
        <v>773</v>
      </c>
      <c r="AW11156" t="s">
        <v>46853</v>
      </c>
      <c r="AX11156" t="s">
        <v>46897</v>
      </c>
    </row>
    <row r="11157" spans="1:50">
      <c r="A11157" s="1">
        <f>HYPERLINK("https://lsnyc.legalserver.org/matter/dynamic-profile/view/1902533","19-1902533")</f>
        <v>0</v>
      </c>
      <c r="B11157" t="s">
        <v>81</v>
      </c>
      <c r="C11157" t="s">
        <v>340</v>
      </c>
      <c r="D11157" t="s">
        <v>831</v>
      </c>
      <c r="F11157" t="s">
        <v>1309</v>
      </c>
      <c r="G11157" t="s">
        <v>6401</v>
      </c>
      <c r="H11157" t="s">
        <v>17105</v>
      </c>
      <c r="I11157" t="s">
        <v>17520</v>
      </c>
      <c r="J11157" t="s">
        <v>18892</v>
      </c>
      <c r="K11157">
        <v>10468</v>
      </c>
      <c r="L11157" t="s">
        <v>18958</v>
      </c>
      <c r="M11157" t="s">
        <v>18960</v>
      </c>
      <c r="N11157" t="s">
        <v>26371</v>
      </c>
      <c r="O11157" t="s">
        <v>26523</v>
      </c>
      <c r="R11157" t="s">
        <v>26579</v>
      </c>
      <c r="S11157" t="s">
        <v>18959</v>
      </c>
      <c r="U11157" t="s">
        <v>26604</v>
      </c>
      <c r="X11157">
        <v>1107.47</v>
      </c>
      <c r="Y11157" t="s">
        <v>26650</v>
      </c>
      <c r="Z11157" t="s">
        <v>26674</v>
      </c>
      <c r="AB11157" t="s">
        <v>31185</v>
      </c>
      <c r="AC11157">
        <v>58022651</v>
      </c>
      <c r="AD11157" t="s">
        <v>45344</v>
      </c>
      <c r="AE11157">
        <v>69</v>
      </c>
      <c r="AF11157" t="s">
        <v>45541</v>
      </c>
      <c r="AG11157" t="s">
        <v>26530</v>
      </c>
      <c r="AH11157">
        <v>7</v>
      </c>
      <c r="AI11157">
        <v>2</v>
      </c>
      <c r="AJ11157">
        <v>0</v>
      </c>
      <c r="AK11157">
        <v>0</v>
      </c>
      <c r="AO11157">
        <v>0</v>
      </c>
      <c r="AU11157">
        <v>1.25</v>
      </c>
      <c r="AV11157" t="s">
        <v>773</v>
      </c>
      <c r="AW11157" t="s">
        <v>46847</v>
      </c>
      <c r="AX11157" t="s">
        <v>46898</v>
      </c>
    </row>
    <row r="11158" spans="1:50">
      <c r="A11158" s="1">
        <f>HYPERLINK("https://lsnyc.legalserver.org/matter/dynamic-profile/view/1902516","19-1902516")</f>
        <v>0</v>
      </c>
      <c r="B11158" t="s">
        <v>227</v>
      </c>
      <c r="C11158" t="s">
        <v>340</v>
      </c>
      <c r="D11158" t="s">
        <v>831</v>
      </c>
      <c r="F11158" t="s">
        <v>1107</v>
      </c>
      <c r="G11158" t="s">
        <v>5925</v>
      </c>
      <c r="H11158" t="s">
        <v>17106</v>
      </c>
      <c r="I11158" t="s">
        <v>17312</v>
      </c>
      <c r="J11158" t="s">
        <v>18894</v>
      </c>
      <c r="K11158">
        <v>11216</v>
      </c>
      <c r="L11158" t="s">
        <v>18958</v>
      </c>
      <c r="M11158" t="s">
        <v>18960</v>
      </c>
      <c r="N11158" t="s">
        <v>26372</v>
      </c>
      <c r="O11158" t="s">
        <v>26524</v>
      </c>
      <c r="P11158" t="s">
        <v>26560</v>
      </c>
      <c r="R11158" t="s">
        <v>26588</v>
      </c>
      <c r="S11158" t="s">
        <v>18959</v>
      </c>
      <c r="U11158" t="s">
        <v>26604</v>
      </c>
      <c r="X11158">
        <v>241</v>
      </c>
      <c r="Y11158" t="s">
        <v>26652</v>
      </c>
      <c r="Z11158" t="s">
        <v>26669</v>
      </c>
      <c r="AB11158" t="s">
        <v>34318</v>
      </c>
      <c r="AD11158" t="s">
        <v>45345</v>
      </c>
      <c r="AE11158">
        <v>0</v>
      </c>
      <c r="AF11158" t="s">
        <v>45544</v>
      </c>
      <c r="AH11158">
        <v>5</v>
      </c>
      <c r="AI11158">
        <v>1</v>
      </c>
      <c r="AJ11158">
        <v>0</v>
      </c>
      <c r="AK11158">
        <v>83.59</v>
      </c>
      <c r="AN11158" t="s">
        <v>7439</v>
      </c>
      <c r="AO11158">
        <v>10440</v>
      </c>
      <c r="AU11158">
        <v>3.9</v>
      </c>
      <c r="AV11158" t="s">
        <v>821</v>
      </c>
      <c r="AW11158" t="s">
        <v>281</v>
      </c>
      <c r="AX11158" t="s">
        <v>46897</v>
      </c>
    </row>
    <row r="11159" spans="1:50">
      <c r="A11159" s="1">
        <f>HYPERLINK("https://lsnyc.legalserver.org/matter/dynamic-profile/view/1902521","19-1902521")</f>
        <v>0</v>
      </c>
      <c r="B11159" t="s">
        <v>227</v>
      </c>
      <c r="C11159" t="s">
        <v>340</v>
      </c>
      <c r="D11159" t="s">
        <v>831</v>
      </c>
      <c r="F11159" t="s">
        <v>5005</v>
      </c>
      <c r="G11159" t="s">
        <v>9553</v>
      </c>
      <c r="H11159" t="s">
        <v>17107</v>
      </c>
      <c r="I11159" t="s">
        <v>17333</v>
      </c>
      <c r="J11159" t="s">
        <v>18894</v>
      </c>
      <c r="K11159">
        <v>11221</v>
      </c>
      <c r="L11159" t="s">
        <v>18958</v>
      </c>
      <c r="M11159" t="s">
        <v>18960</v>
      </c>
      <c r="N11159" t="s">
        <v>26373</v>
      </c>
      <c r="O11159" t="s">
        <v>26523</v>
      </c>
      <c r="P11159" t="s">
        <v>26563</v>
      </c>
      <c r="R11159" t="s">
        <v>26588</v>
      </c>
      <c r="U11159" t="s">
        <v>26604</v>
      </c>
      <c r="X11159">
        <v>724</v>
      </c>
      <c r="Y11159" t="s">
        <v>26652</v>
      </c>
      <c r="Z11159" t="s">
        <v>26669</v>
      </c>
      <c r="AB11159" t="s">
        <v>28139</v>
      </c>
      <c r="AD11159" t="s">
        <v>45346</v>
      </c>
      <c r="AE11159">
        <v>8</v>
      </c>
      <c r="AG11159" t="s">
        <v>45556</v>
      </c>
      <c r="AH11159">
        <v>9</v>
      </c>
      <c r="AI11159">
        <v>1</v>
      </c>
      <c r="AJ11159">
        <v>2</v>
      </c>
      <c r="AK11159">
        <v>97.52</v>
      </c>
      <c r="AN11159" t="s">
        <v>7439</v>
      </c>
      <c r="AO11159">
        <v>20800</v>
      </c>
      <c r="AU11159">
        <v>2.5</v>
      </c>
      <c r="AV11159" t="s">
        <v>831</v>
      </c>
      <c r="AW11159" t="s">
        <v>46862</v>
      </c>
      <c r="AX11159" t="s">
        <v>46897</v>
      </c>
    </row>
    <row r="11160" spans="1:50">
      <c r="A11160" s="1">
        <f>HYPERLINK("https://lsnyc.legalserver.org/matter/dynamic-profile/view/1902519","19-1902519")</f>
        <v>0</v>
      </c>
      <c r="B11160" t="s">
        <v>337</v>
      </c>
      <c r="C11160" t="s">
        <v>340</v>
      </c>
      <c r="D11160" t="s">
        <v>831</v>
      </c>
      <c r="F11160" t="s">
        <v>903</v>
      </c>
      <c r="G11160" t="s">
        <v>5110</v>
      </c>
      <c r="H11160" t="s">
        <v>17108</v>
      </c>
      <c r="J11160" t="s">
        <v>18901</v>
      </c>
      <c r="K11160">
        <v>11434</v>
      </c>
      <c r="L11160" t="s">
        <v>18960</v>
      </c>
      <c r="M11160" t="s">
        <v>18960</v>
      </c>
      <c r="N11160" t="s">
        <v>26374</v>
      </c>
      <c r="O11160" t="s">
        <v>26524</v>
      </c>
      <c r="R11160" t="s">
        <v>26583</v>
      </c>
      <c r="U11160" t="s">
        <v>26604</v>
      </c>
      <c r="X11160">
        <v>0</v>
      </c>
      <c r="Y11160" t="s">
        <v>26653</v>
      </c>
      <c r="AB11160" t="s">
        <v>34319</v>
      </c>
      <c r="AD11160" t="s">
        <v>45347</v>
      </c>
      <c r="AE11160">
        <v>2</v>
      </c>
      <c r="AH11160">
        <v>11</v>
      </c>
      <c r="AI11160">
        <v>3</v>
      </c>
      <c r="AJ11160">
        <v>0</v>
      </c>
      <c r="AK11160">
        <v>298.17</v>
      </c>
      <c r="AN11160" t="s">
        <v>7439</v>
      </c>
      <c r="AO11160">
        <v>63600</v>
      </c>
      <c r="AU11160">
        <v>0.6</v>
      </c>
      <c r="AV11160" t="s">
        <v>831</v>
      </c>
      <c r="AW11160" t="s">
        <v>46842</v>
      </c>
    </row>
    <row r="11161" spans="1:50">
      <c r="A11161" s="1">
        <f>HYPERLINK("https://lsnyc.legalserver.org/matter/dynamic-profile/view/1902512","19-1902512")</f>
        <v>0</v>
      </c>
      <c r="B11161" t="s">
        <v>288</v>
      </c>
      <c r="C11161" t="s">
        <v>340</v>
      </c>
      <c r="D11161" t="s">
        <v>831</v>
      </c>
      <c r="F11161" t="s">
        <v>1021</v>
      </c>
      <c r="G11161" t="s">
        <v>9554</v>
      </c>
      <c r="H11161" t="s">
        <v>17109</v>
      </c>
      <c r="I11161" t="s">
        <v>18132</v>
      </c>
      <c r="J11161" t="s">
        <v>18894</v>
      </c>
      <c r="K11161">
        <v>11203</v>
      </c>
      <c r="L11161" t="s">
        <v>18958</v>
      </c>
      <c r="M11161" t="s">
        <v>18960</v>
      </c>
      <c r="N11161" t="s">
        <v>26375</v>
      </c>
      <c r="O11161" t="s">
        <v>26523</v>
      </c>
      <c r="P11161" t="s">
        <v>26563</v>
      </c>
      <c r="R11161" t="s">
        <v>26586</v>
      </c>
      <c r="U11161" t="s">
        <v>26604</v>
      </c>
      <c r="X11161">
        <v>504</v>
      </c>
      <c r="Y11161" t="s">
        <v>26652</v>
      </c>
      <c r="Z11161" t="s">
        <v>26664</v>
      </c>
      <c r="AB11161" t="s">
        <v>33191</v>
      </c>
      <c r="AD11161" t="s">
        <v>45348</v>
      </c>
      <c r="AE11161">
        <v>0</v>
      </c>
      <c r="AH11161">
        <v>0</v>
      </c>
      <c r="AI11161">
        <v>1</v>
      </c>
      <c r="AJ11161">
        <v>0</v>
      </c>
      <c r="AK11161">
        <v>80.22</v>
      </c>
      <c r="AN11161" t="s">
        <v>7439</v>
      </c>
      <c r="AO11161">
        <v>10020</v>
      </c>
      <c r="AU11161">
        <v>0.1</v>
      </c>
      <c r="AV11161" t="s">
        <v>821</v>
      </c>
      <c r="AW11161" t="s">
        <v>46853</v>
      </c>
      <c r="AX11161" t="s">
        <v>46897</v>
      </c>
    </row>
    <row r="11162" spans="1:50">
      <c r="A11162" s="1">
        <f>HYPERLINK("https://lsnyc.legalserver.org/matter/dynamic-profile/view/1902597","19-1902597")</f>
        <v>0</v>
      </c>
      <c r="B11162" t="s">
        <v>200</v>
      </c>
      <c r="C11162" t="s">
        <v>340</v>
      </c>
      <c r="D11162" t="s">
        <v>831</v>
      </c>
      <c r="F11162" t="s">
        <v>1196</v>
      </c>
      <c r="G11162" t="s">
        <v>6775</v>
      </c>
      <c r="H11162" t="s">
        <v>17110</v>
      </c>
      <c r="I11162" t="s">
        <v>18862</v>
      </c>
      <c r="J11162" t="s">
        <v>18894</v>
      </c>
      <c r="K11162">
        <v>11210</v>
      </c>
      <c r="L11162" t="s">
        <v>18959</v>
      </c>
      <c r="M11162" t="s">
        <v>18960</v>
      </c>
      <c r="O11162" t="s">
        <v>26529</v>
      </c>
      <c r="R11162" t="s">
        <v>26591</v>
      </c>
      <c r="U11162" t="s">
        <v>26607</v>
      </c>
      <c r="X11162">
        <v>700</v>
      </c>
      <c r="Y11162" t="s">
        <v>26652</v>
      </c>
      <c r="Z11162" t="s">
        <v>26661</v>
      </c>
      <c r="AB11162" t="s">
        <v>34320</v>
      </c>
      <c r="AD11162" t="s">
        <v>45349</v>
      </c>
      <c r="AE11162">
        <v>7</v>
      </c>
      <c r="AF11162" t="s">
        <v>20460</v>
      </c>
      <c r="AH11162">
        <v>0</v>
      </c>
      <c r="AI11162">
        <v>1</v>
      </c>
      <c r="AJ11162">
        <v>0</v>
      </c>
      <c r="AK11162">
        <v>84.55</v>
      </c>
      <c r="AN11162" t="s">
        <v>7439</v>
      </c>
      <c r="AO11162">
        <v>10560</v>
      </c>
      <c r="AU11162">
        <v>0.1</v>
      </c>
      <c r="AV11162" t="s">
        <v>832</v>
      </c>
      <c r="AW11162" t="s">
        <v>46856</v>
      </c>
    </row>
    <row r="11163" spans="1:50">
      <c r="A11163" s="1">
        <f>HYPERLINK("https://lsnyc.legalserver.org/matter/dynamic-profile/view/1902531","19-1902531")</f>
        <v>0</v>
      </c>
      <c r="B11163" t="s">
        <v>249</v>
      </c>
      <c r="C11163" t="s">
        <v>340</v>
      </c>
      <c r="D11163" t="s">
        <v>831</v>
      </c>
      <c r="F11163" t="s">
        <v>5006</v>
      </c>
      <c r="G11163" t="s">
        <v>9555</v>
      </c>
      <c r="H11163" t="s">
        <v>17111</v>
      </c>
      <c r="I11163" t="s">
        <v>17274</v>
      </c>
      <c r="J11163" t="s">
        <v>18894</v>
      </c>
      <c r="K11163">
        <v>11207</v>
      </c>
      <c r="L11163" t="s">
        <v>18959</v>
      </c>
      <c r="M11163" t="s">
        <v>18960</v>
      </c>
      <c r="N11163" t="s">
        <v>19330</v>
      </c>
      <c r="O11163" t="s">
        <v>18997</v>
      </c>
      <c r="R11163" t="s">
        <v>26578</v>
      </c>
      <c r="S11163" t="s">
        <v>18959</v>
      </c>
      <c r="U11163" t="s">
        <v>26604</v>
      </c>
      <c r="V11163" t="s">
        <v>26610</v>
      </c>
      <c r="X11163">
        <v>927</v>
      </c>
      <c r="Y11163" t="s">
        <v>26652</v>
      </c>
      <c r="Z11163" t="s">
        <v>26668</v>
      </c>
      <c r="AB11163" t="s">
        <v>34321</v>
      </c>
      <c r="AC11163" t="s">
        <v>36790</v>
      </c>
      <c r="AD11163" t="s">
        <v>45350</v>
      </c>
      <c r="AE11163">
        <v>3</v>
      </c>
      <c r="AF11163" t="s">
        <v>45541</v>
      </c>
      <c r="AG11163" t="s">
        <v>45556</v>
      </c>
      <c r="AH11163">
        <v>7</v>
      </c>
      <c r="AI11163">
        <v>1</v>
      </c>
      <c r="AJ11163">
        <v>1</v>
      </c>
      <c r="AK11163">
        <v>21.29</v>
      </c>
      <c r="AN11163" t="s">
        <v>7439</v>
      </c>
      <c r="AO11163">
        <v>3600</v>
      </c>
      <c r="AU11163">
        <v>1</v>
      </c>
      <c r="AV11163" t="s">
        <v>831</v>
      </c>
      <c r="AW11163" t="s">
        <v>46858</v>
      </c>
      <c r="AX11163" t="s">
        <v>19330</v>
      </c>
    </row>
    <row r="11164" spans="1:50">
      <c r="A11164" s="1">
        <f>HYPERLINK("https://lsnyc.legalserver.org/matter/dynamic-profile/view/1902461","19-1902461")</f>
        <v>0</v>
      </c>
      <c r="B11164" t="s">
        <v>121</v>
      </c>
      <c r="C11164" t="s">
        <v>340</v>
      </c>
      <c r="D11164" t="s">
        <v>831</v>
      </c>
      <c r="F11164" t="s">
        <v>2349</v>
      </c>
      <c r="G11164" t="s">
        <v>5973</v>
      </c>
      <c r="H11164" t="s">
        <v>13236</v>
      </c>
      <c r="I11164" t="s">
        <v>17273</v>
      </c>
      <c r="J11164" t="s">
        <v>18892</v>
      </c>
      <c r="K11164">
        <v>10455</v>
      </c>
      <c r="L11164" t="s">
        <v>18958</v>
      </c>
      <c r="M11164" t="s">
        <v>18960</v>
      </c>
      <c r="N11164" t="s">
        <v>22702</v>
      </c>
      <c r="O11164" t="s">
        <v>26524</v>
      </c>
      <c r="P11164" t="s">
        <v>26560</v>
      </c>
      <c r="R11164" t="s">
        <v>26577</v>
      </c>
      <c r="U11164" t="s">
        <v>26604</v>
      </c>
      <c r="V11164" t="s">
        <v>26610</v>
      </c>
      <c r="X11164">
        <v>568</v>
      </c>
      <c r="Y11164" t="s">
        <v>26650</v>
      </c>
      <c r="Z11164" t="s">
        <v>26660</v>
      </c>
      <c r="AD11164" t="s">
        <v>45351</v>
      </c>
      <c r="AE11164">
        <v>54</v>
      </c>
      <c r="AF11164" t="s">
        <v>45541</v>
      </c>
      <c r="AG11164" t="s">
        <v>19330</v>
      </c>
      <c r="AH11164">
        <v>3</v>
      </c>
      <c r="AI11164">
        <v>3</v>
      </c>
      <c r="AJ11164">
        <v>0</v>
      </c>
      <c r="AK11164">
        <v>181.51</v>
      </c>
      <c r="AN11164" t="s">
        <v>7439</v>
      </c>
      <c r="AO11164">
        <v>38717</v>
      </c>
      <c r="AU11164">
        <v>0.5</v>
      </c>
      <c r="AV11164" t="s">
        <v>831</v>
      </c>
      <c r="AW11164" t="s">
        <v>46870</v>
      </c>
      <c r="AX11164" t="s">
        <v>46897</v>
      </c>
    </row>
    <row r="11165" spans="1:50">
      <c r="A11165" s="1">
        <f>HYPERLINK("https://lsnyc.legalserver.org/matter/dynamic-profile/view/1902599","19-1902599")</f>
        <v>0</v>
      </c>
      <c r="B11165" t="s">
        <v>121</v>
      </c>
      <c r="C11165" t="s">
        <v>340</v>
      </c>
      <c r="D11165" t="s">
        <v>831</v>
      </c>
      <c r="F11165" t="s">
        <v>1660</v>
      </c>
      <c r="G11165" t="s">
        <v>5973</v>
      </c>
      <c r="H11165" t="s">
        <v>13236</v>
      </c>
      <c r="I11165" t="s">
        <v>17273</v>
      </c>
      <c r="J11165" t="s">
        <v>18892</v>
      </c>
      <c r="K11165">
        <v>10455</v>
      </c>
      <c r="L11165" t="s">
        <v>18959</v>
      </c>
      <c r="M11165" t="s">
        <v>18960</v>
      </c>
      <c r="N11165" t="s">
        <v>22702</v>
      </c>
      <c r="O11165" t="s">
        <v>26524</v>
      </c>
      <c r="P11165" t="s">
        <v>26560</v>
      </c>
      <c r="R11165" t="s">
        <v>26577</v>
      </c>
      <c r="U11165" t="s">
        <v>26604</v>
      </c>
      <c r="V11165" t="s">
        <v>26610</v>
      </c>
      <c r="X11165">
        <v>568</v>
      </c>
      <c r="Y11165" t="s">
        <v>26650</v>
      </c>
      <c r="Z11165" t="s">
        <v>26660</v>
      </c>
      <c r="AB11165" t="s">
        <v>32589</v>
      </c>
      <c r="AE11165">
        <v>54</v>
      </c>
      <c r="AF11165" t="s">
        <v>45541</v>
      </c>
      <c r="AG11165" t="s">
        <v>19330</v>
      </c>
      <c r="AH11165">
        <v>3</v>
      </c>
      <c r="AI11165">
        <v>3</v>
      </c>
      <c r="AJ11165">
        <v>0</v>
      </c>
      <c r="AK11165">
        <v>181.51</v>
      </c>
      <c r="AN11165" t="s">
        <v>7439</v>
      </c>
      <c r="AO11165">
        <v>38717</v>
      </c>
      <c r="AU11165">
        <v>0.5</v>
      </c>
      <c r="AV11165" t="s">
        <v>831</v>
      </c>
      <c r="AW11165" t="s">
        <v>46870</v>
      </c>
    </row>
    <row r="11166" spans="1:50">
      <c r="A11166" s="1">
        <f>HYPERLINK("https://lsnyc.legalserver.org/matter/dynamic-profile/view/1902520","19-1902520")</f>
        <v>0</v>
      </c>
      <c r="B11166" t="s">
        <v>193</v>
      </c>
      <c r="C11166" t="s">
        <v>340</v>
      </c>
      <c r="D11166" t="s">
        <v>831</v>
      </c>
      <c r="F11166" t="s">
        <v>4960</v>
      </c>
      <c r="G11166" t="s">
        <v>9556</v>
      </c>
      <c r="H11166" t="s">
        <v>17112</v>
      </c>
      <c r="J11166" t="s">
        <v>18894</v>
      </c>
      <c r="K11166">
        <v>11209</v>
      </c>
      <c r="L11166" t="s">
        <v>18958</v>
      </c>
      <c r="M11166" t="s">
        <v>18960</v>
      </c>
      <c r="P11166" t="s">
        <v>26564</v>
      </c>
      <c r="R11166" t="s">
        <v>26591</v>
      </c>
      <c r="U11166" t="s">
        <v>26604</v>
      </c>
      <c r="X11166">
        <v>1800</v>
      </c>
      <c r="Y11166" t="s">
        <v>26652</v>
      </c>
      <c r="AB11166" t="s">
        <v>34322</v>
      </c>
      <c r="AD11166" t="s">
        <v>45352</v>
      </c>
      <c r="AE11166">
        <v>0</v>
      </c>
      <c r="AH11166">
        <v>0</v>
      </c>
      <c r="AI11166">
        <v>2</v>
      </c>
      <c r="AJ11166">
        <v>0</v>
      </c>
      <c r="AK11166">
        <v>136.01</v>
      </c>
      <c r="AN11166" t="s">
        <v>7439</v>
      </c>
      <c r="AO11166">
        <v>23000</v>
      </c>
      <c r="AU11166">
        <v>0</v>
      </c>
      <c r="AW11166" t="s">
        <v>46856</v>
      </c>
      <c r="AX11166" t="s">
        <v>46897</v>
      </c>
    </row>
    <row r="11167" spans="1:50">
      <c r="A11167" s="1">
        <f>HYPERLINK("https://lsnyc.legalserver.org/matter/dynamic-profile/view/1902527","19-1902527")</f>
        <v>0</v>
      </c>
      <c r="B11167" t="s">
        <v>177</v>
      </c>
      <c r="C11167" t="s">
        <v>340</v>
      </c>
      <c r="D11167" t="s">
        <v>831</v>
      </c>
      <c r="F11167" t="s">
        <v>3579</v>
      </c>
      <c r="G11167" t="s">
        <v>5873</v>
      </c>
      <c r="H11167" t="s">
        <v>17113</v>
      </c>
      <c r="I11167" t="s">
        <v>17388</v>
      </c>
      <c r="J11167" t="s">
        <v>18892</v>
      </c>
      <c r="K11167">
        <v>10452</v>
      </c>
      <c r="L11167" t="s">
        <v>18960</v>
      </c>
      <c r="M11167" t="s">
        <v>18960</v>
      </c>
      <c r="O11167" t="s">
        <v>18997</v>
      </c>
      <c r="R11167" t="s">
        <v>26591</v>
      </c>
      <c r="U11167" t="s">
        <v>26604</v>
      </c>
      <c r="X11167">
        <v>1444</v>
      </c>
      <c r="Y11167" t="s">
        <v>26650</v>
      </c>
      <c r="Z11167" t="s">
        <v>26530</v>
      </c>
      <c r="AB11167" t="s">
        <v>34323</v>
      </c>
      <c r="AD11167" t="s">
        <v>45353</v>
      </c>
      <c r="AE11167">
        <v>32</v>
      </c>
      <c r="AF11167" t="s">
        <v>45548</v>
      </c>
      <c r="AH11167">
        <v>15</v>
      </c>
      <c r="AI11167">
        <v>1</v>
      </c>
      <c r="AJ11167">
        <v>0</v>
      </c>
      <c r="AK11167">
        <v>0</v>
      </c>
      <c r="AN11167" t="s">
        <v>7439</v>
      </c>
      <c r="AO11167">
        <v>0</v>
      </c>
      <c r="AU11167">
        <v>0.3</v>
      </c>
      <c r="AV11167" t="s">
        <v>831</v>
      </c>
      <c r="AW11167" t="s">
        <v>46841</v>
      </c>
    </row>
    <row r="11168" spans="1:50">
      <c r="A11168" s="1">
        <f>HYPERLINK("https://lsnyc.legalserver.org/matter/dynamic-profile/view/1902630","19-1902630")</f>
        <v>0</v>
      </c>
      <c r="B11168" t="s">
        <v>169</v>
      </c>
      <c r="C11168" t="s">
        <v>341</v>
      </c>
      <c r="D11168" t="s">
        <v>832</v>
      </c>
      <c r="E11168" t="s">
        <v>832</v>
      </c>
      <c r="F11168" t="s">
        <v>3146</v>
      </c>
      <c r="G11168" t="s">
        <v>1000</v>
      </c>
      <c r="H11168" t="s">
        <v>10402</v>
      </c>
      <c r="I11168" t="s">
        <v>17289</v>
      </c>
      <c r="J11168" t="s">
        <v>18892</v>
      </c>
      <c r="K11168">
        <v>10473</v>
      </c>
      <c r="L11168" t="s">
        <v>18960</v>
      </c>
      <c r="M11168" t="s">
        <v>18960</v>
      </c>
      <c r="N11168" t="s">
        <v>26162</v>
      </c>
      <c r="O11168" t="s">
        <v>26539</v>
      </c>
      <c r="P11168" t="s">
        <v>26565</v>
      </c>
      <c r="Q11168" t="s">
        <v>26571</v>
      </c>
      <c r="R11168" t="s">
        <v>26578</v>
      </c>
      <c r="S11168" t="s">
        <v>18959</v>
      </c>
      <c r="U11168" t="s">
        <v>26607</v>
      </c>
      <c r="X11168">
        <v>958</v>
      </c>
      <c r="Y11168" t="s">
        <v>26650</v>
      </c>
      <c r="Z11168" t="s">
        <v>26659</v>
      </c>
      <c r="AA11168" t="s">
        <v>26681</v>
      </c>
      <c r="AB11168" t="s">
        <v>34123</v>
      </c>
      <c r="AC11168" t="s">
        <v>36747</v>
      </c>
      <c r="AD11168" t="s">
        <v>45064</v>
      </c>
      <c r="AE11168">
        <v>244</v>
      </c>
      <c r="AF11168" t="s">
        <v>45541</v>
      </c>
      <c r="AG11168" t="s">
        <v>45559</v>
      </c>
      <c r="AH11168">
        <v>46</v>
      </c>
      <c r="AI11168">
        <v>1</v>
      </c>
      <c r="AJ11168">
        <v>0</v>
      </c>
      <c r="AK11168">
        <v>84.08</v>
      </c>
      <c r="AN11168" t="s">
        <v>7439</v>
      </c>
      <c r="AO11168">
        <v>10501</v>
      </c>
      <c r="AU11168">
        <v>1</v>
      </c>
      <c r="AV11168" t="s">
        <v>831</v>
      </c>
      <c r="AW11168" t="s">
        <v>329</v>
      </c>
    </row>
    <row r="11169" spans="1:50">
      <c r="A11169" s="1">
        <f>HYPERLINK("https://lsnyc.legalserver.org/matter/dynamic-profile/view/1902656","19-1902656")</f>
        <v>0</v>
      </c>
      <c r="B11169" t="s">
        <v>197</v>
      </c>
      <c r="C11169" t="s">
        <v>340</v>
      </c>
      <c r="D11169" t="s">
        <v>832</v>
      </c>
      <c r="F11169" t="s">
        <v>5007</v>
      </c>
      <c r="G11169" t="s">
        <v>9557</v>
      </c>
      <c r="H11169" t="s">
        <v>17114</v>
      </c>
      <c r="I11169" t="s">
        <v>17316</v>
      </c>
      <c r="J11169" t="s">
        <v>18894</v>
      </c>
      <c r="K11169">
        <v>11233</v>
      </c>
      <c r="L11169" t="s">
        <v>18958</v>
      </c>
      <c r="M11169" t="s">
        <v>18960</v>
      </c>
      <c r="N11169" t="s">
        <v>19330</v>
      </c>
      <c r="O11169" t="s">
        <v>18997</v>
      </c>
      <c r="R11169" t="s">
        <v>26578</v>
      </c>
      <c r="S11169" t="s">
        <v>18959</v>
      </c>
      <c r="U11169" t="s">
        <v>26604</v>
      </c>
      <c r="V11169" t="s">
        <v>26610</v>
      </c>
      <c r="X11169">
        <v>333</v>
      </c>
      <c r="Y11169" t="s">
        <v>26652</v>
      </c>
      <c r="Z11169" t="s">
        <v>26660</v>
      </c>
      <c r="AB11169" t="s">
        <v>34324</v>
      </c>
      <c r="AC11169" t="s">
        <v>34805</v>
      </c>
      <c r="AD11169" t="s">
        <v>45354</v>
      </c>
      <c r="AE11169">
        <v>6</v>
      </c>
      <c r="AF11169" t="s">
        <v>45547</v>
      </c>
      <c r="AG11169" t="s">
        <v>45556</v>
      </c>
      <c r="AH11169">
        <v>10</v>
      </c>
      <c r="AI11169">
        <v>1</v>
      </c>
      <c r="AJ11169">
        <v>0</v>
      </c>
      <c r="AK11169">
        <v>0</v>
      </c>
      <c r="AN11169" t="s">
        <v>7439</v>
      </c>
      <c r="AO11169">
        <v>0</v>
      </c>
      <c r="AU11169">
        <v>5</v>
      </c>
      <c r="AV11169" t="s">
        <v>833</v>
      </c>
      <c r="AW11169" t="s">
        <v>279</v>
      </c>
      <c r="AX11169" t="s">
        <v>46897</v>
      </c>
    </row>
    <row r="11170" spans="1:50">
      <c r="A11170" s="1">
        <f>HYPERLINK("https://lsnyc.legalserver.org/matter/dynamic-profile/view/1902692","19-1902692")</f>
        <v>0</v>
      </c>
      <c r="B11170" t="s">
        <v>219</v>
      </c>
      <c r="C11170" t="s">
        <v>340</v>
      </c>
      <c r="D11170" t="s">
        <v>832</v>
      </c>
      <c r="F11170" t="s">
        <v>2081</v>
      </c>
      <c r="G11170" t="s">
        <v>8367</v>
      </c>
      <c r="H11170" t="s">
        <v>13536</v>
      </c>
      <c r="I11170" t="s">
        <v>17343</v>
      </c>
      <c r="J11170" t="s">
        <v>18894</v>
      </c>
      <c r="K11170">
        <v>11203</v>
      </c>
      <c r="L11170" t="s">
        <v>18960</v>
      </c>
      <c r="M11170" t="s">
        <v>18960</v>
      </c>
      <c r="R11170" t="s">
        <v>26591</v>
      </c>
      <c r="U11170" t="s">
        <v>26604</v>
      </c>
      <c r="X11170">
        <v>800</v>
      </c>
      <c r="Y11170" t="s">
        <v>26652</v>
      </c>
      <c r="Z11170" t="s">
        <v>26666</v>
      </c>
      <c r="AB11170" t="s">
        <v>34325</v>
      </c>
      <c r="AD11170" t="s">
        <v>45355</v>
      </c>
      <c r="AE11170">
        <v>36</v>
      </c>
      <c r="AF11170" t="s">
        <v>45541</v>
      </c>
      <c r="AG11170" t="s">
        <v>19330</v>
      </c>
      <c r="AH11170">
        <v>8</v>
      </c>
      <c r="AI11170">
        <v>1</v>
      </c>
      <c r="AJ11170">
        <v>0</v>
      </c>
      <c r="AK11170">
        <v>0</v>
      </c>
      <c r="AN11170" t="s">
        <v>7439</v>
      </c>
      <c r="AO11170">
        <v>0</v>
      </c>
      <c r="AU11170">
        <v>1</v>
      </c>
      <c r="AV11170" t="s">
        <v>832</v>
      </c>
      <c r="AW11170" t="s">
        <v>46858</v>
      </c>
    </row>
    <row r="11171" spans="1:50">
      <c r="A11171" s="1">
        <f>HYPERLINK("https://lsnyc.legalserver.org/matter/dynamic-profile/view/1902649","19-1902649")</f>
        <v>0</v>
      </c>
      <c r="B11171" t="s">
        <v>219</v>
      </c>
      <c r="C11171" t="s">
        <v>340</v>
      </c>
      <c r="D11171" t="s">
        <v>832</v>
      </c>
      <c r="F11171" t="s">
        <v>5008</v>
      </c>
      <c r="G11171" t="s">
        <v>7721</v>
      </c>
      <c r="H11171" t="s">
        <v>17115</v>
      </c>
      <c r="I11171" t="s">
        <v>18863</v>
      </c>
      <c r="J11171" t="s">
        <v>18894</v>
      </c>
      <c r="K11171">
        <v>11225</v>
      </c>
      <c r="L11171" t="s">
        <v>18960</v>
      </c>
      <c r="M11171" t="s">
        <v>18960</v>
      </c>
      <c r="R11171" t="s">
        <v>26591</v>
      </c>
      <c r="U11171" t="s">
        <v>26604</v>
      </c>
      <c r="X11171">
        <v>0</v>
      </c>
      <c r="Y11171" t="s">
        <v>26652</v>
      </c>
      <c r="AB11171" t="s">
        <v>34326</v>
      </c>
      <c r="AD11171" t="s">
        <v>45356</v>
      </c>
      <c r="AE11171">
        <v>40</v>
      </c>
      <c r="AH11171">
        <v>15</v>
      </c>
      <c r="AI11171">
        <v>1</v>
      </c>
      <c r="AJ11171">
        <v>2</v>
      </c>
      <c r="AK11171">
        <v>185.28</v>
      </c>
      <c r="AN11171" t="s">
        <v>7439</v>
      </c>
      <c r="AO11171">
        <v>39520</v>
      </c>
      <c r="AU11171">
        <v>1.1</v>
      </c>
      <c r="AV11171" t="s">
        <v>834</v>
      </c>
      <c r="AW11171" t="s">
        <v>46849</v>
      </c>
    </row>
    <row r="11172" spans="1:50">
      <c r="A11172" s="1">
        <f>HYPERLINK("https://lsnyc.legalserver.org/matter/dynamic-profile/view/1902624","19-1902624")</f>
        <v>0</v>
      </c>
      <c r="B11172" t="s">
        <v>219</v>
      </c>
      <c r="C11172" t="s">
        <v>340</v>
      </c>
      <c r="D11172" t="s">
        <v>832</v>
      </c>
      <c r="F11172" t="s">
        <v>5009</v>
      </c>
      <c r="G11172" t="s">
        <v>9558</v>
      </c>
      <c r="H11172" t="s">
        <v>13519</v>
      </c>
      <c r="I11172" t="s">
        <v>17343</v>
      </c>
      <c r="J11172" t="s">
        <v>18894</v>
      </c>
      <c r="K11172">
        <v>11226</v>
      </c>
      <c r="L11172" t="s">
        <v>18960</v>
      </c>
      <c r="M11172" t="s">
        <v>18960</v>
      </c>
      <c r="N11172" t="s">
        <v>26376</v>
      </c>
      <c r="O11172" t="s">
        <v>26524</v>
      </c>
      <c r="R11172" t="s">
        <v>26583</v>
      </c>
      <c r="U11172" t="s">
        <v>26604</v>
      </c>
      <c r="X11172">
        <v>990</v>
      </c>
      <c r="Y11172" t="s">
        <v>26652</v>
      </c>
      <c r="AB11172" t="s">
        <v>34327</v>
      </c>
      <c r="AD11172" t="s">
        <v>45357</v>
      </c>
      <c r="AE11172">
        <v>0</v>
      </c>
      <c r="AF11172" t="s">
        <v>45541</v>
      </c>
      <c r="AG11172" t="s">
        <v>19330</v>
      </c>
      <c r="AH11172">
        <v>30</v>
      </c>
      <c r="AI11172">
        <v>1</v>
      </c>
      <c r="AJ11172">
        <v>0</v>
      </c>
      <c r="AK11172">
        <v>398.72</v>
      </c>
      <c r="AN11172" t="s">
        <v>7439</v>
      </c>
      <c r="AO11172">
        <v>49800</v>
      </c>
      <c r="AU11172">
        <v>1</v>
      </c>
      <c r="AV11172" t="s">
        <v>832</v>
      </c>
      <c r="AW11172" t="s">
        <v>46859</v>
      </c>
    </row>
    <row r="11173" spans="1:50">
      <c r="A11173" s="1">
        <f>HYPERLINK("https://lsnyc.legalserver.org/matter/dynamic-profile/view/1902675","19-1902675")</f>
        <v>0</v>
      </c>
      <c r="B11173" t="s">
        <v>286</v>
      </c>
      <c r="C11173" t="s">
        <v>340</v>
      </c>
      <c r="D11173" t="s">
        <v>832</v>
      </c>
      <c r="F11173" t="s">
        <v>1062</v>
      </c>
      <c r="G11173" t="s">
        <v>9559</v>
      </c>
      <c r="H11173" t="s">
        <v>17116</v>
      </c>
      <c r="I11173">
        <v>2</v>
      </c>
      <c r="J11173" t="s">
        <v>18894</v>
      </c>
      <c r="K11173">
        <v>11208</v>
      </c>
      <c r="L11173" t="s">
        <v>18960</v>
      </c>
      <c r="M11173" t="s">
        <v>18960</v>
      </c>
      <c r="R11173" t="s">
        <v>26578</v>
      </c>
      <c r="U11173" t="s">
        <v>26604</v>
      </c>
      <c r="X11173">
        <v>900</v>
      </c>
      <c r="Y11173" t="s">
        <v>26652</v>
      </c>
      <c r="AB11173" t="s">
        <v>34328</v>
      </c>
      <c r="AD11173" t="s">
        <v>45358</v>
      </c>
      <c r="AE11173">
        <v>0</v>
      </c>
      <c r="AG11173" t="s">
        <v>19330</v>
      </c>
      <c r="AH11173">
        <v>3</v>
      </c>
      <c r="AI11173">
        <v>1</v>
      </c>
      <c r="AJ11173">
        <v>2</v>
      </c>
      <c r="AK11173">
        <v>33.76</v>
      </c>
      <c r="AN11173" t="s">
        <v>7439</v>
      </c>
      <c r="AO11173">
        <v>7200</v>
      </c>
      <c r="AU11173">
        <v>1</v>
      </c>
      <c r="AV11173" t="s">
        <v>832</v>
      </c>
      <c r="AW11173" t="s">
        <v>46859</v>
      </c>
    </row>
    <row r="11174" spans="1:50">
      <c r="A11174" s="1">
        <f>HYPERLINK("https://lsnyc.legalserver.org/matter/dynamic-profile/view/1902677","19-1902677")</f>
        <v>0</v>
      </c>
      <c r="B11174" t="s">
        <v>117</v>
      </c>
      <c r="C11174" t="s">
        <v>340</v>
      </c>
      <c r="D11174" t="s">
        <v>832</v>
      </c>
      <c r="F11174" t="s">
        <v>1876</v>
      </c>
      <c r="G11174" t="s">
        <v>6048</v>
      </c>
      <c r="H11174" t="s">
        <v>17117</v>
      </c>
      <c r="I11174" t="s">
        <v>18864</v>
      </c>
      <c r="J11174" t="s">
        <v>18894</v>
      </c>
      <c r="K11174">
        <v>11213</v>
      </c>
      <c r="L11174" t="s">
        <v>18959</v>
      </c>
      <c r="M11174" t="s">
        <v>18960</v>
      </c>
      <c r="N11174" t="s">
        <v>19330</v>
      </c>
      <c r="R11174" t="s">
        <v>26578</v>
      </c>
      <c r="S11174" t="s">
        <v>18959</v>
      </c>
      <c r="U11174" t="s">
        <v>26604</v>
      </c>
      <c r="V11174" t="s">
        <v>26610</v>
      </c>
      <c r="X11174">
        <v>831</v>
      </c>
      <c r="Y11174" t="s">
        <v>26652</v>
      </c>
      <c r="Z11174" t="s">
        <v>26664</v>
      </c>
      <c r="AB11174" t="s">
        <v>27723</v>
      </c>
      <c r="AC11174" t="s">
        <v>19330</v>
      </c>
      <c r="AD11174" t="s">
        <v>45359</v>
      </c>
      <c r="AE11174">
        <v>200</v>
      </c>
      <c r="AF11174" t="s">
        <v>45541</v>
      </c>
      <c r="AG11174" t="s">
        <v>19330</v>
      </c>
      <c r="AH11174">
        <v>16</v>
      </c>
      <c r="AI11174">
        <v>3</v>
      </c>
      <c r="AJ11174">
        <v>0</v>
      </c>
      <c r="AK11174">
        <v>93.76000000000001</v>
      </c>
      <c r="AN11174" t="s">
        <v>7439</v>
      </c>
      <c r="AO11174">
        <v>20000</v>
      </c>
      <c r="AU11174">
        <v>0</v>
      </c>
      <c r="AW11174" t="s">
        <v>279</v>
      </c>
      <c r="AX11174" t="s">
        <v>46897</v>
      </c>
    </row>
    <row r="11175" spans="1:50">
      <c r="A11175" s="1">
        <f>HYPERLINK("https://lsnyc.legalserver.org/matter/dynamic-profile/view/1902635","19-1902635")</f>
        <v>0</v>
      </c>
      <c r="B11175" t="s">
        <v>213</v>
      </c>
      <c r="C11175" t="s">
        <v>340</v>
      </c>
      <c r="D11175" t="s">
        <v>832</v>
      </c>
      <c r="F11175" t="s">
        <v>945</v>
      </c>
      <c r="G11175" t="s">
        <v>3138</v>
      </c>
      <c r="H11175" t="s">
        <v>17118</v>
      </c>
      <c r="I11175" t="s">
        <v>17356</v>
      </c>
      <c r="J11175" t="s">
        <v>18892</v>
      </c>
      <c r="K11175">
        <v>10455</v>
      </c>
      <c r="L11175" t="s">
        <v>18958</v>
      </c>
      <c r="M11175" t="s">
        <v>18960</v>
      </c>
      <c r="P11175" t="s">
        <v>26564</v>
      </c>
      <c r="R11175" t="s">
        <v>26577</v>
      </c>
      <c r="U11175" t="s">
        <v>26604</v>
      </c>
      <c r="X11175">
        <v>222</v>
      </c>
      <c r="Y11175" t="s">
        <v>26650</v>
      </c>
      <c r="AB11175" t="s">
        <v>29657</v>
      </c>
      <c r="AD11175" t="s">
        <v>45360</v>
      </c>
      <c r="AE11175">
        <v>0</v>
      </c>
      <c r="AH11175">
        <v>12</v>
      </c>
      <c r="AI11175">
        <v>1</v>
      </c>
      <c r="AJ11175">
        <v>0</v>
      </c>
      <c r="AK11175">
        <v>80.7</v>
      </c>
      <c r="AN11175" t="s">
        <v>7439</v>
      </c>
      <c r="AO11175">
        <v>10080</v>
      </c>
      <c r="AP11175" t="s">
        <v>46351</v>
      </c>
      <c r="AU11175">
        <v>0</v>
      </c>
      <c r="AW11175" t="s">
        <v>335</v>
      </c>
      <c r="AX11175" t="s">
        <v>46897</v>
      </c>
    </row>
    <row r="11176" spans="1:50">
      <c r="A11176" s="1">
        <f>HYPERLINK("https://lsnyc.legalserver.org/matter/dynamic-profile/view/1902615","19-1902615")</f>
        <v>0</v>
      </c>
      <c r="B11176" t="s">
        <v>135</v>
      </c>
      <c r="C11176" t="s">
        <v>340</v>
      </c>
      <c r="D11176" t="s">
        <v>832</v>
      </c>
      <c r="F11176" t="s">
        <v>3238</v>
      </c>
      <c r="G11176" t="s">
        <v>9560</v>
      </c>
      <c r="H11176" t="s">
        <v>17119</v>
      </c>
      <c r="I11176" t="s">
        <v>18210</v>
      </c>
      <c r="J11176" t="s">
        <v>18892</v>
      </c>
      <c r="K11176">
        <v>10451</v>
      </c>
      <c r="L11176" t="s">
        <v>18959</v>
      </c>
      <c r="M11176" t="s">
        <v>18960</v>
      </c>
      <c r="N11176" t="s">
        <v>26377</v>
      </c>
      <c r="O11176" t="s">
        <v>26523</v>
      </c>
      <c r="P11176" t="s">
        <v>26560</v>
      </c>
      <c r="R11176" t="s">
        <v>26589</v>
      </c>
      <c r="S11176" t="s">
        <v>18959</v>
      </c>
      <c r="U11176" t="s">
        <v>26605</v>
      </c>
      <c r="X11176">
        <v>122</v>
      </c>
      <c r="Y11176" t="s">
        <v>26650</v>
      </c>
      <c r="Z11176" t="s">
        <v>26671</v>
      </c>
      <c r="AB11176" t="s">
        <v>34329</v>
      </c>
      <c r="AC11176" t="s">
        <v>36791</v>
      </c>
      <c r="AD11176" t="s">
        <v>45361</v>
      </c>
      <c r="AE11176">
        <v>1023</v>
      </c>
      <c r="AF11176" t="s">
        <v>45549</v>
      </c>
      <c r="AG11176" t="s">
        <v>19330</v>
      </c>
      <c r="AH11176">
        <v>1</v>
      </c>
      <c r="AI11176">
        <v>1</v>
      </c>
      <c r="AJ11176">
        <v>2</v>
      </c>
      <c r="AK11176">
        <v>27.85</v>
      </c>
      <c r="AN11176" t="s">
        <v>7439</v>
      </c>
      <c r="AO11176">
        <v>5940</v>
      </c>
      <c r="AU11176">
        <v>0.7</v>
      </c>
      <c r="AV11176" t="s">
        <v>772</v>
      </c>
      <c r="AW11176" t="s">
        <v>46847</v>
      </c>
      <c r="AX11176" t="s">
        <v>46898</v>
      </c>
    </row>
    <row r="11177" spans="1:50">
      <c r="A11177" s="1">
        <f>HYPERLINK("https://lsnyc.legalserver.org/matter/dynamic-profile/view/1902606","19-1902606")</f>
        <v>0</v>
      </c>
      <c r="B11177" t="s">
        <v>135</v>
      </c>
      <c r="C11177" t="s">
        <v>340</v>
      </c>
      <c r="D11177" t="s">
        <v>832</v>
      </c>
      <c r="F11177" t="s">
        <v>1046</v>
      </c>
      <c r="G11177" t="s">
        <v>6969</v>
      </c>
      <c r="H11177" t="s">
        <v>12493</v>
      </c>
      <c r="I11177" t="s">
        <v>17348</v>
      </c>
      <c r="J11177" t="s">
        <v>18892</v>
      </c>
      <c r="K11177">
        <v>10451</v>
      </c>
      <c r="L11177" t="s">
        <v>18959</v>
      </c>
      <c r="M11177" t="s">
        <v>18960</v>
      </c>
      <c r="N11177" t="s">
        <v>26378</v>
      </c>
      <c r="O11177" t="s">
        <v>26523</v>
      </c>
      <c r="R11177" t="s">
        <v>26578</v>
      </c>
      <c r="S11177" t="s">
        <v>18959</v>
      </c>
      <c r="U11177" t="s">
        <v>26604</v>
      </c>
      <c r="X11177">
        <v>1640</v>
      </c>
      <c r="Y11177" t="s">
        <v>26650</v>
      </c>
      <c r="Z11177" t="s">
        <v>26659</v>
      </c>
      <c r="AB11177" t="s">
        <v>29764</v>
      </c>
      <c r="AC11177" t="s">
        <v>36792</v>
      </c>
      <c r="AD11177" t="s">
        <v>39868</v>
      </c>
      <c r="AE11177">
        <v>77</v>
      </c>
      <c r="AF11177" t="s">
        <v>45552</v>
      </c>
      <c r="AG11177" t="s">
        <v>45561</v>
      </c>
      <c r="AH11177">
        <v>2</v>
      </c>
      <c r="AI11177">
        <v>3</v>
      </c>
      <c r="AJ11177">
        <v>1</v>
      </c>
      <c r="AK11177">
        <v>80.43000000000001</v>
      </c>
      <c r="AO11177">
        <v>20712</v>
      </c>
      <c r="AU11177">
        <v>2.3</v>
      </c>
      <c r="AV11177" t="s">
        <v>773</v>
      </c>
      <c r="AW11177" t="s">
        <v>46847</v>
      </c>
      <c r="AX11177" t="s">
        <v>46898</v>
      </c>
    </row>
    <row r="11178" spans="1:50">
      <c r="A11178" s="1">
        <f>HYPERLINK("https://lsnyc.legalserver.org/matter/dynamic-profile/view/1902700","19-1902700")</f>
        <v>0</v>
      </c>
      <c r="B11178" t="s">
        <v>200</v>
      </c>
      <c r="C11178" t="s">
        <v>340</v>
      </c>
      <c r="D11178" t="s">
        <v>832</v>
      </c>
      <c r="F11178" t="s">
        <v>5010</v>
      </c>
      <c r="G11178" t="s">
        <v>6961</v>
      </c>
      <c r="H11178" t="s">
        <v>17120</v>
      </c>
      <c r="I11178">
        <v>1</v>
      </c>
      <c r="J11178" t="s">
        <v>18894</v>
      </c>
      <c r="K11178">
        <v>11208</v>
      </c>
      <c r="L11178" t="s">
        <v>18959</v>
      </c>
      <c r="M11178" t="s">
        <v>18960</v>
      </c>
      <c r="N11178" t="s">
        <v>26379</v>
      </c>
      <c r="O11178" t="s">
        <v>26523</v>
      </c>
      <c r="R11178" t="s">
        <v>26578</v>
      </c>
      <c r="S11178" t="s">
        <v>18959</v>
      </c>
      <c r="U11178" t="s">
        <v>26604</v>
      </c>
      <c r="V11178" t="s">
        <v>26609</v>
      </c>
      <c r="X11178">
        <v>1500</v>
      </c>
      <c r="Y11178" t="s">
        <v>26652</v>
      </c>
      <c r="Z11178" t="s">
        <v>26663</v>
      </c>
      <c r="AB11178" t="s">
        <v>31727</v>
      </c>
      <c r="AC11178" t="s">
        <v>36790</v>
      </c>
      <c r="AD11178" t="s">
        <v>45362</v>
      </c>
      <c r="AE11178">
        <v>2</v>
      </c>
      <c r="AF11178" t="s">
        <v>45547</v>
      </c>
      <c r="AG11178" t="s">
        <v>19330</v>
      </c>
      <c r="AH11178">
        <v>1</v>
      </c>
      <c r="AI11178">
        <v>2</v>
      </c>
      <c r="AJ11178">
        <v>2</v>
      </c>
      <c r="AK11178">
        <v>117.53</v>
      </c>
      <c r="AN11178" t="s">
        <v>7439</v>
      </c>
      <c r="AO11178">
        <v>30264</v>
      </c>
      <c r="AU11178">
        <v>1.4</v>
      </c>
      <c r="AV11178" t="s">
        <v>834</v>
      </c>
      <c r="AW11178" t="s">
        <v>279</v>
      </c>
      <c r="AX11178" t="s">
        <v>46897</v>
      </c>
    </row>
    <row r="11179" spans="1:50">
      <c r="A11179" s="1">
        <f>HYPERLINK("https://lsnyc.legalserver.org/matter/dynamic-profile/view/1902627","19-1902627")</f>
        <v>0</v>
      </c>
      <c r="B11179" t="s">
        <v>200</v>
      </c>
      <c r="C11179" t="s">
        <v>340</v>
      </c>
      <c r="D11179" t="s">
        <v>832</v>
      </c>
      <c r="F11179" t="s">
        <v>5011</v>
      </c>
      <c r="G11179" t="s">
        <v>9561</v>
      </c>
      <c r="H11179" t="s">
        <v>17110</v>
      </c>
      <c r="I11179" t="s">
        <v>18865</v>
      </c>
      <c r="J11179" t="s">
        <v>18894</v>
      </c>
      <c r="K11179">
        <v>11210</v>
      </c>
      <c r="L11179" t="s">
        <v>18960</v>
      </c>
      <c r="M11179" t="s">
        <v>18960</v>
      </c>
      <c r="P11179" t="s">
        <v>26563</v>
      </c>
      <c r="R11179" t="s">
        <v>26586</v>
      </c>
      <c r="U11179" t="s">
        <v>26604</v>
      </c>
      <c r="X11179">
        <v>800</v>
      </c>
      <c r="Y11179" t="s">
        <v>26652</v>
      </c>
      <c r="Z11179" t="s">
        <v>26663</v>
      </c>
      <c r="AB11179" t="s">
        <v>30905</v>
      </c>
      <c r="AD11179" t="s">
        <v>45363</v>
      </c>
      <c r="AE11179">
        <v>3</v>
      </c>
      <c r="AF11179" t="s">
        <v>20460</v>
      </c>
      <c r="AH11179">
        <v>0</v>
      </c>
      <c r="AI11179">
        <v>1</v>
      </c>
      <c r="AJ11179">
        <v>0</v>
      </c>
      <c r="AK11179">
        <v>333.07</v>
      </c>
      <c r="AN11179" t="s">
        <v>7439</v>
      </c>
      <c r="AO11179">
        <v>41600</v>
      </c>
      <c r="AU11179">
        <v>0.1</v>
      </c>
      <c r="AV11179" t="s">
        <v>832</v>
      </c>
      <c r="AW11179" t="s">
        <v>46856</v>
      </c>
    </row>
    <row r="11180" spans="1:50">
      <c r="A11180" s="1">
        <f>HYPERLINK("https://lsnyc.legalserver.org/matter/dynamic-profile/view/1902704","19-1902704")</f>
        <v>0</v>
      </c>
      <c r="B11180" t="s">
        <v>65</v>
      </c>
      <c r="C11180" t="s">
        <v>340</v>
      </c>
      <c r="D11180" t="s">
        <v>832</v>
      </c>
      <c r="F11180" t="s">
        <v>887</v>
      </c>
      <c r="G11180" t="s">
        <v>5174</v>
      </c>
      <c r="H11180" t="s">
        <v>17121</v>
      </c>
      <c r="I11180" t="s">
        <v>17445</v>
      </c>
      <c r="J11180" t="s">
        <v>18892</v>
      </c>
      <c r="K11180">
        <v>10457</v>
      </c>
      <c r="L11180" t="s">
        <v>18958</v>
      </c>
      <c r="M11180" t="s">
        <v>18960</v>
      </c>
      <c r="N11180" t="s">
        <v>26380</v>
      </c>
      <c r="O11180" t="s">
        <v>26524</v>
      </c>
      <c r="P11180" t="s">
        <v>26563</v>
      </c>
      <c r="R11180" t="s">
        <v>26579</v>
      </c>
      <c r="S11180" t="s">
        <v>18959</v>
      </c>
      <c r="U11180" t="s">
        <v>26604</v>
      </c>
      <c r="V11180" t="s">
        <v>26609</v>
      </c>
      <c r="X11180">
        <v>1625.28</v>
      </c>
      <c r="Y11180" t="s">
        <v>26650</v>
      </c>
      <c r="Z11180" t="s">
        <v>26668</v>
      </c>
      <c r="AB11180" t="s">
        <v>32692</v>
      </c>
      <c r="AC11180" t="s">
        <v>36793</v>
      </c>
      <c r="AD11180" t="s">
        <v>45364</v>
      </c>
      <c r="AE11180">
        <v>55</v>
      </c>
      <c r="AF11180" t="s">
        <v>45541</v>
      </c>
      <c r="AG11180" t="s">
        <v>19330</v>
      </c>
      <c r="AH11180">
        <v>18</v>
      </c>
      <c r="AI11180">
        <v>2</v>
      </c>
      <c r="AJ11180">
        <v>0</v>
      </c>
      <c r="AK11180">
        <v>259.87</v>
      </c>
      <c r="AN11180" t="s">
        <v>45581</v>
      </c>
      <c r="AO11180">
        <v>43944</v>
      </c>
      <c r="AU11180">
        <v>1.5</v>
      </c>
      <c r="AV11180" t="s">
        <v>834</v>
      </c>
      <c r="AW11180" t="s">
        <v>46871</v>
      </c>
      <c r="AX11180" t="s">
        <v>46898</v>
      </c>
    </row>
    <row r="11181" spans="1:50">
      <c r="A11181" s="1">
        <f>HYPERLINK("https://lsnyc.legalserver.org/matter/dynamic-profile/view/1902644","19-1902644")</f>
        <v>0</v>
      </c>
      <c r="B11181" t="s">
        <v>201</v>
      </c>
      <c r="C11181" t="s">
        <v>340</v>
      </c>
      <c r="D11181" t="s">
        <v>832</v>
      </c>
      <c r="F11181" t="s">
        <v>3481</v>
      </c>
      <c r="G11181" t="s">
        <v>6119</v>
      </c>
      <c r="H11181" t="s">
        <v>17122</v>
      </c>
      <c r="I11181">
        <v>3</v>
      </c>
      <c r="J11181" t="s">
        <v>18894</v>
      </c>
      <c r="K11181">
        <v>11217</v>
      </c>
      <c r="L11181" t="s">
        <v>18958</v>
      </c>
      <c r="M11181" t="s">
        <v>18960</v>
      </c>
      <c r="O11181" t="s">
        <v>26534</v>
      </c>
      <c r="P11181" t="s">
        <v>26565</v>
      </c>
      <c r="R11181" t="s">
        <v>26583</v>
      </c>
      <c r="U11181" t="s">
        <v>26604</v>
      </c>
      <c r="X11181">
        <v>800</v>
      </c>
      <c r="Y11181" t="s">
        <v>26652</v>
      </c>
      <c r="Z11181" t="s">
        <v>26530</v>
      </c>
      <c r="AB11181" t="s">
        <v>34330</v>
      </c>
      <c r="AD11181" t="s">
        <v>45365</v>
      </c>
      <c r="AE11181">
        <v>4</v>
      </c>
      <c r="AF11181" t="s">
        <v>45548</v>
      </c>
      <c r="AH11181">
        <v>52</v>
      </c>
      <c r="AI11181">
        <v>1</v>
      </c>
      <c r="AJ11181">
        <v>0</v>
      </c>
      <c r="AK11181">
        <v>230.58</v>
      </c>
      <c r="AN11181" t="s">
        <v>7439</v>
      </c>
      <c r="AO11181">
        <v>28800</v>
      </c>
      <c r="AU11181">
        <v>3.75</v>
      </c>
      <c r="AV11181" t="s">
        <v>773</v>
      </c>
      <c r="AW11181" t="s">
        <v>201</v>
      </c>
    </row>
    <row r="11182" spans="1:50">
      <c r="A11182" s="1">
        <f>HYPERLINK("https://lsnyc.legalserver.org/matter/dynamic-profile/view/1902643","19-1902643")</f>
        <v>0</v>
      </c>
      <c r="B11182" t="s">
        <v>187</v>
      </c>
      <c r="C11182" t="s">
        <v>340</v>
      </c>
      <c r="D11182" t="s">
        <v>832</v>
      </c>
      <c r="F11182" t="s">
        <v>5012</v>
      </c>
      <c r="G11182" t="s">
        <v>9562</v>
      </c>
      <c r="H11182" t="s">
        <v>17123</v>
      </c>
      <c r="I11182" t="s">
        <v>17344</v>
      </c>
      <c r="J11182" t="s">
        <v>18892</v>
      </c>
      <c r="K11182">
        <v>10456</v>
      </c>
      <c r="L11182" t="s">
        <v>18958</v>
      </c>
      <c r="M11182" t="s">
        <v>18960</v>
      </c>
      <c r="N11182" t="s">
        <v>26381</v>
      </c>
      <c r="O11182" t="s">
        <v>26523</v>
      </c>
      <c r="P11182" t="s">
        <v>26564</v>
      </c>
      <c r="R11182" t="s">
        <v>26577</v>
      </c>
      <c r="S11182" t="s">
        <v>18959</v>
      </c>
      <c r="U11182" t="s">
        <v>26604</v>
      </c>
      <c r="X11182">
        <v>1020</v>
      </c>
      <c r="Y11182" t="s">
        <v>26650</v>
      </c>
      <c r="Z11182" t="s">
        <v>26664</v>
      </c>
      <c r="AB11182" t="s">
        <v>34331</v>
      </c>
      <c r="AD11182" t="s">
        <v>45366</v>
      </c>
      <c r="AE11182">
        <v>6</v>
      </c>
      <c r="AF11182" t="s">
        <v>45541</v>
      </c>
      <c r="AH11182">
        <v>13</v>
      </c>
      <c r="AI11182">
        <v>2</v>
      </c>
      <c r="AJ11182">
        <v>0</v>
      </c>
      <c r="AK11182">
        <v>162.01</v>
      </c>
      <c r="AN11182" t="s">
        <v>45581</v>
      </c>
      <c r="AO11182">
        <v>27396.56</v>
      </c>
      <c r="AP11182" t="s">
        <v>46352</v>
      </c>
      <c r="AU11182">
        <v>0</v>
      </c>
      <c r="AW11182" t="s">
        <v>335</v>
      </c>
      <c r="AX11182" t="s">
        <v>46897</v>
      </c>
    </row>
    <row r="11183" spans="1:50">
      <c r="A11183" s="1">
        <f>HYPERLINK("https://lsnyc.legalserver.org/matter/dynamic-profile/view/1902684","19-1902684")</f>
        <v>0</v>
      </c>
      <c r="B11183" t="s">
        <v>233</v>
      </c>
      <c r="C11183" t="s">
        <v>340</v>
      </c>
      <c r="D11183" t="s">
        <v>832</v>
      </c>
      <c r="F11183" t="s">
        <v>1111</v>
      </c>
      <c r="G11183" t="s">
        <v>9563</v>
      </c>
      <c r="H11183" t="s">
        <v>17124</v>
      </c>
      <c r="I11183" t="s">
        <v>17299</v>
      </c>
      <c r="J11183" t="s">
        <v>18892</v>
      </c>
      <c r="K11183">
        <v>10475</v>
      </c>
      <c r="L11183" t="s">
        <v>18958</v>
      </c>
      <c r="M11183" t="s">
        <v>18960</v>
      </c>
      <c r="N11183" t="s">
        <v>26382</v>
      </c>
      <c r="O11183" t="s">
        <v>26524</v>
      </c>
      <c r="P11183" t="s">
        <v>26564</v>
      </c>
      <c r="R11183" t="s">
        <v>26577</v>
      </c>
      <c r="S11183" t="s">
        <v>18959</v>
      </c>
      <c r="U11183" t="s">
        <v>26604</v>
      </c>
      <c r="V11183" t="s">
        <v>26610</v>
      </c>
      <c r="X11183">
        <v>0</v>
      </c>
      <c r="Y11183" t="s">
        <v>26650</v>
      </c>
      <c r="AB11183" t="s">
        <v>806</v>
      </c>
      <c r="AD11183" t="s">
        <v>45367</v>
      </c>
      <c r="AE11183">
        <v>0</v>
      </c>
      <c r="AF11183" t="s">
        <v>45552</v>
      </c>
      <c r="AH11183">
        <v>47</v>
      </c>
      <c r="AI11183">
        <v>1</v>
      </c>
      <c r="AJ11183">
        <v>0</v>
      </c>
      <c r="AK11183">
        <v>19.05</v>
      </c>
      <c r="AN11183" t="s">
        <v>7439</v>
      </c>
      <c r="AO11183">
        <v>2379</v>
      </c>
      <c r="AP11183" t="s">
        <v>46352</v>
      </c>
      <c r="AU11183">
        <v>0</v>
      </c>
      <c r="AW11183" t="s">
        <v>335</v>
      </c>
      <c r="AX11183" t="s">
        <v>46897</v>
      </c>
    </row>
    <row r="11184" spans="1:50">
      <c r="A11184" s="1">
        <f>HYPERLINK("https://lsnyc.legalserver.org/matter/dynamic-profile/view/1902618","19-1902618")</f>
        <v>0</v>
      </c>
      <c r="B11184" t="s">
        <v>104</v>
      </c>
      <c r="C11184" t="s">
        <v>340</v>
      </c>
      <c r="D11184" t="s">
        <v>832</v>
      </c>
      <c r="F11184" t="s">
        <v>4044</v>
      </c>
      <c r="G11184" t="s">
        <v>6415</v>
      </c>
      <c r="H11184" t="s">
        <v>17125</v>
      </c>
      <c r="J11184" t="s">
        <v>18902</v>
      </c>
      <c r="K11184">
        <v>10303</v>
      </c>
      <c r="L11184" t="s">
        <v>18960</v>
      </c>
      <c r="M11184" t="s">
        <v>18960</v>
      </c>
      <c r="R11184" t="s">
        <v>26590</v>
      </c>
      <c r="U11184" t="s">
        <v>26604</v>
      </c>
      <c r="X11184">
        <v>0</v>
      </c>
      <c r="Y11184" t="s">
        <v>26654</v>
      </c>
      <c r="AB11184" t="s">
        <v>34332</v>
      </c>
      <c r="AD11184" t="s">
        <v>45368</v>
      </c>
      <c r="AE11184">
        <v>0</v>
      </c>
      <c r="AH11184">
        <v>0</v>
      </c>
      <c r="AI11184">
        <v>1</v>
      </c>
      <c r="AJ11184">
        <v>0</v>
      </c>
      <c r="AK11184">
        <v>175.01</v>
      </c>
      <c r="AN11184" t="s">
        <v>7439</v>
      </c>
      <c r="AO11184">
        <v>21859.2</v>
      </c>
      <c r="AU11184">
        <v>0</v>
      </c>
      <c r="AW11184" t="s">
        <v>46891</v>
      </c>
    </row>
    <row r="11185" spans="1:50">
      <c r="A11185" s="1">
        <f>HYPERLINK("https://lsnyc.legalserver.org/matter/dynamic-profile/view/1902701","19-1902701")</f>
        <v>0</v>
      </c>
      <c r="B11185" t="s">
        <v>269</v>
      </c>
      <c r="C11185" t="s">
        <v>340</v>
      </c>
      <c r="D11185" t="s">
        <v>832</v>
      </c>
      <c r="F11185" t="s">
        <v>1417</v>
      </c>
      <c r="G11185" t="s">
        <v>2975</v>
      </c>
      <c r="H11185" t="s">
        <v>17126</v>
      </c>
      <c r="I11185">
        <v>14</v>
      </c>
      <c r="J11185" t="s">
        <v>18892</v>
      </c>
      <c r="K11185">
        <v>10456</v>
      </c>
      <c r="L11185" t="s">
        <v>18958</v>
      </c>
      <c r="M11185" t="s">
        <v>18960</v>
      </c>
      <c r="N11185" t="s">
        <v>26383</v>
      </c>
      <c r="O11185" t="s">
        <v>26523</v>
      </c>
      <c r="P11185" t="s">
        <v>26564</v>
      </c>
      <c r="R11185" t="s">
        <v>26577</v>
      </c>
      <c r="S11185" t="s">
        <v>18959</v>
      </c>
      <c r="U11185" t="s">
        <v>26604</v>
      </c>
      <c r="X11185">
        <v>0</v>
      </c>
      <c r="Y11185" t="s">
        <v>26650</v>
      </c>
      <c r="AB11185" t="s">
        <v>32390</v>
      </c>
      <c r="AE11185">
        <v>0</v>
      </c>
      <c r="AF11185" t="s">
        <v>45547</v>
      </c>
      <c r="AH11185">
        <v>1</v>
      </c>
      <c r="AI11185">
        <v>2</v>
      </c>
      <c r="AJ11185">
        <v>1</v>
      </c>
      <c r="AK11185">
        <v>100.05</v>
      </c>
      <c r="AN11185" t="s">
        <v>7439</v>
      </c>
      <c r="AO11185">
        <v>21340</v>
      </c>
      <c r="AP11185" t="s">
        <v>46351</v>
      </c>
      <c r="AU11185">
        <v>1.2</v>
      </c>
      <c r="AV11185" t="s">
        <v>836</v>
      </c>
      <c r="AW11185" t="s">
        <v>335</v>
      </c>
      <c r="AX11185" t="s">
        <v>46897</v>
      </c>
    </row>
    <row r="11186" spans="1:50">
      <c r="A11186" s="1">
        <f>HYPERLINK("https://lsnyc.legalserver.org/matter/dynamic-profile/view/1902614","19-1902614")</f>
        <v>0</v>
      </c>
      <c r="B11186" t="s">
        <v>126</v>
      </c>
      <c r="C11186" t="s">
        <v>340</v>
      </c>
      <c r="D11186" t="s">
        <v>832</v>
      </c>
      <c r="F11186" t="s">
        <v>1062</v>
      </c>
      <c r="G11186" t="s">
        <v>9564</v>
      </c>
      <c r="H11186" t="s">
        <v>16160</v>
      </c>
      <c r="I11186" t="s">
        <v>17284</v>
      </c>
      <c r="J11186" t="s">
        <v>18894</v>
      </c>
      <c r="K11186">
        <v>11233</v>
      </c>
      <c r="L11186" t="s">
        <v>18960</v>
      </c>
      <c r="M11186" t="s">
        <v>18960</v>
      </c>
      <c r="P11186" t="s">
        <v>26564</v>
      </c>
      <c r="R11186" t="s">
        <v>26578</v>
      </c>
      <c r="S11186" t="s">
        <v>18959</v>
      </c>
      <c r="U11186" t="s">
        <v>26604</v>
      </c>
      <c r="X11186">
        <v>1800</v>
      </c>
      <c r="Y11186" t="s">
        <v>26652</v>
      </c>
      <c r="AB11186" t="s">
        <v>34333</v>
      </c>
      <c r="AD11186" t="s">
        <v>45369</v>
      </c>
      <c r="AE11186">
        <v>20</v>
      </c>
      <c r="AH11186">
        <v>3</v>
      </c>
      <c r="AI11186">
        <v>1</v>
      </c>
      <c r="AJ11186">
        <v>1</v>
      </c>
      <c r="AK11186">
        <v>153.76</v>
      </c>
      <c r="AN11186" t="s">
        <v>7439</v>
      </c>
      <c r="AO11186">
        <v>26000</v>
      </c>
      <c r="AU11186">
        <v>3</v>
      </c>
      <c r="AV11186" t="s">
        <v>834</v>
      </c>
      <c r="AW11186" t="s">
        <v>46857</v>
      </c>
    </row>
    <row r="11187" spans="1:50">
      <c r="A11187" s="1">
        <f>HYPERLINK("https://lsnyc.legalserver.org/matter/dynamic-profile/view/1902685","19-1902685")</f>
        <v>0</v>
      </c>
      <c r="B11187" t="s">
        <v>91</v>
      </c>
      <c r="C11187" t="s">
        <v>340</v>
      </c>
      <c r="D11187" t="s">
        <v>832</v>
      </c>
      <c r="F11187" t="s">
        <v>3117</v>
      </c>
      <c r="G11187" t="s">
        <v>9190</v>
      </c>
      <c r="H11187" t="s">
        <v>16355</v>
      </c>
      <c r="I11187" t="s">
        <v>17330</v>
      </c>
      <c r="J11187" t="s">
        <v>18899</v>
      </c>
      <c r="K11187">
        <v>11385</v>
      </c>
      <c r="L11187" t="s">
        <v>18960</v>
      </c>
      <c r="M11187" t="s">
        <v>18960</v>
      </c>
      <c r="O11187" t="s">
        <v>26534</v>
      </c>
      <c r="R11187" t="s">
        <v>26585</v>
      </c>
      <c r="T11187" t="s">
        <v>26578</v>
      </c>
      <c r="U11187" t="s">
        <v>26604</v>
      </c>
      <c r="X11187">
        <v>204</v>
      </c>
      <c r="Y11187" t="s">
        <v>26653</v>
      </c>
      <c r="Z11187" t="s">
        <v>26659</v>
      </c>
      <c r="AB11187" t="s">
        <v>33664</v>
      </c>
      <c r="AD11187" t="s">
        <v>44472</v>
      </c>
      <c r="AE11187">
        <v>0</v>
      </c>
      <c r="AF11187" t="s">
        <v>45548</v>
      </c>
      <c r="AG11187" t="s">
        <v>19330</v>
      </c>
      <c r="AH11187">
        <v>52</v>
      </c>
      <c r="AI11187">
        <v>2</v>
      </c>
      <c r="AJ11187">
        <v>1</v>
      </c>
      <c r="AK11187">
        <v>121.89</v>
      </c>
      <c r="AN11187" t="s">
        <v>7439</v>
      </c>
      <c r="AO11187">
        <v>26000</v>
      </c>
      <c r="AU11187">
        <v>0.6</v>
      </c>
      <c r="AV11187" t="s">
        <v>838</v>
      </c>
      <c r="AW11187" t="s">
        <v>46846</v>
      </c>
    </row>
    <row r="11188" spans="1:50">
      <c r="A11188" s="1">
        <f>HYPERLINK("https://lsnyc.legalserver.org/matter/dynamic-profile/view/1902681","19-1902681")</f>
        <v>0</v>
      </c>
      <c r="B11188" t="s">
        <v>177</v>
      </c>
      <c r="C11188" t="s">
        <v>340</v>
      </c>
      <c r="D11188" t="s">
        <v>832</v>
      </c>
      <c r="F11188" t="s">
        <v>2585</v>
      </c>
      <c r="G11188" t="s">
        <v>9565</v>
      </c>
      <c r="H11188" t="s">
        <v>11554</v>
      </c>
      <c r="I11188" t="s">
        <v>17272</v>
      </c>
      <c r="J11188" t="s">
        <v>18892</v>
      </c>
      <c r="K11188">
        <v>10459</v>
      </c>
      <c r="L11188" t="s">
        <v>18960</v>
      </c>
      <c r="M11188" t="s">
        <v>18960</v>
      </c>
      <c r="N11188" t="s">
        <v>26384</v>
      </c>
      <c r="O11188" t="s">
        <v>26524</v>
      </c>
      <c r="R11188" t="s">
        <v>26591</v>
      </c>
      <c r="U11188" t="s">
        <v>26604</v>
      </c>
      <c r="X11188">
        <v>318</v>
      </c>
      <c r="Y11188" t="s">
        <v>26650</v>
      </c>
      <c r="Z11188" t="s">
        <v>26673</v>
      </c>
      <c r="AB11188" t="s">
        <v>34334</v>
      </c>
      <c r="AD11188" t="s">
        <v>45370</v>
      </c>
      <c r="AE11188">
        <v>26</v>
      </c>
      <c r="AH11188">
        <v>29</v>
      </c>
      <c r="AI11188">
        <v>1</v>
      </c>
      <c r="AJ11188">
        <v>0</v>
      </c>
      <c r="AK11188">
        <v>55.53</v>
      </c>
      <c r="AN11188" t="s">
        <v>7439</v>
      </c>
      <c r="AO11188">
        <v>6936</v>
      </c>
      <c r="AU11188">
        <v>1</v>
      </c>
      <c r="AV11188" t="s">
        <v>832</v>
      </c>
      <c r="AW11188" t="s">
        <v>46861</v>
      </c>
    </row>
    <row r="11189" spans="1:50">
      <c r="A11189" s="1">
        <f>HYPERLINK("https://lsnyc.legalserver.org/matter/dynamic-profile/view/1902667","19-1902667")</f>
        <v>0</v>
      </c>
      <c r="B11189" t="s">
        <v>177</v>
      </c>
      <c r="C11189" t="s">
        <v>340</v>
      </c>
      <c r="D11189" t="s">
        <v>832</v>
      </c>
      <c r="F11189" t="s">
        <v>1457</v>
      </c>
      <c r="G11189" t="s">
        <v>9566</v>
      </c>
      <c r="H11189" t="s">
        <v>17127</v>
      </c>
      <c r="I11189" t="s">
        <v>18866</v>
      </c>
      <c r="J11189" t="s">
        <v>18892</v>
      </c>
      <c r="K11189">
        <v>10453</v>
      </c>
      <c r="L11189" t="s">
        <v>18960</v>
      </c>
      <c r="M11189" t="s">
        <v>18960</v>
      </c>
      <c r="R11189" t="s">
        <v>26591</v>
      </c>
      <c r="U11189" t="s">
        <v>26604</v>
      </c>
      <c r="X11189">
        <v>1223.81</v>
      </c>
      <c r="Y11189" t="s">
        <v>26650</v>
      </c>
      <c r="AB11189" t="s">
        <v>34335</v>
      </c>
      <c r="AD11189" t="s">
        <v>45371</v>
      </c>
      <c r="AE11189">
        <v>200</v>
      </c>
      <c r="AH11189">
        <v>27</v>
      </c>
      <c r="AI11189">
        <v>3</v>
      </c>
      <c r="AJ11189">
        <v>0</v>
      </c>
      <c r="AK11189">
        <v>181.9</v>
      </c>
      <c r="AN11189" t="s">
        <v>7439</v>
      </c>
      <c r="AO11189">
        <v>38800</v>
      </c>
      <c r="AU11189">
        <v>0.8</v>
      </c>
      <c r="AV11189" t="s">
        <v>832</v>
      </c>
      <c r="AW11189" t="s">
        <v>46857</v>
      </c>
    </row>
    <row r="11190" spans="1:50">
      <c r="A11190" s="1">
        <f>HYPERLINK("https://lsnyc.legalserver.org/matter/dynamic-profile/view/1902670","19-1902670")</f>
        <v>0</v>
      </c>
      <c r="B11190" t="s">
        <v>320</v>
      </c>
      <c r="C11190" t="s">
        <v>340</v>
      </c>
      <c r="D11190" t="s">
        <v>832</v>
      </c>
      <c r="F11190" t="s">
        <v>1745</v>
      </c>
      <c r="G11190" t="s">
        <v>5185</v>
      </c>
      <c r="H11190" t="s">
        <v>17128</v>
      </c>
      <c r="I11190" t="s">
        <v>17291</v>
      </c>
      <c r="J11190" t="s">
        <v>18894</v>
      </c>
      <c r="K11190">
        <v>11206</v>
      </c>
      <c r="L11190" t="s">
        <v>18960</v>
      </c>
      <c r="M11190" t="s">
        <v>18960</v>
      </c>
      <c r="R11190" t="s">
        <v>26591</v>
      </c>
      <c r="U11190" t="s">
        <v>26604</v>
      </c>
      <c r="X11190">
        <v>515</v>
      </c>
      <c r="Y11190" t="s">
        <v>26652</v>
      </c>
      <c r="Z11190" t="s">
        <v>26659</v>
      </c>
      <c r="AB11190" t="s">
        <v>34336</v>
      </c>
      <c r="AD11190" t="s">
        <v>45372</v>
      </c>
      <c r="AE11190">
        <v>6</v>
      </c>
      <c r="AF11190" t="s">
        <v>45548</v>
      </c>
      <c r="AG11190" t="s">
        <v>19330</v>
      </c>
      <c r="AH11190">
        <v>50</v>
      </c>
      <c r="AI11190">
        <v>2</v>
      </c>
      <c r="AJ11190">
        <v>0</v>
      </c>
      <c r="AK11190">
        <v>169.13</v>
      </c>
      <c r="AN11190" t="s">
        <v>7439</v>
      </c>
      <c r="AO11190">
        <v>28600</v>
      </c>
      <c r="AU11190">
        <v>2</v>
      </c>
      <c r="AV11190" t="s">
        <v>838</v>
      </c>
      <c r="AW11190" t="s">
        <v>46858</v>
      </c>
    </row>
    <row r="11191" spans="1:50">
      <c r="A11191" s="1">
        <f>HYPERLINK("https://lsnyc.legalserver.org/matter/dynamic-profile/view/1902671","19-1902671")</f>
        <v>0</v>
      </c>
      <c r="B11191" t="s">
        <v>338</v>
      </c>
      <c r="C11191" t="s">
        <v>340</v>
      </c>
      <c r="D11191" t="s">
        <v>832</v>
      </c>
      <c r="F11191" t="s">
        <v>1457</v>
      </c>
      <c r="G11191" t="s">
        <v>9566</v>
      </c>
      <c r="H11191" t="s">
        <v>17127</v>
      </c>
      <c r="I11191" t="s">
        <v>18866</v>
      </c>
      <c r="J11191" t="s">
        <v>18892</v>
      </c>
      <c r="K11191">
        <v>10453</v>
      </c>
      <c r="L11191" t="s">
        <v>18960</v>
      </c>
      <c r="M11191" t="s">
        <v>18960</v>
      </c>
      <c r="R11191" t="s">
        <v>26591</v>
      </c>
      <c r="U11191" t="s">
        <v>26604</v>
      </c>
      <c r="X11191">
        <v>0</v>
      </c>
      <c r="Y11191" t="s">
        <v>26650</v>
      </c>
      <c r="AB11191" t="s">
        <v>34335</v>
      </c>
      <c r="AD11191" t="s">
        <v>45371</v>
      </c>
      <c r="AE11191">
        <v>0</v>
      </c>
      <c r="AH11191">
        <v>0</v>
      </c>
      <c r="AI11191">
        <v>3</v>
      </c>
      <c r="AJ11191">
        <v>0</v>
      </c>
      <c r="AK11191">
        <v>181.9</v>
      </c>
      <c r="AN11191" t="s">
        <v>7439</v>
      </c>
      <c r="AO11191">
        <v>38800</v>
      </c>
      <c r="AU11191">
        <v>1</v>
      </c>
      <c r="AV11191" t="s">
        <v>832</v>
      </c>
      <c r="AW11191" t="s">
        <v>46857</v>
      </c>
    </row>
    <row r="11192" spans="1:50">
      <c r="A11192" s="1">
        <f>HYPERLINK("https://lsnyc.legalserver.org/matter/dynamic-profile/view/1902767","19-1902767")</f>
        <v>0</v>
      </c>
      <c r="B11192" t="s">
        <v>169</v>
      </c>
      <c r="C11192" t="s">
        <v>341</v>
      </c>
      <c r="D11192" t="s">
        <v>773</v>
      </c>
      <c r="E11192" t="s">
        <v>773</v>
      </c>
      <c r="F11192" t="s">
        <v>1964</v>
      </c>
      <c r="G11192" t="s">
        <v>9567</v>
      </c>
      <c r="H11192" t="s">
        <v>12520</v>
      </c>
      <c r="I11192">
        <v>56</v>
      </c>
      <c r="J11192" t="s">
        <v>18892</v>
      </c>
      <c r="K11192">
        <v>10468</v>
      </c>
      <c r="L11192" t="s">
        <v>18958</v>
      </c>
      <c r="M11192" t="s">
        <v>18960</v>
      </c>
      <c r="N11192" t="s">
        <v>26385</v>
      </c>
      <c r="O11192" t="s">
        <v>26540</v>
      </c>
      <c r="P11192" t="s">
        <v>26564</v>
      </c>
      <c r="Q11192" t="s">
        <v>26570</v>
      </c>
      <c r="R11192" t="s">
        <v>26578</v>
      </c>
      <c r="S11192" t="s">
        <v>18959</v>
      </c>
      <c r="U11192" t="s">
        <v>26604</v>
      </c>
      <c r="X11192">
        <v>1104.03</v>
      </c>
      <c r="Y11192" t="s">
        <v>26650</v>
      </c>
      <c r="Z11192" t="s">
        <v>26663</v>
      </c>
      <c r="AA11192" t="s">
        <v>26683</v>
      </c>
      <c r="AD11192" t="s">
        <v>45373</v>
      </c>
      <c r="AE11192">
        <v>0</v>
      </c>
      <c r="AF11192" t="s">
        <v>45541</v>
      </c>
      <c r="AG11192" t="s">
        <v>26530</v>
      </c>
      <c r="AH11192">
        <v>40</v>
      </c>
      <c r="AI11192">
        <v>1</v>
      </c>
      <c r="AJ11192">
        <v>0</v>
      </c>
      <c r="AK11192">
        <v>112.89</v>
      </c>
      <c r="AN11192" t="s">
        <v>45581</v>
      </c>
      <c r="AO11192">
        <v>14100</v>
      </c>
      <c r="AU11192">
        <v>1</v>
      </c>
      <c r="AV11192" t="s">
        <v>720</v>
      </c>
      <c r="AW11192" t="s">
        <v>329</v>
      </c>
    </row>
    <row r="11193" spans="1:50">
      <c r="A11193" s="1">
        <f>HYPERLINK("https://lsnyc.legalserver.org/matter/dynamic-profile/view/1902749","19-1902749")</f>
        <v>0</v>
      </c>
      <c r="B11193" t="s">
        <v>169</v>
      </c>
      <c r="C11193" t="s">
        <v>341</v>
      </c>
      <c r="D11193" t="s">
        <v>773</v>
      </c>
      <c r="E11193" t="s">
        <v>773</v>
      </c>
      <c r="F11193" t="s">
        <v>5013</v>
      </c>
      <c r="G11193" t="s">
        <v>5441</v>
      </c>
      <c r="H11193" t="s">
        <v>17129</v>
      </c>
      <c r="J11193" t="s">
        <v>18892</v>
      </c>
      <c r="K11193">
        <v>10458</v>
      </c>
      <c r="L11193" t="s">
        <v>18958</v>
      </c>
      <c r="M11193" t="s">
        <v>18960</v>
      </c>
      <c r="O11193" t="s">
        <v>26523</v>
      </c>
      <c r="P11193" t="s">
        <v>26564</v>
      </c>
      <c r="Q11193" t="s">
        <v>26570</v>
      </c>
      <c r="R11193" t="s">
        <v>26578</v>
      </c>
      <c r="S11193" t="s">
        <v>18959</v>
      </c>
      <c r="U11193" t="s">
        <v>26604</v>
      </c>
      <c r="V11193" t="s">
        <v>26610</v>
      </c>
      <c r="X11193">
        <v>1500</v>
      </c>
      <c r="Y11193" t="s">
        <v>26650</v>
      </c>
      <c r="Z11193" t="s">
        <v>26663</v>
      </c>
      <c r="AA11193" t="s">
        <v>26683</v>
      </c>
      <c r="AB11193" t="s">
        <v>34337</v>
      </c>
      <c r="AD11193" t="s">
        <v>45374</v>
      </c>
      <c r="AE11193">
        <v>0</v>
      </c>
      <c r="AF11193" t="s">
        <v>45541</v>
      </c>
      <c r="AG11193" t="s">
        <v>19330</v>
      </c>
      <c r="AH11193">
        <v>2</v>
      </c>
      <c r="AI11193">
        <v>1</v>
      </c>
      <c r="AJ11193">
        <v>0</v>
      </c>
      <c r="AK11193">
        <v>160.13</v>
      </c>
      <c r="AN11193" t="s">
        <v>45581</v>
      </c>
      <c r="AO11193">
        <v>20000</v>
      </c>
      <c r="AU11193">
        <v>1</v>
      </c>
      <c r="AV11193" t="s">
        <v>720</v>
      </c>
      <c r="AW11193" t="s">
        <v>329</v>
      </c>
    </row>
    <row r="11194" spans="1:50">
      <c r="A11194" s="1">
        <f>HYPERLINK("https://lsnyc.legalserver.org/matter/dynamic-profile/view/1902726","19-1902726")</f>
        <v>0</v>
      </c>
      <c r="B11194" t="s">
        <v>179</v>
      </c>
      <c r="C11194" t="s">
        <v>341</v>
      </c>
      <c r="D11194" t="s">
        <v>773</v>
      </c>
      <c r="E11194" t="s">
        <v>839</v>
      </c>
      <c r="F11194" t="s">
        <v>2282</v>
      </c>
      <c r="G11194" t="s">
        <v>5300</v>
      </c>
      <c r="H11194" t="s">
        <v>13157</v>
      </c>
      <c r="I11194" t="s">
        <v>17798</v>
      </c>
      <c r="J11194" t="s">
        <v>18894</v>
      </c>
      <c r="K11194">
        <v>11226</v>
      </c>
      <c r="L11194" t="s">
        <v>18960</v>
      </c>
      <c r="M11194" t="s">
        <v>18960</v>
      </c>
      <c r="N11194" t="s">
        <v>26386</v>
      </c>
      <c r="O11194" t="s">
        <v>26523</v>
      </c>
      <c r="P11194" t="s">
        <v>26564</v>
      </c>
      <c r="Q11194" t="s">
        <v>26570</v>
      </c>
      <c r="R11194" t="s">
        <v>26583</v>
      </c>
      <c r="U11194" t="s">
        <v>26604</v>
      </c>
      <c r="X11194">
        <v>1200</v>
      </c>
      <c r="Y11194" t="s">
        <v>26652</v>
      </c>
      <c r="AA11194" t="s">
        <v>26683</v>
      </c>
      <c r="AB11194" t="s">
        <v>34338</v>
      </c>
      <c r="AD11194" t="s">
        <v>45375</v>
      </c>
      <c r="AE11194">
        <v>0</v>
      </c>
      <c r="AF11194" t="s">
        <v>20460</v>
      </c>
      <c r="AG11194" t="s">
        <v>45563</v>
      </c>
      <c r="AH11194">
        <v>8</v>
      </c>
      <c r="AI11194">
        <v>1</v>
      </c>
      <c r="AJ11194">
        <v>0</v>
      </c>
      <c r="AK11194">
        <v>312.25</v>
      </c>
      <c r="AN11194" t="s">
        <v>7439</v>
      </c>
      <c r="AO11194">
        <v>39000</v>
      </c>
      <c r="AU11194">
        <v>3.5</v>
      </c>
      <c r="AV11194" t="s">
        <v>839</v>
      </c>
      <c r="AW11194" t="s">
        <v>46859</v>
      </c>
    </row>
    <row r="11195" spans="1:50">
      <c r="A11195" s="1">
        <f>HYPERLINK("https://lsnyc.legalserver.org/matter/dynamic-profile/view/1902786","19-1902786")</f>
        <v>0</v>
      </c>
      <c r="B11195" t="s">
        <v>280</v>
      </c>
      <c r="C11195" t="s">
        <v>340</v>
      </c>
      <c r="D11195" t="s">
        <v>773</v>
      </c>
      <c r="F11195" t="s">
        <v>1561</v>
      </c>
      <c r="G11195" t="s">
        <v>5599</v>
      </c>
      <c r="H11195" t="s">
        <v>17130</v>
      </c>
      <c r="J11195" t="s">
        <v>18905</v>
      </c>
      <c r="K11195">
        <v>11692</v>
      </c>
      <c r="L11195" t="s">
        <v>18960</v>
      </c>
      <c r="M11195" t="s">
        <v>18960</v>
      </c>
      <c r="O11195" t="s">
        <v>18997</v>
      </c>
      <c r="R11195" t="s">
        <v>26591</v>
      </c>
      <c r="U11195" t="s">
        <v>26604</v>
      </c>
      <c r="X11195">
        <v>1515</v>
      </c>
      <c r="Y11195" t="s">
        <v>26653</v>
      </c>
      <c r="AB11195" t="s">
        <v>34339</v>
      </c>
      <c r="AD11195" t="s">
        <v>45376</v>
      </c>
      <c r="AE11195">
        <v>0</v>
      </c>
      <c r="AH11195">
        <v>2</v>
      </c>
      <c r="AI11195">
        <v>1</v>
      </c>
      <c r="AJ11195">
        <v>2</v>
      </c>
      <c r="AK11195">
        <v>91.42</v>
      </c>
      <c r="AN11195" t="s">
        <v>7439</v>
      </c>
      <c r="AO11195">
        <v>19500</v>
      </c>
      <c r="AU11195">
        <v>1.1</v>
      </c>
      <c r="AV11195" t="s">
        <v>834</v>
      </c>
      <c r="AW11195" t="s">
        <v>46859</v>
      </c>
    </row>
    <row r="11196" spans="1:50">
      <c r="A11196" s="1">
        <f>HYPERLINK("https://lsnyc.legalserver.org/matter/dynamic-profile/view/1902729","19-1902729")</f>
        <v>0</v>
      </c>
      <c r="B11196" t="s">
        <v>280</v>
      </c>
      <c r="C11196" t="s">
        <v>340</v>
      </c>
      <c r="D11196" t="s">
        <v>773</v>
      </c>
      <c r="F11196" t="s">
        <v>5014</v>
      </c>
      <c r="G11196" t="s">
        <v>9568</v>
      </c>
      <c r="H11196" t="s">
        <v>17131</v>
      </c>
      <c r="I11196" t="s">
        <v>17291</v>
      </c>
      <c r="J11196" t="s">
        <v>18913</v>
      </c>
      <c r="K11196">
        <v>11103</v>
      </c>
      <c r="L11196" t="s">
        <v>18960</v>
      </c>
      <c r="M11196" t="s">
        <v>18960</v>
      </c>
      <c r="O11196" t="s">
        <v>26529</v>
      </c>
      <c r="P11196" t="s">
        <v>26565</v>
      </c>
      <c r="R11196" t="s">
        <v>26578</v>
      </c>
      <c r="U11196" t="s">
        <v>26604</v>
      </c>
      <c r="X11196">
        <v>1400</v>
      </c>
      <c r="Y11196" t="s">
        <v>26653</v>
      </c>
      <c r="AB11196" t="s">
        <v>34340</v>
      </c>
      <c r="AD11196" t="s">
        <v>45377</v>
      </c>
      <c r="AE11196">
        <v>4</v>
      </c>
      <c r="AH11196">
        <v>9</v>
      </c>
      <c r="AI11196">
        <v>2</v>
      </c>
      <c r="AJ11196">
        <v>1</v>
      </c>
      <c r="AK11196">
        <v>117.21</v>
      </c>
      <c r="AN11196" t="s">
        <v>7439</v>
      </c>
      <c r="AO11196">
        <v>25000</v>
      </c>
      <c r="AU11196">
        <v>2.3</v>
      </c>
      <c r="AV11196" t="s">
        <v>838</v>
      </c>
      <c r="AW11196" t="s">
        <v>46857</v>
      </c>
    </row>
    <row r="11197" spans="1:50">
      <c r="A11197" s="1">
        <f>HYPERLINK("https://lsnyc.legalserver.org/matter/dynamic-profile/view/1902727","19-1902727")</f>
        <v>0</v>
      </c>
      <c r="B11197" t="s">
        <v>219</v>
      </c>
      <c r="C11197" t="s">
        <v>340</v>
      </c>
      <c r="D11197" t="s">
        <v>773</v>
      </c>
      <c r="F11197" t="s">
        <v>2468</v>
      </c>
      <c r="G11197" t="s">
        <v>9569</v>
      </c>
      <c r="H11197" t="s">
        <v>17132</v>
      </c>
      <c r="I11197" t="s">
        <v>17316</v>
      </c>
      <c r="J11197" t="s">
        <v>18894</v>
      </c>
      <c r="K11197">
        <v>11226</v>
      </c>
      <c r="L11197" t="s">
        <v>18960</v>
      </c>
      <c r="M11197" t="s">
        <v>18960</v>
      </c>
      <c r="N11197" t="s">
        <v>26387</v>
      </c>
      <c r="R11197" t="s">
        <v>26591</v>
      </c>
      <c r="U11197" t="s">
        <v>26604</v>
      </c>
      <c r="X11197">
        <v>1500</v>
      </c>
      <c r="Y11197" t="s">
        <v>26652</v>
      </c>
      <c r="Z11197" t="s">
        <v>26657</v>
      </c>
      <c r="AB11197" t="s">
        <v>34341</v>
      </c>
      <c r="AD11197" t="s">
        <v>45378</v>
      </c>
      <c r="AE11197">
        <v>8</v>
      </c>
      <c r="AF11197" t="s">
        <v>45541</v>
      </c>
      <c r="AG11197" t="s">
        <v>19330</v>
      </c>
      <c r="AH11197">
        <v>20</v>
      </c>
      <c r="AI11197">
        <v>2</v>
      </c>
      <c r="AJ11197">
        <v>2</v>
      </c>
      <c r="AK11197">
        <v>47.21</v>
      </c>
      <c r="AN11197" t="s">
        <v>7439</v>
      </c>
      <c r="AO11197">
        <v>12156</v>
      </c>
      <c r="AU11197">
        <v>1.4</v>
      </c>
      <c r="AV11197" t="s">
        <v>773</v>
      </c>
      <c r="AW11197" t="s">
        <v>46858</v>
      </c>
    </row>
    <row r="11198" spans="1:50">
      <c r="A11198" s="1">
        <f>HYPERLINK("https://lsnyc.legalserver.org/matter/dynamic-profile/view/1902773","19-1902773")</f>
        <v>0</v>
      </c>
      <c r="B11198" t="s">
        <v>96</v>
      </c>
      <c r="C11198" t="s">
        <v>340</v>
      </c>
      <c r="D11198" t="s">
        <v>773</v>
      </c>
      <c r="F11198" t="s">
        <v>887</v>
      </c>
      <c r="G11198" t="s">
        <v>6066</v>
      </c>
      <c r="H11198" t="s">
        <v>11007</v>
      </c>
      <c r="I11198" t="s">
        <v>17338</v>
      </c>
      <c r="J11198" t="s">
        <v>18892</v>
      </c>
      <c r="K11198">
        <v>10459</v>
      </c>
      <c r="L11198" t="s">
        <v>18960</v>
      </c>
      <c r="M11198" t="s">
        <v>18960</v>
      </c>
      <c r="R11198" t="s">
        <v>26577</v>
      </c>
      <c r="U11198" t="s">
        <v>26604</v>
      </c>
      <c r="X11198">
        <v>0</v>
      </c>
      <c r="Y11198" t="s">
        <v>26650</v>
      </c>
      <c r="AB11198" t="s">
        <v>28186</v>
      </c>
      <c r="AD11198" t="s">
        <v>38236</v>
      </c>
      <c r="AE11198">
        <v>0</v>
      </c>
      <c r="AH11198">
        <v>0</v>
      </c>
      <c r="AI11198">
        <v>1</v>
      </c>
      <c r="AJ11198">
        <v>0</v>
      </c>
      <c r="AK11198">
        <v>87.62</v>
      </c>
      <c r="AN11198" t="s">
        <v>45581</v>
      </c>
      <c r="AO11198">
        <v>10944</v>
      </c>
      <c r="AU11198">
        <v>1</v>
      </c>
      <c r="AV11198" t="s">
        <v>834</v>
      </c>
      <c r="AW11198" t="s">
        <v>284</v>
      </c>
    </row>
    <row r="11199" spans="1:50">
      <c r="A11199" s="1">
        <f>HYPERLINK("https://lsnyc.legalserver.org/matter/dynamic-profile/view/1902777","19-1902777")</f>
        <v>0</v>
      </c>
      <c r="B11199" t="s">
        <v>96</v>
      </c>
      <c r="C11199" t="s">
        <v>340</v>
      </c>
      <c r="D11199" t="s">
        <v>773</v>
      </c>
      <c r="F11199" t="s">
        <v>887</v>
      </c>
      <c r="G11199" t="s">
        <v>6066</v>
      </c>
      <c r="H11199" t="s">
        <v>11007</v>
      </c>
      <c r="I11199" t="s">
        <v>17338</v>
      </c>
      <c r="J11199" t="s">
        <v>18892</v>
      </c>
      <c r="K11199">
        <v>10459</v>
      </c>
      <c r="L11199" t="s">
        <v>18960</v>
      </c>
      <c r="M11199" t="s">
        <v>18960</v>
      </c>
      <c r="R11199" t="s">
        <v>26577</v>
      </c>
      <c r="U11199" t="s">
        <v>26606</v>
      </c>
      <c r="X11199">
        <v>0</v>
      </c>
      <c r="Y11199" t="s">
        <v>26650</v>
      </c>
      <c r="AB11199" t="s">
        <v>28186</v>
      </c>
      <c r="AD11199" t="s">
        <v>38236</v>
      </c>
      <c r="AE11199">
        <v>0</v>
      </c>
      <c r="AH11199">
        <v>0</v>
      </c>
      <c r="AI11199">
        <v>1</v>
      </c>
      <c r="AJ11199">
        <v>0</v>
      </c>
      <c r="AK11199">
        <v>87.62</v>
      </c>
      <c r="AN11199" t="s">
        <v>45581</v>
      </c>
      <c r="AO11199">
        <v>10944</v>
      </c>
      <c r="AU11199">
        <v>0</v>
      </c>
      <c r="AW11199" t="s">
        <v>284</v>
      </c>
    </row>
    <row r="11200" spans="1:50">
      <c r="A11200" s="1">
        <f>HYPERLINK("https://lsnyc.legalserver.org/matter/dynamic-profile/view/1902744","19-1902744")</f>
        <v>0</v>
      </c>
      <c r="B11200" t="s">
        <v>130</v>
      </c>
      <c r="C11200" t="s">
        <v>340</v>
      </c>
      <c r="D11200" t="s">
        <v>773</v>
      </c>
      <c r="F11200" t="s">
        <v>1873</v>
      </c>
      <c r="G11200" t="s">
        <v>4588</v>
      </c>
      <c r="H11200" t="s">
        <v>11116</v>
      </c>
      <c r="I11200" t="s">
        <v>17424</v>
      </c>
      <c r="J11200" t="s">
        <v>18946</v>
      </c>
      <c r="K11200">
        <v>11372</v>
      </c>
      <c r="L11200" t="s">
        <v>18958</v>
      </c>
      <c r="M11200" t="s">
        <v>18960</v>
      </c>
      <c r="N11200" t="s">
        <v>26388</v>
      </c>
      <c r="O11200" t="s">
        <v>26524</v>
      </c>
      <c r="P11200" t="s">
        <v>26563</v>
      </c>
      <c r="R11200" t="s">
        <v>26584</v>
      </c>
      <c r="S11200" t="s">
        <v>18958</v>
      </c>
      <c r="U11200" t="s">
        <v>26604</v>
      </c>
      <c r="V11200" t="s">
        <v>26610</v>
      </c>
      <c r="X11200">
        <v>1525</v>
      </c>
      <c r="Y11200" t="s">
        <v>26653</v>
      </c>
      <c r="Z11200" t="s">
        <v>26664</v>
      </c>
      <c r="AB11200" t="s">
        <v>34342</v>
      </c>
      <c r="AD11200" t="s">
        <v>45379</v>
      </c>
      <c r="AE11200">
        <v>120</v>
      </c>
      <c r="AF11200" t="s">
        <v>45547</v>
      </c>
      <c r="AG11200" t="s">
        <v>19330</v>
      </c>
      <c r="AH11200">
        <v>9</v>
      </c>
      <c r="AI11200">
        <v>1</v>
      </c>
      <c r="AJ11200">
        <v>0</v>
      </c>
      <c r="AK11200">
        <v>0</v>
      </c>
      <c r="AN11200" t="s">
        <v>7439</v>
      </c>
      <c r="AO11200">
        <v>0</v>
      </c>
      <c r="AU11200">
        <v>1.1</v>
      </c>
      <c r="AV11200" t="s">
        <v>838</v>
      </c>
      <c r="AW11200" t="s">
        <v>46846</v>
      </c>
      <c r="AX11200" t="s">
        <v>46897</v>
      </c>
    </row>
    <row r="11201" spans="1:50">
      <c r="A11201" s="1">
        <f>HYPERLINK("https://lsnyc.legalserver.org/matter/dynamic-profile/view/1902788","19-1902788")</f>
        <v>0</v>
      </c>
      <c r="B11201" t="s">
        <v>53</v>
      </c>
      <c r="C11201" t="s">
        <v>340</v>
      </c>
      <c r="D11201" t="s">
        <v>773</v>
      </c>
      <c r="F11201" t="s">
        <v>893</v>
      </c>
      <c r="G11201" t="s">
        <v>5984</v>
      </c>
      <c r="H11201" t="s">
        <v>10876</v>
      </c>
      <c r="I11201" t="s">
        <v>17349</v>
      </c>
      <c r="J11201" t="s">
        <v>18892</v>
      </c>
      <c r="K11201">
        <v>10460</v>
      </c>
      <c r="L11201" t="s">
        <v>18958</v>
      </c>
      <c r="M11201" t="s">
        <v>18960</v>
      </c>
      <c r="O11201" t="s">
        <v>26532</v>
      </c>
      <c r="P11201" t="s">
        <v>26562</v>
      </c>
      <c r="R11201" t="s">
        <v>26578</v>
      </c>
      <c r="S11201" t="s">
        <v>18959</v>
      </c>
      <c r="U11201" t="s">
        <v>26608</v>
      </c>
      <c r="X11201">
        <v>187</v>
      </c>
      <c r="Y11201" t="s">
        <v>26650</v>
      </c>
      <c r="Z11201" t="s">
        <v>26659</v>
      </c>
      <c r="AB11201" t="s">
        <v>28036</v>
      </c>
      <c r="AD11201" t="s">
        <v>38087</v>
      </c>
      <c r="AE11201">
        <v>23</v>
      </c>
      <c r="AF11201" t="s">
        <v>45541</v>
      </c>
      <c r="AG11201" t="s">
        <v>45563</v>
      </c>
      <c r="AH11201">
        <v>6</v>
      </c>
      <c r="AI11201">
        <v>2</v>
      </c>
      <c r="AJ11201">
        <v>0</v>
      </c>
      <c r="AK11201">
        <v>49.24</v>
      </c>
      <c r="AN11201" t="s">
        <v>7439</v>
      </c>
      <c r="AO11201">
        <v>8326.799999999999</v>
      </c>
      <c r="AU11201">
        <v>1</v>
      </c>
      <c r="AV11201" t="s">
        <v>773</v>
      </c>
      <c r="AW11201" t="s">
        <v>53</v>
      </c>
    </row>
    <row r="11202" spans="1:50">
      <c r="A11202" s="1">
        <f>HYPERLINK("https://lsnyc.legalserver.org/matter/dynamic-profile/view/1902723","19-1902723")</f>
        <v>0</v>
      </c>
      <c r="B11202" t="s">
        <v>85</v>
      </c>
      <c r="C11202" t="s">
        <v>340</v>
      </c>
      <c r="D11202" t="s">
        <v>773</v>
      </c>
      <c r="F11202" t="s">
        <v>1010</v>
      </c>
      <c r="G11202" t="s">
        <v>9570</v>
      </c>
      <c r="H11202" t="s">
        <v>17133</v>
      </c>
      <c r="I11202" t="s">
        <v>18867</v>
      </c>
      <c r="J11202" t="s">
        <v>7026</v>
      </c>
      <c r="K11202">
        <v>11368</v>
      </c>
      <c r="L11202" t="s">
        <v>18958</v>
      </c>
      <c r="M11202" t="s">
        <v>18960</v>
      </c>
      <c r="N11202" t="s">
        <v>26389</v>
      </c>
      <c r="P11202" t="s">
        <v>26563</v>
      </c>
      <c r="R11202" t="s">
        <v>26584</v>
      </c>
      <c r="S11202" t="s">
        <v>18959</v>
      </c>
      <c r="U11202" t="s">
        <v>26604</v>
      </c>
      <c r="X11202">
        <v>123.68</v>
      </c>
      <c r="Y11202" t="s">
        <v>26653</v>
      </c>
      <c r="Z11202" t="s">
        <v>26659</v>
      </c>
      <c r="AB11202" t="s">
        <v>34343</v>
      </c>
      <c r="AD11202" t="s">
        <v>45380</v>
      </c>
      <c r="AE11202">
        <v>0</v>
      </c>
      <c r="AF11202" t="s">
        <v>45541</v>
      </c>
      <c r="AG11202" t="s">
        <v>19330</v>
      </c>
      <c r="AH11202">
        <v>34</v>
      </c>
      <c r="AI11202">
        <v>1</v>
      </c>
      <c r="AJ11202">
        <v>0</v>
      </c>
      <c r="AK11202">
        <v>64.18000000000001</v>
      </c>
      <c r="AN11202" t="s">
        <v>7439</v>
      </c>
      <c r="AO11202">
        <v>8016</v>
      </c>
      <c r="AU11202">
        <v>0.5</v>
      </c>
      <c r="AV11202" t="s">
        <v>773</v>
      </c>
      <c r="AW11202" t="s">
        <v>46846</v>
      </c>
      <c r="AX11202" t="s">
        <v>46897</v>
      </c>
    </row>
    <row r="11203" spans="1:50">
      <c r="A11203" s="1">
        <f>HYPERLINK("https://lsnyc.legalserver.org/matter/dynamic-profile/view/1902766","19-1902766")</f>
        <v>0</v>
      </c>
      <c r="B11203" t="s">
        <v>85</v>
      </c>
      <c r="C11203" t="s">
        <v>340</v>
      </c>
      <c r="D11203" t="s">
        <v>773</v>
      </c>
      <c r="F11203" t="s">
        <v>4343</v>
      </c>
      <c r="G11203" t="s">
        <v>7966</v>
      </c>
      <c r="H11203" t="s">
        <v>17134</v>
      </c>
      <c r="J11203" t="s">
        <v>18907</v>
      </c>
      <c r="K11203">
        <v>11377</v>
      </c>
      <c r="L11203" t="s">
        <v>18958</v>
      </c>
      <c r="M11203" t="s">
        <v>18960</v>
      </c>
      <c r="N11203" t="s">
        <v>26390</v>
      </c>
      <c r="O11203" t="s">
        <v>26523</v>
      </c>
      <c r="P11203" t="s">
        <v>26563</v>
      </c>
      <c r="R11203" t="s">
        <v>26584</v>
      </c>
      <c r="S11203" t="s">
        <v>18958</v>
      </c>
      <c r="U11203" t="s">
        <v>26604</v>
      </c>
      <c r="V11203" t="s">
        <v>26610</v>
      </c>
      <c r="X11203">
        <v>885</v>
      </c>
      <c r="Y11203" t="s">
        <v>26653</v>
      </c>
      <c r="Z11203" t="s">
        <v>26664</v>
      </c>
      <c r="AB11203" t="s">
        <v>33426</v>
      </c>
      <c r="AD11203" t="s">
        <v>45381</v>
      </c>
      <c r="AE11203">
        <v>110</v>
      </c>
      <c r="AF11203" t="s">
        <v>45541</v>
      </c>
      <c r="AG11203" t="s">
        <v>45559</v>
      </c>
      <c r="AH11203">
        <v>23</v>
      </c>
      <c r="AI11203">
        <v>1</v>
      </c>
      <c r="AJ11203">
        <v>0</v>
      </c>
      <c r="AK11203">
        <v>67.54000000000001</v>
      </c>
      <c r="AN11203" t="s">
        <v>7439</v>
      </c>
      <c r="AO11203">
        <v>8436</v>
      </c>
      <c r="AU11203">
        <v>0.65</v>
      </c>
      <c r="AV11203" t="s">
        <v>773</v>
      </c>
      <c r="AW11203" t="s">
        <v>46846</v>
      </c>
      <c r="AX11203" t="s">
        <v>46897</v>
      </c>
    </row>
    <row r="11204" spans="1:50">
      <c r="A11204" s="1">
        <f>HYPERLINK("https://lsnyc.legalserver.org/matter/dynamic-profile/view/1902812","19-1902812")</f>
        <v>0</v>
      </c>
      <c r="B11204" t="s">
        <v>85</v>
      </c>
      <c r="C11204" t="s">
        <v>340</v>
      </c>
      <c r="D11204" t="s">
        <v>773</v>
      </c>
      <c r="F11204" t="s">
        <v>2435</v>
      </c>
      <c r="G11204" t="s">
        <v>9571</v>
      </c>
      <c r="H11204" t="s">
        <v>17135</v>
      </c>
      <c r="I11204" t="s">
        <v>17330</v>
      </c>
      <c r="J11204" t="s">
        <v>18899</v>
      </c>
      <c r="K11204">
        <v>11385</v>
      </c>
      <c r="L11204" t="s">
        <v>18958</v>
      </c>
      <c r="M11204" t="s">
        <v>18960</v>
      </c>
      <c r="N11204" t="s">
        <v>26391</v>
      </c>
      <c r="O11204" t="s">
        <v>26523</v>
      </c>
      <c r="P11204" t="s">
        <v>26560</v>
      </c>
      <c r="R11204" t="s">
        <v>26585</v>
      </c>
      <c r="S11204" t="s">
        <v>18958</v>
      </c>
      <c r="U11204" t="s">
        <v>26604</v>
      </c>
      <c r="X11204">
        <v>17000</v>
      </c>
      <c r="Y11204" t="s">
        <v>26653</v>
      </c>
      <c r="Z11204" t="s">
        <v>26664</v>
      </c>
      <c r="AB11204" t="s">
        <v>34104</v>
      </c>
      <c r="AD11204" t="s">
        <v>45382</v>
      </c>
      <c r="AE11204">
        <v>6</v>
      </c>
      <c r="AF11204" t="s">
        <v>20460</v>
      </c>
      <c r="AG11204" t="s">
        <v>19330</v>
      </c>
      <c r="AH11204">
        <v>5</v>
      </c>
      <c r="AI11204">
        <v>4</v>
      </c>
      <c r="AJ11204">
        <v>2</v>
      </c>
      <c r="AK11204">
        <v>151.08</v>
      </c>
      <c r="AN11204" t="s">
        <v>7439</v>
      </c>
      <c r="AO11204">
        <v>52258</v>
      </c>
      <c r="AU11204">
        <v>1.5</v>
      </c>
      <c r="AV11204" t="s">
        <v>838</v>
      </c>
      <c r="AW11204" t="s">
        <v>46846</v>
      </c>
      <c r="AX11204" t="s">
        <v>46897</v>
      </c>
    </row>
    <row r="11205" spans="1:50">
      <c r="A11205" s="1">
        <f>HYPERLINK("https://lsnyc.legalserver.org/matter/dynamic-profile/view/1902738","19-1902738")</f>
        <v>0</v>
      </c>
      <c r="B11205" t="s">
        <v>294</v>
      </c>
      <c r="C11205" t="s">
        <v>340</v>
      </c>
      <c r="D11205" t="s">
        <v>773</v>
      </c>
      <c r="F11205" t="s">
        <v>5015</v>
      </c>
      <c r="G11205" t="s">
        <v>9572</v>
      </c>
      <c r="H11205" t="s">
        <v>17136</v>
      </c>
      <c r="I11205" t="s">
        <v>17284</v>
      </c>
      <c r="J11205" t="s">
        <v>18900</v>
      </c>
      <c r="K11205">
        <v>11367</v>
      </c>
      <c r="L11205" t="s">
        <v>18958</v>
      </c>
      <c r="M11205" t="s">
        <v>18960</v>
      </c>
      <c r="N11205" t="s">
        <v>26392</v>
      </c>
      <c r="O11205" t="s">
        <v>26523</v>
      </c>
      <c r="P11205" t="s">
        <v>26560</v>
      </c>
      <c r="R11205" t="s">
        <v>26578</v>
      </c>
      <c r="S11205" t="s">
        <v>18958</v>
      </c>
      <c r="U11205" t="s">
        <v>26604</v>
      </c>
      <c r="X11205">
        <v>1604.25</v>
      </c>
      <c r="Y11205" t="s">
        <v>26653</v>
      </c>
      <c r="Z11205" t="s">
        <v>26664</v>
      </c>
      <c r="AB11205" t="s">
        <v>34329</v>
      </c>
      <c r="AD11205" t="s">
        <v>45383</v>
      </c>
      <c r="AE11205">
        <v>15</v>
      </c>
      <c r="AF11205" t="s">
        <v>45548</v>
      </c>
      <c r="AG11205" t="s">
        <v>19330</v>
      </c>
      <c r="AH11205">
        <v>13</v>
      </c>
      <c r="AI11205">
        <v>4</v>
      </c>
      <c r="AJ11205">
        <v>0</v>
      </c>
      <c r="AK11205">
        <v>194.17</v>
      </c>
      <c r="AN11205" t="s">
        <v>7439</v>
      </c>
      <c r="AO11205">
        <v>50000</v>
      </c>
      <c r="AU11205">
        <v>1.55</v>
      </c>
      <c r="AV11205" t="s">
        <v>773</v>
      </c>
      <c r="AW11205" t="s">
        <v>46846</v>
      </c>
      <c r="AX11205" t="s">
        <v>46897</v>
      </c>
    </row>
    <row r="11206" spans="1:50">
      <c r="A11206" s="1">
        <f>HYPERLINK("https://lsnyc.legalserver.org/matter/dynamic-profile/view/1902823","19-1902823")</f>
        <v>0</v>
      </c>
      <c r="B11206" t="s">
        <v>203</v>
      </c>
      <c r="C11206" t="s">
        <v>340</v>
      </c>
      <c r="D11206" t="s">
        <v>773</v>
      </c>
      <c r="F11206" t="s">
        <v>1002</v>
      </c>
      <c r="G11206" t="s">
        <v>5300</v>
      </c>
      <c r="H11206" t="s">
        <v>17137</v>
      </c>
      <c r="I11206" t="s">
        <v>18868</v>
      </c>
      <c r="J11206" t="s">
        <v>18894</v>
      </c>
      <c r="K11206">
        <v>11213</v>
      </c>
      <c r="L11206" t="s">
        <v>18960</v>
      </c>
      <c r="M11206" t="s">
        <v>18960</v>
      </c>
      <c r="N11206" t="s">
        <v>26393</v>
      </c>
      <c r="O11206" t="s">
        <v>26523</v>
      </c>
      <c r="P11206" t="s">
        <v>26560</v>
      </c>
      <c r="R11206" t="s">
        <v>26586</v>
      </c>
      <c r="U11206" t="s">
        <v>26604</v>
      </c>
      <c r="X11206">
        <v>0</v>
      </c>
      <c r="Y11206" t="s">
        <v>26652</v>
      </c>
      <c r="AB11206" t="s">
        <v>31836</v>
      </c>
      <c r="AD11206" t="s">
        <v>45384</v>
      </c>
      <c r="AE11206">
        <v>0</v>
      </c>
      <c r="AG11206" t="s">
        <v>45556</v>
      </c>
      <c r="AH11206">
        <v>8</v>
      </c>
      <c r="AI11206">
        <v>1</v>
      </c>
      <c r="AJ11206">
        <v>3</v>
      </c>
      <c r="AK11206">
        <v>151.46</v>
      </c>
      <c r="AN11206" t="s">
        <v>7439</v>
      </c>
      <c r="AO11206">
        <v>39000</v>
      </c>
      <c r="AU11206">
        <v>0</v>
      </c>
      <c r="AW11206" t="s">
        <v>203</v>
      </c>
    </row>
    <row r="11207" spans="1:50">
      <c r="A11207" s="1">
        <f>HYPERLINK("https://lsnyc.legalserver.org/matter/dynamic-profile/view/1902784","19-1902784")</f>
        <v>0</v>
      </c>
      <c r="B11207" t="s">
        <v>288</v>
      </c>
      <c r="C11207" t="s">
        <v>340</v>
      </c>
      <c r="D11207" t="s">
        <v>773</v>
      </c>
      <c r="F11207" t="s">
        <v>1062</v>
      </c>
      <c r="G11207" t="s">
        <v>3798</v>
      </c>
      <c r="H11207" t="s">
        <v>16899</v>
      </c>
      <c r="I11207" t="s">
        <v>18869</v>
      </c>
      <c r="J11207" t="s">
        <v>18894</v>
      </c>
      <c r="K11207">
        <v>11238</v>
      </c>
      <c r="L11207" t="s">
        <v>18958</v>
      </c>
      <c r="M11207" t="s">
        <v>18960</v>
      </c>
      <c r="O11207" t="s">
        <v>26523</v>
      </c>
      <c r="P11207" t="s">
        <v>26563</v>
      </c>
      <c r="R11207" t="s">
        <v>26586</v>
      </c>
      <c r="U11207" t="s">
        <v>26605</v>
      </c>
      <c r="X11207">
        <v>248</v>
      </c>
      <c r="Y11207" t="s">
        <v>26652</v>
      </c>
      <c r="Z11207" t="s">
        <v>26664</v>
      </c>
      <c r="AB11207" t="s">
        <v>30383</v>
      </c>
      <c r="AD11207" t="s">
        <v>45385</v>
      </c>
      <c r="AE11207">
        <v>310</v>
      </c>
      <c r="AH11207">
        <v>6</v>
      </c>
      <c r="AI11207">
        <v>1</v>
      </c>
      <c r="AJ11207">
        <v>0</v>
      </c>
      <c r="AK11207">
        <v>94.16</v>
      </c>
      <c r="AN11207" t="s">
        <v>7439</v>
      </c>
      <c r="AO11207">
        <v>11760</v>
      </c>
      <c r="AU11207">
        <v>0.5</v>
      </c>
      <c r="AV11207" t="s">
        <v>773</v>
      </c>
      <c r="AW11207" t="s">
        <v>46853</v>
      </c>
      <c r="AX11207" t="s">
        <v>46897</v>
      </c>
    </row>
    <row r="11208" spans="1:50">
      <c r="A11208" s="1">
        <f>HYPERLINK("https://lsnyc.legalserver.org/matter/dynamic-profile/view/1902770","19-1902770")</f>
        <v>0</v>
      </c>
      <c r="B11208" t="s">
        <v>288</v>
      </c>
      <c r="C11208" t="s">
        <v>340</v>
      </c>
      <c r="D11208" t="s">
        <v>773</v>
      </c>
      <c r="F11208" t="s">
        <v>1773</v>
      </c>
      <c r="G11208" t="s">
        <v>7568</v>
      </c>
      <c r="H11208" t="s">
        <v>12402</v>
      </c>
      <c r="I11208" t="s">
        <v>18870</v>
      </c>
      <c r="J11208" t="s">
        <v>18894</v>
      </c>
      <c r="K11208">
        <v>11221</v>
      </c>
      <c r="L11208" t="s">
        <v>18958</v>
      </c>
      <c r="M11208" t="s">
        <v>18960</v>
      </c>
      <c r="N11208" t="s">
        <v>26394</v>
      </c>
      <c r="O11208" t="s">
        <v>26523</v>
      </c>
      <c r="P11208" t="s">
        <v>26563</v>
      </c>
      <c r="R11208" t="s">
        <v>26588</v>
      </c>
      <c r="U11208" t="s">
        <v>26605</v>
      </c>
      <c r="X11208">
        <v>215</v>
      </c>
      <c r="Y11208" t="s">
        <v>26652</v>
      </c>
      <c r="Z11208" t="s">
        <v>26664</v>
      </c>
      <c r="AB11208" t="s">
        <v>34344</v>
      </c>
      <c r="AD11208" t="s">
        <v>45386</v>
      </c>
      <c r="AE11208">
        <v>0</v>
      </c>
      <c r="AH11208">
        <v>57</v>
      </c>
      <c r="AI11208">
        <v>1</v>
      </c>
      <c r="AJ11208">
        <v>0</v>
      </c>
      <c r="AK11208">
        <v>17.58</v>
      </c>
      <c r="AN11208" t="s">
        <v>7439</v>
      </c>
      <c r="AO11208">
        <v>2196</v>
      </c>
      <c r="AU11208">
        <v>0.5</v>
      </c>
      <c r="AV11208" t="s">
        <v>773</v>
      </c>
      <c r="AW11208" t="s">
        <v>46853</v>
      </c>
      <c r="AX11208" t="s">
        <v>46897</v>
      </c>
    </row>
    <row r="11209" spans="1:50">
      <c r="A11209" s="1">
        <f>HYPERLINK("https://lsnyc.legalserver.org/matter/dynamic-profile/view/1902754","19-1902754")</f>
        <v>0</v>
      </c>
      <c r="B11209" t="s">
        <v>288</v>
      </c>
      <c r="C11209" t="s">
        <v>340</v>
      </c>
      <c r="D11209" t="s">
        <v>773</v>
      </c>
      <c r="F11209" t="s">
        <v>1062</v>
      </c>
      <c r="G11209" t="s">
        <v>3019</v>
      </c>
      <c r="H11209" t="s">
        <v>17138</v>
      </c>
      <c r="I11209" t="s">
        <v>18315</v>
      </c>
      <c r="J11209" t="s">
        <v>18894</v>
      </c>
      <c r="K11209">
        <v>11221</v>
      </c>
      <c r="L11209" t="s">
        <v>18958</v>
      </c>
      <c r="M11209" t="s">
        <v>18960</v>
      </c>
      <c r="N11209" t="s">
        <v>26395</v>
      </c>
      <c r="O11209" t="s">
        <v>26523</v>
      </c>
      <c r="P11209" t="s">
        <v>26563</v>
      </c>
      <c r="R11209" t="s">
        <v>26588</v>
      </c>
      <c r="U11209" t="s">
        <v>26605</v>
      </c>
      <c r="X11209">
        <v>161</v>
      </c>
      <c r="Y11209" t="s">
        <v>26652</v>
      </c>
      <c r="Z11209" t="s">
        <v>26664</v>
      </c>
      <c r="AB11209" t="s">
        <v>34345</v>
      </c>
      <c r="AD11209" t="s">
        <v>45387</v>
      </c>
      <c r="AE11209">
        <v>0</v>
      </c>
      <c r="AH11209">
        <v>8</v>
      </c>
      <c r="AI11209">
        <v>3</v>
      </c>
      <c r="AJ11209">
        <v>0</v>
      </c>
      <c r="AK11209">
        <v>41.52</v>
      </c>
      <c r="AN11209" t="s">
        <v>7439</v>
      </c>
      <c r="AO11209">
        <v>8856</v>
      </c>
      <c r="AU11209">
        <v>0.5</v>
      </c>
      <c r="AV11209" t="s">
        <v>773</v>
      </c>
      <c r="AW11209" t="s">
        <v>46853</v>
      </c>
      <c r="AX11209" t="s">
        <v>46897</v>
      </c>
    </row>
    <row r="11210" spans="1:50">
      <c r="A11210" s="1">
        <f>HYPERLINK("https://lsnyc.legalserver.org/matter/dynamic-profile/view/1902800","19-1902800")</f>
        <v>0</v>
      </c>
      <c r="B11210" t="s">
        <v>288</v>
      </c>
      <c r="C11210" t="s">
        <v>340</v>
      </c>
      <c r="D11210" t="s">
        <v>773</v>
      </c>
      <c r="F11210" t="s">
        <v>1020</v>
      </c>
      <c r="G11210" t="s">
        <v>3662</v>
      </c>
      <c r="H11210" t="s">
        <v>17139</v>
      </c>
      <c r="I11210" t="s">
        <v>17846</v>
      </c>
      <c r="J11210" t="s">
        <v>18894</v>
      </c>
      <c r="K11210">
        <v>11221</v>
      </c>
      <c r="L11210" t="s">
        <v>18958</v>
      </c>
      <c r="M11210" t="s">
        <v>18960</v>
      </c>
      <c r="N11210" t="s">
        <v>26396</v>
      </c>
      <c r="O11210" t="s">
        <v>26523</v>
      </c>
      <c r="P11210" t="s">
        <v>26563</v>
      </c>
      <c r="R11210" t="s">
        <v>26588</v>
      </c>
      <c r="U11210" t="s">
        <v>26605</v>
      </c>
      <c r="X11210">
        <v>0</v>
      </c>
      <c r="Y11210" t="s">
        <v>26652</v>
      </c>
      <c r="Z11210" t="s">
        <v>26664</v>
      </c>
      <c r="AB11210" t="s">
        <v>28519</v>
      </c>
      <c r="AD11210" t="s">
        <v>45388</v>
      </c>
      <c r="AE11210">
        <v>0</v>
      </c>
      <c r="AH11210">
        <v>11</v>
      </c>
      <c r="AI11210">
        <v>2</v>
      </c>
      <c r="AJ11210">
        <v>0</v>
      </c>
      <c r="AK11210">
        <v>248.37</v>
      </c>
      <c r="AN11210" t="s">
        <v>7439</v>
      </c>
      <c r="AO11210">
        <v>42000</v>
      </c>
      <c r="AU11210">
        <v>1</v>
      </c>
      <c r="AV11210" t="s">
        <v>821</v>
      </c>
      <c r="AW11210" t="s">
        <v>46853</v>
      </c>
      <c r="AX11210" t="s">
        <v>46897</v>
      </c>
    </row>
    <row r="11211" spans="1:50">
      <c r="A11211" s="1">
        <f>HYPERLINK("https://lsnyc.legalserver.org/matter/dynamic-profile/view/1902774","19-1902774")</f>
        <v>0</v>
      </c>
      <c r="B11211" t="s">
        <v>159</v>
      </c>
      <c r="C11211" t="s">
        <v>340</v>
      </c>
      <c r="D11211" t="s">
        <v>773</v>
      </c>
      <c r="F11211" t="s">
        <v>1637</v>
      </c>
      <c r="G11211" t="s">
        <v>9573</v>
      </c>
      <c r="H11211" t="s">
        <v>17140</v>
      </c>
      <c r="I11211" t="s">
        <v>17430</v>
      </c>
      <c r="J11211" t="s">
        <v>18907</v>
      </c>
      <c r="K11211">
        <v>11377</v>
      </c>
      <c r="L11211" t="s">
        <v>18958</v>
      </c>
      <c r="M11211" t="s">
        <v>18960</v>
      </c>
      <c r="N11211" t="s">
        <v>26397</v>
      </c>
      <c r="O11211" t="s">
        <v>26524</v>
      </c>
      <c r="P11211" t="s">
        <v>26563</v>
      </c>
      <c r="R11211" t="s">
        <v>26584</v>
      </c>
      <c r="S11211" t="s">
        <v>18959</v>
      </c>
      <c r="U11211" t="s">
        <v>26604</v>
      </c>
      <c r="X11211">
        <v>3</v>
      </c>
      <c r="Y11211" t="s">
        <v>26653</v>
      </c>
      <c r="Z11211" t="s">
        <v>26664</v>
      </c>
      <c r="AB11211" t="s">
        <v>33809</v>
      </c>
      <c r="AC11211" t="s">
        <v>36794</v>
      </c>
      <c r="AD11211" t="s">
        <v>45389</v>
      </c>
      <c r="AE11211">
        <v>3</v>
      </c>
      <c r="AF11211" t="s">
        <v>45547</v>
      </c>
      <c r="AG11211" t="s">
        <v>19330</v>
      </c>
      <c r="AH11211">
        <v>11</v>
      </c>
      <c r="AI11211">
        <v>2</v>
      </c>
      <c r="AJ11211">
        <v>4</v>
      </c>
      <c r="AK11211">
        <v>75.17</v>
      </c>
      <c r="AN11211" t="s">
        <v>7439</v>
      </c>
      <c r="AO11211">
        <v>26000</v>
      </c>
      <c r="AU11211">
        <v>1.5</v>
      </c>
      <c r="AV11211" t="s">
        <v>773</v>
      </c>
      <c r="AW11211" t="s">
        <v>46846</v>
      </c>
      <c r="AX11211" t="s">
        <v>46897</v>
      </c>
    </row>
    <row r="11212" spans="1:50">
      <c r="A11212" s="1">
        <f>HYPERLINK("https://lsnyc.legalserver.org/matter/dynamic-profile/view/1902731","19-1902731")</f>
        <v>0</v>
      </c>
      <c r="B11212" t="s">
        <v>159</v>
      </c>
      <c r="C11212" t="s">
        <v>340</v>
      </c>
      <c r="D11212" t="s">
        <v>773</v>
      </c>
      <c r="F11212" t="s">
        <v>1602</v>
      </c>
      <c r="G11212" t="s">
        <v>5147</v>
      </c>
      <c r="H11212" t="s">
        <v>17141</v>
      </c>
      <c r="I11212" t="s">
        <v>17430</v>
      </c>
      <c r="J11212" t="s">
        <v>18899</v>
      </c>
      <c r="K11212">
        <v>11385</v>
      </c>
      <c r="L11212" t="s">
        <v>18958</v>
      </c>
      <c r="M11212" t="s">
        <v>18960</v>
      </c>
      <c r="N11212" t="s">
        <v>26398</v>
      </c>
      <c r="O11212" t="s">
        <v>26524</v>
      </c>
      <c r="P11212" t="s">
        <v>26563</v>
      </c>
      <c r="R11212" t="s">
        <v>26585</v>
      </c>
      <c r="S11212" t="s">
        <v>18959</v>
      </c>
      <c r="U11212" t="s">
        <v>26604</v>
      </c>
      <c r="X11212">
        <v>1800</v>
      </c>
      <c r="Y11212" t="s">
        <v>26653</v>
      </c>
      <c r="Z11212" t="s">
        <v>26664</v>
      </c>
      <c r="AB11212" t="s">
        <v>34346</v>
      </c>
      <c r="AD11212" t="s">
        <v>45390</v>
      </c>
      <c r="AE11212">
        <v>2</v>
      </c>
      <c r="AF11212" t="s">
        <v>20460</v>
      </c>
      <c r="AG11212" t="s">
        <v>19330</v>
      </c>
      <c r="AH11212">
        <v>1</v>
      </c>
      <c r="AI11212">
        <v>4</v>
      </c>
      <c r="AJ11212">
        <v>0</v>
      </c>
      <c r="AK11212">
        <v>103.77</v>
      </c>
      <c r="AN11212" t="s">
        <v>7439</v>
      </c>
      <c r="AO11212">
        <v>26720</v>
      </c>
      <c r="AU11212">
        <v>1.5</v>
      </c>
      <c r="AV11212" t="s">
        <v>773</v>
      </c>
      <c r="AW11212" t="s">
        <v>46846</v>
      </c>
      <c r="AX11212" t="s">
        <v>46897</v>
      </c>
    </row>
    <row r="11213" spans="1:50">
      <c r="A11213" s="1">
        <f>HYPERLINK("https://lsnyc.legalserver.org/matter/dynamic-profile/view/1902772","19-1902772")</f>
        <v>0</v>
      </c>
      <c r="B11213" t="s">
        <v>200</v>
      </c>
      <c r="C11213" t="s">
        <v>340</v>
      </c>
      <c r="D11213" t="s">
        <v>773</v>
      </c>
      <c r="F11213" t="s">
        <v>2628</v>
      </c>
      <c r="G11213" t="s">
        <v>3073</v>
      </c>
      <c r="H11213" t="s">
        <v>16487</v>
      </c>
      <c r="I11213" t="s">
        <v>18173</v>
      </c>
      <c r="J11213" t="s">
        <v>18894</v>
      </c>
      <c r="K11213">
        <v>11207</v>
      </c>
      <c r="L11213" t="s">
        <v>18960</v>
      </c>
      <c r="M11213" t="s">
        <v>18960</v>
      </c>
      <c r="R11213" t="s">
        <v>26591</v>
      </c>
      <c r="U11213" t="s">
        <v>26605</v>
      </c>
      <c r="X11213">
        <v>147</v>
      </c>
      <c r="Y11213" t="s">
        <v>26652</v>
      </c>
      <c r="Z11213" t="s">
        <v>26657</v>
      </c>
      <c r="AB11213" t="s">
        <v>34347</v>
      </c>
      <c r="AD11213" t="s">
        <v>45391</v>
      </c>
      <c r="AE11213">
        <v>97</v>
      </c>
      <c r="AH11213">
        <v>7</v>
      </c>
      <c r="AI11213">
        <v>1</v>
      </c>
      <c r="AJ11213">
        <v>1</v>
      </c>
      <c r="AK11213">
        <v>81.79000000000001</v>
      </c>
      <c r="AN11213" t="s">
        <v>7439</v>
      </c>
      <c r="AO11213">
        <v>13830</v>
      </c>
      <c r="AU11213">
        <v>0.6</v>
      </c>
      <c r="AV11213" t="s">
        <v>834</v>
      </c>
      <c r="AW11213" t="s">
        <v>46850</v>
      </c>
    </row>
    <row r="11214" spans="1:50">
      <c r="A11214" s="1">
        <f>HYPERLINK("https://lsnyc.legalserver.org/matter/dynamic-profile/view/1902787","19-1902787")</f>
        <v>0</v>
      </c>
      <c r="B11214" t="s">
        <v>104</v>
      </c>
      <c r="C11214" t="s">
        <v>340</v>
      </c>
      <c r="D11214" t="s">
        <v>773</v>
      </c>
      <c r="F11214" t="s">
        <v>5016</v>
      </c>
      <c r="G11214" t="s">
        <v>9574</v>
      </c>
      <c r="H11214" t="s">
        <v>17142</v>
      </c>
      <c r="I11214" t="s">
        <v>17416</v>
      </c>
      <c r="J11214" t="s">
        <v>18902</v>
      </c>
      <c r="K11214">
        <v>10305</v>
      </c>
      <c r="L11214" t="s">
        <v>18960</v>
      </c>
      <c r="M11214" t="s">
        <v>18960</v>
      </c>
      <c r="R11214" t="s">
        <v>26589</v>
      </c>
      <c r="U11214" t="s">
        <v>26607</v>
      </c>
      <c r="X11214">
        <v>0</v>
      </c>
      <c r="Y11214" t="s">
        <v>26654</v>
      </c>
      <c r="AB11214" t="s">
        <v>34348</v>
      </c>
      <c r="AE11214">
        <v>0</v>
      </c>
      <c r="AH11214">
        <v>0</v>
      </c>
      <c r="AI11214">
        <v>1</v>
      </c>
      <c r="AJ11214">
        <v>4</v>
      </c>
      <c r="AK11214">
        <v>23.86</v>
      </c>
      <c r="AN11214" t="s">
        <v>45582</v>
      </c>
      <c r="AO11214">
        <v>7200</v>
      </c>
      <c r="AU11214">
        <v>1.1</v>
      </c>
      <c r="AV11214" t="s">
        <v>773</v>
      </c>
      <c r="AW11214" t="s">
        <v>104</v>
      </c>
    </row>
    <row r="11215" spans="1:50">
      <c r="A11215" s="1">
        <f>HYPERLINK("https://lsnyc.legalserver.org/matter/dynamic-profile/view/1902781","19-1902781")</f>
        <v>0</v>
      </c>
      <c r="B11215" t="s">
        <v>112</v>
      </c>
      <c r="C11215" t="s">
        <v>340</v>
      </c>
      <c r="D11215" t="s">
        <v>773</v>
      </c>
      <c r="F11215" t="s">
        <v>1972</v>
      </c>
      <c r="G11215" t="s">
        <v>9575</v>
      </c>
      <c r="H11215" t="s">
        <v>17143</v>
      </c>
      <c r="I11215" t="s">
        <v>17416</v>
      </c>
      <c r="J11215" t="s">
        <v>18920</v>
      </c>
      <c r="K11215">
        <v>11369</v>
      </c>
      <c r="L11215" t="s">
        <v>18958</v>
      </c>
      <c r="M11215" t="s">
        <v>18960</v>
      </c>
      <c r="N11215" t="s">
        <v>26399</v>
      </c>
      <c r="O11215" t="s">
        <v>26524</v>
      </c>
      <c r="P11215" t="s">
        <v>26563</v>
      </c>
      <c r="R11215" t="s">
        <v>26584</v>
      </c>
      <c r="S11215" t="s">
        <v>18959</v>
      </c>
      <c r="U11215" t="s">
        <v>26604</v>
      </c>
      <c r="X11215">
        <v>2500</v>
      </c>
      <c r="Y11215" t="s">
        <v>26653</v>
      </c>
      <c r="Z11215" t="s">
        <v>26664</v>
      </c>
      <c r="AB11215" t="s">
        <v>27446</v>
      </c>
      <c r="AC11215" t="s">
        <v>36795</v>
      </c>
      <c r="AD11215" t="s">
        <v>45392</v>
      </c>
      <c r="AE11215">
        <v>3</v>
      </c>
      <c r="AF11215" t="s">
        <v>45547</v>
      </c>
      <c r="AG11215" t="s">
        <v>19330</v>
      </c>
      <c r="AH11215">
        <v>6</v>
      </c>
      <c r="AI11215">
        <v>2</v>
      </c>
      <c r="AJ11215">
        <v>3</v>
      </c>
      <c r="AK11215">
        <v>53.03</v>
      </c>
      <c r="AN11215" t="s">
        <v>45581</v>
      </c>
      <c r="AO11215">
        <v>16000</v>
      </c>
      <c r="AU11215">
        <v>1.5</v>
      </c>
      <c r="AV11215" t="s">
        <v>773</v>
      </c>
      <c r="AW11215" t="s">
        <v>46846</v>
      </c>
      <c r="AX11215" t="s">
        <v>46897</v>
      </c>
    </row>
    <row r="11216" spans="1:50">
      <c r="A11216" s="1">
        <f>HYPERLINK("https://lsnyc.legalserver.org/matter/dynamic-profile/view/1902817","19-1902817")</f>
        <v>0</v>
      </c>
      <c r="B11216" t="s">
        <v>112</v>
      </c>
      <c r="C11216" t="s">
        <v>340</v>
      </c>
      <c r="D11216" t="s">
        <v>773</v>
      </c>
      <c r="F11216" t="s">
        <v>5017</v>
      </c>
      <c r="G11216" t="s">
        <v>8492</v>
      </c>
      <c r="H11216" t="s">
        <v>15033</v>
      </c>
      <c r="I11216" t="s">
        <v>17491</v>
      </c>
      <c r="J11216" t="s">
        <v>18901</v>
      </c>
      <c r="K11216">
        <v>11434</v>
      </c>
      <c r="L11216" t="s">
        <v>18958</v>
      </c>
      <c r="M11216" t="s">
        <v>18960</v>
      </c>
      <c r="N11216" t="s">
        <v>26400</v>
      </c>
      <c r="O11216" t="s">
        <v>26523</v>
      </c>
      <c r="P11216" t="s">
        <v>26563</v>
      </c>
      <c r="R11216" t="s">
        <v>26585</v>
      </c>
      <c r="U11216" t="s">
        <v>26604</v>
      </c>
      <c r="X11216">
        <v>2175</v>
      </c>
      <c r="Y11216" t="s">
        <v>26653</v>
      </c>
      <c r="Z11216" t="s">
        <v>26664</v>
      </c>
      <c r="AB11216" t="s">
        <v>28535</v>
      </c>
      <c r="AC11216" t="s">
        <v>36421</v>
      </c>
      <c r="AD11216" t="s">
        <v>42973</v>
      </c>
      <c r="AE11216">
        <v>2</v>
      </c>
      <c r="AF11216" t="s">
        <v>45547</v>
      </c>
      <c r="AG11216" t="s">
        <v>19330</v>
      </c>
      <c r="AH11216">
        <v>2</v>
      </c>
      <c r="AI11216">
        <v>3</v>
      </c>
      <c r="AJ11216">
        <v>0</v>
      </c>
      <c r="AK11216">
        <v>56.26</v>
      </c>
      <c r="AN11216" t="s">
        <v>7439</v>
      </c>
      <c r="AO11216">
        <v>12000</v>
      </c>
      <c r="AU11216">
        <v>0.5</v>
      </c>
      <c r="AV11216" t="s">
        <v>773</v>
      </c>
      <c r="AW11216" t="s">
        <v>46846</v>
      </c>
      <c r="AX11216" t="s">
        <v>46897</v>
      </c>
    </row>
    <row r="11217" spans="1:50">
      <c r="A11217" s="1">
        <f>HYPERLINK("https://lsnyc.legalserver.org/matter/dynamic-profile/view/1902785","19-1902785")</f>
        <v>0</v>
      </c>
      <c r="B11217" t="s">
        <v>112</v>
      </c>
      <c r="C11217" t="s">
        <v>340</v>
      </c>
      <c r="D11217" t="s">
        <v>773</v>
      </c>
      <c r="F11217" t="s">
        <v>1636</v>
      </c>
      <c r="G11217" t="s">
        <v>5269</v>
      </c>
      <c r="H11217" t="s">
        <v>9806</v>
      </c>
      <c r="I11217" t="s">
        <v>17579</v>
      </c>
      <c r="J11217" t="s">
        <v>18901</v>
      </c>
      <c r="K11217">
        <v>11434</v>
      </c>
      <c r="L11217" t="s">
        <v>18958</v>
      </c>
      <c r="M11217" t="s">
        <v>18960</v>
      </c>
      <c r="N11217" t="s">
        <v>26401</v>
      </c>
      <c r="O11217" t="s">
        <v>26523</v>
      </c>
      <c r="P11217" t="s">
        <v>26563</v>
      </c>
      <c r="R11217" t="s">
        <v>26585</v>
      </c>
      <c r="S11217" t="s">
        <v>18958</v>
      </c>
      <c r="U11217" t="s">
        <v>26604</v>
      </c>
      <c r="X11217">
        <v>811</v>
      </c>
      <c r="Y11217" t="s">
        <v>26653</v>
      </c>
      <c r="Z11217" t="s">
        <v>26664</v>
      </c>
      <c r="AB11217" t="s">
        <v>26993</v>
      </c>
      <c r="AD11217" t="s">
        <v>45393</v>
      </c>
      <c r="AE11217">
        <v>0</v>
      </c>
      <c r="AG11217" t="s">
        <v>19330</v>
      </c>
      <c r="AH11217">
        <v>0</v>
      </c>
      <c r="AI11217">
        <v>2</v>
      </c>
      <c r="AJ11217">
        <v>1</v>
      </c>
      <c r="AK11217">
        <v>187.53</v>
      </c>
      <c r="AN11217" t="s">
        <v>7439</v>
      </c>
      <c r="AO11217">
        <v>40000</v>
      </c>
      <c r="AU11217">
        <v>1.5</v>
      </c>
      <c r="AV11217" t="s">
        <v>773</v>
      </c>
      <c r="AW11217" t="s">
        <v>46846</v>
      </c>
      <c r="AX11217" t="s">
        <v>46897</v>
      </c>
    </row>
    <row r="11218" spans="1:50">
      <c r="A11218" s="1">
        <f>HYPERLINK("https://lsnyc.legalserver.org/matter/dynamic-profile/view/1902739","19-1902739")</f>
        <v>0</v>
      </c>
      <c r="B11218" t="s">
        <v>123</v>
      </c>
      <c r="C11218" t="s">
        <v>340</v>
      </c>
      <c r="D11218" t="s">
        <v>773</v>
      </c>
      <c r="F11218" t="s">
        <v>5018</v>
      </c>
      <c r="G11218" t="s">
        <v>9576</v>
      </c>
      <c r="H11218" t="s">
        <v>17139</v>
      </c>
      <c r="I11218" t="s">
        <v>17399</v>
      </c>
      <c r="J11218" t="s">
        <v>18894</v>
      </c>
      <c r="K11218">
        <v>11221</v>
      </c>
      <c r="L11218" t="s">
        <v>18958</v>
      </c>
      <c r="M11218" t="s">
        <v>18960</v>
      </c>
      <c r="N11218" t="s">
        <v>26402</v>
      </c>
      <c r="O11218" t="s">
        <v>26523</v>
      </c>
      <c r="P11218" t="s">
        <v>26560</v>
      </c>
      <c r="R11218" t="s">
        <v>26588</v>
      </c>
      <c r="U11218" t="s">
        <v>26605</v>
      </c>
      <c r="X11218">
        <v>408.6</v>
      </c>
      <c r="Y11218" t="s">
        <v>26652</v>
      </c>
      <c r="Z11218" t="s">
        <v>26664</v>
      </c>
      <c r="AB11218" t="s">
        <v>34349</v>
      </c>
      <c r="AD11218" t="s">
        <v>45394</v>
      </c>
      <c r="AE11218">
        <v>0</v>
      </c>
      <c r="AH11218">
        <v>1</v>
      </c>
      <c r="AI11218">
        <v>2</v>
      </c>
      <c r="AJ11218">
        <v>1</v>
      </c>
      <c r="AK11218">
        <v>68.06999999999999</v>
      </c>
      <c r="AN11218" t="s">
        <v>7439</v>
      </c>
      <c r="AO11218">
        <v>14520</v>
      </c>
      <c r="AU11218">
        <v>0.5</v>
      </c>
      <c r="AV11218" t="s">
        <v>773</v>
      </c>
      <c r="AW11218" t="s">
        <v>46853</v>
      </c>
      <c r="AX11218" t="s">
        <v>46897</v>
      </c>
    </row>
    <row r="11219" spans="1:50">
      <c r="A11219" s="1">
        <f>HYPERLINK("https://lsnyc.legalserver.org/matter/dynamic-profile/view/1902815","19-1902815")</f>
        <v>0</v>
      </c>
      <c r="B11219" t="s">
        <v>91</v>
      </c>
      <c r="C11219" t="s">
        <v>340</v>
      </c>
      <c r="D11219" t="s">
        <v>773</v>
      </c>
      <c r="F11219" t="s">
        <v>1548</v>
      </c>
      <c r="G11219" t="s">
        <v>9577</v>
      </c>
      <c r="H11219" t="s">
        <v>17144</v>
      </c>
      <c r="J11219" t="s">
        <v>18924</v>
      </c>
      <c r="K11219">
        <v>11411</v>
      </c>
      <c r="L11219" t="s">
        <v>18958</v>
      </c>
      <c r="M11219" t="s">
        <v>18960</v>
      </c>
      <c r="N11219" t="s">
        <v>26403</v>
      </c>
      <c r="O11219" t="s">
        <v>26524</v>
      </c>
      <c r="P11219" t="s">
        <v>26563</v>
      </c>
      <c r="R11219" t="s">
        <v>26584</v>
      </c>
      <c r="S11219" t="s">
        <v>18959</v>
      </c>
      <c r="U11219" t="s">
        <v>26604</v>
      </c>
      <c r="X11219">
        <v>270</v>
      </c>
      <c r="Y11219" t="s">
        <v>26653</v>
      </c>
      <c r="Z11219" t="s">
        <v>26664</v>
      </c>
      <c r="AB11219" t="s">
        <v>32491</v>
      </c>
      <c r="AC11219" t="s">
        <v>36796</v>
      </c>
      <c r="AD11219" t="s">
        <v>45395</v>
      </c>
      <c r="AE11219">
        <v>1</v>
      </c>
      <c r="AF11219" t="s">
        <v>45543</v>
      </c>
      <c r="AG11219" t="s">
        <v>45556</v>
      </c>
      <c r="AH11219">
        <v>6</v>
      </c>
      <c r="AI11219">
        <v>3</v>
      </c>
      <c r="AJ11219">
        <v>1</v>
      </c>
      <c r="AK11219">
        <v>11.51</v>
      </c>
      <c r="AN11219" t="s">
        <v>7439</v>
      </c>
      <c r="AO11219">
        <v>2962.8</v>
      </c>
      <c r="AU11219">
        <v>1.4</v>
      </c>
      <c r="AV11219" t="s">
        <v>836</v>
      </c>
      <c r="AW11219" t="s">
        <v>46846</v>
      </c>
      <c r="AX11219" t="s">
        <v>46897</v>
      </c>
    </row>
    <row r="11220" spans="1:50">
      <c r="A11220" s="1">
        <f>HYPERLINK("https://lsnyc.legalserver.org/matter/dynamic-profile/view/1902779","19-1902779")</f>
        <v>0</v>
      </c>
      <c r="B11220" t="s">
        <v>155</v>
      </c>
      <c r="C11220" t="s">
        <v>340</v>
      </c>
      <c r="D11220" t="s">
        <v>773</v>
      </c>
      <c r="F11220" t="s">
        <v>1636</v>
      </c>
      <c r="G11220" t="s">
        <v>5079</v>
      </c>
      <c r="H11220" t="s">
        <v>17145</v>
      </c>
      <c r="I11220" t="s">
        <v>18315</v>
      </c>
      <c r="J11220" t="s">
        <v>18894</v>
      </c>
      <c r="K11220">
        <v>11221</v>
      </c>
      <c r="L11220" t="s">
        <v>18958</v>
      </c>
      <c r="M11220" t="s">
        <v>18960</v>
      </c>
      <c r="N11220" t="s">
        <v>26404</v>
      </c>
      <c r="O11220" t="s">
        <v>26523</v>
      </c>
      <c r="P11220" t="s">
        <v>26563</v>
      </c>
      <c r="R11220" t="s">
        <v>26588</v>
      </c>
      <c r="U11220" t="s">
        <v>26605</v>
      </c>
      <c r="X11220">
        <v>354</v>
      </c>
      <c r="Y11220" t="s">
        <v>26652</v>
      </c>
      <c r="Z11220" t="s">
        <v>26664</v>
      </c>
      <c r="AB11220" t="s">
        <v>32123</v>
      </c>
      <c r="AD11220" t="s">
        <v>45396</v>
      </c>
      <c r="AE11220">
        <v>0</v>
      </c>
      <c r="AH11220">
        <v>37</v>
      </c>
      <c r="AI11220">
        <v>2</v>
      </c>
      <c r="AJ11220">
        <v>2</v>
      </c>
      <c r="AK11220">
        <v>0</v>
      </c>
      <c r="AN11220" t="s">
        <v>7439</v>
      </c>
      <c r="AO11220">
        <v>0</v>
      </c>
      <c r="AU11220">
        <v>0.5</v>
      </c>
      <c r="AV11220" t="s">
        <v>834</v>
      </c>
      <c r="AW11220" t="s">
        <v>46853</v>
      </c>
      <c r="AX11220" t="s">
        <v>46897</v>
      </c>
    </row>
    <row r="11221" spans="1:50">
      <c r="A11221" s="1">
        <f>HYPERLINK("https://lsnyc.legalserver.org/matter/dynamic-profile/view/1902763","19-1902763")</f>
        <v>0</v>
      </c>
      <c r="B11221" t="s">
        <v>155</v>
      </c>
      <c r="C11221" t="s">
        <v>340</v>
      </c>
      <c r="D11221" t="s">
        <v>773</v>
      </c>
      <c r="F11221" t="s">
        <v>1228</v>
      </c>
      <c r="G11221" t="s">
        <v>2975</v>
      </c>
      <c r="H11221" t="s">
        <v>12982</v>
      </c>
      <c r="I11221" t="s">
        <v>17466</v>
      </c>
      <c r="J11221" t="s">
        <v>18894</v>
      </c>
      <c r="K11221">
        <v>11216</v>
      </c>
      <c r="L11221" t="s">
        <v>18958</v>
      </c>
      <c r="M11221" t="s">
        <v>18960</v>
      </c>
      <c r="N11221" t="s">
        <v>26405</v>
      </c>
      <c r="O11221" t="s">
        <v>26523</v>
      </c>
      <c r="P11221" t="s">
        <v>26563</v>
      </c>
      <c r="R11221" t="s">
        <v>26588</v>
      </c>
      <c r="U11221" t="s">
        <v>26605</v>
      </c>
      <c r="X11221">
        <v>742</v>
      </c>
      <c r="Y11221" t="s">
        <v>26652</v>
      </c>
      <c r="Z11221" t="s">
        <v>26664</v>
      </c>
      <c r="AB11221" t="s">
        <v>34350</v>
      </c>
      <c r="AD11221" t="s">
        <v>45397</v>
      </c>
      <c r="AE11221">
        <v>0</v>
      </c>
      <c r="AH11221">
        <v>-1</v>
      </c>
      <c r="AI11221">
        <v>2</v>
      </c>
      <c r="AJ11221">
        <v>1</v>
      </c>
      <c r="AK11221">
        <v>121.89</v>
      </c>
      <c r="AN11221" t="s">
        <v>7439</v>
      </c>
      <c r="AO11221">
        <v>26000</v>
      </c>
      <c r="AU11221">
        <v>0.5</v>
      </c>
      <c r="AV11221" t="s">
        <v>773</v>
      </c>
      <c r="AW11221" t="s">
        <v>46853</v>
      </c>
      <c r="AX11221" t="s">
        <v>46897</v>
      </c>
    </row>
    <row r="11222" spans="1:50">
      <c r="A11222" s="1">
        <f>HYPERLINK("https://lsnyc.legalserver.org/matter/dynamic-profile/view/1902728","19-1902728")</f>
        <v>0</v>
      </c>
      <c r="B11222" t="s">
        <v>155</v>
      </c>
      <c r="C11222" t="s">
        <v>340</v>
      </c>
      <c r="D11222" t="s">
        <v>773</v>
      </c>
      <c r="F11222" t="s">
        <v>954</v>
      </c>
      <c r="G11222" t="s">
        <v>1725</v>
      </c>
      <c r="H11222" t="s">
        <v>12402</v>
      </c>
      <c r="I11222" t="s">
        <v>18871</v>
      </c>
      <c r="J11222" t="s">
        <v>18894</v>
      </c>
      <c r="K11222">
        <v>11221</v>
      </c>
      <c r="L11222" t="s">
        <v>18958</v>
      </c>
      <c r="M11222" t="s">
        <v>18960</v>
      </c>
      <c r="N11222" t="s">
        <v>26406</v>
      </c>
      <c r="O11222" t="s">
        <v>26523</v>
      </c>
      <c r="P11222" t="s">
        <v>26563</v>
      </c>
      <c r="R11222" t="s">
        <v>26588</v>
      </c>
      <c r="U11222" t="s">
        <v>26605</v>
      </c>
      <c r="X11222">
        <v>624</v>
      </c>
      <c r="Y11222" t="s">
        <v>26652</v>
      </c>
      <c r="Z11222" t="s">
        <v>26664</v>
      </c>
      <c r="AB11222" t="s">
        <v>27537</v>
      </c>
      <c r="AD11222" t="s">
        <v>45398</v>
      </c>
      <c r="AE11222">
        <v>120</v>
      </c>
      <c r="AH11222">
        <v>2</v>
      </c>
      <c r="AI11222">
        <v>1</v>
      </c>
      <c r="AJ11222">
        <v>0</v>
      </c>
      <c r="AK11222">
        <v>208.17</v>
      </c>
      <c r="AN11222" t="s">
        <v>7439</v>
      </c>
      <c r="AO11222">
        <v>26000</v>
      </c>
      <c r="AU11222">
        <v>0.5</v>
      </c>
      <c r="AV11222" t="s">
        <v>773</v>
      </c>
      <c r="AW11222" t="s">
        <v>46853</v>
      </c>
      <c r="AX11222" t="s">
        <v>46897</v>
      </c>
    </row>
    <row r="11223" spans="1:50">
      <c r="A11223" s="1">
        <f>HYPERLINK("https://lsnyc.legalserver.org/matter/dynamic-profile/view/1903008","19-1903008")</f>
        <v>0</v>
      </c>
      <c r="B11223" t="s">
        <v>275</v>
      </c>
      <c r="C11223" t="s">
        <v>340</v>
      </c>
      <c r="D11223" t="s">
        <v>773</v>
      </c>
      <c r="F11223" t="s">
        <v>1253</v>
      </c>
      <c r="G11223" t="s">
        <v>3036</v>
      </c>
      <c r="J11223" t="s">
        <v>18892</v>
      </c>
      <c r="K11223">
        <v>10467</v>
      </c>
      <c r="L11223" t="s">
        <v>18958</v>
      </c>
      <c r="M11223" t="s">
        <v>18960</v>
      </c>
      <c r="N11223" t="s">
        <v>26407</v>
      </c>
      <c r="O11223" t="s">
        <v>26524</v>
      </c>
      <c r="P11223" t="s">
        <v>26560</v>
      </c>
      <c r="R11223" t="s">
        <v>26579</v>
      </c>
      <c r="S11223" t="s">
        <v>18959</v>
      </c>
      <c r="U11223" t="s">
        <v>26604</v>
      </c>
      <c r="X11223">
        <v>1775</v>
      </c>
      <c r="Y11223" t="s">
        <v>26650</v>
      </c>
      <c r="Z11223" t="s">
        <v>26664</v>
      </c>
      <c r="AB11223" t="s">
        <v>34351</v>
      </c>
      <c r="AD11223" t="s">
        <v>45399</v>
      </c>
      <c r="AE11223">
        <v>0</v>
      </c>
      <c r="AF11223" t="s">
        <v>45552</v>
      </c>
      <c r="AG11223" t="s">
        <v>26530</v>
      </c>
      <c r="AH11223">
        <v>2</v>
      </c>
      <c r="AI11223">
        <v>2</v>
      </c>
      <c r="AJ11223">
        <v>0</v>
      </c>
      <c r="AK11223">
        <v>49.39</v>
      </c>
      <c r="AN11223" t="s">
        <v>7439</v>
      </c>
      <c r="AO11223">
        <v>8352</v>
      </c>
      <c r="AU11223">
        <v>0</v>
      </c>
      <c r="AW11223" t="s">
        <v>336</v>
      </c>
      <c r="AX11223" t="s">
        <v>46897</v>
      </c>
    </row>
    <row r="11224" spans="1:50">
      <c r="A11224" s="1">
        <f>HYPERLINK("https://lsnyc.legalserver.org/matter/dynamic-profile/view/1902998","19-1902998")</f>
        <v>0</v>
      </c>
      <c r="B11224" t="s">
        <v>275</v>
      </c>
      <c r="C11224" t="s">
        <v>340</v>
      </c>
      <c r="D11224" t="s">
        <v>773</v>
      </c>
      <c r="F11224" t="s">
        <v>1534</v>
      </c>
      <c r="G11224" t="s">
        <v>3353</v>
      </c>
      <c r="H11224" t="s">
        <v>10365</v>
      </c>
      <c r="I11224">
        <v>805</v>
      </c>
      <c r="J11224" t="s">
        <v>18892</v>
      </c>
      <c r="K11224">
        <v>10457</v>
      </c>
      <c r="L11224" t="s">
        <v>18958</v>
      </c>
      <c r="M11224" t="s">
        <v>18960</v>
      </c>
      <c r="N11224" t="s">
        <v>26408</v>
      </c>
      <c r="O11224" t="s">
        <v>26523</v>
      </c>
      <c r="P11224" t="s">
        <v>26560</v>
      </c>
      <c r="R11224" t="s">
        <v>26579</v>
      </c>
      <c r="S11224" t="s">
        <v>18959</v>
      </c>
      <c r="U11224" t="s">
        <v>26604</v>
      </c>
      <c r="X11224">
        <v>547.1</v>
      </c>
      <c r="Y11224" t="s">
        <v>26650</v>
      </c>
      <c r="Z11224" t="s">
        <v>26664</v>
      </c>
      <c r="AB11224" t="s">
        <v>34352</v>
      </c>
      <c r="AD11224" t="s">
        <v>45400</v>
      </c>
      <c r="AE11224">
        <v>0</v>
      </c>
      <c r="AH11224">
        <v>7</v>
      </c>
      <c r="AI11224">
        <v>1</v>
      </c>
      <c r="AJ11224">
        <v>0</v>
      </c>
      <c r="AK11224">
        <v>74.08</v>
      </c>
      <c r="AN11224" t="s">
        <v>7439</v>
      </c>
      <c r="AO11224">
        <v>9252</v>
      </c>
      <c r="AU11224">
        <v>0</v>
      </c>
      <c r="AW11224" t="s">
        <v>336</v>
      </c>
      <c r="AX11224" t="s">
        <v>46897</v>
      </c>
    </row>
    <row r="11225" spans="1:50">
      <c r="A11225" s="1">
        <f>HYPERLINK("https://lsnyc.legalserver.org/matter/dynamic-profile/view/1902756","19-1902756")</f>
        <v>0</v>
      </c>
      <c r="B11225" t="s">
        <v>177</v>
      </c>
      <c r="C11225" t="s">
        <v>340</v>
      </c>
      <c r="D11225" t="s">
        <v>773</v>
      </c>
      <c r="F11225" t="s">
        <v>5019</v>
      </c>
      <c r="G11225" t="s">
        <v>4381</v>
      </c>
      <c r="H11225" t="s">
        <v>17146</v>
      </c>
      <c r="I11225">
        <v>2</v>
      </c>
      <c r="J11225" t="s">
        <v>18892</v>
      </c>
      <c r="K11225">
        <v>10460</v>
      </c>
      <c r="L11225" t="s">
        <v>18960</v>
      </c>
      <c r="M11225" t="s">
        <v>18960</v>
      </c>
      <c r="R11225" t="s">
        <v>26591</v>
      </c>
      <c r="U11225" t="s">
        <v>26604</v>
      </c>
      <c r="X11225">
        <v>1956</v>
      </c>
      <c r="Y11225" t="s">
        <v>26650</v>
      </c>
      <c r="AB11225" t="s">
        <v>30602</v>
      </c>
      <c r="AE11225">
        <v>2</v>
      </c>
      <c r="AG11225" t="s">
        <v>45562</v>
      </c>
      <c r="AH11225">
        <v>1</v>
      </c>
      <c r="AI11225">
        <v>2</v>
      </c>
      <c r="AJ11225">
        <v>3</v>
      </c>
      <c r="AK11225">
        <v>135.9</v>
      </c>
      <c r="AN11225" t="s">
        <v>7439</v>
      </c>
      <c r="AO11225">
        <v>41000</v>
      </c>
      <c r="AU11225">
        <v>0.6</v>
      </c>
      <c r="AV11225" t="s">
        <v>773</v>
      </c>
      <c r="AW11225" t="s">
        <v>46842</v>
      </c>
    </row>
    <row r="11226" spans="1:50">
      <c r="A11226" s="1">
        <f>HYPERLINK("https://lsnyc.legalserver.org/matter/dynamic-profile/view/1902806","19-1902806")</f>
        <v>0</v>
      </c>
      <c r="B11226" t="s">
        <v>221</v>
      </c>
      <c r="C11226" t="s">
        <v>340</v>
      </c>
      <c r="D11226" t="s">
        <v>773</v>
      </c>
      <c r="F11226" t="s">
        <v>2462</v>
      </c>
      <c r="G11226" t="s">
        <v>5026</v>
      </c>
      <c r="H11226" t="s">
        <v>17147</v>
      </c>
      <c r="I11226" t="s">
        <v>17283</v>
      </c>
      <c r="J11226" t="s">
        <v>18901</v>
      </c>
      <c r="K11226">
        <v>11433</v>
      </c>
      <c r="L11226" t="s">
        <v>18958</v>
      </c>
      <c r="M11226" t="s">
        <v>18960</v>
      </c>
      <c r="N11226" t="s">
        <v>26409</v>
      </c>
      <c r="O11226" t="s">
        <v>26523</v>
      </c>
      <c r="P11226" t="s">
        <v>26563</v>
      </c>
      <c r="R11226" t="s">
        <v>26585</v>
      </c>
      <c r="S11226" t="s">
        <v>18958</v>
      </c>
      <c r="U11226" t="s">
        <v>26605</v>
      </c>
      <c r="X11226">
        <v>1237</v>
      </c>
      <c r="Y11226" t="s">
        <v>26653</v>
      </c>
      <c r="Z11226" t="s">
        <v>26664</v>
      </c>
      <c r="AB11226" t="s">
        <v>32711</v>
      </c>
      <c r="AD11226" t="s">
        <v>45401</v>
      </c>
      <c r="AE11226">
        <v>9</v>
      </c>
      <c r="AG11226" t="s">
        <v>19330</v>
      </c>
      <c r="AH11226">
        <v>29</v>
      </c>
      <c r="AI11226">
        <v>2</v>
      </c>
      <c r="AJ11226">
        <v>1</v>
      </c>
      <c r="AK11226">
        <v>170.65</v>
      </c>
      <c r="AN11226" t="s">
        <v>7439</v>
      </c>
      <c r="AO11226">
        <v>36400</v>
      </c>
      <c r="AU11226">
        <v>5.2</v>
      </c>
      <c r="AV11226" t="s">
        <v>835</v>
      </c>
      <c r="AW11226" t="s">
        <v>46846</v>
      </c>
      <c r="AX11226" t="s">
        <v>46897</v>
      </c>
    </row>
    <row r="11227" spans="1:50">
      <c r="A11227" s="1">
        <f>HYPERLINK("https://lsnyc.legalserver.org/matter/dynamic-profile/view/1902917","19-1902917")</f>
        <v>0</v>
      </c>
      <c r="B11227" t="s">
        <v>63</v>
      </c>
      <c r="C11227" t="s">
        <v>341</v>
      </c>
      <c r="D11227" t="s">
        <v>834</v>
      </c>
      <c r="E11227" t="s">
        <v>834</v>
      </c>
      <c r="F11227" t="s">
        <v>1222</v>
      </c>
      <c r="G11227" t="s">
        <v>8818</v>
      </c>
      <c r="H11227" t="s">
        <v>15624</v>
      </c>
      <c r="I11227">
        <v>29</v>
      </c>
      <c r="J11227" t="s">
        <v>18892</v>
      </c>
      <c r="K11227">
        <v>10456</v>
      </c>
      <c r="L11227" t="s">
        <v>18960</v>
      </c>
      <c r="M11227" t="s">
        <v>18960</v>
      </c>
      <c r="P11227" t="s">
        <v>26564</v>
      </c>
      <c r="Q11227" t="s">
        <v>26570</v>
      </c>
      <c r="R11227" t="s">
        <v>26578</v>
      </c>
      <c r="U11227" t="s">
        <v>26604</v>
      </c>
      <c r="X11227">
        <v>0</v>
      </c>
      <c r="Y11227" t="s">
        <v>26650</v>
      </c>
      <c r="AA11227" t="s">
        <v>26683</v>
      </c>
      <c r="AB11227" t="s">
        <v>31124</v>
      </c>
      <c r="AD11227" t="s">
        <v>43668</v>
      </c>
      <c r="AE11227">
        <v>0</v>
      </c>
      <c r="AH11227">
        <v>0</v>
      </c>
      <c r="AI11227">
        <v>2</v>
      </c>
      <c r="AJ11227">
        <v>0</v>
      </c>
      <c r="AK11227">
        <v>0</v>
      </c>
      <c r="AO11227">
        <v>0</v>
      </c>
      <c r="AU11227">
        <v>1</v>
      </c>
      <c r="AV11227" t="s">
        <v>834</v>
      </c>
      <c r="AW11227" t="s">
        <v>63</v>
      </c>
    </row>
    <row r="11228" spans="1:50">
      <c r="A11228" s="1">
        <f>HYPERLINK("https://lsnyc.legalserver.org/matter/dynamic-profile/view/1902932","19-1902932")</f>
        <v>0</v>
      </c>
      <c r="B11228" t="s">
        <v>280</v>
      </c>
      <c r="C11228" t="s">
        <v>340</v>
      </c>
      <c r="D11228" t="s">
        <v>834</v>
      </c>
      <c r="F11228" t="s">
        <v>964</v>
      </c>
      <c r="G11228" t="s">
        <v>4381</v>
      </c>
      <c r="H11228" t="s">
        <v>17148</v>
      </c>
      <c r="I11228" t="s">
        <v>17416</v>
      </c>
      <c r="J11228" t="s">
        <v>18901</v>
      </c>
      <c r="K11228">
        <v>11434</v>
      </c>
      <c r="L11228" t="s">
        <v>18958</v>
      </c>
      <c r="M11228" t="s">
        <v>18960</v>
      </c>
      <c r="N11228" t="s">
        <v>26410</v>
      </c>
      <c r="O11228" t="s">
        <v>26524</v>
      </c>
      <c r="P11228" t="s">
        <v>26563</v>
      </c>
      <c r="R11228" t="s">
        <v>26578</v>
      </c>
      <c r="U11228" t="s">
        <v>26604</v>
      </c>
      <c r="X11228">
        <v>1350</v>
      </c>
      <c r="Y11228" t="s">
        <v>26653</v>
      </c>
      <c r="Z11228" t="s">
        <v>26664</v>
      </c>
      <c r="AB11228" t="s">
        <v>31401</v>
      </c>
      <c r="AD11228" t="s">
        <v>45402</v>
      </c>
      <c r="AE11228">
        <v>2</v>
      </c>
      <c r="AG11228" t="s">
        <v>19330</v>
      </c>
      <c r="AH11228">
        <v>5</v>
      </c>
      <c r="AI11228">
        <v>3</v>
      </c>
      <c r="AJ11228">
        <v>2</v>
      </c>
      <c r="AK11228">
        <v>0</v>
      </c>
      <c r="AO11228">
        <v>0</v>
      </c>
      <c r="AU11228">
        <v>0.6</v>
      </c>
      <c r="AV11228" t="s">
        <v>834</v>
      </c>
      <c r="AW11228" t="s">
        <v>46846</v>
      </c>
      <c r="AX11228" t="s">
        <v>46897</v>
      </c>
    </row>
    <row r="11229" spans="1:50">
      <c r="A11229" s="1">
        <f>HYPERLINK("https://lsnyc.legalserver.org/matter/dynamic-profile/view/1902887","19-1902887")</f>
        <v>0</v>
      </c>
      <c r="B11229" t="s">
        <v>219</v>
      </c>
      <c r="C11229" t="s">
        <v>340</v>
      </c>
      <c r="D11229" t="s">
        <v>834</v>
      </c>
      <c r="F11229" t="s">
        <v>1093</v>
      </c>
      <c r="G11229" t="s">
        <v>5513</v>
      </c>
      <c r="H11229" t="s">
        <v>17149</v>
      </c>
      <c r="I11229" t="s">
        <v>17291</v>
      </c>
      <c r="J11229" t="s">
        <v>18894</v>
      </c>
      <c r="K11229">
        <v>11237</v>
      </c>
      <c r="L11229" t="s">
        <v>18960</v>
      </c>
      <c r="M11229" t="s">
        <v>18960</v>
      </c>
      <c r="R11229" t="s">
        <v>26591</v>
      </c>
      <c r="U11229" t="s">
        <v>26604</v>
      </c>
      <c r="X11229">
        <v>819</v>
      </c>
      <c r="Y11229" t="s">
        <v>26652</v>
      </c>
      <c r="AB11229" t="s">
        <v>34353</v>
      </c>
      <c r="AD11229" t="s">
        <v>45403</v>
      </c>
      <c r="AE11229">
        <v>6</v>
      </c>
      <c r="AG11229" t="s">
        <v>19330</v>
      </c>
      <c r="AH11229">
        <v>28</v>
      </c>
      <c r="AI11229">
        <v>3</v>
      </c>
      <c r="AJ11229">
        <v>1</v>
      </c>
      <c r="AK11229">
        <v>153.48</v>
      </c>
      <c r="AN11229" t="s">
        <v>7439</v>
      </c>
      <c r="AO11229">
        <v>39519.96</v>
      </c>
      <c r="AU11229">
        <v>1</v>
      </c>
      <c r="AV11229" t="s">
        <v>834</v>
      </c>
      <c r="AW11229" t="s">
        <v>46842</v>
      </c>
    </row>
    <row r="11230" spans="1:50">
      <c r="A11230" s="1">
        <f>HYPERLINK("https://lsnyc.legalserver.org/matter/dynamic-profile/view/1902882","19-1902882")</f>
        <v>0</v>
      </c>
      <c r="B11230" t="s">
        <v>61</v>
      </c>
      <c r="C11230" t="s">
        <v>340</v>
      </c>
      <c r="D11230" t="s">
        <v>834</v>
      </c>
      <c r="F11230" t="s">
        <v>871</v>
      </c>
      <c r="G11230" t="s">
        <v>6816</v>
      </c>
      <c r="H11230" t="s">
        <v>15475</v>
      </c>
      <c r="I11230" t="s">
        <v>17467</v>
      </c>
      <c r="J11230" t="s">
        <v>18893</v>
      </c>
      <c r="K11230">
        <v>10034</v>
      </c>
      <c r="L11230" t="s">
        <v>18960</v>
      </c>
      <c r="M11230" t="s">
        <v>18960</v>
      </c>
      <c r="R11230" t="s">
        <v>26578</v>
      </c>
      <c r="U11230" t="s">
        <v>26604</v>
      </c>
      <c r="X11230">
        <v>179</v>
      </c>
      <c r="Y11230" t="s">
        <v>26651</v>
      </c>
      <c r="Z11230" t="s">
        <v>26530</v>
      </c>
      <c r="AB11230" t="s">
        <v>34354</v>
      </c>
      <c r="AD11230" t="s">
        <v>45404</v>
      </c>
      <c r="AE11230">
        <v>135</v>
      </c>
      <c r="AF11230" t="s">
        <v>20460</v>
      </c>
      <c r="AG11230" t="s">
        <v>45563</v>
      </c>
      <c r="AH11230">
        <v>38</v>
      </c>
      <c r="AI11230">
        <v>1</v>
      </c>
      <c r="AJ11230">
        <v>0</v>
      </c>
      <c r="AK11230">
        <v>106.84</v>
      </c>
      <c r="AN11230" t="s">
        <v>7439</v>
      </c>
      <c r="AO11230">
        <v>13344</v>
      </c>
      <c r="AU11230">
        <v>2.7</v>
      </c>
      <c r="AV11230" t="s">
        <v>838</v>
      </c>
      <c r="AW11230" t="s">
        <v>46841</v>
      </c>
    </row>
    <row r="11231" spans="1:50">
      <c r="A11231" s="1">
        <f>HYPERLINK("https://lsnyc.legalserver.org/matter/dynamic-profile/view/1902947","19-1902947")</f>
        <v>0</v>
      </c>
      <c r="B11231" t="s">
        <v>70</v>
      </c>
      <c r="C11231" t="s">
        <v>340</v>
      </c>
      <c r="D11231" t="s">
        <v>834</v>
      </c>
      <c r="F11231" t="s">
        <v>947</v>
      </c>
      <c r="G11231" t="s">
        <v>6218</v>
      </c>
      <c r="H11231" t="s">
        <v>17150</v>
      </c>
      <c r="I11231" t="s">
        <v>17380</v>
      </c>
      <c r="J11231" t="s">
        <v>18892</v>
      </c>
      <c r="K11231">
        <v>10463</v>
      </c>
      <c r="L11231" t="s">
        <v>18958</v>
      </c>
      <c r="M11231" t="s">
        <v>18960</v>
      </c>
      <c r="N11231" t="s">
        <v>26411</v>
      </c>
      <c r="O11231" t="s">
        <v>26523</v>
      </c>
      <c r="P11231" t="s">
        <v>26564</v>
      </c>
      <c r="R11231" t="s">
        <v>26577</v>
      </c>
      <c r="U11231" t="s">
        <v>26604</v>
      </c>
      <c r="X11231">
        <v>700</v>
      </c>
      <c r="Y11231" t="s">
        <v>26650</v>
      </c>
      <c r="AB11231" t="s">
        <v>30042</v>
      </c>
      <c r="AC11231" t="s">
        <v>36797</v>
      </c>
      <c r="AD11231" t="s">
        <v>45405</v>
      </c>
      <c r="AE11231">
        <v>64</v>
      </c>
      <c r="AF11231" t="s">
        <v>45553</v>
      </c>
      <c r="AH11231">
        <v>1</v>
      </c>
      <c r="AI11231">
        <v>1</v>
      </c>
      <c r="AJ11231">
        <v>0</v>
      </c>
      <c r="AK11231">
        <v>0</v>
      </c>
      <c r="AN11231" t="s">
        <v>7439</v>
      </c>
      <c r="AO11231">
        <v>0</v>
      </c>
      <c r="AP11231" t="s">
        <v>46353</v>
      </c>
      <c r="AU11231">
        <v>0.5</v>
      </c>
      <c r="AV11231" t="s">
        <v>834</v>
      </c>
      <c r="AW11231" t="s">
        <v>46870</v>
      </c>
      <c r="AX11231" t="s">
        <v>46898</v>
      </c>
    </row>
    <row r="11232" spans="1:50">
      <c r="A11232" s="1">
        <f>HYPERLINK("https://lsnyc.legalserver.org/matter/dynamic-profile/view/1902949","19-1902949")</f>
        <v>0</v>
      </c>
      <c r="B11232" t="s">
        <v>149</v>
      </c>
      <c r="C11232" t="s">
        <v>340</v>
      </c>
      <c r="D11232" t="s">
        <v>834</v>
      </c>
      <c r="F11232" t="s">
        <v>5020</v>
      </c>
      <c r="G11232" t="s">
        <v>5478</v>
      </c>
      <c r="H11232" t="s">
        <v>17151</v>
      </c>
      <c r="J11232" t="s">
        <v>18892</v>
      </c>
      <c r="K11232">
        <v>10454</v>
      </c>
      <c r="L11232" t="s">
        <v>18958</v>
      </c>
      <c r="M11232" t="s">
        <v>18960</v>
      </c>
      <c r="N11232" t="s">
        <v>26412</v>
      </c>
      <c r="O11232" t="s">
        <v>26524</v>
      </c>
      <c r="P11232" t="s">
        <v>26564</v>
      </c>
      <c r="R11232" t="s">
        <v>26577</v>
      </c>
      <c r="S11232" t="s">
        <v>18959</v>
      </c>
      <c r="U11232" t="s">
        <v>26604</v>
      </c>
      <c r="V11232" t="s">
        <v>26610</v>
      </c>
      <c r="X11232">
        <v>1661.56</v>
      </c>
      <c r="Y11232" t="s">
        <v>26650</v>
      </c>
      <c r="Z11232" t="s">
        <v>26668</v>
      </c>
      <c r="AB11232" t="s">
        <v>32054</v>
      </c>
      <c r="AD11232" t="s">
        <v>45406</v>
      </c>
      <c r="AE11232">
        <v>29</v>
      </c>
      <c r="AF11232" t="s">
        <v>45541</v>
      </c>
      <c r="AG11232" t="s">
        <v>45557</v>
      </c>
      <c r="AH11232">
        <v>12</v>
      </c>
      <c r="AI11232">
        <v>1</v>
      </c>
      <c r="AJ11232">
        <v>0</v>
      </c>
      <c r="AK11232">
        <v>172.94</v>
      </c>
      <c r="AN11232" t="s">
        <v>45581</v>
      </c>
      <c r="AO11232">
        <v>21600</v>
      </c>
      <c r="AP11232" t="s">
        <v>46353</v>
      </c>
      <c r="AU11232">
        <v>1.5</v>
      </c>
      <c r="AV11232" t="s">
        <v>838</v>
      </c>
      <c r="AW11232" t="s">
        <v>46871</v>
      </c>
      <c r="AX11232" t="s">
        <v>46897</v>
      </c>
    </row>
    <row r="11233" spans="1:50">
      <c r="A11233" s="1">
        <f>HYPERLINK("https://lsnyc.legalserver.org/matter/dynamic-profile/view/1902901","19-1902901")</f>
        <v>0</v>
      </c>
      <c r="B11233" t="s">
        <v>117</v>
      </c>
      <c r="C11233" t="s">
        <v>340</v>
      </c>
      <c r="D11233" t="s">
        <v>834</v>
      </c>
      <c r="F11233" t="s">
        <v>1283</v>
      </c>
      <c r="G11233" t="s">
        <v>5706</v>
      </c>
      <c r="H11233" t="s">
        <v>17152</v>
      </c>
      <c r="I11233" t="s">
        <v>17564</v>
      </c>
      <c r="J11233" t="s">
        <v>18894</v>
      </c>
      <c r="K11233">
        <v>11208</v>
      </c>
      <c r="L11233" t="s">
        <v>18959</v>
      </c>
      <c r="M11233" t="s">
        <v>18960</v>
      </c>
      <c r="N11233" t="s">
        <v>26413</v>
      </c>
      <c r="O11233" t="s">
        <v>26524</v>
      </c>
      <c r="R11233" t="s">
        <v>26578</v>
      </c>
      <c r="S11233" t="s">
        <v>18959</v>
      </c>
      <c r="U11233" t="s">
        <v>26604</v>
      </c>
      <c r="V11233" t="s">
        <v>26610</v>
      </c>
      <c r="X11233">
        <v>1300</v>
      </c>
      <c r="Y11233" t="s">
        <v>26652</v>
      </c>
      <c r="Z11233" t="s">
        <v>26657</v>
      </c>
      <c r="AB11233" t="s">
        <v>34355</v>
      </c>
      <c r="AC11233" t="s">
        <v>36798</v>
      </c>
      <c r="AD11233" t="s">
        <v>45407</v>
      </c>
      <c r="AE11233">
        <v>2</v>
      </c>
      <c r="AF11233" t="s">
        <v>45547</v>
      </c>
      <c r="AG11233" t="s">
        <v>26530</v>
      </c>
      <c r="AH11233">
        <v>14</v>
      </c>
      <c r="AI11233">
        <v>1</v>
      </c>
      <c r="AJ11233">
        <v>0</v>
      </c>
      <c r="AK11233">
        <v>176.97</v>
      </c>
      <c r="AN11233" t="s">
        <v>7439</v>
      </c>
      <c r="AO11233">
        <v>22104</v>
      </c>
      <c r="AU11233">
        <v>1</v>
      </c>
      <c r="AV11233" t="s">
        <v>834</v>
      </c>
      <c r="AW11233" t="s">
        <v>46858</v>
      </c>
      <c r="AX11233" t="s">
        <v>19330</v>
      </c>
    </row>
    <row r="11234" spans="1:50">
      <c r="A11234" s="1">
        <f>HYPERLINK("https://lsnyc.legalserver.org/matter/dynamic-profile/view/1902944","19-1902944")</f>
        <v>0</v>
      </c>
      <c r="B11234" t="s">
        <v>57</v>
      </c>
      <c r="C11234" t="s">
        <v>340</v>
      </c>
      <c r="D11234" t="s">
        <v>834</v>
      </c>
      <c r="F11234" t="s">
        <v>2111</v>
      </c>
      <c r="G11234" t="s">
        <v>6739</v>
      </c>
      <c r="H11234" t="s">
        <v>17153</v>
      </c>
      <c r="I11234">
        <v>4</v>
      </c>
      <c r="J11234" t="s">
        <v>18892</v>
      </c>
      <c r="K11234">
        <v>10455</v>
      </c>
      <c r="L11234" t="s">
        <v>18959</v>
      </c>
      <c r="M11234" t="s">
        <v>18960</v>
      </c>
      <c r="N11234" t="s">
        <v>26414</v>
      </c>
      <c r="O11234" t="s">
        <v>26524</v>
      </c>
      <c r="P11234" t="s">
        <v>26564</v>
      </c>
      <c r="R11234" t="s">
        <v>26577</v>
      </c>
      <c r="U11234" t="s">
        <v>26604</v>
      </c>
      <c r="X11234">
        <v>0</v>
      </c>
      <c r="Y11234" t="s">
        <v>26650</v>
      </c>
      <c r="Z11234" t="s">
        <v>26668</v>
      </c>
      <c r="AE11234">
        <v>0</v>
      </c>
      <c r="AH11234">
        <v>0</v>
      </c>
      <c r="AI11234">
        <v>2</v>
      </c>
      <c r="AJ11234">
        <v>0</v>
      </c>
      <c r="AK11234">
        <v>0</v>
      </c>
      <c r="AN11234" t="s">
        <v>7439</v>
      </c>
      <c r="AO11234">
        <v>0</v>
      </c>
      <c r="AP11234" t="s">
        <v>46353</v>
      </c>
      <c r="AU11234">
        <v>0.5</v>
      </c>
      <c r="AV11234" t="s">
        <v>834</v>
      </c>
      <c r="AW11234" t="s">
        <v>46870</v>
      </c>
    </row>
    <row r="11235" spans="1:50">
      <c r="A11235" s="1">
        <f>HYPERLINK("https://lsnyc.legalserver.org/matter/dynamic-profile/view/1902921","19-1902921")</f>
        <v>0</v>
      </c>
      <c r="B11235" t="s">
        <v>108</v>
      </c>
      <c r="C11235" t="s">
        <v>340</v>
      </c>
      <c r="D11235" t="s">
        <v>834</v>
      </c>
      <c r="F11235" t="s">
        <v>5021</v>
      </c>
      <c r="G11235" t="s">
        <v>9578</v>
      </c>
      <c r="H11235" t="s">
        <v>17154</v>
      </c>
      <c r="I11235" t="s">
        <v>17430</v>
      </c>
      <c r="J11235" t="s">
        <v>18901</v>
      </c>
      <c r="K11235">
        <v>11436</v>
      </c>
      <c r="L11235" t="s">
        <v>18958</v>
      </c>
      <c r="M11235" t="s">
        <v>18960</v>
      </c>
      <c r="N11235" t="s">
        <v>26415</v>
      </c>
      <c r="O11235" t="s">
        <v>26524</v>
      </c>
      <c r="P11235" t="s">
        <v>26563</v>
      </c>
      <c r="R11235" t="s">
        <v>26584</v>
      </c>
      <c r="S11235" t="s">
        <v>18959</v>
      </c>
      <c r="U11235" t="s">
        <v>26604</v>
      </c>
      <c r="X11235">
        <v>1500</v>
      </c>
      <c r="Y11235" t="s">
        <v>26653</v>
      </c>
      <c r="Z11235" t="s">
        <v>26664</v>
      </c>
      <c r="AB11235" t="s">
        <v>34356</v>
      </c>
      <c r="AD11235" t="s">
        <v>45408</v>
      </c>
      <c r="AE11235">
        <v>1</v>
      </c>
      <c r="AF11235" t="s">
        <v>45547</v>
      </c>
      <c r="AG11235" t="s">
        <v>19330</v>
      </c>
      <c r="AH11235">
        <v>1</v>
      </c>
      <c r="AI11235">
        <v>4</v>
      </c>
      <c r="AJ11235">
        <v>0</v>
      </c>
      <c r="AK11235">
        <v>117.16</v>
      </c>
      <c r="AN11235" t="s">
        <v>7439</v>
      </c>
      <c r="AO11235">
        <v>30168</v>
      </c>
      <c r="AU11235">
        <v>1</v>
      </c>
      <c r="AV11235" t="s">
        <v>834</v>
      </c>
      <c r="AW11235" t="s">
        <v>46846</v>
      </c>
      <c r="AX11235" t="s">
        <v>46897</v>
      </c>
    </row>
    <row r="11236" spans="1:50">
      <c r="A11236" s="1">
        <f>HYPERLINK("https://lsnyc.legalserver.org/matter/dynamic-profile/view/1902896","19-1902896")</f>
        <v>0</v>
      </c>
      <c r="B11236" t="s">
        <v>315</v>
      </c>
      <c r="C11236" t="s">
        <v>340</v>
      </c>
      <c r="D11236" t="s">
        <v>834</v>
      </c>
      <c r="F11236" t="s">
        <v>4876</v>
      </c>
      <c r="G11236" t="s">
        <v>5824</v>
      </c>
      <c r="H11236" t="s">
        <v>17155</v>
      </c>
      <c r="J11236" t="s">
        <v>18901</v>
      </c>
      <c r="K11236">
        <v>11432</v>
      </c>
      <c r="L11236" t="s">
        <v>18960</v>
      </c>
      <c r="M11236" t="s">
        <v>18960</v>
      </c>
      <c r="R11236" t="s">
        <v>26591</v>
      </c>
      <c r="U11236" t="s">
        <v>26607</v>
      </c>
      <c r="X11236">
        <v>0</v>
      </c>
      <c r="Y11236" t="s">
        <v>26653</v>
      </c>
      <c r="AB11236" t="s">
        <v>34357</v>
      </c>
      <c r="AD11236" t="s">
        <v>45409</v>
      </c>
      <c r="AE11236">
        <v>0</v>
      </c>
      <c r="AH11236">
        <v>0</v>
      </c>
      <c r="AI11236">
        <v>3</v>
      </c>
      <c r="AJ11236">
        <v>0</v>
      </c>
      <c r="AK11236">
        <v>125.06</v>
      </c>
      <c r="AN11236" t="s">
        <v>7439</v>
      </c>
      <c r="AO11236">
        <v>26676</v>
      </c>
      <c r="AU11236">
        <v>1.25</v>
      </c>
      <c r="AV11236" t="s">
        <v>834</v>
      </c>
      <c r="AW11236" t="s">
        <v>315</v>
      </c>
    </row>
    <row r="11237" spans="1:50">
      <c r="A11237" s="1">
        <f>HYPERLINK("https://lsnyc.legalserver.org/matter/dynamic-profile/view/1902842","19-1902842")</f>
        <v>0</v>
      </c>
      <c r="B11237" t="s">
        <v>251</v>
      </c>
      <c r="C11237" t="s">
        <v>340</v>
      </c>
      <c r="D11237" t="s">
        <v>834</v>
      </c>
      <c r="F11237" t="s">
        <v>1573</v>
      </c>
      <c r="G11237" t="s">
        <v>2797</v>
      </c>
      <c r="H11237" t="s">
        <v>11449</v>
      </c>
      <c r="I11237" t="s">
        <v>18872</v>
      </c>
      <c r="J11237" t="s">
        <v>18892</v>
      </c>
      <c r="K11237">
        <v>10467</v>
      </c>
      <c r="L11237" t="s">
        <v>18958</v>
      </c>
      <c r="M11237" t="s">
        <v>18960</v>
      </c>
      <c r="N11237" t="s">
        <v>26416</v>
      </c>
      <c r="O11237" t="s">
        <v>26523</v>
      </c>
      <c r="R11237" t="s">
        <v>26579</v>
      </c>
      <c r="S11237" t="s">
        <v>18959</v>
      </c>
      <c r="U11237" t="s">
        <v>26604</v>
      </c>
      <c r="V11237" t="s">
        <v>26610</v>
      </c>
      <c r="X11237">
        <v>1300</v>
      </c>
      <c r="Y11237" t="s">
        <v>26650</v>
      </c>
      <c r="AB11237" t="s">
        <v>28344</v>
      </c>
      <c r="AD11237" t="s">
        <v>45410</v>
      </c>
      <c r="AE11237">
        <v>94</v>
      </c>
      <c r="AH11237">
        <v>1</v>
      </c>
      <c r="AI11237">
        <v>1</v>
      </c>
      <c r="AJ11237">
        <v>1</v>
      </c>
      <c r="AK11237">
        <v>150.68</v>
      </c>
      <c r="AN11237" t="s">
        <v>7439</v>
      </c>
      <c r="AO11237">
        <v>25480</v>
      </c>
      <c r="AU11237">
        <v>0</v>
      </c>
      <c r="AW11237" t="s">
        <v>335</v>
      </c>
      <c r="AX11237" t="s">
        <v>46897</v>
      </c>
    </row>
    <row r="11238" spans="1:50">
      <c r="A11238" s="1">
        <f>HYPERLINK("https://lsnyc.legalserver.org/matter/dynamic-profile/view/1902951","19-1902951")</f>
        <v>0</v>
      </c>
      <c r="B11238" t="s">
        <v>251</v>
      </c>
      <c r="C11238" t="s">
        <v>340</v>
      </c>
      <c r="D11238" t="s">
        <v>834</v>
      </c>
      <c r="F11238" t="s">
        <v>1326</v>
      </c>
      <c r="G11238" t="s">
        <v>5461</v>
      </c>
      <c r="H11238" t="s">
        <v>17156</v>
      </c>
      <c r="J11238" t="s">
        <v>18892</v>
      </c>
      <c r="K11238">
        <v>10467</v>
      </c>
      <c r="L11238" t="s">
        <v>18958</v>
      </c>
      <c r="M11238" t="s">
        <v>18960</v>
      </c>
      <c r="N11238" t="s">
        <v>26417</v>
      </c>
      <c r="O11238" t="s">
        <v>26524</v>
      </c>
      <c r="P11238" t="s">
        <v>26564</v>
      </c>
      <c r="R11238" t="s">
        <v>26579</v>
      </c>
      <c r="S11238" t="s">
        <v>18959</v>
      </c>
      <c r="U11238" t="s">
        <v>26604</v>
      </c>
      <c r="V11238" t="s">
        <v>26610</v>
      </c>
      <c r="X11238">
        <v>1700</v>
      </c>
      <c r="Y11238" t="s">
        <v>26650</v>
      </c>
      <c r="AB11238" t="s">
        <v>34358</v>
      </c>
      <c r="AD11238" t="s">
        <v>45411</v>
      </c>
      <c r="AE11238">
        <v>3</v>
      </c>
      <c r="AF11238" t="s">
        <v>45547</v>
      </c>
      <c r="AH11238">
        <v>11</v>
      </c>
      <c r="AI11238">
        <v>1</v>
      </c>
      <c r="AJ11238">
        <v>0</v>
      </c>
      <c r="AK11238">
        <v>224.18</v>
      </c>
      <c r="AN11238" t="s">
        <v>7439</v>
      </c>
      <c r="AO11238">
        <v>28000</v>
      </c>
      <c r="AP11238" t="s">
        <v>46354</v>
      </c>
      <c r="AU11238">
        <v>0.1</v>
      </c>
      <c r="AV11238" t="s">
        <v>836</v>
      </c>
      <c r="AW11238" t="s">
        <v>46870</v>
      </c>
      <c r="AX11238" t="s">
        <v>46897</v>
      </c>
    </row>
    <row r="11239" spans="1:50">
      <c r="A11239" s="1">
        <f>HYPERLINK("https://lsnyc.legalserver.org/matter/dynamic-profile/view/1902943","19-1902943")</f>
        <v>0</v>
      </c>
      <c r="B11239" t="s">
        <v>81</v>
      </c>
      <c r="C11239" t="s">
        <v>340</v>
      </c>
      <c r="D11239" t="s">
        <v>834</v>
      </c>
      <c r="F11239" t="s">
        <v>1323</v>
      </c>
      <c r="G11239" t="s">
        <v>2925</v>
      </c>
      <c r="H11239" t="s">
        <v>17157</v>
      </c>
      <c r="I11239" t="s">
        <v>18310</v>
      </c>
      <c r="J11239" t="s">
        <v>18892</v>
      </c>
      <c r="K11239">
        <v>10453</v>
      </c>
      <c r="L11239" t="s">
        <v>18958</v>
      </c>
      <c r="M11239" t="s">
        <v>18960</v>
      </c>
      <c r="N11239" t="s">
        <v>26418</v>
      </c>
      <c r="O11239" t="s">
        <v>26524</v>
      </c>
      <c r="P11239" t="s">
        <v>26564</v>
      </c>
      <c r="R11239" t="s">
        <v>26577</v>
      </c>
      <c r="S11239" t="s">
        <v>18959</v>
      </c>
      <c r="U11239" t="s">
        <v>26604</v>
      </c>
      <c r="X11239">
        <v>1701</v>
      </c>
      <c r="Y11239" t="s">
        <v>26650</v>
      </c>
      <c r="Z11239" t="s">
        <v>26664</v>
      </c>
      <c r="AB11239" t="s">
        <v>28014</v>
      </c>
      <c r="AC11239" t="s">
        <v>36799</v>
      </c>
      <c r="AD11239" t="s">
        <v>45412</v>
      </c>
      <c r="AE11239">
        <v>33</v>
      </c>
      <c r="AF11239" t="s">
        <v>20460</v>
      </c>
      <c r="AG11239" t="s">
        <v>19330</v>
      </c>
      <c r="AH11239">
        <v>16</v>
      </c>
      <c r="AI11239">
        <v>2</v>
      </c>
      <c r="AJ11239">
        <v>0</v>
      </c>
      <c r="AK11239">
        <v>0</v>
      </c>
      <c r="AN11239" t="s">
        <v>45581</v>
      </c>
      <c r="AO11239">
        <v>0</v>
      </c>
      <c r="AP11239" t="s">
        <v>46353</v>
      </c>
      <c r="AU11239">
        <v>0.2</v>
      </c>
      <c r="AV11239" t="s">
        <v>834</v>
      </c>
      <c r="AW11239" t="s">
        <v>46871</v>
      </c>
      <c r="AX11239" t="s">
        <v>46898</v>
      </c>
    </row>
    <row r="11240" spans="1:50">
      <c r="A11240" s="1">
        <f>HYPERLINK("https://lsnyc.legalserver.org/matter/dynamic-profile/view/1902906","19-1902906")</f>
        <v>0</v>
      </c>
      <c r="B11240" t="s">
        <v>81</v>
      </c>
      <c r="C11240" t="s">
        <v>340</v>
      </c>
      <c r="D11240" t="s">
        <v>834</v>
      </c>
      <c r="F11240" t="s">
        <v>5022</v>
      </c>
      <c r="G11240" t="s">
        <v>9579</v>
      </c>
      <c r="H11240" t="s">
        <v>13838</v>
      </c>
      <c r="I11240" t="s">
        <v>17284</v>
      </c>
      <c r="J11240" t="s">
        <v>18892</v>
      </c>
      <c r="K11240">
        <v>10460</v>
      </c>
      <c r="L11240" t="s">
        <v>18960</v>
      </c>
      <c r="M11240" t="s">
        <v>18960</v>
      </c>
      <c r="O11240" t="s">
        <v>26523</v>
      </c>
      <c r="P11240" t="s">
        <v>26560</v>
      </c>
      <c r="R11240" t="s">
        <v>26577</v>
      </c>
      <c r="U11240" t="s">
        <v>26604</v>
      </c>
      <c r="X11240">
        <v>1400</v>
      </c>
      <c r="Y11240" t="s">
        <v>26650</v>
      </c>
      <c r="Z11240" t="s">
        <v>26660</v>
      </c>
      <c r="AB11240" t="s">
        <v>34359</v>
      </c>
      <c r="AC11240" t="s">
        <v>36800</v>
      </c>
      <c r="AD11240" t="s">
        <v>45413</v>
      </c>
      <c r="AE11240">
        <v>0</v>
      </c>
      <c r="AH11240">
        <v>10</v>
      </c>
      <c r="AI11240">
        <v>2</v>
      </c>
      <c r="AJ11240">
        <v>4</v>
      </c>
      <c r="AK11240">
        <v>84.04000000000001</v>
      </c>
      <c r="AN11240" t="s">
        <v>7439</v>
      </c>
      <c r="AO11240">
        <v>29069.6</v>
      </c>
      <c r="AU11240">
        <v>0</v>
      </c>
      <c r="AW11240" t="s">
        <v>46836</v>
      </c>
    </row>
    <row r="11241" spans="1:50">
      <c r="A11241" s="1">
        <f>HYPERLINK("https://lsnyc.legalserver.org/matter/dynamic-profile/view/1902871","19-1902871")</f>
        <v>0</v>
      </c>
      <c r="B11241" t="s">
        <v>81</v>
      </c>
      <c r="C11241" t="s">
        <v>340</v>
      </c>
      <c r="D11241" t="s">
        <v>834</v>
      </c>
      <c r="F11241" t="s">
        <v>1352</v>
      </c>
      <c r="G11241" t="s">
        <v>1263</v>
      </c>
      <c r="H11241" t="s">
        <v>14264</v>
      </c>
      <c r="I11241" t="s">
        <v>17327</v>
      </c>
      <c r="J11241" t="s">
        <v>18892</v>
      </c>
      <c r="K11241">
        <v>10457</v>
      </c>
      <c r="L11241" t="s">
        <v>18958</v>
      </c>
      <c r="M11241" t="s">
        <v>18960</v>
      </c>
      <c r="N11241" t="s">
        <v>26419</v>
      </c>
      <c r="O11241" t="s">
        <v>26523</v>
      </c>
      <c r="R11241" t="s">
        <v>26579</v>
      </c>
      <c r="S11241" t="s">
        <v>18959</v>
      </c>
      <c r="U11241" t="s">
        <v>26604</v>
      </c>
      <c r="X11241">
        <v>879</v>
      </c>
      <c r="Y11241" t="s">
        <v>26650</v>
      </c>
      <c r="Z11241" t="s">
        <v>26659</v>
      </c>
      <c r="AB11241" t="s">
        <v>34360</v>
      </c>
      <c r="AC11241" t="s">
        <v>36801</v>
      </c>
      <c r="AD11241" t="s">
        <v>45414</v>
      </c>
      <c r="AE11241">
        <v>30</v>
      </c>
      <c r="AF11241" t="s">
        <v>45541</v>
      </c>
      <c r="AG11241" t="s">
        <v>45556</v>
      </c>
      <c r="AH11241">
        <v>14</v>
      </c>
      <c r="AI11241">
        <v>1</v>
      </c>
      <c r="AJ11241">
        <v>0</v>
      </c>
      <c r="AK11241">
        <v>14.57</v>
      </c>
      <c r="AN11241" t="s">
        <v>7439</v>
      </c>
      <c r="AO11241">
        <v>1820</v>
      </c>
      <c r="AU11241">
        <v>1.25</v>
      </c>
      <c r="AV11241" t="s">
        <v>834</v>
      </c>
      <c r="AW11241" t="s">
        <v>46870</v>
      </c>
      <c r="AX11241" t="s">
        <v>46898</v>
      </c>
    </row>
    <row r="11242" spans="1:50">
      <c r="A11242" s="1">
        <f>HYPERLINK("https://lsnyc.legalserver.org/matter/dynamic-profile/view/1902878","19-1902878")</f>
        <v>0</v>
      </c>
      <c r="B11242" t="s">
        <v>81</v>
      </c>
      <c r="C11242" t="s">
        <v>340</v>
      </c>
      <c r="D11242" t="s">
        <v>834</v>
      </c>
      <c r="F11242" t="s">
        <v>5023</v>
      </c>
      <c r="G11242" t="s">
        <v>9580</v>
      </c>
      <c r="H11242" t="s">
        <v>17158</v>
      </c>
      <c r="I11242" t="s">
        <v>17293</v>
      </c>
      <c r="J11242" t="s">
        <v>18892</v>
      </c>
      <c r="K11242">
        <v>10456</v>
      </c>
      <c r="L11242" t="s">
        <v>18958</v>
      </c>
      <c r="M11242" t="s">
        <v>18960</v>
      </c>
      <c r="N11242" t="s">
        <v>26420</v>
      </c>
      <c r="O11242" t="s">
        <v>26523</v>
      </c>
      <c r="P11242" t="s">
        <v>26560</v>
      </c>
      <c r="R11242" t="s">
        <v>26579</v>
      </c>
      <c r="U11242" t="s">
        <v>26604</v>
      </c>
      <c r="X11242">
        <v>1500</v>
      </c>
      <c r="Y11242" t="s">
        <v>26650</v>
      </c>
      <c r="AB11242" t="s">
        <v>29887</v>
      </c>
      <c r="AC11242">
        <v>9410634</v>
      </c>
      <c r="AD11242" t="s">
        <v>45415</v>
      </c>
      <c r="AE11242">
        <v>20</v>
      </c>
      <c r="AH11242">
        <v>1</v>
      </c>
      <c r="AI11242">
        <v>1</v>
      </c>
      <c r="AJ11242">
        <v>0</v>
      </c>
      <c r="AK11242">
        <v>32.27</v>
      </c>
      <c r="AN11242" t="s">
        <v>7439</v>
      </c>
      <c r="AO11242">
        <v>4030</v>
      </c>
      <c r="AU11242">
        <v>1</v>
      </c>
      <c r="AV11242" t="s">
        <v>834</v>
      </c>
      <c r="AW11242" t="s">
        <v>46867</v>
      </c>
    </row>
    <row r="11243" spans="1:50">
      <c r="A11243" s="1">
        <f>HYPERLINK("https://lsnyc.legalserver.org/matter/dynamic-profile/view/1902930","19-1902930")</f>
        <v>0</v>
      </c>
      <c r="B11243" t="s">
        <v>294</v>
      </c>
      <c r="C11243" t="s">
        <v>340</v>
      </c>
      <c r="D11243" t="s">
        <v>834</v>
      </c>
      <c r="F11243" t="s">
        <v>5024</v>
      </c>
      <c r="G11243" t="s">
        <v>9581</v>
      </c>
      <c r="H11243" t="s">
        <v>17159</v>
      </c>
      <c r="I11243" t="s">
        <v>17344</v>
      </c>
      <c r="J11243" t="s">
        <v>18913</v>
      </c>
      <c r="K11243">
        <v>11106</v>
      </c>
      <c r="L11243" t="s">
        <v>18958</v>
      </c>
      <c r="M11243" t="s">
        <v>18960</v>
      </c>
      <c r="N11243" t="s">
        <v>26421</v>
      </c>
      <c r="O11243" t="s">
        <v>26524</v>
      </c>
      <c r="P11243" t="s">
        <v>26560</v>
      </c>
      <c r="R11243" t="s">
        <v>26578</v>
      </c>
      <c r="U11243" t="s">
        <v>26604</v>
      </c>
      <c r="X11243">
        <v>1015</v>
      </c>
      <c r="Y11243" t="s">
        <v>26653</v>
      </c>
      <c r="Z11243" t="s">
        <v>26664</v>
      </c>
      <c r="AB11243" t="s">
        <v>34361</v>
      </c>
      <c r="AD11243" t="s">
        <v>45416</v>
      </c>
      <c r="AE11243">
        <v>31</v>
      </c>
      <c r="AF11243" t="s">
        <v>45548</v>
      </c>
      <c r="AG11243" t="s">
        <v>19330</v>
      </c>
      <c r="AH11243">
        <v>53</v>
      </c>
      <c r="AI11243">
        <v>1</v>
      </c>
      <c r="AJ11243">
        <v>0</v>
      </c>
      <c r="AK11243">
        <v>128.1</v>
      </c>
      <c r="AN11243" t="s">
        <v>7439</v>
      </c>
      <c r="AO11243">
        <v>16000</v>
      </c>
      <c r="AU11243">
        <v>3.6</v>
      </c>
      <c r="AV11243" t="s">
        <v>839</v>
      </c>
      <c r="AW11243" t="s">
        <v>46846</v>
      </c>
      <c r="AX11243" t="s">
        <v>46897</v>
      </c>
    </row>
    <row r="11244" spans="1:50">
      <c r="A11244" s="1">
        <f>HYPERLINK("https://lsnyc.legalserver.org/matter/dynamic-profile/view/1902873","19-1902873")</f>
        <v>0</v>
      </c>
      <c r="B11244" t="s">
        <v>56</v>
      </c>
      <c r="C11244" t="s">
        <v>340</v>
      </c>
      <c r="D11244" t="s">
        <v>834</v>
      </c>
      <c r="F11244" t="s">
        <v>5025</v>
      </c>
      <c r="G11244" t="s">
        <v>9582</v>
      </c>
      <c r="H11244" t="s">
        <v>17160</v>
      </c>
      <c r="I11244" t="s">
        <v>17284</v>
      </c>
      <c r="J11244" t="s">
        <v>18892</v>
      </c>
      <c r="K11244">
        <v>10474</v>
      </c>
      <c r="L11244" t="s">
        <v>18960</v>
      </c>
      <c r="M11244" t="s">
        <v>18960</v>
      </c>
      <c r="P11244" t="s">
        <v>26560</v>
      </c>
      <c r="R11244" t="s">
        <v>26577</v>
      </c>
      <c r="U11244" t="s">
        <v>26604</v>
      </c>
      <c r="X11244">
        <v>785</v>
      </c>
      <c r="Y11244" t="s">
        <v>26650</v>
      </c>
      <c r="Z11244" t="s">
        <v>26659</v>
      </c>
      <c r="AB11244" t="s">
        <v>34362</v>
      </c>
      <c r="AD11244" t="s">
        <v>45417</v>
      </c>
      <c r="AE11244">
        <v>0</v>
      </c>
      <c r="AF11244" t="s">
        <v>45541</v>
      </c>
      <c r="AH11244">
        <v>4</v>
      </c>
      <c r="AI11244">
        <v>1</v>
      </c>
      <c r="AJ11244">
        <v>0</v>
      </c>
      <c r="AK11244">
        <v>17.58</v>
      </c>
      <c r="AN11244" t="s">
        <v>7439</v>
      </c>
      <c r="AO11244">
        <v>2196</v>
      </c>
      <c r="AU11244">
        <v>0</v>
      </c>
      <c r="AW11244" t="s">
        <v>46836</v>
      </c>
    </row>
    <row r="11245" spans="1:50">
      <c r="A11245" s="1">
        <f>HYPERLINK("https://lsnyc.legalserver.org/matter/dynamic-profile/view/1902833","19-1902833")</f>
        <v>0</v>
      </c>
      <c r="B11245" t="s">
        <v>56</v>
      </c>
      <c r="C11245" t="s">
        <v>340</v>
      </c>
      <c r="D11245" t="s">
        <v>834</v>
      </c>
      <c r="F11245" t="s">
        <v>1005</v>
      </c>
      <c r="G11245" t="s">
        <v>5199</v>
      </c>
      <c r="H11245" t="s">
        <v>10159</v>
      </c>
      <c r="I11245" t="s">
        <v>17362</v>
      </c>
      <c r="J11245" t="s">
        <v>18892</v>
      </c>
      <c r="K11245">
        <v>10468</v>
      </c>
      <c r="L11245" t="s">
        <v>18958</v>
      </c>
      <c r="M11245" t="s">
        <v>18960</v>
      </c>
      <c r="N11245" t="s">
        <v>26422</v>
      </c>
      <c r="O11245" t="s">
        <v>26523</v>
      </c>
      <c r="P11245" t="s">
        <v>26560</v>
      </c>
      <c r="R11245" t="s">
        <v>26579</v>
      </c>
      <c r="S11245" t="s">
        <v>18959</v>
      </c>
      <c r="U11245" t="s">
        <v>26604</v>
      </c>
      <c r="V11245" t="s">
        <v>26609</v>
      </c>
      <c r="X11245">
        <v>145.25</v>
      </c>
      <c r="Y11245" t="s">
        <v>26650</v>
      </c>
      <c r="Z11245" t="s">
        <v>26664</v>
      </c>
      <c r="AB11245" t="s">
        <v>30894</v>
      </c>
      <c r="AC11245" t="s">
        <v>36802</v>
      </c>
      <c r="AD11245" t="s">
        <v>45418</v>
      </c>
      <c r="AE11245">
        <v>49</v>
      </c>
      <c r="AF11245" t="s">
        <v>45541</v>
      </c>
      <c r="AH11245">
        <v>3</v>
      </c>
      <c r="AI11245">
        <v>1</v>
      </c>
      <c r="AJ11245">
        <v>0</v>
      </c>
      <c r="AK11245">
        <v>74.08</v>
      </c>
      <c r="AN11245" t="s">
        <v>7439</v>
      </c>
      <c r="AO11245">
        <v>9252</v>
      </c>
      <c r="AU11245">
        <v>1</v>
      </c>
      <c r="AV11245" t="s">
        <v>839</v>
      </c>
      <c r="AW11245" t="s">
        <v>335</v>
      </c>
      <c r="AX11245" t="s">
        <v>46898</v>
      </c>
    </row>
    <row r="11246" spans="1:50">
      <c r="A11246" s="1">
        <f>HYPERLINK("https://lsnyc.legalserver.org/matter/dynamic-profile/view/1902915","19-1902915")</f>
        <v>0</v>
      </c>
      <c r="B11246" t="s">
        <v>337</v>
      </c>
      <c r="C11246" t="s">
        <v>340</v>
      </c>
      <c r="D11246" t="s">
        <v>834</v>
      </c>
      <c r="F11246" t="s">
        <v>968</v>
      </c>
      <c r="G11246" t="s">
        <v>1627</v>
      </c>
      <c r="H11246" t="s">
        <v>17161</v>
      </c>
      <c r="I11246">
        <v>2</v>
      </c>
      <c r="J11246" t="s">
        <v>18927</v>
      </c>
      <c r="K11246">
        <v>11419</v>
      </c>
      <c r="L11246" t="s">
        <v>18960</v>
      </c>
      <c r="M11246" t="s">
        <v>18960</v>
      </c>
      <c r="N11246" t="s">
        <v>26423</v>
      </c>
      <c r="O11246" t="s">
        <v>26524</v>
      </c>
      <c r="R11246" t="s">
        <v>26591</v>
      </c>
      <c r="U11246" t="s">
        <v>26604</v>
      </c>
      <c r="X11246">
        <v>1330</v>
      </c>
      <c r="Y11246" t="s">
        <v>26653</v>
      </c>
      <c r="Z11246" t="s">
        <v>26530</v>
      </c>
      <c r="AB11246" t="s">
        <v>34363</v>
      </c>
      <c r="AE11246">
        <v>2</v>
      </c>
      <c r="AF11246" t="s">
        <v>20460</v>
      </c>
      <c r="AG11246" t="s">
        <v>19330</v>
      </c>
      <c r="AH11246">
        <v>14</v>
      </c>
      <c r="AI11246">
        <v>1</v>
      </c>
      <c r="AJ11246">
        <v>0</v>
      </c>
      <c r="AK11246">
        <v>186.58</v>
      </c>
      <c r="AN11246" t="s">
        <v>7439</v>
      </c>
      <c r="AO11246">
        <v>23304</v>
      </c>
      <c r="AU11246">
        <v>1.5</v>
      </c>
      <c r="AV11246" t="s">
        <v>821</v>
      </c>
      <c r="AW11246" t="s">
        <v>46841</v>
      </c>
    </row>
    <row r="11247" spans="1:50">
      <c r="A11247" s="1">
        <f>HYPERLINK("https://lsnyc.legalserver.org/matter/dynamic-profile/view/1902948","19-1902948")</f>
        <v>0</v>
      </c>
      <c r="B11247" t="s">
        <v>82</v>
      </c>
      <c r="C11247" t="s">
        <v>340</v>
      </c>
      <c r="D11247" t="s">
        <v>834</v>
      </c>
      <c r="F11247" t="s">
        <v>5026</v>
      </c>
      <c r="G11247" t="s">
        <v>5269</v>
      </c>
      <c r="H11247" t="s">
        <v>17162</v>
      </c>
      <c r="I11247">
        <v>1</v>
      </c>
      <c r="J11247" t="s">
        <v>18892</v>
      </c>
      <c r="K11247">
        <v>10460</v>
      </c>
      <c r="L11247" t="s">
        <v>18958</v>
      </c>
      <c r="M11247" t="s">
        <v>18960</v>
      </c>
      <c r="N11247" t="s">
        <v>26146</v>
      </c>
      <c r="O11247" t="s">
        <v>26524</v>
      </c>
      <c r="P11247" t="s">
        <v>26564</v>
      </c>
      <c r="R11247" t="s">
        <v>26577</v>
      </c>
      <c r="S11247" t="s">
        <v>18959</v>
      </c>
      <c r="U11247" t="s">
        <v>26604</v>
      </c>
      <c r="X11247">
        <v>1200</v>
      </c>
      <c r="Y11247" t="s">
        <v>26650</v>
      </c>
      <c r="Z11247" t="s">
        <v>26668</v>
      </c>
      <c r="AB11247" t="s">
        <v>34111</v>
      </c>
      <c r="AD11247" t="s">
        <v>45419</v>
      </c>
      <c r="AE11247">
        <v>3</v>
      </c>
      <c r="AF11247" t="s">
        <v>20460</v>
      </c>
      <c r="AG11247" t="s">
        <v>45562</v>
      </c>
      <c r="AH11247">
        <v>0</v>
      </c>
      <c r="AI11247">
        <v>1</v>
      </c>
      <c r="AJ11247">
        <v>0</v>
      </c>
      <c r="AK11247">
        <v>74.08</v>
      </c>
      <c r="AN11247" t="s">
        <v>7439</v>
      </c>
      <c r="AO11247">
        <v>9252</v>
      </c>
      <c r="AP11247" t="s">
        <v>46353</v>
      </c>
      <c r="AU11247">
        <v>0.2</v>
      </c>
      <c r="AV11247" t="s">
        <v>834</v>
      </c>
      <c r="AW11247" t="s">
        <v>46871</v>
      </c>
      <c r="AX11247" t="s">
        <v>46897</v>
      </c>
    </row>
    <row r="11248" spans="1:50">
      <c r="A11248" s="1">
        <f>HYPERLINK("https://lsnyc.legalserver.org/matter/dynamic-profile/view/1902946","19-1902946")</f>
        <v>0</v>
      </c>
      <c r="B11248" t="s">
        <v>64</v>
      </c>
      <c r="C11248" t="s">
        <v>340</v>
      </c>
      <c r="D11248" t="s">
        <v>834</v>
      </c>
      <c r="F11248" t="s">
        <v>1232</v>
      </c>
      <c r="G11248" t="s">
        <v>6062</v>
      </c>
      <c r="H11248" t="s">
        <v>17163</v>
      </c>
      <c r="I11248">
        <v>3</v>
      </c>
      <c r="J11248" t="s">
        <v>18892</v>
      </c>
      <c r="K11248">
        <v>10459</v>
      </c>
      <c r="L11248" t="s">
        <v>18958</v>
      </c>
      <c r="M11248" t="s">
        <v>18960</v>
      </c>
      <c r="N11248" t="s">
        <v>26424</v>
      </c>
      <c r="O11248" t="s">
        <v>26524</v>
      </c>
      <c r="R11248" t="s">
        <v>26577</v>
      </c>
      <c r="S11248" t="s">
        <v>18959</v>
      </c>
      <c r="U11248" t="s">
        <v>26604</v>
      </c>
      <c r="X11248">
        <v>0</v>
      </c>
      <c r="Y11248" t="s">
        <v>26650</v>
      </c>
      <c r="AB11248" t="s">
        <v>34364</v>
      </c>
      <c r="AD11248" t="s">
        <v>45420</v>
      </c>
      <c r="AE11248">
        <v>0</v>
      </c>
      <c r="AH11248">
        <v>0</v>
      </c>
      <c r="AI11248">
        <v>1</v>
      </c>
      <c r="AJ11248">
        <v>4</v>
      </c>
      <c r="AK11248">
        <v>19.99</v>
      </c>
      <c r="AO11248">
        <v>6032</v>
      </c>
      <c r="AU11248">
        <v>0</v>
      </c>
      <c r="AW11248" t="s">
        <v>335</v>
      </c>
      <c r="AX11248" t="s">
        <v>46897</v>
      </c>
    </row>
    <row r="11249" spans="1:50">
      <c r="A11249" s="1">
        <f>HYPERLINK("https://lsnyc.legalserver.org/matter/dynamic-profile/view/1902937","19-1902937")</f>
        <v>0</v>
      </c>
      <c r="B11249" t="s">
        <v>64</v>
      </c>
      <c r="C11249" t="s">
        <v>340</v>
      </c>
      <c r="D11249" t="s">
        <v>834</v>
      </c>
      <c r="F11249" t="s">
        <v>5027</v>
      </c>
      <c r="G11249" t="s">
        <v>9110</v>
      </c>
      <c r="H11249" t="s">
        <v>17163</v>
      </c>
      <c r="I11249">
        <v>2</v>
      </c>
      <c r="J11249" t="s">
        <v>18892</v>
      </c>
      <c r="K11249">
        <v>10459</v>
      </c>
      <c r="L11249" t="s">
        <v>18958</v>
      </c>
      <c r="M11249" t="s">
        <v>18960</v>
      </c>
      <c r="N11249" t="s">
        <v>26425</v>
      </c>
      <c r="R11249" t="s">
        <v>26577</v>
      </c>
      <c r="U11249" t="s">
        <v>26604</v>
      </c>
      <c r="X11249">
        <v>1866</v>
      </c>
      <c r="Y11249" t="s">
        <v>26650</v>
      </c>
      <c r="AB11249" t="s">
        <v>34365</v>
      </c>
      <c r="AD11249" t="s">
        <v>45421</v>
      </c>
      <c r="AE11249">
        <v>0</v>
      </c>
      <c r="AH11249">
        <v>4</v>
      </c>
      <c r="AI11249">
        <v>1</v>
      </c>
      <c r="AJ11249">
        <v>5</v>
      </c>
      <c r="AK11249">
        <v>26.38</v>
      </c>
      <c r="AN11249" t="s">
        <v>7439</v>
      </c>
      <c r="AO11249">
        <v>9126</v>
      </c>
      <c r="AU11249">
        <v>0</v>
      </c>
      <c r="AW11249" t="s">
        <v>335</v>
      </c>
      <c r="AX11249" t="s">
        <v>46897</v>
      </c>
    </row>
    <row r="11250" spans="1:50">
      <c r="A11250" s="1">
        <f>HYPERLINK("https://lsnyc.legalserver.org/matter/dynamic-profile/view/1902941","19-1902941")</f>
        <v>0</v>
      </c>
      <c r="B11250" t="s">
        <v>64</v>
      </c>
      <c r="C11250" t="s">
        <v>340</v>
      </c>
      <c r="D11250" t="s">
        <v>834</v>
      </c>
      <c r="F11250" t="s">
        <v>1029</v>
      </c>
      <c r="G11250" t="s">
        <v>7065</v>
      </c>
      <c r="H11250" t="s">
        <v>12520</v>
      </c>
      <c r="I11250" t="s">
        <v>17301</v>
      </c>
      <c r="J11250" t="s">
        <v>18892</v>
      </c>
      <c r="K11250">
        <v>10468</v>
      </c>
      <c r="L11250" t="s">
        <v>18958</v>
      </c>
      <c r="M11250" t="s">
        <v>18960</v>
      </c>
      <c r="N11250" t="s">
        <v>26426</v>
      </c>
      <c r="O11250" t="s">
        <v>26523</v>
      </c>
      <c r="R11250" t="s">
        <v>26579</v>
      </c>
      <c r="S11250" t="s">
        <v>18959</v>
      </c>
      <c r="U11250" t="s">
        <v>26604</v>
      </c>
      <c r="X11250">
        <v>1475.79</v>
      </c>
      <c r="Y11250" t="s">
        <v>26650</v>
      </c>
      <c r="AB11250" t="s">
        <v>34366</v>
      </c>
      <c r="AD11250" t="s">
        <v>45422</v>
      </c>
      <c r="AE11250">
        <v>75</v>
      </c>
      <c r="AH11250">
        <v>0</v>
      </c>
      <c r="AI11250">
        <v>1</v>
      </c>
      <c r="AJ11250">
        <v>1</v>
      </c>
      <c r="AK11250">
        <v>302.38</v>
      </c>
      <c r="AN11250" t="s">
        <v>7439</v>
      </c>
      <c r="AO11250">
        <v>51132</v>
      </c>
      <c r="AU11250">
        <v>0</v>
      </c>
      <c r="AW11250" t="s">
        <v>335</v>
      </c>
      <c r="AX11250" t="s">
        <v>46897</v>
      </c>
    </row>
    <row r="11251" spans="1:50">
      <c r="A11251" s="1">
        <f>HYPERLINK("https://lsnyc.legalserver.org/matter/dynamic-profile/view/1902855","19-1902855")</f>
        <v>0</v>
      </c>
      <c r="B11251" t="s">
        <v>339</v>
      </c>
      <c r="C11251" t="s">
        <v>340</v>
      </c>
      <c r="D11251" t="s">
        <v>834</v>
      </c>
      <c r="F11251" t="s">
        <v>3369</v>
      </c>
      <c r="G11251" t="s">
        <v>9583</v>
      </c>
      <c r="H11251" t="s">
        <v>17164</v>
      </c>
      <c r="J11251" t="s">
        <v>18957</v>
      </c>
      <c r="K11251">
        <v>8840</v>
      </c>
      <c r="L11251" t="s">
        <v>18960</v>
      </c>
      <c r="M11251" t="s">
        <v>18960</v>
      </c>
      <c r="R11251" t="s">
        <v>26591</v>
      </c>
      <c r="U11251" t="s">
        <v>26604</v>
      </c>
      <c r="X11251">
        <v>0</v>
      </c>
      <c r="Y11251" t="s">
        <v>26651</v>
      </c>
      <c r="AB11251" t="s">
        <v>34367</v>
      </c>
      <c r="AD11251" t="s">
        <v>45423</v>
      </c>
      <c r="AE11251">
        <v>24</v>
      </c>
      <c r="AH11251">
        <v>0</v>
      </c>
      <c r="AI11251">
        <v>1</v>
      </c>
      <c r="AJ11251">
        <v>0</v>
      </c>
      <c r="AK11251">
        <v>0</v>
      </c>
      <c r="AN11251" t="s">
        <v>7439</v>
      </c>
      <c r="AO11251">
        <v>0</v>
      </c>
      <c r="AU11251">
        <v>1.5</v>
      </c>
      <c r="AV11251" t="s">
        <v>821</v>
      </c>
      <c r="AW11251" t="s">
        <v>46850</v>
      </c>
    </row>
    <row r="11252" spans="1:50">
      <c r="A11252" s="1">
        <f>HYPERLINK("https://lsnyc.legalserver.org/matter/dynamic-profile/view/1902849","19-1902849")</f>
        <v>0</v>
      </c>
      <c r="B11252" t="s">
        <v>238</v>
      </c>
      <c r="C11252" t="s">
        <v>340</v>
      </c>
      <c r="D11252" t="s">
        <v>834</v>
      </c>
      <c r="F11252" t="s">
        <v>2255</v>
      </c>
      <c r="G11252" t="s">
        <v>9584</v>
      </c>
      <c r="H11252" t="s">
        <v>17165</v>
      </c>
      <c r="I11252" t="s">
        <v>17290</v>
      </c>
      <c r="J11252" t="s">
        <v>18894</v>
      </c>
      <c r="K11252">
        <v>11208</v>
      </c>
      <c r="L11252" t="s">
        <v>18958</v>
      </c>
      <c r="M11252" t="s">
        <v>18960</v>
      </c>
      <c r="N11252" t="s">
        <v>26427</v>
      </c>
      <c r="O11252" t="s">
        <v>26523</v>
      </c>
      <c r="P11252" t="s">
        <v>26564</v>
      </c>
      <c r="R11252" t="s">
        <v>26586</v>
      </c>
      <c r="U11252" t="s">
        <v>26605</v>
      </c>
      <c r="X11252">
        <v>418</v>
      </c>
      <c r="Y11252" t="s">
        <v>26652</v>
      </c>
      <c r="Z11252" t="s">
        <v>26659</v>
      </c>
      <c r="AB11252" t="s">
        <v>27065</v>
      </c>
      <c r="AD11252" t="s">
        <v>45424</v>
      </c>
      <c r="AE11252">
        <v>0</v>
      </c>
      <c r="AF11252" t="s">
        <v>45549</v>
      </c>
      <c r="AG11252" t="s">
        <v>19330</v>
      </c>
      <c r="AH11252">
        <v>44</v>
      </c>
      <c r="AI11252">
        <v>1</v>
      </c>
      <c r="AJ11252">
        <v>0</v>
      </c>
      <c r="AK11252">
        <v>76.67</v>
      </c>
      <c r="AN11252" t="s">
        <v>7439</v>
      </c>
      <c r="AO11252">
        <v>9576</v>
      </c>
      <c r="AU11252">
        <v>1.5</v>
      </c>
      <c r="AV11252" t="s">
        <v>833</v>
      </c>
      <c r="AW11252" t="s">
        <v>46858</v>
      </c>
      <c r="AX11252" t="s">
        <v>46897</v>
      </c>
    </row>
    <row r="11253" spans="1:50">
      <c r="A11253" s="1">
        <f>HYPERLINK("https://lsnyc.legalserver.org/matter/dynamic-profile/view/1902945","19-1902945")</f>
        <v>0</v>
      </c>
      <c r="B11253" t="s">
        <v>263</v>
      </c>
      <c r="C11253" t="s">
        <v>340</v>
      </c>
      <c r="D11253" t="s">
        <v>834</v>
      </c>
      <c r="F11253" t="s">
        <v>5028</v>
      </c>
      <c r="G11253" t="s">
        <v>5785</v>
      </c>
      <c r="H11253" t="s">
        <v>17166</v>
      </c>
      <c r="I11253">
        <v>67</v>
      </c>
      <c r="J11253" t="s">
        <v>18892</v>
      </c>
      <c r="K11253">
        <v>10452</v>
      </c>
      <c r="L11253" t="s">
        <v>18958</v>
      </c>
      <c r="M11253" t="s">
        <v>18960</v>
      </c>
      <c r="P11253" t="s">
        <v>26565</v>
      </c>
      <c r="R11253" t="s">
        <v>26578</v>
      </c>
      <c r="S11253" t="s">
        <v>18959</v>
      </c>
      <c r="U11253" t="s">
        <v>26604</v>
      </c>
      <c r="V11253" t="s">
        <v>26610</v>
      </c>
      <c r="X11253">
        <v>834.85</v>
      </c>
      <c r="Y11253" t="s">
        <v>26650</v>
      </c>
      <c r="Z11253" t="s">
        <v>26663</v>
      </c>
      <c r="AB11253" t="s">
        <v>31008</v>
      </c>
      <c r="AE11253">
        <v>0</v>
      </c>
      <c r="AF11253" t="s">
        <v>45541</v>
      </c>
      <c r="AG11253" t="s">
        <v>19330</v>
      </c>
      <c r="AH11253">
        <v>40</v>
      </c>
      <c r="AI11253">
        <v>1</v>
      </c>
      <c r="AJ11253">
        <v>0</v>
      </c>
      <c r="AK11253">
        <v>53.72</v>
      </c>
      <c r="AN11253" t="s">
        <v>45581</v>
      </c>
      <c r="AO11253">
        <v>6709.2</v>
      </c>
      <c r="AU11253">
        <v>1.25</v>
      </c>
      <c r="AV11253" t="s">
        <v>834</v>
      </c>
      <c r="AW11253" t="s">
        <v>263</v>
      </c>
      <c r="AX11253" t="s">
        <v>46897</v>
      </c>
    </row>
    <row r="11254" spans="1:50">
      <c r="A11254" s="1">
        <f>HYPERLINK("https://lsnyc.legalserver.org/matter/dynamic-profile/view/1902942","19-1902942")</f>
        <v>0</v>
      </c>
      <c r="B11254" t="s">
        <v>263</v>
      </c>
      <c r="C11254" t="s">
        <v>340</v>
      </c>
      <c r="D11254" t="s">
        <v>834</v>
      </c>
      <c r="F11254" t="s">
        <v>979</v>
      </c>
      <c r="G11254" t="s">
        <v>5691</v>
      </c>
      <c r="H11254" t="s">
        <v>17167</v>
      </c>
      <c r="I11254" t="s">
        <v>17277</v>
      </c>
      <c r="J11254" t="s">
        <v>18892</v>
      </c>
      <c r="K11254">
        <v>10467</v>
      </c>
      <c r="L11254" t="s">
        <v>18958</v>
      </c>
      <c r="M11254" t="s">
        <v>18960</v>
      </c>
      <c r="O11254" t="s">
        <v>18997</v>
      </c>
      <c r="P11254" t="s">
        <v>26565</v>
      </c>
      <c r="R11254" t="s">
        <v>26578</v>
      </c>
      <c r="S11254" t="s">
        <v>18959</v>
      </c>
      <c r="U11254" t="s">
        <v>26604</v>
      </c>
      <c r="X11254">
        <v>1588.82</v>
      </c>
      <c r="Y11254" t="s">
        <v>26650</v>
      </c>
      <c r="Z11254" t="s">
        <v>26663</v>
      </c>
      <c r="AB11254" t="s">
        <v>34368</v>
      </c>
      <c r="AE11254">
        <v>0</v>
      </c>
      <c r="AF11254" t="s">
        <v>45541</v>
      </c>
      <c r="AG11254" t="s">
        <v>19330</v>
      </c>
      <c r="AH11254">
        <v>2</v>
      </c>
      <c r="AI11254">
        <v>3</v>
      </c>
      <c r="AJ11254">
        <v>1</v>
      </c>
      <c r="AK11254">
        <v>271.84</v>
      </c>
      <c r="AN11254" t="s">
        <v>7439</v>
      </c>
      <c r="AO11254">
        <v>70000</v>
      </c>
      <c r="AU11254">
        <v>1.5</v>
      </c>
      <c r="AV11254" t="s">
        <v>834</v>
      </c>
      <c r="AW11254" t="s">
        <v>263</v>
      </c>
      <c r="AX11254" t="s">
        <v>46897</v>
      </c>
    </row>
    <row r="11255" spans="1:50">
      <c r="A11255" s="1">
        <f>HYPERLINK("https://lsnyc.legalserver.org/matter/dynamic-profile/view/1902860","19-1902860")</f>
        <v>0</v>
      </c>
      <c r="B11255" t="s">
        <v>233</v>
      </c>
      <c r="C11255" t="s">
        <v>340</v>
      </c>
      <c r="D11255" t="s">
        <v>834</v>
      </c>
      <c r="F11255" t="s">
        <v>1119</v>
      </c>
      <c r="G11255" t="s">
        <v>5949</v>
      </c>
      <c r="H11255" t="s">
        <v>15561</v>
      </c>
      <c r="I11255" t="s">
        <v>17361</v>
      </c>
      <c r="J11255" t="s">
        <v>18892</v>
      </c>
      <c r="K11255">
        <v>10467</v>
      </c>
      <c r="L11255" t="s">
        <v>18958</v>
      </c>
      <c r="M11255" t="s">
        <v>18960</v>
      </c>
      <c r="N11255" t="s">
        <v>26428</v>
      </c>
      <c r="O11255" t="s">
        <v>26523</v>
      </c>
      <c r="R11255" t="s">
        <v>26579</v>
      </c>
      <c r="S11255" t="s">
        <v>18959</v>
      </c>
      <c r="U11255" t="s">
        <v>26604</v>
      </c>
      <c r="X11255">
        <v>1500</v>
      </c>
      <c r="Y11255" t="s">
        <v>26650</v>
      </c>
      <c r="AB11255" t="s">
        <v>34369</v>
      </c>
      <c r="AD11255" t="s">
        <v>45425</v>
      </c>
      <c r="AE11255">
        <v>0</v>
      </c>
      <c r="AF11255" t="s">
        <v>45541</v>
      </c>
      <c r="AH11255">
        <v>0</v>
      </c>
      <c r="AI11255">
        <v>2</v>
      </c>
      <c r="AJ11255">
        <v>0</v>
      </c>
      <c r="AK11255">
        <v>123</v>
      </c>
      <c r="AN11255" t="s">
        <v>7439</v>
      </c>
      <c r="AO11255">
        <v>20800</v>
      </c>
      <c r="AU11255">
        <v>0</v>
      </c>
      <c r="AW11255" t="s">
        <v>335</v>
      </c>
      <c r="AX11255" t="s">
        <v>46897</v>
      </c>
    </row>
    <row r="11256" spans="1:50">
      <c r="A11256" s="1">
        <f>HYPERLINK("https://lsnyc.legalserver.org/matter/dynamic-profile/view/1902895","19-1902895")</f>
        <v>0</v>
      </c>
      <c r="B11256" t="s">
        <v>297</v>
      </c>
      <c r="C11256" t="s">
        <v>340</v>
      </c>
      <c r="D11256" t="s">
        <v>834</v>
      </c>
      <c r="F11256" t="s">
        <v>5029</v>
      </c>
      <c r="G11256" t="s">
        <v>4588</v>
      </c>
      <c r="H11256" t="s">
        <v>17168</v>
      </c>
      <c r="I11256">
        <v>2</v>
      </c>
      <c r="J11256" t="s">
        <v>18892</v>
      </c>
      <c r="K11256">
        <v>10464</v>
      </c>
      <c r="L11256" t="s">
        <v>18958</v>
      </c>
      <c r="M11256" t="s">
        <v>18960</v>
      </c>
      <c r="N11256" t="s">
        <v>26429</v>
      </c>
      <c r="O11256" t="s">
        <v>26523</v>
      </c>
      <c r="P11256" t="s">
        <v>26563</v>
      </c>
      <c r="R11256" t="s">
        <v>26577</v>
      </c>
      <c r="S11256" t="s">
        <v>18959</v>
      </c>
      <c r="U11256" t="s">
        <v>26604</v>
      </c>
      <c r="V11256" t="s">
        <v>26612</v>
      </c>
      <c r="X11256">
        <v>1980</v>
      </c>
      <c r="Y11256" t="s">
        <v>26650</v>
      </c>
      <c r="Z11256" t="s">
        <v>26668</v>
      </c>
      <c r="AB11256" t="s">
        <v>34370</v>
      </c>
      <c r="AC11256" t="s">
        <v>36803</v>
      </c>
      <c r="AD11256" t="s">
        <v>45426</v>
      </c>
      <c r="AE11256">
        <v>2</v>
      </c>
      <c r="AF11256" t="s">
        <v>45547</v>
      </c>
      <c r="AG11256" t="s">
        <v>45557</v>
      </c>
      <c r="AH11256">
        <v>1</v>
      </c>
      <c r="AI11256">
        <v>1</v>
      </c>
      <c r="AJ11256">
        <v>5</v>
      </c>
      <c r="AK11256">
        <v>45.76</v>
      </c>
      <c r="AN11256" t="s">
        <v>7439</v>
      </c>
      <c r="AO11256">
        <v>15830</v>
      </c>
      <c r="AU11256">
        <v>6.58</v>
      </c>
      <c r="AV11256" t="s">
        <v>838</v>
      </c>
      <c r="AW11256" t="s">
        <v>284</v>
      </c>
      <c r="AX11256" t="s">
        <v>46898</v>
      </c>
    </row>
    <row r="11257" spans="1:50">
      <c r="A11257" s="1">
        <f>HYPERLINK("https://lsnyc.legalserver.org/matter/dynamic-profile/view/1902898","19-1902898")</f>
        <v>0</v>
      </c>
      <c r="B11257" t="s">
        <v>91</v>
      </c>
      <c r="C11257" t="s">
        <v>340</v>
      </c>
      <c r="D11257" t="s">
        <v>834</v>
      </c>
      <c r="F11257" t="s">
        <v>1048</v>
      </c>
      <c r="G11257" t="s">
        <v>9585</v>
      </c>
      <c r="H11257" t="s">
        <v>9794</v>
      </c>
      <c r="I11257" t="s">
        <v>18873</v>
      </c>
      <c r="J11257" t="s">
        <v>7026</v>
      </c>
      <c r="K11257">
        <v>11368</v>
      </c>
      <c r="L11257" t="s">
        <v>18958</v>
      </c>
      <c r="M11257" t="s">
        <v>18960</v>
      </c>
      <c r="N11257" t="s">
        <v>26027</v>
      </c>
      <c r="O11257" t="s">
        <v>26534</v>
      </c>
      <c r="P11257" t="s">
        <v>26561</v>
      </c>
      <c r="R11257" t="s">
        <v>26578</v>
      </c>
      <c r="S11257" t="s">
        <v>18958</v>
      </c>
      <c r="U11257" t="s">
        <v>26604</v>
      </c>
      <c r="V11257" t="s">
        <v>26610</v>
      </c>
      <c r="X11257">
        <v>1240</v>
      </c>
      <c r="Y11257" t="s">
        <v>26653</v>
      </c>
      <c r="Z11257" t="s">
        <v>26659</v>
      </c>
      <c r="AB11257" t="s">
        <v>33848</v>
      </c>
      <c r="AD11257" t="s">
        <v>45427</v>
      </c>
      <c r="AE11257">
        <v>230</v>
      </c>
      <c r="AF11257" t="s">
        <v>45541</v>
      </c>
      <c r="AH11257">
        <v>24</v>
      </c>
      <c r="AI11257">
        <v>2</v>
      </c>
      <c r="AJ11257">
        <v>1</v>
      </c>
      <c r="AK11257">
        <v>75.39</v>
      </c>
      <c r="AO11257">
        <v>16080</v>
      </c>
      <c r="AU11257">
        <v>1</v>
      </c>
      <c r="AV11257" t="s">
        <v>834</v>
      </c>
      <c r="AW11257" t="s">
        <v>91</v>
      </c>
    </row>
    <row r="11258" spans="1:50">
      <c r="A11258" s="1">
        <f>HYPERLINK("https://lsnyc.legalserver.org/matter/dynamic-profile/view/1902859","19-1902859")</f>
        <v>0</v>
      </c>
      <c r="B11258" t="s">
        <v>63</v>
      </c>
      <c r="C11258" t="s">
        <v>340</v>
      </c>
      <c r="D11258" t="s">
        <v>834</v>
      </c>
      <c r="F11258" t="s">
        <v>5030</v>
      </c>
      <c r="G11258" t="s">
        <v>9586</v>
      </c>
      <c r="H11258" t="s">
        <v>17169</v>
      </c>
      <c r="I11258">
        <v>2</v>
      </c>
      <c r="J11258" t="s">
        <v>18892</v>
      </c>
      <c r="K11258">
        <v>10458</v>
      </c>
      <c r="L11258" t="s">
        <v>18960</v>
      </c>
      <c r="M11258" t="s">
        <v>18960</v>
      </c>
      <c r="O11258" t="s">
        <v>26524</v>
      </c>
      <c r="P11258" t="s">
        <v>26564</v>
      </c>
      <c r="R11258" t="s">
        <v>26578</v>
      </c>
      <c r="U11258" t="s">
        <v>26604</v>
      </c>
      <c r="V11258" t="s">
        <v>26610</v>
      </c>
      <c r="X11258">
        <v>1900</v>
      </c>
      <c r="Y11258" t="s">
        <v>26650</v>
      </c>
      <c r="AB11258" t="s">
        <v>34371</v>
      </c>
      <c r="AE11258">
        <v>0</v>
      </c>
      <c r="AH11258">
        <v>3</v>
      </c>
      <c r="AI11258">
        <v>3</v>
      </c>
      <c r="AJ11258">
        <v>2</v>
      </c>
      <c r="AK11258">
        <v>95.45999999999999</v>
      </c>
      <c r="AN11258" t="s">
        <v>45581</v>
      </c>
      <c r="AO11258">
        <v>28800</v>
      </c>
      <c r="AU11258">
        <v>0</v>
      </c>
      <c r="AW11258" t="s">
        <v>63</v>
      </c>
    </row>
    <row r="11259" spans="1:50">
      <c r="A11259" s="1">
        <f>HYPERLINK("https://lsnyc.legalserver.org/matter/dynamic-profile/view/1902841","19-1902841")</f>
        <v>0</v>
      </c>
      <c r="B11259" t="s">
        <v>63</v>
      </c>
      <c r="C11259" t="s">
        <v>340</v>
      </c>
      <c r="D11259" t="s">
        <v>834</v>
      </c>
      <c r="F11259" t="s">
        <v>3939</v>
      </c>
      <c r="G11259" t="s">
        <v>3310</v>
      </c>
      <c r="H11259" t="s">
        <v>17170</v>
      </c>
      <c r="I11259" t="s">
        <v>17272</v>
      </c>
      <c r="J11259" t="s">
        <v>18892</v>
      </c>
      <c r="K11259">
        <v>10452</v>
      </c>
      <c r="L11259" t="s">
        <v>18958</v>
      </c>
      <c r="M11259" t="s">
        <v>18960</v>
      </c>
      <c r="N11259" t="s">
        <v>26430</v>
      </c>
      <c r="O11259" t="s">
        <v>26523</v>
      </c>
      <c r="R11259" t="s">
        <v>26578</v>
      </c>
      <c r="S11259" t="s">
        <v>18959</v>
      </c>
      <c r="U11259" t="s">
        <v>26604</v>
      </c>
      <c r="X11259">
        <v>950</v>
      </c>
      <c r="Y11259" t="s">
        <v>26650</v>
      </c>
      <c r="Z11259" t="s">
        <v>26663</v>
      </c>
      <c r="AB11259" t="s">
        <v>34372</v>
      </c>
      <c r="AD11259" t="s">
        <v>45428</v>
      </c>
      <c r="AE11259">
        <v>9</v>
      </c>
      <c r="AF11259" t="s">
        <v>45541</v>
      </c>
      <c r="AG11259" t="s">
        <v>19330</v>
      </c>
      <c r="AH11259">
        <v>4</v>
      </c>
      <c r="AI11259">
        <v>1</v>
      </c>
      <c r="AJ11259">
        <v>2</v>
      </c>
      <c r="AK11259">
        <v>97.27</v>
      </c>
      <c r="AN11259" t="s">
        <v>7439</v>
      </c>
      <c r="AO11259">
        <v>20748</v>
      </c>
      <c r="AU11259">
        <v>0</v>
      </c>
      <c r="AW11259" t="s">
        <v>46847</v>
      </c>
      <c r="AX11259" t="s">
        <v>46897</v>
      </c>
    </row>
    <row r="11260" spans="1:50">
      <c r="A11260" s="1">
        <f>HYPERLINK("https://lsnyc.legalserver.org/matter/dynamic-profile/view/1902925","19-1902925")</f>
        <v>0</v>
      </c>
      <c r="B11260" t="s">
        <v>275</v>
      </c>
      <c r="C11260" t="s">
        <v>340</v>
      </c>
      <c r="D11260" t="s">
        <v>834</v>
      </c>
      <c r="F11260" t="s">
        <v>2366</v>
      </c>
      <c r="G11260" t="s">
        <v>1995</v>
      </c>
      <c r="H11260" t="s">
        <v>17171</v>
      </c>
      <c r="I11260" t="s">
        <v>18874</v>
      </c>
      <c r="J11260" t="s">
        <v>18892</v>
      </c>
      <c r="K11260">
        <v>10456</v>
      </c>
      <c r="L11260" t="s">
        <v>18959</v>
      </c>
      <c r="M11260" t="s">
        <v>18960</v>
      </c>
      <c r="N11260" t="s">
        <v>26431</v>
      </c>
      <c r="O11260" t="s">
        <v>26523</v>
      </c>
      <c r="P11260" t="s">
        <v>26564</v>
      </c>
      <c r="R11260" t="s">
        <v>26577</v>
      </c>
      <c r="S11260" t="s">
        <v>18959</v>
      </c>
      <c r="U11260" t="s">
        <v>26604</v>
      </c>
      <c r="V11260" t="s">
        <v>26612</v>
      </c>
      <c r="X11260">
        <v>799</v>
      </c>
      <c r="Y11260" t="s">
        <v>26650</v>
      </c>
      <c r="AB11260" t="s">
        <v>34373</v>
      </c>
      <c r="AD11260" t="s">
        <v>45429</v>
      </c>
      <c r="AE11260">
        <v>69</v>
      </c>
      <c r="AH11260">
        <v>3</v>
      </c>
      <c r="AI11260">
        <v>1</v>
      </c>
      <c r="AJ11260">
        <v>0</v>
      </c>
      <c r="AK11260">
        <v>123.03</v>
      </c>
      <c r="AN11260" t="s">
        <v>7439</v>
      </c>
      <c r="AO11260">
        <v>15366</v>
      </c>
      <c r="AU11260">
        <v>1</v>
      </c>
      <c r="AV11260" t="s">
        <v>834</v>
      </c>
      <c r="AW11260" t="s">
        <v>335</v>
      </c>
      <c r="AX11260" t="s">
        <v>19330</v>
      </c>
    </row>
    <row r="11261" spans="1:50">
      <c r="A11261" s="1">
        <f>HYPERLINK("https://lsnyc.legalserver.org/matter/dynamic-profile/view/1902831","19-1902831")</f>
        <v>0</v>
      </c>
      <c r="B11261" t="s">
        <v>275</v>
      </c>
      <c r="C11261" t="s">
        <v>340</v>
      </c>
      <c r="D11261" t="s">
        <v>834</v>
      </c>
      <c r="F11261" t="s">
        <v>5031</v>
      </c>
      <c r="G11261" t="s">
        <v>1993</v>
      </c>
      <c r="H11261" t="s">
        <v>11602</v>
      </c>
      <c r="I11261" t="s">
        <v>18696</v>
      </c>
      <c r="J11261" t="s">
        <v>18892</v>
      </c>
      <c r="K11261">
        <v>10467</v>
      </c>
      <c r="L11261" t="s">
        <v>18958</v>
      </c>
      <c r="M11261" t="s">
        <v>18960</v>
      </c>
      <c r="N11261" t="s">
        <v>26432</v>
      </c>
      <c r="O11261" t="s">
        <v>26523</v>
      </c>
      <c r="R11261" t="s">
        <v>26579</v>
      </c>
      <c r="S11261" t="s">
        <v>18959</v>
      </c>
      <c r="U11261" t="s">
        <v>26604</v>
      </c>
      <c r="X11261">
        <v>1285.2</v>
      </c>
      <c r="Y11261" t="s">
        <v>26650</v>
      </c>
      <c r="Z11261" t="s">
        <v>26668</v>
      </c>
      <c r="AB11261" t="s">
        <v>34374</v>
      </c>
      <c r="AD11261" t="s">
        <v>45430</v>
      </c>
      <c r="AE11261">
        <v>48</v>
      </c>
      <c r="AF11261" t="s">
        <v>20460</v>
      </c>
      <c r="AG11261" t="s">
        <v>19330</v>
      </c>
      <c r="AH11261">
        <v>3</v>
      </c>
      <c r="AI11261">
        <v>2</v>
      </c>
      <c r="AJ11261">
        <v>0</v>
      </c>
      <c r="AK11261">
        <v>178.05</v>
      </c>
      <c r="AN11261" t="s">
        <v>45581</v>
      </c>
      <c r="AO11261">
        <v>30108</v>
      </c>
      <c r="AU11261">
        <v>1.5</v>
      </c>
      <c r="AV11261" t="s">
        <v>834</v>
      </c>
      <c r="AW11261" t="s">
        <v>46847</v>
      </c>
      <c r="AX11261" t="s">
        <v>46897</v>
      </c>
    </row>
    <row r="11262" spans="1:50">
      <c r="A11262" s="1">
        <f>HYPERLINK("https://lsnyc.legalserver.org/matter/dynamic-profile/view/1902992","19-1902992")</f>
        <v>0</v>
      </c>
      <c r="B11262" t="s">
        <v>106</v>
      </c>
      <c r="C11262" t="s">
        <v>341</v>
      </c>
      <c r="D11262" t="s">
        <v>833</v>
      </c>
      <c r="E11262" t="s">
        <v>839</v>
      </c>
      <c r="F11262" t="s">
        <v>5032</v>
      </c>
      <c r="G11262" t="s">
        <v>6719</v>
      </c>
      <c r="H11262" t="s">
        <v>10238</v>
      </c>
      <c r="I11262" t="s">
        <v>17885</v>
      </c>
      <c r="J11262" t="s">
        <v>18894</v>
      </c>
      <c r="K11262">
        <v>11225</v>
      </c>
      <c r="L11262" t="s">
        <v>18958</v>
      </c>
      <c r="M11262" t="s">
        <v>18960</v>
      </c>
      <c r="N11262" t="s">
        <v>26433</v>
      </c>
      <c r="O11262" t="s">
        <v>26523</v>
      </c>
      <c r="P11262" t="s">
        <v>26560</v>
      </c>
      <c r="Q11262" t="s">
        <v>26573</v>
      </c>
      <c r="R11262" t="s">
        <v>26588</v>
      </c>
      <c r="S11262" t="s">
        <v>18959</v>
      </c>
      <c r="U11262" t="s">
        <v>26604</v>
      </c>
      <c r="X11262">
        <v>951</v>
      </c>
      <c r="Y11262" t="s">
        <v>26652</v>
      </c>
      <c r="Z11262" t="s">
        <v>26669</v>
      </c>
      <c r="AA11262" t="s">
        <v>26678</v>
      </c>
      <c r="AB11262" t="s">
        <v>33251</v>
      </c>
      <c r="AD11262" t="s">
        <v>45431</v>
      </c>
      <c r="AE11262">
        <v>0</v>
      </c>
      <c r="AG11262" t="s">
        <v>45559</v>
      </c>
      <c r="AH11262">
        <v>20</v>
      </c>
      <c r="AI11262">
        <v>2</v>
      </c>
      <c r="AJ11262">
        <v>0</v>
      </c>
      <c r="AK11262">
        <v>133.48</v>
      </c>
      <c r="AN11262" t="s">
        <v>7439</v>
      </c>
      <c r="AO11262">
        <v>22572</v>
      </c>
      <c r="AS11262" t="s">
        <v>46499</v>
      </c>
      <c r="AU11262">
        <v>0.5</v>
      </c>
      <c r="AV11262" t="s">
        <v>839</v>
      </c>
      <c r="AW11262" t="s">
        <v>281</v>
      </c>
      <c r="AX11262" t="s">
        <v>46897</v>
      </c>
    </row>
    <row r="11263" spans="1:50">
      <c r="A11263" s="1">
        <f>HYPERLINK("https://lsnyc.legalserver.org/matter/dynamic-profile/view/1902988","19-1902988")</f>
        <v>0</v>
      </c>
      <c r="B11263" t="s">
        <v>136</v>
      </c>
      <c r="C11263" t="s">
        <v>340</v>
      </c>
      <c r="D11263" t="s">
        <v>833</v>
      </c>
      <c r="F11263" t="s">
        <v>1540</v>
      </c>
      <c r="G11263" t="s">
        <v>5147</v>
      </c>
      <c r="H11263" t="s">
        <v>16943</v>
      </c>
      <c r="I11263" t="s">
        <v>17352</v>
      </c>
      <c r="J11263" t="s">
        <v>18892</v>
      </c>
      <c r="K11263">
        <v>10460</v>
      </c>
      <c r="L11263" t="s">
        <v>18958</v>
      </c>
      <c r="M11263" t="s">
        <v>18960</v>
      </c>
      <c r="N11263" t="s">
        <v>26434</v>
      </c>
      <c r="O11263" t="s">
        <v>26523</v>
      </c>
      <c r="P11263" t="s">
        <v>26564</v>
      </c>
      <c r="R11263" t="s">
        <v>26577</v>
      </c>
      <c r="S11263" t="s">
        <v>18959</v>
      </c>
      <c r="U11263" t="s">
        <v>26604</v>
      </c>
      <c r="X11263">
        <v>1060</v>
      </c>
      <c r="Y11263" t="s">
        <v>26650</v>
      </c>
      <c r="AB11263" t="s">
        <v>34375</v>
      </c>
      <c r="AD11263" t="s">
        <v>45432</v>
      </c>
      <c r="AE11263">
        <v>80</v>
      </c>
      <c r="AH11263">
        <v>0</v>
      </c>
      <c r="AI11263">
        <v>2</v>
      </c>
      <c r="AJ11263">
        <v>2</v>
      </c>
      <c r="AK11263">
        <v>155.34</v>
      </c>
      <c r="AN11263" t="s">
        <v>7439</v>
      </c>
      <c r="AO11263">
        <v>40000</v>
      </c>
      <c r="AP11263" t="s">
        <v>46355</v>
      </c>
      <c r="AU11263">
        <v>0</v>
      </c>
      <c r="AW11263" t="s">
        <v>335</v>
      </c>
      <c r="AX11263" t="s">
        <v>46897</v>
      </c>
    </row>
    <row r="11264" spans="1:50">
      <c r="A11264" s="1">
        <f>HYPERLINK("https://lsnyc.legalserver.org/matter/dynamic-profile/view/1903041","19-1903041")</f>
        <v>0</v>
      </c>
      <c r="B11264" t="s">
        <v>133</v>
      </c>
      <c r="C11264" t="s">
        <v>340</v>
      </c>
      <c r="D11264" t="s">
        <v>833</v>
      </c>
      <c r="F11264" t="s">
        <v>5033</v>
      </c>
      <c r="G11264" t="s">
        <v>5147</v>
      </c>
      <c r="H11264" t="s">
        <v>13683</v>
      </c>
      <c r="I11264" t="s">
        <v>17347</v>
      </c>
      <c r="J11264" t="s">
        <v>18892</v>
      </c>
      <c r="K11264">
        <v>10457</v>
      </c>
      <c r="L11264" t="s">
        <v>18958</v>
      </c>
      <c r="M11264" t="s">
        <v>18960</v>
      </c>
      <c r="N11264" t="s">
        <v>26435</v>
      </c>
      <c r="O11264" t="s">
        <v>26523</v>
      </c>
      <c r="R11264" t="s">
        <v>26579</v>
      </c>
      <c r="S11264" t="s">
        <v>18959</v>
      </c>
      <c r="U11264" t="s">
        <v>26604</v>
      </c>
      <c r="X11264">
        <v>1131</v>
      </c>
      <c r="Y11264" t="s">
        <v>26650</v>
      </c>
      <c r="AB11264" t="s">
        <v>34376</v>
      </c>
      <c r="AD11264" t="s">
        <v>45433</v>
      </c>
      <c r="AE11264">
        <v>0</v>
      </c>
      <c r="AH11264">
        <v>7</v>
      </c>
      <c r="AI11264">
        <v>1</v>
      </c>
      <c r="AJ11264">
        <v>3</v>
      </c>
      <c r="AK11264">
        <v>31.27</v>
      </c>
      <c r="AN11264" t="s">
        <v>45581</v>
      </c>
      <c r="AO11264">
        <v>8052</v>
      </c>
      <c r="AU11264">
        <v>0</v>
      </c>
      <c r="AW11264" t="s">
        <v>335</v>
      </c>
      <c r="AX11264" t="s">
        <v>46897</v>
      </c>
    </row>
    <row r="11265" spans="1:50">
      <c r="A11265" s="1">
        <f>HYPERLINK("https://lsnyc.legalserver.org/matter/dynamic-profile/view/1903031","19-1903031")</f>
        <v>0</v>
      </c>
      <c r="B11265" t="s">
        <v>117</v>
      </c>
      <c r="C11265" t="s">
        <v>340</v>
      </c>
      <c r="D11265" t="s">
        <v>833</v>
      </c>
      <c r="F11265" t="s">
        <v>1673</v>
      </c>
      <c r="G11265" t="s">
        <v>9363</v>
      </c>
      <c r="H11265" t="s">
        <v>14536</v>
      </c>
      <c r="I11265">
        <v>318</v>
      </c>
      <c r="J11265" t="s">
        <v>18894</v>
      </c>
      <c r="K11265">
        <v>11208</v>
      </c>
      <c r="L11265" t="s">
        <v>18959</v>
      </c>
      <c r="M11265" t="s">
        <v>18960</v>
      </c>
      <c r="N11265" t="s">
        <v>26436</v>
      </c>
      <c r="O11265" t="s">
        <v>26523</v>
      </c>
      <c r="R11265" t="s">
        <v>26578</v>
      </c>
      <c r="S11265" t="s">
        <v>18959</v>
      </c>
      <c r="U11265" t="s">
        <v>26604</v>
      </c>
      <c r="X11265">
        <v>1348</v>
      </c>
      <c r="Y11265" t="s">
        <v>26652</v>
      </c>
      <c r="Z11265" t="s">
        <v>26659</v>
      </c>
      <c r="AB11265" t="s">
        <v>34377</v>
      </c>
      <c r="AC11265" t="s">
        <v>36804</v>
      </c>
      <c r="AD11265" t="s">
        <v>45434</v>
      </c>
      <c r="AE11265">
        <v>323</v>
      </c>
      <c r="AF11265" t="s">
        <v>45541</v>
      </c>
      <c r="AG11265" t="s">
        <v>45558</v>
      </c>
      <c r="AH11265">
        <v>0</v>
      </c>
      <c r="AI11265">
        <v>1</v>
      </c>
      <c r="AJ11265">
        <v>0</v>
      </c>
      <c r="AK11265">
        <v>0</v>
      </c>
      <c r="AN11265" t="s">
        <v>7439</v>
      </c>
      <c r="AO11265">
        <v>0</v>
      </c>
      <c r="AU11265">
        <v>1.2</v>
      </c>
      <c r="AV11265" t="s">
        <v>835</v>
      </c>
      <c r="AW11265" t="s">
        <v>286</v>
      </c>
    </row>
    <row r="11266" spans="1:50">
      <c r="A11266" s="1">
        <f>HYPERLINK("https://lsnyc.legalserver.org/matter/dynamic-profile/view/1902984","19-1902984")</f>
        <v>0</v>
      </c>
      <c r="B11266" t="s">
        <v>55</v>
      </c>
      <c r="C11266" t="s">
        <v>340</v>
      </c>
      <c r="D11266" t="s">
        <v>833</v>
      </c>
      <c r="F11266" t="s">
        <v>916</v>
      </c>
      <c r="G11266" t="s">
        <v>5673</v>
      </c>
      <c r="H11266" t="s">
        <v>12199</v>
      </c>
      <c r="I11266" t="s">
        <v>18400</v>
      </c>
      <c r="J11266" t="s">
        <v>18892</v>
      </c>
      <c r="K11266">
        <v>10460</v>
      </c>
      <c r="L11266" t="s">
        <v>18960</v>
      </c>
      <c r="M11266" t="s">
        <v>18960</v>
      </c>
      <c r="O11266" t="s">
        <v>26523</v>
      </c>
      <c r="P11266" t="s">
        <v>26560</v>
      </c>
      <c r="R11266" t="s">
        <v>26578</v>
      </c>
      <c r="S11266" t="s">
        <v>18959</v>
      </c>
      <c r="U11266" t="s">
        <v>26604</v>
      </c>
      <c r="X11266">
        <v>343</v>
      </c>
      <c r="Y11266" t="s">
        <v>26650</v>
      </c>
      <c r="Z11266" t="s">
        <v>26659</v>
      </c>
      <c r="AB11266" t="s">
        <v>31930</v>
      </c>
      <c r="AE11266">
        <v>0</v>
      </c>
      <c r="AG11266" t="s">
        <v>45556</v>
      </c>
      <c r="AH11266">
        <v>1</v>
      </c>
      <c r="AI11266">
        <v>1</v>
      </c>
      <c r="AJ11266">
        <v>0</v>
      </c>
      <c r="AK11266">
        <v>112.89</v>
      </c>
      <c r="AN11266" t="s">
        <v>45581</v>
      </c>
      <c r="AO11266">
        <v>14100</v>
      </c>
      <c r="AU11266">
        <v>1</v>
      </c>
      <c r="AV11266" t="s">
        <v>833</v>
      </c>
      <c r="AW11266" t="s">
        <v>336</v>
      </c>
    </row>
    <row r="11267" spans="1:50">
      <c r="A11267" s="1">
        <f>HYPERLINK("https://lsnyc.legalserver.org/matter/dynamic-profile/view/1902956","19-1902956")</f>
        <v>0</v>
      </c>
      <c r="B11267" t="s">
        <v>179</v>
      </c>
      <c r="C11267" t="s">
        <v>340</v>
      </c>
      <c r="D11267" t="s">
        <v>833</v>
      </c>
      <c r="F11267" t="s">
        <v>2809</v>
      </c>
      <c r="G11267" t="s">
        <v>5008</v>
      </c>
      <c r="H11267" t="s">
        <v>17172</v>
      </c>
      <c r="I11267" t="s">
        <v>17331</v>
      </c>
      <c r="J11267" t="s">
        <v>18894</v>
      </c>
      <c r="K11267">
        <v>11221</v>
      </c>
      <c r="L11267" t="s">
        <v>18958</v>
      </c>
      <c r="M11267" t="s">
        <v>18960</v>
      </c>
      <c r="N11267" t="s">
        <v>26437</v>
      </c>
      <c r="O11267" t="s">
        <v>26524</v>
      </c>
      <c r="P11267" t="s">
        <v>26560</v>
      </c>
      <c r="R11267" t="s">
        <v>26588</v>
      </c>
      <c r="S11267" t="s">
        <v>18959</v>
      </c>
      <c r="U11267" t="s">
        <v>26604</v>
      </c>
      <c r="X11267">
        <v>1231</v>
      </c>
      <c r="Y11267" t="s">
        <v>26652</v>
      </c>
      <c r="Z11267" t="s">
        <v>26669</v>
      </c>
      <c r="AB11267" t="s">
        <v>32350</v>
      </c>
      <c r="AE11267">
        <v>4</v>
      </c>
      <c r="AG11267" t="s">
        <v>45557</v>
      </c>
      <c r="AH11267">
        <v>2</v>
      </c>
      <c r="AI11267">
        <v>1</v>
      </c>
      <c r="AJ11267">
        <v>0</v>
      </c>
      <c r="AK11267">
        <v>187.35</v>
      </c>
      <c r="AN11267" t="s">
        <v>7439</v>
      </c>
      <c r="AO11267">
        <v>23400</v>
      </c>
      <c r="AU11267">
        <v>1.1</v>
      </c>
      <c r="AV11267" t="s">
        <v>839</v>
      </c>
      <c r="AW11267" t="s">
        <v>281</v>
      </c>
      <c r="AX11267" t="s">
        <v>46897</v>
      </c>
    </row>
    <row r="11268" spans="1:50">
      <c r="A11268" s="1">
        <f>HYPERLINK("https://lsnyc.legalserver.org/matter/dynamic-profile/view/1903004","19-1903004")</f>
        <v>0</v>
      </c>
      <c r="B11268" t="s">
        <v>109</v>
      </c>
      <c r="C11268" t="s">
        <v>340</v>
      </c>
      <c r="D11268" t="s">
        <v>833</v>
      </c>
      <c r="F11268" t="s">
        <v>2005</v>
      </c>
      <c r="G11268" t="s">
        <v>9587</v>
      </c>
      <c r="H11268" t="s">
        <v>17173</v>
      </c>
      <c r="J11268" t="s">
        <v>18902</v>
      </c>
      <c r="K11268">
        <v>10303</v>
      </c>
      <c r="L11268" t="s">
        <v>18960</v>
      </c>
      <c r="M11268" t="s">
        <v>18960</v>
      </c>
      <c r="R11268" t="s">
        <v>26590</v>
      </c>
      <c r="U11268" t="s">
        <v>26604</v>
      </c>
      <c r="X11268">
        <v>0</v>
      </c>
      <c r="Y11268" t="s">
        <v>26654</v>
      </c>
      <c r="AB11268" t="s">
        <v>32733</v>
      </c>
      <c r="AD11268" t="s">
        <v>45435</v>
      </c>
      <c r="AE11268">
        <v>0</v>
      </c>
      <c r="AH11268">
        <v>0</v>
      </c>
      <c r="AI11268">
        <v>1</v>
      </c>
      <c r="AJ11268">
        <v>0</v>
      </c>
      <c r="AK11268">
        <v>0</v>
      </c>
      <c r="AN11268" t="s">
        <v>7439</v>
      </c>
      <c r="AO11268">
        <v>0</v>
      </c>
      <c r="AU11268">
        <v>1</v>
      </c>
      <c r="AV11268" t="s">
        <v>835</v>
      </c>
      <c r="AW11268" t="s">
        <v>46883</v>
      </c>
    </row>
    <row r="11269" spans="1:50">
      <c r="A11269" s="1">
        <f>HYPERLINK("https://lsnyc.legalserver.org/matter/dynamic-profile/view/1902999","19-1902999")</f>
        <v>0</v>
      </c>
      <c r="B11269" t="s">
        <v>56</v>
      </c>
      <c r="C11269" t="s">
        <v>340</v>
      </c>
      <c r="D11269" t="s">
        <v>833</v>
      </c>
      <c r="F11269" t="s">
        <v>896</v>
      </c>
      <c r="G11269" t="s">
        <v>5760</v>
      </c>
      <c r="H11269" t="s">
        <v>14103</v>
      </c>
      <c r="I11269" t="s">
        <v>17569</v>
      </c>
      <c r="J11269" t="s">
        <v>18892</v>
      </c>
      <c r="K11269">
        <v>10462</v>
      </c>
      <c r="L11269" t="s">
        <v>18958</v>
      </c>
      <c r="M11269" t="s">
        <v>18960</v>
      </c>
      <c r="N11269" t="s">
        <v>26438</v>
      </c>
      <c r="O11269" t="s">
        <v>26523</v>
      </c>
      <c r="R11269" t="s">
        <v>26579</v>
      </c>
      <c r="S11269" t="s">
        <v>18959</v>
      </c>
      <c r="U11269" t="s">
        <v>26604</v>
      </c>
      <c r="X11269">
        <v>959</v>
      </c>
      <c r="Y11269" t="s">
        <v>26650</v>
      </c>
      <c r="AB11269" t="s">
        <v>33545</v>
      </c>
      <c r="AD11269" t="s">
        <v>45436</v>
      </c>
      <c r="AE11269">
        <v>85</v>
      </c>
      <c r="AH11269">
        <v>30</v>
      </c>
      <c r="AI11269">
        <v>2</v>
      </c>
      <c r="AJ11269">
        <v>0</v>
      </c>
      <c r="AK11269">
        <v>74.87</v>
      </c>
      <c r="AN11269" t="s">
        <v>7439</v>
      </c>
      <c r="AO11269">
        <v>12660</v>
      </c>
      <c r="AU11269">
        <v>0</v>
      </c>
      <c r="AW11269" t="s">
        <v>335</v>
      </c>
      <c r="AX11269" t="s">
        <v>46897</v>
      </c>
    </row>
    <row r="11270" spans="1:50">
      <c r="A11270" s="1">
        <f>HYPERLINK("https://lsnyc.legalserver.org/matter/dynamic-profile/view/1902957","19-1902957")</f>
        <v>0</v>
      </c>
      <c r="B11270" t="s">
        <v>162</v>
      </c>
      <c r="C11270" t="s">
        <v>340</v>
      </c>
      <c r="D11270" t="s">
        <v>833</v>
      </c>
      <c r="F11270" t="s">
        <v>5034</v>
      </c>
      <c r="G11270" t="s">
        <v>9569</v>
      </c>
      <c r="H11270" t="s">
        <v>17132</v>
      </c>
      <c r="I11270" t="s">
        <v>17316</v>
      </c>
      <c r="J11270" t="s">
        <v>18894</v>
      </c>
      <c r="K11270">
        <v>11226</v>
      </c>
      <c r="L11270" t="s">
        <v>18958</v>
      </c>
      <c r="M11270" t="s">
        <v>18960</v>
      </c>
      <c r="N11270" t="s">
        <v>26387</v>
      </c>
      <c r="O11270" t="s">
        <v>26523</v>
      </c>
      <c r="P11270" t="s">
        <v>26563</v>
      </c>
      <c r="R11270" t="s">
        <v>26588</v>
      </c>
      <c r="U11270" t="s">
        <v>26604</v>
      </c>
      <c r="X11270">
        <v>1500</v>
      </c>
      <c r="Y11270" t="s">
        <v>26652</v>
      </c>
      <c r="Z11270" t="s">
        <v>26664</v>
      </c>
      <c r="AB11270" t="s">
        <v>34341</v>
      </c>
      <c r="AD11270" t="s">
        <v>45437</v>
      </c>
      <c r="AE11270">
        <v>9</v>
      </c>
      <c r="AG11270" t="s">
        <v>26530</v>
      </c>
      <c r="AH11270">
        <v>20</v>
      </c>
      <c r="AI11270">
        <v>3</v>
      </c>
      <c r="AJ11270">
        <v>2</v>
      </c>
      <c r="AK11270">
        <v>29.15</v>
      </c>
      <c r="AN11270" t="s">
        <v>7439</v>
      </c>
      <c r="AO11270">
        <v>8796</v>
      </c>
      <c r="AU11270">
        <v>2.9</v>
      </c>
      <c r="AV11270" t="s">
        <v>833</v>
      </c>
      <c r="AW11270" t="s">
        <v>46862</v>
      </c>
      <c r="AX11270" t="s">
        <v>46897</v>
      </c>
    </row>
    <row r="11271" spans="1:50">
      <c r="A11271" s="1">
        <f>HYPERLINK("https://lsnyc.legalserver.org/matter/dynamic-profile/view/1903015","19-1903015")</f>
        <v>0</v>
      </c>
      <c r="B11271" t="s">
        <v>162</v>
      </c>
      <c r="C11271" t="s">
        <v>340</v>
      </c>
      <c r="D11271" t="s">
        <v>833</v>
      </c>
      <c r="F11271" t="s">
        <v>1738</v>
      </c>
      <c r="G11271" t="s">
        <v>5208</v>
      </c>
      <c r="H11271" t="s">
        <v>17174</v>
      </c>
      <c r="I11271" t="s">
        <v>17352</v>
      </c>
      <c r="J11271" t="s">
        <v>18894</v>
      </c>
      <c r="K11271">
        <v>11226</v>
      </c>
      <c r="L11271" t="s">
        <v>18959</v>
      </c>
      <c r="M11271" t="s">
        <v>18960</v>
      </c>
      <c r="N11271" t="s">
        <v>26439</v>
      </c>
      <c r="O11271" t="s">
        <v>26523</v>
      </c>
      <c r="P11271" t="s">
        <v>26563</v>
      </c>
      <c r="R11271" t="s">
        <v>26588</v>
      </c>
      <c r="U11271" t="s">
        <v>26604</v>
      </c>
      <c r="X11271">
        <v>1500</v>
      </c>
      <c r="Y11271" t="s">
        <v>26652</v>
      </c>
      <c r="Z11271" t="s">
        <v>26664</v>
      </c>
      <c r="AB11271" t="s">
        <v>34378</v>
      </c>
      <c r="AD11271" t="s">
        <v>45438</v>
      </c>
      <c r="AE11271">
        <v>24</v>
      </c>
      <c r="AG11271" t="s">
        <v>19330</v>
      </c>
      <c r="AH11271">
        <v>-1</v>
      </c>
      <c r="AI11271">
        <v>2</v>
      </c>
      <c r="AJ11271">
        <v>2</v>
      </c>
      <c r="AK11271">
        <v>131.46</v>
      </c>
      <c r="AN11271" t="s">
        <v>7439</v>
      </c>
      <c r="AO11271">
        <v>33852</v>
      </c>
      <c r="AU11271">
        <v>2</v>
      </c>
      <c r="AV11271" t="s">
        <v>833</v>
      </c>
      <c r="AW11271" t="s">
        <v>46862</v>
      </c>
      <c r="AX11271" t="s">
        <v>46897</v>
      </c>
    </row>
    <row r="11272" spans="1:50">
      <c r="A11272" s="1">
        <f>HYPERLINK("https://lsnyc.legalserver.org/matter/dynamic-profile/view/1903048","19-1903048")</f>
        <v>0</v>
      </c>
      <c r="B11272" t="s">
        <v>288</v>
      </c>
      <c r="C11272" t="s">
        <v>340</v>
      </c>
      <c r="D11272" t="s">
        <v>833</v>
      </c>
      <c r="F11272" t="s">
        <v>5035</v>
      </c>
      <c r="G11272" t="s">
        <v>9588</v>
      </c>
      <c r="H11272" t="s">
        <v>17175</v>
      </c>
      <c r="I11272" t="s">
        <v>17853</v>
      </c>
      <c r="J11272" t="s">
        <v>18894</v>
      </c>
      <c r="K11272">
        <v>11226</v>
      </c>
      <c r="L11272" t="s">
        <v>18958</v>
      </c>
      <c r="M11272" t="s">
        <v>18960</v>
      </c>
      <c r="N11272" t="s">
        <v>26440</v>
      </c>
      <c r="O11272" t="s">
        <v>26523</v>
      </c>
      <c r="P11272" t="s">
        <v>26563</v>
      </c>
      <c r="R11272" t="s">
        <v>26588</v>
      </c>
      <c r="U11272" t="s">
        <v>26604</v>
      </c>
      <c r="X11272">
        <v>700</v>
      </c>
      <c r="Y11272" t="s">
        <v>26652</v>
      </c>
      <c r="Z11272" t="s">
        <v>26664</v>
      </c>
      <c r="AB11272" t="s">
        <v>34379</v>
      </c>
      <c r="AD11272" t="s">
        <v>45439</v>
      </c>
      <c r="AE11272">
        <v>71</v>
      </c>
      <c r="AG11272" t="s">
        <v>19330</v>
      </c>
      <c r="AH11272">
        <v>2</v>
      </c>
      <c r="AI11272">
        <v>3</v>
      </c>
      <c r="AJ11272">
        <v>3</v>
      </c>
      <c r="AK11272">
        <v>71.14</v>
      </c>
      <c r="AN11272" t="s">
        <v>45592</v>
      </c>
      <c r="AO11272">
        <v>24607</v>
      </c>
      <c r="AU11272">
        <v>1.05</v>
      </c>
      <c r="AV11272" t="s">
        <v>821</v>
      </c>
      <c r="AW11272" t="s">
        <v>46862</v>
      </c>
      <c r="AX11272" t="s">
        <v>46897</v>
      </c>
    </row>
    <row r="11273" spans="1:50">
      <c r="A11273" s="1">
        <f>HYPERLINK("https://lsnyc.legalserver.org/matter/dynamic-profile/view/1902959","19-1902959")</f>
        <v>0</v>
      </c>
      <c r="B11273" t="s">
        <v>135</v>
      </c>
      <c r="C11273" t="s">
        <v>340</v>
      </c>
      <c r="D11273" t="s">
        <v>833</v>
      </c>
      <c r="F11273" t="s">
        <v>5036</v>
      </c>
      <c r="G11273" t="s">
        <v>2965</v>
      </c>
      <c r="H11273" t="s">
        <v>11568</v>
      </c>
      <c r="I11273" t="s">
        <v>18875</v>
      </c>
      <c r="J11273" t="s">
        <v>18892</v>
      </c>
      <c r="K11273">
        <v>10459</v>
      </c>
      <c r="L11273" t="s">
        <v>18960</v>
      </c>
      <c r="M11273" t="s">
        <v>18960</v>
      </c>
      <c r="O11273" t="s">
        <v>26523</v>
      </c>
      <c r="P11273" t="s">
        <v>26560</v>
      </c>
      <c r="R11273" t="s">
        <v>26578</v>
      </c>
      <c r="S11273" t="s">
        <v>18959</v>
      </c>
      <c r="U11273" t="s">
        <v>26604</v>
      </c>
      <c r="X11273">
        <v>1166</v>
      </c>
      <c r="Y11273" t="s">
        <v>26650</v>
      </c>
      <c r="Z11273" t="s">
        <v>26664</v>
      </c>
      <c r="AB11273" t="s">
        <v>34380</v>
      </c>
      <c r="AD11273" t="s">
        <v>45440</v>
      </c>
      <c r="AE11273">
        <v>56</v>
      </c>
      <c r="AF11273" t="s">
        <v>45541</v>
      </c>
      <c r="AG11273" t="s">
        <v>45557</v>
      </c>
      <c r="AH11273">
        <v>1</v>
      </c>
      <c r="AI11273">
        <v>1</v>
      </c>
      <c r="AJ11273">
        <v>2</v>
      </c>
      <c r="AK11273">
        <v>104.59</v>
      </c>
      <c r="AN11273" t="s">
        <v>7439</v>
      </c>
      <c r="AO11273">
        <v>22308</v>
      </c>
      <c r="AU11273">
        <v>0</v>
      </c>
      <c r="AW11273" t="s">
        <v>46847</v>
      </c>
    </row>
    <row r="11274" spans="1:50">
      <c r="A11274" s="1">
        <f>HYPERLINK("https://lsnyc.legalserver.org/matter/dynamic-profile/view/1902958","19-1902958")</f>
        <v>0</v>
      </c>
      <c r="B11274" t="s">
        <v>64</v>
      </c>
      <c r="C11274" t="s">
        <v>340</v>
      </c>
      <c r="D11274" t="s">
        <v>833</v>
      </c>
      <c r="F11274" t="s">
        <v>1396</v>
      </c>
      <c r="G11274" t="s">
        <v>1058</v>
      </c>
      <c r="H11274" t="s">
        <v>16985</v>
      </c>
      <c r="I11274" t="s">
        <v>18210</v>
      </c>
      <c r="J11274" t="s">
        <v>18892</v>
      </c>
      <c r="K11274">
        <v>10473</v>
      </c>
      <c r="L11274" t="s">
        <v>18958</v>
      </c>
      <c r="M11274" t="s">
        <v>18960</v>
      </c>
      <c r="N11274" t="s">
        <v>26441</v>
      </c>
      <c r="O11274" t="s">
        <v>26524</v>
      </c>
      <c r="R11274" t="s">
        <v>26577</v>
      </c>
      <c r="S11274" t="s">
        <v>18959</v>
      </c>
      <c r="U11274" t="s">
        <v>26604</v>
      </c>
      <c r="V11274" t="s">
        <v>26610</v>
      </c>
      <c r="X11274">
        <v>255</v>
      </c>
      <c r="Y11274" t="s">
        <v>26650</v>
      </c>
      <c r="Z11274" t="s">
        <v>26668</v>
      </c>
      <c r="AB11274" t="s">
        <v>34381</v>
      </c>
      <c r="AD11274" t="s">
        <v>45441</v>
      </c>
      <c r="AE11274">
        <v>0</v>
      </c>
      <c r="AF11274" t="s">
        <v>45549</v>
      </c>
      <c r="AH11274">
        <v>3</v>
      </c>
      <c r="AI11274">
        <v>1</v>
      </c>
      <c r="AJ11274">
        <v>0</v>
      </c>
      <c r="AK11274">
        <v>124.9</v>
      </c>
      <c r="AN11274" t="s">
        <v>7439</v>
      </c>
      <c r="AO11274">
        <v>15600</v>
      </c>
      <c r="AU11274">
        <v>0</v>
      </c>
      <c r="AW11274" t="s">
        <v>335</v>
      </c>
      <c r="AX11274" t="s">
        <v>46897</v>
      </c>
    </row>
    <row r="11275" spans="1:50">
      <c r="A11275" s="1">
        <f>HYPERLINK("https://lsnyc.legalserver.org/matter/dynamic-profile/view/1902978","19-1902978")</f>
        <v>0</v>
      </c>
      <c r="B11275" t="s">
        <v>64</v>
      </c>
      <c r="C11275" t="s">
        <v>340</v>
      </c>
      <c r="D11275" t="s">
        <v>833</v>
      </c>
      <c r="F11275" t="s">
        <v>899</v>
      </c>
      <c r="G11275" t="s">
        <v>5103</v>
      </c>
      <c r="H11275" t="s">
        <v>17176</v>
      </c>
      <c r="I11275" t="s">
        <v>17309</v>
      </c>
      <c r="J11275" t="s">
        <v>18892</v>
      </c>
      <c r="K11275">
        <v>10461</v>
      </c>
      <c r="L11275" t="s">
        <v>18958</v>
      </c>
      <c r="M11275" t="s">
        <v>18960</v>
      </c>
      <c r="N11275" t="s">
        <v>26442</v>
      </c>
      <c r="O11275" t="s">
        <v>26523</v>
      </c>
      <c r="R11275" t="s">
        <v>26577</v>
      </c>
      <c r="S11275" t="s">
        <v>18959</v>
      </c>
      <c r="U11275" t="s">
        <v>26604</v>
      </c>
      <c r="X11275">
        <v>1400</v>
      </c>
      <c r="Y11275" t="s">
        <v>26650</v>
      </c>
      <c r="AB11275" t="s">
        <v>34382</v>
      </c>
      <c r="AD11275" t="s">
        <v>45442</v>
      </c>
      <c r="AE11275">
        <v>0</v>
      </c>
      <c r="AH11275">
        <v>1</v>
      </c>
      <c r="AI11275">
        <v>2</v>
      </c>
      <c r="AJ11275">
        <v>1</v>
      </c>
      <c r="AK11275">
        <v>152.86</v>
      </c>
      <c r="AN11275" t="s">
        <v>7439</v>
      </c>
      <c r="AO11275">
        <v>32604</v>
      </c>
      <c r="AU11275">
        <v>0</v>
      </c>
      <c r="AW11275" t="s">
        <v>335</v>
      </c>
      <c r="AX11275" t="s">
        <v>46897</v>
      </c>
    </row>
    <row r="11276" spans="1:50">
      <c r="A11276" s="1">
        <f>HYPERLINK("https://lsnyc.legalserver.org/matter/dynamic-profile/view/1902963","19-1902963")</f>
        <v>0</v>
      </c>
      <c r="B11276" t="s">
        <v>64</v>
      </c>
      <c r="C11276" t="s">
        <v>340</v>
      </c>
      <c r="D11276" t="s">
        <v>833</v>
      </c>
      <c r="F11276" t="s">
        <v>5037</v>
      </c>
      <c r="G11276" t="s">
        <v>5107</v>
      </c>
      <c r="H11276" t="s">
        <v>17177</v>
      </c>
      <c r="I11276" t="s">
        <v>17411</v>
      </c>
      <c r="J11276" t="s">
        <v>18892</v>
      </c>
      <c r="K11276">
        <v>10452</v>
      </c>
      <c r="L11276" t="s">
        <v>18958</v>
      </c>
      <c r="M11276" t="s">
        <v>18960</v>
      </c>
      <c r="N11276" t="s">
        <v>26443</v>
      </c>
      <c r="O11276" t="s">
        <v>26523</v>
      </c>
      <c r="R11276" t="s">
        <v>26577</v>
      </c>
      <c r="S11276" t="s">
        <v>18959</v>
      </c>
      <c r="U11276" t="s">
        <v>26604</v>
      </c>
      <c r="X11276">
        <v>1163.8</v>
      </c>
      <c r="Y11276" t="s">
        <v>26650</v>
      </c>
      <c r="AB11276" t="s">
        <v>34383</v>
      </c>
      <c r="AD11276" t="s">
        <v>45443</v>
      </c>
      <c r="AE11276">
        <v>0</v>
      </c>
      <c r="AH11276">
        <v>30</v>
      </c>
      <c r="AI11276">
        <v>2</v>
      </c>
      <c r="AJ11276">
        <v>0</v>
      </c>
      <c r="AK11276">
        <v>338.26</v>
      </c>
      <c r="AN11276" t="s">
        <v>7439</v>
      </c>
      <c r="AO11276">
        <v>57200</v>
      </c>
      <c r="AU11276">
        <v>0</v>
      </c>
      <c r="AW11276" t="s">
        <v>335</v>
      </c>
      <c r="AX11276" t="s">
        <v>46897</v>
      </c>
    </row>
    <row r="11277" spans="1:50">
      <c r="A11277" s="1">
        <f>HYPERLINK("https://lsnyc.legalserver.org/matter/dynamic-profile/view/1902964","19-1902964")</f>
        <v>0</v>
      </c>
      <c r="B11277" t="s">
        <v>102</v>
      </c>
      <c r="C11277" t="s">
        <v>340</v>
      </c>
      <c r="D11277" t="s">
        <v>833</v>
      </c>
      <c r="F11277" t="s">
        <v>1283</v>
      </c>
      <c r="G11277" t="s">
        <v>7381</v>
      </c>
      <c r="H11277" t="s">
        <v>17178</v>
      </c>
      <c r="J11277" t="s">
        <v>18902</v>
      </c>
      <c r="K11277">
        <v>10314</v>
      </c>
      <c r="L11277" t="s">
        <v>18960</v>
      </c>
      <c r="M11277" t="s">
        <v>18960</v>
      </c>
      <c r="R11277" t="s">
        <v>26590</v>
      </c>
      <c r="U11277" t="s">
        <v>26604</v>
      </c>
      <c r="X11277">
        <v>0</v>
      </c>
      <c r="Y11277" t="s">
        <v>26654</v>
      </c>
      <c r="AB11277" t="s">
        <v>34384</v>
      </c>
      <c r="AD11277" t="s">
        <v>45444</v>
      </c>
      <c r="AE11277">
        <v>0</v>
      </c>
      <c r="AH11277">
        <v>0</v>
      </c>
      <c r="AI11277">
        <v>3</v>
      </c>
      <c r="AJ11277">
        <v>2</v>
      </c>
      <c r="AK11277">
        <v>180.74</v>
      </c>
      <c r="AN11277" t="s">
        <v>7439</v>
      </c>
      <c r="AO11277">
        <v>54529.8</v>
      </c>
      <c r="AU11277">
        <v>1</v>
      </c>
      <c r="AV11277" t="s">
        <v>821</v>
      </c>
      <c r="AW11277" t="s">
        <v>46891</v>
      </c>
    </row>
    <row r="11278" spans="1:50">
      <c r="A11278" s="1">
        <f>HYPERLINK("https://lsnyc.legalserver.org/matter/dynamic-profile/view/1903036","19-1903036")</f>
        <v>0</v>
      </c>
      <c r="B11278" t="s">
        <v>252</v>
      </c>
      <c r="C11278" t="s">
        <v>340</v>
      </c>
      <c r="D11278" t="s">
        <v>833</v>
      </c>
      <c r="F11278" t="s">
        <v>1083</v>
      </c>
      <c r="G11278" t="s">
        <v>9589</v>
      </c>
      <c r="H11278" t="s">
        <v>17179</v>
      </c>
      <c r="I11278" t="s">
        <v>18876</v>
      </c>
      <c r="J11278" t="s">
        <v>18894</v>
      </c>
      <c r="K11278">
        <v>11206</v>
      </c>
      <c r="L11278" t="s">
        <v>18960</v>
      </c>
      <c r="M11278" t="s">
        <v>18960</v>
      </c>
      <c r="R11278" t="s">
        <v>26591</v>
      </c>
      <c r="U11278" t="s">
        <v>26604</v>
      </c>
      <c r="X11278">
        <v>1000</v>
      </c>
      <c r="Y11278" t="s">
        <v>26652</v>
      </c>
      <c r="Z11278" t="s">
        <v>26659</v>
      </c>
      <c r="AB11278" t="s">
        <v>34385</v>
      </c>
      <c r="AD11278" t="s">
        <v>45445</v>
      </c>
      <c r="AE11278">
        <v>300</v>
      </c>
      <c r="AH11278">
        <v>50</v>
      </c>
      <c r="AI11278">
        <v>3</v>
      </c>
      <c r="AJ11278">
        <v>0</v>
      </c>
      <c r="AK11278">
        <v>162.14</v>
      </c>
      <c r="AN11278" t="s">
        <v>7439</v>
      </c>
      <c r="AO11278">
        <v>34584</v>
      </c>
      <c r="AU11278">
        <v>0.5</v>
      </c>
      <c r="AV11278" t="s">
        <v>833</v>
      </c>
      <c r="AW11278" t="s">
        <v>46850</v>
      </c>
    </row>
    <row r="11279" spans="1:50">
      <c r="A11279" s="1">
        <f>HYPERLINK("https://lsnyc.legalserver.org/matter/dynamic-profile/view/1903037","19-1903037")</f>
        <v>0</v>
      </c>
      <c r="B11279" t="s">
        <v>252</v>
      </c>
      <c r="C11279" t="s">
        <v>340</v>
      </c>
      <c r="D11279" t="s">
        <v>833</v>
      </c>
      <c r="F11279" t="s">
        <v>1004</v>
      </c>
      <c r="G11279" t="s">
        <v>9590</v>
      </c>
      <c r="H11279" t="s">
        <v>17180</v>
      </c>
      <c r="I11279" t="s">
        <v>17333</v>
      </c>
      <c r="J11279" t="s">
        <v>18894</v>
      </c>
      <c r="K11279">
        <v>11216</v>
      </c>
      <c r="L11279" t="s">
        <v>18960</v>
      </c>
      <c r="M11279" t="s">
        <v>18960</v>
      </c>
      <c r="O11279" t="s">
        <v>18997</v>
      </c>
      <c r="R11279" t="s">
        <v>26591</v>
      </c>
      <c r="U11279" t="s">
        <v>26604</v>
      </c>
      <c r="X11279">
        <v>1010</v>
      </c>
      <c r="Y11279" t="s">
        <v>26652</v>
      </c>
      <c r="Z11279" t="s">
        <v>26659</v>
      </c>
      <c r="AB11279" t="s">
        <v>34386</v>
      </c>
      <c r="AE11279">
        <v>40</v>
      </c>
      <c r="AF11279" t="s">
        <v>20460</v>
      </c>
      <c r="AG11279" t="s">
        <v>19330</v>
      </c>
      <c r="AH11279">
        <v>3</v>
      </c>
      <c r="AI11279">
        <v>1</v>
      </c>
      <c r="AJ11279">
        <v>0</v>
      </c>
      <c r="AK11279">
        <v>172.94</v>
      </c>
      <c r="AN11279" t="s">
        <v>7439</v>
      </c>
      <c r="AO11279">
        <v>21600</v>
      </c>
      <c r="AU11279">
        <v>0.7</v>
      </c>
      <c r="AV11279" t="s">
        <v>833</v>
      </c>
      <c r="AW11279" t="s">
        <v>46841</v>
      </c>
    </row>
    <row r="11280" spans="1:50">
      <c r="A11280" s="1">
        <f>HYPERLINK("https://lsnyc.legalserver.org/matter/dynamic-profile/view/1902989","19-1902989")</f>
        <v>0</v>
      </c>
      <c r="B11280" t="s">
        <v>263</v>
      </c>
      <c r="C11280" t="s">
        <v>340</v>
      </c>
      <c r="D11280" t="s">
        <v>833</v>
      </c>
      <c r="F11280" t="s">
        <v>5038</v>
      </c>
      <c r="G11280" t="s">
        <v>8642</v>
      </c>
      <c r="H11280" t="s">
        <v>12278</v>
      </c>
      <c r="I11280" t="s">
        <v>18166</v>
      </c>
      <c r="J11280" t="s">
        <v>18892</v>
      </c>
      <c r="K11280">
        <v>10458</v>
      </c>
      <c r="L11280" t="s">
        <v>18958</v>
      </c>
      <c r="M11280" t="s">
        <v>18960</v>
      </c>
      <c r="O11280" t="s">
        <v>18997</v>
      </c>
      <c r="P11280" t="s">
        <v>26565</v>
      </c>
      <c r="R11280" t="s">
        <v>26578</v>
      </c>
      <c r="S11280" t="s">
        <v>18959</v>
      </c>
      <c r="U11280" t="s">
        <v>26604</v>
      </c>
      <c r="X11280">
        <v>1950</v>
      </c>
      <c r="Y11280" t="s">
        <v>26650</v>
      </c>
      <c r="Z11280" t="s">
        <v>26663</v>
      </c>
      <c r="AB11280" t="s">
        <v>34387</v>
      </c>
      <c r="AE11280">
        <v>0</v>
      </c>
      <c r="AF11280" t="s">
        <v>45541</v>
      </c>
      <c r="AG11280" t="s">
        <v>19330</v>
      </c>
      <c r="AH11280">
        <v>1</v>
      </c>
      <c r="AI11280">
        <v>1</v>
      </c>
      <c r="AJ11280">
        <v>1</v>
      </c>
      <c r="AK11280">
        <v>248.37</v>
      </c>
      <c r="AN11280" t="s">
        <v>7439</v>
      </c>
      <c r="AO11280">
        <v>42000</v>
      </c>
      <c r="AU11280">
        <v>1.5</v>
      </c>
      <c r="AV11280" t="s">
        <v>834</v>
      </c>
      <c r="AW11280" t="s">
        <v>263</v>
      </c>
      <c r="AX11280" t="s">
        <v>46897</v>
      </c>
    </row>
    <row r="11281" spans="1:50">
      <c r="A11281" s="1">
        <f>HYPERLINK("https://lsnyc.legalserver.org/matter/dynamic-profile/view/1903021","19-1903021")</f>
        <v>0</v>
      </c>
      <c r="B11281" t="s">
        <v>193</v>
      </c>
      <c r="C11281" t="s">
        <v>340</v>
      </c>
      <c r="D11281" t="s">
        <v>833</v>
      </c>
      <c r="F11281" t="s">
        <v>3378</v>
      </c>
      <c r="G11281" t="s">
        <v>9591</v>
      </c>
      <c r="H11281" t="s">
        <v>17181</v>
      </c>
      <c r="I11281" t="s">
        <v>18139</v>
      </c>
      <c r="J11281" t="s">
        <v>18894</v>
      </c>
      <c r="K11281">
        <v>11233</v>
      </c>
      <c r="L11281" t="s">
        <v>18958</v>
      </c>
      <c r="M11281" t="s">
        <v>18960</v>
      </c>
      <c r="N11281" t="s">
        <v>26444</v>
      </c>
      <c r="O11281" t="s">
        <v>26524</v>
      </c>
      <c r="P11281" t="s">
        <v>26563</v>
      </c>
      <c r="R11281" t="s">
        <v>26588</v>
      </c>
      <c r="S11281" t="s">
        <v>18959</v>
      </c>
      <c r="U11281" t="s">
        <v>26604</v>
      </c>
      <c r="X11281">
        <v>257</v>
      </c>
      <c r="Y11281" t="s">
        <v>26652</v>
      </c>
      <c r="Z11281" t="s">
        <v>26669</v>
      </c>
      <c r="AB11281" t="s">
        <v>34388</v>
      </c>
      <c r="AD11281" t="s">
        <v>45446</v>
      </c>
      <c r="AE11281">
        <v>0</v>
      </c>
      <c r="AF11281" t="s">
        <v>45554</v>
      </c>
      <c r="AH11281">
        <v>1</v>
      </c>
      <c r="AI11281">
        <v>1</v>
      </c>
      <c r="AJ11281">
        <v>0</v>
      </c>
      <c r="AK11281">
        <v>18.94</v>
      </c>
      <c r="AN11281" t="s">
        <v>7439</v>
      </c>
      <c r="AO11281">
        <v>2366</v>
      </c>
      <c r="AU11281">
        <v>2</v>
      </c>
      <c r="AV11281" t="s">
        <v>833</v>
      </c>
      <c r="AW11281" t="s">
        <v>281</v>
      </c>
      <c r="AX11281" t="s">
        <v>46897</v>
      </c>
    </row>
    <row r="11282" spans="1:50">
      <c r="A11282" s="1">
        <f>HYPERLINK("https://lsnyc.legalserver.org/matter/dynamic-profile/view/1903032","19-1903032")</f>
        <v>0</v>
      </c>
      <c r="B11282" t="s">
        <v>155</v>
      </c>
      <c r="C11282" t="s">
        <v>340</v>
      </c>
      <c r="D11282" t="s">
        <v>833</v>
      </c>
      <c r="F11282" t="s">
        <v>3862</v>
      </c>
      <c r="G11282" t="s">
        <v>1165</v>
      </c>
      <c r="H11282" t="s">
        <v>13687</v>
      </c>
      <c r="I11282">
        <v>521</v>
      </c>
      <c r="J11282" t="s">
        <v>18894</v>
      </c>
      <c r="K11282">
        <v>11226</v>
      </c>
      <c r="L11282" t="s">
        <v>18960</v>
      </c>
      <c r="M11282" t="s">
        <v>18960</v>
      </c>
      <c r="N11282" t="s">
        <v>26445</v>
      </c>
      <c r="O11282" t="s">
        <v>26523</v>
      </c>
      <c r="P11282" t="s">
        <v>26563</v>
      </c>
      <c r="R11282" t="s">
        <v>26588</v>
      </c>
      <c r="U11282" t="s">
        <v>26604</v>
      </c>
      <c r="X11282">
        <v>1095</v>
      </c>
      <c r="Y11282" t="s">
        <v>26652</v>
      </c>
      <c r="Z11282" t="s">
        <v>26664</v>
      </c>
      <c r="AB11282" t="s">
        <v>34389</v>
      </c>
      <c r="AD11282" t="s">
        <v>45447</v>
      </c>
      <c r="AE11282">
        <v>100</v>
      </c>
      <c r="AG11282" t="s">
        <v>45559</v>
      </c>
      <c r="AH11282">
        <v>20</v>
      </c>
      <c r="AI11282">
        <v>2</v>
      </c>
      <c r="AJ11282">
        <v>0</v>
      </c>
      <c r="AK11282">
        <v>62.02</v>
      </c>
      <c r="AN11282" t="s">
        <v>7439</v>
      </c>
      <c r="AO11282">
        <v>10488</v>
      </c>
      <c r="AU11282">
        <v>1</v>
      </c>
      <c r="AV11282" t="s">
        <v>833</v>
      </c>
      <c r="AW11282" t="s">
        <v>46862</v>
      </c>
    </row>
    <row r="11283" spans="1:50">
      <c r="A11283" s="1">
        <f>HYPERLINK("https://lsnyc.legalserver.org/matter/dynamic-profile/view/1902968","19-1902968")</f>
        <v>0</v>
      </c>
      <c r="B11283" t="s">
        <v>155</v>
      </c>
      <c r="C11283" t="s">
        <v>340</v>
      </c>
      <c r="D11283" t="s">
        <v>833</v>
      </c>
      <c r="F11283" t="s">
        <v>1049</v>
      </c>
      <c r="G11283" t="s">
        <v>9592</v>
      </c>
      <c r="H11283" t="s">
        <v>17182</v>
      </c>
      <c r="I11283" t="s">
        <v>17307</v>
      </c>
      <c r="J11283" t="s">
        <v>18894</v>
      </c>
      <c r="K11283">
        <v>11226</v>
      </c>
      <c r="L11283" t="s">
        <v>18958</v>
      </c>
      <c r="M11283" t="s">
        <v>18960</v>
      </c>
      <c r="N11283" t="s">
        <v>26446</v>
      </c>
      <c r="O11283" t="s">
        <v>26523</v>
      </c>
      <c r="P11283" t="s">
        <v>26563</v>
      </c>
      <c r="R11283" t="s">
        <v>26588</v>
      </c>
      <c r="U11283" t="s">
        <v>26604</v>
      </c>
      <c r="X11283">
        <v>0</v>
      </c>
      <c r="Y11283" t="s">
        <v>26652</v>
      </c>
      <c r="Z11283" t="s">
        <v>26664</v>
      </c>
      <c r="AB11283" t="s">
        <v>34390</v>
      </c>
      <c r="AD11283" t="s">
        <v>45448</v>
      </c>
      <c r="AE11283">
        <v>25</v>
      </c>
      <c r="AH11283">
        <v>0</v>
      </c>
      <c r="AI11283">
        <v>7</v>
      </c>
      <c r="AJ11283">
        <v>1</v>
      </c>
      <c r="AK11283">
        <v>127.76</v>
      </c>
      <c r="AN11283" t="s">
        <v>7439</v>
      </c>
      <c r="AO11283">
        <v>55488</v>
      </c>
      <c r="AU11283">
        <v>1.8</v>
      </c>
      <c r="AV11283" t="s">
        <v>838</v>
      </c>
      <c r="AW11283" t="s">
        <v>46862</v>
      </c>
      <c r="AX11283" t="s">
        <v>46897</v>
      </c>
    </row>
    <row r="11284" spans="1:50">
      <c r="A11284" s="1">
        <f>HYPERLINK("https://lsnyc.legalserver.org/matter/dynamic-profile/view/1902955","19-1902955")</f>
        <v>0</v>
      </c>
      <c r="B11284" t="s">
        <v>106</v>
      </c>
      <c r="C11284" t="s">
        <v>340</v>
      </c>
      <c r="D11284" t="s">
        <v>833</v>
      </c>
      <c r="F11284" t="s">
        <v>1923</v>
      </c>
      <c r="G11284" t="s">
        <v>9593</v>
      </c>
      <c r="H11284" t="s">
        <v>17183</v>
      </c>
      <c r="I11284" t="s">
        <v>17313</v>
      </c>
      <c r="J11284" t="s">
        <v>18894</v>
      </c>
      <c r="K11284">
        <v>11225</v>
      </c>
      <c r="L11284" t="s">
        <v>18958</v>
      </c>
      <c r="M11284" t="s">
        <v>18960</v>
      </c>
      <c r="N11284" t="s">
        <v>26447</v>
      </c>
      <c r="O11284" t="s">
        <v>26524</v>
      </c>
      <c r="P11284" t="s">
        <v>26560</v>
      </c>
      <c r="R11284" t="s">
        <v>26588</v>
      </c>
      <c r="S11284" t="s">
        <v>18959</v>
      </c>
      <c r="U11284" t="s">
        <v>26604</v>
      </c>
      <c r="X11284">
        <v>859.65</v>
      </c>
      <c r="Y11284" t="s">
        <v>26652</v>
      </c>
      <c r="Z11284" t="s">
        <v>26669</v>
      </c>
      <c r="AB11284" t="s">
        <v>34391</v>
      </c>
      <c r="AD11284" t="s">
        <v>45449</v>
      </c>
      <c r="AE11284">
        <v>0</v>
      </c>
      <c r="AH11284">
        <v>42</v>
      </c>
      <c r="AI11284">
        <v>1</v>
      </c>
      <c r="AJ11284">
        <v>0</v>
      </c>
      <c r="AK11284">
        <v>160.13</v>
      </c>
      <c r="AN11284" t="s">
        <v>7439</v>
      </c>
      <c r="AO11284">
        <v>20000</v>
      </c>
      <c r="AU11284">
        <v>0.6</v>
      </c>
      <c r="AV11284" t="s">
        <v>821</v>
      </c>
      <c r="AW11284" t="s">
        <v>281</v>
      </c>
      <c r="AX11284" t="s">
        <v>46897</v>
      </c>
    </row>
    <row r="11285" spans="1:50">
      <c r="A11285" s="1">
        <f>HYPERLINK("https://lsnyc.legalserver.org/matter/dynamic-profile/view/1902973","19-1902973")</f>
        <v>0</v>
      </c>
      <c r="B11285" t="s">
        <v>106</v>
      </c>
      <c r="C11285" t="s">
        <v>340</v>
      </c>
      <c r="D11285" t="s">
        <v>833</v>
      </c>
      <c r="F11285" t="s">
        <v>1033</v>
      </c>
      <c r="G11285" t="s">
        <v>3110</v>
      </c>
      <c r="H11285" t="s">
        <v>17184</v>
      </c>
      <c r="I11285" t="s">
        <v>17388</v>
      </c>
      <c r="J11285" t="s">
        <v>18894</v>
      </c>
      <c r="K11285">
        <v>11221</v>
      </c>
      <c r="L11285" t="s">
        <v>18958</v>
      </c>
      <c r="M11285" t="s">
        <v>18960</v>
      </c>
      <c r="N11285" t="s">
        <v>26448</v>
      </c>
      <c r="O11285" t="s">
        <v>26523</v>
      </c>
      <c r="P11285" t="s">
        <v>26560</v>
      </c>
      <c r="R11285" t="s">
        <v>26588</v>
      </c>
      <c r="S11285" t="s">
        <v>18959</v>
      </c>
      <c r="U11285" t="s">
        <v>26604</v>
      </c>
      <c r="X11285">
        <v>725</v>
      </c>
      <c r="Y11285" t="s">
        <v>26652</v>
      </c>
      <c r="Z11285" t="s">
        <v>26669</v>
      </c>
      <c r="AB11285" t="s">
        <v>34392</v>
      </c>
      <c r="AD11285" t="s">
        <v>45450</v>
      </c>
      <c r="AE11285">
        <v>0</v>
      </c>
      <c r="AH11285">
        <v>23</v>
      </c>
      <c r="AI11285">
        <v>1</v>
      </c>
      <c r="AJ11285">
        <v>1</v>
      </c>
      <c r="AK11285">
        <v>181.13</v>
      </c>
      <c r="AN11285" t="s">
        <v>7439</v>
      </c>
      <c r="AO11285">
        <v>30629.88</v>
      </c>
      <c r="AU11285">
        <v>0.1</v>
      </c>
      <c r="AV11285" t="s">
        <v>835</v>
      </c>
      <c r="AW11285" t="s">
        <v>281</v>
      </c>
      <c r="AX11285" t="s">
        <v>46897</v>
      </c>
    </row>
    <row r="11286" spans="1:50">
      <c r="A11286" s="1">
        <f>HYPERLINK("https://lsnyc.legalserver.org/matter/dynamic-profile/view/1903045","19-1903045")</f>
        <v>0</v>
      </c>
      <c r="B11286" t="s">
        <v>250</v>
      </c>
      <c r="C11286" t="s">
        <v>340</v>
      </c>
      <c r="D11286" t="s">
        <v>833</v>
      </c>
      <c r="F11286" t="s">
        <v>2766</v>
      </c>
      <c r="G11286" t="s">
        <v>9235</v>
      </c>
      <c r="H11286" t="s">
        <v>17185</v>
      </c>
      <c r="I11286" t="s">
        <v>17743</v>
      </c>
      <c r="J11286" t="s">
        <v>18893</v>
      </c>
      <c r="K11286">
        <v>10037</v>
      </c>
      <c r="L11286" t="s">
        <v>18960</v>
      </c>
      <c r="M11286" t="s">
        <v>18960</v>
      </c>
      <c r="R11286" t="s">
        <v>26583</v>
      </c>
      <c r="U11286" t="s">
        <v>26608</v>
      </c>
      <c r="X11286">
        <v>0</v>
      </c>
      <c r="Y11286" t="s">
        <v>26651</v>
      </c>
      <c r="AB11286" t="s">
        <v>34393</v>
      </c>
      <c r="AE11286">
        <v>0</v>
      </c>
      <c r="AH11286">
        <v>0</v>
      </c>
      <c r="AI11286">
        <v>1</v>
      </c>
      <c r="AJ11286">
        <v>1</v>
      </c>
      <c r="AK11286">
        <v>252.99</v>
      </c>
      <c r="AN11286" t="s">
        <v>7439</v>
      </c>
      <c r="AO11286">
        <v>42780</v>
      </c>
      <c r="AU11286">
        <v>1.2</v>
      </c>
      <c r="AV11286" t="s">
        <v>839</v>
      </c>
      <c r="AW11286" t="s">
        <v>46842</v>
      </c>
    </row>
    <row r="11287" spans="1:50">
      <c r="A11287" s="1">
        <f>HYPERLINK("https://lsnyc.legalserver.org/matter/dynamic-profile/view/1902954","19-1902954")</f>
        <v>0</v>
      </c>
      <c r="B11287" t="s">
        <v>172</v>
      </c>
      <c r="C11287" t="s">
        <v>340</v>
      </c>
      <c r="D11287" t="s">
        <v>833</v>
      </c>
      <c r="F11287" t="s">
        <v>3248</v>
      </c>
      <c r="G11287" t="s">
        <v>4160</v>
      </c>
      <c r="H11287" t="s">
        <v>13002</v>
      </c>
      <c r="I11287" t="s">
        <v>17327</v>
      </c>
      <c r="J11287" t="s">
        <v>18894</v>
      </c>
      <c r="K11287">
        <v>11225</v>
      </c>
      <c r="L11287" t="s">
        <v>18958</v>
      </c>
      <c r="M11287" t="s">
        <v>18960</v>
      </c>
      <c r="N11287" t="s">
        <v>26449</v>
      </c>
      <c r="O11287" t="s">
        <v>26523</v>
      </c>
      <c r="P11287" t="s">
        <v>26560</v>
      </c>
      <c r="R11287" t="s">
        <v>26588</v>
      </c>
      <c r="S11287" t="s">
        <v>18959</v>
      </c>
      <c r="U11287" t="s">
        <v>26604</v>
      </c>
      <c r="X11287">
        <v>579.01</v>
      </c>
      <c r="Y11287" t="s">
        <v>26652</v>
      </c>
      <c r="Z11287" t="s">
        <v>26669</v>
      </c>
      <c r="AB11287" t="s">
        <v>34394</v>
      </c>
      <c r="AD11287" t="s">
        <v>45451</v>
      </c>
      <c r="AE11287">
        <v>0</v>
      </c>
      <c r="AH11287">
        <v>25</v>
      </c>
      <c r="AI11287">
        <v>1</v>
      </c>
      <c r="AJ11287">
        <v>0</v>
      </c>
      <c r="AK11287">
        <v>57.65</v>
      </c>
      <c r="AN11287" t="s">
        <v>7439</v>
      </c>
      <c r="AO11287">
        <v>7200</v>
      </c>
      <c r="AU11287">
        <v>0</v>
      </c>
      <c r="AW11287" t="s">
        <v>281</v>
      </c>
      <c r="AX11287" t="s">
        <v>46897</v>
      </c>
    </row>
    <row r="11288" spans="1:50">
      <c r="A11288" s="1">
        <f>HYPERLINK("https://lsnyc.legalserver.org/matter/dynamic-profile/view/1903001","19-1903001")</f>
        <v>0</v>
      </c>
      <c r="B11288" t="s">
        <v>125</v>
      </c>
      <c r="C11288" t="s">
        <v>340</v>
      </c>
      <c r="D11288" t="s">
        <v>833</v>
      </c>
      <c r="F11288" t="s">
        <v>5039</v>
      </c>
      <c r="G11288" t="s">
        <v>5363</v>
      </c>
      <c r="H11288" t="s">
        <v>17186</v>
      </c>
      <c r="I11288" t="s">
        <v>17273</v>
      </c>
      <c r="J11288" t="s">
        <v>18894</v>
      </c>
      <c r="K11288">
        <v>11212</v>
      </c>
      <c r="L11288" t="s">
        <v>18959</v>
      </c>
      <c r="M11288" t="s">
        <v>18960</v>
      </c>
      <c r="N11288" t="s">
        <v>26450</v>
      </c>
      <c r="O11288" t="s">
        <v>26523</v>
      </c>
      <c r="R11288" t="s">
        <v>26578</v>
      </c>
      <c r="S11288" t="s">
        <v>18959</v>
      </c>
      <c r="U11288" t="s">
        <v>26604</v>
      </c>
      <c r="X11288">
        <v>1534</v>
      </c>
      <c r="Y11288" t="s">
        <v>26652</v>
      </c>
      <c r="Z11288" t="s">
        <v>26659</v>
      </c>
      <c r="AB11288" t="s">
        <v>31634</v>
      </c>
      <c r="AC11288">
        <v>9407455</v>
      </c>
      <c r="AD11288" t="s">
        <v>45452</v>
      </c>
      <c r="AE11288">
        <v>21</v>
      </c>
      <c r="AF11288" t="s">
        <v>45541</v>
      </c>
      <c r="AG11288" t="s">
        <v>45557</v>
      </c>
      <c r="AH11288">
        <v>9</v>
      </c>
      <c r="AI11288">
        <v>1</v>
      </c>
      <c r="AJ11288">
        <v>2</v>
      </c>
      <c r="AK11288">
        <v>0</v>
      </c>
      <c r="AN11288" t="s">
        <v>7439</v>
      </c>
      <c r="AO11288">
        <v>0</v>
      </c>
      <c r="AU11288">
        <v>3</v>
      </c>
      <c r="AV11288" t="s">
        <v>836</v>
      </c>
      <c r="AW11288" t="s">
        <v>286</v>
      </c>
    </row>
    <row r="11289" spans="1:50">
      <c r="A11289" s="1">
        <f>HYPERLINK("https://lsnyc.legalserver.org/matter/dynamic-profile/view/1903103","19-1903103")</f>
        <v>0</v>
      </c>
      <c r="B11289" t="s">
        <v>320</v>
      </c>
      <c r="C11289" t="s">
        <v>341</v>
      </c>
      <c r="D11289" t="s">
        <v>835</v>
      </c>
      <c r="E11289" t="s">
        <v>838</v>
      </c>
      <c r="F11289" t="s">
        <v>5040</v>
      </c>
      <c r="G11289" t="s">
        <v>7380</v>
      </c>
      <c r="H11289" t="s">
        <v>17187</v>
      </c>
      <c r="I11289">
        <v>2</v>
      </c>
      <c r="J11289" t="s">
        <v>18894</v>
      </c>
      <c r="K11289">
        <v>11231</v>
      </c>
      <c r="L11289" t="s">
        <v>18960</v>
      </c>
      <c r="M11289" t="s">
        <v>18960</v>
      </c>
      <c r="Q11289" t="s">
        <v>26570</v>
      </c>
      <c r="R11289" t="s">
        <v>26591</v>
      </c>
      <c r="U11289" t="s">
        <v>26604</v>
      </c>
      <c r="X11289">
        <v>2400</v>
      </c>
      <c r="Y11289" t="s">
        <v>26652</v>
      </c>
      <c r="Z11289" t="s">
        <v>26660</v>
      </c>
      <c r="AA11289" t="s">
        <v>26683</v>
      </c>
      <c r="AB11289" t="s">
        <v>34395</v>
      </c>
      <c r="AD11289" t="s">
        <v>45453</v>
      </c>
      <c r="AE11289">
        <v>2</v>
      </c>
      <c r="AG11289" t="s">
        <v>19330</v>
      </c>
      <c r="AH11289">
        <v>4</v>
      </c>
      <c r="AI11289">
        <v>1</v>
      </c>
      <c r="AJ11289">
        <v>0</v>
      </c>
      <c r="AK11289">
        <v>93.67</v>
      </c>
      <c r="AN11289" t="s">
        <v>7439</v>
      </c>
      <c r="AO11289">
        <v>11700</v>
      </c>
      <c r="AU11289">
        <v>1.75</v>
      </c>
      <c r="AV11289" t="s">
        <v>838</v>
      </c>
      <c r="AW11289" t="s">
        <v>46858</v>
      </c>
    </row>
    <row r="11290" spans="1:50">
      <c r="A11290" s="1">
        <f>HYPERLINK("https://lsnyc.legalserver.org/matter/dynamic-profile/view/1903202","19-1903202")</f>
        <v>0</v>
      </c>
      <c r="B11290" t="s">
        <v>134</v>
      </c>
      <c r="C11290" t="s">
        <v>340</v>
      </c>
      <c r="D11290" t="s">
        <v>835</v>
      </c>
      <c r="F11290" t="s">
        <v>5041</v>
      </c>
      <c r="G11290" t="s">
        <v>9594</v>
      </c>
      <c r="H11290" t="s">
        <v>10439</v>
      </c>
      <c r="I11290" t="s">
        <v>17464</v>
      </c>
      <c r="J11290" t="s">
        <v>18894</v>
      </c>
      <c r="K11290">
        <v>11216</v>
      </c>
      <c r="L11290" t="s">
        <v>18958</v>
      </c>
      <c r="M11290" t="s">
        <v>18960</v>
      </c>
      <c r="N11290" t="s">
        <v>18993</v>
      </c>
      <c r="O11290" t="s">
        <v>18997</v>
      </c>
      <c r="P11290" t="s">
        <v>26565</v>
      </c>
      <c r="R11290" t="s">
        <v>26578</v>
      </c>
      <c r="S11290" t="s">
        <v>18958</v>
      </c>
      <c r="U11290" t="s">
        <v>26604</v>
      </c>
      <c r="V11290" t="s">
        <v>26610</v>
      </c>
      <c r="X11290">
        <v>2500</v>
      </c>
      <c r="Y11290" t="s">
        <v>26652</v>
      </c>
      <c r="Z11290" t="s">
        <v>26667</v>
      </c>
      <c r="AB11290" t="s">
        <v>34396</v>
      </c>
      <c r="AC11290" t="s">
        <v>19330</v>
      </c>
      <c r="AD11290" t="s">
        <v>45454</v>
      </c>
      <c r="AE11290">
        <v>82</v>
      </c>
      <c r="AF11290" t="s">
        <v>45541</v>
      </c>
      <c r="AG11290" t="s">
        <v>19330</v>
      </c>
      <c r="AH11290">
        <v>5</v>
      </c>
      <c r="AI11290">
        <v>2</v>
      </c>
      <c r="AJ11290">
        <v>0</v>
      </c>
      <c r="AK11290">
        <v>650.5</v>
      </c>
      <c r="AN11290" t="s">
        <v>45595</v>
      </c>
      <c r="AO11290">
        <v>110000</v>
      </c>
      <c r="AP11290" t="s">
        <v>46356</v>
      </c>
      <c r="AU11290">
        <v>0</v>
      </c>
      <c r="AW11290" t="s">
        <v>279</v>
      </c>
      <c r="AX11290" t="s">
        <v>46897</v>
      </c>
    </row>
    <row r="11291" spans="1:50">
      <c r="A11291" s="1">
        <f>HYPERLINK("https://lsnyc.legalserver.org/matter/dynamic-profile/view/1903144","19-1903144")</f>
        <v>0</v>
      </c>
      <c r="B11291" t="s">
        <v>179</v>
      </c>
      <c r="C11291" t="s">
        <v>340</v>
      </c>
      <c r="D11291" t="s">
        <v>835</v>
      </c>
      <c r="F11291" t="s">
        <v>5042</v>
      </c>
      <c r="G11291" t="s">
        <v>9595</v>
      </c>
      <c r="H11291" t="s">
        <v>17188</v>
      </c>
      <c r="I11291" t="s">
        <v>17349</v>
      </c>
      <c r="J11291" t="s">
        <v>18894</v>
      </c>
      <c r="K11291">
        <v>11226</v>
      </c>
      <c r="L11291" t="s">
        <v>18960</v>
      </c>
      <c r="M11291" t="s">
        <v>18960</v>
      </c>
      <c r="N11291" t="s">
        <v>26451</v>
      </c>
      <c r="O11291" t="s">
        <v>26523</v>
      </c>
      <c r="R11291" t="s">
        <v>26583</v>
      </c>
      <c r="U11291" t="s">
        <v>26604</v>
      </c>
      <c r="X11291">
        <v>1323</v>
      </c>
      <c r="Y11291" t="s">
        <v>26652</v>
      </c>
      <c r="Z11291" t="s">
        <v>26659</v>
      </c>
      <c r="AB11291" t="s">
        <v>28347</v>
      </c>
      <c r="AD11291" t="s">
        <v>45455</v>
      </c>
      <c r="AE11291">
        <v>36</v>
      </c>
      <c r="AF11291" t="s">
        <v>20460</v>
      </c>
      <c r="AG11291" t="s">
        <v>45556</v>
      </c>
      <c r="AH11291">
        <v>9</v>
      </c>
      <c r="AI11291">
        <v>1</v>
      </c>
      <c r="AJ11291">
        <v>0</v>
      </c>
      <c r="AK11291">
        <v>336.29</v>
      </c>
      <c r="AN11291" t="s">
        <v>7439</v>
      </c>
      <c r="AO11291">
        <v>42003</v>
      </c>
      <c r="AU11291">
        <v>3.2</v>
      </c>
      <c r="AV11291" t="s">
        <v>836</v>
      </c>
      <c r="AW11291" t="s">
        <v>46841</v>
      </c>
    </row>
    <row r="11292" spans="1:50">
      <c r="A11292" s="1">
        <f>HYPERLINK("https://lsnyc.legalserver.org/matter/dynamic-profile/view/1903129","19-1903129")</f>
        <v>0</v>
      </c>
      <c r="B11292" t="s">
        <v>234</v>
      </c>
      <c r="C11292" t="s">
        <v>340</v>
      </c>
      <c r="D11292" t="s">
        <v>835</v>
      </c>
      <c r="F11292" t="s">
        <v>1463</v>
      </c>
      <c r="G11292" t="s">
        <v>5330</v>
      </c>
      <c r="H11292" t="s">
        <v>17189</v>
      </c>
      <c r="I11292">
        <v>20</v>
      </c>
      <c r="J11292" t="s">
        <v>18893</v>
      </c>
      <c r="K11292">
        <v>10031</v>
      </c>
      <c r="L11292" t="s">
        <v>18960</v>
      </c>
      <c r="M11292" t="s">
        <v>18960</v>
      </c>
      <c r="O11292" t="s">
        <v>26523</v>
      </c>
      <c r="R11292" t="s">
        <v>26580</v>
      </c>
      <c r="S11292" t="s">
        <v>18959</v>
      </c>
      <c r="U11292" t="s">
        <v>26604</v>
      </c>
      <c r="X11292">
        <v>481.82</v>
      </c>
      <c r="Y11292" t="s">
        <v>26651</v>
      </c>
      <c r="AB11292" t="s">
        <v>34397</v>
      </c>
      <c r="AD11292" t="s">
        <v>45456</v>
      </c>
      <c r="AE11292">
        <v>0</v>
      </c>
      <c r="AH11292">
        <v>33</v>
      </c>
      <c r="AI11292">
        <v>3</v>
      </c>
      <c r="AJ11292">
        <v>0</v>
      </c>
      <c r="AK11292">
        <v>15.81</v>
      </c>
      <c r="AN11292" t="s">
        <v>45581</v>
      </c>
      <c r="AO11292">
        <v>3372</v>
      </c>
      <c r="AU11292">
        <v>1.75</v>
      </c>
      <c r="AV11292" t="s">
        <v>838</v>
      </c>
      <c r="AW11292" t="s">
        <v>46890</v>
      </c>
    </row>
    <row r="11293" spans="1:50">
      <c r="A11293" s="1">
        <f>HYPERLINK("https://lsnyc.legalserver.org/matter/dynamic-profile/view/1903173","19-1903173")</f>
        <v>0</v>
      </c>
      <c r="B11293" t="s">
        <v>74</v>
      </c>
      <c r="C11293" t="s">
        <v>340</v>
      </c>
      <c r="D11293" t="s">
        <v>835</v>
      </c>
      <c r="F11293" t="s">
        <v>1502</v>
      </c>
      <c r="G11293" t="s">
        <v>5121</v>
      </c>
      <c r="H11293" t="s">
        <v>17190</v>
      </c>
      <c r="I11293" t="s">
        <v>18635</v>
      </c>
      <c r="J11293" t="s">
        <v>18893</v>
      </c>
      <c r="K11293">
        <v>10029</v>
      </c>
      <c r="L11293" t="s">
        <v>18960</v>
      </c>
      <c r="M11293" t="s">
        <v>18960</v>
      </c>
      <c r="R11293" t="s">
        <v>26591</v>
      </c>
      <c r="U11293" t="s">
        <v>26605</v>
      </c>
      <c r="X11293">
        <v>193</v>
      </c>
      <c r="Y11293" t="s">
        <v>26651</v>
      </c>
      <c r="Z11293" t="s">
        <v>26659</v>
      </c>
      <c r="AB11293" t="s">
        <v>34398</v>
      </c>
      <c r="AD11293" t="s">
        <v>45457</v>
      </c>
      <c r="AE11293">
        <v>0</v>
      </c>
      <c r="AF11293" t="s">
        <v>45549</v>
      </c>
      <c r="AH11293">
        <v>2</v>
      </c>
      <c r="AI11293">
        <v>1</v>
      </c>
      <c r="AJ11293">
        <v>0</v>
      </c>
      <c r="AK11293">
        <v>66.58</v>
      </c>
      <c r="AN11293" t="s">
        <v>7439</v>
      </c>
      <c r="AO11293">
        <v>8316</v>
      </c>
      <c r="AU11293">
        <v>1</v>
      </c>
      <c r="AV11293" t="s">
        <v>835</v>
      </c>
      <c r="AW11293" t="s">
        <v>46858</v>
      </c>
    </row>
    <row r="11294" spans="1:50">
      <c r="A11294" s="1">
        <f>HYPERLINK("https://lsnyc.legalserver.org/matter/dynamic-profile/view/1903147","19-1903147")</f>
        <v>0</v>
      </c>
      <c r="B11294" t="s">
        <v>71</v>
      </c>
      <c r="C11294" t="s">
        <v>340</v>
      </c>
      <c r="D11294" t="s">
        <v>835</v>
      </c>
      <c r="F11294" t="s">
        <v>1197</v>
      </c>
      <c r="G11294" t="s">
        <v>9596</v>
      </c>
      <c r="H11294" t="s">
        <v>17191</v>
      </c>
      <c r="I11294" t="s">
        <v>17967</v>
      </c>
      <c r="J11294" t="s">
        <v>18892</v>
      </c>
      <c r="K11294">
        <v>10468</v>
      </c>
      <c r="L11294" t="s">
        <v>18958</v>
      </c>
      <c r="M11294" t="s">
        <v>18960</v>
      </c>
      <c r="N11294" t="s">
        <v>26452</v>
      </c>
      <c r="O11294" t="s">
        <v>26523</v>
      </c>
      <c r="R11294" t="s">
        <v>26579</v>
      </c>
      <c r="S11294" t="s">
        <v>18959</v>
      </c>
      <c r="U11294" t="s">
        <v>26604</v>
      </c>
      <c r="X11294">
        <v>1725</v>
      </c>
      <c r="Y11294" t="s">
        <v>26650</v>
      </c>
      <c r="AB11294" t="s">
        <v>34317</v>
      </c>
      <c r="AE11294">
        <v>0</v>
      </c>
      <c r="AH11294">
        <v>2</v>
      </c>
      <c r="AI11294">
        <v>2</v>
      </c>
      <c r="AJ11294">
        <v>1</v>
      </c>
      <c r="AK11294">
        <v>0</v>
      </c>
      <c r="AN11294" t="s">
        <v>45581</v>
      </c>
      <c r="AO11294">
        <v>0</v>
      </c>
      <c r="AU11294">
        <v>0</v>
      </c>
      <c r="AW11294" t="s">
        <v>335</v>
      </c>
      <c r="AX11294" t="s">
        <v>46897</v>
      </c>
    </row>
    <row r="11295" spans="1:50">
      <c r="A11295" s="1">
        <f>HYPERLINK("https://lsnyc.legalserver.org/matter/dynamic-profile/view/1903156","19-1903156")</f>
        <v>0</v>
      </c>
      <c r="B11295" t="s">
        <v>71</v>
      </c>
      <c r="C11295" t="s">
        <v>340</v>
      </c>
      <c r="D11295" t="s">
        <v>835</v>
      </c>
      <c r="F11295" t="s">
        <v>3667</v>
      </c>
      <c r="G11295" t="s">
        <v>9229</v>
      </c>
      <c r="H11295" t="s">
        <v>16424</v>
      </c>
      <c r="I11295" t="s">
        <v>17436</v>
      </c>
      <c r="J11295" t="s">
        <v>18892</v>
      </c>
      <c r="K11295">
        <v>10467</v>
      </c>
      <c r="L11295" t="s">
        <v>18958</v>
      </c>
      <c r="M11295" t="s">
        <v>18960</v>
      </c>
      <c r="N11295" t="s">
        <v>26453</v>
      </c>
      <c r="O11295" t="s">
        <v>26523</v>
      </c>
      <c r="P11295" t="s">
        <v>26560</v>
      </c>
      <c r="R11295" t="s">
        <v>26579</v>
      </c>
      <c r="S11295" t="s">
        <v>18959</v>
      </c>
      <c r="U11295" t="s">
        <v>26604</v>
      </c>
      <c r="V11295" t="s">
        <v>26610</v>
      </c>
      <c r="X11295">
        <v>1087</v>
      </c>
      <c r="Y11295" t="s">
        <v>26650</v>
      </c>
      <c r="AB11295" t="s">
        <v>31526</v>
      </c>
      <c r="AD11295" t="s">
        <v>44547</v>
      </c>
      <c r="AE11295">
        <v>70</v>
      </c>
      <c r="AF11295" t="s">
        <v>20460</v>
      </c>
      <c r="AH11295">
        <v>9</v>
      </c>
      <c r="AI11295">
        <v>1</v>
      </c>
      <c r="AJ11295">
        <v>0</v>
      </c>
      <c r="AK11295">
        <v>448.36</v>
      </c>
      <c r="AN11295" t="s">
        <v>7439</v>
      </c>
      <c r="AO11295">
        <v>56000</v>
      </c>
      <c r="AP11295" t="s">
        <v>46303</v>
      </c>
      <c r="AU11295">
        <v>0</v>
      </c>
      <c r="AW11295" t="s">
        <v>71</v>
      </c>
      <c r="AX11295" t="s">
        <v>46897</v>
      </c>
    </row>
    <row r="11296" spans="1:50">
      <c r="A11296" s="1">
        <f>HYPERLINK("https://lsnyc.legalserver.org/matter/dynamic-profile/view/1903192","19-1903192")</f>
        <v>0</v>
      </c>
      <c r="B11296" t="s">
        <v>288</v>
      </c>
      <c r="C11296" t="s">
        <v>340</v>
      </c>
      <c r="D11296" t="s">
        <v>835</v>
      </c>
      <c r="F11296" t="s">
        <v>5043</v>
      </c>
      <c r="G11296" t="s">
        <v>9597</v>
      </c>
      <c r="H11296" t="s">
        <v>17192</v>
      </c>
      <c r="I11296" t="s">
        <v>17410</v>
      </c>
      <c r="J11296" t="s">
        <v>18894</v>
      </c>
      <c r="K11296">
        <v>11218</v>
      </c>
      <c r="L11296" t="s">
        <v>18958</v>
      </c>
      <c r="M11296" t="s">
        <v>18960</v>
      </c>
      <c r="N11296" t="s">
        <v>26454</v>
      </c>
      <c r="O11296" t="s">
        <v>26523</v>
      </c>
      <c r="P11296" t="s">
        <v>26563</v>
      </c>
      <c r="R11296" t="s">
        <v>26586</v>
      </c>
      <c r="U11296" t="s">
        <v>26604</v>
      </c>
      <c r="X11296">
        <v>1800</v>
      </c>
      <c r="Y11296" t="s">
        <v>26652</v>
      </c>
      <c r="Z11296" t="s">
        <v>26664</v>
      </c>
      <c r="AB11296" t="s">
        <v>34399</v>
      </c>
      <c r="AC11296" t="s">
        <v>36805</v>
      </c>
      <c r="AE11296">
        <v>6</v>
      </c>
      <c r="AG11296" t="s">
        <v>45556</v>
      </c>
      <c r="AH11296">
        <v>5</v>
      </c>
      <c r="AI11296">
        <v>2</v>
      </c>
      <c r="AJ11296">
        <v>1</v>
      </c>
      <c r="AK11296">
        <v>109.7</v>
      </c>
      <c r="AN11296" t="s">
        <v>7439</v>
      </c>
      <c r="AO11296">
        <v>23400</v>
      </c>
      <c r="AU11296">
        <v>1.1</v>
      </c>
      <c r="AV11296" t="s">
        <v>821</v>
      </c>
      <c r="AW11296" t="s">
        <v>46862</v>
      </c>
      <c r="AX11296" t="s">
        <v>46897</v>
      </c>
    </row>
    <row r="11297" spans="1:50">
      <c r="A11297" s="1">
        <f>HYPERLINK("https://lsnyc.legalserver.org/matter/dynamic-profile/view/1903175","19-1903175")</f>
        <v>0</v>
      </c>
      <c r="B11297" t="s">
        <v>82</v>
      </c>
      <c r="C11297" t="s">
        <v>340</v>
      </c>
      <c r="D11297" t="s">
        <v>835</v>
      </c>
      <c r="F11297" t="s">
        <v>1366</v>
      </c>
      <c r="G11297" t="s">
        <v>9110</v>
      </c>
      <c r="H11297" t="s">
        <v>10911</v>
      </c>
      <c r="I11297">
        <v>3</v>
      </c>
      <c r="J11297" t="s">
        <v>18892</v>
      </c>
      <c r="K11297">
        <v>10460</v>
      </c>
      <c r="L11297" t="s">
        <v>18958</v>
      </c>
      <c r="M11297" t="s">
        <v>18960</v>
      </c>
      <c r="N11297" t="s">
        <v>26455</v>
      </c>
      <c r="O11297" t="s">
        <v>26523</v>
      </c>
      <c r="R11297" t="s">
        <v>26577</v>
      </c>
      <c r="U11297" t="s">
        <v>26604</v>
      </c>
      <c r="X11297">
        <v>1000</v>
      </c>
      <c r="Y11297" t="s">
        <v>26650</v>
      </c>
      <c r="AB11297" t="s">
        <v>34400</v>
      </c>
      <c r="AD11297" t="s">
        <v>45458</v>
      </c>
      <c r="AE11297">
        <v>26</v>
      </c>
      <c r="AH11297">
        <v>35</v>
      </c>
      <c r="AI11297">
        <v>1</v>
      </c>
      <c r="AJ11297">
        <v>0</v>
      </c>
      <c r="AK11297">
        <v>331.4</v>
      </c>
      <c r="AN11297" t="s">
        <v>7439</v>
      </c>
      <c r="AO11297">
        <v>41392</v>
      </c>
      <c r="AU11297">
        <v>0</v>
      </c>
      <c r="AW11297" t="s">
        <v>335</v>
      </c>
      <c r="AX11297" t="s">
        <v>46897</v>
      </c>
    </row>
    <row r="11298" spans="1:50">
      <c r="A11298" s="1">
        <f>HYPERLINK("https://lsnyc.legalserver.org/matter/dynamic-profile/view/1903176","19-1903176")</f>
        <v>0</v>
      </c>
      <c r="B11298" t="s">
        <v>200</v>
      </c>
      <c r="C11298" t="s">
        <v>340</v>
      </c>
      <c r="D11298" t="s">
        <v>835</v>
      </c>
      <c r="F11298" t="s">
        <v>1228</v>
      </c>
      <c r="G11298" t="s">
        <v>5078</v>
      </c>
      <c r="H11298" t="s">
        <v>17193</v>
      </c>
      <c r="I11298" t="s">
        <v>17299</v>
      </c>
      <c r="J11298" t="s">
        <v>18894</v>
      </c>
      <c r="K11298">
        <v>11233</v>
      </c>
      <c r="L11298" t="s">
        <v>18959</v>
      </c>
      <c r="M11298" t="s">
        <v>18960</v>
      </c>
      <c r="N11298" t="s">
        <v>26456</v>
      </c>
      <c r="O11298" t="s">
        <v>26523</v>
      </c>
      <c r="R11298" t="s">
        <v>26578</v>
      </c>
      <c r="S11298" t="s">
        <v>18959</v>
      </c>
      <c r="U11298" t="s">
        <v>26604</v>
      </c>
      <c r="V11298" t="s">
        <v>26610</v>
      </c>
      <c r="X11298">
        <v>1300</v>
      </c>
      <c r="Y11298" t="s">
        <v>26652</v>
      </c>
      <c r="Z11298" t="s">
        <v>26657</v>
      </c>
      <c r="AC11298" t="s">
        <v>19330</v>
      </c>
      <c r="AD11298" t="s">
        <v>45459</v>
      </c>
      <c r="AE11298">
        <v>6</v>
      </c>
      <c r="AF11298" t="s">
        <v>45541</v>
      </c>
      <c r="AG11298" t="s">
        <v>19330</v>
      </c>
      <c r="AH11298">
        <v>10</v>
      </c>
      <c r="AI11298">
        <v>1</v>
      </c>
      <c r="AJ11298">
        <v>0</v>
      </c>
      <c r="AK11298">
        <v>191.51</v>
      </c>
      <c r="AN11298" t="s">
        <v>7439</v>
      </c>
      <c r="AO11298">
        <v>23920</v>
      </c>
      <c r="AU11298">
        <v>0</v>
      </c>
      <c r="AW11298" t="s">
        <v>279</v>
      </c>
      <c r="AX11298" t="s">
        <v>19330</v>
      </c>
    </row>
    <row r="11299" spans="1:50">
      <c r="A11299" s="1">
        <f>HYPERLINK("https://lsnyc.legalserver.org/matter/dynamic-profile/view/1903131","19-1903131")</f>
        <v>0</v>
      </c>
      <c r="B11299" t="s">
        <v>249</v>
      </c>
      <c r="C11299" t="s">
        <v>340</v>
      </c>
      <c r="D11299" t="s">
        <v>835</v>
      </c>
      <c r="F11299" t="s">
        <v>5044</v>
      </c>
      <c r="G11299" t="s">
        <v>9598</v>
      </c>
      <c r="H11299" t="s">
        <v>17194</v>
      </c>
      <c r="I11299" t="s">
        <v>17416</v>
      </c>
      <c r="J11299" t="s">
        <v>18894</v>
      </c>
      <c r="K11299">
        <v>11212</v>
      </c>
      <c r="L11299" t="s">
        <v>18959</v>
      </c>
      <c r="M11299" t="s">
        <v>18960</v>
      </c>
      <c r="N11299" t="s">
        <v>19330</v>
      </c>
      <c r="O11299" t="s">
        <v>18997</v>
      </c>
      <c r="P11299" t="s">
        <v>26564</v>
      </c>
      <c r="R11299" t="s">
        <v>26578</v>
      </c>
      <c r="S11299" t="s">
        <v>18959</v>
      </c>
      <c r="U11299" t="s">
        <v>26604</v>
      </c>
      <c r="V11299" t="s">
        <v>26610</v>
      </c>
      <c r="X11299">
        <v>1235</v>
      </c>
      <c r="Y11299" t="s">
        <v>26652</v>
      </c>
      <c r="Z11299" t="s">
        <v>26661</v>
      </c>
      <c r="AB11299" t="s">
        <v>34401</v>
      </c>
      <c r="AC11299" t="s">
        <v>36806</v>
      </c>
      <c r="AE11299">
        <v>4</v>
      </c>
      <c r="AF11299" t="s">
        <v>45547</v>
      </c>
      <c r="AG11299" t="s">
        <v>45560</v>
      </c>
      <c r="AH11299">
        <v>30</v>
      </c>
      <c r="AI11299">
        <v>1</v>
      </c>
      <c r="AJ11299">
        <v>0</v>
      </c>
      <c r="AK11299">
        <v>151.8</v>
      </c>
      <c r="AN11299" t="s">
        <v>7439</v>
      </c>
      <c r="AO11299">
        <v>18960</v>
      </c>
      <c r="AU11299">
        <v>0.66</v>
      </c>
      <c r="AV11299" t="s">
        <v>835</v>
      </c>
      <c r="AW11299" t="s">
        <v>46860</v>
      </c>
      <c r="AX11299" t="s">
        <v>19330</v>
      </c>
    </row>
    <row r="11300" spans="1:50">
      <c r="A11300" s="1">
        <f>HYPERLINK("https://lsnyc.legalserver.org/matter/dynamic-profile/view/1903201","19-1903201")</f>
        <v>0</v>
      </c>
      <c r="B11300" t="s">
        <v>238</v>
      </c>
      <c r="C11300" t="s">
        <v>340</v>
      </c>
      <c r="D11300" t="s">
        <v>835</v>
      </c>
      <c r="F11300" t="s">
        <v>928</v>
      </c>
      <c r="G11300" t="s">
        <v>7640</v>
      </c>
      <c r="H11300" t="s">
        <v>17195</v>
      </c>
      <c r="I11300" t="s">
        <v>17284</v>
      </c>
      <c r="J11300" t="s">
        <v>18894</v>
      </c>
      <c r="K11300">
        <v>11205</v>
      </c>
      <c r="L11300" t="s">
        <v>18958</v>
      </c>
      <c r="M11300" t="s">
        <v>18960</v>
      </c>
      <c r="N11300" t="s">
        <v>26457</v>
      </c>
      <c r="O11300" t="s">
        <v>26523</v>
      </c>
      <c r="P11300" t="s">
        <v>26564</v>
      </c>
      <c r="R11300" t="s">
        <v>26586</v>
      </c>
      <c r="U11300" t="s">
        <v>26605</v>
      </c>
      <c r="X11300">
        <v>720</v>
      </c>
      <c r="Y11300" t="s">
        <v>26652</v>
      </c>
      <c r="Z11300" t="s">
        <v>26664</v>
      </c>
      <c r="AB11300" t="s">
        <v>34402</v>
      </c>
      <c r="AD11300" t="s">
        <v>45460</v>
      </c>
      <c r="AE11300">
        <v>79</v>
      </c>
      <c r="AF11300" t="s">
        <v>45549</v>
      </c>
      <c r="AH11300">
        <v>0</v>
      </c>
      <c r="AI11300">
        <v>1</v>
      </c>
      <c r="AJ11300">
        <v>0</v>
      </c>
      <c r="AK11300">
        <v>271.13</v>
      </c>
      <c r="AN11300" t="s">
        <v>7439</v>
      </c>
      <c r="AO11300">
        <v>33864</v>
      </c>
      <c r="AU11300">
        <v>1</v>
      </c>
      <c r="AV11300" t="s">
        <v>835</v>
      </c>
      <c r="AW11300" t="s">
        <v>46862</v>
      </c>
      <c r="AX11300" t="s">
        <v>46897</v>
      </c>
    </row>
    <row r="11301" spans="1:50">
      <c r="A11301" s="1">
        <f>HYPERLINK("https://lsnyc.legalserver.org/matter/dynamic-profile/view/1903151","19-1903151")</f>
        <v>0</v>
      </c>
      <c r="B11301" t="s">
        <v>252</v>
      </c>
      <c r="C11301" t="s">
        <v>340</v>
      </c>
      <c r="D11301" t="s">
        <v>835</v>
      </c>
      <c r="F11301" t="s">
        <v>5045</v>
      </c>
      <c r="G11301" t="s">
        <v>5590</v>
      </c>
      <c r="H11301" t="s">
        <v>17196</v>
      </c>
      <c r="I11301" t="s">
        <v>17277</v>
      </c>
      <c r="J11301" t="s">
        <v>18894</v>
      </c>
      <c r="K11301">
        <v>11207</v>
      </c>
      <c r="L11301" t="s">
        <v>18960</v>
      </c>
      <c r="M11301" t="s">
        <v>18960</v>
      </c>
      <c r="O11301" t="s">
        <v>18997</v>
      </c>
      <c r="R11301" t="s">
        <v>26591</v>
      </c>
      <c r="U11301" t="s">
        <v>26605</v>
      </c>
      <c r="X11301">
        <v>0</v>
      </c>
      <c r="Y11301" t="s">
        <v>26652</v>
      </c>
      <c r="AB11301" t="s">
        <v>34403</v>
      </c>
      <c r="AD11301" t="s">
        <v>45461</v>
      </c>
      <c r="AE11301">
        <v>0</v>
      </c>
      <c r="AH11301">
        <v>0</v>
      </c>
      <c r="AI11301">
        <v>1</v>
      </c>
      <c r="AJ11301">
        <v>0</v>
      </c>
      <c r="AK11301">
        <v>121.83</v>
      </c>
      <c r="AN11301" t="s">
        <v>7439</v>
      </c>
      <c r="AO11301">
        <v>15216</v>
      </c>
      <c r="AU11301">
        <v>1</v>
      </c>
      <c r="AV11301" t="s">
        <v>835</v>
      </c>
      <c r="AW11301" t="s">
        <v>46859</v>
      </c>
    </row>
    <row r="11302" spans="1:50">
      <c r="A11302" s="1">
        <f>HYPERLINK("https://lsnyc.legalserver.org/matter/dynamic-profile/view/1903107","19-1903107")</f>
        <v>0</v>
      </c>
      <c r="B11302" t="s">
        <v>252</v>
      </c>
      <c r="C11302" t="s">
        <v>340</v>
      </c>
      <c r="D11302" t="s">
        <v>835</v>
      </c>
      <c r="F11302" t="s">
        <v>4054</v>
      </c>
      <c r="G11302" t="s">
        <v>9599</v>
      </c>
      <c r="H11302" t="s">
        <v>17197</v>
      </c>
      <c r="I11302" t="s">
        <v>17347</v>
      </c>
      <c r="J11302" t="s">
        <v>18894</v>
      </c>
      <c r="K11302">
        <v>11230</v>
      </c>
      <c r="L11302" t="s">
        <v>18960</v>
      </c>
      <c r="M11302" t="s">
        <v>18960</v>
      </c>
      <c r="R11302" t="s">
        <v>26583</v>
      </c>
      <c r="U11302" t="s">
        <v>26604</v>
      </c>
      <c r="X11302">
        <v>1650</v>
      </c>
      <c r="Y11302" t="s">
        <v>26652</v>
      </c>
      <c r="Z11302" t="s">
        <v>26661</v>
      </c>
      <c r="AB11302" t="s">
        <v>34404</v>
      </c>
      <c r="AE11302">
        <v>0</v>
      </c>
      <c r="AG11302" t="s">
        <v>19330</v>
      </c>
      <c r="AH11302">
        <v>10</v>
      </c>
      <c r="AI11302">
        <v>1</v>
      </c>
      <c r="AJ11302">
        <v>0</v>
      </c>
      <c r="AK11302">
        <v>256.2</v>
      </c>
      <c r="AN11302" t="s">
        <v>7439</v>
      </c>
      <c r="AO11302">
        <v>32000</v>
      </c>
      <c r="AU11302">
        <v>0.6</v>
      </c>
      <c r="AV11302" t="s">
        <v>835</v>
      </c>
      <c r="AW11302" t="s">
        <v>46842</v>
      </c>
    </row>
    <row r="11303" spans="1:50">
      <c r="A11303" s="1">
        <f>HYPERLINK("https://lsnyc.legalserver.org/matter/dynamic-profile/view/1903108","19-1903108")</f>
        <v>0</v>
      </c>
      <c r="B11303" t="s">
        <v>65</v>
      </c>
      <c r="C11303" t="s">
        <v>340</v>
      </c>
      <c r="D11303" t="s">
        <v>835</v>
      </c>
      <c r="F11303" t="s">
        <v>887</v>
      </c>
      <c r="G11303" t="s">
        <v>9600</v>
      </c>
      <c r="H11303" t="s">
        <v>11344</v>
      </c>
      <c r="I11303" t="s">
        <v>17356</v>
      </c>
      <c r="J11303" t="s">
        <v>18892</v>
      </c>
      <c r="K11303">
        <v>10457</v>
      </c>
      <c r="L11303" t="s">
        <v>18958</v>
      </c>
      <c r="M11303" t="s">
        <v>18960</v>
      </c>
      <c r="N11303" t="s">
        <v>26458</v>
      </c>
      <c r="O11303" t="s">
        <v>26523</v>
      </c>
      <c r="R11303" t="s">
        <v>26579</v>
      </c>
      <c r="S11303" t="s">
        <v>18959</v>
      </c>
      <c r="U11303" t="s">
        <v>26604</v>
      </c>
      <c r="X11303">
        <v>1162.09</v>
      </c>
      <c r="Y11303" t="s">
        <v>26650</v>
      </c>
      <c r="AB11303" t="s">
        <v>34405</v>
      </c>
      <c r="AE11303">
        <v>49</v>
      </c>
      <c r="AF11303" t="s">
        <v>45547</v>
      </c>
      <c r="AH11303">
        <v>21</v>
      </c>
      <c r="AI11303">
        <v>5</v>
      </c>
      <c r="AJ11303">
        <v>0</v>
      </c>
      <c r="AK11303">
        <v>92.81</v>
      </c>
      <c r="AN11303" t="s">
        <v>45581</v>
      </c>
      <c r="AO11303">
        <v>28000</v>
      </c>
      <c r="AU11303">
        <v>0</v>
      </c>
      <c r="AW11303" t="s">
        <v>335</v>
      </c>
      <c r="AX11303" t="s">
        <v>46897</v>
      </c>
    </row>
    <row r="11304" spans="1:50">
      <c r="A11304" s="1">
        <f>HYPERLINK("https://lsnyc.legalserver.org/matter/dynamic-profile/view/1903134","19-1903134")</f>
        <v>0</v>
      </c>
      <c r="B11304" t="s">
        <v>65</v>
      </c>
      <c r="C11304" t="s">
        <v>340</v>
      </c>
      <c r="D11304" t="s">
        <v>835</v>
      </c>
      <c r="F11304" t="s">
        <v>5046</v>
      </c>
      <c r="G11304" t="s">
        <v>9601</v>
      </c>
      <c r="H11304" t="s">
        <v>17198</v>
      </c>
      <c r="I11304" t="s">
        <v>17272</v>
      </c>
      <c r="J11304" t="s">
        <v>18892</v>
      </c>
      <c r="K11304">
        <v>10468</v>
      </c>
      <c r="L11304" t="s">
        <v>18958</v>
      </c>
      <c r="M11304" t="s">
        <v>18960</v>
      </c>
      <c r="N11304" t="s">
        <v>26459</v>
      </c>
      <c r="O11304" t="s">
        <v>26523</v>
      </c>
      <c r="R11304" t="s">
        <v>26579</v>
      </c>
      <c r="S11304" t="s">
        <v>18959</v>
      </c>
      <c r="U11304" t="s">
        <v>26604</v>
      </c>
      <c r="X11304">
        <v>940</v>
      </c>
      <c r="Y11304" t="s">
        <v>26650</v>
      </c>
      <c r="AB11304" t="s">
        <v>34406</v>
      </c>
      <c r="AD11304" t="s">
        <v>45462</v>
      </c>
      <c r="AE11304">
        <v>37</v>
      </c>
      <c r="AF11304" t="s">
        <v>45541</v>
      </c>
      <c r="AH11304">
        <v>30</v>
      </c>
      <c r="AI11304">
        <v>1</v>
      </c>
      <c r="AJ11304">
        <v>0</v>
      </c>
      <c r="AK11304">
        <v>145.72</v>
      </c>
      <c r="AN11304" t="s">
        <v>7439</v>
      </c>
      <c r="AO11304">
        <v>18200</v>
      </c>
      <c r="AU11304">
        <v>0</v>
      </c>
      <c r="AW11304" t="s">
        <v>335</v>
      </c>
      <c r="AX11304" t="s">
        <v>46897</v>
      </c>
    </row>
    <row r="11305" spans="1:50">
      <c r="A11305" s="1">
        <f>HYPERLINK("https://lsnyc.legalserver.org/matter/dynamic-profile/view/1903167","19-1903167")</f>
        <v>0</v>
      </c>
      <c r="B11305" t="s">
        <v>170</v>
      </c>
      <c r="C11305" t="s">
        <v>340</v>
      </c>
      <c r="D11305" t="s">
        <v>835</v>
      </c>
      <c r="F11305" t="s">
        <v>2002</v>
      </c>
      <c r="G11305" t="s">
        <v>5078</v>
      </c>
      <c r="H11305" t="s">
        <v>17199</v>
      </c>
      <c r="I11305">
        <v>13</v>
      </c>
      <c r="J11305" t="s">
        <v>18894</v>
      </c>
      <c r="K11305">
        <v>11220</v>
      </c>
      <c r="L11305" t="s">
        <v>18958</v>
      </c>
      <c r="M11305" t="s">
        <v>18960</v>
      </c>
      <c r="N11305" t="s">
        <v>26460</v>
      </c>
      <c r="O11305" t="s">
        <v>26524</v>
      </c>
      <c r="P11305" t="s">
        <v>26563</v>
      </c>
      <c r="R11305" t="s">
        <v>26586</v>
      </c>
      <c r="U11305" t="s">
        <v>26604</v>
      </c>
      <c r="X11305">
        <v>168</v>
      </c>
      <c r="Y11305" t="s">
        <v>26652</v>
      </c>
      <c r="Z11305" t="s">
        <v>26664</v>
      </c>
      <c r="AB11305" t="s">
        <v>29485</v>
      </c>
      <c r="AD11305" t="s">
        <v>45463</v>
      </c>
      <c r="AE11305">
        <v>12</v>
      </c>
      <c r="AG11305" t="s">
        <v>45556</v>
      </c>
      <c r="AH11305">
        <v>0</v>
      </c>
      <c r="AI11305">
        <v>1</v>
      </c>
      <c r="AJ11305">
        <v>0</v>
      </c>
      <c r="AK11305">
        <v>82.43000000000001</v>
      </c>
      <c r="AN11305" t="s">
        <v>7439</v>
      </c>
      <c r="AO11305">
        <v>10296</v>
      </c>
      <c r="AU11305">
        <v>1.1</v>
      </c>
      <c r="AV11305" t="s">
        <v>821</v>
      </c>
      <c r="AW11305" t="s">
        <v>46862</v>
      </c>
      <c r="AX11305" t="s">
        <v>46897</v>
      </c>
    </row>
    <row r="11306" spans="1:50">
      <c r="A11306" s="1">
        <f>HYPERLINK("https://lsnyc.legalserver.org/matter/dynamic-profile/view/1903093","19-1903093")</f>
        <v>0</v>
      </c>
      <c r="B11306" t="s">
        <v>106</v>
      </c>
      <c r="C11306" t="s">
        <v>340</v>
      </c>
      <c r="D11306" t="s">
        <v>835</v>
      </c>
      <c r="F11306" t="s">
        <v>5047</v>
      </c>
      <c r="G11306" t="s">
        <v>6005</v>
      </c>
      <c r="H11306" t="s">
        <v>17200</v>
      </c>
      <c r="I11306">
        <v>403</v>
      </c>
      <c r="J11306" t="s">
        <v>18894</v>
      </c>
      <c r="K11306">
        <v>11216</v>
      </c>
      <c r="L11306" t="s">
        <v>18958</v>
      </c>
      <c r="M11306" t="s">
        <v>18960</v>
      </c>
      <c r="N11306" t="s">
        <v>26461</v>
      </c>
      <c r="O11306" t="s">
        <v>26523</v>
      </c>
      <c r="P11306" t="s">
        <v>26560</v>
      </c>
      <c r="R11306" t="s">
        <v>26588</v>
      </c>
      <c r="S11306" t="s">
        <v>18959</v>
      </c>
      <c r="U11306" t="s">
        <v>26604</v>
      </c>
      <c r="X11306">
        <v>2350</v>
      </c>
      <c r="Y11306" t="s">
        <v>26652</v>
      </c>
      <c r="Z11306" t="s">
        <v>26669</v>
      </c>
      <c r="AB11306" t="s">
        <v>34407</v>
      </c>
      <c r="AD11306" t="s">
        <v>45464</v>
      </c>
      <c r="AE11306">
        <v>0</v>
      </c>
      <c r="AH11306">
        <v>4</v>
      </c>
      <c r="AI11306">
        <v>1</v>
      </c>
      <c r="AJ11306">
        <v>0</v>
      </c>
      <c r="AK11306">
        <v>192.15</v>
      </c>
      <c r="AN11306" t="s">
        <v>7439</v>
      </c>
      <c r="AO11306">
        <v>24000</v>
      </c>
      <c r="AU11306">
        <v>0.3</v>
      </c>
      <c r="AV11306" t="s">
        <v>835</v>
      </c>
      <c r="AW11306" t="s">
        <v>281</v>
      </c>
      <c r="AX11306" t="s">
        <v>46897</v>
      </c>
    </row>
    <row r="11307" spans="1:50">
      <c r="A11307" s="1">
        <f>HYPERLINK("https://lsnyc.legalserver.org/matter/dynamic-profile/view/1903244","19-1903244")</f>
        <v>0</v>
      </c>
      <c r="B11307" t="s">
        <v>288</v>
      </c>
      <c r="C11307" t="s">
        <v>341</v>
      </c>
      <c r="D11307" t="s">
        <v>821</v>
      </c>
      <c r="E11307" t="s">
        <v>821</v>
      </c>
      <c r="F11307" t="s">
        <v>1758</v>
      </c>
      <c r="G11307" t="s">
        <v>7315</v>
      </c>
      <c r="H11307" t="s">
        <v>15927</v>
      </c>
      <c r="I11307" t="s">
        <v>18877</v>
      </c>
      <c r="J11307" t="s">
        <v>18894</v>
      </c>
      <c r="K11307">
        <v>11218</v>
      </c>
      <c r="L11307" t="s">
        <v>18958</v>
      </c>
      <c r="M11307" t="s">
        <v>18960</v>
      </c>
      <c r="P11307" t="s">
        <v>26563</v>
      </c>
      <c r="Q11307" t="s">
        <v>26570</v>
      </c>
      <c r="R11307" t="s">
        <v>26586</v>
      </c>
      <c r="T11307" t="s">
        <v>26599</v>
      </c>
      <c r="U11307" t="s">
        <v>26604</v>
      </c>
      <c r="X11307">
        <v>1650</v>
      </c>
      <c r="Y11307" t="s">
        <v>26652</v>
      </c>
      <c r="Z11307" t="s">
        <v>26659</v>
      </c>
      <c r="AA11307" t="s">
        <v>26683</v>
      </c>
      <c r="AB11307" t="s">
        <v>33286</v>
      </c>
      <c r="AE11307">
        <v>0</v>
      </c>
      <c r="AH11307">
        <v>13</v>
      </c>
      <c r="AI11307">
        <v>1</v>
      </c>
      <c r="AJ11307">
        <v>0</v>
      </c>
      <c r="AK11307">
        <v>0</v>
      </c>
      <c r="AN11307" t="s">
        <v>7439</v>
      </c>
      <c r="AO11307">
        <v>0</v>
      </c>
      <c r="AU11307">
        <v>0.4</v>
      </c>
      <c r="AV11307" t="s">
        <v>821</v>
      </c>
      <c r="AW11307" t="s">
        <v>46856</v>
      </c>
      <c r="AX11307" t="s">
        <v>46897</v>
      </c>
    </row>
    <row r="11308" spans="1:50">
      <c r="A11308" s="1">
        <f>HYPERLINK("https://lsnyc.legalserver.org/matter/dynamic-profile/view/1903233","19-1903233")</f>
        <v>0</v>
      </c>
      <c r="B11308" t="s">
        <v>183</v>
      </c>
      <c r="C11308" t="s">
        <v>340</v>
      </c>
      <c r="D11308" t="s">
        <v>821</v>
      </c>
      <c r="F11308" t="s">
        <v>1602</v>
      </c>
      <c r="G11308" t="s">
        <v>5691</v>
      </c>
      <c r="H11308" t="s">
        <v>12275</v>
      </c>
      <c r="I11308" t="s">
        <v>17349</v>
      </c>
      <c r="J11308" t="s">
        <v>18893</v>
      </c>
      <c r="K11308">
        <v>10025</v>
      </c>
      <c r="L11308" t="s">
        <v>18958</v>
      </c>
      <c r="M11308" t="s">
        <v>18960</v>
      </c>
      <c r="N11308" t="s">
        <v>26462</v>
      </c>
      <c r="O11308" t="s">
        <v>26523</v>
      </c>
      <c r="P11308" t="s">
        <v>26560</v>
      </c>
      <c r="R11308" t="s">
        <v>26580</v>
      </c>
      <c r="S11308" t="s">
        <v>18959</v>
      </c>
      <c r="U11308" t="s">
        <v>26605</v>
      </c>
      <c r="X11308">
        <v>291</v>
      </c>
      <c r="Y11308" t="s">
        <v>26651</v>
      </c>
      <c r="Z11308" t="s">
        <v>26664</v>
      </c>
      <c r="AB11308" t="s">
        <v>34408</v>
      </c>
      <c r="AD11308" t="s">
        <v>45465</v>
      </c>
      <c r="AE11308">
        <v>0</v>
      </c>
      <c r="AF11308" t="s">
        <v>45549</v>
      </c>
      <c r="AH11308">
        <v>10</v>
      </c>
      <c r="AI11308">
        <v>1</v>
      </c>
      <c r="AJ11308">
        <v>1</v>
      </c>
      <c r="AK11308">
        <v>17.96</v>
      </c>
      <c r="AO11308">
        <v>3036.8</v>
      </c>
      <c r="AU11308">
        <v>0</v>
      </c>
      <c r="AW11308" t="s">
        <v>317</v>
      </c>
      <c r="AX11308" t="s">
        <v>46897</v>
      </c>
    </row>
    <row r="11309" spans="1:50">
      <c r="A11309" s="1">
        <f>HYPERLINK("https://lsnyc.legalserver.org/matter/dynamic-profile/view/1903275","19-1903275")</f>
        <v>0</v>
      </c>
      <c r="B11309" t="s">
        <v>219</v>
      </c>
      <c r="C11309" t="s">
        <v>340</v>
      </c>
      <c r="D11309" t="s">
        <v>821</v>
      </c>
      <c r="F11309" t="s">
        <v>953</v>
      </c>
      <c r="G11309" t="s">
        <v>9602</v>
      </c>
      <c r="H11309" t="s">
        <v>17201</v>
      </c>
      <c r="I11309" t="s">
        <v>17763</v>
      </c>
      <c r="J11309" t="s">
        <v>18894</v>
      </c>
      <c r="K11309">
        <v>11237</v>
      </c>
      <c r="L11309" t="s">
        <v>18960</v>
      </c>
      <c r="M11309" t="s">
        <v>18960</v>
      </c>
      <c r="N11309" t="s">
        <v>26463</v>
      </c>
      <c r="O11309" t="s">
        <v>26524</v>
      </c>
      <c r="R11309" t="s">
        <v>26591</v>
      </c>
      <c r="U11309" t="s">
        <v>26604</v>
      </c>
      <c r="X11309">
        <v>600</v>
      </c>
      <c r="Y11309" t="s">
        <v>26652</v>
      </c>
      <c r="AB11309" t="s">
        <v>34409</v>
      </c>
      <c r="AD11309" t="s">
        <v>45466</v>
      </c>
      <c r="AE11309">
        <v>0</v>
      </c>
      <c r="AF11309" t="s">
        <v>20460</v>
      </c>
      <c r="AG11309" t="s">
        <v>19330</v>
      </c>
      <c r="AH11309">
        <v>35</v>
      </c>
      <c r="AI11309">
        <v>2</v>
      </c>
      <c r="AJ11309">
        <v>0</v>
      </c>
      <c r="AK11309">
        <v>106.45</v>
      </c>
      <c r="AN11309" t="s">
        <v>7439</v>
      </c>
      <c r="AO11309">
        <v>18000</v>
      </c>
      <c r="AU11309">
        <v>1</v>
      </c>
      <c r="AV11309" t="s">
        <v>821</v>
      </c>
      <c r="AW11309" t="s">
        <v>46859</v>
      </c>
    </row>
    <row r="11310" spans="1:50">
      <c r="A11310" s="1">
        <f>HYPERLINK("https://lsnyc.legalserver.org/matter/dynamic-profile/view/1903272","19-1903272")</f>
        <v>0</v>
      </c>
      <c r="B11310" t="s">
        <v>169</v>
      </c>
      <c r="C11310" t="s">
        <v>340</v>
      </c>
      <c r="D11310" t="s">
        <v>821</v>
      </c>
      <c r="F11310" t="s">
        <v>1233</v>
      </c>
      <c r="G11310" t="s">
        <v>9603</v>
      </c>
      <c r="H11310" t="s">
        <v>11054</v>
      </c>
      <c r="I11310" t="s">
        <v>17325</v>
      </c>
      <c r="J11310" t="s">
        <v>18892</v>
      </c>
      <c r="K11310">
        <v>10459</v>
      </c>
      <c r="L11310" t="s">
        <v>18960</v>
      </c>
      <c r="M11310" t="s">
        <v>18960</v>
      </c>
      <c r="N11310" t="s">
        <v>26464</v>
      </c>
      <c r="R11310" t="s">
        <v>26578</v>
      </c>
      <c r="S11310" t="s">
        <v>18959</v>
      </c>
      <c r="U11310" t="s">
        <v>26604</v>
      </c>
      <c r="X11310">
        <v>1000.12</v>
      </c>
      <c r="Y11310" t="s">
        <v>26650</v>
      </c>
      <c r="AB11310" t="s">
        <v>34410</v>
      </c>
      <c r="AD11310" t="s">
        <v>45467</v>
      </c>
      <c r="AE11310">
        <v>0</v>
      </c>
      <c r="AF11310" t="s">
        <v>20460</v>
      </c>
      <c r="AG11310" t="s">
        <v>45560</v>
      </c>
      <c r="AH11310">
        <v>9</v>
      </c>
      <c r="AI11310">
        <v>2</v>
      </c>
      <c r="AJ11310">
        <v>0</v>
      </c>
      <c r="AK11310">
        <v>140.56</v>
      </c>
      <c r="AN11310" t="s">
        <v>7439</v>
      </c>
      <c r="AO11310">
        <v>23769.32</v>
      </c>
      <c r="AU11310">
        <v>0</v>
      </c>
      <c r="AW11310" t="s">
        <v>46832</v>
      </c>
    </row>
    <row r="11311" spans="1:50">
      <c r="A11311" s="1">
        <f>HYPERLINK("https://lsnyc.legalserver.org/matter/dynamic-profile/view/1903231","19-1903231")</f>
        <v>0</v>
      </c>
      <c r="B11311" t="s">
        <v>211</v>
      </c>
      <c r="C11311" t="s">
        <v>340</v>
      </c>
      <c r="D11311" t="s">
        <v>821</v>
      </c>
      <c r="F11311" t="s">
        <v>1328</v>
      </c>
      <c r="G11311" t="s">
        <v>8579</v>
      </c>
      <c r="H11311" t="s">
        <v>14786</v>
      </c>
      <c r="I11311" t="s">
        <v>17293</v>
      </c>
      <c r="J11311" t="s">
        <v>18894</v>
      </c>
      <c r="K11311">
        <v>11212</v>
      </c>
      <c r="L11311" t="s">
        <v>18958</v>
      </c>
      <c r="M11311" t="s">
        <v>18960</v>
      </c>
      <c r="N11311" t="s">
        <v>19330</v>
      </c>
      <c r="O11311" t="s">
        <v>26523</v>
      </c>
      <c r="P11311" t="s">
        <v>26560</v>
      </c>
      <c r="R11311" t="s">
        <v>26578</v>
      </c>
      <c r="S11311" t="s">
        <v>18959</v>
      </c>
      <c r="U11311" t="s">
        <v>26604</v>
      </c>
      <c r="V11311" t="s">
        <v>26610</v>
      </c>
      <c r="X11311">
        <v>0</v>
      </c>
      <c r="Y11311" t="s">
        <v>26652</v>
      </c>
      <c r="AB11311" t="s">
        <v>34411</v>
      </c>
      <c r="AC11311" t="s">
        <v>19330</v>
      </c>
      <c r="AD11311" t="s">
        <v>45468</v>
      </c>
      <c r="AE11311">
        <v>0</v>
      </c>
      <c r="AF11311" t="s">
        <v>45541</v>
      </c>
      <c r="AG11311" t="s">
        <v>19330</v>
      </c>
      <c r="AH11311">
        <v>0</v>
      </c>
      <c r="AI11311">
        <v>1</v>
      </c>
      <c r="AJ11311">
        <v>0</v>
      </c>
      <c r="AK11311">
        <v>93.19</v>
      </c>
      <c r="AN11311" t="s">
        <v>7439</v>
      </c>
      <c r="AO11311">
        <v>11640</v>
      </c>
      <c r="AU11311">
        <v>1</v>
      </c>
      <c r="AV11311" t="s">
        <v>835</v>
      </c>
      <c r="AW11311" t="s">
        <v>279</v>
      </c>
      <c r="AX11311" t="s">
        <v>46897</v>
      </c>
    </row>
    <row r="11312" spans="1:50">
      <c r="A11312" s="1">
        <f>HYPERLINK("https://lsnyc.legalserver.org/matter/dynamic-profile/view/1903237","19-1903237")</f>
        <v>0</v>
      </c>
      <c r="B11312" t="s">
        <v>322</v>
      </c>
      <c r="C11312" t="s">
        <v>340</v>
      </c>
      <c r="D11312" t="s">
        <v>821</v>
      </c>
      <c r="F11312" t="s">
        <v>5048</v>
      </c>
      <c r="G11312" t="s">
        <v>5672</v>
      </c>
      <c r="H11312" t="s">
        <v>17202</v>
      </c>
      <c r="I11312" t="s">
        <v>18878</v>
      </c>
      <c r="J11312" t="s">
        <v>18893</v>
      </c>
      <c r="K11312">
        <v>10022</v>
      </c>
      <c r="L11312" t="s">
        <v>18960</v>
      </c>
      <c r="M11312" t="s">
        <v>18960</v>
      </c>
      <c r="N11312" t="s">
        <v>26465</v>
      </c>
      <c r="O11312" t="s">
        <v>26523</v>
      </c>
      <c r="R11312" t="s">
        <v>26591</v>
      </c>
      <c r="S11312" t="s">
        <v>18959</v>
      </c>
      <c r="U11312" t="s">
        <v>26604</v>
      </c>
      <c r="X11312">
        <v>1105.67</v>
      </c>
      <c r="Y11312" t="s">
        <v>26651</v>
      </c>
      <c r="Z11312" t="s">
        <v>26670</v>
      </c>
      <c r="AB11312" t="s">
        <v>34412</v>
      </c>
      <c r="AD11312" t="s">
        <v>45469</v>
      </c>
      <c r="AE11312">
        <v>120</v>
      </c>
      <c r="AF11312" t="s">
        <v>45541</v>
      </c>
      <c r="AG11312" t="s">
        <v>45559</v>
      </c>
      <c r="AH11312">
        <v>49</v>
      </c>
      <c r="AI11312">
        <v>1</v>
      </c>
      <c r="AJ11312">
        <v>0</v>
      </c>
      <c r="AK11312">
        <v>141.55</v>
      </c>
      <c r="AN11312" t="s">
        <v>7439</v>
      </c>
      <c r="AO11312">
        <v>17680</v>
      </c>
      <c r="AU11312">
        <v>2.3</v>
      </c>
      <c r="AV11312" t="s">
        <v>836</v>
      </c>
      <c r="AW11312" t="s">
        <v>46841</v>
      </c>
    </row>
    <row r="11313" spans="1:50">
      <c r="A11313" s="1">
        <f>HYPERLINK("https://lsnyc.legalserver.org/matter/dynamic-profile/view/1903219","19-1903219")</f>
        <v>0</v>
      </c>
      <c r="B11313" t="s">
        <v>134</v>
      </c>
      <c r="C11313" t="s">
        <v>340</v>
      </c>
      <c r="D11313" t="s">
        <v>821</v>
      </c>
      <c r="F11313" t="s">
        <v>5041</v>
      </c>
      <c r="G11313" t="s">
        <v>9594</v>
      </c>
      <c r="H11313" t="s">
        <v>10439</v>
      </c>
      <c r="I11313" t="s">
        <v>17464</v>
      </c>
      <c r="J11313" t="s">
        <v>18894</v>
      </c>
      <c r="K11313">
        <v>11216</v>
      </c>
      <c r="L11313" t="s">
        <v>18958</v>
      </c>
      <c r="M11313" t="s">
        <v>18960</v>
      </c>
      <c r="N11313" t="s">
        <v>19045</v>
      </c>
      <c r="O11313" t="s">
        <v>26528</v>
      </c>
      <c r="P11313" t="s">
        <v>26560</v>
      </c>
      <c r="R11313" t="s">
        <v>26578</v>
      </c>
      <c r="S11313" t="s">
        <v>18959</v>
      </c>
      <c r="U11313" t="s">
        <v>26604</v>
      </c>
      <c r="V11313" t="s">
        <v>26610</v>
      </c>
      <c r="X11313">
        <v>2500</v>
      </c>
      <c r="Y11313" t="s">
        <v>26652</v>
      </c>
      <c r="Z11313" t="s">
        <v>26667</v>
      </c>
      <c r="AB11313" t="s">
        <v>34396</v>
      </c>
      <c r="AC11313" t="s">
        <v>19045</v>
      </c>
      <c r="AD11313" t="s">
        <v>45454</v>
      </c>
      <c r="AE11313">
        <v>82</v>
      </c>
      <c r="AF11313" t="s">
        <v>45541</v>
      </c>
      <c r="AG11313" t="s">
        <v>19330</v>
      </c>
      <c r="AH11313">
        <v>5</v>
      </c>
      <c r="AI11313">
        <v>2</v>
      </c>
      <c r="AJ11313">
        <v>0</v>
      </c>
      <c r="AK11313">
        <v>650.5</v>
      </c>
      <c r="AN11313" t="s">
        <v>45595</v>
      </c>
      <c r="AO11313">
        <v>110000</v>
      </c>
      <c r="AP11313" t="s">
        <v>46357</v>
      </c>
      <c r="AU11313">
        <v>0</v>
      </c>
      <c r="AW11313" t="s">
        <v>279</v>
      </c>
      <c r="AX11313" t="s">
        <v>46897</v>
      </c>
    </row>
    <row r="11314" spans="1:50">
      <c r="A11314" s="1">
        <f>HYPERLINK("https://lsnyc.legalserver.org/matter/dynamic-profile/view/1903268","19-1903268")</f>
        <v>0</v>
      </c>
      <c r="B11314" t="s">
        <v>55</v>
      </c>
      <c r="C11314" t="s">
        <v>340</v>
      </c>
      <c r="D11314" t="s">
        <v>821</v>
      </c>
      <c r="F11314" t="s">
        <v>1649</v>
      </c>
      <c r="G11314" t="s">
        <v>5190</v>
      </c>
      <c r="H11314" t="s">
        <v>13562</v>
      </c>
      <c r="I11314" t="s">
        <v>17273</v>
      </c>
      <c r="J11314" t="s">
        <v>18892</v>
      </c>
      <c r="K11314">
        <v>10459</v>
      </c>
      <c r="L11314" t="s">
        <v>18960</v>
      </c>
      <c r="M11314" t="s">
        <v>18960</v>
      </c>
      <c r="N11314" t="s">
        <v>26466</v>
      </c>
      <c r="O11314" t="s">
        <v>26523</v>
      </c>
      <c r="P11314" t="s">
        <v>26560</v>
      </c>
      <c r="R11314" t="s">
        <v>26578</v>
      </c>
      <c r="S11314" t="s">
        <v>18959</v>
      </c>
      <c r="U11314" t="s">
        <v>26604</v>
      </c>
      <c r="X11314">
        <v>763</v>
      </c>
      <c r="Y11314" t="s">
        <v>26650</v>
      </c>
      <c r="Z11314" t="s">
        <v>26530</v>
      </c>
      <c r="AB11314" t="s">
        <v>32251</v>
      </c>
      <c r="AE11314">
        <v>0</v>
      </c>
      <c r="AG11314" t="s">
        <v>45558</v>
      </c>
      <c r="AH11314">
        <v>1</v>
      </c>
      <c r="AI11314">
        <v>1</v>
      </c>
      <c r="AJ11314">
        <v>1</v>
      </c>
      <c r="AK11314">
        <v>0</v>
      </c>
      <c r="AN11314" t="s">
        <v>7439</v>
      </c>
      <c r="AO11314">
        <v>0</v>
      </c>
      <c r="AU11314">
        <v>33.5</v>
      </c>
      <c r="AV11314" t="s">
        <v>834</v>
      </c>
      <c r="AW11314" t="s">
        <v>55</v>
      </c>
    </row>
    <row r="11315" spans="1:50">
      <c r="A11315" s="1">
        <f>HYPERLINK("https://lsnyc.legalserver.org/matter/dynamic-profile/view/1903287","19-1903287")</f>
        <v>0</v>
      </c>
      <c r="B11315" t="s">
        <v>243</v>
      </c>
      <c r="C11315" t="s">
        <v>340</v>
      </c>
      <c r="D11315" t="s">
        <v>821</v>
      </c>
      <c r="F11315" t="s">
        <v>879</v>
      </c>
      <c r="G11315" t="s">
        <v>9604</v>
      </c>
      <c r="H11315" t="s">
        <v>17203</v>
      </c>
      <c r="I11315">
        <v>2</v>
      </c>
      <c r="J11315" t="s">
        <v>18894</v>
      </c>
      <c r="K11315">
        <v>11215</v>
      </c>
      <c r="L11315" t="s">
        <v>18960</v>
      </c>
      <c r="M11315" t="s">
        <v>18960</v>
      </c>
      <c r="P11315" t="s">
        <v>26564</v>
      </c>
      <c r="R11315" t="s">
        <v>26578</v>
      </c>
      <c r="S11315" t="s">
        <v>18959</v>
      </c>
      <c r="U11315" t="s">
        <v>26604</v>
      </c>
      <c r="X11315">
        <v>0</v>
      </c>
      <c r="Y11315" t="s">
        <v>26652</v>
      </c>
      <c r="AB11315" t="s">
        <v>34413</v>
      </c>
      <c r="AE11315">
        <v>0</v>
      </c>
      <c r="AH11315">
        <v>0</v>
      </c>
      <c r="AI11315">
        <v>1</v>
      </c>
      <c r="AJ11315">
        <v>0</v>
      </c>
      <c r="AK11315">
        <v>400.32</v>
      </c>
      <c r="AN11315" t="s">
        <v>7439</v>
      </c>
      <c r="AO11315">
        <v>50000</v>
      </c>
      <c r="AU11315">
        <v>0</v>
      </c>
      <c r="AW11315" t="s">
        <v>219</v>
      </c>
      <c r="AX11315" t="s">
        <v>46897</v>
      </c>
    </row>
    <row r="11316" spans="1:50">
      <c r="A11316" s="1">
        <f>HYPERLINK("https://lsnyc.legalserver.org/matter/dynamic-profile/view/1903279","19-1903279")</f>
        <v>0</v>
      </c>
      <c r="B11316" t="s">
        <v>288</v>
      </c>
      <c r="C11316" t="s">
        <v>340</v>
      </c>
      <c r="D11316" t="s">
        <v>821</v>
      </c>
      <c r="F11316" t="s">
        <v>871</v>
      </c>
      <c r="G11316" t="s">
        <v>5292</v>
      </c>
      <c r="H11316" t="s">
        <v>12402</v>
      </c>
      <c r="I11316" t="s">
        <v>18053</v>
      </c>
      <c r="J11316" t="s">
        <v>18894</v>
      </c>
      <c r="K11316">
        <v>11221</v>
      </c>
      <c r="L11316" t="s">
        <v>18959</v>
      </c>
      <c r="M11316" t="s">
        <v>18960</v>
      </c>
      <c r="N11316" t="s">
        <v>26467</v>
      </c>
      <c r="O11316" t="s">
        <v>26523</v>
      </c>
      <c r="P11316" t="s">
        <v>26564</v>
      </c>
      <c r="R11316" t="s">
        <v>26586</v>
      </c>
      <c r="U11316" t="s">
        <v>26605</v>
      </c>
      <c r="X11316">
        <v>209</v>
      </c>
      <c r="Y11316" t="s">
        <v>26652</v>
      </c>
      <c r="Z11316" t="s">
        <v>26668</v>
      </c>
      <c r="AB11316" t="s">
        <v>27925</v>
      </c>
      <c r="AD11316" t="s">
        <v>45470</v>
      </c>
      <c r="AE11316">
        <v>15</v>
      </c>
      <c r="AF11316" t="s">
        <v>45549</v>
      </c>
      <c r="AH11316">
        <v>10</v>
      </c>
      <c r="AI11316">
        <v>2</v>
      </c>
      <c r="AJ11316">
        <v>0</v>
      </c>
      <c r="AK11316">
        <v>184.76</v>
      </c>
      <c r="AN11316" t="s">
        <v>45581</v>
      </c>
      <c r="AO11316">
        <v>31242.8</v>
      </c>
      <c r="AU11316">
        <v>0.2</v>
      </c>
      <c r="AV11316" t="s">
        <v>821</v>
      </c>
      <c r="AW11316" t="s">
        <v>46856</v>
      </c>
    </row>
    <row r="11317" spans="1:50">
      <c r="A11317" s="1">
        <f>HYPERLINK("https://lsnyc.legalserver.org/matter/dynamic-profile/view/1903276","19-1903276")</f>
        <v>0</v>
      </c>
      <c r="B11317" t="s">
        <v>288</v>
      </c>
      <c r="C11317" t="s">
        <v>340</v>
      </c>
      <c r="D11317" t="s">
        <v>821</v>
      </c>
      <c r="F11317" t="s">
        <v>974</v>
      </c>
      <c r="G11317" t="s">
        <v>7923</v>
      </c>
      <c r="H11317" t="s">
        <v>17204</v>
      </c>
      <c r="I11317">
        <v>1</v>
      </c>
      <c r="J11317" t="s">
        <v>18894</v>
      </c>
      <c r="K11317">
        <v>11225</v>
      </c>
      <c r="L11317" t="s">
        <v>18960</v>
      </c>
      <c r="M11317" t="s">
        <v>18960</v>
      </c>
      <c r="N11317" t="s">
        <v>26468</v>
      </c>
      <c r="O11317" t="s">
        <v>26524</v>
      </c>
      <c r="P11317" t="s">
        <v>26563</v>
      </c>
      <c r="R11317" t="s">
        <v>26588</v>
      </c>
      <c r="U11317" t="s">
        <v>26604</v>
      </c>
      <c r="X11317">
        <v>0</v>
      </c>
      <c r="Y11317" t="s">
        <v>26652</v>
      </c>
      <c r="Z11317" t="s">
        <v>26669</v>
      </c>
      <c r="AE11317">
        <v>0</v>
      </c>
      <c r="AH11317">
        <v>0</v>
      </c>
      <c r="AI11317">
        <v>1</v>
      </c>
      <c r="AJ11317">
        <v>0</v>
      </c>
      <c r="AK11317">
        <v>0</v>
      </c>
      <c r="AO11317">
        <v>0</v>
      </c>
      <c r="AU11317">
        <v>1.4</v>
      </c>
      <c r="AV11317" t="s">
        <v>838</v>
      </c>
      <c r="AW11317" t="s">
        <v>46862</v>
      </c>
    </row>
    <row r="11318" spans="1:50">
      <c r="A11318" s="1">
        <f>HYPERLINK("https://lsnyc.legalserver.org/matter/dynamic-profile/view/1903214","19-1903214")</f>
        <v>0</v>
      </c>
      <c r="B11318" t="s">
        <v>288</v>
      </c>
      <c r="C11318" t="s">
        <v>340</v>
      </c>
      <c r="D11318" t="s">
        <v>821</v>
      </c>
      <c r="F11318" t="s">
        <v>5049</v>
      </c>
      <c r="G11318" t="s">
        <v>9360</v>
      </c>
      <c r="H11318" t="s">
        <v>17205</v>
      </c>
      <c r="I11318" t="s">
        <v>17332</v>
      </c>
      <c r="J11318" t="s">
        <v>18894</v>
      </c>
      <c r="K11318">
        <v>11216</v>
      </c>
      <c r="L11318" t="s">
        <v>18958</v>
      </c>
      <c r="M11318" t="s">
        <v>18960</v>
      </c>
      <c r="N11318" t="s">
        <v>26469</v>
      </c>
      <c r="O11318" t="s">
        <v>26523</v>
      </c>
      <c r="P11318" t="s">
        <v>26560</v>
      </c>
      <c r="R11318" t="s">
        <v>26588</v>
      </c>
      <c r="S11318" t="s">
        <v>18959</v>
      </c>
      <c r="U11318" t="s">
        <v>26604</v>
      </c>
      <c r="X11318">
        <v>1000</v>
      </c>
      <c r="Y11318" t="s">
        <v>26652</v>
      </c>
      <c r="Z11318" t="s">
        <v>26669</v>
      </c>
      <c r="AB11318" t="s">
        <v>34414</v>
      </c>
      <c r="AD11318" t="s">
        <v>45471</v>
      </c>
      <c r="AE11318">
        <v>0</v>
      </c>
      <c r="AH11318">
        <v>-1</v>
      </c>
      <c r="AI11318">
        <v>1</v>
      </c>
      <c r="AJ11318">
        <v>0</v>
      </c>
      <c r="AK11318">
        <v>115.29</v>
      </c>
      <c r="AN11318" t="s">
        <v>7439</v>
      </c>
      <c r="AO11318">
        <v>14400</v>
      </c>
      <c r="AU11318">
        <v>0.13</v>
      </c>
      <c r="AV11318" t="s">
        <v>821</v>
      </c>
      <c r="AW11318" t="s">
        <v>281</v>
      </c>
      <c r="AX11318" t="s">
        <v>46897</v>
      </c>
    </row>
    <row r="11319" spans="1:50">
      <c r="A11319" s="1">
        <f>HYPERLINK("https://lsnyc.legalserver.org/matter/dynamic-profile/view/1903210","19-1903210")</f>
        <v>0</v>
      </c>
      <c r="B11319" t="s">
        <v>288</v>
      </c>
      <c r="C11319" t="s">
        <v>340</v>
      </c>
      <c r="D11319" t="s">
        <v>821</v>
      </c>
      <c r="F11319" t="s">
        <v>5050</v>
      </c>
      <c r="G11319" t="s">
        <v>8946</v>
      </c>
      <c r="H11319" t="s">
        <v>17206</v>
      </c>
      <c r="I11319" t="s">
        <v>17388</v>
      </c>
      <c r="J11319" t="s">
        <v>18894</v>
      </c>
      <c r="K11319">
        <v>11216</v>
      </c>
      <c r="L11319" t="s">
        <v>18958</v>
      </c>
      <c r="M11319" t="s">
        <v>18960</v>
      </c>
      <c r="N11319" t="s">
        <v>26470</v>
      </c>
      <c r="O11319" t="s">
        <v>26524</v>
      </c>
      <c r="P11319" t="s">
        <v>26560</v>
      </c>
      <c r="R11319" t="s">
        <v>26588</v>
      </c>
      <c r="S11319" t="s">
        <v>18959</v>
      </c>
      <c r="U11319" t="s">
        <v>26604</v>
      </c>
      <c r="X11319">
        <v>0</v>
      </c>
      <c r="Y11319" t="s">
        <v>26652</v>
      </c>
      <c r="Z11319" t="s">
        <v>26669</v>
      </c>
      <c r="AB11319" t="s">
        <v>34415</v>
      </c>
      <c r="AE11319">
        <v>0</v>
      </c>
      <c r="AH11319">
        <v>0</v>
      </c>
      <c r="AI11319">
        <v>1</v>
      </c>
      <c r="AJ11319">
        <v>0</v>
      </c>
      <c r="AK11319">
        <v>160.13</v>
      </c>
      <c r="AN11319" t="s">
        <v>7439</v>
      </c>
      <c r="AO11319">
        <v>20000</v>
      </c>
      <c r="AU11319">
        <v>0.1</v>
      </c>
      <c r="AV11319" t="s">
        <v>839</v>
      </c>
      <c r="AW11319" t="s">
        <v>281</v>
      </c>
      <c r="AX11319" t="s">
        <v>46897</v>
      </c>
    </row>
    <row r="11320" spans="1:50">
      <c r="A11320" s="1">
        <f>HYPERLINK("https://lsnyc.legalserver.org/matter/dynamic-profile/view/1903259","19-1903259")</f>
        <v>0</v>
      </c>
      <c r="B11320" t="s">
        <v>135</v>
      </c>
      <c r="C11320" t="s">
        <v>340</v>
      </c>
      <c r="D11320" t="s">
        <v>821</v>
      </c>
      <c r="F11320" t="s">
        <v>5051</v>
      </c>
      <c r="G11320" t="s">
        <v>4588</v>
      </c>
      <c r="H11320" t="s">
        <v>17207</v>
      </c>
      <c r="I11320" t="s">
        <v>17272</v>
      </c>
      <c r="J11320" t="s">
        <v>18892</v>
      </c>
      <c r="K11320">
        <v>10462</v>
      </c>
      <c r="L11320" t="s">
        <v>18958</v>
      </c>
      <c r="M11320" t="s">
        <v>18960</v>
      </c>
      <c r="N11320" t="s">
        <v>26471</v>
      </c>
      <c r="O11320" t="s">
        <v>26523</v>
      </c>
      <c r="R11320" t="s">
        <v>26579</v>
      </c>
      <c r="S11320" t="s">
        <v>18959</v>
      </c>
      <c r="U11320" t="s">
        <v>26604</v>
      </c>
      <c r="X11320">
        <v>1700</v>
      </c>
      <c r="Y11320" t="s">
        <v>26650</v>
      </c>
      <c r="Z11320" t="s">
        <v>26668</v>
      </c>
      <c r="AB11320" t="s">
        <v>34416</v>
      </c>
      <c r="AD11320" t="s">
        <v>45472</v>
      </c>
      <c r="AE11320">
        <v>4</v>
      </c>
      <c r="AF11320" t="s">
        <v>20460</v>
      </c>
      <c r="AG11320" t="s">
        <v>19330</v>
      </c>
      <c r="AH11320">
        <v>3</v>
      </c>
      <c r="AI11320">
        <v>1</v>
      </c>
      <c r="AJ11320">
        <v>1</v>
      </c>
      <c r="AK11320">
        <v>0</v>
      </c>
      <c r="AN11320" t="s">
        <v>45581</v>
      </c>
      <c r="AO11320">
        <v>0</v>
      </c>
      <c r="AU11320">
        <v>0</v>
      </c>
      <c r="AW11320" t="s">
        <v>329</v>
      </c>
    </row>
    <row r="11321" spans="1:50">
      <c r="A11321" s="1">
        <f>HYPERLINK("https://lsnyc.legalserver.org/matter/dynamic-profile/view/1903260","19-1903260")</f>
        <v>0</v>
      </c>
      <c r="B11321" t="s">
        <v>122</v>
      </c>
      <c r="C11321" t="s">
        <v>340</v>
      </c>
      <c r="D11321" t="s">
        <v>821</v>
      </c>
      <c r="F11321" t="s">
        <v>5052</v>
      </c>
      <c r="G11321" t="s">
        <v>2523</v>
      </c>
      <c r="H11321" t="s">
        <v>17208</v>
      </c>
      <c r="J11321" t="s">
        <v>18918</v>
      </c>
      <c r="K11321">
        <v>11416</v>
      </c>
      <c r="L11321" t="s">
        <v>18960</v>
      </c>
      <c r="M11321" t="s">
        <v>18960</v>
      </c>
      <c r="R11321" t="s">
        <v>26591</v>
      </c>
      <c r="U11321" t="s">
        <v>26604</v>
      </c>
      <c r="X11321">
        <v>850</v>
      </c>
      <c r="Y11321" t="s">
        <v>26653</v>
      </c>
      <c r="Z11321" t="s">
        <v>26659</v>
      </c>
      <c r="AB11321" t="s">
        <v>34417</v>
      </c>
      <c r="AD11321" t="s">
        <v>45473</v>
      </c>
      <c r="AE11321">
        <v>2</v>
      </c>
      <c r="AF11321" t="s">
        <v>45547</v>
      </c>
      <c r="AG11321" t="s">
        <v>19330</v>
      </c>
      <c r="AH11321">
        <v>11</v>
      </c>
      <c r="AI11321">
        <v>1</v>
      </c>
      <c r="AJ11321">
        <v>0</v>
      </c>
      <c r="AK11321">
        <v>127.21</v>
      </c>
      <c r="AN11321" t="s">
        <v>45581</v>
      </c>
      <c r="AO11321">
        <v>15888</v>
      </c>
      <c r="AU11321">
        <v>0</v>
      </c>
      <c r="AW11321" t="s">
        <v>122</v>
      </c>
      <c r="AX11321" t="s">
        <v>46897</v>
      </c>
    </row>
    <row r="11322" spans="1:50">
      <c r="A11322" s="1">
        <f>HYPERLINK("https://lsnyc.legalserver.org/matter/dynamic-profile/view/1903224","19-1903224")</f>
        <v>0</v>
      </c>
      <c r="B11322" t="s">
        <v>123</v>
      </c>
      <c r="C11322" t="s">
        <v>340</v>
      </c>
      <c r="D11322" t="s">
        <v>821</v>
      </c>
      <c r="F11322" t="s">
        <v>1710</v>
      </c>
      <c r="G11322" t="s">
        <v>6553</v>
      </c>
      <c r="H11322" t="s">
        <v>10230</v>
      </c>
      <c r="I11322" t="s">
        <v>17293</v>
      </c>
      <c r="J11322" t="s">
        <v>18894</v>
      </c>
      <c r="K11322">
        <v>11226</v>
      </c>
      <c r="L11322" t="s">
        <v>18958</v>
      </c>
      <c r="M11322" t="s">
        <v>18960</v>
      </c>
      <c r="N11322" t="s">
        <v>26472</v>
      </c>
      <c r="O11322" t="s">
        <v>26523</v>
      </c>
      <c r="P11322" t="s">
        <v>26563</v>
      </c>
      <c r="R11322" t="s">
        <v>26588</v>
      </c>
      <c r="U11322" t="s">
        <v>26604</v>
      </c>
      <c r="X11322">
        <v>1367</v>
      </c>
      <c r="Y11322" t="s">
        <v>26652</v>
      </c>
      <c r="Z11322" t="s">
        <v>26664</v>
      </c>
      <c r="AB11322" t="s">
        <v>29029</v>
      </c>
      <c r="AD11322" t="s">
        <v>39079</v>
      </c>
      <c r="AE11322">
        <v>32</v>
      </c>
      <c r="AH11322">
        <v>0</v>
      </c>
      <c r="AI11322">
        <v>1</v>
      </c>
      <c r="AJ11322">
        <v>0</v>
      </c>
      <c r="AK11322">
        <v>20.66</v>
      </c>
      <c r="AN11322" t="s">
        <v>7439</v>
      </c>
      <c r="AO11322">
        <v>2580</v>
      </c>
      <c r="AU11322">
        <v>1</v>
      </c>
      <c r="AV11322" t="s">
        <v>821</v>
      </c>
      <c r="AW11322" t="s">
        <v>46862</v>
      </c>
      <c r="AX11322" t="s">
        <v>46897</v>
      </c>
    </row>
    <row r="11323" spans="1:50">
      <c r="A11323" s="1">
        <f>HYPERLINK("https://lsnyc.legalserver.org/matter/dynamic-profile/view/1903307","19-1903307")</f>
        <v>0</v>
      </c>
      <c r="B11323" t="s">
        <v>188</v>
      </c>
      <c r="C11323" t="s">
        <v>340</v>
      </c>
      <c r="D11323" t="s">
        <v>821</v>
      </c>
      <c r="F11323" t="s">
        <v>1228</v>
      </c>
      <c r="G11323" t="s">
        <v>5691</v>
      </c>
      <c r="H11323" t="s">
        <v>14336</v>
      </c>
      <c r="I11323">
        <v>59</v>
      </c>
      <c r="J11323" t="s">
        <v>18892</v>
      </c>
      <c r="K11323">
        <v>10458</v>
      </c>
      <c r="L11323" t="s">
        <v>18960</v>
      </c>
      <c r="M11323" t="s">
        <v>18960</v>
      </c>
      <c r="R11323" t="s">
        <v>26578</v>
      </c>
      <c r="U11323" t="s">
        <v>26608</v>
      </c>
      <c r="X11323">
        <v>0</v>
      </c>
      <c r="Y11323" t="s">
        <v>26650</v>
      </c>
      <c r="AB11323" t="s">
        <v>29704</v>
      </c>
      <c r="AD11323" t="s">
        <v>42013</v>
      </c>
      <c r="AE11323">
        <v>0</v>
      </c>
      <c r="AH11323">
        <v>0</v>
      </c>
      <c r="AI11323">
        <v>2</v>
      </c>
      <c r="AJ11323">
        <v>3</v>
      </c>
      <c r="AK11323">
        <v>9.94</v>
      </c>
      <c r="AN11323" t="s">
        <v>7439</v>
      </c>
      <c r="AO11323">
        <v>3000</v>
      </c>
      <c r="AU11323">
        <v>1.3</v>
      </c>
      <c r="AV11323" t="s">
        <v>839</v>
      </c>
      <c r="AW11323" t="s">
        <v>188</v>
      </c>
    </row>
    <row r="11324" spans="1:50">
      <c r="A11324" s="1">
        <f>HYPERLINK("https://lsnyc.legalserver.org/matter/dynamic-profile/view/1903211","19-1903211")</f>
        <v>0</v>
      </c>
      <c r="B11324" t="s">
        <v>106</v>
      </c>
      <c r="C11324" t="s">
        <v>340</v>
      </c>
      <c r="D11324" t="s">
        <v>821</v>
      </c>
      <c r="F11324" t="s">
        <v>1827</v>
      </c>
      <c r="G11324" t="s">
        <v>5419</v>
      </c>
      <c r="H11324" t="s">
        <v>10407</v>
      </c>
      <c r="I11324" t="s">
        <v>17291</v>
      </c>
      <c r="J11324" t="s">
        <v>18894</v>
      </c>
      <c r="K11324">
        <v>11221</v>
      </c>
      <c r="L11324" t="s">
        <v>18958</v>
      </c>
      <c r="M11324" t="s">
        <v>18960</v>
      </c>
      <c r="N11324" t="s">
        <v>26473</v>
      </c>
      <c r="O11324" t="s">
        <v>26524</v>
      </c>
      <c r="P11324" t="s">
        <v>26560</v>
      </c>
      <c r="R11324" t="s">
        <v>26588</v>
      </c>
      <c r="S11324" t="s">
        <v>18959</v>
      </c>
      <c r="U11324" t="s">
        <v>26604</v>
      </c>
      <c r="X11324">
        <v>860</v>
      </c>
      <c r="Y11324" t="s">
        <v>26652</v>
      </c>
      <c r="Z11324" t="s">
        <v>26669</v>
      </c>
      <c r="AB11324" t="s">
        <v>31409</v>
      </c>
      <c r="AD11324" t="s">
        <v>45474</v>
      </c>
      <c r="AE11324">
        <v>0</v>
      </c>
      <c r="AH11324">
        <v>15</v>
      </c>
      <c r="AI11324">
        <v>2</v>
      </c>
      <c r="AJ11324">
        <v>0</v>
      </c>
      <c r="AK11324">
        <v>177.41</v>
      </c>
      <c r="AN11324" t="s">
        <v>7439</v>
      </c>
      <c r="AO11324">
        <v>30000</v>
      </c>
      <c r="AU11324">
        <v>0.2</v>
      </c>
      <c r="AV11324" t="s">
        <v>835</v>
      </c>
      <c r="AW11324" t="s">
        <v>281</v>
      </c>
      <c r="AX11324" t="s">
        <v>46897</v>
      </c>
    </row>
    <row r="11325" spans="1:50">
      <c r="A11325" s="1">
        <f>HYPERLINK("https://lsnyc.legalserver.org/matter/dynamic-profile/view/1900960","19-1900960")</f>
        <v>0</v>
      </c>
      <c r="B11325" t="s">
        <v>144</v>
      </c>
      <c r="C11325" t="s">
        <v>340</v>
      </c>
      <c r="D11325" t="s">
        <v>838</v>
      </c>
      <c r="F11325" t="s">
        <v>2518</v>
      </c>
      <c r="G11325" t="s">
        <v>5460</v>
      </c>
      <c r="H11325" t="s">
        <v>15142</v>
      </c>
      <c r="I11325" t="s">
        <v>17293</v>
      </c>
      <c r="J11325" t="s">
        <v>18893</v>
      </c>
      <c r="K11325">
        <v>10026</v>
      </c>
      <c r="L11325" t="s">
        <v>18958</v>
      </c>
      <c r="M11325" t="s">
        <v>18960</v>
      </c>
      <c r="N11325" t="s">
        <v>26474</v>
      </c>
      <c r="O11325" t="s">
        <v>26524</v>
      </c>
      <c r="P11325" t="s">
        <v>26560</v>
      </c>
      <c r="R11325" t="s">
        <v>26580</v>
      </c>
      <c r="S11325" t="s">
        <v>18959</v>
      </c>
      <c r="U11325" t="s">
        <v>26604</v>
      </c>
      <c r="X11325">
        <v>464.75</v>
      </c>
      <c r="Y11325" t="s">
        <v>26651</v>
      </c>
      <c r="Z11325" t="s">
        <v>26668</v>
      </c>
      <c r="AB11325" t="s">
        <v>28615</v>
      </c>
      <c r="AD11325" t="s">
        <v>45475</v>
      </c>
      <c r="AE11325">
        <v>0</v>
      </c>
      <c r="AF11325" t="s">
        <v>20460</v>
      </c>
      <c r="AG11325" t="s">
        <v>19330</v>
      </c>
      <c r="AH11325">
        <v>30</v>
      </c>
      <c r="AI11325">
        <v>4</v>
      </c>
      <c r="AJ11325">
        <v>0</v>
      </c>
      <c r="AK11325">
        <v>30.29</v>
      </c>
      <c r="AN11325" t="s">
        <v>45581</v>
      </c>
      <c r="AO11325">
        <v>7800</v>
      </c>
      <c r="AU11325">
        <v>1</v>
      </c>
      <c r="AV11325" t="s">
        <v>838</v>
      </c>
      <c r="AW11325" t="s">
        <v>314</v>
      </c>
    </row>
    <row r="11326" spans="1:50">
      <c r="A11326" s="1">
        <f>HYPERLINK("https://lsnyc.legalserver.org/matter/dynamic-profile/view/1903463","19-1903463")</f>
        <v>0</v>
      </c>
      <c r="B11326" t="s">
        <v>105</v>
      </c>
      <c r="C11326" t="s">
        <v>340</v>
      </c>
      <c r="D11326" t="s">
        <v>838</v>
      </c>
      <c r="F11326" t="s">
        <v>962</v>
      </c>
      <c r="G11326" t="s">
        <v>7784</v>
      </c>
      <c r="H11326" t="s">
        <v>17209</v>
      </c>
      <c r="I11326" t="s">
        <v>17317</v>
      </c>
      <c r="J11326" t="s">
        <v>18899</v>
      </c>
      <c r="K11326">
        <v>11385</v>
      </c>
      <c r="L11326" t="s">
        <v>18960</v>
      </c>
      <c r="M11326" t="s">
        <v>18960</v>
      </c>
      <c r="N11326" t="s">
        <v>26475</v>
      </c>
      <c r="O11326" t="s">
        <v>26523</v>
      </c>
      <c r="P11326" t="s">
        <v>26560</v>
      </c>
      <c r="R11326" t="s">
        <v>26585</v>
      </c>
      <c r="S11326" t="s">
        <v>18959</v>
      </c>
      <c r="U11326" t="s">
        <v>26604</v>
      </c>
      <c r="V11326" t="s">
        <v>26611</v>
      </c>
      <c r="X11326">
        <v>1123.4</v>
      </c>
      <c r="Y11326" t="s">
        <v>26653</v>
      </c>
      <c r="Z11326" t="s">
        <v>26668</v>
      </c>
      <c r="AB11326" t="s">
        <v>27586</v>
      </c>
      <c r="AD11326" t="s">
        <v>45476</v>
      </c>
      <c r="AE11326">
        <v>6</v>
      </c>
      <c r="AF11326" t="s">
        <v>45541</v>
      </c>
      <c r="AH11326">
        <v>27</v>
      </c>
      <c r="AI11326">
        <v>1</v>
      </c>
      <c r="AJ11326">
        <v>0</v>
      </c>
      <c r="AK11326">
        <v>116.16</v>
      </c>
      <c r="AN11326" t="s">
        <v>7439</v>
      </c>
      <c r="AO11326">
        <v>14508</v>
      </c>
      <c r="AU11326">
        <v>2.8</v>
      </c>
      <c r="AV11326" t="s">
        <v>838</v>
      </c>
      <c r="AW11326" t="s">
        <v>46850</v>
      </c>
    </row>
    <row r="11327" spans="1:50">
      <c r="A11327" s="1">
        <f>HYPERLINK("https://lsnyc.legalserver.org/matter/dynamic-profile/view/1903351","19-1903351")</f>
        <v>0</v>
      </c>
      <c r="B11327" t="s">
        <v>133</v>
      </c>
      <c r="C11327" t="s">
        <v>340</v>
      </c>
      <c r="D11327" t="s">
        <v>838</v>
      </c>
      <c r="F11327" t="s">
        <v>5053</v>
      </c>
      <c r="G11327" t="s">
        <v>6572</v>
      </c>
      <c r="H11327" t="s">
        <v>17210</v>
      </c>
      <c r="I11327" t="s">
        <v>17541</v>
      </c>
      <c r="J11327" t="s">
        <v>18892</v>
      </c>
      <c r="K11327">
        <v>10457</v>
      </c>
      <c r="L11327" t="s">
        <v>18958</v>
      </c>
      <c r="M11327" t="s">
        <v>18960</v>
      </c>
      <c r="N11327" t="s">
        <v>26476</v>
      </c>
      <c r="O11327" t="s">
        <v>26523</v>
      </c>
      <c r="R11327" t="s">
        <v>26579</v>
      </c>
      <c r="S11327" t="s">
        <v>18959</v>
      </c>
      <c r="U11327" t="s">
        <v>26604</v>
      </c>
      <c r="X11327">
        <v>2100</v>
      </c>
      <c r="Y11327" t="s">
        <v>26650</v>
      </c>
      <c r="AB11327" t="s">
        <v>33932</v>
      </c>
      <c r="AD11327" t="s">
        <v>45477</v>
      </c>
      <c r="AE11327">
        <v>21</v>
      </c>
      <c r="AG11327" t="s">
        <v>26530</v>
      </c>
      <c r="AH11327">
        <v>1</v>
      </c>
      <c r="AI11327">
        <v>1</v>
      </c>
      <c r="AJ11327">
        <v>1</v>
      </c>
      <c r="AK11327">
        <v>75.84999999999999</v>
      </c>
      <c r="AN11327" t="s">
        <v>7439</v>
      </c>
      <c r="AO11327">
        <v>12826</v>
      </c>
      <c r="AU11327">
        <v>0</v>
      </c>
      <c r="AW11327" t="s">
        <v>335</v>
      </c>
      <c r="AX11327" t="s">
        <v>46897</v>
      </c>
    </row>
    <row r="11328" spans="1:50">
      <c r="A11328" s="1">
        <f>HYPERLINK("https://lsnyc.legalserver.org/matter/dynamic-profile/view/1903390","19-1903390")</f>
        <v>0</v>
      </c>
      <c r="B11328" t="s">
        <v>278</v>
      </c>
      <c r="C11328" t="s">
        <v>340</v>
      </c>
      <c r="D11328" t="s">
        <v>838</v>
      </c>
      <c r="F11328" t="s">
        <v>1402</v>
      </c>
      <c r="G11328" t="s">
        <v>5419</v>
      </c>
      <c r="H11328" t="s">
        <v>11310</v>
      </c>
      <c r="I11328" t="s">
        <v>17838</v>
      </c>
      <c r="J11328" t="s">
        <v>18902</v>
      </c>
      <c r="K11328">
        <v>10303</v>
      </c>
      <c r="L11328" t="s">
        <v>18960</v>
      </c>
      <c r="M11328" t="s">
        <v>18960</v>
      </c>
      <c r="N11328" t="s">
        <v>26477</v>
      </c>
      <c r="O11328" t="s">
        <v>26523</v>
      </c>
      <c r="P11328" t="s">
        <v>26560</v>
      </c>
      <c r="R11328" t="s">
        <v>26590</v>
      </c>
      <c r="U11328" t="s">
        <v>26606</v>
      </c>
      <c r="V11328" t="s">
        <v>26610</v>
      </c>
      <c r="X11328">
        <v>246</v>
      </c>
      <c r="Y11328" t="s">
        <v>26654</v>
      </c>
      <c r="Z11328" t="s">
        <v>26668</v>
      </c>
      <c r="AB11328" t="s">
        <v>29359</v>
      </c>
      <c r="AD11328" t="s">
        <v>45478</v>
      </c>
      <c r="AE11328">
        <v>0</v>
      </c>
      <c r="AH11328">
        <v>13</v>
      </c>
      <c r="AI11328">
        <v>1</v>
      </c>
      <c r="AJ11328">
        <v>0</v>
      </c>
      <c r="AK11328">
        <v>76.86</v>
      </c>
      <c r="AN11328" t="s">
        <v>7439</v>
      </c>
      <c r="AO11328">
        <v>9600</v>
      </c>
      <c r="AU11328">
        <v>0</v>
      </c>
      <c r="AW11328" t="s">
        <v>46891</v>
      </c>
    </row>
    <row r="11329" spans="1:50">
      <c r="A11329" s="1">
        <f>HYPERLINK("https://lsnyc.legalserver.org/matter/dynamic-profile/view/1903399","19-1903399")</f>
        <v>0</v>
      </c>
      <c r="B11329" t="s">
        <v>286</v>
      </c>
      <c r="C11329" t="s">
        <v>340</v>
      </c>
      <c r="D11329" t="s">
        <v>838</v>
      </c>
      <c r="F11329" t="s">
        <v>2173</v>
      </c>
      <c r="G11329" t="s">
        <v>9605</v>
      </c>
      <c r="H11329" t="s">
        <v>17211</v>
      </c>
      <c r="J11329" t="s">
        <v>18894</v>
      </c>
      <c r="K11329">
        <v>11208</v>
      </c>
      <c r="L11329" t="s">
        <v>18960</v>
      </c>
      <c r="M11329" t="s">
        <v>18960</v>
      </c>
      <c r="N11329" t="s">
        <v>18997</v>
      </c>
      <c r="O11329" t="s">
        <v>18997</v>
      </c>
      <c r="P11329" t="s">
        <v>26564</v>
      </c>
      <c r="R11329" t="s">
        <v>26578</v>
      </c>
      <c r="S11329" t="s">
        <v>18959</v>
      </c>
      <c r="U11329" t="s">
        <v>26604</v>
      </c>
      <c r="X11329">
        <v>710</v>
      </c>
      <c r="Y11329" t="s">
        <v>26652</v>
      </c>
      <c r="Z11329" t="s">
        <v>26659</v>
      </c>
      <c r="AB11329" t="s">
        <v>34418</v>
      </c>
      <c r="AD11329" t="s">
        <v>45479</v>
      </c>
      <c r="AE11329">
        <v>2</v>
      </c>
      <c r="AF11329" t="s">
        <v>45547</v>
      </c>
      <c r="AG11329" t="s">
        <v>19330</v>
      </c>
      <c r="AH11329">
        <v>3</v>
      </c>
      <c r="AI11329">
        <v>1</v>
      </c>
      <c r="AJ11329">
        <v>0</v>
      </c>
      <c r="AK11329">
        <v>124.9</v>
      </c>
      <c r="AN11329" t="s">
        <v>7439</v>
      </c>
      <c r="AO11329">
        <v>15600</v>
      </c>
      <c r="AU11329">
        <v>0.5</v>
      </c>
      <c r="AV11329" t="s">
        <v>838</v>
      </c>
      <c r="AW11329" t="s">
        <v>46841</v>
      </c>
    </row>
    <row r="11330" spans="1:50">
      <c r="A11330" s="1">
        <f>HYPERLINK("https://lsnyc.legalserver.org/matter/dynamic-profile/view/1903420","19-1903420")</f>
        <v>0</v>
      </c>
      <c r="B11330" t="s">
        <v>53</v>
      </c>
      <c r="C11330" t="s">
        <v>340</v>
      </c>
      <c r="D11330" t="s">
        <v>838</v>
      </c>
      <c r="F11330" t="s">
        <v>1276</v>
      </c>
      <c r="G11330" t="s">
        <v>5147</v>
      </c>
      <c r="H11330" t="s">
        <v>10758</v>
      </c>
      <c r="I11330" t="s">
        <v>17702</v>
      </c>
      <c r="J11330" t="s">
        <v>18892</v>
      </c>
      <c r="K11330">
        <v>10467</v>
      </c>
      <c r="L11330" t="s">
        <v>18958</v>
      </c>
      <c r="M11330" t="s">
        <v>18960</v>
      </c>
      <c r="N11330" t="s">
        <v>26478</v>
      </c>
      <c r="O11330" t="s">
        <v>26523</v>
      </c>
      <c r="R11330" t="s">
        <v>26579</v>
      </c>
      <c r="S11330" t="s">
        <v>18959</v>
      </c>
      <c r="U11330" t="s">
        <v>26604</v>
      </c>
      <c r="X11330">
        <v>1174</v>
      </c>
      <c r="Y11330" t="s">
        <v>26650</v>
      </c>
      <c r="AB11330" t="s">
        <v>31981</v>
      </c>
      <c r="AD11330" t="s">
        <v>45480</v>
      </c>
      <c r="AE11330">
        <v>96</v>
      </c>
      <c r="AF11330" t="s">
        <v>45541</v>
      </c>
      <c r="AG11330" t="s">
        <v>45561</v>
      </c>
      <c r="AH11330">
        <v>14</v>
      </c>
      <c r="AI11330">
        <v>3</v>
      </c>
      <c r="AJ11330">
        <v>2</v>
      </c>
      <c r="AK11330">
        <v>40.01</v>
      </c>
      <c r="AN11330" t="s">
        <v>7439</v>
      </c>
      <c r="AO11330">
        <v>12072</v>
      </c>
      <c r="AU11330">
        <v>0</v>
      </c>
      <c r="AW11330" t="s">
        <v>335</v>
      </c>
      <c r="AX11330" t="s">
        <v>46897</v>
      </c>
    </row>
    <row r="11331" spans="1:50">
      <c r="A11331" s="1">
        <f>HYPERLINK("https://lsnyc.legalserver.org/matter/dynamic-profile/view/1903394","19-1903394")</f>
        <v>0</v>
      </c>
      <c r="B11331" t="s">
        <v>94</v>
      </c>
      <c r="C11331" t="s">
        <v>340</v>
      </c>
      <c r="D11331" t="s">
        <v>838</v>
      </c>
      <c r="F11331" t="s">
        <v>2023</v>
      </c>
      <c r="G11331" t="s">
        <v>5599</v>
      </c>
      <c r="H11331" t="s">
        <v>17212</v>
      </c>
      <c r="I11331">
        <v>4</v>
      </c>
      <c r="J11331" t="s">
        <v>18893</v>
      </c>
      <c r="K11331">
        <v>10031</v>
      </c>
      <c r="L11331" t="s">
        <v>18958</v>
      </c>
      <c r="M11331" t="s">
        <v>18960</v>
      </c>
      <c r="N11331" t="s">
        <v>26479</v>
      </c>
      <c r="O11331" t="s">
        <v>26524</v>
      </c>
      <c r="P11331" t="s">
        <v>26560</v>
      </c>
      <c r="R11331" t="s">
        <v>26580</v>
      </c>
      <c r="S11331" t="s">
        <v>18959</v>
      </c>
      <c r="U11331" t="s">
        <v>26604</v>
      </c>
      <c r="X11331">
        <v>250</v>
      </c>
      <c r="Y11331" t="s">
        <v>26651</v>
      </c>
      <c r="Z11331" t="s">
        <v>26668</v>
      </c>
      <c r="AB11331" t="s">
        <v>34419</v>
      </c>
      <c r="AD11331" t="s">
        <v>45481</v>
      </c>
      <c r="AE11331">
        <v>0</v>
      </c>
      <c r="AF11331" t="s">
        <v>45541</v>
      </c>
      <c r="AH11331">
        <v>10</v>
      </c>
      <c r="AI11331">
        <v>1</v>
      </c>
      <c r="AJ11331">
        <v>0</v>
      </c>
      <c r="AK11331">
        <v>79.65000000000001</v>
      </c>
      <c r="AN11331" t="s">
        <v>7439</v>
      </c>
      <c r="AO11331">
        <v>9948</v>
      </c>
      <c r="AU11331">
        <v>1</v>
      </c>
      <c r="AV11331" t="s">
        <v>838</v>
      </c>
      <c r="AW11331" t="s">
        <v>46875</v>
      </c>
      <c r="AX11331" t="s">
        <v>46897</v>
      </c>
    </row>
    <row r="11332" spans="1:50">
      <c r="A11332" s="1">
        <f>HYPERLINK("https://lsnyc.legalserver.org/matter/dynamic-profile/view/1903369","19-1903369")</f>
        <v>0</v>
      </c>
      <c r="B11332" t="s">
        <v>317</v>
      </c>
      <c r="C11332" t="s">
        <v>340</v>
      </c>
      <c r="D11332" t="s">
        <v>838</v>
      </c>
      <c r="F11332" t="s">
        <v>2585</v>
      </c>
      <c r="G11332" t="s">
        <v>9606</v>
      </c>
      <c r="H11332" t="s">
        <v>17213</v>
      </c>
      <c r="I11332" t="s">
        <v>17299</v>
      </c>
      <c r="J11332" t="s">
        <v>18893</v>
      </c>
      <c r="K11332">
        <v>10009</v>
      </c>
      <c r="L11332" t="s">
        <v>18960</v>
      </c>
      <c r="M11332" t="s">
        <v>18960</v>
      </c>
      <c r="R11332" t="s">
        <v>26591</v>
      </c>
      <c r="U11332" t="s">
        <v>26605</v>
      </c>
      <c r="X11332">
        <v>950</v>
      </c>
      <c r="Y11332" t="s">
        <v>26651</v>
      </c>
      <c r="AB11332" t="s">
        <v>33878</v>
      </c>
      <c r="AE11332">
        <v>0</v>
      </c>
      <c r="AF11332" t="s">
        <v>45543</v>
      </c>
      <c r="AH11332">
        <v>1</v>
      </c>
      <c r="AI11332">
        <v>1</v>
      </c>
      <c r="AJ11332">
        <v>0</v>
      </c>
      <c r="AK11332">
        <v>0</v>
      </c>
      <c r="AN11332" t="s">
        <v>45581</v>
      </c>
      <c r="AO11332">
        <v>0</v>
      </c>
      <c r="AU11332">
        <v>0.75</v>
      </c>
      <c r="AV11332" t="s">
        <v>838</v>
      </c>
      <c r="AW11332" t="s">
        <v>46829</v>
      </c>
    </row>
    <row r="11333" spans="1:50">
      <c r="A11333" s="1">
        <f>HYPERLINK("https://lsnyc.legalserver.org/matter/dynamic-profile/view/1903415","19-1903415")</f>
        <v>0</v>
      </c>
      <c r="B11333" t="s">
        <v>257</v>
      </c>
      <c r="C11333" t="s">
        <v>340</v>
      </c>
      <c r="D11333" t="s">
        <v>838</v>
      </c>
      <c r="F11333" t="s">
        <v>2840</v>
      </c>
      <c r="G11333" t="s">
        <v>5563</v>
      </c>
      <c r="H11333" t="s">
        <v>17214</v>
      </c>
      <c r="I11333" t="s">
        <v>17388</v>
      </c>
      <c r="J11333" t="s">
        <v>18894</v>
      </c>
      <c r="K11333">
        <v>11207</v>
      </c>
      <c r="L11333" t="s">
        <v>18960</v>
      </c>
      <c r="M11333" t="s">
        <v>18960</v>
      </c>
      <c r="O11333" t="s">
        <v>26523</v>
      </c>
      <c r="R11333" t="s">
        <v>26583</v>
      </c>
      <c r="S11333" t="s">
        <v>18959</v>
      </c>
      <c r="U11333" t="s">
        <v>26605</v>
      </c>
      <c r="X11333">
        <v>950</v>
      </c>
      <c r="Y11333" t="s">
        <v>26652</v>
      </c>
      <c r="Z11333" t="s">
        <v>26663</v>
      </c>
      <c r="AB11333" t="s">
        <v>34420</v>
      </c>
      <c r="AD11333" t="s">
        <v>45482</v>
      </c>
      <c r="AE11333">
        <v>98</v>
      </c>
      <c r="AF11333" t="s">
        <v>45549</v>
      </c>
      <c r="AG11333" t="s">
        <v>45556</v>
      </c>
      <c r="AH11333">
        <v>7</v>
      </c>
      <c r="AI11333">
        <v>1</v>
      </c>
      <c r="AJ11333">
        <v>0</v>
      </c>
      <c r="AK11333">
        <v>272.22</v>
      </c>
      <c r="AN11333" t="s">
        <v>7439</v>
      </c>
      <c r="AO11333">
        <v>34000</v>
      </c>
      <c r="AU11333">
        <v>2.2</v>
      </c>
      <c r="AV11333" t="s">
        <v>839</v>
      </c>
      <c r="AW11333" t="s">
        <v>46841</v>
      </c>
    </row>
    <row r="11334" spans="1:50">
      <c r="A11334" s="1">
        <f>HYPERLINK("https://lsnyc.legalserver.org/matter/dynamic-profile/view/1903401","19-1903401")</f>
        <v>0</v>
      </c>
      <c r="B11334" t="s">
        <v>56</v>
      </c>
      <c r="C11334" t="s">
        <v>340</v>
      </c>
      <c r="D11334" t="s">
        <v>838</v>
      </c>
      <c r="F11334" t="s">
        <v>5054</v>
      </c>
      <c r="G11334" t="s">
        <v>5685</v>
      </c>
      <c r="H11334" t="s">
        <v>17215</v>
      </c>
      <c r="I11334" t="s">
        <v>17319</v>
      </c>
      <c r="J11334" t="s">
        <v>18892</v>
      </c>
      <c r="K11334">
        <v>10456</v>
      </c>
      <c r="L11334" t="s">
        <v>18959</v>
      </c>
      <c r="M11334" t="s">
        <v>18960</v>
      </c>
      <c r="N11334" t="s">
        <v>26480</v>
      </c>
      <c r="O11334" t="s">
        <v>26523</v>
      </c>
      <c r="R11334" t="s">
        <v>26577</v>
      </c>
      <c r="S11334" t="s">
        <v>18959</v>
      </c>
      <c r="U11334" t="s">
        <v>26604</v>
      </c>
      <c r="X11334">
        <v>1593.45</v>
      </c>
      <c r="Y11334" t="s">
        <v>26650</v>
      </c>
      <c r="Z11334" t="s">
        <v>26655</v>
      </c>
      <c r="AB11334" t="s">
        <v>28803</v>
      </c>
      <c r="AD11334" t="s">
        <v>45483</v>
      </c>
      <c r="AE11334">
        <v>114</v>
      </c>
      <c r="AH11334">
        <v>6</v>
      </c>
      <c r="AI11334">
        <v>1</v>
      </c>
      <c r="AJ11334">
        <v>2</v>
      </c>
      <c r="AK11334">
        <v>78.08</v>
      </c>
      <c r="AN11334" t="s">
        <v>7439</v>
      </c>
      <c r="AO11334">
        <v>16653.6</v>
      </c>
      <c r="AU11334">
        <v>0</v>
      </c>
      <c r="AW11334" t="s">
        <v>335</v>
      </c>
      <c r="AX11334" t="s">
        <v>19330</v>
      </c>
    </row>
    <row r="11335" spans="1:50">
      <c r="A11335" s="1">
        <f>HYPERLINK("https://lsnyc.legalserver.org/matter/dynamic-profile/view/1903190","19-1903190")</f>
        <v>0</v>
      </c>
      <c r="B11335" t="s">
        <v>153</v>
      </c>
      <c r="C11335" t="s">
        <v>340</v>
      </c>
      <c r="D11335" t="s">
        <v>838</v>
      </c>
      <c r="F11335" t="s">
        <v>5055</v>
      </c>
      <c r="G11335" t="s">
        <v>9607</v>
      </c>
      <c r="H11335" t="s">
        <v>12135</v>
      </c>
      <c r="I11335" t="s">
        <v>17390</v>
      </c>
      <c r="J11335" t="s">
        <v>18902</v>
      </c>
      <c r="K11335">
        <v>10310</v>
      </c>
      <c r="L11335" t="s">
        <v>18960</v>
      </c>
      <c r="M11335" t="s">
        <v>18960</v>
      </c>
      <c r="N11335" t="s">
        <v>26481</v>
      </c>
      <c r="O11335" t="s">
        <v>26525</v>
      </c>
      <c r="R11335" t="s">
        <v>26587</v>
      </c>
      <c r="S11335" t="s">
        <v>18959</v>
      </c>
      <c r="U11335" t="s">
        <v>26605</v>
      </c>
      <c r="X11335">
        <v>280</v>
      </c>
      <c r="Y11335" t="s">
        <v>26654</v>
      </c>
      <c r="Z11335" t="s">
        <v>26659</v>
      </c>
      <c r="AB11335" t="s">
        <v>34371</v>
      </c>
      <c r="AD11335" t="s">
        <v>45484</v>
      </c>
      <c r="AE11335">
        <v>0</v>
      </c>
      <c r="AF11335" t="s">
        <v>45543</v>
      </c>
      <c r="AG11335" t="s">
        <v>19330</v>
      </c>
      <c r="AH11335">
        <v>11</v>
      </c>
      <c r="AI11335">
        <v>1</v>
      </c>
      <c r="AJ11335">
        <v>0</v>
      </c>
      <c r="AK11335">
        <v>8.74</v>
      </c>
      <c r="AN11335" t="s">
        <v>7439</v>
      </c>
      <c r="AO11335">
        <v>1092</v>
      </c>
      <c r="AU11335">
        <v>2.2</v>
      </c>
      <c r="AV11335" t="s">
        <v>836</v>
      </c>
      <c r="AW11335" t="s">
        <v>46883</v>
      </c>
    </row>
    <row r="11336" spans="1:50">
      <c r="A11336" s="1">
        <f>HYPERLINK("https://lsnyc.legalserver.org/matter/dynamic-profile/view/1903384","19-1903384")</f>
        <v>0</v>
      </c>
      <c r="B11336" t="s">
        <v>74</v>
      </c>
      <c r="C11336" t="s">
        <v>340</v>
      </c>
      <c r="D11336" t="s">
        <v>838</v>
      </c>
      <c r="F11336" t="s">
        <v>5056</v>
      </c>
      <c r="G11336" t="s">
        <v>5078</v>
      </c>
      <c r="H11336" t="s">
        <v>17216</v>
      </c>
      <c r="I11336" t="s">
        <v>17278</v>
      </c>
      <c r="J11336" t="s">
        <v>18893</v>
      </c>
      <c r="K11336">
        <v>10029</v>
      </c>
      <c r="L11336" t="s">
        <v>18960</v>
      </c>
      <c r="M11336" t="s">
        <v>18960</v>
      </c>
      <c r="R11336" t="s">
        <v>26583</v>
      </c>
      <c r="U11336" t="s">
        <v>26604</v>
      </c>
      <c r="X11336">
        <v>1010</v>
      </c>
      <c r="Y11336" t="s">
        <v>26651</v>
      </c>
      <c r="Z11336" t="s">
        <v>26530</v>
      </c>
      <c r="AB11336" t="s">
        <v>34421</v>
      </c>
      <c r="AD11336" t="s">
        <v>45485</v>
      </c>
      <c r="AE11336">
        <v>55</v>
      </c>
      <c r="AF11336" t="s">
        <v>45554</v>
      </c>
      <c r="AG11336" t="s">
        <v>45556</v>
      </c>
      <c r="AH11336">
        <v>3</v>
      </c>
      <c r="AI11336">
        <v>1</v>
      </c>
      <c r="AJ11336">
        <v>0</v>
      </c>
      <c r="AK11336">
        <v>266.45</v>
      </c>
      <c r="AN11336" t="s">
        <v>7439</v>
      </c>
      <c r="AO11336">
        <v>33280</v>
      </c>
      <c r="AU11336">
        <v>0.7</v>
      </c>
      <c r="AV11336" t="s">
        <v>838</v>
      </c>
      <c r="AW11336" t="s">
        <v>46841</v>
      </c>
    </row>
    <row r="11337" spans="1:50">
      <c r="A11337" s="1">
        <f>HYPERLINK("https://lsnyc.legalserver.org/matter/dynamic-profile/view/1903370","19-1903370")</f>
        <v>0</v>
      </c>
      <c r="B11337" t="s">
        <v>68</v>
      </c>
      <c r="C11337" t="s">
        <v>340</v>
      </c>
      <c r="D11337" t="s">
        <v>838</v>
      </c>
      <c r="F11337" t="s">
        <v>1523</v>
      </c>
      <c r="G11337" t="s">
        <v>9608</v>
      </c>
      <c r="H11337" t="s">
        <v>17217</v>
      </c>
      <c r="I11337">
        <v>1</v>
      </c>
      <c r="J11337" t="s">
        <v>18892</v>
      </c>
      <c r="K11337">
        <v>10467</v>
      </c>
      <c r="L11337" t="s">
        <v>18958</v>
      </c>
      <c r="M11337" t="s">
        <v>18960</v>
      </c>
      <c r="N11337" t="s">
        <v>26482</v>
      </c>
      <c r="O11337" t="s">
        <v>26523</v>
      </c>
      <c r="P11337" t="s">
        <v>26560</v>
      </c>
      <c r="R11337" t="s">
        <v>26579</v>
      </c>
      <c r="S11337" t="s">
        <v>18959</v>
      </c>
      <c r="U11337" t="s">
        <v>26604</v>
      </c>
      <c r="V11337" t="s">
        <v>26612</v>
      </c>
      <c r="X11337">
        <v>2300</v>
      </c>
      <c r="Y11337" t="s">
        <v>26650</v>
      </c>
      <c r="AB11337" t="s">
        <v>34280</v>
      </c>
      <c r="AC11337" t="s">
        <v>36807</v>
      </c>
      <c r="AD11337" t="s">
        <v>45486</v>
      </c>
      <c r="AE11337">
        <v>4</v>
      </c>
      <c r="AF11337" t="s">
        <v>45547</v>
      </c>
      <c r="AG11337" t="s">
        <v>45561</v>
      </c>
      <c r="AH11337">
        <v>5</v>
      </c>
      <c r="AI11337">
        <v>2</v>
      </c>
      <c r="AJ11337">
        <v>3</v>
      </c>
      <c r="AK11337">
        <v>34.47</v>
      </c>
      <c r="AN11337" t="s">
        <v>7439</v>
      </c>
      <c r="AO11337">
        <v>10400</v>
      </c>
      <c r="AU11337">
        <v>1.3</v>
      </c>
      <c r="AV11337" t="s">
        <v>838</v>
      </c>
      <c r="AW11337" t="s">
        <v>335</v>
      </c>
      <c r="AX11337" t="s">
        <v>46897</v>
      </c>
    </row>
    <row r="11338" spans="1:50">
      <c r="A11338" s="1">
        <f>HYPERLINK("https://lsnyc.legalserver.org/matter/dynamic-profile/view/1903495","19-1903495")</f>
        <v>0</v>
      </c>
      <c r="B11338" t="s">
        <v>135</v>
      </c>
      <c r="C11338" t="s">
        <v>340</v>
      </c>
      <c r="D11338" t="s">
        <v>838</v>
      </c>
      <c r="F11338" t="s">
        <v>936</v>
      </c>
      <c r="G11338" t="s">
        <v>9412</v>
      </c>
      <c r="H11338" t="s">
        <v>16788</v>
      </c>
      <c r="I11338">
        <v>1</v>
      </c>
      <c r="J11338" t="s">
        <v>18892</v>
      </c>
      <c r="K11338">
        <v>10456</v>
      </c>
      <c r="L11338" t="s">
        <v>18958</v>
      </c>
      <c r="M11338" t="s">
        <v>18960</v>
      </c>
      <c r="N11338" t="s">
        <v>26483</v>
      </c>
      <c r="O11338" t="s">
        <v>26526</v>
      </c>
      <c r="P11338" t="s">
        <v>26560</v>
      </c>
      <c r="R11338" t="s">
        <v>26579</v>
      </c>
      <c r="S11338" t="s">
        <v>18959</v>
      </c>
      <c r="U11338" t="s">
        <v>26604</v>
      </c>
      <c r="V11338" t="s">
        <v>26610</v>
      </c>
      <c r="X11338">
        <v>0</v>
      </c>
      <c r="Y11338" t="s">
        <v>26650</v>
      </c>
      <c r="Z11338" t="s">
        <v>26663</v>
      </c>
      <c r="AB11338" t="s">
        <v>34053</v>
      </c>
      <c r="AD11338" t="s">
        <v>44982</v>
      </c>
      <c r="AE11338">
        <v>2</v>
      </c>
      <c r="AF11338" t="s">
        <v>20460</v>
      </c>
      <c r="AG11338" t="s">
        <v>45556</v>
      </c>
      <c r="AH11338">
        <v>20</v>
      </c>
      <c r="AI11338">
        <v>2</v>
      </c>
      <c r="AJ11338">
        <v>1</v>
      </c>
      <c r="AK11338">
        <v>79.94</v>
      </c>
      <c r="AN11338" t="s">
        <v>7439</v>
      </c>
      <c r="AO11338">
        <v>17052</v>
      </c>
      <c r="AU11338">
        <v>3.6</v>
      </c>
      <c r="AV11338" t="s">
        <v>720</v>
      </c>
      <c r="AW11338" t="s">
        <v>135</v>
      </c>
    </row>
    <row r="11339" spans="1:50">
      <c r="A11339" s="1">
        <f>HYPERLINK("https://lsnyc.legalserver.org/matter/dynamic-profile/view/1903408","19-1903408")</f>
        <v>0</v>
      </c>
      <c r="B11339" t="s">
        <v>124</v>
      </c>
      <c r="C11339" t="s">
        <v>340</v>
      </c>
      <c r="D11339" t="s">
        <v>838</v>
      </c>
      <c r="F11339" t="s">
        <v>879</v>
      </c>
      <c r="G11339" t="s">
        <v>6936</v>
      </c>
      <c r="H11339" t="s">
        <v>17218</v>
      </c>
      <c r="I11339" t="s">
        <v>17299</v>
      </c>
      <c r="J11339" t="s">
        <v>18894</v>
      </c>
      <c r="K11339">
        <v>11239</v>
      </c>
      <c r="L11339" t="s">
        <v>18960</v>
      </c>
      <c r="M11339" t="s">
        <v>18960</v>
      </c>
      <c r="O11339" t="s">
        <v>18997</v>
      </c>
      <c r="P11339" t="s">
        <v>26564</v>
      </c>
      <c r="R11339" t="s">
        <v>26591</v>
      </c>
      <c r="S11339" t="s">
        <v>18959</v>
      </c>
      <c r="U11339" t="s">
        <v>26604</v>
      </c>
      <c r="X11339">
        <v>400</v>
      </c>
      <c r="Y11339" t="s">
        <v>26652</v>
      </c>
      <c r="AB11339" t="s">
        <v>34422</v>
      </c>
      <c r="AD11339" t="s">
        <v>45487</v>
      </c>
      <c r="AE11339">
        <v>136</v>
      </c>
      <c r="AF11339" t="s">
        <v>45541</v>
      </c>
      <c r="AH11339">
        <v>1</v>
      </c>
      <c r="AI11339">
        <v>1</v>
      </c>
      <c r="AJ11339">
        <v>0</v>
      </c>
      <c r="AK11339">
        <v>115.29</v>
      </c>
      <c r="AN11339" t="s">
        <v>7439</v>
      </c>
      <c r="AO11339">
        <v>14400</v>
      </c>
      <c r="AU11339">
        <v>1.3</v>
      </c>
      <c r="AV11339" t="s">
        <v>836</v>
      </c>
      <c r="AW11339" t="s">
        <v>46829</v>
      </c>
    </row>
    <row r="11340" spans="1:50">
      <c r="A11340" s="1">
        <f>HYPERLINK("https://lsnyc.legalserver.org/matter/dynamic-profile/view/1903367","19-1903367")</f>
        <v>0</v>
      </c>
      <c r="B11340" t="s">
        <v>200</v>
      </c>
      <c r="C11340" t="s">
        <v>340</v>
      </c>
      <c r="D11340" t="s">
        <v>838</v>
      </c>
      <c r="F11340" t="s">
        <v>1870</v>
      </c>
      <c r="G11340" t="s">
        <v>6338</v>
      </c>
      <c r="H11340" t="s">
        <v>17219</v>
      </c>
      <c r="I11340" t="s">
        <v>17711</v>
      </c>
      <c r="J11340" t="s">
        <v>18894</v>
      </c>
      <c r="K11340">
        <v>11208</v>
      </c>
      <c r="L11340" t="s">
        <v>18960</v>
      </c>
      <c r="M11340" t="s">
        <v>18960</v>
      </c>
      <c r="R11340" t="s">
        <v>26591</v>
      </c>
      <c r="U11340" t="s">
        <v>26604</v>
      </c>
      <c r="X11340">
        <v>1800</v>
      </c>
      <c r="Y11340" t="s">
        <v>26652</v>
      </c>
      <c r="AB11340" t="s">
        <v>31224</v>
      </c>
      <c r="AD11340" t="s">
        <v>45488</v>
      </c>
      <c r="AE11340">
        <v>3</v>
      </c>
      <c r="AH11340">
        <v>0</v>
      </c>
      <c r="AI11340">
        <v>1</v>
      </c>
      <c r="AJ11340">
        <v>1</v>
      </c>
      <c r="AK11340">
        <v>74.81999999999999</v>
      </c>
      <c r="AN11340" t="s">
        <v>7439</v>
      </c>
      <c r="AO11340">
        <v>12652</v>
      </c>
      <c r="AU11340">
        <v>0.5</v>
      </c>
      <c r="AV11340" t="s">
        <v>838</v>
      </c>
      <c r="AW11340" t="s">
        <v>46850</v>
      </c>
    </row>
    <row r="11341" spans="1:50">
      <c r="A11341" s="1">
        <f>HYPERLINK("https://lsnyc.legalserver.org/matter/dynamic-profile/view/1903396","19-1903396")</f>
        <v>0</v>
      </c>
      <c r="B11341" t="s">
        <v>252</v>
      </c>
      <c r="C11341" t="s">
        <v>340</v>
      </c>
      <c r="D11341" t="s">
        <v>838</v>
      </c>
      <c r="F11341" t="s">
        <v>1128</v>
      </c>
      <c r="G11341" t="s">
        <v>6218</v>
      </c>
      <c r="H11341" t="s">
        <v>17220</v>
      </c>
      <c r="I11341" t="s">
        <v>17388</v>
      </c>
      <c r="J11341" t="s">
        <v>18894</v>
      </c>
      <c r="K11341">
        <v>11213</v>
      </c>
      <c r="L11341" t="s">
        <v>18960</v>
      </c>
      <c r="M11341" t="s">
        <v>18960</v>
      </c>
      <c r="R11341" t="s">
        <v>26591</v>
      </c>
      <c r="U11341" t="s">
        <v>26605</v>
      </c>
      <c r="X11341">
        <v>200</v>
      </c>
      <c r="Y11341" t="s">
        <v>26652</v>
      </c>
      <c r="Z11341" t="s">
        <v>26670</v>
      </c>
      <c r="AB11341" t="s">
        <v>29658</v>
      </c>
      <c r="AD11341" t="s">
        <v>45489</v>
      </c>
      <c r="AE11341">
        <v>16</v>
      </c>
      <c r="AF11341" t="s">
        <v>45549</v>
      </c>
      <c r="AH11341">
        <v>10</v>
      </c>
      <c r="AI11341">
        <v>1</v>
      </c>
      <c r="AJ11341">
        <v>0</v>
      </c>
      <c r="AK11341">
        <v>73.98</v>
      </c>
      <c r="AN11341" t="s">
        <v>7439</v>
      </c>
      <c r="AO11341">
        <v>9240</v>
      </c>
      <c r="AU11341">
        <v>0.6</v>
      </c>
      <c r="AV11341" t="s">
        <v>838</v>
      </c>
      <c r="AW11341" t="s">
        <v>46842</v>
      </c>
    </row>
    <row r="11342" spans="1:50">
      <c r="A11342" s="1">
        <f>HYPERLINK("https://lsnyc.legalserver.org/matter/dynamic-profile/view/1903470","19-1903470")</f>
        <v>0</v>
      </c>
      <c r="B11342" t="s">
        <v>252</v>
      </c>
      <c r="C11342" t="s">
        <v>340</v>
      </c>
      <c r="D11342" t="s">
        <v>838</v>
      </c>
      <c r="F11342" t="s">
        <v>1630</v>
      </c>
      <c r="G11342" t="s">
        <v>5561</v>
      </c>
      <c r="H11342" t="s">
        <v>17221</v>
      </c>
      <c r="I11342" t="s">
        <v>17880</v>
      </c>
      <c r="J11342" t="s">
        <v>18894</v>
      </c>
      <c r="K11342">
        <v>11226</v>
      </c>
      <c r="L11342" t="s">
        <v>18960</v>
      </c>
      <c r="M11342" t="s">
        <v>18960</v>
      </c>
      <c r="O11342" t="s">
        <v>18997</v>
      </c>
      <c r="R11342" t="s">
        <v>26583</v>
      </c>
      <c r="U11342" t="s">
        <v>26604</v>
      </c>
      <c r="X11342">
        <v>880</v>
      </c>
      <c r="Y11342" t="s">
        <v>26652</v>
      </c>
      <c r="AB11342" t="s">
        <v>34423</v>
      </c>
      <c r="AD11342" t="s">
        <v>45490</v>
      </c>
      <c r="AE11342">
        <v>0</v>
      </c>
      <c r="AF11342" t="s">
        <v>45541</v>
      </c>
      <c r="AG11342" t="s">
        <v>19330</v>
      </c>
      <c r="AH11342">
        <v>25</v>
      </c>
      <c r="AI11342">
        <v>1</v>
      </c>
      <c r="AJ11342">
        <v>0</v>
      </c>
      <c r="AK11342">
        <v>244.98</v>
      </c>
      <c r="AN11342" t="s">
        <v>7439</v>
      </c>
      <c r="AO11342">
        <v>30598</v>
      </c>
      <c r="AU11342">
        <v>1</v>
      </c>
      <c r="AV11342" t="s">
        <v>838</v>
      </c>
      <c r="AW11342" t="s">
        <v>46859</v>
      </c>
    </row>
    <row r="11343" spans="1:50">
      <c r="A11343" s="1">
        <f>HYPERLINK("https://lsnyc.legalserver.org/matter/dynamic-profile/view/1903406","19-1903406")</f>
        <v>0</v>
      </c>
      <c r="B11343" t="s">
        <v>187</v>
      </c>
      <c r="C11343" t="s">
        <v>340</v>
      </c>
      <c r="D11343" t="s">
        <v>838</v>
      </c>
      <c r="F11343" t="s">
        <v>899</v>
      </c>
      <c r="G11343" t="s">
        <v>7725</v>
      </c>
      <c r="H11343" t="s">
        <v>13573</v>
      </c>
      <c r="I11343" t="s">
        <v>17440</v>
      </c>
      <c r="J11343" t="s">
        <v>18895</v>
      </c>
      <c r="K11343">
        <v>10467</v>
      </c>
      <c r="L11343" t="s">
        <v>18958</v>
      </c>
      <c r="M11343" t="s">
        <v>18960</v>
      </c>
      <c r="N11343" t="s">
        <v>23063</v>
      </c>
      <c r="O11343" t="s">
        <v>26523</v>
      </c>
      <c r="P11343" t="s">
        <v>26560</v>
      </c>
      <c r="R11343" t="s">
        <v>26579</v>
      </c>
      <c r="S11343" t="s">
        <v>18959</v>
      </c>
      <c r="U11343" t="s">
        <v>26606</v>
      </c>
      <c r="V11343" t="s">
        <v>26610</v>
      </c>
      <c r="X11343">
        <v>252</v>
      </c>
      <c r="Y11343" t="s">
        <v>26650</v>
      </c>
      <c r="Z11343" t="s">
        <v>26668</v>
      </c>
      <c r="AB11343" t="s">
        <v>31153</v>
      </c>
      <c r="AC11343" t="s">
        <v>36003</v>
      </c>
      <c r="AD11343" t="s">
        <v>41323</v>
      </c>
      <c r="AE11343">
        <v>733</v>
      </c>
      <c r="AG11343" t="s">
        <v>19330</v>
      </c>
      <c r="AH11343">
        <v>1</v>
      </c>
      <c r="AI11343">
        <v>1</v>
      </c>
      <c r="AJ11343">
        <v>1</v>
      </c>
      <c r="AK11343">
        <v>0</v>
      </c>
      <c r="AN11343" t="s">
        <v>7439</v>
      </c>
      <c r="AO11343">
        <v>0</v>
      </c>
      <c r="AU11343">
        <v>0</v>
      </c>
      <c r="AW11343" t="s">
        <v>329</v>
      </c>
    </row>
    <row r="11344" spans="1:50">
      <c r="A11344" s="1">
        <f>HYPERLINK("https://lsnyc.legalserver.org/matter/dynamic-profile/view/1903479","19-1903479")</f>
        <v>0</v>
      </c>
      <c r="B11344" t="s">
        <v>297</v>
      </c>
      <c r="C11344" t="s">
        <v>340</v>
      </c>
      <c r="D11344" t="s">
        <v>838</v>
      </c>
      <c r="F11344" t="s">
        <v>5057</v>
      </c>
      <c r="G11344" t="s">
        <v>9609</v>
      </c>
      <c r="H11344" t="s">
        <v>13427</v>
      </c>
      <c r="I11344" t="s">
        <v>17292</v>
      </c>
      <c r="J11344" t="s">
        <v>18892</v>
      </c>
      <c r="K11344">
        <v>10457</v>
      </c>
      <c r="L11344" t="s">
        <v>18958</v>
      </c>
      <c r="M11344" t="s">
        <v>18960</v>
      </c>
      <c r="N11344" t="s">
        <v>26484</v>
      </c>
      <c r="O11344" t="s">
        <v>26523</v>
      </c>
      <c r="R11344" t="s">
        <v>26579</v>
      </c>
      <c r="S11344" t="s">
        <v>18959</v>
      </c>
      <c r="U11344" t="s">
        <v>26604</v>
      </c>
      <c r="X11344">
        <v>1209.82</v>
      </c>
      <c r="Y11344" t="s">
        <v>26650</v>
      </c>
      <c r="AB11344" t="s">
        <v>29847</v>
      </c>
      <c r="AD11344" t="s">
        <v>45491</v>
      </c>
      <c r="AE11344">
        <v>79</v>
      </c>
      <c r="AH11344">
        <v>12</v>
      </c>
      <c r="AI11344">
        <v>1</v>
      </c>
      <c r="AJ11344">
        <v>3</v>
      </c>
      <c r="AK11344">
        <v>54.93</v>
      </c>
      <c r="AN11344" t="s">
        <v>7439</v>
      </c>
      <c r="AO11344">
        <v>14144</v>
      </c>
      <c r="AU11344">
        <v>0</v>
      </c>
      <c r="AW11344" t="s">
        <v>335</v>
      </c>
      <c r="AX11344" t="s">
        <v>46897</v>
      </c>
    </row>
    <row r="11345" spans="1:50">
      <c r="A11345" s="1">
        <f>HYPERLINK("https://lsnyc.legalserver.org/matter/dynamic-profile/view/1903449","19-1903449")</f>
        <v>0</v>
      </c>
      <c r="B11345" t="s">
        <v>297</v>
      </c>
      <c r="C11345" t="s">
        <v>340</v>
      </c>
      <c r="D11345" t="s">
        <v>838</v>
      </c>
      <c r="F11345" t="s">
        <v>953</v>
      </c>
      <c r="G11345" t="s">
        <v>9610</v>
      </c>
      <c r="H11345" t="s">
        <v>17222</v>
      </c>
      <c r="I11345">
        <v>3</v>
      </c>
      <c r="J11345" t="s">
        <v>18892</v>
      </c>
      <c r="K11345">
        <v>10467</v>
      </c>
      <c r="L11345" t="s">
        <v>18958</v>
      </c>
      <c r="M11345" t="s">
        <v>18960</v>
      </c>
      <c r="N11345" t="s">
        <v>26485</v>
      </c>
      <c r="O11345" t="s">
        <v>26524</v>
      </c>
      <c r="R11345" t="s">
        <v>26579</v>
      </c>
      <c r="S11345" t="s">
        <v>18959</v>
      </c>
      <c r="U11345" t="s">
        <v>26604</v>
      </c>
      <c r="X11345">
        <v>1755</v>
      </c>
      <c r="Y11345" t="s">
        <v>26650</v>
      </c>
      <c r="AB11345" t="s">
        <v>31716</v>
      </c>
      <c r="AC11345">
        <v>6516771</v>
      </c>
      <c r="AD11345" t="s">
        <v>45492</v>
      </c>
      <c r="AE11345">
        <v>0</v>
      </c>
      <c r="AG11345" t="s">
        <v>45556</v>
      </c>
      <c r="AH11345">
        <v>8</v>
      </c>
      <c r="AI11345">
        <v>3</v>
      </c>
      <c r="AJ11345">
        <v>3</v>
      </c>
      <c r="AK11345">
        <v>74.54000000000001</v>
      </c>
      <c r="AN11345" t="s">
        <v>7439</v>
      </c>
      <c r="AO11345">
        <v>25784</v>
      </c>
      <c r="AU11345">
        <v>0</v>
      </c>
      <c r="AW11345" t="s">
        <v>335</v>
      </c>
      <c r="AX11345" t="s">
        <v>46897</v>
      </c>
    </row>
    <row r="11346" spans="1:50">
      <c r="A11346" s="1">
        <f>HYPERLINK("https://lsnyc.legalserver.org/matter/dynamic-profile/view/1903435","19-1903435")</f>
        <v>0</v>
      </c>
      <c r="B11346" t="s">
        <v>123</v>
      </c>
      <c r="C11346" t="s">
        <v>340</v>
      </c>
      <c r="D11346" t="s">
        <v>838</v>
      </c>
      <c r="F11346" t="s">
        <v>3934</v>
      </c>
      <c r="G11346" t="s">
        <v>9611</v>
      </c>
      <c r="H11346" t="s">
        <v>17223</v>
      </c>
      <c r="I11346" t="s">
        <v>17316</v>
      </c>
      <c r="J11346" t="s">
        <v>18894</v>
      </c>
      <c r="K11346">
        <v>11238</v>
      </c>
      <c r="L11346" t="s">
        <v>18958</v>
      </c>
      <c r="M11346" t="s">
        <v>18960</v>
      </c>
      <c r="O11346" t="s">
        <v>26524</v>
      </c>
      <c r="P11346" t="s">
        <v>26563</v>
      </c>
      <c r="R11346" t="s">
        <v>26583</v>
      </c>
      <c r="U11346" t="s">
        <v>26604</v>
      </c>
      <c r="X11346">
        <v>718</v>
      </c>
      <c r="Y11346" t="s">
        <v>26652</v>
      </c>
      <c r="Z11346" t="s">
        <v>26659</v>
      </c>
      <c r="AB11346" t="s">
        <v>34424</v>
      </c>
      <c r="AD11346" t="s">
        <v>45493</v>
      </c>
      <c r="AE11346">
        <v>8</v>
      </c>
      <c r="AF11346" t="s">
        <v>45541</v>
      </c>
      <c r="AH11346">
        <v>35</v>
      </c>
      <c r="AI11346">
        <v>3</v>
      </c>
      <c r="AJ11346">
        <v>0</v>
      </c>
      <c r="AK11346">
        <v>274.73</v>
      </c>
      <c r="AO11346">
        <v>58600</v>
      </c>
      <c r="AU11346">
        <v>1</v>
      </c>
      <c r="AV11346" t="s">
        <v>838</v>
      </c>
      <c r="AW11346" t="s">
        <v>46862</v>
      </c>
    </row>
    <row r="11347" spans="1:50">
      <c r="A11347" s="1">
        <f>HYPERLINK("https://lsnyc.legalserver.org/matter/dynamic-profile/view/1903442","19-1903442")</f>
        <v>0</v>
      </c>
      <c r="B11347" t="s">
        <v>188</v>
      </c>
      <c r="C11347" t="s">
        <v>340</v>
      </c>
      <c r="D11347" t="s">
        <v>838</v>
      </c>
      <c r="F11347" t="s">
        <v>1031</v>
      </c>
      <c r="G11347" t="s">
        <v>3283</v>
      </c>
      <c r="H11347" t="s">
        <v>17224</v>
      </c>
      <c r="I11347" t="s">
        <v>18879</v>
      </c>
      <c r="J11347" t="s">
        <v>18892</v>
      </c>
      <c r="K11347">
        <v>10453</v>
      </c>
      <c r="L11347" t="s">
        <v>18960</v>
      </c>
      <c r="M11347" t="s">
        <v>18960</v>
      </c>
      <c r="N11347" t="s">
        <v>26486</v>
      </c>
      <c r="O11347" t="s">
        <v>26523</v>
      </c>
      <c r="R11347" t="s">
        <v>26591</v>
      </c>
      <c r="U11347" t="s">
        <v>26604</v>
      </c>
      <c r="X11347">
        <v>300</v>
      </c>
      <c r="Y11347" t="s">
        <v>26650</v>
      </c>
      <c r="AB11347" t="s">
        <v>27547</v>
      </c>
      <c r="AD11347" t="s">
        <v>45494</v>
      </c>
      <c r="AE11347">
        <v>80</v>
      </c>
      <c r="AH11347">
        <v>14</v>
      </c>
      <c r="AI11347">
        <v>1</v>
      </c>
      <c r="AJ11347">
        <v>0</v>
      </c>
      <c r="AK11347">
        <v>70.14</v>
      </c>
      <c r="AN11347" t="s">
        <v>7439</v>
      </c>
      <c r="AO11347">
        <v>8760</v>
      </c>
      <c r="AU11347">
        <v>0.7</v>
      </c>
      <c r="AV11347" t="s">
        <v>836</v>
      </c>
      <c r="AW11347" t="s">
        <v>46850</v>
      </c>
    </row>
    <row r="11348" spans="1:50">
      <c r="A11348" s="1">
        <f>HYPERLINK("https://lsnyc.legalserver.org/matter/dynamic-profile/view/1903360","19-1903360")</f>
        <v>0</v>
      </c>
      <c r="B11348" t="s">
        <v>194</v>
      </c>
      <c r="C11348" t="s">
        <v>340</v>
      </c>
      <c r="D11348" t="s">
        <v>838</v>
      </c>
      <c r="F11348" t="s">
        <v>2769</v>
      </c>
      <c r="G11348" t="s">
        <v>5310</v>
      </c>
      <c r="H11348" t="s">
        <v>17225</v>
      </c>
      <c r="I11348" t="s">
        <v>18293</v>
      </c>
      <c r="J11348" t="s">
        <v>18893</v>
      </c>
      <c r="K11348">
        <v>10025</v>
      </c>
      <c r="L11348" t="s">
        <v>18958</v>
      </c>
      <c r="M11348" t="s">
        <v>18960</v>
      </c>
      <c r="N11348" t="s">
        <v>26487</v>
      </c>
      <c r="O11348" t="s">
        <v>26523</v>
      </c>
      <c r="P11348" t="s">
        <v>26563</v>
      </c>
      <c r="R11348" t="s">
        <v>26582</v>
      </c>
      <c r="S11348" t="s">
        <v>18959</v>
      </c>
      <c r="U11348" t="s">
        <v>26604</v>
      </c>
      <c r="V11348" t="s">
        <v>26610</v>
      </c>
      <c r="X11348">
        <v>1900</v>
      </c>
      <c r="Y11348" t="s">
        <v>26651</v>
      </c>
      <c r="Z11348" t="s">
        <v>26668</v>
      </c>
      <c r="AB11348" t="s">
        <v>28322</v>
      </c>
      <c r="AD11348" t="s">
        <v>45495</v>
      </c>
      <c r="AE11348">
        <v>0</v>
      </c>
      <c r="AF11348" t="s">
        <v>20460</v>
      </c>
      <c r="AG11348" t="s">
        <v>19330</v>
      </c>
      <c r="AH11348">
        <v>42</v>
      </c>
      <c r="AI11348">
        <v>1</v>
      </c>
      <c r="AJ11348">
        <v>0</v>
      </c>
      <c r="AK11348">
        <v>307.45</v>
      </c>
      <c r="AN11348" t="s">
        <v>7439</v>
      </c>
      <c r="AO11348">
        <v>38400</v>
      </c>
      <c r="AU11348">
        <v>0</v>
      </c>
      <c r="AW11348" t="s">
        <v>314</v>
      </c>
      <c r="AX11348" t="s">
        <v>46897</v>
      </c>
    </row>
    <row r="11349" spans="1:50">
      <c r="A11349" s="1">
        <f>HYPERLINK("https://lsnyc.legalserver.org/matter/dynamic-profile/view/1903429","19-1903429")</f>
        <v>0</v>
      </c>
      <c r="B11349" t="s">
        <v>69</v>
      </c>
      <c r="C11349" t="s">
        <v>340</v>
      </c>
      <c r="D11349" t="s">
        <v>838</v>
      </c>
      <c r="F11349" t="s">
        <v>5058</v>
      </c>
      <c r="G11349" t="s">
        <v>9612</v>
      </c>
      <c r="H11349" t="s">
        <v>17226</v>
      </c>
      <c r="I11349">
        <v>7</v>
      </c>
      <c r="J11349" t="s">
        <v>18892</v>
      </c>
      <c r="K11349">
        <v>10462</v>
      </c>
      <c r="L11349" t="s">
        <v>18958</v>
      </c>
      <c r="M11349" t="s">
        <v>18960</v>
      </c>
      <c r="N11349" t="s">
        <v>26488</v>
      </c>
      <c r="O11349" t="s">
        <v>26523</v>
      </c>
      <c r="R11349" t="s">
        <v>26579</v>
      </c>
      <c r="S11349" t="s">
        <v>18959</v>
      </c>
      <c r="U11349" t="s">
        <v>26604</v>
      </c>
      <c r="X11349">
        <v>1200</v>
      </c>
      <c r="Y11349" t="s">
        <v>26650</v>
      </c>
      <c r="AB11349" t="s">
        <v>26852</v>
      </c>
      <c r="AE11349">
        <v>16</v>
      </c>
      <c r="AH11349">
        <v>2</v>
      </c>
      <c r="AI11349">
        <v>3</v>
      </c>
      <c r="AJ11349">
        <v>0</v>
      </c>
      <c r="AK11349">
        <v>89.08</v>
      </c>
      <c r="AN11349" t="s">
        <v>45581</v>
      </c>
      <c r="AO11349">
        <v>19000</v>
      </c>
      <c r="AU11349">
        <v>0</v>
      </c>
      <c r="AW11349" t="s">
        <v>335</v>
      </c>
      <c r="AX11349" t="s">
        <v>46897</v>
      </c>
    </row>
    <row r="11350" spans="1:50">
      <c r="A11350" s="1">
        <f>HYPERLINK("https://lsnyc.legalserver.org/matter/dynamic-profile/view/1903583","19-1903583")</f>
        <v>0</v>
      </c>
      <c r="B11350" t="s">
        <v>107</v>
      </c>
      <c r="C11350" t="s">
        <v>340</v>
      </c>
      <c r="D11350" t="s">
        <v>839</v>
      </c>
      <c r="F11350" t="s">
        <v>5059</v>
      </c>
      <c r="G11350" t="s">
        <v>6634</v>
      </c>
      <c r="H11350" t="s">
        <v>17227</v>
      </c>
      <c r="I11350" t="s">
        <v>17272</v>
      </c>
      <c r="J11350" t="s">
        <v>18897</v>
      </c>
      <c r="K11350">
        <v>11415</v>
      </c>
      <c r="L11350" t="s">
        <v>18958</v>
      </c>
      <c r="M11350" t="s">
        <v>18960</v>
      </c>
      <c r="N11350" t="s">
        <v>26489</v>
      </c>
      <c r="O11350" t="s">
        <v>26523</v>
      </c>
      <c r="R11350" t="s">
        <v>26584</v>
      </c>
      <c r="S11350" t="s">
        <v>18959</v>
      </c>
      <c r="U11350" t="s">
        <v>26604</v>
      </c>
      <c r="X11350">
        <v>1423</v>
      </c>
      <c r="Y11350" t="s">
        <v>26653</v>
      </c>
      <c r="Z11350" t="s">
        <v>26668</v>
      </c>
      <c r="AB11350" t="s">
        <v>34425</v>
      </c>
      <c r="AD11350" t="s">
        <v>45496</v>
      </c>
      <c r="AE11350">
        <v>0</v>
      </c>
      <c r="AF11350" t="s">
        <v>45541</v>
      </c>
      <c r="AG11350" t="s">
        <v>19330</v>
      </c>
      <c r="AH11350">
        <v>16</v>
      </c>
      <c r="AI11350">
        <v>1</v>
      </c>
      <c r="AJ11350">
        <v>0</v>
      </c>
      <c r="AK11350">
        <v>249.8</v>
      </c>
      <c r="AN11350" t="s">
        <v>7439</v>
      </c>
      <c r="AO11350">
        <v>31200</v>
      </c>
      <c r="AU11350">
        <v>0.8</v>
      </c>
      <c r="AV11350" t="s">
        <v>836</v>
      </c>
      <c r="AW11350" t="s">
        <v>46846</v>
      </c>
      <c r="AX11350" t="s">
        <v>46897</v>
      </c>
    </row>
    <row r="11351" spans="1:50">
      <c r="A11351" s="1">
        <f>HYPERLINK("https://lsnyc.legalserver.org/matter/dynamic-profile/view/1903593","19-1903593")</f>
        <v>0</v>
      </c>
      <c r="B11351" t="s">
        <v>107</v>
      </c>
      <c r="C11351" t="s">
        <v>340</v>
      </c>
      <c r="D11351" t="s">
        <v>839</v>
      </c>
      <c r="F11351" t="s">
        <v>5060</v>
      </c>
      <c r="G11351" t="s">
        <v>5794</v>
      </c>
      <c r="H11351" t="s">
        <v>17228</v>
      </c>
      <c r="I11351" t="s">
        <v>17312</v>
      </c>
      <c r="J11351" t="s">
        <v>18901</v>
      </c>
      <c r="K11351">
        <v>11434</v>
      </c>
      <c r="L11351" t="s">
        <v>18958</v>
      </c>
      <c r="M11351" t="s">
        <v>18960</v>
      </c>
      <c r="N11351" t="s">
        <v>26490</v>
      </c>
      <c r="O11351" t="s">
        <v>26523</v>
      </c>
      <c r="P11351" t="s">
        <v>26563</v>
      </c>
      <c r="R11351" t="s">
        <v>26585</v>
      </c>
      <c r="U11351" t="s">
        <v>26604</v>
      </c>
      <c r="X11351">
        <v>214.1</v>
      </c>
      <c r="Y11351" t="s">
        <v>26653</v>
      </c>
      <c r="Z11351" t="s">
        <v>26668</v>
      </c>
      <c r="AB11351" t="s">
        <v>31232</v>
      </c>
      <c r="AD11351" t="s">
        <v>45497</v>
      </c>
      <c r="AE11351">
        <v>0</v>
      </c>
      <c r="AG11351" t="s">
        <v>19330</v>
      </c>
      <c r="AH11351">
        <v>7</v>
      </c>
      <c r="AI11351">
        <v>1</v>
      </c>
      <c r="AJ11351">
        <v>0</v>
      </c>
      <c r="AK11351">
        <v>74.65000000000001</v>
      </c>
      <c r="AN11351" t="s">
        <v>7439</v>
      </c>
      <c r="AO11351">
        <v>9324</v>
      </c>
      <c r="AU11351">
        <v>0.37</v>
      </c>
      <c r="AV11351" t="s">
        <v>836</v>
      </c>
      <c r="AW11351" t="s">
        <v>46846</v>
      </c>
      <c r="AX11351" t="s">
        <v>46897</v>
      </c>
    </row>
    <row r="11352" spans="1:50">
      <c r="A11352" s="1">
        <f>HYPERLINK("https://lsnyc.legalserver.org/matter/dynamic-profile/view/1903511","19-1903511")</f>
        <v>0</v>
      </c>
      <c r="B11352" t="s">
        <v>219</v>
      </c>
      <c r="C11352" t="s">
        <v>340</v>
      </c>
      <c r="D11352" t="s">
        <v>839</v>
      </c>
      <c r="F11352" t="s">
        <v>5061</v>
      </c>
      <c r="G11352" t="s">
        <v>9613</v>
      </c>
      <c r="H11352" t="s">
        <v>17229</v>
      </c>
      <c r="I11352" t="s">
        <v>17275</v>
      </c>
      <c r="J11352" t="s">
        <v>18894</v>
      </c>
      <c r="K11352">
        <v>11230</v>
      </c>
      <c r="L11352" t="s">
        <v>18960</v>
      </c>
      <c r="M11352" t="s">
        <v>18960</v>
      </c>
      <c r="O11352" t="s">
        <v>26549</v>
      </c>
      <c r="R11352" t="s">
        <v>26583</v>
      </c>
      <c r="S11352" t="s">
        <v>18959</v>
      </c>
      <c r="U11352" t="s">
        <v>26607</v>
      </c>
      <c r="X11352">
        <v>1350</v>
      </c>
      <c r="Y11352" t="s">
        <v>26652</v>
      </c>
      <c r="AB11352" t="s">
        <v>34426</v>
      </c>
      <c r="AD11352" t="s">
        <v>45498</v>
      </c>
      <c r="AE11352">
        <v>41</v>
      </c>
      <c r="AH11352">
        <v>9</v>
      </c>
      <c r="AI11352">
        <v>2</v>
      </c>
      <c r="AJ11352">
        <v>1</v>
      </c>
      <c r="AK11352">
        <v>248.48</v>
      </c>
      <c r="AN11352" t="s">
        <v>7439</v>
      </c>
      <c r="AO11352">
        <v>53000</v>
      </c>
      <c r="AU11352">
        <v>1</v>
      </c>
      <c r="AV11352" t="s">
        <v>839</v>
      </c>
      <c r="AW11352" t="s">
        <v>46887</v>
      </c>
    </row>
    <row r="11353" spans="1:50">
      <c r="A11353" s="1">
        <f>HYPERLINK("https://lsnyc.legalserver.org/matter/dynamic-profile/view/1903506","19-1903506")</f>
        <v>0</v>
      </c>
      <c r="B11353" t="s">
        <v>219</v>
      </c>
      <c r="C11353" t="s">
        <v>340</v>
      </c>
      <c r="D11353" t="s">
        <v>839</v>
      </c>
      <c r="F11353" t="s">
        <v>1494</v>
      </c>
      <c r="G11353" t="s">
        <v>9614</v>
      </c>
      <c r="H11353" t="s">
        <v>17230</v>
      </c>
      <c r="I11353" t="s">
        <v>18880</v>
      </c>
      <c r="J11353" t="s">
        <v>18894</v>
      </c>
      <c r="K11353">
        <v>11225</v>
      </c>
      <c r="L11353" t="s">
        <v>18960</v>
      </c>
      <c r="M11353" t="s">
        <v>18960</v>
      </c>
      <c r="N11353" t="s">
        <v>26491</v>
      </c>
      <c r="O11353" t="s">
        <v>26524</v>
      </c>
      <c r="R11353" t="s">
        <v>26583</v>
      </c>
      <c r="U11353" t="s">
        <v>26604</v>
      </c>
      <c r="X11353">
        <v>1495</v>
      </c>
      <c r="Y11353" t="s">
        <v>26652</v>
      </c>
      <c r="AB11353" t="s">
        <v>28926</v>
      </c>
      <c r="AD11353" t="s">
        <v>37219</v>
      </c>
      <c r="AE11353">
        <v>65</v>
      </c>
      <c r="AH11353">
        <v>7</v>
      </c>
      <c r="AI11353">
        <v>1</v>
      </c>
      <c r="AJ11353">
        <v>0</v>
      </c>
      <c r="AK11353">
        <v>288.23</v>
      </c>
      <c r="AN11353" t="s">
        <v>7439</v>
      </c>
      <c r="AO11353">
        <v>36000</v>
      </c>
      <c r="AU11353">
        <v>0.5</v>
      </c>
      <c r="AV11353" t="s">
        <v>839</v>
      </c>
      <c r="AW11353" t="s">
        <v>46850</v>
      </c>
    </row>
    <row r="11354" spans="1:50">
      <c r="A11354" s="1">
        <f>HYPERLINK("https://lsnyc.legalserver.org/matter/dynamic-profile/view/1903504","19-1903504")</f>
        <v>0</v>
      </c>
      <c r="B11354" t="s">
        <v>169</v>
      </c>
      <c r="C11354" t="s">
        <v>340</v>
      </c>
      <c r="D11354" t="s">
        <v>839</v>
      </c>
      <c r="F11354" t="s">
        <v>1540</v>
      </c>
      <c r="G11354" t="s">
        <v>5173</v>
      </c>
      <c r="H11354" t="s">
        <v>17231</v>
      </c>
      <c r="I11354" t="s">
        <v>17356</v>
      </c>
      <c r="J11354" t="s">
        <v>18892</v>
      </c>
      <c r="K11354">
        <v>10453</v>
      </c>
      <c r="L11354" t="s">
        <v>18958</v>
      </c>
      <c r="M11354" t="s">
        <v>18960</v>
      </c>
      <c r="N11354" t="s">
        <v>26492</v>
      </c>
      <c r="O11354" t="s">
        <v>26523</v>
      </c>
      <c r="R11354" t="s">
        <v>26578</v>
      </c>
      <c r="S11354" t="s">
        <v>18959</v>
      </c>
      <c r="U11354" t="s">
        <v>26604</v>
      </c>
      <c r="X11354">
        <v>1268</v>
      </c>
      <c r="Y11354" t="s">
        <v>26650</v>
      </c>
      <c r="Z11354" t="s">
        <v>26668</v>
      </c>
      <c r="AB11354" t="s">
        <v>31082</v>
      </c>
      <c r="AE11354">
        <v>0</v>
      </c>
      <c r="AF11354" t="s">
        <v>45548</v>
      </c>
      <c r="AG11354" t="s">
        <v>45562</v>
      </c>
      <c r="AH11354">
        <v>3</v>
      </c>
      <c r="AI11354">
        <v>2</v>
      </c>
      <c r="AJ11354">
        <v>0</v>
      </c>
      <c r="AK11354">
        <v>53.44</v>
      </c>
      <c r="AN11354" t="s">
        <v>7439</v>
      </c>
      <c r="AO11354">
        <v>9036</v>
      </c>
      <c r="AU11354">
        <v>0</v>
      </c>
      <c r="AW11354" t="s">
        <v>329</v>
      </c>
    </row>
    <row r="11355" spans="1:50">
      <c r="A11355" s="1">
        <f>HYPERLINK("https://lsnyc.legalserver.org/matter/dynamic-profile/view/1903513","19-1903513")</f>
        <v>0</v>
      </c>
      <c r="B11355" t="s">
        <v>130</v>
      </c>
      <c r="C11355" t="s">
        <v>340</v>
      </c>
      <c r="D11355" t="s">
        <v>839</v>
      </c>
      <c r="F11355" t="s">
        <v>933</v>
      </c>
      <c r="G11355" t="s">
        <v>5982</v>
      </c>
      <c r="H11355" t="s">
        <v>17232</v>
      </c>
      <c r="I11355" t="s">
        <v>17334</v>
      </c>
      <c r="J11355" t="s">
        <v>18899</v>
      </c>
      <c r="K11355">
        <v>11385</v>
      </c>
      <c r="L11355" t="s">
        <v>18958</v>
      </c>
      <c r="M11355" t="s">
        <v>18960</v>
      </c>
      <c r="N11355" t="s">
        <v>26493</v>
      </c>
      <c r="O11355" t="s">
        <v>26523</v>
      </c>
      <c r="P11355" t="s">
        <v>26563</v>
      </c>
      <c r="R11355" t="s">
        <v>26585</v>
      </c>
      <c r="S11355" t="s">
        <v>18959</v>
      </c>
      <c r="U11355" t="s">
        <v>26604</v>
      </c>
      <c r="V11355" t="s">
        <v>26610</v>
      </c>
      <c r="X11355">
        <v>1615</v>
      </c>
      <c r="Y11355" t="s">
        <v>26653</v>
      </c>
      <c r="Z11355" t="s">
        <v>26668</v>
      </c>
      <c r="AB11355" t="s">
        <v>34427</v>
      </c>
      <c r="AD11355" t="s">
        <v>45499</v>
      </c>
      <c r="AE11355">
        <v>6</v>
      </c>
      <c r="AF11355" t="s">
        <v>45541</v>
      </c>
      <c r="AG11355" t="s">
        <v>19330</v>
      </c>
      <c r="AH11355">
        <v>1</v>
      </c>
      <c r="AI11355">
        <v>2</v>
      </c>
      <c r="AJ11355">
        <v>0</v>
      </c>
      <c r="AK11355">
        <v>172.44</v>
      </c>
      <c r="AN11355" t="s">
        <v>7439</v>
      </c>
      <c r="AO11355">
        <v>29160</v>
      </c>
      <c r="AU11355">
        <v>0.85</v>
      </c>
      <c r="AV11355" t="s">
        <v>839</v>
      </c>
      <c r="AW11355" t="s">
        <v>46846</v>
      </c>
      <c r="AX11355" t="s">
        <v>46897</v>
      </c>
    </row>
    <row r="11356" spans="1:50">
      <c r="A11356" s="1">
        <f>HYPERLINK("https://lsnyc.legalserver.org/matter/dynamic-profile/view/1903519","19-1903519")</f>
        <v>0</v>
      </c>
      <c r="B11356" t="s">
        <v>108</v>
      </c>
      <c r="C11356" t="s">
        <v>340</v>
      </c>
      <c r="D11356" t="s">
        <v>839</v>
      </c>
      <c r="F11356" t="s">
        <v>1058</v>
      </c>
      <c r="G11356" t="s">
        <v>6932</v>
      </c>
      <c r="H11356" t="s">
        <v>15621</v>
      </c>
      <c r="J11356" t="s">
        <v>18901</v>
      </c>
      <c r="K11356">
        <v>11433</v>
      </c>
      <c r="L11356" t="s">
        <v>18958</v>
      </c>
      <c r="M11356" t="s">
        <v>18960</v>
      </c>
      <c r="N11356" t="s">
        <v>26494</v>
      </c>
      <c r="O11356" t="s">
        <v>26524</v>
      </c>
      <c r="P11356" t="s">
        <v>26563</v>
      </c>
      <c r="R11356" t="s">
        <v>26585</v>
      </c>
      <c r="S11356" t="s">
        <v>18958</v>
      </c>
      <c r="U11356" t="s">
        <v>26604</v>
      </c>
      <c r="X11356">
        <v>800</v>
      </c>
      <c r="Y11356" t="s">
        <v>26653</v>
      </c>
      <c r="Z11356" t="s">
        <v>26668</v>
      </c>
      <c r="AB11356" t="s">
        <v>34428</v>
      </c>
      <c r="AD11356" t="s">
        <v>45500</v>
      </c>
      <c r="AE11356">
        <v>2</v>
      </c>
      <c r="AG11356" t="s">
        <v>45557</v>
      </c>
      <c r="AH11356">
        <v>4</v>
      </c>
      <c r="AI11356">
        <v>1</v>
      </c>
      <c r="AJ11356">
        <v>0</v>
      </c>
      <c r="AK11356">
        <v>69.84999999999999</v>
      </c>
      <c r="AN11356" t="s">
        <v>7439</v>
      </c>
      <c r="AO11356">
        <v>8724</v>
      </c>
      <c r="AU11356">
        <v>0.5</v>
      </c>
      <c r="AV11356" t="s">
        <v>839</v>
      </c>
      <c r="AW11356" t="s">
        <v>46846</v>
      </c>
      <c r="AX11356" t="s">
        <v>46897</v>
      </c>
    </row>
    <row r="11357" spans="1:50">
      <c r="A11357" s="1">
        <f>HYPERLINK("https://lsnyc.legalserver.org/matter/dynamic-profile/view/1903523","19-1903523")</f>
        <v>0</v>
      </c>
      <c r="B11357" t="s">
        <v>108</v>
      </c>
      <c r="C11357" t="s">
        <v>340</v>
      </c>
      <c r="D11357" t="s">
        <v>839</v>
      </c>
      <c r="F11357" t="s">
        <v>5062</v>
      </c>
      <c r="G11357" t="s">
        <v>9615</v>
      </c>
      <c r="H11357" t="s">
        <v>17233</v>
      </c>
      <c r="J11357" t="s">
        <v>18901</v>
      </c>
      <c r="K11357">
        <v>11433</v>
      </c>
      <c r="L11357" t="s">
        <v>18958</v>
      </c>
      <c r="M11357" t="s">
        <v>18960</v>
      </c>
      <c r="N11357" t="s">
        <v>26495</v>
      </c>
      <c r="O11357" t="s">
        <v>26524</v>
      </c>
      <c r="P11357" t="s">
        <v>26563</v>
      </c>
      <c r="R11357" t="s">
        <v>26585</v>
      </c>
      <c r="S11357" t="s">
        <v>18958</v>
      </c>
      <c r="U11357" t="s">
        <v>26604</v>
      </c>
      <c r="X11357">
        <v>700</v>
      </c>
      <c r="Y11357" t="s">
        <v>26653</v>
      </c>
      <c r="Z11357" t="s">
        <v>26668</v>
      </c>
      <c r="AB11357" t="s">
        <v>34429</v>
      </c>
      <c r="AD11357" t="s">
        <v>45501</v>
      </c>
      <c r="AE11357">
        <v>7</v>
      </c>
      <c r="AG11357" t="s">
        <v>19330</v>
      </c>
      <c r="AH11357">
        <v>-1</v>
      </c>
      <c r="AI11357">
        <v>1</v>
      </c>
      <c r="AJ11357">
        <v>0</v>
      </c>
      <c r="AK11357">
        <v>139.47</v>
      </c>
      <c r="AN11357" t="s">
        <v>7439</v>
      </c>
      <c r="AO11357">
        <v>17420</v>
      </c>
      <c r="AU11357">
        <v>0.2</v>
      </c>
      <c r="AV11357" t="s">
        <v>836</v>
      </c>
      <c r="AW11357" t="s">
        <v>46846</v>
      </c>
      <c r="AX11357" t="s">
        <v>46897</v>
      </c>
    </row>
    <row r="11358" spans="1:50">
      <c r="A11358" s="1">
        <f>HYPERLINK("https://lsnyc.legalserver.org/matter/dynamic-profile/view/1903498","19-1903498")</f>
        <v>0</v>
      </c>
      <c r="B11358" t="s">
        <v>108</v>
      </c>
      <c r="C11358" t="s">
        <v>340</v>
      </c>
      <c r="D11358" t="s">
        <v>839</v>
      </c>
      <c r="F11358" t="s">
        <v>2362</v>
      </c>
      <c r="G11358" t="s">
        <v>9616</v>
      </c>
      <c r="H11358" t="s">
        <v>17234</v>
      </c>
      <c r="J11358" t="s">
        <v>18901</v>
      </c>
      <c r="K11358">
        <v>11433</v>
      </c>
      <c r="L11358" t="s">
        <v>18958</v>
      </c>
      <c r="M11358" t="s">
        <v>18960</v>
      </c>
      <c r="N11358" t="s">
        <v>26496</v>
      </c>
      <c r="O11358" t="s">
        <v>26523</v>
      </c>
      <c r="P11358" t="s">
        <v>26563</v>
      </c>
      <c r="R11358" t="s">
        <v>26585</v>
      </c>
      <c r="S11358" t="s">
        <v>18959</v>
      </c>
      <c r="U11358" t="s">
        <v>26604</v>
      </c>
      <c r="X11358">
        <v>1800</v>
      </c>
      <c r="Y11358" t="s">
        <v>26653</v>
      </c>
      <c r="Z11358" t="s">
        <v>26668</v>
      </c>
      <c r="AB11358" t="s">
        <v>34430</v>
      </c>
      <c r="AD11358" t="s">
        <v>45502</v>
      </c>
      <c r="AE11358">
        <v>2</v>
      </c>
      <c r="AG11358" t="s">
        <v>19330</v>
      </c>
      <c r="AH11358">
        <v>-1</v>
      </c>
      <c r="AI11358">
        <v>5</v>
      </c>
      <c r="AJ11358">
        <v>0</v>
      </c>
      <c r="AK11358">
        <v>159.1</v>
      </c>
      <c r="AN11358" t="s">
        <v>45592</v>
      </c>
      <c r="AO11358">
        <v>48000</v>
      </c>
      <c r="AU11358">
        <v>0.87</v>
      </c>
      <c r="AV11358" t="s">
        <v>836</v>
      </c>
      <c r="AW11358" t="s">
        <v>46846</v>
      </c>
      <c r="AX11358" t="s">
        <v>46897</v>
      </c>
    </row>
    <row r="11359" spans="1:50">
      <c r="A11359" s="1">
        <f>HYPERLINK("https://lsnyc.legalserver.org/matter/dynamic-profile/view/1903512","19-1903512")</f>
        <v>0</v>
      </c>
      <c r="B11359" t="s">
        <v>294</v>
      </c>
      <c r="C11359" t="s">
        <v>340</v>
      </c>
      <c r="D11359" t="s">
        <v>839</v>
      </c>
      <c r="F11359" t="s">
        <v>5063</v>
      </c>
      <c r="G11359" t="s">
        <v>9617</v>
      </c>
      <c r="H11359" t="s">
        <v>17235</v>
      </c>
      <c r="I11359" t="s">
        <v>17334</v>
      </c>
      <c r="J11359" t="s">
        <v>18942</v>
      </c>
      <c r="K11359">
        <v>11101</v>
      </c>
      <c r="L11359" t="s">
        <v>18960</v>
      </c>
      <c r="M11359" t="s">
        <v>18960</v>
      </c>
      <c r="N11359" t="s">
        <v>26497</v>
      </c>
      <c r="O11359" t="s">
        <v>26523</v>
      </c>
      <c r="R11359" t="s">
        <v>26578</v>
      </c>
      <c r="S11359" t="s">
        <v>18959</v>
      </c>
      <c r="U11359" t="s">
        <v>26604</v>
      </c>
      <c r="X11359">
        <v>1800</v>
      </c>
      <c r="Y11359" t="s">
        <v>26653</v>
      </c>
      <c r="AB11359" t="s">
        <v>34431</v>
      </c>
      <c r="AD11359" t="s">
        <v>45503</v>
      </c>
      <c r="AE11359">
        <v>6</v>
      </c>
      <c r="AF11359" t="s">
        <v>45547</v>
      </c>
      <c r="AG11359" t="s">
        <v>19330</v>
      </c>
      <c r="AH11359">
        <v>2</v>
      </c>
      <c r="AI11359">
        <v>2</v>
      </c>
      <c r="AJ11359">
        <v>2</v>
      </c>
      <c r="AK11359">
        <v>167.77</v>
      </c>
      <c r="AN11359" t="s">
        <v>45581</v>
      </c>
      <c r="AO11359">
        <v>43200</v>
      </c>
      <c r="AU11359">
        <v>1.1</v>
      </c>
      <c r="AV11359" t="s">
        <v>836</v>
      </c>
      <c r="AW11359" t="s">
        <v>46829</v>
      </c>
    </row>
    <row r="11360" spans="1:50">
      <c r="A11360" s="1">
        <f>HYPERLINK("https://lsnyc.legalserver.org/matter/dynamic-profile/view/1903584","19-1903584")</f>
        <v>0</v>
      </c>
      <c r="B11360" t="s">
        <v>153</v>
      </c>
      <c r="C11360" t="s">
        <v>340</v>
      </c>
      <c r="D11360" t="s">
        <v>839</v>
      </c>
      <c r="F11360" t="s">
        <v>1083</v>
      </c>
      <c r="G11360" t="s">
        <v>9618</v>
      </c>
      <c r="H11360" t="s">
        <v>17236</v>
      </c>
      <c r="I11360" t="s">
        <v>18881</v>
      </c>
      <c r="J11360" t="s">
        <v>18902</v>
      </c>
      <c r="K11360">
        <v>10306</v>
      </c>
      <c r="L11360" t="s">
        <v>18960</v>
      </c>
      <c r="M11360" t="s">
        <v>18960</v>
      </c>
      <c r="O11360" t="s">
        <v>26523</v>
      </c>
      <c r="P11360" t="s">
        <v>26560</v>
      </c>
      <c r="R11360" t="s">
        <v>26587</v>
      </c>
      <c r="U11360" t="s">
        <v>26604</v>
      </c>
      <c r="V11360" t="s">
        <v>26610</v>
      </c>
      <c r="X11360">
        <v>1600</v>
      </c>
      <c r="Y11360" t="s">
        <v>26654</v>
      </c>
      <c r="AB11360" t="s">
        <v>34432</v>
      </c>
      <c r="AD11360" t="s">
        <v>45504</v>
      </c>
      <c r="AE11360">
        <v>0</v>
      </c>
      <c r="AH11360">
        <v>4</v>
      </c>
      <c r="AI11360">
        <v>1</v>
      </c>
      <c r="AJ11360">
        <v>2</v>
      </c>
      <c r="AK11360">
        <v>17.45</v>
      </c>
      <c r="AN11360" t="s">
        <v>7439</v>
      </c>
      <c r="AO11360">
        <v>3721.2</v>
      </c>
      <c r="AU11360">
        <v>0</v>
      </c>
      <c r="AW11360" t="s">
        <v>46891</v>
      </c>
    </row>
    <row r="11361" spans="1:50">
      <c r="A11361" s="1">
        <f>HYPERLINK("https://lsnyc.legalserver.org/matter/dynamic-profile/view/1903571","19-1903571")</f>
        <v>0</v>
      </c>
      <c r="B11361" t="s">
        <v>337</v>
      </c>
      <c r="C11361" t="s">
        <v>340</v>
      </c>
      <c r="D11361" t="s">
        <v>839</v>
      </c>
      <c r="F11361" t="s">
        <v>899</v>
      </c>
      <c r="G11361" t="s">
        <v>5191</v>
      </c>
      <c r="H11361" t="s">
        <v>17237</v>
      </c>
      <c r="I11361" t="s">
        <v>17446</v>
      </c>
      <c r="J11361" t="s">
        <v>18918</v>
      </c>
      <c r="K11361">
        <v>11417</v>
      </c>
      <c r="L11361" t="s">
        <v>18960</v>
      </c>
      <c r="M11361" t="s">
        <v>18960</v>
      </c>
      <c r="N11361" t="s">
        <v>26498</v>
      </c>
      <c r="O11361" t="s">
        <v>26524</v>
      </c>
      <c r="P11361" t="s">
        <v>26564</v>
      </c>
      <c r="R11361" t="s">
        <v>26591</v>
      </c>
      <c r="U11361" t="s">
        <v>26604</v>
      </c>
      <c r="X11361">
        <v>1300</v>
      </c>
      <c r="Y11361" t="s">
        <v>26653</v>
      </c>
      <c r="Z11361" t="s">
        <v>26530</v>
      </c>
      <c r="AB11361" t="s">
        <v>34433</v>
      </c>
      <c r="AD11361" t="s">
        <v>45505</v>
      </c>
      <c r="AE11361">
        <v>2</v>
      </c>
      <c r="AH11361">
        <v>2</v>
      </c>
      <c r="AI11361">
        <v>2</v>
      </c>
      <c r="AJ11361">
        <v>2</v>
      </c>
      <c r="AK11361">
        <v>101.75</v>
      </c>
      <c r="AN11361" t="s">
        <v>7439</v>
      </c>
      <c r="AO11361">
        <v>26200</v>
      </c>
      <c r="AU11361">
        <v>0.5</v>
      </c>
      <c r="AV11361" t="s">
        <v>839</v>
      </c>
      <c r="AW11361" t="s">
        <v>46850</v>
      </c>
    </row>
    <row r="11362" spans="1:50">
      <c r="A11362" s="1">
        <f>HYPERLINK("https://lsnyc.legalserver.org/matter/dynamic-profile/view/1903507","19-1903507")</f>
        <v>0</v>
      </c>
      <c r="B11362" t="s">
        <v>200</v>
      </c>
      <c r="C11362" t="s">
        <v>340</v>
      </c>
      <c r="D11362" t="s">
        <v>839</v>
      </c>
      <c r="F11362" t="s">
        <v>5064</v>
      </c>
      <c r="G11362" t="s">
        <v>9619</v>
      </c>
      <c r="H11362" t="s">
        <v>17238</v>
      </c>
      <c r="I11362">
        <v>402</v>
      </c>
      <c r="J11362" t="s">
        <v>18894</v>
      </c>
      <c r="K11362">
        <v>11212</v>
      </c>
      <c r="L11362" t="s">
        <v>18960</v>
      </c>
      <c r="M11362" t="s">
        <v>18960</v>
      </c>
      <c r="O11362" t="s">
        <v>18997</v>
      </c>
      <c r="R11362" t="s">
        <v>26591</v>
      </c>
      <c r="U11362" t="s">
        <v>26604</v>
      </c>
      <c r="X11362">
        <v>336</v>
      </c>
      <c r="Y11362" t="s">
        <v>26652</v>
      </c>
      <c r="AB11362" t="s">
        <v>32691</v>
      </c>
      <c r="AD11362" t="s">
        <v>45506</v>
      </c>
      <c r="AE11362">
        <v>0</v>
      </c>
      <c r="AF11362" t="s">
        <v>20460</v>
      </c>
      <c r="AG11362" t="s">
        <v>19330</v>
      </c>
      <c r="AH11362">
        <v>2</v>
      </c>
      <c r="AI11362">
        <v>1</v>
      </c>
      <c r="AJ11362">
        <v>0</v>
      </c>
      <c r="AK11362">
        <v>80.7</v>
      </c>
      <c r="AN11362" t="s">
        <v>7439</v>
      </c>
      <c r="AO11362">
        <v>10080</v>
      </c>
      <c r="AU11362">
        <v>1</v>
      </c>
      <c r="AV11362" t="s">
        <v>839</v>
      </c>
      <c r="AW11362" t="s">
        <v>46859</v>
      </c>
    </row>
    <row r="11363" spans="1:50">
      <c r="A11363" s="1">
        <f>HYPERLINK("https://lsnyc.legalserver.org/matter/dynamic-profile/view/1903580","19-1903580")</f>
        <v>0</v>
      </c>
      <c r="B11363" t="s">
        <v>200</v>
      </c>
      <c r="C11363" t="s">
        <v>340</v>
      </c>
      <c r="D11363" t="s">
        <v>839</v>
      </c>
      <c r="F11363" t="s">
        <v>5065</v>
      </c>
      <c r="G11363" t="s">
        <v>9620</v>
      </c>
      <c r="H11363" t="s">
        <v>17239</v>
      </c>
      <c r="I11363" t="s">
        <v>17379</v>
      </c>
      <c r="J11363" t="s">
        <v>18894</v>
      </c>
      <c r="K11363">
        <v>11233</v>
      </c>
      <c r="L11363" t="s">
        <v>18959</v>
      </c>
      <c r="M11363" t="s">
        <v>18960</v>
      </c>
      <c r="N11363" t="s">
        <v>18993</v>
      </c>
      <c r="O11363" t="s">
        <v>26526</v>
      </c>
      <c r="R11363" t="s">
        <v>26578</v>
      </c>
      <c r="S11363" t="s">
        <v>18959</v>
      </c>
      <c r="U11363" t="s">
        <v>26604</v>
      </c>
      <c r="V11363" t="s">
        <v>26610</v>
      </c>
      <c r="X11363">
        <v>1100.06</v>
      </c>
      <c r="Y11363" t="s">
        <v>26652</v>
      </c>
      <c r="Z11363" t="s">
        <v>26665</v>
      </c>
      <c r="AB11363" t="s">
        <v>28038</v>
      </c>
      <c r="AC11363" t="s">
        <v>20460</v>
      </c>
      <c r="AD11363" t="s">
        <v>45507</v>
      </c>
      <c r="AE11363">
        <v>43</v>
      </c>
      <c r="AF11363" t="s">
        <v>45541</v>
      </c>
      <c r="AG11363" t="s">
        <v>19330</v>
      </c>
      <c r="AH11363">
        <v>45</v>
      </c>
      <c r="AI11363">
        <v>1</v>
      </c>
      <c r="AJ11363">
        <v>0</v>
      </c>
      <c r="AK11363">
        <v>81.67</v>
      </c>
      <c r="AN11363" t="s">
        <v>7439</v>
      </c>
      <c r="AO11363">
        <v>10200</v>
      </c>
      <c r="AU11363">
        <v>0</v>
      </c>
      <c r="AW11363" t="s">
        <v>279</v>
      </c>
      <c r="AX11363" t="s">
        <v>19330</v>
      </c>
    </row>
    <row r="11364" spans="1:50">
      <c r="A11364" s="1">
        <f>HYPERLINK("https://lsnyc.legalserver.org/matter/dynamic-profile/view/1903552","19-1903552")</f>
        <v>0</v>
      </c>
      <c r="B11364" t="s">
        <v>142</v>
      </c>
      <c r="C11364" t="s">
        <v>340</v>
      </c>
      <c r="D11364" t="s">
        <v>839</v>
      </c>
      <c r="F11364" t="s">
        <v>901</v>
      </c>
      <c r="G11364" t="s">
        <v>5159</v>
      </c>
      <c r="H11364" t="s">
        <v>17240</v>
      </c>
      <c r="I11364" t="s">
        <v>17374</v>
      </c>
      <c r="J11364" t="s">
        <v>7026</v>
      </c>
      <c r="K11364">
        <v>11368</v>
      </c>
      <c r="L11364" t="s">
        <v>18958</v>
      </c>
      <c r="M11364" t="s">
        <v>18960</v>
      </c>
      <c r="N11364" t="s">
        <v>26499</v>
      </c>
      <c r="O11364" t="s">
        <v>26524</v>
      </c>
      <c r="P11364" t="s">
        <v>26563</v>
      </c>
      <c r="R11364" t="s">
        <v>26584</v>
      </c>
      <c r="S11364" t="s">
        <v>18958</v>
      </c>
      <c r="U11364" t="s">
        <v>26604</v>
      </c>
      <c r="X11364">
        <v>850</v>
      </c>
      <c r="Y11364" t="s">
        <v>26653</v>
      </c>
      <c r="Z11364" t="s">
        <v>26664</v>
      </c>
      <c r="AB11364" t="s">
        <v>34434</v>
      </c>
      <c r="AE11364">
        <v>3</v>
      </c>
      <c r="AG11364" t="s">
        <v>19330</v>
      </c>
      <c r="AH11364">
        <v>9</v>
      </c>
      <c r="AI11364">
        <v>1</v>
      </c>
      <c r="AJ11364">
        <v>0</v>
      </c>
      <c r="AK11364">
        <v>120.74</v>
      </c>
      <c r="AN11364" t="s">
        <v>45581</v>
      </c>
      <c r="AO11364">
        <v>15080</v>
      </c>
      <c r="AU11364">
        <v>1.5</v>
      </c>
      <c r="AV11364" t="s">
        <v>839</v>
      </c>
      <c r="AW11364" t="s">
        <v>46846</v>
      </c>
      <c r="AX11364" t="s">
        <v>46897</v>
      </c>
    </row>
    <row r="11365" spans="1:50">
      <c r="A11365" s="1">
        <f>HYPERLINK("https://lsnyc.legalserver.org/matter/dynamic-profile/view/1903588","19-1903588")</f>
        <v>0</v>
      </c>
      <c r="B11365" t="s">
        <v>121</v>
      </c>
      <c r="C11365" t="s">
        <v>340</v>
      </c>
      <c r="D11365" t="s">
        <v>839</v>
      </c>
      <c r="F11365" t="s">
        <v>5066</v>
      </c>
      <c r="G11365" t="s">
        <v>9621</v>
      </c>
      <c r="H11365" t="s">
        <v>17241</v>
      </c>
      <c r="I11365" t="s">
        <v>17349</v>
      </c>
      <c r="J11365" t="s">
        <v>18892</v>
      </c>
      <c r="K11365">
        <v>10467</v>
      </c>
      <c r="L11365" t="s">
        <v>18958</v>
      </c>
      <c r="M11365" t="s">
        <v>18960</v>
      </c>
      <c r="N11365" t="s">
        <v>26500</v>
      </c>
      <c r="O11365" t="s">
        <v>26523</v>
      </c>
      <c r="R11365" t="s">
        <v>26579</v>
      </c>
      <c r="S11365" t="s">
        <v>18959</v>
      </c>
      <c r="U11365" t="s">
        <v>26604</v>
      </c>
      <c r="X11365">
        <v>1350</v>
      </c>
      <c r="Y11365" t="s">
        <v>26650</v>
      </c>
      <c r="AB11365" t="s">
        <v>29635</v>
      </c>
      <c r="AD11365" t="s">
        <v>45508</v>
      </c>
      <c r="AE11365">
        <v>49</v>
      </c>
      <c r="AH11365">
        <v>4</v>
      </c>
      <c r="AI11365">
        <v>2</v>
      </c>
      <c r="AJ11365">
        <v>0</v>
      </c>
      <c r="AK11365">
        <v>92.25</v>
      </c>
      <c r="AN11365" t="s">
        <v>7439</v>
      </c>
      <c r="AO11365">
        <v>15600</v>
      </c>
      <c r="AU11365">
        <v>0</v>
      </c>
      <c r="AW11365" t="s">
        <v>335</v>
      </c>
      <c r="AX11365" t="s">
        <v>46897</v>
      </c>
    </row>
    <row r="11366" spans="1:50">
      <c r="A11366" s="1">
        <f>HYPERLINK("https://lsnyc.legalserver.org/matter/dynamic-profile/view/1903560","19-1903560")</f>
        <v>0</v>
      </c>
      <c r="B11366" t="s">
        <v>122</v>
      </c>
      <c r="C11366" t="s">
        <v>340</v>
      </c>
      <c r="D11366" t="s">
        <v>839</v>
      </c>
      <c r="F11366" t="s">
        <v>1253</v>
      </c>
      <c r="G11366" t="s">
        <v>2702</v>
      </c>
      <c r="H11366" t="s">
        <v>13275</v>
      </c>
      <c r="I11366" t="s">
        <v>17292</v>
      </c>
      <c r="J11366" t="s">
        <v>18901</v>
      </c>
      <c r="K11366">
        <v>11434</v>
      </c>
      <c r="L11366" t="s">
        <v>18960</v>
      </c>
      <c r="M11366" t="s">
        <v>18960</v>
      </c>
      <c r="R11366" t="s">
        <v>26578</v>
      </c>
      <c r="U11366" t="s">
        <v>26604</v>
      </c>
      <c r="X11366">
        <v>0</v>
      </c>
      <c r="Y11366" t="s">
        <v>26653</v>
      </c>
      <c r="AB11366" t="s">
        <v>30637</v>
      </c>
      <c r="AD11366" t="s">
        <v>40837</v>
      </c>
      <c r="AE11366">
        <v>0</v>
      </c>
      <c r="AH11366">
        <v>0</v>
      </c>
      <c r="AI11366">
        <v>1</v>
      </c>
      <c r="AJ11366">
        <v>0</v>
      </c>
      <c r="AK11366">
        <v>0</v>
      </c>
      <c r="AN11366" t="s">
        <v>7439</v>
      </c>
      <c r="AO11366">
        <v>0</v>
      </c>
      <c r="AU11366">
        <v>0</v>
      </c>
      <c r="AW11366" t="s">
        <v>122</v>
      </c>
    </row>
    <row r="11367" spans="1:50">
      <c r="A11367" s="1">
        <f>HYPERLINK("https://lsnyc.legalserver.org/matter/dynamic-profile/view/1903565","19-1903565")</f>
        <v>0</v>
      </c>
      <c r="B11367" t="s">
        <v>233</v>
      </c>
      <c r="C11367" t="s">
        <v>340</v>
      </c>
      <c r="D11367" t="s">
        <v>839</v>
      </c>
      <c r="F11367" t="s">
        <v>2850</v>
      </c>
      <c r="G11367" t="s">
        <v>5517</v>
      </c>
      <c r="H11367" t="s">
        <v>17242</v>
      </c>
      <c r="I11367" t="s">
        <v>17397</v>
      </c>
      <c r="J11367" t="s">
        <v>18892</v>
      </c>
      <c r="K11367">
        <v>10467</v>
      </c>
      <c r="L11367" t="s">
        <v>18958</v>
      </c>
      <c r="M11367" t="s">
        <v>18960</v>
      </c>
      <c r="N11367" t="s">
        <v>26501</v>
      </c>
      <c r="O11367" t="s">
        <v>26524</v>
      </c>
      <c r="R11367" t="s">
        <v>26579</v>
      </c>
      <c r="S11367" t="s">
        <v>18959</v>
      </c>
      <c r="U11367" t="s">
        <v>26604</v>
      </c>
      <c r="V11367" t="s">
        <v>26610</v>
      </c>
      <c r="X11367">
        <v>0</v>
      </c>
      <c r="Y11367" t="s">
        <v>26650</v>
      </c>
      <c r="AB11367" t="s">
        <v>34435</v>
      </c>
      <c r="AD11367" t="s">
        <v>45509</v>
      </c>
      <c r="AE11367">
        <v>0</v>
      </c>
      <c r="AF11367" t="s">
        <v>45553</v>
      </c>
      <c r="AH11367">
        <v>8</v>
      </c>
      <c r="AI11367">
        <v>1</v>
      </c>
      <c r="AJ11367">
        <v>0</v>
      </c>
      <c r="AK11367">
        <v>51.21</v>
      </c>
      <c r="AN11367" t="s">
        <v>7439</v>
      </c>
      <c r="AO11367">
        <v>6396</v>
      </c>
      <c r="AU11367">
        <v>0</v>
      </c>
      <c r="AW11367" t="s">
        <v>335</v>
      </c>
      <c r="AX11367" t="s">
        <v>46897</v>
      </c>
    </row>
    <row r="11368" spans="1:50">
      <c r="A11368" s="1">
        <f>HYPERLINK("https://lsnyc.legalserver.org/matter/dynamic-profile/view/1903551","19-1903551")</f>
        <v>0</v>
      </c>
      <c r="B11368" t="s">
        <v>269</v>
      </c>
      <c r="C11368" t="s">
        <v>340</v>
      </c>
      <c r="D11368" t="s">
        <v>839</v>
      </c>
      <c r="F11368" t="s">
        <v>4169</v>
      </c>
      <c r="G11368" t="s">
        <v>6676</v>
      </c>
      <c r="H11368" t="s">
        <v>17243</v>
      </c>
      <c r="I11368" t="s">
        <v>17378</v>
      </c>
      <c r="J11368" t="s">
        <v>18892</v>
      </c>
      <c r="K11368">
        <v>10457</v>
      </c>
      <c r="L11368" t="s">
        <v>18958</v>
      </c>
      <c r="M11368" t="s">
        <v>18960</v>
      </c>
      <c r="N11368" t="s">
        <v>26502</v>
      </c>
      <c r="O11368" t="s">
        <v>26523</v>
      </c>
      <c r="R11368" t="s">
        <v>26579</v>
      </c>
      <c r="S11368" t="s">
        <v>18959</v>
      </c>
      <c r="U11368" t="s">
        <v>26604</v>
      </c>
      <c r="X11368">
        <v>1400</v>
      </c>
      <c r="Y11368" t="s">
        <v>26650</v>
      </c>
      <c r="AB11368" t="s">
        <v>34436</v>
      </c>
      <c r="AC11368" t="s">
        <v>36808</v>
      </c>
      <c r="AD11368" t="s">
        <v>45510</v>
      </c>
      <c r="AE11368">
        <v>30</v>
      </c>
      <c r="AH11368">
        <v>6</v>
      </c>
      <c r="AI11368">
        <v>2</v>
      </c>
      <c r="AJ11368">
        <v>1</v>
      </c>
      <c r="AK11368">
        <v>34.09</v>
      </c>
      <c r="AN11368" t="s">
        <v>45581</v>
      </c>
      <c r="AO11368">
        <v>7272</v>
      </c>
      <c r="AU11368">
        <v>0</v>
      </c>
      <c r="AW11368" t="s">
        <v>335</v>
      </c>
      <c r="AX11368" t="s">
        <v>46897</v>
      </c>
    </row>
    <row r="11369" spans="1:50">
      <c r="A11369" s="1">
        <f>HYPERLINK("https://lsnyc.legalserver.org/matter/dynamic-profile/view/1903557","19-1903557")</f>
        <v>0</v>
      </c>
      <c r="B11369" t="s">
        <v>269</v>
      </c>
      <c r="C11369" t="s">
        <v>340</v>
      </c>
      <c r="D11369" t="s">
        <v>839</v>
      </c>
      <c r="F11369" t="s">
        <v>4844</v>
      </c>
      <c r="G11369" t="s">
        <v>2564</v>
      </c>
      <c r="H11369" t="s">
        <v>16736</v>
      </c>
      <c r="I11369" t="s">
        <v>17385</v>
      </c>
      <c r="J11369" t="s">
        <v>18892</v>
      </c>
      <c r="K11369">
        <v>10467</v>
      </c>
      <c r="L11369" t="s">
        <v>18958</v>
      </c>
      <c r="M11369" t="s">
        <v>18960</v>
      </c>
      <c r="N11369" t="s">
        <v>26503</v>
      </c>
      <c r="O11369" t="s">
        <v>26523</v>
      </c>
      <c r="R11369" t="s">
        <v>26579</v>
      </c>
      <c r="S11369" t="s">
        <v>18959</v>
      </c>
      <c r="U11369" t="s">
        <v>26604</v>
      </c>
      <c r="X11369">
        <v>1071</v>
      </c>
      <c r="Y11369" t="s">
        <v>26650</v>
      </c>
      <c r="AB11369" t="s">
        <v>31480</v>
      </c>
      <c r="AE11369">
        <v>51</v>
      </c>
      <c r="AH11369">
        <v>8</v>
      </c>
      <c r="AI11369">
        <v>1</v>
      </c>
      <c r="AJ11369">
        <v>0</v>
      </c>
      <c r="AK11369">
        <v>76.86</v>
      </c>
      <c r="AN11369" t="s">
        <v>45581</v>
      </c>
      <c r="AO11369">
        <v>9600</v>
      </c>
      <c r="AU11369">
        <v>0</v>
      </c>
      <c r="AW11369" t="s">
        <v>335</v>
      </c>
      <c r="AX11369" t="s">
        <v>46897</v>
      </c>
    </row>
    <row r="11370" spans="1:50">
      <c r="A11370" s="1">
        <f>HYPERLINK("https://lsnyc.legalserver.org/matter/dynamic-profile/view/1903600","19-1903600")</f>
        <v>0</v>
      </c>
      <c r="B11370" t="s">
        <v>112</v>
      </c>
      <c r="C11370" t="s">
        <v>340</v>
      </c>
      <c r="D11370" t="s">
        <v>839</v>
      </c>
      <c r="F11370" t="s">
        <v>1243</v>
      </c>
      <c r="G11370" t="s">
        <v>7416</v>
      </c>
      <c r="H11370" t="s">
        <v>17244</v>
      </c>
      <c r="I11370" t="s">
        <v>18105</v>
      </c>
      <c r="J11370" t="s">
        <v>18906</v>
      </c>
      <c r="K11370">
        <v>11373</v>
      </c>
      <c r="L11370" t="s">
        <v>18958</v>
      </c>
      <c r="M11370" t="s">
        <v>18960</v>
      </c>
      <c r="N11370" t="s">
        <v>26504</v>
      </c>
      <c r="O11370" t="s">
        <v>26524</v>
      </c>
      <c r="P11370" t="s">
        <v>26563</v>
      </c>
      <c r="R11370" t="s">
        <v>26585</v>
      </c>
      <c r="S11370" t="s">
        <v>18958</v>
      </c>
      <c r="U11370" t="s">
        <v>26604</v>
      </c>
      <c r="X11370">
        <v>2044</v>
      </c>
      <c r="Y11370" t="s">
        <v>26653</v>
      </c>
      <c r="Z11370" t="s">
        <v>26668</v>
      </c>
      <c r="AB11370" t="s">
        <v>28112</v>
      </c>
      <c r="AD11370" t="s">
        <v>45511</v>
      </c>
      <c r="AE11370">
        <v>50</v>
      </c>
      <c r="AF11370" t="s">
        <v>45541</v>
      </c>
      <c r="AH11370">
        <v>6</v>
      </c>
      <c r="AI11370">
        <v>2</v>
      </c>
      <c r="AJ11370">
        <v>0</v>
      </c>
      <c r="AK11370">
        <v>127.74</v>
      </c>
      <c r="AN11370" t="s">
        <v>45581</v>
      </c>
      <c r="AO11370">
        <v>21600</v>
      </c>
      <c r="AU11370">
        <v>0.55</v>
      </c>
      <c r="AV11370" t="s">
        <v>836</v>
      </c>
      <c r="AW11370" t="s">
        <v>46846</v>
      </c>
      <c r="AX11370" t="s">
        <v>46897</v>
      </c>
    </row>
    <row r="11371" spans="1:50">
      <c r="A11371" s="1">
        <f>HYPERLINK("https://lsnyc.legalserver.org/matter/dynamic-profile/view/1903528","19-1903528")</f>
        <v>0</v>
      </c>
      <c r="B11371" t="s">
        <v>91</v>
      </c>
      <c r="C11371" t="s">
        <v>340</v>
      </c>
      <c r="D11371" t="s">
        <v>839</v>
      </c>
      <c r="F11371" t="s">
        <v>1587</v>
      </c>
      <c r="G11371" t="s">
        <v>6494</v>
      </c>
      <c r="H11371" t="s">
        <v>17245</v>
      </c>
      <c r="I11371" t="s">
        <v>17868</v>
      </c>
      <c r="J11371" t="s">
        <v>18901</v>
      </c>
      <c r="K11371">
        <v>11436</v>
      </c>
      <c r="L11371" t="s">
        <v>18958</v>
      </c>
      <c r="M11371" t="s">
        <v>18960</v>
      </c>
      <c r="N11371" t="s">
        <v>26505</v>
      </c>
      <c r="O11371" t="s">
        <v>26524</v>
      </c>
      <c r="P11371" t="s">
        <v>26563</v>
      </c>
      <c r="R11371" t="s">
        <v>26584</v>
      </c>
      <c r="S11371" t="s">
        <v>18958</v>
      </c>
      <c r="U11371" t="s">
        <v>26604</v>
      </c>
      <c r="X11371">
        <v>17000</v>
      </c>
      <c r="Y11371" t="s">
        <v>26653</v>
      </c>
      <c r="Z11371" t="s">
        <v>26664</v>
      </c>
      <c r="AB11371" t="s">
        <v>34437</v>
      </c>
      <c r="AC11371" t="s">
        <v>36809</v>
      </c>
      <c r="AD11371" t="s">
        <v>45512</v>
      </c>
      <c r="AE11371">
        <v>2</v>
      </c>
      <c r="AF11371" t="s">
        <v>45543</v>
      </c>
      <c r="AG11371" t="s">
        <v>45556</v>
      </c>
      <c r="AH11371">
        <v>3</v>
      </c>
      <c r="AI11371">
        <v>5</v>
      </c>
      <c r="AJ11371">
        <v>1</v>
      </c>
      <c r="AK11371">
        <v>52.04</v>
      </c>
      <c r="AN11371" t="s">
        <v>7439</v>
      </c>
      <c r="AO11371">
        <v>18000</v>
      </c>
      <c r="AU11371">
        <v>1.3</v>
      </c>
      <c r="AV11371" t="s">
        <v>839</v>
      </c>
      <c r="AW11371" t="s">
        <v>46846</v>
      </c>
      <c r="AX11371" t="s">
        <v>46897</v>
      </c>
    </row>
    <row r="11372" spans="1:50">
      <c r="A11372" s="1">
        <f>HYPERLINK("https://lsnyc.legalserver.org/matter/dynamic-profile/view/1903545","19-1903545")</f>
        <v>0</v>
      </c>
      <c r="B11372" t="s">
        <v>91</v>
      </c>
      <c r="C11372" t="s">
        <v>340</v>
      </c>
      <c r="D11372" t="s">
        <v>839</v>
      </c>
      <c r="F11372" t="s">
        <v>940</v>
      </c>
      <c r="G11372" t="s">
        <v>6582</v>
      </c>
      <c r="H11372" t="s">
        <v>17246</v>
      </c>
      <c r="I11372" t="s">
        <v>17291</v>
      </c>
      <c r="J11372" t="s">
        <v>18899</v>
      </c>
      <c r="K11372">
        <v>11385</v>
      </c>
      <c r="L11372" t="s">
        <v>18958</v>
      </c>
      <c r="M11372" t="s">
        <v>18960</v>
      </c>
      <c r="N11372" t="s">
        <v>26506</v>
      </c>
      <c r="O11372" t="s">
        <v>26523</v>
      </c>
      <c r="P11372" t="s">
        <v>26563</v>
      </c>
      <c r="R11372" t="s">
        <v>26585</v>
      </c>
      <c r="S11372" t="s">
        <v>18958</v>
      </c>
      <c r="U11372" t="s">
        <v>26604</v>
      </c>
      <c r="X11372">
        <v>1948</v>
      </c>
      <c r="Y11372" t="s">
        <v>26653</v>
      </c>
      <c r="Z11372" t="s">
        <v>26664</v>
      </c>
      <c r="AB11372" t="s">
        <v>34438</v>
      </c>
      <c r="AE11372">
        <v>3</v>
      </c>
      <c r="AG11372" t="s">
        <v>19330</v>
      </c>
      <c r="AH11372">
        <v>4</v>
      </c>
      <c r="AI11372">
        <v>1</v>
      </c>
      <c r="AJ11372">
        <v>2</v>
      </c>
      <c r="AK11372">
        <v>178.15</v>
      </c>
      <c r="AN11372" t="s">
        <v>45581</v>
      </c>
      <c r="AO11372">
        <v>38000</v>
      </c>
      <c r="AU11372">
        <v>1.8</v>
      </c>
      <c r="AV11372" t="s">
        <v>839</v>
      </c>
      <c r="AW11372" t="s">
        <v>46846</v>
      </c>
      <c r="AX11372" t="s">
        <v>46897</v>
      </c>
    </row>
    <row r="11373" spans="1:50">
      <c r="A11373" s="1">
        <f>HYPERLINK("https://lsnyc.legalserver.org/matter/dynamic-profile/view/1903502","19-1903502")</f>
        <v>0</v>
      </c>
      <c r="B11373" t="s">
        <v>188</v>
      </c>
      <c r="C11373" t="s">
        <v>340</v>
      </c>
      <c r="D11373" t="s">
        <v>839</v>
      </c>
      <c r="F11373" t="s">
        <v>1021</v>
      </c>
      <c r="G11373" t="s">
        <v>5121</v>
      </c>
      <c r="H11373" t="s">
        <v>17247</v>
      </c>
      <c r="I11373" t="s">
        <v>17436</v>
      </c>
      <c r="J11373" t="s">
        <v>18892</v>
      </c>
      <c r="K11373">
        <v>10453</v>
      </c>
      <c r="L11373" t="s">
        <v>18960</v>
      </c>
      <c r="M11373" t="s">
        <v>18960</v>
      </c>
      <c r="N11373" t="s">
        <v>26507</v>
      </c>
      <c r="O11373" t="s">
        <v>26524</v>
      </c>
      <c r="R11373" t="s">
        <v>26591</v>
      </c>
      <c r="S11373" t="s">
        <v>18959</v>
      </c>
      <c r="U11373" t="s">
        <v>26604</v>
      </c>
      <c r="X11373">
        <v>825</v>
      </c>
      <c r="Y11373" t="s">
        <v>26650</v>
      </c>
      <c r="Z11373" t="s">
        <v>26530</v>
      </c>
      <c r="AB11373" t="s">
        <v>34439</v>
      </c>
      <c r="AD11373" t="s">
        <v>45513</v>
      </c>
      <c r="AE11373">
        <v>25</v>
      </c>
      <c r="AF11373" t="s">
        <v>45541</v>
      </c>
      <c r="AG11373" t="s">
        <v>19330</v>
      </c>
      <c r="AH11373">
        <v>19</v>
      </c>
      <c r="AI11373">
        <v>1</v>
      </c>
      <c r="AJ11373">
        <v>0</v>
      </c>
      <c r="AK11373">
        <v>199.84</v>
      </c>
      <c r="AN11373" t="s">
        <v>7439</v>
      </c>
      <c r="AO11373">
        <v>24960</v>
      </c>
      <c r="AU11373">
        <v>0.66</v>
      </c>
      <c r="AV11373" t="s">
        <v>839</v>
      </c>
      <c r="AW11373" t="s">
        <v>46860</v>
      </c>
    </row>
    <row r="11374" spans="1:50">
      <c r="A11374" s="1">
        <f>HYPERLINK("https://lsnyc.legalserver.org/matter/dynamic-profile/view/1903575","19-1903575")</f>
        <v>0</v>
      </c>
      <c r="B11374" t="s">
        <v>87</v>
      </c>
      <c r="C11374" t="s">
        <v>340</v>
      </c>
      <c r="D11374" t="s">
        <v>839</v>
      </c>
      <c r="F11374" t="s">
        <v>933</v>
      </c>
      <c r="G11374" t="s">
        <v>5896</v>
      </c>
      <c r="H11374" t="s">
        <v>17248</v>
      </c>
      <c r="I11374" t="s">
        <v>17397</v>
      </c>
      <c r="J11374" t="s">
        <v>18892</v>
      </c>
      <c r="K11374">
        <v>10468</v>
      </c>
      <c r="L11374" t="s">
        <v>18958</v>
      </c>
      <c r="M11374" t="s">
        <v>18960</v>
      </c>
      <c r="N11374" t="s">
        <v>26508</v>
      </c>
      <c r="O11374" t="s">
        <v>26523</v>
      </c>
      <c r="R11374" t="s">
        <v>26579</v>
      </c>
      <c r="S11374" t="s">
        <v>18959</v>
      </c>
      <c r="U11374" t="s">
        <v>26604</v>
      </c>
      <c r="X11374">
        <v>800</v>
      </c>
      <c r="Y11374" t="s">
        <v>26650</v>
      </c>
      <c r="AB11374" t="s">
        <v>30016</v>
      </c>
      <c r="AD11374" t="s">
        <v>45514</v>
      </c>
      <c r="AE11374">
        <v>120</v>
      </c>
      <c r="AH11374">
        <v>4</v>
      </c>
      <c r="AI11374">
        <v>1</v>
      </c>
      <c r="AJ11374">
        <v>2</v>
      </c>
      <c r="AK11374">
        <v>90.01000000000001</v>
      </c>
      <c r="AO11374">
        <v>19200</v>
      </c>
      <c r="AU11374">
        <v>0</v>
      </c>
      <c r="AW11374" t="s">
        <v>335</v>
      </c>
      <c r="AX11374" t="s">
        <v>46897</v>
      </c>
    </row>
    <row r="11375" spans="1:50">
      <c r="A11375" s="1">
        <f>HYPERLINK("https://lsnyc.legalserver.org/matter/dynamic-profile/view/1903516","19-1903516")</f>
        <v>0</v>
      </c>
      <c r="B11375" t="s">
        <v>69</v>
      </c>
      <c r="C11375" t="s">
        <v>340</v>
      </c>
      <c r="D11375" t="s">
        <v>839</v>
      </c>
      <c r="F11375" t="s">
        <v>5067</v>
      </c>
      <c r="G11375" t="s">
        <v>9622</v>
      </c>
      <c r="H11375" t="s">
        <v>17249</v>
      </c>
      <c r="I11375" t="s">
        <v>17306</v>
      </c>
      <c r="J11375" t="s">
        <v>18892</v>
      </c>
      <c r="K11375">
        <v>10459</v>
      </c>
      <c r="L11375" t="s">
        <v>18958</v>
      </c>
      <c r="M11375" t="s">
        <v>18960</v>
      </c>
      <c r="N11375" t="s">
        <v>26509</v>
      </c>
      <c r="O11375" t="s">
        <v>26523</v>
      </c>
      <c r="R11375" t="s">
        <v>26577</v>
      </c>
      <c r="S11375" t="s">
        <v>18959</v>
      </c>
      <c r="U11375" t="s">
        <v>26604</v>
      </c>
      <c r="X11375">
        <v>386</v>
      </c>
      <c r="Y11375" t="s">
        <v>26650</v>
      </c>
      <c r="AB11375" t="s">
        <v>34440</v>
      </c>
      <c r="AC11375" t="s">
        <v>36810</v>
      </c>
      <c r="AD11375" t="s">
        <v>45515</v>
      </c>
      <c r="AE11375">
        <v>0</v>
      </c>
      <c r="AG11375" t="s">
        <v>19330</v>
      </c>
      <c r="AH11375">
        <v>29</v>
      </c>
      <c r="AI11375">
        <v>2</v>
      </c>
      <c r="AJ11375">
        <v>2</v>
      </c>
      <c r="AK11375">
        <v>4.66</v>
      </c>
      <c r="AN11375" t="s">
        <v>7439</v>
      </c>
      <c r="AO11375">
        <v>1200</v>
      </c>
      <c r="AU11375">
        <v>1.2</v>
      </c>
      <c r="AV11375" t="s">
        <v>839</v>
      </c>
      <c r="AW11375" t="s">
        <v>46870</v>
      </c>
      <c r="AX11375" t="s">
        <v>46897</v>
      </c>
    </row>
    <row r="11376" spans="1:50">
      <c r="A11376" s="1">
        <f>HYPERLINK("https://lsnyc.legalserver.org/matter/dynamic-profile/view/1903604","19-1903604")</f>
        <v>0</v>
      </c>
      <c r="B11376" t="s">
        <v>54</v>
      </c>
      <c r="C11376" t="s">
        <v>340</v>
      </c>
      <c r="D11376" t="s">
        <v>839</v>
      </c>
      <c r="F11376" t="s">
        <v>1136</v>
      </c>
      <c r="G11376" t="s">
        <v>7069</v>
      </c>
      <c r="H11376" t="s">
        <v>12657</v>
      </c>
      <c r="I11376" t="s">
        <v>17274</v>
      </c>
      <c r="J11376" t="s">
        <v>18892</v>
      </c>
      <c r="K11376">
        <v>10457</v>
      </c>
      <c r="L11376" t="s">
        <v>18958</v>
      </c>
      <c r="M11376" t="s">
        <v>18960</v>
      </c>
      <c r="N11376" t="s">
        <v>26510</v>
      </c>
      <c r="O11376" t="s">
        <v>26523</v>
      </c>
      <c r="R11376" t="s">
        <v>26579</v>
      </c>
      <c r="S11376" t="s">
        <v>18959</v>
      </c>
      <c r="U11376" t="s">
        <v>26604</v>
      </c>
      <c r="X11376">
        <v>1928</v>
      </c>
      <c r="Y11376" t="s">
        <v>26650</v>
      </c>
      <c r="AB11376" t="s">
        <v>29933</v>
      </c>
      <c r="AD11376" t="s">
        <v>40052</v>
      </c>
      <c r="AE11376">
        <v>0</v>
      </c>
      <c r="AH11376">
        <v>1</v>
      </c>
      <c r="AI11376">
        <v>1</v>
      </c>
      <c r="AJ11376">
        <v>2</v>
      </c>
      <c r="AK11376">
        <v>108.49</v>
      </c>
      <c r="AN11376" t="s">
        <v>45581</v>
      </c>
      <c r="AO11376">
        <v>23140</v>
      </c>
      <c r="AU11376">
        <v>0</v>
      </c>
      <c r="AW11376" t="s">
        <v>335</v>
      </c>
      <c r="AX11376" t="s">
        <v>46897</v>
      </c>
    </row>
    <row r="11377" spans="1:50">
      <c r="A11377" s="1">
        <f>HYPERLINK("https://lsnyc.legalserver.org/matter/dynamic-profile/view/1903626","19-1903626")</f>
        <v>0</v>
      </c>
      <c r="B11377" t="s">
        <v>144</v>
      </c>
      <c r="C11377" t="s">
        <v>340</v>
      </c>
      <c r="D11377" t="s">
        <v>836</v>
      </c>
      <c r="F11377" t="s">
        <v>1826</v>
      </c>
      <c r="G11377" t="s">
        <v>9623</v>
      </c>
      <c r="H11377" t="s">
        <v>17250</v>
      </c>
      <c r="I11377" t="s">
        <v>17374</v>
      </c>
      <c r="J11377" t="s">
        <v>18893</v>
      </c>
      <c r="K11377">
        <v>10033</v>
      </c>
      <c r="L11377" t="s">
        <v>18960</v>
      </c>
      <c r="M11377" t="s">
        <v>18960</v>
      </c>
      <c r="N11377">
        <v>63076</v>
      </c>
      <c r="O11377" t="s">
        <v>26524</v>
      </c>
      <c r="R11377" t="s">
        <v>26578</v>
      </c>
      <c r="U11377" t="s">
        <v>26604</v>
      </c>
      <c r="X11377">
        <v>1000</v>
      </c>
      <c r="Y11377" t="s">
        <v>26651</v>
      </c>
      <c r="AB11377" t="s">
        <v>34441</v>
      </c>
      <c r="AD11377" t="s">
        <v>45516</v>
      </c>
      <c r="AE11377">
        <v>0</v>
      </c>
      <c r="AH11377">
        <v>1</v>
      </c>
      <c r="AI11377">
        <v>2</v>
      </c>
      <c r="AJ11377">
        <v>2</v>
      </c>
      <c r="AK11377">
        <v>58.56</v>
      </c>
      <c r="AN11377" t="s">
        <v>45581</v>
      </c>
      <c r="AO11377">
        <v>15080</v>
      </c>
      <c r="AU11377">
        <v>1.2</v>
      </c>
      <c r="AV11377" t="s">
        <v>836</v>
      </c>
      <c r="AW11377" t="s">
        <v>46838</v>
      </c>
    </row>
    <row r="11378" spans="1:50">
      <c r="A11378" s="1">
        <f>HYPERLINK("https://lsnyc.legalserver.org/matter/dynamic-profile/view/1903617","19-1903617")</f>
        <v>0</v>
      </c>
      <c r="B11378" t="s">
        <v>144</v>
      </c>
      <c r="C11378" t="s">
        <v>340</v>
      </c>
      <c r="D11378" t="s">
        <v>836</v>
      </c>
      <c r="F11378" t="s">
        <v>967</v>
      </c>
      <c r="G11378" t="s">
        <v>2804</v>
      </c>
      <c r="H11378" t="s">
        <v>15314</v>
      </c>
      <c r="I11378" t="s">
        <v>17327</v>
      </c>
      <c r="J11378" t="s">
        <v>18893</v>
      </c>
      <c r="K11378">
        <v>10033</v>
      </c>
      <c r="L11378" t="s">
        <v>18960</v>
      </c>
      <c r="M11378" t="s">
        <v>18960</v>
      </c>
      <c r="N11378">
        <v>62779</v>
      </c>
      <c r="O11378" t="s">
        <v>26524</v>
      </c>
      <c r="R11378" t="s">
        <v>26578</v>
      </c>
      <c r="U11378" t="s">
        <v>26604</v>
      </c>
      <c r="X11378">
        <v>1123.72</v>
      </c>
      <c r="Y11378" t="s">
        <v>26651</v>
      </c>
      <c r="AB11378" t="s">
        <v>34442</v>
      </c>
      <c r="AD11378" t="s">
        <v>45517</v>
      </c>
      <c r="AE11378">
        <v>0</v>
      </c>
      <c r="AH11378">
        <v>29</v>
      </c>
      <c r="AI11378">
        <v>2</v>
      </c>
      <c r="AJ11378">
        <v>0</v>
      </c>
      <c r="AK11378">
        <v>92.25</v>
      </c>
      <c r="AN11378" t="s">
        <v>45581</v>
      </c>
      <c r="AO11378">
        <v>15600</v>
      </c>
      <c r="AU11378">
        <v>1</v>
      </c>
      <c r="AV11378" t="s">
        <v>836</v>
      </c>
      <c r="AW11378" t="s">
        <v>46838</v>
      </c>
    </row>
    <row r="11379" spans="1:50">
      <c r="A11379" s="1">
        <f>HYPERLINK("https://lsnyc.legalserver.org/matter/dynamic-profile/view/1903631","19-1903631")</f>
        <v>0</v>
      </c>
      <c r="B11379" t="s">
        <v>144</v>
      </c>
      <c r="C11379" t="s">
        <v>340</v>
      </c>
      <c r="D11379" t="s">
        <v>836</v>
      </c>
      <c r="F11379" t="s">
        <v>1412</v>
      </c>
      <c r="G11379" t="s">
        <v>5550</v>
      </c>
      <c r="H11379" t="s">
        <v>17251</v>
      </c>
      <c r="I11379" t="s">
        <v>17919</v>
      </c>
      <c r="J11379" t="s">
        <v>18893</v>
      </c>
      <c r="K11379">
        <v>10021</v>
      </c>
      <c r="L11379" t="s">
        <v>18960</v>
      </c>
      <c r="M11379" t="s">
        <v>18960</v>
      </c>
      <c r="N11379">
        <v>53659</v>
      </c>
      <c r="O11379" t="s">
        <v>26523</v>
      </c>
      <c r="R11379" t="s">
        <v>26578</v>
      </c>
      <c r="U11379" t="s">
        <v>26604</v>
      </c>
      <c r="X11379">
        <v>830.13</v>
      </c>
      <c r="Y11379" t="s">
        <v>26651</v>
      </c>
      <c r="AB11379" t="s">
        <v>34443</v>
      </c>
      <c r="AD11379" t="s">
        <v>45518</v>
      </c>
      <c r="AE11379">
        <v>0</v>
      </c>
      <c r="AH11379">
        <v>43</v>
      </c>
      <c r="AI11379">
        <v>1</v>
      </c>
      <c r="AJ11379">
        <v>0</v>
      </c>
      <c r="AK11379">
        <v>158.33</v>
      </c>
      <c r="AN11379" t="s">
        <v>7439</v>
      </c>
      <c r="AO11379">
        <v>19776</v>
      </c>
      <c r="AU11379">
        <v>0.5</v>
      </c>
      <c r="AV11379" t="s">
        <v>836</v>
      </c>
      <c r="AW11379" t="s">
        <v>46838</v>
      </c>
    </row>
    <row r="11380" spans="1:50">
      <c r="A11380" s="1">
        <f>HYPERLINK("https://lsnyc.legalserver.org/matter/dynamic-profile/view/1903622","19-1903622")</f>
        <v>0</v>
      </c>
      <c r="B11380" t="s">
        <v>105</v>
      </c>
      <c r="C11380" t="s">
        <v>340</v>
      </c>
      <c r="D11380" t="s">
        <v>836</v>
      </c>
      <c r="F11380" t="s">
        <v>868</v>
      </c>
      <c r="G11380" t="s">
        <v>5186</v>
      </c>
      <c r="H11380" t="s">
        <v>17252</v>
      </c>
      <c r="I11380" t="s">
        <v>17416</v>
      </c>
      <c r="J11380" t="s">
        <v>18901</v>
      </c>
      <c r="K11380">
        <v>11433</v>
      </c>
      <c r="L11380" t="s">
        <v>18958</v>
      </c>
      <c r="M11380" t="s">
        <v>18960</v>
      </c>
      <c r="N11380" t="s">
        <v>26511</v>
      </c>
      <c r="O11380" t="s">
        <v>26524</v>
      </c>
      <c r="P11380" t="s">
        <v>26563</v>
      </c>
      <c r="R11380" t="s">
        <v>26585</v>
      </c>
      <c r="S11380" t="s">
        <v>18958</v>
      </c>
      <c r="U11380" t="s">
        <v>26604</v>
      </c>
      <c r="X11380">
        <v>500</v>
      </c>
      <c r="Y11380" t="s">
        <v>26653</v>
      </c>
      <c r="Z11380" t="s">
        <v>26668</v>
      </c>
      <c r="AB11380" t="s">
        <v>34301</v>
      </c>
      <c r="AD11380" t="s">
        <v>45519</v>
      </c>
      <c r="AE11380">
        <v>3</v>
      </c>
      <c r="AF11380" t="s">
        <v>45547</v>
      </c>
      <c r="AH11380">
        <v>3</v>
      </c>
      <c r="AI11380">
        <v>1</v>
      </c>
      <c r="AJ11380">
        <v>0</v>
      </c>
      <c r="AK11380">
        <v>0</v>
      </c>
      <c r="AN11380" t="s">
        <v>7439</v>
      </c>
      <c r="AO11380">
        <v>0</v>
      </c>
      <c r="AU11380">
        <v>0.5</v>
      </c>
      <c r="AV11380" t="s">
        <v>836</v>
      </c>
      <c r="AW11380" t="s">
        <v>46846</v>
      </c>
      <c r="AX11380" t="s">
        <v>46897</v>
      </c>
    </row>
    <row r="11381" spans="1:50">
      <c r="A11381" s="1">
        <f>HYPERLINK("https://lsnyc.legalserver.org/matter/dynamic-profile/view/1903640","19-1903640")</f>
        <v>0</v>
      </c>
      <c r="B11381" t="s">
        <v>105</v>
      </c>
      <c r="C11381" t="s">
        <v>340</v>
      </c>
      <c r="D11381" t="s">
        <v>836</v>
      </c>
      <c r="F11381" t="s">
        <v>5068</v>
      </c>
      <c r="G11381" t="s">
        <v>6450</v>
      </c>
      <c r="H11381" t="s">
        <v>11074</v>
      </c>
      <c r="I11381" t="s">
        <v>17566</v>
      </c>
      <c r="J11381" t="s">
        <v>18901</v>
      </c>
      <c r="K11381">
        <v>11434</v>
      </c>
      <c r="L11381" t="s">
        <v>18958</v>
      </c>
      <c r="M11381" t="s">
        <v>18960</v>
      </c>
      <c r="N11381" t="s">
        <v>26512</v>
      </c>
      <c r="O11381" t="s">
        <v>26523</v>
      </c>
      <c r="P11381" t="s">
        <v>26563</v>
      </c>
      <c r="R11381" t="s">
        <v>26585</v>
      </c>
      <c r="U11381" t="s">
        <v>26605</v>
      </c>
      <c r="X11381">
        <v>460</v>
      </c>
      <c r="Y11381" t="s">
        <v>26653</v>
      </c>
      <c r="Z11381" t="s">
        <v>26668</v>
      </c>
      <c r="AB11381" t="s">
        <v>34444</v>
      </c>
      <c r="AD11381" t="s">
        <v>45520</v>
      </c>
      <c r="AE11381">
        <v>80</v>
      </c>
      <c r="AF11381" t="s">
        <v>45542</v>
      </c>
      <c r="AH11381">
        <v>1</v>
      </c>
      <c r="AI11381">
        <v>2</v>
      </c>
      <c r="AJ11381">
        <v>2</v>
      </c>
      <c r="AK11381">
        <v>82.72</v>
      </c>
      <c r="AN11381" t="s">
        <v>7439</v>
      </c>
      <c r="AO11381">
        <v>21300</v>
      </c>
      <c r="AU11381">
        <v>0.5</v>
      </c>
      <c r="AV11381" t="s">
        <v>836</v>
      </c>
      <c r="AW11381" t="s">
        <v>46846</v>
      </c>
      <c r="AX11381" t="s">
        <v>46897</v>
      </c>
    </row>
    <row r="11382" spans="1:50">
      <c r="A11382" s="1">
        <f>HYPERLINK("https://lsnyc.legalserver.org/matter/dynamic-profile/view/1903666","19-1903666")</f>
        <v>0</v>
      </c>
      <c r="B11382" t="s">
        <v>219</v>
      </c>
      <c r="C11382" t="s">
        <v>340</v>
      </c>
      <c r="D11382" t="s">
        <v>836</v>
      </c>
      <c r="F11382" t="s">
        <v>1106</v>
      </c>
      <c r="G11382" t="s">
        <v>5672</v>
      </c>
      <c r="H11382" t="s">
        <v>14882</v>
      </c>
      <c r="I11382" t="s">
        <v>17509</v>
      </c>
      <c r="J11382" t="s">
        <v>18894</v>
      </c>
      <c r="K11382">
        <v>11203</v>
      </c>
      <c r="L11382" t="s">
        <v>18960</v>
      </c>
      <c r="M11382" t="s">
        <v>18960</v>
      </c>
      <c r="R11382" t="s">
        <v>26591</v>
      </c>
      <c r="U11382" t="s">
        <v>26604</v>
      </c>
      <c r="X11382">
        <v>820</v>
      </c>
      <c r="Y11382" t="s">
        <v>26652</v>
      </c>
      <c r="Z11382" t="s">
        <v>26661</v>
      </c>
      <c r="AB11382" t="s">
        <v>34445</v>
      </c>
      <c r="AD11382" t="s">
        <v>45521</v>
      </c>
      <c r="AE11382">
        <v>109</v>
      </c>
      <c r="AF11382" t="s">
        <v>45541</v>
      </c>
      <c r="AG11382" t="s">
        <v>45559</v>
      </c>
      <c r="AH11382">
        <v>41</v>
      </c>
      <c r="AI11382">
        <v>2</v>
      </c>
      <c r="AJ11382">
        <v>2</v>
      </c>
      <c r="AK11382">
        <v>42.55</v>
      </c>
      <c r="AN11382" t="s">
        <v>7439</v>
      </c>
      <c r="AO11382">
        <v>10956</v>
      </c>
      <c r="AU11382">
        <v>0.6</v>
      </c>
      <c r="AV11382" t="s">
        <v>836</v>
      </c>
      <c r="AW11382" t="s">
        <v>46842</v>
      </c>
    </row>
    <row r="11383" spans="1:50">
      <c r="A11383" s="1">
        <f>HYPERLINK("https://lsnyc.legalserver.org/matter/dynamic-profile/view/1903634","19-1903634")</f>
        <v>0</v>
      </c>
      <c r="B11383" t="s">
        <v>108</v>
      </c>
      <c r="C11383" t="s">
        <v>340</v>
      </c>
      <c r="D11383" t="s">
        <v>836</v>
      </c>
      <c r="F11383" t="s">
        <v>1630</v>
      </c>
      <c r="G11383" t="s">
        <v>9624</v>
      </c>
      <c r="H11383" t="s">
        <v>17253</v>
      </c>
      <c r="I11383" t="s">
        <v>17274</v>
      </c>
      <c r="J11383" t="s">
        <v>18901</v>
      </c>
      <c r="K11383">
        <v>11433</v>
      </c>
      <c r="L11383" t="s">
        <v>18960</v>
      </c>
      <c r="M11383" t="s">
        <v>18960</v>
      </c>
      <c r="N11383" t="s">
        <v>26513</v>
      </c>
      <c r="O11383" t="s">
        <v>26523</v>
      </c>
      <c r="P11383" t="s">
        <v>26563</v>
      </c>
      <c r="R11383" t="s">
        <v>26585</v>
      </c>
      <c r="U11383" t="s">
        <v>26605</v>
      </c>
      <c r="X11383">
        <v>980</v>
      </c>
      <c r="Y11383" t="s">
        <v>26653</v>
      </c>
      <c r="Z11383" t="s">
        <v>26668</v>
      </c>
      <c r="AB11383" t="s">
        <v>31981</v>
      </c>
      <c r="AD11383" t="s">
        <v>45522</v>
      </c>
      <c r="AE11383">
        <v>0</v>
      </c>
      <c r="AF11383" t="s">
        <v>45542</v>
      </c>
      <c r="AG11383" t="s">
        <v>19330</v>
      </c>
      <c r="AH11383">
        <v>2</v>
      </c>
      <c r="AI11383">
        <v>2</v>
      </c>
      <c r="AJ11383">
        <v>0</v>
      </c>
      <c r="AK11383">
        <v>0</v>
      </c>
      <c r="AN11383" t="s">
        <v>7439</v>
      </c>
      <c r="AO11383">
        <v>0</v>
      </c>
      <c r="AU11383">
        <v>0.33</v>
      </c>
      <c r="AV11383" t="s">
        <v>836</v>
      </c>
      <c r="AW11383" t="s">
        <v>46846</v>
      </c>
      <c r="AX11383" t="s">
        <v>46897</v>
      </c>
    </row>
    <row r="11384" spans="1:50">
      <c r="A11384" s="1">
        <f>HYPERLINK("https://lsnyc.legalserver.org/matter/dynamic-profile/view/1903628","19-1903628")</f>
        <v>0</v>
      </c>
      <c r="B11384" t="s">
        <v>108</v>
      </c>
      <c r="C11384" t="s">
        <v>340</v>
      </c>
      <c r="D11384" t="s">
        <v>836</v>
      </c>
      <c r="F11384" t="s">
        <v>5053</v>
      </c>
      <c r="G11384" t="s">
        <v>945</v>
      </c>
      <c r="H11384" t="s">
        <v>14729</v>
      </c>
      <c r="J11384" t="s">
        <v>18901</v>
      </c>
      <c r="K11384">
        <v>11433</v>
      </c>
      <c r="L11384" t="s">
        <v>18958</v>
      </c>
      <c r="M11384" t="s">
        <v>18960</v>
      </c>
      <c r="N11384" t="s">
        <v>26514</v>
      </c>
      <c r="O11384" t="s">
        <v>26523</v>
      </c>
      <c r="P11384" t="s">
        <v>26563</v>
      </c>
      <c r="R11384" t="s">
        <v>26585</v>
      </c>
      <c r="S11384" t="s">
        <v>18958</v>
      </c>
      <c r="U11384" t="s">
        <v>26605</v>
      </c>
      <c r="X11384">
        <v>861</v>
      </c>
      <c r="Y11384" t="s">
        <v>26653</v>
      </c>
      <c r="Z11384" t="s">
        <v>26668</v>
      </c>
      <c r="AB11384" t="s">
        <v>34446</v>
      </c>
      <c r="AC11384">
        <v>5927801</v>
      </c>
      <c r="AD11384" t="s">
        <v>45523</v>
      </c>
      <c r="AE11384">
        <v>0</v>
      </c>
      <c r="AF11384" t="s">
        <v>45542</v>
      </c>
      <c r="AG11384" t="s">
        <v>19330</v>
      </c>
      <c r="AH11384">
        <v>2</v>
      </c>
      <c r="AI11384">
        <v>1</v>
      </c>
      <c r="AJ11384">
        <v>1</v>
      </c>
      <c r="AK11384">
        <v>146.19</v>
      </c>
      <c r="AN11384" t="s">
        <v>7439</v>
      </c>
      <c r="AO11384">
        <v>24720</v>
      </c>
      <c r="AU11384">
        <v>0.33</v>
      </c>
      <c r="AV11384" t="s">
        <v>836</v>
      </c>
      <c r="AW11384" t="s">
        <v>46846</v>
      </c>
      <c r="AX11384" t="s">
        <v>46897</v>
      </c>
    </row>
    <row r="11385" spans="1:50">
      <c r="A11385" s="1">
        <f>HYPERLINK("https://lsnyc.legalserver.org/matter/dynamic-profile/view/1903686","19-1903686")</f>
        <v>0</v>
      </c>
      <c r="B11385" t="s">
        <v>180</v>
      </c>
      <c r="C11385" t="s">
        <v>340</v>
      </c>
      <c r="D11385" t="s">
        <v>836</v>
      </c>
      <c r="F11385" t="s">
        <v>1076</v>
      </c>
      <c r="G11385" t="s">
        <v>5189</v>
      </c>
      <c r="H11385" t="s">
        <v>17254</v>
      </c>
      <c r="I11385" t="s">
        <v>17355</v>
      </c>
      <c r="J11385" t="s">
        <v>18894</v>
      </c>
      <c r="K11385">
        <v>11226</v>
      </c>
      <c r="L11385" t="s">
        <v>18958</v>
      </c>
      <c r="M11385" t="s">
        <v>18960</v>
      </c>
      <c r="N11385" t="s">
        <v>26515</v>
      </c>
      <c r="O11385" t="s">
        <v>26523</v>
      </c>
      <c r="P11385" t="s">
        <v>26560</v>
      </c>
      <c r="R11385" t="s">
        <v>26588</v>
      </c>
      <c r="U11385" t="s">
        <v>26604</v>
      </c>
      <c r="X11385">
        <v>2360</v>
      </c>
      <c r="Y11385" t="s">
        <v>26652</v>
      </c>
      <c r="Z11385" t="s">
        <v>26664</v>
      </c>
      <c r="AB11385" t="s">
        <v>34447</v>
      </c>
      <c r="AD11385" t="s">
        <v>45524</v>
      </c>
      <c r="AE11385">
        <v>64</v>
      </c>
      <c r="AH11385">
        <v>-2</v>
      </c>
      <c r="AI11385">
        <v>2</v>
      </c>
      <c r="AJ11385">
        <v>0</v>
      </c>
      <c r="AK11385">
        <v>141.93</v>
      </c>
      <c r="AN11385" t="s">
        <v>7439</v>
      </c>
      <c r="AO11385">
        <v>24000</v>
      </c>
      <c r="AU11385">
        <v>1.1</v>
      </c>
      <c r="AV11385" t="s">
        <v>836</v>
      </c>
      <c r="AW11385" t="s">
        <v>46862</v>
      </c>
      <c r="AX11385" t="s">
        <v>46897</v>
      </c>
    </row>
    <row r="11386" spans="1:50">
      <c r="A11386" s="1">
        <f>HYPERLINK("https://lsnyc.legalserver.org/matter/dynamic-profile/view/1903673","19-1903673")</f>
        <v>0</v>
      </c>
      <c r="B11386" t="s">
        <v>180</v>
      </c>
      <c r="C11386" t="s">
        <v>340</v>
      </c>
      <c r="D11386" t="s">
        <v>836</v>
      </c>
      <c r="F11386" t="s">
        <v>5069</v>
      </c>
      <c r="G11386" t="s">
        <v>7284</v>
      </c>
      <c r="H11386" t="s">
        <v>17255</v>
      </c>
      <c r="I11386" t="s">
        <v>17436</v>
      </c>
      <c r="J11386" t="s">
        <v>18894</v>
      </c>
      <c r="K11386">
        <v>11226</v>
      </c>
      <c r="L11386" t="s">
        <v>18958</v>
      </c>
      <c r="M11386" t="s">
        <v>18960</v>
      </c>
      <c r="N11386" t="s">
        <v>26516</v>
      </c>
      <c r="O11386" t="s">
        <v>26523</v>
      </c>
      <c r="P11386" t="s">
        <v>26563</v>
      </c>
      <c r="R11386" t="s">
        <v>26588</v>
      </c>
      <c r="U11386" t="s">
        <v>26604</v>
      </c>
      <c r="X11386">
        <v>866.72</v>
      </c>
      <c r="Y11386" t="s">
        <v>26652</v>
      </c>
      <c r="Z11386" t="s">
        <v>26664</v>
      </c>
      <c r="AB11386" t="s">
        <v>28239</v>
      </c>
      <c r="AD11386" t="s">
        <v>45525</v>
      </c>
      <c r="AE11386">
        <v>41</v>
      </c>
      <c r="AG11386" t="s">
        <v>19330</v>
      </c>
      <c r="AH11386">
        <v>12</v>
      </c>
      <c r="AI11386">
        <v>2</v>
      </c>
      <c r="AJ11386">
        <v>0</v>
      </c>
      <c r="AK11386">
        <v>181.67</v>
      </c>
      <c r="AN11386" t="s">
        <v>7439</v>
      </c>
      <c r="AO11386">
        <v>30720.43</v>
      </c>
      <c r="AU11386">
        <v>1</v>
      </c>
      <c r="AV11386" t="s">
        <v>836</v>
      </c>
      <c r="AW11386" t="s">
        <v>46862</v>
      </c>
      <c r="AX11386" t="s">
        <v>46897</v>
      </c>
    </row>
    <row r="11387" spans="1:50">
      <c r="A11387" s="1">
        <f>HYPERLINK("https://lsnyc.legalserver.org/matter/dynamic-profile/view/1903671","19-1903671")</f>
        <v>0</v>
      </c>
      <c r="B11387" t="s">
        <v>282</v>
      </c>
      <c r="C11387" t="s">
        <v>340</v>
      </c>
      <c r="D11387" t="s">
        <v>836</v>
      </c>
      <c r="F11387" t="s">
        <v>3291</v>
      </c>
      <c r="G11387" t="s">
        <v>9625</v>
      </c>
      <c r="H11387" t="s">
        <v>16433</v>
      </c>
      <c r="I11387" t="s">
        <v>18882</v>
      </c>
      <c r="J11387" t="s">
        <v>18906</v>
      </c>
      <c r="K11387">
        <v>11373</v>
      </c>
      <c r="L11387" t="s">
        <v>18960</v>
      </c>
      <c r="M11387" t="s">
        <v>18960</v>
      </c>
      <c r="N11387" t="s">
        <v>26517</v>
      </c>
      <c r="O11387" t="s">
        <v>26524</v>
      </c>
      <c r="R11387" t="s">
        <v>26585</v>
      </c>
      <c r="U11387" t="s">
        <v>26604</v>
      </c>
      <c r="V11387" t="s">
        <v>26610</v>
      </c>
      <c r="X11387">
        <v>0</v>
      </c>
      <c r="Y11387" t="s">
        <v>26653</v>
      </c>
      <c r="Z11387" t="s">
        <v>26668</v>
      </c>
      <c r="AE11387">
        <v>0</v>
      </c>
      <c r="AH11387">
        <v>0</v>
      </c>
      <c r="AI11387">
        <v>1</v>
      </c>
      <c r="AJ11387">
        <v>0</v>
      </c>
      <c r="AK11387">
        <v>134.51</v>
      </c>
      <c r="AN11387" t="s">
        <v>7439</v>
      </c>
      <c r="AO11387">
        <v>16800</v>
      </c>
      <c r="AU11387">
        <v>0.5</v>
      </c>
      <c r="AV11387" t="s">
        <v>836</v>
      </c>
      <c r="AW11387" t="s">
        <v>282</v>
      </c>
    </row>
    <row r="11388" spans="1:50">
      <c r="A11388" s="1">
        <f>HYPERLINK("https://lsnyc.legalserver.org/matter/dynamic-profile/view/1903676","19-1903676")</f>
        <v>0</v>
      </c>
      <c r="B11388" t="s">
        <v>282</v>
      </c>
      <c r="C11388" t="s">
        <v>340</v>
      </c>
      <c r="D11388" t="s">
        <v>836</v>
      </c>
      <c r="F11388" t="s">
        <v>1051</v>
      </c>
      <c r="G11388" t="s">
        <v>1128</v>
      </c>
      <c r="H11388" t="s">
        <v>17256</v>
      </c>
      <c r="I11388" t="s">
        <v>17351</v>
      </c>
      <c r="J11388" t="s">
        <v>18901</v>
      </c>
      <c r="K11388">
        <v>11434</v>
      </c>
      <c r="L11388" t="s">
        <v>18960</v>
      </c>
      <c r="M11388" t="s">
        <v>18960</v>
      </c>
      <c r="N11388" t="s">
        <v>26518</v>
      </c>
      <c r="O11388" t="s">
        <v>26523</v>
      </c>
      <c r="R11388" t="s">
        <v>26585</v>
      </c>
      <c r="S11388" t="s">
        <v>18959</v>
      </c>
      <c r="U11388" t="s">
        <v>26604</v>
      </c>
      <c r="V11388" t="s">
        <v>26610</v>
      </c>
      <c r="X11388">
        <v>958</v>
      </c>
      <c r="Y11388" t="s">
        <v>26653</v>
      </c>
      <c r="Z11388" t="s">
        <v>26668</v>
      </c>
      <c r="AB11388" t="s">
        <v>34448</v>
      </c>
      <c r="AE11388">
        <v>200</v>
      </c>
      <c r="AF11388" t="s">
        <v>45550</v>
      </c>
      <c r="AH11388">
        <v>39</v>
      </c>
      <c r="AI11388">
        <v>1</v>
      </c>
      <c r="AJ11388">
        <v>3</v>
      </c>
      <c r="AK11388">
        <v>151.46</v>
      </c>
      <c r="AN11388" t="s">
        <v>7439</v>
      </c>
      <c r="AO11388">
        <v>39000</v>
      </c>
      <c r="AU11388">
        <v>0.5</v>
      </c>
      <c r="AV11388" t="s">
        <v>836</v>
      </c>
      <c r="AW11388" t="s">
        <v>282</v>
      </c>
    </row>
    <row r="11389" spans="1:50">
      <c r="A11389" s="1">
        <f>HYPERLINK("https://lsnyc.legalserver.org/matter/dynamic-profile/view/1903688","19-1903688")</f>
        <v>0</v>
      </c>
      <c r="B11389" t="s">
        <v>71</v>
      </c>
      <c r="C11389" t="s">
        <v>340</v>
      </c>
      <c r="D11389" t="s">
        <v>836</v>
      </c>
      <c r="F11389" t="s">
        <v>1106</v>
      </c>
      <c r="G11389" t="s">
        <v>7171</v>
      </c>
      <c r="H11389" t="s">
        <v>17257</v>
      </c>
      <c r="I11389">
        <v>3</v>
      </c>
      <c r="J11389" t="s">
        <v>18892</v>
      </c>
      <c r="K11389">
        <v>10462</v>
      </c>
      <c r="L11389" t="s">
        <v>18958</v>
      </c>
      <c r="M11389" t="s">
        <v>18960</v>
      </c>
      <c r="N11389" t="s">
        <v>26519</v>
      </c>
      <c r="O11389" t="s">
        <v>26523</v>
      </c>
      <c r="P11389" t="s">
        <v>26560</v>
      </c>
      <c r="R11389" t="s">
        <v>26579</v>
      </c>
      <c r="U11389" t="s">
        <v>26604</v>
      </c>
      <c r="X11389">
        <v>1285</v>
      </c>
      <c r="Y11389" t="s">
        <v>26650</v>
      </c>
      <c r="AB11389" t="s">
        <v>34449</v>
      </c>
      <c r="AD11389" t="s">
        <v>45526</v>
      </c>
      <c r="AE11389">
        <v>5</v>
      </c>
      <c r="AH11389">
        <v>9</v>
      </c>
      <c r="AI11389">
        <v>1</v>
      </c>
      <c r="AJ11389">
        <v>3</v>
      </c>
      <c r="AK11389">
        <v>139.81</v>
      </c>
      <c r="AN11389" t="s">
        <v>7439</v>
      </c>
      <c r="AO11389">
        <v>36000</v>
      </c>
      <c r="AU11389">
        <v>0</v>
      </c>
      <c r="AW11389" t="s">
        <v>46867</v>
      </c>
    </row>
    <row r="11390" spans="1:50">
      <c r="A11390" s="1">
        <f>HYPERLINK("https://lsnyc.legalserver.org/matter/dynamic-profile/view/1903644","19-1903644")</f>
        <v>0</v>
      </c>
      <c r="B11390" t="s">
        <v>288</v>
      </c>
      <c r="C11390" t="s">
        <v>340</v>
      </c>
      <c r="D11390" t="s">
        <v>836</v>
      </c>
      <c r="F11390" t="s">
        <v>5070</v>
      </c>
      <c r="G11390" t="s">
        <v>9626</v>
      </c>
      <c r="H11390" t="s">
        <v>17258</v>
      </c>
      <c r="I11390" t="s">
        <v>17522</v>
      </c>
      <c r="J11390" t="s">
        <v>18894</v>
      </c>
      <c r="K11390">
        <v>11215</v>
      </c>
      <c r="L11390" t="s">
        <v>18960</v>
      </c>
      <c r="M11390" t="s">
        <v>18960</v>
      </c>
      <c r="R11390" t="s">
        <v>26586</v>
      </c>
      <c r="U11390" t="s">
        <v>26604</v>
      </c>
      <c r="X11390">
        <v>0</v>
      </c>
      <c r="Y11390" t="s">
        <v>26652</v>
      </c>
      <c r="AB11390" t="s">
        <v>34450</v>
      </c>
      <c r="AD11390" t="s">
        <v>45527</v>
      </c>
      <c r="AE11390">
        <v>0</v>
      </c>
      <c r="AH11390">
        <v>0</v>
      </c>
      <c r="AI11390">
        <v>1</v>
      </c>
      <c r="AJ11390">
        <v>0</v>
      </c>
      <c r="AK11390">
        <v>48.04</v>
      </c>
      <c r="AO11390">
        <v>6000</v>
      </c>
      <c r="AU11390">
        <v>1.2</v>
      </c>
      <c r="AV11390" t="s">
        <v>836</v>
      </c>
      <c r="AW11390" t="s">
        <v>124</v>
      </c>
    </row>
    <row r="11391" spans="1:50">
      <c r="A11391" s="1">
        <f>HYPERLINK("https://lsnyc.legalserver.org/matter/dynamic-profile/view/1903654","19-1903654")</f>
        <v>0</v>
      </c>
      <c r="B11391" t="s">
        <v>200</v>
      </c>
      <c r="C11391" t="s">
        <v>340</v>
      </c>
      <c r="D11391" t="s">
        <v>836</v>
      </c>
      <c r="F11391" t="s">
        <v>2040</v>
      </c>
      <c r="G11391" t="s">
        <v>9627</v>
      </c>
      <c r="H11391" t="s">
        <v>17259</v>
      </c>
      <c r="I11391" t="s">
        <v>17299</v>
      </c>
      <c r="J11391" t="s">
        <v>18894</v>
      </c>
      <c r="K11391">
        <v>11225</v>
      </c>
      <c r="L11391" t="s">
        <v>18959</v>
      </c>
      <c r="M11391" t="s">
        <v>18960</v>
      </c>
      <c r="N11391" t="s">
        <v>26520</v>
      </c>
      <c r="O11391" t="s">
        <v>26523</v>
      </c>
      <c r="P11391" t="s">
        <v>26560</v>
      </c>
      <c r="R11391" t="s">
        <v>26578</v>
      </c>
      <c r="S11391" t="s">
        <v>18959</v>
      </c>
      <c r="U11391" t="s">
        <v>26604</v>
      </c>
      <c r="V11391" t="s">
        <v>26612</v>
      </c>
      <c r="X11391">
        <v>678</v>
      </c>
      <c r="Y11391" t="s">
        <v>26652</v>
      </c>
      <c r="Z11391" t="s">
        <v>26659</v>
      </c>
      <c r="AB11391" t="s">
        <v>34451</v>
      </c>
      <c r="AC11391" t="s">
        <v>19330</v>
      </c>
      <c r="AD11391" t="s">
        <v>45528</v>
      </c>
      <c r="AE11391">
        <v>26</v>
      </c>
      <c r="AG11391" t="s">
        <v>45563</v>
      </c>
      <c r="AH11391">
        <v>19</v>
      </c>
      <c r="AI11391">
        <v>2</v>
      </c>
      <c r="AJ11391">
        <v>3</v>
      </c>
      <c r="AK11391">
        <v>95.66</v>
      </c>
      <c r="AM11391" t="s">
        <v>45580</v>
      </c>
      <c r="AN11391" t="s">
        <v>7439</v>
      </c>
      <c r="AO11391">
        <v>28860</v>
      </c>
      <c r="AU11391">
        <v>0</v>
      </c>
      <c r="AW11391" t="s">
        <v>279</v>
      </c>
      <c r="AX11391" t="s">
        <v>19330</v>
      </c>
    </row>
    <row r="11392" spans="1:50">
      <c r="A11392" s="1">
        <f>HYPERLINK("https://lsnyc.legalserver.org/matter/dynamic-profile/view/1903639","19-1903639")</f>
        <v>0</v>
      </c>
      <c r="B11392" t="s">
        <v>249</v>
      </c>
      <c r="C11392" t="s">
        <v>340</v>
      </c>
      <c r="D11392" t="s">
        <v>836</v>
      </c>
      <c r="F11392" t="s">
        <v>1044</v>
      </c>
      <c r="G11392" t="s">
        <v>5230</v>
      </c>
      <c r="H11392" t="s">
        <v>17260</v>
      </c>
      <c r="I11392" t="s">
        <v>17360</v>
      </c>
      <c r="J11392" t="s">
        <v>18894</v>
      </c>
      <c r="K11392">
        <v>11212</v>
      </c>
      <c r="L11392" t="s">
        <v>18959</v>
      </c>
      <c r="M11392" t="s">
        <v>18960</v>
      </c>
      <c r="O11392" t="s">
        <v>18997</v>
      </c>
      <c r="P11392" t="s">
        <v>26564</v>
      </c>
      <c r="R11392" t="s">
        <v>26578</v>
      </c>
      <c r="S11392" t="s">
        <v>18959</v>
      </c>
      <c r="U11392" t="s">
        <v>26604</v>
      </c>
      <c r="V11392" t="s">
        <v>26610</v>
      </c>
      <c r="X11392">
        <v>1008</v>
      </c>
      <c r="Y11392" t="s">
        <v>26652</v>
      </c>
      <c r="Z11392" t="s">
        <v>26660</v>
      </c>
      <c r="AB11392" t="s">
        <v>34452</v>
      </c>
      <c r="AC11392" t="s">
        <v>26379</v>
      </c>
      <c r="AD11392" t="s">
        <v>45529</v>
      </c>
      <c r="AE11392">
        <v>24</v>
      </c>
      <c r="AF11392" t="s">
        <v>45541</v>
      </c>
      <c r="AG11392" t="s">
        <v>45556</v>
      </c>
      <c r="AH11392">
        <v>5</v>
      </c>
      <c r="AI11392">
        <v>2</v>
      </c>
      <c r="AJ11392">
        <v>0</v>
      </c>
      <c r="AK11392">
        <v>105.59</v>
      </c>
      <c r="AN11392" t="s">
        <v>7439</v>
      </c>
      <c r="AO11392">
        <v>17856</v>
      </c>
      <c r="AU11392">
        <v>0.66</v>
      </c>
      <c r="AV11392" t="s">
        <v>836</v>
      </c>
      <c r="AW11392" t="s">
        <v>46860</v>
      </c>
      <c r="AX11392" t="s">
        <v>19330</v>
      </c>
    </row>
    <row r="11393" spans="1:50">
      <c r="A11393" s="1">
        <f>HYPERLINK("https://lsnyc.legalserver.org/matter/dynamic-profile/view/1903398","19-1903398")</f>
        <v>0</v>
      </c>
      <c r="B11393" t="s">
        <v>102</v>
      </c>
      <c r="C11393" t="s">
        <v>340</v>
      </c>
      <c r="D11393" t="s">
        <v>836</v>
      </c>
      <c r="F11393" t="s">
        <v>4662</v>
      </c>
      <c r="G11393" t="s">
        <v>8494</v>
      </c>
      <c r="H11393" t="s">
        <v>17261</v>
      </c>
      <c r="I11393" t="s">
        <v>18883</v>
      </c>
      <c r="J11393" t="s">
        <v>18902</v>
      </c>
      <c r="K11393">
        <v>10310</v>
      </c>
      <c r="L11393" t="s">
        <v>18958</v>
      </c>
      <c r="M11393" t="s">
        <v>18960</v>
      </c>
      <c r="N11393" t="s">
        <v>26521</v>
      </c>
      <c r="O11393" t="s">
        <v>26523</v>
      </c>
      <c r="R11393" t="s">
        <v>26590</v>
      </c>
      <c r="S11393" t="s">
        <v>18959</v>
      </c>
      <c r="U11393" t="s">
        <v>26604</v>
      </c>
      <c r="V11393" t="s">
        <v>26612</v>
      </c>
      <c r="X11393">
        <v>1557</v>
      </c>
      <c r="Y11393" t="s">
        <v>26654</v>
      </c>
      <c r="Z11393" t="s">
        <v>26663</v>
      </c>
      <c r="AB11393" t="s">
        <v>27595</v>
      </c>
      <c r="AC11393" t="s">
        <v>36811</v>
      </c>
      <c r="AE11393">
        <v>5</v>
      </c>
      <c r="AF11393" t="s">
        <v>45547</v>
      </c>
      <c r="AH11393">
        <v>8</v>
      </c>
      <c r="AI11393">
        <v>1</v>
      </c>
      <c r="AJ11393">
        <v>3</v>
      </c>
      <c r="AK11393">
        <v>24.8</v>
      </c>
      <c r="AN11393" t="s">
        <v>45581</v>
      </c>
      <c r="AO11393">
        <v>6385.2</v>
      </c>
      <c r="AU11393">
        <v>3.5</v>
      </c>
      <c r="AV11393" t="s">
        <v>836</v>
      </c>
      <c r="AW11393" t="s">
        <v>210</v>
      </c>
      <c r="AX11393" t="s">
        <v>46897</v>
      </c>
    </row>
    <row r="11394" spans="1:50">
      <c r="A11394" s="1">
        <f>HYPERLINK("https://lsnyc.legalserver.org/matter/dynamic-profile/view/1903623","19-1903623")</f>
        <v>0</v>
      </c>
      <c r="B11394" t="s">
        <v>252</v>
      </c>
      <c r="C11394" t="s">
        <v>340</v>
      </c>
      <c r="D11394" t="s">
        <v>836</v>
      </c>
      <c r="F11394" t="s">
        <v>1251</v>
      </c>
      <c r="G11394" t="s">
        <v>9628</v>
      </c>
      <c r="H11394" t="s">
        <v>17262</v>
      </c>
      <c r="I11394" t="s">
        <v>17284</v>
      </c>
      <c r="J11394" t="s">
        <v>18894</v>
      </c>
      <c r="K11394">
        <v>11214</v>
      </c>
      <c r="L11394" t="s">
        <v>18960</v>
      </c>
      <c r="M11394" t="s">
        <v>18960</v>
      </c>
      <c r="R11394" t="s">
        <v>26591</v>
      </c>
      <c r="U11394" t="s">
        <v>26604</v>
      </c>
      <c r="X11394">
        <v>840</v>
      </c>
      <c r="Y11394" t="s">
        <v>26652</v>
      </c>
      <c r="Z11394" t="s">
        <v>26666</v>
      </c>
      <c r="AB11394" t="s">
        <v>33556</v>
      </c>
      <c r="AD11394" t="s">
        <v>45530</v>
      </c>
      <c r="AE11394">
        <v>109</v>
      </c>
      <c r="AG11394" t="s">
        <v>45559</v>
      </c>
      <c r="AH11394">
        <v>30</v>
      </c>
      <c r="AI11394">
        <v>1</v>
      </c>
      <c r="AJ11394">
        <v>0</v>
      </c>
      <c r="AK11394">
        <v>83.59</v>
      </c>
      <c r="AN11394" t="s">
        <v>7439</v>
      </c>
      <c r="AO11394">
        <v>10440</v>
      </c>
      <c r="AU11394">
        <v>0.6</v>
      </c>
      <c r="AV11394" t="s">
        <v>836</v>
      </c>
      <c r="AW11394" t="s">
        <v>46842</v>
      </c>
    </row>
    <row r="11395" spans="1:50">
      <c r="A11395" s="1">
        <f>HYPERLINK("https://lsnyc.legalserver.org/matter/dynamic-profile/view/1903624","19-1903624")</f>
        <v>0</v>
      </c>
      <c r="B11395" t="s">
        <v>187</v>
      </c>
      <c r="C11395" t="s">
        <v>340</v>
      </c>
      <c r="D11395" t="s">
        <v>836</v>
      </c>
      <c r="F11395" t="s">
        <v>1022</v>
      </c>
      <c r="G11395" t="s">
        <v>6066</v>
      </c>
      <c r="H11395" t="s">
        <v>17263</v>
      </c>
      <c r="I11395">
        <v>43</v>
      </c>
      <c r="J11395" t="s">
        <v>18892</v>
      </c>
      <c r="K11395">
        <v>10457</v>
      </c>
      <c r="L11395" t="s">
        <v>18958</v>
      </c>
      <c r="M11395" t="s">
        <v>18960</v>
      </c>
      <c r="P11395" t="s">
        <v>26560</v>
      </c>
      <c r="R11395" t="s">
        <v>26579</v>
      </c>
      <c r="U11395" t="s">
        <v>26604</v>
      </c>
      <c r="X11395">
        <v>0</v>
      </c>
      <c r="Y11395" t="s">
        <v>26650</v>
      </c>
      <c r="AB11395" t="s">
        <v>31018</v>
      </c>
      <c r="AE11395">
        <v>0</v>
      </c>
      <c r="AH11395">
        <v>0</v>
      </c>
      <c r="AI11395">
        <v>1</v>
      </c>
      <c r="AJ11395">
        <v>2</v>
      </c>
      <c r="AK11395">
        <v>36.57</v>
      </c>
      <c r="AN11395" t="s">
        <v>45581</v>
      </c>
      <c r="AO11395">
        <v>7800</v>
      </c>
      <c r="AU11395">
        <v>1.5</v>
      </c>
      <c r="AV11395" t="s">
        <v>836</v>
      </c>
      <c r="AW11395" t="s">
        <v>292</v>
      </c>
    </row>
    <row r="11396" spans="1:50">
      <c r="A11396" s="1">
        <f>HYPERLINK("https://lsnyc.legalserver.org/matter/dynamic-profile/view/1903663","19-1903663")</f>
        <v>0</v>
      </c>
      <c r="B11396" t="s">
        <v>103</v>
      </c>
      <c r="C11396" t="s">
        <v>340</v>
      </c>
      <c r="D11396" t="s">
        <v>836</v>
      </c>
      <c r="F11396" t="s">
        <v>1096</v>
      </c>
      <c r="G11396" t="s">
        <v>5623</v>
      </c>
      <c r="H11396" t="s">
        <v>17037</v>
      </c>
      <c r="I11396" t="s">
        <v>18884</v>
      </c>
      <c r="J11396" t="s">
        <v>18902</v>
      </c>
      <c r="K11396">
        <v>10314</v>
      </c>
      <c r="L11396" t="s">
        <v>18958</v>
      </c>
      <c r="M11396" t="s">
        <v>18960</v>
      </c>
      <c r="O11396" t="s">
        <v>26534</v>
      </c>
      <c r="R11396" t="s">
        <v>26578</v>
      </c>
      <c r="S11396" t="s">
        <v>18958</v>
      </c>
      <c r="U11396" t="s">
        <v>26604</v>
      </c>
      <c r="X11396">
        <v>1788</v>
      </c>
      <c r="Y11396" t="s">
        <v>26654</v>
      </c>
      <c r="Z11396" t="s">
        <v>26659</v>
      </c>
      <c r="AB11396" t="s">
        <v>34453</v>
      </c>
      <c r="AD11396" t="s">
        <v>45531</v>
      </c>
      <c r="AE11396">
        <v>96</v>
      </c>
      <c r="AF11396" t="s">
        <v>45541</v>
      </c>
      <c r="AG11396" t="s">
        <v>45559</v>
      </c>
      <c r="AH11396">
        <v>9</v>
      </c>
      <c r="AI11396">
        <v>2</v>
      </c>
      <c r="AJ11396">
        <v>0</v>
      </c>
      <c r="AK11396">
        <v>41.58</v>
      </c>
      <c r="AN11396" t="s">
        <v>7439</v>
      </c>
      <c r="AO11396">
        <v>7032</v>
      </c>
      <c r="AU11396">
        <v>0.2</v>
      </c>
      <c r="AV11396" t="s">
        <v>836</v>
      </c>
      <c r="AW11396" t="s">
        <v>46883</v>
      </c>
      <c r="AX11396" t="s">
        <v>46897</v>
      </c>
    </row>
    <row r="11397" spans="1:50">
      <c r="A11397" s="1">
        <f>HYPERLINK("https://lsnyc.legalserver.org/matter/dynamic-profile/view/1903687","19-1903687")</f>
        <v>0</v>
      </c>
      <c r="B11397" t="s">
        <v>103</v>
      </c>
      <c r="C11397" t="s">
        <v>340</v>
      </c>
      <c r="D11397" t="s">
        <v>836</v>
      </c>
      <c r="F11397" t="s">
        <v>4164</v>
      </c>
      <c r="G11397" t="s">
        <v>9629</v>
      </c>
      <c r="H11397" t="s">
        <v>17037</v>
      </c>
      <c r="I11397" t="s">
        <v>18885</v>
      </c>
      <c r="J11397" t="s">
        <v>18902</v>
      </c>
      <c r="K11397">
        <v>10314</v>
      </c>
      <c r="L11397" t="s">
        <v>18958</v>
      </c>
      <c r="M11397" t="s">
        <v>18960</v>
      </c>
      <c r="O11397" t="s">
        <v>26534</v>
      </c>
      <c r="R11397" t="s">
        <v>26578</v>
      </c>
      <c r="S11397" t="s">
        <v>18958</v>
      </c>
      <c r="U11397" t="s">
        <v>26604</v>
      </c>
      <c r="X11397">
        <v>871</v>
      </c>
      <c r="Y11397" t="s">
        <v>26654</v>
      </c>
      <c r="Z11397" t="s">
        <v>26659</v>
      </c>
      <c r="AB11397" t="s">
        <v>34454</v>
      </c>
      <c r="AD11397" t="s">
        <v>45532</v>
      </c>
      <c r="AE11397">
        <v>96</v>
      </c>
      <c r="AF11397" t="s">
        <v>45541</v>
      </c>
      <c r="AG11397" t="s">
        <v>45559</v>
      </c>
      <c r="AH11397">
        <v>4</v>
      </c>
      <c r="AI11397">
        <v>1</v>
      </c>
      <c r="AJ11397">
        <v>0</v>
      </c>
      <c r="AK11397">
        <v>115.29</v>
      </c>
      <c r="AN11397" t="s">
        <v>45581</v>
      </c>
      <c r="AO11397">
        <v>14400</v>
      </c>
      <c r="AU11397">
        <v>0.2</v>
      </c>
      <c r="AV11397" t="s">
        <v>836</v>
      </c>
      <c r="AW11397" t="s">
        <v>46883</v>
      </c>
      <c r="AX11397" t="s">
        <v>46897</v>
      </c>
    </row>
    <row r="11398" spans="1:50">
      <c r="A11398" s="1">
        <f>HYPERLINK("https://lsnyc.legalserver.org/matter/dynamic-profile/view/1903659","19-1903659")</f>
        <v>0</v>
      </c>
      <c r="B11398" t="s">
        <v>103</v>
      </c>
      <c r="C11398" t="s">
        <v>340</v>
      </c>
      <c r="D11398" t="s">
        <v>836</v>
      </c>
      <c r="F11398" t="s">
        <v>5071</v>
      </c>
      <c r="G11398" t="s">
        <v>9630</v>
      </c>
      <c r="H11398" t="s">
        <v>17037</v>
      </c>
      <c r="I11398" t="s">
        <v>18886</v>
      </c>
      <c r="J11398" t="s">
        <v>18902</v>
      </c>
      <c r="K11398">
        <v>10314</v>
      </c>
      <c r="L11398" t="s">
        <v>18958</v>
      </c>
      <c r="M11398" t="s">
        <v>18960</v>
      </c>
      <c r="O11398" t="s">
        <v>26534</v>
      </c>
      <c r="R11398" t="s">
        <v>26578</v>
      </c>
      <c r="S11398" t="s">
        <v>18958</v>
      </c>
      <c r="U11398" t="s">
        <v>26604</v>
      </c>
      <c r="X11398">
        <v>864</v>
      </c>
      <c r="Y11398" t="s">
        <v>26654</v>
      </c>
      <c r="Z11398" t="s">
        <v>26659</v>
      </c>
      <c r="AB11398" t="s">
        <v>34455</v>
      </c>
      <c r="AD11398" t="s">
        <v>45533</v>
      </c>
      <c r="AE11398">
        <v>96</v>
      </c>
      <c r="AF11398" t="s">
        <v>45541</v>
      </c>
      <c r="AG11398" t="s">
        <v>45559</v>
      </c>
      <c r="AH11398">
        <v>9</v>
      </c>
      <c r="AI11398">
        <v>1</v>
      </c>
      <c r="AJ11398">
        <v>0</v>
      </c>
      <c r="AK11398">
        <v>124.71</v>
      </c>
      <c r="AN11398" t="s">
        <v>7439</v>
      </c>
      <c r="AO11398">
        <v>15576</v>
      </c>
      <c r="AU11398">
        <v>0.2</v>
      </c>
      <c r="AV11398" t="s">
        <v>836</v>
      </c>
      <c r="AW11398" t="s">
        <v>46883</v>
      </c>
      <c r="AX11398" t="s">
        <v>46897</v>
      </c>
    </row>
    <row r="11399" spans="1:50">
      <c r="A11399" s="1">
        <f>HYPERLINK("https://lsnyc.legalserver.org/matter/dynamic-profile/view/1903670","19-1903670")</f>
        <v>0</v>
      </c>
      <c r="B11399" t="s">
        <v>103</v>
      </c>
      <c r="C11399" t="s">
        <v>340</v>
      </c>
      <c r="D11399" t="s">
        <v>836</v>
      </c>
      <c r="F11399" t="s">
        <v>1145</v>
      </c>
      <c r="G11399" t="s">
        <v>9631</v>
      </c>
      <c r="H11399" t="s">
        <v>17037</v>
      </c>
      <c r="I11399" t="s">
        <v>18887</v>
      </c>
      <c r="J11399" t="s">
        <v>18902</v>
      </c>
      <c r="K11399">
        <v>10314</v>
      </c>
      <c r="L11399" t="s">
        <v>18958</v>
      </c>
      <c r="M11399" t="s">
        <v>18960</v>
      </c>
      <c r="O11399" t="s">
        <v>26534</v>
      </c>
      <c r="R11399" t="s">
        <v>26578</v>
      </c>
      <c r="S11399" t="s">
        <v>18958</v>
      </c>
      <c r="U11399" t="s">
        <v>26604</v>
      </c>
      <c r="X11399">
        <v>1400</v>
      </c>
      <c r="Y11399" t="s">
        <v>26654</v>
      </c>
      <c r="Z11399" t="s">
        <v>26659</v>
      </c>
      <c r="AB11399" t="s">
        <v>32969</v>
      </c>
      <c r="AD11399" t="s">
        <v>45534</v>
      </c>
      <c r="AE11399">
        <v>96</v>
      </c>
      <c r="AF11399" t="s">
        <v>45541</v>
      </c>
      <c r="AG11399" t="s">
        <v>45559</v>
      </c>
      <c r="AH11399">
        <v>9</v>
      </c>
      <c r="AI11399">
        <v>1</v>
      </c>
      <c r="AJ11399">
        <v>0</v>
      </c>
      <c r="AK11399">
        <v>134.51</v>
      </c>
      <c r="AN11399" t="s">
        <v>7439</v>
      </c>
      <c r="AO11399">
        <v>16800</v>
      </c>
      <c r="AU11399">
        <v>0.2</v>
      </c>
      <c r="AV11399" t="s">
        <v>836</v>
      </c>
      <c r="AW11399" t="s">
        <v>46883</v>
      </c>
      <c r="AX11399" t="s">
        <v>46897</v>
      </c>
    </row>
    <row r="11400" spans="1:50">
      <c r="A11400" s="1">
        <f>HYPERLINK("https://lsnyc.legalserver.org/matter/dynamic-profile/view/1903667","19-1903667")</f>
        <v>0</v>
      </c>
      <c r="B11400" t="s">
        <v>103</v>
      </c>
      <c r="C11400" t="s">
        <v>340</v>
      </c>
      <c r="D11400" t="s">
        <v>836</v>
      </c>
      <c r="F11400" t="s">
        <v>4004</v>
      </c>
      <c r="G11400" t="s">
        <v>8307</v>
      </c>
      <c r="H11400" t="s">
        <v>17037</v>
      </c>
      <c r="I11400" t="s">
        <v>18888</v>
      </c>
      <c r="J11400" t="s">
        <v>18902</v>
      </c>
      <c r="K11400">
        <v>10314</v>
      </c>
      <c r="L11400" t="s">
        <v>18958</v>
      </c>
      <c r="M11400" t="s">
        <v>18960</v>
      </c>
      <c r="O11400" t="s">
        <v>26534</v>
      </c>
      <c r="R11400" t="s">
        <v>26578</v>
      </c>
      <c r="S11400" t="s">
        <v>18958</v>
      </c>
      <c r="U11400" t="s">
        <v>26604</v>
      </c>
      <c r="X11400">
        <v>859</v>
      </c>
      <c r="Y11400" t="s">
        <v>26654</v>
      </c>
      <c r="Z11400" t="s">
        <v>26659</v>
      </c>
      <c r="AB11400" t="s">
        <v>28845</v>
      </c>
      <c r="AD11400" t="s">
        <v>45535</v>
      </c>
      <c r="AE11400">
        <v>96</v>
      </c>
      <c r="AF11400" t="s">
        <v>45541</v>
      </c>
      <c r="AG11400" t="s">
        <v>45559</v>
      </c>
      <c r="AH11400">
        <v>7</v>
      </c>
      <c r="AI11400">
        <v>1</v>
      </c>
      <c r="AJ11400">
        <v>0</v>
      </c>
      <c r="AK11400">
        <v>167.65</v>
      </c>
      <c r="AN11400" t="s">
        <v>7439</v>
      </c>
      <c r="AO11400">
        <v>20940</v>
      </c>
      <c r="AU11400">
        <v>0.2</v>
      </c>
      <c r="AV11400" t="s">
        <v>836</v>
      </c>
      <c r="AW11400" t="s">
        <v>46883</v>
      </c>
      <c r="AX11400" t="s">
        <v>46897</v>
      </c>
    </row>
    <row r="11401" spans="1:50">
      <c r="A11401" s="1">
        <f>HYPERLINK("https://lsnyc.legalserver.org/matter/dynamic-profile/view/1903665","19-1903665")</f>
        <v>0</v>
      </c>
      <c r="B11401" t="s">
        <v>103</v>
      </c>
      <c r="C11401" t="s">
        <v>340</v>
      </c>
      <c r="D11401" t="s">
        <v>836</v>
      </c>
      <c r="F11401" t="s">
        <v>1483</v>
      </c>
      <c r="G11401" t="s">
        <v>9632</v>
      </c>
      <c r="H11401" t="s">
        <v>17264</v>
      </c>
      <c r="I11401" t="s">
        <v>18889</v>
      </c>
      <c r="J11401" t="s">
        <v>18902</v>
      </c>
      <c r="K11401">
        <v>10314</v>
      </c>
      <c r="L11401" t="s">
        <v>18958</v>
      </c>
      <c r="M11401" t="s">
        <v>18960</v>
      </c>
      <c r="O11401" t="s">
        <v>26534</v>
      </c>
      <c r="R11401" t="s">
        <v>26578</v>
      </c>
      <c r="S11401" t="s">
        <v>18958</v>
      </c>
      <c r="U11401" t="s">
        <v>26604</v>
      </c>
      <c r="X11401">
        <v>859</v>
      </c>
      <c r="Y11401" t="s">
        <v>26654</v>
      </c>
      <c r="Z11401" t="s">
        <v>26659</v>
      </c>
      <c r="AB11401" t="s">
        <v>34456</v>
      </c>
      <c r="AD11401" t="s">
        <v>45536</v>
      </c>
      <c r="AE11401">
        <v>96</v>
      </c>
      <c r="AF11401" t="s">
        <v>45541</v>
      </c>
      <c r="AG11401" t="s">
        <v>45559</v>
      </c>
      <c r="AH11401">
        <v>7</v>
      </c>
      <c r="AI11401">
        <v>1</v>
      </c>
      <c r="AJ11401">
        <v>0</v>
      </c>
      <c r="AK11401">
        <v>211.37</v>
      </c>
      <c r="AN11401" t="s">
        <v>7439</v>
      </c>
      <c r="AO11401">
        <v>26400</v>
      </c>
      <c r="AU11401">
        <v>0.2</v>
      </c>
      <c r="AV11401" t="s">
        <v>836</v>
      </c>
      <c r="AW11401" t="s">
        <v>46883</v>
      </c>
      <c r="AX11401" t="s">
        <v>46897</v>
      </c>
    </row>
    <row r="11402" spans="1:50">
      <c r="A11402" s="1">
        <f>HYPERLINK("https://lsnyc.legalserver.org/matter/dynamic-profile/view/1903672","19-1903672")</f>
        <v>0</v>
      </c>
      <c r="B11402" t="s">
        <v>103</v>
      </c>
      <c r="C11402" t="s">
        <v>340</v>
      </c>
      <c r="D11402" t="s">
        <v>836</v>
      </c>
      <c r="F11402" t="s">
        <v>1021</v>
      </c>
      <c r="G11402" t="s">
        <v>9633</v>
      </c>
      <c r="H11402" t="s">
        <v>17037</v>
      </c>
      <c r="I11402" t="s">
        <v>18890</v>
      </c>
      <c r="J11402" t="s">
        <v>18902</v>
      </c>
      <c r="K11402">
        <v>10314</v>
      </c>
      <c r="L11402" t="s">
        <v>18958</v>
      </c>
      <c r="M11402" t="s">
        <v>18960</v>
      </c>
      <c r="O11402" t="s">
        <v>26534</v>
      </c>
      <c r="R11402" t="s">
        <v>26578</v>
      </c>
      <c r="S11402" t="s">
        <v>18958</v>
      </c>
      <c r="U11402" t="s">
        <v>26604</v>
      </c>
      <c r="X11402">
        <v>967</v>
      </c>
      <c r="Y11402" t="s">
        <v>26654</v>
      </c>
      <c r="Z11402" t="s">
        <v>26659</v>
      </c>
      <c r="AB11402" t="s">
        <v>34457</v>
      </c>
      <c r="AD11402" t="s">
        <v>45537</v>
      </c>
      <c r="AE11402">
        <v>96</v>
      </c>
      <c r="AG11402" t="s">
        <v>45559</v>
      </c>
      <c r="AH11402">
        <v>8</v>
      </c>
      <c r="AI11402">
        <v>1</v>
      </c>
      <c r="AJ11402">
        <v>0</v>
      </c>
      <c r="AK11402">
        <v>236.89</v>
      </c>
      <c r="AN11402" t="s">
        <v>7439</v>
      </c>
      <c r="AO11402">
        <v>29587.92</v>
      </c>
      <c r="AU11402">
        <v>0.3</v>
      </c>
      <c r="AV11402" t="s">
        <v>836</v>
      </c>
      <c r="AW11402" t="s">
        <v>46883</v>
      </c>
      <c r="AX11402" t="s">
        <v>46897</v>
      </c>
    </row>
    <row r="11403" spans="1:50">
      <c r="A11403" s="1">
        <f>HYPERLINK("https://lsnyc.legalserver.org/matter/dynamic-profile/view/1903648","19-1903648")</f>
        <v>0</v>
      </c>
      <c r="B11403" t="s">
        <v>103</v>
      </c>
      <c r="C11403" t="s">
        <v>340</v>
      </c>
      <c r="D11403" t="s">
        <v>836</v>
      </c>
      <c r="F11403" t="s">
        <v>1532</v>
      </c>
      <c r="G11403" t="s">
        <v>9634</v>
      </c>
      <c r="H11403" t="s">
        <v>17265</v>
      </c>
      <c r="I11403" t="s">
        <v>18891</v>
      </c>
      <c r="J11403" t="s">
        <v>18902</v>
      </c>
      <c r="K11403">
        <v>10314</v>
      </c>
      <c r="L11403" t="s">
        <v>18958</v>
      </c>
      <c r="M11403" t="s">
        <v>18960</v>
      </c>
      <c r="O11403" t="s">
        <v>26534</v>
      </c>
      <c r="R11403" t="s">
        <v>26578</v>
      </c>
      <c r="S11403" t="s">
        <v>18958</v>
      </c>
      <c r="U11403" t="s">
        <v>26604</v>
      </c>
      <c r="X11403">
        <v>907</v>
      </c>
      <c r="Y11403" t="s">
        <v>26654</v>
      </c>
      <c r="Z11403" t="s">
        <v>26659</v>
      </c>
      <c r="AB11403" t="s">
        <v>34458</v>
      </c>
      <c r="AD11403" t="s">
        <v>45538</v>
      </c>
      <c r="AE11403">
        <v>96</v>
      </c>
      <c r="AF11403" t="s">
        <v>45541</v>
      </c>
      <c r="AG11403" t="s">
        <v>19330</v>
      </c>
      <c r="AH11403">
        <v>4</v>
      </c>
      <c r="AI11403">
        <v>1</v>
      </c>
      <c r="AJ11403">
        <v>0</v>
      </c>
      <c r="AK11403">
        <v>242.21</v>
      </c>
      <c r="AN11403" t="s">
        <v>7439</v>
      </c>
      <c r="AO11403">
        <v>30252</v>
      </c>
      <c r="AU11403">
        <v>0.2</v>
      </c>
      <c r="AV11403" t="s">
        <v>836</v>
      </c>
      <c r="AW11403" t="s">
        <v>46883</v>
      </c>
      <c r="AX11403" t="s">
        <v>46897</v>
      </c>
    </row>
    <row r="11404" spans="1:50">
      <c r="A11404" s="1">
        <f>HYPERLINK("https://lsnyc.legalserver.org/matter/dynamic-profile/view/1903680","19-1903680")</f>
        <v>0</v>
      </c>
      <c r="B11404" t="s">
        <v>279</v>
      </c>
      <c r="C11404" t="s">
        <v>340</v>
      </c>
      <c r="D11404" t="s">
        <v>836</v>
      </c>
      <c r="F11404" t="s">
        <v>947</v>
      </c>
      <c r="G11404" t="s">
        <v>9635</v>
      </c>
      <c r="H11404" t="s">
        <v>17266</v>
      </c>
      <c r="I11404" t="s">
        <v>17708</v>
      </c>
      <c r="J11404" t="s">
        <v>18894</v>
      </c>
      <c r="K11404">
        <v>11208</v>
      </c>
      <c r="L11404" t="s">
        <v>18959</v>
      </c>
      <c r="M11404" t="s">
        <v>18960</v>
      </c>
      <c r="N11404" t="s">
        <v>26522</v>
      </c>
      <c r="O11404" t="s">
        <v>26523</v>
      </c>
      <c r="R11404" t="s">
        <v>26578</v>
      </c>
      <c r="S11404" t="s">
        <v>18959</v>
      </c>
      <c r="U11404" t="s">
        <v>26604</v>
      </c>
      <c r="V11404" t="s">
        <v>26609</v>
      </c>
      <c r="X11404">
        <v>1700</v>
      </c>
      <c r="Y11404" t="s">
        <v>26652</v>
      </c>
      <c r="Z11404" t="s">
        <v>26664</v>
      </c>
      <c r="AB11404" t="s">
        <v>34459</v>
      </c>
      <c r="AC11404" t="s">
        <v>19330</v>
      </c>
      <c r="AD11404" t="s">
        <v>45539</v>
      </c>
      <c r="AE11404">
        <v>20</v>
      </c>
      <c r="AF11404" t="s">
        <v>45541</v>
      </c>
      <c r="AG11404" t="s">
        <v>19330</v>
      </c>
      <c r="AH11404">
        <v>2</v>
      </c>
      <c r="AI11404">
        <v>2</v>
      </c>
      <c r="AJ11404">
        <v>1</v>
      </c>
      <c r="AK11404">
        <v>221.53</v>
      </c>
      <c r="AN11404" t="s">
        <v>7439</v>
      </c>
      <c r="AO11404">
        <v>47252</v>
      </c>
      <c r="AU11404">
        <v>0</v>
      </c>
      <c r="AW11404" t="s">
        <v>279</v>
      </c>
      <c r="AX11404" t="s">
        <v>19330</v>
      </c>
    </row>
    <row r="11405" spans="1:50">
      <c r="A11405" s="1">
        <f>HYPERLINK("https://lsnyc.legalserver.org/matter/dynamic-profile/view/1903632","19-1903632")</f>
        <v>0</v>
      </c>
      <c r="B11405" t="s">
        <v>250</v>
      </c>
      <c r="C11405" t="s">
        <v>340</v>
      </c>
      <c r="D11405" t="s">
        <v>836</v>
      </c>
      <c r="F11405" t="s">
        <v>968</v>
      </c>
      <c r="G11405" t="s">
        <v>1146</v>
      </c>
      <c r="H11405" t="s">
        <v>17267</v>
      </c>
      <c r="I11405" t="s">
        <v>17743</v>
      </c>
      <c r="J11405" t="s">
        <v>18893</v>
      </c>
      <c r="K11405">
        <v>10003</v>
      </c>
      <c r="L11405" t="s">
        <v>18960</v>
      </c>
      <c r="M11405" t="s">
        <v>18960</v>
      </c>
      <c r="O11405" t="s">
        <v>18997</v>
      </c>
      <c r="P11405" t="s">
        <v>26563</v>
      </c>
      <c r="R11405" t="s">
        <v>26583</v>
      </c>
      <c r="U11405" t="s">
        <v>26604</v>
      </c>
      <c r="X11405">
        <v>970</v>
      </c>
      <c r="Y11405" t="s">
        <v>26651</v>
      </c>
      <c r="AB11405" t="s">
        <v>34460</v>
      </c>
      <c r="AD11405" t="s">
        <v>45540</v>
      </c>
      <c r="AE11405">
        <v>0</v>
      </c>
      <c r="AF11405" t="s">
        <v>45553</v>
      </c>
      <c r="AH11405">
        <v>21</v>
      </c>
      <c r="AI11405">
        <v>1</v>
      </c>
      <c r="AJ11405">
        <v>0</v>
      </c>
      <c r="AK11405">
        <v>326.66</v>
      </c>
      <c r="AN11405" t="s">
        <v>7439</v>
      </c>
      <c r="AO11405">
        <v>40800</v>
      </c>
      <c r="AU11405">
        <v>1</v>
      </c>
      <c r="AV11405" t="s">
        <v>836</v>
      </c>
      <c r="AW11405" t="s">
        <v>46859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2019-07-01T14:05:08Z</dcterms:created>
  <dcterms:modified xsi:type="dcterms:W3CDTF">2019-07-01T14:05:08Z</dcterms:modified>
</cp:coreProperties>
</file>